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7635" yWindow="-15" windowWidth="7680" windowHeight="9120"/>
  </bookViews>
  <sheets>
    <sheet name="INPUTS" sheetId="16" r:id="rId1"/>
    <sheet name="TABLES" sheetId="17" r:id="rId2"/>
    <sheet name="PARAM" sheetId="3" r:id="rId3"/>
    <sheet name="DEDN" sheetId="4" r:id="rId4"/>
    <sheet name="RATES" sheetId="5" r:id="rId5"/>
    <sheet name="CALC" sheetId="15" r:id="rId6"/>
    <sheet name="ITER" sheetId="7" r:id="rId7"/>
    <sheet name="OUTPUT" sheetId="18" r:id="rId8"/>
  </sheets>
  <definedNames>
    <definedName name="CurrencyLookup">TABLES!$A$3:$H$10</definedName>
    <definedName name="FundAdmin">OUTPUT!$B$3</definedName>
    <definedName name="Guess">CALC!$B$27:$CD$1027</definedName>
    <definedName name="InputBenefitType">INPUTS!$B$21</definedName>
    <definedName name="InputBusType">INPUTS!$B$27</definedName>
    <definedName name="InputCalcBasis">INPUTS!$B$25</definedName>
    <definedName name="InputCalcDate">INPUTS!$B$43</definedName>
    <definedName name="InputCommSac">INPUTS!$B$40</definedName>
    <definedName name="InputCurrency">INPUTS!$B$29</definedName>
    <definedName name="InputCurrRate">INPUTS!$B$30</definedName>
    <definedName name="InputGrowth">INPUTS!$B$26</definedName>
    <definedName name="InputIllusRate">INPUTS!$B$42</definedName>
    <definedName name="InputPremFreq">INPUTS!$B$33</definedName>
    <definedName name="InputPremium">INPUTS!$B$31</definedName>
    <definedName name="InputPremRounding">INPUTS!$B$32</definedName>
    <definedName name="InputSABasis">INPUTS!$B$23</definedName>
    <definedName name="InputSumAss">INPUTS!$B$34</definedName>
    <definedName name="InputSumAssRounding">INPUTS!$B$35</definedName>
    <definedName name="InputTarget">INPUTS!$B$36</definedName>
    <definedName name="InputTrigger">INPUTS!$B$22</definedName>
    <definedName name="InputWoP">INPUTS!$B$24</definedName>
    <definedName name="IntFndChg">PARAM!$C$60</definedName>
    <definedName name="L1_AgeNB">INPUTS!$B$5</definedName>
    <definedName name="L1_Country">INPUTS!$B$8</definedName>
    <definedName name="L1_FlatRate">INPUTS!$B$11</definedName>
    <definedName name="L1_PcLoad">INPUTS!$B$10</definedName>
    <definedName name="L1_Sex">INPUTS!$B$6</definedName>
    <definedName name="L1_Smoker">INPUTS!$B$7</definedName>
    <definedName name="L1_YTA">INPUTS!$B$9</definedName>
    <definedName name="L2_AgeNB">INPUTS!$B$12</definedName>
    <definedName name="L2_Country">INPUTS!$B$15</definedName>
    <definedName name="L2_FlatRate">INPUTS!$B$18</definedName>
    <definedName name="L2_PcLoad">INPUTS!$B$17</definedName>
    <definedName name="L2_Sex">INPUTS!$B$13</definedName>
    <definedName name="L2_Smoker">INPUTS!$B$14</definedName>
    <definedName name="L2_YTA">INPUTS!$B$16</definedName>
    <definedName name="Location">INPUTS!$B$3</definedName>
    <definedName name="LookupAge">TABLES!#REF!</definedName>
    <definedName name="LookupBasis">TABLES!$Y$3</definedName>
    <definedName name="LookupBenefit">TABLES!$W$3:$W$5</definedName>
    <definedName name="LookupCalc">TABLES!$AB$3:$AB$4</definedName>
    <definedName name="LookupCountry">TABLES!$J$2:$K$150</definedName>
    <definedName name="LookupCountryTbl">TABLES!$J$2:$U$150</definedName>
    <definedName name="LookupEvent">TABLES!$X$3:$X$5</definedName>
    <definedName name="LookupFlatRate">TABLES!$M$2:$M$142</definedName>
    <definedName name="LookupFreq">TABLES!#REF!</definedName>
    <definedName name="LookupGrowth">TABLES!#REF!</definedName>
    <definedName name="LookupSac">TABLES!#REF!</definedName>
    <definedName name="LookupSex">TABLES!#REF!</definedName>
    <definedName name="LookupSmoker">TABLES!#REF!</definedName>
    <definedName name="LookupTarget">TABLES!$AA$3:$AA$5</definedName>
    <definedName name="LookupType">TABLES!$AC$3:$AC$4</definedName>
    <definedName name="LookupYN">TABLES!$Z$3:$Z$4</definedName>
    <definedName name="LookupYTA">TABLES!$L$2:$L$142</definedName>
    <definedName name="Loyalty">PARAM!$B$30:$I$31</definedName>
    <definedName name="MinimumPremium">INPUTS!$B$38</definedName>
    <definedName name="MinimumPremiums">TABLES!$E$3:$H$10</definedName>
    <definedName name="MinimumSumAss">PARAM!$B$34</definedName>
    <definedName name="OutputMessage">OUTPUT!$C$23</definedName>
    <definedName name="OutputMessageRqd">OUTPUT!$C$21</definedName>
    <definedName name="OutputMessageType">OUTPUT!$C$22</definedName>
    <definedName name="OutputMinSA">OUTPUT!$B$4</definedName>
    <definedName name="OutputPremium">OUTPUT!$B$2</definedName>
    <definedName name="OutputSumAss">OUTPUT!$B$1</definedName>
    <definedName name="ProjectionResults">OUTPUT!$A$7:$D$17</definedName>
    <definedName name="ReviewCommDate">INPUTS!$B$48</definedName>
    <definedName name="ReviewPlanNo">INPUTS!$B$49</definedName>
    <definedName name="ReviewPremium">INPUTS!$B$46</definedName>
    <definedName name="ReviewSumAss">INPUTS!$B$47</definedName>
    <definedName name="ReviewValue">INPUTS!$B$45</definedName>
    <definedName name="TERR">TABLES!$J$2:$T$120</definedName>
    <definedName name="Version">INPUTS!$B$1</definedName>
    <definedName name="WoP_PcLoad">INPUTS!$B$19</definedName>
  </definedNames>
  <calcPr calcId="144525"/>
</workbook>
</file>

<file path=xl/calcChain.xml><?xml version="1.0" encoding="utf-8"?>
<calcChain xmlns="http://schemas.openxmlformats.org/spreadsheetml/2006/main">
  <c r="J25" i="15" l="1"/>
  <c r="F25" i="15"/>
  <c r="N25" i="15"/>
  <c r="R25" i="15"/>
  <c r="V25" i="15"/>
  <c r="Z25" i="15"/>
  <c r="AD25" i="15"/>
  <c r="AH25" i="15"/>
  <c r="AL25" i="15"/>
  <c r="AP25" i="15"/>
  <c r="AT25" i="15"/>
  <c r="AX25" i="15"/>
  <c r="BB25" i="15"/>
  <c r="BF25" i="15"/>
  <c r="BJ25" i="15"/>
  <c r="BN25" i="15"/>
  <c r="BR25" i="15"/>
  <c r="BV25" i="15"/>
  <c r="CD25" i="15"/>
  <c r="BZ25" i="15"/>
  <c r="D51" i="3"/>
  <c r="CE27" i="15" s="1"/>
  <c r="CE1027" i="15"/>
  <c r="CE1025" i="15"/>
  <c r="CE1023" i="15"/>
  <c r="CE1021" i="15"/>
  <c r="CE1019" i="15"/>
  <c r="CE1017" i="15"/>
  <c r="CE1015" i="15"/>
  <c r="CE1013" i="15"/>
  <c r="CE1011" i="15"/>
  <c r="CE1009" i="15"/>
  <c r="CE1007" i="15"/>
  <c r="CE1005" i="15"/>
  <c r="CE1003" i="15"/>
  <c r="CE1001" i="15"/>
  <c r="CE999" i="15"/>
  <c r="CE998" i="15"/>
  <c r="CE997" i="15"/>
  <c r="CE996" i="15"/>
  <c r="CE995" i="15"/>
  <c r="CE994" i="15"/>
  <c r="CE993" i="15"/>
  <c r="CE992" i="15"/>
  <c r="CE991" i="15"/>
  <c r="CE990" i="15"/>
  <c r="CE989" i="15"/>
  <c r="CE988" i="15"/>
  <c r="CE987" i="15"/>
  <c r="CE986" i="15"/>
  <c r="CE985" i="15"/>
  <c r="CE984" i="15"/>
  <c r="CE983" i="15"/>
  <c r="CE982" i="15"/>
  <c r="CE981" i="15"/>
  <c r="CE980" i="15"/>
  <c r="CE979" i="15"/>
  <c r="CE978" i="15"/>
  <c r="CE977" i="15"/>
  <c r="CE976" i="15"/>
  <c r="CE975" i="15"/>
  <c r="CE974" i="15"/>
  <c r="CE973" i="15"/>
  <c r="CE972" i="15"/>
  <c r="CE971" i="15"/>
  <c r="CE970" i="15"/>
  <c r="CE969" i="15"/>
  <c r="CE968" i="15"/>
  <c r="CE967" i="15"/>
  <c r="CE966" i="15"/>
  <c r="CE965" i="15"/>
  <c r="CE964" i="15"/>
  <c r="CE963" i="15"/>
  <c r="CE962" i="15"/>
  <c r="CE961" i="15"/>
  <c r="CE960" i="15"/>
  <c r="CE959" i="15"/>
  <c r="CE958" i="15"/>
  <c r="CE957" i="15"/>
  <c r="CE956" i="15"/>
  <c r="CE955" i="15"/>
  <c r="CE954" i="15"/>
  <c r="CE953" i="15"/>
  <c r="CE952" i="15"/>
  <c r="CE951" i="15"/>
  <c r="CE950" i="15"/>
  <c r="CE949" i="15"/>
  <c r="CE948" i="15"/>
  <c r="CE947" i="15"/>
  <c r="CE946" i="15"/>
  <c r="CE945" i="15"/>
  <c r="CE944" i="15"/>
  <c r="CE943" i="15"/>
  <c r="CE942" i="15"/>
  <c r="CE941" i="15"/>
  <c r="CE940" i="15"/>
  <c r="CE939" i="15"/>
  <c r="CE938" i="15"/>
  <c r="CE937" i="15"/>
  <c r="CE936" i="15"/>
  <c r="CE935" i="15"/>
  <c r="CE934" i="15"/>
  <c r="CE933" i="15"/>
  <c r="CE932" i="15"/>
  <c r="CE931" i="15"/>
  <c r="CE930" i="15"/>
  <c r="CE929" i="15"/>
  <c r="CE928" i="15"/>
  <c r="CE927" i="15"/>
  <c r="CE926" i="15"/>
  <c r="CE925" i="15"/>
  <c r="CE924" i="15"/>
  <c r="CE923" i="15"/>
  <c r="CE922" i="15"/>
  <c r="CE921" i="15"/>
  <c r="CE920" i="15"/>
  <c r="CE919" i="15"/>
  <c r="CE918" i="15"/>
  <c r="CE917" i="15"/>
  <c r="CE916" i="15"/>
  <c r="CE915" i="15"/>
  <c r="CE914" i="15"/>
  <c r="CE913" i="15"/>
  <c r="CE912" i="15"/>
  <c r="CE911" i="15"/>
  <c r="CE910" i="15"/>
  <c r="CE909" i="15"/>
  <c r="CE908" i="15"/>
  <c r="CE907" i="15"/>
  <c r="CE906" i="15"/>
  <c r="CE905" i="15"/>
  <c r="CE904" i="15"/>
  <c r="CE903" i="15"/>
  <c r="CE902" i="15"/>
  <c r="CE901" i="15"/>
  <c r="CE900" i="15"/>
  <c r="CE899" i="15"/>
  <c r="CE898" i="15"/>
  <c r="CE897" i="15"/>
  <c r="CE896" i="15"/>
  <c r="CE895" i="15"/>
  <c r="CE894" i="15"/>
  <c r="CE893" i="15"/>
  <c r="CE892" i="15"/>
  <c r="CE891" i="15"/>
  <c r="CE890" i="15"/>
  <c r="CE889" i="15"/>
  <c r="CE888" i="15"/>
  <c r="CE887" i="15"/>
  <c r="CE886" i="15"/>
  <c r="CE885" i="15"/>
  <c r="CE884" i="15"/>
  <c r="CE883" i="15"/>
  <c r="CE882" i="15"/>
  <c r="CE881" i="15"/>
  <c r="CE880" i="15"/>
  <c r="CE879" i="15"/>
  <c r="CE878" i="15"/>
  <c r="CE877" i="15"/>
  <c r="CE876" i="15"/>
  <c r="CE875" i="15"/>
  <c r="CE874" i="15"/>
  <c r="CE873" i="15"/>
  <c r="CE872" i="15"/>
  <c r="CE871" i="15"/>
  <c r="CE870" i="15"/>
  <c r="CE869" i="15"/>
  <c r="CE868" i="15"/>
  <c r="CE867" i="15"/>
  <c r="CE866" i="15"/>
  <c r="CE865" i="15"/>
  <c r="CE864" i="15"/>
  <c r="CE863" i="15"/>
  <c r="CE862" i="15"/>
  <c r="CE861" i="15"/>
  <c r="CE860" i="15"/>
  <c r="CE859" i="15"/>
  <c r="CE858" i="15"/>
  <c r="CE857" i="15"/>
  <c r="CE856" i="15"/>
  <c r="CE855" i="15"/>
  <c r="CE854" i="15"/>
  <c r="CE853" i="15"/>
  <c r="CE852" i="15"/>
  <c r="CE851" i="15"/>
  <c r="CE850" i="15"/>
  <c r="CE849" i="15"/>
  <c r="CE848" i="15"/>
  <c r="CE847" i="15"/>
  <c r="CE846" i="15"/>
  <c r="CE845" i="15"/>
  <c r="CE844" i="15"/>
  <c r="CE843" i="15"/>
  <c r="CE842" i="15"/>
  <c r="CE841" i="15"/>
  <c r="CE840" i="15"/>
  <c r="CE839" i="15"/>
  <c r="CE838" i="15"/>
  <c r="CE837" i="15"/>
  <c r="CE836" i="15"/>
  <c r="CE835" i="15"/>
  <c r="CE834" i="15"/>
  <c r="CE833" i="15"/>
  <c r="CE832" i="15"/>
  <c r="CE831" i="15"/>
  <c r="CE830" i="15"/>
  <c r="CE829" i="15"/>
  <c r="CE828" i="15"/>
  <c r="CE827" i="15"/>
  <c r="CE826" i="15"/>
  <c r="CE825" i="15"/>
  <c r="CE824" i="15"/>
  <c r="CE823" i="15"/>
  <c r="CE822" i="15"/>
  <c r="CE821" i="15"/>
  <c r="CE820" i="15"/>
  <c r="CE819" i="15"/>
  <c r="CE818" i="15"/>
  <c r="CE817" i="15"/>
  <c r="CE816" i="15"/>
  <c r="CE815" i="15"/>
  <c r="CE814" i="15"/>
  <c r="CE813" i="15"/>
  <c r="CE812" i="15"/>
  <c r="CE811" i="15"/>
  <c r="CE810" i="15"/>
  <c r="CE809" i="15"/>
  <c r="CE808" i="15"/>
  <c r="CE807" i="15"/>
  <c r="CE806" i="15"/>
  <c r="CE805" i="15"/>
  <c r="CE804" i="15"/>
  <c r="CE803" i="15"/>
  <c r="CE802" i="15"/>
  <c r="CE801" i="15"/>
  <c r="CE800" i="15"/>
  <c r="CE799" i="15"/>
  <c r="CE798" i="15"/>
  <c r="CE797" i="15"/>
  <c r="CE796" i="15"/>
  <c r="CE795" i="15"/>
  <c r="CE794" i="15"/>
  <c r="CE793" i="15"/>
  <c r="CE792" i="15"/>
  <c r="CE791" i="15"/>
  <c r="CE790" i="15"/>
  <c r="CE789" i="15"/>
  <c r="CE788" i="15"/>
  <c r="CE787" i="15"/>
  <c r="CE786" i="15"/>
  <c r="CE785" i="15"/>
  <c r="CE784" i="15"/>
  <c r="CE783" i="15"/>
  <c r="CE782" i="15"/>
  <c r="CE781" i="15"/>
  <c r="CE780" i="15"/>
  <c r="CE779" i="15"/>
  <c r="CE778" i="15"/>
  <c r="CE777" i="15"/>
  <c r="CE776" i="15"/>
  <c r="CE775" i="15"/>
  <c r="CE774" i="15"/>
  <c r="CE773" i="15"/>
  <c r="CE772" i="15"/>
  <c r="CE771" i="15"/>
  <c r="CE770" i="15"/>
  <c r="CE769" i="15"/>
  <c r="CE768" i="15"/>
  <c r="CE767" i="15"/>
  <c r="CE766" i="15"/>
  <c r="CE765" i="15"/>
  <c r="CE764" i="15"/>
  <c r="CE763" i="15"/>
  <c r="CE762" i="15"/>
  <c r="CE761" i="15"/>
  <c r="CE760" i="15"/>
  <c r="CE759" i="15"/>
  <c r="CE758" i="15"/>
  <c r="CE757" i="15"/>
  <c r="CE756" i="15"/>
  <c r="CE755" i="15"/>
  <c r="CE754" i="15"/>
  <c r="CE753" i="15"/>
  <c r="CE752" i="15"/>
  <c r="CE751" i="15"/>
  <c r="CE750" i="15"/>
  <c r="CE749" i="15"/>
  <c r="CE748" i="15"/>
  <c r="CE747" i="15"/>
  <c r="CE746" i="15"/>
  <c r="CE745" i="15"/>
  <c r="CE744" i="15"/>
  <c r="CE743" i="15"/>
  <c r="CE742" i="15"/>
  <c r="CE741" i="15"/>
  <c r="CE740" i="15"/>
  <c r="CE739" i="15"/>
  <c r="CE738" i="15"/>
  <c r="CE737" i="15"/>
  <c r="CE736" i="15"/>
  <c r="CE735" i="15"/>
  <c r="CE734" i="15"/>
  <c r="CE733" i="15"/>
  <c r="CE732" i="15"/>
  <c r="CE731" i="15"/>
  <c r="CE730" i="15"/>
  <c r="CE729" i="15"/>
  <c r="CE728" i="15"/>
  <c r="CE727" i="15"/>
  <c r="CE726" i="15"/>
  <c r="CE725" i="15"/>
  <c r="CE724" i="15"/>
  <c r="CE723" i="15"/>
  <c r="CE722" i="15"/>
  <c r="CE721" i="15"/>
  <c r="CE720" i="15"/>
  <c r="CE719" i="15"/>
  <c r="CE718" i="15"/>
  <c r="CE717" i="15"/>
  <c r="CE716" i="15"/>
  <c r="CE715" i="15"/>
  <c r="CE714" i="15"/>
  <c r="CE713" i="15"/>
  <c r="CE712" i="15"/>
  <c r="CE711" i="15"/>
  <c r="CE710" i="15"/>
  <c r="CE709" i="15"/>
  <c r="CE708" i="15"/>
  <c r="CE707" i="15"/>
  <c r="CE706" i="15"/>
  <c r="CE705" i="15"/>
  <c r="CE704" i="15"/>
  <c r="CE703" i="15"/>
  <c r="CE702" i="15"/>
  <c r="CE701" i="15"/>
  <c r="CE700" i="15"/>
  <c r="CE699" i="15"/>
  <c r="CE698" i="15"/>
  <c r="CE697" i="15"/>
  <c r="CE696" i="15"/>
  <c r="CE695" i="15"/>
  <c r="CE694" i="15"/>
  <c r="CE693" i="15"/>
  <c r="CE692" i="15"/>
  <c r="CE691" i="15"/>
  <c r="CE690" i="15"/>
  <c r="CE689" i="15"/>
  <c r="CE688" i="15"/>
  <c r="CE687" i="15"/>
  <c r="CE686" i="15"/>
  <c r="CE685" i="15"/>
  <c r="CE684" i="15"/>
  <c r="CE683" i="15"/>
  <c r="CE682" i="15"/>
  <c r="CE681" i="15"/>
  <c r="CE680" i="15"/>
  <c r="CE679" i="15"/>
  <c r="CE678" i="15"/>
  <c r="CE677" i="15"/>
  <c r="CE676" i="15"/>
  <c r="CE675" i="15"/>
  <c r="CE674" i="15"/>
  <c r="CE673" i="15"/>
  <c r="CE672" i="15"/>
  <c r="CE671" i="15"/>
  <c r="CE670" i="15"/>
  <c r="CE669" i="15"/>
  <c r="CE668" i="15"/>
  <c r="CE667" i="15"/>
  <c r="CE666" i="15"/>
  <c r="CE665" i="15"/>
  <c r="CE664" i="15"/>
  <c r="CE663" i="15"/>
  <c r="CE662" i="15"/>
  <c r="CE661" i="15"/>
  <c r="CE660" i="15"/>
  <c r="CE659" i="15"/>
  <c r="CE658" i="15"/>
  <c r="CE657" i="15"/>
  <c r="CE656" i="15"/>
  <c r="CE655" i="15"/>
  <c r="CE654" i="15"/>
  <c r="CE653" i="15"/>
  <c r="CE652" i="15"/>
  <c r="CE651" i="15"/>
  <c r="CE650" i="15"/>
  <c r="CE649" i="15"/>
  <c r="CE648" i="15"/>
  <c r="CE647" i="15"/>
  <c r="CE646" i="15"/>
  <c r="CE645" i="15"/>
  <c r="CE644" i="15"/>
  <c r="CE643" i="15"/>
  <c r="CE642" i="15"/>
  <c r="CE641" i="15"/>
  <c r="CE640" i="15"/>
  <c r="CE639" i="15"/>
  <c r="CE638" i="15"/>
  <c r="CE637" i="15"/>
  <c r="CE636" i="15"/>
  <c r="CE635" i="15"/>
  <c r="CE634" i="15"/>
  <c r="CE633" i="15"/>
  <c r="CE632" i="15"/>
  <c r="CE631" i="15"/>
  <c r="CE630" i="15"/>
  <c r="CE629" i="15"/>
  <c r="CE628" i="15"/>
  <c r="CE627" i="15"/>
  <c r="CE626" i="15"/>
  <c r="CE625" i="15"/>
  <c r="CE624" i="15"/>
  <c r="CE623" i="15"/>
  <c r="CE622" i="15"/>
  <c r="CE621" i="15"/>
  <c r="CE620" i="15"/>
  <c r="CE619" i="15"/>
  <c r="CE618" i="15"/>
  <c r="CE617" i="15"/>
  <c r="CE616" i="15"/>
  <c r="CE615" i="15"/>
  <c r="CE614" i="15"/>
  <c r="CE613" i="15"/>
  <c r="CE612" i="15"/>
  <c r="CE611" i="15"/>
  <c r="CE610" i="15"/>
  <c r="CE609" i="15"/>
  <c r="CE608" i="15"/>
  <c r="CE607" i="15"/>
  <c r="CE606" i="15"/>
  <c r="CE605" i="15"/>
  <c r="CE604" i="15"/>
  <c r="CE603" i="15"/>
  <c r="CE602" i="15"/>
  <c r="CE601" i="15"/>
  <c r="CE600" i="15"/>
  <c r="CE599" i="15"/>
  <c r="CE598" i="15"/>
  <c r="CE597" i="15"/>
  <c r="CE596" i="15"/>
  <c r="CE595" i="15"/>
  <c r="CE594" i="15"/>
  <c r="CE593" i="15"/>
  <c r="CE592" i="15"/>
  <c r="CE591" i="15"/>
  <c r="CE590" i="15"/>
  <c r="CE589" i="15"/>
  <c r="CE588" i="15"/>
  <c r="CE587" i="15"/>
  <c r="CE586" i="15"/>
  <c r="CE585" i="15"/>
  <c r="CE584" i="15"/>
  <c r="CE583" i="15"/>
  <c r="CE582" i="15"/>
  <c r="CE581" i="15"/>
  <c r="CE580" i="15"/>
  <c r="CE579" i="15"/>
  <c r="CE578" i="15"/>
  <c r="CE577" i="15"/>
  <c r="CE576" i="15"/>
  <c r="CE575" i="15"/>
  <c r="CE574" i="15"/>
  <c r="CE573" i="15"/>
  <c r="CE572" i="15"/>
  <c r="CE571" i="15"/>
  <c r="CE570" i="15"/>
  <c r="CE569" i="15"/>
  <c r="CE568" i="15"/>
  <c r="CE567" i="15"/>
  <c r="CE566" i="15"/>
  <c r="CE565" i="15"/>
  <c r="CE564" i="15"/>
  <c r="CE563" i="15"/>
  <c r="CE562" i="15"/>
  <c r="CE561" i="15"/>
  <c r="CE560" i="15"/>
  <c r="CE559" i="15"/>
  <c r="CE558" i="15"/>
  <c r="CE557" i="15"/>
  <c r="CE556" i="15"/>
  <c r="CE555" i="15"/>
  <c r="CE554" i="15"/>
  <c r="CE553" i="15"/>
  <c r="CE552" i="15"/>
  <c r="CE551" i="15"/>
  <c r="CE550" i="15"/>
  <c r="CE549" i="15"/>
  <c r="CE548" i="15"/>
  <c r="CE547" i="15"/>
  <c r="CE546" i="15"/>
  <c r="CE545" i="15"/>
  <c r="CE544" i="15"/>
  <c r="CE543" i="15"/>
  <c r="CE542" i="15"/>
  <c r="CE541" i="15"/>
  <c r="CE540" i="15"/>
  <c r="CE539" i="15"/>
  <c r="CE538" i="15"/>
  <c r="CE537" i="15"/>
  <c r="CE536" i="15"/>
  <c r="CE535" i="15"/>
  <c r="CE534" i="15"/>
  <c r="CE533" i="15"/>
  <c r="CE532" i="15"/>
  <c r="CE531" i="15"/>
  <c r="CE530" i="15"/>
  <c r="CE529" i="15"/>
  <c r="CE528" i="15"/>
  <c r="CE527" i="15"/>
  <c r="CE526" i="15"/>
  <c r="CE525" i="15"/>
  <c r="CE524" i="15"/>
  <c r="CE523" i="15"/>
  <c r="CE522" i="15"/>
  <c r="CE521" i="15"/>
  <c r="CE520" i="15"/>
  <c r="CE519" i="15"/>
  <c r="CE518" i="15"/>
  <c r="CE517" i="15"/>
  <c r="CE516" i="15"/>
  <c r="CE515" i="15"/>
  <c r="CE514" i="15"/>
  <c r="CE513" i="15"/>
  <c r="CE512" i="15"/>
  <c r="CE511" i="15"/>
  <c r="CE510" i="15"/>
  <c r="CE509" i="15"/>
  <c r="CE508" i="15"/>
  <c r="CE507" i="15"/>
  <c r="CE506" i="15"/>
  <c r="CE505" i="15"/>
  <c r="CE504" i="15"/>
  <c r="CE503" i="15"/>
  <c r="CE502" i="15"/>
  <c r="CE501" i="15"/>
  <c r="CE500" i="15"/>
  <c r="CE499" i="15"/>
  <c r="CE498" i="15"/>
  <c r="CE497" i="15"/>
  <c r="CE496" i="15"/>
  <c r="CE495" i="15"/>
  <c r="CE494" i="15"/>
  <c r="CE493" i="15"/>
  <c r="CE492" i="15"/>
  <c r="CE491" i="15"/>
  <c r="CE490" i="15"/>
  <c r="CE489" i="15"/>
  <c r="CE488" i="15"/>
  <c r="CE487" i="15"/>
  <c r="CE486" i="15"/>
  <c r="CE485" i="15"/>
  <c r="CE484" i="15"/>
  <c r="CE483" i="15"/>
  <c r="CE482" i="15"/>
  <c r="CE481" i="15"/>
  <c r="CE480" i="15"/>
  <c r="CE479" i="15"/>
  <c r="CE478" i="15"/>
  <c r="CE477" i="15"/>
  <c r="CE476" i="15"/>
  <c r="CE475" i="15"/>
  <c r="CE474" i="15"/>
  <c r="CE473" i="15"/>
  <c r="CE472" i="15"/>
  <c r="CE471" i="15"/>
  <c r="CE470" i="15"/>
  <c r="CE469" i="15"/>
  <c r="CE468" i="15"/>
  <c r="CE467" i="15"/>
  <c r="CE466" i="15"/>
  <c r="CE465" i="15"/>
  <c r="CE464" i="15"/>
  <c r="CE463" i="15"/>
  <c r="CE462" i="15"/>
  <c r="CE461" i="15"/>
  <c r="CE460" i="15"/>
  <c r="CE459" i="15"/>
  <c r="CE458" i="15"/>
  <c r="CE457" i="15"/>
  <c r="CE456" i="15"/>
  <c r="CE455" i="15"/>
  <c r="CE454" i="15"/>
  <c r="CE453" i="15"/>
  <c r="CE452" i="15"/>
  <c r="CE451" i="15"/>
  <c r="CE450" i="15"/>
  <c r="CE449" i="15"/>
  <c r="CE448" i="15"/>
  <c r="CE447" i="15"/>
  <c r="CE446" i="15"/>
  <c r="CE445" i="15"/>
  <c r="CE444" i="15"/>
  <c r="CE443" i="15"/>
  <c r="CE442" i="15"/>
  <c r="CE441" i="15"/>
  <c r="CE440" i="15"/>
  <c r="CE439" i="15"/>
  <c r="CE438" i="15"/>
  <c r="CE437" i="15"/>
  <c r="CE436" i="15"/>
  <c r="CE435" i="15"/>
  <c r="CE434" i="15"/>
  <c r="CE433" i="15"/>
  <c r="CE432" i="15"/>
  <c r="CE431" i="15"/>
  <c r="CE430" i="15"/>
  <c r="CE429" i="15"/>
  <c r="CE428" i="15"/>
  <c r="CE427" i="15"/>
  <c r="CE426" i="15"/>
  <c r="CE425" i="15"/>
  <c r="CE424" i="15"/>
  <c r="CE423" i="15"/>
  <c r="CE422" i="15"/>
  <c r="CE421" i="15"/>
  <c r="CE420" i="15"/>
  <c r="CE419" i="15"/>
  <c r="CE418" i="15"/>
  <c r="CE417" i="15"/>
  <c r="CE416" i="15"/>
  <c r="CE415" i="15"/>
  <c r="CE414" i="15"/>
  <c r="CE413" i="15"/>
  <c r="CE412" i="15"/>
  <c r="CE411" i="15"/>
  <c r="CE410" i="15"/>
  <c r="CE409" i="15"/>
  <c r="CE408" i="15"/>
  <c r="CE407" i="15"/>
  <c r="CE406" i="15"/>
  <c r="CE405" i="15"/>
  <c r="CE404" i="15"/>
  <c r="CE403" i="15"/>
  <c r="CE402" i="15"/>
  <c r="CE401" i="15"/>
  <c r="CE400" i="15"/>
  <c r="CE399" i="15"/>
  <c r="CE398" i="15"/>
  <c r="CE397" i="15"/>
  <c r="CE396" i="15"/>
  <c r="CE395" i="15"/>
  <c r="CE394" i="15"/>
  <c r="CE393" i="15"/>
  <c r="CE392" i="15"/>
  <c r="CE391" i="15"/>
  <c r="CE390" i="15"/>
  <c r="CE389" i="15"/>
  <c r="CE388" i="15"/>
  <c r="CE387" i="15"/>
  <c r="CE386" i="15"/>
  <c r="CE385" i="15"/>
  <c r="CE384" i="15"/>
  <c r="CE383" i="15"/>
  <c r="CE382" i="15"/>
  <c r="CE381" i="15"/>
  <c r="CE380" i="15"/>
  <c r="CE379" i="15"/>
  <c r="CE378" i="15"/>
  <c r="CE377" i="15"/>
  <c r="CE376" i="15"/>
  <c r="CE375" i="15"/>
  <c r="CE374" i="15"/>
  <c r="CE373" i="15"/>
  <c r="CE372" i="15"/>
  <c r="CE371" i="15"/>
  <c r="CE370" i="15"/>
  <c r="CE369" i="15"/>
  <c r="CE368" i="15"/>
  <c r="CE367" i="15"/>
  <c r="CE366" i="15"/>
  <c r="CE365" i="15"/>
  <c r="CE364" i="15"/>
  <c r="CE363" i="15"/>
  <c r="CE362" i="15"/>
  <c r="CE361" i="15"/>
  <c r="CE360" i="15"/>
  <c r="CE359" i="15"/>
  <c r="CE358" i="15"/>
  <c r="CE357" i="15"/>
  <c r="CE356" i="15"/>
  <c r="CE355" i="15"/>
  <c r="CE354" i="15"/>
  <c r="CE353" i="15"/>
  <c r="CE352" i="15"/>
  <c r="CE351" i="15"/>
  <c r="CE350" i="15"/>
  <c r="CE349" i="15"/>
  <c r="CE348" i="15"/>
  <c r="CE347" i="15"/>
  <c r="CE346" i="15"/>
  <c r="CE345" i="15"/>
  <c r="CE344" i="15"/>
  <c r="CE343" i="15"/>
  <c r="CE342" i="15"/>
  <c r="CE341" i="15"/>
  <c r="CE340" i="15"/>
  <c r="CE339" i="15"/>
  <c r="CE338" i="15"/>
  <c r="CE337" i="15"/>
  <c r="CE336" i="15"/>
  <c r="CE335" i="15"/>
  <c r="CE334" i="15"/>
  <c r="CE333" i="15"/>
  <c r="CE332" i="15"/>
  <c r="CE331" i="15"/>
  <c r="CE330" i="15"/>
  <c r="CE329" i="15"/>
  <c r="CE328" i="15"/>
  <c r="CE327" i="15"/>
  <c r="CE326" i="15"/>
  <c r="CE325" i="15"/>
  <c r="CE324" i="15"/>
  <c r="CE323" i="15"/>
  <c r="CE322" i="15"/>
  <c r="CE321" i="15"/>
  <c r="CE320" i="15"/>
  <c r="CE319" i="15"/>
  <c r="CE318" i="15"/>
  <c r="CE317" i="15"/>
  <c r="CE316" i="15"/>
  <c r="CE315" i="15"/>
  <c r="CE314" i="15"/>
  <c r="CE313" i="15"/>
  <c r="CE312" i="15"/>
  <c r="CE311" i="15"/>
  <c r="CE310" i="15"/>
  <c r="CE309" i="15"/>
  <c r="CE308" i="15"/>
  <c r="CE307" i="15"/>
  <c r="CE306" i="15"/>
  <c r="CE305" i="15"/>
  <c r="CE304" i="15"/>
  <c r="CE303" i="15"/>
  <c r="CE302" i="15"/>
  <c r="CE301" i="15"/>
  <c r="CE300" i="15"/>
  <c r="CE299" i="15"/>
  <c r="CE298" i="15"/>
  <c r="CE297" i="15"/>
  <c r="CE296" i="15"/>
  <c r="CE295" i="15"/>
  <c r="CE294" i="15"/>
  <c r="CE293" i="15"/>
  <c r="CE292" i="15"/>
  <c r="CE291" i="15"/>
  <c r="CE290" i="15"/>
  <c r="CE289" i="15"/>
  <c r="CE288" i="15"/>
  <c r="CE287" i="15"/>
  <c r="CE286" i="15"/>
  <c r="CE285" i="15"/>
  <c r="CE284" i="15"/>
  <c r="CE283" i="15"/>
  <c r="CE282" i="15"/>
  <c r="CE281" i="15"/>
  <c r="CE280" i="15"/>
  <c r="CE279" i="15"/>
  <c r="CE278" i="15"/>
  <c r="CE277" i="15"/>
  <c r="CE276" i="15"/>
  <c r="CE275" i="15"/>
  <c r="CE274" i="15"/>
  <c r="CE273" i="15"/>
  <c r="CE272" i="15"/>
  <c r="CE271" i="15"/>
  <c r="CE270" i="15"/>
  <c r="CE269" i="15"/>
  <c r="CE268" i="15"/>
  <c r="CE267" i="15"/>
  <c r="CE266" i="15"/>
  <c r="CE265" i="15"/>
  <c r="CE264" i="15"/>
  <c r="CE263" i="15"/>
  <c r="CE262" i="15"/>
  <c r="CE261" i="15"/>
  <c r="CE260" i="15"/>
  <c r="CE259" i="15"/>
  <c r="CE258" i="15"/>
  <c r="CE257" i="15"/>
  <c r="CE256" i="15"/>
  <c r="CE255" i="15"/>
  <c r="CE254" i="15"/>
  <c r="CE253" i="15"/>
  <c r="CE252" i="15"/>
  <c r="CE251" i="15"/>
  <c r="CE250" i="15"/>
  <c r="CE249" i="15"/>
  <c r="CE248" i="15"/>
  <c r="CE247" i="15"/>
  <c r="CE246" i="15"/>
  <c r="CE245" i="15"/>
  <c r="CE244" i="15"/>
  <c r="CE243" i="15"/>
  <c r="CE242" i="15"/>
  <c r="CE241" i="15"/>
  <c r="CE240" i="15"/>
  <c r="CE239" i="15"/>
  <c r="CE238" i="15"/>
  <c r="CE237" i="15"/>
  <c r="CE236" i="15"/>
  <c r="CE235" i="15"/>
  <c r="CE234" i="15"/>
  <c r="CE233" i="15"/>
  <c r="CE232" i="15"/>
  <c r="CE231" i="15"/>
  <c r="CE230" i="15"/>
  <c r="CE229" i="15"/>
  <c r="CE228" i="15"/>
  <c r="CE227" i="15"/>
  <c r="CE226" i="15"/>
  <c r="CE225" i="15"/>
  <c r="CE224" i="15"/>
  <c r="CE223" i="15"/>
  <c r="CE222" i="15"/>
  <c r="CE221" i="15"/>
  <c r="CE220" i="15"/>
  <c r="CE219" i="15"/>
  <c r="CE218" i="15"/>
  <c r="CE217" i="15"/>
  <c r="CE216" i="15"/>
  <c r="CE215" i="15"/>
  <c r="CE214" i="15"/>
  <c r="CE213" i="15"/>
  <c r="CE212" i="15"/>
  <c r="CE211" i="15"/>
  <c r="CE210" i="15"/>
  <c r="CE209" i="15"/>
  <c r="CE208" i="15"/>
  <c r="CE207" i="15"/>
  <c r="CE206" i="15"/>
  <c r="CE205" i="15"/>
  <c r="CE204" i="15"/>
  <c r="CE203" i="15"/>
  <c r="CE202" i="15"/>
  <c r="CE201" i="15"/>
  <c r="CE200" i="15"/>
  <c r="CE199" i="15"/>
  <c r="CE198" i="15"/>
  <c r="CE197" i="15"/>
  <c r="CE196" i="15"/>
  <c r="CE195" i="15"/>
  <c r="CE194" i="15"/>
  <c r="CE193" i="15"/>
  <c r="CE192" i="15"/>
  <c r="CE191" i="15"/>
  <c r="CE190" i="15"/>
  <c r="CE189" i="15"/>
  <c r="CE188" i="15"/>
  <c r="CE187" i="15"/>
  <c r="CE186" i="15"/>
  <c r="CE185" i="15"/>
  <c r="CE184" i="15"/>
  <c r="CE183" i="15"/>
  <c r="CE182" i="15"/>
  <c r="CE181" i="15"/>
  <c r="CE180" i="15"/>
  <c r="CE179" i="15"/>
  <c r="CE178" i="15"/>
  <c r="CE177" i="15"/>
  <c r="CE176" i="15"/>
  <c r="CE175" i="15"/>
  <c r="CE174" i="15"/>
  <c r="CE173" i="15"/>
  <c r="CE172" i="15"/>
  <c r="CE171" i="15"/>
  <c r="CE170" i="15"/>
  <c r="CE169" i="15"/>
  <c r="CE168" i="15"/>
  <c r="CE167" i="15"/>
  <c r="CE166" i="15"/>
  <c r="CE165" i="15"/>
  <c r="CE164" i="15"/>
  <c r="CE163" i="15"/>
  <c r="CE162" i="15"/>
  <c r="CE161" i="15"/>
  <c r="CE160" i="15"/>
  <c r="CE159" i="15"/>
  <c r="CE158" i="15"/>
  <c r="CE157" i="15"/>
  <c r="CE156" i="15"/>
  <c r="CE155" i="15"/>
  <c r="CE154" i="15"/>
  <c r="CE153" i="15"/>
  <c r="CE152" i="15"/>
  <c r="CE151" i="15"/>
  <c r="CE150" i="15"/>
  <c r="CE149" i="15"/>
  <c r="CE148" i="15"/>
  <c r="CE147" i="15"/>
  <c r="CE146" i="15"/>
  <c r="CE145" i="15"/>
  <c r="CE144" i="15"/>
  <c r="CE143" i="15"/>
  <c r="CE142" i="15"/>
  <c r="CE141" i="15"/>
  <c r="CE140" i="15"/>
  <c r="CE139" i="15"/>
  <c r="CE138" i="15"/>
  <c r="CE137" i="15"/>
  <c r="CE136" i="15"/>
  <c r="CE135" i="15"/>
  <c r="CE134" i="15"/>
  <c r="CE133" i="15"/>
  <c r="CE132" i="15"/>
  <c r="CE131" i="15"/>
  <c r="CE130" i="15"/>
  <c r="CE129" i="15"/>
  <c r="CE128" i="15"/>
  <c r="CE127" i="15"/>
  <c r="CE126" i="15"/>
  <c r="CE125" i="15"/>
  <c r="CE124" i="15"/>
  <c r="CE123" i="15"/>
  <c r="CE122" i="15"/>
  <c r="CE121" i="15"/>
  <c r="CE120" i="15"/>
  <c r="CE119" i="15"/>
  <c r="CE118" i="15"/>
  <c r="CE117" i="15"/>
  <c r="CE116" i="15"/>
  <c r="CE115" i="15"/>
  <c r="CE114" i="15"/>
  <c r="CE113" i="15"/>
  <c r="CE112" i="15"/>
  <c r="CE111" i="15"/>
  <c r="CE110" i="15"/>
  <c r="CE109" i="15"/>
  <c r="CE108" i="15"/>
  <c r="CE107" i="15"/>
  <c r="CE106" i="15"/>
  <c r="CE105" i="15"/>
  <c r="CE104" i="15"/>
  <c r="CE103" i="15"/>
  <c r="CE102" i="15"/>
  <c r="CE101" i="15"/>
  <c r="CE100" i="15"/>
  <c r="CE99" i="15"/>
  <c r="CE98" i="15"/>
  <c r="CE97" i="15"/>
  <c r="CE96" i="15"/>
  <c r="CE95" i="15"/>
  <c r="CE94" i="15"/>
  <c r="CE93" i="15"/>
  <c r="CE92" i="15"/>
  <c r="CE91" i="15"/>
  <c r="CE90" i="15"/>
  <c r="CE89" i="15"/>
  <c r="CE88" i="15"/>
  <c r="CE87" i="15"/>
  <c r="CE86" i="15"/>
  <c r="CE85" i="15"/>
  <c r="CE84" i="15"/>
  <c r="CE83" i="15"/>
  <c r="CE82" i="15"/>
  <c r="CE81" i="15"/>
  <c r="CE80" i="15"/>
  <c r="CE79" i="15"/>
  <c r="CE78" i="15"/>
  <c r="CE77" i="15"/>
  <c r="CE76" i="15"/>
  <c r="CE75" i="15"/>
  <c r="CE74" i="15"/>
  <c r="CE73" i="15"/>
  <c r="CE72" i="15"/>
  <c r="CE71" i="15"/>
  <c r="CE70" i="15"/>
  <c r="CE69" i="15"/>
  <c r="CE68" i="15"/>
  <c r="CE67" i="15"/>
  <c r="CE66" i="15"/>
  <c r="CE65" i="15"/>
  <c r="CE64" i="15"/>
  <c r="CE63" i="15"/>
  <c r="CE62" i="15"/>
  <c r="CE61" i="15"/>
  <c r="CE60" i="15"/>
  <c r="CE59" i="15"/>
  <c r="CE58" i="15"/>
  <c r="CE57" i="15"/>
  <c r="CE56" i="15"/>
  <c r="CE55" i="15"/>
  <c r="CE54" i="15"/>
  <c r="CE53" i="15"/>
  <c r="CE52" i="15"/>
  <c r="CE51" i="15"/>
  <c r="CE50" i="15"/>
  <c r="CE49" i="15"/>
  <c r="CE48" i="15"/>
  <c r="CE47" i="15"/>
  <c r="CE46" i="15"/>
  <c r="CE45" i="15"/>
  <c r="CE44" i="15"/>
  <c r="CE43" i="15"/>
  <c r="CE42" i="15"/>
  <c r="CE41" i="15"/>
  <c r="CE40" i="15"/>
  <c r="CE39" i="15"/>
  <c r="CE38" i="15"/>
  <c r="CE37" i="15"/>
  <c r="CE36" i="15"/>
  <c r="CE35" i="15"/>
  <c r="CE34" i="15"/>
  <c r="CE33" i="15"/>
  <c r="CE32" i="15"/>
  <c r="CE31" i="15"/>
  <c r="CE30" i="15"/>
  <c r="CE29" i="15"/>
  <c r="CE28" i="15"/>
  <c r="B52" i="3"/>
  <c r="B48" i="3"/>
  <c r="B54" i="3"/>
  <c r="B56" i="3" s="1"/>
  <c r="C2" i="7"/>
  <c r="B30" i="16"/>
  <c r="C34" i="3" s="1"/>
  <c r="C7" i="7"/>
  <c r="C13" i="7" s="1"/>
  <c r="G3" i="15" s="1"/>
  <c r="G4" i="15" s="1"/>
  <c r="G6" i="15" s="1"/>
  <c r="G8" i="15" s="1"/>
  <c r="G10" i="15" s="1"/>
  <c r="G12" i="15" s="1"/>
  <c r="G14" i="15" s="1"/>
  <c r="G16" i="15" s="1"/>
  <c r="G18" i="15" s="1"/>
  <c r="G20" i="15" s="1"/>
  <c r="G22" i="15" s="1"/>
  <c r="G23" i="15" s="1"/>
  <c r="B43" i="3"/>
  <c r="B38" i="3"/>
  <c r="E38" i="3"/>
  <c r="F38" i="3" s="1"/>
  <c r="C3" i="5"/>
  <c r="B42" i="3"/>
  <c r="D38" i="3"/>
  <c r="C38" i="3"/>
  <c r="F2" i="5"/>
  <c r="B39" i="3"/>
  <c r="H38" i="3"/>
  <c r="G38" i="3"/>
  <c r="E39" i="3"/>
  <c r="F39" i="3"/>
  <c r="H3" i="5" s="1"/>
  <c r="H13" i="5" s="1"/>
  <c r="D39" i="3"/>
  <c r="C39" i="3"/>
  <c r="K2" i="5"/>
  <c r="E5" i="5"/>
  <c r="D6" i="5"/>
  <c r="C7" i="5"/>
  <c r="E7" i="5"/>
  <c r="H7" i="5"/>
  <c r="E9" i="5"/>
  <c r="D10" i="5"/>
  <c r="C11" i="5"/>
  <c r="C23" i="5" s="1"/>
  <c r="E11" i="5"/>
  <c r="H11" i="5"/>
  <c r="H23" i="5" s="1"/>
  <c r="D12" i="5"/>
  <c r="E12" i="5"/>
  <c r="C13" i="5"/>
  <c r="E13" i="5"/>
  <c r="D14" i="5"/>
  <c r="E14" i="5"/>
  <c r="C15" i="5"/>
  <c r="E15" i="5"/>
  <c r="D16" i="5"/>
  <c r="E16" i="5"/>
  <c r="C17" i="5"/>
  <c r="E17" i="5"/>
  <c r="D18" i="5"/>
  <c r="E18" i="5"/>
  <c r="C19" i="5"/>
  <c r="E19" i="5"/>
  <c r="H19" i="5"/>
  <c r="D20" i="5"/>
  <c r="E20" i="5"/>
  <c r="D21" i="5"/>
  <c r="E21" i="5"/>
  <c r="D22" i="5"/>
  <c r="E22" i="5"/>
  <c r="D23" i="5"/>
  <c r="E23" i="5"/>
  <c r="D24" i="5"/>
  <c r="E24" i="5"/>
  <c r="C25" i="5"/>
  <c r="D25" i="5"/>
  <c r="E25" i="5"/>
  <c r="F25" i="5"/>
  <c r="D26" i="5"/>
  <c r="E26" i="5"/>
  <c r="C27" i="5"/>
  <c r="D27" i="5"/>
  <c r="E27" i="5"/>
  <c r="F27" i="5"/>
  <c r="D28" i="5"/>
  <c r="E28" i="5"/>
  <c r="C29" i="5"/>
  <c r="D29" i="5"/>
  <c r="E29" i="5"/>
  <c r="F29" i="5"/>
  <c r="D30" i="5"/>
  <c r="E30" i="5"/>
  <c r="C31" i="5"/>
  <c r="D31" i="5"/>
  <c r="E31" i="5"/>
  <c r="F31" i="5"/>
  <c r="H31" i="5"/>
  <c r="D32" i="5"/>
  <c r="E32" i="5"/>
  <c r="D33" i="5"/>
  <c r="E33" i="5"/>
  <c r="D34" i="5"/>
  <c r="E34" i="5"/>
  <c r="D35" i="5"/>
  <c r="E35" i="5"/>
  <c r="D36" i="5"/>
  <c r="E36" i="5"/>
  <c r="C37" i="5"/>
  <c r="D37" i="5"/>
  <c r="E37" i="5"/>
  <c r="F37" i="5"/>
  <c r="D38" i="5"/>
  <c r="E38" i="5"/>
  <c r="C39" i="5"/>
  <c r="D39" i="5"/>
  <c r="E39" i="5"/>
  <c r="F39" i="5"/>
  <c r="D40" i="5"/>
  <c r="E40" i="5"/>
  <c r="C41" i="5"/>
  <c r="D41" i="5"/>
  <c r="E41" i="5"/>
  <c r="F41" i="5"/>
  <c r="D42" i="5"/>
  <c r="E42" i="5"/>
  <c r="C43" i="5"/>
  <c r="D43" i="5"/>
  <c r="E43" i="5"/>
  <c r="F43" i="5"/>
  <c r="H43" i="5"/>
  <c r="D44" i="5"/>
  <c r="E44" i="5"/>
  <c r="D45" i="5"/>
  <c r="E45" i="5"/>
  <c r="D46" i="5"/>
  <c r="E46" i="5"/>
  <c r="D47" i="5"/>
  <c r="E47" i="5"/>
  <c r="D48" i="5"/>
  <c r="E48" i="5"/>
  <c r="C49" i="5"/>
  <c r="F49" i="5" s="1"/>
  <c r="D49" i="5"/>
  <c r="E49" i="5"/>
  <c r="D50" i="5"/>
  <c r="E50" i="5"/>
  <c r="C51" i="5"/>
  <c r="F51" i="5" s="1"/>
  <c r="D51" i="5"/>
  <c r="E51" i="5"/>
  <c r="D52" i="5"/>
  <c r="E52" i="5"/>
  <c r="C53" i="5"/>
  <c r="F53" i="5" s="1"/>
  <c r="D53" i="5"/>
  <c r="E53" i="5"/>
  <c r="D54" i="5"/>
  <c r="E54" i="5"/>
  <c r="C55" i="5"/>
  <c r="F55" i="5" s="1"/>
  <c r="D55" i="5"/>
  <c r="E55" i="5"/>
  <c r="H55" i="5"/>
  <c r="D56" i="5"/>
  <c r="E56" i="5"/>
  <c r="D57" i="5"/>
  <c r="E57" i="5"/>
  <c r="D58" i="5"/>
  <c r="E58" i="5"/>
  <c r="D59" i="5"/>
  <c r="E59" i="5"/>
  <c r="D60" i="5"/>
  <c r="E60" i="5"/>
  <c r="C61" i="5"/>
  <c r="F61" i="5" s="1"/>
  <c r="D61" i="5"/>
  <c r="E61" i="5"/>
  <c r="D62" i="5"/>
  <c r="E62" i="5"/>
  <c r="C63" i="5"/>
  <c r="F63" i="5" s="1"/>
  <c r="D63" i="5"/>
  <c r="E63" i="5"/>
  <c r="D64" i="5"/>
  <c r="E64" i="5"/>
  <c r="C65" i="5"/>
  <c r="F65" i="5" s="1"/>
  <c r="D65" i="5"/>
  <c r="E65" i="5"/>
  <c r="D66" i="5"/>
  <c r="E66" i="5"/>
  <c r="C67" i="5"/>
  <c r="F67" i="5" s="1"/>
  <c r="D67" i="5"/>
  <c r="E67" i="5"/>
  <c r="H67" i="5"/>
  <c r="D68" i="5"/>
  <c r="E68" i="5"/>
  <c r="D69" i="5"/>
  <c r="E69" i="5"/>
  <c r="D70" i="5"/>
  <c r="E70" i="5"/>
  <c r="D71" i="5"/>
  <c r="E71" i="5"/>
  <c r="D72" i="5"/>
  <c r="E72" i="5"/>
  <c r="C73" i="5"/>
  <c r="D73" i="5"/>
  <c r="E73" i="5"/>
  <c r="D74" i="5"/>
  <c r="E74" i="5"/>
  <c r="C75" i="5"/>
  <c r="D75" i="5"/>
  <c r="E75" i="5"/>
  <c r="D76" i="5"/>
  <c r="E76" i="5"/>
  <c r="C77" i="5"/>
  <c r="D77" i="5"/>
  <c r="E77" i="5"/>
  <c r="D78" i="5"/>
  <c r="E78" i="5"/>
  <c r="C79" i="5"/>
  <c r="D79" i="5"/>
  <c r="E79" i="5"/>
  <c r="H79" i="5"/>
  <c r="D80" i="5"/>
  <c r="E80" i="5"/>
  <c r="D81" i="5"/>
  <c r="E81" i="5"/>
  <c r="D82" i="5"/>
  <c r="E82" i="5"/>
  <c r="D83" i="5"/>
  <c r="E83" i="5"/>
  <c r="D84" i="5"/>
  <c r="E84" i="5"/>
  <c r="C85" i="5"/>
  <c r="D85" i="5"/>
  <c r="E85" i="5"/>
  <c r="D86" i="5"/>
  <c r="E86" i="5"/>
  <c r="C87" i="5"/>
  <c r="C99" i="5" s="1"/>
  <c r="D87" i="5"/>
  <c r="E87" i="5"/>
  <c r="D88" i="5"/>
  <c r="E88" i="5"/>
  <c r="C89" i="5"/>
  <c r="D89" i="5"/>
  <c r="E89" i="5"/>
  <c r="D90" i="5"/>
  <c r="E90" i="5"/>
  <c r="C91" i="5"/>
  <c r="C103" i="5" s="1"/>
  <c r="D91" i="5"/>
  <c r="E91" i="5"/>
  <c r="H91" i="5"/>
  <c r="D92" i="5"/>
  <c r="E92" i="5"/>
  <c r="D93" i="5"/>
  <c r="E93" i="5"/>
  <c r="D94" i="5"/>
  <c r="E94" i="5"/>
  <c r="D95" i="5"/>
  <c r="E95" i="5"/>
  <c r="D96" i="5"/>
  <c r="E96" i="5"/>
  <c r="C97" i="5"/>
  <c r="D97" i="5"/>
  <c r="E97" i="5"/>
  <c r="F97" i="5"/>
  <c r="D98" i="5"/>
  <c r="E98" i="5"/>
  <c r="D99" i="5"/>
  <c r="E99" i="5"/>
  <c r="D100" i="5"/>
  <c r="E100" i="5"/>
  <c r="C101" i="5"/>
  <c r="D101" i="5"/>
  <c r="E101" i="5"/>
  <c r="F101" i="5"/>
  <c r="D102" i="5"/>
  <c r="E102" i="5"/>
  <c r="D103" i="5"/>
  <c r="E103" i="5"/>
  <c r="H103" i="5"/>
  <c r="D104" i="5"/>
  <c r="E104" i="5"/>
  <c r="D105" i="5"/>
  <c r="E105" i="5"/>
  <c r="D106" i="5"/>
  <c r="E106" i="5"/>
  <c r="D107" i="5"/>
  <c r="E107" i="5"/>
  <c r="D108" i="5"/>
  <c r="E108" i="5"/>
  <c r="C109" i="5"/>
  <c r="D109" i="5"/>
  <c r="E109" i="5"/>
  <c r="F109" i="5"/>
  <c r="D110" i="5"/>
  <c r="E110" i="5"/>
  <c r="D111" i="5"/>
  <c r="E111" i="5"/>
  <c r="D112" i="5"/>
  <c r="E112" i="5"/>
  <c r="C113" i="5"/>
  <c r="D113" i="5"/>
  <c r="E113" i="5"/>
  <c r="F113" i="5"/>
  <c r="D114" i="5"/>
  <c r="E114" i="5"/>
  <c r="D115" i="5"/>
  <c r="E115" i="5"/>
  <c r="H115" i="5"/>
  <c r="D116" i="5"/>
  <c r="E116" i="5"/>
  <c r="D117" i="5"/>
  <c r="E117" i="5"/>
  <c r="D118" i="5"/>
  <c r="E118" i="5"/>
  <c r="D119" i="5"/>
  <c r="E119" i="5"/>
  <c r="D120" i="5"/>
  <c r="E120" i="5"/>
  <c r="C121" i="5"/>
  <c r="D121" i="5"/>
  <c r="E121" i="5"/>
  <c r="F121" i="5"/>
  <c r="D122" i="5"/>
  <c r="E122" i="5"/>
  <c r="D123" i="5"/>
  <c r="E123" i="5"/>
  <c r="D124" i="5"/>
  <c r="E124" i="5"/>
  <c r="C125" i="5"/>
  <c r="D125" i="5"/>
  <c r="E125" i="5"/>
  <c r="F125" i="5"/>
  <c r="D126" i="5"/>
  <c r="E126" i="5"/>
  <c r="D127" i="5"/>
  <c r="E127" i="5"/>
  <c r="H127" i="5"/>
  <c r="D128" i="5"/>
  <c r="E128" i="5"/>
  <c r="D129" i="5"/>
  <c r="E129" i="5"/>
  <c r="D130" i="5"/>
  <c r="E130" i="5"/>
  <c r="D131" i="5"/>
  <c r="E131" i="5"/>
  <c r="D132" i="5"/>
  <c r="E132" i="5"/>
  <c r="C133" i="5"/>
  <c r="D133" i="5"/>
  <c r="E133" i="5"/>
  <c r="F133" i="5"/>
  <c r="D134" i="5"/>
  <c r="E134" i="5"/>
  <c r="D135" i="5"/>
  <c r="E135" i="5"/>
  <c r="D136" i="5"/>
  <c r="E136" i="5"/>
  <c r="C137" i="5"/>
  <c r="D137" i="5"/>
  <c r="E137" i="5"/>
  <c r="F137" i="5"/>
  <c r="D138" i="5"/>
  <c r="E138" i="5"/>
  <c r="D139" i="5"/>
  <c r="E139" i="5"/>
  <c r="H139" i="5"/>
  <c r="D140" i="5"/>
  <c r="E140" i="5"/>
  <c r="D141" i="5"/>
  <c r="E141" i="5"/>
  <c r="D142" i="5"/>
  <c r="E142" i="5"/>
  <c r="D143" i="5"/>
  <c r="E143" i="5"/>
  <c r="D144" i="5"/>
  <c r="E144" i="5"/>
  <c r="C145" i="5"/>
  <c r="D145" i="5"/>
  <c r="E145" i="5"/>
  <c r="F145" i="5"/>
  <c r="D146" i="5"/>
  <c r="E146" i="5"/>
  <c r="D147" i="5"/>
  <c r="E147" i="5"/>
  <c r="D148" i="5"/>
  <c r="E148" i="5"/>
  <c r="C149" i="5"/>
  <c r="F149" i="5" s="1"/>
  <c r="D149" i="5"/>
  <c r="E149" i="5"/>
  <c r="D150" i="5"/>
  <c r="E150" i="5"/>
  <c r="D151" i="5"/>
  <c r="E151" i="5"/>
  <c r="H151" i="5"/>
  <c r="D152" i="5"/>
  <c r="E152" i="5"/>
  <c r="D153" i="5"/>
  <c r="E153" i="5"/>
  <c r="D154" i="5"/>
  <c r="E154" i="5"/>
  <c r="D155" i="5"/>
  <c r="E155" i="5"/>
  <c r="D156" i="5"/>
  <c r="E156" i="5"/>
  <c r="C157" i="5"/>
  <c r="F157" i="5" s="1"/>
  <c r="D157" i="5"/>
  <c r="E157" i="5"/>
  <c r="D158" i="5"/>
  <c r="E158" i="5"/>
  <c r="D159" i="5"/>
  <c r="E159" i="5"/>
  <c r="D160" i="5"/>
  <c r="E160" i="5"/>
  <c r="C161" i="5"/>
  <c r="F161" i="5" s="1"/>
  <c r="D161" i="5"/>
  <c r="E161" i="5"/>
  <c r="D162" i="5"/>
  <c r="E162" i="5"/>
  <c r="D163" i="5"/>
  <c r="E163" i="5"/>
  <c r="H163" i="5"/>
  <c r="D164" i="5"/>
  <c r="E164" i="5"/>
  <c r="D165" i="5"/>
  <c r="E165" i="5"/>
  <c r="D166" i="5"/>
  <c r="E166" i="5"/>
  <c r="D167" i="5"/>
  <c r="E167" i="5"/>
  <c r="D168" i="5"/>
  <c r="E168" i="5"/>
  <c r="C169" i="5"/>
  <c r="F169" i="5" s="1"/>
  <c r="D169" i="5"/>
  <c r="E169" i="5"/>
  <c r="D170" i="5"/>
  <c r="E170" i="5"/>
  <c r="D171" i="5"/>
  <c r="E171" i="5"/>
  <c r="D172" i="5"/>
  <c r="E172" i="5"/>
  <c r="C173" i="5"/>
  <c r="F173" i="5" s="1"/>
  <c r="D173" i="5"/>
  <c r="E173" i="5"/>
  <c r="D174" i="5"/>
  <c r="E174" i="5"/>
  <c r="D175" i="5"/>
  <c r="E175" i="5"/>
  <c r="H175" i="5"/>
  <c r="D176" i="5"/>
  <c r="E176" i="5"/>
  <c r="D177" i="5"/>
  <c r="E177" i="5"/>
  <c r="D178" i="5"/>
  <c r="E178" i="5"/>
  <c r="D179" i="5"/>
  <c r="E179" i="5"/>
  <c r="D180" i="5"/>
  <c r="E180" i="5"/>
  <c r="C181" i="5"/>
  <c r="F181" i="5" s="1"/>
  <c r="D181" i="5"/>
  <c r="E181" i="5"/>
  <c r="D182" i="5"/>
  <c r="E182" i="5"/>
  <c r="D183" i="5"/>
  <c r="E183" i="5"/>
  <c r="D184" i="5"/>
  <c r="E184" i="5"/>
  <c r="C185" i="5"/>
  <c r="F185" i="5" s="1"/>
  <c r="D185" i="5"/>
  <c r="E185" i="5"/>
  <c r="D186" i="5"/>
  <c r="E186" i="5"/>
  <c r="D187" i="5"/>
  <c r="E187" i="5"/>
  <c r="H187" i="5"/>
  <c r="D188" i="5"/>
  <c r="E188" i="5"/>
  <c r="D189" i="5"/>
  <c r="E189" i="5"/>
  <c r="D190" i="5"/>
  <c r="E190" i="5"/>
  <c r="D191" i="5"/>
  <c r="E191" i="5"/>
  <c r="D192" i="5"/>
  <c r="E192" i="5"/>
  <c r="C193" i="5"/>
  <c r="F193" i="5" s="1"/>
  <c r="D193" i="5"/>
  <c r="E193" i="5"/>
  <c r="D194" i="5"/>
  <c r="E194" i="5"/>
  <c r="D195" i="5"/>
  <c r="E195" i="5"/>
  <c r="D196" i="5"/>
  <c r="E196" i="5"/>
  <c r="C197" i="5"/>
  <c r="F197" i="5" s="1"/>
  <c r="D197" i="5"/>
  <c r="E197" i="5"/>
  <c r="D198" i="5"/>
  <c r="E198" i="5"/>
  <c r="D199" i="5"/>
  <c r="E199" i="5"/>
  <c r="H199" i="5"/>
  <c r="D200" i="5"/>
  <c r="E200" i="5"/>
  <c r="D201" i="5"/>
  <c r="E201" i="5"/>
  <c r="D202" i="5"/>
  <c r="E202" i="5"/>
  <c r="D203" i="5"/>
  <c r="E203" i="5"/>
  <c r="D204" i="5"/>
  <c r="E204" i="5"/>
  <c r="C205" i="5"/>
  <c r="D205" i="5"/>
  <c r="E205" i="5"/>
  <c r="D206" i="5"/>
  <c r="E206" i="5"/>
  <c r="D207" i="5"/>
  <c r="E207" i="5"/>
  <c r="D208" i="5"/>
  <c r="E208" i="5"/>
  <c r="C209" i="5"/>
  <c r="D209" i="5"/>
  <c r="E209" i="5"/>
  <c r="D210" i="5"/>
  <c r="E210" i="5"/>
  <c r="D211" i="5"/>
  <c r="E211" i="5"/>
  <c r="H211" i="5"/>
  <c r="D212" i="5"/>
  <c r="E212" i="5"/>
  <c r="D213" i="5"/>
  <c r="E213" i="5"/>
  <c r="D214" i="5"/>
  <c r="E214" i="5"/>
  <c r="D215" i="5"/>
  <c r="E215" i="5"/>
  <c r="D216" i="5"/>
  <c r="E216" i="5"/>
  <c r="C217" i="5"/>
  <c r="D217" i="5"/>
  <c r="E217" i="5"/>
  <c r="D218" i="5"/>
  <c r="E218" i="5"/>
  <c r="D219" i="5"/>
  <c r="E219" i="5"/>
  <c r="D220" i="5"/>
  <c r="E220" i="5"/>
  <c r="C221" i="5"/>
  <c r="D221" i="5"/>
  <c r="E221" i="5"/>
  <c r="D222" i="5"/>
  <c r="E222" i="5"/>
  <c r="D223" i="5"/>
  <c r="E223" i="5"/>
  <c r="H223" i="5"/>
  <c r="D224" i="5"/>
  <c r="E224" i="5"/>
  <c r="D225" i="5"/>
  <c r="E225" i="5"/>
  <c r="D226" i="5"/>
  <c r="E226" i="5"/>
  <c r="D227" i="5"/>
  <c r="E227" i="5"/>
  <c r="D228" i="5"/>
  <c r="E228" i="5"/>
  <c r="C229" i="5"/>
  <c r="F229" i="5" s="1"/>
  <c r="D229" i="5"/>
  <c r="E229" i="5"/>
  <c r="D230" i="5"/>
  <c r="E230" i="5"/>
  <c r="D231" i="5"/>
  <c r="E231" i="5"/>
  <c r="D232" i="5"/>
  <c r="E232" i="5"/>
  <c r="C233" i="5"/>
  <c r="F233" i="5" s="1"/>
  <c r="D233" i="5"/>
  <c r="E233" i="5"/>
  <c r="D234" i="5"/>
  <c r="E234" i="5"/>
  <c r="D235" i="5"/>
  <c r="E235" i="5"/>
  <c r="H235" i="5"/>
  <c r="D236" i="5"/>
  <c r="E236" i="5"/>
  <c r="D237" i="5"/>
  <c r="E237" i="5"/>
  <c r="D238" i="5"/>
  <c r="E238" i="5"/>
  <c r="D239" i="5"/>
  <c r="E239" i="5"/>
  <c r="D240" i="5"/>
  <c r="E240" i="5"/>
  <c r="C241" i="5"/>
  <c r="F241" i="5" s="1"/>
  <c r="D241" i="5"/>
  <c r="E241" i="5"/>
  <c r="D242" i="5"/>
  <c r="E242" i="5"/>
  <c r="D243" i="5"/>
  <c r="E243" i="5"/>
  <c r="D244" i="5"/>
  <c r="E244" i="5"/>
  <c r="C245" i="5"/>
  <c r="F245" i="5" s="1"/>
  <c r="D245" i="5"/>
  <c r="E245" i="5"/>
  <c r="D246" i="5"/>
  <c r="E246" i="5"/>
  <c r="D247" i="5"/>
  <c r="E247" i="5"/>
  <c r="H247" i="5"/>
  <c r="D248" i="5"/>
  <c r="E248" i="5"/>
  <c r="D249" i="5"/>
  <c r="E249" i="5"/>
  <c r="D250" i="5"/>
  <c r="E250" i="5"/>
  <c r="D251" i="5"/>
  <c r="E251" i="5"/>
  <c r="D252" i="5"/>
  <c r="E252" i="5"/>
  <c r="C253" i="5"/>
  <c r="F253" i="5" s="1"/>
  <c r="D253" i="5"/>
  <c r="E253" i="5"/>
  <c r="D254" i="5"/>
  <c r="E254" i="5"/>
  <c r="D255" i="5"/>
  <c r="E255" i="5"/>
  <c r="D256" i="5"/>
  <c r="E256" i="5"/>
  <c r="C257" i="5"/>
  <c r="F257" i="5" s="1"/>
  <c r="D257" i="5"/>
  <c r="E257" i="5"/>
  <c r="D258" i="5"/>
  <c r="E258" i="5"/>
  <c r="D259" i="5"/>
  <c r="E259" i="5"/>
  <c r="H259" i="5"/>
  <c r="D260" i="5"/>
  <c r="E260" i="5"/>
  <c r="D261" i="5"/>
  <c r="E261" i="5"/>
  <c r="D262" i="5"/>
  <c r="E262" i="5"/>
  <c r="D263" i="5"/>
  <c r="E263" i="5"/>
  <c r="D264" i="5"/>
  <c r="E264" i="5"/>
  <c r="C265" i="5"/>
  <c r="F265" i="5" s="1"/>
  <c r="D265" i="5"/>
  <c r="E265" i="5"/>
  <c r="D266" i="5"/>
  <c r="E266" i="5"/>
  <c r="D267" i="5"/>
  <c r="E267" i="5"/>
  <c r="D268" i="5"/>
  <c r="E268" i="5"/>
  <c r="C269" i="5"/>
  <c r="F269" i="5" s="1"/>
  <c r="D269" i="5"/>
  <c r="E269" i="5"/>
  <c r="D270" i="5"/>
  <c r="E270" i="5"/>
  <c r="D271" i="5"/>
  <c r="E271" i="5"/>
  <c r="H271" i="5"/>
  <c r="D272" i="5"/>
  <c r="E272" i="5"/>
  <c r="D273" i="5"/>
  <c r="E273" i="5"/>
  <c r="D274" i="5"/>
  <c r="E274" i="5"/>
  <c r="D275" i="5"/>
  <c r="E275" i="5"/>
  <c r="D276" i="5"/>
  <c r="E276" i="5"/>
  <c r="C277" i="5"/>
  <c r="F277" i="5" s="1"/>
  <c r="D277" i="5"/>
  <c r="E277" i="5"/>
  <c r="D278" i="5"/>
  <c r="E278" i="5"/>
  <c r="D279" i="5"/>
  <c r="E279" i="5"/>
  <c r="D280" i="5"/>
  <c r="E280" i="5"/>
  <c r="C281" i="5"/>
  <c r="F281" i="5" s="1"/>
  <c r="D281" i="5"/>
  <c r="E281" i="5"/>
  <c r="D282" i="5"/>
  <c r="E282" i="5"/>
  <c r="D283" i="5"/>
  <c r="E283" i="5"/>
  <c r="H283" i="5"/>
  <c r="D284" i="5"/>
  <c r="E284" i="5"/>
  <c r="D285" i="5"/>
  <c r="E285" i="5"/>
  <c r="D286" i="5"/>
  <c r="E286" i="5"/>
  <c r="D287" i="5"/>
  <c r="E287" i="5"/>
  <c r="D288" i="5"/>
  <c r="E288" i="5"/>
  <c r="C289" i="5"/>
  <c r="F289" i="5" s="1"/>
  <c r="D289" i="5"/>
  <c r="E289" i="5"/>
  <c r="D290" i="5"/>
  <c r="E290" i="5"/>
  <c r="D291" i="5"/>
  <c r="E291" i="5"/>
  <c r="D292" i="5"/>
  <c r="E292" i="5"/>
  <c r="C293" i="5"/>
  <c r="F293" i="5" s="1"/>
  <c r="D293" i="5"/>
  <c r="E293" i="5"/>
  <c r="D294" i="5"/>
  <c r="E294" i="5"/>
  <c r="D295" i="5"/>
  <c r="E295" i="5"/>
  <c r="H295" i="5"/>
  <c r="D296" i="5"/>
  <c r="E296" i="5"/>
  <c r="D297" i="5"/>
  <c r="E297" i="5"/>
  <c r="D298" i="5"/>
  <c r="E298" i="5"/>
  <c r="D299" i="5"/>
  <c r="E299" i="5"/>
  <c r="D300" i="5"/>
  <c r="E300" i="5"/>
  <c r="C301" i="5"/>
  <c r="F301" i="5" s="1"/>
  <c r="D301" i="5"/>
  <c r="E301" i="5"/>
  <c r="D302" i="5"/>
  <c r="E302" i="5"/>
  <c r="D303" i="5"/>
  <c r="E303" i="5"/>
  <c r="D304" i="5"/>
  <c r="E304" i="5"/>
  <c r="C305" i="5"/>
  <c r="F305" i="5" s="1"/>
  <c r="D305" i="5"/>
  <c r="E305" i="5"/>
  <c r="D306" i="5"/>
  <c r="E306" i="5"/>
  <c r="D307" i="5"/>
  <c r="E307" i="5"/>
  <c r="H307" i="5"/>
  <c r="D308" i="5"/>
  <c r="E308" i="5"/>
  <c r="D309" i="5"/>
  <c r="E309" i="5"/>
  <c r="D310" i="5"/>
  <c r="E310" i="5"/>
  <c r="D311" i="5"/>
  <c r="E311" i="5"/>
  <c r="D312" i="5"/>
  <c r="E312" i="5"/>
  <c r="C313" i="5"/>
  <c r="D313" i="5"/>
  <c r="E313" i="5"/>
  <c r="D314" i="5"/>
  <c r="E314" i="5"/>
  <c r="D315" i="5"/>
  <c r="E315" i="5"/>
  <c r="D316" i="5"/>
  <c r="E316" i="5"/>
  <c r="C317" i="5"/>
  <c r="D317" i="5"/>
  <c r="E317" i="5"/>
  <c r="D318" i="5"/>
  <c r="E318" i="5"/>
  <c r="D319" i="5"/>
  <c r="E319" i="5"/>
  <c r="H319" i="5"/>
  <c r="D320" i="5"/>
  <c r="E320" i="5"/>
  <c r="D321" i="5"/>
  <c r="E321" i="5"/>
  <c r="D322" i="5"/>
  <c r="E322" i="5"/>
  <c r="D323" i="5"/>
  <c r="E323" i="5"/>
  <c r="D324" i="5"/>
  <c r="E324" i="5"/>
  <c r="C325" i="5"/>
  <c r="D325" i="5"/>
  <c r="E325" i="5"/>
  <c r="D326" i="5"/>
  <c r="E326" i="5"/>
  <c r="D327" i="5"/>
  <c r="E327" i="5"/>
  <c r="D328" i="5"/>
  <c r="E328" i="5"/>
  <c r="C329" i="5"/>
  <c r="D329" i="5"/>
  <c r="E329" i="5"/>
  <c r="D330" i="5"/>
  <c r="E330" i="5"/>
  <c r="D331" i="5"/>
  <c r="E331" i="5"/>
  <c r="H331" i="5"/>
  <c r="D332" i="5"/>
  <c r="E332" i="5"/>
  <c r="D333" i="5"/>
  <c r="E333" i="5"/>
  <c r="D334" i="5"/>
  <c r="E334" i="5"/>
  <c r="D335" i="5"/>
  <c r="E335" i="5"/>
  <c r="D336" i="5"/>
  <c r="E336" i="5"/>
  <c r="C337" i="5"/>
  <c r="D337" i="5"/>
  <c r="E337" i="5"/>
  <c r="D338" i="5"/>
  <c r="E338" i="5"/>
  <c r="D339" i="5"/>
  <c r="E339" i="5"/>
  <c r="D340" i="5"/>
  <c r="E340" i="5"/>
  <c r="C341" i="5"/>
  <c r="F341" i="5" s="1"/>
  <c r="D341" i="5"/>
  <c r="E341" i="5"/>
  <c r="D342" i="5"/>
  <c r="E342" i="5"/>
  <c r="D343" i="5"/>
  <c r="E343" i="5"/>
  <c r="H343" i="5"/>
  <c r="D344" i="5"/>
  <c r="E344" i="5"/>
  <c r="D345" i="5"/>
  <c r="E345" i="5"/>
  <c r="D346" i="5"/>
  <c r="E346" i="5"/>
  <c r="D347" i="5"/>
  <c r="E347" i="5"/>
  <c r="D348" i="5"/>
  <c r="E348" i="5"/>
  <c r="C349" i="5"/>
  <c r="F349" i="5" s="1"/>
  <c r="D349" i="5"/>
  <c r="E349" i="5"/>
  <c r="D350" i="5"/>
  <c r="E350" i="5"/>
  <c r="D351" i="5"/>
  <c r="E351" i="5"/>
  <c r="D352" i="5"/>
  <c r="E352" i="5"/>
  <c r="C353" i="5"/>
  <c r="F353" i="5" s="1"/>
  <c r="D353" i="5"/>
  <c r="E353" i="5"/>
  <c r="D354" i="5"/>
  <c r="E354" i="5"/>
  <c r="D355" i="5"/>
  <c r="E355" i="5"/>
  <c r="H355" i="5"/>
  <c r="D356" i="5"/>
  <c r="E356" i="5"/>
  <c r="D357" i="5"/>
  <c r="E357" i="5"/>
  <c r="D358" i="5"/>
  <c r="E358" i="5"/>
  <c r="D359" i="5"/>
  <c r="E359" i="5"/>
  <c r="D360" i="5"/>
  <c r="E360" i="5"/>
  <c r="C361" i="5"/>
  <c r="F361" i="5" s="1"/>
  <c r="D361" i="5"/>
  <c r="E361" i="5"/>
  <c r="D362" i="5"/>
  <c r="E362" i="5"/>
  <c r="D363" i="5"/>
  <c r="E363" i="5"/>
  <c r="D364" i="5"/>
  <c r="E364" i="5"/>
  <c r="C365" i="5"/>
  <c r="F365" i="5" s="1"/>
  <c r="D365" i="5"/>
  <c r="E365" i="5"/>
  <c r="D366" i="5"/>
  <c r="E366" i="5"/>
  <c r="D367" i="5"/>
  <c r="E367" i="5"/>
  <c r="H367" i="5"/>
  <c r="D368" i="5"/>
  <c r="E368" i="5"/>
  <c r="D369" i="5"/>
  <c r="E369" i="5"/>
  <c r="D370" i="5"/>
  <c r="E370" i="5"/>
  <c r="D371" i="5"/>
  <c r="E371" i="5"/>
  <c r="D372" i="5"/>
  <c r="E372" i="5"/>
  <c r="C373" i="5"/>
  <c r="F373" i="5" s="1"/>
  <c r="D373" i="5"/>
  <c r="E373" i="5"/>
  <c r="D374" i="5"/>
  <c r="E374" i="5"/>
  <c r="D375" i="5"/>
  <c r="E375" i="5"/>
  <c r="D376" i="5"/>
  <c r="E376" i="5"/>
  <c r="C377" i="5"/>
  <c r="F377" i="5" s="1"/>
  <c r="D377" i="5"/>
  <c r="E377" i="5"/>
  <c r="D378" i="5"/>
  <c r="E378" i="5"/>
  <c r="D379" i="5"/>
  <c r="E379" i="5"/>
  <c r="H379" i="5"/>
  <c r="D380" i="5"/>
  <c r="E380" i="5"/>
  <c r="D381" i="5"/>
  <c r="E381" i="5"/>
  <c r="D382" i="5"/>
  <c r="E382" i="5"/>
  <c r="D383" i="5"/>
  <c r="E383" i="5"/>
  <c r="D384" i="5"/>
  <c r="E384" i="5"/>
  <c r="C385" i="5"/>
  <c r="F385" i="5" s="1"/>
  <c r="D385" i="5"/>
  <c r="E385" i="5"/>
  <c r="D386" i="5"/>
  <c r="E386" i="5"/>
  <c r="D387" i="5"/>
  <c r="E387" i="5"/>
  <c r="D388" i="5"/>
  <c r="E388" i="5"/>
  <c r="C389" i="5"/>
  <c r="F389" i="5" s="1"/>
  <c r="D389" i="5"/>
  <c r="E389" i="5"/>
  <c r="D390" i="5"/>
  <c r="E390" i="5"/>
  <c r="D391" i="5"/>
  <c r="E391" i="5"/>
  <c r="H391" i="5"/>
  <c r="D392" i="5"/>
  <c r="E392" i="5"/>
  <c r="D393" i="5"/>
  <c r="E393" i="5"/>
  <c r="D394" i="5"/>
  <c r="E394" i="5"/>
  <c r="D395" i="5"/>
  <c r="E395" i="5"/>
  <c r="D396" i="5"/>
  <c r="E396" i="5"/>
  <c r="C397" i="5"/>
  <c r="F397" i="5" s="1"/>
  <c r="D397" i="5"/>
  <c r="E397" i="5"/>
  <c r="D398" i="5"/>
  <c r="E398" i="5"/>
  <c r="D399" i="5"/>
  <c r="E399" i="5"/>
  <c r="D400" i="5"/>
  <c r="E400" i="5"/>
  <c r="C401" i="5"/>
  <c r="F401" i="5" s="1"/>
  <c r="D401" i="5"/>
  <c r="E401" i="5"/>
  <c r="D402" i="5"/>
  <c r="E402" i="5"/>
  <c r="D403" i="5"/>
  <c r="E403" i="5"/>
  <c r="H403" i="5"/>
  <c r="D404" i="5"/>
  <c r="E404" i="5"/>
  <c r="D405" i="5"/>
  <c r="E405" i="5"/>
  <c r="D406" i="5"/>
  <c r="E406" i="5"/>
  <c r="D407" i="5"/>
  <c r="E407" i="5"/>
  <c r="D408" i="5"/>
  <c r="E408" i="5"/>
  <c r="C409" i="5"/>
  <c r="F409" i="5" s="1"/>
  <c r="D409" i="5"/>
  <c r="E409" i="5"/>
  <c r="D410" i="5"/>
  <c r="E410" i="5"/>
  <c r="D411" i="5"/>
  <c r="E411" i="5"/>
  <c r="D412" i="5"/>
  <c r="E412" i="5"/>
  <c r="C413" i="5"/>
  <c r="F413" i="5" s="1"/>
  <c r="D413" i="5"/>
  <c r="E413" i="5"/>
  <c r="D414" i="5"/>
  <c r="E414" i="5"/>
  <c r="D415" i="5"/>
  <c r="E415" i="5"/>
  <c r="H415" i="5"/>
  <c r="D416" i="5"/>
  <c r="E416" i="5"/>
  <c r="D417" i="5"/>
  <c r="E417" i="5"/>
  <c r="D418" i="5"/>
  <c r="E418" i="5"/>
  <c r="D419" i="5"/>
  <c r="E419" i="5"/>
  <c r="D420" i="5"/>
  <c r="E420" i="5"/>
  <c r="C421" i="5"/>
  <c r="F421" i="5" s="1"/>
  <c r="D421" i="5"/>
  <c r="E421" i="5"/>
  <c r="D422" i="5"/>
  <c r="E422" i="5"/>
  <c r="D423" i="5"/>
  <c r="E423" i="5"/>
  <c r="D424" i="5"/>
  <c r="E424" i="5"/>
  <c r="C425" i="5"/>
  <c r="F425" i="5" s="1"/>
  <c r="D425" i="5"/>
  <c r="E425" i="5"/>
  <c r="D426" i="5"/>
  <c r="E426" i="5"/>
  <c r="D427" i="5"/>
  <c r="E427" i="5"/>
  <c r="H427" i="5"/>
  <c r="D428" i="5"/>
  <c r="E428" i="5"/>
  <c r="D429" i="5"/>
  <c r="E429" i="5"/>
  <c r="D430" i="5"/>
  <c r="E430" i="5"/>
  <c r="D431" i="5"/>
  <c r="E431" i="5"/>
  <c r="D432" i="5"/>
  <c r="E432" i="5"/>
  <c r="C433" i="5"/>
  <c r="F433" i="5" s="1"/>
  <c r="D433" i="5"/>
  <c r="E433" i="5"/>
  <c r="D434" i="5"/>
  <c r="E434" i="5"/>
  <c r="D435" i="5"/>
  <c r="E435" i="5"/>
  <c r="D436" i="5"/>
  <c r="E436" i="5"/>
  <c r="C437" i="5"/>
  <c r="F437" i="5" s="1"/>
  <c r="D437" i="5"/>
  <c r="E437" i="5"/>
  <c r="D438" i="5"/>
  <c r="E438" i="5"/>
  <c r="D439" i="5"/>
  <c r="E439" i="5"/>
  <c r="H439" i="5"/>
  <c r="D440" i="5"/>
  <c r="E440" i="5"/>
  <c r="D441" i="5"/>
  <c r="E441" i="5"/>
  <c r="D442" i="5"/>
  <c r="E442" i="5"/>
  <c r="D443" i="5"/>
  <c r="E443" i="5"/>
  <c r="D444" i="5"/>
  <c r="E444" i="5"/>
  <c r="C445" i="5"/>
  <c r="F445" i="5" s="1"/>
  <c r="D445" i="5"/>
  <c r="E445" i="5"/>
  <c r="D446" i="5"/>
  <c r="E446" i="5"/>
  <c r="D447" i="5"/>
  <c r="E447" i="5"/>
  <c r="D448" i="5"/>
  <c r="E448" i="5"/>
  <c r="C449" i="5"/>
  <c r="F449" i="5" s="1"/>
  <c r="D449" i="5"/>
  <c r="E449" i="5"/>
  <c r="D450" i="5"/>
  <c r="E450" i="5"/>
  <c r="D451" i="5"/>
  <c r="E451" i="5"/>
  <c r="H451" i="5"/>
  <c r="D452" i="5"/>
  <c r="E452" i="5"/>
  <c r="D453" i="5"/>
  <c r="E453" i="5"/>
  <c r="D454" i="5"/>
  <c r="E454" i="5"/>
  <c r="D455" i="5"/>
  <c r="E455" i="5"/>
  <c r="D456" i="5"/>
  <c r="E456" i="5"/>
  <c r="C457" i="5"/>
  <c r="D457" i="5"/>
  <c r="E457" i="5"/>
  <c r="D458" i="5"/>
  <c r="E458" i="5"/>
  <c r="D459" i="5"/>
  <c r="E459" i="5"/>
  <c r="D460" i="5"/>
  <c r="E460" i="5"/>
  <c r="C461" i="5"/>
  <c r="D461" i="5"/>
  <c r="E461" i="5"/>
  <c r="D462" i="5"/>
  <c r="E462" i="5"/>
  <c r="D463" i="5"/>
  <c r="E463" i="5"/>
  <c r="H463" i="5"/>
  <c r="D464" i="5"/>
  <c r="E464" i="5"/>
  <c r="D465" i="5"/>
  <c r="E465" i="5"/>
  <c r="D466" i="5"/>
  <c r="E466" i="5"/>
  <c r="D467" i="5"/>
  <c r="E467" i="5"/>
  <c r="D468" i="5"/>
  <c r="E468" i="5"/>
  <c r="C469" i="5"/>
  <c r="D469" i="5"/>
  <c r="E469" i="5"/>
  <c r="D470" i="5"/>
  <c r="E470" i="5"/>
  <c r="D471" i="5"/>
  <c r="E471" i="5"/>
  <c r="D472" i="5"/>
  <c r="E472" i="5"/>
  <c r="C473" i="5"/>
  <c r="D473" i="5"/>
  <c r="E473" i="5"/>
  <c r="D474" i="5"/>
  <c r="E474" i="5"/>
  <c r="D475" i="5"/>
  <c r="E475" i="5"/>
  <c r="H475" i="5"/>
  <c r="D476" i="5"/>
  <c r="E476" i="5"/>
  <c r="D477" i="5"/>
  <c r="E477" i="5"/>
  <c r="D478" i="5"/>
  <c r="E478" i="5"/>
  <c r="D479" i="5"/>
  <c r="E479" i="5"/>
  <c r="D480" i="5"/>
  <c r="E480" i="5"/>
  <c r="C481" i="5"/>
  <c r="F481" i="5" s="1"/>
  <c r="D481" i="5"/>
  <c r="E481" i="5"/>
  <c r="D482" i="5"/>
  <c r="E482" i="5"/>
  <c r="D483" i="5"/>
  <c r="E483" i="5"/>
  <c r="D484" i="5"/>
  <c r="E484" i="5"/>
  <c r="C485" i="5"/>
  <c r="F485" i="5" s="1"/>
  <c r="D485" i="5"/>
  <c r="E485" i="5"/>
  <c r="D486" i="5"/>
  <c r="E486" i="5"/>
  <c r="D487" i="5"/>
  <c r="E487" i="5"/>
  <c r="H487" i="5"/>
  <c r="D488" i="5"/>
  <c r="E488" i="5"/>
  <c r="D489" i="5"/>
  <c r="E489" i="5"/>
  <c r="D490" i="5"/>
  <c r="E490" i="5"/>
  <c r="D491" i="5"/>
  <c r="E491" i="5"/>
  <c r="D492" i="5"/>
  <c r="E492" i="5"/>
  <c r="C493" i="5"/>
  <c r="F493" i="5" s="1"/>
  <c r="D493" i="5"/>
  <c r="E493" i="5"/>
  <c r="D494" i="5"/>
  <c r="E494" i="5"/>
  <c r="D495" i="5"/>
  <c r="E495" i="5"/>
  <c r="D496" i="5"/>
  <c r="E496" i="5"/>
  <c r="C497" i="5"/>
  <c r="F497" i="5" s="1"/>
  <c r="D497" i="5"/>
  <c r="E497" i="5"/>
  <c r="D498" i="5"/>
  <c r="E498" i="5"/>
  <c r="D499" i="5"/>
  <c r="E499" i="5"/>
  <c r="H499" i="5"/>
  <c r="D500" i="5"/>
  <c r="E500" i="5"/>
  <c r="D501" i="5"/>
  <c r="E501" i="5"/>
  <c r="D502" i="5"/>
  <c r="E502" i="5"/>
  <c r="D503" i="5"/>
  <c r="E503" i="5"/>
  <c r="D504" i="5"/>
  <c r="E504" i="5"/>
  <c r="C505" i="5"/>
  <c r="F505" i="5" s="1"/>
  <c r="D505" i="5"/>
  <c r="E505" i="5"/>
  <c r="D506" i="5"/>
  <c r="E506" i="5"/>
  <c r="D507" i="5"/>
  <c r="E507" i="5"/>
  <c r="D508" i="5"/>
  <c r="E508" i="5"/>
  <c r="C509" i="5"/>
  <c r="F509" i="5" s="1"/>
  <c r="D509" i="5"/>
  <c r="E509" i="5"/>
  <c r="D510" i="5"/>
  <c r="E510" i="5"/>
  <c r="D511" i="5"/>
  <c r="E511" i="5"/>
  <c r="H511" i="5"/>
  <c r="D512" i="5"/>
  <c r="E512" i="5"/>
  <c r="D513" i="5"/>
  <c r="E513" i="5"/>
  <c r="D514" i="5"/>
  <c r="E514" i="5"/>
  <c r="D515" i="5"/>
  <c r="E515" i="5"/>
  <c r="D516" i="5"/>
  <c r="E516" i="5"/>
  <c r="C517" i="5"/>
  <c r="F517" i="5" s="1"/>
  <c r="D517" i="5"/>
  <c r="E517" i="5"/>
  <c r="D518" i="5"/>
  <c r="E518" i="5"/>
  <c r="D519" i="5"/>
  <c r="E519" i="5"/>
  <c r="D520" i="5"/>
  <c r="E520" i="5"/>
  <c r="C521" i="5"/>
  <c r="F521" i="5" s="1"/>
  <c r="D521" i="5"/>
  <c r="E521" i="5"/>
  <c r="D522" i="5"/>
  <c r="E522" i="5"/>
  <c r="D523" i="5"/>
  <c r="E523" i="5"/>
  <c r="H523" i="5"/>
  <c r="D524" i="5"/>
  <c r="E524" i="5"/>
  <c r="D525" i="5"/>
  <c r="E525" i="5"/>
  <c r="D526" i="5"/>
  <c r="E526" i="5"/>
  <c r="D527" i="5"/>
  <c r="E527" i="5"/>
  <c r="D528" i="5"/>
  <c r="E528" i="5"/>
  <c r="C529" i="5"/>
  <c r="F529" i="5" s="1"/>
  <c r="D529" i="5"/>
  <c r="E529" i="5"/>
  <c r="D530" i="5"/>
  <c r="E530" i="5"/>
  <c r="D531" i="5"/>
  <c r="E531" i="5"/>
  <c r="D532" i="5"/>
  <c r="E532" i="5"/>
  <c r="C533" i="5"/>
  <c r="F533" i="5" s="1"/>
  <c r="D533" i="5"/>
  <c r="E533" i="5"/>
  <c r="D534" i="5"/>
  <c r="E534" i="5"/>
  <c r="D535" i="5"/>
  <c r="E535" i="5"/>
  <c r="H535" i="5"/>
  <c r="D536" i="5"/>
  <c r="E536" i="5"/>
  <c r="D537" i="5"/>
  <c r="E537" i="5"/>
  <c r="D538" i="5"/>
  <c r="E538" i="5"/>
  <c r="D539" i="5"/>
  <c r="E539" i="5"/>
  <c r="D540" i="5"/>
  <c r="E540" i="5"/>
  <c r="C541" i="5"/>
  <c r="F541" i="5" s="1"/>
  <c r="D541" i="5"/>
  <c r="E541" i="5"/>
  <c r="D542" i="5"/>
  <c r="E542" i="5"/>
  <c r="D543" i="5"/>
  <c r="E543" i="5"/>
  <c r="D544" i="5"/>
  <c r="E544" i="5"/>
  <c r="C545" i="5"/>
  <c r="F545" i="5" s="1"/>
  <c r="D545" i="5"/>
  <c r="E545" i="5"/>
  <c r="D546" i="5"/>
  <c r="E546" i="5"/>
  <c r="D547" i="5"/>
  <c r="E547" i="5"/>
  <c r="H547" i="5"/>
  <c r="D548" i="5"/>
  <c r="E548" i="5"/>
  <c r="D549" i="5"/>
  <c r="E549" i="5"/>
  <c r="D550" i="5"/>
  <c r="E550" i="5"/>
  <c r="D551" i="5"/>
  <c r="E551" i="5"/>
  <c r="D552" i="5"/>
  <c r="E552" i="5"/>
  <c r="C553" i="5"/>
  <c r="F553" i="5" s="1"/>
  <c r="D553" i="5"/>
  <c r="E553" i="5"/>
  <c r="D554" i="5"/>
  <c r="E554" i="5"/>
  <c r="D555" i="5"/>
  <c r="E555" i="5"/>
  <c r="D556" i="5"/>
  <c r="E556" i="5"/>
  <c r="C557" i="5"/>
  <c r="F557" i="5" s="1"/>
  <c r="D557" i="5"/>
  <c r="E557" i="5"/>
  <c r="D558" i="5"/>
  <c r="E558" i="5"/>
  <c r="D559" i="5"/>
  <c r="E559" i="5"/>
  <c r="H559" i="5"/>
  <c r="D560" i="5"/>
  <c r="E560" i="5"/>
  <c r="D561" i="5"/>
  <c r="E561" i="5"/>
  <c r="D562" i="5"/>
  <c r="E562" i="5"/>
  <c r="D563" i="5"/>
  <c r="E563" i="5"/>
  <c r="D564" i="5"/>
  <c r="E564" i="5"/>
  <c r="C565" i="5"/>
  <c r="F565" i="5" s="1"/>
  <c r="D565" i="5"/>
  <c r="E565" i="5"/>
  <c r="D566" i="5"/>
  <c r="E566" i="5"/>
  <c r="D567" i="5"/>
  <c r="E567" i="5"/>
  <c r="D568" i="5"/>
  <c r="E568" i="5"/>
  <c r="C569" i="5"/>
  <c r="F569" i="5" s="1"/>
  <c r="D569" i="5"/>
  <c r="E569" i="5"/>
  <c r="D570" i="5"/>
  <c r="E570" i="5"/>
  <c r="D571" i="5"/>
  <c r="E571" i="5"/>
  <c r="H571" i="5"/>
  <c r="D572" i="5"/>
  <c r="E572" i="5"/>
  <c r="D573" i="5"/>
  <c r="E573" i="5"/>
  <c r="D574" i="5"/>
  <c r="E574" i="5"/>
  <c r="D575" i="5"/>
  <c r="E575" i="5"/>
  <c r="D576" i="5"/>
  <c r="E576" i="5"/>
  <c r="C577" i="5"/>
  <c r="F577" i="5" s="1"/>
  <c r="D577" i="5"/>
  <c r="E577" i="5"/>
  <c r="D578" i="5"/>
  <c r="E578" i="5"/>
  <c r="D579" i="5"/>
  <c r="E579" i="5"/>
  <c r="D580" i="5"/>
  <c r="E580" i="5"/>
  <c r="C581" i="5"/>
  <c r="F581" i="5" s="1"/>
  <c r="D581" i="5"/>
  <c r="E581" i="5"/>
  <c r="D582" i="5"/>
  <c r="E582" i="5"/>
  <c r="D583" i="5"/>
  <c r="E583" i="5"/>
  <c r="H583" i="5"/>
  <c r="D584" i="5"/>
  <c r="E584" i="5"/>
  <c r="D585" i="5"/>
  <c r="E585" i="5"/>
  <c r="D586" i="5"/>
  <c r="E586" i="5"/>
  <c r="D587" i="5"/>
  <c r="E587" i="5"/>
  <c r="D588" i="5"/>
  <c r="E588" i="5"/>
  <c r="C589" i="5"/>
  <c r="F589" i="5" s="1"/>
  <c r="D589" i="5"/>
  <c r="E589" i="5"/>
  <c r="D590" i="5"/>
  <c r="E590" i="5"/>
  <c r="D591" i="5"/>
  <c r="E591" i="5"/>
  <c r="D592" i="5"/>
  <c r="E592" i="5"/>
  <c r="C593" i="5"/>
  <c r="F593" i="5" s="1"/>
  <c r="D593" i="5"/>
  <c r="E593" i="5"/>
  <c r="D594" i="5"/>
  <c r="E594" i="5"/>
  <c r="D595" i="5"/>
  <c r="E595" i="5"/>
  <c r="H595" i="5"/>
  <c r="D596" i="5"/>
  <c r="E596" i="5"/>
  <c r="D597" i="5"/>
  <c r="E597" i="5"/>
  <c r="D598" i="5"/>
  <c r="E598" i="5"/>
  <c r="D599" i="5"/>
  <c r="E599" i="5"/>
  <c r="D600" i="5"/>
  <c r="E600" i="5"/>
  <c r="C601" i="5"/>
  <c r="F601" i="5" s="1"/>
  <c r="D601" i="5"/>
  <c r="E601" i="5"/>
  <c r="D602" i="5"/>
  <c r="E602" i="5"/>
  <c r="D603" i="5"/>
  <c r="E603" i="5"/>
  <c r="D604" i="5"/>
  <c r="E604" i="5"/>
  <c r="C605" i="5"/>
  <c r="F605" i="5" s="1"/>
  <c r="D605" i="5"/>
  <c r="E605" i="5"/>
  <c r="D606" i="5"/>
  <c r="E606" i="5"/>
  <c r="D607" i="5"/>
  <c r="E607" i="5"/>
  <c r="H607" i="5"/>
  <c r="D608" i="5"/>
  <c r="E608" i="5"/>
  <c r="D609" i="5"/>
  <c r="E609" i="5"/>
  <c r="D610" i="5"/>
  <c r="E610" i="5"/>
  <c r="D611" i="5"/>
  <c r="E611" i="5"/>
  <c r="D612" i="5"/>
  <c r="E612" i="5"/>
  <c r="C613" i="5"/>
  <c r="F613" i="5" s="1"/>
  <c r="D613" i="5"/>
  <c r="E613" i="5"/>
  <c r="D614" i="5"/>
  <c r="E614" i="5"/>
  <c r="D615" i="5"/>
  <c r="E615" i="5"/>
  <c r="D616" i="5"/>
  <c r="E616" i="5"/>
  <c r="C617" i="5"/>
  <c r="F617" i="5" s="1"/>
  <c r="D617" i="5"/>
  <c r="E617" i="5"/>
  <c r="D618" i="5"/>
  <c r="E618" i="5"/>
  <c r="D619" i="5"/>
  <c r="E619" i="5"/>
  <c r="H619" i="5"/>
  <c r="D620" i="5"/>
  <c r="E620" i="5"/>
  <c r="D621" i="5"/>
  <c r="E621" i="5"/>
  <c r="D622" i="5"/>
  <c r="E622" i="5"/>
  <c r="D623" i="5"/>
  <c r="E623" i="5"/>
  <c r="D624" i="5"/>
  <c r="E624" i="5"/>
  <c r="C625" i="5"/>
  <c r="F625" i="5" s="1"/>
  <c r="D625" i="5"/>
  <c r="E625" i="5"/>
  <c r="D626" i="5"/>
  <c r="E626" i="5"/>
  <c r="D627" i="5"/>
  <c r="E627" i="5"/>
  <c r="D628" i="5"/>
  <c r="E628" i="5"/>
  <c r="C629" i="5"/>
  <c r="F629" i="5" s="1"/>
  <c r="D629" i="5"/>
  <c r="E629" i="5"/>
  <c r="D630" i="5"/>
  <c r="E630" i="5"/>
  <c r="D631" i="5"/>
  <c r="E631" i="5"/>
  <c r="H631" i="5"/>
  <c r="D632" i="5"/>
  <c r="E632" i="5"/>
  <c r="D633" i="5"/>
  <c r="E633" i="5"/>
  <c r="D634" i="5"/>
  <c r="E634" i="5"/>
  <c r="D635" i="5"/>
  <c r="E635" i="5"/>
  <c r="D636" i="5"/>
  <c r="E636" i="5"/>
  <c r="C637" i="5"/>
  <c r="F637" i="5" s="1"/>
  <c r="D637" i="5"/>
  <c r="E637" i="5"/>
  <c r="D638" i="5"/>
  <c r="E638" i="5"/>
  <c r="D639" i="5"/>
  <c r="E639" i="5"/>
  <c r="D640" i="5"/>
  <c r="E640" i="5"/>
  <c r="C641" i="5"/>
  <c r="F641" i="5" s="1"/>
  <c r="D641" i="5"/>
  <c r="E641" i="5"/>
  <c r="D642" i="5"/>
  <c r="E642" i="5"/>
  <c r="D643" i="5"/>
  <c r="E643" i="5"/>
  <c r="H643" i="5"/>
  <c r="D644" i="5"/>
  <c r="E644" i="5"/>
  <c r="D645" i="5"/>
  <c r="E645" i="5"/>
  <c r="D646" i="5"/>
  <c r="E646" i="5"/>
  <c r="D647" i="5"/>
  <c r="E647" i="5"/>
  <c r="D648" i="5"/>
  <c r="E648" i="5"/>
  <c r="C649" i="5"/>
  <c r="F649" i="5" s="1"/>
  <c r="D649" i="5"/>
  <c r="E649" i="5"/>
  <c r="D650" i="5"/>
  <c r="E650" i="5"/>
  <c r="D651" i="5"/>
  <c r="E651" i="5"/>
  <c r="D652" i="5"/>
  <c r="E652" i="5"/>
  <c r="C653" i="5"/>
  <c r="F653" i="5" s="1"/>
  <c r="D653" i="5"/>
  <c r="E653" i="5"/>
  <c r="D654" i="5"/>
  <c r="E654" i="5"/>
  <c r="D655" i="5"/>
  <c r="E655" i="5"/>
  <c r="H655" i="5"/>
  <c r="D656" i="5"/>
  <c r="E656" i="5"/>
  <c r="D657" i="5"/>
  <c r="E657" i="5"/>
  <c r="D658" i="5"/>
  <c r="E658" i="5"/>
  <c r="D659" i="5"/>
  <c r="E659" i="5"/>
  <c r="D660" i="5"/>
  <c r="E660" i="5"/>
  <c r="C661" i="5"/>
  <c r="D661" i="5"/>
  <c r="E661" i="5"/>
  <c r="D662" i="5"/>
  <c r="E662" i="5"/>
  <c r="D663" i="5"/>
  <c r="E663" i="5"/>
  <c r="D664" i="5"/>
  <c r="E664" i="5"/>
  <c r="C665" i="5"/>
  <c r="D665" i="5"/>
  <c r="E665" i="5"/>
  <c r="D666" i="5"/>
  <c r="E666" i="5"/>
  <c r="D667" i="5"/>
  <c r="E667" i="5"/>
  <c r="H667" i="5"/>
  <c r="D668" i="5"/>
  <c r="E668" i="5"/>
  <c r="D669" i="5"/>
  <c r="E669" i="5"/>
  <c r="D670" i="5"/>
  <c r="E670" i="5"/>
  <c r="D671" i="5"/>
  <c r="E671" i="5"/>
  <c r="D672" i="5"/>
  <c r="E672" i="5"/>
  <c r="C673" i="5"/>
  <c r="D673" i="5"/>
  <c r="E673" i="5"/>
  <c r="D674" i="5"/>
  <c r="E674" i="5"/>
  <c r="D675" i="5"/>
  <c r="E675" i="5"/>
  <c r="D676" i="5"/>
  <c r="E676" i="5"/>
  <c r="C677" i="5"/>
  <c r="D677" i="5"/>
  <c r="E677" i="5"/>
  <c r="D678" i="5"/>
  <c r="E678" i="5"/>
  <c r="D679" i="5"/>
  <c r="E679" i="5"/>
  <c r="H679" i="5"/>
  <c r="D680" i="5"/>
  <c r="E680" i="5"/>
  <c r="D681" i="5"/>
  <c r="E681" i="5"/>
  <c r="D682" i="5"/>
  <c r="E682" i="5"/>
  <c r="D683" i="5"/>
  <c r="E683" i="5"/>
  <c r="D684" i="5"/>
  <c r="E684" i="5"/>
  <c r="C685" i="5"/>
  <c r="D685" i="5"/>
  <c r="E685" i="5"/>
  <c r="D686" i="5"/>
  <c r="E686" i="5"/>
  <c r="D687" i="5"/>
  <c r="E687" i="5"/>
  <c r="D688" i="5"/>
  <c r="E688" i="5"/>
  <c r="C689" i="5"/>
  <c r="D689" i="5"/>
  <c r="E689" i="5"/>
  <c r="D690" i="5"/>
  <c r="E690" i="5"/>
  <c r="D691" i="5"/>
  <c r="E691" i="5"/>
  <c r="H691" i="5"/>
  <c r="D692" i="5"/>
  <c r="E692" i="5"/>
  <c r="D693" i="5"/>
  <c r="E693" i="5"/>
  <c r="D694" i="5"/>
  <c r="E694" i="5"/>
  <c r="D695" i="5"/>
  <c r="E695" i="5"/>
  <c r="D696" i="5"/>
  <c r="E696" i="5"/>
  <c r="C697" i="5"/>
  <c r="D697" i="5"/>
  <c r="E697" i="5"/>
  <c r="D698" i="5"/>
  <c r="E698" i="5"/>
  <c r="D699" i="5"/>
  <c r="E699" i="5"/>
  <c r="D700" i="5"/>
  <c r="E700" i="5"/>
  <c r="C701" i="5"/>
  <c r="D701" i="5"/>
  <c r="E701" i="5"/>
  <c r="D702" i="5"/>
  <c r="E702" i="5"/>
  <c r="D703" i="5"/>
  <c r="E703" i="5"/>
  <c r="H703" i="5"/>
  <c r="D704" i="5"/>
  <c r="E704" i="5"/>
  <c r="D705" i="5"/>
  <c r="E705" i="5"/>
  <c r="D706" i="5"/>
  <c r="E706" i="5"/>
  <c r="D707" i="5"/>
  <c r="E707" i="5"/>
  <c r="D708" i="5"/>
  <c r="E708" i="5"/>
  <c r="C709" i="5"/>
  <c r="D709" i="5"/>
  <c r="E709" i="5"/>
  <c r="D710" i="5"/>
  <c r="E710" i="5"/>
  <c r="D711" i="5"/>
  <c r="E711" i="5"/>
  <c r="D712" i="5"/>
  <c r="E712" i="5"/>
  <c r="C713" i="5"/>
  <c r="F713" i="5" s="1"/>
  <c r="D713" i="5"/>
  <c r="E713" i="5"/>
  <c r="D714" i="5"/>
  <c r="E714" i="5"/>
  <c r="D715" i="5"/>
  <c r="E715" i="5"/>
  <c r="H715" i="5"/>
  <c r="D716" i="5"/>
  <c r="E716" i="5"/>
  <c r="D717" i="5"/>
  <c r="E717" i="5"/>
  <c r="D718" i="5"/>
  <c r="E718" i="5"/>
  <c r="D719" i="5"/>
  <c r="E719" i="5"/>
  <c r="D720" i="5"/>
  <c r="E720" i="5"/>
  <c r="C721" i="5"/>
  <c r="F721" i="5" s="1"/>
  <c r="D721" i="5"/>
  <c r="E721" i="5"/>
  <c r="D722" i="5"/>
  <c r="E722" i="5"/>
  <c r="D723" i="5"/>
  <c r="E723" i="5"/>
  <c r="D724" i="5"/>
  <c r="E724" i="5"/>
  <c r="C725" i="5"/>
  <c r="F725" i="5" s="1"/>
  <c r="D725" i="5"/>
  <c r="E725" i="5"/>
  <c r="D726" i="5"/>
  <c r="E726" i="5"/>
  <c r="D727" i="5"/>
  <c r="E727" i="5"/>
  <c r="H727" i="5"/>
  <c r="D728" i="5"/>
  <c r="E728" i="5"/>
  <c r="D729" i="5"/>
  <c r="E729" i="5"/>
  <c r="D730" i="5"/>
  <c r="E730" i="5"/>
  <c r="D731" i="5"/>
  <c r="E731" i="5"/>
  <c r="D732" i="5"/>
  <c r="E732" i="5"/>
  <c r="C733" i="5"/>
  <c r="F733" i="5" s="1"/>
  <c r="D733" i="5"/>
  <c r="E733" i="5"/>
  <c r="D734" i="5"/>
  <c r="E734" i="5"/>
  <c r="D735" i="5"/>
  <c r="E735" i="5"/>
  <c r="D736" i="5"/>
  <c r="E736" i="5"/>
  <c r="C737" i="5"/>
  <c r="F737" i="5" s="1"/>
  <c r="D737" i="5"/>
  <c r="E737" i="5"/>
  <c r="D738" i="5"/>
  <c r="E738" i="5"/>
  <c r="D739" i="5"/>
  <c r="E739" i="5"/>
  <c r="H739" i="5"/>
  <c r="D740" i="5"/>
  <c r="E740" i="5"/>
  <c r="D741" i="5"/>
  <c r="E741" i="5"/>
  <c r="D742" i="5"/>
  <c r="E742" i="5"/>
  <c r="D743" i="5"/>
  <c r="E743" i="5"/>
  <c r="D744" i="5"/>
  <c r="E744" i="5"/>
  <c r="C745" i="5"/>
  <c r="F745" i="5" s="1"/>
  <c r="D745" i="5"/>
  <c r="E745" i="5"/>
  <c r="D746" i="5"/>
  <c r="E746" i="5"/>
  <c r="D747" i="5"/>
  <c r="E747" i="5"/>
  <c r="D748" i="5"/>
  <c r="E748" i="5"/>
  <c r="C749" i="5"/>
  <c r="F749" i="5" s="1"/>
  <c r="D749" i="5"/>
  <c r="E749" i="5"/>
  <c r="D750" i="5"/>
  <c r="E750" i="5"/>
  <c r="D751" i="5"/>
  <c r="E751" i="5"/>
  <c r="H751" i="5"/>
  <c r="D752" i="5"/>
  <c r="E752" i="5"/>
  <c r="D753" i="5"/>
  <c r="E753" i="5"/>
  <c r="D754" i="5"/>
  <c r="E754" i="5"/>
  <c r="D755" i="5"/>
  <c r="E755" i="5"/>
  <c r="D756" i="5"/>
  <c r="E756" i="5"/>
  <c r="C757" i="5"/>
  <c r="F757" i="5" s="1"/>
  <c r="D757" i="5"/>
  <c r="E757" i="5"/>
  <c r="D758" i="5"/>
  <c r="E758" i="5"/>
  <c r="D759" i="5"/>
  <c r="E759" i="5"/>
  <c r="D760" i="5"/>
  <c r="E760" i="5"/>
  <c r="C761" i="5"/>
  <c r="F761" i="5" s="1"/>
  <c r="D761" i="5"/>
  <c r="E761" i="5"/>
  <c r="D762" i="5"/>
  <c r="E762" i="5"/>
  <c r="D763" i="5"/>
  <c r="E763" i="5"/>
  <c r="H763" i="5"/>
  <c r="D764" i="5"/>
  <c r="E764" i="5"/>
  <c r="D765" i="5"/>
  <c r="E765" i="5"/>
  <c r="D766" i="5"/>
  <c r="E766" i="5"/>
  <c r="D767" i="5"/>
  <c r="E767" i="5"/>
  <c r="D768" i="5"/>
  <c r="E768" i="5"/>
  <c r="C769" i="5"/>
  <c r="F769" i="5" s="1"/>
  <c r="D769" i="5"/>
  <c r="E769" i="5"/>
  <c r="D770" i="5"/>
  <c r="E770" i="5"/>
  <c r="D771" i="5"/>
  <c r="E771" i="5"/>
  <c r="D772" i="5"/>
  <c r="E772" i="5"/>
  <c r="C773" i="5"/>
  <c r="F773" i="5" s="1"/>
  <c r="D773" i="5"/>
  <c r="E773" i="5"/>
  <c r="D774" i="5"/>
  <c r="E774" i="5"/>
  <c r="D775" i="5"/>
  <c r="E775" i="5"/>
  <c r="H775" i="5"/>
  <c r="D776" i="5"/>
  <c r="E776" i="5"/>
  <c r="D777" i="5"/>
  <c r="E777" i="5"/>
  <c r="D778" i="5"/>
  <c r="E778" i="5"/>
  <c r="D779" i="5"/>
  <c r="E779" i="5"/>
  <c r="D780" i="5"/>
  <c r="E780" i="5"/>
  <c r="C781" i="5"/>
  <c r="F781" i="5" s="1"/>
  <c r="D781" i="5"/>
  <c r="E781" i="5"/>
  <c r="D782" i="5"/>
  <c r="E782" i="5"/>
  <c r="D783" i="5"/>
  <c r="E783" i="5"/>
  <c r="D784" i="5"/>
  <c r="E784" i="5"/>
  <c r="C785" i="5"/>
  <c r="F785" i="5" s="1"/>
  <c r="D785" i="5"/>
  <c r="E785" i="5"/>
  <c r="D786" i="5"/>
  <c r="E786" i="5"/>
  <c r="D787" i="5"/>
  <c r="E787" i="5"/>
  <c r="H787" i="5"/>
  <c r="D788" i="5"/>
  <c r="E788" i="5"/>
  <c r="D789" i="5"/>
  <c r="E789" i="5"/>
  <c r="D790" i="5"/>
  <c r="E790" i="5"/>
  <c r="D791" i="5"/>
  <c r="E791" i="5"/>
  <c r="D792" i="5"/>
  <c r="E792" i="5"/>
  <c r="C793" i="5"/>
  <c r="F793" i="5" s="1"/>
  <c r="D793" i="5"/>
  <c r="E793" i="5"/>
  <c r="D794" i="5"/>
  <c r="E794" i="5"/>
  <c r="D795" i="5"/>
  <c r="E795" i="5"/>
  <c r="D796" i="5"/>
  <c r="E796" i="5"/>
  <c r="C797" i="5"/>
  <c r="F797" i="5" s="1"/>
  <c r="D797" i="5"/>
  <c r="E797" i="5"/>
  <c r="D798" i="5"/>
  <c r="E798" i="5"/>
  <c r="D799" i="5"/>
  <c r="E799" i="5"/>
  <c r="H799" i="5"/>
  <c r="D800" i="5"/>
  <c r="E800" i="5"/>
  <c r="D801" i="5"/>
  <c r="E801" i="5"/>
  <c r="D802" i="5"/>
  <c r="E802" i="5"/>
  <c r="D803" i="5"/>
  <c r="E803" i="5"/>
  <c r="D804" i="5"/>
  <c r="E804" i="5"/>
  <c r="C805" i="5"/>
  <c r="F805" i="5" s="1"/>
  <c r="D805" i="5"/>
  <c r="E805" i="5"/>
  <c r="D806" i="5"/>
  <c r="E806" i="5"/>
  <c r="D807" i="5"/>
  <c r="E807" i="5"/>
  <c r="D808" i="5"/>
  <c r="E808" i="5"/>
  <c r="C809" i="5"/>
  <c r="F809" i="5" s="1"/>
  <c r="D809" i="5"/>
  <c r="E809" i="5"/>
  <c r="D810" i="5"/>
  <c r="E810" i="5"/>
  <c r="D811" i="5"/>
  <c r="E811" i="5"/>
  <c r="H811" i="5"/>
  <c r="D812" i="5"/>
  <c r="E812" i="5"/>
  <c r="D813" i="5"/>
  <c r="E813" i="5"/>
  <c r="D814" i="5"/>
  <c r="E814" i="5"/>
  <c r="D815" i="5"/>
  <c r="E815" i="5"/>
  <c r="D816" i="5"/>
  <c r="E816" i="5"/>
  <c r="C817" i="5"/>
  <c r="F817" i="5" s="1"/>
  <c r="D817" i="5"/>
  <c r="E817" i="5"/>
  <c r="D818" i="5"/>
  <c r="E818" i="5"/>
  <c r="D819" i="5"/>
  <c r="E819" i="5"/>
  <c r="D820" i="5"/>
  <c r="E820" i="5"/>
  <c r="C821" i="5"/>
  <c r="F821" i="5" s="1"/>
  <c r="D821" i="5"/>
  <c r="E821" i="5"/>
  <c r="D822" i="5"/>
  <c r="E822" i="5"/>
  <c r="D823" i="5"/>
  <c r="E823" i="5"/>
  <c r="H823" i="5"/>
  <c r="D824" i="5"/>
  <c r="E824" i="5"/>
  <c r="D825" i="5"/>
  <c r="E825" i="5"/>
  <c r="D826" i="5"/>
  <c r="E826" i="5"/>
  <c r="D827" i="5"/>
  <c r="E827" i="5"/>
  <c r="D828" i="5"/>
  <c r="E828" i="5"/>
  <c r="C829" i="5"/>
  <c r="F829" i="5" s="1"/>
  <c r="D829" i="5"/>
  <c r="E829" i="5"/>
  <c r="D830" i="5"/>
  <c r="E830" i="5"/>
  <c r="D831" i="5"/>
  <c r="E831" i="5"/>
  <c r="D832" i="5"/>
  <c r="E832" i="5"/>
  <c r="C833" i="5"/>
  <c r="F833" i="5" s="1"/>
  <c r="D833" i="5"/>
  <c r="E833" i="5"/>
  <c r="D834" i="5"/>
  <c r="E834" i="5"/>
  <c r="D835" i="5"/>
  <c r="E835" i="5"/>
  <c r="H835" i="5"/>
  <c r="D836" i="5"/>
  <c r="E836" i="5"/>
  <c r="D837" i="5"/>
  <c r="E837" i="5"/>
  <c r="D838" i="5"/>
  <c r="E838" i="5"/>
  <c r="D839" i="5"/>
  <c r="E839" i="5"/>
  <c r="D840" i="5"/>
  <c r="E840" i="5"/>
  <c r="C841" i="5"/>
  <c r="F841" i="5" s="1"/>
  <c r="D841" i="5"/>
  <c r="E841" i="5"/>
  <c r="D842" i="5"/>
  <c r="E842" i="5"/>
  <c r="D843" i="5"/>
  <c r="E843" i="5"/>
  <c r="D844" i="5"/>
  <c r="E844" i="5"/>
  <c r="C845" i="5"/>
  <c r="F845" i="5" s="1"/>
  <c r="D845" i="5"/>
  <c r="E845" i="5"/>
  <c r="D846" i="5"/>
  <c r="E846" i="5"/>
  <c r="D847" i="5"/>
  <c r="E847" i="5"/>
  <c r="H847" i="5"/>
  <c r="D848" i="5"/>
  <c r="E848" i="5"/>
  <c r="D849" i="5"/>
  <c r="E849" i="5"/>
  <c r="D850" i="5"/>
  <c r="E850" i="5"/>
  <c r="D851" i="5"/>
  <c r="E851" i="5"/>
  <c r="D852" i="5"/>
  <c r="E852" i="5"/>
  <c r="C853" i="5"/>
  <c r="F853" i="5" s="1"/>
  <c r="D853" i="5"/>
  <c r="E853" i="5"/>
  <c r="D854" i="5"/>
  <c r="E854" i="5"/>
  <c r="D855" i="5"/>
  <c r="E855" i="5"/>
  <c r="D856" i="5"/>
  <c r="E856" i="5"/>
  <c r="C857" i="5"/>
  <c r="F857" i="5" s="1"/>
  <c r="D857" i="5"/>
  <c r="E857" i="5"/>
  <c r="D858" i="5"/>
  <c r="E858" i="5"/>
  <c r="D859" i="5"/>
  <c r="E859" i="5"/>
  <c r="H859" i="5"/>
  <c r="D860" i="5"/>
  <c r="E860" i="5"/>
  <c r="D861" i="5"/>
  <c r="E861" i="5"/>
  <c r="D862" i="5"/>
  <c r="E862" i="5"/>
  <c r="D863" i="5"/>
  <c r="E863" i="5"/>
  <c r="D864" i="5"/>
  <c r="E864" i="5"/>
  <c r="C865" i="5"/>
  <c r="F865" i="5" s="1"/>
  <c r="D865" i="5"/>
  <c r="E865" i="5"/>
  <c r="D866" i="5"/>
  <c r="E866" i="5"/>
  <c r="D867" i="5"/>
  <c r="E867" i="5"/>
  <c r="D868" i="5"/>
  <c r="E868" i="5"/>
  <c r="C869" i="5"/>
  <c r="F869" i="5" s="1"/>
  <c r="D869" i="5"/>
  <c r="E869" i="5"/>
  <c r="D870" i="5"/>
  <c r="E870" i="5"/>
  <c r="D871" i="5"/>
  <c r="E871" i="5"/>
  <c r="H871" i="5"/>
  <c r="D872" i="5"/>
  <c r="E872" i="5"/>
  <c r="D873" i="5"/>
  <c r="E873" i="5"/>
  <c r="D874" i="5"/>
  <c r="E874" i="5"/>
  <c r="D875" i="5"/>
  <c r="E875" i="5"/>
  <c r="D876" i="5"/>
  <c r="E876" i="5"/>
  <c r="C877" i="5"/>
  <c r="F877" i="5" s="1"/>
  <c r="D877" i="5"/>
  <c r="E877" i="5"/>
  <c r="D878" i="5"/>
  <c r="E878" i="5"/>
  <c r="D879" i="5"/>
  <c r="E879" i="5"/>
  <c r="D880" i="5"/>
  <c r="E880" i="5"/>
  <c r="C881" i="5"/>
  <c r="F881" i="5" s="1"/>
  <c r="D881" i="5"/>
  <c r="E881" i="5"/>
  <c r="D882" i="5"/>
  <c r="E882" i="5"/>
  <c r="D883" i="5"/>
  <c r="E883" i="5"/>
  <c r="H883" i="5"/>
  <c r="D884" i="5"/>
  <c r="E884" i="5"/>
  <c r="D885" i="5"/>
  <c r="E885" i="5"/>
  <c r="D886" i="5"/>
  <c r="E886" i="5"/>
  <c r="D887" i="5"/>
  <c r="E887" i="5"/>
  <c r="D888" i="5"/>
  <c r="E888" i="5"/>
  <c r="C889" i="5"/>
  <c r="F889" i="5" s="1"/>
  <c r="D889" i="5"/>
  <c r="E889" i="5"/>
  <c r="D890" i="5"/>
  <c r="E890" i="5"/>
  <c r="D891" i="5"/>
  <c r="E891" i="5"/>
  <c r="D892" i="5"/>
  <c r="E892" i="5"/>
  <c r="C893" i="5"/>
  <c r="F893" i="5" s="1"/>
  <c r="D893" i="5"/>
  <c r="E893" i="5"/>
  <c r="D894" i="5"/>
  <c r="E894" i="5"/>
  <c r="D895" i="5"/>
  <c r="E895" i="5"/>
  <c r="H895" i="5"/>
  <c r="D896" i="5"/>
  <c r="E896" i="5"/>
  <c r="D897" i="5"/>
  <c r="E897" i="5"/>
  <c r="D898" i="5"/>
  <c r="E898" i="5"/>
  <c r="D899" i="5"/>
  <c r="E899" i="5"/>
  <c r="D900" i="5"/>
  <c r="E900" i="5"/>
  <c r="C901" i="5"/>
  <c r="F901" i="5" s="1"/>
  <c r="D901" i="5"/>
  <c r="E901" i="5"/>
  <c r="D902" i="5"/>
  <c r="E902" i="5"/>
  <c r="D903" i="5"/>
  <c r="E903" i="5"/>
  <c r="D904" i="5"/>
  <c r="E904" i="5"/>
  <c r="C905" i="5"/>
  <c r="F905" i="5" s="1"/>
  <c r="D905" i="5"/>
  <c r="E905" i="5"/>
  <c r="D906" i="5"/>
  <c r="E906" i="5"/>
  <c r="D907" i="5"/>
  <c r="E907" i="5"/>
  <c r="H907" i="5"/>
  <c r="D908" i="5"/>
  <c r="E908" i="5"/>
  <c r="D909" i="5"/>
  <c r="E909" i="5"/>
  <c r="D910" i="5"/>
  <c r="E910" i="5"/>
  <c r="D911" i="5"/>
  <c r="E911" i="5"/>
  <c r="D912" i="5"/>
  <c r="E912" i="5"/>
  <c r="C913" i="5"/>
  <c r="F913" i="5" s="1"/>
  <c r="D913" i="5"/>
  <c r="E913" i="5"/>
  <c r="D914" i="5"/>
  <c r="E914" i="5"/>
  <c r="D915" i="5"/>
  <c r="E915" i="5"/>
  <c r="D916" i="5"/>
  <c r="E916" i="5"/>
  <c r="C917" i="5"/>
  <c r="F917" i="5" s="1"/>
  <c r="D917" i="5"/>
  <c r="E917" i="5"/>
  <c r="D918" i="5"/>
  <c r="E918" i="5"/>
  <c r="D919" i="5"/>
  <c r="E919" i="5"/>
  <c r="H919" i="5"/>
  <c r="D920" i="5"/>
  <c r="E920" i="5"/>
  <c r="D921" i="5"/>
  <c r="E921" i="5"/>
  <c r="D922" i="5"/>
  <c r="E922" i="5"/>
  <c r="D923" i="5"/>
  <c r="E923" i="5"/>
  <c r="D924" i="5"/>
  <c r="E924" i="5"/>
  <c r="C925" i="5"/>
  <c r="F925" i="5" s="1"/>
  <c r="D925" i="5"/>
  <c r="E925" i="5"/>
  <c r="D926" i="5"/>
  <c r="E926" i="5"/>
  <c r="D927" i="5"/>
  <c r="E927" i="5"/>
  <c r="D928" i="5"/>
  <c r="E928" i="5"/>
  <c r="C929" i="5"/>
  <c r="F929" i="5" s="1"/>
  <c r="D929" i="5"/>
  <c r="E929" i="5"/>
  <c r="D930" i="5"/>
  <c r="E930" i="5"/>
  <c r="D931" i="5"/>
  <c r="E931" i="5"/>
  <c r="H931" i="5"/>
  <c r="D932" i="5"/>
  <c r="E932" i="5"/>
  <c r="D933" i="5"/>
  <c r="E933" i="5"/>
  <c r="D934" i="5"/>
  <c r="E934" i="5"/>
  <c r="D935" i="5"/>
  <c r="E935" i="5"/>
  <c r="D936" i="5"/>
  <c r="E936" i="5"/>
  <c r="C937" i="5"/>
  <c r="F937" i="5" s="1"/>
  <c r="D937" i="5"/>
  <c r="E937" i="5"/>
  <c r="D938" i="5"/>
  <c r="E938" i="5"/>
  <c r="D939" i="5"/>
  <c r="E939" i="5"/>
  <c r="D940" i="5"/>
  <c r="E940" i="5"/>
  <c r="C941" i="5"/>
  <c r="D941" i="5"/>
  <c r="E941" i="5"/>
  <c r="D942" i="5"/>
  <c r="E942" i="5"/>
  <c r="D943" i="5"/>
  <c r="E943" i="5"/>
  <c r="H943" i="5"/>
  <c r="D944" i="5"/>
  <c r="E944" i="5"/>
  <c r="D945" i="5"/>
  <c r="E945" i="5"/>
  <c r="D946" i="5"/>
  <c r="E946" i="5"/>
  <c r="D947" i="5"/>
  <c r="E947" i="5"/>
  <c r="D948" i="5"/>
  <c r="E948" i="5"/>
  <c r="C949" i="5"/>
  <c r="D949" i="5"/>
  <c r="E949" i="5"/>
  <c r="D950" i="5"/>
  <c r="E950" i="5"/>
  <c r="D951" i="5"/>
  <c r="E951" i="5"/>
  <c r="D952" i="5"/>
  <c r="E952" i="5"/>
  <c r="C953" i="5"/>
  <c r="D953" i="5"/>
  <c r="E953" i="5"/>
  <c r="D954" i="5"/>
  <c r="E954" i="5"/>
  <c r="D955" i="5"/>
  <c r="E955" i="5"/>
  <c r="H955" i="5"/>
  <c r="D956" i="5"/>
  <c r="E956" i="5"/>
  <c r="D957" i="5"/>
  <c r="E957" i="5"/>
  <c r="D958" i="5"/>
  <c r="E958" i="5"/>
  <c r="D959" i="5"/>
  <c r="E959" i="5"/>
  <c r="D960" i="5"/>
  <c r="E960" i="5"/>
  <c r="C961" i="5"/>
  <c r="D961" i="5"/>
  <c r="E961" i="5"/>
  <c r="D962" i="5"/>
  <c r="E962" i="5"/>
  <c r="D963" i="5"/>
  <c r="E963" i="5"/>
  <c r="D964" i="5"/>
  <c r="E964" i="5"/>
  <c r="C965" i="5"/>
  <c r="D965" i="5"/>
  <c r="E965" i="5"/>
  <c r="D966" i="5"/>
  <c r="E966" i="5"/>
  <c r="D967" i="5"/>
  <c r="E967" i="5"/>
  <c r="H967" i="5"/>
  <c r="D968" i="5"/>
  <c r="E968" i="5"/>
  <c r="D969" i="5"/>
  <c r="E969" i="5"/>
  <c r="D970" i="5"/>
  <c r="E970" i="5"/>
  <c r="D971" i="5"/>
  <c r="E971" i="5"/>
  <c r="D972" i="5"/>
  <c r="E972" i="5"/>
  <c r="C973" i="5"/>
  <c r="D973" i="5"/>
  <c r="E973" i="5"/>
  <c r="F973" i="5"/>
  <c r="D974" i="5"/>
  <c r="E974" i="5"/>
  <c r="D975" i="5"/>
  <c r="E975" i="5"/>
  <c r="D976" i="5"/>
  <c r="E976" i="5"/>
  <c r="C977" i="5"/>
  <c r="D977" i="5"/>
  <c r="E977" i="5"/>
  <c r="F977" i="5"/>
  <c r="D978" i="5"/>
  <c r="E978" i="5"/>
  <c r="D979" i="5"/>
  <c r="E979" i="5"/>
  <c r="H979" i="5"/>
  <c r="D980" i="5"/>
  <c r="E980" i="5"/>
  <c r="D981" i="5"/>
  <c r="E981" i="5"/>
  <c r="D982" i="5"/>
  <c r="E982" i="5"/>
  <c r="D983" i="5"/>
  <c r="E983" i="5"/>
  <c r="D984" i="5"/>
  <c r="E984" i="5"/>
  <c r="C985" i="5"/>
  <c r="D985" i="5"/>
  <c r="E985" i="5"/>
  <c r="F985" i="5"/>
  <c r="D986" i="5"/>
  <c r="E986" i="5"/>
  <c r="D987" i="5"/>
  <c r="E987" i="5"/>
  <c r="D988" i="5"/>
  <c r="E988" i="5"/>
  <c r="C989" i="5"/>
  <c r="D989" i="5"/>
  <c r="E989" i="5"/>
  <c r="F989" i="5"/>
  <c r="D990" i="5"/>
  <c r="E990" i="5"/>
  <c r="D991" i="5"/>
  <c r="E991" i="5"/>
  <c r="H991" i="5"/>
  <c r="D992" i="5"/>
  <c r="E992" i="5"/>
  <c r="D993" i="5"/>
  <c r="E993" i="5"/>
  <c r="D994" i="5"/>
  <c r="E994" i="5"/>
  <c r="D995" i="5"/>
  <c r="E995" i="5"/>
  <c r="D996" i="5"/>
  <c r="E996" i="5"/>
  <c r="C997" i="5"/>
  <c r="D997" i="5"/>
  <c r="E997" i="5"/>
  <c r="F997" i="5"/>
  <c r="D998" i="5"/>
  <c r="E998" i="5"/>
  <c r="D999" i="5"/>
  <c r="E999" i="5"/>
  <c r="D1000" i="5"/>
  <c r="E1000" i="5"/>
  <c r="C1001" i="5"/>
  <c r="D1001" i="5"/>
  <c r="E1001" i="5"/>
  <c r="F1001" i="5"/>
  <c r="D1002" i="5"/>
  <c r="E1002" i="5"/>
  <c r="C26" i="3"/>
  <c r="B51" i="3"/>
  <c r="C10" i="3"/>
  <c r="C13" i="3"/>
  <c r="B14" i="3" s="1"/>
  <c r="B16" i="3"/>
  <c r="B35" i="16"/>
  <c r="E17" i="3"/>
  <c r="C17" i="3"/>
  <c r="D17" i="3"/>
  <c r="C22" i="3"/>
  <c r="B32" i="16"/>
  <c r="E3" i="3"/>
  <c r="C3" i="3"/>
  <c r="D3" i="3"/>
  <c r="C6" i="3"/>
  <c r="B3" i="5"/>
  <c r="N2" i="5"/>
  <c r="B45" i="3"/>
  <c r="I38" i="3"/>
  <c r="M3" i="5" s="1"/>
  <c r="N3" i="5" s="1"/>
  <c r="B44" i="3"/>
  <c r="B4" i="5"/>
  <c r="B5" i="5"/>
  <c r="M5" i="5"/>
  <c r="N5" i="5" s="1"/>
  <c r="B6" i="5"/>
  <c r="B7" i="5"/>
  <c r="M7" i="5"/>
  <c r="N7" i="5" s="1"/>
  <c r="B8" i="5"/>
  <c r="B9" i="5"/>
  <c r="M9" i="5"/>
  <c r="N9" i="5" s="1"/>
  <c r="B10" i="5"/>
  <c r="B11" i="5"/>
  <c r="M11" i="5"/>
  <c r="N11" i="5" s="1"/>
  <c r="B12" i="5"/>
  <c r="B13" i="5"/>
  <c r="M13" i="5"/>
  <c r="N13" i="5" s="1"/>
  <c r="B14" i="5"/>
  <c r="B15" i="5"/>
  <c r="M15" i="5"/>
  <c r="N15" i="5" s="1"/>
  <c r="B16" i="5"/>
  <c r="B17" i="5"/>
  <c r="M17" i="5"/>
  <c r="N17" i="5" s="1"/>
  <c r="B18" i="5"/>
  <c r="B19" i="5"/>
  <c r="M19" i="5"/>
  <c r="N19" i="5" s="1"/>
  <c r="B20" i="5"/>
  <c r="B21" i="5"/>
  <c r="M21" i="5"/>
  <c r="N21" i="5" s="1"/>
  <c r="B22" i="5"/>
  <c r="B23" i="5"/>
  <c r="M23" i="5"/>
  <c r="N23" i="5" s="1"/>
  <c r="B24" i="5"/>
  <c r="B25" i="5"/>
  <c r="M25" i="5"/>
  <c r="N25" i="5" s="1"/>
  <c r="B26" i="5"/>
  <c r="B27" i="5"/>
  <c r="M27" i="5"/>
  <c r="N27" i="5" s="1"/>
  <c r="B28" i="5"/>
  <c r="B29" i="5"/>
  <c r="M29" i="5"/>
  <c r="N29" i="5" s="1"/>
  <c r="B30" i="5"/>
  <c r="B31" i="5"/>
  <c r="M31" i="5"/>
  <c r="N31" i="5" s="1"/>
  <c r="B32" i="5"/>
  <c r="B33" i="5"/>
  <c r="M33" i="5"/>
  <c r="N33" i="5" s="1"/>
  <c r="B34" i="5"/>
  <c r="B35" i="5"/>
  <c r="M35" i="5"/>
  <c r="N35" i="5" s="1"/>
  <c r="B36" i="5"/>
  <c r="B37" i="5"/>
  <c r="M37" i="5"/>
  <c r="N37" i="5" s="1"/>
  <c r="B38" i="5"/>
  <c r="B39" i="5"/>
  <c r="M39" i="5"/>
  <c r="N39" i="5" s="1"/>
  <c r="B40" i="5"/>
  <c r="B41" i="5"/>
  <c r="M41" i="5"/>
  <c r="N41" i="5" s="1"/>
  <c r="B42" i="5"/>
  <c r="B43" i="5"/>
  <c r="M43" i="5"/>
  <c r="N43" i="5" s="1"/>
  <c r="B44" i="5"/>
  <c r="B45" i="5"/>
  <c r="M45" i="5"/>
  <c r="N45" i="5" s="1"/>
  <c r="B46" i="5"/>
  <c r="B47" i="5"/>
  <c r="M47" i="5"/>
  <c r="N47" i="5" s="1"/>
  <c r="B48" i="5"/>
  <c r="B49" i="5"/>
  <c r="M49" i="5"/>
  <c r="N49" i="5" s="1"/>
  <c r="B50" i="5"/>
  <c r="B51" i="5"/>
  <c r="M51" i="5"/>
  <c r="N51" i="5" s="1"/>
  <c r="B52" i="5"/>
  <c r="B53" i="5"/>
  <c r="M53" i="5"/>
  <c r="N53" i="5" s="1"/>
  <c r="B54" i="5"/>
  <c r="B55" i="5"/>
  <c r="M55" i="5"/>
  <c r="N55" i="5" s="1"/>
  <c r="B56" i="5"/>
  <c r="B57" i="5"/>
  <c r="M57" i="5"/>
  <c r="N57" i="5" s="1"/>
  <c r="B58" i="5"/>
  <c r="B59" i="5"/>
  <c r="M59" i="5"/>
  <c r="N59" i="5" s="1"/>
  <c r="B60" i="5"/>
  <c r="B61" i="5"/>
  <c r="M61" i="5"/>
  <c r="N61" i="5" s="1"/>
  <c r="B62" i="5"/>
  <c r="B63" i="5"/>
  <c r="M63" i="5"/>
  <c r="N63" i="5" s="1"/>
  <c r="B64" i="5"/>
  <c r="B65" i="5"/>
  <c r="M65" i="5"/>
  <c r="N65" i="5" s="1"/>
  <c r="B66" i="5"/>
  <c r="B67" i="5"/>
  <c r="M67" i="5"/>
  <c r="N67" i="5" s="1"/>
  <c r="B68" i="5"/>
  <c r="B69" i="5"/>
  <c r="M69" i="5"/>
  <c r="N69" i="5" s="1"/>
  <c r="B70" i="5"/>
  <c r="B71" i="5"/>
  <c r="M71" i="5"/>
  <c r="N71" i="5" s="1"/>
  <c r="B72" i="5"/>
  <c r="B73" i="5"/>
  <c r="M73" i="5"/>
  <c r="N73" i="5" s="1"/>
  <c r="B74" i="5"/>
  <c r="B75" i="5"/>
  <c r="M75" i="5"/>
  <c r="N75" i="5" s="1"/>
  <c r="B76" i="5"/>
  <c r="B77" i="5"/>
  <c r="M77" i="5"/>
  <c r="N77" i="5" s="1"/>
  <c r="B78" i="5"/>
  <c r="B79" i="5"/>
  <c r="M79" i="5"/>
  <c r="N79" i="5" s="1"/>
  <c r="B80" i="5"/>
  <c r="B81" i="5"/>
  <c r="M81" i="5"/>
  <c r="N81" i="5" s="1"/>
  <c r="B82" i="5"/>
  <c r="B83" i="5"/>
  <c r="M83" i="5"/>
  <c r="N83" i="5" s="1"/>
  <c r="B84" i="5"/>
  <c r="B85" i="5"/>
  <c r="M85" i="5"/>
  <c r="N85" i="5" s="1"/>
  <c r="B86" i="5"/>
  <c r="B87" i="5"/>
  <c r="M87" i="5"/>
  <c r="N87" i="5" s="1"/>
  <c r="B88" i="5"/>
  <c r="B89" i="5"/>
  <c r="M89" i="5"/>
  <c r="N89" i="5" s="1"/>
  <c r="B90" i="5"/>
  <c r="B91" i="5"/>
  <c r="M91" i="5"/>
  <c r="N91" i="5" s="1"/>
  <c r="B92" i="5"/>
  <c r="B93" i="5"/>
  <c r="M93" i="5"/>
  <c r="N93" i="5" s="1"/>
  <c r="B94" i="5"/>
  <c r="B95" i="5"/>
  <c r="M95" i="5"/>
  <c r="N95" i="5" s="1"/>
  <c r="B96" i="5"/>
  <c r="B97" i="5"/>
  <c r="M97" i="5"/>
  <c r="N97" i="5" s="1"/>
  <c r="B98" i="5"/>
  <c r="B99" i="5"/>
  <c r="M99" i="5"/>
  <c r="N99" i="5" s="1"/>
  <c r="B100" i="5"/>
  <c r="B101" i="5"/>
  <c r="M101" i="5"/>
  <c r="N101" i="5" s="1"/>
  <c r="B102" i="5"/>
  <c r="B103" i="5"/>
  <c r="M103" i="5"/>
  <c r="N103" i="5" s="1"/>
  <c r="B104" i="5"/>
  <c r="B105" i="5"/>
  <c r="M105" i="5"/>
  <c r="N105" i="5" s="1"/>
  <c r="B106" i="5"/>
  <c r="B107" i="5"/>
  <c r="M107" i="5"/>
  <c r="N107" i="5" s="1"/>
  <c r="B108" i="5"/>
  <c r="B109" i="5"/>
  <c r="M109" i="5"/>
  <c r="N109" i="5" s="1"/>
  <c r="B110" i="5"/>
  <c r="B111" i="5"/>
  <c r="M111" i="5"/>
  <c r="N111" i="5" s="1"/>
  <c r="B112" i="5"/>
  <c r="B124" i="5" s="1"/>
  <c r="B113" i="5"/>
  <c r="M113" i="5"/>
  <c r="N113" i="5" s="1"/>
  <c r="B114" i="5"/>
  <c r="B126" i="5" s="1"/>
  <c r="B115" i="5"/>
  <c r="M115" i="5"/>
  <c r="N115" i="5" s="1"/>
  <c r="B116" i="5"/>
  <c r="B128" i="5" s="1"/>
  <c r="B117" i="5"/>
  <c r="M117" i="5"/>
  <c r="N117" i="5" s="1"/>
  <c r="B118" i="5"/>
  <c r="B130" i="5" s="1"/>
  <c r="B119" i="5"/>
  <c r="M119" i="5"/>
  <c r="N119" i="5" s="1"/>
  <c r="B120" i="5"/>
  <c r="B132" i="5" s="1"/>
  <c r="B121" i="5"/>
  <c r="M121" i="5"/>
  <c r="N121" i="5" s="1"/>
  <c r="B122" i="5"/>
  <c r="B134" i="5" s="1"/>
  <c r="B123" i="5"/>
  <c r="M124" i="5"/>
  <c r="B125" i="5"/>
  <c r="M126" i="5"/>
  <c r="B127" i="5"/>
  <c r="M128" i="5"/>
  <c r="B129" i="5"/>
  <c r="M130" i="5"/>
  <c r="B131" i="5"/>
  <c r="M132" i="5"/>
  <c r="B133" i="5"/>
  <c r="M134" i="5"/>
  <c r="B135" i="5"/>
  <c r="M136" i="5"/>
  <c r="B137" i="5"/>
  <c r="M138" i="5"/>
  <c r="B139" i="5"/>
  <c r="M140" i="5"/>
  <c r="B141" i="5"/>
  <c r="M141" i="5"/>
  <c r="N141" i="5"/>
  <c r="M142" i="5"/>
  <c r="B143" i="5"/>
  <c r="M143" i="5"/>
  <c r="N143" i="5"/>
  <c r="M144" i="5"/>
  <c r="B145" i="5"/>
  <c r="M145" i="5"/>
  <c r="N145" i="5"/>
  <c r="M146" i="5"/>
  <c r="B147" i="5"/>
  <c r="M147" i="5"/>
  <c r="N147" i="5"/>
  <c r="M148" i="5"/>
  <c r="B149" i="5"/>
  <c r="M149" i="5"/>
  <c r="N149" i="5"/>
  <c r="M150" i="5"/>
  <c r="B151" i="5"/>
  <c r="M151" i="5"/>
  <c r="N151" i="5"/>
  <c r="M152" i="5"/>
  <c r="B153" i="5"/>
  <c r="M153" i="5"/>
  <c r="N153" i="5"/>
  <c r="M154" i="5"/>
  <c r="B155" i="5"/>
  <c r="M155" i="5"/>
  <c r="N155" i="5"/>
  <c r="M156" i="5"/>
  <c r="B157" i="5"/>
  <c r="M157" i="5"/>
  <c r="N157" i="5"/>
  <c r="M158" i="5"/>
  <c r="B159" i="5"/>
  <c r="M159" i="5"/>
  <c r="N159" i="5"/>
  <c r="M160" i="5"/>
  <c r="B161" i="5"/>
  <c r="M161" i="5"/>
  <c r="N161" i="5"/>
  <c r="M162" i="5"/>
  <c r="B163" i="5"/>
  <c r="M163" i="5"/>
  <c r="N163" i="5"/>
  <c r="M164" i="5"/>
  <c r="B165" i="5"/>
  <c r="M165" i="5"/>
  <c r="N165" i="5"/>
  <c r="M166" i="5"/>
  <c r="B167" i="5"/>
  <c r="M167" i="5"/>
  <c r="N167" i="5"/>
  <c r="M168" i="5"/>
  <c r="B169" i="5"/>
  <c r="M169" i="5"/>
  <c r="N169" i="5"/>
  <c r="M170" i="5"/>
  <c r="B171" i="5"/>
  <c r="M171" i="5"/>
  <c r="N171" i="5"/>
  <c r="M172" i="5"/>
  <c r="B173" i="5"/>
  <c r="M173" i="5"/>
  <c r="N173" i="5"/>
  <c r="M174" i="5"/>
  <c r="B175" i="5"/>
  <c r="M175" i="5"/>
  <c r="N175" i="5"/>
  <c r="M176" i="5"/>
  <c r="B177" i="5"/>
  <c r="M177" i="5"/>
  <c r="N177" i="5"/>
  <c r="M178" i="5"/>
  <c r="B179" i="5"/>
  <c r="M179" i="5"/>
  <c r="N179" i="5"/>
  <c r="M180" i="5"/>
  <c r="B181" i="5"/>
  <c r="M181" i="5"/>
  <c r="N181" i="5"/>
  <c r="M182" i="5"/>
  <c r="B183" i="5"/>
  <c r="M183" i="5"/>
  <c r="N183" i="5"/>
  <c r="M184" i="5"/>
  <c r="B185" i="5"/>
  <c r="M185" i="5"/>
  <c r="N185" i="5"/>
  <c r="M186" i="5"/>
  <c r="B187" i="5"/>
  <c r="M187" i="5"/>
  <c r="N187" i="5"/>
  <c r="M188" i="5"/>
  <c r="B189" i="5"/>
  <c r="M189" i="5"/>
  <c r="N189" i="5"/>
  <c r="M190" i="5"/>
  <c r="B191" i="5"/>
  <c r="M191" i="5"/>
  <c r="N191" i="5"/>
  <c r="M192" i="5"/>
  <c r="B193" i="5"/>
  <c r="M193" i="5"/>
  <c r="N193" i="5"/>
  <c r="M194" i="5"/>
  <c r="B195" i="5"/>
  <c r="M195" i="5"/>
  <c r="N195" i="5"/>
  <c r="M196" i="5"/>
  <c r="B197" i="5"/>
  <c r="M197" i="5"/>
  <c r="N197" i="5"/>
  <c r="M198" i="5"/>
  <c r="B199" i="5"/>
  <c r="M199" i="5"/>
  <c r="N199" i="5"/>
  <c r="M200" i="5"/>
  <c r="B201" i="5"/>
  <c r="M201" i="5"/>
  <c r="N201" i="5"/>
  <c r="M202" i="5"/>
  <c r="B203" i="5"/>
  <c r="M203" i="5"/>
  <c r="N203" i="5"/>
  <c r="M204" i="5"/>
  <c r="B205" i="5"/>
  <c r="M205" i="5"/>
  <c r="N205" i="5"/>
  <c r="M206" i="5"/>
  <c r="B207" i="5"/>
  <c r="M207" i="5"/>
  <c r="N207" i="5"/>
  <c r="M208" i="5"/>
  <c r="B209" i="5"/>
  <c r="M209" i="5"/>
  <c r="N209" i="5"/>
  <c r="M210" i="5"/>
  <c r="B211" i="5"/>
  <c r="M211" i="5"/>
  <c r="N211" i="5"/>
  <c r="M212" i="5"/>
  <c r="B213" i="5"/>
  <c r="M213" i="5"/>
  <c r="N213" i="5"/>
  <c r="M214" i="5"/>
  <c r="B215" i="5"/>
  <c r="M215" i="5"/>
  <c r="N215" i="5"/>
  <c r="M216" i="5"/>
  <c r="B217" i="5"/>
  <c r="M217" i="5"/>
  <c r="N217" i="5"/>
  <c r="M218" i="5"/>
  <c r="B219" i="5"/>
  <c r="M219" i="5"/>
  <c r="N219" i="5"/>
  <c r="M220" i="5"/>
  <c r="B221" i="5"/>
  <c r="M221" i="5"/>
  <c r="N221" i="5"/>
  <c r="M222" i="5"/>
  <c r="B223" i="5"/>
  <c r="M223" i="5"/>
  <c r="N223" i="5"/>
  <c r="M224" i="5"/>
  <c r="B225" i="5"/>
  <c r="M225" i="5"/>
  <c r="N225" i="5"/>
  <c r="M226" i="5"/>
  <c r="B227" i="5"/>
  <c r="M227" i="5"/>
  <c r="N227" i="5"/>
  <c r="M228" i="5"/>
  <c r="B229" i="5"/>
  <c r="M229" i="5"/>
  <c r="N229" i="5"/>
  <c r="M230" i="5"/>
  <c r="B231" i="5"/>
  <c r="M231" i="5"/>
  <c r="N231" i="5"/>
  <c r="M232" i="5"/>
  <c r="B233" i="5"/>
  <c r="M233" i="5"/>
  <c r="N233" i="5"/>
  <c r="M234" i="5"/>
  <c r="B235" i="5"/>
  <c r="M235" i="5"/>
  <c r="N235" i="5"/>
  <c r="M236" i="5"/>
  <c r="B237" i="5"/>
  <c r="M237" i="5"/>
  <c r="N237" i="5"/>
  <c r="M238" i="5"/>
  <c r="B239" i="5"/>
  <c r="M239" i="5"/>
  <c r="N239" i="5"/>
  <c r="M240" i="5"/>
  <c r="B241" i="5"/>
  <c r="M241" i="5"/>
  <c r="N241" i="5"/>
  <c r="M242" i="5"/>
  <c r="B243" i="5"/>
  <c r="M243" i="5"/>
  <c r="N243" i="5"/>
  <c r="M244" i="5"/>
  <c r="B245" i="5"/>
  <c r="M245" i="5"/>
  <c r="N245" i="5"/>
  <c r="M246" i="5"/>
  <c r="B247" i="5"/>
  <c r="M247" i="5"/>
  <c r="N247" i="5"/>
  <c r="M248" i="5"/>
  <c r="B249" i="5"/>
  <c r="M249" i="5"/>
  <c r="N249" i="5"/>
  <c r="M250" i="5"/>
  <c r="B251" i="5"/>
  <c r="M251" i="5"/>
  <c r="N251" i="5"/>
  <c r="M252" i="5"/>
  <c r="B253" i="5"/>
  <c r="M253" i="5"/>
  <c r="N253" i="5"/>
  <c r="M254" i="5"/>
  <c r="B255" i="5"/>
  <c r="M255" i="5"/>
  <c r="N255" i="5"/>
  <c r="M256" i="5"/>
  <c r="B257" i="5"/>
  <c r="M257" i="5"/>
  <c r="N257" i="5"/>
  <c r="M258" i="5"/>
  <c r="B259" i="5"/>
  <c r="M259" i="5"/>
  <c r="N259" i="5"/>
  <c r="M260" i="5"/>
  <c r="B261" i="5"/>
  <c r="M261" i="5"/>
  <c r="N261" i="5"/>
  <c r="M262" i="5"/>
  <c r="B263" i="5"/>
  <c r="M263" i="5"/>
  <c r="N263" i="5"/>
  <c r="M264" i="5"/>
  <c r="B265" i="5"/>
  <c r="M265" i="5"/>
  <c r="N265" i="5"/>
  <c r="M266" i="5"/>
  <c r="B267" i="5"/>
  <c r="M267" i="5"/>
  <c r="N267" i="5"/>
  <c r="M268" i="5"/>
  <c r="B269" i="5"/>
  <c r="M269" i="5"/>
  <c r="N269" i="5"/>
  <c r="M270" i="5"/>
  <c r="B271" i="5"/>
  <c r="M271" i="5"/>
  <c r="N271" i="5"/>
  <c r="M272" i="5"/>
  <c r="B273" i="5"/>
  <c r="M273" i="5"/>
  <c r="N273" i="5"/>
  <c r="M274" i="5"/>
  <c r="B275" i="5"/>
  <c r="M275" i="5"/>
  <c r="N275" i="5"/>
  <c r="M276" i="5"/>
  <c r="B277" i="5"/>
  <c r="M277" i="5"/>
  <c r="N277" i="5"/>
  <c r="M278" i="5"/>
  <c r="B279" i="5"/>
  <c r="M279" i="5"/>
  <c r="N279" i="5"/>
  <c r="M280" i="5"/>
  <c r="B281" i="5"/>
  <c r="M281" i="5"/>
  <c r="N281" i="5"/>
  <c r="M282" i="5"/>
  <c r="B283" i="5"/>
  <c r="M283" i="5"/>
  <c r="N283" i="5"/>
  <c r="M284" i="5"/>
  <c r="B285" i="5"/>
  <c r="M285" i="5"/>
  <c r="N285" i="5"/>
  <c r="M286" i="5"/>
  <c r="B287" i="5"/>
  <c r="M287" i="5"/>
  <c r="N287" i="5"/>
  <c r="M288" i="5"/>
  <c r="B289" i="5"/>
  <c r="M289" i="5"/>
  <c r="N289" i="5"/>
  <c r="M290" i="5"/>
  <c r="B291" i="5"/>
  <c r="M291" i="5"/>
  <c r="N291" i="5"/>
  <c r="M292" i="5"/>
  <c r="B293" i="5"/>
  <c r="M293" i="5"/>
  <c r="N293" i="5"/>
  <c r="M294" i="5"/>
  <c r="B295" i="5"/>
  <c r="M295" i="5"/>
  <c r="N295" i="5"/>
  <c r="M296" i="5"/>
  <c r="B297" i="5"/>
  <c r="M297" i="5"/>
  <c r="N297" i="5"/>
  <c r="M298" i="5"/>
  <c r="B299" i="5"/>
  <c r="M299" i="5"/>
  <c r="N299" i="5"/>
  <c r="M300" i="5"/>
  <c r="B301" i="5"/>
  <c r="M301" i="5"/>
  <c r="N301" i="5"/>
  <c r="M302" i="5"/>
  <c r="B303" i="5"/>
  <c r="M303" i="5"/>
  <c r="N303" i="5"/>
  <c r="M304" i="5"/>
  <c r="B305" i="5"/>
  <c r="M305" i="5"/>
  <c r="N305" i="5"/>
  <c r="M306" i="5"/>
  <c r="B307" i="5"/>
  <c r="M307" i="5"/>
  <c r="N307" i="5"/>
  <c r="M308" i="5"/>
  <c r="B309" i="5"/>
  <c r="M309" i="5"/>
  <c r="N309" i="5"/>
  <c r="M310" i="5"/>
  <c r="B311" i="5"/>
  <c r="M311" i="5"/>
  <c r="N311" i="5"/>
  <c r="M312" i="5"/>
  <c r="B313" i="5"/>
  <c r="M313" i="5"/>
  <c r="N313" i="5"/>
  <c r="M314" i="5"/>
  <c r="B315" i="5"/>
  <c r="M315" i="5"/>
  <c r="N315" i="5"/>
  <c r="M316" i="5"/>
  <c r="B317" i="5"/>
  <c r="M317" i="5"/>
  <c r="N317" i="5"/>
  <c r="M318" i="5"/>
  <c r="B319" i="5"/>
  <c r="M319" i="5"/>
  <c r="N319" i="5"/>
  <c r="M320" i="5"/>
  <c r="B321" i="5"/>
  <c r="M321" i="5"/>
  <c r="N321" i="5"/>
  <c r="M322" i="5"/>
  <c r="B323" i="5"/>
  <c r="M323" i="5"/>
  <c r="N323" i="5"/>
  <c r="M324" i="5"/>
  <c r="B325" i="5"/>
  <c r="M325" i="5"/>
  <c r="N325" i="5"/>
  <c r="M326" i="5"/>
  <c r="B327" i="5"/>
  <c r="M327" i="5"/>
  <c r="N327" i="5"/>
  <c r="M328" i="5"/>
  <c r="B329" i="5"/>
  <c r="M329" i="5"/>
  <c r="N329" i="5"/>
  <c r="M330" i="5"/>
  <c r="B331" i="5"/>
  <c r="M331" i="5"/>
  <c r="N331" i="5"/>
  <c r="M332" i="5"/>
  <c r="B333" i="5"/>
  <c r="M333" i="5"/>
  <c r="N333" i="5"/>
  <c r="M334" i="5"/>
  <c r="B335" i="5"/>
  <c r="M335" i="5"/>
  <c r="N335" i="5"/>
  <c r="M336" i="5"/>
  <c r="B337" i="5"/>
  <c r="M337" i="5"/>
  <c r="N337" i="5"/>
  <c r="M338" i="5"/>
  <c r="B339" i="5"/>
  <c r="M339" i="5"/>
  <c r="N339" i="5"/>
  <c r="M340" i="5"/>
  <c r="B341" i="5"/>
  <c r="M341" i="5"/>
  <c r="N341" i="5"/>
  <c r="M342" i="5"/>
  <c r="B343" i="5"/>
  <c r="M343" i="5"/>
  <c r="N343" i="5"/>
  <c r="M344" i="5"/>
  <c r="B345" i="5"/>
  <c r="M345" i="5"/>
  <c r="N345" i="5"/>
  <c r="M346" i="5"/>
  <c r="B347" i="5"/>
  <c r="M347" i="5"/>
  <c r="N347" i="5"/>
  <c r="M348" i="5"/>
  <c r="B349" i="5"/>
  <c r="M349" i="5"/>
  <c r="N349" i="5"/>
  <c r="M350" i="5"/>
  <c r="B351" i="5"/>
  <c r="M351" i="5"/>
  <c r="N351" i="5"/>
  <c r="M352" i="5"/>
  <c r="B353" i="5"/>
  <c r="M353" i="5"/>
  <c r="N353" i="5"/>
  <c r="M354" i="5"/>
  <c r="B355" i="5"/>
  <c r="M355" i="5"/>
  <c r="N355" i="5"/>
  <c r="M356" i="5"/>
  <c r="B357" i="5"/>
  <c r="M357" i="5"/>
  <c r="N357" i="5"/>
  <c r="M358" i="5"/>
  <c r="B359" i="5"/>
  <c r="M359" i="5"/>
  <c r="N359" i="5"/>
  <c r="M360" i="5"/>
  <c r="B361" i="5"/>
  <c r="M361" i="5"/>
  <c r="N361" i="5"/>
  <c r="M362" i="5"/>
  <c r="B363" i="5"/>
  <c r="M363" i="5"/>
  <c r="N363" i="5"/>
  <c r="M364" i="5"/>
  <c r="B365" i="5"/>
  <c r="M365" i="5"/>
  <c r="N365" i="5"/>
  <c r="M366" i="5"/>
  <c r="B367" i="5"/>
  <c r="M367" i="5"/>
  <c r="N367" i="5"/>
  <c r="M368" i="5"/>
  <c r="B369" i="5"/>
  <c r="M369" i="5"/>
  <c r="N369" i="5"/>
  <c r="M370" i="5"/>
  <c r="B371" i="5"/>
  <c r="M371" i="5"/>
  <c r="N371" i="5"/>
  <c r="M372" i="5"/>
  <c r="B373" i="5"/>
  <c r="M373" i="5"/>
  <c r="N373" i="5"/>
  <c r="M374" i="5"/>
  <c r="B375" i="5"/>
  <c r="M375" i="5"/>
  <c r="N375" i="5"/>
  <c r="M376" i="5"/>
  <c r="B377" i="5"/>
  <c r="M377" i="5"/>
  <c r="N377" i="5"/>
  <c r="M378" i="5"/>
  <c r="B379" i="5"/>
  <c r="M379" i="5"/>
  <c r="N379" i="5"/>
  <c r="M380" i="5"/>
  <c r="B381" i="5"/>
  <c r="M381" i="5"/>
  <c r="N381" i="5"/>
  <c r="M382" i="5"/>
  <c r="B383" i="5"/>
  <c r="M383" i="5"/>
  <c r="N383" i="5"/>
  <c r="M384" i="5"/>
  <c r="B385" i="5"/>
  <c r="M385" i="5"/>
  <c r="N385" i="5"/>
  <c r="M386" i="5"/>
  <c r="B387" i="5"/>
  <c r="M387" i="5"/>
  <c r="N387" i="5"/>
  <c r="M388" i="5"/>
  <c r="B389" i="5"/>
  <c r="M389" i="5"/>
  <c r="N389" i="5"/>
  <c r="M390" i="5"/>
  <c r="B391" i="5"/>
  <c r="M391" i="5"/>
  <c r="N391" i="5"/>
  <c r="M392" i="5"/>
  <c r="B393" i="5"/>
  <c r="M393" i="5"/>
  <c r="N393" i="5"/>
  <c r="M394" i="5"/>
  <c r="B395" i="5"/>
  <c r="M395" i="5"/>
  <c r="N395" i="5"/>
  <c r="M396" i="5"/>
  <c r="B397" i="5"/>
  <c r="M397" i="5"/>
  <c r="N397" i="5"/>
  <c r="M398" i="5"/>
  <c r="B399" i="5"/>
  <c r="M399" i="5"/>
  <c r="N399" i="5"/>
  <c r="M400" i="5"/>
  <c r="B401" i="5"/>
  <c r="M401" i="5"/>
  <c r="N401" i="5"/>
  <c r="M402" i="5"/>
  <c r="B403" i="5"/>
  <c r="M403" i="5"/>
  <c r="N403" i="5"/>
  <c r="M404" i="5"/>
  <c r="B405" i="5"/>
  <c r="M405" i="5"/>
  <c r="N405" i="5"/>
  <c r="M406" i="5"/>
  <c r="B407" i="5"/>
  <c r="M407" i="5"/>
  <c r="N407" i="5"/>
  <c r="M408" i="5"/>
  <c r="B409" i="5"/>
  <c r="M409" i="5"/>
  <c r="N409" i="5"/>
  <c r="M410" i="5"/>
  <c r="B411" i="5"/>
  <c r="M411" i="5"/>
  <c r="N411" i="5"/>
  <c r="M412" i="5"/>
  <c r="B413" i="5"/>
  <c r="M413" i="5"/>
  <c r="N413" i="5"/>
  <c r="M414" i="5"/>
  <c r="B415" i="5"/>
  <c r="M415" i="5"/>
  <c r="N415" i="5"/>
  <c r="M416" i="5"/>
  <c r="B417" i="5"/>
  <c r="M417" i="5"/>
  <c r="N417" i="5"/>
  <c r="M418" i="5"/>
  <c r="B419" i="5"/>
  <c r="M419" i="5"/>
  <c r="N419" i="5"/>
  <c r="M420" i="5"/>
  <c r="B421" i="5"/>
  <c r="M421" i="5"/>
  <c r="N421" i="5"/>
  <c r="M422" i="5"/>
  <c r="B423" i="5"/>
  <c r="M423" i="5"/>
  <c r="N423" i="5"/>
  <c r="M424" i="5"/>
  <c r="B425" i="5"/>
  <c r="M425" i="5"/>
  <c r="N425" i="5"/>
  <c r="M426" i="5"/>
  <c r="B427" i="5"/>
  <c r="M427" i="5"/>
  <c r="N427" i="5"/>
  <c r="M428" i="5"/>
  <c r="B429" i="5"/>
  <c r="M429" i="5"/>
  <c r="N429" i="5"/>
  <c r="M430" i="5"/>
  <c r="B431" i="5"/>
  <c r="M431" i="5"/>
  <c r="N431" i="5"/>
  <c r="M432" i="5"/>
  <c r="B433" i="5"/>
  <c r="M433" i="5"/>
  <c r="N433" i="5"/>
  <c r="M434" i="5"/>
  <c r="B435" i="5"/>
  <c r="M435" i="5"/>
  <c r="N435" i="5"/>
  <c r="M436" i="5"/>
  <c r="B437" i="5"/>
  <c r="M437" i="5"/>
  <c r="N437" i="5"/>
  <c r="M438" i="5"/>
  <c r="B439" i="5"/>
  <c r="M439" i="5"/>
  <c r="N439" i="5"/>
  <c r="M440" i="5"/>
  <c r="B441" i="5"/>
  <c r="M441" i="5"/>
  <c r="N441" i="5"/>
  <c r="M442" i="5"/>
  <c r="B443" i="5"/>
  <c r="M443" i="5"/>
  <c r="N443" i="5"/>
  <c r="M444" i="5"/>
  <c r="B445" i="5"/>
  <c r="M445" i="5"/>
  <c r="N445" i="5"/>
  <c r="M446" i="5"/>
  <c r="B447" i="5"/>
  <c r="M447" i="5"/>
  <c r="N447" i="5"/>
  <c r="M448" i="5"/>
  <c r="B449" i="5"/>
  <c r="M449" i="5"/>
  <c r="N449" i="5"/>
  <c r="M450" i="5"/>
  <c r="B451" i="5"/>
  <c r="M451" i="5"/>
  <c r="N451" i="5"/>
  <c r="M452" i="5"/>
  <c r="B453" i="5"/>
  <c r="M453" i="5"/>
  <c r="N453" i="5"/>
  <c r="M454" i="5"/>
  <c r="B455" i="5"/>
  <c r="M455" i="5"/>
  <c r="N455" i="5"/>
  <c r="M456" i="5"/>
  <c r="B457" i="5"/>
  <c r="M457" i="5"/>
  <c r="N457" i="5"/>
  <c r="M458" i="5"/>
  <c r="B459" i="5"/>
  <c r="M459" i="5"/>
  <c r="N459" i="5"/>
  <c r="M460" i="5"/>
  <c r="B461" i="5"/>
  <c r="M461" i="5"/>
  <c r="N461" i="5"/>
  <c r="M462" i="5"/>
  <c r="B463" i="5"/>
  <c r="B475" i="5" s="1"/>
  <c r="M463" i="5"/>
  <c r="N463" i="5"/>
  <c r="M464" i="5"/>
  <c r="B465" i="5"/>
  <c r="M465" i="5"/>
  <c r="N465" i="5"/>
  <c r="M466" i="5"/>
  <c r="B467" i="5"/>
  <c r="M467" i="5"/>
  <c r="N467" i="5"/>
  <c r="M468" i="5"/>
  <c r="B469" i="5"/>
  <c r="M469" i="5"/>
  <c r="N469" i="5"/>
  <c r="M470" i="5"/>
  <c r="B471" i="5"/>
  <c r="M471" i="5"/>
  <c r="N471" i="5"/>
  <c r="M472" i="5"/>
  <c r="B473" i="5"/>
  <c r="M473" i="5"/>
  <c r="N473" i="5"/>
  <c r="M474" i="5"/>
  <c r="M475" i="5"/>
  <c r="M476" i="5"/>
  <c r="B477" i="5"/>
  <c r="M477" i="5"/>
  <c r="N477" i="5"/>
  <c r="M478" i="5"/>
  <c r="B479" i="5"/>
  <c r="M479" i="5"/>
  <c r="N479" i="5"/>
  <c r="M480" i="5"/>
  <c r="B481" i="5"/>
  <c r="M481" i="5"/>
  <c r="N481" i="5"/>
  <c r="M482" i="5"/>
  <c r="B483" i="5"/>
  <c r="M483" i="5"/>
  <c r="N483" i="5"/>
  <c r="M484" i="5"/>
  <c r="B485" i="5"/>
  <c r="M485" i="5"/>
  <c r="N485" i="5"/>
  <c r="M486" i="5"/>
  <c r="M487" i="5"/>
  <c r="M488" i="5"/>
  <c r="B489" i="5"/>
  <c r="M489" i="5"/>
  <c r="N489" i="5"/>
  <c r="M490" i="5"/>
  <c r="B491" i="5"/>
  <c r="M491" i="5"/>
  <c r="N491" i="5"/>
  <c r="M492" i="5"/>
  <c r="B493" i="5"/>
  <c r="M493" i="5"/>
  <c r="N493" i="5"/>
  <c r="M494" i="5"/>
  <c r="B495" i="5"/>
  <c r="M495" i="5"/>
  <c r="N495" i="5"/>
  <c r="M496" i="5"/>
  <c r="B497" i="5"/>
  <c r="M497" i="5"/>
  <c r="N497" i="5"/>
  <c r="M498" i="5"/>
  <c r="M499" i="5"/>
  <c r="M500" i="5"/>
  <c r="B501" i="5"/>
  <c r="M501" i="5"/>
  <c r="N501" i="5"/>
  <c r="M502" i="5"/>
  <c r="B503" i="5"/>
  <c r="M503" i="5"/>
  <c r="N503" i="5"/>
  <c r="M504" i="5"/>
  <c r="B505" i="5"/>
  <c r="M505" i="5"/>
  <c r="N505" i="5"/>
  <c r="M506" i="5"/>
  <c r="B507" i="5"/>
  <c r="M507" i="5"/>
  <c r="N507" i="5"/>
  <c r="M508" i="5"/>
  <c r="B509" i="5"/>
  <c r="M509" i="5"/>
  <c r="N509" i="5"/>
  <c r="M510" i="5"/>
  <c r="M511" i="5"/>
  <c r="M512" i="5"/>
  <c r="B513" i="5"/>
  <c r="M513" i="5"/>
  <c r="N513" i="5"/>
  <c r="M514" i="5"/>
  <c r="B515" i="5"/>
  <c r="M515" i="5"/>
  <c r="N515" i="5"/>
  <c r="M516" i="5"/>
  <c r="B517" i="5"/>
  <c r="M517" i="5"/>
  <c r="N517" i="5"/>
  <c r="M518" i="5"/>
  <c r="B519" i="5"/>
  <c r="M519" i="5"/>
  <c r="N519" i="5"/>
  <c r="M520" i="5"/>
  <c r="B521" i="5"/>
  <c r="M521" i="5"/>
  <c r="N521" i="5"/>
  <c r="M522" i="5"/>
  <c r="M523" i="5"/>
  <c r="M524" i="5"/>
  <c r="B525" i="5"/>
  <c r="M525" i="5"/>
  <c r="N525" i="5"/>
  <c r="M526" i="5"/>
  <c r="B527" i="5"/>
  <c r="M527" i="5"/>
  <c r="N527" i="5"/>
  <c r="M528" i="5"/>
  <c r="B529" i="5"/>
  <c r="M529" i="5"/>
  <c r="N529" i="5"/>
  <c r="M530" i="5"/>
  <c r="B531" i="5"/>
  <c r="M531" i="5"/>
  <c r="N531" i="5"/>
  <c r="M532" i="5"/>
  <c r="B533" i="5"/>
  <c r="M533" i="5"/>
  <c r="N533" i="5"/>
  <c r="M534" i="5"/>
  <c r="M535" i="5"/>
  <c r="M536" i="5"/>
  <c r="B537" i="5"/>
  <c r="M537" i="5"/>
  <c r="N537" i="5"/>
  <c r="M538" i="5"/>
  <c r="B539" i="5"/>
  <c r="M539" i="5"/>
  <c r="N539" i="5"/>
  <c r="M540" i="5"/>
  <c r="B541" i="5"/>
  <c r="M541" i="5"/>
  <c r="N541" i="5"/>
  <c r="M542" i="5"/>
  <c r="B543" i="5"/>
  <c r="M543" i="5"/>
  <c r="N543" i="5"/>
  <c r="M544" i="5"/>
  <c r="B545" i="5"/>
  <c r="M545" i="5"/>
  <c r="N545" i="5"/>
  <c r="M546" i="5"/>
  <c r="M547" i="5"/>
  <c r="M548" i="5"/>
  <c r="B549" i="5"/>
  <c r="M549" i="5"/>
  <c r="N549" i="5"/>
  <c r="M550" i="5"/>
  <c r="B551" i="5"/>
  <c r="M551" i="5"/>
  <c r="N551" i="5"/>
  <c r="M552" i="5"/>
  <c r="B553" i="5"/>
  <c r="M553" i="5"/>
  <c r="N553" i="5"/>
  <c r="M554" i="5"/>
  <c r="B555" i="5"/>
  <c r="M555" i="5"/>
  <c r="N555" i="5"/>
  <c r="M556" i="5"/>
  <c r="B557" i="5"/>
  <c r="M557" i="5"/>
  <c r="N557" i="5"/>
  <c r="M558" i="5"/>
  <c r="M559" i="5"/>
  <c r="M560" i="5"/>
  <c r="B561" i="5"/>
  <c r="M561" i="5"/>
  <c r="N561" i="5"/>
  <c r="M562" i="5"/>
  <c r="B563" i="5"/>
  <c r="M563" i="5"/>
  <c r="N563" i="5"/>
  <c r="M564" i="5"/>
  <c r="B565" i="5"/>
  <c r="M565" i="5"/>
  <c r="N565" i="5"/>
  <c r="M566" i="5"/>
  <c r="B567" i="5"/>
  <c r="M567" i="5"/>
  <c r="N567" i="5"/>
  <c r="M568" i="5"/>
  <c r="B569" i="5"/>
  <c r="M569" i="5"/>
  <c r="N569" i="5"/>
  <c r="M570" i="5"/>
  <c r="M571" i="5"/>
  <c r="M572" i="5"/>
  <c r="B573" i="5"/>
  <c r="M573" i="5"/>
  <c r="N573" i="5"/>
  <c r="M574" i="5"/>
  <c r="B575" i="5"/>
  <c r="M575" i="5"/>
  <c r="N575" i="5"/>
  <c r="M576" i="5"/>
  <c r="B577" i="5"/>
  <c r="M577" i="5"/>
  <c r="N577" i="5"/>
  <c r="M578" i="5"/>
  <c r="B579" i="5"/>
  <c r="M579" i="5"/>
  <c r="N579" i="5"/>
  <c r="M580" i="5"/>
  <c r="B581" i="5"/>
  <c r="M581" i="5"/>
  <c r="N581" i="5"/>
  <c r="M582" i="5"/>
  <c r="M583" i="5"/>
  <c r="M584" i="5"/>
  <c r="B585" i="5"/>
  <c r="M585" i="5"/>
  <c r="N585" i="5"/>
  <c r="M586" i="5"/>
  <c r="B587" i="5"/>
  <c r="M587" i="5"/>
  <c r="N587" i="5"/>
  <c r="M588" i="5"/>
  <c r="B589" i="5"/>
  <c r="M589" i="5"/>
  <c r="N589" i="5"/>
  <c r="M590" i="5"/>
  <c r="B591" i="5"/>
  <c r="M591" i="5"/>
  <c r="N591" i="5"/>
  <c r="M592" i="5"/>
  <c r="B593" i="5"/>
  <c r="M593" i="5"/>
  <c r="N593" i="5"/>
  <c r="M594" i="5"/>
  <c r="M595" i="5"/>
  <c r="M596" i="5"/>
  <c r="B597" i="5"/>
  <c r="M597" i="5"/>
  <c r="N597" i="5"/>
  <c r="M598" i="5"/>
  <c r="B599" i="5"/>
  <c r="M599" i="5"/>
  <c r="N599" i="5"/>
  <c r="M600" i="5"/>
  <c r="B601" i="5"/>
  <c r="M601" i="5"/>
  <c r="N601" i="5"/>
  <c r="M602" i="5"/>
  <c r="B603" i="5"/>
  <c r="M603" i="5"/>
  <c r="N603" i="5"/>
  <c r="M604" i="5"/>
  <c r="B605" i="5"/>
  <c r="M605" i="5"/>
  <c r="N605" i="5"/>
  <c r="M606" i="5"/>
  <c r="M607" i="5"/>
  <c r="M608" i="5"/>
  <c r="B609" i="5"/>
  <c r="M609" i="5"/>
  <c r="N609" i="5"/>
  <c r="M610" i="5"/>
  <c r="B611" i="5"/>
  <c r="M611" i="5"/>
  <c r="N611" i="5"/>
  <c r="M612" i="5"/>
  <c r="B613" i="5"/>
  <c r="M613" i="5"/>
  <c r="N613" i="5"/>
  <c r="M614" i="5"/>
  <c r="B615" i="5"/>
  <c r="M615" i="5"/>
  <c r="N615" i="5"/>
  <c r="M616" i="5"/>
  <c r="B617" i="5"/>
  <c r="M617" i="5"/>
  <c r="N617" i="5"/>
  <c r="M618" i="5"/>
  <c r="M619" i="5"/>
  <c r="M620" i="5"/>
  <c r="B621" i="5"/>
  <c r="M621" i="5"/>
  <c r="N621" i="5"/>
  <c r="M622" i="5"/>
  <c r="B623" i="5"/>
  <c r="M623" i="5"/>
  <c r="N623" i="5"/>
  <c r="M624" i="5"/>
  <c r="B625" i="5"/>
  <c r="M625" i="5"/>
  <c r="N625" i="5"/>
  <c r="M626" i="5"/>
  <c r="B627" i="5"/>
  <c r="M627" i="5"/>
  <c r="N627" i="5"/>
  <c r="M628" i="5"/>
  <c r="B629" i="5"/>
  <c r="M629" i="5"/>
  <c r="N629" i="5"/>
  <c r="M630" i="5"/>
  <c r="M631" i="5"/>
  <c r="M632" i="5"/>
  <c r="B633" i="5"/>
  <c r="M633" i="5"/>
  <c r="N633" i="5"/>
  <c r="M634" i="5"/>
  <c r="B635" i="5"/>
  <c r="M635" i="5"/>
  <c r="N635" i="5"/>
  <c r="M636" i="5"/>
  <c r="B637" i="5"/>
  <c r="M637" i="5"/>
  <c r="N637" i="5"/>
  <c r="M638" i="5"/>
  <c r="B639" i="5"/>
  <c r="M639" i="5"/>
  <c r="N639" i="5"/>
  <c r="M640" i="5"/>
  <c r="B641" i="5"/>
  <c r="M641" i="5"/>
  <c r="N641" i="5"/>
  <c r="M642" i="5"/>
  <c r="M643" i="5"/>
  <c r="M644" i="5"/>
  <c r="B645" i="5"/>
  <c r="M645" i="5"/>
  <c r="N645" i="5"/>
  <c r="M646" i="5"/>
  <c r="B647" i="5"/>
  <c r="M647" i="5"/>
  <c r="N647" i="5"/>
  <c r="M648" i="5"/>
  <c r="B649" i="5"/>
  <c r="M649" i="5"/>
  <c r="N649" i="5"/>
  <c r="M650" i="5"/>
  <c r="B651" i="5"/>
  <c r="M651" i="5"/>
  <c r="N651" i="5"/>
  <c r="M652" i="5"/>
  <c r="B653" i="5"/>
  <c r="M653" i="5"/>
  <c r="N653" i="5"/>
  <c r="M654" i="5"/>
  <c r="M655" i="5"/>
  <c r="M656" i="5"/>
  <c r="B657" i="5"/>
  <c r="M657" i="5"/>
  <c r="N657" i="5"/>
  <c r="M658" i="5"/>
  <c r="B659" i="5"/>
  <c r="M659" i="5"/>
  <c r="N659" i="5"/>
  <c r="M660" i="5"/>
  <c r="B661" i="5"/>
  <c r="M661" i="5"/>
  <c r="N661" i="5"/>
  <c r="M662" i="5"/>
  <c r="B663" i="5"/>
  <c r="M663" i="5"/>
  <c r="N663" i="5"/>
  <c r="M664" i="5"/>
  <c r="B665" i="5"/>
  <c r="M665" i="5"/>
  <c r="N665" i="5"/>
  <c r="M666" i="5"/>
  <c r="M667" i="5"/>
  <c r="M668" i="5"/>
  <c r="B669" i="5"/>
  <c r="M669" i="5"/>
  <c r="N669" i="5"/>
  <c r="M670" i="5"/>
  <c r="B671" i="5"/>
  <c r="M671" i="5"/>
  <c r="N671" i="5"/>
  <c r="M672" i="5"/>
  <c r="B673" i="5"/>
  <c r="M673" i="5"/>
  <c r="N673" i="5"/>
  <c r="M674" i="5"/>
  <c r="B675" i="5"/>
  <c r="M675" i="5"/>
  <c r="N675" i="5"/>
  <c r="M676" i="5"/>
  <c r="B677" i="5"/>
  <c r="M677" i="5"/>
  <c r="N677" i="5"/>
  <c r="M678" i="5"/>
  <c r="M679" i="5"/>
  <c r="M680" i="5"/>
  <c r="B681" i="5"/>
  <c r="M681" i="5"/>
  <c r="N681" i="5"/>
  <c r="M682" i="5"/>
  <c r="B683" i="5"/>
  <c r="M683" i="5"/>
  <c r="N683" i="5"/>
  <c r="M684" i="5"/>
  <c r="B685" i="5"/>
  <c r="M685" i="5"/>
  <c r="N685" i="5"/>
  <c r="M686" i="5"/>
  <c r="B687" i="5"/>
  <c r="M687" i="5"/>
  <c r="N687" i="5"/>
  <c r="M688" i="5"/>
  <c r="B689" i="5"/>
  <c r="M689" i="5"/>
  <c r="N689" i="5"/>
  <c r="M690" i="5"/>
  <c r="M691" i="5"/>
  <c r="M692" i="5"/>
  <c r="B693" i="5"/>
  <c r="M693" i="5"/>
  <c r="N693" i="5"/>
  <c r="M694" i="5"/>
  <c r="B695" i="5"/>
  <c r="M695" i="5"/>
  <c r="N695" i="5"/>
  <c r="M696" i="5"/>
  <c r="B697" i="5"/>
  <c r="M697" i="5"/>
  <c r="N697" i="5"/>
  <c r="M698" i="5"/>
  <c r="B699" i="5"/>
  <c r="M699" i="5"/>
  <c r="N699" i="5"/>
  <c r="M700" i="5"/>
  <c r="B701" i="5"/>
  <c r="M701" i="5"/>
  <c r="N701" i="5"/>
  <c r="M702" i="5"/>
  <c r="M703" i="5"/>
  <c r="M704" i="5"/>
  <c r="B705" i="5"/>
  <c r="M705" i="5"/>
  <c r="N705" i="5"/>
  <c r="M706" i="5"/>
  <c r="B707" i="5"/>
  <c r="M707" i="5"/>
  <c r="N707" i="5"/>
  <c r="M708" i="5"/>
  <c r="B709" i="5"/>
  <c r="M709" i="5"/>
  <c r="N709" i="5"/>
  <c r="M710" i="5"/>
  <c r="B711" i="5"/>
  <c r="M711" i="5"/>
  <c r="N711" i="5"/>
  <c r="M712" i="5"/>
  <c r="B713" i="5"/>
  <c r="M713" i="5"/>
  <c r="N713" i="5"/>
  <c r="M714" i="5"/>
  <c r="M715" i="5"/>
  <c r="M716" i="5"/>
  <c r="B717" i="5"/>
  <c r="M717" i="5"/>
  <c r="N717" i="5"/>
  <c r="M718" i="5"/>
  <c r="B719" i="5"/>
  <c r="M719" i="5"/>
  <c r="N719" i="5"/>
  <c r="M720" i="5"/>
  <c r="B721" i="5"/>
  <c r="M721" i="5"/>
  <c r="N721" i="5"/>
  <c r="M722" i="5"/>
  <c r="B723" i="5"/>
  <c r="M723" i="5"/>
  <c r="N723" i="5"/>
  <c r="M724" i="5"/>
  <c r="B725" i="5"/>
  <c r="M725" i="5"/>
  <c r="N725" i="5"/>
  <c r="M726" i="5"/>
  <c r="M727" i="5"/>
  <c r="M728" i="5"/>
  <c r="B729" i="5"/>
  <c r="M729" i="5"/>
  <c r="N729" i="5"/>
  <c r="M730" i="5"/>
  <c r="B731" i="5"/>
  <c r="M731" i="5"/>
  <c r="N731" i="5"/>
  <c r="M732" i="5"/>
  <c r="B733" i="5"/>
  <c r="M733" i="5"/>
  <c r="N733" i="5"/>
  <c r="M734" i="5"/>
  <c r="B735" i="5"/>
  <c r="M735" i="5"/>
  <c r="N735" i="5"/>
  <c r="M736" i="5"/>
  <c r="B737" i="5"/>
  <c r="M737" i="5"/>
  <c r="N737" i="5"/>
  <c r="M738" i="5"/>
  <c r="M739" i="5"/>
  <c r="M740" i="5"/>
  <c r="B741" i="5"/>
  <c r="M741" i="5"/>
  <c r="N741" i="5"/>
  <c r="M742" i="5"/>
  <c r="B743" i="5"/>
  <c r="M743" i="5"/>
  <c r="N743" i="5"/>
  <c r="M744" i="5"/>
  <c r="B745" i="5"/>
  <c r="M745" i="5"/>
  <c r="N745" i="5"/>
  <c r="M746" i="5"/>
  <c r="B747" i="5"/>
  <c r="M747" i="5"/>
  <c r="N747" i="5"/>
  <c r="M748" i="5"/>
  <c r="B749" i="5"/>
  <c r="M749" i="5"/>
  <c r="N749" i="5"/>
  <c r="M750" i="5"/>
  <c r="M751" i="5"/>
  <c r="M752" i="5"/>
  <c r="B753" i="5"/>
  <c r="M753" i="5"/>
  <c r="N753" i="5"/>
  <c r="M754" i="5"/>
  <c r="B755" i="5"/>
  <c r="M755" i="5"/>
  <c r="N755" i="5"/>
  <c r="M756" i="5"/>
  <c r="B757" i="5"/>
  <c r="M757" i="5"/>
  <c r="N757" i="5"/>
  <c r="M758" i="5"/>
  <c r="B759" i="5"/>
  <c r="M759" i="5"/>
  <c r="N759" i="5"/>
  <c r="M760" i="5"/>
  <c r="B761" i="5"/>
  <c r="M761" i="5"/>
  <c r="N761" i="5"/>
  <c r="M762" i="5"/>
  <c r="M763" i="5"/>
  <c r="M764" i="5"/>
  <c r="B765" i="5"/>
  <c r="M765" i="5"/>
  <c r="N765" i="5"/>
  <c r="M766" i="5"/>
  <c r="B767" i="5"/>
  <c r="M767" i="5"/>
  <c r="N767" i="5"/>
  <c r="M768" i="5"/>
  <c r="B769" i="5"/>
  <c r="M769" i="5"/>
  <c r="N769" i="5"/>
  <c r="M770" i="5"/>
  <c r="B771" i="5"/>
  <c r="M771" i="5"/>
  <c r="N771" i="5"/>
  <c r="M772" i="5"/>
  <c r="B773" i="5"/>
  <c r="M773" i="5"/>
  <c r="N773" i="5"/>
  <c r="M774" i="5"/>
  <c r="M775" i="5"/>
  <c r="M776" i="5"/>
  <c r="B777" i="5"/>
  <c r="M777" i="5"/>
  <c r="N777" i="5"/>
  <c r="M778" i="5"/>
  <c r="B779" i="5"/>
  <c r="M779" i="5"/>
  <c r="N779" i="5"/>
  <c r="M780" i="5"/>
  <c r="B781" i="5"/>
  <c r="M781" i="5"/>
  <c r="N781" i="5"/>
  <c r="M782" i="5"/>
  <c r="B783" i="5"/>
  <c r="M783" i="5"/>
  <c r="N783" i="5"/>
  <c r="M784" i="5"/>
  <c r="B785" i="5"/>
  <c r="M785" i="5"/>
  <c r="N785" i="5"/>
  <c r="M786" i="5"/>
  <c r="M787" i="5"/>
  <c r="M788" i="5"/>
  <c r="B789" i="5"/>
  <c r="M789" i="5"/>
  <c r="N789" i="5"/>
  <c r="M790" i="5"/>
  <c r="B791" i="5"/>
  <c r="M791" i="5"/>
  <c r="N791" i="5"/>
  <c r="M792" i="5"/>
  <c r="B793" i="5"/>
  <c r="M793" i="5"/>
  <c r="N793" i="5"/>
  <c r="M794" i="5"/>
  <c r="B795" i="5"/>
  <c r="M795" i="5"/>
  <c r="N795" i="5"/>
  <c r="M796" i="5"/>
  <c r="B797" i="5"/>
  <c r="M797" i="5"/>
  <c r="N797" i="5"/>
  <c r="M798" i="5"/>
  <c r="M799" i="5"/>
  <c r="M800" i="5"/>
  <c r="B801" i="5"/>
  <c r="M801" i="5"/>
  <c r="N801" i="5"/>
  <c r="M802" i="5"/>
  <c r="B803" i="5"/>
  <c r="M803" i="5"/>
  <c r="N803" i="5"/>
  <c r="M804" i="5"/>
  <c r="B805" i="5"/>
  <c r="M805" i="5"/>
  <c r="N805" i="5"/>
  <c r="M806" i="5"/>
  <c r="B807" i="5"/>
  <c r="M807" i="5"/>
  <c r="N807" i="5"/>
  <c r="M808" i="5"/>
  <c r="B809" i="5"/>
  <c r="M809" i="5"/>
  <c r="N809" i="5"/>
  <c r="M810" i="5"/>
  <c r="M811" i="5"/>
  <c r="M812" i="5"/>
  <c r="B813" i="5"/>
  <c r="M813" i="5"/>
  <c r="N813" i="5"/>
  <c r="M814" i="5"/>
  <c r="B815" i="5"/>
  <c r="M815" i="5"/>
  <c r="N815" i="5"/>
  <c r="M816" i="5"/>
  <c r="B817" i="5"/>
  <c r="M817" i="5"/>
  <c r="N817" i="5"/>
  <c r="M818" i="5"/>
  <c r="B819" i="5"/>
  <c r="B831" i="5" s="1"/>
  <c r="M819" i="5"/>
  <c r="N819" i="5"/>
  <c r="M820" i="5"/>
  <c r="B821" i="5"/>
  <c r="B833" i="5" s="1"/>
  <c r="M821" i="5"/>
  <c r="N821" i="5"/>
  <c r="M822" i="5"/>
  <c r="M823" i="5"/>
  <c r="M824" i="5"/>
  <c r="B825" i="5"/>
  <c r="B837" i="5" s="1"/>
  <c r="M825" i="5"/>
  <c r="N825" i="5"/>
  <c r="M826" i="5"/>
  <c r="B827" i="5"/>
  <c r="B839" i="5" s="1"/>
  <c r="M827" i="5"/>
  <c r="N827" i="5"/>
  <c r="M828" i="5"/>
  <c r="B829" i="5"/>
  <c r="B841" i="5" s="1"/>
  <c r="M829" i="5"/>
  <c r="N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D1003" i="5"/>
  <c r="E1003" i="5"/>
  <c r="H1003" i="5"/>
  <c r="M1003" i="5"/>
  <c r="G5" i="15"/>
  <c r="G7" i="15" s="1"/>
  <c r="G9" i="15" s="1"/>
  <c r="G11" i="15" s="1"/>
  <c r="G13" i="15" s="1"/>
  <c r="G15" i="15" s="1"/>
  <c r="G17" i="15" s="1"/>
  <c r="G19" i="15" s="1"/>
  <c r="G21" i="15" s="1"/>
  <c r="P3" i="15"/>
  <c r="P4" i="15" s="1"/>
  <c r="C15" i="16"/>
  <c r="C8" i="16"/>
  <c r="C3" i="16"/>
  <c r="B38" i="16"/>
  <c r="C36" i="16"/>
  <c r="C27" i="16"/>
  <c r="C54" i="3" s="1"/>
  <c r="C25" i="16"/>
  <c r="C23" i="16"/>
  <c r="C44" i="3" s="1"/>
  <c r="C22" i="16"/>
  <c r="C21" i="16"/>
  <c r="C21" i="7"/>
  <c r="B59" i="3"/>
  <c r="B31" i="7" s="1"/>
  <c r="C59" i="3"/>
  <c r="K1" i="7" s="1"/>
  <c r="B3" i="18"/>
  <c r="C6" i="18"/>
  <c r="D6" i="18" s="1"/>
  <c r="B4" i="18"/>
  <c r="J36" i="3"/>
  <c r="J38" i="3"/>
  <c r="J39" i="3" s="1"/>
  <c r="J40" i="3" s="1"/>
  <c r="J41" i="3" s="1"/>
  <c r="K38" i="3"/>
  <c r="K41" i="3" s="1"/>
  <c r="B49" i="3"/>
  <c r="D49" i="3" s="1"/>
  <c r="B50" i="3"/>
  <c r="F17" i="3"/>
  <c r="G17" i="3"/>
  <c r="H17" i="3"/>
  <c r="F3" i="3"/>
  <c r="G3" i="3"/>
  <c r="H3" i="3"/>
  <c r="C52" i="3"/>
  <c r="C45" i="3"/>
  <c r="C43" i="3"/>
  <c r="C42" i="3"/>
  <c r="D6" i="3"/>
  <c r="E6" i="3"/>
  <c r="F6" i="3"/>
  <c r="G6" i="3"/>
  <c r="H6" i="3"/>
  <c r="G3" i="5"/>
  <c r="G19" i="5"/>
  <c r="G31" i="5" s="1"/>
  <c r="G43" i="5" s="1"/>
  <c r="G55" i="5" s="1"/>
  <c r="G67" i="5" s="1"/>
  <c r="G79" i="5" s="1"/>
  <c r="G91" i="5" s="1"/>
  <c r="G103" i="5" s="1"/>
  <c r="G115" i="5" s="1"/>
  <c r="G127" i="5" s="1"/>
  <c r="G139" i="5" s="1"/>
  <c r="G151" i="5" s="1"/>
  <c r="G163" i="5" s="1"/>
  <c r="G175" i="5" s="1"/>
  <c r="G187" i="5" s="1"/>
  <c r="G199" i="5" s="1"/>
  <c r="G211" i="5" s="1"/>
  <c r="G223" i="5" s="1"/>
  <c r="G235" i="5" s="1"/>
  <c r="G247" i="5" s="1"/>
  <c r="G259" i="5" s="1"/>
  <c r="G271" i="5" s="1"/>
  <c r="G283" i="5" s="1"/>
  <c r="G295" i="5" s="1"/>
  <c r="G307" i="5" s="1"/>
  <c r="G319" i="5" s="1"/>
  <c r="G331" i="5" s="1"/>
  <c r="G343" i="5" s="1"/>
  <c r="G355" i="5" s="1"/>
  <c r="G367" i="5" s="1"/>
  <c r="G379" i="5" s="1"/>
  <c r="G391" i="5" s="1"/>
  <c r="G403" i="5" s="1"/>
  <c r="G415" i="5" s="1"/>
  <c r="G427" i="5" s="1"/>
  <c r="G439" i="5" s="1"/>
  <c r="G451" i="5" s="1"/>
  <c r="G463" i="5" s="1"/>
  <c r="G475" i="5" s="1"/>
  <c r="G487" i="5" s="1"/>
  <c r="G499" i="5" s="1"/>
  <c r="G511" i="5" s="1"/>
  <c r="G523" i="5" s="1"/>
  <c r="G535" i="5" s="1"/>
  <c r="G547" i="5" s="1"/>
  <c r="G559" i="5" s="1"/>
  <c r="G571" i="5" s="1"/>
  <c r="G583" i="5" s="1"/>
  <c r="G595" i="5" s="1"/>
  <c r="G607" i="5" s="1"/>
  <c r="G619" i="5" s="1"/>
  <c r="G631" i="5" s="1"/>
  <c r="G643" i="5" s="1"/>
  <c r="G655" i="5" s="1"/>
  <c r="G667" i="5" s="1"/>
  <c r="G679" i="5" s="1"/>
  <c r="G691" i="5" s="1"/>
  <c r="G703" i="5" s="1"/>
  <c r="G715" i="5" s="1"/>
  <c r="G727" i="5" s="1"/>
  <c r="G739" i="5" s="1"/>
  <c r="G751" i="5" s="1"/>
  <c r="G763" i="5" s="1"/>
  <c r="G775" i="5" s="1"/>
  <c r="G787" i="5" s="1"/>
  <c r="G799" i="5" s="1"/>
  <c r="G811" i="5" s="1"/>
  <c r="G823" i="5" s="1"/>
  <c r="G835" i="5" s="1"/>
  <c r="G847" i="5" s="1"/>
  <c r="G859" i="5" s="1"/>
  <c r="G871" i="5" s="1"/>
  <c r="G883" i="5" s="1"/>
  <c r="G895" i="5" s="1"/>
  <c r="G907" i="5" s="1"/>
  <c r="G919" i="5" s="1"/>
  <c r="G931" i="5" s="1"/>
  <c r="G943" i="5" s="1"/>
  <c r="G955" i="5" s="1"/>
  <c r="G967" i="5" s="1"/>
  <c r="G979" i="5" s="1"/>
  <c r="G991" i="5" s="1"/>
  <c r="G1003" i="5" s="1"/>
  <c r="G18" i="5"/>
  <c r="G30" i="5"/>
  <c r="G42" i="5" s="1"/>
  <c r="G54" i="5" s="1"/>
  <c r="G66" i="5" s="1"/>
  <c r="G78" i="5" s="1"/>
  <c r="G90" i="5" s="1"/>
  <c r="G102" i="5" s="1"/>
  <c r="G114" i="5" s="1"/>
  <c r="G126" i="5" s="1"/>
  <c r="G138" i="5" s="1"/>
  <c r="G150" i="5" s="1"/>
  <c r="G162" i="5" s="1"/>
  <c r="G174" i="5" s="1"/>
  <c r="G186" i="5" s="1"/>
  <c r="G198" i="5" s="1"/>
  <c r="G210" i="5" s="1"/>
  <c r="G222" i="5" s="1"/>
  <c r="G234" i="5" s="1"/>
  <c r="G246" i="5" s="1"/>
  <c r="G258" i="5" s="1"/>
  <c r="G270" i="5" s="1"/>
  <c r="G282" i="5" s="1"/>
  <c r="G294" i="5" s="1"/>
  <c r="G306" i="5" s="1"/>
  <c r="G318" i="5" s="1"/>
  <c r="G330" i="5" s="1"/>
  <c r="G342" i="5" s="1"/>
  <c r="G354" i="5" s="1"/>
  <c r="G366" i="5" s="1"/>
  <c r="G378" i="5" s="1"/>
  <c r="G390" i="5" s="1"/>
  <c r="G402" i="5" s="1"/>
  <c r="G414" i="5" s="1"/>
  <c r="G426" i="5" s="1"/>
  <c r="G438" i="5" s="1"/>
  <c r="G450" i="5" s="1"/>
  <c r="G462" i="5" s="1"/>
  <c r="G474" i="5" s="1"/>
  <c r="G486" i="5" s="1"/>
  <c r="G498" i="5" s="1"/>
  <c r="G510" i="5" s="1"/>
  <c r="G522" i="5" s="1"/>
  <c r="G534" i="5" s="1"/>
  <c r="G546" i="5" s="1"/>
  <c r="G558" i="5" s="1"/>
  <c r="G570" i="5" s="1"/>
  <c r="G582" i="5" s="1"/>
  <c r="G594" i="5" s="1"/>
  <c r="G606" i="5" s="1"/>
  <c r="G618" i="5" s="1"/>
  <c r="G630" i="5" s="1"/>
  <c r="G642" i="5" s="1"/>
  <c r="G654" i="5" s="1"/>
  <c r="G666" i="5" s="1"/>
  <c r="G678" i="5" s="1"/>
  <c r="G690" i="5" s="1"/>
  <c r="G702" i="5" s="1"/>
  <c r="G714" i="5" s="1"/>
  <c r="G726" i="5" s="1"/>
  <c r="G738" i="5" s="1"/>
  <c r="G750" i="5" s="1"/>
  <c r="G762" i="5" s="1"/>
  <c r="G774" i="5" s="1"/>
  <c r="G786" i="5" s="1"/>
  <c r="G798" i="5" s="1"/>
  <c r="G810" i="5" s="1"/>
  <c r="G822" i="5" s="1"/>
  <c r="G834" i="5" s="1"/>
  <c r="G846" i="5" s="1"/>
  <c r="G858" i="5" s="1"/>
  <c r="G870" i="5" s="1"/>
  <c r="G882" i="5" s="1"/>
  <c r="G894" i="5" s="1"/>
  <c r="G906" i="5" s="1"/>
  <c r="G918" i="5" s="1"/>
  <c r="G930" i="5" s="1"/>
  <c r="G942" i="5" s="1"/>
  <c r="G954" i="5" s="1"/>
  <c r="G966" i="5" s="1"/>
  <c r="G978" i="5" s="1"/>
  <c r="G990" i="5" s="1"/>
  <c r="G1002" i="5" s="1"/>
  <c r="G17" i="5"/>
  <c r="G29" i="5" s="1"/>
  <c r="G41" i="5" s="1"/>
  <c r="G53" i="5" s="1"/>
  <c r="G65" i="5" s="1"/>
  <c r="G77" i="5" s="1"/>
  <c r="G89" i="5" s="1"/>
  <c r="G101" i="5" s="1"/>
  <c r="G113" i="5" s="1"/>
  <c r="G125" i="5" s="1"/>
  <c r="G137" i="5" s="1"/>
  <c r="G149" i="5" s="1"/>
  <c r="G161" i="5" s="1"/>
  <c r="G173" i="5" s="1"/>
  <c r="G185" i="5" s="1"/>
  <c r="G197" i="5" s="1"/>
  <c r="G209" i="5" s="1"/>
  <c r="G221" i="5" s="1"/>
  <c r="G233" i="5" s="1"/>
  <c r="G245" i="5" s="1"/>
  <c r="G257" i="5" s="1"/>
  <c r="G269" i="5" s="1"/>
  <c r="G281" i="5" s="1"/>
  <c r="G293" i="5" s="1"/>
  <c r="G305" i="5" s="1"/>
  <c r="G317" i="5" s="1"/>
  <c r="G329" i="5" s="1"/>
  <c r="G341" i="5" s="1"/>
  <c r="G353" i="5" s="1"/>
  <c r="G365" i="5" s="1"/>
  <c r="G377" i="5" s="1"/>
  <c r="G389" i="5" s="1"/>
  <c r="G401" i="5" s="1"/>
  <c r="G413" i="5" s="1"/>
  <c r="G425" i="5" s="1"/>
  <c r="G437" i="5" s="1"/>
  <c r="G449" i="5" s="1"/>
  <c r="G461" i="5" s="1"/>
  <c r="G473" i="5" s="1"/>
  <c r="G485" i="5" s="1"/>
  <c r="G497" i="5" s="1"/>
  <c r="G509" i="5" s="1"/>
  <c r="G521" i="5" s="1"/>
  <c r="G533" i="5" s="1"/>
  <c r="G545" i="5" s="1"/>
  <c r="G557" i="5" s="1"/>
  <c r="G569" i="5" s="1"/>
  <c r="G581" i="5" s="1"/>
  <c r="G593" i="5" s="1"/>
  <c r="G605" i="5" s="1"/>
  <c r="G617" i="5" s="1"/>
  <c r="G629" i="5" s="1"/>
  <c r="G641" i="5" s="1"/>
  <c r="G653" i="5" s="1"/>
  <c r="G665" i="5" s="1"/>
  <c r="G677" i="5" s="1"/>
  <c r="G689" i="5" s="1"/>
  <c r="G701" i="5" s="1"/>
  <c r="G713" i="5" s="1"/>
  <c r="G725" i="5" s="1"/>
  <c r="G737" i="5" s="1"/>
  <c r="G749" i="5" s="1"/>
  <c r="G761" i="5" s="1"/>
  <c r="G773" i="5" s="1"/>
  <c r="G785" i="5" s="1"/>
  <c r="G797" i="5" s="1"/>
  <c r="G809" i="5" s="1"/>
  <c r="G821" i="5" s="1"/>
  <c r="G833" i="5" s="1"/>
  <c r="G845" i="5" s="1"/>
  <c r="G857" i="5" s="1"/>
  <c r="G869" i="5" s="1"/>
  <c r="G881" i="5" s="1"/>
  <c r="G893" i="5" s="1"/>
  <c r="G905" i="5" s="1"/>
  <c r="G917" i="5" s="1"/>
  <c r="G929" i="5" s="1"/>
  <c r="G941" i="5" s="1"/>
  <c r="G953" i="5" s="1"/>
  <c r="G965" i="5" s="1"/>
  <c r="G977" i="5" s="1"/>
  <c r="G989" i="5" s="1"/>
  <c r="G1001" i="5" s="1"/>
  <c r="G16" i="5"/>
  <c r="G28" i="5"/>
  <c r="G40" i="5" s="1"/>
  <c r="G52" i="5" s="1"/>
  <c r="G64" i="5" s="1"/>
  <c r="G76" i="5" s="1"/>
  <c r="G88" i="5" s="1"/>
  <c r="G100" i="5" s="1"/>
  <c r="G112" i="5" s="1"/>
  <c r="G124" i="5" s="1"/>
  <c r="G136" i="5" s="1"/>
  <c r="G148" i="5" s="1"/>
  <c r="G160" i="5" s="1"/>
  <c r="G172" i="5" s="1"/>
  <c r="G184" i="5" s="1"/>
  <c r="G196" i="5" s="1"/>
  <c r="G208" i="5" s="1"/>
  <c r="G220" i="5" s="1"/>
  <c r="G232" i="5" s="1"/>
  <c r="G244" i="5" s="1"/>
  <c r="G256" i="5" s="1"/>
  <c r="G268" i="5" s="1"/>
  <c r="G280" i="5" s="1"/>
  <c r="G292" i="5" s="1"/>
  <c r="G304" i="5" s="1"/>
  <c r="G316" i="5" s="1"/>
  <c r="G328" i="5" s="1"/>
  <c r="G340" i="5" s="1"/>
  <c r="G352" i="5" s="1"/>
  <c r="G364" i="5" s="1"/>
  <c r="G376" i="5" s="1"/>
  <c r="G388" i="5" s="1"/>
  <c r="G400" i="5" s="1"/>
  <c r="G412" i="5" s="1"/>
  <c r="G424" i="5" s="1"/>
  <c r="G436" i="5" s="1"/>
  <c r="G448" i="5" s="1"/>
  <c r="G460" i="5" s="1"/>
  <c r="G472" i="5" s="1"/>
  <c r="G484" i="5" s="1"/>
  <c r="G496" i="5" s="1"/>
  <c r="G508" i="5" s="1"/>
  <c r="G520" i="5" s="1"/>
  <c r="G532" i="5" s="1"/>
  <c r="G544" i="5" s="1"/>
  <c r="G556" i="5" s="1"/>
  <c r="G568" i="5" s="1"/>
  <c r="G580" i="5" s="1"/>
  <c r="G592" i="5" s="1"/>
  <c r="G604" i="5" s="1"/>
  <c r="G616" i="5" s="1"/>
  <c r="G628" i="5" s="1"/>
  <c r="G640" i="5" s="1"/>
  <c r="G652" i="5" s="1"/>
  <c r="G664" i="5" s="1"/>
  <c r="G676" i="5" s="1"/>
  <c r="G688" i="5" s="1"/>
  <c r="G700" i="5" s="1"/>
  <c r="G712" i="5" s="1"/>
  <c r="G724" i="5" s="1"/>
  <c r="G736" i="5" s="1"/>
  <c r="G748" i="5" s="1"/>
  <c r="G760" i="5" s="1"/>
  <c r="G772" i="5" s="1"/>
  <c r="G784" i="5" s="1"/>
  <c r="G796" i="5" s="1"/>
  <c r="G808" i="5" s="1"/>
  <c r="G820" i="5" s="1"/>
  <c r="G832" i="5" s="1"/>
  <c r="G844" i="5" s="1"/>
  <c r="G856" i="5" s="1"/>
  <c r="G868" i="5" s="1"/>
  <c r="G880" i="5" s="1"/>
  <c r="G892" i="5" s="1"/>
  <c r="G904" i="5" s="1"/>
  <c r="G916" i="5" s="1"/>
  <c r="G928" i="5" s="1"/>
  <c r="G940" i="5" s="1"/>
  <c r="G952" i="5" s="1"/>
  <c r="G964" i="5" s="1"/>
  <c r="G976" i="5" s="1"/>
  <c r="G988" i="5" s="1"/>
  <c r="G1000" i="5" s="1"/>
  <c r="G15" i="5"/>
  <c r="G27" i="5" s="1"/>
  <c r="G39" i="5" s="1"/>
  <c r="G51" i="5" s="1"/>
  <c r="G63" i="5" s="1"/>
  <c r="G75" i="5" s="1"/>
  <c r="G87" i="5" s="1"/>
  <c r="G99" i="5" s="1"/>
  <c r="G111" i="5" s="1"/>
  <c r="G123" i="5" s="1"/>
  <c r="G135" i="5" s="1"/>
  <c r="G147" i="5" s="1"/>
  <c r="G159" i="5" s="1"/>
  <c r="G171" i="5" s="1"/>
  <c r="G183" i="5" s="1"/>
  <c r="G195" i="5" s="1"/>
  <c r="G207" i="5" s="1"/>
  <c r="G219" i="5" s="1"/>
  <c r="G231" i="5" s="1"/>
  <c r="G243" i="5" s="1"/>
  <c r="G255" i="5" s="1"/>
  <c r="G267" i="5" s="1"/>
  <c r="G279" i="5" s="1"/>
  <c r="G291" i="5" s="1"/>
  <c r="G303" i="5" s="1"/>
  <c r="G315" i="5" s="1"/>
  <c r="G327" i="5" s="1"/>
  <c r="G339" i="5" s="1"/>
  <c r="G351" i="5" s="1"/>
  <c r="G363" i="5" s="1"/>
  <c r="G375" i="5" s="1"/>
  <c r="G387" i="5" s="1"/>
  <c r="G399" i="5" s="1"/>
  <c r="G411" i="5" s="1"/>
  <c r="G423" i="5" s="1"/>
  <c r="G435" i="5" s="1"/>
  <c r="G447" i="5" s="1"/>
  <c r="G459" i="5" s="1"/>
  <c r="G471" i="5" s="1"/>
  <c r="G483" i="5" s="1"/>
  <c r="G495" i="5" s="1"/>
  <c r="G507" i="5" s="1"/>
  <c r="G519" i="5" s="1"/>
  <c r="G531" i="5" s="1"/>
  <c r="G543" i="5" s="1"/>
  <c r="G555" i="5" s="1"/>
  <c r="G567" i="5" s="1"/>
  <c r="G579" i="5" s="1"/>
  <c r="G591" i="5" s="1"/>
  <c r="G603" i="5" s="1"/>
  <c r="G615" i="5" s="1"/>
  <c r="G627" i="5" s="1"/>
  <c r="G639" i="5" s="1"/>
  <c r="G651" i="5" s="1"/>
  <c r="G663" i="5" s="1"/>
  <c r="G675" i="5" s="1"/>
  <c r="G687" i="5" s="1"/>
  <c r="G699" i="5" s="1"/>
  <c r="G711" i="5" s="1"/>
  <c r="G723" i="5" s="1"/>
  <c r="G735" i="5" s="1"/>
  <c r="G747" i="5" s="1"/>
  <c r="G759" i="5" s="1"/>
  <c r="G771" i="5" s="1"/>
  <c r="G783" i="5" s="1"/>
  <c r="G795" i="5" s="1"/>
  <c r="G807" i="5" s="1"/>
  <c r="G819" i="5" s="1"/>
  <c r="G831" i="5" s="1"/>
  <c r="G843" i="5" s="1"/>
  <c r="G855" i="5" s="1"/>
  <c r="G867" i="5" s="1"/>
  <c r="G879" i="5" s="1"/>
  <c r="G891" i="5" s="1"/>
  <c r="G903" i="5" s="1"/>
  <c r="G915" i="5" s="1"/>
  <c r="G927" i="5" s="1"/>
  <c r="G939" i="5" s="1"/>
  <c r="G951" i="5" s="1"/>
  <c r="G963" i="5" s="1"/>
  <c r="G975" i="5" s="1"/>
  <c r="G987" i="5" s="1"/>
  <c r="G999" i="5" s="1"/>
  <c r="G14" i="5"/>
  <c r="G26" i="5"/>
  <c r="G38" i="5" s="1"/>
  <c r="G50" i="5" s="1"/>
  <c r="G62" i="5" s="1"/>
  <c r="G74" i="5" s="1"/>
  <c r="G86" i="5" s="1"/>
  <c r="G98" i="5" s="1"/>
  <c r="G110" i="5" s="1"/>
  <c r="G122" i="5" s="1"/>
  <c r="G134" i="5" s="1"/>
  <c r="G146" i="5" s="1"/>
  <c r="G158" i="5" s="1"/>
  <c r="G170" i="5" s="1"/>
  <c r="G182" i="5" s="1"/>
  <c r="G194" i="5" s="1"/>
  <c r="G206" i="5" s="1"/>
  <c r="G218" i="5" s="1"/>
  <c r="G230" i="5" s="1"/>
  <c r="G242" i="5" s="1"/>
  <c r="G254" i="5" s="1"/>
  <c r="G266" i="5" s="1"/>
  <c r="G278" i="5" s="1"/>
  <c r="G290" i="5" s="1"/>
  <c r="G302" i="5" s="1"/>
  <c r="G314" i="5" s="1"/>
  <c r="G326" i="5" s="1"/>
  <c r="G338" i="5" s="1"/>
  <c r="G350" i="5" s="1"/>
  <c r="G362" i="5" s="1"/>
  <c r="G374" i="5" s="1"/>
  <c r="G386" i="5" s="1"/>
  <c r="G398" i="5" s="1"/>
  <c r="G410" i="5" s="1"/>
  <c r="G422" i="5" s="1"/>
  <c r="G434" i="5" s="1"/>
  <c r="G446" i="5" s="1"/>
  <c r="G458" i="5" s="1"/>
  <c r="G470" i="5" s="1"/>
  <c r="G482" i="5" s="1"/>
  <c r="G494" i="5" s="1"/>
  <c r="G506" i="5" s="1"/>
  <c r="G518" i="5" s="1"/>
  <c r="G530" i="5" s="1"/>
  <c r="G542" i="5" s="1"/>
  <c r="G554" i="5" s="1"/>
  <c r="G566" i="5" s="1"/>
  <c r="G578" i="5" s="1"/>
  <c r="G590" i="5" s="1"/>
  <c r="G602" i="5" s="1"/>
  <c r="G614" i="5" s="1"/>
  <c r="G626" i="5" s="1"/>
  <c r="G638" i="5" s="1"/>
  <c r="G650" i="5" s="1"/>
  <c r="G662" i="5" s="1"/>
  <c r="G674" i="5" s="1"/>
  <c r="G686" i="5" s="1"/>
  <c r="G698" i="5" s="1"/>
  <c r="G710" i="5" s="1"/>
  <c r="G722" i="5" s="1"/>
  <c r="G734" i="5" s="1"/>
  <c r="G746" i="5" s="1"/>
  <c r="G758" i="5" s="1"/>
  <c r="G770" i="5" s="1"/>
  <c r="G782" i="5" s="1"/>
  <c r="G794" i="5" s="1"/>
  <c r="G806" i="5" s="1"/>
  <c r="G818" i="5" s="1"/>
  <c r="G830" i="5" s="1"/>
  <c r="G842" i="5" s="1"/>
  <c r="G854" i="5" s="1"/>
  <c r="G866" i="5" s="1"/>
  <c r="G878" i="5" s="1"/>
  <c r="G890" i="5" s="1"/>
  <c r="G902" i="5" s="1"/>
  <c r="G914" i="5" s="1"/>
  <c r="G926" i="5" s="1"/>
  <c r="G938" i="5" s="1"/>
  <c r="G950" i="5" s="1"/>
  <c r="G962" i="5" s="1"/>
  <c r="G974" i="5" s="1"/>
  <c r="G986" i="5" s="1"/>
  <c r="G998" i="5" s="1"/>
  <c r="G13" i="5"/>
  <c r="G25" i="5" s="1"/>
  <c r="G37" i="5" s="1"/>
  <c r="G49" i="5" s="1"/>
  <c r="G61" i="5" s="1"/>
  <c r="G73" i="5" s="1"/>
  <c r="G85" i="5" s="1"/>
  <c r="G97" i="5" s="1"/>
  <c r="G109" i="5" s="1"/>
  <c r="G121" i="5" s="1"/>
  <c r="G133" i="5" s="1"/>
  <c r="G145" i="5" s="1"/>
  <c r="G157" i="5" s="1"/>
  <c r="G169" i="5" s="1"/>
  <c r="G181" i="5" s="1"/>
  <c r="G193" i="5" s="1"/>
  <c r="G205" i="5" s="1"/>
  <c r="G217" i="5" s="1"/>
  <c r="G229" i="5" s="1"/>
  <c r="G241" i="5" s="1"/>
  <c r="G253" i="5" s="1"/>
  <c r="G265" i="5" s="1"/>
  <c r="G277" i="5" s="1"/>
  <c r="G289" i="5" s="1"/>
  <c r="G301" i="5" s="1"/>
  <c r="G313" i="5" s="1"/>
  <c r="G325" i="5" s="1"/>
  <c r="G337" i="5" s="1"/>
  <c r="G349" i="5" s="1"/>
  <c r="G361" i="5" s="1"/>
  <c r="G373" i="5" s="1"/>
  <c r="G385" i="5" s="1"/>
  <c r="G397" i="5" s="1"/>
  <c r="G409" i="5" s="1"/>
  <c r="G421" i="5" s="1"/>
  <c r="G433" i="5" s="1"/>
  <c r="G445" i="5" s="1"/>
  <c r="G457" i="5" s="1"/>
  <c r="G469" i="5" s="1"/>
  <c r="G481" i="5" s="1"/>
  <c r="G493" i="5" s="1"/>
  <c r="G505" i="5" s="1"/>
  <c r="G517" i="5" s="1"/>
  <c r="G529" i="5" s="1"/>
  <c r="G541" i="5" s="1"/>
  <c r="G553" i="5" s="1"/>
  <c r="G565" i="5" s="1"/>
  <c r="G577" i="5" s="1"/>
  <c r="G589" i="5" s="1"/>
  <c r="G601" i="5" s="1"/>
  <c r="G613" i="5" s="1"/>
  <c r="G625" i="5" s="1"/>
  <c r="G637" i="5" s="1"/>
  <c r="G649" i="5" s="1"/>
  <c r="G661" i="5" s="1"/>
  <c r="G673" i="5" s="1"/>
  <c r="G685" i="5" s="1"/>
  <c r="G697" i="5" s="1"/>
  <c r="G709" i="5" s="1"/>
  <c r="G721" i="5" s="1"/>
  <c r="G733" i="5" s="1"/>
  <c r="G745" i="5" s="1"/>
  <c r="G757" i="5" s="1"/>
  <c r="G769" i="5" s="1"/>
  <c r="G781" i="5" s="1"/>
  <c r="G793" i="5" s="1"/>
  <c r="G805" i="5" s="1"/>
  <c r="G817" i="5" s="1"/>
  <c r="G829" i="5" s="1"/>
  <c r="G841" i="5" s="1"/>
  <c r="G853" i="5" s="1"/>
  <c r="G865" i="5" s="1"/>
  <c r="G877" i="5" s="1"/>
  <c r="G889" i="5" s="1"/>
  <c r="G901" i="5" s="1"/>
  <c r="G913" i="5" s="1"/>
  <c r="G925" i="5" s="1"/>
  <c r="G937" i="5" s="1"/>
  <c r="G949" i="5" s="1"/>
  <c r="G961" i="5" s="1"/>
  <c r="G973" i="5" s="1"/>
  <c r="G985" i="5" s="1"/>
  <c r="G997" i="5" s="1"/>
  <c r="G12" i="5"/>
  <c r="G24" i="5"/>
  <c r="G36" i="5" s="1"/>
  <c r="G48" i="5"/>
  <c r="G60" i="5" s="1"/>
  <c r="G72" i="5" s="1"/>
  <c r="G84" i="5" s="1"/>
  <c r="G96" i="5" s="1"/>
  <c r="G108" i="5" s="1"/>
  <c r="G120" i="5" s="1"/>
  <c r="G132" i="5" s="1"/>
  <c r="G144" i="5" s="1"/>
  <c r="G156" i="5" s="1"/>
  <c r="G168" i="5" s="1"/>
  <c r="G180" i="5" s="1"/>
  <c r="G192" i="5" s="1"/>
  <c r="G204" i="5" s="1"/>
  <c r="G216" i="5" s="1"/>
  <c r="G228" i="5" s="1"/>
  <c r="G240" i="5" s="1"/>
  <c r="G252" i="5" s="1"/>
  <c r="G264" i="5" s="1"/>
  <c r="G276" i="5" s="1"/>
  <c r="G288" i="5" s="1"/>
  <c r="G300" i="5" s="1"/>
  <c r="G312" i="5" s="1"/>
  <c r="G324" i="5" s="1"/>
  <c r="G336" i="5" s="1"/>
  <c r="G348" i="5" s="1"/>
  <c r="G360" i="5" s="1"/>
  <c r="G372" i="5" s="1"/>
  <c r="G384" i="5" s="1"/>
  <c r="G396" i="5" s="1"/>
  <c r="G408" i="5" s="1"/>
  <c r="G420" i="5" s="1"/>
  <c r="G432" i="5" s="1"/>
  <c r="G444" i="5" s="1"/>
  <c r="G456" i="5" s="1"/>
  <c r="G468" i="5" s="1"/>
  <c r="G480" i="5" s="1"/>
  <c r="G492" i="5" s="1"/>
  <c r="G504" i="5" s="1"/>
  <c r="G516" i="5" s="1"/>
  <c r="G528" i="5" s="1"/>
  <c r="G540" i="5" s="1"/>
  <c r="G552" i="5" s="1"/>
  <c r="G564" i="5" s="1"/>
  <c r="G576" i="5" s="1"/>
  <c r="G588" i="5" s="1"/>
  <c r="G600" i="5" s="1"/>
  <c r="G612" i="5" s="1"/>
  <c r="G624" i="5" s="1"/>
  <c r="G636" i="5" s="1"/>
  <c r="G648" i="5" s="1"/>
  <c r="G660" i="5" s="1"/>
  <c r="G672" i="5" s="1"/>
  <c r="G684" i="5" s="1"/>
  <c r="G696" i="5" s="1"/>
  <c r="G708" i="5" s="1"/>
  <c r="G720" i="5" s="1"/>
  <c r="G732" i="5" s="1"/>
  <c r="G744" i="5" s="1"/>
  <c r="G756" i="5" s="1"/>
  <c r="G768" i="5" s="1"/>
  <c r="G780" i="5" s="1"/>
  <c r="G792" i="5" s="1"/>
  <c r="G804" i="5" s="1"/>
  <c r="G816" i="5" s="1"/>
  <c r="G828" i="5" s="1"/>
  <c r="G840" i="5" s="1"/>
  <c r="G852" i="5" s="1"/>
  <c r="G864" i="5" s="1"/>
  <c r="G876" i="5" s="1"/>
  <c r="G888" i="5" s="1"/>
  <c r="G900" i="5" s="1"/>
  <c r="G912" i="5" s="1"/>
  <c r="G924" i="5" s="1"/>
  <c r="G936" i="5" s="1"/>
  <c r="G948" i="5" s="1"/>
  <c r="G960" i="5" s="1"/>
  <c r="G972" i="5" s="1"/>
  <c r="G984" i="5" s="1"/>
  <c r="G996" i="5" s="1"/>
  <c r="G11" i="5"/>
  <c r="G23" i="5" s="1"/>
  <c r="G35" i="5" s="1"/>
  <c r="G47" i="5" s="1"/>
  <c r="G59" i="5" s="1"/>
  <c r="G71" i="5" s="1"/>
  <c r="G83" i="5" s="1"/>
  <c r="G95" i="5" s="1"/>
  <c r="G107" i="5" s="1"/>
  <c r="G119" i="5" s="1"/>
  <c r="G131" i="5" s="1"/>
  <c r="G143" i="5" s="1"/>
  <c r="G155" i="5" s="1"/>
  <c r="G167" i="5" s="1"/>
  <c r="G179" i="5" s="1"/>
  <c r="G191" i="5" s="1"/>
  <c r="G203" i="5" s="1"/>
  <c r="G215" i="5" s="1"/>
  <c r="G227" i="5" s="1"/>
  <c r="G239" i="5" s="1"/>
  <c r="G251" i="5" s="1"/>
  <c r="G263" i="5" s="1"/>
  <c r="G275" i="5" s="1"/>
  <c r="G287" i="5" s="1"/>
  <c r="G299" i="5" s="1"/>
  <c r="G311" i="5" s="1"/>
  <c r="G323" i="5" s="1"/>
  <c r="G335" i="5" s="1"/>
  <c r="G347" i="5" s="1"/>
  <c r="G359" i="5" s="1"/>
  <c r="G371" i="5" s="1"/>
  <c r="G383" i="5" s="1"/>
  <c r="G395" i="5" s="1"/>
  <c r="G407" i="5" s="1"/>
  <c r="G419" i="5" s="1"/>
  <c r="G431" i="5" s="1"/>
  <c r="G443" i="5" s="1"/>
  <c r="G455" i="5" s="1"/>
  <c r="G467" i="5" s="1"/>
  <c r="G479" i="5" s="1"/>
  <c r="G491" i="5" s="1"/>
  <c r="G503" i="5" s="1"/>
  <c r="G515" i="5" s="1"/>
  <c r="G527" i="5" s="1"/>
  <c r="G539" i="5" s="1"/>
  <c r="G551" i="5" s="1"/>
  <c r="G563" i="5" s="1"/>
  <c r="G575" i="5" s="1"/>
  <c r="G587" i="5" s="1"/>
  <c r="G599" i="5" s="1"/>
  <c r="G611" i="5" s="1"/>
  <c r="G623" i="5" s="1"/>
  <c r="G635" i="5" s="1"/>
  <c r="G647" i="5" s="1"/>
  <c r="G659" i="5" s="1"/>
  <c r="G671" i="5" s="1"/>
  <c r="G683" i="5" s="1"/>
  <c r="G695" i="5" s="1"/>
  <c r="G707" i="5" s="1"/>
  <c r="G719" i="5" s="1"/>
  <c r="G731" i="5" s="1"/>
  <c r="G743" i="5" s="1"/>
  <c r="G755" i="5" s="1"/>
  <c r="G767" i="5" s="1"/>
  <c r="G779" i="5" s="1"/>
  <c r="G791" i="5" s="1"/>
  <c r="G803" i="5" s="1"/>
  <c r="G815" i="5" s="1"/>
  <c r="G827" i="5" s="1"/>
  <c r="G839" i="5" s="1"/>
  <c r="G851" i="5" s="1"/>
  <c r="G863" i="5" s="1"/>
  <c r="G875" i="5" s="1"/>
  <c r="G887" i="5" s="1"/>
  <c r="G899" i="5" s="1"/>
  <c r="G911" i="5" s="1"/>
  <c r="G923" i="5" s="1"/>
  <c r="G935" i="5" s="1"/>
  <c r="G947" i="5" s="1"/>
  <c r="G959" i="5" s="1"/>
  <c r="G971" i="5" s="1"/>
  <c r="G983" i="5" s="1"/>
  <c r="G995" i="5" s="1"/>
  <c r="G10" i="5"/>
  <c r="G22" i="5"/>
  <c r="G34" i="5" s="1"/>
  <c r="G46" i="5"/>
  <c r="G58" i="5" s="1"/>
  <c r="G70" i="5" s="1"/>
  <c r="G82" i="5" s="1"/>
  <c r="G94" i="5" s="1"/>
  <c r="G106" i="5" s="1"/>
  <c r="G118" i="5" s="1"/>
  <c r="G130" i="5" s="1"/>
  <c r="G142" i="5" s="1"/>
  <c r="G154" i="5" s="1"/>
  <c r="G166" i="5" s="1"/>
  <c r="G178" i="5" s="1"/>
  <c r="G190" i="5" s="1"/>
  <c r="G202" i="5" s="1"/>
  <c r="G214" i="5" s="1"/>
  <c r="G226" i="5" s="1"/>
  <c r="G238" i="5" s="1"/>
  <c r="G250" i="5" s="1"/>
  <c r="G262" i="5" s="1"/>
  <c r="G274" i="5" s="1"/>
  <c r="G286" i="5" s="1"/>
  <c r="G298" i="5" s="1"/>
  <c r="G310" i="5" s="1"/>
  <c r="G322" i="5" s="1"/>
  <c r="G334" i="5" s="1"/>
  <c r="G346" i="5" s="1"/>
  <c r="G358" i="5" s="1"/>
  <c r="G370" i="5" s="1"/>
  <c r="G382" i="5" s="1"/>
  <c r="G394" i="5" s="1"/>
  <c r="G406" i="5" s="1"/>
  <c r="G418" i="5" s="1"/>
  <c r="G430" i="5" s="1"/>
  <c r="G442" i="5" s="1"/>
  <c r="G454" i="5" s="1"/>
  <c r="G466" i="5" s="1"/>
  <c r="G478" i="5" s="1"/>
  <c r="G490" i="5" s="1"/>
  <c r="G502" i="5" s="1"/>
  <c r="G514" i="5" s="1"/>
  <c r="G526" i="5" s="1"/>
  <c r="G538" i="5" s="1"/>
  <c r="G550" i="5" s="1"/>
  <c r="G562" i="5" s="1"/>
  <c r="G574" i="5" s="1"/>
  <c r="G586" i="5" s="1"/>
  <c r="G598" i="5" s="1"/>
  <c r="G610" i="5" s="1"/>
  <c r="G622" i="5" s="1"/>
  <c r="G634" i="5" s="1"/>
  <c r="G646" i="5" s="1"/>
  <c r="G658" i="5" s="1"/>
  <c r="G670" i="5" s="1"/>
  <c r="G682" i="5" s="1"/>
  <c r="G694" i="5" s="1"/>
  <c r="G706" i="5" s="1"/>
  <c r="G718" i="5" s="1"/>
  <c r="G730" i="5" s="1"/>
  <c r="G742" i="5" s="1"/>
  <c r="G754" i="5" s="1"/>
  <c r="G766" i="5" s="1"/>
  <c r="G778" i="5" s="1"/>
  <c r="G790" i="5" s="1"/>
  <c r="G802" i="5" s="1"/>
  <c r="G814" i="5" s="1"/>
  <c r="G826" i="5" s="1"/>
  <c r="G838" i="5" s="1"/>
  <c r="G850" i="5" s="1"/>
  <c r="G862" i="5" s="1"/>
  <c r="G874" i="5" s="1"/>
  <c r="G886" i="5" s="1"/>
  <c r="G898" i="5" s="1"/>
  <c r="G910" i="5" s="1"/>
  <c r="G922" i="5" s="1"/>
  <c r="G934" i="5" s="1"/>
  <c r="G946" i="5" s="1"/>
  <c r="G958" i="5" s="1"/>
  <c r="G970" i="5" s="1"/>
  <c r="G982" i="5" s="1"/>
  <c r="G994" i="5" s="1"/>
  <c r="G9" i="5"/>
  <c r="G21" i="5" s="1"/>
  <c r="G33" i="5" s="1"/>
  <c r="G45" i="5" s="1"/>
  <c r="G57" i="5" s="1"/>
  <c r="G69" i="5" s="1"/>
  <c r="G81" i="5" s="1"/>
  <c r="G93" i="5" s="1"/>
  <c r="G105" i="5" s="1"/>
  <c r="G117" i="5" s="1"/>
  <c r="G129" i="5" s="1"/>
  <c r="G141" i="5" s="1"/>
  <c r="G153" i="5" s="1"/>
  <c r="G165" i="5" s="1"/>
  <c r="G177" i="5" s="1"/>
  <c r="G189" i="5" s="1"/>
  <c r="G201" i="5" s="1"/>
  <c r="G213" i="5" s="1"/>
  <c r="G225" i="5" s="1"/>
  <c r="G237" i="5" s="1"/>
  <c r="G249" i="5" s="1"/>
  <c r="G261" i="5" s="1"/>
  <c r="G273" i="5" s="1"/>
  <c r="G285" i="5" s="1"/>
  <c r="G297" i="5" s="1"/>
  <c r="G309" i="5" s="1"/>
  <c r="G321" i="5" s="1"/>
  <c r="G333" i="5" s="1"/>
  <c r="G345" i="5" s="1"/>
  <c r="G357" i="5" s="1"/>
  <c r="G369" i="5" s="1"/>
  <c r="G381" i="5" s="1"/>
  <c r="G393" i="5" s="1"/>
  <c r="G405" i="5" s="1"/>
  <c r="G417" i="5" s="1"/>
  <c r="G429" i="5" s="1"/>
  <c r="G441" i="5" s="1"/>
  <c r="G453" i="5" s="1"/>
  <c r="G465" i="5" s="1"/>
  <c r="G477" i="5" s="1"/>
  <c r="G489" i="5" s="1"/>
  <c r="G501" i="5" s="1"/>
  <c r="G513" i="5" s="1"/>
  <c r="G525" i="5" s="1"/>
  <c r="G537" i="5" s="1"/>
  <c r="G549" i="5" s="1"/>
  <c r="G561" i="5" s="1"/>
  <c r="G573" i="5" s="1"/>
  <c r="G585" i="5" s="1"/>
  <c r="G597" i="5" s="1"/>
  <c r="G609" i="5" s="1"/>
  <c r="G621" i="5" s="1"/>
  <c r="G633" i="5" s="1"/>
  <c r="G645" i="5" s="1"/>
  <c r="G657" i="5" s="1"/>
  <c r="G669" i="5" s="1"/>
  <c r="G681" i="5" s="1"/>
  <c r="G693" i="5" s="1"/>
  <c r="G705" i="5" s="1"/>
  <c r="G717" i="5" s="1"/>
  <c r="G729" i="5" s="1"/>
  <c r="G741" i="5" s="1"/>
  <c r="G753" i="5" s="1"/>
  <c r="G765" i="5" s="1"/>
  <c r="G777" i="5" s="1"/>
  <c r="G789" i="5" s="1"/>
  <c r="G801" i="5" s="1"/>
  <c r="G813" i="5" s="1"/>
  <c r="G825" i="5" s="1"/>
  <c r="G837" i="5" s="1"/>
  <c r="G849" i="5" s="1"/>
  <c r="G861" i="5" s="1"/>
  <c r="G873" i="5" s="1"/>
  <c r="G885" i="5" s="1"/>
  <c r="G897" i="5" s="1"/>
  <c r="G909" i="5" s="1"/>
  <c r="G921" i="5" s="1"/>
  <c r="G933" i="5" s="1"/>
  <c r="G945" i="5" s="1"/>
  <c r="G957" i="5" s="1"/>
  <c r="G969" i="5" s="1"/>
  <c r="G981" i="5" s="1"/>
  <c r="G993" i="5" s="1"/>
  <c r="G20" i="5"/>
  <c r="G32" i="5"/>
  <c r="G44" i="5" s="1"/>
  <c r="G56" i="5"/>
  <c r="G68" i="5" s="1"/>
  <c r="G80" i="5" s="1"/>
  <c r="G92" i="5" s="1"/>
  <c r="G104" i="5" s="1"/>
  <c r="G116" i="5" s="1"/>
  <c r="G128" i="5" s="1"/>
  <c r="G140" i="5" s="1"/>
  <c r="G152" i="5" s="1"/>
  <c r="G164" i="5" s="1"/>
  <c r="G176" i="5" s="1"/>
  <c r="G188" i="5" s="1"/>
  <c r="G200" i="5" s="1"/>
  <c r="G212" i="5" s="1"/>
  <c r="G224" i="5" s="1"/>
  <c r="G236" i="5" s="1"/>
  <c r="G248" i="5" s="1"/>
  <c r="G260" i="5" s="1"/>
  <c r="G272" i="5" s="1"/>
  <c r="G284" i="5" s="1"/>
  <c r="G296" i="5" s="1"/>
  <c r="G308" i="5" s="1"/>
  <c r="G320" i="5" s="1"/>
  <c r="G332" i="5" s="1"/>
  <c r="G344" i="5" s="1"/>
  <c r="G356" i="5" s="1"/>
  <c r="G368" i="5" s="1"/>
  <c r="G380" i="5" s="1"/>
  <c r="G392" i="5" s="1"/>
  <c r="G404" i="5" s="1"/>
  <c r="G416" i="5" s="1"/>
  <c r="G428" i="5" s="1"/>
  <c r="G440" i="5" s="1"/>
  <c r="G452" i="5" s="1"/>
  <c r="G464" i="5" s="1"/>
  <c r="G476" i="5" s="1"/>
  <c r="G488" i="5" s="1"/>
  <c r="G500" i="5" s="1"/>
  <c r="G512" i="5" s="1"/>
  <c r="G524" i="5" s="1"/>
  <c r="G536" i="5" s="1"/>
  <c r="G548" i="5" s="1"/>
  <c r="G560" i="5" s="1"/>
  <c r="G572" i="5" s="1"/>
  <c r="G584" i="5" s="1"/>
  <c r="G596" i="5" s="1"/>
  <c r="G608" i="5" s="1"/>
  <c r="G620" i="5" s="1"/>
  <c r="G632" i="5" s="1"/>
  <c r="G644" i="5" s="1"/>
  <c r="G656" i="5" s="1"/>
  <c r="G668" i="5" s="1"/>
  <c r="G680" i="5" s="1"/>
  <c r="G692" i="5" s="1"/>
  <c r="G704" i="5" s="1"/>
  <c r="G716" i="5" s="1"/>
  <c r="G728" i="5" s="1"/>
  <c r="G740" i="5" s="1"/>
  <c r="G752" i="5" s="1"/>
  <c r="G764" i="5" s="1"/>
  <c r="G776" i="5" s="1"/>
  <c r="G788" i="5" s="1"/>
  <c r="G800" i="5" s="1"/>
  <c r="G812" i="5" s="1"/>
  <c r="G824" i="5" s="1"/>
  <c r="G836" i="5" s="1"/>
  <c r="G848" i="5" s="1"/>
  <c r="G860" i="5" s="1"/>
  <c r="G872" i="5" s="1"/>
  <c r="G884" i="5" s="1"/>
  <c r="G896" i="5" s="1"/>
  <c r="G908" i="5" s="1"/>
  <c r="G920" i="5" s="1"/>
  <c r="G932" i="5" s="1"/>
  <c r="G944" i="5" s="1"/>
  <c r="G956" i="5" s="1"/>
  <c r="G968" i="5" s="1"/>
  <c r="G980" i="5" s="1"/>
  <c r="G992" i="5" s="1"/>
  <c r="G8" i="5"/>
  <c r="G7" i="5"/>
  <c r="G6" i="5"/>
  <c r="G5" i="5"/>
  <c r="G4" i="5"/>
  <c r="AA3" i="5"/>
  <c r="AA17" i="5"/>
  <c r="AA13" i="5"/>
  <c r="AA25" i="5" s="1"/>
  <c r="AA9" i="5"/>
  <c r="AA21" i="5" s="1"/>
  <c r="AA5" i="5"/>
  <c r="Z3" i="5"/>
  <c r="Z19" i="5"/>
  <c r="Z17" i="5"/>
  <c r="Z15" i="5"/>
  <c r="Z27" i="5" s="1"/>
  <c r="Z13" i="5"/>
  <c r="Z25" i="5" s="1"/>
  <c r="Z11" i="5"/>
  <c r="Z23" i="5" s="1"/>
  <c r="Z9" i="5"/>
  <c r="Z21" i="5" s="1"/>
  <c r="Z7" i="5"/>
  <c r="Z5" i="5"/>
  <c r="Y3" i="5"/>
  <c r="Y5" i="5"/>
  <c r="Y7" i="5"/>
  <c r="Y9" i="5"/>
  <c r="Y21" i="5" s="1"/>
  <c r="Y33" i="5" s="1"/>
  <c r="Y45" i="5" s="1"/>
  <c r="Y57" i="5" s="1"/>
  <c r="Y69" i="5" s="1"/>
  <c r="Y81" i="5" s="1"/>
  <c r="Y93" i="5" s="1"/>
  <c r="Y105" i="5" s="1"/>
  <c r="Y117" i="5" s="1"/>
  <c r="Y129" i="5" s="1"/>
  <c r="Y141" i="5" s="1"/>
  <c r="Y153" i="5" s="1"/>
  <c r="Y165" i="5" s="1"/>
  <c r="Y177" i="5" s="1"/>
  <c r="Y189" i="5" s="1"/>
  <c r="Y201" i="5" s="1"/>
  <c r="Y213" i="5" s="1"/>
  <c r="Y225" i="5" s="1"/>
  <c r="Y237" i="5" s="1"/>
  <c r="Y249" i="5" s="1"/>
  <c r="Y261" i="5" s="1"/>
  <c r="Y273" i="5" s="1"/>
  <c r="Y285" i="5" s="1"/>
  <c r="Y297" i="5" s="1"/>
  <c r="Y309" i="5" s="1"/>
  <c r="Y321" i="5" s="1"/>
  <c r="Y333" i="5" s="1"/>
  <c r="Y345" i="5" s="1"/>
  <c r="Y357" i="5" s="1"/>
  <c r="Y369" i="5" s="1"/>
  <c r="Y381" i="5" s="1"/>
  <c r="Y393" i="5" s="1"/>
  <c r="Y405" i="5" s="1"/>
  <c r="Y417" i="5" s="1"/>
  <c r="Y429" i="5" s="1"/>
  <c r="Y441" i="5" s="1"/>
  <c r="Y453" i="5" s="1"/>
  <c r="Y465" i="5" s="1"/>
  <c r="Y477" i="5" s="1"/>
  <c r="Y489" i="5" s="1"/>
  <c r="Y501" i="5" s="1"/>
  <c r="Y513" i="5" s="1"/>
  <c r="Y525" i="5" s="1"/>
  <c r="Y537" i="5" s="1"/>
  <c r="Y549" i="5" s="1"/>
  <c r="Y561" i="5" s="1"/>
  <c r="Y573" i="5" s="1"/>
  <c r="Y585" i="5" s="1"/>
  <c r="Y597" i="5" s="1"/>
  <c r="Y609" i="5" s="1"/>
  <c r="Y621" i="5" s="1"/>
  <c r="Y633" i="5" s="1"/>
  <c r="Y645" i="5" s="1"/>
  <c r="Y657" i="5" s="1"/>
  <c r="Y669" i="5" s="1"/>
  <c r="Y681" i="5" s="1"/>
  <c r="Y693" i="5" s="1"/>
  <c r="Y705" i="5" s="1"/>
  <c r="Y717" i="5" s="1"/>
  <c r="Y729" i="5" s="1"/>
  <c r="Y741" i="5" s="1"/>
  <c r="Y753" i="5" s="1"/>
  <c r="Y765" i="5" s="1"/>
  <c r="Y777" i="5" s="1"/>
  <c r="Y789" i="5" s="1"/>
  <c r="Y801" i="5" s="1"/>
  <c r="Y813" i="5" s="1"/>
  <c r="Y825" i="5" s="1"/>
  <c r="Y837" i="5" s="1"/>
  <c r="Y849" i="5" s="1"/>
  <c r="Y861" i="5" s="1"/>
  <c r="Y873" i="5" s="1"/>
  <c r="Y885" i="5" s="1"/>
  <c r="Y897" i="5" s="1"/>
  <c r="Y909" i="5" s="1"/>
  <c r="Y921" i="5" s="1"/>
  <c r="Y933" i="5" s="1"/>
  <c r="Y945" i="5" s="1"/>
  <c r="Y957" i="5" s="1"/>
  <c r="Y969" i="5" s="1"/>
  <c r="Y981" i="5" s="1"/>
  <c r="Y993" i="5" s="1"/>
  <c r="Y11" i="5"/>
  <c r="Y23" i="5"/>
  <c r="Y35" i="5" s="1"/>
  <c r="X3" i="5"/>
  <c r="X10" i="5"/>
  <c r="X11" i="5"/>
  <c r="X12" i="5"/>
  <c r="X22" i="5"/>
  <c r="X23" i="5"/>
  <c r="X35" i="5" s="1"/>
  <c r="X47" i="5" s="1"/>
  <c r="X59" i="5" s="1"/>
  <c r="X71" i="5" s="1"/>
  <c r="X83" i="5" s="1"/>
  <c r="X95" i="5" s="1"/>
  <c r="X107" i="5" s="1"/>
  <c r="X119" i="5" s="1"/>
  <c r="X131" i="5" s="1"/>
  <c r="X143" i="5" s="1"/>
  <c r="X155" i="5" s="1"/>
  <c r="X167" i="5" s="1"/>
  <c r="X179" i="5" s="1"/>
  <c r="X191" i="5" s="1"/>
  <c r="X203" i="5" s="1"/>
  <c r="X215" i="5" s="1"/>
  <c r="X227" i="5" s="1"/>
  <c r="X239" i="5" s="1"/>
  <c r="X251" i="5" s="1"/>
  <c r="X263" i="5" s="1"/>
  <c r="X275" i="5" s="1"/>
  <c r="X287" i="5" s="1"/>
  <c r="X299" i="5" s="1"/>
  <c r="X311" i="5" s="1"/>
  <c r="X323" i="5" s="1"/>
  <c r="X335" i="5" s="1"/>
  <c r="X347" i="5" s="1"/>
  <c r="X359" i="5" s="1"/>
  <c r="X371" i="5" s="1"/>
  <c r="X383" i="5" s="1"/>
  <c r="X395" i="5" s="1"/>
  <c r="X407" i="5" s="1"/>
  <c r="X419" i="5" s="1"/>
  <c r="X431" i="5" s="1"/>
  <c r="X443" i="5" s="1"/>
  <c r="X455" i="5" s="1"/>
  <c r="X467" i="5" s="1"/>
  <c r="X479" i="5" s="1"/>
  <c r="X491" i="5" s="1"/>
  <c r="X503" i="5" s="1"/>
  <c r="X515" i="5" s="1"/>
  <c r="X527" i="5" s="1"/>
  <c r="X539" i="5" s="1"/>
  <c r="X551" i="5" s="1"/>
  <c r="X563" i="5" s="1"/>
  <c r="X575" i="5" s="1"/>
  <c r="X587" i="5" s="1"/>
  <c r="X599" i="5" s="1"/>
  <c r="X611" i="5" s="1"/>
  <c r="X623" i="5" s="1"/>
  <c r="X635" i="5" s="1"/>
  <c r="X647" i="5" s="1"/>
  <c r="X24" i="5"/>
  <c r="X7" i="5"/>
  <c r="X5" i="5"/>
  <c r="Z31" i="5"/>
  <c r="Z43" i="5" s="1"/>
  <c r="Z55" i="5" s="1"/>
  <c r="Z67" i="5" s="1"/>
  <c r="Z79" i="5" s="1"/>
  <c r="Z91" i="5" s="1"/>
  <c r="Z103" i="5" s="1"/>
  <c r="Z115" i="5" s="1"/>
  <c r="Z127" i="5" s="1"/>
  <c r="Z139" i="5" s="1"/>
  <c r="Z151" i="5" s="1"/>
  <c r="Z163" i="5" s="1"/>
  <c r="Z175" i="5" s="1"/>
  <c r="Z187" i="5" s="1"/>
  <c r="Z199" i="5" s="1"/>
  <c r="Z211" i="5" s="1"/>
  <c r="Z223" i="5" s="1"/>
  <c r="Z235" i="5" s="1"/>
  <c r="Z247" i="5" s="1"/>
  <c r="Z259" i="5" s="1"/>
  <c r="Z271" i="5" s="1"/>
  <c r="Z283" i="5" s="1"/>
  <c r="Z295" i="5" s="1"/>
  <c r="Z307" i="5" s="1"/>
  <c r="Z319" i="5" s="1"/>
  <c r="Z331" i="5" s="1"/>
  <c r="Z343" i="5" s="1"/>
  <c r="Z355" i="5" s="1"/>
  <c r="Z367" i="5" s="1"/>
  <c r="Z379" i="5" s="1"/>
  <c r="Z391" i="5" s="1"/>
  <c r="Z403" i="5" s="1"/>
  <c r="Z415" i="5" s="1"/>
  <c r="Z427" i="5" s="1"/>
  <c r="Z439" i="5" s="1"/>
  <c r="Z451" i="5" s="1"/>
  <c r="Z463" i="5" s="1"/>
  <c r="Z475" i="5" s="1"/>
  <c r="Z487" i="5" s="1"/>
  <c r="Z499" i="5" s="1"/>
  <c r="Z511" i="5" s="1"/>
  <c r="Z523" i="5" s="1"/>
  <c r="Z535" i="5" s="1"/>
  <c r="Z547" i="5" s="1"/>
  <c r="Z559" i="5" s="1"/>
  <c r="Z571" i="5" s="1"/>
  <c r="Z583" i="5" s="1"/>
  <c r="Z595" i="5" s="1"/>
  <c r="Z607" i="5" s="1"/>
  <c r="Z619" i="5" s="1"/>
  <c r="Z631" i="5" s="1"/>
  <c r="Z643" i="5" s="1"/>
  <c r="Z655" i="5" s="1"/>
  <c r="Z667" i="5" s="1"/>
  <c r="Z679" i="5" s="1"/>
  <c r="Z691" i="5" s="1"/>
  <c r="Z703" i="5" s="1"/>
  <c r="Z715" i="5" s="1"/>
  <c r="Z727" i="5" s="1"/>
  <c r="Z739" i="5" s="1"/>
  <c r="Z751" i="5" s="1"/>
  <c r="Z763" i="5" s="1"/>
  <c r="Z775" i="5" s="1"/>
  <c r="Z787" i="5" s="1"/>
  <c r="Z799" i="5" s="1"/>
  <c r="Z811" i="5" s="1"/>
  <c r="Z823" i="5" s="1"/>
  <c r="Z835" i="5" s="1"/>
  <c r="Z847" i="5" s="1"/>
  <c r="Z859" i="5" s="1"/>
  <c r="Z871" i="5" s="1"/>
  <c r="Z883" i="5" s="1"/>
  <c r="Z895" i="5" s="1"/>
  <c r="Z907" i="5" s="1"/>
  <c r="Z919" i="5" s="1"/>
  <c r="Z931" i="5" s="1"/>
  <c r="Z943" i="5" s="1"/>
  <c r="Z955" i="5" s="1"/>
  <c r="Z967" i="5" s="1"/>
  <c r="Z979" i="5" s="1"/>
  <c r="Z991" i="5" s="1"/>
  <c r="Z1003" i="5" s="1"/>
  <c r="AA29" i="5"/>
  <c r="AA41" i="5" s="1"/>
  <c r="AA53" i="5"/>
  <c r="AA65" i="5" s="1"/>
  <c r="AA77" i="5" s="1"/>
  <c r="AA89" i="5" s="1"/>
  <c r="AA101" i="5" s="1"/>
  <c r="AA113" i="5" s="1"/>
  <c r="AA125" i="5" s="1"/>
  <c r="AA137" i="5" s="1"/>
  <c r="AA149" i="5" s="1"/>
  <c r="AA161" i="5" s="1"/>
  <c r="AA173" i="5" s="1"/>
  <c r="AA185" i="5" s="1"/>
  <c r="AA197" i="5" s="1"/>
  <c r="AA209" i="5" s="1"/>
  <c r="AA221" i="5" s="1"/>
  <c r="AA233" i="5" s="1"/>
  <c r="AA245" i="5" s="1"/>
  <c r="AA257" i="5" s="1"/>
  <c r="AA269" i="5" s="1"/>
  <c r="AA281" i="5" s="1"/>
  <c r="AA293" i="5" s="1"/>
  <c r="AA305" i="5" s="1"/>
  <c r="AA317" i="5" s="1"/>
  <c r="AA329" i="5" s="1"/>
  <c r="AA341" i="5" s="1"/>
  <c r="AA353" i="5" s="1"/>
  <c r="AA365" i="5" s="1"/>
  <c r="AA377" i="5" s="1"/>
  <c r="AA389" i="5" s="1"/>
  <c r="AA401" i="5" s="1"/>
  <c r="AA413" i="5" s="1"/>
  <c r="AA425" i="5" s="1"/>
  <c r="AA437" i="5" s="1"/>
  <c r="AA449" i="5" s="1"/>
  <c r="AA461" i="5" s="1"/>
  <c r="AA473" i="5" s="1"/>
  <c r="AA485" i="5" s="1"/>
  <c r="AA497" i="5" s="1"/>
  <c r="AA509" i="5" s="1"/>
  <c r="AA521" i="5" s="1"/>
  <c r="AA533" i="5" s="1"/>
  <c r="AA545" i="5" s="1"/>
  <c r="AA557" i="5" s="1"/>
  <c r="AA569" i="5" s="1"/>
  <c r="AA581" i="5" s="1"/>
  <c r="AA593" i="5" s="1"/>
  <c r="AA605" i="5" s="1"/>
  <c r="AA617" i="5" s="1"/>
  <c r="AA629" i="5" s="1"/>
  <c r="AA641" i="5" s="1"/>
  <c r="AA653" i="5" s="1"/>
  <c r="AA665" i="5" s="1"/>
  <c r="AA677" i="5" s="1"/>
  <c r="AA689" i="5" s="1"/>
  <c r="AA701" i="5" s="1"/>
  <c r="AA713" i="5" s="1"/>
  <c r="AA725" i="5" s="1"/>
  <c r="AA737" i="5" s="1"/>
  <c r="AA749" i="5" s="1"/>
  <c r="AA761" i="5" s="1"/>
  <c r="AA773" i="5" s="1"/>
  <c r="AA785" i="5" s="1"/>
  <c r="AA797" i="5" s="1"/>
  <c r="AA809" i="5" s="1"/>
  <c r="AA821" i="5" s="1"/>
  <c r="AA833" i="5" s="1"/>
  <c r="AA845" i="5" s="1"/>
  <c r="AA857" i="5" s="1"/>
  <c r="AA869" i="5" s="1"/>
  <c r="AA881" i="5" s="1"/>
  <c r="AA893" i="5" s="1"/>
  <c r="AA905" i="5" s="1"/>
  <c r="AA917" i="5" s="1"/>
  <c r="AA929" i="5" s="1"/>
  <c r="AA941" i="5" s="1"/>
  <c r="AA953" i="5" s="1"/>
  <c r="AA965" i="5" s="1"/>
  <c r="AA977" i="5" s="1"/>
  <c r="AA989" i="5" s="1"/>
  <c r="AA1001" i="5" s="1"/>
  <c r="Z29" i="5"/>
  <c r="Z41" i="5" s="1"/>
  <c r="Z53" i="5" s="1"/>
  <c r="Z65" i="5" s="1"/>
  <c r="Z77" i="5" s="1"/>
  <c r="Z89" i="5" s="1"/>
  <c r="Z101" i="5" s="1"/>
  <c r="Z113" i="5" s="1"/>
  <c r="Z125" i="5" s="1"/>
  <c r="Z137" i="5" s="1"/>
  <c r="Z149" i="5" s="1"/>
  <c r="Z161" i="5" s="1"/>
  <c r="Z173" i="5" s="1"/>
  <c r="Z185" i="5" s="1"/>
  <c r="Z197" i="5" s="1"/>
  <c r="Z209" i="5" s="1"/>
  <c r="Z221" i="5" s="1"/>
  <c r="Z233" i="5" s="1"/>
  <c r="Z245" i="5" s="1"/>
  <c r="Z257" i="5" s="1"/>
  <c r="Z269" i="5" s="1"/>
  <c r="Z281" i="5" s="1"/>
  <c r="Z293" i="5" s="1"/>
  <c r="Z305" i="5" s="1"/>
  <c r="Z317" i="5" s="1"/>
  <c r="Z329" i="5" s="1"/>
  <c r="Z341" i="5" s="1"/>
  <c r="Z353" i="5" s="1"/>
  <c r="Z365" i="5" s="1"/>
  <c r="Z377" i="5" s="1"/>
  <c r="Z389" i="5" s="1"/>
  <c r="Z401" i="5" s="1"/>
  <c r="Z413" i="5" s="1"/>
  <c r="Z425" i="5" s="1"/>
  <c r="Z437" i="5" s="1"/>
  <c r="Z449" i="5" s="1"/>
  <c r="Z461" i="5" s="1"/>
  <c r="Z473" i="5" s="1"/>
  <c r="Z485" i="5" s="1"/>
  <c r="Z497" i="5" s="1"/>
  <c r="Z509" i="5" s="1"/>
  <c r="Z521" i="5" s="1"/>
  <c r="Z533" i="5" s="1"/>
  <c r="Z545" i="5" s="1"/>
  <c r="Z557" i="5" s="1"/>
  <c r="Z569" i="5" s="1"/>
  <c r="Z581" i="5" s="1"/>
  <c r="Z593" i="5" s="1"/>
  <c r="Z605" i="5" s="1"/>
  <c r="Z617" i="5" s="1"/>
  <c r="Z629" i="5" s="1"/>
  <c r="Z641" i="5" s="1"/>
  <c r="Z653" i="5" s="1"/>
  <c r="Z665" i="5" s="1"/>
  <c r="Z677" i="5" s="1"/>
  <c r="Z689" i="5" s="1"/>
  <c r="Z701" i="5" s="1"/>
  <c r="Z713" i="5" s="1"/>
  <c r="Z725" i="5" s="1"/>
  <c r="Z737" i="5" s="1"/>
  <c r="Z749" i="5" s="1"/>
  <c r="Z761" i="5" s="1"/>
  <c r="Z773" i="5" s="1"/>
  <c r="Z785" i="5" s="1"/>
  <c r="Z797" i="5" s="1"/>
  <c r="Z809" i="5" s="1"/>
  <c r="Z821" i="5" s="1"/>
  <c r="Z833" i="5" s="1"/>
  <c r="Z845" i="5" s="1"/>
  <c r="Z857" i="5" s="1"/>
  <c r="Z869" i="5" s="1"/>
  <c r="Z881" i="5" s="1"/>
  <c r="Z893" i="5" s="1"/>
  <c r="Z905" i="5" s="1"/>
  <c r="Z917" i="5" s="1"/>
  <c r="Z929" i="5" s="1"/>
  <c r="Z941" i="5" s="1"/>
  <c r="Z953" i="5" s="1"/>
  <c r="Z965" i="5" s="1"/>
  <c r="Z977" i="5" s="1"/>
  <c r="Z989" i="5" s="1"/>
  <c r="Z1001" i="5" s="1"/>
  <c r="Z39" i="5"/>
  <c r="Z51" i="5" s="1"/>
  <c r="Z63" i="5" s="1"/>
  <c r="Z75" i="5" s="1"/>
  <c r="Z87" i="5" s="1"/>
  <c r="Z99" i="5" s="1"/>
  <c r="Z111" i="5" s="1"/>
  <c r="Z123" i="5" s="1"/>
  <c r="Z135" i="5" s="1"/>
  <c r="Z147" i="5" s="1"/>
  <c r="Z159" i="5" s="1"/>
  <c r="Z171" i="5" s="1"/>
  <c r="Z183" i="5" s="1"/>
  <c r="Z195" i="5" s="1"/>
  <c r="Z207" i="5" s="1"/>
  <c r="Z219" i="5" s="1"/>
  <c r="Z231" i="5" s="1"/>
  <c r="Z243" i="5" s="1"/>
  <c r="Z255" i="5" s="1"/>
  <c r="Z267" i="5" s="1"/>
  <c r="Z279" i="5" s="1"/>
  <c r="Z291" i="5" s="1"/>
  <c r="Z303" i="5" s="1"/>
  <c r="Z315" i="5" s="1"/>
  <c r="Z327" i="5" s="1"/>
  <c r="Z339" i="5" s="1"/>
  <c r="Z351" i="5" s="1"/>
  <c r="Z363" i="5" s="1"/>
  <c r="Z375" i="5" s="1"/>
  <c r="Z387" i="5" s="1"/>
  <c r="Z399" i="5" s="1"/>
  <c r="Z411" i="5" s="1"/>
  <c r="Z423" i="5" s="1"/>
  <c r="Z435" i="5" s="1"/>
  <c r="Z447" i="5" s="1"/>
  <c r="Z459" i="5" s="1"/>
  <c r="Z471" i="5" s="1"/>
  <c r="Z483" i="5" s="1"/>
  <c r="Z495" i="5" s="1"/>
  <c r="Z507" i="5" s="1"/>
  <c r="Z519" i="5" s="1"/>
  <c r="Z531" i="5" s="1"/>
  <c r="Z543" i="5" s="1"/>
  <c r="Z555" i="5" s="1"/>
  <c r="Z567" i="5" s="1"/>
  <c r="Z579" i="5" s="1"/>
  <c r="Z591" i="5" s="1"/>
  <c r="Z603" i="5" s="1"/>
  <c r="Z615" i="5" s="1"/>
  <c r="Z627" i="5" s="1"/>
  <c r="Z639" i="5" s="1"/>
  <c r="Z651" i="5" s="1"/>
  <c r="Z663" i="5" s="1"/>
  <c r="Z675" i="5" s="1"/>
  <c r="Z687" i="5" s="1"/>
  <c r="Z699" i="5" s="1"/>
  <c r="Z711" i="5" s="1"/>
  <c r="Z723" i="5" s="1"/>
  <c r="Z735" i="5" s="1"/>
  <c r="Z747" i="5" s="1"/>
  <c r="Z759" i="5" s="1"/>
  <c r="Z771" i="5" s="1"/>
  <c r="Z783" i="5" s="1"/>
  <c r="Z795" i="5" s="1"/>
  <c r="Z807" i="5" s="1"/>
  <c r="Z819" i="5" s="1"/>
  <c r="Z831" i="5" s="1"/>
  <c r="Z843" i="5" s="1"/>
  <c r="Z855" i="5" s="1"/>
  <c r="Z867" i="5" s="1"/>
  <c r="Z879" i="5" s="1"/>
  <c r="Z891" i="5" s="1"/>
  <c r="Z903" i="5" s="1"/>
  <c r="Z915" i="5" s="1"/>
  <c r="Z927" i="5" s="1"/>
  <c r="Z939" i="5" s="1"/>
  <c r="Z951" i="5" s="1"/>
  <c r="Z963" i="5" s="1"/>
  <c r="Z975" i="5" s="1"/>
  <c r="Z987" i="5" s="1"/>
  <c r="Z999" i="5" s="1"/>
  <c r="AA37" i="5"/>
  <c r="AA49" i="5" s="1"/>
  <c r="AA61" i="5" s="1"/>
  <c r="AA73" i="5" s="1"/>
  <c r="AA85" i="5" s="1"/>
  <c r="AA97" i="5" s="1"/>
  <c r="AA109" i="5" s="1"/>
  <c r="AA121" i="5" s="1"/>
  <c r="AA133" i="5" s="1"/>
  <c r="AA145" i="5" s="1"/>
  <c r="AA157" i="5" s="1"/>
  <c r="AA169" i="5" s="1"/>
  <c r="AA181" i="5" s="1"/>
  <c r="AA193" i="5" s="1"/>
  <c r="AA205" i="5" s="1"/>
  <c r="AA217" i="5" s="1"/>
  <c r="AA229" i="5" s="1"/>
  <c r="AA241" i="5" s="1"/>
  <c r="AA253" i="5" s="1"/>
  <c r="AA265" i="5" s="1"/>
  <c r="AA277" i="5" s="1"/>
  <c r="AA289" i="5" s="1"/>
  <c r="AA301" i="5" s="1"/>
  <c r="AA313" i="5" s="1"/>
  <c r="AA325" i="5" s="1"/>
  <c r="AA337" i="5" s="1"/>
  <c r="AA349" i="5" s="1"/>
  <c r="AA361" i="5" s="1"/>
  <c r="AA373" i="5" s="1"/>
  <c r="AA385" i="5" s="1"/>
  <c r="AA397" i="5" s="1"/>
  <c r="AA409" i="5" s="1"/>
  <c r="AA421" i="5" s="1"/>
  <c r="AA433" i="5" s="1"/>
  <c r="AA445" i="5" s="1"/>
  <c r="AA457" i="5" s="1"/>
  <c r="AA469" i="5" s="1"/>
  <c r="AA481" i="5" s="1"/>
  <c r="AA493" i="5" s="1"/>
  <c r="AA505" i="5" s="1"/>
  <c r="AA517" i="5" s="1"/>
  <c r="AA529" i="5" s="1"/>
  <c r="AA541" i="5" s="1"/>
  <c r="AA553" i="5" s="1"/>
  <c r="AA565" i="5" s="1"/>
  <c r="AA577" i="5" s="1"/>
  <c r="AA589" i="5" s="1"/>
  <c r="AA601" i="5" s="1"/>
  <c r="AA613" i="5" s="1"/>
  <c r="AA625" i="5" s="1"/>
  <c r="AA637" i="5" s="1"/>
  <c r="AA649" i="5" s="1"/>
  <c r="AA661" i="5" s="1"/>
  <c r="AA673" i="5" s="1"/>
  <c r="AA685" i="5" s="1"/>
  <c r="AA697" i="5" s="1"/>
  <c r="AA709" i="5" s="1"/>
  <c r="AA721" i="5" s="1"/>
  <c r="AA733" i="5" s="1"/>
  <c r="AA745" i="5" s="1"/>
  <c r="AA757" i="5" s="1"/>
  <c r="AA769" i="5" s="1"/>
  <c r="AA781" i="5" s="1"/>
  <c r="AA793" i="5" s="1"/>
  <c r="AA805" i="5" s="1"/>
  <c r="AA817" i="5" s="1"/>
  <c r="AA829" i="5" s="1"/>
  <c r="AA841" i="5" s="1"/>
  <c r="AA853" i="5" s="1"/>
  <c r="AA865" i="5" s="1"/>
  <c r="AA877" i="5" s="1"/>
  <c r="AA889" i="5" s="1"/>
  <c r="AA901" i="5" s="1"/>
  <c r="AA913" i="5" s="1"/>
  <c r="AA925" i="5" s="1"/>
  <c r="AA937" i="5" s="1"/>
  <c r="AA949" i="5" s="1"/>
  <c r="AA961" i="5" s="1"/>
  <c r="AA973" i="5" s="1"/>
  <c r="AA985" i="5" s="1"/>
  <c r="AA997" i="5" s="1"/>
  <c r="Z37" i="5"/>
  <c r="Z49" i="5" s="1"/>
  <c r="Z61" i="5"/>
  <c r="Z73" i="5" s="1"/>
  <c r="Z85" i="5" s="1"/>
  <c r="Z97" i="5" s="1"/>
  <c r="Z109" i="5" s="1"/>
  <c r="Z121" i="5" s="1"/>
  <c r="Z133" i="5" s="1"/>
  <c r="Z145" i="5" s="1"/>
  <c r="Z157" i="5" s="1"/>
  <c r="Z169" i="5" s="1"/>
  <c r="Z181" i="5" s="1"/>
  <c r="Z193" i="5" s="1"/>
  <c r="Z205" i="5" s="1"/>
  <c r="Z217" i="5" s="1"/>
  <c r="Z229" i="5" s="1"/>
  <c r="Z241" i="5" s="1"/>
  <c r="Z253" i="5" s="1"/>
  <c r="Z265" i="5" s="1"/>
  <c r="Z277" i="5" s="1"/>
  <c r="Z289" i="5" s="1"/>
  <c r="Z301" i="5" s="1"/>
  <c r="Z313" i="5" s="1"/>
  <c r="Z325" i="5" s="1"/>
  <c r="Z337" i="5" s="1"/>
  <c r="Z349" i="5" s="1"/>
  <c r="Z361" i="5" s="1"/>
  <c r="Z373" i="5" s="1"/>
  <c r="Z385" i="5" s="1"/>
  <c r="Z397" i="5" s="1"/>
  <c r="Z409" i="5" s="1"/>
  <c r="Z421" i="5" s="1"/>
  <c r="Z433" i="5" s="1"/>
  <c r="Z445" i="5" s="1"/>
  <c r="Z457" i="5" s="1"/>
  <c r="Z469" i="5" s="1"/>
  <c r="Z481" i="5" s="1"/>
  <c r="Z493" i="5" s="1"/>
  <c r="Z505" i="5" s="1"/>
  <c r="Z517" i="5" s="1"/>
  <c r="Z529" i="5" s="1"/>
  <c r="Z541" i="5" s="1"/>
  <c r="Z553" i="5" s="1"/>
  <c r="Z565" i="5" s="1"/>
  <c r="Z577" i="5" s="1"/>
  <c r="Z589" i="5" s="1"/>
  <c r="Z601" i="5" s="1"/>
  <c r="Z613" i="5" s="1"/>
  <c r="Z625" i="5" s="1"/>
  <c r="Z637" i="5" s="1"/>
  <c r="Z649" i="5" s="1"/>
  <c r="Z661" i="5" s="1"/>
  <c r="Z673" i="5" s="1"/>
  <c r="Z685" i="5" s="1"/>
  <c r="Z697" i="5" s="1"/>
  <c r="Z709" i="5" s="1"/>
  <c r="Z721" i="5" s="1"/>
  <c r="Z733" i="5" s="1"/>
  <c r="Z745" i="5" s="1"/>
  <c r="Z757" i="5" s="1"/>
  <c r="Z769" i="5" s="1"/>
  <c r="Z781" i="5" s="1"/>
  <c r="Z793" i="5" s="1"/>
  <c r="Z805" i="5" s="1"/>
  <c r="Z817" i="5" s="1"/>
  <c r="Z829" i="5" s="1"/>
  <c r="Z841" i="5" s="1"/>
  <c r="Z853" i="5" s="1"/>
  <c r="Z865" i="5" s="1"/>
  <c r="Z877" i="5" s="1"/>
  <c r="Z889" i="5" s="1"/>
  <c r="Z901" i="5" s="1"/>
  <c r="Z913" i="5" s="1"/>
  <c r="Z925" i="5" s="1"/>
  <c r="Z937" i="5" s="1"/>
  <c r="Z949" i="5" s="1"/>
  <c r="Z961" i="5" s="1"/>
  <c r="Z973" i="5" s="1"/>
  <c r="Z985" i="5" s="1"/>
  <c r="Z997" i="5" s="1"/>
  <c r="Z35" i="5"/>
  <c r="Z47" i="5" s="1"/>
  <c r="Z59" i="5" s="1"/>
  <c r="Z71" i="5" s="1"/>
  <c r="Z83" i="5" s="1"/>
  <c r="Z95" i="5" s="1"/>
  <c r="Z107" i="5" s="1"/>
  <c r="Z119" i="5" s="1"/>
  <c r="Z131" i="5" s="1"/>
  <c r="Z143" i="5" s="1"/>
  <c r="Z155" i="5" s="1"/>
  <c r="Z167" i="5" s="1"/>
  <c r="Z179" i="5" s="1"/>
  <c r="Z191" i="5" s="1"/>
  <c r="Z203" i="5" s="1"/>
  <c r="Z215" i="5" s="1"/>
  <c r="Z227" i="5" s="1"/>
  <c r="Z239" i="5" s="1"/>
  <c r="Z251" i="5" s="1"/>
  <c r="Z263" i="5" s="1"/>
  <c r="Z275" i="5" s="1"/>
  <c r="Z287" i="5" s="1"/>
  <c r="Z299" i="5" s="1"/>
  <c r="Z311" i="5" s="1"/>
  <c r="Z323" i="5" s="1"/>
  <c r="Z335" i="5" s="1"/>
  <c r="Z347" i="5" s="1"/>
  <c r="Z359" i="5" s="1"/>
  <c r="Z371" i="5" s="1"/>
  <c r="Z383" i="5" s="1"/>
  <c r="Z395" i="5" s="1"/>
  <c r="Z407" i="5" s="1"/>
  <c r="Z419" i="5" s="1"/>
  <c r="Z431" i="5" s="1"/>
  <c r="Z443" i="5" s="1"/>
  <c r="Z455" i="5" s="1"/>
  <c r="Z467" i="5" s="1"/>
  <c r="Z479" i="5" s="1"/>
  <c r="Z491" i="5" s="1"/>
  <c r="Z503" i="5" s="1"/>
  <c r="Z515" i="5" s="1"/>
  <c r="Z527" i="5" s="1"/>
  <c r="Z539" i="5" s="1"/>
  <c r="Z551" i="5" s="1"/>
  <c r="Z563" i="5" s="1"/>
  <c r="Z575" i="5" s="1"/>
  <c r="Z587" i="5" s="1"/>
  <c r="Z599" i="5" s="1"/>
  <c r="Z611" i="5" s="1"/>
  <c r="Z623" i="5" s="1"/>
  <c r="Z635" i="5" s="1"/>
  <c r="Z647" i="5" s="1"/>
  <c r="Z659" i="5" s="1"/>
  <c r="Z671" i="5" s="1"/>
  <c r="Z683" i="5" s="1"/>
  <c r="Z695" i="5" s="1"/>
  <c r="Z707" i="5" s="1"/>
  <c r="Z719" i="5" s="1"/>
  <c r="Z731" i="5" s="1"/>
  <c r="Z743" i="5" s="1"/>
  <c r="Z755" i="5" s="1"/>
  <c r="Z767" i="5" s="1"/>
  <c r="Z779" i="5" s="1"/>
  <c r="Z791" i="5" s="1"/>
  <c r="Z803" i="5" s="1"/>
  <c r="Z815" i="5" s="1"/>
  <c r="Z827" i="5" s="1"/>
  <c r="Z839" i="5" s="1"/>
  <c r="Z851" i="5" s="1"/>
  <c r="Z863" i="5" s="1"/>
  <c r="Z875" i="5" s="1"/>
  <c r="Z887" i="5" s="1"/>
  <c r="Z899" i="5" s="1"/>
  <c r="Z911" i="5" s="1"/>
  <c r="Z923" i="5" s="1"/>
  <c r="Z935" i="5" s="1"/>
  <c r="Z947" i="5" s="1"/>
  <c r="Z959" i="5" s="1"/>
  <c r="Z971" i="5" s="1"/>
  <c r="Z983" i="5" s="1"/>
  <c r="Z995" i="5" s="1"/>
  <c r="Y47" i="5"/>
  <c r="Y59" i="5" s="1"/>
  <c r="Y71" i="5"/>
  <c r="Y83" i="5" s="1"/>
  <c r="Y95" i="5" s="1"/>
  <c r="Y107" i="5" s="1"/>
  <c r="Y119" i="5" s="1"/>
  <c r="Y131" i="5" s="1"/>
  <c r="Y143" i="5" s="1"/>
  <c r="Y155" i="5" s="1"/>
  <c r="Y167" i="5" s="1"/>
  <c r="Y179" i="5" s="1"/>
  <c r="Y191" i="5" s="1"/>
  <c r="Y203" i="5" s="1"/>
  <c r="Y215" i="5" s="1"/>
  <c r="Y227" i="5" s="1"/>
  <c r="Y239" i="5" s="1"/>
  <c r="Y251" i="5" s="1"/>
  <c r="Y263" i="5" s="1"/>
  <c r="Y275" i="5" s="1"/>
  <c r="Y287" i="5" s="1"/>
  <c r="Y299" i="5" s="1"/>
  <c r="Y311" i="5" s="1"/>
  <c r="Y323" i="5" s="1"/>
  <c r="Y335" i="5" s="1"/>
  <c r="Y347" i="5" s="1"/>
  <c r="Y359" i="5" s="1"/>
  <c r="Y371" i="5" s="1"/>
  <c r="Y383" i="5" s="1"/>
  <c r="Y395" i="5" s="1"/>
  <c r="Y407" i="5" s="1"/>
  <c r="Y419" i="5" s="1"/>
  <c r="Y431" i="5" s="1"/>
  <c r="Y443" i="5" s="1"/>
  <c r="Y455" i="5" s="1"/>
  <c r="Y467" i="5" s="1"/>
  <c r="Y479" i="5" s="1"/>
  <c r="Y491" i="5" s="1"/>
  <c r="Y503" i="5" s="1"/>
  <c r="Y515" i="5" s="1"/>
  <c r="Y527" i="5" s="1"/>
  <c r="Y539" i="5" s="1"/>
  <c r="Y551" i="5" s="1"/>
  <c r="Y563" i="5" s="1"/>
  <c r="Y575" i="5" s="1"/>
  <c r="Y587" i="5" s="1"/>
  <c r="Y599" i="5" s="1"/>
  <c r="Y611" i="5" s="1"/>
  <c r="Y623" i="5" s="1"/>
  <c r="Y635" i="5" s="1"/>
  <c r="Y647" i="5" s="1"/>
  <c r="Y659" i="5" s="1"/>
  <c r="Y671" i="5" s="1"/>
  <c r="Y683" i="5" s="1"/>
  <c r="Y695" i="5" s="1"/>
  <c r="Y707" i="5" s="1"/>
  <c r="Y719" i="5" s="1"/>
  <c r="Y731" i="5" s="1"/>
  <c r="Y743" i="5" s="1"/>
  <c r="Y755" i="5" s="1"/>
  <c r="Y767" i="5" s="1"/>
  <c r="Y779" i="5" s="1"/>
  <c r="Y791" i="5" s="1"/>
  <c r="Y803" i="5" s="1"/>
  <c r="Y815" i="5" s="1"/>
  <c r="Y827" i="5" s="1"/>
  <c r="Y839" i="5" s="1"/>
  <c r="Y851" i="5" s="1"/>
  <c r="Y863" i="5" s="1"/>
  <c r="Y875" i="5" s="1"/>
  <c r="Y887" i="5" s="1"/>
  <c r="Y899" i="5" s="1"/>
  <c r="Y911" i="5" s="1"/>
  <c r="Y923" i="5" s="1"/>
  <c r="Y935" i="5" s="1"/>
  <c r="Y947" i="5" s="1"/>
  <c r="Y959" i="5" s="1"/>
  <c r="Y971" i="5" s="1"/>
  <c r="Y983" i="5" s="1"/>
  <c r="Y995" i="5" s="1"/>
  <c r="AA33" i="5"/>
  <c r="AA45" i="5" s="1"/>
  <c r="AA57" i="5" s="1"/>
  <c r="AA69" i="5" s="1"/>
  <c r="AA81" i="5" s="1"/>
  <c r="AA93" i="5" s="1"/>
  <c r="AA105" i="5" s="1"/>
  <c r="AA117" i="5" s="1"/>
  <c r="AA129" i="5" s="1"/>
  <c r="AA141" i="5" s="1"/>
  <c r="AA153" i="5" s="1"/>
  <c r="AA165" i="5" s="1"/>
  <c r="AA177" i="5" s="1"/>
  <c r="AA189" i="5" s="1"/>
  <c r="AA201" i="5" s="1"/>
  <c r="AA213" i="5" s="1"/>
  <c r="AA225" i="5" s="1"/>
  <c r="AA237" i="5" s="1"/>
  <c r="AA249" i="5" s="1"/>
  <c r="AA261" i="5" s="1"/>
  <c r="AA273" i="5" s="1"/>
  <c r="AA285" i="5" s="1"/>
  <c r="AA297" i="5" s="1"/>
  <c r="AA309" i="5" s="1"/>
  <c r="AA321" i="5" s="1"/>
  <c r="AA333" i="5" s="1"/>
  <c r="AA345" i="5" s="1"/>
  <c r="AA357" i="5" s="1"/>
  <c r="AA369" i="5" s="1"/>
  <c r="AA381" i="5" s="1"/>
  <c r="AA393" i="5" s="1"/>
  <c r="AA405" i="5" s="1"/>
  <c r="AA417" i="5" s="1"/>
  <c r="AA429" i="5" s="1"/>
  <c r="AA441" i="5" s="1"/>
  <c r="AA453" i="5" s="1"/>
  <c r="AA465" i="5" s="1"/>
  <c r="AA477" i="5" s="1"/>
  <c r="AA489" i="5" s="1"/>
  <c r="AA501" i="5" s="1"/>
  <c r="AA513" i="5" s="1"/>
  <c r="AA525" i="5" s="1"/>
  <c r="AA537" i="5" s="1"/>
  <c r="AA549" i="5" s="1"/>
  <c r="AA561" i="5" s="1"/>
  <c r="AA573" i="5" s="1"/>
  <c r="AA585" i="5" s="1"/>
  <c r="AA597" i="5" s="1"/>
  <c r="AA609" i="5" s="1"/>
  <c r="AA621" i="5" s="1"/>
  <c r="AA633" i="5" s="1"/>
  <c r="AA645" i="5" s="1"/>
  <c r="AA657" i="5" s="1"/>
  <c r="AA669" i="5" s="1"/>
  <c r="AA681" i="5" s="1"/>
  <c r="AA693" i="5" s="1"/>
  <c r="AA705" i="5" s="1"/>
  <c r="AA717" i="5" s="1"/>
  <c r="AA729" i="5" s="1"/>
  <c r="AA741" i="5" s="1"/>
  <c r="AA753" i="5" s="1"/>
  <c r="AA765" i="5" s="1"/>
  <c r="AA777" i="5" s="1"/>
  <c r="AA789" i="5" s="1"/>
  <c r="AA801" i="5" s="1"/>
  <c r="AA813" i="5" s="1"/>
  <c r="AA825" i="5" s="1"/>
  <c r="AA837" i="5" s="1"/>
  <c r="AA849" i="5" s="1"/>
  <c r="AA861" i="5" s="1"/>
  <c r="AA873" i="5" s="1"/>
  <c r="AA885" i="5" s="1"/>
  <c r="AA897" i="5" s="1"/>
  <c r="AA909" i="5" s="1"/>
  <c r="AA921" i="5" s="1"/>
  <c r="AA933" i="5" s="1"/>
  <c r="AA945" i="5" s="1"/>
  <c r="AA957" i="5" s="1"/>
  <c r="AA969" i="5" s="1"/>
  <c r="AA981" i="5" s="1"/>
  <c r="AA993" i="5" s="1"/>
  <c r="Z33" i="5"/>
  <c r="Z45" i="5" s="1"/>
  <c r="Z57" i="5"/>
  <c r="Z69" i="5" s="1"/>
  <c r="Z81" i="5" s="1"/>
  <c r="Z93" i="5" s="1"/>
  <c r="Z105" i="5" s="1"/>
  <c r="Z117" i="5" s="1"/>
  <c r="Z129" i="5" s="1"/>
  <c r="Z141" i="5" s="1"/>
  <c r="Z153" i="5" s="1"/>
  <c r="Z165" i="5" s="1"/>
  <c r="Z177" i="5" s="1"/>
  <c r="Z189" i="5" s="1"/>
  <c r="Z201" i="5" s="1"/>
  <c r="Z213" i="5" s="1"/>
  <c r="Z225" i="5" s="1"/>
  <c r="Z237" i="5" s="1"/>
  <c r="Z249" i="5" s="1"/>
  <c r="Z261" i="5" s="1"/>
  <c r="Z273" i="5" s="1"/>
  <c r="Z285" i="5" s="1"/>
  <c r="Z297" i="5" s="1"/>
  <c r="Z309" i="5" s="1"/>
  <c r="Z321" i="5" s="1"/>
  <c r="Z333" i="5" s="1"/>
  <c r="Z345" i="5" s="1"/>
  <c r="Z357" i="5" s="1"/>
  <c r="Z369" i="5" s="1"/>
  <c r="Z381" i="5" s="1"/>
  <c r="Z393" i="5" s="1"/>
  <c r="Z405" i="5" s="1"/>
  <c r="Z417" i="5" s="1"/>
  <c r="Z429" i="5" s="1"/>
  <c r="Z441" i="5" s="1"/>
  <c r="Z453" i="5" s="1"/>
  <c r="Z465" i="5" s="1"/>
  <c r="Z477" i="5" s="1"/>
  <c r="Z489" i="5" s="1"/>
  <c r="Z501" i="5" s="1"/>
  <c r="Z513" i="5" s="1"/>
  <c r="Z525" i="5" s="1"/>
  <c r="Z537" i="5" s="1"/>
  <c r="Z549" i="5" s="1"/>
  <c r="Z561" i="5" s="1"/>
  <c r="Z573" i="5" s="1"/>
  <c r="Z585" i="5" s="1"/>
  <c r="Z597" i="5" s="1"/>
  <c r="Z609" i="5" s="1"/>
  <c r="Z621" i="5" s="1"/>
  <c r="Z633" i="5" s="1"/>
  <c r="Z645" i="5" s="1"/>
  <c r="Z657" i="5" s="1"/>
  <c r="Z669" i="5" s="1"/>
  <c r="Z681" i="5" s="1"/>
  <c r="Z693" i="5" s="1"/>
  <c r="Z705" i="5" s="1"/>
  <c r="Z717" i="5" s="1"/>
  <c r="Z729" i="5" s="1"/>
  <c r="Z741" i="5" s="1"/>
  <c r="Z753" i="5" s="1"/>
  <c r="Z765" i="5" s="1"/>
  <c r="Z777" i="5" s="1"/>
  <c r="Z789" i="5" s="1"/>
  <c r="Z801" i="5" s="1"/>
  <c r="Z813" i="5" s="1"/>
  <c r="Z825" i="5" s="1"/>
  <c r="Z837" i="5" s="1"/>
  <c r="Z849" i="5" s="1"/>
  <c r="Z861" i="5" s="1"/>
  <c r="Z873" i="5" s="1"/>
  <c r="Z885" i="5" s="1"/>
  <c r="Z897" i="5" s="1"/>
  <c r="Z909" i="5" s="1"/>
  <c r="Z921" i="5" s="1"/>
  <c r="Z933" i="5" s="1"/>
  <c r="Z945" i="5" s="1"/>
  <c r="Z957" i="5" s="1"/>
  <c r="Z969" i="5" s="1"/>
  <c r="Z981" i="5" s="1"/>
  <c r="Z993" i="5" s="1"/>
  <c r="X34" i="5"/>
  <c r="X36" i="5"/>
  <c r="X46" i="5"/>
  <c r="X48" i="5"/>
  <c r="X58" i="5"/>
  <c r="X60" i="5"/>
  <c r="X70" i="5"/>
  <c r="X72" i="5"/>
  <c r="X82" i="5"/>
  <c r="X84" i="5"/>
  <c r="X94" i="5"/>
  <c r="X96" i="5"/>
  <c r="X106" i="5"/>
  <c r="X108" i="5"/>
  <c r="X118" i="5"/>
  <c r="X120" i="5"/>
  <c r="X130" i="5"/>
  <c r="X132" i="5"/>
  <c r="X142" i="5"/>
  <c r="X144" i="5"/>
  <c r="X154" i="5"/>
  <c r="X156" i="5"/>
  <c r="X166" i="5"/>
  <c r="X168" i="5"/>
  <c r="X178" i="5"/>
  <c r="X180" i="5"/>
  <c r="X190" i="5"/>
  <c r="X192" i="5"/>
  <c r="X202" i="5"/>
  <c r="X204" i="5"/>
  <c r="X214" i="5"/>
  <c r="X216" i="5"/>
  <c r="X226" i="5"/>
  <c r="X228" i="5"/>
  <c r="X238" i="5"/>
  <c r="X240" i="5"/>
  <c r="X250" i="5"/>
  <c r="X252" i="5"/>
  <c r="X262" i="5"/>
  <c r="X264" i="5"/>
  <c r="X274" i="5"/>
  <c r="X276" i="5"/>
  <c r="X286" i="5"/>
  <c r="X288" i="5"/>
  <c r="X298" i="5"/>
  <c r="X300" i="5"/>
  <c r="X310" i="5"/>
  <c r="X312" i="5"/>
  <c r="X322" i="5"/>
  <c r="X324" i="5"/>
  <c r="X334" i="5"/>
  <c r="X336" i="5"/>
  <c r="X346" i="5"/>
  <c r="X348" i="5"/>
  <c r="X358" i="5"/>
  <c r="X360" i="5"/>
  <c r="X370" i="5"/>
  <c r="X372" i="5"/>
  <c r="X382" i="5"/>
  <c r="X384" i="5"/>
  <c r="X394" i="5"/>
  <c r="X396" i="5"/>
  <c r="X406" i="5"/>
  <c r="X408" i="5"/>
  <c r="X418" i="5"/>
  <c r="X420" i="5"/>
  <c r="X430" i="5"/>
  <c r="X432" i="5"/>
  <c r="X442" i="5"/>
  <c r="X444" i="5"/>
  <c r="X454" i="5"/>
  <c r="X456" i="5"/>
  <c r="X466" i="5"/>
  <c r="X468" i="5"/>
  <c r="X478" i="5"/>
  <c r="X480" i="5"/>
  <c r="X490" i="5"/>
  <c r="X492" i="5"/>
  <c r="X502" i="5"/>
  <c r="X504" i="5"/>
  <c r="X514" i="5"/>
  <c r="X516" i="5"/>
  <c r="X526" i="5"/>
  <c r="X528" i="5"/>
  <c r="X538" i="5"/>
  <c r="X540" i="5"/>
  <c r="X550" i="5"/>
  <c r="X552" i="5"/>
  <c r="X562" i="5"/>
  <c r="X564" i="5"/>
  <c r="X574" i="5"/>
  <c r="X576" i="5"/>
  <c r="X586" i="5"/>
  <c r="X588" i="5"/>
  <c r="X598" i="5"/>
  <c r="X600" i="5"/>
  <c r="X610" i="5"/>
  <c r="X612" i="5"/>
  <c r="X622" i="5"/>
  <c r="X624" i="5"/>
  <c r="X634" i="5"/>
  <c r="X636" i="5"/>
  <c r="X646" i="5"/>
  <c r="X648" i="5"/>
  <c r="X658" i="5"/>
  <c r="X659" i="5"/>
  <c r="X660" i="5"/>
  <c r="X670" i="5"/>
  <c r="X671" i="5"/>
  <c r="X672" i="5"/>
  <c r="X682" i="5"/>
  <c r="X683" i="5"/>
  <c r="X684" i="5"/>
  <c r="X694" i="5"/>
  <c r="X695" i="5"/>
  <c r="X696" i="5"/>
  <c r="X706" i="5"/>
  <c r="X707" i="5"/>
  <c r="X708" i="5"/>
  <c r="X718" i="5"/>
  <c r="X719" i="5"/>
  <c r="X720" i="5"/>
  <c r="X730" i="5"/>
  <c r="X731" i="5"/>
  <c r="X732" i="5"/>
  <c r="X742" i="5"/>
  <c r="X743" i="5"/>
  <c r="X744" i="5"/>
  <c r="X754" i="5"/>
  <c r="X755" i="5"/>
  <c r="X756" i="5"/>
  <c r="X766" i="5"/>
  <c r="X767" i="5"/>
  <c r="X768" i="5"/>
  <c r="X778" i="5"/>
  <c r="X779" i="5"/>
  <c r="X780" i="5"/>
  <c r="X790" i="5"/>
  <c r="X791" i="5"/>
  <c r="X792" i="5"/>
  <c r="X802" i="5"/>
  <c r="X803" i="5"/>
  <c r="X804" i="5"/>
  <c r="X814" i="5"/>
  <c r="X815" i="5"/>
  <c r="X816" i="5"/>
  <c r="X826" i="5"/>
  <c r="X827" i="5"/>
  <c r="X828" i="5"/>
  <c r="X838" i="5"/>
  <c r="X839" i="5"/>
  <c r="X840" i="5"/>
  <c r="X850" i="5"/>
  <c r="X851" i="5"/>
  <c r="X852" i="5"/>
  <c r="X862" i="5"/>
  <c r="X863" i="5"/>
  <c r="X864" i="5"/>
  <c r="X874" i="5"/>
  <c r="X875" i="5"/>
  <c r="X876" i="5"/>
  <c r="X886" i="5"/>
  <c r="X887" i="5"/>
  <c r="X888" i="5"/>
  <c r="X898" i="5"/>
  <c r="X899" i="5"/>
  <c r="X900" i="5"/>
  <c r="X910" i="5"/>
  <c r="X911" i="5"/>
  <c r="X912" i="5"/>
  <c r="X922" i="5"/>
  <c r="X923" i="5"/>
  <c r="X924" i="5"/>
  <c r="X934" i="5"/>
  <c r="X935" i="5"/>
  <c r="X936" i="5"/>
  <c r="X946" i="5"/>
  <c r="X947" i="5"/>
  <c r="X948" i="5"/>
  <c r="X958" i="5"/>
  <c r="X959" i="5"/>
  <c r="X960" i="5"/>
  <c r="X970" i="5"/>
  <c r="X971" i="5"/>
  <c r="X972" i="5"/>
  <c r="X982" i="5"/>
  <c r="X983" i="5"/>
  <c r="X984" i="5"/>
  <c r="X994" i="5"/>
  <c r="X995" i="5"/>
  <c r="X996" i="5"/>
  <c r="Y12" i="5" l="1"/>
  <c r="Y24" i="5" s="1"/>
  <c r="Y36" i="5" s="1"/>
  <c r="Y48" i="5" s="1"/>
  <c r="Y60" i="5" s="1"/>
  <c r="Y72" i="5" s="1"/>
  <c r="Y84" i="5" s="1"/>
  <c r="Y96" i="5" s="1"/>
  <c r="Y108" i="5" s="1"/>
  <c r="Y120" i="5" s="1"/>
  <c r="Y132" i="5" s="1"/>
  <c r="Y144" i="5" s="1"/>
  <c r="Y156" i="5" s="1"/>
  <c r="Y168" i="5" s="1"/>
  <c r="Y180" i="5" s="1"/>
  <c r="Y192" i="5" s="1"/>
  <c r="Y204" i="5" s="1"/>
  <c r="Y216" i="5" s="1"/>
  <c r="Y228" i="5" s="1"/>
  <c r="Y240" i="5" s="1"/>
  <c r="Y252" i="5" s="1"/>
  <c r="Y264" i="5" s="1"/>
  <c r="Y276" i="5" s="1"/>
  <c r="Y288" i="5" s="1"/>
  <c r="Y300" i="5" s="1"/>
  <c r="Y312" i="5" s="1"/>
  <c r="Y324" i="5" s="1"/>
  <c r="Y336" i="5" s="1"/>
  <c r="Y348" i="5" s="1"/>
  <c r="Y360" i="5" s="1"/>
  <c r="Y372" i="5" s="1"/>
  <c r="Y384" i="5" s="1"/>
  <c r="Y396" i="5" s="1"/>
  <c r="Y408" i="5" s="1"/>
  <c r="Y420" i="5" s="1"/>
  <c r="Y432" i="5" s="1"/>
  <c r="Y444" i="5" s="1"/>
  <c r="Y456" i="5" s="1"/>
  <c r="Y468" i="5" s="1"/>
  <c r="Y480" i="5" s="1"/>
  <c r="Y492" i="5" s="1"/>
  <c r="Y504" i="5" s="1"/>
  <c r="Y516" i="5" s="1"/>
  <c r="Y528" i="5" s="1"/>
  <c r="Y540" i="5" s="1"/>
  <c r="Y552" i="5" s="1"/>
  <c r="Y564" i="5" s="1"/>
  <c r="Y576" i="5" s="1"/>
  <c r="Y588" i="5" s="1"/>
  <c r="Y600" i="5" s="1"/>
  <c r="Y612" i="5" s="1"/>
  <c r="Y624" i="5" s="1"/>
  <c r="Y636" i="5" s="1"/>
  <c r="Y648" i="5" s="1"/>
  <c r="Y660" i="5" s="1"/>
  <c r="Y672" i="5" s="1"/>
  <c r="Y684" i="5" s="1"/>
  <c r="Y696" i="5" s="1"/>
  <c r="Y708" i="5" s="1"/>
  <c r="Y720" i="5" s="1"/>
  <c r="Y732" i="5" s="1"/>
  <c r="Y744" i="5" s="1"/>
  <c r="Y756" i="5" s="1"/>
  <c r="Y768" i="5" s="1"/>
  <c r="Y780" i="5" s="1"/>
  <c r="Y792" i="5" s="1"/>
  <c r="Y804" i="5" s="1"/>
  <c r="Y816" i="5" s="1"/>
  <c r="Y828" i="5" s="1"/>
  <c r="Y840" i="5" s="1"/>
  <c r="Y852" i="5" s="1"/>
  <c r="Y864" i="5" s="1"/>
  <c r="Y876" i="5" s="1"/>
  <c r="Y888" i="5" s="1"/>
  <c r="Y900" i="5" s="1"/>
  <c r="Y912" i="5" s="1"/>
  <c r="Y924" i="5" s="1"/>
  <c r="Y936" i="5" s="1"/>
  <c r="Y948" i="5" s="1"/>
  <c r="Y960" i="5" s="1"/>
  <c r="Y972" i="5" s="1"/>
  <c r="Y984" i="5" s="1"/>
  <c r="Y996" i="5" s="1"/>
  <c r="Y13" i="5"/>
  <c r="Y25" i="5" s="1"/>
  <c r="Y37" i="5" s="1"/>
  <c r="Y49" i="5" s="1"/>
  <c r="Y61" i="5" s="1"/>
  <c r="Y73" i="5" s="1"/>
  <c r="Y85" i="5" s="1"/>
  <c r="Y97" i="5" s="1"/>
  <c r="Y109" i="5" s="1"/>
  <c r="Y121" i="5" s="1"/>
  <c r="Y133" i="5" s="1"/>
  <c r="Y145" i="5" s="1"/>
  <c r="Y157" i="5" s="1"/>
  <c r="Y169" i="5" s="1"/>
  <c r="Y181" i="5" s="1"/>
  <c r="Y193" i="5" s="1"/>
  <c r="Y205" i="5" s="1"/>
  <c r="Y217" i="5" s="1"/>
  <c r="Y229" i="5" s="1"/>
  <c r="Y241" i="5" s="1"/>
  <c r="Y253" i="5" s="1"/>
  <c r="Y265" i="5" s="1"/>
  <c r="Y277" i="5" s="1"/>
  <c r="Y289" i="5" s="1"/>
  <c r="Y301" i="5" s="1"/>
  <c r="Y313" i="5" s="1"/>
  <c r="Y325" i="5" s="1"/>
  <c r="Y337" i="5" s="1"/>
  <c r="Y349" i="5" s="1"/>
  <c r="Y361" i="5" s="1"/>
  <c r="Y373" i="5" s="1"/>
  <c r="Y385" i="5" s="1"/>
  <c r="Y397" i="5" s="1"/>
  <c r="Y409" i="5" s="1"/>
  <c r="Y421" i="5" s="1"/>
  <c r="Y433" i="5" s="1"/>
  <c r="Y445" i="5" s="1"/>
  <c r="Y457" i="5" s="1"/>
  <c r="Y469" i="5" s="1"/>
  <c r="Y481" i="5" s="1"/>
  <c r="Y493" i="5" s="1"/>
  <c r="Y505" i="5" s="1"/>
  <c r="Y517" i="5" s="1"/>
  <c r="Y529" i="5" s="1"/>
  <c r="Y541" i="5" s="1"/>
  <c r="Y553" i="5" s="1"/>
  <c r="Y565" i="5" s="1"/>
  <c r="Y577" i="5" s="1"/>
  <c r="Y589" i="5" s="1"/>
  <c r="Y601" i="5" s="1"/>
  <c r="Y613" i="5" s="1"/>
  <c r="Y625" i="5" s="1"/>
  <c r="Y637" i="5" s="1"/>
  <c r="Y649" i="5" s="1"/>
  <c r="Y661" i="5" s="1"/>
  <c r="Y673" i="5" s="1"/>
  <c r="Y685" i="5" s="1"/>
  <c r="Y697" i="5" s="1"/>
  <c r="Y709" i="5" s="1"/>
  <c r="Y721" i="5" s="1"/>
  <c r="Y733" i="5" s="1"/>
  <c r="Y745" i="5" s="1"/>
  <c r="Y757" i="5" s="1"/>
  <c r="Y769" i="5" s="1"/>
  <c r="Y781" i="5" s="1"/>
  <c r="Y793" i="5" s="1"/>
  <c r="Y805" i="5" s="1"/>
  <c r="Y817" i="5" s="1"/>
  <c r="Y829" i="5" s="1"/>
  <c r="Y841" i="5" s="1"/>
  <c r="Y853" i="5" s="1"/>
  <c r="Y865" i="5" s="1"/>
  <c r="Y877" i="5" s="1"/>
  <c r="Y889" i="5" s="1"/>
  <c r="Y901" i="5" s="1"/>
  <c r="Y913" i="5" s="1"/>
  <c r="Y925" i="5" s="1"/>
  <c r="Y937" i="5" s="1"/>
  <c r="Y949" i="5" s="1"/>
  <c r="Y961" i="5" s="1"/>
  <c r="Y973" i="5" s="1"/>
  <c r="Y985" i="5" s="1"/>
  <c r="Y997" i="5" s="1"/>
  <c r="Y14" i="5"/>
  <c r="Y26" i="5" s="1"/>
  <c r="Y38" i="5" s="1"/>
  <c r="Y50" i="5" s="1"/>
  <c r="Y62" i="5" s="1"/>
  <c r="Y74" i="5" s="1"/>
  <c r="Y86" i="5" s="1"/>
  <c r="Y98" i="5" s="1"/>
  <c r="Y110" i="5" s="1"/>
  <c r="Y122" i="5" s="1"/>
  <c r="Y134" i="5" s="1"/>
  <c r="Y146" i="5" s="1"/>
  <c r="Y158" i="5" s="1"/>
  <c r="Y170" i="5" s="1"/>
  <c r="Y182" i="5" s="1"/>
  <c r="Y194" i="5" s="1"/>
  <c r="Y206" i="5" s="1"/>
  <c r="Y218" i="5" s="1"/>
  <c r="Y230" i="5" s="1"/>
  <c r="Y242" i="5" s="1"/>
  <c r="Y254" i="5" s="1"/>
  <c r="Y266" i="5" s="1"/>
  <c r="Y278" i="5" s="1"/>
  <c r="Y290" i="5" s="1"/>
  <c r="Y302" i="5" s="1"/>
  <c r="Y314" i="5" s="1"/>
  <c r="Y326" i="5" s="1"/>
  <c r="Y338" i="5" s="1"/>
  <c r="Y350" i="5" s="1"/>
  <c r="Y362" i="5" s="1"/>
  <c r="Y374" i="5" s="1"/>
  <c r="Y386" i="5" s="1"/>
  <c r="Y398" i="5" s="1"/>
  <c r="Y410" i="5" s="1"/>
  <c r="Y422" i="5" s="1"/>
  <c r="Y434" i="5" s="1"/>
  <c r="Y446" i="5" s="1"/>
  <c r="Y458" i="5" s="1"/>
  <c r="Y470" i="5" s="1"/>
  <c r="Y482" i="5" s="1"/>
  <c r="Y494" i="5" s="1"/>
  <c r="Y506" i="5" s="1"/>
  <c r="Y518" i="5" s="1"/>
  <c r="Y530" i="5" s="1"/>
  <c r="Y542" i="5" s="1"/>
  <c r="Y554" i="5" s="1"/>
  <c r="Y566" i="5" s="1"/>
  <c r="Y578" i="5" s="1"/>
  <c r="Y590" i="5" s="1"/>
  <c r="Y602" i="5" s="1"/>
  <c r="Y614" i="5" s="1"/>
  <c r="Y626" i="5" s="1"/>
  <c r="Y638" i="5" s="1"/>
  <c r="Y650" i="5" s="1"/>
  <c r="Y662" i="5" s="1"/>
  <c r="Y674" i="5" s="1"/>
  <c r="Y686" i="5" s="1"/>
  <c r="Y698" i="5" s="1"/>
  <c r="Y710" i="5" s="1"/>
  <c r="Y722" i="5" s="1"/>
  <c r="Y734" i="5" s="1"/>
  <c r="Y746" i="5" s="1"/>
  <c r="Y758" i="5" s="1"/>
  <c r="Y770" i="5" s="1"/>
  <c r="Y782" i="5" s="1"/>
  <c r="Y794" i="5" s="1"/>
  <c r="Y806" i="5" s="1"/>
  <c r="Y818" i="5" s="1"/>
  <c r="Y830" i="5" s="1"/>
  <c r="Y842" i="5" s="1"/>
  <c r="Y854" i="5" s="1"/>
  <c r="Y866" i="5" s="1"/>
  <c r="Y878" i="5" s="1"/>
  <c r="Y890" i="5" s="1"/>
  <c r="Y902" i="5" s="1"/>
  <c r="Y914" i="5" s="1"/>
  <c r="Y926" i="5" s="1"/>
  <c r="Y938" i="5" s="1"/>
  <c r="Y950" i="5" s="1"/>
  <c r="Y962" i="5" s="1"/>
  <c r="Y974" i="5" s="1"/>
  <c r="Y986" i="5" s="1"/>
  <c r="Y998" i="5" s="1"/>
  <c r="Y15" i="5"/>
  <c r="Y27" i="5" s="1"/>
  <c r="Y39" i="5" s="1"/>
  <c r="Y51" i="5" s="1"/>
  <c r="Y63" i="5" s="1"/>
  <c r="Y75" i="5" s="1"/>
  <c r="Y87" i="5" s="1"/>
  <c r="Y99" i="5" s="1"/>
  <c r="Y111" i="5" s="1"/>
  <c r="Y123" i="5" s="1"/>
  <c r="Y135" i="5" s="1"/>
  <c r="Y147" i="5" s="1"/>
  <c r="Y159" i="5" s="1"/>
  <c r="Y171" i="5" s="1"/>
  <c r="Y183" i="5" s="1"/>
  <c r="Y195" i="5" s="1"/>
  <c r="Y207" i="5" s="1"/>
  <c r="Y219" i="5" s="1"/>
  <c r="Y231" i="5" s="1"/>
  <c r="Y243" i="5" s="1"/>
  <c r="Y255" i="5" s="1"/>
  <c r="Y267" i="5" s="1"/>
  <c r="Y279" i="5" s="1"/>
  <c r="Y291" i="5" s="1"/>
  <c r="Y303" i="5" s="1"/>
  <c r="Y315" i="5" s="1"/>
  <c r="Y327" i="5" s="1"/>
  <c r="Y339" i="5" s="1"/>
  <c r="Y351" i="5" s="1"/>
  <c r="Y363" i="5" s="1"/>
  <c r="Y375" i="5" s="1"/>
  <c r="Y387" i="5" s="1"/>
  <c r="Y399" i="5" s="1"/>
  <c r="Y411" i="5" s="1"/>
  <c r="Y423" i="5" s="1"/>
  <c r="Y435" i="5" s="1"/>
  <c r="Y447" i="5" s="1"/>
  <c r="Y459" i="5" s="1"/>
  <c r="Y471" i="5" s="1"/>
  <c r="Y483" i="5" s="1"/>
  <c r="Y495" i="5" s="1"/>
  <c r="Y507" i="5" s="1"/>
  <c r="Y519" i="5" s="1"/>
  <c r="Y531" i="5" s="1"/>
  <c r="Y543" i="5" s="1"/>
  <c r="Y555" i="5" s="1"/>
  <c r="Y567" i="5" s="1"/>
  <c r="Y579" i="5" s="1"/>
  <c r="Y591" i="5" s="1"/>
  <c r="Y603" i="5" s="1"/>
  <c r="Y615" i="5" s="1"/>
  <c r="Y627" i="5" s="1"/>
  <c r="Y639" i="5" s="1"/>
  <c r="Y651" i="5" s="1"/>
  <c r="Y663" i="5" s="1"/>
  <c r="Y675" i="5" s="1"/>
  <c r="Y687" i="5" s="1"/>
  <c r="Y699" i="5" s="1"/>
  <c r="Y711" i="5" s="1"/>
  <c r="Y723" i="5" s="1"/>
  <c r="Y735" i="5" s="1"/>
  <c r="Y747" i="5" s="1"/>
  <c r="Y759" i="5" s="1"/>
  <c r="Y771" i="5" s="1"/>
  <c r="Y783" i="5" s="1"/>
  <c r="Y795" i="5" s="1"/>
  <c r="Y807" i="5" s="1"/>
  <c r="Y819" i="5" s="1"/>
  <c r="Y831" i="5" s="1"/>
  <c r="Y843" i="5" s="1"/>
  <c r="Y855" i="5" s="1"/>
  <c r="Y867" i="5" s="1"/>
  <c r="Y879" i="5" s="1"/>
  <c r="Y891" i="5" s="1"/>
  <c r="Y903" i="5" s="1"/>
  <c r="Y915" i="5" s="1"/>
  <c r="Y927" i="5" s="1"/>
  <c r="Y939" i="5" s="1"/>
  <c r="Y951" i="5" s="1"/>
  <c r="Y963" i="5" s="1"/>
  <c r="Y975" i="5" s="1"/>
  <c r="Y987" i="5" s="1"/>
  <c r="Y999" i="5" s="1"/>
  <c r="Y16" i="5"/>
  <c r="Y28" i="5" s="1"/>
  <c r="Y40" i="5" s="1"/>
  <c r="Y52" i="5" s="1"/>
  <c r="Y64" i="5" s="1"/>
  <c r="Y76" i="5" s="1"/>
  <c r="Y88" i="5" s="1"/>
  <c r="Y100" i="5" s="1"/>
  <c r="Y112" i="5" s="1"/>
  <c r="Y124" i="5" s="1"/>
  <c r="Y136" i="5" s="1"/>
  <c r="Y148" i="5" s="1"/>
  <c r="Y160" i="5" s="1"/>
  <c r="Y172" i="5" s="1"/>
  <c r="Y184" i="5" s="1"/>
  <c r="Y196" i="5" s="1"/>
  <c r="Y208" i="5" s="1"/>
  <c r="Y220" i="5" s="1"/>
  <c r="Y232" i="5" s="1"/>
  <c r="Y244" i="5" s="1"/>
  <c r="Y256" i="5" s="1"/>
  <c r="Y268" i="5" s="1"/>
  <c r="Y280" i="5" s="1"/>
  <c r="Y292" i="5" s="1"/>
  <c r="Y304" i="5" s="1"/>
  <c r="Y316" i="5" s="1"/>
  <c r="Y328" i="5" s="1"/>
  <c r="Y340" i="5" s="1"/>
  <c r="Y352" i="5" s="1"/>
  <c r="Y364" i="5" s="1"/>
  <c r="Y376" i="5" s="1"/>
  <c r="Y388" i="5" s="1"/>
  <c r="Y400" i="5" s="1"/>
  <c r="Y412" i="5" s="1"/>
  <c r="Y424" i="5" s="1"/>
  <c r="Y436" i="5" s="1"/>
  <c r="Y448" i="5" s="1"/>
  <c r="Y460" i="5" s="1"/>
  <c r="Y472" i="5" s="1"/>
  <c r="Y484" i="5" s="1"/>
  <c r="Y496" i="5" s="1"/>
  <c r="Y508" i="5" s="1"/>
  <c r="Y520" i="5" s="1"/>
  <c r="Y532" i="5" s="1"/>
  <c r="Y544" i="5" s="1"/>
  <c r="Y556" i="5" s="1"/>
  <c r="Y568" i="5" s="1"/>
  <c r="Y580" i="5" s="1"/>
  <c r="Y592" i="5" s="1"/>
  <c r="Y604" i="5" s="1"/>
  <c r="Y616" i="5" s="1"/>
  <c r="Y628" i="5" s="1"/>
  <c r="Y640" i="5" s="1"/>
  <c r="Y652" i="5" s="1"/>
  <c r="Y664" i="5" s="1"/>
  <c r="Y676" i="5" s="1"/>
  <c r="Y688" i="5" s="1"/>
  <c r="Y700" i="5" s="1"/>
  <c r="Y712" i="5" s="1"/>
  <c r="Y724" i="5" s="1"/>
  <c r="Y736" i="5" s="1"/>
  <c r="Y748" i="5" s="1"/>
  <c r="Y760" i="5" s="1"/>
  <c r="Y772" i="5" s="1"/>
  <c r="Y784" i="5" s="1"/>
  <c r="Y796" i="5" s="1"/>
  <c r="Y808" i="5" s="1"/>
  <c r="Y820" i="5" s="1"/>
  <c r="Y832" i="5" s="1"/>
  <c r="Y844" i="5" s="1"/>
  <c r="Y856" i="5" s="1"/>
  <c r="Y868" i="5" s="1"/>
  <c r="Y880" i="5" s="1"/>
  <c r="Y892" i="5" s="1"/>
  <c r="Y904" i="5" s="1"/>
  <c r="Y916" i="5" s="1"/>
  <c r="Y928" i="5" s="1"/>
  <c r="Y940" i="5" s="1"/>
  <c r="Y952" i="5" s="1"/>
  <c r="Y964" i="5" s="1"/>
  <c r="Y976" i="5" s="1"/>
  <c r="Y988" i="5" s="1"/>
  <c r="Y1000" i="5" s="1"/>
  <c r="Y17" i="5"/>
  <c r="Y29" i="5" s="1"/>
  <c r="Y41" i="5" s="1"/>
  <c r="Y53" i="5" s="1"/>
  <c r="Y65" i="5" s="1"/>
  <c r="Y77" i="5" s="1"/>
  <c r="Y89" i="5" s="1"/>
  <c r="Y101" i="5" s="1"/>
  <c r="Y113" i="5" s="1"/>
  <c r="Y125" i="5" s="1"/>
  <c r="Y137" i="5" s="1"/>
  <c r="Y149" i="5" s="1"/>
  <c r="Y161" i="5" s="1"/>
  <c r="Y173" i="5" s="1"/>
  <c r="Y185" i="5" s="1"/>
  <c r="Y197" i="5" s="1"/>
  <c r="Y209" i="5" s="1"/>
  <c r="Y221" i="5" s="1"/>
  <c r="Y233" i="5" s="1"/>
  <c r="Y245" i="5" s="1"/>
  <c r="Y257" i="5" s="1"/>
  <c r="Y269" i="5" s="1"/>
  <c r="Y281" i="5" s="1"/>
  <c r="Y293" i="5" s="1"/>
  <c r="Y305" i="5" s="1"/>
  <c r="Y317" i="5" s="1"/>
  <c r="Y329" i="5" s="1"/>
  <c r="Y341" i="5" s="1"/>
  <c r="Y353" i="5" s="1"/>
  <c r="Y365" i="5" s="1"/>
  <c r="Y377" i="5" s="1"/>
  <c r="Y389" i="5" s="1"/>
  <c r="Y401" i="5" s="1"/>
  <c r="Y413" i="5" s="1"/>
  <c r="Y425" i="5" s="1"/>
  <c r="Y437" i="5" s="1"/>
  <c r="Y449" i="5" s="1"/>
  <c r="Y461" i="5" s="1"/>
  <c r="Y473" i="5" s="1"/>
  <c r="Y485" i="5" s="1"/>
  <c r="Y497" i="5" s="1"/>
  <c r="Y509" i="5" s="1"/>
  <c r="Y521" i="5" s="1"/>
  <c r="Y533" i="5" s="1"/>
  <c r="Y545" i="5" s="1"/>
  <c r="Y557" i="5" s="1"/>
  <c r="Y569" i="5" s="1"/>
  <c r="Y581" i="5" s="1"/>
  <c r="Y593" i="5" s="1"/>
  <c r="Y605" i="5" s="1"/>
  <c r="Y617" i="5" s="1"/>
  <c r="Y629" i="5" s="1"/>
  <c r="Y641" i="5" s="1"/>
  <c r="Y653" i="5" s="1"/>
  <c r="Y665" i="5" s="1"/>
  <c r="Y677" i="5" s="1"/>
  <c r="Y689" i="5" s="1"/>
  <c r="Y701" i="5" s="1"/>
  <c r="Y713" i="5" s="1"/>
  <c r="Y725" i="5" s="1"/>
  <c r="Y737" i="5" s="1"/>
  <c r="Y749" i="5" s="1"/>
  <c r="Y761" i="5" s="1"/>
  <c r="Y773" i="5" s="1"/>
  <c r="Y785" i="5" s="1"/>
  <c r="Y797" i="5" s="1"/>
  <c r="Y809" i="5" s="1"/>
  <c r="Y821" i="5" s="1"/>
  <c r="Y833" i="5" s="1"/>
  <c r="Y845" i="5" s="1"/>
  <c r="Y857" i="5" s="1"/>
  <c r="Y869" i="5" s="1"/>
  <c r="Y881" i="5" s="1"/>
  <c r="Y893" i="5" s="1"/>
  <c r="Y905" i="5" s="1"/>
  <c r="Y917" i="5" s="1"/>
  <c r="Y929" i="5" s="1"/>
  <c r="Y941" i="5" s="1"/>
  <c r="Y953" i="5" s="1"/>
  <c r="Y965" i="5" s="1"/>
  <c r="Y977" i="5" s="1"/>
  <c r="Y989" i="5" s="1"/>
  <c r="Y1001" i="5" s="1"/>
  <c r="Y18" i="5"/>
  <c r="Y30" i="5" s="1"/>
  <c r="Y42" i="5" s="1"/>
  <c r="Y54" i="5" s="1"/>
  <c r="Y66" i="5" s="1"/>
  <c r="Y78" i="5" s="1"/>
  <c r="Y90" i="5" s="1"/>
  <c r="Y102" i="5" s="1"/>
  <c r="Y114" i="5" s="1"/>
  <c r="Y126" i="5" s="1"/>
  <c r="Y138" i="5" s="1"/>
  <c r="Y150" i="5" s="1"/>
  <c r="Y162" i="5" s="1"/>
  <c r="Y174" i="5" s="1"/>
  <c r="Y186" i="5" s="1"/>
  <c r="Y198" i="5" s="1"/>
  <c r="Y210" i="5" s="1"/>
  <c r="Y222" i="5" s="1"/>
  <c r="Y234" i="5" s="1"/>
  <c r="Y246" i="5" s="1"/>
  <c r="Y258" i="5" s="1"/>
  <c r="Y270" i="5" s="1"/>
  <c r="Y282" i="5" s="1"/>
  <c r="Y294" i="5" s="1"/>
  <c r="Y306" i="5" s="1"/>
  <c r="Y318" i="5" s="1"/>
  <c r="Y330" i="5" s="1"/>
  <c r="Y342" i="5" s="1"/>
  <c r="Y354" i="5" s="1"/>
  <c r="Y366" i="5" s="1"/>
  <c r="Y378" i="5" s="1"/>
  <c r="Y390" i="5" s="1"/>
  <c r="Y402" i="5" s="1"/>
  <c r="Y414" i="5" s="1"/>
  <c r="Y426" i="5" s="1"/>
  <c r="Y438" i="5" s="1"/>
  <c r="Y450" i="5" s="1"/>
  <c r="Y462" i="5" s="1"/>
  <c r="Y474" i="5" s="1"/>
  <c r="Y486" i="5" s="1"/>
  <c r="Y498" i="5" s="1"/>
  <c r="Y510" i="5" s="1"/>
  <c r="Y522" i="5" s="1"/>
  <c r="Y534" i="5" s="1"/>
  <c r="Y546" i="5" s="1"/>
  <c r="Y558" i="5" s="1"/>
  <c r="Y570" i="5" s="1"/>
  <c r="Y582" i="5" s="1"/>
  <c r="Y594" i="5" s="1"/>
  <c r="Y606" i="5" s="1"/>
  <c r="Y618" i="5" s="1"/>
  <c r="Y630" i="5" s="1"/>
  <c r="Y642" i="5" s="1"/>
  <c r="Y654" i="5" s="1"/>
  <c r="Y666" i="5" s="1"/>
  <c r="Y678" i="5" s="1"/>
  <c r="Y690" i="5" s="1"/>
  <c r="Y702" i="5" s="1"/>
  <c r="Y714" i="5" s="1"/>
  <c r="Y726" i="5" s="1"/>
  <c r="Y738" i="5" s="1"/>
  <c r="Y750" i="5" s="1"/>
  <c r="Y762" i="5" s="1"/>
  <c r="Y774" i="5" s="1"/>
  <c r="Y786" i="5" s="1"/>
  <c r="Y798" i="5" s="1"/>
  <c r="Y810" i="5" s="1"/>
  <c r="Y822" i="5" s="1"/>
  <c r="Y834" i="5" s="1"/>
  <c r="Y846" i="5" s="1"/>
  <c r="Y858" i="5" s="1"/>
  <c r="Y870" i="5" s="1"/>
  <c r="Y882" i="5" s="1"/>
  <c r="Y894" i="5" s="1"/>
  <c r="Y906" i="5" s="1"/>
  <c r="Y918" i="5" s="1"/>
  <c r="Y930" i="5" s="1"/>
  <c r="Y942" i="5" s="1"/>
  <c r="Y954" i="5" s="1"/>
  <c r="Y966" i="5" s="1"/>
  <c r="Y978" i="5" s="1"/>
  <c r="Y990" i="5" s="1"/>
  <c r="Y1002" i="5" s="1"/>
  <c r="Y19" i="5"/>
  <c r="Y31" i="5" s="1"/>
  <c r="Y43" i="5" s="1"/>
  <c r="Y55" i="5" s="1"/>
  <c r="Y67" i="5" s="1"/>
  <c r="Y79" i="5" s="1"/>
  <c r="Y91" i="5" s="1"/>
  <c r="Y103" i="5" s="1"/>
  <c r="Y115" i="5" s="1"/>
  <c r="Y127" i="5" s="1"/>
  <c r="Y139" i="5" s="1"/>
  <c r="Y151" i="5" s="1"/>
  <c r="Y163" i="5" s="1"/>
  <c r="Y175" i="5" s="1"/>
  <c r="Y187" i="5" s="1"/>
  <c r="Y199" i="5" s="1"/>
  <c r="Y211" i="5" s="1"/>
  <c r="Y223" i="5" s="1"/>
  <c r="Y235" i="5" s="1"/>
  <c r="Y247" i="5" s="1"/>
  <c r="Y259" i="5" s="1"/>
  <c r="Y271" i="5" s="1"/>
  <c r="Y283" i="5" s="1"/>
  <c r="Y295" i="5" s="1"/>
  <c r="Y307" i="5" s="1"/>
  <c r="Y319" i="5" s="1"/>
  <c r="Y331" i="5" s="1"/>
  <c r="Y343" i="5" s="1"/>
  <c r="Y355" i="5" s="1"/>
  <c r="Y367" i="5" s="1"/>
  <c r="Y379" i="5" s="1"/>
  <c r="Y391" i="5" s="1"/>
  <c r="Y403" i="5" s="1"/>
  <c r="Y415" i="5" s="1"/>
  <c r="Y427" i="5" s="1"/>
  <c r="Y439" i="5" s="1"/>
  <c r="Y451" i="5" s="1"/>
  <c r="Y463" i="5" s="1"/>
  <c r="Y475" i="5" s="1"/>
  <c r="Y487" i="5" s="1"/>
  <c r="Y499" i="5" s="1"/>
  <c r="Y511" i="5" s="1"/>
  <c r="Y523" i="5" s="1"/>
  <c r="Y535" i="5" s="1"/>
  <c r="Y547" i="5" s="1"/>
  <c r="Y559" i="5" s="1"/>
  <c r="Y571" i="5" s="1"/>
  <c r="Y583" i="5" s="1"/>
  <c r="Y595" i="5" s="1"/>
  <c r="Y607" i="5" s="1"/>
  <c r="Y619" i="5" s="1"/>
  <c r="Y631" i="5" s="1"/>
  <c r="Y643" i="5" s="1"/>
  <c r="Y655" i="5" s="1"/>
  <c r="Y667" i="5" s="1"/>
  <c r="Y679" i="5" s="1"/>
  <c r="Y691" i="5" s="1"/>
  <c r="Y703" i="5" s="1"/>
  <c r="Y715" i="5" s="1"/>
  <c r="Y727" i="5" s="1"/>
  <c r="Y739" i="5" s="1"/>
  <c r="Y751" i="5" s="1"/>
  <c r="Y763" i="5" s="1"/>
  <c r="Y775" i="5" s="1"/>
  <c r="Y787" i="5" s="1"/>
  <c r="Y799" i="5" s="1"/>
  <c r="Y811" i="5" s="1"/>
  <c r="Y823" i="5" s="1"/>
  <c r="Y835" i="5" s="1"/>
  <c r="Y847" i="5" s="1"/>
  <c r="Y859" i="5" s="1"/>
  <c r="Y871" i="5" s="1"/>
  <c r="Y883" i="5" s="1"/>
  <c r="Y895" i="5" s="1"/>
  <c r="Y907" i="5" s="1"/>
  <c r="Y919" i="5" s="1"/>
  <c r="Y931" i="5" s="1"/>
  <c r="Y943" i="5" s="1"/>
  <c r="Y955" i="5" s="1"/>
  <c r="Y967" i="5" s="1"/>
  <c r="Y979" i="5" s="1"/>
  <c r="Y991" i="5" s="1"/>
  <c r="Y1003" i="5" s="1"/>
  <c r="Y20" i="5"/>
  <c r="Y32" i="5" s="1"/>
  <c r="Y44" i="5" s="1"/>
  <c r="Y56" i="5" s="1"/>
  <c r="Y68" i="5" s="1"/>
  <c r="Y80" i="5" s="1"/>
  <c r="Y92" i="5" s="1"/>
  <c r="Y104" i="5" s="1"/>
  <c r="Y116" i="5" s="1"/>
  <c r="Y128" i="5" s="1"/>
  <c r="Y140" i="5" s="1"/>
  <c r="Y152" i="5" s="1"/>
  <c r="Y164" i="5" s="1"/>
  <c r="Y176" i="5" s="1"/>
  <c r="Y188" i="5" s="1"/>
  <c r="Y200" i="5" s="1"/>
  <c r="Y212" i="5" s="1"/>
  <c r="Y224" i="5" s="1"/>
  <c r="Y236" i="5" s="1"/>
  <c r="Y248" i="5" s="1"/>
  <c r="Y260" i="5" s="1"/>
  <c r="Y272" i="5" s="1"/>
  <c r="Y284" i="5" s="1"/>
  <c r="Y296" i="5" s="1"/>
  <c r="Y308" i="5" s="1"/>
  <c r="Y320" i="5" s="1"/>
  <c r="Y332" i="5" s="1"/>
  <c r="Y344" i="5" s="1"/>
  <c r="Y356" i="5" s="1"/>
  <c r="Y368" i="5" s="1"/>
  <c r="Y380" i="5" s="1"/>
  <c r="Y392" i="5" s="1"/>
  <c r="Y404" i="5" s="1"/>
  <c r="Y416" i="5" s="1"/>
  <c r="Y428" i="5" s="1"/>
  <c r="Y440" i="5" s="1"/>
  <c r="Y452" i="5" s="1"/>
  <c r="Y464" i="5" s="1"/>
  <c r="Y476" i="5" s="1"/>
  <c r="Y488" i="5" s="1"/>
  <c r="Y500" i="5" s="1"/>
  <c r="Y512" i="5" s="1"/>
  <c r="Y524" i="5" s="1"/>
  <c r="Y536" i="5" s="1"/>
  <c r="Y548" i="5" s="1"/>
  <c r="Y560" i="5" s="1"/>
  <c r="Y572" i="5" s="1"/>
  <c r="Y584" i="5" s="1"/>
  <c r="Y596" i="5" s="1"/>
  <c r="Y608" i="5" s="1"/>
  <c r="Y620" i="5" s="1"/>
  <c r="Y632" i="5" s="1"/>
  <c r="Y644" i="5" s="1"/>
  <c r="Y656" i="5" s="1"/>
  <c r="Y668" i="5" s="1"/>
  <c r="Y680" i="5" s="1"/>
  <c r="Y692" i="5" s="1"/>
  <c r="Y704" i="5" s="1"/>
  <c r="Y716" i="5" s="1"/>
  <c r="Y728" i="5" s="1"/>
  <c r="Y740" i="5" s="1"/>
  <c r="Y752" i="5" s="1"/>
  <c r="Y764" i="5" s="1"/>
  <c r="Y776" i="5" s="1"/>
  <c r="Y788" i="5" s="1"/>
  <c r="Y800" i="5" s="1"/>
  <c r="Y812" i="5" s="1"/>
  <c r="Y824" i="5" s="1"/>
  <c r="Y836" i="5" s="1"/>
  <c r="Y848" i="5" s="1"/>
  <c r="Y860" i="5" s="1"/>
  <c r="Y872" i="5" s="1"/>
  <c r="Y884" i="5" s="1"/>
  <c r="Y896" i="5" s="1"/>
  <c r="Y908" i="5" s="1"/>
  <c r="Y920" i="5" s="1"/>
  <c r="Y932" i="5" s="1"/>
  <c r="Y944" i="5" s="1"/>
  <c r="Y956" i="5" s="1"/>
  <c r="Y968" i="5" s="1"/>
  <c r="Y980" i="5" s="1"/>
  <c r="Y992" i="5" s="1"/>
  <c r="AA20" i="5"/>
  <c r="AA32" i="5" s="1"/>
  <c r="AA44" i="5" s="1"/>
  <c r="AA56" i="5" s="1"/>
  <c r="AA68" i="5" s="1"/>
  <c r="AA80" i="5" s="1"/>
  <c r="AA92" i="5" s="1"/>
  <c r="AA104" i="5" s="1"/>
  <c r="AA116" i="5" s="1"/>
  <c r="AA128" i="5" s="1"/>
  <c r="AA140" i="5" s="1"/>
  <c r="AA152" i="5" s="1"/>
  <c r="AA164" i="5" s="1"/>
  <c r="AA176" i="5" s="1"/>
  <c r="AA188" i="5" s="1"/>
  <c r="AA200" i="5" s="1"/>
  <c r="AA212" i="5" s="1"/>
  <c r="AA224" i="5" s="1"/>
  <c r="AA236" i="5" s="1"/>
  <c r="AA248" i="5" s="1"/>
  <c r="AA260" i="5" s="1"/>
  <c r="AA272" i="5" s="1"/>
  <c r="AA284" i="5" s="1"/>
  <c r="AA296" i="5" s="1"/>
  <c r="AA308" i="5" s="1"/>
  <c r="AA320" i="5" s="1"/>
  <c r="AA332" i="5" s="1"/>
  <c r="AA344" i="5" s="1"/>
  <c r="AA356" i="5" s="1"/>
  <c r="AA368" i="5" s="1"/>
  <c r="AA380" i="5" s="1"/>
  <c r="AA392" i="5" s="1"/>
  <c r="AA404" i="5" s="1"/>
  <c r="AA416" i="5" s="1"/>
  <c r="AA428" i="5" s="1"/>
  <c r="AA440" i="5" s="1"/>
  <c r="AA452" i="5" s="1"/>
  <c r="AA464" i="5" s="1"/>
  <c r="AA476" i="5" s="1"/>
  <c r="AA488" i="5" s="1"/>
  <c r="AA500" i="5" s="1"/>
  <c r="AA512" i="5" s="1"/>
  <c r="AA524" i="5" s="1"/>
  <c r="AA536" i="5" s="1"/>
  <c r="AA548" i="5" s="1"/>
  <c r="AA560" i="5" s="1"/>
  <c r="AA572" i="5" s="1"/>
  <c r="AA584" i="5" s="1"/>
  <c r="AA596" i="5" s="1"/>
  <c r="AA608" i="5" s="1"/>
  <c r="AA620" i="5" s="1"/>
  <c r="AA632" i="5" s="1"/>
  <c r="AA644" i="5" s="1"/>
  <c r="AA656" i="5" s="1"/>
  <c r="AA668" i="5" s="1"/>
  <c r="AA680" i="5" s="1"/>
  <c r="AA692" i="5" s="1"/>
  <c r="AA704" i="5" s="1"/>
  <c r="AA716" i="5" s="1"/>
  <c r="AA728" i="5" s="1"/>
  <c r="AA740" i="5" s="1"/>
  <c r="AA752" i="5" s="1"/>
  <c r="AA764" i="5" s="1"/>
  <c r="AA776" i="5" s="1"/>
  <c r="AA788" i="5" s="1"/>
  <c r="AA800" i="5" s="1"/>
  <c r="AA812" i="5" s="1"/>
  <c r="AA824" i="5" s="1"/>
  <c r="AA836" i="5" s="1"/>
  <c r="AA848" i="5" s="1"/>
  <c r="AA860" i="5" s="1"/>
  <c r="AA872" i="5" s="1"/>
  <c r="AA884" i="5" s="1"/>
  <c r="AA896" i="5" s="1"/>
  <c r="AA908" i="5" s="1"/>
  <c r="AA920" i="5" s="1"/>
  <c r="AA932" i="5" s="1"/>
  <c r="AA944" i="5" s="1"/>
  <c r="AA956" i="5" s="1"/>
  <c r="AA968" i="5" s="1"/>
  <c r="AA980" i="5" s="1"/>
  <c r="AA992" i="5" s="1"/>
  <c r="AA18" i="5"/>
  <c r="AA30" i="5" s="1"/>
  <c r="AA42" i="5" s="1"/>
  <c r="AA54" i="5" s="1"/>
  <c r="AA66" i="5" s="1"/>
  <c r="AA78" i="5" s="1"/>
  <c r="AA90" i="5" s="1"/>
  <c r="AA102" i="5" s="1"/>
  <c r="AA114" i="5" s="1"/>
  <c r="AA126" i="5" s="1"/>
  <c r="AA138" i="5" s="1"/>
  <c r="AA150" i="5" s="1"/>
  <c r="AA162" i="5" s="1"/>
  <c r="AA174" i="5" s="1"/>
  <c r="AA186" i="5" s="1"/>
  <c r="AA198" i="5" s="1"/>
  <c r="AA210" i="5" s="1"/>
  <c r="AA222" i="5" s="1"/>
  <c r="AA234" i="5" s="1"/>
  <c r="AA246" i="5" s="1"/>
  <c r="AA258" i="5" s="1"/>
  <c r="AA270" i="5" s="1"/>
  <c r="AA282" i="5" s="1"/>
  <c r="AA294" i="5" s="1"/>
  <c r="AA306" i="5" s="1"/>
  <c r="AA318" i="5" s="1"/>
  <c r="AA330" i="5" s="1"/>
  <c r="AA342" i="5" s="1"/>
  <c r="AA354" i="5" s="1"/>
  <c r="AA366" i="5" s="1"/>
  <c r="AA378" i="5" s="1"/>
  <c r="AA390" i="5" s="1"/>
  <c r="AA402" i="5" s="1"/>
  <c r="AA414" i="5" s="1"/>
  <c r="AA426" i="5" s="1"/>
  <c r="AA438" i="5" s="1"/>
  <c r="AA450" i="5" s="1"/>
  <c r="AA462" i="5" s="1"/>
  <c r="AA474" i="5" s="1"/>
  <c r="AA486" i="5" s="1"/>
  <c r="AA498" i="5" s="1"/>
  <c r="AA510" i="5" s="1"/>
  <c r="AA522" i="5" s="1"/>
  <c r="AA534" i="5" s="1"/>
  <c r="AA546" i="5" s="1"/>
  <c r="AA558" i="5" s="1"/>
  <c r="AA570" i="5" s="1"/>
  <c r="AA582" i="5" s="1"/>
  <c r="AA594" i="5" s="1"/>
  <c r="AA606" i="5" s="1"/>
  <c r="AA618" i="5" s="1"/>
  <c r="AA630" i="5" s="1"/>
  <c r="AA642" i="5" s="1"/>
  <c r="AA654" i="5" s="1"/>
  <c r="AA666" i="5" s="1"/>
  <c r="AA678" i="5" s="1"/>
  <c r="AA690" i="5" s="1"/>
  <c r="AA702" i="5" s="1"/>
  <c r="AA714" i="5" s="1"/>
  <c r="AA726" i="5" s="1"/>
  <c r="AA738" i="5" s="1"/>
  <c r="AA750" i="5" s="1"/>
  <c r="AA762" i="5" s="1"/>
  <c r="AA774" i="5" s="1"/>
  <c r="AA786" i="5" s="1"/>
  <c r="AA798" i="5" s="1"/>
  <c r="AA810" i="5" s="1"/>
  <c r="AA822" i="5" s="1"/>
  <c r="AA834" i="5" s="1"/>
  <c r="AA846" i="5" s="1"/>
  <c r="AA858" i="5" s="1"/>
  <c r="AA870" i="5" s="1"/>
  <c r="AA882" i="5" s="1"/>
  <c r="AA894" i="5" s="1"/>
  <c r="AA906" i="5" s="1"/>
  <c r="AA918" i="5" s="1"/>
  <c r="AA930" i="5" s="1"/>
  <c r="AA942" i="5" s="1"/>
  <c r="AA954" i="5" s="1"/>
  <c r="AA966" i="5" s="1"/>
  <c r="AA978" i="5" s="1"/>
  <c r="AA990" i="5" s="1"/>
  <c r="AA1002" i="5" s="1"/>
  <c r="AA16" i="5"/>
  <c r="AA28" i="5" s="1"/>
  <c r="AA40" i="5" s="1"/>
  <c r="AA52" i="5" s="1"/>
  <c r="AA64" i="5" s="1"/>
  <c r="AA76" i="5" s="1"/>
  <c r="AA88" i="5" s="1"/>
  <c r="AA100" i="5" s="1"/>
  <c r="AA112" i="5" s="1"/>
  <c r="AA124" i="5" s="1"/>
  <c r="AA136" i="5" s="1"/>
  <c r="AA148" i="5" s="1"/>
  <c r="AA160" i="5" s="1"/>
  <c r="AA172" i="5" s="1"/>
  <c r="AA184" i="5" s="1"/>
  <c r="AA196" i="5" s="1"/>
  <c r="AA208" i="5" s="1"/>
  <c r="AA220" i="5" s="1"/>
  <c r="AA232" i="5" s="1"/>
  <c r="AA244" i="5" s="1"/>
  <c r="AA256" i="5" s="1"/>
  <c r="AA268" i="5" s="1"/>
  <c r="AA280" i="5" s="1"/>
  <c r="AA292" i="5" s="1"/>
  <c r="AA304" i="5" s="1"/>
  <c r="AA316" i="5" s="1"/>
  <c r="AA328" i="5" s="1"/>
  <c r="AA340" i="5" s="1"/>
  <c r="AA352" i="5" s="1"/>
  <c r="AA364" i="5" s="1"/>
  <c r="AA376" i="5" s="1"/>
  <c r="AA388" i="5" s="1"/>
  <c r="AA400" i="5" s="1"/>
  <c r="AA412" i="5" s="1"/>
  <c r="AA424" i="5" s="1"/>
  <c r="AA436" i="5" s="1"/>
  <c r="AA448" i="5" s="1"/>
  <c r="AA460" i="5" s="1"/>
  <c r="AA472" i="5" s="1"/>
  <c r="AA484" i="5" s="1"/>
  <c r="AA496" i="5" s="1"/>
  <c r="AA508" i="5" s="1"/>
  <c r="AA520" i="5" s="1"/>
  <c r="AA532" i="5" s="1"/>
  <c r="AA544" i="5" s="1"/>
  <c r="AA556" i="5" s="1"/>
  <c r="AA568" i="5" s="1"/>
  <c r="AA580" i="5" s="1"/>
  <c r="AA592" i="5" s="1"/>
  <c r="AA604" i="5" s="1"/>
  <c r="AA616" i="5" s="1"/>
  <c r="AA628" i="5" s="1"/>
  <c r="AA640" i="5" s="1"/>
  <c r="AA652" i="5" s="1"/>
  <c r="AA664" i="5" s="1"/>
  <c r="AA676" i="5" s="1"/>
  <c r="AA688" i="5" s="1"/>
  <c r="AA700" i="5" s="1"/>
  <c r="AA712" i="5" s="1"/>
  <c r="AA724" i="5" s="1"/>
  <c r="AA736" i="5" s="1"/>
  <c r="AA748" i="5" s="1"/>
  <c r="AA760" i="5" s="1"/>
  <c r="AA772" i="5" s="1"/>
  <c r="AA784" i="5" s="1"/>
  <c r="AA796" i="5" s="1"/>
  <c r="AA808" i="5" s="1"/>
  <c r="AA820" i="5" s="1"/>
  <c r="AA832" i="5" s="1"/>
  <c r="AA844" i="5" s="1"/>
  <c r="AA856" i="5" s="1"/>
  <c r="AA868" i="5" s="1"/>
  <c r="AA880" i="5" s="1"/>
  <c r="AA892" i="5" s="1"/>
  <c r="AA904" i="5" s="1"/>
  <c r="AA916" i="5" s="1"/>
  <c r="AA928" i="5" s="1"/>
  <c r="AA940" i="5" s="1"/>
  <c r="AA952" i="5" s="1"/>
  <c r="AA964" i="5" s="1"/>
  <c r="AA976" i="5" s="1"/>
  <c r="AA988" i="5" s="1"/>
  <c r="AA1000" i="5" s="1"/>
  <c r="AA14" i="5"/>
  <c r="AA26" i="5" s="1"/>
  <c r="AA38" i="5" s="1"/>
  <c r="AA50" i="5" s="1"/>
  <c r="AA62" i="5" s="1"/>
  <c r="AA74" i="5" s="1"/>
  <c r="AA86" i="5" s="1"/>
  <c r="AA98" i="5" s="1"/>
  <c r="AA110" i="5" s="1"/>
  <c r="AA122" i="5" s="1"/>
  <c r="AA134" i="5" s="1"/>
  <c r="AA146" i="5" s="1"/>
  <c r="AA158" i="5" s="1"/>
  <c r="AA170" i="5" s="1"/>
  <c r="AA182" i="5" s="1"/>
  <c r="AA194" i="5" s="1"/>
  <c r="AA206" i="5" s="1"/>
  <c r="AA218" i="5" s="1"/>
  <c r="AA230" i="5" s="1"/>
  <c r="AA242" i="5" s="1"/>
  <c r="AA254" i="5" s="1"/>
  <c r="AA266" i="5" s="1"/>
  <c r="AA278" i="5" s="1"/>
  <c r="AA290" i="5" s="1"/>
  <c r="AA302" i="5" s="1"/>
  <c r="AA314" i="5" s="1"/>
  <c r="AA326" i="5" s="1"/>
  <c r="AA338" i="5" s="1"/>
  <c r="AA350" i="5" s="1"/>
  <c r="AA362" i="5" s="1"/>
  <c r="AA374" i="5" s="1"/>
  <c r="AA386" i="5" s="1"/>
  <c r="AA398" i="5" s="1"/>
  <c r="AA410" i="5" s="1"/>
  <c r="AA422" i="5" s="1"/>
  <c r="AA434" i="5" s="1"/>
  <c r="AA446" i="5" s="1"/>
  <c r="AA458" i="5" s="1"/>
  <c r="AA470" i="5" s="1"/>
  <c r="AA482" i="5" s="1"/>
  <c r="AA494" i="5" s="1"/>
  <c r="AA506" i="5" s="1"/>
  <c r="AA518" i="5" s="1"/>
  <c r="AA530" i="5" s="1"/>
  <c r="AA542" i="5" s="1"/>
  <c r="AA554" i="5" s="1"/>
  <c r="AA566" i="5" s="1"/>
  <c r="AA578" i="5" s="1"/>
  <c r="AA590" i="5" s="1"/>
  <c r="AA602" i="5" s="1"/>
  <c r="AA614" i="5" s="1"/>
  <c r="AA626" i="5" s="1"/>
  <c r="AA638" i="5" s="1"/>
  <c r="AA650" i="5" s="1"/>
  <c r="AA662" i="5" s="1"/>
  <c r="AA674" i="5" s="1"/>
  <c r="AA686" i="5" s="1"/>
  <c r="AA698" i="5" s="1"/>
  <c r="AA710" i="5" s="1"/>
  <c r="AA722" i="5" s="1"/>
  <c r="AA734" i="5" s="1"/>
  <c r="AA746" i="5" s="1"/>
  <c r="AA758" i="5" s="1"/>
  <c r="AA770" i="5" s="1"/>
  <c r="AA782" i="5" s="1"/>
  <c r="AA794" i="5" s="1"/>
  <c r="AA806" i="5" s="1"/>
  <c r="AA818" i="5" s="1"/>
  <c r="AA830" i="5" s="1"/>
  <c r="AA842" i="5" s="1"/>
  <c r="AA854" i="5" s="1"/>
  <c r="AA866" i="5" s="1"/>
  <c r="AA878" i="5" s="1"/>
  <c r="AA890" i="5" s="1"/>
  <c r="AA902" i="5" s="1"/>
  <c r="AA914" i="5" s="1"/>
  <c r="AA926" i="5" s="1"/>
  <c r="AA938" i="5" s="1"/>
  <c r="AA950" i="5" s="1"/>
  <c r="AA962" i="5" s="1"/>
  <c r="AA974" i="5" s="1"/>
  <c r="AA986" i="5" s="1"/>
  <c r="AA998" i="5" s="1"/>
  <c r="AA12" i="5"/>
  <c r="AA24" i="5" s="1"/>
  <c r="AA36" i="5" s="1"/>
  <c r="AA48" i="5" s="1"/>
  <c r="AA60" i="5" s="1"/>
  <c r="AA72" i="5" s="1"/>
  <c r="AA84" i="5" s="1"/>
  <c r="AA96" i="5" s="1"/>
  <c r="AA108" i="5" s="1"/>
  <c r="AA120" i="5" s="1"/>
  <c r="AA132" i="5" s="1"/>
  <c r="AA144" i="5" s="1"/>
  <c r="AA156" i="5" s="1"/>
  <c r="AA168" i="5" s="1"/>
  <c r="AA180" i="5" s="1"/>
  <c r="AA192" i="5" s="1"/>
  <c r="AA204" i="5" s="1"/>
  <c r="AA216" i="5" s="1"/>
  <c r="AA228" i="5" s="1"/>
  <c r="AA240" i="5" s="1"/>
  <c r="AA252" i="5" s="1"/>
  <c r="AA264" i="5" s="1"/>
  <c r="AA276" i="5" s="1"/>
  <c r="AA288" i="5" s="1"/>
  <c r="AA300" i="5" s="1"/>
  <c r="AA312" i="5" s="1"/>
  <c r="AA324" i="5" s="1"/>
  <c r="AA336" i="5" s="1"/>
  <c r="AA348" i="5" s="1"/>
  <c r="AA360" i="5" s="1"/>
  <c r="AA372" i="5" s="1"/>
  <c r="AA384" i="5" s="1"/>
  <c r="AA396" i="5" s="1"/>
  <c r="AA408" i="5" s="1"/>
  <c r="AA420" i="5" s="1"/>
  <c r="AA432" i="5" s="1"/>
  <c r="AA444" i="5" s="1"/>
  <c r="AA456" i="5" s="1"/>
  <c r="AA468" i="5" s="1"/>
  <c r="AA480" i="5" s="1"/>
  <c r="AA492" i="5" s="1"/>
  <c r="AA504" i="5" s="1"/>
  <c r="AA516" i="5" s="1"/>
  <c r="AA528" i="5" s="1"/>
  <c r="AA540" i="5" s="1"/>
  <c r="AA552" i="5" s="1"/>
  <c r="AA564" i="5" s="1"/>
  <c r="AA576" i="5" s="1"/>
  <c r="AA588" i="5" s="1"/>
  <c r="AA600" i="5" s="1"/>
  <c r="AA612" i="5" s="1"/>
  <c r="AA624" i="5" s="1"/>
  <c r="AA636" i="5" s="1"/>
  <c r="AA648" i="5" s="1"/>
  <c r="AA660" i="5" s="1"/>
  <c r="AA672" i="5" s="1"/>
  <c r="AA684" i="5" s="1"/>
  <c r="AA696" i="5" s="1"/>
  <c r="AA708" i="5" s="1"/>
  <c r="AA720" i="5" s="1"/>
  <c r="AA732" i="5" s="1"/>
  <c r="AA744" i="5" s="1"/>
  <c r="AA756" i="5" s="1"/>
  <c r="AA768" i="5" s="1"/>
  <c r="AA780" i="5" s="1"/>
  <c r="AA792" i="5" s="1"/>
  <c r="AA804" i="5" s="1"/>
  <c r="AA816" i="5" s="1"/>
  <c r="AA828" i="5" s="1"/>
  <c r="AA840" i="5" s="1"/>
  <c r="AA852" i="5" s="1"/>
  <c r="AA864" i="5" s="1"/>
  <c r="AA876" i="5" s="1"/>
  <c r="AA888" i="5" s="1"/>
  <c r="AA900" i="5" s="1"/>
  <c r="AA912" i="5" s="1"/>
  <c r="AA924" i="5" s="1"/>
  <c r="AA936" i="5" s="1"/>
  <c r="AA948" i="5" s="1"/>
  <c r="AA960" i="5" s="1"/>
  <c r="AA972" i="5" s="1"/>
  <c r="AA984" i="5" s="1"/>
  <c r="AA996" i="5" s="1"/>
  <c r="AA10" i="5"/>
  <c r="AA22" i="5" s="1"/>
  <c r="AA34" i="5" s="1"/>
  <c r="AA46" i="5" s="1"/>
  <c r="AA58" i="5" s="1"/>
  <c r="AA70" i="5" s="1"/>
  <c r="AA82" i="5" s="1"/>
  <c r="AA94" i="5" s="1"/>
  <c r="AA106" i="5" s="1"/>
  <c r="AA118" i="5" s="1"/>
  <c r="AA130" i="5" s="1"/>
  <c r="AA142" i="5" s="1"/>
  <c r="AA154" i="5" s="1"/>
  <c r="AA166" i="5" s="1"/>
  <c r="AA178" i="5" s="1"/>
  <c r="AA190" i="5" s="1"/>
  <c r="AA202" i="5" s="1"/>
  <c r="AA214" i="5" s="1"/>
  <c r="AA226" i="5" s="1"/>
  <c r="AA238" i="5" s="1"/>
  <c r="AA250" i="5" s="1"/>
  <c r="AA262" i="5" s="1"/>
  <c r="AA274" i="5" s="1"/>
  <c r="AA286" i="5" s="1"/>
  <c r="AA298" i="5" s="1"/>
  <c r="AA310" i="5" s="1"/>
  <c r="AA322" i="5" s="1"/>
  <c r="AA334" i="5" s="1"/>
  <c r="AA346" i="5" s="1"/>
  <c r="AA358" i="5" s="1"/>
  <c r="AA370" i="5" s="1"/>
  <c r="AA382" i="5" s="1"/>
  <c r="AA394" i="5" s="1"/>
  <c r="AA406" i="5" s="1"/>
  <c r="AA418" i="5" s="1"/>
  <c r="AA430" i="5" s="1"/>
  <c r="AA442" i="5" s="1"/>
  <c r="AA454" i="5" s="1"/>
  <c r="AA466" i="5" s="1"/>
  <c r="AA478" i="5" s="1"/>
  <c r="AA490" i="5" s="1"/>
  <c r="AA502" i="5" s="1"/>
  <c r="AA514" i="5" s="1"/>
  <c r="AA526" i="5" s="1"/>
  <c r="AA538" i="5" s="1"/>
  <c r="AA550" i="5" s="1"/>
  <c r="AA562" i="5" s="1"/>
  <c r="AA574" i="5" s="1"/>
  <c r="AA586" i="5" s="1"/>
  <c r="AA598" i="5" s="1"/>
  <c r="AA610" i="5" s="1"/>
  <c r="AA622" i="5" s="1"/>
  <c r="AA634" i="5" s="1"/>
  <c r="AA646" i="5" s="1"/>
  <c r="AA658" i="5" s="1"/>
  <c r="AA670" i="5" s="1"/>
  <c r="AA682" i="5" s="1"/>
  <c r="AA694" i="5" s="1"/>
  <c r="AA706" i="5" s="1"/>
  <c r="AA718" i="5" s="1"/>
  <c r="AA730" i="5" s="1"/>
  <c r="AA742" i="5" s="1"/>
  <c r="AA754" i="5" s="1"/>
  <c r="AA766" i="5" s="1"/>
  <c r="AA778" i="5" s="1"/>
  <c r="AA790" i="5" s="1"/>
  <c r="AA802" i="5" s="1"/>
  <c r="AA814" i="5" s="1"/>
  <c r="AA826" i="5" s="1"/>
  <c r="AA838" i="5" s="1"/>
  <c r="AA850" i="5" s="1"/>
  <c r="AA862" i="5" s="1"/>
  <c r="AA874" i="5" s="1"/>
  <c r="AA886" i="5" s="1"/>
  <c r="AA898" i="5" s="1"/>
  <c r="AA910" i="5" s="1"/>
  <c r="AA922" i="5" s="1"/>
  <c r="AA934" i="5" s="1"/>
  <c r="AA946" i="5" s="1"/>
  <c r="AA958" i="5" s="1"/>
  <c r="AA970" i="5" s="1"/>
  <c r="AA982" i="5" s="1"/>
  <c r="AA994" i="5" s="1"/>
  <c r="AA8" i="5"/>
  <c r="AA6" i="5"/>
  <c r="AA4" i="5"/>
  <c r="X18" i="5"/>
  <c r="X30" i="5" s="1"/>
  <c r="X42" i="5" s="1"/>
  <c r="X54" i="5" s="1"/>
  <c r="X66" i="5" s="1"/>
  <c r="X78" i="5" s="1"/>
  <c r="X90" i="5" s="1"/>
  <c r="X102" i="5" s="1"/>
  <c r="X114" i="5" s="1"/>
  <c r="X126" i="5" s="1"/>
  <c r="X138" i="5" s="1"/>
  <c r="X150" i="5" s="1"/>
  <c r="X162" i="5" s="1"/>
  <c r="X174" i="5" s="1"/>
  <c r="X186" i="5" s="1"/>
  <c r="X198" i="5" s="1"/>
  <c r="X210" i="5" s="1"/>
  <c r="X222" i="5" s="1"/>
  <c r="X234" i="5" s="1"/>
  <c r="X246" i="5" s="1"/>
  <c r="X258" i="5" s="1"/>
  <c r="X270" i="5" s="1"/>
  <c r="X282" i="5" s="1"/>
  <c r="X294" i="5" s="1"/>
  <c r="X306" i="5" s="1"/>
  <c r="X318" i="5" s="1"/>
  <c r="X330" i="5" s="1"/>
  <c r="X342" i="5" s="1"/>
  <c r="X354" i="5" s="1"/>
  <c r="X366" i="5" s="1"/>
  <c r="X378" i="5" s="1"/>
  <c r="X390" i="5" s="1"/>
  <c r="X402" i="5" s="1"/>
  <c r="X414" i="5" s="1"/>
  <c r="X426" i="5" s="1"/>
  <c r="X438" i="5" s="1"/>
  <c r="X450" i="5" s="1"/>
  <c r="X462" i="5" s="1"/>
  <c r="X474" i="5" s="1"/>
  <c r="X486" i="5" s="1"/>
  <c r="X498" i="5" s="1"/>
  <c r="X510" i="5" s="1"/>
  <c r="X522" i="5" s="1"/>
  <c r="X534" i="5" s="1"/>
  <c r="X546" i="5" s="1"/>
  <c r="X558" i="5" s="1"/>
  <c r="X570" i="5" s="1"/>
  <c r="X582" i="5" s="1"/>
  <c r="X594" i="5" s="1"/>
  <c r="X606" i="5" s="1"/>
  <c r="X618" i="5" s="1"/>
  <c r="X630" i="5" s="1"/>
  <c r="X642" i="5" s="1"/>
  <c r="X654" i="5" s="1"/>
  <c r="X666" i="5" s="1"/>
  <c r="X678" i="5" s="1"/>
  <c r="X690" i="5" s="1"/>
  <c r="X702" i="5" s="1"/>
  <c r="X714" i="5" s="1"/>
  <c r="X726" i="5" s="1"/>
  <c r="X738" i="5" s="1"/>
  <c r="X750" i="5" s="1"/>
  <c r="X762" i="5" s="1"/>
  <c r="X774" i="5" s="1"/>
  <c r="X786" i="5" s="1"/>
  <c r="X798" i="5" s="1"/>
  <c r="X810" i="5" s="1"/>
  <c r="X822" i="5" s="1"/>
  <c r="X834" i="5" s="1"/>
  <c r="X846" i="5" s="1"/>
  <c r="X858" i="5" s="1"/>
  <c r="X870" i="5" s="1"/>
  <c r="X882" i="5" s="1"/>
  <c r="X894" i="5" s="1"/>
  <c r="X906" i="5" s="1"/>
  <c r="X918" i="5" s="1"/>
  <c r="X930" i="5" s="1"/>
  <c r="X942" i="5" s="1"/>
  <c r="X954" i="5" s="1"/>
  <c r="X966" i="5" s="1"/>
  <c r="X978" i="5" s="1"/>
  <c r="X990" i="5" s="1"/>
  <c r="X1002" i="5" s="1"/>
  <c r="X19" i="5"/>
  <c r="X31" i="5" s="1"/>
  <c r="X43" i="5" s="1"/>
  <c r="X55" i="5" s="1"/>
  <c r="X67" i="5" s="1"/>
  <c r="X79" i="5" s="1"/>
  <c r="X91" i="5" s="1"/>
  <c r="X103" i="5" s="1"/>
  <c r="X115" i="5" s="1"/>
  <c r="X127" i="5" s="1"/>
  <c r="X139" i="5" s="1"/>
  <c r="X151" i="5" s="1"/>
  <c r="X163" i="5" s="1"/>
  <c r="X175" i="5" s="1"/>
  <c r="X187" i="5" s="1"/>
  <c r="X199" i="5" s="1"/>
  <c r="X211" i="5" s="1"/>
  <c r="X223" i="5" s="1"/>
  <c r="X235" i="5" s="1"/>
  <c r="X247" i="5" s="1"/>
  <c r="X259" i="5" s="1"/>
  <c r="X271" i="5" s="1"/>
  <c r="X283" i="5" s="1"/>
  <c r="X295" i="5" s="1"/>
  <c r="X307" i="5" s="1"/>
  <c r="X319" i="5" s="1"/>
  <c r="X331" i="5" s="1"/>
  <c r="X343" i="5" s="1"/>
  <c r="X355" i="5" s="1"/>
  <c r="X367" i="5" s="1"/>
  <c r="X379" i="5" s="1"/>
  <c r="X391" i="5" s="1"/>
  <c r="X403" i="5" s="1"/>
  <c r="X415" i="5" s="1"/>
  <c r="X427" i="5" s="1"/>
  <c r="X439" i="5" s="1"/>
  <c r="X451" i="5" s="1"/>
  <c r="X463" i="5" s="1"/>
  <c r="X475" i="5" s="1"/>
  <c r="X487" i="5" s="1"/>
  <c r="X499" i="5" s="1"/>
  <c r="X511" i="5" s="1"/>
  <c r="X523" i="5" s="1"/>
  <c r="X535" i="5" s="1"/>
  <c r="X547" i="5" s="1"/>
  <c r="X559" i="5" s="1"/>
  <c r="X571" i="5" s="1"/>
  <c r="X583" i="5" s="1"/>
  <c r="X595" i="5" s="1"/>
  <c r="X607" i="5" s="1"/>
  <c r="X619" i="5" s="1"/>
  <c r="X631" i="5" s="1"/>
  <c r="X643" i="5" s="1"/>
  <c r="X655" i="5" s="1"/>
  <c r="X667" i="5" s="1"/>
  <c r="X679" i="5" s="1"/>
  <c r="X691" i="5" s="1"/>
  <c r="X703" i="5" s="1"/>
  <c r="X715" i="5" s="1"/>
  <c r="X727" i="5" s="1"/>
  <c r="X739" i="5" s="1"/>
  <c r="X751" i="5" s="1"/>
  <c r="X763" i="5" s="1"/>
  <c r="X775" i="5" s="1"/>
  <c r="X787" i="5" s="1"/>
  <c r="X799" i="5" s="1"/>
  <c r="X811" i="5" s="1"/>
  <c r="X823" i="5" s="1"/>
  <c r="X835" i="5" s="1"/>
  <c r="X847" i="5" s="1"/>
  <c r="X859" i="5" s="1"/>
  <c r="X871" i="5" s="1"/>
  <c r="X883" i="5" s="1"/>
  <c r="X895" i="5" s="1"/>
  <c r="X907" i="5" s="1"/>
  <c r="X919" i="5" s="1"/>
  <c r="X931" i="5" s="1"/>
  <c r="X943" i="5" s="1"/>
  <c r="X955" i="5" s="1"/>
  <c r="X967" i="5" s="1"/>
  <c r="X979" i="5" s="1"/>
  <c r="X991" i="5" s="1"/>
  <c r="X1003" i="5" s="1"/>
  <c r="X20" i="5"/>
  <c r="X32" i="5" s="1"/>
  <c r="X44" i="5" s="1"/>
  <c r="X56" i="5" s="1"/>
  <c r="X68" i="5" s="1"/>
  <c r="X80" i="5" s="1"/>
  <c r="X92" i="5" s="1"/>
  <c r="X104" i="5" s="1"/>
  <c r="X116" i="5" s="1"/>
  <c r="X128" i="5" s="1"/>
  <c r="X140" i="5" s="1"/>
  <c r="X152" i="5" s="1"/>
  <c r="X164" i="5" s="1"/>
  <c r="X176" i="5" s="1"/>
  <c r="X188" i="5" s="1"/>
  <c r="X200" i="5" s="1"/>
  <c r="X212" i="5" s="1"/>
  <c r="X224" i="5" s="1"/>
  <c r="X236" i="5" s="1"/>
  <c r="X248" i="5" s="1"/>
  <c r="X260" i="5" s="1"/>
  <c r="X272" i="5" s="1"/>
  <c r="X284" i="5" s="1"/>
  <c r="X296" i="5" s="1"/>
  <c r="X308" i="5" s="1"/>
  <c r="X320" i="5" s="1"/>
  <c r="X332" i="5" s="1"/>
  <c r="X344" i="5" s="1"/>
  <c r="X356" i="5" s="1"/>
  <c r="X368" i="5" s="1"/>
  <c r="X380" i="5" s="1"/>
  <c r="X392" i="5" s="1"/>
  <c r="X404" i="5" s="1"/>
  <c r="X416" i="5" s="1"/>
  <c r="X428" i="5" s="1"/>
  <c r="X440" i="5" s="1"/>
  <c r="X452" i="5" s="1"/>
  <c r="X464" i="5" s="1"/>
  <c r="X476" i="5" s="1"/>
  <c r="X488" i="5" s="1"/>
  <c r="X500" i="5" s="1"/>
  <c r="X512" i="5" s="1"/>
  <c r="X524" i="5" s="1"/>
  <c r="X536" i="5" s="1"/>
  <c r="X548" i="5" s="1"/>
  <c r="X560" i="5" s="1"/>
  <c r="X572" i="5" s="1"/>
  <c r="X584" i="5" s="1"/>
  <c r="X596" i="5" s="1"/>
  <c r="X608" i="5" s="1"/>
  <c r="X620" i="5" s="1"/>
  <c r="X632" i="5" s="1"/>
  <c r="X644" i="5" s="1"/>
  <c r="X656" i="5" s="1"/>
  <c r="X668" i="5" s="1"/>
  <c r="X680" i="5" s="1"/>
  <c r="X692" i="5" s="1"/>
  <c r="X704" i="5" s="1"/>
  <c r="X716" i="5" s="1"/>
  <c r="X728" i="5" s="1"/>
  <c r="X740" i="5" s="1"/>
  <c r="X752" i="5" s="1"/>
  <c r="X764" i="5" s="1"/>
  <c r="X776" i="5" s="1"/>
  <c r="X788" i="5" s="1"/>
  <c r="X800" i="5" s="1"/>
  <c r="X812" i="5" s="1"/>
  <c r="X824" i="5" s="1"/>
  <c r="X836" i="5" s="1"/>
  <c r="X848" i="5" s="1"/>
  <c r="X860" i="5" s="1"/>
  <c r="X872" i="5" s="1"/>
  <c r="X884" i="5" s="1"/>
  <c r="X896" i="5" s="1"/>
  <c r="X908" i="5" s="1"/>
  <c r="X920" i="5" s="1"/>
  <c r="X932" i="5" s="1"/>
  <c r="X944" i="5" s="1"/>
  <c r="X956" i="5" s="1"/>
  <c r="X968" i="5" s="1"/>
  <c r="X980" i="5" s="1"/>
  <c r="X992" i="5" s="1"/>
  <c r="X9" i="5"/>
  <c r="X21" i="5" s="1"/>
  <c r="X33" i="5" s="1"/>
  <c r="X45" i="5" s="1"/>
  <c r="X57" i="5" s="1"/>
  <c r="X69" i="5" s="1"/>
  <c r="X81" i="5" s="1"/>
  <c r="X93" i="5" s="1"/>
  <c r="X105" i="5" s="1"/>
  <c r="X117" i="5" s="1"/>
  <c r="X129" i="5" s="1"/>
  <c r="X141" i="5" s="1"/>
  <c r="X153" i="5" s="1"/>
  <c r="X165" i="5" s="1"/>
  <c r="X177" i="5" s="1"/>
  <c r="X189" i="5" s="1"/>
  <c r="X201" i="5" s="1"/>
  <c r="X213" i="5" s="1"/>
  <c r="X225" i="5" s="1"/>
  <c r="X237" i="5" s="1"/>
  <c r="X249" i="5" s="1"/>
  <c r="X261" i="5" s="1"/>
  <c r="X273" i="5" s="1"/>
  <c r="X285" i="5" s="1"/>
  <c r="X297" i="5" s="1"/>
  <c r="X309" i="5" s="1"/>
  <c r="X321" i="5" s="1"/>
  <c r="X333" i="5" s="1"/>
  <c r="X345" i="5" s="1"/>
  <c r="X357" i="5" s="1"/>
  <c r="X369" i="5" s="1"/>
  <c r="X381" i="5" s="1"/>
  <c r="X393" i="5" s="1"/>
  <c r="X405" i="5" s="1"/>
  <c r="X417" i="5" s="1"/>
  <c r="X429" i="5" s="1"/>
  <c r="X441" i="5" s="1"/>
  <c r="X453" i="5" s="1"/>
  <c r="X465" i="5" s="1"/>
  <c r="X477" i="5" s="1"/>
  <c r="X489" i="5" s="1"/>
  <c r="X501" i="5" s="1"/>
  <c r="X513" i="5" s="1"/>
  <c r="X525" i="5" s="1"/>
  <c r="X537" i="5" s="1"/>
  <c r="X549" i="5" s="1"/>
  <c r="X561" i="5" s="1"/>
  <c r="X573" i="5" s="1"/>
  <c r="X585" i="5" s="1"/>
  <c r="X597" i="5" s="1"/>
  <c r="X609" i="5" s="1"/>
  <c r="X621" i="5" s="1"/>
  <c r="X633" i="5" s="1"/>
  <c r="X645" i="5" s="1"/>
  <c r="X657" i="5" s="1"/>
  <c r="X669" i="5" s="1"/>
  <c r="X681" i="5" s="1"/>
  <c r="X693" i="5" s="1"/>
  <c r="X705" i="5" s="1"/>
  <c r="X717" i="5" s="1"/>
  <c r="X729" i="5" s="1"/>
  <c r="X741" i="5" s="1"/>
  <c r="X753" i="5" s="1"/>
  <c r="X765" i="5" s="1"/>
  <c r="X777" i="5" s="1"/>
  <c r="X789" i="5" s="1"/>
  <c r="X801" i="5" s="1"/>
  <c r="X813" i="5" s="1"/>
  <c r="X825" i="5" s="1"/>
  <c r="X837" i="5" s="1"/>
  <c r="X849" i="5" s="1"/>
  <c r="X861" i="5" s="1"/>
  <c r="X873" i="5" s="1"/>
  <c r="X885" i="5" s="1"/>
  <c r="X897" i="5" s="1"/>
  <c r="X909" i="5" s="1"/>
  <c r="X921" i="5" s="1"/>
  <c r="X933" i="5" s="1"/>
  <c r="X945" i="5" s="1"/>
  <c r="X957" i="5" s="1"/>
  <c r="X969" i="5" s="1"/>
  <c r="X981" i="5" s="1"/>
  <c r="X993" i="5" s="1"/>
  <c r="X13" i="5"/>
  <c r="X25" i="5" s="1"/>
  <c r="X37" i="5" s="1"/>
  <c r="X49" i="5" s="1"/>
  <c r="X61" i="5" s="1"/>
  <c r="X73" i="5" s="1"/>
  <c r="X85" i="5" s="1"/>
  <c r="X97" i="5" s="1"/>
  <c r="X109" i="5" s="1"/>
  <c r="X121" i="5" s="1"/>
  <c r="X133" i="5" s="1"/>
  <c r="X145" i="5" s="1"/>
  <c r="X157" i="5" s="1"/>
  <c r="X169" i="5" s="1"/>
  <c r="X181" i="5" s="1"/>
  <c r="X193" i="5" s="1"/>
  <c r="X205" i="5" s="1"/>
  <c r="X217" i="5" s="1"/>
  <c r="X229" i="5" s="1"/>
  <c r="X241" i="5" s="1"/>
  <c r="X253" i="5" s="1"/>
  <c r="X265" i="5" s="1"/>
  <c r="X277" i="5" s="1"/>
  <c r="X289" i="5" s="1"/>
  <c r="X301" i="5" s="1"/>
  <c r="X313" i="5" s="1"/>
  <c r="X325" i="5" s="1"/>
  <c r="X337" i="5" s="1"/>
  <c r="X349" i="5" s="1"/>
  <c r="X361" i="5" s="1"/>
  <c r="X373" i="5" s="1"/>
  <c r="X385" i="5" s="1"/>
  <c r="X397" i="5" s="1"/>
  <c r="X409" i="5" s="1"/>
  <c r="X421" i="5" s="1"/>
  <c r="X433" i="5" s="1"/>
  <c r="X445" i="5" s="1"/>
  <c r="X457" i="5" s="1"/>
  <c r="X469" i="5" s="1"/>
  <c r="X481" i="5" s="1"/>
  <c r="X493" i="5" s="1"/>
  <c r="X505" i="5" s="1"/>
  <c r="X517" i="5" s="1"/>
  <c r="X529" i="5" s="1"/>
  <c r="X541" i="5" s="1"/>
  <c r="X553" i="5" s="1"/>
  <c r="X565" i="5" s="1"/>
  <c r="X577" i="5" s="1"/>
  <c r="X589" i="5" s="1"/>
  <c r="X601" i="5" s="1"/>
  <c r="X613" i="5" s="1"/>
  <c r="X625" i="5" s="1"/>
  <c r="X637" i="5" s="1"/>
  <c r="X649" i="5" s="1"/>
  <c r="X661" i="5" s="1"/>
  <c r="X673" i="5" s="1"/>
  <c r="X685" i="5" s="1"/>
  <c r="X697" i="5" s="1"/>
  <c r="X709" i="5" s="1"/>
  <c r="X721" i="5" s="1"/>
  <c r="X733" i="5" s="1"/>
  <c r="X745" i="5" s="1"/>
  <c r="X757" i="5" s="1"/>
  <c r="X769" i="5" s="1"/>
  <c r="X781" i="5" s="1"/>
  <c r="X793" i="5" s="1"/>
  <c r="X805" i="5" s="1"/>
  <c r="X817" i="5" s="1"/>
  <c r="X829" i="5" s="1"/>
  <c r="X841" i="5" s="1"/>
  <c r="X853" i="5" s="1"/>
  <c r="X865" i="5" s="1"/>
  <c r="X877" i="5" s="1"/>
  <c r="X889" i="5" s="1"/>
  <c r="X901" i="5" s="1"/>
  <c r="X913" i="5" s="1"/>
  <c r="X925" i="5" s="1"/>
  <c r="X937" i="5" s="1"/>
  <c r="X949" i="5" s="1"/>
  <c r="X961" i="5" s="1"/>
  <c r="X973" i="5" s="1"/>
  <c r="X985" i="5" s="1"/>
  <c r="X997" i="5" s="1"/>
  <c r="X14" i="5"/>
  <c r="X26" i="5" s="1"/>
  <c r="X38" i="5" s="1"/>
  <c r="X50" i="5" s="1"/>
  <c r="X62" i="5" s="1"/>
  <c r="X74" i="5" s="1"/>
  <c r="X86" i="5" s="1"/>
  <c r="X98" i="5" s="1"/>
  <c r="X110" i="5" s="1"/>
  <c r="X122" i="5" s="1"/>
  <c r="X134" i="5" s="1"/>
  <c r="X146" i="5" s="1"/>
  <c r="X158" i="5" s="1"/>
  <c r="X170" i="5" s="1"/>
  <c r="X182" i="5" s="1"/>
  <c r="X194" i="5" s="1"/>
  <c r="X206" i="5" s="1"/>
  <c r="X218" i="5" s="1"/>
  <c r="X230" i="5" s="1"/>
  <c r="X242" i="5" s="1"/>
  <c r="X254" i="5" s="1"/>
  <c r="X266" i="5" s="1"/>
  <c r="X278" i="5" s="1"/>
  <c r="X290" i="5" s="1"/>
  <c r="X302" i="5" s="1"/>
  <c r="X314" i="5" s="1"/>
  <c r="X326" i="5" s="1"/>
  <c r="X338" i="5" s="1"/>
  <c r="X350" i="5" s="1"/>
  <c r="X362" i="5" s="1"/>
  <c r="X374" i="5" s="1"/>
  <c r="X386" i="5" s="1"/>
  <c r="X398" i="5" s="1"/>
  <c r="X410" i="5" s="1"/>
  <c r="X422" i="5" s="1"/>
  <c r="X434" i="5" s="1"/>
  <c r="X446" i="5" s="1"/>
  <c r="X458" i="5" s="1"/>
  <c r="X470" i="5" s="1"/>
  <c r="X482" i="5" s="1"/>
  <c r="X494" i="5" s="1"/>
  <c r="X506" i="5" s="1"/>
  <c r="X518" i="5" s="1"/>
  <c r="X530" i="5" s="1"/>
  <c r="X542" i="5" s="1"/>
  <c r="X554" i="5" s="1"/>
  <c r="X566" i="5" s="1"/>
  <c r="X578" i="5" s="1"/>
  <c r="X590" i="5" s="1"/>
  <c r="X602" i="5" s="1"/>
  <c r="X614" i="5" s="1"/>
  <c r="X626" i="5" s="1"/>
  <c r="X638" i="5" s="1"/>
  <c r="X650" i="5" s="1"/>
  <c r="X662" i="5" s="1"/>
  <c r="X674" i="5" s="1"/>
  <c r="X686" i="5" s="1"/>
  <c r="X698" i="5" s="1"/>
  <c r="X710" i="5" s="1"/>
  <c r="X722" i="5" s="1"/>
  <c r="X734" i="5" s="1"/>
  <c r="X746" i="5" s="1"/>
  <c r="X758" i="5" s="1"/>
  <c r="X770" i="5" s="1"/>
  <c r="X782" i="5" s="1"/>
  <c r="X794" i="5" s="1"/>
  <c r="X806" i="5" s="1"/>
  <c r="X818" i="5" s="1"/>
  <c r="X830" i="5" s="1"/>
  <c r="X842" i="5" s="1"/>
  <c r="X854" i="5" s="1"/>
  <c r="X866" i="5" s="1"/>
  <c r="X878" i="5" s="1"/>
  <c r="X890" i="5" s="1"/>
  <c r="X902" i="5" s="1"/>
  <c r="X914" i="5" s="1"/>
  <c r="X926" i="5" s="1"/>
  <c r="X938" i="5" s="1"/>
  <c r="X950" i="5" s="1"/>
  <c r="X962" i="5" s="1"/>
  <c r="X974" i="5" s="1"/>
  <c r="X986" i="5" s="1"/>
  <c r="X998" i="5" s="1"/>
  <c r="X15" i="5"/>
  <c r="X27" i="5" s="1"/>
  <c r="X39" i="5" s="1"/>
  <c r="X51" i="5" s="1"/>
  <c r="X63" i="5" s="1"/>
  <c r="X75" i="5" s="1"/>
  <c r="X87" i="5" s="1"/>
  <c r="X99" i="5" s="1"/>
  <c r="X111" i="5" s="1"/>
  <c r="X123" i="5" s="1"/>
  <c r="X135" i="5" s="1"/>
  <c r="X147" i="5" s="1"/>
  <c r="X159" i="5" s="1"/>
  <c r="X171" i="5" s="1"/>
  <c r="X183" i="5" s="1"/>
  <c r="X195" i="5" s="1"/>
  <c r="X207" i="5" s="1"/>
  <c r="X219" i="5" s="1"/>
  <c r="X231" i="5" s="1"/>
  <c r="X243" i="5" s="1"/>
  <c r="X255" i="5" s="1"/>
  <c r="X267" i="5" s="1"/>
  <c r="X279" i="5" s="1"/>
  <c r="X291" i="5" s="1"/>
  <c r="X303" i="5" s="1"/>
  <c r="X315" i="5" s="1"/>
  <c r="X327" i="5" s="1"/>
  <c r="X339" i="5" s="1"/>
  <c r="X351" i="5" s="1"/>
  <c r="X363" i="5" s="1"/>
  <c r="X375" i="5" s="1"/>
  <c r="X387" i="5" s="1"/>
  <c r="X399" i="5" s="1"/>
  <c r="X411" i="5" s="1"/>
  <c r="X423" i="5" s="1"/>
  <c r="X435" i="5" s="1"/>
  <c r="X447" i="5" s="1"/>
  <c r="X459" i="5" s="1"/>
  <c r="X471" i="5" s="1"/>
  <c r="X483" i="5" s="1"/>
  <c r="X495" i="5" s="1"/>
  <c r="X507" i="5" s="1"/>
  <c r="X519" i="5" s="1"/>
  <c r="X531" i="5" s="1"/>
  <c r="X543" i="5" s="1"/>
  <c r="X555" i="5" s="1"/>
  <c r="X567" i="5" s="1"/>
  <c r="X579" i="5" s="1"/>
  <c r="X591" i="5" s="1"/>
  <c r="X603" i="5" s="1"/>
  <c r="X615" i="5" s="1"/>
  <c r="X627" i="5" s="1"/>
  <c r="X639" i="5" s="1"/>
  <c r="X651" i="5" s="1"/>
  <c r="X663" i="5" s="1"/>
  <c r="X675" i="5" s="1"/>
  <c r="X687" i="5" s="1"/>
  <c r="X699" i="5" s="1"/>
  <c r="X711" i="5" s="1"/>
  <c r="X723" i="5" s="1"/>
  <c r="X735" i="5" s="1"/>
  <c r="X747" i="5" s="1"/>
  <c r="X759" i="5" s="1"/>
  <c r="X771" i="5" s="1"/>
  <c r="X783" i="5" s="1"/>
  <c r="X795" i="5" s="1"/>
  <c r="X807" i="5" s="1"/>
  <c r="X819" i="5" s="1"/>
  <c r="X831" i="5" s="1"/>
  <c r="X843" i="5" s="1"/>
  <c r="X855" i="5" s="1"/>
  <c r="X867" i="5" s="1"/>
  <c r="X879" i="5" s="1"/>
  <c r="X891" i="5" s="1"/>
  <c r="X903" i="5" s="1"/>
  <c r="X915" i="5" s="1"/>
  <c r="X927" i="5" s="1"/>
  <c r="X939" i="5" s="1"/>
  <c r="X951" i="5" s="1"/>
  <c r="X963" i="5" s="1"/>
  <c r="X975" i="5" s="1"/>
  <c r="X987" i="5" s="1"/>
  <c r="X999" i="5" s="1"/>
  <c r="X16" i="5"/>
  <c r="X28" i="5" s="1"/>
  <c r="X40" i="5" s="1"/>
  <c r="X52" i="5" s="1"/>
  <c r="X64" i="5" s="1"/>
  <c r="X76" i="5" s="1"/>
  <c r="X88" i="5" s="1"/>
  <c r="X100" i="5" s="1"/>
  <c r="X112" i="5" s="1"/>
  <c r="X124" i="5" s="1"/>
  <c r="X136" i="5" s="1"/>
  <c r="X148" i="5" s="1"/>
  <c r="X160" i="5" s="1"/>
  <c r="X172" i="5" s="1"/>
  <c r="X184" i="5" s="1"/>
  <c r="X196" i="5" s="1"/>
  <c r="X208" i="5" s="1"/>
  <c r="X220" i="5" s="1"/>
  <c r="X232" i="5" s="1"/>
  <c r="X244" i="5" s="1"/>
  <c r="X256" i="5" s="1"/>
  <c r="X268" i="5" s="1"/>
  <c r="X280" i="5" s="1"/>
  <c r="X292" i="5" s="1"/>
  <c r="X304" i="5" s="1"/>
  <c r="X316" i="5" s="1"/>
  <c r="X328" i="5" s="1"/>
  <c r="X340" i="5" s="1"/>
  <c r="X352" i="5" s="1"/>
  <c r="X364" i="5" s="1"/>
  <c r="X376" i="5" s="1"/>
  <c r="X388" i="5" s="1"/>
  <c r="X400" i="5" s="1"/>
  <c r="X412" i="5" s="1"/>
  <c r="X424" i="5" s="1"/>
  <c r="X436" i="5" s="1"/>
  <c r="X448" i="5" s="1"/>
  <c r="X460" i="5" s="1"/>
  <c r="X472" i="5" s="1"/>
  <c r="X484" i="5" s="1"/>
  <c r="X496" i="5" s="1"/>
  <c r="X508" i="5" s="1"/>
  <c r="X520" i="5" s="1"/>
  <c r="X532" i="5" s="1"/>
  <c r="X544" i="5" s="1"/>
  <c r="X556" i="5" s="1"/>
  <c r="X568" i="5" s="1"/>
  <c r="X580" i="5" s="1"/>
  <c r="X592" i="5" s="1"/>
  <c r="X604" i="5" s="1"/>
  <c r="X616" i="5" s="1"/>
  <c r="X628" i="5" s="1"/>
  <c r="X640" i="5" s="1"/>
  <c r="X652" i="5" s="1"/>
  <c r="X664" i="5" s="1"/>
  <c r="X676" i="5" s="1"/>
  <c r="X688" i="5" s="1"/>
  <c r="X700" i="5" s="1"/>
  <c r="X712" i="5" s="1"/>
  <c r="X724" i="5" s="1"/>
  <c r="X736" i="5" s="1"/>
  <c r="X748" i="5" s="1"/>
  <c r="X760" i="5" s="1"/>
  <c r="X772" i="5" s="1"/>
  <c r="X784" i="5" s="1"/>
  <c r="X796" i="5" s="1"/>
  <c r="X808" i="5" s="1"/>
  <c r="X820" i="5" s="1"/>
  <c r="X832" i="5" s="1"/>
  <c r="X844" i="5" s="1"/>
  <c r="X856" i="5" s="1"/>
  <c r="X868" i="5" s="1"/>
  <c r="X880" i="5" s="1"/>
  <c r="X892" i="5" s="1"/>
  <c r="X904" i="5" s="1"/>
  <c r="X916" i="5" s="1"/>
  <c r="X928" i="5" s="1"/>
  <c r="X940" i="5" s="1"/>
  <c r="X952" i="5" s="1"/>
  <c r="X964" i="5" s="1"/>
  <c r="X976" i="5" s="1"/>
  <c r="X988" i="5" s="1"/>
  <c r="X1000" i="5" s="1"/>
  <c r="X17" i="5"/>
  <c r="X29" i="5" s="1"/>
  <c r="X41" i="5" s="1"/>
  <c r="X53" i="5" s="1"/>
  <c r="X65" i="5" s="1"/>
  <c r="X77" i="5" s="1"/>
  <c r="X89" i="5" s="1"/>
  <c r="X101" i="5" s="1"/>
  <c r="X113" i="5" s="1"/>
  <c r="X125" i="5" s="1"/>
  <c r="X137" i="5" s="1"/>
  <c r="X149" i="5" s="1"/>
  <c r="X161" i="5" s="1"/>
  <c r="X173" i="5" s="1"/>
  <c r="X185" i="5" s="1"/>
  <c r="X197" i="5" s="1"/>
  <c r="X209" i="5" s="1"/>
  <c r="X221" i="5" s="1"/>
  <c r="X233" i="5" s="1"/>
  <c r="X245" i="5" s="1"/>
  <c r="X257" i="5" s="1"/>
  <c r="X269" i="5" s="1"/>
  <c r="X281" i="5" s="1"/>
  <c r="X293" i="5" s="1"/>
  <c r="X305" i="5" s="1"/>
  <c r="X317" i="5" s="1"/>
  <c r="X329" i="5" s="1"/>
  <c r="X341" i="5" s="1"/>
  <c r="X353" i="5" s="1"/>
  <c r="X365" i="5" s="1"/>
  <c r="X377" i="5" s="1"/>
  <c r="X389" i="5" s="1"/>
  <c r="X401" i="5" s="1"/>
  <c r="X413" i="5" s="1"/>
  <c r="X425" i="5" s="1"/>
  <c r="X437" i="5" s="1"/>
  <c r="X449" i="5" s="1"/>
  <c r="X461" i="5" s="1"/>
  <c r="X473" i="5" s="1"/>
  <c r="X485" i="5" s="1"/>
  <c r="X497" i="5" s="1"/>
  <c r="X509" i="5" s="1"/>
  <c r="X521" i="5" s="1"/>
  <c r="X533" i="5" s="1"/>
  <c r="X545" i="5" s="1"/>
  <c r="X557" i="5" s="1"/>
  <c r="X569" i="5" s="1"/>
  <c r="X581" i="5" s="1"/>
  <c r="X593" i="5" s="1"/>
  <c r="X605" i="5" s="1"/>
  <c r="X617" i="5" s="1"/>
  <c r="X629" i="5" s="1"/>
  <c r="X641" i="5" s="1"/>
  <c r="X653" i="5" s="1"/>
  <c r="X665" i="5" s="1"/>
  <c r="X677" i="5" s="1"/>
  <c r="X689" i="5" s="1"/>
  <c r="X701" i="5" s="1"/>
  <c r="X713" i="5" s="1"/>
  <c r="X725" i="5" s="1"/>
  <c r="X737" i="5" s="1"/>
  <c r="X749" i="5" s="1"/>
  <c r="X761" i="5" s="1"/>
  <c r="X773" i="5" s="1"/>
  <c r="X785" i="5" s="1"/>
  <c r="X797" i="5" s="1"/>
  <c r="X809" i="5" s="1"/>
  <c r="X821" i="5" s="1"/>
  <c r="X833" i="5" s="1"/>
  <c r="X845" i="5" s="1"/>
  <c r="X857" i="5" s="1"/>
  <c r="X869" i="5" s="1"/>
  <c r="X881" i="5" s="1"/>
  <c r="X893" i="5" s="1"/>
  <c r="X905" i="5" s="1"/>
  <c r="X917" i="5" s="1"/>
  <c r="X929" i="5" s="1"/>
  <c r="X941" i="5" s="1"/>
  <c r="X953" i="5" s="1"/>
  <c r="X965" i="5" s="1"/>
  <c r="X977" i="5" s="1"/>
  <c r="X989" i="5" s="1"/>
  <c r="X1001" i="5" s="1"/>
  <c r="X8" i="5"/>
  <c r="X6" i="5"/>
  <c r="X4" i="5"/>
  <c r="Y10" i="5"/>
  <c r="Y22" i="5" s="1"/>
  <c r="Y34" i="5" s="1"/>
  <c r="Y46" i="5" s="1"/>
  <c r="Y58" i="5" s="1"/>
  <c r="Y70" i="5" s="1"/>
  <c r="Y82" i="5" s="1"/>
  <c r="Y94" i="5" s="1"/>
  <c r="Y106" i="5" s="1"/>
  <c r="Y118" i="5" s="1"/>
  <c r="Y130" i="5" s="1"/>
  <c r="Y142" i="5" s="1"/>
  <c r="Y154" i="5" s="1"/>
  <c r="Y166" i="5" s="1"/>
  <c r="Y178" i="5" s="1"/>
  <c r="Y190" i="5" s="1"/>
  <c r="Y202" i="5" s="1"/>
  <c r="Y214" i="5" s="1"/>
  <c r="Y226" i="5" s="1"/>
  <c r="Y238" i="5" s="1"/>
  <c r="Y250" i="5" s="1"/>
  <c r="Y262" i="5" s="1"/>
  <c r="Y274" i="5" s="1"/>
  <c r="Y286" i="5" s="1"/>
  <c r="Y298" i="5" s="1"/>
  <c r="Y310" i="5" s="1"/>
  <c r="Y322" i="5" s="1"/>
  <c r="Y334" i="5" s="1"/>
  <c r="Y346" i="5" s="1"/>
  <c r="Y358" i="5" s="1"/>
  <c r="Y370" i="5" s="1"/>
  <c r="Y382" i="5" s="1"/>
  <c r="Y394" i="5" s="1"/>
  <c r="Y406" i="5" s="1"/>
  <c r="Y418" i="5" s="1"/>
  <c r="Y430" i="5" s="1"/>
  <c r="Y442" i="5" s="1"/>
  <c r="Y454" i="5" s="1"/>
  <c r="Y466" i="5" s="1"/>
  <c r="Y478" i="5" s="1"/>
  <c r="Y490" i="5" s="1"/>
  <c r="Y502" i="5" s="1"/>
  <c r="Y514" i="5" s="1"/>
  <c r="Y526" i="5" s="1"/>
  <c r="Y538" i="5" s="1"/>
  <c r="Y550" i="5" s="1"/>
  <c r="Y562" i="5" s="1"/>
  <c r="Y574" i="5" s="1"/>
  <c r="Y586" i="5" s="1"/>
  <c r="Y598" i="5" s="1"/>
  <c r="Y610" i="5" s="1"/>
  <c r="Y622" i="5" s="1"/>
  <c r="Y634" i="5" s="1"/>
  <c r="Y646" i="5" s="1"/>
  <c r="Y658" i="5" s="1"/>
  <c r="Y670" i="5" s="1"/>
  <c r="Y682" i="5" s="1"/>
  <c r="Y694" i="5" s="1"/>
  <c r="Y706" i="5" s="1"/>
  <c r="Y718" i="5" s="1"/>
  <c r="Y730" i="5" s="1"/>
  <c r="Y742" i="5" s="1"/>
  <c r="Y754" i="5" s="1"/>
  <c r="Y766" i="5" s="1"/>
  <c r="Y778" i="5" s="1"/>
  <c r="Y790" i="5" s="1"/>
  <c r="Y802" i="5" s="1"/>
  <c r="Y814" i="5" s="1"/>
  <c r="Y826" i="5" s="1"/>
  <c r="Y838" i="5" s="1"/>
  <c r="Y850" i="5" s="1"/>
  <c r="Y862" i="5" s="1"/>
  <c r="Y874" i="5" s="1"/>
  <c r="Y886" i="5" s="1"/>
  <c r="Y898" i="5" s="1"/>
  <c r="Y910" i="5" s="1"/>
  <c r="Y922" i="5" s="1"/>
  <c r="Y934" i="5" s="1"/>
  <c r="Y946" i="5" s="1"/>
  <c r="Y958" i="5" s="1"/>
  <c r="Y970" i="5" s="1"/>
  <c r="Y982" i="5" s="1"/>
  <c r="Y994" i="5" s="1"/>
  <c r="Y8" i="5"/>
  <c r="Y6" i="5"/>
  <c r="Y4" i="5"/>
  <c r="Z20" i="5"/>
  <c r="Z32" i="5" s="1"/>
  <c r="Z44" i="5" s="1"/>
  <c r="Z56" i="5" s="1"/>
  <c r="Z68" i="5" s="1"/>
  <c r="Z80" i="5" s="1"/>
  <c r="Z92" i="5" s="1"/>
  <c r="Z104" i="5" s="1"/>
  <c r="Z116" i="5" s="1"/>
  <c r="Z128" i="5" s="1"/>
  <c r="Z140" i="5" s="1"/>
  <c r="Z152" i="5" s="1"/>
  <c r="Z164" i="5" s="1"/>
  <c r="Z176" i="5" s="1"/>
  <c r="Z188" i="5" s="1"/>
  <c r="Z200" i="5" s="1"/>
  <c r="Z212" i="5" s="1"/>
  <c r="Z224" i="5" s="1"/>
  <c r="Z236" i="5" s="1"/>
  <c r="Z248" i="5" s="1"/>
  <c r="Z260" i="5" s="1"/>
  <c r="Z272" i="5" s="1"/>
  <c r="Z284" i="5" s="1"/>
  <c r="Z296" i="5" s="1"/>
  <c r="Z308" i="5" s="1"/>
  <c r="Z320" i="5" s="1"/>
  <c r="Z332" i="5" s="1"/>
  <c r="Z344" i="5" s="1"/>
  <c r="Z356" i="5" s="1"/>
  <c r="Z368" i="5" s="1"/>
  <c r="Z380" i="5" s="1"/>
  <c r="Z392" i="5" s="1"/>
  <c r="Z404" i="5" s="1"/>
  <c r="Z416" i="5" s="1"/>
  <c r="Z428" i="5" s="1"/>
  <c r="Z440" i="5" s="1"/>
  <c r="Z452" i="5" s="1"/>
  <c r="Z464" i="5" s="1"/>
  <c r="Z476" i="5" s="1"/>
  <c r="Z488" i="5" s="1"/>
  <c r="Z500" i="5" s="1"/>
  <c r="Z512" i="5" s="1"/>
  <c r="Z524" i="5" s="1"/>
  <c r="Z536" i="5" s="1"/>
  <c r="Z548" i="5" s="1"/>
  <c r="Z560" i="5" s="1"/>
  <c r="Z572" i="5" s="1"/>
  <c r="Z584" i="5" s="1"/>
  <c r="Z596" i="5" s="1"/>
  <c r="Z608" i="5" s="1"/>
  <c r="Z620" i="5" s="1"/>
  <c r="Z632" i="5" s="1"/>
  <c r="Z644" i="5" s="1"/>
  <c r="Z656" i="5" s="1"/>
  <c r="Z668" i="5" s="1"/>
  <c r="Z680" i="5" s="1"/>
  <c r="Z692" i="5" s="1"/>
  <c r="Z704" i="5" s="1"/>
  <c r="Z716" i="5" s="1"/>
  <c r="Z728" i="5" s="1"/>
  <c r="Z740" i="5" s="1"/>
  <c r="Z752" i="5" s="1"/>
  <c r="Z764" i="5" s="1"/>
  <c r="Z776" i="5" s="1"/>
  <c r="Z788" i="5" s="1"/>
  <c r="Z800" i="5" s="1"/>
  <c r="Z812" i="5" s="1"/>
  <c r="Z824" i="5" s="1"/>
  <c r="Z836" i="5" s="1"/>
  <c r="Z848" i="5" s="1"/>
  <c r="Z860" i="5" s="1"/>
  <c r="Z872" i="5" s="1"/>
  <c r="Z884" i="5" s="1"/>
  <c r="Z896" i="5" s="1"/>
  <c r="Z908" i="5" s="1"/>
  <c r="Z920" i="5" s="1"/>
  <c r="Z932" i="5" s="1"/>
  <c r="Z944" i="5" s="1"/>
  <c r="Z956" i="5" s="1"/>
  <c r="Z968" i="5" s="1"/>
  <c r="Z980" i="5" s="1"/>
  <c r="Z992" i="5" s="1"/>
  <c r="Z18" i="5"/>
  <c r="Z30" i="5" s="1"/>
  <c r="Z42" i="5" s="1"/>
  <c r="Z54" i="5" s="1"/>
  <c r="Z66" i="5" s="1"/>
  <c r="Z78" i="5" s="1"/>
  <c r="Z90" i="5" s="1"/>
  <c r="Z102" i="5" s="1"/>
  <c r="Z114" i="5" s="1"/>
  <c r="Z126" i="5" s="1"/>
  <c r="Z138" i="5" s="1"/>
  <c r="Z150" i="5" s="1"/>
  <c r="Z162" i="5" s="1"/>
  <c r="Z174" i="5" s="1"/>
  <c r="Z186" i="5" s="1"/>
  <c r="Z198" i="5" s="1"/>
  <c r="Z210" i="5" s="1"/>
  <c r="Z222" i="5" s="1"/>
  <c r="Z234" i="5" s="1"/>
  <c r="Z246" i="5" s="1"/>
  <c r="Z258" i="5" s="1"/>
  <c r="Z270" i="5" s="1"/>
  <c r="Z282" i="5" s="1"/>
  <c r="Z294" i="5" s="1"/>
  <c r="Z306" i="5" s="1"/>
  <c r="Z318" i="5" s="1"/>
  <c r="Z330" i="5" s="1"/>
  <c r="Z342" i="5" s="1"/>
  <c r="Z354" i="5" s="1"/>
  <c r="Z366" i="5" s="1"/>
  <c r="Z378" i="5" s="1"/>
  <c r="Z390" i="5" s="1"/>
  <c r="Z402" i="5" s="1"/>
  <c r="Z414" i="5" s="1"/>
  <c r="Z426" i="5" s="1"/>
  <c r="Z438" i="5" s="1"/>
  <c r="Z450" i="5" s="1"/>
  <c r="Z462" i="5" s="1"/>
  <c r="Z474" i="5" s="1"/>
  <c r="Z486" i="5" s="1"/>
  <c r="Z498" i="5" s="1"/>
  <c r="Z510" i="5" s="1"/>
  <c r="Z522" i="5" s="1"/>
  <c r="Z534" i="5" s="1"/>
  <c r="Z546" i="5" s="1"/>
  <c r="Z558" i="5" s="1"/>
  <c r="Z570" i="5" s="1"/>
  <c r="Z582" i="5" s="1"/>
  <c r="Z594" i="5" s="1"/>
  <c r="Z606" i="5" s="1"/>
  <c r="Z618" i="5" s="1"/>
  <c r="Z630" i="5" s="1"/>
  <c r="Z642" i="5" s="1"/>
  <c r="Z654" i="5" s="1"/>
  <c r="Z666" i="5" s="1"/>
  <c r="Z678" i="5" s="1"/>
  <c r="Z690" i="5" s="1"/>
  <c r="Z702" i="5" s="1"/>
  <c r="Z714" i="5" s="1"/>
  <c r="Z726" i="5" s="1"/>
  <c r="Z738" i="5" s="1"/>
  <c r="Z750" i="5" s="1"/>
  <c r="Z762" i="5" s="1"/>
  <c r="Z774" i="5" s="1"/>
  <c r="Z786" i="5" s="1"/>
  <c r="Z798" i="5" s="1"/>
  <c r="Z810" i="5" s="1"/>
  <c r="Z822" i="5" s="1"/>
  <c r="Z834" i="5" s="1"/>
  <c r="Z846" i="5" s="1"/>
  <c r="Z858" i="5" s="1"/>
  <c r="Z870" i="5" s="1"/>
  <c r="Z882" i="5" s="1"/>
  <c r="Z894" i="5" s="1"/>
  <c r="Z906" i="5" s="1"/>
  <c r="Z918" i="5" s="1"/>
  <c r="Z930" i="5" s="1"/>
  <c r="Z942" i="5" s="1"/>
  <c r="Z954" i="5" s="1"/>
  <c r="Z966" i="5" s="1"/>
  <c r="Z978" i="5" s="1"/>
  <c r="Z990" i="5" s="1"/>
  <c r="Z1002" i="5" s="1"/>
  <c r="Z16" i="5"/>
  <c r="Z28" i="5" s="1"/>
  <c r="Z40" i="5" s="1"/>
  <c r="Z52" i="5" s="1"/>
  <c r="Z64" i="5" s="1"/>
  <c r="Z76" i="5" s="1"/>
  <c r="Z88" i="5" s="1"/>
  <c r="Z100" i="5" s="1"/>
  <c r="Z112" i="5" s="1"/>
  <c r="Z124" i="5" s="1"/>
  <c r="Z136" i="5" s="1"/>
  <c r="Z148" i="5" s="1"/>
  <c r="Z160" i="5" s="1"/>
  <c r="Z172" i="5" s="1"/>
  <c r="Z184" i="5" s="1"/>
  <c r="Z196" i="5" s="1"/>
  <c r="Z208" i="5" s="1"/>
  <c r="Z220" i="5" s="1"/>
  <c r="Z232" i="5" s="1"/>
  <c r="Z244" i="5" s="1"/>
  <c r="Z256" i="5" s="1"/>
  <c r="Z268" i="5" s="1"/>
  <c r="Z280" i="5" s="1"/>
  <c r="Z292" i="5" s="1"/>
  <c r="Z304" i="5" s="1"/>
  <c r="Z316" i="5" s="1"/>
  <c r="Z328" i="5" s="1"/>
  <c r="Z340" i="5" s="1"/>
  <c r="Z352" i="5" s="1"/>
  <c r="Z364" i="5" s="1"/>
  <c r="Z376" i="5" s="1"/>
  <c r="Z388" i="5" s="1"/>
  <c r="Z400" i="5" s="1"/>
  <c r="Z412" i="5" s="1"/>
  <c r="Z424" i="5" s="1"/>
  <c r="Z436" i="5" s="1"/>
  <c r="Z448" i="5" s="1"/>
  <c r="Z460" i="5" s="1"/>
  <c r="Z472" i="5" s="1"/>
  <c r="Z484" i="5" s="1"/>
  <c r="Z496" i="5" s="1"/>
  <c r="Z508" i="5" s="1"/>
  <c r="Z520" i="5" s="1"/>
  <c r="Z532" i="5" s="1"/>
  <c r="Z544" i="5" s="1"/>
  <c r="Z556" i="5" s="1"/>
  <c r="Z568" i="5" s="1"/>
  <c r="Z580" i="5" s="1"/>
  <c r="Z592" i="5" s="1"/>
  <c r="Z604" i="5" s="1"/>
  <c r="Z616" i="5" s="1"/>
  <c r="Z628" i="5" s="1"/>
  <c r="Z640" i="5" s="1"/>
  <c r="Z652" i="5" s="1"/>
  <c r="Z664" i="5" s="1"/>
  <c r="Z676" i="5" s="1"/>
  <c r="Z688" i="5" s="1"/>
  <c r="Z700" i="5" s="1"/>
  <c r="Z712" i="5" s="1"/>
  <c r="Z724" i="5" s="1"/>
  <c r="Z736" i="5" s="1"/>
  <c r="Z748" i="5" s="1"/>
  <c r="Z760" i="5" s="1"/>
  <c r="Z772" i="5" s="1"/>
  <c r="Z784" i="5" s="1"/>
  <c r="Z796" i="5" s="1"/>
  <c r="Z808" i="5" s="1"/>
  <c r="Z820" i="5" s="1"/>
  <c r="Z832" i="5" s="1"/>
  <c r="Z844" i="5" s="1"/>
  <c r="Z856" i="5" s="1"/>
  <c r="Z868" i="5" s="1"/>
  <c r="Z880" i="5" s="1"/>
  <c r="Z892" i="5" s="1"/>
  <c r="Z904" i="5" s="1"/>
  <c r="Z916" i="5" s="1"/>
  <c r="Z928" i="5" s="1"/>
  <c r="Z940" i="5" s="1"/>
  <c r="Z952" i="5" s="1"/>
  <c r="Z964" i="5" s="1"/>
  <c r="Z976" i="5" s="1"/>
  <c r="Z988" i="5" s="1"/>
  <c r="Z1000" i="5" s="1"/>
  <c r="Z14" i="5"/>
  <c r="Z26" i="5" s="1"/>
  <c r="Z38" i="5" s="1"/>
  <c r="Z50" i="5" s="1"/>
  <c r="Z62" i="5" s="1"/>
  <c r="Z74" i="5" s="1"/>
  <c r="Z86" i="5" s="1"/>
  <c r="Z98" i="5" s="1"/>
  <c r="Z110" i="5" s="1"/>
  <c r="Z122" i="5" s="1"/>
  <c r="Z134" i="5" s="1"/>
  <c r="Z146" i="5" s="1"/>
  <c r="Z158" i="5" s="1"/>
  <c r="Z170" i="5" s="1"/>
  <c r="Z182" i="5" s="1"/>
  <c r="Z194" i="5" s="1"/>
  <c r="Z206" i="5" s="1"/>
  <c r="Z218" i="5" s="1"/>
  <c r="Z230" i="5" s="1"/>
  <c r="Z242" i="5" s="1"/>
  <c r="Z254" i="5" s="1"/>
  <c r="Z266" i="5" s="1"/>
  <c r="Z278" i="5" s="1"/>
  <c r="Z290" i="5" s="1"/>
  <c r="Z302" i="5" s="1"/>
  <c r="Z314" i="5" s="1"/>
  <c r="Z326" i="5" s="1"/>
  <c r="Z338" i="5" s="1"/>
  <c r="Z350" i="5" s="1"/>
  <c r="Z362" i="5" s="1"/>
  <c r="Z374" i="5" s="1"/>
  <c r="Z386" i="5" s="1"/>
  <c r="Z398" i="5" s="1"/>
  <c r="Z410" i="5" s="1"/>
  <c r="Z422" i="5" s="1"/>
  <c r="Z434" i="5" s="1"/>
  <c r="Z446" i="5" s="1"/>
  <c r="Z458" i="5" s="1"/>
  <c r="Z470" i="5" s="1"/>
  <c r="Z482" i="5" s="1"/>
  <c r="Z494" i="5" s="1"/>
  <c r="Z506" i="5" s="1"/>
  <c r="Z518" i="5" s="1"/>
  <c r="Z530" i="5" s="1"/>
  <c r="Z542" i="5" s="1"/>
  <c r="Z554" i="5" s="1"/>
  <c r="Z566" i="5" s="1"/>
  <c r="Z578" i="5" s="1"/>
  <c r="Z590" i="5" s="1"/>
  <c r="Z602" i="5" s="1"/>
  <c r="Z614" i="5" s="1"/>
  <c r="Z626" i="5" s="1"/>
  <c r="Z638" i="5" s="1"/>
  <c r="Z650" i="5" s="1"/>
  <c r="Z662" i="5" s="1"/>
  <c r="Z674" i="5" s="1"/>
  <c r="Z686" i="5" s="1"/>
  <c r="Z698" i="5" s="1"/>
  <c r="Z710" i="5" s="1"/>
  <c r="Z722" i="5" s="1"/>
  <c r="Z734" i="5" s="1"/>
  <c r="Z746" i="5" s="1"/>
  <c r="Z758" i="5" s="1"/>
  <c r="Z770" i="5" s="1"/>
  <c r="Z782" i="5" s="1"/>
  <c r="Z794" i="5" s="1"/>
  <c r="Z806" i="5" s="1"/>
  <c r="Z818" i="5" s="1"/>
  <c r="Z830" i="5" s="1"/>
  <c r="Z842" i="5" s="1"/>
  <c r="Z854" i="5" s="1"/>
  <c r="Z866" i="5" s="1"/>
  <c r="Z878" i="5" s="1"/>
  <c r="Z890" i="5" s="1"/>
  <c r="Z902" i="5" s="1"/>
  <c r="Z914" i="5" s="1"/>
  <c r="Z926" i="5" s="1"/>
  <c r="Z938" i="5" s="1"/>
  <c r="Z950" i="5" s="1"/>
  <c r="Z962" i="5" s="1"/>
  <c r="Z974" i="5" s="1"/>
  <c r="Z986" i="5" s="1"/>
  <c r="Z998" i="5" s="1"/>
  <c r="Z12" i="5"/>
  <c r="Z24" i="5" s="1"/>
  <c r="Z36" i="5" s="1"/>
  <c r="Z48" i="5" s="1"/>
  <c r="Z60" i="5" s="1"/>
  <c r="Z72" i="5" s="1"/>
  <c r="Z84" i="5" s="1"/>
  <c r="Z96" i="5" s="1"/>
  <c r="Z108" i="5" s="1"/>
  <c r="Z120" i="5" s="1"/>
  <c r="Z132" i="5" s="1"/>
  <c r="Z144" i="5" s="1"/>
  <c r="Z156" i="5" s="1"/>
  <c r="Z168" i="5" s="1"/>
  <c r="Z180" i="5" s="1"/>
  <c r="Z192" i="5" s="1"/>
  <c r="Z204" i="5" s="1"/>
  <c r="Z216" i="5" s="1"/>
  <c r="Z228" i="5" s="1"/>
  <c r="Z240" i="5" s="1"/>
  <c r="Z252" i="5" s="1"/>
  <c r="Z264" i="5" s="1"/>
  <c r="Z276" i="5" s="1"/>
  <c r="Z288" i="5" s="1"/>
  <c r="Z300" i="5" s="1"/>
  <c r="Z312" i="5" s="1"/>
  <c r="Z324" i="5" s="1"/>
  <c r="Z336" i="5" s="1"/>
  <c r="Z348" i="5" s="1"/>
  <c r="Z360" i="5" s="1"/>
  <c r="Z372" i="5" s="1"/>
  <c r="Z384" i="5" s="1"/>
  <c r="Z396" i="5" s="1"/>
  <c r="Z408" i="5" s="1"/>
  <c r="Z420" i="5" s="1"/>
  <c r="Z432" i="5" s="1"/>
  <c r="Z444" i="5" s="1"/>
  <c r="Z456" i="5" s="1"/>
  <c r="Z468" i="5" s="1"/>
  <c r="Z480" i="5" s="1"/>
  <c r="Z492" i="5" s="1"/>
  <c r="Z504" i="5" s="1"/>
  <c r="Z516" i="5" s="1"/>
  <c r="Z528" i="5" s="1"/>
  <c r="Z540" i="5" s="1"/>
  <c r="Z552" i="5" s="1"/>
  <c r="Z564" i="5" s="1"/>
  <c r="Z576" i="5" s="1"/>
  <c r="Z588" i="5" s="1"/>
  <c r="Z600" i="5" s="1"/>
  <c r="Z612" i="5" s="1"/>
  <c r="Z624" i="5" s="1"/>
  <c r="Z636" i="5" s="1"/>
  <c r="Z648" i="5" s="1"/>
  <c r="Z660" i="5" s="1"/>
  <c r="Z672" i="5" s="1"/>
  <c r="Z684" i="5" s="1"/>
  <c r="Z696" i="5" s="1"/>
  <c r="Z708" i="5" s="1"/>
  <c r="Z720" i="5" s="1"/>
  <c r="Z732" i="5" s="1"/>
  <c r="Z744" i="5" s="1"/>
  <c r="Z756" i="5" s="1"/>
  <c r="Z768" i="5" s="1"/>
  <c r="Z780" i="5" s="1"/>
  <c r="Z792" i="5" s="1"/>
  <c r="Z804" i="5" s="1"/>
  <c r="Z816" i="5" s="1"/>
  <c r="Z828" i="5" s="1"/>
  <c r="Z840" i="5" s="1"/>
  <c r="Z852" i="5" s="1"/>
  <c r="Z864" i="5" s="1"/>
  <c r="Z876" i="5" s="1"/>
  <c r="Z888" i="5" s="1"/>
  <c r="Z900" i="5" s="1"/>
  <c r="Z912" i="5" s="1"/>
  <c r="Z924" i="5" s="1"/>
  <c r="Z936" i="5" s="1"/>
  <c r="Z948" i="5" s="1"/>
  <c r="Z960" i="5" s="1"/>
  <c r="Z972" i="5" s="1"/>
  <c r="Z984" i="5" s="1"/>
  <c r="Z996" i="5" s="1"/>
  <c r="Z10" i="5"/>
  <c r="Z22" i="5" s="1"/>
  <c r="Z34" i="5" s="1"/>
  <c r="Z46" i="5" s="1"/>
  <c r="Z58" i="5" s="1"/>
  <c r="Z70" i="5" s="1"/>
  <c r="Z82" i="5" s="1"/>
  <c r="Z94" i="5" s="1"/>
  <c r="Z106" i="5" s="1"/>
  <c r="Z118" i="5" s="1"/>
  <c r="Z130" i="5" s="1"/>
  <c r="Z142" i="5" s="1"/>
  <c r="Z154" i="5" s="1"/>
  <c r="Z166" i="5" s="1"/>
  <c r="Z178" i="5" s="1"/>
  <c r="Z190" i="5" s="1"/>
  <c r="Z202" i="5" s="1"/>
  <c r="Z214" i="5" s="1"/>
  <c r="Z226" i="5" s="1"/>
  <c r="Z238" i="5" s="1"/>
  <c r="Z250" i="5" s="1"/>
  <c r="Z262" i="5" s="1"/>
  <c r="Z274" i="5" s="1"/>
  <c r="Z286" i="5" s="1"/>
  <c r="Z298" i="5" s="1"/>
  <c r="Z310" i="5" s="1"/>
  <c r="Z322" i="5" s="1"/>
  <c r="Z334" i="5" s="1"/>
  <c r="Z346" i="5" s="1"/>
  <c r="Z358" i="5" s="1"/>
  <c r="Z370" i="5" s="1"/>
  <c r="Z382" i="5" s="1"/>
  <c r="Z394" i="5" s="1"/>
  <c r="Z406" i="5" s="1"/>
  <c r="Z418" i="5" s="1"/>
  <c r="Z430" i="5" s="1"/>
  <c r="Z442" i="5" s="1"/>
  <c r="Z454" i="5" s="1"/>
  <c r="Z466" i="5" s="1"/>
  <c r="Z478" i="5" s="1"/>
  <c r="Z490" i="5" s="1"/>
  <c r="Z502" i="5" s="1"/>
  <c r="Z514" i="5" s="1"/>
  <c r="Z526" i="5" s="1"/>
  <c r="Z538" i="5" s="1"/>
  <c r="Z550" i="5" s="1"/>
  <c r="Z562" i="5" s="1"/>
  <c r="Z574" i="5" s="1"/>
  <c r="Z586" i="5" s="1"/>
  <c r="Z598" i="5" s="1"/>
  <c r="Z610" i="5" s="1"/>
  <c r="Z622" i="5" s="1"/>
  <c r="Z634" i="5" s="1"/>
  <c r="Z646" i="5" s="1"/>
  <c r="Z658" i="5" s="1"/>
  <c r="Z670" i="5" s="1"/>
  <c r="Z682" i="5" s="1"/>
  <c r="Z694" i="5" s="1"/>
  <c r="Z706" i="5" s="1"/>
  <c r="Z718" i="5" s="1"/>
  <c r="Z730" i="5" s="1"/>
  <c r="Z742" i="5" s="1"/>
  <c r="Z754" i="5" s="1"/>
  <c r="Z766" i="5" s="1"/>
  <c r="Z778" i="5" s="1"/>
  <c r="Z790" i="5" s="1"/>
  <c r="Z802" i="5" s="1"/>
  <c r="Z814" i="5" s="1"/>
  <c r="Z826" i="5" s="1"/>
  <c r="Z838" i="5" s="1"/>
  <c r="Z850" i="5" s="1"/>
  <c r="Z862" i="5" s="1"/>
  <c r="Z874" i="5" s="1"/>
  <c r="Z886" i="5" s="1"/>
  <c r="Z898" i="5" s="1"/>
  <c r="Z910" i="5" s="1"/>
  <c r="Z922" i="5" s="1"/>
  <c r="Z934" i="5" s="1"/>
  <c r="Z946" i="5" s="1"/>
  <c r="Z958" i="5" s="1"/>
  <c r="Z970" i="5" s="1"/>
  <c r="Z982" i="5" s="1"/>
  <c r="Z994" i="5" s="1"/>
  <c r="Z8" i="5"/>
  <c r="Z6" i="5"/>
  <c r="Z4" i="5"/>
  <c r="AA7" i="5"/>
  <c r="AA11" i="5"/>
  <c r="AA23" i="5" s="1"/>
  <c r="AA35" i="5" s="1"/>
  <c r="AA47" i="5" s="1"/>
  <c r="AA59" i="5" s="1"/>
  <c r="AA71" i="5" s="1"/>
  <c r="AA83" i="5" s="1"/>
  <c r="AA95" i="5" s="1"/>
  <c r="AA107" i="5" s="1"/>
  <c r="AA119" i="5" s="1"/>
  <c r="AA131" i="5" s="1"/>
  <c r="AA143" i="5" s="1"/>
  <c r="AA155" i="5" s="1"/>
  <c r="AA167" i="5" s="1"/>
  <c r="AA179" i="5" s="1"/>
  <c r="AA191" i="5" s="1"/>
  <c r="AA203" i="5" s="1"/>
  <c r="AA215" i="5" s="1"/>
  <c r="AA227" i="5" s="1"/>
  <c r="AA239" i="5" s="1"/>
  <c r="AA251" i="5" s="1"/>
  <c r="AA263" i="5" s="1"/>
  <c r="AA275" i="5" s="1"/>
  <c r="AA287" i="5" s="1"/>
  <c r="AA299" i="5" s="1"/>
  <c r="AA311" i="5" s="1"/>
  <c r="AA323" i="5" s="1"/>
  <c r="AA335" i="5" s="1"/>
  <c r="AA347" i="5" s="1"/>
  <c r="AA359" i="5" s="1"/>
  <c r="AA371" i="5" s="1"/>
  <c r="AA383" i="5" s="1"/>
  <c r="AA395" i="5" s="1"/>
  <c r="AA407" i="5" s="1"/>
  <c r="AA419" i="5" s="1"/>
  <c r="AA431" i="5" s="1"/>
  <c r="AA443" i="5" s="1"/>
  <c r="AA455" i="5" s="1"/>
  <c r="AA467" i="5" s="1"/>
  <c r="AA479" i="5" s="1"/>
  <c r="AA491" i="5" s="1"/>
  <c r="AA503" i="5" s="1"/>
  <c r="AA515" i="5" s="1"/>
  <c r="AA527" i="5" s="1"/>
  <c r="AA539" i="5" s="1"/>
  <c r="AA551" i="5" s="1"/>
  <c r="AA563" i="5" s="1"/>
  <c r="AA575" i="5" s="1"/>
  <c r="AA587" i="5" s="1"/>
  <c r="AA599" i="5" s="1"/>
  <c r="AA611" i="5" s="1"/>
  <c r="AA623" i="5" s="1"/>
  <c r="AA635" i="5" s="1"/>
  <c r="AA647" i="5" s="1"/>
  <c r="AA659" i="5" s="1"/>
  <c r="AA671" i="5" s="1"/>
  <c r="AA683" i="5" s="1"/>
  <c r="AA695" i="5" s="1"/>
  <c r="AA707" i="5" s="1"/>
  <c r="AA719" i="5" s="1"/>
  <c r="AA731" i="5" s="1"/>
  <c r="AA743" i="5" s="1"/>
  <c r="AA755" i="5" s="1"/>
  <c r="AA767" i="5" s="1"/>
  <c r="AA779" i="5" s="1"/>
  <c r="AA791" i="5" s="1"/>
  <c r="AA803" i="5" s="1"/>
  <c r="AA815" i="5" s="1"/>
  <c r="AA827" i="5" s="1"/>
  <c r="AA839" i="5" s="1"/>
  <c r="AA851" i="5" s="1"/>
  <c r="AA863" i="5" s="1"/>
  <c r="AA875" i="5" s="1"/>
  <c r="AA887" i="5" s="1"/>
  <c r="AA899" i="5" s="1"/>
  <c r="AA911" i="5" s="1"/>
  <c r="AA923" i="5" s="1"/>
  <c r="AA935" i="5" s="1"/>
  <c r="AA947" i="5" s="1"/>
  <c r="AA959" i="5" s="1"/>
  <c r="AA971" i="5" s="1"/>
  <c r="AA983" i="5" s="1"/>
  <c r="AA995" i="5" s="1"/>
  <c r="AA15" i="5"/>
  <c r="AA27" i="5" s="1"/>
  <c r="AA39" i="5" s="1"/>
  <c r="AA51" i="5" s="1"/>
  <c r="AA63" i="5" s="1"/>
  <c r="AA75" i="5" s="1"/>
  <c r="AA87" i="5" s="1"/>
  <c r="AA99" i="5" s="1"/>
  <c r="AA111" i="5" s="1"/>
  <c r="AA123" i="5" s="1"/>
  <c r="AA135" i="5" s="1"/>
  <c r="AA147" i="5" s="1"/>
  <c r="AA159" i="5" s="1"/>
  <c r="AA171" i="5" s="1"/>
  <c r="AA183" i="5" s="1"/>
  <c r="AA195" i="5" s="1"/>
  <c r="AA207" i="5" s="1"/>
  <c r="AA219" i="5" s="1"/>
  <c r="AA231" i="5" s="1"/>
  <c r="AA243" i="5" s="1"/>
  <c r="AA255" i="5" s="1"/>
  <c r="AA267" i="5" s="1"/>
  <c r="AA279" i="5" s="1"/>
  <c r="AA291" i="5" s="1"/>
  <c r="AA303" i="5" s="1"/>
  <c r="AA315" i="5" s="1"/>
  <c r="AA327" i="5" s="1"/>
  <c r="AA339" i="5" s="1"/>
  <c r="AA351" i="5" s="1"/>
  <c r="AA363" i="5" s="1"/>
  <c r="AA375" i="5" s="1"/>
  <c r="AA387" i="5" s="1"/>
  <c r="AA399" i="5" s="1"/>
  <c r="AA411" i="5" s="1"/>
  <c r="AA423" i="5" s="1"/>
  <c r="AA435" i="5" s="1"/>
  <c r="AA447" i="5" s="1"/>
  <c r="AA459" i="5" s="1"/>
  <c r="AA471" i="5" s="1"/>
  <c r="AA483" i="5" s="1"/>
  <c r="AA495" i="5" s="1"/>
  <c r="AA507" i="5" s="1"/>
  <c r="AA519" i="5" s="1"/>
  <c r="AA531" i="5" s="1"/>
  <c r="AA543" i="5" s="1"/>
  <c r="AA555" i="5" s="1"/>
  <c r="AA567" i="5" s="1"/>
  <c r="AA579" i="5" s="1"/>
  <c r="AA591" i="5" s="1"/>
  <c r="AA603" i="5" s="1"/>
  <c r="AA615" i="5" s="1"/>
  <c r="AA627" i="5" s="1"/>
  <c r="AA639" i="5" s="1"/>
  <c r="AA651" i="5" s="1"/>
  <c r="AA663" i="5" s="1"/>
  <c r="AA675" i="5" s="1"/>
  <c r="AA687" i="5" s="1"/>
  <c r="AA699" i="5" s="1"/>
  <c r="AA711" i="5" s="1"/>
  <c r="AA723" i="5" s="1"/>
  <c r="AA735" i="5" s="1"/>
  <c r="AA747" i="5" s="1"/>
  <c r="AA759" i="5" s="1"/>
  <c r="AA771" i="5" s="1"/>
  <c r="AA783" i="5" s="1"/>
  <c r="AA795" i="5" s="1"/>
  <c r="AA807" i="5" s="1"/>
  <c r="AA819" i="5" s="1"/>
  <c r="AA831" i="5" s="1"/>
  <c r="AA843" i="5" s="1"/>
  <c r="AA855" i="5" s="1"/>
  <c r="AA867" i="5" s="1"/>
  <c r="AA879" i="5" s="1"/>
  <c r="AA891" i="5" s="1"/>
  <c r="AA903" i="5" s="1"/>
  <c r="AA915" i="5" s="1"/>
  <c r="AA927" i="5" s="1"/>
  <c r="AA939" i="5" s="1"/>
  <c r="AA951" i="5" s="1"/>
  <c r="AA963" i="5" s="1"/>
  <c r="AA975" i="5" s="1"/>
  <c r="AA987" i="5" s="1"/>
  <c r="AA999" i="5" s="1"/>
  <c r="AA19" i="5"/>
  <c r="AA31" i="5" s="1"/>
  <c r="AA43" i="5" s="1"/>
  <c r="AA55" i="5" s="1"/>
  <c r="AA67" i="5" s="1"/>
  <c r="AA79" i="5" s="1"/>
  <c r="AA91" i="5" s="1"/>
  <c r="AA103" i="5" s="1"/>
  <c r="AA115" i="5" s="1"/>
  <c r="AA127" i="5" s="1"/>
  <c r="AA139" i="5" s="1"/>
  <c r="AA151" i="5" s="1"/>
  <c r="AA163" i="5" s="1"/>
  <c r="AA175" i="5" s="1"/>
  <c r="AA187" i="5" s="1"/>
  <c r="AA199" i="5" s="1"/>
  <c r="AA211" i="5" s="1"/>
  <c r="AA223" i="5" s="1"/>
  <c r="AA235" i="5" s="1"/>
  <c r="AA247" i="5" s="1"/>
  <c r="AA259" i="5" s="1"/>
  <c r="AA271" i="5" s="1"/>
  <c r="AA283" i="5" s="1"/>
  <c r="AA295" i="5" s="1"/>
  <c r="AA307" i="5" s="1"/>
  <c r="AA319" i="5" s="1"/>
  <c r="AA331" i="5" s="1"/>
  <c r="AA343" i="5" s="1"/>
  <c r="AA355" i="5" s="1"/>
  <c r="AA367" i="5" s="1"/>
  <c r="AA379" i="5" s="1"/>
  <c r="AA391" i="5" s="1"/>
  <c r="AA403" i="5" s="1"/>
  <c r="AA415" i="5" s="1"/>
  <c r="AA427" i="5" s="1"/>
  <c r="AA439" i="5" s="1"/>
  <c r="AA451" i="5" s="1"/>
  <c r="AA463" i="5" s="1"/>
  <c r="AA475" i="5" s="1"/>
  <c r="AA487" i="5" s="1"/>
  <c r="AA499" i="5" s="1"/>
  <c r="AA511" i="5" s="1"/>
  <c r="AA523" i="5" s="1"/>
  <c r="AA535" i="5" s="1"/>
  <c r="AA547" i="5" s="1"/>
  <c r="AA559" i="5" s="1"/>
  <c r="AA571" i="5" s="1"/>
  <c r="AA583" i="5" s="1"/>
  <c r="AA595" i="5" s="1"/>
  <c r="AA607" i="5" s="1"/>
  <c r="AA619" i="5" s="1"/>
  <c r="AA631" i="5" s="1"/>
  <c r="AA643" i="5" s="1"/>
  <c r="AA655" i="5" s="1"/>
  <c r="AA667" i="5" s="1"/>
  <c r="AA679" i="5" s="1"/>
  <c r="AA691" i="5" s="1"/>
  <c r="AA703" i="5" s="1"/>
  <c r="AA715" i="5" s="1"/>
  <c r="AA727" i="5" s="1"/>
  <c r="AA739" i="5" s="1"/>
  <c r="AA751" i="5" s="1"/>
  <c r="AA763" i="5" s="1"/>
  <c r="AA775" i="5" s="1"/>
  <c r="AA787" i="5" s="1"/>
  <c r="AA799" i="5" s="1"/>
  <c r="AA811" i="5" s="1"/>
  <c r="AA823" i="5" s="1"/>
  <c r="AA835" i="5" s="1"/>
  <c r="AA847" i="5" s="1"/>
  <c r="AA859" i="5" s="1"/>
  <c r="AA871" i="5" s="1"/>
  <c r="AA883" i="5" s="1"/>
  <c r="AA895" i="5" s="1"/>
  <c r="AA907" i="5" s="1"/>
  <c r="AA919" i="5" s="1"/>
  <c r="AA931" i="5" s="1"/>
  <c r="AA943" i="5" s="1"/>
  <c r="AA955" i="5" s="1"/>
  <c r="AA967" i="5" s="1"/>
  <c r="AA979" i="5" s="1"/>
  <c r="AA991" i="5" s="1"/>
  <c r="AA1003" i="5" s="1"/>
  <c r="N841" i="5"/>
  <c r="B853" i="5"/>
  <c r="N839" i="5"/>
  <c r="B851" i="5"/>
  <c r="N837" i="5"/>
  <c r="B849" i="5"/>
  <c r="N833" i="5"/>
  <c r="B845" i="5"/>
  <c r="N831" i="5"/>
  <c r="B843" i="5"/>
  <c r="N475" i="5"/>
  <c r="B487" i="5"/>
  <c r="N134" i="5"/>
  <c r="B146" i="5"/>
  <c r="N130" i="5"/>
  <c r="B142" i="5"/>
  <c r="N126" i="5"/>
  <c r="B138" i="5"/>
  <c r="N132" i="5"/>
  <c r="B144" i="5"/>
  <c r="N128" i="5"/>
  <c r="B140" i="5"/>
  <c r="N124" i="5"/>
  <c r="B136" i="5"/>
  <c r="M139" i="5"/>
  <c r="N139" i="5" s="1"/>
  <c r="M137" i="5"/>
  <c r="N137" i="5" s="1"/>
  <c r="M135" i="5"/>
  <c r="N135" i="5" s="1"/>
  <c r="M133" i="5"/>
  <c r="N133" i="5" s="1"/>
  <c r="M131" i="5"/>
  <c r="N131" i="5" s="1"/>
  <c r="M129" i="5"/>
  <c r="N129" i="5" s="1"/>
  <c r="M127" i="5"/>
  <c r="N127" i="5" s="1"/>
  <c r="M125" i="5"/>
  <c r="N125" i="5" s="1"/>
  <c r="M123" i="5"/>
  <c r="N123" i="5" s="1"/>
  <c r="M122" i="5"/>
  <c r="N122" i="5" s="1"/>
  <c r="M120" i="5"/>
  <c r="N120" i="5" s="1"/>
  <c r="M118" i="5"/>
  <c r="N118" i="5" s="1"/>
  <c r="M116" i="5"/>
  <c r="N116" i="5" s="1"/>
  <c r="M114" i="5"/>
  <c r="N114" i="5" s="1"/>
  <c r="M112" i="5"/>
  <c r="N112" i="5" s="1"/>
  <c r="M110" i="5"/>
  <c r="N110" i="5" s="1"/>
  <c r="M108" i="5"/>
  <c r="N108" i="5" s="1"/>
  <c r="M106" i="5"/>
  <c r="N106" i="5" s="1"/>
  <c r="M104" i="5"/>
  <c r="N104" i="5" s="1"/>
  <c r="M102" i="5"/>
  <c r="N102" i="5" s="1"/>
  <c r="M100" i="5"/>
  <c r="N100" i="5" s="1"/>
  <c r="M98" i="5"/>
  <c r="N98" i="5" s="1"/>
  <c r="M96" i="5"/>
  <c r="N96" i="5" s="1"/>
  <c r="M94" i="5"/>
  <c r="N94" i="5" s="1"/>
  <c r="M92" i="5"/>
  <c r="N92" i="5" s="1"/>
  <c r="M90" i="5"/>
  <c r="N90" i="5" s="1"/>
  <c r="M88" i="5"/>
  <c r="N88" i="5" s="1"/>
  <c r="M86" i="5"/>
  <c r="N86" i="5" s="1"/>
  <c r="M84" i="5"/>
  <c r="N84" i="5" s="1"/>
  <c r="M82" i="5"/>
  <c r="N82" i="5" s="1"/>
  <c r="M80" i="5"/>
  <c r="N80" i="5" s="1"/>
  <c r="M78" i="5"/>
  <c r="N78" i="5" s="1"/>
  <c r="M76" i="5"/>
  <c r="N76" i="5" s="1"/>
  <c r="M74" i="5"/>
  <c r="N74" i="5" s="1"/>
  <c r="M72" i="5"/>
  <c r="N72" i="5" s="1"/>
  <c r="M70" i="5"/>
  <c r="N70" i="5" s="1"/>
  <c r="M68" i="5"/>
  <c r="N68" i="5" s="1"/>
  <c r="M66" i="5"/>
  <c r="N66" i="5" s="1"/>
  <c r="M64" i="5"/>
  <c r="N64" i="5" s="1"/>
  <c r="M62" i="5"/>
  <c r="N62" i="5" s="1"/>
  <c r="M60" i="5"/>
  <c r="N60" i="5" s="1"/>
  <c r="M58" i="5"/>
  <c r="N58" i="5" s="1"/>
  <c r="M56" i="5"/>
  <c r="N56" i="5" s="1"/>
  <c r="M54" i="5"/>
  <c r="N54" i="5" s="1"/>
  <c r="M52" i="5"/>
  <c r="N52" i="5" s="1"/>
  <c r="M50" i="5"/>
  <c r="N50" i="5" s="1"/>
  <c r="M48" i="5"/>
  <c r="N48" i="5" s="1"/>
  <c r="M46" i="5"/>
  <c r="N46" i="5" s="1"/>
  <c r="M44" i="5"/>
  <c r="N44" i="5" s="1"/>
  <c r="M42" i="5"/>
  <c r="N42" i="5" s="1"/>
  <c r="M40" i="5"/>
  <c r="N40" i="5" s="1"/>
  <c r="M38" i="5"/>
  <c r="N38" i="5" s="1"/>
  <c r="M36" i="5"/>
  <c r="N36" i="5" s="1"/>
  <c r="M34" i="5"/>
  <c r="N34" i="5" s="1"/>
  <c r="M32" i="5"/>
  <c r="N32" i="5" s="1"/>
  <c r="M30" i="5"/>
  <c r="N30" i="5" s="1"/>
  <c r="M28" i="5"/>
  <c r="N28" i="5" s="1"/>
  <c r="M26" i="5"/>
  <c r="N26" i="5" s="1"/>
  <c r="M24" i="5"/>
  <c r="N24" i="5" s="1"/>
  <c r="M22" i="5"/>
  <c r="N22" i="5" s="1"/>
  <c r="M20" i="5"/>
  <c r="N20" i="5" s="1"/>
  <c r="M18" i="5"/>
  <c r="N18" i="5" s="1"/>
  <c r="M16" i="5"/>
  <c r="N16" i="5" s="1"/>
  <c r="M14" i="5"/>
  <c r="N14" i="5" s="1"/>
  <c r="M12" i="5"/>
  <c r="N12" i="5" s="1"/>
  <c r="M10" i="5"/>
  <c r="N10" i="5" s="1"/>
  <c r="M8" i="5"/>
  <c r="N8" i="5" s="1"/>
  <c r="M6" i="5"/>
  <c r="N6" i="5" s="1"/>
  <c r="M4" i="5"/>
  <c r="N4" i="5" s="1"/>
  <c r="F965" i="5"/>
  <c r="F961" i="5"/>
  <c r="F953" i="5"/>
  <c r="F949" i="5"/>
  <c r="F941" i="5"/>
  <c r="F709" i="5"/>
  <c r="F701" i="5"/>
  <c r="F697" i="5"/>
  <c r="F689" i="5"/>
  <c r="F685" i="5"/>
  <c r="F677" i="5"/>
  <c r="F673" i="5"/>
  <c r="F665" i="5"/>
  <c r="F661" i="5"/>
  <c r="F473" i="5"/>
  <c r="F469" i="5"/>
  <c r="F461" i="5"/>
  <c r="F457" i="5"/>
  <c r="F337" i="5"/>
  <c r="F329" i="5"/>
  <c r="F325" i="5"/>
  <c r="F317" i="5"/>
  <c r="F313" i="5"/>
  <c r="F221" i="5"/>
  <c r="F217" i="5"/>
  <c r="F209" i="5"/>
  <c r="F205" i="5"/>
  <c r="F103" i="5"/>
  <c r="C115" i="5"/>
  <c r="F99" i="5"/>
  <c r="C111" i="5"/>
  <c r="F89" i="5"/>
  <c r="F85" i="5"/>
  <c r="F77" i="5"/>
  <c r="F73" i="5"/>
  <c r="F91" i="5"/>
  <c r="F87" i="5"/>
  <c r="F79" i="5"/>
  <c r="F75" i="5"/>
  <c r="H25" i="5"/>
  <c r="H35" i="5"/>
  <c r="F23" i="5"/>
  <c r="C35" i="5"/>
  <c r="F19" i="5"/>
  <c r="H17" i="5"/>
  <c r="H15" i="5"/>
  <c r="F15" i="5"/>
  <c r="B55" i="3"/>
  <c r="F11" i="5"/>
  <c r="F7" i="5"/>
  <c r="H4" i="5"/>
  <c r="H6" i="5"/>
  <c r="H8" i="5"/>
  <c r="H10" i="5"/>
  <c r="H5" i="5"/>
  <c r="H9" i="5"/>
  <c r="H12" i="5"/>
  <c r="H14" i="5"/>
  <c r="H16" i="5"/>
  <c r="H18" i="5"/>
  <c r="H20" i="5"/>
  <c r="D3" i="5"/>
  <c r="D5" i="5"/>
  <c r="D7" i="5"/>
  <c r="D9" i="5"/>
  <c r="D11" i="5"/>
  <c r="D4" i="5"/>
  <c r="D8" i="5"/>
  <c r="D13" i="5"/>
  <c r="F13" i="5" s="1"/>
  <c r="D15" i="5"/>
  <c r="D17" i="5"/>
  <c r="F17" i="5" s="1"/>
  <c r="D19" i="5"/>
  <c r="C4" i="5"/>
  <c r="F4" i="5" s="1"/>
  <c r="C6" i="5"/>
  <c r="C8" i="5"/>
  <c r="F8" i="5" s="1"/>
  <c r="C10" i="5"/>
  <c r="C5" i="5"/>
  <c r="F5" i="5" s="1"/>
  <c r="C9" i="5"/>
  <c r="C12" i="5"/>
  <c r="C14" i="5"/>
  <c r="C16" i="5"/>
  <c r="C18" i="5"/>
  <c r="C20" i="5"/>
  <c r="B53" i="3"/>
  <c r="C53" i="3" s="1"/>
  <c r="E3" i="5"/>
  <c r="E4" i="5"/>
  <c r="E6" i="5"/>
  <c r="E8" i="5"/>
  <c r="E10" i="5"/>
  <c r="H39" i="3"/>
  <c r="G39" i="3"/>
  <c r="CE1000" i="15"/>
  <c r="CE1002" i="15"/>
  <c r="CE1004" i="15"/>
  <c r="CE1006" i="15"/>
  <c r="CE1008" i="15"/>
  <c r="CE1010" i="15"/>
  <c r="CE1012" i="15"/>
  <c r="CE1014" i="15"/>
  <c r="CE1016" i="15"/>
  <c r="CE1018" i="15"/>
  <c r="CE1020" i="15"/>
  <c r="CE1022" i="15"/>
  <c r="CE1024" i="15"/>
  <c r="CE1026" i="15"/>
  <c r="J4" i="5" l="1"/>
  <c r="J6" i="5"/>
  <c r="J8" i="5"/>
  <c r="J10" i="5"/>
  <c r="J3" i="5"/>
  <c r="J7" i="5"/>
  <c r="J11" i="5"/>
  <c r="J12" i="5"/>
  <c r="J14" i="5"/>
  <c r="J16" i="5"/>
  <c r="J18" i="5"/>
  <c r="J20" i="5"/>
  <c r="J13" i="5"/>
  <c r="J15" i="5"/>
  <c r="J17" i="5"/>
  <c r="J19" i="5"/>
  <c r="J22" i="5"/>
  <c r="J24" i="5"/>
  <c r="J26" i="5"/>
  <c r="J28" i="5"/>
  <c r="J5" i="5"/>
  <c r="J9" i="5"/>
  <c r="J21" i="5"/>
  <c r="J23" i="5"/>
  <c r="J25" i="5"/>
  <c r="J27" i="5"/>
  <c r="J29" i="5"/>
  <c r="J31" i="5"/>
  <c r="J33" i="5"/>
  <c r="J35" i="5"/>
  <c r="J37" i="5"/>
  <c r="J39" i="5"/>
  <c r="J41" i="5"/>
  <c r="J43" i="5"/>
  <c r="J45" i="5"/>
  <c r="J32" i="5"/>
  <c r="J36" i="5"/>
  <c r="J38" i="5"/>
  <c r="J40" i="5"/>
  <c r="J42" i="5"/>
  <c r="J47" i="5"/>
  <c r="J49" i="5"/>
  <c r="J51" i="5"/>
  <c r="J53" i="5"/>
  <c r="J55" i="5"/>
  <c r="J57" i="5"/>
  <c r="J59" i="5"/>
  <c r="J61" i="5"/>
  <c r="J63" i="5"/>
  <c r="J65" i="5"/>
  <c r="J67" i="5"/>
  <c r="J69" i="5"/>
  <c r="J30" i="5"/>
  <c r="J34" i="5"/>
  <c r="J44" i="5"/>
  <c r="J46" i="5"/>
  <c r="J48" i="5"/>
  <c r="J50" i="5"/>
  <c r="J52" i="5"/>
  <c r="J54" i="5"/>
  <c r="J56" i="5"/>
  <c r="J58" i="5"/>
  <c r="J60" i="5"/>
  <c r="J62" i="5"/>
  <c r="J64" i="5"/>
  <c r="J66" i="5"/>
  <c r="J68" i="5"/>
  <c r="J70" i="5"/>
  <c r="J72" i="5"/>
  <c r="J74" i="5"/>
  <c r="J76" i="5"/>
  <c r="J78" i="5"/>
  <c r="J80" i="5"/>
  <c r="J82" i="5"/>
  <c r="J84" i="5"/>
  <c r="J86" i="5"/>
  <c r="J88" i="5"/>
  <c r="J90" i="5"/>
  <c r="J92" i="5"/>
  <c r="J94" i="5"/>
  <c r="J71" i="5"/>
  <c r="J75" i="5"/>
  <c r="J79" i="5"/>
  <c r="J83" i="5"/>
  <c r="J87" i="5"/>
  <c r="J91" i="5"/>
  <c r="J95" i="5"/>
  <c r="J96" i="5"/>
  <c r="J98" i="5"/>
  <c r="J100" i="5"/>
  <c r="J102" i="5"/>
  <c r="J104" i="5"/>
  <c r="J106" i="5"/>
  <c r="J108" i="5"/>
  <c r="J110" i="5"/>
  <c r="J112" i="5"/>
  <c r="J114" i="5"/>
  <c r="J116" i="5"/>
  <c r="J118" i="5"/>
  <c r="J120" i="5"/>
  <c r="J122" i="5"/>
  <c r="J124" i="5"/>
  <c r="J73" i="5"/>
  <c r="J77" i="5"/>
  <c r="J81" i="5"/>
  <c r="J85" i="5"/>
  <c r="J89" i="5"/>
  <c r="J93" i="5"/>
  <c r="J97" i="5"/>
  <c r="J99" i="5"/>
  <c r="J101" i="5"/>
  <c r="J103" i="5"/>
  <c r="J105" i="5"/>
  <c r="J107" i="5"/>
  <c r="J109" i="5"/>
  <c r="J111" i="5"/>
  <c r="J113" i="5"/>
  <c r="J115" i="5"/>
  <c r="J117" i="5"/>
  <c r="J119" i="5"/>
  <c r="J121" i="5"/>
  <c r="J123" i="5"/>
  <c r="J125" i="5"/>
  <c r="J127" i="5"/>
  <c r="J129" i="5"/>
  <c r="J131" i="5"/>
  <c r="J133" i="5"/>
  <c r="J135" i="5"/>
  <c r="J137" i="5"/>
  <c r="J139" i="5"/>
  <c r="J141" i="5"/>
  <c r="J143" i="5"/>
  <c r="J145" i="5"/>
  <c r="J126" i="5"/>
  <c r="J128" i="5"/>
  <c r="J132" i="5"/>
  <c r="J134" i="5"/>
  <c r="J142" i="5"/>
  <c r="J147" i="5"/>
  <c r="J149" i="5"/>
  <c r="J151" i="5"/>
  <c r="J153" i="5"/>
  <c r="J155" i="5"/>
  <c r="J157" i="5"/>
  <c r="J159" i="5"/>
  <c r="J161" i="5"/>
  <c r="J163" i="5"/>
  <c r="J165" i="5"/>
  <c r="J167" i="5"/>
  <c r="J169" i="5"/>
  <c r="J171" i="5"/>
  <c r="J173" i="5"/>
  <c r="J175" i="5"/>
  <c r="J177" i="5"/>
  <c r="J179" i="5"/>
  <c r="J181" i="5"/>
  <c r="J183" i="5"/>
  <c r="J185" i="5"/>
  <c r="J187" i="5"/>
  <c r="J189" i="5"/>
  <c r="J191" i="5"/>
  <c r="J193" i="5"/>
  <c r="J195" i="5"/>
  <c r="J197" i="5"/>
  <c r="J199" i="5"/>
  <c r="J130" i="5"/>
  <c r="J136" i="5"/>
  <c r="J138" i="5"/>
  <c r="J140" i="5"/>
  <c r="J144" i="5"/>
  <c r="J146" i="5"/>
  <c r="J148" i="5"/>
  <c r="J150" i="5"/>
  <c r="J152" i="5"/>
  <c r="J154" i="5"/>
  <c r="J156" i="5"/>
  <c r="J158" i="5"/>
  <c r="J160" i="5"/>
  <c r="J162" i="5"/>
  <c r="J164" i="5"/>
  <c r="J166" i="5"/>
  <c r="J168" i="5"/>
  <c r="J170" i="5"/>
  <c r="J172" i="5"/>
  <c r="J174" i="5"/>
  <c r="J176" i="5"/>
  <c r="J178" i="5"/>
  <c r="J180" i="5"/>
  <c r="J182" i="5"/>
  <c r="J184" i="5"/>
  <c r="J186" i="5"/>
  <c r="J188" i="5"/>
  <c r="J190" i="5"/>
  <c r="J192" i="5"/>
  <c r="J194" i="5"/>
  <c r="J196" i="5"/>
  <c r="J198" i="5"/>
  <c r="J200" i="5"/>
  <c r="J202" i="5"/>
  <c r="J204" i="5"/>
  <c r="J206" i="5"/>
  <c r="J208" i="5"/>
  <c r="J210" i="5"/>
  <c r="J212" i="5"/>
  <c r="J214" i="5"/>
  <c r="J216" i="5"/>
  <c r="J218" i="5"/>
  <c r="J220" i="5"/>
  <c r="J222" i="5"/>
  <c r="J224" i="5"/>
  <c r="J226" i="5"/>
  <c r="J228" i="5"/>
  <c r="J201" i="5"/>
  <c r="J205" i="5"/>
  <c r="J209" i="5"/>
  <c r="J213" i="5"/>
  <c r="J217" i="5"/>
  <c r="J221" i="5"/>
  <c r="J225" i="5"/>
  <c r="J229" i="5"/>
  <c r="J231" i="5"/>
  <c r="J233" i="5"/>
  <c r="J235" i="5"/>
  <c r="J237" i="5"/>
  <c r="J239" i="5"/>
  <c r="J241" i="5"/>
  <c r="J243" i="5"/>
  <c r="J245" i="5"/>
  <c r="J247" i="5"/>
  <c r="J249" i="5"/>
  <c r="J251" i="5"/>
  <c r="J253" i="5"/>
  <c r="J255" i="5"/>
  <c r="J257" i="5"/>
  <c r="J259" i="5"/>
  <c r="J261" i="5"/>
  <c r="J263" i="5"/>
  <c r="J265" i="5"/>
  <c r="J267" i="5"/>
  <c r="J269" i="5"/>
  <c r="J271" i="5"/>
  <c r="J273" i="5"/>
  <c r="J275" i="5"/>
  <c r="J277" i="5"/>
  <c r="J279" i="5"/>
  <c r="J281" i="5"/>
  <c r="J283" i="5"/>
  <c r="J285" i="5"/>
  <c r="J287" i="5"/>
  <c r="J289" i="5"/>
  <c r="J291" i="5"/>
  <c r="J293" i="5"/>
  <c r="J295" i="5"/>
  <c r="J297" i="5"/>
  <c r="J299" i="5"/>
  <c r="J301" i="5"/>
  <c r="J303" i="5"/>
  <c r="J305" i="5"/>
  <c r="J307" i="5"/>
  <c r="J203" i="5"/>
  <c r="J207" i="5"/>
  <c r="J211" i="5"/>
  <c r="J215" i="5"/>
  <c r="J219" i="5"/>
  <c r="J223" i="5"/>
  <c r="J227" i="5"/>
  <c r="J230" i="5"/>
  <c r="J232" i="5"/>
  <c r="J234" i="5"/>
  <c r="J236" i="5"/>
  <c r="J238" i="5"/>
  <c r="J240" i="5"/>
  <c r="J242" i="5"/>
  <c r="J244" i="5"/>
  <c r="J246" i="5"/>
  <c r="J248" i="5"/>
  <c r="J250" i="5"/>
  <c r="J252" i="5"/>
  <c r="J254" i="5"/>
  <c r="J256" i="5"/>
  <c r="J258" i="5"/>
  <c r="J260" i="5"/>
  <c r="J262" i="5"/>
  <c r="J264" i="5"/>
  <c r="J266" i="5"/>
  <c r="J268" i="5"/>
  <c r="J270" i="5"/>
  <c r="J272" i="5"/>
  <c r="J274" i="5"/>
  <c r="J276" i="5"/>
  <c r="J278" i="5"/>
  <c r="J280" i="5"/>
  <c r="J282" i="5"/>
  <c r="J284" i="5"/>
  <c r="J286" i="5"/>
  <c r="J288" i="5"/>
  <c r="J290" i="5"/>
  <c r="J292" i="5"/>
  <c r="J294" i="5"/>
  <c r="J296" i="5"/>
  <c r="J298" i="5"/>
  <c r="J300" i="5"/>
  <c r="J302" i="5"/>
  <c r="J304" i="5"/>
  <c r="J306" i="5"/>
  <c r="J308" i="5"/>
  <c r="J310" i="5"/>
  <c r="J312" i="5"/>
  <c r="J314" i="5"/>
  <c r="J316" i="5"/>
  <c r="J318" i="5"/>
  <c r="J320" i="5"/>
  <c r="J322" i="5"/>
  <c r="J324" i="5"/>
  <c r="J326" i="5"/>
  <c r="J328" i="5"/>
  <c r="J330" i="5"/>
  <c r="J332" i="5"/>
  <c r="J334" i="5"/>
  <c r="J336" i="5"/>
  <c r="J311" i="5"/>
  <c r="J315" i="5"/>
  <c r="J319" i="5"/>
  <c r="J323" i="5"/>
  <c r="J327" i="5"/>
  <c r="J331" i="5"/>
  <c r="J335" i="5"/>
  <c r="J337" i="5"/>
  <c r="J339" i="5"/>
  <c r="J341" i="5"/>
  <c r="J343" i="5"/>
  <c r="J345" i="5"/>
  <c r="J347" i="5"/>
  <c r="J349" i="5"/>
  <c r="J351" i="5"/>
  <c r="J353" i="5"/>
  <c r="J355" i="5"/>
  <c r="J357" i="5"/>
  <c r="J359" i="5"/>
  <c r="J361" i="5"/>
  <c r="J363" i="5"/>
  <c r="J365" i="5"/>
  <c r="J367" i="5"/>
  <c r="J369" i="5"/>
  <c r="J371" i="5"/>
  <c r="J373" i="5"/>
  <c r="J375" i="5"/>
  <c r="J377" i="5"/>
  <c r="J379" i="5"/>
  <c r="J381" i="5"/>
  <c r="J383" i="5"/>
  <c r="J385" i="5"/>
  <c r="J387" i="5"/>
  <c r="J389" i="5"/>
  <c r="J391" i="5"/>
  <c r="J393" i="5"/>
  <c r="J395" i="5"/>
  <c r="J397" i="5"/>
  <c r="J399" i="5"/>
  <c r="J401" i="5"/>
  <c r="J403" i="5"/>
  <c r="J405" i="5"/>
  <c r="J407" i="5"/>
  <c r="J409" i="5"/>
  <c r="J411" i="5"/>
  <c r="J413" i="5"/>
  <c r="J415" i="5"/>
  <c r="J417" i="5"/>
  <c r="J419" i="5"/>
  <c r="J421" i="5"/>
  <c r="J423" i="5"/>
  <c r="J425" i="5"/>
  <c r="J427" i="5"/>
  <c r="J429" i="5"/>
  <c r="J431" i="5"/>
  <c r="J433" i="5"/>
  <c r="J435" i="5"/>
  <c r="J437" i="5"/>
  <c r="J439" i="5"/>
  <c r="J441" i="5"/>
  <c r="J443" i="5"/>
  <c r="J445" i="5"/>
  <c r="J447" i="5"/>
  <c r="J449" i="5"/>
  <c r="J309" i="5"/>
  <c r="J313" i="5"/>
  <c r="J317" i="5"/>
  <c r="J321" i="5"/>
  <c r="J325" i="5"/>
  <c r="J329" i="5"/>
  <c r="J333" i="5"/>
  <c r="J338" i="5"/>
  <c r="J340" i="5"/>
  <c r="J342" i="5"/>
  <c r="J344" i="5"/>
  <c r="J346" i="5"/>
  <c r="J348" i="5"/>
  <c r="J350" i="5"/>
  <c r="J352" i="5"/>
  <c r="J354" i="5"/>
  <c r="J356" i="5"/>
  <c r="J358" i="5"/>
  <c r="J360" i="5"/>
  <c r="J362" i="5"/>
  <c r="J364" i="5"/>
  <c r="J366" i="5"/>
  <c r="J368" i="5"/>
  <c r="J370" i="5"/>
  <c r="J372" i="5"/>
  <c r="J374" i="5"/>
  <c r="J376" i="5"/>
  <c r="J378" i="5"/>
  <c r="J380" i="5"/>
  <c r="J382" i="5"/>
  <c r="J384" i="5"/>
  <c r="J386" i="5"/>
  <c r="J388" i="5"/>
  <c r="J390" i="5"/>
  <c r="J392" i="5"/>
  <c r="J394" i="5"/>
  <c r="J396" i="5"/>
  <c r="J398" i="5"/>
  <c r="J400" i="5"/>
  <c r="J402" i="5"/>
  <c r="J404" i="5"/>
  <c r="J406" i="5"/>
  <c r="J408" i="5"/>
  <c r="J410" i="5"/>
  <c r="J412" i="5"/>
  <c r="J414" i="5"/>
  <c r="J416" i="5"/>
  <c r="J418" i="5"/>
  <c r="J420" i="5"/>
  <c r="J422" i="5"/>
  <c r="J424" i="5"/>
  <c r="J426" i="5"/>
  <c r="J428" i="5"/>
  <c r="J430" i="5"/>
  <c r="J432" i="5"/>
  <c r="J434" i="5"/>
  <c r="J436" i="5"/>
  <c r="J438" i="5"/>
  <c r="J440" i="5"/>
  <c r="J442" i="5"/>
  <c r="J444" i="5"/>
  <c r="J446" i="5"/>
  <c r="J448" i="5"/>
  <c r="J450" i="5"/>
  <c r="J452" i="5"/>
  <c r="J454" i="5"/>
  <c r="J456" i="5"/>
  <c r="J458" i="5"/>
  <c r="J460" i="5"/>
  <c r="J462" i="5"/>
  <c r="J464" i="5"/>
  <c r="J466" i="5"/>
  <c r="J468" i="5"/>
  <c r="J470" i="5"/>
  <c r="J472" i="5"/>
  <c r="J474" i="5"/>
  <c r="J476" i="5"/>
  <c r="J478" i="5"/>
  <c r="J453" i="5"/>
  <c r="J457" i="5"/>
  <c r="J461" i="5"/>
  <c r="J465" i="5"/>
  <c r="J469" i="5"/>
  <c r="J473" i="5"/>
  <c r="J477" i="5"/>
  <c r="J479" i="5"/>
  <c r="J481" i="5"/>
  <c r="J483" i="5"/>
  <c r="J485" i="5"/>
  <c r="J487" i="5"/>
  <c r="J489" i="5"/>
  <c r="J491" i="5"/>
  <c r="J493" i="5"/>
  <c r="J495" i="5"/>
  <c r="J497" i="5"/>
  <c r="J499" i="5"/>
  <c r="J501" i="5"/>
  <c r="J503" i="5"/>
  <c r="J505" i="5"/>
  <c r="J507" i="5"/>
  <c r="J509" i="5"/>
  <c r="J511" i="5"/>
  <c r="J513" i="5"/>
  <c r="J515" i="5"/>
  <c r="J517" i="5"/>
  <c r="J519" i="5"/>
  <c r="J521" i="5"/>
  <c r="J523" i="5"/>
  <c r="J525" i="5"/>
  <c r="J527" i="5"/>
  <c r="J529" i="5"/>
  <c r="J531" i="5"/>
  <c r="J533" i="5"/>
  <c r="J535" i="5"/>
  <c r="J537" i="5"/>
  <c r="J539" i="5"/>
  <c r="J541" i="5"/>
  <c r="J543" i="5"/>
  <c r="J545" i="5"/>
  <c r="J547" i="5"/>
  <c r="J549" i="5"/>
  <c r="J551" i="5"/>
  <c r="J553" i="5"/>
  <c r="J555" i="5"/>
  <c r="J557" i="5"/>
  <c r="J559" i="5"/>
  <c r="J561" i="5"/>
  <c r="J563" i="5"/>
  <c r="J565" i="5"/>
  <c r="J567" i="5"/>
  <c r="J569" i="5"/>
  <c r="J571" i="5"/>
  <c r="J573" i="5"/>
  <c r="J575" i="5"/>
  <c r="J577" i="5"/>
  <c r="J579" i="5"/>
  <c r="J581" i="5"/>
  <c r="J583" i="5"/>
  <c r="J585" i="5"/>
  <c r="J587" i="5"/>
  <c r="J589" i="5"/>
  <c r="J591" i="5"/>
  <c r="J593" i="5"/>
  <c r="J595" i="5"/>
  <c r="J597" i="5"/>
  <c r="J599" i="5"/>
  <c r="J601" i="5"/>
  <c r="J603" i="5"/>
  <c r="J605" i="5"/>
  <c r="J607" i="5"/>
  <c r="J609" i="5"/>
  <c r="J611" i="5"/>
  <c r="J613" i="5"/>
  <c r="J615" i="5"/>
  <c r="J617" i="5"/>
  <c r="J619" i="5"/>
  <c r="J621" i="5"/>
  <c r="J623" i="5"/>
  <c r="J625" i="5"/>
  <c r="J627" i="5"/>
  <c r="J629" i="5"/>
  <c r="J631" i="5"/>
  <c r="J633" i="5"/>
  <c r="J635" i="5"/>
  <c r="J637" i="5"/>
  <c r="J639" i="5"/>
  <c r="J641" i="5"/>
  <c r="J643" i="5"/>
  <c r="J645" i="5"/>
  <c r="J647" i="5"/>
  <c r="J649" i="5"/>
  <c r="J651" i="5"/>
  <c r="J653" i="5"/>
  <c r="J655" i="5"/>
  <c r="J451" i="5"/>
  <c r="J455" i="5"/>
  <c r="J459" i="5"/>
  <c r="J463" i="5"/>
  <c r="J467" i="5"/>
  <c r="J471" i="5"/>
  <c r="J475" i="5"/>
  <c r="J480" i="5"/>
  <c r="J482" i="5"/>
  <c r="J484" i="5"/>
  <c r="J486" i="5"/>
  <c r="J488" i="5"/>
  <c r="J490" i="5"/>
  <c r="J492" i="5"/>
  <c r="J494" i="5"/>
  <c r="J496" i="5"/>
  <c r="J498" i="5"/>
  <c r="J500" i="5"/>
  <c r="J502" i="5"/>
  <c r="J504" i="5"/>
  <c r="J506" i="5"/>
  <c r="J508" i="5"/>
  <c r="J510" i="5"/>
  <c r="J512" i="5"/>
  <c r="J514" i="5"/>
  <c r="J516" i="5"/>
  <c r="J518" i="5"/>
  <c r="J520" i="5"/>
  <c r="J522" i="5"/>
  <c r="J524" i="5"/>
  <c r="J526" i="5"/>
  <c r="J528" i="5"/>
  <c r="J530" i="5"/>
  <c r="J532" i="5"/>
  <c r="J534" i="5"/>
  <c r="J536" i="5"/>
  <c r="J538" i="5"/>
  <c r="J540" i="5"/>
  <c r="J542" i="5"/>
  <c r="J544" i="5"/>
  <c r="J546" i="5"/>
  <c r="J548" i="5"/>
  <c r="J550" i="5"/>
  <c r="J552" i="5"/>
  <c r="J554" i="5"/>
  <c r="J556" i="5"/>
  <c r="J558" i="5"/>
  <c r="J560" i="5"/>
  <c r="J562" i="5"/>
  <c r="J564" i="5"/>
  <c r="J566" i="5"/>
  <c r="J568" i="5"/>
  <c r="J570" i="5"/>
  <c r="J572" i="5"/>
  <c r="J574" i="5"/>
  <c r="J576" i="5"/>
  <c r="J578" i="5"/>
  <c r="J580" i="5"/>
  <c r="J582" i="5"/>
  <c r="J584" i="5"/>
  <c r="J586" i="5"/>
  <c r="J588" i="5"/>
  <c r="J590" i="5"/>
  <c r="J592" i="5"/>
  <c r="J594" i="5"/>
  <c r="J596" i="5"/>
  <c r="J598" i="5"/>
  <c r="J600" i="5"/>
  <c r="J602" i="5"/>
  <c r="J604" i="5"/>
  <c r="J606" i="5"/>
  <c r="J608" i="5"/>
  <c r="J610" i="5"/>
  <c r="J612" i="5"/>
  <c r="J614" i="5"/>
  <c r="J616" i="5"/>
  <c r="J618" i="5"/>
  <c r="J620" i="5"/>
  <c r="J622" i="5"/>
  <c r="J624" i="5"/>
  <c r="J626" i="5"/>
  <c r="J628" i="5"/>
  <c r="J630" i="5"/>
  <c r="J632" i="5"/>
  <c r="J634" i="5"/>
  <c r="J636" i="5"/>
  <c r="J638" i="5"/>
  <c r="J640" i="5"/>
  <c r="J642" i="5"/>
  <c r="J644" i="5"/>
  <c r="J646" i="5"/>
  <c r="J648" i="5"/>
  <c r="J650" i="5"/>
  <c r="J652" i="5"/>
  <c r="J654" i="5"/>
  <c r="J656" i="5"/>
  <c r="J658" i="5"/>
  <c r="J660" i="5"/>
  <c r="J662" i="5"/>
  <c r="J664" i="5"/>
  <c r="J666" i="5"/>
  <c r="J668" i="5"/>
  <c r="J670" i="5"/>
  <c r="J672" i="5"/>
  <c r="J674" i="5"/>
  <c r="J676" i="5"/>
  <c r="J678" i="5"/>
  <c r="J680" i="5"/>
  <c r="J682" i="5"/>
  <c r="J684" i="5"/>
  <c r="J686" i="5"/>
  <c r="J688" i="5"/>
  <c r="J690" i="5"/>
  <c r="J692" i="5"/>
  <c r="J694" i="5"/>
  <c r="J696" i="5"/>
  <c r="J698" i="5"/>
  <c r="J700" i="5"/>
  <c r="J702" i="5"/>
  <c r="J704" i="5"/>
  <c r="J706" i="5"/>
  <c r="J708" i="5"/>
  <c r="J659" i="5"/>
  <c r="J663" i="5"/>
  <c r="J667" i="5"/>
  <c r="J671" i="5"/>
  <c r="J675" i="5"/>
  <c r="J679" i="5"/>
  <c r="J683" i="5"/>
  <c r="J687" i="5"/>
  <c r="J691" i="5"/>
  <c r="J695" i="5"/>
  <c r="J699" i="5"/>
  <c r="J703" i="5"/>
  <c r="J707" i="5"/>
  <c r="J711" i="5"/>
  <c r="J713" i="5"/>
  <c r="J715" i="5"/>
  <c r="J717" i="5"/>
  <c r="J719" i="5"/>
  <c r="J721" i="5"/>
  <c r="J723" i="5"/>
  <c r="J725" i="5"/>
  <c r="J727" i="5"/>
  <c r="J729" i="5"/>
  <c r="J731" i="5"/>
  <c r="J733" i="5"/>
  <c r="J735" i="5"/>
  <c r="J737" i="5"/>
  <c r="J739" i="5"/>
  <c r="J741" i="5"/>
  <c r="J743" i="5"/>
  <c r="J745" i="5"/>
  <c r="J747" i="5"/>
  <c r="J749" i="5"/>
  <c r="J751" i="5"/>
  <c r="J753" i="5"/>
  <c r="J755" i="5"/>
  <c r="J757" i="5"/>
  <c r="J759" i="5"/>
  <c r="J761" i="5"/>
  <c r="J763" i="5"/>
  <c r="J765" i="5"/>
  <c r="J767" i="5"/>
  <c r="J769" i="5"/>
  <c r="J771" i="5"/>
  <c r="J773" i="5"/>
  <c r="J775" i="5"/>
  <c r="J777" i="5"/>
  <c r="J779" i="5"/>
  <c r="J781" i="5"/>
  <c r="J783" i="5"/>
  <c r="J785" i="5"/>
  <c r="J787" i="5"/>
  <c r="J789" i="5"/>
  <c r="J791" i="5"/>
  <c r="J793" i="5"/>
  <c r="J795" i="5"/>
  <c r="J797" i="5"/>
  <c r="J799" i="5"/>
  <c r="J801" i="5"/>
  <c r="J803" i="5"/>
  <c r="J805" i="5"/>
  <c r="J807" i="5"/>
  <c r="J809" i="5"/>
  <c r="J811" i="5"/>
  <c r="J813" i="5"/>
  <c r="J815" i="5"/>
  <c r="J817" i="5"/>
  <c r="J819" i="5"/>
  <c r="J821" i="5"/>
  <c r="J823" i="5"/>
  <c r="J825" i="5"/>
  <c r="J827" i="5"/>
  <c r="J829" i="5"/>
  <c r="J831" i="5"/>
  <c r="J833" i="5"/>
  <c r="J835" i="5"/>
  <c r="J837" i="5"/>
  <c r="J839" i="5"/>
  <c r="J841" i="5"/>
  <c r="J843" i="5"/>
  <c r="J845" i="5"/>
  <c r="J847" i="5"/>
  <c r="J849" i="5"/>
  <c r="J851" i="5"/>
  <c r="J853" i="5"/>
  <c r="J855" i="5"/>
  <c r="J857" i="5"/>
  <c r="J859" i="5"/>
  <c r="J861" i="5"/>
  <c r="J863" i="5"/>
  <c r="J865" i="5"/>
  <c r="J867" i="5"/>
  <c r="J869" i="5"/>
  <c r="J871" i="5"/>
  <c r="J873" i="5"/>
  <c r="J875" i="5"/>
  <c r="J877" i="5"/>
  <c r="J879" i="5"/>
  <c r="J881" i="5"/>
  <c r="J883" i="5"/>
  <c r="J885" i="5"/>
  <c r="J887" i="5"/>
  <c r="J889" i="5"/>
  <c r="J891" i="5"/>
  <c r="J893" i="5"/>
  <c r="J895" i="5"/>
  <c r="J897" i="5"/>
  <c r="J899" i="5"/>
  <c r="J901" i="5"/>
  <c r="J903" i="5"/>
  <c r="J905" i="5"/>
  <c r="J907" i="5"/>
  <c r="J909" i="5"/>
  <c r="J911" i="5"/>
  <c r="J913" i="5"/>
  <c r="J915" i="5"/>
  <c r="J917" i="5"/>
  <c r="J919" i="5"/>
  <c r="J921" i="5"/>
  <c r="J923" i="5"/>
  <c r="J925" i="5"/>
  <c r="J927" i="5"/>
  <c r="J929" i="5"/>
  <c r="J931" i="5"/>
  <c r="J933" i="5"/>
  <c r="J935" i="5"/>
  <c r="J937" i="5"/>
  <c r="J657" i="5"/>
  <c r="J661" i="5"/>
  <c r="J665" i="5"/>
  <c r="J669" i="5"/>
  <c r="J673" i="5"/>
  <c r="J677" i="5"/>
  <c r="J681" i="5"/>
  <c r="J685" i="5"/>
  <c r="J689" i="5"/>
  <c r="J693" i="5"/>
  <c r="J697" i="5"/>
  <c r="J701" i="5"/>
  <c r="J705" i="5"/>
  <c r="J709" i="5"/>
  <c r="J710" i="5"/>
  <c r="J712" i="5"/>
  <c r="J714" i="5"/>
  <c r="J716" i="5"/>
  <c r="J718" i="5"/>
  <c r="J720" i="5"/>
  <c r="J722" i="5"/>
  <c r="J724" i="5"/>
  <c r="J726" i="5"/>
  <c r="J728" i="5"/>
  <c r="J730" i="5"/>
  <c r="J732" i="5"/>
  <c r="J734" i="5"/>
  <c r="J736" i="5"/>
  <c r="J738" i="5"/>
  <c r="J740" i="5"/>
  <c r="J742" i="5"/>
  <c r="J744" i="5"/>
  <c r="J746" i="5"/>
  <c r="J748" i="5"/>
  <c r="J750" i="5"/>
  <c r="J752" i="5"/>
  <c r="J754" i="5"/>
  <c r="J756" i="5"/>
  <c r="J758" i="5"/>
  <c r="J760" i="5"/>
  <c r="J762" i="5"/>
  <c r="J764" i="5"/>
  <c r="J766" i="5"/>
  <c r="J768" i="5"/>
  <c r="J770" i="5"/>
  <c r="J772" i="5"/>
  <c r="J774" i="5"/>
  <c r="J776" i="5"/>
  <c r="J778" i="5"/>
  <c r="J780" i="5"/>
  <c r="J782" i="5"/>
  <c r="J784" i="5"/>
  <c r="J786" i="5"/>
  <c r="J788" i="5"/>
  <c r="J790" i="5"/>
  <c r="J792" i="5"/>
  <c r="J794" i="5"/>
  <c r="J796" i="5"/>
  <c r="J798" i="5"/>
  <c r="J800" i="5"/>
  <c r="J802" i="5"/>
  <c r="J804" i="5"/>
  <c r="J806" i="5"/>
  <c r="J808" i="5"/>
  <c r="J810" i="5"/>
  <c r="J812" i="5"/>
  <c r="J814" i="5"/>
  <c r="J816" i="5"/>
  <c r="J818" i="5"/>
  <c r="J820" i="5"/>
  <c r="J822" i="5"/>
  <c r="J824" i="5"/>
  <c r="J826" i="5"/>
  <c r="J828" i="5"/>
  <c r="J830" i="5"/>
  <c r="J832" i="5"/>
  <c r="J834" i="5"/>
  <c r="J836" i="5"/>
  <c r="J838" i="5"/>
  <c r="J840" i="5"/>
  <c r="J842" i="5"/>
  <c r="J844" i="5"/>
  <c r="J846" i="5"/>
  <c r="J848" i="5"/>
  <c r="J850" i="5"/>
  <c r="J852" i="5"/>
  <c r="J854" i="5"/>
  <c r="J856" i="5"/>
  <c r="J858" i="5"/>
  <c r="J860" i="5"/>
  <c r="J862" i="5"/>
  <c r="J864" i="5"/>
  <c r="J866" i="5"/>
  <c r="J868" i="5"/>
  <c r="J870" i="5"/>
  <c r="J872" i="5"/>
  <c r="J874" i="5"/>
  <c r="J876" i="5"/>
  <c r="J878" i="5"/>
  <c r="J880" i="5"/>
  <c r="J882" i="5"/>
  <c r="J884" i="5"/>
  <c r="J886" i="5"/>
  <c r="J888" i="5"/>
  <c r="J890" i="5"/>
  <c r="J892" i="5"/>
  <c r="J894" i="5"/>
  <c r="J896" i="5"/>
  <c r="J898" i="5"/>
  <c r="J900" i="5"/>
  <c r="J902" i="5"/>
  <c r="J904" i="5"/>
  <c r="J906" i="5"/>
  <c r="J908" i="5"/>
  <c r="J910" i="5"/>
  <c r="J912" i="5"/>
  <c r="J914" i="5"/>
  <c r="J916" i="5"/>
  <c r="J918" i="5"/>
  <c r="J920" i="5"/>
  <c r="J922" i="5"/>
  <c r="J924" i="5"/>
  <c r="J926" i="5"/>
  <c r="J928" i="5"/>
  <c r="J930" i="5"/>
  <c r="J932" i="5"/>
  <c r="J934" i="5"/>
  <c r="J936" i="5"/>
  <c r="J938" i="5"/>
  <c r="J940" i="5"/>
  <c r="J942" i="5"/>
  <c r="J944" i="5"/>
  <c r="J946" i="5"/>
  <c r="J948" i="5"/>
  <c r="J950" i="5"/>
  <c r="J952" i="5"/>
  <c r="J954" i="5"/>
  <c r="J956" i="5"/>
  <c r="J958" i="5"/>
  <c r="J960" i="5"/>
  <c r="J962" i="5"/>
  <c r="J964" i="5"/>
  <c r="J966" i="5"/>
  <c r="J939" i="5"/>
  <c r="J943" i="5"/>
  <c r="J947" i="5"/>
  <c r="J951" i="5"/>
  <c r="J955" i="5"/>
  <c r="J959" i="5"/>
  <c r="J963" i="5"/>
  <c r="J967" i="5"/>
  <c r="J968" i="5"/>
  <c r="J970" i="5"/>
  <c r="J972" i="5"/>
  <c r="J974" i="5"/>
  <c r="J976" i="5"/>
  <c r="J978" i="5"/>
  <c r="J980" i="5"/>
  <c r="J982" i="5"/>
  <c r="J984" i="5"/>
  <c r="J986" i="5"/>
  <c r="J988" i="5"/>
  <c r="J990" i="5"/>
  <c r="J992" i="5"/>
  <c r="J994" i="5"/>
  <c r="J996" i="5"/>
  <c r="J998" i="5"/>
  <c r="J1000" i="5"/>
  <c r="J1002" i="5"/>
  <c r="J941" i="5"/>
  <c r="J945" i="5"/>
  <c r="J949" i="5"/>
  <c r="J953" i="5"/>
  <c r="J957" i="5"/>
  <c r="J961" i="5"/>
  <c r="J965" i="5"/>
  <c r="J969" i="5"/>
  <c r="J971" i="5"/>
  <c r="J973" i="5"/>
  <c r="J975" i="5"/>
  <c r="J977" i="5"/>
  <c r="J979" i="5"/>
  <c r="J981" i="5"/>
  <c r="J983" i="5"/>
  <c r="J985" i="5"/>
  <c r="J987" i="5"/>
  <c r="J989" i="5"/>
  <c r="J991" i="5"/>
  <c r="J993" i="5"/>
  <c r="J995" i="5"/>
  <c r="J997" i="5"/>
  <c r="J999" i="5"/>
  <c r="J1001" i="5"/>
  <c r="J1003" i="5"/>
  <c r="F20" i="5"/>
  <c r="C32" i="5"/>
  <c r="F16" i="5"/>
  <c r="C28" i="5"/>
  <c r="F12" i="5"/>
  <c r="C24" i="5"/>
  <c r="H28" i="5"/>
  <c r="D1" i="15"/>
  <c r="C47" i="5"/>
  <c r="F35" i="5"/>
  <c r="F111" i="5"/>
  <c r="C123" i="5"/>
  <c r="I5" i="5"/>
  <c r="K5" i="5" s="1"/>
  <c r="L5" i="5" s="1"/>
  <c r="I7" i="5"/>
  <c r="K7" i="5" s="1"/>
  <c r="L7" i="5" s="1"/>
  <c r="I9" i="5"/>
  <c r="I11" i="5"/>
  <c r="K11" i="5" s="1"/>
  <c r="I4" i="5"/>
  <c r="I8" i="5"/>
  <c r="I13" i="5"/>
  <c r="K13" i="5" s="1"/>
  <c r="L13" i="5" s="1"/>
  <c r="I15" i="5"/>
  <c r="I17" i="5"/>
  <c r="I19" i="5"/>
  <c r="K19" i="5" s="1"/>
  <c r="L19" i="5" s="1"/>
  <c r="I3" i="5"/>
  <c r="K3" i="5" s="1"/>
  <c r="I6" i="5"/>
  <c r="I10" i="5"/>
  <c r="I21" i="5"/>
  <c r="I23" i="5"/>
  <c r="K23" i="5" s="1"/>
  <c r="I25" i="5"/>
  <c r="I27" i="5"/>
  <c r="I12" i="5"/>
  <c r="I14" i="5"/>
  <c r="I16" i="5"/>
  <c r="K16" i="5" s="1"/>
  <c r="I18" i="5"/>
  <c r="I20" i="5"/>
  <c r="I22" i="5"/>
  <c r="I24" i="5"/>
  <c r="I26" i="5"/>
  <c r="I28" i="5"/>
  <c r="I30" i="5"/>
  <c r="I32" i="5"/>
  <c r="I34" i="5"/>
  <c r="I36" i="5"/>
  <c r="I38" i="5"/>
  <c r="I40" i="5"/>
  <c r="I42" i="5"/>
  <c r="I44" i="5"/>
  <c r="I31" i="5"/>
  <c r="K31" i="5" s="1"/>
  <c r="L31" i="5" s="1"/>
  <c r="I35" i="5"/>
  <c r="I37" i="5"/>
  <c r="I39" i="5"/>
  <c r="I41" i="5"/>
  <c r="I45" i="5"/>
  <c r="I46" i="5"/>
  <c r="I48" i="5"/>
  <c r="I50" i="5"/>
  <c r="I52" i="5"/>
  <c r="I54" i="5"/>
  <c r="I56" i="5"/>
  <c r="I58" i="5"/>
  <c r="I60" i="5"/>
  <c r="I62" i="5"/>
  <c r="I64" i="5"/>
  <c r="I66" i="5"/>
  <c r="I68" i="5"/>
  <c r="I29" i="5"/>
  <c r="I33" i="5"/>
  <c r="I43" i="5"/>
  <c r="K43" i="5" s="1"/>
  <c r="L43" i="5" s="1"/>
  <c r="I47" i="5"/>
  <c r="I49" i="5"/>
  <c r="I51" i="5"/>
  <c r="I53" i="5"/>
  <c r="I55" i="5"/>
  <c r="K55" i="5" s="1"/>
  <c r="L55" i="5" s="1"/>
  <c r="I57" i="5"/>
  <c r="I59" i="5"/>
  <c r="I61" i="5"/>
  <c r="I63" i="5"/>
  <c r="I65" i="5"/>
  <c r="I67" i="5"/>
  <c r="K67" i="5" s="1"/>
  <c r="L67" i="5" s="1"/>
  <c r="I69" i="5"/>
  <c r="I71" i="5"/>
  <c r="I73" i="5"/>
  <c r="I75" i="5"/>
  <c r="I77" i="5"/>
  <c r="I79" i="5"/>
  <c r="K79" i="5" s="1"/>
  <c r="L79" i="5" s="1"/>
  <c r="I81" i="5"/>
  <c r="I83" i="5"/>
  <c r="I85" i="5"/>
  <c r="I87" i="5"/>
  <c r="I89" i="5"/>
  <c r="I91" i="5"/>
  <c r="K91" i="5" s="1"/>
  <c r="I93" i="5"/>
  <c r="I95" i="5"/>
  <c r="I70" i="5"/>
  <c r="I74" i="5"/>
  <c r="I78" i="5"/>
  <c r="I82" i="5"/>
  <c r="I86" i="5"/>
  <c r="I90" i="5"/>
  <c r="I94" i="5"/>
  <c r="I97" i="5"/>
  <c r="I99" i="5"/>
  <c r="I101" i="5"/>
  <c r="I103" i="5"/>
  <c r="K103" i="5" s="1"/>
  <c r="I105" i="5"/>
  <c r="I107" i="5"/>
  <c r="I109" i="5"/>
  <c r="I111" i="5"/>
  <c r="I113" i="5"/>
  <c r="I115" i="5"/>
  <c r="K115" i="5" s="1"/>
  <c r="I117" i="5"/>
  <c r="I119" i="5"/>
  <c r="I121" i="5"/>
  <c r="I123" i="5"/>
  <c r="I72" i="5"/>
  <c r="I76" i="5"/>
  <c r="I80" i="5"/>
  <c r="I84" i="5"/>
  <c r="I88" i="5"/>
  <c r="I92" i="5"/>
  <c r="I96" i="5"/>
  <c r="I98" i="5"/>
  <c r="I100" i="5"/>
  <c r="I102" i="5"/>
  <c r="I104" i="5"/>
  <c r="I106" i="5"/>
  <c r="I108" i="5"/>
  <c r="I110" i="5"/>
  <c r="I112" i="5"/>
  <c r="I114" i="5"/>
  <c r="I116" i="5"/>
  <c r="I118" i="5"/>
  <c r="I120" i="5"/>
  <c r="I122" i="5"/>
  <c r="I124" i="5"/>
  <c r="I126" i="5"/>
  <c r="I128" i="5"/>
  <c r="I130" i="5"/>
  <c r="I132" i="5"/>
  <c r="I134" i="5"/>
  <c r="I136" i="5"/>
  <c r="I138" i="5"/>
  <c r="I140" i="5"/>
  <c r="I142" i="5"/>
  <c r="I144" i="5"/>
  <c r="I146" i="5"/>
  <c r="I125" i="5"/>
  <c r="I127" i="5"/>
  <c r="K127" i="5" s="1"/>
  <c r="I131" i="5"/>
  <c r="I133" i="5"/>
  <c r="I141" i="5"/>
  <c r="I148" i="5"/>
  <c r="I150" i="5"/>
  <c r="I152" i="5"/>
  <c r="I154" i="5"/>
  <c r="I156" i="5"/>
  <c r="I158" i="5"/>
  <c r="I160" i="5"/>
  <c r="I162" i="5"/>
  <c r="I164" i="5"/>
  <c r="I166" i="5"/>
  <c r="I168" i="5"/>
  <c r="I170" i="5"/>
  <c r="I172" i="5"/>
  <c r="I174" i="5"/>
  <c r="I176" i="5"/>
  <c r="I178" i="5"/>
  <c r="I180" i="5"/>
  <c r="I182" i="5"/>
  <c r="I184" i="5"/>
  <c r="I186" i="5"/>
  <c r="I188" i="5"/>
  <c r="I190" i="5"/>
  <c r="I192" i="5"/>
  <c r="I194" i="5"/>
  <c r="I196" i="5"/>
  <c r="I198" i="5"/>
  <c r="I129" i="5"/>
  <c r="I135" i="5"/>
  <c r="I137" i="5"/>
  <c r="I139" i="5"/>
  <c r="K139" i="5" s="1"/>
  <c r="I143" i="5"/>
  <c r="I145" i="5"/>
  <c r="I147" i="5"/>
  <c r="I149" i="5"/>
  <c r="I151" i="5"/>
  <c r="K151" i="5" s="1"/>
  <c r="I153" i="5"/>
  <c r="I155" i="5"/>
  <c r="I157" i="5"/>
  <c r="I159" i="5"/>
  <c r="I161" i="5"/>
  <c r="I163" i="5"/>
  <c r="K163" i="5" s="1"/>
  <c r="I165" i="5"/>
  <c r="I167" i="5"/>
  <c r="I169" i="5"/>
  <c r="I171" i="5"/>
  <c r="I173" i="5"/>
  <c r="I175" i="5"/>
  <c r="K175" i="5" s="1"/>
  <c r="I177" i="5"/>
  <c r="I179" i="5"/>
  <c r="I181" i="5"/>
  <c r="I183" i="5"/>
  <c r="I185" i="5"/>
  <c r="I187" i="5"/>
  <c r="K187" i="5" s="1"/>
  <c r="I189" i="5"/>
  <c r="I191" i="5"/>
  <c r="I193" i="5"/>
  <c r="I195" i="5"/>
  <c r="I197" i="5"/>
  <c r="I199" i="5"/>
  <c r="K199" i="5" s="1"/>
  <c r="I201" i="5"/>
  <c r="I203" i="5"/>
  <c r="I205" i="5"/>
  <c r="I207" i="5"/>
  <c r="I209" i="5"/>
  <c r="I211" i="5"/>
  <c r="K211" i="5" s="1"/>
  <c r="I213" i="5"/>
  <c r="I215" i="5"/>
  <c r="I217" i="5"/>
  <c r="I219" i="5"/>
  <c r="I221" i="5"/>
  <c r="I223" i="5"/>
  <c r="K223" i="5" s="1"/>
  <c r="I225" i="5"/>
  <c r="I227" i="5"/>
  <c r="I200" i="5"/>
  <c r="I204" i="5"/>
  <c r="I208" i="5"/>
  <c r="I212" i="5"/>
  <c r="I216" i="5"/>
  <c r="I220" i="5"/>
  <c r="I224" i="5"/>
  <c r="I228" i="5"/>
  <c r="I230" i="5"/>
  <c r="I232" i="5"/>
  <c r="I234" i="5"/>
  <c r="I236" i="5"/>
  <c r="I238" i="5"/>
  <c r="I240" i="5"/>
  <c r="I242" i="5"/>
  <c r="I244" i="5"/>
  <c r="I246" i="5"/>
  <c r="I248" i="5"/>
  <c r="I250" i="5"/>
  <c r="I252" i="5"/>
  <c r="I254" i="5"/>
  <c r="I256" i="5"/>
  <c r="I258" i="5"/>
  <c r="I260" i="5"/>
  <c r="I262" i="5"/>
  <c r="I264" i="5"/>
  <c r="I266" i="5"/>
  <c r="I268" i="5"/>
  <c r="I270" i="5"/>
  <c r="I272" i="5"/>
  <c r="I274" i="5"/>
  <c r="I276" i="5"/>
  <c r="I278" i="5"/>
  <c r="I280" i="5"/>
  <c r="I282" i="5"/>
  <c r="I284" i="5"/>
  <c r="I286" i="5"/>
  <c r="I288" i="5"/>
  <c r="I290" i="5"/>
  <c r="I292" i="5"/>
  <c r="I294" i="5"/>
  <c r="I296" i="5"/>
  <c r="I298" i="5"/>
  <c r="I300" i="5"/>
  <c r="I302" i="5"/>
  <c r="I304" i="5"/>
  <c r="I306" i="5"/>
  <c r="I202" i="5"/>
  <c r="I206" i="5"/>
  <c r="I210" i="5"/>
  <c r="I214" i="5"/>
  <c r="I218" i="5"/>
  <c r="I222" i="5"/>
  <c r="I226" i="5"/>
  <c r="I229" i="5"/>
  <c r="I231" i="5"/>
  <c r="I233" i="5"/>
  <c r="I235" i="5"/>
  <c r="K235" i="5" s="1"/>
  <c r="I237" i="5"/>
  <c r="I239" i="5"/>
  <c r="I241" i="5"/>
  <c r="I243" i="5"/>
  <c r="I245" i="5"/>
  <c r="I247" i="5"/>
  <c r="K247" i="5" s="1"/>
  <c r="I249" i="5"/>
  <c r="I251" i="5"/>
  <c r="I253" i="5"/>
  <c r="I255" i="5"/>
  <c r="I257" i="5"/>
  <c r="I259" i="5"/>
  <c r="K259" i="5" s="1"/>
  <c r="I261" i="5"/>
  <c r="I263" i="5"/>
  <c r="I265" i="5"/>
  <c r="I267" i="5"/>
  <c r="I269" i="5"/>
  <c r="I271" i="5"/>
  <c r="K271" i="5" s="1"/>
  <c r="I273" i="5"/>
  <c r="I275" i="5"/>
  <c r="I277" i="5"/>
  <c r="I279" i="5"/>
  <c r="I281" i="5"/>
  <c r="I283" i="5"/>
  <c r="K283" i="5" s="1"/>
  <c r="I285" i="5"/>
  <c r="I287" i="5"/>
  <c r="I289" i="5"/>
  <c r="I291" i="5"/>
  <c r="I293" i="5"/>
  <c r="I295" i="5"/>
  <c r="K295" i="5" s="1"/>
  <c r="I297" i="5"/>
  <c r="I299" i="5"/>
  <c r="I301" i="5"/>
  <c r="I303" i="5"/>
  <c r="I305" i="5"/>
  <c r="I307" i="5"/>
  <c r="K307" i="5" s="1"/>
  <c r="I309" i="5"/>
  <c r="I311" i="5"/>
  <c r="I313" i="5"/>
  <c r="I315" i="5"/>
  <c r="I317" i="5"/>
  <c r="I319" i="5"/>
  <c r="K319" i="5" s="1"/>
  <c r="I321" i="5"/>
  <c r="I323" i="5"/>
  <c r="I325" i="5"/>
  <c r="I327" i="5"/>
  <c r="I329" i="5"/>
  <c r="I331" i="5"/>
  <c r="K331" i="5" s="1"/>
  <c r="I333" i="5"/>
  <c r="I335" i="5"/>
  <c r="I310" i="5"/>
  <c r="I314" i="5"/>
  <c r="I318" i="5"/>
  <c r="I322" i="5"/>
  <c r="I326" i="5"/>
  <c r="I330" i="5"/>
  <c r="I334" i="5"/>
  <c r="I338" i="5"/>
  <c r="I340" i="5"/>
  <c r="I342" i="5"/>
  <c r="I344" i="5"/>
  <c r="I346" i="5"/>
  <c r="I348" i="5"/>
  <c r="I350" i="5"/>
  <c r="I352" i="5"/>
  <c r="I354" i="5"/>
  <c r="I356" i="5"/>
  <c r="I358" i="5"/>
  <c r="I360" i="5"/>
  <c r="I362" i="5"/>
  <c r="I364" i="5"/>
  <c r="I366" i="5"/>
  <c r="I368" i="5"/>
  <c r="I370" i="5"/>
  <c r="I372" i="5"/>
  <c r="I374" i="5"/>
  <c r="I376" i="5"/>
  <c r="I378" i="5"/>
  <c r="I380" i="5"/>
  <c r="I382" i="5"/>
  <c r="I384" i="5"/>
  <c r="I386" i="5"/>
  <c r="I388" i="5"/>
  <c r="I390" i="5"/>
  <c r="I392" i="5"/>
  <c r="I394" i="5"/>
  <c r="I396" i="5"/>
  <c r="I398" i="5"/>
  <c r="I400" i="5"/>
  <c r="I402" i="5"/>
  <c r="I404" i="5"/>
  <c r="I406" i="5"/>
  <c r="I408" i="5"/>
  <c r="I410" i="5"/>
  <c r="I412" i="5"/>
  <c r="I414" i="5"/>
  <c r="I416" i="5"/>
  <c r="I418" i="5"/>
  <c r="I420" i="5"/>
  <c r="I422" i="5"/>
  <c r="I424" i="5"/>
  <c r="I426" i="5"/>
  <c r="I428" i="5"/>
  <c r="I430" i="5"/>
  <c r="I432" i="5"/>
  <c r="I434" i="5"/>
  <c r="I436" i="5"/>
  <c r="I438" i="5"/>
  <c r="I440" i="5"/>
  <c r="I442" i="5"/>
  <c r="I444" i="5"/>
  <c r="I446" i="5"/>
  <c r="I448" i="5"/>
  <c r="I308" i="5"/>
  <c r="I312" i="5"/>
  <c r="I316" i="5"/>
  <c r="I320" i="5"/>
  <c r="I324" i="5"/>
  <c r="I328" i="5"/>
  <c r="I332" i="5"/>
  <c r="I336" i="5"/>
  <c r="I337" i="5"/>
  <c r="I339" i="5"/>
  <c r="I341" i="5"/>
  <c r="I343" i="5"/>
  <c r="K343" i="5" s="1"/>
  <c r="I345" i="5"/>
  <c r="I347" i="5"/>
  <c r="I349" i="5"/>
  <c r="I351" i="5"/>
  <c r="I353" i="5"/>
  <c r="I355" i="5"/>
  <c r="K355" i="5" s="1"/>
  <c r="I357" i="5"/>
  <c r="I359" i="5"/>
  <c r="I361" i="5"/>
  <c r="I363" i="5"/>
  <c r="I365" i="5"/>
  <c r="I367" i="5"/>
  <c r="K367" i="5" s="1"/>
  <c r="I369" i="5"/>
  <c r="I371" i="5"/>
  <c r="I373" i="5"/>
  <c r="I375" i="5"/>
  <c r="I377" i="5"/>
  <c r="I379" i="5"/>
  <c r="K379" i="5" s="1"/>
  <c r="I381" i="5"/>
  <c r="I383" i="5"/>
  <c r="I385" i="5"/>
  <c r="I387" i="5"/>
  <c r="I389" i="5"/>
  <c r="I391" i="5"/>
  <c r="K391" i="5" s="1"/>
  <c r="I393" i="5"/>
  <c r="I395" i="5"/>
  <c r="I397" i="5"/>
  <c r="I399" i="5"/>
  <c r="I401" i="5"/>
  <c r="I403" i="5"/>
  <c r="K403" i="5" s="1"/>
  <c r="I405" i="5"/>
  <c r="I407" i="5"/>
  <c r="I409" i="5"/>
  <c r="I411" i="5"/>
  <c r="I413" i="5"/>
  <c r="I415" i="5"/>
  <c r="K415" i="5" s="1"/>
  <c r="I417" i="5"/>
  <c r="I419" i="5"/>
  <c r="I421" i="5"/>
  <c r="I423" i="5"/>
  <c r="I425" i="5"/>
  <c r="I427" i="5"/>
  <c r="K427" i="5" s="1"/>
  <c r="I429" i="5"/>
  <c r="I431" i="5"/>
  <c r="I433" i="5"/>
  <c r="I435" i="5"/>
  <c r="I437" i="5"/>
  <c r="I439" i="5"/>
  <c r="K439" i="5" s="1"/>
  <c r="I441" i="5"/>
  <c r="I443" i="5"/>
  <c r="I445" i="5"/>
  <c r="I447" i="5"/>
  <c r="I449" i="5"/>
  <c r="I451" i="5"/>
  <c r="K451" i="5" s="1"/>
  <c r="I453" i="5"/>
  <c r="I455" i="5"/>
  <c r="I457" i="5"/>
  <c r="I459" i="5"/>
  <c r="I461" i="5"/>
  <c r="I463" i="5"/>
  <c r="K463" i="5" s="1"/>
  <c r="I465" i="5"/>
  <c r="I467" i="5"/>
  <c r="I469" i="5"/>
  <c r="I471" i="5"/>
  <c r="I473" i="5"/>
  <c r="I475" i="5"/>
  <c r="K475" i="5" s="1"/>
  <c r="I477" i="5"/>
  <c r="I452" i="5"/>
  <c r="I456" i="5"/>
  <c r="I460" i="5"/>
  <c r="I464" i="5"/>
  <c r="I468" i="5"/>
  <c r="I472" i="5"/>
  <c r="I476" i="5"/>
  <c r="I480" i="5"/>
  <c r="I482" i="5"/>
  <c r="I484" i="5"/>
  <c r="I486" i="5"/>
  <c r="I488" i="5"/>
  <c r="I490" i="5"/>
  <c r="I492" i="5"/>
  <c r="I494" i="5"/>
  <c r="I496" i="5"/>
  <c r="I498" i="5"/>
  <c r="I500" i="5"/>
  <c r="I502" i="5"/>
  <c r="I504" i="5"/>
  <c r="I506" i="5"/>
  <c r="I508" i="5"/>
  <c r="I510" i="5"/>
  <c r="I512" i="5"/>
  <c r="I514" i="5"/>
  <c r="I516" i="5"/>
  <c r="I518" i="5"/>
  <c r="I520" i="5"/>
  <c r="I522" i="5"/>
  <c r="I524" i="5"/>
  <c r="I526" i="5"/>
  <c r="I528" i="5"/>
  <c r="I530" i="5"/>
  <c r="I532" i="5"/>
  <c r="I534" i="5"/>
  <c r="I536" i="5"/>
  <c r="I538" i="5"/>
  <c r="I540" i="5"/>
  <c r="I542" i="5"/>
  <c r="I544" i="5"/>
  <c r="I546" i="5"/>
  <c r="I548" i="5"/>
  <c r="I550" i="5"/>
  <c r="I552" i="5"/>
  <c r="I554" i="5"/>
  <c r="I556" i="5"/>
  <c r="I558" i="5"/>
  <c r="I560" i="5"/>
  <c r="I562" i="5"/>
  <c r="I564" i="5"/>
  <c r="I566" i="5"/>
  <c r="I568" i="5"/>
  <c r="I570" i="5"/>
  <c r="I572" i="5"/>
  <c r="I574" i="5"/>
  <c r="I576" i="5"/>
  <c r="I578" i="5"/>
  <c r="I580" i="5"/>
  <c r="I582" i="5"/>
  <c r="I584" i="5"/>
  <c r="I586" i="5"/>
  <c r="I588" i="5"/>
  <c r="I590" i="5"/>
  <c r="I592" i="5"/>
  <c r="I594" i="5"/>
  <c r="I596" i="5"/>
  <c r="I598" i="5"/>
  <c r="I600" i="5"/>
  <c r="I602" i="5"/>
  <c r="I604" i="5"/>
  <c r="I606" i="5"/>
  <c r="I608" i="5"/>
  <c r="I610" i="5"/>
  <c r="I612" i="5"/>
  <c r="I614" i="5"/>
  <c r="I616" i="5"/>
  <c r="I618" i="5"/>
  <c r="I620" i="5"/>
  <c r="I622" i="5"/>
  <c r="I624" i="5"/>
  <c r="I626" i="5"/>
  <c r="I628" i="5"/>
  <c r="I630" i="5"/>
  <c r="I632" i="5"/>
  <c r="I634" i="5"/>
  <c r="I636" i="5"/>
  <c r="I638" i="5"/>
  <c r="I640" i="5"/>
  <c r="I642" i="5"/>
  <c r="I644" i="5"/>
  <c r="I646" i="5"/>
  <c r="I648" i="5"/>
  <c r="I650" i="5"/>
  <c r="I652" i="5"/>
  <c r="I654" i="5"/>
  <c r="I656" i="5"/>
  <c r="I450" i="5"/>
  <c r="I454" i="5"/>
  <c r="I458" i="5"/>
  <c r="I462" i="5"/>
  <c r="I466" i="5"/>
  <c r="I470" i="5"/>
  <c r="I474" i="5"/>
  <c r="I478" i="5"/>
  <c r="I479" i="5"/>
  <c r="I481" i="5"/>
  <c r="I483" i="5"/>
  <c r="I485" i="5"/>
  <c r="I487" i="5"/>
  <c r="K487" i="5" s="1"/>
  <c r="I489" i="5"/>
  <c r="I491" i="5"/>
  <c r="I493" i="5"/>
  <c r="I495" i="5"/>
  <c r="I497" i="5"/>
  <c r="I499" i="5"/>
  <c r="K499" i="5" s="1"/>
  <c r="I501" i="5"/>
  <c r="I503" i="5"/>
  <c r="I505" i="5"/>
  <c r="I507" i="5"/>
  <c r="I509" i="5"/>
  <c r="I511" i="5"/>
  <c r="K511" i="5" s="1"/>
  <c r="I513" i="5"/>
  <c r="I515" i="5"/>
  <c r="I517" i="5"/>
  <c r="I519" i="5"/>
  <c r="I521" i="5"/>
  <c r="I523" i="5"/>
  <c r="K523" i="5" s="1"/>
  <c r="I525" i="5"/>
  <c r="I527" i="5"/>
  <c r="I529" i="5"/>
  <c r="I531" i="5"/>
  <c r="I533" i="5"/>
  <c r="I535" i="5"/>
  <c r="K535" i="5" s="1"/>
  <c r="I537" i="5"/>
  <c r="I539" i="5"/>
  <c r="I541" i="5"/>
  <c r="I543" i="5"/>
  <c r="I545" i="5"/>
  <c r="I547" i="5"/>
  <c r="K547" i="5" s="1"/>
  <c r="I549" i="5"/>
  <c r="I551" i="5"/>
  <c r="I553" i="5"/>
  <c r="I555" i="5"/>
  <c r="I557" i="5"/>
  <c r="I559" i="5"/>
  <c r="K559" i="5" s="1"/>
  <c r="I561" i="5"/>
  <c r="I563" i="5"/>
  <c r="I565" i="5"/>
  <c r="I567" i="5"/>
  <c r="I569" i="5"/>
  <c r="I571" i="5"/>
  <c r="K571" i="5" s="1"/>
  <c r="I573" i="5"/>
  <c r="I575" i="5"/>
  <c r="I577" i="5"/>
  <c r="I579" i="5"/>
  <c r="I581" i="5"/>
  <c r="I583" i="5"/>
  <c r="K583" i="5" s="1"/>
  <c r="I585" i="5"/>
  <c r="I587" i="5"/>
  <c r="I589" i="5"/>
  <c r="I591" i="5"/>
  <c r="I593" i="5"/>
  <c r="I595" i="5"/>
  <c r="K595" i="5" s="1"/>
  <c r="I597" i="5"/>
  <c r="I599" i="5"/>
  <c r="I601" i="5"/>
  <c r="I603" i="5"/>
  <c r="I605" i="5"/>
  <c r="I607" i="5"/>
  <c r="K607" i="5" s="1"/>
  <c r="I609" i="5"/>
  <c r="I611" i="5"/>
  <c r="I613" i="5"/>
  <c r="I615" i="5"/>
  <c r="I617" i="5"/>
  <c r="I619" i="5"/>
  <c r="K619" i="5" s="1"/>
  <c r="I621" i="5"/>
  <c r="I623" i="5"/>
  <c r="I625" i="5"/>
  <c r="I627" i="5"/>
  <c r="I629" i="5"/>
  <c r="I631" i="5"/>
  <c r="K631" i="5" s="1"/>
  <c r="I633" i="5"/>
  <c r="I635" i="5"/>
  <c r="I637" i="5"/>
  <c r="I639" i="5"/>
  <c r="I641" i="5"/>
  <c r="I643" i="5"/>
  <c r="K643" i="5" s="1"/>
  <c r="I645" i="5"/>
  <c r="I647" i="5"/>
  <c r="I649" i="5"/>
  <c r="I651" i="5"/>
  <c r="I653" i="5"/>
  <c r="I655" i="5"/>
  <c r="K655" i="5" s="1"/>
  <c r="I657" i="5"/>
  <c r="I659" i="5"/>
  <c r="I661" i="5"/>
  <c r="I663" i="5"/>
  <c r="I665" i="5"/>
  <c r="I667" i="5"/>
  <c r="K667" i="5" s="1"/>
  <c r="I669" i="5"/>
  <c r="I671" i="5"/>
  <c r="I673" i="5"/>
  <c r="I675" i="5"/>
  <c r="I677" i="5"/>
  <c r="I679" i="5"/>
  <c r="K679" i="5" s="1"/>
  <c r="I681" i="5"/>
  <c r="I683" i="5"/>
  <c r="I685" i="5"/>
  <c r="I687" i="5"/>
  <c r="I689" i="5"/>
  <c r="I691" i="5"/>
  <c r="K691" i="5" s="1"/>
  <c r="I693" i="5"/>
  <c r="I695" i="5"/>
  <c r="I697" i="5"/>
  <c r="I699" i="5"/>
  <c r="I701" i="5"/>
  <c r="I703" i="5"/>
  <c r="K703" i="5" s="1"/>
  <c r="I705" i="5"/>
  <c r="I707" i="5"/>
  <c r="I709" i="5"/>
  <c r="I658" i="5"/>
  <c r="I662" i="5"/>
  <c r="I666" i="5"/>
  <c r="I670" i="5"/>
  <c r="I674" i="5"/>
  <c r="I678" i="5"/>
  <c r="I682" i="5"/>
  <c r="I686" i="5"/>
  <c r="I690" i="5"/>
  <c r="I694" i="5"/>
  <c r="I698" i="5"/>
  <c r="I702" i="5"/>
  <c r="I706" i="5"/>
  <c r="I710" i="5"/>
  <c r="I712" i="5"/>
  <c r="I714" i="5"/>
  <c r="I716" i="5"/>
  <c r="I718" i="5"/>
  <c r="I720" i="5"/>
  <c r="I722" i="5"/>
  <c r="I724" i="5"/>
  <c r="I726" i="5"/>
  <c r="I728" i="5"/>
  <c r="I730" i="5"/>
  <c r="I732" i="5"/>
  <c r="I734" i="5"/>
  <c r="I736" i="5"/>
  <c r="I738" i="5"/>
  <c r="I740" i="5"/>
  <c r="I742" i="5"/>
  <c r="I744" i="5"/>
  <c r="I746" i="5"/>
  <c r="I748" i="5"/>
  <c r="I750" i="5"/>
  <c r="I752" i="5"/>
  <c r="I754" i="5"/>
  <c r="I756" i="5"/>
  <c r="I758" i="5"/>
  <c r="I760" i="5"/>
  <c r="I762" i="5"/>
  <c r="I764" i="5"/>
  <c r="I766" i="5"/>
  <c r="I768" i="5"/>
  <c r="I770" i="5"/>
  <c r="I772" i="5"/>
  <c r="I774" i="5"/>
  <c r="I776" i="5"/>
  <c r="I778" i="5"/>
  <c r="I780" i="5"/>
  <c r="I782" i="5"/>
  <c r="I784" i="5"/>
  <c r="I786" i="5"/>
  <c r="I788" i="5"/>
  <c r="I790" i="5"/>
  <c r="I792" i="5"/>
  <c r="I794" i="5"/>
  <c r="I796" i="5"/>
  <c r="I798" i="5"/>
  <c r="I800" i="5"/>
  <c r="I802" i="5"/>
  <c r="I804" i="5"/>
  <c r="I806" i="5"/>
  <c r="I808" i="5"/>
  <c r="I810" i="5"/>
  <c r="I812" i="5"/>
  <c r="I814" i="5"/>
  <c r="I816" i="5"/>
  <c r="I818" i="5"/>
  <c r="I820" i="5"/>
  <c r="I822" i="5"/>
  <c r="I824" i="5"/>
  <c r="I826" i="5"/>
  <c r="I828" i="5"/>
  <c r="I830" i="5"/>
  <c r="I832" i="5"/>
  <c r="I834" i="5"/>
  <c r="I836" i="5"/>
  <c r="I838" i="5"/>
  <c r="I840" i="5"/>
  <c r="I842" i="5"/>
  <c r="I844" i="5"/>
  <c r="I846" i="5"/>
  <c r="I848" i="5"/>
  <c r="I850" i="5"/>
  <c r="I852" i="5"/>
  <c r="I854" i="5"/>
  <c r="I856" i="5"/>
  <c r="I858" i="5"/>
  <c r="I860" i="5"/>
  <c r="I862" i="5"/>
  <c r="I864" i="5"/>
  <c r="I866" i="5"/>
  <c r="I868" i="5"/>
  <c r="I870" i="5"/>
  <c r="I872" i="5"/>
  <c r="I874" i="5"/>
  <c r="I876" i="5"/>
  <c r="I878" i="5"/>
  <c r="I880" i="5"/>
  <c r="I882" i="5"/>
  <c r="I884" i="5"/>
  <c r="I886" i="5"/>
  <c r="I888" i="5"/>
  <c r="I890" i="5"/>
  <c r="I892" i="5"/>
  <c r="I894" i="5"/>
  <c r="I896" i="5"/>
  <c r="I898" i="5"/>
  <c r="I900" i="5"/>
  <c r="I902" i="5"/>
  <c r="I904" i="5"/>
  <c r="I906" i="5"/>
  <c r="I908" i="5"/>
  <c r="I910" i="5"/>
  <c r="I912" i="5"/>
  <c r="I914" i="5"/>
  <c r="I916" i="5"/>
  <c r="I918" i="5"/>
  <c r="I920" i="5"/>
  <c r="I922" i="5"/>
  <c r="I924" i="5"/>
  <c r="I926" i="5"/>
  <c r="I928" i="5"/>
  <c r="I930" i="5"/>
  <c r="I932" i="5"/>
  <c r="I934" i="5"/>
  <c r="I936" i="5"/>
  <c r="I660" i="5"/>
  <c r="I664" i="5"/>
  <c r="I668" i="5"/>
  <c r="I672" i="5"/>
  <c r="I676" i="5"/>
  <c r="I680" i="5"/>
  <c r="I684" i="5"/>
  <c r="I688" i="5"/>
  <c r="I692" i="5"/>
  <c r="I696" i="5"/>
  <c r="I700" i="5"/>
  <c r="I704" i="5"/>
  <c r="I708" i="5"/>
  <c r="I711" i="5"/>
  <c r="I713" i="5"/>
  <c r="I715" i="5"/>
  <c r="K715" i="5" s="1"/>
  <c r="I717" i="5"/>
  <c r="I719" i="5"/>
  <c r="I721" i="5"/>
  <c r="I723" i="5"/>
  <c r="I725" i="5"/>
  <c r="I727" i="5"/>
  <c r="K727" i="5" s="1"/>
  <c r="I729" i="5"/>
  <c r="I731" i="5"/>
  <c r="I733" i="5"/>
  <c r="I735" i="5"/>
  <c r="I737" i="5"/>
  <c r="I739" i="5"/>
  <c r="K739" i="5" s="1"/>
  <c r="I741" i="5"/>
  <c r="I743" i="5"/>
  <c r="I745" i="5"/>
  <c r="I747" i="5"/>
  <c r="I749" i="5"/>
  <c r="I751" i="5"/>
  <c r="K751" i="5" s="1"/>
  <c r="I753" i="5"/>
  <c r="I755" i="5"/>
  <c r="I757" i="5"/>
  <c r="I759" i="5"/>
  <c r="I761" i="5"/>
  <c r="I763" i="5"/>
  <c r="K763" i="5" s="1"/>
  <c r="I765" i="5"/>
  <c r="I767" i="5"/>
  <c r="I769" i="5"/>
  <c r="I771" i="5"/>
  <c r="I773" i="5"/>
  <c r="I775" i="5"/>
  <c r="K775" i="5" s="1"/>
  <c r="I777" i="5"/>
  <c r="I779" i="5"/>
  <c r="I781" i="5"/>
  <c r="I783" i="5"/>
  <c r="I785" i="5"/>
  <c r="I787" i="5"/>
  <c r="K787" i="5" s="1"/>
  <c r="I789" i="5"/>
  <c r="I791" i="5"/>
  <c r="I793" i="5"/>
  <c r="I795" i="5"/>
  <c r="I797" i="5"/>
  <c r="I799" i="5"/>
  <c r="K799" i="5" s="1"/>
  <c r="I801" i="5"/>
  <c r="I803" i="5"/>
  <c r="I805" i="5"/>
  <c r="I807" i="5"/>
  <c r="I809" i="5"/>
  <c r="I811" i="5"/>
  <c r="K811" i="5" s="1"/>
  <c r="I813" i="5"/>
  <c r="I815" i="5"/>
  <c r="I817" i="5"/>
  <c r="I819" i="5"/>
  <c r="I821" i="5"/>
  <c r="I823" i="5"/>
  <c r="K823" i="5" s="1"/>
  <c r="I825" i="5"/>
  <c r="I827" i="5"/>
  <c r="I829" i="5"/>
  <c r="I831" i="5"/>
  <c r="I833" i="5"/>
  <c r="I835" i="5"/>
  <c r="K835" i="5" s="1"/>
  <c r="I837" i="5"/>
  <c r="I839" i="5"/>
  <c r="I841" i="5"/>
  <c r="I843" i="5"/>
  <c r="I845" i="5"/>
  <c r="I847" i="5"/>
  <c r="K847" i="5" s="1"/>
  <c r="I849" i="5"/>
  <c r="I851" i="5"/>
  <c r="I853" i="5"/>
  <c r="I855" i="5"/>
  <c r="I857" i="5"/>
  <c r="I859" i="5"/>
  <c r="K859" i="5" s="1"/>
  <c r="I861" i="5"/>
  <c r="I863" i="5"/>
  <c r="I865" i="5"/>
  <c r="I867" i="5"/>
  <c r="I869" i="5"/>
  <c r="I871" i="5"/>
  <c r="K871" i="5" s="1"/>
  <c r="I873" i="5"/>
  <c r="I875" i="5"/>
  <c r="I877" i="5"/>
  <c r="I879" i="5"/>
  <c r="I881" i="5"/>
  <c r="I883" i="5"/>
  <c r="K883" i="5" s="1"/>
  <c r="I885" i="5"/>
  <c r="I887" i="5"/>
  <c r="I889" i="5"/>
  <c r="I891" i="5"/>
  <c r="I893" i="5"/>
  <c r="I895" i="5"/>
  <c r="K895" i="5" s="1"/>
  <c r="I897" i="5"/>
  <c r="I899" i="5"/>
  <c r="I901" i="5"/>
  <c r="I903" i="5"/>
  <c r="I905" i="5"/>
  <c r="I907" i="5"/>
  <c r="K907" i="5" s="1"/>
  <c r="I909" i="5"/>
  <c r="I911" i="5"/>
  <c r="I913" i="5"/>
  <c r="I915" i="5"/>
  <c r="I917" i="5"/>
  <c r="I919" i="5"/>
  <c r="K919" i="5" s="1"/>
  <c r="I921" i="5"/>
  <c r="I923" i="5"/>
  <c r="I925" i="5"/>
  <c r="I927" i="5"/>
  <c r="I929" i="5"/>
  <c r="I931" i="5"/>
  <c r="K931" i="5" s="1"/>
  <c r="I933" i="5"/>
  <c r="I935" i="5"/>
  <c r="I937" i="5"/>
  <c r="I939" i="5"/>
  <c r="I941" i="5"/>
  <c r="I943" i="5"/>
  <c r="K943" i="5" s="1"/>
  <c r="I945" i="5"/>
  <c r="I947" i="5"/>
  <c r="I949" i="5"/>
  <c r="I951" i="5"/>
  <c r="I953" i="5"/>
  <c r="I955" i="5"/>
  <c r="K955" i="5" s="1"/>
  <c r="I957" i="5"/>
  <c r="I959" i="5"/>
  <c r="I961" i="5"/>
  <c r="I963" i="5"/>
  <c r="I965" i="5"/>
  <c r="I967" i="5"/>
  <c r="K967" i="5" s="1"/>
  <c r="I938" i="5"/>
  <c r="I942" i="5"/>
  <c r="I946" i="5"/>
  <c r="I950" i="5"/>
  <c r="I954" i="5"/>
  <c r="I958" i="5"/>
  <c r="I962" i="5"/>
  <c r="I966" i="5"/>
  <c r="I969" i="5"/>
  <c r="I971" i="5"/>
  <c r="I973" i="5"/>
  <c r="I975" i="5"/>
  <c r="I977" i="5"/>
  <c r="I979" i="5"/>
  <c r="K979" i="5" s="1"/>
  <c r="I981" i="5"/>
  <c r="I983" i="5"/>
  <c r="I985" i="5"/>
  <c r="I987" i="5"/>
  <c r="I989" i="5"/>
  <c r="I991" i="5"/>
  <c r="K991" i="5" s="1"/>
  <c r="I993" i="5"/>
  <c r="I995" i="5"/>
  <c r="I997" i="5"/>
  <c r="I999" i="5"/>
  <c r="I1001" i="5"/>
  <c r="I940" i="5"/>
  <c r="I944" i="5"/>
  <c r="I948" i="5"/>
  <c r="I952" i="5"/>
  <c r="I956" i="5"/>
  <c r="I960" i="5"/>
  <c r="I964" i="5"/>
  <c r="I968" i="5"/>
  <c r="I970" i="5"/>
  <c r="I972" i="5"/>
  <c r="I974" i="5"/>
  <c r="I976" i="5"/>
  <c r="I978" i="5"/>
  <c r="I980" i="5"/>
  <c r="I982" i="5"/>
  <c r="I984" i="5"/>
  <c r="I986" i="5"/>
  <c r="I988" i="5"/>
  <c r="I990" i="5"/>
  <c r="I992" i="5"/>
  <c r="I994" i="5"/>
  <c r="I996" i="5"/>
  <c r="I998" i="5"/>
  <c r="I1000" i="5"/>
  <c r="I1002" i="5"/>
  <c r="I1003" i="5"/>
  <c r="K1003" i="5" s="1"/>
  <c r="P3" i="5"/>
  <c r="R3" i="5" s="1"/>
  <c r="S3" i="5" s="1"/>
  <c r="P5" i="5"/>
  <c r="P7" i="5"/>
  <c r="P9" i="5"/>
  <c r="F1" i="15"/>
  <c r="P6" i="5"/>
  <c r="P10" i="5"/>
  <c r="P11" i="5"/>
  <c r="P13" i="5"/>
  <c r="P15" i="5"/>
  <c r="P17" i="5"/>
  <c r="P19" i="5"/>
  <c r="P12" i="5"/>
  <c r="P14" i="5"/>
  <c r="P16" i="5"/>
  <c r="P18" i="5"/>
  <c r="P21" i="5"/>
  <c r="P23" i="5"/>
  <c r="P25" i="5"/>
  <c r="P27" i="5"/>
  <c r="P4" i="5"/>
  <c r="P8" i="5"/>
  <c r="P20" i="5"/>
  <c r="P22" i="5"/>
  <c r="P24" i="5"/>
  <c r="P26" i="5"/>
  <c r="P28" i="5"/>
  <c r="P30" i="5"/>
  <c r="P32" i="5"/>
  <c r="P34" i="5"/>
  <c r="P36" i="5"/>
  <c r="P38" i="5"/>
  <c r="P40" i="5"/>
  <c r="P42" i="5"/>
  <c r="P44" i="5"/>
  <c r="P29" i="5"/>
  <c r="P33" i="5"/>
  <c r="P43" i="5"/>
  <c r="P46" i="5"/>
  <c r="P48" i="5"/>
  <c r="P50" i="5"/>
  <c r="P52" i="5"/>
  <c r="P54" i="5"/>
  <c r="P56" i="5"/>
  <c r="P58" i="5"/>
  <c r="P60" i="5"/>
  <c r="P62" i="5"/>
  <c r="P64" i="5"/>
  <c r="P66" i="5"/>
  <c r="P68" i="5"/>
  <c r="P31" i="5"/>
  <c r="P35" i="5"/>
  <c r="P37" i="5"/>
  <c r="P39" i="5"/>
  <c r="P41" i="5"/>
  <c r="P45" i="5"/>
  <c r="P47" i="5"/>
  <c r="P49" i="5"/>
  <c r="P51" i="5"/>
  <c r="P53" i="5"/>
  <c r="P55" i="5"/>
  <c r="P57" i="5"/>
  <c r="P59" i="5"/>
  <c r="P61" i="5"/>
  <c r="P63" i="5"/>
  <c r="P65" i="5"/>
  <c r="P67" i="5"/>
  <c r="P69" i="5"/>
  <c r="P71" i="5"/>
  <c r="P73" i="5"/>
  <c r="P75" i="5"/>
  <c r="P77" i="5"/>
  <c r="P79" i="5"/>
  <c r="P81" i="5"/>
  <c r="P83" i="5"/>
  <c r="P85" i="5"/>
  <c r="P87" i="5"/>
  <c r="P89" i="5"/>
  <c r="P91" i="5"/>
  <c r="P93" i="5"/>
  <c r="P95" i="5"/>
  <c r="P72" i="5"/>
  <c r="P76" i="5"/>
  <c r="P80" i="5"/>
  <c r="P84" i="5"/>
  <c r="P88" i="5"/>
  <c r="P92" i="5"/>
  <c r="P97" i="5"/>
  <c r="P99" i="5"/>
  <c r="P101" i="5"/>
  <c r="P103" i="5"/>
  <c r="P105" i="5"/>
  <c r="P107" i="5"/>
  <c r="P109" i="5"/>
  <c r="P111" i="5"/>
  <c r="P113" i="5"/>
  <c r="P115" i="5"/>
  <c r="P117" i="5"/>
  <c r="P119" i="5"/>
  <c r="P121" i="5"/>
  <c r="P123" i="5"/>
  <c r="P70" i="5"/>
  <c r="P74" i="5"/>
  <c r="P78" i="5"/>
  <c r="P82" i="5"/>
  <c r="P86" i="5"/>
  <c r="P90" i="5"/>
  <c r="P94" i="5"/>
  <c r="P96" i="5"/>
  <c r="P98" i="5"/>
  <c r="P100" i="5"/>
  <c r="P102" i="5"/>
  <c r="P104" i="5"/>
  <c r="P106" i="5"/>
  <c r="P108" i="5"/>
  <c r="P110" i="5"/>
  <c r="P112" i="5"/>
  <c r="P114" i="5"/>
  <c r="P116" i="5"/>
  <c r="P118" i="5"/>
  <c r="P120" i="5"/>
  <c r="P122" i="5"/>
  <c r="P124" i="5"/>
  <c r="P126" i="5"/>
  <c r="P128" i="5"/>
  <c r="P130" i="5"/>
  <c r="P132" i="5"/>
  <c r="P134" i="5"/>
  <c r="P136" i="5"/>
  <c r="P138" i="5"/>
  <c r="P140" i="5"/>
  <c r="P142" i="5"/>
  <c r="P144" i="5"/>
  <c r="P129" i="5"/>
  <c r="P135" i="5"/>
  <c r="P137" i="5"/>
  <c r="P139" i="5"/>
  <c r="P143" i="5"/>
  <c r="P145" i="5"/>
  <c r="P146" i="5"/>
  <c r="P148" i="5"/>
  <c r="P150" i="5"/>
  <c r="P152" i="5"/>
  <c r="P154" i="5"/>
  <c r="P156" i="5"/>
  <c r="P158" i="5"/>
  <c r="P160" i="5"/>
  <c r="P162" i="5"/>
  <c r="P164" i="5"/>
  <c r="P166" i="5"/>
  <c r="P168" i="5"/>
  <c r="P170" i="5"/>
  <c r="P172" i="5"/>
  <c r="P174" i="5"/>
  <c r="P176" i="5"/>
  <c r="P178" i="5"/>
  <c r="P180" i="5"/>
  <c r="P182" i="5"/>
  <c r="P184" i="5"/>
  <c r="P186" i="5"/>
  <c r="P188" i="5"/>
  <c r="P190" i="5"/>
  <c r="P192" i="5"/>
  <c r="P194" i="5"/>
  <c r="P196" i="5"/>
  <c r="P198" i="5"/>
  <c r="P125" i="5"/>
  <c r="P127" i="5"/>
  <c r="P131" i="5"/>
  <c r="P133" i="5"/>
  <c r="P141" i="5"/>
  <c r="P147" i="5"/>
  <c r="P149" i="5"/>
  <c r="P151" i="5"/>
  <c r="P153" i="5"/>
  <c r="P155" i="5"/>
  <c r="P157" i="5"/>
  <c r="P159" i="5"/>
  <c r="P161" i="5"/>
  <c r="P163" i="5"/>
  <c r="P165" i="5"/>
  <c r="P167" i="5"/>
  <c r="P169" i="5"/>
  <c r="P171" i="5"/>
  <c r="P173" i="5"/>
  <c r="P175" i="5"/>
  <c r="P177" i="5"/>
  <c r="P179" i="5"/>
  <c r="P181" i="5"/>
  <c r="P183" i="5"/>
  <c r="P185" i="5"/>
  <c r="P187" i="5"/>
  <c r="P189" i="5"/>
  <c r="P191" i="5"/>
  <c r="P193" i="5"/>
  <c r="P195" i="5"/>
  <c r="P197" i="5"/>
  <c r="P199" i="5"/>
  <c r="P201" i="5"/>
  <c r="P203" i="5"/>
  <c r="P205" i="5"/>
  <c r="P207" i="5"/>
  <c r="P209" i="5"/>
  <c r="P211" i="5"/>
  <c r="P213" i="5"/>
  <c r="P215" i="5"/>
  <c r="P217" i="5"/>
  <c r="P219" i="5"/>
  <c r="P221" i="5"/>
  <c r="P223" i="5"/>
  <c r="P225" i="5"/>
  <c r="P227" i="5"/>
  <c r="P202" i="5"/>
  <c r="P206" i="5"/>
  <c r="P210" i="5"/>
  <c r="P214" i="5"/>
  <c r="P218" i="5"/>
  <c r="P222" i="5"/>
  <c r="P226" i="5"/>
  <c r="P230" i="5"/>
  <c r="P232" i="5"/>
  <c r="P234" i="5"/>
  <c r="P236" i="5"/>
  <c r="P238" i="5"/>
  <c r="P240" i="5"/>
  <c r="P242" i="5"/>
  <c r="P244" i="5"/>
  <c r="P246" i="5"/>
  <c r="P248" i="5"/>
  <c r="P250" i="5"/>
  <c r="P252" i="5"/>
  <c r="P254" i="5"/>
  <c r="P256" i="5"/>
  <c r="P258" i="5"/>
  <c r="P260" i="5"/>
  <c r="P262" i="5"/>
  <c r="P264" i="5"/>
  <c r="P266" i="5"/>
  <c r="P268" i="5"/>
  <c r="P270" i="5"/>
  <c r="P272" i="5"/>
  <c r="P274" i="5"/>
  <c r="P276" i="5"/>
  <c r="P278" i="5"/>
  <c r="P280" i="5"/>
  <c r="P282" i="5"/>
  <c r="P284" i="5"/>
  <c r="P286" i="5"/>
  <c r="P288" i="5"/>
  <c r="P290" i="5"/>
  <c r="P292" i="5"/>
  <c r="P294" i="5"/>
  <c r="P296" i="5"/>
  <c r="P298" i="5"/>
  <c r="P300" i="5"/>
  <c r="P302" i="5"/>
  <c r="P304" i="5"/>
  <c r="P306" i="5"/>
  <c r="P200" i="5"/>
  <c r="P204" i="5"/>
  <c r="P208" i="5"/>
  <c r="P212" i="5"/>
  <c r="P216" i="5"/>
  <c r="P220" i="5"/>
  <c r="P224" i="5"/>
  <c r="P228" i="5"/>
  <c r="P229" i="5"/>
  <c r="P231" i="5"/>
  <c r="P233" i="5"/>
  <c r="P235" i="5"/>
  <c r="P237" i="5"/>
  <c r="P239" i="5"/>
  <c r="P241" i="5"/>
  <c r="P243" i="5"/>
  <c r="P245" i="5"/>
  <c r="P247" i="5"/>
  <c r="P249" i="5"/>
  <c r="P251" i="5"/>
  <c r="P253" i="5"/>
  <c r="P255" i="5"/>
  <c r="P257" i="5"/>
  <c r="P259" i="5"/>
  <c r="P261" i="5"/>
  <c r="P263" i="5"/>
  <c r="P265" i="5"/>
  <c r="P267" i="5"/>
  <c r="P269" i="5"/>
  <c r="P271" i="5"/>
  <c r="P273" i="5"/>
  <c r="P275" i="5"/>
  <c r="P277" i="5"/>
  <c r="P279" i="5"/>
  <c r="P281" i="5"/>
  <c r="P283" i="5"/>
  <c r="P285" i="5"/>
  <c r="P287" i="5"/>
  <c r="P289" i="5"/>
  <c r="P291" i="5"/>
  <c r="P293" i="5"/>
  <c r="P295" i="5"/>
  <c r="P297" i="5"/>
  <c r="P299" i="5"/>
  <c r="P301" i="5"/>
  <c r="P303" i="5"/>
  <c r="P305" i="5"/>
  <c r="P307" i="5"/>
  <c r="P309" i="5"/>
  <c r="P311" i="5"/>
  <c r="P313" i="5"/>
  <c r="P315" i="5"/>
  <c r="P317" i="5"/>
  <c r="P319" i="5"/>
  <c r="P321" i="5"/>
  <c r="P323" i="5"/>
  <c r="P325" i="5"/>
  <c r="P327" i="5"/>
  <c r="P329" i="5"/>
  <c r="P331" i="5"/>
  <c r="P333" i="5"/>
  <c r="P335" i="5"/>
  <c r="P308" i="5"/>
  <c r="P312" i="5"/>
  <c r="P316" i="5"/>
  <c r="P320" i="5"/>
  <c r="P324" i="5"/>
  <c r="P328" i="5"/>
  <c r="P332" i="5"/>
  <c r="P336" i="5"/>
  <c r="P338" i="5"/>
  <c r="P340" i="5"/>
  <c r="P342" i="5"/>
  <c r="P344" i="5"/>
  <c r="P346" i="5"/>
  <c r="P348" i="5"/>
  <c r="P350" i="5"/>
  <c r="P352" i="5"/>
  <c r="P354" i="5"/>
  <c r="P356" i="5"/>
  <c r="P358" i="5"/>
  <c r="P360" i="5"/>
  <c r="P362" i="5"/>
  <c r="P364" i="5"/>
  <c r="P366" i="5"/>
  <c r="P368" i="5"/>
  <c r="P370" i="5"/>
  <c r="P372" i="5"/>
  <c r="P374" i="5"/>
  <c r="P376" i="5"/>
  <c r="P378" i="5"/>
  <c r="P380" i="5"/>
  <c r="P382" i="5"/>
  <c r="P384" i="5"/>
  <c r="P386" i="5"/>
  <c r="P388" i="5"/>
  <c r="P390" i="5"/>
  <c r="P392" i="5"/>
  <c r="P394" i="5"/>
  <c r="P396" i="5"/>
  <c r="P398" i="5"/>
  <c r="P400" i="5"/>
  <c r="P402" i="5"/>
  <c r="P404" i="5"/>
  <c r="P406" i="5"/>
  <c r="P408" i="5"/>
  <c r="P410" i="5"/>
  <c r="P412" i="5"/>
  <c r="P414" i="5"/>
  <c r="P416" i="5"/>
  <c r="P418" i="5"/>
  <c r="P420" i="5"/>
  <c r="P422" i="5"/>
  <c r="P424" i="5"/>
  <c r="P426" i="5"/>
  <c r="P428" i="5"/>
  <c r="P430" i="5"/>
  <c r="P432" i="5"/>
  <c r="P434" i="5"/>
  <c r="P436" i="5"/>
  <c r="P438" i="5"/>
  <c r="P440" i="5"/>
  <c r="P442" i="5"/>
  <c r="P444" i="5"/>
  <c r="P446" i="5"/>
  <c r="P448" i="5"/>
  <c r="P310" i="5"/>
  <c r="P314" i="5"/>
  <c r="P318" i="5"/>
  <c r="P322" i="5"/>
  <c r="P326" i="5"/>
  <c r="P330" i="5"/>
  <c r="P334" i="5"/>
  <c r="P337" i="5"/>
  <c r="P339" i="5"/>
  <c r="P341" i="5"/>
  <c r="P343" i="5"/>
  <c r="P345" i="5"/>
  <c r="P347" i="5"/>
  <c r="P349" i="5"/>
  <c r="P351" i="5"/>
  <c r="P353" i="5"/>
  <c r="P355" i="5"/>
  <c r="P357" i="5"/>
  <c r="P359" i="5"/>
  <c r="P361" i="5"/>
  <c r="P363" i="5"/>
  <c r="P365" i="5"/>
  <c r="P367" i="5"/>
  <c r="P369" i="5"/>
  <c r="P371" i="5"/>
  <c r="P373" i="5"/>
  <c r="P375" i="5"/>
  <c r="P377" i="5"/>
  <c r="P379" i="5"/>
  <c r="P381" i="5"/>
  <c r="P383" i="5"/>
  <c r="P385" i="5"/>
  <c r="P387" i="5"/>
  <c r="P389" i="5"/>
  <c r="P391" i="5"/>
  <c r="P393" i="5"/>
  <c r="P395" i="5"/>
  <c r="P397" i="5"/>
  <c r="P399" i="5"/>
  <c r="P401" i="5"/>
  <c r="P403" i="5"/>
  <c r="P405" i="5"/>
  <c r="P407" i="5"/>
  <c r="P409" i="5"/>
  <c r="P411" i="5"/>
  <c r="P413" i="5"/>
  <c r="P415" i="5"/>
  <c r="P417" i="5"/>
  <c r="P419" i="5"/>
  <c r="P421" i="5"/>
  <c r="P423" i="5"/>
  <c r="P425" i="5"/>
  <c r="P427" i="5"/>
  <c r="P429" i="5"/>
  <c r="P431" i="5"/>
  <c r="P433" i="5"/>
  <c r="P435" i="5"/>
  <c r="P437" i="5"/>
  <c r="P439" i="5"/>
  <c r="P441" i="5"/>
  <c r="P443" i="5"/>
  <c r="P445" i="5"/>
  <c r="P447" i="5"/>
  <c r="P449" i="5"/>
  <c r="P451" i="5"/>
  <c r="P453" i="5"/>
  <c r="P455" i="5"/>
  <c r="P457" i="5"/>
  <c r="P459" i="5"/>
  <c r="P461" i="5"/>
  <c r="P463" i="5"/>
  <c r="P465" i="5"/>
  <c r="P467" i="5"/>
  <c r="P469" i="5"/>
  <c r="P471" i="5"/>
  <c r="P473" i="5"/>
  <c r="P475" i="5"/>
  <c r="P477" i="5"/>
  <c r="P450" i="5"/>
  <c r="P454" i="5"/>
  <c r="P458" i="5"/>
  <c r="P462" i="5"/>
  <c r="P466" i="5"/>
  <c r="P470" i="5"/>
  <c r="P474" i="5"/>
  <c r="P478" i="5"/>
  <c r="P480" i="5"/>
  <c r="P482" i="5"/>
  <c r="P484" i="5"/>
  <c r="P486" i="5"/>
  <c r="P488" i="5"/>
  <c r="P490" i="5"/>
  <c r="P492" i="5"/>
  <c r="P494" i="5"/>
  <c r="P496" i="5"/>
  <c r="P498" i="5"/>
  <c r="P500" i="5"/>
  <c r="P502" i="5"/>
  <c r="P504" i="5"/>
  <c r="P506" i="5"/>
  <c r="P508" i="5"/>
  <c r="P510" i="5"/>
  <c r="P512" i="5"/>
  <c r="P514" i="5"/>
  <c r="P516" i="5"/>
  <c r="P518" i="5"/>
  <c r="P520" i="5"/>
  <c r="P522" i="5"/>
  <c r="P524" i="5"/>
  <c r="P526" i="5"/>
  <c r="P528" i="5"/>
  <c r="P530" i="5"/>
  <c r="P532" i="5"/>
  <c r="P534" i="5"/>
  <c r="P536" i="5"/>
  <c r="P538" i="5"/>
  <c r="P540" i="5"/>
  <c r="P542" i="5"/>
  <c r="P544" i="5"/>
  <c r="P546" i="5"/>
  <c r="P548" i="5"/>
  <c r="P550" i="5"/>
  <c r="P552" i="5"/>
  <c r="P554" i="5"/>
  <c r="P556" i="5"/>
  <c r="P558" i="5"/>
  <c r="P560" i="5"/>
  <c r="P562" i="5"/>
  <c r="P564" i="5"/>
  <c r="P566" i="5"/>
  <c r="P568" i="5"/>
  <c r="P570" i="5"/>
  <c r="P572" i="5"/>
  <c r="P574" i="5"/>
  <c r="P576" i="5"/>
  <c r="P578" i="5"/>
  <c r="P580" i="5"/>
  <c r="P582" i="5"/>
  <c r="P584" i="5"/>
  <c r="P586" i="5"/>
  <c r="P588" i="5"/>
  <c r="P590" i="5"/>
  <c r="P592" i="5"/>
  <c r="P594" i="5"/>
  <c r="P596" i="5"/>
  <c r="P598" i="5"/>
  <c r="P600" i="5"/>
  <c r="P602" i="5"/>
  <c r="P604" i="5"/>
  <c r="P606" i="5"/>
  <c r="P608" i="5"/>
  <c r="P610" i="5"/>
  <c r="P612" i="5"/>
  <c r="P614" i="5"/>
  <c r="P616" i="5"/>
  <c r="P618" i="5"/>
  <c r="P620" i="5"/>
  <c r="P622" i="5"/>
  <c r="P624" i="5"/>
  <c r="P626" i="5"/>
  <c r="P628" i="5"/>
  <c r="P630" i="5"/>
  <c r="P632" i="5"/>
  <c r="P634" i="5"/>
  <c r="P636" i="5"/>
  <c r="P638" i="5"/>
  <c r="P640" i="5"/>
  <c r="P642" i="5"/>
  <c r="P644" i="5"/>
  <c r="P646" i="5"/>
  <c r="P648" i="5"/>
  <c r="P650" i="5"/>
  <c r="P652" i="5"/>
  <c r="P654" i="5"/>
  <c r="P452" i="5"/>
  <c r="P456" i="5"/>
  <c r="P460" i="5"/>
  <c r="P464" i="5"/>
  <c r="P468" i="5"/>
  <c r="P472" i="5"/>
  <c r="P476" i="5"/>
  <c r="P479" i="5"/>
  <c r="P481" i="5"/>
  <c r="P483" i="5"/>
  <c r="P485" i="5"/>
  <c r="P487" i="5"/>
  <c r="P489" i="5"/>
  <c r="P491" i="5"/>
  <c r="P493" i="5"/>
  <c r="P495" i="5"/>
  <c r="P497" i="5"/>
  <c r="P499" i="5"/>
  <c r="P501" i="5"/>
  <c r="P503" i="5"/>
  <c r="P505" i="5"/>
  <c r="P507" i="5"/>
  <c r="P509" i="5"/>
  <c r="P511" i="5"/>
  <c r="P513" i="5"/>
  <c r="P515" i="5"/>
  <c r="P517" i="5"/>
  <c r="P519" i="5"/>
  <c r="P521" i="5"/>
  <c r="P523" i="5"/>
  <c r="P525" i="5"/>
  <c r="P527" i="5"/>
  <c r="P529" i="5"/>
  <c r="P531" i="5"/>
  <c r="P533" i="5"/>
  <c r="P535" i="5"/>
  <c r="P537" i="5"/>
  <c r="P539" i="5"/>
  <c r="P541" i="5"/>
  <c r="P543" i="5"/>
  <c r="P545" i="5"/>
  <c r="P547" i="5"/>
  <c r="P549" i="5"/>
  <c r="P551" i="5"/>
  <c r="P553" i="5"/>
  <c r="P555" i="5"/>
  <c r="P557" i="5"/>
  <c r="P559" i="5"/>
  <c r="P561" i="5"/>
  <c r="P563" i="5"/>
  <c r="P565" i="5"/>
  <c r="P567" i="5"/>
  <c r="P569" i="5"/>
  <c r="P571" i="5"/>
  <c r="P573" i="5"/>
  <c r="P575" i="5"/>
  <c r="P577" i="5"/>
  <c r="P579" i="5"/>
  <c r="P581" i="5"/>
  <c r="P583" i="5"/>
  <c r="P585" i="5"/>
  <c r="P587" i="5"/>
  <c r="P589" i="5"/>
  <c r="P591" i="5"/>
  <c r="P593" i="5"/>
  <c r="P595" i="5"/>
  <c r="P597" i="5"/>
  <c r="P599" i="5"/>
  <c r="P601" i="5"/>
  <c r="P603" i="5"/>
  <c r="P605" i="5"/>
  <c r="P607" i="5"/>
  <c r="P609" i="5"/>
  <c r="P611" i="5"/>
  <c r="P613" i="5"/>
  <c r="P615" i="5"/>
  <c r="P617" i="5"/>
  <c r="P619" i="5"/>
  <c r="P621" i="5"/>
  <c r="P623" i="5"/>
  <c r="P625" i="5"/>
  <c r="P627" i="5"/>
  <c r="P629" i="5"/>
  <c r="P631" i="5"/>
  <c r="P633" i="5"/>
  <c r="P635" i="5"/>
  <c r="P637" i="5"/>
  <c r="P639" i="5"/>
  <c r="P641" i="5"/>
  <c r="P643" i="5"/>
  <c r="P645" i="5"/>
  <c r="P647" i="5"/>
  <c r="P649" i="5"/>
  <c r="P651" i="5"/>
  <c r="P653" i="5"/>
  <c r="P655" i="5"/>
  <c r="P657" i="5"/>
  <c r="P659" i="5"/>
  <c r="P661" i="5"/>
  <c r="P663" i="5"/>
  <c r="P665" i="5"/>
  <c r="P667" i="5"/>
  <c r="P669" i="5"/>
  <c r="P671" i="5"/>
  <c r="P673" i="5"/>
  <c r="P675" i="5"/>
  <c r="P677" i="5"/>
  <c r="P679" i="5"/>
  <c r="P681" i="5"/>
  <c r="P683" i="5"/>
  <c r="P685" i="5"/>
  <c r="P687" i="5"/>
  <c r="P689" i="5"/>
  <c r="P691" i="5"/>
  <c r="P693" i="5"/>
  <c r="P695" i="5"/>
  <c r="P697" i="5"/>
  <c r="P699" i="5"/>
  <c r="P701" i="5"/>
  <c r="P703" i="5"/>
  <c r="P705" i="5"/>
  <c r="P707" i="5"/>
  <c r="P709" i="5"/>
  <c r="P656" i="5"/>
  <c r="P660" i="5"/>
  <c r="P664" i="5"/>
  <c r="P668" i="5"/>
  <c r="P672" i="5"/>
  <c r="P676" i="5"/>
  <c r="P680" i="5"/>
  <c r="P684" i="5"/>
  <c r="P688" i="5"/>
  <c r="P692" i="5"/>
  <c r="P696" i="5"/>
  <c r="P700" i="5"/>
  <c r="P704" i="5"/>
  <c r="P708" i="5"/>
  <c r="P710" i="5"/>
  <c r="P712" i="5"/>
  <c r="P714" i="5"/>
  <c r="P716" i="5"/>
  <c r="P718" i="5"/>
  <c r="P720" i="5"/>
  <c r="P722" i="5"/>
  <c r="P724" i="5"/>
  <c r="P726" i="5"/>
  <c r="P728" i="5"/>
  <c r="P730" i="5"/>
  <c r="P732" i="5"/>
  <c r="P734" i="5"/>
  <c r="P736" i="5"/>
  <c r="P738" i="5"/>
  <c r="P740" i="5"/>
  <c r="P742" i="5"/>
  <c r="P744" i="5"/>
  <c r="P746" i="5"/>
  <c r="P748" i="5"/>
  <c r="P750" i="5"/>
  <c r="P752" i="5"/>
  <c r="P754" i="5"/>
  <c r="P756" i="5"/>
  <c r="P758" i="5"/>
  <c r="P760" i="5"/>
  <c r="P762" i="5"/>
  <c r="P764" i="5"/>
  <c r="P766" i="5"/>
  <c r="P768" i="5"/>
  <c r="P770" i="5"/>
  <c r="P772" i="5"/>
  <c r="P774" i="5"/>
  <c r="P776" i="5"/>
  <c r="P778" i="5"/>
  <c r="P780" i="5"/>
  <c r="P782" i="5"/>
  <c r="P784" i="5"/>
  <c r="P786" i="5"/>
  <c r="P788" i="5"/>
  <c r="P790" i="5"/>
  <c r="P792" i="5"/>
  <c r="P794" i="5"/>
  <c r="P796" i="5"/>
  <c r="P798" i="5"/>
  <c r="P800" i="5"/>
  <c r="P802" i="5"/>
  <c r="P804" i="5"/>
  <c r="P806" i="5"/>
  <c r="P808" i="5"/>
  <c r="P810" i="5"/>
  <c r="P812" i="5"/>
  <c r="P814" i="5"/>
  <c r="P816" i="5"/>
  <c r="P818" i="5"/>
  <c r="P820" i="5"/>
  <c r="P822" i="5"/>
  <c r="P824" i="5"/>
  <c r="P826" i="5"/>
  <c r="P828" i="5"/>
  <c r="P830" i="5"/>
  <c r="P832" i="5"/>
  <c r="P834" i="5"/>
  <c r="P836" i="5"/>
  <c r="P838" i="5"/>
  <c r="P840" i="5"/>
  <c r="P842" i="5"/>
  <c r="P844" i="5"/>
  <c r="P846" i="5"/>
  <c r="P848" i="5"/>
  <c r="P850" i="5"/>
  <c r="P852" i="5"/>
  <c r="P854" i="5"/>
  <c r="P856" i="5"/>
  <c r="P858" i="5"/>
  <c r="P860" i="5"/>
  <c r="P862" i="5"/>
  <c r="P864" i="5"/>
  <c r="P866" i="5"/>
  <c r="P868" i="5"/>
  <c r="P870" i="5"/>
  <c r="P872" i="5"/>
  <c r="P874" i="5"/>
  <c r="P876" i="5"/>
  <c r="P878" i="5"/>
  <c r="P880" i="5"/>
  <c r="P882" i="5"/>
  <c r="P884" i="5"/>
  <c r="P886" i="5"/>
  <c r="P888" i="5"/>
  <c r="P890" i="5"/>
  <c r="P892" i="5"/>
  <c r="P894" i="5"/>
  <c r="P896" i="5"/>
  <c r="P898" i="5"/>
  <c r="P900" i="5"/>
  <c r="P902" i="5"/>
  <c r="P904" i="5"/>
  <c r="P906" i="5"/>
  <c r="P908" i="5"/>
  <c r="P910" i="5"/>
  <c r="P912" i="5"/>
  <c r="P914" i="5"/>
  <c r="P916" i="5"/>
  <c r="P918" i="5"/>
  <c r="P920" i="5"/>
  <c r="P922" i="5"/>
  <c r="P924" i="5"/>
  <c r="P926" i="5"/>
  <c r="P928" i="5"/>
  <c r="P930" i="5"/>
  <c r="P932" i="5"/>
  <c r="P934" i="5"/>
  <c r="P936" i="5"/>
  <c r="P658" i="5"/>
  <c r="P662" i="5"/>
  <c r="P666" i="5"/>
  <c r="P670" i="5"/>
  <c r="P674" i="5"/>
  <c r="P678" i="5"/>
  <c r="P682" i="5"/>
  <c r="P686" i="5"/>
  <c r="P690" i="5"/>
  <c r="P694" i="5"/>
  <c r="P698" i="5"/>
  <c r="P702" i="5"/>
  <c r="P706" i="5"/>
  <c r="P711" i="5"/>
  <c r="P713" i="5"/>
  <c r="P715" i="5"/>
  <c r="P717" i="5"/>
  <c r="P719" i="5"/>
  <c r="P721" i="5"/>
  <c r="P723" i="5"/>
  <c r="P725" i="5"/>
  <c r="P727" i="5"/>
  <c r="P729" i="5"/>
  <c r="P731" i="5"/>
  <c r="P733" i="5"/>
  <c r="P735" i="5"/>
  <c r="P737" i="5"/>
  <c r="P739" i="5"/>
  <c r="P741" i="5"/>
  <c r="P743" i="5"/>
  <c r="P745" i="5"/>
  <c r="P747" i="5"/>
  <c r="P749" i="5"/>
  <c r="P751" i="5"/>
  <c r="P753" i="5"/>
  <c r="P755" i="5"/>
  <c r="P757" i="5"/>
  <c r="P759" i="5"/>
  <c r="P761" i="5"/>
  <c r="P763" i="5"/>
  <c r="P765" i="5"/>
  <c r="P767" i="5"/>
  <c r="P769" i="5"/>
  <c r="P771" i="5"/>
  <c r="P773" i="5"/>
  <c r="P775" i="5"/>
  <c r="P777" i="5"/>
  <c r="P779" i="5"/>
  <c r="P781" i="5"/>
  <c r="P783" i="5"/>
  <c r="P785" i="5"/>
  <c r="P787" i="5"/>
  <c r="P789" i="5"/>
  <c r="P791" i="5"/>
  <c r="P793" i="5"/>
  <c r="P795" i="5"/>
  <c r="P797" i="5"/>
  <c r="P799" i="5"/>
  <c r="P801" i="5"/>
  <c r="P803" i="5"/>
  <c r="P805" i="5"/>
  <c r="P807" i="5"/>
  <c r="P809" i="5"/>
  <c r="P811" i="5"/>
  <c r="P813" i="5"/>
  <c r="P815" i="5"/>
  <c r="P817" i="5"/>
  <c r="P819" i="5"/>
  <c r="P821" i="5"/>
  <c r="P823" i="5"/>
  <c r="P825" i="5"/>
  <c r="P827" i="5"/>
  <c r="P829" i="5"/>
  <c r="P831" i="5"/>
  <c r="P833" i="5"/>
  <c r="P835" i="5"/>
  <c r="P837" i="5"/>
  <c r="P839" i="5"/>
  <c r="P841" i="5"/>
  <c r="P843" i="5"/>
  <c r="P845" i="5"/>
  <c r="P847" i="5"/>
  <c r="P849" i="5"/>
  <c r="P851" i="5"/>
  <c r="P853" i="5"/>
  <c r="P855" i="5"/>
  <c r="P857" i="5"/>
  <c r="P859" i="5"/>
  <c r="P861" i="5"/>
  <c r="P863" i="5"/>
  <c r="P865" i="5"/>
  <c r="P867" i="5"/>
  <c r="P869" i="5"/>
  <c r="P871" i="5"/>
  <c r="P873" i="5"/>
  <c r="P875" i="5"/>
  <c r="P877" i="5"/>
  <c r="P879" i="5"/>
  <c r="P881" i="5"/>
  <c r="P883" i="5"/>
  <c r="P885" i="5"/>
  <c r="P887" i="5"/>
  <c r="P889" i="5"/>
  <c r="P891" i="5"/>
  <c r="P893" i="5"/>
  <c r="P895" i="5"/>
  <c r="P897" i="5"/>
  <c r="P899" i="5"/>
  <c r="P901" i="5"/>
  <c r="P903" i="5"/>
  <c r="P905" i="5"/>
  <c r="P907" i="5"/>
  <c r="P909" i="5"/>
  <c r="P911" i="5"/>
  <c r="P913" i="5"/>
  <c r="P915" i="5"/>
  <c r="P917" i="5"/>
  <c r="P919" i="5"/>
  <c r="P921" i="5"/>
  <c r="P923" i="5"/>
  <c r="P925" i="5"/>
  <c r="P927" i="5"/>
  <c r="P929" i="5"/>
  <c r="P931" i="5"/>
  <c r="P933" i="5"/>
  <c r="P935" i="5"/>
  <c r="P937" i="5"/>
  <c r="P939" i="5"/>
  <c r="P941" i="5"/>
  <c r="P943" i="5"/>
  <c r="P945" i="5"/>
  <c r="P947" i="5"/>
  <c r="P949" i="5"/>
  <c r="P951" i="5"/>
  <c r="P953" i="5"/>
  <c r="P955" i="5"/>
  <c r="P957" i="5"/>
  <c r="P959" i="5"/>
  <c r="P961" i="5"/>
  <c r="P963" i="5"/>
  <c r="P965" i="5"/>
  <c r="P940" i="5"/>
  <c r="P944" i="5"/>
  <c r="P948" i="5"/>
  <c r="P952" i="5"/>
  <c r="P956" i="5"/>
  <c r="P960" i="5"/>
  <c r="P964" i="5"/>
  <c r="P967" i="5"/>
  <c r="P969" i="5"/>
  <c r="P971" i="5"/>
  <c r="P973" i="5"/>
  <c r="P975" i="5"/>
  <c r="P977" i="5"/>
  <c r="P979" i="5"/>
  <c r="P981" i="5"/>
  <c r="P983" i="5"/>
  <c r="P985" i="5"/>
  <c r="P987" i="5"/>
  <c r="P989" i="5"/>
  <c r="P991" i="5"/>
  <c r="P993" i="5"/>
  <c r="P995" i="5"/>
  <c r="P997" i="5"/>
  <c r="P999" i="5"/>
  <c r="P1001" i="5"/>
  <c r="P1003" i="5"/>
  <c r="P938" i="5"/>
  <c r="P942" i="5"/>
  <c r="P946" i="5"/>
  <c r="P950" i="5"/>
  <c r="P954" i="5"/>
  <c r="P958" i="5"/>
  <c r="P962" i="5"/>
  <c r="P966" i="5"/>
  <c r="P968" i="5"/>
  <c r="P970" i="5"/>
  <c r="P972" i="5"/>
  <c r="P974" i="5"/>
  <c r="P976" i="5"/>
  <c r="P978" i="5"/>
  <c r="P980" i="5"/>
  <c r="P982" i="5"/>
  <c r="P984" i="5"/>
  <c r="P986" i="5"/>
  <c r="P988" i="5"/>
  <c r="P990" i="5"/>
  <c r="P992" i="5"/>
  <c r="P994" i="5"/>
  <c r="P996" i="5"/>
  <c r="P998" i="5"/>
  <c r="P1000" i="5"/>
  <c r="P1002" i="5"/>
  <c r="F18" i="5"/>
  <c r="C30" i="5"/>
  <c r="F14" i="5"/>
  <c r="C26" i="5"/>
  <c r="F9" i="5"/>
  <c r="C21" i="5"/>
  <c r="F10" i="5"/>
  <c r="C22" i="5"/>
  <c r="F6" i="5"/>
  <c r="F3" i="5"/>
  <c r="K18" i="5"/>
  <c r="H30" i="5"/>
  <c r="K14" i="5"/>
  <c r="H26" i="5"/>
  <c r="K9" i="5"/>
  <c r="H21" i="5"/>
  <c r="K10" i="5"/>
  <c r="H22" i="5"/>
  <c r="K6" i="5"/>
  <c r="K15" i="5"/>
  <c r="H27" i="5"/>
  <c r="K17" i="5"/>
  <c r="L17" i="5" s="1"/>
  <c r="H29" i="5"/>
  <c r="L23" i="5"/>
  <c r="L103" i="5"/>
  <c r="K20" i="5"/>
  <c r="H32" i="5"/>
  <c r="K12" i="5"/>
  <c r="H24" i="5"/>
  <c r="K8" i="5"/>
  <c r="L8" i="5" s="1"/>
  <c r="K4" i="5"/>
  <c r="L4" i="5" s="1"/>
  <c r="L11" i="5"/>
  <c r="L15" i="5"/>
  <c r="H47" i="5"/>
  <c r="K35" i="5"/>
  <c r="K25" i="5"/>
  <c r="L25" i="5" s="1"/>
  <c r="H37" i="5"/>
  <c r="L91" i="5"/>
  <c r="F115" i="5"/>
  <c r="L115" i="5" s="1"/>
  <c r="C127" i="5"/>
  <c r="N136" i="5"/>
  <c r="B148" i="5"/>
  <c r="N140" i="5"/>
  <c r="B152" i="5"/>
  <c r="N144" i="5"/>
  <c r="B156" i="5"/>
  <c r="N138" i="5"/>
  <c r="B150" i="5"/>
  <c r="N142" i="5"/>
  <c r="B154" i="5"/>
  <c r="N146" i="5"/>
  <c r="B158" i="5"/>
  <c r="N487" i="5"/>
  <c r="B499" i="5"/>
  <c r="N843" i="5"/>
  <c r="B855" i="5"/>
  <c r="N845" i="5"/>
  <c r="B857" i="5"/>
  <c r="N849" i="5"/>
  <c r="B861" i="5"/>
  <c r="N851" i="5"/>
  <c r="B863" i="5"/>
  <c r="N853" i="5"/>
  <c r="B865" i="5"/>
  <c r="N865" i="5" l="1"/>
  <c r="B877" i="5"/>
  <c r="N861" i="5"/>
  <c r="B873" i="5"/>
  <c r="N855" i="5"/>
  <c r="B867" i="5"/>
  <c r="N499" i="5"/>
  <c r="B511" i="5"/>
  <c r="N154" i="5"/>
  <c r="B166" i="5"/>
  <c r="N150" i="5"/>
  <c r="B162" i="5"/>
  <c r="N156" i="5"/>
  <c r="B168" i="5"/>
  <c r="N148" i="5"/>
  <c r="B160" i="5"/>
  <c r="C139" i="5"/>
  <c r="F127" i="5"/>
  <c r="L127" i="5" s="1"/>
  <c r="K32" i="5"/>
  <c r="H44" i="5"/>
  <c r="H41" i="5"/>
  <c r="K29" i="5"/>
  <c r="L29" i="5" s="1"/>
  <c r="K27" i="5"/>
  <c r="L27" i="5" s="1"/>
  <c r="H39" i="5"/>
  <c r="L6" i="5"/>
  <c r="L9" i="5"/>
  <c r="L18" i="5"/>
  <c r="H59" i="5"/>
  <c r="K47" i="5"/>
  <c r="K22" i="5"/>
  <c r="H34" i="5"/>
  <c r="K21" i="5"/>
  <c r="H33" i="5"/>
  <c r="K26" i="5"/>
  <c r="H38" i="5"/>
  <c r="K30" i="5"/>
  <c r="H42" i="5"/>
  <c r="L3" i="5"/>
  <c r="L2" i="5"/>
  <c r="F22" i="5"/>
  <c r="L22" i="5" s="1"/>
  <c r="C34" i="5"/>
  <c r="F21" i="5"/>
  <c r="L21" i="5" s="1"/>
  <c r="C33" i="5"/>
  <c r="F26" i="5"/>
  <c r="L26" i="5" s="1"/>
  <c r="C38" i="5"/>
  <c r="F30" i="5"/>
  <c r="L30" i="5" s="1"/>
  <c r="C42" i="5"/>
  <c r="F123" i="5"/>
  <c r="C135" i="5"/>
  <c r="L35" i="5"/>
  <c r="L12" i="5"/>
  <c r="L16" i="5"/>
  <c r="L20" i="5"/>
  <c r="N863" i="5"/>
  <c r="B875" i="5"/>
  <c r="N857" i="5"/>
  <c r="B869" i="5"/>
  <c r="N158" i="5"/>
  <c r="B170" i="5"/>
  <c r="N152" i="5"/>
  <c r="B164" i="5"/>
  <c r="H49" i="5"/>
  <c r="K37" i="5"/>
  <c r="L37" i="5" s="1"/>
  <c r="K24" i="5"/>
  <c r="H36" i="5"/>
  <c r="L10" i="5"/>
  <c r="L14" i="5"/>
  <c r="C59" i="5"/>
  <c r="F47" i="5"/>
  <c r="L47" i="5" s="1"/>
  <c r="K28" i="5"/>
  <c r="H40" i="5"/>
  <c r="F24" i="5"/>
  <c r="L24" i="5" s="1"/>
  <c r="C36" i="5"/>
  <c r="F28" i="5"/>
  <c r="L28" i="5" s="1"/>
  <c r="C40" i="5"/>
  <c r="F32" i="5"/>
  <c r="L32" i="5" s="1"/>
  <c r="C44" i="5"/>
  <c r="F44" i="5" l="1"/>
  <c r="C56" i="5"/>
  <c r="F40" i="5"/>
  <c r="C52" i="5"/>
  <c r="F36" i="5"/>
  <c r="C48" i="5"/>
  <c r="K40" i="5"/>
  <c r="H52" i="5"/>
  <c r="F59" i="5"/>
  <c r="C71" i="5"/>
  <c r="H61" i="5"/>
  <c r="K49" i="5"/>
  <c r="L49" i="5" s="1"/>
  <c r="F42" i="5"/>
  <c r="C54" i="5"/>
  <c r="F38" i="5"/>
  <c r="C50" i="5"/>
  <c r="C45" i="5"/>
  <c r="F33" i="5"/>
  <c r="F34" i="5"/>
  <c r="C46" i="5"/>
  <c r="K42" i="5"/>
  <c r="H54" i="5"/>
  <c r="K38" i="5"/>
  <c r="H50" i="5"/>
  <c r="H45" i="5"/>
  <c r="K33" i="5"/>
  <c r="K34" i="5"/>
  <c r="H46" i="5"/>
  <c r="H51" i="5"/>
  <c r="K39" i="5"/>
  <c r="L39" i="5" s="1"/>
  <c r="K44" i="5"/>
  <c r="H56" i="5"/>
  <c r="N160" i="5"/>
  <c r="B172" i="5"/>
  <c r="N168" i="5"/>
  <c r="B180" i="5"/>
  <c r="N162" i="5"/>
  <c r="B174" i="5"/>
  <c r="N166" i="5"/>
  <c r="B178" i="5"/>
  <c r="N511" i="5"/>
  <c r="B523" i="5"/>
  <c r="N867" i="5"/>
  <c r="B879" i="5"/>
  <c r="N873" i="5"/>
  <c r="B885" i="5"/>
  <c r="N877" i="5"/>
  <c r="B889" i="5"/>
  <c r="K36" i="5"/>
  <c r="H48" i="5"/>
  <c r="N164" i="5"/>
  <c r="B176" i="5"/>
  <c r="N170" i="5"/>
  <c r="B182" i="5"/>
  <c r="N869" i="5"/>
  <c r="B881" i="5"/>
  <c r="N875" i="5"/>
  <c r="B887" i="5"/>
  <c r="F135" i="5"/>
  <c r="C147" i="5"/>
  <c r="Q4" i="5"/>
  <c r="K59" i="5"/>
  <c r="H71" i="5"/>
  <c r="H53" i="5"/>
  <c r="K41" i="5"/>
  <c r="L41" i="5" s="1"/>
  <c r="C151" i="5"/>
  <c r="F139" i="5"/>
  <c r="L139" i="5" s="1"/>
  <c r="H65" i="5" l="1"/>
  <c r="K53" i="5"/>
  <c r="L53" i="5" s="1"/>
  <c r="K71" i="5"/>
  <c r="H83" i="5"/>
  <c r="T3" i="5"/>
  <c r="U3" i="5" s="1"/>
  <c r="Q5" i="5"/>
  <c r="R4" i="5"/>
  <c r="S4" i="5" s="1"/>
  <c r="H63" i="5"/>
  <c r="K51" i="5"/>
  <c r="L51" i="5" s="1"/>
  <c r="H57" i="5"/>
  <c r="K45" i="5"/>
  <c r="L34" i="5"/>
  <c r="C57" i="5"/>
  <c r="F45" i="5"/>
  <c r="L45" i="5" s="1"/>
  <c r="L38" i="5"/>
  <c r="L42" i="5"/>
  <c r="F71" i="5"/>
  <c r="L71" i="5" s="1"/>
  <c r="C83" i="5"/>
  <c r="K52" i="5"/>
  <c r="H64" i="5"/>
  <c r="F48" i="5"/>
  <c r="C60" i="5"/>
  <c r="F52" i="5"/>
  <c r="L52" i="5" s="1"/>
  <c r="C64" i="5"/>
  <c r="F56" i="5"/>
  <c r="C68" i="5"/>
  <c r="C163" i="5"/>
  <c r="F151" i="5"/>
  <c r="L151" i="5" s="1"/>
  <c r="C159" i="5"/>
  <c r="F147" i="5"/>
  <c r="N887" i="5"/>
  <c r="B899" i="5"/>
  <c r="N881" i="5"/>
  <c r="B893" i="5"/>
  <c r="N182" i="5"/>
  <c r="B194" i="5"/>
  <c r="N176" i="5"/>
  <c r="B188" i="5"/>
  <c r="K48" i="5"/>
  <c r="H60" i="5"/>
  <c r="N889" i="5"/>
  <c r="B901" i="5"/>
  <c r="N885" i="5"/>
  <c r="B897" i="5"/>
  <c r="N879" i="5"/>
  <c r="B891" i="5"/>
  <c r="N523" i="5"/>
  <c r="B535" i="5"/>
  <c r="N178" i="5"/>
  <c r="B190" i="5"/>
  <c r="N174" i="5"/>
  <c r="B186" i="5"/>
  <c r="N180" i="5"/>
  <c r="B192" i="5"/>
  <c r="N172" i="5"/>
  <c r="B184" i="5"/>
  <c r="K56" i="5"/>
  <c r="H68" i="5"/>
  <c r="K46" i="5"/>
  <c r="H58" i="5"/>
  <c r="K50" i="5"/>
  <c r="H62" i="5"/>
  <c r="K54" i="5"/>
  <c r="H66" i="5"/>
  <c r="F46" i="5"/>
  <c r="L46" i="5" s="1"/>
  <c r="C58" i="5"/>
  <c r="L33" i="5"/>
  <c r="F50" i="5"/>
  <c r="C62" i="5"/>
  <c r="F54" i="5"/>
  <c r="C66" i="5"/>
  <c r="K61" i="5"/>
  <c r="L61" i="5" s="1"/>
  <c r="H73" i="5"/>
  <c r="L59" i="5"/>
  <c r="L36" i="5"/>
  <c r="L40" i="5"/>
  <c r="L44" i="5"/>
  <c r="F66" i="5" l="1"/>
  <c r="C78" i="5"/>
  <c r="L54" i="5"/>
  <c r="L50" i="5"/>
  <c r="F58" i="5"/>
  <c r="C70" i="5"/>
  <c r="K66" i="5"/>
  <c r="H78" i="5"/>
  <c r="K62" i="5"/>
  <c r="H74" i="5"/>
  <c r="K58" i="5"/>
  <c r="H70" i="5"/>
  <c r="K68" i="5"/>
  <c r="H80" i="5"/>
  <c r="N184" i="5"/>
  <c r="B196" i="5"/>
  <c r="N192" i="5"/>
  <c r="B204" i="5"/>
  <c r="N186" i="5"/>
  <c r="B198" i="5"/>
  <c r="N190" i="5"/>
  <c r="B202" i="5"/>
  <c r="N535" i="5"/>
  <c r="B547" i="5"/>
  <c r="N891" i="5"/>
  <c r="B903" i="5"/>
  <c r="N897" i="5"/>
  <c r="B909" i="5"/>
  <c r="N901" i="5"/>
  <c r="B913" i="5"/>
  <c r="K60" i="5"/>
  <c r="H72" i="5"/>
  <c r="N188" i="5"/>
  <c r="B200" i="5"/>
  <c r="N194" i="5"/>
  <c r="B206" i="5"/>
  <c r="N893" i="5"/>
  <c r="B905" i="5"/>
  <c r="N899" i="5"/>
  <c r="B911" i="5"/>
  <c r="F68" i="5"/>
  <c r="L68" i="5" s="1"/>
  <c r="C80" i="5"/>
  <c r="F64" i="5"/>
  <c r="C76" i="5"/>
  <c r="F60" i="5"/>
  <c r="C72" i="5"/>
  <c r="K64" i="5"/>
  <c r="H76" i="5"/>
  <c r="F83" i="5"/>
  <c r="C95" i="5"/>
  <c r="H69" i="5"/>
  <c r="K57" i="5"/>
  <c r="K63" i="5"/>
  <c r="L63" i="5" s="1"/>
  <c r="H75" i="5"/>
  <c r="K83" i="5"/>
  <c r="H95" i="5"/>
  <c r="K73" i="5"/>
  <c r="L73" i="5" s="1"/>
  <c r="H85" i="5"/>
  <c r="F62" i="5"/>
  <c r="L62" i="5" s="1"/>
  <c r="C74" i="5"/>
  <c r="C171" i="5"/>
  <c r="F159" i="5"/>
  <c r="C175" i="5"/>
  <c r="F163" i="5"/>
  <c r="L163" i="5" s="1"/>
  <c r="L56" i="5"/>
  <c r="L48" i="5"/>
  <c r="C69" i="5"/>
  <c r="F57" i="5"/>
  <c r="L57" i="5" s="1"/>
  <c r="Q6" i="5"/>
  <c r="T5" i="5"/>
  <c r="U5" i="5" s="1"/>
  <c r="R5" i="5"/>
  <c r="S5" i="5" s="1"/>
  <c r="T4" i="5"/>
  <c r="U4" i="5" s="1"/>
  <c r="K65" i="5"/>
  <c r="L65" i="5" s="1"/>
  <c r="H77" i="5"/>
  <c r="K77" i="5" l="1"/>
  <c r="L77" i="5" s="1"/>
  <c r="H89" i="5"/>
  <c r="T6" i="5"/>
  <c r="U6" i="5" s="1"/>
  <c r="Q7" i="5"/>
  <c r="R6" i="5"/>
  <c r="S6" i="5" s="1"/>
  <c r="F69" i="5"/>
  <c r="C81" i="5"/>
  <c r="C187" i="5"/>
  <c r="F175" i="5"/>
  <c r="L175" i="5" s="1"/>
  <c r="C183" i="5"/>
  <c r="F171" i="5"/>
  <c r="K69" i="5"/>
  <c r="H81" i="5"/>
  <c r="L83" i="5"/>
  <c r="L60" i="5"/>
  <c r="L64" i="5"/>
  <c r="N911" i="5"/>
  <c r="B923" i="5"/>
  <c r="N905" i="5"/>
  <c r="B917" i="5"/>
  <c r="N206" i="5"/>
  <c r="B218" i="5"/>
  <c r="N200" i="5"/>
  <c r="B212" i="5"/>
  <c r="H84" i="5"/>
  <c r="K72" i="5"/>
  <c r="N913" i="5"/>
  <c r="B925" i="5"/>
  <c r="N909" i="5"/>
  <c r="B921" i="5"/>
  <c r="N903" i="5"/>
  <c r="B915" i="5"/>
  <c r="N547" i="5"/>
  <c r="B559" i="5"/>
  <c r="N202" i="5"/>
  <c r="B214" i="5"/>
  <c r="N198" i="5"/>
  <c r="B210" i="5"/>
  <c r="N204" i="5"/>
  <c r="B216" i="5"/>
  <c r="N196" i="5"/>
  <c r="B208" i="5"/>
  <c r="H92" i="5"/>
  <c r="K80" i="5"/>
  <c r="H82" i="5"/>
  <c r="K70" i="5"/>
  <c r="H86" i="5"/>
  <c r="K74" i="5"/>
  <c r="H90" i="5"/>
  <c r="K78" i="5"/>
  <c r="F70" i="5"/>
  <c r="L70" i="5" s="1"/>
  <c r="C82" i="5"/>
  <c r="C90" i="5"/>
  <c r="F78" i="5"/>
  <c r="L78" i="5" s="1"/>
  <c r="C86" i="5"/>
  <c r="F74" i="5"/>
  <c r="L74" i="5" s="1"/>
  <c r="K85" i="5"/>
  <c r="L85" i="5" s="1"/>
  <c r="H97" i="5"/>
  <c r="K95" i="5"/>
  <c r="H107" i="5"/>
  <c r="K75" i="5"/>
  <c r="L75" i="5" s="1"/>
  <c r="H87" i="5"/>
  <c r="F95" i="5"/>
  <c r="L95" i="5" s="1"/>
  <c r="C107" i="5"/>
  <c r="H88" i="5"/>
  <c r="K76" i="5"/>
  <c r="C84" i="5"/>
  <c r="F72" i="5"/>
  <c r="L72" i="5" s="1"/>
  <c r="C88" i="5"/>
  <c r="F76" i="5"/>
  <c r="L76" i="5" s="1"/>
  <c r="C92" i="5"/>
  <c r="F80" i="5"/>
  <c r="L80" i="5" s="1"/>
  <c r="L58" i="5"/>
  <c r="L66" i="5"/>
  <c r="F92" i="5" l="1"/>
  <c r="C104" i="5"/>
  <c r="F88" i="5"/>
  <c r="C100" i="5"/>
  <c r="C96" i="5"/>
  <c r="F84" i="5"/>
  <c r="K88" i="5"/>
  <c r="H100" i="5"/>
  <c r="C98" i="5"/>
  <c r="F86" i="5"/>
  <c r="C94" i="5"/>
  <c r="F82" i="5"/>
  <c r="N208" i="5"/>
  <c r="B220" i="5"/>
  <c r="N216" i="5"/>
  <c r="B228" i="5"/>
  <c r="N210" i="5"/>
  <c r="B222" i="5"/>
  <c r="N214" i="5"/>
  <c r="B226" i="5"/>
  <c r="N559" i="5"/>
  <c r="B571" i="5"/>
  <c r="N915" i="5"/>
  <c r="B927" i="5"/>
  <c r="N921" i="5"/>
  <c r="B933" i="5"/>
  <c r="N925" i="5"/>
  <c r="B937" i="5"/>
  <c r="N212" i="5"/>
  <c r="B224" i="5"/>
  <c r="N218" i="5"/>
  <c r="B230" i="5"/>
  <c r="N917" i="5"/>
  <c r="B929" i="5"/>
  <c r="N923" i="5"/>
  <c r="B935" i="5"/>
  <c r="C195" i="5"/>
  <c r="F183" i="5"/>
  <c r="C199" i="5"/>
  <c r="F187" i="5"/>
  <c r="L187" i="5" s="1"/>
  <c r="L69" i="5"/>
  <c r="Q8" i="5"/>
  <c r="R7" i="5"/>
  <c r="S7" i="5" s="1"/>
  <c r="K89" i="5"/>
  <c r="L89" i="5" s="1"/>
  <c r="H101" i="5"/>
  <c r="F107" i="5"/>
  <c r="C119" i="5"/>
  <c r="K87" i="5"/>
  <c r="L87" i="5" s="1"/>
  <c r="H99" i="5"/>
  <c r="K107" i="5"/>
  <c r="H119" i="5"/>
  <c r="K97" i="5"/>
  <c r="L97" i="5" s="1"/>
  <c r="H109" i="5"/>
  <c r="C102" i="5"/>
  <c r="F90" i="5"/>
  <c r="H102" i="5"/>
  <c r="K90" i="5"/>
  <c r="H98" i="5"/>
  <c r="K86" i="5"/>
  <c r="H94" i="5"/>
  <c r="K82" i="5"/>
  <c r="K92" i="5"/>
  <c r="H104" i="5"/>
  <c r="H96" i="5"/>
  <c r="K84" i="5"/>
  <c r="K81" i="5"/>
  <c r="H93" i="5"/>
  <c r="F81" i="5"/>
  <c r="L81" i="5" s="1"/>
  <c r="C93" i="5"/>
  <c r="K93" i="5" l="1"/>
  <c r="H105" i="5"/>
  <c r="H116" i="5"/>
  <c r="K104" i="5"/>
  <c r="L90" i="5"/>
  <c r="K109" i="5"/>
  <c r="L109" i="5" s="1"/>
  <c r="H121" i="5"/>
  <c r="K119" i="5"/>
  <c r="H131" i="5"/>
  <c r="K99" i="5"/>
  <c r="L99" i="5" s="1"/>
  <c r="H111" i="5"/>
  <c r="F119" i="5"/>
  <c r="L119" i="5" s="1"/>
  <c r="C131" i="5"/>
  <c r="K101" i="5"/>
  <c r="L101" i="5" s="1"/>
  <c r="H113" i="5"/>
  <c r="T8" i="5"/>
  <c r="U8" i="5" s="1"/>
  <c r="Q9" i="5"/>
  <c r="R8" i="5"/>
  <c r="S8" i="5" s="1"/>
  <c r="N935" i="5"/>
  <c r="B947" i="5"/>
  <c r="N929" i="5"/>
  <c r="B941" i="5"/>
  <c r="N230" i="5"/>
  <c r="B242" i="5"/>
  <c r="N224" i="5"/>
  <c r="B236" i="5"/>
  <c r="N937" i="5"/>
  <c r="B949" i="5"/>
  <c r="N933" i="5"/>
  <c r="B945" i="5"/>
  <c r="N927" i="5"/>
  <c r="B939" i="5"/>
  <c r="N571" i="5"/>
  <c r="B583" i="5"/>
  <c r="N226" i="5"/>
  <c r="B238" i="5"/>
  <c r="N222" i="5"/>
  <c r="B234" i="5"/>
  <c r="N228" i="5"/>
  <c r="B240" i="5"/>
  <c r="N220" i="5"/>
  <c r="B232" i="5"/>
  <c r="L82" i="5"/>
  <c r="L86" i="5"/>
  <c r="H112" i="5"/>
  <c r="K100" i="5"/>
  <c r="L84" i="5"/>
  <c r="C112" i="5"/>
  <c r="F100" i="5"/>
  <c r="L100" i="5" s="1"/>
  <c r="C116" i="5"/>
  <c r="F104" i="5"/>
  <c r="L104" i="5" s="1"/>
  <c r="F93" i="5"/>
  <c r="L93" i="5" s="1"/>
  <c r="C105" i="5"/>
  <c r="H108" i="5"/>
  <c r="K96" i="5"/>
  <c r="H106" i="5"/>
  <c r="K94" i="5"/>
  <c r="H110" i="5"/>
  <c r="K98" i="5"/>
  <c r="H114" i="5"/>
  <c r="K102" i="5"/>
  <c r="C114" i="5"/>
  <c r="F102" i="5"/>
  <c r="L102" i="5" s="1"/>
  <c r="L107" i="5"/>
  <c r="T7" i="5"/>
  <c r="U7" i="5" s="1"/>
  <c r="F199" i="5"/>
  <c r="L199" i="5" s="1"/>
  <c r="C211" i="5"/>
  <c r="F195" i="5"/>
  <c r="C207" i="5"/>
  <c r="C106" i="5"/>
  <c r="F94" i="5"/>
  <c r="L94" i="5" s="1"/>
  <c r="C110" i="5"/>
  <c r="F98" i="5"/>
  <c r="L98" i="5" s="1"/>
  <c r="F96" i="5"/>
  <c r="C108" i="5"/>
  <c r="L88" i="5"/>
  <c r="L92" i="5"/>
  <c r="F207" i="5" l="1"/>
  <c r="C219" i="5"/>
  <c r="H124" i="5"/>
  <c r="K112" i="5"/>
  <c r="K105" i="5"/>
  <c r="H117" i="5"/>
  <c r="C120" i="5"/>
  <c r="F108" i="5"/>
  <c r="F211" i="5"/>
  <c r="L211" i="5" s="1"/>
  <c r="C223" i="5"/>
  <c r="F105" i="5"/>
  <c r="L105" i="5" s="1"/>
  <c r="C117" i="5"/>
  <c r="L96" i="5"/>
  <c r="C122" i="5"/>
  <c r="F110" i="5"/>
  <c r="L110" i="5" s="1"/>
  <c r="C118" i="5"/>
  <c r="F106" i="5"/>
  <c r="L106" i="5" s="1"/>
  <c r="F114" i="5"/>
  <c r="C126" i="5"/>
  <c r="K114" i="5"/>
  <c r="H126" i="5"/>
  <c r="H122" i="5"/>
  <c r="K110" i="5"/>
  <c r="H118" i="5"/>
  <c r="K106" i="5"/>
  <c r="H120" i="5"/>
  <c r="K108" i="5"/>
  <c r="F116" i="5"/>
  <c r="L116" i="5" s="1"/>
  <c r="C128" i="5"/>
  <c r="C124" i="5"/>
  <c r="F112" i="5"/>
  <c r="L112" i="5" s="1"/>
  <c r="N232" i="5"/>
  <c r="B244" i="5"/>
  <c r="N240" i="5"/>
  <c r="B252" i="5"/>
  <c r="N234" i="5"/>
  <c r="B246" i="5"/>
  <c r="N238" i="5"/>
  <c r="B250" i="5"/>
  <c r="N583" i="5"/>
  <c r="B595" i="5"/>
  <c r="N939" i="5"/>
  <c r="B951" i="5"/>
  <c r="N945" i="5"/>
  <c r="B957" i="5"/>
  <c r="N949" i="5"/>
  <c r="B961" i="5"/>
  <c r="N236" i="5"/>
  <c r="B248" i="5"/>
  <c r="N242" i="5"/>
  <c r="B254" i="5"/>
  <c r="N941" i="5"/>
  <c r="B953" i="5"/>
  <c r="N947" i="5"/>
  <c r="B959" i="5"/>
  <c r="Q10" i="5"/>
  <c r="T9" i="5" s="1"/>
  <c r="U9" i="5" s="1"/>
  <c r="R9" i="5"/>
  <c r="S9" i="5" s="1"/>
  <c r="K113" i="5"/>
  <c r="L113" i="5" s="1"/>
  <c r="H125" i="5"/>
  <c r="C143" i="5"/>
  <c r="F131" i="5"/>
  <c r="K111" i="5"/>
  <c r="L111" i="5" s="1"/>
  <c r="H123" i="5"/>
  <c r="H143" i="5"/>
  <c r="K131" i="5"/>
  <c r="K121" i="5"/>
  <c r="L121" i="5" s="1"/>
  <c r="H133" i="5"/>
  <c r="K116" i="5"/>
  <c r="H128" i="5"/>
  <c r="H145" i="5" l="1"/>
  <c r="K133" i="5"/>
  <c r="L133" i="5" s="1"/>
  <c r="L131" i="5"/>
  <c r="H137" i="5"/>
  <c r="K125" i="5"/>
  <c r="L125" i="5" s="1"/>
  <c r="F124" i="5"/>
  <c r="C136" i="5"/>
  <c r="K143" i="5"/>
  <c r="H155" i="5"/>
  <c r="F143" i="5"/>
  <c r="L143" i="5" s="1"/>
  <c r="C155" i="5"/>
  <c r="N959" i="5"/>
  <c r="B971" i="5"/>
  <c r="N953" i="5"/>
  <c r="B965" i="5"/>
  <c r="N254" i="5"/>
  <c r="B266" i="5"/>
  <c r="N248" i="5"/>
  <c r="B260" i="5"/>
  <c r="N961" i="5"/>
  <c r="B973" i="5"/>
  <c r="N957" i="5"/>
  <c r="B969" i="5"/>
  <c r="N951" i="5"/>
  <c r="B963" i="5"/>
  <c r="N595" i="5"/>
  <c r="B607" i="5"/>
  <c r="N250" i="5"/>
  <c r="B262" i="5"/>
  <c r="N246" i="5"/>
  <c r="B258" i="5"/>
  <c r="N252" i="5"/>
  <c r="B264" i="5"/>
  <c r="N244" i="5"/>
  <c r="B256" i="5"/>
  <c r="F128" i="5"/>
  <c r="L128" i="5" s="1"/>
  <c r="C140" i="5"/>
  <c r="K126" i="5"/>
  <c r="H138" i="5"/>
  <c r="F126" i="5"/>
  <c r="L126" i="5" s="1"/>
  <c r="C138" i="5"/>
  <c r="F118" i="5"/>
  <c r="C130" i="5"/>
  <c r="F122" i="5"/>
  <c r="C134" i="5"/>
  <c r="F117" i="5"/>
  <c r="L117" i="5" s="1"/>
  <c r="C129" i="5"/>
  <c r="F223" i="5"/>
  <c r="L223" i="5" s="1"/>
  <c r="C235" i="5"/>
  <c r="L108" i="5"/>
  <c r="K117" i="5"/>
  <c r="H129" i="5"/>
  <c r="F219" i="5"/>
  <c r="C231" i="5"/>
  <c r="K128" i="5"/>
  <c r="H140" i="5"/>
  <c r="K123" i="5"/>
  <c r="L123" i="5" s="1"/>
  <c r="H135" i="5"/>
  <c r="Q11" i="5"/>
  <c r="R10" i="5"/>
  <c r="S10" i="5" s="1"/>
  <c r="K120" i="5"/>
  <c r="H132" i="5"/>
  <c r="K118" i="5"/>
  <c r="H130" i="5"/>
  <c r="K122" i="5"/>
  <c r="H134" i="5"/>
  <c r="L114" i="5"/>
  <c r="F120" i="5"/>
  <c r="L120" i="5" s="1"/>
  <c r="C132" i="5"/>
  <c r="K124" i="5"/>
  <c r="H136" i="5"/>
  <c r="Q12" i="5" l="1"/>
  <c r="T11" i="5" s="1"/>
  <c r="U11" i="5" s="1"/>
  <c r="R11" i="5"/>
  <c r="S11" i="5" s="1"/>
  <c r="K135" i="5"/>
  <c r="L135" i="5" s="1"/>
  <c r="H147" i="5"/>
  <c r="K140" i="5"/>
  <c r="H152" i="5"/>
  <c r="C243" i="5"/>
  <c r="F231" i="5"/>
  <c r="H141" i="5"/>
  <c r="K129" i="5"/>
  <c r="L122" i="5"/>
  <c r="L118" i="5"/>
  <c r="L124" i="5"/>
  <c r="K137" i="5"/>
  <c r="L137" i="5" s="1"/>
  <c r="H149" i="5"/>
  <c r="K136" i="5"/>
  <c r="H148" i="5"/>
  <c r="F132" i="5"/>
  <c r="C144" i="5"/>
  <c r="K134" i="5"/>
  <c r="H146" i="5"/>
  <c r="K130" i="5"/>
  <c r="H142" i="5"/>
  <c r="K132" i="5"/>
  <c r="H144" i="5"/>
  <c r="T10" i="5"/>
  <c r="U10" i="5" s="1"/>
  <c r="C247" i="5"/>
  <c r="F235" i="5"/>
  <c r="L235" i="5" s="1"/>
  <c r="C141" i="5"/>
  <c r="F129" i="5"/>
  <c r="L129" i="5" s="1"/>
  <c r="F134" i="5"/>
  <c r="L134" i="5" s="1"/>
  <c r="C146" i="5"/>
  <c r="F130" i="5"/>
  <c r="L130" i="5" s="1"/>
  <c r="C142" i="5"/>
  <c r="F138" i="5"/>
  <c r="L138" i="5" s="1"/>
  <c r="C150" i="5"/>
  <c r="K138" i="5"/>
  <c r="H150" i="5"/>
  <c r="F140" i="5"/>
  <c r="L140" i="5" s="1"/>
  <c r="C152" i="5"/>
  <c r="N256" i="5"/>
  <c r="B268" i="5"/>
  <c r="N264" i="5"/>
  <c r="B276" i="5"/>
  <c r="N258" i="5"/>
  <c r="B270" i="5"/>
  <c r="N262" i="5"/>
  <c r="B274" i="5"/>
  <c r="N607" i="5"/>
  <c r="B619" i="5"/>
  <c r="N963" i="5"/>
  <c r="B975" i="5"/>
  <c r="N969" i="5"/>
  <c r="B981" i="5"/>
  <c r="N973" i="5"/>
  <c r="B985" i="5"/>
  <c r="N260" i="5"/>
  <c r="B272" i="5"/>
  <c r="N266" i="5"/>
  <c r="B278" i="5"/>
  <c r="N965" i="5"/>
  <c r="B977" i="5"/>
  <c r="N971" i="5"/>
  <c r="B983" i="5"/>
  <c r="C167" i="5"/>
  <c r="F155" i="5"/>
  <c r="H167" i="5"/>
  <c r="K155" i="5"/>
  <c r="F136" i="5"/>
  <c r="L136" i="5" s="1"/>
  <c r="C148" i="5"/>
  <c r="K145" i="5"/>
  <c r="L145" i="5" s="1"/>
  <c r="H157" i="5"/>
  <c r="H179" i="5" l="1"/>
  <c r="K167" i="5"/>
  <c r="C179" i="5"/>
  <c r="F167" i="5"/>
  <c r="L167" i="5" s="1"/>
  <c r="H169" i="5"/>
  <c r="K157" i="5"/>
  <c r="L157" i="5" s="1"/>
  <c r="F148" i="5"/>
  <c r="C160" i="5"/>
  <c r="L155" i="5"/>
  <c r="N983" i="5"/>
  <c r="B995" i="5"/>
  <c r="N995" i="5" s="1"/>
  <c r="N977" i="5"/>
  <c r="B989" i="5"/>
  <c r="N278" i="5"/>
  <c r="B290" i="5"/>
  <c r="N272" i="5"/>
  <c r="B284" i="5"/>
  <c r="N985" i="5"/>
  <c r="B997" i="5"/>
  <c r="N997" i="5" s="1"/>
  <c r="N981" i="5"/>
  <c r="B993" i="5"/>
  <c r="N993" i="5" s="1"/>
  <c r="N975" i="5"/>
  <c r="B987" i="5"/>
  <c r="N619" i="5"/>
  <c r="B631" i="5"/>
  <c r="N274" i="5"/>
  <c r="B286" i="5"/>
  <c r="N270" i="5"/>
  <c r="B282" i="5"/>
  <c r="N276" i="5"/>
  <c r="B288" i="5"/>
  <c r="N268" i="5"/>
  <c r="B280" i="5"/>
  <c r="F152" i="5"/>
  <c r="C164" i="5"/>
  <c r="K150" i="5"/>
  <c r="H162" i="5"/>
  <c r="F150" i="5"/>
  <c r="L150" i="5" s="1"/>
  <c r="C162" i="5"/>
  <c r="F142" i="5"/>
  <c r="C154" i="5"/>
  <c r="F146" i="5"/>
  <c r="C158" i="5"/>
  <c r="K144" i="5"/>
  <c r="H156" i="5"/>
  <c r="K142" i="5"/>
  <c r="H154" i="5"/>
  <c r="K146" i="5"/>
  <c r="H158" i="5"/>
  <c r="F144" i="5"/>
  <c r="L144" i="5" s="1"/>
  <c r="C156" i="5"/>
  <c r="K148" i="5"/>
  <c r="H160" i="5"/>
  <c r="H161" i="5"/>
  <c r="K149" i="5"/>
  <c r="L149" i="5" s="1"/>
  <c r="H153" i="5"/>
  <c r="K141" i="5"/>
  <c r="C255" i="5"/>
  <c r="F243" i="5"/>
  <c r="C153" i="5"/>
  <c r="F141" i="5"/>
  <c r="L141" i="5" s="1"/>
  <c r="C259" i="5"/>
  <c r="F247" i="5"/>
  <c r="L247" i="5" s="1"/>
  <c r="L132" i="5"/>
  <c r="K152" i="5"/>
  <c r="H164" i="5"/>
  <c r="H159" i="5"/>
  <c r="K147" i="5"/>
  <c r="L147" i="5" s="1"/>
  <c r="T12" i="5"/>
  <c r="U12" i="5" s="1"/>
  <c r="Q13" i="5"/>
  <c r="R12" i="5"/>
  <c r="S12" i="5" s="1"/>
  <c r="C271" i="5" l="1"/>
  <c r="F259" i="5"/>
  <c r="L259" i="5" s="1"/>
  <c r="C165" i="5"/>
  <c r="F153" i="5"/>
  <c r="C267" i="5"/>
  <c r="F255" i="5"/>
  <c r="H165" i="5"/>
  <c r="K153" i="5"/>
  <c r="H173" i="5"/>
  <c r="K161" i="5"/>
  <c r="L161" i="5" s="1"/>
  <c r="L146" i="5"/>
  <c r="L142" i="5"/>
  <c r="L152" i="5"/>
  <c r="F160" i="5"/>
  <c r="C172" i="5"/>
  <c r="H171" i="5"/>
  <c r="K159" i="5"/>
  <c r="L159" i="5" s="1"/>
  <c r="Q14" i="5"/>
  <c r="R13" i="5"/>
  <c r="S13" i="5" s="1"/>
  <c r="K164" i="5"/>
  <c r="H176" i="5"/>
  <c r="K160" i="5"/>
  <c r="H172" i="5"/>
  <c r="F156" i="5"/>
  <c r="C168" i="5"/>
  <c r="K158" i="5"/>
  <c r="H170" i="5"/>
  <c r="K154" i="5"/>
  <c r="H166" i="5"/>
  <c r="K156" i="5"/>
  <c r="H168" i="5"/>
  <c r="F158" i="5"/>
  <c r="L158" i="5" s="1"/>
  <c r="C170" i="5"/>
  <c r="F154" i="5"/>
  <c r="L154" i="5" s="1"/>
  <c r="C166" i="5"/>
  <c r="F162" i="5"/>
  <c r="C174" i="5"/>
  <c r="K162" i="5"/>
  <c r="H174" i="5"/>
  <c r="F164" i="5"/>
  <c r="L164" i="5" s="1"/>
  <c r="C176" i="5"/>
  <c r="N280" i="5"/>
  <c r="B292" i="5"/>
  <c r="N288" i="5"/>
  <c r="B300" i="5"/>
  <c r="N282" i="5"/>
  <c r="B294" i="5"/>
  <c r="N286" i="5"/>
  <c r="B298" i="5"/>
  <c r="N631" i="5"/>
  <c r="B643" i="5"/>
  <c r="N987" i="5"/>
  <c r="B999" i="5"/>
  <c r="N999" i="5" s="1"/>
  <c r="N284" i="5"/>
  <c r="B296" i="5"/>
  <c r="N290" i="5"/>
  <c r="B302" i="5"/>
  <c r="N989" i="5"/>
  <c r="B1001" i="5"/>
  <c r="N1001" i="5" s="1"/>
  <c r="L148" i="5"/>
  <c r="H181" i="5"/>
  <c r="K169" i="5"/>
  <c r="L169" i="5" s="1"/>
  <c r="C191" i="5"/>
  <c r="F179" i="5"/>
  <c r="H191" i="5"/>
  <c r="K179" i="5"/>
  <c r="L179" i="5" l="1"/>
  <c r="L162" i="5"/>
  <c r="L156" i="5"/>
  <c r="K176" i="5"/>
  <c r="H188" i="5"/>
  <c r="Q15" i="5"/>
  <c r="T14" i="5" s="1"/>
  <c r="U14" i="5" s="1"/>
  <c r="R14" i="5"/>
  <c r="S14" i="5" s="1"/>
  <c r="H183" i="5"/>
  <c r="K171" i="5"/>
  <c r="L171" i="5" s="1"/>
  <c r="L160" i="5"/>
  <c r="L153" i="5"/>
  <c r="K191" i="5"/>
  <c r="H203" i="5"/>
  <c r="F191" i="5"/>
  <c r="L191" i="5" s="1"/>
  <c r="C203" i="5"/>
  <c r="H193" i="5"/>
  <c r="K181" i="5"/>
  <c r="L181" i="5" s="1"/>
  <c r="N302" i="5"/>
  <c r="B314" i="5"/>
  <c r="N296" i="5"/>
  <c r="B308" i="5"/>
  <c r="N643" i="5"/>
  <c r="B655" i="5"/>
  <c r="N298" i="5"/>
  <c r="B310" i="5"/>
  <c r="N294" i="5"/>
  <c r="B306" i="5"/>
  <c r="N300" i="5"/>
  <c r="B312" i="5"/>
  <c r="N292" i="5"/>
  <c r="B304" i="5"/>
  <c r="F176" i="5"/>
  <c r="L176" i="5" s="1"/>
  <c r="C188" i="5"/>
  <c r="K174" i="5"/>
  <c r="H186" i="5"/>
  <c r="F174" i="5"/>
  <c r="L174" i="5" s="1"/>
  <c r="C186" i="5"/>
  <c r="F166" i="5"/>
  <c r="C178" i="5"/>
  <c r="F170" i="5"/>
  <c r="C182" i="5"/>
  <c r="K168" i="5"/>
  <c r="H180" i="5"/>
  <c r="K166" i="5"/>
  <c r="H178" i="5"/>
  <c r="K170" i="5"/>
  <c r="H182" i="5"/>
  <c r="F168" i="5"/>
  <c r="L168" i="5" s="1"/>
  <c r="C180" i="5"/>
  <c r="K172" i="5"/>
  <c r="H184" i="5"/>
  <c r="T13" i="5"/>
  <c r="U13" i="5" s="1"/>
  <c r="F172" i="5"/>
  <c r="L172" i="5" s="1"/>
  <c r="C184" i="5"/>
  <c r="H185" i="5"/>
  <c r="K173" i="5"/>
  <c r="L173" i="5" s="1"/>
  <c r="H177" i="5"/>
  <c r="K165" i="5"/>
  <c r="C279" i="5"/>
  <c r="F267" i="5"/>
  <c r="C177" i="5"/>
  <c r="F165" i="5"/>
  <c r="L165" i="5" s="1"/>
  <c r="C283" i="5"/>
  <c r="F271" i="5"/>
  <c r="L271" i="5" s="1"/>
  <c r="F184" i="5" l="1"/>
  <c r="C196" i="5"/>
  <c r="L170" i="5"/>
  <c r="L166" i="5"/>
  <c r="K193" i="5"/>
  <c r="L193" i="5" s="1"/>
  <c r="H205" i="5"/>
  <c r="C295" i="5"/>
  <c r="F283" i="5"/>
  <c r="L283" i="5" s="1"/>
  <c r="C189" i="5"/>
  <c r="F177" i="5"/>
  <c r="C291" i="5"/>
  <c r="F279" i="5"/>
  <c r="H189" i="5"/>
  <c r="K177" i="5"/>
  <c r="H197" i="5"/>
  <c r="K185" i="5"/>
  <c r="L185" i="5" s="1"/>
  <c r="K184" i="5"/>
  <c r="H196" i="5"/>
  <c r="F180" i="5"/>
  <c r="C192" i="5"/>
  <c r="K182" i="5"/>
  <c r="H194" i="5"/>
  <c r="K178" i="5"/>
  <c r="H190" i="5"/>
  <c r="K180" i="5"/>
  <c r="H192" i="5"/>
  <c r="F182" i="5"/>
  <c r="L182" i="5" s="1"/>
  <c r="C194" i="5"/>
  <c r="F178" i="5"/>
  <c r="L178" i="5" s="1"/>
  <c r="C190" i="5"/>
  <c r="F186" i="5"/>
  <c r="C198" i="5"/>
  <c r="K186" i="5"/>
  <c r="H198" i="5"/>
  <c r="F188" i="5"/>
  <c r="L188" i="5" s="1"/>
  <c r="C200" i="5"/>
  <c r="N304" i="5"/>
  <c r="B316" i="5"/>
  <c r="N312" i="5"/>
  <c r="B324" i="5"/>
  <c r="N306" i="5"/>
  <c r="B318" i="5"/>
  <c r="N310" i="5"/>
  <c r="B322" i="5"/>
  <c r="N655" i="5"/>
  <c r="B667" i="5"/>
  <c r="N308" i="5"/>
  <c r="B320" i="5"/>
  <c r="N314" i="5"/>
  <c r="B326" i="5"/>
  <c r="F203" i="5"/>
  <c r="L203" i="5" s="1"/>
  <c r="C215" i="5"/>
  <c r="K203" i="5"/>
  <c r="H215" i="5"/>
  <c r="H195" i="5"/>
  <c r="K183" i="5"/>
  <c r="L183" i="5" s="1"/>
  <c r="Q16" i="5"/>
  <c r="R15" i="5"/>
  <c r="S15" i="5" s="1"/>
  <c r="K188" i="5"/>
  <c r="H200" i="5"/>
  <c r="H212" i="5" l="1"/>
  <c r="K200" i="5"/>
  <c r="Q17" i="5"/>
  <c r="R16" i="5"/>
  <c r="S16" i="5" s="1"/>
  <c r="L186" i="5"/>
  <c r="L180" i="5"/>
  <c r="K197" i="5"/>
  <c r="L197" i="5" s="1"/>
  <c r="H209" i="5"/>
  <c r="K189" i="5"/>
  <c r="H201" i="5"/>
  <c r="C303" i="5"/>
  <c r="F291" i="5"/>
  <c r="F189" i="5"/>
  <c r="L189" i="5" s="1"/>
  <c r="C201" i="5"/>
  <c r="C307" i="5"/>
  <c r="F295" i="5"/>
  <c r="L295" i="5" s="1"/>
  <c r="L184" i="5"/>
  <c r="K195" i="5"/>
  <c r="L195" i="5" s="1"/>
  <c r="H207" i="5"/>
  <c r="T15" i="5"/>
  <c r="U15" i="5" s="1"/>
  <c r="K215" i="5"/>
  <c r="H227" i="5"/>
  <c r="F215" i="5"/>
  <c r="L215" i="5" s="1"/>
  <c r="C227" i="5"/>
  <c r="N326" i="5"/>
  <c r="B338" i="5"/>
  <c r="N320" i="5"/>
  <c r="B332" i="5"/>
  <c r="N667" i="5"/>
  <c r="B679" i="5"/>
  <c r="N322" i="5"/>
  <c r="B334" i="5"/>
  <c r="N318" i="5"/>
  <c r="B330" i="5"/>
  <c r="N324" i="5"/>
  <c r="B336" i="5"/>
  <c r="N316" i="5"/>
  <c r="B328" i="5"/>
  <c r="C212" i="5"/>
  <c r="F200" i="5"/>
  <c r="L200" i="5" s="1"/>
  <c r="K198" i="5"/>
  <c r="H210" i="5"/>
  <c r="F198" i="5"/>
  <c r="L198" i="5" s="1"/>
  <c r="C210" i="5"/>
  <c r="F190" i="5"/>
  <c r="C202" i="5"/>
  <c r="F194" i="5"/>
  <c r="C206" i="5"/>
  <c r="K192" i="5"/>
  <c r="H204" i="5"/>
  <c r="K190" i="5"/>
  <c r="H202" i="5"/>
  <c r="K194" i="5"/>
  <c r="H206" i="5"/>
  <c r="F192" i="5"/>
  <c r="L192" i="5" s="1"/>
  <c r="C204" i="5"/>
  <c r="K196" i="5"/>
  <c r="H208" i="5"/>
  <c r="L177" i="5"/>
  <c r="K205" i="5"/>
  <c r="L205" i="5" s="1"/>
  <c r="H217" i="5"/>
  <c r="F196" i="5"/>
  <c r="L196" i="5" s="1"/>
  <c r="C208" i="5"/>
  <c r="L194" i="5" l="1"/>
  <c r="L190" i="5"/>
  <c r="C224" i="5"/>
  <c r="F212" i="5"/>
  <c r="K207" i="5"/>
  <c r="L207" i="5" s="1"/>
  <c r="H219" i="5"/>
  <c r="F307" i="5"/>
  <c r="L307" i="5" s="1"/>
  <c r="C319" i="5"/>
  <c r="F303" i="5"/>
  <c r="C315" i="5"/>
  <c r="Q18" i="5"/>
  <c r="T17" i="5" s="1"/>
  <c r="U17" i="5" s="1"/>
  <c r="R17" i="5"/>
  <c r="S17" i="5" s="1"/>
  <c r="C220" i="5"/>
  <c r="F208" i="5"/>
  <c r="K217" i="5"/>
  <c r="L217" i="5" s="1"/>
  <c r="H229" i="5"/>
  <c r="H220" i="5"/>
  <c r="K208" i="5"/>
  <c r="C216" i="5"/>
  <c r="F204" i="5"/>
  <c r="H218" i="5"/>
  <c r="K206" i="5"/>
  <c r="H214" i="5"/>
  <c r="K202" i="5"/>
  <c r="H216" i="5"/>
  <c r="K204" i="5"/>
  <c r="C218" i="5"/>
  <c r="F206" i="5"/>
  <c r="L206" i="5" s="1"/>
  <c r="C214" i="5"/>
  <c r="F202" i="5"/>
  <c r="L202" i="5" s="1"/>
  <c r="C222" i="5"/>
  <c r="F210" i="5"/>
  <c r="H222" i="5"/>
  <c r="K210" i="5"/>
  <c r="N328" i="5"/>
  <c r="B340" i="5"/>
  <c r="N336" i="5"/>
  <c r="B348" i="5"/>
  <c r="N330" i="5"/>
  <c r="B342" i="5"/>
  <c r="N334" i="5"/>
  <c r="B346" i="5"/>
  <c r="N679" i="5"/>
  <c r="B691" i="5"/>
  <c r="N332" i="5"/>
  <c r="B344" i="5"/>
  <c r="N338" i="5"/>
  <c r="B350" i="5"/>
  <c r="F227" i="5"/>
  <c r="C239" i="5"/>
  <c r="K227" i="5"/>
  <c r="H239" i="5"/>
  <c r="F201" i="5"/>
  <c r="C213" i="5"/>
  <c r="K201" i="5"/>
  <c r="H213" i="5"/>
  <c r="K209" i="5"/>
  <c r="L209" i="5" s="1"/>
  <c r="H221" i="5"/>
  <c r="T16" i="5"/>
  <c r="U16" i="5" s="1"/>
  <c r="H224" i="5"/>
  <c r="K212" i="5"/>
  <c r="H251" i="5" l="1"/>
  <c r="K239" i="5"/>
  <c r="N350" i="5"/>
  <c r="B362" i="5"/>
  <c r="N344" i="5"/>
  <c r="B356" i="5"/>
  <c r="N346" i="5"/>
  <c r="B358" i="5"/>
  <c r="N348" i="5"/>
  <c r="B360" i="5"/>
  <c r="K224" i="5"/>
  <c r="H236" i="5"/>
  <c r="K221" i="5"/>
  <c r="L221" i="5" s="1"/>
  <c r="H233" i="5"/>
  <c r="K213" i="5"/>
  <c r="H225" i="5"/>
  <c r="L201" i="5"/>
  <c r="L227" i="5"/>
  <c r="K222" i="5"/>
  <c r="H234" i="5"/>
  <c r="F222" i="5"/>
  <c r="L222" i="5" s="1"/>
  <c r="C234" i="5"/>
  <c r="C226" i="5"/>
  <c r="F214" i="5"/>
  <c r="F218" i="5"/>
  <c r="C230" i="5"/>
  <c r="H228" i="5"/>
  <c r="K216" i="5"/>
  <c r="H226" i="5"/>
  <c r="K214" i="5"/>
  <c r="K218" i="5"/>
  <c r="H230" i="5"/>
  <c r="C228" i="5"/>
  <c r="F216" i="5"/>
  <c r="L216" i="5" s="1"/>
  <c r="K220" i="5"/>
  <c r="H232" i="5"/>
  <c r="F220" i="5"/>
  <c r="L220" i="5" s="1"/>
  <c r="C232" i="5"/>
  <c r="F315" i="5"/>
  <c r="C327" i="5"/>
  <c r="F319" i="5"/>
  <c r="L319" i="5" s="1"/>
  <c r="C331" i="5"/>
  <c r="K219" i="5"/>
  <c r="L219" i="5" s="1"/>
  <c r="H231" i="5"/>
  <c r="L212" i="5"/>
  <c r="F213" i="5"/>
  <c r="L213" i="5" s="1"/>
  <c r="C225" i="5"/>
  <c r="C251" i="5"/>
  <c r="F239" i="5"/>
  <c r="L239" i="5" s="1"/>
  <c r="N691" i="5"/>
  <c r="B703" i="5"/>
  <c r="N342" i="5"/>
  <c r="B354" i="5"/>
  <c r="N340" i="5"/>
  <c r="B352" i="5"/>
  <c r="L210" i="5"/>
  <c r="L204" i="5"/>
  <c r="H241" i="5"/>
  <c r="K229" i="5"/>
  <c r="L229" i="5" s="1"/>
  <c r="L208" i="5"/>
  <c r="T18" i="5"/>
  <c r="U18" i="5" s="1"/>
  <c r="Q19" i="5"/>
  <c r="R18" i="5"/>
  <c r="S18" i="5" s="1"/>
  <c r="F224" i="5"/>
  <c r="L224" i="5" s="1"/>
  <c r="C236" i="5"/>
  <c r="N352" i="5" l="1"/>
  <c r="B364" i="5"/>
  <c r="N354" i="5"/>
  <c r="B366" i="5"/>
  <c r="N703" i="5"/>
  <c r="B715" i="5"/>
  <c r="F225" i="5"/>
  <c r="C237" i="5"/>
  <c r="F228" i="5"/>
  <c r="C240" i="5"/>
  <c r="K226" i="5"/>
  <c r="H238" i="5"/>
  <c r="K228" i="5"/>
  <c r="H240" i="5"/>
  <c r="L218" i="5"/>
  <c r="F226" i="5"/>
  <c r="C238" i="5"/>
  <c r="F236" i="5"/>
  <c r="C248" i="5"/>
  <c r="Q20" i="5"/>
  <c r="T19" i="5"/>
  <c r="U19" i="5" s="1"/>
  <c r="R19" i="5"/>
  <c r="S19" i="5" s="1"/>
  <c r="H253" i="5"/>
  <c r="K241" i="5"/>
  <c r="L241" i="5" s="1"/>
  <c r="C263" i="5"/>
  <c r="F251" i="5"/>
  <c r="H243" i="5"/>
  <c r="K231" i="5"/>
  <c r="L231" i="5" s="1"/>
  <c r="F331" i="5"/>
  <c r="L331" i="5" s="1"/>
  <c r="C343" i="5"/>
  <c r="F327" i="5"/>
  <c r="C339" i="5"/>
  <c r="F232" i="5"/>
  <c r="C244" i="5"/>
  <c r="K232" i="5"/>
  <c r="H244" i="5"/>
  <c r="K230" i="5"/>
  <c r="H242" i="5"/>
  <c r="F230" i="5"/>
  <c r="L230" i="5" s="1"/>
  <c r="C242" i="5"/>
  <c r="L214" i="5"/>
  <c r="F234" i="5"/>
  <c r="C246" i="5"/>
  <c r="K234" i="5"/>
  <c r="H246" i="5"/>
  <c r="K225" i="5"/>
  <c r="H237" i="5"/>
  <c r="H245" i="5"/>
  <c r="K233" i="5"/>
  <c r="L233" i="5" s="1"/>
  <c r="K236" i="5"/>
  <c r="H248" i="5"/>
  <c r="N360" i="5"/>
  <c r="B372" i="5"/>
  <c r="N358" i="5"/>
  <c r="B370" i="5"/>
  <c r="N356" i="5"/>
  <c r="B368" i="5"/>
  <c r="N362" i="5"/>
  <c r="B374" i="5"/>
  <c r="H263" i="5"/>
  <c r="K251" i="5"/>
  <c r="N374" i="5" l="1"/>
  <c r="B386" i="5"/>
  <c r="N368" i="5"/>
  <c r="B380" i="5"/>
  <c r="N370" i="5"/>
  <c r="B382" i="5"/>
  <c r="N372" i="5"/>
  <c r="B384" i="5"/>
  <c r="K248" i="5"/>
  <c r="H260" i="5"/>
  <c r="H249" i="5"/>
  <c r="K237" i="5"/>
  <c r="K246" i="5"/>
  <c r="H258" i="5"/>
  <c r="F246" i="5"/>
  <c r="L246" i="5" s="1"/>
  <c r="C258" i="5"/>
  <c r="L232" i="5"/>
  <c r="H255" i="5"/>
  <c r="K243" i="5"/>
  <c r="L243" i="5" s="1"/>
  <c r="C275" i="5"/>
  <c r="F263" i="5"/>
  <c r="L263" i="5" s="1"/>
  <c r="H265" i="5"/>
  <c r="K253" i="5"/>
  <c r="L253" i="5" s="1"/>
  <c r="F248" i="5"/>
  <c r="L248" i="5" s="1"/>
  <c r="C260" i="5"/>
  <c r="F238" i="5"/>
  <c r="C250" i="5"/>
  <c r="L228" i="5"/>
  <c r="C249" i="5"/>
  <c r="F237" i="5"/>
  <c r="N715" i="5"/>
  <c r="B727" i="5"/>
  <c r="N366" i="5"/>
  <c r="B378" i="5"/>
  <c r="N364" i="5"/>
  <c r="B376" i="5"/>
  <c r="H275" i="5"/>
  <c r="K263" i="5"/>
  <c r="H257" i="5"/>
  <c r="K245" i="5"/>
  <c r="L245" i="5" s="1"/>
  <c r="L234" i="5"/>
  <c r="F242" i="5"/>
  <c r="C254" i="5"/>
  <c r="K242" i="5"/>
  <c r="H254" i="5"/>
  <c r="K244" i="5"/>
  <c r="H256" i="5"/>
  <c r="F244" i="5"/>
  <c r="L244" i="5" s="1"/>
  <c r="C256" i="5"/>
  <c r="C351" i="5"/>
  <c r="F339" i="5"/>
  <c r="C355" i="5"/>
  <c r="F343" i="5"/>
  <c r="L343" i="5" s="1"/>
  <c r="L251" i="5"/>
  <c r="T20" i="5"/>
  <c r="U20" i="5" s="1"/>
  <c r="Q21" i="5"/>
  <c r="R20" i="5"/>
  <c r="S20" i="5" s="1"/>
  <c r="L236" i="5"/>
  <c r="L226" i="5"/>
  <c r="K240" i="5"/>
  <c r="H252" i="5"/>
  <c r="K238" i="5"/>
  <c r="H250" i="5"/>
  <c r="F240" i="5"/>
  <c r="L240" i="5" s="1"/>
  <c r="C252" i="5"/>
  <c r="L225" i="5"/>
  <c r="F252" i="5" l="1"/>
  <c r="C264" i="5"/>
  <c r="K250" i="5"/>
  <c r="H262" i="5"/>
  <c r="K252" i="5"/>
  <c r="H264" i="5"/>
  <c r="F256" i="5"/>
  <c r="C268" i="5"/>
  <c r="K256" i="5"/>
  <c r="H268" i="5"/>
  <c r="K254" i="5"/>
  <c r="H266" i="5"/>
  <c r="F254" i="5"/>
  <c r="L254" i="5" s="1"/>
  <c r="C266" i="5"/>
  <c r="H269" i="5"/>
  <c r="K257" i="5"/>
  <c r="L257" i="5" s="1"/>
  <c r="H287" i="5"/>
  <c r="K275" i="5"/>
  <c r="C261" i="5"/>
  <c r="F249" i="5"/>
  <c r="F250" i="5"/>
  <c r="L250" i="5" s="1"/>
  <c r="C262" i="5"/>
  <c r="F260" i="5"/>
  <c r="C272" i="5"/>
  <c r="F258" i="5"/>
  <c r="C270" i="5"/>
  <c r="K258" i="5"/>
  <c r="H270" i="5"/>
  <c r="K260" i="5"/>
  <c r="H272" i="5"/>
  <c r="N384" i="5"/>
  <c r="B396" i="5"/>
  <c r="N382" i="5"/>
  <c r="B394" i="5"/>
  <c r="N380" i="5"/>
  <c r="B392" i="5"/>
  <c r="N386" i="5"/>
  <c r="B398" i="5"/>
  <c r="Q22" i="5"/>
  <c r="R21" i="5"/>
  <c r="S21" i="5" s="1"/>
  <c r="C367" i="5"/>
  <c r="F355" i="5"/>
  <c r="L355" i="5" s="1"/>
  <c r="C363" i="5"/>
  <c r="F351" i="5"/>
  <c r="L242" i="5"/>
  <c r="N376" i="5"/>
  <c r="B388" i="5"/>
  <c r="N378" i="5"/>
  <c r="B390" i="5"/>
  <c r="N727" i="5"/>
  <c r="B739" i="5"/>
  <c r="L237" i="5"/>
  <c r="L238" i="5"/>
  <c r="H277" i="5"/>
  <c r="K265" i="5"/>
  <c r="L265" i="5" s="1"/>
  <c r="C287" i="5"/>
  <c r="F275" i="5"/>
  <c r="L275" i="5" s="1"/>
  <c r="H267" i="5"/>
  <c r="K255" i="5"/>
  <c r="L255" i="5" s="1"/>
  <c r="H261" i="5"/>
  <c r="K249" i="5"/>
  <c r="H279" i="5" l="1"/>
  <c r="K267" i="5"/>
  <c r="L267" i="5" s="1"/>
  <c r="C299" i="5"/>
  <c r="F287" i="5"/>
  <c r="H289" i="5"/>
  <c r="K277" i="5"/>
  <c r="L277" i="5" s="1"/>
  <c r="T22" i="5"/>
  <c r="U22" i="5" s="1"/>
  <c r="Q23" i="5"/>
  <c r="R22" i="5"/>
  <c r="S22" i="5" s="1"/>
  <c r="L258" i="5"/>
  <c r="L260" i="5"/>
  <c r="C273" i="5"/>
  <c r="F261" i="5"/>
  <c r="H299" i="5"/>
  <c r="K287" i="5"/>
  <c r="H281" i="5"/>
  <c r="K269" i="5"/>
  <c r="L269" i="5" s="1"/>
  <c r="L256" i="5"/>
  <c r="K264" i="5"/>
  <c r="H276" i="5"/>
  <c r="K262" i="5"/>
  <c r="H274" i="5"/>
  <c r="F264" i="5"/>
  <c r="L264" i="5" s="1"/>
  <c r="C276" i="5"/>
  <c r="H273" i="5"/>
  <c r="K261" i="5"/>
  <c r="N739" i="5"/>
  <c r="B751" i="5"/>
  <c r="N390" i="5"/>
  <c r="B402" i="5"/>
  <c r="N388" i="5"/>
  <c r="B400" i="5"/>
  <c r="C375" i="5"/>
  <c r="F363" i="5"/>
  <c r="C379" i="5"/>
  <c r="F367" i="5"/>
  <c r="L367" i="5" s="1"/>
  <c r="T21" i="5"/>
  <c r="U21" i="5" s="1"/>
  <c r="N398" i="5"/>
  <c r="B410" i="5"/>
  <c r="N392" i="5"/>
  <c r="B404" i="5"/>
  <c r="N394" i="5"/>
  <c r="B406" i="5"/>
  <c r="N396" i="5"/>
  <c r="B408" i="5"/>
  <c r="K272" i="5"/>
  <c r="H284" i="5"/>
  <c r="K270" i="5"/>
  <c r="H282" i="5"/>
  <c r="F270" i="5"/>
  <c r="L270" i="5" s="1"/>
  <c r="C282" i="5"/>
  <c r="F272" i="5"/>
  <c r="L272" i="5" s="1"/>
  <c r="C284" i="5"/>
  <c r="F262" i="5"/>
  <c r="L262" i="5" s="1"/>
  <c r="C274" i="5"/>
  <c r="L249" i="5"/>
  <c r="F266" i="5"/>
  <c r="C278" i="5"/>
  <c r="K266" i="5"/>
  <c r="H278" i="5"/>
  <c r="K268" i="5"/>
  <c r="H280" i="5"/>
  <c r="F268" i="5"/>
  <c r="L268" i="5" s="1"/>
  <c r="C280" i="5"/>
  <c r="L252" i="5"/>
  <c r="F280" i="5" l="1"/>
  <c r="C292" i="5"/>
  <c r="K280" i="5"/>
  <c r="H292" i="5"/>
  <c r="F278" i="5"/>
  <c r="C290" i="5"/>
  <c r="L266" i="5"/>
  <c r="F274" i="5"/>
  <c r="C286" i="5"/>
  <c r="F284" i="5"/>
  <c r="C296" i="5"/>
  <c r="F282" i="5"/>
  <c r="C294" i="5"/>
  <c r="K282" i="5"/>
  <c r="H294" i="5"/>
  <c r="K284" i="5"/>
  <c r="H296" i="5"/>
  <c r="N408" i="5"/>
  <c r="B420" i="5"/>
  <c r="N406" i="5"/>
  <c r="B418" i="5"/>
  <c r="N404" i="5"/>
  <c r="B416" i="5"/>
  <c r="N410" i="5"/>
  <c r="B422" i="5"/>
  <c r="C391" i="5"/>
  <c r="F379" i="5"/>
  <c r="L379" i="5" s="1"/>
  <c r="C387" i="5"/>
  <c r="F375" i="5"/>
  <c r="H285" i="5"/>
  <c r="K273" i="5"/>
  <c r="L261" i="5"/>
  <c r="L287" i="5"/>
  <c r="K278" i="5"/>
  <c r="H290" i="5"/>
  <c r="N400" i="5"/>
  <c r="B412" i="5"/>
  <c r="N402" i="5"/>
  <c r="B414" i="5"/>
  <c r="N751" i="5"/>
  <c r="B763" i="5"/>
  <c r="F276" i="5"/>
  <c r="C288" i="5"/>
  <c r="K274" i="5"/>
  <c r="H286" i="5"/>
  <c r="K276" i="5"/>
  <c r="H288" i="5"/>
  <c r="H293" i="5"/>
  <c r="K281" i="5"/>
  <c r="L281" i="5" s="1"/>
  <c r="K299" i="5"/>
  <c r="H311" i="5"/>
  <c r="C285" i="5"/>
  <c r="F273" i="5"/>
  <c r="L273" i="5" s="1"/>
  <c r="Q24" i="5"/>
  <c r="R23" i="5"/>
  <c r="S23" i="5" s="1"/>
  <c r="H301" i="5"/>
  <c r="K289" i="5"/>
  <c r="L289" i="5" s="1"/>
  <c r="F299" i="5"/>
  <c r="C311" i="5"/>
  <c r="H291" i="5"/>
  <c r="K279" i="5"/>
  <c r="L279" i="5" s="1"/>
  <c r="Q25" i="5" l="1"/>
  <c r="R24" i="5"/>
  <c r="S24" i="5" s="1"/>
  <c r="C297" i="5"/>
  <c r="F285" i="5"/>
  <c r="H305" i="5"/>
  <c r="K293" i="5"/>
  <c r="L293" i="5" s="1"/>
  <c r="L276" i="5"/>
  <c r="H303" i="5"/>
  <c r="K291" i="5"/>
  <c r="L291" i="5" s="1"/>
  <c r="L299" i="5"/>
  <c r="K301" i="5"/>
  <c r="L301" i="5" s="1"/>
  <c r="H313" i="5"/>
  <c r="T23" i="5"/>
  <c r="U23" i="5" s="1"/>
  <c r="K311" i="5"/>
  <c r="H323" i="5"/>
  <c r="K288" i="5"/>
  <c r="H300" i="5"/>
  <c r="K286" i="5"/>
  <c r="H298" i="5"/>
  <c r="F288" i="5"/>
  <c r="L288" i="5" s="1"/>
  <c r="C300" i="5"/>
  <c r="N763" i="5"/>
  <c r="B775" i="5"/>
  <c r="N414" i="5"/>
  <c r="B426" i="5"/>
  <c r="N412" i="5"/>
  <c r="B424" i="5"/>
  <c r="H297" i="5"/>
  <c r="K285" i="5"/>
  <c r="C399" i="5"/>
  <c r="F387" i="5"/>
  <c r="C403" i="5"/>
  <c r="F391" i="5"/>
  <c r="L391" i="5" s="1"/>
  <c r="L282" i="5"/>
  <c r="L284" i="5"/>
  <c r="L274" i="5"/>
  <c r="F290" i="5"/>
  <c r="C302" i="5"/>
  <c r="K292" i="5"/>
  <c r="H304" i="5"/>
  <c r="F292" i="5"/>
  <c r="L292" i="5" s="1"/>
  <c r="C304" i="5"/>
  <c r="F311" i="5"/>
  <c r="L311" i="5" s="1"/>
  <c r="C323" i="5"/>
  <c r="K290" i="5"/>
  <c r="H302" i="5"/>
  <c r="N422" i="5"/>
  <c r="B434" i="5"/>
  <c r="N416" i="5"/>
  <c r="B428" i="5"/>
  <c r="N418" i="5"/>
  <c r="B430" i="5"/>
  <c r="N420" i="5"/>
  <c r="B432" i="5"/>
  <c r="K296" i="5"/>
  <c r="H308" i="5"/>
  <c r="K294" i="5"/>
  <c r="H306" i="5"/>
  <c r="F294" i="5"/>
  <c r="L294" i="5" s="1"/>
  <c r="C306" i="5"/>
  <c r="F296" i="5"/>
  <c r="L296" i="5" s="1"/>
  <c r="C308" i="5"/>
  <c r="F286" i="5"/>
  <c r="L286" i="5" s="1"/>
  <c r="C298" i="5"/>
  <c r="L278" i="5"/>
  <c r="L280" i="5"/>
  <c r="F298" i="5" l="1"/>
  <c r="C310" i="5"/>
  <c r="C320" i="5"/>
  <c r="F308" i="5"/>
  <c r="F306" i="5"/>
  <c r="C318" i="5"/>
  <c r="K306" i="5"/>
  <c r="H318" i="5"/>
  <c r="H320" i="5"/>
  <c r="K308" i="5"/>
  <c r="N432" i="5"/>
  <c r="B444" i="5"/>
  <c r="N430" i="5"/>
  <c r="B442" i="5"/>
  <c r="N428" i="5"/>
  <c r="B440" i="5"/>
  <c r="N434" i="5"/>
  <c r="B446" i="5"/>
  <c r="L290" i="5"/>
  <c r="N424" i="5"/>
  <c r="B436" i="5"/>
  <c r="N426" i="5"/>
  <c r="B438" i="5"/>
  <c r="N775" i="5"/>
  <c r="B787" i="5"/>
  <c r="F300" i="5"/>
  <c r="C312" i="5"/>
  <c r="K298" i="5"/>
  <c r="H310" i="5"/>
  <c r="K300" i="5"/>
  <c r="H312" i="5"/>
  <c r="K323" i="5"/>
  <c r="H335" i="5"/>
  <c r="K305" i="5"/>
  <c r="L305" i="5" s="1"/>
  <c r="H317" i="5"/>
  <c r="F297" i="5"/>
  <c r="C309" i="5"/>
  <c r="Q26" i="5"/>
  <c r="T25" i="5" s="1"/>
  <c r="U25" i="5" s="1"/>
  <c r="R25" i="5"/>
  <c r="S25" i="5" s="1"/>
  <c r="K302" i="5"/>
  <c r="H314" i="5"/>
  <c r="F323" i="5"/>
  <c r="L323" i="5" s="1"/>
  <c r="C335" i="5"/>
  <c r="F304" i="5"/>
  <c r="C316" i="5"/>
  <c r="K304" i="5"/>
  <c r="H316" i="5"/>
  <c r="F302" i="5"/>
  <c r="L302" i="5" s="1"/>
  <c r="C314" i="5"/>
  <c r="C415" i="5"/>
  <c r="F403" i="5"/>
  <c r="L403" i="5" s="1"/>
  <c r="C411" i="5"/>
  <c r="F399" i="5"/>
  <c r="K297" i="5"/>
  <c r="H309" i="5"/>
  <c r="K313" i="5"/>
  <c r="L313" i="5" s="1"/>
  <c r="H325" i="5"/>
  <c r="K303" i="5"/>
  <c r="L303" i="5" s="1"/>
  <c r="H315" i="5"/>
  <c r="L285" i="5"/>
  <c r="T24" i="5"/>
  <c r="U24" i="5" s="1"/>
  <c r="K315" i="5" l="1"/>
  <c r="L315" i="5" s="1"/>
  <c r="H327" i="5"/>
  <c r="K325" i="5"/>
  <c r="L325" i="5" s="1"/>
  <c r="H337" i="5"/>
  <c r="C423" i="5"/>
  <c r="F411" i="5"/>
  <c r="C427" i="5"/>
  <c r="F415" i="5"/>
  <c r="L415" i="5" s="1"/>
  <c r="L304" i="5"/>
  <c r="F309" i="5"/>
  <c r="L309" i="5" s="1"/>
  <c r="C321" i="5"/>
  <c r="K317" i="5"/>
  <c r="L317" i="5" s="1"/>
  <c r="H329" i="5"/>
  <c r="K335" i="5"/>
  <c r="H347" i="5"/>
  <c r="H324" i="5"/>
  <c r="K312" i="5"/>
  <c r="H322" i="5"/>
  <c r="K310" i="5"/>
  <c r="C324" i="5"/>
  <c r="F312" i="5"/>
  <c r="L312" i="5" s="1"/>
  <c r="N787" i="5"/>
  <c r="B799" i="5"/>
  <c r="N438" i="5"/>
  <c r="B450" i="5"/>
  <c r="N436" i="5"/>
  <c r="B448" i="5"/>
  <c r="N446" i="5"/>
  <c r="B458" i="5"/>
  <c r="N440" i="5"/>
  <c r="B452" i="5"/>
  <c r="N442" i="5"/>
  <c r="B454" i="5"/>
  <c r="N444" i="5"/>
  <c r="B456" i="5"/>
  <c r="H330" i="5"/>
  <c r="K318" i="5"/>
  <c r="C330" i="5"/>
  <c r="F318" i="5"/>
  <c r="L318" i="5" s="1"/>
  <c r="L308" i="5"/>
  <c r="C322" i="5"/>
  <c r="F310" i="5"/>
  <c r="L310" i="5" s="1"/>
  <c r="K309" i="5"/>
  <c r="H321" i="5"/>
  <c r="C326" i="5"/>
  <c r="F314" i="5"/>
  <c r="H328" i="5"/>
  <c r="K316" i="5"/>
  <c r="C328" i="5"/>
  <c r="F316" i="5"/>
  <c r="L316" i="5" s="1"/>
  <c r="F335" i="5"/>
  <c r="L335" i="5" s="1"/>
  <c r="C347" i="5"/>
  <c r="H326" i="5"/>
  <c r="K314" i="5"/>
  <c r="T26" i="5"/>
  <c r="U26" i="5" s="1"/>
  <c r="Q27" i="5"/>
  <c r="R26" i="5"/>
  <c r="S26" i="5" s="1"/>
  <c r="L297" i="5"/>
  <c r="L300" i="5"/>
  <c r="H332" i="5"/>
  <c r="K320" i="5"/>
  <c r="L306" i="5"/>
  <c r="C332" i="5"/>
  <c r="F320" i="5"/>
  <c r="L298" i="5"/>
  <c r="F332" i="5" l="1"/>
  <c r="C344" i="5"/>
  <c r="K328" i="5"/>
  <c r="H340" i="5"/>
  <c r="F326" i="5"/>
  <c r="C338" i="5"/>
  <c r="K321" i="5"/>
  <c r="H333" i="5"/>
  <c r="F330" i="5"/>
  <c r="C342" i="5"/>
  <c r="K330" i="5"/>
  <c r="H342" i="5"/>
  <c r="C336" i="5"/>
  <c r="F324" i="5"/>
  <c r="H334" i="5"/>
  <c r="K322" i="5"/>
  <c r="H336" i="5"/>
  <c r="K324" i="5"/>
  <c r="H349" i="5"/>
  <c r="K337" i="5"/>
  <c r="L337" i="5" s="1"/>
  <c r="K327" i="5"/>
  <c r="L327" i="5" s="1"/>
  <c r="H339" i="5"/>
  <c r="K326" i="5"/>
  <c r="H338" i="5"/>
  <c r="F328" i="5"/>
  <c r="L328" i="5" s="1"/>
  <c r="C340" i="5"/>
  <c r="L320" i="5"/>
  <c r="K332" i="5"/>
  <c r="H344" i="5"/>
  <c r="Q28" i="5"/>
  <c r="T27" i="5" s="1"/>
  <c r="U27" i="5" s="1"/>
  <c r="R27" i="5"/>
  <c r="S27" i="5" s="1"/>
  <c r="C359" i="5"/>
  <c r="F347" i="5"/>
  <c r="L347" i="5" s="1"/>
  <c r="L314" i="5"/>
  <c r="C334" i="5"/>
  <c r="F322" i="5"/>
  <c r="L322" i="5" s="1"/>
  <c r="N456" i="5"/>
  <c r="B468" i="5"/>
  <c r="N454" i="5"/>
  <c r="B466" i="5"/>
  <c r="N452" i="5"/>
  <c r="B464" i="5"/>
  <c r="N458" i="5"/>
  <c r="B470" i="5"/>
  <c r="N448" i="5"/>
  <c r="B460" i="5"/>
  <c r="N450" i="5"/>
  <c r="B462" i="5"/>
  <c r="N799" i="5"/>
  <c r="B811" i="5"/>
  <c r="H359" i="5"/>
  <c r="K347" i="5"/>
  <c r="K329" i="5"/>
  <c r="L329" i="5" s="1"/>
  <c r="H341" i="5"/>
  <c r="F321" i="5"/>
  <c r="L321" i="5" s="1"/>
  <c r="C333" i="5"/>
  <c r="C439" i="5"/>
  <c r="F427" i="5"/>
  <c r="L427" i="5" s="1"/>
  <c r="C435" i="5"/>
  <c r="F423" i="5"/>
  <c r="F439" i="5" l="1"/>
  <c r="L439" i="5" s="1"/>
  <c r="C451" i="5"/>
  <c r="F334" i="5"/>
  <c r="C346" i="5"/>
  <c r="F333" i="5"/>
  <c r="C345" i="5"/>
  <c r="H353" i="5"/>
  <c r="K341" i="5"/>
  <c r="L341" i="5" s="1"/>
  <c r="N811" i="5"/>
  <c r="B823" i="5"/>
  <c r="N462" i="5"/>
  <c r="B474" i="5"/>
  <c r="N460" i="5"/>
  <c r="B472" i="5"/>
  <c r="N470" i="5"/>
  <c r="B482" i="5"/>
  <c r="N464" i="5"/>
  <c r="B476" i="5"/>
  <c r="N466" i="5"/>
  <c r="B478" i="5"/>
  <c r="N468" i="5"/>
  <c r="B480" i="5"/>
  <c r="C371" i="5"/>
  <c r="F359" i="5"/>
  <c r="K344" i="5"/>
  <c r="H356" i="5"/>
  <c r="H361" i="5"/>
  <c r="K349" i="5"/>
  <c r="L349" i="5" s="1"/>
  <c r="L324" i="5"/>
  <c r="K342" i="5"/>
  <c r="H354" i="5"/>
  <c r="F342" i="5"/>
  <c r="L342" i="5" s="1"/>
  <c r="C354" i="5"/>
  <c r="K333" i="5"/>
  <c r="H345" i="5"/>
  <c r="F338" i="5"/>
  <c r="C350" i="5"/>
  <c r="K340" i="5"/>
  <c r="H352" i="5"/>
  <c r="F344" i="5"/>
  <c r="L344" i="5" s="1"/>
  <c r="C356" i="5"/>
  <c r="C447" i="5"/>
  <c r="F435" i="5"/>
  <c r="H371" i="5"/>
  <c r="K359" i="5"/>
  <c r="Q29" i="5"/>
  <c r="T28" i="5" s="1"/>
  <c r="U28" i="5" s="1"/>
  <c r="R28" i="5"/>
  <c r="S28" i="5" s="1"/>
  <c r="F340" i="5"/>
  <c r="C352" i="5"/>
  <c r="K338" i="5"/>
  <c r="H350" i="5"/>
  <c r="H351" i="5"/>
  <c r="K339" i="5"/>
  <c r="L339" i="5" s="1"/>
  <c r="K336" i="5"/>
  <c r="H348" i="5"/>
  <c r="K334" i="5"/>
  <c r="H346" i="5"/>
  <c r="F336" i="5"/>
  <c r="L336" i="5" s="1"/>
  <c r="C348" i="5"/>
  <c r="L330" i="5"/>
  <c r="L326" i="5"/>
  <c r="L332" i="5"/>
  <c r="F348" i="5" l="1"/>
  <c r="C360" i="5"/>
  <c r="K348" i="5"/>
  <c r="H360" i="5"/>
  <c r="H363" i="5"/>
  <c r="K351" i="5"/>
  <c r="L351" i="5" s="1"/>
  <c r="L340" i="5"/>
  <c r="F356" i="5"/>
  <c r="C368" i="5"/>
  <c r="K352" i="5"/>
  <c r="H364" i="5"/>
  <c r="F350" i="5"/>
  <c r="C362" i="5"/>
  <c r="H357" i="5"/>
  <c r="K345" i="5"/>
  <c r="F354" i="5"/>
  <c r="C366" i="5"/>
  <c r="K354" i="5"/>
  <c r="H366" i="5"/>
  <c r="H373" i="5"/>
  <c r="K361" i="5"/>
  <c r="L361" i="5" s="1"/>
  <c r="C383" i="5"/>
  <c r="F371" i="5"/>
  <c r="H365" i="5"/>
  <c r="K353" i="5"/>
  <c r="L353" i="5" s="1"/>
  <c r="L333" i="5"/>
  <c r="F346" i="5"/>
  <c r="C358" i="5"/>
  <c r="F451" i="5"/>
  <c r="L451" i="5" s="1"/>
  <c r="C463" i="5"/>
  <c r="K346" i="5"/>
  <c r="H358" i="5"/>
  <c r="K350" i="5"/>
  <c r="H362" i="5"/>
  <c r="F352" i="5"/>
  <c r="L352" i="5" s="1"/>
  <c r="C364" i="5"/>
  <c r="T29" i="5"/>
  <c r="U29" i="5" s="1"/>
  <c r="Q30" i="5"/>
  <c r="R29" i="5"/>
  <c r="S29" i="5" s="1"/>
  <c r="H383" i="5"/>
  <c r="K371" i="5"/>
  <c r="F447" i="5"/>
  <c r="C459" i="5"/>
  <c r="L338" i="5"/>
  <c r="K356" i="5"/>
  <c r="H368" i="5"/>
  <c r="L359" i="5"/>
  <c r="N480" i="5"/>
  <c r="B492" i="5"/>
  <c r="N478" i="5"/>
  <c r="B490" i="5"/>
  <c r="N476" i="5"/>
  <c r="B488" i="5"/>
  <c r="N482" i="5"/>
  <c r="B494" i="5"/>
  <c r="N472" i="5"/>
  <c r="B484" i="5"/>
  <c r="N474" i="5"/>
  <c r="B486" i="5"/>
  <c r="N823" i="5"/>
  <c r="B835" i="5"/>
  <c r="C357" i="5"/>
  <c r="F345" i="5"/>
  <c r="L345" i="5" s="1"/>
  <c r="L334" i="5"/>
  <c r="N835" i="5" l="1"/>
  <c r="B847" i="5"/>
  <c r="N486" i="5"/>
  <c r="B498" i="5"/>
  <c r="N484" i="5"/>
  <c r="B496" i="5"/>
  <c r="N494" i="5"/>
  <c r="B506" i="5"/>
  <c r="N488" i="5"/>
  <c r="B500" i="5"/>
  <c r="N490" i="5"/>
  <c r="B502" i="5"/>
  <c r="N492" i="5"/>
  <c r="B504" i="5"/>
  <c r="F459" i="5"/>
  <c r="C471" i="5"/>
  <c r="L346" i="5"/>
  <c r="L371" i="5"/>
  <c r="K366" i="5"/>
  <c r="H378" i="5"/>
  <c r="F366" i="5"/>
  <c r="L366" i="5" s="1"/>
  <c r="C378" i="5"/>
  <c r="F362" i="5"/>
  <c r="C374" i="5"/>
  <c r="K364" i="5"/>
  <c r="H376" i="5"/>
  <c r="F368" i="5"/>
  <c r="C380" i="5"/>
  <c r="K360" i="5"/>
  <c r="H372" i="5"/>
  <c r="F360" i="5"/>
  <c r="L360" i="5" s="1"/>
  <c r="C372" i="5"/>
  <c r="C369" i="5"/>
  <c r="F357" i="5"/>
  <c r="K368" i="5"/>
  <c r="H380" i="5"/>
  <c r="H395" i="5"/>
  <c r="K383" i="5"/>
  <c r="Q31" i="5"/>
  <c r="T30" i="5"/>
  <c r="U30" i="5" s="1"/>
  <c r="R30" i="5"/>
  <c r="S30" i="5" s="1"/>
  <c r="F364" i="5"/>
  <c r="L364" i="5" s="1"/>
  <c r="C376" i="5"/>
  <c r="K362" i="5"/>
  <c r="H374" i="5"/>
  <c r="K358" i="5"/>
  <c r="H370" i="5"/>
  <c r="F463" i="5"/>
  <c r="L463" i="5" s="1"/>
  <c r="C475" i="5"/>
  <c r="F358" i="5"/>
  <c r="L358" i="5" s="1"/>
  <c r="C370" i="5"/>
  <c r="H377" i="5"/>
  <c r="K365" i="5"/>
  <c r="L365" i="5" s="1"/>
  <c r="C395" i="5"/>
  <c r="F383" i="5"/>
  <c r="H385" i="5"/>
  <c r="K373" i="5"/>
  <c r="L373" i="5" s="1"/>
  <c r="L354" i="5"/>
  <c r="H369" i="5"/>
  <c r="K357" i="5"/>
  <c r="L350" i="5"/>
  <c r="L356" i="5"/>
  <c r="H375" i="5"/>
  <c r="K363" i="5"/>
  <c r="L363" i="5" s="1"/>
  <c r="L348" i="5"/>
  <c r="H397" i="5" l="1"/>
  <c r="K385" i="5"/>
  <c r="L385" i="5" s="1"/>
  <c r="H389" i="5"/>
  <c r="K377" i="5"/>
  <c r="L377" i="5" s="1"/>
  <c r="H387" i="5"/>
  <c r="K375" i="5"/>
  <c r="L375" i="5" s="1"/>
  <c r="H381" i="5"/>
  <c r="K369" i="5"/>
  <c r="L383" i="5"/>
  <c r="F370" i="5"/>
  <c r="C382" i="5"/>
  <c r="F475" i="5"/>
  <c r="L475" i="5" s="1"/>
  <c r="C487" i="5"/>
  <c r="K370" i="5"/>
  <c r="H382" i="5"/>
  <c r="K374" i="5"/>
  <c r="H386" i="5"/>
  <c r="F376" i="5"/>
  <c r="C388" i="5"/>
  <c r="T31" i="5"/>
  <c r="U31" i="5" s="1"/>
  <c r="Q32" i="5"/>
  <c r="R31" i="5"/>
  <c r="S31" i="5" s="1"/>
  <c r="H407" i="5"/>
  <c r="K395" i="5"/>
  <c r="K380" i="5"/>
  <c r="H392" i="5"/>
  <c r="L357" i="5"/>
  <c r="F372" i="5"/>
  <c r="C384" i="5"/>
  <c r="K372" i="5"/>
  <c r="H384" i="5"/>
  <c r="F380" i="5"/>
  <c r="L380" i="5" s="1"/>
  <c r="C392" i="5"/>
  <c r="K376" i="5"/>
  <c r="H388" i="5"/>
  <c r="F374" i="5"/>
  <c r="L374" i="5" s="1"/>
  <c r="C386" i="5"/>
  <c r="F378" i="5"/>
  <c r="C390" i="5"/>
  <c r="K378" i="5"/>
  <c r="H390" i="5"/>
  <c r="F471" i="5"/>
  <c r="C483" i="5"/>
  <c r="N504" i="5"/>
  <c r="B516" i="5"/>
  <c r="N502" i="5"/>
  <c r="B514" i="5"/>
  <c r="N500" i="5"/>
  <c r="B512" i="5"/>
  <c r="N506" i="5"/>
  <c r="B518" i="5"/>
  <c r="N496" i="5"/>
  <c r="B508" i="5"/>
  <c r="N498" i="5"/>
  <c r="B510" i="5"/>
  <c r="N847" i="5"/>
  <c r="B859" i="5"/>
  <c r="C407" i="5"/>
  <c r="F395" i="5"/>
  <c r="C381" i="5"/>
  <c r="F369" i="5"/>
  <c r="L369" i="5" s="1"/>
  <c r="L368" i="5"/>
  <c r="L362" i="5"/>
  <c r="C393" i="5" l="1"/>
  <c r="F381" i="5"/>
  <c r="C419" i="5"/>
  <c r="F407" i="5"/>
  <c r="L378" i="5"/>
  <c r="L372" i="5"/>
  <c r="K392" i="5"/>
  <c r="H404" i="5"/>
  <c r="L376" i="5"/>
  <c r="L370" i="5"/>
  <c r="L395" i="5"/>
  <c r="N859" i="5"/>
  <c r="B871" i="5"/>
  <c r="N510" i="5"/>
  <c r="B522" i="5"/>
  <c r="N508" i="5"/>
  <c r="B520" i="5"/>
  <c r="N518" i="5"/>
  <c r="B530" i="5"/>
  <c r="N512" i="5"/>
  <c r="B524" i="5"/>
  <c r="N514" i="5"/>
  <c r="B526" i="5"/>
  <c r="N516" i="5"/>
  <c r="B528" i="5"/>
  <c r="C495" i="5"/>
  <c r="F483" i="5"/>
  <c r="K390" i="5"/>
  <c r="H402" i="5"/>
  <c r="F390" i="5"/>
  <c r="L390" i="5" s="1"/>
  <c r="C402" i="5"/>
  <c r="F386" i="5"/>
  <c r="C398" i="5"/>
  <c r="K388" i="5"/>
  <c r="H400" i="5"/>
  <c r="F392" i="5"/>
  <c r="L392" i="5" s="1"/>
  <c r="C404" i="5"/>
  <c r="K384" i="5"/>
  <c r="H396" i="5"/>
  <c r="F384" i="5"/>
  <c r="L384" i="5" s="1"/>
  <c r="C396" i="5"/>
  <c r="H419" i="5"/>
  <c r="K407" i="5"/>
  <c r="Q33" i="5"/>
  <c r="T32" i="5"/>
  <c r="U32" i="5" s="1"/>
  <c r="R32" i="5"/>
  <c r="S32" i="5" s="1"/>
  <c r="F388" i="5"/>
  <c r="L388" i="5" s="1"/>
  <c r="C400" i="5"/>
  <c r="K386" i="5"/>
  <c r="H398" i="5"/>
  <c r="K382" i="5"/>
  <c r="H394" i="5"/>
  <c r="C499" i="5"/>
  <c r="F487" i="5"/>
  <c r="L487" i="5" s="1"/>
  <c r="F382" i="5"/>
  <c r="L382" i="5" s="1"/>
  <c r="C394" i="5"/>
  <c r="H393" i="5"/>
  <c r="K381" i="5"/>
  <c r="H399" i="5"/>
  <c r="K387" i="5"/>
  <c r="L387" i="5" s="1"/>
  <c r="H401" i="5"/>
  <c r="K389" i="5"/>
  <c r="L389" i="5" s="1"/>
  <c r="H409" i="5"/>
  <c r="K397" i="5"/>
  <c r="L397" i="5" s="1"/>
  <c r="H421" i="5" l="1"/>
  <c r="K409" i="5"/>
  <c r="L409" i="5" s="1"/>
  <c r="H413" i="5"/>
  <c r="K401" i="5"/>
  <c r="L401" i="5" s="1"/>
  <c r="H411" i="5"/>
  <c r="K399" i="5"/>
  <c r="L399" i="5" s="1"/>
  <c r="H405" i="5"/>
  <c r="K393" i="5"/>
  <c r="C511" i="5"/>
  <c r="F499" i="5"/>
  <c r="L499" i="5" s="1"/>
  <c r="F396" i="5"/>
  <c r="C408" i="5"/>
  <c r="K396" i="5"/>
  <c r="H408" i="5"/>
  <c r="F404" i="5"/>
  <c r="C416" i="5"/>
  <c r="K400" i="5"/>
  <c r="H412" i="5"/>
  <c r="F398" i="5"/>
  <c r="C410" i="5"/>
  <c r="F402" i="5"/>
  <c r="C414" i="5"/>
  <c r="K402" i="5"/>
  <c r="H414" i="5"/>
  <c r="N528" i="5"/>
  <c r="B540" i="5"/>
  <c r="N526" i="5"/>
  <c r="B538" i="5"/>
  <c r="N524" i="5"/>
  <c r="B536" i="5"/>
  <c r="N530" i="5"/>
  <c r="B542" i="5"/>
  <c r="N520" i="5"/>
  <c r="B532" i="5"/>
  <c r="N522" i="5"/>
  <c r="B534" i="5"/>
  <c r="N871" i="5"/>
  <c r="B883" i="5"/>
  <c r="L407" i="5"/>
  <c r="L381" i="5"/>
  <c r="F394" i="5"/>
  <c r="C406" i="5"/>
  <c r="K394" i="5"/>
  <c r="H406" i="5"/>
  <c r="K398" i="5"/>
  <c r="H410" i="5"/>
  <c r="F400" i="5"/>
  <c r="L400" i="5" s="1"/>
  <c r="C412" i="5"/>
  <c r="T33" i="5"/>
  <c r="U33" i="5" s="1"/>
  <c r="Q34" i="5"/>
  <c r="R33" i="5"/>
  <c r="S33" i="5" s="1"/>
  <c r="H431" i="5"/>
  <c r="K419" i="5"/>
  <c r="L386" i="5"/>
  <c r="C507" i="5"/>
  <c r="F495" i="5"/>
  <c r="K404" i="5"/>
  <c r="H416" i="5"/>
  <c r="C431" i="5"/>
  <c r="F419" i="5"/>
  <c r="L419" i="5" s="1"/>
  <c r="C405" i="5"/>
  <c r="F393" i="5"/>
  <c r="L393" i="5" s="1"/>
  <c r="C443" i="5" l="1"/>
  <c r="F431" i="5"/>
  <c r="C519" i="5"/>
  <c r="F507" i="5"/>
  <c r="L394" i="5"/>
  <c r="K414" i="5"/>
  <c r="H426" i="5"/>
  <c r="F414" i="5"/>
  <c r="L414" i="5" s="1"/>
  <c r="C426" i="5"/>
  <c r="F410" i="5"/>
  <c r="C422" i="5"/>
  <c r="K412" i="5"/>
  <c r="H424" i="5"/>
  <c r="F416" i="5"/>
  <c r="C428" i="5"/>
  <c r="K408" i="5"/>
  <c r="H420" i="5"/>
  <c r="F408" i="5"/>
  <c r="L408" i="5" s="1"/>
  <c r="C420" i="5"/>
  <c r="C417" i="5"/>
  <c r="F405" i="5"/>
  <c r="K416" i="5"/>
  <c r="H428" i="5"/>
  <c r="H443" i="5"/>
  <c r="K431" i="5"/>
  <c r="Q35" i="5"/>
  <c r="T34" i="5"/>
  <c r="U34" i="5" s="1"/>
  <c r="R34" i="5"/>
  <c r="S34" i="5" s="1"/>
  <c r="F412" i="5"/>
  <c r="L412" i="5" s="1"/>
  <c r="C424" i="5"/>
  <c r="K410" i="5"/>
  <c r="H422" i="5"/>
  <c r="K406" i="5"/>
  <c r="H418" i="5"/>
  <c r="F406" i="5"/>
  <c r="L406" i="5" s="1"/>
  <c r="C418" i="5"/>
  <c r="N883" i="5"/>
  <c r="B895" i="5"/>
  <c r="N534" i="5"/>
  <c r="B546" i="5"/>
  <c r="N532" i="5"/>
  <c r="B544" i="5"/>
  <c r="N542" i="5"/>
  <c r="B554" i="5"/>
  <c r="N536" i="5"/>
  <c r="B548" i="5"/>
  <c r="N538" i="5"/>
  <c r="B550" i="5"/>
  <c r="N540" i="5"/>
  <c r="B552" i="5"/>
  <c r="L402" i="5"/>
  <c r="L398" i="5"/>
  <c r="L404" i="5"/>
  <c r="L396" i="5"/>
  <c r="C523" i="5"/>
  <c r="F511" i="5"/>
  <c r="L511" i="5" s="1"/>
  <c r="H417" i="5"/>
  <c r="K405" i="5"/>
  <c r="H423" i="5"/>
  <c r="K411" i="5"/>
  <c r="L411" i="5" s="1"/>
  <c r="H425" i="5"/>
  <c r="K413" i="5"/>
  <c r="L413" i="5" s="1"/>
  <c r="H433" i="5"/>
  <c r="K421" i="5"/>
  <c r="L421" i="5" s="1"/>
  <c r="C429" i="5" l="1"/>
  <c r="F417" i="5"/>
  <c r="L416" i="5"/>
  <c r="L410" i="5"/>
  <c r="L431" i="5"/>
  <c r="H445" i="5"/>
  <c r="K433" i="5"/>
  <c r="L433" i="5" s="1"/>
  <c r="H437" i="5"/>
  <c r="K425" i="5"/>
  <c r="L425" i="5" s="1"/>
  <c r="H435" i="5"/>
  <c r="K423" i="5"/>
  <c r="L423" i="5" s="1"/>
  <c r="H429" i="5"/>
  <c r="K417" i="5"/>
  <c r="C535" i="5"/>
  <c r="F523" i="5"/>
  <c r="L523" i="5" s="1"/>
  <c r="N552" i="5"/>
  <c r="B564" i="5"/>
  <c r="N550" i="5"/>
  <c r="B562" i="5"/>
  <c r="N548" i="5"/>
  <c r="B560" i="5"/>
  <c r="N554" i="5"/>
  <c r="B566" i="5"/>
  <c r="N544" i="5"/>
  <c r="B556" i="5"/>
  <c r="N546" i="5"/>
  <c r="B558" i="5"/>
  <c r="N895" i="5"/>
  <c r="B907" i="5"/>
  <c r="F418" i="5"/>
  <c r="C430" i="5"/>
  <c r="K418" i="5"/>
  <c r="H430" i="5"/>
  <c r="K422" i="5"/>
  <c r="H434" i="5"/>
  <c r="F424" i="5"/>
  <c r="C436" i="5"/>
  <c r="Q36" i="5"/>
  <c r="R35" i="5"/>
  <c r="S35" i="5" s="1"/>
  <c r="K443" i="5"/>
  <c r="H455" i="5"/>
  <c r="K428" i="5"/>
  <c r="H440" i="5"/>
  <c r="L405" i="5"/>
  <c r="F420" i="5"/>
  <c r="C432" i="5"/>
  <c r="K420" i="5"/>
  <c r="H432" i="5"/>
  <c r="F428" i="5"/>
  <c r="L428" i="5" s="1"/>
  <c r="C440" i="5"/>
  <c r="K424" i="5"/>
  <c r="H436" i="5"/>
  <c r="F422" i="5"/>
  <c r="L422" i="5" s="1"/>
  <c r="C434" i="5"/>
  <c r="F426" i="5"/>
  <c r="C438" i="5"/>
  <c r="K426" i="5"/>
  <c r="H438" i="5"/>
  <c r="C531" i="5"/>
  <c r="F519" i="5"/>
  <c r="F443" i="5"/>
  <c r="L443" i="5" s="1"/>
  <c r="C455" i="5"/>
  <c r="C543" i="5" l="1"/>
  <c r="F531" i="5"/>
  <c r="F455" i="5"/>
  <c r="C467" i="5"/>
  <c r="K438" i="5"/>
  <c r="H450" i="5"/>
  <c r="F438" i="5"/>
  <c r="L438" i="5" s="1"/>
  <c r="C450" i="5"/>
  <c r="F434" i="5"/>
  <c r="L434" i="5" s="1"/>
  <c r="C446" i="5"/>
  <c r="K436" i="5"/>
  <c r="H448" i="5"/>
  <c r="F440" i="5"/>
  <c r="C452" i="5"/>
  <c r="K432" i="5"/>
  <c r="H444" i="5"/>
  <c r="F432" i="5"/>
  <c r="L432" i="5" s="1"/>
  <c r="C444" i="5"/>
  <c r="Q37" i="5"/>
  <c r="R36" i="5"/>
  <c r="S36" i="5" s="1"/>
  <c r="F436" i="5"/>
  <c r="C448" i="5"/>
  <c r="K434" i="5"/>
  <c r="H446" i="5"/>
  <c r="K430" i="5"/>
  <c r="H442" i="5"/>
  <c r="F430" i="5"/>
  <c r="L430" i="5" s="1"/>
  <c r="C442" i="5"/>
  <c r="N907" i="5"/>
  <c r="B919" i="5"/>
  <c r="N558" i="5"/>
  <c r="B570" i="5"/>
  <c r="N556" i="5"/>
  <c r="B568" i="5"/>
  <c r="N566" i="5"/>
  <c r="B578" i="5"/>
  <c r="N560" i="5"/>
  <c r="B572" i="5"/>
  <c r="N562" i="5"/>
  <c r="B574" i="5"/>
  <c r="N564" i="5"/>
  <c r="B576" i="5"/>
  <c r="L417" i="5"/>
  <c r="L426" i="5"/>
  <c r="L420" i="5"/>
  <c r="K440" i="5"/>
  <c r="H452" i="5"/>
  <c r="K455" i="5"/>
  <c r="H467" i="5"/>
  <c r="T35" i="5"/>
  <c r="U35" i="5" s="1"/>
  <c r="L424" i="5"/>
  <c r="L418" i="5"/>
  <c r="C547" i="5"/>
  <c r="F535" i="5"/>
  <c r="L535" i="5" s="1"/>
  <c r="H441" i="5"/>
  <c r="K429" i="5"/>
  <c r="H447" i="5"/>
  <c r="K435" i="5"/>
  <c r="L435" i="5" s="1"/>
  <c r="H449" i="5"/>
  <c r="K437" i="5"/>
  <c r="L437" i="5" s="1"/>
  <c r="K445" i="5"/>
  <c r="L445" i="5" s="1"/>
  <c r="H457" i="5"/>
  <c r="C441" i="5"/>
  <c r="F429" i="5"/>
  <c r="L429" i="5" s="1"/>
  <c r="K457" i="5" l="1"/>
  <c r="L457" i="5" s="1"/>
  <c r="H469" i="5"/>
  <c r="N576" i="5"/>
  <c r="B588" i="5"/>
  <c r="N574" i="5"/>
  <c r="B586" i="5"/>
  <c r="N572" i="5"/>
  <c r="B584" i="5"/>
  <c r="N578" i="5"/>
  <c r="B590" i="5"/>
  <c r="N568" i="5"/>
  <c r="B580" i="5"/>
  <c r="N570" i="5"/>
  <c r="B582" i="5"/>
  <c r="N919" i="5"/>
  <c r="B931" i="5"/>
  <c r="F442" i="5"/>
  <c r="C454" i="5"/>
  <c r="K442" i="5"/>
  <c r="H454" i="5"/>
  <c r="K446" i="5"/>
  <c r="H458" i="5"/>
  <c r="F448" i="5"/>
  <c r="C460" i="5"/>
  <c r="T37" i="5"/>
  <c r="U37" i="5" s="1"/>
  <c r="Q38" i="5"/>
  <c r="R37" i="5"/>
  <c r="S37" i="5" s="1"/>
  <c r="L440" i="5"/>
  <c r="F467" i="5"/>
  <c r="C479" i="5"/>
  <c r="F441" i="5"/>
  <c r="C453" i="5"/>
  <c r="K449" i="5"/>
  <c r="L449" i="5" s="1"/>
  <c r="H461" i="5"/>
  <c r="K447" i="5"/>
  <c r="L447" i="5" s="1"/>
  <c r="H459" i="5"/>
  <c r="K441" i="5"/>
  <c r="H453" i="5"/>
  <c r="C559" i="5"/>
  <c r="F547" i="5"/>
  <c r="L547" i="5" s="1"/>
  <c r="K467" i="5"/>
  <c r="H479" i="5"/>
  <c r="H464" i="5"/>
  <c r="K452" i="5"/>
  <c r="L436" i="5"/>
  <c r="T36" i="5"/>
  <c r="U36" i="5" s="1"/>
  <c r="F444" i="5"/>
  <c r="C456" i="5"/>
  <c r="K444" i="5"/>
  <c r="H456" i="5"/>
  <c r="C464" i="5"/>
  <c r="F452" i="5"/>
  <c r="L452" i="5" s="1"/>
  <c r="K448" i="5"/>
  <c r="H460" i="5"/>
  <c r="F446" i="5"/>
  <c r="L446" i="5" s="1"/>
  <c r="C458" i="5"/>
  <c r="C462" i="5"/>
  <c r="F450" i="5"/>
  <c r="H462" i="5"/>
  <c r="K450" i="5"/>
  <c r="L455" i="5"/>
  <c r="C555" i="5"/>
  <c r="F543" i="5"/>
  <c r="H468" i="5" l="1"/>
  <c r="K456" i="5"/>
  <c r="C468" i="5"/>
  <c r="F456" i="5"/>
  <c r="L456" i="5" s="1"/>
  <c r="H474" i="5"/>
  <c r="K462" i="5"/>
  <c r="C474" i="5"/>
  <c r="F462" i="5"/>
  <c r="L462" i="5" s="1"/>
  <c r="C476" i="5"/>
  <c r="F464" i="5"/>
  <c r="L444" i="5"/>
  <c r="H476" i="5"/>
  <c r="K464" i="5"/>
  <c r="C571" i="5"/>
  <c r="F559" i="5"/>
  <c r="L559" i="5" s="1"/>
  <c r="L441" i="5"/>
  <c r="C491" i="5"/>
  <c r="F479" i="5"/>
  <c r="Q39" i="5"/>
  <c r="R38" i="5"/>
  <c r="S38" i="5" s="1"/>
  <c r="C472" i="5"/>
  <c r="F460" i="5"/>
  <c r="H470" i="5"/>
  <c r="K458" i="5"/>
  <c r="H466" i="5"/>
  <c r="K454" i="5"/>
  <c r="C466" i="5"/>
  <c r="F454" i="5"/>
  <c r="L454" i="5" s="1"/>
  <c r="N931" i="5"/>
  <c r="B943" i="5"/>
  <c r="N582" i="5"/>
  <c r="B594" i="5"/>
  <c r="N580" i="5"/>
  <c r="B592" i="5"/>
  <c r="N590" i="5"/>
  <c r="B602" i="5"/>
  <c r="N584" i="5"/>
  <c r="B596" i="5"/>
  <c r="N586" i="5"/>
  <c r="B598" i="5"/>
  <c r="N588" i="5"/>
  <c r="B600" i="5"/>
  <c r="K469" i="5"/>
  <c r="L469" i="5" s="1"/>
  <c r="H481" i="5"/>
  <c r="C567" i="5"/>
  <c r="F555" i="5"/>
  <c r="L450" i="5"/>
  <c r="C470" i="5"/>
  <c r="F458" i="5"/>
  <c r="L458" i="5" s="1"/>
  <c r="H472" i="5"/>
  <c r="K460" i="5"/>
  <c r="H491" i="5"/>
  <c r="K479" i="5"/>
  <c r="K453" i="5"/>
  <c r="H465" i="5"/>
  <c r="K459" i="5"/>
  <c r="L459" i="5" s="1"/>
  <c r="H471" i="5"/>
  <c r="K461" i="5"/>
  <c r="L461" i="5" s="1"/>
  <c r="H473" i="5"/>
  <c r="F453" i="5"/>
  <c r="L453" i="5" s="1"/>
  <c r="C465" i="5"/>
  <c r="L467" i="5"/>
  <c r="L448" i="5"/>
  <c r="L442" i="5"/>
  <c r="H503" i="5" l="1"/>
  <c r="K491" i="5"/>
  <c r="K472" i="5"/>
  <c r="H484" i="5"/>
  <c r="F470" i="5"/>
  <c r="C482" i="5"/>
  <c r="H493" i="5"/>
  <c r="K481" i="5"/>
  <c r="L481" i="5" s="1"/>
  <c r="N600" i="5"/>
  <c r="B612" i="5"/>
  <c r="N598" i="5"/>
  <c r="B610" i="5"/>
  <c r="N596" i="5"/>
  <c r="B608" i="5"/>
  <c r="N602" i="5"/>
  <c r="B614" i="5"/>
  <c r="N592" i="5"/>
  <c r="B604" i="5"/>
  <c r="N594" i="5"/>
  <c r="B606" i="5"/>
  <c r="N943" i="5"/>
  <c r="B955" i="5"/>
  <c r="L460" i="5"/>
  <c r="Q40" i="5"/>
  <c r="R39" i="5"/>
  <c r="S39" i="5" s="1"/>
  <c r="C503" i="5"/>
  <c r="F491" i="5"/>
  <c r="L491" i="5" s="1"/>
  <c r="F476" i="5"/>
  <c r="C488" i="5"/>
  <c r="F474" i="5"/>
  <c r="C486" i="5"/>
  <c r="K474" i="5"/>
  <c r="H486" i="5"/>
  <c r="F465" i="5"/>
  <c r="C477" i="5"/>
  <c r="K473" i="5"/>
  <c r="L473" i="5" s="1"/>
  <c r="H485" i="5"/>
  <c r="K471" i="5"/>
  <c r="L471" i="5" s="1"/>
  <c r="H483" i="5"/>
  <c r="K465" i="5"/>
  <c r="H477" i="5"/>
  <c r="C579" i="5"/>
  <c r="F567" i="5"/>
  <c r="C478" i="5"/>
  <c r="F466" i="5"/>
  <c r="H478" i="5"/>
  <c r="K466" i="5"/>
  <c r="K470" i="5"/>
  <c r="H482" i="5"/>
  <c r="F472" i="5"/>
  <c r="L472" i="5" s="1"/>
  <c r="C484" i="5"/>
  <c r="T38" i="5"/>
  <c r="U38" i="5" s="1"/>
  <c r="L479" i="5"/>
  <c r="C583" i="5"/>
  <c r="F571" i="5"/>
  <c r="L571" i="5" s="1"/>
  <c r="K476" i="5"/>
  <c r="H488" i="5"/>
  <c r="L464" i="5"/>
  <c r="F468" i="5"/>
  <c r="C480" i="5"/>
  <c r="K468" i="5"/>
  <c r="H480" i="5"/>
  <c r="K480" i="5" l="1"/>
  <c r="H492" i="5"/>
  <c r="C595" i="5"/>
  <c r="F583" i="5"/>
  <c r="L583" i="5" s="1"/>
  <c r="K478" i="5"/>
  <c r="H490" i="5"/>
  <c r="F478" i="5"/>
  <c r="L478" i="5" s="1"/>
  <c r="C490" i="5"/>
  <c r="C591" i="5"/>
  <c r="F579" i="5"/>
  <c r="L465" i="5"/>
  <c r="L474" i="5"/>
  <c r="L476" i="5"/>
  <c r="C515" i="5"/>
  <c r="F503" i="5"/>
  <c r="Q41" i="5"/>
  <c r="R40" i="5"/>
  <c r="S40" i="5" s="1"/>
  <c r="H505" i="5"/>
  <c r="K493" i="5"/>
  <c r="L493" i="5" s="1"/>
  <c r="F482" i="5"/>
  <c r="C494" i="5"/>
  <c r="K484" i="5"/>
  <c r="H496" i="5"/>
  <c r="F480" i="5"/>
  <c r="L480" i="5" s="1"/>
  <c r="C492" i="5"/>
  <c r="L468" i="5"/>
  <c r="K488" i="5"/>
  <c r="H500" i="5"/>
  <c r="F484" i="5"/>
  <c r="L484" i="5" s="1"/>
  <c r="C496" i="5"/>
  <c r="K482" i="5"/>
  <c r="H494" i="5"/>
  <c r="L466" i="5"/>
  <c r="K477" i="5"/>
  <c r="H489" i="5"/>
  <c r="H495" i="5"/>
  <c r="K483" i="5"/>
  <c r="L483" i="5" s="1"/>
  <c r="H497" i="5"/>
  <c r="K485" i="5"/>
  <c r="L485" i="5" s="1"/>
  <c r="F477" i="5"/>
  <c r="L477" i="5" s="1"/>
  <c r="C489" i="5"/>
  <c r="K486" i="5"/>
  <c r="H498" i="5"/>
  <c r="F486" i="5"/>
  <c r="L486" i="5" s="1"/>
  <c r="C498" i="5"/>
  <c r="F488" i="5"/>
  <c r="L488" i="5" s="1"/>
  <c r="C500" i="5"/>
  <c r="T39" i="5"/>
  <c r="U39" i="5" s="1"/>
  <c r="N955" i="5"/>
  <c r="B967" i="5"/>
  <c r="N606" i="5"/>
  <c r="B618" i="5"/>
  <c r="N604" i="5"/>
  <c r="B616" i="5"/>
  <c r="N614" i="5"/>
  <c r="B626" i="5"/>
  <c r="N608" i="5"/>
  <c r="B620" i="5"/>
  <c r="N610" i="5"/>
  <c r="B622" i="5"/>
  <c r="N612" i="5"/>
  <c r="B624" i="5"/>
  <c r="L470" i="5"/>
  <c r="H515" i="5"/>
  <c r="K503" i="5"/>
  <c r="H527" i="5" l="1"/>
  <c r="K515" i="5"/>
  <c r="N620" i="5"/>
  <c r="B632" i="5"/>
  <c r="H509" i="5"/>
  <c r="K497" i="5"/>
  <c r="L497" i="5" s="1"/>
  <c r="H507" i="5"/>
  <c r="K495" i="5"/>
  <c r="L495" i="5" s="1"/>
  <c r="F492" i="5"/>
  <c r="C504" i="5"/>
  <c r="K496" i="5"/>
  <c r="H508" i="5"/>
  <c r="F494" i="5"/>
  <c r="C506" i="5"/>
  <c r="Q42" i="5"/>
  <c r="R41" i="5"/>
  <c r="S41" i="5" s="1"/>
  <c r="C527" i="5"/>
  <c r="F515" i="5"/>
  <c r="L515" i="5" s="1"/>
  <c r="F490" i="5"/>
  <c r="C502" i="5"/>
  <c r="K490" i="5"/>
  <c r="H502" i="5"/>
  <c r="K492" i="5"/>
  <c r="H504" i="5"/>
  <c r="N624" i="5"/>
  <c r="B636" i="5"/>
  <c r="N622" i="5"/>
  <c r="B634" i="5"/>
  <c r="N626" i="5"/>
  <c r="B638" i="5"/>
  <c r="N616" i="5"/>
  <c r="B628" i="5"/>
  <c r="N618" i="5"/>
  <c r="B630" i="5"/>
  <c r="N967" i="5"/>
  <c r="B979" i="5"/>
  <c r="F500" i="5"/>
  <c r="C512" i="5"/>
  <c r="F498" i="5"/>
  <c r="C510" i="5"/>
  <c r="K498" i="5"/>
  <c r="H510" i="5"/>
  <c r="C501" i="5"/>
  <c r="F489" i="5"/>
  <c r="H501" i="5"/>
  <c r="K489" i="5"/>
  <c r="K494" i="5"/>
  <c r="H506" i="5"/>
  <c r="F496" i="5"/>
  <c r="L496" i="5" s="1"/>
  <c r="C508" i="5"/>
  <c r="K500" i="5"/>
  <c r="H512" i="5"/>
  <c r="L482" i="5"/>
  <c r="H517" i="5"/>
  <c r="K505" i="5"/>
  <c r="L505" i="5" s="1"/>
  <c r="T40" i="5"/>
  <c r="U40" i="5" s="1"/>
  <c r="L503" i="5"/>
  <c r="C603" i="5"/>
  <c r="F591" i="5"/>
  <c r="C607" i="5"/>
  <c r="F595" i="5"/>
  <c r="L595" i="5" s="1"/>
  <c r="L498" i="5" l="1"/>
  <c r="C619" i="5"/>
  <c r="F607" i="5"/>
  <c r="L607" i="5" s="1"/>
  <c r="C615" i="5"/>
  <c r="F603" i="5"/>
  <c r="H529" i="5"/>
  <c r="K517" i="5"/>
  <c r="L517" i="5" s="1"/>
  <c r="K512" i="5"/>
  <c r="H524" i="5"/>
  <c r="F508" i="5"/>
  <c r="C520" i="5"/>
  <c r="K506" i="5"/>
  <c r="H518" i="5"/>
  <c r="L489" i="5"/>
  <c r="K510" i="5"/>
  <c r="H522" i="5"/>
  <c r="F510" i="5"/>
  <c r="L510" i="5" s="1"/>
  <c r="C522" i="5"/>
  <c r="F512" i="5"/>
  <c r="L512" i="5" s="1"/>
  <c r="C524" i="5"/>
  <c r="N979" i="5"/>
  <c r="B991" i="5"/>
  <c r="N630" i="5"/>
  <c r="B642" i="5"/>
  <c r="N628" i="5"/>
  <c r="B640" i="5"/>
  <c r="N638" i="5"/>
  <c r="B650" i="5"/>
  <c r="N634" i="5"/>
  <c r="B646" i="5"/>
  <c r="N636" i="5"/>
  <c r="B648" i="5"/>
  <c r="K504" i="5"/>
  <c r="H516" i="5"/>
  <c r="K502" i="5"/>
  <c r="H514" i="5"/>
  <c r="F502" i="5"/>
  <c r="L502" i="5" s="1"/>
  <c r="C514" i="5"/>
  <c r="C539" i="5"/>
  <c r="F527" i="5"/>
  <c r="Q43" i="5"/>
  <c r="T42" i="5" s="1"/>
  <c r="U42" i="5" s="1"/>
  <c r="R42" i="5"/>
  <c r="S42" i="5" s="1"/>
  <c r="F506" i="5"/>
  <c r="L506" i="5" s="1"/>
  <c r="C518" i="5"/>
  <c r="K508" i="5"/>
  <c r="H520" i="5"/>
  <c r="F504" i="5"/>
  <c r="L504" i="5" s="1"/>
  <c r="C516" i="5"/>
  <c r="N632" i="5"/>
  <c r="B644" i="5"/>
  <c r="H513" i="5"/>
  <c r="K501" i="5"/>
  <c r="C513" i="5"/>
  <c r="F501" i="5"/>
  <c r="L501" i="5" s="1"/>
  <c r="L500" i="5"/>
  <c r="L490" i="5"/>
  <c r="T41" i="5"/>
  <c r="U41" i="5" s="1"/>
  <c r="L494" i="5"/>
  <c r="L492" i="5"/>
  <c r="H519" i="5"/>
  <c r="K507" i="5"/>
  <c r="L507" i="5" s="1"/>
  <c r="H521" i="5"/>
  <c r="K509" i="5"/>
  <c r="L509" i="5" s="1"/>
  <c r="H539" i="5"/>
  <c r="K527" i="5"/>
  <c r="H525" i="5" l="1"/>
  <c r="K513" i="5"/>
  <c r="H551" i="5"/>
  <c r="K539" i="5"/>
  <c r="H533" i="5"/>
  <c r="K521" i="5"/>
  <c r="L521" i="5" s="1"/>
  <c r="H531" i="5"/>
  <c r="K519" i="5"/>
  <c r="L519" i="5" s="1"/>
  <c r="L527" i="5"/>
  <c r="F514" i="5"/>
  <c r="C526" i="5"/>
  <c r="K514" i="5"/>
  <c r="H526" i="5"/>
  <c r="K516" i="5"/>
  <c r="H528" i="5"/>
  <c r="N648" i="5"/>
  <c r="B660" i="5"/>
  <c r="N646" i="5"/>
  <c r="B658" i="5"/>
  <c r="N650" i="5"/>
  <c r="B662" i="5"/>
  <c r="N640" i="5"/>
  <c r="B652" i="5"/>
  <c r="N642" i="5"/>
  <c r="B654" i="5"/>
  <c r="B1003" i="5"/>
  <c r="N1003" i="5" s="1"/>
  <c r="N991" i="5"/>
  <c r="F524" i="5"/>
  <c r="C536" i="5"/>
  <c r="F522" i="5"/>
  <c r="C534" i="5"/>
  <c r="K522" i="5"/>
  <c r="H534" i="5"/>
  <c r="L508" i="5"/>
  <c r="H541" i="5"/>
  <c r="K529" i="5"/>
  <c r="L529" i="5" s="1"/>
  <c r="C627" i="5"/>
  <c r="F615" i="5"/>
  <c r="C631" i="5"/>
  <c r="F619" i="5"/>
  <c r="L619" i="5" s="1"/>
  <c r="C525" i="5"/>
  <c r="F513" i="5"/>
  <c r="L513" i="5" s="1"/>
  <c r="N644" i="5"/>
  <c r="B656" i="5"/>
  <c r="F516" i="5"/>
  <c r="L516" i="5" s="1"/>
  <c r="C528" i="5"/>
  <c r="K520" i="5"/>
  <c r="H532" i="5"/>
  <c r="F518" i="5"/>
  <c r="C530" i="5"/>
  <c r="Q44" i="5"/>
  <c r="R43" i="5"/>
  <c r="S43" i="5" s="1"/>
  <c r="C551" i="5"/>
  <c r="F539" i="5"/>
  <c r="L539" i="5" s="1"/>
  <c r="K518" i="5"/>
  <c r="H530" i="5"/>
  <c r="F520" i="5"/>
  <c r="L520" i="5" s="1"/>
  <c r="C532" i="5"/>
  <c r="K524" i="5"/>
  <c r="H536" i="5"/>
  <c r="C563" i="5" l="1"/>
  <c r="F551" i="5"/>
  <c r="Q45" i="5"/>
  <c r="T44" i="5"/>
  <c r="U44" i="5" s="1"/>
  <c r="R44" i="5"/>
  <c r="S44" i="5" s="1"/>
  <c r="F530" i="5"/>
  <c r="C542" i="5"/>
  <c r="K532" i="5"/>
  <c r="H544" i="5"/>
  <c r="F528" i="5"/>
  <c r="C540" i="5"/>
  <c r="N656" i="5"/>
  <c r="B668" i="5"/>
  <c r="L522" i="5"/>
  <c r="L524" i="5"/>
  <c r="L514" i="5"/>
  <c r="K536" i="5"/>
  <c r="H548" i="5"/>
  <c r="F532" i="5"/>
  <c r="L532" i="5" s="1"/>
  <c r="C544" i="5"/>
  <c r="K530" i="5"/>
  <c r="H542" i="5"/>
  <c r="T43" i="5"/>
  <c r="U43" i="5" s="1"/>
  <c r="L518" i="5"/>
  <c r="C537" i="5"/>
  <c r="F525" i="5"/>
  <c r="C643" i="5"/>
  <c r="F631" i="5"/>
  <c r="L631" i="5" s="1"/>
  <c r="C639" i="5"/>
  <c r="F627" i="5"/>
  <c r="H553" i="5"/>
  <c r="K541" i="5"/>
  <c r="L541" i="5" s="1"/>
  <c r="K534" i="5"/>
  <c r="H546" i="5"/>
  <c r="F534" i="5"/>
  <c r="L534" i="5" s="1"/>
  <c r="C546" i="5"/>
  <c r="F536" i="5"/>
  <c r="L536" i="5" s="1"/>
  <c r="C548" i="5"/>
  <c r="N654" i="5"/>
  <c r="B666" i="5"/>
  <c r="N652" i="5"/>
  <c r="B664" i="5"/>
  <c r="N662" i="5"/>
  <c r="B674" i="5"/>
  <c r="N658" i="5"/>
  <c r="B670" i="5"/>
  <c r="N660" i="5"/>
  <c r="B672" i="5"/>
  <c r="K528" i="5"/>
  <c r="H540" i="5"/>
  <c r="K526" i="5"/>
  <c r="H538" i="5"/>
  <c r="F526" i="5"/>
  <c r="L526" i="5" s="1"/>
  <c r="C538" i="5"/>
  <c r="H543" i="5"/>
  <c r="K531" i="5"/>
  <c r="L531" i="5" s="1"/>
  <c r="H545" i="5"/>
  <c r="K533" i="5"/>
  <c r="L533" i="5" s="1"/>
  <c r="H563" i="5"/>
  <c r="K551" i="5"/>
  <c r="H537" i="5"/>
  <c r="K525" i="5"/>
  <c r="H557" i="5" l="1"/>
  <c r="K545" i="5"/>
  <c r="L545" i="5" s="1"/>
  <c r="H565" i="5"/>
  <c r="K553" i="5"/>
  <c r="L553" i="5" s="1"/>
  <c r="C651" i="5"/>
  <c r="F639" i="5"/>
  <c r="C655" i="5"/>
  <c r="F643" i="5"/>
  <c r="L643" i="5" s="1"/>
  <c r="C549" i="5"/>
  <c r="F537" i="5"/>
  <c r="L528" i="5"/>
  <c r="L530" i="5"/>
  <c r="L551" i="5"/>
  <c r="H549" i="5"/>
  <c r="K537" i="5"/>
  <c r="H575" i="5"/>
  <c r="K563" i="5"/>
  <c r="H555" i="5"/>
  <c r="K543" i="5"/>
  <c r="L543" i="5" s="1"/>
  <c r="F538" i="5"/>
  <c r="C550" i="5"/>
  <c r="K538" i="5"/>
  <c r="H550" i="5"/>
  <c r="K540" i="5"/>
  <c r="H552" i="5"/>
  <c r="N672" i="5"/>
  <c r="B684" i="5"/>
  <c r="N670" i="5"/>
  <c r="B682" i="5"/>
  <c r="N674" i="5"/>
  <c r="B686" i="5"/>
  <c r="N664" i="5"/>
  <c r="B676" i="5"/>
  <c r="N666" i="5"/>
  <c r="B678" i="5"/>
  <c r="F548" i="5"/>
  <c r="C560" i="5"/>
  <c r="F546" i="5"/>
  <c r="C558" i="5"/>
  <c r="K546" i="5"/>
  <c r="H558" i="5"/>
  <c r="L525" i="5"/>
  <c r="K542" i="5"/>
  <c r="H554" i="5"/>
  <c r="F544" i="5"/>
  <c r="C556" i="5"/>
  <c r="K548" i="5"/>
  <c r="H560" i="5"/>
  <c r="N668" i="5"/>
  <c r="B680" i="5"/>
  <c r="F540" i="5"/>
  <c r="L540" i="5" s="1"/>
  <c r="C552" i="5"/>
  <c r="K544" i="5"/>
  <c r="H556" i="5"/>
  <c r="F542" i="5"/>
  <c r="L542" i="5" s="1"/>
  <c r="C554" i="5"/>
  <c r="T45" i="5"/>
  <c r="U45" i="5" s="1"/>
  <c r="Q46" i="5"/>
  <c r="R45" i="5"/>
  <c r="S45" i="5" s="1"/>
  <c r="C575" i="5"/>
  <c r="F563" i="5"/>
  <c r="L563" i="5" s="1"/>
  <c r="L544" i="5" l="1"/>
  <c r="L546" i="5"/>
  <c r="L548" i="5"/>
  <c r="L538" i="5"/>
  <c r="H567" i="5"/>
  <c r="K555" i="5"/>
  <c r="L555" i="5" s="1"/>
  <c r="H587" i="5"/>
  <c r="K575" i="5"/>
  <c r="H561" i="5"/>
  <c r="K549" i="5"/>
  <c r="L537" i="5"/>
  <c r="C587" i="5"/>
  <c r="F575" i="5"/>
  <c r="L575" i="5" s="1"/>
  <c r="Q47" i="5"/>
  <c r="T46" i="5"/>
  <c r="U46" i="5" s="1"/>
  <c r="R46" i="5"/>
  <c r="S46" i="5" s="1"/>
  <c r="F554" i="5"/>
  <c r="C566" i="5"/>
  <c r="K556" i="5"/>
  <c r="H568" i="5"/>
  <c r="F552" i="5"/>
  <c r="C564" i="5"/>
  <c r="N680" i="5"/>
  <c r="B692" i="5"/>
  <c r="K560" i="5"/>
  <c r="H572" i="5"/>
  <c r="F556" i="5"/>
  <c r="L556" i="5" s="1"/>
  <c r="C568" i="5"/>
  <c r="K554" i="5"/>
  <c r="H566" i="5"/>
  <c r="K558" i="5"/>
  <c r="H570" i="5"/>
  <c r="F558" i="5"/>
  <c r="L558" i="5" s="1"/>
  <c r="C570" i="5"/>
  <c r="F560" i="5"/>
  <c r="L560" i="5" s="1"/>
  <c r="C572" i="5"/>
  <c r="N678" i="5"/>
  <c r="B690" i="5"/>
  <c r="N676" i="5"/>
  <c r="B688" i="5"/>
  <c r="N686" i="5"/>
  <c r="B698" i="5"/>
  <c r="N682" i="5"/>
  <c r="B694" i="5"/>
  <c r="N684" i="5"/>
  <c r="B696" i="5"/>
  <c r="K552" i="5"/>
  <c r="H564" i="5"/>
  <c r="K550" i="5"/>
  <c r="H562" i="5"/>
  <c r="F550" i="5"/>
  <c r="L550" i="5" s="1"/>
  <c r="C562" i="5"/>
  <c r="C561" i="5"/>
  <c r="F549" i="5"/>
  <c r="L549" i="5" s="1"/>
  <c r="F655" i="5"/>
  <c r="L655" i="5" s="1"/>
  <c r="C667" i="5"/>
  <c r="F651" i="5"/>
  <c r="C663" i="5"/>
  <c r="H577" i="5"/>
  <c r="K565" i="5"/>
  <c r="L565" i="5" s="1"/>
  <c r="H569" i="5"/>
  <c r="K557" i="5"/>
  <c r="L557" i="5" s="1"/>
  <c r="H581" i="5" l="1"/>
  <c r="K569" i="5"/>
  <c r="L569" i="5" s="1"/>
  <c r="L552" i="5"/>
  <c r="L554" i="5"/>
  <c r="H589" i="5"/>
  <c r="K577" i="5"/>
  <c r="L577" i="5" s="1"/>
  <c r="C573" i="5"/>
  <c r="F561" i="5"/>
  <c r="F663" i="5"/>
  <c r="C675" i="5"/>
  <c r="F667" i="5"/>
  <c r="L667" i="5" s="1"/>
  <c r="C679" i="5"/>
  <c r="F562" i="5"/>
  <c r="C574" i="5"/>
  <c r="K562" i="5"/>
  <c r="H574" i="5"/>
  <c r="K564" i="5"/>
  <c r="H576" i="5"/>
  <c r="N696" i="5"/>
  <c r="B708" i="5"/>
  <c r="N694" i="5"/>
  <c r="B706" i="5"/>
  <c r="N698" i="5"/>
  <c r="B710" i="5"/>
  <c r="N688" i="5"/>
  <c r="B700" i="5"/>
  <c r="N690" i="5"/>
  <c r="B702" i="5"/>
  <c r="F572" i="5"/>
  <c r="C584" i="5"/>
  <c r="F570" i="5"/>
  <c r="C582" i="5"/>
  <c r="K570" i="5"/>
  <c r="H582" i="5"/>
  <c r="K566" i="5"/>
  <c r="H578" i="5"/>
  <c r="F568" i="5"/>
  <c r="C580" i="5"/>
  <c r="K572" i="5"/>
  <c r="H584" i="5"/>
  <c r="N692" i="5"/>
  <c r="B704" i="5"/>
  <c r="F564" i="5"/>
  <c r="L564" i="5" s="1"/>
  <c r="C576" i="5"/>
  <c r="K568" i="5"/>
  <c r="H580" i="5"/>
  <c r="F566" i="5"/>
  <c r="L566" i="5" s="1"/>
  <c r="C578" i="5"/>
  <c r="T47" i="5"/>
  <c r="U47" i="5" s="1"/>
  <c r="Q48" i="5"/>
  <c r="R47" i="5"/>
  <c r="S47" i="5" s="1"/>
  <c r="C599" i="5"/>
  <c r="F587" i="5"/>
  <c r="H573" i="5"/>
  <c r="K561" i="5"/>
  <c r="H599" i="5"/>
  <c r="K587" i="5"/>
  <c r="H579" i="5"/>
  <c r="K567" i="5"/>
  <c r="L567" i="5" s="1"/>
  <c r="L587" i="5" l="1"/>
  <c r="L568" i="5"/>
  <c r="L570" i="5"/>
  <c r="L572" i="5"/>
  <c r="L562" i="5"/>
  <c r="C585" i="5"/>
  <c r="F573" i="5"/>
  <c r="H601" i="5"/>
  <c r="K589" i="5"/>
  <c r="L589" i="5" s="1"/>
  <c r="H591" i="5"/>
  <c r="K579" i="5"/>
  <c r="L579" i="5" s="1"/>
  <c r="H611" i="5"/>
  <c r="K599" i="5"/>
  <c r="H585" i="5"/>
  <c r="K573" i="5"/>
  <c r="C611" i="5"/>
  <c r="F599" i="5"/>
  <c r="L599" i="5" s="1"/>
  <c r="Q49" i="5"/>
  <c r="T48" i="5"/>
  <c r="U48" i="5" s="1"/>
  <c r="R48" i="5"/>
  <c r="S48" i="5" s="1"/>
  <c r="F578" i="5"/>
  <c r="C590" i="5"/>
  <c r="K580" i="5"/>
  <c r="H592" i="5"/>
  <c r="F576" i="5"/>
  <c r="C588" i="5"/>
  <c r="N704" i="5"/>
  <c r="B716" i="5"/>
  <c r="K584" i="5"/>
  <c r="H596" i="5"/>
  <c r="F580" i="5"/>
  <c r="L580" i="5" s="1"/>
  <c r="C592" i="5"/>
  <c r="K578" i="5"/>
  <c r="H590" i="5"/>
  <c r="K582" i="5"/>
  <c r="H594" i="5"/>
  <c r="F582" i="5"/>
  <c r="L582" i="5" s="1"/>
  <c r="C594" i="5"/>
  <c r="F584" i="5"/>
  <c r="L584" i="5" s="1"/>
  <c r="C596" i="5"/>
  <c r="N702" i="5"/>
  <c r="B714" i="5"/>
  <c r="N700" i="5"/>
  <c r="B712" i="5"/>
  <c r="N710" i="5"/>
  <c r="B722" i="5"/>
  <c r="N706" i="5"/>
  <c r="B718" i="5"/>
  <c r="N708" i="5"/>
  <c r="B720" i="5"/>
  <c r="K576" i="5"/>
  <c r="H588" i="5"/>
  <c r="K574" i="5"/>
  <c r="H586" i="5"/>
  <c r="F574" i="5"/>
  <c r="L574" i="5" s="1"/>
  <c r="C586" i="5"/>
  <c r="F679" i="5"/>
  <c r="L679" i="5" s="1"/>
  <c r="C691" i="5"/>
  <c r="F675" i="5"/>
  <c r="C687" i="5"/>
  <c r="L561" i="5"/>
  <c r="H593" i="5"/>
  <c r="K581" i="5"/>
  <c r="L581" i="5" s="1"/>
  <c r="L576" i="5" l="1"/>
  <c r="L578" i="5"/>
  <c r="L573" i="5"/>
  <c r="H605" i="5"/>
  <c r="K593" i="5"/>
  <c r="L593" i="5" s="1"/>
  <c r="F687" i="5"/>
  <c r="C699" i="5"/>
  <c r="F691" i="5"/>
  <c r="L691" i="5" s="1"/>
  <c r="C703" i="5"/>
  <c r="F586" i="5"/>
  <c r="C598" i="5"/>
  <c r="K586" i="5"/>
  <c r="H598" i="5"/>
  <c r="K588" i="5"/>
  <c r="H600" i="5"/>
  <c r="N720" i="5"/>
  <c r="B732" i="5"/>
  <c r="N718" i="5"/>
  <c r="B730" i="5"/>
  <c r="N722" i="5"/>
  <c r="B734" i="5"/>
  <c r="N712" i="5"/>
  <c r="B724" i="5"/>
  <c r="N714" i="5"/>
  <c r="B726" i="5"/>
  <c r="F596" i="5"/>
  <c r="C608" i="5"/>
  <c r="F594" i="5"/>
  <c r="C606" i="5"/>
  <c r="K594" i="5"/>
  <c r="H606" i="5"/>
  <c r="K590" i="5"/>
  <c r="H602" i="5"/>
  <c r="F592" i="5"/>
  <c r="C604" i="5"/>
  <c r="K596" i="5"/>
  <c r="H608" i="5"/>
  <c r="N716" i="5"/>
  <c r="B728" i="5"/>
  <c r="F588" i="5"/>
  <c r="L588" i="5" s="1"/>
  <c r="C600" i="5"/>
  <c r="K592" i="5"/>
  <c r="H604" i="5"/>
  <c r="F590" i="5"/>
  <c r="L590" i="5" s="1"/>
  <c r="C602" i="5"/>
  <c r="T49" i="5"/>
  <c r="U49" i="5" s="1"/>
  <c r="Q50" i="5"/>
  <c r="R49" i="5"/>
  <c r="S49" i="5" s="1"/>
  <c r="C623" i="5"/>
  <c r="F611" i="5"/>
  <c r="H597" i="5"/>
  <c r="K585" i="5"/>
  <c r="H623" i="5"/>
  <c r="K611" i="5"/>
  <c r="H603" i="5"/>
  <c r="K591" i="5"/>
  <c r="L591" i="5" s="1"/>
  <c r="H613" i="5"/>
  <c r="K601" i="5"/>
  <c r="L601" i="5" s="1"/>
  <c r="C597" i="5"/>
  <c r="F585" i="5"/>
  <c r="L585" i="5" s="1"/>
  <c r="C609" i="5" l="1"/>
  <c r="F597" i="5"/>
  <c r="H625" i="5"/>
  <c r="K613" i="5"/>
  <c r="L613" i="5" s="1"/>
  <c r="H615" i="5"/>
  <c r="K603" i="5"/>
  <c r="L603" i="5" s="1"/>
  <c r="H635" i="5"/>
  <c r="K623" i="5"/>
  <c r="H609" i="5"/>
  <c r="K597" i="5"/>
  <c r="C635" i="5"/>
  <c r="F623" i="5"/>
  <c r="L623" i="5" s="1"/>
  <c r="Q51" i="5"/>
  <c r="T50" i="5"/>
  <c r="U50" i="5" s="1"/>
  <c r="R50" i="5"/>
  <c r="S50" i="5" s="1"/>
  <c r="F602" i="5"/>
  <c r="C614" i="5"/>
  <c r="K604" i="5"/>
  <c r="H616" i="5"/>
  <c r="F600" i="5"/>
  <c r="C612" i="5"/>
  <c r="N728" i="5"/>
  <c r="B740" i="5"/>
  <c r="K608" i="5"/>
  <c r="H620" i="5"/>
  <c r="F604" i="5"/>
  <c r="L604" i="5" s="1"/>
  <c r="C616" i="5"/>
  <c r="K602" i="5"/>
  <c r="H614" i="5"/>
  <c r="K606" i="5"/>
  <c r="H618" i="5"/>
  <c r="F606" i="5"/>
  <c r="L606" i="5" s="1"/>
  <c r="C618" i="5"/>
  <c r="F608" i="5"/>
  <c r="L608" i="5" s="1"/>
  <c r="C620" i="5"/>
  <c r="N726" i="5"/>
  <c r="B738" i="5"/>
  <c r="N724" i="5"/>
  <c r="B736" i="5"/>
  <c r="N734" i="5"/>
  <c r="B746" i="5"/>
  <c r="N730" i="5"/>
  <c r="B742" i="5"/>
  <c r="N732" i="5"/>
  <c r="B744" i="5"/>
  <c r="K600" i="5"/>
  <c r="H612" i="5"/>
  <c r="K598" i="5"/>
  <c r="H610" i="5"/>
  <c r="F598" i="5"/>
  <c r="L598" i="5" s="1"/>
  <c r="C610" i="5"/>
  <c r="F703" i="5"/>
  <c r="L703" i="5" s="1"/>
  <c r="C715" i="5"/>
  <c r="F699" i="5"/>
  <c r="C711" i="5"/>
  <c r="L611" i="5"/>
  <c r="L592" i="5"/>
  <c r="L594" i="5"/>
  <c r="L596" i="5"/>
  <c r="L586" i="5"/>
  <c r="H617" i="5"/>
  <c r="K605" i="5"/>
  <c r="L605" i="5" s="1"/>
  <c r="L600" i="5" l="1"/>
  <c r="L602" i="5"/>
  <c r="L597" i="5"/>
  <c r="H629" i="5"/>
  <c r="K617" i="5"/>
  <c r="L617" i="5" s="1"/>
  <c r="C723" i="5"/>
  <c r="F711" i="5"/>
  <c r="C727" i="5"/>
  <c r="F715" i="5"/>
  <c r="L715" i="5" s="1"/>
  <c r="F610" i="5"/>
  <c r="C622" i="5"/>
  <c r="K610" i="5"/>
  <c r="H622" i="5"/>
  <c r="K612" i="5"/>
  <c r="H624" i="5"/>
  <c r="N744" i="5"/>
  <c r="B756" i="5"/>
  <c r="N742" i="5"/>
  <c r="B754" i="5"/>
  <c r="N746" i="5"/>
  <c r="B758" i="5"/>
  <c r="N736" i="5"/>
  <c r="B748" i="5"/>
  <c r="N738" i="5"/>
  <c r="B750" i="5"/>
  <c r="F620" i="5"/>
  <c r="C632" i="5"/>
  <c r="F618" i="5"/>
  <c r="C630" i="5"/>
  <c r="K618" i="5"/>
  <c r="H630" i="5"/>
  <c r="K614" i="5"/>
  <c r="H626" i="5"/>
  <c r="F616" i="5"/>
  <c r="C628" i="5"/>
  <c r="K620" i="5"/>
  <c r="H632" i="5"/>
  <c r="N740" i="5"/>
  <c r="B752" i="5"/>
  <c r="F612" i="5"/>
  <c r="L612" i="5" s="1"/>
  <c r="C624" i="5"/>
  <c r="K616" i="5"/>
  <c r="H628" i="5"/>
  <c r="F614" i="5"/>
  <c r="L614" i="5" s="1"/>
  <c r="C626" i="5"/>
  <c r="T51" i="5"/>
  <c r="U51" i="5" s="1"/>
  <c r="Q52" i="5"/>
  <c r="R51" i="5"/>
  <c r="S51" i="5" s="1"/>
  <c r="C647" i="5"/>
  <c r="F635" i="5"/>
  <c r="H621" i="5"/>
  <c r="K609" i="5"/>
  <c r="H647" i="5"/>
  <c r="K635" i="5"/>
  <c r="H627" i="5"/>
  <c r="K615" i="5"/>
  <c r="L615" i="5" s="1"/>
  <c r="H637" i="5"/>
  <c r="K625" i="5"/>
  <c r="L625" i="5" s="1"/>
  <c r="C621" i="5"/>
  <c r="F609" i="5"/>
  <c r="L609" i="5" s="1"/>
  <c r="L635" i="5" l="1"/>
  <c r="C633" i="5"/>
  <c r="F621" i="5"/>
  <c r="H649" i="5"/>
  <c r="K637" i="5"/>
  <c r="L637" i="5" s="1"/>
  <c r="H639" i="5"/>
  <c r="K627" i="5"/>
  <c r="L627" i="5" s="1"/>
  <c r="K647" i="5"/>
  <c r="H659" i="5"/>
  <c r="H633" i="5"/>
  <c r="K621" i="5"/>
  <c r="F647" i="5"/>
  <c r="L647" i="5" s="1"/>
  <c r="C659" i="5"/>
  <c r="Q53" i="5"/>
  <c r="T52" i="5"/>
  <c r="U52" i="5" s="1"/>
  <c r="R52" i="5"/>
  <c r="S52" i="5" s="1"/>
  <c r="F626" i="5"/>
  <c r="C638" i="5"/>
  <c r="K628" i="5"/>
  <c r="H640" i="5"/>
  <c r="F624" i="5"/>
  <c r="C636" i="5"/>
  <c r="N752" i="5"/>
  <c r="B764" i="5"/>
  <c r="K632" i="5"/>
  <c r="H644" i="5"/>
  <c r="F628" i="5"/>
  <c r="L628" i="5" s="1"/>
  <c r="C640" i="5"/>
  <c r="K626" i="5"/>
  <c r="H638" i="5"/>
  <c r="K630" i="5"/>
  <c r="H642" i="5"/>
  <c r="F630" i="5"/>
  <c r="L630" i="5" s="1"/>
  <c r="C642" i="5"/>
  <c r="F632" i="5"/>
  <c r="L632" i="5" s="1"/>
  <c r="C644" i="5"/>
  <c r="N750" i="5"/>
  <c r="B762" i="5"/>
  <c r="N748" i="5"/>
  <c r="B760" i="5"/>
  <c r="N758" i="5"/>
  <c r="B770" i="5"/>
  <c r="N754" i="5"/>
  <c r="B766" i="5"/>
  <c r="N756" i="5"/>
  <c r="B768" i="5"/>
  <c r="K624" i="5"/>
  <c r="H636" i="5"/>
  <c r="K622" i="5"/>
  <c r="H634" i="5"/>
  <c r="F622" i="5"/>
  <c r="L622" i="5" s="1"/>
  <c r="C634" i="5"/>
  <c r="L616" i="5"/>
  <c r="L618" i="5"/>
  <c r="L620" i="5"/>
  <c r="L610" i="5"/>
  <c r="C739" i="5"/>
  <c r="F727" i="5"/>
  <c r="L727" i="5" s="1"/>
  <c r="C735" i="5"/>
  <c r="F723" i="5"/>
  <c r="H641" i="5"/>
  <c r="K629" i="5"/>
  <c r="L629" i="5" s="1"/>
  <c r="H653" i="5" l="1"/>
  <c r="K641" i="5"/>
  <c r="L641" i="5" s="1"/>
  <c r="C747" i="5"/>
  <c r="F735" i="5"/>
  <c r="C751" i="5"/>
  <c r="F739" i="5"/>
  <c r="L739" i="5" s="1"/>
  <c r="F634" i="5"/>
  <c r="C646" i="5"/>
  <c r="K634" i="5"/>
  <c r="H646" i="5"/>
  <c r="K636" i="5"/>
  <c r="H648" i="5"/>
  <c r="N768" i="5"/>
  <c r="B780" i="5"/>
  <c r="N766" i="5"/>
  <c r="B778" i="5"/>
  <c r="N770" i="5"/>
  <c r="B782" i="5"/>
  <c r="N760" i="5"/>
  <c r="B772" i="5"/>
  <c r="N762" i="5"/>
  <c r="B774" i="5"/>
  <c r="F644" i="5"/>
  <c r="C656" i="5"/>
  <c r="F642" i="5"/>
  <c r="C654" i="5"/>
  <c r="K642" i="5"/>
  <c r="H654" i="5"/>
  <c r="K638" i="5"/>
  <c r="H650" i="5"/>
  <c r="F640" i="5"/>
  <c r="C652" i="5"/>
  <c r="K644" i="5"/>
  <c r="H656" i="5"/>
  <c r="N764" i="5"/>
  <c r="B776" i="5"/>
  <c r="F636" i="5"/>
  <c r="L636" i="5" s="1"/>
  <c r="C648" i="5"/>
  <c r="K640" i="5"/>
  <c r="H652" i="5"/>
  <c r="F638" i="5"/>
  <c r="L638" i="5" s="1"/>
  <c r="C650" i="5"/>
  <c r="T53" i="5"/>
  <c r="U53" i="5" s="1"/>
  <c r="Q54" i="5"/>
  <c r="R53" i="5"/>
  <c r="S53" i="5" s="1"/>
  <c r="H645" i="5"/>
  <c r="K633" i="5"/>
  <c r="H651" i="5"/>
  <c r="K639" i="5"/>
  <c r="L639" i="5" s="1"/>
  <c r="K649" i="5"/>
  <c r="L649" i="5" s="1"/>
  <c r="H661" i="5"/>
  <c r="C645" i="5"/>
  <c r="F633" i="5"/>
  <c r="L633" i="5" s="1"/>
  <c r="L624" i="5"/>
  <c r="L626" i="5"/>
  <c r="F659" i="5"/>
  <c r="C671" i="5"/>
  <c r="K659" i="5"/>
  <c r="H671" i="5"/>
  <c r="L621" i="5"/>
  <c r="K671" i="5" l="1"/>
  <c r="H683" i="5"/>
  <c r="F671" i="5"/>
  <c r="L671" i="5" s="1"/>
  <c r="C683" i="5"/>
  <c r="K661" i="5"/>
  <c r="L661" i="5" s="1"/>
  <c r="H673" i="5"/>
  <c r="L640" i="5"/>
  <c r="L642" i="5"/>
  <c r="L644" i="5"/>
  <c r="L634" i="5"/>
  <c r="C763" i="5"/>
  <c r="F751" i="5"/>
  <c r="L751" i="5" s="1"/>
  <c r="C759" i="5"/>
  <c r="F747" i="5"/>
  <c r="K653" i="5"/>
  <c r="L653" i="5" s="1"/>
  <c r="H665" i="5"/>
  <c r="L659" i="5"/>
  <c r="F645" i="5"/>
  <c r="C657" i="5"/>
  <c r="K651" i="5"/>
  <c r="L651" i="5" s="1"/>
  <c r="H663" i="5"/>
  <c r="K645" i="5"/>
  <c r="H657" i="5"/>
  <c r="Q55" i="5"/>
  <c r="T54" i="5"/>
  <c r="U54" i="5" s="1"/>
  <c r="R54" i="5"/>
  <c r="S54" i="5" s="1"/>
  <c r="F650" i="5"/>
  <c r="C662" i="5"/>
  <c r="K652" i="5"/>
  <c r="H664" i="5"/>
  <c r="F648" i="5"/>
  <c r="C660" i="5"/>
  <c r="N776" i="5"/>
  <c r="B788" i="5"/>
  <c r="K656" i="5"/>
  <c r="H668" i="5"/>
  <c r="F652" i="5"/>
  <c r="L652" i="5" s="1"/>
  <c r="C664" i="5"/>
  <c r="K650" i="5"/>
  <c r="H662" i="5"/>
  <c r="K654" i="5"/>
  <c r="H666" i="5"/>
  <c r="F654" i="5"/>
  <c r="L654" i="5" s="1"/>
  <c r="C666" i="5"/>
  <c r="F656" i="5"/>
  <c r="L656" i="5" s="1"/>
  <c r="C668" i="5"/>
  <c r="N774" i="5"/>
  <c r="B786" i="5"/>
  <c r="N772" i="5"/>
  <c r="B784" i="5"/>
  <c r="N782" i="5"/>
  <c r="B794" i="5"/>
  <c r="N778" i="5"/>
  <c r="B790" i="5"/>
  <c r="N780" i="5"/>
  <c r="B792" i="5"/>
  <c r="K648" i="5"/>
  <c r="H660" i="5"/>
  <c r="K646" i="5"/>
  <c r="H658" i="5"/>
  <c r="F646" i="5"/>
  <c r="L646" i="5" s="1"/>
  <c r="C658" i="5"/>
  <c r="C670" i="5" l="1"/>
  <c r="F658" i="5"/>
  <c r="H670" i="5"/>
  <c r="K658" i="5"/>
  <c r="H672" i="5"/>
  <c r="K660" i="5"/>
  <c r="N792" i="5"/>
  <c r="B804" i="5"/>
  <c r="N790" i="5"/>
  <c r="B802" i="5"/>
  <c r="N794" i="5"/>
  <c r="B806" i="5"/>
  <c r="N784" i="5"/>
  <c r="B796" i="5"/>
  <c r="N786" i="5"/>
  <c r="B798" i="5"/>
  <c r="C680" i="5"/>
  <c r="F668" i="5"/>
  <c r="C678" i="5"/>
  <c r="F666" i="5"/>
  <c r="H678" i="5"/>
  <c r="K666" i="5"/>
  <c r="H674" i="5"/>
  <c r="K662" i="5"/>
  <c r="C676" i="5"/>
  <c r="F664" i="5"/>
  <c r="H680" i="5"/>
  <c r="K668" i="5"/>
  <c r="N788" i="5"/>
  <c r="B800" i="5"/>
  <c r="C672" i="5"/>
  <c r="F660" i="5"/>
  <c r="L660" i="5" s="1"/>
  <c r="H676" i="5"/>
  <c r="K664" i="5"/>
  <c r="C674" i="5"/>
  <c r="F662" i="5"/>
  <c r="L662" i="5" s="1"/>
  <c r="Q56" i="5"/>
  <c r="R55" i="5"/>
  <c r="S55" i="5" s="1"/>
  <c r="L645" i="5"/>
  <c r="K665" i="5"/>
  <c r="L665" i="5" s="1"/>
  <c r="H677" i="5"/>
  <c r="K673" i="5"/>
  <c r="L673" i="5" s="1"/>
  <c r="H685" i="5"/>
  <c r="F683" i="5"/>
  <c r="C695" i="5"/>
  <c r="K683" i="5"/>
  <c r="H695" i="5"/>
  <c r="L648" i="5"/>
  <c r="L650" i="5"/>
  <c r="K657" i="5"/>
  <c r="H669" i="5"/>
  <c r="K663" i="5"/>
  <c r="L663" i="5" s="1"/>
  <c r="H675" i="5"/>
  <c r="F657" i="5"/>
  <c r="L657" i="5" s="1"/>
  <c r="C669" i="5"/>
  <c r="C771" i="5"/>
  <c r="F759" i="5"/>
  <c r="C775" i="5"/>
  <c r="F763" i="5"/>
  <c r="L763" i="5" s="1"/>
  <c r="C787" i="5" l="1"/>
  <c r="F775" i="5"/>
  <c r="L775" i="5" s="1"/>
  <c r="C783" i="5"/>
  <c r="F771" i="5"/>
  <c r="L683" i="5"/>
  <c r="K677" i="5"/>
  <c r="L677" i="5" s="1"/>
  <c r="H689" i="5"/>
  <c r="Q57" i="5"/>
  <c r="R56" i="5"/>
  <c r="S56" i="5" s="1"/>
  <c r="N800" i="5"/>
  <c r="B812" i="5"/>
  <c r="L664" i="5"/>
  <c r="L666" i="5"/>
  <c r="L668" i="5"/>
  <c r="N798" i="5"/>
  <c r="B810" i="5"/>
  <c r="N796" i="5"/>
  <c r="B808" i="5"/>
  <c r="N806" i="5"/>
  <c r="B818" i="5"/>
  <c r="N802" i="5"/>
  <c r="B814" i="5"/>
  <c r="N804" i="5"/>
  <c r="B816" i="5"/>
  <c r="L658" i="5"/>
  <c r="F669" i="5"/>
  <c r="C681" i="5"/>
  <c r="K675" i="5"/>
  <c r="L675" i="5" s="1"/>
  <c r="H687" i="5"/>
  <c r="K669" i="5"/>
  <c r="H681" i="5"/>
  <c r="K695" i="5"/>
  <c r="H707" i="5"/>
  <c r="F695" i="5"/>
  <c r="L695" i="5" s="1"/>
  <c r="C707" i="5"/>
  <c r="K685" i="5"/>
  <c r="L685" i="5" s="1"/>
  <c r="H697" i="5"/>
  <c r="T55" i="5"/>
  <c r="U55" i="5" s="1"/>
  <c r="C686" i="5"/>
  <c r="F674" i="5"/>
  <c r="H688" i="5"/>
  <c r="K676" i="5"/>
  <c r="C684" i="5"/>
  <c r="F672" i="5"/>
  <c r="H692" i="5"/>
  <c r="K680" i="5"/>
  <c r="C688" i="5"/>
  <c r="F676" i="5"/>
  <c r="L676" i="5" s="1"/>
  <c r="H686" i="5"/>
  <c r="K674" i="5"/>
  <c r="H690" i="5"/>
  <c r="K678" i="5"/>
  <c r="C690" i="5"/>
  <c r="F678" i="5"/>
  <c r="L678" i="5" s="1"/>
  <c r="C692" i="5"/>
  <c r="F680" i="5"/>
  <c r="L680" i="5" s="1"/>
  <c r="H684" i="5"/>
  <c r="K672" i="5"/>
  <c r="H682" i="5"/>
  <c r="K670" i="5"/>
  <c r="C682" i="5"/>
  <c r="F670" i="5"/>
  <c r="L670" i="5" s="1"/>
  <c r="L672" i="5" l="1"/>
  <c r="L669" i="5"/>
  <c r="N812" i="5"/>
  <c r="B824" i="5"/>
  <c r="T57" i="5"/>
  <c r="U57" i="5" s="1"/>
  <c r="Q58" i="5"/>
  <c r="R57" i="5"/>
  <c r="S57" i="5" s="1"/>
  <c r="L674" i="5"/>
  <c r="C694" i="5"/>
  <c r="F682" i="5"/>
  <c r="H694" i="5"/>
  <c r="K682" i="5"/>
  <c r="H696" i="5"/>
  <c r="K684" i="5"/>
  <c r="C704" i="5"/>
  <c r="F692" i="5"/>
  <c r="C702" i="5"/>
  <c r="F690" i="5"/>
  <c r="H702" i="5"/>
  <c r="K690" i="5"/>
  <c r="H698" i="5"/>
  <c r="K686" i="5"/>
  <c r="C700" i="5"/>
  <c r="F688" i="5"/>
  <c r="H704" i="5"/>
  <c r="K692" i="5"/>
  <c r="C696" i="5"/>
  <c r="F684" i="5"/>
  <c r="L684" i="5" s="1"/>
  <c r="H700" i="5"/>
  <c r="K688" i="5"/>
  <c r="C698" i="5"/>
  <c r="F686" i="5"/>
  <c r="L686" i="5" s="1"/>
  <c r="K697" i="5"/>
  <c r="L697" i="5" s="1"/>
  <c r="H709" i="5"/>
  <c r="F707" i="5"/>
  <c r="C719" i="5"/>
  <c r="K707" i="5"/>
  <c r="H719" i="5"/>
  <c r="K681" i="5"/>
  <c r="H693" i="5"/>
  <c r="K687" i="5"/>
  <c r="L687" i="5" s="1"/>
  <c r="H699" i="5"/>
  <c r="F681" i="5"/>
  <c r="L681" i="5" s="1"/>
  <c r="C693" i="5"/>
  <c r="N816" i="5"/>
  <c r="B828" i="5"/>
  <c r="N814" i="5"/>
  <c r="B826" i="5"/>
  <c r="N818" i="5"/>
  <c r="B830" i="5"/>
  <c r="N808" i="5"/>
  <c r="B820" i="5"/>
  <c r="N810" i="5"/>
  <c r="B822" i="5"/>
  <c r="T56" i="5"/>
  <c r="U56" i="5" s="1"/>
  <c r="K689" i="5"/>
  <c r="L689" i="5" s="1"/>
  <c r="H701" i="5"/>
  <c r="C795" i="5"/>
  <c r="F783" i="5"/>
  <c r="C799" i="5"/>
  <c r="F787" i="5"/>
  <c r="L787" i="5" s="1"/>
  <c r="C811" i="5" l="1"/>
  <c r="F799" i="5"/>
  <c r="L799" i="5" s="1"/>
  <c r="C807" i="5"/>
  <c r="F795" i="5"/>
  <c r="B834" i="5"/>
  <c r="N822" i="5"/>
  <c r="B832" i="5"/>
  <c r="N820" i="5"/>
  <c r="B842" i="5"/>
  <c r="N830" i="5"/>
  <c r="B838" i="5"/>
  <c r="N826" i="5"/>
  <c r="B840" i="5"/>
  <c r="N828" i="5"/>
  <c r="F693" i="5"/>
  <c r="C705" i="5"/>
  <c r="K699" i="5"/>
  <c r="L699" i="5" s="1"/>
  <c r="H711" i="5"/>
  <c r="K693" i="5"/>
  <c r="H705" i="5"/>
  <c r="H731" i="5"/>
  <c r="K719" i="5"/>
  <c r="C731" i="5"/>
  <c r="F719" i="5"/>
  <c r="L719" i="5" s="1"/>
  <c r="K709" i="5"/>
  <c r="L709" i="5" s="1"/>
  <c r="H721" i="5"/>
  <c r="K701" i="5"/>
  <c r="L701" i="5" s="1"/>
  <c r="H713" i="5"/>
  <c r="L707" i="5"/>
  <c r="F698" i="5"/>
  <c r="C710" i="5"/>
  <c r="K700" i="5"/>
  <c r="H712" i="5"/>
  <c r="C708" i="5"/>
  <c r="F696" i="5"/>
  <c r="K704" i="5"/>
  <c r="H716" i="5"/>
  <c r="F700" i="5"/>
  <c r="L700" i="5" s="1"/>
  <c r="C712" i="5"/>
  <c r="K698" i="5"/>
  <c r="H710" i="5"/>
  <c r="K702" i="5"/>
  <c r="H714" i="5"/>
  <c r="F702" i="5"/>
  <c r="L702" i="5" s="1"/>
  <c r="C714" i="5"/>
  <c r="F704" i="5"/>
  <c r="L704" i="5" s="1"/>
  <c r="C716" i="5"/>
  <c r="H708" i="5"/>
  <c r="K696" i="5"/>
  <c r="H706" i="5"/>
  <c r="K694" i="5"/>
  <c r="C706" i="5"/>
  <c r="F694" i="5"/>
  <c r="L694" i="5" s="1"/>
  <c r="Q59" i="5"/>
  <c r="T58" i="5" s="1"/>
  <c r="U58" i="5" s="1"/>
  <c r="R58" i="5"/>
  <c r="S58" i="5" s="1"/>
  <c r="B836" i="5"/>
  <c r="N824" i="5"/>
  <c r="L688" i="5"/>
  <c r="L690" i="5"/>
  <c r="L692" i="5"/>
  <c r="L682" i="5"/>
  <c r="N836" i="5" l="1"/>
  <c r="B848" i="5"/>
  <c r="F716" i="5"/>
  <c r="C728" i="5"/>
  <c r="F714" i="5"/>
  <c r="C726" i="5"/>
  <c r="K714" i="5"/>
  <c r="H726" i="5"/>
  <c r="K710" i="5"/>
  <c r="H722" i="5"/>
  <c r="F712" i="5"/>
  <c r="L712" i="5" s="1"/>
  <c r="C724" i="5"/>
  <c r="K716" i="5"/>
  <c r="H728" i="5"/>
  <c r="L696" i="5"/>
  <c r="K712" i="5"/>
  <c r="H724" i="5"/>
  <c r="F710" i="5"/>
  <c r="C722" i="5"/>
  <c r="H733" i="5"/>
  <c r="K721" i="5"/>
  <c r="L721" i="5" s="1"/>
  <c r="K705" i="5"/>
  <c r="H717" i="5"/>
  <c r="H723" i="5"/>
  <c r="K711" i="5"/>
  <c r="L711" i="5" s="1"/>
  <c r="F705" i="5"/>
  <c r="L705" i="5" s="1"/>
  <c r="C717" i="5"/>
  <c r="T59" i="5"/>
  <c r="U59" i="5" s="1"/>
  <c r="Q60" i="5"/>
  <c r="R59" i="5"/>
  <c r="S59" i="5" s="1"/>
  <c r="F706" i="5"/>
  <c r="C718" i="5"/>
  <c r="K706" i="5"/>
  <c r="H718" i="5"/>
  <c r="K708" i="5"/>
  <c r="H720" i="5"/>
  <c r="F708" i="5"/>
  <c r="L708" i="5" s="1"/>
  <c r="C720" i="5"/>
  <c r="L698" i="5"/>
  <c r="H725" i="5"/>
  <c r="K713" i="5"/>
  <c r="L713" i="5" s="1"/>
  <c r="C743" i="5"/>
  <c r="F731" i="5"/>
  <c r="H743" i="5"/>
  <c r="K731" i="5"/>
  <c r="L693" i="5"/>
  <c r="N840" i="5"/>
  <c r="B852" i="5"/>
  <c r="N838" i="5"/>
  <c r="B850" i="5"/>
  <c r="N842" i="5"/>
  <c r="B854" i="5"/>
  <c r="N832" i="5"/>
  <c r="B844" i="5"/>
  <c r="N834" i="5"/>
  <c r="B846" i="5"/>
  <c r="C819" i="5"/>
  <c r="F807" i="5"/>
  <c r="C823" i="5"/>
  <c r="F811" i="5"/>
  <c r="L811" i="5" s="1"/>
  <c r="N844" i="5" l="1"/>
  <c r="B856" i="5"/>
  <c r="C835" i="5"/>
  <c r="F823" i="5"/>
  <c r="L823" i="5" s="1"/>
  <c r="C831" i="5"/>
  <c r="F819" i="5"/>
  <c r="L731" i="5"/>
  <c r="L706" i="5"/>
  <c r="Q61" i="5"/>
  <c r="T60" i="5"/>
  <c r="U60" i="5" s="1"/>
  <c r="R60" i="5"/>
  <c r="S60" i="5" s="1"/>
  <c r="H735" i="5"/>
  <c r="K723" i="5"/>
  <c r="L723" i="5" s="1"/>
  <c r="H745" i="5"/>
  <c r="K733" i="5"/>
  <c r="L733" i="5" s="1"/>
  <c r="L710" i="5"/>
  <c r="K728" i="5"/>
  <c r="H740" i="5"/>
  <c r="F724" i="5"/>
  <c r="C736" i="5"/>
  <c r="K722" i="5"/>
  <c r="H734" i="5"/>
  <c r="K726" i="5"/>
  <c r="H738" i="5"/>
  <c r="F726" i="5"/>
  <c r="L726" i="5" s="1"/>
  <c r="C738" i="5"/>
  <c r="F728" i="5"/>
  <c r="L728" i="5" s="1"/>
  <c r="C740" i="5"/>
  <c r="N848" i="5"/>
  <c r="B860" i="5"/>
  <c r="N846" i="5"/>
  <c r="B858" i="5"/>
  <c r="N854" i="5"/>
  <c r="B866" i="5"/>
  <c r="N850" i="5"/>
  <c r="B862" i="5"/>
  <c r="N852" i="5"/>
  <c r="B864" i="5"/>
  <c r="H755" i="5"/>
  <c r="K743" i="5"/>
  <c r="C755" i="5"/>
  <c r="F743" i="5"/>
  <c r="L743" i="5" s="1"/>
  <c r="H737" i="5"/>
  <c r="K725" i="5"/>
  <c r="L725" i="5" s="1"/>
  <c r="F720" i="5"/>
  <c r="C732" i="5"/>
  <c r="K720" i="5"/>
  <c r="H732" i="5"/>
  <c r="K718" i="5"/>
  <c r="H730" i="5"/>
  <c r="F718" i="5"/>
  <c r="L718" i="5" s="1"/>
  <c r="C730" i="5"/>
  <c r="C729" i="5"/>
  <c r="F717" i="5"/>
  <c r="H729" i="5"/>
  <c r="K717" i="5"/>
  <c r="F722" i="5"/>
  <c r="L722" i="5" s="1"/>
  <c r="C734" i="5"/>
  <c r="K724" i="5"/>
  <c r="H736" i="5"/>
  <c r="L714" i="5"/>
  <c r="L716" i="5"/>
  <c r="K736" i="5" l="1"/>
  <c r="H748" i="5"/>
  <c r="F734" i="5"/>
  <c r="C746" i="5"/>
  <c r="H741" i="5"/>
  <c r="K729" i="5"/>
  <c r="C741" i="5"/>
  <c r="F729" i="5"/>
  <c r="L729" i="5" s="1"/>
  <c r="L720" i="5"/>
  <c r="H749" i="5"/>
  <c r="K737" i="5"/>
  <c r="L737" i="5" s="1"/>
  <c r="C767" i="5"/>
  <c r="F755" i="5"/>
  <c r="H767" i="5"/>
  <c r="K755" i="5"/>
  <c r="N860" i="5"/>
  <c r="B872" i="5"/>
  <c r="F740" i="5"/>
  <c r="C752" i="5"/>
  <c r="F738" i="5"/>
  <c r="C750" i="5"/>
  <c r="K738" i="5"/>
  <c r="H750" i="5"/>
  <c r="K734" i="5"/>
  <c r="H746" i="5"/>
  <c r="F736" i="5"/>
  <c r="L736" i="5" s="1"/>
  <c r="C748" i="5"/>
  <c r="K740" i="5"/>
  <c r="H752" i="5"/>
  <c r="H757" i="5"/>
  <c r="K745" i="5"/>
  <c r="L745" i="5" s="1"/>
  <c r="H747" i="5"/>
  <c r="K735" i="5"/>
  <c r="L735" i="5" s="1"/>
  <c r="N856" i="5"/>
  <c r="B868" i="5"/>
  <c r="L717" i="5"/>
  <c r="F730" i="5"/>
  <c r="C742" i="5"/>
  <c r="K730" i="5"/>
  <c r="H742" i="5"/>
  <c r="K732" i="5"/>
  <c r="H744" i="5"/>
  <c r="F732" i="5"/>
  <c r="L732" i="5" s="1"/>
  <c r="C744" i="5"/>
  <c r="N864" i="5"/>
  <c r="B876" i="5"/>
  <c r="N862" i="5"/>
  <c r="B874" i="5"/>
  <c r="N866" i="5"/>
  <c r="B878" i="5"/>
  <c r="N858" i="5"/>
  <c r="B870" i="5"/>
  <c r="L724" i="5"/>
  <c r="T61" i="5"/>
  <c r="U61" i="5" s="1"/>
  <c r="Q62" i="5"/>
  <c r="R61" i="5"/>
  <c r="S61" i="5" s="1"/>
  <c r="C843" i="5"/>
  <c r="F831" i="5"/>
  <c r="C847" i="5"/>
  <c r="F835" i="5"/>
  <c r="L835" i="5" s="1"/>
  <c r="C859" i="5" l="1"/>
  <c r="F847" i="5"/>
  <c r="L847" i="5" s="1"/>
  <c r="C855" i="5"/>
  <c r="F843" i="5"/>
  <c r="Q63" i="5"/>
  <c r="T62" i="5"/>
  <c r="U62" i="5" s="1"/>
  <c r="R62" i="5"/>
  <c r="S62" i="5" s="1"/>
  <c r="L730" i="5"/>
  <c r="N868" i="5"/>
  <c r="B880" i="5"/>
  <c r="H759" i="5"/>
  <c r="K747" i="5"/>
  <c r="L747" i="5" s="1"/>
  <c r="H769" i="5"/>
  <c r="K757" i="5"/>
  <c r="L757" i="5" s="1"/>
  <c r="L738" i="5"/>
  <c r="L740" i="5"/>
  <c r="H779" i="5"/>
  <c r="K767" i="5"/>
  <c r="C779" i="5"/>
  <c r="F767" i="5"/>
  <c r="L767" i="5" s="1"/>
  <c r="H761" i="5"/>
  <c r="K749" i="5"/>
  <c r="L749" i="5" s="1"/>
  <c r="F746" i="5"/>
  <c r="C758" i="5"/>
  <c r="K748" i="5"/>
  <c r="H760" i="5"/>
  <c r="N870" i="5"/>
  <c r="B882" i="5"/>
  <c r="N878" i="5"/>
  <c r="B890" i="5"/>
  <c r="N874" i="5"/>
  <c r="B886" i="5"/>
  <c r="N876" i="5"/>
  <c r="B888" i="5"/>
  <c r="F744" i="5"/>
  <c r="C756" i="5"/>
  <c r="K744" i="5"/>
  <c r="H756" i="5"/>
  <c r="K742" i="5"/>
  <c r="H754" i="5"/>
  <c r="F742" i="5"/>
  <c r="L742" i="5" s="1"/>
  <c r="C754" i="5"/>
  <c r="K752" i="5"/>
  <c r="H764" i="5"/>
  <c r="F748" i="5"/>
  <c r="L748" i="5" s="1"/>
  <c r="C760" i="5"/>
  <c r="K746" i="5"/>
  <c r="H758" i="5"/>
  <c r="K750" i="5"/>
  <c r="H762" i="5"/>
  <c r="F750" i="5"/>
  <c r="L750" i="5" s="1"/>
  <c r="C762" i="5"/>
  <c r="F752" i="5"/>
  <c r="L752" i="5" s="1"/>
  <c r="C764" i="5"/>
  <c r="N872" i="5"/>
  <c r="B884" i="5"/>
  <c r="L755" i="5"/>
  <c r="C753" i="5"/>
  <c r="F741" i="5"/>
  <c r="H753" i="5"/>
  <c r="K741" i="5"/>
  <c r="L734" i="5"/>
  <c r="H765" i="5" l="1"/>
  <c r="K753" i="5"/>
  <c r="F764" i="5"/>
  <c r="C776" i="5"/>
  <c r="F762" i="5"/>
  <c r="C774" i="5"/>
  <c r="K758" i="5"/>
  <c r="H770" i="5"/>
  <c r="F760" i="5"/>
  <c r="C772" i="5"/>
  <c r="L741" i="5"/>
  <c r="L744" i="5"/>
  <c r="L746" i="5"/>
  <c r="H773" i="5"/>
  <c r="K761" i="5"/>
  <c r="L761" i="5" s="1"/>
  <c r="C791" i="5"/>
  <c r="F779" i="5"/>
  <c r="H791" i="5"/>
  <c r="K779" i="5"/>
  <c r="H781" i="5"/>
  <c r="K769" i="5"/>
  <c r="L769" i="5" s="1"/>
  <c r="H771" i="5"/>
  <c r="K759" i="5"/>
  <c r="L759" i="5" s="1"/>
  <c r="Q64" i="5"/>
  <c r="T63" i="5" s="1"/>
  <c r="U63" i="5" s="1"/>
  <c r="R63" i="5"/>
  <c r="S63" i="5" s="1"/>
  <c r="C867" i="5"/>
  <c r="F855" i="5"/>
  <c r="C871" i="5"/>
  <c r="F859" i="5"/>
  <c r="L859" i="5" s="1"/>
  <c r="C765" i="5"/>
  <c r="F753" i="5"/>
  <c r="L753" i="5" s="1"/>
  <c r="N884" i="5"/>
  <c r="B896" i="5"/>
  <c r="K762" i="5"/>
  <c r="H774" i="5"/>
  <c r="K764" i="5"/>
  <c r="H776" i="5"/>
  <c r="F754" i="5"/>
  <c r="C766" i="5"/>
  <c r="K754" i="5"/>
  <c r="H766" i="5"/>
  <c r="K756" i="5"/>
  <c r="H768" i="5"/>
  <c r="F756" i="5"/>
  <c r="L756" i="5" s="1"/>
  <c r="C768" i="5"/>
  <c r="N888" i="5"/>
  <c r="B900" i="5"/>
  <c r="N886" i="5"/>
  <c r="B898" i="5"/>
  <c r="N890" i="5"/>
  <c r="B902" i="5"/>
  <c r="N882" i="5"/>
  <c r="B894" i="5"/>
  <c r="K760" i="5"/>
  <c r="H772" i="5"/>
  <c r="F758" i="5"/>
  <c r="L758" i="5" s="1"/>
  <c r="C770" i="5"/>
  <c r="N880" i="5"/>
  <c r="B892" i="5"/>
  <c r="N892" i="5" l="1"/>
  <c r="B904" i="5"/>
  <c r="F770" i="5"/>
  <c r="C782" i="5"/>
  <c r="K772" i="5"/>
  <c r="H784" i="5"/>
  <c r="N894" i="5"/>
  <c r="B906" i="5"/>
  <c r="N902" i="5"/>
  <c r="B914" i="5"/>
  <c r="N898" i="5"/>
  <c r="B910" i="5"/>
  <c r="N900" i="5"/>
  <c r="B912" i="5"/>
  <c r="F768" i="5"/>
  <c r="C780" i="5"/>
  <c r="K768" i="5"/>
  <c r="H780" i="5"/>
  <c r="K766" i="5"/>
  <c r="H778" i="5"/>
  <c r="F766" i="5"/>
  <c r="L766" i="5" s="1"/>
  <c r="C778" i="5"/>
  <c r="K776" i="5"/>
  <c r="H788" i="5"/>
  <c r="K774" i="5"/>
  <c r="H786" i="5"/>
  <c r="N896" i="5"/>
  <c r="B908" i="5"/>
  <c r="H783" i="5"/>
  <c r="K771" i="5"/>
  <c r="L771" i="5" s="1"/>
  <c r="H793" i="5"/>
  <c r="K781" i="5"/>
  <c r="L781" i="5" s="1"/>
  <c r="H803" i="5"/>
  <c r="K791" i="5"/>
  <c r="C803" i="5"/>
  <c r="F791" i="5"/>
  <c r="L791" i="5" s="1"/>
  <c r="H785" i="5"/>
  <c r="K773" i="5"/>
  <c r="L773" i="5" s="1"/>
  <c r="F772" i="5"/>
  <c r="L772" i="5" s="1"/>
  <c r="C784" i="5"/>
  <c r="K770" i="5"/>
  <c r="H782" i="5"/>
  <c r="F774" i="5"/>
  <c r="L774" i="5" s="1"/>
  <c r="C786" i="5"/>
  <c r="F776" i="5"/>
  <c r="L776" i="5" s="1"/>
  <c r="C788" i="5"/>
  <c r="L754" i="5"/>
  <c r="C777" i="5"/>
  <c r="F765" i="5"/>
  <c r="C883" i="5"/>
  <c r="F871" i="5"/>
  <c r="L871" i="5" s="1"/>
  <c r="C879" i="5"/>
  <c r="F867" i="5"/>
  <c r="Q65" i="5"/>
  <c r="T64" i="5" s="1"/>
  <c r="U64" i="5" s="1"/>
  <c r="R64" i="5"/>
  <c r="S64" i="5" s="1"/>
  <c r="L779" i="5"/>
  <c r="L760" i="5"/>
  <c r="L762" i="5"/>
  <c r="L764" i="5"/>
  <c r="H777" i="5"/>
  <c r="K765" i="5"/>
  <c r="H789" i="5" l="1"/>
  <c r="K777" i="5"/>
  <c r="L765" i="5"/>
  <c r="H797" i="5"/>
  <c r="K785" i="5"/>
  <c r="L785" i="5" s="1"/>
  <c r="C815" i="5"/>
  <c r="F803" i="5"/>
  <c r="H815" i="5"/>
  <c r="K803" i="5"/>
  <c r="H805" i="5"/>
  <c r="K793" i="5"/>
  <c r="L793" i="5" s="1"/>
  <c r="H795" i="5"/>
  <c r="K783" i="5"/>
  <c r="L783" i="5" s="1"/>
  <c r="N908" i="5"/>
  <c r="B920" i="5"/>
  <c r="K786" i="5"/>
  <c r="H798" i="5"/>
  <c r="K788" i="5"/>
  <c r="H800" i="5"/>
  <c r="F778" i="5"/>
  <c r="C790" i="5"/>
  <c r="K778" i="5"/>
  <c r="H790" i="5"/>
  <c r="K780" i="5"/>
  <c r="H792" i="5"/>
  <c r="F780" i="5"/>
  <c r="L780" i="5" s="1"/>
  <c r="C792" i="5"/>
  <c r="N912" i="5"/>
  <c r="B924" i="5"/>
  <c r="N910" i="5"/>
  <c r="B922" i="5"/>
  <c r="N914" i="5"/>
  <c r="B926" i="5"/>
  <c r="N906" i="5"/>
  <c r="B918" i="5"/>
  <c r="K784" i="5"/>
  <c r="H796" i="5"/>
  <c r="F782" i="5"/>
  <c r="C794" i="5"/>
  <c r="N904" i="5"/>
  <c r="B916" i="5"/>
  <c r="T65" i="5"/>
  <c r="U65" i="5" s="1"/>
  <c r="Q66" i="5"/>
  <c r="R65" i="5"/>
  <c r="S65" i="5" s="1"/>
  <c r="C891" i="5"/>
  <c r="F879" i="5"/>
  <c r="C895" i="5"/>
  <c r="F883" i="5"/>
  <c r="L883" i="5" s="1"/>
  <c r="C789" i="5"/>
  <c r="F777" i="5"/>
  <c r="L777" i="5" s="1"/>
  <c r="F788" i="5"/>
  <c r="L788" i="5" s="1"/>
  <c r="C800" i="5"/>
  <c r="F786" i="5"/>
  <c r="L786" i="5" s="1"/>
  <c r="C798" i="5"/>
  <c r="K782" i="5"/>
  <c r="H794" i="5"/>
  <c r="F784" i="5"/>
  <c r="L784" i="5" s="1"/>
  <c r="C796" i="5"/>
  <c r="L768" i="5"/>
  <c r="L770" i="5"/>
  <c r="C801" i="5" l="1"/>
  <c r="F789" i="5"/>
  <c r="C907" i="5"/>
  <c r="F895" i="5"/>
  <c r="L895" i="5" s="1"/>
  <c r="C903" i="5"/>
  <c r="F891" i="5"/>
  <c r="Q67" i="5"/>
  <c r="T66" i="5"/>
  <c r="U66" i="5" s="1"/>
  <c r="R66" i="5"/>
  <c r="S66" i="5" s="1"/>
  <c r="N916" i="5"/>
  <c r="B928" i="5"/>
  <c r="F794" i="5"/>
  <c r="C806" i="5"/>
  <c r="K796" i="5"/>
  <c r="H808" i="5"/>
  <c r="N918" i="5"/>
  <c r="B930" i="5"/>
  <c r="N926" i="5"/>
  <c r="B938" i="5"/>
  <c r="N922" i="5"/>
  <c r="B934" i="5"/>
  <c r="N924" i="5"/>
  <c r="B936" i="5"/>
  <c r="F792" i="5"/>
  <c r="C804" i="5"/>
  <c r="K792" i="5"/>
  <c r="H804" i="5"/>
  <c r="K790" i="5"/>
  <c r="H802" i="5"/>
  <c r="F790" i="5"/>
  <c r="L790" i="5" s="1"/>
  <c r="C802" i="5"/>
  <c r="K800" i="5"/>
  <c r="H812" i="5"/>
  <c r="K798" i="5"/>
  <c r="H810" i="5"/>
  <c r="N920" i="5"/>
  <c r="B932" i="5"/>
  <c r="L803" i="5"/>
  <c r="F796" i="5"/>
  <c r="L796" i="5" s="1"/>
  <c r="C808" i="5"/>
  <c r="K794" i="5"/>
  <c r="H806" i="5"/>
  <c r="F798" i="5"/>
  <c r="L798" i="5" s="1"/>
  <c r="C810" i="5"/>
  <c r="F800" i="5"/>
  <c r="L800" i="5" s="1"/>
  <c r="C812" i="5"/>
  <c r="L782" i="5"/>
  <c r="L778" i="5"/>
  <c r="H807" i="5"/>
  <c r="K795" i="5"/>
  <c r="L795" i="5" s="1"/>
  <c r="H817" i="5"/>
  <c r="K805" i="5"/>
  <c r="L805" i="5" s="1"/>
  <c r="H827" i="5"/>
  <c r="K815" i="5"/>
  <c r="C827" i="5"/>
  <c r="F815" i="5"/>
  <c r="L815" i="5" s="1"/>
  <c r="H809" i="5"/>
  <c r="K797" i="5"/>
  <c r="L797" i="5" s="1"/>
  <c r="H801" i="5"/>
  <c r="K789" i="5"/>
  <c r="H813" i="5" l="1"/>
  <c r="K801" i="5"/>
  <c r="H821" i="5"/>
  <c r="K809" i="5"/>
  <c r="L809" i="5" s="1"/>
  <c r="C839" i="5"/>
  <c r="F827" i="5"/>
  <c r="H839" i="5"/>
  <c r="K827" i="5"/>
  <c r="H829" i="5"/>
  <c r="K817" i="5"/>
  <c r="L817" i="5" s="1"/>
  <c r="H819" i="5"/>
  <c r="K807" i="5"/>
  <c r="L807" i="5" s="1"/>
  <c r="F812" i="5"/>
  <c r="C824" i="5"/>
  <c r="F810" i="5"/>
  <c r="C822" i="5"/>
  <c r="K806" i="5"/>
  <c r="H818" i="5"/>
  <c r="F808" i="5"/>
  <c r="C820" i="5"/>
  <c r="L792" i="5"/>
  <c r="L794" i="5"/>
  <c r="L789" i="5"/>
  <c r="N932" i="5"/>
  <c r="B944" i="5"/>
  <c r="K810" i="5"/>
  <c r="H822" i="5"/>
  <c r="K812" i="5"/>
  <c r="H824" i="5"/>
  <c r="F802" i="5"/>
  <c r="C814" i="5"/>
  <c r="K802" i="5"/>
  <c r="H814" i="5"/>
  <c r="K804" i="5"/>
  <c r="H816" i="5"/>
  <c r="F804" i="5"/>
  <c r="L804" i="5" s="1"/>
  <c r="C816" i="5"/>
  <c r="N936" i="5"/>
  <c r="B948" i="5"/>
  <c r="N934" i="5"/>
  <c r="B946" i="5"/>
  <c r="N938" i="5"/>
  <c r="B950" i="5"/>
  <c r="N930" i="5"/>
  <c r="B942" i="5"/>
  <c r="K808" i="5"/>
  <c r="H820" i="5"/>
  <c r="F806" i="5"/>
  <c r="L806" i="5" s="1"/>
  <c r="C818" i="5"/>
  <c r="N928" i="5"/>
  <c r="B940" i="5"/>
  <c r="T67" i="5"/>
  <c r="U67" i="5" s="1"/>
  <c r="Q68" i="5"/>
  <c r="R67" i="5"/>
  <c r="S67" i="5" s="1"/>
  <c r="C915" i="5"/>
  <c r="F903" i="5"/>
  <c r="C919" i="5"/>
  <c r="F907" i="5"/>
  <c r="L907" i="5" s="1"/>
  <c r="C813" i="5"/>
  <c r="F801" i="5"/>
  <c r="L801" i="5" s="1"/>
  <c r="C825" i="5" l="1"/>
  <c r="F813" i="5"/>
  <c r="C931" i="5"/>
  <c r="F919" i="5"/>
  <c r="L919" i="5" s="1"/>
  <c r="C927" i="5"/>
  <c r="F915" i="5"/>
  <c r="Q69" i="5"/>
  <c r="T68" i="5"/>
  <c r="U68" i="5" s="1"/>
  <c r="R68" i="5"/>
  <c r="S68" i="5" s="1"/>
  <c r="N940" i="5"/>
  <c r="B952" i="5"/>
  <c r="F818" i="5"/>
  <c r="C830" i="5"/>
  <c r="K820" i="5"/>
  <c r="H832" i="5"/>
  <c r="N942" i="5"/>
  <c r="B954" i="5"/>
  <c r="N950" i="5"/>
  <c r="B962" i="5"/>
  <c r="N946" i="5"/>
  <c r="B958" i="5"/>
  <c r="N948" i="5"/>
  <c r="B960" i="5"/>
  <c r="F816" i="5"/>
  <c r="C828" i="5"/>
  <c r="K816" i="5"/>
  <c r="H828" i="5"/>
  <c r="K814" i="5"/>
  <c r="H826" i="5"/>
  <c r="F814" i="5"/>
  <c r="L814" i="5" s="1"/>
  <c r="C826" i="5"/>
  <c r="K824" i="5"/>
  <c r="H836" i="5"/>
  <c r="K822" i="5"/>
  <c r="H834" i="5"/>
  <c r="N944" i="5"/>
  <c r="B956" i="5"/>
  <c r="F820" i="5"/>
  <c r="L820" i="5" s="1"/>
  <c r="C832" i="5"/>
  <c r="K818" i="5"/>
  <c r="H830" i="5"/>
  <c r="F822" i="5"/>
  <c r="L822" i="5" s="1"/>
  <c r="C834" i="5"/>
  <c r="F824" i="5"/>
  <c r="L824" i="5" s="1"/>
  <c r="C836" i="5"/>
  <c r="L827" i="5"/>
  <c r="L802" i="5"/>
  <c r="L808" i="5"/>
  <c r="L810" i="5"/>
  <c r="L812" i="5"/>
  <c r="H831" i="5"/>
  <c r="K819" i="5"/>
  <c r="L819" i="5" s="1"/>
  <c r="H841" i="5"/>
  <c r="K829" i="5"/>
  <c r="L829" i="5" s="1"/>
  <c r="H851" i="5"/>
  <c r="K839" i="5"/>
  <c r="C851" i="5"/>
  <c r="F839" i="5"/>
  <c r="L839" i="5" s="1"/>
  <c r="H833" i="5"/>
  <c r="K821" i="5"/>
  <c r="L821" i="5" s="1"/>
  <c r="H825" i="5"/>
  <c r="K813" i="5"/>
  <c r="H837" i="5" l="1"/>
  <c r="K825" i="5"/>
  <c r="C863" i="5"/>
  <c r="F851" i="5"/>
  <c r="H853" i="5"/>
  <c r="K841" i="5"/>
  <c r="L841" i="5" s="1"/>
  <c r="H843" i="5"/>
  <c r="K831" i="5"/>
  <c r="L831" i="5" s="1"/>
  <c r="L816" i="5"/>
  <c r="L818" i="5"/>
  <c r="L813" i="5"/>
  <c r="H845" i="5"/>
  <c r="K833" i="5"/>
  <c r="L833" i="5" s="1"/>
  <c r="H863" i="5"/>
  <c r="K851" i="5"/>
  <c r="F836" i="5"/>
  <c r="C848" i="5"/>
  <c r="F834" i="5"/>
  <c r="C846" i="5"/>
  <c r="K830" i="5"/>
  <c r="H842" i="5"/>
  <c r="F832" i="5"/>
  <c r="C844" i="5"/>
  <c r="N956" i="5"/>
  <c r="B968" i="5"/>
  <c r="K834" i="5"/>
  <c r="H846" i="5"/>
  <c r="K836" i="5"/>
  <c r="H848" i="5"/>
  <c r="F826" i="5"/>
  <c r="C838" i="5"/>
  <c r="K826" i="5"/>
  <c r="H838" i="5"/>
  <c r="K828" i="5"/>
  <c r="H840" i="5"/>
  <c r="F828" i="5"/>
  <c r="L828" i="5" s="1"/>
  <c r="C840" i="5"/>
  <c r="N960" i="5"/>
  <c r="B972" i="5"/>
  <c r="N958" i="5"/>
  <c r="B970" i="5"/>
  <c r="N962" i="5"/>
  <c r="B974" i="5"/>
  <c r="N954" i="5"/>
  <c r="B966" i="5"/>
  <c r="K832" i="5"/>
  <c r="H844" i="5"/>
  <c r="F830" i="5"/>
  <c r="L830" i="5" s="1"/>
  <c r="C842" i="5"/>
  <c r="N952" i="5"/>
  <c r="B964" i="5"/>
  <c r="T69" i="5"/>
  <c r="U69" i="5" s="1"/>
  <c r="Q70" i="5"/>
  <c r="R69" i="5"/>
  <c r="S69" i="5" s="1"/>
  <c r="F927" i="5"/>
  <c r="C939" i="5"/>
  <c r="F931" i="5"/>
  <c r="L931" i="5" s="1"/>
  <c r="C943" i="5"/>
  <c r="C837" i="5"/>
  <c r="F825" i="5"/>
  <c r="L825" i="5" s="1"/>
  <c r="F943" i="5" l="1"/>
  <c r="L943" i="5" s="1"/>
  <c r="C955" i="5"/>
  <c r="F939" i="5"/>
  <c r="C951" i="5"/>
  <c r="C849" i="5"/>
  <c r="F837" i="5"/>
  <c r="Q71" i="5"/>
  <c r="T70" i="5" s="1"/>
  <c r="U70" i="5" s="1"/>
  <c r="R70" i="5"/>
  <c r="S70" i="5" s="1"/>
  <c r="N964" i="5"/>
  <c r="B976" i="5"/>
  <c r="F842" i="5"/>
  <c r="C854" i="5"/>
  <c r="K844" i="5"/>
  <c r="H856" i="5"/>
  <c r="N966" i="5"/>
  <c r="B978" i="5"/>
  <c r="N974" i="5"/>
  <c r="B986" i="5"/>
  <c r="N970" i="5"/>
  <c r="B982" i="5"/>
  <c r="N972" i="5"/>
  <c r="B984" i="5"/>
  <c r="F840" i="5"/>
  <c r="C852" i="5"/>
  <c r="K840" i="5"/>
  <c r="H852" i="5"/>
  <c r="K838" i="5"/>
  <c r="H850" i="5"/>
  <c r="F838" i="5"/>
  <c r="L838" i="5" s="1"/>
  <c r="C850" i="5"/>
  <c r="K848" i="5"/>
  <c r="H860" i="5"/>
  <c r="K846" i="5"/>
  <c r="H858" i="5"/>
  <c r="N968" i="5"/>
  <c r="B980" i="5"/>
  <c r="F844" i="5"/>
  <c r="L844" i="5" s="1"/>
  <c r="C856" i="5"/>
  <c r="K842" i="5"/>
  <c r="H854" i="5"/>
  <c r="F846" i="5"/>
  <c r="L846" i="5" s="1"/>
  <c r="C858" i="5"/>
  <c r="F848" i="5"/>
  <c r="L848" i="5" s="1"/>
  <c r="C860" i="5"/>
  <c r="L851" i="5"/>
  <c r="L826" i="5"/>
  <c r="L832" i="5"/>
  <c r="L834" i="5"/>
  <c r="L836" i="5"/>
  <c r="H875" i="5"/>
  <c r="K863" i="5"/>
  <c r="H857" i="5"/>
  <c r="K845" i="5"/>
  <c r="L845" i="5" s="1"/>
  <c r="H855" i="5"/>
  <c r="K843" i="5"/>
  <c r="L843" i="5" s="1"/>
  <c r="H865" i="5"/>
  <c r="K853" i="5"/>
  <c r="L853" i="5" s="1"/>
  <c r="C875" i="5"/>
  <c r="F863" i="5"/>
  <c r="L863" i="5" s="1"/>
  <c r="H849" i="5"/>
  <c r="K837" i="5"/>
  <c r="H861" i="5" l="1"/>
  <c r="K849" i="5"/>
  <c r="C887" i="5"/>
  <c r="F875" i="5"/>
  <c r="H877" i="5"/>
  <c r="K865" i="5"/>
  <c r="L865" i="5" s="1"/>
  <c r="H867" i="5"/>
  <c r="K855" i="5"/>
  <c r="L855" i="5" s="1"/>
  <c r="H869" i="5"/>
  <c r="K857" i="5"/>
  <c r="L857" i="5" s="1"/>
  <c r="H887" i="5"/>
  <c r="K875" i="5"/>
  <c r="F860" i="5"/>
  <c r="C872" i="5"/>
  <c r="F858" i="5"/>
  <c r="C870" i="5"/>
  <c r="K854" i="5"/>
  <c r="H866" i="5"/>
  <c r="F856" i="5"/>
  <c r="C868" i="5"/>
  <c r="N980" i="5"/>
  <c r="B992" i="5"/>
  <c r="N992" i="5" s="1"/>
  <c r="K858" i="5"/>
  <c r="H870" i="5"/>
  <c r="K860" i="5"/>
  <c r="H872" i="5"/>
  <c r="F850" i="5"/>
  <c r="C862" i="5"/>
  <c r="K850" i="5"/>
  <c r="H862" i="5"/>
  <c r="K852" i="5"/>
  <c r="H864" i="5"/>
  <c r="F852" i="5"/>
  <c r="L852" i="5" s="1"/>
  <c r="C864" i="5"/>
  <c r="N984" i="5"/>
  <c r="B996" i="5"/>
  <c r="N996" i="5" s="1"/>
  <c r="N982" i="5"/>
  <c r="B994" i="5"/>
  <c r="N994" i="5" s="1"/>
  <c r="N986" i="5"/>
  <c r="B998" i="5"/>
  <c r="N998" i="5" s="1"/>
  <c r="N978" i="5"/>
  <c r="B990" i="5"/>
  <c r="K856" i="5"/>
  <c r="H868" i="5"/>
  <c r="F854" i="5"/>
  <c r="L854" i="5" s="1"/>
  <c r="C866" i="5"/>
  <c r="N976" i="5"/>
  <c r="B988" i="5"/>
  <c r="L837" i="5"/>
  <c r="F951" i="5"/>
  <c r="C963" i="5"/>
  <c r="F955" i="5"/>
  <c r="L955" i="5" s="1"/>
  <c r="C967" i="5"/>
  <c r="L840" i="5"/>
  <c r="L842" i="5"/>
  <c r="Q72" i="5"/>
  <c r="T71" i="5"/>
  <c r="U71" i="5" s="1"/>
  <c r="R71" i="5"/>
  <c r="S71" i="5" s="1"/>
  <c r="C861" i="5"/>
  <c r="F849" i="5"/>
  <c r="L849" i="5" s="1"/>
  <c r="T72" i="5" l="1"/>
  <c r="U72" i="5" s="1"/>
  <c r="Q73" i="5"/>
  <c r="R72" i="5"/>
  <c r="S72" i="5" s="1"/>
  <c r="N988" i="5"/>
  <c r="B1000" i="5"/>
  <c r="N1000" i="5" s="1"/>
  <c r="F866" i="5"/>
  <c r="C878" i="5"/>
  <c r="K868" i="5"/>
  <c r="H880" i="5"/>
  <c r="N990" i="5"/>
  <c r="B1002" i="5"/>
  <c r="N1002" i="5" s="1"/>
  <c r="F864" i="5"/>
  <c r="C876" i="5"/>
  <c r="K864" i="5"/>
  <c r="H876" i="5"/>
  <c r="K862" i="5"/>
  <c r="H874" i="5"/>
  <c r="F862" i="5"/>
  <c r="L862" i="5" s="1"/>
  <c r="C874" i="5"/>
  <c r="K872" i="5"/>
  <c r="H884" i="5"/>
  <c r="K870" i="5"/>
  <c r="H882" i="5"/>
  <c r="F868" i="5"/>
  <c r="L868" i="5" s="1"/>
  <c r="C880" i="5"/>
  <c r="K866" i="5"/>
  <c r="H878" i="5"/>
  <c r="F870" i="5"/>
  <c r="L870" i="5" s="1"/>
  <c r="C882" i="5"/>
  <c r="F872" i="5"/>
  <c r="L872" i="5" s="1"/>
  <c r="C884" i="5"/>
  <c r="L875" i="5"/>
  <c r="C873" i="5"/>
  <c r="F861" i="5"/>
  <c r="F967" i="5"/>
  <c r="L967" i="5" s="1"/>
  <c r="C979" i="5"/>
  <c r="F963" i="5"/>
  <c r="C975" i="5"/>
  <c r="L850" i="5"/>
  <c r="L856" i="5"/>
  <c r="L858" i="5"/>
  <c r="L860" i="5"/>
  <c r="H899" i="5"/>
  <c r="K887" i="5"/>
  <c r="H881" i="5"/>
  <c r="K869" i="5"/>
  <c r="L869" i="5" s="1"/>
  <c r="H879" i="5"/>
  <c r="K867" i="5"/>
  <c r="L867" i="5" s="1"/>
  <c r="H889" i="5"/>
  <c r="K877" i="5"/>
  <c r="L877" i="5" s="1"/>
  <c r="C899" i="5"/>
  <c r="F887" i="5"/>
  <c r="L887" i="5" s="1"/>
  <c r="H873" i="5"/>
  <c r="K861" i="5"/>
  <c r="F975" i="5" l="1"/>
  <c r="C987" i="5"/>
  <c r="H885" i="5"/>
  <c r="K873" i="5"/>
  <c r="C911" i="5"/>
  <c r="F899" i="5"/>
  <c r="H901" i="5"/>
  <c r="K889" i="5"/>
  <c r="L889" i="5" s="1"/>
  <c r="H891" i="5"/>
  <c r="K879" i="5"/>
  <c r="L879" i="5" s="1"/>
  <c r="H893" i="5"/>
  <c r="K881" i="5"/>
  <c r="L881" i="5" s="1"/>
  <c r="H911" i="5"/>
  <c r="K899" i="5"/>
  <c r="C885" i="5"/>
  <c r="F873" i="5"/>
  <c r="L873" i="5" s="1"/>
  <c r="F884" i="5"/>
  <c r="C896" i="5"/>
  <c r="F882" i="5"/>
  <c r="C894" i="5"/>
  <c r="K878" i="5"/>
  <c r="H890" i="5"/>
  <c r="F880" i="5"/>
  <c r="C892" i="5"/>
  <c r="K882" i="5"/>
  <c r="H894" i="5"/>
  <c r="K884" i="5"/>
  <c r="H896" i="5"/>
  <c r="F874" i="5"/>
  <c r="C886" i="5"/>
  <c r="K874" i="5"/>
  <c r="H886" i="5"/>
  <c r="K876" i="5"/>
  <c r="H888" i="5"/>
  <c r="F876" i="5"/>
  <c r="L876" i="5" s="1"/>
  <c r="C888" i="5"/>
  <c r="K880" i="5"/>
  <c r="H892" i="5"/>
  <c r="F878" i="5"/>
  <c r="L878" i="5" s="1"/>
  <c r="C890" i="5"/>
  <c r="Q74" i="5"/>
  <c r="R73" i="5"/>
  <c r="S73" i="5" s="1"/>
  <c r="F979" i="5"/>
  <c r="L979" i="5" s="1"/>
  <c r="C991" i="5"/>
  <c r="L861" i="5"/>
  <c r="L864" i="5"/>
  <c r="L866" i="5"/>
  <c r="F991" i="5" l="1"/>
  <c r="L991" i="5" s="1"/>
  <c r="C1003" i="5"/>
  <c r="F1003" i="5" s="1"/>
  <c r="L1003" i="5" s="1"/>
  <c r="T74" i="5"/>
  <c r="U74" i="5" s="1"/>
  <c r="Q75" i="5"/>
  <c r="R74" i="5"/>
  <c r="S74" i="5" s="1"/>
  <c r="L874" i="5"/>
  <c r="L880" i="5"/>
  <c r="L882" i="5"/>
  <c r="L884" i="5"/>
  <c r="C897" i="5"/>
  <c r="F885" i="5"/>
  <c r="L899" i="5"/>
  <c r="F987" i="5"/>
  <c r="C999" i="5"/>
  <c r="F999" i="5" s="1"/>
  <c r="T73" i="5"/>
  <c r="U73" i="5" s="1"/>
  <c r="F890" i="5"/>
  <c r="C902" i="5"/>
  <c r="K892" i="5"/>
  <c r="H904" i="5"/>
  <c r="F888" i="5"/>
  <c r="C900" i="5"/>
  <c r="K888" i="5"/>
  <c r="H900" i="5"/>
  <c r="K886" i="5"/>
  <c r="H898" i="5"/>
  <c r="F886" i="5"/>
  <c r="L886" i="5" s="1"/>
  <c r="C898" i="5"/>
  <c r="K896" i="5"/>
  <c r="H908" i="5"/>
  <c r="K894" i="5"/>
  <c r="H906" i="5"/>
  <c r="F892" i="5"/>
  <c r="L892" i="5" s="1"/>
  <c r="C904" i="5"/>
  <c r="K890" i="5"/>
  <c r="H902" i="5"/>
  <c r="F894" i="5"/>
  <c r="L894" i="5" s="1"/>
  <c r="C906" i="5"/>
  <c r="F896" i="5"/>
  <c r="L896" i="5" s="1"/>
  <c r="C908" i="5"/>
  <c r="H923" i="5"/>
  <c r="K911" i="5"/>
  <c r="H905" i="5"/>
  <c r="K893" i="5"/>
  <c r="L893" i="5" s="1"/>
  <c r="H903" i="5"/>
  <c r="K891" i="5"/>
  <c r="L891" i="5" s="1"/>
  <c r="H913" i="5"/>
  <c r="K901" i="5"/>
  <c r="L901" i="5" s="1"/>
  <c r="C923" i="5"/>
  <c r="F911" i="5"/>
  <c r="L911" i="5" s="1"/>
  <c r="H897" i="5"/>
  <c r="K885" i="5"/>
  <c r="H909" i="5" l="1"/>
  <c r="K897" i="5"/>
  <c r="C935" i="5"/>
  <c r="F923" i="5"/>
  <c r="H925" i="5"/>
  <c r="K913" i="5"/>
  <c r="L913" i="5" s="1"/>
  <c r="H915" i="5"/>
  <c r="K903" i="5"/>
  <c r="L903" i="5" s="1"/>
  <c r="H917" i="5"/>
  <c r="K905" i="5"/>
  <c r="L905" i="5" s="1"/>
  <c r="H935" i="5"/>
  <c r="K923" i="5"/>
  <c r="L888" i="5"/>
  <c r="L890" i="5"/>
  <c r="C909" i="5"/>
  <c r="F897" i="5"/>
  <c r="L897" i="5" s="1"/>
  <c r="Q76" i="5"/>
  <c r="R75" i="5"/>
  <c r="S75" i="5" s="1"/>
  <c r="F908" i="5"/>
  <c r="C920" i="5"/>
  <c r="F906" i="5"/>
  <c r="C918" i="5"/>
  <c r="K902" i="5"/>
  <c r="H914" i="5"/>
  <c r="F904" i="5"/>
  <c r="C916" i="5"/>
  <c r="K906" i="5"/>
  <c r="H918" i="5"/>
  <c r="K908" i="5"/>
  <c r="H920" i="5"/>
  <c r="F898" i="5"/>
  <c r="C910" i="5"/>
  <c r="K898" i="5"/>
  <c r="H910" i="5"/>
  <c r="K900" i="5"/>
  <c r="H912" i="5"/>
  <c r="F900" i="5"/>
  <c r="L900" i="5" s="1"/>
  <c r="C912" i="5"/>
  <c r="K904" i="5"/>
  <c r="H916" i="5"/>
  <c r="F902" i="5"/>
  <c r="L902" i="5" s="1"/>
  <c r="C914" i="5"/>
  <c r="L885" i="5"/>
  <c r="F914" i="5" l="1"/>
  <c r="C926" i="5"/>
  <c r="K916" i="5"/>
  <c r="H928" i="5"/>
  <c r="F912" i="5"/>
  <c r="C924" i="5"/>
  <c r="K912" i="5"/>
  <c r="H924" i="5"/>
  <c r="K910" i="5"/>
  <c r="H922" i="5"/>
  <c r="F910" i="5"/>
  <c r="L910" i="5" s="1"/>
  <c r="C922" i="5"/>
  <c r="K920" i="5"/>
  <c r="H932" i="5"/>
  <c r="K918" i="5"/>
  <c r="H930" i="5"/>
  <c r="F916" i="5"/>
  <c r="L916" i="5" s="1"/>
  <c r="C928" i="5"/>
  <c r="K914" i="5"/>
  <c r="H926" i="5"/>
  <c r="F918" i="5"/>
  <c r="L918" i="5" s="1"/>
  <c r="C930" i="5"/>
  <c r="F920" i="5"/>
  <c r="L920" i="5" s="1"/>
  <c r="C932" i="5"/>
  <c r="T76" i="5"/>
  <c r="U76" i="5" s="1"/>
  <c r="Q77" i="5"/>
  <c r="R76" i="5"/>
  <c r="S76" i="5" s="1"/>
  <c r="C921" i="5"/>
  <c r="F909" i="5"/>
  <c r="L923" i="5"/>
  <c r="L898" i="5"/>
  <c r="L904" i="5"/>
  <c r="L906" i="5"/>
  <c r="L908" i="5"/>
  <c r="T75" i="5"/>
  <c r="U75" i="5" s="1"/>
  <c r="K935" i="5"/>
  <c r="H947" i="5"/>
  <c r="H929" i="5"/>
  <c r="K917" i="5"/>
  <c r="L917" i="5" s="1"/>
  <c r="H927" i="5"/>
  <c r="K915" i="5"/>
  <c r="L915" i="5" s="1"/>
  <c r="H937" i="5"/>
  <c r="K925" i="5"/>
  <c r="L925" i="5" s="1"/>
  <c r="F935" i="5"/>
  <c r="L935" i="5" s="1"/>
  <c r="C947" i="5"/>
  <c r="H921" i="5"/>
  <c r="K909" i="5"/>
  <c r="K947" i="5" l="1"/>
  <c r="H959" i="5"/>
  <c r="H933" i="5"/>
  <c r="K921" i="5"/>
  <c r="K937" i="5"/>
  <c r="L937" i="5" s="1"/>
  <c r="H949" i="5"/>
  <c r="K927" i="5"/>
  <c r="L927" i="5" s="1"/>
  <c r="H939" i="5"/>
  <c r="K929" i="5"/>
  <c r="L929" i="5" s="1"/>
  <c r="H941" i="5"/>
  <c r="C933" i="5"/>
  <c r="F921" i="5"/>
  <c r="L921" i="5" s="1"/>
  <c r="Q78" i="5"/>
  <c r="T77" i="5" s="1"/>
  <c r="U77" i="5" s="1"/>
  <c r="R77" i="5"/>
  <c r="S77" i="5" s="1"/>
  <c r="F932" i="5"/>
  <c r="C944" i="5"/>
  <c r="F930" i="5"/>
  <c r="C942" i="5"/>
  <c r="K926" i="5"/>
  <c r="H938" i="5"/>
  <c r="F928" i="5"/>
  <c r="C940" i="5"/>
  <c r="K930" i="5"/>
  <c r="H942" i="5"/>
  <c r="K932" i="5"/>
  <c r="H944" i="5"/>
  <c r="F922" i="5"/>
  <c r="C934" i="5"/>
  <c r="K922" i="5"/>
  <c r="H934" i="5"/>
  <c r="K924" i="5"/>
  <c r="H936" i="5"/>
  <c r="F924" i="5"/>
  <c r="L924" i="5" s="1"/>
  <c r="C936" i="5"/>
  <c r="K928" i="5"/>
  <c r="H940" i="5"/>
  <c r="F926" i="5"/>
  <c r="L926" i="5" s="1"/>
  <c r="C938" i="5"/>
  <c r="F947" i="5"/>
  <c r="L947" i="5" s="1"/>
  <c r="C959" i="5"/>
  <c r="L909" i="5"/>
  <c r="L912" i="5"/>
  <c r="L914" i="5"/>
  <c r="L922" i="5" l="1"/>
  <c r="L928" i="5"/>
  <c r="L930" i="5"/>
  <c r="L932" i="5"/>
  <c r="K941" i="5"/>
  <c r="L941" i="5" s="1"/>
  <c r="H953" i="5"/>
  <c r="K939" i="5"/>
  <c r="L939" i="5" s="1"/>
  <c r="H951" i="5"/>
  <c r="K949" i="5"/>
  <c r="L949" i="5" s="1"/>
  <c r="H961" i="5"/>
  <c r="K959" i="5"/>
  <c r="H971" i="5"/>
  <c r="F959" i="5"/>
  <c r="L959" i="5" s="1"/>
  <c r="C971" i="5"/>
  <c r="C950" i="5"/>
  <c r="F938" i="5"/>
  <c r="H952" i="5"/>
  <c r="K940" i="5"/>
  <c r="F936" i="5"/>
  <c r="C948" i="5"/>
  <c r="K936" i="5"/>
  <c r="H948" i="5"/>
  <c r="K934" i="5"/>
  <c r="H946" i="5"/>
  <c r="F934" i="5"/>
  <c r="L934" i="5" s="1"/>
  <c r="C946" i="5"/>
  <c r="H956" i="5"/>
  <c r="K944" i="5"/>
  <c r="H954" i="5"/>
  <c r="K942" i="5"/>
  <c r="C952" i="5"/>
  <c r="F940" i="5"/>
  <c r="L940" i="5" s="1"/>
  <c r="H950" i="5"/>
  <c r="K938" i="5"/>
  <c r="C954" i="5"/>
  <c r="F942" i="5"/>
  <c r="L942" i="5" s="1"/>
  <c r="C956" i="5"/>
  <c r="F944" i="5"/>
  <c r="L944" i="5" s="1"/>
  <c r="T78" i="5"/>
  <c r="U78" i="5" s="1"/>
  <c r="Q79" i="5"/>
  <c r="R78" i="5"/>
  <c r="S78" i="5" s="1"/>
  <c r="F933" i="5"/>
  <c r="C945" i="5"/>
  <c r="K933" i="5"/>
  <c r="H945" i="5"/>
  <c r="K945" i="5" l="1"/>
  <c r="H957" i="5"/>
  <c r="L933" i="5"/>
  <c r="Q80" i="5"/>
  <c r="T79" i="5"/>
  <c r="U79" i="5" s="1"/>
  <c r="R79" i="5"/>
  <c r="S79" i="5" s="1"/>
  <c r="C958" i="5"/>
  <c r="F946" i="5"/>
  <c r="H958" i="5"/>
  <c r="K946" i="5"/>
  <c r="H960" i="5"/>
  <c r="K948" i="5"/>
  <c r="C960" i="5"/>
  <c r="F948" i="5"/>
  <c r="L948" i="5" s="1"/>
  <c r="L938" i="5"/>
  <c r="F971" i="5"/>
  <c r="C983" i="5"/>
  <c r="K971" i="5"/>
  <c r="H983" i="5"/>
  <c r="K961" i="5"/>
  <c r="L961" i="5" s="1"/>
  <c r="H973" i="5"/>
  <c r="K951" i="5"/>
  <c r="L951" i="5" s="1"/>
  <c r="H963" i="5"/>
  <c r="K953" i="5"/>
  <c r="L953" i="5" s="1"/>
  <c r="H965" i="5"/>
  <c r="F945" i="5"/>
  <c r="L945" i="5" s="1"/>
  <c r="C957" i="5"/>
  <c r="F956" i="5"/>
  <c r="C968" i="5"/>
  <c r="C966" i="5"/>
  <c r="F954" i="5"/>
  <c r="H962" i="5"/>
  <c r="K950" i="5"/>
  <c r="C964" i="5"/>
  <c r="F952" i="5"/>
  <c r="H966" i="5"/>
  <c r="K954" i="5"/>
  <c r="K956" i="5"/>
  <c r="H968" i="5"/>
  <c r="L936" i="5"/>
  <c r="H964" i="5"/>
  <c r="K952" i="5"/>
  <c r="C962" i="5"/>
  <c r="F950" i="5"/>
  <c r="L950" i="5" s="1"/>
  <c r="H978" i="5" l="1"/>
  <c r="K966" i="5"/>
  <c r="F964" i="5"/>
  <c r="C976" i="5"/>
  <c r="H974" i="5"/>
  <c r="K962" i="5"/>
  <c r="C978" i="5"/>
  <c r="F966" i="5"/>
  <c r="L966" i="5" s="1"/>
  <c r="L956" i="5"/>
  <c r="L971" i="5"/>
  <c r="L946" i="5"/>
  <c r="Q81" i="5"/>
  <c r="T80" i="5" s="1"/>
  <c r="U80" i="5" s="1"/>
  <c r="R80" i="5"/>
  <c r="S80" i="5" s="1"/>
  <c r="K957" i="5"/>
  <c r="H969" i="5"/>
  <c r="C974" i="5"/>
  <c r="F962" i="5"/>
  <c r="L962" i="5" s="1"/>
  <c r="K964" i="5"/>
  <c r="H976" i="5"/>
  <c r="H980" i="5"/>
  <c r="K968" i="5"/>
  <c r="L952" i="5"/>
  <c r="L954" i="5"/>
  <c r="C980" i="5"/>
  <c r="F968" i="5"/>
  <c r="L968" i="5" s="1"/>
  <c r="F957" i="5"/>
  <c r="L957" i="5" s="1"/>
  <c r="C969" i="5"/>
  <c r="K965" i="5"/>
  <c r="L965" i="5" s="1"/>
  <c r="H977" i="5"/>
  <c r="K963" i="5"/>
  <c r="L963" i="5" s="1"/>
  <c r="H975" i="5"/>
  <c r="K973" i="5"/>
  <c r="L973" i="5" s="1"/>
  <c r="H985" i="5"/>
  <c r="K983" i="5"/>
  <c r="H995" i="5"/>
  <c r="K995" i="5" s="1"/>
  <c r="F983" i="5"/>
  <c r="L983" i="5" s="1"/>
  <c r="C995" i="5"/>
  <c r="F995" i="5" s="1"/>
  <c r="L995" i="5" s="1"/>
  <c r="F960" i="5"/>
  <c r="C972" i="5"/>
  <c r="K960" i="5"/>
  <c r="H972" i="5"/>
  <c r="H970" i="5"/>
  <c r="K958" i="5"/>
  <c r="C970" i="5"/>
  <c r="F958" i="5"/>
  <c r="L958" i="5" s="1"/>
  <c r="C982" i="5" l="1"/>
  <c r="F970" i="5"/>
  <c r="H982" i="5"/>
  <c r="K970" i="5"/>
  <c r="L960" i="5"/>
  <c r="H984" i="5"/>
  <c r="K972" i="5"/>
  <c r="C984" i="5"/>
  <c r="F972" i="5"/>
  <c r="L972" i="5" s="1"/>
  <c r="K985" i="5"/>
  <c r="L985" i="5" s="1"/>
  <c r="H997" i="5"/>
  <c r="K997" i="5" s="1"/>
  <c r="L997" i="5" s="1"/>
  <c r="K975" i="5"/>
  <c r="L975" i="5" s="1"/>
  <c r="H987" i="5"/>
  <c r="K977" i="5"/>
  <c r="L977" i="5" s="1"/>
  <c r="H989" i="5"/>
  <c r="F969" i="5"/>
  <c r="C981" i="5"/>
  <c r="H988" i="5"/>
  <c r="K976" i="5"/>
  <c r="K969" i="5"/>
  <c r="H981" i="5"/>
  <c r="C988" i="5"/>
  <c r="F976" i="5"/>
  <c r="L976" i="5" s="1"/>
  <c r="C992" i="5"/>
  <c r="F992" i="5" s="1"/>
  <c r="F980" i="5"/>
  <c r="H992" i="5"/>
  <c r="K992" i="5" s="1"/>
  <c r="K980" i="5"/>
  <c r="C986" i="5"/>
  <c r="F974" i="5"/>
  <c r="Q82" i="5"/>
  <c r="R81" i="5"/>
  <c r="S81" i="5" s="1"/>
  <c r="C990" i="5"/>
  <c r="F978" i="5"/>
  <c r="L978" i="5" s="1"/>
  <c r="H986" i="5"/>
  <c r="K974" i="5"/>
  <c r="L964" i="5"/>
  <c r="H990" i="5"/>
  <c r="K978" i="5"/>
  <c r="H1002" i="5" l="1"/>
  <c r="K1002" i="5" s="1"/>
  <c r="K990" i="5"/>
  <c r="T82" i="5"/>
  <c r="U82" i="5" s="1"/>
  <c r="Q83" i="5"/>
  <c r="R82" i="5"/>
  <c r="S82" i="5" s="1"/>
  <c r="C998" i="5"/>
  <c r="F998" i="5" s="1"/>
  <c r="F986" i="5"/>
  <c r="L992" i="5"/>
  <c r="C1000" i="5"/>
  <c r="F1000" i="5" s="1"/>
  <c r="F988" i="5"/>
  <c r="H1000" i="5"/>
  <c r="K1000" i="5" s="1"/>
  <c r="K988" i="5"/>
  <c r="L969" i="5"/>
  <c r="C996" i="5"/>
  <c r="F996" i="5" s="1"/>
  <c r="F984" i="5"/>
  <c r="H996" i="5"/>
  <c r="K996" i="5" s="1"/>
  <c r="K984" i="5"/>
  <c r="L970" i="5"/>
  <c r="H998" i="5"/>
  <c r="K998" i="5" s="1"/>
  <c r="K986" i="5"/>
  <c r="C1002" i="5"/>
  <c r="F1002" i="5" s="1"/>
  <c r="L1002" i="5" s="1"/>
  <c r="F990" i="5"/>
  <c r="L990" i="5" s="1"/>
  <c r="T81" i="5"/>
  <c r="U81" i="5" s="1"/>
  <c r="L974" i="5"/>
  <c r="L980" i="5"/>
  <c r="K981" i="5"/>
  <c r="H993" i="5"/>
  <c r="K993" i="5" s="1"/>
  <c r="F981" i="5"/>
  <c r="L981" i="5" s="1"/>
  <c r="C993" i="5"/>
  <c r="F993" i="5" s="1"/>
  <c r="L993" i="5" s="1"/>
  <c r="K989" i="5"/>
  <c r="L989" i="5" s="1"/>
  <c r="H1001" i="5"/>
  <c r="K1001" i="5" s="1"/>
  <c r="L1001" i="5" s="1"/>
  <c r="K987" i="5"/>
  <c r="L987" i="5" s="1"/>
  <c r="H999" i="5"/>
  <c r="K999" i="5" s="1"/>
  <c r="L999" i="5" s="1"/>
  <c r="H994" i="5"/>
  <c r="K994" i="5" s="1"/>
  <c r="K982" i="5"/>
  <c r="C994" i="5"/>
  <c r="F994" i="5" s="1"/>
  <c r="L994" i="5" s="1"/>
  <c r="F982" i="5"/>
  <c r="L982" i="5" s="1"/>
  <c r="L996" i="5" l="1"/>
  <c r="L988" i="5"/>
  <c r="L998" i="5"/>
  <c r="Q84" i="5"/>
  <c r="T83" i="5"/>
  <c r="U83" i="5" s="1"/>
  <c r="R83" i="5"/>
  <c r="S83" i="5" s="1"/>
  <c r="L984" i="5"/>
  <c r="L1000" i="5"/>
  <c r="L986" i="5"/>
  <c r="T84" i="5" l="1"/>
  <c r="U84" i="5" s="1"/>
  <c r="Q85" i="5"/>
  <c r="R84" i="5"/>
  <c r="S84" i="5" s="1"/>
  <c r="Q86" i="5" l="1"/>
  <c r="R85" i="5"/>
  <c r="S85" i="5" s="1"/>
  <c r="Q87" i="5" l="1"/>
  <c r="R86" i="5"/>
  <c r="S86" i="5" s="1"/>
  <c r="T85" i="5"/>
  <c r="U85" i="5" s="1"/>
  <c r="Q88" i="5" l="1"/>
  <c r="T87" i="5" s="1"/>
  <c r="U87" i="5" s="1"/>
  <c r="R87" i="5"/>
  <c r="S87" i="5" s="1"/>
  <c r="T86" i="5"/>
  <c r="U86" i="5" s="1"/>
  <c r="Q89" i="5" l="1"/>
  <c r="R88" i="5"/>
  <c r="S88" i="5" s="1"/>
  <c r="Q90" i="5" l="1"/>
  <c r="T89" i="5" s="1"/>
  <c r="U89" i="5" s="1"/>
  <c r="R89" i="5"/>
  <c r="S89" i="5" s="1"/>
  <c r="T88" i="5"/>
  <c r="U88" i="5" s="1"/>
  <c r="Q91" i="5" l="1"/>
  <c r="R90" i="5"/>
  <c r="S90" i="5" s="1"/>
  <c r="Q92" i="5" l="1"/>
  <c r="T91" i="5" s="1"/>
  <c r="U91" i="5" s="1"/>
  <c r="R91" i="5"/>
  <c r="S91" i="5" s="1"/>
  <c r="T90" i="5"/>
  <c r="U90" i="5" s="1"/>
  <c r="Q93" i="5" l="1"/>
  <c r="R92" i="5"/>
  <c r="S92" i="5" s="1"/>
  <c r="Q94" i="5" l="1"/>
  <c r="T93" i="5" s="1"/>
  <c r="U93" i="5" s="1"/>
  <c r="R93" i="5"/>
  <c r="S93" i="5" s="1"/>
  <c r="T92" i="5"/>
  <c r="U92" i="5" s="1"/>
  <c r="Q95" i="5" l="1"/>
  <c r="R94" i="5"/>
  <c r="S94" i="5" s="1"/>
  <c r="Q96" i="5" l="1"/>
  <c r="T95" i="5" s="1"/>
  <c r="U95" i="5" s="1"/>
  <c r="R95" i="5"/>
  <c r="S95" i="5" s="1"/>
  <c r="T94" i="5"/>
  <c r="U94" i="5" s="1"/>
  <c r="T96" i="5" l="1"/>
  <c r="U96" i="5" s="1"/>
  <c r="Q97" i="5"/>
  <c r="R96" i="5"/>
  <c r="S96" i="5" s="1"/>
  <c r="Q98" i="5" l="1"/>
  <c r="T97" i="5" s="1"/>
  <c r="U97" i="5" s="1"/>
  <c r="R97" i="5"/>
  <c r="S97" i="5" s="1"/>
  <c r="Q99" i="5" l="1"/>
  <c r="R98" i="5"/>
  <c r="S98" i="5" s="1"/>
  <c r="Q100" i="5" l="1"/>
  <c r="T99" i="5" s="1"/>
  <c r="U99" i="5" s="1"/>
  <c r="R99" i="5"/>
  <c r="S99" i="5" s="1"/>
  <c r="T98" i="5"/>
  <c r="U98" i="5" s="1"/>
  <c r="Q101" i="5" l="1"/>
  <c r="R100" i="5"/>
  <c r="S100" i="5" s="1"/>
  <c r="Q102" i="5" l="1"/>
  <c r="T101" i="5" s="1"/>
  <c r="U101" i="5" s="1"/>
  <c r="R101" i="5"/>
  <c r="S101" i="5" s="1"/>
  <c r="T100" i="5"/>
  <c r="U100" i="5" s="1"/>
  <c r="T102" i="5" l="1"/>
  <c r="U102" i="5" s="1"/>
  <c r="Q103" i="5"/>
  <c r="R102" i="5"/>
  <c r="S102" i="5" s="1"/>
  <c r="Q104" i="5" l="1"/>
  <c r="T103" i="5" s="1"/>
  <c r="U103" i="5" s="1"/>
  <c r="R103" i="5"/>
  <c r="S103" i="5" s="1"/>
  <c r="Q105" i="5" l="1"/>
  <c r="R104" i="5"/>
  <c r="S104" i="5" s="1"/>
  <c r="Q106" i="5" l="1"/>
  <c r="T105" i="5" s="1"/>
  <c r="U105" i="5" s="1"/>
  <c r="R105" i="5"/>
  <c r="S105" i="5" s="1"/>
  <c r="T104" i="5"/>
  <c r="U104" i="5" s="1"/>
  <c r="T106" i="5" l="1"/>
  <c r="U106" i="5" s="1"/>
  <c r="Q107" i="5"/>
  <c r="R106" i="5"/>
  <c r="S106" i="5" s="1"/>
  <c r="Q108" i="5" l="1"/>
  <c r="R107" i="5"/>
  <c r="S107" i="5" s="1"/>
  <c r="Q109" i="5" l="1"/>
  <c r="R108" i="5"/>
  <c r="S108" i="5" s="1"/>
  <c r="T107" i="5"/>
  <c r="U107" i="5" s="1"/>
  <c r="Q110" i="5" l="1"/>
  <c r="T109" i="5" s="1"/>
  <c r="U109" i="5" s="1"/>
  <c r="R109" i="5"/>
  <c r="S109" i="5" s="1"/>
  <c r="T108" i="5"/>
  <c r="U108" i="5" s="1"/>
  <c r="Q111" i="5" l="1"/>
  <c r="R110" i="5"/>
  <c r="S110" i="5" s="1"/>
  <c r="Q112" i="5" l="1"/>
  <c r="T111" i="5" s="1"/>
  <c r="U111" i="5" s="1"/>
  <c r="R111" i="5"/>
  <c r="S111" i="5" s="1"/>
  <c r="T110" i="5"/>
  <c r="U110" i="5" s="1"/>
  <c r="Q113" i="5" l="1"/>
  <c r="R112" i="5"/>
  <c r="S112" i="5" s="1"/>
  <c r="Q114" i="5" l="1"/>
  <c r="T113" i="5" s="1"/>
  <c r="U113" i="5" s="1"/>
  <c r="R113" i="5"/>
  <c r="S113" i="5" s="1"/>
  <c r="T112" i="5"/>
  <c r="U112" i="5" s="1"/>
  <c r="Q115" i="5" l="1"/>
  <c r="R114" i="5"/>
  <c r="S114" i="5" s="1"/>
  <c r="Q116" i="5" l="1"/>
  <c r="T115" i="5" s="1"/>
  <c r="U115" i="5" s="1"/>
  <c r="R115" i="5"/>
  <c r="S115" i="5" s="1"/>
  <c r="T114" i="5"/>
  <c r="U114" i="5" s="1"/>
  <c r="Q117" i="5" l="1"/>
  <c r="R116" i="5"/>
  <c r="S116" i="5" s="1"/>
  <c r="Q118" i="5" l="1"/>
  <c r="T117" i="5" s="1"/>
  <c r="U117" i="5" s="1"/>
  <c r="R117" i="5"/>
  <c r="S117" i="5" s="1"/>
  <c r="T116" i="5"/>
  <c r="U116" i="5" s="1"/>
  <c r="T118" i="5" l="1"/>
  <c r="U118" i="5" s="1"/>
  <c r="Q119" i="5"/>
  <c r="R118" i="5"/>
  <c r="S118" i="5" s="1"/>
  <c r="Q120" i="5" l="1"/>
  <c r="T119" i="5" s="1"/>
  <c r="U119" i="5" s="1"/>
  <c r="R119" i="5"/>
  <c r="S119" i="5" s="1"/>
  <c r="T120" i="5" l="1"/>
  <c r="U120" i="5" s="1"/>
  <c r="Q121" i="5"/>
  <c r="R120" i="5"/>
  <c r="S120" i="5" s="1"/>
  <c r="Q122" i="5" l="1"/>
  <c r="T121" i="5" s="1"/>
  <c r="U121" i="5" s="1"/>
  <c r="R121" i="5"/>
  <c r="S121" i="5" s="1"/>
  <c r="Q123" i="5" l="1"/>
  <c r="R122" i="5"/>
  <c r="S122" i="5" s="1"/>
  <c r="Q124" i="5" l="1"/>
  <c r="T123" i="5" s="1"/>
  <c r="U123" i="5" s="1"/>
  <c r="R123" i="5"/>
  <c r="S123" i="5" s="1"/>
  <c r="T122" i="5"/>
  <c r="U122" i="5" s="1"/>
  <c r="Q125" i="5" l="1"/>
  <c r="R124" i="5"/>
  <c r="S124" i="5" s="1"/>
  <c r="Q126" i="5" l="1"/>
  <c r="R125" i="5"/>
  <c r="S125" i="5" s="1"/>
  <c r="T124" i="5"/>
  <c r="U124" i="5" s="1"/>
  <c r="Q127" i="5" l="1"/>
  <c r="T126" i="5" s="1"/>
  <c r="U126" i="5" s="1"/>
  <c r="R126" i="5"/>
  <c r="S126" i="5" s="1"/>
  <c r="T125" i="5"/>
  <c r="U125" i="5" s="1"/>
  <c r="Q128" i="5" l="1"/>
  <c r="R127" i="5"/>
  <c r="S127" i="5" s="1"/>
  <c r="Q129" i="5" l="1"/>
  <c r="R128" i="5"/>
  <c r="S128" i="5" s="1"/>
  <c r="T127" i="5"/>
  <c r="U127" i="5" s="1"/>
  <c r="Q130" i="5" l="1"/>
  <c r="R129" i="5"/>
  <c r="S129" i="5" s="1"/>
  <c r="T128" i="5"/>
  <c r="U128" i="5" s="1"/>
  <c r="Q131" i="5" l="1"/>
  <c r="T130" i="5" s="1"/>
  <c r="U130" i="5" s="1"/>
  <c r="R130" i="5"/>
  <c r="S130" i="5" s="1"/>
  <c r="T129" i="5"/>
  <c r="U129" i="5" s="1"/>
  <c r="Q132" i="5" l="1"/>
  <c r="R131" i="5"/>
  <c r="S131" i="5" s="1"/>
  <c r="Q133" i="5" l="1"/>
  <c r="T132" i="5" s="1"/>
  <c r="U132" i="5" s="1"/>
  <c r="R132" i="5"/>
  <c r="S132" i="5" s="1"/>
  <c r="T131" i="5"/>
  <c r="U131" i="5" s="1"/>
  <c r="T133" i="5" l="1"/>
  <c r="U133" i="5" s="1"/>
  <c r="Q134" i="5"/>
  <c r="R133" i="5"/>
  <c r="S133" i="5" s="1"/>
  <c r="Q135" i="5" l="1"/>
  <c r="T134" i="5" s="1"/>
  <c r="U134" i="5" s="1"/>
  <c r="R134" i="5"/>
  <c r="S134" i="5" s="1"/>
  <c r="Q136" i="5" l="1"/>
  <c r="R135" i="5"/>
  <c r="S135" i="5" s="1"/>
  <c r="Q137" i="5" l="1"/>
  <c r="T136" i="5" s="1"/>
  <c r="U136" i="5" s="1"/>
  <c r="R136" i="5"/>
  <c r="S136" i="5" s="1"/>
  <c r="T135" i="5"/>
  <c r="U135" i="5" s="1"/>
  <c r="Q138" i="5" l="1"/>
  <c r="R137" i="5"/>
  <c r="S137" i="5" s="1"/>
  <c r="Q139" i="5" l="1"/>
  <c r="T138" i="5" s="1"/>
  <c r="U138" i="5" s="1"/>
  <c r="R138" i="5"/>
  <c r="S138" i="5" s="1"/>
  <c r="T137" i="5"/>
  <c r="U137" i="5" s="1"/>
  <c r="T139" i="5" l="1"/>
  <c r="U139" i="5" s="1"/>
  <c r="Q140" i="5"/>
  <c r="R139" i="5"/>
  <c r="S139" i="5" s="1"/>
  <c r="Q141" i="5" l="1"/>
  <c r="T140" i="5" s="1"/>
  <c r="U140" i="5" s="1"/>
  <c r="R140" i="5"/>
  <c r="S140" i="5" s="1"/>
  <c r="Q142" i="5" l="1"/>
  <c r="R141" i="5"/>
  <c r="S141" i="5" s="1"/>
  <c r="Q143" i="5" l="1"/>
  <c r="R142" i="5"/>
  <c r="S142" i="5" s="1"/>
  <c r="T141" i="5"/>
  <c r="U141" i="5" s="1"/>
  <c r="Q144" i="5" l="1"/>
  <c r="R143" i="5"/>
  <c r="S143" i="5" s="1"/>
  <c r="T142" i="5"/>
  <c r="U142" i="5" s="1"/>
  <c r="Q145" i="5" l="1"/>
  <c r="R144" i="5"/>
  <c r="S144" i="5" s="1"/>
  <c r="T143" i="5"/>
  <c r="U143" i="5" s="1"/>
  <c r="T145" i="5" l="1"/>
  <c r="U145" i="5" s="1"/>
  <c r="Q146" i="5"/>
  <c r="R145" i="5"/>
  <c r="S145" i="5" s="1"/>
  <c r="T144" i="5"/>
  <c r="U144" i="5" s="1"/>
  <c r="Q147" i="5" l="1"/>
  <c r="R146" i="5"/>
  <c r="S146" i="5" s="1"/>
  <c r="T147" i="5" l="1"/>
  <c r="U147" i="5" s="1"/>
  <c r="Q148" i="5"/>
  <c r="R147" i="5"/>
  <c r="S147" i="5" s="1"/>
  <c r="T146" i="5"/>
  <c r="U146" i="5" s="1"/>
  <c r="Q149" i="5" l="1"/>
  <c r="R148" i="5"/>
  <c r="S148" i="5" s="1"/>
  <c r="T149" i="5" l="1"/>
  <c r="U149" i="5" s="1"/>
  <c r="Q150" i="5"/>
  <c r="R149" i="5"/>
  <c r="S149" i="5" s="1"/>
  <c r="T148" i="5"/>
  <c r="U148" i="5" s="1"/>
  <c r="Q151" i="5" l="1"/>
  <c r="R150" i="5"/>
  <c r="S150" i="5" s="1"/>
  <c r="T151" i="5" l="1"/>
  <c r="U151" i="5" s="1"/>
  <c r="Q152" i="5"/>
  <c r="R151" i="5"/>
  <c r="S151" i="5" s="1"/>
  <c r="T150" i="5"/>
  <c r="U150" i="5" s="1"/>
  <c r="Q153" i="5" l="1"/>
  <c r="R152" i="5"/>
  <c r="S152" i="5" s="1"/>
  <c r="T153" i="5" l="1"/>
  <c r="U153" i="5" s="1"/>
  <c r="Q154" i="5"/>
  <c r="R153" i="5"/>
  <c r="S153" i="5" s="1"/>
  <c r="T152" i="5"/>
  <c r="U152" i="5" s="1"/>
  <c r="Q155" i="5" l="1"/>
  <c r="R154" i="5"/>
  <c r="S154" i="5" s="1"/>
  <c r="T155" i="5" l="1"/>
  <c r="U155" i="5" s="1"/>
  <c r="Q156" i="5"/>
  <c r="R155" i="5"/>
  <c r="S155" i="5" s="1"/>
  <c r="T154" i="5"/>
  <c r="U154" i="5" s="1"/>
  <c r="Q157" i="5" l="1"/>
  <c r="R156" i="5"/>
  <c r="S156" i="5" s="1"/>
  <c r="T157" i="5" l="1"/>
  <c r="U157" i="5" s="1"/>
  <c r="Q158" i="5"/>
  <c r="R157" i="5"/>
  <c r="S157" i="5" s="1"/>
  <c r="T156" i="5"/>
  <c r="U156" i="5" s="1"/>
  <c r="Q159" i="5" l="1"/>
  <c r="R158" i="5"/>
  <c r="S158" i="5" s="1"/>
  <c r="T159" i="5" l="1"/>
  <c r="U159" i="5" s="1"/>
  <c r="Q160" i="5"/>
  <c r="R159" i="5"/>
  <c r="S159" i="5" s="1"/>
  <c r="T158" i="5"/>
  <c r="U158" i="5" s="1"/>
  <c r="Q161" i="5" l="1"/>
  <c r="R160" i="5"/>
  <c r="S160" i="5" s="1"/>
  <c r="T161" i="5" l="1"/>
  <c r="U161" i="5" s="1"/>
  <c r="Q162" i="5"/>
  <c r="R161" i="5"/>
  <c r="S161" i="5" s="1"/>
  <c r="T160" i="5"/>
  <c r="U160" i="5" s="1"/>
  <c r="Q163" i="5" l="1"/>
  <c r="R162" i="5"/>
  <c r="S162" i="5" s="1"/>
  <c r="T163" i="5" l="1"/>
  <c r="U163" i="5" s="1"/>
  <c r="Q164" i="5"/>
  <c r="R163" i="5"/>
  <c r="S163" i="5" s="1"/>
  <c r="T162" i="5"/>
  <c r="U162" i="5" s="1"/>
  <c r="Q165" i="5" l="1"/>
  <c r="R164" i="5"/>
  <c r="S164" i="5" s="1"/>
  <c r="T165" i="5" l="1"/>
  <c r="U165" i="5" s="1"/>
  <c r="Q166" i="5"/>
  <c r="R165" i="5"/>
  <c r="S165" i="5" s="1"/>
  <c r="T164" i="5"/>
  <c r="U164" i="5" s="1"/>
  <c r="Q167" i="5" l="1"/>
  <c r="R166" i="5"/>
  <c r="S166" i="5" s="1"/>
  <c r="T167" i="5" l="1"/>
  <c r="U167" i="5" s="1"/>
  <c r="Q168" i="5"/>
  <c r="R167" i="5"/>
  <c r="S167" i="5" s="1"/>
  <c r="T166" i="5"/>
  <c r="U166" i="5" s="1"/>
  <c r="Q169" i="5" l="1"/>
  <c r="R168" i="5"/>
  <c r="S168" i="5" s="1"/>
  <c r="T169" i="5" l="1"/>
  <c r="U169" i="5" s="1"/>
  <c r="Q170" i="5"/>
  <c r="R169" i="5"/>
  <c r="S169" i="5" s="1"/>
  <c r="T168" i="5"/>
  <c r="U168" i="5" s="1"/>
  <c r="Q171" i="5" l="1"/>
  <c r="R170" i="5"/>
  <c r="S170" i="5" s="1"/>
  <c r="T171" i="5" l="1"/>
  <c r="U171" i="5" s="1"/>
  <c r="Q172" i="5"/>
  <c r="R171" i="5"/>
  <c r="S171" i="5" s="1"/>
  <c r="T170" i="5"/>
  <c r="U170" i="5" s="1"/>
  <c r="Q173" i="5" l="1"/>
  <c r="R172" i="5"/>
  <c r="S172" i="5" s="1"/>
  <c r="T173" i="5" l="1"/>
  <c r="U173" i="5" s="1"/>
  <c r="Q174" i="5"/>
  <c r="R173" i="5"/>
  <c r="S173" i="5" s="1"/>
  <c r="T172" i="5"/>
  <c r="U172" i="5" s="1"/>
  <c r="Q175" i="5" l="1"/>
  <c r="R174" i="5"/>
  <c r="S174" i="5" s="1"/>
  <c r="T175" i="5" l="1"/>
  <c r="U175" i="5" s="1"/>
  <c r="Q176" i="5"/>
  <c r="R175" i="5"/>
  <c r="S175" i="5" s="1"/>
  <c r="T174" i="5"/>
  <c r="U174" i="5" s="1"/>
  <c r="Q177" i="5" l="1"/>
  <c r="R176" i="5"/>
  <c r="S176" i="5" s="1"/>
  <c r="T177" i="5" l="1"/>
  <c r="U177" i="5" s="1"/>
  <c r="Q178" i="5"/>
  <c r="R177" i="5"/>
  <c r="S177" i="5" s="1"/>
  <c r="T176" i="5"/>
  <c r="U176" i="5" s="1"/>
  <c r="Q179" i="5" l="1"/>
  <c r="R178" i="5"/>
  <c r="S178" i="5" s="1"/>
  <c r="T179" i="5" l="1"/>
  <c r="U179" i="5" s="1"/>
  <c r="Q180" i="5"/>
  <c r="R179" i="5"/>
  <c r="S179" i="5" s="1"/>
  <c r="T178" i="5"/>
  <c r="U178" i="5" s="1"/>
  <c r="Q181" i="5" l="1"/>
  <c r="T180" i="5" s="1"/>
  <c r="U180" i="5" s="1"/>
  <c r="R180" i="5"/>
  <c r="S180" i="5" s="1"/>
  <c r="Q182" i="5" l="1"/>
  <c r="R181" i="5"/>
  <c r="S181" i="5" s="1"/>
  <c r="Q183" i="5" l="1"/>
  <c r="T182" i="5" s="1"/>
  <c r="U182" i="5" s="1"/>
  <c r="R182" i="5"/>
  <c r="S182" i="5" s="1"/>
  <c r="T181" i="5"/>
  <c r="U181" i="5" s="1"/>
  <c r="Q184" i="5" l="1"/>
  <c r="R183" i="5"/>
  <c r="S183" i="5" s="1"/>
  <c r="Q185" i="5" l="1"/>
  <c r="T184" i="5" s="1"/>
  <c r="U184" i="5" s="1"/>
  <c r="R184" i="5"/>
  <c r="S184" i="5" s="1"/>
  <c r="T183" i="5"/>
  <c r="U183" i="5" s="1"/>
  <c r="Q186" i="5" l="1"/>
  <c r="R185" i="5"/>
  <c r="S185" i="5" s="1"/>
  <c r="Q187" i="5" l="1"/>
  <c r="T186" i="5" s="1"/>
  <c r="U186" i="5" s="1"/>
  <c r="R186" i="5"/>
  <c r="S186" i="5" s="1"/>
  <c r="T185" i="5"/>
  <c r="U185" i="5" s="1"/>
  <c r="Q188" i="5" l="1"/>
  <c r="R187" i="5"/>
  <c r="S187" i="5" s="1"/>
  <c r="Q189" i="5" l="1"/>
  <c r="T188" i="5" s="1"/>
  <c r="U188" i="5" s="1"/>
  <c r="R188" i="5"/>
  <c r="S188" i="5" s="1"/>
  <c r="T187" i="5"/>
  <c r="U187" i="5" s="1"/>
  <c r="Q190" i="5" l="1"/>
  <c r="R189" i="5"/>
  <c r="S189" i="5" s="1"/>
  <c r="Q191" i="5" l="1"/>
  <c r="T190" i="5" s="1"/>
  <c r="U190" i="5" s="1"/>
  <c r="R190" i="5"/>
  <c r="S190" i="5" s="1"/>
  <c r="T189" i="5"/>
  <c r="U189" i="5" s="1"/>
  <c r="Q192" i="5" l="1"/>
  <c r="R191" i="5"/>
  <c r="S191" i="5" s="1"/>
  <c r="Q193" i="5" l="1"/>
  <c r="T192" i="5" s="1"/>
  <c r="U192" i="5" s="1"/>
  <c r="R192" i="5"/>
  <c r="S192" i="5" s="1"/>
  <c r="T191" i="5"/>
  <c r="U191" i="5" s="1"/>
  <c r="Q194" i="5" l="1"/>
  <c r="R193" i="5"/>
  <c r="S193" i="5" s="1"/>
  <c r="Q195" i="5" l="1"/>
  <c r="T194" i="5" s="1"/>
  <c r="U194" i="5" s="1"/>
  <c r="R194" i="5"/>
  <c r="S194" i="5" s="1"/>
  <c r="T193" i="5"/>
  <c r="U193" i="5" s="1"/>
  <c r="Q196" i="5" l="1"/>
  <c r="R195" i="5"/>
  <c r="S195" i="5" s="1"/>
  <c r="Q197" i="5" l="1"/>
  <c r="T196" i="5" s="1"/>
  <c r="U196" i="5" s="1"/>
  <c r="R196" i="5"/>
  <c r="S196" i="5" s="1"/>
  <c r="T195" i="5"/>
  <c r="U195" i="5" s="1"/>
  <c r="Q198" i="5" l="1"/>
  <c r="R197" i="5"/>
  <c r="S197" i="5" s="1"/>
  <c r="Q199" i="5" l="1"/>
  <c r="T198" i="5" s="1"/>
  <c r="U198" i="5" s="1"/>
  <c r="R198" i="5"/>
  <c r="S198" i="5" s="1"/>
  <c r="T197" i="5"/>
  <c r="U197" i="5" s="1"/>
  <c r="Q200" i="5" l="1"/>
  <c r="R199" i="5"/>
  <c r="S199" i="5" s="1"/>
  <c r="Q201" i="5" l="1"/>
  <c r="R200" i="5"/>
  <c r="S200" i="5" s="1"/>
  <c r="T199" i="5"/>
  <c r="U199" i="5" s="1"/>
  <c r="Q202" i="5" l="1"/>
  <c r="T201" i="5" s="1"/>
  <c r="U201" i="5" s="1"/>
  <c r="R201" i="5"/>
  <c r="S201" i="5" s="1"/>
  <c r="T200" i="5"/>
  <c r="U200" i="5" s="1"/>
  <c r="Q203" i="5" l="1"/>
  <c r="R202" i="5"/>
  <c r="S202" i="5" s="1"/>
  <c r="Q204" i="5" l="1"/>
  <c r="T203" i="5" s="1"/>
  <c r="U203" i="5" s="1"/>
  <c r="R203" i="5"/>
  <c r="S203" i="5" s="1"/>
  <c r="T202" i="5"/>
  <c r="U202" i="5" s="1"/>
  <c r="Q205" i="5" l="1"/>
  <c r="R204" i="5"/>
  <c r="S204" i="5" s="1"/>
  <c r="Q206" i="5" l="1"/>
  <c r="T205" i="5" s="1"/>
  <c r="U205" i="5" s="1"/>
  <c r="R205" i="5"/>
  <c r="S205" i="5" s="1"/>
  <c r="T204" i="5"/>
  <c r="U204" i="5" s="1"/>
  <c r="Q207" i="5" l="1"/>
  <c r="R206" i="5"/>
  <c r="S206" i="5" s="1"/>
  <c r="Q208" i="5" l="1"/>
  <c r="T207" i="5" s="1"/>
  <c r="U207" i="5" s="1"/>
  <c r="R207" i="5"/>
  <c r="S207" i="5" s="1"/>
  <c r="T206" i="5"/>
  <c r="U206" i="5" s="1"/>
  <c r="Q209" i="5" l="1"/>
  <c r="R208" i="5"/>
  <c r="S208" i="5" s="1"/>
  <c r="Q210" i="5" l="1"/>
  <c r="T209" i="5" s="1"/>
  <c r="U209" i="5" s="1"/>
  <c r="R209" i="5"/>
  <c r="S209" i="5" s="1"/>
  <c r="T208" i="5"/>
  <c r="U208" i="5" s="1"/>
  <c r="Q211" i="5" l="1"/>
  <c r="R210" i="5"/>
  <c r="S210" i="5" s="1"/>
  <c r="Q212" i="5" l="1"/>
  <c r="T211" i="5" s="1"/>
  <c r="U211" i="5" s="1"/>
  <c r="R211" i="5"/>
  <c r="S211" i="5" s="1"/>
  <c r="T210" i="5"/>
  <c r="U210" i="5" s="1"/>
  <c r="Q213" i="5" l="1"/>
  <c r="R212" i="5"/>
  <c r="S212" i="5" s="1"/>
  <c r="Q214" i="5" l="1"/>
  <c r="T213" i="5" s="1"/>
  <c r="U213" i="5" s="1"/>
  <c r="R213" i="5"/>
  <c r="S213" i="5" s="1"/>
  <c r="T212" i="5"/>
  <c r="U212" i="5" s="1"/>
  <c r="Q215" i="5" l="1"/>
  <c r="R214" i="5"/>
  <c r="S214" i="5" s="1"/>
  <c r="Q216" i="5" l="1"/>
  <c r="T215" i="5" s="1"/>
  <c r="U215" i="5" s="1"/>
  <c r="R215" i="5"/>
  <c r="S215" i="5" s="1"/>
  <c r="T214" i="5"/>
  <c r="U214" i="5" s="1"/>
  <c r="Q217" i="5" l="1"/>
  <c r="R216" i="5"/>
  <c r="S216" i="5" s="1"/>
  <c r="Q218" i="5" l="1"/>
  <c r="T217" i="5" s="1"/>
  <c r="U217" i="5" s="1"/>
  <c r="R217" i="5"/>
  <c r="S217" i="5" s="1"/>
  <c r="T216" i="5"/>
  <c r="U216" i="5" s="1"/>
  <c r="Q219" i="5" l="1"/>
  <c r="R218" i="5"/>
  <c r="S218" i="5" s="1"/>
  <c r="Q220" i="5" l="1"/>
  <c r="T219" i="5" s="1"/>
  <c r="U219" i="5" s="1"/>
  <c r="R219" i="5"/>
  <c r="S219" i="5" s="1"/>
  <c r="T218" i="5"/>
  <c r="U218" i="5" s="1"/>
  <c r="Q221" i="5" l="1"/>
  <c r="R220" i="5"/>
  <c r="S220" i="5" s="1"/>
  <c r="Q222" i="5" l="1"/>
  <c r="T221" i="5" s="1"/>
  <c r="U221" i="5" s="1"/>
  <c r="R221" i="5"/>
  <c r="S221" i="5" s="1"/>
  <c r="T220" i="5"/>
  <c r="U220" i="5" s="1"/>
  <c r="Q223" i="5" l="1"/>
  <c r="R222" i="5"/>
  <c r="S222" i="5" s="1"/>
  <c r="Q224" i="5" l="1"/>
  <c r="T223" i="5" s="1"/>
  <c r="U223" i="5" s="1"/>
  <c r="R223" i="5"/>
  <c r="S223" i="5" s="1"/>
  <c r="T222" i="5"/>
  <c r="U222" i="5" s="1"/>
  <c r="Q225" i="5" l="1"/>
  <c r="R224" i="5"/>
  <c r="S224" i="5" s="1"/>
  <c r="Q226" i="5" l="1"/>
  <c r="T225" i="5" s="1"/>
  <c r="U225" i="5" s="1"/>
  <c r="R225" i="5"/>
  <c r="S225" i="5" s="1"/>
  <c r="T224" i="5"/>
  <c r="U224" i="5" s="1"/>
  <c r="Q227" i="5" l="1"/>
  <c r="R226" i="5"/>
  <c r="S226" i="5" s="1"/>
  <c r="Q228" i="5" l="1"/>
  <c r="T227" i="5" s="1"/>
  <c r="U227" i="5" s="1"/>
  <c r="R227" i="5"/>
  <c r="S227" i="5" s="1"/>
  <c r="T226" i="5"/>
  <c r="U226" i="5" s="1"/>
  <c r="Q229" i="5" l="1"/>
  <c r="R228" i="5"/>
  <c r="S228" i="5" s="1"/>
  <c r="Q230" i="5" l="1"/>
  <c r="R229" i="5"/>
  <c r="S229" i="5" s="1"/>
  <c r="T228" i="5"/>
  <c r="U228" i="5" s="1"/>
  <c r="Q231" i="5" l="1"/>
  <c r="T230" i="5" s="1"/>
  <c r="U230" i="5" s="1"/>
  <c r="R230" i="5"/>
  <c r="S230" i="5" s="1"/>
  <c r="T229" i="5"/>
  <c r="U229" i="5" s="1"/>
  <c r="Q232" i="5" l="1"/>
  <c r="R231" i="5"/>
  <c r="S231" i="5" s="1"/>
  <c r="Q233" i="5" l="1"/>
  <c r="R232" i="5"/>
  <c r="S232" i="5" s="1"/>
  <c r="T231" i="5"/>
  <c r="U231" i="5" s="1"/>
  <c r="Q234" i="5" l="1"/>
  <c r="R233" i="5"/>
  <c r="S233" i="5" s="1"/>
  <c r="T232" i="5"/>
  <c r="U232" i="5" s="1"/>
  <c r="Q235" i="5" l="1"/>
  <c r="T234" i="5" s="1"/>
  <c r="U234" i="5" s="1"/>
  <c r="R234" i="5"/>
  <c r="S234" i="5" s="1"/>
  <c r="T233" i="5"/>
  <c r="U233" i="5" s="1"/>
  <c r="Q236" i="5" l="1"/>
  <c r="R235" i="5"/>
  <c r="S235" i="5" s="1"/>
  <c r="Q237" i="5" l="1"/>
  <c r="T236" i="5" s="1"/>
  <c r="U236" i="5" s="1"/>
  <c r="R236" i="5"/>
  <c r="S236" i="5" s="1"/>
  <c r="T235" i="5"/>
  <c r="U235" i="5" s="1"/>
  <c r="Q238" i="5" l="1"/>
  <c r="R237" i="5"/>
  <c r="S237" i="5" s="1"/>
  <c r="Q239" i="5" l="1"/>
  <c r="T238" i="5" s="1"/>
  <c r="U238" i="5" s="1"/>
  <c r="R238" i="5"/>
  <c r="S238" i="5" s="1"/>
  <c r="T237" i="5"/>
  <c r="U237" i="5" s="1"/>
  <c r="Q240" i="5" l="1"/>
  <c r="R239" i="5"/>
  <c r="S239" i="5" s="1"/>
  <c r="Q241" i="5" l="1"/>
  <c r="T240" i="5" s="1"/>
  <c r="U240" i="5" s="1"/>
  <c r="R240" i="5"/>
  <c r="S240" i="5" s="1"/>
  <c r="T239" i="5"/>
  <c r="U239" i="5" s="1"/>
  <c r="Q242" i="5" l="1"/>
  <c r="R241" i="5"/>
  <c r="S241" i="5" s="1"/>
  <c r="Q243" i="5" l="1"/>
  <c r="T242" i="5" s="1"/>
  <c r="U242" i="5" s="1"/>
  <c r="R242" i="5"/>
  <c r="S242" i="5" s="1"/>
  <c r="T241" i="5"/>
  <c r="U241" i="5" s="1"/>
  <c r="Q244" i="5" l="1"/>
  <c r="R243" i="5"/>
  <c r="S243" i="5" s="1"/>
  <c r="Q245" i="5" l="1"/>
  <c r="T244" i="5" s="1"/>
  <c r="U244" i="5" s="1"/>
  <c r="R244" i="5"/>
  <c r="S244" i="5" s="1"/>
  <c r="T243" i="5"/>
  <c r="U243" i="5" s="1"/>
  <c r="Q246" i="5" l="1"/>
  <c r="R245" i="5"/>
  <c r="S245" i="5" s="1"/>
  <c r="Q247" i="5" l="1"/>
  <c r="T246" i="5" s="1"/>
  <c r="U246" i="5" s="1"/>
  <c r="R246" i="5"/>
  <c r="S246" i="5" s="1"/>
  <c r="T245" i="5"/>
  <c r="U245" i="5" s="1"/>
  <c r="Q248" i="5" l="1"/>
  <c r="R247" i="5"/>
  <c r="S247" i="5" s="1"/>
  <c r="Q249" i="5" l="1"/>
  <c r="T248" i="5" s="1"/>
  <c r="U248" i="5" s="1"/>
  <c r="R248" i="5"/>
  <c r="S248" i="5" s="1"/>
  <c r="T247" i="5"/>
  <c r="U247" i="5" s="1"/>
  <c r="Q250" i="5" l="1"/>
  <c r="R249" i="5"/>
  <c r="S249" i="5" s="1"/>
  <c r="Q251" i="5" l="1"/>
  <c r="T250" i="5" s="1"/>
  <c r="U250" i="5" s="1"/>
  <c r="R250" i="5"/>
  <c r="S250" i="5" s="1"/>
  <c r="T249" i="5"/>
  <c r="U249" i="5" s="1"/>
  <c r="T251" i="5" l="1"/>
  <c r="U251" i="5" s="1"/>
  <c r="Q252" i="5"/>
  <c r="R251" i="5"/>
  <c r="S251" i="5" s="1"/>
  <c r="Q253" i="5" l="1"/>
  <c r="T252" i="5" s="1"/>
  <c r="U252" i="5" s="1"/>
  <c r="R252" i="5"/>
  <c r="S252" i="5" s="1"/>
  <c r="Q254" i="5" l="1"/>
  <c r="R253" i="5"/>
  <c r="S253" i="5" s="1"/>
  <c r="Q255" i="5" l="1"/>
  <c r="R254" i="5"/>
  <c r="S254" i="5" s="1"/>
  <c r="T253" i="5"/>
  <c r="U253" i="5" s="1"/>
  <c r="Q256" i="5" l="1"/>
  <c r="R255" i="5"/>
  <c r="S255" i="5" s="1"/>
  <c r="T254" i="5"/>
  <c r="U254" i="5" s="1"/>
  <c r="Q257" i="5" l="1"/>
  <c r="T256" i="5" s="1"/>
  <c r="U256" i="5" s="1"/>
  <c r="R256" i="5"/>
  <c r="S256" i="5" s="1"/>
  <c r="T255" i="5"/>
  <c r="U255" i="5" s="1"/>
  <c r="Q258" i="5" l="1"/>
  <c r="R257" i="5"/>
  <c r="S257" i="5" s="1"/>
  <c r="Q259" i="5" l="1"/>
  <c r="T258" i="5" s="1"/>
  <c r="U258" i="5" s="1"/>
  <c r="R258" i="5"/>
  <c r="S258" i="5" s="1"/>
  <c r="T257" i="5"/>
  <c r="U257" i="5" s="1"/>
  <c r="Q260" i="5" l="1"/>
  <c r="R259" i="5"/>
  <c r="S259" i="5" s="1"/>
  <c r="Q261" i="5" l="1"/>
  <c r="T260" i="5" s="1"/>
  <c r="U260" i="5" s="1"/>
  <c r="R260" i="5"/>
  <c r="S260" i="5" s="1"/>
  <c r="T259" i="5"/>
  <c r="U259" i="5" s="1"/>
  <c r="T261" i="5" l="1"/>
  <c r="U261" i="5" s="1"/>
  <c r="Q262" i="5"/>
  <c r="R261" i="5"/>
  <c r="S261" i="5" s="1"/>
  <c r="Q263" i="5" l="1"/>
  <c r="T262" i="5" s="1"/>
  <c r="U262" i="5" s="1"/>
  <c r="R262" i="5"/>
  <c r="S262" i="5" s="1"/>
  <c r="T263" i="5" l="1"/>
  <c r="U263" i="5" s="1"/>
  <c r="Q264" i="5"/>
  <c r="R263" i="5"/>
  <c r="S263" i="5" s="1"/>
  <c r="Q265" i="5" l="1"/>
  <c r="T264" i="5" s="1"/>
  <c r="U264" i="5" s="1"/>
  <c r="R264" i="5"/>
  <c r="S264" i="5" s="1"/>
  <c r="Q266" i="5" l="1"/>
  <c r="R265" i="5"/>
  <c r="S265" i="5" s="1"/>
  <c r="Q267" i="5" l="1"/>
  <c r="T266" i="5"/>
  <c r="U266" i="5" s="1"/>
  <c r="R266" i="5"/>
  <c r="S266" i="5" s="1"/>
  <c r="T265" i="5"/>
  <c r="U265" i="5" s="1"/>
  <c r="Q268" i="5" l="1"/>
  <c r="R267" i="5"/>
  <c r="S267" i="5" s="1"/>
  <c r="Q269" i="5" l="1"/>
  <c r="T268" i="5" s="1"/>
  <c r="U268" i="5" s="1"/>
  <c r="R268" i="5"/>
  <c r="S268" i="5" s="1"/>
  <c r="T267" i="5"/>
  <c r="U267" i="5" s="1"/>
  <c r="Q270" i="5" l="1"/>
  <c r="R269" i="5"/>
  <c r="S269" i="5" s="1"/>
  <c r="Q271" i="5" l="1"/>
  <c r="T270" i="5" s="1"/>
  <c r="U270" i="5" s="1"/>
  <c r="R270" i="5"/>
  <c r="S270" i="5" s="1"/>
  <c r="T269" i="5"/>
  <c r="U269" i="5" s="1"/>
  <c r="Q272" i="5" l="1"/>
  <c r="R271" i="5"/>
  <c r="S271" i="5" s="1"/>
  <c r="Q273" i="5" l="1"/>
  <c r="T272" i="5" s="1"/>
  <c r="U272" i="5" s="1"/>
  <c r="R272" i="5"/>
  <c r="S272" i="5" s="1"/>
  <c r="T271" i="5"/>
  <c r="U271" i="5" s="1"/>
  <c r="Q274" i="5" l="1"/>
  <c r="R273" i="5"/>
  <c r="S273" i="5" s="1"/>
  <c r="Q275" i="5" l="1"/>
  <c r="T274" i="5" s="1"/>
  <c r="U274" i="5" s="1"/>
  <c r="R274" i="5"/>
  <c r="S274" i="5" s="1"/>
  <c r="T273" i="5"/>
  <c r="U273" i="5" s="1"/>
  <c r="Q276" i="5" l="1"/>
  <c r="R275" i="5"/>
  <c r="S275" i="5" s="1"/>
  <c r="Q277" i="5" l="1"/>
  <c r="T276" i="5" s="1"/>
  <c r="U276" i="5" s="1"/>
  <c r="R276" i="5"/>
  <c r="S276" i="5" s="1"/>
  <c r="T275" i="5"/>
  <c r="U275" i="5" s="1"/>
  <c r="Q278" i="5" l="1"/>
  <c r="R277" i="5"/>
  <c r="S277" i="5" s="1"/>
  <c r="Q279" i="5" l="1"/>
  <c r="T278" i="5" s="1"/>
  <c r="U278" i="5" s="1"/>
  <c r="R278" i="5"/>
  <c r="S278" i="5" s="1"/>
  <c r="T277" i="5"/>
  <c r="U277" i="5" s="1"/>
  <c r="Q280" i="5" l="1"/>
  <c r="R279" i="5"/>
  <c r="S279" i="5" s="1"/>
  <c r="Q281" i="5" l="1"/>
  <c r="T280" i="5" s="1"/>
  <c r="U280" i="5" s="1"/>
  <c r="R280" i="5"/>
  <c r="S280" i="5" s="1"/>
  <c r="T279" i="5"/>
  <c r="U279" i="5" s="1"/>
  <c r="Q282" i="5" l="1"/>
  <c r="R281" i="5"/>
  <c r="S281" i="5" s="1"/>
  <c r="Q283" i="5" l="1"/>
  <c r="T282" i="5" s="1"/>
  <c r="U282" i="5" s="1"/>
  <c r="R282" i="5"/>
  <c r="S282" i="5" s="1"/>
  <c r="T281" i="5"/>
  <c r="U281" i="5" s="1"/>
  <c r="Q284" i="5" l="1"/>
  <c r="R283" i="5"/>
  <c r="S283" i="5" s="1"/>
  <c r="Q285" i="5" l="1"/>
  <c r="T284" i="5" s="1"/>
  <c r="U284" i="5" s="1"/>
  <c r="R284" i="5"/>
  <c r="S284" i="5" s="1"/>
  <c r="T283" i="5"/>
  <c r="U283" i="5" s="1"/>
  <c r="Q286" i="5" l="1"/>
  <c r="R285" i="5"/>
  <c r="S285" i="5" s="1"/>
  <c r="Q287" i="5" l="1"/>
  <c r="T286" i="5" s="1"/>
  <c r="U286" i="5" s="1"/>
  <c r="R286" i="5"/>
  <c r="S286" i="5" s="1"/>
  <c r="T285" i="5"/>
  <c r="U285" i="5" s="1"/>
  <c r="Q288" i="5" l="1"/>
  <c r="R287" i="5"/>
  <c r="S287" i="5" s="1"/>
  <c r="Q289" i="5" l="1"/>
  <c r="T288" i="5" s="1"/>
  <c r="U288" i="5" s="1"/>
  <c r="R288" i="5"/>
  <c r="S288" i="5" s="1"/>
  <c r="T287" i="5"/>
  <c r="U287" i="5" s="1"/>
  <c r="Q290" i="5" l="1"/>
  <c r="R289" i="5"/>
  <c r="S289" i="5" s="1"/>
  <c r="Q291" i="5" l="1"/>
  <c r="T290" i="5" s="1"/>
  <c r="U290" i="5" s="1"/>
  <c r="R290" i="5"/>
  <c r="S290" i="5" s="1"/>
  <c r="T289" i="5"/>
  <c r="U289" i="5" s="1"/>
  <c r="Q292" i="5" l="1"/>
  <c r="R291" i="5"/>
  <c r="S291" i="5" s="1"/>
  <c r="Q293" i="5" l="1"/>
  <c r="T292" i="5" s="1"/>
  <c r="U292" i="5" s="1"/>
  <c r="R292" i="5"/>
  <c r="S292" i="5" s="1"/>
  <c r="T291" i="5"/>
  <c r="U291" i="5" s="1"/>
  <c r="Q294" i="5" l="1"/>
  <c r="R293" i="5"/>
  <c r="S293" i="5" s="1"/>
  <c r="Q295" i="5" l="1"/>
  <c r="T294" i="5" s="1"/>
  <c r="U294" i="5" s="1"/>
  <c r="R294" i="5"/>
  <c r="S294" i="5" s="1"/>
  <c r="T293" i="5"/>
  <c r="U293" i="5" s="1"/>
  <c r="Q296" i="5" l="1"/>
  <c r="R295" i="5"/>
  <c r="S295" i="5" s="1"/>
  <c r="Q297" i="5" l="1"/>
  <c r="T296" i="5" s="1"/>
  <c r="U296" i="5" s="1"/>
  <c r="R296" i="5"/>
  <c r="S296" i="5" s="1"/>
  <c r="T295" i="5"/>
  <c r="U295" i="5" s="1"/>
  <c r="Q298" i="5" l="1"/>
  <c r="R297" i="5"/>
  <c r="S297" i="5" s="1"/>
  <c r="Q299" i="5" l="1"/>
  <c r="T298" i="5" s="1"/>
  <c r="U298" i="5" s="1"/>
  <c r="R298" i="5"/>
  <c r="S298" i="5" s="1"/>
  <c r="T297" i="5"/>
  <c r="U297" i="5" s="1"/>
  <c r="Q300" i="5" l="1"/>
  <c r="R299" i="5"/>
  <c r="S299" i="5" s="1"/>
  <c r="Q301" i="5" l="1"/>
  <c r="T300" i="5" s="1"/>
  <c r="U300" i="5" s="1"/>
  <c r="R300" i="5"/>
  <c r="S300" i="5" s="1"/>
  <c r="T299" i="5"/>
  <c r="U299" i="5" s="1"/>
  <c r="Q302" i="5" l="1"/>
  <c r="R301" i="5"/>
  <c r="S301" i="5" s="1"/>
  <c r="Q303" i="5" l="1"/>
  <c r="T302" i="5" s="1"/>
  <c r="U302" i="5" s="1"/>
  <c r="R302" i="5"/>
  <c r="S302" i="5" s="1"/>
  <c r="T301" i="5"/>
  <c r="U301" i="5" s="1"/>
  <c r="Q304" i="5" l="1"/>
  <c r="R303" i="5"/>
  <c r="S303" i="5" s="1"/>
  <c r="Q305" i="5" l="1"/>
  <c r="T304" i="5" s="1"/>
  <c r="U304" i="5" s="1"/>
  <c r="R304" i="5"/>
  <c r="S304" i="5" s="1"/>
  <c r="T303" i="5"/>
  <c r="U303" i="5" s="1"/>
  <c r="Q306" i="5" l="1"/>
  <c r="R305" i="5"/>
  <c r="S305" i="5" s="1"/>
  <c r="Q307" i="5" l="1"/>
  <c r="T306" i="5" s="1"/>
  <c r="U306" i="5" s="1"/>
  <c r="R306" i="5"/>
  <c r="S306" i="5" s="1"/>
  <c r="T305" i="5"/>
  <c r="U305" i="5" s="1"/>
  <c r="Q308" i="5" l="1"/>
  <c r="R307" i="5"/>
  <c r="S307" i="5" s="1"/>
  <c r="Q309" i="5" l="1"/>
  <c r="R308" i="5"/>
  <c r="S308" i="5" s="1"/>
  <c r="T307" i="5"/>
  <c r="U307" i="5" s="1"/>
  <c r="Q310" i="5" l="1"/>
  <c r="T309" i="5" s="1"/>
  <c r="U309" i="5" s="1"/>
  <c r="R309" i="5"/>
  <c r="S309" i="5" s="1"/>
  <c r="T308" i="5"/>
  <c r="U308" i="5" s="1"/>
  <c r="Q311" i="5" l="1"/>
  <c r="R310" i="5"/>
  <c r="S310" i="5" s="1"/>
  <c r="Q312" i="5" l="1"/>
  <c r="T311" i="5" s="1"/>
  <c r="U311" i="5" s="1"/>
  <c r="R311" i="5"/>
  <c r="S311" i="5" s="1"/>
  <c r="T310" i="5"/>
  <c r="U310" i="5" s="1"/>
  <c r="Q313" i="5" l="1"/>
  <c r="R312" i="5"/>
  <c r="S312" i="5" s="1"/>
  <c r="Q314" i="5" l="1"/>
  <c r="T313" i="5" s="1"/>
  <c r="U313" i="5" s="1"/>
  <c r="R313" i="5"/>
  <c r="S313" i="5" s="1"/>
  <c r="T312" i="5"/>
  <c r="U312" i="5" s="1"/>
  <c r="Q315" i="5" l="1"/>
  <c r="R314" i="5"/>
  <c r="S314" i="5" s="1"/>
  <c r="Q316" i="5" l="1"/>
  <c r="T315" i="5" s="1"/>
  <c r="U315" i="5" s="1"/>
  <c r="R315" i="5"/>
  <c r="S315" i="5" s="1"/>
  <c r="T314" i="5"/>
  <c r="U314" i="5" s="1"/>
  <c r="Q317" i="5" l="1"/>
  <c r="R316" i="5"/>
  <c r="S316" i="5" s="1"/>
  <c r="Q318" i="5" l="1"/>
  <c r="T317" i="5" s="1"/>
  <c r="U317" i="5" s="1"/>
  <c r="R317" i="5"/>
  <c r="S317" i="5" s="1"/>
  <c r="T316" i="5"/>
  <c r="U316" i="5" s="1"/>
  <c r="Q319" i="5" l="1"/>
  <c r="R318" i="5"/>
  <c r="S318" i="5" s="1"/>
  <c r="Q320" i="5" l="1"/>
  <c r="T319" i="5" s="1"/>
  <c r="U319" i="5" s="1"/>
  <c r="R319" i="5"/>
  <c r="S319" i="5" s="1"/>
  <c r="T318" i="5"/>
  <c r="U318" i="5" s="1"/>
  <c r="Q321" i="5" l="1"/>
  <c r="R320" i="5"/>
  <c r="S320" i="5" s="1"/>
  <c r="Q322" i="5" l="1"/>
  <c r="T321" i="5" s="1"/>
  <c r="U321" i="5" s="1"/>
  <c r="R321" i="5"/>
  <c r="S321" i="5" s="1"/>
  <c r="T320" i="5"/>
  <c r="U320" i="5" s="1"/>
  <c r="Q323" i="5" l="1"/>
  <c r="R322" i="5"/>
  <c r="S322" i="5" s="1"/>
  <c r="Q324" i="5" l="1"/>
  <c r="T323" i="5" s="1"/>
  <c r="U323" i="5" s="1"/>
  <c r="R323" i="5"/>
  <c r="S323" i="5" s="1"/>
  <c r="T322" i="5"/>
  <c r="U322" i="5" s="1"/>
  <c r="Q325" i="5" l="1"/>
  <c r="R324" i="5"/>
  <c r="S324" i="5" s="1"/>
  <c r="Q326" i="5" l="1"/>
  <c r="T325" i="5" s="1"/>
  <c r="U325" i="5" s="1"/>
  <c r="R325" i="5"/>
  <c r="S325" i="5" s="1"/>
  <c r="T324" i="5"/>
  <c r="U324" i="5" s="1"/>
  <c r="Q327" i="5" l="1"/>
  <c r="R326" i="5"/>
  <c r="S326" i="5" s="1"/>
  <c r="Q328" i="5" l="1"/>
  <c r="T327" i="5" s="1"/>
  <c r="U327" i="5" s="1"/>
  <c r="R327" i="5"/>
  <c r="S327" i="5" s="1"/>
  <c r="T326" i="5"/>
  <c r="U326" i="5" s="1"/>
  <c r="Q329" i="5" l="1"/>
  <c r="R328" i="5"/>
  <c r="S328" i="5" s="1"/>
  <c r="Q330" i="5" l="1"/>
  <c r="T329" i="5" s="1"/>
  <c r="U329" i="5" s="1"/>
  <c r="R329" i="5"/>
  <c r="S329" i="5" s="1"/>
  <c r="T328" i="5"/>
  <c r="U328" i="5" s="1"/>
  <c r="Q331" i="5" l="1"/>
  <c r="R330" i="5"/>
  <c r="S330" i="5" s="1"/>
  <c r="Q332" i="5" l="1"/>
  <c r="T331" i="5" s="1"/>
  <c r="U331" i="5" s="1"/>
  <c r="R331" i="5"/>
  <c r="S331" i="5" s="1"/>
  <c r="T330" i="5"/>
  <c r="U330" i="5" s="1"/>
  <c r="Q333" i="5" l="1"/>
  <c r="R332" i="5"/>
  <c r="S332" i="5" s="1"/>
  <c r="Q334" i="5" l="1"/>
  <c r="T333" i="5" s="1"/>
  <c r="U333" i="5" s="1"/>
  <c r="R333" i="5"/>
  <c r="S333" i="5" s="1"/>
  <c r="T332" i="5"/>
  <c r="U332" i="5" s="1"/>
  <c r="Q335" i="5" l="1"/>
  <c r="R334" i="5"/>
  <c r="S334" i="5" s="1"/>
  <c r="Q336" i="5" l="1"/>
  <c r="T335" i="5" s="1"/>
  <c r="U335" i="5" s="1"/>
  <c r="R335" i="5"/>
  <c r="S335" i="5" s="1"/>
  <c r="T334" i="5"/>
  <c r="U334" i="5" s="1"/>
  <c r="Q337" i="5" l="1"/>
  <c r="R336" i="5"/>
  <c r="S336" i="5" s="1"/>
  <c r="Q338" i="5" l="1"/>
  <c r="R337" i="5"/>
  <c r="S337" i="5" s="1"/>
  <c r="T336" i="5"/>
  <c r="U336" i="5" s="1"/>
  <c r="Q339" i="5" l="1"/>
  <c r="T338" i="5" s="1"/>
  <c r="U338" i="5" s="1"/>
  <c r="R338" i="5"/>
  <c r="S338" i="5" s="1"/>
  <c r="T337" i="5"/>
  <c r="U337" i="5" s="1"/>
  <c r="T339" i="5" l="1"/>
  <c r="U339" i="5" s="1"/>
  <c r="Q340" i="5"/>
  <c r="R339" i="5"/>
  <c r="S339" i="5" s="1"/>
  <c r="Q341" i="5" l="1"/>
  <c r="T340" i="5" s="1"/>
  <c r="U340" i="5" s="1"/>
  <c r="R340" i="5"/>
  <c r="S340" i="5" s="1"/>
  <c r="Q342" i="5" l="1"/>
  <c r="R341" i="5"/>
  <c r="S341" i="5" s="1"/>
  <c r="Q343" i="5" l="1"/>
  <c r="T342" i="5" s="1"/>
  <c r="U342" i="5" s="1"/>
  <c r="R342" i="5"/>
  <c r="S342" i="5" s="1"/>
  <c r="T341" i="5"/>
  <c r="U341" i="5" s="1"/>
  <c r="Q344" i="5" l="1"/>
  <c r="R343" i="5"/>
  <c r="S343" i="5" s="1"/>
  <c r="Q345" i="5" l="1"/>
  <c r="T344" i="5" s="1"/>
  <c r="U344" i="5" s="1"/>
  <c r="R344" i="5"/>
  <c r="S344" i="5" s="1"/>
  <c r="T343" i="5"/>
  <c r="U343" i="5" s="1"/>
  <c r="Q346" i="5" l="1"/>
  <c r="R345" i="5"/>
  <c r="S345" i="5" s="1"/>
  <c r="Q347" i="5" l="1"/>
  <c r="T346" i="5" s="1"/>
  <c r="U346" i="5" s="1"/>
  <c r="R346" i="5"/>
  <c r="S346" i="5" s="1"/>
  <c r="T345" i="5"/>
  <c r="U345" i="5" s="1"/>
  <c r="Q348" i="5" l="1"/>
  <c r="R347" i="5"/>
  <c r="S347" i="5" s="1"/>
  <c r="Q349" i="5" l="1"/>
  <c r="T348" i="5" s="1"/>
  <c r="U348" i="5" s="1"/>
  <c r="R348" i="5"/>
  <c r="S348" i="5" s="1"/>
  <c r="T347" i="5"/>
  <c r="U347" i="5" s="1"/>
  <c r="Q350" i="5" l="1"/>
  <c r="R349" i="5"/>
  <c r="S349" i="5" s="1"/>
  <c r="Q351" i="5" l="1"/>
  <c r="T350" i="5" s="1"/>
  <c r="U350" i="5" s="1"/>
  <c r="R350" i="5"/>
  <c r="S350" i="5" s="1"/>
  <c r="T349" i="5"/>
  <c r="U349" i="5" s="1"/>
  <c r="Q352" i="5" l="1"/>
  <c r="R351" i="5"/>
  <c r="S351" i="5" s="1"/>
  <c r="Q353" i="5" l="1"/>
  <c r="T352" i="5" s="1"/>
  <c r="U352" i="5" s="1"/>
  <c r="R352" i="5"/>
  <c r="S352" i="5" s="1"/>
  <c r="T351" i="5"/>
  <c r="U351" i="5" s="1"/>
  <c r="Q354" i="5" l="1"/>
  <c r="R353" i="5"/>
  <c r="S353" i="5" s="1"/>
  <c r="Q355" i="5" l="1"/>
  <c r="T354" i="5" s="1"/>
  <c r="U354" i="5" s="1"/>
  <c r="R354" i="5"/>
  <c r="S354" i="5" s="1"/>
  <c r="T353" i="5"/>
  <c r="U353" i="5" s="1"/>
  <c r="Q356" i="5" l="1"/>
  <c r="R355" i="5"/>
  <c r="S355" i="5" s="1"/>
  <c r="Q357" i="5" l="1"/>
  <c r="T356" i="5" s="1"/>
  <c r="U356" i="5" s="1"/>
  <c r="R356" i="5"/>
  <c r="S356" i="5" s="1"/>
  <c r="T355" i="5"/>
  <c r="U355" i="5" s="1"/>
  <c r="Q358" i="5" l="1"/>
  <c r="R357" i="5"/>
  <c r="S357" i="5" s="1"/>
  <c r="Q359" i="5" l="1"/>
  <c r="T358" i="5" s="1"/>
  <c r="U358" i="5" s="1"/>
  <c r="R358" i="5"/>
  <c r="S358" i="5" s="1"/>
  <c r="T357" i="5"/>
  <c r="U357" i="5" s="1"/>
  <c r="Q360" i="5" l="1"/>
  <c r="R359" i="5"/>
  <c r="S359" i="5" s="1"/>
  <c r="Q361" i="5" l="1"/>
  <c r="T360" i="5" s="1"/>
  <c r="U360" i="5" s="1"/>
  <c r="R360" i="5"/>
  <c r="S360" i="5" s="1"/>
  <c r="T359" i="5"/>
  <c r="U359" i="5" s="1"/>
  <c r="Q362" i="5" l="1"/>
  <c r="R361" i="5"/>
  <c r="S361" i="5" s="1"/>
  <c r="Q363" i="5" l="1"/>
  <c r="T362" i="5" s="1"/>
  <c r="U362" i="5" s="1"/>
  <c r="R362" i="5"/>
  <c r="S362" i="5" s="1"/>
  <c r="T361" i="5"/>
  <c r="U361" i="5" s="1"/>
  <c r="Q364" i="5" l="1"/>
  <c r="R363" i="5"/>
  <c r="S363" i="5" s="1"/>
  <c r="Q365" i="5" l="1"/>
  <c r="T364" i="5"/>
  <c r="U364" i="5" s="1"/>
  <c r="R364" i="5"/>
  <c r="S364" i="5" s="1"/>
  <c r="T363" i="5"/>
  <c r="U363" i="5" s="1"/>
  <c r="Q366" i="5" l="1"/>
  <c r="R365" i="5"/>
  <c r="S365" i="5" s="1"/>
  <c r="Q367" i="5" l="1"/>
  <c r="T366" i="5"/>
  <c r="U366" i="5" s="1"/>
  <c r="R366" i="5"/>
  <c r="S366" i="5" s="1"/>
  <c r="T365" i="5"/>
  <c r="U365" i="5" s="1"/>
  <c r="Q368" i="5" l="1"/>
  <c r="R367" i="5"/>
  <c r="S367" i="5" s="1"/>
  <c r="Q369" i="5" l="1"/>
  <c r="T368" i="5"/>
  <c r="U368" i="5" s="1"/>
  <c r="R368" i="5"/>
  <c r="S368" i="5" s="1"/>
  <c r="T367" i="5"/>
  <c r="U367" i="5" s="1"/>
  <c r="Q370" i="5" l="1"/>
  <c r="R369" i="5"/>
  <c r="S369" i="5" s="1"/>
  <c r="Q371" i="5" l="1"/>
  <c r="T370" i="5"/>
  <c r="U370" i="5" s="1"/>
  <c r="R370" i="5"/>
  <c r="S370" i="5" s="1"/>
  <c r="T369" i="5"/>
  <c r="U369" i="5" s="1"/>
  <c r="Q372" i="5" l="1"/>
  <c r="R371" i="5"/>
  <c r="S371" i="5" s="1"/>
  <c r="Q373" i="5" l="1"/>
  <c r="T372" i="5"/>
  <c r="U372" i="5" s="1"/>
  <c r="R372" i="5"/>
  <c r="S372" i="5" s="1"/>
  <c r="T371" i="5"/>
  <c r="U371" i="5" s="1"/>
  <c r="Q374" i="5" l="1"/>
  <c r="R373" i="5"/>
  <c r="S373" i="5" s="1"/>
  <c r="Q375" i="5" l="1"/>
  <c r="T374" i="5"/>
  <c r="U374" i="5" s="1"/>
  <c r="R374" i="5"/>
  <c r="S374" i="5" s="1"/>
  <c r="T373" i="5"/>
  <c r="U373" i="5" s="1"/>
  <c r="Q376" i="5" l="1"/>
  <c r="R375" i="5"/>
  <c r="S375" i="5" s="1"/>
  <c r="Q377" i="5" l="1"/>
  <c r="T376" i="5"/>
  <c r="U376" i="5" s="1"/>
  <c r="R376" i="5"/>
  <c r="S376" i="5" s="1"/>
  <c r="T375" i="5"/>
  <c r="U375" i="5" s="1"/>
  <c r="Q378" i="5" l="1"/>
  <c r="R377" i="5"/>
  <c r="S377" i="5" s="1"/>
  <c r="Q379" i="5" l="1"/>
  <c r="T378" i="5"/>
  <c r="U378" i="5" s="1"/>
  <c r="R378" i="5"/>
  <c r="S378" i="5" s="1"/>
  <c r="T377" i="5"/>
  <c r="U377" i="5" s="1"/>
  <c r="Q380" i="5" l="1"/>
  <c r="R379" i="5"/>
  <c r="S379" i="5" s="1"/>
  <c r="Q381" i="5" l="1"/>
  <c r="T380" i="5"/>
  <c r="U380" i="5" s="1"/>
  <c r="R380" i="5"/>
  <c r="S380" i="5" s="1"/>
  <c r="T379" i="5"/>
  <c r="U379" i="5" s="1"/>
  <c r="Q382" i="5" l="1"/>
  <c r="R381" i="5"/>
  <c r="S381" i="5" s="1"/>
  <c r="Q383" i="5" l="1"/>
  <c r="T382" i="5"/>
  <c r="U382" i="5" s="1"/>
  <c r="R382" i="5"/>
  <c r="S382" i="5" s="1"/>
  <c r="T381" i="5"/>
  <c r="U381" i="5" s="1"/>
  <c r="Q384" i="5" l="1"/>
  <c r="R383" i="5"/>
  <c r="S383" i="5" s="1"/>
  <c r="Q385" i="5" l="1"/>
  <c r="T384" i="5"/>
  <c r="U384" i="5" s="1"/>
  <c r="R384" i="5"/>
  <c r="S384" i="5" s="1"/>
  <c r="T383" i="5"/>
  <c r="U383" i="5" s="1"/>
  <c r="Q386" i="5" l="1"/>
  <c r="R385" i="5"/>
  <c r="S385" i="5" s="1"/>
  <c r="Q387" i="5" l="1"/>
  <c r="T386" i="5"/>
  <c r="U386" i="5" s="1"/>
  <c r="R386" i="5"/>
  <c r="S386" i="5" s="1"/>
  <c r="T385" i="5"/>
  <c r="U385" i="5" s="1"/>
  <c r="Q388" i="5" l="1"/>
  <c r="R387" i="5"/>
  <c r="S387" i="5" s="1"/>
  <c r="Q389" i="5" l="1"/>
  <c r="T388" i="5"/>
  <c r="U388" i="5" s="1"/>
  <c r="R388" i="5"/>
  <c r="S388" i="5" s="1"/>
  <c r="T387" i="5"/>
  <c r="U387" i="5" s="1"/>
  <c r="Q390" i="5" l="1"/>
  <c r="R389" i="5"/>
  <c r="S389" i="5" s="1"/>
  <c r="Q391" i="5" l="1"/>
  <c r="T390" i="5"/>
  <c r="U390" i="5" s="1"/>
  <c r="R390" i="5"/>
  <c r="S390" i="5" s="1"/>
  <c r="T389" i="5"/>
  <c r="U389" i="5" s="1"/>
  <c r="Q392" i="5" l="1"/>
  <c r="R391" i="5"/>
  <c r="S391" i="5" s="1"/>
  <c r="Q393" i="5" l="1"/>
  <c r="T392" i="5"/>
  <c r="U392" i="5" s="1"/>
  <c r="R392" i="5"/>
  <c r="S392" i="5" s="1"/>
  <c r="T391" i="5"/>
  <c r="U391" i="5" s="1"/>
  <c r="Q394" i="5" l="1"/>
  <c r="R393" i="5"/>
  <c r="S393" i="5" s="1"/>
  <c r="Q395" i="5" l="1"/>
  <c r="T394" i="5"/>
  <c r="U394" i="5" s="1"/>
  <c r="R394" i="5"/>
  <c r="S394" i="5" s="1"/>
  <c r="T393" i="5"/>
  <c r="U393" i="5" s="1"/>
  <c r="Q396" i="5" l="1"/>
  <c r="R395" i="5"/>
  <c r="S395" i="5" s="1"/>
  <c r="Q397" i="5" l="1"/>
  <c r="T396" i="5"/>
  <c r="U396" i="5" s="1"/>
  <c r="R396" i="5"/>
  <c r="S396" i="5" s="1"/>
  <c r="T395" i="5"/>
  <c r="U395" i="5" s="1"/>
  <c r="Q398" i="5" l="1"/>
  <c r="R397" i="5"/>
  <c r="S397" i="5" s="1"/>
  <c r="Q399" i="5" l="1"/>
  <c r="T398" i="5"/>
  <c r="U398" i="5" s="1"/>
  <c r="R398" i="5"/>
  <c r="S398" i="5" s="1"/>
  <c r="T397" i="5"/>
  <c r="U397" i="5" s="1"/>
  <c r="Q400" i="5" l="1"/>
  <c r="R399" i="5"/>
  <c r="S399" i="5" s="1"/>
  <c r="Q401" i="5" l="1"/>
  <c r="T400" i="5"/>
  <c r="U400" i="5" s="1"/>
  <c r="R400" i="5"/>
  <c r="S400" i="5" s="1"/>
  <c r="T399" i="5"/>
  <c r="U399" i="5" s="1"/>
  <c r="Q402" i="5" l="1"/>
  <c r="R401" i="5"/>
  <c r="S401" i="5" s="1"/>
  <c r="Q403" i="5" l="1"/>
  <c r="T402" i="5" s="1"/>
  <c r="U402" i="5" s="1"/>
  <c r="R402" i="5"/>
  <c r="S402" i="5" s="1"/>
  <c r="T401" i="5"/>
  <c r="U401" i="5" s="1"/>
  <c r="Q404" i="5" l="1"/>
  <c r="R403" i="5"/>
  <c r="S403" i="5" s="1"/>
  <c r="Q405" i="5" l="1"/>
  <c r="T404" i="5" s="1"/>
  <c r="U404" i="5" s="1"/>
  <c r="R404" i="5"/>
  <c r="S404" i="5" s="1"/>
  <c r="T403" i="5"/>
  <c r="U403" i="5" s="1"/>
  <c r="Q406" i="5" l="1"/>
  <c r="R405" i="5"/>
  <c r="S405" i="5" s="1"/>
  <c r="Q407" i="5" l="1"/>
  <c r="T406" i="5" s="1"/>
  <c r="U406" i="5" s="1"/>
  <c r="R406" i="5"/>
  <c r="S406" i="5" s="1"/>
  <c r="T405" i="5"/>
  <c r="U405" i="5" s="1"/>
  <c r="Q408" i="5" l="1"/>
  <c r="R407" i="5"/>
  <c r="S407" i="5" s="1"/>
  <c r="Q409" i="5" l="1"/>
  <c r="T408" i="5"/>
  <c r="U408" i="5" s="1"/>
  <c r="R408" i="5"/>
  <c r="S408" i="5" s="1"/>
  <c r="T407" i="5"/>
  <c r="U407" i="5" s="1"/>
  <c r="Q410" i="5" l="1"/>
  <c r="R409" i="5"/>
  <c r="S409" i="5" s="1"/>
  <c r="Q411" i="5" l="1"/>
  <c r="T410" i="5" s="1"/>
  <c r="U410" i="5" s="1"/>
  <c r="R410" i="5"/>
  <c r="S410" i="5" s="1"/>
  <c r="T409" i="5"/>
  <c r="U409" i="5" s="1"/>
  <c r="Q412" i="5" l="1"/>
  <c r="R411" i="5"/>
  <c r="S411" i="5" s="1"/>
  <c r="Q413" i="5" l="1"/>
  <c r="T412" i="5" s="1"/>
  <c r="U412" i="5" s="1"/>
  <c r="R412" i="5"/>
  <c r="S412" i="5" s="1"/>
  <c r="T411" i="5"/>
  <c r="U411" i="5" s="1"/>
  <c r="Q414" i="5" l="1"/>
  <c r="R413" i="5"/>
  <c r="S413" i="5" s="1"/>
  <c r="Q415" i="5" l="1"/>
  <c r="T414" i="5" s="1"/>
  <c r="U414" i="5" s="1"/>
  <c r="R414" i="5"/>
  <c r="S414" i="5" s="1"/>
  <c r="T413" i="5"/>
  <c r="U413" i="5" s="1"/>
  <c r="Q416" i="5" l="1"/>
  <c r="R415" i="5"/>
  <c r="S415" i="5" s="1"/>
  <c r="Q417" i="5" l="1"/>
  <c r="T416" i="5" s="1"/>
  <c r="U416" i="5" s="1"/>
  <c r="R416" i="5"/>
  <c r="S416" i="5" s="1"/>
  <c r="T415" i="5"/>
  <c r="U415" i="5" s="1"/>
  <c r="Q418" i="5" l="1"/>
  <c r="R417" i="5"/>
  <c r="S417" i="5" s="1"/>
  <c r="Q419" i="5" l="1"/>
  <c r="T418" i="5" s="1"/>
  <c r="U418" i="5" s="1"/>
  <c r="R418" i="5"/>
  <c r="S418" i="5" s="1"/>
  <c r="T417" i="5"/>
  <c r="U417" i="5" s="1"/>
  <c r="Q420" i="5" l="1"/>
  <c r="R419" i="5"/>
  <c r="S419" i="5" s="1"/>
  <c r="Q421" i="5" l="1"/>
  <c r="T420" i="5" s="1"/>
  <c r="U420" i="5" s="1"/>
  <c r="R420" i="5"/>
  <c r="S420" i="5" s="1"/>
  <c r="T419" i="5"/>
  <c r="U419" i="5" s="1"/>
  <c r="Q422" i="5" l="1"/>
  <c r="R421" i="5"/>
  <c r="S421" i="5" s="1"/>
  <c r="Q423" i="5" l="1"/>
  <c r="T422" i="5" s="1"/>
  <c r="U422" i="5" s="1"/>
  <c r="R422" i="5"/>
  <c r="S422" i="5" s="1"/>
  <c r="T421" i="5"/>
  <c r="U421" i="5" s="1"/>
  <c r="Q424" i="5" l="1"/>
  <c r="R423" i="5"/>
  <c r="S423" i="5" s="1"/>
  <c r="Q425" i="5" l="1"/>
  <c r="T424" i="5" s="1"/>
  <c r="U424" i="5" s="1"/>
  <c r="R424" i="5"/>
  <c r="S424" i="5" s="1"/>
  <c r="T423" i="5"/>
  <c r="U423" i="5" s="1"/>
  <c r="Q426" i="5" l="1"/>
  <c r="R425" i="5"/>
  <c r="S425" i="5" s="1"/>
  <c r="Q427" i="5" l="1"/>
  <c r="T426" i="5" s="1"/>
  <c r="U426" i="5" s="1"/>
  <c r="R426" i="5"/>
  <c r="S426" i="5" s="1"/>
  <c r="T425" i="5"/>
  <c r="U425" i="5" s="1"/>
  <c r="Q428" i="5" l="1"/>
  <c r="R427" i="5"/>
  <c r="S427" i="5" s="1"/>
  <c r="Q429" i="5" l="1"/>
  <c r="T428" i="5" s="1"/>
  <c r="U428" i="5" s="1"/>
  <c r="R428" i="5"/>
  <c r="S428" i="5" s="1"/>
  <c r="T427" i="5"/>
  <c r="U427" i="5" s="1"/>
  <c r="Q430" i="5" l="1"/>
  <c r="R429" i="5"/>
  <c r="S429" i="5" s="1"/>
  <c r="Q431" i="5" l="1"/>
  <c r="T430" i="5" s="1"/>
  <c r="U430" i="5" s="1"/>
  <c r="R430" i="5"/>
  <c r="S430" i="5" s="1"/>
  <c r="T429" i="5"/>
  <c r="U429" i="5" s="1"/>
  <c r="Q432" i="5" l="1"/>
  <c r="R431" i="5"/>
  <c r="S431" i="5" s="1"/>
  <c r="Q433" i="5" l="1"/>
  <c r="T432" i="5" s="1"/>
  <c r="U432" i="5" s="1"/>
  <c r="R432" i="5"/>
  <c r="S432" i="5" s="1"/>
  <c r="T431" i="5"/>
  <c r="U431" i="5" s="1"/>
  <c r="Q434" i="5" l="1"/>
  <c r="R433" i="5"/>
  <c r="S433" i="5" s="1"/>
  <c r="Q435" i="5" l="1"/>
  <c r="T434" i="5" s="1"/>
  <c r="U434" i="5" s="1"/>
  <c r="R434" i="5"/>
  <c r="S434" i="5" s="1"/>
  <c r="T433" i="5"/>
  <c r="U433" i="5" s="1"/>
  <c r="Q436" i="5" l="1"/>
  <c r="R435" i="5"/>
  <c r="S435" i="5" s="1"/>
  <c r="Q437" i="5" l="1"/>
  <c r="T436" i="5" s="1"/>
  <c r="U436" i="5" s="1"/>
  <c r="R436" i="5"/>
  <c r="S436" i="5" s="1"/>
  <c r="T435" i="5"/>
  <c r="U435" i="5" s="1"/>
  <c r="Q438" i="5" l="1"/>
  <c r="R437" i="5"/>
  <c r="S437" i="5" s="1"/>
  <c r="Q439" i="5" l="1"/>
  <c r="T438" i="5" s="1"/>
  <c r="U438" i="5" s="1"/>
  <c r="R438" i="5"/>
  <c r="S438" i="5" s="1"/>
  <c r="T437" i="5"/>
  <c r="U437" i="5" s="1"/>
  <c r="Q440" i="5" l="1"/>
  <c r="R439" i="5"/>
  <c r="S439" i="5" s="1"/>
  <c r="Q441" i="5" l="1"/>
  <c r="T440" i="5" s="1"/>
  <c r="U440" i="5" s="1"/>
  <c r="R440" i="5"/>
  <c r="S440" i="5" s="1"/>
  <c r="T439" i="5"/>
  <c r="U439" i="5" s="1"/>
  <c r="Q442" i="5" l="1"/>
  <c r="R441" i="5"/>
  <c r="S441" i="5" s="1"/>
  <c r="Q443" i="5" l="1"/>
  <c r="T442" i="5" s="1"/>
  <c r="U442" i="5" s="1"/>
  <c r="R442" i="5"/>
  <c r="S442" i="5" s="1"/>
  <c r="T441" i="5"/>
  <c r="U441" i="5" s="1"/>
  <c r="Q444" i="5" l="1"/>
  <c r="R443" i="5"/>
  <c r="S443" i="5" s="1"/>
  <c r="Q445" i="5" l="1"/>
  <c r="T444" i="5" s="1"/>
  <c r="U444" i="5" s="1"/>
  <c r="R444" i="5"/>
  <c r="S444" i="5" s="1"/>
  <c r="T443" i="5"/>
  <c r="U443" i="5" s="1"/>
  <c r="Q446" i="5" l="1"/>
  <c r="R445" i="5"/>
  <c r="S445" i="5" s="1"/>
  <c r="Q447" i="5" l="1"/>
  <c r="T446" i="5" s="1"/>
  <c r="U446" i="5" s="1"/>
  <c r="R446" i="5"/>
  <c r="S446" i="5" s="1"/>
  <c r="T445" i="5"/>
  <c r="U445" i="5" s="1"/>
  <c r="Q448" i="5" l="1"/>
  <c r="R447" i="5"/>
  <c r="S447" i="5" s="1"/>
  <c r="Q449" i="5" l="1"/>
  <c r="T448" i="5"/>
  <c r="U448" i="5" s="1"/>
  <c r="R448" i="5"/>
  <c r="S448" i="5" s="1"/>
  <c r="T447" i="5"/>
  <c r="U447" i="5" s="1"/>
  <c r="Q450" i="5" l="1"/>
  <c r="T449" i="5" s="1"/>
  <c r="U449" i="5" s="1"/>
  <c r="R449" i="5"/>
  <c r="S449" i="5" s="1"/>
  <c r="T450" i="5" l="1"/>
  <c r="U450" i="5" s="1"/>
  <c r="Q451" i="5"/>
  <c r="R450" i="5"/>
  <c r="S450" i="5" s="1"/>
  <c r="Q452" i="5" l="1"/>
  <c r="T451" i="5" s="1"/>
  <c r="U451" i="5" s="1"/>
  <c r="R451" i="5"/>
  <c r="S451" i="5" s="1"/>
  <c r="Q453" i="5" l="1"/>
  <c r="R452" i="5"/>
  <c r="S452" i="5" s="1"/>
  <c r="Q454" i="5" l="1"/>
  <c r="T453" i="5" s="1"/>
  <c r="U453" i="5" s="1"/>
  <c r="R453" i="5"/>
  <c r="S453" i="5" s="1"/>
  <c r="T452" i="5"/>
  <c r="U452" i="5" s="1"/>
  <c r="Q455" i="5" l="1"/>
  <c r="R454" i="5"/>
  <c r="S454" i="5" s="1"/>
  <c r="Q456" i="5" l="1"/>
  <c r="T455" i="5" s="1"/>
  <c r="U455" i="5" s="1"/>
  <c r="R455" i="5"/>
  <c r="S455" i="5" s="1"/>
  <c r="T454" i="5"/>
  <c r="U454" i="5" s="1"/>
  <c r="T456" i="5" l="1"/>
  <c r="U456" i="5" s="1"/>
  <c r="Q457" i="5"/>
  <c r="R456" i="5"/>
  <c r="S456" i="5" s="1"/>
  <c r="Q458" i="5" l="1"/>
  <c r="T457" i="5" s="1"/>
  <c r="U457" i="5" s="1"/>
  <c r="R457" i="5"/>
  <c r="S457" i="5" s="1"/>
  <c r="Q459" i="5" l="1"/>
  <c r="R458" i="5"/>
  <c r="S458" i="5" s="1"/>
  <c r="Q460" i="5" l="1"/>
  <c r="T459" i="5" s="1"/>
  <c r="U459" i="5" s="1"/>
  <c r="R459" i="5"/>
  <c r="S459" i="5" s="1"/>
  <c r="T458" i="5"/>
  <c r="U458" i="5" s="1"/>
  <c r="Q461" i="5" l="1"/>
  <c r="R460" i="5"/>
  <c r="S460" i="5" s="1"/>
  <c r="Q462" i="5" l="1"/>
  <c r="T461" i="5" s="1"/>
  <c r="U461" i="5" s="1"/>
  <c r="R461" i="5"/>
  <c r="S461" i="5" s="1"/>
  <c r="T460" i="5"/>
  <c r="U460" i="5" s="1"/>
  <c r="T462" i="5" l="1"/>
  <c r="U462" i="5" s="1"/>
  <c r="Q463" i="5"/>
  <c r="R462" i="5"/>
  <c r="S462" i="5" s="1"/>
  <c r="Q464" i="5" l="1"/>
  <c r="T463" i="5" s="1"/>
  <c r="U463" i="5" s="1"/>
  <c r="R463" i="5"/>
  <c r="S463" i="5" s="1"/>
  <c r="T464" i="5" l="1"/>
  <c r="U464" i="5" s="1"/>
  <c r="Q465" i="5"/>
  <c r="R464" i="5"/>
  <c r="S464" i="5" s="1"/>
  <c r="Q466" i="5" l="1"/>
  <c r="T465" i="5" s="1"/>
  <c r="U465" i="5" s="1"/>
  <c r="R465" i="5"/>
  <c r="S465" i="5" s="1"/>
  <c r="Q467" i="5" l="1"/>
  <c r="R466" i="5"/>
  <c r="S466" i="5" s="1"/>
  <c r="Q468" i="5" l="1"/>
  <c r="T467" i="5" s="1"/>
  <c r="U467" i="5" s="1"/>
  <c r="R467" i="5"/>
  <c r="S467" i="5" s="1"/>
  <c r="T466" i="5"/>
  <c r="U466" i="5" s="1"/>
  <c r="Q469" i="5" l="1"/>
  <c r="R468" i="5"/>
  <c r="S468" i="5" s="1"/>
  <c r="Q470" i="5" l="1"/>
  <c r="T469" i="5" s="1"/>
  <c r="U469" i="5" s="1"/>
  <c r="R469" i="5"/>
  <c r="S469" i="5" s="1"/>
  <c r="T468" i="5"/>
  <c r="U468" i="5" s="1"/>
  <c r="Q471" i="5" l="1"/>
  <c r="R470" i="5"/>
  <c r="S470" i="5" s="1"/>
  <c r="Q472" i="5" l="1"/>
  <c r="T471" i="5" s="1"/>
  <c r="U471" i="5" s="1"/>
  <c r="R471" i="5"/>
  <c r="S471" i="5" s="1"/>
  <c r="T470" i="5"/>
  <c r="U470" i="5" s="1"/>
  <c r="Q473" i="5" l="1"/>
  <c r="R472" i="5"/>
  <c r="S472" i="5" s="1"/>
  <c r="Q474" i="5" l="1"/>
  <c r="T473" i="5" s="1"/>
  <c r="U473" i="5" s="1"/>
  <c r="R473" i="5"/>
  <c r="S473" i="5" s="1"/>
  <c r="T472" i="5"/>
  <c r="U472" i="5" s="1"/>
  <c r="Q475" i="5" l="1"/>
  <c r="R474" i="5"/>
  <c r="S474" i="5" s="1"/>
  <c r="Q476" i="5" l="1"/>
  <c r="T475" i="5" s="1"/>
  <c r="U475" i="5" s="1"/>
  <c r="R475" i="5"/>
  <c r="S475" i="5" s="1"/>
  <c r="T474" i="5"/>
  <c r="U474" i="5" s="1"/>
  <c r="T476" i="5" l="1"/>
  <c r="U476" i="5" s="1"/>
  <c r="Q477" i="5"/>
  <c r="R476" i="5"/>
  <c r="S476" i="5" s="1"/>
  <c r="Q478" i="5" l="1"/>
  <c r="T477" i="5" s="1"/>
  <c r="U477" i="5" s="1"/>
  <c r="R477" i="5"/>
  <c r="S477" i="5" s="1"/>
  <c r="Q479" i="5" l="1"/>
  <c r="R478" i="5"/>
  <c r="S478" i="5" s="1"/>
  <c r="Q480" i="5" l="1"/>
  <c r="R479" i="5"/>
  <c r="S479" i="5" s="1"/>
  <c r="T478" i="5"/>
  <c r="U478" i="5" s="1"/>
  <c r="Q481" i="5" l="1"/>
  <c r="T480" i="5" s="1"/>
  <c r="U480" i="5" s="1"/>
  <c r="R480" i="5"/>
  <c r="S480" i="5" s="1"/>
  <c r="T479" i="5"/>
  <c r="U479" i="5" s="1"/>
  <c r="T481" i="5" l="1"/>
  <c r="U481" i="5" s="1"/>
  <c r="Q482" i="5"/>
  <c r="R481" i="5"/>
  <c r="S481" i="5" s="1"/>
  <c r="Q483" i="5" l="1"/>
  <c r="T482" i="5" s="1"/>
  <c r="U482" i="5" s="1"/>
  <c r="R482" i="5"/>
  <c r="S482" i="5" s="1"/>
  <c r="T483" i="5" l="1"/>
  <c r="U483" i="5" s="1"/>
  <c r="Q484" i="5"/>
  <c r="R483" i="5"/>
  <c r="S483" i="5" s="1"/>
  <c r="Q485" i="5" l="1"/>
  <c r="T484" i="5" s="1"/>
  <c r="U484" i="5" s="1"/>
  <c r="R484" i="5"/>
  <c r="S484" i="5" s="1"/>
  <c r="Q486" i="5" l="1"/>
  <c r="R485" i="5"/>
  <c r="S485" i="5" s="1"/>
  <c r="Q487" i="5" l="1"/>
  <c r="T486" i="5" s="1"/>
  <c r="U486" i="5" s="1"/>
  <c r="R486" i="5"/>
  <c r="S486" i="5" s="1"/>
  <c r="T485" i="5"/>
  <c r="U485" i="5" s="1"/>
  <c r="Q488" i="5" l="1"/>
  <c r="R487" i="5"/>
  <c r="S487" i="5" s="1"/>
  <c r="Q489" i="5" l="1"/>
  <c r="R488" i="5"/>
  <c r="S488" i="5" s="1"/>
  <c r="T487" i="5"/>
  <c r="U487" i="5" s="1"/>
  <c r="Q490" i="5" l="1"/>
  <c r="R489" i="5"/>
  <c r="S489" i="5" s="1"/>
  <c r="T488" i="5"/>
  <c r="U488" i="5" s="1"/>
  <c r="Q491" i="5" l="1"/>
  <c r="T490" i="5" s="1"/>
  <c r="U490" i="5" s="1"/>
  <c r="R490" i="5"/>
  <c r="S490" i="5" s="1"/>
  <c r="T489" i="5"/>
  <c r="U489" i="5" s="1"/>
  <c r="Q492" i="5" l="1"/>
  <c r="R491" i="5"/>
  <c r="S491" i="5" s="1"/>
  <c r="Q493" i="5" l="1"/>
  <c r="T492" i="5" s="1"/>
  <c r="U492" i="5" s="1"/>
  <c r="R492" i="5"/>
  <c r="S492" i="5" s="1"/>
  <c r="T491" i="5"/>
  <c r="U491" i="5" s="1"/>
  <c r="Q494" i="5" l="1"/>
  <c r="R493" i="5"/>
  <c r="S493" i="5" s="1"/>
  <c r="Q495" i="5" l="1"/>
  <c r="T494" i="5" s="1"/>
  <c r="U494" i="5" s="1"/>
  <c r="R494" i="5"/>
  <c r="S494" i="5" s="1"/>
  <c r="T493" i="5"/>
  <c r="U493" i="5" s="1"/>
  <c r="Q496" i="5" l="1"/>
  <c r="R495" i="5"/>
  <c r="S495" i="5" s="1"/>
  <c r="Q497" i="5" l="1"/>
  <c r="T496" i="5" s="1"/>
  <c r="U496" i="5" s="1"/>
  <c r="R496" i="5"/>
  <c r="S496" i="5" s="1"/>
  <c r="T495" i="5"/>
  <c r="U495" i="5" s="1"/>
  <c r="T497" i="5" l="1"/>
  <c r="U497" i="5" s="1"/>
  <c r="Q498" i="5"/>
  <c r="R497" i="5"/>
  <c r="S497" i="5" s="1"/>
  <c r="Q499" i="5" l="1"/>
  <c r="T498" i="5" s="1"/>
  <c r="U498" i="5" s="1"/>
  <c r="R498" i="5"/>
  <c r="S498" i="5" s="1"/>
  <c r="Q500" i="5" l="1"/>
  <c r="R499" i="5"/>
  <c r="S499" i="5" s="1"/>
  <c r="Q501" i="5" l="1"/>
  <c r="T500" i="5" s="1"/>
  <c r="U500" i="5" s="1"/>
  <c r="R500" i="5"/>
  <c r="S500" i="5" s="1"/>
  <c r="T499" i="5"/>
  <c r="U499" i="5" s="1"/>
  <c r="Q502" i="5" l="1"/>
  <c r="R501" i="5"/>
  <c r="S501" i="5" s="1"/>
  <c r="Q503" i="5" l="1"/>
  <c r="T502" i="5" s="1"/>
  <c r="U502" i="5" s="1"/>
  <c r="R502" i="5"/>
  <c r="S502" i="5" s="1"/>
  <c r="T501" i="5"/>
  <c r="U501" i="5" s="1"/>
  <c r="T503" i="5" l="1"/>
  <c r="U503" i="5" s="1"/>
  <c r="Q504" i="5"/>
  <c r="R503" i="5"/>
  <c r="S503" i="5" s="1"/>
  <c r="Q505" i="5" l="1"/>
  <c r="T504" i="5" s="1"/>
  <c r="U504" i="5" s="1"/>
  <c r="R504" i="5"/>
  <c r="S504" i="5" s="1"/>
  <c r="T505" i="5" l="1"/>
  <c r="U505" i="5" s="1"/>
  <c r="Q506" i="5"/>
  <c r="R505" i="5"/>
  <c r="S505" i="5" s="1"/>
  <c r="Q507" i="5" l="1"/>
  <c r="T506" i="5" s="1"/>
  <c r="U506" i="5" s="1"/>
  <c r="R506" i="5"/>
  <c r="S506" i="5" s="1"/>
  <c r="Q508" i="5" l="1"/>
  <c r="R507" i="5"/>
  <c r="S507" i="5" s="1"/>
  <c r="Q509" i="5" l="1"/>
  <c r="T508" i="5" s="1"/>
  <c r="U508" i="5" s="1"/>
  <c r="R508" i="5"/>
  <c r="S508" i="5" s="1"/>
  <c r="T507" i="5"/>
  <c r="U507" i="5" s="1"/>
  <c r="Q510" i="5" l="1"/>
  <c r="R509" i="5"/>
  <c r="S509" i="5" s="1"/>
  <c r="Q511" i="5" l="1"/>
  <c r="R510" i="5"/>
  <c r="S510" i="5" s="1"/>
  <c r="T509" i="5"/>
  <c r="U509" i="5" s="1"/>
  <c r="Q512" i="5" l="1"/>
  <c r="R511" i="5"/>
  <c r="S511" i="5" s="1"/>
  <c r="T510" i="5"/>
  <c r="U510" i="5" s="1"/>
  <c r="Q513" i="5" l="1"/>
  <c r="T512" i="5" s="1"/>
  <c r="U512" i="5" s="1"/>
  <c r="R512" i="5"/>
  <c r="S512" i="5" s="1"/>
  <c r="T511" i="5"/>
  <c r="U511" i="5" s="1"/>
  <c r="Q514" i="5" l="1"/>
  <c r="R513" i="5"/>
  <c r="S513" i="5" s="1"/>
  <c r="Q515" i="5" l="1"/>
  <c r="T514" i="5" s="1"/>
  <c r="U514" i="5" s="1"/>
  <c r="R514" i="5"/>
  <c r="S514" i="5" s="1"/>
  <c r="T513" i="5"/>
  <c r="U513" i="5" s="1"/>
  <c r="T515" i="5" l="1"/>
  <c r="U515" i="5" s="1"/>
  <c r="Q516" i="5"/>
  <c r="R515" i="5"/>
  <c r="S515" i="5" s="1"/>
  <c r="Q517" i="5" l="1"/>
  <c r="T516" i="5" s="1"/>
  <c r="U516" i="5" s="1"/>
  <c r="R516" i="5"/>
  <c r="S516" i="5" s="1"/>
  <c r="T517" i="5" l="1"/>
  <c r="U517" i="5" s="1"/>
  <c r="Q518" i="5"/>
  <c r="R517" i="5"/>
  <c r="S517" i="5" s="1"/>
  <c r="Q519" i="5" l="1"/>
  <c r="T518" i="5" s="1"/>
  <c r="U518" i="5" s="1"/>
  <c r="R518" i="5"/>
  <c r="S518" i="5" s="1"/>
  <c r="T519" i="5" l="1"/>
  <c r="U519" i="5" s="1"/>
  <c r="Q520" i="5"/>
  <c r="R519" i="5"/>
  <c r="S519" i="5" s="1"/>
  <c r="Q521" i="5" l="1"/>
  <c r="T520" i="5" s="1"/>
  <c r="U520" i="5" s="1"/>
  <c r="R520" i="5"/>
  <c r="S520" i="5" s="1"/>
  <c r="Q522" i="5" l="1"/>
  <c r="R521" i="5"/>
  <c r="S521" i="5" s="1"/>
  <c r="Q523" i="5" l="1"/>
  <c r="T522" i="5" s="1"/>
  <c r="U522" i="5" s="1"/>
  <c r="R522" i="5"/>
  <c r="S522" i="5" s="1"/>
  <c r="T521" i="5"/>
  <c r="U521" i="5" s="1"/>
  <c r="T523" i="5" l="1"/>
  <c r="U523" i="5" s="1"/>
  <c r="Q524" i="5"/>
  <c r="R523" i="5"/>
  <c r="S523" i="5" s="1"/>
  <c r="Q525" i="5" l="1"/>
  <c r="T524" i="5" s="1"/>
  <c r="U524" i="5" s="1"/>
  <c r="R524" i="5"/>
  <c r="S524" i="5" s="1"/>
  <c r="T525" i="5" l="1"/>
  <c r="U525" i="5" s="1"/>
  <c r="Q526" i="5"/>
  <c r="R525" i="5"/>
  <c r="S525" i="5" s="1"/>
  <c r="Q527" i="5" l="1"/>
  <c r="T526" i="5" s="1"/>
  <c r="U526" i="5" s="1"/>
  <c r="R526" i="5"/>
  <c r="S526" i="5" s="1"/>
  <c r="T527" i="5" l="1"/>
  <c r="U527" i="5" s="1"/>
  <c r="Q528" i="5"/>
  <c r="R527" i="5"/>
  <c r="S527" i="5" s="1"/>
  <c r="Q529" i="5" l="1"/>
  <c r="T528" i="5" s="1"/>
  <c r="U528" i="5" s="1"/>
  <c r="R528" i="5"/>
  <c r="S528" i="5" s="1"/>
  <c r="T529" i="5" l="1"/>
  <c r="U529" i="5" s="1"/>
  <c r="Q530" i="5"/>
  <c r="R529" i="5"/>
  <c r="S529" i="5" s="1"/>
  <c r="Q531" i="5" l="1"/>
  <c r="T530" i="5" s="1"/>
  <c r="U530" i="5" s="1"/>
  <c r="R530" i="5"/>
  <c r="S530" i="5" s="1"/>
  <c r="Q532" i="5" l="1"/>
  <c r="R531" i="5"/>
  <c r="S531" i="5" s="1"/>
  <c r="Q533" i="5" l="1"/>
  <c r="T532" i="5" s="1"/>
  <c r="U532" i="5" s="1"/>
  <c r="R532" i="5"/>
  <c r="S532" i="5" s="1"/>
  <c r="T531" i="5"/>
  <c r="U531" i="5" s="1"/>
  <c r="Q534" i="5" l="1"/>
  <c r="R533" i="5"/>
  <c r="S533" i="5" s="1"/>
  <c r="Q535" i="5" l="1"/>
  <c r="T534" i="5" s="1"/>
  <c r="U534" i="5" s="1"/>
  <c r="R534" i="5"/>
  <c r="S534" i="5" s="1"/>
  <c r="T533" i="5"/>
  <c r="U533" i="5" s="1"/>
  <c r="T535" i="5" l="1"/>
  <c r="U535" i="5" s="1"/>
  <c r="Q536" i="5"/>
  <c r="R535" i="5"/>
  <c r="S535" i="5" s="1"/>
  <c r="Q537" i="5" l="1"/>
  <c r="T536" i="5" s="1"/>
  <c r="U536" i="5" s="1"/>
  <c r="R536" i="5"/>
  <c r="S536" i="5" s="1"/>
  <c r="Q538" i="5" l="1"/>
  <c r="R537" i="5"/>
  <c r="S537" i="5" s="1"/>
  <c r="Q539" i="5" l="1"/>
  <c r="T538" i="5" s="1"/>
  <c r="U538" i="5" s="1"/>
  <c r="R538" i="5"/>
  <c r="S538" i="5" s="1"/>
  <c r="T537" i="5"/>
  <c r="U537" i="5" s="1"/>
  <c r="Q540" i="5" l="1"/>
  <c r="R539" i="5"/>
  <c r="S539" i="5" s="1"/>
  <c r="Q541" i="5" l="1"/>
  <c r="R540" i="5"/>
  <c r="S540" i="5" s="1"/>
  <c r="T539" i="5"/>
  <c r="U539" i="5" s="1"/>
  <c r="Q542" i="5" l="1"/>
  <c r="R541" i="5"/>
  <c r="S541" i="5" s="1"/>
  <c r="T540" i="5"/>
  <c r="U540" i="5" s="1"/>
  <c r="Q543" i="5" l="1"/>
  <c r="T542" i="5" s="1"/>
  <c r="U542" i="5" s="1"/>
  <c r="R542" i="5"/>
  <c r="S542" i="5" s="1"/>
  <c r="T541" i="5"/>
  <c r="U541" i="5" s="1"/>
  <c r="Q544" i="5" l="1"/>
  <c r="R543" i="5"/>
  <c r="S543" i="5" s="1"/>
  <c r="Q545" i="5" l="1"/>
  <c r="T544" i="5" s="1"/>
  <c r="U544" i="5" s="1"/>
  <c r="R544" i="5"/>
  <c r="S544" i="5" s="1"/>
  <c r="T543" i="5"/>
  <c r="U543" i="5" s="1"/>
  <c r="Q546" i="5" l="1"/>
  <c r="R545" i="5"/>
  <c r="S545" i="5" s="1"/>
  <c r="Q547" i="5" l="1"/>
  <c r="T546" i="5" s="1"/>
  <c r="U546" i="5" s="1"/>
  <c r="R546" i="5"/>
  <c r="S546" i="5" s="1"/>
  <c r="T545" i="5"/>
  <c r="U545" i="5" s="1"/>
  <c r="T547" i="5" l="1"/>
  <c r="U547" i="5" s="1"/>
  <c r="Q548" i="5"/>
  <c r="R547" i="5"/>
  <c r="S547" i="5" s="1"/>
  <c r="Q549" i="5" l="1"/>
  <c r="T548" i="5" s="1"/>
  <c r="U548" i="5" s="1"/>
  <c r="R548" i="5"/>
  <c r="S548" i="5" s="1"/>
  <c r="Q550" i="5" l="1"/>
  <c r="R549" i="5"/>
  <c r="S549" i="5" s="1"/>
  <c r="Q551" i="5" l="1"/>
  <c r="T550" i="5" s="1"/>
  <c r="U550" i="5" s="1"/>
  <c r="R550" i="5"/>
  <c r="S550" i="5" s="1"/>
  <c r="T549" i="5"/>
  <c r="U549" i="5" s="1"/>
  <c r="Q552" i="5" l="1"/>
  <c r="R551" i="5"/>
  <c r="S551" i="5" s="1"/>
  <c r="Q553" i="5" l="1"/>
  <c r="T552" i="5" s="1"/>
  <c r="U552" i="5" s="1"/>
  <c r="R552" i="5"/>
  <c r="S552" i="5" s="1"/>
  <c r="T551" i="5"/>
  <c r="U551" i="5" s="1"/>
  <c r="Q554" i="5" l="1"/>
  <c r="R553" i="5"/>
  <c r="S553" i="5" s="1"/>
  <c r="Q555" i="5" l="1"/>
  <c r="T554" i="5" s="1"/>
  <c r="U554" i="5" s="1"/>
  <c r="R554" i="5"/>
  <c r="S554" i="5" s="1"/>
  <c r="T553" i="5"/>
  <c r="U553" i="5" s="1"/>
  <c r="Q556" i="5" l="1"/>
  <c r="R555" i="5"/>
  <c r="S555" i="5" s="1"/>
  <c r="Q557" i="5" l="1"/>
  <c r="T556" i="5" s="1"/>
  <c r="U556" i="5" s="1"/>
  <c r="R556" i="5"/>
  <c r="S556" i="5" s="1"/>
  <c r="T555" i="5"/>
  <c r="U555" i="5" s="1"/>
  <c r="Q558" i="5" l="1"/>
  <c r="R557" i="5"/>
  <c r="S557" i="5" s="1"/>
  <c r="Q559" i="5" l="1"/>
  <c r="T558" i="5" s="1"/>
  <c r="U558" i="5" s="1"/>
  <c r="R558" i="5"/>
  <c r="S558" i="5" s="1"/>
  <c r="T557" i="5"/>
  <c r="U557" i="5" s="1"/>
  <c r="T559" i="5" l="1"/>
  <c r="U559" i="5" s="1"/>
  <c r="Q560" i="5"/>
  <c r="R559" i="5"/>
  <c r="S559" i="5" s="1"/>
  <c r="Q561" i="5" l="1"/>
  <c r="T560" i="5" s="1"/>
  <c r="U560" i="5" s="1"/>
  <c r="R560" i="5"/>
  <c r="S560" i="5" s="1"/>
  <c r="T561" i="5" l="1"/>
  <c r="U561" i="5" s="1"/>
  <c r="Q562" i="5"/>
  <c r="R561" i="5"/>
  <c r="S561" i="5" s="1"/>
  <c r="Q563" i="5" l="1"/>
  <c r="T562" i="5" s="1"/>
  <c r="U562" i="5" s="1"/>
  <c r="R562" i="5"/>
  <c r="S562" i="5" s="1"/>
  <c r="Q564" i="5" l="1"/>
  <c r="R563" i="5"/>
  <c r="S563" i="5" s="1"/>
  <c r="Q565" i="5" l="1"/>
  <c r="T564" i="5" s="1"/>
  <c r="U564" i="5" s="1"/>
  <c r="R564" i="5"/>
  <c r="S564" i="5" s="1"/>
  <c r="T563" i="5"/>
  <c r="U563" i="5" s="1"/>
  <c r="Q566" i="5" l="1"/>
  <c r="R565" i="5"/>
  <c r="S565" i="5" s="1"/>
  <c r="Q567" i="5" l="1"/>
  <c r="T566" i="5" s="1"/>
  <c r="U566" i="5" s="1"/>
  <c r="R566" i="5"/>
  <c r="S566" i="5" s="1"/>
  <c r="T565" i="5"/>
  <c r="U565" i="5" s="1"/>
  <c r="Q568" i="5" l="1"/>
  <c r="R567" i="5"/>
  <c r="S567" i="5" s="1"/>
  <c r="Q569" i="5" l="1"/>
  <c r="T568" i="5" s="1"/>
  <c r="U568" i="5" s="1"/>
  <c r="R568" i="5"/>
  <c r="S568" i="5" s="1"/>
  <c r="T567" i="5"/>
  <c r="U567" i="5" s="1"/>
  <c r="Q570" i="5" l="1"/>
  <c r="R569" i="5"/>
  <c r="S569" i="5" s="1"/>
  <c r="Q571" i="5" l="1"/>
  <c r="T570" i="5" s="1"/>
  <c r="U570" i="5" s="1"/>
  <c r="R570" i="5"/>
  <c r="S570" i="5" s="1"/>
  <c r="T569" i="5"/>
  <c r="U569" i="5" s="1"/>
  <c r="Q572" i="5" l="1"/>
  <c r="R571" i="5"/>
  <c r="S571" i="5" s="1"/>
  <c r="Q573" i="5" l="1"/>
  <c r="T572" i="5" s="1"/>
  <c r="U572" i="5" s="1"/>
  <c r="R572" i="5"/>
  <c r="S572" i="5" s="1"/>
  <c r="T571" i="5"/>
  <c r="U571" i="5" s="1"/>
  <c r="Q574" i="5" l="1"/>
  <c r="R573" i="5"/>
  <c r="S573" i="5" s="1"/>
  <c r="Q575" i="5" l="1"/>
  <c r="T574" i="5" s="1"/>
  <c r="U574" i="5" s="1"/>
  <c r="R574" i="5"/>
  <c r="S574" i="5" s="1"/>
  <c r="T573" i="5"/>
  <c r="U573" i="5" s="1"/>
  <c r="Q576" i="5" l="1"/>
  <c r="R575" i="5"/>
  <c r="S575" i="5" s="1"/>
  <c r="Q577" i="5" l="1"/>
  <c r="T576" i="5" s="1"/>
  <c r="U576" i="5" s="1"/>
  <c r="R576" i="5"/>
  <c r="S576" i="5" s="1"/>
  <c r="T575" i="5"/>
  <c r="U575" i="5" s="1"/>
  <c r="Q578" i="5" l="1"/>
  <c r="R577" i="5"/>
  <c r="S577" i="5" s="1"/>
  <c r="Q579" i="5" l="1"/>
  <c r="T578" i="5" s="1"/>
  <c r="U578" i="5" s="1"/>
  <c r="R578" i="5"/>
  <c r="S578" i="5" s="1"/>
  <c r="T577" i="5"/>
  <c r="U577" i="5" s="1"/>
  <c r="Q580" i="5" l="1"/>
  <c r="R579" i="5"/>
  <c r="S579" i="5" s="1"/>
  <c r="Q581" i="5" l="1"/>
  <c r="T580" i="5" s="1"/>
  <c r="U580" i="5" s="1"/>
  <c r="R580" i="5"/>
  <c r="S580" i="5" s="1"/>
  <c r="T579" i="5"/>
  <c r="U579" i="5" s="1"/>
  <c r="Q582" i="5" l="1"/>
  <c r="R581" i="5"/>
  <c r="S581" i="5" s="1"/>
  <c r="Q583" i="5" l="1"/>
  <c r="T582" i="5" s="1"/>
  <c r="U582" i="5" s="1"/>
  <c r="R582" i="5"/>
  <c r="S582" i="5" s="1"/>
  <c r="T581" i="5"/>
  <c r="U581" i="5" s="1"/>
  <c r="T583" i="5" l="1"/>
  <c r="U583" i="5" s="1"/>
  <c r="Q584" i="5"/>
  <c r="R583" i="5"/>
  <c r="S583" i="5" s="1"/>
  <c r="Q585" i="5" l="1"/>
  <c r="T584" i="5"/>
  <c r="U584" i="5" s="1"/>
  <c r="R584" i="5"/>
  <c r="S584" i="5" s="1"/>
  <c r="Q586" i="5" l="1"/>
  <c r="R585" i="5"/>
  <c r="S585" i="5" s="1"/>
  <c r="Q587" i="5" l="1"/>
  <c r="T586" i="5" s="1"/>
  <c r="U586" i="5" s="1"/>
  <c r="R586" i="5"/>
  <c r="S586" i="5" s="1"/>
  <c r="T585" i="5"/>
  <c r="U585" i="5" s="1"/>
  <c r="Q588" i="5" l="1"/>
  <c r="R587" i="5"/>
  <c r="S587" i="5" s="1"/>
  <c r="Q589" i="5" l="1"/>
  <c r="T588" i="5" s="1"/>
  <c r="U588" i="5" s="1"/>
  <c r="R588" i="5"/>
  <c r="S588" i="5" s="1"/>
  <c r="T587" i="5"/>
  <c r="U587" i="5" s="1"/>
  <c r="T589" i="5" l="1"/>
  <c r="U589" i="5" s="1"/>
  <c r="Q590" i="5"/>
  <c r="R589" i="5"/>
  <c r="S589" i="5" s="1"/>
  <c r="Q591" i="5" l="1"/>
  <c r="T590" i="5" s="1"/>
  <c r="U590" i="5" s="1"/>
  <c r="R590" i="5"/>
  <c r="S590" i="5" s="1"/>
  <c r="Q592" i="5" l="1"/>
  <c r="R591" i="5"/>
  <c r="S591" i="5" s="1"/>
  <c r="Q593" i="5" l="1"/>
  <c r="T592" i="5" s="1"/>
  <c r="U592" i="5" s="1"/>
  <c r="R592" i="5"/>
  <c r="S592" i="5" s="1"/>
  <c r="T591" i="5"/>
  <c r="U591" i="5" s="1"/>
  <c r="T593" i="5" l="1"/>
  <c r="U593" i="5" s="1"/>
  <c r="Q594" i="5"/>
  <c r="R593" i="5"/>
  <c r="S593" i="5" s="1"/>
  <c r="Q595" i="5" l="1"/>
  <c r="T594" i="5" s="1"/>
  <c r="U594" i="5" s="1"/>
  <c r="R594" i="5"/>
  <c r="S594" i="5" s="1"/>
  <c r="Q596" i="5" l="1"/>
  <c r="R595" i="5"/>
  <c r="S595" i="5" s="1"/>
  <c r="Q597" i="5" l="1"/>
  <c r="T596" i="5" s="1"/>
  <c r="U596" i="5" s="1"/>
  <c r="R596" i="5"/>
  <c r="S596" i="5" s="1"/>
  <c r="T595" i="5"/>
  <c r="U595" i="5" s="1"/>
  <c r="Q598" i="5" l="1"/>
  <c r="R597" i="5"/>
  <c r="S597" i="5" s="1"/>
  <c r="Q599" i="5" l="1"/>
  <c r="T598" i="5" s="1"/>
  <c r="U598" i="5" s="1"/>
  <c r="R598" i="5"/>
  <c r="S598" i="5" s="1"/>
  <c r="T597" i="5"/>
  <c r="U597" i="5" s="1"/>
  <c r="Q600" i="5" l="1"/>
  <c r="R599" i="5"/>
  <c r="S599" i="5" s="1"/>
  <c r="Q601" i="5" l="1"/>
  <c r="T600" i="5" s="1"/>
  <c r="U600" i="5" s="1"/>
  <c r="R600" i="5"/>
  <c r="S600" i="5" s="1"/>
  <c r="T599" i="5"/>
  <c r="U599" i="5" s="1"/>
  <c r="Q602" i="5" l="1"/>
  <c r="R601" i="5"/>
  <c r="S601" i="5" s="1"/>
  <c r="Q603" i="5" l="1"/>
  <c r="T602" i="5" s="1"/>
  <c r="U602" i="5" s="1"/>
  <c r="R602" i="5"/>
  <c r="S602" i="5" s="1"/>
  <c r="T601" i="5"/>
  <c r="U601" i="5" s="1"/>
  <c r="Q604" i="5" l="1"/>
  <c r="R603" i="5"/>
  <c r="S603" i="5" s="1"/>
  <c r="Q605" i="5" l="1"/>
  <c r="T604" i="5" s="1"/>
  <c r="U604" i="5" s="1"/>
  <c r="R604" i="5"/>
  <c r="S604" i="5" s="1"/>
  <c r="T603" i="5"/>
  <c r="U603" i="5" s="1"/>
  <c r="T605" i="5" l="1"/>
  <c r="U605" i="5" s="1"/>
  <c r="Q606" i="5"/>
  <c r="R605" i="5"/>
  <c r="S605" i="5" s="1"/>
  <c r="Q607" i="5" l="1"/>
  <c r="T606" i="5" s="1"/>
  <c r="U606" i="5" s="1"/>
  <c r="R606" i="5"/>
  <c r="S606" i="5" s="1"/>
  <c r="Q608" i="5" l="1"/>
  <c r="R607" i="5"/>
  <c r="S607" i="5" s="1"/>
  <c r="Q609" i="5" l="1"/>
  <c r="T608" i="5" s="1"/>
  <c r="U608" i="5" s="1"/>
  <c r="R608" i="5"/>
  <c r="S608" i="5" s="1"/>
  <c r="T607" i="5"/>
  <c r="U607" i="5" s="1"/>
  <c r="T609" i="5" l="1"/>
  <c r="U609" i="5" s="1"/>
  <c r="Q610" i="5"/>
  <c r="R609" i="5"/>
  <c r="S609" i="5" s="1"/>
  <c r="Q611" i="5" l="1"/>
  <c r="R610" i="5"/>
  <c r="S610" i="5" s="1"/>
  <c r="Q612" i="5" l="1"/>
  <c r="R611" i="5"/>
  <c r="S611" i="5" s="1"/>
  <c r="T610" i="5"/>
  <c r="U610" i="5" s="1"/>
  <c r="Q613" i="5" l="1"/>
  <c r="T612" i="5" s="1"/>
  <c r="U612" i="5" s="1"/>
  <c r="R612" i="5"/>
  <c r="S612" i="5" s="1"/>
  <c r="T611" i="5"/>
  <c r="U611" i="5" s="1"/>
  <c r="Q614" i="5" l="1"/>
  <c r="R613" i="5"/>
  <c r="S613" i="5" s="1"/>
  <c r="Q615" i="5" l="1"/>
  <c r="T614" i="5" s="1"/>
  <c r="U614" i="5" s="1"/>
  <c r="R614" i="5"/>
  <c r="S614" i="5" s="1"/>
  <c r="T613" i="5"/>
  <c r="U613" i="5" s="1"/>
  <c r="Q616" i="5" l="1"/>
  <c r="R615" i="5"/>
  <c r="S615" i="5" s="1"/>
  <c r="Q617" i="5" l="1"/>
  <c r="T616" i="5" s="1"/>
  <c r="U616" i="5" s="1"/>
  <c r="R616" i="5"/>
  <c r="S616" i="5" s="1"/>
  <c r="T615" i="5"/>
  <c r="U615" i="5" s="1"/>
  <c r="T617" i="5" l="1"/>
  <c r="U617" i="5" s="1"/>
  <c r="Q618" i="5"/>
  <c r="R617" i="5"/>
  <c r="S617" i="5" s="1"/>
  <c r="Q619" i="5" l="1"/>
  <c r="R618" i="5"/>
  <c r="S618" i="5" s="1"/>
  <c r="Q620" i="5" l="1"/>
  <c r="R619" i="5"/>
  <c r="S619" i="5" s="1"/>
  <c r="T618" i="5"/>
  <c r="U618" i="5" s="1"/>
  <c r="Q621" i="5" l="1"/>
  <c r="T620" i="5" s="1"/>
  <c r="U620" i="5" s="1"/>
  <c r="R620" i="5"/>
  <c r="S620" i="5" s="1"/>
  <c r="T619" i="5"/>
  <c r="U619" i="5" s="1"/>
  <c r="Q622" i="5" l="1"/>
  <c r="R621" i="5"/>
  <c r="S621" i="5" s="1"/>
  <c r="Q623" i="5" l="1"/>
  <c r="R622" i="5"/>
  <c r="S622" i="5" s="1"/>
  <c r="T621" i="5"/>
  <c r="U621" i="5" s="1"/>
  <c r="Q624" i="5" l="1"/>
  <c r="R623" i="5"/>
  <c r="S623" i="5" s="1"/>
  <c r="T622" i="5"/>
  <c r="U622" i="5" s="1"/>
  <c r="Q625" i="5" l="1"/>
  <c r="T624" i="5" s="1"/>
  <c r="U624" i="5" s="1"/>
  <c r="R624" i="5"/>
  <c r="S624" i="5" s="1"/>
  <c r="T623" i="5"/>
  <c r="U623" i="5" s="1"/>
  <c r="Q626" i="5" l="1"/>
  <c r="R625" i="5"/>
  <c r="S625" i="5" s="1"/>
  <c r="Q627" i="5" l="1"/>
  <c r="T626" i="5" s="1"/>
  <c r="U626" i="5" s="1"/>
  <c r="R626" i="5"/>
  <c r="S626" i="5" s="1"/>
  <c r="T625" i="5"/>
  <c r="U625" i="5" s="1"/>
  <c r="Q628" i="5" l="1"/>
  <c r="R627" i="5"/>
  <c r="S627" i="5" s="1"/>
  <c r="Q629" i="5" l="1"/>
  <c r="T628" i="5" s="1"/>
  <c r="U628" i="5" s="1"/>
  <c r="R628" i="5"/>
  <c r="S628" i="5" s="1"/>
  <c r="T627" i="5"/>
  <c r="U627" i="5" s="1"/>
  <c r="T629" i="5" l="1"/>
  <c r="U629" i="5" s="1"/>
  <c r="Q630" i="5"/>
  <c r="R629" i="5"/>
  <c r="S629" i="5" s="1"/>
  <c r="Q631" i="5" l="1"/>
  <c r="T630" i="5" s="1"/>
  <c r="U630" i="5" s="1"/>
  <c r="R630" i="5"/>
  <c r="S630" i="5" s="1"/>
  <c r="Q632" i="5" l="1"/>
  <c r="R631" i="5"/>
  <c r="S631" i="5" s="1"/>
  <c r="Q633" i="5" l="1"/>
  <c r="T632" i="5" s="1"/>
  <c r="U632" i="5" s="1"/>
  <c r="R632" i="5"/>
  <c r="S632" i="5" s="1"/>
  <c r="T631" i="5"/>
  <c r="U631" i="5" s="1"/>
  <c r="T633" i="5" l="1"/>
  <c r="U633" i="5" s="1"/>
  <c r="Q634" i="5"/>
  <c r="R633" i="5"/>
  <c r="S633" i="5" s="1"/>
  <c r="Q635" i="5" l="1"/>
  <c r="T634" i="5" s="1"/>
  <c r="U634" i="5" s="1"/>
  <c r="R634" i="5"/>
  <c r="S634" i="5" s="1"/>
  <c r="Q636" i="5" l="1"/>
  <c r="R635" i="5"/>
  <c r="S635" i="5" s="1"/>
  <c r="Q637" i="5" l="1"/>
  <c r="T636" i="5" s="1"/>
  <c r="U636" i="5" s="1"/>
  <c r="R636" i="5"/>
  <c r="S636" i="5" s="1"/>
  <c r="T635" i="5"/>
  <c r="U635" i="5" s="1"/>
  <c r="Q638" i="5" l="1"/>
  <c r="R637" i="5"/>
  <c r="S637" i="5" s="1"/>
  <c r="Q639" i="5" l="1"/>
  <c r="T638" i="5" s="1"/>
  <c r="U638" i="5" s="1"/>
  <c r="R638" i="5"/>
  <c r="S638" i="5" s="1"/>
  <c r="T637" i="5"/>
  <c r="U637" i="5" s="1"/>
  <c r="Q640" i="5" l="1"/>
  <c r="R639" i="5"/>
  <c r="S639" i="5" s="1"/>
  <c r="Q641" i="5" l="1"/>
  <c r="T640" i="5" s="1"/>
  <c r="U640" i="5" s="1"/>
  <c r="R640" i="5"/>
  <c r="S640" i="5" s="1"/>
  <c r="T639" i="5"/>
  <c r="U639" i="5" s="1"/>
  <c r="Q642" i="5" l="1"/>
  <c r="R641" i="5"/>
  <c r="S641" i="5" s="1"/>
  <c r="Q643" i="5" l="1"/>
  <c r="T642" i="5" s="1"/>
  <c r="U642" i="5" s="1"/>
  <c r="R642" i="5"/>
  <c r="S642" i="5" s="1"/>
  <c r="T641" i="5"/>
  <c r="U641" i="5" s="1"/>
  <c r="Q644" i="5" l="1"/>
  <c r="R643" i="5"/>
  <c r="S643" i="5" s="1"/>
  <c r="Q645" i="5" l="1"/>
  <c r="R644" i="5"/>
  <c r="S644" i="5" s="1"/>
  <c r="T643" i="5"/>
  <c r="U643" i="5" s="1"/>
  <c r="T645" i="5" l="1"/>
  <c r="U645" i="5" s="1"/>
  <c r="Q646" i="5"/>
  <c r="R645" i="5"/>
  <c r="S645" i="5" s="1"/>
  <c r="T644" i="5"/>
  <c r="U644" i="5" s="1"/>
  <c r="Q647" i="5" l="1"/>
  <c r="T646" i="5" s="1"/>
  <c r="U646" i="5" s="1"/>
  <c r="R646" i="5"/>
  <c r="S646" i="5" s="1"/>
  <c r="Q648" i="5" l="1"/>
  <c r="R647" i="5"/>
  <c r="S647" i="5" s="1"/>
  <c r="Q649" i="5" l="1"/>
  <c r="T648" i="5" s="1"/>
  <c r="U648" i="5" s="1"/>
  <c r="R648" i="5"/>
  <c r="S648" i="5" s="1"/>
  <c r="T647" i="5"/>
  <c r="U647" i="5" s="1"/>
  <c r="Q650" i="5" l="1"/>
  <c r="R649" i="5"/>
  <c r="S649" i="5" s="1"/>
  <c r="Q651" i="5" l="1"/>
  <c r="T650" i="5" s="1"/>
  <c r="U650" i="5" s="1"/>
  <c r="R650" i="5"/>
  <c r="S650" i="5" s="1"/>
  <c r="T649" i="5"/>
  <c r="U649" i="5" s="1"/>
  <c r="T651" i="5" l="1"/>
  <c r="U651" i="5" s="1"/>
  <c r="Q652" i="5"/>
  <c r="R651" i="5"/>
  <c r="S651" i="5" s="1"/>
  <c r="Q653" i="5" l="1"/>
  <c r="T652" i="5" s="1"/>
  <c r="U652" i="5" s="1"/>
  <c r="R652" i="5"/>
  <c r="S652" i="5" s="1"/>
  <c r="Q654" i="5" l="1"/>
  <c r="R653" i="5"/>
  <c r="S653" i="5" s="1"/>
  <c r="Q655" i="5" l="1"/>
  <c r="T654" i="5" s="1"/>
  <c r="U654" i="5" s="1"/>
  <c r="R654" i="5"/>
  <c r="S654" i="5" s="1"/>
  <c r="T653" i="5"/>
  <c r="U653" i="5" s="1"/>
  <c r="Q656" i="5" l="1"/>
  <c r="R655" i="5"/>
  <c r="S655" i="5" s="1"/>
  <c r="Q657" i="5" l="1"/>
  <c r="T656" i="5"/>
  <c r="U656" i="5" s="1"/>
  <c r="R656" i="5"/>
  <c r="S656" i="5" s="1"/>
  <c r="T655" i="5"/>
  <c r="U655" i="5" s="1"/>
  <c r="Q658" i="5" l="1"/>
  <c r="T657" i="5" s="1"/>
  <c r="U657" i="5" s="1"/>
  <c r="R657" i="5"/>
  <c r="S657" i="5" s="1"/>
  <c r="Q659" i="5" l="1"/>
  <c r="R658" i="5"/>
  <c r="S658" i="5" s="1"/>
  <c r="Q660" i="5" l="1"/>
  <c r="T659" i="5" s="1"/>
  <c r="U659" i="5" s="1"/>
  <c r="R659" i="5"/>
  <c r="S659" i="5" s="1"/>
  <c r="T658" i="5"/>
  <c r="U658" i="5" s="1"/>
  <c r="Q661" i="5" l="1"/>
  <c r="R660" i="5"/>
  <c r="S660" i="5" s="1"/>
  <c r="Q662" i="5" l="1"/>
  <c r="T661" i="5" s="1"/>
  <c r="U661" i="5" s="1"/>
  <c r="R661" i="5"/>
  <c r="S661" i="5" s="1"/>
  <c r="T660" i="5"/>
  <c r="U660" i="5" s="1"/>
  <c r="Q663" i="5" l="1"/>
  <c r="R662" i="5"/>
  <c r="S662" i="5" s="1"/>
  <c r="Q664" i="5" l="1"/>
  <c r="T663" i="5" s="1"/>
  <c r="U663" i="5" s="1"/>
  <c r="R663" i="5"/>
  <c r="S663" i="5" s="1"/>
  <c r="T662" i="5"/>
  <c r="U662" i="5" s="1"/>
  <c r="T664" i="5" l="1"/>
  <c r="U664" i="5" s="1"/>
  <c r="Q665" i="5"/>
  <c r="R664" i="5"/>
  <c r="S664" i="5" s="1"/>
  <c r="Q666" i="5" l="1"/>
  <c r="T665" i="5" s="1"/>
  <c r="U665" i="5" s="1"/>
  <c r="R665" i="5"/>
  <c r="S665" i="5" s="1"/>
  <c r="T666" i="5" l="1"/>
  <c r="U666" i="5" s="1"/>
  <c r="Q667" i="5"/>
  <c r="R666" i="5"/>
  <c r="S666" i="5" s="1"/>
  <c r="Q668" i="5" l="1"/>
  <c r="T667" i="5" s="1"/>
  <c r="U667" i="5" s="1"/>
  <c r="R667" i="5"/>
  <c r="S667" i="5" s="1"/>
  <c r="Q669" i="5" l="1"/>
  <c r="R668" i="5"/>
  <c r="S668" i="5" s="1"/>
  <c r="Q670" i="5" l="1"/>
  <c r="T669" i="5" s="1"/>
  <c r="U669" i="5" s="1"/>
  <c r="R669" i="5"/>
  <c r="S669" i="5" s="1"/>
  <c r="T668" i="5"/>
  <c r="U668" i="5" s="1"/>
  <c r="Q671" i="5" l="1"/>
  <c r="R670" i="5"/>
  <c r="S670" i="5" s="1"/>
  <c r="Q672" i="5" l="1"/>
  <c r="T671" i="5" s="1"/>
  <c r="U671" i="5" s="1"/>
  <c r="R671" i="5"/>
  <c r="S671" i="5" s="1"/>
  <c r="T670" i="5"/>
  <c r="U670" i="5" s="1"/>
  <c r="Q673" i="5" l="1"/>
  <c r="R672" i="5"/>
  <c r="S672" i="5" s="1"/>
  <c r="Q674" i="5" l="1"/>
  <c r="R673" i="5"/>
  <c r="S673" i="5" s="1"/>
  <c r="T672" i="5"/>
  <c r="U672" i="5" s="1"/>
  <c r="Q675" i="5" l="1"/>
  <c r="R674" i="5"/>
  <c r="S674" i="5" s="1"/>
  <c r="T673" i="5"/>
  <c r="U673" i="5" s="1"/>
  <c r="Q676" i="5" l="1"/>
  <c r="T675" i="5" s="1"/>
  <c r="U675" i="5" s="1"/>
  <c r="R675" i="5"/>
  <c r="S675" i="5" s="1"/>
  <c r="T674" i="5"/>
  <c r="U674" i="5" s="1"/>
  <c r="Q677" i="5" l="1"/>
  <c r="R676" i="5"/>
  <c r="S676" i="5" s="1"/>
  <c r="Q678" i="5" l="1"/>
  <c r="T677" i="5" s="1"/>
  <c r="U677" i="5" s="1"/>
  <c r="R677" i="5"/>
  <c r="S677" i="5" s="1"/>
  <c r="T676" i="5"/>
  <c r="U676" i="5" s="1"/>
  <c r="Q679" i="5" l="1"/>
  <c r="R678" i="5"/>
  <c r="S678" i="5" s="1"/>
  <c r="Q680" i="5" l="1"/>
  <c r="T679" i="5" s="1"/>
  <c r="U679" i="5" s="1"/>
  <c r="R679" i="5"/>
  <c r="S679" i="5" s="1"/>
  <c r="T678" i="5"/>
  <c r="U678" i="5" s="1"/>
  <c r="Q681" i="5" l="1"/>
  <c r="R680" i="5"/>
  <c r="S680" i="5" s="1"/>
  <c r="Q682" i="5" l="1"/>
  <c r="T681" i="5" s="1"/>
  <c r="U681" i="5" s="1"/>
  <c r="R681" i="5"/>
  <c r="S681" i="5" s="1"/>
  <c r="T680" i="5"/>
  <c r="U680" i="5" s="1"/>
  <c r="Q683" i="5" l="1"/>
  <c r="R682" i="5"/>
  <c r="S682" i="5" s="1"/>
  <c r="Q684" i="5" l="1"/>
  <c r="T683" i="5" s="1"/>
  <c r="U683" i="5" s="1"/>
  <c r="R683" i="5"/>
  <c r="S683" i="5" s="1"/>
  <c r="T682" i="5"/>
  <c r="U682" i="5" s="1"/>
  <c r="T684" i="5" l="1"/>
  <c r="U684" i="5" s="1"/>
  <c r="Q685" i="5"/>
  <c r="R684" i="5"/>
  <c r="S684" i="5" s="1"/>
  <c r="Q686" i="5" l="1"/>
  <c r="T685" i="5" s="1"/>
  <c r="U685" i="5" s="1"/>
  <c r="R685" i="5"/>
  <c r="S685" i="5" s="1"/>
  <c r="Q687" i="5" l="1"/>
  <c r="R686" i="5"/>
  <c r="S686" i="5" s="1"/>
  <c r="Q688" i="5" l="1"/>
  <c r="T687" i="5" s="1"/>
  <c r="U687" i="5" s="1"/>
  <c r="R687" i="5"/>
  <c r="S687" i="5" s="1"/>
  <c r="T686" i="5"/>
  <c r="U686" i="5" s="1"/>
  <c r="Q689" i="5" l="1"/>
  <c r="R688" i="5"/>
  <c r="S688" i="5" s="1"/>
  <c r="Q690" i="5" l="1"/>
  <c r="T689" i="5" s="1"/>
  <c r="U689" i="5" s="1"/>
  <c r="R689" i="5"/>
  <c r="S689" i="5" s="1"/>
  <c r="T688" i="5"/>
  <c r="U688" i="5" s="1"/>
  <c r="Q691" i="5" l="1"/>
  <c r="R690" i="5"/>
  <c r="S690" i="5" s="1"/>
  <c r="Q692" i="5" l="1"/>
  <c r="T691" i="5" s="1"/>
  <c r="U691" i="5" s="1"/>
  <c r="R691" i="5"/>
  <c r="S691" i="5" s="1"/>
  <c r="T690" i="5"/>
  <c r="U690" i="5" s="1"/>
  <c r="Q693" i="5" l="1"/>
  <c r="R692" i="5"/>
  <c r="S692" i="5" s="1"/>
  <c r="Q694" i="5" l="1"/>
  <c r="T693" i="5" s="1"/>
  <c r="U693" i="5" s="1"/>
  <c r="R693" i="5"/>
  <c r="S693" i="5" s="1"/>
  <c r="T692" i="5"/>
  <c r="U692" i="5" s="1"/>
  <c r="Q695" i="5" l="1"/>
  <c r="R694" i="5"/>
  <c r="S694" i="5" s="1"/>
  <c r="Q696" i="5" l="1"/>
  <c r="T695" i="5" s="1"/>
  <c r="U695" i="5" s="1"/>
  <c r="R695" i="5"/>
  <c r="S695" i="5" s="1"/>
  <c r="T694" i="5"/>
  <c r="U694" i="5" s="1"/>
  <c r="Q697" i="5" l="1"/>
  <c r="R696" i="5"/>
  <c r="S696" i="5" s="1"/>
  <c r="Q698" i="5" l="1"/>
  <c r="T697" i="5" s="1"/>
  <c r="U697" i="5" s="1"/>
  <c r="R697" i="5"/>
  <c r="S697" i="5" s="1"/>
  <c r="T696" i="5"/>
  <c r="U696" i="5" s="1"/>
  <c r="Q699" i="5" l="1"/>
  <c r="R698" i="5"/>
  <c r="S698" i="5" s="1"/>
  <c r="Q700" i="5" l="1"/>
  <c r="T699" i="5" s="1"/>
  <c r="U699" i="5" s="1"/>
  <c r="R699" i="5"/>
  <c r="S699" i="5" s="1"/>
  <c r="T698" i="5"/>
  <c r="U698" i="5" s="1"/>
  <c r="Q701" i="5" l="1"/>
  <c r="R700" i="5"/>
  <c r="S700" i="5" s="1"/>
  <c r="Q702" i="5" l="1"/>
  <c r="T701" i="5" s="1"/>
  <c r="U701" i="5" s="1"/>
  <c r="R701" i="5"/>
  <c r="S701" i="5" s="1"/>
  <c r="T700" i="5"/>
  <c r="U700" i="5" s="1"/>
  <c r="Q703" i="5" l="1"/>
  <c r="R702" i="5"/>
  <c r="S702" i="5" s="1"/>
  <c r="Q704" i="5" l="1"/>
  <c r="T703" i="5"/>
  <c r="U703" i="5" s="1"/>
  <c r="R703" i="5"/>
  <c r="S703" i="5" s="1"/>
  <c r="T702" i="5"/>
  <c r="U702" i="5" s="1"/>
  <c r="Q705" i="5" l="1"/>
  <c r="R704" i="5"/>
  <c r="S704" i="5" s="1"/>
  <c r="Q706" i="5" l="1"/>
  <c r="T705" i="5" s="1"/>
  <c r="U705" i="5" s="1"/>
  <c r="R705" i="5"/>
  <c r="S705" i="5" s="1"/>
  <c r="T704" i="5"/>
  <c r="U704" i="5" s="1"/>
  <c r="T706" i="5" l="1"/>
  <c r="U706" i="5" s="1"/>
  <c r="Q707" i="5"/>
  <c r="R706" i="5"/>
  <c r="S706" i="5" s="1"/>
  <c r="Q708" i="5" l="1"/>
  <c r="T707" i="5" s="1"/>
  <c r="U707" i="5" s="1"/>
  <c r="R707" i="5"/>
  <c r="S707" i="5" s="1"/>
  <c r="Q709" i="5" l="1"/>
  <c r="R708" i="5"/>
  <c r="S708" i="5" s="1"/>
  <c r="Q710" i="5" l="1"/>
  <c r="T709" i="5" s="1"/>
  <c r="U709" i="5" s="1"/>
  <c r="R709" i="5"/>
  <c r="S709" i="5" s="1"/>
  <c r="T708" i="5"/>
  <c r="U708" i="5" s="1"/>
  <c r="Q711" i="5" l="1"/>
  <c r="R710" i="5"/>
  <c r="S710" i="5" s="1"/>
  <c r="Q712" i="5" l="1"/>
  <c r="R711" i="5"/>
  <c r="S711" i="5" s="1"/>
  <c r="T710" i="5"/>
  <c r="U710" i="5" s="1"/>
  <c r="Q713" i="5" l="1"/>
  <c r="T712" i="5" s="1"/>
  <c r="U712" i="5" s="1"/>
  <c r="R712" i="5"/>
  <c r="S712" i="5" s="1"/>
  <c r="T711" i="5"/>
  <c r="U711" i="5" s="1"/>
  <c r="Q714" i="5" l="1"/>
  <c r="R713" i="5"/>
  <c r="S713" i="5" s="1"/>
  <c r="Q715" i="5" l="1"/>
  <c r="T714" i="5" s="1"/>
  <c r="U714" i="5" s="1"/>
  <c r="R714" i="5"/>
  <c r="S714" i="5" s="1"/>
  <c r="T713" i="5"/>
  <c r="U713" i="5" s="1"/>
  <c r="Q716" i="5" l="1"/>
  <c r="R715" i="5"/>
  <c r="S715" i="5" s="1"/>
  <c r="Q717" i="5" l="1"/>
  <c r="T716" i="5" s="1"/>
  <c r="U716" i="5" s="1"/>
  <c r="R716" i="5"/>
  <c r="S716" i="5" s="1"/>
  <c r="T715" i="5"/>
  <c r="U715" i="5" s="1"/>
  <c r="Q718" i="5" l="1"/>
  <c r="R717" i="5"/>
  <c r="S717" i="5" s="1"/>
  <c r="Q719" i="5" l="1"/>
  <c r="T718" i="5" s="1"/>
  <c r="U718" i="5" s="1"/>
  <c r="R718" i="5"/>
  <c r="S718" i="5" s="1"/>
  <c r="T717" i="5"/>
  <c r="U717" i="5" s="1"/>
  <c r="Q720" i="5" l="1"/>
  <c r="R719" i="5"/>
  <c r="S719" i="5" s="1"/>
  <c r="Q721" i="5" l="1"/>
  <c r="T720" i="5" s="1"/>
  <c r="U720" i="5" s="1"/>
  <c r="R720" i="5"/>
  <c r="S720" i="5" s="1"/>
  <c r="T719" i="5"/>
  <c r="U719" i="5" s="1"/>
  <c r="Q722" i="5" l="1"/>
  <c r="R721" i="5"/>
  <c r="S721" i="5" s="1"/>
  <c r="Q723" i="5" l="1"/>
  <c r="R722" i="5"/>
  <c r="S722" i="5" s="1"/>
  <c r="T721" i="5"/>
  <c r="U721" i="5" s="1"/>
  <c r="Q724" i="5" l="1"/>
  <c r="R723" i="5"/>
  <c r="S723" i="5" s="1"/>
  <c r="T722" i="5"/>
  <c r="U722" i="5" s="1"/>
  <c r="Q725" i="5" l="1"/>
  <c r="T724" i="5" s="1"/>
  <c r="U724" i="5" s="1"/>
  <c r="R724" i="5"/>
  <c r="S724" i="5" s="1"/>
  <c r="T723" i="5"/>
  <c r="U723" i="5" s="1"/>
  <c r="Q726" i="5" l="1"/>
  <c r="R725" i="5"/>
  <c r="S725" i="5" s="1"/>
  <c r="Q727" i="5" l="1"/>
  <c r="T726" i="5" s="1"/>
  <c r="U726" i="5" s="1"/>
  <c r="R726" i="5"/>
  <c r="S726" i="5" s="1"/>
  <c r="T725" i="5"/>
  <c r="U725" i="5" s="1"/>
  <c r="T727" i="5" l="1"/>
  <c r="U727" i="5" s="1"/>
  <c r="Q728" i="5"/>
  <c r="R727" i="5"/>
  <c r="S727" i="5" s="1"/>
  <c r="Q729" i="5" l="1"/>
  <c r="T728" i="5" s="1"/>
  <c r="U728" i="5" s="1"/>
  <c r="R728" i="5"/>
  <c r="S728" i="5" s="1"/>
  <c r="Q730" i="5" l="1"/>
  <c r="R729" i="5"/>
  <c r="S729" i="5" s="1"/>
  <c r="Q731" i="5" l="1"/>
  <c r="T730" i="5" s="1"/>
  <c r="U730" i="5" s="1"/>
  <c r="R730" i="5"/>
  <c r="S730" i="5" s="1"/>
  <c r="T729" i="5"/>
  <c r="U729" i="5" s="1"/>
  <c r="Q732" i="5" l="1"/>
  <c r="R731" i="5"/>
  <c r="S731" i="5" s="1"/>
  <c r="Q733" i="5" l="1"/>
  <c r="T732" i="5" s="1"/>
  <c r="U732" i="5" s="1"/>
  <c r="R732" i="5"/>
  <c r="S732" i="5" s="1"/>
  <c r="T731" i="5"/>
  <c r="U731" i="5" s="1"/>
  <c r="T733" i="5" l="1"/>
  <c r="U733" i="5" s="1"/>
  <c r="Q734" i="5"/>
  <c r="R733" i="5"/>
  <c r="S733" i="5" s="1"/>
  <c r="Q735" i="5" l="1"/>
  <c r="T734" i="5" s="1"/>
  <c r="U734" i="5" s="1"/>
  <c r="R734" i="5"/>
  <c r="S734" i="5" s="1"/>
  <c r="Q736" i="5" l="1"/>
  <c r="R735" i="5"/>
  <c r="S735" i="5" s="1"/>
  <c r="Q737" i="5" l="1"/>
  <c r="T736" i="5"/>
  <c r="U736" i="5" s="1"/>
  <c r="R736" i="5"/>
  <c r="S736" i="5" s="1"/>
  <c r="T735" i="5"/>
  <c r="U735" i="5" s="1"/>
  <c r="Q738" i="5" l="1"/>
  <c r="R737" i="5"/>
  <c r="S737" i="5" s="1"/>
  <c r="Q739" i="5" l="1"/>
  <c r="T738" i="5" s="1"/>
  <c r="U738" i="5" s="1"/>
  <c r="R738" i="5"/>
  <c r="S738" i="5" s="1"/>
  <c r="T737" i="5"/>
  <c r="U737" i="5" s="1"/>
  <c r="Q740" i="5" l="1"/>
  <c r="R739" i="5"/>
  <c r="S739" i="5" s="1"/>
  <c r="Q741" i="5" l="1"/>
  <c r="T740" i="5"/>
  <c r="U740" i="5" s="1"/>
  <c r="R740" i="5"/>
  <c r="S740" i="5" s="1"/>
  <c r="T739" i="5"/>
  <c r="U739" i="5" s="1"/>
  <c r="Q742" i="5" l="1"/>
  <c r="R741" i="5"/>
  <c r="S741" i="5" s="1"/>
  <c r="Q743" i="5" l="1"/>
  <c r="T742" i="5"/>
  <c r="U742" i="5" s="1"/>
  <c r="R742" i="5"/>
  <c r="S742" i="5" s="1"/>
  <c r="T741" i="5"/>
  <c r="U741" i="5" s="1"/>
  <c r="Q744" i="5" l="1"/>
  <c r="R743" i="5"/>
  <c r="S743" i="5" s="1"/>
  <c r="Q745" i="5" l="1"/>
  <c r="T744" i="5"/>
  <c r="U744" i="5" s="1"/>
  <c r="R744" i="5"/>
  <c r="S744" i="5" s="1"/>
  <c r="T743" i="5"/>
  <c r="U743" i="5" s="1"/>
  <c r="Q746" i="5" l="1"/>
  <c r="R745" i="5"/>
  <c r="S745" i="5" s="1"/>
  <c r="Q747" i="5" l="1"/>
  <c r="T746" i="5"/>
  <c r="U746" i="5" s="1"/>
  <c r="R746" i="5"/>
  <c r="S746" i="5" s="1"/>
  <c r="T745" i="5"/>
  <c r="U745" i="5" s="1"/>
  <c r="Q748" i="5" l="1"/>
  <c r="R747" i="5"/>
  <c r="S747" i="5" s="1"/>
  <c r="Q749" i="5" l="1"/>
  <c r="T748" i="5"/>
  <c r="U748" i="5" s="1"/>
  <c r="R748" i="5"/>
  <c r="S748" i="5" s="1"/>
  <c r="T747" i="5"/>
  <c r="U747" i="5" s="1"/>
  <c r="Q750" i="5" l="1"/>
  <c r="R749" i="5"/>
  <c r="S749" i="5" s="1"/>
  <c r="Q751" i="5" l="1"/>
  <c r="T750" i="5"/>
  <c r="U750" i="5" s="1"/>
  <c r="R750" i="5"/>
  <c r="S750" i="5" s="1"/>
  <c r="T749" i="5"/>
  <c r="U749" i="5" s="1"/>
  <c r="Q752" i="5" l="1"/>
  <c r="R751" i="5"/>
  <c r="S751" i="5" s="1"/>
  <c r="Q753" i="5" l="1"/>
  <c r="T752" i="5"/>
  <c r="U752" i="5" s="1"/>
  <c r="R752" i="5"/>
  <c r="S752" i="5" s="1"/>
  <c r="T751" i="5"/>
  <c r="U751" i="5" s="1"/>
  <c r="Q754" i="5" l="1"/>
  <c r="R753" i="5"/>
  <c r="S753" i="5" s="1"/>
  <c r="Q755" i="5" l="1"/>
  <c r="T754" i="5"/>
  <c r="U754" i="5" s="1"/>
  <c r="R754" i="5"/>
  <c r="S754" i="5" s="1"/>
  <c r="T753" i="5"/>
  <c r="U753" i="5" s="1"/>
  <c r="Q756" i="5" l="1"/>
  <c r="R755" i="5"/>
  <c r="S755" i="5" s="1"/>
  <c r="Q757" i="5" l="1"/>
  <c r="R756" i="5"/>
  <c r="S756" i="5" s="1"/>
  <c r="T755" i="5"/>
  <c r="U755" i="5" s="1"/>
  <c r="Q758" i="5" l="1"/>
  <c r="R757" i="5"/>
  <c r="S757" i="5" s="1"/>
  <c r="T756" i="5"/>
  <c r="U756" i="5" s="1"/>
  <c r="Q759" i="5" l="1"/>
  <c r="T758" i="5" s="1"/>
  <c r="U758" i="5" s="1"/>
  <c r="R758" i="5"/>
  <c r="S758" i="5" s="1"/>
  <c r="T757" i="5"/>
  <c r="U757" i="5" s="1"/>
  <c r="T759" i="5" l="1"/>
  <c r="U759" i="5" s="1"/>
  <c r="Q760" i="5"/>
  <c r="R759" i="5"/>
  <c r="S759" i="5" s="1"/>
  <c r="Q761" i="5" l="1"/>
  <c r="T760" i="5" s="1"/>
  <c r="U760" i="5" s="1"/>
  <c r="R760" i="5"/>
  <c r="S760" i="5" s="1"/>
  <c r="Q762" i="5" l="1"/>
  <c r="R761" i="5"/>
  <c r="S761" i="5" s="1"/>
  <c r="Q763" i="5" l="1"/>
  <c r="T762" i="5" s="1"/>
  <c r="U762" i="5" s="1"/>
  <c r="R762" i="5"/>
  <c r="S762" i="5" s="1"/>
  <c r="T761" i="5"/>
  <c r="U761" i="5" s="1"/>
  <c r="T763" i="5" l="1"/>
  <c r="U763" i="5" s="1"/>
  <c r="Q764" i="5"/>
  <c r="R763" i="5"/>
  <c r="S763" i="5" s="1"/>
  <c r="Q765" i="5" l="1"/>
  <c r="T764" i="5" s="1"/>
  <c r="U764" i="5" s="1"/>
  <c r="R764" i="5"/>
  <c r="S764" i="5" s="1"/>
  <c r="Q766" i="5" l="1"/>
  <c r="R765" i="5"/>
  <c r="S765" i="5" s="1"/>
  <c r="Q767" i="5" l="1"/>
  <c r="T766" i="5" s="1"/>
  <c r="U766" i="5" s="1"/>
  <c r="R766" i="5"/>
  <c r="S766" i="5" s="1"/>
  <c r="T765" i="5"/>
  <c r="U765" i="5" s="1"/>
  <c r="Q768" i="5" l="1"/>
  <c r="R767" i="5"/>
  <c r="S767" i="5" s="1"/>
  <c r="Q769" i="5" l="1"/>
  <c r="T768" i="5" s="1"/>
  <c r="U768" i="5" s="1"/>
  <c r="R768" i="5"/>
  <c r="S768" i="5" s="1"/>
  <c r="T767" i="5"/>
  <c r="U767" i="5" s="1"/>
  <c r="Q770" i="5" l="1"/>
  <c r="R769" i="5"/>
  <c r="S769" i="5" s="1"/>
  <c r="Q771" i="5" l="1"/>
  <c r="T770" i="5" s="1"/>
  <c r="U770" i="5" s="1"/>
  <c r="R770" i="5"/>
  <c r="S770" i="5" s="1"/>
  <c r="T769" i="5"/>
  <c r="U769" i="5" s="1"/>
  <c r="Q772" i="5" l="1"/>
  <c r="R771" i="5"/>
  <c r="S771" i="5" s="1"/>
  <c r="Q773" i="5" l="1"/>
  <c r="T772" i="5" s="1"/>
  <c r="U772" i="5" s="1"/>
  <c r="R772" i="5"/>
  <c r="S772" i="5" s="1"/>
  <c r="T771" i="5"/>
  <c r="U771" i="5" s="1"/>
  <c r="T773" i="5" l="1"/>
  <c r="U773" i="5" s="1"/>
  <c r="Q774" i="5"/>
  <c r="R773" i="5"/>
  <c r="S773" i="5" s="1"/>
  <c r="Q775" i="5" l="1"/>
  <c r="T774" i="5" s="1"/>
  <c r="U774" i="5" s="1"/>
  <c r="R774" i="5"/>
  <c r="S774" i="5" s="1"/>
  <c r="T775" i="5" l="1"/>
  <c r="U775" i="5" s="1"/>
  <c r="Q776" i="5"/>
  <c r="R775" i="5"/>
  <c r="S775" i="5" s="1"/>
  <c r="Q777" i="5" l="1"/>
  <c r="R776" i="5"/>
  <c r="S776" i="5" s="1"/>
  <c r="Q778" i="5" l="1"/>
  <c r="R777" i="5"/>
  <c r="S777" i="5" s="1"/>
  <c r="T776" i="5"/>
  <c r="U776" i="5" s="1"/>
  <c r="Q779" i="5" l="1"/>
  <c r="T778" i="5" s="1"/>
  <c r="U778" i="5" s="1"/>
  <c r="R778" i="5"/>
  <c r="S778" i="5" s="1"/>
  <c r="T777" i="5"/>
  <c r="U777" i="5" s="1"/>
  <c r="Q780" i="5" l="1"/>
  <c r="R779" i="5"/>
  <c r="S779" i="5" s="1"/>
  <c r="Q781" i="5" l="1"/>
  <c r="T780" i="5" s="1"/>
  <c r="U780" i="5" s="1"/>
  <c r="R780" i="5"/>
  <c r="S780" i="5" s="1"/>
  <c r="T779" i="5"/>
  <c r="U779" i="5" s="1"/>
  <c r="T781" i="5" l="1"/>
  <c r="U781" i="5" s="1"/>
  <c r="Q782" i="5"/>
  <c r="R781" i="5"/>
  <c r="S781" i="5" s="1"/>
  <c r="Q783" i="5" l="1"/>
  <c r="T782" i="5" s="1"/>
  <c r="U782" i="5" s="1"/>
  <c r="R782" i="5"/>
  <c r="S782" i="5" s="1"/>
  <c r="T783" i="5" l="1"/>
  <c r="U783" i="5" s="1"/>
  <c r="Q784" i="5"/>
  <c r="R783" i="5"/>
  <c r="S783" i="5" s="1"/>
  <c r="Q785" i="5" l="1"/>
  <c r="T784" i="5" s="1"/>
  <c r="U784" i="5" s="1"/>
  <c r="R784" i="5"/>
  <c r="S784" i="5" s="1"/>
  <c r="Q786" i="5" l="1"/>
  <c r="R785" i="5"/>
  <c r="S785" i="5" s="1"/>
  <c r="Q787" i="5" l="1"/>
  <c r="T786" i="5" s="1"/>
  <c r="U786" i="5" s="1"/>
  <c r="R786" i="5"/>
  <c r="S786" i="5" s="1"/>
  <c r="T785" i="5"/>
  <c r="U785" i="5" s="1"/>
  <c r="Q788" i="5" l="1"/>
  <c r="R787" i="5"/>
  <c r="S787" i="5" s="1"/>
  <c r="Q789" i="5" l="1"/>
  <c r="R788" i="5"/>
  <c r="S788" i="5" s="1"/>
  <c r="T787" i="5"/>
  <c r="U787" i="5" s="1"/>
  <c r="Q790" i="5" l="1"/>
  <c r="R789" i="5"/>
  <c r="S789" i="5" s="1"/>
  <c r="T788" i="5"/>
  <c r="U788" i="5" s="1"/>
  <c r="Q791" i="5" l="1"/>
  <c r="T790" i="5" s="1"/>
  <c r="U790" i="5" s="1"/>
  <c r="R790" i="5"/>
  <c r="S790" i="5" s="1"/>
  <c r="T789" i="5"/>
  <c r="U789" i="5" s="1"/>
  <c r="Q792" i="5" l="1"/>
  <c r="R791" i="5"/>
  <c r="S791" i="5" s="1"/>
  <c r="Q793" i="5" l="1"/>
  <c r="T792" i="5" s="1"/>
  <c r="U792" i="5" s="1"/>
  <c r="R792" i="5"/>
  <c r="S792" i="5" s="1"/>
  <c r="T791" i="5"/>
  <c r="U791" i="5" s="1"/>
  <c r="Q794" i="5" l="1"/>
  <c r="R793" i="5"/>
  <c r="S793" i="5" s="1"/>
  <c r="Q795" i="5" l="1"/>
  <c r="T794" i="5" s="1"/>
  <c r="U794" i="5" s="1"/>
  <c r="R794" i="5"/>
  <c r="S794" i="5" s="1"/>
  <c r="T793" i="5"/>
  <c r="U793" i="5" s="1"/>
  <c r="Q796" i="5" l="1"/>
  <c r="R795" i="5"/>
  <c r="S795" i="5" s="1"/>
  <c r="Q797" i="5" l="1"/>
  <c r="R796" i="5"/>
  <c r="S796" i="5" s="1"/>
  <c r="T795" i="5"/>
  <c r="U795" i="5" s="1"/>
  <c r="Q798" i="5" l="1"/>
  <c r="R797" i="5"/>
  <c r="S797" i="5" s="1"/>
  <c r="T796" i="5"/>
  <c r="U796" i="5" s="1"/>
  <c r="Q799" i="5" l="1"/>
  <c r="T798" i="5"/>
  <c r="U798" i="5" s="1"/>
  <c r="R798" i="5"/>
  <c r="S798" i="5" s="1"/>
  <c r="T797" i="5"/>
  <c r="U797" i="5" s="1"/>
  <c r="Q800" i="5" l="1"/>
  <c r="R799" i="5"/>
  <c r="S799" i="5" s="1"/>
  <c r="Q801" i="5" l="1"/>
  <c r="R800" i="5"/>
  <c r="S800" i="5" s="1"/>
  <c r="T799" i="5"/>
  <c r="U799" i="5" s="1"/>
  <c r="Q802" i="5" l="1"/>
  <c r="R801" i="5"/>
  <c r="S801" i="5" s="1"/>
  <c r="T800" i="5"/>
  <c r="U800" i="5" s="1"/>
  <c r="Q803" i="5" l="1"/>
  <c r="T802" i="5" s="1"/>
  <c r="U802" i="5" s="1"/>
  <c r="R802" i="5"/>
  <c r="S802" i="5" s="1"/>
  <c r="T801" i="5"/>
  <c r="U801" i="5" s="1"/>
  <c r="Q804" i="5" l="1"/>
  <c r="R803" i="5"/>
  <c r="S803" i="5" s="1"/>
  <c r="Q805" i="5" l="1"/>
  <c r="T804" i="5" s="1"/>
  <c r="U804" i="5" s="1"/>
  <c r="R804" i="5"/>
  <c r="S804" i="5" s="1"/>
  <c r="T803" i="5"/>
  <c r="U803" i="5" s="1"/>
  <c r="Q806" i="5" l="1"/>
  <c r="R805" i="5"/>
  <c r="S805" i="5" s="1"/>
  <c r="Q807" i="5" l="1"/>
  <c r="T806" i="5" s="1"/>
  <c r="U806" i="5" s="1"/>
  <c r="R806" i="5"/>
  <c r="S806" i="5" s="1"/>
  <c r="T805" i="5"/>
  <c r="U805" i="5" s="1"/>
  <c r="Q808" i="5" l="1"/>
  <c r="R807" i="5"/>
  <c r="S807" i="5" s="1"/>
  <c r="Q809" i="5" l="1"/>
  <c r="T808" i="5" s="1"/>
  <c r="U808" i="5" s="1"/>
  <c r="R808" i="5"/>
  <c r="S808" i="5" s="1"/>
  <c r="T807" i="5"/>
  <c r="U807" i="5" s="1"/>
  <c r="Q810" i="5" l="1"/>
  <c r="R809" i="5"/>
  <c r="S809" i="5" s="1"/>
  <c r="Q811" i="5" l="1"/>
  <c r="T810" i="5" s="1"/>
  <c r="U810" i="5" s="1"/>
  <c r="R810" i="5"/>
  <c r="S810" i="5" s="1"/>
  <c r="T809" i="5"/>
  <c r="U809" i="5" s="1"/>
  <c r="Q812" i="5" l="1"/>
  <c r="R811" i="5"/>
  <c r="S811" i="5" s="1"/>
  <c r="Q813" i="5" l="1"/>
  <c r="T812" i="5" s="1"/>
  <c r="U812" i="5" s="1"/>
  <c r="R812" i="5"/>
  <c r="S812" i="5" s="1"/>
  <c r="T811" i="5"/>
  <c r="U811" i="5" s="1"/>
  <c r="T813" i="5" l="1"/>
  <c r="U813" i="5" s="1"/>
  <c r="Q814" i="5"/>
  <c r="R813" i="5"/>
  <c r="S813" i="5" s="1"/>
  <c r="Q815" i="5" l="1"/>
  <c r="T814" i="5" s="1"/>
  <c r="U814" i="5" s="1"/>
  <c r="R814" i="5"/>
  <c r="S814" i="5" s="1"/>
  <c r="Q816" i="5" l="1"/>
  <c r="R815" i="5"/>
  <c r="S815" i="5" s="1"/>
  <c r="Q817" i="5" l="1"/>
  <c r="T816" i="5" s="1"/>
  <c r="U816" i="5" s="1"/>
  <c r="R816" i="5"/>
  <c r="S816" i="5" s="1"/>
  <c r="T815" i="5"/>
  <c r="U815" i="5" s="1"/>
  <c r="Q818" i="5" l="1"/>
  <c r="R817" i="5"/>
  <c r="S817" i="5" s="1"/>
  <c r="Q819" i="5" l="1"/>
  <c r="T818" i="5" s="1"/>
  <c r="U818" i="5" s="1"/>
  <c r="R818" i="5"/>
  <c r="S818" i="5" s="1"/>
  <c r="T817" i="5"/>
  <c r="U817" i="5" s="1"/>
  <c r="Q820" i="5" l="1"/>
  <c r="R819" i="5"/>
  <c r="S819" i="5" s="1"/>
  <c r="Q821" i="5" l="1"/>
  <c r="T820" i="5" s="1"/>
  <c r="U820" i="5" s="1"/>
  <c r="R820" i="5"/>
  <c r="S820" i="5" s="1"/>
  <c r="T819" i="5"/>
  <c r="U819" i="5" s="1"/>
  <c r="Q822" i="5" l="1"/>
  <c r="R821" i="5"/>
  <c r="S821" i="5" s="1"/>
  <c r="Q823" i="5" l="1"/>
  <c r="T822" i="5" s="1"/>
  <c r="U822" i="5" s="1"/>
  <c r="R822" i="5"/>
  <c r="S822" i="5" s="1"/>
  <c r="T821" i="5"/>
  <c r="U821" i="5" s="1"/>
  <c r="Q824" i="5" l="1"/>
  <c r="R823" i="5"/>
  <c r="S823" i="5" s="1"/>
  <c r="Q825" i="5" l="1"/>
  <c r="R824" i="5"/>
  <c r="S824" i="5" s="1"/>
  <c r="T823" i="5"/>
  <c r="U823" i="5" s="1"/>
  <c r="Q826" i="5" l="1"/>
  <c r="R825" i="5"/>
  <c r="S825" i="5" s="1"/>
  <c r="T824" i="5"/>
  <c r="U824" i="5" s="1"/>
  <c r="Q827" i="5" l="1"/>
  <c r="T826" i="5" s="1"/>
  <c r="U826" i="5" s="1"/>
  <c r="R826" i="5"/>
  <c r="S826" i="5" s="1"/>
  <c r="T825" i="5"/>
  <c r="U825" i="5" s="1"/>
  <c r="Q828" i="5" l="1"/>
  <c r="R827" i="5"/>
  <c r="S827" i="5" s="1"/>
  <c r="Q829" i="5" l="1"/>
  <c r="T828" i="5" s="1"/>
  <c r="U828" i="5" s="1"/>
  <c r="R828" i="5"/>
  <c r="S828" i="5" s="1"/>
  <c r="T827" i="5"/>
  <c r="U827" i="5" s="1"/>
  <c r="T829" i="5" l="1"/>
  <c r="U829" i="5" s="1"/>
  <c r="Q830" i="5"/>
  <c r="R829" i="5"/>
  <c r="S829" i="5" s="1"/>
  <c r="Q831" i="5" l="1"/>
  <c r="T830" i="5" s="1"/>
  <c r="U830" i="5" s="1"/>
  <c r="R830" i="5"/>
  <c r="S830" i="5" s="1"/>
  <c r="Q832" i="5" l="1"/>
  <c r="R831" i="5"/>
  <c r="S831" i="5" s="1"/>
  <c r="Q833" i="5" l="1"/>
  <c r="T832" i="5" s="1"/>
  <c r="U832" i="5" s="1"/>
  <c r="R832" i="5"/>
  <c r="S832" i="5" s="1"/>
  <c r="T831" i="5"/>
  <c r="U831" i="5" s="1"/>
  <c r="Q834" i="5" l="1"/>
  <c r="R833" i="5"/>
  <c r="S833" i="5" s="1"/>
  <c r="Q835" i="5" l="1"/>
  <c r="T834" i="5" s="1"/>
  <c r="U834" i="5" s="1"/>
  <c r="R834" i="5"/>
  <c r="S834" i="5" s="1"/>
  <c r="T833" i="5"/>
  <c r="U833" i="5" s="1"/>
  <c r="Q836" i="5" l="1"/>
  <c r="R835" i="5"/>
  <c r="S835" i="5" s="1"/>
  <c r="Q837" i="5" l="1"/>
  <c r="T836" i="5" s="1"/>
  <c r="U836" i="5" s="1"/>
  <c r="R836" i="5"/>
  <c r="S836" i="5" s="1"/>
  <c r="T835" i="5"/>
  <c r="U835" i="5" s="1"/>
  <c r="Q838" i="5" l="1"/>
  <c r="R837" i="5"/>
  <c r="S837" i="5" s="1"/>
  <c r="Q839" i="5" l="1"/>
  <c r="T838" i="5" s="1"/>
  <c r="U838" i="5" s="1"/>
  <c r="R838" i="5"/>
  <c r="S838" i="5" s="1"/>
  <c r="T837" i="5"/>
  <c r="U837" i="5" s="1"/>
  <c r="Q840" i="5" l="1"/>
  <c r="R839" i="5"/>
  <c r="S839" i="5" s="1"/>
  <c r="Q841" i="5" l="1"/>
  <c r="T840" i="5" s="1"/>
  <c r="U840" i="5" s="1"/>
  <c r="R840" i="5"/>
  <c r="S840" i="5" s="1"/>
  <c r="T839" i="5"/>
  <c r="U839" i="5" s="1"/>
  <c r="Q842" i="5" l="1"/>
  <c r="R841" i="5"/>
  <c r="S841" i="5" s="1"/>
  <c r="Q843" i="5" l="1"/>
  <c r="T842" i="5" s="1"/>
  <c r="U842" i="5" s="1"/>
  <c r="R842" i="5"/>
  <c r="S842" i="5" s="1"/>
  <c r="T841" i="5"/>
  <c r="U841" i="5" s="1"/>
  <c r="Q844" i="5" l="1"/>
  <c r="R843" i="5"/>
  <c r="S843" i="5" s="1"/>
  <c r="Q845" i="5" l="1"/>
  <c r="T844" i="5" s="1"/>
  <c r="U844" i="5" s="1"/>
  <c r="R844" i="5"/>
  <c r="S844" i="5" s="1"/>
  <c r="T843" i="5"/>
  <c r="U843" i="5" s="1"/>
  <c r="T845" i="5" l="1"/>
  <c r="U845" i="5" s="1"/>
  <c r="Q846" i="5"/>
  <c r="R845" i="5"/>
  <c r="S845" i="5" s="1"/>
  <c r="Q847" i="5" l="1"/>
  <c r="T846" i="5" s="1"/>
  <c r="U846" i="5" s="1"/>
  <c r="R846" i="5"/>
  <c r="S846" i="5" s="1"/>
  <c r="T847" i="5" l="1"/>
  <c r="U847" i="5" s="1"/>
  <c r="Q848" i="5"/>
  <c r="R847" i="5"/>
  <c r="S847" i="5" s="1"/>
  <c r="Q849" i="5" l="1"/>
  <c r="T848" i="5" s="1"/>
  <c r="U848" i="5" s="1"/>
  <c r="R848" i="5"/>
  <c r="S848" i="5" s="1"/>
  <c r="T849" i="5" l="1"/>
  <c r="U849" i="5" s="1"/>
  <c r="Q850" i="5"/>
  <c r="R849" i="5"/>
  <c r="S849" i="5" s="1"/>
  <c r="Q851" i="5" l="1"/>
  <c r="T850" i="5" s="1"/>
  <c r="U850" i="5" s="1"/>
  <c r="R850" i="5"/>
  <c r="S850" i="5" s="1"/>
  <c r="Q852" i="5" l="1"/>
  <c r="R851" i="5"/>
  <c r="S851" i="5" s="1"/>
  <c r="Q853" i="5" l="1"/>
  <c r="T852" i="5" s="1"/>
  <c r="U852" i="5" s="1"/>
  <c r="R852" i="5"/>
  <c r="S852" i="5" s="1"/>
  <c r="T851" i="5"/>
  <c r="U851" i="5" s="1"/>
  <c r="Q854" i="5" l="1"/>
  <c r="R853" i="5"/>
  <c r="S853" i="5" s="1"/>
  <c r="Q855" i="5" l="1"/>
  <c r="T854" i="5" s="1"/>
  <c r="U854" i="5" s="1"/>
  <c r="R854" i="5"/>
  <c r="S854" i="5" s="1"/>
  <c r="T853" i="5"/>
  <c r="U853" i="5" s="1"/>
  <c r="Q856" i="5" l="1"/>
  <c r="R855" i="5"/>
  <c r="S855" i="5" s="1"/>
  <c r="Q857" i="5" l="1"/>
  <c r="T856" i="5" s="1"/>
  <c r="U856" i="5" s="1"/>
  <c r="R856" i="5"/>
  <c r="S856" i="5" s="1"/>
  <c r="T855" i="5"/>
  <c r="U855" i="5" s="1"/>
  <c r="Q858" i="5" l="1"/>
  <c r="R857" i="5"/>
  <c r="S857" i="5" s="1"/>
  <c r="Q859" i="5" l="1"/>
  <c r="T858" i="5" s="1"/>
  <c r="U858" i="5" s="1"/>
  <c r="R858" i="5"/>
  <c r="S858" i="5" s="1"/>
  <c r="T857" i="5"/>
  <c r="U857" i="5" s="1"/>
  <c r="Q860" i="5" l="1"/>
  <c r="R859" i="5"/>
  <c r="S859" i="5" s="1"/>
  <c r="Q861" i="5" l="1"/>
  <c r="R860" i="5"/>
  <c r="S860" i="5" s="1"/>
  <c r="T859" i="5"/>
  <c r="U859" i="5" s="1"/>
  <c r="Q862" i="5" l="1"/>
  <c r="R861" i="5"/>
  <c r="S861" i="5" s="1"/>
  <c r="T860" i="5"/>
  <c r="U860" i="5" s="1"/>
  <c r="Q863" i="5" l="1"/>
  <c r="R862" i="5"/>
  <c r="S862" i="5" s="1"/>
  <c r="T861" i="5"/>
  <c r="U861" i="5" s="1"/>
  <c r="Q864" i="5" l="1"/>
  <c r="R863" i="5"/>
  <c r="S863" i="5" s="1"/>
  <c r="T862" i="5"/>
  <c r="U862" i="5" s="1"/>
  <c r="Q865" i="5" l="1"/>
  <c r="T864" i="5" s="1"/>
  <c r="U864" i="5" s="1"/>
  <c r="R864" i="5"/>
  <c r="S864" i="5" s="1"/>
  <c r="T863" i="5"/>
  <c r="U863" i="5" s="1"/>
  <c r="Q866" i="5" l="1"/>
  <c r="R865" i="5"/>
  <c r="S865" i="5" s="1"/>
  <c r="Q867" i="5" l="1"/>
  <c r="T866" i="5" s="1"/>
  <c r="U866" i="5" s="1"/>
  <c r="R866" i="5"/>
  <c r="S866" i="5" s="1"/>
  <c r="T865" i="5"/>
  <c r="U865" i="5" s="1"/>
  <c r="Q868" i="5" l="1"/>
  <c r="R867" i="5"/>
  <c r="S867" i="5" s="1"/>
  <c r="Q869" i="5" l="1"/>
  <c r="T868" i="5" s="1"/>
  <c r="U868" i="5" s="1"/>
  <c r="R868" i="5"/>
  <c r="S868" i="5" s="1"/>
  <c r="T867" i="5"/>
  <c r="U867" i="5" s="1"/>
  <c r="T869" i="5" l="1"/>
  <c r="U869" i="5" s="1"/>
  <c r="Q870" i="5"/>
  <c r="R869" i="5"/>
  <c r="S869" i="5" s="1"/>
  <c r="Q871" i="5" l="1"/>
  <c r="T870" i="5" s="1"/>
  <c r="U870" i="5" s="1"/>
  <c r="R870" i="5"/>
  <c r="S870" i="5" s="1"/>
  <c r="Q872" i="5" l="1"/>
  <c r="R871" i="5"/>
  <c r="S871" i="5" s="1"/>
  <c r="Q873" i="5" l="1"/>
  <c r="T872" i="5" s="1"/>
  <c r="U872" i="5" s="1"/>
  <c r="R872" i="5"/>
  <c r="S872" i="5" s="1"/>
  <c r="T871" i="5"/>
  <c r="U871" i="5" s="1"/>
  <c r="Q874" i="5" l="1"/>
  <c r="R873" i="5"/>
  <c r="S873" i="5" s="1"/>
  <c r="Q875" i="5" l="1"/>
  <c r="T874" i="5" s="1"/>
  <c r="U874" i="5" s="1"/>
  <c r="R874" i="5"/>
  <c r="S874" i="5" s="1"/>
  <c r="T873" i="5"/>
  <c r="U873" i="5" s="1"/>
  <c r="Q876" i="5" l="1"/>
  <c r="R875" i="5"/>
  <c r="S875" i="5" s="1"/>
  <c r="Q877" i="5" l="1"/>
  <c r="T876" i="5" s="1"/>
  <c r="U876" i="5" s="1"/>
  <c r="R876" i="5"/>
  <c r="S876" i="5" s="1"/>
  <c r="T875" i="5"/>
  <c r="U875" i="5" s="1"/>
  <c r="Q878" i="5" l="1"/>
  <c r="R877" i="5"/>
  <c r="S877" i="5" s="1"/>
  <c r="Q879" i="5" l="1"/>
  <c r="R878" i="5"/>
  <c r="S878" i="5" s="1"/>
  <c r="T877" i="5"/>
  <c r="U877" i="5" s="1"/>
  <c r="T879" i="5" l="1"/>
  <c r="U879" i="5" s="1"/>
  <c r="Q880" i="5"/>
  <c r="R879" i="5"/>
  <c r="S879" i="5" s="1"/>
  <c r="T878" i="5"/>
  <c r="U878" i="5" s="1"/>
  <c r="Q881" i="5" l="1"/>
  <c r="T880" i="5" s="1"/>
  <c r="U880" i="5" s="1"/>
  <c r="R880" i="5"/>
  <c r="S880" i="5" s="1"/>
  <c r="Q882" i="5" l="1"/>
  <c r="R881" i="5"/>
  <c r="S881" i="5" s="1"/>
  <c r="Q883" i="5" l="1"/>
  <c r="T882" i="5" s="1"/>
  <c r="U882" i="5" s="1"/>
  <c r="R882" i="5"/>
  <c r="S882" i="5" s="1"/>
  <c r="T881" i="5"/>
  <c r="U881" i="5" s="1"/>
  <c r="Q884" i="5" l="1"/>
  <c r="R883" i="5"/>
  <c r="S883" i="5" s="1"/>
  <c r="Q885" i="5" l="1"/>
  <c r="T884" i="5" s="1"/>
  <c r="U884" i="5" s="1"/>
  <c r="R884" i="5"/>
  <c r="S884" i="5" s="1"/>
  <c r="T883" i="5"/>
  <c r="U883" i="5" s="1"/>
  <c r="T885" i="5" l="1"/>
  <c r="U885" i="5" s="1"/>
  <c r="Q886" i="5"/>
  <c r="R885" i="5"/>
  <c r="S885" i="5" s="1"/>
  <c r="Q887" i="5" l="1"/>
  <c r="T886" i="5" s="1"/>
  <c r="U886" i="5" s="1"/>
  <c r="R886" i="5"/>
  <c r="S886" i="5" s="1"/>
  <c r="Q888" i="5" l="1"/>
  <c r="R887" i="5"/>
  <c r="S887" i="5" s="1"/>
  <c r="Q889" i="5" l="1"/>
  <c r="T888" i="5" s="1"/>
  <c r="U888" i="5" s="1"/>
  <c r="R888" i="5"/>
  <c r="S888" i="5" s="1"/>
  <c r="T887" i="5"/>
  <c r="U887" i="5" s="1"/>
  <c r="Q890" i="5" l="1"/>
  <c r="R889" i="5"/>
  <c r="S889" i="5" s="1"/>
  <c r="Q891" i="5" l="1"/>
  <c r="R890" i="5"/>
  <c r="S890" i="5" s="1"/>
  <c r="T889" i="5"/>
  <c r="U889" i="5" s="1"/>
  <c r="Q892" i="5" l="1"/>
  <c r="R891" i="5"/>
  <c r="S891" i="5" s="1"/>
  <c r="T890" i="5"/>
  <c r="U890" i="5" s="1"/>
  <c r="Q893" i="5" l="1"/>
  <c r="T892" i="5" s="1"/>
  <c r="U892" i="5" s="1"/>
  <c r="R892" i="5"/>
  <c r="S892" i="5" s="1"/>
  <c r="T891" i="5"/>
  <c r="U891" i="5" s="1"/>
  <c r="Q894" i="5" l="1"/>
  <c r="R893" i="5"/>
  <c r="S893" i="5" s="1"/>
  <c r="Q895" i="5" l="1"/>
  <c r="T894" i="5" s="1"/>
  <c r="U894" i="5" s="1"/>
  <c r="R894" i="5"/>
  <c r="S894" i="5" s="1"/>
  <c r="T893" i="5"/>
  <c r="U893" i="5" s="1"/>
  <c r="Q896" i="5" l="1"/>
  <c r="R895" i="5"/>
  <c r="S895" i="5" s="1"/>
  <c r="Q897" i="5" l="1"/>
  <c r="T896" i="5" s="1"/>
  <c r="U896" i="5" s="1"/>
  <c r="R896" i="5"/>
  <c r="S896" i="5" s="1"/>
  <c r="T895" i="5"/>
  <c r="U895" i="5" s="1"/>
  <c r="Q898" i="5" l="1"/>
  <c r="R897" i="5"/>
  <c r="S897" i="5" s="1"/>
  <c r="Q899" i="5" l="1"/>
  <c r="T898" i="5" s="1"/>
  <c r="U898" i="5" s="1"/>
  <c r="R898" i="5"/>
  <c r="S898" i="5" s="1"/>
  <c r="T897" i="5"/>
  <c r="U897" i="5" s="1"/>
  <c r="Q900" i="5" l="1"/>
  <c r="R899" i="5"/>
  <c r="S899" i="5" s="1"/>
  <c r="Q901" i="5" l="1"/>
  <c r="T900" i="5" s="1"/>
  <c r="U900" i="5" s="1"/>
  <c r="R900" i="5"/>
  <c r="S900" i="5" s="1"/>
  <c r="T899" i="5"/>
  <c r="U899" i="5" s="1"/>
  <c r="T901" i="5" l="1"/>
  <c r="U901" i="5" s="1"/>
  <c r="Q902" i="5"/>
  <c r="R901" i="5"/>
  <c r="S901" i="5" s="1"/>
  <c r="Q903" i="5" l="1"/>
  <c r="T902" i="5" s="1"/>
  <c r="U902" i="5" s="1"/>
  <c r="R902" i="5"/>
  <c r="S902" i="5" s="1"/>
  <c r="T903" i="5" l="1"/>
  <c r="U903" i="5" s="1"/>
  <c r="Q904" i="5"/>
  <c r="R903" i="5"/>
  <c r="S903" i="5" s="1"/>
  <c r="Q905" i="5" l="1"/>
  <c r="T904" i="5" s="1"/>
  <c r="U904" i="5" s="1"/>
  <c r="R904" i="5"/>
  <c r="S904" i="5" s="1"/>
  <c r="Q906" i="5" l="1"/>
  <c r="R905" i="5"/>
  <c r="S905" i="5" s="1"/>
  <c r="Q907" i="5" l="1"/>
  <c r="T906" i="5" s="1"/>
  <c r="U906" i="5" s="1"/>
  <c r="R906" i="5"/>
  <c r="S906" i="5" s="1"/>
  <c r="T905" i="5"/>
  <c r="U905" i="5" s="1"/>
  <c r="Q908" i="5" l="1"/>
  <c r="R907" i="5"/>
  <c r="S907" i="5" s="1"/>
  <c r="Q909" i="5" l="1"/>
  <c r="T908" i="5" s="1"/>
  <c r="U908" i="5" s="1"/>
  <c r="R908" i="5"/>
  <c r="S908" i="5" s="1"/>
  <c r="T907" i="5"/>
  <c r="U907" i="5" s="1"/>
  <c r="Q910" i="5" l="1"/>
  <c r="R909" i="5"/>
  <c r="S909" i="5" s="1"/>
  <c r="Q911" i="5" l="1"/>
  <c r="T910" i="5" s="1"/>
  <c r="U910" i="5" s="1"/>
  <c r="R910" i="5"/>
  <c r="S910" i="5" s="1"/>
  <c r="T909" i="5"/>
  <c r="U909" i="5" s="1"/>
  <c r="Q912" i="5" l="1"/>
  <c r="R911" i="5"/>
  <c r="S911" i="5" s="1"/>
  <c r="Q913" i="5" l="1"/>
  <c r="T912" i="5" s="1"/>
  <c r="U912" i="5" s="1"/>
  <c r="R912" i="5"/>
  <c r="S912" i="5" s="1"/>
  <c r="T911" i="5"/>
  <c r="U911" i="5" s="1"/>
  <c r="T913" i="5" l="1"/>
  <c r="U913" i="5" s="1"/>
  <c r="Q914" i="5"/>
  <c r="R913" i="5"/>
  <c r="S913" i="5" s="1"/>
  <c r="Q915" i="5" l="1"/>
  <c r="T914" i="5" s="1"/>
  <c r="U914" i="5" s="1"/>
  <c r="R914" i="5"/>
  <c r="S914" i="5" s="1"/>
  <c r="T915" i="5" l="1"/>
  <c r="U915" i="5" s="1"/>
  <c r="Q916" i="5"/>
  <c r="R915" i="5"/>
  <c r="S915" i="5" s="1"/>
  <c r="Q917" i="5" l="1"/>
  <c r="T916" i="5" s="1"/>
  <c r="U916" i="5" s="1"/>
  <c r="R916" i="5"/>
  <c r="S916" i="5" s="1"/>
  <c r="Q918" i="5" l="1"/>
  <c r="R917" i="5"/>
  <c r="S917" i="5" s="1"/>
  <c r="Q919" i="5" l="1"/>
  <c r="T918" i="5" s="1"/>
  <c r="U918" i="5" s="1"/>
  <c r="R918" i="5"/>
  <c r="S918" i="5" s="1"/>
  <c r="T917" i="5"/>
  <c r="U917" i="5" s="1"/>
  <c r="Q920" i="5" l="1"/>
  <c r="R919" i="5"/>
  <c r="S919" i="5" s="1"/>
  <c r="Q921" i="5" l="1"/>
  <c r="T920" i="5" s="1"/>
  <c r="U920" i="5" s="1"/>
  <c r="R920" i="5"/>
  <c r="S920" i="5" s="1"/>
  <c r="T919" i="5"/>
  <c r="U919" i="5" s="1"/>
  <c r="Q922" i="5" l="1"/>
  <c r="R921" i="5"/>
  <c r="S921" i="5" s="1"/>
  <c r="Q923" i="5" l="1"/>
  <c r="T922" i="5"/>
  <c r="U922" i="5" s="1"/>
  <c r="R922" i="5"/>
  <c r="S922" i="5" s="1"/>
  <c r="T921" i="5"/>
  <c r="U921" i="5" s="1"/>
  <c r="T923" i="5" l="1"/>
  <c r="U923" i="5" s="1"/>
  <c r="Q924" i="5"/>
  <c r="R923" i="5"/>
  <c r="S923" i="5" s="1"/>
  <c r="Q925" i="5" l="1"/>
  <c r="T924" i="5" s="1"/>
  <c r="U924" i="5" s="1"/>
  <c r="R924" i="5"/>
  <c r="S924" i="5" s="1"/>
  <c r="Q926" i="5" l="1"/>
  <c r="R925" i="5"/>
  <c r="S925" i="5" s="1"/>
  <c r="Q927" i="5" l="1"/>
  <c r="T926" i="5"/>
  <c r="U926" i="5" s="1"/>
  <c r="R926" i="5"/>
  <c r="S926" i="5" s="1"/>
  <c r="T925" i="5"/>
  <c r="U925" i="5" s="1"/>
  <c r="Q928" i="5" l="1"/>
  <c r="R927" i="5"/>
  <c r="S927" i="5" s="1"/>
  <c r="Q929" i="5" l="1"/>
  <c r="T928" i="5" s="1"/>
  <c r="U928" i="5" s="1"/>
  <c r="R928" i="5"/>
  <c r="S928" i="5" s="1"/>
  <c r="T927" i="5"/>
  <c r="U927" i="5" s="1"/>
  <c r="Q930" i="5" l="1"/>
  <c r="R929" i="5"/>
  <c r="S929" i="5" s="1"/>
  <c r="Q931" i="5" l="1"/>
  <c r="T930" i="5" s="1"/>
  <c r="U930" i="5" s="1"/>
  <c r="R930" i="5"/>
  <c r="S930" i="5" s="1"/>
  <c r="T929" i="5"/>
  <c r="U929" i="5" s="1"/>
  <c r="Q932" i="5" l="1"/>
  <c r="R931" i="5"/>
  <c r="S931" i="5" s="1"/>
  <c r="Q933" i="5" l="1"/>
  <c r="T932" i="5" s="1"/>
  <c r="U932" i="5" s="1"/>
  <c r="R932" i="5"/>
  <c r="S932" i="5" s="1"/>
  <c r="T931" i="5"/>
  <c r="U931" i="5" s="1"/>
  <c r="Q934" i="5" l="1"/>
  <c r="R933" i="5"/>
  <c r="S933" i="5" s="1"/>
  <c r="Q935" i="5" l="1"/>
  <c r="T934" i="5" s="1"/>
  <c r="U934" i="5" s="1"/>
  <c r="R934" i="5"/>
  <c r="S934" i="5" s="1"/>
  <c r="T933" i="5"/>
  <c r="U933" i="5" s="1"/>
  <c r="Q936" i="5" l="1"/>
  <c r="R935" i="5"/>
  <c r="S935" i="5" s="1"/>
  <c r="Q937" i="5" l="1"/>
  <c r="T936" i="5" s="1"/>
  <c r="U936" i="5" s="1"/>
  <c r="R936" i="5"/>
  <c r="S936" i="5" s="1"/>
  <c r="T935" i="5"/>
  <c r="U935" i="5" s="1"/>
  <c r="Q938" i="5" l="1"/>
  <c r="R937" i="5"/>
  <c r="S937" i="5" s="1"/>
  <c r="Q939" i="5" l="1"/>
  <c r="R938" i="5"/>
  <c r="S938" i="5" s="1"/>
  <c r="T937" i="5"/>
  <c r="U937" i="5" s="1"/>
  <c r="Q940" i="5" l="1"/>
  <c r="T939" i="5" s="1"/>
  <c r="U939" i="5" s="1"/>
  <c r="R939" i="5"/>
  <c r="S939" i="5" s="1"/>
  <c r="T938" i="5"/>
  <c r="U938" i="5" s="1"/>
  <c r="Q941" i="5" l="1"/>
  <c r="R940" i="5"/>
  <c r="S940" i="5" s="1"/>
  <c r="Q942" i="5" l="1"/>
  <c r="T941" i="5" s="1"/>
  <c r="U941" i="5" s="1"/>
  <c r="R941" i="5"/>
  <c r="S941" i="5" s="1"/>
  <c r="T940" i="5"/>
  <c r="U940" i="5" s="1"/>
  <c r="Q943" i="5" l="1"/>
  <c r="R942" i="5"/>
  <c r="S942" i="5" s="1"/>
  <c r="Q944" i="5" l="1"/>
  <c r="T943" i="5" s="1"/>
  <c r="U943" i="5" s="1"/>
  <c r="R943" i="5"/>
  <c r="S943" i="5" s="1"/>
  <c r="T942" i="5"/>
  <c r="U942" i="5" s="1"/>
  <c r="Q945" i="5" l="1"/>
  <c r="R944" i="5"/>
  <c r="S944" i="5" s="1"/>
  <c r="Q946" i="5" l="1"/>
  <c r="T945" i="5" s="1"/>
  <c r="U945" i="5" s="1"/>
  <c r="R945" i="5"/>
  <c r="S945" i="5" s="1"/>
  <c r="T944" i="5"/>
  <c r="U944" i="5" s="1"/>
  <c r="Q947" i="5" l="1"/>
  <c r="R946" i="5"/>
  <c r="S946" i="5" s="1"/>
  <c r="Q948" i="5" l="1"/>
  <c r="T947" i="5" s="1"/>
  <c r="U947" i="5" s="1"/>
  <c r="R947" i="5"/>
  <c r="S947" i="5" s="1"/>
  <c r="T946" i="5"/>
  <c r="U946" i="5" s="1"/>
  <c r="Q949" i="5" l="1"/>
  <c r="R948" i="5"/>
  <c r="S948" i="5" s="1"/>
  <c r="Q950" i="5" l="1"/>
  <c r="T949" i="5" s="1"/>
  <c r="U949" i="5" s="1"/>
  <c r="R949" i="5"/>
  <c r="S949" i="5" s="1"/>
  <c r="T948" i="5"/>
  <c r="U948" i="5" s="1"/>
  <c r="Q951" i="5" l="1"/>
  <c r="R950" i="5"/>
  <c r="S950" i="5" s="1"/>
  <c r="Q952" i="5" l="1"/>
  <c r="T951" i="5" s="1"/>
  <c r="U951" i="5" s="1"/>
  <c r="R951" i="5"/>
  <c r="S951" i="5" s="1"/>
  <c r="T950" i="5"/>
  <c r="U950" i="5" s="1"/>
  <c r="Q953" i="5" l="1"/>
  <c r="R952" i="5"/>
  <c r="S952" i="5" s="1"/>
  <c r="Q954" i="5" l="1"/>
  <c r="T953" i="5" s="1"/>
  <c r="U953" i="5" s="1"/>
  <c r="R953" i="5"/>
  <c r="S953" i="5" s="1"/>
  <c r="T952" i="5"/>
  <c r="U952" i="5" s="1"/>
  <c r="Q955" i="5" l="1"/>
  <c r="R954" i="5"/>
  <c r="S954" i="5" s="1"/>
  <c r="Q956" i="5" l="1"/>
  <c r="T955" i="5" s="1"/>
  <c r="U955" i="5" s="1"/>
  <c r="R955" i="5"/>
  <c r="S955" i="5" s="1"/>
  <c r="T954" i="5"/>
  <c r="U954" i="5" s="1"/>
  <c r="T956" i="5" l="1"/>
  <c r="U956" i="5" s="1"/>
  <c r="Q957" i="5"/>
  <c r="R956" i="5"/>
  <c r="S956" i="5" s="1"/>
  <c r="Q958" i="5" l="1"/>
  <c r="T957" i="5" s="1"/>
  <c r="U957" i="5" s="1"/>
  <c r="R957" i="5"/>
  <c r="S957" i="5" s="1"/>
  <c r="Q959" i="5" l="1"/>
  <c r="R958" i="5"/>
  <c r="S958" i="5" s="1"/>
  <c r="Q960" i="5" l="1"/>
  <c r="T959" i="5" s="1"/>
  <c r="U959" i="5" s="1"/>
  <c r="R959" i="5"/>
  <c r="S959" i="5" s="1"/>
  <c r="T958" i="5"/>
  <c r="U958" i="5" s="1"/>
  <c r="T960" i="5" l="1"/>
  <c r="U960" i="5" s="1"/>
  <c r="Q961" i="5"/>
  <c r="R960" i="5"/>
  <c r="S960" i="5" s="1"/>
  <c r="Q962" i="5" l="1"/>
  <c r="T961" i="5" s="1"/>
  <c r="U961" i="5" s="1"/>
  <c r="R961" i="5"/>
  <c r="S961" i="5" s="1"/>
  <c r="Q963" i="5" l="1"/>
  <c r="R962" i="5"/>
  <c r="S962" i="5" s="1"/>
  <c r="Q964" i="5" l="1"/>
  <c r="T963" i="5" s="1"/>
  <c r="U963" i="5" s="1"/>
  <c r="R963" i="5"/>
  <c r="S963" i="5" s="1"/>
  <c r="T962" i="5"/>
  <c r="U962" i="5" s="1"/>
  <c r="Q965" i="5" l="1"/>
  <c r="R964" i="5"/>
  <c r="S964" i="5" s="1"/>
  <c r="Q966" i="5" l="1"/>
  <c r="R965" i="5"/>
  <c r="S965" i="5" s="1"/>
  <c r="T964" i="5"/>
  <c r="U964" i="5" s="1"/>
  <c r="Q967" i="5" l="1"/>
  <c r="R966" i="5"/>
  <c r="S966" i="5" s="1"/>
  <c r="T965" i="5"/>
  <c r="U965" i="5" s="1"/>
  <c r="Q968" i="5" l="1"/>
  <c r="T967" i="5" s="1"/>
  <c r="U967" i="5" s="1"/>
  <c r="R967" i="5"/>
  <c r="S967" i="5" s="1"/>
  <c r="T966" i="5"/>
  <c r="U966" i="5" s="1"/>
  <c r="Q969" i="5" l="1"/>
  <c r="R968" i="5"/>
  <c r="S968" i="5" s="1"/>
  <c r="Q970" i="5" l="1"/>
  <c r="T969" i="5" s="1"/>
  <c r="U969" i="5" s="1"/>
  <c r="R969" i="5"/>
  <c r="S969" i="5" s="1"/>
  <c r="T968" i="5"/>
  <c r="U968" i="5" s="1"/>
  <c r="Q971" i="5" l="1"/>
  <c r="R970" i="5"/>
  <c r="S970" i="5" s="1"/>
  <c r="Q972" i="5" l="1"/>
  <c r="T971" i="5" s="1"/>
  <c r="U971" i="5" s="1"/>
  <c r="R971" i="5"/>
  <c r="S971" i="5" s="1"/>
  <c r="T970" i="5"/>
  <c r="U970" i="5" s="1"/>
  <c r="Q973" i="5" l="1"/>
  <c r="R972" i="5"/>
  <c r="S972" i="5" s="1"/>
  <c r="Q974" i="5" l="1"/>
  <c r="T973" i="5" s="1"/>
  <c r="U973" i="5" s="1"/>
  <c r="R973" i="5"/>
  <c r="S973" i="5" s="1"/>
  <c r="T972" i="5"/>
  <c r="U972" i="5" s="1"/>
  <c r="Q975" i="5" l="1"/>
  <c r="R974" i="5"/>
  <c r="S974" i="5" s="1"/>
  <c r="Q976" i="5" l="1"/>
  <c r="T975" i="5" s="1"/>
  <c r="U975" i="5" s="1"/>
  <c r="R975" i="5"/>
  <c r="S975" i="5" s="1"/>
  <c r="T974" i="5"/>
  <c r="U974" i="5" s="1"/>
  <c r="Q977" i="5" l="1"/>
  <c r="R976" i="5"/>
  <c r="S976" i="5" s="1"/>
  <c r="Q978" i="5" l="1"/>
  <c r="T977" i="5" s="1"/>
  <c r="U977" i="5" s="1"/>
  <c r="R977" i="5"/>
  <c r="S977" i="5" s="1"/>
  <c r="T976" i="5"/>
  <c r="U976" i="5" s="1"/>
  <c r="Q979" i="5" l="1"/>
  <c r="R978" i="5"/>
  <c r="S978" i="5" s="1"/>
  <c r="Q980" i="5" l="1"/>
  <c r="T979" i="5" s="1"/>
  <c r="U979" i="5" s="1"/>
  <c r="R979" i="5"/>
  <c r="S979" i="5" s="1"/>
  <c r="T978" i="5"/>
  <c r="U978" i="5" s="1"/>
  <c r="Q981" i="5" l="1"/>
  <c r="R980" i="5"/>
  <c r="S980" i="5" s="1"/>
  <c r="Q982" i="5" l="1"/>
  <c r="T981" i="5" s="1"/>
  <c r="U981" i="5" s="1"/>
  <c r="R981" i="5"/>
  <c r="S981" i="5" s="1"/>
  <c r="T980" i="5"/>
  <c r="U980" i="5" s="1"/>
  <c r="Q983" i="5" l="1"/>
  <c r="R982" i="5"/>
  <c r="S982" i="5" s="1"/>
  <c r="Q984" i="5" l="1"/>
  <c r="T983" i="5" s="1"/>
  <c r="U983" i="5" s="1"/>
  <c r="R983" i="5"/>
  <c r="S983" i="5" s="1"/>
  <c r="T982" i="5"/>
  <c r="U982" i="5" s="1"/>
  <c r="Q985" i="5" l="1"/>
  <c r="R984" i="5"/>
  <c r="S984" i="5" s="1"/>
  <c r="Q986" i="5" l="1"/>
  <c r="T985" i="5" s="1"/>
  <c r="U985" i="5" s="1"/>
  <c r="R985" i="5"/>
  <c r="S985" i="5" s="1"/>
  <c r="T984" i="5"/>
  <c r="U984" i="5" s="1"/>
  <c r="Q987" i="5" l="1"/>
  <c r="R986" i="5"/>
  <c r="S986" i="5" s="1"/>
  <c r="Q988" i="5" l="1"/>
  <c r="T987" i="5" s="1"/>
  <c r="U987" i="5" s="1"/>
  <c r="R987" i="5"/>
  <c r="S987" i="5" s="1"/>
  <c r="T986" i="5"/>
  <c r="U986" i="5" s="1"/>
  <c r="Q989" i="5" l="1"/>
  <c r="R988" i="5"/>
  <c r="S988" i="5" s="1"/>
  <c r="Q990" i="5" l="1"/>
  <c r="T989" i="5"/>
  <c r="U989" i="5" s="1"/>
  <c r="R989" i="5"/>
  <c r="S989" i="5" s="1"/>
  <c r="T988" i="5"/>
  <c r="U988" i="5" s="1"/>
  <c r="Q991" i="5" l="1"/>
  <c r="R990" i="5"/>
  <c r="S990" i="5" s="1"/>
  <c r="Q992" i="5" l="1"/>
  <c r="T991" i="5" s="1"/>
  <c r="U991" i="5" s="1"/>
  <c r="R991" i="5"/>
  <c r="S991" i="5" s="1"/>
  <c r="T990" i="5"/>
  <c r="U990" i="5" s="1"/>
  <c r="Q993" i="5" l="1"/>
  <c r="R992" i="5"/>
  <c r="S992" i="5" s="1"/>
  <c r="Q994" i="5" l="1"/>
  <c r="T993" i="5" s="1"/>
  <c r="U993" i="5" s="1"/>
  <c r="R993" i="5"/>
  <c r="S993" i="5" s="1"/>
  <c r="T992" i="5"/>
  <c r="U992" i="5" s="1"/>
  <c r="Q995" i="5" l="1"/>
  <c r="R994" i="5"/>
  <c r="S994" i="5" s="1"/>
  <c r="Q996" i="5" l="1"/>
  <c r="T995" i="5" s="1"/>
  <c r="U995" i="5" s="1"/>
  <c r="R995" i="5"/>
  <c r="S995" i="5" s="1"/>
  <c r="T994" i="5"/>
  <c r="U994" i="5" s="1"/>
  <c r="Q997" i="5" l="1"/>
  <c r="R996" i="5"/>
  <c r="S996" i="5" s="1"/>
  <c r="Q998" i="5" l="1"/>
  <c r="T997" i="5" s="1"/>
  <c r="U997" i="5" s="1"/>
  <c r="R997" i="5"/>
  <c r="S997" i="5" s="1"/>
  <c r="T996" i="5"/>
  <c r="U996" i="5" s="1"/>
  <c r="Q999" i="5" l="1"/>
  <c r="R998" i="5"/>
  <c r="S998" i="5" s="1"/>
  <c r="Q1000" i="5" l="1"/>
  <c r="T999" i="5" s="1"/>
  <c r="U999" i="5" s="1"/>
  <c r="R999" i="5"/>
  <c r="S999" i="5" s="1"/>
  <c r="T998" i="5"/>
  <c r="U998" i="5" s="1"/>
  <c r="Q1001" i="5" l="1"/>
  <c r="R1000" i="5"/>
  <c r="S1000" i="5" s="1"/>
  <c r="Q1002" i="5" l="1"/>
  <c r="T1001" i="5" s="1"/>
  <c r="U1001" i="5" s="1"/>
  <c r="R1001" i="5"/>
  <c r="S1001" i="5" s="1"/>
  <c r="T1000" i="5"/>
  <c r="U1000" i="5" s="1"/>
  <c r="Q1003" i="5" l="1"/>
  <c r="R1002" i="5"/>
  <c r="S1002" i="5" s="1"/>
  <c r="T1003" i="5" l="1"/>
  <c r="U1003" i="5" s="1"/>
  <c r="C4" i="7" s="1"/>
  <c r="C8" i="7" s="1"/>
  <c r="R1003" i="5"/>
  <c r="S1003" i="5" s="1"/>
  <c r="C3" i="7" s="1"/>
  <c r="T1002" i="5"/>
  <c r="U1002" i="5" s="1"/>
  <c r="D13" i="7" l="1"/>
  <c r="C10" i="7"/>
  <c r="C14" i="7" s="1"/>
  <c r="H3" i="15" l="1"/>
  <c r="I3" i="15" l="1"/>
  <c r="C29" i="15"/>
  <c r="C31" i="15"/>
  <c r="C33" i="15"/>
  <c r="C35" i="15"/>
  <c r="C37" i="15"/>
  <c r="C39" i="15"/>
  <c r="C41" i="15"/>
  <c r="C43" i="15"/>
  <c r="C45" i="15"/>
  <c r="C47" i="15"/>
  <c r="C49" i="15"/>
  <c r="C51" i="15"/>
  <c r="C53" i="15"/>
  <c r="C55" i="15"/>
  <c r="C57" i="15"/>
  <c r="C59" i="15"/>
  <c r="C61" i="15"/>
  <c r="C63" i="15"/>
  <c r="C65" i="15"/>
  <c r="C67" i="15"/>
  <c r="C69" i="15"/>
  <c r="C71" i="15"/>
  <c r="C73" i="15"/>
  <c r="C75" i="15"/>
  <c r="C77" i="15"/>
  <c r="C79" i="15"/>
  <c r="C81" i="15"/>
  <c r="C83" i="15"/>
  <c r="C85" i="15"/>
  <c r="C87" i="15"/>
  <c r="C89" i="15"/>
  <c r="C91" i="15"/>
  <c r="C93" i="15"/>
  <c r="C95" i="15"/>
  <c r="C97" i="15"/>
  <c r="C99" i="15"/>
  <c r="C101" i="15"/>
  <c r="C103" i="15"/>
  <c r="C105" i="15"/>
  <c r="C107" i="15"/>
  <c r="C109" i="15"/>
  <c r="C111" i="15"/>
  <c r="C113" i="15"/>
  <c r="C115" i="15"/>
  <c r="C117" i="15"/>
  <c r="C119" i="15"/>
  <c r="C121" i="15"/>
  <c r="C123" i="15"/>
  <c r="C125" i="15"/>
  <c r="C127" i="15"/>
  <c r="C129" i="15"/>
  <c r="C131" i="15"/>
  <c r="C133" i="15"/>
  <c r="C135" i="15"/>
  <c r="C137" i="15"/>
  <c r="C139" i="15"/>
  <c r="C141" i="15"/>
  <c r="C143" i="15"/>
  <c r="C145" i="15"/>
  <c r="C148" i="15"/>
  <c r="C150" i="15"/>
  <c r="C152" i="15"/>
  <c r="C154" i="15"/>
  <c r="C156" i="15"/>
  <c r="C158" i="15"/>
  <c r="C160" i="15"/>
  <c r="C162" i="15"/>
  <c r="C164" i="15"/>
  <c r="C166" i="15"/>
  <c r="C168" i="15"/>
  <c r="C170" i="15"/>
  <c r="C172" i="15"/>
  <c r="C174" i="15"/>
  <c r="C176" i="15"/>
  <c r="C178" i="15"/>
  <c r="C180" i="15"/>
  <c r="C182" i="15"/>
  <c r="C184" i="15"/>
  <c r="C186" i="15"/>
  <c r="C188" i="15"/>
  <c r="C190" i="15"/>
  <c r="C192" i="15"/>
  <c r="C194" i="15"/>
  <c r="C196" i="15"/>
  <c r="C198" i="15"/>
  <c r="C200" i="15"/>
  <c r="C202" i="15"/>
  <c r="C204" i="15"/>
  <c r="C206" i="15"/>
  <c r="C208" i="15"/>
  <c r="C210" i="15"/>
  <c r="C212" i="15"/>
  <c r="C214" i="15"/>
  <c r="C216" i="15"/>
  <c r="C218" i="15"/>
  <c r="C220" i="15"/>
  <c r="C222" i="15"/>
  <c r="C224" i="15"/>
  <c r="C226" i="15"/>
  <c r="C228" i="15"/>
  <c r="C230" i="15"/>
  <c r="C232" i="15"/>
  <c r="C234" i="15"/>
  <c r="C236" i="15"/>
  <c r="C238" i="15"/>
  <c r="C240" i="15"/>
  <c r="C242" i="15"/>
  <c r="C244" i="15"/>
  <c r="C246" i="15"/>
  <c r="C248" i="15"/>
  <c r="C250" i="15"/>
  <c r="C252" i="15"/>
  <c r="C254" i="15"/>
  <c r="C256" i="15"/>
  <c r="C258" i="15"/>
  <c r="C260" i="15"/>
  <c r="C262" i="15"/>
  <c r="C264" i="15"/>
  <c r="C266" i="15"/>
  <c r="C268" i="15"/>
  <c r="C270" i="15"/>
  <c r="C272" i="15"/>
  <c r="C274" i="15"/>
  <c r="C276" i="15"/>
  <c r="C278" i="15"/>
  <c r="C280" i="15"/>
  <c r="C282" i="15"/>
  <c r="C284" i="15"/>
  <c r="C286" i="15"/>
  <c r="C288" i="15"/>
  <c r="C290" i="15"/>
  <c r="C292" i="15"/>
  <c r="C294" i="15"/>
  <c r="C296" i="15"/>
  <c r="C298" i="15"/>
  <c r="C28" i="15"/>
  <c r="C27" i="15"/>
  <c r="D27" i="15" s="1"/>
  <c r="C30" i="15"/>
  <c r="C32" i="15"/>
  <c r="C34" i="15"/>
  <c r="C36" i="15"/>
  <c r="C38" i="15"/>
  <c r="C40" i="15"/>
  <c r="C42" i="15"/>
  <c r="C44" i="15"/>
  <c r="C46" i="15"/>
  <c r="C48" i="15"/>
  <c r="C50" i="15"/>
  <c r="C52" i="15"/>
  <c r="C54" i="15"/>
  <c r="C56" i="15"/>
  <c r="C58" i="15"/>
  <c r="C60" i="15"/>
  <c r="C62" i="15"/>
  <c r="C64" i="15"/>
  <c r="C66" i="15"/>
  <c r="C68" i="15"/>
  <c r="C70" i="15"/>
  <c r="C72" i="15"/>
  <c r="C74" i="15"/>
  <c r="C76" i="15"/>
  <c r="C78" i="15"/>
  <c r="C80" i="15"/>
  <c r="C82" i="15"/>
  <c r="C84" i="15"/>
  <c r="C86" i="15"/>
  <c r="C88" i="15"/>
  <c r="C90" i="15"/>
  <c r="C92" i="15"/>
  <c r="C94" i="15"/>
  <c r="C96" i="15"/>
  <c r="C98" i="15"/>
  <c r="C100" i="15"/>
  <c r="C102" i="15"/>
  <c r="C104" i="15"/>
  <c r="C106" i="15"/>
  <c r="C108" i="15"/>
  <c r="C110" i="15"/>
  <c r="C112" i="15"/>
  <c r="C114" i="15"/>
  <c r="C116" i="15"/>
  <c r="C118" i="15"/>
  <c r="C120" i="15"/>
  <c r="C122" i="15"/>
  <c r="C124" i="15"/>
  <c r="C126" i="15"/>
  <c r="C128" i="15"/>
  <c r="C130" i="15"/>
  <c r="C132" i="15"/>
  <c r="C134" i="15"/>
  <c r="C136" i="15"/>
  <c r="C138" i="15"/>
  <c r="C140" i="15"/>
  <c r="C142" i="15"/>
  <c r="C144" i="15"/>
  <c r="C146" i="15"/>
  <c r="C147" i="15"/>
  <c r="C149" i="15"/>
  <c r="C151" i="15"/>
  <c r="C153" i="15"/>
  <c r="C155" i="15"/>
  <c r="C157" i="15"/>
  <c r="C159" i="15"/>
  <c r="C161" i="15"/>
  <c r="C163" i="15"/>
  <c r="C165" i="15"/>
  <c r="C167" i="15"/>
  <c r="C169" i="15"/>
  <c r="C171" i="15"/>
  <c r="C173" i="15"/>
  <c r="C175" i="15"/>
  <c r="C177" i="15"/>
  <c r="C179" i="15"/>
  <c r="C181" i="15"/>
  <c r="C183" i="15"/>
  <c r="C185" i="15"/>
  <c r="C187" i="15"/>
  <c r="C189" i="15"/>
  <c r="C191" i="15"/>
  <c r="C193" i="15"/>
  <c r="C195" i="15"/>
  <c r="C197" i="15"/>
  <c r="C199" i="15"/>
  <c r="C201" i="15"/>
  <c r="C203" i="15"/>
  <c r="C205" i="15"/>
  <c r="C207" i="15"/>
  <c r="C209" i="15"/>
  <c r="C211" i="15"/>
  <c r="C213" i="15"/>
  <c r="C215" i="15"/>
  <c r="C217" i="15"/>
  <c r="C219" i="15"/>
  <c r="C221" i="15"/>
  <c r="C223" i="15"/>
  <c r="C225" i="15"/>
  <c r="C227" i="15"/>
  <c r="C229" i="15"/>
  <c r="C231" i="15"/>
  <c r="C233" i="15"/>
  <c r="C235" i="15"/>
  <c r="C237" i="15"/>
  <c r="C239" i="15"/>
  <c r="C241" i="15"/>
  <c r="C243" i="15"/>
  <c r="C245" i="15"/>
  <c r="C247" i="15"/>
  <c r="C249" i="15"/>
  <c r="C251" i="15"/>
  <c r="C253" i="15"/>
  <c r="C255" i="15"/>
  <c r="C257" i="15"/>
  <c r="C259" i="15"/>
  <c r="C261" i="15"/>
  <c r="C263" i="15"/>
  <c r="C265" i="15"/>
  <c r="C267" i="15"/>
  <c r="C269" i="15"/>
  <c r="C271" i="15"/>
  <c r="C273" i="15"/>
  <c r="C275" i="15"/>
  <c r="C277" i="15"/>
  <c r="C279" i="15"/>
  <c r="C281" i="15"/>
  <c r="C283" i="15"/>
  <c r="C285" i="15"/>
  <c r="C287" i="15"/>
  <c r="C289" i="15"/>
  <c r="C291" i="15"/>
  <c r="C293" i="15"/>
  <c r="C295" i="15"/>
  <c r="C297" i="15"/>
  <c r="C299" i="15"/>
  <c r="C301" i="15"/>
  <c r="C303" i="15"/>
  <c r="C305" i="15"/>
  <c r="C307" i="15"/>
  <c r="C309" i="15"/>
  <c r="C311" i="15"/>
  <c r="C313" i="15"/>
  <c r="C315" i="15"/>
  <c r="C317" i="15"/>
  <c r="C319" i="15"/>
  <c r="C321" i="15"/>
  <c r="C323" i="15"/>
  <c r="C325" i="15"/>
  <c r="C327" i="15"/>
  <c r="C329" i="15"/>
  <c r="C331" i="15"/>
  <c r="C333" i="15"/>
  <c r="C335" i="15"/>
  <c r="C337" i="15"/>
  <c r="C339" i="15"/>
  <c r="C341" i="15"/>
  <c r="C343" i="15"/>
  <c r="C345" i="15"/>
  <c r="C347" i="15"/>
  <c r="C349" i="15"/>
  <c r="C351" i="15"/>
  <c r="C353" i="15"/>
  <c r="C355" i="15"/>
  <c r="C357" i="15"/>
  <c r="C359" i="15"/>
  <c r="C361" i="15"/>
  <c r="C363" i="15"/>
  <c r="C365" i="15"/>
  <c r="C367" i="15"/>
  <c r="C369" i="15"/>
  <c r="C371" i="15"/>
  <c r="C373" i="15"/>
  <c r="C375" i="15"/>
  <c r="C377" i="15"/>
  <c r="C379" i="15"/>
  <c r="C381" i="15"/>
  <c r="C383" i="15"/>
  <c r="C385" i="15"/>
  <c r="C387" i="15"/>
  <c r="C389" i="15"/>
  <c r="C391" i="15"/>
  <c r="C393" i="15"/>
  <c r="C395" i="15"/>
  <c r="C397" i="15"/>
  <c r="C399" i="15"/>
  <c r="C401" i="15"/>
  <c r="C403" i="15"/>
  <c r="C405" i="15"/>
  <c r="C407" i="15"/>
  <c r="C409" i="15"/>
  <c r="C411" i="15"/>
  <c r="C413" i="15"/>
  <c r="C415" i="15"/>
  <c r="C417" i="15"/>
  <c r="C419" i="15"/>
  <c r="C421" i="15"/>
  <c r="C423" i="15"/>
  <c r="C425" i="15"/>
  <c r="C427" i="15"/>
  <c r="C429" i="15"/>
  <c r="C431" i="15"/>
  <c r="C433" i="15"/>
  <c r="C435" i="15"/>
  <c r="C437" i="15"/>
  <c r="C439" i="15"/>
  <c r="C441" i="15"/>
  <c r="C443" i="15"/>
  <c r="C445" i="15"/>
  <c r="C447" i="15"/>
  <c r="C449" i="15"/>
  <c r="C451" i="15"/>
  <c r="C453" i="15"/>
  <c r="C455" i="15"/>
  <c r="C457" i="15"/>
  <c r="C459" i="15"/>
  <c r="C461" i="15"/>
  <c r="C463" i="15"/>
  <c r="C465" i="15"/>
  <c r="C467" i="15"/>
  <c r="C469" i="15"/>
  <c r="C471" i="15"/>
  <c r="C473" i="15"/>
  <c r="C475" i="15"/>
  <c r="C477" i="15"/>
  <c r="C479" i="15"/>
  <c r="C481" i="15"/>
  <c r="C483" i="15"/>
  <c r="C485" i="15"/>
  <c r="C487" i="15"/>
  <c r="C489" i="15"/>
  <c r="C491" i="15"/>
  <c r="C493" i="15"/>
  <c r="C495" i="15"/>
  <c r="C497" i="15"/>
  <c r="C499" i="15"/>
  <c r="C300" i="15"/>
  <c r="C302" i="15"/>
  <c r="C304" i="15"/>
  <c r="C306" i="15"/>
  <c r="C308" i="15"/>
  <c r="C310" i="15"/>
  <c r="C312" i="15"/>
  <c r="C314" i="15"/>
  <c r="C316" i="15"/>
  <c r="C318" i="15"/>
  <c r="C320" i="15"/>
  <c r="C322" i="15"/>
  <c r="C324" i="15"/>
  <c r="C326" i="15"/>
  <c r="C328" i="15"/>
  <c r="C330" i="15"/>
  <c r="C332" i="15"/>
  <c r="C334" i="15"/>
  <c r="C336" i="15"/>
  <c r="C338" i="15"/>
  <c r="C340" i="15"/>
  <c r="C342" i="15"/>
  <c r="C344" i="15"/>
  <c r="C346" i="15"/>
  <c r="C348" i="15"/>
  <c r="C350" i="15"/>
  <c r="C352" i="15"/>
  <c r="C354" i="15"/>
  <c r="C356" i="15"/>
  <c r="C358" i="15"/>
  <c r="C360" i="15"/>
  <c r="C362" i="15"/>
  <c r="C364" i="15"/>
  <c r="C366" i="15"/>
  <c r="C368" i="15"/>
  <c r="C370" i="15"/>
  <c r="C372" i="15"/>
  <c r="C374" i="15"/>
  <c r="C376" i="15"/>
  <c r="C378" i="15"/>
  <c r="C380" i="15"/>
  <c r="C382" i="15"/>
  <c r="C384" i="15"/>
  <c r="C386" i="15"/>
  <c r="C388" i="15"/>
  <c r="C390" i="15"/>
  <c r="C392" i="15"/>
  <c r="C394" i="15"/>
  <c r="C396" i="15"/>
  <c r="C398" i="15"/>
  <c r="C400" i="15"/>
  <c r="C402" i="15"/>
  <c r="C404" i="15"/>
  <c r="C406" i="15"/>
  <c r="C408" i="15"/>
  <c r="C410" i="15"/>
  <c r="C412" i="15"/>
  <c r="C414" i="15"/>
  <c r="C416" i="15"/>
  <c r="C418" i="15"/>
  <c r="C420" i="15"/>
  <c r="C422" i="15"/>
  <c r="C424" i="15"/>
  <c r="C426" i="15"/>
  <c r="C428" i="15"/>
  <c r="C430" i="15"/>
  <c r="C432" i="15"/>
  <c r="C434" i="15"/>
  <c r="C436" i="15"/>
  <c r="C438" i="15"/>
  <c r="C440" i="15"/>
  <c r="C442" i="15"/>
  <c r="C444" i="15"/>
  <c r="C446" i="15"/>
  <c r="C448" i="15"/>
  <c r="C450" i="15"/>
  <c r="C452" i="15"/>
  <c r="C454" i="15"/>
  <c r="C456" i="15"/>
  <c r="C458" i="15"/>
  <c r="C460" i="15"/>
  <c r="C462" i="15"/>
  <c r="C464" i="15"/>
  <c r="C466" i="15"/>
  <c r="C468" i="15"/>
  <c r="C470" i="15"/>
  <c r="C472" i="15"/>
  <c r="C474" i="15"/>
  <c r="C476" i="15"/>
  <c r="C478" i="15"/>
  <c r="C480" i="15"/>
  <c r="C482" i="15"/>
  <c r="C484" i="15"/>
  <c r="C486" i="15"/>
  <c r="C488" i="15"/>
  <c r="C490" i="15"/>
  <c r="C492" i="15"/>
  <c r="C494" i="15"/>
  <c r="C496" i="15"/>
  <c r="C498" i="15"/>
  <c r="C500" i="15"/>
  <c r="C502" i="15"/>
  <c r="C504" i="15"/>
  <c r="C506" i="15"/>
  <c r="C508" i="15"/>
  <c r="C510" i="15"/>
  <c r="C512" i="15"/>
  <c r="C514" i="15"/>
  <c r="C516" i="15"/>
  <c r="C518" i="15"/>
  <c r="C520" i="15"/>
  <c r="C522" i="15"/>
  <c r="C524" i="15"/>
  <c r="C526" i="15"/>
  <c r="C528" i="15"/>
  <c r="C530" i="15"/>
  <c r="C532" i="15"/>
  <c r="C534" i="15"/>
  <c r="C536" i="15"/>
  <c r="C538" i="15"/>
  <c r="C540" i="15"/>
  <c r="C542" i="15"/>
  <c r="C544" i="15"/>
  <c r="C546" i="15"/>
  <c r="C548" i="15"/>
  <c r="C550" i="15"/>
  <c r="C552" i="15"/>
  <c r="C554" i="15"/>
  <c r="C556" i="15"/>
  <c r="C558" i="15"/>
  <c r="C560" i="15"/>
  <c r="C562" i="15"/>
  <c r="C564" i="15"/>
  <c r="C566" i="15"/>
  <c r="C568" i="15"/>
  <c r="C570" i="15"/>
  <c r="C572" i="15"/>
  <c r="C574" i="15"/>
  <c r="C576" i="15"/>
  <c r="C578" i="15"/>
  <c r="C580" i="15"/>
  <c r="C582" i="15"/>
  <c r="C584" i="15"/>
  <c r="C586" i="15"/>
  <c r="C588" i="15"/>
  <c r="C590" i="15"/>
  <c r="C592" i="15"/>
  <c r="C594" i="15"/>
  <c r="C596" i="15"/>
  <c r="C598" i="15"/>
  <c r="C600" i="15"/>
  <c r="C602" i="15"/>
  <c r="C604" i="15"/>
  <c r="C606" i="15"/>
  <c r="C608" i="15"/>
  <c r="C610" i="15"/>
  <c r="C612" i="15"/>
  <c r="C614" i="15"/>
  <c r="C616" i="15"/>
  <c r="C618" i="15"/>
  <c r="C620" i="15"/>
  <c r="C622" i="15"/>
  <c r="C624" i="15"/>
  <c r="C626" i="15"/>
  <c r="C628" i="15"/>
  <c r="C630" i="15"/>
  <c r="C632" i="15"/>
  <c r="C634" i="15"/>
  <c r="C636" i="15"/>
  <c r="C638" i="15"/>
  <c r="C640" i="15"/>
  <c r="C642" i="15"/>
  <c r="C644" i="15"/>
  <c r="C646" i="15"/>
  <c r="C648" i="15"/>
  <c r="C650" i="15"/>
  <c r="C652" i="15"/>
  <c r="C654" i="15"/>
  <c r="C656" i="15"/>
  <c r="C658" i="15"/>
  <c r="C660" i="15"/>
  <c r="C662" i="15"/>
  <c r="C664" i="15"/>
  <c r="C666" i="15"/>
  <c r="C668" i="15"/>
  <c r="C670" i="15"/>
  <c r="C672" i="15"/>
  <c r="C674" i="15"/>
  <c r="C676" i="15"/>
  <c r="C678" i="15"/>
  <c r="C680" i="15"/>
  <c r="C682" i="15"/>
  <c r="C684" i="15"/>
  <c r="C686" i="15"/>
  <c r="C688" i="15"/>
  <c r="C690" i="15"/>
  <c r="C692" i="15"/>
  <c r="C694" i="15"/>
  <c r="C696" i="15"/>
  <c r="C698" i="15"/>
  <c r="C700" i="15"/>
  <c r="C702" i="15"/>
  <c r="C704" i="15"/>
  <c r="C706" i="15"/>
  <c r="C708" i="15"/>
  <c r="C710" i="15"/>
  <c r="C712" i="15"/>
  <c r="C714" i="15"/>
  <c r="C716" i="15"/>
  <c r="C718" i="15"/>
  <c r="C720" i="15"/>
  <c r="C722" i="15"/>
  <c r="C724" i="15"/>
  <c r="C726" i="15"/>
  <c r="C728" i="15"/>
  <c r="C730" i="15"/>
  <c r="C732" i="15"/>
  <c r="C734" i="15"/>
  <c r="C736" i="15"/>
  <c r="C738" i="15"/>
  <c r="C740" i="15"/>
  <c r="C742" i="15"/>
  <c r="C744" i="15"/>
  <c r="C746" i="15"/>
  <c r="C748" i="15"/>
  <c r="C750" i="15"/>
  <c r="C752" i="15"/>
  <c r="C754" i="15"/>
  <c r="C756" i="15"/>
  <c r="C758" i="15"/>
  <c r="C760" i="15"/>
  <c r="C762" i="15"/>
  <c r="C764" i="15"/>
  <c r="C766" i="15"/>
  <c r="C768" i="15"/>
  <c r="C770" i="15"/>
  <c r="C772" i="15"/>
  <c r="C774" i="15"/>
  <c r="C776" i="15"/>
  <c r="C778" i="15"/>
  <c r="C780" i="15"/>
  <c r="C782" i="15"/>
  <c r="C784" i="15"/>
  <c r="C786" i="15"/>
  <c r="C788" i="15"/>
  <c r="C790" i="15"/>
  <c r="C792" i="15"/>
  <c r="C794" i="15"/>
  <c r="C796" i="15"/>
  <c r="C798" i="15"/>
  <c r="C800" i="15"/>
  <c r="C802" i="15"/>
  <c r="C804" i="15"/>
  <c r="C806" i="15"/>
  <c r="C808" i="15"/>
  <c r="C810" i="15"/>
  <c r="C812" i="15"/>
  <c r="C814" i="15"/>
  <c r="C816" i="15"/>
  <c r="C818" i="15"/>
  <c r="C820" i="15"/>
  <c r="C822" i="15"/>
  <c r="C824" i="15"/>
  <c r="C826" i="15"/>
  <c r="C828" i="15"/>
  <c r="C830" i="15"/>
  <c r="C832" i="15"/>
  <c r="C834" i="15"/>
  <c r="C836" i="15"/>
  <c r="C838" i="15"/>
  <c r="C840" i="15"/>
  <c r="C842" i="15"/>
  <c r="C844" i="15"/>
  <c r="C846" i="15"/>
  <c r="C848" i="15"/>
  <c r="C850" i="15"/>
  <c r="C852" i="15"/>
  <c r="C854" i="15"/>
  <c r="C855" i="15"/>
  <c r="C857" i="15"/>
  <c r="C859" i="15"/>
  <c r="C861" i="15"/>
  <c r="C863" i="15"/>
  <c r="C865" i="15"/>
  <c r="C867" i="15"/>
  <c r="C869" i="15"/>
  <c r="C871" i="15"/>
  <c r="C873" i="15"/>
  <c r="C875" i="15"/>
  <c r="C877" i="15"/>
  <c r="C879" i="15"/>
  <c r="C881" i="15"/>
  <c r="C883" i="15"/>
  <c r="C885" i="15"/>
  <c r="C887" i="15"/>
  <c r="C889" i="15"/>
  <c r="C891" i="15"/>
  <c r="C893" i="15"/>
  <c r="C895" i="15"/>
  <c r="C897" i="15"/>
  <c r="C899" i="15"/>
  <c r="C901" i="15"/>
  <c r="C903" i="15"/>
  <c r="C905" i="15"/>
  <c r="C907" i="15"/>
  <c r="C909" i="15"/>
  <c r="C911" i="15"/>
  <c r="C913" i="15"/>
  <c r="C915" i="15"/>
  <c r="C917" i="15"/>
  <c r="C919" i="15"/>
  <c r="C921" i="15"/>
  <c r="C923" i="15"/>
  <c r="C925" i="15"/>
  <c r="C927" i="15"/>
  <c r="C929" i="15"/>
  <c r="C931" i="15"/>
  <c r="C933" i="15"/>
  <c r="C935" i="15"/>
  <c r="C937" i="15"/>
  <c r="C939" i="15"/>
  <c r="C941" i="15"/>
  <c r="C943" i="15"/>
  <c r="C945" i="15"/>
  <c r="C947" i="15"/>
  <c r="C949" i="15"/>
  <c r="C951" i="15"/>
  <c r="C953" i="15"/>
  <c r="C955" i="15"/>
  <c r="C957" i="15"/>
  <c r="C501" i="15"/>
  <c r="C503" i="15"/>
  <c r="C505" i="15"/>
  <c r="C507" i="15"/>
  <c r="C509" i="15"/>
  <c r="C511" i="15"/>
  <c r="C513" i="15"/>
  <c r="C515" i="15"/>
  <c r="C517" i="15"/>
  <c r="C519" i="15"/>
  <c r="C521" i="15"/>
  <c r="C523" i="15"/>
  <c r="C525" i="15"/>
  <c r="C527" i="15"/>
  <c r="C529" i="15"/>
  <c r="C531" i="15"/>
  <c r="C533" i="15"/>
  <c r="C535" i="15"/>
  <c r="C537" i="15"/>
  <c r="C539" i="15"/>
  <c r="C541" i="15"/>
  <c r="C543" i="15"/>
  <c r="C545" i="15"/>
  <c r="C547" i="15"/>
  <c r="C549" i="15"/>
  <c r="C551" i="15"/>
  <c r="C553" i="15"/>
  <c r="C555" i="15"/>
  <c r="C557" i="15"/>
  <c r="C559" i="15"/>
  <c r="C561" i="15"/>
  <c r="C563" i="15"/>
  <c r="C565" i="15"/>
  <c r="C567" i="15"/>
  <c r="C569" i="15"/>
  <c r="C571" i="15"/>
  <c r="C573" i="15"/>
  <c r="C575" i="15"/>
  <c r="C577" i="15"/>
  <c r="C579" i="15"/>
  <c r="C581" i="15"/>
  <c r="C583" i="15"/>
  <c r="C585" i="15"/>
  <c r="C587" i="15"/>
  <c r="C589" i="15"/>
  <c r="C591" i="15"/>
  <c r="C593" i="15"/>
  <c r="C595" i="15"/>
  <c r="C597" i="15"/>
  <c r="C599" i="15"/>
  <c r="C601" i="15"/>
  <c r="C603" i="15"/>
  <c r="C605" i="15"/>
  <c r="C607" i="15"/>
  <c r="C609" i="15"/>
  <c r="C611" i="15"/>
  <c r="C613" i="15"/>
  <c r="C615" i="15"/>
  <c r="C617" i="15"/>
  <c r="C619" i="15"/>
  <c r="C621" i="15"/>
  <c r="C623" i="15"/>
  <c r="C625" i="15"/>
  <c r="C627" i="15"/>
  <c r="C629" i="15"/>
  <c r="C631" i="15"/>
  <c r="C633" i="15"/>
  <c r="C635" i="15"/>
  <c r="C637" i="15"/>
  <c r="C639" i="15"/>
  <c r="C641" i="15"/>
  <c r="C643" i="15"/>
  <c r="C645" i="15"/>
  <c r="C647" i="15"/>
  <c r="C649" i="15"/>
  <c r="C651" i="15"/>
  <c r="C653" i="15"/>
  <c r="C655" i="15"/>
  <c r="C657" i="15"/>
  <c r="C659" i="15"/>
  <c r="C661" i="15"/>
  <c r="C663" i="15"/>
  <c r="C665" i="15"/>
  <c r="C667" i="15"/>
  <c r="C669" i="15"/>
  <c r="C671" i="15"/>
  <c r="C673" i="15"/>
  <c r="C675" i="15"/>
  <c r="C677" i="15"/>
  <c r="C679" i="15"/>
  <c r="C681" i="15"/>
  <c r="C683" i="15"/>
  <c r="C685" i="15"/>
  <c r="C687" i="15"/>
  <c r="C689" i="15"/>
  <c r="C691" i="15"/>
  <c r="C693" i="15"/>
  <c r="C695" i="15"/>
  <c r="C697" i="15"/>
  <c r="C699" i="15"/>
  <c r="C701" i="15"/>
  <c r="C703" i="15"/>
  <c r="C705" i="15"/>
  <c r="C707" i="15"/>
  <c r="C709" i="15"/>
  <c r="C711" i="15"/>
  <c r="C713" i="15"/>
  <c r="C715" i="15"/>
  <c r="C717" i="15"/>
  <c r="C719" i="15"/>
  <c r="C721" i="15"/>
  <c r="C723" i="15"/>
  <c r="C725" i="15"/>
  <c r="C727" i="15"/>
  <c r="C729" i="15"/>
  <c r="C731" i="15"/>
  <c r="C733" i="15"/>
  <c r="C735" i="15"/>
  <c r="C737" i="15"/>
  <c r="C739" i="15"/>
  <c r="C741" i="15"/>
  <c r="C743" i="15"/>
  <c r="C745" i="15"/>
  <c r="C747" i="15"/>
  <c r="C749" i="15"/>
  <c r="C751" i="15"/>
  <c r="C753" i="15"/>
  <c r="C755" i="15"/>
  <c r="C757" i="15"/>
  <c r="C759" i="15"/>
  <c r="C761" i="15"/>
  <c r="C763" i="15"/>
  <c r="C765" i="15"/>
  <c r="C767" i="15"/>
  <c r="C769" i="15"/>
  <c r="C771" i="15"/>
  <c r="C773" i="15"/>
  <c r="C775" i="15"/>
  <c r="C777" i="15"/>
  <c r="C779" i="15"/>
  <c r="C781" i="15"/>
  <c r="C783" i="15"/>
  <c r="C785" i="15"/>
  <c r="C787" i="15"/>
  <c r="C789" i="15"/>
  <c r="C791" i="15"/>
  <c r="C793" i="15"/>
  <c r="C795" i="15"/>
  <c r="C797" i="15"/>
  <c r="C799" i="15"/>
  <c r="C801" i="15"/>
  <c r="C803" i="15"/>
  <c r="C805" i="15"/>
  <c r="C807" i="15"/>
  <c r="C809" i="15"/>
  <c r="C811" i="15"/>
  <c r="C813" i="15"/>
  <c r="C815" i="15"/>
  <c r="C817" i="15"/>
  <c r="C819" i="15"/>
  <c r="C821" i="15"/>
  <c r="C823" i="15"/>
  <c r="C825" i="15"/>
  <c r="C827" i="15"/>
  <c r="C829" i="15"/>
  <c r="C831" i="15"/>
  <c r="C833" i="15"/>
  <c r="C835" i="15"/>
  <c r="C837" i="15"/>
  <c r="C839" i="15"/>
  <c r="C841" i="15"/>
  <c r="C843" i="15"/>
  <c r="C845" i="15"/>
  <c r="C847" i="15"/>
  <c r="C849" i="15"/>
  <c r="C851" i="15"/>
  <c r="C853" i="15"/>
  <c r="C856" i="15"/>
  <c r="C858" i="15"/>
  <c r="C860" i="15"/>
  <c r="C862" i="15"/>
  <c r="C864" i="15"/>
  <c r="C866" i="15"/>
  <c r="C868" i="15"/>
  <c r="C870" i="15"/>
  <c r="C872" i="15"/>
  <c r="C874" i="15"/>
  <c r="C876" i="15"/>
  <c r="C878" i="15"/>
  <c r="C880" i="15"/>
  <c r="C882" i="15"/>
  <c r="C884" i="15"/>
  <c r="C886" i="15"/>
  <c r="C888" i="15"/>
  <c r="C890" i="15"/>
  <c r="C892" i="15"/>
  <c r="C894" i="15"/>
  <c r="C896" i="15"/>
  <c r="C898" i="15"/>
  <c r="C900" i="15"/>
  <c r="C902" i="15"/>
  <c r="C904" i="15"/>
  <c r="C906" i="15"/>
  <c r="C908" i="15"/>
  <c r="C910" i="15"/>
  <c r="C912" i="15"/>
  <c r="C914" i="15"/>
  <c r="C916" i="15"/>
  <c r="C918" i="15"/>
  <c r="C920" i="15"/>
  <c r="C922" i="15"/>
  <c r="C924" i="15"/>
  <c r="C926" i="15"/>
  <c r="C928" i="15"/>
  <c r="C930" i="15"/>
  <c r="C932" i="15"/>
  <c r="C934" i="15"/>
  <c r="C936" i="15"/>
  <c r="C938" i="15"/>
  <c r="C940" i="15"/>
  <c r="C942" i="15"/>
  <c r="C944" i="15"/>
  <c r="C946" i="15"/>
  <c r="C948" i="15"/>
  <c r="C950" i="15"/>
  <c r="C952" i="15"/>
  <c r="C954" i="15"/>
  <c r="C956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J3" i="15"/>
  <c r="I27" i="15"/>
  <c r="E27" i="15"/>
  <c r="AD3" i="5" s="1"/>
  <c r="F27" i="15" l="1"/>
  <c r="D28" i="15"/>
  <c r="A27" i="15" l="1"/>
  <c r="E28" i="15"/>
  <c r="AD4" i="5" s="1"/>
  <c r="F28" i="15" l="1"/>
  <c r="A28" i="15" l="1"/>
  <c r="E29" i="15"/>
  <c r="AD5" i="5" s="1"/>
  <c r="D29" i="15"/>
  <c r="F29" i="15" s="1"/>
  <c r="A29" i="15" l="1"/>
  <c r="E30" i="15"/>
  <c r="AD6" i="5" s="1"/>
  <c r="D30" i="15"/>
  <c r="F30" i="15" l="1"/>
  <c r="A30" i="15" l="1"/>
  <c r="E31" i="15"/>
  <c r="AD7" i="5" s="1"/>
  <c r="D31" i="15"/>
  <c r="F31" i="15" s="1"/>
  <c r="A31" i="15" l="1"/>
  <c r="E32" i="15"/>
  <c r="AD8" i="5" s="1"/>
  <c r="D32" i="15"/>
  <c r="F32" i="15" s="1"/>
  <c r="A32" i="15" l="1"/>
  <c r="E33" i="15"/>
  <c r="AD9" i="5" s="1"/>
  <c r="D33" i="15"/>
  <c r="F33" i="15" l="1"/>
  <c r="A33" i="15" l="1"/>
  <c r="E34" i="15"/>
  <c r="AD10" i="5" s="1"/>
  <c r="D34" i="15"/>
  <c r="F34" i="15" l="1"/>
  <c r="A34" i="15" l="1"/>
  <c r="E35" i="15"/>
  <c r="AD11" i="5" s="1"/>
  <c r="D35" i="15"/>
  <c r="F35" i="15" l="1"/>
  <c r="A35" i="15" l="1"/>
  <c r="E36" i="15"/>
  <c r="AD12" i="5" s="1"/>
  <c r="D36" i="15"/>
  <c r="F36" i="15" l="1"/>
  <c r="A36" i="15" l="1"/>
  <c r="E37" i="15"/>
  <c r="AD13" i="5" s="1"/>
  <c r="D37" i="15"/>
  <c r="F37" i="15" l="1"/>
  <c r="A37" i="15" l="1"/>
  <c r="E38" i="15"/>
  <c r="AD14" i="5" s="1"/>
  <c r="D38" i="15"/>
  <c r="F38" i="15" l="1"/>
  <c r="A38" i="15" l="1"/>
  <c r="E39" i="15"/>
  <c r="AD15" i="5" s="1"/>
  <c r="D39" i="15"/>
  <c r="F39" i="15" l="1"/>
  <c r="A39" i="15" l="1"/>
  <c r="E40" i="15"/>
  <c r="AD16" i="5" s="1"/>
  <c r="D40" i="15"/>
  <c r="F40" i="15" l="1"/>
  <c r="A40" i="15" l="1"/>
  <c r="E41" i="15"/>
  <c r="AD17" i="5" s="1"/>
  <c r="D41" i="15"/>
  <c r="F41" i="15" l="1"/>
  <c r="A41" i="15" l="1"/>
  <c r="E42" i="15"/>
  <c r="AD18" i="5" s="1"/>
  <c r="D42" i="15"/>
  <c r="F42" i="15" l="1"/>
  <c r="F43" i="15" l="1"/>
  <c r="A42" i="15"/>
  <c r="E43" i="15"/>
  <c r="AD19" i="5" s="1"/>
  <c r="D43" i="15"/>
  <c r="A43" i="15" l="1"/>
  <c r="E44" i="15"/>
  <c r="AD20" i="5" s="1"/>
  <c r="D44" i="15"/>
  <c r="F44" i="15" s="1"/>
  <c r="A44" i="15" l="1"/>
  <c r="E45" i="15"/>
  <c r="AD21" i="5" s="1"/>
  <c r="D45" i="15"/>
  <c r="F45" i="15" s="1"/>
  <c r="A45" i="15" l="1"/>
  <c r="E46" i="15"/>
  <c r="AD22" i="5" s="1"/>
  <c r="D46" i="15"/>
  <c r="F46" i="15" s="1"/>
  <c r="A46" i="15" l="1"/>
  <c r="E47" i="15"/>
  <c r="AD23" i="5" s="1"/>
  <c r="D47" i="15"/>
  <c r="F47" i="15" s="1"/>
  <c r="A47" i="15" l="1"/>
  <c r="E48" i="15"/>
  <c r="AD24" i="5" s="1"/>
  <c r="D48" i="15"/>
  <c r="F48" i="15" s="1"/>
  <c r="A48" i="15" l="1"/>
  <c r="E49" i="15"/>
  <c r="AD25" i="5" s="1"/>
  <c r="D49" i="15"/>
  <c r="F49" i="15" s="1"/>
  <c r="A49" i="15" l="1"/>
  <c r="E50" i="15"/>
  <c r="AD26" i="5" s="1"/>
  <c r="D50" i="15"/>
  <c r="F50" i="15" s="1"/>
  <c r="A50" i="15" l="1"/>
  <c r="E51" i="15"/>
  <c r="AD27" i="5" s="1"/>
  <c r="D51" i="15"/>
  <c r="F51" i="15" s="1"/>
  <c r="A51" i="15" l="1"/>
  <c r="E52" i="15"/>
  <c r="AD28" i="5" s="1"/>
  <c r="D52" i="15"/>
  <c r="F52" i="15" s="1"/>
  <c r="A52" i="15" l="1"/>
  <c r="E53" i="15"/>
  <c r="AD29" i="5" s="1"/>
  <c r="D53" i="15"/>
  <c r="F53" i="15" s="1"/>
  <c r="A53" i="15" l="1"/>
  <c r="E54" i="15"/>
  <c r="AD30" i="5" s="1"/>
  <c r="D54" i="15"/>
  <c r="F54" i="15" s="1"/>
  <c r="A54" i="15" l="1"/>
  <c r="E55" i="15"/>
  <c r="AD31" i="5" s="1"/>
  <c r="D55" i="15"/>
  <c r="F55" i="15" s="1"/>
  <c r="A55" i="15" l="1"/>
  <c r="E56" i="15"/>
  <c r="AD32" i="5" s="1"/>
  <c r="D56" i="15"/>
  <c r="F56" i="15" s="1"/>
  <c r="A56" i="15" l="1"/>
  <c r="E57" i="15"/>
  <c r="AD33" i="5" s="1"/>
  <c r="D57" i="15"/>
  <c r="F57" i="15" s="1"/>
  <c r="A57" i="15" l="1"/>
  <c r="E58" i="15"/>
  <c r="AD34" i="5" s="1"/>
  <c r="D58" i="15"/>
  <c r="F58" i="15" s="1"/>
  <c r="A58" i="15" l="1"/>
  <c r="E59" i="15"/>
  <c r="AD35" i="5" s="1"/>
  <c r="D59" i="15"/>
  <c r="F59" i="15" s="1"/>
  <c r="A59" i="15" l="1"/>
  <c r="E60" i="15"/>
  <c r="AD36" i="5" s="1"/>
  <c r="D60" i="15"/>
  <c r="F60" i="15" s="1"/>
  <c r="A60" i="15" l="1"/>
  <c r="E61" i="15"/>
  <c r="AD37" i="5" s="1"/>
  <c r="D61" i="15"/>
  <c r="F61" i="15" s="1"/>
  <c r="A61" i="15" l="1"/>
  <c r="E62" i="15"/>
  <c r="AD38" i="5" s="1"/>
  <c r="D62" i="15"/>
  <c r="F62" i="15" s="1"/>
  <c r="A62" i="15" l="1"/>
  <c r="E63" i="15"/>
  <c r="AD39" i="5" s="1"/>
  <c r="D63" i="15"/>
  <c r="F63" i="15" s="1"/>
  <c r="A63" i="15" l="1"/>
  <c r="E64" i="15"/>
  <c r="AD40" i="5" s="1"/>
  <c r="D64" i="15"/>
  <c r="F64" i="15" s="1"/>
  <c r="A64" i="15" l="1"/>
  <c r="E65" i="15"/>
  <c r="AD41" i="5" s="1"/>
  <c r="D65" i="15"/>
  <c r="F65" i="15" s="1"/>
  <c r="A65" i="15" l="1"/>
  <c r="E66" i="15"/>
  <c r="AD42" i="5" s="1"/>
  <c r="D66" i="15"/>
  <c r="F66" i="15" s="1"/>
  <c r="A66" i="15" l="1"/>
  <c r="E67" i="15"/>
  <c r="AD43" i="5" s="1"/>
  <c r="D67" i="15"/>
  <c r="F67" i="15" s="1"/>
  <c r="A67" i="15" l="1"/>
  <c r="E68" i="15"/>
  <c r="AD44" i="5" s="1"/>
  <c r="D68" i="15"/>
  <c r="F68" i="15" s="1"/>
  <c r="A68" i="15" l="1"/>
  <c r="E69" i="15"/>
  <c r="AD45" i="5" s="1"/>
  <c r="D69" i="15"/>
  <c r="F69" i="15" s="1"/>
  <c r="A69" i="15" l="1"/>
  <c r="E70" i="15"/>
  <c r="AD46" i="5" s="1"/>
  <c r="D70" i="15"/>
  <c r="F70" i="15" s="1"/>
  <c r="A70" i="15" l="1"/>
  <c r="E71" i="15"/>
  <c r="AD47" i="5" s="1"/>
  <c r="D71" i="15"/>
  <c r="F71" i="15" s="1"/>
  <c r="A71" i="15" l="1"/>
  <c r="E72" i="15"/>
  <c r="AD48" i="5" s="1"/>
  <c r="D72" i="15"/>
  <c r="F72" i="15" s="1"/>
  <c r="A72" i="15" l="1"/>
  <c r="E73" i="15"/>
  <c r="AD49" i="5" s="1"/>
  <c r="D73" i="15"/>
  <c r="F73" i="15" s="1"/>
  <c r="A73" i="15" l="1"/>
  <c r="E74" i="15"/>
  <c r="AD50" i="5" s="1"/>
  <c r="D74" i="15"/>
  <c r="F74" i="15" s="1"/>
  <c r="A74" i="15" l="1"/>
  <c r="E75" i="15"/>
  <c r="AD51" i="5" s="1"/>
  <c r="D75" i="15"/>
  <c r="F75" i="15" s="1"/>
  <c r="A75" i="15" l="1"/>
  <c r="E76" i="15"/>
  <c r="AD52" i="5" s="1"/>
  <c r="D76" i="15"/>
  <c r="F76" i="15" s="1"/>
  <c r="A76" i="15" l="1"/>
  <c r="E77" i="15"/>
  <c r="AD53" i="5" s="1"/>
  <c r="D77" i="15"/>
  <c r="F77" i="15" s="1"/>
  <c r="A77" i="15" l="1"/>
  <c r="E78" i="15"/>
  <c r="AD54" i="5" s="1"/>
  <c r="D78" i="15"/>
  <c r="F78" i="15" s="1"/>
  <c r="A78" i="15" l="1"/>
  <c r="E79" i="15"/>
  <c r="AD55" i="5" s="1"/>
  <c r="D79" i="15"/>
  <c r="F79" i="15" s="1"/>
  <c r="A79" i="15" l="1"/>
  <c r="E80" i="15"/>
  <c r="AD56" i="5" s="1"/>
  <c r="D80" i="15"/>
  <c r="F80" i="15" s="1"/>
  <c r="A80" i="15" l="1"/>
  <c r="E81" i="15"/>
  <c r="AD57" i="5" s="1"/>
  <c r="D81" i="15"/>
  <c r="F81" i="15" s="1"/>
  <c r="A81" i="15" l="1"/>
  <c r="E82" i="15"/>
  <c r="AD58" i="5" s="1"/>
  <c r="D82" i="15"/>
  <c r="F82" i="15" s="1"/>
  <c r="A82" i="15" l="1"/>
  <c r="E83" i="15"/>
  <c r="AD59" i="5" s="1"/>
  <c r="D83" i="15"/>
  <c r="F83" i="15" s="1"/>
  <c r="A83" i="15" l="1"/>
  <c r="E84" i="15"/>
  <c r="AD60" i="5" s="1"/>
  <c r="D84" i="15"/>
  <c r="F84" i="15" s="1"/>
  <c r="A84" i="15" l="1"/>
  <c r="E85" i="15"/>
  <c r="AD61" i="5" s="1"/>
  <c r="D85" i="15"/>
  <c r="F85" i="15" s="1"/>
  <c r="A85" i="15" l="1"/>
  <c r="E86" i="15"/>
  <c r="AD62" i="5" s="1"/>
  <c r="D86" i="15"/>
  <c r="F86" i="15" s="1"/>
  <c r="A86" i="15" l="1"/>
  <c r="E87" i="15"/>
  <c r="AD63" i="5" s="1"/>
  <c r="D87" i="15"/>
  <c r="F87" i="15" s="1"/>
  <c r="A87" i="15" l="1"/>
  <c r="E88" i="15"/>
  <c r="AD64" i="5" s="1"/>
  <c r="D88" i="15"/>
  <c r="F88" i="15" s="1"/>
  <c r="A88" i="15" l="1"/>
  <c r="E89" i="15"/>
  <c r="AD65" i="5" s="1"/>
  <c r="D89" i="15"/>
  <c r="F89" i="15" s="1"/>
  <c r="A89" i="15" l="1"/>
  <c r="E90" i="15"/>
  <c r="AD66" i="5" s="1"/>
  <c r="D90" i="15"/>
  <c r="F90" i="15" s="1"/>
  <c r="A90" i="15" l="1"/>
  <c r="E91" i="15"/>
  <c r="AD67" i="5" s="1"/>
  <c r="D91" i="15"/>
  <c r="F91" i="15" s="1"/>
  <c r="A91" i="15" l="1"/>
  <c r="E92" i="15"/>
  <c r="AD68" i="5" s="1"/>
  <c r="D92" i="15"/>
  <c r="F92" i="15" s="1"/>
  <c r="A92" i="15" l="1"/>
  <c r="E93" i="15"/>
  <c r="AD69" i="5" s="1"/>
  <c r="D93" i="15"/>
  <c r="F93" i="15" s="1"/>
  <c r="A93" i="15" l="1"/>
  <c r="E94" i="15"/>
  <c r="AD70" i="5" s="1"/>
  <c r="D94" i="15"/>
  <c r="F94" i="15" s="1"/>
  <c r="A94" i="15" l="1"/>
  <c r="E95" i="15"/>
  <c r="AD71" i="5" s="1"/>
  <c r="D95" i="15"/>
  <c r="F95" i="15" s="1"/>
  <c r="A95" i="15" l="1"/>
  <c r="E96" i="15"/>
  <c r="AD72" i="5" s="1"/>
  <c r="D96" i="15"/>
  <c r="F96" i="15" s="1"/>
  <c r="A96" i="15" l="1"/>
  <c r="E97" i="15"/>
  <c r="AD73" i="5" s="1"/>
  <c r="D97" i="15"/>
  <c r="F97" i="15" s="1"/>
  <c r="A97" i="15" l="1"/>
  <c r="E98" i="15"/>
  <c r="AD74" i="5" s="1"/>
  <c r="D98" i="15"/>
  <c r="F98" i="15" s="1"/>
  <c r="A98" i="15" l="1"/>
  <c r="E99" i="15"/>
  <c r="AD75" i="5" s="1"/>
  <c r="D99" i="15"/>
  <c r="F99" i="15" s="1"/>
  <c r="A99" i="15" l="1"/>
  <c r="E100" i="15"/>
  <c r="AD76" i="5" s="1"/>
  <c r="D100" i="15"/>
  <c r="F100" i="15" s="1"/>
  <c r="A100" i="15" l="1"/>
  <c r="E101" i="15"/>
  <c r="AD77" i="5" s="1"/>
  <c r="D101" i="15"/>
  <c r="F101" i="15" s="1"/>
  <c r="A101" i="15" l="1"/>
  <c r="E102" i="15"/>
  <c r="AD78" i="5" s="1"/>
  <c r="D102" i="15"/>
  <c r="F102" i="15" s="1"/>
  <c r="A102" i="15" l="1"/>
  <c r="E103" i="15"/>
  <c r="AD79" i="5" s="1"/>
  <c r="D103" i="15"/>
  <c r="F103" i="15" s="1"/>
  <c r="A103" i="15" l="1"/>
  <c r="E104" i="15"/>
  <c r="AD80" i="5" s="1"/>
  <c r="D104" i="15"/>
  <c r="F104" i="15" s="1"/>
  <c r="A104" i="15" l="1"/>
  <c r="E105" i="15"/>
  <c r="AD81" i="5" s="1"/>
  <c r="D105" i="15"/>
  <c r="F105" i="15" s="1"/>
  <c r="A105" i="15" l="1"/>
  <c r="E106" i="15"/>
  <c r="AD82" i="5" s="1"/>
  <c r="D106" i="15"/>
  <c r="F106" i="15" s="1"/>
  <c r="A106" i="15" l="1"/>
  <c r="E107" i="15"/>
  <c r="AD83" i="5" s="1"/>
  <c r="D107" i="15"/>
  <c r="F107" i="15" s="1"/>
  <c r="A107" i="15" l="1"/>
  <c r="E108" i="15"/>
  <c r="AD84" i="5" s="1"/>
  <c r="D108" i="15"/>
  <c r="F108" i="15" s="1"/>
  <c r="A108" i="15" l="1"/>
  <c r="E109" i="15"/>
  <c r="AD85" i="5" s="1"/>
  <c r="D109" i="15"/>
  <c r="F109" i="15" s="1"/>
  <c r="A109" i="15" l="1"/>
  <c r="E110" i="15"/>
  <c r="AD86" i="5" s="1"/>
  <c r="D110" i="15"/>
  <c r="F110" i="15" s="1"/>
  <c r="A110" i="15" l="1"/>
  <c r="E111" i="15"/>
  <c r="AD87" i="5" s="1"/>
  <c r="D111" i="15"/>
  <c r="F111" i="15" s="1"/>
  <c r="A111" i="15" l="1"/>
  <c r="E112" i="15"/>
  <c r="AD88" i="5" s="1"/>
  <c r="D112" i="15"/>
  <c r="F112" i="15" s="1"/>
  <c r="A112" i="15" l="1"/>
  <c r="E113" i="15"/>
  <c r="AD89" i="5" s="1"/>
  <c r="D113" i="15"/>
  <c r="F113" i="15" s="1"/>
  <c r="A113" i="15" l="1"/>
  <c r="E114" i="15"/>
  <c r="AD90" i="5" s="1"/>
  <c r="D114" i="15"/>
  <c r="F114" i="15" s="1"/>
  <c r="A114" i="15" l="1"/>
  <c r="E115" i="15"/>
  <c r="AD91" i="5" s="1"/>
  <c r="D115" i="15"/>
  <c r="F115" i="15" s="1"/>
  <c r="A115" i="15" l="1"/>
  <c r="E116" i="15"/>
  <c r="AD92" i="5" s="1"/>
  <c r="D116" i="15"/>
  <c r="F116" i="15" s="1"/>
  <c r="A116" i="15" l="1"/>
  <c r="E117" i="15"/>
  <c r="AD93" i="5" s="1"/>
  <c r="D117" i="15"/>
  <c r="F117" i="15" s="1"/>
  <c r="A117" i="15" l="1"/>
  <c r="E118" i="15"/>
  <c r="AD94" i="5" s="1"/>
  <c r="D118" i="15"/>
  <c r="F118" i="15" s="1"/>
  <c r="A118" i="15" l="1"/>
  <c r="E119" i="15"/>
  <c r="AD95" i="5" s="1"/>
  <c r="D119" i="15"/>
  <c r="F119" i="15" l="1"/>
  <c r="A119" i="15" l="1"/>
  <c r="E120" i="15"/>
  <c r="AD96" i="5" s="1"/>
  <c r="D120" i="15"/>
  <c r="F120" i="15" l="1"/>
  <c r="A120" i="15" l="1"/>
  <c r="E121" i="15"/>
  <c r="AD97" i="5" s="1"/>
  <c r="D121" i="15"/>
  <c r="F121" i="15" l="1"/>
  <c r="A121" i="15" l="1"/>
  <c r="E122" i="15"/>
  <c r="AD98" i="5" s="1"/>
  <c r="D122" i="15"/>
  <c r="F122" i="15" l="1"/>
  <c r="A122" i="15" l="1"/>
  <c r="E123" i="15"/>
  <c r="AD99" i="5" s="1"/>
  <c r="D123" i="15"/>
  <c r="F123" i="15" l="1"/>
  <c r="A123" i="15" l="1"/>
  <c r="E124" i="15"/>
  <c r="AD100" i="5" s="1"/>
  <c r="D124" i="15"/>
  <c r="F124" i="15" s="1"/>
  <c r="A124" i="15" l="1"/>
  <c r="E125" i="15"/>
  <c r="AD101" i="5" s="1"/>
  <c r="D125" i="15"/>
  <c r="F125" i="15" s="1"/>
  <c r="A125" i="15" l="1"/>
  <c r="E126" i="15"/>
  <c r="AD102" i="5" s="1"/>
  <c r="D126" i="15"/>
  <c r="F126" i="15" s="1"/>
  <c r="A126" i="15" l="1"/>
  <c r="E127" i="15"/>
  <c r="AD103" i="5" s="1"/>
  <c r="D127" i="15"/>
  <c r="F127" i="15" s="1"/>
  <c r="A127" i="15" l="1"/>
  <c r="E128" i="15"/>
  <c r="AD104" i="5" s="1"/>
  <c r="D128" i="15"/>
  <c r="F128" i="15" s="1"/>
  <c r="A128" i="15" l="1"/>
  <c r="E129" i="15"/>
  <c r="AD105" i="5" s="1"/>
  <c r="D129" i="15"/>
  <c r="F129" i="15" s="1"/>
  <c r="A129" i="15" l="1"/>
  <c r="E130" i="15"/>
  <c r="AD106" i="5" s="1"/>
  <c r="D130" i="15"/>
  <c r="F130" i="15" s="1"/>
  <c r="A130" i="15" l="1"/>
  <c r="E131" i="15"/>
  <c r="AD107" i="5" s="1"/>
  <c r="D131" i="15"/>
  <c r="F131" i="15" s="1"/>
  <c r="A131" i="15" l="1"/>
  <c r="E132" i="15"/>
  <c r="AD108" i="5" s="1"/>
  <c r="D132" i="15"/>
  <c r="F132" i="15" s="1"/>
  <c r="A132" i="15" l="1"/>
  <c r="E133" i="15"/>
  <c r="AD109" i="5" s="1"/>
  <c r="D133" i="15"/>
  <c r="F133" i="15" s="1"/>
  <c r="A133" i="15" l="1"/>
  <c r="E134" i="15"/>
  <c r="AD110" i="5" s="1"/>
  <c r="D134" i="15"/>
  <c r="F134" i="15" s="1"/>
  <c r="A134" i="15" l="1"/>
  <c r="E135" i="15"/>
  <c r="AD111" i="5" s="1"/>
  <c r="D135" i="15"/>
  <c r="F135" i="15" s="1"/>
  <c r="A135" i="15" l="1"/>
  <c r="E136" i="15"/>
  <c r="AD112" i="5" s="1"/>
  <c r="D136" i="15"/>
  <c r="F136" i="15" s="1"/>
  <c r="A136" i="15" l="1"/>
  <c r="E137" i="15"/>
  <c r="AD113" i="5" s="1"/>
  <c r="D137" i="15"/>
  <c r="F137" i="15" s="1"/>
  <c r="A137" i="15" l="1"/>
  <c r="E138" i="15"/>
  <c r="AD114" i="5" s="1"/>
  <c r="D138" i="15"/>
  <c r="F138" i="15" s="1"/>
  <c r="A138" i="15" l="1"/>
  <c r="E139" i="15"/>
  <c r="AD115" i="5" s="1"/>
  <c r="D139" i="15"/>
  <c r="F139" i="15" s="1"/>
  <c r="A139" i="15" l="1"/>
  <c r="E140" i="15"/>
  <c r="AD116" i="5" s="1"/>
  <c r="D140" i="15"/>
  <c r="F140" i="15" s="1"/>
  <c r="A140" i="15" l="1"/>
  <c r="E141" i="15"/>
  <c r="AD117" i="5" s="1"/>
  <c r="D141" i="15"/>
  <c r="F141" i="15" s="1"/>
  <c r="A141" i="15" l="1"/>
  <c r="E142" i="15"/>
  <c r="AD118" i="5" s="1"/>
  <c r="D142" i="15"/>
  <c r="F142" i="15" s="1"/>
  <c r="A142" i="15" l="1"/>
  <c r="E143" i="15"/>
  <c r="AD119" i="5" s="1"/>
  <c r="D143" i="15"/>
  <c r="F143" i="15" s="1"/>
  <c r="A143" i="15" l="1"/>
  <c r="E144" i="15"/>
  <c r="AD120" i="5" s="1"/>
  <c r="D144" i="15"/>
  <c r="F144" i="15" s="1"/>
  <c r="A144" i="15" l="1"/>
  <c r="E145" i="15"/>
  <c r="AD121" i="5" s="1"/>
  <c r="D145" i="15"/>
  <c r="F145" i="15" l="1"/>
  <c r="A145" i="15" l="1"/>
  <c r="E146" i="15"/>
  <c r="AD122" i="5" s="1"/>
  <c r="D146" i="15"/>
  <c r="F146" i="15" l="1"/>
  <c r="A146" i="15" l="1"/>
  <c r="K3" i="15"/>
  <c r="E147" i="15"/>
  <c r="AD123" i="5" s="1"/>
  <c r="D147" i="15"/>
  <c r="F147" i="15" s="1"/>
  <c r="A147" i="15" l="1"/>
  <c r="E148" i="15"/>
  <c r="AD124" i="5" s="1"/>
  <c r="D148" i="15"/>
  <c r="F148" i="15" s="1"/>
  <c r="M3" i="15"/>
  <c r="AF3" i="5"/>
  <c r="D17" i="7" s="1"/>
  <c r="L3" i="15"/>
  <c r="A148" i="15" l="1"/>
  <c r="E149" i="15"/>
  <c r="AD125" i="5" s="1"/>
  <c r="D149" i="15"/>
  <c r="F149" i="15" s="1"/>
  <c r="A149" i="15" l="1"/>
  <c r="E150" i="15"/>
  <c r="AD126" i="5" s="1"/>
  <c r="D150" i="15"/>
  <c r="F150" i="15" s="1"/>
  <c r="A150" i="15" l="1"/>
  <c r="E151" i="15"/>
  <c r="AD127" i="5" s="1"/>
  <c r="D151" i="15"/>
  <c r="F151" i="15" s="1"/>
  <c r="A151" i="15" l="1"/>
  <c r="E152" i="15"/>
  <c r="AD128" i="5" s="1"/>
  <c r="D152" i="15"/>
  <c r="F152" i="15" s="1"/>
  <c r="A152" i="15" l="1"/>
  <c r="E153" i="15"/>
  <c r="AD129" i="5" s="1"/>
  <c r="D153" i="15"/>
  <c r="F153" i="15" s="1"/>
  <c r="A153" i="15" l="1"/>
  <c r="E154" i="15"/>
  <c r="AD130" i="5" s="1"/>
  <c r="D154" i="15"/>
  <c r="F154" i="15" s="1"/>
  <c r="A154" i="15" l="1"/>
  <c r="E155" i="15"/>
  <c r="AD131" i="5" s="1"/>
  <c r="D155" i="15"/>
  <c r="F155" i="15" s="1"/>
  <c r="A155" i="15" l="1"/>
  <c r="E156" i="15"/>
  <c r="AD132" i="5" s="1"/>
  <c r="D156" i="15"/>
  <c r="F156" i="15" s="1"/>
  <c r="A156" i="15" l="1"/>
  <c r="E157" i="15"/>
  <c r="AD133" i="5" s="1"/>
  <c r="D157" i="15"/>
  <c r="F157" i="15" s="1"/>
  <c r="A157" i="15" l="1"/>
  <c r="E158" i="15"/>
  <c r="AD134" i="5" s="1"/>
  <c r="D158" i="15"/>
  <c r="F158" i="15" s="1"/>
  <c r="A158" i="15" l="1"/>
  <c r="E159" i="15"/>
  <c r="AD135" i="5" s="1"/>
  <c r="D159" i="15"/>
  <c r="F159" i="15" s="1"/>
  <c r="A159" i="15" l="1"/>
  <c r="E160" i="15"/>
  <c r="AD136" i="5" s="1"/>
  <c r="D160" i="15"/>
  <c r="F160" i="15" s="1"/>
  <c r="A160" i="15" l="1"/>
  <c r="E161" i="15"/>
  <c r="AD137" i="5" s="1"/>
  <c r="D161" i="15"/>
  <c r="F161" i="15" s="1"/>
  <c r="A161" i="15" l="1"/>
  <c r="E162" i="15"/>
  <c r="AD138" i="5" s="1"/>
  <c r="D162" i="15"/>
  <c r="F162" i="15" s="1"/>
  <c r="A162" i="15" l="1"/>
  <c r="E163" i="15"/>
  <c r="AD139" i="5" s="1"/>
  <c r="D163" i="15"/>
  <c r="F163" i="15" l="1"/>
  <c r="A163" i="15" l="1"/>
  <c r="E164" i="15"/>
  <c r="AD140" i="5" s="1"/>
  <c r="D164" i="15"/>
  <c r="F164" i="15" s="1"/>
  <c r="A164" i="15" l="1"/>
  <c r="E165" i="15"/>
  <c r="AD141" i="5" s="1"/>
  <c r="D165" i="15"/>
  <c r="F165" i="15" s="1"/>
  <c r="A165" i="15" l="1"/>
  <c r="E166" i="15"/>
  <c r="AD142" i="5" s="1"/>
  <c r="D166" i="15"/>
  <c r="F166" i="15" s="1"/>
  <c r="A166" i="15" l="1"/>
  <c r="E167" i="15"/>
  <c r="AD143" i="5" s="1"/>
  <c r="D167" i="15"/>
  <c r="F167" i="15" s="1"/>
  <c r="A167" i="15" l="1"/>
  <c r="E168" i="15"/>
  <c r="AD144" i="5" s="1"/>
  <c r="D168" i="15"/>
  <c r="F168" i="15" s="1"/>
  <c r="A168" i="15" l="1"/>
  <c r="E169" i="15"/>
  <c r="AD145" i="5" s="1"/>
  <c r="D169" i="15"/>
  <c r="F169" i="15" s="1"/>
  <c r="A169" i="15" l="1"/>
  <c r="E170" i="15"/>
  <c r="AD146" i="5" s="1"/>
  <c r="D170" i="15"/>
  <c r="F170" i="15" s="1"/>
  <c r="A170" i="15" l="1"/>
  <c r="E171" i="15"/>
  <c r="AD147" i="5" s="1"/>
  <c r="D171" i="15"/>
  <c r="F171" i="15" s="1"/>
  <c r="A171" i="15" l="1"/>
  <c r="E172" i="15"/>
  <c r="AD148" i="5" s="1"/>
  <c r="D172" i="15"/>
  <c r="F172" i="15" s="1"/>
  <c r="A172" i="15" l="1"/>
  <c r="E173" i="15"/>
  <c r="AD149" i="5" s="1"/>
  <c r="D173" i="15"/>
  <c r="F173" i="15" s="1"/>
  <c r="A173" i="15" l="1"/>
  <c r="E174" i="15"/>
  <c r="AD150" i="5" s="1"/>
  <c r="D174" i="15"/>
  <c r="F174" i="15" s="1"/>
  <c r="A174" i="15" l="1"/>
  <c r="E175" i="15"/>
  <c r="AD151" i="5" s="1"/>
  <c r="D175" i="15"/>
  <c r="F175" i="15" s="1"/>
  <c r="A175" i="15" l="1"/>
  <c r="E176" i="15"/>
  <c r="AD152" i="5" s="1"/>
  <c r="D176" i="15"/>
  <c r="F176" i="15" s="1"/>
  <c r="A176" i="15" l="1"/>
  <c r="E177" i="15"/>
  <c r="AD153" i="5" s="1"/>
  <c r="D177" i="15"/>
  <c r="F177" i="15" s="1"/>
  <c r="A177" i="15" l="1"/>
  <c r="E178" i="15"/>
  <c r="AD154" i="5" s="1"/>
  <c r="D178" i="15"/>
  <c r="F178" i="15" l="1"/>
  <c r="A178" i="15" l="1"/>
  <c r="E179" i="15"/>
  <c r="AD155" i="5" s="1"/>
  <c r="D179" i="15"/>
  <c r="F179" i="15" s="1"/>
  <c r="A179" i="15" l="1"/>
  <c r="E180" i="15"/>
  <c r="AD156" i="5" s="1"/>
  <c r="D180" i="15"/>
  <c r="F180" i="15" s="1"/>
  <c r="A180" i="15" l="1"/>
  <c r="E181" i="15"/>
  <c r="AD157" i="5" s="1"/>
  <c r="D181" i="15"/>
  <c r="F181" i="15" s="1"/>
  <c r="A181" i="15" l="1"/>
  <c r="E182" i="15"/>
  <c r="AD158" i="5" s="1"/>
  <c r="D182" i="15"/>
  <c r="F182" i="15" s="1"/>
  <c r="A182" i="15" l="1"/>
  <c r="E183" i="15"/>
  <c r="AD159" i="5" s="1"/>
  <c r="D183" i="15"/>
  <c r="F183" i="15" s="1"/>
  <c r="A183" i="15" l="1"/>
  <c r="E184" i="15"/>
  <c r="AD160" i="5" s="1"/>
  <c r="D184" i="15"/>
  <c r="F184" i="15" s="1"/>
  <c r="A184" i="15" l="1"/>
  <c r="E185" i="15"/>
  <c r="AD161" i="5" s="1"/>
  <c r="D185" i="15"/>
  <c r="F185" i="15" s="1"/>
  <c r="A185" i="15" l="1"/>
  <c r="E186" i="15"/>
  <c r="AD162" i="5" s="1"/>
  <c r="D186" i="15"/>
  <c r="F186" i="15" s="1"/>
  <c r="A186" i="15" l="1"/>
  <c r="E187" i="15"/>
  <c r="AD163" i="5" s="1"/>
  <c r="D187" i="15"/>
  <c r="F187" i="15" s="1"/>
  <c r="A187" i="15" l="1"/>
  <c r="E188" i="15"/>
  <c r="AD164" i="5" s="1"/>
  <c r="D188" i="15"/>
  <c r="F188" i="15" l="1"/>
  <c r="A188" i="15" l="1"/>
  <c r="E189" i="15"/>
  <c r="AD165" i="5" s="1"/>
  <c r="D189" i="15"/>
  <c r="F189" i="15" s="1"/>
  <c r="A189" i="15" l="1"/>
  <c r="E190" i="15"/>
  <c r="AD166" i="5" s="1"/>
  <c r="D190" i="15"/>
  <c r="F190" i="15" s="1"/>
  <c r="A190" i="15" l="1"/>
  <c r="E191" i="15"/>
  <c r="AD167" i="5" s="1"/>
  <c r="D191" i="15"/>
  <c r="F191" i="15" s="1"/>
  <c r="A191" i="15" l="1"/>
  <c r="E192" i="15"/>
  <c r="AD168" i="5" s="1"/>
  <c r="D192" i="15"/>
  <c r="F192" i="15" s="1"/>
  <c r="A192" i="15" l="1"/>
  <c r="E193" i="15"/>
  <c r="AD169" i="5" s="1"/>
  <c r="D193" i="15"/>
  <c r="F193" i="15" s="1"/>
  <c r="A193" i="15" l="1"/>
  <c r="E194" i="15"/>
  <c r="AD170" i="5" s="1"/>
  <c r="D194" i="15"/>
  <c r="F194" i="15" s="1"/>
  <c r="A194" i="15" l="1"/>
  <c r="E195" i="15"/>
  <c r="AD171" i="5" s="1"/>
  <c r="D195" i="15"/>
  <c r="F195" i="15" s="1"/>
  <c r="A195" i="15" l="1"/>
  <c r="E196" i="15"/>
  <c r="AD172" i="5" s="1"/>
  <c r="D196" i="15"/>
  <c r="F196" i="15" s="1"/>
  <c r="A196" i="15" l="1"/>
  <c r="E197" i="15"/>
  <c r="AD173" i="5" s="1"/>
  <c r="D197" i="15"/>
  <c r="F197" i="15" l="1"/>
  <c r="A197" i="15" l="1"/>
  <c r="E198" i="15"/>
  <c r="AD174" i="5" s="1"/>
  <c r="D198" i="15"/>
  <c r="F198" i="15" s="1"/>
  <c r="A198" i="15" l="1"/>
  <c r="E199" i="15"/>
  <c r="AD175" i="5" s="1"/>
  <c r="D199" i="15"/>
  <c r="F199" i="15" s="1"/>
  <c r="A199" i="15" l="1"/>
  <c r="E200" i="15"/>
  <c r="AD176" i="5" s="1"/>
  <c r="D200" i="15"/>
  <c r="F200" i="15" s="1"/>
  <c r="A200" i="15" l="1"/>
  <c r="E201" i="15"/>
  <c r="AD177" i="5" s="1"/>
  <c r="D201" i="15"/>
  <c r="F201" i="15" s="1"/>
  <c r="A201" i="15" l="1"/>
  <c r="E202" i="15"/>
  <c r="AD178" i="5" s="1"/>
  <c r="D202" i="15"/>
  <c r="F202" i="15" s="1"/>
  <c r="A202" i="15" l="1"/>
  <c r="E203" i="15"/>
  <c r="AD179" i="5" s="1"/>
  <c r="D203" i="15"/>
  <c r="F203" i="15" s="1"/>
  <c r="A203" i="15" l="1"/>
  <c r="E204" i="15"/>
  <c r="AD180" i="5" s="1"/>
  <c r="D204" i="15"/>
  <c r="F204" i="15" l="1"/>
  <c r="A204" i="15" l="1"/>
  <c r="E205" i="15"/>
  <c r="AD181" i="5" s="1"/>
  <c r="D205" i="15"/>
  <c r="F205" i="15" s="1"/>
  <c r="A205" i="15" l="1"/>
  <c r="E206" i="15"/>
  <c r="AD182" i="5" s="1"/>
  <c r="D206" i="15"/>
  <c r="F206" i="15" s="1"/>
  <c r="A206" i="15" l="1"/>
  <c r="E207" i="15"/>
  <c r="AD183" i="5" s="1"/>
  <c r="D207" i="15"/>
  <c r="F207" i="15" s="1"/>
  <c r="A207" i="15" l="1"/>
  <c r="E208" i="15"/>
  <c r="AD184" i="5" s="1"/>
  <c r="D208" i="15"/>
  <c r="F208" i="15" s="1"/>
  <c r="A208" i="15" l="1"/>
  <c r="E209" i="15"/>
  <c r="AD185" i="5" s="1"/>
  <c r="D209" i="15"/>
  <c r="F209" i="15" s="1"/>
  <c r="A209" i="15" l="1"/>
  <c r="E210" i="15"/>
  <c r="AD186" i="5" s="1"/>
  <c r="D210" i="15"/>
  <c r="F210" i="15" s="1"/>
  <c r="A210" i="15" l="1"/>
  <c r="E211" i="15"/>
  <c r="AD187" i="5" s="1"/>
  <c r="D211" i="15"/>
  <c r="F211" i="15" s="1"/>
  <c r="A211" i="15" l="1"/>
  <c r="E212" i="15"/>
  <c r="AD188" i="5" s="1"/>
  <c r="D212" i="15"/>
  <c r="F212" i="15" s="1"/>
  <c r="A212" i="15" l="1"/>
  <c r="E213" i="15"/>
  <c r="AD189" i="5" s="1"/>
  <c r="D213" i="15"/>
  <c r="F213" i="15" s="1"/>
  <c r="A213" i="15" l="1"/>
  <c r="E214" i="15"/>
  <c r="AD190" i="5" s="1"/>
  <c r="D214" i="15"/>
  <c r="F214" i="15" s="1"/>
  <c r="A214" i="15" l="1"/>
  <c r="E215" i="15"/>
  <c r="AD191" i="5" s="1"/>
  <c r="D215" i="15"/>
  <c r="F215" i="15" s="1"/>
  <c r="A215" i="15" l="1"/>
  <c r="E216" i="15"/>
  <c r="AD192" i="5" s="1"/>
  <c r="D216" i="15"/>
  <c r="F216" i="15" s="1"/>
  <c r="A216" i="15" l="1"/>
  <c r="E217" i="15"/>
  <c r="AD193" i="5" s="1"/>
  <c r="D217" i="15"/>
  <c r="F217" i="15" s="1"/>
  <c r="A217" i="15" l="1"/>
  <c r="E218" i="15"/>
  <c r="AD194" i="5" s="1"/>
  <c r="D218" i="15"/>
  <c r="F218" i="15" s="1"/>
  <c r="A218" i="15" l="1"/>
  <c r="E219" i="15"/>
  <c r="AD195" i="5" s="1"/>
  <c r="D219" i="15"/>
  <c r="F219" i="15" s="1"/>
  <c r="A219" i="15" l="1"/>
  <c r="E220" i="15"/>
  <c r="AD196" i="5" s="1"/>
  <c r="D220" i="15"/>
  <c r="F220" i="15" s="1"/>
  <c r="A220" i="15" l="1"/>
  <c r="E221" i="15"/>
  <c r="AD197" i="5" s="1"/>
  <c r="D221" i="15"/>
  <c r="F221" i="15" s="1"/>
  <c r="A221" i="15" l="1"/>
  <c r="E222" i="15"/>
  <c r="AD198" i="5" s="1"/>
  <c r="D222" i="15"/>
  <c r="F222" i="15" s="1"/>
  <c r="A222" i="15" l="1"/>
  <c r="E223" i="15"/>
  <c r="AD199" i="5" s="1"/>
  <c r="D223" i="15"/>
  <c r="F223" i="15" s="1"/>
  <c r="A223" i="15" l="1"/>
  <c r="E224" i="15"/>
  <c r="AD200" i="5" s="1"/>
  <c r="D224" i="15"/>
  <c r="F224" i="15" s="1"/>
  <c r="A224" i="15" l="1"/>
  <c r="E225" i="15"/>
  <c r="AD201" i="5" s="1"/>
  <c r="D225" i="15"/>
  <c r="F225" i="15" s="1"/>
  <c r="A225" i="15" l="1"/>
  <c r="E226" i="15"/>
  <c r="AD202" i="5" s="1"/>
  <c r="D226" i="15"/>
  <c r="F226" i="15" s="1"/>
  <c r="A226" i="15" l="1"/>
  <c r="E227" i="15"/>
  <c r="AD203" i="5" s="1"/>
  <c r="D227" i="15"/>
  <c r="F227" i="15" s="1"/>
  <c r="A227" i="15" l="1"/>
  <c r="E228" i="15"/>
  <c r="AD204" i="5" s="1"/>
  <c r="D228" i="15"/>
  <c r="F228" i="15" s="1"/>
  <c r="A228" i="15" l="1"/>
  <c r="E229" i="15"/>
  <c r="AD205" i="5" s="1"/>
  <c r="D229" i="15"/>
  <c r="F229" i="15" s="1"/>
  <c r="A229" i="15" l="1"/>
  <c r="E230" i="15"/>
  <c r="AD206" i="5" s="1"/>
  <c r="D230" i="15"/>
  <c r="F230" i="15" s="1"/>
  <c r="A230" i="15" l="1"/>
  <c r="E231" i="15"/>
  <c r="AD207" i="5" s="1"/>
  <c r="D231" i="15"/>
  <c r="F231" i="15" s="1"/>
  <c r="A231" i="15" l="1"/>
  <c r="E232" i="15"/>
  <c r="AD208" i="5" s="1"/>
  <c r="D232" i="15"/>
  <c r="F232" i="15" s="1"/>
  <c r="A232" i="15" l="1"/>
  <c r="E233" i="15"/>
  <c r="AD209" i="5" s="1"/>
  <c r="D233" i="15"/>
  <c r="F233" i="15" l="1"/>
  <c r="A233" i="15" l="1"/>
  <c r="E234" i="15"/>
  <c r="AD210" i="5" s="1"/>
  <c r="D234" i="15"/>
  <c r="F234" i="15" s="1"/>
  <c r="A234" i="15" l="1"/>
  <c r="E235" i="15"/>
  <c r="AD211" i="5" s="1"/>
  <c r="D235" i="15"/>
  <c r="F235" i="15" s="1"/>
  <c r="A235" i="15" l="1"/>
  <c r="E236" i="15"/>
  <c r="AD212" i="5" s="1"/>
  <c r="D236" i="15"/>
  <c r="F236" i="15" s="1"/>
  <c r="A236" i="15" l="1"/>
  <c r="E237" i="15"/>
  <c r="AD213" i="5" s="1"/>
  <c r="D237" i="15"/>
  <c r="F237" i="15" s="1"/>
  <c r="A237" i="15" l="1"/>
  <c r="E238" i="15"/>
  <c r="AD214" i="5" s="1"/>
  <c r="D238" i="15"/>
  <c r="F238" i="15" s="1"/>
  <c r="A238" i="15" l="1"/>
  <c r="E239" i="15"/>
  <c r="AD215" i="5" s="1"/>
  <c r="D239" i="15"/>
  <c r="F239" i="15" s="1"/>
  <c r="A239" i="15" l="1"/>
  <c r="E240" i="15"/>
  <c r="AD216" i="5" s="1"/>
  <c r="D240" i="15"/>
  <c r="F240" i="15" s="1"/>
  <c r="A240" i="15" l="1"/>
  <c r="E241" i="15"/>
  <c r="AD217" i="5" s="1"/>
  <c r="D241" i="15"/>
  <c r="F241" i="15" s="1"/>
  <c r="A241" i="15" l="1"/>
  <c r="E242" i="15"/>
  <c r="AD218" i="5" s="1"/>
  <c r="D242" i="15"/>
  <c r="F242" i="15" s="1"/>
  <c r="A242" i="15" l="1"/>
  <c r="E243" i="15"/>
  <c r="AD219" i="5" s="1"/>
  <c r="D243" i="15"/>
  <c r="F243" i="15" l="1"/>
  <c r="A243" i="15" l="1"/>
  <c r="E244" i="15"/>
  <c r="AD220" i="5" s="1"/>
  <c r="D244" i="15"/>
  <c r="F244" i="15" s="1"/>
  <c r="A244" i="15" l="1"/>
  <c r="E245" i="15"/>
  <c r="AD221" i="5" s="1"/>
  <c r="D245" i="15"/>
  <c r="F245" i="15" s="1"/>
  <c r="A245" i="15" l="1"/>
  <c r="E246" i="15"/>
  <c r="AD222" i="5" s="1"/>
  <c r="D246" i="15"/>
  <c r="F246" i="15" s="1"/>
  <c r="A246" i="15" l="1"/>
  <c r="E247" i="15"/>
  <c r="AD223" i="5" s="1"/>
  <c r="D247" i="15"/>
  <c r="F247" i="15" s="1"/>
  <c r="A247" i="15" l="1"/>
  <c r="E248" i="15"/>
  <c r="AD224" i="5" s="1"/>
  <c r="D248" i="15"/>
  <c r="F248" i="15" s="1"/>
  <c r="A248" i="15" l="1"/>
  <c r="E249" i="15"/>
  <c r="AD225" i="5" s="1"/>
  <c r="D249" i="15"/>
  <c r="F249" i="15" s="1"/>
  <c r="A249" i="15" l="1"/>
  <c r="E250" i="15"/>
  <c r="AD226" i="5" s="1"/>
  <c r="D250" i="15"/>
  <c r="F250" i="15" l="1"/>
  <c r="A250" i="15" l="1"/>
  <c r="E251" i="15"/>
  <c r="AD227" i="5" s="1"/>
  <c r="D251" i="15"/>
  <c r="F251" i="15" s="1"/>
  <c r="A251" i="15" l="1"/>
  <c r="E252" i="15"/>
  <c r="AD228" i="5" s="1"/>
  <c r="D252" i="15"/>
  <c r="F252" i="15" s="1"/>
  <c r="A252" i="15" l="1"/>
  <c r="E253" i="15"/>
  <c r="AD229" i="5" s="1"/>
  <c r="D253" i="15"/>
  <c r="F253" i="15" s="1"/>
  <c r="A253" i="15" l="1"/>
  <c r="E254" i="15"/>
  <c r="AD230" i="5" s="1"/>
  <c r="D254" i="15"/>
  <c r="F254" i="15" s="1"/>
  <c r="A254" i="15" l="1"/>
  <c r="E255" i="15"/>
  <c r="AD231" i="5" s="1"/>
  <c r="D255" i="15"/>
  <c r="F255" i="15" s="1"/>
  <c r="A255" i="15" l="1"/>
  <c r="E256" i="15"/>
  <c r="AD232" i="5" s="1"/>
  <c r="D256" i="15"/>
  <c r="F256" i="15" s="1"/>
  <c r="A256" i="15" l="1"/>
  <c r="E257" i="15"/>
  <c r="AD233" i="5" s="1"/>
  <c r="D257" i="15"/>
  <c r="F257" i="15" s="1"/>
  <c r="A257" i="15" l="1"/>
  <c r="E258" i="15"/>
  <c r="AD234" i="5" s="1"/>
  <c r="D258" i="15"/>
  <c r="F258" i="15" s="1"/>
  <c r="A258" i="15" l="1"/>
  <c r="E259" i="15"/>
  <c r="AD235" i="5" s="1"/>
  <c r="D259" i="15"/>
  <c r="F259" i="15" s="1"/>
  <c r="A259" i="15" l="1"/>
  <c r="E260" i="15"/>
  <c r="AD236" i="5" s="1"/>
  <c r="D260" i="15"/>
  <c r="F260" i="15" s="1"/>
  <c r="A260" i="15" l="1"/>
  <c r="E261" i="15"/>
  <c r="AD237" i="5" s="1"/>
  <c r="D261" i="15"/>
  <c r="F261" i="15" s="1"/>
  <c r="A261" i="15" l="1"/>
  <c r="E262" i="15"/>
  <c r="AD238" i="5" s="1"/>
  <c r="D262" i="15"/>
  <c r="F262" i="15" l="1"/>
  <c r="A262" i="15" l="1"/>
  <c r="E263" i="15"/>
  <c r="AD239" i="5" s="1"/>
  <c r="D263" i="15"/>
  <c r="F263" i="15" s="1"/>
  <c r="A263" i="15" l="1"/>
  <c r="E264" i="15"/>
  <c r="AD240" i="5" s="1"/>
  <c r="D264" i="15"/>
  <c r="F264" i="15" s="1"/>
  <c r="A264" i="15" l="1"/>
  <c r="E265" i="15"/>
  <c r="AD241" i="5" s="1"/>
  <c r="D265" i="15"/>
  <c r="F265" i="15" s="1"/>
  <c r="A265" i="15" l="1"/>
  <c r="E266" i="15"/>
  <c r="AD242" i="5" s="1"/>
  <c r="D266" i="15"/>
  <c r="F266" i="15" s="1"/>
  <c r="A266" i="15" l="1"/>
  <c r="E267" i="15"/>
  <c r="AD243" i="5" s="1"/>
  <c r="D267" i="15"/>
  <c r="F267" i="15" s="1"/>
  <c r="A267" i="15" l="1"/>
  <c r="E268" i="15"/>
  <c r="AD244" i="5" s="1"/>
  <c r="D268" i="15"/>
  <c r="F268" i="15" s="1"/>
  <c r="A268" i="15" l="1"/>
  <c r="E269" i="15"/>
  <c r="AD245" i="5" s="1"/>
  <c r="D269" i="15"/>
  <c r="F269" i="15" s="1"/>
  <c r="A269" i="15" l="1"/>
  <c r="E270" i="15"/>
  <c r="AD246" i="5" s="1"/>
  <c r="D270" i="15"/>
  <c r="F270" i="15" s="1"/>
  <c r="A270" i="15" l="1"/>
  <c r="E271" i="15"/>
  <c r="AD247" i="5" s="1"/>
  <c r="D271" i="15"/>
  <c r="F271" i="15" s="1"/>
  <c r="A271" i="15" l="1"/>
  <c r="E272" i="15"/>
  <c r="AD248" i="5" s="1"/>
  <c r="D272" i="15"/>
  <c r="F272" i="15" s="1"/>
  <c r="A272" i="15" l="1"/>
  <c r="E273" i="15"/>
  <c r="AD249" i="5" s="1"/>
  <c r="D273" i="15"/>
  <c r="F273" i="15" s="1"/>
  <c r="A273" i="15" l="1"/>
  <c r="E274" i="15"/>
  <c r="AD250" i="5" s="1"/>
  <c r="D274" i="15"/>
  <c r="F274" i="15" s="1"/>
  <c r="A274" i="15" l="1"/>
  <c r="E275" i="15"/>
  <c r="AD251" i="5" s="1"/>
  <c r="D275" i="15"/>
  <c r="F275" i="15" s="1"/>
  <c r="A275" i="15" l="1"/>
  <c r="E276" i="15"/>
  <c r="AD252" i="5" s="1"/>
  <c r="D276" i="15"/>
  <c r="F276" i="15" s="1"/>
  <c r="A276" i="15" l="1"/>
  <c r="E277" i="15"/>
  <c r="AD253" i="5" s="1"/>
  <c r="D277" i="15"/>
  <c r="F277" i="15" l="1"/>
  <c r="A277" i="15" l="1"/>
  <c r="E278" i="15"/>
  <c r="AD254" i="5" s="1"/>
  <c r="D278" i="15"/>
  <c r="F278" i="15" s="1"/>
  <c r="A278" i="15" l="1"/>
  <c r="E279" i="15"/>
  <c r="AD255" i="5" s="1"/>
  <c r="D279" i="15"/>
  <c r="F279" i="15" s="1"/>
  <c r="A279" i="15" l="1"/>
  <c r="E280" i="15"/>
  <c r="AD256" i="5" s="1"/>
  <c r="D280" i="15"/>
  <c r="F280" i="15" s="1"/>
  <c r="A280" i="15" l="1"/>
  <c r="E281" i="15"/>
  <c r="AD257" i="5" s="1"/>
  <c r="D281" i="15"/>
  <c r="F281" i="15" s="1"/>
  <c r="A281" i="15" l="1"/>
  <c r="E282" i="15"/>
  <c r="AD258" i="5" s="1"/>
  <c r="D282" i="15"/>
  <c r="F282" i="15" s="1"/>
  <c r="A282" i="15" l="1"/>
  <c r="E283" i="15"/>
  <c r="AD259" i="5" s="1"/>
  <c r="D283" i="15"/>
  <c r="F283" i="15" s="1"/>
  <c r="A283" i="15" l="1"/>
  <c r="E284" i="15"/>
  <c r="AD260" i="5" s="1"/>
  <c r="D284" i="15"/>
  <c r="F284" i="15" s="1"/>
  <c r="A284" i="15" l="1"/>
  <c r="E285" i="15"/>
  <c r="AD261" i="5" s="1"/>
  <c r="D285" i="15"/>
  <c r="F285" i="15" s="1"/>
  <c r="A285" i="15" l="1"/>
  <c r="E286" i="15"/>
  <c r="AD262" i="5" s="1"/>
  <c r="D286" i="15"/>
  <c r="F286" i="15" s="1"/>
  <c r="A286" i="15" l="1"/>
  <c r="E287" i="15"/>
  <c r="AD263" i="5" s="1"/>
  <c r="D287" i="15"/>
  <c r="F287" i="15" s="1"/>
  <c r="A287" i="15" l="1"/>
  <c r="E288" i="15"/>
  <c r="AD264" i="5" s="1"/>
  <c r="D288" i="15"/>
  <c r="F288" i="15" s="1"/>
  <c r="A288" i="15" l="1"/>
  <c r="E289" i="15"/>
  <c r="AD265" i="5" s="1"/>
  <c r="D289" i="15"/>
  <c r="F289" i="15" s="1"/>
  <c r="A289" i="15" l="1"/>
  <c r="E290" i="15"/>
  <c r="AD266" i="5" s="1"/>
  <c r="D290" i="15"/>
  <c r="F290" i="15" s="1"/>
  <c r="A290" i="15" l="1"/>
  <c r="E291" i="15"/>
  <c r="AD267" i="5" s="1"/>
  <c r="D291" i="15"/>
  <c r="F291" i="15" s="1"/>
  <c r="A291" i="15" l="1"/>
  <c r="E292" i="15"/>
  <c r="AD268" i="5" s="1"/>
  <c r="D292" i="15"/>
  <c r="F292" i="15" s="1"/>
  <c r="A292" i="15" l="1"/>
  <c r="E293" i="15"/>
  <c r="AD269" i="5" s="1"/>
  <c r="D293" i="15"/>
  <c r="F293" i="15" s="1"/>
  <c r="A293" i="15" l="1"/>
  <c r="E294" i="15"/>
  <c r="AD270" i="5" s="1"/>
  <c r="D294" i="15"/>
  <c r="F294" i="15" s="1"/>
  <c r="A294" i="15" l="1"/>
  <c r="E295" i="15"/>
  <c r="AD271" i="5" s="1"/>
  <c r="D295" i="15"/>
  <c r="F295" i="15" s="1"/>
  <c r="A295" i="15" l="1"/>
  <c r="E296" i="15"/>
  <c r="AD272" i="5" s="1"/>
  <c r="D296" i="15"/>
  <c r="F296" i="15" s="1"/>
  <c r="A296" i="15" l="1"/>
  <c r="E297" i="15"/>
  <c r="AD273" i="5" s="1"/>
  <c r="D297" i="15"/>
  <c r="F297" i="15" s="1"/>
  <c r="A297" i="15" l="1"/>
  <c r="E298" i="15"/>
  <c r="AD274" i="5" s="1"/>
  <c r="D298" i="15"/>
  <c r="F298" i="15" s="1"/>
  <c r="A298" i="15" l="1"/>
  <c r="E299" i="15"/>
  <c r="AD275" i="5" s="1"/>
  <c r="D299" i="15"/>
  <c r="F299" i="15" s="1"/>
  <c r="A299" i="15" l="1"/>
  <c r="E300" i="15"/>
  <c r="AD276" i="5" s="1"/>
  <c r="D300" i="15"/>
  <c r="F300" i="15" s="1"/>
  <c r="A300" i="15" l="1"/>
  <c r="E301" i="15"/>
  <c r="AD277" i="5" s="1"/>
  <c r="D301" i="15"/>
  <c r="F301" i="15" s="1"/>
  <c r="A301" i="15" l="1"/>
  <c r="E302" i="15"/>
  <c r="AD278" i="5" s="1"/>
  <c r="D302" i="15"/>
  <c r="F302" i="15" s="1"/>
  <c r="A302" i="15" l="1"/>
  <c r="E303" i="15"/>
  <c r="AD279" i="5" s="1"/>
  <c r="D303" i="15"/>
  <c r="F303" i="15" s="1"/>
  <c r="A303" i="15" l="1"/>
  <c r="E304" i="15"/>
  <c r="AD280" i="5" s="1"/>
  <c r="D304" i="15"/>
  <c r="F304" i="15" s="1"/>
  <c r="A304" i="15" l="1"/>
  <c r="E305" i="15"/>
  <c r="AD281" i="5" s="1"/>
  <c r="D305" i="15"/>
  <c r="F305" i="15" s="1"/>
  <c r="A305" i="15" l="1"/>
  <c r="E306" i="15"/>
  <c r="AD282" i="5" s="1"/>
  <c r="D306" i="15"/>
  <c r="F306" i="15" s="1"/>
  <c r="A306" i="15" l="1"/>
  <c r="E307" i="15"/>
  <c r="AD283" i="5" s="1"/>
  <c r="D307" i="15"/>
  <c r="F307" i="15" s="1"/>
  <c r="A307" i="15" l="1"/>
  <c r="E308" i="15"/>
  <c r="AD284" i="5" s="1"/>
  <c r="D308" i="15"/>
  <c r="F308" i="15" s="1"/>
  <c r="A308" i="15" l="1"/>
  <c r="E309" i="15"/>
  <c r="AD285" i="5" s="1"/>
  <c r="D309" i="15"/>
  <c r="F309" i="15" s="1"/>
  <c r="A309" i="15" l="1"/>
  <c r="E310" i="15"/>
  <c r="AD286" i="5" s="1"/>
  <c r="D310" i="15"/>
  <c r="F310" i="15" s="1"/>
  <c r="A310" i="15" l="1"/>
  <c r="E311" i="15"/>
  <c r="AD287" i="5" s="1"/>
  <c r="D311" i="15"/>
  <c r="F311" i="15" s="1"/>
  <c r="A311" i="15" l="1"/>
  <c r="E312" i="15"/>
  <c r="AD288" i="5" s="1"/>
  <c r="D312" i="15"/>
  <c r="F312" i="15" s="1"/>
  <c r="A312" i="15" l="1"/>
  <c r="E313" i="15"/>
  <c r="AD289" i="5" s="1"/>
  <c r="D313" i="15"/>
  <c r="F313" i="15" s="1"/>
  <c r="A313" i="15" l="1"/>
  <c r="E314" i="15"/>
  <c r="AD290" i="5" s="1"/>
  <c r="D314" i="15"/>
  <c r="F314" i="15" s="1"/>
  <c r="A314" i="15" l="1"/>
  <c r="E315" i="15"/>
  <c r="AD291" i="5" s="1"/>
  <c r="D315" i="15"/>
  <c r="F315" i="15" s="1"/>
  <c r="A315" i="15" l="1"/>
  <c r="E316" i="15"/>
  <c r="AD292" i="5" s="1"/>
  <c r="D316" i="15"/>
  <c r="F316" i="15" s="1"/>
  <c r="A316" i="15" l="1"/>
  <c r="E317" i="15"/>
  <c r="AD293" i="5" s="1"/>
  <c r="D317" i="15"/>
  <c r="F317" i="15" s="1"/>
  <c r="A317" i="15" l="1"/>
  <c r="E318" i="15"/>
  <c r="AD294" i="5" s="1"/>
  <c r="D318" i="15"/>
  <c r="F318" i="15" s="1"/>
  <c r="A318" i="15" l="1"/>
  <c r="E319" i="15"/>
  <c r="AD295" i="5" s="1"/>
  <c r="D319" i="15"/>
  <c r="F319" i="15" s="1"/>
  <c r="A319" i="15" l="1"/>
  <c r="E320" i="15"/>
  <c r="AD296" i="5" s="1"/>
  <c r="D320" i="15"/>
  <c r="F320" i="15" s="1"/>
  <c r="A320" i="15" l="1"/>
  <c r="E321" i="15"/>
  <c r="AD297" i="5" s="1"/>
  <c r="D321" i="15"/>
  <c r="F321" i="15" s="1"/>
  <c r="A321" i="15" l="1"/>
  <c r="E322" i="15"/>
  <c r="AD298" i="5" s="1"/>
  <c r="D322" i="15"/>
  <c r="F322" i="15" s="1"/>
  <c r="A322" i="15" l="1"/>
  <c r="E323" i="15"/>
  <c r="AD299" i="5" s="1"/>
  <c r="D323" i="15"/>
  <c r="F323" i="15" s="1"/>
  <c r="A323" i="15" l="1"/>
  <c r="E324" i="15"/>
  <c r="AD300" i="5" s="1"/>
  <c r="D324" i="15"/>
  <c r="F324" i="15" s="1"/>
  <c r="A324" i="15" l="1"/>
  <c r="E325" i="15"/>
  <c r="AD301" i="5" s="1"/>
  <c r="D325" i="15"/>
  <c r="F325" i="15" s="1"/>
  <c r="A325" i="15" l="1"/>
  <c r="E326" i="15"/>
  <c r="AD302" i="5" s="1"/>
  <c r="D326" i="15"/>
  <c r="F326" i="15" s="1"/>
  <c r="A326" i="15" l="1"/>
  <c r="E327" i="15"/>
  <c r="AD303" i="5" s="1"/>
  <c r="D327" i="15"/>
  <c r="F327" i="15" s="1"/>
  <c r="A327" i="15" l="1"/>
  <c r="E328" i="15"/>
  <c r="AD304" i="5" s="1"/>
  <c r="D328" i="15"/>
  <c r="F328" i="15" s="1"/>
  <c r="A328" i="15" l="1"/>
  <c r="E329" i="15"/>
  <c r="AD305" i="5" s="1"/>
  <c r="D329" i="15"/>
  <c r="F329" i="15" l="1"/>
  <c r="A329" i="15" l="1"/>
  <c r="E330" i="15"/>
  <c r="AD306" i="5" s="1"/>
  <c r="D330" i="15"/>
  <c r="F330" i="15" s="1"/>
  <c r="A330" i="15" l="1"/>
  <c r="E331" i="15"/>
  <c r="AD307" i="5" s="1"/>
  <c r="D331" i="15"/>
  <c r="F331" i="15" s="1"/>
  <c r="A331" i="15" l="1"/>
  <c r="E332" i="15"/>
  <c r="AD308" i="5" s="1"/>
  <c r="D332" i="15"/>
  <c r="F332" i="15" s="1"/>
  <c r="A332" i="15" l="1"/>
  <c r="E333" i="15"/>
  <c r="AD309" i="5" s="1"/>
  <c r="D333" i="15"/>
  <c r="F333" i="15" s="1"/>
  <c r="A333" i="15" l="1"/>
  <c r="E334" i="15"/>
  <c r="AD310" i="5" s="1"/>
  <c r="D334" i="15"/>
  <c r="F334" i="15" s="1"/>
  <c r="A334" i="15" l="1"/>
  <c r="E335" i="15"/>
  <c r="AD311" i="5" s="1"/>
  <c r="D335" i="15"/>
  <c r="F335" i="15" l="1"/>
  <c r="A335" i="15" l="1"/>
  <c r="E336" i="15"/>
  <c r="AD312" i="5" s="1"/>
  <c r="D336" i="15"/>
  <c r="F336" i="15" s="1"/>
  <c r="A336" i="15" l="1"/>
  <c r="E337" i="15"/>
  <c r="AD313" i="5" s="1"/>
  <c r="D337" i="15"/>
  <c r="F337" i="15" s="1"/>
  <c r="A337" i="15" l="1"/>
  <c r="E338" i="15"/>
  <c r="AD314" i="5" s="1"/>
  <c r="D338" i="15"/>
  <c r="F338" i="15" s="1"/>
  <c r="A338" i="15" l="1"/>
  <c r="E339" i="15"/>
  <c r="AD315" i="5" s="1"/>
  <c r="D339" i="15"/>
  <c r="F339" i="15" s="1"/>
  <c r="A339" i="15" l="1"/>
  <c r="E340" i="15"/>
  <c r="AD316" i="5" s="1"/>
  <c r="D340" i="15"/>
  <c r="F340" i="15" s="1"/>
  <c r="A340" i="15" l="1"/>
  <c r="E341" i="15"/>
  <c r="AD317" i="5" s="1"/>
  <c r="D341" i="15"/>
  <c r="F341" i="15" s="1"/>
  <c r="A341" i="15" l="1"/>
  <c r="E342" i="15"/>
  <c r="AD318" i="5" s="1"/>
  <c r="D342" i="15"/>
  <c r="F342" i="15" s="1"/>
  <c r="A342" i="15" l="1"/>
  <c r="E343" i="15"/>
  <c r="AD319" i="5" s="1"/>
  <c r="D343" i="15"/>
  <c r="F343" i="15" s="1"/>
  <c r="A343" i="15" l="1"/>
  <c r="E344" i="15"/>
  <c r="AD320" i="5" s="1"/>
  <c r="D344" i="15"/>
  <c r="F344" i="15" s="1"/>
  <c r="A344" i="15" l="1"/>
  <c r="E345" i="15"/>
  <c r="AD321" i="5" s="1"/>
  <c r="D345" i="15"/>
  <c r="F345" i="15" s="1"/>
  <c r="A345" i="15" l="1"/>
  <c r="E346" i="15"/>
  <c r="AD322" i="5" s="1"/>
  <c r="D346" i="15"/>
  <c r="F346" i="15" s="1"/>
  <c r="A346" i="15" l="1"/>
  <c r="E347" i="15"/>
  <c r="AD323" i="5" s="1"/>
  <c r="D347" i="15"/>
  <c r="F347" i="15" s="1"/>
  <c r="A347" i="15" l="1"/>
  <c r="E348" i="15"/>
  <c r="AD324" i="5" s="1"/>
  <c r="D348" i="15"/>
  <c r="F348" i="15" l="1"/>
  <c r="A348" i="15" l="1"/>
  <c r="E349" i="15"/>
  <c r="AD325" i="5" s="1"/>
  <c r="D349" i="15"/>
  <c r="F349" i="15" s="1"/>
  <c r="A349" i="15" l="1"/>
  <c r="E350" i="15"/>
  <c r="AD326" i="5" s="1"/>
  <c r="D350" i="15"/>
  <c r="F350" i="15" s="1"/>
  <c r="A350" i="15" l="1"/>
  <c r="E351" i="15"/>
  <c r="AD327" i="5" s="1"/>
  <c r="D351" i="15"/>
  <c r="F351" i="15" s="1"/>
  <c r="A351" i="15" l="1"/>
  <c r="E352" i="15"/>
  <c r="AD328" i="5" s="1"/>
  <c r="D352" i="15"/>
  <c r="F352" i="15" s="1"/>
  <c r="A352" i="15" l="1"/>
  <c r="E353" i="15"/>
  <c r="AD329" i="5" s="1"/>
  <c r="D353" i="15"/>
  <c r="F353" i="15" s="1"/>
  <c r="A353" i="15" l="1"/>
  <c r="E354" i="15"/>
  <c r="AD330" i="5" s="1"/>
  <c r="D354" i="15"/>
  <c r="F354" i="15" s="1"/>
  <c r="A354" i="15" l="1"/>
  <c r="E355" i="15"/>
  <c r="AD331" i="5" s="1"/>
  <c r="D355" i="15"/>
  <c r="F355" i="15" l="1"/>
  <c r="A355" i="15" l="1"/>
  <c r="E356" i="15"/>
  <c r="AD332" i="5" s="1"/>
  <c r="D356" i="15"/>
  <c r="F356" i="15" s="1"/>
  <c r="A356" i="15" l="1"/>
  <c r="E357" i="15"/>
  <c r="AD333" i="5" s="1"/>
  <c r="D357" i="15"/>
  <c r="F357" i="15" s="1"/>
  <c r="A357" i="15" l="1"/>
  <c r="E358" i="15"/>
  <c r="AD334" i="5" s="1"/>
  <c r="D358" i="15"/>
  <c r="F358" i="15" s="1"/>
  <c r="A358" i="15" l="1"/>
  <c r="E359" i="15"/>
  <c r="AD335" i="5" s="1"/>
  <c r="D359" i="15"/>
  <c r="F359" i="15" s="1"/>
  <c r="A359" i="15" l="1"/>
  <c r="E360" i="15"/>
  <c r="AD336" i="5" s="1"/>
  <c r="D360" i="15"/>
  <c r="F360" i="15" s="1"/>
  <c r="A360" i="15" l="1"/>
  <c r="E361" i="15"/>
  <c r="AD337" i="5" s="1"/>
  <c r="D361" i="15"/>
  <c r="F361" i="15" s="1"/>
  <c r="A361" i="15" l="1"/>
  <c r="E362" i="15"/>
  <c r="AD338" i="5" s="1"/>
  <c r="D362" i="15"/>
  <c r="F362" i="15" s="1"/>
  <c r="A362" i="15" l="1"/>
  <c r="E363" i="15"/>
  <c r="AD339" i="5" s="1"/>
  <c r="D363" i="15"/>
  <c r="F363" i="15" s="1"/>
  <c r="A363" i="15" l="1"/>
  <c r="E364" i="15"/>
  <c r="AD340" i="5" s="1"/>
  <c r="D364" i="15"/>
  <c r="F364" i="15" s="1"/>
  <c r="A364" i="15" l="1"/>
  <c r="E365" i="15"/>
  <c r="AD341" i="5" s="1"/>
  <c r="D365" i="15"/>
  <c r="F365" i="15" s="1"/>
  <c r="A365" i="15" l="1"/>
  <c r="E366" i="15"/>
  <c r="AD342" i="5" s="1"/>
  <c r="D366" i="15"/>
  <c r="F366" i="15" s="1"/>
  <c r="A366" i="15" l="1"/>
  <c r="E367" i="15"/>
  <c r="AD343" i="5" s="1"/>
  <c r="D367" i="15"/>
  <c r="F367" i="15" s="1"/>
  <c r="A367" i="15" l="1"/>
  <c r="E368" i="15"/>
  <c r="AD344" i="5" s="1"/>
  <c r="D368" i="15"/>
  <c r="F368" i="15" s="1"/>
  <c r="A368" i="15" l="1"/>
  <c r="E369" i="15"/>
  <c r="AD345" i="5" s="1"/>
  <c r="D369" i="15"/>
  <c r="F369" i="15" s="1"/>
  <c r="A369" i="15" l="1"/>
  <c r="E370" i="15"/>
  <c r="AD346" i="5" s="1"/>
  <c r="D370" i="15"/>
  <c r="F370" i="15" s="1"/>
  <c r="A370" i="15" l="1"/>
  <c r="E371" i="15"/>
  <c r="AD347" i="5" s="1"/>
  <c r="D371" i="15"/>
  <c r="F371" i="15" l="1"/>
  <c r="A371" i="15" l="1"/>
  <c r="E372" i="15"/>
  <c r="AD348" i="5" s="1"/>
  <c r="D372" i="15"/>
  <c r="F372" i="15" l="1"/>
  <c r="A372" i="15" l="1"/>
  <c r="E373" i="15"/>
  <c r="AD349" i="5" s="1"/>
  <c r="D373" i="15"/>
  <c r="F373" i="15" s="1"/>
  <c r="A373" i="15" l="1"/>
  <c r="E374" i="15"/>
  <c r="AD350" i="5" s="1"/>
  <c r="D374" i="15"/>
  <c r="F374" i="15" s="1"/>
  <c r="A374" i="15" l="1"/>
  <c r="E375" i="15"/>
  <c r="AD351" i="5" s="1"/>
  <c r="D375" i="15"/>
  <c r="F375" i="15" s="1"/>
  <c r="A375" i="15" l="1"/>
  <c r="E376" i="15"/>
  <c r="AD352" i="5" s="1"/>
  <c r="D376" i="15"/>
  <c r="F376" i="15" s="1"/>
  <c r="A376" i="15" l="1"/>
  <c r="E377" i="15"/>
  <c r="AD353" i="5" s="1"/>
  <c r="D377" i="15"/>
  <c r="F377" i="15" l="1"/>
  <c r="A377" i="15" l="1"/>
  <c r="E378" i="15"/>
  <c r="AD354" i="5" s="1"/>
  <c r="D378" i="15"/>
  <c r="F378" i="15" s="1"/>
  <c r="A378" i="15" l="1"/>
  <c r="E379" i="15"/>
  <c r="AD355" i="5" s="1"/>
  <c r="D379" i="15"/>
  <c r="F379" i="15" s="1"/>
  <c r="A379" i="15" l="1"/>
  <c r="E380" i="15"/>
  <c r="AD356" i="5" s="1"/>
  <c r="D380" i="15"/>
  <c r="F380" i="15" s="1"/>
  <c r="A380" i="15" l="1"/>
  <c r="E381" i="15"/>
  <c r="AD357" i="5" s="1"/>
  <c r="D381" i="15"/>
  <c r="F381" i="15" s="1"/>
  <c r="A381" i="15" l="1"/>
  <c r="E382" i="15"/>
  <c r="AD358" i="5" s="1"/>
  <c r="D382" i="15"/>
  <c r="F382" i="15" s="1"/>
  <c r="A382" i="15" l="1"/>
  <c r="E383" i="15"/>
  <c r="AD359" i="5" s="1"/>
  <c r="D383" i="15"/>
  <c r="F383" i="15" l="1"/>
  <c r="A383" i="15" l="1"/>
  <c r="E384" i="15"/>
  <c r="AD360" i="5" s="1"/>
  <c r="D384" i="15"/>
  <c r="F384" i="15" s="1"/>
  <c r="A384" i="15" l="1"/>
  <c r="E385" i="15"/>
  <c r="AD361" i="5" s="1"/>
  <c r="D385" i="15"/>
  <c r="F385" i="15" s="1"/>
  <c r="A385" i="15" l="1"/>
  <c r="E386" i="15"/>
  <c r="AD362" i="5" s="1"/>
  <c r="D386" i="15"/>
  <c r="F386" i="15" s="1"/>
  <c r="A386" i="15" l="1"/>
  <c r="E387" i="15"/>
  <c r="AD363" i="5" s="1"/>
  <c r="D387" i="15"/>
  <c r="F387" i="15" s="1"/>
  <c r="A387" i="15" l="1"/>
  <c r="E388" i="15"/>
  <c r="AD364" i="5" s="1"/>
  <c r="D388" i="15"/>
  <c r="F388" i="15" s="1"/>
  <c r="A388" i="15" l="1"/>
  <c r="E389" i="15"/>
  <c r="AD365" i="5" s="1"/>
  <c r="D389" i="15"/>
  <c r="F389" i="15" s="1"/>
  <c r="A389" i="15" l="1"/>
  <c r="E390" i="15"/>
  <c r="AD366" i="5" s="1"/>
  <c r="D390" i="15"/>
  <c r="F390" i="15" l="1"/>
  <c r="A390" i="15" l="1"/>
  <c r="E391" i="15"/>
  <c r="AD367" i="5" s="1"/>
  <c r="D391" i="15"/>
  <c r="F391" i="15" s="1"/>
  <c r="A391" i="15" l="1"/>
  <c r="E392" i="15"/>
  <c r="AD368" i="5" s="1"/>
  <c r="D392" i="15"/>
  <c r="F392" i="15" s="1"/>
  <c r="A392" i="15" l="1"/>
  <c r="E393" i="15"/>
  <c r="AD369" i="5" s="1"/>
  <c r="D393" i="15"/>
  <c r="F393" i="15" s="1"/>
  <c r="A393" i="15" l="1"/>
  <c r="E394" i="15"/>
  <c r="AD370" i="5" s="1"/>
  <c r="D394" i="15"/>
  <c r="F394" i="15" s="1"/>
  <c r="A394" i="15" l="1"/>
  <c r="E395" i="15"/>
  <c r="AD371" i="5" s="1"/>
  <c r="D395" i="15"/>
  <c r="F395" i="15" s="1"/>
  <c r="A395" i="15" l="1"/>
  <c r="E396" i="15"/>
  <c r="AD372" i="5" s="1"/>
  <c r="D396" i="15"/>
  <c r="F396" i="15" s="1"/>
  <c r="A396" i="15" l="1"/>
  <c r="E397" i="15"/>
  <c r="AD373" i="5" s="1"/>
  <c r="D397" i="15"/>
  <c r="F397" i="15" l="1"/>
  <c r="A397" i="15" l="1"/>
  <c r="E398" i="15"/>
  <c r="AD374" i="5" s="1"/>
  <c r="D398" i="15"/>
  <c r="F398" i="15" s="1"/>
  <c r="A398" i="15" l="1"/>
  <c r="E399" i="15"/>
  <c r="AD375" i="5" s="1"/>
  <c r="D399" i="15"/>
  <c r="F399" i="15" s="1"/>
  <c r="A399" i="15" l="1"/>
  <c r="E400" i="15"/>
  <c r="AD376" i="5" s="1"/>
  <c r="D400" i="15"/>
  <c r="F400" i="15" s="1"/>
  <c r="A400" i="15" l="1"/>
  <c r="E401" i="15"/>
  <c r="AD377" i="5" s="1"/>
  <c r="D401" i="15"/>
  <c r="F401" i="15" s="1"/>
  <c r="A401" i="15" l="1"/>
  <c r="E402" i="15"/>
  <c r="AD378" i="5" s="1"/>
  <c r="D402" i="15"/>
  <c r="F402" i="15" s="1"/>
  <c r="A402" i="15" l="1"/>
  <c r="E403" i="15"/>
  <c r="AD379" i="5" s="1"/>
  <c r="D403" i="15"/>
  <c r="F403" i="15" s="1"/>
  <c r="A403" i="15" l="1"/>
  <c r="E404" i="15"/>
  <c r="AD380" i="5" s="1"/>
  <c r="D404" i="15"/>
  <c r="F404" i="15" s="1"/>
  <c r="A404" i="15" l="1"/>
  <c r="E405" i="15"/>
  <c r="AD381" i="5" s="1"/>
  <c r="D405" i="15"/>
  <c r="F405" i="15" s="1"/>
  <c r="A405" i="15" l="1"/>
  <c r="E406" i="15"/>
  <c r="AD382" i="5" s="1"/>
  <c r="D406" i="15"/>
  <c r="F406" i="15" s="1"/>
  <c r="A406" i="15" l="1"/>
  <c r="E407" i="15"/>
  <c r="AD383" i="5" s="1"/>
  <c r="D407" i="15"/>
  <c r="F407" i="15" s="1"/>
  <c r="A407" i="15" l="1"/>
  <c r="E408" i="15"/>
  <c r="AD384" i="5" s="1"/>
  <c r="D408" i="15"/>
  <c r="F408" i="15" s="1"/>
  <c r="A408" i="15" l="1"/>
  <c r="E409" i="15"/>
  <c r="AD385" i="5" s="1"/>
  <c r="D409" i="15"/>
  <c r="F409" i="15" s="1"/>
  <c r="A409" i="15" l="1"/>
  <c r="E410" i="15"/>
  <c r="AD386" i="5" s="1"/>
  <c r="D410" i="15"/>
  <c r="F410" i="15" s="1"/>
  <c r="A410" i="15" l="1"/>
  <c r="E411" i="15"/>
  <c r="AD387" i="5" s="1"/>
  <c r="D411" i="15"/>
  <c r="F411" i="15" s="1"/>
  <c r="A411" i="15" l="1"/>
  <c r="E412" i="15"/>
  <c r="AD388" i="5" s="1"/>
  <c r="D412" i="15"/>
  <c r="F412" i="15" s="1"/>
  <c r="A412" i="15" l="1"/>
  <c r="E413" i="15"/>
  <c r="AD389" i="5" s="1"/>
  <c r="D413" i="15"/>
  <c r="F413" i="15" s="1"/>
  <c r="A413" i="15" l="1"/>
  <c r="E414" i="15"/>
  <c r="AD390" i="5" s="1"/>
  <c r="D414" i="15"/>
  <c r="F414" i="15" s="1"/>
  <c r="A414" i="15" l="1"/>
  <c r="E415" i="15"/>
  <c r="AD391" i="5" s="1"/>
  <c r="D415" i="15"/>
  <c r="F415" i="15" s="1"/>
  <c r="A415" i="15" l="1"/>
  <c r="E416" i="15"/>
  <c r="AD392" i="5" s="1"/>
  <c r="D416" i="15"/>
  <c r="F416" i="15" s="1"/>
  <c r="A416" i="15" l="1"/>
  <c r="E417" i="15"/>
  <c r="AD393" i="5" s="1"/>
  <c r="D417" i="15"/>
  <c r="F417" i="15" s="1"/>
  <c r="A417" i="15" l="1"/>
  <c r="E418" i="15"/>
  <c r="AD394" i="5" s="1"/>
  <c r="D418" i="15"/>
  <c r="F418" i="15" s="1"/>
  <c r="A418" i="15" l="1"/>
  <c r="E419" i="15"/>
  <c r="AD395" i="5" s="1"/>
  <c r="D419" i="15"/>
  <c r="F419" i="15" s="1"/>
  <c r="A419" i="15" l="1"/>
  <c r="E420" i="15"/>
  <c r="AD396" i="5" s="1"/>
  <c r="D420" i="15"/>
  <c r="F420" i="15" s="1"/>
  <c r="A420" i="15" l="1"/>
  <c r="E421" i="15"/>
  <c r="AD397" i="5" s="1"/>
  <c r="D421" i="15"/>
  <c r="F421" i="15" s="1"/>
  <c r="A421" i="15" l="1"/>
  <c r="E422" i="15"/>
  <c r="AD398" i="5" s="1"/>
  <c r="D422" i="15"/>
  <c r="F422" i="15" s="1"/>
  <c r="A422" i="15" l="1"/>
  <c r="E423" i="15"/>
  <c r="AD399" i="5" s="1"/>
  <c r="D423" i="15"/>
  <c r="F423" i="15" s="1"/>
  <c r="A423" i="15" l="1"/>
  <c r="E424" i="15"/>
  <c r="AD400" i="5" s="1"/>
  <c r="D424" i="15"/>
  <c r="F424" i="15" s="1"/>
  <c r="A424" i="15" l="1"/>
  <c r="E425" i="15"/>
  <c r="AD401" i="5" s="1"/>
  <c r="D425" i="15"/>
  <c r="F425" i="15" s="1"/>
  <c r="A425" i="15" l="1"/>
  <c r="E426" i="15"/>
  <c r="AD402" i="5" s="1"/>
  <c r="D426" i="15"/>
  <c r="F426" i="15" s="1"/>
  <c r="A426" i="15" l="1"/>
  <c r="E427" i="15"/>
  <c r="AD403" i="5" s="1"/>
  <c r="D427" i="15"/>
  <c r="F427" i="15" s="1"/>
  <c r="A427" i="15" l="1"/>
  <c r="E428" i="15"/>
  <c r="AD404" i="5" s="1"/>
  <c r="D428" i="15"/>
  <c r="F428" i="15" s="1"/>
  <c r="A428" i="15" l="1"/>
  <c r="E429" i="15"/>
  <c r="AD405" i="5" s="1"/>
  <c r="D429" i="15"/>
  <c r="F429" i="15" s="1"/>
  <c r="A429" i="15" l="1"/>
  <c r="E430" i="15"/>
  <c r="AD406" i="5" s="1"/>
  <c r="D430" i="15"/>
  <c r="F430" i="15" s="1"/>
  <c r="A430" i="15" l="1"/>
  <c r="E431" i="15"/>
  <c r="AD407" i="5" s="1"/>
  <c r="D431" i="15"/>
  <c r="F431" i="15" s="1"/>
  <c r="A431" i="15" l="1"/>
  <c r="E432" i="15"/>
  <c r="AD408" i="5" s="1"/>
  <c r="D432" i="15"/>
  <c r="F432" i="15" s="1"/>
  <c r="A432" i="15" l="1"/>
  <c r="E433" i="15"/>
  <c r="AD409" i="5" s="1"/>
  <c r="D433" i="15"/>
  <c r="F433" i="15" s="1"/>
  <c r="A433" i="15" l="1"/>
  <c r="E434" i="15"/>
  <c r="AD410" i="5" s="1"/>
  <c r="D434" i="15"/>
  <c r="F434" i="15" s="1"/>
  <c r="A434" i="15" l="1"/>
  <c r="E435" i="15"/>
  <c r="AD411" i="5" s="1"/>
  <c r="D435" i="15"/>
  <c r="F435" i="15" s="1"/>
  <c r="A435" i="15" l="1"/>
  <c r="E436" i="15"/>
  <c r="AD412" i="5" s="1"/>
  <c r="D436" i="15"/>
  <c r="F436" i="15" s="1"/>
  <c r="A436" i="15" l="1"/>
  <c r="E437" i="15"/>
  <c r="AD413" i="5" s="1"/>
  <c r="D437" i="15"/>
  <c r="F437" i="15" s="1"/>
  <c r="A437" i="15" l="1"/>
  <c r="E438" i="15"/>
  <c r="AD414" i="5" s="1"/>
  <c r="D438" i="15"/>
  <c r="F438" i="15" s="1"/>
  <c r="A438" i="15" l="1"/>
  <c r="E439" i="15"/>
  <c r="AD415" i="5" s="1"/>
  <c r="D439" i="15"/>
  <c r="F439" i="15" s="1"/>
  <c r="A439" i="15" l="1"/>
  <c r="E440" i="15"/>
  <c r="AD416" i="5" s="1"/>
  <c r="D440" i="15"/>
  <c r="F440" i="15" s="1"/>
  <c r="A440" i="15" l="1"/>
  <c r="E441" i="15"/>
  <c r="AD417" i="5" s="1"/>
  <c r="D441" i="15"/>
  <c r="F441" i="15" s="1"/>
  <c r="A441" i="15" l="1"/>
  <c r="E442" i="15"/>
  <c r="AD418" i="5" s="1"/>
  <c r="D442" i="15"/>
  <c r="F442" i="15" s="1"/>
  <c r="A442" i="15" l="1"/>
  <c r="E443" i="15"/>
  <c r="AD419" i="5" s="1"/>
  <c r="D443" i="15"/>
  <c r="F443" i="15" s="1"/>
  <c r="A443" i="15" l="1"/>
  <c r="E444" i="15"/>
  <c r="AD420" i="5" s="1"/>
  <c r="D444" i="15"/>
  <c r="F444" i="15" s="1"/>
  <c r="A444" i="15" l="1"/>
  <c r="E445" i="15"/>
  <c r="AD421" i="5" s="1"/>
  <c r="D445" i="15"/>
  <c r="F445" i="15" s="1"/>
  <c r="A445" i="15" l="1"/>
  <c r="E446" i="15"/>
  <c r="AD422" i="5" s="1"/>
  <c r="D446" i="15"/>
  <c r="F446" i="15" s="1"/>
  <c r="A446" i="15" l="1"/>
  <c r="E447" i="15"/>
  <c r="AD423" i="5" s="1"/>
  <c r="D447" i="15"/>
  <c r="F447" i="15" s="1"/>
  <c r="A447" i="15" l="1"/>
  <c r="E448" i="15"/>
  <c r="AD424" i="5" s="1"/>
  <c r="D448" i="15"/>
  <c r="F448" i="15" l="1"/>
  <c r="A448" i="15" l="1"/>
  <c r="E449" i="15"/>
  <c r="AD425" i="5" s="1"/>
  <c r="D449" i="15"/>
  <c r="F449" i="15" s="1"/>
  <c r="A449" i="15" l="1"/>
  <c r="E450" i="15"/>
  <c r="AD426" i="5" s="1"/>
  <c r="D450" i="15"/>
  <c r="F450" i="15" s="1"/>
  <c r="A450" i="15" l="1"/>
  <c r="E451" i="15"/>
  <c r="AD427" i="5" s="1"/>
  <c r="D451" i="15"/>
  <c r="F451" i="15" s="1"/>
  <c r="A451" i="15" l="1"/>
  <c r="E452" i="15"/>
  <c r="AD428" i="5" s="1"/>
  <c r="D452" i="15"/>
  <c r="F452" i="15" s="1"/>
  <c r="A452" i="15" l="1"/>
  <c r="E453" i="15"/>
  <c r="AD429" i="5" s="1"/>
  <c r="D453" i="15"/>
  <c r="F453" i="15" s="1"/>
  <c r="A453" i="15" l="1"/>
  <c r="E454" i="15"/>
  <c r="AD430" i="5" s="1"/>
  <c r="D454" i="15"/>
  <c r="F454" i="15" s="1"/>
  <c r="A454" i="15" l="1"/>
  <c r="E455" i="15"/>
  <c r="AD431" i="5" s="1"/>
  <c r="D455" i="15"/>
  <c r="F455" i="15" s="1"/>
  <c r="A455" i="15" l="1"/>
  <c r="E456" i="15"/>
  <c r="AD432" i="5" s="1"/>
  <c r="D456" i="15"/>
  <c r="F456" i="15" s="1"/>
  <c r="A456" i="15" l="1"/>
  <c r="E457" i="15"/>
  <c r="AD433" i="5" s="1"/>
  <c r="D457" i="15"/>
  <c r="F457" i="15" s="1"/>
  <c r="A457" i="15" l="1"/>
  <c r="E458" i="15"/>
  <c r="AD434" i="5" s="1"/>
  <c r="D458" i="15"/>
  <c r="F458" i="15" s="1"/>
  <c r="A458" i="15" l="1"/>
  <c r="E459" i="15"/>
  <c r="AD435" i="5" s="1"/>
  <c r="D459" i="15"/>
  <c r="F459" i="15" s="1"/>
  <c r="A459" i="15" l="1"/>
  <c r="E460" i="15"/>
  <c r="AD436" i="5" s="1"/>
  <c r="D460" i="15"/>
  <c r="F460" i="15" s="1"/>
  <c r="A460" i="15" l="1"/>
  <c r="E461" i="15"/>
  <c r="AD437" i="5" s="1"/>
  <c r="D461" i="15"/>
  <c r="F461" i="15" s="1"/>
  <c r="A461" i="15" l="1"/>
  <c r="E462" i="15"/>
  <c r="AD438" i="5" s="1"/>
  <c r="D462" i="15"/>
  <c r="F462" i="15" s="1"/>
  <c r="A462" i="15" l="1"/>
  <c r="E463" i="15"/>
  <c r="AD439" i="5" s="1"/>
  <c r="D463" i="15"/>
  <c r="F463" i="15" l="1"/>
  <c r="A463" i="15" l="1"/>
  <c r="E464" i="15"/>
  <c r="AD440" i="5" s="1"/>
  <c r="D464" i="15"/>
  <c r="F464" i="15" s="1"/>
  <c r="A464" i="15" l="1"/>
  <c r="E465" i="15"/>
  <c r="AD441" i="5" s="1"/>
  <c r="D465" i="15"/>
  <c r="F465" i="15" s="1"/>
  <c r="A465" i="15" l="1"/>
  <c r="E466" i="15"/>
  <c r="AD442" i="5" s="1"/>
  <c r="D466" i="15"/>
  <c r="F466" i="15" s="1"/>
  <c r="A466" i="15" l="1"/>
  <c r="E467" i="15"/>
  <c r="AD443" i="5" s="1"/>
  <c r="D467" i="15"/>
  <c r="F467" i="15" s="1"/>
  <c r="A467" i="15" l="1"/>
  <c r="E468" i="15"/>
  <c r="AD444" i="5" s="1"/>
  <c r="D468" i="15"/>
  <c r="F468" i="15" s="1"/>
  <c r="A468" i="15" l="1"/>
  <c r="E469" i="15"/>
  <c r="AD445" i="5" s="1"/>
  <c r="D469" i="15"/>
  <c r="F469" i="15" s="1"/>
  <c r="A469" i="15" l="1"/>
  <c r="E470" i="15"/>
  <c r="AD446" i="5" s="1"/>
  <c r="D470" i="15"/>
  <c r="F470" i="15" s="1"/>
  <c r="A470" i="15" l="1"/>
  <c r="E471" i="15"/>
  <c r="AD447" i="5" s="1"/>
  <c r="D471" i="15"/>
  <c r="F471" i="15" s="1"/>
  <c r="A471" i="15" l="1"/>
  <c r="E472" i="15"/>
  <c r="AD448" i="5" s="1"/>
  <c r="D472" i="15"/>
  <c r="F472" i="15" s="1"/>
  <c r="A472" i="15" l="1"/>
  <c r="E473" i="15"/>
  <c r="AD449" i="5" s="1"/>
  <c r="D473" i="15"/>
  <c r="F473" i="15" s="1"/>
  <c r="A473" i="15" l="1"/>
  <c r="E474" i="15"/>
  <c r="AD450" i="5" s="1"/>
  <c r="D474" i="15"/>
  <c r="F474" i="15" s="1"/>
  <c r="A474" i="15" l="1"/>
  <c r="E475" i="15"/>
  <c r="AD451" i="5" s="1"/>
  <c r="D475" i="15"/>
  <c r="F475" i="15" s="1"/>
  <c r="A475" i="15" l="1"/>
  <c r="E476" i="15"/>
  <c r="AD452" i="5" s="1"/>
  <c r="D476" i="15"/>
  <c r="F476" i="15" s="1"/>
  <c r="A476" i="15" l="1"/>
  <c r="E477" i="15"/>
  <c r="AD453" i="5" s="1"/>
  <c r="D477" i="15"/>
  <c r="F477" i="15" l="1"/>
  <c r="A477" i="15" l="1"/>
  <c r="E478" i="15"/>
  <c r="AD454" i="5" s="1"/>
  <c r="D478" i="15"/>
  <c r="F478" i="15" s="1"/>
  <c r="A478" i="15" l="1"/>
  <c r="E479" i="15"/>
  <c r="AD455" i="5" s="1"/>
  <c r="D479" i="15"/>
  <c r="F479" i="15" s="1"/>
  <c r="A479" i="15" l="1"/>
  <c r="E480" i="15"/>
  <c r="AD456" i="5" s="1"/>
  <c r="D480" i="15"/>
  <c r="F480" i="15" s="1"/>
  <c r="A480" i="15" l="1"/>
  <c r="E481" i="15"/>
  <c r="AD457" i="5" s="1"/>
  <c r="D481" i="15"/>
  <c r="F481" i="15" s="1"/>
  <c r="A481" i="15" l="1"/>
  <c r="E482" i="15"/>
  <c r="AD458" i="5" s="1"/>
  <c r="D482" i="15"/>
  <c r="F482" i="15" s="1"/>
  <c r="A482" i="15" l="1"/>
  <c r="E483" i="15"/>
  <c r="AD459" i="5" s="1"/>
  <c r="D483" i="15"/>
  <c r="F483" i="15" s="1"/>
  <c r="A483" i="15" l="1"/>
  <c r="E484" i="15"/>
  <c r="AD460" i="5" s="1"/>
  <c r="D484" i="15"/>
  <c r="F484" i="15" l="1"/>
  <c r="A484" i="15" l="1"/>
  <c r="E485" i="15"/>
  <c r="AD461" i="5" s="1"/>
  <c r="D485" i="15"/>
  <c r="F485" i="15" l="1"/>
  <c r="A485" i="15" l="1"/>
  <c r="E486" i="15"/>
  <c r="AD462" i="5" s="1"/>
  <c r="D486" i="15"/>
  <c r="F486" i="15" s="1"/>
  <c r="A486" i="15" l="1"/>
  <c r="E487" i="15"/>
  <c r="AD463" i="5" s="1"/>
  <c r="D487" i="15"/>
  <c r="F487" i="15" s="1"/>
  <c r="A487" i="15" l="1"/>
  <c r="E488" i="15"/>
  <c r="AD464" i="5" s="1"/>
  <c r="D488" i="15"/>
  <c r="F488" i="15" s="1"/>
  <c r="A488" i="15" l="1"/>
  <c r="E489" i="15"/>
  <c r="AD465" i="5" s="1"/>
  <c r="D489" i="15"/>
  <c r="F489" i="15" s="1"/>
  <c r="A489" i="15" l="1"/>
  <c r="E490" i="15"/>
  <c r="AD466" i="5" s="1"/>
  <c r="D490" i="15"/>
  <c r="F490" i="15" s="1"/>
  <c r="A490" i="15" l="1"/>
  <c r="E491" i="15"/>
  <c r="AD467" i="5" s="1"/>
  <c r="D491" i="15"/>
  <c r="F491" i="15" s="1"/>
  <c r="A491" i="15" l="1"/>
  <c r="E492" i="15"/>
  <c r="AD468" i="5" s="1"/>
  <c r="D492" i="15"/>
  <c r="F492" i="15" s="1"/>
  <c r="A492" i="15" l="1"/>
  <c r="E493" i="15"/>
  <c r="AD469" i="5" s="1"/>
  <c r="D493" i="15"/>
  <c r="F493" i="15" s="1"/>
  <c r="A493" i="15" l="1"/>
  <c r="E494" i="15"/>
  <c r="AD470" i="5" s="1"/>
  <c r="D494" i="15"/>
  <c r="F494" i="15" s="1"/>
  <c r="A494" i="15" l="1"/>
  <c r="E495" i="15"/>
  <c r="AD471" i="5" s="1"/>
  <c r="D495" i="15"/>
  <c r="F495" i="15" s="1"/>
  <c r="A495" i="15" l="1"/>
  <c r="E496" i="15"/>
  <c r="AD472" i="5" s="1"/>
  <c r="D496" i="15"/>
  <c r="F496" i="15" s="1"/>
  <c r="A496" i="15" l="1"/>
  <c r="E497" i="15"/>
  <c r="AD473" i="5" s="1"/>
  <c r="D497" i="15"/>
  <c r="F497" i="15" s="1"/>
  <c r="A497" i="15" l="1"/>
  <c r="E498" i="15"/>
  <c r="AD474" i="5" s="1"/>
  <c r="D498" i="15"/>
  <c r="F498" i="15" s="1"/>
  <c r="A498" i="15" l="1"/>
  <c r="E499" i="15"/>
  <c r="AD475" i="5" s="1"/>
  <c r="D499" i="15"/>
  <c r="F499" i="15" s="1"/>
  <c r="A499" i="15" l="1"/>
  <c r="E500" i="15"/>
  <c r="AD476" i="5" s="1"/>
  <c r="D500" i="15"/>
  <c r="F500" i="15" s="1"/>
  <c r="A500" i="15" l="1"/>
  <c r="E501" i="15"/>
  <c r="AD477" i="5" s="1"/>
  <c r="D501" i="15"/>
  <c r="F501" i="15" s="1"/>
  <c r="A501" i="15" l="1"/>
  <c r="E502" i="15"/>
  <c r="AD478" i="5" s="1"/>
  <c r="D502" i="15"/>
  <c r="F502" i="15" s="1"/>
  <c r="A502" i="15" l="1"/>
  <c r="E503" i="15"/>
  <c r="AD479" i="5" s="1"/>
  <c r="D503" i="15"/>
  <c r="F503" i="15" s="1"/>
  <c r="A503" i="15" l="1"/>
  <c r="E504" i="15"/>
  <c r="AD480" i="5" s="1"/>
  <c r="D504" i="15"/>
  <c r="F504" i="15" s="1"/>
  <c r="A504" i="15" l="1"/>
  <c r="E505" i="15"/>
  <c r="AD481" i="5" s="1"/>
  <c r="D505" i="15"/>
  <c r="F505" i="15" s="1"/>
  <c r="A505" i="15" l="1"/>
  <c r="E506" i="15"/>
  <c r="AD482" i="5" s="1"/>
  <c r="D506" i="15"/>
  <c r="F506" i="15" s="1"/>
  <c r="A506" i="15" l="1"/>
  <c r="E507" i="15"/>
  <c r="AD483" i="5" s="1"/>
  <c r="D507" i="15"/>
  <c r="F507" i="15" s="1"/>
  <c r="A507" i="15" l="1"/>
  <c r="E508" i="15"/>
  <c r="AD484" i="5" s="1"/>
  <c r="D508" i="15"/>
  <c r="F508" i="15" s="1"/>
  <c r="A508" i="15" l="1"/>
  <c r="E509" i="15"/>
  <c r="AD485" i="5" s="1"/>
  <c r="D509" i="15"/>
  <c r="F509" i="15" s="1"/>
  <c r="A509" i="15" l="1"/>
  <c r="E510" i="15"/>
  <c r="AD486" i="5" s="1"/>
  <c r="D510" i="15"/>
  <c r="F510" i="15" s="1"/>
  <c r="A510" i="15" l="1"/>
  <c r="E511" i="15"/>
  <c r="AD487" i="5" s="1"/>
  <c r="D511" i="15"/>
  <c r="F511" i="15" s="1"/>
  <c r="A511" i="15" l="1"/>
  <c r="E512" i="15"/>
  <c r="AD488" i="5" s="1"/>
  <c r="D512" i="15"/>
  <c r="F512" i="15" s="1"/>
  <c r="A512" i="15" l="1"/>
  <c r="E513" i="15"/>
  <c r="AD489" i="5" s="1"/>
  <c r="D513" i="15"/>
  <c r="F513" i="15" s="1"/>
  <c r="A513" i="15" l="1"/>
  <c r="E514" i="15"/>
  <c r="AD490" i="5" s="1"/>
  <c r="D514" i="15"/>
  <c r="F514" i="15" s="1"/>
  <c r="A514" i="15" l="1"/>
  <c r="E515" i="15"/>
  <c r="AD491" i="5" s="1"/>
  <c r="D515" i="15"/>
  <c r="F515" i="15" s="1"/>
  <c r="A515" i="15" l="1"/>
  <c r="E516" i="15"/>
  <c r="AD492" i="5" s="1"/>
  <c r="D516" i="15"/>
  <c r="F516" i="15" s="1"/>
  <c r="A516" i="15" l="1"/>
  <c r="E517" i="15"/>
  <c r="AD493" i="5" s="1"/>
  <c r="D517" i="15"/>
  <c r="F517" i="15" s="1"/>
  <c r="A517" i="15" l="1"/>
  <c r="E518" i="15"/>
  <c r="AD494" i="5" s="1"/>
  <c r="D518" i="15"/>
  <c r="F518" i="15" l="1"/>
  <c r="A518" i="15" l="1"/>
  <c r="E519" i="15"/>
  <c r="AD495" i="5" s="1"/>
  <c r="D519" i="15"/>
  <c r="F519" i="15" s="1"/>
  <c r="A519" i="15" l="1"/>
  <c r="E520" i="15"/>
  <c r="AD496" i="5" s="1"/>
  <c r="D520" i="15"/>
  <c r="F520" i="15" s="1"/>
  <c r="A520" i="15" l="1"/>
  <c r="E521" i="15"/>
  <c r="AD497" i="5" s="1"/>
  <c r="D521" i="15"/>
  <c r="F521" i="15" s="1"/>
  <c r="A521" i="15" l="1"/>
  <c r="E522" i="15"/>
  <c r="AD498" i="5" s="1"/>
  <c r="D522" i="15"/>
  <c r="F522" i="15" s="1"/>
  <c r="A522" i="15" l="1"/>
  <c r="E523" i="15"/>
  <c r="AD499" i="5" s="1"/>
  <c r="D523" i="15"/>
  <c r="F523" i="15" s="1"/>
  <c r="A523" i="15" l="1"/>
  <c r="E524" i="15"/>
  <c r="AD500" i="5" s="1"/>
  <c r="D524" i="15"/>
  <c r="F524" i="15" s="1"/>
  <c r="A524" i="15" l="1"/>
  <c r="E525" i="15"/>
  <c r="AD501" i="5" s="1"/>
  <c r="D525" i="15"/>
  <c r="F525" i="15" s="1"/>
  <c r="A525" i="15" l="1"/>
  <c r="E526" i="15"/>
  <c r="AD502" i="5" s="1"/>
  <c r="D526" i="15"/>
  <c r="F526" i="15" s="1"/>
  <c r="A526" i="15" l="1"/>
  <c r="E527" i="15"/>
  <c r="AD503" i="5" s="1"/>
  <c r="D527" i="15"/>
  <c r="F527" i="15" s="1"/>
  <c r="A527" i="15" l="1"/>
  <c r="E528" i="15"/>
  <c r="AD504" i="5" s="1"/>
  <c r="D528" i="15"/>
  <c r="F528" i="15" s="1"/>
  <c r="A528" i="15" l="1"/>
  <c r="E529" i="15"/>
  <c r="AD505" i="5" s="1"/>
  <c r="D529" i="15"/>
  <c r="F529" i="15" s="1"/>
  <c r="A529" i="15" l="1"/>
  <c r="E530" i="15"/>
  <c r="AD506" i="5" s="1"/>
  <c r="D530" i="15"/>
  <c r="F530" i="15" s="1"/>
  <c r="A530" i="15" l="1"/>
  <c r="E531" i="15"/>
  <c r="AD507" i="5" s="1"/>
  <c r="D531" i="15"/>
  <c r="F531" i="15" s="1"/>
  <c r="A531" i="15" l="1"/>
  <c r="E532" i="15"/>
  <c r="AD508" i="5" s="1"/>
  <c r="D532" i="15"/>
  <c r="F532" i="15" s="1"/>
  <c r="A532" i="15" l="1"/>
  <c r="E533" i="15"/>
  <c r="AD509" i="5" s="1"/>
  <c r="D533" i="15"/>
  <c r="F533" i="15" s="1"/>
  <c r="A533" i="15" l="1"/>
  <c r="E534" i="15"/>
  <c r="AD510" i="5" s="1"/>
  <c r="D534" i="15"/>
  <c r="F534" i="15" s="1"/>
  <c r="A534" i="15" l="1"/>
  <c r="E535" i="15"/>
  <c r="AD511" i="5" s="1"/>
  <c r="D535" i="15"/>
  <c r="F535" i="15" l="1"/>
  <c r="A535" i="15" l="1"/>
  <c r="E536" i="15"/>
  <c r="AD512" i="5" s="1"/>
  <c r="D536" i="15"/>
  <c r="F536" i="15" l="1"/>
  <c r="A536" i="15" l="1"/>
  <c r="E537" i="15"/>
  <c r="AD513" i="5" s="1"/>
  <c r="D537" i="15"/>
  <c r="F537" i="15" s="1"/>
  <c r="A537" i="15" l="1"/>
  <c r="E538" i="15"/>
  <c r="AD514" i="5" s="1"/>
  <c r="D538" i="15"/>
  <c r="F538" i="15" s="1"/>
  <c r="A538" i="15" l="1"/>
  <c r="E539" i="15"/>
  <c r="AD515" i="5" s="1"/>
  <c r="D539" i="15"/>
  <c r="F539" i="15" s="1"/>
  <c r="A539" i="15" l="1"/>
  <c r="E540" i="15"/>
  <c r="AD516" i="5" s="1"/>
  <c r="D540" i="15"/>
  <c r="F540" i="15" s="1"/>
  <c r="A540" i="15" l="1"/>
  <c r="E541" i="15"/>
  <c r="AD517" i="5" s="1"/>
  <c r="D541" i="15"/>
  <c r="F541" i="15" s="1"/>
  <c r="A541" i="15" l="1"/>
  <c r="E542" i="15"/>
  <c r="AD518" i="5" s="1"/>
  <c r="D542" i="15"/>
  <c r="F542" i="15" s="1"/>
  <c r="A542" i="15" l="1"/>
  <c r="E543" i="15"/>
  <c r="AD519" i="5" s="1"/>
  <c r="D543" i="15"/>
  <c r="F543" i="15" s="1"/>
  <c r="A543" i="15" l="1"/>
  <c r="E544" i="15"/>
  <c r="AD520" i="5" s="1"/>
  <c r="D544" i="15"/>
  <c r="F544" i="15" s="1"/>
  <c r="A544" i="15" l="1"/>
  <c r="E545" i="15"/>
  <c r="AD521" i="5" s="1"/>
  <c r="D545" i="15"/>
  <c r="F545" i="15" s="1"/>
  <c r="A545" i="15" l="1"/>
  <c r="E546" i="15"/>
  <c r="AD522" i="5" s="1"/>
  <c r="D546" i="15"/>
  <c r="F546" i="15" s="1"/>
  <c r="A546" i="15" l="1"/>
  <c r="E547" i="15"/>
  <c r="AD523" i="5" s="1"/>
  <c r="D547" i="15"/>
  <c r="F547" i="15" s="1"/>
  <c r="A547" i="15" l="1"/>
  <c r="E548" i="15"/>
  <c r="AD524" i="5" s="1"/>
  <c r="D548" i="15"/>
  <c r="F548" i="15" s="1"/>
  <c r="A548" i="15" l="1"/>
  <c r="E549" i="15"/>
  <c r="AD525" i="5" s="1"/>
  <c r="D549" i="15"/>
  <c r="F549" i="15" s="1"/>
  <c r="A549" i="15" l="1"/>
  <c r="E550" i="15"/>
  <c r="AD526" i="5" s="1"/>
  <c r="D550" i="15"/>
  <c r="F550" i="15" s="1"/>
  <c r="A550" i="15" l="1"/>
  <c r="E551" i="15"/>
  <c r="AD527" i="5" s="1"/>
  <c r="D551" i="15"/>
  <c r="F551" i="15" s="1"/>
  <c r="A551" i="15" l="1"/>
  <c r="E552" i="15"/>
  <c r="AD528" i="5" s="1"/>
  <c r="D552" i="15"/>
  <c r="F552" i="15" s="1"/>
  <c r="A552" i="15" l="1"/>
  <c r="E553" i="15"/>
  <c r="AD529" i="5" s="1"/>
  <c r="D553" i="15"/>
  <c r="F553" i="15" s="1"/>
  <c r="A553" i="15" l="1"/>
  <c r="E554" i="15"/>
  <c r="AD530" i="5" s="1"/>
  <c r="D554" i="15"/>
  <c r="F554" i="15" s="1"/>
  <c r="A554" i="15" l="1"/>
  <c r="E555" i="15"/>
  <c r="AD531" i="5" s="1"/>
  <c r="D555" i="15"/>
  <c r="F555" i="15" s="1"/>
  <c r="A555" i="15" l="1"/>
  <c r="E556" i="15"/>
  <c r="AD532" i="5" s="1"/>
  <c r="D556" i="15"/>
  <c r="F556" i="15" s="1"/>
  <c r="A556" i="15" l="1"/>
  <c r="E557" i="15"/>
  <c r="AD533" i="5" s="1"/>
  <c r="D557" i="15"/>
  <c r="F557" i="15" s="1"/>
  <c r="A557" i="15" l="1"/>
  <c r="E558" i="15"/>
  <c r="AD534" i="5" s="1"/>
  <c r="D558" i="15"/>
  <c r="F558" i="15" s="1"/>
  <c r="A558" i="15" l="1"/>
  <c r="E559" i="15"/>
  <c r="AD535" i="5" s="1"/>
  <c r="D559" i="15"/>
  <c r="F559" i="15" s="1"/>
  <c r="A559" i="15" l="1"/>
  <c r="E560" i="15"/>
  <c r="AD536" i="5" s="1"/>
  <c r="D560" i="15"/>
  <c r="F560" i="15" s="1"/>
  <c r="A560" i="15" l="1"/>
  <c r="E561" i="15"/>
  <c r="AD537" i="5" s="1"/>
  <c r="D561" i="15"/>
  <c r="F561" i="15" s="1"/>
  <c r="A561" i="15" l="1"/>
  <c r="E562" i="15"/>
  <c r="AD538" i="5" s="1"/>
  <c r="D562" i="15"/>
  <c r="F562" i="15" s="1"/>
  <c r="A562" i="15" l="1"/>
  <c r="E563" i="15"/>
  <c r="AD539" i="5" s="1"/>
  <c r="D563" i="15"/>
  <c r="F563" i="15" s="1"/>
  <c r="A563" i="15" l="1"/>
  <c r="E564" i="15"/>
  <c r="AD540" i="5" s="1"/>
  <c r="D564" i="15"/>
  <c r="F564" i="15" s="1"/>
  <c r="A564" i="15" l="1"/>
  <c r="E565" i="15"/>
  <c r="AD541" i="5" s="1"/>
  <c r="D565" i="15"/>
  <c r="F565" i="15" s="1"/>
  <c r="A565" i="15" l="1"/>
  <c r="E566" i="15"/>
  <c r="AD542" i="5" s="1"/>
  <c r="D566" i="15"/>
  <c r="F566" i="15" s="1"/>
  <c r="A566" i="15" l="1"/>
  <c r="E567" i="15"/>
  <c r="AD543" i="5" s="1"/>
  <c r="D567" i="15"/>
  <c r="F567" i="15" s="1"/>
  <c r="A567" i="15" l="1"/>
  <c r="E568" i="15"/>
  <c r="AD544" i="5" s="1"/>
  <c r="D568" i="15"/>
  <c r="F568" i="15" s="1"/>
  <c r="A568" i="15" l="1"/>
  <c r="E569" i="15"/>
  <c r="AD545" i="5" s="1"/>
  <c r="D569" i="15"/>
  <c r="F569" i="15" s="1"/>
  <c r="A569" i="15" l="1"/>
  <c r="E570" i="15"/>
  <c r="AD546" i="5" s="1"/>
  <c r="D570" i="15"/>
  <c r="F570" i="15" s="1"/>
  <c r="A570" i="15" l="1"/>
  <c r="E571" i="15"/>
  <c r="AD547" i="5" s="1"/>
  <c r="D571" i="15"/>
  <c r="F571" i="15" s="1"/>
  <c r="A571" i="15" l="1"/>
  <c r="E572" i="15"/>
  <c r="AD548" i="5" s="1"/>
  <c r="D572" i="15"/>
  <c r="F572" i="15" s="1"/>
  <c r="A572" i="15" l="1"/>
  <c r="E573" i="15"/>
  <c r="AD549" i="5" s="1"/>
  <c r="D573" i="15"/>
  <c r="F573" i="15" s="1"/>
  <c r="A573" i="15" l="1"/>
  <c r="E574" i="15"/>
  <c r="AD550" i="5" s="1"/>
  <c r="D574" i="15"/>
  <c r="F574" i="15" s="1"/>
  <c r="A574" i="15" l="1"/>
  <c r="E575" i="15"/>
  <c r="AD551" i="5" s="1"/>
  <c r="D575" i="15"/>
  <c r="F575" i="15" s="1"/>
  <c r="A575" i="15" l="1"/>
  <c r="E576" i="15"/>
  <c r="AD552" i="5" s="1"/>
  <c r="D576" i="15"/>
  <c r="F576" i="15" s="1"/>
  <c r="A576" i="15" l="1"/>
  <c r="E577" i="15"/>
  <c r="AD553" i="5" s="1"/>
  <c r="D577" i="15"/>
  <c r="F577" i="15" l="1"/>
  <c r="A577" i="15" l="1"/>
  <c r="E578" i="15"/>
  <c r="AD554" i="5" s="1"/>
  <c r="D578" i="15"/>
  <c r="F578" i="15" s="1"/>
  <c r="A578" i="15" l="1"/>
  <c r="E579" i="15"/>
  <c r="AD555" i="5" s="1"/>
  <c r="D579" i="15"/>
  <c r="F579" i="15" s="1"/>
  <c r="A579" i="15" l="1"/>
  <c r="E580" i="15"/>
  <c r="AD556" i="5" s="1"/>
  <c r="D580" i="15"/>
  <c r="F580" i="15" s="1"/>
  <c r="A580" i="15" l="1"/>
  <c r="E581" i="15"/>
  <c r="AD557" i="5" s="1"/>
  <c r="D581" i="15"/>
  <c r="F581" i="15" s="1"/>
  <c r="A581" i="15" l="1"/>
  <c r="E582" i="15"/>
  <c r="AD558" i="5" s="1"/>
  <c r="D582" i="15"/>
  <c r="F582" i="15" s="1"/>
  <c r="A582" i="15" l="1"/>
  <c r="E583" i="15"/>
  <c r="AD559" i="5" s="1"/>
  <c r="D583" i="15"/>
  <c r="F583" i="15" s="1"/>
  <c r="A583" i="15" l="1"/>
  <c r="E584" i="15"/>
  <c r="AD560" i="5" s="1"/>
  <c r="D584" i="15"/>
  <c r="F584" i="15" s="1"/>
  <c r="A584" i="15" l="1"/>
  <c r="E585" i="15"/>
  <c r="AD561" i="5" s="1"/>
  <c r="D585" i="15"/>
  <c r="F585" i="15" s="1"/>
  <c r="A585" i="15" l="1"/>
  <c r="E586" i="15"/>
  <c r="AD562" i="5" s="1"/>
  <c r="D586" i="15"/>
  <c r="F586" i="15" s="1"/>
  <c r="A586" i="15" l="1"/>
  <c r="E587" i="15"/>
  <c r="AD563" i="5" s="1"/>
  <c r="D587" i="15"/>
  <c r="F587" i="15" s="1"/>
  <c r="A587" i="15" l="1"/>
  <c r="E588" i="15"/>
  <c r="AD564" i="5" s="1"/>
  <c r="D588" i="15"/>
  <c r="F588" i="15" s="1"/>
  <c r="A588" i="15" l="1"/>
  <c r="E589" i="15"/>
  <c r="AD565" i="5" s="1"/>
  <c r="D589" i="15"/>
  <c r="F589" i="15" s="1"/>
  <c r="A589" i="15" l="1"/>
  <c r="E590" i="15"/>
  <c r="AD566" i="5" s="1"/>
  <c r="D590" i="15"/>
  <c r="F590" i="15" s="1"/>
  <c r="A590" i="15" l="1"/>
  <c r="E591" i="15"/>
  <c r="AD567" i="5" s="1"/>
  <c r="D591" i="15"/>
  <c r="F591" i="15" s="1"/>
  <c r="A591" i="15" l="1"/>
  <c r="E592" i="15"/>
  <c r="AD568" i="5" s="1"/>
  <c r="D592" i="15"/>
  <c r="F592" i="15" s="1"/>
  <c r="A592" i="15" l="1"/>
  <c r="E593" i="15"/>
  <c r="AD569" i="5" s="1"/>
  <c r="D593" i="15"/>
  <c r="F593" i="15" s="1"/>
  <c r="A593" i="15" l="1"/>
  <c r="E594" i="15"/>
  <c r="AD570" i="5" s="1"/>
  <c r="D594" i="15"/>
  <c r="F594" i="15" s="1"/>
  <c r="A594" i="15" l="1"/>
  <c r="E595" i="15"/>
  <c r="AD571" i="5" s="1"/>
  <c r="D595" i="15"/>
  <c r="F595" i="15" s="1"/>
  <c r="A595" i="15" l="1"/>
  <c r="E596" i="15"/>
  <c r="AD572" i="5" s="1"/>
  <c r="D596" i="15"/>
  <c r="F596" i="15" s="1"/>
  <c r="A596" i="15" l="1"/>
  <c r="E597" i="15"/>
  <c r="AD573" i="5" s="1"/>
  <c r="D597" i="15"/>
  <c r="F597" i="15" s="1"/>
  <c r="A597" i="15" l="1"/>
  <c r="E598" i="15"/>
  <c r="AD574" i="5" s="1"/>
  <c r="D598" i="15"/>
  <c r="F598" i="15" s="1"/>
  <c r="A598" i="15" l="1"/>
  <c r="E599" i="15"/>
  <c r="AD575" i="5" s="1"/>
  <c r="D599" i="15"/>
  <c r="F599" i="15" s="1"/>
  <c r="A599" i="15" l="1"/>
  <c r="E600" i="15"/>
  <c r="AD576" i="5" s="1"/>
  <c r="D600" i="15"/>
  <c r="F600" i="15" s="1"/>
  <c r="A600" i="15" l="1"/>
  <c r="E601" i="15"/>
  <c r="AD577" i="5" s="1"/>
  <c r="D601" i="15"/>
  <c r="F601" i="15" s="1"/>
  <c r="A601" i="15" l="1"/>
  <c r="E602" i="15"/>
  <c r="AD578" i="5" s="1"/>
  <c r="D602" i="15"/>
  <c r="F602" i="15" s="1"/>
  <c r="A602" i="15" l="1"/>
  <c r="E603" i="15"/>
  <c r="AD579" i="5" s="1"/>
  <c r="D603" i="15"/>
  <c r="F603" i="15" s="1"/>
  <c r="A603" i="15" l="1"/>
  <c r="E604" i="15"/>
  <c r="AD580" i="5" s="1"/>
  <c r="D604" i="15"/>
  <c r="F604" i="15" s="1"/>
  <c r="A604" i="15" l="1"/>
  <c r="E605" i="15"/>
  <c r="AD581" i="5" s="1"/>
  <c r="D605" i="15"/>
  <c r="F605" i="15" s="1"/>
  <c r="A605" i="15" l="1"/>
  <c r="E606" i="15"/>
  <c r="AD582" i="5" s="1"/>
  <c r="D606" i="15"/>
  <c r="F606" i="15" s="1"/>
  <c r="A606" i="15" l="1"/>
  <c r="E607" i="15"/>
  <c r="AD583" i="5" s="1"/>
  <c r="D607" i="15"/>
  <c r="F607" i="15" s="1"/>
  <c r="A607" i="15" l="1"/>
  <c r="E608" i="15"/>
  <c r="AD584" i="5" s="1"/>
  <c r="D608" i="15"/>
  <c r="F608" i="15" l="1"/>
  <c r="A608" i="15" l="1"/>
  <c r="E609" i="15"/>
  <c r="AD585" i="5" s="1"/>
  <c r="D609" i="15"/>
  <c r="F609" i="15" s="1"/>
  <c r="A609" i="15" l="1"/>
  <c r="E610" i="15"/>
  <c r="AD586" i="5" s="1"/>
  <c r="D610" i="15"/>
  <c r="F610" i="15" s="1"/>
  <c r="A610" i="15" l="1"/>
  <c r="E611" i="15"/>
  <c r="AD587" i="5" s="1"/>
  <c r="D611" i="15"/>
  <c r="F611" i="15" s="1"/>
  <c r="A611" i="15" l="1"/>
  <c r="E612" i="15"/>
  <c r="AD588" i="5" s="1"/>
  <c r="D612" i="15"/>
  <c r="F612" i="15" s="1"/>
  <c r="A612" i="15" l="1"/>
  <c r="E613" i="15"/>
  <c r="AD589" i="5" s="1"/>
  <c r="D613" i="15"/>
  <c r="F613" i="15" s="1"/>
  <c r="A613" i="15" l="1"/>
  <c r="E614" i="15"/>
  <c r="AD590" i="5" s="1"/>
  <c r="D614" i="15"/>
  <c r="F614" i="15" s="1"/>
  <c r="A614" i="15" l="1"/>
  <c r="E615" i="15"/>
  <c r="AD591" i="5" s="1"/>
  <c r="D615" i="15"/>
  <c r="F615" i="15" s="1"/>
  <c r="A615" i="15" l="1"/>
  <c r="E616" i="15"/>
  <c r="AD592" i="5" s="1"/>
  <c r="D616" i="15"/>
  <c r="F616" i="15" s="1"/>
  <c r="A616" i="15" l="1"/>
  <c r="E617" i="15"/>
  <c r="AD593" i="5" s="1"/>
  <c r="D617" i="15"/>
  <c r="F617" i="15" l="1"/>
  <c r="A617" i="15" l="1"/>
  <c r="E618" i="15"/>
  <c r="AD594" i="5" s="1"/>
  <c r="D618" i="15"/>
  <c r="F618" i="15" s="1"/>
  <c r="A618" i="15" l="1"/>
  <c r="E619" i="15"/>
  <c r="AD595" i="5" s="1"/>
  <c r="D619" i="15"/>
  <c r="F619" i="15" s="1"/>
  <c r="A619" i="15" l="1"/>
  <c r="E620" i="15"/>
  <c r="AD596" i="5" s="1"/>
  <c r="D620" i="15"/>
  <c r="F620" i="15" s="1"/>
  <c r="A620" i="15" l="1"/>
  <c r="E621" i="15"/>
  <c r="AD597" i="5" s="1"/>
  <c r="D621" i="15"/>
  <c r="F621" i="15" s="1"/>
  <c r="A621" i="15" l="1"/>
  <c r="E622" i="15"/>
  <c r="AD598" i="5" s="1"/>
  <c r="D622" i="15"/>
  <c r="F622" i="15" s="1"/>
  <c r="A622" i="15" l="1"/>
  <c r="E623" i="15"/>
  <c r="AD599" i="5" s="1"/>
  <c r="D623" i="15"/>
  <c r="F623" i="15" s="1"/>
  <c r="A623" i="15" l="1"/>
  <c r="E624" i="15"/>
  <c r="AD600" i="5" s="1"/>
  <c r="D624" i="15"/>
  <c r="F624" i="15" s="1"/>
  <c r="A624" i="15" l="1"/>
  <c r="E625" i="15"/>
  <c r="AD601" i="5" s="1"/>
  <c r="D625" i="15"/>
  <c r="F625" i="15" s="1"/>
  <c r="A625" i="15" l="1"/>
  <c r="E626" i="15"/>
  <c r="AD602" i="5" s="1"/>
  <c r="D626" i="15"/>
  <c r="F626" i="15" s="1"/>
  <c r="A626" i="15" l="1"/>
  <c r="E627" i="15"/>
  <c r="AD603" i="5" s="1"/>
  <c r="D627" i="15"/>
  <c r="F627" i="15" s="1"/>
  <c r="A627" i="15" l="1"/>
  <c r="E628" i="15"/>
  <c r="AD604" i="5" s="1"/>
  <c r="D628" i="15"/>
  <c r="F628" i="15" s="1"/>
  <c r="A628" i="15" l="1"/>
  <c r="E629" i="15"/>
  <c r="AD605" i="5" s="1"/>
  <c r="D629" i="15"/>
  <c r="F629" i="15" s="1"/>
  <c r="A629" i="15" l="1"/>
  <c r="E630" i="15"/>
  <c r="AD606" i="5" s="1"/>
  <c r="D630" i="15"/>
  <c r="F630" i="15" s="1"/>
  <c r="A630" i="15" l="1"/>
  <c r="E631" i="15"/>
  <c r="AD607" i="5" s="1"/>
  <c r="D631" i="15"/>
  <c r="F631" i="15" s="1"/>
  <c r="A631" i="15" l="1"/>
  <c r="E632" i="15"/>
  <c r="AD608" i="5" s="1"/>
  <c r="D632" i="15"/>
  <c r="F632" i="15" s="1"/>
  <c r="A632" i="15" l="1"/>
  <c r="E633" i="15"/>
  <c r="AD609" i="5" s="1"/>
  <c r="D633" i="15"/>
  <c r="F633" i="15" s="1"/>
  <c r="A633" i="15" l="1"/>
  <c r="E634" i="15"/>
  <c r="AD610" i="5" s="1"/>
  <c r="D634" i="15"/>
  <c r="F634" i="15" s="1"/>
  <c r="A634" i="15" l="1"/>
  <c r="E635" i="15"/>
  <c r="AD611" i="5" s="1"/>
  <c r="D635" i="15"/>
  <c r="F635" i="15" s="1"/>
  <c r="A635" i="15" l="1"/>
  <c r="E636" i="15"/>
  <c r="AD612" i="5" s="1"/>
  <c r="D636" i="15"/>
  <c r="F636" i="15" s="1"/>
  <c r="A636" i="15" l="1"/>
  <c r="E637" i="15"/>
  <c r="AD613" i="5" s="1"/>
  <c r="D637" i="15"/>
  <c r="F637" i="15" s="1"/>
  <c r="A637" i="15" l="1"/>
  <c r="E638" i="15"/>
  <c r="AD614" i="5" s="1"/>
  <c r="D638" i="15"/>
  <c r="F638" i="15" s="1"/>
  <c r="A638" i="15" l="1"/>
  <c r="E639" i="15"/>
  <c r="AD615" i="5" s="1"/>
  <c r="D639" i="15"/>
  <c r="F639" i="15" s="1"/>
  <c r="A639" i="15" l="1"/>
  <c r="E640" i="15"/>
  <c r="AD616" i="5" s="1"/>
  <c r="D640" i="15"/>
  <c r="F640" i="15" s="1"/>
  <c r="A640" i="15" l="1"/>
  <c r="E641" i="15"/>
  <c r="AD617" i="5" s="1"/>
  <c r="D641" i="15"/>
  <c r="F641" i="15" s="1"/>
  <c r="A641" i="15" l="1"/>
  <c r="E642" i="15"/>
  <c r="AD618" i="5" s="1"/>
  <c r="D642" i="15"/>
  <c r="F642" i="15" s="1"/>
  <c r="A642" i="15" l="1"/>
  <c r="E643" i="15"/>
  <c r="AD619" i="5" s="1"/>
  <c r="D643" i="15"/>
  <c r="F643" i="15" s="1"/>
  <c r="A643" i="15" l="1"/>
  <c r="E644" i="15"/>
  <c r="AD620" i="5" s="1"/>
  <c r="D644" i="15"/>
  <c r="F644" i="15" s="1"/>
  <c r="A644" i="15" l="1"/>
  <c r="E645" i="15"/>
  <c r="AD621" i="5" s="1"/>
  <c r="D645" i="15"/>
  <c r="F645" i="15" s="1"/>
  <c r="A645" i="15" l="1"/>
  <c r="E646" i="15"/>
  <c r="AD622" i="5" s="1"/>
  <c r="D646" i="15"/>
  <c r="F646" i="15" s="1"/>
  <c r="A646" i="15" l="1"/>
  <c r="E647" i="15"/>
  <c r="AD623" i="5" s="1"/>
  <c r="D647" i="15"/>
  <c r="F647" i="15" s="1"/>
  <c r="A647" i="15" l="1"/>
  <c r="E648" i="15"/>
  <c r="AD624" i="5" s="1"/>
  <c r="D648" i="15"/>
  <c r="F648" i="15" s="1"/>
  <c r="A648" i="15" l="1"/>
  <c r="E649" i="15"/>
  <c r="AD625" i="5" s="1"/>
  <c r="D649" i="15"/>
  <c r="F649" i="15" s="1"/>
  <c r="A649" i="15" l="1"/>
  <c r="E650" i="15"/>
  <c r="AD626" i="5" s="1"/>
  <c r="D650" i="15"/>
  <c r="F650" i="15" s="1"/>
  <c r="A650" i="15" l="1"/>
  <c r="E651" i="15"/>
  <c r="AD627" i="5" s="1"/>
  <c r="D651" i="15"/>
  <c r="F651" i="15" s="1"/>
  <c r="A651" i="15" l="1"/>
  <c r="E652" i="15"/>
  <c r="AD628" i="5" s="1"/>
  <c r="D652" i="15"/>
  <c r="F652" i="15" s="1"/>
  <c r="A652" i="15" l="1"/>
  <c r="E653" i="15"/>
  <c r="AD629" i="5" s="1"/>
  <c r="D653" i="15"/>
  <c r="F653" i="15" s="1"/>
  <c r="A653" i="15" l="1"/>
  <c r="E654" i="15"/>
  <c r="AD630" i="5" s="1"/>
  <c r="D654" i="15"/>
  <c r="F654" i="15" s="1"/>
  <c r="A654" i="15" l="1"/>
  <c r="E655" i="15"/>
  <c r="AD631" i="5" s="1"/>
  <c r="D655" i="15"/>
  <c r="F655" i="15" s="1"/>
  <c r="A655" i="15" l="1"/>
  <c r="E656" i="15"/>
  <c r="AD632" i="5" s="1"/>
  <c r="D656" i="15"/>
  <c r="F656" i="15" s="1"/>
  <c r="A656" i="15" l="1"/>
  <c r="E657" i="15"/>
  <c r="AD633" i="5" s="1"/>
  <c r="D657" i="15"/>
  <c r="F657" i="15" s="1"/>
  <c r="A657" i="15" l="1"/>
  <c r="E658" i="15"/>
  <c r="AD634" i="5" s="1"/>
  <c r="D658" i="15"/>
  <c r="F658" i="15" l="1"/>
  <c r="A658" i="15" l="1"/>
  <c r="E659" i="15"/>
  <c r="AD635" i="5" s="1"/>
  <c r="D659" i="15"/>
  <c r="F659" i="15" s="1"/>
  <c r="A659" i="15" l="1"/>
  <c r="E660" i="15"/>
  <c r="AD636" i="5" s="1"/>
  <c r="D660" i="15"/>
  <c r="F660" i="15" s="1"/>
  <c r="A660" i="15" l="1"/>
  <c r="E661" i="15"/>
  <c r="AD637" i="5" s="1"/>
  <c r="D661" i="15"/>
  <c r="F661" i="15" s="1"/>
  <c r="A661" i="15" l="1"/>
  <c r="E662" i="15"/>
  <c r="AD638" i="5" s="1"/>
  <c r="D662" i="15"/>
  <c r="F662" i="15" l="1"/>
  <c r="A662" i="15" l="1"/>
  <c r="E663" i="15"/>
  <c r="AD639" i="5" s="1"/>
  <c r="D663" i="15"/>
  <c r="F663" i="15" s="1"/>
  <c r="A663" i="15" l="1"/>
  <c r="E664" i="15"/>
  <c r="AD640" i="5" s="1"/>
  <c r="D664" i="15"/>
  <c r="F664" i="15" s="1"/>
  <c r="A664" i="15" l="1"/>
  <c r="E665" i="15"/>
  <c r="AD641" i="5" s="1"/>
  <c r="D665" i="15"/>
  <c r="F665" i="15" s="1"/>
  <c r="A665" i="15" l="1"/>
  <c r="E666" i="15"/>
  <c r="AD642" i="5" s="1"/>
  <c r="D666" i="15"/>
  <c r="F666" i="15" s="1"/>
  <c r="A666" i="15" l="1"/>
  <c r="E667" i="15"/>
  <c r="AD643" i="5" s="1"/>
  <c r="D667" i="15"/>
  <c r="F667" i="15" s="1"/>
  <c r="A667" i="15" l="1"/>
  <c r="E668" i="15"/>
  <c r="AD644" i="5" s="1"/>
  <c r="D668" i="15"/>
  <c r="F668" i="15" s="1"/>
  <c r="A668" i="15" l="1"/>
  <c r="E669" i="15"/>
  <c r="AD645" i="5" s="1"/>
  <c r="D669" i="15"/>
  <c r="F669" i="15" s="1"/>
  <c r="A669" i="15" l="1"/>
  <c r="E670" i="15"/>
  <c r="AD646" i="5" s="1"/>
  <c r="D670" i="15"/>
  <c r="F670" i="15" s="1"/>
  <c r="A670" i="15" l="1"/>
  <c r="E671" i="15"/>
  <c r="AD647" i="5" s="1"/>
  <c r="D671" i="15"/>
  <c r="F671" i="15" s="1"/>
  <c r="A671" i="15" l="1"/>
  <c r="E672" i="15"/>
  <c r="AD648" i="5" s="1"/>
  <c r="D672" i="15"/>
  <c r="F672" i="15" s="1"/>
  <c r="A672" i="15" l="1"/>
  <c r="E673" i="15"/>
  <c r="AD649" i="5" s="1"/>
  <c r="D673" i="15"/>
  <c r="F673" i="15" l="1"/>
  <c r="A673" i="15" l="1"/>
  <c r="E674" i="15"/>
  <c r="AD650" i="5" s="1"/>
  <c r="D674" i="15"/>
  <c r="F674" i="15" s="1"/>
  <c r="A674" i="15" l="1"/>
  <c r="E675" i="15"/>
  <c r="AD651" i="5" s="1"/>
  <c r="D675" i="15"/>
  <c r="F675" i="15" s="1"/>
  <c r="A675" i="15" l="1"/>
  <c r="E676" i="15"/>
  <c r="AD652" i="5" s="1"/>
  <c r="D676" i="15"/>
  <c r="F676" i="15" s="1"/>
  <c r="A676" i="15" l="1"/>
  <c r="E677" i="15"/>
  <c r="AD653" i="5" s="1"/>
  <c r="D677" i="15"/>
  <c r="F677" i="15" s="1"/>
  <c r="A677" i="15" l="1"/>
  <c r="E678" i="15"/>
  <c r="AD654" i="5" s="1"/>
  <c r="D678" i="15"/>
  <c r="F678" i="15" s="1"/>
  <c r="A678" i="15" l="1"/>
  <c r="E679" i="15"/>
  <c r="AD655" i="5" s="1"/>
  <c r="D679" i="15"/>
  <c r="F679" i="15" s="1"/>
  <c r="A679" i="15" l="1"/>
  <c r="E680" i="15"/>
  <c r="AD656" i="5" s="1"/>
  <c r="D680" i="15"/>
  <c r="F680" i="15" s="1"/>
  <c r="A680" i="15" l="1"/>
  <c r="E681" i="15"/>
  <c r="AD657" i="5" s="1"/>
  <c r="D681" i="15"/>
  <c r="F681" i="15" s="1"/>
  <c r="A681" i="15" l="1"/>
  <c r="E682" i="15"/>
  <c r="AD658" i="5" s="1"/>
  <c r="D682" i="15"/>
  <c r="F682" i="15" s="1"/>
  <c r="A682" i="15" l="1"/>
  <c r="E683" i="15"/>
  <c r="AD659" i="5" s="1"/>
  <c r="D683" i="15"/>
  <c r="F683" i="15" s="1"/>
  <c r="A683" i="15" l="1"/>
  <c r="E684" i="15"/>
  <c r="AD660" i="5" s="1"/>
  <c r="D684" i="15"/>
  <c r="F684" i="15" s="1"/>
  <c r="A684" i="15" l="1"/>
  <c r="E685" i="15"/>
  <c r="AD661" i="5" s="1"/>
  <c r="D685" i="15"/>
  <c r="F685" i="15" s="1"/>
  <c r="A685" i="15" l="1"/>
  <c r="E686" i="15"/>
  <c r="AD662" i="5" s="1"/>
  <c r="D686" i="15"/>
  <c r="F686" i="15" s="1"/>
  <c r="A686" i="15" l="1"/>
  <c r="E687" i="15"/>
  <c r="AD663" i="5" s="1"/>
  <c r="D687" i="15"/>
  <c r="F687" i="15" s="1"/>
  <c r="A687" i="15" l="1"/>
  <c r="E688" i="15"/>
  <c r="AD664" i="5" s="1"/>
  <c r="D688" i="15"/>
  <c r="F688" i="15" s="1"/>
  <c r="A688" i="15" l="1"/>
  <c r="E689" i="15"/>
  <c r="AD665" i="5" s="1"/>
  <c r="D689" i="15"/>
  <c r="F689" i="15" s="1"/>
  <c r="A689" i="15" l="1"/>
  <c r="E690" i="15"/>
  <c r="AD666" i="5" s="1"/>
  <c r="D690" i="15"/>
  <c r="F690" i="15" s="1"/>
  <c r="A690" i="15" l="1"/>
  <c r="E691" i="15"/>
  <c r="AD667" i="5" s="1"/>
  <c r="D691" i="15"/>
  <c r="F691" i="15" s="1"/>
  <c r="A691" i="15" l="1"/>
  <c r="E692" i="15"/>
  <c r="AD668" i="5" s="1"/>
  <c r="D692" i="15"/>
  <c r="F692" i="15" s="1"/>
  <c r="A692" i="15" l="1"/>
  <c r="E693" i="15"/>
  <c r="AD669" i="5" s="1"/>
  <c r="D693" i="15"/>
  <c r="F693" i="15" s="1"/>
  <c r="A693" i="15" l="1"/>
  <c r="E694" i="15"/>
  <c r="AD670" i="5" s="1"/>
  <c r="D694" i="15"/>
  <c r="F694" i="15" s="1"/>
  <c r="A694" i="15" l="1"/>
  <c r="E695" i="15"/>
  <c r="AD671" i="5" s="1"/>
  <c r="D695" i="15"/>
  <c r="F695" i="15" s="1"/>
  <c r="A695" i="15" l="1"/>
  <c r="E696" i="15"/>
  <c r="AD672" i="5" s="1"/>
  <c r="D696" i="15"/>
  <c r="F696" i="15" s="1"/>
  <c r="A696" i="15" l="1"/>
  <c r="E697" i="15"/>
  <c r="AD673" i="5" s="1"/>
  <c r="D697" i="15"/>
  <c r="F697" i="15" s="1"/>
  <c r="A697" i="15" l="1"/>
  <c r="E698" i="15"/>
  <c r="AD674" i="5" s="1"/>
  <c r="D698" i="15"/>
  <c r="F698" i="15" s="1"/>
  <c r="A698" i="15" l="1"/>
  <c r="E699" i="15"/>
  <c r="AD675" i="5" s="1"/>
  <c r="D699" i="15"/>
  <c r="F699" i="15" s="1"/>
  <c r="A699" i="15" l="1"/>
  <c r="E700" i="15"/>
  <c r="AD676" i="5" s="1"/>
  <c r="D700" i="15"/>
  <c r="F700" i="15" s="1"/>
  <c r="A700" i="15" l="1"/>
  <c r="E701" i="15"/>
  <c r="AD677" i="5" s="1"/>
  <c r="D701" i="15"/>
  <c r="F701" i="15" s="1"/>
  <c r="A701" i="15" l="1"/>
  <c r="E702" i="15"/>
  <c r="AD678" i="5" s="1"/>
  <c r="D702" i="15"/>
  <c r="F702" i="15" s="1"/>
  <c r="A702" i="15" l="1"/>
  <c r="E703" i="15"/>
  <c r="AD679" i="5" s="1"/>
  <c r="D703" i="15"/>
  <c r="F703" i="15" s="1"/>
  <c r="A703" i="15" l="1"/>
  <c r="E704" i="15"/>
  <c r="AD680" i="5" s="1"/>
  <c r="D704" i="15"/>
  <c r="F704" i="15" s="1"/>
  <c r="A704" i="15" l="1"/>
  <c r="E705" i="15"/>
  <c r="AD681" i="5" s="1"/>
  <c r="D705" i="15"/>
  <c r="F705" i="15" s="1"/>
  <c r="A705" i="15" l="1"/>
  <c r="E706" i="15"/>
  <c r="AD682" i="5" s="1"/>
  <c r="D706" i="15"/>
  <c r="F706" i="15" s="1"/>
  <c r="A706" i="15" l="1"/>
  <c r="E707" i="15"/>
  <c r="AD683" i="5" s="1"/>
  <c r="D707" i="15"/>
  <c r="F707" i="15" s="1"/>
  <c r="A707" i="15" l="1"/>
  <c r="E708" i="15"/>
  <c r="AD684" i="5" s="1"/>
  <c r="D708" i="15"/>
  <c r="F708" i="15" s="1"/>
  <c r="A708" i="15" l="1"/>
  <c r="E709" i="15"/>
  <c r="AD685" i="5" s="1"/>
  <c r="D709" i="15"/>
  <c r="F709" i="15" s="1"/>
  <c r="A709" i="15" l="1"/>
  <c r="E710" i="15"/>
  <c r="AD686" i="5" s="1"/>
  <c r="D710" i="15"/>
  <c r="F710" i="15" s="1"/>
  <c r="A710" i="15" l="1"/>
  <c r="E711" i="15"/>
  <c r="AD687" i="5" s="1"/>
  <c r="D711" i="15"/>
  <c r="F711" i="15" s="1"/>
  <c r="A711" i="15" l="1"/>
  <c r="E712" i="15"/>
  <c r="AD688" i="5" s="1"/>
  <c r="D712" i="15"/>
  <c r="F712" i="15" s="1"/>
  <c r="A712" i="15" l="1"/>
  <c r="E713" i="15"/>
  <c r="AD689" i="5" s="1"/>
  <c r="D713" i="15"/>
  <c r="F713" i="15" s="1"/>
  <c r="A713" i="15" l="1"/>
  <c r="E714" i="15"/>
  <c r="AD690" i="5" s="1"/>
  <c r="D714" i="15"/>
  <c r="F714" i="15" s="1"/>
  <c r="A714" i="15" l="1"/>
  <c r="E715" i="15"/>
  <c r="AD691" i="5" s="1"/>
  <c r="D715" i="15"/>
  <c r="F715" i="15" s="1"/>
  <c r="A715" i="15" l="1"/>
  <c r="E716" i="15"/>
  <c r="AD692" i="5" s="1"/>
  <c r="D716" i="15"/>
  <c r="F716" i="15" s="1"/>
  <c r="A716" i="15" l="1"/>
  <c r="E717" i="15"/>
  <c r="AD693" i="5" s="1"/>
  <c r="D717" i="15"/>
  <c r="F717" i="15" s="1"/>
  <c r="A717" i="15" l="1"/>
  <c r="E718" i="15"/>
  <c r="AD694" i="5" s="1"/>
  <c r="D718" i="15"/>
  <c r="F718" i="15" s="1"/>
  <c r="A718" i="15" l="1"/>
  <c r="E719" i="15"/>
  <c r="AD695" i="5" s="1"/>
  <c r="D719" i="15"/>
  <c r="F719" i="15" s="1"/>
  <c r="A719" i="15" l="1"/>
  <c r="E720" i="15"/>
  <c r="AD696" i="5" s="1"/>
  <c r="D720" i="15"/>
  <c r="F720" i="15" s="1"/>
  <c r="A720" i="15" l="1"/>
  <c r="E721" i="15"/>
  <c r="AD697" i="5" s="1"/>
  <c r="D721" i="15"/>
  <c r="F721" i="15" s="1"/>
  <c r="A721" i="15" l="1"/>
  <c r="E722" i="15"/>
  <c r="AD698" i="5" s="1"/>
  <c r="D722" i="15"/>
  <c r="F722" i="15" s="1"/>
  <c r="A722" i="15" l="1"/>
  <c r="E723" i="15"/>
  <c r="AD699" i="5" s="1"/>
  <c r="D723" i="15"/>
  <c r="F723" i="15" s="1"/>
  <c r="A723" i="15" l="1"/>
  <c r="E724" i="15"/>
  <c r="AD700" i="5" s="1"/>
  <c r="D724" i="15"/>
  <c r="F724" i="15" s="1"/>
  <c r="A724" i="15" l="1"/>
  <c r="E725" i="15"/>
  <c r="AD701" i="5" s="1"/>
  <c r="D725" i="15"/>
  <c r="F725" i="15" s="1"/>
  <c r="A725" i="15" l="1"/>
  <c r="E726" i="15"/>
  <c r="AD702" i="5" s="1"/>
  <c r="D726" i="15"/>
  <c r="F726" i="15" s="1"/>
  <c r="A726" i="15" l="1"/>
  <c r="E727" i="15"/>
  <c r="AD703" i="5" s="1"/>
  <c r="D727" i="15"/>
  <c r="F727" i="15" s="1"/>
  <c r="A727" i="15" l="1"/>
  <c r="E728" i="15"/>
  <c r="AD704" i="5" s="1"/>
  <c r="D728" i="15"/>
  <c r="F728" i="15" s="1"/>
  <c r="A728" i="15" l="1"/>
  <c r="E729" i="15"/>
  <c r="AD705" i="5" s="1"/>
  <c r="D729" i="15"/>
  <c r="F729" i="15" s="1"/>
  <c r="A729" i="15" l="1"/>
  <c r="E730" i="15"/>
  <c r="AD706" i="5" s="1"/>
  <c r="D730" i="15"/>
  <c r="F730" i="15" s="1"/>
  <c r="A730" i="15" l="1"/>
  <c r="E731" i="15"/>
  <c r="AD707" i="5" s="1"/>
  <c r="D731" i="15"/>
  <c r="F731" i="15" s="1"/>
  <c r="A731" i="15" l="1"/>
  <c r="E732" i="15"/>
  <c r="AD708" i="5" s="1"/>
  <c r="D732" i="15"/>
  <c r="F732" i="15" s="1"/>
  <c r="A732" i="15" l="1"/>
  <c r="E733" i="15"/>
  <c r="AD709" i="5" s="1"/>
  <c r="D733" i="15"/>
  <c r="F733" i="15" s="1"/>
  <c r="A733" i="15" l="1"/>
  <c r="E734" i="15"/>
  <c r="AD710" i="5" s="1"/>
  <c r="D734" i="15"/>
  <c r="F734" i="15" s="1"/>
  <c r="A734" i="15" l="1"/>
  <c r="E735" i="15"/>
  <c r="AD711" i="5" s="1"/>
  <c r="D735" i="15"/>
  <c r="F735" i="15" s="1"/>
  <c r="A735" i="15" l="1"/>
  <c r="E736" i="15"/>
  <c r="AD712" i="5" s="1"/>
  <c r="D736" i="15"/>
  <c r="F736" i="15" s="1"/>
  <c r="A736" i="15" l="1"/>
  <c r="E737" i="15"/>
  <c r="AD713" i="5" s="1"/>
  <c r="D737" i="15"/>
  <c r="F737" i="15" s="1"/>
  <c r="A737" i="15" l="1"/>
  <c r="E738" i="15"/>
  <c r="AD714" i="5" s="1"/>
  <c r="D738" i="15"/>
  <c r="F738" i="15" s="1"/>
  <c r="A738" i="15" l="1"/>
  <c r="E739" i="15"/>
  <c r="AD715" i="5" s="1"/>
  <c r="D739" i="15"/>
  <c r="F739" i="15" s="1"/>
  <c r="A739" i="15" l="1"/>
  <c r="E740" i="15"/>
  <c r="AD716" i="5" s="1"/>
  <c r="D740" i="15"/>
  <c r="F740" i="15" s="1"/>
  <c r="A740" i="15" l="1"/>
  <c r="E741" i="15"/>
  <c r="AD717" i="5" s="1"/>
  <c r="D741" i="15"/>
  <c r="F741" i="15" s="1"/>
  <c r="A741" i="15" l="1"/>
  <c r="E742" i="15"/>
  <c r="AD718" i="5" s="1"/>
  <c r="D742" i="15"/>
  <c r="F742" i="15" s="1"/>
  <c r="A742" i="15" l="1"/>
  <c r="E743" i="15"/>
  <c r="AD719" i="5" s="1"/>
  <c r="D743" i="15"/>
  <c r="F743" i="15" s="1"/>
  <c r="A743" i="15" l="1"/>
  <c r="E744" i="15"/>
  <c r="AD720" i="5" s="1"/>
  <c r="D744" i="15"/>
  <c r="F744" i="15" s="1"/>
  <c r="A744" i="15" l="1"/>
  <c r="E745" i="15"/>
  <c r="AD721" i="5" s="1"/>
  <c r="D745" i="15"/>
  <c r="F745" i="15" s="1"/>
  <c r="A745" i="15" l="1"/>
  <c r="E746" i="15"/>
  <c r="AD722" i="5" s="1"/>
  <c r="D746" i="15"/>
  <c r="F746" i="15" s="1"/>
  <c r="A746" i="15" l="1"/>
  <c r="E747" i="15"/>
  <c r="AD723" i="5" s="1"/>
  <c r="D747" i="15"/>
  <c r="F747" i="15" s="1"/>
  <c r="A747" i="15" l="1"/>
  <c r="E748" i="15"/>
  <c r="AD724" i="5" s="1"/>
  <c r="D748" i="15"/>
  <c r="F748" i="15" s="1"/>
  <c r="A748" i="15" l="1"/>
  <c r="E749" i="15"/>
  <c r="AD725" i="5" s="1"/>
  <c r="D749" i="15"/>
  <c r="F749" i="15" s="1"/>
  <c r="A749" i="15" l="1"/>
  <c r="E750" i="15"/>
  <c r="AD726" i="5" s="1"/>
  <c r="D750" i="15"/>
  <c r="F750" i="15" s="1"/>
  <c r="A750" i="15" l="1"/>
  <c r="E751" i="15"/>
  <c r="AD727" i="5" s="1"/>
  <c r="D751" i="15"/>
  <c r="F751" i="15" s="1"/>
  <c r="A751" i="15" l="1"/>
  <c r="E752" i="15"/>
  <c r="AD728" i="5" s="1"/>
  <c r="D752" i="15"/>
  <c r="F752" i="15" s="1"/>
  <c r="A752" i="15" l="1"/>
  <c r="E753" i="15"/>
  <c r="AD729" i="5" s="1"/>
  <c r="D753" i="15"/>
  <c r="F753" i="15" s="1"/>
  <c r="A753" i="15" l="1"/>
  <c r="E754" i="15"/>
  <c r="AD730" i="5" s="1"/>
  <c r="D754" i="15"/>
  <c r="F754" i="15" s="1"/>
  <c r="A754" i="15" l="1"/>
  <c r="E755" i="15"/>
  <c r="AD731" i="5" s="1"/>
  <c r="D755" i="15"/>
  <c r="F755" i="15" s="1"/>
  <c r="A755" i="15" l="1"/>
  <c r="E756" i="15"/>
  <c r="AD732" i="5" s="1"/>
  <c r="D756" i="15"/>
  <c r="F756" i="15" s="1"/>
  <c r="A756" i="15" l="1"/>
  <c r="E757" i="15"/>
  <c r="AD733" i="5" s="1"/>
  <c r="D757" i="15"/>
  <c r="F757" i="15" s="1"/>
  <c r="A757" i="15" l="1"/>
  <c r="E758" i="15"/>
  <c r="AD734" i="5" s="1"/>
  <c r="D758" i="15"/>
  <c r="F758" i="15" s="1"/>
  <c r="A758" i="15" l="1"/>
  <c r="E759" i="15"/>
  <c r="AD735" i="5" s="1"/>
  <c r="D759" i="15"/>
  <c r="F759" i="15" s="1"/>
  <c r="A759" i="15" l="1"/>
  <c r="E760" i="15"/>
  <c r="AD736" i="5" s="1"/>
  <c r="D760" i="15"/>
  <c r="F760" i="15" s="1"/>
  <c r="A760" i="15" l="1"/>
  <c r="E761" i="15"/>
  <c r="AD737" i="5" s="1"/>
  <c r="D761" i="15"/>
  <c r="F761" i="15" s="1"/>
  <c r="A761" i="15" l="1"/>
  <c r="E762" i="15"/>
  <c r="AD738" i="5" s="1"/>
  <c r="D762" i="15"/>
  <c r="F762" i="15" s="1"/>
  <c r="A762" i="15" l="1"/>
  <c r="E763" i="15"/>
  <c r="AD739" i="5" s="1"/>
  <c r="D763" i="15"/>
  <c r="F763" i="15" s="1"/>
  <c r="A763" i="15" l="1"/>
  <c r="E764" i="15"/>
  <c r="AD740" i="5" s="1"/>
  <c r="D764" i="15"/>
  <c r="F764" i="15" s="1"/>
  <c r="A764" i="15" l="1"/>
  <c r="E765" i="15"/>
  <c r="AD741" i="5" s="1"/>
  <c r="D765" i="15"/>
  <c r="F765" i="15" s="1"/>
  <c r="A765" i="15" l="1"/>
  <c r="E766" i="15"/>
  <c r="AD742" i="5" s="1"/>
  <c r="D766" i="15"/>
  <c r="F766" i="15" s="1"/>
  <c r="A766" i="15" l="1"/>
  <c r="E767" i="15"/>
  <c r="AD743" i="5" s="1"/>
  <c r="D767" i="15"/>
  <c r="F767" i="15" s="1"/>
  <c r="A767" i="15" l="1"/>
  <c r="E768" i="15"/>
  <c r="AD744" i="5" s="1"/>
  <c r="D768" i="15"/>
  <c r="F768" i="15" s="1"/>
  <c r="A768" i="15" l="1"/>
  <c r="E769" i="15"/>
  <c r="AD745" i="5" s="1"/>
  <c r="D769" i="15"/>
  <c r="F769" i="15" s="1"/>
  <c r="A769" i="15" l="1"/>
  <c r="E770" i="15"/>
  <c r="AD746" i="5" s="1"/>
  <c r="D770" i="15"/>
  <c r="F770" i="15" s="1"/>
  <c r="A770" i="15" l="1"/>
  <c r="E771" i="15"/>
  <c r="AD747" i="5" s="1"/>
  <c r="D771" i="15"/>
  <c r="F771" i="15" s="1"/>
  <c r="A771" i="15" l="1"/>
  <c r="E772" i="15"/>
  <c r="AD748" i="5" s="1"/>
  <c r="D772" i="15"/>
  <c r="F772" i="15" s="1"/>
  <c r="A772" i="15" l="1"/>
  <c r="E773" i="15"/>
  <c r="AD749" i="5" s="1"/>
  <c r="D773" i="15"/>
  <c r="F773" i="15" s="1"/>
  <c r="A773" i="15" l="1"/>
  <c r="E774" i="15"/>
  <c r="AD750" i="5" s="1"/>
  <c r="D774" i="15"/>
  <c r="F774" i="15" s="1"/>
  <c r="A774" i="15" l="1"/>
  <c r="E775" i="15"/>
  <c r="AD751" i="5" s="1"/>
  <c r="D775" i="15"/>
  <c r="F775" i="15" s="1"/>
  <c r="A775" i="15" l="1"/>
  <c r="E776" i="15"/>
  <c r="AD752" i="5" s="1"/>
  <c r="D776" i="15"/>
  <c r="F776" i="15" s="1"/>
  <c r="A776" i="15" l="1"/>
  <c r="E777" i="15"/>
  <c r="AD753" i="5" s="1"/>
  <c r="D777" i="15"/>
  <c r="F777" i="15" s="1"/>
  <c r="A777" i="15" l="1"/>
  <c r="E778" i="15"/>
  <c r="AD754" i="5" s="1"/>
  <c r="D778" i="15"/>
  <c r="F778" i="15" s="1"/>
  <c r="A778" i="15" l="1"/>
  <c r="E779" i="15"/>
  <c r="AD755" i="5" s="1"/>
  <c r="D779" i="15"/>
  <c r="F779" i="15" s="1"/>
  <c r="A779" i="15" l="1"/>
  <c r="E780" i="15"/>
  <c r="AD756" i="5" s="1"/>
  <c r="D780" i="15"/>
  <c r="F780" i="15" s="1"/>
  <c r="A780" i="15" l="1"/>
  <c r="E781" i="15"/>
  <c r="AD757" i="5" s="1"/>
  <c r="D781" i="15"/>
  <c r="F781" i="15" s="1"/>
  <c r="A781" i="15" l="1"/>
  <c r="E782" i="15"/>
  <c r="AD758" i="5" s="1"/>
  <c r="D782" i="15"/>
  <c r="F782" i="15" s="1"/>
  <c r="A782" i="15" l="1"/>
  <c r="E783" i="15"/>
  <c r="AD759" i="5" s="1"/>
  <c r="D783" i="15"/>
  <c r="F783" i="15" s="1"/>
  <c r="A783" i="15" l="1"/>
  <c r="E784" i="15"/>
  <c r="AD760" i="5" s="1"/>
  <c r="D784" i="15"/>
  <c r="F784" i="15" s="1"/>
  <c r="A784" i="15" l="1"/>
  <c r="E785" i="15"/>
  <c r="AD761" i="5" s="1"/>
  <c r="D785" i="15"/>
  <c r="F785" i="15" s="1"/>
  <c r="A785" i="15" l="1"/>
  <c r="E786" i="15"/>
  <c r="AD762" i="5" s="1"/>
  <c r="D786" i="15"/>
  <c r="F786" i="15" s="1"/>
  <c r="A786" i="15" l="1"/>
  <c r="E787" i="15"/>
  <c r="AD763" i="5" s="1"/>
  <c r="D787" i="15"/>
  <c r="F787" i="15" s="1"/>
  <c r="A787" i="15" l="1"/>
  <c r="E788" i="15"/>
  <c r="AD764" i="5" s="1"/>
  <c r="D788" i="15"/>
  <c r="F788" i="15" s="1"/>
  <c r="A788" i="15" l="1"/>
  <c r="E789" i="15"/>
  <c r="AD765" i="5" s="1"/>
  <c r="D789" i="15"/>
  <c r="F789" i="15" l="1"/>
  <c r="A789" i="15" l="1"/>
  <c r="E790" i="15"/>
  <c r="AD766" i="5" s="1"/>
  <c r="D790" i="15"/>
  <c r="F790" i="15" s="1"/>
  <c r="A790" i="15" l="1"/>
  <c r="E791" i="15"/>
  <c r="AD767" i="5" s="1"/>
  <c r="D791" i="15"/>
  <c r="F791" i="15" s="1"/>
  <c r="A791" i="15" l="1"/>
  <c r="E792" i="15"/>
  <c r="AD768" i="5" s="1"/>
  <c r="D792" i="15"/>
  <c r="F792" i="15" s="1"/>
  <c r="A792" i="15" l="1"/>
  <c r="E793" i="15"/>
  <c r="AD769" i="5" s="1"/>
  <c r="D793" i="15"/>
  <c r="F793" i="15" s="1"/>
  <c r="A793" i="15" l="1"/>
  <c r="E794" i="15"/>
  <c r="AD770" i="5" s="1"/>
  <c r="D794" i="15"/>
  <c r="F794" i="15" s="1"/>
  <c r="A794" i="15" l="1"/>
  <c r="E795" i="15"/>
  <c r="AD771" i="5" s="1"/>
  <c r="D795" i="15"/>
  <c r="F795" i="15" s="1"/>
  <c r="A795" i="15" l="1"/>
  <c r="E796" i="15"/>
  <c r="AD772" i="5" s="1"/>
  <c r="D796" i="15"/>
  <c r="F796" i="15" s="1"/>
  <c r="A796" i="15" l="1"/>
  <c r="E797" i="15"/>
  <c r="AD773" i="5" s="1"/>
  <c r="D797" i="15"/>
  <c r="F797" i="15" s="1"/>
  <c r="A797" i="15" l="1"/>
  <c r="E798" i="15"/>
  <c r="AD774" i="5" s="1"/>
  <c r="D798" i="15"/>
  <c r="F798" i="15" s="1"/>
  <c r="A798" i="15" l="1"/>
  <c r="E799" i="15"/>
  <c r="AD775" i="5" s="1"/>
  <c r="D799" i="15"/>
  <c r="F799" i="15" s="1"/>
  <c r="A799" i="15" l="1"/>
  <c r="E800" i="15"/>
  <c r="AD776" i="5" s="1"/>
  <c r="D800" i="15"/>
  <c r="F800" i="15" s="1"/>
  <c r="A800" i="15" l="1"/>
  <c r="E801" i="15"/>
  <c r="AD777" i="5" s="1"/>
  <c r="D801" i="15"/>
  <c r="F801" i="15" s="1"/>
  <c r="A801" i="15" l="1"/>
  <c r="E802" i="15"/>
  <c r="AD778" i="5" s="1"/>
  <c r="D802" i="15"/>
  <c r="F802" i="15" s="1"/>
  <c r="A802" i="15" l="1"/>
  <c r="E803" i="15"/>
  <c r="AD779" i="5" s="1"/>
  <c r="D803" i="15"/>
  <c r="F803" i="15" s="1"/>
  <c r="A803" i="15" l="1"/>
  <c r="E804" i="15"/>
  <c r="AD780" i="5" s="1"/>
  <c r="D804" i="15"/>
  <c r="F804" i="15" s="1"/>
  <c r="A804" i="15" l="1"/>
  <c r="E805" i="15"/>
  <c r="AD781" i="5" s="1"/>
  <c r="D805" i="15"/>
  <c r="F805" i="15" s="1"/>
  <c r="A805" i="15" l="1"/>
  <c r="E806" i="15"/>
  <c r="AD782" i="5" s="1"/>
  <c r="D806" i="15"/>
  <c r="F806" i="15" s="1"/>
  <c r="A806" i="15" l="1"/>
  <c r="E807" i="15"/>
  <c r="AD783" i="5" s="1"/>
  <c r="D807" i="15"/>
  <c r="F807" i="15" s="1"/>
  <c r="A807" i="15" l="1"/>
  <c r="E808" i="15"/>
  <c r="AD784" i="5" s="1"/>
  <c r="D808" i="15"/>
  <c r="F808" i="15" s="1"/>
  <c r="A808" i="15" l="1"/>
  <c r="E809" i="15"/>
  <c r="AD785" i="5" s="1"/>
  <c r="D809" i="15"/>
  <c r="F809" i="15" l="1"/>
  <c r="A809" i="15" l="1"/>
  <c r="E810" i="15"/>
  <c r="AD786" i="5" s="1"/>
  <c r="D810" i="15"/>
  <c r="F810" i="15" s="1"/>
  <c r="A810" i="15" l="1"/>
  <c r="E811" i="15"/>
  <c r="AD787" i="5" s="1"/>
  <c r="D811" i="15"/>
  <c r="F811" i="15" s="1"/>
  <c r="A811" i="15" l="1"/>
  <c r="E812" i="15"/>
  <c r="AD788" i="5" s="1"/>
  <c r="D812" i="15"/>
  <c r="F812" i="15" s="1"/>
  <c r="A812" i="15" l="1"/>
  <c r="E813" i="15"/>
  <c r="AD789" i="5" s="1"/>
  <c r="D813" i="15"/>
  <c r="F813" i="15" s="1"/>
  <c r="A813" i="15" l="1"/>
  <c r="E814" i="15"/>
  <c r="AD790" i="5" s="1"/>
  <c r="D814" i="15"/>
  <c r="F814" i="15" s="1"/>
  <c r="A814" i="15" l="1"/>
  <c r="E815" i="15"/>
  <c r="AD791" i="5" s="1"/>
  <c r="D815" i="15"/>
  <c r="F815" i="15" s="1"/>
  <c r="A815" i="15" l="1"/>
  <c r="E816" i="15"/>
  <c r="AD792" i="5" s="1"/>
  <c r="D816" i="15"/>
  <c r="F816" i="15" s="1"/>
  <c r="A816" i="15" l="1"/>
  <c r="E817" i="15"/>
  <c r="AD793" i="5" s="1"/>
  <c r="D817" i="15"/>
  <c r="F817" i="15" s="1"/>
  <c r="A817" i="15" l="1"/>
  <c r="E818" i="15"/>
  <c r="AD794" i="5" s="1"/>
  <c r="D818" i="15"/>
  <c r="F818" i="15" s="1"/>
  <c r="A818" i="15" l="1"/>
  <c r="E819" i="15"/>
  <c r="AD795" i="5" s="1"/>
  <c r="D819" i="15"/>
  <c r="F819" i="15" s="1"/>
  <c r="A819" i="15" l="1"/>
  <c r="E820" i="15"/>
  <c r="AD796" i="5" s="1"/>
  <c r="D820" i="15"/>
  <c r="F820" i="15" s="1"/>
  <c r="A820" i="15" l="1"/>
  <c r="E821" i="15"/>
  <c r="AD797" i="5" s="1"/>
  <c r="D821" i="15"/>
  <c r="F821" i="15" s="1"/>
  <c r="A821" i="15" l="1"/>
  <c r="E822" i="15"/>
  <c r="AD798" i="5" s="1"/>
  <c r="D822" i="15"/>
  <c r="F822" i="15" s="1"/>
  <c r="A822" i="15" l="1"/>
  <c r="E823" i="15"/>
  <c r="AD799" i="5" s="1"/>
  <c r="D823" i="15"/>
  <c r="F823" i="15" s="1"/>
  <c r="A823" i="15" l="1"/>
  <c r="E824" i="15"/>
  <c r="AD800" i="5" s="1"/>
  <c r="D824" i="15"/>
  <c r="F824" i="15" s="1"/>
  <c r="A824" i="15" l="1"/>
  <c r="E825" i="15"/>
  <c r="AD801" i="5" s="1"/>
  <c r="D825" i="15"/>
  <c r="F825" i="15" s="1"/>
  <c r="A825" i="15" l="1"/>
  <c r="E826" i="15"/>
  <c r="AD802" i="5" s="1"/>
  <c r="D826" i="15"/>
  <c r="F826" i="15" s="1"/>
  <c r="A826" i="15" l="1"/>
  <c r="E827" i="15"/>
  <c r="AD803" i="5" s="1"/>
  <c r="D827" i="15"/>
  <c r="F827" i="15" s="1"/>
  <c r="A827" i="15" l="1"/>
  <c r="E828" i="15"/>
  <c r="AD804" i="5" s="1"/>
  <c r="D828" i="15"/>
  <c r="F828" i="15" s="1"/>
  <c r="A828" i="15" l="1"/>
  <c r="E829" i="15"/>
  <c r="AD805" i="5" s="1"/>
  <c r="D829" i="15"/>
  <c r="F829" i="15" s="1"/>
  <c r="A829" i="15" l="1"/>
  <c r="E830" i="15"/>
  <c r="AD806" i="5" s="1"/>
  <c r="D830" i="15"/>
  <c r="F830" i="15" s="1"/>
  <c r="A830" i="15" l="1"/>
  <c r="E831" i="15"/>
  <c r="AD807" i="5" s="1"/>
  <c r="D831" i="15"/>
  <c r="F831" i="15" s="1"/>
  <c r="A831" i="15" l="1"/>
  <c r="E832" i="15"/>
  <c r="AD808" i="5" s="1"/>
  <c r="D832" i="15"/>
  <c r="F832" i="15" s="1"/>
  <c r="A832" i="15" l="1"/>
  <c r="E833" i="15"/>
  <c r="AD809" i="5" s="1"/>
  <c r="D833" i="15"/>
  <c r="F833" i="15" s="1"/>
  <c r="A833" i="15" l="1"/>
  <c r="E834" i="15"/>
  <c r="AD810" i="5" s="1"/>
  <c r="D834" i="15"/>
  <c r="F834" i="15" s="1"/>
  <c r="A834" i="15" l="1"/>
  <c r="E835" i="15"/>
  <c r="AD811" i="5" s="1"/>
  <c r="D835" i="15"/>
  <c r="F835" i="15" s="1"/>
  <c r="A835" i="15" l="1"/>
  <c r="E836" i="15"/>
  <c r="AD812" i="5" s="1"/>
  <c r="D836" i="15"/>
  <c r="F836" i="15" s="1"/>
  <c r="A836" i="15" l="1"/>
  <c r="E837" i="15"/>
  <c r="AD813" i="5" s="1"/>
  <c r="D837" i="15"/>
  <c r="F837" i="15" s="1"/>
  <c r="A837" i="15" l="1"/>
  <c r="E838" i="15"/>
  <c r="AD814" i="5" s="1"/>
  <c r="D838" i="15"/>
  <c r="F838" i="15" s="1"/>
  <c r="A838" i="15" l="1"/>
  <c r="E839" i="15"/>
  <c r="AD815" i="5" s="1"/>
  <c r="D839" i="15"/>
  <c r="F839" i="15" s="1"/>
  <c r="A839" i="15" l="1"/>
  <c r="E840" i="15"/>
  <c r="AD816" i="5" s="1"/>
  <c r="D840" i="15"/>
  <c r="F840" i="15" s="1"/>
  <c r="A840" i="15" l="1"/>
  <c r="E841" i="15"/>
  <c r="AD817" i="5" s="1"/>
  <c r="D841" i="15"/>
  <c r="F841" i="15" s="1"/>
  <c r="A841" i="15" l="1"/>
  <c r="E842" i="15"/>
  <c r="AD818" i="5" s="1"/>
  <c r="D842" i="15"/>
  <c r="F842" i="15" s="1"/>
  <c r="A842" i="15" l="1"/>
  <c r="E843" i="15"/>
  <c r="AD819" i="5" s="1"/>
  <c r="D843" i="15"/>
  <c r="F843" i="15" s="1"/>
  <c r="A843" i="15" l="1"/>
  <c r="E844" i="15"/>
  <c r="AD820" i="5" s="1"/>
  <c r="D844" i="15"/>
  <c r="F844" i="15" s="1"/>
  <c r="A844" i="15" l="1"/>
  <c r="E845" i="15"/>
  <c r="AD821" i="5" s="1"/>
  <c r="D845" i="15"/>
  <c r="F845" i="15" s="1"/>
  <c r="A845" i="15" l="1"/>
  <c r="E846" i="15"/>
  <c r="AD822" i="5" s="1"/>
  <c r="D846" i="15"/>
  <c r="F846" i="15" s="1"/>
  <c r="A846" i="15" l="1"/>
  <c r="E847" i="15"/>
  <c r="AD823" i="5" s="1"/>
  <c r="D847" i="15"/>
  <c r="F847" i="15" s="1"/>
  <c r="A847" i="15" l="1"/>
  <c r="E848" i="15"/>
  <c r="AD824" i="5" s="1"/>
  <c r="D848" i="15"/>
  <c r="F848" i="15" l="1"/>
  <c r="A848" i="15" l="1"/>
  <c r="E849" i="15"/>
  <c r="AD825" i="5" s="1"/>
  <c r="D849" i="15"/>
  <c r="F849" i="15" l="1"/>
  <c r="A849" i="15" l="1"/>
  <c r="E850" i="15"/>
  <c r="AD826" i="5" s="1"/>
  <c r="D850" i="15"/>
  <c r="F850" i="15" s="1"/>
  <c r="A850" i="15" l="1"/>
  <c r="E851" i="15"/>
  <c r="AD827" i="5" s="1"/>
  <c r="D851" i="15"/>
  <c r="F851" i="15" s="1"/>
  <c r="A851" i="15" l="1"/>
  <c r="E852" i="15"/>
  <c r="AD828" i="5" s="1"/>
  <c r="D852" i="15"/>
  <c r="F852" i="15" s="1"/>
  <c r="A852" i="15" l="1"/>
  <c r="E853" i="15"/>
  <c r="AD829" i="5" s="1"/>
  <c r="D853" i="15"/>
  <c r="F853" i="15" s="1"/>
  <c r="A853" i="15" l="1"/>
  <c r="E854" i="15"/>
  <c r="AD830" i="5" s="1"/>
  <c r="D854" i="15"/>
  <c r="F854" i="15" s="1"/>
  <c r="A854" i="15" l="1"/>
  <c r="E855" i="15"/>
  <c r="AD831" i="5" s="1"/>
  <c r="D855" i="15"/>
  <c r="F855" i="15" s="1"/>
  <c r="A855" i="15" l="1"/>
  <c r="E856" i="15"/>
  <c r="AD832" i="5" s="1"/>
  <c r="D856" i="15"/>
  <c r="F856" i="15" s="1"/>
  <c r="A856" i="15" l="1"/>
  <c r="E857" i="15"/>
  <c r="AD833" i="5" s="1"/>
  <c r="D857" i="15"/>
  <c r="F857" i="15" s="1"/>
  <c r="A857" i="15" l="1"/>
  <c r="E858" i="15"/>
  <c r="AD834" i="5" s="1"/>
  <c r="D858" i="15"/>
  <c r="F858" i="15" s="1"/>
  <c r="A858" i="15" l="1"/>
  <c r="E859" i="15"/>
  <c r="AD835" i="5" s="1"/>
  <c r="D859" i="15"/>
  <c r="F859" i="15" s="1"/>
  <c r="A859" i="15" l="1"/>
  <c r="E860" i="15"/>
  <c r="AD836" i="5" s="1"/>
  <c r="D860" i="15"/>
  <c r="F860" i="15" s="1"/>
  <c r="A860" i="15" l="1"/>
  <c r="E861" i="15"/>
  <c r="AD837" i="5" s="1"/>
  <c r="D861" i="15"/>
  <c r="F861" i="15" s="1"/>
  <c r="A861" i="15" l="1"/>
  <c r="E862" i="15"/>
  <c r="AD838" i="5" s="1"/>
  <c r="D862" i="15"/>
  <c r="F862" i="15" s="1"/>
  <c r="A862" i="15" l="1"/>
  <c r="E863" i="15"/>
  <c r="AD839" i="5" s="1"/>
  <c r="D863" i="15"/>
  <c r="F863" i="15" s="1"/>
  <c r="A863" i="15" l="1"/>
  <c r="E864" i="15"/>
  <c r="AD840" i="5" s="1"/>
  <c r="D864" i="15"/>
  <c r="F864" i="15" s="1"/>
  <c r="A864" i="15" l="1"/>
  <c r="E865" i="15"/>
  <c r="AD841" i="5" s="1"/>
  <c r="D865" i="15"/>
  <c r="F865" i="15" s="1"/>
  <c r="A865" i="15" l="1"/>
  <c r="E866" i="15"/>
  <c r="AD842" i="5" s="1"/>
  <c r="D866" i="15"/>
  <c r="F866" i="15" s="1"/>
  <c r="A866" i="15" l="1"/>
  <c r="E867" i="15"/>
  <c r="AD843" i="5" s="1"/>
  <c r="D867" i="15"/>
  <c r="F867" i="15" s="1"/>
  <c r="A867" i="15" l="1"/>
  <c r="E868" i="15"/>
  <c r="AD844" i="5" s="1"/>
  <c r="D868" i="15"/>
  <c r="F868" i="15" s="1"/>
  <c r="A868" i="15" l="1"/>
  <c r="E869" i="15"/>
  <c r="AD845" i="5" s="1"/>
  <c r="D869" i="15"/>
  <c r="F869" i="15" s="1"/>
  <c r="A869" i="15" l="1"/>
  <c r="E870" i="15"/>
  <c r="AD846" i="5" s="1"/>
  <c r="D870" i="15"/>
  <c r="F870" i="15" s="1"/>
  <c r="A870" i="15" l="1"/>
  <c r="E871" i="15"/>
  <c r="AD847" i="5" s="1"/>
  <c r="D871" i="15"/>
  <c r="F871" i="15" s="1"/>
  <c r="A871" i="15" l="1"/>
  <c r="E872" i="15"/>
  <c r="AD848" i="5" s="1"/>
  <c r="D872" i="15"/>
  <c r="F872" i="15" s="1"/>
  <c r="A872" i="15" l="1"/>
  <c r="E873" i="15"/>
  <c r="AD849" i="5" s="1"/>
  <c r="D873" i="15"/>
  <c r="F873" i="15" s="1"/>
  <c r="A873" i="15" l="1"/>
  <c r="E874" i="15"/>
  <c r="AD850" i="5" s="1"/>
  <c r="D874" i="15"/>
  <c r="F874" i="15" s="1"/>
  <c r="A874" i="15" l="1"/>
  <c r="E875" i="15"/>
  <c r="AD851" i="5" s="1"/>
  <c r="D875" i="15"/>
  <c r="F875" i="15" s="1"/>
  <c r="A875" i="15" l="1"/>
  <c r="E876" i="15"/>
  <c r="AD852" i="5" s="1"/>
  <c r="D876" i="15"/>
  <c r="F876" i="15" s="1"/>
  <c r="A876" i="15" l="1"/>
  <c r="E877" i="15"/>
  <c r="AD853" i="5" s="1"/>
  <c r="D877" i="15"/>
  <c r="F877" i="15" s="1"/>
  <c r="A877" i="15" l="1"/>
  <c r="E878" i="15"/>
  <c r="AD854" i="5" s="1"/>
  <c r="D878" i="15"/>
  <c r="F878" i="15" s="1"/>
  <c r="A878" i="15" l="1"/>
  <c r="E879" i="15"/>
  <c r="AD855" i="5" s="1"/>
  <c r="D879" i="15"/>
  <c r="F879" i="15" s="1"/>
  <c r="A879" i="15" l="1"/>
  <c r="E880" i="15"/>
  <c r="AD856" i="5" s="1"/>
  <c r="D880" i="15"/>
  <c r="F880" i="15" s="1"/>
  <c r="A880" i="15" l="1"/>
  <c r="E881" i="15"/>
  <c r="AD857" i="5" s="1"/>
  <c r="D881" i="15"/>
  <c r="F881" i="15" s="1"/>
  <c r="A881" i="15" l="1"/>
  <c r="E882" i="15"/>
  <c r="AD858" i="5" s="1"/>
  <c r="D882" i="15"/>
  <c r="F882" i="15" s="1"/>
  <c r="A882" i="15" l="1"/>
  <c r="E883" i="15"/>
  <c r="AD859" i="5" s="1"/>
  <c r="D883" i="15"/>
  <c r="F883" i="15" s="1"/>
  <c r="A883" i="15" l="1"/>
  <c r="E884" i="15"/>
  <c r="AD860" i="5" s="1"/>
  <c r="D884" i="15"/>
  <c r="F884" i="15" s="1"/>
  <c r="A884" i="15" l="1"/>
  <c r="E885" i="15"/>
  <c r="AD861" i="5" s="1"/>
  <c r="D885" i="15"/>
  <c r="F885" i="15" s="1"/>
  <c r="A885" i="15" l="1"/>
  <c r="E886" i="15"/>
  <c r="AD862" i="5" s="1"/>
  <c r="D886" i="15"/>
  <c r="F886" i="15" s="1"/>
  <c r="A886" i="15" l="1"/>
  <c r="E887" i="15"/>
  <c r="AD863" i="5" s="1"/>
  <c r="D887" i="15"/>
  <c r="F887" i="15" s="1"/>
  <c r="A887" i="15" l="1"/>
  <c r="E888" i="15"/>
  <c r="AD864" i="5" s="1"/>
  <c r="D888" i="15"/>
  <c r="F888" i="15" s="1"/>
  <c r="A888" i="15" l="1"/>
  <c r="E889" i="15"/>
  <c r="AD865" i="5" s="1"/>
  <c r="D889" i="15"/>
  <c r="F889" i="15" s="1"/>
  <c r="A889" i="15" l="1"/>
  <c r="E890" i="15"/>
  <c r="AD866" i="5" s="1"/>
  <c r="D890" i="15"/>
  <c r="F890" i="15" s="1"/>
  <c r="A890" i="15" l="1"/>
  <c r="E891" i="15"/>
  <c r="AD867" i="5" s="1"/>
  <c r="D891" i="15"/>
  <c r="F891" i="15" s="1"/>
  <c r="A891" i="15" l="1"/>
  <c r="E892" i="15"/>
  <c r="AD868" i="5" s="1"/>
  <c r="D892" i="15"/>
  <c r="F892" i="15" s="1"/>
  <c r="A892" i="15" l="1"/>
  <c r="E893" i="15"/>
  <c r="AD869" i="5" s="1"/>
  <c r="D893" i="15"/>
  <c r="F893" i="15" s="1"/>
  <c r="A893" i="15" l="1"/>
  <c r="E894" i="15"/>
  <c r="AD870" i="5" s="1"/>
  <c r="D894" i="15"/>
  <c r="F894" i="15" s="1"/>
  <c r="A894" i="15" l="1"/>
  <c r="E895" i="15"/>
  <c r="AD871" i="5" s="1"/>
  <c r="D895" i="15"/>
  <c r="F895" i="15" s="1"/>
  <c r="A895" i="15" l="1"/>
  <c r="E896" i="15"/>
  <c r="AD872" i="5" s="1"/>
  <c r="D896" i="15"/>
  <c r="F896" i="15" s="1"/>
  <c r="A896" i="15" l="1"/>
  <c r="E897" i="15"/>
  <c r="AD873" i="5" s="1"/>
  <c r="D897" i="15"/>
  <c r="F897" i="15" s="1"/>
  <c r="A897" i="15" l="1"/>
  <c r="E898" i="15"/>
  <c r="AD874" i="5" s="1"/>
  <c r="D898" i="15"/>
  <c r="F898" i="15" s="1"/>
  <c r="A898" i="15" l="1"/>
  <c r="E899" i="15"/>
  <c r="AD875" i="5" s="1"/>
  <c r="D899" i="15"/>
  <c r="F899" i="15" s="1"/>
  <c r="A899" i="15" l="1"/>
  <c r="E900" i="15"/>
  <c r="AD876" i="5" s="1"/>
  <c r="D900" i="15"/>
  <c r="F900" i="15" s="1"/>
  <c r="A900" i="15" l="1"/>
  <c r="E901" i="15"/>
  <c r="AD877" i="5" s="1"/>
  <c r="D901" i="15"/>
  <c r="F901" i="15" s="1"/>
  <c r="A901" i="15" l="1"/>
  <c r="E902" i="15"/>
  <c r="AD878" i="5" s="1"/>
  <c r="D902" i="15"/>
  <c r="F902" i="15" s="1"/>
  <c r="A902" i="15" l="1"/>
  <c r="E903" i="15"/>
  <c r="AD879" i="5" s="1"/>
  <c r="D903" i="15"/>
  <c r="F903" i="15" s="1"/>
  <c r="A903" i="15" l="1"/>
  <c r="E904" i="15"/>
  <c r="AD880" i="5" s="1"/>
  <c r="D904" i="15"/>
  <c r="F904" i="15" s="1"/>
  <c r="A904" i="15" l="1"/>
  <c r="E905" i="15"/>
  <c r="AD881" i="5" s="1"/>
  <c r="D905" i="15"/>
  <c r="F905" i="15" s="1"/>
  <c r="A905" i="15" l="1"/>
  <c r="E906" i="15"/>
  <c r="AD882" i="5" s="1"/>
  <c r="D906" i="15"/>
  <c r="F906" i="15" s="1"/>
  <c r="A906" i="15" l="1"/>
  <c r="E907" i="15"/>
  <c r="AD883" i="5" s="1"/>
  <c r="D907" i="15"/>
  <c r="F907" i="15" s="1"/>
  <c r="A907" i="15" l="1"/>
  <c r="E908" i="15"/>
  <c r="AD884" i="5" s="1"/>
  <c r="D908" i="15"/>
  <c r="F908" i="15" s="1"/>
  <c r="A908" i="15" l="1"/>
  <c r="E909" i="15"/>
  <c r="AD885" i="5" s="1"/>
  <c r="D909" i="15"/>
  <c r="F909" i="15" s="1"/>
  <c r="A909" i="15" l="1"/>
  <c r="E910" i="15"/>
  <c r="AD886" i="5" s="1"/>
  <c r="D910" i="15"/>
  <c r="F910" i="15" s="1"/>
  <c r="A910" i="15" l="1"/>
  <c r="E911" i="15"/>
  <c r="AD887" i="5" s="1"/>
  <c r="D911" i="15"/>
  <c r="F911" i="15" s="1"/>
  <c r="A911" i="15" l="1"/>
  <c r="E912" i="15"/>
  <c r="AD888" i="5" s="1"/>
  <c r="D912" i="15"/>
  <c r="F912" i="15" s="1"/>
  <c r="A912" i="15" l="1"/>
  <c r="E913" i="15"/>
  <c r="AD889" i="5" s="1"/>
  <c r="D913" i="15"/>
  <c r="F913" i="15" s="1"/>
  <c r="A913" i="15" l="1"/>
  <c r="E914" i="15"/>
  <c r="AD890" i="5" s="1"/>
  <c r="D914" i="15"/>
  <c r="F914" i="15" s="1"/>
  <c r="A914" i="15" l="1"/>
  <c r="E915" i="15"/>
  <c r="AD891" i="5" s="1"/>
  <c r="D915" i="15"/>
  <c r="F915" i="15" s="1"/>
  <c r="A915" i="15" l="1"/>
  <c r="E916" i="15"/>
  <c r="AD892" i="5" s="1"/>
  <c r="D916" i="15"/>
  <c r="F916" i="15" s="1"/>
  <c r="A916" i="15" l="1"/>
  <c r="E917" i="15"/>
  <c r="AD893" i="5" s="1"/>
  <c r="D917" i="15"/>
  <c r="F917" i="15" l="1"/>
  <c r="A917" i="15" l="1"/>
  <c r="E918" i="15"/>
  <c r="AD894" i="5" s="1"/>
  <c r="D918" i="15"/>
  <c r="F918" i="15" s="1"/>
  <c r="A918" i="15" l="1"/>
  <c r="E919" i="15"/>
  <c r="AD895" i="5" s="1"/>
  <c r="D919" i="15"/>
  <c r="F919" i="15" s="1"/>
  <c r="A919" i="15" l="1"/>
  <c r="E920" i="15"/>
  <c r="AD896" i="5" s="1"/>
  <c r="D920" i="15"/>
  <c r="F920" i="15" s="1"/>
  <c r="A920" i="15" l="1"/>
  <c r="E921" i="15"/>
  <c r="AD897" i="5" s="1"/>
  <c r="D921" i="15"/>
  <c r="F921" i="15" s="1"/>
  <c r="A921" i="15" l="1"/>
  <c r="E922" i="15"/>
  <c r="AD898" i="5" s="1"/>
  <c r="D922" i="15"/>
  <c r="F922" i="15" s="1"/>
  <c r="A922" i="15" l="1"/>
  <c r="E923" i="15"/>
  <c r="AD899" i="5" s="1"/>
  <c r="D923" i="15"/>
  <c r="F923" i="15" s="1"/>
  <c r="A923" i="15" l="1"/>
  <c r="E924" i="15"/>
  <c r="AD900" i="5" s="1"/>
  <c r="D924" i="15"/>
  <c r="F924" i="15" s="1"/>
  <c r="A924" i="15" l="1"/>
  <c r="E925" i="15"/>
  <c r="AD901" i="5" s="1"/>
  <c r="D925" i="15"/>
  <c r="F925" i="15" s="1"/>
  <c r="A925" i="15" l="1"/>
  <c r="E926" i="15"/>
  <c r="AD902" i="5" s="1"/>
  <c r="D926" i="15"/>
  <c r="F926" i="15" s="1"/>
  <c r="A926" i="15" l="1"/>
  <c r="E927" i="15"/>
  <c r="AD903" i="5" s="1"/>
  <c r="D927" i="15"/>
  <c r="F927" i="15" s="1"/>
  <c r="A927" i="15" l="1"/>
  <c r="E928" i="15"/>
  <c r="AD904" i="5" s="1"/>
  <c r="D928" i="15"/>
  <c r="F928" i="15" s="1"/>
  <c r="A928" i="15" l="1"/>
  <c r="E929" i="15"/>
  <c r="AD905" i="5" s="1"/>
  <c r="D929" i="15"/>
  <c r="F929" i="15" s="1"/>
  <c r="A929" i="15" l="1"/>
  <c r="E930" i="15"/>
  <c r="AD906" i="5" s="1"/>
  <c r="D930" i="15"/>
  <c r="F930" i="15" s="1"/>
  <c r="A930" i="15" l="1"/>
  <c r="E931" i="15"/>
  <c r="AD907" i="5" s="1"/>
  <c r="D931" i="15"/>
  <c r="F931" i="15" s="1"/>
  <c r="A931" i="15" l="1"/>
  <c r="E932" i="15"/>
  <c r="AD908" i="5" s="1"/>
  <c r="D932" i="15"/>
  <c r="F932" i="15" s="1"/>
  <c r="A932" i="15" l="1"/>
  <c r="E933" i="15"/>
  <c r="AD909" i="5" s="1"/>
  <c r="D933" i="15"/>
  <c r="F933" i="15" s="1"/>
  <c r="A933" i="15" l="1"/>
  <c r="E934" i="15"/>
  <c r="AD910" i="5" s="1"/>
  <c r="D934" i="15"/>
  <c r="F934" i="15" s="1"/>
  <c r="A934" i="15" l="1"/>
  <c r="E935" i="15"/>
  <c r="AD911" i="5" s="1"/>
  <c r="D935" i="15"/>
  <c r="F935" i="15" s="1"/>
  <c r="A935" i="15" l="1"/>
  <c r="E936" i="15"/>
  <c r="AD912" i="5" s="1"/>
  <c r="D936" i="15"/>
  <c r="F936" i="15" s="1"/>
  <c r="A936" i="15" l="1"/>
  <c r="E937" i="15"/>
  <c r="AD913" i="5" s="1"/>
  <c r="D937" i="15"/>
  <c r="F937" i="15" s="1"/>
  <c r="A937" i="15" l="1"/>
  <c r="E938" i="15"/>
  <c r="AD914" i="5" s="1"/>
  <c r="D938" i="15"/>
  <c r="F938" i="15" s="1"/>
  <c r="A938" i="15" l="1"/>
  <c r="E939" i="15"/>
  <c r="AD915" i="5" s="1"/>
  <c r="D939" i="15"/>
  <c r="F939" i="15" s="1"/>
  <c r="A939" i="15" l="1"/>
  <c r="E940" i="15"/>
  <c r="AD916" i="5" s="1"/>
  <c r="D940" i="15"/>
  <c r="F940" i="15" s="1"/>
  <c r="A940" i="15" l="1"/>
  <c r="E941" i="15"/>
  <c r="AD917" i="5" s="1"/>
  <c r="D941" i="15"/>
  <c r="F941" i="15" s="1"/>
  <c r="A941" i="15" l="1"/>
  <c r="E942" i="15"/>
  <c r="AD918" i="5" s="1"/>
  <c r="D942" i="15"/>
  <c r="F942" i="15" s="1"/>
  <c r="A942" i="15" l="1"/>
  <c r="E943" i="15"/>
  <c r="AD919" i="5" s="1"/>
  <c r="D943" i="15"/>
  <c r="F943" i="15" s="1"/>
  <c r="A943" i="15" l="1"/>
  <c r="E944" i="15"/>
  <c r="AD920" i="5" s="1"/>
  <c r="D944" i="15"/>
  <c r="F944" i="15" s="1"/>
  <c r="A944" i="15" l="1"/>
  <c r="E945" i="15"/>
  <c r="AD921" i="5" s="1"/>
  <c r="D945" i="15"/>
  <c r="F945" i="15" s="1"/>
  <c r="A945" i="15" l="1"/>
  <c r="E946" i="15"/>
  <c r="AD922" i="5" s="1"/>
  <c r="D946" i="15"/>
  <c r="F946" i="15" s="1"/>
  <c r="A946" i="15" l="1"/>
  <c r="E947" i="15"/>
  <c r="AD923" i="5" s="1"/>
  <c r="D947" i="15"/>
  <c r="F947" i="15" s="1"/>
  <c r="A947" i="15" l="1"/>
  <c r="E948" i="15"/>
  <c r="AD924" i="5" s="1"/>
  <c r="D948" i="15"/>
  <c r="F948" i="15" s="1"/>
  <c r="A948" i="15" l="1"/>
  <c r="E949" i="15"/>
  <c r="AD925" i="5" s="1"/>
  <c r="D949" i="15"/>
  <c r="F949" i="15" s="1"/>
  <c r="A949" i="15" l="1"/>
  <c r="E950" i="15"/>
  <c r="AD926" i="5" s="1"/>
  <c r="D950" i="15"/>
  <c r="F950" i="15" s="1"/>
  <c r="A950" i="15" l="1"/>
  <c r="E951" i="15"/>
  <c r="AD927" i="5" s="1"/>
  <c r="D951" i="15"/>
  <c r="F951" i="15" s="1"/>
  <c r="A951" i="15" l="1"/>
  <c r="E952" i="15"/>
  <c r="AD928" i="5" s="1"/>
  <c r="D952" i="15"/>
  <c r="F952" i="15" s="1"/>
  <c r="A952" i="15" l="1"/>
  <c r="E953" i="15"/>
  <c r="AD929" i="5" s="1"/>
  <c r="D953" i="15"/>
  <c r="F953" i="15" s="1"/>
  <c r="A953" i="15" l="1"/>
  <c r="E954" i="15"/>
  <c r="AD930" i="5" s="1"/>
  <c r="D954" i="15"/>
  <c r="F954" i="15" s="1"/>
  <c r="A954" i="15" l="1"/>
  <c r="E955" i="15"/>
  <c r="AD931" i="5" s="1"/>
  <c r="D955" i="15"/>
  <c r="F955" i="15" s="1"/>
  <c r="A955" i="15" l="1"/>
  <c r="E956" i="15"/>
  <c r="AD932" i="5" s="1"/>
  <c r="D956" i="15"/>
  <c r="F956" i="15" s="1"/>
  <c r="A956" i="15" l="1"/>
  <c r="E957" i="15"/>
  <c r="AD933" i="5" s="1"/>
  <c r="D957" i="15"/>
  <c r="F957" i="15" s="1"/>
  <c r="A957" i="15" l="1"/>
  <c r="E958" i="15"/>
  <c r="AD934" i="5" s="1"/>
  <c r="D958" i="15"/>
  <c r="F958" i="15" s="1"/>
  <c r="A958" i="15" l="1"/>
  <c r="E959" i="15"/>
  <c r="AD935" i="5" s="1"/>
  <c r="D959" i="15"/>
  <c r="F959" i="15" s="1"/>
  <c r="A959" i="15" l="1"/>
  <c r="E960" i="15"/>
  <c r="AD936" i="5" s="1"/>
  <c r="D960" i="15"/>
  <c r="F960" i="15" s="1"/>
  <c r="A960" i="15" l="1"/>
  <c r="E961" i="15"/>
  <c r="AD937" i="5" s="1"/>
  <c r="D961" i="15"/>
  <c r="F961" i="15" s="1"/>
  <c r="A961" i="15" l="1"/>
  <c r="E962" i="15"/>
  <c r="AD938" i="5" s="1"/>
  <c r="D962" i="15"/>
  <c r="F962" i="15" s="1"/>
  <c r="A962" i="15" l="1"/>
  <c r="E963" i="15"/>
  <c r="AD939" i="5" s="1"/>
  <c r="D963" i="15"/>
  <c r="F963" i="15" s="1"/>
  <c r="A963" i="15" l="1"/>
  <c r="E964" i="15"/>
  <c r="AD940" i="5" s="1"/>
  <c r="D964" i="15"/>
  <c r="F964" i="15" s="1"/>
  <c r="A964" i="15" l="1"/>
  <c r="E965" i="15"/>
  <c r="AD941" i="5" s="1"/>
  <c r="D965" i="15"/>
  <c r="F965" i="15" s="1"/>
  <c r="A965" i="15" l="1"/>
  <c r="E966" i="15"/>
  <c r="AD942" i="5" s="1"/>
  <c r="D966" i="15"/>
  <c r="F966" i="15" s="1"/>
  <c r="A966" i="15" l="1"/>
  <c r="E967" i="15"/>
  <c r="AD943" i="5" s="1"/>
  <c r="D967" i="15"/>
  <c r="F967" i="15" s="1"/>
  <c r="A967" i="15" l="1"/>
  <c r="E968" i="15"/>
  <c r="AD944" i="5" s="1"/>
  <c r="D968" i="15"/>
  <c r="F968" i="15" s="1"/>
  <c r="A968" i="15" l="1"/>
  <c r="E969" i="15"/>
  <c r="AD945" i="5" s="1"/>
  <c r="D969" i="15"/>
  <c r="F969" i="15" s="1"/>
  <c r="A969" i="15" l="1"/>
  <c r="E970" i="15"/>
  <c r="AD946" i="5" s="1"/>
  <c r="D970" i="15"/>
  <c r="F970" i="15" s="1"/>
  <c r="A970" i="15" l="1"/>
  <c r="E971" i="15"/>
  <c r="AD947" i="5" s="1"/>
  <c r="D971" i="15"/>
  <c r="F971" i="15" s="1"/>
  <c r="A971" i="15" l="1"/>
  <c r="E972" i="15"/>
  <c r="AD948" i="5" s="1"/>
  <c r="D972" i="15"/>
  <c r="F972" i="15" s="1"/>
  <c r="A972" i="15" l="1"/>
  <c r="E973" i="15"/>
  <c r="AD949" i="5" s="1"/>
  <c r="D973" i="15"/>
  <c r="F973" i="15" s="1"/>
  <c r="A973" i="15" l="1"/>
  <c r="E974" i="15"/>
  <c r="AD950" i="5" s="1"/>
  <c r="D974" i="15"/>
  <c r="F974" i="15" s="1"/>
  <c r="A974" i="15" l="1"/>
  <c r="E975" i="15"/>
  <c r="AD951" i="5" s="1"/>
  <c r="D975" i="15"/>
  <c r="F975" i="15" s="1"/>
  <c r="A975" i="15" l="1"/>
  <c r="E976" i="15"/>
  <c r="AD952" i="5" s="1"/>
  <c r="D976" i="15"/>
  <c r="F976" i="15" s="1"/>
  <c r="A976" i="15" l="1"/>
  <c r="E977" i="15"/>
  <c r="AD953" i="5" s="1"/>
  <c r="D977" i="15"/>
  <c r="F977" i="15" s="1"/>
  <c r="A977" i="15" l="1"/>
  <c r="E978" i="15"/>
  <c r="AD954" i="5" s="1"/>
  <c r="D978" i="15"/>
  <c r="F978" i="15" s="1"/>
  <c r="A978" i="15" l="1"/>
  <c r="E979" i="15"/>
  <c r="AD955" i="5" s="1"/>
  <c r="D979" i="15"/>
  <c r="F979" i="15" s="1"/>
  <c r="A979" i="15" l="1"/>
  <c r="E980" i="15"/>
  <c r="AD956" i="5" s="1"/>
  <c r="D980" i="15"/>
  <c r="F980" i="15" s="1"/>
  <c r="A980" i="15" l="1"/>
  <c r="E981" i="15"/>
  <c r="AD957" i="5" s="1"/>
  <c r="D981" i="15"/>
  <c r="F981" i="15" s="1"/>
  <c r="A981" i="15" l="1"/>
  <c r="E982" i="15"/>
  <c r="AD958" i="5" s="1"/>
  <c r="D982" i="15"/>
  <c r="F982" i="15" s="1"/>
  <c r="A982" i="15" l="1"/>
  <c r="E983" i="15"/>
  <c r="AD959" i="5" s="1"/>
  <c r="D983" i="15"/>
  <c r="F983" i="15" s="1"/>
  <c r="A983" i="15" l="1"/>
  <c r="E984" i="15"/>
  <c r="AD960" i="5" s="1"/>
  <c r="D984" i="15"/>
  <c r="F984" i="15" s="1"/>
  <c r="A984" i="15" l="1"/>
  <c r="E985" i="15"/>
  <c r="AD961" i="5" s="1"/>
  <c r="D985" i="15"/>
  <c r="F985" i="15" s="1"/>
  <c r="A985" i="15" l="1"/>
  <c r="E986" i="15"/>
  <c r="AD962" i="5" s="1"/>
  <c r="D986" i="15"/>
  <c r="F986" i="15" s="1"/>
  <c r="A986" i="15" l="1"/>
  <c r="E987" i="15"/>
  <c r="AD963" i="5" s="1"/>
  <c r="D987" i="15"/>
  <c r="F987" i="15" s="1"/>
  <c r="A987" i="15" l="1"/>
  <c r="E988" i="15"/>
  <c r="AD964" i="5" s="1"/>
  <c r="D988" i="15"/>
  <c r="F988" i="15" s="1"/>
  <c r="A988" i="15" l="1"/>
  <c r="E989" i="15"/>
  <c r="AD965" i="5" s="1"/>
  <c r="D989" i="15"/>
  <c r="F989" i="15" s="1"/>
  <c r="A989" i="15" l="1"/>
  <c r="E990" i="15"/>
  <c r="AD966" i="5" s="1"/>
  <c r="D990" i="15"/>
  <c r="F990" i="15" s="1"/>
  <c r="A990" i="15" l="1"/>
  <c r="E991" i="15"/>
  <c r="AD967" i="5" s="1"/>
  <c r="D991" i="15"/>
  <c r="F991" i="15" s="1"/>
  <c r="A991" i="15" l="1"/>
  <c r="E992" i="15"/>
  <c r="AD968" i="5" s="1"/>
  <c r="D992" i="15"/>
  <c r="F992" i="15" s="1"/>
  <c r="A992" i="15" l="1"/>
  <c r="E993" i="15"/>
  <c r="AD969" i="5" s="1"/>
  <c r="D993" i="15"/>
  <c r="F993" i="15" s="1"/>
  <c r="A993" i="15" l="1"/>
  <c r="E994" i="15"/>
  <c r="AD970" i="5" s="1"/>
  <c r="D994" i="15"/>
  <c r="F994" i="15" s="1"/>
  <c r="A994" i="15" l="1"/>
  <c r="E995" i="15"/>
  <c r="AD971" i="5" s="1"/>
  <c r="D995" i="15"/>
  <c r="F995" i="15" s="1"/>
  <c r="A995" i="15" l="1"/>
  <c r="E996" i="15"/>
  <c r="AD972" i="5" s="1"/>
  <c r="D996" i="15"/>
  <c r="F996" i="15" s="1"/>
  <c r="A996" i="15" l="1"/>
  <c r="E997" i="15"/>
  <c r="AD973" i="5" s="1"/>
  <c r="D997" i="15"/>
  <c r="F997" i="15" s="1"/>
  <c r="A997" i="15" l="1"/>
  <c r="E998" i="15"/>
  <c r="AD974" i="5" s="1"/>
  <c r="D998" i="15"/>
  <c r="F998" i="15" s="1"/>
  <c r="A998" i="15" l="1"/>
  <c r="E999" i="15"/>
  <c r="AD975" i="5" s="1"/>
  <c r="D999" i="15"/>
  <c r="F999" i="15" s="1"/>
  <c r="A999" i="15" l="1"/>
  <c r="E1000" i="15"/>
  <c r="AD976" i="5" s="1"/>
  <c r="D1000" i="15"/>
  <c r="F1000" i="15" s="1"/>
  <c r="A1000" i="15" l="1"/>
  <c r="E1001" i="15"/>
  <c r="AD977" i="5" s="1"/>
  <c r="D1001" i="15"/>
  <c r="F1001" i="15" s="1"/>
  <c r="A1001" i="15" l="1"/>
  <c r="E1002" i="15"/>
  <c r="AD978" i="5" s="1"/>
  <c r="D1002" i="15"/>
  <c r="F1002" i="15" s="1"/>
  <c r="A1002" i="15" l="1"/>
  <c r="E1003" i="15"/>
  <c r="AD979" i="5" s="1"/>
  <c r="D1003" i="15"/>
  <c r="F1003" i="15" s="1"/>
  <c r="A1003" i="15" l="1"/>
  <c r="E1004" i="15"/>
  <c r="AD980" i="5" s="1"/>
  <c r="D1004" i="15"/>
  <c r="F1004" i="15" s="1"/>
  <c r="A1004" i="15" l="1"/>
  <c r="E1005" i="15"/>
  <c r="AD981" i="5" s="1"/>
  <c r="D1005" i="15"/>
  <c r="F1005" i="15" s="1"/>
  <c r="A1005" i="15" l="1"/>
  <c r="E1006" i="15"/>
  <c r="AD982" i="5" s="1"/>
  <c r="D1006" i="15"/>
  <c r="F1006" i="15" s="1"/>
  <c r="A1006" i="15" l="1"/>
  <c r="E1007" i="15"/>
  <c r="AD983" i="5" s="1"/>
  <c r="D1007" i="15"/>
  <c r="F1007" i="15" s="1"/>
  <c r="A1007" i="15" l="1"/>
  <c r="E1008" i="15"/>
  <c r="AD984" i="5" s="1"/>
  <c r="D1008" i="15"/>
  <c r="F1008" i="15" s="1"/>
  <c r="A1008" i="15" l="1"/>
  <c r="E1009" i="15"/>
  <c r="AD985" i="5" s="1"/>
  <c r="D1009" i="15"/>
  <c r="F1009" i="15" s="1"/>
  <c r="A1009" i="15" l="1"/>
  <c r="E1010" i="15"/>
  <c r="AD986" i="5" s="1"/>
  <c r="D1010" i="15"/>
  <c r="F1010" i="15" s="1"/>
  <c r="A1010" i="15" l="1"/>
  <c r="E1011" i="15"/>
  <c r="AD987" i="5" s="1"/>
  <c r="D1011" i="15"/>
  <c r="F1011" i="15" s="1"/>
  <c r="A1011" i="15" l="1"/>
  <c r="E1012" i="15"/>
  <c r="AD988" i="5" s="1"/>
  <c r="D1012" i="15"/>
  <c r="F1012" i="15" s="1"/>
  <c r="A1012" i="15" l="1"/>
  <c r="E1013" i="15"/>
  <c r="AD989" i="5" s="1"/>
  <c r="D1013" i="15"/>
  <c r="F1013" i="15" s="1"/>
  <c r="A1013" i="15" l="1"/>
  <c r="E1014" i="15"/>
  <c r="AD990" i="5" s="1"/>
  <c r="D1014" i="15"/>
  <c r="F1014" i="15" s="1"/>
  <c r="A1014" i="15" l="1"/>
  <c r="E1015" i="15"/>
  <c r="AD991" i="5" s="1"/>
  <c r="D1015" i="15"/>
  <c r="F1015" i="15" s="1"/>
  <c r="A1015" i="15" l="1"/>
  <c r="E1016" i="15"/>
  <c r="AD992" i="5" s="1"/>
  <c r="D1016" i="15"/>
  <c r="F1016" i="15" s="1"/>
  <c r="A1016" i="15" l="1"/>
  <c r="E1017" i="15"/>
  <c r="AD993" i="5" s="1"/>
  <c r="D1017" i="15"/>
  <c r="F1017" i="15" s="1"/>
  <c r="A1017" i="15" l="1"/>
  <c r="E1018" i="15"/>
  <c r="AD994" i="5" s="1"/>
  <c r="D1018" i="15"/>
  <c r="F1018" i="15" s="1"/>
  <c r="A1018" i="15" l="1"/>
  <c r="E1019" i="15"/>
  <c r="AD995" i="5" s="1"/>
  <c r="D1019" i="15"/>
  <c r="F1019" i="15" s="1"/>
  <c r="A1019" i="15" l="1"/>
  <c r="E1020" i="15"/>
  <c r="AD996" i="5" s="1"/>
  <c r="D1020" i="15"/>
  <c r="F1020" i="15" s="1"/>
  <c r="A1020" i="15" l="1"/>
  <c r="E1021" i="15"/>
  <c r="AD997" i="5" s="1"/>
  <c r="D1021" i="15"/>
  <c r="F1021" i="15" s="1"/>
  <c r="A1021" i="15" l="1"/>
  <c r="E1022" i="15"/>
  <c r="AD998" i="5" s="1"/>
  <c r="D1022" i="15"/>
  <c r="F1022" i="15" s="1"/>
  <c r="A1022" i="15" l="1"/>
  <c r="E1023" i="15"/>
  <c r="AD999" i="5" s="1"/>
  <c r="D1023" i="15"/>
  <c r="F1023" i="15" s="1"/>
  <c r="A1023" i="15" l="1"/>
  <c r="E1024" i="15"/>
  <c r="AD1000" i="5" s="1"/>
  <c r="D1024" i="15"/>
  <c r="F1024" i="15" s="1"/>
  <c r="A1024" i="15" l="1"/>
  <c r="E1025" i="15"/>
  <c r="AD1001" i="5" s="1"/>
  <c r="D1025" i="15"/>
  <c r="F1025" i="15" s="1"/>
  <c r="A1025" i="15" l="1"/>
  <c r="E1026" i="15"/>
  <c r="AD1002" i="5" s="1"/>
  <c r="D1026" i="15"/>
  <c r="F1026" i="15" s="1"/>
  <c r="A1026" i="15" l="1"/>
  <c r="E1027" i="15"/>
  <c r="AD1003" i="5" s="1"/>
  <c r="D1027" i="15"/>
  <c r="F1027" i="15" s="1"/>
  <c r="A1027" i="15" s="1"/>
  <c r="C16" i="7" s="1"/>
  <c r="AE4" i="5" l="1"/>
  <c r="AE6" i="5"/>
  <c r="AE8" i="5"/>
  <c r="AE10" i="5"/>
  <c r="AE12" i="5"/>
  <c r="AE14" i="5"/>
  <c r="AE16" i="5"/>
  <c r="AE18" i="5"/>
  <c r="AE20" i="5"/>
  <c r="AE22" i="5"/>
  <c r="AE24" i="5"/>
  <c r="AE26" i="5"/>
  <c r="AE28" i="5"/>
  <c r="AE30" i="5"/>
  <c r="AE32" i="5"/>
  <c r="AE34" i="5"/>
  <c r="AE36" i="5"/>
  <c r="AE38" i="5"/>
  <c r="AE40" i="5"/>
  <c r="AE42" i="5"/>
  <c r="AE44" i="5"/>
  <c r="AE46" i="5"/>
  <c r="AE48" i="5"/>
  <c r="AE50" i="5"/>
  <c r="AE52" i="5"/>
  <c r="AE54" i="5"/>
  <c r="AE56" i="5"/>
  <c r="AE58" i="5"/>
  <c r="AE60" i="5"/>
  <c r="AE62" i="5"/>
  <c r="AE64" i="5"/>
  <c r="AE66" i="5"/>
  <c r="AE68" i="5"/>
  <c r="AE70" i="5"/>
  <c r="AE72" i="5"/>
  <c r="AE74" i="5"/>
  <c r="AE76" i="5"/>
  <c r="AE78" i="5"/>
  <c r="AE80" i="5"/>
  <c r="AE82" i="5"/>
  <c r="AE84" i="5"/>
  <c r="AE86" i="5"/>
  <c r="AE88" i="5"/>
  <c r="AE90" i="5"/>
  <c r="AE92" i="5"/>
  <c r="AE94" i="5"/>
  <c r="AE96" i="5"/>
  <c r="AE98" i="5"/>
  <c r="AE100" i="5"/>
  <c r="AE102" i="5"/>
  <c r="AE104" i="5"/>
  <c r="AE106" i="5"/>
  <c r="AE108" i="5"/>
  <c r="AE110" i="5"/>
  <c r="AE112" i="5"/>
  <c r="AE114" i="5"/>
  <c r="AE116" i="5"/>
  <c r="AE118" i="5"/>
  <c r="AE120" i="5"/>
  <c r="AE122" i="5"/>
  <c r="AE124" i="5"/>
  <c r="AE126" i="5"/>
  <c r="AE128" i="5"/>
  <c r="AE130" i="5"/>
  <c r="AE132" i="5"/>
  <c r="AE134" i="5"/>
  <c r="AE136" i="5"/>
  <c r="AE138" i="5"/>
  <c r="AE140" i="5"/>
  <c r="AE142" i="5"/>
  <c r="AE144" i="5"/>
  <c r="AE146" i="5"/>
  <c r="AE148" i="5"/>
  <c r="AE150" i="5"/>
  <c r="AE152" i="5"/>
  <c r="AE154" i="5"/>
  <c r="AE156" i="5"/>
  <c r="AE158" i="5"/>
  <c r="AE160" i="5"/>
  <c r="AE162" i="5"/>
  <c r="AE164" i="5"/>
  <c r="AE166" i="5"/>
  <c r="AE168" i="5"/>
  <c r="AE170" i="5"/>
  <c r="AE172" i="5"/>
  <c r="AE174" i="5"/>
  <c r="AE176" i="5"/>
  <c r="AE178" i="5"/>
  <c r="AE180" i="5"/>
  <c r="AE182" i="5"/>
  <c r="AE184" i="5"/>
  <c r="AE186" i="5"/>
  <c r="AE188" i="5"/>
  <c r="AE190" i="5"/>
  <c r="AE192" i="5"/>
  <c r="AE194" i="5"/>
  <c r="AE196" i="5"/>
  <c r="AE198" i="5"/>
  <c r="AE200" i="5"/>
  <c r="AE202" i="5"/>
  <c r="AE204" i="5"/>
  <c r="AE206" i="5"/>
  <c r="AE208" i="5"/>
  <c r="AE210" i="5"/>
  <c r="AE212" i="5"/>
  <c r="AE214" i="5"/>
  <c r="AE216" i="5"/>
  <c r="AE218" i="5"/>
  <c r="AE220" i="5"/>
  <c r="AE222" i="5"/>
  <c r="AE224" i="5"/>
  <c r="AE226" i="5"/>
  <c r="AE228" i="5"/>
  <c r="AE230" i="5"/>
  <c r="AE232" i="5"/>
  <c r="AE234" i="5"/>
  <c r="AE236" i="5"/>
  <c r="AE238" i="5"/>
  <c r="AE240" i="5"/>
  <c r="AE242" i="5"/>
  <c r="AE244" i="5"/>
  <c r="AE246" i="5"/>
  <c r="AE248" i="5"/>
  <c r="AE250" i="5"/>
  <c r="AE252" i="5"/>
  <c r="AE254" i="5"/>
  <c r="AE256" i="5"/>
  <c r="AE258" i="5"/>
  <c r="AE260" i="5"/>
  <c r="AE262" i="5"/>
  <c r="AE264" i="5"/>
  <c r="AE266" i="5"/>
  <c r="AE268" i="5"/>
  <c r="AE270" i="5"/>
  <c r="AE272" i="5"/>
  <c r="AE274" i="5"/>
  <c r="AE276" i="5"/>
  <c r="AE278" i="5"/>
  <c r="AE280" i="5"/>
  <c r="AE282" i="5"/>
  <c r="AE284" i="5"/>
  <c r="AE286" i="5"/>
  <c r="AE288" i="5"/>
  <c r="AE290" i="5"/>
  <c r="AE292" i="5"/>
  <c r="AE294" i="5"/>
  <c r="AE296" i="5"/>
  <c r="AE298" i="5"/>
  <c r="AE300" i="5"/>
  <c r="AE302" i="5"/>
  <c r="AE304" i="5"/>
  <c r="AE306" i="5"/>
  <c r="AE308" i="5"/>
  <c r="AE310" i="5"/>
  <c r="AE312" i="5"/>
  <c r="AE314" i="5"/>
  <c r="AE316" i="5"/>
  <c r="AE318" i="5"/>
  <c r="AE320" i="5"/>
  <c r="AE322" i="5"/>
  <c r="AE324" i="5"/>
  <c r="AE326" i="5"/>
  <c r="AE328" i="5"/>
  <c r="AE330" i="5"/>
  <c r="AE332" i="5"/>
  <c r="AE334" i="5"/>
  <c r="AE336" i="5"/>
  <c r="AE338" i="5"/>
  <c r="AE340" i="5"/>
  <c r="AE342" i="5"/>
  <c r="AE344" i="5"/>
  <c r="AE346" i="5"/>
  <c r="AE348" i="5"/>
  <c r="AE350" i="5"/>
  <c r="AE352" i="5"/>
  <c r="AE354" i="5"/>
  <c r="AE356" i="5"/>
  <c r="AE358" i="5"/>
  <c r="AE360" i="5"/>
  <c r="AE362" i="5"/>
  <c r="AE364" i="5"/>
  <c r="AE366" i="5"/>
  <c r="AE368" i="5"/>
  <c r="AE370" i="5"/>
  <c r="AE372" i="5"/>
  <c r="AE374" i="5"/>
  <c r="AE376" i="5"/>
  <c r="AE378" i="5"/>
  <c r="AE380" i="5"/>
  <c r="AE382" i="5"/>
  <c r="AE384" i="5"/>
  <c r="AE386" i="5"/>
  <c r="AE388" i="5"/>
  <c r="AE390" i="5"/>
  <c r="AE392" i="5"/>
  <c r="AE394" i="5"/>
  <c r="AE396" i="5"/>
  <c r="AE398" i="5"/>
  <c r="AE400" i="5"/>
  <c r="AE402" i="5"/>
  <c r="AE404" i="5"/>
  <c r="AE406" i="5"/>
  <c r="AE408" i="5"/>
  <c r="AE410" i="5"/>
  <c r="AE412" i="5"/>
  <c r="AE414" i="5"/>
  <c r="AE416" i="5"/>
  <c r="AE418" i="5"/>
  <c r="AE420" i="5"/>
  <c r="AE422" i="5"/>
  <c r="AE424" i="5"/>
  <c r="AE426" i="5"/>
  <c r="AE428" i="5"/>
  <c r="AE430" i="5"/>
  <c r="AE432" i="5"/>
  <c r="AE434" i="5"/>
  <c r="AE436" i="5"/>
  <c r="AE438" i="5"/>
  <c r="AE440" i="5"/>
  <c r="AE442" i="5"/>
  <c r="AE444" i="5"/>
  <c r="AE446" i="5"/>
  <c r="AE448" i="5"/>
  <c r="AE450" i="5"/>
  <c r="AE452" i="5"/>
  <c r="AE454" i="5"/>
  <c r="AE456" i="5"/>
  <c r="AE458" i="5"/>
  <c r="AE460" i="5"/>
  <c r="AE462" i="5"/>
  <c r="AE464" i="5"/>
  <c r="AE466" i="5"/>
  <c r="AE468" i="5"/>
  <c r="AE470" i="5"/>
  <c r="AE472" i="5"/>
  <c r="AE474" i="5"/>
  <c r="AE476" i="5"/>
  <c r="AE478" i="5"/>
  <c r="AE480" i="5"/>
  <c r="AE482" i="5"/>
  <c r="AE484" i="5"/>
  <c r="AE486" i="5"/>
  <c r="AE488" i="5"/>
  <c r="AE490" i="5"/>
  <c r="AE492" i="5"/>
  <c r="AE494" i="5"/>
  <c r="AE496" i="5"/>
  <c r="AE498" i="5"/>
  <c r="AE500" i="5"/>
  <c r="AE502" i="5"/>
  <c r="AE504" i="5"/>
  <c r="AE506" i="5"/>
  <c r="AE508" i="5"/>
  <c r="AE510" i="5"/>
  <c r="AE512" i="5"/>
  <c r="AE514" i="5"/>
  <c r="AE516" i="5"/>
  <c r="AE518" i="5"/>
  <c r="AE520" i="5"/>
  <c r="AE522" i="5"/>
  <c r="AE524" i="5"/>
  <c r="AE526" i="5"/>
  <c r="AE528" i="5"/>
  <c r="AE530" i="5"/>
  <c r="AE532" i="5"/>
  <c r="AE534" i="5"/>
  <c r="AE536" i="5"/>
  <c r="AE538" i="5"/>
  <c r="AE540" i="5"/>
  <c r="AE542" i="5"/>
  <c r="AE544" i="5"/>
  <c r="AE546" i="5"/>
  <c r="AE548" i="5"/>
  <c r="AE550" i="5"/>
  <c r="AE552" i="5"/>
  <c r="AE554" i="5"/>
  <c r="AE556" i="5"/>
  <c r="AE558" i="5"/>
  <c r="AE560" i="5"/>
  <c r="AE562" i="5"/>
  <c r="AE564" i="5"/>
  <c r="AE566" i="5"/>
  <c r="AE568" i="5"/>
  <c r="AE570" i="5"/>
  <c r="AE572" i="5"/>
  <c r="AE574" i="5"/>
  <c r="AE576" i="5"/>
  <c r="AE578" i="5"/>
  <c r="AE580" i="5"/>
  <c r="AE582" i="5"/>
  <c r="AE584" i="5"/>
  <c r="AE586" i="5"/>
  <c r="AE588" i="5"/>
  <c r="AE590" i="5"/>
  <c r="AE592" i="5"/>
  <c r="AE594" i="5"/>
  <c r="AE596" i="5"/>
  <c r="AE598" i="5"/>
  <c r="AE600" i="5"/>
  <c r="AE602" i="5"/>
  <c r="AE604" i="5"/>
  <c r="AE606" i="5"/>
  <c r="AE608" i="5"/>
  <c r="AE610" i="5"/>
  <c r="AE612" i="5"/>
  <c r="AE614" i="5"/>
  <c r="AE616" i="5"/>
  <c r="AE618" i="5"/>
  <c r="AE620" i="5"/>
  <c r="AE622" i="5"/>
  <c r="AE624" i="5"/>
  <c r="AE626" i="5"/>
  <c r="AE628" i="5"/>
  <c r="AE630" i="5"/>
  <c r="AE632" i="5"/>
  <c r="AE634" i="5"/>
  <c r="AE636" i="5"/>
  <c r="AE638" i="5"/>
  <c r="AE640" i="5"/>
  <c r="AE642" i="5"/>
  <c r="AE644" i="5"/>
  <c r="AE646" i="5"/>
  <c r="AE648" i="5"/>
  <c r="AE650" i="5"/>
  <c r="AE652" i="5"/>
  <c r="AE654" i="5"/>
  <c r="AE656" i="5"/>
  <c r="AE658" i="5"/>
  <c r="AE660" i="5"/>
  <c r="AE662" i="5"/>
  <c r="AE664" i="5"/>
  <c r="AE666" i="5"/>
  <c r="AE668" i="5"/>
  <c r="AE670" i="5"/>
  <c r="AE672" i="5"/>
  <c r="AE674" i="5"/>
  <c r="AE676" i="5"/>
  <c r="AE678" i="5"/>
  <c r="AE680" i="5"/>
  <c r="AE682" i="5"/>
  <c r="AE684" i="5"/>
  <c r="AE686" i="5"/>
  <c r="AE688" i="5"/>
  <c r="AE690" i="5"/>
  <c r="AE692" i="5"/>
  <c r="AE694" i="5"/>
  <c r="AE696" i="5"/>
  <c r="AE698" i="5"/>
  <c r="AE700" i="5"/>
  <c r="AE702" i="5"/>
  <c r="AE704" i="5"/>
  <c r="AE706" i="5"/>
  <c r="AE708" i="5"/>
  <c r="AE710" i="5"/>
  <c r="AE712" i="5"/>
  <c r="AE714" i="5"/>
  <c r="AE716" i="5"/>
  <c r="AE718" i="5"/>
  <c r="AE720" i="5"/>
  <c r="AE722" i="5"/>
  <c r="AE724" i="5"/>
  <c r="AE726" i="5"/>
  <c r="AE728" i="5"/>
  <c r="AE730" i="5"/>
  <c r="AE732" i="5"/>
  <c r="AE734" i="5"/>
  <c r="AE736" i="5"/>
  <c r="AE738" i="5"/>
  <c r="AE740" i="5"/>
  <c r="AE742" i="5"/>
  <c r="AE744" i="5"/>
  <c r="AE746" i="5"/>
  <c r="AE748" i="5"/>
  <c r="AE750" i="5"/>
  <c r="AE752" i="5"/>
  <c r="AE754" i="5"/>
  <c r="AE756" i="5"/>
  <c r="AE758" i="5"/>
  <c r="AE760" i="5"/>
  <c r="AE762" i="5"/>
  <c r="AE764" i="5"/>
  <c r="AE766" i="5"/>
  <c r="AE768" i="5"/>
  <c r="AE770" i="5"/>
  <c r="AE772" i="5"/>
  <c r="AE774" i="5"/>
  <c r="AE776" i="5"/>
  <c r="AE778" i="5"/>
  <c r="AE780" i="5"/>
  <c r="AE782" i="5"/>
  <c r="AE784" i="5"/>
  <c r="AE786" i="5"/>
  <c r="AE788" i="5"/>
  <c r="AE790" i="5"/>
  <c r="AE792" i="5"/>
  <c r="AE794" i="5"/>
  <c r="AE796" i="5"/>
  <c r="AE798" i="5"/>
  <c r="AE800" i="5"/>
  <c r="AE802" i="5"/>
  <c r="AE804" i="5"/>
  <c r="AE806" i="5"/>
  <c r="AE808" i="5"/>
  <c r="AE810" i="5"/>
  <c r="AE812" i="5"/>
  <c r="AE814" i="5"/>
  <c r="AE816" i="5"/>
  <c r="AE818" i="5"/>
  <c r="AE820" i="5"/>
  <c r="AE822" i="5"/>
  <c r="AE824" i="5"/>
  <c r="AE826" i="5"/>
  <c r="AE828" i="5"/>
  <c r="AE830" i="5"/>
  <c r="AE832" i="5"/>
  <c r="AE834" i="5"/>
  <c r="AE836" i="5"/>
  <c r="AE838" i="5"/>
  <c r="AE840" i="5"/>
  <c r="AE842" i="5"/>
  <c r="AE844" i="5"/>
  <c r="AE846" i="5"/>
  <c r="AE848" i="5"/>
  <c r="AE850" i="5"/>
  <c r="AE852" i="5"/>
  <c r="AE854" i="5"/>
  <c r="AE856" i="5"/>
  <c r="AE858" i="5"/>
  <c r="AE860" i="5"/>
  <c r="AE862" i="5"/>
  <c r="AE864" i="5"/>
  <c r="AE866" i="5"/>
  <c r="AE868" i="5"/>
  <c r="AE870" i="5"/>
  <c r="AE872" i="5"/>
  <c r="AE874" i="5"/>
  <c r="AE876" i="5"/>
  <c r="AE878" i="5"/>
  <c r="AE880" i="5"/>
  <c r="AE882" i="5"/>
  <c r="AE884" i="5"/>
  <c r="AE886" i="5"/>
  <c r="AE888" i="5"/>
  <c r="AE890" i="5"/>
  <c r="AE892" i="5"/>
  <c r="AE894" i="5"/>
  <c r="AE896" i="5"/>
  <c r="AE898" i="5"/>
  <c r="AE900" i="5"/>
  <c r="AE902" i="5"/>
  <c r="AE904" i="5"/>
  <c r="AE906" i="5"/>
  <c r="AE908" i="5"/>
  <c r="AE910" i="5"/>
  <c r="AE912" i="5"/>
  <c r="AE914" i="5"/>
  <c r="AE916" i="5"/>
  <c r="AE918" i="5"/>
  <c r="AE920" i="5"/>
  <c r="AE922" i="5"/>
  <c r="AE924" i="5"/>
  <c r="AE926" i="5"/>
  <c r="AE928" i="5"/>
  <c r="AE930" i="5"/>
  <c r="AE932" i="5"/>
  <c r="AE934" i="5"/>
  <c r="AE936" i="5"/>
  <c r="AE938" i="5"/>
  <c r="AE940" i="5"/>
  <c r="AE942" i="5"/>
  <c r="AE944" i="5"/>
  <c r="AE946" i="5"/>
  <c r="AE948" i="5"/>
  <c r="AE950" i="5"/>
  <c r="AE952" i="5"/>
  <c r="AE954" i="5"/>
  <c r="AE956" i="5"/>
  <c r="AE958" i="5"/>
  <c r="AE960" i="5"/>
  <c r="AE962" i="5"/>
  <c r="AE964" i="5"/>
  <c r="AE966" i="5"/>
  <c r="AE968" i="5"/>
  <c r="AE970" i="5"/>
  <c r="AE972" i="5"/>
  <c r="AE974" i="5"/>
  <c r="AE976" i="5"/>
  <c r="AE978" i="5"/>
  <c r="AE980" i="5"/>
  <c r="AE982" i="5"/>
  <c r="AE984" i="5"/>
  <c r="AE986" i="5"/>
  <c r="AE988" i="5"/>
  <c r="AE990" i="5"/>
  <c r="AE992" i="5"/>
  <c r="AE994" i="5"/>
  <c r="AE996" i="5"/>
  <c r="AE998" i="5"/>
  <c r="AE1000" i="5"/>
  <c r="AE1002" i="5"/>
  <c r="AE3" i="5"/>
  <c r="AE5" i="5"/>
  <c r="AE7" i="5"/>
  <c r="AE9" i="5"/>
  <c r="AE11" i="5"/>
  <c r="AE13" i="5"/>
  <c r="AE15" i="5"/>
  <c r="AE17" i="5"/>
  <c r="AE19" i="5"/>
  <c r="AE21" i="5"/>
  <c r="AE23" i="5"/>
  <c r="AE25" i="5"/>
  <c r="AE27" i="5"/>
  <c r="AE29" i="5"/>
  <c r="AE31" i="5"/>
  <c r="AE33" i="5"/>
  <c r="AE35" i="5"/>
  <c r="AE37" i="5"/>
  <c r="AE39" i="5"/>
  <c r="AE41" i="5"/>
  <c r="AE43" i="5"/>
  <c r="AE45" i="5"/>
  <c r="AE47" i="5"/>
  <c r="AE49" i="5"/>
  <c r="AE51" i="5"/>
  <c r="AE53" i="5"/>
  <c r="AE55" i="5"/>
  <c r="AE57" i="5"/>
  <c r="AE59" i="5"/>
  <c r="AE61" i="5"/>
  <c r="AE63" i="5"/>
  <c r="AE65" i="5"/>
  <c r="AE67" i="5"/>
  <c r="AE69" i="5"/>
  <c r="AE71" i="5"/>
  <c r="AE73" i="5"/>
  <c r="AE75" i="5"/>
  <c r="AE77" i="5"/>
  <c r="AE79" i="5"/>
  <c r="AE81" i="5"/>
  <c r="AE83" i="5"/>
  <c r="AE85" i="5"/>
  <c r="AE87" i="5"/>
  <c r="AE89" i="5"/>
  <c r="AE91" i="5"/>
  <c r="AE93" i="5"/>
  <c r="AE95" i="5"/>
  <c r="AE97" i="5"/>
  <c r="AE99" i="5"/>
  <c r="AE101" i="5"/>
  <c r="AE103" i="5"/>
  <c r="AE105" i="5"/>
  <c r="AE107" i="5"/>
  <c r="AE109" i="5"/>
  <c r="AE111" i="5"/>
  <c r="AE113" i="5"/>
  <c r="AE115" i="5"/>
  <c r="AE117" i="5"/>
  <c r="AE119" i="5"/>
  <c r="AE121" i="5"/>
  <c r="AE123" i="5"/>
  <c r="AE125" i="5"/>
  <c r="AE127" i="5"/>
  <c r="AE129" i="5"/>
  <c r="AE131" i="5"/>
  <c r="AE133" i="5"/>
  <c r="AE135" i="5"/>
  <c r="AE137" i="5"/>
  <c r="AE139" i="5"/>
  <c r="AE141" i="5"/>
  <c r="AE143" i="5"/>
  <c r="AE145" i="5"/>
  <c r="AE147" i="5"/>
  <c r="AE149" i="5"/>
  <c r="AE151" i="5"/>
  <c r="AE153" i="5"/>
  <c r="AE155" i="5"/>
  <c r="AE157" i="5"/>
  <c r="AE159" i="5"/>
  <c r="AE161" i="5"/>
  <c r="AE163" i="5"/>
  <c r="AE165" i="5"/>
  <c r="AE167" i="5"/>
  <c r="AE169" i="5"/>
  <c r="AE171" i="5"/>
  <c r="AE173" i="5"/>
  <c r="AE175" i="5"/>
  <c r="AE177" i="5"/>
  <c r="AE179" i="5"/>
  <c r="AE181" i="5"/>
  <c r="AE183" i="5"/>
  <c r="AE185" i="5"/>
  <c r="AE187" i="5"/>
  <c r="AE189" i="5"/>
  <c r="AE191" i="5"/>
  <c r="AE193" i="5"/>
  <c r="AE195" i="5"/>
  <c r="AE197" i="5"/>
  <c r="AE199" i="5"/>
  <c r="AE201" i="5"/>
  <c r="AE203" i="5"/>
  <c r="AE205" i="5"/>
  <c r="AE207" i="5"/>
  <c r="AE209" i="5"/>
  <c r="AE211" i="5"/>
  <c r="AE213" i="5"/>
  <c r="AE215" i="5"/>
  <c r="AE217" i="5"/>
  <c r="AE219" i="5"/>
  <c r="AE221" i="5"/>
  <c r="AE223" i="5"/>
  <c r="AE225" i="5"/>
  <c r="AE227" i="5"/>
  <c r="AE229" i="5"/>
  <c r="AE231" i="5"/>
  <c r="AE233" i="5"/>
  <c r="AE235" i="5"/>
  <c r="AE237" i="5"/>
  <c r="AE239" i="5"/>
  <c r="AE241" i="5"/>
  <c r="AE243" i="5"/>
  <c r="AE245" i="5"/>
  <c r="AE247" i="5"/>
  <c r="AE249" i="5"/>
  <c r="AE251" i="5"/>
  <c r="AE253" i="5"/>
  <c r="AE255" i="5"/>
  <c r="AE257" i="5"/>
  <c r="AE259" i="5"/>
  <c r="AE261" i="5"/>
  <c r="AE263" i="5"/>
  <c r="AE265" i="5"/>
  <c r="AE267" i="5"/>
  <c r="AE269" i="5"/>
  <c r="AE271" i="5"/>
  <c r="AE273" i="5"/>
  <c r="AE275" i="5"/>
  <c r="AE277" i="5"/>
  <c r="AE279" i="5"/>
  <c r="AE281" i="5"/>
  <c r="AE283" i="5"/>
  <c r="AE285" i="5"/>
  <c r="AE287" i="5"/>
  <c r="AE289" i="5"/>
  <c r="AE291" i="5"/>
  <c r="AE293" i="5"/>
  <c r="AE295" i="5"/>
  <c r="AE297" i="5"/>
  <c r="AE299" i="5"/>
  <c r="AE301" i="5"/>
  <c r="AE303" i="5"/>
  <c r="AE305" i="5"/>
  <c r="AE307" i="5"/>
  <c r="AE309" i="5"/>
  <c r="AE311" i="5"/>
  <c r="AE313" i="5"/>
  <c r="AE315" i="5"/>
  <c r="AE317" i="5"/>
  <c r="AE319" i="5"/>
  <c r="AE321" i="5"/>
  <c r="AE323" i="5"/>
  <c r="AE325" i="5"/>
  <c r="AE327" i="5"/>
  <c r="AE329" i="5"/>
  <c r="AE331" i="5"/>
  <c r="AE333" i="5"/>
  <c r="AE335" i="5"/>
  <c r="AE337" i="5"/>
  <c r="AE339" i="5"/>
  <c r="AE341" i="5"/>
  <c r="AE343" i="5"/>
  <c r="AE345" i="5"/>
  <c r="AE347" i="5"/>
  <c r="AE349" i="5"/>
  <c r="AE351" i="5"/>
  <c r="AE353" i="5"/>
  <c r="AE355" i="5"/>
  <c r="AE357" i="5"/>
  <c r="AE359" i="5"/>
  <c r="AE361" i="5"/>
  <c r="AE363" i="5"/>
  <c r="AE365" i="5"/>
  <c r="AE367" i="5"/>
  <c r="AE369" i="5"/>
  <c r="AE371" i="5"/>
  <c r="AE373" i="5"/>
  <c r="AE375" i="5"/>
  <c r="AE377" i="5"/>
  <c r="AE379" i="5"/>
  <c r="AE381" i="5"/>
  <c r="AE383" i="5"/>
  <c r="AE385" i="5"/>
  <c r="AE387" i="5"/>
  <c r="AE389" i="5"/>
  <c r="AE391" i="5"/>
  <c r="AE393" i="5"/>
  <c r="AE395" i="5"/>
  <c r="AE397" i="5"/>
  <c r="AE399" i="5"/>
  <c r="AE401" i="5"/>
  <c r="AE403" i="5"/>
  <c r="AE405" i="5"/>
  <c r="AE407" i="5"/>
  <c r="AE409" i="5"/>
  <c r="AE411" i="5"/>
  <c r="AE413" i="5"/>
  <c r="AE415" i="5"/>
  <c r="AE417" i="5"/>
  <c r="AE419" i="5"/>
  <c r="AE421" i="5"/>
  <c r="AE423" i="5"/>
  <c r="AE425" i="5"/>
  <c r="AE427" i="5"/>
  <c r="AE429" i="5"/>
  <c r="AE431" i="5"/>
  <c r="AE433" i="5"/>
  <c r="AE435" i="5"/>
  <c r="AE437" i="5"/>
  <c r="AE439" i="5"/>
  <c r="AE441" i="5"/>
  <c r="AE443" i="5"/>
  <c r="AE445" i="5"/>
  <c r="AE447" i="5"/>
  <c r="AE449" i="5"/>
  <c r="AE451" i="5"/>
  <c r="AE453" i="5"/>
  <c r="AE455" i="5"/>
  <c r="AE457" i="5"/>
  <c r="AE459" i="5"/>
  <c r="AE461" i="5"/>
  <c r="AE463" i="5"/>
  <c r="AE465" i="5"/>
  <c r="AE467" i="5"/>
  <c r="AE469" i="5"/>
  <c r="AE471" i="5"/>
  <c r="AE473" i="5"/>
  <c r="AE475" i="5"/>
  <c r="AE477" i="5"/>
  <c r="AE479" i="5"/>
  <c r="AE481" i="5"/>
  <c r="AE483" i="5"/>
  <c r="AE485" i="5"/>
  <c r="AE487" i="5"/>
  <c r="AE489" i="5"/>
  <c r="AE491" i="5"/>
  <c r="AE493" i="5"/>
  <c r="AE495" i="5"/>
  <c r="AE497" i="5"/>
  <c r="AE499" i="5"/>
  <c r="AE501" i="5"/>
  <c r="AE503" i="5"/>
  <c r="AE505" i="5"/>
  <c r="AE507" i="5"/>
  <c r="AE509" i="5"/>
  <c r="AE511" i="5"/>
  <c r="AE513" i="5"/>
  <c r="AE515" i="5"/>
  <c r="AE517" i="5"/>
  <c r="AE519" i="5"/>
  <c r="AE521" i="5"/>
  <c r="AE523" i="5"/>
  <c r="AE525" i="5"/>
  <c r="AE527" i="5"/>
  <c r="AE529" i="5"/>
  <c r="AE531" i="5"/>
  <c r="AE533" i="5"/>
  <c r="AE535" i="5"/>
  <c r="AE537" i="5"/>
  <c r="AE539" i="5"/>
  <c r="AE541" i="5"/>
  <c r="AE543" i="5"/>
  <c r="AE545" i="5"/>
  <c r="AE547" i="5"/>
  <c r="AE549" i="5"/>
  <c r="AE551" i="5"/>
  <c r="AE553" i="5"/>
  <c r="AE555" i="5"/>
  <c r="AE557" i="5"/>
  <c r="AE559" i="5"/>
  <c r="AE561" i="5"/>
  <c r="AE563" i="5"/>
  <c r="AE565" i="5"/>
  <c r="AE567" i="5"/>
  <c r="AE569" i="5"/>
  <c r="AE571" i="5"/>
  <c r="AE573" i="5"/>
  <c r="AE575" i="5"/>
  <c r="AE577" i="5"/>
  <c r="AE579" i="5"/>
  <c r="AE581" i="5"/>
  <c r="AE583" i="5"/>
  <c r="AE585" i="5"/>
  <c r="AE587" i="5"/>
  <c r="AE589" i="5"/>
  <c r="AE591" i="5"/>
  <c r="AE593" i="5"/>
  <c r="AE595" i="5"/>
  <c r="AE597" i="5"/>
  <c r="AE599" i="5"/>
  <c r="AE601" i="5"/>
  <c r="AE603" i="5"/>
  <c r="AE605" i="5"/>
  <c r="AE607" i="5"/>
  <c r="AE609" i="5"/>
  <c r="AE611" i="5"/>
  <c r="AE613" i="5"/>
  <c r="AE615" i="5"/>
  <c r="AE617" i="5"/>
  <c r="AE619" i="5"/>
  <c r="AE621" i="5"/>
  <c r="AE623" i="5"/>
  <c r="AE625" i="5"/>
  <c r="AE627" i="5"/>
  <c r="AE629" i="5"/>
  <c r="AE631" i="5"/>
  <c r="AE633" i="5"/>
  <c r="AE635" i="5"/>
  <c r="AE637" i="5"/>
  <c r="AE639" i="5"/>
  <c r="AE641" i="5"/>
  <c r="AE643" i="5"/>
  <c r="AE645" i="5"/>
  <c r="AE647" i="5"/>
  <c r="AE649" i="5"/>
  <c r="AE651" i="5"/>
  <c r="AE653" i="5"/>
  <c r="AE655" i="5"/>
  <c r="AE657" i="5"/>
  <c r="AE659" i="5"/>
  <c r="AE661" i="5"/>
  <c r="AE663" i="5"/>
  <c r="AE665" i="5"/>
  <c r="AE667" i="5"/>
  <c r="AE669" i="5"/>
  <c r="AE671" i="5"/>
  <c r="AE673" i="5"/>
  <c r="AE675" i="5"/>
  <c r="AE677" i="5"/>
  <c r="AE679" i="5"/>
  <c r="AE681" i="5"/>
  <c r="AE683" i="5"/>
  <c r="AE685" i="5"/>
  <c r="AE687" i="5"/>
  <c r="AE689" i="5"/>
  <c r="AE691" i="5"/>
  <c r="AE693" i="5"/>
  <c r="AE695" i="5"/>
  <c r="AE697" i="5"/>
  <c r="AE699" i="5"/>
  <c r="AE701" i="5"/>
  <c r="AE703" i="5"/>
  <c r="AE705" i="5"/>
  <c r="AE707" i="5"/>
  <c r="AE709" i="5"/>
  <c r="AE711" i="5"/>
  <c r="AE713" i="5"/>
  <c r="AE715" i="5"/>
  <c r="AE717" i="5"/>
  <c r="AE719" i="5"/>
  <c r="AE721" i="5"/>
  <c r="AE723" i="5"/>
  <c r="AE725" i="5"/>
  <c r="AE727" i="5"/>
  <c r="AE729" i="5"/>
  <c r="AE731" i="5"/>
  <c r="AE733" i="5"/>
  <c r="AE735" i="5"/>
  <c r="AE737" i="5"/>
  <c r="AE739" i="5"/>
  <c r="AE741" i="5"/>
  <c r="AE743" i="5"/>
  <c r="AE745" i="5"/>
  <c r="AE747" i="5"/>
  <c r="AE749" i="5"/>
  <c r="AE751" i="5"/>
  <c r="AE753" i="5"/>
  <c r="AE755" i="5"/>
  <c r="AE757" i="5"/>
  <c r="AE759" i="5"/>
  <c r="AE761" i="5"/>
  <c r="AE763" i="5"/>
  <c r="AE765" i="5"/>
  <c r="AE767" i="5"/>
  <c r="AE769" i="5"/>
  <c r="AE771" i="5"/>
  <c r="AE773" i="5"/>
  <c r="AE775" i="5"/>
  <c r="AE777" i="5"/>
  <c r="AE779" i="5"/>
  <c r="AE781" i="5"/>
  <c r="AE783" i="5"/>
  <c r="AE785" i="5"/>
  <c r="AE787" i="5"/>
  <c r="AE789" i="5"/>
  <c r="AE791" i="5"/>
  <c r="AE793" i="5"/>
  <c r="AE795" i="5"/>
  <c r="AE797" i="5"/>
  <c r="AE799" i="5"/>
  <c r="AE801" i="5"/>
  <c r="AE803" i="5"/>
  <c r="AE805" i="5"/>
  <c r="AE807" i="5"/>
  <c r="AE809" i="5"/>
  <c r="AE811" i="5"/>
  <c r="AE813" i="5"/>
  <c r="AE815" i="5"/>
  <c r="AE817" i="5"/>
  <c r="AE819" i="5"/>
  <c r="AE821" i="5"/>
  <c r="AE823" i="5"/>
  <c r="AE825" i="5"/>
  <c r="AE827" i="5"/>
  <c r="AE829" i="5"/>
  <c r="AE831" i="5"/>
  <c r="AE833" i="5"/>
  <c r="AE835" i="5"/>
  <c r="AE837" i="5"/>
  <c r="AE839" i="5"/>
  <c r="AE841" i="5"/>
  <c r="AE843" i="5"/>
  <c r="AE845" i="5"/>
  <c r="AE847" i="5"/>
  <c r="AE849" i="5"/>
  <c r="AE851" i="5"/>
  <c r="AE853" i="5"/>
  <c r="AE855" i="5"/>
  <c r="AE857" i="5"/>
  <c r="AE859" i="5"/>
  <c r="AE861" i="5"/>
  <c r="AE863" i="5"/>
  <c r="AE865" i="5"/>
  <c r="AE867" i="5"/>
  <c r="AE869" i="5"/>
  <c r="AE871" i="5"/>
  <c r="AE873" i="5"/>
  <c r="AE875" i="5"/>
  <c r="AE877" i="5"/>
  <c r="AE879" i="5"/>
  <c r="AE881" i="5"/>
  <c r="AE883" i="5"/>
  <c r="AE885" i="5"/>
  <c r="AE887" i="5"/>
  <c r="AE889" i="5"/>
  <c r="AE891" i="5"/>
  <c r="AE893" i="5"/>
  <c r="AE895" i="5"/>
  <c r="AE897" i="5"/>
  <c r="AE899" i="5"/>
  <c r="AE901" i="5"/>
  <c r="AE903" i="5"/>
  <c r="AE905" i="5"/>
  <c r="AE907" i="5"/>
  <c r="AE909" i="5"/>
  <c r="AE911" i="5"/>
  <c r="AE913" i="5"/>
  <c r="AE915" i="5"/>
  <c r="AE917" i="5"/>
  <c r="AE919" i="5"/>
  <c r="AE921" i="5"/>
  <c r="AE923" i="5"/>
  <c r="AE925" i="5"/>
  <c r="AE927" i="5"/>
  <c r="AE929" i="5"/>
  <c r="AE931" i="5"/>
  <c r="AE933" i="5"/>
  <c r="AE935" i="5"/>
  <c r="AE937" i="5"/>
  <c r="AE939" i="5"/>
  <c r="AE941" i="5"/>
  <c r="AE943" i="5"/>
  <c r="AE945" i="5"/>
  <c r="AE947" i="5"/>
  <c r="AE949" i="5"/>
  <c r="AE951" i="5"/>
  <c r="AE953" i="5"/>
  <c r="AE955" i="5"/>
  <c r="AE957" i="5"/>
  <c r="AE959" i="5"/>
  <c r="AE961" i="5"/>
  <c r="AE963" i="5"/>
  <c r="AE965" i="5"/>
  <c r="AE967" i="5"/>
  <c r="AE969" i="5"/>
  <c r="AE971" i="5"/>
  <c r="AE973" i="5"/>
  <c r="AE975" i="5"/>
  <c r="AE977" i="5"/>
  <c r="AE979" i="5"/>
  <c r="AE981" i="5"/>
  <c r="AE983" i="5"/>
  <c r="AE985" i="5"/>
  <c r="AE987" i="5"/>
  <c r="AE989" i="5"/>
  <c r="AE991" i="5"/>
  <c r="AE993" i="5"/>
  <c r="AE995" i="5"/>
  <c r="AE997" i="5"/>
  <c r="AE999" i="5"/>
  <c r="AE1001" i="5"/>
  <c r="AE1003" i="5"/>
  <c r="AG4" i="5" l="1"/>
  <c r="C17" i="7" s="1"/>
  <c r="D16" i="7" s="1"/>
  <c r="AG3" i="5"/>
  <c r="C18" i="7" s="1"/>
  <c r="C20" i="7" s="1"/>
  <c r="H4" i="15" s="1"/>
  <c r="I4" i="15" l="1"/>
  <c r="J4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27" i="15"/>
  <c r="H27" i="15" s="1"/>
  <c r="J27" i="15" s="1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I28" i="15"/>
  <c r="E5" i="15"/>
  <c r="C5" i="15"/>
  <c r="H28" i="15" l="1"/>
  <c r="J28" i="15" s="1"/>
  <c r="I29" i="15" l="1"/>
  <c r="H29" i="15"/>
  <c r="J29" i="15" s="1"/>
  <c r="I30" i="15" l="1"/>
  <c r="H30" i="15"/>
  <c r="J30" i="15" s="1"/>
  <c r="I31" i="15" l="1"/>
  <c r="H31" i="15"/>
  <c r="J31" i="15" s="1"/>
  <c r="I32" i="15" l="1"/>
  <c r="H32" i="15"/>
  <c r="J32" i="15" s="1"/>
  <c r="I33" i="15" l="1"/>
  <c r="H33" i="15"/>
  <c r="J33" i="15" s="1"/>
  <c r="I34" i="15" l="1"/>
  <c r="H34" i="15"/>
  <c r="J34" i="15" s="1"/>
  <c r="I35" i="15" l="1"/>
  <c r="H35" i="15"/>
  <c r="J35" i="15" s="1"/>
  <c r="I36" i="15" l="1"/>
  <c r="H36" i="15"/>
  <c r="J36" i="15" s="1"/>
  <c r="I37" i="15" l="1"/>
  <c r="H37" i="15"/>
  <c r="J37" i="15" s="1"/>
  <c r="I38" i="15" l="1"/>
  <c r="H38" i="15"/>
  <c r="J38" i="15" s="1"/>
  <c r="I39" i="15" l="1"/>
  <c r="H39" i="15"/>
  <c r="J39" i="15" s="1"/>
  <c r="I40" i="15" l="1"/>
  <c r="H40" i="15"/>
  <c r="J40" i="15" s="1"/>
  <c r="I41" i="15" l="1"/>
  <c r="H41" i="15"/>
  <c r="J41" i="15" s="1"/>
  <c r="I42" i="15" l="1"/>
  <c r="H42" i="15"/>
  <c r="J42" i="15" s="1"/>
  <c r="I43" i="15" l="1"/>
  <c r="H43" i="15"/>
  <c r="J43" i="15" s="1"/>
  <c r="I44" i="15" l="1"/>
  <c r="H44" i="15"/>
  <c r="J44" i="15" s="1"/>
  <c r="I45" i="15" l="1"/>
  <c r="H45" i="15"/>
  <c r="J45" i="15" s="1"/>
  <c r="I46" i="15" l="1"/>
  <c r="H46" i="15"/>
  <c r="J46" i="15" s="1"/>
  <c r="I47" i="15" l="1"/>
  <c r="H47" i="15"/>
  <c r="J47" i="15" s="1"/>
  <c r="I48" i="15" l="1"/>
  <c r="H48" i="15"/>
  <c r="J48" i="15" s="1"/>
  <c r="I49" i="15" l="1"/>
  <c r="H49" i="15"/>
  <c r="J49" i="15" s="1"/>
  <c r="I50" i="15" l="1"/>
  <c r="H50" i="15"/>
  <c r="J50" i="15" s="1"/>
  <c r="I51" i="15" l="1"/>
  <c r="H51" i="15"/>
  <c r="J51" i="15" s="1"/>
  <c r="I52" i="15" l="1"/>
  <c r="H52" i="15"/>
  <c r="J52" i="15" s="1"/>
  <c r="I53" i="15" l="1"/>
  <c r="H53" i="15"/>
  <c r="J53" i="15" s="1"/>
  <c r="I54" i="15" l="1"/>
  <c r="H54" i="15"/>
  <c r="J54" i="15" s="1"/>
  <c r="I55" i="15" l="1"/>
  <c r="H55" i="15"/>
  <c r="J55" i="15" s="1"/>
  <c r="I56" i="15" l="1"/>
  <c r="H56" i="15"/>
  <c r="J56" i="15" s="1"/>
  <c r="I57" i="15" l="1"/>
  <c r="H57" i="15"/>
  <c r="J57" i="15" s="1"/>
  <c r="I58" i="15" l="1"/>
  <c r="H58" i="15"/>
  <c r="J58" i="15" s="1"/>
  <c r="I59" i="15" l="1"/>
  <c r="H59" i="15"/>
  <c r="J59" i="15" s="1"/>
  <c r="I60" i="15" l="1"/>
  <c r="H60" i="15"/>
  <c r="J60" i="15" s="1"/>
  <c r="I61" i="15" l="1"/>
  <c r="H61" i="15"/>
  <c r="J61" i="15" s="1"/>
  <c r="I62" i="15" l="1"/>
  <c r="H62" i="15"/>
  <c r="J62" i="15" s="1"/>
  <c r="I63" i="15" l="1"/>
  <c r="H63" i="15"/>
  <c r="J63" i="15" s="1"/>
  <c r="I64" i="15" l="1"/>
  <c r="H64" i="15"/>
  <c r="J64" i="15" s="1"/>
  <c r="I65" i="15" l="1"/>
  <c r="H65" i="15"/>
  <c r="J65" i="15" s="1"/>
  <c r="I66" i="15" l="1"/>
  <c r="H66" i="15"/>
  <c r="J66" i="15" s="1"/>
  <c r="I67" i="15" l="1"/>
  <c r="H67" i="15"/>
  <c r="J67" i="15" s="1"/>
  <c r="I68" i="15" l="1"/>
  <c r="H68" i="15"/>
  <c r="J68" i="15" s="1"/>
  <c r="I69" i="15" l="1"/>
  <c r="H69" i="15"/>
  <c r="J69" i="15" s="1"/>
  <c r="I70" i="15" l="1"/>
  <c r="H70" i="15"/>
  <c r="J70" i="15" s="1"/>
  <c r="I71" i="15" l="1"/>
  <c r="H71" i="15"/>
  <c r="J71" i="15" s="1"/>
  <c r="I72" i="15" l="1"/>
  <c r="H72" i="15"/>
  <c r="J72" i="15" s="1"/>
  <c r="I73" i="15" l="1"/>
  <c r="H73" i="15"/>
  <c r="J73" i="15" s="1"/>
  <c r="I74" i="15" l="1"/>
  <c r="H74" i="15"/>
  <c r="J74" i="15" s="1"/>
  <c r="I75" i="15" l="1"/>
  <c r="H75" i="15"/>
  <c r="J75" i="15" s="1"/>
  <c r="I76" i="15" l="1"/>
  <c r="H76" i="15"/>
  <c r="J76" i="15" s="1"/>
  <c r="I77" i="15" l="1"/>
  <c r="H77" i="15"/>
  <c r="J77" i="15" s="1"/>
  <c r="I78" i="15" l="1"/>
  <c r="H78" i="15"/>
  <c r="J78" i="15" s="1"/>
  <c r="I79" i="15" l="1"/>
  <c r="H79" i="15"/>
  <c r="J79" i="15" s="1"/>
  <c r="I80" i="15" l="1"/>
  <c r="H80" i="15"/>
  <c r="J80" i="15" s="1"/>
  <c r="I81" i="15" l="1"/>
  <c r="H81" i="15"/>
  <c r="J81" i="15" s="1"/>
  <c r="I82" i="15" l="1"/>
  <c r="H82" i="15"/>
  <c r="J82" i="15" s="1"/>
  <c r="I83" i="15" l="1"/>
  <c r="H83" i="15"/>
  <c r="J83" i="15" s="1"/>
  <c r="I84" i="15" l="1"/>
  <c r="H84" i="15"/>
  <c r="J84" i="15" s="1"/>
  <c r="I85" i="15" l="1"/>
  <c r="H85" i="15"/>
  <c r="J85" i="15" s="1"/>
  <c r="I86" i="15" l="1"/>
  <c r="H86" i="15"/>
  <c r="J86" i="15" s="1"/>
  <c r="I87" i="15" l="1"/>
  <c r="H87" i="15"/>
  <c r="J87" i="15" s="1"/>
  <c r="I88" i="15" l="1"/>
  <c r="H88" i="15"/>
  <c r="J88" i="15" s="1"/>
  <c r="I89" i="15" l="1"/>
  <c r="H89" i="15"/>
  <c r="J89" i="15" s="1"/>
  <c r="I90" i="15" l="1"/>
  <c r="H90" i="15"/>
  <c r="J90" i="15" s="1"/>
  <c r="I91" i="15" l="1"/>
  <c r="H91" i="15"/>
  <c r="J91" i="15" s="1"/>
  <c r="I92" i="15" l="1"/>
  <c r="H92" i="15"/>
  <c r="J92" i="15" s="1"/>
  <c r="I93" i="15" l="1"/>
  <c r="H93" i="15"/>
  <c r="J93" i="15" s="1"/>
  <c r="I94" i="15" l="1"/>
  <c r="H94" i="15"/>
  <c r="J94" i="15" s="1"/>
  <c r="I95" i="15" l="1"/>
  <c r="H95" i="15"/>
  <c r="J95" i="15" s="1"/>
  <c r="I96" i="15" l="1"/>
  <c r="H96" i="15"/>
  <c r="J96" i="15" s="1"/>
  <c r="I97" i="15" l="1"/>
  <c r="H97" i="15"/>
  <c r="J97" i="15" s="1"/>
  <c r="I98" i="15" l="1"/>
  <c r="H98" i="15"/>
  <c r="J98" i="15" s="1"/>
  <c r="I99" i="15" l="1"/>
  <c r="H99" i="15"/>
  <c r="J99" i="15" s="1"/>
  <c r="I100" i="15" l="1"/>
  <c r="H100" i="15"/>
  <c r="J100" i="15" s="1"/>
  <c r="I101" i="15" l="1"/>
  <c r="H101" i="15"/>
  <c r="J101" i="15" s="1"/>
  <c r="I102" i="15" l="1"/>
  <c r="H102" i="15"/>
  <c r="J102" i="15" s="1"/>
  <c r="I103" i="15" l="1"/>
  <c r="H103" i="15"/>
  <c r="J103" i="15" s="1"/>
  <c r="I104" i="15" l="1"/>
  <c r="H104" i="15"/>
  <c r="J104" i="15" s="1"/>
  <c r="I105" i="15" l="1"/>
  <c r="H105" i="15"/>
  <c r="J105" i="15" s="1"/>
  <c r="I106" i="15" l="1"/>
  <c r="H106" i="15"/>
  <c r="J106" i="15" s="1"/>
  <c r="I107" i="15" l="1"/>
  <c r="H107" i="15"/>
  <c r="J107" i="15" s="1"/>
  <c r="I108" i="15" l="1"/>
  <c r="H108" i="15"/>
  <c r="J108" i="15" s="1"/>
  <c r="I109" i="15" l="1"/>
  <c r="H109" i="15"/>
  <c r="J109" i="15" s="1"/>
  <c r="I110" i="15" l="1"/>
  <c r="H110" i="15"/>
  <c r="J110" i="15" s="1"/>
  <c r="I111" i="15" l="1"/>
  <c r="H111" i="15"/>
  <c r="J111" i="15" s="1"/>
  <c r="I112" i="15" l="1"/>
  <c r="H112" i="15"/>
  <c r="J112" i="15" s="1"/>
  <c r="I113" i="15" l="1"/>
  <c r="H113" i="15"/>
  <c r="J113" i="15" s="1"/>
  <c r="I114" i="15" l="1"/>
  <c r="H114" i="15"/>
  <c r="J114" i="15" s="1"/>
  <c r="I115" i="15" l="1"/>
  <c r="H115" i="15"/>
  <c r="J115" i="15" s="1"/>
  <c r="I116" i="15" l="1"/>
  <c r="H116" i="15"/>
  <c r="J116" i="15" s="1"/>
  <c r="I117" i="15" l="1"/>
  <c r="H117" i="15"/>
  <c r="J117" i="15" s="1"/>
  <c r="I118" i="15" l="1"/>
  <c r="H118" i="15"/>
  <c r="J118" i="15" s="1"/>
  <c r="I119" i="15" l="1"/>
  <c r="H119" i="15"/>
  <c r="J119" i="15" s="1"/>
  <c r="I120" i="15" l="1"/>
  <c r="H120" i="15"/>
  <c r="J120" i="15" s="1"/>
  <c r="I121" i="15" l="1"/>
  <c r="H121" i="15"/>
  <c r="J121" i="15" s="1"/>
  <c r="I122" i="15" l="1"/>
  <c r="H122" i="15"/>
  <c r="J122" i="15" s="1"/>
  <c r="I123" i="15" l="1"/>
  <c r="H123" i="15"/>
  <c r="J123" i="15" s="1"/>
  <c r="I124" i="15" l="1"/>
  <c r="H124" i="15"/>
  <c r="J124" i="15" s="1"/>
  <c r="I125" i="15" l="1"/>
  <c r="H125" i="15"/>
  <c r="J125" i="15" s="1"/>
  <c r="I126" i="15" l="1"/>
  <c r="H126" i="15"/>
  <c r="J126" i="15" s="1"/>
  <c r="I127" i="15" l="1"/>
  <c r="H127" i="15"/>
  <c r="J127" i="15" s="1"/>
  <c r="I128" i="15" l="1"/>
  <c r="H128" i="15"/>
  <c r="J128" i="15" s="1"/>
  <c r="I129" i="15" l="1"/>
  <c r="H129" i="15"/>
  <c r="J129" i="15" s="1"/>
  <c r="I130" i="15" l="1"/>
  <c r="H130" i="15"/>
  <c r="J130" i="15" s="1"/>
  <c r="I131" i="15" l="1"/>
  <c r="H131" i="15"/>
  <c r="J131" i="15" s="1"/>
  <c r="I132" i="15" l="1"/>
  <c r="H132" i="15"/>
  <c r="J132" i="15" s="1"/>
  <c r="I133" i="15" l="1"/>
  <c r="H133" i="15"/>
  <c r="J133" i="15" s="1"/>
  <c r="I134" i="15" l="1"/>
  <c r="H134" i="15"/>
  <c r="J134" i="15" s="1"/>
  <c r="I135" i="15" l="1"/>
  <c r="H135" i="15"/>
  <c r="J135" i="15" s="1"/>
  <c r="I136" i="15" l="1"/>
  <c r="H136" i="15"/>
  <c r="J136" i="15" s="1"/>
  <c r="I137" i="15" l="1"/>
  <c r="H137" i="15"/>
  <c r="J137" i="15" s="1"/>
  <c r="I138" i="15" l="1"/>
  <c r="H138" i="15"/>
  <c r="J138" i="15" s="1"/>
  <c r="I139" i="15" l="1"/>
  <c r="H139" i="15"/>
  <c r="J139" i="15" s="1"/>
  <c r="I140" i="15" l="1"/>
  <c r="H140" i="15"/>
  <c r="J140" i="15" s="1"/>
  <c r="I141" i="15" l="1"/>
  <c r="H141" i="15"/>
  <c r="J141" i="15" s="1"/>
  <c r="I142" i="15" l="1"/>
  <c r="H142" i="15"/>
  <c r="J142" i="15" s="1"/>
  <c r="I143" i="15" l="1"/>
  <c r="H143" i="15"/>
  <c r="J143" i="15" s="1"/>
  <c r="I144" i="15" l="1"/>
  <c r="H144" i="15"/>
  <c r="J144" i="15" s="1"/>
  <c r="I145" i="15" l="1"/>
  <c r="H145" i="15"/>
  <c r="J145" i="15" s="1"/>
  <c r="I146" i="15" l="1"/>
  <c r="H146" i="15"/>
  <c r="J146" i="15" s="1"/>
  <c r="K4" i="15" l="1"/>
  <c r="I147" i="15"/>
  <c r="H147" i="15"/>
  <c r="J147" i="15" s="1"/>
  <c r="I148" i="15" l="1"/>
  <c r="H148" i="15"/>
  <c r="J148" i="15" s="1"/>
  <c r="L4" i="15"/>
  <c r="M4" i="15"/>
  <c r="F5" i="15"/>
  <c r="H5" i="15" s="1"/>
  <c r="D5" i="15"/>
  <c r="I149" i="15" l="1"/>
  <c r="H149" i="15"/>
  <c r="J149" i="15" s="1"/>
  <c r="K27" i="15"/>
  <c r="J5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I5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M27" i="15"/>
  <c r="I150" i="15" l="1"/>
  <c r="H150" i="15"/>
  <c r="J150" i="15" s="1"/>
  <c r="L27" i="15"/>
  <c r="N27" i="15" s="1"/>
  <c r="L28" i="15" s="1"/>
  <c r="I151" i="15" l="1"/>
  <c r="H151" i="15"/>
  <c r="J151" i="15" s="1"/>
  <c r="M28" i="15"/>
  <c r="N28" i="15" s="1"/>
  <c r="I152" i="15" l="1"/>
  <c r="H152" i="15"/>
  <c r="J152" i="15" s="1"/>
  <c r="M29" i="15"/>
  <c r="L29" i="15"/>
  <c r="N29" i="15" s="1"/>
  <c r="I153" i="15" l="1"/>
  <c r="H153" i="15"/>
  <c r="J153" i="15" s="1"/>
  <c r="M30" i="15"/>
  <c r="L30" i="15"/>
  <c r="N30" i="15" s="1"/>
  <c r="I154" i="15" l="1"/>
  <c r="H154" i="15"/>
  <c r="J154" i="15" s="1"/>
  <c r="M31" i="15"/>
  <c r="L31" i="15"/>
  <c r="N31" i="15" s="1"/>
  <c r="I155" i="15" l="1"/>
  <c r="H155" i="15"/>
  <c r="J155" i="15" s="1"/>
  <c r="M32" i="15"/>
  <c r="L32" i="15"/>
  <c r="N32" i="15" s="1"/>
  <c r="I156" i="15" l="1"/>
  <c r="H156" i="15"/>
  <c r="J156" i="15" s="1"/>
  <c r="M33" i="15"/>
  <c r="L33" i="15"/>
  <c r="N33" i="15" s="1"/>
  <c r="I157" i="15" l="1"/>
  <c r="H157" i="15"/>
  <c r="J157" i="15" s="1"/>
  <c r="M34" i="15"/>
  <c r="L34" i="15"/>
  <c r="N34" i="15" s="1"/>
  <c r="I158" i="15" l="1"/>
  <c r="H158" i="15"/>
  <c r="J158" i="15" s="1"/>
  <c r="M35" i="15"/>
  <c r="L35" i="15"/>
  <c r="N35" i="15" s="1"/>
  <c r="I159" i="15" l="1"/>
  <c r="H159" i="15"/>
  <c r="J159" i="15" s="1"/>
  <c r="M36" i="15"/>
  <c r="L36" i="15"/>
  <c r="N36" i="15" s="1"/>
  <c r="I160" i="15" l="1"/>
  <c r="H160" i="15"/>
  <c r="J160" i="15" s="1"/>
  <c r="M37" i="15"/>
  <c r="L37" i="15"/>
  <c r="N37" i="15" s="1"/>
  <c r="I161" i="15" l="1"/>
  <c r="H161" i="15"/>
  <c r="J161" i="15" s="1"/>
  <c r="M38" i="15"/>
  <c r="L38" i="15"/>
  <c r="N38" i="15" s="1"/>
  <c r="I162" i="15" l="1"/>
  <c r="H162" i="15"/>
  <c r="J162" i="15" s="1"/>
  <c r="M39" i="15"/>
  <c r="L39" i="15"/>
  <c r="N39" i="15" s="1"/>
  <c r="I163" i="15" l="1"/>
  <c r="H163" i="15"/>
  <c r="J163" i="15" s="1"/>
  <c r="M40" i="15"/>
  <c r="L40" i="15"/>
  <c r="N40" i="15" s="1"/>
  <c r="I164" i="15" l="1"/>
  <c r="H164" i="15"/>
  <c r="J164" i="15" s="1"/>
  <c r="M41" i="15"/>
  <c r="L41" i="15"/>
  <c r="N41" i="15" s="1"/>
  <c r="I165" i="15" l="1"/>
  <c r="H165" i="15"/>
  <c r="J165" i="15" s="1"/>
  <c r="M42" i="15"/>
  <c r="L42" i="15"/>
  <c r="N42" i="15" s="1"/>
  <c r="I166" i="15" l="1"/>
  <c r="H166" i="15"/>
  <c r="J166" i="15" s="1"/>
  <c r="M43" i="15"/>
  <c r="L43" i="15"/>
  <c r="N43" i="15" s="1"/>
  <c r="I167" i="15" l="1"/>
  <c r="H167" i="15"/>
  <c r="J167" i="15" s="1"/>
  <c r="M44" i="15"/>
  <c r="L44" i="15"/>
  <c r="N44" i="15" s="1"/>
  <c r="I168" i="15" l="1"/>
  <c r="H168" i="15"/>
  <c r="J168" i="15" s="1"/>
  <c r="M45" i="15"/>
  <c r="L45" i="15"/>
  <c r="N45" i="15" s="1"/>
  <c r="I169" i="15" l="1"/>
  <c r="H169" i="15"/>
  <c r="J169" i="15" s="1"/>
  <c r="M46" i="15"/>
  <c r="L46" i="15"/>
  <c r="N46" i="15" s="1"/>
  <c r="I170" i="15" l="1"/>
  <c r="H170" i="15"/>
  <c r="J170" i="15" s="1"/>
  <c r="M47" i="15"/>
  <c r="L47" i="15"/>
  <c r="N47" i="15" s="1"/>
  <c r="I171" i="15" l="1"/>
  <c r="H171" i="15"/>
  <c r="J171" i="15" s="1"/>
  <c r="M48" i="15"/>
  <c r="L48" i="15"/>
  <c r="N48" i="15" s="1"/>
  <c r="I172" i="15" l="1"/>
  <c r="H172" i="15"/>
  <c r="J172" i="15" s="1"/>
  <c r="M49" i="15"/>
  <c r="L49" i="15"/>
  <c r="N49" i="15" s="1"/>
  <c r="I173" i="15" l="1"/>
  <c r="H173" i="15"/>
  <c r="J173" i="15" s="1"/>
  <c r="M50" i="15"/>
  <c r="L50" i="15"/>
  <c r="N50" i="15" s="1"/>
  <c r="I174" i="15" l="1"/>
  <c r="H174" i="15"/>
  <c r="J174" i="15" s="1"/>
  <c r="M51" i="15"/>
  <c r="L51" i="15"/>
  <c r="N51" i="15" s="1"/>
  <c r="M52" i="15" l="1"/>
  <c r="L52" i="15"/>
  <c r="N52" i="15" s="1"/>
  <c r="I175" i="15"/>
  <c r="H175" i="15"/>
  <c r="J175" i="15" s="1"/>
  <c r="M53" i="15" l="1"/>
  <c r="L53" i="15"/>
  <c r="N53" i="15" s="1"/>
  <c r="I176" i="15"/>
  <c r="H176" i="15"/>
  <c r="J176" i="15" s="1"/>
  <c r="M54" i="15" l="1"/>
  <c r="L54" i="15"/>
  <c r="N54" i="15" s="1"/>
  <c r="I177" i="15"/>
  <c r="H177" i="15"/>
  <c r="J177" i="15" s="1"/>
  <c r="M55" i="15" l="1"/>
  <c r="L55" i="15"/>
  <c r="N55" i="15" s="1"/>
  <c r="I178" i="15"/>
  <c r="H178" i="15"/>
  <c r="J178" i="15" s="1"/>
  <c r="I179" i="15" l="1"/>
  <c r="H179" i="15"/>
  <c r="J179" i="15" s="1"/>
  <c r="M56" i="15"/>
  <c r="L56" i="15"/>
  <c r="N56" i="15" s="1"/>
  <c r="I180" i="15" l="1"/>
  <c r="H180" i="15"/>
  <c r="J180" i="15" s="1"/>
  <c r="M57" i="15"/>
  <c r="L57" i="15"/>
  <c r="N57" i="15" s="1"/>
  <c r="I181" i="15" l="1"/>
  <c r="H181" i="15"/>
  <c r="J181" i="15" s="1"/>
  <c r="M58" i="15"/>
  <c r="L58" i="15"/>
  <c r="N58" i="15" s="1"/>
  <c r="I182" i="15" l="1"/>
  <c r="H182" i="15"/>
  <c r="J182" i="15" s="1"/>
  <c r="M59" i="15"/>
  <c r="L59" i="15"/>
  <c r="N59" i="15" s="1"/>
  <c r="I183" i="15" l="1"/>
  <c r="H183" i="15"/>
  <c r="J183" i="15" s="1"/>
  <c r="M60" i="15"/>
  <c r="L60" i="15"/>
  <c r="N60" i="15" s="1"/>
  <c r="I184" i="15" l="1"/>
  <c r="H184" i="15"/>
  <c r="J184" i="15" s="1"/>
  <c r="M61" i="15"/>
  <c r="L61" i="15"/>
  <c r="N61" i="15" s="1"/>
  <c r="I185" i="15" l="1"/>
  <c r="H185" i="15"/>
  <c r="J185" i="15" s="1"/>
  <c r="M62" i="15"/>
  <c r="L62" i="15"/>
  <c r="N62" i="15" s="1"/>
  <c r="I186" i="15" l="1"/>
  <c r="H186" i="15"/>
  <c r="J186" i="15" s="1"/>
  <c r="M63" i="15"/>
  <c r="L63" i="15"/>
  <c r="N63" i="15" s="1"/>
  <c r="M64" i="15" l="1"/>
  <c r="L64" i="15"/>
  <c r="N64" i="15" s="1"/>
  <c r="I187" i="15"/>
  <c r="H187" i="15"/>
  <c r="J187" i="15" s="1"/>
  <c r="M65" i="15" l="1"/>
  <c r="L65" i="15"/>
  <c r="N65" i="15" s="1"/>
  <c r="I188" i="15"/>
  <c r="H188" i="15"/>
  <c r="J188" i="15" s="1"/>
  <c r="M66" i="15" l="1"/>
  <c r="L66" i="15"/>
  <c r="N66" i="15" s="1"/>
  <c r="I189" i="15"/>
  <c r="H189" i="15"/>
  <c r="J189" i="15" s="1"/>
  <c r="M67" i="15" l="1"/>
  <c r="L67" i="15"/>
  <c r="N67" i="15" s="1"/>
  <c r="I190" i="15"/>
  <c r="H190" i="15"/>
  <c r="J190" i="15" s="1"/>
  <c r="M68" i="15" l="1"/>
  <c r="L68" i="15"/>
  <c r="N68" i="15" s="1"/>
  <c r="I191" i="15"/>
  <c r="H191" i="15"/>
  <c r="J191" i="15" s="1"/>
  <c r="I192" i="15" l="1"/>
  <c r="H192" i="15"/>
  <c r="J192" i="15" s="1"/>
  <c r="M69" i="15"/>
  <c r="L69" i="15"/>
  <c r="N69" i="15" s="1"/>
  <c r="M70" i="15" l="1"/>
  <c r="L70" i="15"/>
  <c r="N70" i="15" s="1"/>
  <c r="I193" i="15"/>
  <c r="H193" i="15"/>
  <c r="J193" i="15" s="1"/>
  <c r="M71" i="15" l="1"/>
  <c r="L71" i="15"/>
  <c r="N71" i="15" s="1"/>
  <c r="I194" i="15"/>
  <c r="H194" i="15"/>
  <c r="J194" i="15" s="1"/>
  <c r="M72" i="15" l="1"/>
  <c r="L72" i="15"/>
  <c r="N72" i="15" s="1"/>
  <c r="I195" i="15"/>
  <c r="H195" i="15"/>
  <c r="J195" i="15" s="1"/>
  <c r="M73" i="15" l="1"/>
  <c r="L73" i="15"/>
  <c r="N73" i="15" s="1"/>
  <c r="I196" i="15"/>
  <c r="H196" i="15"/>
  <c r="J196" i="15" s="1"/>
  <c r="M74" i="15" l="1"/>
  <c r="L74" i="15"/>
  <c r="N74" i="15" s="1"/>
  <c r="I197" i="15"/>
  <c r="H197" i="15"/>
  <c r="J197" i="15" s="1"/>
  <c r="I198" i="15" l="1"/>
  <c r="H198" i="15"/>
  <c r="J198" i="15" s="1"/>
  <c r="M75" i="15"/>
  <c r="L75" i="15"/>
  <c r="N75" i="15" s="1"/>
  <c r="I199" i="15" l="1"/>
  <c r="H199" i="15"/>
  <c r="J199" i="15" s="1"/>
  <c r="M76" i="15"/>
  <c r="L76" i="15"/>
  <c r="N76" i="15" s="1"/>
  <c r="I200" i="15" l="1"/>
  <c r="H200" i="15"/>
  <c r="J200" i="15" s="1"/>
  <c r="M77" i="15"/>
  <c r="L77" i="15"/>
  <c r="N77" i="15" s="1"/>
  <c r="I201" i="15" l="1"/>
  <c r="H201" i="15"/>
  <c r="J201" i="15" s="1"/>
  <c r="M78" i="15"/>
  <c r="L78" i="15"/>
  <c r="N78" i="15" s="1"/>
  <c r="I202" i="15" l="1"/>
  <c r="H202" i="15"/>
  <c r="J202" i="15" s="1"/>
  <c r="M79" i="15"/>
  <c r="L79" i="15"/>
  <c r="N79" i="15" s="1"/>
  <c r="I203" i="15" l="1"/>
  <c r="H203" i="15"/>
  <c r="J203" i="15" s="1"/>
  <c r="M80" i="15"/>
  <c r="L80" i="15"/>
  <c r="N80" i="15" s="1"/>
  <c r="I204" i="15" l="1"/>
  <c r="H204" i="15"/>
  <c r="J204" i="15" s="1"/>
  <c r="M81" i="15"/>
  <c r="L81" i="15"/>
  <c r="N81" i="15" s="1"/>
  <c r="I205" i="15" l="1"/>
  <c r="H205" i="15"/>
  <c r="J205" i="15" s="1"/>
  <c r="M82" i="15"/>
  <c r="L82" i="15"/>
  <c r="N82" i="15" s="1"/>
  <c r="I206" i="15" l="1"/>
  <c r="H206" i="15"/>
  <c r="J206" i="15" s="1"/>
  <c r="M83" i="15"/>
  <c r="L83" i="15"/>
  <c r="N83" i="15" s="1"/>
  <c r="I207" i="15" l="1"/>
  <c r="H207" i="15"/>
  <c r="J207" i="15" s="1"/>
  <c r="M84" i="15"/>
  <c r="L84" i="15"/>
  <c r="N84" i="15" s="1"/>
  <c r="I208" i="15" l="1"/>
  <c r="H208" i="15"/>
  <c r="J208" i="15" s="1"/>
  <c r="M85" i="15"/>
  <c r="L85" i="15"/>
  <c r="N85" i="15" s="1"/>
  <c r="I209" i="15" l="1"/>
  <c r="H209" i="15"/>
  <c r="J209" i="15" s="1"/>
  <c r="M86" i="15"/>
  <c r="L86" i="15"/>
  <c r="N86" i="15" s="1"/>
  <c r="I210" i="15" l="1"/>
  <c r="H210" i="15"/>
  <c r="J210" i="15" s="1"/>
  <c r="M87" i="15"/>
  <c r="L87" i="15"/>
  <c r="N87" i="15" s="1"/>
  <c r="I211" i="15" l="1"/>
  <c r="H211" i="15"/>
  <c r="J211" i="15" s="1"/>
  <c r="M88" i="15"/>
  <c r="L88" i="15"/>
  <c r="N88" i="15" s="1"/>
  <c r="I212" i="15" l="1"/>
  <c r="H212" i="15"/>
  <c r="J212" i="15" s="1"/>
  <c r="M89" i="15"/>
  <c r="L89" i="15"/>
  <c r="N89" i="15" s="1"/>
  <c r="I213" i="15" l="1"/>
  <c r="H213" i="15"/>
  <c r="J213" i="15" s="1"/>
  <c r="M90" i="15"/>
  <c r="L90" i="15"/>
  <c r="N90" i="15" s="1"/>
  <c r="I214" i="15" l="1"/>
  <c r="H214" i="15"/>
  <c r="J214" i="15" s="1"/>
  <c r="M91" i="15"/>
  <c r="L91" i="15"/>
  <c r="N91" i="15" s="1"/>
  <c r="I215" i="15" l="1"/>
  <c r="H215" i="15"/>
  <c r="J215" i="15" s="1"/>
  <c r="M92" i="15"/>
  <c r="L92" i="15"/>
  <c r="N92" i="15" s="1"/>
  <c r="I216" i="15" l="1"/>
  <c r="H216" i="15"/>
  <c r="J216" i="15" s="1"/>
  <c r="M93" i="15"/>
  <c r="L93" i="15"/>
  <c r="N93" i="15" s="1"/>
  <c r="I217" i="15" l="1"/>
  <c r="H217" i="15"/>
  <c r="J217" i="15" s="1"/>
  <c r="M94" i="15"/>
  <c r="L94" i="15"/>
  <c r="N94" i="15" s="1"/>
  <c r="I218" i="15" l="1"/>
  <c r="H218" i="15"/>
  <c r="J218" i="15" s="1"/>
  <c r="M95" i="15"/>
  <c r="L95" i="15"/>
  <c r="N95" i="15" s="1"/>
  <c r="M96" i="15" l="1"/>
  <c r="L96" i="15"/>
  <c r="N96" i="15" s="1"/>
  <c r="I219" i="15"/>
  <c r="H219" i="15"/>
  <c r="J219" i="15" s="1"/>
  <c r="I220" i="15" l="1"/>
  <c r="H220" i="15"/>
  <c r="J220" i="15" s="1"/>
  <c r="M97" i="15"/>
  <c r="L97" i="15"/>
  <c r="N97" i="15" s="1"/>
  <c r="I221" i="15" l="1"/>
  <c r="H221" i="15"/>
  <c r="J221" i="15" s="1"/>
  <c r="M98" i="15"/>
  <c r="L98" i="15"/>
  <c r="N98" i="15" s="1"/>
  <c r="I222" i="15" l="1"/>
  <c r="H222" i="15"/>
  <c r="J222" i="15" s="1"/>
  <c r="M99" i="15"/>
  <c r="L99" i="15"/>
  <c r="N99" i="15" s="1"/>
  <c r="I223" i="15" l="1"/>
  <c r="H223" i="15"/>
  <c r="J223" i="15" s="1"/>
  <c r="M100" i="15"/>
  <c r="L100" i="15"/>
  <c r="N100" i="15" s="1"/>
  <c r="I224" i="15" l="1"/>
  <c r="H224" i="15"/>
  <c r="J224" i="15" s="1"/>
  <c r="M101" i="15"/>
  <c r="L101" i="15"/>
  <c r="N101" i="15" s="1"/>
  <c r="I225" i="15" l="1"/>
  <c r="H225" i="15"/>
  <c r="J225" i="15" s="1"/>
  <c r="M102" i="15"/>
  <c r="L102" i="15"/>
  <c r="N102" i="15" s="1"/>
  <c r="I226" i="15" l="1"/>
  <c r="H226" i="15"/>
  <c r="J226" i="15" s="1"/>
  <c r="M103" i="15"/>
  <c r="L103" i="15"/>
  <c r="N103" i="15" s="1"/>
  <c r="I227" i="15" l="1"/>
  <c r="H227" i="15"/>
  <c r="J227" i="15" s="1"/>
  <c r="M104" i="15"/>
  <c r="L104" i="15"/>
  <c r="N104" i="15" s="1"/>
  <c r="M105" i="15" l="1"/>
  <c r="L105" i="15"/>
  <c r="N105" i="15" s="1"/>
  <c r="I228" i="15"/>
  <c r="H228" i="15"/>
  <c r="J228" i="15" s="1"/>
  <c r="M106" i="15" l="1"/>
  <c r="L106" i="15"/>
  <c r="N106" i="15" s="1"/>
  <c r="I229" i="15"/>
  <c r="H229" i="15"/>
  <c r="J229" i="15" s="1"/>
  <c r="M107" i="15" l="1"/>
  <c r="L107" i="15"/>
  <c r="N107" i="15" s="1"/>
  <c r="I230" i="15"/>
  <c r="H230" i="15"/>
  <c r="J230" i="15" s="1"/>
  <c r="I231" i="15" l="1"/>
  <c r="H231" i="15"/>
  <c r="J231" i="15" s="1"/>
  <c r="M108" i="15"/>
  <c r="L108" i="15"/>
  <c r="N108" i="15" s="1"/>
  <c r="I232" i="15" l="1"/>
  <c r="H232" i="15"/>
  <c r="J232" i="15" s="1"/>
  <c r="M109" i="15"/>
  <c r="L109" i="15"/>
  <c r="N109" i="15" s="1"/>
  <c r="I233" i="15" l="1"/>
  <c r="H233" i="15"/>
  <c r="J233" i="15" s="1"/>
  <c r="M110" i="15"/>
  <c r="L110" i="15"/>
  <c r="N110" i="15" s="1"/>
  <c r="M111" i="15" l="1"/>
  <c r="L111" i="15"/>
  <c r="N111" i="15" s="1"/>
  <c r="I234" i="15"/>
  <c r="H234" i="15"/>
  <c r="J234" i="15" s="1"/>
  <c r="I235" i="15" l="1"/>
  <c r="H235" i="15"/>
  <c r="J235" i="15" s="1"/>
  <c r="M112" i="15"/>
  <c r="L112" i="15"/>
  <c r="N112" i="15" s="1"/>
  <c r="M113" i="15" l="1"/>
  <c r="L113" i="15"/>
  <c r="N113" i="15" s="1"/>
  <c r="I236" i="15"/>
  <c r="H236" i="15"/>
  <c r="J236" i="15" s="1"/>
  <c r="I237" i="15" l="1"/>
  <c r="H237" i="15"/>
  <c r="J237" i="15" s="1"/>
  <c r="M114" i="15"/>
  <c r="L114" i="15"/>
  <c r="N114" i="15" s="1"/>
  <c r="M115" i="15" l="1"/>
  <c r="L115" i="15"/>
  <c r="N115" i="15" s="1"/>
  <c r="I238" i="15"/>
  <c r="H238" i="15"/>
  <c r="J238" i="15" s="1"/>
  <c r="I239" i="15" l="1"/>
  <c r="H239" i="15"/>
  <c r="J239" i="15" s="1"/>
  <c r="M116" i="15"/>
  <c r="L116" i="15"/>
  <c r="N116" i="15" s="1"/>
  <c r="M117" i="15" l="1"/>
  <c r="L117" i="15"/>
  <c r="N117" i="15" s="1"/>
  <c r="I240" i="15"/>
  <c r="H240" i="15"/>
  <c r="J240" i="15" s="1"/>
  <c r="I241" i="15" l="1"/>
  <c r="H241" i="15"/>
  <c r="J241" i="15" s="1"/>
  <c r="M118" i="15"/>
  <c r="L118" i="15"/>
  <c r="N118" i="15" s="1"/>
  <c r="I242" i="15" l="1"/>
  <c r="H242" i="15"/>
  <c r="J242" i="15" s="1"/>
  <c r="M119" i="15"/>
  <c r="L119" i="15"/>
  <c r="N119" i="15" s="1"/>
  <c r="I243" i="15" l="1"/>
  <c r="H243" i="15"/>
  <c r="J243" i="15" s="1"/>
  <c r="M120" i="15"/>
  <c r="L120" i="15"/>
  <c r="N120" i="15" s="1"/>
  <c r="I244" i="15" l="1"/>
  <c r="H244" i="15"/>
  <c r="J244" i="15" s="1"/>
  <c r="M121" i="15"/>
  <c r="L121" i="15"/>
  <c r="N121" i="15" s="1"/>
  <c r="I245" i="15" l="1"/>
  <c r="H245" i="15"/>
  <c r="J245" i="15" s="1"/>
  <c r="M122" i="15"/>
  <c r="L122" i="15"/>
  <c r="N122" i="15" s="1"/>
  <c r="I246" i="15" l="1"/>
  <c r="H246" i="15"/>
  <c r="J246" i="15" s="1"/>
  <c r="M123" i="15"/>
  <c r="L123" i="15"/>
  <c r="N123" i="15" s="1"/>
  <c r="I247" i="15" l="1"/>
  <c r="H247" i="15"/>
  <c r="J247" i="15" s="1"/>
  <c r="M124" i="15"/>
  <c r="L124" i="15"/>
  <c r="N124" i="15" s="1"/>
  <c r="I248" i="15" l="1"/>
  <c r="H248" i="15"/>
  <c r="J248" i="15" s="1"/>
  <c r="M125" i="15"/>
  <c r="L125" i="15"/>
  <c r="N125" i="15" s="1"/>
  <c r="I249" i="15" l="1"/>
  <c r="H249" i="15"/>
  <c r="J249" i="15" s="1"/>
  <c r="M126" i="15"/>
  <c r="L126" i="15"/>
  <c r="N126" i="15" s="1"/>
  <c r="I250" i="15" l="1"/>
  <c r="H250" i="15"/>
  <c r="J250" i="15" s="1"/>
  <c r="M127" i="15"/>
  <c r="L127" i="15"/>
  <c r="N127" i="15" s="1"/>
  <c r="I251" i="15" l="1"/>
  <c r="H251" i="15"/>
  <c r="J251" i="15" s="1"/>
  <c r="M128" i="15"/>
  <c r="L128" i="15"/>
  <c r="N128" i="15" s="1"/>
  <c r="I252" i="15" l="1"/>
  <c r="H252" i="15"/>
  <c r="J252" i="15" s="1"/>
  <c r="M129" i="15"/>
  <c r="L129" i="15"/>
  <c r="N129" i="15" s="1"/>
  <c r="I253" i="15" l="1"/>
  <c r="H253" i="15"/>
  <c r="J253" i="15" s="1"/>
  <c r="M130" i="15"/>
  <c r="L130" i="15"/>
  <c r="N130" i="15" s="1"/>
  <c r="M131" i="15" l="1"/>
  <c r="L131" i="15"/>
  <c r="N131" i="15" s="1"/>
  <c r="I254" i="15"/>
  <c r="H254" i="15"/>
  <c r="J254" i="15" s="1"/>
  <c r="I255" i="15" l="1"/>
  <c r="H255" i="15"/>
  <c r="J255" i="15" s="1"/>
  <c r="M132" i="15"/>
  <c r="L132" i="15"/>
  <c r="N132" i="15" s="1"/>
  <c r="I256" i="15" l="1"/>
  <c r="H256" i="15"/>
  <c r="J256" i="15" s="1"/>
  <c r="M133" i="15"/>
  <c r="L133" i="15"/>
  <c r="N133" i="15" s="1"/>
  <c r="I257" i="15" l="1"/>
  <c r="H257" i="15"/>
  <c r="J257" i="15" s="1"/>
  <c r="M134" i="15"/>
  <c r="L134" i="15"/>
  <c r="N134" i="15" s="1"/>
  <c r="I258" i="15" l="1"/>
  <c r="H258" i="15"/>
  <c r="J258" i="15" s="1"/>
  <c r="M135" i="15"/>
  <c r="L135" i="15"/>
  <c r="N135" i="15" s="1"/>
  <c r="I259" i="15" l="1"/>
  <c r="H259" i="15"/>
  <c r="J259" i="15" s="1"/>
  <c r="M136" i="15"/>
  <c r="L136" i="15"/>
  <c r="N136" i="15" s="1"/>
  <c r="M137" i="15" l="1"/>
  <c r="L137" i="15"/>
  <c r="N137" i="15" s="1"/>
  <c r="I260" i="15"/>
  <c r="H260" i="15"/>
  <c r="J260" i="15" s="1"/>
  <c r="I261" i="15" l="1"/>
  <c r="H261" i="15"/>
  <c r="J261" i="15" s="1"/>
  <c r="M138" i="15"/>
  <c r="L138" i="15"/>
  <c r="N138" i="15" s="1"/>
  <c r="I262" i="15" l="1"/>
  <c r="H262" i="15"/>
  <c r="J262" i="15" s="1"/>
  <c r="M139" i="15"/>
  <c r="L139" i="15"/>
  <c r="N139" i="15" s="1"/>
  <c r="I263" i="15" l="1"/>
  <c r="H263" i="15"/>
  <c r="J263" i="15" s="1"/>
  <c r="M140" i="15"/>
  <c r="L140" i="15"/>
  <c r="N140" i="15" s="1"/>
  <c r="I264" i="15" l="1"/>
  <c r="H264" i="15"/>
  <c r="J264" i="15" s="1"/>
  <c r="M141" i="15"/>
  <c r="L141" i="15"/>
  <c r="N141" i="15" s="1"/>
  <c r="I265" i="15" l="1"/>
  <c r="H265" i="15"/>
  <c r="J265" i="15" s="1"/>
  <c r="M142" i="15"/>
  <c r="L142" i="15"/>
  <c r="N142" i="15" s="1"/>
  <c r="M143" i="15" l="1"/>
  <c r="L143" i="15"/>
  <c r="N143" i="15" s="1"/>
  <c r="I266" i="15"/>
  <c r="H266" i="15"/>
  <c r="J266" i="15" s="1"/>
  <c r="M144" i="15" l="1"/>
  <c r="L144" i="15"/>
  <c r="N144" i="15" s="1"/>
  <c r="I267" i="15"/>
  <c r="H267" i="15"/>
  <c r="J267" i="15" s="1"/>
  <c r="M145" i="15" l="1"/>
  <c r="L145" i="15"/>
  <c r="N145" i="15" s="1"/>
  <c r="I268" i="15"/>
  <c r="H268" i="15"/>
  <c r="J268" i="15" s="1"/>
  <c r="M146" i="15" l="1"/>
  <c r="L146" i="15"/>
  <c r="N146" i="15" s="1"/>
  <c r="I269" i="15"/>
  <c r="H269" i="15"/>
  <c r="J269" i="15" s="1"/>
  <c r="K5" i="15" l="1"/>
  <c r="M147" i="15"/>
  <c r="L147" i="15"/>
  <c r="N147" i="15" s="1"/>
  <c r="I270" i="15"/>
  <c r="H270" i="15"/>
  <c r="J270" i="15" s="1"/>
  <c r="M148" i="15" l="1"/>
  <c r="L148" i="15"/>
  <c r="N148" i="15" s="1"/>
  <c r="I271" i="15"/>
  <c r="H271" i="15"/>
  <c r="J271" i="15" s="1"/>
  <c r="H6" i="15"/>
  <c r="L5" i="15"/>
  <c r="M5" i="15"/>
  <c r="F6" i="15"/>
  <c r="E6" i="15" s="1"/>
  <c r="D6" i="15"/>
  <c r="C6" i="15" s="1"/>
  <c r="I272" i="15" l="1"/>
  <c r="H272" i="15"/>
  <c r="J272" i="15" s="1"/>
  <c r="M149" i="15"/>
  <c r="L149" i="15"/>
  <c r="N149" i="15" s="1"/>
  <c r="O27" i="15"/>
  <c r="J6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I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O701" i="15"/>
  <c r="O702" i="15"/>
  <c r="O703" i="15"/>
  <c r="O704" i="15"/>
  <c r="O705" i="15"/>
  <c r="O706" i="15"/>
  <c r="O707" i="15"/>
  <c r="O708" i="15"/>
  <c r="O709" i="15"/>
  <c r="O710" i="15"/>
  <c r="O711" i="15"/>
  <c r="O712" i="15"/>
  <c r="O713" i="15"/>
  <c r="O714" i="15"/>
  <c r="O715" i="15"/>
  <c r="O716" i="15"/>
  <c r="O717" i="15"/>
  <c r="O718" i="15"/>
  <c r="O719" i="15"/>
  <c r="O720" i="15"/>
  <c r="O721" i="15"/>
  <c r="O722" i="15"/>
  <c r="O723" i="15"/>
  <c r="O724" i="15"/>
  <c r="O725" i="15"/>
  <c r="O726" i="15"/>
  <c r="O727" i="15"/>
  <c r="O728" i="15"/>
  <c r="O729" i="15"/>
  <c r="O730" i="15"/>
  <c r="O731" i="15"/>
  <c r="O732" i="15"/>
  <c r="O733" i="15"/>
  <c r="O734" i="15"/>
  <c r="O735" i="15"/>
  <c r="O736" i="15"/>
  <c r="O737" i="15"/>
  <c r="O738" i="15"/>
  <c r="O739" i="15"/>
  <c r="O740" i="15"/>
  <c r="O741" i="15"/>
  <c r="O742" i="15"/>
  <c r="O743" i="15"/>
  <c r="O744" i="15"/>
  <c r="O745" i="15"/>
  <c r="O746" i="15"/>
  <c r="O747" i="15"/>
  <c r="O748" i="15"/>
  <c r="O749" i="15"/>
  <c r="O750" i="15"/>
  <c r="O751" i="15"/>
  <c r="O752" i="15"/>
  <c r="O753" i="15"/>
  <c r="O754" i="15"/>
  <c r="O755" i="15"/>
  <c r="O756" i="15"/>
  <c r="O757" i="15"/>
  <c r="O758" i="15"/>
  <c r="O759" i="15"/>
  <c r="O760" i="15"/>
  <c r="O761" i="15"/>
  <c r="O762" i="15"/>
  <c r="O763" i="15"/>
  <c r="O764" i="15"/>
  <c r="O765" i="15"/>
  <c r="O766" i="15"/>
  <c r="O767" i="15"/>
  <c r="O768" i="15"/>
  <c r="O769" i="15"/>
  <c r="O770" i="15"/>
  <c r="O771" i="15"/>
  <c r="O772" i="15"/>
  <c r="O773" i="15"/>
  <c r="O774" i="15"/>
  <c r="O775" i="15"/>
  <c r="O776" i="15"/>
  <c r="O777" i="15"/>
  <c r="O778" i="15"/>
  <c r="O779" i="15"/>
  <c r="O780" i="15"/>
  <c r="O781" i="15"/>
  <c r="O782" i="15"/>
  <c r="O783" i="15"/>
  <c r="O784" i="15"/>
  <c r="O785" i="15"/>
  <c r="O786" i="15"/>
  <c r="O787" i="15"/>
  <c r="O788" i="15"/>
  <c r="O789" i="15"/>
  <c r="O790" i="15"/>
  <c r="O791" i="15"/>
  <c r="O792" i="15"/>
  <c r="O793" i="15"/>
  <c r="O794" i="15"/>
  <c r="O795" i="15"/>
  <c r="O796" i="15"/>
  <c r="O797" i="15"/>
  <c r="O798" i="15"/>
  <c r="O799" i="15"/>
  <c r="O800" i="15"/>
  <c r="O801" i="15"/>
  <c r="O802" i="15"/>
  <c r="O803" i="15"/>
  <c r="O804" i="15"/>
  <c r="O805" i="15"/>
  <c r="O806" i="15"/>
  <c r="O807" i="15"/>
  <c r="O808" i="15"/>
  <c r="O809" i="15"/>
  <c r="O810" i="15"/>
  <c r="O811" i="15"/>
  <c r="O812" i="15"/>
  <c r="O813" i="15"/>
  <c r="O814" i="15"/>
  <c r="O815" i="15"/>
  <c r="O816" i="15"/>
  <c r="O817" i="15"/>
  <c r="O818" i="15"/>
  <c r="O819" i="15"/>
  <c r="O820" i="15"/>
  <c r="O821" i="15"/>
  <c r="O822" i="15"/>
  <c r="O823" i="15"/>
  <c r="O824" i="15"/>
  <c r="O825" i="15"/>
  <c r="O826" i="15"/>
  <c r="O827" i="15"/>
  <c r="O828" i="15"/>
  <c r="O829" i="15"/>
  <c r="O830" i="15"/>
  <c r="O831" i="15"/>
  <c r="O832" i="15"/>
  <c r="O833" i="15"/>
  <c r="O834" i="15"/>
  <c r="O835" i="15"/>
  <c r="O836" i="15"/>
  <c r="O837" i="15"/>
  <c r="O838" i="15"/>
  <c r="O839" i="15"/>
  <c r="O840" i="15"/>
  <c r="O841" i="15"/>
  <c r="O842" i="15"/>
  <c r="O843" i="15"/>
  <c r="O844" i="15"/>
  <c r="O845" i="15"/>
  <c r="O846" i="15"/>
  <c r="O847" i="15"/>
  <c r="O848" i="15"/>
  <c r="O849" i="15"/>
  <c r="O850" i="15"/>
  <c r="O851" i="15"/>
  <c r="O852" i="15"/>
  <c r="O853" i="15"/>
  <c r="O854" i="15"/>
  <c r="O855" i="15"/>
  <c r="O856" i="15"/>
  <c r="O857" i="15"/>
  <c r="O858" i="15"/>
  <c r="O859" i="15"/>
  <c r="O860" i="15"/>
  <c r="O861" i="15"/>
  <c r="O862" i="15"/>
  <c r="O863" i="15"/>
  <c r="O864" i="15"/>
  <c r="O865" i="15"/>
  <c r="O866" i="15"/>
  <c r="O867" i="15"/>
  <c r="O868" i="15"/>
  <c r="O869" i="15"/>
  <c r="O870" i="15"/>
  <c r="O871" i="15"/>
  <c r="O872" i="15"/>
  <c r="O873" i="15"/>
  <c r="O874" i="15"/>
  <c r="O875" i="15"/>
  <c r="O876" i="15"/>
  <c r="O877" i="15"/>
  <c r="O878" i="15"/>
  <c r="O879" i="15"/>
  <c r="O880" i="15"/>
  <c r="O881" i="15"/>
  <c r="O882" i="15"/>
  <c r="O883" i="15"/>
  <c r="O884" i="15"/>
  <c r="O885" i="15"/>
  <c r="O886" i="15"/>
  <c r="O887" i="15"/>
  <c r="O888" i="15"/>
  <c r="O889" i="15"/>
  <c r="O890" i="15"/>
  <c r="O891" i="15"/>
  <c r="O892" i="15"/>
  <c r="O893" i="15"/>
  <c r="O894" i="15"/>
  <c r="O895" i="15"/>
  <c r="O896" i="15"/>
  <c r="O897" i="15"/>
  <c r="O898" i="15"/>
  <c r="O899" i="15"/>
  <c r="O900" i="15"/>
  <c r="O901" i="15"/>
  <c r="O902" i="15"/>
  <c r="O903" i="15"/>
  <c r="O904" i="15"/>
  <c r="O905" i="15"/>
  <c r="O906" i="15"/>
  <c r="O907" i="15"/>
  <c r="O908" i="15"/>
  <c r="O909" i="15"/>
  <c r="O910" i="15"/>
  <c r="O911" i="15"/>
  <c r="O912" i="15"/>
  <c r="O913" i="15"/>
  <c r="O914" i="15"/>
  <c r="O915" i="15"/>
  <c r="O916" i="15"/>
  <c r="O917" i="15"/>
  <c r="O918" i="15"/>
  <c r="O919" i="15"/>
  <c r="O920" i="15"/>
  <c r="O921" i="15"/>
  <c r="O922" i="15"/>
  <c r="O923" i="15"/>
  <c r="O924" i="15"/>
  <c r="O925" i="15"/>
  <c r="O926" i="15"/>
  <c r="O927" i="15"/>
  <c r="O928" i="15"/>
  <c r="O929" i="15"/>
  <c r="O930" i="15"/>
  <c r="O931" i="15"/>
  <c r="O932" i="15"/>
  <c r="O933" i="15"/>
  <c r="O934" i="15"/>
  <c r="O935" i="15"/>
  <c r="O936" i="15"/>
  <c r="O937" i="15"/>
  <c r="O938" i="15"/>
  <c r="O939" i="15"/>
  <c r="O940" i="15"/>
  <c r="O941" i="15"/>
  <c r="O942" i="15"/>
  <c r="O943" i="15"/>
  <c r="O944" i="15"/>
  <c r="O945" i="15"/>
  <c r="O946" i="15"/>
  <c r="O947" i="15"/>
  <c r="O948" i="15"/>
  <c r="O949" i="15"/>
  <c r="O950" i="15"/>
  <c r="O951" i="15"/>
  <c r="O952" i="15"/>
  <c r="O953" i="15"/>
  <c r="O954" i="15"/>
  <c r="O955" i="15"/>
  <c r="O956" i="15"/>
  <c r="O957" i="15"/>
  <c r="O958" i="15"/>
  <c r="O959" i="15"/>
  <c r="O960" i="15"/>
  <c r="O961" i="15"/>
  <c r="O962" i="15"/>
  <c r="O963" i="15"/>
  <c r="O964" i="15"/>
  <c r="O965" i="15"/>
  <c r="O966" i="15"/>
  <c r="O967" i="15"/>
  <c r="O968" i="15"/>
  <c r="O969" i="15"/>
  <c r="O970" i="15"/>
  <c r="O971" i="15"/>
  <c r="O972" i="15"/>
  <c r="O973" i="15"/>
  <c r="O974" i="15"/>
  <c r="O975" i="15"/>
  <c r="O976" i="15"/>
  <c r="O977" i="15"/>
  <c r="O978" i="15"/>
  <c r="O979" i="15"/>
  <c r="O980" i="15"/>
  <c r="O981" i="15"/>
  <c r="O982" i="15"/>
  <c r="O983" i="15"/>
  <c r="O984" i="15"/>
  <c r="O985" i="15"/>
  <c r="O986" i="15"/>
  <c r="O987" i="15"/>
  <c r="O988" i="15"/>
  <c r="O989" i="15"/>
  <c r="O990" i="15"/>
  <c r="O991" i="15"/>
  <c r="O992" i="15"/>
  <c r="O993" i="15"/>
  <c r="O994" i="15"/>
  <c r="O995" i="15"/>
  <c r="O996" i="15"/>
  <c r="O997" i="15"/>
  <c r="O998" i="15"/>
  <c r="O999" i="15"/>
  <c r="O1000" i="15"/>
  <c r="O1001" i="15"/>
  <c r="O1002" i="15"/>
  <c r="O1003" i="15"/>
  <c r="O1004" i="15"/>
  <c r="O1005" i="15"/>
  <c r="O1006" i="15"/>
  <c r="O1007" i="15"/>
  <c r="O1008" i="15"/>
  <c r="O1009" i="15"/>
  <c r="O1010" i="15"/>
  <c r="O1011" i="15"/>
  <c r="O1012" i="15"/>
  <c r="O1013" i="15"/>
  <c r="O1014" i="15"/>
  <c r="O1015" i="15"/>
  <c r="O1016" i="15"/>
  <c r="O1017" i="15"/>
  <c r="O1018" i="15"/>
  <c r="O1019" i="15"/>
  <c r="O1020" i="15"/>
  <c r="O1021" i="15"/>
  <c r="O1022" i="15"/>
  <c r="O1023" i="15"/>
  <c r="O1024" i="15"/>
  <c r="O1025" i="15"/>
  <c r="O1026" i="15"/>
  <c r="O1027" i="15"/>
  <c r="Q27" i="15"/>
  <c r="M150" i="15" l="1"/>
  <c r="L150" i="15"/>
  <c r="N150" i="15" s="1"/>
  <c r="I273" i="15"/>
  <c r="H273" i="15"/>
  <c r="J273" i="15" s="1"/>
  <c r="P27" i="15"/>
  <c r="R27" i="15" s="1"/>
  <c r="M151" i="15" l="1"/>
  <c r="L151" i="15"/>
  <c r="N151" i="15" s="1"/>
  <c r="I274" i="15"/>
  <c r="H274" i="15"/>
  <c r="J274" i="15" s="1"/>
  <c r="Q28" i="15"/>
  <c r="P28" i="15"/>
  <c r="R28" i="15" s="1"/>
  <c r="Q29" i="15" l="1"/>
  <c r="P29" i="15"/>
  <c r="R29" i="15" s="1"/>
  <c r="M152" i="15"/>
  <c r="L152" i="15"/>
  <c r="N152" i="15" s="1"/>
  <c r="I275" i="15"/>
  <c r="H275" i="15"/>
  <c r="J275" i="15" s="1"/>
  <c r="I276" i="15" l="1"/>
  <c r="H276" i="15"/>
  <c r="J276" i="15" s="1"/>
  <c r="Q30" i="15"/>
  <c r="P30" i="15"/>
  <c r="R30" i="15" s="1"/>
  <c r="M153" i="15"/>
  <c r="L153" i="15"/>
  <c r="N153" i="15" s="1"/>
  <c r="M154" i="15" l="1"/>
  <c r="L154" i="15"/>
  <c r="N154" i="15" s="1"/>
  <c r="I277" i="15"/>
  <c r="H277" i="15"/>
  <c r="J277" i="15" s="1"/>
  <c r="Q31" i="15"/>
  <c r="P31" i="15"/>
  <c r="R31" i="15" s="1"/>
  <c r="Q32" i="15" l="1"/>
  <c r="P32" i="15"/>
  <c r="R32" i="15" s="1"/>
  <c r="M155" i="15"/>
  <c r="L155" i="15"/>
  <c r="N155" i="15" s="1"/>
  <c r="I278" i="15"/>
  <c r="H278" i="15"/>
  <c r="J278" i="15" s="1"/>
  <c r="I279" i="15" l="1"/>
  <c r="H279" i="15"/>
  <c r="J279" i="15" s="1"/>
  <c r="Q33" i="15"/>
  <c r="P33" i="15"/>
  <c r="R33" i="15" s="1"/>
  <c r="M156" i="15"/>
  <c r="L156" i="15"/>
  <c r="N156" i="15" s="1"/>
  <c r="M157" i="15" l="1"/>
  <c r="L157" i="15"/>
  <c r="N157" i="15" s="1"/>
  <c r="I280" i="15"/>
  <c r="H280" i="15"/>
  <c r="J280" i="15" s="1"/>
  <c r="Q34" i="15"/>
  <c r="P34" i="15"/>
  <c r="R34" i="15" s="1"/>
  <c r="Q35" i="15" l="1"/>
  <c r="P35" i="15"/>
  <c r="R35" i="15" s="1"/>
  <c r="M158" i="15"/>
  <c r="L158" i="15"/>
  <c r="N158" i="15" s="1"/>
  <c r="I281" i="15"/>
  <c r="H281" i="15"/>
  <c r="J281" i="15" s="1"/>
  <c r="I282" i="15" l="1"/>
  <c r="H282" i="15"/>
  <c r="J282" i="15" s="1"/>
  <c r="Q36" i="15"/>
  <c r="P36" i="15"/>
  <c r="R36" i="15" s="1"/>
  <c r="M159" i="15"/>
  <c r="L159" i="15"/>
  <c r="N159" i="15" s="1"/>
  <c r="M160" i="15" l="1"/>
  <c r="L160" i="15"/>
  <c r="N160" i="15" s="1"/>
  <c r="I283" i="15"/>
  <c r="H283" i="15"/>
  <c r="J283" i="15" s="1"/>
  <c r="Q37" i="15"/>
  <c r="P37" i="15"/>
  <c r="R37" i="15" s="1"/>
  <c r="Q38" i="15" l="1"/>
  <c r="P38" i="15"/>
  <c r="R38" i="15" s="1"/>
  <c r="M161" i="15"/>
  <c r="L161" i="15"/>
  <c r="N161" i="15" s="1"/>
  <c r="I284" i="15"/>
  <c r="H284" i="15"/>
  <c r="J284" i="15" s="1"/>
  <c r="I285" i="15" l="1"/>
  <c r="H285" i="15"/>
  <c r="J285" i="15" s="1"/>
  <c r="Q39" i="15"/>
  <c r="P39" i="15"/>
  <c r="R39" i="15" s="1"/>
  <c r="M162" i="15"/>
  <c r="L162" i="15"/>
  <c r="N162" i="15" s="1"/>
  <c r="M163" i="15" l="1"/>
  <c r="L163" i="15"/>
  <c r="N163" i="15" s="1"/>
  <c r="I286" i="15"/>
  <c r="H286" i="15"/>
  <c r="J286" i="15" s="1"/>
  <c r="Q40" i="15"/>
  <c r="P40" i="15"/>
  <c r="R40" i="15" s="1"/>
  <c r="Q41" i="15" l="1"/>
  <c r="P41" i="15"/>
  <c r="R41" i="15" s="1"/>
  <c r="M164" i="15"/>
  <c r="L164" i="15"/>
  <c r="N164" i="15" s="1"/>
  <c r="I287" i="15"/>
  <c r="H287" i="15"/>
  <c r="J287" i="15" s="1"/>
  <c r="I288" i="15" l="1"/>
  <c r="H288" i="15"/>
  <c r="J288" i="15" s="1"/>
  <c r="Q42" i="15"/>
  <c r="P42" i="15"/>
  <c r="R42" i="15" s="1"/>
  <c r="M165" i="15"/>
  <c r="L165" i="15"/>
  <c r="N165" i="15" s="1"/>
  <c r="M166" i="15" l="1"/>
  <c r="L166" i="15"/>
  <c r="N166" i="15" s="1"/>
  <c r="I289" i="15"/>
  <c r="H289" i="15"/>
  <c r="J289" i="15" s="1"/>
  <c r="Q43" i="15"/>
  <c r="P43" i="15"/>
  <c r="R43" i="15" s="1"/>
  <c r="Q44" i="15" l="1"/>
  <c r="P44" i="15"/>
  <c r="R44" i="15" s="1"/>
  <c r="M167" i="15"/>
  <c r="L167" i="15"/>
  <c r="N167" i="15" s="1"/>
  <c r="I290" i="15"/>
  <c r="H290" i="15"/>
  <c r="J290" i="15" s="1"/>
  <c r="I291" i="15" l="1"/>
  <c r="H291" i="15"/>
  <c r="J291" i="15" s="1"/>
  <c r="Q45" i="15"/>
  <c r="P45" i="15"/>
  <c r="R45" i="15" s="1"/>
  <c r="M168" i="15"/>
  <c r="L168" i="15"/>
  <c r="N168" i="15" s="1"/>
  <c r="M169" i="15" l="1"/>
  <c r="L169" i="15"/>
  <c r="N169" i="15" s="1"/>
  <c r="I292" i="15"/>
  <c r="H292" i="15"/>
  <c r="J292" i="15" s="1"/>
  <c r="Q46" i="15"/>
  <c r="P46" i="15"/>
  <c r="R46" i="15" s="1"/>
  <c r="Q47" i="15" l="1"/>
  <c r="P47" i="15"/>
  <c r="R47" i="15" s="1"/>
  <c r="M170" i="15"/>
  <c r="L170" i="15"/>
  <c r="N170" i="15" s="1"/>
  <c r="I293" i="15"/>
  <c r="H293" i="15"/>
  <c r="J293" i="15" s="1"/>
  <c r="I294" i="15" l="1"/>
  <c r="H294" i="15"/>
  <c r="J294" i="15" s="1"/>
  <c r="Q48" i="15"/>
  <c r="P48" i="15"/>
  <c r="R48" i="15" s="1"/>
  <c r="M171" i="15"/>
  <c r="L171" i="15"/>
  <c r="N171" i="15" s="1"/>
  <c r="M172" i="15" l="1"/>
  <c r="L172" i="15"/>
  <c r="N172" i="15" s="1"/>
  <c r="I295" i="15"/>
  <c r="H295" i="15"/>
  <c r="J295" i="15" s="1"/>
  <c r="Q49" i="15"/>
  <c r="P49" i="15"/>
  <c r="R49" i="15" s="1"/>
  <c r="M173" i="15" l="1"/>
  <c r="L173" i="15"/>
  <c r="N173" i="15" s="1"/>
  <c r="Q50" i="15"/>
  <c r="P50" i="15"/>
  <c r="R50" i="15" s="1"/>
  <c r="I296" i="15"/>
  <c r="H296" i="15"/>
  <c r="J296" i="15" s="1"/>
  <c r="I297" i="15" l="1"/>
  <c r="H297" i="15"/>
  <c r="J297" i="15" s="1"/>
  <c r="M174" i="15"/>
  <c r="L174" i="15"/>
  <c r="N174" i="15" s="1"/>
  <c r="Q51" i="15"/>
  <c r="P51" i="15"/>
  <c r="R51" i="15" s="1"/>
  <c r="Q52" i="15" l="1"/>
  <c r="P52" i="15"/>
  <c r="R52" i="15" s="1"/>
  <c r="I298" i="15"/>
  <c r="H298" i="15"/>
  <c r="J298" i="15" s="1"/>
  <c r="M175" i="15"/>
  <c r="L175" i="15"/>
  <c r="N175" i="15" s="1"/>
  <c r="M176" i="15" l="1"/>
  <c r="L176" i="15"/>
  <c r="N176" i="15" s="1"/>
  <c r="Q53" i="15"/>
  <c r="P53" i="15"/>
  <c r="R53" i="15" s="1"/>
  <c r="I299" i="15"/>
  <c r="H299" i="15"/>
  <c r="J299" i="15" s="1"/>
  <c r="I300" i="15" l="1"/>
  <c r="H300" i="15"/>
  <c r="J300" i="15" s="1"/>
  <c r="M177" i="15"/>
  <c r="L177" i="15"/>
  <c r="N177" i="15" s="1"/>
  <c r="Q54" i="15"/>
  <c r="P54" i="15"/>
  <c r="R54" i="15" s="1"/>
  <c r="Q55" i="15" l="1"/>
  <c r="P55" i="15"/>
  <c r="R55" i="15" s="1"/>
  <c r="I301" i="15"/>
  <c r="H301" i="15"/>
  <c r="J301" i="15" s="1"/>
  <c r="M178" i="15"/>
  <c r="L178" i="15"/>
  <c r="N178" i="15" s="1"/>
  <c r="M179" i="15" l="1"/>
  <c r="L179" i="15"/>
  <c r="N179" i="15" s="1"/>
  <c r="Q56" i="15"/>
  <c r="P56" i="15"/>
  <c r="R56" i="15" s="1"/>
  <c r="I302" i="15"/>
  <c r="H302" i="15"/>
  <c r="J302" i="15" s="1"/>
  <c r="I303" i="15" l="1"/>
  <c r="H303" i="15"/>
  <c r="J303" i="15" s="1"/>
  <c r="M180" i="15"/>
  <c r="L180" i="15"/>
  <c r="N180" i="15" s="1"/>
  <c r="Q57" i="15"/>
  <c r="P57" i="15"/>
  <c r="R57" i="15" s="1"/>
  <c r="Q58" i="15" l="1"/>
  <c r="P58" i="15"/>
  <c r="R58" i="15" s="1"/>
  <c r="I304" i="15"/>
  <c r="H304" i="15"/>
  <c r="J304" i="15" s="1"/>
  <c r="M181" i="15"/>
  <c r="L181" i="15"/>
  <c r="N181" i="15" s="1"/>
  <c r="M182" i="15" l="1"/>
  <c r="L182" i="15"/>
  <c r="N182" i="15" s="1"/>
  <c r="Q59" i="15"/>
  <c r="P59" i="15"/>
  <c r="R59" i="15" s="1"/>
  <c r="I305" i="15"/>
  <c r="H305" i="15"/>
  <c r="J305" i="15" s="1"/>
  <c r="I306" i="15" l="1"/>
  <c r="H306" i="15"/>
  <c r="J306" i="15" s="1"/>
  <c r="M183" i="15"/>
  <c r="L183" i="15"/>
  <c r="N183" i="15" s="1"/>
  <c r="Q60" i="15"/>
  <c r="P60" i="15"/>
  <c r="R60" i="15" s="1"/>
  <c r="Q61" i="15" l="1"/>
  <c r="P61" i="15"/>
  <c r="R61" i="15" s="1"/>
  <c r="I307" i="15"/>
  <c r="H307" i="15"/>
  <c r="J307" i="15" s="1"/>
  <c r="M184" i="15"/>
  <c r="L184" i="15"/>
  <c r="N184" i="15" s="1"/>
  <c r="M185" i="15" l="1"/>
  <c r="L185" i="15"/>
  <c r="N185" i="15" s="1"/>
  <c r="Q62" i="15"/>
  <c r="P62" i="15"/>
  <c r="R62" i="15" s="1"/>
  <c r="I308" i="15"/>
  <c r="H308" i="15"/>
  <c r="J308" i="15" s="1"/>
  <c r="I309" i="15" l="1"/>
  <c r="H309" i="15"/>
  <c r="J309" i="15" s="1"/>
  <c r="M186" i="15"/>
  <c r="L186" i="15"/>
  <c r="N186" i="15" s="1"/>
  <c r="Q63" i="15"/>
  <c r="P63" i="15"/>
  <c r="R63" i="15" s="1"/>
  <c r="Q64" i="15" l="1"/>
  <c r="P64" i="15"/>
  <c r="R64" i="15" s="1"/>
  <c r="M187" i="15"/>
  <c r="L187" i="15"/>
  <c r="N187" i="15" s="1"/>
  <c r="I310" i="15"/>
  <c r="H310" i="15"/>
  <c r="J310" i="15" s="1"/>
  <c r="I311" i="15" l="1"/>
  <c r="H311" i="15"/>
  <c r="J311" i="15" s="1"/>
  <c r="Q65" i="15"/>
  <c r="P65" i="15"/>
  <c r="R65" i="15" s="1"/>
  <c r="M188" i="15"/>
  <c r="L188" i="15"/>
  <c r="N188" i="15" s="1"/>
  <c r="M189" i="15" l="1"/>
  <c r="L189" i="15"/>
  <c r="N189" i="15" s="1"/>
  <c r="I312" i="15"/>
  <c r="H312" i="15"/>
  <c r="J312" i="15" s="1"/>
  <c r="Q66" i="15"/>
  <c r="P66" i="15"/>
  <c r="R66" i="15" s="1"/>
  <c r="Q67" i="15" l="1"/>
  <c r="P67" i="15"/>
  <c r="R67" i="15" s="1"/>
  <c r="M190" i="15"/>
  <c r="L190" i="15"/>
  <c r="N190" i="15" s="1"/>
  <c r="I313" i="15"/>
  <c r="H313" i="15"/>
  <c r="J313" i="15" s="1"/>
  <c r="I314" i="15" l="1"/>
  <c r="H314" i="15"/>
  <c r="J314" i="15" s="1"/>
  <c r="Q68" i="15"/>
  <c r="P68" i="15"/>
  <c r="R68" i="15" s="1"/>
  <c r="M191" i="15"/>
  <c r="L191" i="15"/>
  <c r="N191" i="15" s="1"/>
  <c r="M192" i="15" l="1"/>
  <c r="L192" i="15"/>
  <c r="N192" i="15" s="1"/>
  <c r="Q69" i="15"/>
  <c r="P69" i="15"/>
  <c r="R69" i="15" s="1"/>
  <c r="I315" i="15"/>
  <c r="H315" i="15"/>
  <c r="J315" i="15" s="1"/>
  <c r="I316" i="15" l="1"/>
  <c r="H316" i="15"/>
  <c r="J316" i="15" s="1"/>
  <c r="M193" i="15"/>
  <c r="L193" i="15"/>
  <c r="N193" i="15" s="1"/>
  <c r="Q70" i="15"/>
  <c r="P70" i="15"/>
  <c r="R70" i="15" s="1"/>
  <c r="Q71" i="15" l="1"/>
  <c r="P71" i="15"/>
  <c r="R71" i="15" s="1"/>
  <c r="I317" i="15"/>
  <c r="H317" i="15"/>
  <c r="J317" i="15" s="1"/>
  <c r="M194" i="15"/>
  <c r="L194" i="15"/>
  <c r="N194" i="15" s="1"/>
  <c r="M195" i="15" l="1"/>
  <c r="L195" i="15"/>
  <c r="N195" i="15" s="1"/>
  <c r="Q72" i="15"/>
  <c r="P72" i="15"/>
  <c r="R72" i="15" s="1"/>
  <c r="I318" i="15"/>
  <c r="H318" i="15"/>
  <c r="J318" i="15" s="1"/>
  <c r="I319" i="15" l="1"/>
  <c r="H319" i="15"/>
  <c r="J319" i="15" s="1"/>
  <c r="M196" i="15"/>
  <c r="L196" i="15"/>
  <c r="N196" i="15" s="1"/>
  <c r="Q73" i="15"/>
  <c r="P73" i="15"/>
  <c r="R73" i="15" s="1"/>
  <c r="Q74" i="15" l="1"/>
  <c r="P74" i="15"/>
  <c r="R74" i="15" s="1"/>
  <c r="I320" i="15"/>
  <c r="H320" i="15"/>
  <c r="J320" i="15" s="1"/>
  <c r="M197" i="15"/>
  <c r="L197" i="15"/>
  <c r="N197" i="15" s="1"/>
  <c r="M198" i="15" l="1"/>
  <c r="L198" i="15"/>
  <c r="N198" i="15" s="1"/>
  <c r="Q75" i="15"/>
  <c r="P75" i="15"/>
  <c r="R75" i="15" s="1"/>
  <c r="I321" i="15"/>
  <c r="H321" i="15"/>
  <c r="J321" i="15" s="1"/>
  <c r="I322" i="15" l="1"/>
  <c r="H322" i="15"/>
  <c r="J322" i="15" s="1"/>
  <c r="M199" i="15"/>
  <c r="L199" i="15"/>
  <c r="N199" i="15" s="1"/>
  <c r="Q76" i="15"/>
  <c r="P76" i="15"/>
  <c r="R76" i="15" s="1"/>
  <c r="Q77" i="15" l="1"/>
  <c r="P77" i="15"/>
  <c r="R77" i="15" s="1"/>
  <c r="I323" i="15"/>
  <c r="H323" i="15"/>
  <c r="J323" i="15" s="1"/>
  <c r="M200" i="15"/>
  <c r="L200" i="15"/>
  <c r="N200" i="15" s="1"/>
  <c r="M201" i="15" l="1"/>
  <c r="L201" i="15"/>
  <c r="N201" i="15" s="1"/>
  <c r="Q78" i="15"/>
  <c r="P78" i="15"/>
  <c r="R78" i="15" s="1"/>
  <c r="I324" i="15"/>
  <c r="H324" i="15"/>
  <c r="J324" i="15" s="1"/>
  <c r="I325" i="15" l="1"/>
  <c r="H325" i="15"/>
  <c r="J325" i="15" s="1"/>
  <c r="M202" i="15"/>
  <c r="L202" i="15"/>
  <c r="N202" i="15" s="1"/>
  <c r="Q79" i="15"/>
  <c r="P79" i="15"/>
  <c r="R79" i="15" s="1"/>
  <c r="Q80" i="15" l="1"/>
  <c r="P80" i="15"/>
  <c r="R80" i="15" s="1"/>
  <c r="I326" i="15"/>
  <c r="H326" i="15"/>
  <c r="J326" i="15" s="1"/>
  <c r="M203" i="15"/>
  <c r="L203" i="15"/>
  <c r="N203" i="15" s="1"/>
  <c r="I327" i="15" l="1"/>
  <c r="H327" i="15"/>
  <c r="J327" i="15" s="1"/>
  <c r="M204" i="15"/>
  <c r="L204" i="15"/>
  <c r="N204" i="15" s="1"/>
  <c r="Q81" i="15"/>
  <c r="P81" i="15"/>
  <c r="R81" i="15" s="1"/>
  <c r="Q82" i="15" l="1"/>
  <c r="P82" i="15"/>
  <c r="R82" i="15" s="1"/>
  <c r="I328" i="15"/>
  <c r="H328" i="15"/>
  <c r="J328" i="15" s="1"/>
  <c r="M205" i="15"/>
  <c r="L205" i="15"/>
  <c r="N205" i="15" s="1"/>
  <c r="M206" i="15" l="1"/>
  <c r="L206" i="15"/>
  <c r="N206" i="15" s="1"/>
  <c r="Q83" i="15"/>
  <c r="P83" i="15"/>
  <c r="R83" i="15" s="1"/>
  <c r="I329" i="15"/>
  <c r="H329" i="15"/>
  <c r="J329" i="15" s="1"/>
  <c r="Q84" i="15" l="1"/>
  <c r="P84" i="15"/>
  <c r="R84" i="15" s="1"/>
  <c r="M207" i="15"/>
  <c r="L207" i="15"/>
  <c r="N207" i="15" s="1"/>
  <c r="I330" i="15"/>
  <c r="H330" i="15"/>
  <c r="J330" i="15" s="1"/>
  <c r="I331" i="15" l="1"/>
  <c r="H331" i="15"/>
  <c r="J331" i="15" s="1"/>
  <c r="Q85" i="15"/>
  <c r="P85" i="15"/>
  <c r="R85" i="15" s="1"/>
  <c r="M208" i="15"/>
  <c r="L208" i="15"/>
  <c r="N208" i="15" s="1"/>
  <c r="M209" i="15" l="1"/>
  <c r="L209" i="15"/>
  <c r="N209" i="15" s="1"/>
  <c r="I332" i="15"/>
  <c r="H332" i="15"/>
  <c r="J332" i="15" s="1"/>
  <c r="Q86" i="15"/>
  <c r="P86" i="15"/>
  <c r="R86" i="15" s="1"/>
  <c r="Q87" i="15" l="1"/>
  <c r="P87" i="15"/>
  <c r="R87" i="15" s="1"/>
  <c r="I333" i="15"/>
  <c r="H333" i="15"/>
  <c r="J333" i="15" s="1"/>
  <c r="M210" i="15"/>
  <c r="L210" i="15"/>
  <c r="N210" i="15" s="1"/>
  <c r="I334" i="15" l="1"/>
  <c r="H334" i="15"/>
  <c r="J334" i="15" s="1"/>
  <c r="Q88" i="15"/>
  <c r="P88" i="15"/>
  <c r="R88" i="15" s="1"/>
  <c r="M211" i="15"/>
  <c r="L211" i="15"/>
  <c r="N211" i="15" s="1"/>
  <c r="M212" i="15" l="1"/>
  <c r="L212" i="15"/>
  <c r="N212" i="15" s="1"/>
  <c r="I335" i="15"/>
  <c r="H335" i="15"/>
  <c r="J335" i="15" s="1"/>
  <c r="Q89" i="15"/>
  <c r="P89" i="15"/>
  <c r="R89" i="15" s="1"/>
  <c r="Q90" i="15" l="1"/>
  <c r="P90" i="15"/>
  <c r="R90" i="15" s="1"/>
  <c r="M213" i="15"/>
  <c r="L213" i="15"/>
  <c r="N213" i="15" s="1"/>
  <c r="I336" i="15"/>
  <c r="H336" i="15"/>
  <c r="J336" i="15" s="1"/>
  <c r="I337" i="15" l="1"/>
  <c r="H337" i="15"/>
  <c r="J337" i="15" s="1"/>
  <c r="Q91" i="15"/>
  <c r="P91" i="15"/>
  <c r="R91" i="15" s="1"/>
  <c r="M214" i="15"/>
  <c r="L214" i="15"/>
  <c r="N214" i="15" s="1"/>
  <c r="M215" i="15" l="1"/>
  <c r="L215" i="15"/>
  <c r="N215" i="15" s="1"/>
  <c r="I338" i="15"/>
  <c r="H338" i="15"/>
  <c r="J338" i="15" s="1"/>
  <c r="Q92" i="15"/>
  <c r="P92" i="15"/>
  <c r="R92" i="15" s="1"/>
  <c r="Q93" i="15" l="1"/>
  <c r="P93" i="15"/>
  <c r="R93" i="15" s="1"/>
  <c r="M216" i="15"/>
  <c r="L216" i="15"/>
  <c r="N216" i="15" s="1"/>
  <c r="I339" i="15"/>
  <c r="H339" i="15"/>
  <c r="J339" i="15" s="1"/>
  <c r="I340" i="15" l="1"/>
  <c r="H340" i="15"/>
  <c r="J340" i="15" s="1"/>
  <c r="Q94" i="15"/>
  <c r="P94" i="15"/>
  <c r="R94" i="15" s="1"/>
  <c r="M217" i="15"/>
  <c r="L217" i="15"/>
  <c r="N217" i="15" s="1"/>
  <c r="M218" i="15" l="1"/>
  <c r="L218" i="15"/>
  <c r="N218" i="15" s="1"/>
  <c r="I341" i="15"/>
  <c r="H341" i="15"/>
  <c r="J341" i="15" s="1"/>
  <c r="Q95" i="15"/>
  <c r="P95" i="15"/>
  <c r="R95" i="15" s="1"/>
  <c r="Q96" i="15" l="1"/>
  <c r="P96" i="15"/>
  <c r="R96" i="15" s="1"/>
  <c r="M219" i="15"/>
  <c r="L219" i="15"/>
  <c r="N219" i="15" s="1"/>
  <c r="I342" i="15"/>
  <c r="H342" i="15"/>
  <c r="J342" i="15" s="1"/>
  <c r="I343" i="15" l="1"/>
  <c r="H343" i="15"/>
  <c r="J343" i="15" s="1"/>
  <c r="Q97" i="15"/>
  <c r="P97" i="15"/>
  <c r="R97" i="15" s="1"/>
  <c r="M220" i="15"/>
  <c r="L220" i="15"/>
  <c r="N220" i="15" s="1"/>
  <c r="M221" i="15" l="1"/>
  <c r="L221" i="15"/>
  <c r="N221" i="15" s="1"/>
  <c r="I344" i="15"/>
  <c r="H344" i="15"/>
  <c r="J344" i="15" s="1"/>
  <c r="Q98" i="15"/>
  <c r="P98" i="15"/>
  <c r="R98" i="15" s="1"/>
  <c r="Q99" i="15" l="1"/>
  <c r="P99" i="15"/>
  <c r="R99" i="15" s="1"/>
  <c r="M222" i="15"/>
  <c r="L222" i="15"/>
  <c r="N222" i="15" s="1"/>
  <c r="I345" i="15"/>
  <c r="H345" i="15"/>
  <c r="J345" i="15" s="1"/>
  <c r="M223" i="15" l="1"/>
  <c r="L223" i="15"/>
  <c r="N223" i="15" s="1"/>
  <c r="Q100" i="15"/>
  <c r="P100" i="15"/>
  <c r="R100" i="15" s="1"/>
  <c r="I346" i="15"/>
  <c r="H346" i="15"/>
  <c r="J346" i="15" s="1"/>
  <c r="I347" i="15" l="1"/>
  <c r="H347" i="15"/>
  <c r="J347" i="15" s="1"/>
  <c r="M224" i="15"/>
  <c r="L224" i="15"/>
  <c r="N224" i="15" s="1"/>
  <c r="Q101" i="15"/>
  <c r="P101" i="15"/>
  <c r="R101" i="15" s="1"/>
  <c r="Q102" i="15" l="1"/>
  <c r="P102" i="15"/>
  <c r="R102" i="15" s="1"/>
  <c r="I348" i="15"/>
  <c r="H348" i="15"/>
  <c r="J348" i="15" s="1"/>
  <c r="M225" i="15"/>
  <c r="L225" i="15"/>
  <c r="N225" i="15" s="1"/>
  <c r="M226" i="15" l="1"/>
  <c r="L226" i="15"/>
  <c r="N226" i="15" s="1"/>
  <c r="I349" i="15"/>
  <c r="H349" i="15"/>
  <c r="J349" i="15" s="1"/>
  <c r="Q103" i="15"/>
  <c r="P103" i="15"/>
  <c r="R103" i="15" s="1"/>
  <c r="Q104" i="15" l="1"/>
  <c r="P104" i="15"/>
  <c r="R104" i="15" s="1"/>
  <c r="M227" i="15"/>
  <c r="L227" i="15"/>
  <c r="N227" i="15" s="1"/>
  <c r="I350" i="15"/>
  <c r="H350" i="15"/>
  <c r="J350" i="15" s="1"/>
  <c r="I351" i="15" l="1"/>
  <c r="H351" i="15"/>
  <c r="J351" i="15" s="1"/>
  <c r="Q105" i="15"/>
  <c r="P105" i="15"/>
  <c r="R105" i="15" s="1"/>
  <c r="M228" i="15"/>
  <c r="L228" i="15"/>
  <c r="N228" i="15" s="1"/>
  <c r="M229" i="15" l="1"/>
  <c r="L229" i="15"/>
  <c r="N229" i="15" s="1"/>
  <c r="I352" i="15"/>
  <c r="H352" i="15"/>
  <c r="J352" i="15" s="1"/>
  <c r="Q106" i="15"/>
  <c r="P106" i="15"/>
  <c r="R106" i="15" s="1"/>
  <c r="Q107" i="15" l="1"/>
  <c r="P107" i="15"/>
  <c r="R107" i="15" s="1"/>
  <c r="M230" i="15"/>
  <c r="L230" i="15"/>
  <c r="N230" i="15" s="1"/>
  <c r="I353" i="15"/>
  <c r="H353" i="15"/>
  <c r="J353" i="15" s="1"/>
  <c r="I354" i="15" l="1"/>
  <c r="H354" i="15"/>
  <c r="J354" i="15" s="1"/>
  <c r="Q108" i="15"/>
  <c r="P108" i="15"/>
  <c r="R108" i="15" s="1"/>
  <c r="M231" i="15"/>
  <c r="L231" i="15"/>
  <c r="N231" i="15" s="1"/>
  <c r="M232" i="15" l="1"/>
  <c r="L232" i="15"/>
  <c r="N232" i="15" s="1"/>
  <c r="I355" i="15"/>
  <c r="H355" i="15"/>
  <c r="J355" i="15" s="1"/>
  <c r="Q109" i="15"/>
  <c r="P109" i="15"/>
  <c r="R109" i="15" s="1"/>
  <c r="Q110" i="15" l="1"/>
  <c r="P110" i="15"/>
  <c r="R110" i="15" s="1"/>
  <c r="M233" i="15"/>
  <c r="L233" i="15"/>
  <c r="N233" i="15" s="1"/>
  <c r="I356" i="15"/>
  <c r="H356" i="15"/>
  <c r="J356" i="15" s="1"/>
  <c r="I357" i="15" l="1"/>
  <c r="H357" i="15"/>
  <c r="J357" i="15" s="1"/>
  <c r="Q111" i="15"/>
  <c r="P111" i="15"/>
  <c r="R111" i="15" s="1"/>
  <c r="M234" i="15"/>
  <c r="L234" i="15"/>
  <c r="N234" i="15" s="1"/>
  <c r="M235" i="15" l="1"/>
  <c r="L235" i="15"/>
  <c r="N235" i="15" s="1"/>
  <c r="I358" i="15"/>
  <c r="H358" i="15"/>
  <c r="J358" i="15" s="1"/>
  <c r="Q112" i="15"/>
  <c r="P112" i="15"/>
  <c r="R112" i="15" s="1"/>
  <c r="Q113" i="15" l="1"/>
  <c r="P113" i="15"/>
  <c r="R113" i="15" s="1"/>
  <c r="M236" i="15"/>
  <c r="L236" i="15"/>
  <c r="N236" i="15" s="1"/>
  <c r="I359" i="15"/>
  <c r="H359" i="15"/>
  <c r="J359" i="15" s="1"/>
  <c r="M237" i="15" l="1"/>
  <c r="L237" i="15"/>
  <c r="N237" i="15" s="1"/>
  <c r="I360" i="15"/>
  <c r="H360" i="15"/>
  <c r="J360" i="15" s="1"/>
  <c r="Q114" i="15"/>
  <c r="P114" i="15"/>
  <c r="R114" i="15" s="1"/>
  <c r="Q115" i="15" l="1"/>
  <c r="P115" i="15"/>
  <c r="R115" i="15" s="1"/>
  <c r="M238" i="15"/>
  <c r="L238" i="15"/>
  <c r="N238" i="15" s="1"/>
  <c r="I361" i="15"/>
  <c r="H361" i="15"/>
  <c r="J361" i="15" s="1"/>
  <c r="I362" i="15" l="1"/>
  <c r="H362" i="15"/>
  <c r="J362" i="15" s="1"/>
  <c r="Q116" i="15"/>
  <c r="P116" i="15"/>
  <c r="R116" i="15" s="1"/>
  <c r="M239" i="15"/>
  <c r="L239" i="15"/>
  <c r="N239" i="15" s="1"/>
  <c r="Q117" i="15" l="1"/>
  <c r="P117" i="15"/>
  <c r="R117" i="15" s="1"/>
  <c r="I363" i="15"/>
  <c r="H363" i="15"/>
  <c r="J363" i="15" s="1"/>
  <c r="M240" i="15"/>
  <c r="L240" i="15"/>
  <c r="N240" i="15" s="1"/>
  <c r="M241" i="15" l="1"/>
  <c r="L241" i="15"/>
  <c r="N241" i="15" s="1"/>
  <c r="Q118" i="15"/>
  <c r="P118" i="15"/>
  <c r="R118" i="15" s="1"/>
  <c r="I364" i="15"/>
  <c r="H364" i="15"/>
  <c r="J364" i="15" s="1"/>
  <c r="I365" i="15" l="1"/>
  <c r="H365" i="15"/>
  <c r="J365" i="15" s="1"/>
  <c r="M242" i="15"/>
  <c r="L242" i="15"/>
  <c r="N242" i="15" s="1"/>
  <c r="Q119" i="15"/>
  <c r="P119" i="15"/>
  <c r="R119" i="15" s="1"/>
  <c r="Q120" i="15" l="1"/>
  <c r="P120" i="15"/>
  <c r="R120" i="15" s="1"/>
  <c r="I366" i="15"/>
  <c r="H366" i="15"/>
  <c r="J366" i="15" s="1"/>
  <c r="M243" i="15"/>
  <c r="L243" i="15"/>
  <c r="N243" i="15" s="1"/>
  <c r="M244" i="15" l="1"/>
  <c r="L244" i="15"/>
  <c r="N244" i="15" s="1"/>
  <c r="Q121" i="15"/>
  <c r="P121" i="15"/>
  <c r="R121" i="15" s="1"/>
  <c r="I367" i="15"/>
  <c r="H367" i="15"/>
  <c r="J367" i="15" s="1"/>
  <c r="I368" i="15" l="1"/>
  <c r="H368" i="15"/>
  <c r="J368" i="15" s="1"/>
  <c r="M245" i="15"/>
  <c r="L245" i="15"/>
  <c r="N245" i="15" s="1"/>
  <c r="Q122" i="15"/>
  <c r="P122" i="15"/>
  <c r="R122" i="15" s="1"/>
  <c r="Q123" i="15" l="1"/>
  <c r="P123" i="15"/>
  <c r="R123" i="15" s="1"/>
  <c r="I369" i="15"/>
  <c r="H369" i="15"/>
  <c r="J369" i="15" s="1"/>
  <c r="M246" i="15"/>
  <c r="L246" i="15"/>
  <c r="N246" i="15" s="1"/>
  <c r="M247" i="15" l="1"/>
  <c r="L247" i="15"/>
  <c r="N247" i="15" s="1"/>
  <c r="I370" i="15"/>
  <c r="H370" i="15"/>
  <c r="J370" i="15" s="1"/>
  <c r="Q124" i="15"/>
  <c r="P124" i="15"/>
  <c r="R124" i="15" s="1"/>
  <c r="Q125" i="15" l="1"/>
  <c r="P125" i="15"/>
  <c r="R125" i="15" s="1"/>
  <c r="I371" i="15"/>
  <c r="H371" i="15"/>
  <c r="J371" i="15" s="1"/>
  <c r="M248" i="15"/>
  <c r="L248" i="15"/>
  <c r="N248" i="15" s="1"/>
  <c r="M249" i="15" l="1"/>
  <c r="L249" i="15"/>
  <c r="N249" i="15" s="1"/>
  <c r="Q126" i="15"/>
  <c r="P126" i="15"/>
  <c r="R126" i="15" s="1"/>
  <c r="I372" i="15"/>
  <c r="H372" i="15"/>
  <c r="J372" i="15" s="1"/>
  <c r="I373" i="15" l="1"/>
  <c r="H373" i="15"/>
  <c r="J373" i="15" s="1"/>
  <c r="M250" i="15"/>
  <c r="L250" i="15"/>
  <c r="N250" i="15" s="1"/>
  <c r="Q127" i="15"/>
  <c r="P127" i="15"/>
  <c r="R127" i="15" s="1"/>
  <c r="Q128" i="15" l="1"/>
  <c r="P128" i="15"/>
  <c r="R128" i="15" s="1"/>
  <c r="I374" i="15"/>
  <c r="H374" i="15"/>
  <c r="J374" i="15" s="1"/>
  <c r="M251" i="15"/>
  <c r="L251" i="15"/>
  <c r="N251" i="15" s="1"/>
  <c r="M252" i="15" l="1"/>
  <c r="L252" i="15"/>
  <c r="N252" i="15" s="1"/>
  <c r="Q129" i="15"/>
  <c r="P129" i="15"/>
  <c r="R129" i="15" s="1"/>
  <c r="I375" i="15"/>
  <c r="H375" i="15"/>
  <c r="J375" i="15" s="1"/>
  <c r="I376" i="15" l="1"/>
  <c r="H376" i="15"/>
  <c r="J376" i="15" s="1"/>
  <c r="M253" i="15"/>
  <c r="L253" i="15"/>
  <c r="N253" i="15" s="1"/>
  <c r="Q130" i="15"/>
  <c r="P130" i="15"/>
  <c r="R130" i="15" s="1"/>
  <c r="Q131" i="15" l="1"/>
  <c r="P131" i="15"/>
  <c r="R131" i="15" s="1"/>
  <c r="I377" i="15"/>
  <c r="H377" i="15"/>
  <c r="J377" i="15" s="1"/>
  <c r="M254" i="15"/>
  <c r="L254" i="15"/>
  <c r="N254" i="15" s="1"/>
  <c r="M255" i="15" l="1"/>
  <c r="L255" i="15"/>
  <c r="N255" i="15" s="1"/>
  <c r="Q132" i="15"/>
  <c r="P132" i="15"/>
  <c r="R132" i="15" s="1"/>
  <c r="I378" i="15"/>
  <c r="H378" i="15"/>
  <c r="J378" i="15" s="1"/>
  <c r="I379" i="15" l="1"/>
  <c r="H379" i="15"/>
  <c r="J379" i="15" s="1"/>
  <c r="Q133" i="15"/>
  <c r="P133" i="15"/>
  <c r="R133" i="15" s="1"/>
  <c r="M256" i="15"/>
  <c r="L256" i="15"/>
  <c r="N256" i="15" s="1"/>
  <c r="M257" i="15" l="1"/>
  <c r="L257" i="15"/>
  <c r="N257" i="15" s="1"/>
  <c r="I380" i="15"/>
  <c r="H380" i="15"/>
  <c r="J380" i="15" s="1"/>
  <c r="Q134" i="15"/>
  <c r="P134" i="15"/>
  <c r="R134" i="15" s="1"/>
  <c r="Q135" i="15" l="1"/>
  <c r="P135" i="15"/>
  <c r="R135" i="15" s="1"/>
  <c r="I381" i="15"/>
  <c r="H381" i="15"/>
  <c r="J381" i="15" s="1"/>
  <c r="M258" i="15"/>
  <c r="L258" i="15"/>
  <c r="N258" i="15" s="1"/>
  <c r="M259" i="15" l="1"/>
  <c r="L259" i="15"/>
  <c r="N259" i="15" s="1"/>
  <c r="Q136" i="15"/>
  <c r="P136" i="15"/>
  <c r="R136" i="15" s="1"/>
  <c r="I382" i="15"/>
  <c r="H382" i="15"/>
  <c r="J382" i="15" s="1"/>
  <c r="I383" i="15" l="1"/>
  <c r="H383" i="15"/>
  <c r="J383" i="15" s="1"/>
  <c r="M260" i="15"/>
  <c r="L260" i="15"/>
  <c r="N260" i="15" s="1"/>
  <c r="Q137" i="15"/>
  <c r="P137" i="15"/>
  <c r="R137" i="15" s="1"/>
  <c r="Q138" i="15" l="1"/>
  <c r="P138" i="15"/>
  <c r="R138" i="15" s="1"/>
  <c r="I384" i="15"/>
  <c r="H384" i="15"/>
  <c r="J384" i="15" s="1"/>
  <c r="M261" i="15"/>
  <c r="L261" i="15"/>
  <c r="N261" i="15" s="1"/>
  <c r="M262" i="15" l="1"/>
  <c r="L262" i="15"/>
  <c r="N262" i="15" s="1"/>
  <c r="I385" i="15"/>
  <c r="H385" i="15"/>
  <c r="J385" i="15" s="1"/>
  <c r="Q139" i="15"/>
  <c r="P139" i="15"/>
  <c r="R139" i="15" s="1"/>
  <c r="Q140" i="15" l="1"/>
  <c r="P140" i="15"/>
  <c r="R140" i="15" s="1"/>
  <c r="I386" i="15"/>
  <c r="H386" i="15"/>
  <c r="J386" i="15" s="1"/>
  <c r="M263" i="15"/>
  <c r="L263" i="15"/>
  <c r="N263" i="15" s="1"/>
  <c r="M264" i="15" l="1"/>
  <c r="L264" i="15"/>
  <c r="N264" i="15" s="1"/>
  <c r="Q141" i="15"/>
  <c r="P141" i="15"/>
  <c r="R141" i="15" s="1"/>
  <c r="I387" i="15"/>
  <c r="H387" i="15"/>
  <c r="J387" i="15" s="1"/>
  <c r="I388" i="15" l="1"/>
  <c r="H388" i="15"/>
  <c r="J388" i="15" s="1"/>
  <c r="M265" i="15"/>
  <c r="L265" i="15"/>
  <c r="N265" i="15" s="1"/>
  <c r="Q142" i="15"/>
  <c r="P142" i="15"/>
  <c r="R142" i="15" s="1"/>
  <c r="Q143" i="15" l="1"/>
  <c r="P143" i="15"/>
  <c r="R143" i="15" s="1"/>
  <c r="I389" i="15"/>
  <c r="H389" i="15"/>
  <c r="J389" i="15" s="1"/>
  <c r="M266" i="15"/>
  <c r="L266" i="15"/>
  <c r="N266" i="15" s="1"/>
  <c r="I390" i="15" l="1"/>
  <c r="H390" i="15"/>
  <c r="J390" i="15" s="1"/>
  <c r="Q144" i="15"/>
  <c r="P144" i="15"/>
  <c r="R144" i="15" s="1"/>
  <c r="M267" i="15"/>
  <c r="L267" i="15"/>
  <c r="N267" i="15" s="1"/>
  <c r="M268" i="15" l="1"/>
  <c r="L268" i="15"/>
  <c r="N268" i="15" s="1"/>
  <c r="I391" i="15"/>
  <c r="H391" i="15"/>
  <c r="J391" i="15" s="1"/>
  <c r="Q145" i="15"/>
  <c r="P145" i="15"/>
  <c r="R145" i="15" s="1"/>
  <c r="Q146" i="15" l="1"/>
  <c r="P146" i="15"/>
  <c r="R146" i="15" s="1"/>
  <c r="M269" i="15"/>
  <c r="L269" i="15"/>
  <c r="N269" i="15" s="1"/>
  <c r="I392" i="15"/>
  <c r="H392" i="15"/>
  <c r="J392" i="15" s="1"/>
  <c r="I393" i="15" l="1"/>
  <c r="H393" i="15"/>
  <c r="J393" i="15" s="1"/>
  <c r="K6" i="15"/>
  <c r="Q147" i="15"/>
  <c r="P147" i="15"/>
  <c r="R147" i="15" s="1"/>
  <c r="M270" i="15"/>
  <c r="L270" i="15"/>
  <c r="N270" i="15" s="1"/>
  <c r="I394" i="15" l="1"/>
  <c r="H394" i="15"/>
  <c r="J394" i="15" s="1"/>
  <c r="M271" i="15"/>
  <c r="L271" i="15"/>
  <c r="N271" i="15" s="1"/>
  <c r="Q148" i="15"/>
  <c r="P148" i="15"/>
  <c r="R148" i="15" s="1"/>
  <c r="H7" i="15"/>
  <c r="L6" i="15"/>
  <c r="M6" i="15"/>
  <c r="F7" i="15"/>
  <c r="E7" i="15" s="1"/>
  <c r="D7" i="15"/>
  <c r="C7" i="15" s="1"/>
  <c r="Q149" i="15" l="1"/>
  <c r="P149" i="15"/>
  <c r="R149" i="15" s="1"/>
  <c r="I395" i="15"/>
  <c r="H395" i="15"/>
  <c r="J395" i="15" s="1"/>
  <c r="M272" i="15"/>
  <c r="L272" i="15"/>
  <c r="N272" i="15" s="1"/>
  <c r="S27" i="15"/>
  <c r="J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I7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S506" i="15"/>
  <c r="S507" i="15"/>
  <c r="S508" i="15"/>
  <c r="S509" i="15"/>
  <c r="S510" i="15"/>
  <c r="S511" i="15"/>
  <c r="S512" i="15"/>
  <c r="S513" i="15"/>
  <c r="S514" i="15"/>
  <c r="S515" i="15"/>
  <c r="S516" i="15"/>
  <c r="S517" i="15"/>
  <c r="S518" i="15"/>
  <c r="S519" i="15"/>
  <c r="S520" i="15"/>
  <c r="S521" i="15"/>
  <c r="S522" i="15"/>
  <c r="S523" i="15"/>
  <c r="S524" i="15"/>
  <c r="S525" i="15"/>
  <c r="S526" i="15"/>
  <c r="S527" i="15"/>
  <c r="S528" i="15"/>
  <c r="S529" i="15"/>
  <c r="S530" i="15"/>
  <c r="S531" i="15"/>
  <c r="S532" i="15"/>
  <c r="S533" i="15"/>
  <c r="S534" i="15"/>
  <c r="S535" i="15"/>
  <c r="S536" i="15"/>
  <c r="S537" i="15"/>
  <c r="S538" i="15"/>
  <c r="S539" i="15"/>
  <c r="S540" i="15"/>
  <c r="S541" i="15"/>
  <c r="S542" i="15"/>
  <c r="S543" i="15"/>
  <c r="S544" i="15"/>
  <c r="S545" i="15"/>
  <c r="S546" i="15"/>
  <c r="S547" i="15"/>
  <c r="S548" i="15"/>
  <c r="S549" i="15"/>
  <c r="S550" i="15"/>
  <c r="S551" i="15"/>
  <c r="S552" i="15"/>
  <c r="S553" i="15"/>
  <c r="S554" i="15"/>
  <c r="S555" i="15"/>
  <c r="S556" i="15"/>
  <c r="S557" i="15"/>
  <c r="S558" i="15"/>
  <c r="S559" i="15"/>
  <c r="S560" i="15"/>
  <c r="S561" i="15"/>
  <c r="S562" i="15"/>
  <c r="S563" i="15"/>
  <c r="S564" i="15"/>
  <c r="S565" i="15"/>
  <c r="S566" i="15"/>
  <c r="S567" i="15"/>
  <c r="S568" i="15"/>
  <c r="S569" i="15"/>
  <c r="S570" i="15"/>
  <c r="S571" i="15"/>
  <c r="S572" i="15"/>
  <c r="S573" i="15"/>
  <c r="S574" i="15"/>
  <c r="S575" i="15"/>
  <c r="S576" i="15"/>
  <c r="S577" i="15"/>
  <c r="S578" i="15"/>
  <c r="S579" i="15"/>
  <c r="S580" i="15"/>
  <c r="S581" i="15"/>
  <c r="S582" i="15"/>
  <c r="S583" i="15"/>
  <c r="S584" i="15"/>
  <c r="S585" i="15"/>
  <c r="S586" i="15"/>
  <c r="S587" i="15"/>
  <c r="S588" i="15"/>
  <c r="S589" i="15"/>
  <c r="S590" i="15"/>
  <c r="S591" i="15"/>
  <c r="S592" i="15"/>
  <c r="S593" i="15"/>
  <c r="S594" i="15"/>
  <c r="S595" i="15"/>
  <c r="S596" i="15"/>
  <c r="S597" i="15"/>
  <c r="S598" i="15"/>
  <c r="S599" i="15"/>
  <c r="S600" i="15"/>
  <c r="S601" i="15"/>
  <c r="S602" i="15"/>
  <c r="S603" i="15"/>
  <c r="S604" i="15"/>
  <c r="S605" i="15"/>
  <c r="S606" i="15"/>
  <c r="S607" i="15"/>
  <c r="S608" i="15"/>
  <c r="S609" i="15"/>
  <c r="S610" i="15"/>
  <c r="S611" i="15"/>
  <c r="S612" i="15"/>
  <c r="S613" i="15"/>
  <c r="S614" i="15"/>
  <c r="S615" i="15"/>
  <c r="S616" i="15"/>
  <c r="S617" i="15"/>
  <c r="S618" i="15"/>
  <c r="S619" i="15"/>
  <c r="S620" i="15"/>
  <c r="S621" i="15"/>
  <c r="S622" i="15"/>
  <c r="S623" i="15"/>
  <c r="S624" i="15"/>
  <c r="S625" i="15"/>
  <c r="S626" i="15"/>
  <c r="S627" i="15"/>
  <c r="S628" i="15"/>
  <c r="S629" i="15"/>
  <c r="S630" i="15"/>
  <c r="S631" i="15"/>
  <c r="S632" i="15"/>
  <c r="S633" i="15"/>
  <c r="S634" i="15"/>
  <c r="S635" i="15"/>
  <c r="S636" i="15"/>
  <c r="S637" i="15"/>
  <c r="S638" i="15"/>
  <c r="S639" i="15"/>
  <c r="S640" i="15"/>
  <c r="S641" i="15"/>
  <c r="S642" i="15"/>
  <c r="S643" i="15"/>
  <c r="S644" i="15"/>
  <c r="S645" i="15"/>
  <c r="S646" i="15"/>
  <c r="S647" i="15"/>
  <c r="S648" i="15"/>
  <c r="S649" i="15"/>
  <c r="S650" i="15"/>
  <c r="S651" i="15"/>
  <c r="S652" i="15"/>
  <c r="S653" i="15"/>
  <c r="S654" i="15"/>
  <c r="S655" i="15"/>
  <c r="S656" i="15"/>
  <c r="S657" i="15"/>
  <c r="S658" i="15"/>
  <c r="S659" i="15"/>
  <c r="S660" i="15"/>
  <c r="S661" i="15"/>
  <c r="S662" i="15"/>
  <c r="S663" i="15"/>
  <c r="S664" i="15"/>
  <c r="S665" i="15"/>
  <c r="S666" i="15"/>
  <c r="S667" i="15"/>
  <c r="S668" i="15"/>
  <c r="S669" i="15"/>
  <c r="S670" i="15"/>
  <c r="S671" i="15"/>
  <c r="S672" i="15"/>
  <c r="S673" i="15"/>
  <c r="S674" i="15"/>
  <c r="S675" i="15"/>
  <c r="S676" i="15"/>
  <c r="S677" i="15"/>
  <c r="S678" i="15"/>
  <c r="S679" i="15"/>
  <c r="S680" i="15"/>
  <c r="S681" i="15"/>
  <c r="S682" i="15"/>
  <c r="S683" i="15"/>
  <c r="S684" i="15"/>
  <c r="S685" i="15"/>
  <c r="S686" i="15"/>
  <c r="S687" i="15"/>
  <c r="S688" i="15"/>
  <c r="S689" i="15"/>
  <c r="S690" i="15"/>
  <c r="S691" i="15"/>
  <c r="S692" i="15"/>
  <c r="S693" i="15"/>
  <c r="S694" i="15"/>
  <c r="S695" i="15"/>
  <c r="S696" i="15"/>
  <c r="S697" i="15"/>
  <c r="S698" i="15"/>
  <c r="S699" i="15"/>
  <c r="S700" i="15"/>
  <c r="S701" i="15"/>
  <c r="S702" i="15"/>
  <c r="S703" i="15"/>
  <c r="S704" i="15"/>
  <c r="S705" i="15"/>
  <c r="S706" i="15"/>
  <c r="S707" i="15"/>
  <c r="S708" i="15"/>
  <c r="S709" i="15"/>
  <c r="S710" i="15"/>
  <c r="S711" i="15"/>
  <c r="S712" i="15"/>
  <c r="S713" i="15"/>
  <c r="S714" i="15"/>
  <c r="S715" i="15"/>
  <c r="S716" i="15"/>
  <c r="S717" i="15"/>
  <c r="S718" i="15"/>
  <c r="S719" i="15"/>
  <c r="S720" i="15"/>
  <c r="S721" i="15"/>
  <c r="S722" i="15"/>
  <c r="S723" i="15"/>
  <c r="S724" i="15"/>
  <c r="S725" i="15"/>
  <c r="S726" i="15"/>
  <c r="S727" i="15"/>
  <c r="S728" i="15"/>
  <c r="S729" i="15"/>
  <c r="S730" i="15"/>
  <c r="S731" i="15"/>
  <c r="S732" i="15"/>
  <c r="S733" i="15"/>
  <c r="S734" i="15"/>
  <c r="S735" i="15"/>
  <c r="S736" i="15"/>
  <c r="S737" i="15"/>
  <c r="S738" i="15"/>
  <c r="S739" i="15"/>
  <c r="S740" i="15"/>
  <c r="S741" i="15"/>
  <c r="S742" i="15"/>
  <c r="S743" i="15"/>
  <c r="S744" i="15"/>
  <c r="S745" i="15"/>
  <c r="S746" i="15"/>
  <c r="S747" i="15"/>
  <c r="S748" i="15"/>
  <c r="S749" i="15"/>
  <c r="S750" i="15"/>
  <c r="S751" i="15"/>
  <c r="S752" i="15"/>
  <c r="S753" i="15"/>
  <c r="S754" i="15"/>
  <c r="S755" i="15"/>
  <c r="S756" i="15"/>
  <c r="S757" i="15"/>
  <c r="S758" i="15"/>
  <c r="S759" i="15"/>
  <c r="S760" i="15"/>
  <c r="S761" i="15"/>
  <c r="S762" i="15"/>
  <c r="S763" i="15"/>
  <c r="S764" i="15"/>
  <c r="S765" i="15"/>
  <c r="S766" i="15"/>
  <c r="S767" i="15"/>
  <c r="S768" i="15"/>
  <c r="S769" i="15"/>
  <c r="S770" i="15"/>
  <c r="S771" i="15"/>
  <c r="S772" i="15"/>
  <c r="S773" i="15"/>
  <c r="S774" i="15"/>
  <c r="S775" i="15"/>
  <c r="S776" i="15"/>
  <c r="S777" i="15"/>
  <c r="S778" i="15"/>
  <c r="S779" i="15"/>
  <c r="S780" i="15"/>
  <c r="S781" i="15"/>
  <c r="S782" i="15"/>
  <c r="S783" i="15"/>
  <c r="S784" i="15"/>
  <c r="S785" i="15"/>
  <c r="S786" i="15"/>
  <c r="S787" i="15"/>
  <c r="S788" i="15"/>
  <c r="S789" i="15"/>
  <c r="S790" i="15"/>
  <c r="S791" i="15"/>
  <c r="S792" i="15"/>
  <c r="S793" i="15"/>
  <c r="S794" i="15"/>
  <c r="S795" i="15"/>
  <c r="S796" i="15"/>
  <c r="S797" i="15"/>
  <c r="S798" i="15"/>
  <c r="S799" i="15"/>
  <c r="S800" i="15"/>
  <c r="S801" i="15"/>
  <c r="S802" i="15"/>
  <c r="S803" i="15"/>
  <c r="S804" i="15"/>
  <c r="S805" i="15"/>
  <c r="S806" i="15"/>
  <c r="S807" i="15"/>
  <c r="S808" i="15"/>
  <c r="S809" i="15"/>
  <c r="S810" i="15"/>
  <c r="S811" i="15"/>
  <c r="S812" i="15"/>
  <c r="S813" i="15"/>
  <c r="S814" i="15"/>
  <c r="S815" i="15"/>
  <c r="S816" i="15"/>
  <c r="S817" i="15"/>
  <c r="S818" i="15"/>
  <c r="S819" i="15"/>
  <c r="S820" i="15"/>
  <c r="S821" i="15"/>
  <c r="S822" i="15"/>
  <c r="S823" i="15"/>
  <c r="S824" i="15"/>
  <c r="S825" i="15"/>
  <c r="S826" i="15"/>
  <c r="S827" i="15"/>
  <c r="S828" i="15"/>
  <c r="S829" i="15"/>
  <c r="S830" i="15"/>
  <c r="S831" i="15"/>
  <c r="S832" i="15"/>
  <c r="S833" i="15"/>
  <c r="S834" i="15"/>
  <c r="S835" i="15"/>
  <c r="S836" i="15"/>
  <c r="S837" i="15"/>
  <c r="S838" i="15"/>
  <c r="S839" i="15"/>
  <c r="S840" i="15"/>
  <c r="S841" i="15"/>
  <c r="S842" i="15"/>
  <c r="S843" i="15"/>
  <c r="S844" i="15"/>
  <c r="S845" i="15"/>
  <c r="S846" i="15"/>
  <c r="S847" i="15"/>
  <c r="S848" i="15"/>
  <c r="S849" i="15"/>
  <c r="S850" i="15"/>
  <c r="S851" i="15"/>
  <c r="S852" i="15"/>
  <c r="S853" i="15"/>
  <c r="S854" i="15"/>
  <c r="S855" i="15"/>
  <c r="S856" i="15"/>
  <c r="S857" i="15"/>
  <c r="S858" i="15"/>
  <c r="S859" i="15"/>
  <c r="S860" i="15"/>
  <c r="S861" i="15"/>
  <c r="S862" i="15"/>
  <c r="S863" i="15"/>
  <c r="S864" i="15"/>
  <c r="S865" i="15"/>
  <c r="S866" i="15"/>
  <c r="S867" i="15"/>
  <c r="S868" i="15"/>
  <c r="S869" i="15"/>
  <c r="S870" i="15"/>
  <c r="S871" i="15"/>
  <c r="S872" i="15"/>
  <c r="S873" i="15"/>
  <c r="S874" i="15"/>
  <c r="S875" i="15"/>
  <c r="S876" i="15"/>
  <c r="S877" i="15"/>
  <c r="S878" i="15"/>
  <c r="S879" i="15"/>
  <c r="S880" i="15"/>
  <c r="S881" i="15"/>
  <c r="S882" i="15"/>
  <c r="S883" i="15"/>
  <c r="S884" i="15"/>
  <c r="S885" i="15"/>
  <c r="S886" i="15"/>
  <c r="S887" i="15"/>
  <c r="S888" i="15"/>
  <c r="S889" i="15"/>
  <c r="S890" i="15"/>
  <c r="S891" i="15"/>
  <c r="S892" i="15"/>
  <c r="S893" i="15"/>
  <c r="S894" i="15"/>
  <c r="S895" i="15"/>
  <c r="S896" i="15"/>
  <c r="S897" i="15"/>
  <c r="S898" i="15"/>
  <c r="S899" i="15"/>
  <c r="S900" i="15"/>
  <c r="S901" i="15"/>
  <c r="S902" i="15"/>
  <c r="S903" i="15"/>
  <c r="S904" i="15"/>
  <c r="S905" i="15"/>
  <c r="S906" i="15"/>
  <c r="S907" i="15"/>
  <c r="S908" i="15"/>
  <c r="S909" i="15"/>
  <c r="S910" i="15"/>
  <c r="S911" i="15"/>
  <c r="S912" i="15"/>
  <c r="S913" i="15"/>
  <c r="S914" i="15"/>
  <c r="S915" i="15"/>
  <c r="S916" i="15"/>
  <c r="S917" i="15"/>
  <c r="S918" i="15"/>
  <c r="S919" i="15"/>
  <c r="S920" i="15"/>
  <c r="S921" i="15"/>
  <c r="S922" i="15"/>
  <c r="S923" i="15"/>
  <c r="S924" i="15"/>
  <c r="S925" i="15"/>
  <c r="S926" i="15"/>
  <c r="S927" i="15"/>
  <c r="S928" i="15"/>
  <c r="S929" i="15"/>
  <c r="S930" i="15"/>
  <c r="S931" i="15"/>
  <c r="S932" i="15"/>
  <c r="S933" i="15"/>
  <c r="S934" i="15"/>
  <c r="S935" i="15"/>
  <c r="S936" i="15"/>
  <c r="S937" i="15"/>
  <c r="S938" i="15"/>
  <c r="S939" i="15"/>
  <c r="S940" i="15"/>
  <c r="S941" i="15"/>
  <c r="S942" i="15"/>
  <c r="S943" i="15"/>
  <c r="S944" i="15"/>
  <c r="S945" i="15"/>
  <c r="S946" i="15"/>
  <c r="S947" i="15"/>
  <c r="S948" i="15"/>
  <c r="S949" i="15"/>
  <c r="S950" i="15"/>
  <c r="S951" i="15"/>
  <c r="S952" i="15"/>
  <c r="S953" i="15"/>
  <c r="S954" i="15"/>
  <c r="S955" i="15"/>
  <c r="S956" i="15"/>
  <c r="S957" i="15"/>
  <c r="S958" i="15"/>
  <c r="S959" i="15"/>
  <c r="S960" i="15"/>
  <c r="S961" i="15"/>
  <c r="S962" i="15"/>
  <c r="S963" i="15"/>
  <c r="S964" i="15"/>
  <c r="S965" i="15"/>
  <c r="S966" i="15"/>
  <c r="S967" i="15"/>
  <c r="S968" i="15"/>
  <c r="S969" i="15"/>
  <c r="S970" i="15"/>
  <c r="S971" i="15"/>
  <c r="S972" i="15"/>
  <c r="S973" i="15"/>
  <c r="S974" i="15"/>
  <c r="S975" i="15"/>
  <c r="S976" i="15"/>
  <c r="S977" i="15"/>
  <c r="S978" i="15"/>
  <c r="S979" i="15"/>
  <c r="S980" i="15"/>
  <c r="S981" i="15"/>
  <c r="S982" i="15"/>
  <c r="S983" i="15"/>
  <c r="S984" i="15"/>
  <c r="S985" i="15"/>
  <c r="S986" i="15"/>
  <c r="S987" i="15"/>
  <c r="S988" i="15"/>
  <c r="S989" i="15"/>
  <c r="S990" i="15"/>
  <c r="S991" i="15"/>
  <c r="S992" i="15"/>
  <c r="S993" i="15"/>
  <c r="S994" i="15"/>
  <c r="S995" i="15"/>
  <c r="S996" i="15"/>
  <c r="S997" i="15"/>
  <c r="S998" i="15"/>
  <c r="S999" i="15"/>
  <c r="S1000" i="15"/>
  <c r="S1001" i="15"/>
  <c r="S1002" i="15"/>
  <c r="S1003" i="15"/>
  <c r="S1004" i="15"/>
  <c r="S1005" i="15"/>
  <c r="S1006" i="15"/>
  <c r="S1007" i="15"/>
  <c r="S1008" i="15"/>
  <c r="S1009" i="15"/>
  <c r="S1010" i="15"/>
  <c r="S1011" i="15"/>
  <c r="S1012" i="15"/>
  <c r="S1013" i="15"/>
  <c r="S1014" i="15"/>
  <c r="S1015" i="15"/>
  <c r="S1016" i="15"/>
  <c r="S1017" i="15"/>
  <c r="S1018" i="15"/>
  <c r="S1019" i="15"/>
  <c r="S1020" i="15"/>
  <c r="S1021" i="15"/>
  <c r="S1022" i="15"/>
  <c r="S1023" i="15"/>
  <c r="S1024" i="15"/>
  <c r="S1025" i="15"/>
  <c r="S1026" i="15"/>
  <c r="S1027" i="15"/>
  <c r="U27" i="15"/>
  <c r="M273" i="15" l="1"/>
  <c r="L273" i="15"/>
  <c r="N273" i="15" s="1"/>
  <c r="I396" i="15"/>
  <c r="H396" i="15"/>
  <c r="J396" i="15" s="1"/>
  <c r="Q150" i="15"/>
  <c r="P150" i="15"/>
  <c r="R150" i="15" s="1"/>
  <c r="T27" i="15"/>
  <c r="V27" i="15" s="1"/>
  <c r="T28" i="15" s="1"/>
  <c r="Q151" i="15" l="1"/>
  <c r="P151" i="15"/>
  <c r="R151" i="15" s="1"/>
  <c r="I397" i="15"/>
  <c r="H397" i="15"/>
  <c r="J397" i="15" s="1"/>
  <c r="M274" i="15"/>
  <c r="L274" i="15"/>
  <c r="N274" i="15" s="1"/>
  <c r="U28" i="15"/>
  <c r="V28" i="15" s="1"/>
  <c r="M275" i="15" l="1"/>
  <c r="L275" i="15"/>
  <c r="N275" i="15" s="1"/>
  <c r="I398" i="15"/>
  <c r="H398" i="15"/>
  <c r="J398" i="15" s="1"/>
  <c r="Q152" i="15"/>
  <c r="P152" i="15"/>
  <c r="R152" i="15" s="1"/>
  <c r="U29" i="15"/>
  <c r="T29" i="15"/>
  <c r="V29" i="15" s="1"/>
  <c r="Q153" i="15" l="1"/>
  <c r="P153" i="15"/>
  <c r="R153" i="15" s="1"/>
  <c r="M276" i="15"/>
  <c r="L276" i="15"/>
  <c r="N276" i="15" s="1"/>
  <c r="U30" i="15"/>
  <c r="T30" i="15"/>
  <c r="V30" i="15" s="1"/>
  <c r="I399" i="15"/>
  <c r="H399" i="15"/>
  <c r="J399" i="15" s="1"/>
  <c r="I400" i="15" l="1"/>
  <c r="H400" i="15"/>
  <c r="J400" i="15" s="1"/>
  <c r="M277" i="15"/>
  <c r="L277" i="15"/>
  <c r="N277" i="15" s="1"/>
  <c r="U31" i="15"/>
  <c r="T31" i="15"/>
  <c r="V31" i="15" s="1"/>
  <c r="Q154" i="15"/>
  <c r="P154" i="15"/>
  <c r="R154" i="15" s="1"/>
  <c r="Q155" i="15" l="1"/>
  <c r="P155" i="15"/>
  <c r="R155" i="15" s="1"/>
  <c r="U32" i="15"/>
  <c r="T32" i="15"/>
  <c r="V32" i="15" s="1"/>
  <c r="I401" i="15"/>
  <c r="H401" i="15"/>
  <c r="J401" i="15" s="1"/>
  <c r="M278" i="15"/>
  <c r="L278" i="15"/>
  <c r="N278" i="15" s="1"/>
  <c r="M279" i="15" l="1"/>
  <c r="L279" i="15"/>
  <c r="N279" i="15" s="1"/>
  <c r="I402" i="15"/>
  <c r="H402" i="15"/>
  <c r="J402" i="15" s="1"/>
  <c r="Q156" i="15"/>
  <c r="P156" i="15"/>
  <c r="R156" i="15" s="1"/>
  <c r="U33" i="15"/>
  <c r="T33" i="15"/>
  <c r="V33" i="15" s="1"/>
  <c r="Q157" i="15" l="1"/>
  <c r="P157" i="15"/>
  <c r="R157" i="15" s="1"/>
  <c r="M280" i="15"/>
  <c r="L280" i="15"/>
  <c r="N280" i="15" s="1"/>
  <c r="U34" i="15"/>
  <c r="T34" i="15"/>
  <c r="V34" i="15" s="1"/>
  <c r="I403" i="15"/>
  <c r="H403" i="15"/>
  <c r="J403" i="15" s="1"/>
  <c r="I404" i="15" l="1"/>
  <c r="H404" i="15"/>
  <c r="J404" i="15" s="1"/>
  <c r="U35" i="15"/>
  <c r="T35" i="15"/>
  <c r="V35" i="15" s="1"/>
  <c r="Q158" i="15"/>
  <c r="P158" i="15"/>
  <c r="R158" i="15" s="1"/>
  <c r="M281" i="15"/>
  <c r="L281" i="15"/>
  <c r="N281" i="15" s="1"/>
  <c r="Q159" i="15" l="1"/>
  <c r="P159" i="15"/>
  <c r="R159" i="15" s="1"/>
  <c r="I405" i="15"/>
  <c r="H405" i="15"/>
  <c r="J405" i="15" s="1"/>
  <c r="M282" i="15"/>
  <c r="L282" i="15"/>
  <c r="N282" i="15" s="1"/>
  <c r="U36" i="15"/>
  <c r="T36" i="15"/>
  <c r="V36" i="15" s="1"/>
  <c r="M283" i="15" l="1"/>
  <c r="L283" i="15"/>
  <c r="N283" i="15" s="1"/>
  <c r="Q160" i="15"/>
  <c r="P160" i="15"/>
  <c r="R160" i="15" s="1"/>
  <c r="U37" i="15"/>
  <c r="T37" i="15"/>
  <c r="V37" i="15" s="1"/>
  <c r="I406" i="15"/>
  <c r="H406" i="15"/>
  <c r="J406" i="15" s="1"/>
  <c r="I407" i="15" l="1"/>
  <c r="H407" i="15"/>
  <c r="J407" i="15" s="1"/>
  <c r="Q161" i="15"/>
  <c r="P161" i="15"/>
  <c r="R161" i="15" s="1"/>
  <c r="M284" i="15"/>
  <c r="L284" i="15"/>
  <c r="N284" i="15" s="1"/>
  <c r="U38" i="15"/>
  <c r="T38" i="15"/>
  <c r="V38" i="15" s="1"/>
  <c r="U39" i="15" l="1"/>
  <c r="T39" i="15"/>
  <c r="V39" i="15" s="1"/>
  <c r="M285" i="15"/>
  <c r="L285" i="15"/>
  <c r="N285" i="15" s="1"/>
  <c r="I408" i="15"/>
  <c r="H408" i="15"/>
  <c r="J408" i="15" s="1"/>
  <c r="Q162" i="15"/>
  <c r="P162" i="15"/>
  <c r="R162" i="15" s="1"/>
  <c r="Q163" i="15" l="1"/>
  <c r="P163" i="15"/>
  <c r="R163" i="15" s="1"/>
  <c r="I409" i="15"/>
  <c r="H409" i="15"/>
  <c r="J409" i="15" s="1"/>
  <c r="U40" i="15"/>
  <c r="T40" i="15"/>
  <c r="V40" i="15" s="1"/>
  <c r="M286" i="15"/>
  <c r="L286" i="15"/>
  <c r="N286" i="15" s="1"/>
  <c r="M287" i="15" l="1"/>
  <c r="L287" i="15"/>
  <c r="N287" i="15" s="1"/>
  <c r="U41" i="15"/>
  <c r="T41" i="15"/>
  <c r="V41" i="15" s="1"/>
  <c r="Q164" i="15"/>
  <c r="P164" i="15"/>
  <c r="R164" i="15" s="1"/>
  <c r="I410" i="15"/>
  <c r="H410" i="15"/>
  <c r="J410" i="15" s="1"/>
  <c r="Q165" i="15" l="1"/>
  <c r="P165" i="15"/>
  <c r="R165" i="15" s="1"/>
  <c r="M288" i="15"/>
  <c r="L288" i="15"/>
  <c r="N288" i="15" s="1"/>
  <c r="I411" i="15"/>
  <c r="H411" i="15"/>
  <c r="J411" i="15" s="1"/>
  <c r="U42" i="15"/>
  <c r="T42" i="15"/>
  <c r="V42" i="15" s="1"/>
  <c r="U43" i="15" l="1"/>
  <c r="T43" i="15"/>
  <c r="V43" i="15" s="1"/>
  <c r="I412" i="15"/>
  <c r="H412" i="15"/>
  <c r="J412" i="15" s="1"/>
  <c r="Q166" i="15"/>
  <c r="P166" i="15"/>
  <c r="R166" i="15" s="1"/>
  <c r="M289" i="15"/>
  <c r="L289" i="15"/>
  <c r="N289" i="15" s="1"/>
  <c r="M290" i="15" l="1"/>
  <c r="L290" i="15"/>
  <c r="N290" i="15" s="1"/>
  <c r="Q167" i="15"/>
  <c r="P167" i="15"/>
  <c r="R167" i="15" s="1"/>
  <c r="U44" i="15"/>
  <c r="T44" i="15"/>
  <c r="V44" i="15" s="1"/>
  <c r="I413" i="15"/>
  <c r="H413" i="15"/>
  <c r="J413" i="15" s="1"/>
  <c r="I414" i="15" l="1"/>
  <c r="H414" i="15"/>
  <c r="J414" i="15" s="1"/>
  <c r="U45" i="15"/>
  <c r="T45" i="15"/>
  <c r="V45" i="15" s="1"/>
  <c r="M291" i="15"/>
  <c r="L291" i="15"/>
  <c r="N291" i="15" s="1"/>
  <c r="Q168" i="15"/>
  <c r="P168" i="15"/>
  <c r="R168" i="15" s="1"/>
  <c r="Q169" i="15" l="1"/>
  <c r="P169" i="15"/>
  <c r="R169" i="15" s="1"/>
  <c r="M292" i="15"/>
  <c r="L292" i="15"/>
  <c r="N292" i="15" s="1"/>
  <c r="I415" i="15"/>
  <c r="H415" i="15"/>
  <c r="J415" i="15" s="1"/>
  <c r="U46" i="15"/>
  <c r="T46" i="15"/>
  <c r="V46" i="15" s="1"/>
  <c r="I416" i="15" l="1"/>
  <c r="H416" i="15"/>
  <c r="J416" i="15" s="1"/>
  <c r="Q170" i="15"/>
  <c r="P170" i="15"/>
  <c r="R170" i="15" s="1"/>
  <c r="U47" i="15"/>
  <c r="T47" i="15"/>
  <c r="V47" i="15" s="1"/>
  <c r="M293" i="15"/>
  <c r="L293" i="15"/>
  <c r="N293" i="15" s="1"/>
  <c r="M294" i="15" l="1"/>
  <c r="L294" i="15"/>
  <c r="N294" i="15" s="1"/>
  <c r="U48" i="15"/>
  <c r="T48" i="15"/>
  <c r="V48" i="15" s="1"/>
  <c r="Q171" i="15"/>
  <c r="P171" i="15"/>
  <c r="R171" i="15" s="1"/>
  <c r="I417" i="15"/>
  <c r="H417" i="15"/>
  <c r="J417" i="15" s="1"/>
  <c r="Q172" i="15" l="1"/>
  <c r="P172" i="15"/>
  <c r="R172" i="15" s="1"/>
  <c r="M295" i="15"/>
  <c r="L295" i="15"/>
  <c r="N295" i="15" s="1"/>
  <c r="I418" i="15"/>
  <c r="H418" i="15"/>
  <c r="J418" i="15" s="1"/>
  <c r="U49" i="15"/>
  <c r="T49" i="15"/>
  <c r="V49" i="15" s="1"/>
  <c r="U50" i="15" l="1"/>
  <c r="T50" i="15"/>
  <c r="V50" i="15" s="1"/>
  <c r="I419" i="15"/>
  <c r="H419" i="15"/>
  <c r="J419" i="15" s="1"/>
  <c r="Q173" i="15"/>
  <c r="P173" i="15"/>
  <c r="R173" i="15" s="1"/>
  <c r="M296" i="15"/>
  <c r="L296" i="15"/>
  <c r="N296" i="15" s="1"/>
  <c r="M297" i="15" l="1"/>
  <c r="L297" i="15"/>
  <c r="N297" i="15" s="1"/>
  <c r="Q174" i="15"/>
  <c r="P174" i="15"/>
  <c r="R174" i="15" s="1"/>
  <c r="U51" i="15"/>
  <c r="T51" i="15"/>
  <c r="V51" i="15" s="1"/>
  <c r="I420" i="15"/>
  <c r="H420" i="15"/>
  <c r="J420" i="15" s="1"/>
  <c r="I421" i="15" l="1"/>
  <c r="H421" i="15"/>
  <c r="J421" i="15" s="1"/>
  <c r="U52" i="15"/>
  <c r="T52" i="15"/>
  <c r="V52" i="15" s="1"/>
  <c r="M298" i="15"/>
  <c r="L298" i="15"/>
  <c r="N298" i="15" s="1"/>
  <c r="Q175" i="15"/>
  <c r="P175" i="15"/>
  <c r="R175" i="15" s="1"/>
  <c r="M299" i="15" l="1"/>
  <c r="L299" i="15"/>
  <c r="N299" i="15" s="1"/>
  <c r="I422" i="15"/>
  <c r="H422" i="15"/>
  <c r="J422" i="15" s="1"/>
  <c r="Q176" i="15"/>
  <c r="P176" i="15"/>
  <c r="R176" i="15" s="1"/>
  <c r="U53" i="15"/>
  <c r="T53" i="15"/>
  <c r="V53" i="15" s="1"/>
  <c r="Q177" i="15" l="1"/>
  <c r="P177" i="15"/>
  <c r="R177" i="15" s="1"/>
  <c r="M300" i="15"/>
  <c r="L300" i="15"/>
  <c r="N300" i="15" s="1"/>
  <c r="U54" i="15"/>
  <c r="T54" i="15"/>
  <c r="V54" i="15" s="1"/>
  <c r="I423" i="15"/>
  <c r="H423" i="15"/>
  <c r="J423" i="15" s="1"/>
  <c r="U55" i="15" l="1"/>
  <c r="T55" i="15"/>
  <c r="V55" i="15" s="1"/>
  <c r="Q178" i="15"/>
  <c r="P178" i="15"/>
  <c r="R178" i="15" s="1"/>
  <c r="I424" i="15"/>
  <c r="H424" i="15"/>
  <c r="J424" i="15" s="1"/>
  <c r="M301" i="15"/>
  <c r="L301" i="15"/>
  <c r="N301" i="15" s="1"/>
  <c r="M302" i="15" l="1"/>
  <c r="L302" i="15"/>
  <c r="N302" i="15" s="1"/>
  <c r="I425" i="15"/>
  <c r="H425" i="15"/>
  <c r="J425" i="15" s="1"/>
  <c r="U56" i="15"/>
  <c r="T56" i="15"/>
  <c r="V56" i="15" s="1"/>
  <c r="Q179" i="15"/>
  <c r="P179" i="15"/>
  <c r="R179" i="15" s="1"/>
  <c r="Q180" i="15" l="1"/>
  <c r="P180" i="15"/>
  <c r="R180" i="15" s="1"/>
  <c r="U57" i="15"/>
  <c r="T57" i="15"/>
  <c r="V57" i="15" s="1"/>
  <c r="M303" i="15"/>
  <c r="L303" i="15"/>
  <c r="N303" i="15" s="1"/>
  <c r="I426" i="15"/>
  <c r="H426" i="15"/>
  <c r="J426" i="15" s="1"/>
  <c r="I427" i="15" l="1"/>
  <c r="H427" i="15"/>
  <c r="J427" i="15" s="1"/>
  <c r="M304" i="15"/>
  <c r="L304" i="15"/>
  <c r="N304" i="15" s="1"/>
  <c r="Q181" i="15"/>
  <c r="P181" i="15"/>
  <c r="R181" i="15" s="1"/>
  <c r="U58" i="15"/>
  <c r="T58" i="15"/>
  <c r="V58" i="15" s="1"/>
  <c r="Q182" i="15" l="1"/>
  <c r="P182" i="15"/>
  <c r="R182" i="15" s="1"/>
  <c r="I428" i="15"/>
  <c r="H428" i="15"/>
  <c r="J428" i="15" s="1"/>
  <c r="U59" i="15"/>
  <c r="T59" i="15"/>
  <c r="V59" i="15" s="1"/>
  <c r="M305" i="15"/>
  <c r="L305" i="15"/>
  <c r="N305" i="15" s="1"/>
  <c r="M306" i="15" l="1"/>
  <c r="L306" i="15"/>
  <c r="N306" i="15" s="1"/>
  <c r="U60" i="15"/>
  <c r="T60" i="15"/>
  <c r="V60" i="15" s="1"/>
  <c r="I429" i="15"/>
  <c r="H429" i="15"/>
  <c r="J429" i="15" s="1"/>
  <c r="Q183" i="15"/>
  <c r="P183" i="15"/>
  <c r="R183" i="15" s="1"/>
  <c r="Q184" i="15" l="1"/>
  <c r="P184" i="15"/>
  <c r="R184" i="15" s="1"/>
  <c r="I430" i="15"/>
  <c r="H430" i="15"/>
  <c r="J430" i="15" s="1"/>
  <c r="U61" i="15"/>
  <c r="T61" i="15"/>
  <c r="V61" i="15" s="1"/>
  <c r="M307" i="15"/>
  <c r="L307" i="15"/>
  <c r="N307" i="15" s="1"/>
  <c r="M308" i="15" l="1"/>
  <c r="L308" i="15"/>
  <c r="N308" i="15" s="1"/>
  <c r="U62" i="15"/>
  <c r="T62" i="15"/>
  <c r="V62" i="15" s="1"/>
  <c r="I431" i="15"/>
  <c r="H431" i="15"/>
  <c r="J431" i="15" s="1"/>
  <c r="Q185" i="15"/>
  <c r="P185" i="15"/>
  <c r="R185" i="15" s="1"/>
  <c r="Q186" i="15" l="1"/>
  <c r="P186" i="15"/>
  <c r="R186" i="15" s="1"/>
  <c r="I432" i="15"/>
  <c r="H432" i="15"/>
  <c r="J432" i="15" s="1"/>
  <c r="U63" i="15"/>
  <c r="T63" i="15"/>
  <c r="V63" i="15" s="1"/>
  <c r="M309" i="15"/>
  <c r="L309" i="15"/>
  <c r="N309" i="15" s="1"/>
  <c r="M310" i="15" l="1"/>
  <c r="L310" i="15"/>
  <c r="N310" i="15" s="1"/>
  <c r="U64" i="15"/>
  <c r="T64" i="15"/>
  <c r="V64" i="15" s="1"/>
  <c r="I433" i="15"/>
  <c r="H433" i="15"/>
  <c r="J433" i="15" s="1"/>
  <c r="Q187" i="15"/>
  <c r="P187" i="15"/>
  <c r="R187" i="15" s="1"/>
  <c r="Q188" i="15" l="1"/>
  <c r="P188" i="15"/>
  <c r="R188" i="15" s="1"/>
  <c r="I434" i="15"/>
  <c r="H434" i="15"/>
  <c r="J434" i="15" s="1"/>
  <c r="U65" i="15"/>
  <c r="T65" i="15"/>
  <c r="V65" i="15" s="1"/>
  <c r="M311" i="15"/>
  <c r="L311" i="15"/>
  <c r="N311" i="15" s="1"/>
  <c r="M312" i="15" l="1"/>
  <c r="L312" i="15"/>
  <c r="N312" i="15" s="1"/>
  <c r="U66" i="15"/>
  <c r="T66" i="15"/>
  <c r="V66" i="15" s="1"/>
  <c r="I435" i="15"/>
  <c r="H435" i="15"/>
  <c r="J435" i="15" s="1"/>
  <c r="Q189" i="15"/>
  <c r="P189" i="15"/>
  <c r="R189" i="15" s="1"/>
  <c r="Q190" i="15" l="1"/>
  <c r="P190" i="15"/>
  <c r="R190" i="15" s="1"/>
  <c r="I436" i="15"/>
  <c r="H436" i="15"/>
  <c r="J436" i="15" s="1"/>
  <c r="U67" i="15"/>
  <c r="T67" i="15"/>
  <c r="V67" i="15" s="1"/>
  <c r="M313" i="15"/>
  <c r="L313" i="15"/>
  <c r="N313" i="15" s="1"/>
  <c r="M314" i="15" l="1"/>
  <c r="L314" i="15"/>
  <c r="N314" i="15" s="1"/>
  <c r="U68" i="15"/>
  <c r="T68" i="15"/>
  <c r="V68" i="15" s="1"/>
  <c r="I437" i="15"/>
  <c r="H437" i="15"/>
  <c r="J437" i="15" s="1"/>
  <c r="Q191" i="15"/>
  <c r="P191" i="15"/>
  <c r="R191" i="15" s="1"/>
  <c r="Q192" i="15" l="1"/>
  <c r="P192" i="15"/>
  <c r="R192" i="15" s="1"/>
  <c r="I438" i="15"/>
  <c r="H438" i="15"/>
  <c r="J438" i="15" s="1"/>
  <c r="U69" i="15"/>
  <c r="T69" i="15"/>
  <c r="V69" i="15" s="1"/>
  <c r="M315" i="15"/>
  <c r="L315" i="15"/>
  <c r="N315" i="15" s="1"/>
  <c r="M316" i="15" l="1"/>
  <c r="L316" i="15"/>
  <c r="N316" i="15" s="1"/>
  <c r="U70" i="15"/>
  <c r="T70" i="15"/>
  <c r="V70" i="15" s="1"/>
  <c r="Q193" i="15"/>
  <c r="P193" i="15"/>
  <c r="R193" i="15" s="1"/>
  <c r="I439" i="15"/>
  <c r="H439" i="15"/>
  <c r="J439" i="15" s="1"/>
  <c r="I440" i="15" l="1"/>
  <c r="H440" i="15"/>
  <c r="J440" i="15" s="1"/>
  <c r="Q194" i="15"/>
  <c r="P194" i="15"/>
  <c r="R194" i="15" s="1"/>
  <c r="M317" i="15"/>
  <c r="L317" i="15"/>
  <c r="N317" i="15" s="1"/>
  <c r="U71" i="15"/>
  <c r="T71" i="15"/>
  <c r="V71" i="15" s="1"/>
  <c r="U72" i="15" l="1"/>
  <c r="T72" i="15"/>
  <c r="V72" i="15" s="1"/>
  <c r="M318" i="15"/>
  <c r="L318" i="15"/>
  <c r="N318" i="15" s="1"/>
  <c r="I441" i="15"/>
  <c r="H441" i="15"/>
  <c r="J441" i="15" s="1"/>
  <c r="Q195" i="15"/>
  <c r="P195" i="15"/>
  <c r="R195" i="15" s="1"/>
  <c r="I442" i="15" l="1"/>
  <c r="H442" i="15"/>
  <c r="J442" i="15" s="1"/>
  <c r="U73" i="15"/>
  <c r="T73" i="15"/>
  <c r="V73" i="15" s="1"/>
  <c r="Q196" i="15"/>
  <c r="P196" i="15"/>
  <c r="R196" i="15" s="1"/>
  <c r="M319" i="15"/>
  <c r="L319" i="15"/>
  <c r="N319" i="15" s="1"/>
  <c r="Q197" i="15" l="1"/>
  <c r="P197" i="15"/>
  <c r="R197" i="15" s="1"/>
  <c r="I443" i="15"/>
  <c r="H443" i="15"/>
  <c r="J443" i="15" s="1"/>
  <c r="M320" i="15"/>
  <c r="L320" i="15"/>
  <c r="N320" i="15" s="1"/>
  <c r="U74" i="15"/>
  <c r="T74" i="15"/>
  <c r="V74" i="15" s="1"/>
  <c r="M321" i="15" l="1"/>
  <c r="L321" i="15"/>
  <c r="N321" i="15" s="1"/>
  <c r="Q198" i="15"/>
  <c r="P198" i="15"/>
  <c r="R198" i="15" s="1"/>
  <c r="U75" i="15"/>
  <c r="T75" i="15"/>
  <c r="V75" i="15" s="1"/>
  <c r="I444" i="15"/>
  <c r="H444" i="15"/>
  <c r="J444" i="15" s="1"/>
  <c r="U76" i="15" l="1"/>
  <c r="T76" i="15"/>
  <c r="V76" i="15" s="1"/>
  <c r="M322" i="15"/>
  <c r="L322" i="15"/>
  <c r="N322" i="15" s="1"/>
  <c r="I445" i="15"/>
  <c r="H445" i="15"/>
  <c r="J445" i="15" s="1"/>
  <c r="Q199" i="15"/>
  <c r="P199" i="15"/>
  <c r="R199" i="15" s="1"/>
  <c r="Q200" i="15" l="1"/>
  <c r="P200" i="15"/>
  <c r="R200" i="15" s="1"/>
  <c r="I446" i="15"/>
  <c r="H446" i="15"/>
  <c r="J446" i="15" s="1"/>
  <c r="U77" i="15"/>
  <c r="T77" i="15"/>
  <c r="V77" i="15" s="1"/>
  <c r="M323" i="15"/>
  <c r="L323" i="15"/>
  <c r="N323" i="15" s="1"/>
  <c r="M324" i="15" l="1"/>
  <c r="L324" i="15"/>
  <c r="N324" i="15" s="1"/>
  <c r="U78" i="15"/>
  <c r="T78" i="15"/>
  <c r="V78" i="15" s="1"/>
  <c r="Q201" i="15"/>
  <c r="P201" i="15"/>
  <c r="R201" i="15" s="1"/>
  <c r="I447" i="15"/>
  <c r="H447" i="15"/>
  <c r="J447" i="15" s="1"/>
  <c r="I448" i="15" l="1"/>
  <c r="H448" i="15"/>
  <c r="J448" i="15" s="1"/>
  <c r="Q202" i="15"/>
  <c r="P202" i="15"/>
  <c r="R202" i="15" s="1"/>
  <c r="M325" i="15"/>
  <c r="L325" i="15"/>
  <c r="N325" i="15" s="1"/>
  <c r="U79" i="15"/>
  <c r="T79" i="15"/>
  <c r="V79" i="15" s="1"/>
  <c r="U80" i="15" l="1"/>
  <c r="T80" i="15"/>
  <c r="V80" i="15" s="1"/>
  <c r="M326" i="15"/>
  <c r="L326" i="15"/>
  <c r="N326" i="15" s="1"/>
  <c r="I449" i="15"/>
  <c r="H449" i="15"/>
  <c r="J449" i="15" s="1"/>
  <c r="Q203" i="15"/>
  <c r="P203" i="15"/>
  <c r="R203" i="15" s="1"/>
  <c r="Q204" i="15" l="1"/>
  <c r="P204" i="15"/>
  <c r="R204" i="15" s="1"/>
  <c r="I450" i="15"/>
  <c r="H450" i="15"/>
  <c r="J450" i="15" s="1"/>
  <c r="U81" i="15"/>
  <c r="T81" i="15"/>
  <c r="V81" i="15" s="1"/>
  <c r="M327" i="15"/>
  <c r="L327" i="15"/>
  <c r="N327" i="15" s="1"/>
  <c r="M328" i="15" l="1"/>
  <c r="L328" i="15"/>
  <c r="N328" i="15" s="1"/>
  <c r="U82" i="15"/>
  <c r="T82" i="15"/>
  <c r="V82" i="15" s="1"/>
  <c r="Q205" i="15"/>
  <c r="P205" i="15"/>
  <c r="R205" i="15" s="1"/>
  <c r="I451" i="15"/>
  <c r="H451" i="15"/>
  <c r="J451" i="15" s="1"/>
  <c r="I452" i="15" l="1"/>
  <c r="H452" i="15"/>
  <c r="J452" i="15" s="1"/>
  <c r="Q206" i="15"/>
  <c r="P206" i="15"/>
  <c r="R206" i="15" s="1"/>
  <c r="M329" i="15"/>
  <c r="L329" i="15"/>
  <c r="N329" i="15" s="1"/>
  <c r="U83" i="15"/>
  <c r="T83" i="15"/>
  <c r="V83" i="15" s="1"/>
  <c r="U84" i="15" l="1"/>
  <c r="T84" i="15"/>
  <c r="V84" i="15" s="1"/>
  <c r="M330" i="15"/>
  <c r="L330" i="15"/>
  <c r="N330" i="15" s="1"/>
  <c r="I453" i="15"/>
  <c r="H453" i="15"/>
  <c r="J453" i="15" s="1"/>
  <c r="Q207" i="15"/>
  <c r="P207" i="15"/>
  <c r="R207" i="15" s="1"/>
  <c r="Q208" i="15" l="1"/>
  <c r="P208" i="15"/>
  <c r="R208" i="15" s="1"/>
  <c r="I454" i="15"/>
  <c r="H454" i="15"/>
  <c r="J454" i="15" s="1"/>
  <c r="U85" i="15"/>
  <c r="T85" i="15"/>
  <c r="V85" i="15" s="1"/>
  <c r="M331" i="15"/>
  <c r="L331" i="15"/>
  <c r="N331" i="15" s="1"/>
  <c r="M332" i="15" l="1"/>
  <c r="L332" i="15"/>
  <c r="N332" i="15" s="1"/>
  <c r="U86" i="15"/>
  <c r="T86" i="15"/>
  <c r="V86" i="15" s="1"/>
  <c r="Q209" i="15"/>
  <c r="P209" i="15"/>
  <c r="R209" i="15" s="1"/>
  <c r="I455" i="15"/>
  <c r="H455" i="15"/>
  <c r="J455" i="15" s="1"/>
  <c r="I456" i="15" l="1"/>
  <c r="H456" i="15"/>
  <c r="J456" i="15" s="1"/>
  <c r="Q210" i="15"/>
  <c r="P210" i="15"/>
  <c r="R210" i="15" s="1"/>
  <c r="M333" i="15"/>
  <c r="L333" i="15"/>
  <c r="N333" i="15" s="1"/>
  <c r="U87" i="15"/>
  <c r="T87" i="15"/>
  <c r="V87" i="15" s="1"/>
  <c r="U88" i="15" l="1"/>
  <c r="T88" i="15"/>
  <c r="V88" i="15" s="1"/>
  <c r="M334" i="15"/>
  <c r="L334" i="15"/>
  <c r="N334" i="15" s="1"/>
  <c r="I457" i="15"/>
  <c r="H457" i="15"/>
  <c r="J457" i="15" s="1"/>
  <c r="Q211" i="15"/>
  <c r="P211" i="15"/>
  <c r="R211" i="15" s="1"/>
  <c r="Q212" i="15" l="1"/>
  <c r="P212" i="15"/>
  <c r="R212" i="15" s="1"/>
  <c r="I458" i="15"/>
  <c r="H458" i="15"/>
  <c r="J458" i="15" s="1"/>
  <c r="U89" i="15"/>
  <c r="T89" i="15"/>
  <c r="V89" i="15" s="1"/>
  <c r="M335" i="15"/>
  <c r="L335" i="15"/>
  <c r="N335" i="15" s="1"/>
  <c r="M336" i="15" l="1"/>
  <c r="L336" i="15"/>
  <c r="N336" i="15" s="1"/>
  <c r="U90" i="15"/>
  <c r="T90" i="15"/>
  <c r="V90" i="15" s="1"/>
  <c r="Q213" i="15"/>
  <c r="P213" i="15"/>
  <c r="R213" i="15" s="1"/>
  <c r="I459" i="15"/>
  <c r="H459" i="15"/>
  <c r="J459" i="15" s="1"/>
  <c r="I460" i="15" l="1"/>
  <c r="H460" i="15"/>
  <c r="J460" i="15" s="1"/>
  <c r="Q214" i="15"/>
  <c r="P214" i="15"/>
  <c r="R214" i="15" s="1"/>
  <c r="M337" i="15"/>
  <c r="L337" i="15"/>
  <c r="N337" i="15" s="1"/>
  <c r="U91" i="15"/>
  <c r="T91" i="15"/>
  <c r="V91" i="15" s="1"/>
  <c r="M338" i="15" l="1"/>
  <c r="L338" i="15"/>
  <c r="N338" i="15" s="1"/>
  <c r="I461" i="15"/>
  <c r="H461" i="15"/>
  <c r="J461" i="15" s="1"/>
  <c r="U92" i="15"/>
  <c r="T92" i="15"/>
  <c r="V92" i="15" s="1"/>
  <c r="Q215" i="15"/>
  <c r="P215" i="15"/>
  <c r="R215" i="15" s="1"/>
  <c r="U93" i="15" l="1"/>
  <c r="T93" i="15"/>
  <c r="V93" i="15" s="1"/>
  <c r="M339" i="15"/>
  <c r="L339" i="15"/>
  <c r="N339" i="15" s="1"/>
  <c r="Q216" i="15"/>
  <c r="P216" i="15"/>
  <c r="R216" i="15" s="1"/>
  <c r="I462" i="15"/>
  <c r="H462" i="15"/>
  <c r="J462" i="15" s="1"/>
  <c r="I463" i="15" l="1"/>
  <c r="H463" i="15"/>
  <c r="J463" i="15" s="1"/>
  <c r="Q217" i="15"/>
  <c r="P217" i="15"/>
  <c r="R217" i="15" s="1"/>
  <c r="U94" i="15"/>
  <c r="T94" i="15"/>
  <c r="V94" i="15" s="1"/>
  <c r="M340" i="15"/>
  <c r="L340" i="15"/>
  <c r="N340" i="15" s="1"/>
  <c r="M341" i="15" l="1"/>
  <c r="L341" i="15"/>
  <c r="N341" i="15" s="1"/>
  <c r="U95" i="15"/>
  <c r="T95" i="15"/>
  <c r="V95" i="15" s="1"/>
  <c r="I464" i="15"/>
  <c r="H464" i="15"/>
  <c r="J464" i="15" s="1"/>
  <c r="Q218" i="15"/>
  <c r="P218" i="15"/>
  <c r="R218" i="15" s="1"/>
  <c r="Q219" i="15" l="1"/>
  <c r="P219" i="15"/>
  <c r="R219" i="15" s="1"/>
  <c r="I465" i="15"/>
  <c r="H465" i="15"/>
  <c r="J465" i="15" s="1"/>
  <c r="M342" i="15"/>
  <c r="L342" i="15"/>
  <c r="N342" i="15" s="1"/>
  <c r="U96" i="15"/>
  <c r="T96" i="15"/>
  <c r="V96" i="15" s="1"/>
  <c r="M343" i="15" l="1"/>
  <c r="L343" i="15"/>
  <c r="N343" i="15" s="1"/>
  <c r="Q220" i="15"/>
  <c r="P220" i="15"/>
  <c r="R220" i="15" s="1"/>
  <c r="U97" i="15"/>
  <c r="T97" i="15"/>
  <c r="V97" i="15" s="1"/>
  <c r="I466" i="15"/>
  <c r="H466" i="15"/>
  <c r="J466" i="15" s="1"/>
  <c r="U98" i="15" l="1"/>
  <c r="T98" i="15"/>
  <c r="V98" i="15" s="1"/>
  <c r="M344" i="15"/>
  <c r="L344" i="15"/>
  <c r="N344" i="15" s="1"/>
  <c r="I467" i="15"/>
  <c r="H467" i="15"/>
  <c r="J467" i="15" s="1"/>
  <c r="Q221" i="15"/>
  <c r="P221" i="15"/>
  <c r="R221" i="15" s="1"/>
  <c r="I468" i="15" l="1"/>
  <c r="H468" i="15"/>
  <c r="J468" i="15" s="1"/>
  <c r="U99" i="15"/>
  <c r="T99" i="15"/>
  <c r="V99" i="15" s="1"/>
  <c r="Q222" i="15"/>
  <c r="P222" i="15"/>
  <c r="R222" i="15" s="1"/>
  <c r="M345" i="15"/>
  <c r="L345" i="15"/>
  <c r="N345" i="15" s="1"/>
  <c r="Q223" i="15" l="1"/>
  <c r="P223" i="15"/>
  <c r="R223" i="15" s="1"/>
  <c r="I469" i="15"/>
  <c r="H469" i="15"/>
  <c r="J469" i="15" s="1"/>
  <c r="M346" i="15"/>
  <c r="L346" i="15"/>
  <c r="N346" i="15" s="1"/>
  <c r="U100" i="15"/>
  <c r="T100" i="15"/>
  <c r="V100" i="15" s="1"/>
  <c r="U101" i="15" l="1"/>
  <c r="T101" i="15"/>
  <c r="V101" i="15" s="1"/>
  <c r="M347" i="15"/>
  <c r="L347" i="15"/>
  <c r="N347" i="15" s="1"/>
  <c r="Q224" i="15"/>
  <c r="P224" i="15"/>
  <c r="R224" i="15" s="1"/>
  <c r="I470" i="15"/>
  <c r="H470" i="15"/>
  <c r="J470" i="15" s="1"/>
  <c r="I471" i="15" l="1"/>
  <c r="H471" i="15"/>
  <c r="J471" i="15" s="1"/>
  <c r="M348" i="15"/>
  <c r="L348" i="15"/>
  <c r="N348" i="15" s="1"/>
  <c r="U102" i="15"/>
  <c r="T102" i="15"/>
  <c r="V102" i="15" s="1"/>
  <c r="Q225" i="15"/>
  <c r="P225" i="15"/>
  <c r="R225" i="15" s="1"/>
  <c r="U103" i="15" l="1"/>
  <c r="T103" i="15"/>
  <c r="V103" i="15" s="1"/>
  <c r="I472" i="15"/>
  <c r="H472" i="15"/>
  <c r="J472" i="15" s="1"/>
  <c r="Q226" i="15"/>
  <c r="P226" i="15"/>
  <c r="R226" i="15" s="1"/>
  <c r="M349" i="15"/>
  <c r="L349" i="15"/>
  <c r="N349" i="15" s="1"/>
  <c r="M350" i="15" l="1"/>
  <c r="L350" i="15"/>
  <c r="N350" i="15" s="1"/>
  <c r="Q227" i="15"/>
  <c r="P227" i="15"/>
  <c r="R227" i="15" s="1"/>
  <c r="U104" i="15"/>
  <c r="T104" i="15"/>
  <c r="V104" i="15" s="1"/>
  <c r="I473" i="15"/>
  <c r="H473" i="15"/>
  <c r="J473" i="15" s="1"/>
  <c r="U105" i="15" l="1"/>
  <c r="T105" i="15"/>
  <c r="V105" i="15" s="1"/>
  <c r="M351" i="15"/>
  <c r="L351" i="15"/>
  <c r="N351" i="15" s="1"/>
  <c r="I474" i="15"/>
  <c r="H474" i="15"/>
  <c r="J474" i="15" s="1"/>
  <c r="Q228" i="15"/>
  <c r="P228" i="15"/>
  <c r="R228" i="15" s="1"/>
  <c r="Q229" i="15" l="1"/>
  <c r="P229" i="15"/>
  <c r="R229" i="15" s="1"/>
  <c r="I475" i="15"/>
  <c r="H475" i="15"/>
  <c r="J475" i="15" s="1"/>
  <c r="U106" i="15"/>
  <c r="T106" i="15"/>
  <c r="V106" i="15" s="1"/>
  <c r="M352" i="15"/>
  <c r="L352" i="15"/>
  <c r="N352" i="15" s="1"/>
  <c r="M353" i="15" l="1"/>
  <c r="L353" i="15"/>
  <c r="N353" i="15" s="1"/>
  <c r="U107" i="15"/>
  <c r="T107" i="15"/>
  <c r="V107" i="15" s="1"/>
  <c r="Q230" i="15"/>
  <c r="P230" i="15"/>
  <c r="R230" i="15" s="1"/>
  <c r="I476" i="15"/>
  <c r="H476" i="15"/>
  <c r="J476" i="15" s="1"/>
  <c r="I477" i="15" l="1"/>
  <c r="H477" i="15"/>
  <c r="J477" i="15" s="1"/>
  <c r="U108" i="15"/>
  <c r="T108" i="15"/>
  <c r="V108" i="15" s="1"/>
  <c r="M354" i="15"/>
  <c r="L354" i="15"/>
  <c r="N354" i="15" s="1"/>
  <c r="Q231" i="15"/>
  <c r="P231" i="15"/>
  <c r="R231" i="15" s="1"/>
  <c r="M355" i="15" l="1"/>
  <c r="L355" i="15"/>
  <c r="N355" i="15" s="1"/>
  <c r="I478" i="15"/>
  <c r="H478" i="15"/>
  <c r="J478" i="15" s="1"/>
  <c r="Q232" i="15"/>
  <c r="P232" i="15"/>
  <c r="R232" i="15" s="1"/>
  <c r="U109" i="15"/>
  <c r="T109" i="15"/>
  <c r="V109" i="15" s="1"/>
  <c r="Q233" i="15" l="1"/>
  <c r="P233" i="15"/>
  <c r="R233" i="15" s="1"/>
  <c r="M356" i="15"/>
  <c r="L356" i="15"/>
  <c r="N356" i="15" s="1"/>
  <c r="U110" i="15"/>
  <c r="T110" i="15"/>
  <c r="V110" i="15" s="1"/>
  <c r="I479" i="15"/>
  <c r="H479" i="15"/>
  <c r="J479" i="15" s="1"/>
  <c r="U111" i="15" l="1"/>
  <c r="T111" i="15"/>
  <c r="V111" i="15" s="1"/>
  <c r="Q234" i="15"/>
  <c r="P234" i="15"/>
  <c r="R234" i="15" s="1"/>
  <c r="I480" i="15"/>
  <c r="H480" i="15"/>
  <c r="J480" i="15" s="1"/>
  <c r="M357" i="15"/>
  <c r="L357" i="15"/>
  <c r="N357" i="15" s="1"/>
  <c r="M358" i="15" l="1"/>
  <c r="L358" i="15"/>
  <c r="N358" i="15" s="1"/>
  <c r="I481" i="15"/>
  <c r="H481" i="15"/>
  <c r="J481" i="15" s="1"/>
  <c r="U112" i="15"/>
  <c r="T112" i="15"/>
  <c r="V112" i="15" s="1"/>
  <c r="Q235" i="15"/>
  <c r="P235" i="15"/>
  <c r="R235" i="15" s="1"/>
  <c r="Q236" i="15" l="1"/>
  <c r="P236" i="15"/>
  <c r="R236" i="15" s="1"/>
  <c r="U113" i="15"/>
  <c r="T113" i="15"/>
  <c r="V113" i="15" s="1"/>
  <c r="M359" i="15"/>
  <c r="L359" i="15"/>
  <c r="N359" i="15" s="1"/>
  <c r="I482" i="15"/>
  <c r="H482" i="15"/>
  <c r="J482" i="15" s="1"/>
  <c r="I483" i="15" l="1"/>
  <c r="H483" i="15"/>
  <c r="J483" i="15" s="1"/>
  <c r="M360" i="15"/>
  <c r="L360" i="15"/>
  <c r="N360" i="15" s="1"/>
  <c r="Q237" i="15"/>
  <c r="P237" i="15"/>
  <c r="R237" i="15" s="1"/>
  <c r="U114" i="15"/>
  <c r="T114" i="15"/>
  <c r="V114" i="15" s="1"/>
  <c r="U115" i="15" l="1"/>
  <c r="T115" i="15"/>
  <c r="V115" i="15" s="1"/>
  <c r="Q238" i="15"/>
  <c r="P238" i="15"/>
  <c r="R238" i="15" s="1"/>
  <c r="I484" i="15"/>
  <c r="H484" i="15"/>
  <c r="J484" i="15" s="1"/>
  <c r="M361" i="15"/>
  <c r="L361" i="15"/>
  <c r="N361" i="15" s="1"/>
  <c r="M362" i="15" l="1"/>
  <c r="L362" i="15"/>
  <c r="N362" i="15" s="1"/>
  <c r="Q239" i="15"/>
  <c r="P239" i="15"/>
  <c r="R239" i="15" s="1"/>
  <c r="U116" i="15"/>
  <c r="T116" i="15"/>
  <c r="V116" i="15" s="1"/>
  <c r="I485" i="15"/>
  <c r="H485" i="15"/>
  <c r="J485" i="15" s="1"/>
  <c r="U117" i="15" l="1"/>
  <c r="T117" i="15"/>
  <c r="V117" i="15" s="1"/>
  <c r="M363" i="15"/>
  <c r="L363" i="15"/>
  <c r="N363" i="15" s="1"/>
  <c r="I486" i="15"/>
  <c r="H486" i="15"/>
  <c r="J486" i="15" s="1"/>
  <c r="Q240" i="15"/>
  <c r="P240" i="15"/>
  <c r="R240" i="15" s="1"/>
  <c r="Q241" i="15" l="1"/>
  <c r="P241" i="15"/>
  <c r="R241" i="15" s="1"/>
  <c r="I487" i="15"/>
  <c r="H487" i="15"/>
  <c r="J487" i="15" s="1"/>
  <c r="U118" i="15"/>
  <c r="T118" i="15"/>
  <c r="V118" i="15" s="1"/>
  <c r="M364" i="15"/>
  <c r="L364" i="15"/>
  <c r="N364" i="15" s="1"/>
  <c r="U119" i="15" l="1"/>
  <c r="T119" i="15"/>
  <c r="V119" i="15" s="1"/>
  <c r="Q242" i="15"/>
  <c r="P242" i="15"/>
  <c r="R242" i="15" s="1"/>
  <c r="M365" i="15"/>
  <c r="L365" i="15"/>
  <c r="N365" i="15" s="1"/>
  <c r="I488" i="15"/>
  <c r="H488" i="15"/>
  <c r="J488" i="15" s="1"/>
  <c r="I489" i="15" l="1"/>
  <c r="H489" i="15"/>
  <c r="J489" i="15" s="1"/>
  <c r="M366" i="15"/>
  <c r="L366" i="15"/>
  <c r="N366" i="15" s="1"/>
  <c r="U120" i="15"/>
  <c r="T120" i="15"/>
  <c r="V120" i="15" s="1"/>
  <c r="Q243" i="15"/>
  <c r="P243" i="15"/>
  <c r="R243" i="15" s="1"/>
  <c r="Q244" i="15" l="1"/>
  <c r="P244" i="15"/>
  <c r="R244" i="15" s="1"/>
  <c r="U121" i="15"/>
  <c r="T121" i="15"/>
  <c r="V121" i="15" s="1"/>
  <c r="I490" i="15"/>
  <c r="H490" i="15"/>
  <c r="J490" i="15" s="1"/>
  <c r="M367" i="15"/>
  <c r="L367" i="15"/>
  <c r="N367" i="15" s="1"/>
  <c r="I491" i="15" l="1"/>
  <c r="H491" i="15"/>
  <c r="J491" i="15" s="1"/>
  <c r="Q245" i="15"/>
  <c r="P245" i="15"/>
  <c r="R245" i="15" s="1"/>
  <c r="M368" i="15"/>
  <c r="L368" i="15"/>
  <c r="N368" i="15" s="1"/>
  <c r="U122" i="15"/>
  <c r="T122" i="15"/>
  <c r="V122" i="15" s="1"/>
  <c r="M369" i="15" l="1"/>
  <c r="L369" i="15"/>
  <c r="N369" i="15" s="1"/>
  <c r="I492" i="15"/>
  <c r="H492" i="15"/>
  <c r="J492" i="15" s="1"/>
  <c r="U123" i="15"/>
  <c r="T123" i="15"/>
  <c r="V123" i="15" s="1"/>
  <c r="Q246" i="15"/>
  <c r="P246" i="15"/>
  <c r="R246" i="15" s="1"/>
  <c r="Q247" i="15" l="1"/>
  <c r="P247" i="15"/>
  <c r="R247" i="15" s="1"/>
  <c r="U124" i="15"/>
  <c r="T124" i="15"/>
  <c r="V124" i="15" s="1"/>
  <c r="M370" i="15"/>
  <c r="L370" i="15"/>
  <c r="N370" i="15" s="1"/>
  <c r="I493" i="15"/>
  <c r="H493" i="15"/>
  <c r="J493" i="15" s="1"/>
  <c r="I494" i="15" l="1"/>
  <c r="H494" i="15"/>
  <c r="J494" i="15" s="1"/>
  <c r="U125" i="15"/>
  <c r="T125" i="15"/>
  <c r="V125" i="15" s="1"/>
  <c r="Q248" i="15"/>
  <c r="P248" i="15"/>
  <c r="R248" i="15" s="1"/>
  <c r="M371" i="15"/>
  <c r="L371" i="15"/>
  <c r="N371" i="15" s="1"/>
  <c r="Q249" i="15" l="1"/>
  <c r="P249" i="15"/>
  <c r="R249" i="15" s="1"/>
  <c r="I495" i="15"/>
  <c r="H495" i="15"/>
  <c r="J495" i="15" s="1"/>
  <c r="M372" i="15"/>
  <c r="L372" i="15"/>
  <c r="N372" i="15" s="1"/>
  <c r="U126" i="15"/>
  <c r="T126" i="15"/>
  <c r="V126" i="15" s="1"/>
  <c r="U127" i="15" l="1"/>
  <c r="T127" i="15"/>
  <c r="V127" i="15" s="1"/>
  <c r="M373" i="15"/>
  <c r="L373" i="15"/>
  <c r="N373" i="15" s="1"/>
  <c r="Q250" i="15"/>
  <c r="P250" i="15"/>
  <c r="R250" i="15" s="1"/>
  <c r="I496" i="15"/>
  <c r="H496" i="15"/>
  <c r="J496" i="15" s="1"/>
  <c r="Q251" i="15" l="1"/>
  <c r="P251" i="15"/>
  <c r="R251" i="15" s="1"/>
  <c r="U128" i="15"/>
  <c r="T128" i="15"/>
  <c r="V128" i="15" s="1"/>
  <c r="I497" i="15"/>
  <c r="H497" i="15"/>
  <c r="J497" i="15" s="1"/>
  <c r="M374" i="15"/>
  <c r="L374" i="15"/>
  <c r="N374" i="15" s="1"/>
  <c r="I498" i="15" l="1"/>
  <c r="H498" i="15"/>
  <c r="J498" i="15" s="1"/>
  <c r="Q252" i="15"/>
  <c r="P252" i="15"/>
  <c r="R252" i="15" s="1"/>
  <c r="M375" i="15"/>
  <c r="L375" i="15"/>
  <c r="N375" i="15" s="1"/>
  <c r="U129" i="15"/>
  <c r="T129" i="15"/>
  <c r="V129" i="15" s="1"/>
  <c r="U130" i="15" l="1"/>
  <c r="T130" i="15"/>
  <c r="V130" i="15" s="1"/>
  <c r="M376" i="15"/>
  <c r="L376" i="15"/>
  <c r="N376" i="15" s="1"/>
  <c r="I499" i="15"/>
  <c r="H499" i="15"/>
  <c r="J499" i="15" s="1"/>
  <c r="Q253" i="15"/>
  <c r="P253" i="15"/>
  <c r="R253" i="15" s="1"/>
  <c r="Q254" i="15" l="1"/>
  <c r="P254" i="15"/>
  <c r="R254" i="15" s="1"/>
  <c r="I500" i="15"/>
  <c r="H500" i="15"/>
  <c r="J500" i="15" s="1"/>
  <c r="U131" i="15"/>
  <c r="T131" i="15"/>
  <c r="V131" i="15" s="1"/>
  <c r="M377" i="15"/>
  <c r="L377" i="15"/>
  <c r="N377" i="15" s="1"/>
  <c r="M378" i="15" l="1"/>
  <c r="L378" i="15"/>
  <c r="N378" i="15" s="1"/>
  <c r="U132" i="15"/>
  <c r="T132" i="15"/>
  <c r="V132" i="15" s="1"/>
  <c r="Q255" i="15"/>
  <c r="P255" i="15"/>
  <c r="R255" i="15" s="1"/>
  <c r="I501" i="15"/>
  <c r="H501" i="15"/>
  <c r="J501" i="15" s="1"/>
  <c r="I502" i="15" l="1"/>
  <c r="H502" i="15"/>
  <c r="J502" i="15" s="1"/>
  <c r="Q256" i="15"/>
  <c r="P256" i="15"/>
  <c r="R256" i="15" s="1"/>
  <c r="M379" i="15"/>
  <c r="L379" i="15"/>
  <c r="N379" i="15" s="1"/>
  <c r="U133" i="15"/>
  <c r="T133" i="15"/>
  <c r="V133" i="15" s="1"/>
  <c r="U134" i="15" l="1"/>
  <c r="T134" i="15"/>
  <c r="V134" i="15" s="1"/>
  <c r="M380" i="15"/>
  <c r="L380" i="15"/>
  <c r="N380" i="15" s="1"/>
  <c r="I503" i="15"/>
  <c r="H503" i="15"/>
  <c r="J503" i="15" s="1"/>
  <c r="Q257" i="15"/>
  <c r="P257" i="15"/>
  <c r="R257" i="15" s="1"/>
  <c r="Q258" i="15" l="1"/>
  <c r="P258" i="15"/>
  <c r="R258" i="15" s="1"/>
  <c r="M381" i="15"/>
  <c r="L381" i="15"/>
  <c r="N381" i="15" s="1"/>
  <c r="U135" i="15"/>
  <c r="T135" i="15"/>
  <c r="V135" i="15" s="1"/>
  <c r="I504" i="15"/>
  <c r="H504" i="15"/>
  <c r="J504" i="15" s="1"/>
  <c r="I505" i="15" l="1"/>
  <c r="H505" i="15"/>
  <c r="J505" i="15" s="1"/>
  <c r="U136" i="15"/>
  <c r="T136" i="15"/>
  <c r="V136" i="15" s="1"/>
  <c r="Q259" i="15"/>
  <c r="P259" i="15"/>
  <c r="R259" i="15" s="1"/>
  <c r="M382" i="15"/>
  <c r="L382" i="15"/>
  <c r="N382" i="15" s="1"/>
  <c r="Q260" i="15" l="1"/>
  <c r="P260" i="15"/>
  <c r="R260" i="15" s="1"/>
  <c r="I506" i="15"/>
  <c r="H506" i="15"/>
  <c r="J506" i="15" s="1"/>
  <c r="M383" i="15"/>
  <c r="L383" i="15"/>
  <c r="N383" i="15" s="1"/>
  <c r="U137" i="15"/>
  <c r="T137" i="15"/>
  <c r="V137" i="15" s="1"/>
  <c r="M384" i="15" l="1"/>
  <c r="L384" i="15"/>
  <c r="N384" i="15" s="1"/>
  <c r="Q261" i="15"/>
  <c r="P261" i="15"/>
  <c r="R261" i="15" s="1"/>
  <c r="U138" i="15"/>
  <c r="T138" i="15"/>
  <c r="V138" i="15" s="1"/>
  <c r="I507" i="15"/>
  <c r="H507" i="15"/>
  <c r="J507" i="15" s="1"/>
  <c r="U139" i="15" l="1"/>
  <c r="T139" i="15"/>
  <c r="V139" i="15" s="1"/>
  <c r="M385" i="15"/>
  <c r="L385" i="15"/>
  <c r="N385" i="15" s="1"/>
  <c r="I508" i="15"/>
  <c r="H508" i="15"/>
  <c r="J508" i="15" s="1"/>
  <c r="Q262" i="15"/>
  <c r="P262" i="15"/>
  <c r="R262" i="15" s="1"/>
  <c r="Q263" i="15" l="1"/>
  <c r="P263" i="15"/>
  <c r="R263" i="15" s="1"/>
  <c r="I509" i="15"/>
  <c r="H509" i="15"/>
  <c r="J509" i="15" s="1"/>
  <c r="U140" i="15"/>
  <c r="T140" i="15"/>
  <c r="V140" i="15" s="1"/>
  <c r="M386" i="15"/>
  <c r="L386" i="15"/>
  <c r="N386" i="15" s="1"/>
  <c r="M387" i="15" l="1"/>
  <c r="L387" i="15"/>
  <c r="N387" i="15" s="1"/>
  <c r="U141" i="15"/>
  <c r="T141" i="15"/>
  <c r="V141" i="15" s="1"/>
  <c r="Q264" i="15"/>
  <c r="P264" i="15"/>
  <c r="R264" i="15" s="1"/>
  <c r="I510" i="15"/>
  <c r="H510" i="15"/>
  <c r="J510" i="15" s="1"/>
  <c r="Q265" i="15" l="1"/>
  <c r="P265" i="15"/>
  <c r="R265" i="15" s="1"/>
  <c r="M388" i="15"/>
  <c r="L388" i="15"/>
  <c r="N388" i="15" s="1"/>
  <c r="I511" i="15"/>
  <c r="H511" i="15"/>
  <c r="J511" i="15" s="1"/>
  <c r="U142" i="15"/>
  <c r="T142" i="15"/>
  <c r="V142" i="15" s="1"/>
  <c r="I512" i="15" l="1"/>
  <c r="H512" i="15"/>
  <c r="J512" i="15" s="1"/>
  <c r="Q266" i="15"/>
  <c r="P266" i="15"/>
  <c r="R266" i="15" s="1"/>
  <c r="U143" i="15"/>
  <c r="T143" i="15"/>
  <c r="V143" i="15" s="1"/>
  <c r="M389" i="15"/>
  <c r="L389" i="15"/>
  <c r="N389" i="15" s="1"/>
  <c r="U144" i="15" l="1"/>
  <c r="T144" i="15"/>
  <c r="V144" i="15" s="1"/>
  <c r="I513" i="15"/>
  <c r="H513" i="15"/>
  <c r="J513" i="15" s="1"/>
  <c r="M390" i="15"/>
  <c r="L390" i="15"/>
  <c r="N390" i="15" s="1"/>
  <c r="Q267" i="15"/>
  <c r="P267" i="15"/>
  <c r="R267" i="15" s="1"/>
  <c r="Q268" i="15" l="1"/>
  <c r="P268" i="15"/>
  <c r="R268" i="15" s="1"/>
  <c r="M391" i="15"/>
  <c r="L391" i="15"/>
  <c r="N391" i="15" s="1"/>
  <c r="U145" i="15"/>
  <c r="T145" i="15"/>
  <c r="V145" i="15" s="1"/>
  <c r="I514" i="15"/>
  <c r="H514" i="15"/>
  <c r="J514" i="15" s="1"/>
  <c r="I515" i="15" l="1"/>
  <c r="H515" i="15"/>
  <c r="J515" i="15" s="1"/>
  <c r="U146" i="15"/>
  <c r="T146" i="15"/>
  <c r="V146" i="15" s="1"/>
  <c r="Q269" i="15"/>
  <c r="P269" i="15"/>
  <c r="R269" i="15" s="1"/>
  <c r="M392" i="15"/>
  <c r="L392" i="15"/>
  <c r="N392" i="15" s="1"/>
  <c r="M393" i="15" l="1"/>
  <c r="L393" i="15"/>
  <c r="N393" i="15" s="1"/>
  <c r="Q270" i="15"/>
  <c r="P270" i="15"/>
  <c r="R270" i="15" s="1"/>
  <c r="I516" i="15"/>
  <c r="H516" i="15"/>
  <c r="J516" i="15" s="1"/>
  <c r="K7" i="15"/>
  <c r="U147" i="15"/>
  <c r="T147" i="15"/>
  <c r="V147" i="15" s="1"/>
  <c r="I517" i="15" l="1"/>
  <c r="H517" i="15"/>
  <c r="J517" i="15" s="1"/>
  <c r="Q271" i="15"/>
  <c r="P271" i="15"/>
  <c r="R271" i="15" s="1"/>
  <c r="M394" i="15"/>
  <c r="L394" i="15"/>
  <c r="N394" i="15" s="1"/>
  <c r="U148" i="15"/>
  <c r="T148" i="15"/>
  <c r="V148" i="15" s="1"/>
  <c r="H8" i="15"/>
  <c r="L7" i="15"/>
  <c r="M7" i="15"/>
  <c r="F8" i="15"/>
  <c r="E8" i="15" s="1"/>
  <c r="D8" i="15"/>
  <c r="C8" i="15" s="1"/>
  <c r="U149" i="15" l="1"/>
  <c r="T149" i="15"/>
  <c r="V149" i="15" s="1"/>
  <c r="M395" i="15"/>
  <c r="L395" i="15"/>
  <c r="N395" i="15" s="1"/>
  <c r="I518" i="15"/>
  <c r="H518" i="15"/>
  <c r="J518" i="15" s="1"/>
  <c r="Q272" i="15"/>
  <c r="P272" i="15"/>
  <c r="R272" i="15" s="1"/>
  <c r="W27" i="15"/>
  <c r="J8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I8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728" i="15"/>
  <c r="W729" i="15"/>
  <c r="W730" i="15"/>
  <c r="W731" i="15"/>
  <c r="W732" i="15"/>
  <c r="W733" i="15"/>
  <c r="W734" i="15"/>
  <c r="W735" i="15"/>
  <c r="W736" i="15"/>
  <c r="W737" i="15"/>
  <c r="W738" i="15"/>
  <c r="W739" i="15"/>
  <c r="W740" i="15"/>
  <c r="W741" i="15"/>
  <c r="W742" i="15"/>
  <c r="W743" i="15"/>
  <c r="W744" i="15"/>
  <c r="W745" i="15"/>
  <c r="W746" i="15"/>
  <c r="W747" i="15"/>
  <c r="W748" i="15"/>
  <c r="W749" i="15"/>
  <c r="W750" i="15"/>
  <c r="W751" i="15"/>
  <c r="W752" i="15"/>
  <c r="W753" i="15"/>
  <c r="W754" i="15"/>
  <c r="W755" i="15"/>
  <c r="W756" i="15"/>
  <c r="W757" i="15"/>
  <c r="W758" i="15"/>
  <c r="W759" i="15"/>
  <c r="W760" i="15"/>
  <c r="W761" i="15"/>
  <c r="W762" i="15"/>
  <c r="W763" i="15"/>
  <c r="W764" i="15"/>
  <c r="W765" i="15"/>
  <c r="W766" i="15"/>
  <c r="W767" i="15"/>
  <c r="W768" i="15"/>
  <c r="W769" i="15"/>
  <c r="W770" i="15"/>
  <c r="W771" i="15"/>
  <c r="W772" i="15"/>
  <c r="W773" i="15"/>
  <c r="W774" i="15"/>
  <c r="W775" i="15"/>
  <c r="W776" i="15"/>
  <c r="W777" i="15"/>
  <c r="W778" i="15"/>
  <c r="W779" i="15"/>
  <c r="W780" i="15"/>
  <c r="W781" i="15"/>
  <c r="W782" i="15"/>
  <c r="W783" i="15"/>
  <c r="W784" i="15"/>
  <c r="W785" i="15"/>
  <c r="W786" i="15"/>
  <c r="W787" i="15"/>
  <c r="W788" i="15"/>
  <c r="W789" i="15"/>
  <c r="W790" i="15"/>
  <c r="W791" i="15"/>
  <c r="W792" i="15"/>
  <c r="W793" i="15"/>
  <c r="W794" i="15"/>
  <c r="W795" i="15"/>
  <c r="W796" i="15"/>
  <c r="W797" i="15"/>
  <c r="W798" i="15"/>
  <c r="W799" i="15"/>
  <c r="W800" i="15"/>
  <c r="W801" i="15"/>
  <c r="W802" i="15"/>
  <c r="W803" i="15"/>
  <c r="W804" i="15"/>
  <c r="W805" i="15"/>
  <c r="W806" i="15"/>
  <c r="W807" i="15"/>
  <c r="W808" i="15"/>
  <c r="W809" i="15"/>
  <c r="W810" i="15"/>
  <c r="W811" i="15"/>
  <c r="W812" i="15"/>
  <c r="W813" i="15"/>
  <c r="W814" i="15"/>
  <c r="W815" i="15"/>
  <c r="W816" i="15"/>
  <c r="W817" i="15"/>
  <c r="W818" i="15"/>
  <c r="W819" i="15"/>
  <c r="W820" i="15"/>
  <c r="W821" i="15"/>
  <c r="W822" i="15"/>
  <c r="W823" i="15"/>
  <c r="W824" i="15"/>
  <c r="W825" i="15"/>
  <c r="W826" i="15"/>
  <c r="W827" i="15"/>
  <c r="W828" i="15"/>
  <c r="W829" i="15"/>
  <c r="W830" i="15"/>
  <c r="W831" i="15"/>
  <c r="W832" i="15"/>
  <c r="W833" i="15"/>
  <c r="W834" i="15"/>
  <c r="W835" i="15"/>
  <c r="W836" i="15"/>
  <c r="W837" i="15"/>
  <c r="W838" i="15"/>
  <c r="W839" i="15"/>
  <c r="W840" i="15"/>
  <c r="W841" i="15"/>
  <c r="W842" i="15"/>
  <c r="W843" i="15"/>
  <c r="W844" i="15"/>
  <c r="W845" i="15"/>
  <c r="W846" i="15"/>
  <c r="W847" i="15"/>
  <c r="W848" i="15"/>
  <c r="W849" i="15"/>
  <c r="W850" i="15"/>
  <c r="W851" i="15"/>
  <c r="W852" i="15"/>
  <c r="W853" i="15"/>
  <c r="W854" i="15"/>
  <c r="W855" i="15"/>
  <c r="W856" i="15"/>
  <c r="W857" i="15"/>
  <c r="W858" i="15"/>
  <c r="W859" i="15"/>
  <c r="W860" i="15"/>
  <c r="W861" i="15"/>
  <c r="W862" i="15"/>
  <c r="W863" i="15"/>
  <c r="W864" i="15"/>
  <c r="W865" i="15"/>
  <c r="W866" i="15"/>
  <c r="W867" i="15"/>
  <c r="W868" i="15"/>
  <c r="W869" i="15"/>
  <c r="W870" i="15"/>
  <c r="W871" i="15"/>
  <c r="W872" i="15"/>
  <c r="W873" i="15"/>
  <c r="W874" i="15"/>
  <c r="W875" i="15"/>
  <c r="W876" i="15"/>
  <c r="W877" i="15"/>
  <c r="W878" i="15"/>
  <c r="W879" i="15"/>
  <c r="W880" i="15"/>
  <c r="W881" i="15"/>
  <c r="W882" i="15"/>
  <c r="W883" i="15"/>
  <c r="W884" i="15"/>
  <c r="W885" i="15"/>
  <c r="W886" i="15"/>
  <c r="W887" i="15"/>
  <c r="W888" i="15"/>
  <c r="W889" i="15"/>
  <c r="W890" i="15"/>
  <c r="W891" i="15"/>
  <c r="W892" i="15"/>
  <c r="W893" i="15"/>
  <c r="W894" i="15"/>
  <c r="W895" i="15"/>
  <c r="W896" i="15"/>
  <c r="W897" i="15"/>
  <c r="W898" i="15"/>
  <c r="W899" i="15"/>
  <c r="W900" i="15"/>
  <c r="W901" i="15"/>
  <c r="W902" i="15"/>
  <c r="W903" i="15"/>
  <c r="W904" i="15"/>
  <c r="W905" i="15"/>
  <c r="W906" i="15"/>
  <c r="W907" i="15"/>
  <c r="W908" i="15"/>
  <c r="W909" i="15"/>
  <c r="W910" i="15"/>
  <c r="W911" i="15"/>
  <c r="W912" i="15"/>
  <c r="W913" i="15"/>
  <c r="W914" i="15"/>
  <c r="W915" i="15"/>
  <c r="W916" i="15"/>
  <c r="W917" i="15"/>
  <c r="W918" i="15"/>
  <c r="W919" i="15"/>
  <c r="W920" i="15"/>
  <c r="W921" i="15"/>
  <c r="W922" i="15"/>
  <c r="W923" i="15"/>
  <c r="W924" i="15"/>
  <c r="W925" i="15"/>
  <c r="W926" i="15"/>
  <c r="W927" i="15"/>
  <c r="W928" i="15"/>
  <c r="W929" i="15"/>
  <c r="W930" i="15"/>
  <c r="W931" i="15"/>
  <c r="W932" i="15"/>
  <c r="W933" i="15"/>
  <c r="W934" i="15"/>
  <c r="W935" i="15"/>
  <c r="W936" i="15"/>
  <c r="W937" i="15"/>
  <c r="W938" i="15"/>
  <c r="W939" i="15"/>
  <c r="W940" i="15"/>
  <c r="W941" i="15"/>
  <c r="W942" i="15"/>
  <c r="W943" i="15"/>
  <c r="W944" i="15"/>
  <c r="W945" i="15"/>
  <c r="W946" i="15"/>
  <c r="W947" i="15"/>
  <c r="W948" i="15"/>
  <c r="W949" i="15"/>
  <c r="W950" i="15"/>
  <c r="W951" i="15"/>
  <c r="W952" i="15"/>
  <c r="W953" i="15"/>
  <c r="W954" i="15"/>
  <c r="W955" i="15"/>
  <c r="W956" i="15"/>
  <c r="W957" i="15"/>
  <c r="W958" i="15"/>
  <c r="W959" i="15"/>
  <c r="W960" i="15"/>
  <c r="W961" i="15"/>
  <c r="W962" i="15"/>
  <c r="W963" i="15"/>
  <c r="W964" i="15"/>
  <c r="W965" i="15"/>
  <c r="W966" i="15"/>
  <c r="W967" i="15"/>
  <c r="W968" i="15"/>
  <c r="W969" i="15"/>
  <c r="W970" i="15"/>
  <c r="W971" i="15"/>
  <c r="W972" i="15"/>
  <c r="W973" i="15"/>
  <c r="W974" i="15"/>
  <c r="W975" i="15"/>
  <c r="W976" i="15"/>
  <c r="W977" i="15"/>
  <c r="W978" i="15"/>
  <c r="W979" i="15"/>
  <c r="W980" i="15"/>
  <c r="W981" i="15"/>
  <c r="W982" i="15"/>
  <c r="W983" i="15"/>
  <c r="W984" i="15"/>
  <c r="W985" i="15"/>
  <c r="W986" i="15"/>
  <c r="W987" i="15"/>
  <c r="W988" i="15"/>
  <c r="W989" i="15"/>
  <c r="W990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015" i="15"/>
  <c r="W1016" i="15"/>
  <c r="W1017" i="15"/>
  <c r="W1018" i="15"/>
  <c r="W1019" i="15"/>
  <c r="W1020" i="15"/>
  <c r="W1021" i="15"/>
  <c r="W1022" i="15"/>
  <c r="W1023" i="15"/>
  <c r="W1024" i="15"/>
  <c r="W1025" i="15"/>
  <c r="W1026" i="15"/>
  <c r="W1027" i="15"/>
  <c r="Y27" i="15"/>
  <c r="Q273" i="15" l="1"/>
  <c r="P273" i="15"/>
  <c r="R273" i="15" s="1"/>
  <c r="I519" i="15"/>
  <c r="H519" i="15"/>
  <c r="J519" i="15" s="1"/>
  <c r="M396" i="15"/>
  <c r="L396" i="15"/>
  <c r="N396" i="15" s="1"/>
  <c r="U150" i="15"/>
  <c r="T150" i="15"/>
  <c r="V150" i="15" s="1"/>
  <c r="X27" i="15"/>
  <c r="Z27" i="15" s="1"/>
  <c r="U151" i="15" l="1"/>
  <c r="T151" i="15"/>
  <c r="V151" i="15" s="1"/>
  <c r="M397" i="15"/>
  <c r="L397" i="15"/>
  <c r="N397" i="15" s="1"/>
  <c r="Q274" i="15"/>
  <c r="P274" i="15"/>
  <c r="R274" i="15" s="1"/>
  <c r="I520" i="15"/>
  <c r="H520" i="15"/>
  <c r="J520" i="15" s="1"/>
  <c r="Y28" i="15"/>
  <c r="X28" i="15"/>
  <c r="Z28" i="15" s="1"/>
  <c r="I521" i="15" l="1"/>
  <c r="H521" i="15"/>
  <c r="J521" i="15" s="1"/>
  <c r="Q275" i="15"/>
  <c r="P275" i="15"/>
  <c r="R275" i="15" s="1"/>
  <c r="U152" i="15"/>
  <c r="T152" i="15"/>
  <c r="V152" i="15" s="1"/>
  <c r="Y29" i="15"/>
  <c r="X29" i="15"/>
  <c r="Z29" i="15" s="1"/>
  <c r="M398" i="15"/>
  <c r="L398" i="15"/>
  <c r="N398" i="15" s="1"/>
  <c r="M399" i="15" l="1"/>
  <c r="L399" i="15"/>
  <c r="N399" i="15" s="1"/>
  <c r="U153" i="15"/>
  <c r="T153" i="15"/>
  <c r="V153" i="15" s="1"/>
  <c r="I522" i="15"/>
  <c r="H522" i="15"/>
  <c r="J522" i="15" s="1"/>
  <c r="Y30" i="15"/>
  <c r="X30" i="15"/>
  <c r="Z30" i="15" s="1"/>
  <c r="Q276" i="15"/>
  <c r="P276" i="15"/>
  <c r="R276" i="15" s="1"/>
  <c r="Q277" i="15" l="1"/>
  <c r="P277" i="15"/>
  <c r="R277" i="15" s="1"/>
  <c r="I523" i="15"/>
  <c r="H523" i="15"/>
  <c r="J523" i="15" s="1"/>
  <c r="M400" i="15"/>
  <c r="L400" i="15"/>
  <c r="N400" i="15" s="1"/>
  <c r="Y31" i="15"/>
  <c r="X31" i="15"/>
  <c r="Z31" i="15" s="1"/>
  <c r="U154" i="15"/>
  <c r="T154" i="15"/>
  <c r="V154" i="15" s="1"/>
  <c r="U155" i="15" l="1"/>
  <c r="T155" i="15"/>
  <c r="V155" i="15" s="1"/>
  <c r="Y32" i="15"/>
  <c r="X32" i="15"/>
  <c r="Z32" i="15" s="1"/>
  <c r="M401" i="15"/>
  <c r="L401" i="15"/>
  <c r="N401" i="15" s="1"/>
  <c r="Q278" i="15"/>
  <c r="P278" i="15"/>
  <c r="R278" i="15" s="1"/>
  <c r="I524" i="15"/>
  <c r="H524" i="15"/>
  <c r="J524" i="15" s="1"/>
  <c r="I525" i="15" l="1"/>
  <c r="H525" i="15"/>
  <c r="J525" i="15" s="1"/>
  <c r="Q279" i="15"/>
  <c r="P279" i="15"/>
  <c r="R279" i="15" s="1"/>
  <c r="Y33" i="15"/>
  <c r="X33" i="15"/>
  <c r="Z33" i="15" s="1"/>
  <c r="U156" i="15"/>
  <c r="T156" i="15"/>
  <c r="V156" i="15" s="1"/>
  <c r="M402" i="15"/>
  <c r="L402" i="15"/>
  <c r="N402" i="15" s="1"/>
  <c r="M403" i="15" l="1"/>
  <c r="L403" i="15"/>
  <c r="N403" i="15" s="1"/>
  <c r="U157" i="15"/>
  <c r="T157" i="15"/>
  <c r="V157" i="15" s="1"/>
  <c r="Y34" i="15"/>
  <c r="X34" i="15"/>
  <c r="Z34" i="15" s="1"/>
  <c r="I526" i="15"/>
  <c r="H526" i="15"/>
  <c r="J526" i="15" s="1"/>
  <c r="Q280" i="15"/>
  <c r="P280" i="15"/>
  <c r="R280" i="15" s="1"/>
  <c r="Q281" i="15" l="1"/>
  <c r="P281" i="15"/>
  <c r="R281" i="15" s="1"/>
  <c r="I527" i="15"/>
  <c r="H527" i="15"/>
  <c r="J527" i="15" s="1"/>
  <c r="U158" i="15"/>
  <c r="T158" i="15"/>
  <c r="V158" i="15" s="1"/>
  <c r="M404" i="15"/>
  <c r="L404" i="15"/>
  <c r="N404" i="15" s="1"/>
  <c r="Y35" i="15"/>
  <c r="X35" i="15"/>
  <c r="Z35" i="15" s="1"/>
  <c r="Y36" i="15" l="1"/>
  <c r="X36" i="15"/>
  <c r="Z36" i="15" s="1"/>
  <c r="M405" i="15"/>
  <c r="L405" i="15"/>
  <c r="N405" i="15" s="1"/>
  <c r="U159" i="15"/>
  <c r="T159" i="15"/>
  <c r="V159" i="15" s="1"/>
  <c r="Q282" i="15"/>
  <c r="P282" i="15"/>
  <c r="R282" i="15" s="1"/>
  <c r="I528" i="15"/>
  <c r="H528" i="15"/>
  <c r="J528" i="15" s="1"/>
  <c r="I529" i="15" l="1"/>
  <c r="H529" i="15"/>
  <c r="J529" i="15" s="1"/>
  <c r="Q283" i="15"/>
  <c r="P283" i="15"/>
  <c r="R283" i="15" s="1"/>
  <c r="U160" i="15"/>
  <c r="T160" i="15"/>
  <c r="V160" i="15" s="1"/>
  <c r="Y37" i="15"/>
  <c r="X37" i="15"/>
  <c r="Z37" i="15" s="1"/>
  <c r="M406" i="15"/>
  <c r="L406" i="15"/>
  <c r="N406" i="15" s="1"/>
  <c r="M407" i="15" l="1"/>
  <c r="L407" i="15"/>
  <c r="N407" i="15" s="1"/>
  <c r="Y38" i="15"/>
  <c r="X38" i="15"/>
  <c r="Z38" i="15" s="1"/>
  <c r="U161" i="15"/>
  <c r="T161" i="15"/>
  <c r="V161" i="15" s="1"/>
  <c r="I530" i="15"/>
  <c r="H530" i="15"/>
  <c r="J530" i="15" s="1"/>
  <c r="Q284" i="15"/>
  <c r="P284" i="15"/>
  <c r="R284" i="15" s="1"/>
  <c r="Q285" i="15" l="1"/>
  <c r="P285" i="15"/>
  <c r="R285" i="15" s="1"/>
  <c r="U162" i="15"/>
  <c r="T162" i="15"/>
  <c r="V162" i="15" s="1"/>
  <c r="M408" i="15"/>
  <c r="L408" i="15"/>
  <c r="N408" i="15" s="1"/>
  <c r="I531" i="15"/>
  <c r="H531" i="15"/>
  <c r="J531" i="15" s="1"/>
  <c r="Y39" i="15"/>
  <c r="X39" i="15"/>
  <c r="Z39" i="15" s="1"/>
  <c r="Y40" i="15" l="1"/>
  <c r="X40" i="15"/>
  <c r="Z40" i="15" s="1"/>
  <c r="M409" i="15"/>
  <c r="L409" i="15"/>
  <c r="N409" i="15" s="1"/>
  <c r="Q286" i="15"/>
  <c r="P286" i="15"/>
  <c r="R286" i="15" s="1"/>
  <c r="I532" i="15"/>
  <c r="H532" i="15"/>
  <c r="J532" i="15" s="1"/>
  <c r="U163" i="15"/>
  <c r="T163" i="15"/>
  <c r="V163" i="15" s="1"/>
  <c r="U164" i="15" l="1"/>
  <c r="T164" i="15"/>
  <c r="V164" i="15" s="1"/>
  <c r="Q287" i="15"/>
  <c r="P287" i="15"/>
  <c r="R287" i="15" s="1"/>
  <c r="Y41" i="15"/>
  <c r="X41" i="15"/>
  <c r="Z41" i="15" s="1"/>
  <c r="I533" i="15"/>
  <c r="H533" i="15"/>
  <c r="J533" i="15" s="1"/>
  <c r="M410" i="15"/>
  <c r="L410" i="15"/>
  <c r="N410" i="15" s="1"/>
  <c r="M411" i="15" l="1"/>
  <c r="L411" i="15"/>
  <c r="N411" i="15" s="1"/>
  <c r="Y42" i="15"/>
  <c r="X42" i="15"/>
  <c r="Z42" i="15" s="1"/>
  <c r="U165" i="15"/>
  <c r="T165" i="15"/>
  <c r="V165" i="15" s="1"/>
  <c r="I534" i="15"/>
  <c r="H534" i="15"/>
  <c r="J534" i="15" s="1"/>
  <c r="Q288" i="15"/>
  <c r="P288" i="15"/>
  <c r="R288" i="15" s="1"/>
  <c r="Q289" i="15" l="1"/>
  <c r="P289" i="15"/>
  <c r="R289" i="15" s="1"/>
  <c r="I535" i="15"/>
  <c r="H535" i="15"/>
  <c r="J535" i="15" s="1"/>
  <c r="U166" i="15"/>
  <c r="T166" i="15"/>
  <c r="V166" i="15" s="1"/>
  <c r="M412" i="15"/>
  <c r="L412" i="15"/>
  <c r="N412" i="15" s="1"/>
  <c r="Y43" i="15"/>
  <c r="X43" i="15"/>
  <c r="Z43" i="15" s="1"/>
  <c r="Y44" i="15" l="1"/>
  <c r="X44" i="15"/>
  <c r="Z44" i="15" s="1"/>
  <c r="M413" i="15"/>
  <c r="L413" i="15"/>
  <c r="N413" i="15" s="1"/>
  <c r="U167" i="15"/>
  <c r="T167" i="15"/>
  <c r="V167" i="15" s="1"/>
  <c r="Q290" i="15"/>
  <c r="P290" i="15"/>
  <c r="R290" i="15" s="1"/>
  <c r="I536" i="15"/>
  <c r="H536" i="15"/>
  <c r="J536" i="15" s="1"/>
  <c r="I537" i="15" l="1"/>
  <c r="H537" i="15"/>
  <c r="J537" i="15" s="1"/>
  <c r="Q291" i="15"/>
  <c r="P291" i="15"/>
  <c r="R291" i="15" s="1"/>
  <c r="M414" i="15"/>
  <c r="L414" i="15"/>
  <c r="N414" i="15" s="1"/>
  <c r="Y45" i="15"/>
  <c r="X45" i="15"/>
  <c r="Z45" i="15" s="1"/>
  <c r="U168" i="15"/>
  <c r="T168" i="15"/>
  <c r="V168" i="15" s="1"/>
  <c r="U169" i="15" l="1"/>
  <c r="T169" i="15"/>
  <c r="V169" i="15" s="1"/>
  <c r="M415" i="15"/>
  <c r="L415" i="15"/>
  <c r="N415" i="15" s="1"/>
  <c r="I538" i="15"/>
  <c r="H538" i="15"/>
  <c r="J538" i="15" s="1"/>
  <c r="Y46" i="15"/>
  <c r="X46" i="15"/>
  <c r="Z46" i="15" s="1"/>
  <c r="Q292" i="15"/>
  <c r="P292" i="15"/>
  <c r="R292" i="15" s="1"/>
  <c r="Q293" i="15" l="1"/>
  <c r="P293" i="15"/>
  <c r="R293" i="15" s="1"/>
  <c r="I539" i="15"/>
  <c r="H539" i="15"/>
  <c r="J539" i="15" s="1"/>
  <c r="U170" i="15"/>
  <c r="T170" i="15"/>
  <c r="V170" i="15" s="1"/>
  <c r="Y47" i="15"/>
  <c r="X47" i="15"/>
  <c r="Z47" i="15" s="1"/>
  <c r="M416" i="15"/>
  <c r="L416" i="15"/>
  <c r="N416" i="15" s="1"/>
  <c r="M417" i="15" l="1"/>
  <c r="L417" i="15"/>
  <c r="N417" i="15" s="1"/>
  <c r="U171" i="15"/>
  <c r="T171" i="15"/>
  <c r="V171" i="15" s="1"/>
  <c r="Q294" i="15"/>
  <c r="P294" i="15"/>
  <c r="R294" i="15" s="1"/>
  <c r="Y48" i="15"/>
  <c r="X48" i="15"/>
  <c r="Z48" i="15" s="1"/>
  <c r="I540" i="15"/>
  <c r="H540" i="15"/>
  <c r="J540" i="15" s="1"/>
  <c r="I541" i="15" l="1"/>
  <c r="H541" i="15"/>
  <c r="J541" i="15" s="1"/>
  <c r="Q295" i="15"/>
  <c r="P295" i="15"/>
  <c r="R295" i="15" s="1"/>
  <c r="M418" i="15"/>
  <c r="L418" i="15"/>
  <c r="N418" i="15" s="1"/>
  <c r="Y49" i="15"/>
  <c r="X49" i="15"/>
  <c r="Z49" i="15" s="1"/>
  <c r="U172" i="15"/>
  <c r="T172" i="15"/>
  <c r="V172" i="15" s="1"/>
  <c r="U173" i="15" l="1"/>
  <c r="T173" i="15"/>
  <c r="V173" i="15" s="1"/>
  <c r="M419" i="15"/>
  <c r="L419" i="15"/>
  <c r="N419" i="15" s="1"/>
  <c r="I542" i="15"/>
  <c r="H542" i="15"/>
  <c r="J542" i="15" s="1"/>
  <c r="Y50" i="15"/>
  <c r="X50" i="15"/>
  <c r="Z50" i="15" s="1"/>
  <c r="Q296" i="15"/>
  <c r="P296" i="15"/>
  <c r="R296" i="15" s="1"/>
  <c r="Q297" i="15" l="1"/>
  <c r="P297" i="15"/>
  <c r="R297" i="15" s="1"/>
  <c r="Y51" i="15"/>
  <c r="X51" i="15"/>
  <c r="Z51" i="15" s="1"/>
  <c r="I543" i="15"/>
  <c r="H543" i="15"/>
  <c r="J543" i="15" s="1"/>
  <c r="U174" i="15"/>
  <c r="T174" i="15"/>
  <c r="V174" i="15" s="1"/>
  <c r="M420" i="15"/>
  <c r="L420" i="15"/>
  <c r="N420" i="15" s="1"/>
  <c r="U175" i="15" l="1"/>
  <c r="T175" i="15"/>
  <c r="V175" i="15" s="1"/>
  <c r="I544" i="15"/>
  <c r="H544" i="15"/>
  <c r="J544" i="15" s="1"/>
  <c r="Q298" i="15"/>
  <c r="P298" i="15"/>
  <c r="R298" i="15" s="1"/>
  <c r="M421" i="15"/>
  <c r="L421" i="15"/>
  <c r="N421" i="15" s="1"/>
  <c r="Y52" i="15"/>
  <c r="X52" i="15"/>
  <c r="Z52" i="15" s="1"/>
  <c r="Y53" i="15" l="1"/>
  <c r="X53" i="15"/>
  <c r="Z53" i="15" s="1"/>
  <c r="M422" i="15"/>
  <c r="L422" i="15"/>
  <c r="N422" i="15" s="1"/>
  <c r="Q299" i="15"/>
  <c r="P299" i="15"/>
  <c r="R299" i="15" s="1"/>
  <c r="U176" i="15"/>
  <c r="T176" i="15"/>
  <c r="V176" i="15" s="1"/>
  <c r="I545" i="15"/>
  <c r="H545" i="15"/>
  <c r="J545" i="15" s="1"/>
  <c r="U177" i="15" l="1"/>
  <c r="T177" i="15"/>
  <c r="V177" i="15" s="1"/>
  <c r="Q300" i="15"/>
  <c r="P300" i="15"/>
  <c r="R300" i="15" s="1"/>
  <c r="Y54" i="15"/>
  <c r="X54" i="15"/>
  <c r="Z54" i="15" s="1"/>
  <c r="I546" i="15"/>
  <c r="H546" i="15"/>
  <c r="J546" i="15" s="1"/>
  <c r="M423" i="15"/>
  <c r="L423" i="15"/>
  <c r="N423" i="15" s="1"/>
  <c r="M424" i="15" l="1"/>
  <c r="L424" i="15"/>
  <c r="N424" i="15" s="1"/>
  <c r="Y55" i="15"/>
  <c r="X55" i="15"/>
  <c r="Z55" i="15" s="1"/>
  <c r="U178" i="15"/>
  <c r="T178" i="15"/>
  <c r="V178" i="15" s="1"/>
  <c r="I547" i="15"/>
  <c r="H547" i="15"/>
  <c r="J547" i="15" s="1"/>
  <c r="Q301" i="15"/>
  <c r="P301" i="15"/>
  <c r="R301" i="15" s="1"/>
  <c r="I548" i="15" l="1"/>
  <c r="H548" i="15"/>
  <c r="J548" i="15" s="1"/>
  <c r="U179" i="15"/>
  <c r="T179" i="15"/>
  <c r="V179" i="15" s="1"/>
  <c r="M425" i="15"/>
  <c r="L425" i="15"/>
  <c r="N425" i="15" s="1"/>
  <c r="Q302" i="15"/>
  <c r="P302" i="15"/>
  <c r="R302" i="15" s="1"/>
  <c r="Y56" i="15"/>
  <c r="X56" i="15"/>
  <c r="Z56" i="15" s="1"/>
  <c r="Q303" i="15" l="1"/>
  <c r="P303" i="15"/>
  <c r="R303" i="15" s="1"/>
  <c r="M426" i="15"/>
  <c r="L426" i="15"/>
  <c r="N426" i="15" s="1"/>
  <c r="I549" i="15"/>
  <c r="H549" i="15"/>
  <c r="J549" i="15" s="1"/>
  <c r="Y57" i="15"/>
  <c r="X57" i="15"/>
  <c r="Z57" i="15" s="1"/>
  <c r="U180" i="15"/>
  <c r="T180" i="15"/>
  <c r="V180" i="15" s="1"/>
  <c r="U181" i="15" l="1"/>
  <c r="T181" i="15"/>
  <c r="V181" i="15" s="1"/>
  <c r="I550" i="15"/>
  <c r="H550" i="15"/>
  <c r="J550" i="15" s="1"/>
  <c r="Q304" i="15"/>
  <c r="P304" i="15"/>
  <c r="R304" i="15" s="1"/>
  <c r="Y58" i="15"/>
  <c r="X58" i="15"/>
  <c r="Z58" i="15" s="1"/>
  <c r="M427" i="15"/>
  <c r="L427" i="15"/>
  <c r="N427" i="15" s="1"/>
  <c r="M428" i="15" l="1"/>
  <c r="L428" i="15"/>
  <c r="N428" i="15" s="1"/>
  <c r="Q305" i="15"/>
  <c r="P305" i="15"/>
  <c r="R305" i="15" s="1"/>
  <c r="U182" i="15"/>
  <c r="T182" i="15"/>
  <c r="V182" i="15" s="1"/>
  <c r="Y59" i="15"/>
  <c r="X59" i="15"/>
  <c r="Z59" i="15" s="1"/>
  <c r="I551" i="15"/>
  <c r="H551" i="15"/>
  <c r="J551" i="15" s="1"/>
  <c r="I552" i="15" l="1"/>
  <c r="H552" i="15"/>
  <c r="J552" i="15" s="1"/>
  <c r="U183" i="15"/>
  <c r="T183" i="15"/>
  <c r="V183" i="15" s="1"/>
  <c r="M429" i="15"/>
  <c r="L429" i="15"/>
  <c r="N429" i="15" s="1"/>
  <c r="Y60" i="15"/>
  <c r="X60" i="15"/>
  <c r="Z60" i="15" s="1"/>
  <c r="Q306" i="15"/>
  <c r="P306" i="15"/>
  <c r="R306" i="15" s="1"/>
  <c r="Q307" i="15" l="1"/>
  <c r="P307" i="15"/>
  <c r="R307" i="15" s="1"/>
  <c r="M430" i="15"/>
  <c r="L430" i="15"/>
  <c r="N430" i="15" s="1"/>
  <c r="I553" i="15"/>
  <c r="H553" i="15"/>
  <c r="J553" i="15" s="1"/>
  <c r="Y61" i="15"/>
  <c r="X61" i="15"/>
  <c r="Z61" i="15" s="1"/>
  <c r="U184" i="15"/>
  <c r="T184" i="15"/>
  <c r="V184" i="15" s="1"/>
  <c r="U185" i="15" l="1"/>
  <c r="T185" i="15"/>
  <c r="V185" i="15" s="1"/>
  <c r="I554" i="15"/>
  <c r="H554" i="15"/>
  <c r="J554" i="15" s="1"/>
  <c r="Q308" i="15"/>
  <c r="P308" i="15"/>
  <c r="R308" i="15" s="1"/>
  <c r="Y62" i="15"/>
  <c r="X62" i="15"/>
  <c r="Z62" i="15" s="1"/>
  <c r="M431" i="15"/>
  <c r="L431" i="15"/>
  <c r="N431" i="15" s="1"/>
  <c r="M432" i="15" l="1"/>
  <c r="L432" i="15"/>
  <c r="N432" i="15" s="1"/>
  <c r="Q309" i="15"/>
  <c r="P309" i="15"/>
  <c r="R309" i="15" s="1"/>
  <c r="U186" i="15"/>
  <c r="T186" i="15"/>
  <c r="V186" i="15" s="1"/>
  <c r="Y63" i="15"/>
  <c r="X63" i="15"/>
  <c r="Z63" i="15" s="1"/>
  <c r="I555" i="15"/>
  <c r="H555" i="15"/>
  <c r="J555" i="15" s="1"/>
  <c r="I556" i="15" l="1"/>
  <c r="H556" i="15"/>
  <c r="J556" i="15" s="1"/>
  <c r="U187" i="15"/>
  <c r="T187" i="15"/>
  <c r="V187" i="15" s="1"/>
  <c r="M433" i="15"/>
  <c r="L433" i="15"/>
  <c r="N433" i="15" s="1"/>
  <c r="Y64" i="15"/>
  <c r="X64" i="15"/>
  <c r="Z64" i="15" s="1"/>
  <c r="Q310" i="15"/>
  <c r="P310" i="15"/>
  <c r="R310" i="15" s="1"/>
  <c r="Q311" i="15" l="1"/>
  <c r="P311" i="15"/>
  <c r="R311" i="15" s="1"/>
  <c r="M434" i="15"/>
  <c r="L434" i="15"/>
  <c r="N434" i="15" s="1"/>
  <c r="I557" i="15"/>
  <c r="H557" i="15"/>
  <c r="J557" i="15" s="1"/>
  <c r="Y65" i="15"/>
  <c r="X65" i="15"/>
  <c r="Z65" i="15" s="1"/>
  <c r="U188" i="15"/>
  <c r="T188" i="15"/>
  <c r="V188" i="15" s="1"/>
  <c r="U189" i="15" l="1"/>
  <c r="T189" i="15"/>
  <c r="V189" i="15" s="1"/>
  <c r="I558" i="15"/>
  <c r="H558" i="15"/>
  <c r="J558" i="15" s="1"/>
  <c r="Q312" i="15"/>
  <c r="P312" i="15"/>
  <c r="R312" i="15" s="1"/>
  <c r="Y66" i="15"/>
  <c r="X66" i="15"/>
  <c r="Z66" i="15" s="1"/>
  <c r="M435" i="15"/>
  <c r="L435" i="15"/>
  <c r="N435" i="15" s="1"/>
  <c r="M436" i="15" l="1"/>
  <c r="L436" i="15"/>
  <c r="N436" i="15" s="1"/>
  <c r="Q313" i="15"/>
  <c r="P313" i="15"/>
  <c r="R313" i="15" s="1"/>
  <c r="U190" i="15"/>
  <c r="T190" i="15"/>
  <c r="V190" i="15" s="1"/>
  <c r="Y67" i="15"/>
  <c r="X67" i="15"/>
  <c r="Z67" i="15" s="1"/>
  <c r="I559" i="15"/>
  <c r="H559" i="15"/>
  <c r="J559" i="15" s="1"/>
  <c r="I560" i="15" l="1"/>
  <c r="H560" i="15"/>
  <c r="J560" i="15" s="1"/>
  <c r="U191" i="15"/>
  <c r="T191" i="15"/>
  <c r="V191" i="15" s="1"/>
  <c r="M437" i="15"/>
  <c r="L437" i="15"/>
  <c r="N437" i="15" s="1"/>
  <c r="Y68" i="15"/>
  <c r="X68" i="15"/>
  <c r="Z68" i="15" s="1"/>
  <c r="Q314" i="15"/>
  <c r="P314" i="15"/>
  <c r="R314" i="15" s="1"/>
  <c r="Q315" i="15" l="1"/>
  <c r="P315" i="15"/>
  <c r="R315" i="15" s="1"/>
  <c r="M438" i="15"/>
  <c r="L438" i="15"/>
  <c r="N438" i="15" s="1"/>
  <c r="I561" i="15"/>
  <c r="H561" i="15"/>
  <c r="J561" i="15" s="1"/>
  <c r="Y69" i="15"/>
  <c r="X69" i="15"/>
  <c r="Z69" i="15" s="1"/>
  <c r="U192" i="15"/>
  <c r="T192" i="15"/>
  <c r="V192" i="15" s="1"/>
  <c r="U193" i="15" l="1"/>
  <c r="T193" i="15"/>
  <c r="V193" i="15" s="1"/>
  <c r="I562" i="15"/>
  <c r="H562" i="15"/>
  <c r="J562" i="15" s="1"/>
  <c r="Q316" i="15"/>
  <c r="P316" i="15"/>
  <c r="R316" i="15" s="1"/>
  <c r="Y70" i="15"/>
  <c r="X70" i="15"/>
  <c r="Z70" i="15" s="1"/>
  <c r="M439" i="15"/>
  <c r="L439" i="15"/>
  <c r="N439" i="15" s="1"/>
  <c r="M440" i="15" l="1"/>
  <c r="L440" i="15"/>
  <c r="N440" i="15" s="1"/>
  <c r="Q317" i="15"/>
  <c r="P317" i="15"/>
  <c r="R317" i="15" s="1"/>
  <c r="U194" i="15"/>
  <c r="T194" i="15"/>
  <c r="V194" i="15" s="1"/>
  <c r="Y71" i="15"/>
  <c r="X71" i="15"/>
  <c r="Z71" i="15" s="1"/>
  <c r="I563" i="15"/>
  <c r="H563" i="15"/>
  <c r="J563" i="15" s="1"/>
  <c r="I564" i="15" l="1"/>
  <c r="H564" i="15"/>
  <c r="J564" i="15" s="1"/>
  <c r="U195" i="15"/>
  <c r="T195" i="15"/>
  <c r="V195" i="15" s="1"/>
  <c r="M441" i="15"/>
  <c r="L441" i="15"/>
  <c r="N441" i="15" s="1"/>
  <c r="Y72" i="15"/>
  <c r="X72" i="15"/>
  <c r="Z72" i="15" s="1"/>
  <c r="Q318" i="15"/>
  <c r="P318" i="15"/>
  <c r="R318" i="15" s="1"/>
  <c r="Q319" i="15" l="1"/>
  <c r="P319" i="15"/>
  <c r="R319" i="15" s="1"/>
  <c r="M442" i="15"/>
  <c r="L442" i="15"/>
  <c r="N442" i="15" s="1"/>
  <c r="I565" i="15"/>
  <c r="H565" i="15"/>
  <c r="J565" i="15" s="1"/>
  <c r="Y73" i="15"/>
  <c r="X73" i="15"/>
  <c r="Z73" i="15" s="1"/>
  <c r="U196" i="15"/>
  <c r="T196" i="15"/>
  <c r="V196" i="15" s="1"/>
  <c r="U197" i="15" l="1"/>
  <c r="T197" i="15"/>
  <c r="V197" i="15" s="1"/>
  <c r="I566" i="15"/>
  <c r="H566" i="15"/>
  <c r="J566" i="15" s="1"/>
  <c r="Q320" i="15"/>
  <c r="P320" i="15"/>
  <c r="R320" i="15" s="1"/>
  <c r="Y74" i="15"/>
  <c r="X74" i="15"/>
  <c r="Z74" i="15" s="1"/>
  <c r="M443" i="15"/>
  <c r="L443" i="15"/>
  <c r="N443" i="15" s="1"/>
  <c r="M444" i="15" l="1"/>
  <c r="L444" i="15"/>
  <c r="N444" i="15" s="1"/>
  <c r="Q321" i="15"/>
  <c r="P321" i="15"/>
  <c r="R321" i="15" s="1"/>
  <c r="U198" i="15"/>
  <c r="T198" i="15"/>
  <c r="V198" i="15" s="1"/>
  <c r="Y75" i="15"/>
  <c r="X75" i="15"/>
  <c r="Z75" i="15" s="1"/>
  <c r="I567" i="15"/>
  <c r="H567" i="15"/>
  <c r="J567" i="15" s="1"/>
  <c r="I568" i="15" l="1"/>
  <c r="H568" i="15"/>
  <c r="J568" i="15" s="1"/>
  <c r="U199" i="15"/>
  <c r="T199" i="15"/>
  <c r="V199" i="15" s="1"/>
  <c r="M445" i="15"/>
  <c r="L445" i="15"/>
  <c r="N445" i="15" s="1"/>
  <c r="Y76" i="15"/>
  <c r="X76" i="15"/>
  <c r="Z76" i="15" s="1"/>
  <c r="Q322" i="15"/>
  <c r="P322" i="15"/>
  <c r="R322" i="15" s="1"/>
  <c r="Q323" i="15" l="1"/>
  <c r="P323" i="15"/>
  <c r="R323" i="15" s="1"/>
  <c r="M446" i="15"/>
  <c r="L446" i="15"/>
  <c r="N446" i="15" s="1"/>
  <c r="I569" i="15"/>
  <c r="H569" i="15"/>
  <c r="J569" i="15" s="1"/>
  <c r="Y77" i="15"/>
  <c r="X77" i="15"/>
  <c r="Z77" i="15" s="1"/>
  <c r="U200" i="15"/>
  <c r="T200" i="15"/>
  <c r="V200" i="15" s="1"/>
  <c r="U201" i="15" l="1"/>
  <c r="T201" i="15"/>
  <c r="V201" i="15" s="1"/>
  <c r="I570" i="15"/>
  <c r="H570" i="15"/>
  <c r="J570" i="15" s="1"/>
  <c r="Q324" i="15"/>
  <c r="P324" i="15"/>
  <c r="R324" i="15" s="1"/>
  <c r="Y78" i="15"/>
  <c r="X78" i="15"/>
  <c r="Z78" i="15" s="1"/>
  <c r="M447" i="15"/>
  <c r="L447" i="15"/>
  <c r="N447" i="15" s="1"/>
  <c r="M448" i="15" l="1"/>
  <c r="L448" i="15"/>
  <c r="N448" i="15" s="1"/>
  <c r="Q325" i="15"/>
  <c r="P325" i="15"/>
  <c r="R325" i="15" s="1"/>
  <c r="U202" i="15"/>
  <c r="T202" i="15"/>
  <c r="V202" i="15" s="1"/>
  <c r="Y79" i="15"/>
  <c r="X79" i="15"/>
  <c r="Z79" i="15" s="1"/>
  <c r="I571" i="15"/>
  <c r="H571" i="15"/>
  <c r="J571" i="15" s="1"/>
  <c r="I572" i="15" l="1"/>
  <c r="H572" i="15"/>
  <c r="J572" i="15" s="1"/>
  <c r="U203" i="15"/>
  <c r="T203" i="15"/>
  <c r="V203" i="15" s="1"/>
  <c r="M449" i="15"/>
  <c r="L449" i="15"/>
  <c r="N449" i="15" s="1"/>
  <c r="Y80" i="15"/>
  <c r="X80" i="15"/>
  <c r="Z80" i="15" s="1"/>
  <c r="Q326" i="15"/>
  <c r="P326" i="15"/>
  <c r="R326" i="15" s="1"/>
  <c r="Q327" i="15" l="1"/>
  <c r="P327" i="15"/>
  <c r="R327" i="15" s="1"/>
  <c r="M450" i="15"/>
  <c r="L450" i="15"/>
  <c r="N450" i="15" s="1"/>
  <c r="I573" i="15"/>
  <c r="H573" i="15"/>
  <c r="J573" i="15" s="1"/>
  <c r="Y81" i="15"/>
  <c r="X81" i="15"/>
  <c r="Z81" i="15" s="1"/>
  <c r="U204" i="15"/>
  <c r="T204" i="15"/>
  <c r="V204" i="15" s="1"/>
  <c r="U205" i="15" l="1"/>
  <c r="T205" i="15"/>
  <c r="V205" i="15" s="1"/>
  <c r="I574" i="15"/>
  <c r="H574" i="15"/>
  <c r="J574" i="15" s="1"/>
  <c r="Q328" i="15"/>
  <c r="P328" i="15"/>
  <c r="R328" i="15" s="1"/>
  <c r="Y82" i="15"/>
  <c r="X82" i="15"/>
  <c r="Z82" i="15" s="1"/>
  <c r="M451" i="15"/>
  <c r="L451" i="15"/>
  <c r="N451" i="15" s="1"/>
  <c r="M452" i="15" l="1"/>
  <c r="L452" i="15"/>
  <c r="N452" i="15" s="1"/>
  <c r="Q329" i="15"/>
  <c r="P329" i="15"/>
  <c r="R329" i="15" s="1"/>
  <c r="U206" i="15"/>
  <c r="T206" i="15"/>
  <c r="V206" i="15" s="1"/>
  <c r="Y83" i="15"/>
  <c r="X83" i="15"/>
  <c r="Z83" i="15" s="1"/>
  <c r="I575" i="15"/>
  <c r="H575" i="15"/>
  <c r="J575" i="15" s="1"/>
  <c r="I576" i="15" l="1"/>
  <c r="H576" i="15"/>
  <c r="J576" i="15" s="1"/>
  <c r="U207" i="15"/>
  <c r="T207" i="15"/>
  <c r="V207" i="15" s="1"/>
  <c r="M453" i="15"/>
  <c r="L453" i="15"/>
  <c r="N453" i="15" s="1"/>
  <c r="Y84" i="15"/>
  <c r="X84" i="15"/>
  <c r="Z84" i="15" s="1"/>
  <c r="Q330" i="15"/>
  <c r="P330" i="15"/>
  <c r="R330" i="15" s="1"/>
  <c r="Q331" i="15" l="1"/>
  <c r="P331" i="15"/>
  <c r="R331" i="15" s="1"/>
  <c r="M454" i="15"/>
  <c r="L454" i="15"/>
  <c r="N454" i="15" s="1"/>
  <c r="I577" i="15"/>
  <c r="H577" i="15"/>
  <c r="J577" i="15" s="1"/>
  <c r="Y85" i="15"/>
  <c r="X85" i="15"/>
  <c r="Z85" i="15" s="1"/>
  <c r="U208" i="15"/>
  <c r="T208" i="15"/>
  <c r="V208" i="15" s="1"/>
  <c r="U209" i="15" l="1"/>
  <c r="T209" i="15"/>
  <c r="V209" i="15" s="1"/>
  <c r="I578" i="15"/>
  <c r="H578" i="15"/>
  <c r="J578" i="15" s="1"/>
  <c r="Q332" i="15"/>
  <c r="P332" i="15"/>
  <c r="R332" i="15" s="1"/>
  <c r="Y86" i="15"/>
  <c r="X86" i="15"/>
  <c r="Z86" i="15" s="1"/>
  <c r="M455" i="15"/>
  <c r="L455" i="15"/>
  <c r="N455" i="15" s="1"/>
  <c r="M456" i="15" l="1"/>
  <c r="L456" i="15"/>
  <c r="N456" i="15" s="1"/>
  <c r="Q333" i="15"/>
  <c r="P333" i="15"/>
  <c r="R333" i="15" s="1"/>
  <c r="U210" i="15"/>
  <c r="T210" i="15"/>
  <c r="V210" i="15" s="1"/>
  <c r="Y87" i="15"/>
  <c r="X87" i="15"/>
  <c r="Z87" i="15" s="1"/>
  <c r="I579" i="15"/>
  <c r="H579" i="15"/>
  <c r="J579" i="15" s="1"/>
  <c r="I580" i="15" l="1"/>
  <c r="H580" i="15"/>
  <c r="J580" i="15" s="1"/>
  <c r="U211" i="15"/>
  <c r="T211" i="15"/>
  <c r="V211" i="15" s="1"/>
  <c r="M457" i="15"/>
  <c r="L457" i="15"/>
  <c r="N457" i="15" s="1"/>
  <c r="Y88" i="15"/>
  <c r="X88" i="15"/>
  <c r="Z88" i="15" s="1"/>
  <c r="Q334" i="15"/>
  <c r="P334" i="15"/>
  <c r="R334" i="15" s="1"/>
  <c r="Q335" i="15" l="1"/>
  <c r="P335" i="15"/>
  <c r="R335" i="15" s="1"/>
  <c r="M458" i="15"/>
  <c r="L458" i="15"/>
  <c r="N458" i="15" s="1"/>
  <c r="I581" i="15"/>
  <c r="H581" i="15"/>
  <c r="J581" i="15" s="1"/>
  <c r="Y89" i="15"/>
  <c r="X89" i="15"/>
  <c r="Z89" i="15" s="1"/>
  <c r="U212" i="15"/>
  <c r="T212" i="15"/>
  <c r="V212" i="15" s="1"/>
  <c r="U213" i="15" l="1"/>
  <c r="T213" i="15"/>
  <c r="V213" i="15" s="1"/>
  <c r="I582" i="15"/>
  <c r="H582" i="15"/>
  <c r="J582" i="15" s="1"/>
  <c r="Q336" i="15"/>
  <c r="P336" i="15"/>
  <c r="R336" i="15" s="1"/>
  <c r="Y90" i="15"/>
  <c r="X90" i="15"/>
  <c r="Z90" i="15" s="1"/>
  <c r="M459" i="15"/>
  <c r="L459" i="15"/>
  <c r="N459" i="15" s="1"/>
  <c r="M460" i="15" l="1"/>
  <c r="L460" i="15"/>
  <c r="N460" i="15" s="1"/>
  <c r="Q337" i="15"/>
  <c r="P337" i="15"/>
  <c r="R337" i="15" s="1"/>
  <c r="U214" i="15"/>
  <c r="T214" i="15"/>
  <c r="V214" i="15" s="1"/>
  <c r="Y91" i="15"/>
  <c r="X91" i="15"/>
  <c r="Z91" i="15" s="1"/>
  <c r="I583" i="15"/>
  <c r="H583" i="15"/>
  <c r="J583" i="15" s="1"/>
  <c r="I584" i="15" l="1"/>
  <c r="H584" i="15"/>
  <c r="J584" i="15" s="1"/>
  <c r="U215" i="15"/>
  <c r="T215" i="15"/>
  <c r="V215" i="15" s="1"/>
  <c r="M461" i="15"/>
  <c r="L461" i="15"/>
  <c r="N461" i="15" s="1"/>
  <c r="Y92" i="15"/>
  <c r="X92" i="15"/>
  <c r="Z92" i="15" s="1"/>
  <c r="Q338" i="15"/>
  <c r="P338" i="15"/>
  <c r="R338" i="15" s="1"/>
  <c r="Q339" i="15" l="1"/>
  <c r="P339" i="15"/>
  <c r="R339" i="15" s="1"/>
  <c r="M462" i="15"/>
  <c r="L462" i="15"/>
  <c r="N462" i="15" s="1"/>
  <c r="I585" i="15"/>
  <c r="H585" i="15"/>
  <c r="J585" i="15" s="1"/>
  <c r="Y93" i="15"/>
  <c r="X93" i="15"/>
  <c r="Z93" i="15" s="1"/>
  <c r="U216" i="15"/>
  <c r="T216" i="15"/>
  <c r="V216" i="15" s="1"/>
  <c r="U217" i="15" l="1"/>
  <c r="T217" i="15"/>
  <c r="V217" i="15" s="1"/>
  <c r="I586" i="15"/>
  <c r="H586" i="15"/>
  <c r="J586" i="15" s="1"/>
  <c r="Q340" i="15"/>
  <c r="P340" i="15"/>
  <c r="R340" i="15" s="1"/>
  <c r="Y94" i="15"/>
  <c r="X94" i="15"/>
  <c r="Z94" i="15" s="1"/>
  <c r="M463" i="15"/>
  <c r="L463" i="15"/>
  <c r="N463" i="15" s="1"/>
  <c r="M464" i="15" l="1"/>
  <c r="L464" i="15"/>
  <c r="N464" i="15" s="1"/>
  <c r="Q341" i="15"/>
  <c r="P341" i="15"/>
  <c r="R341" i="15" s="1"/>
  <c r="U218" i="15"/>
  <c r="T218" i="15"/>
  <c r="V218" i="15" s="1"/>
  <c r="Y95" i="15"/>
  <c r="X95" i="15"/>
  <c r="Z95" i="15" s="1"/>
  <c r="I587" i="15"/>
  <c r="H587" i="15"/>
  <c r="J587" i="15" s="1"/>
  <c r="I588" i="15" l="1"/>
  <c r="H588" i="15"/>
  <c r="J588" i="15" s="1"/>
  <c r="Y96" i="15"/>
  <c r="X96" i="15"/>
  <c r="Z96" i="15" s="1"/>
  <c r="U219" i="15"/>
  <c r="T219" i="15"/>
  <c r="V219" i="15" s="1"/>
  <c r="Q342" i="15"/>
  <c r="P342" i="15"/>
  <c r="R342" i="15" s="1"/>
  <c r="M465" i="15"/>
  <c r="L465" i="15"/>
  <c r="N465" i="15" s="1"/>
  <c r="M466" i="15" l="1"/>
  <c r="L466" i="15"/>
  <c r="N466" i="15" s="1"/>
  <c r="U220" i="15"/>
  <c r="T220" i="15"/>
  <c r="V220" i="15" s="1"/>
  <c r="I589" i="15"/>
  <c r="H589" i="15"/>
  <c r="J589" i="15" s="1"/>
  <c r="Q343" i="15"/>
  <c r="P343" i="15"/>
  <c r="R343" i="15" s="1"/>
  <c r="Y97" i="15"/>
  <c r="X97" i="15"/>
  <c r="Z97" i="15" s="1"/>
  <c r="Q344" i="15" l="1"/>
  <c r="P344" i="15"/>
  <c r="R344" i="15" s="1"/>
  <c r="I590" i="15"/>
  <c r="H590" i="15"/>
  <c r="J590" i="15" s="1"/>
  <c r="M467" i="15"/>
  <c r="L467" i="15"/>
  <c r="N467" i="15" s="1"/>
  <c r="Y98" i="15"/>
  <c r="X98" i="15"/>
  <c r="Z98" i="15" s="1"/>
  <c r="U221" i="15"/>
  <c r="T221" i="15"/>
  <c r="V221" i="15" s="1"/>
  <c r="M468" i="15" l="1"/>
  <c r="L468" i="15"/>
  <c r="N468" i="15" s="1"/>
  <c r="Q345" i="15"/>
  <c r="P345" i="15"/>
  <c r="R345" i="15" s="1"/>
  <c r="U222" i="15"/>
  <c r="T222" i="15"/>
  <c r="V222" i="15" s="1"/>
  <c r="Y99" i="15"/>
  <c r="X99" i="15"/>
  <c r="Z99" i="15" s="1"/>
  <c r="I591" i="15"/>
  <c r="H591" i="15"/>
  <c r="J591" i="15" s="1"/>
  <c r="I592" i="15" l="1"/>
  <c r="H592" i="15"/>
  <c r="J592" i="15" s="1"/>
  <c r="U223" i="15"/>
  <c r="T223" i="15"/>
  <c r="V223" i="15" s="1"/>
  <c r="M469" i="15"/>
  <c r="L469" i="15"/>
  <c r="N469" i="15" s="1"/>
  <c r="Y100" i="15"/>
  <c r="X100" i="15"/>
  <c r="Z100" i="15" s="1"/>
  <c r="Q346" i="15"/>
  <c r="P346" i="15"/>
  <c r="R346" i="15" s="1"/>
  <c r="Q347" i="15" l="1"/>
  <c r="P347" i="15"/>
  <c r="R347" i="15" s="1"/>
  <c r="M470" i="15"/>
  <c r="L470" i="15"/>
  <c r="N470" i="15" s="1"/>
  <c r="I593" i="15"/>
  <c r="H593" i="15"/>
  <c r="J593" i="15" s="1"/>
  <c r="Y101" i="15"/>
  <c r="X101" i="15"/>
  <c r="Z101" i="15" s="1"/>
  <c r="U224" i="15"/>
  <c r="T224" i="15"/>
  <c r="V224" i="15" s="1"/>
  <c r="U225" i="15" l="1"/>
  <c r="T225" i="15"/>
  <c r="V225" i="15" s="1"/>
  <c r="I594" i="15"/>
  <c r="H594" i="15"/>
  <c r="J594" i="15" s="1"/>
  <c r="Q348" i="15"/>
  <c r="P348" i="15"/>
  <c r="R348" i="15" s="1"/>
  <c r="Y102" i="15"/>
  <c r="X102" i="15"/>
  <c r="Z102" i="15" s="1"/>
  <c r="M471" i="15"/>
  <c r="L471" i="15"/>
  <c r="N471" i="15" s="1"/>
  <c r="M472" i="15" l="1"/>
  <c r="L472" i="15"/>
  <c r="N472" i="15" s="1"/>
  <c r="Y103" i="15"/>
  <c r="X103" i="15"/>
  <c r="Z103" i="15" s="1"/>
  <c r="Q349" i="15"/>
  <c r="P349" i="15"/>
  <c r="R349" i="15" s="1"/>
  <c r="I595" i="15"/>
  <c r="H595" i="15"/>
  <c r="J595" i="15" s="1"/>
  <c r="U226" i="15"/>
  <c r="T226" i="15"/>
  <c r="V226" i="15" s="1"/>
  <c r="U227" i="15" l="1"/>
  <c r="T227" i="15"/>
  <c r="V227" i="15" s="1"/>
  <c r="I596" i="15"/>
  <c r="H596" i="15"/>
  <c r="J596" i="15" s="1"/>
  <c r="Q350" i="15"/>
  <c r="P350" i="15"/>
  <c r="R350" i="15" s="1"/>
  <c r="M473" i="15"/>
  <c r="L473" i="15"/>
  <c r="N473" i="15" s="1"/>
  <c r="Y104" i="15"/>
  <c r="X104" i="15"/>
  <c r="Z104" i="15" s="1"/>
  <c r="Y105" i="15" l="1"/>
  <c r="X105" i="15"/>
  <c r="Z105" i="15" s="1"/>
  <c r="M474" i="15"/>
  <c r="L474" i="15"/>
  <c r="N474" i="15" s="1"/>
  <c r="Q351" i="15"/>
  <c r="P351" i="15"/>
  <c r="R351" i="15" s="1"/>
  <c r="U228" i="15"/>
  <c r="T228" i="15"/>
  <c r="V228" i="15" s="1"/>
  <c r="I597" i="15"/>
  <c r="H597" i="15"/>
  <c r="J597" i="15" s="1"/>
  <c r="I598" i="15" l="1"/>
  <c r="H598" i="15"/>
  <c r="J598" i="15" s="1"/>
  <c r="U229" i="15"/>
  <c r="T229" i="15"/>
  <c r="V229" i="15" s="1"/>
  <c r="Q352" i="15"/>
  <c r="P352" i="15"/>
  <c r="R352" i="15" s="1"/>
  <c r="Y106" i="15"/>
  <c r="X106" i="15"/>
  <c r="Z106" i="15" s="1"/>
  <c r="M475" i="15"/>
  <c r="L475" i="15"/>
  <c r="N475" i="15" s="1"/>
  <c r="M476" i="15" l="1"/>
  <c r="L476" i="15"/>
  <c r="N476" i="15" s="1"/>
  <c r="Q353" i="15"/>
  <c r="P353" i="15"/>
  <c r="R353" i="15" s="1"/>
  <c r="I599" i="15"/>
  <c r="H599" i="15"/>
  <c r="J599" i="15" s="1"/>
  <c r="Y107" i="15"/>
  <c r="X107" i="15"/>
  <c r="Z107" i="15" s="1"/>
  <c r="U230" i="15"/>
  <c r="T230" i="15"/>
  <c r="V230" i="15" s="1"/>
  <c r="U231" i="15" l="1"/>
  <c r="T231" i="15"/>
  <c r="V231" i="15" s="1"/>
  <c r="I600" i="15"/>
  <c r="H600" i="15"/>
  <c r="J600" i="15" s="1"/>
  <c r="M477" i="15"/>
  <c r="L477" i="15"/>
  <c r="N477" i="15" s="1"/>
  <c r="Y108" i="15"/>
  <c r="X108" i="15"/>
  <c r="Z108" i="15" s="1"/>
  <c r="Q354" i="15"/>
  <c r="P354" i="15"/>
  <c r="R354" i="15" s="1"/>
  <c r="Q355" i="15" l="1"/>
  <c r="P355" i="15"/>
  <c r="R355" i="15" s="1"/>
  <c r="M478" i="15"/>
  <c r="L478" i="15"/>
  <c r="N478" i="15" s="1"/>
  <c r="U232" i="15"/>
  <c r="T232" i="15"/>
  <c r="V232" i="15" s="1"/>
  <c r="Y109" i="15"/>
  <c r="X109" i="15"/>
  <c r="Z109" i="15" s="1"/>
  <c r="I601" i="15"/>
  <c r="H601" i="15"/>
  <c r="J601" i="15" s="1"/>
  <c r="I602" i="15" l="1"/>
  <c r="H602" i="15"/>
  <c r="J602" i="15" s="1"/>
  <c r="U233" i="15"/>
  <c r="T233" i="15"/>
  <c r="V233" i="15" s="1"/>
  <c r="Q356" i="15"/>
  <c r="P356" i="15"/>
  <c r="R356" i="15" s="1"/>
  <c r="Y110" i="15"/>
  <c r="X110" i="15"/>
  <c r="Z110" i="15" s="1"/>
  <c r="M479" i="15"/>
  <c r="L479" i="15"/>
  <c r="N479" i="15" s="1"/>
  <c r="M480" i="15" l="1"/>
  <c r="L480" i="15"/>
  <c r="N480" i="15" s="1"/>
  <c r="Y111" i="15"/>
  <c r="X111" i="15"/>
  <c r="Z111" i="15" s="1"/>
  <c r="Q357" i="15"/>
  <c r="P357" i="15"/>
  <c r="R357" i="15" s="1"/>
  <c r="I603" i="15"/>
  <c r="H603" i="15"/>
  <c r="J603" i="15" s="1"/>
  <c r="U234" i="15"/>
  <c r="T234" i="15"/>
  <c r="V234" i="15" s="1"/>
  <c r="U235" i="15" l="1"/>
  <c r="T235" i="15"/>
  <c r="V235" i="15" s="1"/>
  <c r="I604" i="15"/>
  <c r="H604" i="15"/>
  <c r="J604" i="15" s="1"/>
  <c r="Q358" i="15"/>
  <c r="P358" i="15"/>
  <c r="R358" i="15" s="1"/>
  <c r="M481" i="15"/>
  <c r="L481" i="15"/>
  <c r="N481" i="15" s="1"/>
  <c r="Y112" i="15"/>
  <c r="X112" i="15"/>
  <c r="Z112" i="15" s="1"/>
  <c r="Y113" i="15" l="1"/>
  <c r="X113" i="15"/>
  <c r="Z113" i="15" s="1"/>
  <c r="M482" i="15"/>
  <c r="L482" i="15"/>
  <c r="N482" i="15" s="1"/>
  <c r="Q359" i="15"/>
  <c r="P359" i="15"/>
  <c r="R359" i="15" s="1"/>
  <c r="U236" i="15"/>
  <c r="T236" i="15"/>
  <c r="V236" i="15" s="1"/>
  <c r="I605" i="15"/>
  <c r="H605" i="15"/>
  <c r="J605" i="15" s="1"/>
  <c r="I606" i="15" l="1"/>
  <c r="H606" i="15"/>
  <c r="J606" i="15" s="1"/>
  <c r="U237" i="15"/>
  <c r="T237" i="15"/>
  <c r="V237" i="15" s="1"/>
  <c r="Q360" i="15"/>
  <c r="P360" i="15"/>
  <c r="R360" i="15" s="1"/>
  <c r="Y114" i="15"/>
  <c r="X114" i="15"/>
  <c r="Z114" i="15" s="1"/>
  <c r="M483" i="15"/>
  <c r="L483" i="15"/>
  <c r="N483" i="15" s="1"/>
  <c r="M484" i="15" l="1"/>
  <c r="L484" i="15"/>
  <c r="N484" i="15" s="1"/>
  <c r="Y115" i="15"/>
  <c r="X115" i="15"/>
  <c r="Z115" i="15" s="1"/>
  <c r="Q361" i="15"/>
  <c r="P361" i="15"/>
  <c r="R361" i="15" s="1"/>
  <c r="I607" i="15"/>
  <c r="H607" i="15"/>
  <c r="J607" i="15" s="1"/>
  <c r="U238" i="15"/>
  <c r="T238" i="15"/>
  <c r="V238" i="15" s="1"/>
  <c r="U239" i="15" l="1"/>
  <c r="T239" i="15"/>
  <c r="V239" i="15" s="1"/>
  <c r="I608" i="15"/>
  <c r="H608" i="15"/>
  <c r="J608" i="15" s="1"/>
  <c r="Q362" i="15"/>
  <c r="P362" i="15"/>
  <c r="R362" i="15" s="1"/>
  <c r="M485" i="15"/>
  <c r="L485" i="15"/>
  <c r="N485" i="15" s="1"/>
  <c r="Y116" i="15"/>
  <c r="X116" i="15"/>
  <c r="Z116" i="15" s="1"/>
  <c r="Y117" i="15" l="1"/>
  <c r="X117" i="15"/>
  <c r="Z117" i="15" s="1"/>
  <c r="M486" i="15"/>
  <c r="L486" i="15"/>
  <c r="N486" i="15" s="1"/>
  <c r="I609" i="15"/>
  <c r="H609" i="15"/>
  <c r="J609" i="15" s="1"/>
  <c r="U240" i="15"/>
  <c r="T240" i="15"/>
  <c r="V240" i="15" s="1"/>
  <c r="Q363" i="15"/>
  <c r="P363" i="15"/>
  <c r="R363" i="15" s="1"/>
  <c r="Q364" i="15" l="1"/>
  <c r="P364" i="15"/>
  <c r="R364" i="15" s="1"/>
  <c r="U241" i="15"/>
  <c r="T241" i="15"/>
  <c r="V241" i="15" s="1"/>
  <c r="I610" i="15"/>
  <c r="H610" i="15"/>
  <c r="J610" i="15" s="1"/>
  <c r="M487" i="15"/>
  <c r="L487" i="15"/>
  <c r="N487" i="15" s="1"/>
  <c r="Y118" i="15"/>
  <c r="X118" i="15"/>
  <c r="Z118" i="15" s="1"/>
  <c r="Y119" i="15" l="1"/>
  <c r="X119" i="15"/>
  <c r="Z119" i="15" s="1"/>
  <c r="I611" i="15"/>
  <c r="H611" i="15"/>
  <c r="J611" i="15" s="1"/>
  <c r="Q365" i="15"/>
  <c r="P365" i="15"/>
  <c r="R365" i="15" s="1"/>
  <c r="M488" i="15"/>
  <c r="L488" i="15"/>
  <c r="N488" i="15" s="1"/>
  <c r="U242" i="15"/>
  <c r="T242" i="15"/>
  <c r="V242" i="15" s="1"/>
  <c r="U243" i="15" l="1"/>
  <c r="T243" i="15"/>
  <c r="V243" i="15" s="1"/>
  <c r="M489" i="15"/>
  <c r="L489" i="15"/>
  <c r="N489" i="15" s="1"/>
  <c r="Q366" i="15"/>
  <c r="P366" i="15"/>
  <c r="R366" i="15" s="1"/>
  <c r="Y120" i="15"/>
  <c r="X120" i="15"/>
  <c r="Z120" i="15" s="1"/>
  <c r="I612" i="15"/>
  <c r="H612" i="15"/>
  <c r="J612" i="15" s="1"/>
  <c r="I613" i="15" l="1"/>
  <c r="H613" i="15"/>
  <c r="J613" i="15" s="1"/>
  <c r="Y121" i="15"/>
  <c r="X121" i="15"/>
  <c r="Z121" i="15" s="1"/>
  <c r="Q367" i="15"/>
  <c r="P367" i="15"/>
  <c r="R367" i="15" s="1"/>
  <c r="U244" i="15"/>
  <c r="T244" i="15"/>
  <c r="V244" i="15" s="1"/>
  <c r="M490" i="15"/>
  <c r="L490" i="15"/>
  <c r="N490" i="15" s="1"/>
  <c r="M491" i="15" l="1"/>
  <c r="L491" i="15"/>
  <c r="N491" i="15" s="1"/>
  <c r="U245" i="15"/>
  <c r="T245" i="15"/>
  <c r="V245" i="15" s="1"/>
  <c r="Q368" i="15"/>
  <c r="P368" i="15"/>
  <c r="R368" i="15" s="1"/>
  <c r="I614" i="15"/>
  <c r="H614" i="15"/>
  <c r="J614" i="15" s="1"/>
  <c r="Y122" i="15"/>
  <c r="X122" i="15"/>
  <c r="Z122" i="15" s="1"/>
  <c r="Y123" i="15" l="1"/>
  <c r="X123" i="15"/>
  <c r="Z123" i="15" s="1"/>
  <c r="I615" i="15"/>
  <c r="H615" i="15"/>
  <c r="J615" i="15" s="1"/>
  <c r="Q369" i="15"/>
  <c r="P369" i="15"/>
  <c r="R369" i="15" s="1"/>
  <c r="M492" i="15"/>
  <c r="L492" i="15"/>
  <c r="N492" i="15" s="1"/>
  <c r="U246" i="15"/>
  <c r="T246" i="15"/>
  <c r="V246" i="15" s="1"/>
  <c r="U247" i="15" l="1"/>
  <c r="T247" i="15"/>
  <c r="V247" i="15" s="1"/>
  <c r="M493" i="15"/>
  <c r="L493" i="15"/>
  <c r="N493" i="15" s="1"/>
  <c r="Q370" i="15"/>
  <c r="P370" i="15"/>
  <c r="R370" i="15" s="1"/>
  <c r="I616" i="15"/>
  <c r="H616" i="15"/>
  <c r="J616" i="15" s="1"/>
  <c r="Y124" i="15"/>
  <c r="X124" i="15"/>
  <c r="Z124" i="15" s="1"/>
  <c r="Y125" i="15" l="1"/>
  <c r="X125" i="15"/>
  <c r="Z125" i="15" s="1"/>
  <c r="I617" i="15"/>
  <c r="H617" i="15"/>
  <c r="J617" i="15" s="1"/>
  <c r="Q371" i="15"/>
  <c r="P371" i="15"/>
  <c r="R371" i="15" s="1"/>
  <c r="M494" i="15"/>
  <c r="L494" i="15"/>
  <c r="N494" i="15" s="1"/>
  <c r="U248" i="15"/>
  <c r="T248" i="15"/>
  <c r="V248" i="15" s="1"/>
  <c r="U249" i="15" l="1"/>
  <c r="T249" i="15"/>
  <c r="V249" i="15" s="1"/>
  <c r="M495" i="15"/>
  <c r="L495" i="15"/>
  <c r="N495" i="15" s="1"/>
  <c r="I618" i="15"/>
  <c r="H618" i="15"/>
  <c r="J618" i="15" s="1"/>
  <c r="Q372" i="15"/>
  <c r="P372" i="15"/>
  <c r="R372" i="15" s="1"/>
  <c r="Y126" i="15"/>
  <c r="X126" i="15"/>
  <c r="Z126" i="15" s="1"/>
  <c r="Y127" i="15" l="1"/>
  <c r="X127" i="15"/>
  <c r="Z127" i="15" s="1"/>
  <c r="Q373" i="15"/>
  <c r="P373" i="15"/>
  <c r="R373" i="15" s="1"/>
  <c r="I619" i="15"/>
  <c r="H619" i="15"/>
  <c r="J619" i="15" s="1"/>
  <c r="U250" i="15"/>
  <c r="T250" i="15"/>
  <c r="V250" i="15" s="1"/>
  <c r="M496" i="15"/>
  <c r="L496" i="15"/>
  <c r="N496" i="15" s="1"/>
  <c r="M497" i="15" l="1"/>
  <c r="L497" i="15"/>
  <c r="N497" i="15" s="1"/>
  <c r="U251" i="15"/>
  <c r="T251" i="15"/>
  <c r="V251" i="15" s="1"/>
  <c r="I620" i="15"/>
  <c r="H620" i="15"/>
  <c r="J620" i="15" s="1"/>
  <c r="Y128" i="15"/>
  <c r="X128" i="15"/>
  <c r="Z128" i="15" s="1"/>
  <c r="Q374" i="15"/>
  <c r="P374" i="15"/>
  <c r="R374" i="15" s="1"/>
  <c r="Q375" i="15" l="1"/>
  <c r="P375" i="15"/>
  <c r="R375" i="15" s="1"/>
  <c r="I621" i="15"/>
  <c r="H621" i="15"/>
  <c r="J621" i="15" s="1"/>
  <c r="M498" i="15"/>
  <c r="L498" i="15"/>
  <c r="N498" i="15" s="1"/>
  <c r="Y129" i="15"/>
  <c r="X129" i="15"/>
  <c r="Z129" i="15" s="1"/>
  <c r="U252" i="15"/>
  <c r="T252" i="15"/>
  <c r="V252" i="15" s="1"/>
  <c r="U253" i="15" l="1"/>
  <c r="T253" i="15"/>
  <c r="V253" i="15" s="1"/>
  <c r="M499" i="15"/>
  <c r="L499" i="15"/>
  <c r="N499" i="15" s="1"/>
  <c r="Q376" i="15"/>
  <c r="P376" i="15"/>
  <c r="R376" i="15" s="1"/>
  <c r="Y130" i="15"/>
  <c r="X130" i="15"/>
  <c r="Z130" i="15" s="1"/>
  <c r="I622" i="15"/>
  <c r="H622" i="15"/>
  <c r="J622" i="15" s="1"/>
  <c r="I623" i="15" l="1"/>
  <c r="H623" i="15"/>
  <c r="J623" i="15" s="1"/>
  <c r="Y131" i="15"/>
  <c r="X131" i="15"/>
  <c r="Z131" i="15" s="1"/>
  <c r="Q377" i="15"/>
  <c r="P377" i="15"/>
  <c r="R377" i="15" s="1"/>
  <c r="U254" i="15"/>
  <c r="T254" i="15"/>
  <c r="V254" i="15" s="1"/>
  <c r="M500" i="15"/>
  <c r="L500" i="15"/>
  <c r="N500" i="15" s="1"/>
  <c r="M501" i="15" l="1"/>
  <c r="L501" i="15"/>
  <c r="N501" i="15" s="1"/>
  <c r="Q378" i="15"/>
  <c r="P378" i="15"/>
  <c r="R378" i="15" s="1"/>
  <c r="I624" i="15"/>
  <c r="H624" i="15"/>
  <c r="J624" i="15" s="1"/>
  <c r="U255" i="15"/>
  <c r="T255" i="15"/>
  <c r="V255" i="15" s="1"/>
  <c r="Y132" i="15"/>
  <c r="X132" i="15"/>
  <c r="Z132" i="15" s="1"/>
  <c r="Y133" i="15" l="1"/>
  <c r="X133" i="15"/>
  <c r="Z133" i="15" s="1"/>
  <c r="U256" i="15"/>
  <c r="T256" i="15"/>
  <c r="V256" i="15" s="1"/>
  <c r="I625" i="15"/>
  <c r="H625" i="15"/>
  <c r="J625" i="15" s="1"/>
  <c r="M502" i="15"/>
  <c r="L502" i="15"/>
  <c r="N502" i="15" s="1"/>
  <c r="Q379" i="15"/>
  <c r="P379" i="15"/>
  <c r="R379" i="15" s="1"/>
  <c r="Q380" i="15" l="1"/>
  <c r="P380" i="15"/>
  <c r="R380" i="15" s="1"/>
  <c r="M503" i="15"/>
  <c r="L503" i="15"/>
  <c r="N503" i="15" s="1"/>
  <c r="I626" i="15"/>
  <c r="H626" i="15"/>
  <c r="J626" i="15" s="1"/>
  <c r="Y134" i="15"/>
  <c r="X134" i="15"/>
  <c r="Z134" i="15" s="1"/>
  <c r="U257" i="15"/>
  <c r="T257" i="15"/>
  <c r="V257" i="15" s="1"/>
  <c r="U258" i="15" l="1"/>
  <c r="T258" i="15"/>
  <c r="V258" i="15" s="1"/>
  <c r="Y135" i="15"/>
  <c r="X135" i="15"/>
  <c r="Z135" i="15" s="1"/>
  <c r="I627" i="15"/>
  <c r="H627" i="15"/>
  <c r="J627" i="15" s="1"/>
  <c r="Q381" i="15"/>
  <c r="P381" i="15"/>
  <c r="R381" i="15" s="1"/>
  <c r="M504" i="15"/>
  <c r="L504" i="15"/>
  <c r="N504" i="15" s="1"/>
  <c r="M505" i="15" l="1"/>
  <c r="L505" i="15"/>
  <c r="N505" i="15" s="1"/>
  <c r="I628" i="15"/>
  <c r="H628" i="15"/>
  <c r="J628" i="15" s="1"/>
  <c r="U259" i="15"/>
  <c r="T259" i="15"/>
  <c r="V259" i="15" s="1"/>
  <c r="Q382" i="15"/>
  <c r="P382" i="15"/>
  <c r="R382" i="15" s="1"/>
  <c r="Y136" i="15"/>
  <c r="X136" i="15"/>
  <c r="Z136" i="15" s="1"/>
  <c r="Y137" i="15" l="1"/>
  <c r="X137" i="15"/>
  <c r="Z137" i="15" s="1"/>
  <c r="U260" i="15"/>
  <c r="T260" i="15"/>
  <c r="V260" i="15" s="1"/>
  <c r="M506" i="15"/>
  <c r="L506" i="15"/>
  <c r="N506" i="15" s="1"/>
  <c r="Q383" i="15"/>
  <c r="P383" i="15"/>
  <c r="R383" i="15" s="1"/>
  <c r="I629" i="15"/>
  <c r="H629" i="15"/>
  <c r="J629" i="15" s="1"/>
  <c r="I630" i="15" l="1"/>
  <c r="H630" i="15"/>
  <c r="J630" i="15" s="1"/>
  <c r="M507" i="15"/>
  <c r="L507" i="15"/>
  <c r="N507" i="15" s="1"/>
  <c r="Y138" i="15"/>
  <c r="X138" i="15"/>
  <c r="Z138" i="15" s="1"/>
  <c r="Q384" i="15"/>
  <c r="P384" i="15"/>
  <c r="R384" i="15" s="1"/>
  <c r="U261" i="15"/>
  <c r="T261" i="15"/>
  <c r="V261" i="15" s="1"/>
  <c r="U262" i="15" l="1"/>
  <c r="T262" i="15"/>
  <c r="V262" i="15" s="1"/>
  <c r="Y139" i="15"/>
  <c r="X139" i="15"/>
  <c r="Z139" i="15" s="1"/>
  <c r="I631" i="15"/>
  <c r="H631" i="15"/>
  <c r="J631" i="15" s="1"/>
  <c r="Q385" i="15"/>
  <c r="P385" i="15"/>
  <c r="R385" i="15" s="1"/>
  <c r="M508" i="15"/>
  <c r="L508" i="15"/>
  <c r="N508" i="15" s="1"/>
  <c r="M509" i="15" l="1"/>
  <c r="L509" i="15"/>
  <c r="N509" i="15" s="1"/>
  <c r="I632" i="15"/>
  <c r="H632" i="15"/>
  <c r="J632" i="15" s="1"/>
  <c r="U263" i="15"/>
  <c r="T263" i="15"/>
  <c r="V263" i="15" s="1"/>
  <c r="Q386" i="15"/>
  <c r="P386" i="15"/>
  <c r="R386" i="15" s="1"/>
  <c r="Y140" i="15"/>
  <c r="X140" i="15"/>
  <c r="Z140" i="15" s="1"/>
  <c r="Y141" i="15" l="1"/>
  <c r="X141" i="15"/>
  <c r="Z141" i="15" s="1"/>
  <c r="U264" i="15"/>
  <c r="T264" i="15"/>
  <c r="V264" i="15" s="1"/>
  <c r="M510" i="15"/>
  <c r="L510" i="15"/>
  <c r="N510" i="15" s="1"/>
  <c r="Q387" i="15"/>
  <c r="P387" i="15"/>
  <c r="R387" i="15" s="1"/>
  <c r="I633" i="15"/>
  <c r="H633" i="15"/>
  <c r="J633" i="15" s="1"/>
  <c r="I634" i="15" l="1"/>
  <c r="H634" i="15"/>
  <c r="J634" i="15" s="1"/>
  <c r="M511" i="15"/>
  <c r="L511" i="15"/>
  <c r="N511" i="15" s="1"/>
  <c r="Y142" i="15"/>
  <c r="X142" i="15"/>
  <c r="Z142" i="15" s="1"/>
  <c r="Q388" i="15"/>
  <c r="P388" i="15"/>
  <c r="R388" i="15" s="1"/>
  <c r="U265" i="15"/>
  <c r="T265" i="15"/>
  <c r="V265" i="15" s="1"/>
  <c r="U266" i="15" l="1"/>
  <c r="T266" i="15"/>
  <c r="V266" i="15" s="1"/>
  <c r="Y143" i="15"/>
  <c r="X143" i="15"/>
  <c r="Z143" i="15" s="1"/>
  <c r="I635" i="15"/>
  <c r="H635" i="15"/>
  <c r="J635" i="15" s="1"/>
  <c r="Q389" i="15"/>
  <c r="P389" i="15"/>
  <c r="R389" i="15" s="1"/>
  <c r="M512" i="15"/>
  <c r="L512" i="15"/>
  <c r="N512" i="15" s="1"/>
  <c r="M513" i="15" l="1"/>
  <c r="L513" i="15"/>
  <c r="N513" i="15" s="1"/>
  <c r="I636" i="15"/>
  <c r="H636" i="15"/>
  <c r="J636" i="15" s="1"/>
  <c r="U267" i="15"/>
  <c r="T267" i="15"/>
  <c r="V267" i="15" s="1"/>
  <c r="Q390" i="15"/>
  <c r="P390" i="15"/>
  <c r="R390" i="15" s="1"/>
  <c r="Y144" i="15"/>
  <c r="X144" i="15"/>
  <c r="Z144" i="15" s="1"/>
  <c r="Y145" i="15" l="1"/>
  <c r="X145" i="15"/>
  <c r="Z145" i="15" s="1"/>
  <c r="U268" i="15"/>
  <c r="T268" i="15"/>
  <c r="V268" i="15" s="1"/>
  <c r="M514" i="15"/>
  <c r="L514" i="15"/>
  <c r="N514" i="15" s="1"/>
  <c r="Q391" i="15"/>
  <c r="P391" i="15"/>
  <c r="R391" i="15" s="1"/>
  <c r="I637" i="15"/>
  <c r="H637" i="15"/>
  <c r="J637" i="15" s="1"/>
  <c r="I638" i="15" l="1"/>
  <c r="H638" i="15"/>
  <c r="J638" i="15" s="1"/>
  <c r="M515" i="15"/>
  <c r="L515" i="15"/>
  <c r="N515" i="15" s="1"/>
  <c r="Y146" i="15"/>
  <c r="X146" i="15"/>
  <c r="Z146" i="15" s="1"/>
  <c r="Q392" i="15"/>
  <c r="P392" i="15"/>
  <c r="R392" i="15" s="1"/>
  <c r="U269" i="15"/>
  <c r="T269" i="15"/>
  <c r="V269" i="15" s="1"/>
  <c r="U270" i="15" l="1"/>
  <c r="T270" i="15"/>
  <c r="V270" i="15" s="1"/>
  <c r="K8" i="15"/>
  <c r="Y147" i="15"/>
  <c r="X147" i="15"/>
  <c r="Z147" i="15" s="1"/>
  <c r="I639" i="15"/>
  <c r="H639" i="15"/>
  <c r="J639" i="15" s="1"/>
  <c r="Q393" i="15"/>
  <c r="P393" i="15"/>
  <c r="R393" i="15" s="1"/>
  <c r="M516" i="15"/>
  <c r="L516" i="15"/>
  <c r="N516" i="15" s="1"/>
  <c r="M517" i="15" l="1"/>
  <c r="L517" i="15"/>
  <c r="N517" i="15" s="1"/>
  <c r="I640" i="15"/>
  <c r="H640" i="15"/>
  <c r="J640" i="15" s="1"/>
  <c r="U271" i="15"/>
  <c r="T271" i="15"/>
  <c r="V271" i="15" s="1"/>
  <c r="Q394" i="15"/>
  <c r="P394" i="15"/>
  <c r="R394" i="15" s="1"/>
  <c r="Y148" i="15"/>
  <c r="X148" i="15"/>
  <c r="Z148" i="15" s="1"/>
  <c r="H9" i="15"/>
  <c r="L8" i="15"/>
  <c r="M8" i="15"/>
  <c r="D9" i="15"/>
  <c r="C9" i="15" s="1"/>
  <c r="F9" i="15"/>
  <c r="E9" i="15" s="1"/>
  <c r="Y149" i="15" l="1"/>
  <c r="X149" i="15"/>
  <c r="Z149" i="15" s="1"/>
  <c r="Q395" i="15"/>
  <c r="P395" i="15"/>
  <c r="R395" i="15" s="1"/>
  <c r="U272" i="15"/>
  <c r="T272" i="15"/>
  <c r="V272" i="15" s="1"/>
  <c r="I641" i="15"/>
  <c r="H641" i="15"/>
  <c r="J641" i="15" s="1"/>
  <c r="M518" i="15"/>
  <c r="L518" i="15"/>
  <c r="N518" i="15" s="1"/>
  <c r="AA27" i="15"/>
  <c r="J9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I9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417" i="15"/>
  <c r="AA418" i="15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6" i="15"/>
  <c r="AA539" i="15"/>
  <c r="AA541" i="15"/>
  <c r="AA542" i="15"/>
  <c r="AA547" i="15"/>
  <c r="AA550" i="15"/>
  <c r="AA551" i="15"/>
  <c r="AA552" i="15"/>
  <c r="AA553" i="15"/>
  <c r="AA554" i="15"/>
  <c r="AA557" i="15"/>
  <c r="AA560" i="15"/>
  <c r="AA562" i="15"/>
  <c r="AA564" i="15"/>
  <c r="AA565" i="15"/>
  <c r="AA567" i="15"/>
  <c r="AA568" i="15"/>
  <c r="AA573" i="15"/>
  <c r="AA576" i="15"/>
  <c r="AA579" i="15"/>
  <c r="AA584" i="15"/>
  <c r="AA587" i="15"/>
  <c r="AA588" i="15"/>
  <c r="AA590" i="15"/>
  <c r="AA591" i="15"/>
  <c r="AA596" i="15"/>
  <c r="AA599" i="15"/>
  <c r="AA603" i="15"/>
  <c r="AA607" i="15"/>
  <c r="AA608" i="15"/>
  <c r="AA612" i="15"/>
  <c r="AA616" i="15"/>
  <c r="AA619" i="15"/>
  <c r="AA622" i="15"/>
  <c r="AA626" i="15"/>
  <c r="AA630" i="15"/>
  <c r="AA633" i="15"/>
  <c r="AA637" i="15"/>
  <c r="AA641" i="15"/>
  <c r="AA646" i="15"/>
  <c r="AA649" i="15"/>
  <c r="AA652" i="15"/>
  <c r="AA657" i="15"/>
  <c r="AA661" i="15"/>
  <c r="AA664" i="15"/>
  <c r="AA669" i="15"/>
  <c r="AA670" i="15"/>
  <c r="AA674" i="15"/>
  <c r="AA675" i="15"/>
  <c r="AA679" i="15"/>
  <c r="AA680" i="15"/>
  <c r="AA684" i="15"/>
  <c r="AA688" i="15"/>
  <c r="AA692" i="15"/>
  <c r="AA694" i="15"/>
  <c r="AA698" i="15"/>
  <c r="AA700" i="15"/>
  <c r="AA701" i="15"/>
  <c r="AA703" i="15"/>
  <c r="AA704" i="15"/>
  <c r="AA709" i="15"/>
  <c r="AA711" i="15"/>
  <c r="AA715" i="15"/>
  <c r="AA718" i="15"/>
  <c r="AA721" i="15"/>
  <c r="AA722" i="15"/>
  <c r="AA725" i="15"/>
  <c r="AA731" i="15"/>
  <c r="AA732" i="15"/>
  <c r="AA736" i="15"/>
  <c r="AA739" i="15"/>
  <c r="AA742" i="15"/>
  <c r="AA747" i="15"/>
  <c r="AA751" i="15"/>
  <c r="AA752" i="15"/>
  <c r="AA755" i="15"/>
  <c r="AA759" i="15"/>
  <c r="AA760" i="15"/>
  <c r="AA764" i="15"/>
  <c r="AA768" i="15"/>
  <c r="AA773" i="15"/>
  <c r="AA779" i="15"/>
  <c r="AA780" i="15"/>
  <c r="AA781" i="15"/>
  <c r="AA784" i="15"/>
  <c r="AA787" i="15"/>
  <c r="AA790" i="15"/>
  <c r="AA793" i="15"/>
  <c r="AA797" i="15"/>
  <c r="AA799" i="15"/>
  <c r="AA802" i="15"/>
  <c r="AA807" i="15"/>
  <c r="AA808" i="15"/>
  <c r="AA811" i="15"/>
  <c r="AA814" i="15"/>
  <c r="AA815" i="15"/>
  <c r="AA819" i="15"/>
  <c r="AA822" i="15"/>
  <c r="AA825" i="15"/>
  <c r="AA828" i="15"/>
  <c r="AA832" i="15"/>
  <c r="AA835" i="15"/>
  <c r="AA836" i="15"/>
  <c r="AA837" i="15"/>
  <c r="AA838" i="15"/>
  <c r="AA843" i="15"/>
  <c r="AA846" i="15"/>
  <c r="AA849" i="15"/>
  <c r="AA854" i="15"/>
  <c r="AA855" i="15"/>
  <c r="AA860" i="15"/>
  <c r="AA861" i="15"/>
  <c r="AA866" i="15"/>
  <c r="AA867" i="15"/>
  <c r="AA871" i="15"/>
  <c r="AA874" i="15"/>
  <c r="AA878" i="15"/>
  <c r="AA882" i="15"/>
  <c r="AA883" i="15"/>
  <c r="AA887" i="15"/>
  <c r="AA890" i="15"/>
  <c r="AA893" i="15"/>
  <c r="AA896" i="15"/>
  <c r="AA899" i="15"/>
  <c r="AA900" i="15"/>
  <c r="AA905" i="15"/>
  <c r="AA909" i="15"/>
  <c r="AA913" i="15"/>
  <c r="AA916" i="15"/>
  <c r="AA920" i="15"/>
  <c r="AA922" i="15"/>
  <c r="AA924" i="15"/>
  <c r="AA925" i="15"/>
  <c r="AA930" i="15"/>
  <c r="AA934" i="15"/>
  <c r="AA937" i="15"/>
  <c r="AA940" i="15"/>
  <c r="AA943" i="15"/>
  <c r="AA946" i="15"/>
  <c r="AA949" i="15"/>
  <c r="AA956" i="15"/>
  <c r="AA959" i="15"/>
  <c r="AA962" i="15"/>
  <c r="AA964" i="15"/>
  <c r="AA968" i="15"/>
  <c r="AA971" i="15"/>
  <c r="AA974" i="15"/>
  <c r="AA978" i="15"/>
  <c r="AA981" i="15"/>
  <c r="AA984" i="15"/>
  <c r="AA986" i="15"/>
  <c r="AA990" i="15"/>
  <c r="AA991" i="15"/>
  <c r="AA993" i="15"/>
  <c r="AA994" i="15"/>
  <c r="AA998" i="15"/>
  <c r="AA1000" i="15"/>
  <c r="AA1004" i="15"/>
  <c r="AA1007" i="15"/>
  <c r="AA1011" i="15"/>
  <c r="AA1012" i="15"/>
  <c r="AA1015" i="15"/>
  <c r="AA1019" i="15"/>
  <c r="AA1021" i="15"/>
  <c r="AA1024" i="15"/>
  <c r="AA1025" i="15"/>
  <c r="AA487" i="15"/>
  <c r="AA535" i="15"/>
  <c r="AA537" i="15"/>
  <c r="AA538" i="15"/>
  <c r="AA540" i="15"/>
  <c r="AA543" i="15"/>
  <c r="AA544" i="15"/>
  <c r="AA545" i="15"/>
  <c r="AA546" i="15"/>
  <c r="AA548" i="15"/>
  <c r="AA549" i="15"/>
  <c r="AA555" i="15"/>
  <c r="AA556" i="15"/>
  <c r="AA558" i="15"/>
  <c r="AA559" i="15"/>
  <c r="AA561" i="15"/>
  <c r="AA563" i="15"/>
  <c r="AA566" i="15"/>
  <c r="AA569" i="15"/>
  <c r="AA570" i="15"/>
  <c r="AA571" i="15"/>
  <c r="AA572" i="15"/>
  <c r="AA574" i="15"/>
  <c r="AA575" i="15"/>
  <c r="AA577" i="15"/>
  <c r="AA578" i="15"/>
  <c r="AA580" i="15"/>
  <c r="AA581" i="15"/>
  <c r="AA582" i="15"/>
  <c r="AA583" i="15"/>
  <c r="AA585" i="15"/>
  <c r="AA586" i="15"/>
  <c r="AA589" i="15"/>
  <c r="AA592" i="15"/>
  <c r="AA593" i="15"/>
  <c r="AA594" i="15"/>
  <c r="AA595" i="15"/>
  <c r="AA597" i="15"/>
  <c r="AA598" i="15"/>
  <c r="AA600" i="15"/>
  <c r="AA601" i="15"/>
  <c r="AA602" i="15"/>
  <c r="AA604" i="15"/>
  <c r="AA605" i="15"/>
  <c r="AA606" i="15"/>
  <c r="AA609" i="15"/>
  <c r="AA610" i="15"/>
  <c r="AA611" i="15"/>
  <c r="AA613" i="15"/>
  <c r="AA614" i="15"/>
  <c r="AA615" i="15"/>
  <c r="AA617" i="15"/>
  <c r="AA618" i="15"/>
  <c r="AA620" i="15"/>
  <c r="AA621" i="15"/>
  <c r="AA623" i="15"/>
  <c r="AA624" i="15"/>
  <c r="AA625" i="15"/>
  <c r="AA627" i="15"/>
  <c r="AA628" i="15"/>
  <c r="AA629" i="15"/>
  <c r="AA631" i="15"/>
  <c r="AA632" i="15"/>
  <c r="AA634" i="15"/>
  <c r="AA635" i="15"/>
  <c r="AA636" i="15"/>
  <c r="AA638" i="15"/>
  <c r="AA639" i="15"/>
  <c r="AA640" i="15"/>
  <c r="AA642" i="15"/>
  <c r="AA643" i="15"/>
  <c r="AA644" i="15"/>
  <c r="AA645" i="15"/>
  <c r="AA647" i="15"/>
  <c r="AA648" i="15"/>
  <c r="AA650" i="15"/>
  <c r="AA651" i="15"/>
  <c r="AA653" i="15"/>
  <c r="AA654" i="15"/>
  <c r="AA655" i="15"/>
  <c r="AA656" i="15"/>
  <c r="AA658" i="15"/>
  <c r="AA659" i="15"/>
  <c r="AA660" i="15"/>
  <c r="AA662" i="15"/>
  <c r="AA663" i="15"/>
  <c r="AA665" i="15"/>
  <c r="AA666" i="15"/>
  <c r="AA667" i="15"/>
  <c r="AA668" i="15"/>
  <c r="AA671" i="15"/>
  <c r="AA672" i="15"/>
  <c r="AA673" i="15"/>
  <c r="AA676" i="15"/>
  <c r="AA677" i="15"/>
  <c r="AA678" i="15"/>
  <c r="AA681" i="15"/>
  <c r="AA682" i="15"/>
  <c r="AA683" i="15"/>
  <c r="AA685" i="15"/>
  <c r="AA686" i="15"/>
  <c r="AA687" i="15"/>
  <c r="AA689" i="15"/>
  <c r="AA690" i="15"/>
  <c r="AA691" i="15"/>
  <c r="AA693" i="15"/>
  <c r="AA695" i="15"/>
  <c r="AA696" i="15"/>
  <c r="AA697" i="15"/>
  <c r="AA699" i="15"/>
  <c r="AA702" i="15"/>
  <c r="AA705" i="15"/>
  <c r="AA706" i="15"/>
  <c r="AA707" i="15"/>
  <c r="AA708" i="15"/>
  <c r="AA710" i="15"/>
  <c r="AA712" i="15"/>
  <c r="AA713" i="15"/>
  <c r="AA714" i="15"/>
  <c r="AA716" i="15"/>
  <c r="AA717" i="15"/>
  <c r="AA719" i="15"/>
  <c r="AA720" i="15"/>
  <c r="AA723" i="15"/>
  <c r="AA724" i="15"/>
  <c r="AA726" i="15"/>
  <c r="AA727" i="15"/>
  <c r="AA728" i="15"/>
  <c r="AA729" i="15"/>
  <c r="AA730" i="15"/>
  <c r="AA733" i="15"/>
  <c r="AA734" i="15"/>
  <c r="AA735" i="15"/>
  <c r="AA737" i="15"/>
  <c r="AA738" i="15"/>
  <c r="AA740" i="15"/>
  <c r="AA741" i="15"/>
  <c r="AA743" i="15"/>
  <c r="AA744" i="15"/>
  <c r="AA745" i="15"/>
  <c r="AA746" i="15"/>
  <c r="AA748" i="15"/>
  <c r="AA749" i="15"/>
  <c r="AA750" i="15"/>
  <c r="AA753" i="15"/>
  <c r="AA754" i="15"/>
  <c r="AA756" i="15"/>
  <c r="AA757" i="15"/>
  <c r="AA758" i="15"/>
  <c r="AA761" i="15"/>
  <c r="AA762" i="15"/>
  <c r="AA763" i="15"/>
  <c r="AA765" i="15"/>
  <c r="AA766" i="15"/>
  <c r="AA767" i="15"/>
  <c r="AA769" i="15"/>
  <c r="AA770" i="15"/>
  <c r="AA771" i="15"/>
  <c r="AA772" i="15"/>
  <c r="AA774" i="15"/>
  <c r="AA775" i="15"/>
  <c r="AA776" i="15"/>
  <c r="AA777" i="15"/>
  <c r="AA778" i="15"/>
  <c r="AA782" i="15"/>
  <c r="AA783" i="15"/>
  <c r="AA785" i="15"/>
  <c r="AA786" i="15"/>
  <c r="AA788" i="15"/>
  <c r="AA789" i="15"/>
  <c r="AA791" i="15"/>
  <c r="AA792" i="15"/>
  <c r="AA794" i="15"/>
  <c r="AA795" i="15"/>
  <c r="AA796" i="15"/>
  <c r="AA798" i="15"/>
  <c r="AA800" i="15"/>
  <c r="AA801" i="15"/>
  <c r="AA803" i="15"/>
  <c r="AA804" i="15"/>
  <c r="AA805" i="15"/>
  <c r="AA806" i="15"/>
  <c r="AA809" i="15"/>
  <c r="AA810" i="15"/>
  <c r="AA812" i="15"/>
  <c r="AA813" i="15"/>
  <c r="AA816" i="15"/>
  <c r="AA817" i="15"/>
  <c r="AA818" i="15"/>
  <c r="AA820" i="15"/>
  <c r="AA821" i="15"/>
  <c r="AA823" i="15"/>
  <c r="AA824" i="15"/>
  <c r="AA826" i="15"/>
  <c r="AA827" i="15"/>
  <c r="AA829" i="15"/>
  <c r="AA830" i="15"/>
  <c r="AA831" i="15"/>
  <c r="AA833" i="15"/>
  <c r="AA834" i="15"/>
  <c r="AA839" i="15"/>
  <c r="AA840" i="15"/>
  <c r="AA841" i="15"/>
  <c r="AA842" i="15"/>
  <c r="AA844" i="15"/>
  <c r="AA845" i="15"/>
  <c r="AA847" i="15"/>
  <c r="AA848" i="15"/>
  <c r="AA850" i="15"/>
  <c r="AA851" i="15"/>
  <c r="AA852" i="15"/>
  <c r="AA853" i="15"/>
  <c r="AA856" i="15"/>
  <c r="AA857" i="15"/>
  <c r="AA858" i="15"/>
  <c r="AA859" i="15"/>
  <c r="AA862" i="15"/>
  <c r="AA863" i="15"/>
  <c r="AA864" i="15"/>
  <c r="AA865" i="15"/>
  <c r="AA868" i="15"/>
  <c r="AA869" i="15"/>
  <c r="AA870" i="15"/>
  <c r="AA872" i="15"/>
  <c r="AA873" i="15"/>
  <c r="AA875" i="15"/>
  <c r="AA876" i="15"/>
  <c r="AA877" i="15"/>
  <c r="AA879" i="15"/>
  <c r="AA880" i="15"/>
  <c r="AA881" i="15"/>
  <c r="AA884" i="15"/>
  <c r="AA885" i="15"/>
  <c r="AA886" i="15"/>
  <c r="AA888" i="15"/>
  <c r="AA889" i="15"/>
  <c r="AA891" i="15"/>
  <c r="AA892" i="15"/>
  <c r="AA894" i="15"/>
  <c r="AA895" i="15"/>
  <c r="AA897" i="15"/>
  <c r="AA898" i="15"/>
  <c r="AA901" i="15"/>
  <c r="AA902" i="15"/>
  <c r="AA903" i="15"/>
  <c r="AA904" i="15"/>
  <c r="AA906" i="15"/>
  <c r="AA907" i="15"/>
  <c r="AA908" i="15"/>
  <c r="AA910" i="15"/>
  <c r="AA911" i="15"/>
  <c r="AA912" i="15"/>
  <c r="AA914" i="15"/>
  <c r="AA915" i="15"/>
  <c r="AA917" i="15"/>
  <c r="AA918" i="15"/>
  <c r="AA919" i="15"/>
  <c r="AA921" i="15"/>
  <c r="AA923" i="15"/>
  <c r="AA926" i="15"/>
  <c r="AA927" i="15"/>
  <c r="AA928" i="15"/>
  <c r="AA929" i="15"/>
  <c r="AA931" i="15"/>
  <c r="AA932" i="15"/>
  <c r="AA933" i="15"/>
  <c r="AA935" i="15"/>
  <c r="AA936" i="15"/>
  <c r="AA938" i="15"/>
  <c r="AA939" i="15"/>
  <c r="AA941" i="15"/>
  <c r="AA942" i="15"/>
  <c r="AA944" i="15"/>
  <c r="AA945" i="15"/>
  <c r="AA947" i="15"/>
  <c r="AA948" i="15"/>
  <c r="AA950" i="15"/>
  <c r="AA951" i="15"/>
  <c r="AA952" i="15"/>
  <c r="AA953" i="15"/>
  <c r="AA954" i="15"/>
  <c r="AA955" i="15"/>
  <c r="AA957" i="15"/>
  <c r="AA958" i="15"/>
  <c r="AA960" i="15"/>
  <c r="AA961" i="15"/>
  <c r="AA963" i="15"/>
  <c r="AA965" i="15"/>
  <c r="AA966" i="15"/>
  <c r="AA967" i="15"/>
  <c r="AA969" i="15"/>
  <c r="AA970" i="15"/>
  <c r="AA972" i="15"/>
  <c r="AA973" i="15"/>
  <c r="AA975" i="15"/>
  <c r="AA976" i="15"/>
  <c r="AA977" i="15"/>
  <c r="AA979" i="15"/>
  <c r="AA980" i="15"/>
  <c r="AA982" i="15"/>
  <c r="AA983" i="15"/>
  <c r="AA985" i="15"/>
  <c r="AA987" i="15"/>
  <c r="AA988" i="15"/>
  <c r="AA989" i="15"/>
  <c r="AA992" i="15"/>
  <c r="AA995" i="15"/>
  <c r="AA996" i="15"/>
  <c r="AA997" i="15"/>
  <c r="AA999" i="15"/>
  <c r="AA1001" i="15"/>
  <c r="AA1002" i="15"/>
  <c r="AA1003" i="15"/>
  <c r="AA1005" i="15"/>
  <c r="AA1006" i="15"/>
  <c r="AA1008" i="15"/>
  <c r="AA1009" i="15"/>
  <c r="AA1010" i="15"/>
  <c r="AA1013" i="15"/>
  <c r="AA1014" i="15"/>
  <c r="AA1016" i="15"/>
  <c r="AA1017" i="15"/>
  <c r="AA1018" i="15"/>
  <c r="AA1020" i="15"/>
  <c r="AA1022" i="15"/>
  <c r="AA1023" i="15"/>
  <c r="AA1026" i="15"/>
  <c r="AA1027" i="15"/>
  <c r="AC27" i="15"/>
  <c r="M519" i="15" l="1"/>
  <c r="L519" i="15"/>
  <c r="N519" i="15" s="1"/>
  <c r="I642" i="15"/>
  <c r="H642" i="15"/>
  <c r="J642" i="15" s="1"/>
  <c r="U273" i="15"/>
  <c r="T273" i="15"/>
  <c r="V273" i="15" s="1"/>
  <c r="Q396" i="15"/>
  <c r="P396" i="15"/>
  <c r="R396" i="15" s="1"/>
  <c r="Y150" i="15"/>
  <c r="X150" i="15"/>
  <c r="Z150" i="15" s="1"/>
  <c r="AB27" i="15"/>
  <c r="AD27" i="15" s="1"/>
  <c r="AB28" i="15" s="1"/>
  <c r="Y151" i="15" l="1"/>
  <c r="X151" i="15"/>
  <c r="Z151" i="15" s="1"/>
  <c r="Q397" i="15"/>
  <c r="P397" i="15"/>
  <c r="R397" i="15" s="1"/>
  <c r="U274" i="15"/>
  <c r="T274" i="15"/>
  <c r="V274" i="15" s="1"/>
  <c r="I643" i="15"/>
  <c r="H643" i="15"/>
  <c r="J643" i="15" s="1"/>
  <c r="M520" i="15"/>
  <c r="L520" i="15"/>
  <c r="N520" i="15" s="1"/>
  <c r="AC28" i="15"/>
  <c r="AD28" i="15" s="1"/>
  <c r="M521" i="15" l="1"/>
  <c r="L521" i="15"/>
  <c r="N521" i="15" s="1"/>
  <c r="I644" i="15"/>
  <c r="H644" i="15"/>
  <c r="J644" i="15" s="1"/>
  <c r="U275" i="15"/>
  <c r="T275" i="15"/>
  <c r="V275" i="15" s="1"/>
  <c r="Q398" i="15"/>
  <c r="P398" i="15"/>
  <c r="R398" i="15" s="1"/>
  <c r="Y152" i="15"/>
  <c r="X152" i="15"/>
  <c r="Z152" i="15" s="1"/>
  <c r="AC29" i="15"/>
  <c r="AB29" i="15"/>
  <c r="AD29" i="15" s="1"/>
  <c r="AC30" i="15" l="1"/>
  <c r="AB30" i="15"/>
  <c r="AD30" i="15" s="1"/>
  <c r="Y153" i="15"/>
  <c r="X153" i="15"/>
  <c r="Z153" i="15" s="1"/>
  <c r="Q399" i="15"/>
  <c r="P399" i="15"/>
  <c r="R399" i="15" s="1"/>
  <c r="U276" i="15"/>
  <c r="T276" i="15"/>
  <c r="V276" i="15" s="1"/>
  <c r="M522" i="15"/>
  <c r="L522" i="15"/>
  <c r="N522" i="15" s="1"/>
  <c r="I645" i="15"/>
  <c r="H645" i="15"/>
  <c r="J645" i="15" s="1"/>
  <c r="I646" i="15" l="1"/>
  <c r="H646" i="15"/>
  <c r="J646" i="15" s="1"/>
  <c r="U277" i="15"/>
  <c r="T277" i="15"/>
  <c r="V277" i="15" s="1"/>
  <c r="Q400" i="15"/>
  <c r="P400" i="15"/>
  <c r="R400" i="15" s="1"/>
  <c r="AC31" i="15"/>
  <c r="AB31" i="15"/>
  <c r="AD31" i="15" s="1"/>
  <c r="M523" i="15"/>
  <c r="L523" i="15"/>
  <c r="N523" i="15" s="1"/>
  <c r="Y154" i="15"/>
  <c r="X154" i="15"/>
  <c r="Z154" i="15" s="1"/>
  <c r="M524" i="15" l="1"/>
  <c r="L524" i="15"/>
  <c r="N524" i="15" s="1"/>
  <c r="Q401" i="15"/>
  <c r="P401" i="15"/>
  <c r="R401" i="15" s="1"/>
  <c r="U278" i="15"/>
  <c r="T278" i="15"/>
  <c r="V278" i="15" s="1"/>
  <c r="Y155" i="15"/>
  <c r="X155" i="15"/>
  <c r="Z155" i="15" s="1"/>
  <c r="AC32" i="15"/>
  <c r="AB32" i="15"/>
  <c r="AD32" i="15" s="1"/>
  <c r="I647" i="15"/>
  <c r="H647" i="15"/>
  <c r="J647" i="15" s="1"/>
  <c r="AC33" i="15" l="1"/>
  <c r="AB33" i="15"/>
  <c r="AD33" i="15" s="1"/>
  <c r="Y156" i="15"/>
  <c r="X156" i="15"/>
  <c r="Z156" i="15" s="1"/>
  <c r="U279" i="15"/>
  <c r="T279" i="15"/>
  <c r="V279" i="15" s="1"/>
  <c r="M525" i="15"/>
  <c r="L525" i="15"/>
  <c r="N525" i="15" s="1"/>
  <c r="I648" i="15"/>
  <c r="H648" i="15"/>
  <c r="J648" i="15" s="1"/>
  <c r="Q402" i="15"/>
  <c r="P402" i="15"/>
  <c r="R402" i="15" s="1"/>
  <c r="Q403" i="15" l="1"/>
  <c r="P403" i="15"/>
  <c r="R403" i="15" s="1"/>
  <c r="I649" i="15"/>
  <c r="H649" i="15"/>
  <c r="J649" i="15" s="1"/>
  <c r="M526" i="15"/>
  <c r="L526" i="15"/>
  <c r="N526" i="15" s="1"/>
  <c r="U280" i="15"/>
  <c r="T280" i="15"/>
  <c r="V280" i="15" s="1"/>
  <c r="AC34" i="15"/>
  <c r="AB34" i="15"/>
  <c r="AD34" i="15" s="1"/>
  <c r="Y157" i="15"/>
  <c r="X157" i="15"/>
  <c r="Z157" i="15" s="1"/>
  <c r="AC35" i="15" l="1"/>
  <c r="AB35" i="15"/>
  <c r="AD35" i="15" s="1"/>
  <c r="U281" i="15"/>
  <c r="T281" i="15"/>
  <c r="V281" i="15" s="1"/>
  <c r="M527" i="15"/>
  <c r="L527" i="15"/>
  <c r="N527" i="15" s="1"/>
  <c r="I650" i="15"/>
  <c r="H650" i="15"/>
  <c r="J650" i="15" s="1"/>
  <c r="Q404" i="15"/>
  <c r="P404" i="15"/>
  <c r="R404" i="15" s="1"/>
  <c r="Y158" i="15"/>
  <c r="X158" i="15"/>
  <c r="Z158" i="15" s="1"/>
  <c r="Y159" i="15" l="1"/>
  <c r="X159" i="15"/>
  <c r="Z159" i="15" s="1"/>
  <c r="I651" i="15"/>
  <c r="H651" i="15"/>
  <c r="J651" i="15" s="1"/>
  <c r="M528" i="15"/>
  <c r="L528" i="15"/>
  <c r="N528" i="15" s="1"/>
  <c r="AC36" i="15"/>
  <c r="AB36" i="15"/>
  <c r="AD36" i="15" s="1"/>
  <c r="Q405" i="15"/>
  <c r="P405" i="15"/>
  <c r="R405" i="15" s="1"/>
  <c r="U282" i="15"/>
  <c r="T282" i="15"/>
  <c r="V282" i="15" s="1"/>
  <c r="U283" i="15" l="1"/>
  <c r="T283" i="15"/>
  <c r="V283" i="15" s="1"/>
  <c r="Q406" i="15"/>
  <c r="P406" i="15"/>
  <c r="R406" i="15" s="1"/>
  <c r="AC37" i="15"/>
  <c r="AB37" i="15"/>
  <c r="AD37" i="15" s="1"/>
  <c r="M529" i="15"/>
  <c r="L529" i="15"/>
  <c r="N529" i="15" s="1"/>
  <c r="Y160" i="15"/>
  <c r="X160" i="15"/>
  <c r="Z160" i="15" s="1"/>
  <c r="I652" i="15"/>
  <c r="H652" i="15"/>
  <c r="J652" i="15" s="1"/>
  <c r="Y161" i="15" l="1"/>
  <c r="X161" i="15"/>
  <c r="Z161" i="15" s="1"/>
  <c r="AC38" i="15"/>
  <c r="AB38" i="15"/>
  <c r="AD38" i="15" s="1"/>
  <c r="U284" i="15"/>
  <c r="T284" i="15"/>
  <c r="V284" i="15" s="1"/>
  <c r="I653" i="15"/>
  <c r="H653" i="15"/>
  <c r="J653" i="15" s="1"/>
  <c r="M530" i="15"/>
  <c r="L530" i="15"/>
  <c r="N530" i="15" s="1"/>
  <c r="Q407" i="15"/>
  <c r="P407" i="15"/>
  <c r="R407" i="15" s="1"/>
  <c r="M531" i="15" l="1"/>
  <c r="L531" i="15"/>
  <c r="N531" i="15" s="1"/>
  <c r="I654" i="15"/>
  <c r="H654" i="15"/>
  <c r="J654" i="15" s="1"/>
  <c r="U285" i="15"/>
  <c r="T285" i="15"/>
  <c r="V285" i="15" s="1"/>
  <c r="Y162" i="15"/>
  <c r="X162" i="15"/>
  <c r="Z162" i="15" s="1"/>
  <c r="Q408" i="15"/>
  <c r="P408" i="15"/>
  <c r="R408" i="15" s="1"/>
  <c r="AC39" i="15"/>
  <c r="AB39" i="15"/>
  <c r="AD39" i="15" s="1"/>
  <c r="AC40" i="15" l="1"/>
  <c r="AB40" i="15"/>
  <c r="AD40" i="15" s="1"/>
  <c r="Q409" i="15"/>
  <c r="P409" i="15"/>
  <c r="R409" i="15" s="1"/>
  <c r="Y163" i="15"/>
  <c r="X163" i="15"/>
  <c r="Z163" i="15" s="1"/>
  <c r="I655" i="15"/>
  <c r="H655" i="15"/>
  <c r="J655" i="15" s="1"/>
  <c r="M532" i="15"/>
  <c r="L532" i="15"/>
  <c r="N532" i="15" s="1"/>
  <c r="U286" i="15"/>
  <c r="T286" i="15"/>
  <c r="V286" i="15" s="1"/>
  <c r="U287" i="15" l="1"/>
  <c r="T287" i="15"/>
  <c r="V287" i="15" s="1"/>
  <c r="M533" i="15"/>
  <c r="L533" i="15"/>
  <c r="N533" i="15" s="1"/>
  <c r="I656" i="15"/>
  <c r="H656" i="15"/>
  <c r="J656" i="15" s="1"/>
  <c r="Y164" i="15"/>
  <c r="X164" i="15"/>
  <c r="Z164" i="15" s="1"/>
  <c r="AC41" i="15"/>
  <c r="AB41" i="15"/>
  <c r="AD41" i="15" s="1"/>
  <c r="Q410" i="15"/>
  <c r="P410" i="15"/>
  <c r="R410" i="15" s="1"/>
  <c r="Q411" i="15" l="1"/>
  <c r="P411" i="15"/>
  <c r="R411" i="15" s="1"/>
  <c r="AC42" i="15"/>
  <c r="AB42" i="15"/>
  <c r="AD42" i="15" s="1"/>
  <c r="Y165" i="15"/>
  <c r="X165" i="15"/>
  <c r="Z165" i="15" s="1"/>
  <c r="I657" i="15"/>
  <c r="H657" i="15"/>
  <c r="J657" i="15" s="1"/>
  <c r="M534" i="15"/>
  <c r="L534" i="15"/>
  <c r="N534" i="15" s="1"/>
  <c r="U288" i="15"/>
  <c r="T288" i="15"/>
  <c r="V288" i="15" s="1"/>
  <c r="U289" i="15" l="1"/>
  <c r="T289" i="15"/>
  <c r="V289" i="15" s="1"/>
  <c r="M535" i="15"/>
  <c r="L535" i="15"/>
  <c r="N535" i="15" s="1"/>
  <c r="I658" i="15"/>
  <c r="H658" i="15"/>
  <c r="J658" i="15" s="1"/>
  <c r="AC43" i="15"/>
  <c r="AB43" i="15"/>
  <c r="AD43" i="15" s="1"/>
  <c r="Q412" i="15"/>
  <c r="P412" i="15"/>
  <c r="R412" i="15" s="1"/>
  <c r="Y166" i="15"/>
  <c r="X166" i="15"/>
  <c r="Z166" i="15" s="1"/>
  <c r="Y167" i="15" l="1"/>
  <c r="X167" i="15"/>
  <c r="Z167" i="15" s="1"/>
  <c r="Q413" i="15"/>
  <c r="P413" i="15"/>
  <c r="R413" i="15" s="1"/>
  <c r="AC44" i="15"/>
  <c r="AB44" i="15"/>
  <c r="AD44" i="15" s="1"/>
  <c r="M536" i="15"/>
  <c r="L536" i="15"/>
  <c r="N536" i="15" s="1"/>
  <c r="U290" i="15"/>
  <c r="T290" i="15"/>
  <c r="V290" i="15" s="1"/>
  <c r="I659" i="15"/>
  <c r="H659" i="15"/>
  <c r="J659" i="15" s="1"/>
  <c r="I660" i="15" l="1"/>
  <c r="H660" i="15"/>
  <c r="J660" i="15" s="1"/>
  <c r="U291" i="15"/>
  <c r="T291" i="15"/>
  <c r="V291" i="15" s="1"/>
  <c r="M537" i="15"/>
  <c r="L537" i="15"/>
  <c r="N537" i="15" s="1"/>
  <c r="AC45" i="15"/>
  <c r="AB45" i="15"/>
  <c r="AD45" i="15" s="1"/>
  <c r="Y168" i="15"/>
  <c r="X168" i="15"/>
  <c r="Z168" i="15" s="1"/>
  <c r="Q414" i="15"/>
  <c r="P414" i="15"/>
  <c r="R414" i="15" s="1"/>
  <c r="Q415" i="15" l="1"/>
  <c r="P415" i="15"/>
  <c r="R415" i="15" s="1"/>
  <c r="AC46" i="15"/>
  <c r="AB46" i="15"/>
  <c r="AD46" i="15" s="1"/>
  <c r="M538" i="15"/>
  <c r="L538" i="15"/>
  <c r="N538" i="15" s="1"/>
  <c r="I661" i="15"/>
  <c r="H661" i="15"/>
  <c r="J661" i="15" s="1"/>
  <c r="Y169" i="15"/>
  <c r="X169" i="15"/>
  <c r="Z169" i="15" s="1"/>
  <c r="U292" i="15"/>
  <c r="T292" i="15"/>
  <c r="V292" i="15" s="1"/>
  <c r="Y170" i="15" l="1"/>
  <c r="X170" i="15"/>
  <c r="Z170" i="15" s="1"/>
  <c r="M539" i="15"/>
  <c r="L539" i="15"/>
  <c r="N539" i="15" s="1"/>
  <c r="Q416" i="15"/>
  <c r="P416" i="15"/>
  <c r="R416" i="15" s="1"/>
  <c r="U293" i="15"/>
  <c r="T293" i="15"/>
  <c r="V293" i="15" s="1"/>
  <c r="I662" i="15"/>
  <c r="H662" i="15"/>
  <c r="J662" i="15" s="1"/>
  <c r="AC47" i="15"/>
  <c r="AB47" i="15"/>
  <c r="AD47" i="15" s="1"/>
  <c r="I663" i="15" l="1"/>
  <c r="H663" i="15"/>
  <c r="J663" i="15" s="1"/>
  <c r="Q417" i="15"/>
  <c r="P417" i="15"/>
  <c r="R417" i="15" s="1"/>
  <c r="Y171" i="15"/>
  <c r="X171" i="15"/>
  <c r="Z171" i="15" s="1"/>
  <c r="AC48" i="15"/>
  <c r="AB48" i="15"/>
  <c r="AD48" i="15" s="1"/>
  <c r="U294" i="15"/>
  <c r="T294" i="15"/>
  <c r="V294" i="15" s="1"/>
  <c r="M540" i="15"/>
  <c r="L540" i="15"/>
  <c r="N540" i="15" s="1"/>
  <c r="M541" i="15" l="1"/>
  <c r="L541" i="15"/>
  <c r="N541" i="15" s="1"/>
  <c r="U295" i="15"/>
  <c r="T295" i="15"/>
  <c r="V295" i="15" s="1"/>
  <c r="AC49" i="15"/>
  <c r="AB49" i="15"/>
  <c r="AD49" i="15" s="1"/>
  <c r="Y172" i="15"/>
  <c r="X172" i="15"/>
  <c r="Z172" i="15" s="1"/>
  <c r="I664" i="15"/>
  <c r="H664" i="15"/>
  <c r="J664" i="15" s="1"/>
  <c r="Q418" i="15"/>
  <c r="P418" i="15"/>
  <c r="R418" i="15" s="1"/>
  <c r="I665" i="15" l="1"/>
  <c r="H665" i="15"/>
  <c r="J665" i="15" s="1"/>
  <c r="Y173" i="15"/>
  <c r="X173" i="15"/>
  <c r="Z173" i="15" s="1"/>
  <c r="U296" i="15"/>
  <c r="T296" i="15"/>
  <c r="V296" i="15" s="1"/>
  <c r="M542" i="15"/>
  <c r="L542" i="15"/>
  <c r="N542" i="15" s="1"/>
  <c r="Q419" i="15"/>
  <c r="P419" i="15"/>
  <c r="R419" i="15" s="1"/>
  <c r="AC50" i="15"/>
  <c r="AB50" i="15"/>
  <c r="AD50" i="15" s="1"/>
  <c r="AC51" i="15" l="1"/>
  <c r="AB51" i="15"/>
  <c r="AD51" i="15" s="1"/>
  <c r="Q420" i="15"/>
  <c r="P420" i="15"/>
  <c r="R420" i="15" s="1"/>
  <c r="M543" i="15"/>
  <c r="L543" i="15"/>
  <c r="N543" i="15" s="1"/>
  <c r="Y174" i="15"/>
  <c r="X174" i="15"/>
  <c r="Z174" i="15" s="1"/>
  <c r="I666" i="15"/>
  <c r="H666" i="15"/>
  <c r="J666" i="15" s="1"/>
  <c r="U297" i="15"/>
  <c r="T297" i="15"/>
  <c r="V297" i="15" s="1"/>
  <c r="U298" i="15" l="1"/>
  <c r="T298" i="15"/>
  <c r="V298" i="15" s="1"/>
  <c r="I667" i="15"/>
  <c r="H667" i="15"/>
  <c r="J667" i="15" s="1"/>
  <c r="M544" i="15"/>
  <c r="L544" i="15"/>
  <c r="N544" i="15" s="1"/>
  <c r="AC52" i="15"/>
  <c r="AB52" i="15"/>
  <c r="AD52" i="15" s="1"/>
  <c r="Y175" i="15"/>
  <c r="X175" i="15"/>
  <c r="Z175" i="15" s="1"/>
  <c r="Q421" i="15"/>
  <c r="P421" i="15"/>
  <c r="R421" i="15" s="1"/>
  <c r="Y176" i="15" l="1"/>
  <c r="X176" i="15"/>
  <c r="Z176" i="15" s="1"/>
  <c r="M545" i="15"/>
  <c r="L545" i="15"/>
  <c r="N545" i="15" s="1"/>
  <c r="U299" i="15"/>
  <c r="T299" i="15"/>
  <c r="V299" i="15" s="1"/>
  <c r="Q422" i="15"/>
  <c r="P422" i="15"/>
  <c r="R422" i="15" s="1"/>
  <c r="AC53" i="15"/>
  <c r="AB53" i="15"/>
  <c r="AD53" i="15" s="1"/>
  <c r="I668" i="15"/>
  <c r="H668" i="15"/>
  <c r="J668" i="15" s="1"/>
  <c r="I669" i="15" l="1"/>
  <c r="H669" i="15"/>
  <c r="J669" i="15" s="1"/>
  <c r="Q423" i="15"/>
  <c r="P423" i="15"/>
  <c r="R423" i="15" s="1"/>
  <c r="U300" i="15"/>
  <c r="T300" i="15"/>
  <c r="V300" i="15" s="1"/>
  <c r="Y177" i="15"/>
  <c r="X177" i="15"/>
  <c r="Z177" i="15" s="1"/>
  <c r="AC54" i="15"/>
  <c r="AB54" i="15"/>
  <c r="AD54" i="15" s="1"/>
  <c r="M546" i="15"/>
  <c r="L546" i="15"/>
  <c r="N546" i="15" s="1"/>
  <c r="M547" i="15" l="1"/>
  <c r="L547" i="15"/>
  <c r="N547" i="15" s="1"/>
  <c r="AC55" i="15"/>
  <c r="AB55" i="15"/>
  <c r="AD55" i="15" s="1"/>
  <c r="Y178" i="15"/>
  <c r="X178" i="15"/>
  <c r="Z178" i="15" s="1"/>
  <c r="U301" i="15"/>
  <c r="T301" i="15"/>
  <c r="V301" i="15" s="1"/>
  <c r="Q424" i="15"/>
  <c r="P424" i="15"/>
  <c r="R424" i="15" s="1"/>
  <c r="I670" i="15"/>
  <c r="H670" i="15"/>
  <c r="J670" i="15" s="1"/>
  <c r="I671" i="15" l="1"/>
  <c r="H671" i="15"/>
  <c r="J671" i="15" s="1"/>
  <c r="Q425" i="15"/>
  <c r="P425" i="15"/>
  <c r="R425" i="15" s="1"/>
  <c r="U302" i="15"/>
  <c r="T302" i="15"/>
  <c r="V302" i="15" s="1"/>
  <c r="Y179" i="15"/>
  <c r="X179" i="15"/>
  <c r="Z179" i="15" s="1"/>
  <c r="AC56" i="15"/>
  <c r="AB56" i="15"/>
  <c r="AD56" i="15" s="1"/>
  <c r="M548" i="15"/>
  <c r="L548" i="15"/>
  <c r="N548" i="15" s="1"/>
  <c r="M549" i="15" l="1"/>
  <c r="L549" i="15"/>
  <c r="N549" i="15" s="1"/>
  <c r="AC57" i="15"/>
  <c r="AB57" i="15"/>
  <c r="AD57" i="15" s="1"/>
  <c r="Y180" i="15"/>
  <c r="X180" i="15"/>
  <c r="Z180" i="15" s="1"/>
  <c r="U303" i="15"/>
  <c r="T303" i="15"/>
  <c r="V303" i="15" s="1"/>
  <c r="Q426" i="15"/>
  <c r="P426" i="15"/>
  <c r="R426" i="15" s="1"/>
  <c r="I672" i="15"/>
  <c r="H672" i="15"/>
  <c r="J672" i="15" s="1"/>
  <c r="I673" i="15" l="1"/>
  <c r="H673" i="15"/>
  <c r="J673" i="15" s="1"/>
  <c r="Q427" i="15"/>
  <c r="P427" i="15"/>
  <c r="R427" i="15" s="1"/>
  <c r="U304" i="15"/>
  <c r="T304" i="15"/>
  <c r="V304" i="15" s="1"/>
  <c r="Y181" i="15"/>
  <c r="X181" i="15"/>
  <c r="Z181" i="15" s="1"/>
  <c r="AC58" i="15"/>
  <c r="AB58" i="15"/>
  <c r="AD58" i="15" s="1"/>
  <c r="M550" i="15"/>
  <c r="L550" i="15"/>
  <c r="N550" i="15" s="1"/>
  <c r="M551" i="15" l="1"/>
  <c r="L551" i="15"/>
  <c r="N551" i="15" s="1"/>
  <c r="AC59" i="15"/>
  <c r="AB59" i="15"/>
  <c r="AD59" i="15" s="1"/>
  <c r="Y182" i="15"/>
  <c r="X182" i="15"/>
  <c r="Z182" i="15" s="1"/>
  <c r="U305" i="15"/>
  <c r="T305" i="15"/>
  <c r="V305" i="15" s="1"/>
  <c r="Q428" i="15"/>
  <c r="P428" i="15"/>
  <c r="R428" i="15" s="1"/>
  <c r="I674" i="15"/>
  <c r="H674" i="15"/>
  <c r="J674" i="15" s="1"/>
  <c r="Q429" i="15" l="1"/>
  <c r="P429" i="15"/>
  <c r="R429" i="15" s="1"/>
  <c r="U306" i="15"/>
  <c r="T306" i="15"/>
  <c r="V306" i="15" s="1"/>
  <c r="Y183" i="15"/>
  <c r="X183" i="15"/>
  <c r="Z183" i="15" s="1"/>
  <c r="M552" i="15"/>
  <c r="L552" i="15"/>
  <c r="N552" i="15" s="1"/>
  <c r="I675" i="15"/>
  <c r="H675" i="15"/>
  <c r="J675" i="15" s="1"/>
  <c r="AC60" i="15"/>
  <c r="AB60" i="15"/>
  <c r="AD60" i="15" s="1"/>
  <c r="AC61" i="15" l="1"/>
  <c r="AB61" i="15"/>
  <c r="AD61" i="15" s="1"/>
  <c r="I676" i="15"/>
  <c r="H676" i="15"/>
  <c r="J676" i="15" s="1"/>
  <c r="M553" i="15"/>
  <c r="L553" i="15"/>
  <c r="N553" i="15" s="1"/>
  <c r="Y184" i="15"/>
  <c r="X184" i="15"/>
  <c r="Z184" i="15" s="1"/>
  <c r="U307" i="15"/>
  <c r="T307" i="15"/>
  <c r="V307" i="15" s="1"/>
  <c r="Q430" i="15"/>
  <c r="P430" i="15"/>
  <c r="R430" i="15" s="1"/>
  <c r="Q431" i="15" l="1"/>
  <c r="P431" i="15"/>
  <c r="R431" i="15" s="1"/>
  <c r="U308" i="15"/>
  <c r="T308" i="15"/>
  <c r="V308" i="15" s="1"/>
  <c r="Y185" i="15"/>
  <c r="X185" i="15"/>
  <c r="Z185" i="15" s="1"/>
  <c r="M554" i="15"/>
  <c r="L554" i="15"/>
  <c r="N554" i="15" s="1"/>
  <c r="I677" i="15"/>
  <c r="H677" i="15"/>
  <c r="J677" i="15" s="1"/>
  <c r="AC62" i="15"/>
  <c r="AB62" i="15"/>
  <c r="AD62" i="15" s="1"/>
  <c r="AC63" i="15" l="1"/>
  <c r="AB63" i="15"/>
  <c r="AD63" i="15" s="1"/>
  <c r="I678" i="15"/>
  <c r="H678" i="15"/>
  <c r="J678" i="15" s="1"/>
  <c r="M555" i="15"/>
  <c r="L555" i="15"/>
  <c r="N555" i="15" s="1"/>
  <c r="Y186" i="15"/>
  <c r="X186" i="15"/>
  <c r="Z186" i="15" s="1"/>
  <c r="U309" i="15"/>
  <c r="T309" i="15"/>
  <c r="V309" i="15" s="1"/>
  <c r="Q432" i="15"/>
  <c r="P432" i="15"/>
  <c r="R432" i="15" s="1"/>
  <c r="U310" i="15" l="1"/>
  <c r="T310" i="15"/>
  <c r="V310" i="15" s="1"/>
  <c r="I679" i="15"/>
  <c r="H679" i="15"/>
  <c r="J679" i="15" s="1"/>
  <c r="Q433" i="15"/>
  <c r="P433" i="15"/>
  <c r="R433" i="15" s="1"/>
  <c r="Y187" i="15"/>
  <c r="X187" i="15"/>
  <c r="Z187" i="15" s="1"/>
  <c r="M556" i="15"/>
  <c r="L556" i="15"/>
  <c r="N556" i="15" s="1"/>
  <c r="AC64" i="15"/>
  <c r="AB64" i="15"/>
  <c r="AD64" i="15" s="1"/>
  <c r="AC65" i="15" l="1"/>
  <c r="AB65" i="15"/>
  <c r="AD65" i="15" s="1"/>
  <c r="Y188" i="15"/>
  <c r="X188" i="15"/>
  <c r="Z188" i="15" s="1"/>
  <c r="Q434" i="15"/>
  <c r="P434" i="15"/>
  <c r="R434" i="15" s="1"/>
  <c r="U311" i="15"/>
  <c r="T311" i="15"/>
  <c r="V311" i="15" s="1"/>
  <c r="M557" i="15"/>
  <c r="L557" i="15"/>
  <c r="N557" i="15" s="1"/>
  <c r="I680" i="15"/>
  <c r="H680" i="15"/>
  <c r="J680" i="15" s="1"/>
  <c r="M558" i="15" l="1"/>
  <c r="L558" i="15"/>
  <c r="N558" i="15" s="1"/>
  <c r="Q435" i="15"/>
  <c r="P435" i="15"/>
  <c r="R435" i="15" s="1"/>
  <c r="AC66" i="15"/>
  <c r="AB66" i="15"/>
  <c r="AD66" i="15" s="1"/>
  <c r="I681" i="15"/>
  <c r="H681" i="15"/>
  <c r="J681" i="15" s="1"/>
  <c r="U312" i="15"/>
  <c r="T312" i="15"/>
  <c r="V312" i="15" s="1"/>
  <c r="Y189" i="15"/>
  <c r="X189" i="15"/>
  <c r="Z189" i="15" s="1"/>
  <c r="Y190" i="15" l="1"/>
  <c r="X190" i="15"/>
  <c r="Z190" i="15" s="1"/>
  <c r="I682" i="15"/>
  <c r="H682" i="15"/>
  <c r="J682" i="15" s="1"/>
  <c r="AC67" i="15"/>
  <c r="AB67" i="15"/>
  <c r="AD67" i="15" s="1"/>
  <c r="M559" i="15"/>
  <c r="L559" i="15"/>
  <c r="N559" i="15" s="1"/>
  <c r="U313" i="15"/>
  <c r="T313" i="15"/>
  <c r="V313" i="15" s="1"/>
  <c r="Q436" i="15"/>
  <c r="P436" i="15"/>
  <c r="R436" i="15" s="1"/>
  <c r="U314" i="15" l="1"/>
  <c r="T314" i="15"/>
  <c r="V314" i="15" s="1"/>
  <c r="AC68" i="15"/>
  <c r="AB68" i="15"/>
  <c r="AD68" i="15" s="1"/>
  <c r="Y191" i="15"/>
  <c r="X191" i="15"/>
  <c r="Z191" i="15" s="1"/>
  <c r="Q437" i="15"/>
  <c r="P437" i="15"/>
  <c r="R437" i="15" s="1"/>
  <c r="M560" i="15"/>
  <c r="L560" i="15"/>
  <c r="N560" i="15" s="1"/>
  <c r="I683" i="15"/>
  <c r="H683" i="15"/>
  <c r="J683" i="15" s="1"/>
  <c r="M561" i="15" l="1"/>
  <c r="L561" i="15"/>
  <c r="N561" i="15" s="1"/>
  <c r="Y192" i="15"/>
  <c r="X192" i="15"/>
  <c r="Z192" i="15" s="1"/>
  <c r="U315" i="15"/>
  <c r="T315" i="15"/>
  <c r="V315" i="15" s="1"/>
  <c r="I684" i="15"/>
  <c r="H684" i="15"/>
  <c r="J684" i="15" s="1"/>
  <c r="Q438" i="15"/>
  <c r="P438" i="15"/>
  <c r="R438" i="15" s="1"/>
  <c r="AC69" i="15"/>
  <c r="AB69" i="15"/>
  <c r="AD69" i="15" s="1"/>
  <c r="AC70" i="15" l="1"/>
  <c r="AB70" i="15"/>
  <c r="AD70" i="15" s="1"/>
  <c r="I685" i="15"/>
  <c r="H685" i="15"/>
  <c r="J685" i="15" s="1"/>
  <c r="U316" i="15"/>
  <c r="T316" i="15"/>
  <c r="V316" i="15" s="1"/>
  <c r="M562" i="15"/>
  <c r="L562" i="15"/>
  <c r="N562" i="15" s="1"/>
  <c r="Q439" i="15"/>
  <c r="P439" i="15"/>
  <c r="R439" i="15" s="1"/>
  <c r="Y193" i="15"/>
  <c r="X193" i="15"/>
  <c r="Z193" i="15" s="1"/>
  <c r="Y194" i="15" l="1"/>
  <c r="X194" i="15"/>
  <c r="Z194" i="15" s="1"/>
  <c r="Q440" i="15"/>
  <c r="P440" i="15"/>
  <c r="R440" i="15" s="1"/>
  <c r="M563" i="15"/>
  <c r="L563" i="15"/>
  <c r="N563" i="15" s="1"/>
  <c r="U317" i="15"/>
  <c r="T317" i="15"/>
  <c r="V317" i="15" s="1"/>
  <c r="AC71" i="15"/>
  <c r="AB71" i="15"/>
  <c r="AD71" i="15" s="1"/>
  <c r="I686" i="15"/>
  <c r="H686" i="15"/>
  <c r="J686" i="15" s="1"/>
  <c r="I687" i="15" l="1"/>
  <c r="H687" i="15"/>
  <c r="J687" i="15" s="1"/>
  <c r="AC72" i="15"/>
  <c r="AB72" i="15"/>
  <c r="AD72" i="15" s="1"/>
  <c r="U318" i="15"/>
  <c r="T318" i="15"/>
  <c r="V318" i="15" s="1"/>
  <c r="M564" i="15"/>
  <c r="L564" i="15"/>
  <c r="N564" i="15" s="1"/>
  <c r="Y195" i="15"/>
  <c r="X195" i="15"/>
  <c r="Z195" i="15" s="1"/>
  <c r="Q441" i="15"/>
  <c r="P441" i="15"/>
  <c r="R441" i="15" s="1"/>
  <c r="Q442" i="15" l="1"/>
  <c r="P442" i="15"/>
  <c r="R442" i="15" s="1"/>
  <c r="Y196" i="15"/>
  <c r="X196" i="15"/>
  <c r="Z196" i="15" s="1"/>
  <c r="M565" i="15"/>
  <c r="L565" i="15"/>
  <c r="N565" i="15" s="1"/>
  <c r="U319" i="15"/>
  <c r="T319" i="15"/>
  <c r="V319" i="15" s="1"/>
  <c r="I688" i="15"/>
  <c r="H688" i="15"/>
  <c r="J688" i="15" s="1"/>
  <c r="AC73" i="15"/>
  <c r="AB73" i="15"/>
  <c r="AD73" i="15" s="1"/>
  <c r="AC74" i="15" l="1"/>
  <c r="AB74" i="15"/>
  <c r="AD74" i="15" s="1"/>
  <c r="I689" i="15"/>
  <c r="H689" i="15"/>
  <c r="J689" i="15" s="1"/>
  <c r="M566" i="15"/>
  <c r="L566" i="15"/>
  <c r="N566" i="15" s="1"/>
  <c r="Q443" i="15"/>
  <c r="P443" i="15"/>
  <c r="R443" i="15" s="1"/>
  <c r="U320" i="15"/>
  <c r="T320" i="15"/>
  <c r="V320" i="15" s="1"/>
  <c r="Y197" i="15"/>
  <c r="X197" i="15"/>
  <c r="Z197" i="15" s="1"/>
  <c r="Y198" i="15" l="1"/>
  <c r="X198" i="15"/>
  <c r="Z198" i="15" s="1"/>
  <c r="Q444" i="15"/>
  <c r="P444" i="15"/>
  <c r="R444" i="15" s="1"/>
  <c r="M567" i="15"/>
  <c r="L567" i="15"/>
  <c r="N567" i="15" s="1"/>
  <c r="AC75" i="15"/>
  <c r="AB75" i="15"/>
  <c r="AD75" i="15" s="1"/>
  <c r="U321" i="15"/>
  <c r="T321" i="15"/>
  <c r="V321" i="15" s="1"/>
  <c r="I690" i="15"/>
  <c r="H690" i="15"/>
  <c r="J690" i="15" s="1"/>
  <c r="I691" i="15" l="1"/>
  <c r="H691" i="15"/>
  <c r="J691" i="15" s="1"/>
  <c r="U322" i="15"/>
  <c r="T322" i="15"/>
  <c r="V322" i="15" s="1"/>
  <c r="AC76" i="15"/>
  <c r="AB76" i="15"/>
  <c r="AD76" i="15" s="1"/>
  <c r="M568" i="15"/>
  <c r="L568" i="15"/>
  <c r="N568" i="15" s="1"/>
  <c r="Y199" i="15"/>
  <c r="X199" i="15"/>
  <c r="Z199" i="15" s="1"/>
  <c r="Q445" i="15"/>
  <c r="P445" i="15"/>
  <c r="R445" i="15" s="1"/>
  <c r="Y200" i="15" l="1"/>
  <c r="X200" i="15"/>
  <c r="Z200" i="15" s="1"/>
  <c r="M569" i="15"/>
  <c r="L569" i="15"/>
  <c r="N569" i="15" s="1"/>
  <c r="AC77" i="15"/>
  <c r="AB77" i="15"/>
  <c r="AD77" i="15" s="1"/>
  <c r="I692" i="15"/>
  <c r="H692" i="15"/>
  <c r="J692" i="15" s="1"/>
  <c r="Q446" i="15"/>
  <c r="P446" i="15"/>
  <c r="R446" i="15" s="1"/>
  <c r="U323" i="15"/>
  <c r="T323" i="15"/>
  <c r="V323" i="15" s="1"/>
  <c r="Q447" i="15" l="1"/>
  <c r="P447" i="15"/>
  <c r="R447" i="15" s="1"/>
  <c r="AC78" i="15"/>
  <c r="AB78" i="15"/>
  <c r="AD78" i="15" s="1"/>
  <c r="Y201" i="15"/>
  <c r="X201" i="15"/>
  <c r="Z201" i="15" s="1"/>
  <c r="U324" i="15"/>
  <c r="T324" i="15"/>
  <c r="V324" i="15" s="1"/>
  <c r="I693" i="15"/>
  <c r="H693" i="15"/>
  <c r="J693" i="15" s="1"/>
  <c r="M570" i="15"/>
  <c r="L570" i="15"/>
  <c r="N570" i="15" s="1"/>
  <c r="M571" i="15" l="1"/>
  <c r="L571" i="15"/>
  <c r="N571" i="15" s="1"/>
  <c r="I694" i="15"/>
  <c r="H694" i="15"/>
  <c r="J694" i="15" s="1"/>
  <c r="U325" i="15"/>
  <c r="T325" i="15"/>
  <c r="V325" i="15" s="1"/>
  <c r="Y202" i="15"/>
  <c r="X202" i="15"/>
  <c r="Z202" i="15" s="1"/>
  <c r="Q448" i="15"/>
  <c r="P448" i="15"/>
  <c r="R448" i="15" s="1"/>
  <c r="AC79" i="15"/>
  <c r="AB79" i="15"/>
  <c r="AD79" i="15" s="1"/>
  <c r="Q449" i="15" l="1"/>
  <c r="P449" i="15"/>
  <c r="R449" i="15" s="1"/>
  <c r="Y203" i="15"/>
  <c r="X203" i="15"/>
  <c r="Z203" i="15" s="1"/>
  <c r="U326" i="15"/>
  <c r="T326" i="15"/>
  <c r="V326" i="15" s="1"/>
  <c r="M572" i="15"/>
  <c r="L572" i="15"/>
  <c r="N572" i="15" s="1"/>
  <c r="AC80" i="15"/>
  <c r="AB80" i="15"/>
  <c r="AD80" i="15" s="1"/>
  <c r="I695" i="15"/>
  <c r="H695" i="15"/>
  <c r="J695" i="15" s="1"/>
  <c r="I696" i="15" l="1"/>
  <c r="H696" i="15"/>
  <c r="J696" i="15" s="1"/>
  <c r="AC81" i="15"/>
  <c r="AB81" i="15"/>
  <c r="AD81" i="15" s="1"/>
  <c r="M573" i="15"/>
  <c r="L573" i="15"/>
  <c r="N573" i="15" s="1"/>
  <c r="U327" i="15"/>
  <c r="T327" i="15"/>
  <c r="V327" i="15" s="1"/>
  <c r="Q450" i="15"/>
  <c r="P450" i="15"/>
  <c r="R450" i="15" s="1"/>
  <c r="Y204" i="15"/>
  <c r="X204" i="15"/>
  <c r="Z204" i="15" s="1"/>
  <c r="Y205" i="15" l="1"/>
  <c r="X205" i="15"/>
  <c r="Z205" i="15" s="1"/>
  <c r="U328" i="15"/>
  <c r="T328" i="15"/>
  <c r="V328" i="15" s="1"/>
  <c r="M574" i="15"/>
  <c r="L574" i="15"/>
  <c r="N574" i="15" s="1"/>
  <c r="I697" i="15"/>
  <c r="H697" i="15"/>
  <c r="J697" i="15" s="1"/>
  <c r="Q451" i="15"/>
  <c r="P451" i="15"/>
  <c r="R451" i="15" s="1"/>
  <c r="AC82" i="15"/>
  <c r="AB82" i="15"/>
  <c r="AD82" i="15" s="1"/>
  <c r="Q452" i="15" l="1"/>
  <c r="P452" i="15"/>
  <c r="R452" i="15" s="1"/>
  <c r="M575" i="15"/>
  <c r="L575" i="15"/>
  <c r="N575" i="15" s="1"/>
  <c r="Y206" i="15"/>
  <c r="X206" i="15"/>
  <c r="Z206" i="15" s="1"/>
  <c r="AC83" i="15"/>
  <c r="AB83" i="15"/>
  <c r="AD83" i="15" s="1"/>
  <c r="I698" i="15"/>
  <c r="H698" i="15"/>
  <c r="J698" i="15" s="1"/>
  <c r="U329" i="15"/>
  <c r="T329" i="15"/>
  <c r="V329" i="15" s="1"/>
  <c r="I699" i="15" l="1"/>
  <c r="H699" i="15"/>
  <c r="J699" i="15" s="1"/>
  <c r="AC84" i="15"/>
  <c r="AB84" i="15"/>
  <c r="AD84" i="15" s="1"/>
  <c r="Y207" i="15"/>
  <c r="X207" i="15"/>
  <c r="Z207" i="15" s="1"/>
  <c r="Q453" i="15"/>
  <c r="P453" i="15"/>
  <c r="R453" i="15" s="1"/>
  <c r="U330" i="15"/>
  <c r="T330" i="15"/>
  <c r="V330" i="15" s="1"/>
  <c r="M576" i="15"/>
  <c r="L576" i="15"/>
  <c r="N576" i="15" s="1"/>
  <c r="U331" i="15" l="1"/>
  <c r="T331" i="15"/>
  <c r="V331" i="15" s="1"/>
  <c r="Q454" i="15"/>
  <c r="P454" i="15"/>
  <c r="R454" i="15" s="1"/>
  <c r="Y208" i="15"/>
  <c r="X208" i="15"/>
  <c r="Z208" i="15" s="1"/>
  <c r="I700" i="15"/>
  <c r="H700" i="15"/>
  <c r="J700" i="15" s="1"/>
  <c r="M577" i="15"/>
  <c r="L577" i="15"/>
  <c r="N577" i="15" s="1"/>
  <c r="AC85" i="15"/>
  <c r="AB85" i="15"/>
  <c r="AD85" i="15" s="1"/>
  <c r="AC86" i="15" l="1"/>
  <c r="AB86" i="15"/>
  <c r="AD86" i="15" s="1"/>
  <c r="I701" i="15"/>
  <c r="H701" i="15"/>
  <c r="J701" i="15" s="1"/>
  <c r="Y209" i="15"/>
  <c r="X209" i="15"/>
  <c r="Z209" i="15" s="1"/>
  <c r="U332" i="15"/>
  <c r="T332" i="15"/>
  <c r="V332" i="15" s="1"/>
  <c r="M578" i="15"/>
  <c r="L578" i="15"/>
  <c r="N578" i="15" s="1"/>
  <c r="Q455" i="15"/>
  <c r="P455" i="15"/>
  <c r="R455" i="15" s="1"/>
  <c r="M579" i="15" l="1"/>
  <c r="L579" i="15"/>
  <c r="N579" i="15" s="1"/>
  <c r="Y210" i="15"/>
  <c r="X210" i="15"/>
  <c r="Z210" i="15" s="1"/>
  <c r="AC87" i="15"/>
  <c r="AB87" i="15"/>
  <c r="AD87" i="15" s="1"/>
  <c r="Q456" i="15"/>
  <c r="P456" i="15"/>
  <c r="R456" i="15" s="1"/>
  <c r="U333" i="15"/>
  <c r="T333" i="15"/>
  <c r="V333" i="15" s="1"/>
  <c r="I702" i="15"/>
  <c r="H702" i="15"/>
  <c r="J702" i="15" s="1"/>
  <c r="U334" i="15" l="1"/>
  <c r="T334" i="15"/>
  <c r="V334" i="15" s="1"/>
  <c r="Q457" i="15"/>
  <c r="P457" i="15"/>
  <c r="R457" i="15" s="1"/>
  <c r="AC88" i="15"/>
  <c r="AB88" i="15"/>
  <c r="AD88" i="15" s="1"/>
  <c r="M580" i="15"/>
  <c r="L580" i="15"/>
  <c r="N580" i="15" s="1"/>
  <c r="I703" i="15"/>
  <c r="H703" i="15"/>
  <c r="J703" i="15" s="1"/>
  <c r="Y211" i="15"/>
  <c r="X211" i="15"/>
  <c r="Z211" i="15" s="1"/>
  <c r="Y212" i="15" l="1"/>
  <c r="X212" i="15"/>
  <c r="Z212" i="15" s="1"/>
  <c r="I704" i="15"/>
  <c r="H704" i="15"/>
  <c r="J704" i="15" s="1"/>
  <c r="M581" i="15"/>
  <c r="L581" i="15"/>
  <c r="N581" i="15" s="1"/>
  <c r="Q458" i="15"/>
  <c r="P458" i="15"/>
  <c r="R458" i="15" s="1"/>
  <c r="U335" i="15"/>
  <c r="T335" i="15"/>
  <c r="V335" i="15" s="1"/>
  <c r="AC89" i="15"/>
  <c r="AB89" i="15"/>
  <c r="AD89" i="15" s="1"/>
  <c r="U336" i="15" l="1"/>
  <c r="T336" i="15"/>
  <c r="V336" i="15" s="1"/>
  <c r="Q459" i="15"/>
  <c r="P459" i="15"/>
  <c r="R459" i="15" s="1"/>
  <c r="M582" i="15"/>
  <c r="L582" i="15"/>
  <c r="N582" i="15" s="1"/>
  <c r="Y213" i="15"/>
  <c r="X213" i="15"/>
  <c r="Z213" i="15" s="1"/>
  <c r="AC90" i="15"/>
  <c r="AB90" i="15"/>
  <c r="AD90" i="15" s="1"/>
  <c r="I705" i="15"/>
  <c r="H705" i="15"/>
  <c r="J705" i="15" s="1"/>
  <c r="I706" i="15" l="1"/>
  <c r="H706" i="15"/>
  <c r="J706" i="15" s="1"/>
  <c r="AC91" i="15"/>
  <c r="AB91" i="15"/>
  <c r="AD91" i="15" s="1"/>
  <c r="M583" i="15"/>
  <c r="L583" i="15"/>
  <c r="N583" i="15" s="1"/>
  <c r="U337" i="15"/>
  <c r="T337" i="15"/>
  <c r="V337" i="15" s="1"/>
  <c r="Y214" i="15"/>
  <c r="X214" i="15"/>
  <c r="Z214" i="15" s="1"/>
  <c r="Q460" i="15"/>
  <c r="P460" i="15"/>
  <c r="R460" i="15" s="1"/>
  <c r="Q461" i="15" l="1"/>
  <c r="P461" i="15"/>
  <c r="R461" i="15" s="1"/>
  <c r="Y215" i="15"/>
  <c r="X215" i="15"/>
  <c r="Z215" i="15" s="1"/>
  <c r="M584" i="15"/>
  <c r="L584" i="15"/>
  <c r="N584" i="15" s="1"/>
  <c r="I707" i="15"/>
  <c r="H707" i="15"/>
  <c r="J707" i="15" s="1"/>
  <c r="U338" i="15"/>
  <c r="T338" i="15"/>
  <c r="V338" i="15" s="1"/>
  <c r="AC92" i="15"/>
  <c r="AB92" i="15"/>
  <c r="AD92" i="15" s="1"/>
  <c r="U339" i="15" l="1"/>
  <c r="T339" i="15"/>
  <c r="V339" i="15" s="1"/>
  <c r="I708" i="15"/>
  <c r="H708" i="15"/>
  <c r="J708" i="15" s="1"/>
  <c r="M585" i="15"/>
  <c r="L585" i="15"/>
  <c r="N585" i="15" s="1"/>
  <c r="Q462" i="15"/>
  <c r="P462" i="15"/>
  <c r="R462" i="15" s="1"/>
  <c r="AC93" i="15"/>
  <c r="AB93" i="15"/>
  <c r="AD93" i="15" s="1"/>
  <c r="Y216" i="15"/>
  <c r="X216" i="15"/>
  <c r="Z216" i="15" s="1"/>
  <c r="Y217" i="15" l="1"/>
  <c r="X217" i="15"/>
  <c r="Z217" i="15" s="1"/>
  <c r="AC94" i="15"/>
  <c r="AB94" i="15"/>
  <c r="AD94" i="15" s="1"/>
  <c r="Q463" i="15"/>
  <c r="P463" i="15"/>
  <c r="R463" i="15" s="1"/>
  <c r="M586" i="15"/>
  <c r="L586" i="15"/>
  <c r="N586" i="15" s="1"/>
  <c r="U340" i="15"/>
  <c r="T340" i="15"/>
  <c r="V340" i="15" s="1"/>
  <c r="I709" i="15"/>
  <c r="H709" i="15"/>
  <c r="J709" i="15" s="1"/>
  <c r="U341" i="15" l="1"/>
  <c r="T341" i="15"/>
  <c r="V341" i="15" s="1"/>
  <c r="M587" i="15"/>
  <c r="L587" i="15"/>
  <c r="N587" i="15" s="1"/>
  <c r="Q464" i="15"/>
  <c r="P464" i="15"/>
  <c r="R464" i="15" s="1"/>
  <c r="Y218" i="15"/>
  <c r="X218" i="15"/>
  <c r="Z218" i="15" s="1"/>
  <c r="I710" i="15"/>
  <c r="H710" i="15"/>
  <c r="J710" i="15" s="1"/>
  <c r="AC95" i="15"/>
  <c r="AB95" i="15"/>
  <c r="AD95" i="15" s="1"/>
  <c r="AC96" i="15" l="1"/>
  <c r="AB96" i="15"/>
  <c r="AD96" i="15" s="1"/>
  <c r="I711" i="15"/>
  <c r="H711" i="15"/>
  <c r="J711" i="15" s="1"/>
  <c r="Q465" i="15"/>
  <c r="P465" i="15"/>
  <c r="R465" i="15" s="1"/>
  <c r="U342" i="15"/>
  <c r="T342" i="15"/>
  <c r="V342" i="15" s="1"/>
  <c r="Y219" i="15"/>
  <c r="X219" i="15"/>
  <c r="Z219" i="15" s="1"/>
  <c r="M588" i="15"/>
  <c r="L588" i="15"/>
  <c r="N588" i="15" s="1"/>
  <c r="M589" i="15" l="1"/>
  <c r="L589" i="15"/>
  <c r="N589" i="15" s="1"/>
  <c r="U343" i="15"/>
  <c r="T343" i="15"/>
  <c r="V343" i="15" s="1"/>
  <c r="Q466" i="15"/>
  <c r="P466" i="15"/>
  <c r="R466" i="15" s="1"/>
  <c r="AC97" i="15"/>
  <c r="AB97" i="15"/>
  <c r="AD97" i="15" s="1"/>
  <c r="Y220" i="15"/>
  <c r="X220" i="15"/>
  <c r="Z220" i="15" s="1"/>
  <c r="I712" i="15"/>
  <c r="H712" i="15"/>
  <c r="J712" i="15" s="1"/>
  <c r="Y221" i="15" l="1"/>
  <c r="X221" i="15"/>
  <c r="Z221" i="15" s="1"/>
  <c r="Q467" i="15"/>
  <c r="P467" i="15"/>
  <c r="R467" i="15" s="1"/>
  <c r="M590" i="15"/>
  <c r="L590" i="15"/>
  <c r="N590" i="15" s="1"/>
  <c r="I713" i="15"/>
  <c r="H713" i="15"/>
  <c r="J713" i="15" s="1"/>
  <c r="AC98" i="15"/>
  <c r="AB98" i="15"/>
  <c r="AD98" i="15" s="1"/>
  <c r="U344" i="15"/>
  <c r="T344" i="15"/>
  <c r="V344" i="15" s="1"/>
  <c r="U345" i="15" l="1"/>
  <c r="T345" i="15"/>
  <c r="V345" i="15" s="1"/>
  <c r="I714" i="15"/>
  <c r="H714" i="15"/>
  <c r="J714" i="15" s="1"/>
  <c r="M591" i="15"/>
  <c r="L591" i="15"/>
  <c r="N591" i="15" s="1"/>
  <c r="Y222" i="15"/>
  <c r="X222" i="15"/>
  <c r="Z222" i="15" s="1"/>
  <c r="AC99" i="15"/>
  <c r="AB99" i="15"/>
  <c r="AD99" i="15" s="1"/>
  <c r="Q468" i="15"/>
  <c r="P468" i="15"/>
  <c r="R468" i="15" s="1"/>
  <c r="U346" i="15" l="1"/>
  <c r="T346" i="15"/>
  <c r="V346" i="15" s="1"/>
  <c r="Q469" i="15"/>
  <c r="P469" i="15"/>
  <c r="R469" i="15" s="1"/>
  <c r="AC100" i="15"/>
  <c r="AB100" i="15"/>
  <c r="AD100" i="15" s="1"/>
  <c r="Y223" i="15"/>
  <c r="X223" i="15"/>
  <c r="Z223" i="15" s="1"/>
  <c r="M592" i="15"/>
  <c r="L592" i="15"/>
  <c r="N592" i="15" s="1"/>
  <c r="I715" i="15"/>
  <c r="H715" i="15"/>
  <c r="J715" i="15" s="1"/>
  <c r="M593" i="15" l="1"/>
  <c r="L593" i="15"/>
  <c r="N593" i="15" s="1"/>
  <c r="Y224" i="15"/>
  <c r="X224" i="15"/>
  <c r="Z224" i="15" s="1"/>
  <c r="AC101" i="15"/>
  <c r="AB101" i="15"/>
  <c r="AD101" i="15" s="1"/>
  <c r="U347" i="15"/>
  <c r="T347" i="15"/>
  <c r="V347" i="15" s="1"/>
  <c r="I716" i="15"/>
  <c r="H716" i="15"/>
  <c r="J716" i="15" s="1"/>
  <c r="Q470" i="15"/>
  <c r="P470" i="15"/>
  <c r="R470" i="15" s="1"/>
  <c r="Q471" i="15" l="1"/>
  <c r="P471" i="15"/>
  <c r="R471" i="15" s="1"/>
  <c r="U348" i="15"/>
  <c r="T348" i="15"/>
  <c r="V348" i="15" s="1"/>
  <c r="AC102" i="15"/>
  <c r="AB102" i="15"/>
  <c r="AD102" i="15" s="1"/>
  <c r="M594" i="15"/>
  <c r="L594" i="15"/>
  <c r="N594" i="15" s="1"/>
  <c r="I717" i="15"/>
  <c r="H717" i="15"/>
  <c r="J717" i="15" s="1"/>
  <c r="Y225" i="15"/>
  <c r="X225" i="15"/>
  <c r="Z225" i="15" s="1"/>
  <c r="Y226" i="15" l="1"/>
  <c r="X226" i="15"/>
  <c r="Z226" i="15" s="1"/>
  <c r="I718" i="15"/>
  <c r="H718" i="15"/>
  <c r="J718" i="15" s="1"/>
  <c r="AC103" i="15"/>
  <c r="AB103" i="15"/>
  <c r="AD103" i="15" s="1"/>
  <c r="Q472" i="15"/>
  <c r="P472" i="15"/>
  <c r="R472" i="15" s="1"/>
  <c r="M595" i="15"/>
  <c r="L595" i="15"/>
  <c r="N595" i="15" s="1"/>
  <c r="U349" i="15"/>
  <c r="T349" i="15"/>
  <c r="V349" i="15" s="1"/>
  <c r="U350" i="15" l="1"/>
  <c r="T350" i="15"/>
  <c r="V350" i="15" s="1"/>
  <c r="Q473" i="15"/>
  <c r="P473" i="15"/>
  <c r="R473" i="15" s="1"/>
  <c r="AC104" i="15"/>
  <c r="AB104" i="15"/>
  <c r="AD104" i="15" s="1"/>
  <c r="Y227" i="15"/>
  <c r="X227" i="15"/>
  <c r="Z227" i="15" s="1"/>
  <c r="M596" i="15"/>
  <c r="L596" i="15"/>
  <c r="N596" i="15" s="1"/>
  <c r="I719" i="15"/>
  <c r="H719" i="15"/>
  <c r="J719" i="15" s="1"/>
  <c r="M597" i="15" l="1"/>
  <c r="L597" i="15"/>
  <c r="N597" i="15" s="1"/>
  <c r="AC105" i="15"/>
  <c r="AB105" i="15"/>
  <c r="AD105" i="15" s="1"/>
  <c r="U351" i="15"/>
  <c r="T351" i="15"/>
  <c r="V351" i="15" s="1"/>
  <c r="I720" i="15"/>
  <c r="H720" i="15"/>
  <c r="J720" i="15" s="1"/>
  <c r="Y228" i="15"/>
  <c r="X228" i="15"/>
  <c r="Z228" i="15" s="1"/>
  <c r="Q474" i="15"/>
  <c r="P474" i="15"/>
  <c r="R474" i="15" s="1"/>
  <c r="Q475" i="15" l="1"/>
  <c r="P475" i="15"/>
  <c r="R475" i="15" s="1"/>
  <c r="Y229" i="15"/>
  <c r="X229" i="15"/>
  <c r="Z229" i="15" s="1"/>
  <c r="I721" i="15"/>
  <c r="H721" i="15"/>
  <c r="J721" i="15" s="1"/>
  <c r="AC106" i="15"/>
  <c r="AB106" i="15"/>
  <c r="AD106" i="15" s="1"/>
  <c r="M598" i="15"/>
  <c r="L598" i="15"/>
  <c r="N598" i="15" s="1"/>
  <c r="U352" i="15"/>
  <c r="T352" i="15"/>
  <c r="V352" i="15" s="1"/>
  <c r="U353" i="15" l="1"/>
  <c r="T353" i="15"/>
  <c r="V353" i="15" s="1"/>
  <c r="AC107" i="15"/>
  <c r="AB107" i="15"/>
  <c r="AD107" i="15" s="1"/>
  <c r="I722" i="15"/>
  <c r="H722" i="15"/>
  <c r="J722" i="15" s="1"/>
  <c r="Q476" i="15"/>
  <c r="P476" i="15"/>
  <c r="R476" i="15" s="1"/>
  <c r="M599" i="15"/>
  <c r="L599" i="15"/>
  <c r="N599" i="15" s="1"/>
  <c r="Y230" i="15"/>
  <c r="X230" i="15"/>
  <c r="Z230" i="15" s="1"/>
  <c r="Y231" i="15" l="1"/>
  <c r="X231" i="15"/>
  <c r="Z231" i="15" s="1"/>
  <c r="M600" i="15"/>
  <c r="L600" i="15"/>
  <c r="N600" i="15" s="1"/>
  <c r="Q477" i="15"/>
  <c r="P477" i="15"/>
  <c r="R477" i="15" s="1"/>
  <c r="AC108" i="15"/>
  <c r="AB108" i="15"/>
  <c r="AD108" i="15" s="1"/>
  <c r="U354" i="15"/>
  <c r="T354" i="15"/>
  <c r="V354" i="15" s="1"/>
  <c r="I723" i="15"/>
  <c r="H723" i="15"/>
  <c r="J723" i="15" s="1"/>
  <c r="U355" i="15" l="1"/>
  <c r="T355" i="15"/>
  <c r="V355" i="15" s="1"/>
  <c r="Q478" i="15"/>
  <c r="P478" i="15"/>
  <c r="R478" i="15" s="1"/>
  <c r="Y232" i="15"/>
  <c r="X232" i="15"/>
  <c r="Z232" i="15" s="1"/>
  <c r="I724" i="15"/>
  <c r="H724" i="15"/>
  <c r="J724" i="15" s="1"/>
  <c r="AC109" i="15"/>
  <c r="AB109" i="15"/>
  <c r="AD109" i="15" s="1"/>
  <c r="M601" i="15"/>
  <c r="L601" i="15"/>
  <c r="N601" i="15" s="1"/>
  <c r="AC110" i="15" l="1"/>
  <c r="AB110" i="15"/>
  <c r="AD110" i="15" s="1"/>
  <c r="Y233" i="15"/>
  <c r="X233" i="15"/>
  <c r="Z233" i="15" s="1"/>
  <c r="U356" i="15"/>
  <c r="T356" i="15"/>
  <c r="V356" i="15" s="1"/>
  <c r="M602" i="15"/>
  <c r="L602" i="15"/>
  <c r="N602" i="15" s="1"/>
  <c r="I725" i="15"/>
  <c r="H725" i="15"/>
  <c r="J725" i="15" s="1"/>
  <c r="Q479" i="15"/>
  <c r="P479" i="15"/>
  <c r="R479" i="15" s="1"/>
  <c r="Q480" i="15" l="1"/>
  <c r="P480" i="15"/>
  <c r="R480" i="15" s="1"/>
  <c r="I726" i="15"/>
  <c r="H726" i="15"/>
  <c r="J726" i="15" s="1"/>
  <c r="M603" i="15"/>
  <c r="L603" i="15"/>
  <c r="N603" i="15" s="1"/>
  <c r="U357" i="15"/>
  <c r="T357" i="15"/>
  <c r="V357" i="15" s="1"/>
  <c r="Y234" i="15"/>
  <c r="X234" i="15"/>
  <c r="Z234" i="15" s="1"/>
  <c r="AC111" i="15"/>
  <c r="AB111" i="15"/>
  <c r="AD111" i="15" s="1"/>
  <c r="AC112" i="15" l="1"/>
  <c r="AB112" i="15"/>
  <c r="AD112" i="15" s="1"/>
  <c r="Y235" i="15"/>
  <c r="X235" i="15"/>
  <c r="Z235" i="15" s="1"/>
  <c r="U358" i="15"/>
  <c r="T358" i="15"/>
  <c r="V358" i="15" s="1"/>
  <c r="M604" i="15"/>
  <c r="L604" i="15"/>
  <c r="N604" i="15" s="1"/>
  <c r="I727" i="15"/>
  <c r="H727" i="15"/>
  <c r="J727" i="15" s="1"/>
  <c r="Q481" i="15"/>
  <c r="P481" i="15"/>
  <c r="R481" i="15" s="1"/>
  <c r="Q482" i="15" l="1"/>
  <c r="P482" i="15"/>
  <c r="R482" i="15" s="1"/>
  <c r="M605" i="15"/>
  <c r="L605" i="15"/>
  <c r="N605" i="15" s="1"/>
  <c r="U359" i="15"/>
  <c r="T359" i="15"/>
  <c r="V359" i="15" s="1"/>
  <c r="AC113" i="15"/>
  <c r="AB113" i="15"/>
  <c r="AD113" i="15" s="1"/>
  <c r="I728" i="15"/>
  <c r="H728" i="15"/>
  <c r="J728" i="15" s="1"/>
  <c r="Y236" i="15"/>
  <c r="X236" i="15"/>
  <c r="Z236" i="15" s="1"/>
  <c r="Y237" i="15" l="1"/>
  <c r="X237" i="15"/>
  <c r="Z237" i="15" s="1"/>
  <c r="I729" i="15"/>
  <c r="H729" i="15"/>
  <c r="J729" i="15" s="1"/>
  <c r="U360" i="15"/>
  <c r="T360" i="15"/>
  <c r="V360" i="15" s="1"/>
  <c r="Q483" i="15"/>
  <c r="P483" i="15"/>
  <c r="R483" i="15" s="1"/>
  <c r="AC114" i="15"/>
  <c r="AB114" i="15"/>
  <c r="AD114" i="15" s="1"/>
  <c r="M606" i="15"/>
  <c r="L606" i="15"/>
  <c r="N606" i="15" s="1"/>
  <c r="M607" i="15" l="1"/>
  <c r="L607" i="15"/>
  <c r="N607" i="15" s="1"/>
  <c r="Q484" i="15"/>
  <c r="P484" i="15"/>
  <c r="R484" i="15" s="1"/>
  <c r="U361" i="15"/>
  <c r="T361" i="15"/>
  <c r="V361" i="15" s="1"/>
  <c r="Y238" i="15"/>
  <c r="X238" i="15"/>
  <c r="Z238" i="15" s="1"/>
  <c r="AC115" i="15"/>
  <c r="AB115" i="15"/>
  <c r="AD115" i="15" s="1"/>
  <c r="I730" i="15"/>
  <c r="H730" i="15"/>
  <c r="J730" i="15" s="1"/>
  <c r="I731" i="15" l="1"/>
  <c r="H731" i="15"/>
  <c r="J731" i="15" s="1"/>
  <c r="AC116" i="15"/>
  <c r="AB116" i="15"/>
  <c r="AD116" i="15" s="1"/>
  <c r="U362" i="15"/>
  <c r="T362" i="15"/>
  <c r="V362" i="15" s="1"/>
  <c r="M608" i="15"/>
  <c r="L608" i="15"/>
  <c r="N608" i="15" s="1"/>
  <c r="Y239" i="15"/>
  <c r="X239" i="15"/>
  <c r="Z239" i="15" s="1"/>
  <c r="Q485" i="15"/>
  <c r="P485" i="15"/>
  <c r="R485" i="15" s="1"/>
  <c r="Y240" i="15" l="1"/>
  <c r="X240" i="15"/>
  <c r="Z240" i="15" s="1"/>
  <c r="M609" i="15"/>
  <c r="L609" i="15"/>
  <c r="N609" i="15" s="1"/>
  <c r="U363" i="15"/>
  <c r="T363" i="15"/>
  <c r="V363" i="15" s="1"/>
  <c r="I732" i="15"/>
  <c r="H732" i="15"/>
  <c r="J732" i="15" s="1"/>
  <c r="Q486" i="15"/>
  <c r="P486" i="15"/>
  <c r="R486" i="15" s="1"/>
  <c r="AC117" i="15"/>
  <c r="AB117" i="15"/>
  <c r="AD117" i="15" s="1"/>
  <c r="Q487" i="15" l="1"/>
  <c r="P487" i="15"/>
  <c r="R487" i="15" s="1"/>
  <c r="I733" i="15"/>
  <c r="H733" i="15"/>
  <c r="J733" i="15" s="1"/>
  <c r="U364" i="15"/>
  <c r="T364" i="15"/>
  <c r="V364" i="15" s="1"/>
  <c r="Y241" i="15"/>
  <c r="X241" i="15"/>
  <c r="Z241" i="15" s="1"/>
  <c r="AC118" i="15"/>
  <c r="AB118" i="15"/>
  <c r="AD118" i="15" s="1"/>
  <c r="M610" i="15"/>
  <c r="L610" i="15"/>
  <c r="N610" i="15" s="1"/>
  <c r="AC119" i="15" l="1"/>
  <c r="AB119" i="15"/>
  <c r="AD119" i="15" s="1"/>
  <c r="Y242" i="15"/>
  <c r="X242" i="15"/>
  <c r="Z242" i="15" s="1"/>
  <c r="U365" i="15"/>
  <c r="T365" i="15"/>
  <c r="V365" i="15" s="1"/>
  <c r="Q488" i="15"/>
  <c r="P488" i="15"/>
  <c r="R488" i="15" s="1"/>
  <c r="M611" i="15"/>
  <c r="L611" i="15"/>
  <c r="N611" i="15" s="1"/>
  <c r="I734" i="15"/>
  <c r="H734" i="15"/>
  <c r="J734" i="15" s="1"/>
  <c r="I735" i="15" l="1"/>
  <c r="H735" i="15"/>
  <c r="J735" i="15" s="1"/>
  <c r="Q489" i="15"/>
  <c r="P489" i="15"/>
  <c r="R489" i="15" s="1"/>
  <c r="U366" i="15"/>
  <c r="T366" i="15"/>
  <c r="V366" i="15" s="1"/>
  <c r="AC120" i="15"/>
  <c r="AB120" i="15"/>
  <c r="AD120" i="15" s="1"/>
  <c r="M612" i="15"/>
  <c r="L612" i="15"/>
  <c r="N612" i="15" s="1"/>
  <c r="Y243" i="15"/>
  <c r="X243" i="15"/>
  <c r="Z243" i="15" s="1"/>
  <c r="Y244" i="15" l="1"/>
  <c r="X244" i="15"/>
  <c r="Z244" i="15" s="1"/>
  <c r="M613" i="15"/>
  <c r="L613" i="15"/>
  <c r="N613" i="15" s="1"/>
  <c r="U367" i="15"/>
  <c r="T367" i="15"/>
  <c r="V367" i="15" s="1"/>
  <c r="I736" i="15"/>
  <c r="H736" i="15"/>
  <c r="J736" i="15" s="1"/>
  <c r="AC121" i="15"/>
  <c r="AB121" i="15"/>
  <c r="AD121" i="15" s="1"/>
  <c r="Q490" i="15"/>
  <c r="P490" i="15"/>
  <c r="R490" i="15" s="1"/>
  <c r="Q491" i="15" l="1"/>
  <c r="P491" i="15"/>
  <c r="R491" i="15" s="1"/>
  <c r="AC122" i="15"/>
  <c r="AB122" i="15"/>
  <c r="AD122" i="15" s="1"/>
  <c r="I737" i="15"/>
  <c r="H737" i="15"/>
  <c r="J737" i="15" s="1"/>
  <c r="M614" i="15"/>
  <c r="L614" i="15"/>
  <c r="N614" i="15" s="1"/>
  <c r="Y245" i="15"/>
  <c r="X245" i="15"/>
  <c r="Z245" i="15" s="1"/>
  <c r="U368" i="15"/>
  <c r="T368" i="15"/>
  <c r="V368" i="15" s="1"/>
  <c r="U369" i="15" l="1"/>
  <c r="T369" i="15"/>
  <c r="V369" i="15" s="1"/>
  <c r="Y246" i="15"/>
  <c r="X246" i="15"/>
  <c r="Z246" i="15" s="1"/>
  <c r="M615" i="15"/>
  <c r="L615" i="15"/>
  <c r="N615" i="15" s="1"/>
  <c r="I738" i="15"/>
  <c r="H738" i="15"/>
  <c r="J738" i="15" s="1"/>
  <c r="AC123" i="15"/>
  <c r="AB123" i="15"/>
  <c r="AD123" i="15" s="1"/>
  <c r="Q492" i="15"/>
  <c r="P492" i="15"/>
  <c r="R492" i="15" s="1"/>
  <c r="Q493" i="15" l="1"/>
  <c r="P493" i="15"/>
  <c r="R493" i="15" s="1"/>
  <c r="AC124" i="15"/>
  <c r="AB124" i="15"/>
  <c r="AD124" i="15" s="1"/>
  <c r="I739" i="15"/>
  <c r="H739" i="15"/>
  <c r="J739" i="15" s="1"/>
  <c r="M616" i="15"/>
  <c r="L616" i="15"/>
  <c r="N616" i="15" s="1"/>
  <c r="U370" i="15"/>
  <c r="T370" i="15"/>
  <c r="V370" i="15" s="1"/>
  <c r="Y247" i="15"/>
  <c r="X247" i="15"/>
  <c r="Z247" i="15" s="1"/>
  <c r="Y248" i="15" l="1"/>
  <c r="X248" i="15"/>
  <c r="Z248" i="15" s="1"/>
  <c r="U371" i="15"/>
  <c r="T371" i="15"/>
  <c r="V371" i="15" s="1"/>
  <c r="M617" i="15"/>
  <c r="L617" i="15"/>
  <c r="N617" i="15" s="1"/>
  <c r="I740" i="15"/>
  <c r="H740" i="15"/>
  <c r="J740" i="15" s="1"/>
  <c r="Q494" i="15"/>
  <c r="P494" i="15"/>
  <c r="R494" i="15" s="1"/>
  <c r="AC125" i="15"/>
  <c r="AB125" i="15"/>
  <c r="AD125" i="15" s="1"/>
  <c r="AC126" i="15" l="1"/>
  <c r="AB126" i="15"/>
  <c r="AD126" i="15" s="1"/>
  <c r="Q495" i="15"/>
  <c r="P495" i="15"/>
  <c r="R495" i="15" s="1"/>
  <c r="M618" i="15"/>
  <c r="L618" i="15"/>
  <c r="N618" i="15" s="1"/>
  <c r="Y249" i="15"/>
  <c r="X249" i="15"/>
  <c r="Z249" i="15" s="1"/>
  <c r="I741" i="15"/>
  <c r="H741" i="15"/>
  <c r="J741" i="15" s="1"/>
  <c r="U372" i="15"/>
  <c r="T372" i="15"/>
  <c r="V372" i="15" s="1"/>
  <c r="U373" i="15" l="1"/>
  <c r="T373" i="15"/>
  <c r="V373" i="15" s="1"/>
  <c r="I742" i="15"/>
  <c r="H742" i="15"/>
  <c r="J742" i="15" s="1"/>
  <c r="Y250" i="15"/>
  <c r="X250" i="15"/>
  <c r="Z250" i="15" s="1"/>
  <c r="M619" i="15"/>
  <c r="L619" i="15"/>
  <c r="N619" i="15" s="1"/>
  <c r="AC127" i="15"/>
  <c r="AB127" i="15"/>
  <c r="AD127" i="15" s="1"/>
  <c r="Q496" i="15"/>
  <c r="P496" i="15"/>
  <c r="R496" i="15" s="1"/>
  <c r="Q497" i="15" l="1"/>
  <c r="P497" i="15"/>
  <c r="R497" i="15" s="1"/>
  <c r="AC128" i="15"/>
  <c r="AB128" i="15"/>
  <c r="AD128" i="15" s="1"/>
  <c r="M620" i="15"/>
  <c r="L620" i="15"/>
  <c r="N620" i="15" s="1"/>
  <c r="Y251" i="15"/>
  <c r="X251" i="15"/>
  <c r="Z251" i="15" s="1"/>
  <c r="U374" i="15"/>
  <c r="T374" i="15"/>
  <c r="V374" i="15" s="1"/>
  <c r="I743" i="15"/>
  <c r="H743" i="15"/>
  <c r="J743" i="15" s="1"/>
  <c r="U375" i="15" l="1"/>
  <c r="T375" i="15"/>
  <c r="V375" i="15" s="1"/>
  <c r="Y252" i="15"/>
  <c r="X252" i="15"/>
  <c r="Z252" i="15" s="1"/>
  <c r="M621" i="15"/>
  <c r="L621" i="15"/>
  <c r="N621" i="15" s="1"/>
  <c r="Q498" i="15"/>
  <c r="P498" i="15"/>
  <c r="R498" i="15" s="1"/>
  <c r="I744" i="15"/>
  <c r="H744" i="15"/>
  <c r="J744" i="15" s="1"/>
  <c r="AC129" i="15"/>
  <c r="AB129" i="15"/>
  <c r="AD129" i="15" s="1"/>
  <c r="AC130" i="15" l="1"/>
  <c r="AB130" i="15"/>
  <c r="AD130" i="15" s="1"/>
  <c r="I745" i="15"/>
  <c r="H745" i="15"/>
  <c r="J745" i="15" s="1"/>
  <c r="M622" i="15"/>
  <c r="L622" i="15"/>
  <c r="N622" i="15" s="1"/>
  <c r="U376" i="15"/>
  <c r="T376" i="15"/>
  <c r="V376" i="15" s="1"/>
  <c r="Q499" i="15"/>
  <c r="P499" i="15"/>
  <c r="R499" i="15" s="1"/>
  <c r="Y253" i="15"/>
  <c r="X253" i="15"/>
  <c r="Z253" i="15" s="1"/>
  <c r="Y254" i="15" l="1"/>
  <c r="X254" i="15"/>
  <c r="Z254" i="15" s="1"/>
  <c r="Q500" i="15"/>
  <c r="P500" i="15"/>
  <c r="R500" i="15" s="1"/>
  <c r="U377" i="15"/>
  <c r="T377" i="15"/>
  <c r="V377" i="15" s="1"/>
  <c r="M623" i="15"/>
  <c r="L623" i="15"/>
  <c r="N623" i="15" s="1"/>
  <c r="AC131" i="15"/>
  <c r="AB131" i="15"/>
  <c r="AD131" i="15" s="1"/>
  <c r="I746" i="15"/>
  <c r="H746" i="15"/>
  <c r="J746" i="15" s="1"/>
  <c r="AC132" i="15" l="1"/>
  <c r="AB132" i="15"/>
  <c r="AD132" i="15" s="1"/>
  <c r="U378" i="15"/>
  <c r="T378" i="15"/>
  <c r="V378" i="15" s="1"/>
  <c r="Y255" i="15"/>
  <c r="X255" i="15"/>
  <c r="Z255" i="15" s="1"/>
  <c r="I747" i="15"/>
  <c r="H747" i="15"/>
  <c r="J747" i="15" s="1"/>
  <c r="M624" i="15"/>
  <c r="L624" i="15"/>
  <c r="N624" i="15" s="1"/>
  <c r="Q501" i="15"/>
  <c r="P501" i="15"/>
  <c r="R501" i="15" s="1"/>
  <c r="Q502" i="15" l="1"/>
  <c r="P502" i="15"/>
  <c r="R502" i="15" s="1"/>
  <c r="M625" i="15"/>
  <c r="L625" i="15"/>
  <c r="N625" i="15" s="1"/>
  <c r="Y256" i="15"/>
  <c r="X256" i="15"/>
  <c r="Z256" i="15" s="1"/>
  <c r="AC133" i="15"/>
  <c r="AB133" i="15"/>
  <c r="AD133" i="15" s="1"/>
  <c r="I748" i="15"/>
  <c r="H748" i="15"/>
  <c r="J748" i="15" s="1"/>
  <c r="U379" i="15"/>
  <c r="T379" i="15"/>
  <c r="V379" i="15" s="1"/>
  <c r="U380" i="15" l="1"/>
  <c r="T380" i="15"/>
  <c r="V380" i="15" s="1"/>
  <c r="AC134" i="15"/>
  <c r="AB134" i="15"/>
  <c r="AD134" i="15" s="1"/>
  <c r="Y257" i="15"/>
  <c r="X257" i="15"/>
  <c r="Z257" i="15" s="1"/>
  <c r="Q503" i="15"/>
  <c r="P503" i="15"/>
  <c r="R503" i="15" s="1"/>
  <c r="I749" i="15"/>
  <c r="H749" i="15"/>
  <c r="J749" i="15" s="1"/>
  <c r="M626" i="15"/>
  <c r="L626" i="15"/>
  <c r="N626" i="15" s="1"/>
  <c r="I750" i="15" l="1"/>
  <c r="H750" i="15"/>
  <c r="J750" i="15" s="1"/>
  <c r="Y258" i="15"/>
  <c r="X258" i="15"/>
  <c r="Z258" i="15" s="1"/>
  <c r="U381" i="15"/>
  <c r="T381" i="15"/>
  <c r="V381" i="15" s="1"/>
  <c r="M627" i="15"/>
  <c r="L627" i="15"/>
  <c r="N627" i="15" s="1"/>
  <c r="Q504" i="15"/>
  <c r="P504" i="15"/>
  <c r="R504" i="15" s="1"/>
  <c r="AC135" i="15"/>
  <c r="AB135" i="15"/>
  <c r="AD135" i="15" s="1"/>
  <c r="AC136" i="15" l="1"/>
  <c r="AB136" i="15"/>
  <c r="AD136" i="15" s="1"/>
  <c r="Q505" i="15"/>
  <c r="P505" i="15"/>
  <c r="R505" i="15" s="1"/>
  <c r="U382" i="15"/>
  <c r="T382" i="15"/>
  <c r="V382" i="15" s="1"/>
  <c r="I751" i="15"/>
  <c r="H751" i="15"/>
  <c r="J751" i="15" s="1"/>
  <c r="M628" i="15"/>
  <c r="L628" i="15"/>
  <c r="N628" i="15" s="1"/>
  <c r="Y259" i="15"/>
  <c r="X259" i="15"/>
  <c r="Z259" i="15" s="1"/>
  <c r="Y260" i="15" l="1"/>
  <c r="X260" i="15"/>
  <c r="Z260" i="15" s="1"/>
  <c r="M629" i="15"/>
  <c r="L629" i="15"/>
  <c r="N629" i="15" s="1"/>
  <c r="I752" i="15"/>
  <c r="H752" i="15"/>
  <c r="J752" i="15" s="1"/>
  <c r="U383" i="15"/>
  <c r="T383" i="15"/>
  <c r="V383" i="15" s="1"/>
  <c r="Q506" i="15"/>
  <c r="P506" i="15"/>
  <c r="R506" i="15" s="1"/>
  <c r="AC137" i="15"/>
  <c r="AB137" i="15"/>
  <c r="AD137" i="15" s="1"/>
  <c r="AC138" i="15" l="1"/>
  <c r="AB138" i="15"/>
  <c r="AD138" i="15" s="1"/>
  <c r="U384" i="15"/>
  <c r="T384" i="15"/>
  <c r="V384" i="15" s="1"/>
  <c r="I753" i="15"/>
  <c r="H753" i="15"/>
  <c r="J753" i="15" s="1"/>
  <c r="Y261" i="15"/>
  <c r="X261" i="15"/>
  <c r="Z261" i="15" s="1"/>
  <c r="Q507" i="15"/>
  <c r="P507" i="15"/>
  <c r="R507" i="15" s="1"/>
  <c r="M630" i="15"/>
  <c r="L630" i="15"/>
  <c r="N630" i="15" s="1"/>
  <c r="Q508" i="15" l="1"/>
  <c r="P508" i="15"/>
  <c r="R508" i="15" s="1"/>
  <c r="Y262" i="15"/>
  <c r="X262" i="15"/>
  <c r="Z262" i="15" s="1"/>
  <c r="I754" i="15"/>
  <c r="H754" i="15"/>
  <c r="J754" i="15" s="1"/>
  <c r="AC139" i="15"/>
  <c r="AB139" i="15"/>
  <c r="AD139" i="15" s="1"/>
  <c r="M631" i="15"/>
  <c r="L631" i="15"/>
  <c r="N631" i="15" s="1"/>
  <c r="U385" i="15"/>
  <c r="T385" i="15"/>
  <c r="V385" i="15" s="1"/>
  <c r="M632" i="15" l="1"/>
  <c r="L632" i="15"/>
  <c r="N632" i="15" s="1"/>
  <c r="AC140" i="15"/>
  <c r="AB140" i="15"/>
  <c r="AD140" i="15" s="1"/>
  <c r="I755" i="15"/>
  <c r="H755" i="15"/>
  <c r="J755" i="15" s="1"/>
  <c r="Q509" i="15"/>
  <c r="P509" i="15"/>
  <c r="R509" i="15" s="1"/>
  <c r="U386" i="15"/>
  <c r="T386" i="15"/>
  <c r="V386" i="15" s="1"/>
  <c r="Y263" i="15"/>
  <c r="X263" i="15"/>
  <c r="Z263" i="15" s="1"/>
  <c r="U387" i="15" l="1"/>
  <c r="T387" i="15"/>
  <c r="V387" i="15" s="1"/>
  <c r="Q510" i="15"/>
  <c r="P510" i="15"/>
  <c r="R510" i="15" s="1"/>
  <c r="I756" i="15"/>
  <c r="H756" i="15"/>
  <c r="J756" i="15" s="1"/>
  <c r="M633" i="15"/>
  <c r="L633" i="15"/>
  <c r="N633" i="15" s="1"/>
  <c r="Y264" i="15"/>
  <c r="X264" i="15"/>
  <c r="Z264" i="15" s="1"/>
  <c r="AC141" i="15"/>
  <c r="AB141" i="15"/>
  <c r="AD141" i="15" s="1"/>
  <c r="Y265" i="15" l="1"/>
  <c r="X265" i="15"/>
  <c r="Z265" i="15" s="1"/>
  <c r="I757" i="15"/>
  <c r="H757" i="15"/>
  <c r="J757" i="15" s="1"/>
  <c r="U388" i="15"/>
  <c r="T388" i="15"/>
  <c r="V388" i="15" s="1"/>
  <c r="AC142" i="15"/>
  <c r="AB142" i="15"/>
  <c r="AD142" i="15" s="1"/>
  <c r="M634" i="15"/>
  <c r="L634" i="15"/>
  <c r="N634" i="15" s="1"/>
  <c r="Q511" i="15"/>
  <c r="P511" i="15"/>
  <c r="R511" i="15" s="1"/>
  <c r="Q512" i="15" l="1"/>
  <c r="P512" i="15"/>
  <c r="R512" i="15" s="1"/>
  <c r="M635" i="15"/>
  <c r="L635" i="15"/>
  <c r="N635" i="15" s="1"/>
  <c r="AC143" i="15"/>
  <c r="AB143" i="15"/>
  <c r="AD143" i="15" s="1"/>
  <c r="U389" i="15"/>
  <c r="T389" i="15"/>
  <c r="V389" i="15" s="1"/>
  <c r="Y266" i="15"/>
  <c r="X266" i="15"/>
  <c r="Z266" i="15" s="1"/>
  <c r="I758" i="15"/>
  <c r="H758" i="15"/>
  <c r="J758" i="15" s="1"/>
  <c r="Y267" i="15" l="1"/>
  <c r="X267" i="15"/>
  <c r="Z267" i="15" s="1"/>
  <c r="U390" i="15"/>
  <c r="T390" i="15"/>
  <c r="V390" i="15" s="1"/>
  <c r="AC144" i="15"/>
  <c r="AB144" i="15"/>
  <c r="AD144" i="15" s="1"/>
  <c r="Q513" i="15"/>
  <c r="P513" i="15"/>
  <c r="R513" i="15" s="1"/>
  <c r="I759" i="15"/>
  <c r="H759" i="15"/>
  <c r="J759" i="15" s="1"/>
  <c r="M636" i="15"/>
  <c r="L636" i="15"/>
  <c r="N636" i="15" s="1"/>
  <c r="M637" i="15" l="1"/>
  <c r="L637" i="15"/>
  <c r="N637" i="15" s="1"/>
  <c r="I760" i="15"/>
  <c r="H760" i="15"/>
  <c r="J760" i="15" s="1"/>
  <c r="Q514" i="15"/>
  <c r="P514" i="15"/>
  <c r="R514" i="15" s="1"/>
  <c r="AC145" i="15"/>
  <c r="AB145" i="15"/>
  <c r="AD145" i="15" s="1"/>
  <c r="Y268" i="15"/>
  <c r="X268" i="15"/>
  <c r="Z268" i="15" s="1"/>
  <c r="U391" i="15"/>
  <c r="T391" i="15"/>
  <c r="V391" i="15" s="1"/>
  <c r="Y269" i="15" l="1"/>
  <c r="X269" i="15"/>
  <c r="Z269" i="15" s="1"/>
  <c r="Q515" i="15"/>
  <c r="P515" i="15"/>
  <c r="R515" i="15" s="1"/>
  <c r="M638" i="15"/>
  <c r="L638" i="15"/>
  <c r="N638" i="15" s="1"/>
  <c r="U392" i="15"/>
  <c r="T392" i="15"/>
  <c r="V392" i="15" s="1"/>
  <c r="AC146" i="15"/>
  <c r="AB146" i="15"/>
  <c r="AD146" i="15" s="1"/>
  <c r="I761" i="15"/>
  <c r="H761" i="15"/>
  <c r="J761" i="15" s="1"/>
  <c r="K9" i="15" l="1"/>
  <c r="AC147" i="15"/>
  <c r="AB147" i="15"/>
  <c r="AD147" i="15" s="1"/>
  <c r="U393" i="15"/>
  <c r="T393" i="15"/>
  <c r="V393" i="15" s="1"/>
  <c r="M639" i="15"/>
  <c r="L639" i="15"/>
  <c r="N639" i="15" s="1"/>
  <c r="Y270" i="15"/>
  <c r="X270" i="15"/>
  <c r="Z270" i="15" s="1"/>
  <c r="I762" i="15"/>
  <c r="H762" i="15"/>
  <c r="J762" i="15" s="1"/>
  <c r="Q516" i="15"/>
  <c r="P516" i="15"/>
  <c r="R516" i="15" s="1"/>
  <c r="Q517" i="15" l="1"/>
  <c r="P517" i="15"/>
  <c r="R517" i="15" s="1"/>
  <c r="I763" i="15"/>
  <c r="H763" i="15"/>
  <c r="J763" i="15" s="1"/>
  <c r="AC148" i="15"/>
  <c r="AB148" i="15"/>
  <c r="AD148" i="15" s="1"/>
  <c r="Y271" i="15"/>
  <c r="X271" i="15"/>
  <c r="Z271" i="15" s="1"/>
  <c r="M640" i="15"/>
  <c r="L640" i="15"/>
  <c r="N640" i="15" s="1"/>
  <c r="U394" i="15"/>
  <c r="T394" i="15"/>
  <c r="V394" i="15" s="1"/>
  <c r="H10" i="15"/>
  <c r="L9" i="15"/>
  <c r="M9" i="15"/>
  <c r="D10" i="15"/>
  <c r="C10" i="15" s="1"/>
  <c r="F10" i="15"/>
  <c r="E10" i="15" s="1"/>
  <c r="U395" i="15" l="1"/>
  <c r="T395" i="15"/>
  <c r="V395" i="15" s="1"/>
  <c r="M641" i="15"/>
  <c r="L641" i="15"/>
  <c r="N641" i="15" s="1"/>
  <c r="Y272" i="15"/>
  <c r="X272" i="15"/>
  <c r="Z272" i="15" s="1"/>
  <c r="AC149" i="15"/>
  <c r="AB149" i="15"/>
  <c r="AD149" i="15" s="1"/>
  <c r="I764" i="15"/>
  <c r="H764" i="15"/>
  <c r="J764" i="15" s="1"/>
  <c r="Q518" i="15"/>
  <c r="P518" i="15"/>
  <c r="R518" i="15" s="1"/>
  <c r="AE27" i="15"/>
  <c r="J10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I10" i="15"/>
  <c r="AE149" i="15"/>
  <c r="AE151" i="15"/>
  <c r="AE153" i="15"/>
  <c r="AE155" i="15"/>
  <c r="AE158" i="15"/>
  <c r="AE160" i="15"/>
  <c r="AE162" i="15"/>
  <c r="AE165" i="15"/>
  <c r="AE167" i="15"/>
  <c r="AE170" i="15"/>
  <c r="AE173" i="15"/>
  <c r="AE176" i="15"/>
  <c r="AE178" i="15"/>
  <c r="AE180" i="15"/>
  <c r="AE183" i="15"/>
  <c r="AE184" i="15"/>
  <c r="AE187" i="15"/>
  <c r="AE190" i="15"/>
  <c r="AE192" i="15"/>
  <c r="AE194" i="15"/>
  <c r="AE197" i="15"/>
  <c r="AE199" i="15"/>
  <c r="AE201" i="15"/>
  <c r="AE204" i="15"/>
  <c r="AE206" i="15"/>
  <c r="AE208" i="15"/>
  <c r="AE210" i="15"/>
  <c r="AE213" i="15"/>
  <c r="AE216" i="15"/>
  <c r="AE218" i="15"/>
  <c r="AE220" i="15"/>
  <c r="AE221" i="15"/>
  <c r="AE223" i="15"/>
  <c r="AE226" i="15"/>
  <c r="AE228" i="15"/>
  <c r="AE231" i="15"/>
  <c r="AE234" i="15"/>
  <c r="AE236" i="15"/>
  <c r="AE237" i="15"/>
  <c r="AE239" i="15"/>
  <c r="AE241" i="15"/>
  <c r="AE243" i="15"/>
  <c r="AE245" i="15"/>
  <c r="AE248" i="15"/>
  <c r="AE251" i="15"/>
  <c r="AE254" i="15"/>
  <c r="AE257" i="15"/>
  <c r="AE259" i="15"/>
  <c r="AE261" i="15"/>
  <c r="AE264" i="15"/>
  <c r="AE266" i="15"/>
  <c r="AE268" i="15"/>
  <c r="AE270" i="15"/>
  <c r="AE275" i="15"/>
  <c r="AE278" i="15"/>
  <c r="AE279" i="15"/>
  <c r="AE281" i="15"/>
  <c r="AE283" i="15"/>
  <c r="AE284" i="15"/>
  <c r="AE288" i="15"/>
  <c r="AE289" i="15"/>
  <c r="AE292" i="15"/>
  <c r="AE294" i="15"/>
  <c r="AE296" i="15"/>
  <c r="AE299" i="15"/>
  <c r="AE302" i="15"/>
  <c r="AE304" i="15"/>
  <c r="AE306" i="15"/>
  <c r="AE309" i="15"/>
  <c r="AE310" i="15"/>
  <c r="AE313" i="15"/>
  <c r="AE315" i="15"/>
  <c r="AE318" i="15"/>
  <c r="AE320" i="15"/>
  <c r="AE322" i="15"/>
  <c r="AE324" i="15"/>
  <c r="AE327" i="15"/>
  <c r="AE329" i="15"/>
  <c r="AE331" i="15"/>
  <c r="AE335" i="15"/>
  <c r="AE337" i="15"/>
  <c r="AE339" i="15"/>
  <c r="AE341" i="15"/>
  <c r="AE343" i="15"/>
  <c r="AE346" i="15"/>
  <c r="AE347" i="15"/>
  <c r="AE348" i="15"/>
  <c r="AE349" i="15"/>
  <c r="AE352" i="15"/>
  <c r="AE355" i="15"/>
  <c r="AE358" i="15"/>
  <c r="AE361" i="15"/>
  <c r="AE364" i="15"/>
  <c r="AE367" i="15"/>
  <c r="AE369" i="15"/>
  <c r="AE371" i="15"/>
  <c r="AE373" i="15"/>
  <c r="AE375" i="15"/>
  <c r="AE377" i="15"/>
  <c r="AE380" i="15"/>
  <c r="AE383" i="15"/>
  <c r="AE386" i="15"/>
  <c r="AE388" i="15"/>
  <c r="AE390" i="15"/>
  <c r="AE393" i="15"/>
  <c r="AE395" i="15"/>
  <c r="AE397" i="15"/>
  <c r="AE399" i="15"/>
  <c r="AE401" i="15"/>
  <c r="AE403" i="15"/>
  <c r="AE406" i="15"/>
  <c r="AE409" i="15"/>
  <c r="AE411" i="15"/>
  <c r="AE415" i="15"/>
  <c r="AE417" i="15"/>
  <c r="AE420" i="15"/>
  <c r="AE422" i="15"/>
  <c r="AE425" i="15"/>
  <c r="AE427" i="15"/>
  <c r="AE430" i="15"/>
  <c r="AE432" i="15"/>
  <c r="AE437" i="15"/>
  <c r="AE439" i="15"/>
  <c r="AE441" i="15"/>
  <c r="AE444" i="15"/>
  <c r="AE445" i="15"/>
  <c r="AE446" i="15"/>
  <c r="AE449" i="15"/>
  <c r="AE451" i="15"/>
  <c r="AE453" i="15"/>
  <c r="AE456" i="15"/>
  <c r="AE458" i="15"/>
  <c r="AE461" i="15"/>
  <c r="AE463" i="15"/>
  <c r="AE465" i="15"/>
  <c r="AE468" i="15"/>
  <c r="AE470" i="15"/>
  <c r="AE472" i="15"/>
  <c r="AE475" i="15"/>
  <c r="AE476" i="15"/>
  <c r="AE479" i="15"/>
  <c r="AE482" i="15"/>
  <c r="AE484" i="15"/>
  <c r="AE487" i="15"/>
  <c r="AE489" i="15"/>
  <c r="AE491" i="15"/>
  <c r="AE494" i="15"/>
  <c r="AE496" i="15"/>
  <c r="AE499" i="15"/>
  <c r="AE500" i="15"/>
  <c r="AE503" i="15"/>
  <c r="AE506" i="15"/>
  <c r="AE509" i="15"/>
  <c r="AE511" i="15"/>
  <c r="AE514" i="15"/>
  <c r="AE516" i="15"/>
  <c r="AE519" i="15"/>
  <c r="AE522" i="15"/>
  <c r="AE524" i="15"/>
  <c r="AE527" i="15"/>
  <c r="AE529" i="15"/>
  <c r="AE532" i="15"/>
  <c r="AE535" i="15"/>
  <c r="AE538" i="15"/>
  <c r="AE540" i="15"/>
  <c r="AE542" i="15"/>
  <c r="AE545" i="15"/>
  <c r="AE547" i="15"/>
  <c r="AE549" i="15"/>
  <c r="AE551" i="15"/>
  <c r="AE553" i="15"/>
  <c r="AE555" i="15"/>
  <c r="AE557" i="15"/>
  <c r="AE559" i="15"/>
  <c r="AE562" i="15"/>
  <c r="AE563" i="15"/>
  <c r="AE564" i="15"/>
  <c r="AE565" i="15"/>
  <c r="AE566" i="15"/>
  <c r="AE567" i="15"/>
  <c r="AE568" i="15"/>
  <c r="AE569" i="15"/>
  <c r="AE571" i="15"/>
  <c r="AE572" i="15"/>
  <c r="AE574" i="15"/>
  <c r="AE575" i="15"/>
  <c r="AE578" i="15"/>
  <c r="AE580" i="15"/>
  <c r="AE582" i="15"/>
  <c r="AE584" i="15"/>
  <c r="AE586" i="15"/>
  <c r="AE588" i="15"/>
  <c r="AE590" i="15"/>
  <c r="AE592" i="15"/>
  <c r="AE594" i="15"/>
  <c r="AE597" i="15"/>
  <c r="AE600" i="15"/>
  <c r="AE602" i="15"/>
  <c r="AE603" i="15"/>
  <c r="AE604" i="15"/>
  <c r="AE605" i="15"/>
  <c r="AE606" i="15"/>
  <c r="AE607" i="15"/>
  <c r="AE608" i="15"/>
  <c r="AE609" i="15"/>
  <c r="AE610" i="15"/>
  <c r="AE611" i="15"/>
  <c r="AE612" i="15"/>
  <c r="AE613" i="15"/>
  <c r="AE614" i="15"/>
  <c r="AE615" i="15"/>
  <c r="AE616" i="15"/>
  <c r="AE617" i="15"/>
  <c r="AE618" i="15"/>
  <c r="AE619" i="15"/>
  <c r="AE620" i="15"/>
  <c r="AE621" i="15"/>
  <c r="AE622" i="15"/>
  <c r="AE623" i="15"/>
  <c r="AE624" i="15"/>
  <c r="AE625" i="15"/>
  <c r="AE626" i="15"/>
  <c r="AE627" i="15"/>
  <c r="AE628" i="15"/>
  <c r="AE629" i="15"/>
  <c r="AE630" i="15"/>
  <c r="AE631" i="15"/>
  <c r="AE632" i="15"/>
  <c r="AE633" i="15"/>
  <c r="AE634" i="15"/>
  <c r="AE635" i="15"/>
  <c r="AE636" i="15"/>
  <c r="AE709" i="15"/>
  <c r="AE717" i="15"/>
  <c r="AE722" i="15"/>
  <c r="AE724" i="15"/>
  <c r="AE727" i="15"/>
  <c r="AE729" i="15"/>
  <c r="AE732" i="15"/>
  <c r="AE734" i="15"/>
  <c r="AE735" i="15"/>
  <c r="AE737" i="15"/>
  <c r="AE739" i="15"/>
  <c r="AE741" i="15"/>
  <c r="AE743" i="15"/>
  <c r="AE745" i="15"/>
  <c r="AE748" i="15"/>
  <c r="AE751" i="15"/>
  <c r="AE753" i="15"/>
  <c r="AE755" i="15"/>
  <c r="AE758" i="15"/>
  <c r="AE760" i="15"/>
  <c r="AE762" i="15"/>
  <c r="AE764" i="15"/>
  <c r="AE766" i="15"/>
  <c r="AE768" i="15"/>
  <c r="AE770" i="15"/>
  <c r="AE772" i="15"/>
  <c r="AE775" i="15"/>
  <c r="AE777" i="15"/>
  <c r="AE779" i="15"/>
  <c r="AE780" i="15"/>
  <c r="AE782" i="15"/>
  <c r="AE786" i="15"/>
  <c r="AE787" i="15"/>
  <c r="AE788" i="15"/>
  <c r="AE790" i="15"/>
  <c r="AE794" i="15"/>
  <c r="AE797" i="15"/>
  <c r="AE798" i="15"/>
  <c r="AE801" i="15"/>
  <c r="AE803" i="15"/>
  <c r="AE806" i="15"/>
  <c r="AE807" i="15"/>
  <c r="AE810" i="15"/>
  <c r="AE812" i="15"/>
  <c r="AE814" i="15"/>
  <c r="AE816" i="15"/>
  <c r="AE818" i="15"/>
  <c r="AE820" i="15"/>
  <c r="AE822" i="15"/>
  <c r="AE824" i="15"/>
  <c r="AE827" i="15"/>
  <c r="AE829" i="15"/>
  <c r="AE831" i="15"/>
  <c r="AE833" i="15"/>
  <c r="AE836" i="15"/>
  <c r="AE837" i="15"/>
  <c r="AE840" i="15"/>
  <c r="AE843" i="15"/>
  <c r="AE845" i="15"/>
  <c r="AE848" i="15"/>
  <c r="AE849" i="15"/>
  <c r="AE851" i="15"/>
  <c r="AE853" i="15"/>
  <c r="AE855" i="15"/>
  <c r="AE856" i="15"/>
  <c r="AE859" i="15"/>
  <c r="AE860" i="15"/>
  <c r="AE862" i="15"/>
  <c r="AE863" i="15"/>
  <c r="AE866" i="15"/>
  <c r="AE867" i="15"/>
  <c r="AE869" i="15"/>
  <c r="AE871" i="15"/>
  <c r="AE873" i="15"/>
  <c r="AE875" i="15"/>
  <c r="AE877" i="15"/>
  <c r="AE880" i="15"/>
  <c r="AE882" i="15"/>
  <c r="AE885" i="15"/>
  <c r="AE887" i="15"/>
  <c r="AE889" i="15"/>
  <c r="AE891" i="15"/>
  <c r="AE894" i="15"/>
  <c r="AE897" i="15"/>
  <c r="AE900" i="15"/>
  <c r="AE902" i="15"/>
  <c r="AE905" i="15"/>
  <c r="AE906" i="15"/>
  <c r="AE908" i="15"/>
  <c r="AE911" i="15"/>
  <c r="AE914" i="15"/>
  <c r="AE917" i="15"/>
  <c r="AE918" i="15"/>
  <c r="AE920" i="15"/>
  <c r="AE922" i="15"/>
  <c r="AE923" i="15"/>
  <c r="AE925" i="15"/>
  <c r="AE927" i="15"/>
  <c r="AE930" i="15"/>
  <c r="AE932" i="15"/>
  <c r="AE935" i="15"/>
  <c r="AE937" i="15"/>
  <c r="AE939" i="15"/>
  <c r="AE941" i="15"/>
  <c r="AE943" i="15"/>
  <c r="AE945" i="15"/>
  <c r="AE947" i="15"/>
  <c r="AE950" i="15"/>
  <c r="AE952" i="15"/>
  <c r="AE954" i="15"/>
  <c r="AE956" i="15"/>
  <c r="AE958" i="15"/>
  <c r="AE967" i="15"/>
  <c r="AE969" i="15"/>
  <c r="AE972" i="15"/>
  <c r="AE975" i="15"/>
  <c r="AE978" i="15"/>
  <c r="AE979" i="15"/>
  <c r="AE982" i="15"/>
  <c r="AE985" i="15"/>
  <c r="AE987" i="15"/>
  <c r="AE988" i="15"/>
  <c r="AE992" i="15"/>
  <c r="AE994" i="15"/>
  <c r="AE995" i="15"/>
  <c r="AE998" i="15"/>
  <c r="AE1000" i="15"/>
  <c r="AE1001" i="15"/>
  <c r="AE1004" i="15"/>
  <c r="AE1005" i="15"/>
  <c r="AE1007" i="15"/>
  <c r="AE1010" i="15"/>
  <c r="AE1012" i="15"/>
  <c r="AE1014" i="15"/>
  <c r="AE1016" i="15"/>
  <c r="AE1018" i="15"/>
  <c r="AE1020" i="15"/>
  <c r="AE1022" i="15"/>
  <c r="AE1024" i="15"/>
  <c r="AE1025" i="15"/>
  <c r="AE1027" i="15"/>
  <c r="AE147" i="15"/>
  <c r="AE148" i="15"/>
  <c r="AE150" i="15"/>
  <c r="AE152" i="15"/>
  <c r="AE154" i="15"/>
  <c r="AE156" i="15"/>
  <c r="AE157" i="15"/>
  <c r="AE159" i="15"/>
  <c r="AE161" i="15"/>
  <c r="AE163" i="15"/>
  <c r="AE164" i="15"/>
  <c r="AE166" i="15"/>
  <c r="AE168" i="15"/>
  <c r="AE169" i="15"/>
  <c r="AE171" i="15"/>
  <c r="AE172" i="15"/>
  <c r="AE174" i="15"/>
  <c r="AE175" i="15"/>
  <c r="AE177" i="15"/>
  <c r="AE179" i="15"/>
  <c r="AE181" i="15"/>
  <c r="AE182" i="15"/>
  <c r="AE185" i="15"/>
  <c r="AE186" i="15"/>
  <c r="AE188" i="15"/>
  <c r="AE189" i="15"/>
  <c r="AE191" i="15"/>
  <c r="AE193" i="15"/>
  <c r="AE195" i="15"/>
  <c r="AE196" i="15"/>
  <c r="AE198" i="15"/>
  <c r="AE200" i="15"/>
  <c r="AE202" i="15"/>
  <c r="AE203" i="15"/>
  <c r="AE205" i="15"/>
  <c r="AE207" i="15"/>
  <c r="AE209" i="15"/>
  <c r="AE211" i="15"/>
  <c r="AE212" i="15"/>
  <c r="AE214" i="15"/>
  <c r="AE215" i="15"/>
  <c r="AE217" i="15"/>
  <c r="AE219" i="15"/>
  <c r="AE222" i="15"/>
  <c r="AE224" i="15"/>
  <c r="AE225" i="15"/>
  <c r="AE227" i="15"/>
  <c r="AE229" i="15"/>
  <c r="AE230" i="15"/>
  <c r="AE232" i="15"/>
  <c r="AE233" i="15"/>
  <c r="AE235" i="15"/>
  <c r="AE238" i="15"/>
  <c r="AE240" i="15"/>
  <c r="AE242" i="15"/>
  <c r="AE244" i="15"/>
  <c r="AE246" i="15"/>
  <c r="AE247" i="15"/>
  <c r="AE249" i="15"/>
  <c r="AE250" i="15"/>
  <c r="AE252" i="15"/>
  <c r="AE253" i="15"/>
  <c r="AE255" i="15"/>
  <c r="AE256" i="15"/>
  <c r="AE258" i="15"/>
  <c r="AE260" i="15"/>
  <c r="AE262" i="15"/>
  <c r="AE263" i="15"/>
  <c r="AE265" i="15"/>
  <c r="AE267" i="15"/>
  <c r="AE269" i="15"/>
  <c r="AE271" i="15"/>
  <c r="AE272" i="15"/>
  <c r="AE273" i="15"/>
  <c r="AE274" i="15"/>
  <c r="AE276" i="15"/>
  <c r="AE277" i="15"/>
  <c r="AE280" i="15"/>
  <c r="AE282" i="15"/>
  <c r="AE285" i="15"/>
  <c r="AE286" i="15"/>
  <c r="AE287" i="15"/>
  <c r="AE290" i="15"/>
  <c r="AE291" i="15"/>
  <c r="AE293" i="15"/>
  <c r="AE295" i="15"/>
  <c r="AE297" i="15"/>
  <c r="AE298" i="15"/>
  <c r="AE300" i="15"/>
  <c r="AE301" i="15"/>
  <c r="AE303" i="15"/>
  <c r="AE305" i="15"/>
  <c r="AE307" i="15"/>
  <c r="AE308" i="15"/>
  <c r="AE311" i="15"/>
  <c r="AE312" i="15"/>
  <c r="AE314" i="15"/>
  <c r="AE316" i="15"/>
  <c r="AE317" i="15"/>
  <c r="AE319" i="15"/>
  <c r="AE321" i="15"/>
  <c r="AE323" i="15"/>
  <c r="AE325" i="15"/>
  <c r="AE326" i="15"/>
  <c r="AE328" i="15"/>
  <c r="AE330" i="15"/>
  <c r="AE332" i="15"/>
  <c r="AE333" i="15"/>
  <c r="AE334" i="15"/>
  <c r="AE336" i="15"/>
  <c r="AE338" i="15"/>
  <c r="AE340" i="15"/>
  <c r="AE342" i="15"/>
  <c r="AE344" i="15"/>
  <c r="AE345" i="15"/>
  <c r="AE350" i="15"/>
  <c r="AE351" i="15"/>
  <c r="AE353" i="15"/>
  <c r="AE354" i="15"/>
  <c r="AE356" i="15"/>
  <c r="AE357" i="15"/>
  <c r="AE359" i="15"/>
  <c r="AE360" i="15"/>
  <c r="AE362" i="15"/>
  <c r="AE363" i="15"/>
  <c r="AE365" i="15"/>
  <c r="AE366" i="15"/>
  <c r="AE368" i="15"/>
  <c r="AE370" i="15"/>
  <c r="AE372" i="15"/>
  <c r="AE374" i="15"/>
  <c r="AE376" i="15"/>
  <c r="AE378" i="15"/>
  <c r="AE379" i="15"/>
  <c r="AE381" i="15"/>
  <c r="AE382" i="15"/>
  <c r="AE384" i="15"/>
  <c r="AE385" i="15"/>
  <c r="AE387" i="15"/>
  <c r="AE389" i="15"/>
  <c r="AE391" i="15"/>
  <c r="AE392" i="15"/>
  <c r="AE394" i="15"/>
  <c r="AE396" i="15"/>
  <c r="AE398" i="15"/>
  <c r="AE400" i="15"/>
  <c r="AE402" i="15"/>
  <c r="AE404" i="15"/>
  <c r="AE405" i="15"/>
  <c r="AE407" i="15"/>
  <c r="AE408" i="15"/>
  <c r="AE410" i="15"/>
  <c r="AE412" i="15"/>
  <c r="AE413" i="15"/>
  <c r="AE414" i="15"/>
  <c r="AE416" i="15"/>
  <c r="AE418" i="15"/>
  <c r="AE419" i="15"/>
  <c r="AE421" i="15"/>
  <c r="AE423" i="15"/>
  <c r="AE424" i="15"/>
  <c r="AE426" i="15"/>
  <c r="AE428" i="15"/>
  <c r="AE429" i="15"/>
  <c r="AE431" i="15"/>
  <c r="AE433" i="15"/>
  <c r="AE434" i="15"/>
  <c r="AE435" i="15"/>
  <c r="AE436" i="15"/>
  <c r="AE438" i="15"/>
  <c r="AE440" i="15"/>
  <c r="AE442" i="15"/>
  <c r="AE443" i="15"/>
  <c r="AE447" i="15"/>
  <c r="AE448" i="15"/>
  <c r="AE450" i="15"/>
  <c r="AE452" i="15"/>
  <c r="AE454" i="15"/>
  <c r="AE455" i="15"/>
  <c r="AE457" i="15"/>
  <c r="AE459" i="15"/>
  <c r="AE460" i="15"/>
  <c r="AE462" i="15"/>
  <c r="AE464" i="15"/>
  <c r="AE466" i="15"/>
  <c r="AE467" i="15"/>
  <c r="AE469" i="15"/>
  <c r="AE471" i="15"/>
  <c r="AE473" i="15"/>
  <c r="AE474" i="15"/>
  <c r="AE477" i="15"/>
  <c r="AE478" i="15"/>
  <c r="AE480" i="15"/>
  <c r="AE481" i="15"/>
  <c r="AE483" i="15"/>
  <c r="AE485" i="15"/>
  <c r="AE486" i="15"/>
  <c r="AE488" i="15"/>
  <c r="AE490" i="15"/>
  <c r="AE492" i="15"/>
  <c r="AE493" i="15"/>
  <c r="AE495" i="15"/>
  <c r="AE497" i="15"/>
  <c r="AE498" i="15"/>
  <c r="AE501" i="15"/>
  <c r="AE502" i="15"/>
  <c r="AE504" i="15"/>
  <c r="AE505" i="15"/>
  <c r="AE507" i="15"/>
  <c r="AE508" i="15"/>
  <c r="AE510" i="15"/>
  <c r="AE512" i="15"/>
  <c r="AE513" i="15"/>
  <c r="AE515" i="15"/>
  <c r="AE517" i="15"/>
  <c r="AE518" i="15"/>
  <c r="AE520" i="15"/>
  <c r="AE521" i="15"/>
  <c r="AE523" i="15"/>
  <c r="AE525" i="15"/>
  <c r="AE526" i="15"/>
  <c r="AE528" i="15"/>
  <c r="AE530" i="15"/>
  <c r="AE531" i="15"/>
  <c r="AE533" i="15"/>
  <c r="AE534" i="15"/>
  <c r="AE536" i="15"/>
  <c r="AE537" i="15"/>
  <c r="AE539" i="15"/>
  <c r="AE541" i="15"/>
  <c r="AE543" i="15"/>
  <c r="AE544" i="15"/>
  <c r="AE546" i="15"/>
  <c r="AE548" i="15"/>
  <c r="AE550" i="15"/>
  <c r="AE552" i="15"/>
  <c r="AE554" i="15"/>
  <c r="AE556" i="15"/>
  <c r="AE558" i="15"/>
  <c r="AE560" i="15"/>
  <c r="AE561" i="15"/>
  <c r="AE570" i="15"/>
  <c r="AE573" i="15"/>
  <c r="AE576" i="15"/>
  <c r="AE577" i="15"/>
  <c r="AE579" i="15"/>
  <c r="AE581" i="15"/>
  <c r="AE583" i="15"/>
  <c r="AE585" i="15"/>
  <c r="AE587" i="15"/>
  <c r="AE589" i="15"/>
  <c r="AE591" i="15"/>
  <c r="AE593" i="15"/>
  <c r="AE595" i="15"/>
  <c r="AE596" i="15"/>
  <c r="AE598" i="15"/>
  <c r="AE599" i="15"/>
  <c r="AE601" i="15"/>
  <c r="AE637" i="15"/>
  <c r="AE638" i="15"/>
  <c r="AE639" i="15"/>
  <c r="AE640" i="15"/>
  <c r="AE641" i="15"/>
  <c r="AE642" i="15"/>
  <c r="AE643" i="15"/>
  <c r="AE644" i="15"/>
  <c r="AE645" i="15"/>
  <c r="AE646" i="15"/>
  <c r="AE647" i="15"/>
  <c r="AE648" i="15"/>
  <c r="AE649" i="15"/>
  <c r="AE650" i="15"/>
  <c r="AE651" i="15"/>
  <c r="AE652" i="15"/>
  <c r="AE653" i="15"/>
  <c r="AE654" i="15"/>
  <c r="AE655" i="15"/>
  <c r="AE656" i="15"/>
  <c r="AE657" i="15"/>
  <c r="AE658" i="15"/>
  <c r="AE659" i="15"/>
  <c r="AE660" i="15"/>
  <c r="AE661" i="15"/>
  <c r="AE662" i="15"/>
  <c r="AE663" i="15"/>
  <c r="AE664" i="15"/>
  <c r="AE665" i="15"/>
  <c r="AE666" i="15"/>
  <c r="AE667" i="15"/>
  <c r="AE668" i="15"/>
  <c r="AE669" i="15"/>
  <c r="AE670" i="15"/>
  <c r="AE671" i="15"/>
  <c r="AE672" i="15"/>
  <c r="AE673" i="15"/>
  <c r="AE674" i="15"/>
  <c r="AE675" i="15"/>
  <c r="AE676" i="15"/>
  <c r="AE677" i="15"/>
  <c r="AE678" i="15"/>
  <c r="AE679" i="15"/>
  <c r="AE680" i="15"/>
  <c r="AE681" i="15"/>
  <c r="AE682" i="15"/>
  <c r="AE683" i="15"/>
  <c r="AE684" i="15"/>
  <c r="AE685" i="15"/>
  <c r="AE686" i="15"/>
  <c r="AE687" i="15"/>
  <c r="AE688" i="15"/>
  <c r="AE689" i="15"/>
  <c r="AE690" i="15"/>
  <c r="AE691" i="15"/>
  <c r="AE692" i="15"/>
  <c r="AE693" i="15"/>
  <c r="AE694" i="15"/>
  <c r="AE695" i="15"/>
  <c r="AE696" i="15"/>
  <c r="AE697" i="15"/>
  <c r="AE698" i="15"/>
  <c r="AE699" i="15"/>
  <c r="AE700" i="15"/>
  <c r="AE701" i="15"/>
  <c r="AE702" i="15"/>
  <c r="AE703" i="15"/>
  <c r="AE704" i="15"/>
  <c r="AE705" i="15"/>
  <c r="AE706" i="15"/>
  <c r="AE707" i="15"/>
  <c r="AE708" i="15"/>
  <c r="AE710" i="15"/>
  <c r="AE711" i="15"/>
  <c r="AE712" i="15"/>
  <c r="AE713" i="15"/>
  <c r="AE714" i="15"/>
  <c r="AE715" i="15"/>
  <c r="AE716" i="15"/>
  <c r="AE718" i="15"/>
  <c r="AE719" i="15"/>
  <c r="AE720" i="15"/>
  <c r="AE721" i="15"/>
  <c r="AE723" i="15"/>
  <c r="AE725" i="15"/>
  <c r="AE726" i="15"/>
  <c r="AE728" i="15"/>
  <c r="AE730" i="15"/>
  <c r="AE731" i="15"/>
  <c r="AE733" i="15"/>
  <c r="AE736" i="15"/>
  <c r="AE738" i="15"/>
  <c r="AE740" i="15"/>
  <c r="AE742" i="15"/>
  <c r="AE744" i="15"/>
  <c r="AE746" i="15"/>
  <c r="AE747" i="15"/>
  <c r="AE749" i="15"/>
  <c r="AE750" i="15"/>
  <c r="AE752" i="15"/>
  <c r="AE754" i="15"/>
  <c r="AE756" i="15"/>
  <c r="AE757" i="15"/>
  <c r="AE759" i="15"/>
  <c r="AE761" i="15"/>
  <c r="AE763" i="15"/>
  <c r="AE765" i="15"/>
  <c r="AE767" i="15"/>
  <c r="AE769" i="15"/>
  <c r="AE771" i="15"/>
  <c r="AE773" i="15"/>
  <c r="AE774" i="15"/>
  <c r="AE776" i="15"/>
  <c r="AE778" i="15"/>
  <c r="AE781" i="15"/>
  <c r="AE783" i="15"/>
  <c r="AE784" i="15"/>
  <c r="AE785" i="15"/>
  <c r="AE789" i="15"/>
  <c r="AE791" i="15"/>
  <c r="AE792" i="15"/>
  <c r="AE793" i="15"/>
  <c r="AE795" i="15"/>
  <c r="AE796" i="15"/>
  <c r="AE799" i="15"/>
  <c r="AE800" i="15"/>
  <c r="AE802" i="15"/>
  <c r="AE804" i="15"/>
  <c r="AE805" i="15"/>
  <c r="AE808" i="15"/>
  <c r="AE809" i="15"/>
  <c r="AE811" i="15"/>
  <c r="AE813" i="15"/>
  <c r="AE815" i="15"/>
  <c r="AE817" i="15"/>
  <c r="AE819" i="15"/>
  <c r="AE821" i="15"/>
  <c r="AE823" i="15"/>
  <c r="AE825" i="15"/>
  <c r="AE826" i="15"/>
  <c r="AE828" i="15"/>
  <c r="AE830" i="15"/>
  <c r="AE832" i="15"/>
  <c r="AE834" i="15"/>
  <c r="AE835" i="15"/>
  <c r="AE838" i="15"/>
  <c r="AE839" i="15"/>
  <c r="AE841" i="15"/>
  <c r="AE842" i="15"/>
  <c r="AE844" i="15"/>
  <c r="AE846" i="15"/>
  <c r="AE847" i="15"/>
  <c r="AE850" i="15"/>
  <c r="AE852" i="15"/>
  <c r="AE854" i="15"/>
  <c r="AE857" i="15"/>
  <c r="AE858" i="15"/>
  <c r="AE861" i="15"/>
  <c r="AE864" i="15"/>
  <c r="AE865" i="15"/>
  <c r="AE868" i="15"/>
  <c r="AE870" i="15"/>
  <c r="AE872" i="15"/>
  <c r="AE874" i="15"/>
  <c r="AE876" i="15"/>
  <c r="AE878" i="15"/>
  <c r="AE879" i="15"/>
  <c r="AE881" i="15"/>
  <c r="AE883" i="15"/>
  <c r="AE884" i="15"/>
  <c r="AE886" i="15"/>
  <c r="AE888" i="15"/>
  <c r="AE890" i="15"/>
  <c r="AE892" i="15"/>
  <c r="AE893" i="15"/>
  <c r="AE895" i="15"/>
  <c r="AE896" i="15"/>
  <c r="AE898" i="15"/>
  <c r="AE899" i="15"/>
  <c r="AE901" i="15"/>
  <c r="AE903" i="15"/>
  <c r="AE904" i="15"/>
  <c r="AE907" i="15"/>
  <c r="AE909" i="15"/>
  <c r="AE910" i="15"/>
  <c r="AE912" i="15"/>
  <c r="AE913" i="15"/>
  <c r="AE915" i="15"/>
  <c r="AE916" i="15"/>
  <c r="AE919" i="15"/>
  <c r="AE921" i="15"/>
  <c r="AE924" i="15"/>
  <c r="AE926" i="15"/>
  <c r="AE928" i="15"/>
  <c r="AE929" i="15"/>
  <c r="AE931" i="15"/>
  <c r="AE933" i="15"/>
  <c r="AE934" i="15"/>
  <c r="AE936" i="15"/>
  <c r="AE938" i="15"/>
  <c r="AE940" i="15"/>
  <c r="AE942" i="15"/>
  <c r="AE944" i="15"/>
  <c r="AE946" i="15"/>
  <c r="AE948" i="15"/>
  <c r="AE949" i="15"/>
  <c r="AE951" i="15"/>
  <c r="AE953" i="15"/>
  <c r="AE955" i="15"/>
  <c r="AE957" i="15"/>
  <c r="AE959" i="15"/>
  <c r="AE960" i="15"/>
  <c r="AE961" i="15"/>
  <c r="AE962" i="15"/>
  <c r="AE963" i="15"/>
  <c r="AE964" i="15"/>
  <c r="AE965" i="15"/>
  <c r="AE966" i="15"/>
  <c r="AE968" i="15"/>
  <c r="AE970" i="15"/>
  <c r="AE971" i="15"/>
  <c r="AE973" i="15"/>
  <c r="AE974" i="15"/>
  <c r="AE976" i="15"/>
  <c r="AE977" i="15"/>
  <c r="AE980" i="15"/>
  <c r="AE981" i="15"/>
  <c r="AE983" i="15"/>
  <c r="AE984" i="15"/>
  <c r="AE986" i="15"/>
  <c r="AE989" i="15"/>
  <c r="AE990" i="15"/>
  <c r="AE991" i="15"/>
  <c r="AE993" i="15"/>
  <c r="AE996" i="15"/>
  <c r="AE997" i="15"/>
  <c r="AE999" i="15"/>
  <c r="AE1002" i="15"/>
  <c r="AE1003" i="15"/>
  <c r="AE1006" i="15"/>
  <c r="AE1008" i="15"/>
  <c r="AE1009" i="15"/>
  <c r="AE1011" i="15"/>
  <c r="AE1013" i="15"/>
  <c r="AE1015" i="15"/>
  <c r="AE1017" i="15"/>
  <c r="AE1019" i="15"/>
  <c r="AE1021" i="15"/>
  <c r="AE1023" i="15"/>
  <c r="AE1026" i="15"/>
  <c r="AG27" i="15"/>
  <c r="Q519" i="15" l="1"/>
  <c r="P519" i="15"/>
  <c r="R519" i="15" s="1"/>
  <c r="I765" i="15"/>
  <c r="H765" i="15"/>
  <c r="J765" i="15" s="1"/>
  <c r="AC150" i="15"/>
  <c r="AB150" i="15"/>
  <c r="AD150" i="15" s="1"/>
  <c r="Y273" i="15"/>
  <c r="X273" i="15"/>
  <c r="Z273" i="15" s="1"/>
  <c r="M642" i="15"/>
  <c r="L642" i="15"/>
  <c r="N642" i="15" s="1"/>
  <c r="U396" i="15"/>
  <c r="T396" i="15"/>
  <c r="V396" i="15" s="1"/>
  <c r="AF27" i="15"/>
  <c r="AH27" i="15" s="1"/>
  <c r="AF28" i="15" s="1"/>
  <c r="U397" i="15" l="1"/>
  <c r="T397" i="15"/>
  <c r="V397" i="15" s="1"/>
  <c r="Y274" i="15"/>
  <c r="X274" i="15"/>
  <c r="Z274" i="15" s="1"/>
  <c r="AC151" i="15"/>
  <c r="AB151" i="15"/>
  <c r="AD151" i="15" s="1"/>
  <c r="I766" i="15"/>
  <c r="H766" i="15"/>
  <c r="J766" i="15" s="1"/>
  <c r="Q520" i="15"/>
  <c r="P520" i="15"/>
  <c r="R520" i="15" s="1"/>
  <c r="M643" i="15"/>
  <c r="L643" i="15"/>
  <c r="N643" i="15" s="1"/>
  <c r="AH28" i="15"/>
  <c r="AG28" i="15"/>
  <c r="Q521" i="15" l="1"/>
  <c r="P521" i="15"/>
  <c r="R521" i="15" s="1"/>
  <c r="I767" i="15"/>
  <c r="H767" i="15"/>
  <c r="J767" i="15" s="1"/>
  <c r="AC152" i="15"/>
  <c r="AB152" i="15"/>
  <c r="AD152" i="15" s="1"/>
  <c r="U398" i="15"/>
  <c r="T398" i="15"/>
  <c r="V398" i="15" s="1"/>
  <c r="M644" i="15"/>
  <c r="L644" i="15"/>
  <c r="N644" i="15" s="1"/>
  <c r="Y275" i="15"/>
  <c r="X275" i="15"/>
  <c r="Z275" i="15" s="1"/>
  <c r="AG29" i="15"/>
  <c r="AF29" i="15"/>
  <c r="AH29" i="15" s="1"/>
  <c r="Y276" i="15" l="1"/>
  <c r="X276" i="15"/>
  <c r="Z276" i="15" s="1"/>
  <c r="M645" i="15"/>
  <c r="L645" i="15"/>
  <c r="N645" i="15" s="1"/>
  <c r="U399" i="15"/>
  <c r="T399" i="15"/>
  <c r="V399" i="15" s="1"/>
  <c r="AC153" i="15"/>
  <c r="AB153" i="15"/>
  <c r="AD153" i="15" s="1"/>
  <c r="Q522" i="15"/>
  <c r="P522" i="15"/>
  <c r="R522" i="15" s="1"/>
  <c r="AG30" i="15"/>
  <c r="AF30" i="15"/>
  <c r="AH30" i="15" s="1"/>
  <c r="I768" i="15"/>
  <c r="H768" i="15"/>
  <c r="J768" i="15" s="1"/>
  <c r="AG31" i="15" l="1"/>
  <c r="AF31" i="15"/>
  <c r="AH31" i="15" s="1"/>
  <c r="AC154" i="15"/>
  <c r="AB154" i="15"/>
  <c r="AD154" i="15" s="1"/>
  <c r="U400" i="15"/>
  <c r="T400" i="15"/>
  <c r="V400" i="15" s="1"/>
  <c r="Y277" i="15"/>
  <c r="X277" i="15"/>
  <c r="Z277" i="15" s="1"/>
  <c r="I769" i="15"/>
  <c r="H769" i="15"/>
  <c r="J769" i="15" s="1"/>
  <c r="Q523" i="15"/>
  <c r="P523" i="15"/>
  <c r="R523" i="15" s="1"/>
  <c r="M646" i="15"/>
  <c r="L646" i="15"/>
  <c r="N646" i="15" s="1"/>
  <c r="M647" i="15" l="1"/>
  <c r="L647" i="15"/>
  <c r="N647" i="15" s="1"/>
  <c r="Q524" i="15"/>
  <c r="P524" i="15"/>
  <c r="R524" i="15" s="1"/>
  <c r="I770" i="15"/>
  <c r="H770" i="15"/>
  <c r="J770" i="15" s="1"/>
  <c r="Y278" i="15"/>
  <c r="X278" i="15"/>
  <c r="Z278" i="15" s="1"/>
  <c r="AC155" i="15"/>
  <c r="AB155" i="15"/>
  <c r="AD155" i="15" s="1"/>
  <c r="AG32" i="15"/>
  <c r="AF32" i="15"/>
  <c r="AH32" i="15" s="1"/>
  <c r="U401" i="15"/>
  <c r="T401" i="15"/>
  <c r="V401" i="15" s="1"/>
  <c r="U402" i="15" l="1"/>
  <c r="T402" i="15"/>
  <c r="V402" i="15" s="1"/>
  <c r="AG33" i="15"/>
  <c r="AF33" i="15"/>
  <c r="AH33" i="15" s="1"/>
  <c r="AC156" i="15"/>
  <c r="AB156" i="15"/>
  <c r="AD156" i="15" s="1"/>
  <c r="Y279" i="15"/>
  <c r="X279" i="15"/>
  <c r="Z279" i="15" s="1"/>
  <c r="Q525" i="15"/>
  <c r="P525" i="15"/>
  <c r="R525" i="15" s="1"/>
  <c r="M648" i="15"/>
  <c r="L648" i="15"/>
  <c r="N648" i="15" s="1"/>
  <c r="I771" i="15"/>
  <c r="H771" i="15"/>
  <c r="J771" i="15" s="1"/>
  <c r="I772" i="15" l="1"/>
  <c r="H772" i="15"/>
  <c r="J772" i="15" s="1"/>
  <c r="M649" i="15"/>
  <c r="L649" i="15"/>
  <c r="N649" i="15" s="1"/>
  <c r="Q526" i="15"/>
  <c r="P526" i="15"/>
  <c r="R526" i="15" s="1"/>
  <c r="Y280" i="15"/>
  <c r="X280" i="15"/>
  <c r="Z280" i="15" s="1"/>
  <c r="AC157" i="15"/>
  <c r="AB157" i="15"/>
  <c r="AD157" i="15" s="1"/>
  <c r="AG34" i="15"/>
  <c r="AF34" i="15"/>
  <c r="AH34" i="15" s="1"/>
  <c r="U403" i="15"/>
  <c r="T403" i="15"/>
  <c r="V403" i="15" s="1"/>
  <c r="AG35" i="15" l="1"/>
  <c r="AF35" i="15"/>
  <c r="AH35" i="15" s="1"/>
  <c r="AC158" i="15"/>
  <c r="AB158" i="15"/>
  <c r="AD158" i="15" s="1"/>
  <c r="Y281" i="15"/>
  <c r="X281" i="15"/>
  <c r="Z281" i="15" s="1"/>
  <c r="Q527" i="15"/>
  <c r="P527" i="15"/>
  <c r="R527" i="15" s="1"/>
  <c r="I773" i="15"/>
  <c r="H773" i="15"/>
  <c r="J773" i="15" s="1"/>
  <c r="U404" i="15"/>
  <c r="T404" i="15"/>
  <c r="V404" i="15" s="1"/>
  <c r="M650" i="15"/>
  <c r="L650" i="15"/>
  <c r="N650" i="15" s="1"/>
  <c r="U405" i="15" l="1"/>
  <c r="T405" i="15"/>
  <c r="V405" i="15" s="1"/>
  <c r="I774" i="15"/>
  <c r="H774" i="15"/>
  <c r="J774" i="15" s="1"/>
  <c r="Q528" i="15"/>
  <c r="P528" i="15"/>
  <c r="R528" i="15" s="1"/>
  <c r="AC159" i="15"/>
  <c r="AB159" i="15"/>
  <c r="AD159" i="15" s="1"/>
  <c r="AG36" i="15"/>
  <c r="AF36" i="15"/>
  <c r="AH36" i="15" s="1"/>
  <c r="M651" i="15"/>
  <c r="L651" i="15"/>
  <c r="N651" i="15" s="1"/>
  <c r="Y282" i="15"/>
  <c r="X282" i="15"/>
  <c r="Z282" i="15" s="1"/>
  <c r="Y283" i="15" l="1"/>
  <c r="X283" i="15"/>
  <c r="Z283" i="15" s="1"/>
  <c r="AC160" i="15"/>
  <c r="AB160" i="15"/>
  <c r="AD160" i="15" s="1"/>
  <c r="Q529" i="15"/>
  <c r="P529" i="15"/>
  <c r="R529" i="15" s="1"/>
  <c r="U406" i="15"/>
  <c r="T406" i="15"/>
  <c r="V406" i="15" s="1"/>
  <c r="M652" i="15"/>
  <c r="L652" i="15"/>
  <c r="N652" i="15" s="1"/>
  <c r="AG37" i="15"/>
  <c r="AF37" i="15"/>
  <c r="AH37" i="15" s="1"/>
  <c r="I775" i="15"/>
  <c r="H775" i="15"/>
  <c r="J775" i="15" s="1"/>
  <c r="AG38" i="15" l="1"/>
  <c r="AF38" i="15"/>
  <c r="AH38" i="15" s="1"/>
  <c r="M653" i="15"/>
  <c r="L653" i="15"/>
  <c r="N653" i="15" s="1"/>
  <c r="Q530" i="15"/>
  <c r="P530" i="15"/>
  <c r="R530" i="15" s="1"/>
  <c r="Y284" i="15"/>
  <c r="X284" i="15"/>
  <c r="Z284" i="15" s="1"/>
  <c r="I776" i="15"/>
  <c r="H776" i="15"/>
  <c r="J776" i="15" s="1"/>
  <c r="U407" i="15"/>
  <c r="T407" i="15"/>
  <c r="V407" i="15" s="1"/>
  <c r="AC161" i="15"/>
  <c r="AB161" i="15"/>
  <c r="AD161" i="15" s="1"/>
  <c r="AC162" i="15" l="1"/>
  <c r="AB162" i="15"/>
  <c r="AD162" i="15" s="1"/>
  <c r="Y285" i="15"/>
  <c r="X285" i="15"/>
  <c r="Z285" i="15" s="1"/>
  <c r="Q531" i="15"/>
  <c r="P531" i="15"/>
  <c r="R531" i="15" s="1"/>
  <c r="AG39" i="15"/>
  <c r="AF39" i="15"/>
  <c r="AH39" i="15" s="1"/>
  <c r="U408" i="15"/>
  <c r="T408" i="15"/>
  <c r="V408" i="15" s="1"/>
  <c r="I777" i="15"/>
  <c r="H777" i="15"/>
  <c r="J777" i="15" s="1"/>
  <c r="M654" i="15"/>
  <c r="L654" i="15"/>
  <c r="N654" i="15" s="1"/>
  <c r="M655" i="15" l="1"/>
  <c r="L655" i="15"/>
  <c r="N655" i="15" s="1"/>
  <c r="I778" i="15"/>
  <c r="H778" i="15"/>
  <c r="J778" i="15" s="1"/>
  <c r="U409" i="15"/>
  <c r="T409" i="15"/>
  <c r="V409" i="15" s="1"/>
  <c r="AG40" i="15"/>
  <c r="AF40" i="15"/>
  <c r="AH40" i="15" s="1"/>
  <c r="Q532" i="15"/>
  <c r="P532" i="15"/>
  <c r="R532" i="15" s="1"/>
  <c r="Y286" i="15"/>
  <c r="X286" i="15"/>
  <c r="Z286" i="15" s="1"/>
  <c r="AC163" i="15"/>
  <c r="AB163" i="15"/>
  <c r="AD163" i="15" s="1"/>
  <c r="Y287" i="15" l="1"/>
  <c r="X287" i="15"/>
  <c r="Z287" i="15" s="1"/>
  <c r="Q533" i="15"/>
  <c r="P533" i="15"/>
  <c r="R533" i="15" s="1"/>
  <c r="AG41" i="15"/>
  <c r="AF41" i="15"/>
  <c r="AH41" i="15" s="1"/>
  <c r="I779" i="15"/>
  <c r="H779" i="15"/>
  <c r="J779" i="15" s="1"/>
  <c r="M656" i="15"/>
  <c r="L656" i="15"/>
  <c r="N656" i="15" s="1"/>
  <c r="AC164" i="15"/>
  <c r="AB164" i="15"/>
  <c r="AD164" i="15" s="1"/>
  <c r="U410" i="15"/>
  <c r="T410" i="15"/>
  <c r="V410" i="15" s="1"/>
  <c r="AC165" i="15" l="1"/>
  <c r="AB165" i="15"/>
  <c r="AD165" i="15" s="1"/>
  <c r="M657" i="15"/>
  <c r="L657" i="15"/>
  <c r="N657" i="15" s="1"/>
  <c r="I780" i="15"/>
  <c r="H780" i="15"/>
  <c r="J780" i="15" s="1"/>
  <c r="Q534" i="15"/>
  <c r="P534" i="15"/>
  <c r="R534" i="15" s="1"/>
  <c r="Y288" i="15"/>
  <c r="X288" i="15"/>
  <c r="Z288" i="15" s="1"/>
  <c r="U411" i="15"/>
  <c r="T411" i="15"/>
  <c r="V411" i="15" s="1"/>
  <c r="AG42" i="15"/>
  <c r="AF42" i="15"/>
  <c r="AH42" i="15" s="1"/>
  <c r="U412" i="15" l="1"/>
  <c r="T412" i="15"/>
  <c r="V412" i="15" s="1"/>
  <c r="Q535" i="15"/>
  <c r="P535" i="15"/>
  <c r="R535" i="15" s="1"/>
  <c r="I781" i="15"/>
  <c r="H781" i="15"/>
  <c r="J781" i="15" s="1"/>
  <c r="AC166" i="15"/>
  <c r="AB166" i="15"/>
  <c r="AD166" i="15" s="1"/>
  <c r="AG43" i="15"/>
  <c r="AF43" i="15"/>
  <c r="AH43" i="15" s="1"/>
  <c r="Y289" i="15"/>
  <c r="X289" i="15"/>
  <c r="Z289" i="15" s="1"/>
  <c r="M658" i="15"/>
  <c r="L658" i="15"/>
  <c r="N658" i="15" s="1"/>
  <c r="M659" i="15" l="1"/>
  <c r="L659" i="15"/>
  <c r="N659" i="15" s="1"/>
  <c r="AG44" i="15"/>
  <c r="AF44" i="15"/>
  <c r="AH44" i="15" s="1"/>
  <c r="I782" i="15"/>
  <c r="H782" i="15"/>
  <c r="J782" i="15" s="1"/>
  <c r="U413" i="15"/>
  <c r="T413" i="15"/>
  <c r="V413" i="15" s="1"/>
  <c r="Y290" i="15"/>
  <c r="X290" i="15"/>
  <c r="Z290" i="15" s="1"/>
  <c r="AC167" i="15"/>
  <c r="AB167" i="15"/>
  <c r="AD167" i="15" s="1"/>
  <c r="Q536" i="15"/>
  <c r="P536" i="15"/>
  <c r="R536" i="15" s="1"/>
  <c r="Q537" i="15" l="1"/>
  <c r="P537" i="15"/>
  <c r="R537" i="15" s="1"/>
  <c r="Y291" i="15"/>
  <c r="X291" i="15"/>
  <c r="Z291" i="15" s="1"/>
  <c r="I783" i="15"/>
  <c r="H783" i="15"/>
  <c r="J783" i="15" s="1"/>
  <c r="M660" i="15"/>
  <c r="L660" i="15"/>
  <c r="N660" i="15" s="1"/>
  <c r="AC168" i="15"/>
  <c r="AB168" i="15"/>
  <c r="AD168" i="15" s="1"/>
  <c r="U414" i="15"/>
  <c r="T414" i="15"/>
  <c r="V414" i="15" s="1"/>
  <c r="AG45" i="15"/>
  <c r="AF45" i="15"/>
  <c r="AH45" i="15" s="1"/>
  <c r="U415" i="15" l="1"/>
  <c r="T415" i="15"/>
  <c r="V415" i="15" s="1"/>
  <c r="M661" i="15"/>
  <c r="L661" i="15"/>
  <c r="N661" i="15" s="1"/>
  <c r="I784" i="15"/>
  <c r="H784" i="15"/>
  <c r="J784" i="15" s="1"/>
  <c r="Q538" i="15"/>
  <c r="P538" i="15"/>
  <c r="R538" i="15" s="1"/>
  <c r="AG46" i="15"/>
  <c r="AF46" i="15"/>
  <c r="AH46" i="15" s="1"/>
  <c r="AC169" i="15"/>
  <c r="AB169" i="15"/>
  <c r="AD169" i="15" s="1"/>
  <c r="Y292" i="15"/>
  <c r="X292" i="15"/>
  <c r="Z292" i="15" s="1"/>
  <c r="AC170" i="15" l="1"/>
  <c r="AB170" i="15"/>
  <c r="AD170" i="15" s="1"/>
  <c r="AG47" i="15"/>
  <c r="AF47" i="15"/>
  <c r="AH47" i="15" s="1"/>
  <c r="Q539" i="15"/>
  <c r="P539" i="15"/>
  <c r="R539" i="15" s="1"/>
  <c r="I785" i="15"/>
  <c r="H785" i="15"/>
  <c r="J785" i="15" s="1"/>
  <c r="U416" i="15"/>
  <c r="T416" i="15"/>
  <c r="V416" i="15" s="1"/>
  <c r="Y293" i="15"/>
  <c r="X293" i="15"/>
  <c r="Z293" i="15" s="1"/>
  <c r="M662" i="15"/>
  <c r="L662" i="15"/>
  <c r="N662" i="15" s="1"/>
  <c r="M663" i="15" l="1"/>
  <c r="L663" i="15"/>
  <c r="N663" i="15" s="1"/>
  <c r="U417" i="15"/>
  <c r="T417" i="15"/>
  <c r="V417" i="15" s="1"/>
  <c r="I786" i="15"/>
  <c r="H786" i="15"/>
  <c r="J786" i="15" s="1"/>
  <c r="AG48" i="15"/>
  <c r="AF48" i="15"/>
  <c r="AH48" i="15" s="1"/>
  <c r="AC171" i="15"/>
  <c r="AB171" i="15"/>
  <c r="AD171" i="15" s="1"/>
  <c r="Y294" i="15"/>
  <c r="X294" i="15"/>
  <c r="Z294" i="15" s="1"/>
  <c r="Q540" i="15"/>
  <c r="P540" i="15"/>
  <c r="R540" i="15" s="1"/>
  <c r="Y295" i="15" l="1"/>
  <c r="X295" i="15"/>
  <c r="Z295" i="15" s="1"/>
  <c r="AC172" i="15"/>
  <c r="AB172" i="15"/>
  <c r="AD172" i="15" s="1"/>
  <c r="AG49" i="15"/>
  <c r="AF49" i="15"/>
  <c r="AH49" i="15" s="1"/>
  <c r="U418" i="15"/>
  <c r="T418" i="15"/>
  <c r="V418" i="15" s="1"/>
  <c r="M664" i="15"/>
  <c r="L664" i="15"/>
  <c r="N664" i="15" s="1"/>
  <c r="Q541" i="15"/>
  <c r="P541" i="15"/>
  <c r="R541" i="15" s="1"/>
  <c r="I787" i="15"/>
  <c r="H787" i="15"/>
  <c r="J787" i="15" s="1"/>
  <c r="Q542" i="15" l="1"/>
  <c r="P542" i="15"/>
  <c r="R542" i="15" s="1"/>
  <c r="M665" i="15"/>
  <c r="L665" i="15"/>
  <c r="N665" i="15" s="1"/>
  <c r="U419" i="15"/>
  <c r="T419" i="15"/>
  <c r="V419" i="15" s="1"/>
  <c r="AG50" i="15"/>
  <c r="AF50" i="15"/>
  <c r="AH50" i="15" s="1"/>
  <c r="Y296" i="15"/>
  <c r="X296" i="15"/>
  <c r="Z296" i="15" s="1"/>
  <c r="I788" i="15"/>
  <c r="H788" i="15"/>
  <c r="J788" i="15" s="1"/>
  <c r="AC173" i="15"/>
  <c r="AB173" i="15"/>
  <c r="AD173" i="15" s="1"/>
  <c r="I789" i="15" l="1"/>
  <c r="H789" i="15"/>
  <c r="J789" i="15" s="1"/>
  <c r="Y297" i="15"/>
  <c r="X297" i="15"/>
  <c r="Z297" i="15" s="1"/>
  <c r="AG51" i="15"/>
  <c r="AF51" i="15"/>
  <c r="AH51" i="15" s="1"/>
  <c r="M666" i="15"/>
  <c r="L666" i="15"/>
  <c r="N666" i="15" s="1"/>
  <c r="Q543" i="15"/>
  <c r="P543" i="15"/>
  <c r="R543" i="15" s="1"/>
  <c r="AC174" i="15"/>
  <c r="AB174" i="15"/>
  <c r="AD174" i="15" s="1"/>
  <c r="U420" i="15"/>
  <c r="T420" i="15"/>
  <c r="V420" i="15" s="1"/>
  <c r="AC175" i="15" l="1"/>
  <c r="AB175" i="15"/>
  <c r="AD175" i="15" s="1"/>
  <c r="Q544" i="15"/>
  <c r="P544" i="15"/>
  <c r="R544" i="15" s="1"/>
  <c r="M667" i="15"/>
  <c r="L667" i="15"/>
  <c r="N667" i="15" s="1"/>
  <c r="Y298" i="15"/>
  <c r="X298" i="15"/>
  <c r="Z298" i="15" s="1"/>
  <c r="I790" i="15"/>
  <c r="H790" i="15"/>
  <c r="J790" i="15" s="1"/>
  <c r="U421" i="15"/>
  <c r="T421" i="15"/>
  <c r="V421" i="15" s="1"/>
  <c r="AG52" i="15"/>
  <c r="AF52" i="15"/>
  <c r="AH52" i="15" s="1"/>
  <c r="U422" i="15" l="1"/>
  <c r="T422" i="15"/>
  <c r="V422" i="15" s="1"/>
  <c r="Y299" i="15"/>
  <c r="X299" i="15"/>
  <c r="Z299" i="15" s="1"/>
  <c r="M668" i="15"/>
  <c r="L668" i="15"/>
  <c r="N668" i="15" s="1"/>
  <c r="AC176" i="15"/>
  <c r="AB176" i="15"/>
  <c r="AD176" i="15" s="1"/>
  <c r="AG53" i="15"/>
  <c r="AF53" i="15"/>
  <c r="AH53" i="15" s="1"/>
  <c r="I791" i="15"/>
  <c r="H791" i="15"/>
  <c r="J791" i="15" s="1"/>
  <c r="Q545" i="15"/>
  <c r="P545" i="15"/>
  <c r="R545" i="15" s="1"/>
  <c r="Q546" i="15" l="1"/>
  <c r="P546" i="15"/>
  <c r="R546" i="15" s="1"/>
  <c r="I792" i="15"/>
  <c r="H792" i="15"/>
  <c r="J792" i="15" s="1"/>
  <c r="AG54" i="15"/>
  <c r="AF54" i="15"/>
  <c r="AH54" i="15" s="1"/>
  <c r="AC177" i="15"/>
  <c r="AB177" i="15"/>
  <c r="AD177" i="15" s="1"/>
  <c r="M669" i="15"/>
  <c r="L669" i="15"/>
  <c r="N669" i="15" s="1"/>
  <c r="Y300" i="15"/>
  <c r="X300" i="15"/>
  <c r="Z300" i="15" s="1"/>
  <c r="U423" i="15"/>
  <c r="T423" i="15"/>
  <c r="V423" i="15" s="1"/>
  <c r="U424" i="15" l="1"/>
  <c r="T424" i="15"/>
  <c r="V424" i="15" s="1"/>
  <c r="M670" i="15"/>
  <c r="L670" i="15"/>
  <c r="N670" i="15" s="1"/>
  <c r="AG55" i="15"/>
  <c r="AF55" i="15"/>
  <c r="AH55" i="15" s="1"/>
  <c r="Q547" i="15"/>
  <c r="P547" i="15"/>
  <c r="R547" i="15" s="1"/>
  <c r="Y301" i="15"/>
  <c r="X301" i="15"/>
  <c r="Z301" i="15" s="1"/>
  <c r="AC178" i="15"/>
  <c r="AB178" i="15"/>
  <c r="AD178" i="15" s="1"/>
  <c r="I793" i="15"/>
  <c r="H793" i="15"/>
  <c r="J793" i="15" s="1"/>
  <c r="AC179" i="15" l="1"/>
  <c r="AB179" i="15"/>
  <c r="AD179" i="15" s="1"/>
  <c r="Y302" i="15"/>
  <c r="X302" i="15"/>
  <c r="Z302" i="15" s="1"/>
  <c r="Q548" i="15"/>
  <c r="P548" i="15"/>
  <c r="R548" i="15" s="1"/>
  <c r="M671" i="15"/>
  <c r="L671" i="15"/>
  <c r="N671" i="15" s="1"/>
  <c r="U425" i="15"/>
  <c r="T425" i="15"/>
  <c r="V425" i="15" s="1"/>
  <c r="I794" i="15"/>
  <c r="H794" i="15"/>
  <c r="J794" i="15" s="1"/>
  <c r="AG56" i="15"/>
  <c r="AF56" i="15"/>
  <c r="AH56" i="15" s="1"/>
  <c r="I795" i="15" l="1"/>
  <c r="H795" i="15"/>
  <c r="J795" i="15" s="1"/>
  <c r="M672" i="15"/>
  <c r="L672" i="15"/>
  <c r="N672" i="15" s="1"/>
  <c r="Q549" i="15"/>
  <c r="P549" i="15"/>
  <c r="R549" i="15" s="1"/>
  <c r="AC180" i="15"/>
  <c r="AB180" i="15"/>
  <c r="AD180" i="15" s="1"/>
  <c r="AG57" i="15"/>
  <c r="AF57" i="15"/>
  <c r="AH57" i="15" s="1"/>
  <c r="U426" i="15"/>
  <c r="T426" i="15"/>
  <c r="V426" i="15" s="1"/>
  <c r="Y303" i="15"/>
  <c r="X303" i="15"/>
  <c r="Z303" i="15" s="1"/>
  <c r="Y304" i="15" l="1"/>
  <c r="X304" i="15"/>
  <c r="Z304" i="15" s="1"/>
  <c r="U427" i="15"/>
  <c r="T427" i="15"/>
  <c r="V427" i="15" s="1"/>
  <c r="AG58" i="15"/>
  <c r="AF58" i="15"/>
  <c r="AH58" i="15" s="1"/>
  <c r="AC181" i="15"/>
  <c r="AB181" i="15"/>
  <c r="AD181" i="15" s="1"/>
  <c r="M673" i="15"/>
  <c r="L673" i="15"/>
  <c r="N673" i="15" s="1"/>
  <c r="I796" i="15"/>
  <c r="H796" i="15"/>
  <c r="J796" i="15" s="1"/>
  <c r="Q550" i="15"/>
  <c r="P550" i="15"/>
  <c r="R550" i="15" s="1"/>
  <c r="I797" i="15" l="1"/>
  <c r="H797" i="15"/>
  <c r="J797" i="15" s="1"/>
  <c r="M674" i="15"/>
  <c r="L674" i="15"/>
  <c r="N674" i="15" s="1"/>
  <c r="AC182" i="15"/>
  <c r="AB182" i="15"/>
  <c r="AD182" i="15" s="1"/>
  <c r="U428" i="15"/>
  <c r="T428" i="15"/>
  <c r="V428" i="15" s="1"/>
  <c r="Y305" i="15"/>
  <c r="X305" i="15"/>
  <c r="Z305" i="15" s="1"/>
  <c r="Q551" i="15"/>
  <c r="P551" i="15"/>
  <c r="R551" i="15" s="1"/>
  <c r="AG59" i="15"/>
  <c r="AF59" i="15"/>
  <c r="AH59" i="15" s="1"/>
  <c r="AG60" i="15" l="1"/>
  <c r="AF60" i="15"/>
  <c r="AH60" i="15" s="1"/>
  <c r="Q552" i="15"/>
  <c r="P552" i="15"/>
  <c r="R552" i="15" s="1"/>
  <c r="Y306" i="15"/>
  <c r="X306" i="15"/>
  <c r="Z306" i="15" s="1"/>
  <c r="U429" i="15"/>
  <c r="T429" i="15"/>
  <c r="V429" i="15" s="1"/>
  <c r="AC183" i="15"/>
  <c r="AB183" i="15"/>
  <c r="AD183" i="15" s="1"/>
  <c r="M675" i="15"/>
  <c r="L675" i="15"/>
  <c r="N675" i="15" s="1"/>
  <c r="I798" i="15"/>
  <c r="H798" i="15"/>
  <c r="J798" i="15" s="1"/>
  <c r="M676" i="15" l="1"/>
  <c r="L676" i="15"/>
  <c r="N676" i="15" s="1"/>
  <c r="AC184" i="15"/>
  <c r="AB184" i="15"/>
  <c r="AD184" i="15" s="1"/>
  <c r="U430" i="15"/>
  <c r="T430" i="15"/>
  <c r="V430" i="15" s="1"/>
  <c r="Y307" i="15"/>
  <c r="X307" i="15"/>
  <c r="Z307" i="15" s="1"/>
  <c r="AG61" i="15"/>
  <c r="AF61" i="15"/>
  <c r="AH61" i="15" s="1"/>
  <c r="I799" i="15"/>
  <c r="H799" i="15"/>
  <c r="J799" i="15" s="1"/>
  <c r="Q553" i="15"/>
  <c r="P553" i="15"/>
  <c r="R553" i="15" s="1"/>
  <c r="I800" i="15" l="1"/>
  <c r="H800" i="15"/>
  <c r="J800" i="15" s="1"/>
  <c r="AG62" i="15"/>
  <c r="AF62" i="15"/>
  <c r="AH62" i="15" s="1"/>
  <c r="Y308" i="15"/>
  <c r="X308" i="15"/>
  <c r="Z308" i="15" s="1"/>
  <c r="AC185" i="15"/>
  <c r="AB185" i="15"/>
  <c r="AD185" i="15" s="1"/>
  <c r="M677" i="15"/>
  <c r="L677" i="15"/>
  <c r="N677" i="15" s="1"/>
  <c r="Q554" i="15"/>
  <c r="P554" i="15"/>
  <c r="R554" i="15" s="1"/>
  <c r="U431" i="15"/>
  <c r="T431" i="15"/>
  <c r="V431" i="15" s="1"/>
  <c r="U432" i="15" l="1"/>
  <c r="T432" i="15"/>
  <c r="V432" i="15" s="1"/>
  <c r="M678" i="15"/>
  <c r="L678" i="15"/>
  <c r="N678" i="15" s="1"/>
  <c r="Y309" i="15"/>
  <c r="X309" i="15"/>
  <c r="Z309" i="15" s="1"/>
  <c r="I801" i="15"/>
  <c r="H801" i="15"/>
  <c r="J801" i="15" s="1"/>
  <c r="Q555" i="15"/>
  <c r="P555" i="15"/>
  <c r="R555" i="15" s="1"/>
  <c r="AC186" i="15"/>
  <c r="AB186" i="15"/>
  <c r="AD186" i="15" s="1"/>
  <c r="AG63" i="15"/>
  <c r="AF63" i="15"/>
  <c r="AH63" i="15" s="1"/>
  <c r="AG64" i="15" l="1"/>
  <c r="AF64" i="15"/>
  <c r="AH64" i="15" s="1"/>
  <c r="Q556" i="15"/>
  <c r="P556" i="15"/>
  <c r="R556" i="15" s="1"/>
  <c r="Y310" i="15"/>
  <c r="X310" i="15"/>
  <c r="Z310" i="15" s="1"/>
  <c r="U433" i="15"/>
  <c r="T433" i="15"/>
  <c r="V433" i="15" s="1"/>
  <c r="AC187" i="15"/>
  <c r="AB187" i="15"/>
  <c r="AD187" i="15" s="1"/>
  <c r="I802" i="15"/>
  <c r="H802" i="15"/>
  <c r="J802" i="15" s="1"/>
  <c r="M679" i="15"/>
  <c r="L679" i="15"/>
  <c r="N679" i="15" s="1"/>
  <c r="I803" i="15" l="1"/>
  <c r="H803" i="15"/>
  <c r="J803" i="15" s="1"/>
  <c r="AC188" i="15"/>
  <c r="AB188" i="15"/>
  <c r="AD188" i="15" s="1"/>
  <c r="U434" i="15"/>
  <c r="T434" i="15"/>
  <c r="V434" i="15" s="1"/>
  <c r="Y311" i="15"/>
  <c r="X311" i="15"/>
  <c r="Z311" i="15" s="1"/>
  <c r="AG65" i="15"/>
  <c r="AF65" i="15"/>
  <c r="AH65" i="15" s="1"/>
  <c r="M680" i="15"/>
  <c r="L680" i="15"/>
  <c r="N680" i="15" s="1"/>
  <c r="Q557" i="15"/>
  <c r="P557" i="15"/>
  <c r="R557" i="15" s="1"/>
  <c r="M681" i="15" l="1"/>
  <c r="L681" i="15"/>
  <c r="N681" i="15" s="1"/>
  <c r="AG66" i="15"/>
  <c r="AF66" i="15"/>
  <c r="AH66" i="15" s="1"/>
  <c r="Y312" i="15"/>
  <c r="X312" i="15"/>
  <c r="Z312" i="15" s="1"/>
  <c r="AC189" i="15"/>
  <c r="AB189" i="15"/>
  <c r="AD189" i="15" s="1"/>
  <c r="I804" i="15"/>
  <c r="H804" i="15"/>
  <c r="J804" i="15" s="1"/>
  <c r="Q558" i="15"/>
  <c r="P558" i="15"/>
  <c r="R558" i="15" s="1"/>
  <c r="U435" i="15"/>
  <c r="T435" i="15"/>
  <c r="V435" i="15" s="1"/>
  <c r="U436" i="15" l="1"/>
  <c r="T436" i="15"/>
  <c r="V436" i="15" s="1"/>
  <c r="Q559" i="15"/>
  <c r="P559" i="15"/>
  <c r="R559" i="15" s="1"/>
  <c r="I805" i="15"/>
  <c r="H805" i="15"/>
  <c r="J805" i="15" s="1"/>
  <c r="AC190" i="15"/>
  <c r="AB190" i="15"/>
  <c r="AD190" i="15" s="1"/>
  <c r="Y313" i="15"/>
  <c r="X313" i="15"/>
  <c r="Z313" i="15" s="1"/>
  <c r="AG67" i="15"/>
  <c r="AF67" i="15"/>
  <c r="AH67" i="15" s="1"/>
  <c r="M682" i="15"/>
  <c r="L682" i="15"/>
  <c r="N682" i="15" s="1"/>
  <c r="M683" i="15" l="1"/>
  <c r="L683" i="15"/>
  <c r="N683" i="15" s="1"/>
  <c r="Y314" i="15"/>
  <c r="X314" i="15"/>
  <c r="Z314" i="15" s="1"/>
  <c r="I806" i="15"/>
  <c r="H806" i="15"/>
  <c r="J806" i="15" s="1"/>
  <c r="U437" i="15"/>
  <c r="T437" i="15"/>
  <c r="V437" i="15" s="1"/>
  <c r="AG68" i="15"/>
  <c r="AF68" i="15"/>
  <c r="AH68" i="15" s="1"/>
  <c r="AC191" i="15"/>
  <c r="AB191" i="15"/>
  <c r="AD191" i="15" s="1"/>
  <c r="Q560" i="15"/>
  <c r="P560" i="15"/>
  <c r="R560" i="15" s="1"/>
  <c r="AC192" i="15" l="1"/>
  <c r="AB192" i="15"/>
  <c r="AD192" i="15" s="1"/>
  <c r="AG69" i="15"/>
  <c r="AF69" i="15"/>
  <c r="AH69" i="15" s="1"/>
  <c r="I807" i="15"/>
  <c r="H807" i="15"/>
  <c r="J807" i="15" s="1"/>
  <c r="M684" i="15"/>
  <c r="L684" i="15"/>
  <c r="N684" i="15" s="1"/>
  <c r="Q561" i="15"/>
  <c r="P561" i="15"/>
  <c r="R561" i="15" s="1"/>
  <c r="U438" i="15"/>
  <c r="T438" i="15"/>
  <c r="V438" i="15" s="1"/>
  <c r="Y315" i="15"/>
  <c r="X315" i="15"/>
  <c r="Z315" i="15" s="1"/>
  <c r="U439" i="15" l="1"/>
  <c r="T439" i="15"/>
  <c r="V439" i="15" s="1"/>
  <c r="M685" i="15"/>
  <c r="L685" i="15"/>
  <c r="N685" i="15" s="1"/>
  <c r="I808" i="15"/>
  <c r="H808" i="15"/>
  <c r="J808" i="15" s="1"/>
  <c r="AC193" i="15"/>
  <c r="AB193" i="15"/>
  <c r="AD193" i="15" s="1"/>
  <c r="Y316" i="15"/>
  <c r="X316" i="15"/>
  <c r="Z316" i="15" s="1"/>
  <c r="Q562" i="15"/>
  <c r="P562" i="15"/>
  <c r="R562" i="15" s="1"/>
  <c r="AG70" i="15"/>
  <c r="AF70" i="15"/>
  <c r="AH70" i="15" s="1"/>
  <c r="Q563" i="15" l="1"/>
  <c r="P563" i="15"/>
  <c r="R563" i="15" s="1"/>
  <c r="AC194" i="15"/>
  <c r="AB194" i="15"/>
  <c r="AD194" i="15" s="1"/>
  <c r="I809" i="15"/>
  <c r="H809" i="15"/>
  <c r="J809" i="15" s="1"/>
  <c r="U440" i="15"/>
  <c r="T440" i="15"/>
  <c r="V440" i="15" s="1"/>
  <c r="AG71" i="15"/>
  <c r="AF71" i="15"/>
  <c r="AH71" i="15" s="1"/>
  <c r="Y317" i="15"/>
  <c r="X317" i="15"/>
  <c r="Z317" i="15" s="1"/>
  <c r="M686" i="15"/>
  <c r="L686" i="15"/>
  <c r="N686" i="15" s="1"/>
  <c r="M687" i="15" l="1"/>
  <c r="L687" i="15"/>
  <c r="N687" i="15" s="1"/>
  <c r="AG72" i="15"/>
  <c r="AF72" i="15"/>
  <c r="AH72" i="15" s="1"/>
  <c r="U441" i="15"/>
  <c r="T441" i="15"/>
  <c r="V441" i="15" s="1"/>
  <c r="I810" i="15"/>
  <c r="H810" i="15"/>
  <c r="J810" i="15" s="1"/>
  <c r="Q564" i="15"/>
  <c r="P564" i="15"/>
  <c r="R564" i="15" s="1"/>
  <c r="Y318" i="15"/>
  <c r="X318" i="15"/>
  <c r="Z318" i="15" s="1"/>
  <c r="AC195" i="15"/>
  <c r="AB195" i="15"/>
  <c r="AD195" i="15" s="1"/>
  <c r="Y319" i="15" l="1"/>
  <c r="X319" i="15"/>
  <c r="Z319" i="15" s="1"/>
  <c r="Q565" i="15"/>
  <c r="P565" i="15"/>
  <c r="R565" i="15" s="1"/>
  <c r="I811" i="15"/>
  <c r="H811" i="15"/>
  <c r="J811" i="15" s="1"/>
  <c r="AG73" i="15"/>
  <c r="AF73" i="15"/>
  <c r="AH73" i="15" s="1"/>
  <c r="M688" i="15"/>
  <c r="L688" i="15"/>
  <c r="N688" i="15" s="1"/>
  <c r="AC196" i="15"/>
  <c r="AB196" i="15"/>
  <c r="AD196" i="15" s="1"/>
  <c r="U442" i="15"/>
  <c r="T442" i="15"/>
  <c r="V442" i="15" s="1"/>
  <c r="U443" i="15" l="1"/>
  <c r="T443" i="15"/>
  <c r="V443" i="15" s="1"/>
  <c r="AC197" i="15"/>
  <c r="AB197" i="15"/>
  <c r="AD197" i="15" s="1"/>
  <c r="M689" i="15"/>
  <c r="L689" i="15"/>
  <c r="N689" i="15" s="1"/>
  <c r="AG74" i="15"/>
  <c r="AF74" i="15"/>
  <c r="AH74" i="15" s="1"/>
  <c r="I812" i="15"/>
  <c r="H812" i="15"/>
  <c r="J812" i="15" s="1"/>
  <c r="Q566" i="15"/>
  <c r="P566" i="15"/>
  <c r="R566" i="15" s="1"/>
  <c r="Y320" i="15"/>
  <c r="X320" i="15"/>
  <c r="Z320" i="15" s="1"/>
  <c r="Q567" i="15" l="1"/>
  <c r="P567" i="15"/>
  <c r="R567" i="15" s="1"/>
  <c r="I813" i="15"/>
  <c r="H813" i="15"/>
  <c r="J813" i="15" s="1"/>
  <c r="AG75" i="15"/>
  <c r="AF75" i="15"/>
  <c r="AH75" i="15" s="1"/>
  <c r="M690" i="15"/>
  <c r="L690" i="15"/>
  <c r="N690" i="15" s="1"/>
  <c r="U444" i="15"/>
  <c r="T444" i="15"/>
  <c r="V444" i="15" s="1"/>
  <c r="Y321" i="15"/>
  <c r="X321" i="15"/>
  <c r="Z321" i="15" s="1"/>
  <c r="AC198" i="15"/>
  <c r="AB198" i="15"/>
  <c r="AD198" i="15" s="1"/>
  <c r="Y322" i="15" l="1"/>
  <c r="X322" i="15"/>
  <c r="Z322" i="15" s="1"/>
  <c r="U445" i="15"/>
  <c r="T445" i="15"/>
  <c r="V445" i="15" s="1"/>
  <c r="M691" i="15"/>
  <c r="L691" i="15"/>
  <c r="N691" i="15" s="1"/>
  <c r="I814" i="15"/>
  <c r="H814" i="15"/>
  <c r="J814" i="15" s="1"/>
  <c r="Q568" i="15"/>
  <c r="P568" i="15"/>
  <c r="R568" i="15" s="1"/>
  <c r="AC199" i="15"/>
  <c r="AB199" i="15"/>
  <c r="AD199" i="15" s="1"/>
  <c r="AG76" i="15"/>
  <c r="AF76" i="15"/>
  <c r="AH76" i="15" s="1"/>
  <c r="AC200" i="15" l="1"/>
  <c r="AB200" i="15"/>
  <c r="AD200" i="15" s="1"/>
  <c r="I815" i="15"/>
  <c r="H815" i="15"/>
  <c r="J815" i="15" s="1"/>
  <c r="M692" i="15"/>
  <c r="L692" i="15"/>
  <c r="N692" i="15" s="1"/>
  <c r="Y323" i="15"/>
  <c r="X323" i="15"/>
  <c r="Z323" i="15" s="1"/>
  <c r="AG77" i="15"/>
  <c r="AF77" i="15"/>
  <c r="AH77" i="15" s="1"/>
  <c r="Q569" i="15"/>
  <c r="P569" i="15"/>
  <c r="R569" i="15" s="1"/>
  <c r="U446" i="15"/>
  <c r="T446" i="15"/>
  <c r="V446" i="15" s="1"/>
  <c r="U447" i="15" l="1"/>
  <c r="T447" i="15"/>
  <c r="V447" i="15" s="1"/>
  <c r="Q570" i="15"/>
  <c r="P570" i="15"/>
  <c r="R570" i="15" s="1"/>
  <c r="AG78" i="15"/>
  <c r="AF78" i="15"/>
  <c r="AH78" i="15" s="1"/>
  <c r="Y324" i="15"/>
  <c r="X324" i="15"/>
  <c r="Z324" i="15" s="1"/>
  <c r="I816" i="15"/>
  <c r="H816" i="15"/>
  <c r="J816" i="15" s="1"/>
  <c r="AC201" i="15"/>
  <c r="AB201" i="15"/>
  <c r="AD201" i="15" s="1"/>
  <c r="M693" i="15"/>
  <c r="L693" i="15"/>
  <c r="N693" i="15" s="1"/>
  <c r="M694" i="15" l="1"/>
  <c r="L694" i="15"/>
  <c r="N694" i="15" s="1"/>
  <c r="AC202" i="15"/>
  <c r="AB202" i="15"/>
  <c r="AD202" i="15" s="1"/>
  <c r="I817" i="15"/>
  <c r="H817" i="15"/>
  <c r="J817" i="15" s="1"/>
  <c r="Y325" i="15"/>
  <c r="X325" i="15"/>
  <c r="Z325" i="15" s="1"/>
  <c r="Q571" i="15"/>
  <c r="P571" i="15"/>
  <c r="R571" i="15" s="1"/>
  <c r="U448" i="15"/>
  <c r="T448" i="15"/>
  <c r="V448" i="15" s="1"/>
  <c r="AG79" i="15"/>
  <c r="AF79" i="15"/>
  <c r="AH79" i="15" s="1"/>
  <c r="U449" i="15" l="1"/>
  <c r="T449" i="15"/>
  <c r="V449" i="15" s="1"/>
  <c r="Q572" i="15"/>
  <c r="P572" i="15"/>
  <c r="R572" i="15" s="1"/>
  <c r="Y326" i="15"/>
  <c r="X326" i="15"/>
  <c r="Z326" i="15" s="1"/>
  <c r="AC203" i="15"/>
  <c r="AB203" i="15"/>
  <c r="AD203" i="15" s="1"/>
  <c r="M695" i="15"/>
  <c r="L695" i="15"/>
  <c r="N695" i="15" s="1"/>
  <c r="AG80" i="15"/>
  <c r="AF80" i="15"/>
  <c r="AH80" i="15" s="1"/>
  <c r="I818" i="15"/>
  <c r="H818" i="15"/>
  <c r="J818" i="15" s="1"/>
  <c r="I819" i="15" l="1"/>
  <c r="H819" i="15"/>
  <c r="J819" i="15" s="1"/>
  <c r="AG81" i="15"/>
  <c r="AF81" i="15"/>
  <c r="AH81" i="15" s="1"/>
  <c r="M696" i="15"/>
  <c r="L696" i="15"/>
  <c r="N696" i="15" s="1"/>
  <c r="AC204" i="15"/>
  <c r="AB204" i="15"/>
  <c r="AD204" i="15" s="1"/>
  <c r="Y327" i="15"/>
  <c r="X327" i="15"/>
  <c r="Z327" i="15" s="1"/>
  <c r="Q573" i="15"/>
  <c r="P573" i="15"/>
  <c r="R573" i="15" s="1"/>
  <c r="U450" i="15"/>
  <c r="T450" i="15"/>
  <c r="V450" i="15" s="1"/>
  <c r="Q574" i="15" l="1"/>
  <c r="P574" i="15"/>
  <c r="R574" i="15" s="1"/>
  <c r="Y328" i="15"/>
  <c r="X328" i="15"/>
  <c r="Z328" i="15" s="1"/>
  <c r="AC205" i="15"/>
  <c r="AB205" i="15"/>
  <c r="AD205" i="15" s="1"/>
  <c r="AG82" i="15"/>
  <c r="AF82" i="15"/>
  <c r="AH82" i="15" s="1"/>
  <c r="I820" i="15"/>
  <c r="H820" i="15"/>
  <c r="J820" i="15" s="1"/>
  <c r="U451" i="15"/>
  <c r="T451" i="15"/>
  <c r="V451" i="15" s="1"/>
  <c r="M697" i="15"/>
  <c r="L697" i="15"/>
  <c r="N697" i="15" s="1"/>
  <c r="M698" i="15" l="1"/>
  <c r="L698" i="15"/>
  <c r="N698" i="15" s="1"/>
  <c r="I821" i="15"/>
  <c r="H821" i="15"/>
  <c r="J821" i="15" s="1"/>
  <c r="AG83" i="15"/>
  <c r="AF83" i="15"/>
  <c r="AH83" i="15" s="1"/>
  <c r="AC206" i="15"/>
  <c r="AB206" i="15"/>
  <c r="AD206" i="15" s="1"/>
  <c r="Q575" i="15"/>
  <c r="P575" i="15"/>
  <c r="R575" i="15" s="1"/>
  <c r="U452" i="15"/>
  <c r="T452" i="15"/>
  <c r="V452" i="15" s="1"/>
  <c r="Y329" i="15"/>
  <c r="X329" i="15"/>
  <c r="Z329" i="15" s="1"/>
  <c r="U453" i="15" l="1"/>
  <c r="T453" i="15"/>
  <c r="V453" i="15" s="1"/>
  <c r="Q576" i="15"/>
  <c r="P576" i="15"/>
  <c r="R576" i="15" s="1"/>
  <c r="AG84" i="15"/>
  <c r="AF84" i="15"/>
  <c r="AH84" i="15" s="1"/>
  <c r="M699" i="15"/>
  <c r="L699" i="15"/>
  <c r="N699" i="15" s="1"/>
  <c r="Y330" i="15"/>
  <c r="X330" i="15"/>
  <c r="Z330" i="15" s="1"/>
  <c r="AC207" i="15"/>
  <c r="AB207" i="15"/>
  <c r="AD207" i="15" s="1"/>
  <c r="I822" i="15"/>
  <c r="H822" i="15"/>
  <c r="J822" i="15" s="1"/>
  <c r="I823" i="15" l="1"/>
  <c r="H823" i="15"/>
  <c r="J823" i="15" s="1"/>
  <c r="AC208" i="15"/>
  <c r="AB208" i="15"/>
  <c r="AD208" i="15" s="1"/>
  <c r="Y331" i="15"/>
  <c r="X331" i="15"/>
  <c r="Z331" i="15" s="1"/>
  <c r="AG85" i="15"/>
  <c r="AF85" i="15"/>
  <c r="AH85" i="15" s="1"/>
  <c r="Q577" i="15"/>
  <c r="P577" i="15"/>
  <c r="R577" i="15" s="1"/>
  <c r="U454" i="15"/>
  <c r="T454" i="15"/>
  <c r="V454" i="15" s="1"/>
  <c r="M700" i="15"/>
  <c r="L700" i="15"/>
  <c r="N700" i="15" s="1"/>
  <c r="U455" i="15" l="1"/>
  <c r="T455" i="15"/>
  <c r="V455" i="15" s="1"/>
  <c r="Q578" i="15"/>
  <c r="P578" i="15"/>
  <c r="R578" i="15" s="1"/>
  <c r="AG86" i="15"/>
  <c r="AF86" i="15"/>
  <c r="AH86" i="15" s="1"/>
  <c r="AC209" i="15"/>
  <c r="AB209" i="15"/>
  <c r="AD209" i="15" s="1"/>
  <c r="I824" i="15"/>
  <c r="H824" i="15"/>
  <c r="J824" i="15" s="1"/>
  <c r="M701" i="15"/>
  <c r="L701" i="15"/>
  <c r="N701" i="15" s="1"/>
  <c r="Y332" i="15"/>
  <c r="X332" i="15"/>
  <c r="Z332" i="15" s="1"/>
  <c r="M702" i="15" l="1"/>
  <c r="L702" i="15"/>
  <c r="N702" i="15" s="1"/>
  <c r="I825" i="15"/>
  <c r="H825" i="15"/>
  <c r="J825" i="15" s="1"/>
  <c r="AC210" i="15"/>
  <c r="AB210" i="15"/>
  <c r="AD210" i="15" s="1"/>
  <c r="Q579" i="15"/>
  <c r="P579" i="15"/>
  <c r="R579" i="15" s="1"/>
  <c r="U456" i="15"/>
  <c r="T456" i="15"/>
  <c r="V456" i="15" s="1"/>
  <c r="Y333" i="15"/>
  <c r="X333" i="15"/>
  <c r="Z333" i="15" s="1"/>
  <c r="AG87" i="15"/>
  <c r="AF87" i="15"/>
  <c r="AH87" i="15" s="1"/>
  <c r="Y334" i="15" l="1"/>
  <c r="X334" i="15"/>
  <c r="Z334" i="15" s="1"/>
  <c r="U457" i="15"/>
  <c r="T457" i="15"/>
  <c r="V457" i="15" s="1"/>
  <c r="Q580" i="15"/>
  <c r="P580" i="15"/>
  <c r="R580" i="15" s="1"/>
  <c r="AC211" i="15"/>
  <c r="AB211" i="15"/>
  <c r="AD211" i="15" s="1"/>
  <c r="M703" i="15"/>
  <c r="L703" i="15"/>
  <c r="N703" i="15" s="1"/>
  <c r="AG88" i="15"/>
  <c r="AF88" i="15"/>
  <c r="AH88" i="15" s="1"/>
  <c r="I826" i="15"/>
  <c r="H826" i="15"/>
  <c r="J826" i="15" s="1"/>
  <c r="I827" i="15" l="1"/>
  <c r="H827" i="15"/>
  <c r="J827" i="15" s="1"/>
  <c r="M704" i="15"/>
  <c r="L704" i="15"/>
  <c r="N704" i="15" s="1"/>
  <c r="AC212" i="15"/>
  <c r="AB212" i="15"/>
  <c r="AD212" i="15" s="1"/>
  <c r="Q581" i="15"/>
  <c r="P581" i="15"/>
  <c r="R581" i="15" s="1"/>
  <c r="Y335" i="15"/>
  <c r="X335" i="15"/>
  <c r="Z335" i="15" s="1"/>
  <c r="AG89" i="15"/>
  <c r="AF89" i="15"/>
  <c r="AH89" i="15" s="1"/>
  <c r="U458" i="15"/>
  <c r="T458" i="15"/>
  <c r="V458" i="15" s="1"/>
  <c r="AG90" i="15" l="1"/>
  <c r="AF90" i="15"/>
  <c r="AH90" i="15" s="1"/>
  <c r="Y336" i="15"/>
  <c r="X336" i="15"/>
  <c r="Z336" i="15" s="1"/>
  <c r="Q582" i="15"/>
  <c r="P582" i="15"/>
  <c r="R582" i="15" s="1"/>
  <c r="M705" i="15"/>
  <c r="L705" i="15"/>
  <c r="N705" i="15" s="1"/>
  <c r="I828" i="15"/>
  <c r="H828" i="15"/>
  <c r="J828" i="15" s="1"/>
  <c r="U459" i="15"/>
  <c r="T459" i="15"/>
  <c r="V459" i="15" s="1"/>
  <c r="AC213" i="15"/>
  <c r="AB213" i="15"/>
  <c r="AD213" i="15" s="1"/>
  <c r="U460" i="15" l="1"/>
  <c r="T460" i="15"/>
  <c r="V460" i="15" s="1"/>
  <c r="M706" i="15"/>
  <c r="L706" i="15"/>
  <c r="N706" i="15" s="1"/>
  <c r="Q583" i="15"/>
  <c r="P583" i="15"/>
  <c r="R583" i="15" s="1"/>
  <c r="AG91" i="15"/>
  <c r="AF91" i="15"/>
  <c r="AH91" i="15" s="1"/>
  <c r="AC214" i="15"/>
  <c r="AB214" i="15"/>
  <c r="AD214" i="15" s="1"/>
  <c r="I829" i="15"/>
  <c r="H829" i="15"/>
  <c r="J829" i="15" s="1"/>
  <c r="Y337" i="15"/>
  <c r="X337" i="15"/>
  <c r="Z337" i="15" s="1"/>
  <c r="Y338" i="15" l="1"/>
  <c r="X338" i="15"/>
  <c r="Z338" i="15" s="1"/>
  <c r="AC215" i="15"/>
  <c r="AB215" i="15"/>
  <c r="AD215" i="15" s="1"/>
  <c r="Q584" i="15"/>
  <c r="P584" i="15"/>
  <c r="R584" i="15" s="1"/>
  <c r="U461" i="15"/>
  <c r="T461" i="15"/>
  <c r="V461" i="15" s="1"/>
  <c r="I830" i="15"/>
  <c r="H830" i="15"/>
  <c r="J830" i="15" s="1"/>
  <c r="AG92" i="15"/>
  <c r="AF92" i="15"/>
  <c r="AH92" i="15" s="1"/>
  <c r="M707" i="15"/>
  <c r="L707" i="15"/>
  <c r="N707" i="15" s="1"/>
  <c r="AG93" i="15" l="1"/>
  <c r="AF93" i="15"/>
  <c r="AH93" i="15" s="1"/>
  <c r="I831" i="15"/>
  <c r="H831" i="15"/>
  <c r="J831" i="15" s="1"/>
  <c r="Q585" i="15"/>
  <c r="P585" i="15"/>
  <c r="R585" i="15" s="1"/>
  <c r="Y339" i="15"/>
  <c r="X339" i="15"/>
  <c r="Z339" i="15" s="1"/>
  <c r="M708" i="15"/>
  <c r="L708" i="15"/>
  <c r="N708" i="15" s="1"/>
  <c r="U462" i="15"/>
  <c r="T462" i="15"/>
  <c r="V462" i="15" s="1"/>
  <c r="AC216" i="15"/>
  <c r="AB216" i="15"/>
  <c r="AD216" i="15" s="1"/>
  <c r="AC217" i="15" l="1"/>
  <c r="AB217" i="15"/>
  <c r="AD217" i="15" s="1"/>
  <c r="M709" i="15"/>
  <c r="L709" i="15"/>
  <c r="N709" i="15" s="1"/>
  <c r="Y340" i="15"/>
  <c r="X340" i="15"/>
  <c r="Z340" i="15" s="1"/>
  <c r="Q586" i="15"/>
  <c r="P586" i="15"/>
  <c r="R586" i="15" s="1"/>
  <c r="AG94" i="15"/>
  <c r="AF94" i="15"/>
  <c r="AH94" i="15" s="1"/>
  <c r="U463" i="15"/>
  <c r="T463" i="15"/>
  <c r="V463" i="15" s="1"/>
  <c r="I832" i="15"/>
  <c r="H832" i="15"/>
  <c r="J832" i="15" s="1"/>
  <c r="I833" i="15" l="1"/>
  <c r="H833" i="15"/>
  <c r="J833" i="15" s="1"/>
  <c r="U464" i="15"/>
  <c r="T464" i="15"/>
  <c r="V464" i="15" s="1"/>
  <c r="AG95" i="15"/>
  <c r="AF95" i="15"/>
  <c r="AH95" i="15" s="1"/>
  <c r="Q587" i="15"/>
  <c r="P587" i="15"/>
  <c r="R587" i="15" s="1"/>
  <c r="M710" i="15"/>
  <c r="L710" i="15"/>
  <c r="N710" i="15" s="1"/>
  <c r="AC218" i="15"/>
  <c r="AB218" i="15"/>
  <c r="AD218" i="15" s="1"/>
  <c r="Y341" i="15"/>
  <c r="X341" i="15"/>
  <c r="Z341" i="15" s="1"/>
  <c r="Y342" i="15" l="1"/>
  <c r="X342" i="15"/>
  <c r="Z342" i="15" s="1"/>
  <c r="AC219" i="15"/>
  <c r="AB219" i="15"/>
  <c r="AD219" i="15" s="1"/>
  <c r="M711" i="15"/>
  <c r="L711" i="15"/>
  <c r="N711" i="15" s="1"/>
  <c r="Q588" i="15"/>
  <c r="P588" i="15"/>
  <c r="R588" i="15" s="1"/>
  <c r="AG96" i="15"/>
  <c r="AF96" i="15"/>
  <c r="AH96" i="15" s="1"/>
  <c r="U465" i="15"/>
  <c r="T465" i="15"/>
  <c r="V465" i="15" s="1"/>
  <c r="I834" i="15"/>
  <c r="H834" i="15"/>
  <c r="J834" i="15" s="1"/>
  <c r="U466" i="15" l="1"/>
  <c r="T466" i="15"/>
  <c r="V466" i="15" s="1"/>
  <c r="AG97" i="15"/>
  <c r="AF97" i="15"/>
  <c r="AH97" i="15" s="1"/>
  <c r="M712" i="15"/>
  <c r="L712" i="15"/>
  <c r="N712" i="15" s="1"/>
  <c r="Y343" i="15"/>
  <c r="X343" i="15"/>
  <c r="Z343" i="15" s="1"/>
  <c r="I835" i="15"/>
  <c r="H835" i="15"/>
  <c r="J835" i="15" s="1"/>
  <c r="Q589" i="15"/>
  <c r="P589" i="15"/>
  <c r="R589" i="15" s="1"/>
  <c r="AC220" i="15"/>
  <c r="AB220" i="15"/>
  <c r="AD220" i="15" s="1"/>
  <c r="Q590" i="15" l="1"/>
  <c r="P590" i="15"/>
  <c r="R590" i="15" s="1"/>
  <c r="Y344" i="15"/>
  <c r="X344" i="15"/>
  <c r="Z344" i="15" s="1"/>
  <c r="M713" i="15"/>
  <c r="L713" i="15"/>
  <c r="N713" i="15" s="1"/>
  <c r="U467" i="15"/>
  <c r="T467" i="15"/>
  <c r="V467" i="15" s="1"/>
  <c r="AC221" i="15"/>
  <c r="AB221" i="15"/>
  <c r="AD221" i="15" s="1"/>
  <c r="I836" i="15"/>
  <c r="H836" i="15"/>
  <c r="J836" i="15" s="1"/>
  <c r="AG98" i="15"/>
  <c r="AF98" i="15"/>
  <c r="AH98" i="15" s="1"/>
  <c r="I837" i="15" l="1"/>
  <c r="H837" i="15"/>
  <c r="J837" i="15" s="1"/>
  <c r="U468" i="15"/>
  <c r="T468" i="15"/>
  <c r="V468" i="15" s="1"/>
  <c r="M714" i="15"/>
  <c r="L714" i="15"/>
  <c r="N714" i="15" s="1"/>
  <c r="Q591" i="15"/>
  <c r="P591" i="15"/>
  <c r="R591" i="15" s="1"/>
  <c r="AG99" i="15"/>
  <c r="AF99" i="15"/>
  <c r="AH99" i="15" s="1"/>
  <c r="AC222" i="15"/>
  <c r="AB222" i="15"/>
  <c r="AD222" i="15" s="1"/>
  <c r="Y345" i="15"/>
  <c r="X345" i="15"/>
  <c r="Z345" i="15" s="1"/>
  <c r="AC223" i="15" l="1"/>
  <c r="AB223" i="15"/>
  <c r="AD223" i="15" s="1"/>
  <c r="AG100" i="15"/>
  <c r="AF100" i="15"/>
  <c r="AH100" i="15" s="1"/>
  <c r="M715" i="15"/>
  <c r="L715" i="15"/>
  <c r="N715" i="15" s="1"/>
  <c r="I838" i="15"/>
  <c r="H838" i="15"/>
  <c r="J838" i="15" s="1"/>
  <c r="Y346" i="15"/>
  <c r="X346" i="15"/>
  <c r="Z346" i="15" s="1"/>
  <c r="Q592" i="15"/>
  <c r="P592" i="15"/>
  <c r="R592" i="15" s="1"/>
  <c r="U469" i="15"/>
  <c r="T469" i="15"/>
  <c r="V469" i="15" s="1"/>
  <c r="U470" i="15" l="1"/>
  <c r="T470" i="15"/>
  <c r="V470" i="15" s="1"/>
  <c r="Y347" i="15"/>
  <c r="X347" i="15"/>
  <c r="Z347" i="15" s="1"/>
  <c r="I839" i="15"/>
  <c r="H839" i="15"/>
  <c r="J839" i="15" s="1"/>
  <c r="M716" i="15"/>
  <c r="L716" i="15"/>
  <c r="N716" i="15" s="1"/>
  <c r="AC224" i="15"/>
  <c r="AB224" i="15"/>
  <c r="AD224" i="15" s="1"/>
  <c r="Q593" i="15"/>
  <c r="P593" i="15"/>
  <c r="R593" i="15" s="1"/>
  <c r="AG101" i="15"/>
  <c r="AF101" i="15"/>
  <c r="AH101" i="15" s="1"/>
  <c r="AG102" i="15" l="1"/>
  <c r="AF102" i="15"/>
  <c r="AH102" i="15" s="1"/>
  <c r="AC225" i="15"/>
  <c r="AB225" i="15"/>
  <c r="AD225" i="15" s="1"/>
  <c r="M717" i="15"/>
  <c r="L717" i="15"/>
  <c r="N717" i="15" s="1"/>
  <c r="Y348" i="15"/>
  <c r="X348" i="15"/>
  <c r="Z348" i="15" s="1"/>
  <c r="U471" i="15"/>
  <c r="T471" i="15"/>
  <c r="V471" i="15" s="1"/>
  <c r="Q594" i="15"/>
  <c r="P594" i="15"/>
  <c r="R594" i="15" s="1"/>
  <c r="I840" i="15"/>
  <c r="H840" i="15"/>
  <c r="J840" i="15" s="1"/>
  <c r="Q595" i="15" l="1"/>
  <c r="P595" i="15"/>
  <c r="R595" i="15" s="1"/>
  <c r="U472" i="15"/>
  <c r="T472" i="15"/>
  <c r="V472" i="15" s="1"/>
  <c r="Y349" i="15"/>
  <c r="X349" i="15"/>
  <c r="Z349" i="15" s="1"/>
  <c r="AC226" i="15"/>
  <c r="AB226" i="15"/>
  <c r="AD226" i="15" s="1"/>
  <c r="AG103" i="15"/>
  <c r="AF103" i="15"/>
  <c r="AH103" i="15" s="1"/>
  <c r="I841" i="15"/>
  <c r="H841" i="15"/>
  <c r="J841" i="15" s="1"/>
  <c r="M718" i="15"/>
  <c r="L718" i="15"/>
  <c r="N718" i="15" s="1"/>
  <c r="M719" i="15" l="1"/>
  <c r="L719" i="15"/>
  <c r="N719" i="15" s="1"/>
  <c r="AG104" i="15"/>
  <c r="AF104" i="15"/>
  <c r="AH104" i="15" s="1"/>
  <c r="Y350" i="15"/>
  <c r="X350" i="15"/>
  <c r="Z350" i="15" s="1"/>
  <c r="Q596" i="15"/>
  <c r="P596" i="15"/>
  <c r="R596" i="15" s="1"/>
  <c r="I842" i="15"/>
  <c r="H842" i="15"/>
  <c r="J842" i="15" s="1"/>
  <c r="AC227" i="15"/>
  <c r="AB227" i="15"/>
  <c r="AD227" i="15" s="1"/>
  <c r="U473" i="15"/>
  <c r="T473" i="15"/>
  <c r="V473" i="15" s="1"/>
  <c r="U474" i="15" l="1"/>
  <c r="T474" i="15"/>
  <c r="V474" i="15" s="1"/>
  <c r="I843" i="15"/>
  <c r="H843" i="15"/>
  <c r="J843" i="15" s="1"/>
  <c r="Y351" i="15"/>
  <c r="X351" i="15"/>
  <c r="Z351" i="15" s="1"/>
  <c r="M720" i="15"/>
  <c r="L720" i="15"/>
  <c r="N720" i="15" s="1"/>
  <c r="AC228" i="15"/>
  <c r="AB228" i="15"/>
  <c r="AD228" i="15" s="1"/>
  <c r="Q597" i="15"/>
  <c r="P597" i="15"/>
  <c r="R597" i="15" s="1"/>
  <c r="AG105" i="15"/>
  <c r="AF105" i="15"/>
  <c r="AH105" i="15" s="1"/>
  <c r="U475" i="15" l="1"/>
  <c r="T475" i="15"/>
  <c r="V475" i="15" s="1"/>
  <c r="AG106" i="15"/>
  <c r="AF106" i="15"/>
  <c r="AH106" i="15" s="1"/>
  <c r="Q598" i="15"/>
  <c r="P598" i="15"/>
  <c r="R598" i="15" s="1"/>
  <c r="AC229" i="15"/>
  <c r="AB229" i="15"/>
  <c r="AD229" i="15" s="1"/>
  <c r="M721" i="15"/>
  <c r="L721" i="15"/>
  <c r="N721" i="15" s="1"/>
  <c r="Y352" i="15"/>
  <c r="X352" i="15"/>
  <c r="Z352" i="15" s="1"/>
  <c r="I844" i="15"/>
  <c r="H844" i="15"/>
  <c r="J844" i="15" s="1"/>
  <c r="I845" i="15" l="1"/>
  <c r="H845" i="15"/>
  <c r="J845" i="15" s="1"/>
  <c r="Y353" i="15"/>
  <c r="X353" i="15"/>
  <c r="Z353" i="15" s="1"/>
  <c r="M722" i="15"/>
  <c r="L722" i="15"/>
  <c r="N722" i="15" s="1"/>
  <c r="AC230" i="15"/>
  <c r="AB230" i="15"/>
  <c r="AD230" i="15" s="1"/>
  <c r="AG107" i="15"/>
  <c r="AF107" i="15"/>
  <c r="AH107" i="15" s="1"/>
  <c r="U476" i="15"/>
  <c r="T476" i="15"/>
  <c r="V476" i="15" s="1"/>
  <c r="Q599" i="15"/>
  <c r="P599" i="15"/>
  <c r="R599" i="15" s="1"/>
  <c r="I846" i="15" l="1"/>
  <c r="H846" i="15"/>
  <c r="J846" i="15" s="1"/>
  <c r="Q600" i="15"/>
  <c r="P600" i="15"/>
  <c r="R600" i="15" s="1"/>
  <c r="U477" i="15"/>
  <c r="T477" i="15"/>
  <c r="V477" i="15" s="1"/>
  <c r="AG108" i="15"/>
  <c r="AF108" i="15"/>
  <c r="AH108" i="15" s="1"/>
  <c r="AC231" i="15"/>
  <c r="AB231" i="15"/>
  <c r="AD231" i="15" s="1"/>
  <c r="M723" i="15"/>
  <c r="L723" i="15"/>
  <c r="N723" i="15" s="1"/>
  <c r="Y354" i="15"/>
  <c r="X354" i="15"/>
  <c r="Z354" i="15" s="1"/>
  <c r="M724" i="15" l="1"/>
  <c r="L724" i="15"/>
  <c r="N724" i="15" s="1"/>
  <c r="AC232" i="15"/>
  <c r="AB232" i="15"/>
  <c r="AD232" i="15" s="1"/>
  <c r="AG109" i="15"/>
  <c r="AF109" i="15"/>
  <c r="AH109" i="15" s="1"/>
  <c r="Q601" i="15"/>
  <c r="P601" i="15"/>
  <c r="R601" i="15" s="1"/>
  <c r="I847" i="15"/>
  <c r="H847" i="15"/>
  <c r="J847" i="15" s="1"/>
  <c r="Y355" i="15"/>
  <c r="X355" i="15"/>
  <c r="Z355" i="15" s="1"/>
  <c r="U478" i="15"/>
  <c r="T478" i="15"/>
  <c r="V478" i="15" s="1"/>
  <c r="Y356" i="15" l="1"/>
  <c r="X356" i="15"/>
  <c r="Z356" i="15" s="1"/>
  <c r="I848" i="15"/>
  <c r="H848" i="15"/>
  <c r="J848" i="15" s="1"/>
  <c r="Q602" i="15"/>
  <c r="P602" i="15"/>
  <c r="R602" i="15" s="1"/>
  <c r="AG110" i="15"/>
  <c r="AF110" i="15"/>
  <c r="AH110" i="15" s="1"/>
  <c r="M725" i="15"/>
  <c r="L725" i="15"/>
  <c r="N725" i="15" s="1"/>
  <c r="U479" i="15"/>
  <c r="T479" i="15"/>
  <c r="V479" i="15" s="1"/>
  <c r="AC233" i="15"/>
  <c r="AB233" i="15"/>
  <c r="AD233" i="15" s="1"/>
  <c r="U480" i="15" l="1"/>
  <c r="T480" i="15"/>
  <c r="V480" i="15" s="1"/>
  <c r="AG111" i="15"/>
  <c r="AF111" i="15"/>
  <c r="AH111" i="15" s="1"/>
  <c r="Q603" i="15"/>
  <c r="P603" i="15"/>
  <c r="R603" i="15" s="1"/>
  <c r="Y357" i="15"/>
  <c r="X357" i="15"/>
  <c r="Z357" i="15" s="1"/>
  <c r="AC234" i="15"/>
  <c r="AB234" i="15"/>
  <c r="AD234" i="15" s="1"/>
  <c r="M726" i="15"/>
  <c r="L726" i="15"/>
  <c r="N726" i="15" s="1"/>
  <c r="I849" i="15"/>
  <c r="H849" i="15"/>
  <c r="J849" i="15" s="1"/>
  <c r="M727" i="15" l="1"/>
  <c r="L727" i="15"/>
  <c r="N727" i="15" s="1"/>
  <c r="AC235" i="15"/>
  <c r="AB235" i="15"/>
  <c r="AD235" i="15" s="1"/>
  <c r="Q604" i="15"/>
  <c r="P604" i="15"/>
  <c r="R604" i="15" s="1"/>
  <c r="U481" i="15"/>
  <c r="T481" i="15"/>
  <c r="V481" i="15" s="1"/>
  <c r="I850" i="15"/>
  <c r="H850" i="15"/>
  <c r="J850" i="15" s="1"/>
  <c r="Y358" i="15"/>
  <c r="X358" i="15"/>
  <c r="Z358" i="15" s="1"/>
  <c r="AG112" i="15"/>
  <c r="AF112" i="15"/>
  <c r="AH112" i="15" s="1"/>
  <c r="Y359" i="15" l="1"/>
  <c r="X359" i="15"/>
  <c r="Z359" i="15" s="1"/>
  <c r="I851" i="15"/>
  <c r="H851" i="15"/>
  <c r="J851" i="15" s="1"/>
  <c r="U482" i="15"/>
  <c r="T482" i="15"/>
  <c r="V482" i="15" s="1"/>
  <c r="AC236" i="15"/>
  <c r="AB236" i="15"/>
  <c r="AD236" i="15" s="1"/>
  <c r="M728" i="15"/>
  <c r="L728" i="15"/>
  <c r="N728" i="15" s="1"/>
  <c r="AG113" i="15"/>
  <c r="AF113" i="15"/>
  <c r="AH113" i="15" s="1"/>
  <c r="Q605" i="15"/>
  <c r="P605" i="15"/>
  <c r="R605" i="15" s="1"/>
  <c r="Q606" i="15" l="1"/>
  <c r="P606" i="15"/>
  <c r="R606" i="15" s="1"/>
  <c r="AG114" i="15"/>
  <c r="AF114" i="15"/>
  <c r="AH114" i="15" s="1"/>
  <c r="M729" i="15"/>
  <c r="L729" i="15"/>
  <c r="N729" i="15" s="1"/>
  <c r="AC237" i="15"/>
  <c r="AB237" i="15"/>
  <c r="AD237" i="15" s="1"/>
  <c r="U483" i="15"/>
  <c r="T483" i="15"/>
  <c r="V483" i="15" s="1"/>
  <c r="I852" i="15"/>
  <c r="H852" i="15"/>
  <c r="J852" i="15" s="1"/>
  <c r="Y360" i="15"/>
  <c r="X360" i="15"/>
  <c r="Z360" i="15" s="1"/>
  <c r="I853" i="15" l="1"/>
  <c r="H853" i="15"/>
  <c r="J853" i="15" s="1"/>
  <c r="U484" i="15"/>
  <c r="T484" i="15"/>
  <c r="V484" i="15" s="1"/>
  <c r="AC238" i="15"/>
  <c r="AB238" i="15"/>
  <c r="AD238" i="15" s="1"/>
  <c r="M730" i="15"/>
  <c r="L730" i="15"/>
  <c r="N730" i="15" s="1"/>
  <c r="AG115" i="15"/>
  <c r="AF115" i="15"/>
  <c r="AH115" i="15" s="1"/>
  <c r="Q607" i="15"/>
  <c r="P607" i="15"/>
  <c r="R607" i="15" s="1"/>
  <c r="Y361" i="15"/>
  <c r="X361" i="15"/>
  <c r="Z361" i="15" s="1"/>
  <c r="Q608" i="15" l="1"/>
  <c r="P608" i="15"/>
  <c r="R608" i="15" s="1"/>
  <c r="AG116" i="15"/>
  <c r="AF116" i="15"/>
  <c r="AH116" i="15" s="1"/>
  <c r="M731" i="15"/>
  <c r="L731" i="15"/>
  <c r="N731" i="15" s="1"/>
  <c r="AC239" i="15"/>
  <c r="AB239" i="15"/>
  <c r="AD239" i="15" s="1"/>
  <c r="I854" i="15"/>
  <c r="H854" i="15"/>
  <c r="J854" i="15" s="1"/>
  <c r="Y362" i="15"/>
  <c r="X362" i="15"/>
  <c r="Z362" i="15" s="1"/>
  <c r="U485" i="15"/>
  <c r="T485" i="15"/>
  <c r="V485" i="15" s="1"/>
  <c r="Y363" i="15" l="1"/>
  <c r="X363" i="15"/>
  <c r="Z363" i="15" s="1"/>
  <c r="I855" i="15"/>
  <c r="H855" i="15"/>
  <c r="J855" i="15" s="1"/>
  <c r="AC240" i="15"/>
  <c r="AB240" i="15"/>
  <c r="AD240" i="15" s="1"/>
  <c r="AG117" i="15"/>
  <c r="AF117" i="15"/>
  <c r="AH117" i="15" s="1"/>
  <c r="Q609" i="15"/>
  <c r="P609" i="15"/>
  <c r="R609" i="15" s="1"/>
  <c r="U486" i="15"/>
  <c r="T486" i="15"/>
  <c r="V486" i="15" s="1"/>
  <c r="M732" i="15"/>
  <c r="L732" i="15"/>
  <c r="N732" i="15" s="1"/>
  <c r="M733" i="15" l="1"/>
  <c r="L733" i="15"/>
  <c r="N733" i="15" s="1"/>
  <c r="U487" i="15"/>
  <c r="T487" i="15"/>
  <c r="V487" i="15" s="1"/>
  <c r="Q610" i="15"/>
  <c r="P610" i="15"/>
  <c r="R610" i="15" s="1"/>
  <c r="AG118" i="15"/>
  <c r="AF118" i="15"/>
  <c r="AH118" i="15" s="1"/>
  <c r="I856" i="15"/>
  <c r="H856" i="15"/>
  <c r="J856" i="15" s="1"/>
  <c r="Y364" i="15"/>
  <c r="X364" i="15"/>
  <c r="Z364" i="15" s="1"/>
  <c r="AC241" i="15"/>
  <c r="AB241" i="15"/>
  <c r="AD241" i="15" s="1"/>
  <c r="Y365" i="15" l="1"/>
  <c r="X365" i="15"/>
  <c r="Z365" i="15" s="1"/>
  <c r="AG119" i="15"/>
  <c r="AF119" i="15"/>
  <c r="AH119" i="15" s="1"/>
  <c r="Q611" i="15"/>
  <c r="P611" i="15"/>
  <c r="R611" i="15" s="1"/>
  <c r="M734" i="15"/>
  <c r="L734" i="15"/>
  <c r="N734" i="15" s="1"/>
  <c r="AC242" i="15"/>
  <c r="AB242" i="15"/>
  <c r="AD242" i="15" s="1"/>
  <c r="I857" i="15"/>
  <c r="H857" i="15"/>
  <c r="J857" i="15" s="1"/>
  <c r="U488" i="15"/>
  <c r="T488" i="15"/>
  <c r="V488" i="15" s="1"/>
  <c r="I858" i="15" l="1"/>
  <c r="H858" i="15"/>
  <c r="J858" i="15" s="1"/>
  <c r="M735" i="15"/>
  <c r="L735" i="15"/>
  <c r="N735" i="15" s="1"/>
  <c r="Q612" i="15"/>
  <c r="P612" i="15"/>
  <c r="R612" i="15" s="1"/>
  <c r="Y366" i="15"/>
  <c r="X366" i="15"/>
  <c r="Z366" i="15" s="1"/>
  <c r="U489" i="15"/>
  <c r="T489" i="15"/>
  <c r="V489" i="15" s="1"/>
  <c r="AC243" i="15"/>
  <c r="AB243" i="15"/>
  <c r="AD243" i="15" s="1"/>
  <c r="AG120" i="15"/>
  <c r="AF120" i="15"/>
  <c r="AH120" i="15" s="1"/>
  <c r="AC244" i="15" l="1"/>
  <c r="AB244" i="15"/>
  <c r="AD244" i="15" s="1"/>
  <c r="Y367" i="15"/>
  <c r="X367" i="15"/>
  <c r="Z367" i="15" s="1"/>
  <c r="Q613" i="15"/>
  <c r="P613" i="15"/>
  <c r="R613" i="15" s="1"/>
  <c r="I859" i="15"/>
  <c r="H859" i="15"/>
  <c r="J859" i="15" s="1"/>
  <c r="AG121" i="15"/>
  <c r="AF121" i="15"/>
  <c r="AH121" i="15" s="1"/>
  <c r="U490" i="15"/>
  <c r="T490" i="15"/>
  <c r="V490" i="15" s="1"/>
  <c r="M736" i="15"/>
  <c r="L736" i="15"/>
  <c r="N736" i="15" s="1"/>
  <c r="M737" i="15" l="1"/>
  <c r="L737" i="15"/>
  <c r="N737" i="15" s="1"/>
  <c r="AG122" i="15"/>
  <c r="AF122" i="15"/>
  <c r="AH122" i="15" s="1"/>
  <c r="Q614" i="15"/>
  <c r="P614" i="15"/>
  <c r="R614" i="15" s="1"/>
  <c r="AC245" i="15"/>
  <c r="AB245" i="15"/>
  <c r="AD245" i="15" s="1"/>
  <c r="U491" i="15"/>
  <c r="T491" i="15"/>
  <c r="V491" i="15" s="1"/>
  <c r="I860" i="15"/>
  <c r="H860" i="15"/>
  <c r="J860" i="15" s="1"/>
  <c r="Y368" i="15"/>
  <c r="X368" i="15"/>
  <c r="Z368" i="15" s="1"/>
  <c r="Y369" i="15" l="1"/>
  <c r="X369" i="15"/>
  <c r="Z369" i="15" s="1"/>
  <c r="I861" i="15"/>
  <c r="H861" i="15"/>
  <c r="J861" i="15" s="1"/>
  <c r="U492" i="15"/>
  <c r="T492" i="15"/>
  <c r="V492" i="15" s="1"/>
  <c r="AC246" i="15"/>
  <c r="AB246" i="15"/>
  <c r="AD246" i="15" s="1"/>
  <c r="Q615" i="15"/>
  <c r="P615" i="15"/>
  <c r="R615" i="15" s="1"/>
  <c r="AG123" i="15"/>
  <c r="AF123" i="15"/>
  <c r="AH123" i="15" s="1"/>
  <c r="M738" i="15"/>
  <c r="L738" i="15"/>
  <c r="N738" i="15" s="1"/>
  <c r="M739" i="15" l="1"/>
  <c r="L739" i="15"/>
  <c r="N739" i="15" s="1"/>
  <c r="Q616" i="15"/>
  <c r="P616" i="15"/>
  <c r="R616" i="15" s="1"/>
  <c r="U493" i="15"/>
  <c r="T493" i="15"/>
  <c r="V493" i="15" s="1"/>
  <c r="Y370" i="15"/>
  <c r="X370" i="15"/>
  <c r="Z370" i="15" s="1"/>
  <c r="AG124" i="15"/>
  <c r="AF124" i="15"/>
  <c r="AH124" i="15" s="1"/>
  <c r="AC247" i="15"/>
  <c r="AB247" i="15"/>
  <c r="AD247" i="15" s="1"/>
  <c r="I862" i="15"/>
  <c r="H862" i="15"/>
  <c r="J862" i="15" s="1"/>
  <c r="AC248" i="15" l="1"/>
  <c r="AB248" i="15"/>
  <c r="AD248" i="15" s="1"/>
  <c r="AG125" i="15"/>
  <c r="AF125" i="15"/>
  <c r="AH125" i="15" s="1"/>
  <c r="Y371" i="15"/>
  <c r="X371" i="15"/>
  <c r="Z371" i="15" s="1"/>
  <c r="U494" i="15"/>
  <c r="T494" i="15"/>
  <c r="V494" i="15" s="1"/>
  <c r="M740" i="15"/>
  <c r="L740" i="15"/>
  <c r="N740" i="15" s="1"/>
  <c r="I863" i="15"/>
  <c r="H863" i="15"/>
  <c r="J863" i="15" s="1"/>
  <c r="Q617" i="15"/>
  <c r="P617" i="15"/>
  <c r="R617" i="15" s="1"/>
  <c r="I864" i="15" l="1"/>
  <c r="H864" i="15"/>
  <c r="J864" i="15" s="1"/>
  <c r="M741" i="15"/>
  <c r="L741" i="15"/>
  <c r="N741" i="15" s="1"/>
  <c r="U495" i="15"/>
  <c r="T495" i="15"/>
  <c r="V495" i="15" s="1"/>
  <c r="AG126" i="15"/>
  <c r="AF126" i="15"/>
  <c r="AH126" i="15" s="1"/>
  <c r="AC249" i="15"/>
  <c r="AB249" i="15"/>
  <c r="AD249" i="15" s="1"/>
  <c r="Q618" i="15"/>
  <c r="P618" i="15"/>
  <c r="R618" i="15" s="1"/>
  <c r="Y372" i="15"/>
  <c r="X372" i="15"/>
  <c r="Z372" i="15" s="1"/>
  <c r="Q619" i="15" l="1"/>
  <c r="P619" i="15"/>
  <c r="R619" i="15" s="1"/>
  <c r="AC250" i="15"/>
  <c r="AB250" i="15"/>
  <c r="AD250" i="15" s="1"/>
  <c r="AG127" i="15"/>
  <c r="AF127" i="15"/>
  <c r="AH127" i="15" s="1"/>
  <c r="M742" i="15"/>
  <c r="L742" i="15"/>
  <c r="N742" i="15" s="1"/>
  <c r="I865" i="15"/>
  <c r="H865" i="15"/>
  <c r="J865" i="15" s="1"/>
  <c r="Y373" i="15"/>
  <c r="X373" i="15"/>
  <c r="Z373" i="15" s="1"/>
  <c r="U496" i="15"/>
  <c r="T496" i="15"/>
  <c r="V496" i="15" s="1"/>
  <c r="Y374" i="15" l="1"/>
  <c r="X374" i="15"/>
  <c r="Z374" i="15" s="1"/>
  <c r="M743" i="15"/>
  <c r="L743" i="15"/>
  <c r="N743" i="15" s="1"/>
  <c r="AG128" i="15"/>
  <c r="AF128" i="15"/>
  <c r="AH128" i="15" s="1"/>
  <c r="Q620" i="15"/>
  <c r="P620" i="15"/>
  <c r="R620" i="15" s="1"/>
  <c r="U497" i="15"/>
  <c r="T497" i="15"/>
  <c r="V497" i="15" s="1"/>
  <c r="I866" i="15"/>
  <c r="H866" i="15"/>
  <c r="J866" i="15" s="1"/>
  <c r="AC251" i="15"/>
  <c r="AB251" i="15"/>
  <c r="AD251" i="15" s="1"/>
  <c r="AC252" i="15" l="1"/>
  <c r="AB252" i="15"/>
  <c r="AD252" i="15" s="1"/>
  <c r="U498" i="15"/>
  <c r="T498" i="15"/>
  <c r="V498" i="15" s="1"/>
  <c r="Q621" i="15"/>
  <c r="P621" i="15"/>
  <c r="R621" i="15" s="1"/>
  <c r="AG129" i="15"/>
  <c r="AF129" i="15"/>
  <c r="AH129" i="15" s="1"/>
  <c r="Y375" i="15"/>
  <c r="X375" i="15"/>
  <c r="Z375" i="15" s="1"/>
  <c r="I867" i="15"/>
  <c r="H867" i="15"/>
  <c r="J867" i="15" s="1"/>
  <c r="M744" i="15"/>
  <c r="L744" i="15"/>
  <c r="N744" i="15" s="1"/>
  <c r="M745" i="15" l="1"/>
  <c r="L745" i="15"/>
  <c r="N745" i="15" s="1"/>
  <c r="I868" i="15"/>
  <c r="H868" i="15"/>
  <c r="J868" i="15" s="1"/>
  <c r="Y376" i="15"/>
  <c r="X376" i="15"/>
  <c r="Z376" i="15" s="1"/>
  <c r="AG130" i="15"/>
  <c r="AF130" i="15"/>
  <c r="AH130" i="15" s="1"/>
  <c r="U499" i="15"/>
  <c r="T499" i="15"/>
  <c r="V499" i="15" s="1"/>
  <c r="AC253" i="15"/>
  <c r="AB253" i="15"/>
  <c r="AD253" i="15" s="1"/>
  <c r="Q622" i="15"/>
  <c r="P622" i="15"/>
  <c r="R622" i="15" s="1"/>
  <c r="Q623" i="15" l="1"/>
  <c r="P623" i="15"/>
  <c r="R623" i="15" s="1"/>
  <c r="U500" i="15"/>
  <c r="T500" i="15"/>
  <c r="V500" i="15" s="1"/>
  <c r="AG131" i="15"/>
  <c r="AF131" i="15"/>
  <c r="AH131" i="15" s="1"/>
  <c r="Y377" i="15"/>
  <c r="X377" i="15"/>
  <c r="Z377" i="15" s="1"/>
  <c r="M746" i="15"/>
  <c r="L746" i="15"/>
  <c r="N746" i="15" s="1"/>
  <c r="AC254" i="15"/>
  <c r="AB254" i="15"/>
  <c r="AD254" i="15" s="1"/>
  <c r="I869" i="15"/>
  <c r="H869" i="15"/>
  <c r="J869" i="15" s="1"/>
  <c r="I870" i="15" l="1"/>
  <c r="H870" i="15"/>
  <c r="J870" i="15" s="1"/>
  <c r="AC255" i="15"/>
  <c r="AB255" i="15"/>
  <c r="AD255" i="15" s="1"/>
  <c r="M747" i="15"/>
  <c r="L747" i="15"/>
  <c r="N747" i="15" s="1"/>
  <c r="Y378" i="15"/>
  <c r="X378" i="15"/>
  <c r="Z378" i="15" s="1"/>
  <c r="AG132" i="15"/>
  <c r="AF132" i="15"/>
  <c r="AH132" i="15" s="1"/>
  <c r="U501" i="15"/>
  <c r="T501" i="15"/>
  <c r="V501" i="15" s="1"/>
  <c r="Q624" i="15"/>
  <c r="P624" i="15"/>
  <c r="R624" i="15" s="1"/>
  <c r="Q625" i="15" l="1"/>
  <c r="P625" i="15"/>
  <c r="R625" i="15" s="1"/>
  <c r="AG133" i="15"/>
  <c r="AF133" i="15"/>
  <c r="AH133" i="15" s="1"/>
  <c r="M748" i="15"/>
  <c r="L748" i="15"/>
  <c r="N748" i="15" s="1"/>
  <c r="I871" i="15"/>
  <c r="H871" i="15"/>
  <c r="J871" i="15" s="1"/>
  <c r="U502" i="15"/>
  <c r="T502" i="15"/>
  <c r="V502" i="15" s="1"/>
  <c r="Y379" i="15"/>
  <c r="X379" i="15"/>
  <c r="Z379" i="15" s="1"/>
  <c r="AC256" i="15"/>
  <c r="AB256" i="15"/>
  <c r="AD256" i="15" s="1"/>
  <c r="AC257" i="15" l="1"/>
  <c r="AB257" i="15"/>
  <c r="AD257" i="15" s="1"/>
  <c r="U503" i="15"/>
  <c r="T503" i="15"/>
  <c r="V503" i="15" s="1"/>
  <c r="M749" i="15"/>
  <c r="L749" i="15"/>
  <c r="N749" i="15" s="1"/>
  <c r="Q626" i="15"/>
  <c r="P626" i="15"/>
  <c r="R626" i="15" s="1"/>
  <c r="Y380" i="15"/>
  <c r="X380" i="15"/>
  <c r="Z380" i="15" s="1"/>
  <c r="I872" i="15"/>
  <c r="H872" i="15"/>
  <c r="J872" i="15" s="1"/>
  <c r="AG134" i="15"/>
  <c r="AF134" i="15"/>
  <c r="AH134" i="15" s="1"/>
  <c r="AG135" i="15" l="1"/>
  <c r="AF135" i="15"/>
  <c r="AH135" i="15" s="1"/>
  <c r="Y381" i="15"/>
  <c r="X381" i="15"/>
  <c r="Z381" i="15" s="1"/>
  <c r="M750" i="15"/>
  <c r="L750" i="15"/>
  <c r="N750" i="15" s="1"/>
  <c r="AC258" i="15"/>
  <c r="AB258" i="15"/>
  <c r="AD258" i="15" s="1"/>
  <c r="I873" i="15"/>
  <c r="H873" i="15"/>
  <c r="J873" i="15" s="1"/>
  <c r="Q627" i="15"/>
  <c r="P627" i="15"/>
  <c r="R627" i="15" s="1"/>
  <c r="U504" i="15"/>
  <c r="T504" i="15"/>
  <c r="V504" i="15" s="1"/>
  <c r="Q628" i="15" l="1"/>
  <c r="P628" i="15"/>
  <c r="R628" i="15" s="1"/>
  <c r="I874" i="15"/>
  <c r="H874" i="15"/>
  <c r="J874" i="15" s="1"/>
  <c r="M751" i="15"/>
  <c r="L751" i="15"/>
  <c r="N751" i="15" s="1"/>
  <c r="AG136" i="15"/>
  <c r="AF136" i="15"/>
  <c r="AH136" i="15" s="1"/>
  <c r="U505" i="15"/>
  <c r="T505" i="15"/>
  <c r="V505" i="15" s="1"/>
  <c r="AC259" i="15"/>
  <c r="AB259" i="15"/>
  <c r="AD259" i="15" s="1"/>
  <c r="Y382" i="15"/>
  <c r="X382" i="15"/>
  <c r="Z382" i="15" s="1"/>
  <c r="Y383" i="15" l="1"/>
  <c r="X383" i="15"/>
  <c r="Z383" i="15" s="1"/>
  <c r="AC260" i="15"/>
  <c r="AB260" i="15"/>
  <c r="AD260" i="15" s="1"/>
  <c r="U506" i="15"/>
  <c r="T506" i="15"/>
  <c r="V506" i="15" s="1"/>
  <c r="AG137" i="15"/>
  <c r="AF137" i="15"/>
  <c r="AH137" i="15" s="1"/>
  <c r="M752" i="15"/>
  <c r="L752" i="15"/>
  <c r="N752" i="15" s="1"/>
  <c r="Q629" i="15"/>
  <c r="P629" i="15"/>
  <c r="R629" i="15" s="1"/>
  <c r="I875" i="15"/>
  <c r="H875" i="15"/>
  <c r="J875" i="15" s="1"/>
  <c r="I876" i="15" l="1"/>
  <c r="H876" i="15"/>
  <c r="J876" i="15" s="1"/>
  <c r="Q630" i="15"/>
  <c r="P630" i="15"/>
  <c r="R630" i="15" s="1"/>
  <c r="M753" i="15"/>
  <c r="L753" i="15"/>
  <c r="N753" i="15" s="1"/>
  <c r="AG138" i="15"/>
  <c r="AF138" i="15"/>
  <c r="AH138" i="15" s="1"/>
  <c r="AC261" i="15"/>
  <c r="AB261" i="15"/>
  <c r="AD261" i="15" s="1"/>
  <c r="Y384" i="15"/>
  <c r="X384" i="15"/>
  <c r="Z384" i="15" s="1"/>
  <c r="U507" i="15"/>
  <c r="T507" i="15"/>
  <c r="V507" i="15" s="1"/>
  <c r="U508" i="15" l="1"/>
  <c r="T508" i="15"/>
  <c r="V508" i="15" s="1"/>
  <c r="AC262" i="15"/>
  <c r="AB262" i="15"/>
  <c r="AD262" i="15" s="1"/>
  <c r="AG139" i="15"/>
  <c r="AF139" i="15"/>
  <c r="AH139" i="15" s="1"/>
  <c r="M754" i="15"/>
  <c r="L754" i="15"/>
  <c r="N754" i="15" s="1"/>
  <c r="I877" i="15"/>
  <c r="H877" i="15"/>
  <c r="J877" i="15" s="1"/>
  <c r="Y385" i="15"/>
  <c r="X385" i="15"/>
  <c r="Z385" i="15" s="1"/>
  <c r="Q631" i="15"/>
  <c r="P631" i="15"/>
  <c r="R631" i="15" s="1"/>
  <c r="Y386" i="15" l="1"/>
  <c r="X386" i="15"/>
  <c r="Z386" i="15" s="1"/>
  <c r="M755" i="15"/>
  <c r="L755" i="15"/>
  <c r="N755" i="15" s="1"/>
  <c r="AG140" i="15"/>
  <c r="AF140" i="15"/>
  <c r="AH140" i="15" s="1"/>
  <c r="U509" i="15"/>
  <c r="T509" i="15"/>
  <c r="V509" i="15" s="1"/>
  <c r="Q632" i="15"/>
  <c r="P632" i="15"/>
  <c r="R632" i="15" s="1"/>
  <c r="I878" i="15"/>
  <c r="H878" i="15"/>
  <c r="J878" i="15" s="1"/>
  <c r="AC263" i="15"/>
  <c r="AB263" i="15"/>
  <c r="AD263" i="15" s="1"/>
  <c r="AC264" i="15" l="1"/>
  <c r="AB264" i="15"/>
  <c r="AD264" i="15" s="1"/>
  <c r="I879" i="15"/>
  <c r="H879" i="15"/>
  <c r="J879" i="15" s="1"/>
  <c r="Q633" i="15"/>
  <c r="P633" i="15"/>
  <c r="R633" i="15" s="1"/>
  <c r="U510" i="15"/>
  <c r="T510" i="15"/>
  <c r="V510" i="15" s="1"/>
  <c r="AG141" i="15"/>
  <c r="AF141" i="15"/>
  <c r="AH141" i="15" s="1"/>
  <c r="M756" i="15"/>
  <c r="L756" i="15"/>
  <c r="N756" i="15" s="1"/>
  <c r="Y387" i="15"/>
  <c r="X387" i="15"/>
  <c r="Z387" i="15" s="1"/>
  <c r="Y388" i="15" l="1"/>
  <c r="X388" i="15"/>
  <c r="Z388" i="15" s="1"/>
  <c r="AG142" i="15"/>
  <c r="AF142" i="15"/>
  <c r="AH142" i="15" s="1"/>
  <c r="Q634" i="15"/>
  <c r="P634" i="15"/>
  <c r="R634" i="15" s="1"/>
  <c r="AC265" i="15"/>
  <c r="AB265" i="15"/>
  <c r="AD265" i="15" s="1"/>
  <c r="M757" i="15"/>
  <c r="L757" i="15"/>
  <c r="N757" i="15" s="1"/>
  <c r="U511" i="15"/>
  <c r="T511" i="15"/>
  <c r="V511" i="15" s="1"/>
  <c r="I880" i="15"/>
  <c r="H880" i="15"/>
  <c r="J880" i="15" s="1"/>
  <c r="I881" i="15" l="1"/>
  <c r="H881" i="15"/>
  <c r="J881" i="15" s="1"/>
  <c r="U512" i="15"/>
  <c r="T512" i="15"/>
  <c r="V512" i="15" s="1"/>
  <c r="M758" i="15"/>
  <c r="L758" i="15"/>
  <c r="N758" i="15" s="1"/>
  <c r="AC266" i="15"/>
  <c r="AB266" i="15"/>
  <c r="AD266" i="15" s="1"/>
  <c r="Q635" i="15"/>
  <c r="P635" i="15"/>
  <c r="R635" i="15" s="1"/>
  <c r="AG143" i="15"/>
  <c r="AF143" i="15"/>
  <c r="AH143" i="15" s="1"/>
  <c r="Y389" i="15"/>
  <c r="X389" i="15"/>
  <c r="Z389" i="15" s="1"/>
  <c r="AG144" i="15" l="1"/>
  <c r="AF144" i="15"/>
  <c r="AH144" i="15" s="1"/>
  <c r="Q636" i="15"/>
  <c r="P636" i="15"/>
  <c r="R636" i="15" s="1"/>
  <c r="AC267" i="15"/>
  <c r="AB267" i="15"/>
  <c r="AD267" i="15" s="1"/>
  <c r="U513" i="15"/>
  <c r="T513" i="15"/>
  <c r="V513" i="15" s="1"/>
  <c r="I882" i="15"/>
  <c r="H882" i="15"/>
  <c r="J882" i="15" s="1"/>
  <c r="Y390" i="15"/>
  <c r="X390" i="15"/>
  <c r="Z390" i="15" s="1"/>
  <c r="M759" i="15"/>
  <c r="L759" i="15"/>
  <c r="N759" i="15" s="1"/>
  <c r="M760" i="15" l="1"/>
  <c r="L760" i="15"/>
  <c r="N760" i="15" s="1"/>
  <c r="Y391" i="15"/>
  <c r="X391" i="15"/>
  <c r="Z391" i="15" s="1"/>
  <c r="I883" i="15"/>
  <c r="H883" i="15"/>
  <c r="J883" i="15" s="1"/>
  <c r="U514" i="15"/>
  <c r="T514" i="15"/>
  <c r="V514" i="15" s="1"/>
  <c r="Q637" i="15"/>
  <c r="P637" i="15"/>
  <c r="R637" i="15" s="1"/>
  <c r="AG145" i="15"/>
  <c r="AF145" i="15"/>
  <c r="AH145" i="15" s="1"/>
  <c r="AC268" i="15"/>
  <c r="AB268" i="15"/>
  <c r="AD268" i="15" s="1"/>
  <c r="AC269" i="15" l="1"/>
  <c r="AB269" i="15"/>
  <c r="AD269" i="15" s="1"/>
  <c r="AG146" i="15"/>
  <c r="AF146" i="15"/>
  <c r="AH146" i="15" s="1"/>
  <c r="U515" i="15"/>
  <c r="T515" i="15"/>
  <c r="V515" i="15" s="1"/>
  <c r="I884" i="15"/>
  <c r="H884" i="15"/>
  <c r="J884" i="15" s="1"/>
  <c r="M761" i="15"/>
  <c r="L761" i="15"/>
  <c r="N761" i="15" s="1"/>
  <c r="Q638" i="15"/>
  <c r="P638" i="15"/>
  <c r="R638" i="15" s="1"/>
  <c r="Y392" i="15"/>
  <c r="X392" i="15"/>
  <c r="Z392" i="15" s="1"/>
  <c r="Y393" i="15" l="1"/>
  <c r="X393" i="15"/>
  <c r="Z393" i="15" s="1"/>
  <c r="M762" i="15"/>
  <c r="L762" i="15"/>
  <c r="N762" i="15" s="1"/>
  <c r="I885" i="15"/>
  <c r="H885" i="15"/>
  <c r="J885" i="15" s="1"/>
  <c r="U516" i="15"/>
  <c r="T516" i="15"/>
  <c r="V516" i="15" s="1"/>
  <c r="AC270" i="15"/>
  <c r="AB270" i="15"/>
  <c r="AD270" i="15" s="1"/>
  <c r="Q639" i="15"/>
  <c r="P639" i="15"/>
  <c r="R639" i="15" s="1"/>
  <c r="K10" i="15"/>
  <c r="AG147" i="15"/>
  <c r="AH147" i="15" s="1"/>
  <c r="AF147" i="15"/>
  <c r="Q640" i="15" l="1"/>
  <c r="P640" i="15"/>
  <c r="R640" i="15" s="1"/>
  <c r="AC271" i="15"/>
  <c r="AB271" i="15"/>
  <c r="AD271" i="15" s="1"/>
  <c r="U517" i="15"/>
  <c r="T517" i="15"/>
  <c r="V517" i="15" s="1"/>
  <c r="M763" i="15"/>
  <c r="L763" i="15"/>
  <c r="N763" i="15" s="1"/>
  <c r="Y394" i="15"/>
  <c r="X394" i="15"/>
  <c r="Z394" i="15" s="1"/>
  <c r="AG148" i="15"/>
  <c r="AF148" i="15"/>
  <c r="AH148" i="15" s="1"/>
  <c r="I886" i="15"/>
  <c r="H886" i="15"/>
  <c r="J886" i="15" s="1"/>
  <c r="H11" i="15"/>
  <c r="L10" i="15"/>
  <c r="D11" i="15" s="1"/>
  <c r="C11" i="15" s="1"/>
  <c r="M10" i="15"/>
  <c r="F11" i="15"/>
  <c r="E11" i="15" s="1"/>
  <c r="AG149" i="15" l="1"/>
  <c r="AF149" i="15"/>
  <c r="AH149" i="15" s="1"/>
  <c r="Y395" i="15"/>
  <c r="X395" i="15"/>
  <c r="Z395" i="15" s="1"/>
  <c r="M764" i="15"/>
  <c r="L764" i="15"/>
  <c r="N764" i="15" s="1"/>
  <c r="U518" i="15"/>
  <c r="T518" i="15"/>
  <c r="V518" i="15" s="1"/>
  <c r="Q641" i="15"/>
  <c r="P641" i="15"/>
  <c r="R641" i="15" s="1"/>
  <c r="I887" i="15"/>
  <c r="H887" i="15"/>
  <c r="J887" i="15" s="1"/>
  <c r="AC272" i="15"/>
  <c r="AB272" i="15"/>
  <c r="AD272" i="15" s="1"/>
  <c r="AI27" i="15"/>
  <c r="J11" i="15"/>
  <c r="AI28" i="15"/>
  <c r="AI29" i="15"/>
  <c r="AI30" i="15"/>
  <c r="AI31" i="15"/>
  <c r="AI32" i="15"/>
  <c r="AI33" i="15"/>
  <c r="AI34" i="15"/>
  <c r="AI35" i="15"/>
  <c r="AI36" i="15"/>
  <c r="AI37" i="15"/>
  <c r="AI38" i="15"/>
  <c r="AI39" i="15"/>
  <c r="AI40" i="15"/>
  <c r="AI41" i="15"/>
  <c r="AI42" i="15"/>
  <c r="AI43" i="15"/>
  <c r="AI44" i="15"/>
  <c r="AI45" i="15"/>
  <c r="AI46" i="15"/>
  <c r="AI47" i="15"/>
  <c r="AI48" i="15"/>
  <c r="AI49" i="15"/>
  <c r="AI50" i="15"/>
  <c r="AI51" i="15"/>
  <c r="AI52" i="15"/>
  <c r="AI53" i="15"/>
  <c r="AI54" i="15"/>
  <c r="AI55" i="15"/>
  <c r="AI56" i="15"/>
  <c r="AI57" i="15"/>
  <c r="AI58" i="15"/>
  <c r="AI59" i="15"/>
  <c r="AI60" i="15"/>
  <c r="AI61" i="15"/>
  <c r="AI62" i="15"/>
  <c r="AI63" i="15"/>
  <c r="AI64" i="15"/>
  <c r="AI65" i="15"/>
  <c r="AI66" i="15"/>
  <c r="AI67" i="15"/>
  <c r="AI68" i="15"/>
  <c r="AI69" i="15"/>
  <c r="AI70" i="15"/>
  <c r="AI71" i="15"/>
  <c r="AI72" i="15"/>
  <c r="AI73" i="15"/>
  <c r="AI74" i="15"/>
  <c r="AI75" i="15"/>
  <c r="AI76" i="15"/>
  <c r="AI77" i="15"/>
  <c r="AI78" i="15"/>
  <c r="AI79" i="15"/>
  <c r="AI80" i="15"/>
  <c r="AI81" i="15"/>
  <c r="AI82" i="15"/>
  <c r="AI83" i="15"/>
  <c r="AI84" i="15"/>
  <c r="AI85" i="15"/>
  <c r="AI86" i="15"/>
  <c r="AI87" i="15"/>
  <c r="AI88" i="15"/>
  <c r="AI89" i="15"/>
  <c r="AI90" i="15"/>
  <c r="AI91" i="15"/>
  <c r="AI92" i="15"/>
  <c r="AI93" i="15"/>
  <c r="AI94" i="15"/>
  <c r="AI95" i="15"/>
  <c r="AI96" i="15"/>
  <c r="AI97" i="15"/>
  <c r="AI98" i="15"/>
  <c r="AI99" i="15"/>
  <c r="AI100" i="15"/>
  <c r="AI101" i="15"/>
  <c r="AI102" i="15"/>
  <c r="AI103" i="15"/>
  <c r="AI104" i="15"/>
  <c r="AI105" i="15"/>
  <c r="AI106" i="15"/>
  <c r="AI107" i="15"/>
  <c r="AI108" i="15"/>
  <c r="AI109" i="15"/>
  <c r="AI110" i="15"/>
  <c r="AI111" i="15"/>
  <c r="AI112" i="15"/>
  <c r="AI113" i="15"/>
  <c r="AI114" i="15"/>
  <c r="AI115" i="15"/>
  <c r="AI116" i="15"/>
  <c r="AI117" i="15"/>
  <c r="AI118" i="15"/>
  <c r="AI119" i="15"/>
  <c r="AI120" i="15"/>
  <c r="AI121" i="15"/>
  <c r="AI122" i="15"/>
  <c r="AI123" i="15"/>
  <c r="AI124" i="15"/>
  <c r="AI125" i="15"/>
  <c r="AI126" i="15"/>
  <c r="AI127" i="15"/>
  <c r="AI128" i="15"/>
  <c r="AI129" i="15"/>
  <c r="AI130" i="15"/>
  <c r="AI131" i="15"/>
  <c r="AI132" i="15"/>
  <c r="AI133" i="15"/>
  <c r="AI134" i="15"/>
  <c r="AI135" i="15"/>
  <c r="AI136" i="15"/>
  <c r="AI137" i="15"/>
  <c r="AI138" i="15"/>
  <c r="AI139" i="15"/>
  <c r="AI140" i="15"/>
  <c r="AI141" i="15"/>
  <c r="AI142" i="15"/>
  <c r="AI143" i="15"/>
  <c r="AI144" i="15"/>
  <c r="AI145" i="15"/>
  <c r="AI146" i="15"/>
  <c r="I11" i="15"/>
  <c r="AI149" i="15"/>
  <c r="AI151" i="15"/>
  <c r="AI153" i="15"/>
  <c r="AI154" i="15"/>
  <c r="AI157" i="15"/>
  <c r="AI159" i="15"/>
  <c r="AI162" i="15"/>
  <c r="AI164" i="15"/>
  <c r="AI168" i="15"/>
  <c r="AI169" i="15"/>
  <c r="AI172" i="15"/>
  <c r="AI175" i="15"/>
  <c r="AI177" i="15"/>
  <c r="AI180" i="15"/>
  <c r="AI182" i="15"/>
  <c r="AI185" i="15"/>
  <c r="AI186" i="15"/>
  <c r="AI192" i="15"/>
  <c r="AI193" i="15"/>
  <c r="AI197" i="15"/>
  <c r="AI200" i="15"/>
  <c r="AI202" i="15"/>
  <c r="AI205" i="15"/>
  <c r="AI209" i="15"/>
  <c r="AI211" i="15"/>
  <c r="AI213" i="15"/>
  <c r="AI216" i="15"/>
  <c r="AI217" i="15"/>
  <c r="AI220" i="15"/>
  <c r="AI222" i="15"/>
  <c r="AI225" i="15"/>
  <c r="AI228" i="15"/>
  <c r="AI230" i="15"/>
  <c r="AI232" i="15"/>
  <c r="AI235" i="15"/>
  <c r="AI236" i="15"/>
  <c r="AI238" i="15"/>
  <c r="AI241" i="15"/>
  <c r="AI245" i="15"/>
  <c r="AI247" i="15"/>
  <c r="AI249" i="15"/>
  <c r="AI252" i="15"/>
  <c r="AI254" i="15"/>
  <c r="AI255" i="15"/>
  <c r="AI259" i="15"/>
  <c r="AI262" i="15"/>
  <c r="AI264" i="15"/>
  <c r="AI266" i="15"/>
  <c r="AI268" i="15"/>
  <c r="AI269" i="15"/>
  <c r="AI272" i="15"/>
  <c r="AI275" i="15"/>
  <c r="AI277" i="15"/>
  <c r="AI279" i="15"/>
  <c r="AI281" i="15"/>
  <c r="AI282" i="15"/>
  <c r="AI286" i="15"/>
  <c r="AI288" i="15"/>
  <c r="AI289" i="15"/>
  <c r="AI291" i="15"/>
  <c r="AI294" i="15"/>
  <c r="AI295" i="15"/>
  <c r="AI297" i="15"/>
  <c r="AI300" i="15"/>
  <c r="AI302" i="15"/>
  <c r="AI305" i="15"/>
  <c r="AI308" i="15"/>
  <c r="AI311" i="15"/>
  <c r="AI314" i="15"/>
  <c r="AI315" i="15"/>
  <c r="AI319" i="15"/>
  <c r="AI322" i="15"/>
  <c r="AI323" i="15"/>
  <c r="AI326" i="15"/>
  <c r="AI328" i="15"/>
  <c r="AI332" i="15"/>
  <c r="AI334" i="15"/>
  <c r="AI336" i="15"/>
  <c r="AI338" i="15"/>
  <c r="AI341" i="15"/>
  <c r="AI342" i="15"/>
  <c r="AI346" i="15"/>
  <c r="AI348" i="15"/>
  <c r="AI349" i="15"/>
  <c r="AI351" i="15"/>
  <c r="AI354" i="15"/>
  <c r="AI356" i="15"/>
  <c r="AI357" i="15"/>
  <c r="AI362" i="15"/>
  <c r="AI364" i="15"/>
  <c r="AI367" i="15"/>
  <c r="AI369" i="15"/>
  <c r="AI371" i="15"/>
  <c r="AI373" i="15"/>
  <c r="AI374" i="15"/>
  <c r="AI379" i="15"/>
  <c r="AI382" i="15"/>
  <c r="AI384" i="15"/>
  <c r="AI387" i="15"/>
  <c r="AI390" i="15"/>
  <c r="AI391" i="15"/>
  <c r="AI396" i="15"/>
  <c r="AI397" i="15"/>
  <c r="AI400" i="15"/>
  <c r="AI404" i="15"/>
  <c r="AI406" i="15"/>
  <c r="AI409" i="15"/>
  <c r="AI410" i="15"/>
  <c r="AI413" i="15"/>
  <c r="AI414" i="15"/>
  <c r="AI416" i="15"/>
  <c r="AI417" i="15"/>
  <c r="AI418" i="15"/>
  <c r="AI421" i="15"/>
  <c r="AI423" i="15"/>
  <c r="AI425" i="15"/>
  <c r="AI426" i="15"/>
  <c r="AI428" i="15"/>
  <c r="AI430" i="15"/>
  <c r="AI432" i="15"/>
  <c r="AI434" i="15"/>
  <c r="AI437" i="15"/>
  <c r="AI439" i="15"/>
  <c r="AI441" i="15"/>
  <c r="AI442" i="15"/>
  <c r="AI446" i="15"/>
  <c r="AI448" i="15"/>
  <c r="AI450" i="15"/>
  <c r="AI453" i="15"/>
  <c r="AI456" i="15"/>
  <c r="AI457" i="15"/>
  <c r="AI459" i="15"/>
  <c r="AI462" i="15"/>
  <c r="AI465" i="15"/>
  <c r="AI467" i="15"/>
  <c r="AI469" i="15"/>
  <c r="AI472" i="15"/>
  <c r="AI473" i="15"/>
  <c r="AI477" i="15"/>
  <c r="AI479" i="15"/>
  <c r="AI481" i="15"/>
  <c r="AI484" i="15"/>
  <c r="AI485" i="15"/>
  <c r="AI488" i="15"/>
  <c r="AI491" i="15"/>
  <c r="AI492" i="15"/>
  <c r="AI495" i="15"/>
  <c r="AI497" i="15"/>
  <c r="AI499" i="15"/>
  <c r="AI501" i="15"/>
  <c r="AI502" i="15"/>
  <c r="AI503" i="15"/>
  <c r="AI505" i="15"/>
  <c r="AI508" i="15"/>
  <c r="AI511" i="15"/>
  <c r="AI512" i="15"/>
  <c r="AI517" i="15"/>
  <c r="AI518" i="15"/>
  <c r="AI522" i="15"/>
  <c r="AI525" i="15"/>
  <c r="AI527" i="15"/>
  <c r="AI528" i="15"/>
  <c r="AI532" i="15"/>
  <c r="AI534" i="15"/>
  <c r="AI536" i="15"/>
  <c r="AI538" i="15"/>
  <c r="AI541" i="15"/>
  <c r="AI544" i="15"/>
  <c r="AI546" i="15"/>
  <c r="AI548" i="15"/>
  <c r="AI551" i="15"/>
  <c r="AI553" i="15"/>
  <c r="AI555" i="15"/>
  <c r="AI558" i="15"/>
  <c r="AI560" i="15"/>
  <c r="AI562" i="15"/>
  <c r="AI565" i="15"/>
  <c r="AI568" i="15"/>
  <c r="AI569" i="15"/>
  <c r="AI573" i="15"/>
  <c r="AI575" i="15"/>
  <c r="AI577" i="15"/>
  <c r="AI579" i="15"/>
  <c r="AI581" i="15"/>
  <c r="AI584" i="15"/>
  <c r="AI585" i="15"/>
  <c r="AI587" i="15"/>
  <c r="AI589" i="15"/>
  <c r="AI590" i="15"/>
  <c r="AI591" i="15"/>
  <c r="AI594" i="15"/>
  <c r="AI596" i="15"/>
  <c r="AI598" i="15"/>
  <c r="AI599" i="15"/>
  <c r="AI600" i="15"/>
  <c r="AI603" i="15"/>
  <c r="AI604" i="15"/>
  <c r="AI606" i="15"/>
  <c r="AI610" i="15"/>
  <c r="AI613" i="15"/>
  <c r="AI617" i="15"/>
  <c r="AI620" i="15"/>
  <c r="AI622" i="15"/>
  <c r="AI626" i="15"/>
  <c r="AI630" i="15"/>
  <c r="AI633" i="15"/>
  <c r="AI636" i="15"/>
  <c r="AI638" i="15"/>
  <c r="AI641" i="15"/>
  <c r="AI642" i="15"/>
  <c r="AI644" i="15"/>
  <c r="AI645" i="15"/>
  <c r="AI648" i="15"/>
  <c r="AI649" i="15"/>
  <c r="AI650" i="15"/>
  <c r="AI653" i="15"/>
  <c r="AI655" i="15"/>
  <c r="AI656" i="15"/>
  <c r="AI658" i="15"/>
  <c r="AI661" i="15"/>
  <c r="AI663" i="15"/>
  <c r="AI664" i="15"/>
  <c r="AI667" i="15"/>
  <c r="AI668" i="15"/>
  <c r="AI670" i="15"/>
  <c r="AI671" i="15"/>
  <c r="AI674" i="15"/>
  <c r="AI675" i="15"/>
  <c r="AI678" i="15"/>
  <c r="AI679" i="15"/>
  <c r="AI680" i="15"/>
  <c r="AI683" i="15"/>
  <c r="AI685" i="15"/>
  <c r="AI687" i="15"/>
  <c r="AI689" i="15"/>
  <c r="AI690" i="15"/>
  <c r="AI694" i="15"/>
  <c r="AI695" i="15"/>
  <c r="AI696" i="15"/>
  <c r="AI699" i="15"/>
  <c r="AI700" i="15"/>
  <c r="AI703" i="15"/>
  <c r="AI705" i="15"/>
  <c r="AI706" i="15"/>
  <c r="AI708" i="15"/>
  <c r="AI710" i="15"/>
  <c r="AI712" i="15"/>
  <c r="AI713" i="15"/>
  <c r="AI716" i="15"/>
  <c r="AI717" i="15"/>
  <c r="AI719" i="15"/>
  <c r="AI722" i="15"/>
  <c r="AI723" i="15"/>
  <c r="AI725" i="15"/>
  <c r="AI727" i="15"/>
  <c r="AI729" i="15"/>
  <c r="AI731" i="15"/>
  <c r="AI732" i="15"/>
  <c r="AI736" i="15"/>
  <c r="AI738" i="15"/>
  <c r="AI740" i="15"/>
  <c r="AI743" i="15"/>
  <c r="AI746" i="15"/>
  <c r="AI748" i="15"/>
  <c r="AI749" i="15"/>
  <c r="AI752" i="15"/>
  <c r="AI753" i="15"/>
  <c r="AI756" i="15"/>
  <c r="AI759" i="15"/>
  <c r="AI761" i="15"/>
  <c r="AI764" i="15"/>
  <c r="AI768" i="15"/>
  <c r="AI769" i="15"/>
  <c r="AI772" i="15"/>
  <c r="AI773" i="15"/>
  <c r="AI776" i="15"/>
  <c r="AI778" i="15"/>
  <c r="AI781" i="15"/>
  <c r="AI782" i="15"/>
  <c r="AI786" i="15"/>
  <c r="AI788" i="15"/>
  <c r="AI789" i="15"/>
  <c r="AI791" i="15"/>
  <c r="AI793" i="15"/>
  <c r="AI794" i="15"/>
  <c r="AI797" i="15"/>
  <c r="AI799" i="15"/>
  <c r="AI801" i="15"/>
  <c r="AI806" i="15"/>
  <c r="AI808" i="15"/>
  <c r="AI810" i="15"/>
  <c r="AI813" i="15"/>
  <c r="AI815" i="15"/>
  <c r="AI817" i="15"/>
  <c r="AI819" i="15"/>
  <c r="AI821" i="15"/>
  <c r="AI824" i="15"/>
  <c r="AI826" i="15"/>
  <c r="AI830" i="15"/>
  <c r="AI833" i="15"/>
  <c r="AI835" i="15"/>
  <c r="AI837" i="15"/>
  <c r="AI839" i="15"/>
  <c r="AI844" i="15"/>
  <c r="AI846" i="15"/>
  <c r="AI848" i="15"/>
  <c r="AI849" i="15"/>
  <c r="AI850" i="15"/>
  <c r="AI851" i="15"/>
  <c r="AI852" i="15"/>
  <c r="AI853" i="15"/>
  <c r="AI854" i="15"/>
  <c r="AI855" i="15"/>
  <c r="AI856" i="15"/>
  <c r="AI857" i="15"/>
  <c r="AI858" i="15"/>
  <c r="AI859" i="15"/>
  <c r="AI860" i="15"/>
  <c r="AI861" i="15"/>
  <c r="AI862" i="15"/>
  <c r="AI863" i="15"/>
  <c r="AI864" i="15"/>
  <c r="AI865" i="15"/>
  <c r="AI866" i="15"/>
  <c r="AI867" i="15"/>
  <c r="AI868" i="15"/>
  <c r="AI869" i="15"/>
  <c r="AI870" i="15"/>
  <c r="AI871" i="15"/>
  <c r="AI872" i="15"/>
  <c r="AI873" i="15"/>
  <c r="AI874" i="15"/>
  <c r="AI875" i="15"/>
  <c r="AI876" i="15"/>
  <c r="AI877" i="15"/>
  <c r="AI878" i="15"/>
  <c r="AI879" i="15"/>
  <c r="AI880" i="15"/>
  <c r="AI881" i="15"/>
  <c r="AI882" i="15"/>
  <c r="AI883" i="15"/>
  <c r="AI884" i="15"/>
  <c r="AI885" i="15"/>
  <c r="AI886" i="15"/>
  <c r="AI887" i="15"/>
  <c r="AI888" i="15"/>
  <c r="AI889" i="15"/>
  <c r="AI890" i="15"/>
  <c r="AI891" i="15"/>
  <c r="AI892" i="15"/>
  <c r="AI893" i="15"/>
  <c r="AI894" i="15"/>
  <c r="AI895" i="15"/>
  <c r="AI896" i="15"/>
  <c r="AI897" i="15"/>
  <c r="AI898" i="15"/>
  <c r="AI899" i="15"/>
  <c r="AI900" i="15"/>
  <c r="AI901" i="15"/>
  <c r="AI902" i="15"/>
  <c r="AI903" i="15"/>
  <c r="AI904" i="15"/>
  <c r="AI905" i="15"/>
  <c r="AI906" i="15"/>
  <c r="AI907" i="15"/>
  <c r="AI908" i="15"/>
  <c r="AI909" i="15"/>
  <c r="AI911" i="15"/>
  <c r="AI912" i="15"/>
  <c r="AI913" i="15"/>
  <c r="AI914" i="15"/>
  <c r="AI915" i="15"/>
  <c r="AI916" i="15"/>
  <c r="AI917" i="15"/>
  <c r="AI918" i="15"/>
  <c r="AI919" i="15"/>
  <c r="AI920" i="15"/>
  <c r="AI921" i="15"/>
  <c r="AI923" i="15"/>
  <c r="AI924" i="15"/>
  <c r="AI925" i="15"/>
  <c r="AI928" i="15"/>
  <c r="AI930" i="15"/>
  <c r="AI931" i="15"/>
  <c r="AI934" i="15"/>
  <c r="AI936" i="15"/>
  <c r="AI938" i="15"/>
  <c r="AI939" i="15"/>
  <c r="AI943" i="15"/>
  <c r="AI944" i="15"/>
  <c r="AI946" i="15"/>
  <c r="AI948" i="15"/>
  <c r="AI950" i="15"/>
  <c r="AI951" i="15"/>
  <c r="AI956" i="15"/>
  <c r="AI957" i="15"/>
  <c r="AI960" i="15"/>
  <c r="AI962" i="15"/>
  <c r="AI965" i="15"/>
  <c r="AI966" i="15"/>
  <c r="AI970" i="15"/>
  <c r="AI972" i="15"/>
  <c r="AI974" i="15"/>
  <c r="AI976" i="15"/>
  <c r="AI979" i="15"/>
  <c r="AI981" i="15"/>
  <c r="AI983" i="15"/>
  <c r="AI986" i="15"/>
  <c r="AI988" i="15"/>
  <c r="AI991" i="15"/>
  <c r="AI992" i="15"/>
  <c r="AI995" i="15"/>
  <c r="AI996" i="15"/>
  <c r="AI998" i="15"/>
  <c r="AI1000" i="15"/>
  <c r="AI1002" i="15"/>
  <c r="AI1004" i="15"/>
  <c r="AI1006" i="15"/>
  <c r="AI1008" i="15"/>
  <c r="AI1011" i="15"/>
  <c r="AI1013" i="15"/>
  <c r="AI1014" i="15"/>
  <c r="AI1017" i="15"/>
  <c r="AI1018" i="15"/>
  <c r="AI1020" i="15"/>
  <c r="AI1022" i="15"/>
  <c r="AI1023" i="15"/>
  <c r="AI1026" i="15"/>
  <c r="AI1027" i="15"/>
  <c r="AI147" i="15"/>
  <c r="AI148" i="15"/>
  <c r="AI150" i="15"/>
  <c r="AI152" i="15"/>
  <c r="AI155" i="15"/>
  <c r="AI156" i="15"/>
  <c r="AI158" i="15"/>
  <c r="AI160" i="15"/>
  <c r="AI161" i="15"/>
  <c r="AI163" i="15"/>
  <c r="AI165" i="15"/>
  <c r="AI166" i="15"/>
  <c r="AI167" i="15"/>
  <c r="AI170" i="15"/>
  <c r="AI171" i="15"/>
  <c r="AI173" i="15"/>
  <c r="AI174" i="15"/>
  <c r="AI176" i="15"/>
  <c r="AI178" i="15"/>
  <c r="AI179" i="15"/>
  <c r="AI181" i="15"/>
  <c r="AI183" i="15"/>
  <c r="AI184" i="15"/>
  <c r="AI187" i="15"/>
  <c r="AI188" i="15"/>
  <c r="AI189" i="15"/>
  <c r="AI190" i="15"/>
  <c r="AI191" i="15"/>
  <c r="AI194" i="15"/>
  <c r="AI195" i="15"/>
  <c r="AI196" i="15"/>
  <c r="AI198" i="15"/>
  <c r="AI199" i="15"/>
  <c r="AI201" i="15"/>
  <c r="AI203" i="15"/>
  <c r="AI204" i="15"/>
  <c r="AI206" i="15"/>
  <c r="AI207" i="15"/>
  <c r="AI208" i="15"/>
  <c r="AI210" i="15"/>
  <c r="AI212" i="15"/>
  <c r="AI214" i="15"/>
  <c r="AI215" i="15"/>
  <c r="AI218" i="15"/>
  <c r="AI219" i="15"/>
  <c r="AI221" i="15"/>
  <c r="AI223" i="15"/>
  <c r="AI224" i="15"/>
  <c r="AI226" i="15"/>
  <c r="AI227" i="15"/>
  <c r="AI229" i="15"/>
  <c r="AI231" i="15"/>
  <c r="AI233" i="15"/>
  <c r="AI234" i="15"/>
  <c r="AI237" i="15"/>
  <c r="AI239" i="15"/>
  <c r="AI240" i="15"/>
  <c r="AI242" i="15"/>
  <c r="AI243" i="15"/>
  <c r="AI244" i="15"/>
  <c r="AI246" i="15"/>
  <c r="AI248" i="15"/>
  <c r="AI250" i="15"/>
  <c r="AI251" i="15"/>
  <c r="AI253" i="15"/>
  <c r="AI256" i="15"/>
  <c r="AI257" i="15"/>
  <c r="AI258" i="15"/>
  <c r="AI260" i="15"/>
  <c r="AI261" i="15"/>
  <c r="AI263" i="15"/>
  <c r="AI265" i="15"/>
  <c r="AI267" i="15"/>
  <c r="AI270" i="15"/>
  <c r="AI271" i="15"/>
  <c r="AI273" i="15"/>
  <c r="AI274" i="15"/>
  <c r="AI276" i="15"/>
  <c r="AI278" i="15"/>
  <c r="AI280" i="15"/>
  <c r="AI283" i="15"/>
  <c r="AI284" i="15"/>
  <c r="AI285" i="15"/>
  <c r="AI287" i="15"/>
  <c r="AI290" i="15"/>
  <c r="AI292" i="15"/>
  <c r="AI293" i="15"/>
  <c r="AI296" i="15"/>
  <c r="AI298" i="15"/>
  <c r="AI299" i="15"/>
  <c r="AI301" i="15"/>
  <c r="AI303" i="15"/>
  <c r="AI304" i="15"/>
  <c r="AI306" i="15"/>
  <c r="AI307" i="15"/>
  <c r="AI309" i="15"/>
  <c r="AI310" i="15"/>
  <c r="AI312" i="15"/>
  <c r="AI313" i="15"/>
  <c r="AI316" i="15"/>
  <c r="AI317" i="15"/>
  <c r="AI318" i="15"/>
  <c r="AI320" i="15"/>
  <c r="AI321" i="15"/>
  <c r="AI324" i="15"/>
  <c r="AI325" i="15"/>
  <c r="AI327" i="15"/>
  <c r="AI329" i="15"/>
  <c r="AI330" i="15"/>
  <c r="AI331" i="15"/>
  <c r="AI333" i="15"/>
  <c r="AI335" i="15"/>
  <c r="AI337" i="15"/>
  <c r="AI339" i="15"/>
  <c r="AI340" i="15"/>
  <c r="AI343" i="15"/>
  <c r="AI344" i="15"/>
  <c r="AI345" i="15"/>
  <c r="AI347" i="15"/>
  <c r="AI350" i="15"/>
  <c r="AI352" i="15"/>
  <c r="AI353" i="15"/>
  <c r="AI355" i="15"/>
  <c r="AI358" i="15"/>
  <c r="AI359" i="15"/>
  <c r="AI360" i="15"/>
  <c r="AI361" i="15"/>
  <c r="AI363" i="15"/>
  <c r="AI365" i="15"/>
  <c r="AI366" i="15"/>
  <c r="AI368" i="15"/>
  <c r="AI370" i="15"/>
  <c r="AI372" i="15"/>
  <c r="AI375" i="15"/>
  <c r="AI376" i="15"/>
  <c r="AI377" i="15"/>
  <c r="AI378" i="15"/>
  <c r="AI380" i="15"/>
  <c r="AI381" i="15"/>
  <c r="AI383" i="15"/>
  <c r="AI385" i="15"/>
  <c r="AI386" i="15"/>
  <c r="AI388" i="15"/>
  <c r="AI389" i="15"/>
  <c r="AI392" i="15"/>
  <c r="AI393" i="15"/>
  <c r="AI394" i="15"/>
  <c r="AI395" i="15"/>
  <c r="AI398" i="15"/>
  <c r="AI399" i="15"/>
  <c r="AI401" i="15"/>
  <c r="AI402" i="15"/>
  <c r="AI403" i="15"/>
  <c r="AI405" i="15"/>
  <c r="AI407" i="15"/>
  <c r="AI408" i="15"/>
  <c r="AI411" i="15"/>
  <c r="AI412" i="15"/>
  <c r="AI415" i="15"/>
  <c r="AI419" i="15"/>
  <c r="AI420" i="15"/>
  <c r="AI422" i="15"/>
  <c r="AI424" i="15"/>
  <c r="AI427" i="15"/>
  <c r="AI429" i="15"/>
  <c r="AI431" i="15"/>
  <c r="AI433" i="15"/>
  <c r="AI435" i="15"/>
  <c r="AI436" i="15"/>
  <c r="AI438" i="15"/>
  <c r="AI440" i="15"/>
  <c r="AI443" i="15"/>
  <c r="AI444" i="15"/>
  <c r="AI445" i="15"/>
  <c r="AI447" i="15"/>
  <c r="AI449" i="15"/>
  <c r="AI451" i="15"/>
  <c r="AI452" i="15"/>
  <c r="AI454" i="15"/>
  <c r="AI455" i="15"/>
  <c r="AI458" i="15"/>
  <c r="AI460" i="15"/>
  <c r="AI461" i="15"/>
  <c r="AI463" i="15"/>
  <c r="AI464" i="15"/>
  <c r="AI466" i="15"/>
  <c r="AI468" i="15"/>
  <c r="AI470" i="15"/>
  <c r="AI471" i="15"/>
  <c r="AI474" i="15"/>
  <c r="AI475" i="15"/>
  <c r="AI476" i="15"/>
  <c r="AI478" i="15"/>
  <c r="AI480" i="15"/>
  <c r="AI482" i="15"/>
  <c r="AI483" i="15"/>
  <c r="AI486" i="15"/>
  <c r="AI487" i="15"/>
  <c r="AI489" i="15"/>
  <c r="AI490" i="15"/>
  <c r="AI493" i="15"/>
  <c r="AI494" i="15"/>
  <c r="AI496" i="15"/>
  <c r="AI498" i="15"/>
  <c r="AI500" i="15"/>
  <c r="AI504" i="15"/>
  <c r="AI506" i="15"/>
  <c r="AI507" i="15"/>
  <c r="AI509" i="15"/>
  <c r="AI510" i="15"/>
  <c r="AI513" i="15"/>
  <c r="AI514" i="15"/>
  <c r="AI515" i="15"/>
  <c r="AI516" i="15"/>
  <c r="AI519" i="15"/>
  <c r="AI520" i="15"/>
  <c r="AI521" i="15"/>
  <c r="AI523" i="15"/>
  <c r="AI524" i="15"/>
  <c r="AI526" i="15"/>
  <c r="AI529" i="15"/>
  <c r="AI530" i="15"/>
  <c r="AI531" i="15"/>
  <c r="AI533" i="15"/>
  <c r="AI535" i="15"/>
  <c r="AI537" i="15"/>
  <c r="AI539" i="15"/>
  <c r="AI540" i="15"/>
  <c r="AI542" i="15"/>
  <c r="AI543" i="15"/>
  <c r="AI545" i="15"/>
  <c r="AI547" i="15"/>
  <c r="AI549" i="15"/>
  <c r="AI550" i="15"/>
  <c r="AI552" i="15"/>
  <c r="AI554" i="15"/>
  <c r="AI556" i="15"/>
  <c r="AI557" i="15"/>
  <c r="AI559" i="15"/>
  <c r="AI561" i="15"/>
  <c r="AI563" i="15"/>
  <c r="AI564" i="15"/>
  <c r="AI566" i="15"/>
  <c r="AI567" i="15"/>
  <c r="AI570" i="15"/>
  <c r="AI571" i="15"/>
  <c r="AI572" i="15"/>
  <c r="AI574" i="15"/>
  <c r="AI576" i="15"/>
  <c r="AI578" i="15"/>
  <c r="AI580" i="15"/>
  <c r="AI582" i="15"/>
  <c r="AI583" i="15"/>
  <c r="AI586" i="15"/>
  <c r="AI588" i="15"/>
  <c r="AI592" i="15"/>
  <c r="AI593" i="15"/>
  <c r="AI595" i="15"/>
  <c r="AI597" i="15"/>
  <c r="AI601" i="15"/>
  <c r="AI602" i="15"/>
  <c r="AI605" i="15"/>
  <c r="AI607" i="15"/>
  <c r="AI608" i="15"/>
  <c r="AI609" i="15"/>
  <c r="AI611" i="15"/>
  <c r="AI612" i="15"/>
  <c r="AI614" i="15"/>
  <c r="AI615" i="15"/>
  <c r="AI616" i="15"/>
  <c r="AI618" i="15"/>
  <c r="AI619" i="15"/>
  <c r="AI621" i="15"/>
  <c r="AI623" i="15"/>
  <c r="AI624" i="15"/>
  <c r="AI625" i="15"/>
  <c r="AI627" i="15"/>
  <c r="AI628" i="15"/>
  <c r="AI629" i="15"/>
  <c r="AI631" i="15"/>
  <c r="AI632" i="15"/>
  <c r="AI634" i="15"/>
  <c r="AI635" i="15"/>
  <c r="AI637" i="15"/>
  <c r="AI639" i="15"/>
  <c r="AI640" i="15"/>
  <c r="AI643" i="15"/>
  <c r="AI646" i="15"/>
  <c r="AI647" i="15"/>
  <c r="AI651" i="15"/>
  <c r="AI652" i="15"/>
  <c r="AI654" i="15"/>
  <c r="AI657" i="15"/>
  <c r="AI659" i="15"/>
  <c r="AI660" i="15"/>
  <c r="AI662" i="15"/>
  <c r="AI665" i="15"/>
  <c r="AI666" i="15"/>
  <c r="AI669" i="15"/>
  <c r="AI672" i="15"/>
  <c r="AI673" i="15"/>
  <c r="AI676" i="15"/>
  <c r="AI677" i="15"/>
  <c r="AI681" i="15"/>
  <c r="AI682" i="15"/>
  <c r="AI684" i="15"/>
  <c r="AI686" i="15"/>
  <c r="AI688" i="15"/>
  <c r="AI691" i="15"/>
  <c r="AI692" i="15"/>
  <c r="AI693" i="15"/>
  <c r="AI697" i="15"/>
  <c r="AI698" i="15"/>
  <c r="AI701" i="15"/>
  <c r="AI702" i="15"/>
  <c r="AI704" i="15"/>
  <c r="AI707" i="15"/>
  <c r="AI709" i="15"/>
  <c r="AI711" i="15"/>
  <c r="AI714" i="15"/>
  <c r="AI715" i="15"/>
  <c r="AI718" i="15"/>
  <c r="AI720" i="15"/>
  <c r="AI721" i="15"/>
  <c r="AI724" i="15"/>
  <c r="AI726" i="15"/>
  <c r="AI728" i="15"/>
  <c r="AI730" i="15"/>
  <c r="AI733" i="15"/>
  <c r="AI734" i="15"/>
  <c r="AI735" i="15"/>
  <c r="AI737" i="15"/>
  <c r="AI739" i="15"/>
  <c r="AI741" i="15"/>
  <c r="AI742" i="15"/>
  <c r="AI744" i="15"/>
  <c r="AI745" i="15"/>
  <c r="AI747" i="15"/>
  <c r="AI750" i="15"/>
  <c r="AI751" i="15"/>
  <c r="AI754" i="15"/>
  <c r="AI755" i="15"/>
  <c r="AI757" i="15"/>
  <c r="AI758" i="15"/>
  <c r="AI760" i="15"/>
  <c r="AI762" i="15"/>
  <c r="AI763" i="15"/>
  <c r="AI765" i="15"/>
  <c r="AI766" i="15"/>
  <c r="AI767" i="15"/>
  <c r="AI770" i="15"/>
  <c r="AI771" i="15"/>
  <c r="AI774" i="15"/>
  <c r="AI775" i="15"/>
  <c r="AI777" i="15"/>
  <c r="AI779" i="15"/>
  <c r="AI780" i="15"/>
  <c r="AI783" i="15"/>
  <c r="AI784" i="15"/>
  <c r="AI785" i="15"/>
  <c r="AI787" i="15"/>
  <c r="AI790" i="15"/>
  <c r="AI792" i="15"/>
  <c r="AI795" i="15"/>
  <c r="AI796" i="15"/>
  <c r="AI798" i="15"/>
  <c r="AI800" i="15"/>
  <c r="AI802" i="15"/>
  <c r="AI803" i="15"/>
  <c r="AI804" i="15"/>
  <c r="AI805" i="15"/>
  <c r="AI807" i="15"/>
  <c r="AI809" i="15"/>
  <c r="AI811" i="15"/>
  <c r="AI812" i="15"/>
  <c r="AI814" i="15"/>
  <c r="AI816" i="15"/>
  <c r="AI818" i="15"/>
  <c r="AI820" i="15"/>
  <c r="AI822" i="15"/>
  <c r="AI823" i="15"/>
  <c r="AI825" i="15"/>
  <c r="AI827" i="15"/>
  <c r="AI828" i="15"/>
  <c r="AI829" i="15"/>
  <c r="AI831" i="15"/>
  <c r="AI832" i="15"/>
  <c r="AI834" i="15"/>
  <c r="AI836" i="15"/>
  <c r="AI838" i="15"/>
  <c r="AI840" i="15"/>
  <c r="AI841" i="15"/>
  <c r="AI842" i="15"/>
  <c r="AI843" i="15"/>
  <c r="AI845" i="15"/>
  <c r="AI847" i="15"/>
  <c r="AI910" i="15"/>
  <c r="AI922" i="15"/>
  <c r="AI926" i="15"/>
  <c r="AI927" i="15"/>
  <c r="AI929" i="15"/>
  <c r="AI932" i="15"/>
  <c r="AI933" i="15"/>
  <c r="AI935" i="15"/>
  <c r="AI937" i="15"/>
  <c r="AI940" i="15"/>
  <c r="AI941" i="15"/>
  <c r="AI942" i="15"/>
  <c r="AI945" i="15"/>
  <c r="AI947" i="15"/>
  <c r="AI949" i="15"/>
  <c r="AI952" i="15"/>
  <c r="AI953" i="15"/>
  <c r="AI954" i="15"/>
  <c r="AI955" i="15"/>
  <c r="AI958" i="15"/>
  <c r="AI959" i="15"/>
  <c r="AI961" i="15"/>
  <c r="AI963" i="15"/>
  <c r="AI964" i="15"/>
  <c r="AI967" i="15"/>
  <c r="AI968" i="15"/>
  <c r="AI969" i="15"/>
  <c r="AI971" i="15"/>
  <c r="AI973" i="15"/>
  <c r="AI975" i="15"/>
  <c r="AI977" i="15"/>
  <c r="AI978" i="15"/>
  <c r="AI980" i="15"/>
  <c r="AI982" i="15"/>
  <c r="AI984" i="15"/>
  <c r="AI985" i="15"/>
  <c r="AI987" i="15"/>
  <c r="AI989" i="15"/>
  <c r="AI990" i="15"/>
  <c r="AI993" i="15"/>
  <c r="AI994" i="15"/>
  <c r="AI997" i="15"/>
  <c r="AI999" i="15"/>
  <c r="AI1001" i="15"/>
  <c r="AI1003" i="15"/>
  <c r="AI1005" i="15"/>
  <c r="AI1007" i="15"/>
  <c r="AI1009" i="15"/>
  <c r="AI1010" i="15"/>
  <c r="AI1012" i="15"/>
  <c r="AI1015" i="15"/>
  <c r="AI1016" i="15"/>
  <c r="AI1019" i="15"/>
  <c r="AI1021" i="15"/>
  <c r="AI1024" i="15"/>
  <c r="AI1025" i="15"/>
  <c r="AK27" i="15"/>
  <c r="AC273" i="15" l="1"/>
  <c r="AB273" i="15"/>
  <c r="AD273" i="15" s="1"/>
  <c r="I888" i="15"/>
  <c r="H888" i="15"/>
  <c r="J888" i="15" s="1"/>
  <c r="Q642" i="15"/>
  <c r="P642" i="15"/>
  <c r="R642" i="15" s="1"/>
  <c r="U519" i="15"/>
  <c r="T519" i="15"/>
  <c r="V519" i="15" s="1"/>
  <c r="M765" i="15"/>
  <c r="L765" i="15"/>
  <c r="N765" i="15" s="1"/>
  <c r="Y396" i="15"/>
  <c r="X396" i="15"/>
  <c r="Z396" i="15" s="1"/>
  <c r="AG150" i="15"/>
  <c r="AF150" i="15"/>
  <c r="AH150" i="15" s="1"/>
  <c r="AJ27" i="15"/>
  <c r="AL27" i="15" s="1"/>
  <c r="AJ28" i="15" s="1"/>
  <c r="AG151" i="15" l="1"/>
  <c r="AF151" i="15"/>
  <c r="AH151" i="15" s="1"/>
  <c r="Y397" i="15"/>
  <c r="X397" i="15"/>
  <c r="Z397" i="15" s="1"/>
  <c r="M766" i="15"/>
  <c r="L766" i="15"/>
  <c r="N766" i="15" s="1"/>
  <c r="U520" i="15"/>
  <c r="T520" i="15"/>
  <c r="V520" i="15" s="1"/>
  <c r="Q643" i="15"/>
  <c r="P643" i="15"/>
  <c r="R643" i="15" s="1"/>
  <c r="I889" i="15"/>
  <c r="H889" i="15"/>
  <c r="J889" i="15" s="1"/>
  <c r="AC274" i="15"/>
  <c r="AB274" i="15"/>
  <c r="AD274" i="15" s="1"/>
  <c r="AK28" i="15"/>
  <c r="AL28" i="15" s="1"/>
  <c r="AK29" i="15" l="1"/>
  <c r="AJ29" i="15"/>
  <c r="AL29" i="15" s="1"/>
  <c r="AC275" i="15"/>
  <c r="AB275" i="15"/>
  <c r="AD275" i="15" s="1"/>
  <c r="I890" i="15"/>
  <c r="H890" i="15"/>
  <c r="J890" i="15" s="1"/>
  <c r="Q644" i="15"/>
  <c r="P644" i="15"/>
  <c r="R644" i="15" s="1"/>
  <c r="U521" i="15"/>
  <c r="T521" i="15"/>
  <c r="V521" i="15" s="1"/>
  <c r="M767" i="15"/>
  <c r="L767" i="15"/>
  <c r="N767" i="15" s="1"/>
  <c r="Y398" i="15"/>
  <c r="X398" i="15"/>
  <c r="Z398" i="15" s="1"/>
  <c r="AG152" i="15"/>
  <c r="AF152" i="15"/>
  <c r="AH152" i="15" s="1"/>
  <c r="AG153" i="15" l="1"/>
  <c r="AF153" i="15"/>
  <c r="AH153" i="15" s="1"/>
  <c r="Y399" i="15"/>
  <c r="X399" i="15"/>
  <c r="Z399" i="15" s="1"/>
  <c r="M768" i="15"/>
  <c r="L768" i="15"/>
  <c r="N768" i="15" s="1"/>
  <c r="U522" i="15"/>
  <c r="T522" i="15"/>
  <c r="V522" i="15" s="1"/>
  <c r="Q645" i="15"/>
  <c r="P645" i="15"/>
  <c r="R645" i="15" s="1"/>
  <c r="I891" i="15"/>
  <c r="H891" i="15"/>
  <c r="J891" i="15" s="1"/>
  <c r="AC276" i="15"/>
  <c r="AB276" i="15"/>
  <c r="AD276" i="15" s="1"/>
  <c r="AK30" i="15"/>
  <c r="AJ30" i="15"/>
  <c r="AL30" i="15" s="1"/>
  <c r="AK31" i="15" l="1"/>
  <c r="AJ31" i="15"/>
  <c r="AL31" i="15" s="1"/>
  <c r="AC277" i="15"/>
  <c r="AB277" i="15"/>
  <c r="AD277" i="15" s="1"/>
  <c r="I892" i="15"/>
  <c r="H892" i="15"/>
  <c r="J892" i="15" s="1"/>
  <c r="Q646" i="15"/>
  <c r="P646" i="15"/>
  <c r="R646" i="15" s="1"/>
  <c r="U523" i="15"/>
  <c r="T523" i="15"/>
  <c r="V523" i="15" s="1"/>
  <c r="M769" i="15"/>
  <c r="L769" i="15"/>
  <c r="N769" i="15" s="1"/>
  <c r="Y400" i="15"/>
  <c r="X400" i="15"/>
  <c r="Z400" i="15" s="1"/>
  <c r="AG154" i="15"/>
  <c r="AF154" i="15"/>
  <c r="AH154" i="15" s="1"/>
  <c r="AG155" i="15" l="1"/>
  <c r="AF155" i="15"/>
  <c r="AH155" i="15" s="1"/>
  <c r="Y401" i="15"/>
  <c r="X401" i="15"/>
  <c r="Z401" i="15" s="1"/>
  <c r="M770" i="15"/>
  <c r="L770" i="15"/>
  <c r="N770" i="15" s="1"/>
  <c r="U524" i="15"/>
  <c r="T524" i="15"/>
  <c r="V524" i="15" s="1"/>
  <c r="Q647" i="15"/>
  <c r="P647" i="15"/>
  <c r="R647" i="15" s="1"/>
  <c r="I893" i="15"/>
  <c r="H893" i="15"/>
  <c r="J893" i="15" s="1"/>
  <c r="AC278" i="15"/>
  <c r="AB278" i="15"/>
  <c r="AD278" i="15" s="1"/>
  <c r="AK32" i="15"/>
  <c r="AJ32" i="15"/>
  <c r="AL32" i="15" s="1"/>
  <c r="AC279" i="15" l="1"/>
  <c r="AB279" i="15"/>
  <c r="AD279" i="15" s="1"/>
  <c r="Q648" i="15"/>
  <c r="P648" i="15"/>
  <c r="R648" i="15" s="1"/>
  <c r="M771" i="15"/>
  <c r="L771" i="15"/>
  <c r="N771" i="15" s="1"/>
  <c r="AG156" i="15"/>
  <c r="AF156" i="15"/>
  <c r="AH156" i="15" s="1"/>
  <c r="AK33" i="15"/>
  <c r="AJ33" i="15"/>
  <c r="AL33" i="15" s="1"/>
  <c r="I894" i="15"/>
  <c r="H894" i="15"/>
  <c r="J894" i="15" s="1"/>
  <c r="U525" i="15"/>
  <c r="T525" i="15"/>
  <c r="V525" i="15" s="1"/>
  <c r="Y402" i="15"/>
  <c r="X402" i="15"/>
  <c r="Z402" i="15" s="1"/>
  <c r="U526" i="15" l="1"/>
  <c r="T526" i="15"/>
  <c r="V526" i="15" s="1"/>
  <c r="I895" i="15"/>
  <c r="H895" i="15"/>
  <c r="J895" i="15" s="1"/>
  <c r="AG157" i="15"/>
  <c r="AF157" i="15"/>
  <c r="AH157" i="15" s="1"/>
  <c r="M772" i="15"/>
  <c r="L772" i="15"/>
  <c r="N772" i="15" s="1"/>
  <c r="AC280" i="15"/>
  <c r="AB280" i="15"/>
  <c r="AD280" i="15" s="1"/>
  <c r="Y403" i="15"/>
  <c r="X403" i="15"/>
  <c r="Z403" i="15" s="1"/>
  <c r="AK34" i="15"/>
  <c r="AJ34" i="15"/>
  <c r="AL34" i="15" s="1"/>
  <c r="Q649" i="15"/>
  <c r="P649" i="15"/>
  <c r="R649" i="15" s="1"/>
  <c r="Q650" i="15" l="1"/>
  <c r="P650" i="15"/>
  <c r="R650" i="15" s="1"/>
  <c r="Y404" i="15"/>
  <c r="X404" i="15"/>
  <c r="Z404" i="15" s="1"/>
  <c r="M773" i="15"/>
  <c r="L773" i="15"/>
  <c r="N773" i="15" s="1"/>
  <c r="AG158" i="15"/>
  <c r="AF158" i="15"/>
  <c r="AH158" i="15" s="1"/>
  <c r="U527" i="15"/>
  <c r="T527" i="15"/>
  <c r="V527" i="15" s="1"/>
  <c r="AK35" i="15"/>
  <c r="AJ35" i="15"/>
  <c r="AL35" i="15" s="1"/>
  <c r="AC281" i="15"/>
  <c r="AB281" i="15"/>
  <c r="AD281" i="15" s="1"/>
  <c r="I896" i="15"/>
  <c r="H896" i="15"/>
  <c r="J896" i="15" s="1"/>
  <c r="I897" i="15" l="1"/>
  <c r="H897" i="15"/>
  <c r="J897" i="15" s="1"/>
  <c r="AK36" i="15"/>
  <c r="AJ36" i="15"/>
  <c r="AL36" i="15" s="1"/>
  <c r="U528" i="15"/>
  <c r="T528" i="15"/>
  <c r="V528" i="15" s="1"/>
  <c r="M774" i="15"/>
  <c r="L774" i="15"/>
  <c r="N774" i="15" s="1"/>
  <c r="Q651" i="15"/>
  <c r="P651" i="15"/>
  <c r="R651" i="15" s="1"/>
  <c r="AC282" i="15"/>
  <c r="AB282" i="15"/>
  <c r="AD282" i="15" s="1"/>
  <c r="AG159" i="15"/>
  <c r="AF159" i="15"/>
  <c r="AH159" i="15" s="1"/>
  <c r="Y405" i="15"/>
  <c r="X405" i="15"/>
  <c r="Z405" i="15" s="1"/>
  <c r="AG160" i="15" l="1"/>
  <c r="AF160" i="15"/>
  <c r="AH160" i="15" s="1"/>
  <c r="Q652" i="15"/>
  <c r="P652" i="15"/>
  <c r="R652" i="15" s="1"/>
  <c r="U529" i="15"/>
  <c r="T529" i="15"/>
  <c r="V529" i="15" s="1"/>
  <c r="I898" i="15"/>
  <c r="H898" i="15"/>
  <c r="J898" i="15" s="1"/>
  <c r="Y406" i="15"/>
  <c r="X406" i="15"/>
  <c r="Z406" i="15" s="1"/>
  <c r="AC283" i="15"/>
  <c r="AB283" i="15"/>
  <c r="AD283" i="15" s="1"/>
  <c r="M775" i="15"/>
  <c r="L775" i="15"/>
  <c r="N775" i="15" s="1"/>
  <c r="AK37" i="15"/>
  <c r="AJ37" i="15"/>
  <c r="AL37" i="15" s="1"/>
  <c r="AK38" i="15" l="1"/>
  <c r="AJ38" i="15"/>
  <c r="AL38" i="15" s="1"/>
  <c r="AC284" i="15"/>
  <c r="AB284" i="15"/>
  <c r="AD284" i="15" s="1"/>
  <c r="Y407" i="15"/>
  <c r="X407" i="15"/>
  <c r="Z407" i="15" s="1"/>
  <c r="U530" i="15"/>
  <c r="T530" i="15"/>
  <c r="V530" i="15" s="1"/>
  <c r="AG161" i="15"/>
  <c r="AF161" i="15"/>
  <c r="AH161" i="15" s="1"/>
  <c r="M776" i="15"/>
  <c r="L776" i="15"/>
  <c r="N776" i="15" s="1"/>
  <c r="I899" i="15"/>
  <c r="H899" i="15"/>
  <c r="J899" i="15" s="1"/>
  <c r="Q653" i="15"/>
  <c r="P653" i="15"/>
  <c r="R653" i="15" s="1"/>
  <c r="Q654" i="15" l="1"/>
  <c r="P654" i="15"/>
  <c r="R654" i="15" s="1"/>
  <c r="M777" i="15"/>
  <c r="L777" i="15"/>
  <c r="N777" i="15" s="1"/>
  <c r="U531" i="15"/>
  <c r="T531" i="15"/>
  <c r="V531" i="15" s="1"/>
  <c r="Y408" i="15"/>
  <c r="X408" i="15"/>
  <c r="Z408" i="15" s="1"/>
  <c r="AK39" i="15"/>
  <c r="AJ39" i="15"/>
  <c r="AL39" i="15" s="1"/>
  <c r="I900" i="15"/>
  <c r="H900" i="15"/>
  <c r="J900" i="15" s="1"/>
  <c r="AG162" i="15"/>
  <c r="AF162" i="15"/>
  <c r="AH162" i="15" s="1"/>
  <c r="AC285" i="15"/>
  <c r="AB285" i="15"/>
  <c r="AD285" i="15" s="1"/>
  <c r="AG163" i="15" l="1"/>
  <c r="AF163" i="15"/>
  <c r="AH163" i="15" s="1"/>
  <c r="AK40" i="15"/>
  <c r="AJ40" i="15"/>
  <c r="AL40" i="15" s="1"/>
  <c r="U532" i="15"/>
  <c r="T532" i="15"/>
  <c r="V532" i="15" s="1"/>
  <c r="Q655" i="15"/>
  <c r="P655" i="15"/>
  <c r="R655" i="15" s="1"/>
  <c r="AC286" i="15"/>
  <c r="AB286" i="15"/>
  <c r="AD286" i="15" s="1"/>
  <c r="I901" i="15"/>
  <c r="H901" i="15"/>
  <c r="J901" i="15" s="1"/>
  <c r="Y409" i="15"/>
  <c r="X409" i="15"/>
  <c r="Z409" i="15" s="1"/>
  <c r="M778" i="15"/>
  <c r="L778" i="15"/>
  <c r="N778" i="15" s="1"/>
  <c r="Y410" i="15" l="1"/>
  <c r="X410" i="15"/>
  <c r="Z410" i="15" s="1"/>
  <c r="AC287" i="15"/>
  <c r="AB287" i="15"/>
  <c r="AD287" i="15" s="1"/>
  <c r="U533" i="15"/>
  <c r="T533" i="15"/>
  <c r="V533" i="15" s="1"/>
  <c r="AG164" i="15"/>
  <c r="AF164" i="15"/>
  <c r="AH164" i="15" s="1"/>
  <c r="M779" i="15"/>
  <c r="L779" i="15"/>
  <c r="N779" i="15" s="1"/>
  <c r="I902" i="15"/>
  <c r="H902" i="15"/>
  <c r="J902" i="15" s="1"/>
  <c r="Q656" i="15"/>
  <c r="P656" i="15"/>
  <c r="R656" i="15" s="1"/>
  <c r="AK41" i="15"/>
  <c r="AJ41" i="15"/>
  <c r="AL41" i="15" s="1"/>
  <c r="Q657" i="15" l="1"/>
  <c r="P657" i="15"/>
  <c r="R657" i="15" s="1"/>
  <c r="M780" i="15"/>
  <c r="L780" i="15"/>
  <c r="N780" i="15" s="1"/>
  <c r="U534" i="15"/>
  <c r="T534" i="15"/>
  <c r="V534" i="15" s="1"/>
  <c r="Y411" i="15"/>
  <c r="X411" i="15"/>
  <c r="Z411" i="15" s="1"/>
  <c r="AK42" i="15"/>
  <c r="AJ42" i="15"/>
  <c r="AL42" i="15" s="1"/>
  <c r="I903" i="15"/>
  <c r="H903" i="15"/>
  <c r="J903" i="15" s="1"/>
  <c r="AG165" i="15"/>
  <c r="AF165" i="15"/>
  <c r="AH165" i="15" s="1"/>
  <c r="AC288" i="15"/>
  <c r="AB288" i="15"/>
  <c r="AD288" i="15" s="1"/>
  <c r="AC289" i="15" l="1"/>
  <c r="AB289" i="15"/>
  <c r="AD289" i="15" s="1"/>
  <c r="I904" i="15"/>
  <c r="H904" i="15"/>
  <c r="J904" i="15" s="1"/>
  <c r="Y412" i="15"/>
  <c r="X412" i="15"/>
  <c r="Z412" i="15" s="1"/>
  <c r="U535" i="15"/>
  <c r="T535" i="15"/>
  <c r="V535" i="15" s="1"/>
  <c r="Q658" i="15"/>
  <c r="P658" i="15"/>
  <c r="R658" i="15" s="1"/>
  <c r="AG166" i="15"/>
  <c r="AF166" i="15"/>
  <c r="AH166" i="15" s="1"/>
  <c r="AK43" i="15"/>
  <c r="AJ43" i="15"/>
  <c r="AL43" i="15" s="1"/>
  <c r="M781" i="15"/>
  <c r="L781" i="15"/>
  <c r="N781" i="15" s="1"/>
  <c r="AK44" i="15" l="1"/>
  <c r="AJ44" i="15"/>
  <c r="AL44" i="15" s="1"/>
  <c r="Q659" i="15"/>
  <c r="P659" i="15"/>
  <c r="R659" i="15" s="1"/>
  <c r="Y413" i="15"/>
  <c r="X413" i="15"/>
  <c r="Z413" i="15" s="1"/>
  <c r="AC290" i="15"/>
  <c r="AB290" i="15"/>
  <c r="AD290" i="15" s="1"/>
  <c r="M782" i="15"/>
  <c r="L782" i="15"/>
  <c r="N782" i="15" s="1"/>
  <c r="AG167" i="15"/>
  <c r="AF167" i="15"/>
  <c r="AH167" i="15" s="1"/>
  <c r="U536" i="15"/>
  <c r="T536" i="15"/>
  <c r="V536" i="15" s="1"/>
  <c r="I905" i="15"/>
  <c r="H905" i="15"/>
  <c r="J905" i="15" s="1"/>
  <c r="I906" i="15" l="1"/>
  <c r="H906" i="15"/>
  <c r="J906" i="15" s="1"/>
  <c r="AG168" i="15"/>
  <c r="AF168" i="15"/>
  <c r="AH168" i="15" s="1"/>
  <c r="AC291" i="15"/>
  <c r="AB291" i="15"/>
  <c r="AD291" i="15" s="1"/>
  <c r="Y414" i="15"/>
  <c r="X414" i="15"/>
  <c r="Z414" i="15" s="1"/>
  <c r="AK45" i="15"/>
  <c r="AJ45" i="15"/>
  <c r="AL45" i="15" s="1"/>
  <c r="U537" i="15"/>
  <c r="T537" i="15"/>
  <c r="V537" i="15" s="1"/>
  <c r="M783" i="15"/>
  <c r="L783" i="15"/>
  <c r="N783" i="15" s="1"/>
  <c r="Q660" i="15"/>
  <c r="P660" i="15"/>
  <c r="R660" i="15" s="1"/>
  <c r="M784" i="15" l="1"/>
  <c r="L784" i="15"/>
  <c r="N784" i="15" s="1"/>
  <c r="AK46" i="15"/>
  <c r="AJ46" i="15"/>
  <c r="AL46" i="15" s="1"/>
  <c r="AC292" i="15"/>
  <c r="AB292" i="15"/>
  <c r="AD292" i="15" s="1"/>
  <c r="I907" i="15"/>
  <c r="H907" i="15"/>
  <c r="J907" i="15" s="1"/>
  <c r="Q661" i="15"/>
  <c r="P661" i="15"/>
  <c r="R661" i="15" s="1"/>
  <c r="U538" i="15"/>
  <c r="T538" i="15"/>
  <c r="V538" i="15" s="1"/>
  <c r="Y415" i="15"/>
  <c r="X415" i="15"/>
  <c r="Z415" i="15" s="1"/>
  <c r="AG169" i="15"/>
  <c r="AF169" i="15"/>
  <c r="AH169" i="15" s="1"/>
  <c r="AG170" i="15" l="1"/>
  <c r="AF170" i="15"/>
  <c r="AH170" i="15" s="1"/>
  <c r="U539" i="15"/>
  <c r="T539" i="15"/>
  <c r="V539" i="15" s="1"/>
  <c r="Q662" i="15"/>
  <c r="P662" i="15"/>
  <c r="R662" i="15" s="1"/>
  <c r="AC293" i="15"/>
  <c r="AB293" i="15"/>
  <c r="AD293" i="15" s="1"/>
  <c r="M785" i="15"/>
  <c r="L785" i="15"/>
  <c r="N785" i="15" s="1"/>
  <c r="Y416" i="15"/>
  <c r="X416" i="15"/>
  <c r="Z416" i="15" s="1"/>
  <c r="I908" i="15"/>
  <c r="H908" i="15"/>
  <c r="J908" i="15" s="1"/>
  <c r="AK47" i="15"/>
  <c r="AJ47" i="15"/>
  <c r="AL47" i="15" s="1"/>
  <c r="I909" i="15" l="1"/>
  <c r="H909" i="15"/>
  <c r="J909" i="15" s="1"/>
  <c r="M786" i="15"/>
  <c r="L786" i="15"/>
  <c r="N786" i="15" s="1"/>
  <c r="Q663" i="15"/>
  <c r="P663" i="15"/>
  <c r="R663" i="15" s="1"/>
  <c r="AG171" i="15"/>
  <c r="AF171" i="15"/>
  <c r="AH171" i="15" s="1"/>
  <c r="AK48" i="15"/>
  <c r="AJ48" i="15"/>
  <c r="AL48" i="15" s="1"/>
  <c r="Y417" i="15"/>
  <c r="X417" i="15"/>
  <c r="Z417" i="15" s="1"/>
  <c r="AC294" i="15"/>
  <c r="AB294" i="15"/>
  <c r="AD294" i="15" s="1"/>
  <c r="U540" i="15"/>
  <c r="T540" i="15"/>
  <c r="V540" i="15" s="1"/>
  <c r="U541" i="15" l="1"/>
  <c r="T541" i="15"/>
  <c r="V541" i="15" s="1"/>
  <c r="Y418" i="15"/>
  <c r="X418" i="15"/>
  <c r="Z418" i="15" s="1"/>
  <c r="AK49" i="15"/>
  <c r="AJ49" i="15"/>
  <c r="AL49" i="15" s="1"/>
  <c r="Q664" i="15"/>
  <c r="P664" i="15"/>
  <c r="R664" i="15" s="1"/>
  <c r="I910" i="15"/>
  <c r="H910" i="15"/>
  <c r="J910" i="15" s="1"/>
  <c r="AC295" i="15"/>
  <c r="AB295" i="15"/>
  <c r="AD295" i="15" s="1"/>
  <c r="AG172" i="15"/>
  <c r="AF172" i="15"/>
  <c r="AH172" i="15" s="1"/>
  <c r="M787" i="15"/>
  <c r="L787" i="15"/>
  <c r="N787" i="15" s="1"/>
  <c r="AG173" i="15" l="1"/>
  <c r="AF173" i="15"/>
  <c r="AH173" i="15" s="1"/>
  <c r="I911" i="15"/>
  <c r="H911" i="15"/>
  <c r="J911" i="15" s="1"/>
  <c r="AK50" i="15"/>
  <c r="AJ50" i="15"/>
  <c r="AL50" i="15" s="1"/>
  <c r="U542" i="15"/>
  <c r="T542" i="15"/>
  <c r="V542" i="15" s="1"/>
  <c r="M788" i="15"/>
  <c r="L788" i="15"/>
  <c r="N788" i="15" s="1"/>
  <c r="AC296" i="15"/>
  <c r="AB296" i="15"/>
  <c r="AD296" i="15" s="1"/>
  <c r="Q665" i="15"/>
  <c r="P665" i="15"/>
  <c r="R665" i="15" s="1"/>
  <c r="Y419" i="15"/>
  <c r="X419" i="15"/>
  <c r="Z419" i="15" s="1"/>
  <c r="Y420" i="15" l="1"/>
  <c r="X420" i="15"/>
  <c r="Z420" i="15" s="1"/>
  <c r="AC297" i="15"/>
  <c r="AB297" i="15"/>
  <c r="AD297" i="15" s="1"/>
  <c r="U543" i="15"/>
  <c r="T543" i="15"/>
  <c r="V543" i="15" s="1"/>
  <c r="AK51" i="15"/>
  <c r="AJ51" i="15"/>
  <c r="AL51" i="15" s="1"/>
  <c r="AG174" i="15"/>
  <c r="AF174" i="15"/>
  <c r="AH174" i="15" s="1"/>
  <c r="Q666" i="15"/>
  <c r="P666" i="15"/>
  <c r="R666" i="15" s="1"/>
  <c r="M789" i="15"/>
  <c r="L789" i="15"/>
  <c r="N789" i="15" s="1"/>
  <c r="I912" i="15"/>
  <c r="H912" i="15"/>
  <c r="J912" i="15" s="1"/>
  <c r="I913" i="15" l="1"/>
  <c r="H913" i="15"/>
  <c r="J913" i="15" s="1"/>
  <c r="M790" i="15"/>
  <c r="L790" i="15"/>
  <c r="N790" i="15" s="1"/>
  <c r="AG175" i="15"/>
  <c r="AF175" i="15"/>
  <c r="AH175" i="15" s="1"/>
  <c r="U544" i="15"/>
  <c r="T544" i="15"/>
  <c r="V544" i="15" s="1"/>
  <c r="Y421" i="15"/>
  <c r="X421" i="15"/>
  <c r="Z421" i="15" s="1"/>
  <c r="Q667" i="15"/>
  <c r="P667" i="15"/>
  <c r="R667" i="15" s="1"/>
  <c r="AK52" i="15"/>
  <c r="AJ52" i="15"/>
  <c r="AL52" i="15" s="1"/>
  <c r="AC298" i="15"/>
  <c r="AB298" i="15"/>
  <c r="AD298" i="15" s="1"/>
  <c r="AK53" i="15" l="1"/>
  <c r="AJ53" i="15"/>
  <c r="AL53" i="15" s="1"/>
  <c r="Y422" i="15"/>
  <c r="X422" i="15"/>
  <c r="Z422" i="15" s="1"/>
  <c r="AG176" i="15"/>
  <c r="AF176" i="15"/>
  <c r="AH176" i="15" s="1"/>
  <c r="I914" i="15"/>
  <c r="H914" i="15"/>
  <c r="J914" i="15" s="1"/>
  <c r="AC299" i="15"/>
  <c r="AB299" i="15"/>
  <c r="AD299" i="15" s="1"/>
  <c r="Q668" i="15"/>
  <c r="P668" i="15"/>
  <c r="R668" i="15" s="1"/>
  <c r="U545" i="15"/>
  <c r="T545" i="15"/>
  <c r="V545" i="15" s="1"/>
  <c r="M791" i="15"/>
  <c r="L791" i="15"/>
  <c r="N791" i="15" s="1"/>
  <c r="M792" i="15" l="1"/>
  <c r="L792" i="15"/>
  <c r="N792" i="15" s="1"/>
  <c r="Q669" i="15"/>
  <c r="P669" i="15"/>
  <c r="R669" i="15" s="1"/>
  <c r="I915" i="15"/>
  <c r="H915" i="15"/>
  <c r="J915" i="15" s="1"/>
  <c r="AG177" i="15"/>
  <c r="AF177" i="15"/>
  <c r="AH177" i="15" s="1"/>
  <c r="AK54" i="15"/>
  <c r="AJ54" i="15"/>
  <c r="AL54" i="15" s="1"/>
  <c r="U546" i="15"/>
  <c r="T546" i="15"/>
  <c r="V546" i="15" s="1"/>
  <c r="AC300" i="15"/>
  <c r="AB300" i="15"/>
  <c r="AD300" i="15" s="1"/>
  <c r="Y423" i="15"/>
  <c r="X423" i="15"/>
  <c r="Z423" i="15" s="1"/>
  <c r="Y424" i="15" l="1"/>
  <c r="X424" i="15"/>
  <c r="Z424" i="15" s="1"/>
  <c r="U547" i="15"/>
  <c r="T547" i="15"/>
  <c r="V547" i="15" s="1"/>
  <c r="AG178" i="15"/>
  <c r="AF178" i="15"/>
  <c r="AH178" i="15" s="1"/>
  <c r="I916" i="15"/>
  <c r="H916" i="15"/>
  <c r="J916" i="15" s="1"/>
  <c r="M793" i="15"/>
  <c r="L793" i="15"/>
  <c r="N793" i="15" s="1"/>
  <c r="AC301" i="15"/>
  <c r="AB301" i="15"/>
  <c r="AD301" i="15" s="1"/>
  <c r="AK55" i="15"/>
  <c r="AJ55" i="15"/>
  <c r="AL55" i="15" s="1"/>
  <c r="Q670" i="15"/>
  <c r="P670" i="15"/>
  <c r="R670" i="15" s="1"/>
  <c r="AK56" i="15" l="1"/>
  <c r="AJ56" i="15"/>
  <c r="AL56" i="15" s="1"/>
  <c r="M794" i="15"/>
  <c r="L794" i="15"/>
  <c r="N794" i="15" s="1"/>
  <c r="AG179" i="15"/>
  <c r="AF179" i="15"/>
  <c r="AH179" i="15" s="1"/>
  <c r="Y425" i="15"/>
  <c r="X425" i="15"/>
  <c r="Z425" i="15" s="1"/>
  <c r="Q671" i="15"/>
  <c r="P671" i="15"/>
  <c r="R671" i="15" s="1"/>
  <c r="AC302" i="15"/>
  <c r="AB302" i="15"/>
  <c r="AD302" i="15" s="1"/>
  <c r="I917" i="15"/>
  <c r="H917" i="15"/>
  <c r="J917" i="15" s="1"/>
  <c r="U548" i="15"/>
  <c r="T548" i="15"/>
  <c r="V548" i="15" s="1"/>
  <c r="I918" i="15" l="1"/>
  <c r="H918" i="15"/>
  <c r="J918" i="15" s="1"/>
  <c r="Q672" i="15"/>
  <c r="P672" i="15"/>
  <c r="R672" i="15" s="1"/>
  <c r="AG180" i="15"/>
  <c r="AF180" i="15"/>
  <c r="AH180" i="15" s="1"/>
  <c r="AK57" i="15"/>
  <c r="AJ57" i="15"/>
  <c r="AL57" i="15" s="1"/>
  <c r="U549" i="15"/>
  <c r="T549" i="15"/>
  <c r="V549" i="15" s="1"/>
  <c r="AC303" i="15"/>
  <c r="AB303" i="15"/>
  <c r="AD303" i="15" s="1"/>
  <c r="Y426" i="15"/>
  <c r="X426" i="15"/>
  <c r="Z426" i="15" s="1"/>
  <c r="M795" i="15"/>
  <c r="L795" i="15"/>
  <c r="N795" i="15" s="1"/>
  <c r="Y427" i="15" l="1"/>
  <c r="X427" i="15"/>
  <c r="Z427" i="15" s="1"/>
  <c r="U550" i="15"/>
  <c r="T550" i="15"/>
  <c r="V550" i="15" s="1"/>
  <c r="AG181" i="15"/>
  <c r="AF181" i="15"/>
  <c r="AH181" i="15" s="1"/>
  <c r="I919" i="15"/>
  <c r="H919" i="15"/>
  <c r="J919" i="15" s="1"/>
  <c r="M796" i="15"/>
  <c r="L796" i="15"/>
  <c r="N796" i="15" s="1"/>
  <c r="AC304" i="15"/>
  <c r="AB304" i="15"/>
  <c r="AD304" i="15" s="1"/>
  <c r="AK58" i="15"/>
  <c r="AJ58" i="15"/>
  <c r="AL58" i="15" s="1"/>
  <c r="Q673" i="15"/>
  <c r="P673" i="15"/>
  <c r="R673" i="15" s="1"/>
  <c r="AK59" i="15" l="1"/>
  <c r="AJ59" i="15"/>
  <c r="AL59" i="15" s="1"/>
  <c r="M797" i="15"/>
  <c r="L797" i="15"/>
  <c r="N797" i="15" s="1"/>
  <c r="AG182" i="15"/>
  <c r="AF182" i="15"/>
  <c r="AH182" i="15" s="1"/>
  <c r="Y428" i="15"/>
  <c r="X428" i="15"/>
  <c r="Z428" i="15" s="1"/>
  <c r="Q674" i="15"/>
  <c r="P674" i="15"/>
  <c r="R674" i="15" s="1"/>
  <c r="AC305" i="15"/>
  <c r="AB305" i="15"/>
  <c r="AD305" i="15" s="1"/>
  <c r="I920" i="15"/>
  <c r="H920" i="15"/>
  <c r="J920" i="15" s="1"/>
  <c r="U551" i="15"/>
  <c r="T551" i="15"/>
  <c r="V551" i="15" s="1"/>
  <c r="I921" i="15" l="1"/>
  <c r="H921" i="15"/>
  <c r="J921" i="15" s="1"/>
  <c r="Q675" i="15"/>
  <c r="P675" i="15"/>
  <c r="R675" i="15" s="1"/>
  <c r="AG183" i="15"/>
  <c r="AF183" i="15"/>
  <c r="AH183" i="15" s="1"/>
  <c r="AK60" i="15"/>
  <c r="AJ60" i="15"/>
  <c r="AL60" i="15" s="1"/>
  <c r="U552" i="15"/>
  <c r="T552" i="15"/>
  <c r="V552" i="15" s="1"/>
  <c r="AC306" i="15"/>
  <c r="AB306" i="15"/>
  <c r="AD306" i="15" s="1"/>
  <c r="Y429" i="15"/>
  <c r="X429" i="15"/>
  <c r="Z429" i="15" s="1"/>
  <c r="M798" i="15"/>
  <c r="L798" i="15"/>
  <c r="N798" i="15" s="1"/>
  <c r="Y430" i="15" l="1"/>
  <c r="X430" i="15"/>
  <c r="Z430" i="15" s="1"/>
  <c r="U553" i="15"/>
  <c r="T553" i="15"/>
  <c r="V553" i="15" s="1"/>
  <c r="AG184" i="15"/>
  <c r="AF184" i="15"/>
  <c r="AH184" i="15" s="1"/>
  <c r="I922" i="15"/>
  <c r="H922" i="15"/>
  <c r="J922" i="15" s="1"/>
  <c r="M799" i="15"/>
  <c r="L799" i="15"/>
  <c r="N799" i="15" s="1"/>
  <c r="AC307" i="15"/>
  <c r="AB307" i="15"/>
  <c r="AD307" i="15" s="1"/>
  <c r="AK61" i="15"/>
  <c r="AJ61" i="15"/>
  <c r="AL61" i="15" s="1"/>
  <c r="Q676" i="15"/>
  <c r="P676" i="15"/>
  <c r="R676" i="15" s="1"/>
  <c r="AK62" i="15" l="1"/>
  <c r="AJ62" i="15"/>
  <c r="AL62" i="15" s="1"/>
  <c r="AG185" i="15"/>
  <c r="AF185" i="15"/>
  <c r="AH185" i="15" s="1"/>
  <c r="Y431" i="15"/>
  <c r="X431" i="15"/>
  <c r="Z431" i="15" s="1"/>
  <c r="Q677" i="15"/>
  <c r="P677" i="15"/>
  <c r="R677" i="15" s="1"/>
  <c r="AC308" i="15"/>
  <c r="AB308" i="15"/>
  <c r="AD308" i="15" s="1"/>
  <c r="M800" i="15"/>
  <c r="L800" i="15"/>
  <c r="N800" i="15" s="1"/>
  <c r="I923" i="15"/>
  <c r="H923" i="15"/>
  <c r="J923" i="15" s="1"/>
  <c r="U554" i="15"/>
  <c r="T554" i="15"/>
  <c r="V554" i="15" s="1"/>
  <c r="U555" i="15" l="1"/>
  <c r="T555" i="15"/>
  <c r="V555" i="15" s="1"/>
  <c r="I924" i="15"/>
  <c r="H924" i="15"/>
  <c r="J924" i="15" s="1"/>
  <c r="AC309" i="15"/>
  <c r="AB309" i="15"/>
  <c r="AD309" i="15" s="1"/>
  <c r="Y432" i="15"/>
  <c r="X432" i="15"/>
  <c r="Z432" i="15" s="1"/>
  <c r="AK63" i="15"/>
  <c r="AJ63" i="15"/>
  <c r="AL63" i="15" s="1"/>
  <c r="M801" i="15"/>
  <c r="L801" i="15"/>
  <c r="N801" i="15" s="1"/>
  <c r="Q678" i="15"/>
  <c r="P678" i="15"/>
  <c r="R678" i="15" s="1"/>
  <c r="AG186" i="15"/>
  <c r="AF186" i="15"/>
  <c r="AH186" i="15" s="1"/>
  <c r="AG187" i="15" l="1"/>
  <c r="AF187" i="15"/>
  <c r="AH187" i="15" s="1"/>
  <c r="M802" i="15"/>
  <c r="L802" i="15"/>
  <c r="N802" i="15" s="1"/>
  <c r="Y433" i="15"/>
  <c r="X433" i="15"/>
  <c r="Z433" i="15" s="1"/>
  <c r="AC310" i="15"/>
  <c r="AB310" i="15"/>
  <c r="AD310" i="15" s="1"/>
  <c r="U556" i="15"/>
  <c r="T556" i="15"/>
  <c r="V556" i="15" s="1"/>
  <c r="Q679" i="15"/>
  <c r="P679" i="15"/>
  <c r="R679" i="15" s="1"/>
  <c r="AK64" i="15"/>
  <c r="AJ64" i="15"/>
  <c r="AL64" i="15" s="1"/>
  <c r="I925" i="15"/>
  <c r="H925" i="15"/>
  <c r="J925" i="15" s="1"/>
  <c r="AK65" i="15" l="1"/>
  <c r="AJ65" i="15"/>
  <c r="AL65" i="15" s="1"/>
  <c r="U557" i="15"/>
  <c r="T557" i="15"/>
  <c r="V557" i="15" s="1"/>
  <c r="Y434" i="15"/>
  <c r="X434" i="15"/>
  <c r="Z434" i="15" s="1"/>
  <c r="AG188" i="15"/>
  <c r="AF188" i="15"/>
  <c r="AH188" i="15" s="1"/>
  <c r="I926" i="15"/>
  <c r="H926" i="15"/>
  <c r="J926" i="15" s="1"/>
  <c r="Q680" i="15"/>
  <c r="P680" i="15"/>
  <c r="R680" i="15" s="1"/>
  <c r="AC311" i="15"/>
  <c r="AB311" i="15"/>
  <c r="AD311" i="15" s="1"/>
  <c r="M803" i="15"/>
  <c r="L803" i="15"/>
  <c r="N803" i="15" s="1"/>
  <c r="M804" i="15" l="1"/>
  <c r="L804" i="15"/>
  <c r="N804" i="15" s="1"/>
  <c r="Q681" i="15"/>
  <c r="P681" i="15"/>
  <c r="R681" i="15" s="1"/>
  <c r="I927" i="15"/>
  <c r="H927" i="15"/>
  <c r="J927" i="15" s="1"/>
  <c r="Y435" i="15"/>
  <c r="X435" i="15"/>
  <c r="Z435" i="15" s="1"/>
  <c r="AK66" i="15"/>
  <c r="AJ66" i="15"/>
  <c r="AL66" i="15" s="1"/>
  <c r="AC312" i="15"/>
  <c r="AB312" i="15"/>
  <c r="AD312" i="15" s="1"/>
  <c r="AG189" i="15"/>
  <c r="AF189" i="15"/>
  <c r="AH189" i="15" s="1"/>
  <c r="U558" i="15"/>
  <c r="T558" i="15"/>
  <c r="V558" i="15" s="1"/>
  <c r="AG190" i="15" l="1"/>
  <c r="AF190" i="15"/>
  <c r="AH190" i="15" s="1"/>
  <c r="AK67" i="15"/>
  <c r="AJ67" i="15"/>
  <c r="AL67" i="15" s="1"/>
  <c r="I928" i="15"/>
  <c r="H928" i="15"/>
  <c r="J928" i="15" s="1"/>
  <c r="M805" i="15"/>
  <c r="L805" i="15"/>
  <c r="N805" i="15" s="1"/>
  <c r="U559" i="15"/>
  <c r="T559" i="15"/>
  <c r="V559" i="15" s="1"/>
  <c r="AC313" i="15"/>
  <c r="AB313" i="15"/>
  <c r="AD313" i="15" s="1"/>
  <c r="Y436" i="15"/>
  <c r="X436" i="15"/>
  <c r="Z436" i="15" s="1"/>
  <c r="Q682" i="15"/>
  <c r="P682" i="15"/>
  <c r="R682" i="15" s="1"/>
  <c r="Q683" i="15" l="1"/>
  <c r="P683" i="15"/>
  <c r="R683" i="15" s="1"/>
  <c r="AC314" i="15"/>
  <c r="AB314" i="15"/>
  <c r="AD314" i="15" s="1"/>
  <c r="M806" i="15"/>
  <c r="L806" i="15"/>
  <c r="N806" i="15" s="1"/>
  <c r="I929" i="15"/>
  <c r="H929" i="15"/>
  <c r="J929" i="15" s="1"/>
  <c r="AG191" i="15"/>
  <c r="AF191" i="15"/>
  <c r="AH191" i="15" s="1"/>
  <c r="Y437" i="15"/>
  <c r="X437" i="15"/>
  <c r="Z437" i="15" s="1"/>
  <c r="U560" i="15"/>
  <c r="T560" i="15"/>
  <c r="V560" i="15" s="1"/>
  <c r="AK68" i="15"/>
  <c r="AJ68" i="15"/>
  <c r="AL68" i="15" s="1"/>
  <c r="AK69" i="15" l="1"/>
  <c r="AJ69" i="15"/>
  <c r="AL69" i="15" s="1"/>
  <c r="Y438" i="15"/>
  <c r="X438" i="15"/>
  <c r="Z438" i="15" s="1"/>
  <c r="I930" i="15"/>
  <c r="H930" i="15"/>
  <c r="J930" i="15" s="1"/>
  <c r="M807" i="15"/>
  <c r="L807" i="15"/>
  <c r="N807" i="15" s="1"/>
  <c r="Q684" i="15"/>
  <c r="P684" i="15"/>
  <c r="R684" i="15" s="1"/>
  <c r="U561" i="15"/>
  <c r="T561" i="15"/>
  <c r="V561" i="15" s="1"/>
  <c r="AG192" i="15"/>
  <c r="AF192" i="15"/>
  <c r="AH192" i="15" s="1"/>
  <c r="AC315" i="15"/>
  <c r="AB315" i="15"/>
  <c r="AD315" i="15" s="1"/>
  <c r="AG193" i="15" l="1"/>
  <c r="AF193" i="15"/>
  <c r="AH193" i="15" s="1"/>
  <c r="Q685" i="15"/>
  <c r="P685" i="15"/>
  <c r="R685" i="15" s="1"/>
  <c r="I931" i="15"/>
  <c r="H931" i="15"/>
  <c r="J931" i="15" s="1"/>
  <c r="AK70" i="15"/>
  <c r="AJ70" i="15"/>
  <c r="AL70" i="15" s="1"/>
  <c r="AC316" i="15"/>
  <c r="AB316" i="15"/>
  <c r="AD316" i="15" s="1"/>
  <c r="U562" i="15"/>
  <c r="T562" i="15"/>
  <c r="V562" i="15" s="1"/>
  <c r="M808" i="15"/>
  <c r="L808" i="15"/>
  <c r="N808" i="15" s="1"/>
  <c r="Y439" i="15"/>
  <c r="X439" i="15"/>
  <c r="Z439" i="15" s="1"/>
  <c r="Y440" i="15" l="1"/>
  <c r="X440" i="15"/>
  <c r="Z440" i="15" s="1"/>
  <c r="U563" i="15"/>
  <c r="T563" i="15"/>
  <c r="V563" i="15" s="1"/>
  <c r="AK71" i="15"/>
  <c r="AJ71" i="15"/>
  <c r="AL71" i="15" s="1"/>
  <c r="I932" i="15"/>
  <c r="H932" i="15"/>
  <c r="J932" i="15" s="1"/>
  <c r="AG194" i="15"/>
  <c r="AF194" i="15"/>
  <c r="AH194" i="15" s="1"/>
  <c r="M809" i="15"/>
  <c r="L809" i="15"/>
  <c r="N809" i="15" s="1"/>
  <c r="AC317" i="15"/>
  <c r="AB317" i="15"/>
  <c r="AD317" i="15" s="1"/>
  <c r="Q686" i="15"/>
  <c r="P686" i="15"/>
  <c r="R686" i="15" s="1"/>
  <c r="Q687" i="15" l="1"/>
  <c r="P687" i="15"/>
  <c r="R687" i="15" s="1"/>
  <c r="M810" i="15"/>
  <c r="L810" i="15"/>
  <c r="N810" i="15" s="1"/>
  <c r="I933" i="15"/>
  <c r="H933" i="15"/>
  <c r="J933" i="15" s="1"/>
  <c r="AK72" i="15"/>
  <c r="AJ72" i="15"/>
  <c r="AL72" i="15" s="1"/>
  <c r="Y441" i="15"/>
  <c r="X441" i="15"/>
  <c r="Z441" i="15" s="1"/>
  <c r="AC318" i="15"/>
  <c r="AB318" i="15"/>
  <c r="AD318" i="15" s="1"/>
  <c r="AG195" i="15"/>
  <c r="AF195" i="15"/>
  <c r="AH195" i="15" s="1"/>
  <c r="U564" i="15"/>
  <c r="T564" i="15"/>
  <c r="V564" i="15" s="1"/>
  <c r="AG196" i="15" l="1"/>
  <c r="AF196" i="15"/>
  <c r="AH196" i="15" s="1"/>
  <c r="Y442" i="15"/>
  <c r="X442" i="15"/>
  <c r="Z442" i="15" s="1"/>
  <c r="I934" i="15"/>
  <c r="H934" i="15"/>
  <c r="J934" i="15" s="1"/>
  <c r="Q688" i="15"/>
  <c r="P688" i="15"/>
  <c r="R688" i="15" s="1"/>
  <c r="U565" i="15"/>
  <c r="T565" i="15"/>
  <c r="V565" i="15" s="1"/>
  <c r="AC319" i="15"/>
  <c r="AB319" i="15"/>
  <c r="AD319" i="15" s="1"/>
  <c r="AK73" i="15"/>
  <c r="AJ73" i="15"/>
  <c r="AL73" i="15" s="1"/>
  <c r="M811" i="15"/>
  <c r="L811" i="15"/>
  <c r="N811" i="15" s="1"/>
  <c r="M812" i="15" l="1"/>
  <c r="L812" i="15"/>
  <c r="N812" i="15" s="1"/>
  <c r="AC320" i="15"/>
  <c r="AB320" i="15"/>
  <c r="AD320" i="15" s="1"/>
  <c r="U566" i="15"/>
  <c r="T566" i="15"/>
  <c r="V566" i="15" s="1"/>
  <c r="Q689" i="15"/>
  <c r="P689" i="15"/>
  <c r="R689" i="15" s="1"/>
  <c r="I935" i="15"/>
  <c r="H935" i="15"/>
  <c r="J935" i="15" s="1"/>
  <c r="AG197" i="15"/>
  <c r="AF197" i="15"/>
  <c r="AH197" i="15" s="1"/>
  <c r="AK74" i="15"/>
  <c r="AJ74" i="15"/>
  <c r="AL74" i="15" s="1"/>
  <c r="Y443" i="15"/>
  <c r="X443" i="15"/>
  <c r="Z443" i="15" s="1"/>
  <c r="Y444" i="15" l="1"/>
  <c r="X444" i="15"/>
  <c r="Z444" i="15" s="1"/>
  <c r="AK75" i="15"/>
  <c r="AJ75" i="15"/>
  <c r="AL75" i="15" s="1"/>
  <c r="I936" i="15"/>
  <c r="H936" i="15"/>
  <c r="J936" i="15" s="1"/>
  <c r="Q690" i="15"/>
  <c r="P690" i="15"/>
  <c r="R690" i="15" s="1"/>
  <c r="U567" i="15"/>
  <c r="T567" i="15"/>
  <c r="V567" i="15" s="1"/>
  <c r="M813" i="15"/>
  <c r="L813" i="15"/>
  <c r="N813" i="15" s="1"/>
  <c r="AG198" i="15"/>
  <c r="AF198" i="15"/>
  <c r="AH198" i="15" s="1"/>
  <c r="AC321" i="15"/>
  <c r="AB321" i="15"/>
  <c r="AD321" i="15" s="1"/>
  <c r="AG199" i="15" l="1"/>
  <c r="AF199" i="15"/>
  <c r="AH199" i="15" s="1"/>
  <c r="M814" i="15"/>
  <c r="L814" i="15"/>
  <c r="N814" i="15" s="1"/>
  <c r="U568" i="15"/>
  <c r="T568" i="15"/>
  <c r="V568" i="15" s="1"/>
  <c r="Q691" i="15"/>
  <c r="P691" i="15"/>
  <c r="R691" i="15" s="1"/>
  <c r="AK76" i="15"/>
  <c r="AJ76" i="15"/>
  <c r="AL76" i="15" s="1"/>
  <c r="Y445" i="15"/>
  <c r="X445" i="15"/>
  <c r="Z445" i="15" s="1"/>
  <c r="AC322" i="15"/>
  <c r="AB322" i="15"/>
  <c r="AD322" i="15" s="1"/>
  <c r="I937" i="15"/>
  <c r="H937" i="15"/>
  <c r="J937" i="15" s="1"/>
  <c r="AC323" i="15" l="1"/>
  <c r="AB323" i="15"/>
  <c r="AD323" i="15" s="1"/>
  <c r="AK77" i="15"/>
  <c r="AJ77" i="15"/>
  <c r="AL77" i="15" s="1"/>
  <c r="U569" i="15"/>
  <c r="T569" i="15"/>
  <c r="V569" i="15" s="1"/>
  <c r="AG200" i="15"/>
  <c r="AF200" i="15"/>
  <c r="AH200" i="15" s="1"/>
  <c r="I938" i="15"/>
  <c r="H938" i="15"/>
  <c r="J938" i="15" s="1"/>
  <c r="Y446" i="15"/>
  <c r="X446" i="15"/>
  <c r="Z446" i="15" s="1"/>
  <c r="Q692" i="15"/>
  <c r="P692" i="15"/>
  <c r="R692" i="15" s="1"/>
  <c r="M815" i="15"/>
  <c r="L815" i="15"/>
  <c r="N815" i="15" s="1"/>
  <c r="M816" i="15" l="1"/>
  <c r="L816" i="15"/>
  <c r="N816" i="15" s="1"/>
  <c r="Q693" i="15"/>
  <c r="P693" i="15"/>
  <c r="R693" i="15" s="1"/>
  <c r="I939" i="15"/>
  <c r="H939" i="15"/>
  <c r="J939" i="15" s="1"/>
  <c r="AG201" i="15"/>
  <c r="AF201" i="15"/>
  <c r="AH201" i="15" s="1"/>
  <c r="U570" i="15"/>
  <c r="T570" i="15"/>
  <c r="V570" i="15" s="1"/>
  <c r="AC324" i="15"/>
  <c r="AB324" i="15"/>
  <c r="AD324" i="15" s="1"/>
  <c r="Y447" i="15"/>
  <c r="X447" i="15"/>
  <c r="Z447" i="15" s="1"/>
  <c r="AK78" i="15"/>
  <c r="AJ78" i="15"/>
  <c r="AL78" i="15" s="1"/>
  <c r="AK79" i="15" l="1"/>
  <c r="AJ79" i="15"/>
  <c r="AL79" i="15" s="1"/>
  <c r="Y448" i="15"/>
  <c r="X448" i="15"/>
  <c r="Z448" i="15" s="1"/>
  <c r="U571" i="15"/>
  <c r="T571" i="15"/>
  <c r="V571" i="15" s="1"/>
  <c r="AG202" i="15"/>
  <c r="AF202" i="15"/>
  <c r="AH202" i="15" s="1"/>
  <c r="I940" i="15"/>
  <c r="H940" i="15"/>
  <c r="J940" i="15" s="1"/>
  <c r="M817" i="15"/>
  <c r="L817" i="15"/>
  <c r="N817" i="15" s="1"/>
  <c r="AC325" i="15"/>
  <c r="AB325" i="15"/>
  <c r="AD325" i="15" s="1"/>
  <c r="Q694" i="15"/>
  <c r="P694" i="15"/>
  <c r="R694" i="15" s="1"/>
  <c r="AK80" i="15" l="1"/>
  <c r="AJ80" i="15"/>
  <c r="AL80" i="15" s="1"/>
  <c r="Q695" i="15"/>
  <c r="P695" i="15"/>
  <c r="R695" i="15" s="1"/>
  <c r="AC326" i="15"/>
  <c r="AB326" i="15"/>
  <c r="AD326" i="15" s="1"/>
  <c r="M818" i="15"/>
  <c r="L818" i="15"/>
  <c r="N818" i="15" s="1"/>
  <c r="I941" i="15"/>
  <c r="H941" i="15"/>
  <c r="J941" i="15" s="1"/>
  <c r="AG203" i="15"/>
  <c r="AF203" i="15"/>
  <c r="AH203" i="15" s="1"/>
  <c r="U572" i="15"/>
  <c r="T572" i="15"/>
  <c r="V572" i="15" s="1"/>
  <c r="Y449" i="15"/>
  <c r="X449" i="15"/>
  <c r="Z449" i="15" s="1"/>
  <c r="Y450" i="15" l="1"/>
  <c r="X450" i="15"/>
  <c r="Z450" i="15" s="1"/>
  <c r="U573" i="15"/>
  <c r="T573" i="15"/>
  <c r="V573" i="15" s="1"/>
  <c r="I942" i="15"/>
  <c r="H942" i="15"/>
  <c r="J942" i="15" s="1"/>
  <c r="M819" i="15"/>
  <c r="L819" i="15"/>
  <c r="N819" i="15" s="1"/>
  <c r="AC327" i="15"/>
  <c r="AB327" i="15"/>
  <c r="AD327" i="15" s="1"/>
  <c r="AK81" i="15"/>
  <c r="AJ81" i="15"/>
  <c r="AL81" i="15" s="1"/>
  <c r="AG204" i="15"/>
  <c r="AF204" i="15"/>
  <c r="AH204" i="15" s="1"/>
  <c r="Q696" i="15"/>
  <c r="P696" i="15"/>
  <c r="R696" i="15" s="1"/>
  <c r="Q697" i="15" l="1"/>
  <c r="P697" i="15"/>
  <c r="R697" i="15" s="1"/>
  <c r="AK82" i="15"/>
  <c r="AJ82" i="15"/>
  <c r="AL82" i="15" s="1"/>
  <c r="AC328" i="15"/>
  <c r="AB328" i="15"/>
  <c r="AD328" i="15" s="1"/>
  <c r="M820" i="15"/>
  <c r="L820" i="15"/>
  <c r="N820" i="15" s="1"/>
  <c r="U574" i="15"/>
  <c r="T574" i="15"/>
  <c r="V574" i="15" s="1"/>
  <c r="Y451" i="15"/>
  <c r="X451" i="15"/>
  <c r="Z451" i="15" s="1"/>
  <c r="AG205" i="15"/>
  <c r="AF205" i="15"/>
  <c r="AH205" i="15" s="1"/>
  <c r="I943" i="15"/>
  <c r="H943" i="15"/>
  <c r="J943" i="15" s="1"/>
  <c r="I944" i="15" l="1"/>
  <c r="H944" i="15"/>
  <c r="J944" i="15" s="1"/>
  <c r="AG206" i="15"/>
  <c r="AF206" i="15"/>
  <c r="AH206" i="15" s="1"/>
  <c r="U575" i="15"/>
  <c r="T575" i="15"/>
  <c r="V575" i="15" s="1"/>
  <c r="M821" i="15"/>
  <c r="L821" i="15"/>
  <c r="N821" i="15" s="1"/>
  <c r="AC329" i="15"/>
  <c r="AB329" i="15"/>
  <c r="AD329" i="15" s="1"/>
  <c r="Q698" i="15"/>
  <c r="P698" i="15"/>
  <c r="R698" i="15" s="1"/>
  <c r="Y452" i="15"/>
  <c r="X452" i="15"/>
  <c r="Z452" i="15" s="1"/>
  <c r="AK83" i="15"/>
  <c r="AJ83" i="15"/>
  <c r="AL83" i="15" s="1"/>
  <c r="AK84" i="15" l="1"/>
  <c r="AJ84" i="15"/>
  <c r="AL84" i="15" s="1"/>
  <c r="Y453" i="15"/>
  <c r="X453" i="15"/>
  <c r="Z453" i="15" s="1"/>
  <c r="AC330" i="15"/>
  <c r="AB330" i="15"/>
  <c r="AD330" i="15" s="1"/>
  <c r="M822" i="15"/>
  <c r="L822" i="15"/>
  <c r="N822" i="15" s="1"/>
  <c r="U576" i="15"/>
  <c r="T576" i="15"/>
  <c r="V576" i="15" s="1"/>
  <c r="I945" i="15"/>
  <c r="H945" i="15"/>
  <c r="J945" i="15" s="1"/>
  <c r="Q699" i="15"/>
  <c r="P699" i="15"/>
  <c r="R699" i="15" s="1"/>
  <c r="AG207" i="15"/>
  <c r="AF207" i="15"/>
  <c r="AH207" i="15" s="1"/>
  <c r="AG208" i="15" l="1"/>
  <c r="AF208" i="15"/>
  <c r="AH208" i="15" s="1"/>
  <c r="I946" i="15"/>
  <c r="H946" i="15"/>
  <c r="J946" i="15" s="1"/>
  <c r="U577" i="15"/>
  <c r="T577" i="15"/>
  <c r="V577" i="15" s="1"/>
  <c r="M823" i="15"/>
  <c r="L823" i="15"/>
  <c r="N823" i="15" s="1"/>
  <c r="AC331" i="15"/>
  <c r="AB331" i="15"/>
  <c r="AD331" i="15" s="1"/>
  <c r="AK85" i="15"/>
  <c r="AJ85" i="15"/>
  <c r="AL85" i="15" s="1"/>
  <c r="Q700" i="15"/>
  <c r="P700" i="15"/>
  <c r="R700" i="15" s="1"/>
  <c r="Y454" i="15"/>
  <c r="X454" i="15"/>
  <c r="Z454" i="15" s="1"/>
  <c r="Q701" i="15" l="1"/>
  <c r="P701" i="15"/>
  <c r="R701" i="15" s="1"/>
  <c r="AC332" i="15"/>
  <c r="AB332" i="15"/>
  <c r="AD332" i="15" s="1"/>
  <c r="U578" i="15"/>
  <c r="T578" i="15"/>
  <c r="V578" i="15" s="1"/>
  <c r="AG209" i="15"/>
  <c r="AF209" i="15"/>
  <c r="AH209" i="15" s="1"/>
  <c r="Y455" i="15"/>
  <c r="X455" i="15"/>
  <c r="Z455" i="15" s="1"/>
  <c r="AK86" i="15"/>
  <c r="AJ86" i="15"/>
  <c r="AL86" i="15" s="1"/>
  <c r="M824" i="15"/>
  <c r="L824" i="15"/>
  <c r="N824" i="15" s="1"/>
  <c r="I947" i="15"/>
  <c r="H947" i="15"/>
  <c r="J947" i="15" s="1"/>
  <c r="I948" i="15" l="1"/>
  <c r="H948" i="15"/>
  <c r="J948" i="15" s="1"/>
  <c r="AK87" i="15"/>
  <c r="AJ87" i="15"/>
  <c r="AL87" i="15" s="1"/>
  <c r="AG210" i="15"/>
  <c r="AF210" i="15"/>
  <c r="AH210" i="15" s="1"/>
  <c r="U579" i="15"/>
  <c r="T579" i="15"/>
  <c r="V579" i="15" s="1"/>
  <c r="Q702" i="15"/>
  <c r="P702" i="15"/>
  <c r="R702" i="15" s="1"/>
  <c r="M825" i="15"/>
  <c r="L825" i="15"/>
  <c r="N825" i="15" s="1"/>
  <c r="Y456" i="15"/>
  <c r="X456" i="15"/>
  <c r="Z456" i="15" s="1"/>
  <c r="AC333" i="15"/>
  <c r="AB333" i="15"/>
  <c r="AD333" i="15" s="1"/>
  <c r="Q703" i="15" l="1"/>
  <c r="P703" i="15"/>
  <c r="R703" i="15" s="1"/>
  <c r="U580" i="15"/>
  <c r="T580" i="15"/>
  <c r="V580" i="15" s="1"/>
  <c r="AK88" i="15"/>
  <c r="AJ88" i="15"/>
  <c r="AL88" i="15" s="1"/>
  <c r="I949" i="15"/>
  <c r="H949" i="15"/>
  <c r="J949" i="15" s="1"/>
  <c r="AC334" i="15"/>
  <c r="AB334" i="15"/>
  <c r="AD334" i="15" s="1"/>
  <c r="Y457" i="15"/>
  <c r="X457" i="15"/>
  <c r="Z457" i="15" s="1"/>
  <c r="M826" i="15"/>
  <c r="L826" i="15"/>
  <c r="N826" i="15" s="1"/>
  <c r="AG211" i="15"/>
  <c r="AF211" i="15"/>
  <c r="AH211" i="15" s="1"/>
  <c r="AG212" i="15" l="1"/>
  <c r="AF212" i="15"/>
  <c r="AH212" i="15" s="1"/>
  <c r="M827" i="15"/>
  <c r="L827" i="15"/>
  <c r="N827" i="15" s="1"/>
  <c r="AC335" i="15"/>
  <c r="AB335" i="15"/>
  <c r="AD335" i="15" s="1"/>
  <c r="I950" i="15"/>
  <c r="H950" i="15"/>
  <c r="J950" i="15" s="1"/>
  <c r="AK89" i="15"/>
  <c r="AJ89" i="15"/>
  <c r="AL89" i="15" s="1"/>
  <c r="Q704" i="15"/>
  <c r="P704" i="15"/>
  <c r="R704" i="15" s="1"/>
  <c r="Y458" i="15"/>
  <c r="X458" i="15"/>
  <c r="Z458" i="15" s="1"/>
  <c r="U581" i="15"/>
  <c r="T581" i="15"/>
  <c r="V581" i="15" s="1"/>
  <c r="U582" i="15" l="1"/>
  <c r="T582" i="15"/>
  <c r="V582" i="15" s="1"/>
  <c r="Y459" i="15"/>
  <c r="X459" i="15"/>
  <c r="Z459" i="15" s="1"/>
  <c r="AK90" i="15"/>
  <c r="AJ90" i="15"/>
  <c r="AL90" i="15" s="1"/>
  <c r="I951" i="15"/>
  <c r="H951" i="15"/>
  <c r="J951" i="15" s="1"/>
  <c r="AC336" i="15"/>
  <c r="AB336" i="15"/>
  <c r="AD336" i="15" s="1"/>
  <c r="AG213" i="15"/>
  <c r="AF213" i="15"/>
  <c r="AH213" i="15" s="1"/>
  <c r="Q705" i="15"/>
  <c r="P705" i="15"/>
  <c r="R705" i="15" s="1"/>
  <c r="M828" i="15"/>
  <c r="L828" i="15"/>
  <c r="N828" i="15" s="1"/>
  <c r="Q706" i="15" l="1"/>
  <c r="P706" i="15"/>
  <c r="R706" i="15" s="1"/>
  <c r="AC337" i="15"/>
  <c r="AB337" i="15"/>
  <c r="AD337" i="15" s="1"/>
  <c r="AK91" i="15"/>
  <c r="AJ91" i="15"/>
  <c r="AL91" i="15" s="1"/>
  <c r="U583" i="15"/>
  <c r="T583" i="15"/>
  <c r="V583" i="15" s="1"/>
  <c r="M829" i="15"/>
  <c r="L829" i="15"/>
  <c r="N829" i="15" s="1"/>
  <c r="AG214" i="15"/>
  <c r="AF214" i="15"/>
  <c r="AH214" i="15" s="1"/>
  <c r="I952" i="15"/>
  <c r="H952" i="15"/>
  <c r="J952" i="15" s="1"/>
  <c r="Y460" i="15"/>
  <c r="X460" i="15"/>
  <c r="Z460" i="15" s="1"/>
  <c r="I953" i="15" l="1"/>
  <c r="H953" i="15"/>
  <c r="J953" i="15" s="1"/>
  <c r="M830" i="15"/>
  <c r="L830" i="15"/>
  <c r="N830" i="15" s="1"/>
  <c r="U584" i="15"/>
  <c r="T584" i="15"/>
  <c r="V584" i="15" s="1"/>
  <c r="AK92" i="15"/>
  <c r="AJ92" i="15"/>
  <c r="AL92" i="15" s="1"/>
  <c r="Q707" i="15"/>
  <c r="P707" i="15"/>
  <c r="R707" i="15" s="1"/>
  <c r="Y461" i="15"/>
  <c r="X461" i="15"/>
  <c r="Z461" i="15" s="1"/>
  <c r="AG215" i="15"/>
  <c r="AF215" i="15"/>
  <c r="AH215" i="15" s="1"/>
  <c r="AC338" i="15"/>
  <c r="AB338" i="15"/>
  <c r="AD338" i="15" s="1"/>
  <c r="AC339" i="15" l="1"/>
  <c r="AB339" i="15"/>
  <c r="AD339" i="15" s="1"/>
  <c r="Y462" i="15"/>
  <c r="X462" i="15"/>
  <c r="Z462" i="15" s="1"/>
  <c r="Q708" i="15"/>
  <c r="P708" i="15"/>
  <c r="R708" i="15" s="1"/>
  <c r="AK93" i="15"/>
  <c r="AJ93" i="15"/>
  <c r="AL93" i="15" s="1"/>
  <c r="M831" i="15"/>
  <c r="L831" i="15"/>
  <c r="N831" i="15" s="1"/>
  <c r="I954" i="15"/>
  <c r="H954" i="15"/>
  <c r="J954" i="15" s="1"/>
  <c r="AG216" i="15"/>
  <c r="AF216" i="15"/>
  <c r="AH216" i="15" s="1"/>
  <c r="U585" i="15"/>
  <c r="T585" i="15"/>
  <c r="V585" i="15" s="1"/>
  <c r="U586" i="15" l="1"/>
  <c r="T586" i="15"/>
  <c r="V586" i="15" s="1"/>
  <c r="AG217" i="15"/>
  <c r="AF217" i="15"/>
  <c r="AH217" i="15" s="1"/>
  <c r="M832" i="15"/>
  <c r="L832" i="15"/>
  <c r="N832" i="15" s="1"/>
  <c r="AK94" i="15"/>
  <c r="AJ94" i="15"/>
  <c r="AL94" i="15" s="1"/>
  <c r="Q709" i="15"/>
  <c r="P709" i="15"/>
  <c r="R709" i="15" s="1"/>
  <c r="AC340" i="15"/>
  <c r="AB340" i="15"/>
  <c r="AD340" i="15" s="1"/>
  <c r="I955" i="15"/>
  <c r="H955" i="15"/>
  <c r="J955" i="15" s="1"/>
  <c r="Y463" i="15"/>
  <c r="X463" i="15"/>
  <c r="Z463" i="15" s="1"/>
  <c r="Y464" i="15" l="1"/>
  <c r="X464" i="15"/>
  <c r="Z464" i="15" s="1"/>
  <c r="I956" i="15"/>
  <c r="H956" i="15"/>
  <c r="J956" i="15" s="1"/>
  <c r="Q710" i="15"/>
  <c r="P710" i="15"/>
  <c r="R710" i="15" s="1"/>
  <c r="AK95" i="15"/>
  <c r="AJ95" i="15"/>
  <c r="AL95" i="15" s="1"/>
  <c r="M833" i="15"/>
  <c r="L833" i="15"/>
  <c r="N833" i="15" s="1"/>
  <c r="U587" i="15"/>
  <c r="T587" i="15"/>
  <c r="V587" i="15" s="1"/>
  <c r="AC341" i="15"/>
  <c r="AB341" i="15"/>
  <c r="AD341" i="15" s="1"/>
  <c r="AG218" i="15"/>
  <c r="AF218" i="15"/>
  <c r="AH218" i="15" s="1"/>
  <c r="AC342" i="15" l="1"/>
  <c r="AB342" i="15"/>
  <c r="AD342" i="15" s="1"/>
  <c r="U588" i="15"/>
  <c r="T588" i="15"/>
  <c r="V588" i="15" s="1"/>
  <c r="M834" i="15"/>
  <c r="L834" i="15"/>
  <c r="N834" i="15" s="1"/>
  <c r="AK96" i="15"/>
  <c r="AJ96" i="15"/>
  <c r="AL96" i="15" s="1"/>
  <c r="I957" i="15"/>
  <c r="H957" i="15"/>
  <c r="J957" i="15" s="1"/>
  <c r="Y465" i="15"/>
  <c r="X465" i="15"/>
  <c r="Z465" i="15" s="1"/>
  <c r="AG219" i="15"/>
  <c r="AF219" i="15"/>
  <c r="AH219" i="15" s="1"/>
  <c r="Q711" i="15"/>
  <c r="P711" i="15"/>
  <c r="R711" i="15" s="1"/>
  <c r="AG220" i="15" l="1"/>
  <c r="AF220" i="15"/>
  <c r="AH220" i="15" s="1"/>
  <c r="I958" i="15"/>
  <c r="H958" i="15"/>
  <c r="J958" i="15" s="1"/>
  <c r="M835" i="15"/>
  <c r="L835" i="15"/>
  <c r="N835" i="15" s="1"/>
  <c r="AC343" i="15"/>
  <c r="AB343" i="15"/>
  <c r="AD343" i="15" s="1"/>
  <c r="Q712" i="15"/>
  <c r="P712" i="15"/>
  <c r="R712" i="15" s="1"/>
  <c r="Y466" i="15"/>
  <c r="X466" i="15"/>
  <c r="Z466" i="15" s="1"/>
  <c r="AK97" i="15"/>
  <c r="AJ97" i="15"/>
  <c r="AL97" i="15" s="1"/>
  <c r="U589" i="15"/>
  <c r="T589" i="15"/>
  <c r="V589" i="15" s="1"/>
  <c r="AK98" i="15" l="1"/>
  <c r="AJ98" i="15"/>
  <c r="AL98" i="15" s="1"/>
  <c r="Q713" i="15"/>
  <c r="P713" i="15"/>
  <c r="R713" i="15" s="1"/>
  <c r="M836" i="15"/>
  <c r="L836" i="15"/>
  <c r="N836" i="15" s="1"/>
  <c r="AG221" i="15"/>
  <c r="AF221" i="15"/>
  <c r="AH221" i="15" s="1"/>
  <c r="U590" i="15"/>
  <c r="T590" i="15"/>
  <c r="V590" i="15" s="1"/>
  <c r="Y467" i="15"/>
  <c r="X467" i="15"/>
  <c r="Z467" i="15" s="1"/>
  <c r="AC344" i="15"/>
  <c r="AB344" i="15"/>
  <c r="AD344" i="15" s="1"/>
  <c r="I959" i="15"/>
  <c r="H959" i="15"/>
  <c r="J959" i="15" s="1"/>
  <c r="I960" i="15" l="1"/>
  <c r="H960" i="15"/>
  <c r="J960" i="15" s="1"/>
  <c r="Y468" i="15"/>
  <c r="X468" i="15"/>
  <c r="Z468" i="15" s="1"/>
  <c r="U591" i="15"/>
  <c r="T591" i="15"/>
  <c r="V591" i="15" s="1"/>
  <c r="AG222" i="15"/>
  <c r="AF222" i="15"/>
  <c r="AH222" i="15" s="1"/>
  <c r="M837" i="15"/>
  <c r="L837" i="15"/>
  <c r="N837" i="15" s="1"/>
  <c r="AK99" i="15"/>
  <c r="AJ99" i="15"/>
  <c r="AL99" i="15" s="1"/>
  <c r="AC345" i="15"/>
  <c r="AB345" i="15"/>
  <c r="AD345" i="15" s="1"/>
  <c r="Q714" i="15"/>
  <c r="P714" i="15"/>
  <c r="R714" i="15" s="1"/>
  <c r="Q715" i="15" l="1"/>
  <c r="P715" i="15"/>
  <c r="R715" i="15" s="1"/>
  <c r="AK100" i="15"/>
  <c r="AJ100" i="15"/>
  <c r="AL100" i="15" s="1"/>
  <c r="M838" i="15"/>
  <c r="L838" i="15"/>
  <c r="N838" i="15" s="1"/>
  <c r="AG223" i="15"/>
  <c r="AF223" i="15"/>
  <c r="AH223" i="15" s="1"/>
  <c r="U592" i="15"/>
  <c r="T592" i="15"/>
  <c r="V592" i="15" s="1"/>
  <c r="I961" i="15"/>
  <c r="H961" i="15"/>
  <c r="J961" i="15" s="1"/>
  <c r="AC346" i="15"/>
  <c r="AB346" i="15"/>
  <c r="AD346" i="15" s="1"/>
  <c r="Y469" i="15"/>
  <c r="X469" i="15"/>
  <c r="Z469" i="15" s="1"/>
  <c r="Y470" i="15" l="1"/>
  <c r="X470" i="15"/>
  <c r="Z470" i="15" s="1"/>
  <c r="AC347" i="15"/>
  <c r="AB347" i="15"/>
  <c r="AD347" i="15" s="1"/>
  <c r="U593" i="15"/>
  <c r="T593" i="15"/>
  <c r="V593" i="15" s="1"/>
  <c r="AG224" i="15"/>
  <c r="AF224" i="15"/>
  <c r="AH224" i="15" s="1"/>
  <c r="M839" i="15"/>
  <c r="L839" i="15"/>
  <c r="N839" i="15" s="1"/>
  <c r="Q716" i="15"/>
  <c r="P716" i="15"/>
  <c r="R716" i="15" s="1"/>
  <c r="I962" i="15"/>
  <c r="H962" i="15"/>
  <c r="J962" i="15" s="1"/>
  <c r="AK101" i="15"/>
  <c r="AJ101" i="15"/>
  <c r="AL101" i="15" s="1"/>
  <c r="I963" i="15" l="1"/>
  <c r="H963" i="15"/>
  <c r="J963" i="15" s="1"/>
  <c r="M840" i="15"/>
  <c r="L840" i="15"/>
  <c r="N840" i="15" s="1"/>
  <c r="U594" i="15"/>
  <c r="T594" i="15"/>
  <c r="V594" i="15" s="1"/>
  <c r="Y471" i="15"/>
  <c r="X471" i="15"/>
  <c r="Z471" i="15" s="1"/>
  <c r="AK102" i="15"/>
  <c r="AJ102" i="15"/>
  <c r="AL102" i="15" s="1"/>
  <c r="Q717" i="15"/>
  <c r="P717" i="15"/>
  <c r="R717" i="15" s="1"/>
  <c r="AG225" i="15"/>
  <c r="AF225" i="15"/>
  <c r="AH225" i="15" s="1"/>
  <c r="AC348" i="15"/>
  <c r="AB348" i="15"/>
  <c r="AD348" i="15" s="1"/>
  <c r="U595" i="15" l="1"/>
  <c r="T595" i="15"/>
  <c r="V595" i="15" s="1"/>
  <c r="I964" i="15"/>
  <c r="H964" i="15"/>
  <c r="J964" i="15" s="1"/>
  <c r="AC349" i="15"/>
  <c r="AB349" i="15"/>
  <c r="AD349" i="15" s="1"/>
  <c r="AG226" i="15"/>
  <c r="AF226" i="15"/>
  <c r="AH226" i="15" s="1"/>
  <c r="Q718" i="15"/>
  <c r="P718" i="15"/>
  <c r="R718" i="15" s="1"/>
  <c r="AK103" i="15"/>
  <c r="AJ103" i="15"/>
  <c r="AL103" i="15" s="1"/>
  <c r="Y472" i="15"/>
  <c r="X472" i="15"/>
  <c r="Z472" i="15" s="1"/>
  <c r="M841" i="15"/>
  <c r="L841" i="15"/>
  <c r="N841" i="15" s="1"/>
  <c r="Y473" i="15" l="1"/>
  <c r="X473" i="15"/>
  <c r="Z473" i="15" s="1"/>
  <c r="Q719" i="15"/>
  <c r="P719" i="15"/>
  <c r="R719" i="15" s="1"/>
  <c r="AG227" i="15"/>
  <c r="AF227" i="15"/>
  <c r="AH227" i="15" s="1"/>
  <c r="AC350" i="15"/>
  <c r="AB350" i="15"/>
  <c r="AD350" i="15" s="1"/>
  <c r="U596" i="15"/>
  <c r="T596" i="15"/>
  <c r="V596" i="15" s="1"/>
  <c r="M842" i="15"/>
  <c r="L842" i="15"/>
  <c r="N842" i="15" s="1"/>
  <c r="AK104" i="15"/>
  <c r="AJ104" i="15"/>
  <c r="AL104" i="15" s="1"/>
  <c r="I965" i="15"/>
  <c r="H965" i="15"/>
  <c r="J965" i="15" s="1"/>
  <c r="I966" i="15" l="1"/>
  <c r="H966" i="15"/>
  <c r="J966" i="15" s="1"/>
  <c r="AK105" i="15"/>
  <c r="AJ105" i="15"/>
  <c r="AL105" i="15" s="1"/>
  <c r="U597" i="15"/>
  <c r="T597" i="15"/>
  <c r="V597" i="15" s="1"/>
  <c r="AC351" i="15"/>
  <c r="AB351" i="15"/>
  <c r="AD351" i="15" s="1"/>
  <c r="AG228" i="15"/>
  <c r="AF228" i="15"/>
  <c r="AH228" i="15" s="1"/>
  <c r="Y474" i="15"/>
  <c r="X474" i="15"/>
  <c r="Z474" i="15" s="1"/>
  <c r="M843" i="15"/>
  <c r="L843" i="15"/>
  <c r="N843" i="15" s="1"/>
  <c r="Q720" i="15"/>
  <c r="P720" i="15"/>
  <c r="R720" i="15" s="1"/>
  <c r="Y475" i="15" l="1"/>
  <c r="X475" i="15"/>
  <c r="Z475" i="15" s="1"/>
  <c r="AC352" i="15"/>
  <c r="AB352" i="15"/>
  <c r="AD352" i="15" s="1"/>
  <c r="U598" i="15"/>
  <c r="T598" i="15"/>
  <c r="V598" i="15" s="1"/>
  <c r="I967" i="15"/>
  <c r="H967" i="15"/>
  <c r="J967" i="15" s="1"/>
  <c r="Q721" i="15"/>
  <c r="P721" i="15"/>
  <c r="R721" i="15" s="1"/>
  <c r="M844" i="15"/>
  <c r="L844" i="15"/>
  <c r="N844" i="15" s="1"/>
  <c r="AG229" i="15"/>
  <c r="AF229" i="15"/>
  <c r="AH229" i="15" s="1"/>
  <c r="AK106" i="15"/>
  <c r="AJ106" i="15"/>
  <c r="AL106" i="15" s="1"/>
  <c r="AK107" i="15" l="1"/>
  <c r="AJ107" i="15"/>
  <c r="AL107" i="15" s="1"/>
  <c r="AG230" i="15"/>
  <c r="AF230" i="15"/>
  <c r="AH230" i="15" s="1"/>
  <c r="Q722" i="15"/>
  <c r="P722" i="15"/>
  <c r="R722" i="15" s="1"/>
  <c r="I968" i="15"/>
  <c r="H968" i="15"/>
  <c r="J968" i="15" s="1"/>
  <c r="U599" i="15"/>
  <c r="T599" i="15"/>
  <c r="V599" i="15" s="1"/>
  <c r="Y476" i="15"/>
  <c r="X476" i="15"/>
  <c r="Z476" i="15" s="1"/>
  <c r="M845" i="15"/>
  <c r="L845" i="15"/>
  <c r="N845" i="15" s="1"/>
  <c r="AC353" i="15"/>
  <c r="AB353" i="15"/>
  <c r="AD353" i="15" s="1"/>
  <c r="AC354" i="15" l="1"/>
  <c r="AB354" i="15"/>
  <c r="AD354" i="15" s="1"/>
  <c r="Y477" i="15"/>
  <c r="X477" i="15"/>
  <c r="Z477" i="15" s="1"/>
  <c r="U600" i="15"/>
  <c r="T600" i="15"/>
  <c r="V600" i="15" s="1"/>
  <c r="I969" i="15"/>
  <c r="H969" i="15"/>
  <c r="J969" i="15" s="1"/>
  <c r="Q723" i="15"/>
  <c r="P723" i="15"/>
  <c r="R723" i="15" s="1"/>
  <c r="AK108" i="15"/>
  <c r="AJ108" i="15"/>
  <c r="AL108" i="15" s="1"/>
  <c r="M846" i="15"/>
  <c r="L846" i="15"/>
  <c r="N846" i="15" s="1"/>
  <c r="AG231" i="15"/>
  <c r="AF231" i="15"/>
  <c r="AH231" i="15" s="1"/>
  <c r="AG232" i="15" l="1"/>
  <c r="AF232" i="15"/>
  <c r="AH232" i="15" s="1"/>
  <c r="M847" i="15"/>
  <c r="L847" i="15"/>
  <c r="N847" i="15" s="1"/>
  <c r="AK109" i="15"/>
  <c r="AJ109" i="15"/>
  <c r="AL109" i="15" s="1"/>
  <c r="Q724" i="15"/>
  <c r="P724" i="15"/>
  <c r="R724" i="15" s="1"/>
  <c r="I970" i="15"/>
  <c r="H970" i="15"/>
  <c r="J970" i="15" s="1"/>
  <c r="U601" i="15"/>
  <c r="T601" i="15"/>
  <c r="V601" i="15" s="1"/>
  <c r="Y478" i="15"/>
  <c r="X478" i="15"/>
  <c r="Z478" i="15" s="1"/>
  <c r="AC355" i="15"/>
  <c r="AB355" i="15"/>
  <c r="AD355" i="15" s="1"/>
  <c r="Y479" i="15" l="1"/>
  <c r="X479" i="15"/>
  <c r="Z479" i="15" s="1"/>
  <c r="U602" i="15"/>
  <c r="T602" i="15"/>
  <c r="V602" i="15" s="1"/>
  <c r="I971" i="15"/>
  <c r="H971" i="15"/>
  <c r="J971" i="15" s="1"/>
  <c r="Q725" i="15"/>
  <c r="P725" i="15"/>
  <c r="R725" i="15" s="1"/>
  <c r="M848" i="15"/>
  <c r="L848" i="15"/>
  <c r="N848" i="15" s="1"/>
  <c r="AG233" i="15"/>
  <c r="AF233" i="15"/>
  <c r="AH233" i="15" s="1"/>
  <c r="AC356" i="15"/>
  <c r="AB356" i="15"/>
  <c r="AD356" i="15" s="1"/>
  <c r="AK110" i="15"/>
  <c r="AJ110" i="15"/>
  <c r="AL110" i="15" s="1"/>
  <c r="AK111" i="15" l="1"/>
  <c r="AJ111" i="15"/>
  <c r="AL111" i="15" s="1"/>
  <c r="AG234" i="15"/>
  <c r="AF234" i="15"/>
  <c r="AH234" i="15" s="1"/>
  <c r="M849" i="15"/>
  <c r="L849" i="15"/>
  <c r="N849" i="15" s="1"/>
  <c r="Q726" i="15"/>
  <c r="P726" i="15"/>
  <c r="R726" i="15" s="1"/>
  <c r="I972" i="15"/>
  <c r="H972" i="15"/>
  <c r="J972" i="15" s="1"/>
  <c r="Y480" i="15"/>
  <c r="X480" i="15"/>
  <c r="Z480" i="15" s="1"/>
  <c r="AC357" i="15"/>
  <c r="AB357" i="15"/>
  <c r="AD357" i="15" s="1"/>
  <c r="U603" i="15"/>
  <c r="T603" i="15"/>
  <c r="V603" i="15" s="1"/>
  <c r="AC358" i="15" l="1"/>
  <c r="AB358" i="15"/>
  <c r="AD358" i="15" s="1"/>
  <c r="I973" i="15"/>
  <c r="H973" i="15"/>
  <c r="J973" i="15" s="1"/>
  <c r="M850" i="15"/>
  <c r="L850" i="15"/>
  <c r="N850" i="15" s="1"/>
  <c r="AK112" i="15"/>
  <c r="AJ112" i="15"/>
  <c r="AL112" i="15" s="1"/>
  <c r="U604" i="15"/>
  <c r="T604" i="15"/>
  <c r="V604" i="15" s="1"/>
  <c r="Y481" i="15"/>
  <c r="X481" i="15"/>
  <c r="Z481" i="15" s="1"/>
  <c r="Q727" i="15"/>
  <c r="P727" i="15"/>
  <c r="R727" i="15" s="1"/>
  <c r="AG235" i="15"/>
  <c r="AF235" i="15"/>
  <c r="AH235" i="15" s="1"/>
  <c r="AG236" i="15" l="1"/>
  <c r="AF236" i="15"/>
  <c r="AH236" i="15" s="1"/>
  <c r="Y482" i="15"/>
  <c r="X482" i="15"/>
  <c r="Z482" i="15" s="1"/>
  <c r="U605" i="15"/>
  <c r="T605" i="15"/>
  <c r="V605" i="15" s="1"/>
  <c r="AK113" i="15"/>
  <c r="AJ113" i="15"/>
  <c r="AL113" i="15" s="1"/>
  <c r="M851" i="15"/>
  <c r="L851" i="15"/>
  <c r="N851" i="15" s="1"/>
  <c r="AC359" i="15"/>
  <c r="AB359" i="15"/>
  <c r="AD359" i="15" s="1"/>
  <c r="Q728" i="15"/>
  <c r="P728" i="15"/>
  <c r="R728" i="15" s="1"/>
  <c r="I974" i="15"/>
  <c r="H974" i="15"/>
  <c r="J974" i="15" s="1"/>
  <c r="I975" i="15" l="1"/>
  <c r="H975" i="15"/>
  <c r="J975" i="15" s="1"/>
  <c r="AC360" i="15"/>
  <c r="AB360" i="15"/>
  <c r="AD360" i="15" s="1"/>
  <c r="AK114" i="15"/>
  <c r="AJ114" i="15"/>
  <c r="AL114" i="15" s="1"/>
  <c r="U606" i="15"/>
  <c r="T606" i="15"/>
  <c r="V606" i="15" s="1"/>
  <c r="AG237" i="15"/>
  <c r="AF237" i="15"/>
  <c r="AH237" i="15" s="1"/>
  <c r="Q729" i="15"/>
  <c r="P729" i="15"/>
  <c r="R729" i="15" s="1"/>
  <c r="M852" i="15"/>
  <c r="L852" i="15"/>
  <c r="N852" i="15" s="1"/>
  <c r="Y483" i="15"/>
  <c r="X483" i="15"/>
  <c r="Z483" i="15" s="1"/>
  <c r="Y484" i="15" l="1"/>
  <c r="X484" i="15"/>
  <c r="Z484" i="15" s="1"/>
  <c r="Q730" i="15"/>
  <c r="P730" i="15"/>
  <c r="R730" i="15" s="1"/>
  <c r="U607" i="15"/>
  <c r="T607" i="15"/>
  <c r="V607" i="15" s="1"/>
  <c r="AK115" i="15"/>
  <c r="AJ115" i="15"/>
  <c r="AL115" i="15" s="1"/>
  <c r="I976" i="15"/>
  <c r="H976" i="15"/>
  <c r="J976" i="15" s="1"/>
  <c r="M853" i="15"/>
  <c r="L853" i="15"/>
  <c r="N853" i="15" s="1"/>
  <c r="AG238" i="15"/>
  <c r="AF238" i="15"/>
  <c r="AH238" i="15" s="1"/>
  <c r="AC361" i="15"/>
  <c r="AB361" i="15"/>
  <c r="AD361" i="15" s="1"/>
  <c r="AG239" i="15" l="1"/>
  <c r="AF239" i="15"/>
  <c r="AH239" i="15" s="1"/>
  <c r="I977" i="15"/>
  <c r="H977" i="15"/>
  <c r="J977" i="15" s="1"/>
  <c r="U608" i="15"/>
  <c r="T608" i="15"/>
  <c r="V608" i="15" s="1"/>
  <c r="Y485" i="15"/>
  <c r="X485" i="15"/>
  <c r="Z485" i="15" s="1"/>
  <c r="AC362" i="15"/>
  <c r="AB362" i="15"/>
  <c r="AD362" i="15" s="1"/>
  <c r="M854" i="15"/>
  <c r="L854" i="15"/>
  <c r="N854" i="15" s="1"/>
  <c r="AK116" i="15"/>
  <c r="AJ116" i="15"/>
  <c r="AL116" i="15" s="1"/>
  <c r="Q731" i="15"/>
  <c r="P731" i="15"/>
  <c r="R731" i="15" s="1"/>
  <c r="Q732" i="15" l="1"/>
  <c r="P732" i="15"/>
  <c r="R732" i="15" s="1"/>
  <c r="M855" i="15"/>
  <c r="L855" i="15"/>
  <c r="N855" i="15" s="1"/>
  <c r="AC363" i="15"/>
  <c r="AB363" i="15"/>
  <c r="AD363" i="15" s="1"/>
  <c r="Y486" i="15"/>
  <c r="X486" i="15"/>
  <c r="Z486" i="15" s="1"/>
  <c r="U609" i="15"/>
  <c r="T609" i="15"/>
  <c r="V609" i="15" s="1"/>
  <c r="AG240" i="15"/>
  <c r="AF240" i="15"/>
  <c r="AH240" i="15" s="1"/>
  <c r="AK117" i="15"/>
  <c r="AJ117" i="15"/>
  <c r="AL117" i="15" s="1"/>
  <c r="I978" i="15"/>
  <c r="H978" i="15"/>
  <c r="J978" i="15" s="1"/>
  <c r="I979" i="15" l="1"/>
  <c r="H979" i="15"/>
  <c r="J979" i="15" s="1"/>
  <c r="AK118" i="15"/>
  <c r="AJ118" i="15"/>
  <c r="AL118" i="15" s="1"/>
  <c r="U610" i="15"/>
  <c r="T610" i="15"/>
  <c r="V610" i="15" s="1"/>
  <c r="Y487" i="15"/>
  <c r="X487" i="15"/>
  <c r="Z487" i="15" s="1"/>
  <c r="AC364" i="15"/>
  <c r="AB364" i="15"/>
  <c r="AD364" i="15" s="1"/>
  <c r="Q733" i="15"/>
  <c r="P733" i="15"/>
  <c r="R733" i="15" s="1"/>
  <c r="AG241" i="15"/>
  <c r="AF241" i="15"/>
  <c r="AH241" i="15" s="1"/>
  <c r="M856" i="15"/>
  <c r="L856" i="15"/>
  <c r="N856" i="15" s="1"/>
  <c r="AG242" i="15" l="1"/>
  <c r="AF242" i="15"/>
  <c r="AH242" i="15" s="1"/>
  <c r="Y488" i="15"/>
  <c r="X488" i="15"/>
  <c r="Z488" i="15" s="1"/>
  <c r="U611" i="15"/>
  <c r="T611" i="15"/>
  <c r="V611" i="15" s="1"/>
  <c r="I980" i="15"/>
  <c r="H980" i="15"/>
  <c r="J980" i="15" s="1"/>
  <c r="M857" i="15"/>
  <c r="L857" i="15"/>
  <c r="N857" i="15" s="1"/>
  <c r="Q734" i="15"/>
  <c r="P734" i="15"/>
  <c r="R734" i="15" s="1"/>
  <c r="AC365" i="15"/>
  <c r="AB365" i="15"/>
  <c r="AD365" i="15" s="1"/>
  <c r="AK119" i="15"/>
  <c r="AJ119" i="15"/>
  <c r="AL119" i="15" s="1"/>
  <c r="AK120" i="15" l="1"/>
  <c r="AJ120" i="15"/>
  <c r="AL120" i="15" s="1"/>
  <c r="AC366" i="15"/>
  <c r="AB366" i="15"/>
  <c r="AD366" i="15" s="1"/>
  <c r="Q735" i="15"/>
  <c r="P735" i="15"/>
  <c r="R735" i="15" s="1"/>
  <c r="M858" i="15"/>
  <c r="L858" i="15"/>
  <c r="N858" i="15" s="1"/>
  <c r="I981" i="15"/>
  <c r="H981" i="15"/>
  <c r="J981" i="15" s="1"/>
  <c r="U612" i="15"/>
  <c r="T612" i="15"/>
  <c r="V612" i="15" s="1"/>
  <c r="Z489" i="15"/>
  <c r="Y489" i="15"/>
  <c r="X489" i="15"/>
  <c r="AG243" i="15"/>
  <c r="AF243" i="15"/>
  <c r="AH243" i="15" s="1"/>
  <c r="U613" i="15" l="1"/>
  <c r="T613" i="15"/>
  <c r="V613" i="15" s="1"/>
  <c r="I982" i="15"/>
  <c r="H982" i="15"/>
  <c r="J982" i="15" s="1"/>
  <c r="M859" i="15"/>
  <c r="L859" i="15"/>
  <c r="N859" i="15" s="1"/>
  <c r="Q736" i="15"/>
  <c r="P736" i="15"/>
  <c r="R736" i="15" s="1"/>
  <c r="AC367" i="15"/>
  <c r="AB367" i="15"/>
  <c r="AD367" i="15" s="1"/>
  <c r="AK121" i="15"/>
  <c r="AJ121" i="15"/>
  <c r="AL121" i="15" s="1"/>
  <c r="AG244" i="15"/>
  <c r="AF244" i="15"/>
  <c r="AH244" i="15" s="1"/>
  <c r="Y490" i="15"/>
  <c r="X490" i="15"/>
  <c r="Z490" i="15" s="1"/>
  <c r="Y491" i="15" l="1"/>
  <c r="X491" i="15"/>
  <c r="Z491" i="15" s="1"/>
  <c r="AK122" i="15"/>
  <c r="AJ122" i="15"/>
  <c r="AL122" i="15" s="1"/>
  <c r="Q737" i="15"/>
  <c r="P737" i="15"/>
  <c r="R737" i="15" s="1"/>
  <c r="M860" i="15"/>
  <c r="L860" i="15"/>
  <c r="N860" i="15" s="1"/>
  <c r="U614" i="15"/>
  <c r="T614" i="15"/>
  <c r="V614" i="15" s="1"/>
  <c r="AG245" i="15"/>
  <c r="AF245" i="15"/>
  <c r="AH245" i="15" s="1"/>
  <c r="AC368" i="15"/>
  <c r="AB368" i="15"/>
  <c r="AD368" i="15" s="1"/>
  <c r="I983" i="15"/>
  <c r="H983" i="15"/>
  <c r="J983" i="15" s="1"/>
  <c r="AC369" i="15" l="1"/>
  <c r="AB369" i="15"/>
  <c r="AD369" i="15" s="1"/>
  <c r="U615" i="15"/>
  <c r="T615" i="15"/>
  <c r="V615" i="15" s="1"/>
  <c r="Q738" i="15"/>
  <c r="P738" i="15"/>
  <c r="R738" i="15" s="1"/>
  <c r="Y492" i="15"/>
  <c r="X492" i="15"/>
  <c r="Z492" i="15" s="1"/>
  <c r="I984" i="15"/>
  <c r="H984" i="15"/>
  <c r="J984" i="15" s="1"/>
  <c r="AG246" i="15"/>
  <c r="AF246" i="15"/>
  <c r="AH246" i="15" s="1"/>
  <c r="M861" i="15"/>
  <c r="L861" i="15"/>
  <c r="N861" i="15" s="1"/>
  <c r="AK123" i="15"/>
  <c r="AJ123" i="15"/>
  <c r="AL123" i="15" s="1"/>
  <c r="AK124" i="15" l="1"/>
  <c r="AJ124" i="15"/>
  <c r="AL124" i="15" s="1"/>
  <c r="AG247" i="15"/>
  <c r="AF247" i="15"/>
  <c r="AH247" i="15" s="1"/>
  <c r="Y493" i="15"/>
  <c r="X493" i="15"/>
  <c r="Z493" i="15" s="1"/>
  <c r="Q739" i="15"/>
  <c r="P739" i="15"/>
  <c r="R739" i="15" s="1"/>
  <c r="AC370" i="15"/>
  <c r="AB370" i="15"/>
  <c r="AD370" i="15" s="1"/>
  <c r="M862" i="15"/>
  <c r="L862" i="15"/>
  <c r="N862" i="15" s="1"/>
  <c r="I985" i="15"/>
  <c r="H985" i="15"/>
  <c r="J985" i="15" s="1"/>
  <c r="U616" i="15"/>
  <c r="T616" i="15"/>
  <c r="V616" i="15" s="1"/>
  <c r="U617" i="15" l="1"/>
  <c r="T617" i="15"/>
  <c r="V617" i="15" s="1"/>
  <c r="M863" i="15"/>
  <c r="L863" i="15"/>
  <c r="N863" i="15" s="1"/>
  <c r="Q740" i="15"/>
  <c r="P740" i="15"/>
  <c r="R740" i="15" s="1"/>
  <c r="Y494" i="15"/>
  <c r="X494" i="15"/>
  <c r="Z494" i="15" s="1"/>
  <c r="AK125" i="15"/>
  <c r="AJ125" i="15"/>
  <c r="AL125" i="15" s="1"/>
  <c r="I986" i="15"/>
  <c r="H986" i="15"/>
  <c r="J986" i="15" s="1"/>
  <c r="AC371" i="15"/>
  <c r="AB371" i="15"/>
  <c r="AD371" i="15" s="1"/>
  <c r="AG248" i="15"/>
  <c r="AF248" i="15"/>
  <c r="AH248" i="15" s="1"/>
  <c r="AG249" i="15" l="1"/>
  <c r="AF249" i="15"/>
  <c r="AH249" i="15" s="1"/>
  <c r="AC372" i="15"/>
  <c r="AB372" i="15"/>
  <c r="AD372" i="15" s="1"/>
  <c r="AK126" i="15"/>
  <c r="AJ126" i="15"/>
  <c r="AL126" i="15" s="1"/>
  <c r="Y495" i="15"/>
  <c r="X495" i="15"/>
  <c r="Z495" i="15" s="1"/>
  <c r="Q741" i="15"/>
  <c r="P741" i="15"/>
  <c r="R741" i="15" s="1"/>
  <c r="U618" i="15"/>
  <c r="T618" i="15"/>
  <c r="V618" i="15" s="1"/>
  <c r="I987" i="15"/>
  <c r="H987" i="15"/>
  <c r="J987" i="15" s="1"/>
  <c r="M864" i="15"/>
  <c r="L864" i="15"/>
  <c r="N864" i="15" s="1"/>
  <c r="I988" i="15" l="1"/>
  <c r="H988" i="15"/>
  <c r="J988" i="15" s="1"/>
  <c r="Q742" i="15"/>
  <c r="P742" i="15"/>
  <c r="R742" i="15" s="1"/>
  <c r="AK127" i="15"/>
  <c r="AJ127" i="15"/>
  <c r="AL127" i="15" s="1"/>
  <c r="AG250" i="15"/>
  <c r="AF250" i="15"/>
  <c r="AH250" i="15" s="1"/>
  <c r="M865" i="15"/>
  <c r="L865" i="15"/>
  <c r="N865" i="15" s="1"/>
  <c r="U619" i="15"/>
  <c r="T619" i="15"/>
  <c r="V619" i="15" s="1"/>
  <c r="Y496" i="15"/>
  <c r="X496" i="15"/>
  <c r="Z496" i="15" s="1"/>
  <c r="AC373" i="15"/>
  <c r="AB373" i="15"/>
  <c r="AD373" i="15" s="1"/>
  <c r="AC374" i="15" l="1"/>
  <c r="AB374" i="15"/>
  <c r="AD374" i="15" s="1"/>
  <c r="U620" i="15"/>
  <c r="T620" i="15"/>
  <c r="V620" i="15" s="1"/>
  <c r="AG251" i="15"/>
  <c r="AF251" i="15"/>
  <c r="AH251" i="15" s="1"/>
  <c r="AK128" i="15"/>
  <c r="AJ128" i="15"/>
  <c r="AL128" i="15" s="1"/>
  <c r="I989" i="15"/>
  <c r="H989" i="15"/>
  <c r="J989" i="15" s="1"/>
  <c r="Y497" i="15"/>
  <c r="X497" i="15"/>
  <c r="Z497" i="15" s="1"/>
  <c r="M866" i="15"/>
  <c r="L866" i="15"/>
  <c r="N866" i="15" s="1"/>
  <c r="Q743" i="15"/>
  <c r="P743" i="15"/>
  <c r="R743" i="15" s="1"/>
  <c r="M867" i="15" l="1"/>
  <c r="L867" i="15"/>
  <c r="N867" i="15" s="1"/>
  <c r="I990" i="15"/>
  <c r="H990" i="15"/>
  <c r="J990" i="15" s="1"/>
  <c r="AG252" i="15"/>
  <c r="AF252" i="15"/>
  <c r="AH252" i="15" s="1"/>
  <c r="AC375" i="15"/>
  <c r="AB375" i="15"/>
  <c r="AD375" i="15" s="1"/>
  <c r="Q744" i="15"/>
  <c r="P744" i="15"/>
  <c r="R744" i="15" s="1"/>
  <c r="Y498" i="15"/>
  <c r="X498" i="15"/>
  <c r="Z498" i="15" s="1"/>
  <c r="AK129" i="15"/>
  <c r="AJ129" i="15"/>
  <c r="AL129" i="15" s="1"/>
  <c r="U621" i="15"/>
  <c r="T621" i="15"/>
  <c r="V621" i="15" s="1"/>
  <c r="U622" i="15" l="1"/>
  <c r="T622" i="15"/>
  <c r="V622" i="15" s="1"/>
  <c r="Y499" i="15"/>
  <c r="X499" i="15"/>
  <c r="Z499" i="15" s="1"/>
  <c r="Q745" i="15"/>
  <c r="P745" i="15"/>
  <c r="R745" i="15" s="1"/>
  <c r="AG253" i="15"/>
  <c r="AF253" i="15"/>
  <c r="AH253" i="15" s="1"/>
  <c r="M868" i="15"/>
  <c r="L868" i="15"/>
  <c r="N868" i="15" s="1"/>
  <c r="AK130" i="15"/>
  <c r="AJ130" i="15"/>
  <c r="AL130" i="15" s="1"/>
  <c r="AC376" i="15"/>
  <c r="AB376" i="15"/>
  <c r="AD376" i="15" s="1"/>
  <c r="I991" i="15"/>
  <c r="H991" i="15"/>
  <c r="J991" i="15" s="1"/>
  <c r="I992" i="15" l="1"/>
  <c r="H992" i="15"/>
  <c r="J992" i="15" s="1"/>
  <c r="AK131" i="15"/>
  <c r="AJ131" i="15"/>
  <c r="AL131" i="15" s="1"/>
  <c r="M869" i="15"/>
  <c r="L869" i="15"/>
  <c r="N869" i="15" s="1"/>
  <c r="Q746" i="15"/>
  <c r="P746" i="15"/>
  <c r="R746" i="15" s="1"/>
  <c r="U623" i="15"/>
  <c r="T623" i="15"/>
  <c r="V623" i="15" s="1"/>
  <c r="AC377" i="15"/>
  <c r="AB377" i="15"/>
  <c r="AD377" i="15" s="1"/>
  <c r="AG254" i="15"/>
  <c r="AF254" i="15"/>
  <c r="AH254" i="15" s="1"/>
  <c r="Y500" i="15"/>
  <c r="X500" i="15"/>
  <c r="Z500" i="15" s="1"/>
  <c r="Y501" i="15" l="1"/>
  <c r="X501" i="15"/>
  <c r="Z501" i="15" s="1"/>
  <c r="AC378" i="15"/>
  <c r="AB378" i="15"/>
  <c r="AD378" i="15" s="1"/>
  <c r="Q747" i="15"/>
  <c r="P747" i="15"/>
  <c r="R747" i="15" s="1"/>
  <c r="M870" i="15"/>
  <c r="L870" i="15"/>
  <c r="N870" i="15" s="1"/>
  <c r="I993" i="15"/>
  <c r="H993" i="15"/>
  <c r="J993" i="15" s="1"/>
  <c r="AG255" i="15"/>
  <c r="AF255" i="15"/>
  <c r="AH255" i="15" s="1"/>
  <c r="U624" i="15"/>
  <c r="T624" i="15"/>
  <c r="V624" i="15" s="1"/>
  <c r="AK132" i="15"/>
  <c r="AJ132" i="15"/>
  <c r="AL132" i="15" s="1"/>
  <c r="U625" i="15" l="1"/>
  <c r="T625" i="15"/>
  <c r="V625" i="15" s="1"/>
  <c r="I994" i="15"/>
  <c r="H994" i="15"/>
  <c r="J994" i="15" s="1"/>
  <c r="Q748" i="15"/>
  <c r="P748" i="15"/>
  <c r="R748" i="15" s="1"/>
  <c r="Y502" i="15"/>
  <c r="X502" i="15"/>
  <c r="Z502" i="15" s="1"/>
  <c r="AK133" i="15"/>
  <c r="AJ133" i="15"/>
  <c r="AL133" i="15" s="1"/>
  <c r="AG256" i="15"/>
  <c r="AF256" i="15"/>
  <c r="AH256" i="15" s="1"/>
  <c r="M871" i="15"/>
  <c r="L871" i="15"/>
  <c r="N871" i="15" s="1"/>
  <c r="AC379" i="15"/>
  <c r="AB379" i="15"/>
  <c r="AD379" i="15" s="1"/>
  <c r="M872" i="15" l="1"/>
  <c r="L872" i="15"/>
  <c r="N872" i="15" s="1"/>
  <c r="AG257" i="15"/>
  <c r="AF257" i="15"/>
  <c r="AH257" i="15" s="1"/>
  <c r="Y503" i="15"/>
  <c r="X503" i="15"/>
  <c r="Z503" i="15" s="1"/>
  <c r="Q749" i="15"/>
  <c r="P749" i="15"/>
  <c r="R749" i="15" s="1"/>
  <c r="U626" i="15"/>
  <c r="T626" i="15"/>
  <c r="V626" i="15" s="1"/>
  <c r="AC380" i="15"/>
  <c r="AB380" i="15"/>
  <c r="AD380" i="15" s="1"/>
  <c r="AK134" i="15"/>
  <c r="AJ134" i="15"/>
  <c r="AL134" i="15" s="1"/>
  <c r="I995" i="15"/>
  <c r="H995" i="15"/>
  <c r="J995" i="15" s="1"/>
  <c r="I996" i="15" l="1"/>
  <c r="H996" i="15"/>
  <c r="J996" i="15" s="1"/>
  <c r="AC381" i="15"/>
  <c r="AB381" i="15"/>
  <c r="AD381" i="15" s="1"/>
  <c r="U627" i="15"/>
  <c r="T627" i="15"/>
  <c r="V627" i="15" s="1"/>
  <c r="Q750" i="15"/>
  <c r="P750" i="15"/>
  <c r="R750" i="15" s="1"/>
  <c r="AG258" i="15"/>
  <c r="AF258" i="15"/>
  <c r="AH258" i="15" s="1"/>
  <c r="M873" i="15"/>
  <c r="L873" i="15"/>
  <c r="N873" i="15" s="1"/>
  <c r="AK135" i="15"/>
  <c r="AJ135" i="15"/>
  <c r="AL135" i="15" s="1"/>
  <c r="Y504" i="15"/>
  <c r="X504" i="15"/>
  <c r="Z504" i="15" s="1"/>
  <c r="AK136" i="15" l="1"/>
  <c r="AJ136" i="15"/>
  <c r="AL136" i="15" s="1"/>
  <c r="Q751" i="15"/>
  <c r="P751" i="15"/>
  <c r="R751" i="15" s="1"/>
  <c r="U628" i="15"/>
  <c r="T628" i="15"/>
  <c r="V628" i="15" s="1"/>
  <c r="I997" i="15"/>
  <c r="H997" i="15"/>
  <c r="J997" i="15" s="1"/>
  <c r="Y505" i="15"/>
  <c r="X505" i="15"/>
  <c r="Z505" i="15" s="1"/>
  <c r="M874" i="15"/>
  <c r="L874" i="15"/>
  <c r="N874" i="15" s="1"/>
  <c r="AG259" i="15"/>
  <c r="AF259" i="15"/>
  <c r="AH259" i="15" s="1"/>
  <c r="AC382" i="15"/>
  <c r="AB382" i="15"/>
  <c r="AD382" i="15" s="1"/>
  <c r="AK137" i="15" l="1"/>
  <c r="AJ137" i="15"/>
  <c r="AL137" i="15" s="1"/>
  <c r="AC383" i="15"/>
  <c r="AB383" i="15"/>
  <c r="AD383" i="15" s="1"/>
  <c r="AG260" i="15"/>
  <c r="AF260" i="15"/>
  <c r="AH260" i="15" s="1"/>
  <c r="M875" i="15"/>
  <c r="L875" i="15"/>
  <c r="N875" i="15" s="1"/>
  <c r="Y506" i="15"/>
  <c r="X506" i="15"/>
  <c r="Z506" i="15" s="1"/>
  <c r="I998" i="15"/>
  <c r="H998" i="15"/>
  <c r="J998" i="15" s="1"/>
  <c r="U629" i="15"/>
  <c r="T629" i="15"/>
  <c r="V629" i="15" s="1"/>
  <c r="Q752" i="15"/>
  <c r="P752" i="15"/>
  <c r="R752" i="15" s="1"/>
  <c r="Q753" i="15" l="1"/>
  <c r="P753" i="15"/>
  <c r="R753" i="15" s="1"/>
  <c r="I999" i="15"/>
  <c r="H999" i="15"/>
  <c r="J999" i="15" s="1"/>
  <c r="Y507" i="15"/>
  <c r="X507" i="15"/>
  <c r="Z507" i="15" s="1"/>
  <c r="AG261" i="15"/>
  <c r="AF261" i="15"/>
  <c r="AH261" i="15" s="1"/>
  <c r="AK138" i="15"/>
  <c r="AJ138" i="15"/>
  <c r="AL138" i="15" s="1"/>
  <c r="U630" i="15"/>
  <c r="T630" i="15"/>
  <c r="V630" i="15" s="1"/>
  <c r="M876" i="15"/>
  <c r="L876" i="15"/>
  <c r="N876" i="15" s="1"/>
  <c r="AC384" i="15"/>
  <c r="AB384" i="15"/>
  <c r="AD384" i="15" s="1"/>
  <c r="AC385" i="15" l="1"/>
  <c r="AB385" i="15"/>
  <c r="AD385" i="15" s="1"/>
  <c r="U631" i="15"/>
  <c r="T631" i="15"/>
  <c r="V631" i="15" s="1"/>
  <c r="AK139" i="15"/>
  <c r="AJ139" i="15"/>
  <c r="AL139" i="15" s="1"/>
  <c r="AG262" i="15"/>
  <c r="AF262" i="15"/>
  <c r="AH262" i="15" s="1"/>
  <c r="Y508" i="15"/>
  <c r="X508" i="15"/>
  <c r="Z508" i="15" s="1"/>
  <c r="Q754" i="15"/>
  <c r="P754" i="15"/>
  <c r="R754" i="15" s="1"/>
  <c r="M877" i="15"/>
  <c r="L877" i="15"/>
  <c r="N877" i="15" s="1"/>
  <c r="I1000" i="15"/>
  <c r="H1000" i="15"/>
  <c r="J1000" i="15" s="1"/>
  <c r="I1001" i="15" l="1"/>
  <c r="H1001" i="15"/>
  <c r="J1001" i="15" s="1"/>
  <c r="M878" i="15"/>
  <c r="L878" i="15"/>
  <c r="N878" i="15" s="1"/>
  <c r="Y509" i="15"/>
  <c r="X509" i="15"/>
  <c r="Z509" i="15" s="1"/>
  <c r="AG263" i="15"/>
  <c r="AF263" i="15"/>
  <c r="AH263" i="15" s="1"/>
  <c r="AK140" i="15"/>
  <c r="AJ140" i="15"/>
  <c r="AL140" i="15" s="1"/>
  <c r="AC386" i="15"/>
  <c r="AB386" i="15"/>
  <c r="AD386" i="15" s="1"/>
  <c r="Q755" i="15"/>
  <c r="P755" i="15"/>
  <c r="R755" i="15" s="1"/>
  <c r="U632" i="15"/>
  <c r="T632" i="15"/>
  <c r="V632" i="15" s="1"/>
  <c r="AG264" i="15" l="1"/>
  <c r="AF264" i="15"/>
  <c r="AH264" i="15" s="1"/>
  <c r="M879" i="15"/>
  <c r="L879" i="15"/>
  <c r="N879" i="15" s="1"/>
  <c r="I1002" i="15"/>
  <c r="H1002" i="15"/>
  <c r="J1002" i="15" s="1"/>
  <c r="U633" i="15"/>
  <c r="T633" i="15"/>
  <c r="V633" i="15" s="1"/>
  <c r="Q756" i="15"/>
  <c r="P756" i="15"/>
  <c r="R756" i="15" s="1"/>
  <c r="AC387" i="15"/>
  <c r="AB387" i="15"/>
  <c r="AD387" i="15" s="1"/>
  <c r="AK141" i="15"/>
  <c r="AJ141" i="15"/>
  <c r="AL141" i="15" s="1"/>
  <c r="Y510" i="15"/>
  <c r="X510" i="15"/>
  <c r="Z510" i="15" s="1"/>
  <c r="Y511" i="15" l="1"/>
  <c r="X511" i="15"/>
  <c r="Z511" i="15" s="1"/>
  <c r="AC388" i="15"/>
  <c r="AB388" i="15"/>
  <c r="AD388" i="15" s="1"/>
  <c r="Q757" i="15"/>
  <c r="P757" i="15"/>
  <c r="R757" i="15" s="1"/>
  <c r="I1003" i="15"/>
  <c r="H1003" i="15"/>
  <c r="J1003" i="15" s="1"/>
  <c r="AG265" i="15"/>
  <c r="AF265" i="15"/>
  <c r="AH265" i="15" s="1"/>
  <c r="AK142" i="15"/>
  <c r="AJ142" i="15"/>
  <c r="AL142" i="15" s="1"/>
  <c r="U634" i="15"/>
  <c r="T634" i="15"/>
  <c r="V634" i="15" s="1"/>
  <c r="M880" i="15"/>
  <c r="L880" i="15"/>
  <c r="N880" i="15" s="1"/>
  <c r="M881" i="15" l="1"/>
  <c r="L881" i="15"/>
  <c r="N881" i="15" s="1"/>
  <c r="AK143" i="15"/>
  <c r="AJ143" i="15"/>
  <c r="AL143" i="15" s="1"/>
  <c r="I1004" i="15"/>
  <c r="H1004" i="15"/>
  <c r="J1004" i="15" s="1"/>
  <c r="Q758" i="15"/>
  <c r="P758" i="15"/>
  <c r="R758" i="15" s="1"/>
  <c r="Y512" i="15"/>
  <c r="X512" i="15"/>
  <c r="Z512" i="15" s="1"/>
  <c r="U635" i="15"/>
  <c r="T635" i="15"/>
  <c r="V635" i="15" s="1"/>
  <c r="AG266" i="15"/>
  <c r="AF266" i="15"/>
  <c r="AH266" i="15" s="1"/>
  <c r="AC389" i="15"/>
  <c r="AB389" i="15"/>
  <c r="AD389" i="15" s="1"/>
  <c r="AG267" i="15" l="1"/>
  <c r="AF267" i="15"/>
  <c r="AH267" i="15" s="1"/>
  <c r="Y513" i="15"/>
  <c r="X513" i="15"/>
  <c r="Z513" i="15" s="1"/>
  <c r="I1005" i="15"/>
  <c r="H1005" i="15"/>
  <c r="J1005" i="15" s="1"/>
  <c r="M882" i="15"/>
  <c r="L882" i="15"/>
  <c r="N882" i="15" s="1"/>
  <c r="AC390" i="15"/>
  <c r="AB390" i="15"/>
  <c r="AD390" i="15" s="1"/>
  <c r="U636" i="15"/>
  <c r="T636" i="15"/>
  <c r="V636" i="15" s="1"/>
  <c r="Q759" i="15"/>
  <c r="P759" i="15"/>
  <c r="R759" i="15" s="1"/>
  <c r="AK144" i="15"/>
  <c r="AJ144" i="15"/>
  <c r="AL144" i="15" s="1"/>
  <c r="Q760" i="15" l="1"/>
  <c r="P760" i="15"/>
  <c r="R760" i="15" s="1"/>
  <c r="AC391" i="15"/>
  <c r="AB391" i="15"/>
  <c r="AD391" i="15" s="1"/>
  <c r="I1006" i="15"/>
  <c r="H1006" i="15"/>
  <c r="J1006" i="15" s="1"/>
  <c r="AG268" i="15"/>
  <c r="AF268" i="15"/>
  <c r="AH268" i="15" s="1"/>
  <c r="AK145" i="15"/>
  <c r="AJ145" i="15"/>
  <c r="AL145" i="15" s="1"/>
  <c r="U637" i="15"/>
  <c r="T637" i="15"/>
  <c r="V637" i="15" s="1"/>
  <c r="M883" i="15"/>
  <c r="L883" i="15"/>
  <c r="N883" i="15" s="1"/>
  <c r="Y514" i="15"/>
  <c r="X514" i="15"/>
  <c r="Z514" i="15" s="1"/>
  <c r="Y515" i="15" l="1"/>
  <c r="X515" i="15"/>
  <c r="Z515" i="15" s="1"/>
  <c r="M884" i="15"/>
  <c r="L884" i="15"/>
  <c r="N884" i="15" s="1"/>
  <c r="U638" i="15"/>
  <c r="T638" i="15"/>
  <c r="V638" i="15" s="1"/>
  <c r="AK146" i="15"/>
  <c r="AJ146" i="15"/>
  <c r="AL146" i="15" s="1"/>
  <c r="AG269" i="15"/>
  <c r="AF269" i="15"/>
  <c r="AH269" i="15" s="1"/>
  <c r="I1007" i="15"/>
  <c r="H1007" i="15"/>
  <c r="J1007" i="15" s="1"/>
  <c r="AC392" i="15"/>
  <c r="AB392" i="15"/>
  <c r="AD392" i="15" s="1"/>
  <c r="Q761" i="15"/>
  <c r="P761" i="15"/>
  <c r="R761" i="15" s="1"/>
  <c r="AC393" i="15" l="1"/>
  <c r="AB393" i="15"/>
  <c r="AD393" i="15" s="1"/>
  <c r="I1008" i="15"/>
  <c r="H1008" i="15"/>
  <c r="J1008" i="15" s="1"/>
  <c r="AG270" i="15"/>
  <c r="AF270" i="15"/>
  <c r="AH270" i="15" s="1"/>
  <c r="U639" i="15"/>
  <c r="T639" i="15"/>
  <c r="V639" i="15" s="1"/>
  <c r="M885" i="15"/>
  <c r="L885" i="15"/>
  <c r="N885" i="15" s="1"/>
  <c r="Y516" i="15"/>
  <c r="X516" i="15"/>
  <c r="Z516" i="15" s="1"/>
  <c r="Q762" i="15"/>
  <c r="P762" i="15"/>
  <c r="R762" i="15" s="1"/>
  <c r="K11" i="15"/>
  <c r="AK147" i="15"/>
  <c r="AJ147" i="15"/>
  <c r="AL147" i="15" s="1"/>
  <c r="Y517" i="15" l="1"/>
  <c r="X517" i="15"/>
  <c r="Z517" i="15" s="1"/>
  <c r="M886" i="15"/>
  <c r="L886" i="15"/>
  <c r="N886" i="15" s="1"/>
  <c r="U640" i="15"/>
  <c r="T640" i="15"/>
  <c r="V640" i="15" s="1"/>
  <c r="AG271" i="15"/>
  <c r="AF271" i="15"/>
  <c r="AH271" i="15" s="1"/>
  <c r="I1009" i="15"/>
  <c r="H1009" i="15"/>
  <c r="J1009" i="15" s="1"/>
  <c r="AC394" i="15"/>
  <c r="AB394" i="15"/>
  <c r="AD394" i="15" s="1"/>
  <c r="Q763" i="15"/>
  <c r="P763" i="15"/>
  <c r="R763" i="15" s="1"/>
  <c r="AK148" i="15"/>
  <c r="AJ148" i="15"/>
  <c r="AL148" i="15" s="1"/>
  <c r="H12" i="15"/>
  <c r="L11" i="15"/>
  <c r="M11" i="15"/>
  <c r="D12" i="15"/>
  <c r="C12" i="15" s="1"/>
  <c r="F12" i="15"/>
  <c r="E12" i="15" s="1"/>
  <c r="AK149" i="15" l="1"/>
  <c r="AJ149" i="15"/>
  <c r="AL149" i="15" s="1"/>
  <c r="Q764" i="15"/>
  <c r="P764" i="15"/>
  <c r="R764" i="15" s="1"/>
  <c r="AC395" i="15"/>
  <c r="AB395" i="15"/>
  <c r="AD395" i="15" s="1"/>
  <c r="AG272" i="15"/>
  <c r="AF272" i="15"/>
  <c r="AH272" i="15" s="1"/>
  <c r="U641" i="15"/>
  <c r="T641" i="15"/>
  <c r="V641" i="15" s="1"/>
  <c r="M887" i="15"/>
  <c r="L887" i="15"/>
  <c r="N887" i="15" s="1"/>
  <c r="Y518" i="15"/>
  <c r="X518" i="15"/>
  <c r="Z518" i="15" s="1"/>
  <c r="I1010" i="15"/>
  <c r="H1010" i="15"/>
  <c r="J1010" i="15" s="1"/>
  <c r="AM27" i="15"/>
  <c r="J12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I12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179" i="15"/>
  <c r="AM180" i="15"/>
  <c r="AM181" i="15"/>
  <c r="AM182" i="15"/>
  <c r="AM183" i="15"/>
  <c r="AM184" i="15"/>
  <c r="AM185" i="15"/>
  <c r="AM186" i="15"/>
  <c r="AM187" i="15"/>
  <c r="AM188" i="15"/>
  <c r="AM189" i="15"/>
  <c r="AM190" i="15"/>
  <c r="AM191" i="15"/>
  <c r="AM192" i="15"/>
  <c r="AM193" i="15"/>
  <c r="AM194" i="15"/>
  <c r="AM195" i="15"/>
  <c r="AM196" i="15"/>
  <c r="AM197" i="15"/>
  <c r="AM198" i="15"/>
  <c r="AM199" i="15"/>
  <c r="AM200" i="15"/>
  <c r="AM201" i="15"/>
  <c r="AM202" i="15"/>
  <c r="AM203" i="15"/>
  <c r="AM204" i="15"/>
  <c r="AM205" i="15"/>
  <c r="AM206" i="15"/>
  <c r="AM207" i="15"/>
  <c r="AM208" i="15"/>
  <c r="AM209" i="15"/>
  <c r="AM210" i="15"/>
  <c r="AM211" i="15"/>
  <c r="AM212" i="15"/>
  <c r="AM213" i="15"/>
  <c r="AM214" i="15"/>
  <c r="AM215" i="15"/>
  <c r="AM216" i="15"/>
  <c r="AM217" i="15"/>
  <c r="AM218" i="15"/>
  <c r="AM219" i="15"/>
  <c r="AM220" i="15"/>
  <c r="AM221" i="15"/>
  <c r="AM222" i="15"/>
  <c r="AM223" i="15"/>
  <c r="AM224" i="15"/>
  <c r="AM225" i="15"/>
  <c r="AM226" i="15"/>
  <c r="AM227" i="15"/>
  <c r="AM228" i="15"/>
  <c r="AM229" i="15"/>
  <c r="AM230" i="15"/>
  <c r="AM231" i="15"/>
  <c r="AM232" i="15"/>
  <c r="AM233" i="15"/>
  <c r="AM234" i="15"/>
  <c r="AM235" i="15"/>
  <c r="AM236" i="15"/>
  <c r="AM237" i="15"/>
  <c r="AM238" i="15"/>
  <c r="AM239" i="15"/>
  <c r="AM240" i="15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2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M311" i="15"/>
  <c r="AM312" i="15"/>
  <c r="AM313" i="15"/>
  <c r="AM314" i="15"/>
  <c r="AM315" i="15"/>
  <c r="AM316" i="15"/>
  <c r="AM317" i="15"/>
  <c r="AM318" i="15"/>
  <c r="AM319" i="15"/>
  <c r="AM320" i="15"/>
  <c r="AM321" i="15"/>
  <c r="AM322" i="15"/>
  <c r="AM323" i="15"/>
  <c r="AM324" i="15"/>
  <c r="AM325" i="15"/>
  <c r="AM326" i="15"/>
  <c r="AM327" i="15"/>
  <c r="AM328" i="15"/>
  <c r="AM329" i="15"/>
  <c r="AM330" i="15"/>
  <c r="AM331" i="15"/>
  <c r="AM332" i="15"/>
  <c r="AM333" i="15"/>
  <c r="AM334" i="15"/>
  <c r="AM335" i="15"/>
  <c r="AM336" i="15"/>
  <c r="AM337" i="15"/>
  <c r="AM338" i="15"/>
  <c r="AM339" i="15"/>
  <c r="AM340" i="15"/>
  <c r="AM341" i="15"/>
  <c r="AM342" i="15"/>
  <c r="AM343" i="15"/>
  <c r="AM344" i="15"/>
  <c r="AM345" i="15"/>
  <c r="AM346" i="15"/>
  <c r="AM347" i="15"/>
  <c r="AM348" i="15"/>
  <c r="AM349" i="15"/>
  <c r="AM350" i="15"/>
  <c r="AM351" i="15"/>
  <c r="AM352" i="15"/>
  <c r="AM353" i="15"/>
  <c r="AM354" i="15"/>
  <c r="AM355" i="15"/>
  <c r="AM356" i="15"/>
  <c r="AM357" i="15"/>
  <c r="AM358" i="15"/>
  <c r="AM359" i="15"/>
  <c r="AM360" i="15"/>
  <c r="AM361" i="15"/>
  <c r="AM362" i="15"/>
  <c r="AM363" i="15"/>
  <c r="AM364" i="15"/>
  <c r="AM365" i="15"/>
  <c r="AM366" i="15"/>
  <c r="AM367" i="15"/>
  <c r="AM368" i="15"/>
  <c r="AM369" i="15"/>
  <c r="AM370" i="15"/>
  <c r="AM371" i="15"/>
  <c r="AM372" i="15"/>
  <c r="AM373" i="15"/>
  <c r="AM374" i="15"/>
  <c r="AM375" i="15"/>
  <c r="AM376" i="15"/>
  <c r="AM377" i="15"/>
  <c r="AM378" i="15"/>
  <c r="AM379" i="15"/>
  <c r="AM380" i="15"/>
  <c r="AM381" i="15"/>
  <c r="AM382" i="15"/>
  <c r="AM383" i="15"/>
  <c r="AM384" i="15"/>
  <c r="AM385" i="15"/>
  <c r="AM386" i="15"/>
  <c r="AM387" i="15"/>
  <c r="AM388" i="15"/>
  <c r="AM389" i="15"/>
  <c r="AM390" i="15"/>
  <c r="AM391" i="15"/>
  <c r="AM392" i="15"/>
  <c r="AM393" i="15"/>
  <c r="AM394" i="15"/>
  <c r="AM395" i="15"/>
  <c r="AM396" i="15"/>
  <c r="AM397" i="15"/>
  <c r="AM398" i="15"/>
  <c r="AM399" i="15"/>
  <c r="AM400" i="15"/>
  <c r="AM401" i="15"/>
  <c r="AM402" i="15"/>
  <c r="AM403" i="15"/>
  <c r="AM404" i="15"/>
  <c r="AM405" i="15"/>
  <c r="AM406" i="15"/>
  <c r="AM407" i="15"/>
  <c r="AM408" i="15"/>
  <c r="AM409" i="15"/>
  <c r="AM410" i="15"/>
  <c r="AM411" i="15"/>
  <c r="AM412" i="15"/>
  <c r="AM413" i="15"/>
  <c r="AM414" i="15"/>
  <c r="AM415" i="15"/>
  <c r="AM416" i="15"/>
  <c r="AM417" i="15"/>
  <c r="AM418" i="15"/>
  <c r="AM419" i="15"/>
  <c r="AM420" i="15"/>
  <c r="AM421" i="15"/>
  <c r="AM422" i="15"/>
  <c r="AM423" i="15"/>
  <c r="AM424" i="15"/>
  <c r="AM425" i="15"/>
  <c r="AM426" i="15"/>
  <c r="AM427" i="15"/>
  <c r="AM428" i="15"/>
  <c r="AM429" i="15"/>
  <c r="AM430" i="15"/>
  <c r="AM431" i="15"/>
  <c r="AM432" i="15"/>
  <c r="AM433" i="15"/>
  <c r="AM434" i="15"/>
  <c r="AM435" i="15"/>
  <c r="AM436" i="15"/>
  <c r="AM437" i="15"/>
  <c r="AM438" i="15"/>
  <c r="AM439" i="15"/>
  <c r="AM440" i="15"/>
  <c r="AM441" i="15"/>
  <c r="AM442" i="15"/>
  <c r="AM443" i="15"/>
  <c r="AM444" i="15"/>
  <c r="AM445" i="15"/>
  <c r="AM446" i="15"/>
  <c r="AM447" i="15"/>
  <c r="AM448" i="15"/>
  <c r="AM449" i="15"/>
  <c r="AM450" i="15"/>
  <c r="AM451" i="15"/>
  <c r="AM452" i="15"/>
  <c r="AM453" i="15"/>
  <c r="AM454" i="15"/>
  <c r="AM455" i="15"/>
  <c r="AM456" i="15"/>
  <c r="AM457" i="15"/>
  <c r="AM458" i="15"/>
  <c r="AM459" i="15"/>
  <c r="AM460" i="15"/>
  <c r="AM461" i="15"/>
  <c r="AM462" i="15"/>
  <c r="AM463" i="15"/>
  <c r="AM464" i="15"/>
  <c r="AM465" i="15"/>
  <c r="AM466" i="15"/>
  <c r="AM467" i="15"/>
  <c r="AM468" i="15"/>
  <c r="AM469" i="15"/>
  <c r="AM470" i="15"/>
  <c r="AM471" i="15"/>
  <c r="AM472" i="15"/>
  <c r="AM473" i="15"/>
  <c r="AM474" i="15"/>
  <c r="AM475" i="15"/>
  <c r="AM476" i="15"/>
  <c r="AM477" i="15"/>
  <c r="AM478" i="15"/>
  <c r="AM479" i="15"/>
  <c r="AM480" i="15"/>
  <c r="AM481" i="15"/>
  <c r="AM482" i="15"/>
  <c r="AM483" i="15"/>
  <c r="AM484" i="15"/>
  <c r="AM485" i="15"/>
  <c r="AM486" i="15"/>
  <c r="AM487" i="15"/>
  <c r="AM488" i="15"/>
  <c r="AM489" i="15"/>
  <c r="AM490" i="15"/>
  <c r="AM491" i="15"/>
  <c r="AM492" i="15"/>
  <c r="AM493" i="15"/>
  <c r="AM494" i="15"/>
  <c r="AM495" i="15"/>
  <c r="AM496" i="15"/>
  <c r="AM497" i="15"/>
  <c r="AM498" i="15"/>
  <c r="AM499" i="15"/>
  <c r="AM500" i="15"/>
  <c r="AM501" i="15"/>
  <c r="AM502" i="15"/>
  <c r="AM503" i="15"/>
  <c r="AM504" i="15"/>
  <c r="AM505" i="15"/>
  <c r="AM506" i="15"/>
  <c r="AM507" i="15"/>
  <c r="AM508" i="15"/>
  <c r="AM509" i="15"/>
  <c r="AM510" i="15"/>
  <c r="AM511" i="15"/>
  <c r="AM512" i="15"/>
  <c r="AM513" i="15"/>
  <c r="AM514" i="15"/>
  <c r="AM515" i="15"/>
  <c r="AM516" i="15"/>
  <c r="AM517" i="15"/>
  <c r="AM518" i="15"/>
  <c r="AM519" i="15"/>
  <c r="AM520" i="15"/>
  <c r="AM521" i="15"/>
  <c r="AM522" i="15"/>
  <c r="AM523" i="15"/>
  <c r="AM524" i="15"/>
  <c r="AM525" i="15"/>
  <c r="AM526" i="15"/>
  <c r="AM527" i="15"/>
  <c r="AM528" i="15"/>
  <c r="AM529" i="15"/>
  <c r="AM530" i="15"/>
  <c r="AM531" i="15"/>
  <c r="AM532" i="15"/>
  <c r="AM533" i="15"/>
  <c r="AM534" i="15"/>
  <c r="AM535" i="15"/>
  <c r="AM536" i="15"/>
  <c r="AM537" i="15"/>
  <c r="AM538" i="15"/>
  <c r="AM539" i="15"/>
  <c r="AM540" i="15"/>
  <c r="AM541" i="15"/>
  <c r="AM542" i="15"/>
  <c r="AM543" i="15"/>
  <c r="AM544" i="15"/>
  <c r="AM545" i="15"/>
  <c r="AM546" i="15"/>
  <c r="AM547" i="15"/>
  <c r="AM548" i="15"/>
  <c r="AM549" i="15"/>
  <c r="AM550" i="15"/>
  <c r="AM551" i="15"/>
  <c r="AM552" i="15"/>
  <c r="AM553" i="15"/>
  <c r="AM554" i="15"/>
  <c r="AM555" i="15"/>
  <c r="AM556" i="15"/>
  <c r="AM557" i="15"/>
  <c r="AM558" i="15"/>
  <c r="AM559" i="15"/>
  <c r="AM560" i="15"/>
  <c r="AM561" i="15"/>
  <c r="AM562" i="15"/>
  <c r="AM563" i="15"/>
  <c r="AM564" i="15"/>
  <c r="AM565" i="15"/>
  <c r="AM566" i="15"/>
  <c r="AM567" i="15"/>
  <c r="AM568" i="15"/>
  <c r="AM569" i="15"/>
  <c r="AM570" i="15"/>
  <c r="AM571" i="15"/>
  <c r="AM572" i="15"/>
  <c r="AM573" i="15"/>
  <c r="AM574" i="15"/>
  <c r="AM575" i="15"/>
  <c r="AM576" i="15"/>
  <c r="AM577" i="15"/>
  <c r="AM578" i="15"/>
  <c r="AM579" i="15"/>
  <c r="AM580" i="15"/>
  <c r="AM581" i="15"/>
  <c r="AM582" i="15"/>
  <c r="AM583" i="15"/>
  <c r="AM584" i="15"/>
  <c r="AM585" i="15"/>
  <c r="AM586" i="15"/>
  <c r="AM587" i="15"/>
  <c r="AM588" i="15"/>
  <c r="AM589" i="15"/>
  <c r="AM590" i="15"/>
  <c r="AM591" i="15"/>
  <c r="AM592" i="15"/>
  <c r="AM593" i="15"/>
  <c r="AM594" i="15"/>
  <c r="AM595" i="15"/>
  <c r="AM596" i="15"/>
  <c r="AM597" i="15"/>
  <c r="AM598" i="15"/>
  <c r="AM599" i="15"/>
  <c r="AM600" i="15"/>
  <c r="AM601" i="15"/>
  <c r="AM602" i="15"/>
  <c r="AM603" i="15"/>
  <c r="AM604" i="15"/>
  <c r="AM605" i="15"/>
  <c r="AM606" i="15"/>
  <c r="AM607" i="15"/>
  <c r="AM608" i="15"/>
  <c r="AM609" i="15"/>
  <c r="AM610" i="15"/>
  <c r="AM611" i="15"/>
  <c r="AM612" i="15"/>
  <c r="AM613" i="15"/>
  <c r="AM614" i="15"/>
  <c r="AM615" i="15"/>
  <c r="AM616" i="15"/>
  <c r="AM617" i="15"/>
  <c r="AM618" i="15"/>
  <c r="AM619" i="15"/>
  <c r="AM620" i="15"/>
  <c r="AM621" i="15"/>
  <c r="AM622" i="15"/>
  <c r="AM623" i="15"/>
  <c r="AM624" i="15"/>
  <c r="AM625" i="15"/>
  <c r="AM626" i="15"/>
  <c r="AM627" i="15"/>
  <c r="AM628" i="15"/>
  <c r="AM629" i="15"/>
  <c r="AM630" i="15"/>
  <c r="AM631" i="15"/>
  <c r="AM632" i="15"/>
  <c r="AM633" i="15"/>
  <c r="AM634" i="15"/>
  <c r="AM635" i="15"/>
  <c r="AM636" i="15"/>
  <c r="AM637" i="15"/>
  <c r="AM638" i="15"/>
  <c r="AM639" i="15"/>
  <c r="AM640" i="15"/>
  <c r="AM641" i="15"/>
  <c r="AM642" i="15"/>
  <c r="AM643" i="15"/>
  <c r="AM644" i="15"/>
  <c r="AM645" i="15"/>
  <c r="AM646" i="15"/>
  <c r="AM647" i="15"/>
  <c r="AM648" i="15"/>
  <c r="AM649" i="15"/>
  <c r="AM650" i="15"/>
  <c r="AM651" i="15"/>
  <c r="AM652" i="15"/>
  <c r="AM653" i="15"/>
  <c r="AM654" i="15"/>
  <c r="AM655" i="15"/>
  <c r="AM656" i="15"/>
  <c r="AM657" i="15"/>
  <c r="AM658" i="15"/>
  <c r="AM659" i="15"/>
  <c r="AM660" i="15"/>
  <c r="AM661" i="15"/>
  <c r="AM662" i="15"/>
  <c r="AM663" i="15"/>
  <c r="AM664" i="15"/>
  <c r="AM665" i="15"/>
  <c r="AM666" i="15"/>
  <c r="AM667" i="15"/>
  <c r="AM668" i="15"/>
  <c r="AM669" i="15"/>
  <c r="AM670" i="15"/>
  <c r="AM671" i="15"/>
  <c r="AM672" i="15"/>
  <c r="AM673" i="15"/>
  <c r="AM674" i="15"/>
  <c r="AM675" i="15"/>
  <c r="AM676" i="15"/>
  <c r="AM677" i="15"/>
  <c r="AM678" i="15"/>
  <c r="AM679" i="15"/>
  <c r="AM680" i="15"/>
  <c r="AM681" i="15"/>
  <c r="AM682" i="15"/>
  <c r="AM683" i="15"/>
  <c r="AM684" i="15"/>
  <c r="AM685" i="15"/>
  <c r="AM686" i="15"/>
  <c r="AM687" i="15"/>
  <c r="AM688" i="15"/>
  <c r="AM689" i="15"/>
  <c r="AM690" i="15"/>
  <c r="AM691" i="15"/>
  <c r="AM692" i="15"/>
  <c r="AM693" i="15"/>
  <c r="AM694" i="15"/>
  <c r="AM695" i="15"/>
  <c r="AM696" i="15"/>
  <c r="AM697" i="15"/>
  <c r="AM698" i="15"/>
  <c r="AM699" i="15"/>
  <c r="AM700" i="15"/>
  <c r="AM701" i="15"/>
  <c r="AM702" i="15"/>
  <c r="AM703" i="15"/>
  <c r="AM704" i="15"/>
  <c r="AM705" i="15"/>
  <c r="AM706" i="15"/>
  <c r="AM707" i="15"/>
  <c r="AM708" i="15"/>
  <c r="AM709" i="15"/>
  <c r="AM710" i="15"/>
  <c r="AM711" i="15"/>
  <c r="AM712" i="15"/>
  <c r="AM713" i="15"/>
  <c r="AM714" i="15"/>
  <c r="AM715" i="15"/>
  <c r="AM716" i="15"/>
  <c r="AM717" i="15"/>
  <c r="AM718" i="15"/>
  <c r="AM719" i="15"/>
  <c r="AM720" i="15"/>
  <c r="AM721" i="15"/>
  <c r="AM722" i="15"/>
  <c r="AM723" i="15"/>
  <c r="AM724" i="15"/>
  <c r="AM725" i="15"/>
  <c r="AM726" i="15"/>
  <c r="AM727" i="15"/>
  <c r="AM728" i="15"/>
  <c r="AM729" i="15"/>
  <c r="AM730" i="15"/>
  <c r="AM731" i="15"/>
  <c r="AM732" i="15"/>
  <c r="AM733" i="15"/>
  <c r="AM734" i="15"/>
  <c r="AM735" i="15"/>
  <c r="AM736" i="15"/>
  <c r="AM737" i="15"/>
  <c r="AM738" i="15"/>
  <c r="AM739" i="15"/>
  <c r="AM740" i="15"/>
  <c r="AM741" i="15"/>
  <c r="AM742" i="15"/>
  <c r="AM743" i="15"/>
  <c r="AM744" i="15"/>
  <c r="AM745" i="15"/>
  <c r="AM746" i="15"/>
  <c r="AM747" i="15"/>
  <c r="AM748" i="15"/>
  <c r="AM749" i="15"/>
  <c r="AM750" i="15"/>
  <c r="AM751" i="15"/>
  <c r="AM752" i="15"/>
  <c r="AM753" i="15"/>
  <c r="AM754" i="15"/>
  <c r="AM755" i="15"/>
  <c r="AM756" i="15"/>
  <c r="AM757" i="15"/>
  <c r="AM758" i="15"/>
  <c r="AM759" i="15"/>
  <c r="AM760" i="15"/>
  <c r="AM761" i="15"/>
  <c r="AM762" i="15"/>
  <c r="AM763" i="15"/>
  <c r="AM764" i="15"/>
  <c r="AM765" i="15"/>
  <c r="AM766" i="15"/>
  <c r="AM767" i="15"/>
  <c r="AM768" i="15"/>
  <c r="AM769" i="15"/>
  <c r="AM770" i="15"/>
  <c r="AM771" i="15"/>
  <c r="AM772" i="15"/>
  <c r="AM773" i="15"/>
  <c r="AM774" i="15"/>
  <c r="AM775" i="15"/>
  <c r="AM776" i="15"/>
  <c r="AM777" i="15"/>
  <c r="AM778" i="15"/>
  <c r="AM779" i="15"/>
  <c r="AM780" i="15"/>
  <c r="AM781" i="15"/>
  <c r="AM782" i="15"/>
  <c r="AM783" i="15"/>
  <c r="AM784" i="15"/>
  <c r="AM785" i="15"/>
  <c r="AM786" i="15"/>
  <c r="AM787" i="15"/>
  <c r="AM788" i="15"/>
  <c r="AM789" i="15"/>
  <c r="AM790" i="15"/>
  <c r="AM791" i="15"/>
  <c r="AM792" i="15"/>
  <c r="AM793" i="15"/>
  <c r="AM794" i="15"/>
  <c r="AM795" i="15"/>
  <c r="AM796" i="15"/>
  <c r="AM797" i="15"/>
  <c r="AM798" i="15"/>
  <c r="AM799" i="15"/>
  <c r="AM800" i="15"/>
  <c r="AM801" i="15"/>
  <c r="AM802" i="15"/>
  <c r="AM803" i="15"/>
  <c r="AM804" i="15"/>
  <c r="AM805" i="15"/>
  <c r="AM806" i="15"/>
  <c r="AM807" i="15"/>
  <c r="AM808" i="15"/>
  <c r="AM809" i="15"/>
  <c r="AM810" i="15"/>
  <c r="AM811" i="15"/>
  <c r="AM812" i="15"/>
  <c r="AM813" i="15"/>
  <c r="AM814" i="15"/>
  <c r="AM815" i="15"/>
  <c r="AM816" i="15"/>
  <c r="AM817" i="15"/>
  <c r="AM818" i="15"/>
  <c r="AM819" i="15"/>
  <c r="AM820" i="15"/>
  <c r="AM821" i="15"/>
  <c r="AM822" i="15"/>
  <c r="AM823" i="15"/>
  <c r="AM824" i="15"/>
  <c r="AM825" i="15"/>
  <c r="AM826" i="15"/>
  <c r="AM827" i="15"/>
  <c r="AM828" i="15"/>
  <c r="AM829" i="15"/>
  <c r="AM830" i="15"/>
  <c r="AM831" i="15"/>
  <c r="AM832" i="15"/>
  <c r="AM833" i="15"/>
  <c r="AM834" i="15"/>
  <c r="AM835" i="15"/>
  <c r="AM836" i="15"/>
  <c r="AM837" i="15"/>
  <c r="AM838" i="15"/>
  <c r="AM839" i="15"/>
  <c r="AM840" i="15"/>
  <c r="AM841" i="15"/>
  <c r="AM842" i="15"/>
  <c r="AM843" i="15"/>
  <c r="AM844" i="15"/>
  <c r="AM845" i="15"/>
  <c r="AM846" i="15"/>
  <c r="AM847" i="15"/>
  <c r="AM848" i="15"/>
  <c r="AM849" i="15"/>
  <c r="AM850" i="15"/>
  <c r="AM851" i="15"/>
  <c r="AM852" i="15"/>
  <c r="AM853" i="15"/>
  <c r="AM854" i="15"/>
  <c r="AM855" i="15"/>
  <c r="AM856" i="15"/>
  <c r="AM857" i="15"/>
  <c r="AM858" i="15"/>
  <c r="AM859" i="15"/>
  <c r="AM860" i="15"/>
  <c r="AM861" i="15"/>
  <c r="AM862" i="15"/>
  <c r="AM863" i="15"/>
  <c r="AM864" i="15"/>
  <c r="AM865" i="15"/>
  <c r="AM866" i="15"/>
  <c r="AM867" i="15"/>
  <c r="AM868" i="15"/>
  <c r="AM869" i="15"/>
  <c r="AM870" i="15"/>
  <c r="AM871" i="15"/>
  <c r="AM872" i="15"/>
  <c r="AM873" i="15"/>
  <c r="AM874" i="15"/>
  <c r="AM875" i="15"/>
  <c r="AM876" i="15"/>
  <c r="AM877" i="15"/>
  <c r="AM878" i="15"/>
  <c r="AM879" i="15"/>
  <c r="AM880" i="15"/>
  <c r="AM881" i="15"/>
  <c r="AM882" i="15"/>
  <c r="AM883" i="15"/>
  <c r="AM884" i="15"/>
  <c r="AM885" i="15"/>
  <c r="AM886" i="15"/>
  <c r="AM887" i="15"/>
  <c r="AM888" i="15"/>
  <c r="AM889" i="15"/>
  <c r="AM890" i="15"/>
  <c r="AM891" i="15"/>
  <c r="AM892" i="15"/>
  <c r="AM893" i="15"/>
  <c r="AM894" i="15"/>
  <c r="AM895" i="15"/>
  <c r="AM896" i="15"/>
  <c r="AM897" i="15"/>
  <c r="AM898" i="15"/>
  <c r="AM899" i="15"/>
  <c r="AM900" i="15"/>
  <c r="AM901" i="15"/>
  <c r="AM902" i="15"/>
  <c r="AM903" i="15"/>
  <c r="AM904" i="15"/>
  <c r="AM905" i="15"/>
  <c r="AM906" i="15"/>
  <c r="AM907" i="15"/>
  <c r="AM908" i="15"/>
  <c r="AM909" i="15"/>
  <c r="AM910" i="15"/>
  <c r="AM911" i="15"/>
  <c r="AM912" i="15"/>
  <c r="AM913" i="15"/>
  <c r="AM914" i="15"/>
  <c r="AM915" i="15"/>
  <c r="AM916" i="15"/>
  <c r="AM917" i="15"/>
  <c r="AM918" i="15"/>
  <c r="AM919" i="15"/>
  <c r="AM920" i="15"/>
  <c r="AM921" i="15"/>
  <c r="AM922" i="15"/>
  <c r="AM923" i="15"/>
  <c r="AM924" i="15"/>
  <c r="AM925" i="15"/>
  <c r="AM926" i="15"/>
  <c r="AM927" i="15"/>
  <c r="AM928" i="15"/>
  <c r="AM929" i="15"/>
  <c r="AM930" i="15"/>
  <c r="AM931" i="15"/>
  <c r="AM932" i="15"/>
  <c r="AM933" i="15"/>
  <c r="AM934" i="15"/>
  <c r="AM935" i="15"/>
  <c r="AM936" i="15"/>
  <c r="AM937" i="15"/>
  <c r="AM938" i="15"/>
  <c r="AM939" i="15"/>
  <c r="AM940" i="15"/>
  <c r="AM941" i="15"/>
  <c r="AM942" i="15"/>
  <c r="AM943" i="15"/>
  <c r="AM944" i="15"/>
  <c r="AM945" i="15"/>
  <c r="AM946" i="15"/>
  <c r="AM947" i="15"/>
  <c r="AM948" i="15"/>
  <c r="AM949" i="15"/>
  <c r="AM950" i="15"/>
  <c r="AM951" i="15"/>
  <c r="AM952" i="15"/>
  <c r="AM953" i="15"/>
  <c r="AM954" i="15"/>
  <c r="AM955" i="15"/>
  <c r="AM956" i="15"/>
  <c r="AM957" i="15"/>
  <c r="AM958" i="15"/>
  <c r="AM959" i="15"/>
  <c r="AM960" i="15"/>
  <c r="AM961" i="15"/>
  <c r="AM962" i="15"/>
  <c r="AM963" i="15"/>
  <c r="AM964" i="15"/>
  <c r="AM965" i="15"/>
  <c r="AM966" i="15"/>
  <c r="AM967" i="15"/>
  <c r="AM968" i="15"/>
  <c r="AM969" i="15"/>
  <c r="AM970" i="15"/>
  <c r="AM971" i="15"/>
  <c r="AM972" i="15"/>
  <c r="AM973" i="15"/>
  <c r="AM974" i="15"/>
  <c r="AM975" i="15"/>
  <c r="AM976" i="15"/>
  <c r="AM977" i="15"/>
  <c r="AM978" i="15"/>
  <c r="AM979" i="15"/>
  <c r="AM980" i="15"/>
  <c r="AM981" i="15"/>
  <c r="AM982" i="15"/>
  <c r="AM983" i="15"/>
  <c r="AM984" i="15"/>
  <c r="AM985" i="15"/>
  <c r="AM986" i="15"/>
  <c r="AM987" i="15"/>
  <c r="AM988" i="15"/>
  <c r="AM989" i="15"/>
  <c r="AM990" i="15"/>
  <c r="AM991" i="15"/>
  <c r="AM992" i="15"/>
  <c r="AM993" i="15"/>
  <c r="AM994" i="15"/>
  <c r="AM995" i="15"/>
  <c r="AM996" i="15"/>
  <c r="AM997" i="15"/>
  <c r="AM998" i="15"/>
  <c r="AM999" i="15"/>
  <c r="AM1000" i="15"/>
  <c r="AM1001" i="15"/>
  <c r="AM1002" i="15"/>
  <c r="AM1003" i="15"/>
  <c r="AM1004" i="15"/>
  <c r="AM1005" i="15"/>
  <c r="AM1006" i="15"/>
  <c r="AM1007" i="15"/>
  <c r="AM1008" i="15"/>
  <c r="AM1009" i="15"/>
  <c r="AM1010" i="15"/>
  <c r="AM1011" i="15"/>
  <c r="AM1012" i="15"/>
  <c r="AM1013" i="15"/>
  <c r="AM1014" i="15"/>
  <c r="AM1015" i="15"/>
  <c r="AM1016" i="15"/>
  <c r="AM1017" i="15"/>
  <c r="AM1018" i="15"/>
  <c r="AM1019" i="15"/>
  <c r="AM1020" i="15"/>
  <c r="AM1021" i="15"/>
  <c r="AM1022" i="15"/>
  <c r="AM1023" i="15"/>
  <c r="AM1024" i="15"/>
  <c r="AM1025" i="15"/>
  <c r="AM1026" i="15"/>
  <c r="AM1027" i="15"/>
  <c r="AO27" i="15"/>
  <c r="I1011" i="15" l="1"/>
  <c r="H1011" i="15"/>
  <c r="J1011" i="15" s="1"/>
  <c r="Y519" i="15"/>
  <c r="X519" i="15"/>
  <c r="Z519" i="15" s="1"/>
  <c r="M888" i="15"/>
  <c r="L888" i="15"/>
  <c r="N888" i="15" s="1"/>
  <c r="U642" i="15"/>
  <c r="T642" i="15"/>
  <c r="V642" i="15" s="1"/>
  <c r="AG273" i="15"/>
  <c r="AF273" i="15"/>
  <c r="AH273" i="15" s="1"/>
  <c r="AC396" i="15"/>
  <c r="AB396" i="15"/>
  <c r="AD396" i="15" s="1"/>
  <c r="Q765" i="15"/>
  <c r="P765" i="15"/>
  <c r="R765" i="15" s="1"/>
  <c r="AK150" i="15"/>
  <c r="AJ150" i="15"/>
  <c r="AL150" i="15" s="1"/>
  <c r="AN28" i="15"/>
  <c r="AN27" i="15"/>
  <c r="AP27" i="15" s="1"/>
  <c r="AK151" i="15" l="1"/>
  <c r="AJ151" i="15"/>
  <c r="AL151" i="15" s="1"/>
  <c r="Q766" i="15"/>
  <c r="P766" i="15"/>
  <c r="R766" i="15" s="1"/>
  <c r="AC397" i="15"/>
  <c r="AB397" i="15"/>
  <c r="AD397" i="15" s="1"/>
  <c r="AG274" i="15"/>
  <c r="AF274" i="15"/>
  <c r="AH274" i="15" s="1"/>
  <c r="U643" i="15"/>
  <c r="T643" i="15"/>
  <c r="V643" i="15" s="1"/>
  <c r="M889" i="15"/>
  <c r="L889" i="15"/>
  <c r="N889" i="15" s="1"/>
  <c r="Y520" i="15"/>
  <c r="X520" i="15"/>
  <c r="Z520" i="15" s="1"/>
  <c r="I1012" i="15"/>
  <c r="H1012" i="15"/>
  <c r="J1012" i="15" s="1"/>
  <c r="AP28" i="15"/>
  <c r="AO28" i="15"/>
  <c r="I1013" i="15" l="1"/>
  <c r="H1013" i="15"/>
  <c r="J1013" i="15" s="1"/>
  <c r="M890" i="15"/>
  <c r="L890" i="15"/>
  <c r="N890" i="15" s="1"/>
  <c r="U644" i="15"/>
  <c r="T644" i="15"/>
  <c r="V644" i="15" s="1"/>
  <c r="AG275" i="15"/>
  <c r="AF275" i="15"/>
  <c r="AH275" i="15" s="1"/>
  <c r="AC398" i="15"/>
  <c r="AB398" i="15"/>
  <c r="AD398" i="15" s="1"/>
  <c r="AK152" i="15"/>
  <c r="AJ152" i="15"/>
  <c r="AL152" i="15" s="1"/>
  <c r="Y521" i="15"/>
  <c r="X521" i="15"/>
  <c r="Z521" i="15" s="1"/>
  <c r="Q767" i="15"/>
  <c r="P767" i="15"/>
  <c r="R767" i="15" s="1"/>
  <c r="AO29" i="15"/>
  <c r="AN29" i="15"/>
  <c r="AP29" i="15" s="1"/>
  <c r="Q768" i="15" l="1"/>
  <c r="P768" i="15"/>
  <c r="R768" i="15" s="1"/>
  <c r="Y522" i="15"/>
  <c r="X522" i="15"/>
  <c r="Z522" i="15" s="1"/>
  <c r="AC399" i="15"/>
  <c r="AB399" i="15"/>
  <c r="AD399" i="15" s="1"/>
  <c r="AG276" i="15"/>
  <c r="AF276" i="15"/>
  <c r="AH276" i="15" s="1"/>
  <c r="M891" i="15"/>
  <c r="L891" i="15"/>
  <c r="N891" i="15" s="1"/>
  <c r="I1014" i="15"/>
  <c r="H1014" i="15"/>
  <c r="J1014" i="15" s="1"/>
  <c r="AO30" i="15"/>
  <c r="AN30" i="15"/>
  <c r="AP30" i="15" s="1"/>
  <c r="AK153" i="15"/>
  <c r="AJ153" i="15"/>
  <c r="AL153" i="15" s="1"/>
  <c r="U645" i="15"/>
  <c r="T645" i="15"/>
  <c r="V645" i="15" s="1"/>
  <c r="AK154" i="15" l="1"/>
  <c r="AJ154" i="15"/>
  <c r="AL154" i="15" s="1"/>
  <c r="I1015" i="15"/>
  <c r="H1015" i="15"/>
  <c r="J1015" i="15" s="1"/>
  <c r="AG277" i="15"/>
  <c r="AF277" i="15"/>
  <c r="AH277" i="15" s="1"/>
  <c r="AC400" i="15"/>
  <c r="AB400" i="15"/>
  <c r="AD400" i="15" s="1"/>
  <c r="Q769" i="15"/>
  <c r="P769" i="15"/>
  <c r="R769" i="15" s="1"/>
  <c r="U646" i="15"/>
  <c r="T646" i="15"/>
  <c r="V646" i="15" s="1"/>
  <c r="AO31" i="15"/>
  <c r="AN31" i="15"/>
  <c r="AP31" i="15" s="1"/>
  <c r="M892" i="15"/>
  <c r="L892" i="15"/>
  <c r="N892" i="15" s="1"/>
  <c r="Y523" i="15"/>
  <c r="X523" i="15"/>
  <c r="Z523" i="15" s="1"/>
  <c r="M893" i="15" l="1"/>
  <c r="L893" i="15"/>
  <c r="N893" i="15" s="1"/>
  <c r="Q770" i="15"/>
  <c r="P770" i="15"/>
  <c r="R770" i="15" s="1"/>
  <c r="AG278" i="15"/>
  <c r="AF278" i="15"/>
  <c r="AH278" i="15" s="1"/>
  <c r="AK155" i="15"/>
  <c r="AJ155" i="15"/>
  <c r="AL155" i="15" s="1"/>
  <c r="Y524" i="15"/>
  <c r="X524" i="15"/>
  <c r="Z524" i="15" s="1"/>
  <c r="AO32" i="15"/>
  <c r="AN32" i="15"/>
  <c r="AP32" i="15" s="1"/>
  <c r="U647" i="15"/>
  <c r="T647" i="15"/>
  <c r="V647" i="15" s="1"/>
  <c r="AC401" i="15"/>
  <c r="AB401" i="15"/>
  <c r="AD401" i="15" s="1"/>
  <c r="I1016" i="15"/>
  <c r="H1016" i="15"/>
  <c r="J1016" i="15" s="1"/>
  <c r="AC402" i="15" l="1"/>
  <c r="AB402" i="15"/>
  <c r="AD402" i="15" s="1"/>
  <c r="AO33" i="15"/>
  <c r="AN33" i="15"/>
  <c r="AP33" i="15" s="1"/>
  <c r="AK156" i="15"/>
  <c r="AJ156" i="15"/>
  <c r="AL156" i="15" s="1"/>
  <c r="AG279" i="15"/>
  <c r="AF279" i="15"/>
  <c r="AH279" i="15" s="1"/>
  <c r="M894" i="15"/>
  <c r="L894" i="15"/>
  <c r="N894" i="15" s="1"/>
  <c r="I1017" i="15"/>
  <c r="H1017" i="15"/>
  <c r="J1017" i="15" s="1"/>
  <c r="U648" i="15"/>
  <c r="T648" i="15"/>
  <c r="V648" i="15" s="1"/>
  <c r="Y525" i="15"/>
  <c r="X525" i="15"/>
  <c r="Z525" i="15" s="1"/>
  <c r="Q771" i="15"/>
  <c r="P771" i="15"/>
  <c r="R771" i="15" s="1"/>
  <c r="Q772" i="15" l="1"/>
  <c r="P772" i="15"/>
  <c r="R772" i="15" s="1"/>
  <c r="U649" i="15"/>
  <c r="T649" i="15"/>
  <c r="V649" i="15" s="1"/>
  <c r="M895" i="15"/>
  <c r="L895" i="15"/>
  <c r="N895" i="15" s="1"/>
  <c r="AK157" i="15"/>
  <c r="AJ157" i="15"/>
  <c r="AL157" i="15" s="1"/>
  <c r="AC403" i="15"/>
  <c r="AB403" i="15"/>
  <c r="AD403" i="15" s="1"/>
  <c r="Y526" i="15"/>
  <c r="X526" i="15"/>
  <c r="Z526" i="15" s="1"/>
  <c r="I1018" i="15"/>
  <c r="H1018" i="15"/>
  <c r="J1018" i="15" s="1"/>
  <c r="AG280" i="15"/>
  <c r="AF280" i="15"/>
  <c r="AH280" i="15" s="1"/>
  <c r="AO34" i="15"/>
  <c r="AN34" i="15"/>
  <c r="AP34" i="15" s="1"/>
  <c r="AO35" i="15" l="1"/>
  <c r="AN35" i="15"/>
  <c r="AP35" i="15" s="1"/>
  <c r="I1019" i="15"/>
  <c r="H1019" i="15"/>
  <c r="J1019" i="15" s="1"/>
  <c r="AC404" i="15"/>
  <c r="AB404" i="15"/>
  <c r="AD404" i="15" s="1"/>
  <c r="AK158" i="15"/>
  <c r="AJ158" i="15"/>
  <c r="AL158" i="15" s="1"/>
  <c r="M896" i="15"/>
  <c r="L896" i="15"/>
  <c r="N896" i="15" s="1"/>
  <c r="Q773" i="15"/>
  <c r="P773" i="15"/>
  <c r="R773" i="15" s="1"/>
  <c r="AG281" i="15"/>
  <c r="AF281" i="15"/>
  <c r="AH281" i="15" s="1"/>
  <c r="Y527" i="15"/>
  <c r="X527" i="15"/>
  <c r="Z527" i="15" s="1"/>
  <c r="U650" i="15"/>
  <c r="T650" i="15"/>
  <c r="V650" i="15" s="1"/>
  <c r="Y528" i="15" l="1"/>
  <c r="X528" i="15"/>
  <c r="Z528" i="15" s="1"/>
  <c r="Q774" i="15"/>
  <c r="P774" i="15"/>
  <c r="R774" i="15" s="1"/>
  <c r="M897" i="15"/>
  <c r="L897" i="15"/>
  <c r="N897" i="15" s="1"/>
  <c r="AC405" i="15"/>
  <c r="AB405" i="15"/>
  <c r="AD405" i="15" s="1"/>
  <c r="AO36" i="15"/>
  <c r="AN36" i="15"/>
  <c r="AP36" i="15" s="1"/>
  <c r="U651" i="15"/>
  <c r="T651" i="15"/>
  <c r="V651" i="15" s="1"/>
  <c r="AG282" i="15"/>
  <c r="AF282" i="15"/>
  <c r="AH282" i="15" s="1"/>
  <c r="AK159" i="15"/>
  <c r="AJ159" i="15"/>
  <c r="AL159" i="15" s="1"/>
  <c r="I1020" i="15"/>
  <c r="H1020" i="15"/>
  <c r="J1020" i="15" s="1"/>
  <c r="I1021" i="15" l="1"/>
  <c r="H1021" i="15"/>
  <c r="J1021" i="15" s="1"/>
  <c r="AG283" i="15"/>
  <c r="AF283" i="15"/>
  <c r="AH283" i="15" s="1"/>
  <c r="U652" i="15"/>
  <c r="T652" i="15"/>
  <c r="V652" i="15" s="1"/>
  <c r="AO37" i="15"/>
  <c r="AN37" i="15"/>
  <c r="AP37" i="15" s="1"/>
  <c r="M898" i="15"/>
  <c r="L898" i="15"/>
  <c r="N898" i="15" s="1"/>
  <c r="Q775" i="15"/>
  <c r="P775" i="15"/>
  <c r="R775" i="15" s="1"/>
  <c r="Y529" i="15"/>
  <c r="X529" i="15"/>
  <c r="Z529" i="15" s="1"/>
  <c r="AK160" i="15"/>
  <c r="AJ160" i="15"/>
  <c r="AL160" i="15" s="1"/>
  <c r="AC406" i="15"/>
  <c r="AB406" i="15"/>
  <c r="AD406" i="15" s="1"/>
  <c r="AC407" i="15" l="1"/>
  <c r="AB407" i="15"/>
  <c r="AD407" i="15" s="1"/>
  <c r="AK161" i="15"/>
  <c r="AJ161" i="15"/>
  <c r="AL161" i="15" s="1"/>
  <c r="Y530" i="15"/>
  <c r="X530" i="15"/>
  <c r="Z530" i="15" s="1"/>
  <c r="Q776" i="15"/>
  <c r="P776" i="15"/>
  <c r="R776" i="15" s="1"/>
  <c r="M899" i="15"/>
  <c r="L899" i="15"/>
  <c r="N899" i="15" s="1"/>
  <c r="AO38" i="15"/>
  <c r="AN38" i="15"/>
  <c r="AP38" i="15" s="1"/>
  <c r="U653" i="15"/>
  <c r="T653" i="15"/>
  <c r="V653" i="15" s="1"/>
  <c r="AG284" i="15"/>
  <c r="AF284" i="15"/>
  <c r="AH284" i="15" s="1"/>
  <c r="I1022" i="15"/>
  <c r="H1022" i="15"/>
  <c r="J1022" i="15" s="1"/>
  <c r="I1023" i="15" l="1"/>
  <c r="H1023" i="15"/>
  <c r="J1023" i="15" s="1"/>
  <c r="U654" i="15"/>
  <c r="T654" i="15"/>
  <c r="V654" i="15" s="1"/>
  <c r="AO39" i="15"/>
  <c r="AN39" i="15"/>
  <c r="AP39" i="15" s="1"/>
  <c r="Q777" i="15"/>
  <c r="P777" i="15"/>
  <c r="R777" i="15" s="1"/>
  <c r="Y531" i="15"/>
  <c r="X531" i="15"/>
  <c r="Z531" i="15" s="1"/>
  <c r="AC408" i="15"/>
  <c r="AB408" i="15"/>
  <c r="AD408" i="15" s="1"/>
  <c r="AG285" i="15"/>
  <c r="AF285" i="15"/>
  <c r="AH285" i="15" s="1"/>
  <c r="M900" i="15"/>
  <c r="L900" i="15"/>
  <c r="N900" i="15" s="1"/>
  <c r="AK162" i="15"/>
  <c r="AJ162" i="15"/>
  <c r="AL162" i="15" s="1"/>
  <c r="AG286" i="15" l="1"/>
  <c r="AF286" i="15"/>
  <c r="AH286" i="15" s="1"/>
  <c r="AC409" i="15"/>
  <c r="AB409" i="15"/>
  <c r="AD409" i="15" s="1"/>
  <c r="Q778" i="15"/>
  <c r="P778" i="15"/>
  <c r="R778" i="15" s="1"/>
  <c r="AO40" i="15"/>
  <c r="AN40" i="15"/>
  <c r="AP40" i="15" s="1"/>
  <c r="I1024" i="15"/>
  <c r="H1024" i="15"/>
  <c r="J1024" i="15" s="1"/>
  <c r="AK163" i="15"/>
  <c r="AJ163" i="15"/>
  <c r="AL163" i="15" s="1"/>
  <c r="M901" i="15"/>
  <c r="L901" i="15"/>
  <c r="N901" i="15" s="1"/>
  <c r="Y532" i="15"/>
  <c r="X532" i="15"/>
  <c r="Z532" i="15" s="1"/>
  <c r="U655" i="15"/>
  <c r="T655" i="15"/>
  <c r="V655" i="15" s="1"/>
  <c r="Y533" i="15" l="1"/>
  <c r="X533" i="15"/>
  <c r="Z533" i="15" s="1"/>
  <c r="AK164" i="15"/>
  <c r="AJ164" i="15"/>
  <c r="AL164" i="15" s="1"/>
  <c r="AO41" i="15"/>
  <c r="AN41" i="15"/>
  <c r="AP41" i="15" s="1"/>
  <c r="Q779" i="15"/>
  <c r="P779" i="15"/>
  <c r="R779" i="15" s="1"/>
  <c r="AG287" i="15"/>
  <c r="AF287" i="15"/>
  <c r="AH287" i="15" s="1"/>
  <c r="U656" i="15"/>
  <c r="T656" i="15"/>
  <c r="V656" i="15" s="1"/>
  <c r="M902" i="15"/>
  <c r="L902" i="15"/>
  <c r="N902" i="15" s="1"/>
  <c r="I1025" i="15"/>
  <c r="H1025" i="15"/>
  <c r="J1025" i="15" s="1"/>
  <c r="AC410" i="15"/>
  <c r="AB410" i="15"/>
  <c r="AD410" i="15" s="1"/>
  <c r="I1026" i="15" l="1"/>
  <c r="H1026" i="15"/>
  <c r="J1026" i="15" s="1"/>
  <c r="U657" i="15"/>
  <c r="T657" i="15"/>
  <c r="V657" i="15" s="1"/>
  <c r="Q780" i="15"/>
  <c r="P780" i="15"/>
  <c r="R780" i="15" s="1"/>
  <c r="AO42" i="15"/>
  <c r="AN42" i="15"/>
  <c r="AP42" i="15" s="1"/>
  <c r="Y534" i="15"/>
  <c r="X534" i="15"/>
  <c r="Z534" i="15" s="1"/>
  <c r="AC411" i="15"/>
  <c r="AB411" i="15"/>
  <c r="AD411" i="15" s="1"/>
  <c r="M903" i="15"/>
  <c r="L903" i="15"/>
  <c r="N903" i="15" s="1"/>
  <c r="AG288" i="15"/>
  <c r="AF288" i="15"/>
  <c r="AH288" i="15" s="1"/>
  <c r="AK165" i="15"/>
  <c r="AJ165" i="15"/>
  <c r="AL165" i="15" s="1"/>
  <c r="AK166" i="15" l="1"/>
  <c r="AJ166" i="15"/>
  <c r="AL166" i="15" s="1"/>
  <c r="M904" i="15"/>
  <c r="L904" i="15"/>
  <c r="N904" i="15" s="1"/>
  <c r="AC412" i="15"/>
  <c r="AB412" i="15"/>
  <c r="AD412" i="15" s="1"/>
  <c r="AO43" i="15"/>
  <c r="AN43" i="15"/>
  <c r="AP43" i="15" s="1"/>
  <c r="Q781" i="15"/>
  <c r="P781" i="15"/>
  <c r="R781" i="15" s="1"/>
  <c r="I1027" i="15"/>
  <c r="H1027" i="15"/>
  <c r="J1027" i="15" s="1"/>
  <c r="AG289" i="15"/>
  <c r="AF289" i="15"/>
  <c r="AH289" i="15" s="1"/>
  <c r="Y535" i="15"/>
  <c r="X535" i="15"/>
  <c r="Z535" i="15" s="1"/>
  <c r="U658" i="15"/>
  <c r="T658" i="15"/>
  <c r="V658" i="15" s="1"/>
  <c r="AG290" i="15" l="1"/>
  <c r="AF290" i="15"/>
  <c r="AH290" i="15" s="1"/>
  <c r="Q782" i="15"/>
  <c r="P782" i="15"/>
  <c r="R782" i="15" s="1"/>
  <c r="AC413" i="15"/>
  <c r="AB413" i="15"/>
  <c r="AD413" i="15" s="1"/>
  <c r="AK167" i="15"/>
  <c r="AJ167" i="15"/>
  <c r="AL167" i="15" s="1"/>
  <c r="U659" i="15"/>
  <c r="T659" i="15"/>
  <c r="V659" i="15" s="1"/>
  <c r="Y536" i="15"/>
  <c r="X536" i="15"/>
  <c r="Z536" i="15" s="1"/>
  <c r="AO44" i="15"/>
  <c r="AN44" i="15"/>
  <c r="AP44" i="15" s="1"/>
  <c r="M905" i="15"/>
  <c r="L905" i="15"/>
  <c r="N905" i="15" s="1"/>
  <c r="M906" i="15" l="1"/>
  <c r="L906" i="15"/>
  <c r="N906" i="15" s="1"/>
  <c r="Y537" i="15"/>
  <c r="X537" i="15"/>
  <c r="Z537" i="15" s="1"/>
  <c r="U660" i="15"/>
  <c r="T660" i="15"/>
  <c r="V660" i="15" s="1"/>
  <c r="AC414" i="15"/>
  <c r="AB414" i="15"/>
  <c r="AD414" i="15" s="1"/>
  <c r="AG291" i="15"/>
  <c r="AF291" i="15"/>
  <c r="AH291" i="15" s="1"/>
  <c r="AO45" i="15"/>
  <c r="AN45" i="15"/>
  <c r="AP45" i="15" s="1"/>
  <c r="AK168" i="15"/>
  <c r="AJ168" i="15"/>
  <c r="AL168" i="15" s="1"/>
  <c r="Q783" i="15"/>
  <c r="P783" i="15"/>
  <c r="R783" i="15" s="1"/>
  <c r="Q784" i="15" l="1"/>
  <c r="P784" i="15"/>
  <c r="R784" i="15" s="1"/>
  <c r="AO46" i="15"/>
  <c r="AN46" i="15"/>
  <c r="AP46" i="15" s="1"/>
  <c r="AC415" i="15"/>
  <c r="AB415" i="15"/>
  <c r="AD415" i="15" s="1"/>
  <c r="U661" i="15"/>
  <c r="T661" i="15"/>
  <c r="V661" i="15" s="1"/>
  <c r="M907" i="15"/>
  <c r="L907" i="15"/>
  <c r="N907" i="15" s="1"/>
  <c r="AK169" i="15"/>
  <c r="AJ169" i="15"/>
  <c r="AL169" i="15" s="1"/>
  <c r="AG292" i="15"/>
  <c r="AF292" i="15"/>
  <c r="AH292" i="15" s="1"/>
  <c r="Y538" i="15"/>
  <c r="X538" i="15"/>
  <c r="Z538" i="15" s="1"/>
  <c r="Y539" i="15" l="1"/>
  <c r="X539" i="15"/>
  <c r="Z539" i="15" s="1"/>
  <c r="AK170" i="15"/>
  <c r="AJ170" i="15"/>
  <c r="AL170" i="15" s="1"/>
  <c r="U662" i="15"/>
  <c r="T662" i="15"/>
  <c r="V662" i="15" s="1"/>
  <c r="AC416" i="15"/>
  <c r="AB416" i="15"/>
  <c r="AD416" i="15" s="1"/>
  <c r="Q785" i="15"/>
  <c r="P785" i="15"/>
  <c r="R785" i="15" s="1"/>
  <c r="AG293" i="15"/>
  <c r="AF293" i="15"/>
  <c r="AH293" i="15" s="1"/>
  <c r="M908" i="15"/>
  <c r="L908" i="15"/>
  <c r="N908" i="15" s="1"/>
  <c r="AO47" i="15"/>
  <c r="AN47" i="15"/>
  <c r="AP47" i="15" s="1"/>
  <c r="AO48" i="15" l="1"/>
  <c r="AN48" i="15"/>
  <c r="AP48" i="15" s="1"/>
  <c r="AG294" i="15"/>
  <c r="AF294" i="15"/>
  <c r="AH294" i="15" s="1"/>
  <c r="AC417" i="15"/>
  <c r="AB417" i="15"/>
  <c r="AD417" i="15" s="1"/>
  <c r="U663" i="15"/>
  <c r="T663" i="15"/>
  <c r="V663" i="15" s="1"/>
  <c r="Y540" i="15"/>
  <c r="X540" i="15"/>
  <c r="Z540" i="15" s="1"/>
  <c r="M909" i="15"/>
  <c r="L909" i="15"/>
  <c r="N909" i="15" s="1"/>
  <c r="Q786" i="15"/>
  <c r="P786" i="15"/>
  <c r="R786" i="15" s="1"/>
  <c r="AK171" i="15"/>
  <c r="AJ171" i="15"/>
  <c r="AL171" i="15" s="1"/>
  <c r="AK172" i="15" l="1"/>
  <c r="AJ172" i="15"/>
  <c r="AL172" i="15" s="1"/>
  <c r="M910" i="15"/>
  <c r="L910" i="15"/>
  <c r="N910" i="15" s="1"/>
  <c r="Y541" i="15"/>
  <c r="X541" i="15"/>
  <c r="Z541" i="15" s="1"/>
  <c r="AC418" i="15"/>
  <c r="AB418" i="15"/>
  <c r="AD418" i="15" s="1"/>
  <c r="AO49" i="15"/>
  <c r="AN49" i="15"/>
  <c r="AP49" i="15" s="1"/>
  <c r="Q787" i="15"/>
  <c r="P787" i="15"/>
  <c r="R787" i="15" s="1"/>
  <c r="U664" i="15"/>
  <c r="T664" i="15"/>
  <c r="V664" i="15" s="1"/>
  <c r="AG295" i="15"/>
  <c r="AF295" i="15"/>
  <c r="AH295" i="15" s="1"/>
  <c r="U665" i="15" l="1"/>
  <c r="T665" i="15"/>
  <c r="V665" i="15" s="1"/>
  <c r="AO50" i="15"/>
  <c r="AN50" i="15"/>
  <c r="AP50" i="15" s="1"/>
  <c r="Y542" i="15"/>
  <c r="X542" i="15"/>
  <c r="Z542" i="15" s="1"/>
  <c r="AK173" i="15"/>
  <c r="AJ173" i="15"/>
  <c r="AL173" i="15" s="1"/>
  <c r="AG296" i="15"/>
  <c r="AF296" i="15"/>
  <c r="AH296" i="15" s="1"/>
  <c r="Q788" i="15"/>
  <c r="P788" i="15"/>
  <c r="R788" i="15" s="1"/>
  <c r="AC419" i="15"/>
  <c r="AB419" i="15"/>
  <c r="AD419" i="15" s="1"/>
  <c r="M911" i="15"/>
  <c r="L911" i="15"/>
  <c r="N911" i="15" s="1"/>
  <c r="M912" i="15" l="1"/>
  <c r="L912" i="15"/>
  <c r="N912" i="15" s="1"/>
  <c r="Q789" i="15"/>
  <c r="P789" i="15"/>
  <c r="R789" i="15" s="1"/>
  <c r="AK174" i="15"/>
  <c r="AJ174" i="15"/>
  <c r="AL174" i="15" s="1"/>
  <c r="Y543" i="15"/>
  <c r="X543" i="15"/>
  <c r="Z543" i="15" s="1"/>
  <c r="U666" i="15"/>
  <c r="T666" i="15"/>
  <c r="V666" i="15" s="1"/>
  <c r="AC420" i="15"/>
  <c r="AB420" i="15"/>
  <c r="AD420" i="15" s="1"/>
  <c r="AG297" i="15"/>
  <c r="AF297" i="15"/>
  <c r="AH297" i="15" s="1"/>
  <c r="AO51" i="15"/>
  <c r="AN51" i="15"/>
  <c r="AP51" i="15" s="1"/>
  <c r="AG298" i="15" l="1"/>
  <c r="AF298" i="15"/>
  <c r="AH298" i="15" s="1"/>
  <c r="U667" i="15"/>
  <c r="T667" i="15"/>
  <c r="V667" i="15" s="1"/>
  <c r="AK175" i="15"/>
  <c r="AJ175" i="15"/>
  <c r="AL175" i="15" s="1"/>
  <c r="M913" i="15"/>
  <c r="L913" i="15"/>
  <c r="N913" i="15" s="1"/>
  <c r="AO52" i="15"/>
  <c r="AN52" i="15"/>
  <c r="AP52" i="15" s="1"/>
  <c r="AC421" i="15"/>
  <c r="AB421" i="15"/>
  <c r="AD421" i="15" s="1"/>
  <c r="Y544" i="15"/>
  <c r="X544" i="15"/>
  <c r="Z544" i="15" s="1"/>
  <c r="Q790" i="15"/>
  <c r="P790" i="15"/>
  <c r="R790" i="15" s="1"/>
  <c r="AC422" i="15" l="1"/>
  <c r="AB422" i="15"/>
  <c r="AD422" i="15" s="1"/>
  <c r="M914" i="15"/>
  <c r="L914" i="15"/>
  <c r="N914" i="15" s="1"/>
  <c r="AK176" i="15"/>
  <c r="AJ176" i="15"/>
  <c r="AL176" i="15" s="1"/>
  <c r="AG299" i="15"/>
  <c r="AF299" i="15"/>
  <c r="AH299" i="15" s="1"/>
  <c r="Q791" i="15"/>
  <c r="P791" i="15"/>
  <c r="R791" i="15" s="1"/>
  <c r="Y545" i="15"/>
  <c r="X545" i="15"/>
  <c r="Z545" i="15" s="1"/>
  <c r="AO53" i="15"/>
  <c r="AN53" i="15"/>
  <c r="AP53" i="15" s="1"/>
  <c r="U668" i="15"/>
  <c r="T668" i="15"/>
  <c r="V668" i="15" s="1"/>
  <c r="AO54" i="15" l="1"/>
  <c r="AN54" i="15"/>
  <c r="AP54" i="15" s="1"/>
  <c r="Q792" i="15"/>
  <c r="P792" i="15"/>
  <c r="R792" i="15" s="1"/>
  <c r="AK177" i="15"/>
  <c r="AJ177" i="15"/>
  <c r="AL177" i="15" s="1"/>
  <c r="AC423" i="15"/>
  <c r="AB423" i="15"/>
  <c r="AD423" i="15" s="1"/>
  <c r="U669" i="15"/>
  <c r="T669" i="15"/>
  <c r="V669" i="15" s="1"/>
  <c r="Y546" i="15"/>
  <c r="X546" i="15"/>
  <c r="Z546" i="15" s="1"/>
  <c r="AG300" i="15"/>
  <c r="AF300" i="15"/>
  <c r="AH300" i="15" s="1"/>
  <c r="M915" i="15"/>
  <c r="L915" i="15"/>
  <c r="N915" i="15" s="1"/>
  <c r="M916" i="15" l="1"/>
  <c r="L916" i="15"/>
  <c r="N916" i="15" s="1"/>
  <c r="Y547" i="15"/>
  <c r="X547" i="15"/>
  <c r="Z547" i="15" s="1"/>
  <c r="U670" i="15"/>
  <c r="T670" i="15"/>
  <c r="V670" i="15" s="1"/>
  <c r="AK178" i="15"/>
  <c r="AJ178" i="15"/>
  <c r="AL178" i="15" s="1"/>
  <c r="AO55" i="15"/>
  <c r="AN55" i="15"/>
  <c r="AP55" i="15" s="1"/>
  <c r="AG301" i="15"/>
  <c r="AF301" i="15"/>
  <c r="AH301" i="15" s="1"/>
  <c r="AC424" i="15"/>
  <c r="AB424" i="15"/>
  <c r="AD424" i="15" s="1"/>
  <c r="Q793" i="15"/>
  <c r="P793" i="15"/>
  <c r="R793" i="15" s="1"/>
  <c r="AG302" i="15" l="1"/>
  <c r="AF302" i="15"/>
  <c r="AH302" i="15" s="1"/>
  <c r="AO56" i="15"/>
  <c r="AN56" i="15"/>
  <c r="AP56" i="15" s="1"/>
  <c r="U671" i="15"/>
  <c r="T671" i="15"/>
  <c r="V671" i="15" s="1"/>
  <c r="M917" i="15"/>
  <c r="L917" i="15"/>
  <c r="N917" i="15" s="1"/>
  <c r="Q794" i="15"/>
  <c r="P794" i="15"/>
  <c r="R794" i="15" s="1"/>
  <c r="AC425" i="15"/>
  <c r="AB425" i="15"/>
  <c r="AD425" i="15" s="1"/>
  <c r="AK179" i="15"/>
  <c r="AJ179" i="15"/>
  <c r="AL179" i="15" s="1"/>
  <c r="Y548" i="15"/>
  <c r="X548" i="15"/>
  <c r="Z548" i="15" s="1"/>
  <c r="AK180" i="15" l="1"/>
  <c r="AJ180" i="15"/>
  <c r="AL180" i="15" s="1"/>
  <c r="Q795" i="15"/>
  <c r="P795" i="15"/>
  <c r="R795" i="15" s="1"/>
  <c r="U672" i="15"/>
  <c r="T672" i="15"/>
  <c r="V672" i="15" s="1"/>
  <c r="AG303" i="15"/>
  <c r="AF303" i="15"/>
  <c r="AH303" i="15" s="1"/>
  <c r="Y549" i="15"/>
  <c r="X549" i="15"/>
  <c r="Z549" i="15" s="1"/>
  <c r="AC426" i="15"/>
  <c r="AB426" i="15"/>
  <c r="AD426" i="15" s="1"/>
  <c r="M918" i="15"/>
  <c r="L918" i="15"/>
  <c r="N918" i="15" s="1"/>
  <c r="AO57" i="15"/>
  <c r="AN57" i="15"/>
  <c r="AP57" i="15" s="1"/>
  <c r="AO58" i="15" l="1"/>
  <c r="AN58" i="15"/>
  <c r="AP58" i="15" s="1"/>
  <c r="AC427" i="15"/>
  <c r="AB427" i="15"/>
  <c r="AD427" i="15" s="1"/>
  <c r="Y550" i="15"/>
  <c r="X550" i="15"/>
  <c r="Z550" i="15" s="1"/>
  <c r="U673" i="15"/>
  <c r="T673" i="15"/>
  <c r="V673" i="15" s="1"/>
  <c r="AK181" i="15"/>
  <c r="AJ181" i="15"/>
  <c r="AL181" i="15" s="1"/>
  <c r="M919" i="15"/>
  <c r="L919" i="15"/>
  <c r="N919" i="15" s="1"/>
  <c r="AG304" i="15"/>
  <c r="AF304" i="15"/>
  <c r="AH304" i="15" s="1"/>
  <c r="Q796" i="15"/>
  <c r="P796" i="15"/>
  <c r="R796" i="15" s="1"/>
  <c r="Q797" i="15" l="1"/>
  <c r="P797" i="15"/>
  <c r="R797" i="15" s="1"/>
  <c r="M920" i="15"/>
  <c r="L920" i="15"/>
  <c r="N920" i="15" s="1"/>
  <c r="U674" i="15"/>
  <c r="T674" i="15"/>
  <c r="V674" i="15" s="1"/>
  <c r="Y551" i="15"/>
  <c r="X551" i="15"/>
  <c r="Z551" i="15" s="1"/>
  <c r="AO59" i="15"/>
  <c r="AN59" i="15"/>
  <c r="AP59" i="15" s="1"/>
  <c r="AG305" i="15"/>
  <c r="AF305" i="15"/>
  <c r="AH305" i="15" s="1"/>
  <c r="AK182" i="15"/>
  <c r="AJ182" i="15"/>
  <c r="AL182" i="15" s="1"/>
  <c r="AC428" i="15"/>
  <c r="AB428" i="15"/>
  <c r="AD428" i="15" s="1"/>
  <c r="AC429" i="15" l="1"/>
  <c r="AB429" i="15"/>
  <c r="AD429" i="15" s="1"/>
  <c r="AK183" i="15"/>
  <c r="AJ183" i="15"/>
  <c r="AL183" i="15" s="1"/>
  <c r="AO60" i="15"/>
  <c r="AN60" i="15"/>
  <c r="AP60" i="15" s="1"/>
  <c r="U675" i="15"/>
  <c r="T675" i="15"/>
  <c r="V675" i="15" s="1"/>
  <c r="Q798" i="15"/>
  <c r="P798" i="15"/>
  <c r="R798" i="15" s="1"/>
  <c r="AG306" i="15"/>
  <c r="AF306" i="15"/>
  <c r="AH306" i="15" s="1"/>
  <c r="Y552" i="15"/>
  <c r="X552" i="15"/>
  <c r="Z552" i="15" s="1"/>
  <c r="M921" i="15"/>
  <c r="L921" i="15"/>
  <c r="N921" i="15" s="1"/>
  <c r="M922" i="15" l="1"/>
  <c r="L922" i="15"/>
  <c r="N922" i="15" s="1"/>
  <c r="AG307" i="15"/>
  <c r="AF307" i="15"/>
  <c r="AH307" i="15" s="1"/>
  <c r="Q799" i="15"/>
  <c r="P799" i="15"/>
  <c r="R799" i="15" s="1"/>
  <c r="AO61" i="15"/>
  <c r="AN61" i="15"/>
  <c r="AP61" i="15" s="1"/>
  <c r="AC430" i="15"/>
  <c r="AB430" i="15"/>
  <c r="AD430" i="15" s="1"/>
  <c r="Y553" i="15"/>
  <c r="X553" i="15"/>
  <c r="Z553" i="15" s="1"/>
  <c r="U676" i="15"/>
  <c r="T676" i="15"/>
  <c r="V676" i="15" s="1"/>
  <c r="AK184" i="15"/>
  <c r="AJ184" i="15"/>
  <c r="AL184" i="15" s="1"/>
  <c r="U677" i="15" l="1"/>
  <c r="T677" i="15"/>
  <c r="V677" i="15" s="1"/>
  <c r="Y554" i="15"/>
  <c r="X554" i="15"/>
  <c r="Z554" i="15" s="1"/>
  <c r="AO62" i="15"/>
  <c r="AN62" i="15"/>
  <c r="AP62" i="15" s="1"/>
  <c r="Q800" i="15"/>
  <c r="P800" i="15"/>
  <c r="R800" i="15" s="1"/>
  <c r="M923" i="15"/>
  <c r="L923" i="15"/>
  <c r="N923" i="15" s="1"/>
  <c r="AK185" i="15"/>
  <c r="AJ185" i="15"/>
  <c r="AL185" i="15" s="1"/>
  <c r="AC431" i="15"/>
  <c r="AB431" i="15"/>
  <c r="AD431" i="15" s="1"/>
  <c r="AG308" i="15"/>
  <c r="AF308" i="15"/>
  <c r="AH308" i="15" s="1"/>
  <c r="AC432" i="15" l="1"/>
  <c r="AB432" i="15"/>
  <c r="AD432" i="15" s="1"/>
  <c r="M924" i="15"/>
  <c r="L924" i="15"/>
  <c r="N924" i="15" s="1"/>
  <c r="Q801" i="15"/>
  <c r="P801" i="15"/>
  <c r="R801" i="15" s="1"/>
  <c r="AO63" i="15"/>
  <c r="AN63" i="15"/>
  <c r="AP63" i="15" s="1"/>
  <c r="U678" i="15"/>
  <c r="T678" i="15"/>
  <c r="V678" i="15" s="1"/>
  <c r="AG309" i="15"/>
  <c r="AF309" i="15"/>
  <c r="AH309" i="15" s="1"/>
  <c r="AK186" i="15"/>
  <c r="AJ186" i="15"/>
  <c r="AL186" i="15" s="1"/>
  <c r="Y555" i="15"/>
  <c r="X555" i="15"/>
  <c r="Z555" i="15" s="1"/>
  <c r="Y556" i="15" l="1"/>
  <c r="X556" i="15"/>
  <c r="Z556" i="15" s="1"/>
  <c r="AG310" i="15"/>
  <c r="AF310" i="15"/>
  <c r="AH310" i="15" s="1"/>
  <c r="AO64" i="15"/>
  <c r="AN64" i="15"/>
  <c r="AP64" i="15" s="1"/>
  <c r="Q802" i="15"/>
  <c r="P802" i="15"/>
  <c r="R802" i="15" s="1"/>
  <c r="AC433" i="15"/>
  <c r="AB433" i="15"/>
  <c r="AD433" i="15" s="1"/>
  <c r="AK187" i="15"/>
  <c r="AJ187" i="15"/>
  <c r="AL187" i="15" s="1"/>
  <c r="U679" i="15"/>
  <c r="T679" i="15"/>
  <c r="V679" i="15" s="1"/>
  <c r="M925" i="15"/>
  <c r="L925" i="15"/>
  <c r="N925" i="15" s="1"/>
  <c r="M926" i="15" l="1"/>
  <c r="L926" i="15"/>
  <c r="N926" i="15" s="1"/>
  <c r="AK188" i="15"/>
  <c r="AJ188" i="15"/>
  <c r="AL188" i="15" s="1"/>
  <c r="Q803" i="15"/>
  <c r="P803" i="15"/>
  <c r="R803" i="15" s="1"/>
  <c r="AO65" i="15"/>
  <c r="AN65" i="15"/>
  <c r="AP65" i="15" s="1"/>
  <c r="Y557" i="15"/>
  <c r="X557" i="15"/>
  <c r="Z557" i="15" s="1"/>
  <c r="U680" i="15"/>
  <c r="T680" i="15"/>
  <c r="V680" i="15" s="1"/>
  <c r="AC434" i="15"/>
  <c r="AB434" i="15"/>
  <c r="AD434" i="15" s="1"/>
  <c r="AG311" i="15"/>
  <c r="AF311" i="15"/>
  <c r="AH311" i="15" s="1"/>
  <c r="AC435" i="15" l="1"/>
  <c r="AB435" i="15"/>
  <c r="AD435" i="15" s="1"/>
  <c r="U681" i="15"/>
  <c r="T681" i="15"/>
  <c r="V681" i="15" s="1"/>
  <c r="AO66" i="15"/>
  <c r="AN66" i="15"/>
  <c r="AP66" i="15" s="1"/>
  <c r="Q804" i="15"/>
  <c r="P804" i="15"/>
  <c r="R804" i="15" s="1"/>
  <c r="M927" i="15"/>
  <c r="L927" i="15"/>
  <c r="N927" i="15" s="1"/>
  <c r="AG312" i="15"/>
  <c r="AF312" i="15"/>
  <c r="AH312" i="15" s="1"/>
  <c r="Y558" i="15"/>
  <c r="X558" i="15"/>
  <c r="Z558" i="15" s="1"/>
  <c r="AK189" i="15"/>
  <c r="AJ189" i="15"/>
  <c r="AL189" i="15" s="1"/>
  <c r="AK190" i="15" l="1"/>
  <c r="AJ190" i="15"/>
  <c r="AL190" i="15" s="1"/>
  <c r="AG313" i="15"/>
  <c r="AF313" i="15"/>
  <c r="AH313" i="15" s="1"/>
  <c r="Q805" i="15"/>
  <c r="P805" i="15"/>
  <c r="R805" i="15" s="1"/>
  <c r="AO67" i="15"/>
  <c r="AN67" i="15"/>
  <c r="AP67" i="15" s="1"/>
  <c r="AC436" i="15"/>
  <c r="AB436" i="15"/>
  <c r="AD436" i="15" s="1"/>
  <c r="Y559" i="15"/>
  <c r="X559" i="15"/>
  <c r="Z559" i="15" s="1"/>
  <c r="M928" i="15"/>
  <c r="L928" i="15"/>
  <c r="N928" i="15" s="1"/>
  <c r="U682" i="15"/>
  <c r="T682" i="15"/>
  <c r="V682" i="15" s="1"/>
  <c r="M929" i="15" l="1"/>
  <c r="L929" i="15"/>
  <c r="N929" i="15" s="1"/>
  <c r="AC437" i="15"/>
  <c r="AB437" i="15"/>
  <c r="AD437" i="15" s="1"/>
  <c r="Q806" i="15"/>
  <c r="P806" i="15"/>
  <c r="R806" i="15" s="1"/>
  <c r="AK191" i="15"/>
  <c r="AJ191" i="15"/>
  <c r="AL191" i="15" s="1"/>
  <c r="U683" i="15"/>
  <c r="T683" i="15"/>
  <c r="V683" i="15" s="1"/>
  <c r="Y560" i="15"/>
  <c r="X560" i="15"/>
  <c r="Z560" i="15" s="1"/>
  <c r="AO68" i="15"/>
  <c r="AN68" i="15"/>
  <c r="AP68" i="15" s="1"/>
  <c r="AG314" i="15"/>
  <c r="AF314" i="15"/>
  <c r="AH314" i="15" s="1"/>
  <c r="AG315" i="15" l="1"/>
  <c r="AF315" i="15"/>
  <c r="AH315" i="15" s="1"/>
  <c r="Y561" i="15"/>
  <c r="X561" i="15"/>
  <c r="Z561" i="15" s="1"/>
  <c r="AK192" i="15"/>
  <c r="AJ192" i="15"/>
  <c r="AL192" i="15" s="1"/>
  <c r="Q807" i="15"/>
  <c r="P807" i="15"/>
  <c r="R807" i="15" s="1"/>
  <c r="M930" i="15"/>
  <c r="L930" i="15"/>
  <c r="N930" i="15" s="1"/>
  <c r="AO69" i="15"/>
  <c r="AN69" i="15"/>
  <c r="AP69" i="15" s="1"/>
  <c r="U684" i="15"/>
  <c r="T684" i="15"/>
  <c r="V684" i="15" s="1"/>
  <c r="AC438" i="15"/>
  <c r="AB438" i="15"/>
  <c r="AD438" i="15" s="1"/>
  <c r="AO70" i="15" l="1"/>
  <c r="AN70" i="15"/>
  <c r="AP70" i="15" s="1"/>
  <c r="Q808" i="15"/>
  <c r="P808" i="15"/>
  <c r="R808" i="15" s="1"/>
  <c r="AK193" i="15"/>
  <c r="AJ193" i="15"/>
  <c r="AL193" i="15" s="1"/>
  <c r="AG316" i="15"/>
  <c r="AF316" i="15"/>
  <c r="AH316" i="15" s="1"/>
  <c r="AC439" i="15"/>
  <c r="AB439" i="15"/>
  <c r="AD439" i="15" s="1"/>
  <c r="U685" i="15"/>
  <c r="T685" i="15"/>
  <c r="V685" i="15" s="1"/>
  <c r="M931" i="15"/>
  <c r="L931" i="15"/>
  <c r="N931" i="15" s="1"/>
  <c r="Y562" i="15"/>
  <c r="X562" i="15"/>
  <c r="Z562" i="15" s="1"/>
  <c r="U686" i="15" l="1"/>
  <c r="T686" i="15"/>
  <c r="V686" i="15" s="1"/>
  <c r="AC440" i="15"/>
  <c r="AB440" i="15"/>
  <c r="AD440" i="15" s="1"/>
  <c r="AK194" i="15"/>
  <c r="AJ194" i="15"/>
  <c r="AL194" i="15" s="1"/>
  <c r="AO71" i="15"/>
  <c r="AN71" i="15"/>
  <c r="AP71" i="15" s="1"/>
  <c r="Y563" i="15"/>
  <c r="X563" i="15"/>
  <c r="Z563" i="15" s="1"/>
  <c r="M932" i="15"/>
  <c r="L932" i="15"/>
  <c r="N932" i="15" s="1"/>
  <c r="AG317" i="15"/>
  <c r="AF317" i="15"/>
  <c r="AH317" i="15" s="1"/>
  <c r="Q809" i="15"/>
  <c r="P809" i="15"/>
  <c r="R809" i="15" s="1"/>
  <c r="AG318" i="15" l="1"/>
  <c r="AF318" i="15"/>
  <c r="AH318" i="15" s="1"/>
  <c r="Y564" i="15"/>
  <c r="X564" i="15"/>
  <c r="Z564" i="15" s="1"/>
  <c r="AK195" i="15"/>
  <c r="AJ195" i="15"/>
  <c r="AL195" i="15" s="1"/>
  <c r="U687" i="15"/>
  <c r="T687" i="15"/>
  <c r="V687" i="15" s="1"/>
  <c r="Q810" i="15"/>
  <c r="P810" i="15"/>
  <c r="R810" i="15" s="1"/>
  <c r="M933" i="15"/>
  <c r="L933" i="15"/>
  <c r="N933" i="15" s="1"/>
  <c r="AO72" i="15"/>
  <c r="AN72" i="15"/>
  <c r="AP72" i="15" s="1"/>
  <c r="AC441" i="15"/>
  <c r="AB441" i="15"/>
  <c r="AD441" i="15" s="1"/>
  <c r="AO73" i="15" l="1"/>
  <c r="AN73" i="15"/>
  <c r="AP73" i="15" s="1"/>
  <c r="Q811" i="15"/>
  <c r="P811" i="15"/>
  <c r="R811" i="15" s="1"/>
  <c r="AK196" i="15"/>
  <c r="AJ196" i="15"/>
  <c r="AL196" i="15" s="1"/>
  <c r="AG319" i="15"/>
  <c r="AF319" i="15"/>
  <c r="AH319" i="15" s="1"/>
  <c r="AC442" i="15"/>
  <c r="AB442" i="15"/>
  <c r="AD442" i="15" s="1"/>
  <c r="M934" i="15"/>
  <c r="L934" i="15"/>
  <c r="N934" i="15" s="1"/>
  <c r="U688" i="15"/>
  <c r="T688" i="15"/>
  <c r="V688" i="15" s="1"/>
  <c r="Y565" i="15"/>
  <c r="X565" i="15"/>
  <c r="Z565" i="15" s="1"/>
  <c r="Y566" i="15" l="1"/>
  <c r="X566" i="15"/>
  <c r="Z566" i="15" s="1"/>
  <c r="M935" i="15"/>
  <c r="L935" i="15"/>
  <c r="N935" i="15" s="1"/>
  <c r="AG320" i="15"/>
  <c r="AF320" i="15"/>
  <c r="AH320" i="15" s="1"/>
  <c r="AK197" i="15"/>
  <c r="AJ197" i="15"/>
  <c r="AL197" i="15" s="1"/>
  <c r="AO74" i="15"/>
  <c r="AN74" i="15"/>
  <c r="AP74" i="15" s="1"/>
  <c r="U689" i="15"/>
  <c r="T689" i="15"/>
  <c r="V689" i="15" s="1"/>
  <c r="AC443" i="15"/>
  <c r="AB443" i="15"/>
  <c r="AD443" i="15" s="1"/>
  <c r="Q812" i="15"/>
  <c r="P812" i="15"/>
  <c r="R812" i="15" s="1"/>
  <c r="Q813" i="15" l="1"/>
  <c r="P813" i="15"/>
  <c r="R813" i="15" s="1"/>
  <c r="U690" i="15"/>
  <c r="T690" i="15"/>
  <c r="V690" i="15" s="1"/>
  <c r="AO75" i="15"/>
  <c r="AN75" i="15"/>
  <c r="AP75" i="15" s="1"/>
  <c r="AG321" i="15"/>
  <c r="AF321" i="15"/>
  <c r="AH321" i="15" s="1"/>
  <c r="Y567" i="15"/>
  <c r="X567" i="15"/>
  <c r="Z567" i="15" s="1"/>
  <c r="AC444" i="15"/>
  <c r="AB444" i="15"/>
  <c r="AD444" i="15" s="1"/>
  <c r="AK198" i="15"/>
  <c r="AJ198" i="15"/>
  <c r="AL198" i="15" s="1"/>
  <c r="M936" i="15"/>
  <c r="L936" i="15"/>
  <c r="N936" i="15" s="1"/>
  <c r="AK199" i="15" l="1"/>
  <c r="AJ199" i="15"/>
  <c r="AL199" i="15" s="1"/>
  <c r="Y568" i="15"/>
  <c r="X568" i="15"/>
  <c r="Z568" i="15" s="1"/>
  <c r="AO76" i="15"/>
  <c r="AN76" i="15"/>
  <c r="AP76" i="15" s="1"/>
  <c r="Q814" i="15"/>
  <c r="P814" i="15"/>
  <c r="R814" i="15" s="1"/>
  <c r="M937" i="15"/>
  <c r="L937" i="15"/>
  <c r="N937" i="15" s="1"/>
  <c r="AC445" i="15"/>
  <c r="AB445" i="15"/>
  <c r="AD445" i="15" s="1"/>
  <c r="AG322" i="15"/>
  <c r="AF322" i="15"/>
  <c r="AH322" i="15" s="1"/>
  <c r="U691" i="15"/>
  <c r="T691" i="15"/>
  <c r="V691" i="15" s="1"/>
  <c r="AG323" i="15" l="1"/>
  <c r="AF323" i="15"/>
  <c r="AH323" i="15" s="1"/>
  <c r="M938" i="15"/>
  <c r="L938" i="15"/>
  <c r="N938" i="15" s="1"/>
  <c r="AO77" i="15"/>
  <c r="AN77" i="15"/>
  <c r="AP77" i="15" s="1"/>
  <c r="AK200" i="15"/>
  <c r="AJ200" i="15"/>
  <c r="AL200" i="15" s="1"/>
  <c r="U692" i="15"/>
  <c r="T692" i="15"/>
  <c r="V692" i="15" s="1"/>
  <c r="AC446" i="15"/>
  <c r="AB446" i="15"/>
  <c r="AD446" i="15" s="1"/>
  <c r="Q815" i="15"/>
  <c r="P815" i="15"/>
  <c r="R815" i="15" s="1"/>
  <c r="Y569" i="15"/>
  <c r="X569" i="15"/>
  <c r="Z569" i="15" s="1"/>
  <c r="Y570" i="15" l="1"/>
  <c r="X570" i="15"/>
  <c r="Z570" i="15" s="1"/>
  <c r="Q816" i="15"/>
  <c r="P816" i="15"/>
  <c r="R816" i="15" s="1"/>
  <c r="AC447" i="15"/>
  <c r="AB447" i="15"/>
  <c r="AD447" i="15" s="1"/>
  <c r="U693" i="15"/>
  <c r="T693" i="15"/>
  <c r="V693" i="15" s="1"/>
  <c r="AK201" i="15"/>
  <c r="AJ201" i="15"/>
  <c r="AL201" i="15" s="1"/>
  <c r="AO78" i="15"/>
  <c r="AN78" i="15"/>
  <c r="AP78" i="15" s="1"/>
  <c r="M939" i="15"/>
  <c r="L939" i="15"/>
  <c r="N939" i="15" s="1"/>
  <c r="AG324" i="15"/>
  <c r="AF324" i="15"/>
  <c r="AH324" i="15" s="1"/>
  <c r="AG325" i="15" l="1"/>
  <c r="AF325" i="15"/>
  <c r="AH325" i="15" s="1"/>
  <c r="M940" i="15"/>
  <c r="L940" i="15"/>
  <c r="N940" i="15" s="1"/>
  <c r="AO79" i="15"/>
  <c r="AN79" i="15"/>
  <c r="AP79" i="15" s="1"/>
  <c r="AK202" i="15"/>
  <c r="AJ202" i="15"/>
  <c r="AL202" i="15" s="1"/>
  <c r="U694" i="15"/>
  <c r="T694" i="15"/>
  <c r="V694" i="15" s="1"/>
  <c r="AC448" i="15"/>
  <c r="AB448" i="15"/>
  <c r="AD448" i="15" s="1"/>
  <c r="Q817" i="15"/>
  <c r="P817" i="15"/>
  <c r="R817" i="15" s="1"/>
  <c r="Y571" i="15"/>
  <c r="X571" i="15"/>
  <c r="Z571" i="15" s="1"/>
  <c r="Y572" i="15" l="1"/>
  <c r="X572" i="15"/>
  <c r="Z572" i="15" s="1"/>
  <c r="Q818" i="15"/>
  <c r="P818" i="15"/>
  <c r="R818" i="15" s="1"/>
  <c r="AC449" i="15"/>
  <c r="AB449" i="15"/>
  <c r="AD449" i="15" s="1"/>
  <c r="U695" i="15"/>
  <c r="T695" i="15"/>
  <c r="V695" i="15" s="1"/>
  <c r="AK203" i="15"/>
  <c r="AJ203" i="15"/>
  <c r="AL203" i="15" s="1"/>
  <c r="AO80" i="15"/>
  <c r="AN80" i="15"/>
  <c r="AP80" i="15" s="1"/>
  <c r="M941" i="15"/>
  <c r="L941" i="15"/>
  <c r="N941" i="15" s="1"/>
  <c r="AG326" i="15"/>
  <c r="AF326" i="15"/>
  <c r="AH326" i="15" s="1"/>
  <c r="AG327" i="15" l="1"/>
  <c r="AF327" i="15"/>
  <c r="AH327" i="15" s="1"/>
  <c r="AO81" i="15"/>
  <c r="AN81" i="15"/>
  <c r="AP81" i="15" s="1"/>
  <c r="AK204" i="15"/>
  <c r="AJ204" i="15"/>
  <c r="AL204" i="15" s="1"/>
  <c r="U696" i="15"/>
  <c r="T696" i="15"/>
  <c r="V696" i="15" s="1"/>
  <c r="AC450" i="15"/>
  <c r="AB450" i="15"/>
  <c r="AD450" i="15" s="1"/>
  <c r="Y573" i="15"/>
  <c r="X573" i="15"/>
  <c r="Z573" i="15" s="1"/>
  <c r="M942" i="15"/>
  <c r="L942" i="15"/>
  <c r="N942" i="15" s="1"/>
  <c r="Q819" i="15"/>
  <c r="P819" i="15"/>
  <c r="R819" i="15" s="1"/>
  <c r="Q820" i="15" l="1"/>
  <c r="P820" i="15"/>
  <c r="R820" i="15" s="1"/>
  <c r="Y574" i="15"/>
  <c r="X574" i="15"/>
  <c r="Z574" i="15" s="1"/>
  <c r="U697" i="15"/>
  <c r="T697" i="15"/>
  <c r="V697" i="15" s="1"/>
  <c r="AK205" i="15"/>
  <c r="AJ205" i="15"/>
  <c r="AL205" i="15" s="1"/>
  <c r="AG328" i="15"/>
  <c r="AF328" i="15"/>
  <c r="AH328" i="15" s="1"/>
  <c r="M943" i="15"/>
  <c r="L943" i="15"/>
  <c r="N943" i="15" s="1"/>
  <c r="AC451" i="15"/>
  <c r="AB451" i="15"/>
  <c r="AD451" i="15" s="1"/>
  <c r="AO82" i="15"/>
  <c r="AN82" i="15"/>
  <c r="AP82" i="15" s="1"/>
  <c r="AO83" i="15" l="1"/>
  <c r="AN83" i="15"/>
  <c r="AP83" i="15" s="1"/>
  <c r="M944" i="15"/>
  <c r="L944" i="15"/>
  <c r="N944" i="15" s="1"/>
  <c r="AK206" i="15"/>
  <c r="AJ206" i="15"/>
  <c r="AL206" i="15" s="1"/>
  <c r="U698" i="15"/>
  <c r="T698" i="15"/>
  <c r="V698" i="15" s="1"/>
  <c r="Q821" i="15"/>
  <c r="P821" i="15"/>
  <c r="R821" i="15" s="1"/>
  <c r="AC452" i="15"/>
  <c r="AB452" i="15"/>
  <c r="AD452" i="15" s="1"/>
  <c r="AG329" i="15"/>
  <c r="AF329" i="15"/>
  <c r="AH329" i="15" s="1"/>
  <c r="Y575" i="15"/>
  <c r="X575" i="15"/>
  <c r="Z575" i="15" s="1"/>
  <c r="Y576" i="15" l="1"/>
  <c r="X576" i="15"/>
  <c r="Z576" i="15" s="1"/>
  <c r="AG330" i="15"/>
  <c r="AF330" i="15"/>
  <c r="AH330" i="15" s="1"/>
  <c r="Q822" i="15"/>
  <c r="P822" i="15"/>
  <c r="R822" i="15" s="1"/>
  <c r="U699" i="15"/>
  <c r="T699" i="15"/>
  <c r="V699" i="15" s="1"/>
  <c r="AK207" i="15"/>
  <c r="AJ207" i="15"/>
  <c r="AL207" i="15" s="1"/>
  <c r="M945" i="15"/>
  <c r="L945" i="15"/>
  <c r="N945" i="15" s="1"/>
  <c r="AO84" i="15"/>
  <c r="AN84" i="15"/>
  <c r="AP84" i="15" s="1"/>
  <c r="AC453" i="15"/>
  <c r="AB453" i="15"/>
  <c r="AD453" i="15" s="1"/>
  <c r="AO85" i="15" l="1"/>
  <c r="AN85" i="15"/>
  <c r="AP85" i="15" s="1"/>
  <c r="M946" i="15"/>
  <c r="L946" i="15"/>
  <c r="N946" i="15" s="1"/>
  <c r="U700" i="15"/>
  <c r="T700" i="15"/>
  <c r="V700" i="15" s="1"/>
  <c r="Q823" i="15"/>
  <c r="P823" i="15"/>
  <c r="R823" i="15" s="1"/>
  <c r="Y577" i="15"/>
  <c r="X577" i="15"/>
  <c r="Z577" i="15" s="1"/>
  <c r="AC454" i="15"/>
  <c r="AB454" i="15"/>
  <c r="AD454" i="15" s="1"/>
  <c r="AK208" i="15"/>
  <c r="AJ208" i="15"/>
  <c r="AL208" i="15" s="1"/>
  <c r="AG331" i="15"/>
  <c r="AF331" i="15"/>
  <c r="AH331" i="15" s="1"/>
  <c r="AK209" i="15" l="1"/>
  <c r="AJ209" i="15"/>
  <c r="AL209" i="15" s="1"/>
  <c r="AC455" i="15"/>
  <c r="AB455" i="15"/>
  <c r="AD455" i="15" s="1"/>
  <c r="Q824" i="15"/>
  <c r="P824" i="15"/>
  <c r="R824" i="15" s="1"/>
  <c r="U701" i="15"/>
  <c r="T701" i="15"/>
  <c r="V701" i="15" s="1"/>
  <c r="AO86" i="15"/>
  <c r="AN86" i="15"/>
  <c r="AP86" i="15" s="1"/>
  <c r="AG332" i="15"/>
  <c r="AF332" i="15"/>
  <c r="AH332" i="15" s="1"/>
  <c r="Y578" i="15"/>
  <c r="X578" i="15"/>
  <c r="Z578" i="15" s="1"/>
  <c r="M947" i="15"/>
  <c r="L947" i="15"/>
  <c r="N947" i="15" s="1"/>
  <c r="M948" i="15" l="1"/>
  <c r="L948" i="15"/>
  <c r="N948" i="15" s="1"/>
  <c r="Y579" i="15"/>
  <c r="X579" i="15"/>
  <c r="Z579" i="15" s="1"/>
  <c r="AO87" i="15"/>
  <c r="AN87" i="15"/>
  <c r="AP87" i="15" s="1"/>
  <c r="U702" i="15"/>
  <c r="T702" i="15"/>
  <c r="V702" i="15" s="1"/>
  <c r="Q825" i="15"/>
  <c r="P825" i="15"/>
  <c r="R825" i="15" s="1"/>
  <c r="AK210" i="15"/>
  <c r="AJ210" i="15"/>
  <c r="AL210" i="15" s="1"/>
  <c r="AG333" i="15"/>
  <c r="AF333" i="15"/>
  <c r="AH333" i="15" s="1"/>
  <c r="AC456" i="15"/>
  <c r="AB456" i="15"/>
  <c r="AD456" i="15" s="1"/>
  <c r="AC457" i="15" l="1"/>
  <c r="AB457" i="15"/>
  <c r="AD457" i="15" s="1"/>
  <c r="AK211" i="15"/>
  <c r="AJ211" i="15"/>
  <c r="AL211" i="15" s="1"/>
  <c r="Q826" i="15"/>
  <c r="P826" i="15"/>
  <c r="R826" i="15" s="1"/>
  <c r="U703" i="15"/>
  <c r="T703" i="15"/>
  <c r="V703" i="15" s="1"/>
  <c r="Y580" i="15"/>
  <c r="X580" i="15"/>
  <c r="Z580" i="15" s="1"/>
  <c r="M949" i="15"/>
  <c r="L949" i="15"/>
  <c r="N949" i="15" s="1"/>
  <c r="AG334" i="15"/>
  <c r="AF334" i="15"/>
  <c r="AH334" i="15" s="1"/>
  <c r="AO88" i="15"/>
  <c r="AN88" i="15"/>
  <c r="AP88" i="15" s="1"/>
  <c r="AO89" i="15" l="1"/>
  <c r="AN89" i="15"/>
  <c r="AP89" i="15" s="1"/>
  <c r="M950" i="15"/>
  <c r="L950" i="15"/>
  <c r="N950" i="15" s="1"/>
  <c r="Y581" i="15"/>
  <c r="X581" i="15"/>
  <c r="Z581" i="15" s="1"/>
  <c r="U704" i="15"/>
  <c r="T704" i="15"/>
  <c r="V704" i="15" s="1"/>
  <c r="Q827" i="15"/>
  <c r="P827" i="15"/>
  <c r="R827" i="15" s="1"/>
  <c r="AC458" i="15"/>
  <c r="AB458" i="15"/>
  <c r="AD458" i="15" s="1"/>
  <c r="AG335" i="15"/>
  <c r="AF335" i="15"/>
  <c r="AH335" i="15" s="1"/>
  <c r="AK212" i="15"/>
  <c r="AJ212" i="15"/>
  <c r="AL212" i="15" s="1"/>
  <c r="AK213" i="15" l="1"/>
  <c r="AJ213" i="15"/>
  <c r="AL213" i="15" s="1"/>
  <c r="AC459" i="15"/>
  <c r="AB459" i="15"/>
  <c r="AD459" i="15" s="1"/>
  <c r="Q828" i="15"/>
  <c r="P828" i="15"/>
  <c r="R828" i="15" s="1"/>
  <c r="U705" i="15"/>
  <c r="T705" i="15"/>
  <c r="V705" i="15" s="1"/>
  <c r="Y582" i="15"/>
  <c r="X582" i="15"/>
  <c r="Z582" i="15" s="1"/>
  <c r="AO90" i="15"/>
  <c r="AN90" i="15"/>
  <c r="AP90" i="15" s="1"/>
  <c r="AG336" i="15"/>
  <c r="AF336" i="15"/>
  <c r="AH336" i="15" s="1"/>
  <c r="M951" i="15"/>
  <c r="L951" i="15"/>
  <c r="N951" i="15" s="1"/>
  <c r="M952" i="15" l="1"/>
  <c r="L952" i="15"/>
  <c r="N952" i="15" s="1"/>
  <c r="AO91" i="15"/>
  <c r="AN91" i="15"/>
  <c r="AP91" i="15" s="1"/>
  <c r="Y583" i="15"/>
  <c r="X583" i="15"/>
  <c r="Z583" i="15" s="1"/>
  <c r="Q829" i="15"/>
  <c r="P829" i="15"/>
  <c r="R829" i="15" s="1"/>
  <c r="AK214" i="15"/>
  <c r="AJ214" i="15"/>
  <c r="AL214" i="15" s="1"/>
  <c r="AG337" i="15"/>
  <c r="AF337" i="15"/>
  <c r="AH337" i="15" s="1"/>
  <c r="U706" i="15"/>
  <c r="T706" i="15"/>
  <c r="V706" i="15" s="1"/>
  <c r="AC460" i="15"/>
  <c r="AB460" i="15"/>
  <c r="AD460" i="15" s="1"/>
  <c r="AC461" i="15" l="1"/>
  <c r="AB461" i="15"/>
  <c r="AD461" i="15" s="1"/>
  <c r="AG338" i="15"/>
  <c r="AF338" i="15"/>
  <c r="AH338" i="15" s="1"/>
  <c r="AK215" i="15"/>
  <c r="AJ215" i="15"/>
  <c r="AL215" i="15" s="1"/>
  <c r="Q830" i="15"/>
  <c r="P830" i="15"/>
  <c r="R830" i="15" s="1"/>
  <c r="Y584" i="15"/>
  <c r="X584" i="15"/>
  <c r="Z584" i="15" s="1"/>
  <c r="M953" i="15"/>
  <c r="L953" i="15"/>
  <c r="N953" i="15" s="1"/>
  <c r="U707" i="15"/>
  <c r="T707" i="15"/>
  <c r="V707" i="15" s="1"/>
  <c r="AO92" i="15"/>
  <c r="AN92" i="15"/>
  <c r="AP92" i="15" s="1"/>
  <c r="AO93" i="15" l="1"/>
  <c r="AN93" i="15"/>
  <c r="AP93" i="15" s="1"/>
  <c r="U708" i="15"/>
  <c r="T708" i="15"/>
  <c r="V708" i="15" s="1"/>
  <c r="Y585" i="15"/>
  <c r="X585" i="15"/>
  <c r="Z585" i="15" s="1"/>
  <c r="Q831" i="15"/>
  <c r="P831" i="15"/>
  <c r="R831" i="15" s="1"/>
  <c r="AK216" i="15"/>
  <c r="AJ216" i="15"/>
  <c r="AL216" i="15" s="1"/>
  <c r="AC462" i="15"/>
  <c r="AB462" i="15"/>
  <c r="AD462" i="15" s="1"/>
  <c r="M954" i="15"/>
  <c r="L954" i="15"/>
  <c r="N954" i="15" s="1"/>
  <c r="AG339" i="15"/>
  <c r="AF339" i="15"/>
  <c r="AH339" i="15" s="1"/>
  <c r="AG340" i="15" l="1"/>
  <c r="AF340" i="15"/>
  <c r="AH340" i="15" s="1"/>
  <c r="AC463" i="15"/>
  <c r="AB463" i="15"/>
  <c r="AD463" i="15" s="1"/>
  <c r="AK217" i="15"/>
  <c r="AJ217" i="15"/>
  <c r="AL217" i="15" s="1"/>
  <c r="Q832" i="15"/>
  <c r="P832" i="15"/>
  <c r="R832" i="15" s="1"/>
  <c r="U709" i="15"/>
  <c r="T709" i="15"/>
  <c r="V709" i="15" s="1"/>
  <c r="AO94" i="15"/>
  <c r="AN94" i="15"/>
  <c r="AP94" i="15" s="1"/>
  <c r="M955" i="15"/>
  <c r="L955" i="15"/>
  <c r="N955" i="15" s="1"/>
  <c r="Y586" i="15"/>
  <c r="X586" i="15"/>
  <c r="Z586" i="15" s="1"/>
  <c r="Y587" i="15" l="1"/>
  <c r="X587" i="15"/>
  <c r="Z587" i="15" s="1"/>
  <c r="AO95" i="15"/>
  <c r="AN95" i="15"/>
  <c r="AP95" i="15" s="1"/>
  <c r="U710" i="15"/>
  <c r="T710" i="15"/>
  <c r="V710" i="15" s="1"/>
  <c r="Q833" i="15"/>
  <c r="P833" i="15"/>
  <c r="R833" i="15" s="1"/>
  <c r="AK218" i="15"/>
  <c r="AJ218" i="15"/>
  <c r="AL218" i="15" s="1"/>
  <c r="AG341" i="15"/>
  <c r="AF341" i="15"/>
  <c r="AH341" i="15" s="1"/>
  <c r="M956" i="15"/>
  <c r="L956" i="15"/>
  <c r="N956" i="15" s="1"/>
  <c r="AC464" i="15"/>
  <c r="AB464" i="15"/>
  <c r="AD464" i="15" s="1"/>
  <c r="AC465" i="15" l="1"/>
  <c r="AB465" i="15"/>
  <c r="AD465" i="15" s="1"/>
  <c r="M957" i="15"/>
  <c r="L957" i="15"/>
  <c r="N957" i="15" s="1"/>
  <c r="AK219" i="15"/>
  <c r="AJ219" i="15"/>
  <c r="AL219" i="15" s="1"/>
  <c r="Q834" i="15"/>
  <c r="P834" i="15"/>
  <c r="R834" i="15" s="1"/>
  <c r="U711" i="15"/>
  <c r="T711" i="15"/>
  <c r="V711" i="15" s="1"/>
  <c r="Y588" i="15"/>
  <c r="X588" i="15"/>
  <c r="Z588" i="15" s="1"/>
  <c r="AG342" i="15"/>
  <c r="AF342" i="15"/>
  <c r="AH342" i="15" s="1"/>
  <c r="AO96" i="15"/>
  <c r="AN96" i="15"/>
  <c r="AP96" i="15" s="1"/>
  <c r="AO97" i="15" l="1"/>
  <c r="AN97" i="15"/>
  <c r="AP97" i="15" s="1"/>
  <c r="AG343" i="15"/>
  <c r="AF343" i="15"/>
  <c r="AH343" i="15" s="1"/>
  <c r="U712" i="15"/>
  <c r="T712" i="15"/>
  <c r="V712" i="15" s="1"/>
  <c r="Q835" i="15"/>
  <c r="P835" i="15"/>
  <c r="R835" i="15" s="1"/>
  <c r="AK220" i="15"/>
  <c r="AJ220" i="15"/>
  <c r="AL220" i="15" s="1"/>
  <c r="AC466" i="15"/>
  <c r="AB466" i="15"/>
  <c r="AD466" i="15" s="1"/>
  <c r="Y589" i="15"/>
  <c r="X589" i="15"/>
  <c r="Z589" i="15" s="1"/>
  <c r="M958" i="15"/>
  <c r="L958" i="15"/>
  <c r="N958" i="15" s="1"/>
  <c r="Y590" i="15" l="1"/>
  <c r="X590" i="15"/>
  <c r="Z590" i="15" s="1"/>
  <c r="AK221" i="15"/>
  <c r="AJ221" i="15"/>
  <c r="AL221" i="15" s="1"/>
  <c r="U713" i="15"/>
  <c r="T713" i="15"/>
  <c r="V713" i="15" s="1"/>
  <c r="AO98" i="15"/>
  <c r="AN98" i="15"/>
  <c r="AP98" i="15" s="1"/>
  <c r="M959" i="15"/>
  <c r="L959" i="15"/>
  <c r="N959" i="15" s="1"/>
  <c r="AC467" i="15"/>
  <c r="AB467" i="15"/>
  <c r="AD467" i="15" s="1"/>
  <c r="Q836" i="15"/>
  <c r="P836" i="15"/>
  <c r="R836" i="15" s="1"/>
  <c r="AG344" i="15"/>
  <c r="AF344" i="15"/>
  <c r="AH344" i="15" s="1"/>
  <c r="AG345" i="15" l="1"/>
  <c r="AF345" i="15"/>
  <c r="AH345" i="15" s="1"/>
  <c r="AC468" i="15"/>
  <c r="AB468" i="15"/>
  <c r="AD468" i="15" s="1"/>
  <c r="M960" i="15"/>
  <c r="L960" i="15"/>
  <c r="N960" i="15" s="1"/>
  <c r="AO99" i="15"/>
  <c r="AN99" i="15"/>
  <c r="AP99" i="15" s="1"/>
  <c r="U714" i="15"/>
  <c r="T714" i="15"/>
  <c r="V714" i="15" s="1"/>
  <c r="Y591" i="15"/>
  <c r="X591" i="15"/>
  <c r="Z591" i="15" s="1"/>
  <c r="Q837" i="15"/>
  <c r="P837" i="15"/>
  <c r="R837" i="15" s="1"/>
  <c r="AK222" i="15"/>
  <c r="AJ222" i="15"/>
  <c r="AL222" i="15" s="1"/>
  <c r="AK223" i="15" l="1"/>
  <c r="AJ223" i="15"/>
  <c r="AL223" i="15" s="1"/>
  <c r="Q838" i="15"/>
  <c r="P838" i="15"/>
  <c r="R838" i="15" s="1"/>
  <c r="U715" i="15"/>
  <c r="T715" i="15"/>
  <c r="V715" i="15" s="1"/>
  <c r="AO100" i="15"/>
  <c r="AN100" i="15"/>
  <c r="AP100" i="15" s="1"/>
  <c r="M961" i="15"/>
  <c r="L961" i="15"/>
  <c r="N961" i="15" s="1"/>
  <c r="AG346" i="15"/>
  <c r="AF346" i="15"/>
  <c r="AH346" i="15" s="1"/>
  <c r="Y592" i="15"/>
  <c r="X592" i="15"/>
  <c r="Z592" i="15" s="1"/>
  <c r="AC469" i="15"/>
  <c r="AB469" i="15"/>
  <c r="AD469" i="15" s="1"/>
  <c r="AC470" i="15" l="1"/>
  <c r="AB470" i="15"/>
  <c r="AD470" i="15" s="1"/>
  <c r="Y593" i="15"/>
  <c r="X593" i="15"/>
  <c r="Z593" i="15" s="1"/>
  <c r="M962" i="15"/>
  <c r="L962" i="15"/>
  <c r="N962" i="15" s="1"/>
  <c r="AO101" i="15"/>
  <c r="AN101" i="15"/>
  <c r="AP101" i="15" s="1"/>
  <c r="U716" i="15"/>
  <c r="T716" i="15"/>
  <c r="V716" i="15" s="1"/>
  <c r="AK224" i="15"/>
  <c r="AJ224" i="15"/>
  <c r="AL224" i="15" s="1"/>
  <c r="AG347" i="15"/>
  <c r="AF347" i="15"/>
  <c r="AH347" i="15" s="1"/>
  <c r="Q839" i="15"/>
  <c r="P839" i="15"/>
  <c r="R839" i="15" s="1"/>
  <c r="Q840" i="15" l="1"/>
  <c r="P840" i="15"/>
  <c r="R840" i="15" s="1"/>
  <c r="AK225" i="15"/>
  <c r="AJ225" i="15"/>
  <c r="AL225" i="15" s="1"/>
  <c r="U717" i="15"/>
  <c r="T717" i="15"/>
  <c r="V717" i="15" s="1"/>
  <c r="AO102" i="15"/>
  <c r="AN102" i="15"/>
  <c r="AP102" i="15" s="1"/>
  <c r="M963" i="15"/>
  <c r="L963" i="15"/>
  <c r="N963" i="15" s="1"/>
  <c r="AC471" i="15"/>
  <c r="AB471" i="15"/>
  <c r="AD471" i="15" s="1"/>
  <c r="AG348" i="15"/>
  <c r="AF348" i="15"/>
  <c r="AH348" i="15" s="1"/>
  <c r="Y594" i="15"/>
  <c r="X594" i="15"/>
  <c r="Z594" i="15" s="1"/>
  <c r="Y595" i="15" l="1"/>
  <c r="X595" i="15"/>
  <c r="Z595" i="15" s="1"/>
  <c r="AG349" i="15"/>
  <c r="AF349" i="15"/>
  <c r="AH349" i="15" s="1"/>
  <c r="M964" i="15"/>
  <c r="L964" i="15"/>
  <c r="N964" i="15" s="1"/>
  <c r="AO103" i="15"/>
  <c r="AN103" i="15"/>
  <c r="AP103" i="15" s="1"/>
  <c r="U718" i="15"/>
  <c r="T718" i="15"/>
  <c r="V718" i="15" s="1"/>
  <c r="Q841" i="15"/>
  <c r="P841" i="15"/>
  <c r="R841" i="15" s="1"/>
  <c r="AC472" i="15"/>
  <c r="AB472" i="15"/>
  <c r="AD472" i="15" s="1"/>
  <c r="AK226" i="15"/>
  <c r="AJ226" i="15"/>
  <c r="AL226" i="15" s="1"/>
  <c r="AK227" i="15" l="1"/>
  <c r="AJ227" i="15"/>
  <c r="AL227" i="15" s="1"/>
  <c r="AC473" i="15"/>
  <c r="AB473" i="15"/>
  <c r="AD473" i="15" s="1"/>
  <c r="Q842" i="15"/>
  <c r="P842" i="15"/>
  <c r="R842" i="15" s="1"/>
  <c r="U719" i="15"/>
  <c r="T719" i="15"/>
  <c r="V719" i="15" s="1"/>
  <c r="M965" i="15"/>
  <c r="L965" i="15"/>
  <c r="N965" i="15" s="1"/>
  <c r="AG350" i="15"/>
  <c r="AF350" i="15"/>
  <c r="AH350" i="15" s="1"/>
  <c r="Y596" i="15"/>
  <c r="X596" i="15"/>
  <c r="Z596" i="15" s="1"/>
  <c r="AO104" i="15"/>
  <c r="AN104" i="15"/>
  <c r="AP104" i="15" s="1"/>
  <c r="AO105" i="15" l="1"/>
  <c r="AN105" i="15"/>
  <c r="AP105" i="15" s="1"/>
  <c r="AG351" i="15"/>
  <c r="AF351" i="15"/>
  <c r="AH351" i="15" s="1"/>
  <c r="U720" i="15"/>
  <c r="T720" i="15"/>
  <c r="V720" i="15" s="1"/>
  <c r="Q843" i="15"/>
  <c r="P843" i="15"/>
  <c r="R843" i="15" s="1"/>
  <c r="AK228" i="15"/>
  <c r="AJ228" i="15"/>
  <c r="AL228" i="15" s="1"/>
  <c r="Y597" i="15"/>
  <c r="X597" i="15"/>
  <c r="Z597" i="15" s="1"/>
  <c r="M966" i="15"/>
  <c r="L966" i="15"/>
  <c r="N966" i="15" s="1"/>
  <c r="AC474" i="15"/>
  <c r="AB474" i="15"/>
  <c r="AD474" i="15" s="1"/>
  <c r="M967" i="15" l="1"/>
  <c r="L967" i="15"/>
  <c r="N967" i="15" s="1"/>
  <c r="AK229" i="15"/>
  <c r="AJ229" i="15"/>
  <c r="AL229" i="15" s="1"/>
  <c r="U721" i="15"/>
  <c r="T721" i="15"/>
  <c r="V721" i="15" s="1"/>
  <c r="AO106" i="15"/>
  <c r="AN106" i="15"/>
  <c r="AP106" i="15" s="1"/>
  <c r="AC475" i="15"/>
  <c r="AB475" i="15"/>
  <c r="AD475" i="15" s="1"/>
  <c r="Y598" i="15"/>
  <c r="X598" i="15"/>
  <c r="Z598" i="15" s="1"/>
  <c r="Q844" i="15"/>
  <c r="P844" i="15"/>
  <c r="R844" i="15" s="1"/>
  <c r="AG352" i="15"/>
  <c r="AF352" i="15"/>
  <c r="AH352" i="15" s="1"/>
  <c r="Q845" i="15" l="1"/>
  <c r="P845" i="15"/>
  <c r="R845" i="15" s="1"/>
  <c r="AC476" i="15"/>
  <c r="AB476" i="15"/>
  <c r="AD476" i="15" s="1"/>
  <c r="U722" i="15"/>
  <c r="T722" i="15"/>
  <c r="V722" i="15" s="1"/>
  <c r="M968" i="15"/>
  <c r="L968" i="15"/>
  <c r="N968" i="15" s="1"/>
  <c r="AG353" i="15"/>
  <c r="AF353" i="15"/>
  <c r="AH353" i="15" s="1"/>
  <c r="Y599" i="15"/>
  <c r="X599" i="15"/>
  <c r="Z599" i="15" s="1"/>
  <c r="AO107" i="15"/>
  <c r="AN107" i="15"/>
  <c r="AP107" i="15" s="1"/>
  <c r="AK230" i="15"/>
  <c r="AJ230" i="15"/>
  <c r="AL230" i="15" s="1"/>
  <c r="AO108" i="15" l="1"/>
  <c r="AN108" i="15"/>
  <c r="AP108" i="15" s="1"/>
  <c r="AG354" i="15"/>
  <c r="AF354" i="15"/>
  <c r="AH354" i="15" s="1"/>
  <c r="U723" i="15"/>
  <c r="T723" i="15"/>
  <c r="V723" i="15" s="1"/>
  <c r="Q846" i="15"/>
  <c r="P846" i="15"/>
  <c r="R846" i="15" s="1"/>
  <c r="AK231" i="15"/>
  <c r="AJ231" i="15"/>
  <c r="AL231" i="15" s="1"/>
  <c r="Y600" i="15"/>
  <c r="X600" i="15"/>
  <c r="Z600" i="15" s="1"/>
  <c r="M969" i="15"/>
  <c r="L969" i="15"/>
  <c r="N969" i="15" s="1"/>
  <c r="AC477" i="15"/>
  <c r="AB477" i="15"/>
  <c r="AD477" i="15" s="1"/>
  <c r="M970" i="15" l="1"/>
  <c r="L970" i="15"/>
  <c r="N970" i="15" s="1"/>
  <c r="AK232" i="15"/>
  <c r="AJ232" i="15"/>
  <c r="AL232" i="15" s="1"/>
  <c r="U724" i="15"/>
  <c r="T724" i="15"/>
  <c r="V724" i="15" s="1"/>
  <c r="AO109" i="15"/>
  <c r="AN109" i="15"/>
  <c r="AP109" i="15" s="1"/>
  <c r="AC478" i="15"/>
  <c r="AB478" i="15"/>
  <c r="AD478" i="15" s="1"/>
  <c r="Y601" i="15"/>
  <c r="X601" i="15"/>
  <c r="Z601" i="15" s="1"/>
  <c r="Q847" i="15"/>
  <c r="P847" i="15"/>
  <c r="R847" i="15" s="1"/>
  <c r="AG355" i="15"/>
  <c r="AF355" i="15"/>
  <c r="AH355" i="15" s="1"/>
  <c r="AG356" i="15" l="1"/>
  <c r="AF356" i="15"/>
  <c r="AH356" i="15" s="1"/>
  <c r="Y602" i="15"/>
  <c r="X602" i="15"/>
  <c r="Z602" i="15" s="1"/>
  <c r="AO110" i="15"/>
  <c r="AN110" i="15"/>
  <c r="AP110" i="15" s="1"/>
  <c r="U725" i="15"/>
  <c r="T725" i="15"/>
  <c r="V725" i="15" s="1"/>
  <c r="M971" i="15"/>
  <c r="L971" i="15"/>
  <c r="N971" i="15" s="1"/>
  <c r="Q848" i="15"/>
  <c r="P848" i="15"/>
  <c r="R848" i="15" s="1"/>
  <c r="AC479" i="15"/>
  <c r="AB479" i="15"/>
  <c r="AD479" i="15" s="1"/>
  <c r="AK233" i="15"/>
  <c r="AJ233" i="15"/>
  <c r="AL233" i="15" s="1"/>
  <c r="AC480" i="15" l="1"/>
  <c r="AB480" i="15"/>
  <c r="AD480" i="15" s="1"/>
  <c r="M972" i="15"/>
  <c r="L972" i="15"/>
  <c r="N972" i="15" s="1"/>
  <c r="AO111" i="15"/>
  <c r="AN111" i="15"/>
  <c r="AP111" i="15" s="1"/>
  <c r="AG357" i="15"/>
  <c r="AF357" i="15"/>
  <c r="AH357" i="15" s="1"/>
  <c r="AK234" i="15"/>
  <c r="AJ234" i="15"/>
  <c r="AL234" i="15" s="1"/>
  <c r="Q849" i="15"/>
  <c r="P849" i="15"/>
  <c r="R849" i="15" s="1"/>
  <c r="U726" i="15"/>
  <c r="T726" i="15"/>
  <c r="V726" i="15" s="1"/>
  <c r="Y603" i="15"/>
  <c r="X603" i="15"/>
  <c r="Z603" i="15" s="1"/>
  <c r="U727" i="15" l="1"/>
  <c r="T727" i="15"/>
  <c r="V727" i="15" s="1"/>
  <c r="Q850" i="15"/>
  <c r="P850" i="15"/>
  <c r="R850" i="15" s="1"/>
  <c r="AK235" i="15"/>
  <c r="AJ235" i="15"/>
  <c r="AL235" i="15" s="1"/>
  <c r="AG358" i="15"/>
  <c r="AF358" i="15"/>
  <c r="AH358" i="15" s="1"/>
  <c r="M973" i="15"/>
  <c r="L973" i="15"/>
  <c r="N973" i="15" s="1"/>
  <c r="AC481" i="15"/>
  <c r="AB481" i="15"/>
  <c r="AD481" i="15" s="1"/>
  <c r="Y604" i="15"/>
  <c r="X604" i="15"/>
  <c r="Z604" i="15" s="1"/>
  <c r="AO112" i="15"/>
  <c r="AN112" i="15"/>
  <c r="AP112" i="15" s="1"/>
  <c r="AO113" i="15" l="1"/>
  <c r="AN113" i="15"/>
  <c r="AP113" i="15" s="1"/>
  <c r="Y605" i="15"/>
  <c r="X605" i="15"/>
  <c r="Z605" i="15" s="1"/>
  <c r="M974" i="15"/>
  <c r="L974" i="15"/>
  <c r="N974" i="15" s="1"/>
  <c r="AG359" i="15"/>
  <c r="AF359" i="15"/>
  <c r="AH359" i="15" s="1"/>
  <c r="AK236" i="15"/>
  <c r="AJ236" i="15"/>
  <c r="AL236" i="15" s="1"/>
  <c r="U728" i="15"/>
  <c r="T728" i="15"/>
  <c r="V728" i="15" s="1"/>
  <c r="AC482" i="15"/>
  <c r="AB482" i="15"/>
  <c r="AD482" i="15" s="1"/>
  <c r="Q851" i="15"/>
  <c r="P851" i="15"/>
  <c r="R851" i="15" s="1"/>
  <c r="Q852" i="15" l="1"/>
  <c r="P852" i="15"/>
  <c r="R852" i="15" s="1"/>
  <c r="AC483" i="15"/>
  <c r="AB483" i="15"/>
  <c r="AD483" i="15" s="1"/>
  <c r="AK237" i="15"/>
  <c r="AJ237" i="15"/>
  <c r="AL237" i="15" s="1"/>
  <c r="AG360" i="15"/>
  <c r="AF360" i="15"/>
  <c r="AH360" i="15" s="1"/>
  <c r="M975" i="15"/>
  <c r="L975" i="15"/>
  <c r="N975" i="15" s="1"/>
  <c r="AO114" i="15"/>
  <c r="AN114" i="15"/>
  <c r="AP114" i="15" s="1"/>
  <c r="U729" i="15"/>
  <c r="T729" i="15"/>
  <c r="V729" i="15" s="1"/>
  <c r="Y606" i="15"/>
  <c r="X606" i="15"/>
  <c r="Z606" i="15" s="1"/>
  <c r="Y607" i="15" l="1"/>
  <c r="X607" i="15"/>
  <c r="Z607" i="15" s="1"/>
  <c r="AO115" i="15"/>
  <c r="AN115" i="15"/>
  <c r="AP115" i="15" s="1"/>
  <c r="AG361" i="15"/>
  <c r="AF361" i="15"/>
  <c r="AH361" i="15" s="1"/>
  <c r="AK238" i="15"/>
  <c r="AJ238" i="15"/>
  <c r="AL238" i="15" s="1"/>
  <c r="Q853" i="15"/>
  <c r="P853" i="15"/>
  <c r="R853" i="15" s="1"/>
  <c r="U730" i="15"/>
  <c r="T730" i="15"/>
  <c r="V730" i="15" s="1"/>
  <c r="M976" i="15"/>
  <c r="L976" i="15"/>
  <c r="N976" i="15" s="1"/>
  <c r="AC484" i="15"/>
  <c r="AB484" i="15"/>
  <c r="AD484" i="15" s="1"/>
  <c r="AC485" i="15" l="1"/>
  <c r="AB485" i="15"/>
  <c r="AD485" i="15" s="1"/>
  <c r="U731" i="15"/>
  <c r="T731" i="15"/>
  <c r="V731" i="15" s="1"/>
  <c r="AK239" i="15"/>
  <c r="AJ239" i="15"/>
  <c r="AL239" i="15" s="1"/>
  <c r="AG362" i="15"/>
  <c r="AF362" i="15"/>
  <c r="AH362" i="15" s="1"/>
  <c r="Y608" i="15"/>
  <c r="X608" i="15"/>
  <c r="Z608" i="15" s="1"/>
  <c r="M977" i="15"/>
  <c r="L977" i="15"/>
  <c r="N977" i="15" s="1"/>
  <c r="Q854" i="15"/>
  <c r="P854" i="15"/>
  <c r="R854" i="15" s="1"/>
  <c r="AO116" i="15"/>
  <c r="AN116" i="15"/>
  <c r="AP116" i="15" s="1"/>
  <c r="Q855" i="15" l="1"/>
  <c r="P855" i="15"/>
  <c r="R855" i="15" s="1"/>
  <c r="Y609" i="15"/>
  <c r="X609" i="15"/>
  <c r="Z609" i="15" s="1"/>
  <c r="AK240" i="15"/>
  <c r="AJ240" i="15"/>
  <c r="AL240" i="15" s="1"/>
  <c r="AC486" i="15"/>
  <c r="AB486" i="15"/>
  <c r="AD486" i="15" s="1"/>
  <c r="AO117" i="15"/>
  <c r="AN117" i="15"/>
  <c r="AP117" i="15" s="1"/>
  <c r="M978" i="15"/>
  <c r="L978" i="15"/>
  <c r="N978" i="15" s="1"/>
  <c r="AG363" i="15"/>
  <c r="AF363" i="15"/>
  <c r="AH363" i="15" s="1"/>
  <c r="U732" i="15"/>
  <c r="T732" i="15"/>
  <c r="V732" i="15" s="1"/>
  <c r="U733" i="15" l="1"/>
  <c r="T733" i="15"/>
  <c r="V733" i="15" s="1"/>
  <c r="M979" i="15"/>
  <c r="L979" i="15"/>
  <c r="N979" i="15" s="1"/>
  <c r="AO118" i="15"/>
  <c r="AN118" i="15"/>
  <c r="AP118" i="15" s="1"/>
  <c r="AC487" i="15"/>
  <c r="AB487" i="15"/>
  <c r="AD487" i="15" s="1"/>
  <c r="AK241" i="15"/>
  <c r="AJ241" i="15"/>
  <c r="AL241" i="15" s="1"/>
  <c r="Q856" i="15"/>
  <c r="P856" i="15"/>
  <c r="R856" i="15" s="1"/>
  <c r="AG364" i="15"/>
  <c r="AF364" i="15"/>
  <c r="AH364" i="15" s="1"/>
  <c r="Y610" i="15"/>
  <c r="X610" i="15"/>
  <c r="Z610" i="15" s="1"/>
  <c r="Y611" i="15" l="1"/>
  <c r="X611" i="15"/>
  <c r="Z611" i="15" s="1"/>
  <c r="AG365" i="15"/>
  <c r="AF365" i="15"/>
  <c r="AH365" i="15" s="1"/>
  <c r="AK242" i="15"/>
  <c r="AJ242" i="15"/>
  <c r="AL242" i="15" s="1"/>
  <c r="AC488" i="15"/>
  <c r="AB488" i="15"/>
  <c r="AD488" i="15" s="1"/>
  <c r="AO119" i="15"/>
  <c r="AN119" i="15"/>
  <c r="AP119" i="15" s="1"/>
  <c r="U734" i="15"/>
  <c r="T734" i="15"/>
  <c r="V734" i="15" s="1"/>
  <c r="Q857" i="15"/>
  <c r="P857" i="15"/>
  <c r="R857" i="15" s="1"/>
  <c r="M980" i="15"/>
  <c r="L980" i="15"/>
  <c r="N980" i="15" s="1"/>
  <c r="M981" i="15" l="1"/>
  <c r="L981" i="15"/>
  <c r="N981" i="15" s="1"/>
  <c r="Q858" i="15"/>
  <c r="P858" i="15"/>
  <c r="R858" i="15" s="1"/>
  <c r="AO120" i="15"/>
  <c r="AN120" i="15"/>
  <c r="AP120" i="15" s="1"/>
  <c r="AC489" i="15"/>
  <c r="AB489" i="15"/>
  <c r="AD489" i="15" s="1"/>
  <c r="AK243" i="15"/>
  <c r="AJ243" i="15"/>
  <c r="AL243" i="15" s="1"/>
  <c r="Y612" i="15"/>
  <c r="X612" i="15"/>
  <c r="Z612" i="15" s="1"/>
  <c r="U735" i="15"/>
  <c r="T735" i="15"/>
  <c r="V735" i="15" s="1"/>
  <c r="AG366" i="15"/>
  <c r="AF366" i="15"/>
  <c r="AH366" i="15" s="1"/>
  <c r="AG367" i="15" l="1"/>
  <c r="AF367" i="15"/>
  <c r="AH367" i="15" s="1"/>
  <c r="Y613" i="15"/>
  <c r="X613" i="15"/>
  <c r="Z613" i="15" s="1"/>
  <c r="AK244" i="15"/>
  <c r="AJ244" i="15"/>
  <c r="AL244" i="15" s="1"/>
  <c r="AO121" i="15"/>
  <c r="AN121" i="15"/>
  <c r="AP121" i="15" s="1"/>
  <c r="M982" i="15"/>
  <c r="L982" i="15"/>
  <c r="N982" i="15" s="1"/>
  <c r="U736" i="15"/>
  <c r="T736" i="15"/>
  <c r="V736" i="15" s="1"/>
  <c r="AC490" i="15"/>
  <c r="AB490" i="15"/>
  <c r="AD490" i="15" s="1"/>
  <c r="Q859" i="15"/>
  <c r="P859" i="15"/>
  <c r="R859" i="15" s="1"/>
  <c r="AC491" i="15" l="1"/>
  <c r="AB491" i="15"/>
  <c r="AD491" i="15" s="1"/>
  <c r="U737" i="15"/>
  <c r="T737" i="15"/>
  <c r="V737" i="15" s="1"/>
  <c r="M983" i="15"/>
  <c r="L983" i="15"/>
  <c r="N983" i="15" s="1"/>
  <c r="AO122" i="15"/>
  <c r="AN122" i="15"/>
  <c r="AP122" i="15" s="1"/>
  <c r="Y614" i="15"/>
  <c r="X614" i="15"/>
  <c r="Z614" i="15" s="1"/>
  <c r="AG368" i="15"/>
  <c r="AF368" i="15"/>
  <c r="AH368" i="15" s="1"/>
  <c r="Q860" i="15"/>
  <c r="P860" i="15"/>
  <c r="R860" i="15" s="1"/>
  <c r="AK245" i="15"/>
  <c r="AJ245" i="15"/>
  <c r="AL245" i="15" s="1"/>
  <c r="Q861" i="15" l="1"/>
  <c r="P861" i="15"/>
  <c r="R861" i="15" s="1"/>
  <c r="Y615" i="15"/>
  <c r="X615" i="15"/>
  <c r="Z615" i="15" s="1"/>
  <c r="M984" i="15"/>
  <c r="L984" i="15"/>
  <c r="N984" i="15" s="1"/>
  <c r="AC492" i="15"/>
  <c r="AB492" i="15"/>
  <c r="AD492" i="15" s="1"/>
  <c r="AK246" i="15"/>
  <c r="AJ246" i="15"/>
  <c r="AL246" i="15" s="1"/>
  <c r="AG369" i="15"/>
  <c r="AF369" i="15"/>
  <c r="AH369" i="15" s="1"/>
  <c r="AO123" i="15"/>
  <c r="AN123" i="15"/>
  <c r="AP123" i="15" s="1"/>
  <c r="U738" i="15"/>
  <c r="T738" i="15"/>
  <c r="V738" i="15" s="1"/>
  <c r="U739" i="15" l="1"/>
  <c r="T739" i="15"/>
  <c r="V739" i="15" s="1"/>
  <c r="AG370" i="15"/>
  <c r="AF370" i="15"/>
  <c r="AH370" i="15" s="1"/>
  <c r="AK247" i="15"/>
  <c r="AJ247" i="15"/>
  <c r="AL247" i="15" s="1"/>
  <c r="AC493" i="15"/>
  <c r="AB493" i="15"/>
  <c r="AD493" i="15" s="1"/>
  <c r="M985" i="15"/>
  <c r="L985" i="15"/>
  <c r="N985" i="15" s="1"/>
  <c r="Q862" i="15"/>
  <c r="P862" i="15"/>
  <c r="R862" i="15" s="1"/>
  <c r="AO124" i="15"/>
  <c r="AN124" i="15"/>
  <c r="AP124" i="15" s="1"/>
  <c r="Y616" i="15"/>
  <c r="X616" i="15"/>
  <c r="Z616" i="15" s="1"/>
  <c r="Y617" i="15" l="1"/>
  <c r="X617" i="15"/>
  <c r="Z617" i="15" s="1"/>
  <c r="AO125" i="15"/>
  <c r="AN125" i="15"/>
  <c r="AP125" i="15" s="1"/>
  <c r="M986" i="15"/>
  <c r="L986" i="15"/>
  <c r="N986" i="15" s="1"/>
  <c r="AC494" i="15"/>
  <c r="AB494" i="15"/>
  <c r="AD494" i="15" s="1"/>
  <c r="AK248" i="15"/>
  <c r="AJ248" i="15"/>
  <c r="AL248" i="15" s="1"/>
  <c r="U740" i="15"/>
  <c r="T740" i="15"/>
  <c r="V740" i="15" s="1"/>
  <c r="Q863" i="15"/>
  <c r="P863" i="15"/>
  <c r="R863" i="15" s="1"/>
  <c r="AG371" i="15"/>
  <c r="AF371" i="15"/>
  <c r="AH371" i="15" s="1"/>
  <c r="AG372" i="15" l="1"/>
  <c r="AF372" i="15"/>
  <c r="AH372" i="15" s="1"/>
  <c r="Q864" i="15"/>
  <c r="P864" i="15"/>
  <c r="R864" i="15" s="1"/>
  <c r="U741" i="15"/>
  <c r="T741" i="15"/>
  <c r="V741" i="15" s="1"/>
  <c r="AK249" i="15"/>
  <c r="AJ249" i="15"/>
  <c r="AL249" i="15" s="1"/>
  <c r="AC495" i="15"/>
  <c r="AB495" i="15"/>
  <c r="AD495" i="15" s="1"/>
  <c r="M987" i="15"/>
  <c r="L987" i="15"/>
  <c r="N987" i="15" s="1"/>
  <c r="AO126" i="15"/>
  <c r="AN126" i="15"/>
  <c r="AP126" i="15" s="1"/>
  <c r="Y618" i="15"/>
  <c r="X618" i="15"/>
  <c r="Z618" i="15" s="1"/>
  <c r="Y619" i="15" l="1"/>
  <c r="X619" i="15"/>
  <c r="Z619" i="15" s="1"/>
  <c r="AO127" i="15"/>
  <c r="AN127" i="15"/>
  <c r="AP127" i="15" s="1"/>
  <c r="M988" i="15"/>
  <c r="L988" i="15"/>
  <c r="N988" i="15" s="1"/>
  <c r="AC496" i="15"/>
  <c r="AB496" i="15"/>
  <c r="AD496" i="15" s="1"/>
  <c r="AK250" i="15"/>
  <c r="AJ250" i="15"/>
  <c r="AL250" i="15" s="1"/>
  <c r="U742" i="15"/>
  <c r="T742" i="15"/>
  <c r="V742" i="15" s="1"/>
  <c r="Q865" i="15"/>
  <c r="P865" i="15"/>
  <c r="R865" i="15" s="1"/>
  <c r="AG373" i="15"/>
  <c r="AF373" i="15"/>
  <c r="AH373" i="15" s="1"/>
  <c r="Q866" i="15" l="1"/>
  <c r="P866" i="15"/>
  <c r="R866" i="15" s="1"/>
  <c r="AK251" i="15"/>
  <c r="AJ251" i="15"/>
  <c r="AL251" i="15" s="1"/>
  <c r="M989" i="15"/>
  <c r="L989" i="15"/>
  <c r="N989" i="15" s="1"/>
  <c r="Y620" i="15"/>
  <c r="X620" i="15"/>
  <c r="Z620" i="15" s="1"/>
  <c r="AG374" i="15"/>
  <c r="AF374" i="15"/>
  <c r="AH374" i="15" s="1"/>
  <c r="U743" i="15"/>
  <c r="T743" i="15"/>
  <c r="V743" i="15" s="1"/>
  <c r="AC497" i="15"/>
  <c r="AB497" i="15"/>
  <c r="AD497" i="15" s="1"/>
  <c r="AO128" i="15"/>
  <c r="AN128" i="15"/>
  <c r="AP128" i="15" s="1"/>
  <c r="AC498" i="15" l="1"/>
  <c r="AB498" i="15"/>
  <c r="AD498" i="15" s="1"/>
  <c r="U744" i="15"/>
  <c r="T744" i="15"/>
  <c r="V744" i="15" s="1"/>
  <c r="Y621" i="15"/>
  <c r="X621" i="15"/>
  <c r="Z621" i="15" s="1"/>
  <c r="M990" i="15"/>
  <c r="L990" i="15"/>
  <c r="N990" i="15" s="1"/>
  <c r="Q867" i="15"/>
  <c r="P867" i="15"/>
  <c r="R867" i="15" s="1"/>
  <c r="AO129" i="15"/>
  <c r="AN129" i="15"/>
  <c r="AP129" i="15" s="1"/>
  <c r="AG375" i="15"/>
  <c r="AF375" i="15"/>
  <c r="AH375" i="15" s="1"/>
  <c r="AK252" i="15"/>
  <c r="AJ252" i="15"/>
  <c r="AL252" i="15" s="1"/>
  <c r="AK253" i="15" l="1"/>
  <c r="AJ253" i="15"/>
  <c r="AL253" i="15" s="1"/>
  <c r="AO130" i="15"/>
  <c r="AN130" i="15"/>
  <c r="AP130" i="15" s="1"/>
  <c r="M991" i="15"/>
  <c r="L991" i="15"/>
  <c r="N991" i="15" s="1"/>
  <c r="Y622" i="15"/>
  <c r="X622" i="15"/>
  <c r="Z622" i="15" s="1"/>
  <c r="AC499" i="15"/>
  <c r="AB499" i="15"/>
  <c r="AD499" i="15" s="1"/>
  <c r="AG376" i="15"/>
  <c r="AF376" i="15"/>
  <c r="AH376" i="15" s="1"/>
  <c r="Q868" i="15"/>
  <c r="P868" i="15"/>
  <c r="R868" i="15" s="1"/>
  <c r="U745" i="15"/>
  <c r="T745" i="15"/>
  <c r="V745" i="15" s="1"/>
  <c r="U746" i="15" l="1"/>
  <c r="T746" i="15"/>
  <c r="V746" i="15" s="1"/>
  <c r="Q869" i="15"/>
  <c r="P869" i="15"/>
  <c r="R869" i="15" s="1"/>
  <c r="AC500" i="15"/>
  <c r="AB500" i="15"/>
  <c r="AD500" i="15" s="1"/>
  <c r="M992" i="15"/>
  <c r="L992" i="15"/>
  <c r="N992" i="15" s="1"/>
  <c r="AK254" i="15"/>
  <c r="AJ254" i="15"/>
  <c r="AL254" i="15" s="1"/>
  <c r="AG377" i="15"/>
  <c r="AF377" i="15"/>
  <c r="AH377" i="15" s="1"/>
  <c r="Y623" i="15"/>
  <c r="X623" i="15"/>
  <c r="Z623" i="15" s="1"/>
  <c r="AO131" i="15"/>
  <c r="AN131" i="15"/>
  <c r="AP131" i="15" s="1"/>
  <c r="AO132" i="15" l="1"/>
  <c r="AN132" i="15"/>
  <c r="AP132" i="15" s="1"/>
  <c r="AG378" i="15"/>
  <c r="AF378" i="15"/>
  <c r="AH378" i="15" s="1"/>
  <c r="M993" i="15"/>
  <c r="L993" i="15"/>
  <c r="N993" i="15" s="1"/>
  <c r="AC501" i="15"/>
  <c r="AB501" i="15"/>
  <c r="AD501" i="15" s="1"/>
  <c r="U747" i="15"/>
  <c r="T747" i="15"/>
  <c r="V747" i="15" s="1"/>
  <c r="Y624" i="15"/>
  <c r="X624" i="15"/>
  <c r="Z624" i="15" s="1"/>
  <c r="AK255" i="15"/>
  <c r="AJ255" i="15"/>
  <c r="AL255" i="15" s="1"/>
  <c r="Q870" i="15"/>
  <c r="P870" i="15"/>
  <c r="R870" i="15" s="1"/>
  <c r="AK256" i="15" l="1"/>
  <c r="AJ256" i="15"/>
  <c r="AL256" i="15" s="1"/>
  <c r="U748" i="15"/>
  <c r="T748" i="15"/>
  <c r="V748" i="15" s="1"/>
  <c r="M994" i="15"/>
  <c r="L994" i="15"/>
  <c r="N994" i="15" s="1"/>
  <c r="AO133" i="15"/>
  <c r="AN133" i="15"/>
  <c r="AP133" i="15" s="1"/>
  <c r="Q871" i="15"/>
  <c r="P871" i="15"/>
  <c r="R871" i="15" s="1"/>
  <c r="Y625" i="15"/>
  <c r="X625" i="15"/>
  <c r="Z625" i="15" s="1"/>
  <c r="AC502" i="15"/>
  <c r="AB502" i="15"/>
  <c r="AD502" i="15" s="1"/>
  <c r="AG379" i="15"/>
  <c r="AF379" i="15"/>
  <c r="AH379" i="15" s="1"/>
  <c r="AG380" i="15" l="1"/>
  <c r="AF380" i="15"/>
  <c r="AH380" i="15" s="1"/>
  <c r="Y626" i="15"/>
  <c r="X626" i="15"/>
  <c r="Z626" i="15" s="1"/>
  <c r="AO134" i="15"/>
  <c r="AN134" i="15"/>
  <c r="AP134" i="15" s="1"/>
  <c r="M995" i="15"/>
  <c r="L995" i="15"/>
  <c r="N995" i="15" s="1"/>
  <c r="AK257" i="15"/>
  <c r="AJ257" i="15"/>
  <c r="AL257" i="15" s="1"/>
  <c r="AC503" i="15"/>
  <c r="AB503" i="15"/>
  <c r="AD503" i="15" s="1"/>
  <c r="Q872" i="15"/>
  <c r="P872" i="15"/>
  <c r="R872" i="15" s="1"/>
  <c r="U749" i="15"/>
  <c r="T749" i="15"/>
  <c r="V749" i="15" s="1"/>
  <c r="U750" i="15" l="1"/>
  <c r="T750" i="15"/>
  <c r="V750" i="15" s="1"/>
  <c r="AC504" i="15"/>
  <c r="AB504" i="15"/>
  <c r="AD504" i="15" s="1"/>
  <c r="M996" i="15"/>
  <c r="L996" i="15"/>
  <c r="N996" i="15" s="1"/>
  <c r="AO135" i="15"/>
  <c r="AN135" i="15"/>
  <c r="AP135" i="15" s="1"/>
  <c r="AG381" i="15"/>
  <c r="AF381" i="15"/>
  <c r="AH381" i="15" s="1"/>
  <c r="Q873" i="15"/>
  <c r="P873" i="15"/>
  <c r="R873" i="15" s="1"/>
  <c r="AK258" i="15"/>
  <c r="AJ258" i="15"/>
  <c r="AL258" i="15" s="1"/>
  <c r="Y627" i="15"/>
  <c r="X627" i="15"/>
  <c r="Z627" i="15" s="1"/>
  <c r="Y628" i="15" l="1"/>
  <c r="X628" i="15"/>
  <c r="Z628" i="15" s="1"/>
  <c r="AK259" i="15"/>
  <c r="AJ259" i="15"/>
  <c r="AL259" i="15" s="1"/>
  <c r="Q874" i="15"/>
  <c r="P874" i="15"/>
  <c r="R874" i="15" s="1"/>
  <c r="AG382" i="15"/>
  <c r="AF382" i="15"/>
  <c r="AH382" i="15" s="1"/>
  <c r="AO136" i="15"/>
  <c r="AN136" i="15"/>
  <c r="AP136" i="15" s="1"/>
  <c r="M997" i="15"/>
  <c r="L997" i="15"/>
  <c r="N997" i="15" s="1"/>
  <c r="AC505" i="15"/>
  <c r="AB505" i="15"/>
  <c r="AD505" i="15" s="1"/>
  <c r="U751" i="15"/>
  <c r="T751" i="15"/>
  <c r="V751" i="15" s="1"/>
  <c r="AC506" i="15" l="1"/>
  <c r="AB506" i="15"/>
  <c r="AD506" i="15" s="1"/>
  <c r="AO137" i="15"/>
  <c r="AN137" i="15"/>
  <c r="AP137" i="15" s="1"/>
  <c r="AG383" i="15"/>
  <c r="AF383" i="15"/>
  <c r="AH383" i="15" s="1"/>
  <c r="Q875" i="15"/>
  <c r="P875" i="15"/>
  <c r="R875" i="15" s="1"/>
  <c r="Y629" i="15"/>
  <c r="X629" i="15"/>
  <c r="Z629" i="15" s="1"/>
  <c r="U752" i="15"/>
  <c r="T752" i="15"/>
  <c r="V752" i="15" s="1"/>
  <c r="M998" i="15"/>
  <c r="L998" i="15"/>
  <c r="N998" i="15" s="1"/>
  <c r="AK260" i="15"/>
  <c r="AJ260" i="15"/>
  <c r="AL260" i="15" s="1"/>
  <c r="AK261" i="15" l="1"/>
  <c r="AJ261" i="15"/>
  <c r="AL261" i="15" s="1"/>
  <c r="U753" i="15"/>
  <c r="T753" i="15"/>
  <c r="V753" i="15" s="1"/>
  <c r="Q876" i="15"/>
  <c r="P876" i="15"/>
  <c r="R876" i="15" s="1"/>
  <c r="AG384" i="15"/>
  <c r="AF384" i="15"/>
  <c r="AH384" i="15" s="1"/>
  <c r="AC507" i="15"/>
  <c r="AB507" i="15"/>
  <c r="AD507" i="15" s="1"/>
  <c r="M999" i="15"/>
  <c r="L999" i="15"/>
  <c r="N999" i="15" s="1"/>
  <c r="Y630" i="15"/>
  <c r="X630" i="15"/>
  <c r="Z630" i="15" s="1"/>
  <c r="AO138" i="15"/>
  <c r="AN138" i="15"/>
  <c r="AP138" i="15" s="1"/>
  <c r="AO139" i="15" l="1"/>
  <c r="AN139" i="15"/>
  <c r="AP139" i="15" s="1"/>
  <c r="M1000" i="15"/>
  <c r="L1000" i="15"/>
  <c r="N1000" i="15" s="1"/>
  <c r="AC508" i="15"/>
  <c r="AB508" i="15"/>
  <c r="AD508" i="15" s="1"/>
  <c r="AG385" i="15"/>
  <c r="AF385" i="15"/>
  <c r="AH385" i="15" s="1"/>
  <c r="Q877" i="15"/>
  <c r="P877" i="15"/>
  <c r="R877" i="15" s="1"/>
  <c r="AK262" i="15"/>
  <c r="AJ262" i="15"/>
  <c r="AL262" i="15" s="1"/>
  <c r="Y631" i="15"/>
  <c r="X631" i="15"/>
  <c r="Z631" i="15" s="1"/>
  <c r="U754" i="15"/>
  <c r="T754" i="15"/>
  <c r="V754" i="15" s="1"/>
  <c r="U755" i="15" l="1"/>
  <c r="T755" i="15"/>
  <c r="V755" i="15" s="1"/>
  <c r="Y632" i="15"/>
  <c r="X632" i="15"/>
  <c r="Z632" i="15" s="1"/>
  <c r="Q878" i="15"/>
  <c r="P878" i="15"/>
  <c r="R878" i="15" s="1"/>
  <c r="AG386" i="15"/>
  <c r="AF386" i="15"/>
  <c r="AH386" i="15" s="1"/>
  <c r="AC509" i="15"/>
  <c r="AB509" i="15"/>
  <c r="AD509" i="15" s="1"/>
  <c r="AO140" i="15"/>
  <c r="AN140" i="15"/>
  <c r="AP140" i="15" s="1"/>
  <c r="AK263" i="15"/>
  <c r="AJ263" i="15"/>
  <c r="AL263" i="15" s="1"/>
  <c r="M1001" i="15"/>
  <c r="L1001" i="15"/>
  <c r="N1001" i="15" s="1"/>
  <c r="M1002" i="15" l="1"/>
  <c r="L1002" i="15"/>
  <c r="N1002" i="15" s="1"/>
  <c r="AK264" i="15"/>
  <c r="AJ264" i="15"/>
  <c r="AL264" i="15" s="1"/>
  <c r="AC510" i="15"/>
  <c r="AB510" i="15"/>
  <c r="AD510" i="15" s="1"/>
  <c r="AG387" i="15"/>
  <c r="AF387" i="15"/>
  <c r="AH387" i="15" s="1"/>
  <c r="Q879" i="15"/>
  <c r="P879" i="15"/>
  <c r="R879" i="15" s="1"/>
  <c r="U756" i="15"/>
  <c r="T756" i="15"/>
  <c r="V756" i="15" s="1"/>
  <c r="AO141" i="15"/>
  <c r="AN141" i="15"/>
  <c r="AP141" i="15" s="1"/>
  <c r="Y633" i="15"/>
  <c r="X633" i="15"/>
  <c r="Z633" i="15" s="1"/>
  <c r="Y634" i="15" l="1"/>
  <c r="X634" i="15"/>
  <c r="Z634" i="15" s="1"/>
  <c r="U757" i="15"/>
  <c r="T757" i="15"/>
  <c r="V757" i="15" s="1"/>
  <c r="Q880" i="15"/>
  <c r="P880" i="15"/>
  <c r="R880" i="15" s="1"/>
  <c r="AG388" i="15"/>
  <c r="AF388" i="15"/>
  <c r="AH388" i="15" s="1"/>
  <c r="AC511" i="15"/>
  <c r="AB511" i="15"/>
  <c r="AD511" i="15" s="1"/>
  <c r="M1003" i="15"/>
  <c r="L1003" i="15"/>
  <c r="N1003" i="15" s="1"/>
  <c r="AO142" i="15"/>
  <c r="AN142" i="15"/>
  <c r="AP142" i="15" s="1"/>
  <c r="AK265" i="15"/>
  <c r="AJ265" i="15"/>
  <c r="AL265" i="15" s="1"/>
  <c r="AK266" i="15" l="1"/>
  <c r="AJ266" i="15"/>
  <c r="AL266" i="15" s="1"/>
  <c r="M1004" i="15"/>
  <c r="L1004" i="15"/>
  <c r="N1004" i="15" s="1"/>
  <c r="AC512" i="15"/>
  <c r="AB512" i="15"/>
  <c r="AD512" i="15" s="1"/>
  <c r="AG389" i="15"/>
  <c r="AF389" i="15"/>
  <c r="AH389" i="15" s="1"/>
  <c r="Q881" i="15"/>
  <c r="P881" i="15"/>
  <c r="R881" i="15" s="1"/>
  <c r="Y635" i="15"/>
  <c r="X635" i="15"/>
  <c r="Z635" i="15" s="1"/>
  <c r="AO143" i="15"/>
  <c r="AN143" i="15"/>
  <c r="AP143" i="15" s="1"/>
  <c r="U758" i="15"/>
  <c r="T758" i="15"/>
  <c r="V758" i="15" s="1"/>
  <c r="U759" i="15" l="1"/>
  <c r="T759" i="15"/>
  <c r="V759" i="15" s="1"/>
  <c r="Y636" i="15"/>
  <c r="X636" i="15"/>
  <c r="Z636" i="15" s="1"/>
  <c r="Q882" i="15"/>
  <c r="P882" i="15"/>
  <c r="R882" i="15" s="1"/>
  <c r="AG390" i="15"/>
  <c r="AF390" i="15"/>
  <c r="AH390" i="15" s="1"/>
  <c r="M1005" i="15"/>
  <c r="L1005" i="15"/>
  <c r="N1005" i="15" s="1"/>
  <c r="AK267" i="15"/>
  <c r="AJ267" i="15"/>
  <c r="AL267" i="15" s="1"/>
  <c r="AO144" i="15"/>
  <c r="AN144" i="15"/>
  <c r="AP144" i="15" s="1"/>
  <c r="AC513" i="15"/>
  <c r="AB513" i="15"/>
  <c r="AD513" i="15" s="1"/>
  <c r="AC514" i="15" l="1"/>
  <c r="AB514" i="15"/>
  <c r="AD514" i="15" s="1"/>
  <c r="AK268" i="15"/>
  <c r="AJ268" i="15"/>
  <c r="AL268" i="15" s="1"/>
  <c r="AG391" i="15"/>
  <c r="AF391" i="15"/>
  <c r="AH391" i="15" s="1"/>
  <c r="Q883" i="15"/>
  <c r="P883" i="15"/>
  <c r="R883" i="15" s="1"/>
  <c r="U760" i="15"/>
  <c r="T760" i="15"/>
  <c r="V760" i="15" s="1"/>
  <c r="AO145" i="15"/>
  <c r="AN145" i="15"/>
  <c r="AP145" i="15" s="1"/>
  <c r="M1006" i="15"/>
  <c r="L1006" i="15"/>
  <c r="N1006" i="15" s="1"/>
  <c r="Y637" i="15"/>
  <c r="X637" i="15"/>
  <c r="Z637" i="15" s="1"/>
  <c r="Y638" i="15" l="1"/>
  <c r="X638" i="15"/>
  <c r="Z638" i="15" s="1"/>
  <c r="AO146" i="15"/>
  <c r="AN146" i="15"/>
  <c r="AP146" i="15" s="1"/>
  <c r="U761" i="15"/>
  <c r="T761" i="15"/>
  <c r="V761" i="15" s="1"/>
  <c r="Q884" i="15"/>
  <c r="P884" i="15"/>
  <c r="R884" i="15" s="1"/>
  <c r="AG392" i="15"/>
  <c r="AF392" i="15"/>
  <c r="AH392" i="15" s="1"/>
  <c r="AC515" i="15"/>
  <c r="AB515" i="15"/>
  <c r="AD515" i="15" s="1"/>
  <c r="M1007" i="15"/>
  <c r="L1007" i="15"/>
  <c r="N1007" i="15" s="1"/>
  <c r="AK269" i="15"/>
  <c r="AJ269" i="15"/>
  <c r="AL269" i="15" s="1"/>
  <c r="AK270" i="15" l="1"/>
  <c r="AJ270" i="15"/>
  <c r="AL270" i="15" s="1"/>
  <c r="M1008" i="15"/>
  <c r="L1008" i="15"/>
  <c r="N1008" i="15" s="1"/>
  <c r="AG393" i="15"/>
  <c r="AF393" i="15"/>
  <c r="AH393" i="15" s="1"/>
  <c r="Q885" i="15"/>
  <c r="P885" i="15"/>
  <c r="R885" i="15" s="1"/>
  <c r="U762" i="15"/>
  <c r="T762" i="15"/>
  <c r="V762" i="15" s="1"/>
  <c r="Y639" i="15"/>
  <c r="X639" i="15"/>
  <c r="Z639" i="15" s="1"/>
  <c r="AC516" i="15"/>
  <c r="AB516" i="15"/>
  <c r="AD516" i="15" s="1"/>
  <c r="K12" i="15"/>
  <c r="AO147" i="15"/>
  <c r="AN147" i="15"/>
  <c r="AP147" i="15" s="1"/>
  <c r="AO148" i="15" l="1"/>
  <c r="AN148" i="15"/>
  <c r="AP148" i="15" s="1"/>
  <c r="AC517" i="15"/>
  <c r="AB517" i="15"/>
  <c r="AD517" i="15" s="1"/>
  <c r="Y640" i="15"/>
  <c r="X640" i="15"/>
  <c r="Z640" i="15" s="1"/>
  <c r="U763" i="15"/>
  <c r="T763" i="15"/>
  <c r="V763" i="15" s="1"/>
  <c r="Q886" i="15"/>
  <c r="P886" i="15"/>
  <c r="R886" i="15" s="1"/>
  <c r="AG394" i="15"/>
  <c r="AF394" i="15"/>
  <c r="AH394" i="15" s="1"/>
  <c r="M1009" i="15"/>
  <c r="L1009" i="15"/>
  <c r="N1009" i="15" s="1"/>
  <c r="AK271" i="15"/>
  <c r="AJ271" i="15"/>
  <c r="AL271" i="15" s="1"/>
  <c r="H13" i="15"/>
  <c r="L12" i="15"/>
  <c r="M12" i="15"/>
  <c r="D13" i="15"/>
  <c r="C13" i="15" s="1"/>
  <c r="F13" i="15"/>
  <c r="E13" i="15" s="1"/>
  <c r="M1010" i="15" l="1"/>
  <c r="L1010" i="15"/>
  <c r="N1010" i="15" s="1"/>
  <c r="AG395" i="15"/>
  <c r="AF395" i="15"/>
  <c r="AH395" i="15" s="1"/>
  <c r="Q887" i="15"/>
  <c r="P887" i="15"/>
  <c r="R887" i="15" s="1"/>
  <c r="U764" i="15"/>
  <c r="T764" i="15"/>
  <c r="V764" i="15" s="1"/>
  <c r="AC518" i="15"/>
  <c r="AB518" i="15"/>
  <c r="AD518" i="15" s="1"/>
  <c r="AO149" i="15"/>
  <c r="AN149" i="15"/>
  <c r="AP149" i="15" s="1"/>
  <c r="AK272" i="15"/>
  <c r="AJ272" i="15"/>
  <c r="AL272" i="15" s="1"/>
  <c r="Y641" i="15"/>
  <c r="X641" i="15"/>
  <c r="Z641" i="15" s="1"/>
  <c r="AQ27" i="15"/>
  <c r="J13" i="15"/>
  <c r="AQ28" i="15"/>
  <c r="AQ29" i="15"/>
  <c r="AQ30" i="15"/>
  <c r="AQ31" i="15"/>
  <c r="AQ32" i="15"/>
  <c r="AQ33" i="15"/>
  <c r="AQ34" i="15"/>
  <c r="AQ35" i="15"/>
  <c r="AQ36" i="15"/>
  <c r="AQ37" i="15"/>
  <c r="AQ38" i="15"/>
  <c r="AQ39" i="15"/>
  <c r="AQ40" i="15"/>
  <c r="AQ41" i="15"/>
  <c r="AQ42" i="15"/>
  <c r="AQ43" i="15"/>
  <c r="AQ44" i="15"/>
  <c r="AQ45" i="15"/>
  <c r="AQ46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AQ70" i="15"/>
  <c r="AQ71" i="15"/>
  <c r="AQ72" i="15"/>
  <c r="AQ73" i="15"/>
  <c r="AQ74" i="15"/>
  <c r="AQ75" i="15"/>
  <c r="AQ76" i="15"/>
  <c r="AQ77" i="15"/>
  <c r="AQ78" i="15"/>
  <c r="AQ79" i="15"/>
  <c r="AQ80" i="15"/>
  <c r="AQ81" i="15"/>
  <c r="AQ82" i="15"/>
  <c r="AQ83" i="15"/>
  <c r="AQ84" i="15"/>
  <c r="AQ85" i="15"/>
  <c r="AQ86" i="15"/>
  <c r="AQ87" i="15"/>
  <c r="AQ88" i="15"/>
  <c r="AQ89" i="15"/>
  <c r="AQ90" i="15"/>
  <c r="AQ91" i="15"/>
  <c r="AQ92" i="15"/>
  <c r="AQ93" i="15"/>
  <c r="AQ94" i="15"/>
  <c r="AQ95" i="15"/>
  <c r="AQ96" i="15"/>
  <c r="AQ97" i="15"/>
  <c r="AQ98" i="15"/>
  <c r="AQ99" i="15"/>
  <c r="AQ100" i="15"/>
  <c r="AQ101" i="15"/>
  <c r="AQ102" i="15"/>
  <c r="AQ103" i="15"/>
  <c r="AQ104" i="15"/>
  <c r="AQ105" i="15"/>
  <c r="AQ106" i="15"/>
  <c r="AQ107" i="15"/>
  <c r="AQ108" i="15"/>
  <c r="AQ109" i="15"/>
  <c r="AQ110" i="15"/>
  <c r="AQ111" i="15"/>
  <c r="AQ112" i="15"/>
  <c r="AQ113" i="15"/>
  <c r="AQ114" i="15"/>
  <c r="AQ115" i="15"/>
  <c r="AQ116" i="15"/>
  <c r="AQ117" i="15"/>
  <c r="AQ118" i="15"/>
  <c r="AQ119" i="15"/>
  <c r="AQ120" i="15"/>
  <c r="AQ121" i="15"/>
  <c r="AQ122" i="15"/>
  <c r="AQ123" i="15"/>
  <c r="AQ124" i="15"/>
  <c r="AQ125" i="15"/>
  <c r="AQ126" i="15"/>
  <c r="AQ127" i="15"/>
  <c r="AQ128" i="15"/>
  <c r="AQ129" i="15"/>
  <c r="AQ130" i="15"/>
  <c r="AQ131" i="15"/>
  <c r="AQ132" i="15"/>
  <c r="AQ133" i="15"/>
  <c r="AQ134" i="15"/>
  <c r="AQ135" i="15"/>
  <c r="AQ136" i="15"/>
  <c r="AQ137" i="15"/>
  <c r="AQ138" i="15"/>
  <c r="AQ139" i="15"/>
  <c r="AQ140" i="15"/>
  <c r="AQ141" i="15"/>
  <c r="AQ142" i="15"/>
  <c r="AQ143" i="15"/>
  <c r="AQ144" i="15"/>
  <c r="AQ145" i="15"/>
  <c r="AQ146" i="15"/>
  <c r="I13" i="15"/>
  <c r="AQ149" i="15"/>
  <c r="AQ151" i="15"/>
  <c r="AQ153" i="15"/>
  <c r="AQ154" i="15"/>
  <c r="AQ158" i="15"/>
  <c r="AQ159" i="15"/>
  <c r="AQ160" i="15"/>
  <c r="AQ162" i="15"/>
  <c r="AQ165" i="15"/>
  <c r="AQ166" i="15"/>
  <c r="AQ168" i="15"/>
  <c r="AQ170" i="15"/>
  <c r="AQ171" i="15"/>
  <c r="AQ174" i="15"/>
  <c r="AQ177" i="15"/>
  <c r="AQ178" i="15"/>
  <c r="AQ181" i="15"/>
  <c r="AQ186" i="15"/>
  <c r="AQ189" i="15"/>
  <c r="AQ190" i="15"/>
  <c r="AQ191" i="15"/>
  <c r="AQ194" i="15"/>
  <c r="AQ197" i="15"/>
  <c r="AQ198" i="15"/>
  <c r="AQ202" i="15"/>
  <c r="AQ203" i="15"/>
  <c r="AQ206" i="15"/>
  <c r="AQ207" i="15"/>
  <c r="AQ211" i="15"/>
  <c r="AQ214" i="15"/>
  <c r="AQ216" i="15"/>
  <c r="AQ217" i="15"/>
  <c r="AQ221" i="15"/>
  <c r="AQ223" i="15"/>
  <c r="AQ225" i="15"/>
  <c r="AQ228" i="15"/>
  <c r="AQ233" i="15"/>
  <c r="AQ234" i="15"/>
  <c r="AQ237" i="15"/>
  <c r="AQ238" i="15"/>
  <c r="AQ242" i="15"/>
  <c r="AQ245" i="15"/>
  <c r="AQ247" i="15"/>
  <c r="AQ249" i="15"/>
  <c r="AQ254" i="15"/>
  <c r="AQ255" i="15"/>
  <c r="AQ259" i="15"/>
  <c r="AQ262" i="15"/>
  <c r="AQ264" i="15"/>
  <c r="AQ269" i="15"/>
  <c r="AQ271" i="15"/>
  <c r="AQ274" i="15"/>
  <c r="AQ276" i="15"/>
  <c r="AQ280" i="15"/>
  <c r="AQ283" i="15"/>
  <c r="AQ284" i="15"/>
  <c r="AQ285" i="15"/>
  <c r="AQ288" i="15"/>
  <c r="AQ290" i="15"/>
  <c r="AQ291" i="15"/>
  <c r="AQ293" i="15"/>
  <c r="AQ297" i="15"/>
  <c r="AQ299" i="15"/>
  <c r="AQ301" i="15"/>
  <c r="AQ305" i="15"/>
  <c r="AQ306" i="15"/>
  <c r="AQ307" i="15"/>
  <c r="AQ309" i="15"/>
  <c r="AQ311" i="15"/>
  <c r="AQ312" i="15"/>
  <c r="AQ316" i="15"/>
  <c r="AQ320" i="15"/>
  <c r="AQ321" i="15"/>
  <c r="AQ325" i="15"/>
  <c r="AQ328" i="15"/>
  <c r="AQ329" i="15"/>
  <c r="AQ330" i="15"/>
  <c r="AQ333" i="15"/>
  <c r="AQ336" i="15"/>
  <c r="AQ339" i="15"/>
  <c r="AQ340" i="15"/>
  <c r="AQ343" i="15"/>
  <c r="AQ344" i="15"/>
  <c r="AQ347" i="15"/>
  <c r="AQ348" i="15"/>
  <c r="AQ351" i="15"/>
  <c r="AQ357" i="15"/>
  <c r="AQ358" i="15"/>
  <c r="AQ361" i="15"/>
  <c r="AQ363" i="15"/>
  <c r="AQ365" i="15"/>
  <c r="AQ368" i="15"/>
  <c r="AQ372" i="15"/>
  <c r="AQ373" i="15"/>
  <c r="AQ376" i="15"/>
  <c r="AQ379" i="15"/>
  <c r="AQ380" i="15"/>
  <c r="AQ382" i="15"/>
  <c r="AQ383" i="15"/>
  <c r="AQ386" i="15"/>
  <c r="AQ387" i="15"/>
  <c r="AQ390" i="15"/>
  <c r="AQ391" i="15"/>
  <c r="AQ392" i="15"/>
  <c r="AQ395" i="15"/>
  <c r="AQ396" i="15"/>
  <c r="AQ399" i="15"/>
  <c r="AQ401" i="15"/>
  <c r="AQ405" i="15"/>
  <c r="AQ409" i="15"/>
  <c r="AQ410" i="15"/>
  <c r="AQ413" i="15"/>
  <c r="AQ414" i="15"/>
  <c r="AQ415" i="15"/>
  <c r="AQ419" i="15"/>
  <c r="AQ422" i="15"/>
  <c r="AQ424" i="15"/>
  <c r="AQ425" i="15"/>
  <c r="AQ427" i="15"/>
  <c r="AQ429" i="15"/>
  <c r="AQ431" i="15"/>
  <c r="AQ435" i="15"/>
  <c r="AQ438" i="15"/>
  <c r="AQ439" i="15"/>
  <c r="AQ441" i="15"/>
  <c r="AQ442" i="15"/>
  <c r="AQ445" i="15"/>
  <c r="AQ446" i="15"/>
  <c r="AQ450" i="15"/>
  <c r="AQ451" i="15"/>
  <c r="AQ454" i="15"/>
  <c r="AQ455" i="15"/>
  <c r="AQ460" i="15"/>
  <c r="AQ463" i="15"/>
  <c r="AQ464" i="15"/>
  <c r="AQ469" i="15"/>
  <c r="AQ470" i="15"/>
  <c r="AQ473" i="15"/>
  <c r="AQ474" i="15"/>
  <c r="AQ478" i="15"/>
  <c r="AQ479" i="15"/>
  <c r="AQ482" i="15"/>
  <c r="AQ483" i="15"/>
  <c r="AQ487" i="15"/>
  <c r="AQ489" i="15"/>
  <c r="AQ492" i="15"/>
  <c r="AQ493" i="15"/>
  <c r="AQ497" i="15"/>
  <c r="AQ498" i="15"/>
  <c r="AQ501" i="15"/>
  <c r="AQ502" i="15"/>
  <c r="AQ504" i="15"/>
  <c r="AQ508" i="15"/>
  <c r="AQ510" i="15"/>
  <c r="AQ512" i="15"/>
  <c r="AQ514" i="15"/>
  <c r="AQ517" i="15"/>
  <c r="AQ518" i="15"/>
  <c r="AQ522" i="15"/>
  <c r="AQ524" i="15"/>
  <c r="AQ527" i="15"/>
  <c r="AQ528" i="15"/>
  <c r="AQ530" i="15"/>
  <c r="AQ534" i="15"/>
  <c r="AQ535" i="15"/>
  <c r="AQ538" i="15"/>
  <c r="AQ542" i="15"/>
  <c r="AQ543" i="15"/>
  <c r="AQ546" i="15"/>
  <c r="AQ547" i="15"/>
  <c r="AQ550" i="15"/>
  <c r="AQ552" i="15"/>
  <c r="AQ554" i="15"/>
  <c r="AQ555" i="15"/>
  <c r="AQ559" i="15"/>
  <c r="AQ562" i="15"/>
  <c r="AQ563" i="15"/>
  <c r="AQ566" i="15"/>
  <c r="AQ569" i="15"/>
  <c r="AQ570" i="15"/>
  <c r="AQ573" i="15"/>
  <c r="AQ576" i="15"/>
  <c r="AQ579" i="15"/>
  <c r="AQ580" i="15"/>
  <c r="AQ582" i="15"/>
  <c r="AQ585" i="15"/>
  <c r="AQ586" i="15"/>
  <c r="AQ589" i="15"/>
  <c r="AQ593" i="15"/>
  <c r="AQ595" i="15"/>
  <c r="AQ597" i="15"/>
  <c r="AQ599" i="15"/>
  <c r="AQ604" i="15"/>
  <c r="AQ605" i="15"/>
  <c r="AQ610" i="15"/>
  <c r="AQ611" i="15"/>
  <c r="AQ615" i="15"/>
  <c r="AQ617" i="15"/>
  <c r="AQ618" i="15"/>
  <c r="AQ622" i="15"/>
  <c r="AQ623" i="15"/>
  <c r="AQ626" i="15"/>
  <c r="AQ629" i="15"/>
  <c r="AQ632" i="15"/>
  <c r="AQ633" i="15"/>
  <c r="AQ634" i="15"/>
  <c r="AQ638" i="15"/>
  <c r="AQ639" i="15"/>
  <c r="AQ642" i="15"/>
  <c r="AQ643" i="15"/>
  <c r="AQ647" i="15"/>
  <c r="AQ648" i="15"/>
  <c r="AQ650" i="15"/>
  <c r="AQ652" i="15"/>
  <c r="AQ654" i="15"/>
  <c r="AQ655" i="15"/>
  <c r="AQ657" i="15"/>
  <c r="AQ658" i="15"/>
  <c r="AQ661" i="15"/>
  <c r="AQ662" i="15"/>
  <c r="AQ664" i="15"/>
  <c r="AQ665" i="15"/>
  <c r="AQ669" i="15"/>
  <c r="AQ670" i="15"/>
  <c r="AQ673" i="15"/>
  <c r="AQ675" i="15"/>
  <c r="AQ676" i="15"/>
  <c r="AQ679" i="15"/>
  <c r="AQ680" i="15"/>
  <c r="AQ681" i="15"/>
  <c r="AQ682" i="15"/>
  <c r="AQ685" i="15"/>
  <c r="AQ688" i="15"/>
  <c r="AQ690" i="15"/>
  <c r="AQ691" i="15"/>
  <c r="AQ695" i="15"/>
  <c r="AQ696" i="15"/>
  <c r="AQ699" i="15"/>
  <c r="AQ700" i="15"/>
  <c r="AQ702" i="15"/>
  <c r="AQ704" i="15"/>
  <c r="AQ705" i="15"/>
  <c r="AQ707" i="15"/>
  <c r="AQ708" i="15"/>
  <c r="AQ711" i="15"/>
  <c r="AQ712" i="15"/>
  <c r="AQ714" i="15"/>
  <c r="AQ717" i="15"/>
  <c r="AQ718" i="15"/>
  <c r="AQ719" i="15"/>
  <c r="AQ720" i="15"/>
  <c r="AQ723" i="15"/>
  <c r="AQ724" i="15"/>
  <c r="AQ728" i="15"/>
  <c r="AQ729" i="15"/>
  <c r="AQ733" i="15"/>
  <c r="AQ734" i="15"/>
  <c r="AQ737" i="15"/>
  <c r="AQ740" i="15"/>
  <c r="AQ741" i="15"/>
  <c r="AQ744" i="15"/>
  <c r="AQ745" i="15"/>
  <c r="AQ747" i="15"/>
  <c r="AQ750" i="15"/>
  <c r="AQ751" i="15"/>
  <c r="AQ754" i="15"/>
  <c r="AQ758" i="15"/>
  <c r="AQ759" i="15"/>
  <c r="AQ762" i="15"/>
  <c r="AQ764" i="15"/>
  <c r="AQ767" i="15"/>
  <c r="AQ770" i="15"/>
  <c r="AQ772" i="15"/>
  <c r="AQ773" i="15"/>
  <c r="AQ776" i="15"/>
  <c r="AQ779" i="15"/>
  <c r="AQ781" i="15"/>
  <c r="AQ782" i="15"/>
  <c r="AQ785" i="15"/>
  <c r="AQ788" i="15"/>
  <c r="AQ791" i="15"/>
  <c r="AQ792" i="15"/>
  <c r="AQ797" i="15"/>
  <c r="AQ798" i="15"/>
  <c r="AQ799" i="15"/>
  <c r="AQ802" i="15"/>
  <c r="AQ803" i="15"/>
  <c r="AQ804" i="15"/>
  <c r="AQ807" i="15"/>
  <c r="AQ808" i="15"/>
  <c r="AQ809" i="15"/>
  <c r="AQ811" i="15"/>
  <c r="AQ813" i="15"/>
  <c r="AQ815" i="15"/>
  <c r="AQ816" i="15"/>
  <c r="AQ817" i="15"/>
  <c r="AQ819" i="15"/>
  <c r="AQ822" i="15"/>
  <c r="AQ823" i="15"/>
  <c r="AQ826" i="15"/>
  <c r="AQ829" i="15"/>
  <c r="AQ830" i="15"/>
  <c r="AQ831" i="15"/>
  <c r="AQ834" i="15"/>
  <c r="AQ835" i="15"/>
  <c r="AQ838" i="15"/>
  <c r="AQ841" i="15"/>
  <c r="AQ843" i="15"/>
  <c r="AQ844" i="15"/>
  <c r="AQ846" i="15"/>
  <c r="AQ847" i="15"/>
  <c r="AQ850" i="15"/>
  <c r="AQ851" i="15"/>
  <c r="AQ855" i="15"/>
  <c r="AQ856" i="15"/>
  <c r="AQ859" i="15"/>
  <c r="AQ860" i="15"/>
  <c r="AQ864" i="15"/>
  <c r="AQ867" i="15"/>
  <c r="AQ870" i="15"/>
  <c r="AQ872" i="15"/>
  <c r="AQ875" i="15"/>
  <c r="AQ877" i="15"/>
  <c r="AQ880" i="15"/>
  <c r="AQ883" i="15"/>
  <c r="AQ886" i="15"/>
  <c r="AQ889" i="15"/>
  <c r="AQ893" i="15"/>
  <c r="AQ896" i="15"/>
  <c r="AQ900" i="15"/>
  <c r="AQ901" i="15"/>
  <c r="AQ905" i="15"/>
  <c r="AQ906" i="15"/>
  <c r="AQ907" i="15"/>
  <c r="AQ911" i="15"/>
  <c r="AQ912" i="15"/>
  <c r="AQ916" i="15"/>
  <c r="AQ918" i="15"/>
  <c r="AQ921" i="15"/>
  <c r="AQ923" i="15"/>
  <c r="AQ924" i="15"/>
  <c r="AQ928" i="15"/>
  <c r="AQ929" i="15"/>
  <c r="AQ933" i="15"/>
  <c r="AQ935" i="15"/>
  <c r="AQ936" i="15"/>
  <c r="AQ939" i="15"/>
  <c r="AQ942" i="15"/>
  <c r="AQ945" i="15"/>
  <c r="AQ948" i="15"/>
  <c r="AQ949" i="15"/>
  <c r="AQ951" i="15"/>
  <c r="AQ954" i="15"/>
  <c r="AQ957" i="15"/>
  <c r="AQ960" i="15"/>
  <c r="AQ961" i="15"/>
  <c r="AQ964" i="15"/>
  <c r="AQ965" i="15"/>
  <c r="AQ968" i="15"/>
  <c r="AQ969" i="15"/>
  <c r="AQ972" i="15"/>
  <c r="AQ973" i="15"/>
  <c r="AQ976" i="15"/>
  <c r="AQ977" i="15"/>
  <c r="AQ980" i="15"/>
  <c r="AQ985" i="15"/>
  <c r="AQ986" i="15"/>
  <c r="AQ989" i="15"/>
  <c r="AQ991" i="15"/>
  <c r="AQ992" i="15"/>
  <c r="AQ996" i="15"/>
  <c r="AQ998" i="15"/>
  <c r="AQ1000" i="15"/>
  <c r="AQ1002" i="15"/>
  <c r="AQ1005" i="15"/>
  <c r="AQ1006" i="15"/>
  <c r="AQ1007" i="15"/>
  <c r="AQ1009" i="15"/>
  <c r="AQ1012" i="15"/>
  <c r="AQ1013" i="15"/>
  <c r="AQ1014" i="15"/>
  <c r="AQ1016" i="15"/>
  <c r="AQ1017" i="15"/>
  <c r="AQ1020" i="15"/>
  <c r="AQ1022" i="15"/>
  <c r="AQ1023" i="15"/>
  <c r="AQ1024" i="15"/>
  <c r="AQ147" i="15"/>
  <c r="AQ148" i="15"/>
  <c r="AQ150" i="15"/>
  <c r="AQ152" i="15"/>
  <c r="AQ155" i="15"/>
  <c r="AQ156" i="15"/>
  <c r="AQ157" i="15"/>
  <c r="AQ161" i="15"/>
  <c r="AQ163" i="15"/>
  <c r="AQ164" i="15"/>
  <c r="AQ167" i="15"/>
  <c r="AQ169" i="15"/>
  <c r="AQ172" i="15"/>
  <c r="AQ173" i="15"/>
  <c r="AQ175" i="15"/>
  <c r="AQ176" i="15"/>
  <c r="AQ179" i="15"/>
  <c r="AQ180" i="15"/>
  <c r="AQ182" i="15"/>
  <c r="AQ183" i="15"/>
  <c r="AQ184" i="15"/>
  <c r="AQ185" i="15"/>
  <c r="AQ187" i="15"/>
  <c r="AQ188" i="15"/>
  <c r="AQ192" i="15"/>
  <c r="AQ193" i="15"/>
  <c r="AQ195" i="15"/>
  <c r="AQ196" i="15"/>
  <c r="AQ199" i="15"/>
  <c r="AQ200" i="15"/>
  <c r="AQ201" i="15"/>
  <c r="AQ204" i="15"/>
  <c r="AQ205" i="15"/>
  <c r="AQ208" i="15"/>
  <c r="AQ209" i="15"/>
  <c r="AQ210" i="15"/>
  <c r="AQ212" i="15"/>
  <c r="AQ213" i="15"/>
  <c r="AQ215" i="15"/>
  <c r="AQ218" i="15"/>
  <c r="AQ219" i="15"/>
  <c r="AQ220" i="15"/>
  <c r="AQ222" i="15"/>
  <c r="AQ224" i="15"/>
  <c r="AQ226" i="15"/>
  <c r="AQ227" i="15"/>
  <c r="AQ229" i="15"/>
  <c r="AQ230" i="15"/>
  <c r="AQ231" i="15"/>
  <c r="AQ232" i="15"/>
  <c r="AQ235" i="15"/>
  <c r="AQ236" i="15"/>
  <c r="AQ239" i="15"/>
  <c r="AQ240" i="15"/>
  <c r="AQ241" i="15"/>
  <c r="AQ243" i="15"/>
  <c r="AQ244" i="15"/>
  <c r="AQ246" i="15"/>
  <c r="AQ248" i="15"/>
  <c r="AQ250" i="15"/>
  <c r="AQ251" i="15"/>
  <c r="AQ252" i="15"/>
  <c r="AQ253" i="15"/>
  <c r="AQ256" i="15"/>
  <c r="AQ257" i="15"/>
  <c r="AQ258" i="15"/>
  <c r="AQ260" i="15"/>
  <c r="AQ261" i="15"/>
  <c r="AQ263" i="15"/>
  <c r="AQ265" i="15"/>
  <c r="AQ266" i="15"/>
  <c r="AQ267" i="15"/>
  <c r="AQ268" i="15"/>
  <c r="AQ270" i="15"/>
  <c r="AQ272" i="15"/>
  <c r="AQ273" i="15"/>
  <c r="AQ275" i="15"/>
  <c r="AQ277" i="15"/>
  <c r="AQ278" i="15"/>
  <c r="AQ279" i="15"/>
  <c r="AQ281" i="15"/>
  <c r="AQ282" i="15"/>
  <c r="AQ286" i="15"/>
  <c r="AQ287" i="15"/>
  <c r="AQ289" i="15"/>
  <c r="AQ292" i="15"/>
  <c r="AQ294" i="15"/>
  <c r="AQ295" i="15"/>
  <c r="AQ296" i="15"/>
  <c r="AQ298" i="15"/>
  <c r="AQ300" i="15"/>
  <c r="AQ302" i="15"/>
  <c r="AQ303" i="15"/>
  <c r="AQ304" i="15"/>
  <c r="AQ308" i="15"/>
  <c r="AQ310" i="15"/>
  <c r="AQ313" i="15"/>
  <c r="AQ314" i="15"/>
  <c r="AQ315" i="15"/>
  <c r="AQ317" i="15"/>
  <c r="AQ318" i="15"/>
  <c r="AQ319" i="15"/>
  <c r="AQ322" i="15"/>
  <c r="AQ323" i="15"/>
  <c r="AQ324" i="15"/>
  <c r="AQ326" i="15"/>
  <c r="AQ327" i="15"/>
  <c r="AQ331" i="15"/>
  <c r="AQ332" i="15"/>
  <c r="AQ334" i="15"/>
  <c r="AQ335" i="15"/>
  <c r="AQ337" i="15"/>
  <c r="AQ338" i="15"/>
  <c r="AQ341" i="15"/>
  <c r="AQ342" i="15"/>
  <c r="AQ345" i="15"/>
  <c r="AQ346" i="15"/>
  <c r="AQ349" i="15"/>
  <c r="AQ350" i="15"/>
  <c r="AQ352" i="15"/>
  <c r="AQ353" i="15"/>
  <c r="AQ354" i="15"/>
  <c r="AQ355" i="15"/>
  <c r="AQ356" i="15"/>
  <c r="AQ359" i="15"/>
  <c r="AQ360" i="15"/>
  <c r="AQ362" i="15"/>
  <c r="AQ364" i="15"/>
  <c r="AQ366" i="15"/>
  <c r="AQ367" i="15"/>
  <c r="AQ369" i="15"/>
  <c r="AQ370" i="15"/>
  <c r="AQ371" i="15"/>
  <c r="AQ374" i="15"/>
  <c r="AQ375" i="15"/>
  <c r="AQ377" i="15"/>
  <c r="AQ378" i="15"/>
  <c r="AQ381" i="15"/>
  <c r="AQ384" i="15"/>
  <c r="AQ385" i="15"/>
  <c r="AQ388" i="15"/>
  <c r="AQ389" i="15"/>
  <c r="AQ393" i="15"/>
  <c r="AQ394" i="15"/>
  <c r="AQ397" i="15"/>
  <c r="AQ398" i="15"/>
  <c r="AQ400" i="15"/>
  <c r="AQ402" i="15"/>
  <c r="AQ403" i="15"/>
  <c r="AQ404" i="15"/>
  <c r="AQ406" i="15"/>
  <c r="AQ407" i="15"/>
  <c r="AQ408" i="15"/>
  <c r="AQ411" i="15"/>
  <c r="AQ412" i="15"/>
  <c r="AQ416" i="15"/>
  <c r="AQ417" i="15"/>
  <c r="AQ418" i="15"/>
  <c r="AQ420" i="15"/>
  <c r="AQ421" i="15"/>
  <c r="AQ423" i="15"/>
  <c r="AQ426" i="15"/>
  <c r="AQ428" i="15"/>
  <c r="AQ430" i="15"/>
  <c r="AQ432" i="15"/>
  <c r="AQ433" i="15"/>
  <c r="AQ434" i="15"/>
  <c r="AQ436" i="15"/>
  <c r="AQ437" i="15"/>
  <c r="AQ440" i="15"/>
  <c r="AQ443" i="15"/>
  <c r="AQ444" i="15"/>
  <c r="AQ447" i="15"/>
  <c r="AQ448" i="15"/>
  <c r="AQ449" i="15"/>
  <c r="AQ452" i="15"/>
  <c r="AQ453" i="15"/>
  <c r="AQ456" i="15"/>
  <c r="AQ457" i="15"/>
  <c r="AQ458" i="15"/>
  <c r="AQ459" i="15"/>
  <c r="AQ461" i="15"/>
  <c r="AQ462" i="15"/>
  <c r="AQ465" i="15"/>
  <c r="AQ466" i="15"/>
  <c r="AQ467" i="15"/>
  <c r="AQ468" i="15"/>
  <c r="AQ471" i="15"/>
  <c r="AQ472" i="15"/>
  <c r="AQ475" i="15"/>
  <c r="AQ476" i="15"/>
  <c r="AQ477" i="15"/>
  <c r="AQ480" i="15"/>
  <c r="AQ481" i="15"/>
  <c r="AQ484" i="15"/>
  <c r="AQ485" i="15"/>
  <c r="AQ486" i="15"/>
  <c r="AQ488" i="15"/>
  <c r="AQ490" i="15"/>
  <c r="AQ491" i="15"/>
  <c r="AQ494" i="15"/>
  <c r="AQ495" i="15"/>
  <c r="AQ496" i="15"/>
  <c r="AQ499" i="15"/>
  <c r="AQ500" i="15"/>
  <c r="AQ503" i="15"/>
  <c r="AQ505" i="15"/>
  <c r="AQ506" i="15"/>
  <c r="AQ507" i="15"/>
  <c r="AQ509" i="15"/>
  <c r="AQ511" i="15"/>
  <c r="AQ513" i="15"/>
  <c r="AQ515" i="15"/>
  <c r="AQ516" i="15"/>
  <c r="AQ519" i="15"/>
  <c r="AQ520" i="15"/>
  <c r="AQ521" i="15"/>
  <c r="AQ523" i="15"/>
  <c r="AQ525" i="15"/>
  <c r="AQ526" i="15"/>
  <c r="AQ529" i="15"/>
  <c r="AQ531" i="15"/>
  <c r="AQ532" i="15"/>
  <c r="AQ533" i="15"/>
  <c r="AQ536" i="15"/>
  <c r="AQ537" i="15"/>
  <c r="AQ539" i="15"/>
  <c r="AQ540" i="15"/>
  <c r="AQ541" i="15"/>
  <c r="AQ544" i="15"/>
  <c r="AQ545" i="15"/>
  <c r="AQ548" i="15"/>
  <c r="AQ549" i="15"/>
  <c r="AQ551" i="15"/>
  <c r="AQ553" i="15"/>
  <c r="AQ556" i="15"/>
  <c r="AQ557" i="15"/>
  <c r="AQ558" i="15"/>
  <c r="AQ560" i="15"/>
  <c r="AQ561" i="15"/>
  <c r="AQ564" i="15"/>
  <c r="AQ565" i="15"/>
  <c r="AQ567" i="15"/>
  <c r="AQ568" i="15"/>
  <c r="AQ571" i="15"/>
  <c r="AQ572" i="15"/>
  <c r="AQ574" i="15"/>
  <c r="AQ575" i="15"/>
  <c r="AQ577" i="15"/>
  <c r="AQ578" i="15"/>
  <c r="AQ581" i="15"/>
  <c r="AQ583" i="15"/>
  <c r="AQ584" i="15"/>
  <c r="AQ587" i="15"/>
  <c r="AQ588" i="15"/>
  <c r="AQ590" i="15"/>
  <c r="AQ591" i="15"/>
  <c r="AQ592" i="15"/>
  <c r="AQ594" i="15"/>
  <c r="AQ596" i="15"/>
  <c r="AQ598" i="15"/>
  <c r="AQ600" i="15"/>
  <c r="AQ601" i="15"/>
  <c r="AQ602" i="15"/>
  <c r="AQ603" i="15"/>
  <c r="AQ606" i="15"/>
  <c r="AQ607" i="15"/>
  <c r="AQ608" i="15"/>
  <c r="AQ609" i="15"/>
  <c r="AQ612" i="15"/>
  <c r="AQ613" i="15"/>
  <c r="AQ614" i="15"/>
  <c r="AQ616" i="15"/>
  <c r="AQ619" i="15"/>
  <c r="AQ620" i="15"/>
  <c r="AQ621" i="15"/>
  <c r="AQ624" i="15"/>
  <c r="AQ625" i="15"/>
  <c r="AQ627" i="15"/>
  <c r="AQ628" i="15"/>
  <c r="AQ630" i="15"/>
  <c r="AQ631" i="15"/>
  <c r="AQ635" i="15"/>
  <c r="AQ636" i="15"/>
  <c r="AQ637" i="15"/>
  <c r="AQ640" i="15"/>
  <c r="AQ641" i="15"/>
  <c r="AQ644" i="15"/>
  <c r="AQ645" i="15"/>
  <c r="AQ646" i="15"/>
  <c r="AQ649" i="15"/>
  <c r="AQ651" i="15"/>
  <c r="AQ653" i="15"/>
  <c r="AQ656" i="15"/>
  <c r="AQ659" i="15"/>
  <c r="AQ660" i="15"/>
  <c r="AQ663" i="15"/>
  <c r="AQ666" i="15"/>
  <c r="AQ667" i="15"/>
  <c r="AQ668" i="15"/>
  <c r="AQ671" i="15"/>
  <c r="AQ672" i="15"/>
  <c r="AQ674" i="15"/>
  <c r="AQ677" i="15"/>
  <c r="AQ678" i="15"/>
  <c r="AQ683" i="15"/>
  <c r="AQ684" i="15"/>
  <c r="AQ686" i="15"/>
  <c r="AQ687" i="15"/>
  <c r="AQ689" i="15"/>
  <c r="AQ692" i="15"/>
  <c r="AQ693" i="15"/>
  <c r="AQ694" i="15"/>
  <c r="AQ697" i="15"/>
  <c r="AQ698" i="15"/>
  <c r="AQ701" i="15"/>
  <c r="AQ703" i="15"/>
  <c r="AQ706" i="15"/>
  <c r="AQ709" i="15"/>
  <c r="AQ710" i="15"/>
  <c r="AQ713" i="15"/>
  <c r="AQ715" i="15"/>
  <c r="AQ716" i="15"/>
  <c r="AQ721" i="15"/>
  <c r="AQ722" i="15"/>
  <c r="AQ725" i="15"/>
  <c r="AQ726" i="15"/>
  <c r="AQ727" i="15"/>
  <c r="AQ730" i="15"/>
  <c r="AQ731" i="15"/>
  <c r="AQ732" i="15"/>
  <c r="AQ735" i="15"/>
  <c r="AQ736" i="15"/>
  <c r="AQ738" i="15"/>
  <c r="AQ739" i="15"/>
  <c r="AQ742" i="15"/>
  <c r="AQ743" i="15"/>
  <c r="AQ746" i="15"/>
  <c r="AQ748" i="15"/>
  <c r="AQ749" i="15"/>
  <c r="AQ752" i="15"/>
  <c r="AQ753" i="15"/>
  <c r="AQ755" i="15"/>
  <c r="AQ756" i="15"/>
  <c r="AQ757" i="15"/>
  <c r="AQ760" i="15"/>
  <c r="AQ761" i="15"/>
  <c r="AQ763" i="15"/>
  <c r="AQ765" i="15"/>
  <c r="AQ766" i="15"/>
  <c r="AQ768" i="15"/>
  <c r="AQ769" i="15"/>
  <c r="AQ771" i="15"/>
  <c r="AQ774" i="15"/>
  <c r="AQ775" i="15"/>
  <c r="AQ777" i="15"/>
  <c r="AQ778" i="15"/>
  <c r="AQ780" i="15"/>
  <c r="AQ783" i="15"/>
  <c r="AQ784" i="15"/>
  <c r="AQ786" i="15"/>
  <c r="AQ787" i="15"/>
  <c r="AQ789" i="15"/>
  <c r="AQ790" i="15"/>
  <c r="AQ793" i="15"/>
  <c r="AQ794" i="15"/>
  <c r="AQ795" i="15"/>
  <c r="AQ796" i="15"/>
  <c r="AQ800" i="15"/>
  <c r="AQ801" i="15"/>
  <c r="AQ805" i="15"/>
  <c r="AQ806" i="15"/>
  <c r="AQ810" i="15"/>
  <c r="AQ812" i="15"/>
  <c r="AQ814" i="15"/>
  <c r="AQ818" i="15"/>
  <c r="AQ820" i="15"/>
  <c r="AQ821" i="15"/>
  <c r="AQ824" i="15"/>
  <c r="AQ825" i="15"/>
  <c r="AQ827" i="15"/>
  <c r="AQ828" i="15"/>
  <c r="AQ832" i="15"/>
  <c r="AQ833" i="15"/>
  <c r="AQ836" i="15"/>
  <c r="AQ837" i="15"/>
  <c r="AQ839" i="15"/>
  <c r="AQ840" i="15"/>
  <c r="AQ842" i="15"/>
  <c r="AQ845" i="15"/>
  <c r="AQ848" i="15"/>
  <c r="AQ849" i="15"/>
  <c r="AQ852" i="15"/>
  <c r="AQ853" i="15"/>
  <c r="AQ854" i="15"/>
  <c r="AQ857" i="15"/>
  <c r="AQ858" i="15"/>
  <c r="AQ861" i="15"/>
  <c r="AQ862" i="15"/>
  <c r="AQ863" i="15"/>
  <c r="AQ865" i="15"/>
  <c r="AQ866" i="15"/>
  <c r="AQ868" i="15"/>
  <c r="AQ869" i="15"/>
  <c r="AQ871" i="15"/>
  <c r="AQ873" i="15"/>
  <c r="AQ874" i="15"/>
  <c r="AQ876" i="15"/>
  <c r="AQ878" i="15"/>
  <c r="AQ879" i="15"/>
  <c r="AQ881" i="15"/>
  <c r="AQ882" i="15"/>
  <c r="AQ884" i="15"/>
  <c r="AQ885" i="15"/>
  <c r="AQ887" i="15"/>
  <c r="AQ888" i="15"/>
  <c r="AQ890" i="15"/>
  <c r="AQ891" i="15"/>
  <c r="AQ892" i="15"/>
  <c r="AQ894" i="15"/>
  <c r="AQ895" i="15"/>
  <c r="AQ897" i="15"/>
  <c r="AQ898" i="15"/>
  <c r="AQ899" i="15"/>
  <c r="AQ902" i="15"/>
  <c r="AQ903" i="15"/>
  <c r="AQ904" i="15"/>
  <c r="AQ908" i="15"/>
  <c r="AQ909" i="15"/>
  <c r="AQ910" i="15"/>
  <c r="AQ913" i="15"/>
  <c r="AQ914" i="15"/>
  <c r="AQ915" i="15"/>
  <c r="AQ917" i="15"/>
  <c r="AQ919" i="15"/>
  <c r="AQ920" i="15"/>
  <c r="AQ922" i="15"/>
  <c r="AQ925" i="15"/>
  <c r="AQ926" i="15"/>
  <c r="AQ927" i="15"/>
  <c r="AQ930" i="15"/>
  <c r="AQ931" i="15"/>
  <c r="AQ932" i="15"/>
  <c r="AQ934" i="15"/>
  <c r="AQ937" i="15"/>
  <c r="AQ938" i="15"/>
  <c r="AQ940" i="15"/>
  <c r="AQ941" i="15"/>
  <c r="AQ943" i="15"/>
  <c r="AQ944" i="15"/>
  <c r="AQ946" i="15"/>
  <c r="AQ947" i="15"/>
  <c r="AQ950" i="15"/>
  <c r="AQ952" i="15"/>
  <c r="AQ953" i="15"/>
  <c r="AQ955" i="15"/>
  <c r="AQ956" i="15"/>
  <c r="AQ958" i="15"/>
  <c r="AQ959" i="15"/>
  <c r="AQ962" i="15"/>
  <c r="AQ963" i="15"/>
  <c r="AQ966" i="15"/>
  <c r="AQ967" i="15"/>
  <c r="AQ970" i="15"/>
  <c r="AQ971" i="15"/>
  <c r="AQ974" i="15"/>
  <c r="AQ975" i="15"/>
  <c r="AQ978" i="15"/>
  <c r="AQ979" i="15"/>
  <c r="AQ981" i="15"/>
  <c r="AQ982" i="15"/>
  <c r="AQ983" i="15"/>
  <c r="AQ984" i="15"/>
  <c r="AQ987" i="15"/>
  <c r="AQ988" i="15"/>
  <c r="AQ990" i="15"/>
  <c r="AQ993" i="15"/>
  <c r="AQ994" i="15"/>
  <c r="AQ995" i="15"/>
  <c r="AQ997" i="15"/>
  <c r="AQ999" i="15"/>
  <c r="AQ1001" i="15"/>
  <c r="AQ1003" i="15"/>
  <c r="AQ1004" i="15"/>
  <c r="AQ1008" i="15"/>
  <c r="AQ1010" i="15"/>
  <c r="AQ1011" i="15"/>
  <c r="AQ1015" i="15"/>
  <c r="AQ1018" i="15"/>
  <c r="AQ1019" i="15"/>
  <c r="AQ1021" i="15"/>
  <c r="AQ1025" i="15"/>
  <c r="AQ1026" i="15"/>
  <c r="AQ1027" i="15"/>
  <c r="AS27" i="15"/>
  <c r="Y642" i="15" l="1"/>
  <c r="X642" i="15"/>
  <c r="Z642" i="15" s="1"/>
  <c r="AK273" i="15"/>
  <c r="AJ273" i="15"/>
  <c r="AL273" i="15" s="1"/>
  <c r="AO150" i="15"/>
  <c r="AN150" i="15"/>
  <c r="AP150" i="15" s="1"/>
  <c r="AC519" i="15"/>
  <c r="AB519" i="15"/>
  <c r="AD519" i="15" s="1"/>
  <c r="U765" i="15"/>
  <c r="T765" i="15"/>
  <c r="V765" i="15" s="1"/>
  <c r="Q888" i="15"/>
  <c r="P888" i="15"/>
  <c r="R888" i="15" s="1"/>
  <c r="AG396" i="15"/>
  <c r="AF396" i="15"/>
  <c r="AH396" i="15" s="1"/>
  <c r="M1011" i="15"/>
  <c r="L1011" i="15"/>
  <c r="N1011" i="15" s="1"/>
  <c r="AR27" i="15"/>
  <c r="AT27" i="15" s="1"/>
  <c r="AR28" i="15" s="1"/>
  <c r="M1012" i="15" l="1"/>
  <c r="L1012" i="15"/>
  <c r="N1012" i="15" s="1"/>
  <c r="AG397" i="15"/>
  <c r="AF397" i="15"/>
  <c r="AH397" i="15" s="1"/>
  <c r="Q889" i="15"/>
  <c r="P889" i="15"/>
  <c r="R889" i="15" s="1"/>
  <c r="U766" i="15"/>
  <c r="T766" i="15"/>
  <c r="V766" i="15" s="1"/>
  <c r="AC520" i="15"/>
  <c r="AB520" i="15"/>
  <c r="AD520" i="15" s="1"/>
  <c r="AO151" i="15"/>
  <c r="AN151" i="15"/>
  <c r="AP151" i="15" s="1"/>
  <c r="AK274" i="15"/>
  <c r="AJ274" i="15"/>
  <c r="AL274" i="15" s="1"/>
  <c r="Y643" i="15"/>
  <c r="X643" i="15"/>
  <c r="Z643" i="15" s="1"/>
  <c r="AT28" i="15"/>
  <c r="AS28" i="15"/>
  <c r="Y644" i="15" l="1"/>
  <c r="X644" i="15"/>
  <c r="Z644" i="15" s="1"/>
  <c r="AK275" i="15"/>
  <c r="AJ275" i="15"/>
  <c r="AL275" i="15" s="1"/>
  <c r="AC521" i="15"/>
  <c r="AB521" i="15"/>
  <c r="AD521" i="15" s="1"/>
  <c r="U767" i="15"/>
  <c r="T767" i="15"/>
  <c r="V767" i="15" s="1"/>
  <c r="Q890" i="15"/>
  <c r="P890" i="15"/>
  <c r="R890" i="15" s="1"/>
  <c r="M1013" i="15"/>
  <c r="L1013" i="15"/>
  <c r="N1013" i="15" s="1"/>
  <c r="AO152" i="15"/>
  <c r="AN152" i="15"/>
  <c r="AP152" i="15" s="1"/>
  <c r="AG398" i="15"/>
  <c r="AF398" i="15"/>
  <c r="AH398" i="15" s="1"/>
  <c r="AS29" i="15"/>
  <c r="AR29" i="15"/>
  <c r="AT29" i="15" s="1"/>
  <c r="AG399" i="15" l="1"/>
  <c r="AF399" i="15"/>
  <c r="AH399" i="15" s="1"/>
  <c r="M1014" i="15"/>
  <c r="L1014" i="15"/>
  <c r="N1014" i="15" s="1"/>
  <c r="U768" i="15"/>
  <c r="T768" i="15"/>
  <c r="V768" i="15" s="1"/>
  <c r="AC522" i="15"/>
  <c r="AB522" i="15"/>
  <c r="AD522" i="15" s="1"/>
  <c r="Y645" i="15"/>
  <c r="X645" i="15"/>
  <c r="Z645" i="15" s="1"/>
  <c r="AS30" i="15"/>
  <c r="AR30" i="15"/>
  <c r="AT30" i="15" s="1"/>
  <c r="AO153" i="15"/>
  <c r="AN153" i="15"/>
  <c r="AP153" i="15" s="1"/>
  <c r="Q891" i="15"/>
  <c r="P891" i="15"/>
  <c r="R891" i="15" s="1"/>
  <c r="AK276" i="15"/>
  <c r="AJ276" i="15"/>
  <c r="AL276" i="15" s="1"/>
  <c r="AO154" i="15" l="1"/>
  <c r="AN154" i="15"/>
  <c r="AP154" i="15" s="1"/>
  <c r="AS31" i="15"/>
  <c r="AR31" i="15"/>
  <c r="AT31" i="15" s="1"/>
  <c r="AC523" i="15"/>
  <c r="AB523" i="15"/>
  <c r="AD523" i="15" s="1"/>
  <c r="U769" i="15"/>
  <c r="T769" i="15"/>
  <c r="V769" i="15" s="1"/>
  <c r="AG400" i="15"/>
  <c r="AF400" i="15"/>
  <c r="AH400" i="15" s="1"/>
  <c r="AK277" i="15"/>
  <c r="AJ277" i="15"/>
  <c r="AL277" i="15" s="1"/>
  <c r="Q892" i="15"/>
  <c r="P892" i="15"/>
  <c r="R892" i="15" s="1"/>
  <c r="Y646" i="15"/>
  <c r="X646" i="15"/>
  <c r="Z646" i="15" s="1"/>
  <c r="M1015" i="15"/>
  <c r="L1015" i="15"/>
  <c r="N1015" i="15" s="1"/>
  <c r="Y647" i="15" l="1"/>
  <c r="X647" i="15"/>
  <c r="Z647" i="15" s="1"/>
  <c r="AK278" i="15"/>
  <c r="AJ278" i="15"/>
  <c r="AL278" i="15" s="1"/>
  <c r="U770" i="15"/>
  <c r="T770" i="15"/>
  <c r="V770" i="15" s="1"/>
  <c r="AC524" i="15"/>
  <c r="AB524" i="15"/>
  <c r="AD524" i="15" s="1"/>
  <c r="AO155" i="15"/>
  <c r="AN155" i="15"/>
  <c r="AP155" i="15" s="1"/>
  <c r="M1016" i="15"/>
  <c r="L1016" i="15"/>
  <c r="N1016" i="15" s="1"/>
  <c r="Q893" i="15"/>
  <c r="P893" i="15"/>
  <c r="R893" i="15" s="1"/>
  <c r="AG401" i="15"/>
  <c r="AF401" i="15"/>
  <c r="AH401" i="15" s="1"/>
  <c r="AS32" i="15"/>
  <c r="AR32" i="15"/>
  <c r="AT32" i="15" s="1"/>
  <c r="AS33" i="15" l="1"/>
  <c r="AR33" i="15"/>
  <c r="AT33" i="15" s="1"/>
  <c r="Q894" i="15"/>
  <c r="P894" i="15"/>
  <c r="R894" i="15" s="1"/>
  <c r="M1017" i="15"/>
  <c r="L1017" i="15"/>
  <c r="N1017" i="15" s="1"/>
  <c r="AC525" i="15"/>
  <c r="AB525" i="15"/>
  <c r="AD525" i="15" s="1"/>
  <c r="U771" i="15"/>
  <c r="T771" i="15"/>
  <c r="V771" i="15" s="1"/>
  <c r="Y648" i="15"/>
  <c r="X648" i="15"/>
  <c r="Z648" i="15" s="1"/>
  <c r="AG402" i="15"/>
  <c r="AF402" i="15"/>
  <c r="AH402" i="15" s="1"/>
  <c r="AO156" i="15"/>
  <c r="AN156" i="15"/>
  <c r="AP156" i="15" s="1"/>
  <c r="AK279" i="15"/>
  <c r="AJ279" i="15"/>
  <c r="AL279" i="15" s="1"/>
  <c r="AK280" i="15" l="1"/>
  <c r="AJ280" i="15"/>
  <c r="AL280" i="15" s="1"/>
  <c r="AG403" i="15"/>
  <c r="AF403" i="15"/>
  <c r="AH403" i="15" s="1"/>
  <c r="Y649" i="15"/>
  <c r="X649" i="15"/>
  <c r="Z649" i="15" s="1"/>
  <c r="AC526" i="15"/>
  <c r="AB526" i="15"/>
  <c r="AD526" i="15" s="1"/>
  <c r="M1018" i="15"/>
  <c r="L1018" i="15"/>
  <c r="N1018" i="15" s="1"/>
  <c r="AS34" i="15"/>
  <c r="AR34" i="15"/>
  <c r="AT34" i="15" s="1"/>
  <c r="AO157" i="15"/>
  <c r="AN157" i="15"/>
  <c r="AP157" i="15" s="1"/>
  <c r="U772" i="15"/>
  <c r="T772" i="15"/>
  <c r="V772" i="15" s="1"/>
  <c r="Q895" i="15"/>
  <c r="P895" i="15"/>
  <c r="R895" i="15" s="1"/>
  <c r="Q896" i="15" l="1"/>
  <c r="P896" i="15"/>
  <c r="R896" i="15" s="1"/>
  <c r="AO158" i="15"/>
  <c r="AN158" i="15"/>
  <c r="AP158" i="15" s="1"/>
  <c r="AS35" i="15"/>
  <c r="AR35" i="15"/>
  <c r="AT35" i="15" s="1"/>
  <c r="AC527" i="15"/>
  <c r="AB527" i="15"/>
  <c r="AD527" i="15" s="1"/>
  <c r="Y650" i="15"/>
  <c r="X650" i="15"/>
  <c r="Z650" i="15" s="1"/>
  <c r="AK281" i="15"/>
  <c r="AJ281" i="15"/>
  <c r="AL281" i="15" s="1"/>
  <c r="U773" i="15"/>
  <c r="T773" i="15"/>
  <c r="V773" i="15" s="1"/>
  <c r="M1019" i="15"/>
  <c r="L1019" i="15"/>
  <c r="N1019" i="15" s="1"/>
  <c r="AG404" i="15"/>
  <c r="AF404" i="15"/>
  <c r="AH404" i="15" s="1"/>
  <c r="AG405" i="15" l="1"/>
  <c r="AF405" i="15"/>
  <c r="AH405" i="15" s="1"/>
  <c r="U774" i="15"/>
  <c r="T774" i="15"/>
  <c r="V774" i="15" s="1"/>
  <c r="AK282" i="15"/>
  <c r="AJ282" i="15"/>
  <c r="AL282" i="15" s="1"/>
  <c r="AC528" i="15"/>
  <c r="AB528" i="15"/>
  <c r="AD528" i="15" s="1"/>
  <c r="AS36" i="15"/>
  <c r="AR36" i="15"/>
  <c r="AT36" i="15" s="1"/>
  <c r="Q897" i="15"/>
  <c r="P897" i="15"/>
  <c r="R897" i="15" s="1"/>
  <c r="M1020" i="15"/>
  <c r="L1020" i="15"/>
  <c r="N1020" i="15" s="1"/>
  <c r="Y651" i="15"/>
  <c r="X651" i="15"/>
  <c r="Z651" i="15" s="1"/>
  <c r="AO159" i="15"/>
  <c r="AN159" i="15"/>
  <c r="AP159" i="15" s="1"/>
  <c r="Y652" i="15" l="1"/>
  <c r="X652" i="15"/>
  <c r="Z652" i="15" s="1"/>
  <c r="Q898" i="15"/>
  <c r="P898" i="15"/>
  <c r="R898" i="15" s="1"/>
  <c r="AS37" i="15"/>
  <c r="AR37" i="15"/>
  <c r="AT37" i="15" s="1"/>
  <c r="AK283" i="15"/>
  <c r="AJ283" i="15"/>
  <c r="AL283" i="15" s="1"/>
  <c r="AG406" i="15"/>
  <c r="AF406" i="15"/>
  <c r="AH406" i="15" s="1"/>
  <c r="AO160" i="15"/>
  <c r="AN160" i="15"/>
  <c r="AP160" i="15" s="1"/>
  <c r="M1021" i="15"/>
  <c r="L1021" i="15"/>
  <c r="N1021" i="15" s="1"/>
  <c r="AC529" i="15"/>
  <c r="AB529" i="15"/>
  <c r="AD529" i="15" s="1"/>
  <c r="U775" i="15"/>
  <c r="T775" i="15"/>
  <c r="V775" i="15" s="1"/>
  <c r="AC530" i="15" l="1"/>
  <c r="AB530" i="15"/>
  <c r="AD530" i="15" s="1"/>
  <c r="AO161" i="15"/>
  <c r="AN161" i="15"/>
  <c r="AP161" i="15" s="1"/>
  <c r="AK284" i="15"/>
  <c r="AJ284" i="15"/>
  <c r="AL284" i="15" s="1"/>
  <c r="AS38" i="15"/>
  <c r="AR38" i="15"/>
  <c r="AT38" i="15" s="1"/>
  <c r="Y653" i="15"/>
  <c r="X653" i="15"/>
  <c r="Z653" i="15" s="1"/>
  <c r="U776" i="15"/>
  <c r="T776" i="15"/>
  <c r="V776" i="15" s="1"/>
  <c r="M1022" i="15"/>
  <c r="L1022" i="15"/>
  <c r="N1022" i="15" s="1"/>
  <c r="AG407" i="15"/>
  <c r="AF407" i="15"/>
  <c r="AH407" i="15" s="1"/>
  <c r="Q899" i="15"/>
  <c r="P899" i="15"/>
  <c r="R899" i="15" s="1"/>
  <c r="AG408" i="15" l="1"/>
  <c r="AF408" i="15"/>
  <c r="AH408" i="15" s="1"/>
  <c r="U777" i="15"/>
  <c r="T777" i="15"/>
  <c r="V777" i="15" s="1"/>
  <c r="Y654" i="15"/>
  <c r="X654" i="15"/>
  <c r="Z654" i="15" s="1"/>
  <c r="AK285" i="15"/>
  <c r="AJ285" i="15"/>
  <c r="AL285" i="15" s="1"/>
  <c r="AC531" i="15"/>
  <c r="AB531" i="15"/>
  <c r="AD531" i="15" s="1"/>
  <c r="Q900" i="15"/>
  <c r="P900" i="15"/>
  <c r="R900" i="15" s="1"/>
  <c r="M1023" i="15"/>
  <c r="L1023" i="15"/>
  <c r="N1023" i="15" s="1"/>
  <c r="AS39" i="15"/>
  <c r="AR39" i="15"/>
  <c r="AT39" i="15" s="1"/>
  <c r="AO162" i="15"/>
  <c r="AN162" i="15"/>
  <c r="AP162" i="15" s="1"/>
  <c r="AS40" i="15" l="1"/>
  <c r="AR40" i="15"/>
  <c r="AT40" i="15" s="1"/>
  <c r="Q901" i="15"/>
  <c r="P901" i="15"/>
  <c r="R901" i="15" s="1"/>
  <c r="AK286" i="15"/>
  <c r="AJ286" i="15"/>
  <c r="AL286" i="15" s="1"/>
  <c r="Y655" i="15"/>
  <c r="X655" i="15"/>
  <c r="Z655" i="15" s="1"/>
  <c r="AG409" i="15"/>
  <c r="AF409" i="15"/>
  <c r="AH409" i="15" s="1"/>
  <c r="AO163" i="15"/>
  <c r="AN163" i="15"/>
  <c r="AP163" i="15" s="1"/>
  <c r="M1024" i="15"/>
  <c r="L1024" i="15"/>
  <c r="N1024" i="15" s="1"/>
  <c r="AC532" i="15"/>
  <c r="AB532" i="15"/>
  <c r="AD532" i="15" s="1"/>
  <c r="U778" i="15"/>
  <c r="T778" i="15"/>
  <c r="V778" i="15" s="1"/>
  <c r="AC533" i="15" l="1"/>
  <c r="AB533" i="15"/>
  <c r="AD533" i="15" s="1"/>
  <c r="AO164" i="15"/>
  <c r="AN164" i="15"/>
  <c r="AP164" i="15" s="1"/>
  <c r="Y656" i="15"/>
  <c r="X656" i="15"/>
  <c r="Z656" i="15" s="1"/>
  <c r="AK287" i="15"/>
  <c r="AJ287" i="15"/>
  <c r="AL287" i="15" s="1"/>
  <c r="AS41" i="15"/>
  <c r="AR41" i="15"/>
  <c r="AT41" i="15" s="1"/>
  <c r="U779" i="15"/>
  <c r="T779" i="15"/>
  <c r="V779" i="15" s="1"/>
  <c r="M1025" i="15"/>
  <c r="L1025" i="15"/>
  <c r="N1025" i="15" s="1"/>
  <c r="AG410" i="15"/>
  <c r="AF410" i="15"/>
  <c r="AH410" i="15" s="1"/>
  <c r="Q902" i="15"/>
  <c r="P902" i="15"/>
  <c r="R902" i="15" s="1"/>
  <c r="AG411" i="15" l="1"/>
  <c r="AF411" i="15"/>
  <c r="AH411" i="15" s="1"/>
  <c r="M1026" i="15"/>
  <c r="L1026" i="15"/>
  <c r="N1026" i="15" s="1"/>
  <c r="AS42" i="15"/>
  <c r="AR42" i="15"/>
  <c r="AT42" i="15" s="1"/>
  <c r="Y657" i="15"/>
  <c r="X657" i="15"/>
  <c r="Z657" i="15" s="1"/>
  <c r="AC534" i="15"/>
  <c r="AB534" i="15"/>
  <c r="AD534" i="15" s="1"/>
  <c r="Q903" i="15"/>
  <c r="P903" i="15"/>
  <c r="R903" i="15" s="1"/>
  <c r="U780" i="15"/>
  <c r="T780" i="15"/>
  <c r="V780" i="15" s="1"/>
  <c r="AK288" i="15"/>
  <c r="AJ288" i="15"/>
  <c r="AL288" i="15" s="1"/>
  <c r="AO165" i="15"/>
  <c r="AN165" i="15"/>
  <c r="AP165" i="15" s="1"/>
  <c r="AO166" i="15" l="1"/>
  <c r="AN166" i="15"/>
  <c r="AP166" i="15" s="1"/>
  <c r="U781" i="15"/>
  <c r="T781" i="15"/>
  <c r="V781" i="15" s="1"/>
  <c r="AC535" i="15"/>
  <c r="AB535" i="15"/>
  <c r="AD535" i="15" s="1"/>
  <c r="Y658" i="15"/>
  <c r="X658" i="15"/>
  <c r="Z658" i="15" s="1"/>
  <c r="AS43" i="15"/>
  <c r="AR43" i="15"/>
  <c r="AT43" i="15" s="1"/>
  <c r="AG412" i="15"/>
  <c r="AF412" i="15"/>
  <c r="AH412" i="15" s="1"/>
  <c r="AK289" i="15"/>
  <c r="AJ289" i="15"/>
  <c r="AL289" i="15" s="1"/>
  <c r="Q904" i="15"/>
  <c r="P904" i="15"/>
  <c r="R904" i="15" s="1"/>
  <c r="M1027" i="15"/>
  <c r="L1027" i="15"/>
  <c r="N1027" i="15" s="1"/>
  <c r="Q905" i="15" l="1"/>
  <c r="P905" i="15"/>
  <c r="R905" i="15" s="1"/>
  <c r="AG413" i="15"/>
  <c r="AF413" i="15"/>
  <c r="AH413" i="15" s="1"/>
  <c r="Y659" i="15"/>
  <c r="X659" i="15"/>
  <c r="Z659" i="15" s="1"/>
  <c r="AC536" i="15"/>
  <c r="AB536" i="15"/>
  <c r="AD536" i="15" s="1"/>
  <c r="AO167" i="15"/>
  <c r="AN167" i="15"/>
  <c r="AP167" i="15" s="1"/>
  <c r="AK290" i="15"/>
  <c r="AJ290" i="15"/>
  <c r="AL290" i="15" s="1"/>
  <c r="AS44" i="15"/>
  <c r="AR44" i="15"/>
  <c r="AT44" i="15" s="1"/>
  <c r="U782" i="15"/>
  <c r="T782" i="15"/>
  <c r="V782" i="15" s="1"/>
  <c r="AS45" i="15" l="1"/>
  <c r="AR45" i="15"/>
  <c r="AT45" i="15" s="1"/>
  <c r="AO168" i="15"/>
  <c r="AN168" i="15"/>
  <c r="AP168" i="15" s="1"/>
  <c r="AC537" i="15"/>
  <c r="AB537" i="15"/>
  <c r="AD537" i="15" s="1"/>
  <c r="Y660" i="15"/>
  <c r="X660" i="15"/>
  <c r="Z660" i="15" s="1"/>
  <c r="Q906" i="15"/>
  <c r="P906" i="15"/>
  <c r="R906" i="15" s="1"/>
  <c r="U783" i="15"/>
  <c r="T783" i="15"/>
  <c r="V783" i="15" s="1"/>
  <c r="AK291" i="15"/>
  <c r="AJ291" i="15"/>
  <c r="AL291" i="15" s="1"/>
  <c r="AG414" i="15"/>
  <c r="AF414" i="15"/>
  <c r="AH414" i="15" s="1"/>
  <c r="AG415" i="15" l="1"/>
  <c r="AF415" i="15"/>
  <c r="AH415" i="15" s="1"/>
  <c r="U784" i="15"/>
  <c r="T784" i="15"/>
  <c r="V784" i="15" s="1"/>
  <c r="Y661" i="15"/>
  <c r="X661" i="15"/>
  <c r="Z661" i="15" s="1"/>
  <c r="AC538" i="15"/>
  <c r="AB538" i="15"/>
  <c r="AD538" i="15" s="1"/>
  <c r="AS46" i="15"/>
  <c r="AR46" i="15"/>
  <c r="AT46" i="15" s="1"/>
  <c r="AK292" i="15"/>
  <c r="AJ292" i="15"/>
  <c r="AL292" i="15" s="1"/>
  <c r="Q907" i="15"/>
  <c r="P907" i="15"/>
  <c r="R907" i="15" s="1"/>
  <c r="AO169" i="15"/>
  <c r="AN169" i="15"/>
  <c r="AP169" i="15" s="1"/>
  <c r="Q908" i="15" l="1"/>
  <c r="P908" i="15"/>
  <c r="R908" i="15" s="1"/>
  <c r="AS47" i="15"/>
  <c r="AR47" i="15"/>
  <c r="AT47" i="15" s="1"/>
  <c r="AC539" i="15"/>
  <c r="AB539" i="15"/>
  <c r="AD539" i="15" s="1"/>
  <c r="Y662" i="15"/>
  <c r="X662" i="15"/>
  <c r="Z662" i="15" s="1"/>
  <c r="AG416" i="15"/>
  <c r="AF416" i="15"/>
  <c r="AH416" i="15" s="1"/>
  <c r="AO170" i="15"/>
  <c r="AN170" i="15"/>
  <c r="AP170" i="15" s="1"/>
  <c r="AK293" i="15"/>
  <c r="AJ293" i="15"/>
  <c r="AL293" i="15" s="1"/>
  <c r="U785" i="15"/>
  <c r="T785" i="15"/>
  <c r="V785" i="15" s="1"/>
  <c r="Y663" i="15" l="1"/>
  <c r="X663" i="15"/>
  <c r="Z663" i="15" s="1"/>
  <c r="U786" i="15"/>
  <c r="T786" i="15"/>
  <c r="V786" i="15" s="1"/>
  <c r="AK294" i="15"/>
  <c r="AJ294" i="15"/>
  <c r="AL294" i="15" s="1"/>
  <c r="AO171" i="15"/>
  <c r="AN171" i="15"/>
  <c r="AP171" i="15" s="1"/>
  <c r="AG417" i="15"/>
  <c r="AF417" i="15"/>
  <c r="AH417" i="15" s="1"/>
  <c r="AC540" i="15"/>
  <c r="AB540" i="15"/>
  <c r="AD540" i="15" s="1"/>
  <c r="AS48" i="15"/>
  <c r="AR48" i="15"/>
  <c r="AT48" i="15" s="1"/>
  <c r="Q909" i="15"/>
  <c r="P909" i="15"/>
  <c r="R909" i="15" s="1"/>
  <c r="AS49" i="15" l="1"/>
  <c r="AR49" i="15"/>
  <c r="AT49" i="15" s="1"/>
  <c r="AG418" i="15"/>
  <c r="AF418" i="15"/>
  <c r="AH418" i="15" s="1"/>
  <c r="AK295" i="15"/>
  <c r="AJ295" i="15"/>
  <c r="AL295" i="15" s="1"/>
  <c r="Y664" i="15"/>
  <c r="X664" i="15"/>
  <c r="Z664" i="15" s="1"/>
  <c r="Q910" i="15"/>
  <c r="P910" i="15"/>
  <c r="R910" i="15" s="1"/>
  <c r="AC541" i="15"/>
  <c r="AB541" i="15"/>
  <c r="AD541" i="15" s="1"/>
  <c r="AO172" i="15"/>
  <c r="AN172" i="15"/>
  <c r="AP172" i="15" s="1"/>
  <c r="U787" i="15"/>
  <c r="T787" i="15"/>
  <c r="V787" i="15" s="1"/>
  <c r="AO173" i="15" l="1"/>
  <c r="AN173" i="15"/>
  <c r="AP173" i="15" s="1"/>
  <c r="Q911" i="15"/>
  <c r="P911" i="15"/>
  <c r="R911" i="15" s="1"/>
  <c r="AK296" i="15"/>
  <c r="AJ296" i="15"/>
  <c r="AL296" i="15" s="1"/>
  <c r="AS50" i="15"/>
  <c r="AR50" i="15"/>
  <c r="AT50" i="15" s="1"/>
  <c r="U788" i="15"/>
  <c r="T788" i="15"/>
  <c r="V788" i="15" s="1"/>
  <c r="AC542" i="15"/>
  <c r="AB542" i="15"/>
  <c r="AD542" i="15" s="1"/>
  <c r="Y665" i="15"/>
  <c r="X665" i="15"/>
  <c r="Z665" i="15" s="1"/>
  <c r="AG419" i="15"/>
  <c r="AF419" i="15"/>
  <c r="AH419" i="15" s="1"/>
  <c r="AG420" i="15" l="1"/>
  <c r="AF420" i="15"/>
  <c r="AH420" i="15" s="1"/>
  <c r="AC543" i="15"/>
  <c r="AB543" i="15"/>
  <c r="AD543" i="15" s="1"/>
  <c r="AS51" i="15"/>
  <c r="AR51" i="15"/>
  <c r="AT51" i="15" s="1"/>
  <c r="AK297" i="15"/>
  <c r="AJ297" i="15"/>
  <c r="AL297" i="15" s="1"/>
  <c r="AO174" i="15"/>
  <c r="AN174" i="15"/>
  <c r="AP174" i="15" s="1"/>
  <c r="Y666" i="15"/>
  <c r="X666" i="15"/>
  <c r="Z666" i="15" s="1"/>
  <c r="U789" i="15"/>
  <c r="T789" i="15"/>
  <c r="V789" i="15" s="1"/>
  <c r="Q912" i="15"/>
  <c r="P912" i="15"/>
  <c r="R912" i="15" s="1"/>
  <c r="Q913" i="15" l="1"/>
  <c r="P913" i="15"/>
  <c r="R913" i="15" s="1"/>
  <c r="Y667" i="15"/>
  <c r="X667" i="15"/>
  <c r="Z667" i="15" s="1"/>
  <c r="AK298" i="15"/>
  <c r="AJ298" i="15"/>
  <c r="AL298" i="15" s="1"/>
  <c r="AS52" i="15"/>
  <c r="AR52" i="15"/>
  <c r="AT52" i="15" s="1"/>
  <c r="AG421" i="15"/>
  <c r="AF421" i="15"/>
  <c r="AH421" i="15" s="1"/>
  <c r="U790" i="15"/>
  <c r="T790" i="15"/>
  <c r="V790" i="15" s="1"/>
  <c r="AO175" i="15"/>
  <c r="AN175" i="15"/>
  <c r="AP175" i="15" s="1"/>
  <c r="AC544" i="15"/>
  <c r="AB544" i="15"/>
  <c r="AD544" i="15" s="1"/>
  <c r="AO176" i="15" l="1"/>
  <c r="AN176" i="15"/>
  <c r="AP176" i="15" s="1"/>
  <c r="U791" i="15"/>
  <c r="T791" i="15"/>
  <c r="V791" i="15" s="1"/>
  <c r="AG422" i="15"/>
  <c r="AF422" i="15"/>
  <c r="AH422" i="15" s="1"/>
  <c r="Q914" i="15"/>
  <c r="P914" i="15"/>
  <c r="R914" i="15" s="1"/>
  <c r="AC545" i="15"/>
  <c r="AB545" i="15"/>
  <c r="AD545" i="15" s="1"/>
  <c r="AS53" i="15"/>
  <c r="AR53" i="15"/>
  <c r="AT53" i="15" s="1"/>
  <c r="AK299" i="15"/>
  <c r="AJ299" i="15"/>
  <c r="AL299" i="15" s="1"/>
  <c r="Y668" i="15"/>
  <c r="X668" i="15"/>
  <c r="Z668" i="15" s="1"/>
  <c r="Y669" i="15" l="1"/>
  <c r="X669" i="15"/>
  <c r="Z669" i="15" s="1"/>
  <c r="AS54" i="15"/>
  <c r="AR54" i="15"/>
  <c r="AT54" i="15" s="1"/>
  <c r="Q915" i="15"/>
  <c r="P915" i="15"/>
  <c r="R915" i="15" s="1"/>
  <c r="AG423" i="15"/>
  <c r="AF423" i="15"/>
  <c r="AH423" i="15" s="1"/>
  <c r="AO177" i="15"/>
  <c r="AN177" i="15"/>
  <c r="AP177" i="15" s="1"/>
  <c r="AK300" i="15"/>
  <c r="AJ300" i="15"/>
  <c r="AL300" i="15" s="1"/>
  <c r="AC546" i="15"/>
  <c r="AB546" i="15"/>
  <c r="AD546" i="15" s="1"/>
  <c r="U792" i="15"/>
  <c r="T792" i="15"/>
  <c r="V792" i="15" s="1"/>
  <c r="AK301" i="15" l="1"/>
  <c r="AJ301" i="15"/>
  <c r="AL301" i="15" s="1"/>
  <c r="AG424" i="15"/>
  <c r="AF424" i="15"/>
  <c r="AH424" i="15" s="1"/>
  <c r="Q916" i="15"/>
  <c r="P916" i="15"/>
  <c r="R916" i="15" s="1"/>
  <c r="Y670" i="15"/>
  <c r="X670" i="15"/>
  <c r="Z670" i="15" s="1"/>
  <c r="U793" i="15"/>
  <c r="T793" i="15"/>
  <c r="V793" i="15" s="1"/>
  <c r="AC547" i="15"/>
  <c r="AB547" i="15"/>
  <c r="AD547" i="15" s="1"/>
  <c r="AO178" i="15"/>
  <c r="AN178" i="15"/>
  <c r="AP178" i="15" s="1"/>
  <c r="AS55" i="15"/>
  <c r="AR55" i="15"/>
  <c r="AT55" i="15" s="1"/>
  <c r="AS56" i="15" l="1"/>
  <c r="AR56" i="15"/>
  <c r="AT56" i="15" s="1"/>
  <c r="AC548" i="15"/>
  <c r="AB548" i="15"/>
  <c r="AD548" i="15" s="1"/>
  <c r="Y671" i="15"/>
  <c r="X671" i="15"/>
  <c r="Z671" i="15" s="1"/>
  <c r="Q917" i="15"/>
  <c r="P917" i="15"/>
  <c r="R917" i="15" s="1"/>
  <c r="AK302" i="15"/>
  <c r="AJ302" i="15"/>
  <c r="AL302" i="15" s="1"/>
  <c r="AO179" i="15"/>
  <c r="AN179" i="15"/>
  <c r="AP179" i="15" s="1"/>
  <c r="U794" i="15"/>
  <c r="T794" i="15"/>
  <c r="V794" i="15" s="1"/>
  <c r="AG425" i="15"/>
  <c r="AF425" i="15"/>
  <c r="AH425" i="15" s="1"/>
  <c r="AG426" i="15" l="1"/>
  <c r="AF426" i="15"/>
  <c r="AH426" i="15" s="1"/>
  <c r="AO180" i="15"/>
  <c r="AN180" i="15"/>
  <c r="AP180" i="15" s="1"/>
  <c r="Q918" i="15"/>
  <c r="P918" i="15"/>
  <c r="R918" i="15" s="1"/>
  <c r="Y672" i="15"/>
  <c r="X672" i="15"/>
  <c r="Z672" i="15" s="1"/>
  <c r="AS57" i="15"/>
  <c r="AR57" i="15"/>
  <c r="AT57" i="15" s="1"/>
  <c r="U795" i="15"/>
  <c r="T795" i="15"/>
  <c r="V795" i="15" s="1"/>
  <c r="AK303" i="15"/>
  <c r="AJ303" i="15"/>
  <c r="AL303" i="15" s="1"/>
  <c r="AC549" i="15"/>
  <c r="AB549" i="15"/>
  <c r="AD549" i="15" s="1"/>
  <c r="AC550" i="15" l="1"/>
  <c r="AB550" i="15"/>
  <c r="AD550" i="15" s="1"/>
  <c r="U796" i="15"/>
  <c r="T796" i="15"/>
  <c r="V796" i="15" s="1"/>
  <c r="Y673" i="15"/>
  <c r="X673" i="15"/>
  <c r="Z673" i="15" s="1"/>
  <c r="Q919" i="15"/>
  <c r="P919" i="15"/>
  <c r="R919" i="15" s="1"/>
  <c r="AG427" i="15"/>
  <c r="AF427" i="15"/>
  <c r="AH427" i="15" s="1"/>
  <c r="AK304" i="15"/>
  <c r="AJ304" i="15"/>
  <c r="AL304" i="15" s="1"/>
  <c r="AS58" i="15"/>
  <c r="AR58" i="15"/>
  <c r="AT58" i="15" s="1"/>
  <c r="AO181" i="15"/>
  <c r="AN181" i="15"/>
  <c r="AP181" i="15" s="1"/>
  <c r="AO182" i="15" l="1"/>
  <c r="AN182" i="15"/>
  <c r="AP182" i="15" s="1"/>
  <c r="AK305" i="15"/>
  <c r="AJ305" i="15"/>
  <c r="AL305" i="15" s="1"/>
  <c r="Q920" i="15"/>
  <c r="P920" i="15"/>
  <c r="R920" i="15" s="1"/>
  <c r="Y674" i="15"/>
  <c r="X674" i="15"/>
  <c r="Z674" i="15" s="1"/>
  <c r="AC551" i="15"/>
  <c r="AB551" i="15"/>
  <c r="AD551" i="15" s="1"/>
  <c r="AS59" i="15"/>
  <c r="AR59" i="15"/>
  <c r="AT59" i="15" s="1"/>
  <c r="AG428" i="15"/>
  <c r="AF428" i="15"/>
  <c r="AH428" i="15" s="1"/>
  <c r="U797" i="15"/>
  <c r="T797" i="15"/>
  <c r="V797" i="15" s="1"/>
  <c r="AG429" i="15" l="1"/>
  <c r="AF429" i="15"/>
  <c r="AH429" i="15" s="1"/>
  <c r="AC552" i="15"/>
  <c r="AB552" i="15"/>
  <c r="AD552" i="15" s="1"/>
  <c r="Q921" i="15"/>
  <c r="P921" i="15"/>
  <c r="R921" i="15" s="1"/>
  <c r="AO183" i="15"/>
  <c r="AN183" i="15"/>
  <c r="AP183" i="15" s="1"/>
  <c r="U798" i="15"/>
  <c r="T798" i="15"/>
  <c r="V798" i="15" s="1"/>
  <c r="AS60" i="15"/>
  <c r="AR60" i="15"/>
  <c r="AT60" i="15" s="1"/>
  <c r="Y675" i="15"/>
  <c r="X675" i="15"/>
  <c r="Z675" i="15" s="1"/>
  <c r="AK306" i="15"/>
  <c r="AJ306" i="15"/>
  <c r="AL306" i="15" s="1"/>
  <c r="AS61" i="15" l="1"/>
  <c r="AR61" i="15"/>
  <c r="AT61" i="15" s="1"/>
  <c r="AO184" i="15"/>
  <c r="AN184" i="15"/>
  <c r="AP184" i="15" s="1"/>
  <c r="Q922" i="15"/>
  <c r="P922" i="15"/>
  <c r="R922" i="15" s="1"/>
  <c r="AG430" i="15"/>
  <c r="AF430" i="15"/>
  <c r="AH430" i="15" s="1"/>
  <c r="AK307" i="15"/>
  <c r="AJ307" i="15"/>
  <c r="AL307" i="15" s="1"/>
  <c r="Y676" i="15"/>
  <c r="X676" i="15"/>
  <c r="Z676" i="15" s="1"/>
  <c r="U799" i="15"/>
  <c r="T799" i="15"/>
  <c r="V799" i="15" s="1"/>
  <c r="AC553" i="15"/>
  <c r="AB553" i="15"/>
  <c r="AD553" i="15" s="1"/>
  <c r="Y677" i="15" l="1"/>
  <c r="X677" i="15"/>
  <c r="Z677" i="15" s="1"/>
  <c r="AK308" i="15"/>
  <c r="AJ308" i="15"/>
  <c r="AL308" i="15" s="1"/>
  <c r="Q923" i="15"/>
  <c r="P923" i="15"/>
  <c r="R923" i="15" s="1"/>
  <c r="AS62" i="15"/>
  <c r="AR62" i="15"/>
  <c r="AT62" i="15" s="1"/>
  <c r="AC554" i="15"/>
  <c r="AB554" i="15"/>
  <c r="AD554" i="15" s="1"/>
  <c r="U800" i="15"/>
  <c r="T800" i="15"/>
  <c r="V800" i="15" s="1"/>
  <c r="AG431" i="15"/>
  <c r="AF431" i="15"/>
  <c r="AH431" i="15" s="1"/>
  <c r="AO185" i="15"/>
  <c r="AN185" i="15"/>
  <c r="AP185" i="15" s="1"/>
  <c r="AG432" i="15" l="1"/>
  <c r="AF432" i="15"/>
  <c r="AH432" i="15" s="1"/>
  <c r="U801" i="15"/>
  <c r="T801" i="15"/>
  <c r="V801" i="15" s="1"/>
  <c r="AS63" i="15"/>
  <c r="AR63" i="15"/>
  <c r="AT63" i="15" s="1"/>
  <c r="Q924" i="15"/>
  <c r="P924" i="15"/>
  <c r="R924" i="15" s="1"/>
  <c r="Y678" i="15"/>
  <c r="X678" i="15"/>
  <c r="Z678" i="15" s="1"/>
  <c r="AO186" i="15"/>
  <c r="AN186" i="15"/>
  <c r="AP186" i="15" s="1"/>
  <c r="AC555" i="15"/>
  <c r="AB555" i="15"/>
  <c r="AD555" i="15" s="1"/>
  <c r="AK309" i="15"/>
  <c r="AJ309" i="15"/>
  <c r="AL309" i="15" s="1"/>
  <c r="AK310" i="15" l="1"/>
  <c r="AJ310" i="15"/>
  <c r="AL310" i="15" s="1"/>
  <c r="AO187" i="15"/>
  <c r="AN187" i="15"/>
  <c r="AP187" i="15" s="1"/>
  <c r="Q925" i="15"/>
  <c r="P925" i="15"/>
  <c r="R925" i="15" s="1"/>
  <c r="AS64" i="15"/>
  <c r="AR64" i="15"/>
  <c r="AT64" i="15" s="1"/>
  <c r="AG433" i="15"/>
  <c r="AF433" i="15"/>
  <c r="AH433" i="15" s="1"/>
  <c r="AD556" i="15"/>
  <c r="AC556" i="15"/>
  <c r="AB556" i="15"/>
  <c r="Y679" i="15"/>
  <c r="X679" i="15"/>
  <c r="Z679" i="15" s="1"/>
  <c r="U802" i="15"/>
  <c r="T802" i="15"/>
  <c r="V802" i="15" s="1"/>
  <c r="U803" i="15" l="1"/>
  <c r="T803" i="15"/>
  <c r="V803" i="15" s="1"/>
  <c r="Y680" i="15"/>
  <c r="X680" i="15"/>
  <c r="Z680" i="15" s="1"/>
  <c r="AG434" i="15"/>
  <c r="AF434" i="15"/>
  <c r="AH434" i="15" s="1"/>
  <c r="AS65" i="15"/>
  <c r="AR65" i="15"/>
  <c r="AT65" i="15" s="1"/>
  <c r="Q926" i="15"/>
  <c r="P926" i="15"/>
  <c r="R926" i="15" s="1"/>
  <c r="AO188" i="15"/>
  <c r="AN188" i="15"/>
  <c r="AP188" i="15" s="1"/>
  <c r="AK311" i="15"/>
  <c r="AJ311" i="15"/>
  <c r="AL311" i="15" s="1"/>
  <c r="AC557" i="15"/>
  <c r="AB557" i="15"/>
  <c r="AD557" i="15" s="1"/>
  <c r="AC558" i="15" l="1"/>
  <c r="AB558" i="15"/>
  <c r="AD558" i="15" s="1"/>
  <c r="AO189" i="15"/>
  <c r="AN189" i="15"/>
  <c r="AP189" i="15" s="1"/>
  <c r="AS66" i="15"/>
  <c r="AR66" i="15"/>
  <c r="AT66" i="15" s="1"/>
  <c r="AG435" i="15"/>
  <c r="AF435" i="15"/>
  <c r="AH435" i="15" s="1"/>
  <c r="U804" i="15"/>
  <c r="T804" i="15"/>
  <c r="V804" i="15" s="1"/>
  <c r="AK312" i="15"/>
  <c r="AJ312" i="15"/>
  <c r="AL312" i="15" s="1"/>
  <c r="Q927" i="15"/>
  <c r="P927" i="15"/>
  <c r="R927" i="15" s="1"/>
  <c r="Y681" i="15"/>
  <c r="X681" i="15"/>
  <c r="Z681" i="15" s="1"/>
  <c r="Y682" i="15" l="1"/>
  <c r="X682" i="15"/>
  <c r="Z682" i="15" s="1"/>
  <c r="AK313" i="15"/>
  <c r="AJ313" i="15"/>
  <c r="AL313" i="15" s="1"/>
  <c r="AG436" i="15"/>
  <c r="AF436" i="15"/>
  <c r="AH436" i="15" s="1"/>
  <c r="AS67" i="15"/>
  <c r="AR67" i="15"/>
  <c r="AT67" i="15" s="1"/>
  <c r="AC559" i="15"/>
  <c r="AB559" i="15"/>
  <c r="AD559" i="15" s="1"/>
  <c r="Q928" i="15"/>
  <c r="P928" i="15"/>
  <c r="R928" i="15" s="1"/>
  <c r="U805" i="15"/>
  <c r="T805" i="15"/>
  <c r="V805" i="15" s="1"/>
  <c r="AO190" i="15"/>
  <c r="AN190" i="15"/>
  <c r="AP190" i="15" s="1"/>
  <c r="AO191" i="15" l="1"/>
  <c r="AN191" i="15"/>
  <c r="AP191" i="15" s="1"/>
  <c r="Q929" i="15"/>
  <c r="P929" i="15"/>
  <c r="R929" i="15" s="1"/>
  <c r="AS68" i="15"/>
  <c r="AR68" i="15"/>
  <c r="AT68" i="15" s="1"/>
  <c r="AG437" i="15"/>
  <c r="AF437" i="15"/>
  <c r="AH437" i="15" s="1"/>
  <c r="Y683" i="15"/>
  <c r="X683" i="15"/>
  <c r="Z683" i="15" s="1"/>
  <c r="U806" i="15"/>
  <c r="T806" i="15"/>
  <c r="V806" i="15" s="1"/>
  <c r="AC560" i="15"/>
  <c r="AB560" i="15"/>
  <c r="AD560" i="15" s="1"/>
  <c r="AK314" i="15"/>
  <c r="AJ314" i="15"/>
  <c r="AL314" i="15" s="1"/>
  <c r="U807" i="15" l="1"/>
  <c r="T807" i="15"/>
  <c r="V807" i="15" s="1"/>
  <c r="AG438" i="15"/>
  <c r="AF438" i="15"/>
  <c r="AH438" i="15" s="1"/>
  <c r="AS69" i="15"/>
  <c r="AR69" i="15"/>
  <c r="AT69" i="15" s="1"/>
  <c r="AO192" i="15"/>
  <c r="AN192" i="15"/>
  <c r="AP192" i="15" s="1"/>
  <c r="AK315" i="15"/>
  <c r="AJ315" i="15"/>
  <c r="AL315" i="15" s="1"/>
  <c r="AC561" i="15"/>
  <c r="AB561" i="15"/>
  <c r="AD561" i="15" s="1"/>
  <c r="Y684" i="15"/>
  <c r="X684" i="15"/>
  <c r="Z684" i="15" s="1"/>
  <c r="Q930" i="15"/>
  <c r="P930" i="15"/>
  <c r="R930" i="15" s="1"/>
  <c r="Q931" i="15" l="1"/>
  <c r="P931" i="15"/>
  <c r="R931" i="15" s="1"/>
  <c r="AC562" i="15"/>
  <c r="AB562" i="15"/>
  <c r="AD562" i="15" s="1"/>
  <c r="AO193" i="15"/>
  <c r="AN193" i="15"/>
  <c r="AP193" i="15" s="1"/>
  <c r="AS70" i="15"/>
  <c r="AR70" i="15"/>
  <c r="AT70" i="15" s="1"/>
  <c r="U808" i="15"/>
  <c r="T808" i="15"/>
  <c r="V808" i="15" s="1"/>
  <c r="Y685" i="15"/>
  <c r="X685" i="15"/>
  <c r="Z685" i="15" s="1"/>
  <c r="AK316" i="15"/>
  <c r="AJ316" i="15"/>
  <c r="AL316" i="15" s="1"/>
  <c r="AG439" i="15"/>
  <c r="AF439" i="15"/>
  <c r="AH439" i="15" s="1"/>
  <c r="AG440" i="15" l="1"/>
  <c r="AF440" i="15"/>
  <c r="AH440" i="15" s="1"/>
  <c r="Y686" i="15"/>
  <c r="X686" i="15"/>
  <c r="Z686" i="15" s="1"/>
  <c r="AS71" i="15"/>
  <c r="AR71" i="15"/>
  <c r="AT71" i="15" s="1"/>
  <c r="AO194" i="15"/>
  <c r="AN194" i="15"/>
  <c r="AP194" i="15" s="1"/>
  <c r="Q932" i="15"/>
  <c r="P932" i="15"/>
  <c r="R932" i="15" s="1"/>
  <c r="AK317" i="15"/>
  <c r="AJ317" i="15"/>
  <c r="AL317" i="15" s="1"/>
  <c r="U809" i="15"/>
  <c r="T809" i="15"/>
  <c r="V809" i="15" s="1"/>
  <c r="AC563" i="15"/>
  <c r="AB563" i="15"/>
  <c r="AD563" i="15" s="1"/>
  <c r="U810" i="15" l="1"/>
  <c r="T810" i="15"/>
  <c r="V810" i="15" s="1"/>
  <c r="AO195" i="15"/>
  <c r="AN195" i="15"/>
  <c r="AP195" i="15" s="1"/>
  <c r="Y687" i="15"/>
  <c r="X687" i="15"/>
  <c r="Z687" i="15" s="1"/>
  <c r="AC564" i="15"/>
  <c r="AB564" i="15"/>
  <c r="AD564" i="15" s="1"/>
  <c r="AK318" i="15"/>
  <c r="AJ318" i="15"/>
  <c r="AL318" i="15" s="1"/>
  <c r="Q933" i="15"/>
  <c r="P933" i="15"/>
  <c r="R933" i="15" s="1"/>
  <c r="AS72" i="15"/>
  <c r="AR72" i="15"/>
  <c r="AT72" i="15" s="1"/>
  <c r="AG441" i="15"/>
  <c r="AF441" i="15"/>
  <c r="AH441" i="15" s="1"/>
  <c r="AG442" i="15" l="1"/>
  <c r="AF442" i="15"/>
  <c r="AH442" i="15" s="1"/>
  <c r="Q934" i="15"/>
  <c r="P934" i="15"/>
  <c r="R934" i="15" s="1"/>
  <c r="AC565" i="15"/>
  <c r="AB565" i="15"/>
  <c r="AD565" i="15" s="1"/>
  <c r="Y688" i="15"/>
  <c r="X688" i="15"/>
  <c r="Z688" i="15" s="1"/>
  <c r="U811" i="15"/>
  <c r="T811" i="15"/>
  <c r="V811" i="15" s="1"/>
  <c r="AS73" i="15"/>
  <c r="AR73" i="15"/>
  <c r="AT73" i="15" s="1"/>
  <c r="AK319" i="15"/>
  <c r="AJ319" i="15"/>
  <c r="AL319" i="15" s="1"/>
  <c r="AO196" i="15"/>
  <c r="AN196" i="15"/>
  <c r="AP196" i="15" s="1"/>
  <c r="AK320" i="15" l="1"/>
  <c r="AJ320" i="15"/>
  <c r="AL320" i="15" s="1"/>
  <c r="U812" i="15"/>
  <c r="T812" i="15"/>
  <c r="V812" i="15" s="1"/>
  <c r="AC566" i="15"/>
  <c r="AB566" i="15"/>
  <c r="AD566" i="15" s="1"/>
  <c r="AG443" i="15"/>
  <c r="AF443" i="15"/>
  <c r="AH443" i="15" s="1"/>
  <c r="AO197" i="15"/>
  <c r="AN197" i="15"/>
  <c r="AP197" i="15" s="1"/>
  <c r="AS74" i="15"/>
  <c r="AR74" i="15"/>
  <c r="AT74" i="15" s="1"/>
  <c r="Y689" i="15"/>
  <c r="X689" i="15"/>
  <c r="Z689" i="15" s="1"/>
  <c r="Q935" i="15"/>
  <c r="P935" i="15"/>
  <c r="R935" i="15" s="1"/>
  <c r="Y690" i="15" l="1"/>
  <c r="X690" i="15"/>
  <c r="Z690" i="15" s="1"/>
  <c r="AO198" i="15"/>
  <c r="AN198" i="15"/>
  <c r="AP198" i="15" s="1"/>
  <c r="AC567" i="15"/>
  <c r="AB567" i="15"/>
  <c r="AD567" i="15" s="1"/>
  <c r="AK321" i="15"/>
  <c r="AJ321" i="15"/>
  <c r="AL321" i="15" s="1"/>
  <c r="Q936" i="15"/>
  <c r="P936" i="15"/>
  <c r="R936" i="15" s="1"/>
  <c r="AS75" i="15"/>
  <c r="AR75" i="15"/>
  <c r="AT75" i="15" s="1"/>
  <c r="AG444" i="15"/>
  <c r="AF444" i="15"/>
  <c r="AH444" i="15" s="1"/>
  <c r="U813" i="15"/>
  <c r="T813" i="15"/>
  <c r="V813" i="15" s="1"/>
  <c r="U814" i="15" l="1"/>
  <c r="T814" i="15"/>
  <c r="V814" i="15" s="1"/>
  <c r="AS76" i="15"/>
  <c r="AR76" i="15"/>
  <c r="AT76" i="15" s="1"/>
  <c r="AK322" i="15"/>
  <c r="AJ322" i="15"/>
  <c r="AL322" i="15" s="1"/>
  <c r="AC568" i="15"/>
  <c r="AB568" i="15"/>
  <c r="AD568" i="15" s="1"/>
  <c r="Y691" i="15"/>
  <c r="X691" i="15"/>
  <c r="Z691" i="15" s="1"/>
  <c r="AG445" i="15"/>
  <c r="AF445" i="15"/>
  <c r="AH445" i="15" s="1"/>
  <c r="Q937" i="15"/>
  <c r="P937" i="15"/>
  <c r="R937" i="15" s="1"/>
  <c r="AO199" i="15"/>
  <c r="AN199" i="15"/>
  <c r="AP199" i="15" s="1"/>
  <c r="Q938" i="15" l="1"/>
  <c r="P938" i="15"/>
  <c r="R938" i="15" s="1"/>
  <c r="AG446" i="15"/>
  <c r="AF446" i="15"/>
  <c r="AH446" i="15" s="1"/>
  <c r="AC569" i="15"/>
  <c r="AB569" i="15"/>
  <c r="AD569" i="15" s="1"/>
  <c r="AK323" i="15"/>
  <c r="AJ323" i="15"/>
  <c r="AL323" i="15" s="1"/>
  <c r="U815" i="15"/>
  <c r="T815" i="15"/>
  <c r="V815" i="15" s="1"/>
  <c r="AO200" i="15"/>
  <c r="AN200" i="15"/>
  <c r="AP200" i="15" s="1"/>
  <c r="Y692" i="15"/>
  <c r="X692" i="15"/>
  <c r="Z692" i="15" s="1"/>
  <c r="AS77" i="15"/>
  <c r="AR77" i="15"/>
  <c r="AT77" i="15" s="1"/>
  <c r="Y693" i="15" l="1"/>
  <c r="X693" i="15"/>
  <c r="Z693" i="15" s="1"/>
  <c r="U816" i="15"/>
  <c r="T816" i="15"/>
  <c r="V816" i="15" s="1"/>
  <c r="AC570" i="15"/>
  <c r="AB570" i="15"/>
  <c r="AD570" i="15" s="1"/>
  <c r="Q939" i="15"/>
  <c r="P939" i="15"/>
  <c r="R939" i="15" s="1"/>
  <c r="AS78" i="15"/>
  <c r="AR78" i="15"/>
  <c r="AT78" i="15" s="1"/>
  <c r="AO201" i="15"/>
  <c r="AN201" i="15"/>
  <c r="AP201" i="15" s="1"/>
  <c r="AK324" i="15"/>
  <c r="AJ324" i="15"/>
  <c r="AL324" i="15" s="1"/>
  <c r="AG447" i="15"/>
  <c r="AF447" i="15"/>
  <c r="AH447" i="15" s="1"/>
  <c r="AG448" i="15" l="1"/>
  <c r="AF448" i="15"/>
  <c r="AH448" i="15" s="1"/>
  <c r="AO202" i="15"/>
  <c r="AN202" i="15"/>
  <c r="AP202" i="15" s="1"/>
  <c r="AS79" i="15"/>
  <c r="AR79" i="15"/>
  <c r="AT79" i="15" s="1"/>
  <c r="Q940" i="15"/>
  <c r="P940" i="15"/>
  <c r="R940" i="15" s="1"/>
  <c r="AC571" i="15"/>
  <c r="AB571" i="15"/>
  <c r="AD571" i="15" s="1"/>
  <c r="Y694" i="15"/>
  <c r="X694" i="15"/>
  <c r="Z694" i="15" s="1"/>
  <c r="AK325" i="15"/>
  <c r="AJ325" i="15"/>
  <c r="AL325" i="15" s="1"/>
  <c r="U817" i="15"/>
  <c r="T817" i="15"/>
  <c r="V817" i="15" s="1"/>
  <c r="U818" i="15" l="1"/>
  <c r="T818" i="15"/>
  <c r="V818" i="15" s="1"/>
  <c r="Y695" i="15"/>
  <c r="X695" i="15"/>
  <c r="Z695" i="15" s="1"/>
  <c r="AC572" i="15"/>
  <c r="AB572" i="15"/>
  <c r="AD572" i="15" s="1"/>
  <c r="Q941" i="15"/>
  <c r="P941" i="15"/>
  <c r="R941" i="15" s="1"/>
  <c r="AS80" i="15"/>
  <c r="AR80" i="15"/>
  <c r="AT80" i="15" s="1"/>
  <c r="AG449" i="15"/>
  <c r="AF449" i="15"/>
  <c r="AH449" i="15" s="1"/>
  <c r="AK326" i="15"/>
  <c r="AJ326" i="15"/>
  <c r="AL326" i="15" s="1"/>
  <c r="AO203" i="15"/>
  <c r="AN203" i="15"/>
  <c r="AP203" i="15" s="1"/>
  <c r="AK327" i="15" l="1"/>
  <c r="AJ327" i="15"/>
  <c r="AL327" i="15" s="1"/>
  <c r="AS81" i="15"/>
  <c r="AR81" i="15"/>
  <c r="AT81" i="15" s="1"/>
  <c r="Q942" i="15"/>
  <c r="P942" i="15"/>
  <c r="R942" i="15" s="1"/>
  <c r="AC573" i="15"/>
  <c r="AB573" i="15"/>
  <c r="AD573" i="15" s="1"/>
  <c r="U819" i="15"/>
  <c r="T819" i="15"/>
  <c r="V819" i="15" s="1"/>
  <c r="AO204" i="15"/>
  <c r="AN204" i="15"/>
  <c r="AP204" i="15" s="1"/>
  <c r="AG450" i="15"/>
  <c r="AF450" i="15"/>
  <c r="AH450" i="15" s="1"/>
  <c r="Y696" i="15"/>
  <c r="X696" i="15"/>
  <c r="Z696" i="15" s="1"/>
  <c r="Y697" i="15" l="1"/>
  <c r="X697" i="15"/>
  <c r="Z697" i="15" s="1"/>
  <c r="AO205" i="15"/>
  <c r="AN205" i="15"/>
  <c r="AP205" i="15" s="1"/>
  <c r="U820" i="15"/>
  <c r="T820" i="15"/>
  <c r="V820" i="15" s="1"/>
  <c r="Q943" i="15"/>
  <c r="P943" i="15"/>
  <c r="R943" i="15" s="1"/>
  <c r="AK328" i="15"/>
  <c r="AJ328" i="15"/>
  <c r="AL328" i="15" s="1"/>
  <c r="AG451" i="15"/>
  <c r="AF451" i="15"/>
  <c r="AH451" i="15" s="1"/>
  <c r="AC574" i="15"/>
  <c r="AB574" i="15"/>
  <c r="AD574" i="15" s="1"/>
  <c r="AS82" i="15"/>
  <c r="AR82" i="15"/>
  <c r="AT82" i="15" s="1"/>
  <c r="AS83" i="15" l="1"/>
  <c r="AR83" i="15"/>
  <c r="AT83" i="15" s="1"/>
  <c r="AG452" i="15"/>
  <c r="AF452" i="15"/>
  <c r="AH452" i="15" s="1"/>
  <c r="Q944" i="15"/>
  <c r="P944" i="15"/>
  <c r="R944" i="15" s="1"/>
  <c r="U821" i="15"/>
  <c r="T821" i="15"/>
  <c r="V821" i="15" s="1"/>
  <c r="Y698" i="15"/>
  <c r="X698" i="15"/>
  <c r="Z698" i="15" s="1"/>
  <c r="AC575" i="15"/>
  <c r="AB575" i="15"/>
  <c r="AD575" i="15" s="1"/>
  <c r="AK329" i="15"/>
  <c r="AJ329" i="15"/>
  <c r="AL329" i="15" s="1"/>
  <c r="AO206" i="15"/>
  <c r="AN206" i="15"/>
  <c r="AP206" i="15" s="1"/>
  <c r="AO207" i="15" l="1"/>
  <c r="AN207" i="15"/>
  <c r="AP207" i="15" s="1"/>
  <c r="AC576" i="15"/>
  <c r="AB576" i="15"/>
  <c r="AD576" i="15" s="1"/>
  <c r="Y699" i="15"/>
  <c r="X699" i="15"/>
  <c r="Z699" i="15" s="1"/>
  <c r="U822" i="15"/>
  <c r="T822" i="15"/>
  <c r="V822" i="15" s="1"/>
  <c r="Q945" i="15"/>
  <c r="P945" i="15"/>
  <c r="R945" i="15" s="1"/>
  <c r="AS84" i="15"/>
  <c r="AR84" i="15"/>
  <c r="AT84" i="15" s="1"/>
  <c r="AK330" i="15"/>
  <c r="AJ330" i="15"/>
  <c r="AL330" i="15" s="1"/>
  <c r="AG453" i="15"/>
  <c r="AF453" i="15"/>
  <c r="AH453" i="15" s="1"/>
  <c r="AG454" i="15" l="1"/>
  <c r="AF454" i="15"/>
  <c r="AH454" i="15" s="1"/>
  <c r="AK331" i="15"/>
  <c r="AJ331" i="15"/>
  <c r="AL331" i="15" s="1"/>
  <c r="Q946" i="15"/>
  <c r="P946" i="15"/>
  <c r="R946" i="15" s="1"/>
  <c r="U823" i="15"/>
  <c r="T823" i="15"/>
  <c r="V823" i="15" s="1"/>
  <c r="Y700" i="15"/>
  <c r="X700" i="15"/>
  <c r="Z700" i="15" s="1"/>
  <c r="AO208" i="15"/>
  <c r="AN208" i="15"/>
  <c r="AP208" i="15" s="1"/>
  <c r="AS85" i="15"/>
  <c r="AR85" i="15"/>
  <c r="AT85" i="15" s="1"/>
  <c r="AC577" i="15"/>
  <c r="AB577" i="15"/>
  <c r="AD577" i="15" s="1"/>
  <c r="AC578" i="15" l="1"/>
  <c r="AB578" i="15"/>
  <c r="AD578" i="15" s="1"/>
  <c r="AS86" i="15"/>
  <c r="AR86" i="15"/>
  <c r="AT86" i="15" s="1"/>
  <c r="Y701" i="15"/>
  <c r="X701" i="15"/>
  <c r="Z701" i="15" s="1"/>
  <c r="U824" i="15"/>
  <c r="T824" i="15"/>
  <c r="V824" i="15" s="1"/>
  <c r="Q947" i="15"/>
  <c r="P947" i="15"/>
  <c r="R947" i="15" s="1"/>
  <c r="AG455" i="15"/>
  <c r="AF455" i="15"/>
  <c r="AH455" i="15" s="1"/>
  <c r="AO209" i="15"/>
  <c r="AN209" i="15"/>
  <c r="AP209" i="15" s="1"/>
  <c r="AK332" i="15"/>
  <c r="AJ332" i="15"/>
  <c r="AL332" i="15" s="1"/>
  <c r="AK333" i="15" l="1"/>
  <c r="AJ333" i="15"/>
  <c r="AL333" i="15" s="1"/>
  <c r="AG456" i="15"/>
  <c r="AF456" i="15"/>
  <c r="AH456" i="15" s="1"/>
  <c r="Q948" i="15"/>
  <c r="P948" i="15"/>
  <c r="R948" i="15" s="1"/>
  <c r="U825" i="15"/>
  <c r="T825" i="15"/>
  <c r="V825" i="15" s="1"/>
  <c r="Y702" i="15"/>
  <c r="X702" i="15"/>
  <c r="Z702" i="15" s="1"/>
  <c r="AC579" i="15"/>
  <c r="AB579" i="15"/>
  <c r="AD579" i="15" s="1"/>
  <c r="AO210" i="15"/>
  <c r="AN210" i="15"/>
  <c r="AP210" i="15" s="1"/>
  <c r="AS87" i="15"/>
  <c r="AR87" i="15"/>
  <c r="AT87" i="15" s="1"/>
  <c r="AS88" i="15" l="1"/>
  <c r="AR88" i="15"/>
  <c r="AT88" i="15" s="1"/>
  <c r="AC580" i="15"/>
  <c r="AB580" i="15"/>
  <c r="AD580" i="15" s="1"/>
  <c r="Y703" i="15"/>
  <c r="X703" i="15"/>
  <c r="Z703" i="15" s="1"/>
  <c r="U826" i="15"/>
  <c r="T826" i="15"/>
  <c r="V826" i="15" s="1"/>
  <c r="Q949" i="15"/>
  <c r="P949" i="15"/>
  <c r="R949" i="15" s="1"/>
  <c r="AK334" i="15"/>
  <c r="AJ334" i="15"/>
  <c r="AL334" i="15" s="1"/>
  <c r="AO211" i="15"/>
  <c r="AN211" i="15"/>
  <c r="AP211" i="15" s="1"/>
  <c r="AG457" i="15"/>
  <c r="AF457" i="15"/>
  <c r="AH457" i="15" s="1"/>
  <c r="AG458" i="15" l="1"/>
  <c r="AF458" i="15"/>
  <c r="AH458" i="15" s="1"/>
  <c r="AK335" i="15"/>
  <c r="AJ335" i="15"/>
  <c r="AL335" i="15" s="1"/>
  <c r="Q950" i="15"/>
  <c r="P950" i="15"/>
  <c r="R950" i="15" s="1"/>
  <c r="U827" i="15"/>
  <c r="T827" i="15"/>
  <c r="V827" i="15" s="1"/>
  <c r="Y704" i="15"/>
  <c r="X704" i="15"/>
  <c r="Z704" i="15" s="1"/>
  <c r="AS89" i="15"/>
  <c r="AR89" i="15"/>
  <c r="AT89" i="15" s="1"/>
  <c r="AO212" i="15"/>
  <c r="AN212" i="15"/>
  <c r="AP212" i="15" s="1"/>
  <c r="AC581" i="15"/>
  <c r="AB581" i="15"/>
  <c r="AD581" i="15" s="1"/>
  <c r="AC582" i="15" l="1"/>
  <c r="AB582" i="15"/>
  <c r="AD582" i="15" s="1"/>
  <c r="AS90" i="15"/>
  <c r="AR90" i="15"/>
  <c r="AT90" i="15" s="1"/>
  <c r="U828" i="15"/>
  <c r="T828" i="15"/>
  <c r="V828" i="15" s="1"/>
  <c r="Q951" i="15"/>
  <c r="P951" i="15"/>
  <c r="R951" i="15" s="1"/>
  <c r="AG459" i="15"/>
  <c r="AF459" i="15"/>
  <c r="AH459" i="15" s="1"/>
  <c r="AO213" i="15"/>
  <c r="AN213" i="15"/>
  <c r="AP213" i="15" s="1"/>
  <c r="Y705" i="15"/>
  <c r="X705" i="15"/>
  <c r="Z705" i="15" s="1"/>
  <c r="AK336" i="15"/>
  <c r="AJ336" i="15"/>
  <c r="AL336" i="15" s="1"/>
  <c r="AK337" i="15" l="1"/>
  <c r="AJ337" i="15"/>
  <c r="AL337" i="15" s="1"/>
  <c r="AO214" i="15"/>
  <c r="AN214" i="15"/>
  <c r="AP214" i="15" s="1"/>
  <c r="AG460" i="15"/>
  <c r="AF460" i="15"/>
  <c r="AH460" i="15" s="1"/>
  <c r="Q952" i="15"/>
  <c r="P952" i="15"/>
  <c r="R952" i="15" s="1"/>
  <c r="U829" i="15"/>
  <c r="T829" i="15"/>
  <c r="V829" i="15" s="1"/>
  <c r="AC583" i="15"/>
  <c r="AB583" i="15"/>
  <c r="AD583" i="15" s="1"/>
  <c r="Y706" i="15"/>
  <c r="X706" i="15"/>
  <c r="Z706" i="15" s="1"/>
  <c r="AS91" i="15"/>
  <c r="AR91" i="15"/>
  <c r="AT91" i="15" s="1"/>
  <c r="AS92" i="15" l="1"/>
  <c r="AR92" i="15"/>
  <c r="AT92" i="15" s="1"/>
  <c r="AC584" i="15"/>
  <c r="AB584" i="15"/>
  <c r="AD584" i="15" s="1"/>
  <c r="U830" i="15"/>
  <c r="T830" i="15"/>
  <c r="V830" i="15" s="1"/>
  <c r="Q953" i="15"/>
  <c r="P953" i="15"/>
  <c r="R953" i="15" s="1"/>
  <c r="AG461" i="15"/>
  <c r="AF461" i="15"/>
  <c r="AH461" i="15" s="1"/>
  <c r="AK338" i="15"/>
  <c r="AJ338" i="15"/>
  <c r="AL338" i="15" s="1"/>
  <c r="Y707" i="15"/>
  <c r="X707" i="15"/>
  <c r="Z707" i="15" s="1"/>
  <c r="AO215" i="15"/>
  <c r="AN215" i="15"/>
  <c r="AP215" i="15" s="1"/>
  <c r="AO216" i="15" l="1"/>
  <c r="AN216" i="15"/>
  <c r="AP216" i="15" s="1"/>
  <c r="AK339" i="15"/>
  <c r="AJ339" i="15"/>
  <c r="AL339" i="15" s="1"/>
  <c r="AG462" i="15"/>
  <c r="AF462" i="15"/>
  <c r="AH462" i="15" s="1"/>
  <c r="Q954" i="15"/>
  <c r="P954" i="15"/>
  <c r="R954" i="15" s="1"/>
  <c r="U831" i="15"/>
  <c r="T831" i="15"/>
  <c r="V831" i="15" s="1"/>
  <c r="AS93" i="15"/>
  <c r="AR93" i="15"/>
  <c r="AT93" i="15" s="1"/>
  <c r="Y708" i="15"/>
  <c r="X708" i="15"/>
  <c r="Z708" i="15" s="1"/>
  <c r="AC585" i="15"/>
  <c r="AB585" i="15"/>
  <c r="AD585" i="15" s="1"/>
  <c r="Y709" i="15" l="1"/>
  <c r="X709" i="15"/>
  <c r="Z709" i="15" s="1"/>
  <c r="U832" i="15"/>
  <c r="T832" i="15"/>
  <c r="V832" i="15" s="1"/>
  <c r="Q955" i="15"/>
  <c r="P955" i="15"/>
  <c r="R955" i="15" s="1"/>
  <c r="AG463" i="15"/>
  <c r="AF463" i="15"/>
  <c r="AH463" i="15" s="1"/>
  <c r="AO217" i="15"/>
  <c r="AN217" i="15"/>
  <c r="AP217" i="15" s="1"/>
  <c r="AC586" i="15"/>
  <c r="AB586" i="15"/>
  <c r="AD586" i="15" s="1"/>
  <c r="AS94" i="15"/>
  <c r="AR94" i="15"/>
  <c r="AT94" i="15" s="1"/>
  <c r="AK340" i="15"/>
  <c r="AJ340" i="15"/>
  <c r="AL340" i="15" s="1"/>
  <c r="AK341" i="15" l="1"/>
  <c r="AJ341" i="15"/>
  <c r="AL341" i="15" s="1"/>
  <c r="AS95" i="15"/>
  <c r="AR95" i="15"/>
  <c r="AT95" i="15" s="1"/>
  <c r="AC587" i="15"/>
  <c r="AB587" i="15"/>
  <c r="AD587" i="15" s="1"/>
  <c r="AO218" i="15"/>
  <c r="AN218" i="15"/>
  <c r="AP218" i="15" s="1"/>
  <c r="AG464" i="15"/>
  <c r="AF464" i="15"/>
  <c r="AH464" i="15" s="1"/>
  <c r="Q956" i="15"/>
  <c r="P956" i="15"/>
  <c r="R956" i="15" s="1"/>
  <c r="U833" i="15"/>
  <c r="T833" i="15"/>
  <c r="V833" i="15" s="1"/>
  <c r="Y710" i="15"/>
  <c r="X710" i="15"/>
  <c r="Z710" i="15" s="1"/>
  <c r="Y711" i="15" l="1"/>
  <c r="X711" i="15"/>
  <c r="Z711" i="15" s="1"/>
  <c r="Q957" i="15"/>
  <c r="P957" i="15"/>
  <c r="R957" i="15" s="1"/>
  <c r="AO219" i="15"/>
  <c r="AN219" i="15"/>
  <c r="AP219" i="15" s="1"/>
  <c r="AC588" i="15"/>
  <c r="AB588" i="15"/>
  <c r="AD588" i="15" s="1"/>
  <c r="AK342" i="15"/>
  <c r="AJ342" i="15"/>
  <c r="AL342" i="15" s="1"/>
  <c r="U834" i="15"/>
  <c r="T834" i="15"/>
  <c r="V834" i="15" s="1"/>
  <c r="AG465" i="15"/>
  <c r="AF465" i="15"/>
  <c r="AH465" i="15" s="1"/>
  <c r="AS96" i="15"/>
  <c r="AR96" i="15"/>
  <c r="AT96" i="15" s="1"/>
  <c r="AS97" i="15" l="1"/>
  <c r="AR97" i="15"/>
  <c r="AT97" i="15" s="1"/>
  <c r="U835" i="15"/>
  <c r="T835" i="15"/>
  <c r="V835" i="15" s="1"/>
  <c r="AC589" i="15"/>
  <c r="AB589" i="15"/>
  <c r="AD589" i="15" s="1"/>
  <c r="AO220" i="15"/>
  <c r="AN220" i="15"/>
  <c r="AP220" i="15" s="1"/>
  <c r="Y712" i="15"/>
  <c r="X712" i="15"/>
  <c r="Z712" i="15" s="1"/>
  <c r="AG466" i="15"/>
  <c r="AF466" i="15"/>
  <c r="AH466" i="15" s="1"/>
  <c r="AK343" i="15"/>
  <c r="AJ343" i="15"/>
  <c r="AL343" i="15" s="1"/>
  <c r="Q958" i="15"/>
  <c r="P958" i="15"/>
  <c r="R958" i="15" s="1"/>
  <c r="Q959" i="15" l="1"/>
  <c r="P959" i="15"/>
  <c r="R959" i="15" s="1"/>
  <c r="AG467" i="15"/>
  <c r="AF467" i="15"/>
  <c r="AH467" i="15" s="1"/>
  <c r="Y713" i="15"/>
  <c r="X713" i="15"/>
  <c r="Z713" i="15" s="1"/>
  <c r="AC590" i="15"/>
  <c r="AB590" i="15"/>
  <c r="AD590" i="15" s="1"/>
  <c r="AS98" i="15"/>
  <c r="AR98" i="15"/>
  <c r="AT98" i="15" s="1"/>
  <c r="AK344" i="15"/>
  <c r="AJ344" i="15"/>
  <c r="AL344" i="15" s="1"/>
  <c r="AO221" i="15"/>
  <c r="AN221" i="15"/>
  <c r="AP221" i="15" s="1"/>
  <c r="U836" i="15"/>
  <c r="T836" i="15"/>
  <c r="V836" i="15" s="1"/>
  <c r="U837" i="15" l="1"/>
  <c r="T837" i="15"/>
  <c r="V837" i="15" s="1"/>
  <c r="AK345" i="15"/>
  <c r="AJ345" i="15"/>
  <c r="AL345" i="15" s="1"/>
  <c r="AC591" i="15"/>
  <c r="AB591" i="15"/>
  <c r="AD591" i="15" s="1"/>
  <c r="Y714" i="15"/>
  <c r="X714" i="15"/>
  <c r="Z714" i="15" s="1"/>
  <c r="Q960" i="15"/>
  <c r="P960" i="15"/>
  <c r="R960" i="15" s="1"/>
  <c r="AO222" i="15"/>
  <c r="AN222" i="15"/>
  <c r="AP222" i="15" s="1"/>
  <c r="AS99" i="15"/>
  <c r="AR99" i="15"/>
  <c r="AT99" i="15" s="1"/>
  <c r="AG468" i="15"/>
  <c r="AF468" i="15"/>
  <c r="AH468" i="15" s="1"/>
  <c r="AG469" i="15" l="1"/>
  <c r="AF469" i="15"/>
  <c r="AH469" i="15" s="1"/>
  <c r="AS100" i="15"/>
  <c r="AR100" i="15"/>
  <c r="AT100" i="15" s="1"/>
  <c r="AO223" i="15"/>
  <c r="AN223" i="15"/>
  <c r="AP223" i="15" s="1"/>
  <c r="Q961" i="15"/>
  <c r="P961" i="15"/>
  <c r="R961" i="15" s="1"/>
  <c r="Y715" i="15"/>
  <c r="X715" i="15"/>
  <c r="Z715" i="15" s="1"/>
  <c r="AC592" i="15"/>
  <c r="AB592" i="15"/>
  <c r="AD592" i="15" s="1"/>
  <c r="AK346" i="15"/>
  <c r="AJ346" i="15"/>
  <c r="AL346" i="15" s="1"/>
  <c r="U838" i="15"/>
  <c r="T838" i="15"/>
  <c r="V838" i="15" s="1"/>
  <c r="U839" i="15" l="1"/>
  <c r="T839" i="15"/>
  <c r="V839" i="15" s="1"/>
  <c r="AC593" i="15"/>
  <c r="AB593" i="15"/>
  <c r="AD593" i="15" s="1"/>
  <c r="Q962" i="15"/>
  <c r="P962" i="15"/>
  <c r="R962" i="15" s="1"/>
  <c r="AO224" i="15"/>
  <c r="AN224" i="15"/>
  <c r="AP224" i="15" s="1"/>
  <c r="AG470" i="15"/>
  <c r="AF470" i="15"/>
  <c r="AH470" i="15" s="1"/>
  <c r="AK347" i="15"/>
  <c r="AJ347" i="15"/>
  <c r="AL347" i="15" s="1"/>
  <c r="Y716" i="15"/>
  <c r="X716" i="15"/>
  <c r="Z716" i="15" s="1"/>
  <c r="AS101" i="15"/>
  <c r="AR101" i="15"/>
  <c r="AT101" i="15" s="1"/>
  <c r="AS102" i="15" l="1"/>
  <c r="AR102" i="15"/>
  <c r="AT102" i="15" s="1"/>
  <c r="AK348" i="15"/>
  <c r="AJ348" i="15"/>
  <c r="AL348" i="15" s="1"/>
  <c r="AO225" i="15"/>
  <c r="AN225" i="15"/>
  <c r="AP225" i="15" s="1"/>
  <c r="Q963" i="15"/>
  <c r="P963" i="15"/>
  <c r="R963" i="15" s="1"/>
  <c r="U840" i="15"/>
  <c r="T840" i="15"/>
  <c r="V840" i="15" s="1"/>
  <c r="Y717" i="15"/>
  <c r="X717" i="15"/>
  <c r="Z717" i="15" s="1"/>
  <c r="AG471" i="15"/>
  <c r="AF471" i="15"/>
  <c r="AH471" i="15" s="1"/>
  <c r="AC594" i="15"/>
  <c r="AB594" i="15"/>
  <c r="AD594" i="15" s="1"/>
  <c r="AC595" i="15" l="1"/>
  <c r="AB595" i="15"/>
  <c r="AD595" i="15" s="1"/>
  <c r="Y718" i="15"/>
  <c r="X718" i="15"/>
  <c r="Z718" i="15" s="1"/>
  <c r="Q964" i="15"/>
  <c r="P964" i="15"/>
  <c r="R964" i="15" s="1"/>
  <c r="AO226" i="15"/>
  <c r="AN226" i="15"/>
  <c r="AP226" i="15" s="1"/>
  <c r="AS103" i="15"/>
  <c r="AR103" i="15"/>
  <c r="AT103" i="15" s="1"/>
  <c r="AG472" i="15"/>
  <c r="AF472" i="15"/>
  <c r="AH472" i="15" s="1"/>
  <c r="U841" i="15"/>
  <c r="T841" i="15"/>
  <c r="V841" i="15" s="1"/>
  <c r="AK349" i="15"/>
  <c r="AJ349" i="15"/>
  <c r="AL349" i="15" s="1"/>
  <c r="AK350" i="15" l="1"/>
  <c r="AJ350" i="15"/>
  <c r="AL350" i="15" s="1"/>
  <c r="AG473" i="15"/>
  <c r="AF473" i="15"/>
  <c r="AH473" i="15" s="1"/>
  <c r="AO227" i="15"/>
  <c r="AN227" i="15"/>
  <c r="AP227" i="15" s="1"/>
  <c r="Q965" i="15"/>
  <c r="P965" i="15"/>
  <c r="R965" i="15" s="1"/>
  <c r="AC596" i="15"/>
  <c r="AB596" i="15"/>
  <c r="AD596" i="15" s="1"/>
  <c r="U842" i="15"/>
  <c r="T842" i="15"/>
  <c r="V842" i="15" s="1"/>
  <c r="AS104" i="15"/>
  <c r="AR104" i="15"/>
  <c r="AT104" i="15" s="1"/>
  <c r="Y719" i="15"/>
  <c r="X719" i="15"/>
  <c r="Z719" i="15" s="1"/>
  <c r="Y720" i="15" l="1"/>
  <c r="X720" i="15"/>
  <c r="Z720" i="15" s="1"/>
  <c r="U843" i="15"/>
  <c r="T843" i="15"/>
  <c r="V843" i="15" s="1"/>
  <c r="Q966" i="15"/>
  <c r="P966" i="15"/>
  <c r="R966" i="15" s="1"/>
  <c r="AO228" i="15"/>
  <c r="AN228" i="15"/>
  <c r="AP228" i="15" s="1"/>
  <c r="AK351" i="15"/>
  <c r="AJ351" i="15"/>
  <c r="AL351" i="15" s="1"/>
  <c r="AS105" i="15"/>
  <c r="AR105" i="15"/>
  <c r="AT105" i="15" s="1"/>
  <c r="AC597" i="15"/>
  <c r="AB597" i="15"/>
  <c r="AD597" i="15" s="1"/>
  <c r="AG474" i="15"/>
  <c r="AF474" i="15"/>
  <c r="AH474" i="15" s="1"/>
  <c r="AC598" i="15" l="1"/>
  <c r="AB598" i="15"/>
  <c r="AD598" i="15" s="1"/>
  <c r="AS106" i="15"/>
  <c r="AR106" i="15"/>
  <c r="AT106" i="15" s="1"/>
  <c r="AO229" i="15"/>
  <c r="AN229" i="15"/>
  <c r="AP229" i="15" s="1"/>
  <c r="Q967" i="15"/>
  <c r="P967" i="15"/>
  <c r="R967" i="15" s="1"/>
  <c r="Y721" i="15"/>
  <c r="X721" i="15"/>
  <c r="Z721" i="15" s="1"/>
  <c r="AG475" i="15"/>
  <c r="AF475" i="15"/>
  <c r="AH475" i="15" s="1"/>
  <c r="AK352" i="15"/>
  <c r="AJ352" i="15"/>
  <c r="AL352" i="15" s="1"/>
  <c r="U844" i="15"/>
  <c r="T844" i="15"/>
  <c r="V844" i="15" s="1"/>
  <c r="AK353" i="15" l="1"/>
  <c r="AJ353" i="15"/>
  <c r="AL353" i="15" s="1"/>
  <c r="Y722" i="15"/>
  <c r="X722" i="15"/>
  <c r="Z722" i="15" s="1"/>
  <c r="AO230" i="15"/>
  <c r="AN230" i="15"/>
  <c r="AP230" i="15" s="1"/>
  <c r="AC599" i="15"/>
  <c r="AB599" i="15"/>
  <c r="AD599" i="15" s="1"/>
  <c r="U845" i="15"/>
  <c r="T845" i="15"/>
  <c r="V845" i="15" s="1"/>
  <c r="AG476" i="15"/>
  <c r="AF476" i="15"/>
  <c r="AH476" i="15" s="1"/>
  <c r="Q968" i="15"/>
  <c r="P968" i="15"/>
  <c r="R968" i="15" s="1"/>
  <c r="AS107" i="15"/>
  <c r="AR107" i="15"/>
  <c r="AT107" i="15" s="1"/>
  <c r="AS108" i="15" l="1"/>
  <c r="AR108" i="15"/>
  <c r="AT108" i="15" s="1"/>
  <c r="AG477" i="15"/>
  <c r="AF477" i="15"/>
  <c r="AH477" i="15" s="1"/>
  <c r="AC600" i="15"/>
  <c r="AB600" i="15"/>
  <c r="AD600" i="15" s="1"/>
  <c r="AO231" i="15"/>
  <c r="AN231" i="15"/>
  <c r="AP231" i="15" s="1"/>
  <c r="AK354" i="15"/>
  <c r="AJ354" i="15"/>
  <c r="AL354" i="15" s="1"/>
  <c r="Q969" i="15"/>
  <c r="P969" i="15"/>
  <c r="R969" i="15" s="1"/>
  <c r="U846" i="15"/>
  <c r="T846" i="15"/>
  <c r="V846" i="15" s="1"/>
  <c r="Y723" i="15"/>
  <c r="X723" i="15"/>
  <c r="Z723" i="15" s="1"/>
  <c r="Y724" i="15" l="1"/>
  <c r="X724" i="15"/>
  <c r="Z724" i="15" s="1"/>
  <c r="Q970" i="15"/>
  <c r="P970" i="15"/>
  <c r="R970" i="15" s="1"/>
  <c r="AO232" i="15"/>
  <c r="AN232" i="15"/>
  <c r="AP232" i="15" s="1"/>
  <c r="AC601" i="15"/>
  <c r="AB601" i="15"/>
  <c r="AD601" i="15" s="1"/>
  <c r="AS109" i="15"/>
  <c r="AR109" i="15"/>
  <c r="AT109" i="15" s="1"/>
  <c r="U847" i="15"/>
  <c r="T847" i="15"/>
  <c r="V847" i="15" s="1"/>
  <c r="AK355" i="15"/>
  <c r="AJ355" i="15"/>
  <c r="AL355" i="15" s="1"/>
  <c r="AG478" i="15"/>
  <c r="AF478" i="15"/>
  <c r="AH478" i="15" s="1"/>
  <c r="AG479" i="15" l="1"/>
  <c r="AF479" i="15"/>
  <c r="AH479" i="15" s="1"/>
  <c r="U848" i="15"/>
  <c r="T848" i="15"/>
  <c r="V848" i="15" s="1"/>
  <c r="AC602" i="15"/>
  <c r="AB602" i="15"/>
  <c r="AD602" i="15" s="1"/>
  <c r="AO233" i="15"/>
  <c r="AN233" i="15"/>
  <c r="AP233" i="15" s="1"/>
  <c r="Y725" i="15"/>
  <c r="X725" i="15"/>
  <c r="Z725" i="15" s="1"/>
  <c r="AK356" i="15"/>
  <c r="AJ356" i="15"/>
  <c r="AL356" i="15" s="1"/>
  <c r="AS110" i="15"/>
  <c r="AR110" i="15"/>
  <c r="AT110" i="15" s="1"/>
  <c r="Q971" i="15"/>
  <c r="P971" i="15"/>
  <c r="R971" i="15" s="1"/>
  <c r="Q972" i="15" l="1"/>
  <c r="P972" i="15"/>
  <c r="R972" i="15" s="1"/>
  <c r="AK357" i="15"/>
  <c r="AJ357" i="15"/>
  <c r="AL357" i="15" s="1"/>
  <c r="Y726" i="15"/>
  <c r="X726" i="15"/>
  <c r="Z726" i="15" s="1"/>
  <c r="AC603" i="15"/>
  <c r="AB603" i="15"/>
  <c r="AD603" i="15" s="1"/>
  <c r="AG480" i="15"/>
  <c r="AF480" i="15"/>
  <c r="AH480" i="15" s="1"/>
  <c r="AS111" i="15"/>
  <c r="AR111" i="15"/>
  <c r="AT111" i="15" s="1"/>
  <c r="AO234" i="15"/>
  <c r="AN234" i="15"/>
  <c r="AP234" i="15" s="1"/>
  <c r="U849" i="15"/>
  <c r="T849" i="15"/>
  <c r="V849" i="15" s="1"/>
  <c r="U850" i="15" l="1"/>
  <c r="T850" i="15"/>
  <c r="V850" i="15" s="1"/>
  <c r="AS112" i="15"/>
  <c r="AR112" i="15"/>
  <c r="AT112" i="15" s="1"/>
  <c r="AC604" i="15"/>
  <c r="AB604" i="15"/>
  <c r="AD604" i="15" s="1"/>
  <c r="Y727" i="15"/>
  <c r="X727" i="15"/>
  <c r="Z727" i="15" s="1"/>
  <c r="Q973" i="15"/>
  <c r="P973" i="15"/>
  <c r="R973" i="15" s="1"/>
  <c r="AO235" i="15"/>
  <c r="AN235" i="15"/>
  <c r="AP235" i="15" s="1"/>
  <c r="AG481" i="15"/>
  <c r="AF481" i="15"/>
  <c r="AH481" i="15" s="1"/>
  <c r="AK358" i="15"/>
  <c r="AJ358" i="15"/>
  <c r="AL358" i="15" s="1"/>
  <c r="AG482" i="15" l="1"/>
  <c r="AF482" i="15"/>
  <c r="AH482" i="15" s="1"/>
  <c r="Q974" i="15"/>
  <c r="P974" i="15"/>
  <c r="R974" i="15" s="1"/>
  <c r="AC605" i="15"/>
  <c r="AB605" i="15"/>
  <c r="AD605" i="15" s="1"/>
  <c r="U851" i="15"/>
  <c r="T851" i="15"/>
  <c r="V851" i="15" s="1"/>
  <c r="AK359" i="15"/>
  <c r="AJ359" i="15"/>
  <c r="AL359" i="15" s="1"/>
  <c r="AO236" i="15"/>
  <c r="AN236" i="15"/>
  <c r="AP236" i="15" s="1"/>
  <c r="Y728" i="15"/>
  <c r="X728" i="15"/>
  <c r="Z728" i="15" s="1"/>
  <c r="AS113" i="15"/>
  <c r="AR113" i="15"/>
  <c r="AT113" i="15" s="1"/>
  <c r="AS114" i="15" l="1"/>
  <c r="AR114" i="15"/>
  <c r="AT114" i="15" s="1"/>
  <c r="AO237" i="15"/>
  <c r="AN237" i="15"/>
  <c r="AP237" i="15" s="1"/>
  <c r="U852" i="15"/>
  <c r="T852" i="15"/>
  <c r="V852" i="15" s="1"/>
  <c r="AC606" i="15"/>
  <c r="AB606" i="15"/>
  <c r="AD606" i="15" s="1"/>
  <c r="AG483" i="15"/>
  <c r="AF483" i="15"/>
  <c r="AH483" i="15" s="1"/>
  <c r="Y729" i="15"/>
  <c r="X729" i="15"/>
  <c r="Z729" i="15" s="1"/>
  <c r="AK360" i="15"/>
  <c r="AJ360" i="15"/>
  <c r="AL360" i="15" s="1"/>
  <c r="Q975" i="15"/>
  <c r="P975" i="15"/>
  <c r="R975" i="15" s="1"/>
  <c r="Q976" i="15" l="1"/>
  <c r="P976" i="15"/>
  <c r="R976" i="15" s="1"/>
  <c r="Y730" i="15"/>
  <c r="X730" i="15"/>
  <c r="Z730" i="15" s="1"/>
  <c r="AC607" i="15"/>
  <c r="AB607" i="15"/>
  <c r="AD607" i="15" s="1"/>
  <c r="U853" i="15"/>
  <c r="T853" i="15"/>
  <c r="V853" i="15" s="1"/>
  <c r="AS115" i="15"/>
  <c r="AR115" i="15"/>
  <c r="AT115" i="15" s="1"/>
  <c r="AK361" i="15"/>
  <c r="AJ361" i="15"/>
  <c r="AL361" i="15" s="1"/>
  <c r="AG484" i="15"/>
  <c r="AF484" i="15"/>
  <c r="AH484" i="15" s="1"/>
  <c r="AO238" i="15"/>
  <c r="AN238" i="15"/>
  <c r="AP238" i="15" s="1"/>
  <c r="AO239" i="15" l="1"/>
  <c r="AN239" i="15"/>
  <c r="AP239" i="15" s="1"/>
  <c r="AK362" i="15"/>
  <c r="AJ362" i="15"/>
  <c r="AL362" i="15" s="1"/>
  <c r="U854" i="15"/>
  <c r="T854" i="15"/>
  <c r="V854" i="15" s="1"/>
  <c r="AC608" i="15"/>
  <c r="AB608" i="15"/>
  <c r="AD608" i="15" s="1"/>
  <c r="Q977" i="15"/>
  <c r="P977" i="15"/>
  <c r="R977" i="15" s="1"/>
  <c r="AG485" i="15"/>
  <c r="AF485" i="15"/>
  <c r="AH485" i="15" s="1"/>
  <c r="AS116" i="15"/>
  <c r="AR116" i="15"/>
  <c r="AT116" i="15" s="1"/>
  <c r="Y731" i="15"/>
  <c r="X731" i="15"/>
  <c r="Z731" i="15" s="1"/>
  <c r="Y732" i="15" l="1"/>
  <c r="X732" i="15"/>
  <c r="Z732" i="15" s="1"/>
  <c r="AG486" i="15"/>
  <c r="AF486" i="15"/>
  <c r="AH486" i="15" s="1"/>
  <c r="AC609" i="15"/>
  <c r="AB609" i="15"/>
  <c r="AD609" i="15" s="1"/>
  <c r="U855" i="15"/>
  <c r="T855" i="15"/>
  <c r="V855" i="15" s="1"/>
  <c r="AO240" i="15"/>
  <c r="AN240" i="15"/>
  <c r="AP240" i="15" s="1"/>
  <c r="AS117" i="15"/>
  <c r="AR117" i="15"/>
  <c r="AT117" i="15" s="1"/>
  <c r="Q978" i="15"/>
  <c r="P978" i="15"/>
  <c r="R978" i="15" s="1"/>
  <c r="AK363" i="15"/>
  <c r="AJ363" i="15"/>
  <c r="AL363" i="15" s="1"/>
  <c r="Q979" i="15" l="1"/>
  <c r="P979" i="15"/>
  <c r="R979" i="15" s="1"/>
  <c r="AO241" i="15"/>
  <c r="AN241" i="15"/>
  <c r="AP241" i="15" s="1"/>
  <c r="AC610" i="15"/>
  <c r="AB610" i="15"/>
  <c r="AD610" i="15" s="1"/>
  <c r="Y733" i="15"/>
  <c r="X733" i="15"/>
  <c r="Z733" i="15" s="1"/>
  <c r="AK364" i="15"/>
  <c r="AJ364" i="15"/>
  <c r="AL364" i="15" s="1"/>
  <c r="AS118" i="15"/>
  <c r="AR118" i="15"/>
  <c r="AT118" i="15" s="1"/>
  <c r="U856" i="15"/>
  <c r="T856" i="15"/>
  <c r="V856" i="15" s="1"/>
  <c r="AG487" i="15"/>
  <c r="AF487" i="15"/>
  <c r="AH487" i="15" s="1"/>
  <c r="U857" i="15" l="1"/>
  <c r="T857" i="15"/>
  <c r="V857" i="15" s="1"/>
  <c r="AS119" i="15"/>
  <c r="AR119" i="15"/>
  <c r="AT119" i="15" s="1"/>
  <c r="Y734" i="15"/>
  <c r="X734" i="15"/>
  <c r="Z734" i="15" s="1"/>
  <c r="AC611" i="15"/>
  <c r="AB611" i="15"/>
  <c r="AD611" i="15" s="1"/>
  <c r="Q980" i="15"/>
  <c r="P980" i="15"/>
  <c r="R980" i="15" s="1"/>
  <c r="AG488" i="15"/>
  <c r="AF488" i="15"/>
  <c r="AH488" i="15" s="1"/>
  <c r="AK365" i="15"/>
  <c r="AJ365" i="15"/>
  <c r="AL365" i="15" s="1"/>
  <c r="AO242" i="15"/>
  <c r="AN242" i="15"/>
  <c r="AP242" i="15" s="1"/>
  <c r="AO243" i="15" l="1"/>
  <c r="AN243" i="15"/>
  <c r="AP243" i="15" s="1"/>
  <c r="AG489" i="15"/>
  <c r="AF489" i="15"/>
  <c r="AH489" i="15" s="1"/>
  <c r="AC612" i="15"/>
  <c r="AB612" i="15"/>
  <c r="AD612" i="15" s="1"/>
  <c r="Y735" i="15"/>
  <c r="X735" i="15"/>
  <c r="Z735" i="15" s="1"/>
  <c r="U858" i="15"/>
  <c r="T858" i="15"/>
  <c r="V858" i="15" s="1"/>
  <c r="AK366" i="15"/>
  <c r="AJ366" i="15"/>
  <c r="AL366" i="15" s="1"/>
  <c r="Q981" i="15"/>
  <c r="P981" i="15"/>
  <c r="R981" i="15" s="1"/>
  <c r="AS120" i="15"/>
  <c r="AR120" i="15"/>
  <c r="AT120" i="15" s="1"/>
  <c r="AS121" i="15" l="1"/>
  <c r="AR121" i="15"/>
  <c r="AT121" i="15" s="1"/>
  <c r="AK367" i="15"/>
  <c r="AJ367" i="15"/>
  <c r="AL367" i="15" s="1"/>
  <c r="U859" i="15"/>
  <c r="T859" i="15"/>
  <c r="V859" i="15" s="1"/>
  <c r="AC613" i="15"/>
  <c r="AB613" i="15"/>
  <c r="AD613" i="15" s="1"/>
  <c r="AO244" i="15"/>
  <c r="AN244" i="15"/>
  <c r="AP244" i="15" s="1"/>
  <c r="Q982" i="15"/>
  <c r="P982" i="15"/>
  <c r="R982" i="15" s="1"/>
  <c r="Y736" i="15"/>
  <c r="X736" i="15"/>
  <c r="Z736" i="15" s="1"/>
  <c r="AG490" i="15"/>
  <c r="AF490" i="15"/>
  <c r="AH490" i="15" s="1"/>
  <c r="AG491" i="15" l="1"/>
  <c r="AF491" i="15"/>
  <c r="AH491" i="15" s="1"/>
  <c r="Q983" i="15"/>
  <c r="P983" i="15"/>
  <c r="R983" i="15" s="1"/>
  <c r="AC614" i="15"/>
  <c r="AB614" i="15"/>
  <c r="AD614" i="15" s="1"/>
  <c r="U860" i="15"/>
  <c r="T860" i="15"/>
  <c r="V860" i="15" s="1"/>
  <c r="AS122" i="15"/>
  <c r="AR122" i="15"/>
  <c r="AT122" i="15" s="1"/>
  <c r="Y737" i="15"/>
  <c r="X737" i="15"/>
  <c r="Z737" i="15" s="1"/>
  <c r="AO245" i="15"/>
  <c r="AN245" i="15"/>
  <c r="AP245" i="15" s="1"/>
  <c r="AK368" i="15"/>
  <c r="AJ368" i="15"/>
  <c r="AL368" i="15" s="1"/>
  <c r="AK369" i="15" l="1"/>
  <c r="AJ369" i="15"/>
  <c r="AL369" i="15" s="1"/>
  <c r="Y738" i="15"/>
  <c r="X738" i="15"/>
  <c r="Z738" i="15" s="1"/>
  <c r="U861" i="15"/>
  <c r="T861" i="15"/>
  <c r="V861" i="15" s="1"/>
  <c r="AC615" i="15"/>
  <c r="AB615" i="15"/>
  <c r="AD615" i="15" s="1"/>
  <c r="AG492" i="15"/>
  <c r="AF492" i="15"/>
  <c r="AH492" i="15" s="1"/>
  <c r="AO246" i="15"/>
  <c r="AN246" i="15"/>
  <c r="AP246" i="15" s="1"/>
  <c r="AS123" i="15"/>
  <c r="AR123" i="15"/>
  <c r="AT123" i="15" s="1"/>
  <c r="Q984" i="15"/>
  <c r="P984" i="15"/>
  <c r="R984" i="15" s="1"/>
  <c r="Q985" i="15" l="1"/>
  <c r="P985" i="15"/>
  <c r="R985" i="15" s="1"/>
  <c r="AO247" i="15"/>
  <c r="AN247" i="15"/>
  <c r="AP247" i="15" s="1"/>
  <c r="AC616" i="15"/>
  <c r="AB616" i="15"/>
  <c r="AD616" i="15" s="1"/>
  <c r="U862" i="15"/>
  <c r="T862" i="15"/>
  <c r="V862" i="15" s="1"/>
  <c r="AK370" i="15"/>
  <c r="AJ370" i="15"/>
  <c r="AL370" i="15" s="1"/>
  <c r="AS124" i="15"/>
  <c r="AR124" i="15"/>
  <c r="AT124" i="15" s="1"/>
  <c r="AG493" i="15"/>
  <c r="AF493" i="15"/>
  <c r="AH493" i="15" s="1"/>
  <c r="Y739" i="15"/>
  <c r="X739" i="15"/>
  <c r="Z739" i="15" s="1"/>
  <c r="AG494" i="15" l="1"/>
  <c r="AF494" i="15"/>
  <c r="AH494" i="15" s="1"/>
  <c r="AS125" i="15"/>
  <c r="AR125" i="15"/>
  <c r="AT125" i="15" s="1"/>
  <c r="U863" i="15"/>
  <c r="T863" i="15"/>
  <c r="V863" i="15" s="1"/>
  <c r="AC617" i="15"/>
  <c r="AB617" i="15"/>
  <c r="AD617" i="15" s="1"/>
  <c r="Q986" i="15"/>
  <c r="P986" i="15"/>
  <c r="R986" i="15" s="1"/>
  <c r="Y740" i="15"/>
  <c r="X740" i="15"/>
  <c r="Z740" i="15" s="1"/>
  <c r="AK371" i="15"/>
  <c r="AJ371" i="15"/>
  <c r="AL371" i="15" s="1"/>
  <c r="AO248" i="15"/>
  <c r="AN248" i="15"/>
  <c r="AP248" i="15" s="1"/>
  <c r="AK372" i="15" l="1"/>
  <c r="AJ372" i="15"/>
  <c r="AL372" i="15" s="1"/>
  <c r="Q987" i="15"/>
  <c r="P987" i="15"/>
  <c r="R987" i="15" s="1"/>
  <c r="U864" i="15"/>
  <c r="T864" i="15"/>
  <c r="V864" i="15" s="1"/>
  <c r="AG495" i="15"/>
  <c r="AF495" i="15"/>
  <c r="AH495" i="15" s="1"/>
  <c r="AO249" i="15"/>
  <c r="AN249" i="15"/>
  <c r="AP249" i="15" s="1"/>
  <c r="Y741" i="15"/>
  <c r="X741" i="15"/>
  <c r="Z741" i="15" s="1"/>
  <c r="AC618" i="15"/>
  <c r="AB618" i="15"/>
  <c r="AD618" i="15" s="1"/>
  <c r="AS126" i="15"/>
  <c r="AR126" i="15"/>
  <c r="AT126" i="15" s="1"/>
  <c r="AC619" i="15" l="1"/>
  <c r="AB619" i="15"/>
  <c r="AD619" i="15" s="1"/>
  <c r="Y742" i="15"/>
  <c r="X742" i="15"/>
  <c r="Z742" i="15" s="1"/>
  <c r="AG496" i="15"/>
  <c r="AF496" i="15"/>
  <c r="AH496" i="15" s="1"/>
  <c r="U865" i="15"/>
  <c r="T865" i="15"/>
  <c r="V865" i="15" s="1"/>
  <c r="AK373" i="15"/>
  <c r="AJ373" i="15"/>
  <c r="AL373" i="15" s="1"/>
  <c r="AS127" i="15"/>
  <c r="AR127" i="15"/>
  <c r="AT127" i="15" s="1"/>
  <c r="AO250" i="15"/>
  <c r="AN250" i="15"/>
  <c r="AP250" i="15" s="1"/>
  <c r="Q988" i="15"/>
  <c r="P988" i="15"/>
  <c r="R988" i="15" s="1"/>
  <c r="AO251" i="15" l="1"/>
  <c r="AN251" i="15"/>
  <c r="AP251" i="15" s="1"/>
  <c r="AS128" i="15"/>
  <c r="AR128" i="15"/>
  <c r="AT128" i="15" s="1"/>
  <c r="U866" i="15"/>
  <c r="T866" i="15"/>
  <c r="V866" i="15" s="1"/>
  <c r="AG497" i="15"/>
  <c r="AF497" i="15"/>
  <c r="AH497" i="15" s="1"/>
  <c r="AC620" i="15"/>
  <c r="AB620" i="15"/>
  <c r="AD620" i="15" s="1"/>
  <c r="Q989" i="15"/>
  <c r="P989" i="15"/>
  <c r="R989" i="15" s="1"/>
  <c r="AK374" i="15"/>
  <c r="AJ374" i="15"/>
  <c r="AL374" i="15" s="1"/>
  <c r="Y743" i="15"/>
  <c r="X743" i="15"/>
  <c r="Z743" i="15" s="1"/>
  <c r="Y744" i="15" l="1"/>
  <c r="X744" i="15"/>
  <c r="Z744" i="15" s="1"/>
  <c r="Q990" i="15"/>
  <c r="P990" i="15"/>
  <c r="R990" i="15" s="1"/>
  <c r="AG498" i="15"/>
  <c r="AF498" i="15"/>
  <c r="AH498" i="15" s="1"/>
  <c r="U867" i="15"/>
  <c r="T867" i="15"/>
  <c r="V867" i="15" s="1"/>
  <c r="AO252" i="15"/>
  <c r="AN252" i="15"/>
  <c r="AP252" i="15" s="1"/>
  <c r="AK375" i="15"/>
  <c r="AJ375" i="15"/>
  <c r="AL375" i="15" s="1"/>
  <c r="AC621" i="15"/>
  <c r="AB621" i="15"/>
  <c r="AD621" i="15" s="1"/>
  <c r="AS129" i="15"/>
  <c r="AR129" i="15"/>
  <c r="AT129" i="15" s="1"/>
  <c r="AS130" i="15" l="1"/>
  <c r="AR130" i="15"/>
  <c r="AT130" i="15" s="1"/>
  <c r="AK376" i="15"/>
  <c r="AJ376" i="15"/>
  <c r="AL376" i="15" s="1"/>
  <c r="U868" i="15"/>
  <c r="T868" i="15"/>
  <c r="V868" i="15" s="1"/>
  <c r="AG499" i="15"/>
  <c r="AF499" i="15"/>
  <c r="AH499" i="15" s="1"/>
  <c r="Y745" i="15"/>
  <c r="X745" i="15"/>
  <c r="Z745" i="15" s="1"/>
  <c r="AC622" i="15"/>
  <c r="AB622" i="15"/>
  <c r="AD622" i="15" s="1"/>
  <c r="AO253" i="15"/>
  <c r="AN253" i="15"/>
  <c r="AP253" i="15" s="1"/>
  <c r="Q991" i="15"/>
  <c r="P991" i="15"/>
  <c r="R991" i="15" s="1"/>
  <c r="Q992" i="15" l="1"/>
  <c r="P992" i="15"/>
  <c r="R992" i="15" s="1"/>
  <c r="AC623" i="15"/>
  <c r="AB623" i="15"/>
  <c r="AD623" i="15" s="1"/>
  <c r="AG500" i="15"/>
  <c r="AF500" i="15"/>
  <c r="AH500" i="15" s="1"/>
  <c r="U869" i="15"/>
  <c r="T869" i="15"/>
  <c r="V869" i="15" s="1"/>
  <c r="AS131" i="15"/>
  <c r="AR131" i="15"/>
  <c r="AT131" i="15" s="1"/>
  <c r="AO254" i="15"/>
  <c r="AN254" i="15"/>
  <c r="AP254" i="15" s="1"/>
  <c r="Y746" i="15"/>
  <c r="X746" i="15"/>
  <c r="Z746" i="15" s="1"/>
  <c r="AK377" i="15"/>
  <c r="AJ377" i="15"/>
  <c r="AL377" i="15" s="1"/>
  <c r="Y747" i="15" l="1"/>
  <c r="X747" i="15"/>
  <c r="Z747" i="15" s="1"/>
  <c r="AS132" i="15"/>
  <c r="AR132" i="15"/>
  <c r="AT132" i="15" s="1"/>
  <c r="AG501" i="15"/>
  <c r="AF501" i="15"/>
  <c r="AH501" i="15" s="1"/>
  <c r="Q993" i="15"/>
  <c r="P993" i="15"/>
  <c r="R993" i="15" s="1"/>
  <c r="AK378" i="15"/>
  <c r="AJ378" i="15"/>
  <c r="AL378" i="15" s="1"/>
  <c r="AO255" i="15"/>
  <c r="AN255" i="15"/>
  <c r="AP255" i="15" s="1"/>
  <c r="U870" i="15"/>
  <c r="T870" i="15"/>
  <c r="V870" i="15" s="1"/>
  <c r="AC624" i="15"/>
  <c r="AB624" i="15"/>
  <c r="AD624" i="15" s="1"/>
  <c r="AC625" i="15" l="1"/>
  <c r="AB625" i="15"/>
  <c r="AD625" i="15" s="1"/>
  <c r="AO256" i="15"/>
  <c r="AN256" i="15"/>
  <c r="AP256" i="15" s="1"/>
  <c r="Q994" i="15"/>
  <c r="P994" i="15"/>
  <c r="R994" i="15" s="1"/>
  <c r="AG502" i="15"/>
  <c r="AF502" i="15"/>
  <c r="AH502" i="15" s="1"/>
  <c r="Y748" i="15"/>
  <c r="X748" i="15"/>
  <c r="Z748" i="15" s="1"/>
  <c r="U871" i="15"/>
  <c r="T871" i="15"/>
  <c r="V871" i="15" s="1"/>
  <c r="AK379" i="15"/>
  <c r="AJ379" i="15"/>
  <c r="AL379" i="15" s="1"/>
  <c r="AS133" i="15"/>
  <c r="AR133" i="15"/>
  <c r="AT133" i="15" s="1"/>
  <c r="AK380" i="15" l="1"/>
  <c r="AJ380" i="15"/>
  <c r="AL380" i="15" s="1"/>
  <c r="U872" i="15"/>
  <c r="T872" i="15"/>
  <c r="V872" i="15" s="1"/>
  <c r="Y749" i="15"/>
  <c r="X749" i="15"/>
  <c r="Z749" i="15" s="1"/>
  <c r="Q995" i="15"/>
  <c r="P995" i="15"/>
  <c r="R995" i="15" s="1"/>
  <c r="AO257" i="15"/>
  <c r="AN257" i="15"/>
  <c r="AP257" i="15" s="1"/>
  <c r="AC626" i="15"/>
  <c r="AB626" i="15"/>
  <c r="AD626" i="15" s="1"/>
  <c r="AS134" i="15"/>
  <c r="AR134" i="15"/>
  <c r="AT134" i="15" s="1"/>
  <c r="AG503" i="15"/>
  <c r="AF503" i="15"/>
  <c r="AH503" i="15" s="1"/>
  <c r="AS135" i="15" l="1"/>
  <c r="AR135" i="15"/>
  <c r="AT135" i="15" s="1"/>
  <c r="AO258" i="15"/>
  <c r="AN258" i="15"/>
  <c r="AP258" i="15" s="1"/>
  <c r="Y750" i="15"/>
  <c r="X750" i="15"/>
  <c r="Z750" i="15" s="1"/>
  <c r="AK381" i="15"/>
  <c r="AJ381" i="15"/>
  <c r="AL381" i="15" s="1"/>
  <c r="AG504" i="15"/>
  <c r="AF504" i="15"/>
  <c r="AH504" i="15" s="1"/>
  <c r="AC627" i="15"/>
  <c r="AB627" i="15"/>
  <c r="AD627" i="15" s="1"/>
  <c r="Q996" i="15"/>
  <c r="P996" i="15"/>
  <c r="R996" i="15" s="1"/>
  <c r="U873" i="15"/>
  <c r="T873" i="15"/>
  <c r="V873" i="15" s="1"/>
  <c r="U874" i="15" l="1"/>
  <c r="T874" i="15"/>
  <c r="V874" i="15" s="1"/>
  <c r="AC628" i="15"/>
  <c r="AB628" i="15"/>
  <c r="AD628" i="15" s="1"/>
  <c r="AG505" i="15"/>
  <c r="AF505" i="15"/>
  <c r="AH505" i="15" s="1"/>
  <c r="Y751" i="15"/>
  <c r="X751" i="15"/>
  <c r="Z751" i="15" s="1"/>
  <c r="AS136" i="15"/>
  <c r="AR136" i="15"/>
  <c r="AT136" i="15" s="1"/>
  <c r="Q997" i="15"/>
  <c r="P997" i="15"/>
  <c r="R997" i="15" s="1"/>
  <c r="AK382" i="15"/>
  <c r="AJ382" i="15"/>
  <c r="AL382" i="15" s="1"/>
  <c r="AO259" i="15"/>
  <c r="AN259" i="15"/>
  <c r="AP259" i="15" s="1"/>
  <c r="AO260" i="15" l="1"/>
  <c r="AN260" i="15"/>
  <c r="AP260" i="15" s="1"/>
  <c r="Q998" i="15"/>
  <c r="P998" i="15"/>
  <c r="R998" i="15" s="1"/>
  <c r="Y752" i="15"/>
  <c r="X752" i="15"/>
  <c r="Z752" i="15" s="1"/>
  <c r="AG506" i="15"/>
  <c r="AF506" i="15"/>
  <c r="AH506" i="15" s="1"/>
  <c r="U875" i="15"/>
  <c r="T875" i="15"/>
  <c r="V875" i="15" s="1"/>
  <c r="AK383" i="15"/>
  <c r="AJ383" i="15"/>
  <c r="AL383" i="15" s="1"/>
  <c r="AS137" i="15"/>
  <c r="AR137" i="15"/>
  <c r="AT137" i="15" s="1"/>
  <c r="AC629" i="15"/>
  <c r="AB629" i="15"/>
  <c r="AD629" i="15" s="1"/>
  <c r="AC630" i="15" l="1"/>
  <c r="AB630" i="15"/>
  <c r="AD630" i="15" s="1"/>
  <c r="AK384" i="15"/>
  <c r="AJ384" i="15"/>
  <c r="AL384" i="15" s="1"/>
  <c r="AG507" i="15"/>
  <c r="AF507" i="15"/>
  <c r="AH507" i="15" s="1"/>
  <c r="Y753" i="15"/>
  <c r="X753" i="15"/>
  <c r="Z753" i="15" s="1"/>
  <c r="AO261" i="15"/>
  <c r="AN261" i="15"/>
  <c r="AP261" i="15" s="1"/>
  <c r="AS138" i="15"/>
  <c r="AR138" i="15"/>
  <c r="AT138" i="15" s="1"/>
  <c r="U876" i="15"/>
  <c r="T876" i="15"/>
  <c r="V876" i="15" s="1"/>
  <c r="Q999" i="15"/>
  <c r="P999" i="15"/>
  <c r="R999" i="15" s="1"/>
  <c r="U877" i="15" l="1"/>
  <c r="T877" i="15"/>
  <c r="V877" i="15" s="1"/>
  <c r="AO262" i="15"/>
  <c r="AN262" i="15"/>
  <c r="AP262" i="15" s="1"/>
  <c r="Y754" i="15"/>
  <c r="X754" i="15"/>
  <c r="Z754" i="15" s="1"/>
  <c r="AG508" i="15"/>
  <c r="AF508" i="15"/>
  <c r="AH508" i="15" s="1"/>
  <c r="AC631" i="15"/>
  <c r="AB631" i="15"/>
  <c r="AD631" i="15" s="1"/>
  <c r="Q1000" i="15"/>
  <c r="P1000" i="15"/>
  <c r="R1000" i="15" s="1"/>
  <c r="AS139" i="15"/>
  <c r="AR139" i="15"/>
  <c r="AT139" i="15" s="1"/>
  <c r="AK385" i="15"/>
  <c r="AJ385" i="15"/>
  <c r="AL385" i="15" s="1"/>
  <c r="AS140" i="15" l="1"/>
  <c r="AR140" i="15"/>
  <c r="AT140" i="15" s="1"/>
  <c r="Q1001" i="15"/>
  <c r="P1001" i="15"/>
  <c r="R1001" i="15" s="1"/>
  <c r="AG509" i="15"/>
  <c r="AF509" i="15"/>
  <c r="AH509" i="15" s="1"/>
  <c r="Y755" i="15"/>
  <c r="X755" i="15"/>
  <c r="Z755" i="15" s="1"/>
  <c r="U878" i="15"/>
  <c r="T878" i="15"/>
  <c r="V878" i="15" s="1"/>
  <c r="AK386" i="15"/>
  <c r="AJ386" i="15"/>
  <c r="AL386" i="15" s="1"/>
  <c r="AC632" i="15"/>
  <c r="AB632" i="15"/>
  <c r="AD632" i="15" s="1"/>
  <c r="AO263" i="15"/>
  <c r="AN263" i="15"/>
  <c r="AP263" i="15" s="1"/>
  <c r="AC633" i="15" l="1"/>
  <c r="AB633" i="15"/>
  <c r="AD633" i="15" s="1"/>
  <c r="AK387" i="15"/>
  <c r="AJ387" i="15"/>
  <c r="AL387" i="15" s="1"/>
  <c r="Y756" i="15"/>
  <c r="X756" i="15"/>
  <c r="Z756" i="15" s="1"/>
  <c r="AG510" i="15"/>
  <c r="AF510" i="15"/>
  <c r="AH510" i="15" s="1"/>
  <c r="AS141" i="15"/>
  <c r="AR141" i="15"/>
  <c r="AT141" i="15" s="1"/>
  <c r="AO264" i="15"/>
  <c r="AN264" i="15"/>
  <c r="AP264" i="15" s="1"/>
  <c r="U879" i="15"/>
  <c r="T879" i="15"/>
  <c r="V879" i="15" s="1"/>
  <c r="Q1002" i="15"/>
  <c r="P1002" i="15"/>
  <c r="R1002" i="15" s="1"/>
  <c r="Q1003" i="15" l="1"/>
  <c r="P1003" i="15"/>
  <c r="R1003" i="15" s="1"/>
  <c r="U880" i="15"/>
  <c r="T880" i="15"/>
  <c r="V880" i="15" s="1"/>
  <c r="AS142" i="15"/>
  <c r="AR142" i="15"/>
  <c r="AT142" i="15" s="1"/>
  <c r="AG511" i="15"/>
  <c r="AF511" i="15"/>
  <c r="AH511" i="15" s="1"/>
  <c r="Y757" i="15"/>
  <c r="X757" i="15"/>
  <c r="Z757" i="15" s="1"/>
  <c r="AC634" i="15"/>
  <c r="AB634" i="15"/>
  <c r="AD634" i="15" s="1"/>
  <c r="AO265" i="15"/>
  <c r="AN265" i="15"/>
  <c r="AP265" i="15" s="1"/>
  <c r="AK388" i="15"/>
  <c r="AJ388" i="15"/>
  <c r="AL388" i="15" s="1"/>
  <c r="AK389" i="15" l="1"/>
  <c r="AJ389" i="15"/>
  <c r="AL389" i="15" s="1"/>
  <c r="AC635" i="15"/>
  <c r="AB635" i="15"/>
  <c r="AD635" i="15" s="1"/>
  <c r="AG512" i="15"/>
  <c r="AF512" i="15"/>
  <c r="AH512" i="15" s="1"/>
  <c r="AS143" i="15"/>
  <c r="AR143" i="15"/>
  <c r="AT143" i="15" s="1"/>
  <c r="Q1004" i="15"/>
  <c r="P1004" i="15"/>
  <c r="R1004" i="15" s="1"/>
  <c r="AO266" i="15"/>
  <c r="AN266" i="15"/>
  <c r="AP266" i="15" s="1"/>
  <c r="Y758" i="15"/>
  <c r="X758" i="15"/>
  <c r="Z758" i="15" s="1"/>
  <c r="U881" i="15"/>
  <c r="T881" i="15"/>
  <c r="V881" i="15" s="1"/>
  <c r="U882" i="15" l="1"/>
  <c r="T882" i="15"/>
  <c r="V882" i="15" s="1"/>
  <c r="Y759" i="15"/>
  <c r="X759" i="15"/>
  <c r="Z759" i="15" s="1"/>
  <c r="AO267" i="15"/>
  <c r="AN267" i="15"/>
  <c r="AP267" i="15" s="1"/>
  <c r="Q1005" i="15"/>
  <c r="P1005" i="15"/>
  <c r="R1005" i="15" s="1"/>
  <c r="AS144" i="15"/>
  <c r="AR144" i="15"/>
  <c r="AT144" i="15" s="1"/>
  <c r="AG513" i="15"/>
  <c r="AF513" i="15"/>
  <c r="AH513" i="15" s="1"/>
  <c r="AC636" i="15"/>
  <c r="AB636" i="15"/>
  <c r="AD636" i="15" s="1"/>
  <c r="AK390" i="15"/>
  <c r="AJ390" i="15"/>
  <c r="AL390" i="15" s="1"/>
  <c r="AK391" i="15" l="1"/>
  <c r="AJ391" i="15"/>
  <c r="AL391" i="15" s="1"/>
  <c r="AG514" i="15"/>
  <c r="AF514" i="15"/>
  <c r="AH514" i="15" s="1"/>
  <c r="AS145" i="15"/>
  <c r="AR145" i="15"/>
  <c r="AT145" i="15" s="1"/>
  <c r="Q1006" i="15"/>
  <c r="P1006" i="15"/>
  <c r="R1006" i="15" s="1"/>
  <c r="AO268" i="15"/>
  <c r="AN268" i="15"/>
  <c r="AP268" i="15" s="1"/>
  <c r="U883" i="15"/>
  <c r="T883" i="15"/>
  <c r="V883" i="15" s="1"/>
  <c r="AC637" i="15"/>
  <c r="AB637" i="15"/>
  <c r="AD637" i="15" s="1"/>
  <c r="Y760" i="15"/>
  <c r="X760" i="15"/>
  <c r="Z760" i="15" s="1"/>
  <c r="Y761" i="15" l="1"/>
  <c r="X761" i="15"/>
  <c r="Z761" i="15" s="1"/>
  <c r="AC638" i="15"/>
  <c r="AB638" i="15"/>
  <c r="AD638" i="15" s="1"/>
  <c r="U884" i="15"/>
  <c r="T884" i="15"/>
  <c r="V884" i="15" s="1"/>
  <c r="Q1007" i="15"/>
  <c r="P1007" i="15"/>
  <c r="R1007" i="15" s="1"/>
  <c r="AS146" i="15"/>
  <c r="AR146" i="15"/>
  <c r="AT146" i="15" s="1"/>
  <c r="AK392" i="15"/>
  <c r="AJ392" i="15"/>
  <c r="AL392" i="15" s="1"/>
  <c r="AO269" i="15"/>
  <c r="AN269" i="15"/>
  <c r="AP269" i="15" s="1"/>
  <c r="AG515" i="15"/>
  <c r="AF515" i="15"/>
  <c r="AH515" i="15" s="1"/>
  <c r="AG516" i="15" l="1"/>
  <c r="AF516" i="15"/>
  <c r="AH516" i="15" s="1"/>
  <c r="AO270" i="15"/>
  <c r="AN270" i="15"/>
  <c r="AP270" i="15" s="1"/>
  <c r="K13" i="15"/>
  <c r="AS147" i="15"/>
  <c r="AR147" i="15"/>
  <c r="AT147" i="15" s="1"/>
  <c r="Q1008" i="15"/>
  <c r="P1008" i="15"/>
  <c r="R1008" i="15" s="1"/>
  <c r="U885" i="15"/>
  <c r="T885" i="15"/>
  <c r="V885" i="15" s="1"/>
  <c r="Y762" i="15"/>
  <c r="X762" i="15"/>
  <c r="Z762" i="15" s="1"/>
  <c r="AK393" i="15"/>
  <c r="AJ393" i="15"/>
  <c r="AL393" i="15" s="1"/>
  <c r="AC639" i="15"/>
  <c r="AB639" i="15"/>
  <c r="AD639" i="15" s="1"/>
  <c r="AK394" i="15" l="1"/>
  <c r="AJ394" i="15"/>
  <c r="AL394" i="15" s="1"/>
  <c r="AO271" i="15"/>
  <c r="AN271" i="15"/>
  <c r="AP271" i="15" s="1"/>
  <c r="AG517" i="15"/>
  <c r="AF517" i="15"/>
  <c r="AH517" i="15" s="1"/>
  <c r="AC640" i="15"/>
  <c r="AB640" i="15"/>
  <c r="AD640" i="15" s="1"/>
  <c r="Y763" i="15"/>
  <c r="X763" i="15"/>
  <c r="Z763" i="15" s="1"/>
  <c r="U886" i="15"/>
  <c r="T886" i="15"/>
  <c r="V886" i="15" s="1"/>
  <c r="Q1009" i="15"/>
  <c r="P1009" i="15"/>
  <c r="R1009" i="15" s="1"/>
  <c r="AS148" i="15"/>
  <c r="AR148" i="15"/>
  <c r="AT148" i="15" s="1"/>
  <c r="H14" i="15"/>
  <c r="L13" i="15"/>
  <c r="M13" i="15"/>
  <c r="F14" i="15"/>
  <c r="E14" i="15" s="1"/>
  <c r="D14" i="15"/>
  <c r="C14" i="15" s="1"/>
  <c r="AS149" i="15" l="1"/>
  <c r="AR149" i="15"/>
  <c r="AT149" i="15" s="1"/>
  <c r="Q1010" i="15"/>
  <c r="P1010" i="15"/>
  <c r="R1010" i="15" s="1"/>
  <c r="Y764" i="15"/>
  <c r="X764" i="15"/>
  <c r="Z764" i="15" s="1"/>
  <c r="AC641" i="15"/>
  <c r="AB641" i="15"/>
  <c r="AD641" i="15" s="1"/>
  <c r="AG518" i="15"/>
  <c r="AF518" i="15"/>
  <c r="AH518" i="15" s="1"/>
  <c r="AK395" i="15"/>
  <c r="AJ395" i="15"/>
  <c r="AL395" i="15" s="1"/>
  <c r="U887" i="15"/>
  <c r="T887" i="15"/>
  <c r="V887" i="15" s="1"/>
  <c r="AO272" i="15"/>
  <c r="AN272" i="15"/>
  <c r="AP272" i="15" s="1"/>
  <c r="AU27" i="15"/>
  <c r="J14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I14" i="15"/>
  <c r="AU147" i="15"/>
  <c r="AU148" i="15"/>
  <c r="AU149" i="15"/>
  <c r="AU150" i="15"/>
  <c r="AU151" i="15"/>
  <c r="AU152" i="15"/>
  <c r="AU153" i="15"/>
  <c r="AU154" i="15"/>
  <c r="AU155" i="15"/>
  <c r="AU156" i="15"/>
  <c r="AU157" i="15"/>
  <c r="AU158" i="15"/>
  <c r="AU159" i="15"/>
  <c r="AU160" i="15"/>
  <c r="AU161" i="15"/>
  <c r="AU162" i="15"/>
  <c r="AU163" i="15"/>
  <c r="AU164" i="15"/>
  <c r="AU165" i="15"/>
  <c r="AU166" i="15"/>
  <c r="AU167" i="15"/>
  <c r="AU168" i="15"/>
  <c r="AU169" i="15"/>
  <c r="AU170" i="15"/>
  <c r="AU171" i="15"/>
  <c r="AU172" i="15"/>
  <c r="AU173" i="15"/>
  <c r="AU174" i="15"/>
  <c r="AU175" i="15"/>
  <c r="AU176" i="15"/>
  <c r="AU177" i="15"/>
  <c r="AU178" i="15"/>
  <c r="AU179" i="15"/>
  <c r="AU180" i="15"/>
  <c r="AU181" i="15"/>
  <c r="AU182" i="15"/>
  <c r="AU183" i="15"/>
  <c r="AU184" i="15"/>
  <c r="AU185" i="15"/>
  <c r="AU186" i="15"/>
  <c r="AU187" i="15"/>
  <c r="AU188" i="15"/>
  <c r="AU189" i="15"/>
  <c r="AU190" i="15"/>
  <c r="AU191" i="15"/>
  <c r="AU192" i="15"/>
  <c r="AU193" i="15"/>
  <c r="AU194" i="15"/>
  <c r="AU195" i="15"/>
  <c r="AU196" i="15"/>
  <c r="AU197" i="15"/>
  <c r="AU198" i="15"/>
  <c r="AU199" i="15"/>
  <c r="AU200" i="15"/>
  <c r="AU201" i="15"/>
  <c r="AU202" i="15"/>
  <c r="AU203" i="15"/>
  <c r="AU204" i="15"/>
  <c r="AU205" i="15"/>
  <c r="AU206" i="15"/>
  <c r="AU207" i="15"/>
  <c r="AU208" i="15"/>
  <c r="AU209" i="15"/>
  <c r="AU210" i="15"/>
  <c r="AU211" i="15"/>
  <c r="AU212" i="15"/>
  <c r="AU213" i="15"/>
  <c r="AU214" i="15"/>
  <c r="AU215" i="15"/>
  <c r="AU216" i="15"/>
  <c r="AU217" i="15"/>
  <c r="AU218" i="15"/>
  <c r="AU219" i="15"/>
  <c r="AU220" i="15"/>
  <c r="AU221" i="15"/>
  <c r="AU222" i="15"/>
  <c r="AU223" i="15"/>
  <c r="AU224" i="15"/>
  <c r="AU225" i="15"/>
  <c r="AU226" i="15"/>
  <c r="AU227" i="15"/>
  <c r="AU228" i="15"/>
  <c r="AU229" i="15"/>
  <c r="AU230" i="15"/>
  <c r="AU231" i="15"/>
  <c r="AU232" i="15"/>
  <c r="AU233" i="15"/>
  <c r="AU234" i="15"/>
  <c r="AU235" i="15"/>
  <c r="AU236" i="15"/>
  <c r="AU237" i="15"/>
  <c r="AU238" i="15"/>
  <c r="AU239" i="15"/>
  <c r="AU240" i="15"/>
  <c r="AU241" i="15"/>
  <c r="AU242" i="15"/>
  <c r="AU243" i="15"/>
  <c r="AU244" i="15"/>
  <c r="AU245" i="15"/>
  <c r="AU246" i="15"/>
  <c r="AU247" i="15"/>
  <c r="AU248" i="15"/>
  <c r="AU249" i="15"/>
  <c r="AU250" i="15"/>
  <c r="AU251" i="15"/>
  <c r="AU252" i="15"/>
  <c r="AU253" i="15"/>
  <c r="AU254" i="15"/>
  <c r="AU255" i="15"/>
  <c r="AU256" i="15"/>
  <c r="AU257" i="15"/>
  <c r="AU258" i="15"/>
  <c r="AU259" i="15"/>
  <c r="AU260" i="15"/>
  <c r="AU261" i="15"/>
  <c r="AU262" i="15"/>
  <c r="AU263" i="15"/>
  <c r="AU264" i="15"/>
  <c r="AU265" i="15"/>
  <c r="AU266" i="15"/>
  <c r="AU267" i="15"/>
  <c r="AU268" i="15"/>
  <c r="AU269" i="15"/>
  <c r="AU270" i="15"/>
  <c r="AU271" i="15"/>
  <c r="AU272" i="15"/>
  <c r="AU273" i="15"/>
  <c r="AU274" i="15"/>
  <c r="AU275" i="15"/>
  <c r="AU276" i="15"/>
  <c r="AU277" i="15"/>
  <c r="AU278" i="15"/>
  <c r="AU279" i="15"/>
  <c r="AU280" i="15"/>
  <c r="AU281" i="15"/>
  <c r="AU282" i="15"/>
  <c r="AU283" i="15"/>
  <c r="AU284" i="15"/>
  <c r="AU285" i="15"/>
  <c r="AU286" i="15"/>
  <c r="AU287" i="15"/>
  <c r="AU288" i="15"/>
  <c r="AU289" i="15"/>
  <c r="AU290" i="15"/>
  <c r="AU291" i="15"/>
  <c r="AU292" i="15"/>
  <c r="AU293" i="15"/>
  <c r="AU294" i="15"/>
  <c r="AU295" i="15"/>
  <c r="AU296" i="15"/>
  <c r="AU297" i="15"/>
  <c r="AU298" i="15"/>
  <c r="AU299" i="15"/>
  <c r="AU300" i="15"/>
  <c r="AU301" i="15"/>
  <c r="AU302" i="15"/>
  <c r="AU303" i="15"/>
  <c r="AU304" i="15"/>
  <c r="AU305" i="15"/>
  <c r="AU306" i="15"/>
  <c r="AU307" i="15"/>
  <c r="AU308" i="15"/>
  <c r="AU309" i="15"/>
  <c r="AU310" i="15"/>
  <c r="AU311" i="15"/>
  <c r="AU312" i="15"/>
  <c r="AU313" i="15"/>
  <c r="AU314" i="15"/>
  <c r="AU315" i="15"/>
  <c r="AU316" i="15"/>
  <c r="AU317" i="15"/>
  <c r="AU318" i="15"/>
  <c r="AU319" i="15"/>
  <c r="AU320" i="15"/>
  <c r="AU321" i="15"/>
  <c r="AU322" i="15"/>
  <c r="AU323" i="15"/>
  <c r="AU324" i="15"/>
  <c r="AU325" i="15"/>
  <c r="AU326" i="15"/>
  <c r="AU327" i="15"/>
  <c r="AU328" i="15"/>
  <c r="AU329" i="15"/>
  <c r="AU330" i="15"/>
  <c r="AU331" i="15"/>
  <c r="AU332" i="15"/>
  <c r="AU333" i="15"/>
  <c r="AU334" i="15"/>
  <c r="AU335" i="15"/>
  <c r="AU336" i="15"/>
  <c r="AU337" i="15"/>
  <c r="AU338" i="15"/>
  <c r="AU339" i="15"/>
  <c r="AU340" i="15"/>
  <c r="AU341" i="15"/>
  <c r="AU342" i="15"/>
  <c r="AU343" i="15"/>
  <c r="AU344" i="15"/>
  <c r="AU345" i="15"/>
  <c r="AU346" i="15"/>
  <c r="AU347" i="15"/>
  <c r="AU348" i="15"/>
  <c r="AU349" i="15"/>
  <c r="AU350" i="15"/>
  <c r="AU351" i="15"/>
  <c r="AU352" i="15"/>
  <c r="AU353" i="15"/>
  <c r="AU354" i="15"/>
  <c r="AU355" i="15"/>
  <c r="AU356" i="15"/>
  <c r="AU357" i="15"/>
  <c r="AU358" i="15"/>
  <c r="AU359" i="15"/>
  <c r="AU360" i="15"/>
  <c r="AU361" i="15"/>
  <c r="AU362" i="15"/>
  <c r="AU363" i="15"/>
  <c r="AU364" i="15"/>
  <c r="AU365" i="15"/>
  <c r="AU366" i="15"/>
  <c r="AU367" i="15"/>
  <c r="AU368" i="15"/>
  <c r="AU369" i="15"/>
  <c r="AU370" i="15"/>
  <c r="AU371" i="15"/>
  <c r="AU372" i="15"/>
  <c r="AU373" i="15"/>
  <c r="AU374" i="15"/>
  <c r="AU375" i="15"/>
  <c r="AU376" i="15"/>
  <c r="AU377" i="15"/>
  <c r="AU378" i="15"/>
  <c r="AU379" i="15"/>
  <c r="AU380" i="15"/>
  <c r="AU381" i="15"/>
  <c r="AU382" i="15"/>
  <c r="AU383" i="15"/>
  <c r="AU384" i="15"/>
  <c r="AU385" i="15"/>
  <c r="AU386" i="15"/>
  <c r="AU387" i="15"/>
  <c r="AU388" i="15"/>
  <c r="AU389" i="15"/>
  <c r="AU390" i="15"/>
  <c r="AU391" i="15"/>
  <c r="AU392" i="15"/>
  <c r="AU393" i="15"/>
  <c r="AU394" i="15"/>
  <c r="AU395" i="15"/>
  <c r="AU396" i="15"/>
  <c r="AU397" i="15"/>
  <c r="AU398" i="15"/>
  <c r="AU399" i="15"/>
  <c r="AU400" i="15"/>
  <c r="AU401" i="15"/>
  <c r="AU402" i="15"/>
  <c r="AU403" i="15"/>
  <c r="AU404" i="15"/>
  <c r="AU405" i="15"/>
  <c r="AU406" i="15"/>
  <c r="AU407" i="15"/>
  <c r="AU408" i="15"/>
  <c r="AU409" i="15"/>
  <c r="AU410" i="15"/>
  <c r="AU411" i="15"/>
  <c r="AU412" i="15"/>
  <c r="AU413" i="15"/>
  <c r="AU414" i="15"/>
  <c r="AU415" i="15"/>
  <c r="AU416" i="15"/>
  <c r="AU417" i="15"/>
  <c r="AU418" i="15"/>
  <c r="AU419" i="15"/>
  <c r="AU420" i="15"/>
  <c r="AU421" i="15"/>
  <c r="AU422" i="15"/>
  <c r="AU423" i="15"/>
  <c r="AU424" i="15"/>
  <c r="AU425" i="15"/>
  <c r="AU426" i="15"/>
  <c r="AU427" i="15"/>
  <c r="AU428" i="15"/>
  <c r="AU429" i="15"/>
  <c r="AU430" i="15"/>
  <c r="AU431" i="15"/>
  <c r="AU432" i="15"/>
  <c r="AU433" i="15"/>
  <c r="AU434" i="15"/>
  <c r="AU435" i="15"/>
  <c r="AU436" i="15"/>
  <c r="AU437" i="15"/>
  <c r="AU438" i="15"/>
  <c r="AU439" i="15"/>
  <c r="AU440" i="15"/>
  <c r="AU441" i="15"/>
  <c r="AU442" i="15"/>
  <c r="AU443" i="15"/>
  <c r="AU444" i="15"/>
  <c r="AU445" i="15"/>
  <c r="AU446" i="15"/>
  <c r="AU447" i="15"/>
  <c r="AU448" i="15"/>
  <c r="AU449" i="15"/>
  <c r="AU450" i="15"/>
  <c r="AU451" i="15"/>
  <c r="AU452" i="15"/>
  <c r="AU453" i="15"/>
  <c r="AU454" i="15"/>
  <c r="AU455" i="15"/>
  <c r="AU456" i="15"/>
  <c r="AU457" i="15"/>
  <c r="AU458" i="15"/>
  <c r="AU459" i="15"/>
  <c r="AU460" i="15"/>
  <c r="AU461" i="15"/>
  <c r="AU462" i="15"/>
  <c r="AU463" i="15"/>
  <c r="AU464" i="15"/>
  <c r="AU465" i="15"/>
  <c r="AU466" i="15"/>
  <c r="AU467" i="15"/>
  <c r="AU468" i="15"/>
  <c r="AU469" i="15"/>
  <c r="AU470" i="15"/>
  <c r="AU471" i="15"/>
  <c r="AU472" i="15"/>
  <c r="AU473" i="15"/>
  <c r="AU474" i="15"/>
  <c r="AU475" i="15"/>
  <c r="AU476" i="15"/>
  <c r="AU477" i="15"/>
  <c r="AU478" i="15"/>
  <c r="AU479" i="15"/>
  <c r="AU480" i="15"/>
  <c r="AU481" i="15"/>
  <c r="AU482" i="15"/>
  <c r="AU483" i="15"/>
  <c r="AU484" i="15"/>
  <c r="AU485" i="15"/>
  <c r="AU486" i="15"/>
  <c r="AU487" i="15"/>
  <c r="AU488" i="15"/>
  <c r="AU489" i="15"/>
  <c r="AU490" i="15"/>
  <c r="AU491" i="15"/>
  <c r="AU492" i="15"/>
  <c r="AU493" i="15"/>
  <c r="AU494" i="15"/>
  <c r="AU495" i="15"/>
  <c r="AU496" i="15"/>
  <c r="AU497" i="15"/>
  <c r="AU498" i="15"/>
  <c r="AU499" i="15"/>
  <c r="AU500" i="15"/>
  <c r="AU501" i="15"/>
  <c r="AU502" i="15"/>
  <c r="AU503" i="15"/>
  <c r="AU504" i="15"/>
  <c r="AU505" i="15"/>
  <c r="AU506" i="15"/>
  <c r="AU507" i="15"/>
  <c r="AU508" i="15"/>
  <c r="AU509" i="15"/>
  <c r="AU510" i="15"/>
  <c r="AU511" i="15"/>
  <c r="AU512" i="15"/>
  <c r="AU513" i="15"/>
  <c r="AU514" i="15"/>
  <c r="AU515" i="15"/>
  <c r="AU516" i="15"/>
  <c r="AU517" i="15"/>
  <c r="AU518" i="15"/>
  <c r="AU519" i="15"/>
  <c r="AU520" i="15"/>
  <c r="AU521" i="15"/>
  <c r="AU522" i="15"/>
  <c r="AU523" i="15"/>
  <c r="AU524" i="15"/>
  <c r="AU525" i="15"/>
  <c r="AU526" i="15"/>
  <c r="AU527" i="15"/>
  <c r="AU528" i="15"/>
  <c r="AU529" i="15"/>
  <c r="AU530" i="15"/>
  <c r="AU531" i="15"/>
  <c r="AU532" i="15"/>
  <c r="AU533" i="15"/>
  <c r="AU534" i="15"/>
  <c r="AU535" i="15"/>
  <c r="AU536" i="15"/>
  <c r="AU537" i="15"/>
  <c r="AU538" i="15"/>
  <c r="AU539" i="15"/>
  <c r="AU540" i="15"/>
  <c r="AU541" i="15"/>
  <c r="AU542" i="15"/>
  <c r="AU543" i="15"/>
  <c r="AU544" i="15"/>
  <c r="AU545" i="15"/>
  <c r="AU546" i="15"/>
  <c r="AU547" i="15"/>
  <c r="AU548" i="15"/>
  <c r="AU549" i="15"/>
  <c r="AU550" i="15"/>
  <c r="AU551" i="15"/>
  <c r="AU552" i="15"/>
  <c r="AU553" i="15"/>
  <c r="AU554" i="15"/>
  <c r="AU555" i="15"/>
  <c r="AU556" i="15"/>
  <c r="AU557" i="15"/>
  <c r="AU558" i="15"/>
  <c r="AU559" i="15"/>
  <c r="AU560" i="15"/>
  <c r="AU561" i="15"/>
  <c r="AU562" i="15"/>
  <c r="AU563" i="15"/>
  <c r="AU564" i="15"/>
  <c r="AU565" i="15"/>
  <c r="AU566" i="15"/>
  <c r="AU567" i="15"/>
  <c r="AU568" i="15"/>
  <c r="AU569" i="15"/>
  <c r="AU570" i="15"/>
  <c r="AU571" i="15"/>
  <c r="AU572" i="15"/>
  <c r="AU573" i="15"/>
  <c r="AU574" i="15"/>
  <c r="AU575" i="15"/>
  <c r="AU576" i="15"/>
  <c r="AU577" i="15"/>
  <c r="AU578" i="15"/>
  <c r="AU579" i="15"/>
  <c r="AU580" i="15"/>
  <c r="AU581" i="15"/>
  <c r="AU582" i="15"/>
  <c r="AU583" i="15"/>
  <c r="AU584" i="15"/>
  <c r="AU585" i="15"/>
  <c r="AU586" i="15"/>
  <c r="AU587" i="15"/>
  <c r="AU588" i="15"/>
  <c r="AU589" i="15"/>
  <c r="AU590" i="15"/>
  <c r="AU591" i="15"/>
  <c r="AU592" i="15"/>
  <c r="AU593" i="15"/>
  <c r="AU594" i="15"/>
  <c r="AU595" i="15"/>
  <c r="AU596" i="15"/>
  <c r="AU597" i="15"/>
  <c r="AU598" i="15"/>
  <c r="AU599" i="15"/>
  <c r="AU600" i="15"/>
  <c r="AU601" i="15"/>
  <c r="AU602" i="15"/>
  <c r="AU603" i="15"/>
  <c r="AU604" i="15"/>
  <c r="AU605" i="15"/>
  <c r="AU606" i="15"/>
  <c r="AU607" i="15"/>
  <c r="AU608" i="15"/>
  <c r="AU609" i="15"/>
  <c r="AU610" i="15"/>
  <c r="AU611" i="15"/>
  <c r="AU612" i="15"/>
  <c r="AU613" i="15"/>
  <c r="AU614" i="15"/>
  <c r="AU615" i="15"/>
  <c r="AU616" i="15"/>
  <c r="AU617" i="15"/>
  <c r="AU618" i="15"/>
  <c r="AU619" i="15"/>
  <c r="AU620" i="15"/>
  <c r="AU621" i="15"/>
  <c r="AU622" i="15"/>
  <c r="AU623" i="15"/>
  <c r="AU624" i="15"/>
  <c r="AU625" i="15"/>
  <c r="AU626" i="15"/>
  <c r="AU627" i="15"/>
  <c r="AU628" i="15"/>
  <c r="AU629" i="15"/>
  <c r="AU630" i="15"/>
  <c r="AU631" i="15"/>
  <c r="AU632" i="15"/>
  <c r="AU633" i="15"/>
  <c r="AU634" i="15"/>
  <c r="AU635" i="15"/>
  <c r="AU636" i="15"/>
  <c r="AU637" i="15"/>
  <c r="AU638" i="15"/>
  <c r="AU639" i="15"/>
  <c r="AU640" i="15"/>
  <c r="AU641" i="15"/>
  <c r="AU642" i="15"/>
  <c r="AU643" i="15"/>
  <c r="AU644" i="15"/>
  <c r="AU645" i="15"/>
  <c r="AU646" i="15"/>
  <c r="AU647" i="15"/>
  <c r="AU648" i="15"/>
  <c r="AU649" i="15"/>
  <c r="AU650" i="15"/>
  <c r="AU651" i="15"/>
  <c r="AU652" i="15"/>
  <c r="AU653" i="15"/>
  <c r="AU654" i="15"/>
  <c r="AU655" i="15"/>
  <c r="AU656" i="15"/>
  <c r="AU657" i="15"/>
  <c r="AU658" i="15"/>
  <c r="AU659" i="15"/>
  <c r="AU660" i="15"/>
  <c r="AU661" i="15"/>
  <c r="AU662" i="15"/>
  <c r="AU663" i="15"/>
  <c r="AU664" i="15"/>
  <c r="AU665" i="15"/>
  <c r="AU666" i="15"/>
  <c r="AU667" i="15"/>
  <c r="AU668" i="15"/>
  <c r="AU669" i="15"/>
  <c r="AU670" i="15"/>
  <c r="AU671" i="15"/>
  <c r="AU672" i="15"/>
  <c r="AU673" i="15"/>
  <c r="AU674" i="15"/>
  <c r="AU675" i="15"/>
  <c r="AU676" i="15"/>
  <c r="AU677" i="15"/>
  <c r="AU678" i="15"/>
  <c r="AU679" i="15"/>
  <c r="AU680" i="15"/>
  <c r="AU681" i="15"/>
  <c r="AU682" i="15"/>
  <c r="AU683" i="15"/>
  <c r="AU684" i="15"/>
  <c r="AU685" i="15"/>
  <c r="AU686" i="15"/>
  <c r="AU687" i="15"/>
  <c r="AU688" i="15"/>
  <c r="AU689" i="15"/>
  <c r="AU690" i="15"/>
  <c r="AU691" i="15"/>
  <c r="AU692" i="15"/>
  <c r="AU693" i="15"/>
  <c r="AU694" i="15"/>
  <c r="AU695" i="15"/>
  <c r="AU696" i="15"/>
  <c r="AU697" i="15"/>
  <c r="AU698" i="15"/>
  <c r="AU699" i="15"/>
  <c r="AU700" i="15"/>
  <c r="AU701" i="15"/>
  <c r="AU702" i="15"/>
  <c r="AU703" i="15"/>
  <c r="AU704" i="15"/>
  <c r="AU705" i="15"/>
  <c r="AU706" i="15"/>
  <c r="AU707" i="15"/>
  <c r="AU708" i="15"/>
  <c r="AU709" i="15"/>
  <c r="AU710" i="15"/>
  <c r="AU711" i="15"/>
  <c r="AU712" i="15"/>
  <c r="AU713" i="15"/>
  <c r="AU714" i="15"/>
  <c r="AU715" i="15"/>
  <c r="AU716" i="15"/>
  <c r="AU717" i="15"/>
  <c r="AU718" i="15"/>
  <c r="AU719" i="15"/>
  <c r="AU720" i="15"/>
  <c r="AU721" i="15"/>
  <c r="AU722" i="15"/>
  <c r="AU723" i="15"/>
  <c r="AU724" i="15"/>
  <c r="AU725" i="15"/>
  <c r="AU726" i="15"/>
  <c r="AU727" i="15"/>
  <c r="AU728" i="15"/>
  <c r="AU729" i="15"/>
  <c r="AU730" i="15"/>
  <c r="AU731" i="15"/>
  <c r="AU732" i="15"/>
  <c r="AU733" i="15"/>
  <c r="AU734" i="15"/>
  <c r="AU735" i="15"/>
  <c r="AU736" i="15"/>
  <c r="AU737" i="15"/>
  <c r="AU738" i="15"/>
  <c r="AU739" i="15"/>
  <c r="AU740" i="15"/>
  <c r="AU741" i="15"/>
  <c r="AU742" i="15"/>
  <c r="AU743" i="15"/>
  <c r="AU744" i="15"/>
  <c r="AU745" i="15"/>
  <c r="AU746" i="15"/>
  <c r="AU747" i="15"/>
  <c r="AU748" i="15"/>
  <c r="AU749" i="15"/>
  <c r="AU750" i="15"/>
  <c r="AU751" i="15"/>
  <c r="AU752" i="15"/>
  <c r="AU753" i="15"/>
  <c r="AU754" i="15"/>
  <c r="AU755" i="15"/>
  <c r="AU756" i="15"/>
  <c r="AU757" i="15"/>
  <c r="AU758" i="15"/>
  <c r="AU759" i="15"/>
  <c r="AU760" i="15"/>
  <c r="AU761" i="15"/>
  <c r="AU762" i="15"/>
  <c r="AU763" i="15"/>
  <c r="AU764" i="15"/>
  <c r="AU765" i="15"/>
  <c r="AU766" i="15"/>
  <c r="AU767" i="15"/>
  <c r="AU768" i="15"/>
  <c r="AU769" i="15"/>
  <c r="AU770" i="15"/>
  <c r="AU771" i="15"/>
  <c r="AU772" i="15"/>
  <c r="AU773" i="15"/>
  <c r="AU774" i="15"/>
  <c r="AU775" i="15"/>
  <c r="AU776" i="15"/>
  <c r="AU777" i="15"/>
  <c r="AU778" i="15"/>
  <c r="AU779" i="15"/>
  <c r="AU780" i="15"/>
  <c r="AU781" i="15"/>
  <c r="AU782" i="15"/>
  <c r="AU783" i="15"/>
  <c r="AU784" i="15"/>
  <c r="AU785" i="15"/>
  <c r="AU786" i="15"/>
  <c r="AU787" i="15"/>
  <c r="AU788" i="15"/>
  <c r="AU789" i="15"/>
  <c r="AU790" i="15"/>
  <c r="AU791" i="15"/>
  <c r="AU792" i="15"/>
  <c r="AU793" i="15"/>
  <c r="AU794" i="15"/>
  <c r="AU795" i="15"/>
  <c r="AU796" i="15"/>
  <c r="AU797" i="15"/>
  <c r="AU798" i="15"/>
  <c r="AU799" i="15"/>
  <c r="AU800" i="15"/>
  <c r="AU801" i="15"/>
  <c r="AU802" i="15"/>
  <c r="AU803" i="15"/>
  <c r="AU804" i="15"/>
  <c r="AU805" i="15"/>
  <c r="AU806" i="15"/>
  <c r="AU807" i="15"/>
  <c r="AU808" i="15"/>
  <c r="AU809" i="15"/>
  <c r="AU810" i="15"/>
  <c r="AU811" i="15"/>
  <c r="AU812" i="15"/>
  <c r="AU813" i="15"/>
  <c r="AU814" i="15"/>
  <c r="AU815" i="15"/>
  <c r="AU816" i="15"/>
  <c r="AU817" i="15"/>
  <c r="AU818" i="15"/>
  <c r="AU819" i="15"/>
  <c r="AU820" i="15"/>
  <c r="AU821" i="15"/>
  <c r="AU822" i="15"/>
  <c r="AU823" i="15"/>
  <c r="AU824" i="15"/>
  <c r="AU825" i="15"/>
  <c r="AU826" i="15"/>
  <c r="AU827" i="15"/>
  <c r="AU828" i="15"/>
  <c r="AU829" i="15"/>
  <c r="AU830" i="15"/>
  <c r="AU831" i="15"/>
  <c r="AU832" i="15"/>
  <c r="AU833" i="15"/>
  <c r="AU834" i="15"/>
  <c r="AU835" i="15"/>
  <c r="AU836" i="15"/>
  <c r="AU837" i="15"/>
  <c r="AU838" i="15"/>
  <c r="AU839" i="15"/>
  <c r="AU840" i="15"/>
  <c r="AU841" i="15"/>
  <c r="AU842" i="15"/>
  <c r="AU843" i="15"/>
  <c r="AU844" i="15"/>
  <c r="AU845" i="15"/>
  <c r="AU846" i="15"/>
  <c r="AU847" i="15"/>
  <c r="AU848" i="15"/>
  <c r="AU849" i="15"/>
  <c r="AU850" i="15"/>
  <c r="AU851" i="15"/>
  <c r="AU852" i="15"/>
  <c r="AU853" i="15"/>
  <c r="AU854" i="15"/>
  <c r="AU855" i="15"/>
  <c r="AU856" i="15"/>
  <c r="AU857" i="15"/>
  <c r="AU858" i="15"/>
  <c r="AU859" i="15"/>
  <c r="AU860" i="15"/>
  <c r="AU861" i="15"/>
  <c r="AU862" i="15"/>
  <c r="AU863" i="15"/>
  <c r="AU864" i="15"/>
  <c r="AU865" i="15"/>
  <c r="AU866" i="15"/>
  <c r="AU867" i="15"/>
  <c r="AU868" i="15"/>
  <c r="AU869" i="15"/>
  <c r="AU870" i="15"/>
  <c r="AU871" i="15"/>
  <c r="AU872" i="15"/>
  <c r="AU873" i="15"/>
  <c r="AU874" i="15"/>
  <c r="AU875" i="15"/>
  <c r="AU876" i="15"/>
  <c r="AU877" i="15"/>
  <c r="AU878" i="15"/>
  <c r="AU879" i="15"/>
  <c r="AU880" i="15"/>
  <c r="AU881" i="15"/>
  <c r="AU882" i="15"/>
  <c r="AU883" i="15"/>
  <c r="AU884" i="15"/>
  <c r="AU885" i="15"/>
  <c r="AU886" i="15"/>
  <c r="AU887" i="15"/>
  <c r="AU888" i="15"/>
  <c r="AU889" i="15"/>
  <c r="AU890" i="15"/>
  <c r="AU891" i="15"/>
  <c r="AU892" i="15"/>
  <c r="AU893" i="15"/>
  <c r="AU894" i="15"/>
  <c r="AU895" i="15"/>
  <c r="AU896" i="15"/>
  <c r="AU897" i="15"/>
  <c r="AU898" i="15"/>
  <c r="AU899" i="15"/>
  <c r="AU900" i="15"/>
  <c r="AU901" i="15"/>
  <c r="AU902" i="15"/>
  <c r="AU903" i="15"/>
  <c r="AU904" i="15"/>
  <c r="AU905" i="15"/>
  <c r="AU906" i="15"/>
  <c r="AU907" i="15"/>
  <c r="AU908" i="15"/>
  <c r="AU909" i="15"/>
  <c r="AU910" i="15"/>
  <c r="AU911" i="15"/>
  <c r="AU912" i="15"/>
  <c r="AU913" i="15"/>
  <c r="AU914" i="15"/>
  <c r="AU915" i="15"/>
  <c r="AU916" i="15"/>
  <c r="AU917" i="15"/>
  <c r="AU918" i="15"/>
  <c r="AU919" i="15"/>
  <c r="AU920" i="15"/>
  <c r="AU921" i="15"/>
  <c r="AU922" i="15"/>
  <c r="AU923" i="15"/>
  <c r="AU924" i="15"/>
  <c r="AU925" i="15"/>
  <c r="AU926" i="15"/>
  <c r="AU927" i="15"/>
  <c r="AU928" i="15"/>
  <c r="AU929" i="15"/>
  <c r="AU930" i="15"/>
  <c r="AU931" i="15"/>
  <c r="AU932" i="15"/>
  <c r="AU933" i="15"/>
  <c r="AU934" i="15"/>
  <c r="AU935" i="15"/>
  <c r="AU936" i="15"/>
  <c r="AU937" i="15"/>
  <c r="AU938" i="15"/>
  <c r="AU939" i="15"/>
  <c r="AU940" i="15"/>
  <c r="AU941" i="15"/>
  <c r="AU942" i="15"/>
  <c r="AU943" i="15"/>
  <c r="AU944" i="15"/>
  <c r="AU945" i="15"/>
  <c r="AU946" i="15"/>
  <c r="AU947" i="15"/>
  <c r="AU948" i="15"/>
  <c r="AU949" i="15"/>
  <c r="AU950" i="15"/>
  <c r="AU951" i="15"/>
  <c r="AU952" i="15"/>
  <c r="AU953" i="15"/>
  <c r="AU954" i="15"/>
  <c r="AU955" i="15"/>
  <c r="AU956" i="15"/>
  <c r="AU957" i="15"/>
  <c r="AU958" i="15"/>
  <c r="AU959" i="15"/>
  <c r="AU960" i="15"/>
  <c r="AU961" i="15"/>
  <c r="AU962" i="15"/>
  <c r="AU963" i="15"/>
  <c r="AU964" i="15"/>
  <c r="AU965" i="15"/>
  <c r="AU966" i="15"/>
  <c r="AU967" i="15"/>
  <c r="AU968" i="15"/>
  <c r="AU969" i="15"/>
  <c r="AU970" i="15"/>
  <c r="AU971" i="15"/>
  <c r="AU972" i="15"/>
  <c r="AU973" i="15"/>
  <c r="AU974" i="15"/>
  <c r="AU975" i="15"/>
  <c r="AU976" i="15"/>
  <c r="AU977" i="15"/>
  <c r="AU978" i="15"/>
  <c r="AU979" i="15"/>
  <c r="AU980" i="15"/>
  <c r="AU981" i="15"/>
  <c r="AU982" i="15"/>
  <c r="AU983" i="15"/>
  <c r="AU984" i="15"/>
  <c r="AU985" i="15"/>
  <c r="AU986" i="15"/>
  <c r="AU987" i="15"/>
  <c r="AU988" i="15"/>
  <c r="AU989" i="15"/>
  <c r="AU990" i="15"/>
  <c r="AU991" i="15"/>
  <c r="AU992" i="15"/>
  <c r="AU993" i="15"/>
  <c r="AU994" i="15"/>
  <c r="AU995" i="15"/>
  <c r="AU996" i="15"/>
  <c r="AU997" i="15"/>
  <c r="AU998" i="15"/>
  <c r="AU999" i="15"/>
  <c r="AU1000" i="15"/>
  <c r="AU1001" i="15"/>
  <c r="AU1002" i="15"/>
  <c r="AU1003" i="15"/>
  <c r="AU1004" i="15"/>
  <c r="AU1005" i="15"/>
  <c r="AU1006" i="15"/>
  <c r="AU1007" i="15"/>
  <c r="AU1008" i="15"/>
  <c r="AU1009" i="15"/>
  <c r="AU1010" i="15"/>
  <c r="AU1011" i="15"/>
  <c r="AU1012" i="15"/>
  <c r="AU1013" i="15"/>
  <c r="AU1014" i="15"/>
  <c r="AU1015" i="15"/>
  <c r="AU1016" i="15"/>
  <c r="AU1017" i="15"/>
  <c r="AU1018" i="15"/>
  <c r="AU1019" i="15"/>
  <c r="AU1020" i="15"/>
  <c r="AU1021" i="15"/>
  <c r="AU1022" i="15"/>
  <c r="AU1023" i="15"/>
  <c r="AU1024" i="15"/>
  <c r="AU1025" i="15"/>
  <c r="AU1026" i="15"/>
  <c r="AU1027" i="15"/>
  <c r="AW27" i="15"/>
  <c r="AO273" i="15" l="1"/>
  <c r="AN273" i="15"/>
  <c r="AP273" i="15" s="1"/>
  <c r="U888" i="15"/>
  <c r="T888" i="15"/>
  <c r="V888" i="15" s="1"/>
  <c r="AK396" i="15"/>
  <c r="AJ396" i="15"/>
  <c r="AL396" i="15" s="1"/>
  <c r="AG519" i="15"/>
  <c r="AF519" i="15"/>
  <c r="AH519" i="15" s="1"/>
  <c r="AC642" i="15"/>
  <c r="AB642" i="15"/>
  <c r="AD642" i="15" s="1"/>
  <c r="Y765" i="15"/>
  <c r="X765" i="15"/>
  <c r="Z765" i="15" s="1"/>
  <c r="Q1011" i="15"/>
  <c r="P1011" i="15"/>
  <c r="R1011" i="15" s="1"/>
  <c r="AS150" i="15"/>
  <c r="AR150" i="15"/>
  <c r="AT150" i="15" s="1"/>
  <c r="AV27" i="15"/>
  <c r="AX27" i="15" s="1"/>
  <c r="AV28" i="15" s="1"/>
  <c r="AS151" i="15" l="1"/>
  <c r="AR151" i="15"/>
  <c r="AT151" i="15" s="1"/>
  <c r="Q1012" i="15"/>
  <c r="P1012" i="15"/>
  <c r="R1012" i="15" s="1"/>
  <c r="Y766" i="15"/>
  <c r="X766" i="15"/>
  <c r="Z766" i="15" s="1"/>
  <c r="AC643" i="15"/>
  <c r="AB643" i="15"/>
  <c r="AD643" i="15" s="1"/>
  <c r="AG520" i="15"/>
  <c r="AF520" i="15"/>
  <c r="AH520" i="15" s="1"/>
  <c r="AK397" i="15"/>
  <c r="AJ397" i="15"/>
  <c r="AL397" i="15" s="1"/>
  <c r="U889" i="15"/>
  <c r="T889" i="15"/>
  <c r="V889" i="15" s="1"/>
  <c r="AO274" i="15"/>
  <c r="AN274" i="15"/>
  <c r="AP274" i="15" s="1"/>
  <c r="AX28" i="15"/>
  <c r="AW28" i="15"/>
  <c r="U890" i="15" l="1"/>
  <c r="T890" i="15"/>
  <c r="V890" i="15" s="1"/>
  <c r="AG521" i="15"/>
  <c r="AF521" i="15"/>
  <c r="AH521" i="15" s="1"/>
  <c r="Y767" i="15"/>
  <c r="X767" i="15"/>
  <c r="Z767" i="15" s="1"/>
  <c r="AS152" i="15"/>
  <c r="AR152" i="15"/>
  <c r="AT152" i="15" s="1"/>
  <c r="AO275" i="15"/>
  <c r="AN275" i="15"/>
  <c r="AP275" i="15" s="1"/>
  <c r="AK398" i="15"/>
  <c r="AJ398" i="15"/>
  <c r="AL398" i="15" s="1"/>
  <c r="AC644" i="15"/>
  <c r="AB644" i="15"/>
  <c r="AD644" i="15" s="1"/>
  <c r="Q1013" i="15"/>
  <c r="P1013" i="15"/>
  <c r="R1013" i="15" s="1"/>
  <c r="AW29" i="15"/>
  <c r="AV29" i="15"/>
  <c r="AX29" i="15" s="1"/>
  <c r="Q1014" i="15" l="1"/>
  <c r="P1014" i="15"/>
  <c r="R1014" i="15" s="1"/>
  <c r="AK399" i="15"/>
  <c r="AJ399" i="15"/>
  <c r="AL399" i="15" s="1"/>
  <c r="AO276" i="15"/>
  <c r="AN276" i="15"/>
  <c r="AP276" i="15" s="1"/>
  <c r="Y768" i="15"/>
  <c r="X768" i="15"/>
  <c r="Z768" i="15" s="1"/>
  <c r="U891" i="15"/>
  <c r="T891" i="15"/>
  <c r="V891" i="15" s="1"/>
  <c r="AW30" i="15"/>
  <c r="AV30" i="15"/>
  <c r="AX30" i="15" s="1"/>
  <c r="AC645" i="15"/>
  <c r="AB645" i="15"/>
  <c r="AD645" i="15" s="1"/>
  <c r="AS153" i="15"/>
  <c r="AR153" i="15"/>
  <c r="AT153" i="15" s="1"/>
  <c r="AG522" i="15"/>
  <c r="AF522" i="15"/>
  <c r="AH522" i="15" s="1"/>
  <c r="AS154" i="15" l="1"/>
  <c r="AR154" i="15"/>
  <c r="AT154" i="15" s="1"/>
  <c r="AW31" i="15"/>
  <c r="AV31" i="15"/>
  <c r="AX31" i="15" s="1"/>
  <c r="Y769" i="15"/>
  <c r="X769" i="15"/>
  <c r="Z769" i="15" s="1"/>
  <c r="AO277" i="15"/>
  <c r="AN277" i="15"/>
  <c r="AP277" i="15" s="1"/>
  <c r="Q1015" i="15"/>
  <c r="P1015" i="15"/>
  <c r="R1015" i="15" s="1"/>
  <c r="AG523" i="15"/>
  <c r="AF523" i="15"/>
  <c r="AH523" i="15" s="1"/>
  <c r="AC646" i="15"/>
  <c r="AB646" i="15"/>
  <c r="AD646" i="15" s="1"/>
  <c r="U892" i="15"/>
  <c r="T892" i="15"/>
  <c r="V892" i="15" s="1"/>
  <c r="AK400" i="15"/>
  <c r="AJ400" i="15"/>
  <c r="AL400" i="15" s="1"/>
  <c r="AK401" i="15" l="1"/>
  <c r="AJ401" i="15"/>
  <c r="AL401" i="15" s="1"/>
  <c r="AC647" i="15"/>
  <c r="AB647" i="15"/>
  <c r="AD647" i="15" s="1"/>
  <c r="AG524" i="15"/>
  <c r="AF524" i="15"/>
  <c r="AH524" i="15" s="1"/>
  <c r="AO278" i="15"/>
  <c r="AN278" i="15"/>
  <c r="AP278" i="15" s="1"/>
  <c r="Y770" i="15"/>
  <c r="X770" i="15"/>
  <c r="Z770" i="15" s="1"/>
  <c r="AS155" i="15"/>
  <c r="AR155" i="15"/>
  <c r="AT155" i="15" s="1"/>
  <c r="U893" i="15"/>
  <c r="T893" i="15"/>
  <c r="V893" i="15" s="1"/>
  <c r="Q1016" i="15"/>
  <c r="P1016" i="15"/>
  <c r="R1016" i="15" s="1"/>
  <c r="AW32" i="15"/>
  <c r="AV32" i="15"/>
  <c r="AX32" i="15" s="1"/>
  <c r="Q1017" i="15" l="1"/>
  <c r="P1017" i="15"/>
  <c r="R1017" i="15" s="1"/>
  <c r="AS156" i="15"/>
  <c r="AR156" i="15"/>
  <c r="AT156" i="15" s="1"/>
  <c r="AO279" i="15"/>
  <c r="AN279" i="15"/>
  <c r="AP279" i="15" s="1"/>
  <c r="AG525" i="15"/>
  <c r="AF525" i="15"/>
  <c r="AH525" i="15" s="1"/>
  <c r="AK402" i="15"/>
  <c r="AJ402" i="15"/>
  <c r="AL402" i="15" s="1"/>
  <c r="AW33" i="15"/>
  <c r="AV33" i="15"/>
  <c r="AX33" i="15" s="1"/>
  <c r="U894" i="15"/>
  <c r="T894" i="15"/>
  <c r="V894" i="15" s="1"/>
  <c r="Y771" i="15"/>
  <c r="X771" i="15"/>
  <c r="Z771" i="15" s="1"/>
  <c r="AC648" i="15"/>
  <c r="AB648" i="15"/>
  <c r="AD648" i="15" s="1"/>
  <c r="Y772" i="15" l="1"/>
  <c r="X772" i="15"/>
  <c r="Z772" i="15" s="1"/>
  <c r="AW34" i="15"/>
  <c r="AV34" i="15"/>
  <c r="AX34" i="15" s="1"/>
  <c r="AK403" i="15"/>
  <c r="AJ403" i="15"/>
  <c r="AL403" i="15" s="1"/>
  <c r="AO280" i="15"/>
  <c r="AN280" i="15"/>
  <c r="AP280" i="15" s="1"/>
  <c r="Q1018" i="15"/>
  <c r="P1018" i="15"/>
  <c r="R1018" i="15" s="1"/>
  <c r="AC649" i="15"/>
  <c r="AB649" i="15"/>
  <c r="AD649" i="15" s="1"/>
  <c r="U895" i="15"/>
  <c r="T895" i="15"/>
  <c r="V895" i="15" s="1"/>
  <c r="AG526" i="15"/>
  <c r="AF526" i="15"/>
  <c r="AH526" i="15" s="1"/>
  <c r="AS157" i="15"/>
  <c r="AR157" i="15"/>
  <c r="AT157" i="15" s="1"/>
  <c r="U896" i="15" l="1"/>
  <c r="T896" i="15"/>
  <c r="V896" i="15" s="1"/>
  <c r="AC650" i="15"/>
  <c r="AB650" i="15"/>
  <c r="AD650" i="15" s="1"/>
  <c r="AO281" i="15"/>
  <c r="AN281" i="15"/>
  <c r="AP281" i="15" s="1"/>
  <c r="AK404" i="15"/>
  <c r="AJ404" i="15"/>
  <c r="AL404" i="15" s="1"/>
  <c r="Y773" i="15"/>
  <c r="X773" i="15"/>
  <c r="Z773" i="15" s="1"/>
  <c r="AS158" i="15"/>
  <c r="AR158" i="15"/>
  <c r="AT158" i="15" s="1"/>
  <c r="AG527" i="15"/>
  <c r="AF527" i="15"/>
  <c r="AH527" i="15" s="1"/>
  <c r="Q1019" i="15"/>
  <c r="P1019" i="15"/>
  <c r="R1019" i="15" s="1"/>
  <c r="AW35" i="15"/>
  <c r="AV35" i="15"/>
  <c r="AX35" i="15" s="1"/>
  <c r="AW36" i="15" l="1"/>
  <c r="AV36" i="15"/>
  <c r="AX36" i="15" s="1"/>
  <c r="Q1020" i="15"/>
  <c r="P1020" i="15"/>
  <c r="R1020" i="15" s="1"/>
  <c r="AS159" i="15"/>
  <c r="AR159" i="15"/>
  <c r="AT159" i="15" s="1"/>
  <c r="Y774" i="15"/>
  <c r="X774" i="15"/>
  <c r="Z774" i="15" s="1"/>
  <c r="AK405" i="15"/>
  <c r="AJ405" i="15"/>
  <c r="AL405" i="15" s="1"/>
  <c r="AO282" i="15"/>
  <c r="AN282" i="15"/>
  <c r="AP282" i="15" s="1"/>
  <c r="U897" i="15"/>
  <c r="T897" i="15"/>
  <c r="V897" i="15" s="1"/>
  <c r="AG528" i="15"/>
  <c r="AF528" i="15"/>
  <c r="AH528" i="15" s="1"/>
  <c r="AC651" i="15"/>
  <c r="AB651" i="15"/>
  <c r="AD651" i="15" s="1"/>
  <c r="AC652" i="15" l="1"/>
  <c r="AB652" i="15"/>
  <c r="AD652" i="15" s="1"/>
  <c r="U898" i="15"/>
  <c r="T898" i="15"/>
  <c r="V898" i="15" s="1"/>
  <c r="AO283" i="15"/>
  <c r="AN283" i="15"/>
  <c r="AP283" i="15" s="1"/>
  <c r="AK406" i="15"/>
  <c r="AJ406" i="15"/>
  <c r="AL406" i="15" s="1"/>
  <c r="Y775" i="15"/>
  <c r="X775" i="15"/>
  <c r="Z775" i="15" s="1"/>
  <c r="Q1021" i="15"/>
  <c r="P1021" i="15"/>
  <c r="R1021" i="15" s="1"/>
  <c r="AW37" i="15"/>
  <c r="AV37" i="15"/>
  <c r="AX37" i="15" s="1"/>
  <c r="AG529" i="15"/>
  <c r="AF529" i="15"/>
  <c r="AH529" i="15" s="1"/>
  <c r="AS160" i="15"/>
  <c r="AR160" i="15"/>
  <c r="AT160" i="15" s="1"/>
  <c r="AS161" i="15" l="1"/>
  <c r="AR161" i="15"/>
  <c r="AT161" i="15" s="1"/>
  <c r="AW38" i="15"/>
  <c r="AV38" i="15"/>
  <c r="AX38" i="15" s="1"/>
  <c r="Y776" i="15"/>
  <c r="X776" i="15"/>
  <c r="Z776" i="15" s="1"/>
  <c r="AO284" i="15"/>
  <c r="AN284" i="15"/>
  <c r="AP284" i="15" s="1"/>
  <c r="AC653" i="15"/>
  <c r="AB653" i="15"/>
  <c r="AD653" i="15" s="1"/>
  <c r="AG530" i="15"/>
  <c r="AF530" i="15"/>
  <c r="AH530" i="15" s="1"/>
  <c r="Q1022" i="15"/>
  <c r="P1022" i="15"/>
  <c r="R1022" i="15" s="1"/>
  <c r="AK407" i="15"/>
  <c r="AJ407" i="15"/>
  <c r="AL407" i="15" s="1"/>
  <c r="U899" i="15"/>
  <c r="T899" i="15"/>
  <c r="V899" i="15" s="1"/>
  <c r="AK408" i="15" l="1"/>
  <c r="AJ408" i="15"/>
  <c r="AL408" i="15" s="1"/>
  <c r="AG531" i="15"/>
  <c r="AF531" i="15"/>
  <c r="AH531" i="15" s="1"/>
  <c r="AC654" i="15"/>
  <c r="AB654" i="15"/>
  <c r="AD654" i="15" s="1"/>
  <c r="Y777" i="15"/>
  <c r="X777" i="15"/>
  <c r="Z777" i="15" s="1"/>
  <c r="AS162" i="15"/>
  <c r="AR162" i="15"/>
  <c r="AT162" i="15" s="1"/>
  <c r="U900" i="15"/>
  <c r="T900" i="15"/>
  <c r="V900" i="15" s="1"/>
  <c r="Q1023" i="15"/>
  <c r="P1023" i="15"/>
  <c r="R1023" i="15" s="1"/>
  <c r="AO285" i="15"/>
  <c r="AN285" i="15"/>
  <c r="AP285" i="15" s="1"/>
  <c r="AW39" i="15"/>
  <c r="AV39" i="15"/>
  <c r="AX39" i="15" s="1"/>
  <c r="AO286" i="15" l="1"/>
  <c r="AN286" i="15"/>
  <c r="AP286" i="15" s="1"/>
  <c r="U901" i="15"/>
  <c r="T901" i="15"/>
  <c r="V901" i="15" s="1"/>
  <c r="AS163" i="15"/>
  <c r="AR163" i="15"/>
  <c r="AT163" i="15" s="1"/>
  <c r="Y778" i="15"/>
  <c r="X778" i="15"/>
  <c r="Z778" i="15" s="1"/>
  <c r="AG532" i="15"/>
  <c r="AF532" i="15"/>
  <c r="AH532" i="15" s="1"/>
  <c r="AK409" i="15"/>
  <c r="AJ409" i="15"/>
  <c r="AL409" i="15" s="1"/>
  <c r="AW40" i="15"/>
  <c r="AV40" i="15"/>
  <c r="AX40" i="15" s="1"/>
  <c r="Q1024" i="15"/>
  <c r="P1024" i="15"/>
  <c r="R1024" i="15" s="1"/>
  <c r="AC655" i="15"/>
  <c r="AB655" i="15"/>
  <c r="AD655" i="15" s="1"/>
  <c r="AC656" i="15" l="1"/>
  <c r="AB656" i="15"/>
  <c r="AD656" i="15" s="1"/>
  <c r="Q1025" i="15"/>
  <c r="P1025" i="15"/>
  <c r="R1025" i="15" s="1"/>
  <c r="AK410" i="15"/>
  <c r="AJ410" i="15"/>
  <c r="AL410" i="15" s="1"/>
  <c r="AG533" i="15"/>
  <c r="AF533" i="15"/>
  <c r="AH533" i="15" s="1"/>
  <c r="Y779" i="15"/>
  <c r="X779" i="15"/>
  <c r="Z779" i="15" s="1"/>
  <c r="U902" i="15"/>
  <c r="T902" i="15"/>
  <c r="V902" i="15" s="1"/>
  <c r="AO287" i="15"/>
  <c r="AN287" i="15"/>
  <c r="AP287" i="15" s="1"/>
  <c r="AW41" i="15"/>
  <c r="AV41" i="15"/>
  <c r="AX41" i="15" s="1"/>
  <c r="AS164" i="15"/>
  <c r="AR164" i="15"/>
  <c r="AT164" i="15" s="1"/>
  <c r="AS165" i="15" l="1"/>
  <c r="AR165" i="15"/>
  <c r="AT165" i="15" s="1"/>
  <c r="AO288" i="15"/>
  <c r="AN288" i="15"/>
  <c r="AP288" i="15" s="1"/>
  <c r="Y780" i="15"/>
  <c r="X780" i="15"/>
  <c r="Z780" i="15" s="1"/>
  <c r="AG534" i="15"/>
  <c r="AF534" i="15"/>
  <c r="AH534" i="15" s="1"/>
  <c r="AK411" i="15"/>
  <c r="AJ411" i="15"/>
  <c r="AL411" i="15" s="1"/>
  <c r="AC657" i="15"/>
  <c r="AB657" i="15"/>
  <c r="AD657" i="15" s="1"/>
  <c r="AW42" i="15"/>
  <c r="AV42" i="15"/>
  <c r="AX42" i="15" s="1"/>
  <c r="U903" i="15"/>
  <c r="T903" i="15"/>
  <c r="V903" i="15" s="1"/>
  <c r="Q1026" i="15"/>
  <c r="P1026" i="15"/>
  <c r="R1026" i="15" s="1"/>
  <c r="U904" i="15" l="1"/>
  <c r="T904" i="15"/>
  <c r="V904" i="15" s="1"/>
  <c r="AC658" i="15"/>
  <c r="AB658" i="15"/>
  <c r="AD658" i="15" s="1"/>
  <c r="AK412" i="15"/>
  <c r="AJ412" i="15"/>
  <c r="AL412" i="15" s="1"/>
  <c r="AG535" i="15"/>
  <c r="AF535" i="15"/>
  <c r="AH535" i="15" s="1"/>
  <c r="AO289" i="15"/>
  <c r="AN289" i="15"/>
  <c r="AP289" i="15" s="1"/>
  <c r="AS166" i="15"/>
  <c r="AR166" i="15"/>
  <c r="AT166" i="15" s="1"/>
  <c r="Q1027" i="15"/>
  <c r="P1027" i="15"/>
  <c r="R1027" i="15" s="1"/>
  <c r="AW43" i="15"/>
  <c r="AV43" i="15"/>
  <c r="AX43" i="15" s="1"/>
  <c r="Y781" i="15"/>
  <c r="X781" i="15"/>
  <c r="Z781" i="15" s="1"/>
  <c r="AW44" i="15" l="1"/>
  <c r="AV44" i="15"/>
  <c r="AX44" i="15" s="1"/>
  <c r="AS167" i="15"/>
  <c r="AR167" i="15"/>
  <c r="AT167" i="15" s="1"/>
  <c r="AO290" i="15"/>
  <c r="AN290" i="15"/>
  <c r="AP290" i="15" s="1"/>
  <c r="AG536" i="15"/>
  <c r="AF536" i="15"/>
  <c r="AH536" i="15" s="1"/>
  <c r="AC659" i="15"/>
  <c r="AB659" i="15"/>
  <c r="AD659" i="15" s="1"/>
  <c r="U905" i="15"/>
  <c r="T905" i="15"/>
  <c r="V905" i="15" s="1"/>
  <c r="Y782" i="15"/>
  <c r="X782" i="15"/>
  <c r="Z782" i="15" s="1"/>
  <c r="AK413" i="15"/>
  <c r="AJ413" i="15"/>
  <c r="AL413" i="15" s="1"/>
  <c r="AK414" i="15" l="1"/>
  <c r="AJ414" i="15"/>
  <c r="AL414" i="15" s="1"/>
  <c r="Y783" i="15"/>
  <c r="X783" i="15"/>
  <c r="Z783" i="15" s="1"/>
  <c r="AC660" i="15"/>
  <c r="AB660" i="15"/>
  <c r="AD660" i="15" s="1"/>
  <c r="AG537" i="15"/>
  <c r="AF537" i="15"/>
  <c r="AH537" i="15" s="1"/>
  <c r="AO291" i="15"/>
  <c r="AN291" i="15"/>
  <c r="AP291" i="15" s="1"/>
  <c r="AW45" i="15"/>
  <c r="AV45" i="15"/>
  <c r="AX45" i="15" s="1"/>
  <c r="U906" i="15"/>
  <c r="T906" i="15"/>
  <c r="V906" i="15" s="1"/>
  <c r="AS168" i="15"/>
  <c r="AR168" i="15"/>
  <c r="AT168" i="15" s="1"/>
  <c r="U907" i="15" l="1"/>
  <c r="T907" i="15"/>
  <c r="V907" i="15" s="1"/>
  <c r="AW46" i="15"/>
  <c r="AV46" i="15"/>
  <c r="AX46" i="15" s="1"/>
  <c r="AG538" i="15"/>
  <c r="AF538" i="15"/>
  <c r="AH538" i="15" s="1"/>
  <c r="AC661" i="15"/>
  <c r="AB661" i="15"/>
  <c r="AD661" i="15" s="1"/>
  <c r="AK415" i="15"/>
  <c r="AJ415" i="15"/>
  <c r="AL415" i="15" s="1"/>
  <c r="AS169" i="15"/>
  <c r="AR169" i="15"/>
  <c r="AT169" i="15" s="1"/>
  <c r="AO292" i="15"/>
  <c r="AN292" i="15"/>
  <c r="AP292" i="15" s="1"/>
  <c r="Y784" i="15"/>
  <c r="X784" i="15"/>
  <c r="Z784" i="15" s="1"/>
  <c r="Y785" i="15" l="1"/>
  <c r="X785" i="15"/>
  <c r="Z785" i="15" s="1"/>
  <c r="AS170" i="15"/>
  <c r="AR170" i="15"/>
  <c r="AT170" i="15" s="1"/>
  <c r="AK416" i="15"/>
  <c r="AJ416" i="15"/>
  <c r="AL416" i="15" s="1"/>
  <c r="AC662" i="15"/>
  <c r="AB662" i="15"/>
  <c r="AD662" i="15" s="1"/>
  <c r="AG539" i="15"/>
  <c r="AF539" i="15"/>
  <c r="AH539" i="15" s="1"/>
  <c r="U908" i="15"/>
  <c r="T908" i="15"/>
  <c r="V908" i="15" s="1"/>
  <c r="AO293" i="15"/>
  <c r="AN293" i="15"/>
  <c r="AP293" i="15" s="1"/>
  <c r="AW47" i="15"/>
  <c r="AV47" i="15"/>
  <c r="AX47" i="15" s="1"/>
  <c r="AW48" i="15" l="1"/>
  <c r="AV48" i="15"/>
  <c r="AX48" i="15" s="1"/>
  <c r="U909" i="15"/>
  <c r="T909" i="15"/>
  <c r="V909" i="15" s="1"/>
  <c r="AG540" i="15"/>
  <c r="AF540" i="15"/>
  <c r="AH540" i="15" s="1"/>
  <c r="AC663" i="15"/>
  <c r="AB663" i="15"/>
  <c r="AD663" i="15" s="1"/>
  <c r="AK417" i="15"/>
  <c r="AJ417" i="15"/>
  <c r="AL417" i="15" s="1"/>
  <c r="Y786" i="15"/>
  <c r="X786" i="15"/>
  <c r="Z786" i="15" s="1"/>
  <c r="AO294" i="15"/>
  <c r="AN294" i="15"/>
  <c r="AP294" i="15" s="1"/>
  <c r="AS171" i="15"/>
  <c r="AR171" i="15"/>
  <c r="AT171" i="15" s="1"/>
  <c r="AO295" i="15" l="1"/>
  <c r="AN295" i="15"/>
  <c r="AP295" i="15" s="1"/>
  <c r="Y787" i="15"/>
  <c r="X787" i="15"/>
  <c r="Z787" i="15" s="1"/>
  <c r="AC664" i="15"/>
  <c r="AB664" i="15"/>
  <c r="AD664" i="15" s="1"/>
  <c r="AG541" i="15"/>
  <c r="AF541" i="15"/>
  <c r="AH541" i="15" s="1"/>
  <c r="AW49" i="15"/>
  <c r="AV49" i="15"/>
  <c r="AX49" i="15" s="1"/>
  <c r="AS172" i="15"/>
  <c r="AR172" i="15"/>
  <c r="AT172" i="15" s="1"/>
  <c r="AK418" i="15"/>
  <c r="AJ418" i="15"/>
  <c r="AL418" i="15" s="1"/>
  <c r="U910" i="15"/>
  <c r="T910" i="15"/>
  <c r="V910" i="15" s="1"/>
  <c r="U911" i="15" l="1"/>
  <c r="T911" i="15"/>
  <c r="V911" i="15" s="1"/>
  <c r="AK419" i="15"/>
  <c r="AJ419" i="15"/>
  <c r="AL419" i="15" s="1"/>
  <c r="AW50" i="15"/>
  <c r="AV50" i="15"/>
  <c r="AX50" i="15" s="1"/>
  <c r="AG542" i="15"/>
  <c r="AF542" i="15"/>
  <c r="AH542" i="15" s="1"/>
  <c r="AC665" i="15"/>
  <c r="AB665" i="15"/>
  <c r="AD665" i="15" s="1"/>
  <c r="AO296" i="15"/>
  <c r="AN296" i="15"/>
  <c r="AP296" i="15" s="1"/>
  <c r="AS173" i="15"/>
  <c r="AR173" i="15"/>
  <c r="AT173" i="15" s="1"/>
  <c r="Y788" i="15"/>
  <c r="X788" i="15"/>
  <c r="Z788" i="15" s="1"/>
  <c r="Y789" i="15" l="1"/>
  <c r="X789" i="15"/>
  <c r="Z789" i="15" s="1"/>
  <c r="AO297" i="15"/>
  <c r="AN297" i="15"/>
  <c r="AP297" i="15" s="1"/>
  <c r="AC666" i="15"/>
  <c r="AB666" i="15"/>
  <c r="AD666" i="15" s="1"/>
  <c r="AG543" i="15"/>
  <c r="AF543" i="15"/>
  <c r="AH543" i="15" s="1"/>
  <c r="AW51" i="15"/>
  <c r="AV51" i="15"/>
  <c r="AX51" i="15" s="1"/>
  <c r="U912" i="15"/>
  <c r="T912" i="15"/>
  <c r="V912" i="15" s="1"/>
  <c r="AS174" i="15"/>
  <c r="AR174" i="15"/>
  <c r="AT174" i="15" s="1"/>
  <c r="AK420" i="15"/>
  <c r="AJ420" i="15"/>
  <c r="AL420" i="15" s="1"/>
  <c r="AK421" i="15" l="1"/>
  <c r="AJ421" i="15"/>
  <c r="AL421" i="15" s="1"/>
  <c r="AS175" i="15"/>
  <c r="AR175" i="15"/>
  <c r="AT175" i="15" s="1"/>
  <c r="U913" i="15"/>
  <c r="T913" i="15"/>
  <c r="V913" i="15" s="1"/>
  <c r="AW52" i="15"/>
  <c r="AV52" i="15"/>
  <c r="AX52" i="15" s="1"/>
  <c r="AG544" i="15"/>
  <c r="AF544" i="15"/>
  <c r="AH544" i="15" s="1"/>
  <c r="AC667" i="15"/>
  <c r="AB667" i="15"/>
  <c r="AD667" i="15" s="1"/>
  <c r="AO298" i="15"/>
  <c r="AN298" i="15"/>
  <c r="AP298" i="15" s="1"/>
  <c r="Y790" i="15"/>
  <c r="X790" i="15"/>
  <c r="Z790" i="15" s="1"/>
  <c r="AO299" i="15" l="1"/>
  <c r="AN299" i="15"/>
  <c r="AP299" i="15" s="1"/>
  <c r="AG545" i="15"/>
  <c r="AF545" i="15"/>
  <c r="AH545" i="15" s="1"/>
  <c r="AW53" i="15"/>
  <c r="AV53" i="15"/>
  <c r="AX53" i="15" s="1"/>
  <c r="U914" i="15"/>
  <c r="T914" i="15"/>
  <c r="V914" i="15" s="1"/>
  <c r="AK422" i="15"/>
  <c r="AJ422" i="15"/>
  <c r="AL422" i="15" s="1"/>
  <c r="Y791" i="15"/>
  <c r="X791" i="15"/>
  <c r="Z791" i="15" s="1"/>
  <c r="AC668" i="15"/>
  <c r="AB668" i="15"/>
  <c r="AD668" i="15" s="1"/>
  <c r="AS176" i="15"/>
  <c r="AR176" i="15"/>
  <c r="AT176" i="15" s="1"/>
  <c r="AS177" i="15" l="1"/>
  <c r="AR177" i="15"/>
  <c r="AT177" i="15" s="1"/>
  <c r="Y792" i="15"/>
  <c r="X792" i="15"/>
  <c r="Z792" i="15" s="1"/>
  <c r="AK423" i="15"/>
  <c r="AJ423" i="15"/>
  <c r="AL423" i="15" s="1"/>
  <c r="U915" i="15"/>
  <c r="T915" i="15"/>
  <c r="V915" i="15" s="1"/>
  <c r="AW54" i="15"/>
  <c r="AV54" i="15"/>
  <c r="AX54" i="15" s="1"/>
  <c r="AO300" i="15"/>
  <c r="AN300" i="15"/>
  <c r="AP300" i="15" s="1"/>
  <c r="AC669" i="15"/>
  <c r="AB669" i="15"/>
  <c r="AD669" i="15" s="1"/>
  <c r="AG546" i="15"/>
  <c r="AF546" i="15"/>
  <c r="AH546" i="15" s="1"/>
  <c r="AG547" i="15" l="1"/>
  <c r="AF547" i="15"/>
  <c r="AH547" i="15" s="1"/>
  <c r="AC670" i="15"/>
  <c r="AB670" i="15"/>
  <c r="AD670" i="15" s="1"/>
  <c r="AW55" i="15"/>
  <c r="AV55" i="15"/>
  <c r="AX55" i="15" s="1"/>
  <c r="U916" i="15"/>
  <c r="T916" i="15"/>
  <c r="V916" i="15" s="1"/>
  <c r="AK424" i="15"/>
  <c r="AJ424" i="15"/>
  <c r="AL424" i="15" s="1"/>
  <c r="AS178" i="15"/>
  <c r="AR178" i="15"/>
  <c r="AT178" i="15" s="1"/>
  <c r="AO301" i="15"/>
  <c r="AN301" i="15"/>
  <c r="AP301" i="15" s="1"/>
  <c r="Y793" i="15"/>
  <c r="X793" i="15"/>
  <c r="Z793" i="15" s="1"/>
  <c r="Y794" i="15" l="1"/>
  <c r="X794" i="15"/>
  <c r="Z794" i="15" s="1"/>
  <c r="AS179" i="15"/>
  <c r="AR179" i="15"/>
  <c r="AT179" i="15" s="1"/>
  <c r="U917" i="15"/>
  <c r="T917" i="15"/>
  <c r="V917" i="15" s="1"/>
  <c r="AW56" i="15"/>
  <c r="AV56" i="15"/>
  <c r="AX56" i="15" s="1"/>
  <c r="AG548" i="15"/>
  <c r="AF548" i="15"/>
  <c r="AH548" i="15" s="1"/>
  <c r="AO302" i="15"/>
  <c r="AN302" i="15"/>
  <c r="AP302" i="15" s="1"/>
  <c r="AK425" i="15"/>
  <c r="AJ425" i="15"/>
  <c r="AL425" i="15" s="1"/>
  <c r="AC671" i="15"/>
  <c r="AB671" i="15"/>
  <c r="AD671" i="15" s="1"/>
  <c r="AO303" i="15" l="1"/>
  <c r="AN303" i="15"/>
  <c r="AP303" i="15" s="1"/>
  <c r="AG549" i="15"/>
  <c r="AF549" i="15"/>
  <c r="AH549" i="15" s="1"/>
  <c r="U918" i="15"/>
  <c r="T918" i="15"/>
  <c r="V918" i="15" s="1"/>
  <c r="Y795" i="15"/>
  <c r="X795" i="15"/>
  <c r="Z795" i="15" s="1"/>
  <c r="AC672" i="15"/>
  <c r="AB672" i="15"/>
  <c r="AD672" i="15" s="1"/>
  <c r="AK426" i="15"/>
  <c r="AJ426" i="15"/>
  <c r="AL426" i="15" s="1"/>
  <c r="AW57" i="15"/>
  <c r="AV57" i="15"/>
  <c r="AX57" i="15" s="1"/>
  <c r="AS180" i="15"/>
  <c r="AR180" i="15"/>
  <c r="AT180" i="15" s="1"/>
  <c r="AW58" i="15" l="1"/>
  <c r="AV58" i="15"/>
  <c r="AX58" i="15" s="1"/>
  <c r="AC673" i="15"/>
  <c r="AB673" i="15"/>
  <c r="AD673" i="15" s="1"/>
  <c r="Y796" i="15"/>
  <c r="X796" i="15"/>
  <c r="Z796" i="15" s="1"/>
  <c r="U919" i="15"/>
  <c r="T919" i="15"/>
  <c r="V919" i="15" s="1"/>
  <c r="AO304" i="15"/>
  <c r="AN304" i="15"/>
  <c r="AP304" i="15" s="1"/>
  <c r="AS181" i="15"/>
  <c r="AR181" i="15"/>
  <c r="AT181" i="15" s="1"/>
  <c r="AK427" i="15"/>
  <c r="AJ427" i="15"/>
  <c r="AL427" i="15" s="1"/>
  <c r="AG550" i="15"/>
  <c r="AF550" i="15"/>
  <c r="AH550" i="15" s="1"/>
  <c r="AG551" i="15" l="1"/>
  <c r="AF551" i="15"/>
  <c r="AH551" i="15" s="1"/>
  <c r="AK428" i="15"/>
  <c r="AJ428" i="15"/>
  <c r="AL428" i="15" s="1"/>
  <c r="AO305" i="15"/>
  <c r="AN305" i="15"/>
  <c r="AP305" i="15" s="1"/>
  <c r="U920" i="15"/>
  <c r="T920" i="15"/>
  <c r="V920" i="15" s="1"/>
  <c r="Y797" i="15"/>
  <c r="X797" i="15"/>
  <c r="Z797" i="15" s="1"/>
  <c r="AW59" i="15"/>
  <c r="AV59" i="15"/>
  <c r="AX59" i="15" s="1"/>
  <c r="AS182" i="15"/>
  <c r="AR182" i="15"/>
  <c r="AT182" i="15" s="1"/>
  <c r="AC674" i="15"/>
  <c r="AB674" i="15"/>
  <c r="AD674" i="15" s="1"/>
  <c r="AC675" i="15" l="1"/>
  <c r="AB675" i="15"/>
  <c r="AD675" i="15" s="1"/>
  <c r="AS183" i="15"/>
  <c r="AR183" i="15"/>
  <c r="AT183" i="15" s="1"/>
  <c r="Y798" i="15"/>
  <c r="X798" i="15"/>
  <c r="Z798" i="15" s="1"/>
  <c r="U921" i="15"/>
  <c r="T921" i="15"/>
  <c r="V921" i="15" s="1"/>
  <c r="AO306" i="15"/>
  <c r="AN306" i="15"/>
  <c r="AP306" i="15" s="1"/>
  <c r="AG552" i="15"/>
  <c r="AF552" i="15"/>
  <c r="AH552" i="15" s="1"/>
  <c r="AW60" i="15"/>
  <c r="AV60" i="15"/>
  <c r="AX60" i="15" s="1"/>
  <c r="AK429" i="15"/>
  <c r="AJ429" i="15"/>
  <c r="AL429" i="15" s="1"/>
  <c r="AK430" i="15" l="1"/>
  <c r="AJ430" i="15"/>
  <c r="AL430" i="15" s="1"/>
  <c r="AG553" i="15"/>
  <c r="AF553" i="15"/>
  <c r="AH553" i="15" s="1"/>
  <c r="AO307" i="15"/>
  <c r="AN307" i="15"/>
  <c r="AP307" i="15" s="1"/>
  <c r="U922" i="15"/>
  <c r="T922" i="15"/>
  <c r="V922" i="15" s="1"/>
  <c r="Y799" i="15"/>
  <c r="X799" i="15"/>
  <c r="Z799" i="15" s="1"/>
  <c r="AC676" i="15"/>
  <c r="AB676" i="15"/>
  <c r="AD676" i="15" s="1"/>
  <c r="AW61" i="15"/>
  <c r="AV61" i="15"/>
  <c r="AX61" i="15" s="1"/>
  <c r="AS184" i="15"/>
  <c r="AR184" i="15"/>
  <c r="AT184" i="15" s="1"/>
  <c r="AS185" i="15" l="1"/>
  <c r="AR185" i="15"/>
  <c r="AT185" i="15" s="1"/>
  <c r="AC677" i="15"/>
  <c r="AB677" i="15"/>
  <c r="AD677" i="15" s="1"/>
  <c r="Y800" i="15"/>
  <c r="X800" i="15"/>
  <c r="Z800" i="15" s="1"/>
  <c r="U923" i="15"/>
  <c r="T923" i="15"/>
  <c r="V923" i="15" s="1"/>
  <c r="AO308" i="15"/>
  <c r="AN308" i="15"/>
  <c r="AP308" i="15" s="1"/>
  <c r="AK431" i="15"/>
  <c r="AJ431" i="15"/>
  <c r="AL431" i="15" s="1"/>
  <c r="AW62" i="15"/>
  <c r="AV62" i="15"/>
  <c r="AX62" i="15" s="1"/>
  <c r="AG554" i="15"/>
  <c r="AF554" i="15"/>
  <c r="AH554" i="15" s="1"/>
  <c r="AG555" i="15" l="1"/>
  <c r="AF555" i="15"/>
  <c r="AH555" i="15" s="1"/>
  <c r="AW63" i="15"/>
  <c r="AV63" i="15"/>
  <c r="AX63" i="15" s="1"/>
  <c r="AK432" i="15"/>
  <c r="AJ432" i="15"/>
  <c r="AL432" i="15" s="1"/>
  <c r="AO309" i="15"/>
  <c r="AN309" i="15"/>
  <c r="AP309" i="15" s="1"/>
  <c r="U924" i="15"/>
  <c r="T924" i="15"/>
  <c r="V924" i="15" s="1"/>
  <c r="Y801" i="15"/>
  <c r="X801" i="15"/>
  <c r="Z801" i="15" s="1"/>
  <c r="AC678" i="15"/>
  <c r="AB678" i="15"/>
  <c r="AD678" i="15" s="1"/>
  <c r="AS186" i="15"/>
  <c r="AR186" i="15"/>
  <c r="AT186" i="15" s="1"/>
  <c r="AS187" i="15" l="1"/>
  <c r="AR187" i="15"/>
  <c r="AT187" i="15" s="1"/>
  <c r="Y802" i="15"/>
  <c r="X802" i="15"/>
  <c r="Z802" i="15" s="1"/>
  <c r="U925" i="15"/>
  <c r="T925" i="15"/>
  <c r="V925" i="15" s="1"/>
  <c r="AO310" i="15"/>
  <c r="AN310" i="15"/>
  <c r="AP310" i="15" s="1"/>
  <c r="AK433" i="15"/>
  <c r="AJ433" i="15"/>
  <c r="AL433" i="15" s="1"/>
  <c r="AG556" i="15"/>
  <c r="AF556" i="15"/>
  <c r="AH556" i="15" s="1"/>
  <c r="AC679" i="15"/>
  <c r="AB679" i="15"/>
  <c r="AD679" i="15" s="1"/>
  <c r="AW64" i="15"/>
  <c r="AV64" i="15"/>
  <c r="AX64" i="15" s="1"/>
  <c r="AW65" i="15" l="1"/>
  <c r="AV65" i="15"/>
  <c r="AX65" i="15" s="1"/>
  <c r="AC680" i="15"/>
  <c r="AB680" i="15"/>
  <c r="AD680" i="15" s="1"/>
  <c r="AG557" i="15"/>
  <c r="AF557" i="15"/>
  <c r="AH557" i="15" s="1"/>
  <c r="AO311" i="15"/>
  <c r="AN311" i="15"/>
  <c r="AP311" i="15" s="1"/>
  <c r="U926" i="15"/>
  <c r="T926" i="15"/>
  <c r="V926" i="15" s="1"/>
  <c r="Y803" i="15"/>
  <c r="X803" i="15"/>
  <c r="Z803" i="15" s="1"/>
  <c r="AS188" i="15"/>
  <c r="AR188" i="15"/>
  <c r="AT188" i="15" s="1"/>
  <c r="AK434" i="15"/>
  <c r="AJ434" i="15"/>
  <c r="AL434" i="15" s="1"/>
  <c r="AS189" i="15" l="1"/>
  <c r="AR189" i="15"/>
  <c r="AT189" i="15" s="1"/>
  <c r="Y804" i="15"/>
  <c r="X804" i="15"/>
  <c r="Z804" i="15" s="1"/>
  <c r="AO312" i="15"/>
  <c r="AN312" i="15"/>
  <c r="AP312" i="15" s="1"/>
  <c r="AG558" i="15"/>
  <c r="AF558" i="15"/>
  <c r="AH558" i="15" s="1"/>
  <c r="AW66" i="15"/>
  <c r="AV66" i="15"/>
  <c r="AX66" i="15" s="1"/>
  <c r="AK435" i="15"/>
  <c r="AJ435" i="15"/>
  <c r="AL435" i="15" s="1"/>
  <c r="U927" i="15"/>
  <c r="T927" i="15"/>
  <c r="V927" i="15" s="1"/>
  <c r="AC681" i="15"/>
  <c r="AB681" i="15"/>
  <c r="AD681" i="15" s="1"/>
  <c r="U928" i="15" l="1"/>
  <c r="T928" i="15"/>
  <c r="V928" i="15" s="1"/>
  <c r="AW67" i="15"/>
  <c r="AV67" i="15"/>
  <c r="AX67" i="15" s="1"/>
  <c r="AO313" i="15"/>
  <c r="AN313" i="15"/>
  <c r="AP313" i="15" s="1"/>
  <c r="AS190" i="15"/>
  <c r="AR190" i="15"/>
  <c r="AT190" i="15" s="1"/>
  <c r="AC682" i="15"/>
  <c r="AB682" i="15"/>
  <c r="AD682" i="15" s="1"/>
  <c r="AK436" i="15"/>
  <c r="AJ436" i="15"/>
  <c r="AL436" i="15" s="1"/>
  <c r="AG559" i="15"/>
  <c r="AF559" i="15"/>
  <c r="AH559" i="15" s="1"/>
  <c r="Y805" i="15"/>
  <c r="X805" i="15"/>
  <c r="Z805" i="15" s="1"/>
  <c r="AK437" i="15" l="1"/>
  <c r="AJ437" i="15"/>
  <c r="AL437" i="15" s="1"/>
  <c r="AC683" i="15"/>
  <c r="AB683" i="15"/>
  <c r="AD683" i="15" s="1"/>
  <c r="AO314" i="15"/>
  <c r="AN314" i="15"/>
  <c r="AP314" i="15" s="1"/>
  <c r="U929" i="15"/>
  <c r="T929" i="15"/>
  <c r="V929" i="15" s="1"/>
  <c r="Y806" i="15"/>
  <c r="X806" i="15"/>
  <c r="Z806" i="15" s="1"/>
  <c r="AG560" i="15"/>
  <c r="AF560" i="15"/>
  <c r="AH560" i="15" s="1"/>
  <c r="AS191" i="15"/>
  <c r="AR191" i="15"/>
  <c r="AT191" i="15" s="1"/>
  <c r="AW68" i="15"/>
  <c r="AV68" i="15"/>
  <c r="AX68" i="15" s="1"/>
  <c r="AS192" i="15" l="1"/>
  <c r="AR192" i="15"/>
  <c r="AT192" i="15" s="1"/>
  <c r="Y807" i="15"/>
  <c r="X807" i="15"/>
  <c r="Z807" i="15" s="1"/>
  <c r="AO315" i="15"/>
  <c r="AN315" i="15"/>
  <c r="AP315" i="15" s="1"/>
  <c r="AK438" i="15"/>
  <c r="AJ438" i="15"/>
  <c r="AL438" i="15" s="1"/>
  <c r="AW69" i="15"/>
  <c r="AV69" i="15"/>
  <c r="AX69" i="15" s="1"/>
  <c r="AG561" i="15"/>
  <c r="AF561" i="15"/>
  <c r="AH561" i="15" s="1"/>
  <c r="U930" i="15"/>
  <c r="T930" i="15"/>
  <c r="V930" i="15" s="1"/>
  <c r="AC684" i="15"/>
  <c r="AB684" i="15"/>
  <c r="AD684" i="15" s="1"/>
  <c r="AC685" i="15" l="1"/>
  <c r="AB685" i="15"/>
  <c r="AD685" i="15" s="1"/>
  <c r="U931" i="15"/>
  <c r="T931" i="15"/>
  <c r="V931" i="15" s="1"/>
  <c r="AG562" i="15"/>
  <c r="AF562" i="15"/>
  <c r="AH562" i="15" s="1"/>
  <c r="AW70" i="15"/>
  <c r="AV70" i="15"/>
  <c r="AX70" i="15" s="1"/>
  <c r="AK439" i="15"/>
  <c r="AJ439" i="15"/>
  <c r="AL439" i="15" s="1"/>
  <c r="AO316" i="15"/>
  <c r="AN316" i="15"/>
  <c r="AP316" i="15" s="1"/>
  <c r="Y808" i="15"/>
  <c r="X808" i="15"/>
  <c r="Z808" i="15" s="1"/>
  <c r="AS193" i="15"/>
  <c r="AR193" i="15"/>
  <c r="AT193" i="15" s="1"/>
  <c r="AS194" i="15" l="1"/>
  <c r="AR194" i="15"/>
  <c r="AT194" i="15" s="1"/>
  <c r="AO317" i="15"/>
  <c r="AN317" i="15"/>
  <c r="AP317" i="15" s="1"/>
  <c r="AW71" i="15"/>
  <c r="AV71" i="15"/>
  <c r="AX71" i="15" s="1"/>
  <c r="AG563" i="15"/>
  <c r="AF563" i="15"/>
  <c r="AH563" i="15" s="1"/>
  <c r="AC686" i="15"/>
  <c r="AB686" i="15"/>
  <c r="AD686" i="15" s="1"/>
  <c r="Y809" i="15"/>
  <c r="X809" i="15"/>
  <c r="Z809" i="15" s="1"/>
  <c r="AK440" i="15"/>
  <c r="AJ440" i="15"/>
  <c r="AL440" i="15" s="1"/>
  <c r="U932" i="15"/>
  <c r="T932" i="15"/>
  <c r="V932" i="15" s="1"/>
  <c r="Y810" i="15" l="1"/>
  <c r="X810" i="15"/>
  <c r="Z810" i="15" s="1"/>
  <c r="AC687" i="15"/>
  <c r="AB687" i="15"/>
  <c r="AD687" i="15" s="1"/>
  <c r="AW72" i="15"/>
  <c r="AV72" i="15"/>
  <c r="AX72" i="15" s="1"/>
  <c r="AS195" i="15"/>
  <c r="AR195" i="15"/>
  <c r="AT195" i="15" s="1"/>
  <c r="U933" i="15"/>
  <c r="T933" i="15"/>
  <c r="V933" i="15" s="1"/>
  <c r="AK441" i="15"/>
  <c r="AJ441" i="15"/>
  <c r="AL441" i="15" s="1"/>
  <c r="AG564" i="15"/>
  <c r="AF564" i="15"/>
  <c r="AH564" i="15" s="1"/>
  <c r="AO318" i="15"/>
  <c r="AN318" i="15"/>
  <c r="AP318" i="15" s="1"/>
  <c r="AO319" i="15" l="1"/>
  <c r="AN319" i="15"/>
  <c r="AP319" i="15" s="1"/>
  <c r="AK442" i="15"/>
  <c r="AJ442" i="15"/>
  <c r="AL442" i="15" s="1"/>
  <c r="AS196" i="15"/>
  <c r="AR196" i="15"/>
  <c r="AT196" i="15" s="1"/>
  <c r="AW73" i="15"/>
  <c r="AV73" i="15"/>
  <c r="AX73" i="15" s="1"/>
  <c r="Y811" i="15"/>
  <c r="X811" i="15"/>
  <c r="Z811" i="15" s="1"/>
  <c r="AG565" i="15"/>
  <c r="AF565" i="15"/>
  <c r="AH565" i="15" s="1"/>
  <c r="U934" i="15"/>
  <c r="T934" i="15"/>
  <c r="V934" i="15" s="1"/>
  <c r="AC688" i="15"/>
  <c r="AB688" i="15"/>
  <c r="AD688" i="15" s="1"/>
  <c r="AC689" i="15" l="1"/>
  <c r="AB689" i="15"/>
  <c r="AD689" i="15" s="1"/>
  <c r="AG566" i="15"/>
  <c r="AF566" i="15"/>
  <c r="AH566" i="15" s="1"/>
  <c r="Y812" i="15"/>
  <c r="X812" i="15"/>
  <c r="Z812" i="15" s="1"/>
  <c r="AW74" i="15"/>
  <c r="AV74" i="15"/>
  <c r="AX74" i="15" s="1"/>
  <c r="AK443" i="15"/>
  <c r="AJ443" i="15"/>
  <c r="AL443" i="15" s="1"/>
  <c r="AO320" i="15"/>
  <c r="AN320" i="15"/>
  <c r="AP320" i="15" s="1"/>
  <c r="U935" i="15"/>
  <c r="T935" i="15"/>
  <c r="V935" i="15" s="1"/>
  <c r="AS197" i="15"/>
  <c r="AR197" i="15"/>
  <c r="AT197" i="15" s="1"/>
  <c r="AS198" i="15" l="1"/>
  <c r="AR198" i="15"/>
  <c r="AT198" i="15" s="1"/>
  <c r="AO321" i="15"/>
  <c r="AN321" i="15"/>
  <c r="AP321" i="15" s="1"/>
  <c r="AK444" i="15"/>
  <c r="AJ444" i="15"/>
  <c r="AL444" i="15" s="1"/>
  <c r="AW75" i="15"/>
  <c r="AV75" i="15"/>
  <c r="AX75" i="15" s="1"/>
  <c r="Y813" i="15"/>
  <c r="X813" i="15"/>
  <c r="Z813" i="15" s="1"/>
  <c r="AC690" i="15"/>
  <c r="AB690" i="15"/>
  <c r="AD690" i="15" s="1"/>
  <c r="U936" i="15"/>
  <c r="T936" i="15"/>
  <c r="V936" i="15" s="1"/>
  <c r="AG567" i="15"/>
  <c r="AF567" i="15"/>
  <c r="AH567" i="15" s="1"/>
  <c r="AG568" i="15" l="1"/>
  <c r="AF568" i="15"/>
  <c r="AH568" i="15" s="1"/>
  <c r="AC691" i="15"/>
  <c r="AB691" i="15"/>
  <c r="AD691" i="15" s="1"/>
  <c r="Y814" i="15"/>
  <c r="X814" i="15"/>
  <c r="Z814" i="15" s="1"/>
  <c r="AW76" i="15"/>
  <c r="AV76" i="15"/>
  <c r="AX76" i="15" s="1"/>
  <c r="AO322" i="15"/>
  <c r="AN322" i="15"/>
  <c r="AP322" i="15" s="1"/>
  <c r="AS199" i="15"/>
  <c r="AR199" i="15"/>
  <c r="AT199" i="15" s="1"/>
  <c r="U937" i="15"/>
  <c r="T937" i="15"/>
  <c r="V937" i="15" s="1"/>
  <c r="AK445" i="15"/>
  <c r="AJ445" i="15"/>
  <c r="AL445" i="15" s="1"/>
  <c r="AK446" i="15" l="1"/>
  <c r="AJ446" i="15"/>
  <c r="AL446" i="15" s="1"/>
  <c r="U938" i="15"/>
  <c r="T938" i="15"/>
  <c r="V938" i="15" s="1"/>
  <c r="AS200" i="15"/>
  <c r="AR200" i="15"/>
  <c r="AT200" i="15" s="1"/>
  <c r="AO323" i="15"/>
  <c r="AN323" i="15"/>
  <c r="AP323" i="15" s="1"/>
  <c r="AW77" i="15"/>
  <c r="AV77" i="15"/>
  <c r="AX77" i="15" s="1"/>
  <c r="Y815" i="15"/>
  <c r="X815" i="15"/>
  <c r="Z815" i="15" s="1"/>
  <c r="AC692" i="15"/>
  <c r="AB692" i="15"/>
  <c r="AD692" i="15" s="1"/>
  <c r="AG569" i="15"/>
  <c r="AF569" i="15"/>
  <c r="AH569" i="15" s="1"/>
  <c r="AG570" i="15" l="1"/>
  <c r="AF570" i="15"/>
  <c r="AH570" i="15" s="1"/>
  <c r="AC693" i="15"/>
  <c r="AB693" i="15"/>
  <c r="AD693" i="15" s="1"/>
  <c r="AW78" i="15"/>
  <c r="AV78" i="15"/>
  <c r="AX78" i="15" s="1"/>
  <c r="AO324" i="15"/>
  <c r="AN324" i="15"/>
  <c r="AP324" i="15" s="1"/>
  <c r="AS201" i="15"/>
  <c r="AR201" i="15"/>
  <c r="AT201" i="15" s="1"/>
  <c r="AK447" i="15"/>
  <c r="AJ447" i="15"/>
  <c r="AL447" i="15" s="1"/>
  <c r="Y816" i="15"/>
  <c r="X816" i="15"/>
  <c r="Z816" i="15" s="1"/>
  <c r="U939" i="15"/>
  <c r="T939" i="15"/>
  <c r="V939" i="15" s="1"/>
  <c r="U940" i="15" l="1"/>
  <c r="T940" i="15"/>
  <c r="V940" i="15" s="1"/>
  <c r="AK448" i="15"/>
  <c r="AJ448" i="15"/>
  <c r="AL448" i="15" s="1"/>
  <c r="AS202" i="15"/>
  <c r="AR202" i="15"/>
  <c r="AT202" i="15" s="1"/>
  <c r="AO325" i="15"/>
  <c r="AN325" i="15"/>
  <c r="AP325" i="15" s="1"/>
  <c r="AW79" i="15"/>
  <c r="AV79" i="15"/>
  <c r="AX79" i="15" s="1"/>
  <c r="AG571" i="15"/>
  <c r="AF571" i="15"/>
  <c r="AH571" i="15" s="1"/>
  <c r="Y817" i="15"/>
  <c r="X817" i="15"/>
  <c r="Z817" i="15" s="1"/>
  <c r="AC694" i="15"/>
  <c r="AB694" i="15"/>
  <c r="AD694" i="15" s="1"/>
  <c r="Y818" i="15" l="1"/>
  <c r="X818" i="15"/>
  <c r="Z818" i="15" s="1"/>
  <c r="AO326" i="15"/>
  <c r="AN326" i="15"/>
  <c r="AP326" i="15" s="1"/>
  <c r="AK449" i="15"/>
  <c r="AJ449" i="15"/>
  <c r="AL449" i="15" s="1"/>
  <c r="AC695" i="15"/>
  <c r="AB695" i="15"/>
  <c r="AD695" i="15" s="1"/>
  <c r="AG572" i="15"/>
  <c r="AF572" i="15"/>
  <c r="AH572" i="15" s="1"/>
  <c r="AW80" i="15"/>
  <c r="AV80" i="15"/>
  <c r="AX80" i="15" s="1"/>
  <c r="AS203" i="15"/>
  <c r="AR203" i="15"/>
  <c r="AT203" i="15" s="1"/>
  <c r="U941" i="15"/>
  <c r="T941" i="15"/>
  <c r="V941" i="15" s="1"/>
  <c r="U942" i="15" l="1"/>
  <c r="T942" i="15"/>
  <c r="V942" i="15" s="1"/>
  <c r="AW81" i="15"/>
  <c r="AV81" i="15"/>
  <c r="AX81" i="15" s="1"/>
  <c r="AG573" i="15"/>
  <c r="AF573" i="15"/>
  <c r="AH573" i="15" s="1"/>
  <c r="AC696" i="15"/>
  <c r="AB696" i="15"/>
  <c r="AD696" i="15" s="1"/>
  <c r="AK450" i="15"/>
  <c r="AJ450" i="15"/>
  <c r="AL450" i="15" s="1"/>
  <c r="Y819" i="15"/>
  <c r="X819" i="15"/>
  <c r="Z819" i="15" s="1"/>
  <c r="AS204" i="15"/>
  <c r="AR204" i="15"/>
  <c r="AT204" i="15" s="1"/>
  <c r="AO327" i="15"/>
  <c r="AN327" i="15"/>
  <c r="AP327" i="15" s="1"/>
  <c r="AO328" i="15" l="1"/>
  <c r="AN328" i="15"/>
  <c r="AP328" i="15" s="1"/>
  <c r="Y820" i="15"/>
  <c r="X820" i="15"/>
  <c r="Z820" i="15" s="1"/>
  <c r="AK451" i="15"/>
  <c r="AJ451" i="15"/>
  <c r="AL451" i="15" s="1"/>
  <c r="AC697" i="15"/>
  <c r="AB697" i="15"/>
  <c r="AD697" i="15" s="1"/>
  <c r="AG574" i="15"/>
  <c r="AF574" i="15"/>
  <c r="AH574" i="15" s="1"/>
  <c r="U943" i="15"/>
  <c r="T943" i="15"/>
  <c r="V943" i="15" s="1"/>
  <c r="AS205" i="15"/>
  <c r="AR205" i="15"/>
  <c r="AT205" i="15" s="1"/>
  <c r="AW82" i="15"/>
  <c r="AV82" i="15"/>
  <c r="AX82" i="15" s="1"/>
  <c r="AS206" i="15" l="1"/>
  <c r="AR206" i="15"/>
  <c r="AT206" i="15" s="1"/>
  <c r="AG575" i="15"/>
  <c r="AF575" i="15"/>
  <c r="AH575" i="15" s="1"/>
  <c r="AK452" i="15"/>
  <c r="AJ452" i="15"/>
  <c r="AL452" i="15" s="1"/>
  <c r="AO329" i="15"/>
  <c r="AN329" i="15"/>
  <c r="AP329" i="15" s="1"/>
  <c r="AW83" i="15"/>
  <c r="AV83" i="15"/>
  <c r="AX83" i="15" s="1"/>
  <c r="U944" i="15"/>
  <c r="T944" i="15"/>
  <c r="V944" i="15" s="1"/>
  <c r="AC698" i="15"/>
  <c r="AB698" i="15"/>
  <c r="AD698" i="15" s="1"/>
  <c r="Y821" i="15"/>
  <c r="X821" i="15"/>
  <c r="Z821" i="15" s="1"/>
  <c r="Y822" i="15" l="1"/>
  <c r="X822" i="15"/>
  <c r="Z822" i="15" s="1"/>
  <c r="AC699" i="15"/>
  <c r="AB699" i="15"/>
  <c r="AD699" i="15" s="1"/>
  <c r="AW84" i="15"/>
  <c r="AV84" i="15"/>
  <c r="AX84" i="15" s="1"/>
  <c r="AO330" i="15"/>
  <c r="AN330" i="15"/>
  <c r="AP330" i="15" s="1"/>
  <c r="AK453" i="15"/>
  <c r="AJ453" i="15"/>
  <c r="AL453" i="15" s="1"/>
  <c r="AS207" i="15"/>
  <c r="AR207" i="15"/>
  <c r="AT207" i="15" s="1"/>
  <c r="U945" i="15"/>
  <c r="T945" i="15"/>
  <c r="V945" i="15" s="1"/>
  <c r="AG576" i="15"/>
  <c r="AF576" i="15"/>
  <c r="AH576" i="15" s="1"/>
  <c r="AG577" i="15" l="1"/>
  <c r="AF577" i="15"/>
  <c r="AH577" i="15" s="1"/>
  <c r="AS208" i="15"/>
  <c r="AR208" i="15"/>
  <c r="AT208" i="15" s="1"/>
  <c r="AK454" i="15"/>
  <c r="AJ454" i="15"/>
  <c r="AL454" i="15" s="1"/>
  <c r="AO331" i="15"/>
  <c r="AN331" i="15"/>
  <c r="AP331" i="15" s="1"/>
  <c r="AC700" i="15"/>
  <c r="AB700" i="15"/>
  <c r="AD700" i="15" s="1"/>
  <c r="Y823" i="15"/>
  <c r="X823" i="15"/>
  <c r="Z823" i="15" s="1"/>
  <c r="U946" i="15"/>
  <c r="T946" i="15"/>
  <c r="V946" i="15" s="1"/>
  <c r="AW85" i="15"/>
  <c r="AV85" i="15"/>
  <c r="AX85" i="15" s="1"/>
  <c r="AW86" i="15" l="1"/>
  <c r="AV86" i="15"/>
  <c r="AX86" i="15" s="1"/>
  <c r="Y824" i="15"/>
  <c r="X824" i="15"/>
  <c r="Z824" i="15" s="1"/>
  <c r="AC701" i="15"/>
  <c r="AB701" i="15"/>
  <c r="AD701" i="15" s="1"/>
  <c r="AK455" i="15"/>
  <c r="AJ455" i="15"/>
  <c r="AL455" i="15" s="1"/>
  <c r="AG578" i="15"/>
  <c r="AF578" i="15"/>
  <c r="AH578" i="15" s="1"/>
  <c r="U947" i="15"/>
  <c r="T947" i="15"/>
  <c r="V947" i="15" s="1"/>
  <c r="AO332" i="15"/>
  <c r="AN332" i="15"/>
  <c r="AP332" i="15" s="1"/>
  <c r="AS209" i="15"/>
  <c r="AR209" i="15"/>
  <c r="AT209" i="15" s="1"/>
  <c r="AS210" i="15" l="1"/>
  <c r="AR210" i="15"/>
  <c r="AT210" i="15" s="1"/>
  <c r="AO333" i="15"/>
  <c r="AN333" i="15"/>
  <c r="AP333" i="15" s="1"/>
  <c r="U948" i="15"/>
  <c r="T948" i="15"/>
  <c r="V948" i="15" s="1"/>
  <c r="AG579" i="15"/>
  <c r="AF579" i="15"/>
  <c r="AH579" i="15" s="1"/>
  <c r="AK456" i="15"/>
  <c r="AJ456" i="15"/>
  <c r="AL456" i="15" s="1"/>
  <c r="AC702" i="15"/>
  <c r="AB702" i="15"/>
  <c r="AD702" i="15" s="1"/>
  <c r="Y825" i="15"/>
  <c r="X825" i="15"/>
  <c r="Z825" i="15" s="1"/>
  <c r="AW87" i="15"/>
  <c r="AV87" i="15"/>
  <c r="AX87" i="15" s="1"/>
  <c r="AW88" i="15" l="1"/>
  <c r="AV88" i="15"/>
  <c r="AX88" i="15" s="1"/>
  <c r="AC703" i="15"/>
  <c r="AB703" i="15"/>
  <c r="AD703" i="15" s="1"/>
  <c r="AK457" i="15"/>
  <c r="AJ457" i="15"/>
  <c r="AL457" i="15" s="1"/>
  <c r="AG580" i="15"/>
  <c r="AF580" i="15"/>
  <c r="AH580" i="15" s="1"/>
  <c r="AO334" i="15"/>
  <c r="AN334" i="15"/>
  <c r="AP334" i="15" s="1"/>
  <c r="AS211" i="15"/>
  <c r="AR211" i="15"/>
  <c r="AT211" i="15" s="1"/>
  <c r="Y826" i="15"/>
  <c r="X826" i="15"/>
  <c r="Z826" i="15" s="1"/>
  <c r="U949" i="15"/>
  <c r="T949" i="15"/>
  <c r="V949" i="15" s="1"/>
  <c r="U950" i="15" l="1"/>
  <c r="T950" i="15"/>
  <c r="V950" i="15" s="1"/>
  <c r="AS212" i="15"/>
  <c r="AR212" i="15"/>
  <c r="AT212" i="15" s="1"/>
  <c r="AO335" i="15"/>
  <c r="AN335" i="15"/>
  <c r="AP335" i="15" s="1"/>
  <c r="AG581" i="15"/>
  <c r="AF581" i="15"/>
  <c r="AH581" i="15" s="1"/>
  <c r="AK458" i="15"/>
  <c r="AJ458" i="15"/>
  <c r="AL458" i="15" s="1"/>
  <c r="AW89" i="15"/>
  <c r="AV89" i="15"/>
  <c r="AX89" i="15" s="1"/>
  <c r="Y827" i="15"/>
  <c r="X827" i="15"/>
  <c r="Z827" i="15" s="1"/>
  <c r="AC704" i="15"/>
  <c r="AB704" i="15"/>
  <c r="AD704" i="15" s="1"/>
  <c r="AC705" i="15" l="1"/>
  <c r="AB705" i="15"/>
  <c r="AD705" i="15" s="1"/>
  <c r="AW90" i="15"/>
  <c r="AV90" i="15"/>
  <c r="AX90" i="15" s="1"/>
  <c r="AK459" i="15"/>
  <c r="AJ459" i="15"/>
  <c r="AL459" i="15" s="1"/>
  <c r="AO336" i="15"/>
  <c r="AN336" i="15"/>
  <c r="AP336" i="15" s="1"/>
  <c r="U951" i="15"/>
  <c r="T951" i="15"/>
  <c r="V951" i="15" s="1"/>
  <c r="Y828" i="15"/>
  <c r="X828" i="15"/>
  <c r="Z828" i="15" s="1"/>
  <c r="AG582" i="15"/>
  <c r="AF582" i="15"/>
  <c r="AH582" i="15" s="1"/>
  <c r="AS213" i="15"/>
  <c r="AR213" i="15"/>
  <c r="AT213" i="15" s="1"/>
  <c r="AS214" i="15" l="1"/>
  <c r="AR214" i="15"/>
  <c r="AT214" i="15" s="1"/>
  <c r="Y829" i="15"/>
  <c r="X829" i="15"/>
  <c r="Z829" i="15" s="1"/>
  <c r="AO337" i="15"/>
  <c r="AN337" i="15"/>
  <c r="AP337" i="15" s="1"/>
  <c r="AK460" i="15"/>
  <c r="AJ460" i="15"/>
  <c r="AL460" i="15" s="1"/>
  <c r="AC706" i="15"/>
  <c r="AB706" i="15"/>
  <c r="AD706" i="15" s="1"/>
  <c r="AG583" i="15"/>
  <c r="AF583" i="15"/>
  <c r="AH583" i="15" s="1"/>
  <c r="U952" i="15"/>
  <c r="T952" i="15"/>
  <c r="V952" i="15" s="1"/>
  <c r="AW91" i="15"/>
  <c r="AV91" i="15"/>
  <c r="AX91" i="15" s="1"/>
  <c r="U953" i="15" l="1"/>
  <c r="T953" i="15"/>
  <c r="V953" i="15" s="1"/>
  <c r="AC707" i="15"/>
  <c r="AB707" i="15"/>
  <c r="AD707" i="15" s="1"/>
  <c r="AO338" i="15"/>
  <c r="AN338" i="15"/>
  <c r="AP338" i="15" s="1"/>
  <c r="AS215" i="15"/>
  <c r="AR215" i="15"/>
  <c r="AT215" i="15" s="1"/>
  <c r="AW92" i="15"/>
  <c r="AV92" i="15"/>
  <c r="AX92" i="15" s="1"/>
  <c r="AG584" i="15"/>
  <c r="AF584" i="15"/>
  <c r="AH584" i="15" s="1"/>
  <c r="AK461" i="15"/>
  <c r="AJ461" i="15"/>
  <c r="AL461" i="15" s="1"/>
  <c r="Y830" i="15"/>
  <c r="X830" i="15"/>
  <c r="Z830" i="15" s="1"/>
  <c r="AK462" i="15" l="1"/>
  <c r="AJ462" i="15"/>
  <c r="AL462" i="15" s="1"/>
  <c r="AS216" i="15"/>
  <c r="AR216" i="15"/>
  <c r="AT216" i="15" s="1"/>
  <c r="U954" i="15"/>
  <c r="T954" i="15"/>
  <c r="V954" i="15" s="1"/>
  <c r="Y831" i="15"/>
  <c r="X831" i="15"/>
  <c r="Z831" i="15" s="1"/>
  <c r="AG585" i="15"/>
  <c r="AF585" i="15"/>
  <c r="AH585" i="15" s="1"/>
  <c r="AW93" i="15"/>
  <c r="AV93" i="15"/>
  <c r="AX93" i="15" s="1"/>
  <c r="AO339" i="15"/>
  <c r="AN339" i="15"/>
  <c r="AP339" i="15" s="1"/>
  <c r="AC708" i="15"/>
  <c r="AB708" i="15"/>
  <c r="AD708" i="15" s="1"/>
  <c r="AC709" i="15" l="1"/>
  <c r="AB709" i="15"/>
  <c r="AD709" i="15" s="1"/>
  <c r="AO340" i="15"/>
  <c r="AN340" i="15"/>
  <c r="AP340" i="15" s="1"/>
  <c r="AW94" i="15"/>
  <c r="AV94" i="15"/>
  <c r="AX94" i="15" s="1"/>
  <c r="AG586" i="15"/>
  <c r="AF586" i="15"/>
  <c r="AH586" i="15" s="1"/>
  <c r="Y832" i="15"/>
  <c r="X832" i="15"/>
  <c r="Z832" i="15" s="1"/>
  <c r="U955" i="15"/>
  <c r="T955" i="15"/>
  <c r="V955" i="15" s="1"/>
  <c r="AS217" i="15"/>
  <c r="AR217" i="15"/>
  <c r="AT217" i="15" s="1"/>
  <c r="AK463" i="15"/>
  <c r="AJ463" i="15"/>
  <c r="AL463" i="15" s="1"/>
  <c r="AK464" i="15" l="1"/>
  <c r="AJ464" i="15"/>
  <c r="AL464" i="15" s="1"/>
  <c r="AS218" i="15"/>
  <c r="AR218" i="15"/>
  <c r="AT218" i="15" s="1"/>
  <c r="U956" i="15"/>
  <c r="T956" i="15"/>
  <c r="V956" i="15" s="1"/>
  <c r="Y833" i="15"/>
  <c r="X833" i="15"/>
  <c r="Z833" i="15" s="1"/>
  <c r="AG587" i="15"/>
  <c r="AF587" i="15"/>
  <c r="AH587" i="15" s="1"/>
  <c r="AW95" i="15"/>
  <c r="AV95" i="15"/>
  <c r="AX95" i="15" s="1"/>
  <c r="AO341" i="15"/>
  <c r="AN341" i="15"/>
  <c r="AP341" i="15" s="1"/>
  <c r="AC710" i="15"/>
  <c r="AB710" i="15"/>
  <c r="AD710" i="15" s="1"/>
  <c r="AC711" i="15" l="1"/>
  <c r="AB711" i="15"/>
  <c r="AD711" i="15" s="1"/>
  <c r="AO342" i="15"/>
  <c r="AN342" i="15"/>
  <c r="AP342" i="15" s="1"/>
  <c r="AW96" i="15"/>
  <c r="AV96" i="15"/>
  <c r="AX96" i="15" s="1"/>
  <c r="AG588" i="15"/>
  <c r="AF588" i="15"/>
  <c r="AH588" i="15" s="1"/>
  <c r="Y834" i="15"/>
  <c r="X834" i="15"/>
  <c r="Z834" i="15" s="1"/>
  <c r="U957" i="15"/>
  <c r="T957" i="15"/>
  <c r="V957" i="15" s="1"/>
  <c r="AS219" i="15"/>
  <c r="AR219" i="15"/>
  <c r="AT219" i="15" s="1"/>
  <c r="AK465" i="15"/>
  <c r="AJ465" i="15"/>
  <c r="AL465" i="15" s="1"/>
  <c r="AK466" i="15" l="1"/>
  <c r="AJ466" i="15"/>
  <c r="AL466" i="15" s="1"/>
  <c r="U958" i="15"/>
  <c r="T958" i="15"/>
  <c r="V958" i="15" s="1"/>
  <c r="AG589" i="15"/>
  <c r="AF589" i="15"/>
  <c r="AH589" i="15" s="1"/>
  <c r="AW97" i="15"/>
  <c r="AV97" i="15"/>
  <c r="AX97" i="15" s="1"/>
  <c r="AC712" i="15"/>
  <c r="AB712" i="15"/>
  <c r="AD712" i="15" s="1"/>
  <c r="AS220" i="15"/>
  <c r="AR220" i="15"/>
  <c r="AT220" i="15" s="1"/>
  <c r="Y835" i="15"/>
  <c r="X835" i="15"/>
  <c r="Z835" i="15" s="1"/>
  <c r="AO343" i="15"/>
  <c r="AN343" i="15"/>
  <c r="AP343" i="15" s="1"/>
  <c r="AO344" i="15" l="1"/>
  <c r="AN344" i="15"/>
  <c r="AP344" i="15" s="1"/>
  <c r="AS221" i="15"/>
  <c r="AR221" i="15"/>
  <c r="AT221" i="15" s="1"/>
  <c r="AW98" i="15"/>
  <c r="AV98" i="15"/>
  <c r="AX98" i="15" s="1"/>
  <c r="AG590" i="15"/>
  <c r="AF590" i="15"/>
  <c r="AH590" i="15" s="1"/>
  <c r="AK467" i="15"/>
  <c r="AJ467" i="15"/>
  <c r="AL467" i="15" s="1"/>
  <c r="Y836" i="15"/>
  <c r="X836" i="15"/>
  <c r="Z836" i="15" s="1"/>
  <c r="AC713" i="15"/>
  <c r="AB713" i="15"/>
  <c r="AD713" i="15" s="1"/>
  <c r="U959" i="15"/>
  <c r="T959" i="15"/>
  <c r="V959" i="15" s="1"/>
  <c r="AC714" i="15" l="1"/>
  <c r="AB714" i="15"/>
  <c r="AD714" i="15" s="1"/>
  <c r="Y837" i="15"/>
  <c r="X837" i="15"/>
  <c r="Z837" i="15" s="1"/>
  <c r="AG591" i="15"/>
  <c r="AF591" i="15"/>
  <c r="AH591" i="15" s="1"/>
  <c r="AW99" i="15"/>
  <c r="AV99" i="15"/>
  <c r="AX99" i="15" s="1"/>
  <c r="AO345" i="15"/>
  <c r="AN345" i="15"/>
  <c r="AP345" i="15" s="1"/>
  <c r="U960" i="15"/>
  <c r="T960" i="15"/>
  <c r="V960" i="15" s="1"/>
  <c r="AK468" i="15"/>
  <c r="AJ468" i="15"/>
  <c r="AL468" i="15" s="1"/>
  <c r="AS222" i="15"/>
  <c r="AR222" i="15"/>
  <c r="AT222" i="15" s="1"/>
  <c r="AK469" i="15" l="1"/>
  <c r="AJ469" i="15"/>
  <c r="AL469" i="15" s="1"/>
  <c r="AO346" i="15"/>
  <c r="AN346" i="15"/>
  <c r="AP346" i="15" s="1"/>
  <c r="AW100" i="15"/>
  <c r="AV100" i="15"/>
  <c r="AX100" i="15" s="1"/>
  <c r="AG592" i="15"/>
  <c r="AF592" i="15"/>
  <c r="AH592" i="15" s="1"/>
  <c r="AC715" i="15"/>
  <c r="AB715" i="15"/>
  <c r="AD715" i="15" s="1"/>
  <c r="AS223" i="15"/>
  <c r="AR223" i="15"/>
  <c r="AT223" i="15" s="1"/>
  <c r="U961" i="15"/>
  <c r="T961" i="15"/>
  <c r="V961" i="15" s="1"/>
  <c r="Y838" i="15"/>
  <c r="X838" i="15"/>
  <c r="Z838" i="15" s="1"/>
  <c r="Y839" i="15" l="1"/>
  <c r="X839" i="15"/>
  <c r="Z839" i="15" s="1"/>
  <c r="AS224" i="15"/>
  <c r="AR224" i="15"/>
  <c r="AT224" i="15" s="1"/>
  <c r="AG593" i="15"/>
  <c r="AF593" i="15"/>
  <c r="AH593" i="15" s="1"/>
  <c r="AW101" i="15"/>
  <c r="AV101" i="15"/>
  <c r="AX101" i="15" s="1"/>
  <c r="AK470" i="15"/>
  <c r="AJ470" i="15"/>
  <c r="AL470" i="15" s="1"/>
  <c r="U962" i="15"/>
  <c r="T962" i="15"/>
  <c r="V962" i="15" s="1"/>
  <c r="AC716" i="15"/>
  <c r="AB716" i="15"/>
  <c r="AD716" i="15" s="1"/>
  <c r="AO347" i="15"/>
  <c r="AN347" i="15"/>
  <c r="AP347" i="15" s="1"/>
  <c r="AO348" i="15" l="1"/>
  <c r="AN348" i="15"/>
  <c r="AP348" i="15" s="1"/>
  <c r="U963" i="15"/>
  <c r="T963" i="15"/>
  <c r="V963" i="15" s="1"/>
  <c r="AW102" i="15"/>
  <c r="AV102" i="15"/>
  <c r="AX102" i="15" s="1"/>
  <c r="AG594" i="15"/>
  <c r="AF594" i="15"/>
  <c r="AH594" i="15" s="1"/>
  <c r="Y840" i="15"/>
  <c r="X840" i="15"/>
  <c r="Z840" i="15" s="1"/>
  <c r="AC717" i="15"/>
  <c r="AB717" i="15"/>
  <c r="AD717" i="15" s="1"/>
  <c r="AK471" i="15"/>
  <c r="AJ471" i="15"/>
  <c r="AL471" i="15" s="1"/>
  <c r="AS225" i="15"/>
  <c r="AR225" i="15"/>
  <c r="AT225" i="15" s="1"/>
  <c r="AS226" i="15" l="1"/>
  <c r="AR226" i="15"/>
  <c r="AT226" i="15" s="1"/>
  <c r="AC718" i="15"/>
  <c r="AB718" i="15"/>
  <c r="AD718" i="15" s="1"/>
  <c r="AG595" i="15"/>
  <c r="AF595" i="15"/>
  <c r="AH595" i="15" s="1"/>
  <c r="AW103" i="15"/>
  <c r="AV103" i="15"/>
  <c r="AX103" i="15" s="1"/>
  <c r="AO349" i="15"/>
  <c r="AN349" i="15"/>
  <c r="AP349" i="15" s="1"/>
  <c r="AK472" i="15"/>
  <c r="AJ472" i="15"/>
  <c r="AL472" i="15" s="1"/>
  <c r="Y841" i="15"/>
  <c r="X841" i="15"/>
  <c r="Z841" i="15" s="1"/>
  <c r="U964" i="15"/>
  <c r="T964" i="15"/>
  <c r="V964" i="15" s="1"/>
  <c r="U965" i="15" l="1"/>
  <c r="T965" i="15"/>
  <c r="V965" i="15" s="1"/>
  <c r="AK473" i="15"/>
  <c r="AJ473" i="15"/>
  <c r="AL473" i="15" s="1"/>
  <c r="AW104" i="15"/>
  <c r="AV104" i="15"/>
  <c r="AX104" i="15" s="1"/>
  <c r="AG596" i="15"/>
  <c r="AF596" i="15"/>
  <c r="AH596" i="15" s="1"/>
  <c r="AS227" i="15"/>
  <c r="AR227" i="15"/>
  <c r="AT227" i="15" s="1"/>
  <c r="Y842" i="15"/>
  <c r="X842" i="15"/>
  <c r="Z842" i="15" s="1"/>
  <c r="AO350" i="15"/>
  <c r="AN350" i="15"/>
  <c r="AP350" i="15" s="1"/>
  <c r="AC719" i="15"/>
  <c r="AB719" i="15"/>
  <c r="AD719" i="15" s="1"/>
  <c r="AC720" i="15" l="1"/>
  <c r="AB720" i="15"/>
  <c r="AD720" i="15" s="1"/>
  <c r="Y843" i="15"/>
  <c r="X843" i="15"/>
  <c r="Z843" i="15" s="1"/>
  <c r="AG597" i="15"/>
  <c r="AF597" i="15"/>
  <c r="AH597" i="15" s="1"/>
  <c r="AW105" i="15"/>
  <c r="AV105" i="15"/>
  <c r="AX105" i="15" s="1"/>
  <c r="U966" i="15"/>
  <c r="T966" i="15"/>
  <c r="V966" i="15" s="1"/>
  <c r="AO351" i="15"/>
  <c r="AN351" i="15"/>
  <c r="AP351" i="15" s="1"/>
  <c r="AS228" i="15"/>
  <c r="AR228" i="15"/>
  <c r="AT228" i="15" s="1"/>
  <c r="AK474" i="15"/>
  <c r="AJ474" i="15"/>
  <c r="AL474" i="15" s="1"/>
  <c r="AS229" i="15" l="1"/>
  <c r="AR229" i="15"/>
  <c r="AT229" i="15" s="1"/>
  <c r="U967" i="15"/>
  <c r="T967" i="15"/>
  <c r="V967" i="15" s="1"/>
  <c r="AG598" i="15"/>
  <c r="AF598" i="15"/>
  <c r="AH598" i="15" s="1"/>
  <c r="AC721" i="15"/>
  <c r="AB721" i="15"/>
  <c r="AD721" i="15" s="1"/>
  <c r="AK475" i="15"/>
  <c r="AJ475" i="15"/>
  <c r="AL475" i="15" s="1"/>
  <c r="AO352" i="15"/>
  <c r="AN352" i="15"/>
  <c r="AP352" i="15" s="1"/>
  <c r="AW106" i="15"/>
  <c r="AV106" i="15"/>
  <c r="AX106" i="15" s="1"/>
  <c r="Y844" i="15"/>
  <c r="X844" i="15"/>
  <c r="Z844" i="15" s="1"/>
  <c r="Y845" i="15" l="1"/>
  <c r="X845" i="15"/>
  <c r="Z845" i="15" s="1"/>
  <c r="AO353" i="15"/>
  <c r="AN353" i="15"/>
  <c r="AP353" i="15" s="1"/>
  <c r="AC722" i="15"/>
  <c r="AB722" i="15"/>
  <c r="AD722" i="15" s="1"/>
  <c r="AG599" i="15"/>
  <c r="AF599" i="15"/>
  <c r="AH599" i="15" s="1"/>
  <c r="AS230" i="15"/>
  <c r="AR230" i="15"/>
  <c r="AT230" i="15" s="1"/>
  <c r="AW107" i="15"/>
  <c r="AV107" i="15"/>
  <c r="AX107" i="15" s="1"/>
  <c r="AK476" i="15"/>
  <c r="AJ476" i="15"/>
  <c r="AL476" i="15" s="1"/>
  <c r="U968" i="15"/>
  <c r="T968" i="15"/>
  <c r="V968" i="15" s="1"/>
  <c r="AK477" i="15" l="1"/>
  <c r="AJ477" i="15"/>
  <c r="AL477" i="15" s="1"/>
  <c r="AS231" i="15"/>
  <c r="AR231" i="15"/>
  <c r="AT231" i="15" s="1"/>
  <c r="AC723" i="15"/>
  <c r="AB723" i="15"/>
  <c r="AD723" i="15" s="1"/>
  <c r="Y846" i="15"/>
  <c r="X846" i="15"/>
  <c r="Z846" i="15" s="1"/>
  <c r="U969" i="15"/>
  <c r="T969" i="15"/>
  <c r="V969" i="15" s="1"/>
  <c r="AW108" i="15"/>
  <c r="AV108" i="15"/>
  <c r="AX108" i="15" s="1"/>
  <c r="AG600" i="15"/>
  <c r="AF600" i="15"/>
  <c r="AH600" i="15" s="1"/>
  <c r="AO354" i="15"/>
  <c r="AN354" i="15"/>
  <c r="AP354" i="15" s="1"/>
  <c r="AO355" i="15" l="1"/>
  <c r="AN355" i="15"/>
  <c r="AP355" i="15" s="1"/>
  <c r="AW109" i="15"/>
  <c r="AV109" i="15"/>
  <c r="AX109" i="15" s="1"/>
  <c r="U970" i="15"/>
  <c r="T970" i="15"/>
  <c r="V970" i="15" s="1"/>
  <c r="Y847" i="15"/>
  <c r="X847" i="15"/>
  <c r="Z847" i="15" s="1"/>
  <c r="AC724" i="15"/>
  <c r="AB724" i="15"/>
  <c r="AD724" i="15" s="1"/>
  <c r="AK478" i="15"/>
  <c r="AJ478" i="15"/>
  <c r="AL478" i="15" s="1"/>
  <c r="AG601" i="15"/>
  <c r="AF601" i="15"/>
  <c r="AH601" i="15" s="1"/>
  <c r="AS232" i="15"/>
  <c r="AR232" i="15"/>
  <c r="AT232" i="15" s="1"/>
  <c r="AS233" i="15" l="1"/>
  <c r="AR233" i="15"/>
  <c r="AT233" i="15" s="1"/>
  <c r="AK479" i="15"/>
  <c r="AJ479" i="15"/>
  <c r="AL479" i="15" s="1"/>
  <c r="Y848" i="15"/>
  <c r="X848" i="15"/>
  <c r="Z848" i="15" s="1"/>
  <c r="U971" i="15"/>
  <c r="T971" i="15"/>
  <c r="V971" i="15" s="1"/>
  <c r="AO356" i="15"/>
  <c r="AN356" i="15"/>
  <c r="AP356" i="15" s="1"/>
  <c r="AG602" i="15"/>
  <c r="AF602" i="15"/>
  <c r="AH602" i="15" s="1"/>
  <c r="AC725" i="15"/>
  <c r="AB725" i="15"/>
  <c r="AD725" i="15" s="1"/>
  <c r="AW110" i="15"/>
  <c r="AV110" i="15"/>
  <c r="AX110" i="15" s="1"/>
  <c r="AW111" i="15" l="1"/>
  <c r="AV111" i="15"/>
  <c r="AX111" i="15" s="1"/>
  <c r="AG603" i="15"/>
  <c r="AF603" i="15"/>
  <c r="AH603" i="15" s="1"/>
  <c r="AO357" i="15"/>
  <c r="AN357" i="15"/>
  <c r="AP357" i="15" s="1"/>
  <c r="U972" i="15"/>
  <c r="T972" i="15"/>
  <c r="V972" i="15" s="1"/>
  <c r="Y849" i="15"/>
  <c r="X849" i="15"/>
  <c r="Z849" i="15" s="1"/>
  <c r="AS234" i="15"/>
  <c r="AR234" i="15"/>
  <c r="AT234" i="15" s="1"/>
  <c r="AC726" i="15"/>
  <c r="AB726" i="15"/>
  <c r="AD726" i="15" s="1"/>
  <c r="AK480" i="15"/>
  <c r="AJ480" i="15"/>
  <c r="AL480" i="15" s="1"/>
  <c r="AC727" i="15" l="1"/>
  <c r="AB727" i="15"/>
  <c r="AD727" i="15" s="1"/>
  <c r="Y850" i="15"/>
  <c r="X850" i="15"/>
  <c r="Z850" i="15" s="1"/>
  <c r="AO358" i="15"/>
  <c r="AN358" i="15"/>
  <c r="AP358" i="15" s="1"/>
  <c r="AW112" i="15"/>
  <c r="AV112" i="15"/>
  <c r="AX112" i="15" s="1"/>
  <c r="AK481" i="15"/>
  <c r="AJ481" i="15"/>
  <c r="AL481" i="15" s="1"/>
  <c r="AS235" i="15"/>
  <c r="AR235" i="15"/>
  <c r="AT235" i="15" s="1"/>
  <c r="U973" i="15"/>
  <c r="T973" i="15"/>
  <c r="V973" i="15" s="1"/>
  <c r="AG604" i="15"/>
  <c r="AF604" i="15"/>
  <c r="AH604" i="15" s="1"/>
  <c r="AG605" i="15" l="1"/>
  <c r="AF605" i="15"/>
  <c r="AH605" i="15" s="1"/>
  <c r="AS236" i="15"/>
  <c r="AR236" i="15"/>
  <c r="AT236" i="15" s="1"/>
  <c r="AW113" i="15"/>
  <c r="AV113" i="15"/>
  <c r="AX113" i="15" s="1"/>
  <c r="AO359" i="15"/>
  <c r="AN359" i="15"/>
  <c r="AP359" i="15" s="1"/>
  <c r="AC728" i="15"/>
  <c r="AB728" i="15"/>
  <c r="AD728" i="15" s="1"/>
  <c r="U974" i="15"/>
  <c r="T974" i="15"/>
  <c r="V974" i="15" s="1"/>
  <c r="AK482" i="15"/>
  <c r="AJ482" i="15"/>
  <c r="AL482" i="15" s="1"/>
  <c r="Y851" i="15"/>
  <c r="X851" i="15"/>
  <c r="Z851" i="15" s="1"/>
  <c r="AK483" i="15" l="1"/>
  <c r="AJ483" i="15"/>
  <c r="AL483" i="15" s="1"/>
  <c r="AC729" i="15"/>
  <c r="AB729" i="15"/>
  <c r="AD729" i="15" s="1"/>
  <c r="AW114" i="15"/>
  <c r="AV114" i="15"/>
  <c r="AX114" i="15" s="1"/>
  <c r="AG606" i="15"/>
  <c r="AF606" i="15"/>
  <c r="AH606" i="15" s="1"/>
  <c r="Y852" i="15"/>
  <c r="X852" i="15"/>
  <c r="Z852" i="15" s="1"/>
  <c r="U975" i="15"/>
  <c r="T975" i="15"/>
  <c r="V975" i="15" s="1"/>
  <c r="AO360" i="15"/>
  <c r="AN360" i="15"/>
  <c r="AP360" i="15" s="1"/>
  <c r="AS237" i="15"/>
  <c r="AR237" i="15"/>
  <c r="AT237" i="15" s="1"/>
  <c r="AS238" i="15" l="1"/>
  <c r="AR238" i="15"/>
  <c r="AT238" i="15" s="1"/>
  <c r="U976" i="15"/>
  <c r="T976" i="15"/>
  <c r="V976" i="15" s="1"/>
  <c r="Y853" i="15"/>
  <c r="X853" i="15"/>
  <c r="Z853" i="15" s="1"/>
  <c r="AG607" i="15"/>
  <c r="AF607" i="15"/>
  <c r="AH607" i="15" s="1"/>
  <c r="AW115" i="15"/>
  <c r="AV115" i="15"/>
  <c r="AX115" i="15" s="1"/>
  <c r="AK484" i="15"/>
  <c r="AJ484" i="15"/>
  <c r="AL484" i="15" s="1"/>
  <c r="AO361" i="15"/>
  <c r="AN361" i="15"/>
  <c r="AP361" i="15" s="1"/>
  <c r="AC730" i="15"/>
  <c r="AB730" i="15"/>
  <c r="AD730" i="15" s="1"/>
  <c r="AC731" i="15" l="1"/>
  <c r="AB731" i="15"/>
  <c r="AD731" i="15" s="1"/>
  <c r="AK485" i="15"/>
  <c r="AJ485" i="15"/>
  <c r="AL485" i="15" s="1"/>
  <c r="AW116" i="15"/>
  <c r="AV116" i="15"/>
  <c r="AX116" i="15" s="1"/>
  <c r="AG608" i="15"/>
  <c r="AF608" i="15"/>
  <c r="AH608" i="15" s="1"/>
  <c r="U977" i="15"/>
  <c r="T977" i="15"/>
  <c r="V977" i="15" s="1"/>
  <c r="AS239" i="15"/>
  <c r="AR239" i="15"/>
  <c r="AT239" i="15" s="1"/>
  <c r="AO362" i="15"/>
  <c r="AN362" i="15"/>
  <c r="AP362" i="15" s="1"/>
  <c r="Y854" i="15"/>
  <c r="X854" i="15"/>
  <c r="Z854" i="15" s="1"/>
  <c r="Y855" i="15" l="1"/>
  <c r="X855" i="15"/>
  <c r="Z855" i="15" s="1"/>
  <c r="AS240" i="15"/>
  <c r="AR240" i="15"/>
  <c r="AT240" i="15" s="1"/>
  <c r="U978" i="15"/>
  <c r="T978" i="15"/>
  <c r="V978" i="15" s="1"/>
  <c r="AG609" i="15"/>
  <c r="AF609" i="15"/>
  <c r="AH609" i="15" s="1"/>
  <c r="AW117" i="15"/>
  <c r="AV117" i="15"/>
  <c r="AX117" i="15" s="1"/>
  <c r="AC732" i="15"/>
  <c r="AB732" i="15"/>
  <c r="AD732" i="15" s="1"/>
  <c r="AO363" i="15"/>
  <c r="AN363" i="15"/>
  <c r="AP363" i="15" s="1"/>
  <c r="AK486" i="15"/>
  <c r="AJ486" i="15"/>
  <c r="AL486" i="15" s="1"/>
  <c r="AK487" i="15" l="1"/>
  <c r="AJ487" i="15"/>
  <c r="AL487" i="15" s="1"/>
  <c r="AC733" i="15"/>
  <c r="AB733" i="15"/>
  <c r="AD733" i="15" s="1"/>
  <c r="AG610" i="15"/>
  <c r="AF610" i="15"/>
  <c r="AH610" i="15" s="1"/>
  <c r="U979" i="15"/>
  <c r="T979" i="15"/>
  <c r="V979" i="15" s="1"/>
  <c r="Y856" i="15"/>
  <c r="X856" i="15"/>
  <c r="Z856" i="15" s="1"/>
  <c r="AO364" i="15"/>
  <c r="AN364" i="15"/>
  <c r="AP364" i="15" s="1"/>
  <c r="AW118" i="15"/>
  <c r="AV118" i="15"/>
  <c r="AX118" i="15" s="1"/>
  <c r="AS241" i="15"/>
  <c r="AR241" i="15"/>
  <c r="AT241" i="15" s="1"/>
  <c r="AW119" i="15" l="1"/>
  <c r="AV119" i="15"/>
  <c r="AX119" i="15" s="1"/>
  <c r="Y857" i="15"/>
  <c r="X857" i="15"/>
  <c r="Z857" i="15" s="1"/>
  <c r="AG611" i="15"/>
  <c r="AF611" i="15"/>
  <c r="AH611" i="15" s="1"/>
  <c r="AK488" i="15"/>
  <c r="AJ488" i="15"/>
  <c r="AL488" i="15" s="1"/>
  <c r="AS242" i="15"/>
  <c r="AR242" i="15"/>
  <c r="AT242" i="15" s="1"/>
  <c r="AO365" i="15"/>
  <c r="AN365" i="15"/>
  <c r="AP365" i="15" s="1"/>
  <c r="U980" i="15"/>
  <c r="T980" i="15"/>
  <c r="V980" i="15" s="1"/>
  <c r="AC734" i="15"/>
  <c r="AB734" i="15"/>
  <c r="AD734" i="15" s="1"/>
  <c r="AC735" i="15" l="1"/>
  <c r="AB735" i="15"/>
  <c r="AD735" i="15" s="1"/>
  <c r="U981" i="15"/>
  <c r="T981" i="15"/>
  <c r="V981" i="15" s="1"/>
  <c r="AS243" i="15"/>
  <c r="AR243" i="15"/>
  <c r="AT243" i="15" s="1"/>
  <c r="AK489" i="15"/>
  <c r="AJ489" i="15"/>
  <c r="AL489" i="15" s="1"/>
  <c r="AG612" i="15"/>
  <c r="AF612" i="15"/>
  <c r="AH612" i="15" s="1"/>
  <c r="AW120" i="15"/>
  <c r="AV120" i="15"/>
  <c r="AX120" i="15" s="1"/>
  <c r="AO366" i="15"/>
  <c r="AN366" i="15"/>
  <c r="AP366" i="15" s="1"/>
  <c r="Y858" i="15"/>
  <c r="X858" i="15"/>
  <c r="Z858" i="15" s="1"/>
  <c r="AO367" i="15" l="1"/>
  <c r="AN367" i="15"/>
  <c r="AP367" i="15" s="1"/>
  <c r="AW121" i="15"/>
  <c r="AV121" i="15"/>
  <c r="AX121" i="15" s="1"/>
  <c r="AK490" i="15"/>
  <c r="AJ490" i="15"/>
  <c r="AL490" i="15" s="1"/>
  <c r="AS244" i="15"/>
  <c r="AR244" i="15"/>
  <c r="AT244" i="15" s="1"/>
  <c r="AC736" i="15"/>
  <c r="AB736" i="15"/>
  <c r="AD736" i="15" s="1"/>
  <c r="Y859" i="15"/>
  <c r="X859" i="15"/>
  <c r="Z859" i="15" s="1"/>
  <c r="AG613" i="15"/>
  <c r="AF613" i="15"/>
  <c r="AH613" i="15" s="1"/>
  <c r="U982" i="15"/>
  <c r="T982" i="15"/>
  <c r="V982" i="15" s="1"/>
  <c r="U983" i="15" l="1"/>
  <c r="T983" i="15"/>
  <c r="V983" i="15" s="1"/>
  <c r="Y860" i="15"/>
  <c r="X860" i="15"/>
  <c r="Z860" i="15" s="1"/>
  <c r="AS245" i="15"/>
  <c r="AR245" i="15"/>
  <c r="AT245" i="15" s="1"/>
  <c r="AK491" i="15"/>
  <c r="AJ491" i="15"/>
  <c r="AL491" i="15" s="1"/>
  <c r="AO368" i="15"/>
  <c r="AN368" i="15"/>
  <c r="AP368" i="15" s="1"/>
  <c r="AG614" i="15"/>
  <c r="AF614" i="15"/>
  <c r="AH614" i="15" s="1"/>
  <c r="AC737" i="15"/>
  <c r="AB737" i="15"/>
  <c r="AD737" i="15" s="1"/>
  <c r="AW122" i="15"/>
  <c r="AV122" i="15"/>
  <c r="AX122" i="15" s="1"/>
  <c r="AW123" i="15" l="1"/>
  <c r="AV123" i="15"/>
  <c r="AX123" i="15" s="1"/>
  <c r="AG615" i="15"/>
  <c r="AF615" i="15"/>
  <c r="AH615" i="15" s="1"/>
  <c r="AK492" i="15"/>
  <c r="AJ492" i="15"/>
  <c r="AL492" i="15" s="1"/>
  <c r="AS246" i="15"/>
  <c r="AR246" i="15"/>
  <c r="AT246" i="15" s="1"/>
  <c r="U984" i="15"/>
  <c r="T984" i="15"/>
  <c r="V984" i="15" s="1"/>
  <c r="AC738" i="15"/>
  <c r="AB738" i="15"/>
  <c r="AD738" i="15" s="1"/>
  <c r="AO369" i="15"/>
  <c r="AN369" i="15"/>
  <c r="AP369" i="15" s="1"/>
  <c r="Y861" i="15"/>
  <c r="X861" i="15"/>
  <c r="Z861" i="15" s="1"/>
  <c r="Y862" i="15" l="1"/>
  <c r="X862" i="15"/>
  <c r="Z862" i="15" s="1"/>
  <c r="AC739" i="15"/>
  <c r="AB739" i="15"/>
  <c r="AD739" i="15" s="1"/>
  <c r="U985" i="15"/>
  <c r="T985" i="15"/>
  <c r="V985" i="15" s="1"/>
  <c r="AS247" i="15"/>
  <c r="AR247" i="15"/>
  <c r="AT247" i="15" s="1"/>
  <c r="AG616" i="15"/>
  <c r="AF616" i="15"/>
  <c r="AH616" i="15" s="1"/>
  <c r="AW124" i="15"/>
  <c r="AV124" i="15"/>
  <c r="AX124" i="15" s="1"/>
  <c r="AO370" i="15"/>
  <c r="AN370" i="15"/>
  <c r="AP370" i="15" s="1"/>
  <c r="AK493" i="15"/>
  <c r="AJ493" i="15"/>
  <c r="AL493" i="15" s="1"/>
  <c r="AK494" i="15" l="1"/>
  <c r="AJ494" i="15"/>
  <c r="AL494" i="15" s="1"/>
  <c r="AW125" i="15"/>
  <c r="AV125" i="15"/>
  <c r="AX125" i="15" s="1"/>
  <c r="AG617" i="15"/>
  <c r="AF617" i="15"/>
  <c r="AH617" i="15" s="1"/>
  <c r="AS248" i="15"/>
  <c r="AR248" i="15"/>
  <c r="AT248" i="15" s="1"/>
  <c r="U986" i="15"/>
  <c r="T986" i="15"/>
  <c r="V986" i="15" s="1"/>
  <c r="Y863" i="15"/>
  <c r="X863" i="15"/>
  <c r="Z863" i="15" s="1"/>
  <c r="AO371" i="15"/>
  <c r="AN371" i="15"/>
  <c r="AP371" i="15" s="1"/>
  <c r="AC740" i="15"/>
  <c r="AB740" i="15"/>
  <c r="AD740" i="15" s="1"/>
  <c r="AO372" i="15" l="1"/>
  <c r="AN372" i="15"/>
  <c r="AP372" i="15" s="1"/>
  <c r="AS249" i="15"/>
  <c r="AR249" i="15"/>
  <c r="AT249" i="15" s="1"/>
  <c r="AG618" i="15"/>
  <c r="AF618" i="15"/>
  <c r="AH618" i="15" s="1"/>
  <c r="AK495" i="15"/>
  <c r="AJ495" i="15"/>
  <c r="AL495" i="15" s="1"/>
  <c r="AC741" i="15"/>
  <c r="AB741" i="15"/>
  <c r="AD741" i="15" s="1"/>
  <c r="Y864" i="15"/>
  <c r="X864" i="15"/>
  <c r="Z864" i="15" s="1"/>
  <c r="U987" i="15"/>
  <c r="T987" i="15"/>
  <c r="V987" i="15" s="1"/>
  <c r="AW126" i="15"/>
  <c r="AV126" i="15"/>
  <c r="AX126" i="15" s="1"/>
  <c r="AC742" i="15" l="1"/>
  <c r="AB742" i="15"/>
  <c r="AD742" i="15" s="1"/>
  <c r="AK496" i="15"/>
  <c r="AJ496" i="15"/>
  <c r="AL496" i="15" s="1"/>
  <c r="AS250" i="15"/>
  <c r="AR250" i="15"/>
  <c r="AT250" i="15" s="1"/>
  <c r="AO373" i="15"/>
  <c r="AN373" i="15"/>
  <c r="AP373" i="15" s="1"/>
  <c r="AW127" i="15"/>
  <c r="AV127" i="15"/>
  <c r="AX127" i="15" s="1"/>
  <c r="U988" i="15"/>
  <c r="T988" i="15"/>
  <c r="V988" i="15" s="1"/>
  <c r="Y865" i="15"/>
  <c r="X865" i="15"/>
  <c r="Z865" i="15" s="1"/>
  <c r="AG619" i="15"/>
  <c r="AF619" i="15"/>
  <c r="AH619" i="15" s="1"/>
  <c r="AG620" i="15" l="1"/>
  <c r="AF620" i="15"/>
  <c r="AH620" i="15" s="1"/>
  <c r="U989" i="15"/>
  <c r="T989" i="15"/>
  <c r="V989" i="15" s="1"/>
  <c r="AW128" i="15"/>
  <c r="AV128" i="15"/>
  <c r="AX128" i="15" s="1"/>
  <c r="AO374" i="15"/>
  <c r="AN374" i="15"/>
  <c r="AP374" i="15" s="1"/>
  <c r="AK497" i="15"/>
  <c r="AJ497" i="15"/>
  <c r="AL497" i="15" s="1"/>
  <c r="AC743" i="15"/>
  <c r="AB743" i="15"/>
  <c r="AD743" i="15" s="1"/>
  <c r="Y866" i="15"/>
  <c r="X866" i="15"/>
  <c r="Z866" i="15" s="1"/>
  <c r="AS251" i="15"/>
  <c r="AR251" i="15"/>
  <c r="AT251" i="15" s="1"/>
  <c r="AS252" i="15" l="1"/>
  <c r="AR252" i="15"/>
  <c r="AT252" i="15" s="1"/>
  <c r="AC744" i="15"/>
  <c r="AB744" i="15"/>
  <c r="AD744" i="15" s="1"/>
  <c r="AK498" i="15"/>
  <c r="AJ498" i="15"/>
  <c r="AL498" i="15" s="1"/>
  <c r="AO375" i="15"/>
  <c r="AN375" i="15"/>
  <c r="AP375" i="15" s="1"/>
  <c r="AW129" i="15"/>
  <c r="AV129" i="15"/>
  <c r="AX129" i="15" s="1"/>
  <c r="AG621" i="15"/>
  <c r="AF621" i="15"/>
  <c r="AH621" i="15" s="1"/>
  <c r="Y867" i="15"/>
  <c r="X867" i="15"/>
  <c r="Z867" i="15" s="1"/>
  <c r="U990" i="15"/>
  <c r="T990" i="15"/>
  <c r="V990" i="15" s="1"/>
  <c r="U991" i="15" l="1"/>
  <c r="T991" i="15"/>
  <c r="V991" i="15" s="1"/>
  <c r="AG622" i="15"/>
  <c r="AF622" i="15"/>
  <c r="AH622" i="15" s="1"/>
  <c r="AO376" i="15"/>
  <c r="AN376" i="15"/>
  <c r="AP376" i="15" s="1"/>
  <c r="AK499" i="15"/>
  <c r="AJ499" i="15"/>
  <c r="AL499" i="15" s="1"/>
  <c r="AS253" i="15"/>
  <c r="AR253" i="15"/>
  <c r="AT253" i="15" s="1"/>
  <c r="Y868" i="15"/>
  <c r="X868" i="15"/>
  <c r="Z868" i="15" s="1"/>
  <c r="AW130" i="15"/>
  <c r="AV130" i="15"/>
  <c r="AX130" i="15" s="1"/>
  <c r="AC745" i="15"/>
  <c r="AB745" i="15"/>
  <c r="AD745" i="15" s="1"/>
  <c r="AW131" i="15" l="1"/>
  <c r="AV131" i="15"/>
  <c r="AX131" i="15" s="1"/>
  <c r="Y869" i="15"/>
  <c r="X869" i="15"/>
  <c r="Z869" i="15" s="1"/>
  <c r="AK500" i="15"/>
  <c r="AJ500" i="15"/>
  <c r="AL500" i="15" s="1"/>
  <c r="AO377" i="15"/>
  <c r="AN377" i="15"/>
  <c r="AP377" i="15" s="1"/>
  <c r="U992" i="15"/>
  <c r="T992" i="15"/>
  <c r="V992" i="15" s="1"/>
  <c r="AC746" i="15"/>
  <c r="AB746" i="15"/>
  <c r="AD746" i="15" s="1"/>
  <c r="AS254" i="15"/>
  <c r="AR254" i="15"/>
  <c r="AT254" i="15" s="1"/>
  <c r="AG623" i="15"/>
  <c r="AF623" i="15"/>
  <c r="AH623" i="15" s="1"/>
  <c r="AG624" i="15" l="1"/>
  <c r="AF624" i="15"/>
  <c r="AH624" i="15" s="1"/>
  <c r="AS255" i="15"/>
  <c r="AR255" i="15"/>
  <c r="AT255" i="15" s="1"/>
  <c r="U993" i="15"/>
  <c r="T993" i="15"/>
  <c r="V993" i="15" s="1"/>
  <c r="AO378" i="15"/>
  <c r="AN378" i="15"/>
  <c r="AP378" i="15" s="1"/>
  <c r="AK501" i="15"/>
  <c r="AJ501" i="15"/>
  <c r="AL501" i="15" s="1"/>
  <c r="Y870" i="15"/>
  <c r="X870" i="15"/>
  <c r="Z870" i="15" s="1"/>
  <c r="AW132" i="15"/>
  <c r="AV132" i="15"/>
  <c r="AX132" i="15" s="1"/>
  <c r="AC747" i="15"/>
  <c r="AB747" i="15"/>
  <c r="AD747" i="15" s="1"/>
  <c r="AC748" i="15" l="1"/>
  <c r="AB748" i="15"/>
  <c r="AD748" i="15" s="1"/>
  <c r="Y871" i="15"/>
  <c r="X871" i="15"/>
  <c r="Z871" i="15" s="1"/>
  <c r="AK502" i="15"/>
  <c r="AJ502" i="15"/>
  <c r="AL502" i="15" s="1"/>
  <c r="AO379" i="15"/>
  <c r="AN379" i="15"/>
  <c r="AP379" i="15" s="1"/>
  <c r="U994" i="15"/>
  <c r="T994" i="15"/>
  <c r="V994" i="15" s="1"/>
  <c r="AG625" i="15"/>
  <c r="AF625" i="15"/>
  <c r="AH625" i="15" s="1"/>
  <c r="AW133" i="15"/>
  <c r="AV133" i="15"/>
  <c r="AX133" i="15" s="1"/>
  <c r="AS256" i="15"/>
  <c r="AR256" i="15"/>
  <c r="AT256" i="15" s="1"/>
  <c r="AW134" i="15" l="1"/>
  <c r="AV134" i="15"/>
  <c r="AX134" i="15" s="1"/>
  <c r="AG626" i="15"/>
  <c r="AF626" i="15"/>
  <c r="AH626" i="15" s="1"/>
  <c r="U995" i="15"/>
  <c r="T995" i="15"/>
  <c r="V995" i="15" s="1"/>
  <c r="AO380" i="15"/>
  <c r="AN380" i="15"/>
  <c r="AP380" i="15" s="1"/>
  <c r="Y872" i="15"/>
  <c r="X872" i="15"/>
  <c r="Z872" i="15" s="1"/>
  <c r="AC749" i="15"/>
  <c r="AB749" i="15"/>
  <c r="AD749" i="15" s="1"/>
  <c r="AS257" i="15"/>
  <c r="AR257" i="15"/>
  <c r="AT257" i="15" s="1"/>
  <c r="AK503" i="15"/>
  <c r="AJ503" i="15"/>
  <c r="AL503" i="15" s="1"/>
  <c r="AK504" i="15" l="1"/>
  <c r="AJ504" i="15"/>
  <c r="AL504" i="15" s="1"/>
  <c r="AC750" i="15"/>
  <c r="AB750" i="15"/>
  <c r="AD750" i="15" s="1"/>
  <c r="Y873" i="15"/>
  <c r="X873" i="15"/>
  <c r="Z873" i="15" s="1"/>
  <c r="AO381" i="15"/>
  <c r="AN381" i="15"/>
  <c r="AP381" i="15" s="1"/>
  <c r="AG627" i="15"/>
  <c r="AF627" i="15"/>
  <c r="AH627" i="15" s="1"/>
  <c r="AW135" i="15"/>
  <c r="AV135" i="15"/>
  <c r="AX135" i="15" s="1"/>
  <c r="AS258" i="15"/>
  <c r="AR258" i="15"/>
  <c r="AT258" i="15" s="1"/>
  <c r="U996" i="15"/>
  <c r="T996" i="15"/>
  <c r="V996" i="15" s="1"/>
  <c r="U997" i="15" l="1"/>
  <c r="T997" i="15"/>
  <c r="V997" i="15" s="1"/>
  <c r="AW136" i="15"/>
  <c r="AV136" i="15"/>
  <c r="AX136" i="15" s="1"/>
  <c r="AG628" i="15"/>
  <c r="AF628" i="15"/>
  <c r="AH628" i="15" s="1"/>
  <c r="AO382" i="15"/>
  <c r="AN382" i="15"/>
  <c r="AP382" i="15" s="1"/>
  <c r="Y874" i="15"/>
  <c r="X874" i="15"/>
  <c r="Z874" i="15" s="1"/>
  <c r="AK505" i="15"/>
  <c r="AJ505" i="15"/>
  <c r="AL505" i="15" s="1"/>
  <c r="AS259" i="15"/>
  <c r="AR259" i="15"/>
  <c r="AT259" i="15" s="1"/>
  <c r="AC751" i="15"/>
  <c r="AB751" i="15"/>
  <c r="AD751" i="15" s="1"/>
  <c r="AC752" i="15" l="1"/>
  <c r="AB752" i="15"/>
  <c r="AD752" i="15" s="1"/>
  <c r="AK506" i="15"/>
  <c r="AJ506" i="15"/>
  <c r="AL506" i="15" s="1"/>
  <c r="Y875" i="15"/>
  <c r="X875" i="15"/>
  <c r="Z875" i="15" s="1"/>
  <c r="AO383" i="15"/>
  <c r="AN383" i="15"/>
  <c r="AP383" i="15" s="1"/>
  <c r="AG629" i="15"/>
  <c r="AF629" i="15"/>
  <c r="AH629" i="15" s="1"/>
  <c r="U998" i="15"/>
  <c r="T998" i="15"/>
  <c r="V998" i="15" s="1"/>
  <c r="AS260" i="15"/>
  <c r="AR260" i="15"/>
  <c r="AT260" i="15" s="1"/>
  <c r="AW137" i="15"/>
  <c r="AV137" i="15"/>
  <c r="AX137" i="15" s="1"/>
  <c r="AW138" i="15" l="1"/>
  <c r="AV138" i="15"/>
  <c r="AX138" i="15" s="1"/>
  <c r="U999" i="15"/>
  <c r="T999" i="15"/>
  <c r="V999" i="15" s="1"/>
  <c r="AO384" i="15"/>
  <c r="AN384" i="15"/>
  <c r="AP384" i="15" s="1"/>
  <c r="Y876" i="15"/>
  <c r="X876" i="15"/>
  <c r="Z876" i="15" s="1"/>
  <c r="AC753" i="15"/>
  <c r="AB753" i="15"/>
  <c r="AD753" i="15" s="1"/>
  <c r="AS261" i="15"/>
  <c r="AR261" i="15"/>
  <c r="AT261" i="15" s="1"/>
  <c r="AG630" i="15"/>
  <c r="AF630" i="15"/>
  <c r="AH630" i="15" s="1"/>
  <c r="AK507" i="15"/>
  <c r="AJ507" i="15"/>
  <c r="AL507" i="15" s="1"/>
  <c r="AK508" i="15" l="1"/>
  <c r="AJ508" i="15"/>
  <c r="AL508" i="15" s="1"/>
  <c r="AS262" i="15"/>
  <c r="AR262" i="15"/>
  <c r="AT262" i="15" s="1"/>
  <c r="Y877" i="15"/>
  <c r="X877" i="15"/>
  <c r="Z877" i="15" s="1"/>
  <c r="AO385" i="15"/>
  <c r="AN385" i="15"/>
  <c r="AP385" i="15" s="1"/>
  <c r="AW139" i="15"/>
  <c r="AV139" i="15"/>
  <c r="AX139" i="15" s="1"/>
  <c r="AG631" i="15"/>
  <c r="AF631" i="15"/>
  <c r="AH631" i="15" s="1"/>
  <c r="AC754" i="15"/>
  <c r="AB754" i="15"/>
  <c r="AD754" i="15" s="1"/>
  <c r="U1000" i="15"/>
  <c r="T1000" i="15"/>
  <c r="V1000" i="15" s="1"/>
  <c r="U1001" i="15" l="1"/>
  <c r="T1001" i="15"/>
  <c r="V1001" i="15" s="1"/>
  <c r="AG632" i="15"/>
  <c r="AF632" i="15"/>
  <c r="AH632" i="15" s="1"/>
  <c r="AO386" i="15"/>
  <c r="AN386" i="15"/>
  <c r="AP386" i="15" s="1"/>
  <c r="Y878" i="15"/>
  <c r="X878" i="15"/>
  <c r="Z878" i="15" s="1"/>
  <c r="AK509" i="15"/>
  <c r="AJ509" i="15"/>
  <c r="AL509" i="15" s="1"/>
  <c r="AC755" i="15"/>
  <c r="AB755" i="15"/>
  <c r="AD755" i="15" s="1"/>
  <c r="AW140" i="15"/>
  <c r="AV140" i="15"/>
  <c r="AX140" i="15" s="1"/>
  <c r="AS263" i="15"/>
  <c r="AR263" i="15"/>
  <c r="AT263" i="15" s="1"/>
  <c r="AS264" i="15" l="1"/>
  <c r="AR264" i="15"/>
  <c r="AT264" i="15" s="1"/>
  <c r="AW141" i="15"/>
  <c r="AV141" i="15"/>
  <c r="AX141" i="15" s="1"/>
  <c r="AC756" i="15"/>
  <c r="AB756" i="15"/>
  <c r="AD756" i="15" s="1"/>
  <c r="AK510" i="15"/>
  <c r="AJ510" i="15"/>
  <c r="AL510" i="15" s="1"/>
  <c r="Y879" i="15"/>
  <c r="X879" i="15"/>
  <c r="Z879" i="15" s="1"/>
  <c r="AO387" i="15"/>
  <c r="AN387" i="15"/>
  <c r="AP387" i="15" s="1"/>
  <c r="AG633" i="15"/>
  <c r="AF633" i="15"/>
  <c r="AH633" i="15" s="1"/>
  <c r="U1002" i="15"/>
  <c r="T1002" i="15"/>
  <c r="V1002" i="15" s="1"/>
  <c r="U1003" i="15" l="1"/>
  <c r="T1003" i="15"/>
  <c r="V1003" i="15" s="1"/>
  <c r="AO388" i="15"/>
  <c r="AN388" i="15"/>
  <c r="AP388" i="15" s="1"/>
  <c r="Y880" i="15"/>
  <c r="X880" i="15"/>
  <c r="Z880" i="15" s="1"/>
  <c r="AK511" i="15"/>
  <c r="AJ511" i="15"/>
  <c r="AL511" i="15" s="1"/>
  <c r="AC757" i="15"/>
  <c r="AB757" i="15"/>
  <c r="AD757" i="15" s="1"/>
  <c r="AS265" i="15"/>
  <c r="AR265" i="15"/>
  <c r="AT265" i="15" s="1"/>
  <c r="AG634" i="15"/>
  <c r="AF634" i="15"/>
  <c r="AH634" i="15" s="1"/>
  <c r="AW142" i="15"/>
  <c r="AV142" i="15"/>
  <c r="AX142" i="15" s="1"/>
  <c r="AW143" i="15" l="1"/>
  <c r="AV143" i="15"/>
  <c r="AX143" i="15" s="1"/>
  <c r="AG635" i="15"/>
  <c r="AF635" i="15"/>
  <c r="AH635" i="15" s="1"/>
  <c r="AS266" i="15"/>
  <c r="AR266" i="15"/>
  <c r="AT266" i="15" s="1"/>
  <c r="AC758" i="15"/>
  <c r="AB758" i="15"/>
  <c r="AD758" i="15" s="1"/>
  <c r="AK512" i="15"/>
  <c r="AJ512" i="15"/>
  <c r="AL512" i="15" s="1"/>
  <c r="Y881" i="15"/>
  <c r="X881" i="15"/>
  <c r="Z881" i="15" s="1"/>
  <c r="AO389" i="15"/>
  <c r="AN389" i="15"/>
  <c r="AP389" i="15" s="1"/>
  <c r="U1004" i="15"/>
  <c r="T1004" i="15"/>
  <c r="V1004" i="15" s="1"/>
  <c r="U1005" i="15" l="1"/>
  <c r="T1005" i="15"/>
  <c r="V1005" i="15" s="1"/>
  <c r="AO390" i="15"/>
  <c r="AN390" i="15"/>
  <c r="AP390" i="15" s="1"/>
  <c r="Y882" i="15"/>
  <c r="X882" i="15"/>
  <c r="Z882" i="15" s="1"/>
  <c r="AK513" i="15"/>
  <c r="AJ513" i="15"/>
  <c r="AL513" i="15" s="1"/>
  <c r="AC759" i="15"/>
  <c r="AB759" i="15"/>
  <c r="AD759" i="15" s="1"/>
  <c r="AS267" i="15"/>
  <c r="AR267" i="15"/>
  <c r="AT267" i="15" s="1"/>
  <c r="AG636" i="15"/>
  <c r="AF636" i="15"/>
  <c r="AH636" i="15" s="1"/>
  <c r="AW144" i="15"/>
  <c r="AV144" i="15"/>
  <c r="AX144" i="15" s="1"/>
  <c r="AW145" i="15" l="1"/>
  <c r="AV145" i="15"/>
  <c r="AX145" i="15" s="1"/>
  <c r="AG637" i="15"/>
  <c r="AF637" i="15"/>
  <c r="AH637" i="15" s="1"/>
  <c r="AS268" i="15"/>
  <c r="AR268" i="15"/>
  <c r="AT268" i="15" s="1"/>
  <c r="AC760" i="15"/>
  <c r="AB760" i="15"/>
  <c r="AD760" i="15" s="1"/>
  <c r="AK514" i="15"/>
  <c r="AJ514" i="15"/>
  <c r="AL514" i="15" s="1"/>
  <c r="Y883" i="15"/>
  <c r="X883" i="15"/>
  <c r="Z883" i="15" s="1"/>
  <c r="AO391" i="15"/>
  <c r="AN391" i="15"/>
  <c r="AP391" i="15" s="1"/>
  <c r="U1006" i="15"/>
  <c r="T1006" i="15"/>
  <c r="V1006" i="15" s="1"/>
  <c r="U1007" i="15" l="1"/>
  <c r="T1007" i="15"/>
  <c r="V1007" i="15" s="1"/>
  <c r="AO392" i="15"/>
  <c r="AN392" i="15"/>
  <c r="AP392" i="15" s="1"/>
  <c r="Y884" i="15"/>
  <c r="X884" i="15"/>
  <c r="Z884" i="15" s="1"/>
  <c r="AK515" i="15"/>
  <c r="AJ515" i="15"/>
  <c r="AL515" i="15" s="1"/>
  <c r="AC761" i="15"/>
  <c r="AB761" i="15"/>
  <c r="AD761" i="15" s="1"/>
  <c r="AS269" i="15"/>
  <c r="AR269" i="15"/>
  <c r="AT269" i="15" s="1"/>
  <c r="AG638" i="15"/>
  <c r="AF638" i="15"/>
  <c r="AH638" i="15" s="1"/>
  <c r="AW146" i="15"/>
  <c r="AV146" i="15"/>
  <c r="AX146" i="15" s="1"/>
  <c r="K14" i="15" l="1"/>
  <c r="AW147" i="15"/>
  <c r="AV147" i="15"/>
  <c r="AX147" i="15" s="1"/>
  <c r="AG639" i="15"/>
  <c r="AF639" i="15"/>
  <c r="AH639" i="15" s="1"/>
  <c r="AS270" i="15"/>
  <c r="AR270" i="15"/>
  <c r="AT270" i="15" s="1"/>
  <c r="AC762" i="15"/>
  <c r="AB762" i="15"/>
  <c r="AD762" i="15" s="1"/>
  <c r="AK516" i="15"/>
  <c r="AJ516" i="15"/>
  <c r="AL516" i="15" s="1"/>
  <c r="Y885" i="15"/>
  <c r="X885" i="15"/>
  <c r="Z885" i="15" s="1"/>
  <c r="AO393" i="15"/>
  <c r="AN393" i="15"/>
  <c r="AP393" i="15" s="1"/>
  <c r="U1008" i="15"/>
  <c r="T1008" i="15"/>
  <c r="V1008" i="15" s="1"/>
  <c r="U1009" i="15" l="1"/>
  <c r="T1009" i="15"/>
  <c r="V1009" i="15" s="1"/>
  <c r="AO394" i="15"/>
  <c r="AN394" i="15"/>
  <c r="AP394" i="15" s="1"/>
  <c r="Y886" i="15"/>
  <c r="X886" i="15"/>
  <c r="Z886" i="15" s="1"/>
  <c r="AK517" i="15"/>
  <c r="AJ517" i="15"/>
  <c r="AL517" i="15" s="1"/>
  <c r="AC763" i="15"/>
  <c r="AB763" i="15"/>
  <c r="AD763" i="15" s="1"/>
  <c r="AS271" i="15"/>
  <c r="AR271" i="15"/>
  <c r="AT271" i="15" s="1"/>
  <c r="AG640" i="15"/>
  <c r="AF640" i="15"/>
  <c r="AH640" i="15" s="1"/>
  <c r="AW148" i="15"/>
  <c r="AV148" i="15"/>
  <c r="AX148" i="15" s="1"/>
  <c r="H15" i="15"/>
  <c r="L14" i="15"/>
  <c r="D15" i="15" s="1"/>
  <c r="C15" i="15" s="1"/>
  <c r="M14" i="15"/>
  <c r="F15" i="15"/>
  <c r="E15" i="15" s="1"/>
  <c r="AW149" i="15" l="1"/>
  <c r="AV149" i="15"/>
  <c r="AX149" i="15" s="1"/>
  <c r="AS272" i="15"/>
  <c r="AR272" i="15"/>
  <c r="AT272" i="15" s="1"/>
  <c r="AC764" i="15"/>
  <c r="AB764" i="15"/>
  <c r="AD764" i="15" s="1"/>
  <c r="AK518" i="15"/>
  <c r="AJ518" i="15"/>
  <c r="AL518" i="15" s="1"/>
  <c r="Y887" i="15"/>
  <c r="X887" i="15"/>
  <c r="Z887" i="15" s="1"/>
  <c r="AO395" i="15"/>
  <c r="AN395" i="15"/>
  <c r="AP395" i="15" s="1"/>
  <c r="U1010" i="15"/>
  <c r="T1010" i="15"/>
  <c r="V1010" i="15" s="1"/>
  <c r="AG641" i="15"/>
  <c r="AF641" i="15"/>
  <c r="AH641" i="15" s="1"/>
  <c r="AY27" i="15"/>
  <c r="J15" i="15"/>
  <c r="AY28" i="15"/>
  <c r="AY29" i="15"/>
  <c r="AY30" i="15"/>
  <c r="AY31" i="15"/>
  <c r="AY32" i="15"/>
  <c r="AY33" i="15"/>
  <c r="AY34" i="15"/>
  <c r="AY35" i="15"/>
  <c r="AY36" i="15"/>
  <c r="AY37" i="15"/>
  <c r="AY38" i="15"/>
  <c r="I15" i="15"/>
  <c r="AY39" i="15"/>
  <c r="AY40" i="15"/>
  <c r="AY41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8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Y76" i="15"/>
  <c r="AY77" i="15"/>
  <c r="AY78" i="15"/>
  <c r="AY79" i="15"/>
  <c r="AY80" i="15"/>
  <c r="AY81" i="15"/>
  <c r="AY82" i="15"/>
  <c r="AY83" i="15"/>
  <c r="AY84" i="15"/>
  <c r="AY85" i="15"/>
  <c r="AY86" i="15"/>
  <c r="AY87" i="15"/>
  <c r="AY88" i="15"/>
  <c r="AY89" i="15"/>
  <c r="AY90" i="15"/>
  <c r="AY91" i="15"/>
  <c r="AY92" i="15"/>
  <c r="AY93" i="15"/>
  <c r="AY94" i="15"/>
  <c r="AY95" i="15"/>
  <c r="AY96" i="15"/>
  <c r="AY97" i="15"/>
  <c r="AY98" i="15"/>
  <c r="AY99" i="15"/>
  <c r="AY100" i="15"/>
  <c r="AY101" i="15"/>
  <c r="AY102" i="15"/>
  <c r="AY103" i="15"/>
  <c r="AY104" i="15"/>
  <c r="AY105" i="15"/>
  <c r="AY106" i="15"/>
  <c r="AY107" i="15"/>
  <c r="AY108" i="15"/>
  <c r="AY109" i="15"/>
  <c r="AY110" i="15"/>
  <c r="AY111" i="15"/>
  <c r="AY112" i="15"/>
  <c r="AY113" i="15"/>
  <c r="AY114" i="15"/>
  <c r="AY115" i="15"/>
  <c r="AY116" i="15"/>
  <c r="AY117" i="15"/>
  <c r="AY118" i="15"/>
  <c r="AY119" i="15"/>
  <c r="AY120" i="15"/>
  <c r="AY121" i="15"/>
  <c r="AY122" i="15"/>
  <c r="AY123" i="15"/>
  <c r="AY124" i="15"/>
  <c r="AY125" i="15"/>
  <c r="AY126" i="15"/>
  <c r="AY127" i="15"/>
  <c r="AY128" i="15"/>
  <c r="AY129" i="15"/>
  <c r="AY130" i="15"/>
  <c r="AY131" i="15"/>
  <c r="AY132" i="15"/>
  <c r="AY133" i="15"/>
  <c r="AY134" i="15"/>
  <c r="AY135" i="15"/>
  <c r="AY136" i="15"/>
  <c r="AY137" i="15"/>
  <c r="AY138" i="15"/>
  <c r="AY139" i="15"/>
  <c r="AY140" i="15"/>
  <c r="AY141" i="15"/>
  <c r="AY142" i="15"/>
  <c r="AY143" i="15"/>
  <c r="AY144" i="15"/>
  <c r="AY145" i="15"/>
  <c r="AY146" i="15"/>
  <c r="AY147" i="15"/>
  <c r="AY148" i="15"/>
  <c r="AY149" i="15"/>
  <c r="AY150" i="15"/>
  <c r="AY151" i="15"/>
  <c r="AY152" i="15"/>
  <c r="AY153" i="15"/>
  <c r="AY154" i="15"/>
  <c r="AY155" i="15"/>
  <c r="AY156" i="15"/>
  <c r="AY157" i="15"/>
  <c r="AY158" i="15"/>
  <c r="AY159" i="15"/>
  <c r="AY160" i="15"/>
  <c r="AY161" i="15"/>
  <c r="AY162" i="15"/>
  <c r="AY163" i="15"/>
  <c r="AY164" i="15"/>
  <c r="AY165" i="15"/>
  <c r="AY166" i="15"/>
  <c r="AY167" i="15"/>
  <c r="AY168" i="15"/>
  <c r="AY169" i="15"/>
  <c r="AY170" i="15"/>
  <c r="AY171" i="15"/>
  <c r="AY172" i="15"/>
  <c r="AY173" i="15"/>
  <c r="AY174" i="15"/>
  <c r="AY175" i="15"/>
  <c r="AY176" i="15"/>
  <c r="AY177" i="15"/>
  <c r="AY178" i="15"/>
  <c r="AY179" i="15"/>
  <c r="AY180" i="15"/>
  <c r="AY181" i="15"/>
  <c r="AY182" i="15"/>
  <c r="AY183" i="15"/>
  <c r="AY184" i="15"/>
  <c r="AY185" i="15"/>
  <c r="AY186" i="15"/>
  <c r="AY187" i="15"/>
  <c r="AY188" i="15"/>
  <c r="AY189" i="15"/>
  <c r="AY190" i="15"/>
  <c r="AY191" i="15"/>
  <c r="AY192" i="15"/>
  <c r="AY193" i="15"/>
  <c r="AY194" i="15"/>
  <c r="AY195" i="15"/>
  <c r="AY196" i="15"/>
  <c r="AY197" i="15"/>
  <c r="AY198" i="15"/>
  <c r="AY199" i="15"/>
  <c r="AY200" i="15"/>
  <c r="AY201" i="15"/>
  <c r="AY202" i="15"/>
  <c r="AY203" i="15"/>
  <c r="AY204" i="15"/>
  <c r="AY205" i="15"/>
  <c r="AY206" i="15"/>
  <c r="AY207" i="15"/>
  <c r="AY208" i="15"/>
  <c r="AY209" i="15"/>
  <c r="AY210" i="15"/>
  <c r="AY211" i="15"/>
  <c r="AY212" i="15"/>
  <c r="AY213" i="15"/>
  <c r="AY214" i="15"/>
  <c r="AY215" i="15"/>
  <c r="AY216" i="15"/>
  <c r="AY217" i="15"/>
  <c r="AY218" i="15"/>
  <c r="AY219" i="15"/>
  <c r="AY220" i="15"/>
  <c r="AY221" i="15"/>
  <c r="AY222" i="15"/>
  <c r="AY223" i="15"/>
  <c r="AY224" i="15"/>
  <c r="AY225" i="15"/>
  <c r="AY226" i="15"/>
  <c r="AY227" i="15"/>
  <c r="AY228" i="15"/>
  <c r="AY229" i="15"/>
  <c r="AY230" i="15"/>
  <c r="AY231" i="15"/>
  <c r="AY232" i="15"/>
  <c r="AY233" i="15"/>
  <c r="AY234" i="15"/>
  <c r="AY235" i="15"/>
  <c r="AY236" i="15"/>
  <c r="AY237" i="15"/>
  <c r="AY238" i="15"/>
  <c r="AY239" i="15"/>
  <c r="AY240" i="15"/>
  <c r="AY241" i="15"/>
  <c r="AY242" i="15"/>
  <c r="AY243" i="15"/>
  <c r="AY244" i="15"/>
  <c r="AY245" i="15"/>
  <c r="AY246" i="15"/>
  <c r="AY247" i="15"/>
  <c r="AY248" i="15"/>
  <c r="AY249" i="15"/>
  <c r="AY250" i="15"/>
  <c r="AY251" i="15"/>
  <c r="AY252" i="15"/>
  <c r="AY253" i="15"/>
  <c r="AY254" i="15"/>
  <c r="AY255" i="15"/>
  <c r="AY256" i="15"/>
  <c r="AY257" i="15"/>
  <c r="AY258" i="15"/>
  <c r="AY259" i="15"/>
  <c r="AY260" i="15"/>
  <c r="AY261" i="15"/>
  <c r="AY262" i="15"/>
  <c r="AY263" i="15"/>
  <c r="AY264" i="15"/>
  <c r="AY265" i="15"/>
  <c r="AY266" i="15"/>
  <c r="AY267" i="15"/>
  <c r="AY268" i="15"/>
  <c r="AY269" i="15"/>
  <c r="AY270" i="15"/>
  <c r="AY271" i="15"/>
  <c r="AY272" i="15"/>
  <c r="AY273" i="15"/>
  <c r="AY274" i="15"/>
  <c r="AY275" i="15"/>
  <c r="AY276" i="15"/>
  <c r="AY277" i="15"/>
  <c r="AY278" i="15"/>
  <c r="AY279" i="15"/>
  <c r="AY280" i="15"/>
  <c r="AY281" i="15"/>
  <c r="AY282" i="15"/>
  <c r="AY283" i="15"/>
  <c r="AY284" i="15"/>
  <c r="AY285" i="15"/>
  <c r="AY286" i="15"/>
  <c r="AY287" i="15"/>
  <c r="AY288" i="15"/>
  <c r="AY289" i="15"/>
  <c r="AY290" i="15"/>
  <c r="AY291" i="15"/>
  <c r="AY292" i="15"/>
  <c r="AY293" i="15"/>
  <c r="AY294" i="15"/>
  <c r="AY295" i="15"/>
  <c r="AY296" i="15"/>
  <c r="AY297" i="15"/>
  <c r="AY298" i="15"/>
  <c r="AY299" i="15"/>
  <c r="AY300" i="15"/>
  <c r="AY301" i="15"/>
  <c r="AY302" i="15"/>
  <c r="AY303" i="15"/>
  <c r="AY304" i="15"/>
  <c r="AY305" i="15"/>
  <c r="AY306" i="15"/>
  <c r="AY307" i="15"/>
  <c r="AY308" i="15"/>
  <c r="AY309" i="15"/>
  <c r="AY310" i="15"/>
  <c r="AY311" i="15"/>
  <c r="AY312" i="15"/>
  <c r="AY313" i="15"/>
  <c r="AY314" i="15"/>
  <c r="AY315" i="15"/>
  <c r="AY316" i="15"/>
  <c r="AY317" i="15"/>
  <c r="AY318" i="15"/>
  <c r="AY319" i="15"/>
  <c r="AY320" i="15"/>
  <c r="AY321" i="15"/>
  <c r="AY322" i="15"/>
  <c r="AY323" i="15"/>
  <c r="AY324" i="15"/>
  <c r="AY325" i="15"/>
  <c r="AY326" i="15"/>
  <c r="AY327" i="15"/>
  <c r="AY328" i="15"/>
  <c r="AY329" i="15"/>
  <c r="AY330" i="15"/>
  <c r="AY331" i="15"/>
  <c r="AY332" i="15"/>
  <c r="AY333" i="15"/>
  <c r="AY334" i="15"/>
  <c r="AY335" i="15"/>
  <c r="AY336" i="15"/>
  <c r="AY337" i="15"/>
  <c r="AY338" i="15"/>
  <c r="AY339" i="15"/>
  <c r="AY340" i="15"/>
  <c r="AY341" i="15"/>
  <c r="AY342" i="15"/>
  <c r="AY343" i="15"/>
  <c r="AY344" i="15"/>
  <c r="AY345" i="15"/>
  <c r="AY346" i="15"/>
  <c r="AY347" i="15"/>
  <c r="AY348" i="15"/>
  <c r="AY349" i="15"/>
  <c r="AY350" i="15"/>
  <c r="AY351" i="15"/>
  <c r="AY352" i="15"/>
  <c r="AY353" i="15"/>
  <c r="AY354" i="15"/>
  <c r="AY355" i="15"/>
  <c r="AY356" i="15"/>
  <c r="AY357" i="15"/>
  <c r="AY358" i="15"/>
  <c r="AY359" i="15"/>
  <c r="AY360" i="15"/>
  <c r="AY361" i="15"/>
  <c r="AY362" i="15"/>
  <c r="AY363" i="15"/>
  <c r="AY364" i="15"/>
  <c r="AY365" i="15"/>
  <c r="AY366" i="15"/>
  <c r="AY367" i="15"/>
  <c r="AY368" i="15"/>
  <c r="AY369" i="15"/>
  <c r="AY370" i="15"/>
  <c r="AY371" i="15"/>
  <c r="AY372" i="15"/>
  <c r="AY373" i="15"/>
  <c r="AY374" i="15"/>
  <c r="AY375" i="15"/>
  <c r="AY376" i="15"/>
  <c r="AY377" i="15"/>
  <c r="AY378" i="15"/>
  <c r="AY379" i="15"/>
  <c r="AY380" i="15"/>
  <c r="AY381" i="15"/>
  <c r="AY382" i="15"/>
  <c r="AY383" i="15"/>
  <c r="AY384" i="15"/>
  <c r="AY385" i="15"/>
  <c r="AY386" i="15"/>
  <c r="AY387" i="15"/>
  <c r="AY388" i="15"/>
  <c r="AY389" i="15"/>
  <c r="AY390" i="15"/>
  <c r="AY391" i="15"/>
  <c r="AY392" i="15"/>
  <c r="AY393" i="15"/>
  <c r="AY394" i="15"/>
  <c r="AY395" i="15"/>
  <c r="AY396" i="15"/>
  <c r="AY397" i="15"/>
  <c r="AY398" i="15"/>
  <c r="AY399" i="15"/>
  <c r="AY400" i="15"/>
  <c r="AY401" i="15"/>
  <c r="AY402" i="15"/>
  <c r="AY403" i="15"/>
  <c r="AY404" i="15"/>
  <c r="AY405" i="15"/>
  <c r="AY406" i="15"/>
  <c r="AY407" i="15"/>
  <c r="AY408" i="15"/>
  <c r="AY409" i="15"/>
  <c r="AY410" i="15"/>
  <c r="AY411" i="15"/>
  <c r="AY412" i="15"/>
  <c r="AY413" i="15"/>
  <c r="AY414" i="15"/>
  <c r="AY415" i="15"/>
  <c r="AY416" i="15"/>
  <c r="AY417" i="15"/>
  <c r="AY418" i="15"/>
  <c r="AY419" i="15"/>
  <c r="AY420" i="15"/>
  <c r="AY421" i="15"/>
  <c r="AY422" i="15"/>
  <c r="AY423" i="15"/>
  <c r="AY424" i="15"/>
  <c r="AY425" i="15"/>
  <c r="AY426" i="15"/>
  <c r="AY427" i="15"/>
  <c r="AY428" i="15"/>
  <c r="AY429" i="15"/>
  <c r="AY430" i="15"/>
  <c r="AY431" i="15"/>
  <c r="AY432" i="15"/>
  <c r="AY433" i="15"/>
  <c r="AY434" i="15"/>
  <c r="AY435" i="15"/>
  <c r="AY436" i="15"/>
  <c r="AY437" i="15"/>
  <c r="AY438" i="15"/>
  <c r="AY439" i="15"/>
  <c r="AY440" i="15"/>
  <c r="AY441" i="15"/>
  <c r="AY442" i="15"/>
  <c r="AY443" i="15"/>
  <c r="AY444" i="15"/>
  <c r="AY445" i="15"/>
  <c r="AY446" i="15"/>
  <c r="AY447" i="15"/>
  <c r="AY448" i="15"/>
  <c r="AY449" i="15"/>
  <c r="AY450" i="15"/>
  <c r="AY451" i="15"/>
  <c r="AY452" i="15"/>
  <c r="AY453" i="15"/>
  <c r="AY454" i="15"/>
  <c r="AY455" i="15"/>
  <c r="AY456" i="15"/>
  <c r="AY457" i="15"/>
  <c r="AY458" i="15"/>
  <c r="AY459" i="15"/>
  <c r="AY460" i="15"/>
  <c r="AY461" i="15"/>
  <c r="AY462" i="15"/>
  <c r="AY463" i="15"/>
  <c r="AY464" i="15"/>
  <c r="AY465" i="15"/>
  <c r="AY466" i="15"/>
  <c r="AY467" i="15"/>
  <c r="AY468" i="15"/>
  <c r="AY469" i="15"/>
  <c r="AY470" i="15"/>
  <c r="AY471" i="15"/>
  <c r="AY472" i="15"/>
  <c r="AY473" i="15"/>
  <c r="AY474" i="15"/>
  <c r="AY475" i="15"/>
  <c r="AY476" i="15"/>
  <c r="AY477" i="15"/>
  <c r="AY478" i="15"/>
  <c r="AY479" i="15"/>
  <c r="AY480" i="15"/>
  <c r="AY481" i="15"/>
  <c r="AY482" i="15"/>
  <c r="AY483" i="15"/>
  <c r="AY484" i="15"/>
  <c r="AY485" i="15"/>
  <c r="AY486" i="15"/>
  <c r="AY487" i="15"/>
  <c r="AY488" i="15"/>
  <c r="AY489" i="15"/>
  <c r="AY490" i="15"/>
  <c r="AY491" i="15"/>
  <c r="AY492" i="15"/>
  <c r="AY493" i="15"/>
  <c r="AY494" i="15"/>
  <c r="AY495" i="15"/>
  <c r="AY496" i="15"/>
  <c r="AY497" i="15"/>
  <c r="AY498" i="15"/>
  <c r="AY499" i="15"/>
  <c r="AY500" i="15"/>
  <c r="AY501" i="15"/>
  <c r="AY502" i="15"/>
  <c r="AY503" i="15"/>
  <c r="AY504" i="15"/>
  <c r="AY505" i="15"/>
  <c r="AY506" i="15"/>
  <c r="AY507" i="15"/>
  <c r="AY508" i="15"/>
  <c r="AY509" i="15"/>
  <c r="AY510" i="15"/>
  <c r="AY511" i="15"/>
  <c r="AY512" i="15"/>
  <c r="AY513" i="15"/>
  <c r="AY514" i="15"/>
  <c r="AY515" i="15"/>
  <c r="AY516" i="15"/>
  <c r="AY517" i="15"/>
  <c r="AY518" i="15"/>
  <c r="AY519" i="15"/>
  <c r="AY520" i="15"/>
  <c r="AY521" i="15"/>
  <c r="AY522" i="15"/>
  <c r="AY523" i="15"/>
  <c r="AY524" i="15"/>
  <c r="AY525" i="15"/>
  <c r="AY526" i="15"/>
  <c r="AY527" i="15"/>
  <c r="AY528" i="15"/>
  <c r="AY529" i="15"/>
  <c r="AY530" i="15"/>
  <c r="AY531" i="15"/>
  <c r="AY532" i="15"/>
  <c r="AY533" i="15"/>
  <c r="AY534" i="15"/>
  <c r="AY535" i="15"/>
  <c r="AY536" i="15"/>
  <c r="AY537" i="15"/>
  <c r="AY538" i="15"/>
  <c r="AY539" i="15"/>
  <c r="AY540" i="15"/>
  <c r="AY541" i="15"/>
  <c r="AY542" i="15"/>
  <c r="AY543" i="15"/>
  <c r="AY544" i="15"/>
  <c r="AY545" i="15"/>
  <c r="AY546" i="15"/>
  <c r="AY547" i="15"/>
  <c r="AY548" i="15"/>
  <c r="AY549" i="15"/>
  <c r="AY550" i="15"/>
  <c r="AY551" i="15"/>
  <c r="AY552" i="15"/>
  <c r="AY553" i="15"/>
  <c r="AY554" i="15"/>
  <c r="AY555" i="15"/>
  <c r="AY556" i="15"/>
  <c r="AY557" i="15"/>
  <c r="AY558" i="15"/>
  <c r="AY559" i="15"/>
  <c r="AY560" i="15"/>
  <c r="AY561" i="15"/>
  <c r="AY562" i="15"/>
  <c r="AY563" i="15"/>
  <c r="AY564" i="15"/>
  <c r="AY565" i="15"/>
  <c r="AY566" i="15"/>
  <c r="AY567" i="15"/>
  <c r="AY568" i="15"/>
  <c r="AY569" i="15"/>
  <c r="AY570" i="15"/>
  <c r="AY571" i="15"/>
  <c r="AY572" i="15"/>
  <c r="AY573" i="15"/>
  <c r="AY574" i="15"/>
  <c r="AY575" i="15"/>
  <c r="AY576" i="15"/>
  <c r="AY577" i="15"/>
  <c r="AY578" i="15"/>
  <c r="AY579" i="15"/>
  <c r="AY580" i="15"/>
  <c r="AY581" i="15"/>
  <c r="AY582" i="15"/>
  <c r="AY583" i="15"/>
  <c r="AY584" i="15"/>
  <c r="AY585" i="15"/>
  <c r="AY586" i="15"/>
  <c r="AY587" i="15"/>
  <c r="AY588" i="15"/>
  <c r="AY589" i="15"/>
  <c r="AY590" i="15"/>
  <c r="AY591" i="15"/>
  <c r="AY592" i="15"/>
  <c r="AY593" i="15"/>
  <c r="AY594" i="15"/>
  <c r="AY595" i="15"/>
  <c r="AY596" i="15"/>
  <c r="AY597" i="15"/>
  <c r="AY598" i="15"/>
  <c r="AY599" i="15"/>
  <c r="AY600" i="15"/>
  <c r="AY601" i="15"/>
  <c r="AY602" i="15"/>
  <c r="AY603" i="15"/>
  <c r="AY604" i="15"/>
  <c r="AY605" i="15"/>
  <c r="AY606" i="15"/>
  <c r="AY607" i="15"/>
  <c r="AY608" i="15"/>
  <c r="AY609" i="15"/>
  <c r="AY610" i="15"/>
  <c r="AY611" i="15"/>
  <c r="AY612" i="15"/>
  <c r="AY613" i="15"/>
  <c r="AY614" i="15"/>
  <c r="AY615" i="15"/>
  <c r="AY616" i="15"/>
  <c r="AY617" i="15"/>
  <c r="AY618" i="15"/>
  <c r="AY619" i="15"/>
  <c r="AY620" i="15"/>
  <c r="AY621" i="15"/>
  <c r="AY622" i="15"/>
  <c r="AY623" i="15"/>
  <c r="AY624" i="15"/>
  <c r="AY625" i="15"/>
  <c r="AY626" i="15"/>
  <c r="AY627" i="15"/>
  <c r="AY628" i="15"/>
  <c r="AY629" i="15"/>
  <c r="AY630" i="15"/>
  <c r="AY631" i="15"/>
  <c r="AY632" i="15"/>
  <c r="AY633" i="15"/>
  <c r="AY634" i="15"/>
  <c r="AY635" i="15"/>
  <c r="AY636" i="15"/>
  <c r="AY637" i="15"/>
  <c r="AY638" i="15"/>
  <c r="AY639" i="15"/>
  <c r="AY640" i="15"/>
  <c r="AY641" i="15"/>
  <c r="AY642" i="15"/>
  <c r="AY643" i="15"/>
  <c r="AY644" i="15"/>
  <c r="AY645" i="15"/>
  <c r="AY646" i="15"/>
  <c r="AY647" i="15"/>
  <c r="AY648" i="15"/>
  <c r="AY649" i="15"/>
  <c r="AY650" i="15"/>
  <c r="AY651" i="15"/>
  <c r="AY652" i="15"/>
  <c r="AY653" i="15"/>
  <c r="AY654" i="15"/>
  <c r="AY655" i="15"/>
  <c r="AY656" i="15"/>
  <c r="AY657" i="15"/>
  <c r="AY658" i="15"/>
  <c r="AY659" i="15"/>
  <c r="AY660" i="15"/>
  <c r="AY661" i="15"/>
  <c r="AY662" i="15"/>
  <c r="AY663" i="15"/>
  <c r="AY664" i="15"/>
  <c r="AY665" i="15"/>
  <c r="AY666" i="15"/>
  <c r="AY667" i="15"/>
  <c r="AY668" i="15"/>
  <c r="AY669" i="15"/>
  <c r="AY670" i="15"/>
  <c r="AY671" i="15"/>
  <c r="AY672" i="15"/>
  <c r="AY673" i="15"/>
  <c r="AY674" i="15"/>
  <c r="AY675" i="15"/>
  <c r="AY676" i="15"/>
  <c r="AY677" i="15"/>
  <c r="AY678" i="15"/>
  <c r="AY679" i="15"/>
  <c r="AY680" i="15"/>
  <c r="AY681" i="15"/>
  <c r="AY682" i="15"/>
  <c r="AY683" i="15"/>
  <c r="AY684" i="15"/>
  <c r="AY685" i="15"/>
  <c r="AY686" i="15"/>
  <c r="AY687" i="15"/>
  <c r="AY688" i="15"/>
  <c r="AY689" i="15"/>
  <c r="AY690" i="15"/>
  <c r="AY691" i="15"/>
  <c r="AY692" i="15"/>
  <c r="AY693" i="15"/>
  <c r="AY694" i="15"/>
  <c r="AY695" i="15"/>
  <c r="AY696" i="15"/>
  <c r="AY697" i="15"/>
  <c r="AY698" i="15"/>
  <c r="AY699" i="15"/>
  <c r="AY700" i="15"/>
  <c r="AY701" i="15"/>
  <c r="AY702" i="15"/>
  <c r="AY703" i="15"/>
  <c r="AY704" i="15"/>
  <c r="AY705" i="15"/>
  <c r="AY706" i="15"/>
  <c r="AY707" i="15"/>
  <c r="AY708" i="15"/>
  <c r="AY709" i="15"/>
  <c r="AY710" i="15"/>
  <c r="AY711" i="15"/>
  <c r="AY712" i="15"/>
  <c r="AY713" i="15"/>
  <c r="AY714" i="15"/>
  <c r="AY715" i="15"/>
  <c r="AY716" i="15"/>
  <c r="AY717" i="15"/>
  <c r="AY718" i="15"/>
  <c r="AY719" i="15"/>
  <c r="AY720" i="15"/>
  <c r="AY721" i="15"/>
  <c r="AY722" i="15"/>
  <c r="AY723" i="15"/>
  <c r="AY724" i="15"/>
  <c r="AY725" i="15"/>
  <c r="AY726" i="15"/>
  <c r="AY727" i="15"/>
  <c r="AY728" i="15"/>
  <c r="AY729" i="15"/>
  <c r="AY730" i="15"/>
  <c r="AY731" i="15"/>
  <c r="AY732" i="15"/>
  <c r="AY733" i="15"/>
  <c r="AY734" i="15"/>
  <c r="AY735" i="15"/>
  <c r="AY736" i="15"/>
  <c r="AY737" i="15"/>
  <c r="AY738" i="15"/>
  <c r="AY739" i="15"/>
  <c r="AY740" i="15"/>
  <c r="AY741" i="15"/>
  <c r="AY742" i="15"/>
  <c r="AY743" i="15"/>
  <c r="AY744" i="15"/>
  <c r="AY745" i="15"/>
  <c r="AY746" i="15"/>
  <c r="AY747" i="15"/>
  <c r="AY748" i="15"/>
  <c r="AY749" i="15"/>
  <c r="AY750" i="15"/>
  <c r="AY751" i="15"/>
  <c r="AY752" i="15"/>
  <c r="AY753" i="15"/>
  <c r="AY754" i="15"/>
  <c r="AY755" i="15"/>
  <c r="AY756" i="15"/>
  <c r="AY757" i="15"/>
  <c r="AY758" i="15"/>
  <c r="AY759" i="15"/>
  <c r="AY760" i="15"/>
  <c r="AY761" i="15"/>
  <c r="AY762" i="15"/>
  <c r="AY763" i="15"/>
  <c r="AY764" i="15"/>
  <c r="AY765" i="15"/>
  <c r="AY766" i="15"/>
  <c r="AY767" i="15"/>
  <c r="AY768" i="15"/>
  <c r="AY769" i="15"/>
  <c r="AY770" i="15"/>
  <c r="AY771" i="15"/>
  <c r="AY772" i="15"/>
  <c r="AY773" i="15"/>
  <c r="AY774" i="15"/>
  <c r="AY775" i="15"/>
  <c r="AY776" i="15"/>
  <c r="AY777" i="15"/>
  <c r="AY778" i="15"/>
  <c r="AY779" i="15"/>
  <c r="AY780" i="15"/>
  <c r="AY781" i="15"/>
  <c r="AY782" i="15"/>
  <c r="AY783" i="15"/>
  <c r="AY784" i="15"/>
  <c r="AY785" i="15"/>
  <c r="AY786" i="15"/>
  <c r="AY787" i="15"/>
  <c r="AY788" i="15"/>
  <c r="AY789" i="15"/>
  <c r="AY790" i="15"/>
  <c r="AY791" i="15"/>
  <c r="AY792" i="15"/>
  <c r="AY793" i="15"/>
  <c r="AY794" i="15"/>
  <c r="AY795" i="15"/>
  <c r="AY796" i="15"/>
  <c r="AY797" i="15"/>
  <c r="AY798" i="15"/>
  <c r="AY799" i="15"/>
  <c r="AY800" i="15"/>
  <c r="AY801" i="15"/>
  <c r="AY802" i="15"/>
  <c r="AY803" i="15"/>
  <c r="AY804" i="15"/>
  <c r="AY805" i="15"/>
  <c r="AY806" i="15"/>
  <c r="AY807" i="15"/>
  <c r="AY808" i="15"/>
  <c r="AY809" i="15"/>
  <c r="AY810" i="15"/>
  <c r="AY811" i="15"/>
  <c r="AY812" i="15"/>
  <c r="AY813" i="15"/>
  <c r="AY814" i="15"/>
  <c r="AY815" i="15"/>
  <c r="AY816" i="15"/>
  <c r="AY817" i="15"/>
  <c r="AY818" i="15"/>
  <c r="AY819" i="15"/>
  <c r="AY820" i="15"/>
  <c r="AY821" i="15"/>
  <c r="AY822" i="15"/>
  <c r="AY823" i="15"/>
  <c r="AY824" i="15"/>
  <c r="AY825" i="15"/>
  <c r="AY826" i="15"/>
  <c r="AY827" i="15"/>
  <c r="AY828" i="15"/>
  <c r="AY829" i="15"/>
  <c r="AY830" i="15"/>
  <c r="AY831" i="15"/>
  <c r="AY832" i="15"/>
  <c r="AY833" i="15"/>
  <c r="AY834" i="15"/>
  <c r="AY835" i="15"/>
  <c r="AY836" i="15"/>
  <c r="AY837" i="15"/>
  <c r="AY838" i="15"/>
  <c r="AY839" i="15"/>
  <c r="AY840" i="15"/>
  <c r="AY841" i="15"/>
  <c r="AY842" i="15"/>
  <c r="AY843" i="15"/>
  <c r="AY844" i="15"/>
  <c r="AY845" i="15"/>
  <c r="AY846" i="15"/>
  <c r="AY847" i="15"/>
  <c r="AY848" i="15"/>
  <c r="AY849" i="15"/>
  <c r="AY850" i="15"/>
  <c r="AY851" i="15"/>
  <c r="AY852" i="15"/>
  <c r="AY853" i="15"/>
  <c r="AY854" i="15"/>
  <c r="AY855" i="15"/>
  <c r="AY856" i="15"/>
  <c r="AY857" i="15"/>
  <c r="AY858" i="15"/>
  <c r="AY859" i="15"/>
  <c r="AY860" i="15"/>
  <c r="AY861" i="15"/>
  <c r="AY862" i="15"/>
  <c r="AY863" i="15"/>
  <c r="AY864" i="15"/>
  <c r="AY865" i="15"/>
  <c r="AY866" i="15"/>
  <c r="AY867" i="15"/>
  <c r="AY868" i="15"/>
  <c r="AY869" i="15"/>
  <c r="AY870" i="15"/>
  <c r="AY871" i="15"/>
  <c r="AY872" i="15"/>
  <c r="AY873" i="15"/>
  <c r="AY874" i="15"/>
  <c r="AY875" i="15"/>
  <c r="AY876" i="15"/>
  <c r="AY877" i="15"/>
  <c r="AY878" i="15"/>
  <c r="AY879" i="15"/>
  <c r="AY880" i="15"/>
  <c r="AY881" i="15"/>
  <c r="AY882" i="15"/>
  <c r="AY883" i="15"/>
  <c r="AY884" i="15"/>
  <c r="AY885" i="15"/>
  <c r="AY886" i="15"/>
  <c r="AY887" i="15"/>
  <c r="AY888" i="15"/>
  <c r="AY889" i="15"/>
  <c r="AY890" i="15"/>
  <c r="AY891" i="15"/>
  <c r="AY892" i="15"/>
  <c r="AY893" i="15"/>
  <c r="AY894" i="15"/>
  <c r="AY895" i="15"/>
  <c r="AY896" i="15"/>
  <c r="AY897" i="15"/>
  <c r="AY898" i="15"/>
  <c r="AY899" i="15"/>
  <c r="AY900" i="15"/>
  <c r="AY901" i="15"/>
  <c r="AY902" i="15"/>
  <c r="AY903" i="15"/>
  <c r="AY904" i="15"/>
  <c r="AY905" i="15"/>
  <c r="AY906" i="15"/>
  <c r="AY907" i="15"/>
  <c r="AY908" i="15"/>
  <c r="AY909" i="15"/>
  <c r="AY910" i="15"/>
  <c r="AY911" i="15"/>
  <c r="AY912" i="15"/>
  <c r="AY913" i="15"/>
  <c r="AY914" i="15"/>
  <c r="AY915" i="15"/>
  <c r="AY916" i="15"/>
  <c r="AY917" i="15"/>
  <c r="AY918" i="15"/>
  <c r="AY919" i="15"/>
  <c r="AY920" i="15"/>
  <c r="AY921" i="15"/>
  <c r="AY922" i="15"/>
  <c r="AY923" i="15"/>
  <c r="AY924" i="15"/>
  <c r="AY925" i="15"/>
  <c r="AY926" i="15"/>
  <c r="AY927" i="15"/>
  <c r="AY928" i="15"/>
  <c r="AY929" i="15"/>
  <c r="AY930" i="15"/>
  <c r="AY931" i="15"/>
  <c r="AY932" i="15"/>
  <c r="AY933" i="15"/>
  <c r="AY934" i="15"/>
  <c r="AY935" i="15"/>
  <c r="AY936" i="15"/>
  <c r="AY937" i="15"/>
  <c r="AY938" i="15"/>
  <c r="AY939" i="15"/>
  <c r="AY940" i="15"/>
  <c r="AY941" i="15"/>
  <c r="AY942" i="15"/>
  <c r="AY943" i="15"/>
  <c r="AY944" i="15"/>
  <c r="AY945" i="15"/>
  <c r="AY946" i="15"/>
  <c r="AY947" i="15"/>
  <c r="AY948" i="15"/>
  <c r="AY949" i="15"/>
  <c r="AY950" i="15"/>
  <c r="AY951" i="15"/>
  <c r="AY952" i="15"/>
  <c r="AY953" i="15"/>
  <c r="AY954" i="15"/>
  <c r="AY955" i="15"/>
  <c r="AY956" i="15"/>
  <c r="AY957" i="15"/>
  <c r="AY958" i="15"/>
  <c r="AY959" i="15"/>
  <c r="AY960" i="15"/>
  <c r="AY961" i="15"/>
  <c r="AY962" i="15"/>
  <c r="AY963" i="15"/>
  <c r="AY964" i="15"/>
  <c r="AY965" i="15"/>
  <c r="AY966" i="15"/>
  <c r="AY967" i="15"/>
  <c r="AY968" i="15"/>
  <c r="AY969" i="15"/>
  <c r="AY970" i="15"/>
  <c r="AY971" i="15"/>
  <c r="AY972" i="15"/>
  <c r="AY973" i="15"/>
  <c r="AY974" i="15"/>
  <c r="AY975" i="15"/>
  <c r="AY976" i="15"/>
  <c r="AY977" i="15"/>
  <c r="AY978" i="15"/>
  <c r="AY979" i="15"/>
  <c r="AY980" i="15"/>
  <c r="AY981" i="15"/>
  <c r="AY982" i="15"/>
  <c r="AY983" i="15"/>
  <c r="AY984" i="15"/>
  <c r="AY985" i="15"/>
  <c r="AY986" i="15"/>
  <c r="AY987" i="15"/>
  <c r="AY988" i="15"/>
  <c r="AY989" i="15"/>
  <c r="AY990" i="15"/>
  <c r="AY991" i="15"/>
  <c r="AY992" i="15"/>
  <c r="AY993" i="15"/>
  <c r="AY994" i="15"/>
  <c r="AY995" i="15"/>
  <c r="AY996" i="15"/>
  <c r="AY997" i="15"/>
  <c r="AY998" i="15"/>
  <c r="AY999" i="15"/>
  <c r="AY1000" i="15"/>
  <c r="AY1001" i="15"/>
  <c r="AY1002" i="15"/>
  <c r="AY1003" i="15"/>
  <c r="AY1004" i="15"/>
  <c r="AY1005" i="15"/>
  <c r="AY1006" i="15"/>
  <c r="AY1007" i="15"/>
  <c r="AY1008" i="15"/>
  <c r="AY1009" i="15"/>
  <c r="AY1010" i="15"/>
  <c r="AY1011" i="15"/>
  <c r="AY1012" i="15"/>
  <c r="AY1013" i="15"/>
  <c r="AY1014" i="15"/>
  <c r="AY1015" i="15"/>
  <c r="AY1016" i="15"/>
  <c r="AY1017" i="15"/>
  <c r="AY1018" i="15"/>
  <c r="AY1019" i="15"/>
  <c r="AY1020" i="15"/>
  <c r="AY1021" i="15"/>
  <c r="AY1022" i="15"/>
  <c r="AY1023" i="15"/>
  <c r="AY1024" i="15"/>
  <c r="AY1025" i="15"/>
  <c r="AY1026" i="15"/>
  <c r="AY1027" i="15"/>
  <c r="BA27" i="15"/>
  <c r="AG642" i="15" l="1"/>
  <c r="AF642" i="15"/>
  <c r="AH642" i="15" s="1"/>
  <c r="U1011" i="15"/>
  <c r="T1011" i="15"/>
  <c r="V1011" i="15" s="1"/>
  <c r="AO396" i="15"/>
  <c r="AN396" i="15"/>
  <c r="AP396" i="15" s="1"/>
  <c r="Y888" i="15"/>
  <c r="X888" i="15"/>
  <c r="Z888" i="15" s="1"/>
  <c r="AK519" i="15"/>
  <c r="AJ519" i="15"/>
  <c r="AL519" i="15" s="1"/>
  <c r="AC765" i="15"/>
  <c r="AB765" i="15"/>
  <c r="AD765" i="15" s="1"/>
  <c r="AS273" i="15"/>
  <c r="AR273" i="15"/>
  <c r="AT273" i="15" s="1"/>
  <c r="AW150" i="15"/>
  <c r="AV150" i="15"/>
  <c r="AX150" i="15" s="1"/>
  <c r="AZ28" i="15"/>
  <c r="AZ27" i="15"/>
  <c r="BB27" i="15" s="1"/>
  <c r="AS274" i="15" l="1"/>
  <c r="AR274" i="15"/>
  <c r="AT274" i="15" s="1"/>
  <c r="AC766" i="15"/>
  <c r="AB766" i="15"/>
  <c r="AD766" i="15" s="1"/>
  <c r="Y889" i="15"/>
  <c r="X889" i="15"/>
  <c r="Z889" i="15" s="1"/>
  <c r="AO397" i="15"/>
  <c r="AN397" i="15"/>
  <c r="AP397" i="15" s="1"/>
  <c r="AG643" i="15"/>
  <c r="AF643" i="15"/>
  <c r="AH643" i="15" s="1"/>
  <c r="AW151" i="15"/>
  <c r="AV151" i="15"/>
  <c r="AX151" i="15" s="1"/>
  <c r="AK520" i="15"/>
  <c r="AJ520" i="15"/>
  <c r="AL520" i="15" s="1"/>
  <c r="U1012" i="15"/>
  <c r="T1012" i="15"/>
  <c r="V1012" i="15" s="1"/>
  <c r="BA28" i="15"/>
  <c r="BB28" i="15" s="1"/>
  <c r="U1013" i="15" l="1"/>
  <c r="T1013" i="15"/>
  <c r="V1013" i="15" s="1"/>
  <c r="AW152" i="15"/>
  <c r="AV152" i="15"/>
  <c r="AX152" i="15" s="1"/>
  <c r="AG644" i="15"/>
  <c r="AF644" i="15"/>
  <c r="AH644" i="15" s="1"/>
  <c r="Y890" i="15"/>
  <c r="X890" i="15"/>
  <c r="Z890" i="15" s="1"/>
  <c r="AC767" i="15"/>
  <c r="AB767" i="15"/>
  <c r="AD767" i="15" s="1"/>
  <c r="AS275" i="15"/>
  <c r="AR275" i="15"/>
  <c r="AT275" i="15" s="1"/>
  <c r="AK521" i="15"/>
  <c r="AJ521" i="15"/>
  <c r="AL521" i="15" s="1"/>
  <c r="AO398" i="15"/>
  <c r="AN398" i="15"/>
  <c r="AP398" i="15" s="1"/>
  <c r="BA29" i="15"/>
  <c r="AZ29" i="15"/>
  <c r="BB29" i="15" s="1"/>
  <c r="BA30" i="15" l="1"/>
  <c r="AZ30" i="15"/>
  <c r="BB30" i="15" s="1"/>
  <c r="AK522" i="15"/>
  <c r="AJ522" i="15"/>
  <c r="AL522" i="15" s="1"/>
  <c r="AC768" i="15"/>
  <c r="AB768" i="15"/>
  <c r="AD768" i="15" s="1"/>
  <c r="Y891" i="15"/>
  <c r="X891" i="15"/>
  <c r="Z891" i="15" s="1"/>
  <c r="AG645" i="15"/>
  <c r="AF645" i="15"/>
  <c r="AH645" i="15" s="1"/>
  <c r="U1014" i="15"/>
  <c r="T1014" i="15"/>
  <c r="V1014" i="15" s="1"/>
  <c r="AO399" i="15"/>
  <c r="AN399" i="15"/>
  <c r="AP399" i="15" s="1"/>
  <c r="AS276" i="15"/>
  <c r="AR276" i="15"/>
  <c r="AT276" i="15" s="1"/>
  <c r="AW153" i="15"/>
  <c r="AV153" i="15"/>
  <c r="AX153" i="15" s="1"/>
  <c r="AW154" i="15" l="1"/>
  <c r="AV154" i="15"/>
  <c r="AX154" i="15" s="1"/>
  <c r="AS277" i="15"/>
  <c r="AR277" i="15"/>
  <c r="AT277" i="15" s="1"/>
  <c r="AO400" i="15"/>
  <c r="AN400" i="15"/>
  <c r="AP400" i="15" s="1"/>
  <c r="U1015" i="15"/>
  <c r="T1015" i="15"/>
  <c r="V1015" i="15" s="1"/>
  <c r="AG646" i="15"/>
  <c r="AF646" i="15"/>
  <c r="AH646" i="15" s="1"/>
  <c r="Y892" i="15"/>
  <c r="X892" i="15"/>
  <c r="Z892" i="15" s="1"/>
  <c r="AC769" i="15"/>
  <c r="AB769" i="15"/>
  <c r="AD769" i="15" s="1"/>
  <c r="AK523" i="15"/>
  <c r="AJ523" i="15"/>
  <c r="AL523" i="15" s="1"/>
  <c r="BA31" i="15"/>
  <c r="AZ31" i="15"/>
  <c r="BB31" i="15" s="1"/>
  <c r="AK524" i="15" l="1"/>
  <c r="AJ524" i="15"/>
  <c r="AL524" i="15" s="1"/>
  <c r="Y893" i="15"/>
  <c r="X893" i="15"/>
  <c r="Z893" i="15" s="1"/>
  <c r="U1016" i="15"/>
  <c r="T1016" i="15"/>
  <c r="V1016" i="15" s="1"/>
  <c r="AO401" i="15"/>
  <c r="AN401" i="15"/>
  <c r="AP401" i="15" s="1"/>
  <c r="AW155" i="15"/>
  <c r="AV155" i="15"/>
  <c r="AX155" i="15" s="1"/>
  <c r="BA32" i="15"/>
  <c r="AZ32" i="15"/>
  <c r="BB32" i="15" s="1"/>
  <c r="AC770" i="15"/>
  <c r="AB770" i="15"/>
  <c r="AD770" i="15" s="1"/>
  <c r="AG647" i="15"/>
  <c r="AF647" i="15"/>
  <c r="AH647" i="15" s="1"/>
  <c r="AS278" i="15"/>
  <c r="AR278" i="15"/>
  <c r="AT278" i="15" s="1"/>
  <c r="AG648" i="15" l="1"/>
  <c r="AF648" i="15"/>
  <c r="AH648" i="15" s="1"/>
  <c r="BA33" i="15"/>
  <c r="AZ33" i="15"/>
  <c r="BB33" i="15" s="1"/>
  <c r="AO402" i="15"/>
  <c r="AN402" i="15"/>
  <c r="AP402" i="15" s="1"/>
  <c r="U1017" i="15"/>
  <c r="T1017" i="15"/>
  <c r="V1017" i="15" s="1"/>
  <c r="AK525" i="15"/>
  <c r="AJ525" i="15"/>
  <c r="AL525" i="15" s="1"/>
  <c r="AS279" i="15"/>
  <c r="AR279" i="15"/>
  <c r="AT279" i="15" s="1"/>
  <c r="AC771" i="15"/>
  <c r="AB771" i="15"/>
  <c r="AD771" i="15" s="1"/>
  <c r="AW156" i="15"/>
  <c r="AV156" i="15"/>
  <c r="AX156" i="15" s="1"/>
  <c r="Y894" i="15"/>
  <c r="X894" i="15"/>
  <c r="Z894" i="15" s="1"/>
  <c r="AW157" i="15" l="1"/>
  <c r="AV157" i="15"/>
  <c r="AX157" i="15" s="1"/>
  <c r="AS280" i="15"/>
  <c r="AR280" i="15"/>
  <c r="AT280" i="15" s="1"/>
  <c r="U1018" i="15"/>
  <c r="T1018" i="15"/>
  <c r="V1018" i="15" s="1"/>
  <c r="AO403" i="15"/>
  <c r="AN403" i="15"/>
  <c r="AP403" i="15" s="1"/>
  <c r="AG649" i="15"/>
  <c r="AF649" i="15"/>
  <c r="AH649" i="15" s="1"/>
  <c r="Y895" i="15"/>
  <c r="X895" i="15"/>
  <c r="Z895" i="15" s="1"/>
  <c r="AC772" i="15"/>
  <c r="AB772" i="15"/>
  <c r="AD772" i="15" s="1"/>
  <c r="AK526" i="15"/>
  <c r="AJ526" i="15"/>
  <c r="AL526" i="15" s="1"/>
  <c r="BA34" i="15"/>
  <c r="AZ34" i="15"/>
  <c r="BB34" i="15" s="1"/>
  <c r="BA35" i="15" l="1"/>
  <c r="AZ35" i="15"/>
  <c r="BB35" i="15" s="1"/>
  <c r="AC773" i="15"/>
  <c r="AB773" i="15"/>
  <c r="AD773" i="15" s="1"/>
  <c r="Y896" i="15"/>
  <c r="X896" i="15"/>
  <c r="Z896" i="15" s="1"/>
  <c r="AG650" i="15"/>
  <c r="AF650" i="15"/>
  <c r="AH650" i="15" s="1"/>
  <c r="AO404" i="15"/>
  <c r="AN404" i="15"/>
  <c r="AP404" i="15" s="1"/>
  <c r="AS281" i="15"/>
  <c r="AR281" i="15"/>
  <c r="AT281" i="15" s="1"/>
  <c r="AW158" i="15"/>
  <c r="AV158" i="15"/>
  <c r="AX158" i="15" s="1"/>
  <c r="AK527" i="15"/>
  <c r="AJ527" i="15"/>
  <c r="AL527" i="15" s="1"/>
  <c r="U1019" i="15"/>
  <c r="T1019" i="15"/>
  <c r="V1019" i="15" s="1"/>
  <c r="U1020" i="15" l="1"/>
  <c r="T1020" i="15"/>
  <c r="V1020" i="15" s="1"/>
  <c r="AW159" i="15"/>
  <c r="AV159" i="15"/>
  <c r="AX159" i="15" s="1"/>
  <c r="AS282" i="15"/>
  <c r="AR282" i="15"/>
  <c r="AT282" i="15" s="1"/>
  <c r="AO405" i="15"/>
  <c r="AN405" i="15"/>
  <c r="AP405" i="15" s="1"/>
  <c r="AG651" i="15"/>
  <c r="AF651" i="15"/>
  <c r="AH651" i="15" s="1"/>
  <c r="AC774" i="15"/>
  <c r="AB774" i="15"/>
  <c r="AD774" i="15" s="1"/>
  <c r="BA36" i="15"/>
  <c r="AZ36" i="15"/>
  <c r="BB36" i="15" s="1"/>
  <c r="AK528" i="15"/>
  <c r="AJ528" i="15"/>
  <c r="AL528" i="15" s="1"/>
  <c r="Y897" i="15"/>
  <c r="X897" i="15"/>
  <c r="Z897" i="15" s="1"/>
  <c r="Y898" i="15" l="1"/>
  <c r="X898" i="15"/>
  <c r="Z898" i="15" s="1"/>
  <c r="BA37" i="15"/>
  <c r="AZ37" i="15"/>
  <c r="BB37" i="15" s="1"/>
  <c r="AG652" i="15"/>
  <c r="AF652" i="15"/>
  <c r="AH652" i="15" s="1"/>
  <c r="AO406" i="15"/>
  <c r="AN406" i="15"/>
  <c r="AP406" i="15" s="1"/>
  <c r="AS283" i="15"/>
  <c r="AR283" i="15"/>
  <c r="AT283" i="15" s="1"/>
  <c r="U1021" i="15"/>
  <c r="T1021" i="15"/>
  <c r="V1021" i="15" s="1"/>
  <c r="AK529" i="15"/>
  <c r="AJ529" i="15"/>
  <c r="AL529" i="15" s="1"/>
  <c r="AC775" i="15"/>
  <c r="AB775" i="15"/>
  <c r="AD775" i="15" s="1"/>
  <c r="AW160" i="15"/>
  <c r="AV160" i="15"/>
  <c r="AX160" i="15" s="1"/>
  <c r="AC776" i="15" l="1"/>
  <c r="AB776" i="15"/>
  <c r="AD776" i="15" s="1"/>
  <c r="AK530" i="15"/>
  <c r="AJ530" i="15"/>
  <c r="AL530" i="15" s="1"/>
  <c r="AS284" i="15"/>
  <c r="AR284" i="15"/>
  <c r="AT284" i="15" s="1"/>
  <c r="AO407" i="15"/>
  <c r="AN407" i="15"/>
  <c r="AP407" i="15" s="1"/>
  <c r="AG653" i="15"/>
  <c r="AF653" i="15"/>
  <c r="AH653" i="15" s="1"/>
  <c r="Y899" i="15"/>
  <c r="X899" i="15"/>
  <c r="Z899" i="15" s="1"/>
  <c r="AW161" i="15"/>
  <c r="AV161" i="15"/>
  <c r="AX161" i="15" s="1"/>
  <c r="U1022" i="15"/>
  <c r="T1022" i="15"/>
  <c r="V1022" i="15" s="1"/>
  <c r="BA38" i="15"/>
  <c r="AZ38" i="15"/>
  <c r="BB38" i="15" s="1"/>
  <c r="BA39" i="15" l="1"/>
  <c r="AZ39" i="15"/>
  <c r="BB39" i="15" s="1"/>
  <c r="AW162" i="15"/>
  <c r="AV162" i="15"/>
  <c r="AX162" i="15" s="1"/>
  <c r="Y900" i="15"/>
  <c r="X900" i="15"/>
  <c r="Z900" i="15" s="1"/>
  <c r="AG654" i="15"/>
  <c r="AF654" i="15"/>
  <c r="AH654" i="15" s="1"/>
  <c r="AO408" i="15"/>
  <c r="AN408" i="15"/>
  <c r="AP408" i="15" s="1"/>
  <c r="AK531" i="15"/>
  <c r="AJ531" i="15"/>
  <c r="AL531" i="15" s="1"/>
  <c r="AC777" i="15"/>
  <c r="AB777" i="15"/>
  <c r="AD777" i="15" s="1"/>
  <c r="U1023" i="15"/>
  <c r="T1023" i="15"/>
  <c r="V1023" i="15" s="1"/>
  <c r="AS285" i="15"/>
  <c r="AR285" i="15"/>
  <c r="AT285" i="15" s="1"/>
  <c r="AS286" i="15" l="1"/>
  <c r="AR286" i="15"/>
  <c r="AT286" i="15" s="1"/>
  <c r="AC778" i="15"/>
  <c r="AB778" i="15"/>
  <c r="AD778" i="15" s="1"/>
  <c r="AK532" i="15"/>
  <c r="AJ532" i="15"/>
  <c r="AL532" i="15" s="1"/>
  <c r="AO409" i="15"/>
  <c r="AN409" i="15"/>
  <c r="AP409" i="15" s="1"/>
  <c r="AG655" i="15"/>
  <c r="AF655" i="15"/>
  <c r="AH655" i="15" s="1"/>
  <c r="AW163" i="15"/>
  <c r="AV163" i="15"/>
  <c r="AX163" i="15" s="1"/>
  <c r="BA40" i="15"/>
  <c r="AZ40" i="15"/>
  <c r="BB40" i="15" s="1"/>
  <c r="U1024" i="15"/>
  <c r="T1024" i="15"/>
  <c r="V1024" i="15" s="1"/>
  <c r="Y901" i="15"/>
  <c r="X901" i="15"/>
  <c r="Z901" i="15" s="1"/>
  <c r="Y902" i="15" l="1"/>
  <c r="X902" i="15"/>
  <c r="Z902" i="15" s="1"/>
  <c r="BA41" i="15"/>
  <c r="AZ41" i="15"/>
  <c r="BB41" i="15" s="1"/>
  <c r="AW164" i="15"/>
  <c r="AV164" i="15"/>
  <c r="AX164" i="15" s="1"/>
  <c r="AG656" i="15"/>
  <c r="AF656" i="15"/>
  <c r="AH656" i="15" s="1"/>
  <c r="AO410" i="15"/>
  <c r="AN410" i="15"/>
  <c r="AP410" i="15" s="1"/>
  <c r="AC779" i="15"/>
  <c r="AB779" i="15"/>
  <c r="AD779" i="15" s="1"/>
  <c r="AS287" i="15"/>
  <c r="AR287" i="15"/>
  <c r="AT287" i="15" s="1"/>
  <c r="U1025" i="15"/>
  <c r="T1025" i="15"/>
  <c r="V1025" i="15" s="1"/>
  <c r="AK533" i="15"/>
  <c r="AJ533" i="15"/>
  <c r="AL533" i="15" s="1"/>
  <c r="AK534" i="15" l="1"/>
  <c r="AJ534" i="15"/>
  <c r="AL534" i="15" s="1"/>
  <c r="U1026" i="15"/>
  <c r="T1026" i="15"/>
  <c r="V1026" i="15" s="1"/>
  <c r="AS288" i="15"/>
  <c r="AR288" i="15"/>
  <c r="AT288" i="15" s="1"/>
  <c r="AC780" i="15"/>
  <c r="AB780" i="15"/>
  <c r="AD780" i="15" s="1"/>
  <c r="AO411" i="15"/>
  <c r="AN411" i="15"/>
  <c r="AP411" i="15" s="1"/>
  <c r="AG657" i="15"/>
  <c r="AF657" i="15"/>
  <c r="AH657" i="15" s="1"/>
  <c r="AW165" i="15"/>
  <c r="AV165" i="15"/>
  <c r="AX165" i="15" s="1"/>
  <c r="BA42" i="15"/>
  <c r="AZ42" i="15"/>
  <c r="BB42" i="15" s="1"/>
  <c r="Y903" i="15"/>
  <c r="X903" i="15"/>
  <c r="Z903" i="15" s="1"/>
  <c r="BA43" i="15" l="1"/>
  <c r="AZ43" i="15"/>
  <c r="BB43" i="15" s="1"/>
  <c r="AW166" i="15"/>
  <c r="AV166" i="15"/>
  <c r="AX166" i="15" s="1"/>
  <c r="AO412" i="15"/>
  <c r="AN412" i="15"/>
  <c r="AP412" i="15" s="1"/>
  <c r="AC781" i="15"/>
  <c r="AB781" i="15"/>
  <c r="AD781" i="15" s="1"/>
  <c r="AS289" i="15"/>
  <c r="AR289" i="15"/>
  <c r="AT289" i="15" s="1"/>
  <c r="AK535" i="15"/>
  <c r="AJ535" i="15"/>
  <c r="AL535" i="15" s="1"/>
  <c r="Y904" i="15"/>
  <c r="X904" i="15"/>
  <c r="Z904" i="15" s="1"/>
  <c r="AG658" i="15"/>
  <c r="AF658" i="15"/>
  <c r="AH658" i="15" s="1"/>
  <c r="U1027" i="15"/>
  <c r="T1027" i="15"/>
  <c r="V1027" i="15" s="1"/>
  <c r="Y905" i="15" l="1"/>
  <c r="X905" i="15"/>
  <c r="Z905" i="15" s="1"/>
  <c r="AK536" i="15"/>
  <c r="AJ536" i="15"/>
  <c r="AL536" i="15" s="1"/>
  <c r="AS290" i="15"/>
  <c r="AR290" i="15"/>
  <c r="AT290" i="15" s="1"/>
  <c r="AC782" i="15"/>
  <c r="AB782" i="15"/>
  <c r="AD782" i="15" s="1"/>
  <c r="AW167" i="15"/>
  <c r="AV167" i="15"/>
  <c r="AX167" i="15" s="1"/>
  <c r="BA44" i="15"/>
  <c r="AZ44" i="15"/>
  <c r="BB44" i="15" s="1"/>
  <c r="AG659" i="15"/>
  <c r="AF659" i="15"/>
  <c r="AH659" i="15" s="1"/>
  <c r="AO413" i="15"/>
  <c r="AN413" i="15"/>
  <c r="AP413" i="15" s="1"/>
  <c r="AO414" i="15" l="1"/>
  <c r="AN414" i="15"/>
  <c r="AP414" i="15" s="1"/>
  <c r="BA45" i="15"/>
  <c r="AZ45" i="15"/>
  <c r="BB45" i="15" s="1"/>
  <c r="AC783" i="15"/>
  <c r="AB783" i="15"/>
  <c r="AD783" i="15" s="1"/>
  <c r="AS291" i="15"/>
  <c r="AR291" i="15"/>
  <c r="AT291" i="15" s="1"/>
  <c r="Y906" i="15"/>
  <c r="X906" i="15"/>
  <c r="Z906" i="15" s="1"/>
  <c r="AG660" i="15"/>
  <c r="AF660" i="15"/>
  <c r="AH660" i="15" s="1"/>
  <c r="AW168" i="15"/>
  <c r="AV168" i="15"/>
  <c r="AX168" i="15" s="1"/>
  <c r="AK537" i="15"/>
  <c r="AJ537" i="15"/>
  <c r="AL537" i="15" s="1"/>
  <c r="AK538" i="15" l="1"/>
  <c r="AJ538" i="15"/>
  <c r="AL538" i="15" s="1"/>
  <c r="AG661" i="15"/>
  <c r="AF661" i="15"/>
  <c r="AH661" i="15" s="1"/>
  <c r="AS292" i="15"/>
  <c r="AR292" i="15"/>
  <c r="AT292" i="15" s="1"/>
  <c r="AC784" i="15"/>
  <c r="AB784" i="15"/>
  <c r="AD784" i="15" s="1"/>
  <c r="AO415" i="15"/>
  <c r="AN415" i="15"/>
  <c r="AP415" i="15" s="1"/>
  <c r="AW169" i="15"/>
  <c r="AV169" i="15"/>
  <c r="AX169" i="15" s="1"/>
  <c r="Y907" i="15"/>
  <c r="X907" i="15"/>
  <c r="Z907" i="15" s="1"/>
  <c r="BA46" i="15"/>
  <c r="AZ46" i="15"/>
  <c r="BB46" i="15" s="1"/>
  <c r="BA47" i="15" l="1"/>
  <c r="AZ47" i="15"/>
  <c r="BB47" i="15" s="1"/>
  <c r="AW170" i="15"/>
  <c r="AV170" i="15"/>
  <c r="AX170" i="15" s="1"/>
  <c r="AO416" i="15"/>
  <c r="AN416" i="15"/>
  <c r="AP416" i="15" s="1"/>
  <c r="AC785" i="15"/>
  <c r="AB785" i="15"/>
  <c r="AD785" i="15" s="1"/>
  <c r="AS293" i="15"/>
  <c r="AR293" i="15"/>
  <c r="AT293" i="15" s="1"/>
  <c r="AK539" i="15"/>
  <c r="AJ539" i="15"/>
  <c r="AL539" i="15" s="1"/>
  <c r="Y908" i="15"/>
  <c r="X908" i="15"/>
  <c r="Z908" i="15" s="1"/>
  <c r="AG662" i="15"/>
  <c r="AF662" i="15"/>
  <c r="AH662" i="15" s="1"/>
  <c r="AS294" i="15" l="1"/>
  <c r="AR294" i="15"/>
  <c r="AT294" i="15" s="1"/>
  <c r="AC786" i="15"/>
  <c r="AB786" i="15"/>
  <c r="AD786" i="15" s="1"/>
  <c r="AO417" i="15"/>
  <c r="AN417" i="15"/>
  <c r="AP417" i="15" s="1"/>
  <c r="BA48" i="15"/>
  <c r="AZ48" i="15"/>
  <c r="BB48" i="15" s="1"/>
  <c r="AG663" i="15"/>
  <c r="AF663" i="15"/>
  <c r="AH663" i="15" s="1"/>
  <c r="Y909" i="15"/>
  <c r="X909" i="15"/>
  <c r="Z909" i="15" s="1"/>
  <c r="AK540" i="15"/>
  <c r="AJ540" i="15"/>
  <c r="AL540" i="15" s="1"/>
  <c r="AW171" i="15"/>
  <c r="AV171" i="15"/>
  <c r="AX171" i="15" s="1"/>
  <c r="Y910" i="15" l="1"/>
  <c r="X910" i="15"/>
  <c r="Z910" i="15" s="1"/>
  <c r="AW172" i="15"/>
  <c r="AV172" i="15"/>
  <c r="AX172" i="15" s="1"/>
  <c r="AK541" i="15"/>
  <c r="AJ541" i="15"/>
  <c r="AL541" i="15" s="1"/>
  <c r="AG664" i="15"/>
  <c r="AF664" i="15"/>
  <c r="AH664" i="15" s="1"/>
  <c r="BA49" i="15"/>
  <c r="AZ49" i="15"/>
  <c r="BB49" i="15" s="1"/>
  <c r="AO418" i="15"/>
  <c r="AN418" i="15"/>
  <c r="AP418" i="15" s="1"/>
  <c r="AC787" i="15"/>
  <c r="AB787" i="15"/>
  <c r="AD787" i="15" s="1"/>
  <c r="AS295" i="15"/>
  <c r="AR295" i="15"/>
  <c r="AT295" i="15" s="1"/>
  <c r="AS296" i="15" l="1"/>
  <c r="AR296" i="15"/>
  <c r="AT296" i="15" s="1"/>
  <c r="AO419" i="15"/>
  <c r="AN419" i="15"/>
  <c r="AP419" i="15" s="1"/>
  <c r="BA50" i="15"/>
  <c r="AZ50" i="15"/>
  <c r="BB50" i="15" s="1"/>
  <c r="AG665" i="15"/>
  <c r="AF665" i="15"/>
  <c r="AH665" i="15" s="1"/>
  <c r="AK542" i="15"/>
  <c r="AJ542" i="15"/>
  <c r="AL542" i="15" s="1"/>
  <c r="Y911" i="15"/>
  <c r="X911" i="15"/>
  <c r="Z911" i="15" s="1"/>
  <c r="AC788" i="15"/>
  <c r="AB788" i="15"/>
  <c r="AD788" i="15" s="1"/>
  <c r="AW173" i="15"/>
  <c r="AV173" i="15"/>
  <c r="AX173" i="15" s="1"/>
  <c r="AW174" i="15" l="1"/>
  <c r="AV174" i="15"/>
  <c r="AX174" i="15" s="1"/>
  <c r="Y912" i="15"/>
  <c r="X912" i="15"/>
  <c r="Z912" i="15" s="1"/>
  <c r="AK543" i="15"/>
  <c r="AJ543" i="15"/>
  <c r="AL543" i="15" s="1"/>
  <c r="AG666" i="15"/>
  <c r="AF666" i="15"/>
  <c r="AH666" i="15" s="1"/>
  <c r="BA51" i="15"/>
  <c r="AZ51" i="15"/>
  <c r="BB51" i="15" s="1"/>
  <c r="AS297" i="15"/>
  <c r="AR297" i="15"/>
  <c r="AT297" i="15" s="1"/>
  <c r="AC789" i="15"/>
  <c r="AB789" i="15"/>
  <c r="AD789" i="15" s="1"/>
  <c r="AO420" i="15"/>
  <c r="AN420" i="15"/>
  <c r="AP420" i="15" s="1"/>
  <c r="AO421" i="15" l="1"/>
  <c r="AN421" i="15"/>
  <c r="AP421" i="15" s="1"/>
  <c r="AC790" i="15"/>
  <c r="AB790" i="15"/>
  <c r="AD790" i="15" s="1"/>
  <c r="BA52" i="15"/>
  <c r="AZ52" i="15"/>
  <c r="BB52" i="15" s="1"/>
  <c r="AG667" i="15"/>
  <c r="AF667" i="15"/>
  <c r="AH667" i="15" s="1"/>
  <c r="AK544" i="15"/>
  <c r="AJ544" i="15"/>
  <c r="AL544" i="15" s="1"/>
  <c r="AW175" i="15"/>
  <c r="AV175" i="15"/>
  <c r="AX175" i="15" s="1"/>
  <c r="AS298" i="15"/>
  <c r="AR298" i="15"/>
  <c r="AT298" i="15" s="1"/>
  <c r="Y913" i="15"/>
  <c r="X913" i="15"/>
  <c r="Z913" i="15" s="1"/>
  <c r="AW176" i="15" l="1"/>
  <c r="AV176" i="15"/>
  <c r="AX176" i="15" s="1"/>
  <c r="AK545" i="15"/>
  <c r="AJ545" i="15"/>
  <c r="AL545" i="15" s="1"/>
  <c r="BA53" i="15"/>
  <c r="AZ53" i="15"/>
  <c r="BB53" i="15" s="1"/>
  <c r="AO422" i="15"/>
  <c r="AN422" i="15"/>
  <c r="AP422" i="15" s="1"/>
  <c r="Y914" i="15"/>
  <c r="X914" i="15"/>
  <c r="Z914" i="15" s="1"/>
  <c r="AS299" i="15"/>
  <c r="AR299" i="15"/>
  <c r="AT299" i="15" s="1"/>
  <c r="AG668" i="15"/>
  <c r="AF668" i="15"/>
  <c r="AH668" i="15" s="1"/>
  <c r="AC791" i="15"/>
  <c r="AB791" i="15"/>
  <c r="AD791" i="15" s="1"/>
  <c r="AC792" i="15" l="1"/>
  <c r="AB792" i="15"/>
  <c r="AD792" i="15" s="1"/>
  <c r="AS300" i="15"/>
  <c r="AR300" i="15"/>
  <c r="AT300" i="15" s="1"/>
  <c r="Y915" i="15"/>
  <c r="X915" i="15"/>
  <c r="Z915" i="15" s="1"/>
  <c r="AO423" i="15"/>
  <c r="AN423" i="15"/>
  <c r="AP423" i="15" s="1"/>
  <c r="BA54" i="15"/>
  <c r="AZ54" i="15"/>
  <c r="BB54" i="15" s="1"/>
  <c r="AW177" i="15"/>
  <c r="AV177" i="15"/>
  <c r="AX177" i="15" s="1"/>
  <c r="AG669" i="15"/>
  <c r="AF669" i="15"/>
  <c r="AH669" i="15" s="1"/>
  <c r="AK546" i="15"/>
  <c r="AJ546" i="15"/>
  <c r="AL546" i="15" s="1"/>
  <c r="AK547" i="15" l="1"/>
  <c r="AJ547" i="15"/>
  <c r="AL547" i="15" s="1"/>
  <c r="AW178" i="15"/>
  <c r="AV178" i="15"/>
  <c r="AX178" i="15" s="1"/>
  <c r="BA55" i="15"/>
  <c r="AZ55" i="15"/>
  <c r="BB55" i="15" s="1"/>
  <c r="AO424" i="15"/>
  <c r="AN424" i="15"/>
  <c r="AP424" i="15" s="1"/>
  <c r="AS301" i="15"/>
  <c r="AR301" i="15"/>
  <c r="AT301" i="15" s="1"/>
  <c r="AC793" i="15"/>
  <c r="AB793" i="15"/>
  <c r="AD793" i="15" s="1"/>
  <c r="AG670" i="15"/>
  <c r="AF670" i="15"/>
  <c r="AH670" i="15" s="1"/>
  <c r="Y916" i="15"/>
  <c r="X916" i="15"/>
  <c r="Z916" i="15" s="1"/>
  <c r="Y917" i="15" l="1"/>
  <c r="X917" i="15"/>
  <c r="Z917" i="15" s="1"/>
  <c r="AC794" i="15"/>
  <c r="AB794" i="15"/>
  <c r="AD794" i="15" s="1"/>
  <c r="AO425" i="15"/>
  <c r="AN425" i="15"/>
  <c r="AP425" i="15" s="1"/>
  <c r="BA56" i="15"/>
  <c r="AZ56" i="15"/>
  <c r="BB56" i="15" s="1"/>
  <c r="AK548" i="15"/>
  <c r="AJ548" i="15"/>
  <c r="AL548" i="15" s="1"/>
  <c r="AG671" i="15"/>
  <c r="AF671" i="15"/>
  <c r="AH671" i="15" s="1"/>
  <c r="AS302" i="15"/>
  <c r="AR302" i="15"/>
  <c r="AT302" i="15" s="1"/>
  <c r="AW179" i="15"/>
  <c r="AV179" i="15"/>
  <c r="AX179" i="15" s="1"/>
  <c r="AW180" i="15" l="1"/>
  <c r="AV180" i="15"/>
  <c r="AX180" i="15" s="1"/>
  <c r="AS303" i="15"/>
  <c r="AR303" i="15"/>
  <c r="AT303" i="15" s="1"/>
  <c r="AG672" i="15"/>
  <c r="AF672" i="15"/>
  <c r="AH672" i="15" s="1"/>
  <c r="AK549" i="15"/>
  <c r="AJ549" i="15"/>
  <c r="AL549" i="15" s="1"/>
  <c r="BA57" i="15"/>
  <c r="AZ57" i="15"/>
  <c r="BB57" i="15" s="1"/>
  <c r="AO426" i="15"/>
  <c r="AN426" i="15"/>
  <c r="AP426" i="15" s="1"/>
  <c r="AC795" i="15"/>
  <c r="AB795" i="15"/>
  <c r="AD795" i="15" s="1"/>
  <c r="Y918" i="15"/>
  <c r="X918" i="15"/>
  <c r="Z918" i="15" s="1"/>
  <c r="Y919" i="15" l="1"/>
  <c r="X919" i="15"/>
  <c r="Z919" i="15" s="1"/>
  <c r="AC796" i="15"/>
  <c r="AB796" i="15"/>
  <c r="AD796" i="15" s="1"/>
  <c r="BA58" i="15"/>
  <c r="AZ58" i="15"/>
  <c r="BB58" i="15" s="1"/>
  <c r="AK550" i="15"/>
  <c r="AJ550" i="15"/>
  <c r="AL550" i="15" s="1"/>
  <c r="AG673" i="15"/>
  <c r="AF673" i="15"/>
  <c r="AH673" i="15" s="1"/>
  <c r="AW181" i="15"/>
  <c r="AV181" i="15"/>
  <c r="AX181" i="15" s="1"/>
  <c r="AO427" i="15"/>
  <c r="AN427" i="15"/>
  <c r="AP427" i="15" s="1"/>
  <c r="AS304" i="15"/>
  <c r="AR304" i="15"/>
  <c r="AT304" i="15" s="1"/>
  <c r="AS305" i="15" l="1"/>
  <c r="AR305" i="15"/>
  <c r="AT305" i="15" s="1"/>
  <c r="AO428" i="15"/>
  <c r="AN428" i="15"/>
  <c r="AP428" i="15" s="1"/>
  <c r="AG674" i="15"/>
  <c r="AF674" i="15"/>
  <c r="AH674" i="15" s="1"/>
  <c r="AK551" i="15"/>
  <c r="AJ551" i="15"/>
  <c r="AL551" i="15" s="1"/>
  <c r="BA59" i="15"/>
  <c r="AZ59" i="15"/>
  <c r="BB59" i="15" s="1"/>
  <c r="Y920" i="15"/>
  <c r="X920" i="15"/>
  <c r="Z920" i="15" s="1"/>
  <c r="AW182" i="15"/>
  <c r="AV182" i="15"/>
  <c r="AX182" i="15" s="1"/>
  <c r="AC797" i="15"/>
  <c r="AB797" i="15"/>
  <c r="AD797" i="15" s="1"/>
  <c r="AC798" i="15" l="1"/>
  <c r="AB798" i="15"/>
  <c r="AD798" i="15" s="1"/>
  <c r="Y921" i="15"/>
  <c r="X921" i="15"/>
  <c r="Z921" i="15" s="1"/>
  <c r="AK552" i="15"/>
  <c r="AJ552" i="15"/>
  <c r="AL552" i="15" s="1"/>
  <c r="AG675" i="15"/>
  <c r="AF675" i="15"/>
  <c r="AH675" i="15" s="1"/>
  <c r="AS306" i="15"/>
  <c r="AR306" i="15"/>
  <c r="AT306" i="15" s="1"/>
  <c r="AW183" i="15"/>
  <c r="AV183" i="15"/>
  <c r="AX183" i="15" s="1"/>
  <c r="BA60" i="15"/>
  <c r="AZ60" i="15"/>
  <c r="BB60" i="15" s="1"/>
  <c r="AO429" i="15"/>
  <c r="AN429" i="15"/>
  <c r="AP429" i="15" s="1"/>
  <c r="BA61" i="15" l="1"/>
  <c r="AZ61" i="15"/>
  <c r="BB61" i="15" s="1"/>
  <c r="AS307" i="15"/>
  <c r="AR307" i="15"/>
  <c r="AT307" i="15" s="1"/>
  <c r="AK553" i="15"/>
  <c r="AJ553" i="15"/>
  <c r="AL553" i="15" s="1"/>
  <c r="AC799" i="15"/>
  <c r="AB799" i="15"/>
  <c r="AD799" i="15" s="1"/>
  <c r="AO430" i="15"/>
  <c r="AN430" i="15"/>
  <c r="AP430" i="15" s="1"/>
  <c r="AW184" i="15"/>
  <c r="AV184" i="15"/>
  <c r="AX184" i="15" s="1"/>
  <c r="AG676" i="15"/>
  <c r="AF676" i="15"/>
  <c r="AH676" i="15" s="1"/>
  <c r="Y922" i="15"/>
  <c r="X922" i="15"/>
  <c r="Z922" i="15" s="1"/>
  <c r="AG677" i="15" l="1"/>
  <c r="AF677" i="15"/>
  <c r="AH677" i="15" s="1"/>
  <c r="AO431" i="15"/>
  <c r="AN431" i="15"/>
  <c r="AP431" i="15" s="1"/>
  <c r="AC800" i="15"/>
  <c r="AB800" i="15"/>
  <c r="AD800" i="15" s="1"/>
  <c r="AK554" i="15"/>
  <c r="AJ554" i="15"/>
  <c r="AL554" i="15" s="1"/>
  <c r="BA62" i="15"/>
  <c r="AZ62" i="15"/>
  <c r="BB62" i="15" s="1"/>
  <c r="Y923" i="15"/>
  <c r="X923" i="15"/>
  <c r="Z923" i="15" s="1"/>
  <c r="AW185" i="15"/>
  <c r="AV185" i="15"/>
  <c r="AX185" i="15" s="1"/>
  <c r="AS308" i="15"/>
  <c r="AR308" i="15"/>
  <c r="AT308" i="15" s="1"/>
  <c r="AW186" i="15" l="1"/>
  <c r="AV186" i="15"/>
  <c r="AX186" i="15" s="1"/>
  <c r="BA63" i="15"/>
  <c r="AZ63" i="15"/>
  <c r="BB63" i="15" s="1"/>
  <c r="AK555" i="15"/>
  <c r="AJ555" i="15"/>
  <c r="AL555" i="15" s="1"/>
  <c r="AC801" i="15"/>
  <c r="AB801" i="15"/>
  <c r="AD801" i="15" s="1"/>
  <c r="AG678" i="15"/>
  <c r="AF678" i="15"/>
  <c r="AH678" i="15" s="1"/>
  <c r="AS309" i="15"/>
  <c r="AR309" i="15"/>
  <c r="AT309" i="15" s="1"/>
  <c r="Y924" i="15"/>
  <c r="X924" i="15"/>
  <c r="Z924" i="15" s="1"/>
  <c r="AO432" i="15"/>
  <c r="AN432" i="15"/>
  <c r="AP432" i="15" s="1"/>
  <c r="AO433" i="15" l="1"/>
  <c r="AN433" i="15"/>
  <c r="AP433" i="15" s="1"/>
  <c r="AS310" i="15"/>
  <c r="AR310" i="15"/>
  <c r="AT310" i="15" s="1"/>
  <c r="AG679" i="15"/>
  <c r="AF679" i="15"/>
  <c r="AH679" i="15" s="1"/>
  <c r="AC802" i="15"/>
  <c r="AB802" i="15"/>
  <c r="AD802" i="15" s="1"/>
  <c r="BA64" i="15"/>
  <c r="AZ64" i="15"/>
  <c r="BB64" i="15" s="1"/>
  <c r="AW187" i="15"/>
  <c r="AV187" i="15"/>
  <c r="AX187" i="15" s="1"/>
  <c r="Y925" i="15"/>
  <c r="X925" i="15"/>
  <c r="Z925" i="15" s="1"/>
  <c r="AK556" i="15"/>
  <c r="AJ556" i="15"/>
  <c r="AL556" i="15" s="1"/>
  <c r="AC803" i="15" l="1"/>
  <c r="AB803" i="15"/>
  <c r="AD803" i="15" s="1"/>
  <c r="AG680" i="15"/>
  <c r="AF680" i="15"/>
  <c r="AH680" i="15" s="1"/>
  <c r="AO434" i="15"/>
  <c r="AN434" i="15"/>
  <c r="AP434" i="15" s="1"/>
  <c r="AK557" i="15"/>
  <c r="AJ557" i="15"/>
  <c r="AL557" i="15" s="1"/>
  <c r="Y926" i="15"/>
  <c r="X926" i="15"/>
  <c r="Z926" i="15" s="1"/>
  <c r="AW188" i="15"/>
  <c r="AV188" i="15"/>
  <c r="AX188" i="15" s="1"/>
  <c r="BA65" i="15"/>
  <c r="AZ65" i="15"/>
  <c r="BB65" i="15" s="1"/>
  <c r="AS311" i="15"/>
  <c r="AR311" i="15"/>
  <c r="AT311" i="15" s="1"/>
  <c r="AS312" i="15" l="1"/>
  <c r="AR312" i="15"/>
  <c r="AT312" i="15" s="1"/>
  <c r="AW189" i="15"/>
  <c r="AV189" i="15"/>
  <c r="AX189" i="15" s="1"/>
  <c r="Y927" i="15"/>
  <c r="X927" i="15"/>
  <c r="Z927" i="15" s="1"/>
  <c r="AK558" i="15"/>
  <c r="AJ558" i="15"/>
  <c r="AL558" i="15" s="1"/>
  <c r="AO435" i="15"/>
  <c r="AN435" i="15"/>
  <c r="AP435" i="15" s="1"/>
  <c r="AC804" i="15"/>
  <c r="AB804" i="15"/>
  <c r="AD804" i="15" s="1"/>
  <c r="BA66" i="15"/>
  <c r="AZ66" i="15"/>
  <c r="BB66" i="15" s="1"/>
  <c r="AG681" i="15"/>
  <c r="AF681" i="15"/>
  <c r="AH681" i="15" s="1"/>
  <c r="BA67" i="15" l="1"/>
  <c r="AZ67" i="15"/>
  <c r="BB67" i="15" s="1"/>
  <c r="AC805" i="15"/>
  <c r="AB805" i="15"/>
  <c r="AD805" i="15" s="1"/>
  <c r="AK559" i="15"/>
  <c r="AJ559" i="15"/>
  <c r="AL559" i="15" s="1"/>
  <c r="Y928" i="15"/>
  <c r="X928" i="15"/>
  <c r="Z928" i="15" s="1"/>
  <c r="AS313" i="15"/>
  <c r="AR313" i="15"/>
  <c r="AT313" i="15" s="1"/>
  <c r="AG682" i="15"/>
  <c r="AF682" i="15"/>
  <c r="AH682" i="15" s="1"/>
  <c r="AO436" i="15"/>
  <c r="AN436" i="15"/>
  <c r="AP436" i="15" s="1"/>
  <c r="AW190" i="15"/>
  <c r="AV190" i="15"/>
  <c r="AX190" i="15" s="1"/>
  <c r="AW191" i="15" l="1"/>
  <c r="AV191" i="15"/>
  <c r="AX191" i="15" s="1"/>
  <c r="AG683" i="15"/>
  <c r="AF683" i="15"/>
  <c r="AH683" i="15" s="1"/>
  <c r="AS314" i="15"/>
  <c r="AR314" i="15"/>
  <c r="AT314" i="15" s="1"/>
  <c r="Y929" i="15"/>
  <c r="X929" i="15"/>
  <c r="Z929" i="15" s="1"/>
  <c r="AK560" i="15"/>
  <c r="AJ560" i="15"/>
  <c r="AL560" i="15" s="1"/>
  <c r="BA68" i="15"/>
  <c r="AZ68" i="15"/>
  <c r="BB68" i="15" s="1"/>
  <c r="AO437" i="15"/>
  <c r="AN437" i="15"/>
  <c r="AP437" i="15" s="1"/>
  <c r="AC806" i="15"/>
  <c r="AB806" i="15"/>
  <c r="AD806" i="15" s="1"/>
  <c r="AC807" i="15" l="1"/>
  <c r="AB807" i="15"/>
  <c r="AD807" i="15" s="1"/>
  <c r="BA69" i="15"/>
  <c r="AZ69" i="15"/>
  <c r="BB69" i="15" s="1"/>
  <c r="AK561" i="15"/>
  <c r="AJ561" i="15"/>
  <c r="AL561" i="15" s="1"/>
  <c r="Y930" i="15"/>
  <c r="X930" i="15"/>
  <c r="Z930" i="15" s="1"/>
  <c r="AG684" i="15"/>
  <c r="AF684" i="15"/>
  <c r="AH684" i="15" s="1"/>
  <c r="AW192" i="15"/>
  <c r="AV192" i="15"/>
  <c r="AX192" i="15" s="1"/>
  <c r="AO438" i="15"/>
  <c r="AN438" i="15"/>
  <c r="AP438" i="15" s="1"/>
  <c r="AS315" i="15"/>
  <c r="AR315" i="15"/>
  <c r="AT315" i="15" s="1"/>
  <c r="AS316" i="15" l="1"/>
  <c r="AR316" i="15"/>
  <c r="AT316" i="15" s="1"/>
  <c r="AW193" i="15"/>
  <c r="AV193" i="15"/>
  <c r="AX193" i="15" s="1"/>
  <c r="AG685" i="15"/>
  <c r="AF685" i="15"/>
  <c r="AH685" i="15" s="1"/>
  <c r="Y931" i="15"/>
  <c r="X931" i="15"/>
  <c r="Z931" i="15" s="1"/>
  <c r="AK562" i="15"/>
  <c r="AJ562" i="15"/>
  <c r="AL562" i="15" s="1"/>
  <c r="AC808" i="15"/>
  <c r="AB808" i="15"/>
  <c r="AD808" i="15" s="1"/>
  <c r="AO439" i="15"/>
  <c r="AN439" i="15"/>
  <c r="AP439" i="15" s="1"/>
  <c r="BA70" i="15"/>
  <c r="AZ70" i="15"/>
  <c r="BB70" i="15" s="1"/>
  <c r="BA71" i="15" l="1"/>
  <c r="AZ71" i="15"/>
  <c r="BB71" i="15" s="1"/>
  <c r="AO440" i="15"/>
  <c r="AN440" i="15"/>
  <c r="AP440" i="15" s="1"/>
  <c r="AC809" i="15"/>
  <c r="AB809" i="15"/>
  <c r="AD809" i="15" s="1"/>
  <c r="AK563" i="15"/>
  <c r="AJ563" i="15"/>
  <c r="AL563" i="15" s="1"/>
  <c r="Y932" i="15"/>
  <c r="X932" i="15"/>
  <c r="Z932" i="15" s="1"/>
  <c r="AG686" i="15"/>
  <c r="AF686" i="15"/>
  <c r="AH686" i="15" s="1"/>
  <c r="AW194" i="15"/>
  <c r="AV194" i="15"/>
  <c r="AX194" i="15" s="1"/>
  <c r="AS317" i="15"/>
  <c r="AR317" i="15"/>
  <c r="AT317" i="15" s="1"/>
  <c r="AS318" i="15" l="1"/>
  <c r="AR318" i="15"/>
  <c r="AT318" i="15" s="1"/>
  <c r="AW195" i="15"/>
  <c r="AV195" i="15"/>
  <c r="AX195" i="15" s="1"/>
  <c r="AG687" i="15"/>
  <c r="AF687" i="15"/>
  <c r="AH687" i="15" s="1"/>
  <c r="Y933" i="15"/>
  <c r="X933" i="15"/>
  <c r="Z933" i="15" s="1"/>
  <c r="AK564" i="15"/>
  <c r="AJ564" i="15"/>
  <c r="AL564" i="15" s="1"/>
  <c r="AC810" i="15"/>
  <c r="AB810" i="15"/>
  <c r="AD810" i="15" s="1"/>
  <c r="AO441" i="15"/>
  <c r="AN441" i="15"/>
  <c r="AP441" i="15" s="1"/>
  <c r="BA72" i="15"/>
  <c r="AZ72" i="15"/>
  <c r="BB72" i="15" s="1"/>
  <c r="BA73" i="15" l="1"/>
  <c r="AZ73" i="15"/>
  <c r="BB73" i="15" s="1"/>
  <c r="AC811" i="15"/>
  <c r="AB811" i="15"/>
  <c r="AD811" i="15" s="1"/>
  <c r="AK565" i="15"/>
  <c r="AJ565" i="15"/>
  <c r="AL565" i="15" s="1"/>
  <c r="AG688" i="15"/>
  <c r="AF688" i="15"/>
  <c r="AH688" i="15" s="1"/>
  <c r="AS319" i="15"/>
  <c r="AR319" i="15"/>
  <c r="AT319" i="15" s="1"/>
  <c r="AO442" i="15"/>
  <c r="AN442" i="15"/>
  <c r="AP442" i="15" s="1"/>
  <c r="Y934" i="15"/>
  <c r="X934" i="15"/>
  <c r="Z934" i="15" s="1"/>
  <c r="AW196" i="15"/>
  <c r="AV196" i="15"/>
  <c r="AX196" i="15" s="1"/>
  <c r="AW197" i="15" l="1"/>
  <c r="AV197" i="15"/>
  <c r="AX197" i="15" s="1"/>
  <c r="AO443" i="15"/>
  <c r="AN443" i="15"/>
  <c r="AP443" i="15" s="1"/>
  <c r="AG689" i="15"/>
  <c r="AF689" i="15"/>
  <c r="AH689" i="15" s="1"/>
  <c r="AK566" i="15"/>
  <c r="AJ566" i="15"/>
  <c r="AL566" i="15" s="1"/>
  <c r="BA74" i="15"/>
  <c r="AZ74" i="15"/>
  <c r="BB74" i="15" s="1"/>
  <c r="Y935" i="15"/>
  <c r="X935" i="15"/>
  <c r="Z935" i="15" s="1"/>
  <c r="AS320" i="15"/>
  <c r="AR320" i="15"/>
  <c r="AT320" i="15" s="1"/>
  <c r="AC812" i="15"/>
  <c r="AB812" i="15"/>
  <c r="AD812" i="15" s="1"/>
  <c r="AC813" i="15" l="1"/>
  <c r="AB813" i="15"/>
  <c r="AD813" i="15" s="1"/>
  <c r="Y936" i="15"/>
  <c r="X936" i="15"/>
  <c r="Z936" i="15" s="1"/>
  <c r="BA75" i="15"/>
  <c r="AZ75" i="15"/>
  <c r="BB75" i="15" s="1"/>
  <c r="AG690" i="15"/>
  <c r="AF690" i="15"/>
  <c r="AH690" i="15" s="1"/>
  <c r="AW198" i="15"/>
  <c r="AV198" i="15"/>
  <c r="AX198" i="15" s="1"/>
  <c r="AS321" i="15"/>
  <c r="AR321" i="15"/>
  <c r="AT321" i="15" s="1"/>
  <c r="AK567" i="15"/>
  <c r="AJ567" i="15"/>
  <c r="AL567" i="15" s="1"/>
  <c r="AO444" i="15"/>
  <c r="AN444" i="15"/>
  <c r="AP444" i="15" s="1"/>
  <c r="AO445" i="15" l="1"/>
  <c r="AN445" i="15"/>
  <c r="AP445" i="15" s="1"/>
  <c r="AS322" i="15"/>
  <c r="AR322" i="15"/>
  <c r="AT322" i="15" s="1"/>
  <c r="AG691" i="15"/>
  <c r="AF691" i="15"/>
  <c r="AH691" i="15" s="1"/>
  <c r="BA76" i="15"/>
  <c r="AZ76" i="15"/>
  <c r="BB76" i="15" s="1"/>
  <c r="AC814" i="15"/>
  <c r="AB814" i="15"/>
  <c r="AD814" i="15" s="1"/>
  <c r="AK568" i="15"/>
  <c r="AJ568" i="15"/>
  <c r="AL568" i="15" s="1"/>
  <c r="AW199" i="15"/>
  <c r="AV199" i="15"/>
  <c r="AX199" i="15" s="1"/>
  <c r="Y937" i="15"/>
  <c r="X937" i="15"/>
  <c r="Z937" i="15" s="1"/>
  <c r="Y938" i="15" l="1"/>
  <c r="X938" i="15"/>
  <c r="Z938" i="15" s="1"/>
  <c r="AK569" i="15"/>
  <c r="AJ569" i="15"/>
  <c r="AL569" i="15" s="1"/>
  <c r="AC815" i="15"/>
  <c r="AB815" i="15"/>
  <c r="AD815" i="15" s="1"/>
  <c r="AG692" i="15"/>
  <c r="AF692" i="15"/>
  <c r="AH692" i="15" s="1"/>
  <c r="AO446" i="15"/>
  <c r="AN446" i="15"/>
  <c r="AP446" i="15" s="1"/>
  <c r="AW200" i="15"/>
  <c r="AV200" i="15"/>
  <c r="AX200" i="15" s="1"/>
  <c r="BA77" i="15"/>
  <c r="AZ77" i="15"/>
  <c r="BB77" i="15" s="1"/>
  <c r="AS323" i="15"/>
  <c r="AR323" i="15"/>
  <c r="AT323" i="15" s="1"/>
  <c r="AS324" i="15" l="1"/>
  <c r="AR324" i="15"/>
  <c r="AT324" i="15" s="1"/>
  <c r="AW201" i="15"/>
  <c r="AV201" i="15"/>
  <c r="AX201" i="15" s="1"/>
  <c r="AG693" i="15"/>
  <c r="AF693" i="15"/>
  <c r="AH693" i="15" s="1"/>
  <c r="AC816" i="15"/>
  <c r="AB816" i="15"/>
  <c r="AD816" i="15" s="1"/>
  <c r="Y939" i="15"/>
  <c r="X939" i="15"/>
  <c r="Z939" i="15" s="1"/>
  <c r="BA78" i="15"/>
  <c r="AZ78" i="15"/>
  <c r="BB78" i="15" s="1"/>
  <c r="AO447" i="15"/>
  <c r="AN447" i="15"/>
  <c r="AP447" i="15" s="1"/>
  <c r="AK570" i="15"/>
  <c r="AJ570" i="15"/>
  <c r="AL570" i="15" s="1"/>
  <c r="AO448" i="15" l="1"/>
  <c r="AN448" i="15"/>
  <c r="AP448" i="15" s="1"/>
  <c r="Y940" i="15"/>
  <c r="X940" i="15"/>
  <c r="Z940" i="15" s="1"/>
  <c r="AC817" i="15"/>
  <c r="AB817" i="15"/>
  <c r="AD817" i="15" s="1"/>
  <c r="AW202" i="15"/>
  <c r="AV202" i="15"/>
  <c r="AX202" i="15" s="1"/>
  <c r="AS325" i="15"/>
  <c r="AR325" i="15"/>
  <c r="AT325" i="15" s="1"/>
  <c r="AK571" i="15"/>
  <c r="AJ571" i="15"/>
  <c r="AL571" i="15" s="1"/>
  <c r="BA79" i="15"/>
  <c r="AZ79" i="15"/>
  <c r="BB79" i="15" s="1"/>
  <c r="AG694" i="15"/>
  <c r="AF694" i="15"/>
  <c r="AH694" i="15" s="1"/>
  <c r="BA80" i="15" l="1"/>
  <c r="AZ80" i="15"/>
  <c r="BB80" i="15" s="1"/>
  <c r="AK572" i="15"/>
  <c r="AJ572" i="15"/>
  <c r="AL572" i="15" s="1"/>
  <c r="AW203" i="15"/>
  <c r="AV203" i="15"/>
  <c r="AX203" i="15" s="1"/>
  <c r="AC818" i="15"/>
  <c r="AB818" i="15"/>
  <c r="AD818" i="15" s="1"/>
  <c r="AO449" i="15"/>
  <c r="AN449" i="15"/>
  <c r="AP449" i="15" s="1"/>
  <c r="AG695" i="15"/>
  <c r="AF695" i="15"/>
  <c r="AH695" i="15" s="1"/>
  <c r="AS326" i="15"/>
  <c r="AR326" i="15"/>
  <c r="AT326" i="15" s="1"/>
  <c r="Y941" i="15"/>
  <c r="X941" i="15"/>
  <c r="Z941" i="15" s="1"/>
  <c r="AS327" i="15" l="1"/>
  <c r="AR327" i="15"/>
  <c r="AT327" i="15" s="1"/>
  <c r="AO450" i="15"/>
  <c r="AN450" i="15"/>
  <c r="AP450" i="15" s="1"/>
  <c r="AW204" i="15"/>
  <c r="AV204" i="15"/>
  <c r="AX204" i="15" s="1"/>
  <c r="BA81" i="15"/>
  <c r="AZ81" i="15"/>
  <c r="BB81" i="15" s="1"/>
  <c r="Y942" i="15"/>
  <c r="X942" i="15"/>
  <c r="Z942" i="15" s="1"/>
  <c r="AG696" i="15"/>
  <c r="AF696" i="15"/>
  <c r="AH696" i="15" s="1"/>
  <c r="AC819" i="15"/>
  <c r="AB819" i="15"/>
  <c r="AD819" i="15" s="1"/>
  <c r="AK573" i="15"/>
  <c r="AJ573" i="15"/>
  <c r="AL573" i="15" s="1"/>
  <c r="AK574" i="15" l="1"/>
  <c r="AJ574" i="15"/>
  <c r="AL574" i="15" s="1"/>
  <c r="AG697" i="15"/>
  <c r="AF697" i="15"/>
  <c r="AH697" i="15" s="1"/>
  <c r="BA82" i="15"/>
  <c r="AZ82" i="15"/>
  <c r="BB82" i="15" s="1"/>
  <c r="AW205" i="15"/>
  <c r="AV205" i="15"/>
  <c r="AX205" i="15" s="1"/>
  <c r="AS328" i="15"/>
  <c r="AR328" i="15"/>
  <c r="AT328" i="15" s="1"/>
  <c r="AC820" i="15"/>
  <c r="AB820" i="15"/>
  <c r="AD820" i="15" s="1"/>
  <c r="Y943" i="15"/>
  <c r="X943" i="15"/>
  <c r="Z943" i="15" s="1"/>
  <c r="AO451" i="15"/>
  <c r="AN451" i="15"/>
  <c r="AP451" i="15" s="1"/>
  <c r="AC821" i="15" l="1"/>
  <c r="AB821" i="15"/>
  <c r="AD821" i="15" s="1"/>
  <c r="BA83" i="15"/>
  <c r="AZ83" i="15"/>
  <c r="BB83" i="15" s="1"/>
  <c r="AO452" i="15"/>
  <c r="AN452" i="15"/>
  <c r="AP452" i="15" s="1"/>
  <c r="Y944" i="15"/>
  <c r="X944" i="15"/>
  <c r="Z944" i="15" s="1"/>
  <c r="AS329" i="15"/>
  <c r="AR329" i="15"/>
  <c r="AT329" i="15" s="1"/>
  <c r="AW206" i="15"/>
  <c r="AV206" i="15"/>
  <c r="AX206" i="15" s="1"/>
  <c r="AG698" i="15"/>
  <c r="AF698" i="15"/>
  <c r="AH698" i="15" s="1"/>
  <c r="AK575" i="15"/>
  <c r="AJ575" i="15"/>
  <c r="AL575" i="15" s="1"/>
  <c r="AK576" i="15" l="1"/>
  <c r="AJ576" i="15"/>
  <c r="AL576" i="15" s="1"/>
  <c r="AG699" i="15"/>
  <c r="AF699" i="15"/>
  <c r="AH699" i="15" s="1"/>
  <c r="AS330" i="15"/>
  <c r="AR330" i="15"/>
  <c r="AT330" i="15" s="1"/>
  <c r="Y945" i="15"/>
  <c r="X945" i="15"/>
  <c r="Z945" i="15" s="1"/>
  <c r="AO453" i="15"/>
  <c r="AN453" i="15"/>
  <c r="AP453" i="15" s="1"/>
  <c r="AC822" i="15"/>
  <c r="AB822" i="15"/>
  <c r="AD822" i="15" s="1"/>
  <c r="AW207" i="15"/>
  <c r="AV207" i="15"/>
  <c r="AX207" i="15" s="1"/>
  <c r="BA84" i="15"/>
  <c r="AZ84" i="15"/>
  <c r="BB84" i="15" s="1"/>
  <c r="AW208" i="15" l="1"/>
  <c r="AV208" i="15"/>
  <c r="AX208" i="15" s="1"/>
  <c r="AO454" i="15"/>
  <c r="AN454" i="15"/>
  <c r="AP454" i="15" s="1"/>
  <c r="Y946" i="15"/>
  <c r="X946" i="15"/>
  <c r="Z946" i="15" s="1"/>
  <c r="AS331" i="15"/>
  <c r="AR331" i="15"/>
  <c r="AT331" i="15" s="1"/>
  <c r="AK577" i="15"/>
  <c r="AJ577" i="15"/>
  <c r="AL577" i="15" s="1"/>
  <c r="BA85" i="15"/>
  <c r="AZ85" i="15"/>
  <c r="BB85" i="15" s="1"/>
  <c r="AC823" i="15"/>
  <c r="AB823" i="15"/>
  <c r="AD823" i="15" s="1"/>
  <c r="AG700" i="15"/>
  <c r="AF700" i="15"/>
  <c r="AH700" i="15" s="1"/>
  <c r="AC824" i="15" l="1"/>
  <c r="AB824" i="15"/>
  <c r="AD824" i="15" s="1"/>
  <c r="AK578" i="15"/>
  <c r="AJ578" i="15"/>
  <c r="AL578" i="15" s="1"/>
  <c r="Y947" i="15"/>
  <c r="X947" i="15"/>
  <c r="Z947" i="15" s="1"/>
  <c r="AW209" i="15"/>
  <c r="AV209" i="15"/>
  <c r="AX209" i="15" s="1"/>
  <c r="AG701" i="15"/>
  <c r="AF701" i="15"/>
  <c r="AH701" i="15" s="1"/>
  <c r="BA86" i="15"/>
  <c r="AZ86" i="15"/>
  <c r="BB86" i="15" s="1"/>
  <c r="AS332" i="15"/>
  <c r="AR332" i="15"/>
  <c r="AT332" i="15" s="1"/>
  <c r="AO455" i="15"/>
  <c r="AN455" i="15"/>
  <c r="AP455" i="15" s="1"/>
  <c r="AS333" i="15" l="1"/>
  <c r="AR333" i="15"/>
  <c r="AT333" i="15" s="1"/>
  <c r="BA87" i="15"/>
  <c r="AZ87" i="15"/>
  <c r="BB87" i="15" s="1"/>
  <c r="AW210" i="15"/>
  <c r="AV210" i="15"/>
  <c r="AX210" i="15" s="1"/>
  <c r="Y948" i="15"/>
  <c r="X948" i="15"/>
  <c r="Z948" i="15" s="1"/>
  <c r="AC825" i="15"/>
  <c r="AB825" i="15"/>
  <c r="AD825" i="15" s="1"/>
  <c r="AO456" i="15"/>
  <c r="AN456" i="15"/>
  <c r="AP456" i="15" s="1"/>
  <c r="AG702" i="15"/>
  <c r="AF702" i="15"/>
  <c r="AH702" i="15" s="1"/>
  <c r="AK579" i="15"/>
  <c r="AJ579" i="15"/>
  <c r="AL579" i="15" s="1"/>
  <c r="AO457" i="15" l="1"/>
  <c r="AN457" i="15"/>
  <c r="AP457" i="15" s="1"/>
  <c r="Y949" i="15"/>
  <c r="X949" i="15"/>
  <c r="Z949" i="15" s="1"/>
  <c r="AW211" i="15"/>
  <c r="AV211" i="15"/>
  <c r="AX211" i="15" s="1"/>
  <c r="AS334" i="15"/>
  <c r="AR334" i="15"/>
  <c r="AT334" i="15" s="1"/>
  <c r="AK580" i="15"/>
  <c r="AJ580" i="15"/>
  <c r="AL580" i="15" s="1"/>
  <c r="AG703" i="15"/>
  <c r="AF703" i="15"/>
  <c r="AH703" i="15" s="1"/>
  <c r="AC826" i="15"/>
  <c r="AB826" i="15"/>
  <c r="AD826" i="15" s="1"/>
  <c r="BA88" i="15"/>
  <c r="AZ88" i="15"/>
  <c r="BB88" i="15" s="1"/>
  <c r="AC827" i="15" l="1"/>
  <c r="AB827" i="15"/>
  <c r="AD827" i="15" s="1"/>
  <c r="AK581" i="15"/>
  <c r="AJ581" i="15"/>
  <c r="AL581" i="15" s="1"/>
  <c r="AW212" i="15"/>
  <c r="AV212" i="15"/>
  <c r="AX212" i="15" s="1"/>
  <c r="AO458" i="15"/>
  <c r="AN458" i="15"/>
  <c r="AP458" i="15" s="1"/>
  <c r="BA89" i="15"/>
  <c r="AZ89" i="15"/>
  <c r="BB89" i="15" s="1"/>
  <c r="AG704" i="15"/>
  <c r="AF704" i="15"/>
  <c r="AH704" i="15" s="1"/>
  <c r="AS335" i="15"/>
  <c r="AR335" i="15"/>
  <c r="AT335" i="15" s="1"/>
  <c r="Y950" i="15"/>
  <c r="X950" i="15"/>
  <c r="Z950" i="15" s="1"/>
  <c r="Y951" i="15" l="1"/>
  <c r="X951" i="15"/>
  <c r="Z951" i="15" s="1"/>
  <c r="AG705" i="15"/>
  <c r="AF705" i="15"/>
  <c r="AH705" i="15" s="1"/>
  <c r="AO459" i="15"/>
  <c r="AN459" i="15"/>
  <c r="AP459" i="15" s="1"/>
  <c r="AW213" i="15"/>
  <c r="AV213" i="15"/>
  <c r="AX213" i="15" s="1"/>
  <c r="AC828" i="15"/>
  <c r="AB828" i="15"/>
  <c r="AD828" i="15" s="1"/>
  <c r="AS336" i="15"/>
  <c r="AR336" i="15"/>
  <c r="AT336" i="15" s="1"/>
  <c r="BA90" i="15"/>
  <c r="AZ90" i="15"/>
  <c r="BB90" i="15" s="1"/>
  <c r="AK582" i="15"/>
  <c r="AJ582" i="15"/>
  <c r="AL582" i="15" s="1"/>
  <c r="AK583" i="15" l="1"/>
  <c r="AJ583" i="15"/>
  <c r="AL583" i="15" s="1"/>
  <c r="AS337" i="15"/>
  <c r="AR337" i="15"/>
  <c r="AT337" i="15" s="1"/>
  <c r="AC829" i="15"/>
  <c r="AB829" i="15"/>
  <c r="AD829" i="15" s="1"/>
  <c r="AW214" i="15"/>
  <c r="AV214" i="15"/>
  <c r="AX214" i="15" s="1"/>
  <c r="AO460" i="15"/>
  <c r="AN460" i="15"/>
  <c r="AP460" i="15" s="1"/>
  <c r="Y952" i="15"/>
  <c r="X952" i="15"/>
  <c r="Z952" i="15" s="1"/>
  <c r="BA91" i="15"/>
  <c r="AZ91" i="15"/>
  <c r="BB91" i="15" s="1"/>
  <c r="AG706" i="15"/>
  <c r="AF706" i="15"/>
  <c r="AH706" i="15" s="1"/>
  <c r="AG707" i="15" l="1"/>
  <c r="AF707" i="15"/>
  <c r="AH707" i="15" s="1"/>
  <c r="BA92" i="15"/>
  <c r="AZ92" i="15"/>
  <c r="BB92" i="15" s="1"/>
  <c r="AO461" i="15"/>
  <c r="AN461" i="15"/>
  <c r="AP461" i="15" s="1"/>
  <c r="AW215" i="15"/>
  <c r="AV215" i="15"/>
  <c r="AX215" i="15" s="1"/>
  <c r="AC830" i="15"/>
  <c r="AB830" i="15"/>
  <c r="AD830" i="15" s="1"/>
  <c r="AS338" i="15"/>
  <c r="AR338" i="15"/>
  <c r="AT338" i="15" s="1"/>
  <c r="Y953" i="15"/>
  <c r="X953" i="15"/>
  <c r="Z953" i="15" s="1"/>
  <c r="AK584" i="15"/>
  <c r="AJ584" i="15"/>
  <c r="AL584" i="15" s="1"/>
  <c r="AK585" i="15" l="1"/>
  <c r="AJ585" i="15"/>
  <c r="AL585" i="15" s="1"/>
  <c r="AS339" i="15"/>
  <c r="AR339" i="15"/>
  <c r="AT339" i="15" s="1"/>
  <c r="AC831" i="15"/>
  <c r="AB831" i="15"/>
  <c r="AD831" i="15" s="1"/>
  <c r="AW216" i="15"/>
  <c r="AV216" i="15"/>
  <c r="AX216" i="15" s="1"/>
  <c r="AO462" i="15"/>
  <c r="AN462" i="15"/>
  <c r="AP462" i="15" s="1"/>
  <c r="AG708" i="15"/>
  <c r="AF708" i="15"/>
  <c r="AH708" i="15" s="1"/>
  <c r="Y954" i="15"/>
  <c r="X954" i="15"/>
  <c r="Z954" i="15" s="1"/>
  <c r="BA93" i="15"/>
  <c r="AZ93" i="15"/>
  <c r="BB93" i="15" s="1"/>
  <c r="BA94" i="15" l="1"/>
  <c r="AZ94" i="15"/>
  <c r="BB94" i="15" s="1"/>
  <c r="AG709" i="15"/>
  <c r="AF709" i="15"/>
  <c r="AH709" i="15" s="1"/>
  <c r="AW217" i="15"/>
  <c r="AV217" i="15"/>
  <c r="AX217" i="15" s="1"/>
  <c r="AC832" i="15"/>
  <c r="AB832" i="15"/>
  <c r="AD832" i="15" s="1"/>
  <c r="AK586" i="15"/>
  <c r="AJ586" i="15"/>
  <c r="AL586" i="15" s="1"/>
  <c r="Y955" i="15"/>
  <c r="X955" i="15"/>
  <c r="Z955" i="15" s="1"/>
  <c r="AO463" i="15"/>
  <c r="AN463" i="15"/>
  <c r="AP463" i="15" s="1"/>
  <c r="AS340" i="15"/>
  <c r="AR340" i="15"/>
  <c r="AT340" i="15" s="1"/>
  <c r="AS341" i="15" l="1"/>
  <c r="AR341" i="15"/>
  <c r="AT341" i="15" s="1"/>
  <c r="Y956" i="15"/>
  <c r="X956" i="15"/>
  <c r="Z956" i="15" s="1"/>
  <c r="AK587" i="15"/>
  <c r="AJ587" i="15"/>
  <c r="AL587" i="15" s="1"/>
  <c r="AW218" i="15"/>
  <c r="AV218" i="15"/>
  <c r="AX218" i="15" s="1"/>
  <c r="BA95" i="15"/>
  <c r="AZ95" i="15"/>
  <c r="BB95" i="15" s="1"/>
  <c r="AO464" i="15"/>
  <c r="AN464" i="15"/>
  <c r="AP464" i="15" s="1"/>
  <c r="AC833" i="15"/>
  <c r="AB833" i="15"/>
  <c r="AD833" i="15" s="1"/>
  <c r="AG710" i="15"/>
  <c r="AF710" i="15"/>
  <c r="AH710" i="15" s="1"/>
  <c r="AC834" i="15" l="1"/>
  <c r="AB834" i="15"/>
  <c r="AD834" i="15" s="1"/>
  <c r="BA96" i="15"/>
  <c r="AZ96" i="15"/>
  <c r="BB96" i="15" s="1"/>
  <c r="AK588" i="15"/>
  <c r="AJ588" i="15"/>
  <c r="AL588" i="15" s="1"/>
  <c r="AS342" i="15"/>
  <c r="AR342" i="15"/>
  <c r="AT342" i="15" s="1"/>
  <c r="AG711" i="15"/>
  <c r="AF711" i="15"/>
  <c r="AH711" i="15" s="1"/>
  <c r="AO465" i="15"/>
  <c r="AN465" i="15"/>
  <c r="AP465" i="15" s="1"/>
  <c r="AW219" i="15"/>
  <c r="AV219" i="15"/>
  <c r="AX219" i="15" s="1"/>
  <c r="Y957" i="15"/>
  <c r="X957" i="15"/>
  <c r="Z957" i="15" s="1"/>
  <c r="Y958" i="15" l="1"/>
  <c r="X958" i="15"/>
  <c r="Z958" i="15" s="1"/>
  <c r="AO466" i="15"/>
  <c r="AN466" i="15"/>
  <c r="AP466" i="15" s="1"/>
  <c r="AG712" i="15"/>
  <c r="AF712" i="15"/>
  <c r="AH712" i="15" s="1"/>
  <c r="AK589" i="15"/>
  <c r="AJ589" i="15"/>
  <c r="AL589" i="15" s="1"/>
  <c r="AC835" i="15"/>
  <c r="AB835" i="15"/>
  <c r="AD835" i="15" s="1"/>
  <c r="AW220" i="15"/>
  <c r="AV220" i="15"/>
  <c r="AX220" i="15" s="1"/>
  <c r="AS343" i="15"/>
  <c r="AR343" i="15"/>
  <c r="AT343" i="15" s="1"/>
  <c r="BA97" i="15"/>
  <c r="AZ97" i="15"/>
  <c r="BB97" i="15" s="1"/>
  <c r="BA98" i="15" l="1"/>
  <c r="AZ98" i="15"/>
  <c r="BB98" i="15" s="1"/>
  <c r="AS344" i="15"/>
  <c r="AR344" i="15"/>
  <c r="AT344" i="15" s="1"/>
  <c r="AW221" i="15"/>
  <c r="AV221" i="15"/>
  <c r="AX221" i="15" s="1"/>
  <c r="AC836" i="15"/>
  <c r="AB836" i="15"/>
  <c r="AD836" i="15" s="1"/>
  <c r="AK590" i="15"/>
  <c r="AJ590" i="15"/>
  <c r="AL590" i="15" s="1"/>
  <c r="AG713" i="15"/>
  <c r="AF713" i="15"/>
  <c r="AH713" i="15" s="1"/>
  <c r="AO467" i="15"/>
  <c r="AN467" i="15"/>
  <c r="AP467" i="15" s="1"/>
  <c r="Y959" i="15"/>
  <c r="X959" i="15"/>
  <c r="Z959" i="15" s="1"/>
  <c r="Y960" i="15" l="1"/>
  <c r="X960" i="15"/>
  <c r="Z960" i="15" s="1"/>
  <c r="AG714" i="15"/>
  <c r="AF714" i="15"/>
  <c r="AH714" i="15" s="1"/>
  <c r="AK591" i="15"/>
  <c r="AJ591" i="15"/>
  <c r="AL591" i="15" s="1"/>
  <c r="AC837" i="15"/>
  <c r="AB837" i="15"/>
  <c r="AD837" i="15" s="1"/>
  <c r="AS345" i="15"/>
  <c r="AR345" i="15"/>
  <c r="AT345" i="15" s="1"/>
  <c r="BA99" i="15"/>
  <c r="AZ99" i="15"/>
  <c r="BB99" i="15" s="1"/>
  <c r="AO468" i="15"/>
  <c r="AN468" i="15"/>
  <c r="AP468" i="15" s="1"/>
  <c r="AW222" i="15"/>
  <c r="AV222" i="15"/>
  <c r="AX222" i="15" s="1"/>
  <c r="AW223" i="15" l="1"/>
  <c r="AV223" i="15"/>
  <c r="AX223" i="15" s="1"/>
  <c r="BA100" i="15"/>
  <c r="AZ100" i="15"/>
  <c r="BB100" i="15" s="1"/>
  <c r="AS346" i="15"/>
  <c r="AR346" i="15"/>
  <c r="AT346" i="15" s="1"/>
  <c r="AC838" i="15"/>
  <c r="AB838" i="15"/>
  <c r="AD838" i="15" s="1"/>
  <c r="AK592" i="15"/>
  <c r="AJ592" i="15"/>
  <c r="AL592" i="15" s="1"/>
  <c r="Y961" i="15"/>
  <c r="X961" i="15"/>
  <c r="Z961" i="15" s="1"/>
  <c r="AO469" i="15"/>
  <c r="AN469" i="15"/>
  <c r="AP469" i="15" s="1"/>
  <c r="AG715" i="15"/>
  <c r="AF715" i="15"/>
  <c r="AH715" i="15" s="1"/>
  <c r="AG716" i="15" l="1"/>
  <c r="AF716" i="15"/>
  <c r="AH716" i="15" s="1"/>
  <c r="Y962" i="15"/>
  <c r="X962" i="15"/>
  <c r="Z962" i="15" s="1"/>
  <c r="AC839" i="15"/>
  <c r="AB839" i="15"/>
  <c r="AD839" i="15" s="1"/>
  <c r="AS347" i="15"/>
  <c r="AR347" i="15"/>
  <c r="AT347" i="15" s="1"/>
  <c r="AW224" i="15"/>
  <c r="AV224" i="15"/>
  <c r="AX224" i="15" s="1"/>
  <c r="AO470" i="15"/>
  <c r="AN470" i="15"/>
  <c r="AP470" i="15" s="1"/>
  <c r="AK593" i="15"/>
  <c r="AJ593" i="15"/>
  <c r="AL593" i="15" s="1"/>
  <c r="BA101" i="15"/>
  <c r="AZ101" i="15"/>
  <c r="BB101" i="15" s="1"/>
  <c r="AK594" i="15" l="1"/>
  <c r="AJ594" i="15"/>
  <c r="AL594" i="15" s="1"/>
  <c r="AW225" i="15"/>
  <c r="AV225" i="15"/>
  <c r="AX225" i="15" s="1"/>
  <c r="AC840" i="15"/>
  <c r="AB840" i="15"/>
  <c r="AD840" i="15" s="1"/>
  <c r="AG717" i="15"/>
  <c r="AF717" i="15"/>
  <c r="AH717" i="15" s="1"/>
  <c r="BA102" i="15"/>
  <c r="AZ102" i="15"/>
  <c r="BB102" i="15" s="1"/>
  <c r="AO471" i="15"/>
  <c r="AN471" i="15"/>
  <c r="AP471" i="15" s="1"/>
  <c r="AS348" i="15"/>
  <c r="AR348" i="15"/>
  <c r="AT348" i="15" s="1"/>
  <c r="Y963" i="15"/>
  <c r="X963" i="15"/>
  <c r="Z963" i="15" s="1"/>
  <c r="AS349" i="15" l="1"/>
  <c r="AR349" i="15"/>
  <c r="AT349" i="15" s="1"/>
  <c r="AO472" i="15"/>
  <c r="AN472" i="15"/>
  <c r="AP472" i="15" s="1"/>
  <c r="AG718" i="15"/>
  <c r="AF718" i="15"/>
  <c r="AH718" i="15" s="1"/>
  <c r="AC841" i="15"/>
  <c r="AB841" i="15"/>
  <c r="AD841" i="15" s="1"/>
  <c r="AK595" i="15"/>
  <c r="AJ595" i="15"/>
  <c r="AL595" i="15" s="1"/>
  <c r="Y964" i="15"/>
  <c r="X964" i="15"/>
  <c r="Z964" i="15" s="1"/>
  <c r="BA103" i="15"/>
  <c r="AZ103" i="15"/>
  <c r="BB103" i="15" s="1"/>
  <c r="AW226" i="15"/>
  <c r="AV226" i="15"/>
  <c r="AX226" i="15" s="1"/>
  <c r="AW227" i="15" l="1"/>
  <c r="AV227" i="15"/>
  <c r="AX227" i="15" s="1"/>
  <c r="BA104" i="15"/>
  <c r="AZ104" i="15"/>
  <c r="BB104" i="15" s="1"/>
  <c r="Y965" i="15"/>
  <c r="X965" i="15"/>
  <c r="Z965" i="15" s="1"/>
  <c r="AK596" i="15"/>
  <c r="AJ596" i="15"/>
  <c r="AL596" i="15" s="1"/>
  <c r="AC842" i="15"/>
  <c r="AB842" i="15"/>
  <c r="AD842" i="15" s="1"/>
  <c r="AG719" i="15"/>
  <c r="AF719" i="15"/>
  <c r="AH719" i="15" s="1"/>
  <c r="AO473" i="15"/>
  <c r="AN473" i="15"/>
  <c r="AP473" i="15" s="1"/>
  <c r="AS350" i="15"/>
  <c r="AR350" i="15"/>
  <c r="AT350" i="15" s="1"/>
  <c r="AO474" i="15" l="1"/>
  <c r="AN474" i="15"/>
  <c r="AP474" i="15" s="1"/>
  <c r="AG720" i="15"/>
  <c r="AF720" i="15"/>
  <c r="AH720" i="15" s="1"/>
  <c r="AC843" i="15"/>
  <c r="AB843" i="15"/>
  <c r="AD843" i="15" s="1"/>
  <c r="AK597" i="15"/>
  <c r="AJ597" i="15"/>
  <c r="AL597" i="15" s="1"/>
  <c r="BA105" i="15"/>
  <c r="AZ105" i="15"/>
  <c r="BB105" i="15" s="1"/>
  <c r="AW228" i="15"/>
  <c r="AV228" i="15"/>
  <c r="AX228" i="15" s="1"/>
  <c r="AS351" i="15"/>
  <c r="AR351" i="15"/>
  <c r="AT351" i="15" s="1"/>
  <c r="Y966" i="15"/>
  <c r="X966" i="15"/>
  <c r="Z966" i="15" s="1"/>
  <c r="Y967" i="15" l="1"/>
  <c r="X967" i="15"/>
  <c r="Z967" i="15" s="1"/>
  <c r="AS352" i="15"/>
  <c r="AR352" i="15"/>
  <c r="AT352" i="15" s="1"/>
  <c r="BA106" i="15"/>
  <c r="AZ106" i="15"/>
  <c r="BB106" i="15" s="1"/>
  <c r="AK598" i="15"/>
  <c r="AJ598" i="15"/>
  <c r="AL598" i="15" s="1"/>
  <c r="AC844" i="15"/>
  <c r="AB844" i="15"/>
  <c r="AD844" i="15" s="1"/>
  <c r="AO475" i="15"/>
  <c r="AN475" i="15"/>
  <c r="AP475" i="15" s="1"/>
  <c r="AW229" i="15"/>
  <c r="AV229" i="15"/>
  <c r="AX229" i="15" s="1"/>
  <c r="AG721" i="15"/>
  <c r="AF721" i="15"/>
  <c r="AH721" i="15" s="1"/>
  <c r="AG722" i="15" l="1"/>
  <c r="AF722" i="15"/>
  <c r="AH722" i="15" s="1"/>
  <c r="AO476" i="15"/>
  <c r="AN476" i="15"/>
  <c r="AP476" i="15" s="1"/>
  <c r="AC845" i="15"/>
  <c r="AB845" i="15"/>
  <c r="AD845" i="15" s="1"/>
  <c r="BA107" i="15"/>
  <c r="AZ107" i="15"/>
  <c r="BB107" i="15" s="1"/>
  <c r="Y968" i="15"/>
  <c r="X968" i="15"/>
  <c r="Z968" i="15" s="1"/>
  <c r="AW230" i="15"/>
  <c r="AV230" i="15"/>
  <c r="AX230" i="15" s="1"/>
  <c r="AK599" i="15"/>
  <c r="AJ599" i="15"/>
  <c r="AL599" i="15" s="1"/>
  <c r="AS353" i="15"/>
  <c r="AR353" i="15"/>
  <c r="AT353" i="15" s="1"/>
  <c r="AS354" i="15" l="1"/>
  <c r="AR354" i="15"/>
  <c r="AT354" i="15" s="1"/>
  <c r="AW231" i="15"/>
  <c r="AV231" i="15"/>
  <c r="AX231" i="15" s="1"/>
  <c r="BA108" i="15"/>
  <c r="AZ108" i="15"/>
  <c r="BB108" i="15" s="1"/>
  <c r="AC846" i="15"/>
  <c r="AB846" i="15"/>
  <c r="AD846" i="15" s="1"/>
  <c r="AG723" i="15"/>
  <c r="AF723" i="15"/>
  <c r="AH723" i="15" s="1"/>
  <c r="AK600" i="15"/>
  <c r="AJ600" i="15"/>
  <c r="AL600" i="15" s="1"/>
  <c r="Y969" i="15"/>
  <c r="X969" i="15"/>
  <c r="Z969" i="15" s="1"/>
  <c r="AO477" i="15"/>
  <c r="AN477" i="15"/>
  <c r="AP477" i="15" s="1"/>
  <c r="AO478" i="15" l="1"/>
  <c r="AN478" i="15"/>
  <c r="AP478" i="15" s="1"/>
  <c r="AK601" i="15"/>
  <c r="AJ601" i="15"/>
  <c r="AL601" i="15" s="1"/>
  <c r="AG724" i="15"/>
  <c r="AF724" i="15"/>
  <c r="AH724" i="15" s="1"/>
  <c r="AC847" i="15"/>
  <c r="AB847" i="15"/>
  <c r="AD847" i="15" s="1"/>
  <c r="BA109" i="15"/>
  <c r="AZ109" i="15"/>
  <c r="BB109" i="15" s="1"/>
  <c r="AS355" i="15"/>
  <c r="AR355" i="15"/>
  <c r="AT355" i="15" s="1"/>
  <c r="Y970" i="15"/>
  <c r="X970" i="15"/>
  <c r="Z970" i="15" s="1"/>
  <c r="AW232" i="15"/>
  <c r="AV232" i="15"/>
  <c r="AX232" i="15" s="1"/>
  <c r="AW233" i="15" l="1"/>
  <c r="AV233" i="15"/>
  <c r="AX233" i="15" s="1"/>
  <c r="AS356" i="15"/>
  <c r="AR356" i="15"/>
  <c r="AT356" i="15" s="1"/>
  <c r="BA110" i="15"/>
  <c r="AZ110" i="15"/>
  <c r="BB110" i="15" s="1"/>
  <c r="AC848" i="15"/>
  <c r="AB848" i="15"/>
  <c r="AD848" i="15" s="1"/>
  <c r="AG725" i="15"/>
  <c r="AF725" i="15"/>
  <c r="AH725" i="15" s="1"/>
  <c r="AO479" i="15"/>
  <c r="AN479" i="15"/>
  <c r="AP479" i="15" s="1"/>
  <c r="Y971" i="15"/>
  <c r="X971" i="15"/>
  <c r="Z971" i="15" s="1"/>
  <c r="AK602" i="15"/>
  <c r="AJ602" i="15"/>
  <c r="AL602" i="15" s="1"/>
  <c r="AK603" i="15" l="1"/>
  <c r="AJ603" i="15"/>
  <c r="AL603" i="15" s="1"/>
  <c r="AO480" i="15"/>
  <c r="AN480" i="15"/>
  <c r="AP480" i="15" s="1"/>
  <c r="AG726" i="15"/>
  <c r="AF726" i="15"/>
  <c r="AH726" i="15" s="1"/>
  <c r="AC849" i="15"/>
  <c r="AB849" i="15"/>
  <c r="AD849" i="15" s="1"/>
  <c r="BA111" i="15"/>
  <c r="AZ111" i="15"/>
  <c r="BB111" i="15" s="1"/>
  <c r="AW234" i="15"/>
  <c r="AV234" i="15"/>
  <c r="AX234" i="15" s="1"/>
  <c r="Y972" i="15"/>
  <c r="X972" i="15"/>
  <c r="Z972" i="15" s="1"/>
  <c r="AS357" i="15"/>
  <c r="AR357" i="15"/>
  <c r="AT357" i="15" s="1"/>
  <c r="AS358" i="15" l="1"/>
  <c r="AR358" i="15"/>
  <c r="AT358" i="15" s="1"/>
  <c r="Y973" i="15"/>
  <c r="X973" i="15"/>
  <c r="Z973" i="15" s="1"/>
  <c r="AW235" i="15"/>
  <c r="AV235" i="15"/>
  <c r="AX235" i="15" s="1"/>
  <c r="BA112" i="15"/>
  <c r="AZ112" i="15"/>
  <c r="BB112" i="15" s="1"/>
  <c r="AC850" i="15"/>
  <c r="AB850" i="15"/>
  <c r="AD850" i="15" s="1"/>
  <c r="AG727" i="15"/>
  <c r="AF727" i="15"/>
  <c r="AH727" i="15" s="1"/>
  <c r="AO481" i="15"/>
  <c r="AN481" i="15"/>
  <c r="AP481" i="15" s="1"/>
  <c r="AK604" i="15"/>
  <c r="AJ604" i="15"/>
  <c r="AL604" i="15" s="1"/>
  <c r="AO482" i="15" l="1"/>
  <c r="AN482" i="15"/>
  <c r="AP482" i="15" s="1"/>
  <c r="AG728" i="15"/>
  <c r="AF728" i="15"/>
  <c r="AH728" i="15" s="1"/>
  <c r="AC851" i="15"/>
  <c r="AB851" i="15"/>
  <c r="AD851" i="15" s="1"/>
  <c r="BA113" i="15"/>
  <c r="AZ113" i="15"/>
  <c r="BB113" i="15" s="1"/>
  <c r="Y974" i="15"/>
  <c r="X974" i="15"/>
  <c r="Z974" i="15" s="1"/>
  <c r="AS359" i="15"/>
  <c r="AR359" i="15"/>
  <c r="AT359" i="15" s="1"/>
  <c r="AK605" i="15"/>
  <c r="AJ605" i="15"/>
  <c r="AL605" i="15" s="1"/>
  <c r="AW236" i="15"/>
  <c r="AV236" i="15"/>
  <c r="AX236" i="15" s="1"/>
  <c r="AW237" i="15" l="1"/>
  <c r="AV237" i="15"/>
  <c r="AX237" i="15" s="1"/>
  <c r="AK606" i="15"/>
  <c r="AJ606" i="15"/>
  <c r="AL606" i="15" s="1"/>
  <c r="Y975" i="15"/>
  <c r="X975" i="15"/>
  <c r="Z975" i="15" s="1"/>
  <c r="BA114" i="15"/>
  <c r="AZ114" i="15"/>
  <c r="BB114" i="15" s="1"/>
  <c r="AC852" i="15"/>
  <c r="AB852" i="15"/>
  <c r="AD852" i="15" s="1"/>
  <c r="AO483" i="15"/>
  <c r="AN483" i="15"/>
  <c r="AP483" i="15" s="1"/>
  <c r="AS360" i="15"/>
  <c r="AR360" i="15"/>
  <c r="AT360" i="15" s="1"/>
  <c r="AG729" i="15"/>
  <c r="AF729" i="15"/>
  <c r="AH729" i="15" s="1"/>
  <c r="AG730" i="15" l="1"/>
  <c r="AF730" i="15"/>
  <c r="AH730" i="15" s="1"/>
  <c r="AO484" i="15"/>
  <c r="AN484" i="15"/>
  <c r="AP484" i="15" s="1"/>
  <c r="BA115" i="15"/>
  <c r="AZ115" i="15"/>
  <c r="BB115" i="15" s="1"/>
  <c r="Y976" i="15"/>
  <c r="X976" i="15"/>
  <c r="Z976" i="15" s="1"/>
  <c r="AW238" i="15"/>
  <c r="AV238" i="15"/>
  <c r="AX238" i="15" s="1"/>
  <c r="AS361" i="15"/>
  <c r="AR361" i="15"/>
  <c r="AT361" i="15" s="1"/>
  <c r="AC853" i="15"/>
  <c r="AB853" i="15"/>
  <c r="AD853" i="15" s="1"/>
  <c r="AK607" i="15"/>
  <c r="AJ607" i="15"/>
  <c r="AL607" i="15" s="1"/>
  <c r="AK608" i="15" l="1"/>
  <c r="AJ608" i="15"/>
  <c r="AL608" i="15" s="1"/>
  <c r="AS362" i="15"/>
  <c r="AR362" i="15"/>
  <c r="AT362" i="15" s="1"/>
  <c r="Y977" i="15"/>
  <c r="X977" i="15"/>
  <c r="Z977" i="15" s="1"/>
  <c r="BA116" i="15"/>
  <c r="AZ116" i="15"/>
  <c r="BB116" i="15" s="1"/>
  <c r="AG731" i="15"/>
  <c r="AF731" i="15"/>
  <c r="AH731" i="15" s="1"/>
  <c r="AC854" i="15"/>
  <c r="AB854" i="15"/>
  <c r="AD854" i="15" s="1"/>
  <c r="AW239" i="15"/>
  <c r="AV239" i="15"/>
  <c r="AX239" i="15" s="1"/>
  <c r="AO485" i="15"/>
  <c r="AN485" i="15"/>
  <c r="AP485" i="15" s="1"/>
  <c r="AW240" i="15" l="1"/>
  <c r="AV240" i="15"/>
  <c r="AX240" i="15" s="1"/>
  <c r="AC855" i="15"/>
  <c r="AB855" i="15"/>
  <c r="AD855" i="15" s="1"/>
  <c r="BA117" i="15"/>
  <c r="AZ117" i="15"/>
  <c r="BB117" i="15" s="1"/>
  <c r="Y978" i="15"/>
  <c r="X978" i="15"/>
  <c r="Z978" i="15" s="1"/>
  <c r="AK609" i="15"/>
  <c r="AJ609" i="15"/>
  <c r="AL609" i="15" s="1"/>
  <c r="AO486" i="15"/>
  <c r="AN486" i="15"/>
  <c r="AP486" i="15" s="1"/>
  <c r="AG732" i="15"/>
  <c r="AF732" i="15"/>
  <c r="AH732" i="15" s="1"/>
  <c r="AS363" i="15"/>
  <c r="AR363" i="15"/>
  <c r="AT363" i="15" s="1"/>
  <c r="AS364" i="15" l="1"/>
  <c r="AR364" i="15"/>
  <c r="AT364" i="15" s="1"/>
  <c r="AO487" i="15"/>
  <c r="AN487" i="15"/>
  <c r="AP487" i="15" s="1"/>
  <c r="Y979" i="15"/>
  <c r="X979" i="15"/>
  <c r="Z979" i="15" s="1"/>
  <c r="BA118" i="15"/>
  <c r="AZ118" i="15"/>
  <c r="BB118" i="15" s="1"/>
  <c r="AW241" i="15"/>
  <c r="AV241" i="15"/>
  <c r="AX241" i="15" s="1"/>
  <c r="AG733" i="15"/>
  <c r="AF733" i="15"/>
  <c r="AH733" i="15" s="1"/>
  <c r="AK610" i="15"/>
  <c r="AJ610" i="15"/>
  <c r="AL610" i="15" s="1"/>
  <c r="AC856" i="15"/>
  <c r="AB856" i="15"/>
  <c r="AD856" i="15" s="1"/>
  <c r="AC857" i="15" l="1"/>
  <c r="AB857" i="15"/>
  <c r="AD857" i="15" s="1"/>
  <c r="AK611" i="15"/>
  <c r="AJ611" i="15"/>
  <c r="AL611" i="15" s="1"/>
  <c r="AW242" i="15"/>
  <c r="AV242" i="15"/>
  <c r="AX242" i="15" s="1"/>
  <c r="BA119" i="15"/>
  <c r="AZ119" i="15"/>
  <c r="BB119" i="15" s="1"/>
  <c r="Y980" i="15"/>
  <c r="X980" i="15"/>
  <c r="Z980" i="15" s="1"/>
  <c r="AS365" i="15"/>
  <c r="AR365" i="15"/>
  <c r="AT365" i="15" s="1"/>
  <c r="AG734" i="15"/>
  <c r="AF734" i="15"/>
  <c r="AH734" i="15" s="1"/>
  <c r="AO488" i="15"/>
  <c r="AN488" i="15"/>
  <c r="AP488" i="15" s="1"/>
  <c r="AO489" i="15" l="1"/>
  <c r="AN489" i="15"/>
  <c r="AP489" i="15" s="1"/>
  <c r="AS366" i="15"/>
  <c r="AR366" i="15"/>
  <c r="AT366" i="15" s="1"/>
  <c r="Y981" i="15"/>
  <c r="X981" i="15"/>
  <c r="Z981" i="15" s="1"/>
  <c r="BA120" i="15"/>
  <c r="AZ120" i="15"/>
  <c r="BB120" i="15" s="1"/>
  <c r="AW243" i="15"/>
  <c r="AV243" i="15"/>
  <c r="AX243" i="15" s="1"/>
  <c r="AC858" i="15"/>
  <c r="AB858" i="15"/>
  <c r="AD858" i="15" s="1"/>
  <c r="AG735" i="15"/>
  <c r="AF735" i="15"/>
  <c r="AH735" i="15" s="1"/>
  <c r="AK612" i="15"/>
  <c r="AJ612" i="15"/>
  <c r="AL612" i="15" s="1"/>
  <c r="AG736" i="15" l="1"/>
  <c r="AF736" i="15"/>
  <c r="AH736" i="15" s="1"/>
  <c r="AW244" i="15"/>
  <c r="AV244" i="15"/>
  <c r="AX244" i="15" s="1"/>
  <c r="Y982" i="15"/>
  <c r="X982" i="15"/>
  <c r="Z982" i="15" s="1"/>
  <c r="AO490" i="15"/>
  <c r="AN490" i="15"/>
  <c r="AP490" i="15" s="1"/>
  <c r="AK613" i="15"/>
  <c r="AJ613" i="15"/>
  <c r="AL613" i="15" s="1"/>
  <c r="AC859" i="15"/>
  <c r="AB859" i="15"/>
  <c r="AD859" i="15" s="1"/>
  <c r="BA121" i="15"/>
  <c r="AZ121" i="15"/>
  <c r="BB121" i="15" s="1"/>
  <c r="AS367" i="15"/>
  <c r="AR367" i="15"/>
  <c r="AT367" i="15" s="1"/>
  <c r="BA122" i="15" l="1"/>
  <c r="AZ122" i="15"/>
  <c r="BB122" i="15" s="1"/>
  <c r="AK614" i="15"/>
  <c r="AJ614" i="15"/>
  <c r="AL614" i="15" s="1"/>
  <c r="AO491" i="15"/>
  <c r="AN491" i="15"/>
  <c r="AP491" i="15" s="1"/>
  <c r="Y983" i="15"/>
  <c r="X983" i="15"/>
  <c r="Z983" i="15" s="1"/>
  <c r="AG737" i="15"/>
  <c r="AF737" i="15"/>
  <c r="AH737" i="15" s="1"/>
  <c r="AS368" i="15"/>
  <c r="AR368" i="15"/>
  <c r="AT368" i="15" s="1"/>
  <c r="AC860" i="15"/>
  <c r="AB860" i="15"/>
  <c r="AD860" i="15" s="1"/>
  <c r="AW245" i="15"/>
  <c r="AV245" i="15"/>
  <c r="AX245" i="15" s="1"/>
  <c r="AW246" i="15" l="1"/>
  <c r="AV246" i="15"/>
  <c r="AX246" i="15" s="1"/>
  <c r="AS369" i="15"/>
  <c r="AR369" i="15"/>
  <c r="AT369" i="15" s="1"/>
  <c r="AG738" i="15"/>
  <c r="AF738" i="15"/>
  <c r="AH738" i="15" s="1"/>
  <c r="Y984" i="15"/>
  <c r="X984" i="15"/>
  <c r="Z984" i="15" s="1"/>
  <c r="AO492" i="15"/>
  <c r="AN492" i="15"/>
  <c r="AP492" i="15" s="1"/>
  <c r="BA123" i="15"/>
  <c r="AZ123" i="15"/>
  <c r="BB123" i="15" s="1"/>
  <c r="AC861" i="15"/>
  <c r="AB861" i="15"/>
  <c r="AD861" i="15" s="1"/>
  <c r="AK615" i="15"/>
  <c r="AJ615" i="15"/>
  <c r="AL615" i="15" s="1"/>
  <c r="AK616" i="15" l="1"/>
  <c r="AJ616" i="15"/>
  <c r="AL616" i="15" s="1"/>
  <c r="BA124" i="15"/>
  <c r="AZ124" i="15"/>
  <c r="BB124" i="15" s="1"/>
  <c r="AO493" i="15"/>
  <c r="AN493" i="15"/>
  <c r="AP493" i="15" s="1"/>
  <c r="Y985" i="15"/>
  <c r="X985" i="15"/>
  <c r="Z985" i="15" s="1"/>
  <c r="AS370" i="15"/>
  <c r="AR370" i="15"/>
  <c r="AT370" i="15" s="1"/>
  <c r="AW247" i="15"/>
  <c r="AV247" i="15"/>
  <c r="AX247" i="15" s="1"/>
  <c r="AC862" i="15"/>
  <c r="AB862" i="15"/>
  <c r="AD862" i="15" s="1"/>
  <c r="AG739" i="15"/>
  <c r="AF739" i="15"/>
  <c r="AH739" i="15" s="1"/>
  <c r="AG740" i="15" l="1"/>
  <c r="AF740" i="15"/>
  <c r="AH740" i="15" s="1"/>
  <c r="AW248" i="15"/>
  <c r="AV248" i="15"/>
  <c r="AX248" i="15" s="1"/>
  <c r="AS371" i="15"/>
  <c r="AR371" i="15"/>
  <c r="AT371" i="15" s="1"/>
  <c r="Y986" i="15"/>
  <c r="X986" i="15"/>
  <c r="Z986" i="15" s="1"/>
  <c r="AO494" i="15"/>
  <c r="AN494" i="15"/>
  <c r="AP494" i="15" s="1"/>
  <c r="AK617" i="15"/>
  <c r="AJ617" i="15"/>
  <c r="AL617" i="15" s="1"/>
  <c r="AC863" i="15"/>
  <c r="AB863" i="15"/>
  <c r="AD863" i="15" s="1"/>
  <c r="BA125" i="15"/>
  <c r="AZ125" i="15"/>
  <c r="BB125" i="15" s="1"/>
  <c r="AG741" i="15" l="1"/>
  <c r="AF741" i="15"/>
  <c r="AH741" i="15" s="1"/>
  <c r="BA126" i="15"/>
  <c r="AZ126" i="15"/>
  <c r="BB126" i="15" s="1"/>
  <c r="AC864" i="15"/>
  <c r="AB864" i="15"/>
  <c r="AD864" i="15" s="1"/>
  <c r="AK618" i="15"/>
  <c r="AJ618" i="15"/>
  <c r="AL618" i="15" s="1"/>
  <c r="AO495" i="15"/>
  <c r="AN495" i="15"/>
  <c r="AP495" i="15" s="1"/>
  <c r="Y987" i="15"/>
  <c r="X987" i="15"/>
  <c r="Z987" i="15" s="1"/>
  <c r="AS372" i="15"/>
  <c r="AR372" i="15"/>
  <c r="AT372" i="15" s="1"/>
  <c r="AW249" i="15"/>
  <c r="AV249" i="15"/>
  <c r="AX249" i="15" s="1"/>
  <c r="AS373" i="15" l="1"/>
  <c r="AR373" i="15"/>
  <c r="AT373" i="15" s="1"/>
  <c r="AO496" i="15"/>
  <c r="AN496" i="15"/>
  <c r="AP496" i="15" s="1"/>
  <c r="AK619" i="15"/>
  <c r="AJ619" i="15"/>
  <c r="AL619" i="15" s="1"/>
  <c r="AC865" i="15"/>
  <c r="AB865" i="15"/>
  <c r="AD865" i="15" s="1"/>
  <c r="AG742" i="15"/>
  <c r="AF742" i="15"/>
  <c r="AH742" i="15" s="1"/>
  <c r="AW250" i="15"/>
  <c r="AV250" i="15"/>
  <c r="AX250" i="15" s="1"/>
  <c r="Y988" i="15"/>
  <c r="X988" i="15"/>
  <c r="Z988" i="15" s="1"/>
  <c r="BA127" i="15"/>
  <c r="AZ127" i="15"/>
  <c r="BB127" i="15" s="1"/>
  <c r="BA128" i="15" l="1"/>
  <c r="AZ128" i="15"/>
  <c r="BB128" i="15" s="1"/>
  <c r="Y989" i="15"/>
  <c r="X989" i="15"/>
  <c r="Z989" i="15" s="1"/>
  <c r="AG743" i="15"/>
  <c r="AF743" i="15"/>
  <c r="AH743" i="15" s="1"/>
  <c r="AK620" i="15"/>
  <c r="AJ620" i="15"/>
  <c r="AL620" i="15" s="1"/>
  <c r="AS374" i="15"/>
  <c r="AR374" i="15"/>
  <c r="AT374" i="15" s="1"/>
  <c r="AW251" i="15"/>
  <c r="AV251" i="15"/>
  <c r="AX251" i="15" s="1"/>
  <c r="AC866" i="15"/>
  <c r="AB866" i="15"/>
  <c r="AD866" i="15" s="1"/>
  <c r="AO497" i="15"/>
  <c r="AN497" i="15"/>
  <c r="AP497" i="15" s="1"/>
  <c r="AO498" i="15" l="1"/>
  <c r="AN498" i="15"/>
  <c r="AP498" i="15" s="1"/>
  <c r="AW252" i="15"/>
  <c r="AV252" i="15"/>
  <c r="AX252" i="15" s="1"/>
  <c r="AS375" i="15"/>
  <c r="AR375" i="15"/>
  <c r="AT375" i="15" s="1"/>
  <c r="AG744" i="15"/>
  <c r="AF744" i="15"/>
  <c r="AH744" i="15" s="1"/>
  <c r="BA129" i="15"/>
  <c r="AZ129" i="15"/>
  <c r="BB129" i="15" s="1"/>
  <c r="AC867" i="15"/>
  <c r="AB867" i="15"/>
  <c r="AD867" i="15" s="1"/>
  <c r="AK621" i="15"/>
  <c r="AJ621" i="15"/>
  <c r="AL621" i="15" s="1"/>
  <c r="Y990" i="15"/>
  <c r="X990" i="15"/>
  <c r="Z990" i="15" s="1"/>
  <c r="AK622" i="15" l="1"/>
  <c r="AJ622" i="15"/>
  <c r="AL622" i="15" s="1"/>
  <c r="BA130" i="15"/>
  <c r="AZ130" i="15"/>
  <c r="BB130" i="15" s="1"/>
  <c r="AG745" i="15"/>
  <c r="AF745" i="15"/>
  <c r="AH745" i="15" s="1"/>
  <c r="AS376" i="15"/>
  <c r="AR376" i="15"/>
  <c r="AT376" i="15" s="1"/>
  <c r="AO499" i="15"/>
  <c r="AN499" i="15"/>
  <c r="AP499" i="15" s="1"/>
  <c r="Y991" i="15"/>
  <c r="X991" i="15"/>
  <c r="Z991" i="15" s="1"/>
  <c r="AC868" i="15"/>
  <c r="AB868" i="15"/>
  <c r="AD868" i="15" s="1"/>
  <c r="AW253" i="15"/>
  <c r="AV253" i="15"/>
  <c r="AX253" i="15" s="1"/>
  <c r="AW254" i="15" l="1"/>
  <c r="AV254" i="15"/>
  <c r="AX254" i="15" s="1"/>
  <c r="Y992" i="15"/>
  <c r="X992" i="15"/>
  <c r="Z992" i="15" s="1"/>
  <c r="AO500" i="15"/>
  <c r="AN500" i="15"/>
  <c r="AP500" i="15" s="1"/>
  <c r="AG746" i="15"/>
  <c r="AF746" i="15"/>
  <c r="AH746" i="15" s="1"/>
  <c r="AK623" i="15"/>
  <c r="AJ623" i="15"/>
  <c r="AL623" i="15" s="1"/>
  <c r="AC869" i="15"/>
  <c r="AB869" i="15"/>
  <c r="AD869" i="15" s="1"/>
  <c r="AS377" i="15"/>
  <c r="AR377" i="15"/>
  <c r="AT377" i="15" s="1"/>
  <c r="BA131" i="15"/>
  <c r="AZ131" i="15"/>
  <c r="BB131" i="15" s="1"/>
  <c r="BA132" i="15" l="1"/>
  <c r="AZ132" i="15"/>
  <c r="BB132" i="15" s="1"/>
  <c r="AC870" i="15"/>
  <c r="AB870" i="15"/>
  <c r="AD870" i="15" s="1"/>
  <c r="AG747" i="15"/>
  <c r="AF747" i="15"/>
  <c r="AH747" i="15" s="1"/>
  <c r="AO501" i="15"/>
  <c r="AN501" i="15"/>
  <c r="AP501" i="15" s="1"/>
  <c r="AW255" i="15"/>
  <c r="AV255" i="15"/>
  <c r="AX255" i="15" s="1"/>
  <c r="AS378" i="15"/>
  <c r="AR378" i="15"/>
  <c r="AT378" i="15" s="1"/>
  <c r="AK624" i="15"/>
  <c r="AJ624" i="15"/>
  <c r="AL624" i="15" s="1"/>
  <c r="Y993" i="15"/>
  <c r="X993" i="15"/>
  <c r="Z993" i="15" s="1"/>
  <c r="Y994" i="15" l="1"/>
  <c r="X994" i="15"/>
  <c r="Z994" i="15" s="1"/>
  <c r="AS379" i="15"/>
  <c r="AR379" i="15"/>
  <c r="AT379" i="15" s="1"/>
  <c r="AO502" i="15"/>
  <c r="AN502" i="15"/>
  <c r="AP502" i="15" s="1"/>
  <c r="AG748" i="15"/>
  <c r="AF748" i="15"/>
  <c r="AH748" i="15" s="1"/>
  <c r="BA133" i="15"/>
  <c r="AZ133" i="15"/>
  <c r="BB133" i="15" s="1"/>
  <c r="AK625" i="15"/>
  <c r="AJ625" i="15"/>
  <c r="AL625" i="15" s="1"/>
  <c r="AW256" i="15"/>
  <c r="AV256" i="15"/>
  <c r="AX256" i="15" s="1"/>
  <c r="AC871" i="15"/>
  <c r="AB871" i="15"/>
  <c r="AD871" i="15" s="1"/>
  <c r="AW257" i="15" l="1"/>
  <c r="AV257" i="15"/>
  <c r="AX257" i="15" s="1"/>
  <c r="BA134" i="15"/>
  <c r="AZ134" i="15"/>
  <c r="BB134" i="15" s="1"/>
  <c r="AO503" i="15"/>
  <c r="AN503" i="15"/>
  <c r="AP503" i="15" s="1"/>
  <c r="Y995" i="15"/>
  <c r="X995" i="15"/>
  <c r="Z995" i="15" s="1"/>
  <c r="AC872" i="15"/>
  <c r="AB872" i="15"/>
  <c r="AD872" i="15" s="1"/>
  <c r="AK626" i="15"/>
  <c r="AJ626" i="15"/>
  <c r="AL626" i="15" s="1"/>
  <c r="AG749" i="15"/>
  <c r="AF749" i="15"/>
  <c r="AH749" i="15" s="1"/>
  <c r="AS380" i="15"/>
  <c r="AR380" i="15"/>
  <c r="AT380" i="15" s="1"/>
  <c r="AS381" i="15" l="1"/>
  <c r="AR381" i="15"/>
  <c r="AT381" i="15" s="1"/>
  <c r="AK627" i="15"/>
  <c r="AJ627" i="15"/>
  <c r="AL627" i="15" s="1"/>
  <c r="Y996" i="15"/>
  <c r="X996" i="15"/>
  <c r="Z996" i="15" s="1"/>
  <c r="AO504" i="15"/>
  <c r="AN504" i="15"/>
  <c r="AP504" i="15" s="1"/>
  <c r="AW258" i="15"/>
  <c r="AV258" i="15"/>
  <c r="AX258" i="15" s="1"/>
  <c r="AG750" i="15"/>
  <c r="AF750" i="15"/>
  <c r="AH750" i="15" s="1"/>
  <c r="AC873" i="15"/>
  <c r="AB873" i="15"/>
  <c r="AD873" i="15" s="1"/>
  <c r="BA135" i="15"/>
  <c r="AZ135" i="15"/>
  <c r="BB135" i="15" s="1"/>
  <c r="AC874" i="15" l="1"/>
  <c r="AB874" i="15"/>
  <c r="AD874" i="15" s="1"/>
  <c r="AW259" i="15"/>
  <c r="AV259" i="15"/>
  <c r="AX259" i="15" s="1"/>
  <c r="Y997" i="15"/>
  <c r="X997" i="15"/>
  <c r="Z997" i="15" s="1"/>
  <c r="AS382" i="15"/>
  <c r="AR382" i="15"/>
  <c r="AT382" i="15" s="1"/>
  <c r="BA136" i="15"/>
  <c r="AZ136" i="15"/>
  <c r="BB136" i="15" s="1"/>
  <c r="AG751" i="15"/>
  <c r="AF751" i="15"/>
  <c r="AH751" i="15" s="1"/>
  <c r="AO505" i="15"/>
  <c r="AN505" i="15"/>
  <c r="AP505" i="15" s="1"/>
  <c r="AK628" i="15"/>
  <c r="AJ628" i="15"/>
  <c r="AL628" i="15" s="1"/>
  <c r="AO506" i="15" l="1"/>
  <c r="AN506" i="15"/>
  <c r="AP506" i="15" s="1"/>
  <c r="AG752" i="15"/>
  <c r="AF752" i="15"/>
  <c r="AH752" i="15" s="1"/>
  <c r="AS383" i="15"/>
  <c r="AR383" i="15"/>
  <c r="AT383" i="15" s="1"/>
  <c r="Y998" i="15"/>
  <c r="X998" i="15"/>
  <c r="Z998" i="15" s="1"/>
  <c r="AC875" i="15"/>
  <c r="AB875" i="15"/>
  <c r="AD875" i="15" s="1"/>
  <c r="AK629" i="15"/>
  <c r="AJ629" i="15"/>
  <c r="AL629" i="15" s="1"/>
  <c r="BA137" i="15"/>
  <c r="AZ137" i="15"/>
  <c r="BB137" i="15" s="1"/>
  <c r="AW260" i="15"/>
  <c r="AV260" i="15"/>
  <c r="AX260" i="15" s="1"/>
  <c r="BA138" i="15" l="1"/>
  <c r="AZ138" i="15"/>
  <c r="BB138" i="15" s="1"/>
  <c r="AC876" i="15"/>
  <c r="AB876" i="15"/>
  <c r="AD876" i="15" s="1"/>
  <c r="Y999" i="15"/>
  <c r="X999" i="15"/>
  <c r="Z999" i="15" s="1"/>
  <c r="AS384" i="15"/>
  <c r="AR384" i="15"/>
  <c r="AT384" i="15" s="1"/>
  <c r="AO507" i="15"/>
  <c r="AN507" i="15"/>
  <c r="AP507" i="15" s="1"/>
  <c r="AW261" i="15"/>
  <c r="AV261" i="15"/>
  <c r="AX261" i="15" s="1"/>
  <c r="AK630" i="15"/>
  <c r="AJ630" i="15"/>
  <c r="AL630" i="15" s="1"/>
  <c r="AG753" i="15"/>
  <c r="AF753" i="15"/>
  <c r="AH753" i="15" s="1"/>
  <c r="AG754" i="15" l="1"/>
  <c r="AF754" i="15"/>
  <c r="AH754" i="15" s="1"/>
  <c r="AW262" i="15"/>
  <c r="AV262" i="15"/>
  <c r="AX262" i="15" s="1"/>
  <c r="AS385" i="15"/>
  <c r="AR385" i="15"/>
  <c r="AT385" i="15" s="1"/>
  <c r="Y1000" i="15"/>
  <c r="X1000" i="15"/>
  <c r="Z1000" i="15" s="1"/>
  <c r="BA139" i="15"/>
  <c r="AZ139" i="15"/>
  <c r="BB139" i="15" s="1"/>
  <c r="AK631" i="15"/>
  <c r="AJ631" i="15"/>
  <c r="AL631" i="15" s="1"/>
  <c r="AO508" i="15"/>
  <c r="AN508" i="15"/>
  <c r="AP508" i="15" s="1"/>
  <c r="AC877" i="15"/>
  <c r="AB877" i="15"/>
  <c r="AD877" i="15" s="1"/>
  <c r="AO509" i="15" l="1"/>
  <c r="AN509" i="15"/>
  <c r="AP509" i="15" s="1"/>
  <c r="AK632" i="15"/>
  <c r="AJ632" i="15"/>
  <c r="AL632" i="15" s="1"/>
  <c r="Y1001" i="15"/>
  <c r="X1001" i="15"/>
  <c r="Z1001" i="15" s="1"/>
  <c r="AS386" i="15"/>
  <c r="AR386" i="15"/>
  <c r="AT386" i="15" s="1"/>
  <c r="AG755" i="15"/>
  <c r="AF755" i="15"/>
  <c r="AH755" i="15" s="1"/>
  <c r="AC878" i="15"/>
  <c r="AB878" i="15"/>
  <c r="AD878" i="15" s="1"/>
  <c r="BA140" i="15"/>
  <c r="AZ140" i="15"/>
  <c r="BB140" i="15" s="1"/>
  <c r="AW263" i="15"/>
  <c r="AV263" i="15"/>
  <c r="AX263" i="15" s="1"/>
  <c r="AW264" i="15" l="1"/>
  <c r="AV264" i="15"/>
  <c r="AX264" i="15" s="1"/>
  <c r="AC879" i="15"/>
  <c r="AB879" i="15"/>
  <c r="AD879" i="15" s="1"/>
  <c r="AS387" i="15"/>
  <c r="AR387" i="15"/>
  <c r="AT387" i="15" s="1"/>
  <c r="Y1002" i="15"/>
  <c r="X1002" i="15"/>
  <c r="Z1002" i="15" s="1"/>
  <c r="AO510" i="15"/>
  <c r="AN510" i="15"/>
  <c r="AP510" i="15" s="1"/>
  <c r="BA141" i="15"/>
  <c r="AZ141" i="15"/>
  <c r="BB141" i="15" s="1"/>
  <c r="AG756" i="15"/>
  <c r="AF756" i="15"/>
  <c r="AH756" i="15" s="1"/>
  <c r="AK633" i="15"/>
  <c r="AJ633" i="15"/>
  <c r="AL633" i="15" s="1"/>
  <c r="AK634" i="15" l="1"/>
  <c r="AJ634" i="15"/>
  <c r="AL634" i="15" s="1"/>
  <c r="BA142" i="15"/>
  <c r="AZ142" i="15"/>
  <c r="BB142" i="15" s="1"/>
  <c r="Y1003" i="15"/>
  <c r="X1003" i="15"/>
  <c r="Z1003" i="15" s="1"/>
  <c r="AS388" i="15"/>
  <c r="AR388" i="15"/>
  <c r="AT388" i="15" s="1"/>
  <c r="AW265" i="15"/>
  <c r="AV265" i="15"/>
  <c r="AX265" i="15" s="1"/>
  <c r="AG757" i="15"/>
  <c r="AF757" i="15"/>
  <c r="AH757" i="15" s="1"/>
  <c r="AO511" i="15"/>
  <c r="AN511" i="15"/>
  <c r="AP511" i="15" s="1"/>
  <c r="AC880" i="15"/>
  <c r="AB880" i="15"/>
  <c r="AD880" i="15" s="1"/>
  <c r="AC881" i="15" l="1"/>
  <c r="AB881" i="15"/>
  <c r="AD881" i="15" s="1"/>
  <c r="AG758" i="15"/>
  <c r="AF758" i="15"/>
  <c r="AH758" i="15" s="1"/>
  <c r="AW266" i="15"/>
  <c r="AV266" i="15"/>
  <c r="AX266" i="15" s="1"/>
  <c r="AS389" i="15"/>
  <c r="AR389" i="15"/>
  <c r="AT389" i="15" s="1"/>
  <c r="Y1004" i="15"/>
  <c r="X1004" i="15"/>
  <c r="Z1004" i="15" s="1"/>
  <c r="AK635" i="15"/>
  <c r="AJ635" i="15"/>
  <c r="AL635" i="15" s="1"/>
  <c r="AO512" i="15"/>
  <c r="AN512" i="15"/>
  <c r="AP512" i="15" s="1"/>
  <c r="BA143" i="15"/>
  <c r="AZ143" i="15"/>
  <c r="BB143" i="15" s="1"/>
  <c r="BA144" i="15" l="1"/>
  <c r="AZ144" i="15"/>
  <c r="BB144" i="15" s="1"/>
  <c r="AK636" i="15"/>
  <c r="AJ636" i="15"/>
  <c r="AL636" i="15" s="1"/>
  <c r="Y1005" i="15"/>
  <c r="X1005" i="15"/>
  <c r="Z1005" i="15" s="1"/>
  <c r="AS390" i="15"/>
  <c r="AR390" i="15"/>
  <c r="AT390" i="15" s="1"/>
  <c r="AW267" i="15"/>
  <c r="AV267" i="15"/>
  <c r="AX267" i="15" s="1"/>
  <c r="AC882" i="15"/>
  <c r="AB882" i="15"/>
  <c r="AD882" i="15" s="1"/>
  <c r="AO513" i="15"/>
  <c r="AN513" i="15"/>
  <c r="AP513" i="15" s="1"/>
  <c r="AG759" i="15"/>
  <c r="AF759" i="15"/>
  <c r="AH759" i="15" s="1"/>
  <c r="AG760" i="15" l="1"/>
  <c r="AF760" i="15"/>
  <c r="AH760" i="15" s="1"/>
  <c r="AO514" i="15"/>
  <c r="AN514" i="15"/>
  <c r="AP514" i="15" s="1"/>
  <c r="AW268" i="15"/>
  <c r="AV268" i="15"/>
  <c r="AX268" i="15" s="1"/>
  <c r="AS391" i="15"/>
  <c r="AR391" i="15"/>
  <c r="AT391" i="15" s="1"/>
  <c r="Y1006" i="15"/>
  <c r="X1006" i="15"/>
  <c r="Z1006" i="15" s="1"/>
  <c r="BA145" i="15"/>
  <c r="AZ145" i="15"/>
  <c r="BB145" i="15" s="1"/>
  <c r="AC883" i="15"/>
  <c r="AB883" i="15"/>
  <c r="AD883" i="15" s="1"/>
  <c r="AK637" i="15"/>
  <c r="AJ637" i="15"/>
  <c r="AL637" i="15" s="1"/>
  <c r="AK638" i="15" l="1"/>
  <c r="AJ638" i="15"/>
  <c r="AL638" i="15" s="1"/>
  <c r="AC884" i="15"/>
  <c r="AB884" i="15"/>
  <c r="AD884" i="15" s="1"/>
  <c r="BA146" i="15"/>
  <c r="AZ146" i="15"/>
  <c r="BB146" i="15" s="1"/>
  <c r="Y1007" i="15"/>
  <c r="X1007" i="15"/>
  <c r="Z1007" i="15" s="1"/>
  <c r="AS392" i="15"/>
  <c r="AR392" i="15"/>
  <c r="AT392" i="15" s="1"/>
  <c r="AW269" i="15"/>
  <c r="AV269" i="15"/>
  <c r="AX269" i="15" s="1"/>
  <c r="AO515" i="15"/>
  <c r="AN515" i="15"/>
  <c r="AP515" i="15" s="1"/>
  <c r="AG761" i="15"/>
  <c r="AF761" i="15"/>
  <c r="AH761" i="15" s="1"/>
  <c r="AG762" i="15" l="1"/>
  <c r="AF762" i="15"/>
  <c r="AH762" i="15" s="1"/>
  <c r="AW270" i="15"/>
  <c r="AV270" i="15"/>
  <c r="AX270" i="15" s="1"/>
  <c r="AS393" i="15"/>
  <c r="AR393" i="15"/>
  <c r="AT393" i="15" s="1"/>
  <c r="Y1008" i="15"/>
  <c r="X1008" i="15"/>
  <c r="Z1008" i="15" s="1"/>
  <c r="K15" i="15"/>
  <c r="BA147" i="15"/>
  <c r="BB147" i="15" s="1"/>
  <c r="AZ147" i="15"/>
  <c r="AK639" i="15"/>
  <c r="AJ639" i="15"/>
  <c r="AL639" i="15" s="1"/>
  <c r="AO516" i="15"/>
  <c r="AN516" i="15"/>
  <c r="AP516" i="15" s="1"/>
  <c r="AC885" i="15"/>
  <c r="AB885" i="15"/>
  <c r="AD885" i="15" s="1"/>
  <c r="BA148" i="15" l="1"/>
  <c r="AZ148" i="15"/>
  <c r="BB148" i="15" s="1"/>
  <c r="Y1009" i="15"/>
  <c r="X1009" i="15"/>
  <c r="Z1009" i="15" s="1"/>
  <c r="AS394" i="15"/>
  <c r="AR394" i="15"/>
  <c r="AT394" i="15" s="1"/>
  <c r="AW271" i="15"/>
  <c r="AV271" i="15"/>
  <c r="AX271" i="15" s="1"/>
  <c r="AG763" i="15"/>
  <c r="AF763" i="15"/>
  <c r="AH763" i="15" s="1"/>
  <c r="AC886" i="15"/>
  <c r="AB886" i="15"/>
  <c r="AD886" i="15" s="1"/>
  <c r="AO517" i="15"/>
  <c r="AN517" i="15"/>
  <c r="AP517" i="15" s="1"/>
  <c r="AK640" i="15"/>
  <c r="AJ640" i="15"/>
  <c r="AL640" i="15" s="1"/>
  <c r="H16" i="15"/>
  <c r="L15" i="15"/>
  <c r="M15" i="15"/>
  <c r="F16" i="15" s="1"/>
  <c r="E16" i="15" s="1"/>
  <c r="D16" i="15"/>
  <c r="C16" i="15" s="1"/>
  <c r="AK641" i="15" l="1"/>
  <c r="AJ641" i="15"/>
  <c r="AL641" i="15" s="1"/>
  <c r="AO518" i="15"/>
  <c r="AN518" i="15"/>
  <c r="AP518" i="15" s="1"/>
  <c r="AC887" i="15"/>
  <c r="AB887" i="15"/>
  <c r="AD887" i="15" s="1"/>
  <c r="AG764" i="15"/>
  <c r="AF764" i="15"/>
  <c r="AH764" i="15" s="1"/>
  <c r="AW272" i="15"/>
  <c r="AV272" i="15"/>
  <c r="AX272" i="15" s="1"/>
  <c r="AS395" i="15"/>
  <c r="AR395" i="15"/>
  <c r="AT395" i="15" s="1"/>
  <c r="Y1010" i="15"/>
  <c r="X1010" i="15"/>
  <c r="Z1010" i="15" s="1"/>
  <c r="BA149" i="15"/>
  <c r="AZ149" i="15"/>
  <c r="BB149" i="15" s="1"/>
  <c r="I16" i="15"/>
  <c r="BC28" i="15"/>
  <c r="BC29" i="15"/>
  <c r="BC30" i="15"/>
  <c r="BC31" i="15"/>
  <c r="BC32" i="15"/>
  <c r="BC33" i="15"/>
  <c r="BC34" i="15"/>
  <c r="BC35" i="15"/>
  <c r="BC36" i="15"/>
  <c r="BC37" i="15"/>
  <c r="BC38" i="15"/>
  <c r="BC39" i="15"/>
  <c r="BC40" i="15"/>
  <c r="BC41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0" i="15"/>
  <c r="BC71" i="15"/>
  <c r="BC72" i="15"/>
  <c r="BC73" i="15"/>
  <c r="BC74" i="15"/>
  <c r="BC75" i="15"/>
  <c r="BC76" i="15"/>
  <c r="BC77" i="15"/>
  <c r="BC78" i="15"/>
  <c r="BC79" i="15"/>
  <c r="BC80" i="15"/>
  <c r="BC81" i="15"/>
  <c r="BC82" i="15"/>
  <c r="BC83" i="15"/>
  <c r="BC84" i="15"/>
  <c r="BC85" i="15"/>
  <c r="BC86" i="15"/>
  <c r="BC87" i="15"/>
  <c r="BC88" i="15"/>
  <c r="BC89" i="15"/>
  <c r="BC90" i="15"/>
  <c r="BC91" i="15"/>
  <c r="BC92" i="15"/>
  <c r="BC93" i="15"/>
  <c r="BC94" i="15"/>
  <c r="BC95" i="15"/>
  <c r="BC96" i="15"/>
  <c r="BC97" i="15"/>
  <c r="BC98" i="15"/>
  <c r="BC99" i="15"/>
  <c r="BC100" i="15"/>
  <c r="BC101" i="15"/>
  <c r="BC102" i="15"/>
  <c r="BC103" i="15"/>
  <c r="BC104" i="15"/>
  <c r="BC105" i="15"/>
  <c r="BC106" i="15"/>
  <c r="BC107" i="15"/>
  <c r="BC108" i="15"/>
  <c r="BC109" i="15"/>
  <c r="BC110" i="15"/>
  <c r="BC111" i="15"/>
  <c r="BC112" i="15"/>
  <c r="BC113" i="15"/>
  <c r="BC114" i="15"/>
  <c r="BC115" i="15"/>
  <c r="BC116" i="15"/>
  <c r="BC117" i="15"/>
  <c r="BC118" i="15"/>
  <c r="BC119" i="15"/>
  <c r="BC120" i="15"/>
  <c r="BC121" i="15"/>
  <c r="BC122" i="15"/>
  <c r="BC123" i="15"/>
  <c r="BC124" i="15"/>
  <c r="BC125" i="15"/>
  <c r="BC126" i="15"/>
  <c r="BC127" i="15"/>
  <c r="BC128" i="15"/>
  <c r="BC129" i="15"/>
  <c r="BC130" i="15"/>
  <c r="BC131" i="15"/>
  <c r="BC132" i="15"/>
  <c r="BC133" i="15"/>
  <c r="BC134" i="15"/>
  <c r="BC135" i="15"/>
  <c r="BC136" i="15"/>
  <c r="BC137" i="15"/>
  <c r="BC138" i="15"/>
  <c r="BC139" i="15"/>
  <c r="BC140" i="15"/>
  <c r="BC141" i="15"/>
  <c r="BC142" i="15"/>
  <c r="BC143" i="15"/>
  <c r="BC144" i="15"/>
  <c r="BC145" i="15"/>
  <c r="BC146" i="15"/>
  <c r="BC27" i="15"/>
  <c r="BD27" i="15" s="1"/>
  <c r="J16" i="15"/>
  <c r="BC147" i="15"/>
  <c r="BC148" i="15"/>
  <c r="BC149" i="15"/>
  <c r="BC150" i="15"/>
  <c r="BC151" i="15"/>
  <c r="BC152" i="15"/>
  <c r="BC153" i="15"/>
  <c r="BC154" i="15"/>
  <c r="BC155" i="15"/>
  <c r="BC156" i="15"/>
  <c r="BC157" i="15"/>
  <c r="BC158" i="15"/>
  <c r="BC159" i="15"/>
  <c r="BC160" i="15"/>
  <c r="BC161" i="15"/>
  <c r="BC162" i="15"/>
  <c r="BC163" i="15"/>
  <c r="BC164" i="15"/>
  <c r="BC165" i="15"/>
  <c r="BC166" i="15"/>
  <c r="BC167" i="15"/>
  <c r="BC168" i="15"/>
  <c r="BC169" i="15"/>
  <c r="BC170" i="15"/>
  <c r="BC171" i="15"/>
  <c r="BC172" i="15"/>
  <c r="BC173" i="15"/>
  <c r="BC174" i="15"/>
  <c r="BC175" i="15"/>
  <c r="BC176" i="15"/>
  <c r="BC177" i="15"/>
  <c r="BC178" i="15"/>
  <c r="BC179" i="15"/>
  <c r="BC180" i="15"/>
  <c r="BC181" i="15"/>
  <c r="BC182" i="15"/>
  <c r="BC183" i="15"/>
  <c r="BC184" i="15"/>
  <c r="BC185" i="15"/>
  <c r="BC186" i="15"/>
  <c r="BC187" i="15"/>
  <c r="BC188" i="15"/>
  <c r="BC189" i="15"/>
  <c r="BC190" i="15"/>
  <c r="BC191" i="15"/>
  <c r="BC192" i="15"/>
  <c r="BC193" i="15"/>
  <c r="BC194" i="15"/>
  <c r="BC195" i="15"/>
  <c r="BC196" i="15"/>
  <c r="BC197" i="15"/>
  <c r="BC198" i="15"/>
  <c r="BC199" i="15"/>
  <c r="BC200" i="15"/>
  <c r="BC201" i="15"/>
  <c r="BC202" i="15"/>
  <c r="BC203" i="15"/>
  <c r="BC204" i="15"/>
  <c r="BC205" i="15"/>
  <c r="BC206" i="15"/>
  <c r="BC207" i="15"/>
  <c r="BC208" i="15"/>
  <c r="BC209" i="15"/>
  <c r="BC210" i="15"/>
  <c r="BC211" i="15"/>
  <c r="BC212" i="15"/>
  <c r="BC213" i="15"/>
  <c r="BC214" i="15"/>
  <c r="BC215" i="15"/>
  <c r="BC216" i="15"/>
  <c r="BC217" i="15"/>
  <c r="BC218" i="15"/>
  <c r="BC219" i="15"/>
  <c r="BC220" i="15"/>
  <c r="BC221" i="15"/>
  <c r="BC222" i="15"/>
  <c r="BC223" i="15"/>
  <c r="BC224" i="15"/>
  <c r="BC225" i="15"/>
  <c r="BC226" i="15"/>
  <c r="BC227" i="15"/>
  <c r="BC228" i="15"/>
  <c r="BC229" i="15"/>
  <c r="BC230" i="15"/>
  <c r="BC231" i="15"/>
  <c r="BC232" i="15"/>
  <c r="BC233" i="15"/>
  <c r="BC234" i="15"/>
  <c r="BC235" i="15"/>
  <c r="BC236" i="15"/>
  <c r="BC237" i="15"/>
  <c r="BC238" i="15"/>
  <c r="BC239" i="15"/>
  <c r="BC240" i="15"/>
  <c r="BC241" i="15"/>
  <c r="BC242" i="15"/>
  <c r="BC243" i="15"/>
  <c r="BC244" i="15"/>
  <c r="BC245" i="15"/>
  <c r="BC246" i="15"/>
  <c r="BC247" i="15"/>
  <c r="BC248" i="15"/>
  <c r="BC249" i="15"/>
  <c r="BC250" i="15"/>
  <c r="BC251" i="15"/>
  <c r="BC252" i="15"/>
  <c r="BC253" i="15"/>
  <c r="BC254" i="15"/>
  <c r="BC255" i="15"/>
  <c r="BC256" i="15"/>
  <c r="BC257" i="15"/>
  <c r="BC258" i="15"/>
  <c r="BC259" i="15"/>
  <c r="BC260" i="15"/>
  <c r="BC261" i="15"/>
  <c r="BC262" i="15"/>
  <c r="BC263" i="15"/>
  <c r="BC264" i="15"/>
  <c r="BC265" i="15"/>
  <c r="BC266" i="15"/>
  <c r="BC267" i="15"/>
  <c r="BC268" i="15"/>
  <c r="BC269" i="15"/>
  <c r="BC270" i="15"/>
  <c r="BC271" i="15"/>
  <c r="BC272" i="15"/>
  <c r="BC273" i="15"/>
  <c r="BC274" i="15"/>
  <c r="BC275" i="15"/>
  <c r="BC276" i="15"/>
  <c r="BC277" i="15"/>
  <c r="BC278" i="15"/>
  <c r="BC279" i="15"/>
  <c r="BC280" i="15"/>
  <c r="BC281" i="15"/>
  <c r="BC282" i="15"/>
  <c r="BC283" i="15"/>
  <c r="BC284" i="15"/>
  <c r="BC285" i="15"/>
  <c r="BC286" i="15"/>
  <c r="BC287" i="15"/>
  <c r="BC288" i="15"/>
  <c r="BC289" i="15"/>
  <c r="BC290" i="15"/>
  <c r="BC291" i="15"/>
  <c r="BC292" i="15"/>
  <c r="BC293" i="15"/>
  <c r="BC294" i="15"/>
  <c r="BC295" i="15"/>
  <c r="BC296" i="15"/>
  <c r="BC297" i="15"/>
  <c r="BC298" i="15"/>
  <c r="BC299" i="15"/>
  <c r="BC300" i="15"/>
  <c r="BC301" i="15"/>
  <c r="BC302" i="15"/>
  <c r="BC303" i="15"/>
  <c r="BC304" i="15"/>
  <c r="BC305" i="15"/>
  <c r="BC306" i="15"/>
  <c r="BC307" i="15"/>
  <c r="BC308" i="15"/>
  <c r="BC309" i="15"/>
  <c r="BC310" i="15"/>
  <c r="BC311" i="15"/>
  <c r="BC312" i="15"/>
  <c r="BC313" i="15"/>
  <c r="BC314" i="15"/>
  <c r="BC315" i="15"/>
  <c r="BC316" i="15"/>
  <c r="BC317" i="15"/>
  <c r="BC318" i="15"/>
  <c r="BC319" i="15"/>
  <c r="BC320" i="15"/>
  <c r="BC321" i="15"/>
  <c r="BC322" i="15"/>
  <c r="BC323" i="15"/>
  <c r="BC324" i="15"/>
  <c r="BC325" i="15"/>
  <c r="BC326" i="15"/>
  <c r="BC327" i="15"/>
  <c r="BC328" i="15"/>
  <c r="BC329" i="15"/>
  <c r="BC330" i="15"/>
  <c r="BC331" i="15"/>
  <c r="BC332" i="15"/>
  <c r="BC333" i="15"/>
  <c r="BC334" i="15"/>
  <c r="BC335" i="15"/>
  <c r="BC336" i="15"/>
  <c r="BC337" i="15"/>
  <c r="BC338" i="15"/>
  <c r="BC339" i="15"/>
  <c r="BC340" i="15"/>
  <c r="BC341" i="15"/>
  <c r="BC342" i="15"/>
  <c r="BC343" i="15"/>
  <c r="BC344" i="15"/>
  <c r="BC345" i="15"/>
  <c r="BC346" i="15"/>
  <c r="BC347" i="15"/>
  <c r="BC348" i="15"/>
  <c r="BC349" i="15"/>
  <c r="BC350" i="15"/>
  <c r="BC351" i="15"/>
  <c r="BC352" i="15"/>
  <c r="BC353" i="15"/>
  <c r="BC354" i="15"/>
  <c r="BC355" i="15"/>
  <c r="BC356" i="15"/>
  <c r="BC357" i="15"/>
  <c r="BC358" i="15"/>
  <c r="BC359" i="15"/>
  <c r="BC360" i="15"/>
  <c r="BC361" i="15"/>
  <c r="BC362" i="15"/>
  <c r="BC363" i="15"/>
  <c r="BC364" i="15"/>
  <c r="BC365" i="15"/>
  <c r="BC366" i="15"/>
  <c r="BC367" i="15"/>
  <c r="BC368" i="15"/>
  <c r="BC369" i="15"/>
  <c r="BC370" i="15"/>
  <c r="BC371" i="15"/>
  <c r="BC372" i="15"/>
  <c r="BC373" i="15"/>
  <c r="BC374" i="15"/>
  <c r="BC375" i="15"/>
  <c r="BC376" i="15"/>
  <c r="BC377" i="15"/>
  <c r="BC378" i="15"/>
  <c r="BC379" i="15"/>
  <c r="BC380" i="15"/>
  <c r="BC381" i="15"/>
  <c r="BC382" i="15"/>
  <c r="BC383" i="15"/>
  <c r="BC384" i="15"/>
  <c r="BC385" i="15"/>
  <c r="BC386" i="15"/>
  <c r="BC387" i="15"/>
  <c r="BC388" i="15"/>
  <c r="BC389" i="15"/>
  <c r="BC390" i="15"/>
  <c r="BC391" i="15"/>
  <c r="BC392" i="15"/>
  <c r="BC393" i="15"/>
  <c r="BC394" i="15"/>
  <c r="BC395" i="15"/>
  <c r="BC396" i="15"/>
  <c r="BC397" i="15"/>
  <c r="BC398" i="15"/>
  <c r="BC399" i="15"/>
  <c r="BC400" i="15"/>
  <c r="BC401" i="15"/>
  <c r="BC402" i="15"/>
  <c r="BC403" i="15"/>
  <c r="BC404" i="15"/>
  <c r="BC405" i="15"/>
  <c r="BC406" i="15"/>
  <c r="BC407" i="15"/>
  <c r="BC408" i="15"/>
  <c r="BC409" i="15"/>
  <c r="BC410" i="15"/>
  <c r="BC411" i="15"/>
  <c r="BC412" i="15"/>
  <c r="BC413" i="15"/>
  <c r="BC414" i="15"/>
  <c r="BC415" i="15"/>
  <c r="BC416" i="15"/>
  <c r="BC417" i="15"/>
  <c r="BC418" i="15"/>
  <c r="BC419" i="15"/>
  <c r="BC420" i="15"/>
  <c r="BC421" i="15"/>
  <c r="BC422" i="15"/>
  <c r="BC423" i="15"/>
  <c r="BC424" i="15"/>
  <c r="BC425" i="15"/>
  <c r="BC426" i="15"/>
  <c r="BC427" i="15"/>
  <c r="BC428" i="15"/>
  <c r="BC429" i="15"/>
  <c r="BC430" i="15"/>
  <c r="BC431" i="15"/>
  <c r="BC432" i="15"/>
  <c r="BC433" i="15"/>
  <c r="BC434" i="15"/>
  <c r="BC435" i="15"/>
  <c r="BC436" i="15"/>
  <c r="BC437" i="15"/>
  <c r="BC438" i="15"/>
  <c r="BC439" i="15"/>
  <c r="BC440" i="15"/>
  <c r="BC441" i="15"/>
  <c r="BC442" i="15"/>
  <c r="BC443" i="15"/>
  <c r="BC444" i="15"/>
  <c r="BC445" i="15"/>
  <c r="BC446" i="15"/>
  <c r="BC447" i="15"/>
  <c r="BC448" i="15"/>
  <c r="BC449" i="15"/>
  <c r="BC450" i="15"/>
  <c r="BC451" i="15"/>
  <c r="BC452" i="15"/>
  <c r="BC453" i="15"/>
  <c r="BC454" i="15"/>
  <c r="BC455" i="15"/>
  <c r="BC456" i="15"/>
  <c r="BC457" i="15"/>
  <c r="BC458" i="15"/>
  <c r="BC459" i="15"/>
  <c r="BC460" i="15"/>
  <c r="BC461" i="15"/>
  <c r="BC462" i="15"/>
  <c r="BC463" i="15"/>
  <c r="BC464" i="15"/>
  <c r="BC465" i="15"/>
  <c r="BC466" i="15"/>
  <c r="BC467" i="15"/>
  <c r="BC468" i="15"/>
  <c r="BC469" i="15"/>
  <c r="BC470" i="15"/>
  <c r="BC471" i="15"/>
  <c r="BC472" i="15"/>
  <c r="BC473" i="15"/>
  <c r="BC474" i="15"/>
  <c r="BC475" i="15"/>
  <c r="BC476" i="15"/>
  <c r="BC477" i="15"/>
  <c r="BC478" i="15"/>
  <c r="BC479" i="15"/>
  <c r="BC480" i="15"/>
  <c r="BC481" i="15"/>
  <c r="BC482" i="15"/>
  <c r="BC483" i="15"/>
  <c r="BC484" i="15"/>
  <c r="BC485" i="15"/>
  <c r="BC486" i="15"/>
  <c r="BC487" i="15"/>
  <c r="BC488" i="15"/>
  <c r="BC489" i="15"/>
  <c r="BC490" i="15"/>
  <c r="BC491" i="15"/>
  <c r="BC492" i="15"/>
  <c r="BC493" i="15"/>
  <c r="BC494" i="15"/>
  <c r="BC495" i="15"/>
  <c r="BC496" i="15"/>
  <c r="BC497" i="15"/>
  <c r="BC498" i="15"/>
  <c r="BC499" i="15"/>
  <c r="BC500" i="15"/>
  <c r="BC501" i="15"/>
  <c r="BC502" i="15"/>
  <c r="BC503" i="15"/>
  <c r="BC504" i="15"/>
  <c r="BC505" i="15"/>
  <c r="BC506" i="15"/>
  <c r="BC507" i="15"/>
  <c r="BC508" i="15"/>
  <c r="BC509" i="15"/>
  <c r="BC510" i="15"/>
  <c r="BC511" i="15"/>
  <c r="BC512" i="15"/>
  <c r="BC513" i="15"/>
  <c r="BC514" i="15"/>
  <c r="BC515" i="15"/>
  <c r="BC516" i="15"/>
  <c r="BC517" i="15"/>
  <c r="BC518" i="15"/>
  <c r="BC519" i="15"/>
  <c r="BC520" i="15"/>
  <c r="BC521" i="15"/>
  <c r="BC522" i="15"/>
  <c r="BC523" i="15"/>
  <c r="BC524" i="15"/>
  <c r="BC525" i="15"/>
  <c r="BC526" i="15"/>
  <c r="BC527" i="15"/>
  <c r="BC528" i="15"/>
  <c r="BC529" i="15"/>
  <c r="BC530" i="15"/>
  <c r="BC531" i="15"/>
  <c r="BC532" i="15"/>
  <c r="BC533" i="15"/>
  <c r="BC534" i="15"/>
  <c r="BC535" i="15"/>
  <c r="BC536" i="15"/>
  <c r="BC537" i="15"/>
  <c r="BC538" i="15"/>
  <c r="BC539" i="15"/>
  <c r="BC540" i="15"/>
  <c r="BC541" i="15"/>
  <c r="BC542" i="15"/>
  <c r="BC543" i="15"/>
  <c r="BC544" i="15"/>
  <c r="BC545" i="15"/>
  <c r="BC546" i="15"/>
  <c r="BC547" i="15"/>
  <c r="BC548" i="15"/>
  <c r="BC549" i="15"/>
  <c r="BC550" i="15"/>
  <c r="BC551" i="15"/>
  <c r="BC552" i="15"/>
  <c r="BC553" i="15"/>
  <c r="BC554" i="15"/>
  <c r="BC555" i="15"/>
  <c r="BC556" i="15"/>
  <c r="BC557" i="15"/>
  <c r="BC558" i="15"/>
  <c r="BC559" i="15"/>
  <c r="BC560" i="15"/>
  <c r="BC561" i="15"/>
  <c r="BC562" i="15"/>
  <c r="BC563" i="15"/>
  <c r="BC564" i="15"/>
  <c r="BC565" i="15"/>
  <c r="BC566" i="15"/>
  <c r="BC567" i="15"/>
  <c r="BC568" i="15"/>
  <c r="BC569" i="15"/>
  <c r="BC570" i="15"/>
  <c r="BC571" i="15"/>
  <c r="BC572" i="15"/>
  <c r="BC573" i="15"/>
  <c r="BC574" i="15"/>
  <c r="BC575" i="15"/>
  <c r="BC576" i="15"/>
  <c r="BC577" i="15"/>
  <c r="BC578" i="15"/>
  <c r="BC579" i="15"/>
  <c r="BC580" i="15"/>
  <c r="BC581" i="15"/>
  <c r="BC582" i="15"/>
  <c r="BC583" i="15"/>
  <c r="BC584" i="15"/>
  <c r="BC585" i="15"/>
  <c r="BC586" i="15"/>
  <c r="BC587" i="15"/>
  <c r="BC588" i="15"/>
  <c r="BC589" i="15"/>
  <c r="BC590" i="15"/>
  <c r="BC591" i="15"/>
  <c r="BC592" i="15"/>
  <c r="BC593" i="15"/>
  <c r="BC594" i="15"/>
  <c r="BC595" i="15"/>
  <c r="BC596" i="15"/>
  <c r="BC597" i="15"/>
  <c r="BC598" i="15"/>
  <c r="BC599" i="15"/>
  <c r="BC600" i="15"/>
  <c r="BC601" i="15"/>
  <c r="BC602" i="15"/>
  <c r="BC603" i="15"/>
  <c r="BC604" i="15"/>
  <c r="BC605" i="15"/>
  <c r="BC606" i="15"/>
  <c r="BC607" i="15"/>
  <c r="BC608" i="15"/>
  <c r="BC609" i="15"/>
  <c r="BC610" i="15"/>
  <c r="BC611" i="15"/>
  <c r="BC612" i="15"/>
  <c r="BC613" i="15"/>
  <c r="BC614" i="15"/>
  <c r="BC615" i="15"/>
  <c r="BC616" i="15"/>
  <c r="BC617" i="15"/>
  <c r="BC618" i="15"/>
  <c r="BC619" i="15"/>
  <c r="BC620" i="15"/>
  <c r="BC621" i="15"/>
  <c r="BC622" i="15"/>
  <c r="BC623" i="15"/>
  <c r="BC624" i="15"/>
  <c r="BC625" i="15"/>
  <c r="BC626" i="15"/>
  <c r="BC627" i="15"/>
  <c r="BC628" i="15"/>
  <c r="BC629" i="15"/>
  <c r="BC630" i="15"/>
  <c r="BC631" i="15"/>
  <c r="BC632" i="15"/>
  <c r="BC633" i="15"/>
  <c r="BC634" i="15"/>
  <c r="BC635" i="15"/>
  <c r="BC636" i="15"/>
  <c r="BC637" i="15"/>
  <c r="BC638" i="15"/>
  <c r="BC639" i="15"/>
  <c r="BC640" i="15"/>
  <c r="BC641" i="15"/>
  <c r="BC642" i="15"/>
  <c r="BC643" i="15"/>
  <c r="BC644" i="15"/>
  <c r="BC645" i="15"/>
  <c r="BC646" i="15"/>
  <c r="BC647" i="15"/>
  <c r="BC648" i="15"/>
  <c r="BC649" i="15"/>
  <c r="BC650" i="15"/>
  <c r="BC651" i="15"/>
  <c r="BC652" i="15"/>
  <c r="BC653" i="15"/>
  <c r="BC654" i="15"/>
  <c r="BC655" i="15"/>
  <c r="BC656" i="15"/>
  <c r="BC657" i="15"/>
  <c r="BC658" i="15"/>
  <c r="BC659" i="15"/>
  <c r="BC660" i="15"/>
  <c r="BC661" i="15"/>
  <c r="BC662" i="15"/>
  <c r="BC663" i="15"/>
  <c r="BC664" i="15"/>
  <c r="BC665" i="15"/>
  <c r="BC666" i="15"/>
  <c r="BC667" i="15"/>
  <c r="BC668" i="15"/>
  <c r="BC669" i="15"/>
  <c r="BC670" i="15"/>
  <c r="BC671" i="15"/>
  <c r="BC672" i="15"/>
  <c r="BC673" i="15"/>
  <c r="BC674" i="15"/>
  <c r="BC675" i="15"/>
  <c r="BC676" i="15"/>
  <c r="BC677" i="15"/>
  <c r="BC678" i="15"/>
  <c r="BC679" i="15"/>
  <c r="BC680" i="15"/>
  <c r="BC681" i="15"/>
  <c r="BC682" i="15"/>
  <c r="BC683" i="15"/>
  <c r="BC684" i="15"/>
  <c r="BC685" i="15"/>
  <c r="BC686" i="15"/>
  <c r="BC687" i="15"/>
  <c r="BC688" i="15"/>
  <c r="BC689" i="15"/>
  <c r="BC690" i="15"/>
  <c r="BC691" i="15"/>
  <c r="BC692" i="15"/>
  <c r="BC693" i="15"/>
  <c r="BC694" i="15"/>
  <c r="BC695" i="15"/>
  <c r="BC696" i="15"/>
  <c r="BC697" i="15"/>
  <c r="BC698" i="15"/>
  <c r="BC699" i="15"/>
  <c r="BC700" i="15"/>
  <c r="BC701" i="15"/>
  <c r="BC702" i="15"/>
  <c r="BC703" i="15"/>
  <c r="BC704" i="15"/>
  <c r="BC705" i="15"/>
  <c r="BC706" i="15"/>
  <c r="BC707" i="15"/>
  <c r="BC708" i="15"/>
  <c r="BC709" i="15"/>
  <c r="BC710" i="15"/>
  <c r="BC711" i="15"/>
  <c r="BC712" i="15"/>
  <c r="BC713" i="15"/>
  <c r="BC714" i="15"/>
  <c r="BC715" i="15"/>
  <c r="BC716" i="15"/>
  <c r="BC717" i="15"/>
  <c r="BC718" i="15"/>
  <c r="BC719" i="15"/>
  <c r="BC720" i="15"/>
  <c r="BC721" i="15"/>
  <c r="BC722" i="15"/>
  <c r="BC723" i="15"/>
  <c r="BC724" i="15"/>
  <c r="BC725" i="15"/>
  <c r="BC726" i="15"/>
  <c r="BC727" i="15"/>
  <c r="BC728" i="15"/>
  <c r="BC729" i="15"/>
  <c r="BC730" i="15"/>
  <c r="BC731" i="15"/>
  <c r="BC732" i="15"/>
  <c r="BC733" i="15"/>
  <c r="BC734" i="15"/>
  <c r="BC735" i="15"/>
  <c r="BC736" i="15"/>
  <c r="BC737" i="15"/>
  <c r="BC738" i="15"/>
  <c r="BC739" i="15"/>
  <c r="BC740" i="15"/>
  <c r="BC741" i="15"/>
  <c r="BC742" i="15"/>
  <c r="BC743" i="15"/>
  <c r="BC744" i="15"/>
  <c r="BC745" i="15"/>
  <c r="BC746" i="15"/>
  <c r="BC747" i="15"/>
  <c r="BC748" i="15"/>
  <c r="BC749" i="15"/>
  <c r="BC750" i="15"/>
  <c r="BC751" i="15"/>
  <c r="BC752" i="15"/>
  <c r="BC753" i="15"/>
  <c r="BC754" i="15"/>
  <c r="BC755" i="15"/>
  <c r="BC756" i="15"/>
  <c r="BC757" i="15"/>
  <c r="BC758" i="15"/>
  <c r="BC759" i="15"/>
  <c r="BC760" i="15"/>
  <c r="BC761" i="15"/>
  <c r="BC762" i="15"/>
  <c r="BC763" i="15"/>
  <c r="BC764" i="15"/>
  <c r="BC765" i="15"/>
  <c r="BC766" i="15"/>
  <c r="BC767" i="15"/>
  <c r="BC768" i="15"/>
  <c r="BC769" i="15"/>
  <c r="BC770" i="15"/>
  <c r="BC771" i="15"/>
  <c r="BC772" i="15"/>
  <c r="BC773" i="15"/>
  <c r="BC774" i="15"/>
  <c r="BC775" i="15"/>
  <c r="BC776" i="15"/>
  <c r="BC777" i="15"/>
  <c r="BC778" i="15"/>
  <c r="BC779" i="15"/>
  <c r="BC780" i="15"/>
  <c r="BC781" i="15"/>
  <c r="BC782" i="15"/>
  <c r="BC783" i="15"/>
  <c r="BC784" i="15"/>
  <c r="BC785" i="15"/>
  <c r="BC786" i="15"/>
  <c r="BC787" i="15"/>
  <c r="BC788" i="15"/>
  <c r="BC789" i="15"/>
  <c r="BC790" i="15"/>
  <c r="BC791" i="15"/>
  <c r="BC792" i="15"/>
  <c r="BC793" i="15"/>
  <c r="BC794" i="15"/>
  <c r="BC795" i="15"/>
  <c r="BC796" i="15"/>
  <c r="BC797" i="15"/>
  <c r="BC798" i="15"/>
  <c r="BC799" i="15"/>
  <c r="BC800" i="15"/>
  <c r="BC801" i="15"/>
  <c r="BC802" i="15"/>
  <c r="BC803" i="15"/>
  <c r="BC804" i="15"/>
  <c r="BC805" i="15"/>
  <c r="BC806" i="15"/>
  <c r="BC807" i="15"/>
  <c r="BC808" i="15"/>
  <c r="BC809" i="15"/>
  <c r="BC810" i="15"/>
  <c r="BC811" i="15"/>
  <c r="BC812" i="15"/>
  <c r="BC813" i="15"/>
  <c r="BC814" i="15"/>
  <c r="BC815" i="15"/>
  <c r="BC816" i="15"/>
  <c r="BC817" i="15"/>
  <c r="BC818" i="15"/>
  <c r="BC819" i="15"/>
  <c r="BC820" i="15"/>
  <c r="BC821" i="15"/>
  <c r="BC822" i="15"/>
  <c r="BC823" i="15"/>
  <c r="BC824" i="15"/>
  <c r="BC825" i="15"/>
  <c r="BC826" i="15"/>
  <c r="BC827" i="15"/>
  <c r="BC828" i="15"/>
  <c r="BC829" i="15"/>
  <c r="BC830" i="15"/>
  <c r="BC831" i="15"/>
  <c r="BC832" i="15"/>
  <c r="BC833" i="15"/>
  <c r="BC834" i="15"/>
  <c r="BC835" i="15"/>
  <c r="BC836" i="15"/>
  <c r="BC837" i="15"/>
  <c r="BC838" i="15"/>
  <c r="BC839" i="15"/>
  <c r="BC840" i="15"/>
  <c r="BC841" i="15"/>
  <c r="BC842" i="15"/>
  <c r="BC843" i="15"/>
  <c r="BC844" i="15"/>
  <c r="BC845" i="15"/>
  <c r="BC846" i="15"/>
  <c r="BC847" i="15"/>
  <c r="BC848" i="15"/>
  <c r="BC849" i="15"/>
  <c r="BC850" i="15"/>
  <c r="BC851" i="15"/>
  <c r="BC852" i="15"/>
  <c r="BC853" i="15"/>
  <c r="BC854" i="15"/>
  <c r="BC855" i="15"/>
  <c r="BC856" i="15"/>
  <c r="BC857" i="15"/>
  <c r="BC858" i="15"/>
  <c r="BC859" i="15"/>
  <c r="BC860" i="15"/>
  <c r="BC861" i="15"/>
  <c r="BC862" i="15"/>
  <c r="BC863" i="15"/>
  <c r="BC864" i="15"/>
  <c r="BC865" i="15"/>
  <c r="BC866" i="15"/>
  <c r="BC867" i="15"/>
  <c r="BC868" i="15"/>
  <c r="BC869" i="15"/>
  <c r="BC870" i="15"/>
  <c r="BC871" i="15"/>
  <c r="BC872" i="15"/>
  <c r="BC873" i="15"/>
  <c r="BC874" i="15"/>
  <c r="BC875" i="15"/>
  <c r="BC876" i="15"/>
  <c r="BC877" i="15"/>
  <c r="BC878" i="15"/>
  <c r="BC879" i="15"/>
  <c r="BC880" i="15"/>
  <c r="BC881" i="15"/>
  <c r="BC882" i="15"/>
  <c r="BC883" i="15"/>
  <c r="BC884" i="15"/>
  <c r="BC885" i="15"/>
  <c r="BC886" i="15"/>
  <c r="BC887" i="15"/>
  <c r="BC888" i="15"/>
  <c r="BC889" i="15"/>
  <c r="BC890" i="15"/>
  <c r="BC891" i="15"/>
  <c r="BC892" i="15"/>
  <c r="BC893" i="15"/>
  <c r="BC894" i="15"/>
  <c r="BC895" i="15"/>
  <c r="BC896" i="15"/>
  <c r="BC897" i="15"/>
  <c r="BC898" i="15"/>
  <c r="BC899" i="15"/>
  <c r="BC900" i="15"/>
  <c r="BC901" i="15"/>
  <c r="BC902" i="15"/>
  <c r="BC903" i="15"/>
  <c r="BC904" i="15"/>
  <c r="BC905" i="15"/>
  <c r="BC906" i="15"/>
  <c r="BC907" i="15"/>
  <c r="BC908" i="15"/>
  <c r="BC909" i="15"/>
  <c r="BC910" i="15"/>
  <c r="BC911" i="15"/>
  <c r="BC912" i="15"/>
  <c r="BC913" i="15"/>
  <c r="BC914" i="15"/>
  <c r="BC915" i="15"/>
  <c r="BC916" i="15"/>
  <c r="BC917" i="15"/>
  <c r="BC918" i="15"/>
  <c r="BC919" i="15"/>
  <c r="BC920" i="15"/>
  <c r="BC921" i="15"/>
  <c r="BC922" i="15"/>
  <c r="BC923" i="15"/>
  <c r="BC924" i="15"/>
  <c r="BC925" i="15"/>
  <c r="BC926" i="15"/>
  <c r="BC927" i="15"/>
  <c r="BC928" i="15"/>
  <c r="BC929" i="15"/>
  <c r="BC930" i="15"/>
  <c r="BC931" i="15"/>
  <c r="BC932" i="15"/>
  <c r="BC933" i="15"/>
  <c r="BC934" i="15"/>
  <c r="BC935" i="15"/>
  <c r="BC936" i="15"/>
  <c r="BC937" i="15"/>
  <c r="BC938" i="15"/>
  <c r="BC939" i="15"/>
  <c r="BC940" i="15"/>
  <c r="BC941" i="15"/>
  <c r="BC942" i="15"/>
  <c r="BC943" i="15"/>
  <c r="BC944" i="15"/>
  <c r="BC945" i="15"/>
  <c r="BC946" i="15"/>
  <c r="BC947" i="15"/>
  <c r="BC948" i="15"/>
  <c r="BC949" i="15"/>
  <c r="BC950" i="15"/>
  <c r="BC951" i="15"/>
  <c r="BC952" i="15"/>
  <c r="BC953" i="15"/>
  <c r="BC954" i="15"/>
  <c r="BC955" i="15"/>
  <c r="BC956" i="15"/>
  <c r="BC957" i="15"/>
  <c r="BC958" i="15"/>
  <c r="BC959" i="15"/>
  <c r="BC960" i="15"/>
  <c r="BC961" i="15"/>
  <c r="BC962" i="15"/>
  <c r="BC963" i="15"/>
  <c r="BC964" i="15"/>
  <c r="BC965" i="15"/>
  <c r="BC966" i="15"/>
  <c r="BC967" i="15"/>
  <c r="BC968" i="15"/>
  <c r="BC969" i="15"/>
  <c r="BC970" i="15"/>
  <c r="BC971" i="15"/>
  <c r="BC972" i="15"/>
  <c r="BC973" i="15"/>
  <c r="BC974" i="15"/>
  <c r="BC975" i="15"/>
  <c r="BC976" i="15"/>
  <c r="BC977" i="15"/>
  <c r="BC978" i="15"/>
  <c r="BC979" i="15"/>
  <c r="BC980" i="15"/>
  <c r="BC981" i="15"/>
  <c r="BC982" i="15"/>
  <c r="BC983" i="15"/>
  <c r="BC984" i="15"/>
  <c r="BC985" i="15"/>
  <c r="BC986" i="15"/>
  <c r="BC987" i="15"/>
  <c r="BC988" i="15"/>
  <c r="BC989" i="15"/>
  <c r="BC990" i="15"/>
  <c r="BC991" i="15"/>
  <c r="BC992" i="15"/>
  <c r="BC993" i="15"/>
  <c r="BC994" i="15"/>
  <c r="BC995" i="15"/>
  <c r="BC996" i="15"/>
  <c r="BC997" i="15"/>
  <c r="BC998" i="15"/>
  <c r="BC999" i="15"/>
  <c r="BC1000" i="15"/>
  <c r="BC1001" i="15"/>
  <c r="BC1002" i="15"/>
  <c r="BC1003" i="15"/>
  <c r="BC1004" i="15"/>
  <c r="BC1005" i="15"/>
  <c r="BC1006" i="15"/>
  <c r="BC1007" i="15"/>
  <c r="BC1008" i="15"/>
  <c r="BC1009" i="15"/>
  <c r="BC1010" i="15"/>
  <c r="BC1011" i="15"/>
  <c r="BC1012" i="15"/>
  <c r="BC1013" i="15"/>
  <c r="BC1014" i="15"/>
  <c r="BC1015" i="15"/>
  <c r="BC1016" i="15"/>
  <c r="BC1017" i="15"/>
  <c r="BC1018" i="15"/>
  <c r="BC1019" i="15"/>
  <c r="BC1020" i="15"/>
  <c r="BC1021" i="15"/>
  <c r="BC1022" i="15"/>
  <c r="BC1023" i="15"/>
  <c r="BC1024" i="15"/>
  <c r="BC1025" i="15"/>
  <c r="BC1026" i="15"/>
  <c r="BC1027" i="15"/>
  <c r="BE27" i="15"/>
  <c r="BA150" i="15" l="1"/>
  <c r="AZ150" i="15"/>
  <c r="BB150" i="15" s="1"/>
  <c r="Y1011" i="15"/>
  <c r="X1011" i="15"/>
  <c r="Z1011" i="15" s="1"/>
  <c r="AS396" i="15"/>
  <c r="AR396" i="15"/>
  <c r="AT396" i="15" s="1"/>
  <c r="AW273" i="15"/>
  <c r="AV273" i="15"/>
  <c r="AX273" i="15" s="1"/>
  <c r="AG765" i="15"/>
  <c r="AF765" i="15"/>
  <c r="AH765" i="15" s="1"/>
  <c r="AC888" i="15"/>
  <c r="AB888" i="15"/>
  <c r="AD888" i="15" s="1"/>
  <c r="AO519" i="15"/>
  <c r="AN519" i="15"/>
  <c r="AP519" i="15" s="1"/>
  <c r="AK642" i="15"/>
  <c r="AJ642" i="15"/>
  <c r="AL642" i="15" s="1"/>
  <c r="BF27" i="15"/>
  <c r="AC889" i="15" l="1"/>
  <c r="AB889" i="15"/>
  <c r="AD889" i="15" s="1"/>
  <c r="AG766" i="15"/>
  <c r="AF766" i="15"/>
  <c r="AH766" i="15" s="1"/>
  <c r="AW274" i="15"/>
  <c r="AV274" i="15"/>
  <c r="AX274" i="15" s="1"/>
  <c r="Y1012" i="15"/>
  <c r="X1012" i="15"/>
  <c r="Z1012" i="15" s="1"/>
  <c r="BA151" i="15"/>
  <c r="AZ151" i="15"/>
  <c r="BB151" i="15" s="1"/>
  <c r="AK643" i="15"/>
  <c r="AJ643" i="15"/>
  <c r="AL643" i="15" s="1"/>
  <c r="AO520" i="15"/>
  <c r="AN520" i="15"/>
  <c r="AP520" i="15" s="1"/>
  <c r="AS397" i="15"/>
  <c r="AR397" i="15"/>
  <c r="AT397" i="15" s="1"/>
  <c r="BE28" i="15"/>
  <c r="BD28" i="15"/>
  <c r="BF28" i="15" s="1"/>
  <c r="BE29" i="15" l="1"/>
  <c r="BD29" i="15"/>
  <c r="BF29" i="15" s="1"/>
  <c r="AO521" i="15"/>
  <c r="AN521" i="15"/>
  <c r="AP521" i="15" s="1"/>
  <c r="AK644" i="15"/>
  <c r="AJ644" i="15"/>
  <c r="AL644" i="15" s="1"/>
  <c r="BA152" i="15"/>
  <c r="AZ152" i="15"/>
  <c r="BB152" i="15" s="1"/>
  <c r="Y1013" i="15"/>
  <c r="X1013" i="15"/>
  <c r="Z1013" i="15" s="1"/>
  <c r="AG767" i="15"/>
  <c r="AF767" i="15"/>
  <c r="AH767" i="15" s="1"/>
  <c r="AC890" i="15"/>
  <c r="AB890" i="15"/>
  <c r="AD890" i="15" s="1"/>
  <c r="AS398" i="15"/>
  <c r="AR398" i="15"/>
  <c r="AT398" i="15" s="1"/>
  <c r="AW275" i="15"/>
  <c r="AV275" i="15"/>
  <c r="AX275" i="15" s="1"/>
  <c r="AW276" i="15" l="1"/>
  <c r="AV276" i="15"/>
  <c r="AX276" i="15" s="1"/>
  <c r="AS399" i="15"/>
  <c r="AR399" i="15"/>
  <c r="AT399" i="15" s="1"/>
  <c r="AG768" i="15"/>
  <c r="AF768" i="15"/>
  <c r="AH768" i="15" s="1"/>
  <c r="Y1014" i="15"/>
  <c r="X1014" i="15"/>
  <c r="Z1014" i="15" s="1"/>
  <c r="BA153" i="15"/>
  <c r="AZ153" i="15"/>
  <c r="BB153" i="15" s="1"/>
  <c r="AO522" i="15"/>
  <c r="AN522" i="15"/>
  <c r="AP522" i="15" s="1"/>
  <c r="BE30" i="15"/>
  <c r="BD30" i="15"/>
  <c r="BF30" i="15" s="1"/>
  <c r="AC891" i="15"/>
  <c r="AB891" i="15"/>
  <c r="AD891" i="15" s="1"/>
  <c r="AK645" i="15"/>
  <c r="AJ645" i="15"/>
  <c r="AL645" i="15" s="1"/>
  <c r="AC892" i="15" l="1"/>
  <c r="AB892" i="15"/>
  <c r="AD892" i="15" s="1"/>
  <c r="AO523" i="15"/>
  <c r="AN523" i="15"/>
  <c r="AP523" i="15" s="1"/>
  <c r="Y1015" i="15"/>
  <c r="X1015" i="15"/>
  <c r="Z1015" i="15" s="1"/>
  <c r="AG769" i="15"/>
  <c r="AF769" i="15"/>
  <c r="AH769" i="15" s="1"/>
  <c r="AW277" i="15"/>
  <c r="AV277" i="15"/>
  <c r="AX277" i="15" s="1"/>
  <c r="AK646" i="15"/>
  <c r="AJ646" i="15"/>
  <c r="AL646" i="15" s="1"/>
  <c r="BE31" i="15"/>
  <c r="BD31" i="15"/>
  <c r="BF31" i="15" s="1"/>
  <c r="BA154" i="15"/>
  <c r="AZ154" i="15"/>
  <c r="BB154" i="15" s="1"/>
  <c r="AS400" i="15"/>
  <c r="AR400" i="15"/>
  <c r="AT400" i="15" s="1"/>
  <c r="BA155" i="15" l="1"/>
  <c r="AZ155" i="15"/>
  <c r="BB155" i="15" s="1"/>
  <c r="BE32" i="15"/>
  <c r="BD32" i="15"/>
  <c r="BF32" i="15" s="1"/>
  <c r="AW278" i="15"/>
  <c r="AV278" i="15"/>
  <c r="AX278" i="15" s="1"/>
  <c r="Y1016" i="15"/>
  <c r="X1016" i="15"/>
  <c r="Z1016" i="15" s="1"/>
  <c r="AC893" i="15"/>
  <c r="AB893" i="15"/>
  <c r="AD893" i="15" s="1"/>
  <c r="AS401" i="15"/>
  <c r="AR401" i="15"/>
  <c r="AT401" i="15" s="1"/>
  <c r="AK647" i="15"/>
  <c r="AJ647" i="15"/>
  <c r="AL647" i="15" s="1"/>
  <c r="AG770" i="15"/>
  <c r="AF770" i="15"/>
  <c r="AH770" i="15" s="1"/>
  <c r="AO524" i="15"/>
  <c r="AN524" i="15"/>
  <c r="AP524" i="15" s="1"/>
  <c r="AO525" i="15" l="1"/>
  <c r="AN525" i="15"/>
  <c r="AP525" i="15" s="1"/>
  <c r="AG771" i="15"/>
  <c r="AF771" i="15"/>
  <c r="AH771" i="15" s="1"/>
  <c r="AS402" i="15"/>
  <c r="AR402" i="15"/>
  <c r="AT402" i="15" s="1"/>
  <c r="AC894" i="15"/>
  <c r="AB894" i="15"/>
  <c r="AD894" i="15" s="1"/>
  <c r="Y1017" i="15"/>
  <c r="X1017" i="15"/>
  <c r="Z1017" i="15" s="1"/>
  <c r="BE33" i="15"/>
  <c r="BD33" i="15"/>
  <c r="BF33" i="15" s="1"/>
  <c r="BA156" i="15"/>
  <c r="AZ156" i="15"/>
  <c r="BB156" i="15" s="1"/>
  <c r="AK648" i="15"/>
  <c r="AJ648" i="15"/>
  <c r="AL648" i="15" s="1"/>
  <c r="AW279" i="15"/>
  <c r="AV279" i="15"/>
  <c r="AX279" i="15" s="1"/>
  <c r="BE34" i="15" l="1"/>
  <c r="BD34" i="15"/>
  <c r="BF34" i="15" s="1"/>
  <c r="Y1018" i="15"/>
  <c r="X1018" i="15"/>
  <c r="Z1018" i="15" s="1"/>
  <c r="AC895" i="15"/>
  <c r="AB895" i="15"/>
  <c r="AD895" i="15" s="1"/>
  <c r="AG772" i="15"/>
  <c r="AF772" i="15"/>
  <c r="AH772" i="15" s="1"/>
  <c r="AO526" i="15"/>
  <c r="AN526" i="15"/>
  <c r="AP526" i="15" s="1"/>
  <c r="AW280" i="15"/>
  <c r="AV280" i="15"/>
  <c r="AX280" i="15" s="1"/>
  <c r="AK649" i="15"/>
  <c r="AJ649" i="15"/>
  <c r="AL649" i="15" s="1"/>
  <c r="BA157" i="15"/>
  <c r="AZ157" i="15"/>
  <c r="BB157" i="15" s="1"/>
  <c r="AS403" i="15"/>
  <c r="AR403" i="15"/>
  <c r="AT403" i="15" s="1"/>
  <c r="BA158" i="15" l="1"/>
  <c r="AZ158" i="15"/>
  <c r="BB158" i="15" s="1"/>
  <c r="AW281" i="15"/>
  <c r="AV281" i="15"/>
  <c r="AX281" i="15" s="1"/>
  <c r="AG773" i="15"/>
  <c r="AF773" i="15"/>
  <c r="AH773" i="15" s="1"/>
  <c r="AC896" i="15"/>
  <c r="AB896" i="15"/>
  <c r="AD896" i="15" s="1"/>
  <c r="BE35" i="15"/>
  <c r="BD35" i="15"/>
  <c r="BF35" i="15" s="1"/>
  <c r="AS404" i="15"/>
  <c r="AR404" i="15"/>
  <c r="AT404" i="15" s="1"/>
  <c r="AK650" i="15"/>
  <c r="AJ650" i="15"/>
  <c r="AL650" i="15" s="1"/>
  <c r="AO527" i="15"/>
  <c r="AN527" i="15"/>
  <c r="AP527" i="15" s="1"/>
  <c r="Y1019" i="15"/>
  <c r="X1019" i="15"/>
  <c r="Z1019" i="15" s="1"/>
  <c r="AO528" i="15" l="1"/>
  <c r="AN528" i="15"/>
  <c r="AP528" i="15" s="1"/>
  <c r="AS405" i="15"/>
  <c r="AR405" i="15"/>
  <c r="AT405" i="15" s="1"/>
  <c r="BE36" i="15"/>
  <c r="BD36" i="15"/>
  <c r="BF36" i="15" s="1"/>
  <c r="AG774" i="15"/>
  <c r="AF774" i="15"/>
  <c r="AH774" i="15" s="1"/>
  <c r="BA159" i="15"/>
  <c r="AZ159" i="15"/>
  <c r="BB159" i="15" s="1"/>
  <c r="Y1020" i="15"/>
  <c r="X1020" i="15"/>
  <c r="Z1020" i="15" s="1"/>
  <c r="AK651" i="15"/>
  <c r="AJ651" i="15"/>
  <c r="AL651" i="15" s="1"/>
  <c r="AC897" i="15"/>
  <c r="AB897" i="15"/>
  <c r="AD897" i="15" s="1"/>
  <c r="AW282" i="15"/>
  <c r="AV282" i="15"/>
  <c r="AX282" i="15" s="1"/>
  <c r="AW283" i="15" l="1"/>
  <c r="AV283" i="15"/>
  <c r="AX283" i="15" s="1"/>
  <c r="AK652" i="15"/>
  <c r="AJ652" i="15"/>
  <c r="AL652" i="15" s="1"/>
  <c r="Y1021" i="15"/>
  <c r="X1021" i="15"/>
  <c r="Z1021" i="15" s="1"/>
  <c r="BA160" i="15"/>
  <c r="AZ160" i="15"/>
  <c r="BB160" i="15" s="1"/>
  <c r="AG775" i="15"/>
  <c r="AF775" i="15"/>
  <c r="AH775" i="15" s="1"/>
  <c r="AS406" i="15"/>
  <c r="AR406" i="15"/>
  <c r="AT406" i="15" s="1"/>
  <c r="AO529" i="15"/>
  <c r="AN529" i="15"/>
  <c r="AP529" i="15" s="1"/>
  <c r="AC898" i="15"/>
  <c r="AB898" i="15"/>
  <c r="AD898" i="15" s="1"/>
  <c r="BE37" i="15"/>
  <c r="BD37" i="15"/>
  <c r="BF37" i="15" s="1"/>
  <c r="BE38" i="15" l="1"/>
  <c r="BD38" i="15"/>
  <c r="BF38" i="15" s="1"/>
  <c r="AC899" i="15"/>
  <c r="AB899" i="15"/>
  <c r="AD899" i="15" s="1"/>
  <c r="AS407" i="15"/>
  <c r="AR407" i="15"/>
  <c r="AT407" i="15" s="1"/>
  <c r="AG776" i="15"/>
  <c r="AF776" i="15"/>
  <c r="AH776" i="15" s="1"/>
  <c r="BA161" i="15"/>
  <c r="AZ161" i="15"/>
  <c r="BB161" i="15" s="1"/>
  <c r="AK653" i="15"/>
  <c r="AJ653" i="15"/>
  <c r="AL653" i="15" s="1"/>
  <c r="AW284" i="15"/>
  <c r="AV284" i="15"/>
  <c r="AX284" i="15" s="1"/>
  <c r="AO530" i="15"/>
  <c r="AN530" i="15"/>
  <c r="AP530" i="15" s="1"/>
  <c r="Y1022" i="15"/>
  <c r="X1022" i="15"/>
  <c r="Z1022" i="15" s="1"/>
  <c r="Y1023" i="15" l="1"/>
  <c r="X1023" i="15"/>
  <c r="Z1023" i="15" s="1"/>
  <c r="AW285" i="15"/>
  <c r="AV285" i="15"/>
  <c r="AX285" i="15" s="1"/>
  <c r="AK654" i="15"/>
  <c r="AJ654" i="15"/>
  <c r="AL654" i="15" s="1"/>
  <c r="AG777" i="15"/>
  <c r="AF777" i="15"/>
  <c r="AH777" i="15" s="1"/>
  <c r="AS408" i="15"/>
  <c r="AR408" i="15"/>
  <c r="AT408" i="15" s="1"/>
  <c r="BE39" i="15"/>
  <c r="BD39" i="15"/>
  <c r="BF39" i="15" s="1"/>
  <c r="AO531" i="15"/>
  <c r="AN531" i="15"/>
  <c r="AP531" i="15" s="1"/>
  <c r="BA162" i="15"/>
  <c r="AZ162" i="15"/>
  <c r="BB162" i="15" s="1"/>
  <c r="AC900" i="15"/>
  <c r="AB900" i="15"/>
  <c r="AD900" i="15" s="1"/>
  <c r="AC901" i="15" l="1"/>
  <c r="AB901" i="15"/>
  <c r="AD901" i="15" s="1"/>
  <c r="BA163" i="15"/>
  <c r="AZ163" i="15"/>
  <c r="BB163" i="15" s="1"/>
  <c r="AO532" i="15"/>
  <c r="AN532" i="15"/>
  <c r="AP532" i="15" s="1"/>
  <c r="BE40" i="15"/>
  <c r="BD40" i="15"/>
  <c r="BF40" i="15" s="1"/>
  <c r="AS409" i="15"/>
  <c r="AR409" i="15"/>
  <c r="AT409" i="15" s="1"/>
  <c r="AG778" i="15"/>
  <c r="AF778" i="15"/>
  <c r="AH778" i="15" s="1"/>
  <c r="AK655" i="15"/>
  <c r="AJ655" i="15"/>
  <c r="AL655" i="15" s="1"/>
  <c r="AW286" i="15"/>
  <c r="AV286" i="15"/>
  <c r="AX286" i="15" s="1"/>
  <c r="Y1024" i="15"/>
  <c r="X1024" i="15"/>
  <c r="Z1024" i="15" s="1"/>
  <c r="Y1025" i="15" l="1"/>
  <c r="X1025" i="15"/>
  <c r="Z1025" i="15" s="1"/>
  <c r="AK656" i="15"/>
  <c r="AJ656" i="15"/>
  <c r="AL656" i="15" s="1"/>
  <c r="AG779" i="15"/>
  <c r="AF779" i="15"/>
  <c r="AH779" i="15" s="1"/>
  <c r="AS410" i="15"/>
  <c r="AR410" i="15"/>
  <c r="AT410" i="15" s="1"/>
  <c r="BE41" i="15"/>
  <c r="BD41" i="15"/>
  <c r="BF41" i="15" s="1"/>
  <c r="BA164" i="15"/>
  <c r="AZ164" i="15"/>
  <c r="BB164" i="15" s="1"/>
  <c r="AC902" i="15"/>
  <c r="AB902" i="15"/>
  <c r="AD902" i="15" s="1"/>
  <c r="AW287" i="15"/>
  <c r="AV287" i="15"/>
  <c r="AX287" i="15" s="1"/>
  <c r="AO533" i="15"/>
  <c r="AN533" i="15"/>
  <c r="AP533" i="15" s="1"/>
  <c r="AW288" i="15" l="1"/>
  <c r="AV288" i="15"/>
  <c r="AX288" i="15" s="1"/>
  <c r="BA165" i="15"/>
  <c r="AZ165" i="15"/>
  <c r="BB165" i="15" s="1"/>
  <c r="BE42" i="15"/>
  <c r="BD42" i="15"/>
  <c r="BF42" i="15" s="1"/>
  <c r="AS411" i="15"/>
  <c r="AR411" i="15"/>
  <c r="AT411" i="15" s="1"/>
  <c r="AG780" i="15"/>
  <c r="AF780" i="15"/>
  <c r="AH780" i="15" s="1"/>
  <c r="Y1026" i="15"/>
  <c r="X1026" i="15"/>
  <c r="Z1026" i="15" s="1"/>
  <c r="AO534" i="15"/>
  <c r="AN534" i="15"/>
  <c r="AP534" i="15" s="1"/>
  <c r="AC903" i="15"/>
  <c r="AB903" i="15"/>
  <c r="AD903" i="15" s="1"/>
  <c r="AK657" i="15"/>
  <c r="AJ657" i="15"/>
  <c r="AL657" i="15" s="1"/>
  <c r="AC904" i="15" l="1"/>
  <c r="AB904" i="15"/>
  <c r="AD904" i="15" s="1"/>
  <c r="AO535" i="15"/>
  <c r="AN535" i="15"/>
  <c r="AP535" i="15" s="1"/>
  <c r="AG781" i="15"/>
  <c r="AF781" i="15"/>
  <c r="AH781" i="15" s="1"/>
  <c r="AS412" i="15"/>
  <c r="AR412" i="15"/>
  <c r="AT412" i="15" s="1"/>
  <c r="BE43" i="15"/>
  <c r="BD43" i="15"/>
  <c r="BF43" i="15" s="1"/>
  <c r="AW289" i="15"/>
  <c r="AV289" i="15"/>
  <c r="AX289" i="15" s="1"/>
  <c r="AK658" i="15"/>
  <c r="AJ658" i="15"/>
  <c r="AL658" i="15" s="1"/>
  <c r="Y1027" i="15"/>
  <c r="X1027" i="15"/>
  <c r="Z1027" i="15" s="1"/>
  <c r="BA166" i="15"/>
  <c r="AZ166" i="15"/>
  <c r="BB166" i="15" s="1"/>
  <c r="BA167" i="15" l="1"/>
  <c r="AZ167" i="15"/>
  <c r="BB167" i="15" s="1"/>
  <c r="AK659" i="15"/>
  <c r="AJ659" i="15"/>
  <c r="AL659" i="15" s="1"/>
  <c r="AW290" i="15"/>
  <c r="AV290" i="15"/>
  <c r="AX290" i="15" s="1"/>
  <c r="BE44" i="15"/>
  <c r="BD44" i="15"/>
  <c r="BF44" i="15" s="1"/>
  <c r="AS413" i="15"/>
  <c r="AR413" i="15"/>
  <c r="AT413" i="15" s="1"/>
  <c r="AO536" i="15"/>
  <c r="AN536" i="15"/>
  <c r="AP536" i="15" s="1"/>
  <c r="AC905" i="15"/>
  <c r="AB905" i="15"/>
  <c r="AD905" i="15" s="1"/>
  <c r="AG782" i="15"/>
  <c r="AF782" i="15"/>
  <c r="AH782" i="15" s="1"/>
  <c r="AC906" i="15" l="1"/>
  <c r="AB906" i="15"/>
  <c r="AD906" i="15" s="1"/>
  <c r="AO537" i="15"/>
  <c r="AN537" i="15"/>
  <c r="AP537" i="15" s="1"/>
  <c r="AS414" i="15"/>
  <c r="AR414" i="15"/>
  <c r="AT414" i="15" s="1"/>
  <c r="BE45" i="15"/>
  <c r="BD45" i="15"/>
  <c r="BF45" i="15" s="1"/>
  <c r="AW291" i="15"/>
  <c r="AV291" i="15"/>
  <c r="AX291" i="15" s="1"/>
  <c r="BA168" i="15"/>
  <c r="AZ168" i="15"/>
  <c r="BB168" i="15" s="1"/>
  <c r="AG783" i="15"/>
  <c r="AF783" i="15"/>
  <c r="AH783" i="15" s="1"/>
  <c r="AK660" i="15"/>
  <c r="AJ660" i="15"/>
  <c r="AL660" i="15" s="1"/>
  <c r="AG784" i="15" l="1"/>
  <c r="AF784" i="15"/>
  <c r="AH784" i="15" s="1"/>
  <c r="AW292" i="15"/>
  <c r="AV292" i="15"/>
  <c r="AX292" i="15" s="1"/>
  <c r="AS415" i="15"/>
  <c r="AR415" i="15"/>
  <c r="AT415" i="15" s="1"/>
  <c r="AC907" i="15"/>
  <c r="AB907" i="15"/>
  <c r="AD907" i="15" s="1"/>
  <c r="AK661" i="15"/>
  <c r="AJ661" i="15"/>
  <c r="AL661" i="15" s="1"/>
  <c r="BA169" i="15"/>
  <c r="AZ169" i="15"/>
  <c r="BB169" i="15" s="1"/>
  <c r="BE46" i="15"/>
  <c r="BD46" i="15"/>
  <c r="BF46" i="15" s="1"/>
  <c r="AO538" i="15"/>
  <c r="AN538" i="15"/>
  <c r="AP538" i="15" s="1"/>
  <c r="BE47" i="15" l="1"/>
  <c r="BD47" i="15"/>
  <c r="BF47" i="15" s="1"/>
  <c r="BA170" i="15"/>
  <c r="AZ170" i="15"/>
  <c r="BB170" i="15" s="1"/>
  <c r="AC908" i="15"/>
  <c r="AB908" i="15"/>
  <c r="AD908" i="15" s="1"/>
  <c r="AS416" i="15"/>
  <c r="AR416" i="15"/>
  <c r="AT416" i="15" s="1"/>
  <c r="AG785" i="15"/>
  <c r="AF785" i="15"/>
  <c r="AH785" i="15" s="1"/>
  <c r="AO539" i="15"/>
  <c r="AN539" i="15"/>
  <c r="AP539" i="15" s="1"/>
  <c r="AK662" i="15"/>
  <c r="AJ662" i="15"/>
  <c r="AL662" i="15" s="1"/>
  <c r="AW293" i="15"/>
  <c r="AV293" i="15"/>
  <c r="AX293" i="15" s="1"/>
  <c r="AW294" i="15" l="1"/>
  <c r="AV294" i="15"/>
  <c r="AX294" i="15" s="1"/>
  <c r="AO540" i="15"/>
  <c r="AN540" i="15"/>
  <c r="AP540" i="15" s="1"/>
  <c r="AG786" i="15"/>
  <c r="AF786" i="15"/>
  <c r="AH786" i="15" s="1"/>
  <c r="AC909" i="15"/>
  <c r="AB909" i="15"/>
  <c r="AD909" i="15" s="1"/>
  <c r="BE48" i="15"/>
  <c r="BD48" i="15"/>
  <c r="BF48" i="15" s="1"/>
  <c r="AK663" i="15"/>
  <c r="AJ663" i="15"/>
  <c r="AL663" i="15" s="1"/>
  <c r="AS417" i="15"/>
  <c r="AR417" i="15"/>
  <c r="AT417" i="15" s="1"/>
  <c r="BA171" i="15"/>
  <c r="AZ171" i="15"/>
  <c r="BB171" i="15" s="1"/>
  <c r="BA172" i="15" l="1"/>
  <c r="AZ172" i="15"/>
  <c r="BB172" i="15" s="1"/>
  <c r="AK664" i="15"/>
  <c r="AJ664" i="15"/>
  <c r="AL664" i="15" s="1"/>
  <c r="AC910" i="15"/>
  <c r="AB910" i="15"/>
  <c r="AD910" i="15" s="1"/>
  <c r="AG787" i="15"/>
  <c r="AF787" i="15"/>
  <c r="AH787" i="15" s="1"/>
  <c r="AW295" i="15"/>
  <c r="AV295" i="15"/>
  <c r="AX295" i="15" s="1"/>
  <c r="AS418" i="15"/>
  <c r="AR418" i="15"/>
  <c r="AT418" i="15" s="1"/>
  <c r="BE49" i="15"/>
  <c r="BD49" i="15"/>
  <c r="BF49" i="15" s="1"/>
  <c r="AO541" i="15"/>
  <c r="AN541" i="15"/>
  <c r="AP541" i="15" s="1"/>
  <c r="AS419" i="15" l="1"/>
  <c r="AR419" i="15"/>
  <c r="AT419" i="15" s="1"/>
  <c r="AW296" i="15"/>
  <c r="AV296" i="15"/>
  <c r="AX296" i="15" s="1"/>
  <c r="AC911" i="15"/>
  <c r="AB911" i="15"/>
  <c r="AD911" i="15" s="1"/>
  <c r="BA173" i="15"/>
  <c r="AZ173" i="15"/>
  <c r="BB173" i="15" s="1"/>
  <c r="AO542" i="15"/>
  <c r="AN542" i="15"/>
  <c r="AP542" i="15" s="1"/>
  <c r="BE50" i="15"/>
  <c r="BD50" i="15"/>
  <c r="BF50" i="15" s="1"/>
  <c r="AG788" i="15"/>
  <c r="AF788" i="15"/>
  <c r="AH788" i="15" s="1"/>
  <c r="AK665" i="15"/>
  <c r="AJ665" i="15"/>
  <c r="AL665" i="15" s="1"/>
  <c r="AK666" i="15" l="1"/>
  <c r="AJ666" i="15"/>
  <c r="AL666" i="15" s="1"/>
  <c r="BE51" i="15"/>
  <c r="BD51" i="15"/>
  <c r="BF51" i="15" s="1"/>
  <c r="BA174" i="15"/>
  <c r="AZ174" i="15"/>
  <c r="BB174" i="15" s="1"/>
  <c r="AC912" i="15"/>
  <c r="AB912" i="15"/>
  <c r="AD912" i="15" s="1"/>
  <c r="AS420" i="15"/>
  <c r="AR420" i="15"/>
  <c r="AT420" i="15" s="1"/>
  <c r="AG789" i="15"/>
  <c r="AF789" i="15"/>
  <c r="AH789" i="15" s="1"/>
  <c r="AO543" i="15"/>
  <c r="AN543" i="15"/>
  <c r="AP543" i="15" s="1"/>
  <c r="AW297" i="15"/>
  <c r="AV297" i="15"/>
  <c r="AX297" i="15" s="1"/>
  <c r="AO544" i="15" l="1"/>
  <c r="AN544" i="15"/>
  <c r="AP544" i="15" s="1"/>
  <c r="AS421" i="15"/>
  <c r="AR421" i="15"/>
  <c r="AT421" i="15" s="1"/>
  <c r="AK667" i="15"/>
  <c r="AJ667" i="15"/>
  <c r="AL667" i="15" s="1"/>
  <c r="AW298" i="15"/>
  <c r="AV298" i="15"/>
  <c r="AX298" i="15" s="1"/>
  <c r="AG790" i="15"/>
  <c r="AF790" i="15"/>
  <c r="AH790" i="15" s="1"/>
  <c r="AC913" i="15"/>
  <c r="AB913" i="15"/>
  <c r="AD913" i="15" s="1"/>
  <c r="BA175" i="15"/>
  <c r="AZ175" i="15"/>
  <c r="BB175" i="15" s="1"/>
  <c r="BE52" i="15"/>
  <c r="BD52" i="15"/>
  <c r="BF52" i="15" s="1"/>
  <c r="AC914" i="15" l="1"/>
  <c r="AB914" i="15"/>
  <c r="AD914" i="15" s="1"/>
  <c r="AG791" i="15"/>
  <c r="AF791" i="15"/>
  <c r="AH791" i="15" s="1"/>
  <c r="AK668" i="15"/>
  <c r="AJ668" i="15"/>
  <c r="AL668" i="15" s="1"/>
  <c r="AO545" i="15"/>
  <c r="AN545" i="15"/>
  <c r="AP545" i="15" s="1"/>
  <c r="BE53" i="15"/>
  <c r="BD53" i="15"/>
  <c r="BF53" i="15" s="1"/>
  <c r="BA176" i="15"/>
  <c r="AZ176" i="15"/>
  <c r="BB176" i="15" s="1"/>
  <c r="AW299" i="15"/>
  <c r="AV299" i="15"/>
  <c r="AX299" i="15" s="1"/>
  <c r="AS422" i="15"/>
  <c r="AR422" i="15"/>
  <c r="AT422" i="15" s="1"/>
  <c r="AS423" i="15" l="1"/>
  <c r="AR423" i="15"/>
  <c r="AT423" i="15" s="1"/>
  <c r="BA177" i="15"/>
  <c r="AZ177" i="15"/>
  <c r="BB177" i="15" s="1"/>
  <c r="BE54" i="15"/>
  <c r="BD54" i="15"/>
  <c r="BF54" i="15" s="1"/>
  <c r="AK669" i="15"/>
  <c r="AJ669" i="15"/>
  <c r="AL669" i="15" s="1"/>
  <c r="AC915" i="15"/>
  <c r="AB915" i="15"/>
  <c r="AD915" i="15" s="1"/>
  <c r="AW300" i="15"/>
  <c r="AV300" i="15"/>
  <c r="AX300" i="15" s="1"/>
  <c r="AO546" i="15"/>
  <c r="AN546" i="15"/>
  <c r="AP546" i="15" s="1"/>
  <c r="AG792" i="15"/>
  <c r="AF792" i="15"/>
  <c r="AH792" i="15" s="1"/>
  <c r="AG793" i="15" l="1"/>
  <c r="AF793" i="15"/>
  <c r="AH793" i="15" s="1"/>
  <c r="AW301" i="15"/>
  <c r="AV301" i="15"/>
  <c r="AX301" i="15" s="1"/>
  <c r="AK670" i="15"/>
  <c r="AJ670" i="15"/>
  <c r="AL670" i="15" s="1"/>
  <c r="BE55" i="15"/>
  <c r="BD55" i="15"/>
  <c r="BF55" i="15" s="1"/>
  <c r="AS424" i="15"/>
  <c r="AR424" i="15"/>
  <c r="AT424" i="15" s="1"/>
  <c r="AO547" i="15"/>
  <c r="AN547" i="15"/>
  <c r="AP547" i="15" s="1"/>
  <c r="AC916" i="15"/>
  <c r="AB916" i="15"/>
  <c r="AD916" i="15" s="1"/>
  <c r="BA178" i="15"/>
  <c r="AZ178" i="15"/>
  <c r="BB178" i="15" s="1"/>
  <c r="AC917" i="15" l="1"/>
  <c r="AB917" i="15"/>
  <c r="AD917" i="15" s="1"/>
  <c r="AS425" i="15"/>
  <c r="AR425" i="15"/>
  <c r="AT425" i="15" s="1"/>
  <c r="AK671" i="15"/>
  <c r="AJ671" i="15"/>
  <c r="AL671" i="15" s="1"/>
  <c r="AG794" i="15"/>
  <c r="AF794" i="15"/>
  <c r="AH794" i="15" s="1"/>
  <c r="BA179" i="15"/>
  <c r="AZ179" i="15"/>
  <c r="BB179" i="15" s="1"/>
  <c r="AO548" i="15"/>
  <c r="AN548" i="15"/>
  <c r="AP548" i="15" s="1"/>
  <c r="BE56" i="15"/>
  <c r="BD56" i="15"/>
  <c r="BF56" i="15" s="1"/>
  <c r="AW302" i="15"/>
  <c r="AV302" i="15"/>
  <c r="AX302" i="15" s="1"/>
  <c r="BE57" i="15" l="1"/>
  <c r="BD57" i="15"/>
  <c r="BF57" i="15" s="1"/>
  <c r="AO549" i="15"/>
  <c r="AN549" i="15"/>
  <c r="AP549" i="15" s="1"/>
  <c r="AG795" i="15"/>
  <c r="AF795" i="15"/>
  <c r="AH795" i="15" s="1"/>
  <c r="AK672" i="15"/>
  <c r="AJ672" i="15"/>
  <c r="AL672" i="15" s="1"/>
  <c r="AC918" i="15"/>
  <c r="AB918" i="15"/>
  <c r="AD918" i="15" s="1"/>
  <c r="AW303" i="15"/>
  <c r="AV303" i="15"/>
  <c r="AX303" i="15" s="1"/>
  <c r="BA180" i="15"/>
  <c r="AZ180" i="15"/>
  <c r="BB180" i="15" s="1"/>
  <c r="AS426" i="15"/>
  <c r="AR426" i="15"/>
  <c r="AT426" i="15" s="1"/>
  <c r="AS427" i="15" l="1"/>
  <c r="AR427" i="15"/>
  <c r="AT427" i="15" s="1"/>
  <c r="AW304" i="15"/>
  <c r="AV304" i="15"/>
  <c r="AX304" i="15" s="1"/>
  <c r="AC919" i="15"/>
  <c r="AB919" i="15"/>
  <c r="AD919" i="15" s="1"/>
  <c r="AK673" i="15"/>
  <c r="AJ673" i="15"/>
  <c r="AL673" i="15" s="1"/>
  <c r="AG796" i="15"/>
  <c r="AF796" i="15"/>
  <c r="AH796" i="15" s="1"/>
  <c r="BE58" i="15"/>
  <c r="BD58" i="15"/>
  <c r="BF58" i="15" s="1"/>
  <c r="BA181" i="15"/>
  <c r="AZ181" i="15"/>
  <c r="BB181" i="15" s="1"/>
  <c r="AO550" i="15"/>
  <c r="AN550" i="15"/>
  <c r="AP550" i="15" s="1"/>
  <c r="AO551" i="15" l="1"/>
  <c r="AN551" i="15"/>
  <c r="AP551" i="15" s="1"/>
  <c r="BA182" i="15"/>
  <c r="AZ182" i="15"/>
  <c r="BB182" i="15" s="1"/>
  <c r="AG797" i="15"/>
  <c r="AF797" i="15"/>
  <c r="AH797" i="15" s="1"/>
  <c r="AK674" i="15"/>
  <c r="AJ674" i="15"/>
  <c r="AL674" i="15" s="1"/>
  <c r="AW305" i="15"/>
  <c r="AV305" i="15"/>
  <c r="AX305" i="15" s="1"/>
  <c r="AS428" i="15"/>
  <c r="AR428" i="15"/>
  <c r="AT428" i="15" s="1"/>
  <c r="BE59" i="15"/>
  <c r="BD59" i="15"/>
  <c r="BF59" i="15" s="1"/>
  <c r="AC920" i="15"/>
  <c r="AB920" i="15"/>
  <c r="AD920" i="15" s="1"/>
  <c r="AW306" i="15" l="1"/>
  <c r="AV306" i="15"/>
  <c r="AX306" i="15" s="1"/>
  <c r="AG798" i="15"/>
  <c r="AF798" i="15"/>
  <c r="AH798" i="15" s="1"/>
  <c r="AO552" i="15"/>
  <c r="AN552" i="15"/>
  <c r="AP552" i="15" s="1"/>
  <c r="AC921" i="15"/>
  <c r="AB921" i="15"/>
  <c r="AD921" i="15" s="1"/>
  <c r="BE60" i="15"/>
  <c r="BD60" i="15"/>
  <c r="BF60" i="15" s="1"/>
  <c r="AS429" i="15"/>
  <c r="AR429" i="15"/>
  <c r="AT429" i="15" s="1"/>
  <c r="AK675" i="15"/>
  <c r="AJ675" i="15"/>
  <c r="AL675" i="15" s="1"/>
  <c r="BA183" i="15"/>
  <c r="AZ183" i="15"/>
  <c r="BB183" i="15" s="1"/>
  <c r="BA184" i="15" l="1"/>
  <c r="AZ184" i="15"/>
  <c r="BB184" i="15" s="1"/>
  <c r="AS430" i="15"/>
  <c r="AR430" i="15"/>
  <c r="AT430" i="15" s="1"/>
  <c r="BE61" i="15"/>
  <c r="BD61" i="15"/>
  <c r="BF61" i="15" s="1"/>
  <c r="AC922" i="15"/>
  <c r="AB922" i="15"/>
  <c r="AD922" i="15" s="1"/>
  <c r="AO553" i="15"/>
  <c r="AN553" i="15"/>
  <c r="AP553" i="15" s="1"/>
  <c r="AW307" i="15"/>
  <c r="AV307" i="15"/>
  <c r="AX307" i="15" s="1"/>
  <c r="AK676" i="15"/>
  <c r="AJ676" i="15"/>
  <c r="AL676" i="15" s="1"/>
  <c r="AG799" i="15"/>
  <c r="AF799" i="15"/>
  <c r="AH799" i="15" s="1"/>
  <c r="AG800" i="15" l="1"/>
  <c r="AF800" i="15"/>
  <c r="AH800" i="15" s="1"/>
  <c r="AW308" i="15"/>
  <c r="AV308" i="15"/>
  <c r="AX308" i="15" s="1"/>
  <c r="AO554" i="15"/>
  <c r="AN554" i="15"/>
  <c r="AP554" i="15" s="1"/>
  <c r="AC923" i="15"/>
  <c r="AB923" i="15"/>
  <c r="AD923" i="15" s="1"/>
  <c r="AS431" i="15"/>
  <c r="AR431" i="15"/>
  <c r="AT431" i="15" s="1"/>
  <c r="BA185" i="15"/>
  <c r="AZ185" i="15"/>
  <c r="BB185" i="15" s="1"/>
  <c r="AK677" i="15"/>
  <c r="AJ677" i="15"/>
  <c r="AL677" i="15" s="1"/>
  <c r="BE62" i="15"/>
  <c r="BD62" i="15"/>
  <c r="BF62" i="15" s="1"/>
  <c r="BE63" i="15" l="1"/>
  <c r="BD63" i="15"/>
  <c r="BF63" i="15" s="1"/>
  <c r="BA186" i="15"/>
  <c r="AZ186" i="15"/>
  <c r="BB186" i="15" s="1"/>
  <c r="AC924" i="15"/>
  <c r="AB924" i="15"/>
  <c r="AD924" i="15" s="1"/>
  <c r="AO555" i="15"/>
  <c r="AN555" i="15"/>
  <c r="AP555" i="15" s="1"/>
  <c r="AG801" i="15"/>
  <c r="AF801" i="15"/>
  <c r="AH801" i="15" s="1"/>
  <c r="AK678" i="15"/>
  <c r="AJ678" i="15"/>
  <c r="AL678" i="15" s="1"/>
  <c r="AS432" i="15"/>
  <c r="AR432" i="15"/>
  <c r="AT432" i="15" s="1"/>
  <c r="AW309" i="15"/>
  <c r="AV309" i="15"/>
  <c r="AX309" i="15" s="1"/>
  <c r="AS433" i="15" l="1"/>
  <c r="AR433" i="15"/>
  <c r="AT433" i="15" s="1"/>
  <c r="AG802" i="15"/>
  <c r="AF802" i="15"/>
  <c r="AH802" i="15" s="1"/>
  <c r="AC925" i="15"/>
  <c r="AB925" i="15"/>
  <c r="AD925" i="15" s="1"/>
  <c r="BE64" i="15"/>
  <c r="BD64" i="15"/>
  <c r="BF64" i="15" s="1"/>
  <c r="AW310" i="15"/>
  <c r="AV310" i="15"/>
  <c r="AX310" i="15" s="1"/>
  <c r="AK679" i="15"/>
  <c r="AJ679" i="15"/>
  <c r="AL679" i="15" s="1"/>
  <c r="AO556" i="15"/>
  <c r="AN556" i="15"/>
  <c r="AP556" i="15" s="1"/>
  <c r="BA187" i="15"/>
  <c r="AZ187" i="15"/>
  <c r="BB187" i="15" s="1"/>
  <c r="AO557" i="15" l="1"/>
  <c r="AN557" i="15"/>
  <c r="AP557" i="15" s="1"/>
  <c r="AW311" i="15"/>
  <c r="AV311" i="15"/>
  <c r="AX311" i="15" s="1"/>
  <c r="BE65" i="15"/>
  <c r="BD65" i="15"/>
  <c r="BF65" i="15" s="1"/>
  <c r="AC926" i="15"/>
  <c r="AB926" i="15"/>
  <c r="AD926" i="15" s="1"/>
  <c r="AS434" i="15"/>
  <c r="AR434" i="15"/>
  <c r="AT434" i="15" s="1"/>
  <c r="BA188" i="15"/>
  <c r="AZ188" i="15"/>
  <c r="BB188" i="15" s="1"/>
  <c r="AK680" i="15"/>
  <c r="AJ680" i="15"/>
  <c r="AL680" i="15" s="1"/>
  <c r="AG803" i="15"/>
  <c r="AF803" i="15"/>
  <c r="AH803" i="15" s="1"/>
  <c r="AG804" i="15" l="1"/>
  <c r="AF804" i="15"/>
  <c r="AH804" i="15" s="1"/>
  <c r="AK681" i="15"/>
  <c r="AJ681" i="15"/>
  <c r="AL681" i="15" s="1"/>
  <c r="AS435" i="15"/>
  <c r="AR435" i="15"/>
  <c r="AT435" i="15" s="1"/>
  <c r="AC927" i="15"/>
  <c r="AB927" i="15"/>
  <c r="AD927" i="15" s="1"/>
  <c r="BE66" i="15"/>
  <c r="BD66" i="15"/>
  <c r="BF66" i="15" s="1"/>
  <c r="AO558" i="15"/>
  <c r="AN558" i="15"/>
  <c r="AP558" i="15" s="1"/>
  <c r="BA189" i="15"/>
  <c r="AZ189" i="15"/>
  <c r="BB189" i="15" s="1"/>
  <c r="AW312" i="15"/>
  <c r="AV312" i="15"/>
  <c r="AX312" i="15" s="1"/>
  <c r="AW313" i="15" l="1"/>
  <c r="AV313" i="15"/>
  <c r="AX313" i="15" s="1"/>
  <c r="BA190" i="15"/>
  <c r="AZ190" i="15"/>
  <c r="BB190" i="15" s="1"/>
  <c r="BE67" i="15"/>
  <c r="BD67" i="15"/>
  <c r="BF67" i="15" s="1"/>
  <c r="AC928" i="15"/>
  <c r="AB928" i="15"/>
  <c r="AD928" i="15" s="1"/>
  <c r="AS436" i="15"/>
  <c r="AR436" i="15"/>
  <c r="AT436" i="15" s="1"/>
  <c r="AG805" i="15"/>
  <c r="AF805" i="15"/>
  <c r="AH805" i="15" s="1"/>
  <c r="AO559" i="15"/>
  <c r="AN559" i="15"/>
  <c r="AP559" i="15" s="1"/>
  <c r="AK682" i="15"/>
  <c r="AJ682" i="15"/>
  <c r="AL682" i="15" s="1"/>
  <c r="AK683" i="15" l="1"/>
  <c r="AJ683" i="15"/>
  <c r="AL683" i="15" s="1"/>
  <c r="AG806" i="15"/>
  <c r="AF806" i="15"/>
  <c r="AH806" i="15" s="1"/>
  <c r="AS437" i="15"/>
  <c r="AR437" i="15"/>
  <c r="AT437" i="15" s="1"/>
  <c r="BE68" i="15"/>
  <c r="BD68" i="15"/>
  <c r="BF68" i="15" s="1"/>
  <c r="AW314" i="15"/>
  <c r="AV314" i="15"/>
  <c r="AX314" i="15" s="1"/>
  <c r="AO560" i="15"/>
  <c r="AN560" i="15"/>
  <c r="AP560" i="15" s="1"/>
  <c r="AC929" i="15"/>
  <c r="AB929" i="15"/>
  <c r="AD929" i="15" s="1"/>
  <c r="BA191" i="15"/>
  <c r="AZ191" i="15"/>
  <c r="BB191" i="15" s="1"/>
  <c r="BA192" i="15" l="1"/>
  <c r="AZ192" i="15"/>
  <c r="BB192" i="15" s="1"/>
  <c r="AO561" i="15"/>
  <c r="AN561" i="15"/>
  <c r="AP561" i="15" s="1"/>
  <c r="AW315" i="15"/>
  <c r="AV315" i="15"/>
  <c r="AX315" i="15" s="1"/>
  <c r="BE69" i="15"/>
  <c r="BD69" i="15"/>
  <c r="BF69" i="15" s="1"/>
  <c r="AS438" i="15"/>
  <c r="AR438" i="15"/>
  <c r="AT438" i="15" s="1"/>
  <c r="AK684" i="15"/>
  <c r="AJ684" i="15"/>
  <c r="AL684" i="15" s="1"/>
  <c r="AC930" i="15"/>
  <c r="AB930" i="15"/>
  <c r="AD930" i="15" s="1"/>
  <c r="AG807" i="15"/>
  <c r="AF807" i="15"/>
  <c r="AH807" i="15" s="1"/>
  <c r="AG808" i="15" l="1"/>
  <c r="AF808" i="15"/>
  <c r="AH808" i="15" s="1"/>
  <c r="AK685" i="15"/>
  <c r="AJ685" i="15"/>
  <c r="AL685" i="15" s="1"/>
  <c r="AS439" i="15"/>
  <c r="AR439" i="15"/>
  <c r="AT439" i="15" s="1"/>
  <c r="BE70" i="15"/>
  <c r="BD70" i="15"/>
  <c r="BF70" i="15" s="1"/>
  <c r="AO562" i="15"/>
  <c r="AN562" i="15"/>
  <c r="AP562" i="15" s="1"/>
  <c r="BA193" i="15"/>
  <c r="AZ193" i="15"/>
  <c r="BB193" i="15" s="1"/>
  <c r="AC931" i="15"/>
  <c r="AB931" i="15"/>
  <c r="AD931" i="15" s="1"/>
  <c r="AW316" i="15"/>
  <c r="AV316" i="15"/>
  <c r="AX316" i="15" s="1"/>
  <c r="AW317" i="15" l="1"/>
  <c r="AV317" i="15"/>
  <c r="AX317" i="15" s="1"/>
  <c r="BA194" i="15"/>
  <c r="AZ194" i="15"/>
  <c r="BB194" i="15" s="1"/>
  <c r="AO563" i="15"/>
  <c r="AN563" i="15"/>
  <c r="AP563" i="15" s="1"/>
  <c r="BE71" i="15"/>
  <c r="BD71" i="15"/>
  <c r="BF71" i="15" s="1"/>
  <c r="AS440" i="15"/>
  <c r="AR440" i="15"/>
  <c r="AT440" i="15" s="1"/>
  <c r="AG809" i="15"/>
  <c r="AF809" i="15"/>
  <c r="AH809" i="15" s="1"/>
  <c r="AC932" i="15"/>
  <c r="AB932" i="15"/>
  <c r="AD932" i="15" s="1"/>
  <c r="AK686" i="15"/>
  <c r="AJ686" i="15"/>
  <c r="AL686" i="15" s="1"/>
  <c r="AK687" i="15" l="1"/>
  <c r="AJ687" i="15"/>
  <c r="AL687" i="15" s="1"/>
  <c r="AG810" i="15"/>
  <c r="AF810" i="15"/>
  <c r="AH810" i="15" s="1"/>
  <c r="BE72" i="15"/>
  <c r="BD72" i="15"/>
  <c r="BF72" i="15" s="1"/>
  <c r="AO564" i="15"/>
  <c r="AN564" i="15"/>
  <c r="AP564" i="15" s="1"/>
  <c r="AW318" i="15"/>
  <c r="AV318" i="15"/>
  <c r="AX318" i="15" s="1"/>
  <c r="AC933" i="15"/>
  <c r="AB933" i="15"/>
  <c r="AD933" i="15" s="1"/>
  <c r="AS441" i="15"/>
  <c r="AR441" i="15"/>
  <c r="AT441" i="15" s="1"/>
  <c r="BA195" i="15"/>
  <c r="AZ195" i="15"/>
  <c r="BB195" i="15" s="1"/>
  <c r="AS442" i="15" l="1"/>
  <c r="AR442" i="15"/>
  <c r="AT442" i="15" s="1"/>
  <c r="AW319" i="15"/>
  <c r="AV319" i="15"/>
  <c r="AX319" i="15" s="1"/>
  <c r="BE73" i="15"/>
  <c r="BD73" i="15"/>
  <c r="BF73" i="15" s="1"/>
  <c r="AK688" i="15"/>
  <c r="AJ688" i="15"/>
  <c r="AL688" i="15" s="1"/>
  <c r="BA196" i="15"/>
  <c r="AZ196" i="15"/>
  <c r="BB196" i="15" s="1"/>
  <c r="AC934" i="15"/>
  <c r="AB934" i="15"/>
  <c r="AD934" i="15" s="1"/>
  <c r="AO565" i="15"/>
  <c r="AN565" i="15"/>
  <c r="AP565" i="15" s="1"/>
  <c r="AG811" i="15"/>
  <c r="AF811" i="15"/>
  <c r="AH811" i="15" s="1"/>
  <c r="AG812" i="15" l="1"/>
  <c r="AF812" i="15"/>
  <c r="AH812" i="15" s="1"/>
  <c r="AO566" i="15"/>
  <c r="AN566" i="15"/>
  <c r="AP566" i="15" s="1"/>
  <c r="BA197" i="15"/>
  <c r="AZ197" i="15"/>
  <c r="BB197" i="15" s="1"/>
  <c r="AK689" i="15"/>
  <c r="AJ689" i="15"/>
  <c r="AL689" i="15" s="1"/>
  <c r="BE74" i="15"/>
  <c r="BD74" i="15"/>
  <c r="BF74" i="15" s="1"/>
  <c r="AS443" i="15"/>
  <c r="AR443" i="15"/>
  <c r="AT443" i="15" s="1"/>
  <c r="AC935" i="15"/>
  <c r="AB935" i="15"/>
  <c r="AD935" i="15" s="1"/>
  <c r="AW320" i="15"/>
  <c r="AV320" i="15"/>
  <c r="AX320" i="15" s="1"/>
  <c r="AC936" i="15" l="1"/>
  <c r="AB936" i="15"/>
  <c r="AD936" i="15" s="1"/>
  <c r="AS444" i="15"/>
  <c r="AR444" i="15"/>
  <c r="AT444" i="15" s="1"/>
  <c r="BE75" i="15"/>
  <c r="BD75" i="15"/>
  <c r="BF75" i="15" s="1"/>
  <c r="AK690" i="15"/>
  <c r="AJ690" i="15"/>
  <c r="AL690" i="15" s="1"/>
  <c r="AO567" i="15"/>
  <c r="AN567" i="15"/>
  <c r="AP567" i="15" s="1"/>
  <c r="AG813" i="15"/>
  <c r="AF813" i="15"/>
  <c r="AH813" i="15" s="1"/>
  <c r="AW321" i="15"/>
  <c r="AV321" i="15"/>
  <c r="AX321" i="15" s="1"/>
  <c r="BA198" i="15"/>
  <c r="AZ198" i="15"/>
  <c r="BB198" i="15" s="1"/>
  <c r="BA199" i="15" l="1"/>
  <c r="AZ199" i="15"/>
  <c r="BB199" i="15" s="1"/>
  <c r="AG814" i="15"/>
  <c r="AF814" i="15"/>
  <c r="AH814" i="15" s="1"/>
  <c r="AO568" i="15"/>
  <c r="AN568" i="15"/>
  <c r="AP568" i="15" s="1"/>
  <c r="AK691" i="15"/>
  <c r="AJ691" i="15"/>
  <c r="AL691" i="15" s="1"/>
  <c r="AS445" i="15"/>
  <c r="AR445" i="15"/>
  <c r="AT445" i="15" s="1"/>
  <c r="AC937" i="15"/>
  <c r="AB937" i="15"/>
  <c r="AD937" i="15" s="1"/>
  <c r="AW322" i="15"/>
  <c r="AV322" i="15"/>
  <c r="AX322" i="15" s="1"/>
  <c r="BE76" i="15"/>
  <c r="BD76" i="15"/>
  <c r="BF76" i="15" s="1"/>
  <c r="BE77" i="15" l="1"/>
  <c r="BD77" i="15"/>
  <c r="BF77" i="15" s="1"/>
  <c r="AW323" i="15"/>
  <c r="AV323" i="15"/>
  <c r="AX323" i="15" s="1"/>
  <c r="AS446" i="15"/>
  <c r="AR446" i="15"/>
  <c r="AT446" i="15" s="1"/>
  <c r="AK692" i="15"/>
  <c r="AJ692" i="15"/>
  <c r="AL692" i="15" s="1"/>
  <c r="AO569" i="15"/>
  <c r="AN569" i="15"/>
  <c r="AP569" i="15" s="1"/>
  <c r="BA200" i="15"/>
  <c r="AZ200" i="15"/>
  <c r="BB200" i="15" s="1"/>
  <c r="AC938" i="15"/>
  <c r="AB938" i="15"/>
  <c r="AD938" i="15" s="1"/>
  <c r="AG815" i="15"/>
  <c r="AF815" i="15"/>
  <c r="AH815" i="15" s="1"/>
  <c r="AG816" i="15" l="1"/>
  <c r="AF816" i="15"/>
  <c r="AH816" i="15" s="1"/>
  <c r="BA201" i="15"/>
  <c r="AZ201" i="15"/>
  <c r="BB201" i="15" s="1"/>
  <c r="AO570" i="15"/>
  <c r="AN570" i="15"/>
  <c r="AP570" i="15" s="1"/>
  <c r="AK693" i="15"/>
  <c r="AJ693" i="15"/>
  <c r="AL693" i="15" s="1"/>
  <c r="AS447" i="15"/>
  <c r="AR447" i="15"/>
  <c r="AT447" i="15" s="1"/>
  <c r="BE78" i="15"/>
  <c r="BD78" i="15"/>
  <c r="BF78" i="15" s="1"/>
  <c r="AC939" i="15"/>
  <c r="AB939" i="15"/>
  <c r="AD939" i="15" s="1"/>
  <c r="AW324" i="15"/>
  <c r="AV324" i="15"/>
  <c r="AX324" i="15" s="1"/>
  <c r="AW325" i="15" l="1"/>
  <c r="AV325" i="15"/>
  <c r="AX325" i="15" s="1"/>
  <c r="AC940" i="15"/>
  <c r="AB940" i="15"/>
  <c r="AD940" i="15" s="1"/>
  <c r="BE79" i="15"/>
  <c r="BD79" i="15"/>
  <c r="BF79" i="15" s="1"/>
  <c r="AS448" i="15"/>
  <c r="AR448" i="15"/>
  <c r="AT448" i="15" s="1"/>
  <c r="AK694" i="15"/>
  <c r="AJ694" i="15"/>
  <c r="AL694" i="15" s="1"/>
  <c r="AO571" i="15"/>
  <c r="AN571" i="15"/>
  <c r="AP571" i="15" s="1"/>
  <c r="BA202" i="15"/>
  <c r="AZ202" i="15"/>
  <c r="BB202" i="15" s="1"/>
  <c r="AG817" i="15"/>
  <c r="AF817" i="15"/>
  <c r="AH817" i="15" s="1"/>
  <c r="AG818" i="15" l="1"/>
  <c r="AF818" i="15"/>
  <c r="AH818" i="15" s="1"/>
  <c r="BA203" i="15"/>
  <c r="AZ203" i="15"/>
  <c r="BB203" i="15" s="1"/>
  <c r="AO572" i="15"/>
  <c r="AN572" i="15"/>
  <c r="AP572" i="15" s="1"/>
  <c r="AK695" i="15"/>
  <c r="AJ695" i="15"/>
  <c r="AL695" i="15" s="1"/>
  <c r="AS449" i="15"/>
  <c r="AR449" i="15"/>
  <c r="AT449" i="15" s="1"/>
  <c r="BE80" i="15"/>
  <c r="BD80" i="15"/>
  <c r="BF80" i="15" s="1"/>
  <c r="AC941" i="15"/>
  <c r="AB941" i="15"/>
  <c r="AD941" i="15" s="1"/>
  <c r="AW326" i="15"/>
  <c r="AV326" i="15"/>
  <c r="AX326" i="15" s="1"/>
  <c r="AW327" i="15" l="1"/>
  <c r="AV327" i="15"/>
  <c r="AX327" i="15" s="1"/>
  <c r="AC942" i="15"/>
  <c r="AB942" i="15"/>
  <c r="AD942" i="15" s="1"/>
  <c r="BE81" i="15"/>
  <c r="BD81" i="15"/>
  <c r="BF81" i="15" s="1"/>
  <c r="AS450" i="15"/>
  <c r="AR450" i="15"/>
  <c r="AT450" i="15" s="1"/>
  <c r="AK696" i="15"/>
  <c r="AJ696" i="15"/>
  <c r="AL696" i="15" s="1"/>
  <c r="AO573" i="15"/>
  <c r="AN573" i="15"/>
  <c r="AP573" i="15" s="1"/>
  <c r="BA204" i="15"/>
  <c r="AZ204" i="15"/>
  <c r="BB204" i="15" s="1"/>
  <c r="AG819" i="15"/>
  <c r="AF819" i="15"/>
  <c r="AH819" i="15" s="1"/>
  <c r="AG820" i="15" l="1"/>
  <c r="AF820" i="15"/>
  <c r="AH820" i="15" s="1"/>
  <c r="BA205" i="15"/>
  <c r="AZ205" i="15"/>
  <c r="BB205" i="15" s="1"/>
  <c r="AO574" i="15"/>
  <c r="AN574" i="15"/>
  <c r="AP574" i="15" s="1"/>
  <c r="AK697" i="15"/>
  <c r="AJ697" i="15"/>
  <c r="AL697" i="15" s="1"/>
  <c r="AS451" i="15"/>
  <c r="AR451" i="15"/>
  <c r="AT451" i="15" s="1"/>
  <c r="BE82" i="15"/>
  <c r="BD82" i="15"/>
  <c r="BF82" i="15" s="1"/>
  <c r="AC943" i="15"/>
  <c r="AB943" i="15"/>
  <c r="AD943" i="15" s="1"/>
  <c r="AW328" i="15"/>
  <c r="AV328" i="15"/>
  <c r="AX328" i="15" s="1"/>
  <c r="AW329" i="15" l="1"/>
  <c r="AV329" i="15"/>
  <c r="AX329" i="15" s="1"/>
  <c r="AC944" i="15"/>
  <c r="AB944" i="15"/>
  <c r="AD944" i="15" s="1"/>
  <c r="BE83" i="15"/>
  <c r="BD83" i="15"/>
  <c r="BF83" i="15" s="1"/>
  <c r="AS452" i="15"/>
  <c r="AR452" i="15"/>
  <c r="AT452" i="15" s="1"/>
  <c r="AK698" i="15"/>
  <c r="AJ698" i="15"/>
  <c r="AL698" i="15" s="1"/>
  <c r="AO575" i="15"/>
  <c r="AN575" i="15"/>
  <c r="AP575" i="15" s="1"/>
  <c r="BA206" i="15"/>
  <c r="AZ206" i="15"/>
  <c r="BB206" i="15" s="1"/>
  <c r="AG821" i="15"/>
  <c r="AF821" i="15"/>
  <c r="AH821" i="15" s="1"/>
  <c r="AG822" i="15" l="1"/>
  <c r="AF822" i="15"/>
  <c r="AH822" i="15" s="1"/>
  <c r="BA207" i="15"/>
  <c r="AZ207" i="15"/>
  <c r="BB207" i="15" s="1"/>
  <c r="AO576" i="15"/>
  <c r="AN576" i="15"/>
  <c r="AP576" i="15" s="1"/>
  <c r="AK699" i="15"/>
  <c r="AJ699" i="15"/>
  <c r="AL699" i="15" s="1"/>
  <c r="AS453" i="15"/>
  <c r="AR453" i="15"/>
  <c r="AT453" i="15" s="1"/>
  <c r="BE84" i="15"/>
  <c r="BD84" i="15"/>
  <c r="BF84" i="15" s="1"/>
  <c r="AC945" i="15"/>
  <c r="AB945" i="15"/>
  <c r="AD945" i="15" s="1"/>
  <c r="AW330" i="15"/>
  <c r="AV330" i="15"/>
  <c r="AX330" i="15" s="1"/>
  <c r="AW331" i="15" l="1"/>
  <c r="AV331" i="15"/>
  <c r="AX331" i="15" s="1"/>
  <c r="AC946" i="15"/>
  <c r="AB946" i="15"/>
  <c r="AD946" i="15" s="1"/>
  <c r="BE85" i="15"/>
  <c r="BD85" i="15"/>
  <c r="BF85" i="15" s="1"/>
  <c r="AS454" i="15"/>
  <c r="AR454" i="15"/>
  <c r="AT454" i="15" s="1"/>
  <c r="AK700" i="15"/>
  <c r="AJ700" i="15"/>
  <c r="AL700" i="15" s="1"/>
  <c r="AO577" i="15"/>
  <c r="AN577" i="15"/>
  <c r="AP577" i="15" s="1"/>
  <c r="BA208" i="15"/>
  <c r="AZ208" i="15"/>
  <c r="BB208" i="15" s="1"/>
  <c r="AG823" i="15"/>
  <c r="AF823" i="15"/>
  <c r="AH823" i="15" s="1"/>
  <c r="AG824" i="15" l="1"/>
  <c r="AF824" i="15"/>
  <c r="AH824" i="15" s="1"/>
  <c r="BA209" i="15"/>
  <c r="AZ209" i="15"/>
  <c r="BB209" i="15" s="1"/>
  <c r="AO578" i="15"/>
  <c r="AN578" i="15"/>
  <c r="AP578" i="15" s="1"/>
  <c r="AK701" i="15"/>
  <c r="AJ701" i="15"/>
  <c r="AL701" i="15" s="1"/>
  <c r="AS455" i="15"/>
  <c r="AR455" i="15"/>
  <c r="AT455" i="15" s="1"/>
  <c r="BE86" i="15"/>
  <c r="BD86" i="15"/>
  <c r="BF86" i="15" s="1"/>
  <c r="AC947" i="15"/>
  <c r="AB947" i="15"/>
  <c r="AD947" i="15" s="1"/>
  <c r="AW332" i="15"/>
  <c r="AV332" i="15"/>
  <c r="AX332" i="15" s="1"/>
  <c r="AW333" i="15" l="1"/>
  <c r="AV333" i="15"/>
  <c r="AX333" i="15" s="1"/>
  <c r="AC948" i="15"/>
  <c r="AB948" i="15"/>
  <c r="AD948" i="15" s="1"/>
  <c r="BE87" i="15"/>
  <c r="BD87" i="15"/>
  <c r="BF87" i="15" s="1"/>
  <c r="AS456" i="15"/>
  <c r="AR456" i="15"/>
  <c r="AT456" i="15" s="1"/>
  <c r="AK702" i="15"/>
  <c r="AJ702" i="15"/>
  <c r="AL702" i="15" s="1"/>
  <c r="AO579" i="15"/>
  <c r="AN579" i="15"/>
  <c r="AP579" i="15" s="1"/>
  <c r="BA210" i="15"/>
  <c r="AZ210" i="15"/>
  <c r="BB210" i="15" s="1"/>
  <c r="AG825" i="15"/>
  <c r="AF825" i="15"/>
  <c r="AH825" i="15" s="1"/>
  <c r="AG826" i="15" l="1"/>
  <c r="AF826" i="15"/>
  <c r="AH826" i="15" s="1"/>
  <c r="BA211" i="15"/>
  <c r="AZ211" i="15"/>
  <c r="BB211" i="15" s="1"/>
  <c r="AO580" i="15"/>
  <c r="AN580" i="15"/>
  <c r="AP580" i="15" s="1"/>
  <c r="AK703" i="15"/>
  <c r="AJ703" i="15"/>
  <c r="AL703" i="15" s="1"/>
  <c r="AS457" i="15"/>
  <c r="AR457" i="15"/>
  <c r="AT457" i="15" s="1"/>
  <c r="BE88" i="15"/>
  <c r="BD88" i="15"/>
  <c r="BF88" i="15" s="1"/>
  <c r="AC949" i="15"/>
  <c r="AB949" i="15"/>
  <c r="AD949" i="15" s="1"/>
  <c r="AW334" i="15"/>
  <c r="AV334" i="15"/>
  <c r="AX334" i="15" s="1"/>
  <c r="AW335" i="15" l="1"/>
  <c r="AV335" i="15"/>
  <c r="AX335" i="15" s="1"/>
  <c r="AC950" i="15"/>
  <c r="AB950" i="15"/>
  <c r="AD950" i="15" s="1"/>
  <c r="BE89" i="15"/>
  <c r="BD89" i="15"/>
  <c r="BF89" i="15" s="1"/>
  <c r="AS458" i="15"/>
  <c r="AR458" i="15"/>
  <c r="AT458" i="15" s="1"/>
  <c r="AK704" i="15"/>
  <c r="AJ704" i="15"/>
  <c r="AL704" i="15" s="1"/>
  <c r="AO581" i="15"/>
  <c r="AN581" i="15"/>
  <c r="AP581" i="15" s="1"/>
  <c r="BA212" i="15"/>
  <c r="AZ212" i="15"/>
  <c r="BB212" i="15" s="1"/>
  <c r="AG827" i="15"/>
  <c r="AF827" i="15"/>
  <c r="AH827" i="15" s="1"/>
  <c r="AG828" i="15" l="1"/>
  <c r="AF828" i="15"/>
  <c r="AH828" i="15" s="1"/>
  <c r="BA213" i="15"/>
  <c r="AZ213" i="15"/>
  <c r="BB213" i="15" s="1"/>
  <c r="AO582" i="15"/>
  <c r="AN582" i="15"/>
  <c r="AP582" i="15" s="1"/>
  <c r="AK705" i="15"/>
  <c r="AJ705" i="15"/>
  <c r="AL705" i="15" s="1"/>
  <c r="AS459" i="15"/>
  <c r="AR459" i="15"/>
  <c r="AT459" i="15" s="1"/>
  <c r="BE90" i="15"/>
  <c r="BD90" i="15"/>
  <c r="BF90" i="15" s="1"/>
  <c r="AC951" i="15"/>
  <c r="AB951" i="15"/>
  <c r="AD951" i="15" s="1"/>
  <c r="AW336" i="15"/>
  <c r="AV336" i="15"/>
  <c r="AX336" i="15" s="1"/>
  <c r="AW337" i="15" l="1"/>
  <c r="AV337" i="15"/>
  <c r="AX337" i="15" s="1"/>
  <c r="AC952" i="15"/>
  <c r="AB952" i="15"/>
  <c r="AD952" i="15" s="1"/>
  <c r="BE91" i="15"/>
  <c r="BD91" i="15"/>
  <c r="BF91" i="15" s="1"/>
  <c r="AS460" i="15"/>
  <c r="AR460" i="15"/>
  <c r="AT460" i="15" s="1"/>
  <c r="AK706" i="15"/>
  <c r="AJ706" i="15"/>
  <c r="AL706" i="15" s="1"/>
  <c r="AO583" i="15"/>
  <c r="AN583" i="15"/>
  <c r="AP583" i="15" s="1"/>
  <c r="BA214" i="15"/>
  <c r="AZ214" i="15"/>
  <c r="BB214" i="15" s="1"/>
  <c r="AG829" i="15"/>
  <c r="AF829" i="15"/>
  <c r="AH829" i="15" s="1"/>
  <c r="AG830" i="15" l="1"/>
  <c r="AF830" i="15"/>
  <c r="AH830" i="15" s="1"/>
  <c r="BA215" i="15"/>
  <c r="AZ215" i="15"/>
  <c r="BB215" i="15" s="1"/>
  <c r="AO584" i="15"/>
  <c r="AN584" i="15"/>
  <c r="AP584" i="15" s="1"/>
  <c r="AK707" i="15"/>
  <c r="AJ707" i="15"/>
  <c r="AL707" i="15" s="1"/>
  <c r="AS461" i="15"/>
  <c r="AR461" i="15"/>
  <c r="AT461" i="15" s="1"/>
  <c r="BE92" i="15"/>
  <c r="BD92" i="15"/>
  <c r="BF92" i="15" s="1"/>
  <c r="AC953" i="15"/>
  <c r="AB953" i="15"/>
  <c r="AD953" i="15" s="1"/>
  <c r="AW338" i="15"/>
  <c r="AV338" i="15"/>
  <c r="AX338" i="15" s="1"/>
  <c r="AW339" i="15" l="1"/>
  <c r="AV339" i="15"/>
  <c r="AX339" i="15" s="1"/>
  <c r="AC954" i="15"/>
  <c r="AB954" i="15"/>
  <c r="AD954" i="15" s="1"/>
  <c r="BE93" i="15"/>
  <c r="BD93" i="15"/>
  <c r="BF93" i="15" s="1"/>
  <c r="AS462" i="15"/>
  <c r="AR462" i="15"/>
  <c r="AT462" i="15" s="1"/>
  <c r="AK708" i="15"/>
  <c r="AJ708" i="15"/>
  <c r="AL708" i="15" s="1"/>
  <c r="AO585" i="15"/>
  <c r="AN585" i="15"/>
  <c r="AP585" i="15" s="1"/>
  <c r="BA216" i="15"/>
  <c r="AZ216" i="15"/>
  <c r="BB216" i="15" s="1"/>
  <c r="AG831" i="15"/>
  <c r="AF831" i="15"/>
  <c r="AH831" i="15" s="1"/>
  <c r="AG832" i="15" l="1"/>
  <c r="AF832" i="15"/>
  <c r="AH832" i="15" s="1"/>
  <c r="AK709" i="15"/>
  <c r="AJ709" i="15"/>
  <c r="AL709" i="15" s="1"/>
  <c r="BE94" i="15"/>
  <c r="BD94" i="15"/>
  <c r="BF94" i="15" s="1"/>
  <c r="AW340" i="15"/>
  <c r="AV340" i="15"/>
  <c r="AX340" i="15" s="1"/>
  <c r="BA217" i="15"/>
  <c r="AZ217" i="15"/>
  <c r="BB217" i="15" s="1"/>
  <c r="AO586" i="15"/>
  <c r="AN586" i="15"/>
  <c r="AP586" i="15" s="1"/>
  <c r="AS463" i="15"/>
  <c r="AR463" i="15"/>
  <c r="AT463" i="15" s="1"/>
  <c r="AC955" i="15"/>
  <c r="AB955" i="15"/>
  <c r="AD955" i="15" s="1"/>
  <c r="AS464" i="15" l="1"/>
  <c r="AR464" i="15"/>
  <c r="AT464" i="15" s="1"/>
  <c r="AO587" i="15"/>
  <c r="AN587" i="15"/>
  <c r="AP587" i="15" s="1"/>
  <c r="AW341" i="15"/>
  <c r="AV341" i="15"/>
  <c r="AX341" i="15" s="1"/>
  <c r="BE95" i="15"/>
  <c r="BD95" i="15"/>
  <c r="BF95" i="15" s="1"/>
  <c r="AG833" i="15"/>
  <c r="AF833" i="15"/>
  <c r="AH833" i="15" s="1"/>
  <c r="AC956" i="15"/>
  <c r="AB956" i="15"/>
  <c r="AD956" i="15" s="1"/>
  <c r="BA218" i="15"/>
  <c r="AZ218" i="15"/>
  <c r="BB218" i="15" s="1"/>
  <c r="AK710" i="15"/>
  <c r="AJ710" i="15"/>
  <c r="AL710" i="15" s="1"/>
  <c r="AK711" i="15" l="1"/>
  <c r="AJ711" i="15"/>
  <c r="AL711" i="15" s="1"/>
  <c r="AC957" i="15"/>
  <c r="AB957" i="15"/>
  <c r="AD957" i="15" s="1"/>
  <c r="AG834" i="15"/>
  <c r="AF834" i="15"/>
  <c r="AH834" i="15" s="1"/>
  <c r="BE96" i="15"/>
  <c r="BD96" i="15"/>
  <c r="BF96" i="15" s="1"/>
  <c r="AW342" i="15"/>
  <c r="AV342" i="15"/>
  <c r="AX342" i="15" s="1"/>
  <c r="AS465" i="15"/>
  <c r="AR465" i="15"/>
  <c r="AT465" i="15" s="1"/>
  <c r="BA219" i="15"/>
  <c r="AZ219" i="15"/>
  <c r="BB219" i="15" s="1"/>
  <c r="AO588" i="15"/>
  <c r="AN588" i="15"/>
  <c r="AP588" i="15" s="1"/>
  <c r="AO589" i="15" l="1"/>
  <c r="AN589" i="15"/>
  <c r="AP589" i="15" s="1"/>
  <c r="BA220" i="15"/>
  <c r="AZ220" i="15"/>
  <c r="BB220" i="15" s="1"/>
  <c r="AW343" i="15"/>
  <c r="AV343" i="15"/>
  <c r="AX343" i="15" s="1"/>
  <c r="BE97" i="15"/>
  <c r="BD97" i="15"/>
  <c r="BF97" i="15" s="1"/>
  <c r="AG835" i="15"/>
  <c r="AF835" i="15"/>
  <c r="AH835" i="15" s="1"/>
  <c r="AK712" i="15"/>
  <c r="AJ712" i="15"/>
  <c r="AL712" i="15" s="1"/>
  <c r="AS466" i="15"/>
  <c r="AR466" i="15"/>
  <c r="AT466" i="15" s="1"/>
  <c r="AC958" i="15"/>
  <c r="AB958" i="15"/>
  <c r="AD958" i="15" s="1"/>
  <c r="AC959" i="15" l="1"/>
  <c r="AB959" i="15"/>
  <c r="AD959" i="15" s="1"/>
  <c r="AS467" i="15"/>
  <c r="AR467" i="15"/>
  <c r="AT467" i="15" s="1"/>
  <c r="AK713" i="15"/>
  <c r="AJ713" i="15"/>
  <c r="AL713" i="15" s="1"/>
  <c r="AG836" i="15"/>
  <c r="AF836" i="15"/>
  <c r="AH836" i="15" s="1"/>
  <c r="BE98" i="15"/>
  <c r="BD98" i="15"/>
  <c r="BF98" i="15" s="1"/>
  <c r="AW344" i="15"/>
  <c r="AV344" i="15"/>
  <c r="AX344" i="15" s="1"/>
  <c r="BA221" i="15"/>
  <c r="AZ221" i="15"/>
  <c r="BB221" i="15" s="1"/>
  <c r="AO590" i="15"/>
  <c r="AN590" i="15"/>
  <c r="AP590" i="15" s="1"/>
  <c r="AO591" i="15" l="1"/>
  <c r="AN591" i="15"/>
  <c r="AP591" i="15" s="1"/>
  <c r="BA222" i="15"/>
  <c r="AZ222" i="15"/>
  <c r="BB222" i="15" s="1"/>
  <c r="AW345" i="15"/>
  <c r="AV345" i="15"/>
  <c r="AX345" i="15" s="1"/>
  <c r="BE99" i="15"/>
  <c r="BD99" i="15"/>
  <c r="BF99" i="15" s="1"/>
  <c r="AG837" i="15"/>
  <c r="AF837" i="15"/>
  <c r="AH837" i="15" s="1"/>
  <c r="AK714" i="15"/>
  <c r="AJ714" i="15"/>
  <c r="AL714" i="15" s="1"/>
  <c r="AS468" i="15"/>
  <c r="AR468" i="15"/>
  <c r="AT468" i="15" s="1"/>
  <c r="AC960" i="15"/>
  <c r="AB960" i="15"/>
  <c r="AD960" i="15" s="1"/>
  <c r="AC961" i="15" l="1"/>
  <c r="AB961" i="15"/>
  <c r="AD961" i="15" s="1"/>
  <c r="AS469" i="15"/>
  <c r="AR469" i="15"/>
  <c r="AT469" i="15" s="1"/>
  <c r="AK715" i="15"/>
  <c r="AJ715" i="15"/>
  <c r="AL715" i="15" s="1"/>
  <c r="AG838" i="15"/>
  <c r="AF838" i="15"/>
  <c r="AH838" i="15" s="1"/>
  <c r="BE100" i="15"/>
  <c r="BD100" i="15"/>
  <c r="BF100" i="15" s="1"/>
  <c r="AW346" i="15"/>
  <c r="AV346" i="15"/>
  <c r="AX346" i="15" s="1"/>
  <c r="BA223" i="15"/>
  <c r="AZ223" i="15"/>
  <c r="BB223" i="15" s="1"/>
  <c r="AO592" i="15"/>
  <c r="AN592" i="15"/>
  <c r="AP592" i="15" s="1"/>
  <c r="AO593" i="15" l="1"/>
  <c r="AN593" i="15"/>
  <c r="AP593" i="15" s="1"/>
  <c r="BA224" i="15"/>
  <c r="AZ224" i="15"/>
  <c r="BB224" i="15" s="1"/>
  <c r="AW347" i="15"/>
  <c r="AV347" i="15"/>
  <c r="AX347" i="15" s="1"/>
  <c r="BE101" i="15"/>
  <c r="BD101" i="15"/>
  <c r="BF101" i="15" s="1"/>
  <c r="AG839" i="15"/>
  <c r="AF839" i="15"/>
  <c r="AH839" i="15" s="1"/>
  <c r="AK716" i="15"/>
  <c r="AJ716" i="15"/>
  <c r="AL716" i="15" s="1"/>
  <c r="AS470" i="15"/>
  <c r="AR470" i="15"/>
  <c r="AT470" i="15" s="1"/>
  <c r="AC962" i="15"/>
  <c r="AB962" i="15"/>
  <c r="AD962" i="15" s="1"/>
  <c r="AC963" i="15" l="1"/>
  <c r="AB963" i="15"/>
  <c r="AD963" i="15" s="1"/>
  <c r="AS471" i="15"/>
  <c r="AR471" i="15"/>
  <c r="AT471" i="15" s="1"/>
  <c r="AK717" i="15"/>
  <c r="AJ717" i="15"/>
  <c r="AL717" i="15" s="1"/>
  <c r="AG840" i="15"/>
  <c r="AF840" i="15"/>
  <c r="AH840" i="15" s="1"/>
  <c r="BE102" i="15"/>
  <c r="BD102" i="15"/>
  <c r="BF102" i="15" s="1"/>
  <c r="AW348" i="15"/>
  <c r="AV348" i="15"/>
  <c r="AX348" i="15" s="1"/>
  <c r="BA225" i="15"/>
  <c r="AZ225" i="15"/>
  <c r="BB225" i="15" s="1"/>
  <c r="AO594" i="15"/>
  <c r="AN594" i="15"/>
  <c r="AP594" i="15" s="1"/>
  <c r="AO595" i="15" l="1"/>
  <c r="AN595" i="15"/>
  <c r="AP595" i="15" s="1"/>
  <c r="BA226" i="15"/>
  <c r="AZ226" i="15"/>
  <c r="BB226" i="15" s="1"/>
  <c r="AW349" i="15"/>
  <c r="AV349" i="15"/>
  <c r="AX349" i="15" s="1"/>
  <c r="BE103" i="15"/>
  <c r="BD103" i="15"/>
  <c r="BF103" i="15" s="1"/>
  <c r="AG841" i="15"/>
  <c r="AF841" i="15"/>
  <c r="AH841" i="15" s="1"/>
  <c r="AK718" i="15"/>
  <c r="AJ718" i="15"/>
  <c r="AL718" i="15" s="1"/>
  <c r="AS472" i="15"/>
  <c r="AR472" i="15"/>
  <c r="AT472" i="15" s="1"/>
  <c r="AC964" i="15"/>
  <c r="AB964" i="15"/>
  <c r="AD964" i="15" s="1"/>
  <c r="AK719" i="15" l="1"/>
  <c r="AJ719" i="15"/>
  <c r="AL719" i="15" s="1"/>
  <c r="AW350" i="15"/>
  <c r="AV350" i="15"/>
  <c r="AX350" i="15" s="1"/>
  <c r="AO596" i="15"/>
  <c r="AN596" i="15"/>
  <c r="AP596" i="15" s="1"/>
  <c r="AC965" i="15"/>
  <c r="AB965" i="15"/>
  <c r="AD965" i="15" s="1"/>
  <c r="AS473" i="15"/>
  <c r="AR473" i="15"/>
  <c r="AT473" i="15" s="1"/>
  <c r="AG842" i="15"/>
  <c r="AF842" i="15"/>
  <c r="AH842" i="15" s="1"/>
  <c r="BE104" i="15"/>
  <c r="BD104" i="15"/>
  <c r="BF104" i="15" s="1"/>
  <c r="BA227" i="15"/>
  <c r="AZ227" i="15"/>
  <c r="BB227" i="15" s="1"/>
  <c r="BE105" i="15" l="1"/>
  <c r="BD105" i="15"/>
  <c r="BF105" i="15" s="1"/>
  <c r="AG843" i="15"/>
  <c r="AF843" i="15"/>
  <c r="AH843" i="15" s="1"/>
  <c r="AC966" i="15"/>
  <c r="AB966" i="15"/>
  <c r="AD966" i="15" s="1"/>
  <c r="AO597" i="15"/>
  <c r="AN597" i="15"/>
  <c r="AP597" i="15" s="1"/>
  <c r="AK720" i="15"/>
  <c r="AJ720" i="15"/>
  <c r="AL720" i="15" s="1"/>
  <c r="BA228" i="15"/>
  <c r="AZ228" i="15"/>
  <c r="BB228" i="15" s="1"/>
  <c r="AS474" i="15"/>
  <c r="AR474" i="15"/>
  <c r="AT474" i="15" s="1"/>
  <c r="AW351" i="15"/>
  <c r="AV351" i="15"/>
  <c r="AX351" i="15" s="1"/>
  <c r="AW352" i="15" l="1"/>
  <c r="AV352" i="15"/>
  <c r="AX352" i="15" s="1"/>
  <c r="AS475" i="15"/>
  <c r="AR475" i="15"/>
  <c r="AT475" i="15" s="1"/>
  <c r="AK721" i="15"/>
  <c r="AJ721" i="15"/>
  <c r="AL721" i="15" s="1"/>
  <c r="AC967" i="15"/>
  <c r="AB967" i="15"/>
  <c r="AD967" i="15" s="1"/>
  <c r="BE106" i="15"/>
  <c r="BD106" i="15"/>
  <c r="BF106" i="15" s="1"/>
  <c r="BA229" i="15"/>
  <c r="AZ229" i="15"/>
  <c r="BB229" i="15" s="1"/>
  <c r="AO598" i="15"/>
  <c r="AN598" i="15"/>
  <c r="AP598" i="15" s="1"/>
  <c r="AG844" i="15"/>
  <c r="AF844" i="15"/>
  <c r="AH844" i="15" s="1"/>
  <c r="AG845" i="15" l="1"/>
  <c r="AF845" i="15"/>
  <c r="AH845" i="15" s="1"/>
  <c r="AO599" i="15"/>
  <c r="AN599" i="15"/>
  <c r="AP599" i="15" s="1"/>
  <c r="BE107" i="15"/>
  <c r="BD107" i="15"/>
  <c r="BF107" i="15" s="1"/>
  <c r="AC968" i="15"/>
  <c r="AB968" i="15"/>
  <c r="AD968" i="15" s="1"/>
  <c r="AK722" i="15"/>
  <c r="AJ722" i="15"/>
  <c r="AL722" i="15" s="1"/>
  <c r="AW353" i="15"/>
  <c r="AV353" i="15"/>
  <c r="AX353" i="15" s="1"/>
  <c r="BA230" i="15"/>
  <c r="AZ230" i="15"/>
  <c r="BB230" i="15" s="1"/>
  <c r="AS476" i="15"/>
  <c r="AR476" i="15"/>
  <c r="AT476" i="15" s="1"/>
  <c r="AS477" i="15" l="1"/>
  <c r="AR477" i="15"/>
  <c r="AT477" i="15" s="1"/>
  <c r="AW354" i="15"/>
  <c r="AV354" i="15"/>
  <c r="AX354" i="15" s="1"/>
  <c r="AC969" i="15"/>
  <c r="AB969" i="15"/>
  <c r="AD969" i="15" s="1"/>
  <c r="BE108" i="15"/>
  <c r="BD108" i="15"/>
  <c r="BF108" i="15" s="1"/>
  <c r="AG846" i="15"/>
  <c r="AF846" i="15"/>
  <c r="AH846" i="15" s="1"/>
  <c r="BA231" i="15"/>
  <c r="AZ231" i="15"/>
  <c r="BB231" i="15" s="1"/>
  <c r="AK723" i="15"/>
  <c r="AJ723" i="15"/>
  <c r="AL723" i="15" s="1"/>
  <c r="AO600" i="15"/>
  <c r="AN600" i="15"/>
  <c r="AP600" i="15" s="1"/>
  <c r="AO601" i="15" l="1"/>
  <c r="AN601" i="15"/>
  <c r="AP601" i="15" s="1"/>
  <c r="BA232" i="15"/>
  <c r="AZ232" i="15"/>
  <c r="BB232" i="15" s="1"/>
  <c r="AG847" i="15"/>
  <c r="AF847" i="15"/>
  <c r="AH847" i="15" s="1"/>
  <c r="BE109" i="15"/>
  <c r="BD109" i="15"/>
  <c r="BF109" i="15" s="1"/>
  <c r="AC970" i="15"/>
  <c r="AB970" i="15"/>
  <c r="AD970" i="15" s="1"/>
  <c r="AS478" i="15"/>
  <c r="AR478" i="15"/>
  <c r="AT478" i="15" s="1"/>
  <c r="AK724" i="15"/>
  <c r="AJ724" i="15"/>
  <c r="AL724" i="15" s="1"/>
  <c r="AW355" i="15"/>
  <c r="AV355" i="15"/>
  <c r="AX355" i="15" s="1"/>
  <c r="AW356" i="15" l="1"/>
  <c r="AV356" i="15"/>
  <c r="AX356" i="15" s="1"/>
  <c r="AS479" i="15"/>
  <c r="AR479" i="15"/>
  <c r="AT479" i="15" s="1"/>
  <c r="AC971" i="15"/>
  <c r="AB971" i="15"/>
  <c r="AD971" i="15" s="1"/>
  <c r="BE110" i="15"/>
  <c r="BD110" i="15"/>
  <c r="BF110" i="15" s="1"/>
  <c r="BA233" i="15"/>
  <c r="AZ233" i="15"/>
  <c r="BB233" i="15" s="1"/>
  <c r="AO602" i="15"/>
  <c r="AN602" i="15"/>
  <c r="AP602" i="15" s="1"/>
  <c r="AK725" i="15"/>
  <c r="AJ725" i="15"/>
  <c r="AL725" i="15" s="1"/>
  <c r="AG848" i="15"/>
  <c r="AF848" i="15"/>
  <c r="AH848" i="15" s="1"/>
  <c r="AG849" i="15" l="1"/>
  <c r="AF849" i="15"/>
  <c r="AH849" i="15" s="1"/>
  <c r="AO603" i="15"/>
  <c r="AN603" i="15"/>
  <c r="AP603" i="15" s="1"/>
  <c r="BA234" i="15"/>
  <c r="AZ234" i="15"/>
  <c r="BB234" i="15" s="1"/>
  <c r="BE111" i="15"/>
  <c r="BD111" i="15"/>
  <c r="BF111" i="15" s="1"/>
  <c r="AS480" i="15"/>
  <c r="AR480" i="15"/>
  <c r="AT480" i="15" s="1"/>
  <c r="AW357" i="15"/>
  <c r="AV357" i="15"/>
  <c r="AX357" i="15" s="1"/>
  <c r="AK726" i="15"/>
  <c r="AJ726" i="15"/>
  <c r="AL726" i="15" s="1"/>
  <c r="AC972" i="15"/>
  <c r="AB972" i="15"/>
  <c r="AD972" i="15" s="1"/>
  <c r="AK727" i="15" l="1"/>
  <c r="AJ727" i="15"/>
  <c r="AL727" i="15" s="1"/>
  <c r="AS481" i="15"/>
  <c r="AR481" i="15"/>
  <c r="AT481" i="15" s="1"/>
  <c r="BA235" i="15"/>
  <c r="AZ235" i="15"/>
  <c r="BB235" i="15" s="1"/>
  <c r="AG850" i="15"/>
  <c r="AF850" i="15"/>
  <c r="AH850" i="15" s="1"/>
  <c r="AC973" i="15"/>
  <c r="AB973" i="15"/>
  <c r="AD973" i="15" s="1"/>
  <c r="AW358" i="15"/>
  <c r="AV358" i="15"/>
  <c r="AX358" i="15" s="1"/>
  <c r="BE112" i="15"/>
  <c r="BD112" i="15"/>
  <c r="BF112" i="15" s="1"/>
  <c r="AO604" i="15"/>
  <c r="AN604" i="15"/>
  <c r="AP604" i="15" s="1"/>
  <c r="AO605" i="15" l="1"/>
  <c r="AN605" i="15"/>
  <c r="AP605" i="15" s="1"/>
  <c r="AW359" i="15"/>
  <c r="AV359" i="15"/>
  <c r="AX359" i="15" s="1"/>
  <c r="AC974" i="15"/>
  <c r="AB974" i="15"/>
  <c r="AD974" i="15" s="1"/>
  <c r="AG851" i="15"/>
  <c r="AF851" i="15"/>
  <c r="AH851" i="15" s="1"/>
  <c r="AS482" i="15"/>
  <c r="AR482" i="15"/>
  <c r="AT482" i="15" s="1"/>
  <c r="AK728" i="15"/>
  <c r="AJ728" i="15"/>
  <c r="AL728" i="15" s="1"/>
  <c r="BE113" i="15"/>
  <c r="BD113" i="15"/>
  <c r="BF113" i="15" s="1"/>
  <c r="BA236" i="15"/>
  <c r="AZ236" i="15"/>
  <c r="BB236" i="15" s="1"/>
  <c r="BA237" i="15" l="1"/>
  <c r="AZ237" i="15"/>
  <c r="BB237" i="15" s="1"/>
  <c r="BE114" i="15"/>
  <c r="BD114" i="15"/>
  <c r="BF114" i="15" s="1"/>
  <c r="AK729" i="15"/>
  <c r="AJ729" i="15"/>
  <c r="AL729" i="15" s="1"/>
  <c r="AS483" i="15"/>
  <c r="AR483" i="15"/>
  <c r="AT483" i="15" s="1"/>
  <c r="AG852" i="15"/>
  <c r="AF852" i="15"/>
  <c r="AH852" i="15" s="1"/>
  <c r="AC975" i="15"/>
  <c r="AB975" i="15"/>
  <c r="AD975" i="15" s="1"/>
  <c r="AW360" i="15"/>
  <c r="AV360" i="15"/>
  <c r="AX360" i="15" s="1"/>
  <c r="AO606" i="15"/>
  <c r="AN606" i="15"/>
  <c r="AP606" i="15" s="1"/>
  <c r="AW361" i="15" l="1"/>
  <c r="AV361" i="15"/>
  <c r="AX361" i="15" s="1"/>
  <c r="AC976" i="15"/>
  <c r="AB976" i="15"/>
  <c r="AD976" i="15" s="1"/>
  <c r="AG853" i="15"/>
  <c r="AF853" i="15"/>
  <c r="AH853" i="15" s="1"/>
  <c r="AS484" i="15"/>
  <c r="AR484" i="15"/>
  <c r="AT484" i="15" s="1"/>
  <c r="BE115" i="15"/>
  <c r="BD115" i="15"/>
  <c r="BF115" i="15" s="1"/>
  <c r="BA238" i="15"/>
  <c r="AZ238" i="15"/>
  <c r="BB238" i="15" s="1"/>
  <c r="AO607" i="15"/>
  <c r="AN607" i="15"/>
  <c r="AP607" i="15" s="1"/>
  <c r="AK730" i="15"/>
  <c r="AJ730" i="15"/>
  <c r="AL730" i="15" s="1"/>
  <c r="AK731" i="15" l="1"/>
  <c r="AJ731" i="15"/>
  <c r="AL731" i="15" s="1"/>
  <c r="BA239" i="15"/>
  <c r="AZ239" i="15"/>
  <c r="BB239" i="15" s="1"/>
  <c r="AS485" i="15"/>
  <c r="AR485" i="15"/>
  <c r="AT485" i="15" s="1"/>
  <c r="AG854" i="15"/>
  <c r="AF854" i="15"/>
  <c r="AH854" i="15" s="1"/>
  <c r="AW362" i="15"/>
  <c r="AV362" i="15"/>
  <c r="AX362" i="15" s="1"/>
  <c r="AO608" i="15"/>
  <c r="AN608" i="15"/>
  <c r="AP608" i="15" s="1"/>
  <c r="BE116" i="15"/>
  <c r="BD116" i="15"/>
  <c r="BF116" i="15" s="1"/>
  <c r="AC977" i="15"/>
  <c r="AB977" i="15"/>
  <c r="AD977" i="15" s="1"/>
  <c r="AC978" i="15" l="1"/>
  <c r="AB978" i="15"/>
  <c r="AD978" i="15" s="1"/>
  <c r="AO609" i="15"/>
  <c r="AN609" i="15"/>
  <c r="AP609" i="15" s="1"/>
  <c r="AW363" i="15"/>
  <c r="AV363" i="15"/>
  <c r="AX363" i="15" s="1"/>
  <c r="AG855" i="15"/>
  <c r="AF855" i="15"/>
  <c r="AH855" i="15" s="1"/>
  <c r="AS486" i="15"/>
  <c r="AR486" i="15"/>
  <c r="AT486" i="15" s="1"/>
  <c r="AK732" i="15"/>
  <c r="AJ732" i="15"/>
  <c r="AL732" i="15" s="1"/>
  <c r="BE117" i="15"/>
  <c r="BD117" i="15"/>
  <c r="BF117" i="15" s="1"/>
  <c r="BA240" i="15"/>
  <c r="AZ240" i="15"/>
  <c r="BB240" i="15" s="1"/>
  <c r="BE118" i="15" l="1"/>
  <c r="BD118" i="15"/>
  <c r="BF118" i="15" s="1"/>
  <c r="AK733" i="15"/>
  <c r="AJ733" i="15"/>
  <c r="AL733" i="15" s="1"/>
  <c r="AS487" i="15"/>
  <c r="AR487" i="15"/>
  <c r="AT487" i="15" s="1"/>
  <c r="AG856" i="15"/>
  <c r="AF856" i="15"/>
  <c r="AH856" i="15" s="1"/>
  <c r="AO610" i="15"/>
  <c r="AN610" i="15"/>
  <c r="AP610" i="15" s="1"/>
  <c r="AC979" i="15"/>
  <c r="AB979" i="15"/>
  <c r="AD979" i="15" s="1"/>
  <c r="BA241" i="15"/>
  <c r="AZ241" i="15"/>
  <c r="BB241" i="15" s="1"/>
  <c r="AW364" i="15"/>
  <c r="AV364" i="15"/>
  <c r="AX364" i="15" s="1"/>
  <c r="BA242" i="15" l="1"/>
  <c r="AZ242" i="15"/>
  <c r="BB242" i="15" s="1"/>
  <c r="AC980" i="15"/>
  <c r="AB980" i="15"/>
  <c r="AD980" i="15" s="1"/>
  <c r="AO611" i="15"/>
  <c r="AN611" i="15"/>
  <c r="AP611" i="15" s="1"/>
  <c r="AG857" i="15"/>
  <c r="AF857" i="15"/>
  <c r="AH857" i="15" s="1"/>
  <c r="AK734" i="15"/>
  <c r="AJ734" i="15"/>
  <c r="AL734" i="15" s="1"/>
  <c r="BE119" i="15"/>
  <c r="BD119" i="15"/>
  <c r="BF119" i="15" s="1"/>
  <c r="AW365" i="15"/>
  <c r="AV365" i="15"/>
  <c r="AX365" i="15" s="1"/>
  <c r="AS488" i="15"/>
  <c r="AR488" i="15"/>
  <c r="AT488" i="15" s="1"/>
  <c r="AS489" i="15" l="1"/>
  <c r="AR489" i="15"/>
  <c r="AT489" i="15" s="1"/>
  <c r="AW366" i="15"/>
  <c r="AV366" i="15"/>
  <c r="AX366" i="15" s="1"/>
  <c r="AK735" i="15"/>
  <c r="AJ735" i="15"/>
  <c r="AL735" i="15" s="1"/>
  <c r="AG858" i="15"/>
  <c r="AF858" i="15"/>
  <c r="AH858" i="15" s="1"/>
  <c r="AO612" i="15"/>
  <c r="AN612" i="15"/>
  <c r="AP612" i="15" s="1"/>
  <c r="BA243" i="15"/>
  <c r="AZ243" i="15"/>
  <c r="BB243" i="15" s="1"/>
  <c r="BE120" i="15"/>
  <c r="BD120" i="15"/>
  <c r="BF120" i="15" s="1"/>
  <c r="AC981" i="15"/>
  <c r="AB981" i="15"/>
  <c r="AD981" i="15" s="1"/>
  <c r="AC982" i="15" l="1"/>
  <c r="AB982" i="15"/>
  <c r="AD982" i="15" s="1"/>
  <c r="BA244" i="15"/>
  <c r="AZ244" i="15"/>
  <c r="BB244" i="15" s="1"/>
  <c r="AO613" i="15"/>
  <c r="AN613" i="15"/>
  <c r="AP613" i="15" s="1"/>
  <c r="AG859" i="15"/>
  <c r="AF859" i="15"/>
  <c r="AH859" i="15" s="1"/>
  <c r="AW367" i="15"/>
  <c r="AV367" i="15"/>
  <c r="AX367" i="15" s="1"/>
  <c r="AS490" i="15"/>
  <c r="AR490" i="15"/>
  <c r="AT490" i="15" s="1"/>
  <c r="BE121" i="15"/>
  <c r="BD121" i="15"/>
  <c r="BF121" i="15" s="1"/>
  <c r="AK736" i="15"/>
  <c r="AJ736" i="15"/>
  <c r="AL736" i="15" s="1"/>
  <c r="AK737" i="15" l="1"/>
  <c r="AJ737" i="15"/>
  <c r="AL737" i="15" s="1"/>
  <c r="AS491" i="15"/>
  <c r="AR491" i="15"/>
  <c r="AT491" i="15" s="1"/>
  <c r="AW368" i="15"/>
  <c r="AV368" i="15"/>
  <c r="AX368" i="15" s="1"/>
  <c r="AG860" i="15"/>
  <c r="AF860" i="15"/>
  <c r="AH860" i="15" s="1"/>
  <c r="AO614" i="15"/>
  <c r="AN614" i="15"/>
  <c r="AP614" i="15" s="1"/>
  <c r="AC983" i="15"/>
  <c r="AB983" i="15"/>
  <c r="AD983" i="15" s="1"/>
  <c r="BE122" i="15"/>
  <c r="BD122" i="15"/>
  <c r="BF122" i="15" s="1"/>
  <c r="BA245" i="15"/>
  <c r="AZ245" i="15"/>
  <c r="BB245" i="15" s="1"/>
  <c r="BA246" i="15" l="1"/>
  <c r="AZ246" i="15"/>
  <c r="BB246" i="15" s="1"/>
  <c r="AC984" i="15"/>
  <c r="AB984" i="15"/>
  <c r="AD984" i="15" s="1"/>
  <c r="AO615" i="15"/>
  <c r="AN615" i="15"/>
  <c r="AP615" i="15" s="1"/>
  <c r="AG861" i="15"/>
  <c r="AF861" i="15"/>
  <c r="AH861" i="15" s="1"/>
  <c r="AW369" i="15"/>
  <c r="AV369" i="15"/>
  <c r="AX369" i="15" s="1"/>
  <c r="AK738" i="15"/>
  <c r="AJ738" i="15"/>
  <c r="AL738" i="15" s="1"/>
  <c r="BE123" i="15"/>
  <c r="BD123" i="15"/>
  <c r="BF123" i="15" s="1"/>
  <c r="AS492" i="15"/>
  <c r="AR492" i="15"/>
  <c r="AT492" i="15" s="1"/>
  <c r="AS493" i="15" l="1"/>
  <c r="AR493" i="15"/>
  <c r="AT493" i="15" s="1"/>
  <c r="BE124" i="15"/>
  <c r="BD124" i="15"/>
  <c r="BF124" i="15" s="1"/>
  <c r="AW370" i="15"/>
  <c r="AV370" i="15"/>
  <c r="AX370" i="15" s="1"/>
  <c r="AG862" i="15"/>
  <c r="AF862" i="15"/>
  <c r="AH862" i="15" s="1"/>
  <c r="AO616" i="15"/>
  <c r="AN616" i="15"/>
  <c r="AP616" i="15" s="1"/>
  <c r="BA247" i="15"/>
  <c r="AZ247" i="15"/>
  <c r="BB247" i="15" s="1"/>
  <c r="AK739" i="15"/>
  <c r="AJ739" i="15"/>
  <c r="AL739" i="15" s="1"/>
  <c r="AC985" i="15"/>
  <c r="AB985" i="15"/>
  <c r="AD985" i="15" s="1"/>
  <c r="AC986" i="15" l="1"/>
  <c r="AB986" i="15"/>
  <c r="AD986" i="15" s="1"/>
  <c r="BA248" i="15"/>
  <c r="AZ248" i="15"/>
  <c r="BB248" i="15" s="1"/>
  <c r="AO617" i="15"/>
  <c r="AN617" i="15"/>
  <c r="AP617" i="15" s="1"/>
  <c r="AG863" i="15"/>
  <c r="AF863" i="15"/>
  <c r="AH863" i="15" s="1"/>
  <c r="AW371" i="15"/>
  <c r="AV371" i="15"/>
  <c r="AX371" i="15" s="1"/>
  <c r="AS494" i="15"/>
  <c r="AR494" i="15"/>
  <c r="AT494" i="15" s="1"/>
  <c r="AK740" i="15"/>
  <c r="AJ740" i="15"/>
  <c r="AL740" i="15" s="1"/>
  <c r="BE125" i="15"/>
  <c r="BD125" i="15"/>
  <c r="BF125" i="15" s="1"/>
  <c r="BE126" i="15" l="1"/>
  <c r="BD126" i="15"/>
  <c r="BF126" i="15" s="1"/>
  <c r="AS495" i="15"/>
  <c r="AR495" i="15"/>
  <c r="AT495" i="15" s="1"/>
  <c r="AW372" i="15"/>
  <c r="AV372" i="15"/>
  <c r="AX372" i="15" s="1"/>
  <c r="AG864" i="15"/>
  <c r="AF864" i="15"/>
  <c r="AH864" i="15" s="1"/>
  <c r="BA249" i="15"/>
  <c r="AZ249" i="15"/>
  <c r="BB249" i="15" s="1"/>
  <c r="AC987" i="15"/>
  <c r="AB987" i="15"/>
  <c r="AD987" i="15" s="1"/>
  <c r="AK741" i="15"/>
  <c r="AJ741" i="15"/>
  <c r="AL741" i="15" s="1"/>
  <c r="AO618" i="15"/>
  <c r="AN618" i="15"/>
  <c r="AP618" i="15" s="1"/>
  <c r="AO619" i="15" l="1"/>
  <c r="AN619" i="15"/>
  <c r="AP619" i="15" s="1"/>
  <c r="AC988" i="15"/>
  <c r="AB988" i="15"/>
  <c r="AD988" i="15" s="1"/>
  <c r="BA250" i="15"/>
  <c r="AZ250" i="15"/>
  <c r="BB250" i="15" s="1"/>
  <c r="AG865" i="15"/>
  <c r="AF865" i="15"/>
  <c r="AH865" i="15" s="1"/>
  <c r="AS496" i="15"/>
  <c r="AR496" i="15"/>
  <c r="AT496" i="15" s="1"/>
  <c r="BE127" i="15"/>
  <c r="BD127" i="15"/>
  <c r="BF127" i="15" s="1"/>
  <c r="AK742" i="15"/>
  <c r="AJ742" i="15"/>
  <c r="AL742" i="15" s="1"/>
  <c r="AW373" i="15"/>
  <c r="AV373" i="15"/>
  <c r="AX373" i="15" s="1"/>
  <c r="BE128" i="15" l="1"/>
  <c r="BD128" i="15"/>
  <c r="BF128" i="15" s="1"/>
  <c r="AG866" i="15"/>
  <c r="AF866" i="15"/>
  <c r="AH866" i="15" s="1"/>
  <c r="AC989" i="15"/>
  <c r="AB989" i="15"/>
  <c r="AD989" i="15" s="1"/>
  <c r="AW374" i="15"/>
  <c r="AV374" i="15"/>
  <c r="AX374" i="15" s="1"/>
  <c r="AK743" i="15"/>
  <c r="AJ743" i="15"/>
  <c r="AL743" i="15" s="1"/>
  <c r="AS497" i="15"/>
  <c r="AR497" i="15"/>
  <c r="AT497" i="15" s="1"/>
  <c r="BA251" i="15"/>
  <c r="AZ251" i="15"/>
  <c r="BB251" i="15" s="1"/>
  <c r="AO620" i="15"/>
  <c r="AN620" i="15"/>
  <c r="AP620" i="15" s="1"/>
  <c r="AO621" i="15" l="1"/>
  <c r="AN621" i="15"/>
  <c r="AP621" i="15" s="1"/>
  <c r="AS498" i="15"/>
  <c r="AR498" i="15"/>
  <c r="AT498" i="15" s="1"/>
  <c r="AW375" i="15"/>
  <c r="AV375" i="15"/>
  <c r="AX375" i="15" s="1"/>
  <c r="AC990" i="15"/>
  <c r="AB990" i="15"/>
  <c r="AD990" i="15" s="1"/>
  <c r="BE129" i="15"/>
  <c r="BD129" i="15"/>
  <c r="BF129" i="15" s="1"/>
  <c r="BA252" i="15"/>
  <c r="AZ252" i="15"/>
  <c r="BB252" i="15" s="1"/>
  <c r="AK744" i="15"/>
  <c r="AJ744" i="15"/>
  <c r="AL744" i="15" s="1"/>
  <c r="AG867" i="15"/>
  <c r="AF867" i="15"/>
  <c r="AH867" i="15" s="1"/>
  <c r="AG868" i="15" l="1"/>
  <c r="AF868" i="15"/>
  <c r="AH868" i="15" s="1"/>
  <c r="BA253" i="15"/>
  <c r="AZ253" i="15"/>
  <c r="BB253" i="15" s="1"/>
  <c r="AC991" i="15"/>
  <c r="AB991" i="15"/>
  <c r="AD991" i="15" s="1"/>
  <c r="AW376" i="15"/>
  <c r="AV376" i="15"/>
  <c r="AX376" i="15" s="1"/>
  <c r="AO622" i="15"/>
  <c r="AN622" i="15"/>
  <c r="AP622" i="15" s="1"/>
  <c r="AK745" i="15"/>
  <c r="AJ745" i="15"/>
  <c r="AL745" i="15" s="1"/>
  <c r="BE130" i="15"/>
  <c r="BD130" i="15"/>
  <c r="BF130" i="15" s="1"/>
  <c r="AS499" i="15"/>
  <c r="AR499" i="15"/>
  <c r="AT499" i="15" s="1"/>
  <c r="BE131" i="15" l="1"/>
  <c r="BD131" i="15"/>
  <c r="BF131" i="15" s="1"/>
  <c r="AK746" i="15"/>
  <c r="AJ746" i="15"/>
  <c r="AL746" i="15" s="1"/>
  <c r="AW377" i="15"/>
  <c r="AV377" i="15"/>
  <c r="AX377" i="15" s="1"/>
  <c r="AC992" i="15"/>
  <c r="AB992" i="15"/>
  <c r="AD992" i="15" s="1"/>
  <c r="AG869" i="15"/>
  <c r="AF869" i="15"/>
  <c r="AH869" i="15" s="1"/>
  <c r="AS500" i="15"/>
  <c r="AR500" i="15"/>
  <c r="AT500" i="15" s="1"/>
  <c r="AO623" i="15"/>
  <c r="AN623" i="15"/>
  <c r="AP623" i="15" s="1"/>
  <c r="BA254" i="15"/>
  <c r="AZ254" i="15"/>
  <c r="BB254" i="15" s="1"/>
  <c r="BA255" i="15" l="1"/>
  <c r="AZ255" i="15"/>
  <c r="BB255" i="15" s="1"/>
  <c r="AS501" i="15"/>
  <c r="AR501" i="15"/>
  <c r="AT501" i="15" s="1"/>
  <c r="AG870" i="15"/>
  <c r="AF870" i="15"/>
  <c r="AH870" i="15" s="1"/>
  <c r="AC993" i="15"/>
  <c r="AB993" i="15"/>
  <c r="AD993" i="15" s="1"/>
  <c r="AW378" i="15"/>
  <c r="AV378" i="15"/>
  <c r="AX378" i="15" s="1"/>
  <c r="BE132" i="15"/>
  <c r="BD132" i="15"/>
  <c r="BF132" i="15" s="1"/>
  <c r="AO624" i="15"/>
  <c r="AN624" i="15"/>
  <c r="AP624" i="15" s="1"/>
  <c r="AK747" i="15"/>
  <c r="AJ747" i="15"/>
  <c r="AL747" i="15" s="1"/>
  <c r="AK748" i="15" l="1"/>
  <c r="AJ748" i="15"/>
  <c r="AL748" i="15" s="1"/>
  <c r="BE133" i="15"/>
  <c r="BD133" i="15"/>
  <c r="BF133" i="15" s="1"/>
  <c r="AW379" i="15"/>
  <c r="AV379" i="15"/>
  <c r="AX379" i="15" s="1"/>
  <c r="AG871" i="15"/>
  <c r="AF871" i="15"/>
  <c r="AH871" i="15" s="1"/>
  <c r="AS502" i="15"/>
  <c r="AR502" i="15"/>
  <c r="AT502" i="15" s="1"/>
  <c r="AO625" i="15"/>
  <c r="AN625" i="15"/>
  <c r="AP625" i="15" s="1"/>
  <c r="AC994" i="15"/>
  <c r="AB994" i="15"/>
  <c r="AD994" i="15" s="1"/>
  <c r="BA256" i="15"/>
  <c r="AZ256" i="15"/>
  <c r="BB256" i="15" s="1"/>
  <c r="BA257" i="15" l="1"/>
  <c r="AZ257" i="15"/>
  <c r="BB257" i="15" s="1"/>
  <c r="AO626" i="15"/>
  <c r="AN626" i="15"/>
  <c r="AP626" i="15" s="1"/>
  <c r="AG872" i="15"/>
  <c r="AF872" i="15"/>
  <c r="AH872" i="15" s="1"/>
  <c r="AW380" i="15"/>
  <c r="AV380" i="15"/>
  <c r="AX380" i="15" s="1"/>
  <c r="AK749" i="15"/>
  <c r="AJ749" i="15"/>
  <c r="AL749" i="15" s="1"/>
  <c r="AC995" i="15"/>
  <c r="AB995" i="15"/>
  <c r="AD995" i="15" s="1"/>
  <c r="AS503" i="15"/>
  <c r="AR503" i="15"/>
  <c r="AT503" i="15" s="1"/>
  <c r="BE134" i="15"/>
  <c r="BD134" i="15"/>
  <c r="BF134" i="15" s="1"/>
  <c r="BE135" i="15" l="1"/>
  <c r="BD135" i="15"/>
  <c r="BF135" i="15" s="1"/>
  <c r="AS504" i="15"/>
  <c r="AR504" i="15"/>
  <c r="AT504" i="15" s="1"/>
  <c r="AK750" i="15"/>
  <c r="AJ750" i="15"/>
  <c r="AL750" i="15" s="1"/>
  <c r="AW381" i="15"/>
  <c r="AV381" i="15"/>
  <c r="AX381" i="15" s="1"/>
  <c r="AG873" i="15"/>
  <c r="AF873" i="15"/>
  <c r="AH873" i="15" s="1"/>
  <c r="BA258" i="15"/>
  <c r="AZ258" i="15"/>
  <c r="BB258" i="15" s="1"/>
  <c r="AC996" i="15"/>
  <c r="AB996" i="15"/>
  <c r="AD996" i="15" s="1"/>
  <c r="AO627" i="15"/>
  <c r="AN627" i="15"/>
  <c r="AP627" i="15" s="1"/>
  <c r="AO628" i="15" l="1"/>
  <c r="AN628" i="15"/>
  <c r="AP628" i="15" s="1"/>
  <c r="AC997" i="15"/>
  <c r="AB997" i="15"/>
  <c r="AD997" i="15" s="1"/>
  <c r="AG874" i="15"/>
  <c r="AF874" i="15"/>
  <c r="AH874" i="15" s="1"/>
  <c r="AW382" i="15"/>
  <c r="AV382" i="15"/>
  <c r="AX382" i="15" s="1"/>
  <c r="AK751" i="15"/>
  <c r="AJ751" i="15"/>
  <c r="AL751" i="15" s="1"/>
  <c r="BE136" i="15"/>
  <c r="BD136" i="15"/>
  <c r="BF136" i="15" s="1"/>
  <c r="BA259" i="15"/>
  <c r="AZ259" i="15"/>
  <c r="BB259" i="15" s="1"/>
  <c r="AS505" i="15"/>
  <c r="AR505" i="15"/>
  <c r="AT505" i="15" s="1"/>
  <c r="AS506" i="15" l="1"/>
  <c r="AR506" i="15"/>
  <c r="AT506" i="15" s="1"/>
  <c r="BA260" i="15"/>
  <c r="AZ260" i="15"/>
  <c r="BB260" i="15" s="1"/>
  <c r="AK752" i="15"/>
  <c r="AJ752" i="15"/>
  <c r="AL752" i="15" s="1"/>
  <c r="AW383" i="15"/>
  <c r="AV383" i="15"/>
  <c r="AX383" i="15" s="1"/>
  <c r="AG875" i="15"/>
  <c r="AF875" i="15"/>
  <c r="AH875" i="15" s="1"/>
  <c r="AO629" i="15"/>
  <c r="AN629" i="15"/>
  <c r="AP629" i="15" s="1"/>
  <c r="BE137" i="15"/>
  <c r="BD137" i="15"/>
  <c r="BF137" i="15" s="1"/>
  <c r="AC998" i="15"/>
  <c r="AB998" i="15"/>
  <c r="AD998" i="15" s="1"/>
  <c r="BE138" i="15" l="1"/>
  <c r="BD138" i="15"/>
  <c r="BF138" i="15" s="1"/>
  <c r="AG876" i="15"/>
  <c r="AF876" i="15"/>
  <c r="AH876" i="15" s="1"/>
  <c r="AK753" i="15"/>
  <c r="AJ753" i="15"/>
  <c r="AL753" i="15" s="1"/>
  <c r="AS507" i="15"/>
  <c r="AR507" i="15"/>
  <c r="AT507" i="15" s="1"/>
  <c r="AC999" i="15"/>
  <c r="AB999" i="15"/>
  <c r="AD999" i="15" s="1"/>
  <c r="AO630" i="15"/>
  <c r="AN630" i="15"/>
  <c r="AP630" i="15" s="1"/>
  <c r="AW384" i="15"/>
  <c r="AV384" i="15"/>
  <c r="AX384" i="15" s="1"/>
  <c r="BA261" i="15"/>
  <c r="AZ261" i="15"/>
  <c r="BB261" i="15" s="1"/>
  <c r="BA262" i="15" l="1"/>
  <c r="AZ262" i="15"/>
  <c r="BB262" i="15" s="1"/>
  <c r="AW385" i="15"/>
  <c r="AV385" i="15"/>
  <c r="AX385" i="15" s="1"/>
  <c r="AO631" i="15"/>
  <c r="AN631" i="15"/>
  <c r="AP631" i="15" s="1"/>
  <c r="AC1000" i="15"/>
  <c r="AB1000" i="15"/>
  <c r="AD1000" i="15" s="1"/>
  <c r="AS508" i="15"/>
  <c r="AR508" i="15"/>
  <c r="AT508" i="15" s="1"/>
  <c r="AK754" i="15"/>
  <c r="AJ754" i="15"/>
  <c r="AL754" i="15" s="1"/>
  <c r="BE139" i="15"/>
  <c r="BD139" i="15"/>
  <c r="BF139" i="15" s="1"/>
  <c r="AG877" i="15"/>
  <c r="AF877" i="15"/>
  <c r="AH877" i="15" s="1"/>
  <c r="AK755" i="15" l="1"/>
  <c r="AJ755" i="15"/>
  <c r="AL755" i="15" s="1"/>
  <c r="AS509" i="15"/>
  <c r="AR509" i="15"/>
  <c r="AT509" i="15" s="1"/>
  <c r="AC1001" i="15"/>
  <c r="AB1001" i="15"/>
  <c r="AD1001" i="15" s="1"/>
  <c r="AO632" i="15"/>
  <c r="AN632" i="15"/>
  <c r="AP632" i="15" s="1"/>
  <c r="BA263" i="15"/>
  <c r="AZ263" i="15"/>
  <c r="BB263" i="15" s="1"/>
  <c r="AG878" i="15"/>
  <c r="AF878" i="15"/>
  <c r="AH878" i="15" s="1"/>
  <c r="BE140" i="15"/>
  <c r="BD140" i="15"/>
  <c r="BF140" i="15" s="1"/>
  <c r="AW386" i="15"/>
  <c r="AV386" i="15"/>
  <c r="AX386" i="15" s="1"/>
  <c r="AW387" i="15" l="1"/>
  <c r="AV387" i="15"/>
  <c r="AX387" i="15" s="1"/>
  <c r="AG879" i="15"/>
  <c r="AF879" i="15"/>
  <c r="AH879" i="15" s="1"/>
  <c r="AO633" i="15"/>
  <c r="AN633" i="15"/>
  <c r="AP633" i="15" s="1"/>
  <c r="AC1002" i="15"/>
  <c r="AB1002" i="15"/>
  <c r="AD1002" i="15" s="1"/>
  <c r="AK756" i="15"/>
  <c r="AJ756" i="15"/>
  <c r="AL756" i="15" s="1"/>
  <c r="BE141" i="15"/>
  <c r="BD141" i="15"/>
  <c r="BF141" i="15" s="1"/>
  <c r="BA264" i="15"/>
  <c r="AZ264" i="15"/>
  <c r="BB264" i="15" s="1"/>
  <c r="AS510" i="15"/>
  <c r="AR510" i="15"/>
  <c r="AT510" i="15" s="1"/>
  <c r="AS511" i="15" l="1"/>
  <c r="AR511" i="15"/>
  <c r="AT511" i="15" s="1"/>
  <c r="BE142" i="15"/>
  <c r="BD142" i="15"/>
  <c r="BF142" i="15" s="1"/>
  <c r="AK757" i="15"/>
  <c r="AJ757" i="15"/>
  <c r="AL757" i="15" s="1"/>
  <c r="AC1003" i="15"/>
  <c r="AB1003" i="15"/>
  <c r="AD1003" i="15" s="1"/>
  <c r="AO634" i="15"/>
  <c r="AN634" i="15"/>
  <c r="AP634" i="15" s="1"/>
  <c r="AW388" i="15"/>
  <c r="AV388" i="15"/>
  <c r="AX388" i="15" s="1"/>
  <c r="BA265" i="15"/>
  <c r="AZ265" i="15"/>
  <c r="BB265" i="15" s="1"/>
  <c r="AG880" i="15"/>
  <c r="AF880" i="15"/>
  <c r="AH880" i="15" s="1"/>
  <c r="AG881" i="15" l="1"/>
  <c r="AF881" i="15"/>
  <c r="AH881" i="15" s="1"/>
  <c r="BA266" i="15"/>
  <c r="AZ266" i="15"/>
  <c r="BB266" i="15" s="1"/>
  <c r="AO635" i="15"/>
  <c r="AN635" i="15"/>
  <c r="AP635" i="15" s="1"/>
  <c r="AC1004" i="15"/>
  <c r="AB1004" i="15"/>
  <c r="AD1004" i="15" s="1"/>
  <c r="AK758" i="15"/>
  <c r="AJ758" i="15"/>
  <c r="AL758" i="15" s="1"/>
  <c r="AS512" i="15"/>
  <c r="AR512" i="15"/>
  <c r="AT512" i="15" s="1"/>
  <c r="AW389" i="15"/>
  <c r="AV389" i="15"/>
  <c r="AX389" i="15" s="1"/>
  <c r="BE143" i="15"/>
  <c r="BD143" i="15"/>
  <c r="BF143" i="15" s="1"/>
  <c r="BE144" i="15" l="1"/>
  <c r="BD144" i="15"/>
  <c r="BF144" i="15" s="1"/>
  <c r="AS513" i="15"/>
  <c r="AR513" i="15"/>
  <c r="AT513" i="15" s="1"/>
  <c r="AK759" i="15"/>
  <c r="AJ759" i="15"/>
  <c r="AL759" i="15" s="1"/>
  <c r="AO636" i="15"/>
  <c r="AN636" i="15"/>
  <c r="AP636" i="15" s="1"/>
  <c r="AG882" i="15"/>
  <c r="AF882" i="15"/>
  <c r="AH882" i="15" s="1"/>
  <c r="AW390" i="15"/>
  <c r="AV390" i="15"/>
  <c r="AX390" i="15" s="1"/>
  <c r="AC1005" i="15"/>
  <c r="AB1005" i="15"/>
  <c r="AD1005" i="15" s="1"/>
  <c r="BA267" i="15"/>
  <c r="AZ267" i="15"/>
  <c r="BB267" i="15" s="1"/>
  <c r="AC1006" i="15" l="1"/>
  <c r="AB1006" i="15"/>
  <c r="AD1006" i="15" s="1"/>
  <c r="AG883" i="15"/>
  <c r="AF883" i="15"/>
  <c r="AH883" i="15" s="1"/>
  <c r="AO637" i="15"/>
  <c r="AN637" i="15"/>
  <c r="AP637" i="15" s="1"/>
  <c r="AK760" i="15"/>
  <c r="AJ760" i="15"/>
  <c r="AL760" i="15" s="1"/>
  <c r="BE145" i="15"/>
  <c r="BD145" i="15"/>
  <c r="BF145" i="15" s="1"/>
  <c r="BA268" i="15"/>
  <c r="AZ268" i="15"/>
  <c r="BB268" i="15" s="1"/>
  <c r="AW391" i="15"/>
  <c r="AV391" i="15"/>
  <c r="AX391" i="15" s="1"/>
  <c r="AS514" i="15"/>
  <c r="AR514" i="15"/>
  <c r="AT514" i="15" s="1"/>
  <c r="AW392" i="15" l="1"/>
  <c r="AV392" i="15"/>
  <c r="AX392" i="15" s="1"/>
  <c r="BE146" i="15"/>
  <c r="BD146" i="15"/>
  <c r="BF146" i="15" s="1"/>
  <c r="AK761" i="15"/>
  <c r="AJ761" i="15"/>
  <c r="AL761" i="15" s="1"/>
  <c r="AO638" i="15"/>
  <c r="AN638" i="15"/>
  <c r="AP638" i="15" s="1"/>
  <c r="AC1007" i="15"/>
  <c r="AB1007" i="15"/>
  <c r="AD1007" i="15" s="1"/>
  <c r="AS515" i="15"/>
  <c r="AR515" i="15"/>
  <c r="AT515" i="15" s="1"/>
  <c r="BA269" i="15"/>
  <c r="AZ269" i="15"/>
  <c r="BB269" i="15" s="1"/>
  <c r="AG884" i="15"/>
  <c r="AF884" i="15"/>
  <c r="AH884" i="15" s="1"/>
  <c r="AG885" i="15" l="1"/>
  <c r="AF885" i="15"/>
  <c r="AH885" i="15" s="1"/>
  <c r="BA270" i="15"/>
  <c r="AZ270" i="15"/>
  <c r="BB270" i="15" s="1"/>
  <c r="AC1008" i="15"/>
  <c r="AB1008" i="15"/>
  <c r="AD1008" i="15" s="1"/>
  <c r="AO639" i="15"/>
  <c r="AN639" i="15"/>
  <c r="AP639" i="15" s="1"/>
  <c r="AK762" i="15"/>
  <c r="AJ762" i="15"/>
  <c r="AL762" i="15" s="1"/>
  <c r="AW393" i="15"/>
  <c r="AV393" i="15"/>
  <c r="AX393" i="15" s="1"/>
  <c r="AS516" i="15"/>
  <c r="AR516" i="15"/>
  <c r="AT516" i="15" s="1"/>
  <c r="K16" i="15"/>
  <c r="BE147" i="15"/>
  <c r="BD147" i="15"/>
  <c r="BF147" i="15" s="1"/>
  <c r="AW394" i="15" l="1"/>
  <c r="AV394" i="15"/>
  <c r="AX394" i="15" s="1"/>
  <c r="AO640" i="15"/>
  <c r="AN640" i="15"/>
  <c r="AP640" i="15" s="1"/>
  <c r="BA271" i="15"/>
  <c r="AZ271" i="15"/>
  <c r="BB271" i="15" s="1"/>
  <c r="AG886" i="15"/>
  <c r="AF886" i="15"/>
  <c r="AH886" i="15" s="1"/>
  <c r="AS517" i="15"/>
  <c r="AR517" i="15"/>
  <c r="AT517" i="15" s="1"/>
  <c r="AK763" i="15"/>
  <c r="AJ763" i="15"/>
  <c r="AL763" i="15" s="1"/>
  <c r="AC1009" i="15"/>
  <c r="AB1009" i="15"/>
  <c r="AD1009" i="15" s="1"/>
  <c r="BE148" i="15"/>
  <c r="BD148" i="15"/>
  <c r="BF148" i="15" s="1"/>
  <c r="H17" i="15"/>
  <c r="L16" i="15"/>
  <c r="M16" i="15"/>
  <c r="F17" i="15" s="1"/>
  <c r="E17" i="15" s="1"/>
  <c r="D17" i="15"/>
  <c r="C17" i="15" s="1"/>
  <c r="BE149" i="15" l="1"/>
  <c r="BD149" i="15"/>
  <c r="BF149" i="15" s="1"/>
  <c r="AC1010" i="15"/>
  <c r="AB1010" i="15"/>
  <c r="AD1010" i="15" s="1"/>
  <c r="AK764" i="15"/>
  <c r="AJ764" i="15"/>
  <c r="AL764" i="15" s="1"/>
  <c r="AS518" i="15"/>
  <c r="AR518" i="15"/>
  <c r="AT518" i="15" s="1"/>
  <c r="AG887" i="15"/>
  <c r="AF887" i="15"/>
  <c r="AH887" i="15" s="1"/>
  <c r="BA272" i="15"/>
  <c r="AZ272" i="15"/>
  <c r="BB272" i="15" s="1"/>
  <c r="AO641" i="15"/>
  <c r="AN641" i="15"/>
  <c r="AP641" i="15" s="1"/>
  <c r="AW395" i="15"/>
  <c r="AV395" i="15"/>
  <c r="AX395" i="15" s="1"/>
  <c r="I17" i="15"/>
  <c r="BG28" i="15"/>
  <c r="BG29" i="15"/>
  <c r="BG30" i="15"/>
  <c r="BG31" i="15"/>
  <c r="BG32" i="15"/>
  <c r="BG33" i="15"/>
  <c r="BG34" i="15"/>
  <c r="BG35" i="15"/>
  <c r="BG36" i="15"/>
  <c r="BG37" i="15"/>
  <c r="BG38" i="15"/>
  <c r="BG39" i="15"/>
  <c r="BG40" i="15"/>
  <c r="BG41" i="15"/>
  <c r="BG42" i="15"/>
  <c r="BG43" i="15"/>
  <c r="BG44" i="15"/>
  <c r="BG45" i="15"/>
  <c r="BG46" i="15"/>
  <c r="BG47" i="15"/>
  <c r="BG48" i="15"/>
  <c r="BG49" i="15"/>
  <c r="BG50" i="15"/>
  <c r="BG51" i="15"/>
  <c r="BG52" i="15"/>
  <c r="BG53" i="15"/>
  <c r="BG54" i="15"/>
  <c r="BG55" i="15"/>
  <c r="BG56" i="15"/>
  <c r="BG57" i="15"/>
  <c r="BG58" i="15"/>
  <c r="BG59" i="15"/>
  <c r="BG60" i="15"/>
  <c r="BG61" i="15"/>
  <c r="BG62" i="15"/>
  <c r="BG63" i="15"/>
  <c r="BG64" i="15"/>
  <c r="BG65" i="15"/>
  <c r="BG66" i="15"/>
  <c r="BG67" i="15"/>
  <c r="BG68" i="15"/>
  <c r="BG69" i="15"/>
  <c r="BG70" i="15"/>
  <c r="BG71" i="15"/>
  <c r="BG72" i="15"/>
  <c r="BG73" i="15"/>
  <c r="BG74" i="15"/>
  <c r="BG75" i="15"/>
  <c r="BG76" i="15"/>
  <c r="BG77" i="15"/>
  <c r="BG78" i="15"/>
  <c r="BG79" i="15"/>
  <c r="BG80" i="15"/>
  <c r="BG81" i="15"/>
  <c r="BG82" i="15"/>
  <c r="BG83" i="15"/>
  <c r="BG84" i="15"/>
  <c r="BG85" i="15"/>
  <c r="BG86" i="15"/>
  <c r="BG87" i="15"/>
  <c r="BG88" i="15"/>
  <c r="BG89" i="15"/>
  <c r="BG90" i="15"/>
  <c r="BG91" i="15"/>
  <c r="BG92" i="15"/>
  <c r="BG93" i="15"/>
  <c r="BG94" i="15"/>
  <c r="BG95" i="15"/>
  <c r="BG96" i="15"/>
  <c r="BG97" i="15"/>
  <c r="BG98" i="15"/>
  <c r="BG99" i="15"/>
  <c r="BG100" i="15"/>
  <c r="BG101" i="15"/>
  <c r="BG102" i="15"/>
  <c r="BG103" i="15"/>
  <c r="BG104" i="15"/>
  <c r="BG105" i="15"/>
  <c r="BG106" i="15"/>
  <c r="BG107" i="15"/>
  <c r="BG108" i="15"/>
  <c r="BG109" i="15"/>
  <c r="BG110" i="15"/>
  <c r="BG111" i="15"/>
  <c r="BG112" i="15"/>
  <c r="BG113" i="15"/>
  <c r="BG114" i="15"/>
  <c r="BG115" i="15"/>
  <c r="BG116" i="15"/>
  <c r="BG117" i="15"/>
  <c r="BG118" i="15"/>
  <c r="BG119" i="15"/>
  <c r="BG120" i="15"/>
  <c r="BG121" i="15"/>
  <c r="BG122" i="15"/>
  <c r="BG123" i="15"/>
  <c r="BG124" i="15"/>
  <c r="BG125" i="15"/>
  <c r="BG126" i="15"/>
  <c r="BG127" i="15"/>
  <c r="BG128" i="15"/>
  <c r="BG129" i="15"/>
  <c r="BG130" i="15"/>
  <c r="BG131" i="15"/>
  <c r="BG132" i="15"/>
  <c r="BG133" i="15"/>
  <c r="BG134" i="15"/>
  <c r="BG135" i="15"/>
  <c r="BG136" i="15"/>
  <c r="BG137" i="15"/>
  <c r="BG138" i="15"/>
  <c r="BG139" i="15"/>
  <c r="BG140" i="15"/>
  <c r="BG141" i="15"/>
  <c r="BG142" i="15"/>
  <c r="BG143" i="15"/>
  <c r="BG144" i="15"/>
  <c r="BG145" i="15"/>
  <c r="BG146" i="15"/>
  <c r="BG27" i="15"/>
  <c r="BH27" i="15" s="1"/>
  <c r="J17" i="15"/>
  <c r="BG149" i="15"/>
  <c r="BG150" i="15"/>
  <c r="BG152" i="15"/>
  <c r="BG156" i="15"/>
  <c r="BG157" i="15"/>
  <c r="BG160" i="15"/>
  <c r="BG161" i="15"/>
  <c r="BG164" i="15"/>
  <c r="BG166" i="15"/>
  <c r="BG167" i="15"/>
  <c r="BG170" i="15"/>
  <c r="BG171" i="15"/>
  <c r="BG173" i="15"/>
  <c r="BG174" i="15"/>
  <c r="BG177" i="15"/>
  <c r="BG179" i="15"/>
  <c r="BG180" i="15"/>
  <c r="BG183" i="15"/>
  <c r="BG184" i="15"/>
  <c r="BG185" i="15"/>
  <c r="BG188" i="15"/>
  <c r="BG190" i="15"/>
  <c r="BG194" i="15"/>
  <c r="BG195" i="15"/>
  <c r="BG198" i="15"/>
  <c r="BG200" i="15"/>
  <c r="BG203" i="15"/>
  <c r="BG204" i="15"/>
  <c r="BG210" i="15"/>
  <c r="BG213" i="15"/>
  <c r="BG214" i="15"/>
  <c r="BG216" i="15"/>
  <c r="BG217" i="15"/>
  <c r="BG218" i="15"/>
  <c r="BG221" i="15"/>
  <c r="BG223" i="15"/>
  <c r="BG224" i="15"/>
  <c r="BG227" i="15"/>
  <c r="BG228" i="15"/>
  <c r="BG231" i="15"/>
  <c r="BG232" i="15"/>
  <c r="BG233" i="15"/>
  <c r="BG237" i="15"/>
  <c r="BG239" i="15"/>
  <c r="BG241" i="15"/>
  <c r="BG247" i="15"/>
  <c r="BG248" i="15"/>
  <c r="BG251" i="15"/>
  <c r="BG252" i="15"/>
  <c r="BG256" i="15"/>
  <c r="BG260" i="15"/>
  <c r="BG262" i="15"/>
  <c r="BG263" i="15"/>
  <c r="BG266" i="15"/>
  <c r="BG268" i="15"/>
  <c r="BG271" i="15"/>
  <c r="BG272" i="15"/>
  <c r="BG275" i="15"/>
  <c r="BG277" i="15"/>
  <c r="BG278" i="15"/>
  <c r="BG283" i="15"/>
  <c r="BG284" i="15"/>
  <c r="BG285" i="15"/>
  <c r="BG286" i="15"/>
  <c r="BG289" i="15"/>
  <c r="BG290" i="15"/>
  <c r="BG292" i="15"/>
  <c r="BG293" i="15"/>
  <c r="BG297" i="15"/>
  <c r="BG298" i="15"/>
  <c r="BG301" i="15"/>
  <c r="BG302" i="15"/>
  <c r="BG306" i="15"/>
  <c r="BG307" i="15"/>
  <c r="BG310" i="15"/>
  <c r="BG312" i="15"/>
  <c r="BG313" i="15"/>
  <c r="BG316" i="15"/>
  <c r="BG317" i="15"/>
  <c r="BG320" i="15"/>
  <c r="BG322" i="15"/>
  <c r="BG325" i="15"/>
  <c r="BG327" i="15"/>
  <c r="BG329" i="15"/>
  <c r="BG330" i="15"/>
  <c r="BG332" i="15"/>
  <c r="BG334" i="15"/>
  <c r="BG335" i="15"/>
  <c r="BG338" i="15"/>
  <c r="BG340" i="15"/>
  <c r="BG344" i="15"/>
  <c r="BG345" i="15"/>
  <c r="BG346" i="15"/>
  <c r="BG348" i="15"/>
  <c r="BG351" i="15"/>
  <c r="BG352" i="15"/>
  <c r="BG356" i="15"/>
  <c r="BG359" i="15"/>
  <c r="BG360" i="15"/>
  <c r="BG363" i="15"/>
  <c r="BG365" i="15"/>
  <c r="BG366" i="15"/>
  <c r="BG369" i="15"/>
  <c r="BG372" i="15"/>
  <c r="BG374" i="15"/>
  <c r="BG376" i="15"/>
  <c r="BG379" i="15"/>
  <c r="BG384" i="15"/>
  <c r="BG385" i="15"/>
  <c r="BG388" i="15"/>
  <c r="BG390" i="15"/>
  <c r="BG391" i="15"/>
  <c r="BG392" i="15"/>
  <c r="BG393" i="15"/>
  <c r="BG394" i="15"/>
  <c r="BG395" i="15"/>
  <c r="BG396" i="15"/>
  <c r="BG397" i="15"/>
  <c r="BG398" i="15"/>
  <c r="BG400" i="15"/>
  <c r="BG404" i="15"/>
  <c r="BG405" i="15"/>
  <c r="BG406" i="15"/>
  <c r="BG408" i="15"/>
  <c r="BG411" i="15"/>
  <c r="BG414" i="15"/>
  <c r="BG417" i="15"/>
  <c r="BG420" i="15"/>
  <c r="BG421" i="15"/>
  <c r="BG423" i="15"/>
  <c r="BG426" i="15"/>
  <c r="BG428" i="15"/>
  <c r="BG429" i="15"/>
  <c r="BG431" i="15"/>
  <c r="BG432" i="15"/>
  <c r="BG436" i="15"/>
  <c r="BG437" i="15"/>
  <c r="BG439" i="15"/>
  <c r="BG441" i="15"/>
  <c r="BG442" i="15"/>
  <c r="BG443" i="15"/>
  <c r="BG444" i="15"/>
  <c r="BG447" i="15"/>
  <c r="BG450" i="15"/>
  <c r="BG451" i="15"/>
  <c r="BG453" i="15"/>
  <c r="BG455" i="15"/>
  <c r="BG457" i="15"/>
  <c r="BG458" i="15"/>
  <c r="BG461" i="15"/>
  <c r="BG462" i="15"/>
  <c r="BG464" i="15"/>
  <c r="BG467" i="15"/>
  <c r="BG468" i="15"/>
  <c r="BG470" i="15"/>
  <c r="BG471" i="15"/>
  <c r="BG474" i="15"/>
  <c r="BG475" i="15"/>
  <c r="BG477" i="15"/>
  <c r="BG480" i="15"/>
  <c r="BG481" i="15"/>
  <c r="BG483" i="15"/>
  <c r="BG484" i="15"/>
  <c r="BG487" i="15"/>
  <c r="BG488" i="15"/>
  <c r="BG490" i="15"/>
  <c r="BG492" i="15"/>
  <c r="BG493" i="15"/>
  <c r="BG495" i="15"/>
  <c r="BG498" i="15"/>
  <c r="BG499" i="15"/>
  <c r="BG501" i="15"/>
  <c r="BG504" i="15"/>
  <c r="BG505" i="15"/>
  <c r="BG506" i="15"/>
  <c r="BG509" i="15"/>
  <c r="BG510" i="15"/>
  <c r="BG512" i="15"/>
  <c r="BG514" i="15"/>
  <c r="BG515" i="15"/>
  <c r="BG519" i="15"/>
  <c r="BG520" i="15"/>
  <c r="BG523" i="15"/>
  <c r="BG525" i="15"/>
  <c r="BG528" i="15"/>
  <c r="BG529" i="15"/>
  <c r="BG533" i="15"/>
  <c r="BG534" i="15"/>
  <c r="BG536" i="15"/>
  <c r="BG537" i="15"/>
  <c r="BG540" i="15"/>
  <c r="BG541" i="15"/>
  <c r="BG544" i="15"/>
  <c r="BG545" i="15"/>
  <c r="BG548" i="15"/>
  <c r="BG549" i="15"/>
  <c r="BG550" i="15"/>
  <c r="BG555" i="15"/>
  <c r="BG556" i="15"/>
  <c r="BG557" i="15"/>
  <c r="BG560" i="15"/>
  <c r="BG561" i="15"/>
  <c r="BG564" i="15"/>
  <c r="BG565" i="15"/>
  <c r="BG570" i="15"/>
  <c r="BG571" i="15"/>
  <c r="BG573" i="15"/>
  <c r="BG576" i="15"/>
  <c r="BG581" i="15"/>
  <c r="BG582" i="15"/>
  <c r="BG583" i="15"/>
  <c r="BG584" i="15"/>
  <c r="BG588" i="15"/>
  <c r="BG589" i="15"/>
  <c r="BG591" i="15"/>
  <c r="BG593" i="15"/>
  <c r="BG594" i="15"/>
  <c r="BG597" i="15"/>
  <c r="BG598" i="15"/>
  <c r="BG600" i="15"/>
  <c r="BG602" i="15"/>
  <c r="BG605" i="15"/>
  <c r="BG606" i="15"/>
  <c r="BG608" i="15"/>
  <c r="BG609" i="15"/>
  <c r="BG612" i="15"/>
  <c r="BG613" i="15"/>
  <c r="BG616" i="15"/>
  <c r="BG619" i="15"/>
  <c r="BG620" i="15"/>
  <c r="BG621" i="15"/>
  <c r="BG622" i="15"/>
  <c r="BG626" i="15"/>
  <c r="BG627" i="15"/>
  <c r="BG631" i="15"/>
  <c r="BG633" i="15"/>
  <c r="BG634" i="15"/>
  <c r="BG636" i="15"/>
  <c r="BG637" i="15"/>
  <c r="BG638" i="15"/>
  <c r="BG639" i="15"/>
  <c r="BG640" i="15"/>
  <c r="BG643" i="15"/>
  <c r="BG645" i="15"/>
  <c r="BG646" i="15"/>
  <c r="BG648" i="15"/>
  <c r="BG651" i="15"/>
  <c r="BG652" i="15"/>
  <c r="BG655" i="15"/>
  <c r="BG656" i="15"/>
  <c r="BG659" i="15"/>
  <c r="BG660" i="15"/>
  <c r="BG661" i="15"/>
  <c r="BG663" i="15"/>
  <c r="BG666" i="15"/>
  <c r="BG667" i="15"/>
  <c r="BG670" i="15"/>
  <c r="BG672" i="15"/>
  <c r="BG675" i="15"/>
  <c r="BG676" i="15"/>
  <c r="BG678" i="15"/>
  <c r="BG679" i="15"/>
  <c r="BG682" i="15"/>
  <c r="BG683" i="15"/>
  <c r="BG686" i="15"/>
  <c r="BG688" i="15"/>
  <c r="BG689" i="15"/>
  <c r="BG693" i="15"/>
  <c r="BG696" i="15"/>
  <c r="BG697" i="15"/>
  <c r="BG699" i="15"/>
  <c r="BG701" i="15"/>
  <c r="BG706" i="15"/>
  <c r="BG707" i="15"/>
  <c r="BG710" i="15"/>
  <c r="BG713" i="15"/>
  <c r="BG715" i="15"/>
  <c r="BG718" i="15"/>
  <c r="BG720" i="15"/>
  <c r="BG721" i="15"/>
  <c r="BG722" i="15"/>
  <c r="BG723" i="15"/>
  <c r="BG726" i="15"/>
  <c r="BG728" i="15"/>
  <c r="BG729" i="15"/>
  <c r="BG731" i="15"/>
  <c r="BG733" i="15"/>
  <c r="BG735" i="15"/>
  <c r="BG738" i="15"/>
  <c r="BG739" i="15"/>
  <c r="BG743" i="15"/>
  <c r="BG746" i="15"/>
  <c r="BG748" i="15"/>
  <c r="BG750" i="15"/>
  <c r="BG752" i="15"/>
  <c r="BG756" i="15"/>
  <c r="BG757" i="15"/>
  <c r="BG758" i="15"/>
  <c r="BG761" i="15"/>
  <c r="BG762" i="15"/>
  <c r="BG764" i="15"/>
  <c r="BG765" i="15"/>
  <c r="BG768" i="15"/>
  <c r="BG769" i="15"/>
  <c r="BG770" i="15"/>
  <c r="BG773" i="15"/>
  <c r="BG776" i="15"/>
  <c r="BG777" i="15"/>
  <c r="BG779" i="15"/>
  <c r="BG780" i="15"/>
  <c r="BG783" i="15"/>
  <c r="BG785" i="15"/>
  <c r="BG786" i="15"/>
  <c r="BG789" i="15"/>
  <c r="BG790" i="15"/>
  <c r="BG793" i="15"/>
  <c r="BG794" i="15"/>
  <c r="BG795" i="15"/>
  <c r="BG798" i="15"/>
  <c r="BG800" i="15"/>
  <c r="BG803" i="15"/>
  <c r="BG804" i="15"/>
  <c r="BG807" i="15"/>
  <c r="BG808" i="15"/>
  <c r="BG809" i="15"/>
  <c r="BG812" i="15"/>
  <c r="BG813" i="15"/>
  <c r="BG816" i="15"/>
  <c r="BG817" i="15"/>
  <c r="BG819" i="15"/>
  <c r="BG821" i="15"/>
  <c r="BG824" i="15"/>
  <c r="BG825" i="15"/>
  <c r="BG826" i="15"/>
  <c r="BG830" i="15"/>
  <c r="BG831" i="15"/>
  <c r="BG834" i="15"/>
  <c r="BG837" i="15"/>
  <c r="BG838" i="15"/>
  <c r="BG839" i="15"/>
  <c r="BG844" i="15"/>
  <c r="BG845" i="15"/>
  <c r="BG848" i="15"/>
  <c r="BG849" i="15"/>
  <c r="BG855" i="15"/>
  <c r="BG856" i="15"/>
  <c r="BG857" i="15"/>
  <c r="BG862" i="15"/>
  <c r="BG863" i="15"/>
  <c r="BG864" i="15"/>
  <c r="BG868" i="15"/>
  <c r="BG869" i="15"/>
  <c r="BG872" i="15"/>
  <c r="BG875" i="15"/>
  <c r="BG876" i="15"/>
  <c r="BG877" i="15"/>
  <c r="BG881" i="15"/>
  <c r="BG883" i="15"/>
  <c r="BG884" i="15"/>
  <c r="BG887" i="15"/>
  <c r="BG889" i="15"/>
  <c r="BG893" i="15"/>
  <c r="BG894" i="15"/>
  <c r="BG898" i="15"/>
  <c r="BG900" i="15"/>
  <c r="BG903" i="15"/>
  <c r="BG904" i="15"/>
  <c r="BG906" i="15"/>
  <c r="BG907" i="15"/>
  <c r="BG909" i="15"/>
  <c r="BG911" i="15"/>
  <c r="BG912" i="15"/>
  <c r="BG915" i="15"/>
  <c r="BG917" i="15"/>
  <c r="BG918" i="15"/>
  <c r="BG923" i="15"/>
  <c r="BG924" i="15"/>
  <c r="BG925" i="15"/>
  <c r="BG928" i="15"/>
  <c r="BG930" i="15"/>
  <c r="BG931" i="15"/>
  <c r="BG933" i="15"/>
  <c r="BG934" i="15"/>
  <c r="BG937" i="15"/>
  <c r="BG939" i="15"/>
  <c r="BG940" i="15"/>
  <c r="BG943" i="15"/>
  <c r="BG944" i="15"/>
  <c r="BG948" i="15"/>
  <c r="BG950" i="15"/>
  <c r="BG953" i="15"/>
  <c r="BG955" i="15"/>
  <c r="BG956" i="15"/>
  <c r="BG958" i="15"/>
  <c r="BG959" i="15"/>
  <c r="BG963" i="15"/>
  <c r="BG964" i="15"/>
  <c r="BG965" i="15"/>
  <c r="BG969" i="15"/>
  <c r="BG970" i="15"/>
  <c r="BG973" i="15"/>
  <c r="BG975" i="15"/>
  <c r="BG976" i="15"/>
  <c r="BG980" i="15"/>
  <c r="BG981" i="15"/>
  <c r="BG983" i="15"/>
  <c r="BG985" i="15"/>
  <c r="BG988" i="15"/>
  <c r="BG989" i="15"/>
  <c r="BG991" i="15"/>
  <c r="BG993" i="15"/>
  <c r="BG994" i="15"/>
  <c r="BG996" i="15"/>
  <c r="BG998" i="15"/>
  <c r="BG1000" i="15"/>
  <c r="BG1002" i="15"/>
  <c r="BG1004" i="15"/>
  <c r="BG1007" i="15"/>
  <c r="BG1008" i="15"/>
  <c r="BG1009" i="15"/>
  <c r="BG1012" i="15"/>
  <c r="BG1013" i="15"/>
  <c r="BG1015" i="15"/>
  <c r="BG1017" i="15"/>
  <c r="BG1020" i="15"/>
  <c r="BG1021" i="15"/>
  <c r="BG1022" i="15"/>
  <c r="BG1024" i="15"/>
  <c r="BG1026" i="15"/>
  <c r="BG1027" i="15"/>
  <c r="BG147" i="15"/>
  <c r="BG148" i="15"/>
  <c r="BG151" i="15"/>
  <c r="BG153" i="15"/>
  <c r="BG154" i="15"/>
  <c r="BG155" i="15"/>
  <c r="BG158" i="15"/>
  <c r="BG159" i="15"/>
  <c r="BG162" i="15"/>
  <c r="BG163" i="15"/>
  <c r="BG165" i="15"/>
  <c r="BG168" i="15"/>
  <c r="BG169" i="15"/>
  <c r="BG172" i="15"/>
  <c r="BG175" i="15"/>
  <c r="BG176" i="15"/>
  <c r="BG178" i="15"/>
  <c r="BG181" i="15"/>
  <c r="BG182" i="15"/>
  <c r="BG186" i="15"/>
  <c r="BG187" i="15"/>
  <c r="BG189" i="15"/>
  <c r="BG191" i="15"/>
  <c r="BG192" i="15"/>
  <c r="BG193" i="15"/>
  <c r="BG196" i="15"/>
  <c r="BG197" i="15"/>
  <c r="BG199" i="15"/>
  <c r="BG201" i="15"/>
  <c r="BG202" i="15"/>
  <c r="BG205" i="15"/>
  <c r="BG206" i="15"/>
  <c r="BG207" i="15"/>
  <c r="BG208" i="15"/>
  <c r="BG209" i="15"/>
  <c r="BG211" i="15"/>
  <c r="BG212" i="15"/>
  <c r="BG215" i="15"/>
  <c r="BG219" i="15"/>
  <c r="BG220" i="15"/>
  <c r="BG222" i="15"/>
  <c r="BG225" i="15"/>
  <c r="BG226" i="15"/>
  <c r="BG229" i="15"/>
  <c r="BG230" i="15"/>
  <c r="BG234" i="15"/>
  <c r="BG235" i="15"/>
  <c r="BG236" i="15"/>
  <c r="BG238" i="15"/>
  <c r="BG240" i="15"/>
  <c r="BG242" i="15"/>
  <c r="BG243" i="15"/>
  <c r="BG244" i="15"/>
  <c r="BG245" i="15"/>
  <c r="BG246" i="15"/>
  <c r="BG249" i="15"/>
  <c r="BG250" i="15"/>
  <c r="BG253" i="15"/>
  <c r="BG254" i="15"/>
  <c r="BG255" i="15"/>
  <c r="BG257" i="15"/>
  <c r="BG258" i="15"/>
  <c r="BG259" i="15"/>
  <c r="BG261" i="15"/>
  <c r="BG264" i="15"/>
  <c r="BG265" i="15"/>
  <c r="BG267" i="15"/>
  <c r="BG269" i="15"/>
  <c r="BG270" i="15"/>
  <c r="BG273" i="15"/>
  <c r="BG274" i="15"/>
  <c r="BG276" i="15"/>
  <c r="BG279" i="15"/>
  <c r="BG280" i="15"/>
  <c r="BG281" i="15"/>
  <c r="BG282" i="15"/>
  <c r="BG287" i="15"/>
  <c r="BG288" i="15"/>
  <c r="BG291" i="15"/>
  <c r="BG294" i="15"/>
  <c r="BG295" i="15"/>
  <c r="BG296" i="15"/>
  <c r="BG299" i="15"/>
  <c r="BG300" i="15"/>
  <c r="BG303" i="15"/>
  <c r="BG304" i="15"/>
  <c r="BG305" i="15"/>
  <c r="BG308" i="15"/>
  <c r="BG309" i="15"/>
  <c r="BG311" i="15"/>
  <c r="BG314" i="15"/>
  <c r="BG315" i="15"/>
  <c r="BG318" i="15"/>
  <c r="BG319" i="15"/>
  <c r="BG321" i="15"/>
  <c r="BG323" i="15"/>
  <c r="BG324" i="15"/>
  <c r="BG326" i="15"/>
  <c r="BG328" i="15"/>
  <c r="BG331" i="15"/>
  <c r="BG333" i="15"/>
  <c r="BG336" i="15"/>
  <c r="BG337" i="15"/>
  <c r="BG339" i="15"/>
  <c r="BG341" i="15"/>
  <c r="BG342" i="15"/>
  <c r="BG343" i="15"/>
  <c r="BG347" i="15"/>
  <c r="BG349" i="15"/>
  <c r="BG350" i="15"/>
  <c r="BG353" i="15"/>
  <c r="BG354" i="15"/>
  <c r="BG355" i="15"/>
  <c r="BG357" i="15"/>
  <c r="BG358" i="15"/>
  <c r="BG361" i="15"/>
  <c r="BG362" i="15"/>
  <c r="BG364" i="15"/>
  <c r="BG367" i="15"/>
  <c r="BG368" i="15"/>
  <c r="BG370" i="15"/>
  <c r="BG371" i="15"/>
  <c r="BG373" i="15"/>
  <c r="BG375" i="15"/>
  <c r="BG377" i="15"/>
  <c r="BG378" i="15"/>
  <c r="BG380" i="15"/>
  <c r="BG381" i="15"/>
  <c r="BG382" i="15"/>
  <c r="BG383" i="15"/>
  <c r="BG386" i="15"/>
  <c r="BG387" i="15"/>
  <c r="BG389" i="15"/>
  <c r="BG399" i="15"/>
  <c r="BG401" i="15"/>
  <c r="BG402" i="15"/>
  <c r="BG403" i="15"/>
  <c r="BG407" i="15"/>
  <c r="BG409" i="15"/>
  <c r="BG410" i="15"/>
  <c r="BG412" i="15"/>
  <c r="BG413" i="15"/>
  <c r="BG415" i="15"/>
  <c r="BG416" i="15"/>
  <c r="BG418" i="15"/>
  <c r="BG419" i="15"/>
  <c r="BG422" i="15"/>
  <c r="BG424" i="15"/>
  <c r="BG425" i="15"/>
  <c r="BG427" i="15"/>
  <c r="BG430" i="15"/>
  <c r="BG433" i="15"/>
  <c r="BG434" i="15"/>
  <c r="BG435" i="15"/>
  <c r="BG438" i="15"/>
  <c r="BG440" i="15"/>
  <c r="BG445" i="15"/>
  <c r="BG446" i="15"/>
  <c r="BG448" i="15"/>
  <c r="BG449" i="15"/>
  <c r="BG452" i="15"/>
  <c r="BG454" i="15"/>
  <c r="BG456" i="15"/>
  <c r="BG459" i="15"/>
  <c r="BG460" i="15"/>
  <c r="BG463" i="15"/>
  <c r="BG465" i="15"/>
  <c r="BG466" i="15"/>
  <c r="BG469" i="15"/>
  <c r="BG472" i="15"/>
  <c r="BG473" i="15"/>
  <c r="BG476" i="15"/>
  <c r="BG478" i="15"/>
  <c r="BG479" i="15"/>
  <c r="BG482" i="15"/>
  <c r="BG485" i="15"/>
  <c r="BG486" i="15"/>
  <c r="BG489" i="15"/>
  <c r="BG491" i="15"/>
  <c r="BG494" i="15"/>
  <c r="BG496" i="15"/>
  <c r="BG497" i="15"/>
  <c r="BG500" i="15"/>
  <c r="BG502" i="15"/>
  <c r="BG503" i="15"/>
  <c r="BG507" i="15"/>
  <c r="BG508" i="15"/>
  <c r="BG511" i="15"/>
  <c r="BG513" i="15"/>
  <c r="BG516" i="15"/>
  <c r="BG517" i="15"/>
  <c r="BG518" i="15"/>
  <c r="BG521" i="15"/>
  <c r="BG522" i="15"/>
  <c r="BG524" i="15"/>
  <c r="BG526" i="15"/>
  <c r="BG527" i="15"/>
  <c r="BG530" i="15"/>
  <c r="BG531" i="15"/>
  <c r="BG532" i="15"/>
  <c r="BG535" i="15"/>
  <c r="BG538" i="15"/>
  <c r="BG539" i="15"/>
  <c r="BG542" i="15"/>
  <c r="BG543" i="15"/>
  <c r="BG546" i="15"/>
  <c r="BG547" i="15"/>
  <c r="BG551" i="15"/>
  <c r="BG552" i="15"/>
  <c r="BG553" i="15"/>
  <c r="BG554" i="15"/>
  <c r="BG558" i="15"/>
  <c r="BG559" i="15"/>
  <c r="BG562" i="15"/>
  <c r="BG563" i="15"/>
  <c r="BG566" i="15"/>
  <c r="BG567" i="15"/>
  <c r="BG568" i="15"/>
  <c r="BG569" i="15"/>
  <c r="BG572" i="15"/>
  <c r="BG574" i="15"/>
  <c r="BG575" i="15"/>
  <c r="BG577" i="15"/>
  <c r="BG578" i="15"/>
  <c r="BG579" i="15"/>
  <c r="BG580" i="15"/>
  <c r="BG585" i="15"/>
  <c r="BG586" i="15"/>
  <c r="BG587" i="15"/>
  <c r="BG590" i="15"/>
  <c r="BG592" i="15"/>
  <c r="BG595" i="15"/>
  <c r="BG596" i="15"/>
  <c r="BG599" i="15"/>
  <c r="BG601" i="15"/>
  <c r="BG603" i="15"/>
  <c r="BG604" i="15"/>
  <c r="BG607" i="15"/>
  <c r="BG610" i="15"/>
  <c r="BG611" i="15"/>
  <c r="BG614" i="15"/>
  <c r="BG615" i="15"/>
  <c r="BG617" i="15"/>
  <c r="BG618" i="15"/>
  <c r="BG623" i="15"/>
  <c r="BG624" i="15"/>
  <c r="BG625" i="15"/>
  <c r="BG628" i="15"/>
  <c r="BG629" i="15"/>
  <c r="BG630" i="15"/>
  <c r="BG632" i="15"/>
  <c r="BG635" i="15"/>
  <c r="BG641" i="15"/>
  <c r="BG642" i="15"/>
  <c r="BG644" i="15"/>
  <c r="BG647" i="15"/>
  <c r="BG649" i="15"/>
  <c r="BG650" i="15"/>
  <c r="BG653" i="15"/>
  <c r="BG654" i="15"/>
  <c r="BG657" i="15"/>
  <c r="BG658" i="15"/>
  <c r="BG662" i="15"/>
  <c r="BG664" i="15"/>
  <c r="BG665" i="15"/>
  <c r="BG668" i="15"/>
  <c r="BG669" i="15"/>
  <c r="BG671" i="15"/>
  <c r="BG673" i="15"/>
  <c r="BG674" i="15"/>
  <c r="BG677" i="15"/>
  <c r="BG680" i="15"/>
  <c r="BG681" i="15"/>
  <c r="BG684" i="15"/>
  <c r="BG685" i="15"/>
  <c r="BG687" i="15"/>
  <c r="BG690" i="15"/>
  <c r="BG691" i="15"/>
  <c r="BG692" i="15"/>
  <c r="BG694" i="15"/>
  <c r="BG695" i="15"/>
  <c r="BG698" i="15"/>
  <c r="BG700" i="15"/>
  <c r="BG702" i="15"/>
  <c r="BG703" i="15"/>
  <c r="BG704" i="15"/>
  <c r="BG705" i="15"/>
  <c r="BG708" i="15"/>
  <c r="BG709" i="15"/>
  <c r="BG711" i="15"/>
  <c r="BG712" i="15"/>
  <c r="BG714" i="15"/>
  <c r="BG716" i="15"/>
  <c r="BG717" i="15"/>
  <c r="BG719" i="15"/>
  <c r="BG724" i="15"/>
  <c r="BG725" i="15"/>
  <c r="BG727" i="15"/>
  <c r="BG730" i="15"/>
  <c r="BG732" i="15"/>
  <c r="BG734" i="15"/>
  <c r="BG736" i="15"/>
  <c r="BG737" i="15"/>
  <c r="BG740" i="15"/>
  <c r="BG741" i="15"/>
  <c r="BG742" i="15"/>
  <c r="BG744" i="15"/>
  <c r="BG745" i="15"/>
  <c r="BG747" i="15"/>
  <c r="BG749" i="15"/>
  <c r="BG751" i="15"/>
  <c r="BG753" i="15"/>
  <c r="BG754" i="15"/>
  <c r="BG755" i="15"/>
  <c r="BG759" i="15"/>
  <c r="BG760" i="15"/>
  <c r="BG763" i="15"/>
  <c r="BG766" i="15"/>
  <c r="BG767" i="15"/>
  <c r="BG771" i="15"/>
  <c r="BG772" i="15"/>
  <c r="BG774" i="15"/>
  <c r="BG775" i="15"/>
  <c r="BG778" i="15"/>
  <c r="BG781" i="15"/>
  <c r="BG782" i="15"/>
  <c r="BG784" i="15"/>
  <c r="BG787" i="15"/>
  <c r="BG788" i="15"/>
  <c r="BG791" i="15"/>
  <c r="BG792" i="15"/>
  <c r="BG796" i="15"/>
  <c r="BG797" i="15"/>
  <c r="BG799" i="15"/>
  <c r="BG801" i="15"/>
  <c r="BG802" i="15"/>
  <c r="BG805" i="15"/>
  <c r="BG806" i="15"/>
  <c r="BG810" i="15"/>
  <c r="BG811" i="15"/>
  <c r="BG814" i="15"/>
  <c r="BG815" i="15"/>
  <c r="BG818" i="15"/>
  <c r="BG820" i="15"/>
  <c r="BG822" i="15"/>
  <c r="BG823" i="15"/>
  <c r="BG827" i="15"/>
  <c r="BG828" i="15"/>
  <c r="BG829" i="15"/>
  <c r="BG832" i="15"/>
  <c r="BG833" i="15"/>
  <c r="BG835" i="15"/>
  <c r="BG836" i="15"/>
  <c r="BG840" i="15"/>
  <c r="BG841" i="15"/>
  <c r="BG842" i="15"/>
  <c r="BG843" i="15"/>
  <c r="BG846" i="15"/>
  <c r="BG847" i="15"/>
  <c r="BG850" i="15"/>
  <c r="BG851" i="15"/>
  <c r="BG852" i="15"/>
  <c r="BG853" i="15"/>
  <c r="BG854" i="15"/>
  <c r="BG858" i="15"/>
  <c r="BG859" i="15"/>
  <c r="BG860" i="15"/>
  <c r="BG861" i="15"/>
  <c r="BG865" i="15"/>
  <c r="BG866" i="15"/>
  <c r="BG867" i="15"/>
  <c r="BG870" i="15"/>
  <c r="BG871" i="15"/>
  <c r="BG873" i="15"/>
  <c r="BG874" i="15"/>
  <c r="BG878" i="15"/>
  <c r="BG879" i="15"/>
  <c r="BG880" i="15"/>
  <c r="BG882" i="15"/>
  <c r="BG885" i="15"/>
  <c r="BG886" i="15"/>
  <c r="BG888" i="15"/>
  <c r="BG890" i="15"/>
  <c r="BG891" i="15"/>
  <c r="BG892" i="15"/>
  <c r="BG895" i="15"/>
  <c r="BG896" i="15"/>
  <c r="BG897" i="15"/>
  <c r="BG899" i="15"/>
  <c r="BG901" i="15"/>
  <c r="BG902" i="15"/>
  <c r="BG905" i="15"/>
  <c r="BG908" i="15"/>
  <c r="BG910" i="15"/>
  <c r="BG913" i="15"/>
  <c r="BG914" i="15"/>
  <c r="BG916" i="15"/>
  <c r="BG919" i="15"/>
  <c r="BG920" i="15"/>
  <c r="BG921" i="15"/>
  <c r="BG922" i="15"/>
  <c r="BG926" i="15"/>
  <c r="BG927" i="15"/>
  <c r="BG929" i="15"/>
  <c r="BG932" i="15"/>
  <c r="BG935" i="15"/>
  <c r="BG936" i="15"/>
  <c r="BG938" i="15"/>
  <c r="BG941" i="15"/>
  <c r="BG942" i="15"/>
  <c r="BG945" i="15"/>
  <c r="BG946" i="15"/>
  <c r="BG947" i="15"/>
  <c r="BG949" i="15"/>
  <c r="BG951" i="15"/>
  <c r="BG952" i="15"/>
  <c r="BG954" i="15"/>
  <c r="BG957" i="15"/>
  <c r="BG960" i="15"/>
  <c r="BG961" i="15"/>
  <c r="BG962" i="15"/>
  <c r="BG966" i="15"/>
  <c r="BG967" i="15"/>
  <c r="BG968" i="15"/>
  <c r="BG971" i="15"/>
  <c r="BG972" i="15"/>
  <c r="BG974" i="15"/>
  <c r="BG977" i="15"/>
  <c r="BG978" i="15"/>
  <c r="BG979" i="15"/>
  <c r="BG982" i="15"/>
  <c r="BG984" i="15"/>
  <c r="BG986" i="15"/>
  <c r="BG987" i="15"/>
  <c r="BG990" i="15"/>
  <c r="BG992" i="15"/>
  <c r="BG995" i="15"/>
  <c r="BG997" i="15"/>
  <c r="BG999" i="15"/>
  <c r="BG1001" i="15"/>
  <c r="BG1003" i="15"/>
  <c r="BG1005" i="15"/>
  <c r="BG1006" i="15"/>
  <c r="BG1010" i="15"/>
  <c r="BG1011" i="15"/>
  <c r="BG1014" i="15"/>
  <c r="BG1016" i="15"/>
  <c r="BG1018" i="15"/>
  <c r="BG1019" i="15"/>
  <c r="BG1023" i="15"/>
  <c r="BG1025" i="15"/>
  <c r="BI27" i="15"/>
  <c r="AW396" i="15" l="1"/>
  <c r="AV396" i="15"/>
  <c r="AX396" i="15" s="1"/>
  <c r="AO642" i="15"/>
  <c r="AN642" i="15"/>
  <c r="AP642" i="15" s="1"/>
  <c r="BA273" i="15"/>
  <c r="AZ273" i="15"/>
  <c r="BB273" i="15" s="1"/>
  <c r="AG888" i="15"/>
  <c r="AF888" i="15"/>
  <c r="AH888" i="15" s="1"/>
  <c r="AS519" i="15"/>
  <c r="AR519" i="15"/>
  <c r="AT519" i="15" s="1"/>
  <c r="AK765" i="15"/>
  <c r="AJ765" i="15"/>
  <c r="AL765" i="15" s="1"/>
  <c r="AC1011" i="15"/>
  <c r="AB1011" i="15"/>
  <c r="AD1011" i="15" s="1"/>
  <c r="BE150" i="15"/>
  <c r="BD150" i="15"/>
  <c r="BF150" i="15" s="1"/>
  <c r="BJ27" i="15"/>
  <c r="BH28" i="15" s="1"/>
  <c r="BE151" i="15" l="1"/>
  <c r="BD151" i="15"/>
  <c r="BF151" i="15" s="1"/>
  <c r="AC1012" i="15"/>
  <c r="AB1012" i="15"/>
  <c r="AD1012" i="15" s="1"/>
  <c r="AK766" i="15"/>
  <c r="AJ766" i="15"/>
  <c r="AL766" i="15" s="1"/>
  <c r="AS520" i="15"/>
  <c r="AR520" i="15"/>
  <c r="AT520" i="15" s="1"/>
  <c r="AG889" i="15"/>
  <c r="AF889" i="15"/>
  <c r="AH889" i="15" s="1"/>
  <c r="BA274" i="15"/>
  <c r="AZ274" i="15"/>
  <c r="BB274" i="15" s="1"/>
  <c r="AO643" i="15"/>
  <c r="AN643" i="15"/>
  <c r="AP643" i="15" s="1"/>
  <c r="AW397" i="15"/>
  <c r="AV397" i="15"/>
  <c r="AX397" i="15" s="1"/>
  <c r="BJ28" i="15"/>
  <c r="BI28" i="15"/>
  <c r="AO644" i="15" l="1"/>
  <c r="AN644" i="15"/>
  <c r="AP644" i="15" s="1"/>
  <c r="AG890" i="15"/>
  <c r="AF890" i="15"/>
  <c r="AH890" i="15" s="1"/>
  <c r="AS521" i="15"/>
  <c r="AR521" i="15"/>
  <c r="AT521" i="15" s="1"/>
  <c r="AK767" i="15"/>
  <c r="AJ767" i="15"/>
  <c r="AL767" i="15" s="1"/>
  <c r="BE152" i="15"/>
  <c r="BD152" i="15"/>
  <c r="BF152" i="15" s="1"/>
  <c r="AW398" i="15"/>
  <c r="AV398" i="15"/>
  <c r="AX398" i="15" s="1"/>
  <c r="BA275" i="15"/>
  <c r="AZ275" i="15"/>
  <c r="BB275" i="15" s="1"/>
  <c r="AC1013" i="15"/>
  <c r="AB1013" i="15"/>
  <c r="AD1013" i="15" s="1"/>
  <c r="BI29" i="15"/>
  <c r="BH29" i="15"/>
  <c r="BJ29" i="15" s="1"/>
  <c r="BA276" i="15" l="1"/>
  <c r="AZ276" i="15"/>
  <c r="BB276" i="15" s="1"/>
  <c r="BE153" i="15"/>
  <c r="BD153" i="15"/>
  <c r="BF153" i="15" s="1"/>
  <c r="AK768" i="15"/>
  <c r="AJ768" i="15"/>
  <c r="AL768" i="15" s="1"/>
  <c r="AS522" i="15"/>
  <c r="AR522" i="15"/>
  <c r="AT522" i="15" s="1"/>
  <c r="AO645" i="15"/>
  <c r="AN645" i="15"/>
  <c r="AP645" i="15" s="1"/>
  <c r="BI30" i="15"/>
  <c r="BH30" i="15"/>
  <c r="BJ30" i="15" s="1"/>
  <c r="AC1014" i="15"/>
  <c r="AB1014" i="15"/>
  <c r="AD1014" i="15" s="1"/>
  <c r="AW399" i="15"/>
  <c r="AV399" i="15"/>
  <c r="AX399" i="15" s="1"/>
  <c r="AG891" i="15"/>
  <c r="AF891" i="15"/>
  <c r="AH891" i="15" s="1"/>
  <c r="AS523" i="15" l="1"/>
  <c r="AR523" i="15"/>
  <c r="AT523" i="15" s="1"/>
  <c r="BE154" i="15"/>
  <c r="BD154" i="15"/>
  <c r="BF154" i="15" s="1"/>
  <c r="BA277" i="15"/>
  <c r="AZ277" i="15"/>
  <c r="BB277" i="15" s="1"/>
  <c r="AG892" i="15"/>
  <c r="AF892" i="15"/>
  <c r="AH892" i="15" s="1"/>
  <c r="AW400" i="15"/>
  <c r="AV400" i="15"/>
  <c r="AX400" i="15" s="1"/>
  <c r="AC1015" i="15"/>
  <c r="AB1015" i="15"/>
  <c r="AD1015" i="15" s="1"/>
  <c r="BI31" i="15"/>
  <c r="BH31" i="15"/>
  <c r="BJ31" i="15" s="1"/>
  <c r="AO646" i="15"/>
  <c r="AN646" i="15"/>
  <c r="AP646" i="15" s="1"/>
  <c r="AK769" i="15"/>
  <c r="AJ769" i="15"/>
  <c r="AL769" i="15" s="1"/>
  <c r="AO647" i="15" l="1"/>
  <c r="AN647" i="15"/>
  <c r="AP647" i="15" s="1"/>
  <c r="BI32" i="15"/>
  <c r="BH32" i="15"/>
  <c r="BJ32" i="15" s="1"/>
  <c r="AW401" i="15"/>
  <c r="AV401" i="15"/>
  <c r="AX401" i="15" s="1"/>
  <c r="AG893" i="15"/>
  <c r="AF893" i="15"/>
  <c r="AH893" i="15" s="1"/>
  <c r="BA278" i="15"/>
  <c r="AZ278" i="15"/>
  <c r="BB278" i="15" s="1"/>
  <c r="AS524" i="15"/>
  <c r="AR524" i="15"/>
  <c r="AT524" i="15" s="1"/>
  <c r="AK770" i="15"/>
  <c r="AJ770" i="15"/>
  <c r="AL770" i="15" s="1"/>
  <c r="AC1016" i="15"/>
  <c r="AB1016" i="15"/>
  <c r="AD1016" i="15" s="1"/>
  <c r="BE155" i="15"/>
  <c r="BD155" i="15"/>
  <c r="BF155" i="15" s="1"/>
  <c r="BE156" i="15" l="1"/>
  <c r="BD156" i="15"/>
  <c r="BF156" i="15" s="1"/>
  <c r="AK771" i="15"/>
  <c r="AJ771" i="15"/>
  <c r="AL771" i="15" s="1"/>
  <c r="AS525" i="15"/>
  <c r="AR525" i="15"/>
  <c r="AT525" i="15" s="1"/>
  <c r="BA279" i="15"/>
  <c r="AZ279" i="15"/>
  <c r="BB279" i="15" s="1"/>
  <c r="AG894" i="15"/>
  <c r="AF894" i="15"/>
  <c r="AH894" i="15" s="1"/>
  <c r="BI33" i="15"/>
  <c r="BH33" i="15"/>
  <c r="BJ33" i="15" s="1"/>
  <c r="AO648" i="15"/>
  <c r="AN648" i="15"/>
  <c r="AP648" i="15" s="1"/>
  <c r="AC1017" i="15"/>
  <c r="AB1017" i="15"/>
  <c r="AD1017" i="15" s="1"/>
  <c r="AW402" i="15"/>
  <c r="AV402" i="15"/>
  <c r="AX402" i="15" s="1"/>
  <c r="AC1018" i="15" l="1"/>
  <c r="AB1018" i="15"/>
  <c r="AD1018" i="15" s="1"/>
  <c r="BI34" i="15"/>
  <c r="BH34" i="15"/>
  <c r="BJ34" i="15" s="1"/>
  <c r="AG895" i="15"/>
  <c r="AF895" i="15"/>
  <c r="AH895" i="15" s="1"/>
  <c r="AS526" i="15"/>
  <c r="AR526" i="15"/>
  <c r="AT526" i="15" s="1"/>
  <c r="BE157" i="15"/>
  <c r="BD157" i="15"/>
  <c r="BF157" i="15" s="1"/>
  <c r="AW403" i="15"/>
  <c r="AV403" i="15"/>
  <c r="AX403" i="15" s="1"/>
  <c r="AO649" i="15"/>
  <c r="AN649" i="15"/>
  <c r="AP649" i="15" s="1"/>
  <c r="BA280" i="15"/>
  <c r="AZ280" i="15"/>
  <c r="BB280" i="15" s="1"/>
  <c r="AK772" i="15"/>
  <c r="AJ772" i="15"/>
  <c r="AL772" i="15" s="1"/>
  <c r="AK773" i="15" l="1"/>
  <c r="AJ773" i="15"/>
  <c r="AL773" i="15" s="1"/>
  <c r="AO650" i="15"/>
  <c r="AN650" i="15"/>
  <c r="AP650" i="15" s="1"/>
  <c r="BE158" i="15"/>
  <c r="BD158" i="15"/>
  <c r="BF158" i="15" s="1"/>
  <c r="AG896" i="15"/>
  <c r="AF896" i="15"/>
  <c r="AH896" i="15" s="1"/>
  <c r="AC1019" i="15"/>
  <c r="AB1019" i="15"/>
  <c r="AD1019" i="15" s="1"/>
  <c r="BA281" i="15"/>
  <c r="AZ281" i="15"/>
  <c r="BB281" i="15" s="1"/>
  <c r="AW404" i="15"/>
  <c r="AV404" i="15"/>
  <c r="AX404" i="15" s="1"/>
  <c r="AS527" i="15"/>
  <c r="AR527" i="15"/>
  <c r="AT527" i="15" s="1"/>
  <c r="BI35" i="15"/>
  <c r="BH35" i="15"/>
  <c r="BJ35" i="15" s="1"/>
  <c r="AS528" i="15" l="1"/>
  <c r="AR528" i="15"/>
  <c r="AT528" i="15" s="1"/>
  <c r="BA282" i="15"/>
  <c r="AZ282" i="15"/>
  <c r="BB282" i="15" s="1"/>
  <c r="AG897" i="15"/>
  <c r="AF897" i="15"/>
  <c r="AH897" i="15" s="1"/>
  <c r="BE159" i="15"/>
  <c r="BD159" i="15"/>
  <c r="BF159" i="15" s="1"/>
  <c r="AK774" i="15"/>
  <c r="AJ774" i="15"/>
  <c r="AL774" i="15" s="1"/>
  <c r="BI36" i="15"/>
  <c r="BH36" i="15"/>
  <c r="BJ36" i="15" s="1"/>
  <c r="AW405" i="15"/>
  <c r="AV405" i="15"/>
  <c r="AX405" i="15" s="1"/>
  <c r="AC1020" i="15"/>
  <c r="AB1020" i="15"/>
  <c r="AD1020" i="15" s="1"/>
  <c r="AO651" i="15"/>
  <c r="AN651" i="15"/>
  <c r="AP651" i="15" s="1"/>
  <c r="AO652" i="15" l="1"/>
  <c r="AN652" i="15"/>
  <c r="AP652" i="15" s="1"/>
  <c r="AC1021" i="15"/>
  <c r="AB1021" i="15"/>
  <c r="AD1021" i="15" s="1"/>
  <c r="AW406" i="15"/>
  <c r="AV406" i="15"/>
  <c r="AX406" i="15" s="1"/>
  <c r="BI37" i="15"/>
  <c r="BH37" i="15"/>
  <c r="BJ37" i="15" s="1"/>
  <c r="AK775" i="15"/>
  <c r="AJ775" i="15"/>
  <c r="AL775" i="15" s="1"/>
  <c r="BE160" i="15"/>
  <c r="BD160" i="15"/>
  <c r="BF160" i="15" s="1"/>
  <c r="AG898" i="15"/>
  <c r="AF898" i="15"/>
  <c r="AH898" i="15" s="1"/>
  <c r="BA283" i="15"/>
  <c r="AZ283" i="15"/>
  <c r="BB283" i="15" s="1"/>
  <c r="AS529" i="15"/>
  <c r="AR529" i="15"/>
  <c r="AT529" i="15" s="1"/>
  <c r="AS530" i="15" l="1"/>
  <c r="AR530" i="15"/>
  <c r="AT530" i="15" s="1"/>
  <c r="AG899" i="15"/>
  <c r="AF899" i="15"/>
  <c r="AH899" i="15" s="1"/>
  <c r="AK776" i="15"/>
  <c r="AJ776" i="15"/>
  <c r="AL776" i="15" s="1"/>
  <c r="BI38" i="15"/>
  <c r="BH38" i="15"/>
  <c r="BJ38" i="15" s="1"/>
  <c r="AW407" i="15"/>
  <c r="AV407" i="15"/>
  <c r="AX407" i="15" s="1"/>
  <c r="AO653" i="15"/>
  <c r="AN653" i="15"/>
  <c r="AP653" i="15" s="1"/>
  <c r="BA284" i="15"/>
  <c r="AZ284" i="15"/>
  <c r="BB284" i="15" s="1"/>
  <c r="BE161" i="15"/>
  <c r="BD161" i="15"/>
  <c r="BF161" i="15" s="1"/>
  <c r="AC1022" i="15"/>
  <c r="AB1022" i="15"/>
  <c r="AD1022" i="15" s="1"/>
  <c r="BE162" i="15" l="1"/>
  <c r="BD162" i="15"/>
  <c r="BF162" i="15" s="1"/>
  <c r="AO654" i="15"/>
  <c r="AN654" i="15"/>
  <c r="AP654" i="15" s="1"/>
  <c r="BI39" i="15"/>
  <c r="BH39" i="15"/>
  <c r="BJ39" i="15" s="1"/>
  <c r="AK777" i="15"/>
  <c r="AJ777" i="15"/>
  <c r="AL777" i="15" s="1"/>
  <c r="AS531" i="15"/>
  <c r="AR531" i="15"/>
  <c r="AT531" i="15" s="1"/>
  <c r="AC1023" i="15"/>
  <c r="AB1023" i="15"/>
  <c r="AD1023" i="15" s="1"/>
  <c r="BA285" i="15"/>
  <c r="AZ285" i="15"/>
  <c r="BB285" i="15" s="1"/>
  <c r="AW408" i="15"/>
  <c r="AV408" i="15"/>
  <c r="AX408" i="15" s="1"/>
  <c r="AG900" i="15"/>
  <c r="AF900" i="15"/>
  <c r="AH900" i="15" s="1"/>
  <c r="AG901" i="15" l="1"/>
  <c r="AF901" i="15"/>
  <c r="AH901" i="15" s="1"/>
  <c r="BA286" i="15"/>
  <c r="AZ286" i="15"/>
  <c r="BB286" i="15" s="1"/>
  <c r="AC1024" i="15"/>
  <c r="AB1024" i="15"/>
  <c r="AD1024" i="15" s="1"/>
  <c r="AS532" i="15"/>
  <c r="AR532" i="15"/>
  <c r="AT532" i="15" s="1"/>
  <c r="AK778" i="15"/>
  <c r="AJ778" i="15"/>
  <c r="AL778" i="15" s="1"/>
  <c r="AO655" i="15"/>
  <c r="AN655" i="15"/>
  <c r="AP655" i="15" s="1"/>
  <c r="BE163" i="15"/>
  <c r="BD163" i="15"/>
  <c r="BF163" i="15" s="1"/>
  <c r="AW409" i="15"/>
  <c r="AV409" i="15"/>
  <c r="AX409" i="15" s="1"/>
  <c r="BI40" i="15"/>
  <c r="BH40" i="15"/>
  <c r="BJ40" i="15" s="1"/>
  <c r="BI41" i="15" l="1"/>
  <c r="BH41" i="15"/>
  <c r="BJ41" i="15" s="1"/>
  <c r="BE164" i="15"/>
  <c r="BD164" i="15"/>
  <c r="BF164" i="15" s="1"/>
  <c r="AO656" i="15"/>
  <c r="AN656" i="15"/>
  <c r="AP656" i="15" s="1"/>
  <c r="AK779" i="15"/>
  <c r="AJ779" i="15"/>
  <c r="AL779" i="15" s="1"/>
  <c r="AS533" i="15"/>
  <c r="AR533" i="15"/>
  <c r="AT533" i="15" s="1"/>
  <c r="BA287" i="15"/>
  <c r="AZ287" i="15"/>
  <c r="BB287" i="15" s="1"/>
  <c r="AG902" i="15"/>
  <c r="AF902" i="15"/>
  <c r="AH902" i="15" s="1"/>
  <c r="AW410" i="15"/>
  <c r="AV410" i="15"/>
  <c r="AX410" i="15" s="1"/>
  <c r="AC1025" i="15"/>
  <c r="AB1025" i="15"/>
  <c r="AD1025" i="15" s="1"/>
  <c r="AW411" i="15" l="1"/>
  <c r="AV411" i="15"/>
  <c r="AX411" i="15" s="1"/>
  <c r="AG903" i="15"/>
  <c r="AF903" i="15"/>
  <c r="AH903" i="15" s="1"/>
  <c r="AS534" i="15"/>
  <c r="AR534" i="15"/>
  <c r="AT534" i="15" s="1"/>
  <c r="AO657" i="15"/>
  <c r="AN657" i="15"/>
  <c r="AP657" i="15" s="1"/>
  <c r="BI42" i="15"/>
  <c r="BH42" i="15"/>
  <c r="BJ42" i="15" s="1"/>
  <c r="AC1026" i="15"/>
  <c r="AB1026" i="15"/>
  <c r="AD1026" i="15" s="1"/>
  <c r="BA288" i="15"/>
  <c r="AZ288" i="15"/>
  <c r="BB288" i="15" s="1"/>
  <c r="AK780" i="15"/>
  <c r="AJ780" i="15"/>
  <c r="AL780" i="15" s="1"/>
  <c r="BE165" i="15"/>
  <c r="BD165" i="15"/>
  <c r="BF165" i="15" s="1"/>
  <c r="BE166" i="15" l="1"/>
  <c r="BD166" i="15"/>
  <c r="BF166" i="15" s="1"/>
  <c r="AK781" i="15"/>
  <c r="AJ781" i="15"/>
  <c r="AL781" i="15" s="1"/>
  <c r="BA289" i="15"/>
  <c r="AZ289" i="15"/>
  <c r="BB289" i="15" s="1"/>
  <c r="AC1027" i="15"/>
  <c r="AB1027" i="15"/>
  <c r="AD1027" i="15" s="1"/>
  <c r="BI43" i="15"/>
  <c r="BH43" i="15"/>
  <c r="BJ43" i="15" s="1"/>
  <c r="AO658" i="15"/>
  <c r="AN658" i="15"/>
  <c r="AP658" i="15" s="1"/>
  <c r="AS535" i="15"/>
  <c r="AR535" i="15"/>
  <c r="AT535" i="15" s="1"/>
  <c r="AG904" i="15"/>
  <c r="AF904" i="15"/>
  <c r="AH904" i="15" s="1"/>
  <c r="AW412" i="15"/>
  <c r="AV412" i="15"/>
  <c r="AX412" i="15" s="1"/>
  <c r="AW413" i="15" l="1"/>
  <c r="AV413" i="15"/>
  <c r="AX413" i="15" s="1"/>
  <c r="AS536" i="15"/>
  <c r="AR536" i="15"/>
  <c r="AT536" i="15" s="1"/>
  <c r="BI44" i="15"/>
  <c r="BH44" i="15"/>
  <c r="BJ44" i="15" s="1"/>
  <c r="AK782" i="15"/>
  <c r="AJ782" i="15"/>
  <c r="AL782" i="15" s="1"/>
  <c r="BE167" i="15"/>
  <c r="BD167" i="15"/>
  <c r="BF167" i="15" s="1"/>
  <c r="AG905" i="15"/>
  <c r="AF905" i="15"/>
  <c r="AH905" i="15" s="1"/>
  <c r="AO659" i="15"/>
  <c r="AN659" i="15"/>
  <c r="AP659" i="15" s="1"/>
  <c r="BA290" i="15"/>
  <c r="AZ290" i="15"/>
  <c r="BB290" i="15" s="1"/>
  <c r="AO660" i="15" l="1"/>
  <c r="AN660" i="15"/>
  <c r="AP660" i="15" s="1"/>
  <c r="BE168" i="15"/>
  <c r="BD168" i="15"/>
  <c r="BF168" i="15" s="1"/>
  <c r="BI45" i="15"/>
  <c r="BH45" i="15"/>
  <c r="BJ45" i="15" s="1"/>
  <c r="AW414" i="15"/>
  <c r="AV414" i="15"/>
  <c r="AX414" i="15" s="1"/>
  <c r="BA291" i="15"/>
  <c r="AZ291" i="15"/>
  <c r="BB291" i="15" s="1"/>
  <c r="AG906" i="15"/>
  <c r="AF906" i="15"/>
  <c r="AH906" i="15" s="1"/>
  <c r="AK783" i="15"/>
  <c r="AJ783" i="15"/>
  <c r="AL783" i="15" s="1"/>
  <c r="AS537" i="15"/>
  <c r="AR537" i="15"/>
  <c r="AT537" i="15" s="1"/>
  <c r="AS538" i="15" l="1"/>
  <c r="AR538" i="15"/>
  <c r="AT538" i="15" s="1"/>
  <c r="AG907" i="15"/>
  <c r="AF907" i="15"/>
  <c r="AH907" i="15" s="1"/>
  <c r="AW415" i="15"/>
  <c r="AV415" i="15"/>
  <c r="AX415" i="15" s="1"/>
  <c r="BI46" i="15"/>
  <c r="BH46" i="15"/>
  <c r="BJ46" i="15" s="1"/>
  <c r="AO661" i="15"/>
  <c r="AN661" i="15"/>
  <c r="AP661" i="15" s="1"/>
  <c r="AK784" i="15"/>
  <c r="AJ784" i="15"/>
  <c r="AL784" i="15" s="1"/>
  <c r="BA292" i="15"/>
  <c r="AZ292" i="15"/>
  <c r="BB292" i="15" s="1"/>
  <c r="BE169" i="15"/>
  <c r="BD169" i="15"/>
  <c r="BF169" i="15" s="1"/>
  <c r="BE170" i="15" l="1"/>
  <c r="BD170" i="15"/>
  <c r="BF170" i="15" s="1"/>
  <c r="AK785" i="15"/>
  <c r="AJ785" i="15"/>
  <c r="AL785" i="15" s="1"/>
  <c r="BI47" i="15"/>
  <c r="BH47" i="15"/>
  <c r="BJ47" i="15" s="1"/>
  <c r="AW416" i="15"/>
  <c r="AV416" i="15"/>
  <c r="AX416" i="15" s="1"/>
  <c r="AS539" i="15"/>
  <c r="AR539" i="15"/>
  <c r="AT539" i="15" s="1"/>
  <c r="BA293" i="15"/>
  <c r="AZ293" i="15"/>
  <c r="BB293" i="15" s="1"/>
  <c r="AO662" i="15"/>
  <c r="AN662" i="15"/>
  <c r="AP662" i="15" s="1"/>
  <c r="AG908" i="15"/>
  <c r="AF908" i="15"/>
  <c r="AH908" i="15" s="1"/>
  <c r="AG909" i="15" l="1"/>
  <c r="AF909" i="15"/>
  <c r="AH909" i="15" s="1"/>
  <c r="BA294" i="15"/>
  <c r="AZ294" i="15"/>
  <c r="BB294" i="15" s="1"/>
  <c r="AW417" i="15"/>
  <c r="AV417" i="15"/>
  <c r="AX417" i="15" s="1"/>
  <c r="BI48" i="15"/>
  <c r="BH48" i="15"/>
  <c r="BJ48" i="15" s="1"/>
  <c r="BE171" i="15"/>
  <c r="BD171" i="15"/>
  <c r="BF171" i="15" s="1"/>
  <c r="AO663" i="15"/>
  <c r="AN663" i="15"/>
  <c r="AP663" i="15" s="1"/>
  <c r="AS540" i="15"/>
  <c r="AR540" i="15"/>
  <c r="AT540" i="15" s="1"/>
  <c r="AK786" i="15"/>
  <c r="AJ786" i="15"/>
  <c r="AL786" i="15" s="1"/>
  <c r="AS541" i="15" l="1"/>
  <c r="AR541" i="15"/>
  <c r="AT541" i="15" s="1"/>
  <c r="AO664" i="15"/>
  <c r="AN664" i="15"/>
  <c r="AP664" i="15" s="1"/>
  <c r="BI49" i="15"/>
  <c r="BH49" i="15"/>
  <c r="BJ49" i="15" s="1"/>
  <c r="AW418" i="15"/>
  <c r="AV418" i="15"/>
  <c r="AX418" i="15" s="1"/>
  <c r="AG910" i="15"/>
  <c r="AF910" i="15"/>
  <c r="AH910" i="15" s="1"/>
  <c r="AK787" i="15"/>
  <c r="AJ787" i="15"/>
  <c r="AL787" i="15" s="1"/>
  <c r="BE172" i="15"/>
  <c r="BD172" i="15"/>
  <c r="BF172" i="15" s="1"/>
  <c r="BA295" i="15"/>
  <c r="AZ295" i="15"/>
  <c r="BB295" i="15" s="1"/>
  <c r="BA296" i="15" l="1"/>
  <c r="AZ296" i="15"/>
  <c r="BB296" i="15" s="1"/>
  <c r="AK788" i="15"/>
  <c r="AJ788" i="15"/>
  <c r="AL788" i="15" s="1"/>
  <c r="AW419" i="15"/>
  <c r="AV419" i="15"/>
  <c r="AX419" i="15" s="1"/>
  <c r="BI50" i="15"/>
  <c r="BH50" i="15"/>
  <c r="BJ50" i="15" s="1"/>
  <c r="AS542" i="15"/>
  <c r="AR542" i="15"/>
  <c r="AT542" i="15" s="1"/>
  <c r="BE173" i="15"/>
  <c r="BD173" i="15"/>
  <c r="BF173" i="15" s="1"/>
  <c r="AG911" i="15"/>
  <c r="AF911" i="15"/>
  <c r="AH911" i="15" s="1"/>
  <c r="AO665" i="15"/>
  <c r="AN665" i="15"/>
  <c r="AP665" i="15" s="1"/>
  <c r="AO666" i="15" l="1"/>
  <c r="AN666" i="15"/>
  <c r="AP666" i="15" s="1"/>
  <c r="AG912" i="15"/>
  <c r="AF912" i="15"/>
  <c r="AH912" i="15" s="1"/>
  <c r="AS543" i="15"/>
  <c r="AR543" i="15"/>
  <c r="AT543" i="15" s="1"/>
  <c r="BI51" i="15"/>
  <c r="BH51" i="15"/>
  <c r="BJ51" i="15" s="1"/>
  <c r="AW420" i="15"/>
  <c r="AV420" i="15"/>
  <c r="AX420" i="15" s="1"/>
  <c r="BA297" i="15"/>
  <c r="AZ297" i="15"/>
  <c r="BB297" i="15" s="1"/>
  <c r="BE174" i="15"/>
  <c r="BD174" i="15"/>
  <c r="BF174" i="15" s="1"/>
  <c r="AK789" i="15"/>
  <c r="AJ789" i="15"/>
  <c r="AL789" i="15" s="1"/>
  <c r="AK790" i="15" l="1"/>
  <c r="AJ790" i="15"/>
  <c r="AL790" i="15" s="1"/>
  <c r="BE175" i="15"/>
  <c r="BD175" i="15"/>
  <c r="BF175" i="15" s="1"/>
  <c r="AW421" i="15"/>
  <c r="AV421" i="15"/>
  <c r="AX421" i="15" s="1"/>
  <c r="BI52" i="15"/>
  <c r="BH52" i="15"/>
  <c r="BJ52" i="15" s="1"/>
  <c r="AS544" i="15"/>
  <c r="AR544" i="15"/>
  <c r="AT544" i="15" s="1"/>
  <c r="AO667" i="15"/>
  <c r="AN667" i="15"/>
  <c r="AP667" i="15" s="1"/>
  <c r="BA298" i="15"/>
  <c r="AZ298" i="15"/>
  <c r="BB298" i="15" s="1"/>
  <c r="AG913" i="15"/>
  <c r="AF913" i="15"/>
  <c r="AH913" i="15" s="1"/>
  <c r="AG914" i="15" l="1"/>
  <c r="AF914" i="15"/>
  <c r="AH914" i="15" s="1"/>
  <c r="AO668" i="15"/>
  <c r="AN668" i="15"/>
  <c r="AP668" i="15" s="1"/>
  <c r="AS545" i="15"/>
  <c r="AR545" i="15"/>
  <c r="AT545" i="15" s="1"/>
  <c r="BI53" i="15"/>
  <c r="BH53" i="15"/>
  <c r="BJ53" i="15" s="1"/>
  <c r="AW422" i="15"/>
  <c r="AV422" i="15"/>
  <c r="AX422" i="15" s="1"/>
  <c r="AK791" i="15"/>
  <c r="AJ791" i="15"/>
  <c r="AL791" i="15" s="1"/>
  <c r="BA299" i="15"/>
  <c r="AZ299" i="15"/>
  <c r="BB299" i="15" s="1"/>
  <c r="BE176" i="15"/>
  <c r="BD176" i="15"/>
  <c r="BF176" i="15" s="1"/>
  <c r="BE177" i="15" l="1"/>
  <c r="BD177" i="15"/>
  <c r="BF177" i="15" s="1"/>
  <c r="BA300" i="15"/>
  <c r="AZ300" i="15"/>
  <c r="BB300" i="15" s="1"/>
  <c r="AW423" i="15"/>
  <c r="AV423" i="15"/>
  <c r="AX423" i="15" s="1"/>
  <c r="BI54" i="15"/>
  <c r="BH54" i="15"/>
  <c r="BJ54" i="15" s="1"/>
  <c r="AS546" i="15"/>
  <c r="AR546" i="15"/>
  <c r="AT546" i="15" s="1"/>
  <c r="AG915" i="15"/>
  <c r="AF915" i="15"/>
  <c r="AH915" i="15" s="1"/>
  <c r="AK792" i="15"/>
  <c r="AJ792" i="15"/>
  <c r="AL792" i="15" s="1"/>
  <c r="AO669" i="15"/>
  <c r="AN669" i="15"/>
  <c r="AP669" i="15" s="1"/>
  <c r="AO670" i="15" l="1"/>
  <c r="AN670" i="15"/>
  <c r="AP670" i="15" s="1"/>
  <c r="AK793" i="15"/>
  <c r="AJ793" i="15"/>
  <c r="AL793" i="15" s="1"/>
  <c r="AS547" i="15"/>
  <c r="AR547" i="15"/>
  <c r="AT547" i="15" s="1"/>
  <c r="BI55" i="15"/>
  <c r="BH55" i="15"/>
  <c r="BJ55" i="15" s="1"/>
  <c r="AW424" i="15"/>
  <c r="AV424" i="15"/>
  <c r="AX424" i="15" s="1"/>
  <c r="BE178" i="15"/>
  <c r="BD178" i="15"/>
  <c r="BF178" i="15" s="1"/>
  <c r="AG916" i="15"/>
  <c r="AF916" i="15"/>
  <c r="AH916" i="15" s="1"/>
  <c r="BA301" i="15"/>
  <c r="AZ301" i="15"/>
  <c r="BB301" i="15" s="1"/>
  <c r="AG917" i="15" l="1"/>
  <c r="AF917" i="15"/>
  <c r="AH917" i="15" s="1"/>
  <c r="AW425" i="15"/>
  <c r="AV425" i="15"/>
  <c r="AX425" i="15" s="1"/>
  <c r="BI56" i="15"/>
  <c r="BH56" i="15"/>
  <c r="BJ56" i="15" s="1"/>
  <c r="AS548" i="15"/>
  <c r="AR548" i="15"/>
  <c r="AT548" i="15" s="1"/>
  <c r="AO671" i="15"/>
  <c r="AN671" i="15"/>
  <c r="AP671" i="15" s="1"/>
  <c r="BA302" i="15"/>
  <c r="AZ302" i="15"/>
  <c r="BB302" i="15" s="1"/>
  <c r="BE179" i="15"/>
  <c r="BD179" i="15"/>
  <c r="BF179" i="15" s="1"/>
  <c r="AK794" i="15"/>
  <c r="AJ794" i="15"/>
  <c r="AL794" i="15" s="1"/>
  <c r="BE180" i="15" l="1"/>
  <c r="BD180" i="15"/>
  <c r="BF180" i="15" s="1"/>
  <c r="AO672" i="15"/>
  <c r="AN672" i="15"/>
  <c r="AP672" i="15" s="1"/>
  <c r="AS549" i="15"/>
  <c r="AR549" i="15"/>
  <c r="AT549" i="15" s="1"/>
  <c r="BI57" i="15"/>
  <c r="BH57" i="15"/>
  <c r="BJ57" i="15" s="1"/>
  <c r="AG918" i="15"/>
  <c r="AF918" i="15"/>
  <c r="AH918" i="15" s="1"/>
  <c r="AK795" i="15"/>
  <c r="AJ795" i="15"/>
  <c r="AL795" i="15" s="1"/>
  <c r="BA303" i="15"/>
  <c r="AZ303" i="15"/>
  <c r="BB303" i="15" s="1"/>
  <c r="AW426" i="15"/>
  <c r="AV426" i="15"/>
  <c r="AX426" i="15" s="1"/>
  <c r="AW427" i="15" l="1"/>
  <c r="AV427" i="15"/>
  <c r="AX427" i="15" s="1"/>
  <c r="BA304" i="15"/>
  <c r="AZ304" i="15"/>
  <c r="BB304" i="15" s="1"/>
  <c r="AK796" i="15"/>
  <c r="AJ796" i="15"/>
  <c r="AL796" i="15" s="1"/>
  <c r="AG919" i="15"/>
  <c r="AF919" i="15"/>
  <c r="AH919" i="15" s="1"/>
  <c r="BI58" i="15"/>
  <c r="BH58" i="15"/>
  <c r="BJ58" i="15" s="1"/>
  <c r="AS550" i="15"/>
  <c r="AR550" i="15"/>
  <c r="AT550" i="15" s="1"/>
  <c r="AO673" i="15"/>
  <c r="AN673" i="15"/>
  <c r="AP673" i="15" s="1"/>
  <c r="BE181" i="15"/>
  <c r="BD181" i="15"/>
  <c r="BF181" i="15" s="1"/>
  <c r="AO674" i="15" l="1"/>
  <c r="AN674" i="15"/>
  <c r="AP674" i="15" s="1"/>
  <c r="BI59" i="15"/>
  <c r="BH59" i="15"/>
  <c r="BJ59" i="15" s="1"/>
  <c r="AK797" i="15"/>
  <c r="AJ797" i="15"/>
  <c r="AL797" i="15" s="1"/>
  <c r="AW428" i="15"/>
  <c r="AV428" i="15"/>
  <c r="AX428" i="15" s="1"/>
  <c r="BE182" i="15"/>
  <c r="BD182" i="15"/>
  <c r="BF182" i="15" s="1"/>
  <c r="AS551" i="15"/>
  <c r="AR551" i="15"/>
  <c r="AT551" i="15" s="1"/>
  <c r="AG920" i="15"/>
  <c r="AF920" i="15"/>
  <c r="AH920" i="15" s="1"/>
  <c r="BA305" i="15"/>
  <c r="AZ305" i="15"/>
  <c r="BB305" i="15" s="1"/>
  <c r="BA306" i="15" l="1"/>
  <c r="AZ306" i="15"/>
  <c r="BB306" i="15" s="1"/>
  <c r="AS552" i="15"/>
  <c r="AR552" i="15"/>
  <c r="AT552" i="15" s="1"/>
  <c r="AW429" i="15"/>
  <c r="AV429" i="15"/>
  <c r="AX429" i="15" s="1"/>
  <c r="AK798" i="15"/>
  <c r="AJ798" i="15"/>
  <c r="AL798" i="15" s="1"/>
  <c r="AO675" i="15"/>
  <c r="AN675" i="15"/>
  <c r="AP675" i="15" s="1"/>
  <c r="AG921" i="15"/>
  <c r="AF921" i="15"/>
  <c r="AH921" i="15" s="1"/>
  <c r="BE183" i="15"/>
  <c r="BD183" i="15"/>
  <c r="BF183" i="15" s="1"/>
  <c r="BI60" i="15"/>
  <c r="BH60" i="15"/>
  <c r="BJ60" i="15" s="1"/>
  <c r="BE184" i="15" l="1"/>
  <c r="BD184" i="15"/>
  <c r="BF184" i="15" s="1"/>
  <c r="AO676" i="15"/>
  <c r="AN676" i="15"/>
  <c r="AP676" i="15" s="1"/>
  <c r="AW430" i="15"/>
  <c r="AV430" i="15"/>
  <c r="AX430" i="15" s="1"/>
  <c r="BA307" i="15"/>
  <c r="AZ307" i="15"/>
  <c r="BB307" i="15" s="1"/>
  <c r="BI61" i="15"/>
  <c r="BH61" i="15"/>
  <c r="BJ61" i="15" s="1"/>
  <c r="AG922" i="15"/>
  <c r="AF922" i="15"/>
  <c r="AH922" i="15" s="1"/>
  <c r="AK799" i="15"/>
  <c r="AJ799" i="15"/>
  <c r="AL799" i="15" s="1"/>
  <c r="AS553" i="15"/>
  <c r="AR553" i="15"/>
  <c r="AT553" i="15" s="1"/>
  <c r="AS554" i="15" l="1"/>
  <c r="AR554" i="15"/>
  <c r="AT554" i="15" s="1"/>
  <c r="AK800" i="15"/>
  <c r="AJ800" i="15"/>
  <c r="AL800" i="15" s="1"/>
  <c r="BI62" i="15"/>
  <c r="BH62" i="15"/>
  <c r="BJ62" i="15" s="1"/>
  <c r="AW431" i="15"/>
  <c r="AV431" i="15"/>
  <c r="AX431" i="15" s="1"/>
  <c r="BE185" i="15"/>
  <c r="BD185" i="15"/>
  <c r="BF185" i="15" s="1"/>
  <c r="AG923" i="15"/>
  <c r="AF923" i="15"/>
  <c r="AH923" i="15" s="1"/>
  <c r="BA308" i="15"/>
  <c r="AZ308" i="15"/>
  <c r="BB308" i="15" s="1"/>
  <c r="AO677" i="15"/>
  <c r="AN677" i="15"/>
  <c r="AP677" i="15" s="1"/>
  <c r="BA309" i="15" l="1"/>
  <c r="AZ309" i="15"/>
  <c r="BB309" i="15" s="1"/>
  <c r="AG924" i="15"/>
  <c r="AF924" i="15"/>
  <c r="AH924" i="15" s="1"/>
  <c r="AW432" i="15"/>
  <c r="AV432" i="15"/>
  <c r="AX432" i="15" s="1"/>
  <c r="BI63" i="15"/>
  <c r="BH63" i="15"/>
  <c r="BJ63" i="15" s="1"/>
  <c r="AS555" i="15"/>
  <c r="AR555" i="15"/>
  <c r="AT555" i="15" s="1"/>
  <c r="AO678" i="15"/>
  <c r="AN678" i="15"/>
  <c r="AP678" i="15" s="1"/>
  <c r="BE186" i="15"/>
  <c r="BD186" i="15"/>
  <c r="BF186" i="15" s="1"/>
  <c r="AK801" i="15"/>
  <c r="AJ801" i="15"/>
  <c r="AL801" i="15" s="1"/>
  <c r="BE187" i="15" l="1"/>
  <c r="BD187" i="15"/>
  <c r="BF187" i="15" s="1"/>
  <c r="AS556" i="15"/>
  <c r="AR556" i="15"/>
  <c r="AT556" i="15" s="1"/>
  <c r="AW433" i="15"/>
  <c r="AV433" i="15"/>
  <c r="AX433" i="15" s="1"/>
  <c r="BA310" i="15"/>
  <c r="AZ310" i="15"/>
  <c r="BB310" i="15" s="1"/>
  <c r="AK802" i="15"/>
  <c r="AJ802" i="15"/>
  <c r="AL802" i="15" s="1"/>
  <c r="AO679" i="15"/>
  <c r="AN679" i="15"/>
  <c r="AP679" i="15" s="1"/>
  <c r="BI64" i="15"/>
  <c r="BH64" i="15"/>
  <c r="BJ64" i="15" s="1"/>
  <c r="AG925" i="15"/>
  <c r="AF925" i="15"/>
  <c r="AH925" i="15" s="1"/>
  <c r="BI65" i="15" l="1"/>
  <c r="BH65" i="15"/>
  <c r="BJ65" i="15" s="1"/>
  <c r="AO680" i="15"/>
  <c r="AN680" i="15"/>
  <c r="AP680" i="15" s="1"/>
  <c r="BA311" i="15"/>
  <c r="AZ311" i="15"/>
  <c r="BB311" i="15" s="1"/>
  <c r="AW434" i="15"/>
  <c r="AV434" i="15"/>
  <c r="AX434" i="15" s="1"/>
  <c r="BE188" i="15"/>
  <c r="BD188" i="15"/>
  <c r="BF188" i="15" s="1"/>
  <c r="AG926" i="15"/>
  <c r="AF926" i="15"/>
  <c r="AH926" i="15" s="1"/>
  <c r="AK803" i="15"/>
  <c r="AJ803" i="15"/>
  <c r="AL803" i="15" s="1"/>
  <c r="AS557" i="15"/>
  <c r="AR557" i="15"/>
  <c r="AT557" i="15" s="1"/>
  <c r="AS558" i="15" l="1"/>
  <c r="AR558" i="15"/>
  <c r="AT558" i="15" s="1"/>
  <c r="AG927" i="15"/>
  <c r="AF927" i="15"/>
  <c r="AH927" i="15" s="1"/>
  <c r="BE189" i="15"/>
  <c r="BD189" i="15"/>
  <c r="BF189" i="15" s="1"/>
  <c r="BA312" i="15"/>
  <c r="AZ312" i="15"/>
  <c r="BB312" i="15" s="1"/>
  <c r="BI66" i="15"/>
  <c r="BH66" i="15"/>
  <c r="BJ66" i="15" s="1"/>
  <c r="AK804" i="15"/>
  <c r="AJ804" i="15"/>
  <c r="AL804" i="15" s="1"/>
  <c r="AW435" i="15"/>
  <c r="AV435" i="15"/>
  <c r="AX435" i="15" s="1"/>
  <c r="AO681" i="15"/>
  <c r="AN681" i="15"/>
  <c r="AP681" i="15" s="1"/>
  <c r="AW436" i="15" l="1"/>
  <c r="AV436" i="15"/>
  <c r="AX436" i="15" s="1"/>
  <c r="BI67" i="15"/>
  <c r="BH67" i="15"/>
  <c r="BJ67" i="15" s="1"/>
  <c r="BE190" i="15"/>
  <c r="BD190" i="15"/>
  <c r="BF190" i="15" s="1"/>
  <c r="AS559" i="15"/>
  <c r="AR559" i="15"/>
  <c r="AT559" i="15" s="1"/>
  <c r="AO682" i="15"/>
  <c r="AN682" i="15"/>
  <c r="AP682" i="15" s="1"/>
  <c r="AK805" i="15"/>
  <c r="AJ805" i="15"/>
  <c r="AL805" i="15" s="1"/>
  <c r="BA313" i="15"/>
  <c r="AZ313" i="15"/>
  <c r="BB313" i="15" s="1"/>
  <c r="AG928" i="15"/>
  <c r="AF928" i="15"/>
  <c r="AH928" i="15" s="1"/>
  <c r="BA314" i="15" l="1"/>
  <c r="AZ314" i="15"/>
  <c r="BB314" i="15" s="1"/>
  <c r="AO683" i="15"/>
  <c r="AN683" i="15"/>
  <c r="AP683" i="15" s="1"/>
  <c r="BE191" i="15"/>
  <c r="BD191" i="15"/>
  <c r="BF191" i="15" s="1"/>
  <c r="AW437" i="15"/>
  <c r="AV437" i="15"/>
  <c r="AX437" i="15" s="1"/>
  <c r="AG929" i="15"/>
  <c r="AF929" i="15"/>
  <c r="AH929" i="15" s="1"/>
  <c r="AK806" i="15"/>
  <c r="AJ806" i="15"/>
  <c r="AL806" i="15" s="1"/>
  <c r="AS560" i="15"/>
  <c r="AR560" i="15"/>
  <c r="AT560" i="15" s="1"/>
  <c r="BI68" i="15"/>
  <c r="BH68" i="15"/>
  <c r="BJ68" i="15" s="1"/>
  <c r="BI69" i="15" l="1"/>
  <c r="BH69" i="15"/>
  <c r="BJ69" i="15" s="1"/>
  <c r="AK807" i="15"/>
  <c r="AJ807" i="15"/>
  <c r="AL807" i="15" s="1"/>
  <c r="AW438" i="15"/>
  <c r="AV438" i="15"/>
  <c r="AX438" i="15" s="1"/>
  <c r="BE192" i="15"/>
  <c r="BD192" i="15"/>
  <c r="BF192" i="15" s="1"/>
  <c r="BA315" i="15"/>
  <c r="AZ315" i="15"/>
  <c r="BB315" i="15" s="1"/>
  <c r="AS561" i="15"/>
  <c r="AR561" i="15"/>
  <c r="AT561" i="15" s="1"/>
  <c r="AG930" i="15"/>
  <c r="AF930" i="15"/>
  <c r="AH930" i="15" s="1"/>
  <c r="AO684" i="15"/>
  <c r="AN684" i="15"/>
  <c r="AP684" i="15" s="1"/>
  <c r="AG931" i="15" l="1"/>
  <c r="AF931" i="15"/>
  <c r="AH931" i="15" s="1"/>
  <c r="BA316" i="15"/>
  <c r="AZ316" i="15"/>
  <c r="BB316" i="15" s="1"/>
  <c r="BE193" i="15"/>
  <c r="BD193" i="15"/>
  <c r="BF193" i="15" s="1"/>
  <c r="AW439" i="15"/>
  <c r="AV439" i="15"/>
  <c r="AX439" i="15" s="1"/>
  <c r="BI70" i="15"/>
  <c r="BH70" i="15"/>
  <c r="BJ70" i="15" s="1"/>
  <c r="AO685" i="15"/>
  <c r="AN685" i="15"/>
  <c r="AP685" i="15" s="1"/>
  <c r="AS562" i="15"/>
  <c r="AR562" i="15"/>
  <c r="AT562" i="15" s="1"/>
  <c r="AK808" i="15"/>
  <c r="AJ808" i="15"/>
  <c r="AL808" i="15" s="1"/>
  <c r="AS563" i="15" l="1"/>
  <c r="AR563" i="15"/>
  <c r="AT563" i="15" s="1"/>
  <c r="BI71" i="15"/>
  <c r="BH71" i="15"/>
  <c r="BJ71" i="15" s="1"/>
  <c r="BE194" i="15"/>
  <c r="BD194" i="15"/>
  <c r="BF194" i="15" s="1"/>
  <c r="AG932" i="15"/>
  <c r="AF932" i="15"/>
  <c r="AH932" i="15" s="1"/>
  <c r="AK809" i="15"/>
  <c r="AJ809" i="15"/>
  <c r="AL809" i="15" s="1"/>
  <c r="AO686" i="15"/>
  <c r="AN686" i="15"/>
  <c r="AP686" i="15" s="1"/>
  <c r="AW440" i="15"/>
  <c r="AV440" i="15"/>
  <c r="AX440" i="15" s="1"/>
  <c r="BA317" i="15"/>
  <c r="AZ317" i="15"/>
  <c r="BB317" i="15" s="1"/>
  <c r="BA318" i="15" l="1"/>
  <c r="AZ318" i="15"/>
  <c r="BB318" i="15" s="1"/>
  <c r="AO687" i="15"/>
  <c r="AN687" i="15"/>
  <c r="AP687" i="15" s="1"/>
  <c r="AK810" i="15"/>
  <c r="AJ810" i="15"/>
  <c r="AL810" i="15" s="1"/>
  <c r="BE195" i="15"/>
  <c r="BD195" i="15"/>
  <c r="BF195" i="15" s="1"/>
  <c r="AS564" i="15"/>
  <c r="AR564" i="15"/>
  <c r="AT564" i="15" s="1"/>
  <c r="AW441" i="15"/>
  <c r="AV441" i="15"/>
  <c r="AX441" i="15" s="1"/>
  <c r="AG933" i="15"/>
  <c r="AF933" i="15"/>
  <c r="AH933" i="15" s="1"/>
  <c r="BI72" i="15"/>
  <c r="BH72" i="15"/>
  <c r="BJ72" i="15" s="1"/>
  <c r="AG934" i="15" l="1"/>
  <c r="AF934" i="15"/>
  <c r="AH934" i="15" s="1"/>
  <c r="AS565" i="15"/>
  <c r="AR565" i="15"/>
  <c r="AT565" i="15" s="1"/>
  <c r="AK811" i="15"/>
  <c r="AJ811" i="15"/>
  <c r="AL811" i="15" s="1"/>
  <c r="BA319" i="15"/>
  <c r="AZ319" i="15"/>
  <c r="BB319" i="15" s="1"/>
  <c r="BI73" i="15"/>
  <c r="BH73" i="15"/>
  <c r="BJ73" i="15" s="1"/>
  <c r="AW442" i="15"/>
  <c r="AV442" i="15"/>
  <c r="AX442" i="15" s="1"/>
  <c r="BE196" i="15"/>
  <c r="BD196" i="15"/>
  <c r="BF196" i="15" s="1"/>
  <c r="AO688" i="15"/>
  <c r="AN688" i="15"/>
  <c r="AP688" i="15" s="1"/>
  <c r="BE197" i="15" l="1"/>
  <c r="BD197" i="15"/>
  <c r="BF197" i="15" s="1"/>
  <c r="BA320" i="15"/>
  <c r="AZ320" i="15"/>
  <c r="BB320" i="15" s="1"/>
  <c r="AK812" i="15"/>
  <c r="AJ812" i="15"/>
  <c r="AL812" i="15" s="1"/>
  <c r="AG935" i="15"/>
  <c r="AF935" i="15"/>
  <c r="AH935" i="15" s="1"/>
  <c r="AO689" i="15"/>
  <c r="AN689" i="15"/>
  <c r="AP689" i="15" s="1"/>
  <c r="AW443" i="15"/>
  <c r="AV443" i="15"/>
  <c r="AX443" i="15" s="1"/>
  <c r="BI74" i="15"/>
  <c r="BH74" i="15"/>
  <c r="BJ74" i="15" s="1"/>
  <c r="AS566" i="15"/>
  <c r="AR566" i="15"/>
  <c r="AT566" i="15" s="1"/>
  <c r="AS567" i="15" l="1"/>
  <c r="AR567" i="15"/>
  <c r="AT567" i="15" s="1"/>
  <c r="BI75" i="15"/>
  <c r="BH75" i="15"/>
  <c r="BJ75" i="15" s="1"/>
  <c r="AO690" i="15"/>
  <c r="AN690" i="15"/>
  <c r="AP690" i="15" s="1"/>
  <c r="AG936" i="15"/>
  <c r="AF936" i="15"/>
  <c r="AH936" i="15" s="1"/>
  <c r="BA321" i="15"/>
  <c r="AZ321" i="15"/>
  <c r="BB321" i="15" s="1"/>
  <c r="BE198" i="15"/>
  <c r="BD198" i="15"/>
  <c r="BF198" i="15" s="1"/>
  <c r="AW444" i="15"/>
  <c r="AV444" i="15"/>
  <c r="AX444" i="15" s="1"/>
  <c r="AK813" i="15"/>
  <c r="AJ813" i="15"/>
  <c r="AL813" i="15" s="1"/>
  <c r="AK814" i="15" l="1"/>
  <c r="AJ814" i="15"/>
  <c r="AL814" i="15" s="1"/>
  <c r="BE199" i="15"/>
  <c r="BD199" i="15"/>
  <c r="BF199" i="15" s="1"/>
  <c r="AG937" i="15"/>
  <c r="AF937" i="15"/>
  <c r="AH937" i="15" s="1"/>
  <c r="AO691" i="15"/>
  <c r="AN691" i="15"/>
  <c r="AP691" i="15" s="1"/>
  <c r="AS568" i="15"/>
  <c r="AR568" i="15"/>
  <c r="AT568" i="15" s="1"/>
  <c r="AW445" i="15"/>
  <c r="AV445" i="15"/>
  <c r="AX445" i="15" s="1"/>
  <c r="BA322" i="15"/>
  <c r="AZ322" i="15"/>
  <c r="BB322" i="15" s="1"/>
  <c r="BI76" i="15"/>
  <c r="BH76" i="15"/>
  <c r="BJ76" i="15" s="1"/>
  <c r="BA323" i="15" l="1"/>
  <c r="AZ323" i="15"/>
  <c r="BB323" i="15" s="1"/>
  <c r="AS569" i="15"/>
  <c r="AR569" i="15"/>
  <c r="AT569" i="15" s="1"/>
  <c r="AG938" i="15"/>
  <c r="AF938" i="15"/>
  <c r="AH938" i="15" s="1"/>
  <c r="AK815" i="15"/>
  <c r="AJ815" i="15"/>
  <c r="AL815" i="15" s="1"/>
  <c r="BI77" i="15"/>
  <c r="BH77" i="15"/>
  <c r="BJ77" i="15" s="1"/>
  <c r="AW446" i="15"/>
  <c r="AV446" i="15"/>
  <c r="AX446" i="15" s="1"/>
  <c r="AO692" i="15"/>
  <c r="AN692" i="15"/>
  <c r="AP692" i="15" s="1"/>
  <c r="BE200" i="15"/>
  <c r="BD200" i="15"/>
  <c r="BF200" i="15" s="1"/>
  <c r="BE201" i="15" l="1"/>
  <c r="BD201" i="15"/>
  <c r="BF201" i="15" s="1"/>
  <c r="AW447" i="15"/>
  <c r="AV447" i="15"/>
  <c r="AX447" i="15" s="1"/>
  <c r="AK816" i="15"/>
  <c r="AJ816" i="15"/>
  <c r="AL816" i="15" s="1"/>
  <c r="AG939" i="15"/>
  <c r="AF939" i="15"/>
  <c r="AH939" i="15" s="1"/>
  <c r="BA324" i="15"/>
  <c r="AZ324" i="15"/>
  <c r="BB324" i="15" s="1"/>
  <c r="AO693" i="15"/>
  <c r="AN693" i="15"/>
  <c r="AP693" i="15" s="1"/>
  <c r="BI78" i="15"/>
  <c r="BH78" i="15"/>
  <c r="BJ78" i="15" s="1"/>
  <c r="AS570" i="15"/>
  <c r="AR570" i="15"/>
  <c r="AT570" i="15" s="1"/>
  <c r="AS571" i="15" l="1"/>
  <c r="AR571" i="15"/>
  <c r="AT571" i="15" s="1"/>
  <c r="BI79" i="15"/>
  <c r="BH79" i="15"/>
  <c r="BJ79" i="15" s="1"/>
  <c r="BA325" i="15"/>
  <c r="AZ325" i="15"/>
  <c r="BB325" i="15" s="1"/>
  <c r="AG940" i="15"/>
  <c r="AF940" i="15"/>
  <c r="AH940" i="15" s="1"/>
  <c r="AK817" i="15"/>
  <c r="AJ817" i="15"/>
  <c r="AL817" i="15" s="1"/>
  <c r="AW448" i="15"/>
  <c r="AV448" i="15"/>
  <c r="AX448" i="15" s="1"/>
  <c r="BE202" i="15"/>
  <c r="BD202" i="15"/>
  <c r="BF202" i="15" s="1"/>
  <c r="AO694" i="15"/>
  <c r="AN694" i="15"/>
  <c r="AP694" i="15" s="1"/>
  <c r="AO695" i="15" l="1"/>
  <c r="AN695" i="15"/>
  <c r="AP695" i="15" s="1"/>
  <c r="AW449" i="15"/>
  <c r="AV449" i="15"/>
  <c r="AX449" i="15" s="1"/>
  <c r="AK818" i="15"/>
  <c r="AJ818" i="15"/>
  <c r="AL818" i="15" s="1"/>
  <c r="BA326" i="15"/>
  <c r="AZ326" i="15"/>
  <c r="BB326" i="15" s="1"/>
  <c r="AS572" i="15"/>
  <c r="AR572" i="15"/>
  <c r="AT572" i="15" s="1"/>
  <c r="BE203" i="15"/>
  <c r="BD203" i="15"/>
  <c r="BF203" i="15" s="1"/>
  <c r="AG941" i="15"/>
  <c r="AF941" i="15"/>
  <c r="AH941" i="15" s="1"/>
  <c r="BI80" i="15"/>
  <c r="BH80" i="15"/>
  <c r="BJ80" i="15" s="1"/>
  <c r="BI81" i="15" l="1"/>
  <c r="BH81" i="15"/>
  <c r="BJ81" i="15" s="1"/>
  <c r="AG942" i="15"/>
  <c r="AF942" i="15"/>
  <c r="AH942" i="15" s="1"/>
  <c r="AS573" i="15"/>
  <c r="AR573" i="15"/>
  <c r="AT573" i="15" s="1"/>
  <c r="BA327" i="15"/>
  <c r="AZ327" i="15"/>
  <c r="BB327" i="15" s="1"/>
  <c r="AW450" i="15"/>
  <c r="AV450" i="15"/>
  <c r="AX450" i="15" s="1"/>
  <c r="AO696" i="15"/>
  <c r="AN696" i="15"/>
  <c r="AP696" i="15" s="1"/>
  <c r="BE204" i="15"/>
  <c r="BD204" i="15"/>
  <c r="BF204" i="15" s="1"/>
  <c r="AK819" i="15"/>
  <c r="AJ819" i="15"/>
  <c r="AL819" i="15" s="1"/>
  <c r="AK820" i="15" l="1"/>
  <c r="AJ820" i="15"/>
  <c r="AL820" i="15" s="1"/>
  <c r="AO697" i="15"/>
  <c r="AN697" i="15"/>
  <c r="AP697" i="15" s="1"/>
  <c r="AW451" i="15"/>
  <c r="AV451" i="15"/>
  <c r="AX451" i="15" s="1"/>
  <c r="AS574" i="15"/>
  <c r="AR574" i="15"/>
  <c r="AT574" i="15" s="1"/>
  <c r="BI82" i="15"/>
  <c r="BH82" i="15"/>
  <c r="BJ82" i="15" s="1"/>
  <c r="BE205" i="15"/>
  <c r="BD205" i="15"/>
  <c r="BF205" i="15" s="1"/>
  <c r="BA328" i="15"/>
  <c r="AZ328" i="15"/>
  <c r="BB328" i="15" s="1"/>
  <c r="AG943" i="15"/>
  <c r="AF943" i="15"/>
  <c r="AH943" i="15" s="1"/>
  <c r="AG944" i="15" l="1"/>
  <c r="AF944" i="15"/>
  <c r="AH944" i="15" s="1"/>
  <c r="BA329" i="15"/>
  <c r="AZ329" i="15"/>
  <c r="BB329" i="15" s="1"/>
  <c r="BI83" i="15"/>
  <c r="BH83" i="15"/>
  <c r="BJ83" i="15" s="1"/>
  <c r="AW452" i="15"/>
  <c r="AV452" i="15"/>
  <c r="AX452" i="15" s="1"/>
  <c r="AK821" i="15"/>
  <c r="AJ821" i="15"/>
  <c r="AL821" i="15" s="1"/>
  <c r="BE206" i="15"/>
  <c r="BD206" i="15"/>
  <c r="BF206" i="15" s="1"/>
  <c r="AS575" i="15"/>
  <c r="AR575" i="15"/>
  <c r="AT575" i="15" s="1"/>
  <c r="AO698" i="15"/>
  <c r="AN698" i="15"/>
  <c r="AP698" i="15" s="1"/>
  <c r="AO699" i="15" l="1"/>
  <c r="AN699" i="15"/>
  <c r="AP699" i="15" s="1"/>
  <c r="BE207" i="15"/>
  <c r="BD207" i="15"/>
  <c r="BF207" i="15" s="1"/>
  <c r="AW453" i="15"/>
  <c r="AV453" i="15"/>
  <c r="AX453" i="15" s="1"/>
  <c r="BI84" i="15"/>
  <c r="BH84" i="15"/>
  <c r="BJ84" i="15" s="1"/>
  <c r="AG945" i="15"/>
  <c r="AF945" i="15"/>
  <c r="AH945" i="15" s="1"/>
  <c r="AS576" i="15"/>
  <c r="AR576" i="15"/>
  <c r="AT576" i="15" s="1"/>
  <c r="AK822" i="15"/>
  <c r="AJ822" i="15"/>
  <c r="AL822" i="15" s="1"/>
  <c r="BA330" i="15"/>
  <c r="AZ330" i="15"/>
  <c r="BB330" i="15" s="1"/>
  <c r="BA331" i="15" l="1"/>
  <c r="AZ331" i="15"/>
  <c r="BB331" i="15" s="1"/>
  <c r="AS577" i="15"/>
  <c r="AR577" i="15"/>
  <c r="AT577" i="15" s="1"/>
  <c r="AG946" i="15"/>
  <c r="AF946" i="15"/>
  <c r="AH946" i="15" s="1"/>
  <c r="AW454" i="15"/>
  <c r="AV454" i="15"/>
  <c r="AX454" i="15" s="1"/>
  <c r="AO700" i="15"/>
  <c r="AN700" i="15"/>
  <c r="AP700" i="15" s="1"/>
  <c r="AK823" i="15"/>
  <c r="AJ823" i="15"/>
  <c r="AL823" i="15" s="1"/>
  <c r="BI85" i="15"/>
  <c r="BH85" i="15"/>
  <c r="BJ85" i="15" s="1"/>
  <c r="BE208" i="15"/>
  <c r="BD208" i="15"/>
  <c r="BF208" i="15" s="1"/>
  <c r="BI86" i="15" l="1"/>
  <c r="BH86" i="15"/>
  <c r="BJ86" i="15" s="1"/>
  <c r="AO701" i="15"/>
  <c r="AN701" i="15"/>
  <c r="AP701" i="15" s="1"/>
  <c r="AG947" i="15"/>
  <c r="AF947" i="15"/>
  <c r="AH947" i="15" s="1"/>
  <c r="BA332" i="15"/>
  <c r="AZ332" i="15"/>
  <c r="BB332" i="15" s="1"/>
  <c r="BE209" i="15"/>
  <c r="BD209" i="15"/>
  <c r="BF209" i="15" s="1"/>
  <c r="AK824" i="15"/>
  <c r="AJ824" i="15"/>
  <c r="AL824" i="15" s="1"/>
  <c r="AW455" i="15"/>
  <c r="AV455" i="15"/>
  <c r="AX455" i="15" s="1"/>
  <c r="AS578" i="15"/>
  <c r="AR578" i="15"/>
  <c r="AT578" i="15" s="1"/>
  <c r="AW456" i="15" l="1"/>
  <c r="AV456" i="15"/>
  <c r="AX456" i="15" s="1"/>
  <c r="BE210" i="15"/>
  <c r="BD210" i="15"/>
  <c r="BF210" i="15" s="1"/>
  <c r="AG948" i="15"/>
  <c r="AF948" i="15"/>
  <c r="AH948" i="15" s="1"/>
  <c r="BI87" i="15"/>
  <c r="BH87" i="15"/>
  <c r="BJ87" i="15" s="1"/>
  <c r="AS579" i="15"/>
  <c r="AR579" i="15"/>
  <c r="AT579" i="15" s="1"/>
  <c r="AK825" i="15"/>
  <c r="AJ825" i="15"/>
  <c r="AL825" i="15" s="1"/>
  <c r="BA333" i="15"/>
  <c r="AZ333" i="15"/>
  <c r="BB333" i="15" s="1"/>
  <c r="AO702" i="15"/>
  <c r="AN702" i="15"/>
  <c r="AP702" i="15" s="1"/>
  <c r="AO703" i="15" l="1"/>
  <c r="AN703" i="15"/>
  <c r="AP703" i="15" s="1"/>
  <c r="AK826" i="15"/>
  <c r="AJ826" i="15"/>
  <c r="AL826" i="15" s="1"/>
  <c r="BI88" i="15"/>
  <c r="BH88" i="15"/>
  <c r="BJ88" i="15" s="1"/>
  <c r="AG949" i="15"/>
  <c r="AF949" i="15"/>
  <c r="AH949" i="15" s="1"/>
  <c r="AW457" i="15"/>
  <c r="AV457" i="15"/>
  <c r="AX457" i="15" s="1"/>
  <c r="BA334" i="15"/>
  <c r="AZ334" i="15"/>
  <c r="BB334" i="15" s="1"/>
  <c r="AS580" i="15"/>
  <c r="AR580" i="15"/>
  <c r="AT580" i="15" s="1"/>
  <c r="BE211" i="15"/>
  <c r="BD211" i="15"/>
  <c r="BF211" i="15" s="1"/>
  <c r="BE212" i="15" l="1"/>
  <c r="BD212" i="15"/>
  <c r="BF212" i="15" s="1"/>
  <c r="AS581" i="15"/>
  <c r="AR581" i="15"/>
  <c r="AT581" i="15" s="1"/>
  <c r="AW458" i="15"/>
  <c r="AV458" i="15"/>
  <c r="AX458" i="15" s="1"/>
  <c r="AG950" i="15"/>
  <c r="AF950" i="15"/>
  <c r="AH950" i="15" s="1"/>
  <c r="BI89" i="15"/>
  <c r="BH89" i="15"/>
  <c r="BJ89" i="15" s="1"/>
  <c r="AK827" i="15"/>
  <c r="AJ827" i="15"/>
  <c r="AL827" i="15" s="1"/>
  <c r="AO704" i="15"/>
  <c r="AN704" i="15"/>
  <c r="AP704" i="15" s="1"/>
  <c r="BA335" i="15"/>
  <c r="AZ335" i="15"/>
  <c r="BB335" i="15" s="1"/>
  <c r="AO705" i="15" l="1"/>
  <c r="AN705" i="15"/>
  <c r="AP705" i="15" s="1"/>
  <c r="BI90" i="15"/>
  <c r="BH90" i="15"/>
  <c r="BJ90" i="15" s="1"/>
  <c r="AW459" i="15"/>
  <c r="AV459" i="15"/>
  <c r="AX459" i="15" s="1"/>
  <c r="BE213" i="15"/>
  <c r="BD213" i="15"/>
  <c r="BF213" i="15" s="1"/>
  <c r="BA336" i="15"/>
  <c r="AZ336" i="15"/>
  <c r="BB336" i="15" s="1"/>
  <c r="AK828" i="15"/>
  <c r="AJ828" i="15"/>
  <c r="AL828" i="15" s="1"/>
  <c r="AG951" i="15"/>
  <c r="AF951" i="15"/>
  <c r="AH951" i="15" s="1"/>
  <c r="AS582" i="15"/>
  <c r="AR582" i="15"/>
  <c r="AT582" i="15" s="1"/>
  <c r="AG952" i="15" l="1"/>
  <c r="AF952" i="15"/>
  <c r="AH952" i="15" s="1"/>
  <c r="BA337" i="15"/>
  <c r="AZ337" i="15"/>
  <c r="BB337" i="15" s="1"/>
  <c r="AW460" i="15"/>
  <c r="AV460" i="15"/>
  <c r="AX460" i="15" s="1"/>
  <c r="AO706" i="15"/>
  <c r="AN706" i="15"/>
  <c r="AP706" i="15" s="1"/>
  <c r="AS583" i="15"/>
  <c r="AR583" i="15"/>
  <c r="AT583" i="15" s="1"/>
  <c r="AK829" i="15"/>
  <c r="AJ829" i="15"/>
  <c r="AL829" i="15" s="1"/>
  <c r="BE214" i="15"/>
  <c r="BD214" i="15"/>
  <c r="BF214" i="15" s="1"/>
  <c r="BI91" i="15"/>
  <c r="BH91" i="15"/>
  <c r="BJ91" i="15" s="1"/>
  <c r="BI92" i="15" l="1"/>
  <c r="BH92" i="15"/>
  <c r="BJ92" i="15" s="1"/>
  <c r="AK830" i="15"/>
  <c r="AJ830" i="15"/>
  <c r="AL830" i="15" s="1"/>
  <c r="AS584" i="15"/>
  <c r="AR584" i="15"/>
  <c r="AT584" i="15" s="1"/>
  <c r="AW461" i="15"/>
  <c r="AV461" i="15"/>
  <c r="AX461" i="15" s="1"/>
  <c r="AG953" i="15"/>
  <c r="AF953" i="15"/>
  <c r="AH953" i="15" s="1"/>
  <c r="BE215" i="15"/>
  <c r="BD215" i="15"/>
  <c r="BF215" i="15" s="1"/>
  <c r="AO707" i="15"/>
  <c r="AN707" i="15"/>
  <c r="AP707" i="15" s="1"/>
  <c r="BA338" i="15"/>
  <c r="AZ338" i="15"/>
  <c r="BB338" i="15" s="1"/>
  <c r="AO708" i="15" l="1"/>
  <c r="AN708" i="15"/>
  <c r="AP708" i="15" s="1"/>
  <c r="AG954" i="15"/>
  <c r="AF954" i="15"/>
  <c r="AH954" i="15" s="1"/>
  <c r="AS585" i="15"/>
  <c r="AR585" i="15"/>
  <c r="AT585" i="15" s="1"/>
  <c r="BI93" i="15"/>
  <c r="BH93" i="15"/>
  <c r="BJ93" i="15" s="1"/>
  <c r="BA339" i="15"/>
  <c r="AZ339" i="15"/>
  <c r="BB339" i="15" s="1"/>
  <c r="BE216" i="15"/>
  <c r="BD216" i="15"/>
  <c r="BF216" i="15" s="1"/>
  <c r="AW462" i="15"/>
  <c r="AV462" i="15"/>
  <c r="AX462" i="15" s="1"/>
  <c r="AK831" i="15"/>
  <c r="AJ831" i="15"/>
  <c r="AL831" i="15" s="1"/>
  <c r="AK832" i="15" l="1"/>
  <c r="AJ832" i="15"/>
  <c r="AL832" i="15" s="1"/>
  <c r="BE217" i="15"/>
  <c r="BD217" i="15"/>
  <c r="BF217" i="15" s="1"/>
  <c r="BI94" i="15"/>
  <c r="BH94" i="15"/>
  <c r="BJ94" i="15" s="1"/>
  <c r="AS586" i="15"/>
  <c r="AR586" i="15"/>
  <c r="AT586" i="15" s="1"/>
  <c r="AO709" i="15"/>
  <c r="AN709" i="15"/>
  <c r="AP709" i="15" s="1"/>
  <c r="AW463" i="15"/>
  <c r="AV463" i="15"/>
  <c r="AX463" i="15" s="1"/>
  <c r="BA340" i="15"/>
  <c r="AZ340" i="15"/>
  <c r="BB340" i="15" s="1"/>
  <c r="AG955" i="15"/>
  <c r="AF955" i="15"/>
  <c r="AH955" i="15" s="1"/>
  <c r="BA341" i="15" l="1"/>
  <c r="AZ341" i="15"/>
  <c r="BB341" i="15" s="1"/>
  <c r="AW464" i="15"/>
  <c r="AV464" i="15"/>
  <c r="AX464" i="15" s="1"/>
  <c r="AS587" i="15"/>
  <c r="AR587" i="15"/>
  <c r="AT587" i="15" s="1"/>
  <c r="BI95" i="15"/>
  <c r="BH95" i="15"/>
  <c r="BJ95" i="15" s="1"/>
  <c r="AK833" i="15"/>
  <c r="AJ833" i="15"/>
  <c r="AL833" i="15" s="1"/>
  <c r="AG956" i="15"/>
  <c r="AF956" i="15"/>
  <c r="AH956" i="15" s="1"/>
  <c r="AO710" i="15"/>
  <c r="AN710" i="15"/>
  <c r="AP710" i="15" s="1"/>
  <c r="BE218" i="15"/>
  <c r="BD218" i="15"/>
  <c r="BF218" i="15" s="1"/>
  <c r="AO711" i="15" l="1"/>
  <c r="AN711" i="15"/>
  <c r="AP711" i="15" s="1"/>
  <c r="AK834" i="15"/>
  <c r="AJ834" i="15"/>
  <c r="AL834" i="15" s="1"/>
  <c r="AS588" i="15"/>
  <c r="AR588" i="15"/>
  <c r="AT588" i="15" s="1"/>
  <c r="BA342" i="15"/>
  <c r="AZ342" i="15"/>
  <c r="BB342" i="15" s="1"/>
  <c r="BE219" i="15"/>
  <c r="BD219" i="15"/>
  <c r="BF219" i="15" s="1"/>
  <c r="AG957" i="15"/>
  <c r="AF957" i="15"/>
  <c r="AH957" i="15" s="1"/>
  <c r="BI96" i="15"/>
  <c r="BH96" i="15"/>
  <c r="BJ96" i="15" s="1"/>
  <c r="AW465" i="15"/>
  <c r="AV465" i="15"/>
  <c r="AX465" i="15" s="1"/>
  <c r="AW466" i="15" l="1"/>
  <c r="AV466" i="15"/>
  <c r="AX466" i="15" s="1"/>
  <c r="BI97" i="15"/>
  <c r="BH97" i="15"/>
  <c r="BJ97" i="15" s="1"/>
  <c r="BE220" i="15"/>
  <c r="BD220" i="15"/>
  <c r="BF220" i="15" s="1"/>
  <c r="BA343" i="15"/>
  <c r="AZ343" i="15"/>
  <c r="BB343" i="15" s="1"/>
  <c r="AS589" i="15"/>
  <c r="AR589" i="15"/>
  <c r="AT589" i="15" s="1"/>
  <c r="AK835" i="15"/>
  <c r="AJ835" i="15"/>
  <c r="AL835" i="15" s="1"/>
  <c r="AO712" i="15"/>
  <c r="AN712" i="15"/>
  <c r="AP712" i="15" s="1"/>
  <c r="AG958" i="15"/>
  <c r="AF958" i="15"/>
  <c r="AH958" i="15" s="1"/>
  <c r="AG959" i="15" l="1"/>
  <c r="AF959" i="15"/>
  <c r="AH959" i="15" s="1"/>
  <c r="AK836" i="15"/>
  <c r="AJ836" i="15"/>
  <c r="AL836" i="15" s="1"/>
  <c r="BA344" i="15"/>
  <c r="AZ344" i="15"/>
  <c r="BB344" i="15" s="1"/>
  <c r="BE221" i="15"/>
  <c r="BD221" i="15"/>
  <c r="BF221" i="15" s="1"/>
  <c r="AW467" i="15"/>
  <c r="AV467" i="15"/>
  <c r="AX467" i="15" s="1"/>
  <c r="AO713" i="15"/>
  <c r="AN713" i="15"/>
  <c r="AP713" i="15" s="1"/>
  <c r="AS590" i="15"/>
  <c r="AR590" i="15"/>
  <c r="AT590" i="15" s="1"/>
  <c r="BI98" i="15"/>
  <c r="BH98" i="15"/>
  <c r="BJ98" i="15" s="1"/>
  <c r="AS591" i="15" l="1"/>
  <c r="AR591" i="15"/>
  <c r="AT591" i="15" s="1"/>
  <c r="AW468" i="15"/>
  <c r="AV468" i="15"/>
  <c r="AX468" i="15" s="1"/>
  <c r="BA345" i="15"/>
  <c r="AZ345" i="15"/>
  <c r="BB345" i="15" s="1"/>
  <c r="AG960" i="15"/>
  <c r="AF960" i="15"/>
  <c r="AH960" i="15" s="1"/>
  <c r="BI99" i="15"/>
  <c r="BH99" i="15"/>
  <c r="BJ99" i="15" s="1"/>
  <c r="AO714" i="15"/>
  <c r="AN714" i="15"/>
  <c r="AP714" i="15" s="1"/>
  <c r="BE222" i="15"/>
  <c r="BD222" i="15"/>
  <c r="BF222" i="15" s="1"/>
  <c r="AK837" i="15"/>
  <c r="AJ837" i="15"/>
  <c r="AL837" i="15" s="1"/>
  <c r="BE223" i="15" l="1"/>
  <c r="BD223" i="15"/>
  <c r="BF223" i="15" s="1"/>
  <c r="BI100" i="15"/>
  <c r="BH100" i="15"/>
  <c r="BJ100" i="15" s="1"/>
  <c r="BA346" i="15"/>
  <c r="AZ346" i="15"/>
  <c r="BB346" i="15" s="1"/>
  <c r="AS592" i="15"/>
  <c r="AR592" i="15"/>
  <c r="AT592" i="15" s="1"/>
  <c r="AK838" i="15"/>
  <c r="AJ838" i="15"/>
  <c r="AL838" i="15" s="1"/>
  <c r="AO715" i="15"/>
  <c r="AN715" i="15"/>
  <c r="AP715" i="15" s="1"/>
  <c r="AG961" i="15"/>
  <c r="AF961" i="15"/>
  <c r="AH961" i="15" s="1"/>
  <c r="AW469" i="15"/>
  <c r="AV469" i="15"/>
  <c r="AX469" i="15" s="1"/>
  <c r="AW470" i="15" l="1"/>
  <c r="AV470" i="15"/>
  <c r="AX470" i="15" s="1"/>
  <c r="AO716" i="15"/>
  <c r="AN716" i="15"/>
  <c r="AP716" i="15" s="1"/>
  <c r="AS593" i="15"/>
  <c r="AR593" i="15"/>
  <c r="AT593" i="15" s="1"/>
  <c r="BA347" i="15"/>
  <c r="AZ347" i="15"/>
  <c r="BB347" i="15" s="1"/>
  <c r="BE224" i="15"/>
  <c r="BD224" i="15"/>
  <c r="BF224" i="15" s="1"/>
  <c r="AG962" i="15"/>
  <c r="AF962" i="15"/>
  <c r="AH962" i="15" s="1"/>
  <c r="AK839" i="15"/>
  <c r="AJ839" i="15"/>
  <c r="AL839" i="15" s="1"/>
  <c r="BI101" i="15"/>
  <c r="BH101" i="15"/>
  <c r="BJ101" i="15" s="1"/>
  <c r="BI102" i="15" l="1"/>
  <c r="BH102" i="15"/>
  <c r="BJ102" i="15" s="1"/>
  <c r="BE225" i="15"/>
  <c r="BD225" i="15"/>
  <c r="BF225" i="15" s="1"/>
  <c r="AS594" i="15"/>
  <c r="AR594" i="15"/>
  <c r="AT594" i="15" s="1"/>
  <c r="AW471" i="15"/>
  <c r="AV471" i="15"/>
  <c r="AX471" i="15" s="1"/>
  <c r="AK840" i="15"/>
  <c r="AJ840" i="15"/>
  <c r="AL840" i="15" s="1"/>
  <c r="AG963" i="15"/>
  <c r="AF963" i="15"/>
  <c r="AH963" i="15" s="1"/>
  <c r="BA348" i="15"/>
  <c r="AZ348" i="15"/>
  <c r="BB348" i="15" s="1"/>
  <c r="AO717" i="15"/>
  <c r="AN717" i="15"/>
  <c r="AP717" i="15" s="1"/>
  <c r="AO718" i="15" l="1"/>
  <c r="AN718" i="15"/>
  <c r="AP718" i="15" s="1"/>
  <c r="BA349" i="15"/>
  <c r="AZ349" i="15"/>
  <c r="BB349" i="15" s="1"/>
  <c r="AG964" i="15"/>
  <c r="AF964" i="15"/>
  <c r="AH964" i="15" s="1"/>
  <c r="AW472" i="15"/>
  <c r="AV472" i="15"/>
  <c r="AX472" i="15" s="1"/>
  <c r="AS595" i="15"/>
  <c r="AR595" i="15"/>
  <c r="AT595" i="15" s="1"/>
  <c r="BE226" i="15"/>
  <c r="BD226" i="15"/>
  <c r="BF226" i="15" s="1"/>
  <c r="BI103" i="15"/>
  <c r="BH103" i="15"/>
  <c r="BJ103" i="15" s="1"/>
  <c r="AK841" i="15"/>
  <c r="AJ841" i="15"/>
  <c r="AL841" i="15" s="1"/>
  <c r="BI104" i="15" l="1"/>
  <c r="BH104" i="15"/>
  <c r="BJ104" i="15" s="1"/>
  <c r="AS596" i="15"/>
  <c r="AR596" i="15"/>
  <c r="AT596" i="15" s="1"/>
  <c r="AG965" i="15"/>
  <c r="AF965" i="15"/>
  <c r="AH965" i="15" s="1"/>
  <c r="AO719" i="15"/>
  <c r="AN719" i="15"/>
  <c r="AP719" i="15" s="1"/>
  <c r="AK842" i="15"/>
  <c r="AJ842" i="15"/>
  <c r="AL842" i="15" s="1"/>
  <c r="BE227" i="15"/>
  <c r="BD227" i="15"/>
  <c r="BF227" i="15" s="1"/>
  <c r="AW473" i="15"/>
  <c r="AV473" i="15"/>
  <c r="AX473" i="15" s="1"/>
  <c r="BA350" i="15"/>
  <c r="AZ350" i="15"/>
  <c r="BB350" i="15" s="1"/>
  <c r="BA351" i="15" l="1"/>
  <c r="AZ351" i="15"/>
  <c r="BB351" i="15" s="1"/>
  <c r="BE228" i="15"/>
  <c r="BD228" i="15"/>
  <c r="BF228" i="15" s="1"/>
  <c r="AO720" i="15"/>
  <c r="AN720" i="15"/>
  <c r="AP720" i="15" s="1"/>
  <c r="AG966" i="15"/>
  <c r="AF966" i="15"/>
  <c r="AH966" i="15" s="1"/>
  <c r="BI105" i="15"/>
  <c r="BH105" i="15"/>
  <c r="BJ105" i="15" s="1"/>
  <c r="AW474" i="15"/>
  <c r="AV474" i="15"/>
  <c r="AX474" i="15" s="1"/>
  <c r="AK843" i="15"/>
  <c r="AJ843" i="15"/>
  <c r="AL843" i="15" s="1"/>
  <c r="AS597" i="15"/>
  <c r="AR597" i="15"/>
  <c r="AT597" i="15" s="1"/>
  <c r="AS598" i="15" l="1"/>
  <c r="AR598" i="15"/>
  <c r="AT598" i="15" s="1"/>
  <c r="AW475" i="15"/>
  <c r="AV475" i="15"/>
  <c r="AX475" i="15" s="1"/>
  <c r="AG967" i="15"/>
  <c r="AF967" i="15"/>
  <c r="AH967" i="15" s="1"/>
  <c r="AO721" i="15"/>
  <c r="AN721" i="15"/>
  <c r="AP721" i="15" s="1"/>
  <c r="BA352" i="15"/>
  <c r="AZ352" i="15"/>
  <c r="BB352" i="15" s="1"/>
  <c r="AK844" i="15"/>
  <c r="AJ844" i="15"/>
  <c r="AL844" i="15" s="1"/>
  <c r="BI106" i="15"/>
  <c r="BH106" i="15"/>
  <c r="BJ106" i="15" s="1"/>
  <c r="BE229" i="15"/>
  <c r="BD229" i="15"/>
  <c r="BF229" i="15" s="1"/>
  <c r="BI107" i="15" l="1"/>
  <c r="BH107" i="15"/>
  <c r="BJ107" i="15" s="1"/>
  <c r="AK845" i="15"/>
  <c r="AJ845" i="15"/>
  <c r="AL845" i="15" s="1"/>
  <c r="AO722" i="15"/>
  <c r="AN722" i="15"/>
  <c r="AP722" i="15" s="1"/>
  <c r="AG968" i="15"/>
  <c r="AF968" i="15"/>
  <c r="AH968" i="15" s="1"/>
  <c r="AS599" i="15"/>
  <c r="AR599" i="15"/>
  <c r="AT599" i="15" s="1"/>
  <c r="BE230" i="15"/>
  <c r="BD230" i="15"/>
  <c r="BF230" i="15" s="1"/>
  <c r="BA353" i="15"/>
  <c r="AZ353" i="15"/>
  <c r="BB353" i="15" s="1"/>
  <c r="AW476" i="15"/>
  <c r="AV476" i="15"/>
  <c r="AX476" i="15" s="1"/>
  <c r="AW477" i="15" l="1"/>
  <c r="AV477" i="15"/>
  <c r="AX477" i="15" s="1"/>
  <c r="BE231" i="15"/>
  <c r="BD231" i="15"/>
  <c r="BF231" i="15" s="1"/>
  <c r="AG969" i="15"/>
  <c r="AF969" i="15"/>
  <c r="AH969" i="15" s="1"/>
  <c r="AO723" i="15"/>
  <c r="AN723" i="15"/>
  <c r="AP723" i="15" s="1"/>
  <c r="BI108" i="15"/>
  <c r="BH108" i="15"/>
  <c r="BJ108" i="15" s="1"/>
  <c r="BA354" i="15"/>
  <c r="AZ354" i="15"/>
  <c r="BB354" i="15" s="1"/>
  <c r="AS600" i="15"/>
  <c r="AR600" i="15"/>
  <c r="AT600" i="15" s="1"/>
  <c r="AK846" i="15"/>
  <c r="AJ846" i="15"/>
  <c r="AL846" i="15" s="1"/>
  <c r="AK847" i="15" l="1"/>
  <c r="AJ847" i="15"/>
  <c r="AL847" i="15" s="1"/>
  <c r="BA355" i="15"/>
  <c r="AZ355" i="15"/>
  <c r="BB355" i="15" s="1"/>
  <c r="AO724" i="15"/>
  <c r="AN724" i="15"/>
  <c r="AP724" i="15" s="1"/>
  <c r="AG970" i="15"/>
  <c r="AF970" i="15"/>
  <c r="AH970" i="15" s="1"/>
  <c r="AW478" i="15"/>
  <c r="AV478" i="15"/>
  <c r="AX478" i="15" s="1"/>
  <c r="AS601" i="15"/>
  <c r="AR601" i="15"/>
  <c r="AT601" i="15" s="1"/>
  <c r="BI109" i="15"/>
  <c r="BH109" i="15"/>
  <c r="BJ109" i="15" s="1"/>
  <c r="BE232" i="15"/>
  <c r="BD232" i="15"/>
  <c r="BF232" i="15" s="1"/>
  <c r="BE233" i="15" l="1"/>
  <c r="BD233" i="15"/>
  <c r="BF233" i="15" s="1"/>
  <c r="BI110" i="15"/>
  <c r="BH110" i="15"/>
  <c r="BJ110" i="15" s="1"/>
  <c r="AS602" i="15"/>
  <c r="AR602" i="15"/>
  <c r="AT602" i="15" s="1"/>
  <c r="AW479" i="15"/>
  <c r="AV479" i="15"/>
  <c r="AX479" i="15" s="1"/>
  <c r="AG971" i="15"/>
  <c r="AF971" i="15"/>
  <c r="AH971" i="15" s="1"/>
  <c r="AO725" i="15"/>
  <c r="AN725" i="15"/>
  <c r="AP725" i="15" s="1"/>
  <c r="BA356" i="15"/>
  <c r="AZ356" i="15"/>
  <c r="BB356" i="15" s="1"/>
  <c r="AK848" i="15"/>
  <c r="AJ848" i="15"/>
  <c r="AL848" i="15" s="1"/>
  <c r="BA357" i="15" l="1"/>
  <c r="AZ357" i="15"/>
  <c r="BB357" i="15" s="1"/>
  <c r="AO726" i="15"/>
  <c r="AN726" i="15"/>
  <c r="AP726" i="15" s="1"/>
  <c r="AW480" i="15"/>
  <c r="AV480" i="15"/>
  <c r="AX480" i="15" s="1"/>
  <c r="AS603" i="15"/>
  <c r="AR603" i="15"/>
  <c r="AT603" i="15" s="1"/>
  <c r="BE234" i="15"/>
  <c r="BD234" i="15"/>
  <c r="BF234" i="15" s="1"/>
  <c r="AK849" i="15"/>
  <c r="AJ849" i="15"/>
  <c r="AL849" i="15" s="1"/>
  <c r="AG972" i="15"/>
  <c r="AF972" i="15"/>
  <c r="AH972" i="15" s="1"/>
  <c r="BI111" i="15"/>
  <c r="BH111" i="15"/>
  <c r="BJ111" i="15" s="1"/>
  <c r="AG973" i="15" l="1"/>
  <c r="AF973" i="15"/>
  <c r="AH973" i="15" s="1"/>
  <c r="BE235" i="15"/>
  <c r="BD235" i="15"/>
  <c r="BF235" i="15" s="1"/>
  <c r="AW481" i="15"/>
  <c r="AV481" i="15"/>
  <c r="AX481" i="15" s="1"/>
  <c r="BA358" i="15"/>
  <c r="AZ358" i="15"/>
  <c r="BB358" i="15" s="1"/>
  <c r="BI112" i="15"/>
  <c r="BH112" i="15"/>
  <c r="BJ112" i="15" s="1"/>
  <c r="AK850" i="15"/>
  <c r="AJ850" i="15"/>
  <c r="AL850" i="15" s="1"/>
  <c r="AS604" i="15"/>
  <c r="AR604" i="15"/>
  <c r="AT604" i="15" s="1"/>
  <c r="AO727" i="15"/>
  <c r="AN727" i="15"/>
  <c r="AP727" i="15" s="1"/>
  <c r="AS605" i="15" l="1"/>
  <c r="AR605" i="15"/>
  <c r="AT605" i="15" s="1"/>
  <c r="BI113" i="15"/>
  <c r="BH113" i="15"/>
  <c r="BJ113" i="15" s="1"/>
  <c r="AW482" i="15"/>
  <c r="AV482" i="15"/>
  <c r="AX482" i="15" s="1"/>
  <c r="AG974" i="15"/>
  <c r="AF974" i="15"/>
  <c r="AH974" i="15" s="1"/>
  <c r="AO728" i="15"/>
  <c r="AN728" i="15"/>
  <c r="AP728" i="15" s="1"/>
  <c r="AK851" i="15"/>
  <c r="AJ851" i="15"/>
  <c r="AL851" i="15" s="1"/>
  <c r="BA359" i="15"/>
  <c r="AZ359" i="15"/>
  <c r="BB359" i="15" s="1"/>
  <c r="BE236" i="15"/>
  <c r="BD236" i="15"/>
  <c r="BF236" i="15" s="1"/>
  <c r="BA360" i="15" l="1"/>
  <c r="AZ360" i="15"/>
  <c r="BB360" i="15" s="1"/>
  <c r="AO729" i="15"/>
  <c r="AN729" i="15"/>
  <c r="AP729" i="15" s="1"/>
  <c r="AG975" i="15"/>
  <c r="AF975" i="15"/>
  <c r="AH975" i="15" s="1"/>
  <c r="AW483" i="15"/>
  <c r="AV483" i="15"/>
  <c r="AX483" i="15" s="1"/>
  <c r="AS606" i="15"/>
  <c r="AR606" i="15"/>
  <c r="AT606" i="15" s="1"/>
  <c r="BE237" i="15"/>
  <c r="BD237" i="15"/>
  <c r="BF237" i="15" s="1"/>
  <c r="AK852" i="15"/>
  <c r="AJ852" i="15"/>
  <c r="AL852" i="15" s="1"/>
  <c r="BI114" i="15"/>
  <c r="BH114" i="15"/>
  <c r="BJ114" i="15" s="1"/>
  <c r="AK853" i="15" l="1"/>
  <c r="AJ853" i="15"/>
  <c r="AL853" i="15" s="1"/>
  <c r="BE238" i="15"/>
  <c r="BD238" i="15"/>
  <c r="BF238" i="15" s="1"/>
  <c r="AW484" i="15"/>
  <c r="AV484" i="15"/>
  <c r="AX484" i="15" s="1"/>
  <c r="AG976" i="15"/>
  <c r="AF976" i="15"/>
  <c r="AH976" i="15" s="1"/>
  <c r="BA361" i="15"/>
  <c r="AZ361" i="15"/>
  <c r="BB361" i="15" s="1"/>
  <c r="BI115" i="15"/>
  <c r="BH115" i="15"/>
  <c r="BJ115" i="15" s="1"/>
  <c r="AS607" i="15"/>
  <c r="AR607" i="15"/>
  <c r="AT607" i="15" s="1"/>
  <c r="AO730" i="15"/>
  <c r="AN730" i="15"/>
  <c r="AP730" i="15" s="1"/>
  <c r="AO731" i="15" l="1"/>
  <c r="AN731" i="15"/>
  <c r="AP731" i="15" s="1"/>
  <c r="BI116" i="15"/>
  <c r="BH116" i="15"/>
  <c r="BJ116" i="15" s="1"/>
  <c r="AG977" i="15"/>
  <c r="AF977" i="15"/>
  <c r="AH977" i="15" s="1"/>
  <c r="AW485" i="15"/>
  <c r="AV485" i="15"/>
  <c r="AX485" i="15" s="1"/>
  <c r="AK854" i="15"/>
  <c r="AJ854" i="15"/>
  <c r="AL854" i="15" s="1"/>
  <c r="AS608" i="15"/>
  <c r="AR608" i="15"/>
  <c r="AT608" i="15" s="1"/>
  <c r="BA362" i="15"/>
  <c r="AZ362" i="15"/>
  <c r="BB362" i="15" s="1"/>
  <c r="BE239" i="15"/>
  <c r="BD239" i="15"/>
  <c r="BF239" i="15" s="1"/>
  <c r="BE240" i="15" l="1"/>
  <c r="BD240" i="15"/>
  <c r="BF240" i="15" s="1"/>
  <c r="AS609" i="15"/>
  <c r="AR609" i="15"/>
  <c r="AT609" i="15" s="1"/>
  <c r="AW486" i="15"/>
  <c r="AV486" i="15"/>
  <c r="AX486" i="15" s="1"/>
  <c r="AG978" i="15"/>
  <c r="AF978" i="15"/>
  <c r="AH978" i="15" s="1"/>
  <c r="AO732" i="15"/>
  <c r="AN732" i="15"/>
  <c r="AP732" i="15" s="1"/>
  <c r="BA363" i="15"/>
  <c r="AZ363" i="15"/>
  <c r="BB363" i="15" s="1"/>
  <c r="AK855" i="15"/>
  <c r="AJ855" i="15"/>
  <c r="AL855" i="15" s="1"/>
  <c r="BI117" i="15"/>
  <c r="BH117" i="15"/>
  <c r="BJ117" i="15" s="1"/>
  <c r="BI118" i="15" l="1"/>
  <c r="BH118" i="15"/>
  <c r="BJ118" i="15" s="1"/>
  <c r="BA364" i="15"/>
  <c r="AZ364" i="15"/>
  <c r="BB364" i="15" s="1"/>
  <c r="AG979" i="15"/>
  <c r="AF979" i="15"/>
  <c r="AH979" i="15" s="1"/>
  <c r="AW487" i="15"/>
  <c r="AV487" i="15"/>
  <c r="AX487" i="15" s="1"/>
  <c r="BE241" i="15"/>
  <c r="BD241" i="15"/>
  <c r="BF241" i="15" s="1"/>
  <c r="AK856" i="15"/>
  <c r="AJ856" i="15"/>
  <c r="AL856" i="15" s="1"/>
  <c r="AO733" i="15"/>
  <c r="AN733" i="15"/>
  <c r="AP733" i="15" s="1"/>
  <c r="AS610" i="15"/>
  <c r="AR610" i="15"/>
  <c r="AT610" i="15" s="1"/>
  <c r="AS611" i="15" l="1"/>
  <c r="AR611" i="15"/>
  <c r="AT611" i="15" s="1"/>
  <c r="AK857" i="15"/>
  <c r="AJ857" i="15"/>
  <c r="AL857" i="15" s="1"/>
  <c r="AW488" i="15"/>
  <c r="AV488" i="15"/>
  <c r="AX488" i="15" s="1"/>
  <c r="AG980" i="15"/>
  <c r="AF980" i="15"/>
  <c r="AH980" i="15" s="1"/>
  <c r="BI119" i="15"/>
  <c r="BH119" i="15"/>
  <c r="BJ119" i="15" s="1"/>
  <c r="AO734" i="15"/>
  <c r="AN734" i="15"/>
  <c r="AP734" i="15" s="1"/>
  <c r="BE242" i="15"/>
  <c r="BD242" i="15"/>
  <c r="BF242" i="15" s="1"/>
  <c r="BA365" i="15"/>
  <c r="AZ365" i="15"/>
  <c r="BB365" i="15" s="1"/>
  <c r="BE243" i="15" l="1"/>
  <c r="BD243" i="15"/>
  <c r="BF243" i="15" s="1"/>
  <c r="BI120" i="15"/>
  <c r="BH120" i="15"/>
  <c r="BJ120" i="15" s="1"/>
  <c r="AW489" i="15"/>
  <c r="AV489" i="15"/>
  <c r="AX489" i="15" s="1"/>
  <c r="AS612" i="15"/>
  <c r="AR612" i="15"/>
  <c r="AT612" i="15" s="1"/>
  <c r="BA366" i="15"/>
  <c r="AZ366" i="15"/>
  <c r="BB366" i="15" s="1"/>
  <c r="AO735" i="15"/>
  <c r="AN735" i="15"/>
  <c r="AP735" i="15" s="1"/>
  <c r="AG981" i="15"/>
  <c r="AF981" i="15"/>
  <c r="AH981" i="15" s="1"/>
  <c r="AK858" i="15"/>
  <c r="AJ858" i="15"/>
  <c r="AL858" i="15" s="1"/>
  <c r="AK859" i="15" l="1"/>
  <c r="AJ859" i="15"/>
  <c r="AL859" i="15" s="1"/>
  <c r="AO736" i="15"/>
  <c r="AN736" i="15"/>
  <c r="AP736" i="15" s="1"/>
  <c r="AS613" i="15"/>
  <c r="AR613" i="15"/>
  <c r="AT613" i="15" s="1"/>
  <c r="AW490" i="15"/>
  <c r="AV490" i="15"/>
  <c r="AX490" i="15" s="1"/>
  <c r="BE244" i="15"/>
  <c r="BD244" i="15"/>
  <c r="BF244" i="15" s="1"/>
  <c r="AG982" i="15"/>
  <c r="AF982" i="15"/>
  <c r="AH982" i="15" s="1"/>
  <c r="BA367" i="15"/>
  <c r="AZ367" i="15"/>
  <c r="BB367" i="15" s="1"/>
  <c r="BI121" i="15"/>
  <c r="BH121" i="15"/>
  <c r="BJ121" i="15" s="1"/>
  <c r="BA368" i="15" l="1"/>
  <c r="AZ368" i="15"/>
  <c r="BB368" i="15" s="1"/>
  <c r="BE245" i="15"/>
  <c r="BD245" i="15"/>
  <c r="BF245" i="15" s="1"/>
  <c r="AS614" i="15"/>
  <c r="AR614" i="15"/>
  <c r="AT614" i="15" s="1"/>
  <c r="AK860" i="15"/>
  <c r="AJ860" i="15"/>
  <c r="AL860" i="15" s="1"/>
  <c r="BI122" i="15"/>
  <c r="BH122" i="15"/>
  <c r="BJ122" i="15" s="1"/>
  <c r="AG983" i="15"/>
  <c r="AF983" i="15"/>
  <c r="AH983" i="15" s="1"/>
  <c r="AW491" i="15"/>
  <c r="AV491" i="15"/>
  <c r="AX491" i="15" s="1"/>
  <c r="AO737" i="15"/>
  <c r="AN737" i="15"/>
  <c r="AP737" i="15" s="1"/>
  <c r="AW492" i="15" l="1"/>
  <c r="AV492" i="15"/>
  <c r="AX492" i="15" s="1"/>
  <c r="AG984" i="15"/>
  <c r="AF984" i="15"/>
  <c r="AH984" i="15" s="1"/>
  <c r="AK861" i="15"/>
  <c r="AJ861" i="15"/>
  <c r="AL861" i="15" s="1"/>
  <c r="AS615" i="15"/>
  <c r="AR615" i="15"/>
  <c r="AT615" i="15" s="1"/>
  <c r="BA369" i="15"/>
  <c r="AZ369" i="15"/>
  <c r="BB369" i="15" s="1"/>
  <c r="AO738" i="15"/>
  <c r="AN738" i="15"/>
  <c r="AP738" i="15" s="1"/>
  <c r="BI123" i="15"/>
  <c r="BH123" i="15"/>
  <c r="BJ123" i="15" s="1"/>
  <c r="BE246" i="15"/>
  <c r="BD246" i="15"/>
  <c r="BF246" i="15" s="1"/>
  <c r="BE247" i="15" l="1"/>
  <c r="BD247" i="15"/>
  <c r="BF247" i="15" s="1"/>
  <c r="AO739" i="15"/>
  <c r="AN739" i="15"/>
  <c r="AP739" i="15" s="1"/>
  <c r="AS616" i="15"/>
  <c r="AR616" i="15"/>
  <c r="AT616" i="15" s="1"/>
  <c r="AK862" i="15"/>
  <c r="AJ862" i="15"/>
  <c r="AL862" i="15" s="1"/>
  <c r="AW493" i="15"/>
  <c r="AV493" i="15"/>
  <c r="AX493" i="15" s="1"/>
  <c r="BI124" i="15"/>
  <c r="BH124" i="15"/>
  <c r="BJ124" i="15" s="1"/>
  <c r="BA370" i="15"/>
  <c r="AZ370" i="15"/>
  <c r="BB370" i="15" s="1"/>
  <c r="AG985" i="15"/>
  <c r="AF985" i="15"/>
  <c r="AH985" i="15" s="1"/>
  <c r="BA371" i="15" l="1"/>
  <c r="AZ371" i="15"/>
  <c r="BB371" i="15" s="1"/>
  <c r="AW494" i="15"/>
  <c r="AV494" i="15"/>
  <c r="AX494" i="15" s="1"/>
  <c r="AS617" i="15"/>
  <c r="AR617" i="15"/>
  <c r="AT617" i="15" s="1"/>
  <c r="BE248" i="15"/>
  <c r="BD248" i="15"/>
  <c r="BF248" i="15" s="1"/>
  <c r="AG986" i="15"/>
  <c r="AF986" i="15"/>
  <c r="AH986" i="15" s="1"/>
  <c r="BI125" i="15"/>
  <c r="BH125" i="15"/>
  <c r="BJ125" i="15" s="1"/>
  <c r="AK863" i="15"/>
  <c r="AJ863" i="15"/>
  <c r="AL863" i="15" s="1"/>
  <c r="AO740" i="15"/>
  <c r="AN740" i="15"/>
  <c r="AP740" i="15" s="1"/>
  <c r="AK864" i="15" l="1"/>
  <c r="AJ864" i="15"/>
  <c r="AL864" i="15" s="1"/>
  <c r="AG987" i="15"/>
  <c r="AF987" i="15"/>
  <c r="AH987" i="15" s="1"/>
  <c r="AS618" i="15"/>
  <c r="AR618" i="15"/>
  <c r="AT618" i="15" s="1"/>
  <c r="BA372" i="15"/>
  <c r="AZ372" i="15"/>
  <c r="BB372" i="15" s="1"/>
  <c r="AO741" i="15"/>
  <c r="AN741" i="15"/>
  <c r="AP741" i="15" s="1"/>
  <c r="BI126" i="15"/>
  <c r="BH126" i="15"/>
  <c r="BJ126" i="15" s="1"/>
  <c r="BE249" i="15"/>
  <c r="BD249" i="15"/>
  <c r="BF249" i="15" s="1"/>
  <c r="AW495" i="15"/>
  <c r="AV495" i="15"/>
  <c r="AX495" i="15" s="1"/>
  <c r="AW496" i="15" l="1"/>
  <c r="AV496" i="15"/>
  <c r="AX496" i="15" s="1"/>
  <c r="BI127" i="15"/>
  <c r="BH127" i="15"/>
  <c r="BJ127" i="15" s="1"/>
  <c r="BA373" i="15"/>
  <c r="AZ373" i="15"/>
  <c r="BB373" i="15" s="1"/>
  <c r="AS619" i="15"/>
  <c r="AR619" i="15"/>
  <c r="AT619" i="15" s="1"/>
  <c r="AK865" i="15"/>
  <c r="AJ865" i="15"/>
  <c r="AL865" i="15" s="1"/>
  <c r="BE250" i="15"/>
  <c r="BD250" i="15"/>
  <c r="BF250" i="15" s="1"/>
  <c r="AO742" i="15"/>
  <c r="AN742" i="15"/>
  <c r="AP742" i="15" s="1"/>
  <c r="AG988" i="15"/>
  <c r="AF988" i="15"/>
  <c r="AH988" i="15" s="1"/>
  <c r="BE251" i="15" l="1"/>
  <c r="BD251" i="15"/>
  <c r="BF251" i="15" s="1"/>
  <c r="AK866" i="15"/>
  <c r="AJ866" i="15"/>
  <c r="AL866" i="15" s="1"/>
  <c r="BA374" i="15"/>
  <c r="AZ374" i="15"/>
  <c r="BB374" i="15" s="1"/>
  <c r="AW497" i="15"/>
  <c r="AV497" i="15"/>
  <c r="AX497" i="15" s="1"/>
  <c r="AG989" i="15"/>
  <c r="AF989" i="15"/>
  <c r="AH989" i="15" s="1"/>
  <c r="AO743" i="15"/>
  <c r="AN743" i="15"/>
  <c r="AP743" i="15" s="1"/>
  <c r="AS620" i="15"/>
  <c r="AR620" i="15"/>
  <c r="AT620" i="15" s="1"/>
  <c r="BI128" i="15"/>
  <c r="BH128" i="15"/>
  <c r="BJ128" i="15" s="1"/>
  <c r="AS621" i="15" l="1"/>
  <c r="AR621" i="15"/>
  <c r="AT621" i="15" s="1"/>
  <c r="AG990" i="15"/>
  <c r="AF990" i="15"/>
  <c r="AH990" i="15" s="1"/>
  <c r="BA375" i="15"/>
  <c r="AZ375" i="15"/>
  <c r="BB375" i="15" s="1"/>
  <c r="BE252" i="15"/>
  <c r="BD252" i="15"/>
  <c r="BF252" i="15" s="1"/>
  <c r="BI129" i="15"/>
  <c r="BH129" i="15"/>
  <c r="BJ129" i="15" s="1"/>
  <c r="AO744" i="15"/>
  <c r="AN744" i="15"/>
  <c r="AP744" i="15" s="1"/>
  <c r="AW498" i="15"/>
  <c r="AV498" i="15"/>
  <c r="AX498" i="15" s="1"/>
  <c r="AK867" i="15"/>
  <c r="AJ867" i="15"/>
  <c r="AL867" i="15" s="1"/>
  <c r="AK868" i="15" l="1"/>
  <c r="AJ868" i="15"/>
  <c r="AL868" i="15" s="1"/>
  <c r="AO745" i="15"/>
  <c r="AN745" i="15"/>
  <c r="AP745" i="15" s="1"/>
  <c r="BI130" i="15"/>
  <c r="BH130" i="15"/>
  <c r="BJ130" i="15" s="1"/>
  <c r="BA376" i="15"/>
  <c r="AZ376" i="15"/>
  <c r="BB376" i="15" s="1"/>
  <c r="AS622" i="15"/>
  <c r="AR622" i="15"/>
  <c r="AT622" i="15" s="1"/>
  <c r="AW499" i="15"/>
  <c r="AV499" i="15"/>
  <c r="AX499" i="15" s="1"/>
  <c r="BE253" i="15"/>
  <c r="BD253" i="15"/>
  <c r="BF253" i="15" s="1"/>
  <c r="AG991" i="15"/>
  <c r="AF991" i="15"/>
  <c r="AH991" i="15" s="1"/>
  <c r="BE254" i="15" l="1"/>
  <c r="BD254" i="15"/>
  <c r="BF254" i="15" s="1"/>
  <c r="AS623" i="15"/>
  <c r="AR623" i="15"/>
  <c r="AT623" i="15" s="1"/>
  <c r="BI131" i="15"/>
  <c r="BH131" i="15"/>
  <c r="BJ131" i="15" s="1"/>
  <c r="AK869" i="15"/>
  <c r="AJ869" i="15"/>
  <c r="AL869" i="15" s="1"/>
  <c r="AG992" i="15"/>
  <c r="AF992" i="15"/>
  <c r="AH992" i="15" s="1"/>
  <c r="AW500" i="15"/>
  <c r="AV500" i="15"/>
  <c r="AX500" i="15" s="1"/>
  <c r="BA377" i="15"/>
  <c r="AZ377" i="15"/>
  <c r="BB377" i="15" s="1"/>
  <c r="AO746" i="15"/>
  <c r="AN746" i="15"/>
  <c r="AP746" i="15" s="1"/>
  <c r="AO747" i="15" l="1"/>
  <c r="AN747" i="15"/>
  <c r="AP747" i="15" s="1"/>
  <c r="AW501" i="15"/>
  <c r="AV501" i="15"/>
  <c r="AX501" i="15" s="1"/>
  <c r="AG993" i="15"/>
  <c r="AF993" i="15"/>
  <c r="AH993" i="15" s="1"/>
  <c r="BI132" i="15"/>
  <c r="BH132" i="15"/>
  <c r="BJ132" i="15" s="1"/>
  <c r="BE255" i="15"/>
  <c r="BD255" i="15"/>
  <c r="BF255" i="15" s="1"/>
  <c r="BA378" i="15"/>
  <c r="AZ378" i="15"/>
  <c r="BB378" i="15" s="1"/>
  <c r="AK870" i="15"/>
  <c r="AJ870" i="15"/>
  <c r="AL870" i="15" s="1"/>
  <c r="AS624" i="15"/>
  <c r="AR624" i="15"/>
  <c r="AT624" i="15" s="1"/>
  <c r="AK871" i="15" l="1"/>
  <c r="AJ871" i="15"/>
  <c r="AL871" i="15" s="1"/>
  <c r="BE256" i="15"/>
  <c r="BD256" i="15"/>
  <c r="BF256" i="15" s="1"/>
  <c r="AG994" i="15"/>
  <c r="AF994" i="15"/>
  <c r="AH994" i="15" s="1"/>
  <c r="AO748" i="15"/>
  <c r="AN748" i="15"/>
  <c r="AP748" i="15" s="1"/>
  <c r="AS625" i="15"/>
  <c r="AR625" i="15"/>
  <c r="AT625" i="15" s="1"/>
  <c r="BA379" i="15"/>
  <c r="AZ379" i="15"/>
  <c r="BB379" i="15" s="1"/>
  <c r="BI133" i="15"/>
  <c r="BH133" i="15"/>
  <c r="BJ133" i="15" s="1"/>
  <c r="AW502" i="15"/>
  <c r="AV502" i="15"/>
  <c r="AX502" i="15" s="1"/>
  <c r="AW503" i="15" l="1"/>
  <c r="AV503" i="15"/>
  <c r="AX503" i="15" s="1"/>
  <c r="BA380" i="15"/>
  <c r="AZ380" i="15"/>
  <c r="BB380" i="15" s="1"/>
  <c r="AO749" i="15"/>
  <c r="AN749" i="15"/>
  <c r="AP749" i="15" s="1"/>
  <c r="AG995" i="15"/>
  <c r="AF995" i="15"/>
  <c r="AH995" i="15" s="1"/>
  <c r="AK872" i="15"/>
  <c r="AJ872" i="15"/>
  <c r="AL872" i="15" s="1"/>
  <c r="BI134" i="15"/>
  <c r="BH134" i="15"/>
  <c r="BJ134" i="15" s="1"/>
  <c r="AS626" i="15"/>
  <c r="AR626" i="15"/>
  <c r="AT626" i="15" s="1"/>
  <c r="BE257" i="15"/>
  <c r="BD257" i="15"/>
  <c r="BF257" i="15" s="1"/>
  <c r="AS627" i="15" l="1"/>
  <c r="AR627" i="15"/>
  <c r="AT627" i="15" s="1"/>
  <c r="AK873" i="15"/>
  <c r="AJ873" i="15"/>
  <c r="AL873" i="15" s="1"/>
  <c r="AO750" i="15"/>
  <c r="AN750" i="15"/>
  <c r="AP750" i="15" s="1"/>
  <c r="AW504" i="15"/>
  <c r="AV504" i="15"/>
  <c r="AX504" i="15" s="1"/>
  <c r="BE258" i="15"/>
  <c r="BD258" i="15"/>
  <c r="BF258" i="15" s="1"/>
  <c r="BI135" i="15"/>
  <c r="BH135" i="15"/>
  <c r="BJ135" i="15" s="1"/>
  <c r="AG996" i="15"/>
  <c r="AF996" i="15"/>
  <c r="AH996" i="15" s="1"/>
  <c r="BA381" i="15"/>
  <c r="AZ381" i="15"/>
  <c r="BB381" i="15" s="1"/>
  <c r="AG997" i="15" l="1"/>
  <c r="AF997" i="15"/>
  <c r="AH997" i="15" s="1"/>
  <c r="BE259" i="15"/>
  <c r="BD259" i="15"/>
  <c r="BF259" i="15" s="1"/>
  <c r="AO751" i="15"/>
  <c r="AN751" i="15"/>
  <c r="AP751" i="15" s="1"/>
  <c r="AS628" i="15"/>
  <c r="AR628" i="15"/>
  <c r="AT628" i="15" s="1"/>
  <c r="BA382" i="15"/>
  <c r="AZ382" i="15"/>
  <c r="BB382" i="15" s="1"/>
  <c r="BI136" i="15"/>
  <c r="BH136" i="15"/>
  <c r="BJ136" i="15" s="1"/>
  <c r="AW505" i="15"/>
  <c r="AV505" i="15"/>
  <c r="AX505" i="15" s="1"/>
  <c r="AK874" i="15"/>
  <c r="AJ874" i="15"/>
  <c r="AL874" i="15" s="1"/>
  <c r="AK875" i="15" l="1"/>
  <c r="AJ875" i="15"/>
  <c r="AL875" i="15" s="1"/>
  <c r="BI137" i="15"/>
  <c r="BH137" i="15"/>
  <c r="BJ137" i="15" s="1"/>
  <c r="AS629" i="15"/>
  <c r="AR629" i="15"/>
  <c r="AT629" i="15" s="1"/>
  <c r="AO752" i="15"/>
  <c r="AN752" i="15"/>
  <c r="AP752" i="15" s="1"/>
  <c r="AG998" i="15"/>
  <c r="AF998" i="15"/>
  <c r="AH998" i="15" s="1"/>
  <c r="AW506" i="15"/>
  <c r="AV506" i="15"/>
  <c r="AX506" i="15" s="1"/>
  <c r="BA383" i="15"/>
  <c r="AZ383" i="15"/>
  <c r="BB383" i="15" s="1"/>
  <c r="BE260" i="15"/>
  <c r="BD260" i="15"/>
  <c r="BF260" i="15" s="1"/>
  <c r="BA384" i="15" l="1"/>
  <c r="AZ384" i="15"/>
  <c r="BB384" i="15" s="1"/>
  <c r="AW507" i="15"/>
  <c r="AV507" i="15"/>
  <c r="AX507" i="15" s="1"/>
  <c r="AO753" i="15"/>
  <c r="AN753" i="15"/>
  <c r="AP753" i="15" s="1"/>
  <c r="AS630" i="15"/>
  <c r="AR630" i="15"/>
  <c r="AT630" i="15" s="1"/>
  <c r="AK876" i="15"/>
  <c r="AJ876" i="15"/>
  <c r="AL876" i="15" s="1"/>
  <c r="BE261" i="15"/>
  <c r="BD261" i="15"/>
  <c r="BF261" i="15" s="1"/>
  <c r="AG999" i="15"/>
  <c r="AF999" i="15"/>
  <c r="AH999" i="15" s="1"/>
  <c r="BI138" i="15"/>
  <c r="BH138" i="15"/>
  <c r="BJ138" i="15" s="1"/>
  <c r="BE262" i="15" l="1"/>
  <c r="BD262" i="15"/>
  <c r="BF262" i="15" s="1"/>
  <c r="AS631" i="15"/>
  <c r="AR631" i="15"/>
  <c r="AT631" i="15" s="1"/>
  <c r="AO754" i="15"/>
  <c r="AN754" i="15"/>
  <c r="AP754" i="15" s="1"/>
  <c r="BA385" i="15"/>
  <c r="AZ385" i="15"/>
  <c r="BB385" i="15" s="1"/>
  <c r="BI139" i="15"/>
  <c r="BH139" i="15"/>
  <c r="BJ139" i="15" s="1"/>
  <c r="AG1000" i="15"/>
  <c r="AF1000" i="15"/>
  <c r="AH1000" i="15" s="1"/>
  <c r="AK877" i="15"/>
  <c r="AJ877" i="15"/>
  <c r="AL877" i="15" s="1"/>
  <c r="AW508" i="15"/>
  <c r="AV508" i="15"/>
  <c r="AX508" i="15" s="1"/>
  <c r="AW509" i="15" l="1"/>
  <c r="AV509" i="15"/>
  <c r="AX509" i="15" s="1"/>
  <c r="AG1001" i="15"/>
  <c r="AF1001" i="15"/>
  <c r="AH1001" i="15" s="1"/>
  <c r="BI140" i="15"/>
  <c r="BH140" i="15"/>
  <c r="BJ140" i="15" s="1"/>
  <c r="AO755" i="15"/>
  <c r="AN755" i="15"/>
  <c r="AP755" i="15" s="1"/>
  <c r="BE263" i="15"/>
  <c r="BD263" i="15"/>
  <c r="BF263" i="15" s="1"/>
  <c r="AK878" i="15"/>
  <c r="AJ878" i="15"/>
  <c r="AL878" i="15" s="1"/>
  <c r="BA386" i="15"/>
  <c r="AZ386" i="15"/>
  <c r="BB386" i="15" s="1"/>
  <c r="AS632" i="15"/>
  <c r="AR632" i="15"/>
  <c r="AT632" i="15" s="1"/>
  <c r="AS633" i="15" l="1"/>
  <c r="AR633" i="15"/>
  <c r="AT633" i="15" s="1"/>
  <c r="AK879" i="15"/>
  <c r="AJ879" i="15"/>
  <c r="AL879" i="15" s="1"/>
  <c r="AO756" i="15"/>
  <c r="AN756" i="15"/>
  <c r="AP756" i="15" s="1"/>
  <c r="BI141" i="15"/>
  <c r="BH141" i="15"/>
  <c r="BJ141" i="15" s="1"/>
  <c r="AW510" i="15"/>
  <c r="AV510" i="15"/>
  <c r="AX510" i="15" s="1"/>
  <c r="BA387" i="15"/>
  <c r="AZ387" i="15"/>
  <c r="BB387" i="15" s="1"/>
  <c r="BE264" i="15"/>
  <c r="BD264" i="15"/>
  <c r="BF264" i="15" s="1"/>
  <c r="AG1002" i="15"/>
  <c r="AF1002" i="15"/>
  <c r="AH1002" i="15" s="1"/>
  <c r="AG1003" i="15" l="1"/>
  <c r="AF1003" i="15"/>
  <c r="AH1003" i="15" s="1"/>
  <c r="BA388" i="15"/>
  <c r="AZ388" i="15"/>
  <c r="BB388" i="15" s="1"/>
  <c r="BI142" i="15"/>
  <c r="BH142" i="15"/>
  <c r="BJ142" i="15" s="1"/>
  <c r="AO757" i="15"/>
  <c r="AN757" i="15"/>
  <c r="AP757" i="15" s="1"/>
  <c r="AS634" i="15"/>
  <c r="AR634" i="15"/>
  <c r="AT634" i="15" s="1"/>
  <c r="BE265" i="15"/>
  <c r="BD265" i="15"/>
  <c r="BF265" i="15" s="1"/>
  <c r="AW511" i="15"/>
  <c r="AV511" i="15"/>
  <c r="AX511" i="15" s="1"/>
  <c r="AK880" i="15"/>
  <c r="AJ880" i="15"/>
  <c r="AL880" i="15" s="1"/>
  <c r="AW512" i="15" l="1"/>
  <c r="AV512" i="15"/>
  <c r="AX512" i="15" s="1"/>
  <c r="AS635" i="15"/>
  <c r="AR635" i="15"/>
  <c r="AT635" i="15" s="1"/>
  <c r="BI143" i="15"/>
  <c r="BH143" i="15"/>
  <c r="BJ143" i="15" s="1"/>
  <c r="AG1004" i="15"/>
  <c r="AF1004" i="15"/>
  <c r="AH1004" i="15" s="1"/>
  <c r="AK881" i="15"/>
  <c r="AJ881" i="15"/>
  <c r="AL881" i="15" s="1"/>
  <c r="BE266" i="15"/>
  <c r="BD266" i="15"/>
  <c r="BF266" i="15" s="1"/>
  <c r="AO758" i="15"/>
  <c r="AN758" i="15"/>
  <c r="AP758" i="15" s="1"/>
  <c r="BA389" i="15"/>
  <c r="AZ389" i="15"/>
  <c r="BB389" i="15" s="1"/>
  <c r="BA390" i="15" l="1"/>
  <c r="AZ390" i="15"/>
  <c r="BB390" i="15" s="1"/>
  <c r="AO759" i="15"/>
  <c r="AN759" i="15"/>
  <c r="AP759" i="15" s="1"/>
  <c r="AK882" i="15"/>
  <c r="AJ882" i="15"/>
  <c r="AL882" i="15" s="1"/>
  <c r="BI144" i="15"/>
  <c r="BH144" i="15"/>
  <c r="BJ144" i="15" s="1"/>
  <c r="AW513" i="15"/>
  <c r="AV513" i="15"/>
  <c r="AX513" i="15" s="1"/>
  <c r="BE267" i="15"/>
  <c r="BD267" i="15"/>
  <c r="BF267" i="15" s="1"/>
  <c r="AG1005" i="15"/>
  <c r="AF1005" i="15"/>
  <c r="AH1005" i="15" s="1"/>
  <c r="AS636" i="15"/>
  <c r="AR636" i="15"/>
  <c r="AT636" i="15" s="1"/>
  <c r="AG1006" i="15" l="1"/>
  <c r="AF1006" i="15"/>
  <c r="AH1006" i="15" s="1"/>
  <c r="AW514" i="15"/>
  <c r="AV514" i="15"/>
  <c r="AX514" i="15" s="1"/>
  <c r="AK883" i="15"/>
  <c r="AJ883" i="15"/>
  <c r="AL883" i="15" s="1"/>
  <c r="BA391" i="15"/>
  <c r="AZ391" i="15"/>
  <c r="BB391" i="15" s="1"/>
  <c r="AS637" i="15"/>
  <c r="AR637" i="15"/>
  <c r="AT637" i="15" s="1"/>
  <c r="BE268" i="15"/>
  <c r="BD268" i="15"/>
  <c r="BF268" i="15" s="1"/>
  <c r="BI145" i="15"/>
  <c r="BH145" i="15"/>
  <c r="BJ145" i="15" s="1"/>
  <c r="AO760" i="15"/>
  <c r="AN760" i="15"/>
  <c r="AP760" i="15" s="1"/>
  <c r="AO761" i="15" l="1"/>
  <c r="AN761" i="15"/>
  <c r="AP761" i="15" s="1"/>
  <c r="BE269" i="15"/>
  <c r="BD269" i="15"/>
  <c r="BF269" i="15" s="1"/>
  <c r="BA392" i="15"/>
  <c r="AZ392" i="15"/>
  <c r="BB392" i="15" s="1"/>
  <c r="AK884" i="15"/>
  <c r="AJ884" i="15"/>
  <c r="AL884" i="15" s="1"/>
  <c r="AG1007" i="15"/>
  <c r="AF1007" i="15"/>
  <c r="AH1007" i="15" s="1"/>
  <c r="BI146" i="15"/>
  <c r="BH146" i="15"/>
  <c r="BJ146" i="15" s="1"/>
  <c r="AS638" i="15"/>
  <c r="AR638" i="15"/>
  <c r="AT638" i="15" s="1"/>
  <c r="AW515" i="15"/>
  <c r="AV515" i="15"/>
  <c r="AX515" i="15" s="1"/>
  <c r="AW516" i="15" l="1"/>
  <c r="AV516" i="15"/>
  <c r="AX516" i="15" s="1"/>
  <c r="K17" i="15"/>
  <c r="BI147" i="15"/>
  <c r="BH147" i="15"/>
  <c r="BJ147" i="15" s="1"/>
  <c r="AG1008" i="15"/>
  <c r="AF1008" i="15"/>
  <c r="AH1008" i="15" s="1"/>
  <c r="BA393" i="15"/>
  <c r="AZ393" i="15"/>
  <c r="BB393" i="15" s="1"/>
  <c r="AO762" i="15"/>
  <c r="AN762" i="15"/>
  <c r="AP762" i="15" s="1"/>
  <c r="AS639" i="15"/>
  <c r="AR639" i="15"/>
  <c r="AT639" i="15" s="1"/>
  <c r="AK885" i="15"/>
  <c r="AJ885" i="15"/>
  <c r="AL885" i="15" s="1"/>
  <c r="BE270" i="15"/>
  <c r="BD270" i="15"/>
  <c r="BF270" i="15" s="1"/>
  <c r="BE271" i="15" l="1"/>
  <c r="BD271" i="15"/>
  <c r="BF271" i="15" s="1"/>
  <c r="AS640" i="15"/>
  <c r="AR640" i="15"/>
  <c r="AT640" i="15" s="1"/>
  <c r="BA394" i="15"/>
  <c r="AZ394" i="15"/>
  <c r="BB394" i="15" s="1"/>
  <c r="AW517" i="15"/>
  <c r="AV517" i="15"/>
  <c r="AX517" i="15" s="1"/>
  <c r="AK886" i="15"/>
  <c r="AJ886" i="15"/>
  <c r="AL886" i="15" s="1"/>
  <c r="AO763" i="15"/>
  <c r="AN763" i="15"/>
  <c r="AP763" i="15" s="1"/>
  <c r="AG1009" i="15"/>
  <c r="AF1009" i="15"/>
  <c r="AH1009" i="15" s="1"/>
  <c r="BI148" i="15"/>
  <c r="BH148" i="15"/>
  <c r="BJ148" i="15" s="1"/>
  <c r="H18" i="15"/>
  <c r="L17" i="15"/>
  <c r="M17" i="15"/>
  <c r="F18" i="15"/>
  <c r="E18" i="15" s="1"/>
  <c r="D18" i="15"/>
  <c r="C18" i="15" s="1"/>
  <c r="BI149" i="15" l="1"/>
  <c r="BH149" i="15"/>
  <c r="BJ149" i="15" s="1"/>
  <c r="AO764" i="15"/>
  <c r="AN764" i="15"/>
  <c r="AP764" i="15" s="1"/>
  <c r="AW518" i="15"/>
  <c r="AV518" i="15"/>
  <c r="AX518" i="15" s="1"/>
  <c r="BA395" i="15"/>
  <c r="AZ395" i="15"/>
  <c r="BB395" i="15" s="1"/>
  <c r="BE272" i="15"/>
  <c r="BD272" i="15"/>
  <c r="BF272" i="15" s="1"/>
  <c r="AG1010" i="15"/>
  <c r="AF1010" i="15"/>
  <c r="AH1010" i="15" s="1"/>
  <c r="AK887" i="15"/>
  <c r="AJ887" i="15"/>
  <c r="AL887" i="15" s="1"/>
  <c r="AS641" i="15"/>
  <c r="AR641" i="15"/>
  <c r="AT641" i="15" s="1"/>
  <c r="I18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47" i="15"/>
  <c r="BK48" i="15"/>
  <c r="BK49" i="15"/>
  <c r="BK50" i="15"/>
  <c r="BK51" i="15"/>
  <c r="BK52" i="15"/>
  <c r="BK53" i="15"/>
  <c r="BK54" i="15"/>
  <c r="BK55" i="15"/>
  <c r="BK56" i="15"/>
  <c r="BK57" i="15"/>
  <c r="BK58" i="15"/>
  <c r="BK59" i="15"/>
  <c r="BK60" i="15"/>
  <c r="BK61" i="15"/>
  <c r="BK62" i="15"/>
  <c r="BK63" i="15"/>
  <c r="BK64" i="15"/>
  <c r="BK65" i="15"/>
  <c r="BK66" i="15"/>
  <c r="BK67" i="15"/>
  <c r="BK68" i="15"/>
  <c r="BK69" i="15"/>
  <c r="BK70" i="15"/>
  <c r="BK71" i="15"/>
  <c r="BK72" i="15"/>
  <c r="BK73" i="15"/>
  <c r="BK74" i="15"/>
  <c r="BK75" i="15"/>
  <c r="BK76" i="15"/>
  <c r="BK77" i="15"/>
  <c r="BK78" i="15"/>
  <c r="BK79" i="15"/>
  <c r="BK80" i="15"/>
  <c r="BK81" i="15"/>
  <c r="BK82" i="15"/>
  <c r="BK83" i="15"/>
  <c r="BK84" i="15"/>
  <c r="BK85" i="15"/>
  <c r="BK86" i="15"/>
  <c r="BK87" i="15"/>
  <c r="BK88" i="15"/>
  <c r="BK89" i="15"/>
  <c r="BK90" i="15"/>
  <c r="BK91" i="15"/>
  <c r="BK92" i="15"/>
  <c r="BK93" i="15"/>
  <c r="BK94" i="15"/>
  <c r="BK95" i="15"/>
  <c r="BK96" i="15"/>
  <c r="BK97" i="15"/>
  <c r="BK98" i="15"/>
  <c r="BK99" i="15"/>
  <c r="BK100" i="15"/>
  <c r="BK101" i="15"/>
  <c r="BK102" i="15"/>
  <c r="BK103" i="15"/>
  <c r="BK104" i="15"/>
  <c r="BK105" i="15"/>
  <c r="BK106" i="15"/>
  <c r="BK107" i="15"/>
  <c r="BK108" i="15"/>
  <c r="BK109" i="15"/>
  <c r="BK110" i="15"/>
  <c r="BK111" i="15"/>
  <c r="BK112" i="15"/>
  <c r="BK113" i="15"/>
  <c r="BK114" i="15"/>
  <c r="BK115" i="15"/>
  <c r="BK116" i="15"/>
  <c r="BK117" i="15"/>
  <c r="BK118" i="15"/>
  <c r="BK119" i="15"/>
  <c r="BK120" i="15"/>
  <c r="BK121" i="15"/>
  <c r="BK122" i="15"/>
  <c r="BK123" i="15"/>
  <c r="BK124" i="15"/>
  <c r="BK125" i="15"/>
  <c r="BK126" i="15"/>
  <c r="BK127" i="15"/>
  <c r="BK128" i="15"/>
  <c r="BK129" i="15"/>
  <c r="BK130" i="15"/>
  <c r="BK131" i="15"/>
  <c r="BK132" i="15"/>
  <c r="BK133" i="15"/>
  <c r="BK134" i="15"/>
  <c r="BK135" i="15"/>
  <c r="BK136" i="15"/>
  <c r="BK137" i="15"/>
  <c r="BK138" i="15"/>
  <c r="BK139" i="15"/>
  <c r="BK140" i="15"/>
  <c r="BK141" i="15"/>
  <c r="BK142" i="15"/>
  <c r="BK143" i="15"/>
  <c r="BK144" i="15"/>
  <c r="BK145" i="15"/>
  <c r="BK146" i="15"/>
  <c r="BK27" i="15"/>
  <c r="BL27" i="15" s="1"/>
  <c r="J18" i="15"/>
  <c r="BK149" i="15"/>
  <c r="BK150" i="15"/>
  <c r="BK151" i="15"/>
  <c r="BK155" i="15"/>
  <c r="BK156" i="15"/>
  <c r="BK159" i="15"/>
  <c r="BK160" i="15"/>
  <c r="BK161" i="15"/>
  <c r="BK162" i="15"/>
  <c r="BK163" i="15"/>
  <c r="BK167" i="15"/>
  <c r="BK169" i="15"/>
  <c r="BK172" i="15"/>
  <c r="BK173" i="15"/>
  <c r="BK177" i="15"/>
  <c r="BK178" i="15"/>
  <c r="BK181" i="15"/>
  <c r="BK183" i="15"/>
  <c r="BK184" i="15"/>
  <c r="BK189" i="15"/>
  <c r="BK190" i="15"/>
  <c r="BK191" i="15"/>
  <c r="BK194" i="15"/>
  <c r="BK197" i="15"/>
  <c r="BK199" i="15"/>
  <c r="BK200" i="15"/>
  <c r="BK205" i="15"/>
  <c r="BK206" i="15"/>
  <c r="BK210" i="15"/>
  <c r="BK213" i="15"/>
  <c r="BK215" i="15"/>
  <c r="BK217" i="15"/>
  <c r="BK218" i="15"/>
  <c r="BK224" i="15"/>
  <c r="BK225" i="15"/>
  <c r="BK226" i="15"/>
  <c r="BK230" i="15"/>
  <c r="BK232" i="15"/>
  <c r="BK233" i="15"/>
  <c r="BK237" i="15"/>
  <c r="BK241" i="15"/>
  <c r="BK242" i="15"/>
  <c r="BK245" i="15"/>
  <c r="BK246" i="15"/>
  <c r="BK249" i="15"/>
  <c r="BK250" i="15"/>
  <c r="BK251" i="15"/>
  <c r="BK252" i="15"/>
  <c r="BK253" i="15"/>
  <c r="BK254" i="15"/>
  <c r="BK255" i="15"/>
  <c r="BK256" i="15"/>
  <c r="BK260" i="15"/>
  <c r="BK261" i="15"/>
  <c r="BK262" i="15"/>
  <c r="BK264" i="15"/>
  <c r="BK265" i="15"/>
  <c r="BK269" i="15"/>
  <c r="BK271" i="15"/>
  <c r="BK272" i="15"/>
  <c r="BK275" i="15"/>
  <c r="BK276" i="15"/>
  <c r="BK277" i="15"/>
  <c r="BK280" i="15"/>
  <c r="BK282" i="15"/>
  <c r="BK284" i="15"/>
  <c r="BK285" i="15"/>
  <c r="BK289" i="15"/>
  <c r="BK290" i="15"/>
  <c r="BK293" i="15"/>
  <c r="BK294" i="15"/>
  <c r="BK297" i="15"/>
  <c r="BK299" i="15"/>
  <c r="BK302" i="15"/>
  <c r="BK305" i="15"/>
  <c r="BK306" i="15"/>
  <c r="BK309" i="15"/>
  <c r="BK310" i="15"/>
  <c r="BK313" i="15"/>
  <c r="BK316" i="15"/>
  <c r="BK318" i="15"/>
  <c r="BK321" i="15"/>
  <c r="BK324" i="15"/>
  <c r="BK328" i="15"/>
  <c r="BK329" i="15"/>
  <c r="BK331" i="15"/>
  <c r="BK333" i="15"/>
  <c r="BK334" i="15"/>
  <c r="BK339" i="15"/>
  <c r="BK340" i="15"/>
  <c r="BK342" i="15"/>
  <c r="BK345" i="15"/>
  <c r="BK347" i="15"/>
  <c r="BK349" i="15"/>
  <c r="BK352" i="15"/>
  <c r="BK355" i="15"/>
  <c r="BK356" i="15"/>
  <c r="BK359" i="15"/>
  <c r="BK363" i="15"/>
  <c r="BK364" i="15"/>
  <c r="BK365" i="15"/>
  <c r="BK367" i="15"/>
  <c r="BK369" i="15"/>
  <c r="BK372" i="15"/>
  <c r="BK375" i="15"/>
  <c r="BK376" i="15"/>
  <c r="BK378" i="15"/>
  <c r="BK380" i="15"/>
  <c r="BK383" i="15"/>
  <c r="BK384" i="15"/>
  <c r="BK388" i="15"/>
  <c r="BK389" i="15"/>
  <c r="BK392" i="15"/>
  <c r="BK393" i="15"/>
  <c r="BK394" i="15"/>
  <c r="BK398" i="15"/>
  <c r="BK401" i="15"/>
  <c r="BK402" i="15"/>
  <c r="BK405" i="15"/>
  <c r="BK406" i="15"/>
  <c r="BK410" i="15"/>
  <c r="BK411" i="15"/>
  <c r="BK412" i="15"/>
  <c r="BK413" i="15"/>
  <c r="BK416" i="15"/>
  <c r="BK419" i="15"/>
  <c r="BK420" i="15"/>
  <c r="BK425" i="15"/>
  <c r="BK426" i="15"/>
  <c r="BK429" i="15"/>
  <c r="BK430" i="15"/>
  <c r="BK433" i="15"/>
  <c r="BK436" i="15"/>
  <c r="BK439" i="15"/>
  <c r="BK440" i="15"/>
  <c r="BK441" i="15"/>
  <c r="BK447" i="15"/>
  <c r="BK449" i="15"/>
  <c r="BK450" i="15"/>
  <c r="BK451" i="15"/>
  <c r="BK453" i="15"/>
  <c r="BK455" i="15"/>
  <c r="BK456" i="15"/>
  <c r="BK461" i="15"/>
  <c r="BK462" i="15"/>
  <c r="BK465" i="15"/>
  <c r="BK466" i="15"/>
  <c r="BK469" i="15"/>
  <c r="BK471" i="15"/>
  <c r="BK474" i="15"/>
  <c r="BK475" i="15"/>
  <c r="BK479" i="15"/>
  <c r="BK483" i="15"/>
  <c r="BK484" i="15"/>
  <c r="BK485" i="15"/>
  <c r="BK489" i="15"/>
  <c r="BK492" i="15"/>
  <c r="BK493" i="15"/>
  <c r="BK497" i="15"/>
  <c r="BK498" i="15"/>
  <c r="BK500" i="15"/>
  <c r="BK501" i="15"/>
  <c r="BK505" i="15"/>
  <c r="BK507" i="15"/>
  <c r="BK510" i="15"/>
  <c r="BK511" i="15"/>
  <c r="BK513" i="15"/>
  <c r="BK514" i="15"/>
  <c r="BK515" i="15"/>
  <c r="BK519" i="15"/>
  <c r="BK522" i="15"/>
  <c r="BK523" i="15"/>
  <c r="BK525" i="15"/>
  <c r="BK528" i="15"/>
  <c r="BK529" i="15"/>
  <c r="BK531" i="15"/>
  <c r="BK532" i="15"/>
  <c r="BK535" i="15"/>
  <c r="BK537" i="15"/>
  <c r="BK539" i="15"/>
  <c r="BK540" i="15"/>
  <c r="BK543" i="15"/>
  <c r="BK544" i="15"/>
  <c r="BK545" i="15"/>
  <c r="BK550" i="15"/>
  <c r="BK551" i="15"/>
  <c r="BK554" i="15"/>
  <c r="BK556" i="15"/>
  <c r="BK559" i="15"/>
  <c r="BK562" i="15"/>
  <c r="BK563" i="15"/>
  <c r="BK566" i="15"/>
  <c r="BK569" i="15"/>
  <c r="BK570" i="15"/>
  <c r="BK572" i="15"/>
  <c r="BK575" i="15"/>
  <c r="BK578" i="15"/>
  <c r="BK579" i="15"/>
  <c r="BK582" i="15"/>
  <c r="BK583" i="15"/>
  <c r="BK587" i="15"/>
  <c r="BK590" i="15"/>
  <c r="BK591" i="15"/>
  <c r="BK592" i="15"/>
  <c r="BK593" i="15"/>
  <c r="BK596" i="15"/>
  <c r="BK597" i="15"/>
  <c r="BK599" i="15"/>
  <c r="BK602" i="15"/>
  <c r="BK605" i="15"/>
  <c r="BK606" i="15"/>
  <c r="BK609" i="15"/>
  <c r="BK612" i="15"/>
  <c r="BK613" i="15"/>
  <c r="BK618" i="15"/>
  <c r="BK619" i="15"/>
  <c r="BK621" i="15"/>
  <c r="BK623" i="15"/>
  <c r="BK625" i="15"/>
  <c r="BK627" i="15"/>
  <c r="BK628" i="15"/>
  <c r="BK632" i="15"/>
  <c r="BK635" i="15"/>
  <c r="BK636" i="15"/>
  <c r="BK637" i="15"/>
  <c r="BK640" i="15"/>
  <c r="BK641" i="15"/>
  <c r="BK644" i="15"/>
  <c r="BK647" i="15"/>
  <c r="BK648" i="15"/>
  <c r="BK649" i="15"/>
  <c r="BK652" i="15"/>
  <c r="BK653" i="15"/>
  <c r="BK655" i="15"/>
  <c r="BK656" i="15"/>
  <c r="BK658" i="15"/>
  <c r="BK659" i="15"/>
  <c r="BK662" i="15"/>
  <c r="BK663" i="15"/>
  <c r="BK669" i="15"/>
  <c r="BK670" i="15"/>
  <c r="BK672" i="15"/>
  <c r="BK675" i="15"/>
  <c r="BK678" i="15"/>
  <c r="BK679" i="15"/>
  <c r="BK680" i="15"/>
  <c r="BK682" i="15"/>
  <c r="BK683" i="15"/>
  <c r="BK688" i="15"/>
  <c r="BK691" i="15"/>
  <c r="BK692" i="15"/>
  <c r="BK695" i="15"/>
  <c r="BK698" i="15"/>
  <c r="BK702" i="15"/>
  <c r="BK703" i="15"/>
  <c r="BK704" i="15"/>
  <c r="BK705" i="15"/>
  <c r="BK708" i="15"/>
  <c r="BK710" i="15"/>
  <c r="BK711" i="15"/>
  <c r="BK715" i="15"/>
  <c r="BK716" i="15"/>
  <c r="BK719" i="15"/>
  <c r="BK720" i="15"/>
  <c r="BK723" i="15"/>
  <c r="BK724" i="15"/>
  <c r="BK727" i="15"/>
  <c r="BK730" i="15"/>
  <c r="BK731" i="15"/>
  <c r="BK737" i="15"/>
  <c r="BK738" i="15"/>
  <c r="BK741" i="15"/>
  <c r="BK743" i="15"/>
  <c r="BK746" i="15"/>
  <c r="BK747" i="15"/>
  <c r="BK750" i="15"/>
  <c r="BK751" i="15"/>
  <c r="BK754" i="15"/>
  <c r="BK755" i="15"/>
  <c r="BK758" i="15"/>
  <c r="BK761" i="15"/>
  <c r="BK762" i="15"/>
  <c r="BK763" i="15"/>
  <c r="BK765" i="15"/>
  <c r="BK766" i="15"/>
  <c r="BK769" i="15"/>
  <c r="BK771" i="15"/>
  <c r="BK775" i="15"/>
  <c r="BK777" i="15"/>
  <c r="BK778" i="15"/>
  <c r="BK781" i="15"/>
  <c r="BK782" i="15"/>
  <c r="BK785" i="15"/>
  <c r="BK786" i="15"/>
  <c r="BK788" i="15"/>
  <c r="BK789" i="15"/>
  <c r="BK790" i="15"/>
  <c r="BK791" i="15"/>
  <c r="BK793" i="15"/>
  <c r="BK795" i="15"/>
  <c r="BK796" i="15"/>
  <c r="BK799" i="15"/>
  <c r="BK801" i="15"/>
  <c r="BK802" i="15"/>
  <c r="BK804" i="15"/>
  <c r="BK805" i="15"/>
  <c r="BK806" i="15"/>
  <c r="BK807" i="15"/>
  <c r="BK810" i="15"/>
  <c r="BK812" i="15"/>
  <c r="BK813" i="15"/>
  <c r="BK817" i="15"/>
  <c r="BK819" i="15"/>
  <c r="BK820" i="15"/>
  <c r="BK823" i="15"/>
  <c r="BK826" i="15"/>
  <c r="BK827" i="15"/>
  <c r="BK830" i="15"/>
  <c r="BK832" i="15"/>
  <c r="BK835" i="15"/>
  <c r="BK836" i="15"/>
  <c r="BK838" i="15"/>
  <c r="BK842" i="15"/>
  <c r="BK843" i="15"/>
  <c r="BK846" i="15"/>
  <c r="BK848" i="15"/>
  <c r="BK851" i="15"/>
  <c r="BK852" i="15"/>
  <c r="BK855" i="15"/>
  <c r="BK856" i="15"/>
  <c r="BK861" i="15"/>
  <c r="BK862" i="15"/>
  <c r="BK863" i="15"/>
  <c r="BK867" i="15"/>
  <c r="BK870" i="15"/>
  <c r="BK871" i="15"/>
  <c r="BK873" i="15"/>
  <c r="BK874" i="15"/>
  <c r="BK877" i="15"/>
  <c r="BK878" i="15"/>
  <c r="BK882" i="15"/>
  <c r="BK885" i="15"/>
  <c r="BK886" i="15"/>
  <c r="BK887" i="15"/>
  <c r="BK891" i="15"/>
  <c r="BK894" i="15"/>
  <c r="BK895" i="15"/>
  <c r="BK902" i="15"/>
  <c r="BK903" i="15"/>
  <c r="BK907" i="15"/>
  <c r="BK908" i="15"/>
  <c r="BK911" i="15"/>
  <c r="BK912" i="15"/>
  <c r="BK914" i="15"/>
  <c r="BK917" i="15"/>
  <c r="BK920" i="15"/>
  <c r="BK921" i="15"/>
  <c r="BK925" i="15"/>
  <c r="BK926" i="15"/>
  <c r="BK930" i="15"/>
  <c r="BK931" i="15"/>
  <c r="BK932" i="15"/>
  <c r="BK933" i="15"/>
  <c r="BK937" i="15"/>
  <c r="BK938" i="15"/>
  <c r="BK943" i="15"/>
  <c r="BK945" i="15"/>
  <c r="BK948" i="15"/>
  <c r="BK949" i="15"/>
  <c r="BK952" i="15"/>
  <c r="BK953" i="15"/>
  <c r="BK956" i="15"/>
  <c r="BK959" i="15"/>
  <c r="BK961" i="15"/>
  <c r="BK962" i="15"/>
  <c r="BK965" i="15"/>
  <c r="BK966" i="15"/>
  <c r="BK967" i="15"/>
  <c r="BK968" i="15"/>
  <c r="BK971" i="15"/>
  <c r="BK972" i="15"/>
  <c r="BK974" i="15"/>
  <c r="BK975" i="15"/>
  <c r="BK980" i="15"/>
  <c r="BK983" i="15"/>
  <c r="BK986" i="15"/>
  <c r="BK987" i="15"/>
  <c r="BK988" i="15"/>
  <c r="BK992" i="15"/>
  <c r="BK994" i="15"/>
  <c r="BK995" i="15"/>
  <c r="BK998" i="15"/>
  <c r="BK999" i="15"/>
  <c r="BK1003" i="15"/>
  <c r="BK1006" i="15"/>
  <c r="BK1007" i="15"/>
  <c r="BK1013" i="15"/>
  <c r="BK1014" i="15"/>
  <c r="BK1018" i="15"/>
  <c r="BK1019" i="15"/>
  <c r="BK1023" i="15"/>
  <c r="BK1024" i="15"/>
  <c r="BK1025" i="15"/>
  <c r="BK1026" i="15"/>
  <c r="BK147" i="15"/>
  <c r="BK148" i="15"/>
  <c r="BK152" i="15"/>
  <c r="BK153" i="15"/>
  <c r="BK154" i="15"/>
  <c r="BK157" i="15"/>
  <c r="BK158" i="15"/>
  <c r="BK164" i="15"/>
  <c r="BK165" i="15"/>
  <c r="BK166" i="15"/>
  <c r="BK168" i="15"/>
  <c r="BK170" i="15"/>
  <c r="BK171" i="15"/>
  <c r="BK174" i="15"/>
  <c r="BK175" i="15"/>
  <c r="BK176" i="15"/>
  <c r="BK179" i="15"/>
  <c r="BK180" i="15"/>
  <c r="BK182" i="15"/>
  <c r="BK185" i="15"/>
  <c r="BK186" i="15"/>
  <c r="BK187" i="15"/>
  <c r="BK188" i="15"/>
  <c r="BK192" i="15"/>
  <c r="BK193" i="15"/>
  <c r="BK195" i="15"/>
  <c r="BK196" i="15"/>
  <c r="BK198" i="15"/>
  <c r="BK201" i="15"/>
  <c r="BK202" i="15"/>
  <c r="BK203" i="15"/>
  <c r="BK204" i="15"/>
  <c r="BK207" i="15"/>
  <c r="BK208" i="15"/>
  <c r="BK209" i="15"/>
  <c r="BK211" i="15"/>
  <c r="BK212" i="15"/>
  <c r="BK214" i="15"/>
  <c r="BK216" i="15"/>
  <c r="BK219" i="15"/>
  <c r="BK220" i="15"/>
  <c r="BK221" i="15"/>
  <c r="BK222" i="15"/>
  <c r="BK223" i="15"/>
  <c r="BK227" i="15"/>
  <c r="BK228" i="15"/>
  <c r="BK229" i="15"/>
  <c r="BK231" i="15"/>
  <c r="BK234" i="15"/>
  <c r="BK235" i="15"/>
  <c r="BK236" i="15"/>
  <c r="BK238" i="15"/>
  <c r="BK239" i="15"/>
  <c r="BK240" i="15"/>
  <c r="BK243" i="15"/>
  <c r="BK244" i="15"/>
  <c r="BK247" i="15"/>
  <c r="BK248" i="15"/>
  <c r="BK257" i="15"/>
  <c r="BK258" i="15"/>
  <c r="BK259" i="15"/>
  <c r="BK263" i="15"/>
  <c r="BK266" i="15"/>
  <c r="BK267" i="15"/>
  <c r="BK268" i="15"/>
  <c r="BK270" i="15"/>
  <c r="BK273" i="15"/>
  <c r="BK274" i="15"/>
  <c r="BK278" i="15"/>
  <c r="BK279" i="15"/>
  <c r="BK281" i="15"/>
  <c r="BK283" i="15"/>
  <c r="BK286" i="15"/>
  <c r="BK287" i="15"/>
  <c r="BK288" i="15"/>
  <c r="BK291" i="15"/>
  <c r="BK292" i="15"/>
  <c r="BK295" i="15"/>
  <c r="BK296" i="15"/>
  <c r="BK298" i="15"/>
  <c r="BK300" i="15"/>
  <c r="BK301" i="15"/>
  <c r="BK303" i="15"/>
  <c r="BK304" i="15"/>
  <c r="BK307" i="15"/>
  <c r="BK308" i="15"/>
  <c r="BK311" i="15"/>
  <c r="BK312" i="15"/>
  <c r="BK314" i="15"/>
  <c r="BK315" i="15"/>
  <c r="BK317" i="15"/>
  <c r="BK319" i="15"/>
  <c r="BK320" i="15"/>
  <c r="BK322" i="15"/>
  <c r="BK323" i="15"/>
  <c r="BK325" i="15"/>
  <c r="BK326" i="15"/>
  <c r="BK327" i="15"/>
  <c r="BK330" i="15"/>
  <c r="BK332" i="15"/>
  <c r="BK335" i="15"/>
  <c r="BK336" i="15"/>
  <c r="BK337" i="15"/>
  <c r="BK338" i="15"/>
  <c r="BK341" i="15"/>
  <c r="BK343" i="15"/>
  <c r="BK344" i="15"/>
  <c r="BK346" i="15"/>
  <c r="BK348" i="15"/>
  <c r="BK350" i="15"/>
  <c r="BK351" i="15"/>
  <c r="BK353" i="15"/>
  <c r="BK354" i="15"/>
  <c r="BK357" i="15"/>
  <c r="BK358" i="15"/>
  <c r="BK360" i="15"/>
  <c r="BK361" i="15"/>
  <c r="BK362" i="15"/>
  <c r="BK366" i="15"/>
  <c r="BK368" i="15"/>
  <c r="BK370" i="15"/>
  <c r="BK371" i="15"/>
  <c r="BK373" i="15"/>
  <c r="BK374" i="15"/>
  <c r="BK377" i="15"/>
  <c r="BK379" i="15"/>
  <c r="BK381" i="15"/>
  <c r="BK382" i="15"/>
  <c r="BK385" i="15"/>
  <c r="BK386" i="15"/>
  <c r="BK387" i="15"/>
  <c r="BK390" i="15"/>
  <c r="BK391" i="15"/>
  <c r="BK395" i="15"/>
  <c r="BK396" i="15"/>
  <c r="BK397" i="15"/>
  <c r="BK399" i="15"/>
  <c r="BK400" i="15"/>
  <c r="BK403" i="15"/>
  <c r="BK404" i="15"/>
  <c r="BK407" i="15"/>
  <c r="BK408" i="15"/>
  <c r="BK409" i="15"/>
  <c r="BK414" i="15"/>
  <c r="BK415" i="15"/>
  <c r="BK417" i="15"/>
  <c r="BK418" i="15"/>
  <c r="BK421" i="15"/>
  <c r="BK422" i="15"/>
  <c r="BK423" i="15"/>
  <c r="BK424" i="15"/>
  <c r="BK427" i="15"/>
  <c r="BK428" i="15"/>
  <c r="BK431" i="15"/>
  <c r="BK432" i="15"/>
  <c r="BK434" i="15"/>
  <c r="BK435" i="15"/>
  <c r="BK437" i="15"/>
  <c r="BK438" i="15"/>
  <c r="BK442" i="15"/>
  <c r="BK443" i="15"/>
  <c r="BK444" i="15"/>
  <c r="BK445" i="15"/>
  <c r="BK446" i="15"/>
  <c r="BK448" i="15"/>
  <c r="BK452" i="15"/>
  <c r="BK454" i="15"/>
  <c r="BK457" i="15"/>
  <c r="BK458" i="15"/>
  <c r="BK459" i="15"/>
  <c r="BK460" i="15"/>
  <c r="BK463" i="15"/>
  <c r="BK464" i="15"/>
  <c r="BK467" i="15"/>
  <c r="BK468" i="15"/>
  <c r="BK470" i="15"/>
  <c r="BK472" i="15"/>
  <c r="BK473" i="15"/>
  <c r="BK476" i="15"/>
  <c r="BK477" i="15"/>
  <c r="BK478" i="15"/>
  <c r="BK480" i="15"/>
  <c r="BK481" i="15"/>
  <c r="BK482" i="15"/>
  <c r="BK486" i="15"/>
  <c r="BK487" i="15"/>
  <c r="BK488" i="15"/>
  <c r="BK490" i="15"/>
  <c r="BK491" i="15"/>
  <c r="BK494" i="15"/>
  <c r="BK495" i="15"/>
  <c r="BK496" i="15"/>
  <c r="BK499" i="15"/>
  <c r="BK502" i="15"/>
  <c r="BK503" i="15"/>
  <c r="BK504" i="15"/>
  <c r="BK506" i="15"/>
  <c r="BK508" i="15"/>
  <c r="BK509" i="15"/>
  <c r="BK512" i="15"/>
  <c r="BK516" i="15"/>
  <c r="BK517" i="15"/>
  <c r="BK518" i="15"/>
  <c r="BK520" i="15"/>
  <c r="BK521" i="15"/>
  <c r="BK524" i="15"/>
  <c r="BK526" i="15"/>
  <c r="BK527" i="15"/>
  <c r="BK530" i="15"/>
  <c r="BK533" i="15"/>
  <c r="BK534" i="15"/>
  <c r="BK536" i="15"/>
  <c r="BK538" i="15"/>
  <c r="BK541" i="15"/>
  <c r="BK542" i="15"/>
  <c r="BK546" i="15"/>
  <c r="BK547" i="15"/>
  <c r="BK548" i="15"/>
  <c r="BK549" i="15"/>
  <c r="BK552" i="15"/>
  <c r="BK553" i="15"/>
  <c r="BK555" i="15"/>
  <c r="BK557" i="15"/>
  <c r="BK558" i="15"/>
  <c r="BK560" i="15"/>
  <c r="BK561" i="15"/>
  <c r="BK564" i="15"/>
  <c r="BK565" i="15"/>
  <c r="BK567" i="15"/>
  <c r="BK568" i="15"/>
  <c r="BK571" i="15"/>
  <c r="BK573" i="15"/>
  <c r="BK574" i="15"/>
  <c r="BK576" i="15"/>
  <c r="BK577" i="15"/>
  <c r="BK580" i="15"/>
  <c r="BK581" i="15"/>
  <c r="BK584" i="15"/>
  <c r="BK585" i="15"/>
  <c r="BK586" i="15"/>
  <c r="BK588" i="15"/>
  <c r="BK589" i="15"/>
  <c r="BK594" i="15"/>
  <c r="BK595" i="15"/>
  <c r="BK598" i="15"/>
  <c r="BK600" i="15"/>
  <c r="BK601" i="15"/>
  <c r="BK603" i="15"/>
  <c r="BK604" i="15"/>
  <c r="BK607" i="15"/>
  <c r="BK608" i="15"/>
  <c r="BK610" i="15"/>
  <c r="BK611" i="15"/>
  <c r="BK614" i="15"/>
  <c r="BK615" i="15"/>
  <c r="BK616" i="15"/>
  <c r="BK617" i="15"/>
  <c r="BK620" i="15"/>
  <c r="BK622" i="15"/>
  <c r="BK624" i="15"/>
  <c r="BK626" i="15"/>
  <c r="BK629" i="15"/>
  <c r="BK630" i="15"/>
  <c r="BK631" i="15"/>
  <c r="BK633" i="15"/>
  <c r="BK634" i="15"/>
  <c r="BK638" i="15"/>
  <c r="BK639" i="15"/>
  <c r="BK642" i="15"/>
  <c r="BK643" i="15"/>
  <c r="BK645" i="15"/>
  <c r="BK646" i="15"/>
  <c r="BK650" i="15"/>
  <c r="BK651" i="15"/>
  <c r="BK654" i="15"/>
  <c r="BK657" i="15"/>
  <c r="BK660" i="15"/>
  <c r="BK661" i="15"/>
  <c r="BK664" i="15"/>
  <c r="BK665" i="15"/>
  <c r="BK666" i="15"/>
  <c r="BK667" i="15"/>
  <c r="BK668" i="15"/>
  <c r="BK671" i="15"/>
  <c r="BK673" i="15"/>
  <c r="BK674" i="15"/>
  <c r="BK676" i="15"/>
  <c r="BK677" i="15"/>
  <c r="BK681" i="15"/>
  <c r="BK684" i="15"/>
  <c r="BK685" i="15"/>
  <c r="BK686" i="15"/>
  <c r="BK687" i="15"/>
  <c r="BK689" i="15"/>
  <c r="BK690" i="15"/>
  <c r="BK693" i="15"/>
  <c r="BK694" i="15"/>
  <c r="BK696" i="15"/>
  <c r="BK697" i="15"/>
  <c r="BK699" i="15"/>
  <c r="BK700" i="15"/>
  <c r="BK701" i="15"/>
  <c r="BK706" i="15"/>
  <c r="BK707" i="15"/>
  <c r="BK709" i="15"/>
  <c r="BK712" i="15"/>
  <c r="BK713" i="15"/>
  <c r="BK714" i="15"/>
  <c r="BK717" i="15"/>
  <c r="BK718" i="15"/>
  <c r="BK721" i="15"/>
  <c r="BK722" i="15"/>
  <c r="BK725" i="15"/>
  <c r="BK726" i="15"/>
  <c r="BK728" i="15"/>
  <c r="BK729" i="15"/>
  <c r="BK732" i="15"/>
  <c r="BK733" i="15"/>
  <c r="BK734" i="15"/>
  <c r="BK735" i="15"/>
  <c r="BK736" i="15"/>
  <c r="BK739" i="15"/>
  <c r="BK740" i="15"/>
  <c r="BK742" i="15"/>
  <c r="BK744" i="15"/>
  <c r="BK745" i="15"/>
  <c r="BK748" i="15"/>
  <c r="BK749" i="15"/>
  <c r="BK752" i="15"/>
  <c r="BK753" i="15"/>
  <c r="BK756" i="15"/>
  <c r="BK757" i="15"/>
  <c r="BK759" i="15"/>
  <c r="BK760" i="15"/>
  <c r="BK764" i="15"/>
  <c r="BK767" i="15"/>
  <c r="BK768" i="15"/>
  <c r="BK770" i="15"/>
  <c r="BK772" i="15"/>
  <c r="BK773" i="15"/>
  <c r="BK774" i="15"/>
  <c r="BK776" i="15"/>
  <c r="BK779" i="15"/>
  <c r="BK780" i="15"/>
  <c r="BK783" i="15"/>
  <c r="BK784" i="15"/>
  <c r="BK787" i="15"/>
  <c r="BK792" i="15"/>
  <c r="BK794" i="15"/>
  <c r="BK797" i="15"/>
  <c r="BK798" i="15"/>
  <c r="BK800" i="15"/>
  <c r="BK803" i="15"/>
  <c r="BK808" i="15"/>
  <c r="BK809" i="15"/>
  <c r="BK811" i="15"/>
  <c r="BK814" i="15"/>
  <c r="BK815" i="15"/>
  <c r="BK816" i="15"/>
  <c r="BK818" i="15"/>
  <c r="BK821" i="15"/>
  <c r="BK822" i="15"/>
  <c r="BK824" i="15"/>
  <c r="BK825" i="15"/>
  <c r="BK828" i="15"/>
  <c r="BK829" i="15"/>
  <c r="BK831" i="15"/>
  <c r="BK833" i="15"/>
  <c r="BK834" i="15"/>
  <c r="BK837" i="15"/>
  <c r="BK839" i="15"/>
  <c r="BK840" i="15"/>
  <c r="BK841" i="15"/>
  <c r="BK844" i="15"/>
  <c r="BK845" i="15"/>
  <c r="BK847" i="15"/>
  <c r="BK849" i="15"/>
  <c r="BK850" i="15"/>
  <c r="BK853" i="15"/>
  <c r="BK854" i="15"/>
  <c r="BK857" i="15"/>
  <c r="BK858" i="15"/>
  <c r="BK859" i="15"/>
  <c r="BK860" i="15"/>
  <c r="BK864" i="15"/>
  <c r="BK865" i="15"/>
  <c r="BK866" i="15"/>
  <c r="BK868" i="15"/>
  <c r="BK869" i="15"/>
  <c r="BK872" i="15"/>
  <c r="BK875" i="15"/>
  <c r="BK876" i="15"/>
  <c r="BK879" i="15"/>
  <c r="BK880" i="15"/>
  <c r="BK881" i="15"/>
  <c r="BK883" i="15"/>
  <c r="BK884" i="15"/>
  <c r="BK888" i="15"/>
  <c r="BK889" i="15"/>
  <c r="BK890" i="15"/>
  <c r="BK892" i="15"/>
  <c r="BK893" i="15"/>
  <c r="BK896" i="15"/>
  <c r="BK897" i="15"/>
  <c r="BK898" i="15"/>
  <c r="BK899" i="15"/>
  <c r="BK900" i="15"/>
  <c r="BK901" i="15"/>
  <c r="BK904" i="15"/>
  <c r="BK905" i="15"/>
  <c r="BK906" i="15"/>
  <c r="BK909" i="15"/>
  <c r="BK910" i="15"/>
  <c r="BK913" i="15"/>
  <c r="BK915" i="15"/>
  <c r="BK916" i="15"/>
  <c r="BK918" i="15"/>
  <c r="BK919" i="15"/>
  <c r="BK922" i="15"/>
  <c r="BK923" i="15"/>
  <c r="BK924" i="15"/>
  <c r="BK927" i="15"/>
  <c r="BK928" i="15"/>
  <c r="BK929" i="15"/>
  <c r="BK934" i="15"/>
  <c r="BK935" i="15"/>
  <c r="BK936" i="15"/>
  <c r="BK939" i="15"/>
  <c r="BK940" i="15"/>
  <c r="BK941" i="15"/>
  <c r="BK942" i="15"/>
  <c r="BK944" i="15"/>
  <c r="BK946" i="15"/>
  <c r="BK947" i="15"/>
  <c r="BK950" i="15"/>
  <c r="BK951" i="15"/>
  <c r="BK954" i="15"/>
  <c r="BK955" i="15"/>
  <c r="BK957" i="15"/>
  <c r="BK958" i="15"/>
  <c r="BK960" i="15"/>
  <c r="BK963" i="15"/>
  <c r="BK964" i="15"/>
  <c r="BK969" i="15"/>
  <c r="BK970" i="15"/>
  <c r="BK973" i="15"/>
  <c r="BK976" i="15"/>
  <c r="BK977" i="15"/>
  <c r="BK978" i="15"/>
  <c r="BK979" i="15"/>
  <c r="BK981" i="15"/>
  <c r="BK982" i="15"/>
  <c r="BK984" i="15"/>
  <c r="BK985" i="15"/>
  <c r="BK989" i="15"/>
  <c r="BK990" i="15"/>
  <c r="BK991" i="15"/>
  <c r="BK993" i="15"/>
  <c r="BK996" i="15"/>
  <c r="BK997" i="15"/>
  <c r="BK1000" i="15"/>
  <c r="BK1001" i="15"/>
  <c r="BK1002" i="15"/>
  <c r="BK1004" i="15"/>
  <c r="BK1005" i="15"/>
  <c r="BK1008" i="15"/>
  <c r="BK1009" i="15"/>
  <c r="BK1010" i="15"/>
  <c r="BK1011" i="15"/>
  <c r="BK1012" i="15"/>
  <c r="BK1015" i="15"/>
  <c r="BK1016" i="15"/>
  <c r="BK1017" i="15"/>
  <c r="BK1020" i="15"/>
  <c r="BK1021" i="15"/>
  <c r="BK1022" i="15"/>
  <c r="BK1027" i="15"/>
  <c r="BM27" i="15"/>
  <c r="AS642" i="15" l="1"/>
  <c r="AR642" i="15"/>
  <c r="AT642" i="15" s="1"/>
  <c r="AK888" i="15"/>
  <c r="AJ888" i="15"/>
  <c r="AL888" i="15" s="1"/>
  <c r="AG1011" i="15"/>
  <c r="AF1011" i="15"/>
  <c r="AH1011" i="15" s="1"/>
  <c r="BE273" i="15"/>
  <c r="BD273" i="15"/>
  <c r="BF273" i="15" s="1"/>
  <c r="BA396" i="15"/>
  <c r="AZ396" i="15"/>
  <c r="BB396" i="15" s="1"/>
  <c r="AW519" i="15"/>
  <c r="AV519" i="15"/>
  <c r="AX519" i="15" s="1"/>
  <c r="AO765" i="15"/>
  <c r="AN765" i="15"/>
  <c r="AP765" i="15" s="1"/>
  <c r="BI150" i="15"/>
  <c r="BH150" i="15"/>
  <c r="BJ150" i="15" s="1"/>
  <c r="BN27" i="15"/>
  <c r="BI151" i="15" l="1"/>
  <c r="BH151" i="15"/>
  <c r="BJ151" i="15" s="1"/>
  <c r="AW520" i="15"/>
  <c r="AV520" i="15"/>
  <c r="AX520" i="15" s="1"/>
  <c r="BA397" i="15"/>
  <c r="AZ397" i="15"/>
  <c r="BB397" i="15" s="1"/>
  <c r="BE274" i="15"/>
  <c r="BD274" i="15"/>
  <c r="BF274" i="15" s="1"/>
  <c r="AG1012" i="15"/>
  <c r="AF1012" i="15"/>
  <c r="AH1012" i="15" s="1"/>
  <c r="AS643" i="15"/>
  <c r="AR643" i="15"/>
  <c r="AT643" i="15" s="1"/>
  <c r="AO766" i="15"/>
  <c r="AN766" i="15"/>
  <c r="AP766" i="15" s="1"/>
  <c r="AK889" i="15"/>
  <c r="AJ889" i="15"/>
  <c r="AL889" i="15" s="1"/>
  <c r="BM28" i="15"/>
  <c r="BL28" i="15"/>
  <c r="BN28" i="15" s="1"/>
  <c r="AK890" i="15" l="1"/>
  <c r="AJ890" i="15"/>
  <c r="AL890" i="15" s="1"/>
  <c r="AS644" i="15"/>
  <c r="AR644" i="15"/>
  <c r="AT644" i="15" s="1"/>
  <c r="BE275" i="15"/>
  <c r="BD275" i="15"/>
  <c r="BF275" i="15" s="1"/>
  <c r="BA398" i="15"/>
  <c r="AZ398" i="15"/>
  <c r="BB398" i="15" s="1"/>
  <c r="BI152" i="15"/>
  <c r="BH152" i="15"/>
  <c r="BJ152" i="15" s="1"/>
  <c r="BM29" i="15"/>
  <c r="BL29" i="15"/>
  <c r="BN29" i="15" s="1"/>
  <c r="AO767" i="15"/>
  <c r="AN767" i="15"/>
  <c r="AP767" i="15" s="1"/>
  <c r="AG1013" i="15"/>
  <c r="AF1013" i="15"/>
  <c r="AH1013" i="15" s="1"/>
  <c r="AW521" i="15"/>
  <c r="AV521" i="15"/>
  <c r="AX521" i="15" s="1"/>
  <c r="AG1014" i="15" l="1"/>
  <c r="AF1014" i="15"/>
  <c r="AH1014" i="15" s="1"/>
  <c r="BM30" i="15"/>
  <c r="BL30" i="15"/>
  <c r="BN30" i="15" s="1"/>
  <c r="BI153" i="15"/>
  <c r="BH153" i="15"/>
  <c r="BJ153" i="15" s="1"/>
  <c r="BE276" i="15"/>
  <c r="BD276" i="15"/>
  <c r="BF276" i="15" s="1"/>
  <c r="AK891" i="15"/>
  <c r="AJ891" i="15"/>
  <c r="AL891" i="15" s="1"/>
  <c r="AW522" i="15"/>
  <c r="AV522" i="15"/>
  <c r="AX522" i="15" s="1"/>
  <c r="AO768" i="15"/>
  <c r="AN768" i="15"/>
  <c r="AP768" i="15" s="1"/>
  <c r="BA399" i="15"/>
  <c r="AZ399" i="15"/>
  <c r="BB399" i="15" s="1"/>
  <c r="AS645" i="15"/>
  <c r="AR645" i="15"/>
  <c r="AT645" i="15" s="1"/>
  <c r="AS646" i="15" l="1"/>
  <c r="AR646" i="15"/>
  <c r="AT646" i="15" s="1"/>
  <c r="AO769" i="15"/>
  <c r="AN769" i="15"/>
  <c r="AP769" i="15" s="1"/>
  <c r="AK892" i="15"/>
  <c r="AJ892" i="15"/>
  <c r="AL892" i="15" s="1"/>
  <c r="BI154" i="15"/>
  <c r="BH154" i="15"/>
  <c r="BJ154" i="15" s="1"/>
  <c r="AG1015" i="15"/>
  <c r="AF1015" i="15"/>
  <c r="AH1015" i="15" s="1"/>
  <c r="BA400" i="15"/>
  <c r="AZ400" i="15"/>
  <c r="BB400" i="15" s="1"/>
  <c r="AW523" i="15"/>
  <c r="AV523" i="15"/>
  <c r="AX523" i="15" s="1"/>
  <c r="BE277" i="15"/>
  <c r="BD277" i="15"/>
  <c r="BF277" i="15" s="1"/>
  <c r="BM31" i="15"/>
  <c r="BL31" i="15"/>
  <c r="BN31" i="15" s="1"/>
  <c r="BM32" i="15" l="1"/>
  <c r="BL32" i="15"/>
  <c r="BN32" i="15" s="1"/>
  <c r="AW524" i="15"/>
  <c r="AV524" i="15"/>
  <c r="AX524" i="15" s="1"/>
  <c r="BA401" i="15"/>
  <c r="AZ401" i="15"/>
  <c r="BB401" i="15" s="1"/>
  <c r="BI155" i="15"/>
  <c r="BH155" i="15"/>
  <c r="BJ155" i="15" s="1"/>
  <c r="AK893" i="15"/>
  <c r="AJ893" i="15"/>
  <c r="AL893" i="15" s="1"/>
  <c r="AS647" i="15"/>
  <c r="AR647" i="15"/>
  <c r="AT647" i="15" s="1"/>
  <c r="BE278" i="15"/>
  <c r="BD278" i="15"/>
  <c r="BF278" i="15" s="1"/>
  <c r="AG1016" i="15"/>
  <c r="AF1016" i="15"/>
  <c r="AH1016" i="15" s="1"/>
  <c r="AO770" i="15"/>
  <c r="AN770" i="15"/>
  <c r="AP770" i="15" s="1"/>
  <c r="AG1017" i="15" l="1"/>
  <c r="AF1017" i="15"/>
  <c r="AH1017" i="15" s="1"/>
  <c r="AS648" i="15"/>
  <c r="AR648" i="15"/>
  <c r="AT648" i="15" s="1"/>
  <c r="BI156" i="15"/>
  <c r="BH156" i="15"/>
  <c r="BJ156" i="15" s="1"/>
  <c r="BA402" i="15"/>
  <c r="AZ402" i="15"/>
  <c r="BB402" i="15" s="1"/>
  <c r="BM33" i="15"/>
  <c r="BL33" i="15"/>
  <c r="BN33" i="15" s="1"/>
  <c r="AO771" i="15"/>
  <c r="AN771" i="15"/>
  <c r="AP771" i="15" s="1"/>
  <c r="BE279" i="15"/>
  <c r="BD279" i="15"/>
  <c r="BF279" i="15" s="1"/>
  <c r="AK894" i="15"/>
  <c r="AJ894" i="15"/>
  <c r="AL894" i="15" s="1"/>
  <c r="AW525" i="15"/>
  <c r="AV525" i="15"/>
  <c r="AX525" i="15" s="1"/>
  <c r="AW526" i="15" l="1"/>
  <c r="AV526" i="15"/>
  <c r="AX526" i="15" s="1"/>
  <c r="BE280" i="15"/>
  <c r="BD280" i="15"/>
  <c r="BF280" i="15" s="1"/>
  <c r="BM34" i="15"/>
  <c r="BL34" i="15"/>
  <c r="BN34" i="15" s="1"/>
  <c r="BI157" i="15"/>
  <c r="BH157" i="15"/>
  <c r="BJ157" i="15" s="1"/>
  <c r="AG1018" i="15"/>
  <c r="AF1018" i="15"/>
  <c r="AH1018" i="15" s="1"/>
  <c r="AK895" i="15"/>
  <c r="AJ895" i="15"/>
  <c r="AL895" i="15" s="1"/>
  <c r="AO772" i="15"/>
  <c r="AN772" i="15"/>
  <c r="AP772" i="15" s="1"/>
  <c r="BA403" i="15"/>
  <c r="AZ403" i="15"/>
  <c r="BB403" i="15" s="1"/>
  <c r="AS649" i="15"/>
  <c r="AR649" i="15"/>
  <c r="AT649" i="15" s="1"/>
  <c r="BA404" i="15" l="1"/>
  <c r="AZ404" i="15"/>
  <c r="BB404" i="15" s="1"/>
  <c r="AK896" i="15"/>
  <c r="AJ896" i="15"/>
  <c r="AL896" i="15" s="1"/>
  <c r="BI158" i="15"/>
  <c r="BH158" i="15"/>
  <c r="BJ158" i="15" s="1"/>
  <c r="BM35" i="15"/>
  <c r="BL35" i="15"/>
  <c r="BN35" i="15" s="1"/>
  <c r="AW527" i="15"/>
  <c r="AV527" i="15"/>
  <c r="AX527" i="15" s="1"/>
  <c r="AS650" i="15"/>
  <c r="AR650" i="15"/>
  <c r="AT650" i="15" s="1"/>
  <c r="AO773" i="15"/>
  <c r="AN773" i="15"/>
  <c r="AP773" i="15" s="1"/>
  <c r="AG1019" i="15"/>
  <c r="AF1019" i="15"/>
  <c r="AH1019" i="15" s="1"/>
  <c r="BE281" i="15"/>
  <c r="BD281" i="15"/>
  <c r="BF281" i="15" s="1"/>
  <c r="BE282" i="15" l="1"/>
  <c r="BD282" i="15"/>
  <c r="BF282" i="15" s="1"/>
  <c r="AO774" i="15"/>
  <c r="AN774" i="15"/>
  <c r="AP774" i="15" s="1"/>
  <c r="AW528" i="15"/>
  <c r="AV528" i="15"/>
  <c r="AX528" i="15" s="1"/>
  <c r="BI159" i="15"/>
  <c r="BH159" i="15"/>
  <c r="BJ159" i="15" s="1"/>
  <c r="BA405" i="15"/>
  <c r="AZ405" i="15"/>
  <c r="BB405" i="15" s="1"/>
  <c r="AG1020" i="15"/>
  <c r="AF1020" i="15"/>
  <c r="AH1020" i="15" s="1"/>
  <c r="AS651" i="15"/>
  <c r="AR651" i="15"/>
  <c r="AT651" i="15" s="1"/>
  <c r="BM36" i="15"/>
  <c r="BL36" i="15"/>
  <c r="BN36" i="15" s="1"/>
  <c r="AK897" i="15"/>
  <c r="AJ897" i="15"/>
  <c r="AL897" i="15" s="1"/>
  <c r="BM37" i="15" l="1"/>
  <c r="BL37" i="15"/>
  <c r="BN37" i="15" s="1"/>
  <c r="AG1021" i="15"/>
  <c r="AF1021" i="15"/>
  <c r="AH1021" i="15" s="1"/>
  <c r="BA406" i="15"/>
  <c r="AZ406" i="15"/>
  <c r="BB406" i="15" s="1"/>
  <c r="AW529" i="15"/>
  <c r="AV529" i="15"/>
  <c r="AX529" i="15" s="1"/>
  <c r="BE283" i="15"/>
  <c r="BD283" i="15"/>
  <c r="BF283" i="15" s="1"/>
  <c r="AK898" i="15"/>
  <c r="AJ898" i="15"/>
  <c r="AL898" i="15" s="1"/>
  <c r="AS652" i="15"/>
  <c r="AR652" i="15"/>
  <c r="AT652" i="15" s="1"/>
  <c r="BI160" i="15"/>
  <c r="BH160" i="15"/>
  <c r="BJ160" i="15" s="1"/>
  <c r="AO775" i="15"/>
  <c r="AN775" i="15"/>
  <c r="AP775" i="15" s="1"/>
  <c r="AO776" i="15" l="1"/>
  <c r="AN776" i="15"/>
  <c r="AP776" i="15" s="1"/>
  <c r="AS653" i="15"/>
  <c r="AR653" i="15"/>
  <c r="AT653" i="15" s="1"/>
  <c r="AK899" i="15"/>
  <c r="AJ899" i="15"/>
  <c r="AL899" i="15" s="1"/>
  <c r="AW530" i="15"/>
  <c r="AV530" i="15"/>
  <c r="AX530" i="15" s="1"/>
  <c r="BA407" i="15"/>
  <c r="AZ407" i="15"/>
  <c r="BB407" i="15" s="1"/>
  <c r="BM38" i="15"/>
  <c r="BL38" i="15"/>
  <c r="BN38" i="15" s="1"/>
  <c r="BI161" i="15"/>
  <c r="BH161" i="15"/>
  <c r="BJ161" i="15" s="1"/>
  <c r="BE284" i="15"/>
  <c r="BD284" i="15"/>
  <c r="BF284" i="15" s="1"/>
  <c r="AG1022" i="15"/>
  <c r="AF1022" i="15"/>
  <c r="AH1022" i="15" s="1"/>
  <c r="AG1023" i="15" l="1"/>
  <c r="AF1023" i="15"/>
  <c r="AH1023" i="15" s="1"/>
  <c r="BI162" i="15"/>
  <c r="BH162" i="15"/>
  <c r="BJ162" i="15" s="1"/>
  <c r="BM39" i="15"/>
  <c r="BL39" i="15"/>
  <c r="BN39" i="15" s="1"/>
  <c r="AW531" i="15"/>
  <c r="AV531" i="15"/>
  <c r="AX531" i="15" s="1"/>
  <c r="AK900" i="15"/>
  <c r="AJ900" i="15"/>
  <c r="AL900" i="15" s="1"/>
  <c r="AO777" i="15"/>
  <c r="AN777" i="15"/>
  <c r="AP777" i="15" s="1"/>
  <c r="BE285" i="15"/>
  <c r="BD285" i="15"/>
  <c r="BF285" i="15" s="1"/>
  <c r="BA408" i="15"/>
  <c r="AZ408" i="15"/>
  <c r="BB408" i="15" s="1"/>
  <c r="AS654" i="15"/>
  <c r="AR654" i="15"/>
  <c r="AT654" i="15" s="1"/>
  <c r="BA409" i="15" l="1"/>
  <c r="AZ409" i="15"/>
  <c r="BB409" i="15" s="1"/>
  <c r="AO778" i="15"/>
  <c r="AN778" i="15"/>
  <c r="AP778" i="15" s="1"/>
  <c r="AW532" i="15"/>
  <c r="AV532" i="15"/>
  <c r="AX532" i="15" s="1"/>
  <c r="BM40" i="15"/>
  <c r="BL40" i="15"/>
  <c r="BN40" i="15" s="1"/>
  <c r="AG1024" i="15"/>
  <c r="AF1024" i="15"/>
  <c r="AH1024" i="15" s="1"/>
  <c r="AS655" i="15"/>
  <c r="AR655" i="15"/>
  <c r="AT655" i="15" s="1"/>
  <c r="BE286" i="15"/>
  <c r="BD286" i="15"/>
  <c r="BF286" i="15" s="1"/>
  <c r="AK901" i="15"/>
  <c r="AJ901" i="15"/>
  <c r="AL901" i="15" s="1"/>
  <c r="BI163" i="15"/>
  <c r="BH163" i="15"/>
  <c r="BJ163" i="15" s="1"/>
  <c r="BI164" i="15" l="1"/>
  <c r="BH164" i="15"/>
  <c r="BJ164" i="15" s="1"/>
  <c r="BE287" i="15"/>
  <c r="BD287" i="15"/>
  <c r="BF287" i="15" s="1"/>
  <c r="AG1025" i="15"/>
  <c r="AF1025" i="15"/>
  <c r="AH1025" i="15" s="1"/>
  <c r="BM41" i="15"/>
  <c r="BL41" i="15"/>
  <c r="BN41" i="15" s="1"/>
  <c r="AW533" i="15"/>
  <c r="AV533" i="15"/>
  <c r="AX533" i="15" s="1"/>
  <c r="BA410" i="15"/>
  <c r="AZ410" i="15"/>
  <c r="BB410" i="15" s="1"/>
  <c r="AK902" i="15"/>
  <c r="AJ902" i="15"/>
  <c r="AL902" i="15" s="1"/>
  <c r="AS656" i="15"/>
  <c r="AR656" i="15"/>
  <c r="AT656" i="15" s="1"/>
  <c r="AO779" i="15"/>
  <c r="AN779" i="15"/>
  <c r="AP779" i="15" s="1"/>
  <c r="AS657" i="15" l="1"/>
  <c r="AR657" i="15"/>
  <c r="AT657" i="15" s="1"/>
  <c r="BA411" i="15"/>
  <c r="AZ411" i="15"/>
  <c r="BB411" i="15" s="1"/>
  <c r="AW534" i="15"/>
  <c r="AV534" i="15"/>
  <c r="AX534" i="15" s="1"/>
  <c r="AG1026" i="15"/>
  <c r="AF1026" i="15"/>
  <c r="AH1026" i="15" s="1"/>
  <c r="BI165" i="15"/>
  <c r="BH165" i="15"/>
  <c r="BJ165" i="15" s="1"/>
  <c r="AO780" i="15"/>
  <c r="AN780" i="15"/>
  <c r="AP780" i="15" s="1"/>
  <c r="AK903" i="15"/>
  <c r="AJ903" i="15"/>
  <c r="AL903" i="15" s="1"/>
  <c r="BM42" i="15"/>
  <c r="BL42" i="15"/>
  <c r="BN42" i="15" s="1"/>
  <c r="BE288" i="15"/>
  <c r="BD288" i="15"/>
  <c r="BF288" i="15" s="1"/>
  <c r="BE289" i="15" l="1"/>
  <c r="BD289" i="15"/>
  <c r="BF289" i="15" s="1"/>
  <c r="AK904" i="15"/>
  <c r="AJ904" i="15"/>
  <c r="AL904" i="15" s="1"/>
  <c r="AO781" i="15"/>
  <c r="AN781" i="15"/>
  <c r="AP781" i="15" s="1"/>
  <c r="AG1027" i="15"/>
  <c r="AF1027" i="15"/>
  <c r="AH1027" i="15" s="1"/>
  <c r="AW535" i="15"/>
  <c r="AV535" i="15"/>
  <c r="AX535" i="15" s="1"/>
  <c r="AS658" i="15"/>
  <c r="AR658" i="15"/>
  <c r="AT658" i="15" s="1"/>
  <c r="BM43" i="15"/>
  <c r="BL43" i="15"/>
  <c r="BN43" i="15" s="1"/>
  <c r="BI166" i="15"/>
  <c r="BH166" i="15"/>
  <c r="BJ166" i="15" s="1"/>
  <c r="BA412" i="15"/>
  <c r="AZ412" i="15"/>
  <c r="BB412" i="15" s="1"/>
  <c r="BI167" i="15" l="1"/>
  <c r="BH167" i="15"/>
  <c r="BJ167" i="15" s="1"/>
  <c r="AS659" i="15"/>
  <c r="AR659" i="15"/>
  <c r="AT659" i="15" s="1"/>
  <c r="AO782" i="15"/>
  <c r="AN782" i="15"/>
  <c r="AP782" i="15" s="1"/>
  <c r="BE290" i="15"/>
  <c r="BD290" i="15"/>
  <c r="BF290" i="15" s="1"/>
  <c r="BA413" i="15"/>
  <c r="AZ413" i="15"/>
  <c r="BB413" i="15" s="1"/>
  <c r="BM44" i="15"/>
  <c r="BL44" i="15"/>
  <c r="BN44" i="15" s="1"/>
  <c r="AW536" i="15"/>
  <c r="AV536" i="15"/>
  <c r="AX536" i="15" s="1"/>
  <c r="AK905" i="15"/>
  <c r="AJ905" i="15"/>
  <c r="AL905" i="15" s="1"/>
  <c r="AK906" i="15" l="1"/>
  <c r="AJ906" i="15"/>
  <c r="AL906" i="15" s="1"/>
  <c r="BM45" i="15"/>
  <c r="BL45" i="15"/>
  <c r="BN45" i="15" s="1"/>
  <c r="BE291" i="15"/>
  <c r="BD291" i="15"/>
  <c r="BF291" i="15" s="1"/>
  <c r="AO783" i="15"/>
  <c r="AN783" i="15"/>
  <c r="AP783" i="15" s="1"/>
  <c r="BI168" i="15"/>
  <c r="BH168" i="15"/>
  <c r="BJ168" i="15" s="1"/>
  <c r="AW537" i="15"/>
  <c r="AV537" i="15"/>
  <c r="AX537" i="15" s="1"/>
  <c r="BA414" i="15"/>
  <c r="AZ414" i="15"/>
  <c r="BB414" i="15" s="1"/>
  <c r="AS660" i="15"/>
  <c r="AR660" i="15"/>
  <c r="AT660" i="15" s="1"/>
  <c r="BA415" i="15" l="1"/>
  <c r="AZ415" i="15"/>
  <c r="BB415" i="15" s="1"/>
  <c r="BI169" i="15"/>
  <c r="BH169" i="15"/>
  <c r="BJ169" i="15" s="1"/>
  <c r="BE292" i="15"/>
  <c r="BD292" i="15"/>
  <c r="BF292" i="15" s="1"/>
  <c r="AK907" i="15"/>
  <c r="AJ907" i="15"/>
  <c r="AL907" i="15" s="1"/>
  <c r="AS661" i="15"/>
  <c r="AR661" i="15"/>
  <c r="AT661" i="15" s="1"/>
  <c r="AW538" i="15"/>
  <c r="AV538" i="15"/>
  <c r="AX538" i="15" s="1"/>
  <c r="AO784" i="15"/>
  <c r="AN784" i="15"/>
  <c r="AP784" i="15" s="1"/>
  <c r="BM46" i="15"/>
  <c r="BL46" i="15"/>
  <c r="BN46" i="15" s="1"/>
  <c r="AW539" i="15" l="1"/>
  <c r="AV539" i="15"/>
  <c r="AX539" i="15" s="1"/>
  <c r="AS662" i="15"/>
  <c r="AR662" i="15"/>
  <c r="AT662" i="15" s="1"/>
  <c r="BE293" i="15"/>
  <c r="BD293" i="15"/>
  <c r="BF293" i="15" s="1"/>
  <c r="BA416" i="15"/>
  <c r="AZ416" i="15"/>
  <c r="BB416" i="15" s="1"/>
  <c r="BM47" i="15"/>
  <c r="BL47" i="15"/>
  <c r="BN47" i="15" s="1"/>
  <c r="AO785" i="15"/>
  <c r="AN785" i="15"/>
  <c r="AP785" i="15" s="1"/>
  <c r="AK908" i="15"/>
  <c r="AJ908" i="15"/>
  <c r="AL908" i="15" s="1"/>
  <c r="BI170" i="15"/>
  <c r="BH170" i="15"/>
  <c r="BJ170" i="15" s="1"/>
  <c r="BI171" i="15" l="1"/>
  <c r="BH171" i="15"/>
  <c r="BJ171" i="15" s="1"/>
  <c r="AO786" i="15"/>
  <c r="AN786" i="15"/>
  <c r="AP786" i="15" s="1"/>
  <c r="BA417" i="15"/>
  <c r="AZ417" i="15"/>
  <c r="BB417" i="15" s="1"/>
  <c r="BE294" i="15"/>
  <c r="BD294" i="15"/>
  <c r="BF294" i="15" s="1"/>
  <c r="AW540" i="15"/>
  <c r="AV540" i="15"/>
  <c r="AX540" i="15" s="1"/>
  <c r="AK909" i="15"/>
  <c r="AJ909" i="15"/>
  <c r="AL909" i="15" s="1"/>
  <c r="BM48" i="15"/>
  <c r="BL48" i="15"/>
  <c r="BN48" i="15" s="1"/>
  <c r="AS663" i="15"/>
  <c r="AR663" i="15"/>
  <c r="AT663" i="15" s="1"/>
  <c r="BM49" i="15" l="1"/>
  <c r="BL49" i="15"/>
  <c r="BN49" i="15" s="1"/>
  <c r="AW541" i="15"/>
  <c r="AV541" i="15"/>
  <c r="AX541" i="15" s="1"/>
  <c r="BA418" i="15"/>
  <c r="AZ418" i="15"/>
  <c r="BB418" i="15" s="1"/>
  <c r="BI172" i="15"/>
  <c r="BH172" i="15"/>
  <c r="BJ172" i="15" s="1"/>
  <c r="AS664" i="15"/>
  <c r="AR664" i="15"/>
  <c r="AT664" i="15" s="1"/>
  <c r="AK910" i="15"/>
  <c r="AJ910" i="15"/>
  <c r="AL910" i="15" s="1"/>
  <c r="BE295" i="15"/>
  <c r="BD295" i="15"/>
  <c r="BF295" i="15" s="1"/>
  <c r="AO787" i="15"/>
  <c r="AN787" i="15"/>
  <c r="AP787" i="15" s="1"/>
  <c r="AO788" i="15" l="1"/>
  <c r="AN788" i="15"/>
  <c r="AP788" i="15" s="1"/>
  <c r="AK911" i="15"/>
  <c r="AJ911" i="15"/>
  <c r="AL911" i="15" s="1"/>
  <c r="BI173" i="15"/>
  <c r="BH173" i="15"/>
  <c r="BJ173" i="15" s="1"/>
  <c r="BA419" i="15"/>
  <c r="AZ419" i="15"/>
  <c r="BB419" i="15" s="1"/>
  <c r="BM50" i="15"/>
  <c r="BL50" i="15"/>
  <c r="BN50" i="15" s="1"/>
  <c r="BE296" i="15"/>
  <c r="BD296" i="15"/>
  <c r="BF296" i="15" s="1"/>
  <c r="AS665" i="15"/>
  <c r="AR665" i="15"/>
  <c r="AT665" i="15" s="1"/>
  <c r="AW542" i="15"/>
  <c r="AV542" i="15"/>
  <c r="AX542" i="15" s="1"/>
  <c r="AS666" i="15" l="1"/>
  <c r="AR666" i="15"/>
  <c r="AT666" i="15" s="1"/>
  <c r="BM51" i="15"/>
  <c r="BL51" i="15"/>
  <c r="BN51" i="15" s="1"/>
  <c r="BI174" i="15"/>
  <c r="BH174" i="15"/>
  <c r="BJ174" i="15" s="1"/>
  <c r="AO789" i="15"/>
  <c r="AN789" i="15"/>
  <c r="AP789" i="15" s="1"/>
  <c r="AW543" i="15"/>
  <c r="AV543" i="15"/>
  <c r="AX543" i="15" s="1"/>
  <c r="BE297" i="15"/>
  <c r="BD297" i="15"/>
  <c r="BF297" i="15" s="1"/>
  <c r="BA420" i="15"/>
  <c r="AZ420" i="15"/>
  <c r="BB420" i="15" s="1"/>
  <c r="AK912" i="15"/>
  <c r="AJ912" i="15"/>
  <c r="AL912" i="15" s="1"/>
  <c r="AK913" i="15" l="1"/>
  <c r="AJ913" i="15"/>
  <c r="AL913" i="15" s="1"/>
  <c r="BE298" i="15"/>
  <c r="BD298" i="15"/>
  <c r="BF298" i="15" s="1"/>
  <c r="AO790" i="15"/>
  <c r="AN790" i="15"/>
  <c r="AP790" i="15" s="1"/>
  <c r="BI175" i="15"/>
  <c r="BH175" i="15"/>
  <c r="BJ175" i="15" s="1"/>
  <c r="AS667" i="15"/>
  <c r="AR667" i="15"/>
  <c r="AT667" i="15" s="1"/>
  <c r="BA421" i="15"/>
  <c r="AZ421" i="15"/>
  <c r="BB421" i="15" s="1"/>
  <c r="AW544" i="15"/>
  <c r="AV544" i="15"/>
  <c r="AX544" i="15" s="1"/>
  <c r="BM52" i="15"/>
  <c r="BL52" i="15"/>
  <c r="BN52" i="15" s="1"/>
  <c r="AW545" i="15" l="1"/>
  <c r="AV545" i="15"/>
  <c r="AX545" i="15" s="1"/>
  <c r="AS668" i="15"/>
  <c r="AR668" i="15"/>
  <c r="AT668" i="15" s="1"/>
  <c r="AO791" i="15"/>
  <c r="AN791" i="15"/>
  <c r="AP791" i="15" s="1"/>
  <c r="AK914" i="15"/>
  <c r="AJ914" i="15"/>
  <c r="AL914" i="15" s="1"/>
  <c r="BM53" i="15"/>
  <c r="BL53" i="15"/>
  <c r="BN53" i="15" s="1"/>
  <c r="BA422" i="15"/>
  <c r="AZ422" i="15"/>
  <c r="BB422" i="15" s="1"/>
  <c r="BI176" i="15"/>
  <c r="BH176" i="15"/>
  <c r="BJ176" i="15" s="1"/>
  <c r="BE299" i="15"/>
  <c r="BD299" i="15"/>
  <c r="BF299" i="15" s="1"/>
  <c r="BE300" i="15" l="1"/>
  <c r="BD300" i="15"/>
  <c r="BF300" i="15" s="1"/>
  <c r="BA423" i="15"/>
  <c r="AZ423" i="15"/>
  <c r="BB423" i="15" s="1"/>
  <c r="AK915" i="15"/>
  <c r="AJ915" i="15"/>
  <c r="AL915" i="15" s="1"/>
  <c r="AO792" i="15"/>
  <c r="AN792" i="15"/>
  <c r="AP792" i="15" s="1"/>
  <c r="AW546" i="15"/>
  <c r="AV546" i="15"/>
  <c r="AX546" i="15" s="1"/>
  <c r="BI177" i="15"/>
  <c r="BH177" i="15"/>
  <c r="BJ177" i="15" s="1"/>
  <c r="BM54" i="15"/>
  <c r="BL54" i="15"/>
  <c r="BN54" i="15" s="1"/>
  <c r="AS669" i="15"/>
  <c r="AR669" i="15"/>
  <c r="AT669" i="15" s="1"/>
  <c r="BM55" i="15" l="1"/>
  <c r="BL55" i="15"/>
  <c r="BN55" i="15" s="1"/>
  <c r="AW547" i="15"/>
  <c r="AV547" i="15"/>
  <c r="AX547" i="15" s="1"/>
  <c r="AK916" i="15"/>
  <c r="AJ916" i="15"/>
  <c r="AL916" i="15" s="1"/>
  <c r="BE301" i="15"/>
  <c r="BD301" i="15"/>
  <c r="BF301" i="15" s="1"/>
  <c r="AS670" i="15"/>
  <c r="AR670" i="15"/>
  <c r="AT670" i="15" s="1"/>
  <c r="BI178" i="15"/>
  <c r="BH178" i="15"/>
  <c r="BJ178" i="15" s="1"/>
  <c r="AO793" i="15"/>
  <c r="AN793" i="15"/>
  <c r="AP793" i="15" s="1"/>
  <c r="BA424" i="15"/>
  <c r="AZ424" i="15"/>
  <c r="BB424" i="15" s="1"/>
  <c r="BA425" i="15" l="1"/>
  <c r="AZ425" i="15"/>
  <c r="BB425" i="15" s="1"/>
  <c r="AO794" i="15"/>
  <c r="AN794" i="15"/>
  <c r="AP794" i="15" s="1"/>
  <c r="AS671" i="15"/>
  <c r="AR671" i="15"/>
  <c r="AT671" i="15" s="1"/>
  <c r="BE302" i="15"/>
  <c r="BD302" i="15"/>
  <c r="BF302" i="15" s="1"/>
  <c r="AK917" i="15"/>
  <c r="AJ917" i="15"/>
  <c r="AL917" i="15" s="1"/>
  <c r="AW548" i="15"/>
  <c r="AV548" i="15"/>
  <c r="AX548" i="15" s="1"/>
  <c r="BM56" i="15"/>
  <c r="BL56" i="15"/>
  <c r="BN56" i="15" s="1"/>
  <c r="BI179" i="15"/>
  <c r="BH179" i="15"/>
  <c r="BJ179" i="15" s="1"/>
  <c r="BI180" i="15" l="1"/>
  <c r="BH180" i="15"/>
  <c r="BJ180" i="15" s="1"/>
  <c r="AW549" i="15"/>
  <c r="AV549" i="15"/>
  <c r="AX549" i="15" s="1"/>
  <c r="AK918" i="15"/>
  <c r="AJ918" i="15"/>
  <c r="AL918" i="15" s="1"/>
  <c r="AS672" i="15"/>
  <c r="AR672" i="15"/>
  <c r="AT672" i="15" s="1"/>
  <c r="BA426" i="15"/>
  <c r="AZ426" i="15"/>
  <c r="BB426" i="15" s="1"/>
  <c r="BM57" i="15"/>
  <c r="BL57" i="15"/>
  <c r="BN57" i="15" s="1"/>
  <c r="BE303" i="15"/>
  <c r="BD303" i="15"/>
  <c r="BF303" i="15" s="1"/>
  <c r="AO795" i="15"/>
  <c r="AN795" i="15"/>
  <c r="AP795" i="15" s="1"/>
  <c r="BE304" i="15" l="1"/>
  <c r="BD304" i="15"/>
  <c r="BF304" i="15" s="1"/>
  <c r="BA427" i="15"/>
  <c r="AZ427" i="15"/>
  <c r="BB427" i="15" s="1"/>
  <c r="AK919" i="15"/>
  <c r="AJ919" i="15"/>
  <c r="AL919" i="15" s="1"/>
  <c r="BI181" i="15"/>
  <c r="BH181" i="15"/>
  <c r="BJ181" i="15" s="1"/>
  <c r="AO796" i="15"/>
  <c r="AN796" i="15"/>
  <c r="AP796" i="15" s="1"/>
  <c r="BM58" i="15"/>
  <c r="BL58" i="15"/>
  <c r="BN58" i="15" s="1"/>
  <c r="AS673" i="15"/>
  <c r="AR673" i="15"/>
  <c r="AT673" i="15" s="1"/>
  <c r="AW550" i="15"/>
  <c r="AV550" i="15"/>
  <c r="AX550" i="15" s="1"/>
  <c r="AS674" i="15" l="1"/>
  <c r="AR674" i="15"/>
  <c r="AT674" i="15" s="1"/>
  <c r="AO797" i="15"/>
  <c r="AN797" i="15"/>
  <c r="AP797" i="15" s="1"/>
  <c r="AK920" i="15"/>
  <c r="AJ920" i="15"/>
  <c r="AL920" i="15" s="1"/>
  <c r="BE305" i="15"/>
  <c r="BD305" i="15"/>
  <c r="BF305" i="15" s="1"/>
  <c r="AW551" i="15"/>
  <c r="AV551" i="15"/>
  <c r="AX551" i="15" s="1"/>
  <c r="BM59" i="15"/>
  <c r="BL59" i="15"/>
  <c r="BN59" i="15" s="1"/>
  <c r="BI182" i="15"/>
  <c r="BH182" i="15"/>
  <c r="BJ182" i="15" s="1"/>
  <c r="BA428" i="15"/>
  <c r="AZ428" i="15"/>
  <c r="BB428" i="15" s="1"/>
  <c r="BA429" i="15" l="1"/>
  <c r="AZ429" i="15"/>
  <c r="BB429" i="15" s="1"/>
  <c r="BM60" i="15"/>
  <c r="BL60" i="15"/>
  <c r="BN60" i="15" s="1"/>
  <c r="BE306" i="15"/>
  <c r="BD306" i="15"/>
  <c r="BF306" i="15" s="1"/>
  <c r="AK921" i="15"/>
  <c r="AJ921" i="15"/>
  <c r="AL921" i="15" s="1"/>
  <c r="AS675" i="15"/>
  <c r="AR675" i="15"/>
  <c r="AT675" i="15" s="1"/>
  <c r="BI183" i="15"/>
  <c r="BH183" i="15"/>
  <c r="BJ183" i="15" s="1"/>
  <c r="AW552" i="15"/>
  <c r="AV552" i="15"/>
  <c r="AX552" i="15" s="1"/>
  <c r="AO798" i="15"/>
  <c r="AN798" i="15"/>
  <c r="AP798" i="15" s="1"/>
  <c r="AW553" i="15" l="1"/>
  <c r="AV553" i="15"/>
  <c r="AX553" i="15" s="1"/>
  <c r="AS676" i="15"/>
  <c r="AR676" i="15"/>
  <c r="AT676" i="15" s="1"/>
  <c r="BE307" i="15"/>
  <c r="BD307" i="15"/>
  <c r="BF307" i="15" s="1"/>
  <c r="BA430" i="15"/>
  <c r="AZ430" i="15"/>
  <c r="BB430" i="15" s="1"/>
  <c r="AO799" i="15"/>
  <c r="AN799" i="15"/>
  <c r="AP799" i="15" s="1"/>
  <c r="BI184" i="15"/>
  <c r="BH184" i="15"/>
  <c r="BJ184" i="15" s="1"/>
  <c r="AK922" i="15"/>
  <c r="AJ922" i="15"/>
  <c r="AL922" i="15" s="1"/>
  <c r="BM61" i="15"/>
  <c r="BL61" i="15"/>
  <c r="BN61" i="15" s="1"/>
  <c r="AK923" i="15" l="1"/>
  <c r="AJ923" i="15"/>
  <c r="AL923" i="15" s="1"/>
  <c r="AO800" i="15"/>
  <c r="AN800" i="15"/>
  <c r="AP800" i="15" s="1"/>
  <c r="BE308" i="15"/>
  <c r="BD308" i="15"/>
  <c r="BF308" i="15" s="1"/>
  <c r="AW554" i="15"/>
  <c r="AV554" i="15"/>
  <c r="AX554" i="15" s="1"/>
  <c r="BM62" i="15"/>
  <c r="BL62" i="15"/>
  <c r="BN62" i="15" s="1"/>
  <c r="BI185" i="15"/>
  <c r="BH185" i="15"/>
  <c r="BJ185" i="15" s="1"/>
  <c r="BA431" i="15"/>
  <c r="AZ431" i="15"/>
  <c r="BB431" i="15" s="1"/>
  <c r="AS677" i="15"/>
  <c r="AR677" i="15"/>
  <c r="AT677" i="15" s="1"/>
  <c r="AS678" i="15" l="1"/>
  <c r="AR678" i="15"/>
  <c r="AT678" i="15" s="1"/>
  <c r="BA432" i="15"/>
  <c r="AZ432" i="15"/>
  <c r="BB432" i="15" s="1"/>
  <c r="BI186" i="15"/>
  <c r="BH186" i="15"/>
  <c r="BJ186" i="15" s="1"/>
  <c r="BM63" i="15"/>
  <c r="BL63" i="15"/>
  <c r="BN63" i="15" s="1"/>
  <c r="AW555" i="15"/>
  <c r="AV555" i="15"/>
  <c r="AX555" i="15" s="1"/>
  <c r="BE309" i="15"/>
  <c r="BD309" i="15"/>
  <c r="BF309" i="15" s="1"/>
  <c r="AO801" i="15"/>
  <c r="AN801" i="15"/>
  <c r="AP801" i="15" s="1"/>
  <c r="AK924" i="15"/>
  <c r="AJ924" i="15"/>
  <c r="AL924" i="15" s="1"/>
  <c r="AK925" i="15" l="1"/>
  <c r="AJ925" i="15"/>
  <c r="AL925" i="15" s="1"/>
  <c r="BE310" i="15"/>
  <c r="BD310" i="15"/>
  <c r="BF310" i="15" s="1"/>
  <c r="BM64" i="15"/>
  <c r="BL64" i="15"/>
  <c r="BN64" i="15" s="1"/>
  <c r="BI187" i="15"/>
  <c r="BH187" i="15"/>
  <c r="BJ187" i="15" s="1"/>
  <c r="AS679" i="15"/>
  <c r="AR679" i="15"/>
  <c r="AT679" i="15" s="1"/>
  <c r="AO802" i="15"/>
  <c r="AN802" i="15"/>
  <c r="AP802" i="15" s="1"/>
  <c r="AW556" i="15"/>
  <c r="AV556" i="15"/>
  <c r="AX556" i="15" s="1"/>
  <c r="BA433" i="15"/>
  <c r="AZ433" i="15"/>
  <c r="BB433" i="15" s="1"/>
  <c r="AW557" i="15" l="1"/>
  <c r="AV557" i="15"/>
  <c r="AX557" i="15" s="1"/>
  <c r="AS680" i="15"/>
  <c r="AR680" i="15"/>
  <c r="AT680" i="15" s="1"/>
  <c r="BM65" i="15"/>
  <c r="BL65" i="15"/>
  <c r="BN65" i="15" s="1"/>
  <c r="AK926" i="15"/>
  <c r="AJ926" i="15"/>
  <c r="AL926" i="15" s="1"/>
  <c r="BA434" i="15"/>
  <c r="AZ434" i="15"/>
  <c r="BB434" i="15" s="1"/>
  <c r="AO803" i="15"/>
  <c r="AN803" i="15"/>
  <c r="AP803" i="15" s="1"/>
  <c r="BI188" i="15"/>
  <c r="BH188" i="15"/>
  <c r="BJ188" i="15" s="1"/>
  <c r="BE311" i="15"/>
  <c r="BD311" i="15"/>
  <c r="BF311" i="15" s="1"/>
  <c r="BE312" i="15" l="1"/>
  <c r="BD312" i="15"/>
  <c r="BF312" i="15" s="1"/>
  <c r="AO804" i="15"/>
  <c r="AN804" i="15"/>
  <c r="AP804" i="15" s="1"/>
  <c r="BA435" i="15"/>
  <c r="AZ435" i="15"/>
  <c r="BB435" i="15" s="1"/>
  <c r="BM66" i="15"/>
  <c r="BL66" i="15"/>
  <c r="BN66" i="15" s="1"/>
  <c r="AW558" i="15"/>
  <c r="AV558" i="15"/>
  <c r="AX558" i="15" s="1"/>
  <c r="BI189" i="15"/>
  <c r="BH189" i="15"/>
  <c r="BJ189" i="15" s="1"/>
  <c r="AK927" i="15"/>
  <c r="AJ927" i="15"/>
  <c r="AL927" i="15" s="1"/>
  <c r="AS681" i="15"/>
  <c r="AR681" i="15"/>
  <c r="AT681" i="15" s="1"/>
  <c r="AS682" i="15" l="1"/>
  <c r="AR682" i="15"/>
  <c r="AT682" i="15" s="1"/>
  <c r="BI190" i="15"/>
  <c r="BH190" i="15"/>
  <c r="BJ190" i="15" s="1"/>
  <c r="AW559" i="15"/>
  <c r="AV559" i="15"/>
  <c r="AX559" i="15" s="1"/>
  <c r="BA436" i="15"/>
  <c r="AZ436" i="15"/>
  <c r="BB436" i="15" s="1"/>
  <c r="BE313" i="15"/>
  <c r="BD313" i="15"/>
  <c r="BF313" i="15" s="1"/>
  <c r="AK928" i="15"/>
  <c r="AJ928" i="15"/>
  <c r="AL928" i="15" s="1"/>
  <c r="BM67" i="15"/>
  <c r="BL67" i="15"/>
  <c r="BN67" i="15" s="1"/>
  <c r="AO805" i="15"/>
  <c r="AN805" i="15"/>
  <c r="AP805" i="15" s="1"/>
  <c r="AO806" i="15" l="1"/>
  <c r="AN806" i="15"/>
  <c r="AP806" i="15" s="1"/>
  <c r="AK929" i="15"/>
  <c r="AJ929" i="15"/>
  <c r="AL929" i="15" s="1"/>
  <c r="BA437" i="15"/>
  <c r="AZ437" i="15"/>
  <c r="BB437" i="15" s="1"/>
  <c r="AW560" i="15"/>
  <c r="AV560" i="15"/>
  <c r="AX560" i="15" s="1"/>
  <c r="AS683" i="15"/>
  <c r="AR683" i="15"/>
  <c r="AT683" i="15" s="1"/>
  <c r="BM68" i="15"/>
  <c r="BL68" i="15"/>
  <c r="BN68" i="15" s="1"/>
  <c r="BE314" i="15"/>
  <c r="BD314" i="15"/>
  <c r="BF314" i="15" s="1"/>
  <c r="BI191" i="15"/>
  <c r="BH191" i="15"/>
  <c r="BJ191" i="15" s="1"/>
  <c r="BI192" i="15" l="1"/>
  <c r="BH192" i="15"/>
  <c r="BJ192" i="15" s="1"/>
  <c r="BM69" i="15"/>
  <c r="BL69" i="15"/>
  <c r="BN69" i="15" s="1"/>
  <c r="AS684" i="15"/>
  <c r="AR684" i="15"/>
  <c r="AT684" i="15" s="1"/>
  <c r="BA438" i="15"/>
  <c r="AZ438" i="15"/>
  <c r="BB438" i="15" s="1"/>
  <c r="AO807" i="15"/>
  <c r="AN807" i="15"/>
  <c r="AP807" i="15" s="1"/>
  <c r="BE315" i="15"/>
  <c r="BD315" i="15"/>
  <c r="BF315" i="15" s="1"/>
  <c r="AW561" i="15"/>
  <c r="AV561" i="15"/>
  <c r="AX561" i="15" s="1"/>
  <c r="AK930" i="15"/>
  <c r="AJ930" i="15"/>
  <c r="AL930" i="15" s="1"/>
  <c r="AW562" i="15" l="1"/>
  <c r="AV562" i="15"/>
  <c r="AX562" i="15" s="1"/>
  <c r="AO808" i="15"/>
  <c r="AN808" i="15"/>
  <c r="AP808" i="15" s="1"/>
  <c r="AS685" i="15"/>
  <c r="AR685" i="15"/>
  <c r="AT685" i="15" s="1"/>
  <c r="BI193" i="15"/>
  <c r="BH193" i="15"/>
  <c r="BJ193" i="15" s="1"/>
  <c r="AK931" i="15"/>
  <c r="AJ931" i="15"/>
  <c r="AL931" i="15" s="1"/>
  <c r="BE316" i="15"/>
  <c r="BD316" i="15"/>
  <c r="BF316" i="15" s="1"/>
  <c r="BA439" i="15"/>
  <c r="AZ439" i="15"/>
  <c r="BB439" i="15" s="1"/>
  <c r="BM70" i="15"/>
  <c r="BL70" i="15"/>
  <c r="BN70" i="15" s="1"/>
  <c r="BM71" i="15" l="1"/>
  <c r="BL71" i="15"/>
  <c r="BN71" i="15" s="1"/>
  <c r="BE317" i="15"/>
  <c r="BD317" i="15"/>
  <c r="BF317" i="15" s="1"/>
  <c r="BI194" i="15"/>
  <c r="BH194" i="15"/>
  <c r="BJ194" i="15" s="1"/>
  <c r="AS686" i="15"/>
  <c r="AR686" i="15"/>
  <c r="AT686" i="15" s="1"/>
  <c r="AW563" i="15"/>
  <c r="AV563" i="15"/>
  <c r="AX563" i="15" s="1"/>
  <c r="BA440" i="15"/>
  <c r="AZ440" i="15"/>
  <c r="BB440" i="15" s="1"/>
  <c r="AK932" i="15"/>
  <c r="AJ932" i="15"/>
  <c r="AL932" i="15" s="1"/>
  <c r="AO809" i="15"/>
  <c r="AN809" i="15"/>
  <c r="AP809" i="15" s="1"/>
  <c r="AW564" i="15" l="1"/>
  <c r="AV564" i="15"/>
  <c r="AX564" i="15" s="1"/>
  <c r="BI195" i="15"/>
  <c r="BH195" i="15"/>
  <c r="BJ195" i="15" s="1"/>
  <c r="BM72" i="15"/>
  <c r="BL72" i="15"/>
  <c r="BN72" i="15" s="1"/>
  <c r="AO810" i="15"/>
  <c r="AN810" i="15"/>
  <c r="AP810" i="15" s="1"/>
  <c r="AK933" i="15"/>
  <c r="AJ933" i="15"/>
  <c r="AL933" i="15" s="1"/>
  <c r="BA441" i="15"/>
  <c r="AZ441" i="15"/>
  <c r="BB441" i="15" s="1"/>
  <c r="AS687" i="15"/>
  <c r="AR687" i="15"/>
  <c r="AT687" i="15" s="1"/>
  <c r="BE318" i="15"/>
  <c r="BD318" i="15"/>
  <c r="BF318" i="15" s="1"/>
  <c r="AS688" i="15" l="1"/>
  <c r="AR688" i="15"/>
  <c r="AT688" i="15" s="1"/>
  <c r="BA442" i="15"/>
  <c r="AZ442" i="15"/>
  <c r="BB442" i="15" s="1"/>
  <c r="AO811" i="15"/>
  <c r="AN811" i="15"/>
  <c r="AP811" i="15" s="1"/>
  <c r="BM73" i="15"/>
  <c r="BL73" i="15"/>
  <c r="BN73" i="15" s="1"/>
  <c r="AW565" i="15"/>
  <c r="AV565" i="15"/>
  <c r="AX565" i="15" s="1"/>
  <c r="BE319" i="15"/>
  <c r="BD319" i="15"/>
  <c r="BF319" i="15" s="1"/>
  <c r="AK934" i="15"/>
  <c r="AJ934" i="15"/>
  <c r="AL934" i="15" s="1"/>
  <c r="BI196" i="15"/>
  <c r="BH196" i="15"/>
  <c r="BJ196" i="15" s="1"/>
  <c r="BI197" i="15" l="1"/>
  <c r="BH197" i="15"/>
  <c r="BJ197" i="15" s="1"/>
  <c r="BE320" i="15"/>
  <c r="BD320" i="15"/>
  <c r="BF320" i="15" s="1"/>
  <c r="BM74" i="15"/>
  <c r="BL74" i="15"/>
  <c r="BN74" i="15" s="1"/>
  <c r="AO812" i="15"/>
  <c r="AN812" i="15"/>
  <c r="AP812" i="15" s="1"/>
  <c r="AS689" i="15"/>
  <c r="AR689" i="15"/>
  <c r="AT689" i="15" s="1"/>
  <c r="AK935" i="15"/>
  <c r="AJ935" i="15"/>
  <c r="AL935" i="15" s="1"/>
  <c r="AW566" i="15"/>
  <c r="AV566" i="15"/>
  <c r="AX566" i="15" s="1"/>
  <c r="BA443" i="15"/>
  <c r="AZ443" i="15"/>
  <c r="BB443" i="15" s="1"/>
  <c r="AW567" i="15" l="1"/>
  <c r="AV567" i="15"/>
  <c r="AX567" i="15" s="1"/>
  <c r="AS690" i="15"/>
  <c r="AR690" i="15"/>
  <c r="AT690" i="15" s="1"/>
  <c r="BM75" i="15"/>
  <c r="BL75" i="15"/>
  <c r="BN75" i="15" s="1"/>
  <c r="BI198" i="15"/>
  <c r="BH198" i="15"/>
  <c r="BJ198" i="15" s="1"/>
  <c r="BA444" i="15"/>
  <c r="AZ444" i="15"/>
  <c r="BB444" i="15" s="1"/>
  <c r="AK936" i="15"/>
  <c r="AJ936" i="15"/>
  <c r="AL936" i="15" s="1"/>
  <c r="AO813" i="15"/>
  <c r="AN813" i="15"/>
  <c r="AP813" i="15" s="1"/>
  <c r="BE321" i="15"/>
  <c r="BD321" i="15"/>
  <c r="BF321" i="15" s="1"/>
  <c r="AO814" i="15" l="1"/>
  <c r="AN814" i="15"/>
  <c r="AP814" i="15" s="1"/>
  <c r="AK937" i="15"/>
  <c r="AJ937" i="15"/>
  <c r="AL937" i="15" s="1"/>
  <c r="BI199" i="15"/>
  <c r="BH199" i="15"/>
  <c r="BJ199" i="15" s="1"/>
  <c r="BM76" i="15"/>
  <c r="BL76" i="15"/>
  <c r="BN76" i="15" s="1"/>
  <c r="AW568" i="15"/>
  <c r="AV568" i="15"/>
  <c r="AX568" i="15" s="1"/>
  <c r="BE322" i="15"/>
  <c r="BD322" i="15"/>
  <c r="BF322" i="15" s="1"/>
  <c r="BA445" i="15"/>
  <c r="AZ445" i="15"/>
  <c r="BB445" i="15" s="1"/>
  <c r="AS691" i="15"/>
  <c r="AR691" i="15"/>
  <c r="AT691" i="15" s="1"/>
  <c r="BA446" i="15" l="1"/>
  <c r="AZ446" i="15"/>
  <c r="BB446" i="15" s="1"/>
  <c r="AW569" i="15"/>
  <c r="AV569" i="15"/>
  <c r="AX569" i="15" s="1"/>
  <c r="BI200" i="15"/>
  <c r="BH200" i="15"/>
  <c r="BJ200" i="15" s="1"/>
  <c r="AO815" i="15"/>
  <c r="AN815" i="15"/>
  <c r="AP815" i="15" s="1"/>
  <c r="AS692" i="15"/>
  <c r="AR692" i="15"/>
  <c r="AT692" i="15" s="1"/>
  <c r="BE323" i="15"/>
  <c r="BD323" i="15"/>
  <c r="BF323" i="15" s="1"/>
  <c r="BM77" i="15"/>
  <c r="BL77" i="15"/>
  <c r="BN77" i="15" s="1"/>
  <c r="AK938" i="15"/>
  <c r="AJ938" i="15"/>
  <c r="AL938" i="15" s="1"/>
  <c r="AK939" i="15" l="1"/>
  <c r="AJ939" i="15"/>
  <c r="AL939" i="15" s="1"/>
  <c r="BE324" i="15"/>
  <c r="BD324" i="15"/>
  <c r="BF324" i="15" s="1"/>
  <c r="AO816" i="15"/>
  <c r="AN816" i="15"/>
  <c r="AP816" i="15" s="1"/>
  <c r="BI201" i="15"/>
  <c r="BH201" i="15"/>
  <c r="BJ201" i="15" s="1"/>
  <c r="BA447" i="15"/>
  <c r="AZ447" i="15"/>
  <c r="BB447" i="15" s="1"/>
  <c r="BM78" i="15"/>
  <c r="BL78" i="15"/>
  <c r="BN78" i="15" s="1"/>
  <c r="AS693" i="15"/>
  <c r="AR693" i="15"/>
  <c r="AT693" i="15" s="1"/>
  <c r="AW570" i="15"/>
  <c r="AV570" i="15"/>
  <c r="AX570" i="15" s="1"/>
  <c r="AS694" i="15" l="1"/>
  <c r="AR694" i="15"/>
  <c r="AT694" i="15" s="1"/>
  <c r="BA448" i="15"/>
  <c r="AZ448" i="15"/>
  <c r="BB448" i="15" s="1"/>
  <c r="AO817" i="15"/>
  <c r="AN817" i="15"/>
  <c r="AP817" i="15" s="1"/>
  <c r="AK940" i="15"/>
  <c r="AJ940" i="15"/>
  <c r="AL940" i="15" s="1"/>
  <c r="AW571" i="15"/>
  <c r="AV571" i="15"/>
  <c r="AX571" i="15" s="1"/>
  <c r="BM79" i="15"/>
  <c r="BL79" i="15"/>
  <c r="BN79" i="15" s="1"/>
  <c r="BI202" i="15"/>
  <c r="BH202" i="15"/>
  <c r="BJ202" i="15" s="1"/>
  <c r="BE325" i="15"/>
  <c r="BD325" i="15"/>
  <c r="BF325" i="15" s="1"/>
  <c r="BI203" i="15" l="1"/>
  <c r="BH203" i="15"/>
  <c r="BJ203" i="15" s="1"/>
  <c r="AW572" i="15"/>
  <c r="AV572" i="15"/>
  <c r="AX572" i="15" s="1"/>
  <c r="AO818" i="15"/>
  <c r="AN818" i="15"/>
  <c r="AP818" i="15" s="1"/>
  <c r="AS695" i="15"/>
  <c r="AR695" i="15"/>
  <c r="AT695" i="15" s="1"/>
  <c r="BE326" i="15"/>
  <c r="BD326" i="15"/>
  <c r="BF326" i="15" s="1"/>
  <c r="BM80" i="15"/>
  <c r="BL80" i="15"/>
  <c r="BN80" i="15" s="1"/>
  <c r="AK941" i="15"/>
  <c r="AJ941" i="15"/>
  <c r="AL941" i="15" s="1"/>
  <c r="BA449" i="15"/>
  <c r="AZ449" i="15"/>
  <c r="BB449" i="15" s="1"/>
  <c r="AK942" i="15" l="1"/>
  <c r="AJ942" i="15"/>
  <c r="AL942" i="15" s="1"/>
  <c r="BE327" i="15"/>
  <c r="BD327" i="15"/>
  <c r="BF327" i="15" s="1"/>
  <c r="AO819" i="15"/>
  <c r="AN819" i="15"/>
  <c r="AP819" i="15" s="1"/>
  <c r="BI204" i="15"/>
  <c r="BH204" i="15"/>
  <c r="BJ204" i="15" s="1"/>
  <c r="BA450" i="15"/>
  <c r="AZ450" i="15"/>
  <c r="BB450" i="15" s="1"/>
  <c r="BM81" i="15"/>
  <c r="BL81" i="15"/>
  <c r="BN81" i="15" s="1"/>
  <c r="AS696" i="15"/>
  <c r="AR696" i="15"/>
  <c r="AT696" i="15" s="1"/>
  <c r="AW573" i="15"/>
  <c r="AV573" i="15"/>
  <c r="AX573" i="15" s="1"/>
  <c r="AW574" i="15" l="1"/>
  <c r="AV574" i="15"/>
  <c r="AX574" i="15" s="1"/>
  <c r="BM82" i="15"/>
  <c r="BL82" i="15"/>
  <c r="BN82" i="15" s="1"/>
  <c r="BI205" i="15"/>
  <c r="BH205" i="15"/>
  <c r="BJ205" i="15" s="1"/>
  <c r="AO820" i="15"/>
  <c r="AN820" i="15"/>
  <c r="AP820" i="15" s="1"/>
  <c r="AK943" i="15"/>
  <c r="AJ943" i="15"/>
  <c r="AL943" i="15" s="1"/>
  <c r="AS697" i="15"/>
  <c r="AR697" i="15"/>
  <c r="AT697" i="15" s="1"/>
  <c r="BA451" i="15"/>
  <c r="AZ451" i="15"/>
  <c r="BB451" i="15" s="1"/>
  <c r="BE328" i="15"/>
  <c r="BD328" i="15"/>
  <c r="BF328" i="15" s="1"/>
  <c r="BE329" i="15" l="1"/>
  <c r="BD329" i="15"/>
  <c r="BF329" i="15" s="1"/>
  <c r="BA452" i="15"/>
  <c r="AZ452" i="15"/>
  <c r="BB452" i="15" s="1"/>
  <c r="AK944" i="15"/>
  <c r="AJ944" i="15"/>
  <c r="AL944" i="15" s="1"/>
  <c r="BI206" i="15"/>
  <c r="BH206" i="15"/>
  <c r="BJ206" i="15" s="1"/>
  <c r="AW575" i="15"/>
  <c r="AV575" i="15"/>
  <c r="AX575" i="15" s="1"/>
  <c r="AS698" i="15"/>
  <c r="AR698" i="15"/>
  <c r="AT698" i="15" s="1"/>
  <c r="AO821" i="15"/>
  <c r="AN821" i="15"/>
  <c r="AP821" i="15" s="1"/>
  <c r="BM83" i="15"/>
  <c r="BL83" i="15"/>
  <c r="BN83" i="15" s="1"/>
  <c r="AO822" i="15" l="1"/>
  <c r="AN822" i="15"/>
  <c r="AP822" i="15" s="1"/>
  <c r="AW576" i="15"/>
  <c r="AV576" i="15"/>
  <c r="AX576" i="15" s="1"/>
  <c r="AK945" i="15"/>
  <c r="AJ945" i="15"/>
  <c r="AL945" i="15" s="1"/>
  <c r="BE330" i="15"/>
  <c r="BD330" i="15"/>
  <c r="BF330" i="15" s="1"/>
  <c r="BM84" i="15"/>
  <c r="BL84" i="15"/>
  <c r="BN84" i="15" s="1"/>
  <c r="AS699" i="15"/>
  <c r="AR699" i="15"/>
  <c r="AT699" i="15" s="1"/>
  <c r="BI207" i="15"/>
  <c r="BH207" i="15"/>
  <c r="BJ207" i="15" s="1"/>
  <c r="BA453" i="15"/>
  <c r="AZ453" i="15"/>
  <c r="BB453" i="15" s="1"/>
  <c r="BI208" i="15" l="1"/>
  <c r="BH208" i="15"/>
  <c r="BJ208" i="15" s="1"/>
  <c r="BM85" i="15"/>
  <c r="BL85" i="15"/>
  <c r="BN85" i="15" s="1"/>
  <c r="AK946" i="15"/>
  <c r="AJ946" i="15"/>
  <c r="AL946" i="15" s="1"/>
  <c r="AO823" i="15"/>
  <c r="AN823" i="15"/>
  <c r="AP823" i="15" s="1"/>
  <c r="BA454" i="15"/>
  <c r="AZ454" i="15"/>
  <c r="BB454" i="15" s="1"/>
  <c r="AS700" i="15"/>
  <c r="AR700" i="15"/>
  <c r="AT700" i="15" s="1"/>
  <c r="BE331" i="15"/>
  <c r="BD331" i="15"/>
  <c r="BF331" i="15" s="1"/>
  <c r="AW577" i="15"/>
  <c r="AV577" i="15"/>
  <c r="AX577" i="15" s="1"/>
  <c r="BE332" i="15" l="1"/>
  <c r="BD332" i="15"/>
  <c r="BF332" i="15" s="1"/>
  <c r="BA455" i="15"/>
  <c r="AZ455" i="15"/>
  <c r="BB455" i="15" s="1"/>
  <c r="AK947" i="15"/>
  <c r="AJ947" i="15"/>
  <c r="AL947" i="15" s="1"/>
  <c r="BI209" i="15"/>
  <c r="BH209" i="15"/>
  <c r="BJ209" i="15" s="1"/>
  <c r="AW578" i="15"/>
  <c r="AV578" i="15"/>
  <c r="AX578" i="15" s="1"/>
  <c r="AS701" i="15"/>
  <c r="AR701" i="15"/>
  <c r="AT701" i="15" s="1"/>
  <c r="AO824" i="15"/>
  <c r="AN824" i="15"/>
  <c r="AP824" i="15" s="1"/>
  <c r="BM86" i="15"/>
  <c r="BL86" i="15"/>
  <c r="BN86" i="15" s="1"/>
  <c r="AO825" i="15" l="1"/>
  <c r="AN825" i="15"/>
  <c r="AP825" i="15" s="1"/>
  <c r="AW579" i="15"/>
  <c r="AV579" i="15"/>
  <c r="AX579" i="15" s="1"/>
  <c r="AK948" i="15"/>
  <c r="AJ948" i="15"/>
  <c r="AL948" i="15" s="1"/>
  <c r="BE333" i="15"/>
  <c r="BD333" i="15"/>
  <c r="BF333" i="15" s="1"/>
  <c r="BM87" i="15"/>
  <c r="BL87" i="15"/>
  <c r="BN87" i="15" s="1"/>
  <c r="AS702" i="15"/>
  <c r="AR702" i="15"/>
  <c r="AT702" i="15" s="1"/>
  <c r="BI210" i="15"/>
  <c r="BH210" i="15"/>
  <c r="BJ210" i="15" s="1"/>
  <c r="BA456" i="15"/>
  <c r="AZ456" i="15"/>
  <c r="BB456" i="15" s="1"/>
  <c r="BA457" i="15" l="1"/>
  <c r="AZ457" i="15"/>
  <c r="BB457" i="15" s="1"/>
  <c r="AS703" i="15"/>
  <c r="AR703" i="15"/>
  <c r="AT703" i="15" s="1"/>
  <c r="BM88" i="15"/>
  <c r="BL88" i="15"/>
  <c r="BN88" i="15" s="1"/>
  <c r="AK949" i="15"/>
  <c r="AJ949" i="15"/>
  <c r="AL949" i="15" s="1"/>
  <c r="AO826" i="15"/>
  <c r="AN826" i="15"/>
  <c r="AP826" i="15" s="1"/>
  <c r="BI211" i="15"/>
  <c r="BH211" i="15"/>
  <c r="BJ211" i="15" s="1"/>
  <c r="BE334" i="15"/>
  <c r="BD334" i="15"/>
  <c r="BF334" i="15" s="1"/>
  <c r="AW580" i="15"/>
  <c r="AV580" i="15"/>
  <c r="AX580" i="15" s="1"/>
  <c r="AW581" i="15" l="1"/>
  <c r="AV581" i="15"/>
  <c r="AX581" i="15" s="1"/>
  <c r="BI212" i="15"/>
  <c r="BH212" i="15"/>
  <c r="BJ212" i="15" s="1"/>
  <c r="AK950" i="15"/>
  <c r="AJ950" i="15"/>
  <c r="AL950" i="15" s="1"/>
  <c r="BM89" i="15"/>
  <c r="BL89" i="15"/>
  <c r="BN89" i="15" s="1"/>
  <c r="BA458" i="15"/>
  <c r="AZ458" i="15"/>
  <c r="BB458" i="15" s="1"/>
  <c r="BE335" i="15"/>
  <c r="BD335" i="15"/>
  <c r="BF335" i="15" s="1"/>
  <c r="AO827" i="15"/>
  <c r="AN827" i="15"/>
  <c r="AP827" i="15" s="1"/>
  <c r="AS704" i="15"/>
  <c r="AR704" i="15"/>
  <c r="AT704" i="15" s="1"/>
  <c r="AS705" i="15" l="1"/>
  <c r="AR705" i="15"/>
  <c r="AT705" i="15" s="1"/>
  <c r="BE336" i="15"/>
  <c r="BD336" i="15"/>
  <c r="BF336" i="15" s="1"/>
  <c r="BM90" i="15"/>
  <c r="BL90" i="15"/>
  <c r="BN90" i="15" s="1"/>
  <c r="AK951" i="15"/>
  <c r="AJ951" i="15"/>
  <c r="AL951" i="15" s="1"/>
  <c r="AW582" i="15"/>
  <c r="AV582" i="15"/>
  <c r="AX582" i="15" s="1"/>
  <c r="AO828" i="15"/>
  <c r="AN828" i="15"/>
  <c r="AP828" i="15" s="1"/>
  <c r="BA459" i="15"/>
  <c r="AZ459" i="15"/>
  <c r="BB459" i="15" s="1"/>
  <c r="BI213" i="15"/>
  <c r="BH213" i="15"/>
  <c r="BJ213" i="15" s="1"/>
  <c r="BI214" i="15" l="1"/>
  <c r="BH214" i="15"/>
  <c r="BJ214" i="15" s="1"/>
  <c r="AO829" i="15"/>
  <c r="AN829" i="15"/>
  <c r="AP829" i="15" s="1"/>
  <c r="AW583" i="15"/>
  <c r="AV583" i="15"/>
  <c r="AX583" i="15" s="1"/>
  <c r="BM91" i="15"/>
  <c r="BL91" i="15"/>
  <c r="BN91" i="15" s="1"/>
  <c r="AS706" i="15"/>
  <c r="AR706" i="15"/>
  <c r="AT706" i="15" s="1"/>
  <c r="BA460" i="15"/>
  <c r="AZ460" i="15"/>
  <c r="BB460" i="15" s="1"/>
  <c r="AK952" i="15"/>
  <c r="AJ952" i="15"/>
  <c r="AL952" i="15" s="1"/>
  <c r="BE337" i="15"/>
  <c r="BD337" i="15"/>
  <c r="BF337" i="15" s="1"/>
  <c r="AK953" i="15" l="1"/>
  <c r="AJ953" i="15"/>
  <c r="AL953" i="15" s="1"/>
  <c r="AS707" i="15"/>
  <c r="AR707" i="15"/>
  <c r="AT707" i="15" s="1"/>
  <c r="AW584" i="15"/>
  <c r="AV584" i="15"/>
  <c r="AX584" i="15" s="1"/>
  <c r="BI215" i="15"/>
  <c r="BH215" i="15"/>
  <c r="BJ215" i="15" s="1"/>
  <c r="BE338" i="15"/>
  <c r="BD338" i="15"/>
  <c r="BF338" i="15" s="1"/>
  <c r="BA461" i="15"/>
  <c r="AZ461" i="15"/>
  <c r="BB461" i="15" s="1"/>
  <c r="BM92" i="15"/>
  <c r="BL92" i="15"/>
  <c r="BN92" i="15" s="1"/>
  <c r="AO830" i="15"/>
  <c r="AN830" i="15"/>
  <c r="AP830" i="15" s="1"/>
  <c r="AO831" i="15" l="1"/>
  <c r="AN831" i="15"/>
  <c r="AP831" i="15" s="1"/>
  <c r="BA462" i="15"/>
  <c r="AZ462" i="15"/>
  <c r="BB462" i="15" s="1"/>
  <c r="BI216" i="15"/>
  <c r="BH216" i="15"/>
  <c r="BJ216" i="15" s="1"/>
  <c r="AW585" i="15"/>
  <c r="AV585" i="15"/>
  <c r="AX585" i="15" s="1"/>
  <c r="AK954" i="15"/>
  <c r="AJ954" i="15"/>
  <c r="AL954" i="15" s="1"/>
  <c r="BM93" i="15"/>
  <c r="BL93" i="15"/>
  <c r="BN93" i="15" s="1"/>
  <c r="BE339" i="15"/>
  <c r="BD339" i="15"/>
  <c r="BF339" i="15" s="1"/>
  <c r="AS708" i="15"/>
  <c r="AR708" i="15"/>
  <c r="AT708" i="15" s="1"/>
  <c r="BE340" i="15" l="1"/>
  <c r="BD340" i="15"/>
  <c r="BF340" i="15" s="1"/>
  <c r="AK955" i="15"/>
  <c r="AJ955" i="15"/>
  <c r="AL955" i="15" s="1"/>
  <c r="BI217" i="15"/>
  <c r="BH217" i="15"/>
  <c r="BJ217" i="15" s="1"/>
  <c r="AO832" i="15"/>
  <c r="AN832" i="15"/>
  <c r="AP832" i="15" s="1"/>
  <c r="AS709" i="15"/>
  <c r="AR709" i="15"/>
  <c r="AT709" i="15" s="1"/>
  <c r="BM94" i="15"/>
  <c r="BL94" i="15"/>
  <c r="BN94" i="15" s="1"/>
  <c r="AW586" i="15"/>
  <c r="AV586" i="15"/>
  <c r="AX586" i="15" s="1"/>
  <c r="BA463" i="15"/>
  <c r="AZ463" i="15"/>
  <c r="BB463" i="15" s="1"/>
  <c r="BM95" i="15" l="1"/>
  <c r="BL95" i="15"/>
  <c r="BN95" i="15" s="1"/>
  <c r="AO833" i="15"/>
  <c r="AN833" i="15"/>
  <c r="AP833" i="15" s="1"/>
  <c r="BI218" i="15"/>
  <c r="BH218" i="15"/>
  <c r="BJ218" i="15" s="1"/>
  <c r="BE341" i="15"/>
  <c r="BD341" i="15"/>
  <c r="BF341" i="15" s="1"/>
  <c r="BA464" i="15"/>
  <c r="AZ464" i="15"/>
  <c r="BB464" i="15" s="1"/>
  <c r="AW587" i="15"/>
  <c r="AV587" i="15"/>
  <c r="AX587" i="15" s="1"/>
  <c r="AS710" i="15"/>
  <c r="AR710" i="15"/>
  <c r="AT710" i="15" s="1"/>
  <c r="AK956" i="15"/>
  <c r="AJ956" i="15"/>
  <c r="AL956" i="15" s="1"/>
  <c r="AS711" i="15" l="1"/>
  <c r="AR711" i="15"/>
  <c r="AT711" i="15" s="1"/>
  <c r="BA465" i="15"/>
  <c r="AZ465" i="15"/>
  <c r="BB465" i="15" s="1"/>
  <c r="BI219" i="15"/>
  <c r="BH219" i="15"/>
  <c r="BJ219" i="15" s="1"/>
  <c r="BM96" i="15"/>
  <c r="BL96" i="15"/>
  <c r="BN96" i="15" s="1"/>
  <c r="AK957" i="15"/>
  <c r="AJ957" i="15"/>
  <c r="AL957" i="15" s="1"/>
  <c r="AW588" i="15"/>
  <c r="AV588" i="15"/>
  <c r="AX588" i="15" s="1"/>
  <c r="BE342" i="15"/>
  <c r="BD342" i="15"/>
  <c r="BF342" i="15" s="1"/>
  <c r="AO834" i="15"/>
  <c r="AN834" i="15"/>
  <c r="AP834" i="15" s="1"/>
  <c r="AO835" i="15" l="1"/>
  <c r="AN835" i="15"/>
  <c r="AP835" i="15" s="1"/>
  <c r="AW589" i="15"/>
  <c r="AV589" i="15"/>
  <c r="AX589" i="15" s="1"/>
  <c r="BM97" i="15"/>
  <c r="BL97" i="15"/>
  <c r="BN97" i="15" s="1"/>
  <c r="BI220" i="15"/>
  <c r="BH220" i="15"/>
  <c r="BJ220" i="15" s="1"/>
  <c r="AS712" i="15"/>
  <c r="AR712" i="15"/>
  <c r="AT712" i="15" s="1"/>
  <c r="BE343" i="15"/>
  <c r="BD343" i="15"/>
  <c r="BF343" i="15" s="1"/>
  <c r="AK958" i="15"/>
  <c r="AJ958" i="15"/>
  <c r="AL958" i="15" s="1"/>
  <c r="BA466" i="15"/>
  <c r="AZ466" i="15"/>
  <c r="BB466" i="15" s="1"/>
  <c r="BE344" i="15" l="1"/>
  <c r="BD344" i="15"/>
  <c r="BF344" i="15" s="1"/>
  <c r="AS713" i="15"/>
  <c r="AR713" i="15"/>
  <c r="AT713" i="15" s="1"/>
  <c r="BM98" i="15"/>
  <c r="BL98" i="15"/>
  <c r="BN98" i="15" s="1"/>
  <c r="AO836" i="15"/>
  <c r="AN836" i="15"/>
  <c r="AP836" i="15" s="1"/>
  <c r="BA467" i="15"/>
  <c r="AZ467" i="15"/>
  <c r="BB467" i="15" s="1"/>
  <c r="AK959" i="15"/>
  <c r="AJ959" i="15"/>
  <c r="AL959" i="15" s="1"/>
  <c r="BI221" i="15"/>
  <c r="BH221" i="15"/>
  <c r="BJ221" i="15" s="1"/>
  <c r="AW590" i="15"/>
  <c r="AV590" i="15"/>
  <c r="AX590" i="15" s="1"/>
  <c r="AW591" i="15" l="1"/>
  <c r="AV591" i="15"/>
  <c r="AX591" i="15" s="1"/>
  <c r="AK960" i="15"/>
  <c r="AJ960" i="15"/>
  <c r="AL960" i="15" s="1"/>
  <c r="AO837" i="15"/>
  <c r="AN837" i="15"/>
  <c r="AP837" i="15" s="1"/>
  <c r="BM99" i="15"/>
  <c r="BL99" i="15"/>
  <c r="BN99" i="15" s="1"/>
  <c r="BE345" i="15"/>
  <c r="BD345" i="15"/>
  <c r="BF345" i="15" s="1"/>
  <c r="BI222" i="15"/>
  <c r="BH222" i="15"/>
  <c r="BJ222" i="15" s="1"/>
  <c r="BA468" i="15"/>
  <c r="AZ468" i="15"/>
  <c r="BB468" i="15" s="1"/>
  <c r="AS714" i="15"/>
  <c r="AR714" i="15"/>
  <c r="AT714" i="15" s="1"/>
  <c r="AS715" i="15" l="1"/>
  <c r="AR715" i="15"/>
  <c r="AT715" i="15" s="1"/>
  <c r="BI223" i="15"/>
  <c r="BH223" i="15"/>
  <c r="BJ223" i="15" s="1"/>
  <c r="BM100" i="15"/>
  <c r="BL100" i="15"/>
  <c r="BN100" i="15" s="1"/>
  <c r="AO838" i="15"/>
  <c r="AN838" i="15"/>
  <c r="AP838" i="15" s="1"/>
  <c r="AW592" i="15"/>
  <c r="AV592" i="15"/>
  <c r="AX592" i="15" s="1"/>
  <c r="BA469" i="15"/>
  <c r="AZ469" i="15"/>
  <c r="BB469" i="15" s="1"/>
  <c r="BE346" i="15"/>
  <c r="BD346" i="15"/>
  <c r="BF346" i="15" s="1"/>
  <c r="AK961" i="15"/>
  <c r="AJ961" i="15"/>
  <c r="AL961" i="15" s="1"/>
  <c r="AK962" i="15" l="1"/>
  <c r="AJ962" i="15"/>
  <c r="AL962" i="15" s="1"/>
  <c r="BA470" i="15"/>
  <c r="AZ470" i="15"/>
  <c r="BB470" i="15" s="1"/>
  <c r="AW593" i="15"/>
  <c r="AV593" i="15"/>
  <c r="AX593" i="15" s="1"/>
  <c r="BM101" i="15"/>
  <c r="BL101" i="15"/>
  <c r="BN101" i="15" s="1"/>
  <c r="AS716" i="15"/>
  <c r="AR716" i="15"/>
  <c r="AT716" i="15" s="1"/>
  <c r="BE347" i="15"/>
  <c r="BD347" i="15"/>
  <c r="BF347" i="15" s="1"/>
  <c r="AO839" i="15"/>
  <c r="AN839" i="15"/>
  <c r="AP839" i="15" s="1"/>
  <c r="BI224" i="15"/>
  <c r="BH224" i="15"/>
  <c r="BJ224" i="15" s="1"/>
  <c r="AO840" i="15" l="1"/>
  <c r="AN840" i="15"/>
  <c r="AP840" i="15" s="1"/>
  <c r="AS717" i="15"/>
  <c r="AR717" i="15"/>
  <c r="AT717" i="15" s="1"/>
  <c r="AW594" i="15"/>
  <c r="AV594" i="15"/>
  <c r="AX594" i="15" s="1"/>
  <c r="AK963" i="15"/>
  <c r="AJ963" i="15"/>
  <c r="AL963" i="15" s="1"/>
  <c r="BI225" i="15"/>
  <c r="BH225" i="15"/>
  <c r="BJ225" i="15" s="1"/>
  <c r="BE348" i="15"/>
  <c r="BD348" i="15"/>
  <c r="BF348" i="15" s="1"/>
  <c r="BM102" i="15"/>
  <c r="BL102" i="15"/>
  <c r="BN102" i="15" s="1"/>
  <c r="BA471" i="15"/>
  <c r="AZ471" i="15"/>
  <c r="BB471" i="15" s="1"/>
  <c r="BA472" i="15" l="1"/>
  <c r="AZ472" i="15"/>
  <c r="BB472" i="15" s="1"/>
  <c r="BE349" i="15"/>
  <c r="BD349" i="15"/>
  <c r="BF349" i="15" s="1"/>
  <c r="AK964" i="15"/>
  <c r="AJ964" i="15"/>
  <c r="AL964" i="15" s="1"/>
  <c r="AW595" i="15"/>
  <c r="AV595" i="15"/>
  <c r="AX595" i="15" s="1"/>
  <c r="AO841" i="15"/>
  <c r="AN841" i="15"/>
  <c r="AP841" i="15" s="1"/>
  <c r="BM103" i="15"/>
  <c r="BL103" i="15"/>
  <c r="BN103" i="15" s="1"/>
  <c r="BI226" i="15"/>
  <c r="BH226" i="15"/>
  <c r="BJ226" i="15" s="1"/>
  <c r="AS718" i="15"/>
  <c r="AR718" i="15"/>
  <c r="AT718" i="15" s="1"/>
  <c r="AS719" i="15" l="1"/>
  <c r="AR719" i="15"/>
  <c r="AT719" i="15" s="1"/>
  <c r="BM104" i="15"/>
  <c r="BL104" i="15"/>
  <c r="BN104" i="15" s="1"/>
  <c r="AO842" i="15"/>
  <c r="AN842" i="15"/>
  <c r="AP842" i="15" s="1"/>
  <c r="AK965" i="15"/>
  <c r="AJ965" i="15"/>
  <c r="AL965" i="15" s="1"/>
  <c r="BA473" i="15"/>
  <c r="AZ473" i="15"/>
  <c r="BB473" i="15" s="1"/>
  <c r="BI227" i="15"/>
  <c r="BH227" i="15"/>
  <c r="BJ227" i="15" s="1"/>
  <c r="AW596" i="15"/>
  <c r="AV596" i="15"/>
  <c r="AX596" i="15" s="1"/>
  <c r="BE350" i="15"/>
  <c r="BD350" i="15"/>
  <c r="BF350" i="15" s="1"/>
  <c r="BE351" i="15" l="1"/>
  <c r="BD351" i="15"/>
  <c r="BF351" i="15" s="1"/>
  <c r="BI228" i="15"/>
  <c r="BH228" i="15"/>
  <c r="BJ228" i="15" s="1"/>
  <c r="BA474" i="15"/>
  <c r="AZ474" i="15"/>
  <c r="BB474" i="15" s="1"/>
  <c r="AO843" i="15"/>
  <c r="AN843" i="15"/>
  <c r="AP843" i="15" s="1"/>
  <c r="AS720" i="15"/>
  <c r="AR720" i="15"/>
  <c r="AT720" i="15" s="1"/>
  <c r="AW597" i="15"/>
  <c r="AV597" i="15"/>
  <c r="AX597" i="15" s="1"/>
  <c r="AK966" i="15"/>
  <c r="AJ966" i="15"/>
  <c r="AL966" i="15" s="1"/>
  <c r="BM105" i="15"/>
  <c r="BL105" i="15"/>
  <c r="BN105" i="15" s="1"/>
  <c r="BM106" i="15" l="1"/>
  <c r="BL106" i="15"/>
  <c r="BN106" i="15" s="1"/>
  <c r="AW598" i="15"/>
  <c r="AV598" i="15"/>
  <c r="AX598" i="15" s="1"/>
  <c r="AS721" i="15"/>
  <c r="AR721" i="15"/>
  <c r="AT721" i="15" s="1"/>
  <c r="BA475" i="15"/>
  <c r="AZ475" i="15"/>
  <c r="BB475" i="15" s="1"/>
  <c r="BE352" i="15"/>
  <c r="BD352" i="15"/>
  <c r="BF352" i="15" s="1"/>
  <c r="AK967" i="15"/>
  <c r="AJ967" i="15"/>
  <c r="AL967" i="15" s="1"/>
  <c r="AO844" i="15"/>
  <c r="AN844" i="15"/>
  <c r="AP844" i="15" s="1"/>
  <c r="BI229" i="15"/>
  <c r="BH229" i="15"/>
  <c r="BJ229" i="15" s="1"/>
  <c r="BI230" i="15" l="1"/>
  <c r="BH230" i="15"/>
  <c r="BJ230" i="15" s="1"/>
  <c r="AK968" i="15"/>
  <c r="AJ968" i="15"/>
  <c r="AL968" i="15" s="1"/>
  <c r="BE353" i="15"/>
  <c r="BD353" i="15"/>
  <c r="BF353" i="15" s="1"/>
  <c r="AS722" i="15"/>
  <c r="AR722" i="15"/>
  <c r="AT722" i="15" s="1"/>
  <c r="BM107" i="15"/>
  <c r="BL107" i="15"/>
  <c r="BN107" i="15" s="1"/>
  <c r="AO845" i="15"/>
  <c r="AN845" i="15"/>
  <c r="AP845" i="15" s="1"/>
  <c r="BA476" i="15"/>
  <c r="AZ476" i="15"/>
  <c r="BB476" i="15" s="1"/>
  <c r="AW599" i="15"/>
  <c r="AV599" i="15"/>
  <c r="AX599" i="15" s="1"/>
  <c r="BA477" i="15" l="1"/>
  <c r="AZ477" i="15"/>
  <c r="BB477" i="15" s="1"/>
  <c r="BM108" i="15"/>
  <c r="BL108" i="15"/>
  <c r="BN108" i="15" s="1"/>
  <c r="BE354" i="15"/>
  <c r="BD354" i="15"/>
  <c r="BF354" i="15" s="1"/>
  <c r="BI231" i="15"/>
  <c r="BH231" i="15"/>
  <c r="BJ231" i="15" s="1"/>
  <c r="AW600" i="15"/>
  <c r="AV600" i="15"/>
  <c r="AX600" i="15" s="1"/>
  <c r="AO846" i="15"/>
  <c r="AN846" i="15"/>
  <c r="AP846" i="15" s="1"/>
  <c r="AS723" i="15"/>
  <c r="AR723" i="15"/>
  <c r="AT723" i="15" s="1"/>
  <c r="AK969" i="15"/>
  <c r="AJ969" i="15"/>
  <c r="AL969" i="15" s="1"/>
  <c r="AK970" i="15" l="1"/>
  <c r="AJ970" i="15"/>
  <c r="AL970" i="15" s="1"/>
  <c r="AO847" i="15"/>
  <c r="AN847" i="15"/>
  <c r="AP847" i="15" s="1"/>
  <c r="BI232" i="15"/>
  <c r="BH232" i="15"/>
  <c r="BJ232" i="15" s="1"/>
  <c r="BE355" i="15"/>
  <c r="BD355" i="15"/>
  <c r="BF355" i="15" s="1"/>
  <c r="BA478" i="15"/>
  <c r="AZ478" i="15"/>
  <c r="BB478" i="15" s="1"/>
  <c r="AS724" i="15"/>
  <c r="AR724" i="15"/>
  <c r="AT724" i="15" s="1"/>
  <c r="AW601" i="15"/>
  <c r="AV601" i="15"/>
  <c r="AX601" i="15" s="1"/>
  <c r="BM109" i="15"/>
  <c r="BL109" i="15"/>
  <c r="BN109" i="15" s="1"/>
  <c r="AW602" i="15" l="1"/>
  <c r="AV602" i="15"/>
  <c r="AX602" i="15" s="1"/>
  <c r="BA479" i="15"/>
  <c r="AZ479" i="15"/>
  <c r="BB479" i="15" s="1"/>
  <c r="BI233" i="15"/>
  <c r="BH233" i="15"/>
  <c r="BJ233" i="15" s="1"/>
  <c r="AK971" i="15"/>
  <c r="AJ971" i="15"/>
  <c r="AL971" i="15" s="1"/>
  <c r="BM110" i="15"/>
  <c r="BL110" i="15"/>
  <c r="BN110" i="15" s="1"/>
  <c r="AS725" i="15"/>
  <c r="AR725" i="15"/>
  <c r="AT725" i="15" s="1"/>
  <c r="BE356" i="15"/>
  <c r="BD356" i="15"/>
  <c r="BF356" i="15" s="1"/>
  <c r="AO848" i="15"/>
  <c r="AN848" i="15"/>
  <c r="AP848" i="15" s="1"/>
  <c r="BE357" i="15" l="1"/>
  <c r="BD357" i="15"/>
  <c r="BF357" i="15" s="1"/>
  <c r="BM111" i="15"/>
  <c r="BL111" i="15"/>
  <c r="BN111" i="15" s="1"/>
  <c r="BI234" i="15"/>
  <c r="BH234" i="15"/>
  <c r="BJ234" i="15" s="1"/>
  <c r="AW603" i="15"/>
  <c r="AV603" i="15"/>
  <c r="AX603" i="15" s="1"/>
  <c r="AO849" i="15"/>
  <c r="AN849" i="15"/>
  <c r="AP849" i="15" s="1"/>
  <c r="AS726" i="15"/>
  <c r="AR726" i="15"/>
  <c r="AT726" i="15" s="1"/>
  <c r="AK972" i="15"/>
  <c r="AJ972" i="15"/>
  <c r="AL972" i="15" s="1"/>
  <c r="BA480" i="15"/>
  <c r="AZ480" i="15"/>
  <c r="BB480" i="15" s="1"/>
  <c r="BA481" i="15" l="1"/>
  <c r="AZ481" i="15"/>
  <c r="BB481" i="15" s="1"/>
  <c r="AS727" i="15"/>
  <c r="AR727" i="15"/>
  <c r="AT727" i="15" s="1"/>
  <c r="AW604" i="15"/>
  <c r="AV604" i="15"/>
  <c r="AX604" i="15" s="1"/>
  <c r="BI235" i="15"/>
  <c r="BH235" i="15"/>
  <c r="BJ235" i="15" s="1"/>
  <c r="BE358" i="15"/>
  <c r="BD358" i="15"/>
  <c r="BF358" i="15" s="1"/>
  <c r="AK973" i="15"/>
  <c r="AJ973" i="15"/>
  <c r="AL973" i="15" s="1"/>
  <c r="AO850" i="15"/>
  <c r="AN850" i="15"/>
  <c r="AP850" i="15" s="1"/>
  <c r="BM112" i="15"/>
  <c r="BL112" i="15"/>
  <c r="BN112" i="15" s="1"/>
  <c r="AO851" i="15" l="1"/>
  <c r="AN851" i="15"/>
  <c r="AP851" i="15" s="1"/>
  <c r="BE359" i="15"/>
  <c r="BD359" i="15"/>
  <c r="BF359" i="15" s="1"/>
  <c r="AW605" i="15"/>
  <c r="AV605" i="15"/>
  <c r="AX605" i="15" s="1"/>
  <c r="BA482" i="15"/>
  <c r="AZ482" i="15"/>
  <c r="BB482" i="15" s="1"/>
  <c r="BM113" i="15"/>
  <c r="BL113" i="15"/>
  <c r="BN113" i="15" s="1"/>
  <c r="AK974" i="15"/>
  <c r="AJ974" i="15"/>
  <c r="AL974" i="15" s="1"/>
  <c r="BI236" i="15"/>
  <c r="BH236" i="15"/>
  <c r="BJ236" i="15" s="1"/>
  <c r="AS728" i="15"/>
  <c r="AR728" i="15"/>
  <c r="AT728" i="15" s="1"/>
  <c r="BI237" i="15" l="1"/>
  <c r="BH237" i="15"/>
  <c r="BJ237" i="15" s="1"/>
  <c r="BM114" i="15"/>
  <c r="BL114" i="15"/>
  <c r="BN114" i="15" s="1"/>
  <c r="AW606" i="15"/>
  <c r="AV606" i="15"/>
  <c r="AX606" i="15" s="1"/>
  <c r="AO852" i="15"/>
  <c r="AN852" i="15"/>
  <c r="AP852" i="15" s="1"/>
  <c r="AS729" i="15"/>
  <c r="AR729" i="15"/>
  <c r="AT729" i="15" s="1"/>
  <c r="AK975" i="15"/>
  <c r="AJ975" i="15"/>
  <c r="AL975" i="15" s="1"/>
  <c r="BA483" i="15"/>
  <c r="AZ483" i="15"/>
  <c r="BB483" i="15" s="1"/>
  <c r="BE360" i="15"/>
  <c r="BD360" i="15"/>
  <c r="BF360" i="15" s="1"/>
  <c r="BA484" i="15" l="1"/>
  <c r="AZ484" i="15"/>
  <c r="BB484" i="15" s="1"/>
  <c r="AS730" i="15"/>
  <c r="AR730" i="15"/>
  <c r="AT730" i="15" s="1"/>
  <c r="AW607" i="15"/>
  <c r="AV607" i="15"/>
  <c r="AX607" i="15" s="1"/>
  <c r="BI238" i="15"/>
  <c r="BH238" i="15"/>
  <c r="BJ238" i="15" s="1"/>
  <c r="BE361" i="15"/>
  <c r="BD361" i="15"/>
  <c r="BF361" i="15" s="1"/>
  <c r="AK976" i="15"/>
  <c r="AJ976" i="15"/>
  <c r="AL976" i="15" s="1"/>
  <c r="AO853" i="15"/>
  <c r="AN853" i="15"/>
  <c r="AP853" i="15" s="1"/>
  <c r="BM115" i="15"/>
  <c r="BL115" i="15"/>
  <c r="BN115" i="15" s="1"/>
  <c r="BM116" i="15" l="1"/>
  <c r="BL116" i="15"/>
  <c r="BN116" i="15" s="1"/>
  <c r="AK977" i="15"/>
  <c r="AJ977" i="15"/>
  <c r="AL977" i="15" s="1"/>
  <c r="BI239" i="15"/>
  <c r="BH239" i="15"/>
  <c r="BJ239" i="15" s="1"/>
  <c r="AW608" i="15"/>
  <c r="AV608" i="15"/>
  <c r="AX608" i="15" s="1"/>
  <c r="BA485" i="15"/>
  <c r="AZ485" i="15"/>
  <c r="BB485" i="15" s="1"/>
  <c r="AO854" i="15"/>
  <c r="AN854" i="15"/>
  <c r="AP854" i="15" s="1"/>
  <c r="BE362" i="15"/>
  <c r="BD362" i="15"/>
  <c r="BF362" i="15" s="1"/>
  <c r="AS731" i="15"/>
  <c r="AR731" i="15"/>
  <c r="AT731" i="15" s="1"/>
  <c r="AS732" i="15" l="1"/>
  <c r="AR732" i="15"/>
  <c r="AT732" i="15" s="1"/>
  <c r="AO855" i="15"/>
  <c r="AN855" i="15"/>
  <c r="AP855" i="15" s="1"/>
  <c r="AW609" i="15"/>
  <c r="AV609" i="15"/>
  <c r="AX609" i="15" s="1"/>
  <c r="BI240" i="15"/>
  <c r="BH240" i="15"/>
  <c r="BJ240" i="15" s="1"/>
  <c r="BM117" i="15"/>
  <c r="BL117" i="15"/>
  <c r="BN117" i="15" s="1"/>
  <c r="BE363" i="15"/>
  <c r="BD363" i="15"/>
  <c r="BF363" i="15" s="1"/>
  <c r="BA486" i="15"/>
  <c r="AZ486" i="15"/>
  <c r="BB486" i="15" s="1"/>
  <c r="AK978" i="15"/>
  <c r="AJ978" i="15"/>
  <c r="AL978" i="15" s="1"/>
  <c r="BA487" i="15" l="1"/>
  <c r="AZ487" i="15"/>
  <c r="BB487" i="15" s="1"/>
  <c r="BM118" i="15"/>
  <c r="BL118" i="15"/>
  <c r="BN118" i="15" s="1"/>
  <c r="AW610" i="15"/>
  <c r="AV610" i="15"/>
  <c r="AX610" i="15" s="1"/>
  <c r="AS733" i="15"/>
  <c r="AR733" i="15"/>
  <c r="AT733" i="15" s="1"/>
  <c r="AK979" i="15"/>
  <c r="AJ979" i="15"/>
  <c r="AL979" i="15" s="1"/>
  <c r="BE364" i="15"/>
  <c r="BD364" i="15"/>
  <c r="BF364" i="15" s="1"/>
  <c r="BI241" i="15"/>
  <c r="BH241" i="15"/>
  <c r="BJ241" i="15" s="1"/>
  <c r="AO856" i="15"/>
  <c r="AN856" i="15"/>
  <c r="AP856" i="15" s="1"/>
  <c r="AO857" i="15" l="1"/>
  <c r="AN857" i="15"/>
  <c r="AP857" i="15" s="1"/>
  <c r="BE365" i="15"/>
  <c r="BD365" i="15"/>
  <c r="BF365" i="15" s="1"/>
  <c r="AS734" i="15"/>
  <c r="AR734" i="15"/>
  <c r="AT734" i="15" s="1"/>
  <c r="AW611" i="15"/>
  <c r="AV611" i="15"/>
  <c r="AX611" i="15" s="1"/>
  <c r="BA488" i="15"/>
  <c r="AZ488" i="15"/>
  <c r="BB488" i="15" s="1"/>
  <c r="BI242" i="15"/>
  <c r="BH242" i="15"/>
  <c r="BJ242" i="15" s="1"/>
  <c r="AK980" i="15"/>
  <c r="AJ980" i="15"/>
  <c r="AL980" i="15" s="1"/>
  <c r="BM119" i="15"/>
  <c r="BL119" i="15"/>
  <c r="BN119" i="15" s="1"/>
  <c r="AK981" i="15" l="1"/>
  <c r="AJ981" i="15"/>
  <c r="AL981" i="15" s="1"/>
  <c r="BA489" i="15"/>
  <c r="AZ489" i="15"/>
  <c r="BB489" i="15" s="1"/>
  <c r="AS735" i="15"/>
  <c r="AR735" i="15"/>
  <c r="AT735" i="15" s="1"/>
  <c r="AO858" i="15"/>
  <c r="AN858" i="15"/>
  <c r="AP858" i="15" s="1"/>
  <c r="BM120" i="15"/>
  <c r="BL120" i="15"/>
  <c r="BN120" i="15" s="1"/>
  <c r="BI243" i="15"/>
  <c r="BH243" i="15"/>
  <c r="BJ243" i="15" s="1"/>
  <c r="AW612" i="15"/>
  <c r="AV612" i="15"/>
  <c r="AX612" i="15" s="1"/>
  <c r="BE366" i="15"/>
  <c r="BD366" i="15"/>
  <c r="BF366" i="15" s="1"/>
  <c r="BE367" i="15" l="1"/>
  <c r="BD367" i="15"/>
  <c r="BF367" i="15" s="1"/>
  <c r="AW613" i="15"/>
  <c r="AV613" i="15"/>
  <c r="AX613" i="15" s="1"/>
  <c r="BM121" i="15"/>
  <c r="BL121" i="15"/>
  <c r="BN121" i="15" s="1"/>
  <c r="AS736" i="15"/>
  <c r="AR736" i="15"/>
  <c r="AT736" i="15" s="1"/>
  <c r="AK982" i="15"/>
  <c r="AJ982" i="15"/>
  <c r="AL982" i="15" s="1"/>
  <c r="BI244" i="15"/>
  <c r="BH244" i="15"/>
  <c r="BJ244" i="15" s="1"/>
  <c r="AO859" i="15"/>
  <c r="AN859" i="15"/>
  <c r="AP859" i="15" s="1"/>
  <c r="BA490" i="15"/>
  <c r="AZ490" i="15"/>
  <c r="BB490" i="15" s="1"/>
  <c r="AO860" i="15" l="1"/>
  <c r="AN860" i="15"/>
  <c r="AP860" i="15" s="1"/>
  <c r="AK983" i="15"/>
  <c r="AJ983" i="15"/>
  <c r="AL983" i="15" s="1"/>
  <c r="BM122" i="15"/>
  <c r="BL122" i="15"/>
  <c r="BN122" i="15" s="1"/>
  <c r="BE368" i="15"/>
  <c r="BD368" i="15"/>
  <c r="BF368" i="15" s="1"/>
  <c r="BA491" i="15"/>
  <c r="AZ491" i="15"/>
  <c r="BB491" i="15" s="1"/>
  <c r="BI245" i="15"/>
  <c r="BH245" i="15"/>
  <c r="BJ245" i="15" s="1"/>
  <c r="AS737" i="15"/>
  <c r="AR737" i="15"/>
  <c r="AT737" i="15" s="1"/>
  <c r="AW614" i="15"/>
  <c r="AV614" i="15"/>
  <c r="AX614" i="15" s="1"/>
  <c r="AS738" i="15" l="1"/>
  <c r="AR738" i="15"/>
  <c r="AT738" i="15" s="1"/>
  <c r="BA492" i="15"/>
  <c r="AZ492" i="15"/>
  <c r="BB492" i="15" s="1"/>
  <c r="BM123" i="15"/>
  <c r="BL123" i="15"/>
  <c r="BN123" i="15" s="1"/>
  <c r="AO861" i="15"/>
  <c r="AN861" i="15"/>
  <c r="AP861" i="15" s="1"/>
  <c r="AW615" i="15"/>
  <c r="AV615" i="15"/>
  <c r="AX615" i="15" s="1"/>
  <c r="BI246" i="15"/>
  <c r="BH246" i="15"/>
  <c r="BJ246" i="15" s="1"/>
  <c r="BE369" i="15"/>
  <c r="BD369" i="15"/>
  <c r="BF369" i="15" s="1"/>
  <c r="AK984" i="15"/>
  <c r="AJ984" i="15"/>
  <c r="AL984" i="15" s="1"/>
  <c r="AK985" i="15" l="1"/>
  <c r="AJ985" i="15"/>
  <c r="AL985" i="15" s="1"/>
  <c r="BI247" i="15"/>
  <c r="BH247" i="15"/>
  <c r="BJ247" i="15" s="1"/>
  <c r="AO862" i="15"/>
  <c r="AN862" i="15"/>
  <c r="AP862" i="15" s="1"/>
  <c r="BM124" i="15"/>
  <c r="BL124" i="15"/>
  <c r="BN124" i="15" s="1"/>
  <c r="AS739" i="15"/>
  <c r="AR739" i="15"/>
  <c r="AT739" i="15" s="1"/>
  <c r="BE370" i="15"/>
  <c r="BD370" i="15"/>
  <c r="BF370" i="15" s="1"/>
  <c r="AW616" i="15"/>
  <c r="AV616" i="15"/>
  <c r="AX616" i="15" s="1"/>
  <c r="BA493" i="15"/>
  <c r="AZ493" i="15"/>
  <c r="BB493" i="15" s="1"/>
  <c r="BA494" i="15" l="1"/>
  <c r="AZ494" i="15"/>
  <c r="BB494" i="15" s="1"/>
  <c r="BE371" i="15"/>
  <c r="BD371" i="15"/>
  <c r="BF371" i="15" s="1"/>
  <c r="BM125" i="15"/>
  <c r="BL125" i="15"/>
  <c r="BN125" i="15" s="1"/>
  <c r="AO863" i="15"/>
  <c r="AN863" i="15"/>
  <c r="AP863" i="15" s="1"/>
  <c r="AK986" i="15"/>
  <c r="AJ986" i="15"/>
  <c r="AL986" i="15" s="1"/>
  <c r="AW617" i="15"/>
  <c r="AV617" i="15"/>
  <c r="AX617" i="15" s="1"/>
  <c r="AS740" i="15"/>
  <c r="AR740" i="15"/>
  <c r="AT740" i="15" s="1"/>
  <c r="BI248" i="15"/>
  <c r="BH248" i="15"/>
  <c r="BJ248" i="15" s="1"/>
  <c r="AS741" i="15" l="1"/>
  <c r="AR741" i="15"/>
  <c r="AT741" i="15" s="1"/>
  <c r="AK987" i="15"/>
  <c r="AJ987" i="15"/>
  <c r="AL987" i="15" s="1"/>
  <c r="BM126" i="15"/>
  <c r="BL126" i="15"/>
  <c r="BN126" i="15" s="1"/>
  <c r="BA495" i="15"/>
  <c r="AZ495" i="15"/>
  <c r="BB495" i="15" s="1"/>
  <c r="BI249" i="15"/>
  <c r="BH249" i="15"/>
  <c r="BJ249" i="15" s="1"/>
  <c r="AW618" i="15"/>
  <c r="AV618" i="15"/>
  <c r="AX618" i="15" s="1"/>
  <c r="AO864" i="15"/>
  <c r="AN864" i="15"/>
  <c r="AP864" i="15" s="1"/>
  <c r="BE372" i="15"/>
  <c r="BD372" i="15"/>
  <c r="BF372" i="15" s="1"/>
  <c r="BE373" i="15" l="1"/>
  <c r="BD373" i="15"/>
  <c r="BF373" i="15" s="1"/>
  <c r="AW619" i="15"/>
  <c r="AV619" i="15"/>
  <c r="AX619" i="15" s="1"/>
  <c r="BA496" i="15"/>
  <c r="AZ496" i="15"/>
  <c r="BB496" i="15" s="1"/>
  <c r="BM127" i="15"/>
  <c r="BL127" i="15"/>
  <c r="BN127" i="15" s="1"/>
  <c r="AS742" i="15"/>
  <c r="AR742" i="15"/>
  <c r="AT742" i="15" s="1"/>
  <c r="AO865" i="15"/>
  <c r="AN865" i="15"/>
  <c r="AP865" i="15" s="1"/>
  <c r="BI250" i="15"/>
  <c r="BH250" i="15"/>
  <c r="BJ250" i="15" s="1"/>
  <c r="AK988" i="15"/>
  <c r="AJ988" i="15"/>
  <c r="AL988" i="15" s="1"/>
  <c r="BI251" i="15" l="1"/>
  <c r="BH251" i="15"/>
  <c r="BJ251" i="15" s="1"/>
  <c r="AS743" i="15"/>
  <c r="AR743" i="15"/>
  <c r="AT743" i="15" s="1"/>
  <c r="BA497" i="15"/>
  <c r="AZ497" i="15"/>
  <c r="BB497" i="15" s="1"/>
  <c r="BE374" i="15"/>
  <c r="BD374" i="15"/>
  <c r="BF374" i="15" s="1"/>
  <c r="AK989" i="15"/>
  <c r="AJ989" i="15"/>
  <c r="AL989" i="15" s="1"/>
  <c r="AO866" i="15"/>
  <c r="AN866" i="15"/>
  <c r="AP866" i="15" s="1"/>
  <c r="BM128" i="15"/>
  <c r="BL128" i="15"/>
  <c r="BN128" i="15" s="1"/>
  <c r="AW620" i="15"/>
  <c r="AV620" i="15"/>
  <c r="AX620" i="15" s="1"/>
  <c r="BM129" i="15" l="1"/>
  <c r="BL129" i="15"/>
  <c r="BN129" i="15" s="1"/>
  <c r="AK990" i="15"/>
  <c r="AJ990" i="15"/>
  <c r="AL990" i="15" s="1"/>
  <c r="BA498" i="15"/>
  <c r="AZ498" i="15"/>
  <c r="BB498" i="15" s="1"/>
  <c r="BI252" i="15"/>
  <c r="BH252" i="15"/>
  <c r="BJ252" i="15" s="1"/>
  <c r="AW621" i="15"/>
  <c r="AV621" i="15"/>
  <c r="AX621" i="15" s="1"/>
  <c r="AO867" i="15"/>
  <c r="AN867" i="15"/>
  <c r="AP867" i="15" s="1"/>
  <c r="BE375" i="15"/>
  <c r="BD375" i="15"/>
  <c r="BF375" i="15" s="1"/>
  <c r="AS744" i="15"/>
  <c r="AR744" i="15"/>
  <c r="AT744" i="15" s="1"/>
  <c r="AS745" i="15" l="1"/>
  <c r="AR745" i="15"/>
  <c r="AT745" i="15" s="1"/>
  <c r="AO868" i="15"/>
  <c r="AN868" i="15"/>
  <c r="AP868" i="15" s="1"/>
  <c r="BI253" i="15"/>
  <c r="BH253" i="15"/>
  <c r="BJ253" i="15" s="1"/>
  <c r="BA499" i="15"/>
  <c r="AZ499" i="15"/>
  <c r="BB499" i="15" s="1"/>
  <c r="BM130" i="15"/>
  <c r="BL130" i="15"/>
  <c r="BN130" i="15" s="1"/>
  <c r="BE376" i="15"/>
  <c r="BD376" i="15"/>
  <c r="BF376" i="15" s="1"/>
  <c r="AW622" i="15"/>
  <c r="AV622" i="15"/>
  <c r="AX622" i="15" s="1"/>
  <c r="AK991" i="15"/>
  <c r="AJ991" i="15"/>
  <c r="AL991" i="15" s="1"/>
  <c r="AW623" i="15" l="1"/>
  <c r="AV623" i="15"/>
  <c r="AX623" i="15" s="1"/>
  <c r="BM131" i="15"/>
  <c r="BL131" i="15"/>
  <c r="BN131" i="15" s="1"/>
  <c r="BI254" i="15"/>
  <c r="BH254" i="15"/>
  <c r="BJ254" i="15" s="1"/>
  <c r="AS746" i="15"/>
  <c r="AR746" i="15"/>
  <c r="AT746" i="15" s="1"/>
  <c r="AK992" i="15"/>
  <c r="AJ992" i="15"/>
  <c r="AL992" i="15" s="1"/>
  <c r="BE377" i="15"/>
  <c r="BD377" i="15"/>
  <c r="BF377" i="15" s="1"/>
  <c r="BA500" i="15"/>
  <c r="AZ500" i="15"/>
  <c r="BB500" i="15" s="1"/>
  <c r="AO869" i="15"/>
  <c r="AN869" i="15"/>
  <c r="AP869" i="15" s="1"/>
  <c r="BA501" i="15" l="1"/>
  <c r="AZ501" i="15"/>
  <c r="BB501" i="15" s="1"/>
  <c r="AK993" i="15"/>
  <c r="AJ993" i="15"/>
  <c r="AL993" i="15" s="1"/>
  <c r="BI255" i="15"/>
  <c r="BH255" i="15"/>
  <c r="BJ255" i="15" s="1"/>
  <c r="AW624" i="15"/>
  <c r="AV624" i="15"/>
  <c r="AX624" i="15" s="1"/>
  <c r="AO870" i="15"/>
  <c r="AN870" i="15"/>
  <c r="AP870" i="15" s="1"/>
  <c r="BE378" i="15"/>
  <c r="BD378" i="15"/>
  <c r="BF378" i="15" s="1"/>
  <c r="AS747" i="15"/>
  <c r="AR747" i="15"/>
  <c r="AT747" i="15" s="1"/>
  <c r="BM132" i="15"/>
  <c r="BL132" i="15"/>
  <c r="BN132" i="15" s="1"/>
  <c r="AS748" i="15" l="1"/>
  <c r="AR748" i="15"/>
  <c r="AT748" i="15" s="1"/>
  <c r="AO871" i="15"/>
  <c r="AN871" i="15"/>
  <c r="AP871" i="15" s="1"/>
  <c r="BI256" i="15"/>
  <c r="BH256" i="15"/>
  <c r="BJ256" i="15" s="1"/>
  <c r="BA502" i="15"/>
  <c r="AZ502" i="15"/>
  <c r="BB502" i="15" s="1"/>
  <c r="BM133" i="15"/>
  <c r="BL133" i="15"/>
  <c r="BN133" i="15" s="1"/>
  <c r="BE379" i="15"/>
  <c r="BD379" i="15"/>
  <c r="BF379" i="15" s="1"/>
  <c r="AW625" i="15"/>
  <c r="AV625" i="15"/>
  <c r="AX625" i="15" s="1"/>
  <c r="AK994" i="15"/>
  <c r="AJ994" i="15"/>
  <c r="AL994" i="15" s="1"/>
  <c r="AK995" i="15" l="1"/>
  <c r="AJ995" i="15"/>
  <c r="AL995" i="15" s="1"/>
  <c r="BE380" i="15"/>
  <c r="BD380" i="15"/>
  <c r="BF380" i="15" s="1"/>
  <c r="BA503" i="15"/>
  <c r="AZ503" i="15"/>
  <c r="BB503" i="15" s="1"/>
  <c r="BI257" i="15"/>
  <c r="BH257" i="15"/>
  <c r="BJ257" i="15" s="1"/>
  <c r="AS749" i="15"/>
  <c r="AR749" i="15"/>
  <c r="AT749" i="15" s="1"/>
  <c r="AW626" i="15"/>
  <c r="AV626" i="15"/>
  <c r="AX626" i="15" s="1"/>
  <c r="BM134" i="15"/>
  <c r="BL134" i="15"/>
  <c r="BN134" i="15" s="1"/>
  <c r="AO872" i="15"/>
  <c r="AN872" i="15"/>
  <c r="AP872" i="15" s="1"/>
  <c r="AO873" i="15" l="1"/>
  <c r="AN873" i="15"/>
  <c r="AP873" i="15" s="1"/>
  <c r="AW627" i="15"/>
  <c r="AV627" i="15"/>
  <c r="AX627" i="15" s="1"/>
  <c r="BI258" i="15"/>
  <c r="BH258" i="15"/>
  <c r="BJ258" i="15" s="1"/>
  <c r="BA504" i="15"/>
  <c r="AZ504" i="15"/>
  <c r="BB504" i="15" s="1"/>
  <c r="AK996" i="15"/>
  <c r="AJ996" i="15"/>
  <c r="AL996" i="15" s="1"/>
  <c r="BM135" i="15"/>
  <c r="BL135" i="15"/>
  <c r="BN135" i="15" s="1"/>
  <c r="AS750" i="15"/>
  <c r="AR750" i="15"/>
  <c r="AT750" i="15" s="1"/>
  <c r="BE381" i="15"/>
  <c r="BD381" i="15"/>
  <c r="BF381" i="15" s="1"/>
  <c r="AS751" i="15" l="1"/>
  <c r="AR751" i="15"/>
  <c r="AT751" i="15" s="1"/>
  <c r="AK997" i="15"/>
  <c r="AJ997" i="15"/>
  <c r="AL997" i="15" s="1"/>
  <c r="BI259" i="15"/>
  <c r="BH259" i="15"/>
  <c r="BJ259" i="15" s="1"/>
  <c r="AO874" i="15"/>
  <c r="AN874" i="15"/>
  <c r="AP874" i="15" s="1"/>
  <c r="BE382" i="15"/>
  <c r="BD382" i="15"/>
  <c r="BF382" i="15" s="1"/>
  <c r="BM136" i="15"/>
  <c r="BL136" i="15"/>
  <c r="BN136" i="15" s="1"/>
  <c r="BA505" i="15"/>
  <c r="AZ505" i="15"/>
  <c r="BB505" i="15" s="1"/>
  <c r="AW628" i="15"/>
  <c r="AV628" i="15"/>
  <c r="AX628" i="15" s="1"/>
  <c r="AW629" i="15" l="1"/>
  <c r="AV629" i="15"/>
  <c r="AX629" i="15" s="1"/>
  <c r="BA506" i="15"/>
  <c r="AZ506" i="15"/>
  <c r="BB506" i="15" s="1"/>
  <c r="BE383" i="15"/>
  <c r="BD383" i="15"/>
  <c r="BF383" i="15" s="1"/>
  <c r="AO875" i="15"/>
  <c r="AN875" i="15"/>
  <c r="AP875" i="15" s="1"/>
  <c r="AK998" i="15"/>
  <c r="AJ998" i="15"/>
  <c r="AL998" i="15" s="1"/>
  <c r="AS752" i="15"/>
  <c r="AR752" i="15"/>
  <c r="AT752" i="15" s="1"/>
  <c r="BM137" i="15"/>
  <c r="BL137" i="15"/>
  <c r="BN137" i="15" s="1"/>
  <c r="BI260" i="15"/>
  <c r="BH260" i="15"/>
  <c r="BJ260" i="15" s="1"/>
  <c r="BI261" i="15" l="1"/>
  <c r="BH261" i="15"/>
  <c r="BJ261" i="15" s="1"/>
  <c r="AS753" i="15"/>
  <c r="AR753" i="15"/>
  <c r="AT753" i="15" s="1"/>
  <c r="AK999" i="15"/>
  <c r="AJ999" i="15"/>
  <c r="AL999" i="15" s="1"/>
  <c r="BE384" i="15"/>
  <c r="BD384" i="15"/>
  <c r="BF384" i="15" s="1"/>
  <c r="AW630" i="15"/>
  <c r="AV630" i="15"/>
  <c r="AX630" i="15" s="1"/>
  <c r="BM138" i="15"/>
  <c r="BL138" i="15"/>
  <c r="BN138" i="15" s="1"/>
  <c r="AO876" i="15"/>
  <c r="AN876" i="15"/>
  <c r="AP876" i="15" s="1"/>
  <c r="BA507" i="15"/>
  <c r="AZ507" i="15"/>
  <c r="BB507" i="15" s="1"/>
  <c r="AO877" i="15" l="1"/>
  <c r="AN877" i="15"/>
  <c r="AP877" i="15" s="1"/>
  <c r="AW631" i="15"/>
  <c r="AV631" i="15"/>
  <c r="AX631" i="15" s="1"/>
  <c r="AK1000" i="15"/>
  <c r="AJ1000" i="15"/>
  <c r="AL1000" i="15" s="1"/>
  <c r="BI262" i="15"/>
  <c r="BH262" i="15"/>
  <c r="BJ262" i="15" s="1"/>
  <c r="BA508" i="15"/>
  <c r="AZ508" i="15"/>
  <c r="BB508" i="15" s="1"/>
  <c r="BM139" i="15"/>
  <c r="BL139" i="15"/>
  <c r="BN139" i="15" s="1"/>
  <c r="BE385" i="15"/>
  <c r="BD385" i="15"/>
  <c r="BF385" i="15" s="1"/>
  <c r="AS754" i="15"/>
  <c r="AR754" i="15"/>
  <c r="AT754" i="15" s="1"/>
  <c r="AS755" i="15" l="1"/>
  <c r="AR755" i="15"/>
  <c r="AT755" i="15" s="1"/>
  <c r="BM140" i="15"/>
  <c r="BL140" i="15"/>
  <c r="BN140" i="15" s="1"/>
  <c r="BI263" i="15"/>
  <c r="BH263" i="15"/>
  <c r="BJ263" i="15" s="1"/>
  <c r="AK1001" i="15"/>
  <c r="AJ1001" i="15"/>
  <c r="AL1001" i="15" s="1"/>
  <c r="AO878" i="15"/>
  <c r="AN878" i="15"/>
  <c r="AP878" i="15" s="1"/>
  <c r="BE386" i="15"/>
  <c r="BD386" i="15"/>
  <c r="BF386" i="15" s="1"/>
  <c r="BA509" i="15"/>
  <c r="AZ509" i="15"/>
  <c r="BB509" i="15" s="1"/>
  <c r="AW632" i="15"/>
  <c r="AV632" i="15"/>
  <c r="AX632" i="15" s="1"/>
  <c r="BA510" i="15" l="1"/>
  <c r="AZ510" i="15"/>
  <c r="BB510" i="15" s="1"/>
  <c r="AO879" i="15"/>
  <c r="AN879" i="15"/>
  <c r="AP879" i="15" s="1"/>
  <c r="BI264" i="15"/>
  <c r="BH264" i="15"/>
  <c r="BJ264" i="15" s="1"/>
  <c r="AS756" i="15"/>
  <c r="AR756" i="15"/>
  <c r="AT756" i="15" s="1"/>
  <c r="AW633" i="15"/>
  <c r="AV633" i="15"/>
  <c r="AX633" i="15" s="1"/>
  <c r="BE387" i="15"/>
  <c r="BD387" i="15"/>
  <c r="BF387" i="15" s="1"/>
  <c r="AK1002" i="15"/>
  <c r="AJ1002" i="15"/>
  <c r="AL1002" i="15" s="1"/>
  <c r="BM141" i="15"/>
  <c r="BL141" i="15"/>
  <c r="BN141" i="15" s="1"/>
  <c r="AK1003" i="15" l="1"/>
  <c r="AJ1003" i="15"/>
  <c r="AL1003" i="15" s="1"/>
  <c r="AW634" i="15"/>
  <c r="AV634" i="15"/>
  <c r="AX634" i="15" s="1"/>
  <c r="BI265" i="15"/>
  <c r="BH265" i="15"/>
  <c r="BJ265" i="15" s="1"/>
  <c r="BA511" i="15"/>
  <c r="AZ511" i="15"/>
  <c r="BB511" i="15" s="1"/>
  <c r="BM142" i="15"/>
  <c r="BL142" i="15"/>
  <c r="BN142" i="15" s="1"/>
  <c r="BE388" i="15"/>
  <c r="BD388" i="15"/>
  <c r="BF388" i="15" s="1"/>
  <c r="AS757" i="15"/>
  <c r="AR757" i="15"/>
  <c r="AT757" i="15" s="1"/>
  <c r="AO880" i="15"/>
  <c r="AN880" i="15"/>
  <c r="AP880" i="15" s="1"/>
  <c r="AS758" i="15" l="1"/>
  <c r="AR758" i="15"/>
  <c r="AT758" i="15" s="1"/>
  <c r="BM143" i="15"/>
  <c r="BL143" i="15"/>
  <c r="BN143" i="15" s="1"/>
  <c r="BI266" i="15"/>
  <c r="BH266" i="15"/>
  <c r="BJ266" i="15" s="1"/>
  <c r="AK1004" i="15"/>
  <c r="AJ1004" i="15"/>
  <c r="AL1004" i="15" s="1"/>
  <c r="AO881" i="15"/>
  <c r="AN881" i="15"/>
  <c r="AP881" i="15" s="1"/>
  <c r="BE389" i="15"/>
  <c r="BD389" i="15"/>
  <c r="BF389" i="15" s="1"/>
  <c r="BA512" i="15"/>
  <c r="AZ512" i="15"/>
  <c r="BB512" i="15" s="1"/>
  <c r="AW635" i="15"/>
  <c r="AV635" i="15"/>
  <c r="AX635" i="15" s="1"/>
  <c r="AW636" i="15" l="1"/>
  <c r="AV636" i="15"/>
  <c r="AX636" i="15" s="1"/>
  <c r="BA513" i="15"/>
  <c r="AZ513" i="15"/>
  <c r="BB513" i="15" s="1"/>
  <c r="BE390" i="15"/>
  <c r="BD390" i="15"/>
  <c r="BF390" i="15" s="1"/>
  <c r="AO882" i="15"/>
  <c r="AN882" i="15"/>
  <c r="AP882" i="15" s="1"/>
  <c r="AK1005" i="15"/>
  <c r="AJ1005" i="15"/>
  <c r="AL1005" i="15" s="1"/>
  <c r="BI267" i="15"/>
  <c r="BH267" i="15"/>
  <c r="BJ267" i="15" s="1"/>
  <c r="BM144" i="15"/>
  <c r="BL144" i="15"/>
  <c r="BN144" i="15" s="1"/>
  <c r="AS759" i="15"/>
  <c r="AR759" i="15"/>
  <c r="AT759" i="15" s="1"/>
  <c r="AS760" i="15" l="1"/>
  <c r="AR760" i="15"/>
  <c r="AT760" i="15" s="1"/>
  <c r="BM145" i="15"/>
  <c r="BL145" i="15"/>
  <c r="BN145" i="15" s="1"/>
  <c r="AK1006" i="15"/>
  <c r="AJ1006" i="15"/>
  <c r="AL1006" i="15" s="1"/>
  <c r="BE391" i="15"/>
  <c r="BD391" i="15"/>
  <c r="BF391" i="15" s="1"/>
  <c r="AW637" i="15"/>
  <c r="AV637" i="15"/>
  <c r="AX637" i="15" s="1"/>
  <c r="BI268" i="15"/>
  <c r="BH268" i="15"/>
  <c r="BJ268" i="15" s="1"/>
  <c r="AO883" i="15"/>
  <c r="AN883" i="15"/>
  <c r="AP883" i="15" s="1"/>
  <c r="BA514" i="15"/>
  <c r="AZ514" i="15"/>
  <c r="BB514" i="15" s="1"/>
  <c r="BA515" i="15" l="1"/>
  <c r="AZ515" i="15"/>
  <c r="BB515" i="15" s="1"/>
  <c r="BI269" i="15"/>
  <c r="BH269" i="15"/>
  <c r="BJ269" i="15" s="1"/>
  <c r="BE392" i="15"/>
  <c r="BD392" i="15"/>
  <c r="BF392" i="15" s="1"/>
  <c r="AK1007" i="15"/>
  <c r="AJ1007" i="15"/>
  <c r="AL1007" i="15" s="1"/>
  <c r="AS761" i="15"/>
  <c r="AR761" i="15"/>
  <c r="AT761" i="15" s="1"/>
  <c r="AO884" i="15"/>
  <c r="AN884" i="15"/>
  <c r="AP884" i="15" s="1"/>
  <c r="AW638" i="15"/>
  <c r="AV638" i="15"/>
  <c r="AX638" i="15" s="1"/>
  <c r="BM146" i="15"/>
  <c r="BL146" i="15"/>
  <c r="BN146" i="15" s="1"/>
  <c r="K18" i="15" l="1"/>
  <c r="BM147" i="15"/>
  <c r="BL147" i="15"/>
  <c r="BN147" i="15" s="1"/>
  <c r="AO885" i="15"/>
  <c r="AN885" i="15"/>
  <c r="AP885" i="15" s="1"/>
  <c r="AK1008" i="15"/>
  <c r="AJ1008" i="15"/>
  <c r="AL1008" i="15" s="1"/>
  <c r="BE393" i="15"/>
  <c r="BD393" i="15"/>
  <c r="BF393" i="15" s="1"/>
  <c r="BA516" i="15"/>
  <c r="AZ516" i="15"/>
  <c r="BB516" i="15" s="1"/>
  <c r="AW639" i="15"/>
  <c r="AV639" i="15"/>
  <c r="AX639" i="15" s="1"/>
  <c r="AS762" i="15"/>
  <c r="AR762" i="15"/>
  <c r="AT762" i="15" s="1"/>
  <c r="BI270" i="15"/>
  <c r="BH270" i="15"/>
  <c r="BJ270" i="15" s="1"/>
  <c r="AS763" i="15" l="1"/>
  <c r="AR763" i="15"/>
  <c r="AT763" i="15" s="1"/>
  <c r="BA517" i="15"/>
  <c r="AZ517" i="15"/>
  <c r="BB517" i="15" s="1"/>
  <c r="AK1009" i="15"/>
  <c r="AJ1009" i="15"/>
  <c r="AL1009" i="15" s="1"/>
  <c r="BM148" i="15"/>
  <c r="BL148" i="15"/>
  <c r="BN148" i="15" s="1"/>
  <c r="BI271" i="15"/>
  <c r="BH271" i="15"/>
  <c r="BJ271" i="15" s="1"/>
  <c r="AW640" i="15"/>
  <c r="AV640" i="15"/>
  <c r="AX640" i="15" s="1"/>
  <c r="BE394" i="15"/>
  <c r="BD394" i="15"/>
  <c r="BF394" i="15" s="1"/>
  <c r="AO886" i="15"/>
  <c r="AN886" i="15"/>
  <c r="AP886" i="15" s="1"/>
  <c r="H19" i="15"/>
  <c r="L18" i="15"/>
  <c r="M18" i="15"/>
  <c r="D19" i="15"/>
  <c r="C19" i="15" s="1"/>
  <c r="F19" i="15"/>
  <c r="E19" i="15" s="1"/>
  <c r="BE395" i="15" l="1"/>
  <c r="BD395" i="15"/>
  <c r="BF395" i="15" s="1"/>
  <c r="AW641" i="15"/>
  <c r="AV641" i="15"/>
  <c r="AX641" i="15" s="1"/>
  <c r="BI272" i="15"/>
  <c r="BH272" i="15"/>
  <c r="BJ272" i="15" s="1"/>
  <c r="BM149" i="15"/>
  <c r="BL149" i="15"/>
  <c r="BN149" i="15" s="1"/>
  <c r="BA518" i="15"/>
  <c r="AZ518" i="15"/>
  <c r="BB518" i="15" s="1"/>
  <c r="AS764" i="15"/>
  <c r="AR764" i="15"/>
  <c r="AT764" i="15" s="1"/>
  <c r="AO887" i="15"/>
  <c r="AN887" i="15"/>
  <c r="AP887" i="15" s="1"/>
  <c r="AK1010" i="15"/>
  <c r="AJ1010" i="15"/>
  <c r="AL1010" i="15" s="1"/>
  <c r="I19" i="15"/>
  <c r="BO28" i="15"/>
  <c r="BO29" i="15"/>
  <c r="BO30" i="15"/>
  <c r="BO31" i="15"/>
  <c r="BO32" i="15"/>
  <c r="BO33" i="15"/>
  <c r="BO34" i="15"/>
  <c r="BO35" i="15"/>
  <c r="BO36" i="15"/>
  <c r="BO37" i="15"/>
  <c r="BO38" i="15"/>
  <c r="BO39" i="15"/>
  <c r="BO40" i="15"/>
  <c r="BO41" i="15"/>
  <c r="BO42" i="15"/>
  <c r="BO43" i="15"/>
  <c r="BO44" i="15"/>
  <c r="BO45" i="15"/>
  <c r="BO46" i="15"/>
  <c r="BO47" i="15"/>
  <c r="BO48" i="15"/>
  <c r="BO49" i="15"/>
  <c r="BO50" i="15"/>
  <c r="BO51" i="15"/>
  <c r="BO52" i="15"/>
  <c r="BO53" i="15"/>
  <c r="BO54" i="15"/>
  <c r="BO55" i="15"/>
  <c r="BO56" i="15"/>
  <c r="BO57" i="15"/>
  <c r="BO58" i="15"/>
  <c r="BO59" i="15"/>
  <c r="BO60" i="15"/>
  <c r="BO61" i="15"/>
  <c r="BO62" i="15"/>
  <c r="BO63" i="15"/>
  <c r="BO64" i="15"/>
  <c r="BO65" i="15"/>
  <c r="BO66" i="15"/>
  <c r="BO67" i="15"/>
  <c r="BO68" i="15"/>
  <c r="BO69" i="15"/>
  <c r="BO70" i="15"/>
  <c r="BO71" i="15"/>
  <c r="BO72" i="15"/>
  <c r="BO73" i="15"/>
  <c r="BO74" i="15"/>
  <c r="BO75" i="15"/>
  <c r="BO76" i="15"/>
  <c r="BO77" i="15"/>
  <c r="BO78" i="15"/>
  <c r="BO79" i="15"/>
  <c r="BO80" i="15"/>
  <c r="BO81" i="15"/>
  <c r="BO82" i="15"/>
  <c r="BO83" i="15"/>
  <c r="BO84" i="15"/>
  <c r="BO85" i="15"/>
  <c r="BO86" i="15"/>
  <c r="BO87" i="15"/>
  <c r="BO88" i="15"/>
  <c r="BO89" i="15"/>
  <c r="BO90" i="15"/>
  <c r="BO91" i="15"/>
  <c r="BO92" i="15"/>
  <c r="BO93" i="15"/>
  <c r="BO94" i="15"/>
  <c r="BO95" i="15"/>
  <c r="BO96" i="15"/>
  <c r="BO97" i="15"/>
  <c r="BO98" i="15"/>
  <c r="BO99" i="15"/>
  <c r="BO100" i="15"/>
  <c r="BO101" i="15"/>
  <c r="BO102" i="15"/>
  <c r="BO103" i="15"/>
  <c r="BO104" i="15"/>
  <c r="BO105" i="15"/>
  <c r="BO106" i="15"/>
  <c r="BO107" i="15"/>
  <c r="BO108" i="15"/>
  <c r="BO109" i="15"/>
  <c r="BO110" i="15"/>
  <c r="BO111" i="15"/>
  <c r="BO112" i="15"/>
  <c r="BO113" i="15"/>
  <c r="BO114" i="15"/>
  <c r="BO115" i="15"/>
  <c r="BO116" i="15"/>
  <c r="BO117" i="15"/>
  <c r="BO118" i="15"/>
  <c r="BO119" i="15"/>
  <c r="BO120" i="15"/>
  <c r="BO121" i="15"/>
  <c r="BO122" i="15"/>
  <c r="BO123" i="15"/>
  <c r="BO124" i="15"/>
  <c r="BO125" i="15"/>
  <c r="BO126" i="15"/>
  <c r="BO127" i="15"/>
  <c r="BO128" i="15"/>
  <c r="BO129" i="15"/>
  <c r="BO130" i="15"/>
  <c r="BO131" i="15"/>
  <c r="BO132" i="15"/>
  <c r="BO133" i="15"/>
  <c r="BO134" i="15"/>
  <c r="BO135" i="15"/>
  <c r="BO136" i="15"/>
  <c r="BO137" i="15"/>
  <c r="BO138" i="15"/>
  <c r="BO139" i="15"/>
  <c r="BO27" i="15"/>
  <c r="BP27" i="15" s="1"/>
  <c r="J19" i="15"/>
  <c r="BO140" i="15"/>
  <c r="BO141" i="15"/>
  <c r="BO142" i="15"/>
  <c r="BO143" i="15"/>
  <c r="BO144" i="15"/>
  <c r="BO145" i="15"/>
  <c r="BO146" i="15"/>
  <c r="BO147" i="15"/>
  <c r="BO148" i="15"/>
  <c r="BO149" i="15"/>
  <c r="BO150" i="15"/>
  <c r="BO151" i="15"/>
  <c r="BO152" i="15"/>
  <c r="BO153" i="15"/>
  <c r="BO154" i="15"/>
  <c r="BO155" i="15"/>
  <c r="BO156" i="15"/>
  <c r="BO157" i="15"/>
  <c r="BO158" i="15"/>
  <c r="BO159" i="15"/>
  <c r="BO160" i="15"/>
  <c r="BO161" i="15"/>
  <c r="BO162" i="15"/>
  <c r="BO163" i="15"/>
  <c r="BO164" i="15"/>
  <c r="BO165" i="15"/>
  <c r="BO166" i="15"/>
  <c r="BO167" i="15"/>
  <c r="BO168" i="15"/>
  <c r="BO169" i="15"/>
  <c r="BO170" i="15"/>
  <c r="BO171" i="15"/>
  <c r="BO172" i="15"/>
  <c r="BO173" i="15"/>
  <c r="BO174" i="15"/>
  <c r="BO175" i="15"/>
  <c r="BO176" i="15"/>
  <c r="BO177" i="15"/>
  <c r="BO178" i="15"/>
  <c r="BO179" i="15"/>
  <c r="BO180" i="15"/>
  <c r="BO181" i="15"/>
  <c r="BO182" i="15"/>
  <c r="BO183" i="15"/>
  <c r="BO184" i="15"/>
  <c r="BO185" i="15"/>
  <c r="BO186" i="15"/>
  <c r="BO187" i="15"/>
  <c r="BO188" i="15"/>
  <c r="BO189" i="15"/>
  <c r="BO190" i="15"/>
  <c r="BO191" i="15"/>
  <c r="BO192" i="15"/>
  <c r="BO193" i="15"/>
  <c r="BO194" i="15"/>
  <c r="BO195" i="15"/>
  <c r="BO196" i="15"/>
  <c r="BO197" i="15"/>
  <c r="BO198" i="15"/>
  <c r="BO199" i="15"/>
  <c r="BO200" i="15"/>
  <c r="BO201" i="15"/>
  <c r="BO202" i="15"/>
  <c r="BO203" i="15"/>
  <c r="BO204" i="15"/>
  <c r="BO205" i="15"/>
  <c r="BO206" i="15"/>
  <c r="BO207" i="15"/>
  <c r="BO208" i="15"/>
  <c r="BO209" i="15"/>
  <c r="BO210" i="15"/>
  <c r="BO211" i="15"/>
  <c r="BO212" i="15"/>
  <c r="BO213" i="15"/>
  <c r="BO214" i="15"/>
  <c r="BO215" i="15"/>
  <c r="BO216" i="15"/>
  <c r="BO217" i="15"/>
  <c r="BO218" i="15"/>
  <c r="BO219" i="15"/>
  <c r="BO220" i="15"/>
  <c r="BO221" i="15"/>
  <c r="BO222" i="15"/>
  <c r="BO223" i="15"/>
  <c r="BO224" i="15"/>
  <c r="BO225" i="15"/>
  <c r="BO226" i="15"/>
  <c r="BO227" i="15"/>
  <c r="BO228" i="15"/>
  <c r="BO229" i="15"/>
  <c r="BO230" i="15"/>
  <c r="BO231" i="15"/>
  <c r="BO232" i="15"/>
  <c r="BO233" i="15"/>
  <c r="BO234" i="15"/>
  <c r="BO235" i="15"/>
  <c r="BO236" i="15"/>
  <c r="BO237" i="15"/>
  <c r="BO238" i="15"/>
  <c r="BO239" i="15"/>
  <c r="BO240" i="15"/>
  <c r="BO241" i="15"/>
  <c r="BO242" i="15"/>
  <c r="BO243" i="15"/>
  <c r="BO244" i="15"/>
  <c r="BO245" i="15"/>
  <c r="BO246" i="15"/>
  <c r="BO247" i="15"/>
  <c r="BO248" i="15"/>
  <c r="BO249" i="15"/>
  <c r="BO250" i="15"/>
  <c r="BO251" i="15"/>
  <c r="BO252" i="15"/>
  <c r="BO253" i="15"/>
  <c r="BO254" i="15"/>
  <c r="BO255" i="15"/>
  <c r="BO256" i="15"/>
  <c r="BO257" i="15"/>
  <c r="BO258" i="15"/>
  <c r="BO259" i="15"/>
  <c r="BO260" i="15"/>
  <c r="BO261" i="15"/>
  <c r="BO262" i="15"/>
  <c r="BO263" i="15"/>
  <c r="BO264" i="15"/>
  <c r="BO265" i="15"/>
  <c r="BO266" i="15"/>
  <c r="BO267" i="15"/>
  <c r="BO268" i="15"/>
  <c r="BO269" i="15"/>
  <c r="BO270" i="15"/>
  <c r="BO271" i="15"/>
  <c r="BO272" i="15"/>
  <c r="BO273" i="15"/>
  <c r="BO274" i="15"/>
  <c r="BO275" i="15"/>
  <c r="BO276" i="15"/>
  <c r="BO277" i="15"/>
  <c r="BO278" i="15"/>
  <c r="BO279" i="15"/>
  <c r="BO280" i="15"/>
  <c r="BO281" i="15"/>
  <c r="BO282" i="15"/>
  <c r="BO283" i="15"/>
  <c r="BO284" i="15"/>
  <c r="BO285" i="15"/>
  <c r="BO286" i="15"/>
  <c r="BO287" i="15"/>
  <c r="BO288" i="15"/>
  <c r="BO289" i="15"/>
  <c r="BO290" i="15"/>
  <c r="BO291" i="15"/>
  <c r="BO292" i="15"/>
  <c r="BO293" i="15"/>
  <c r="BO294" i="15"/>
  <c r="BO295" i="15"/>
  <c r="BO296" i="15"/>
  <c r="BO297" i="15"/>
  <c r="BO298" i="15"/>
  <c r="BO299" i="15"/>
  <c r="BO300" i="15"/>
  <c r="BO301" i="15"/>
  <c r="BO302" i="15"/>
  <c r="BO303" i="15"/>
  <c r="BO304" i="15"/>
  <c r="BO305" i="15"/>
  <c r="BO306" i="15"/>
  <c r="BO307" i="15"/>
  <c r="BO308" i="15"/>
  <c r="BO309" i="15"/>
  <c r="BO310" i="15"/>
  <c r="BO311" i="15"/>
  <c r="BO312" i="15"/>
  <c r="BO313" i="15"/>
  <c r="BO314" i="15"/>
  <c r="BO315" i="15"/>
  <c r="BO316" i="15"/>
  <c r="BO317" i="15"/>
  <c r="BO318" i="15"/>
  <c r="BO319" i="15"/>
  <c r="BO320" i="15"/>
  <c r="BO321" i="15"/>
  <c r="BO322" i="15"/>
  <c r="BO323" i="15"/>
  <c r="BO324" i="15"/>
  <c r="BO325" i="15"/>
  <c r="BO326" i="15"/>
  <c r="BO327" i="15"/>
  <c r="BO328" i="15"/>
  <c r="BO329" i="15"/>
  <c r="BO330" i="15"/>
  <c r="BO331" i="15"/>
  <c r="BO332" i="15"/>
  <c r="BO333" i="15"/>
  <c r="BO334" i="15"/>
  <c r="BO335" i="15"/>
  <c r="BO336" i="15"/>
  <c r="BO337" i="15"/>
  <c r="BO338" i="15"/>
  <c r="BO339" i="15"/>
  <c r="BO340" i="15"/>
  <c r="BO341" i="15"/>
  <c r="BO342" i="15"/>
  <c r="BO343" i="15"/>
  <c r="BO344" i="15"/>
  <c r="BO345" i="15"/>
  <c r="BO346" i="15"/>
  <c r="BO347" i="15"/>
  <c r="BO348" i="15"/>
  <c r="BO349" i="15"/>
  <c r="BO350" i="15"/>
  <c r="BO351" i="15"/>
  <c r="BO352" i="15"/>
  <c r="BO353" i="15"/>
  <c r="BO354" i="15"/>
  <c r="BO355" i="15"/>
  <c r="BO356" i="15"/>
  <c r="BO357" i="15"/>
  <c r="BO358" i="15"/>
  <c r="BO359" i="15"/>
  <c r="BO360" i="15"/>
  <c r="BO361" i="15"/>
  <c r="BO362" i="15"/>
  <c r="BO363" i="15"/>
  <c r="BO364" i="15"/>
  <c r="BO365" i="15"/>
  <c r="BO366" i="15"/>
  <c r="BO367" i="15"/>
  <c r="BO368" i="15"/>
  <c r="BO369" i="15"/>
  <c r="BO370" i="15"/>
  <c r="BO371" i="15"/>
  <c r="BO372" i="15"/>
  <c r="BO373" i="15"/>
  <c r="BO374" i="15"/>
  <c r="BO375" i="15"/>
  <c r="BO376" i="15"/>
  <c r="BO377" i="15"/>
  <c r="BO378" i="15"/>
  <c r="BO379" i="15"/>
  <c r="BO380" i="15"/>
  <c r="BO381" i="15"/>
  <c r="BO382" i="15"/>
  <c r="BO383" i="15"/>
  <c r="BO384" i="15"/>
  <c r="BO385" i="15"/>
  <c r="BO386" i="15"/>
  <c r="BO387" i="15"/>
  <c r="BO388" i="15"/>
  <c r="BO389" i="15"/>
  <c r="BO390" i="15"/>
  <c r="BO391" i="15"/>
  <c r="BO392" i="15"/>
  <c r="BO393" i="15"/>
  <c r="BO394" i="15"/>
  <c r="BO395" i="15"/>
  <c r="BO396" i="15"/>
  <c r="BO397" i="15"/>
  <c r="BO398" i="15"/>
  <c r="BO399" i="15"/>
  <c r="BO400" i="15"/>
  <c r="BO401" i="15"/>
  <c r="BO402" i="15"/>
  <c r="BO403" i="15"/>
  <c r="BO404" i="15"/>
  <c r="BO405" i="15"/>
  <c r="BO406" i="15"/>
  <c r="BO407" i="15"/>
  <c r="BO408" i="15"/>
  <c r="BO409" i="15"/>
  <c r="BO410" i="15"/>
  <c r="BO411" i="15"/>
  <c r="BO412" i="15"/>
  <c r="BO413" i="15"/>
  <c r="BO414" i="15"/>
  <c r="BO415" i="15"/>
  <c r="BO416" i="15"/>
  <c r="BO417" i="15"/>
  <c r="BO418" i="15"/>
  <c r="BO419" i="15"/>
  <c r="BO420" i="15"/>
  <c r="BO421" i="15"/>
  <c r="BO422" i="15"/>
  <c r="BO423" i="15"/>
  <c r="BO424" i="15"/>
  <c r="BO425" i="15"/>
  <c r="BO426" i="15"/>
  <c r="BO427" i="15"/>
  <c r="BO428" i="15"/>
  <c r="BO429" i="15"/>
  <c r="BO430" i="15"/>
  <c r="BO431" i="15"/>
  <c r="BO432" i="15"/>
  <c r="BO433" i="15"/>
  <c r="BO434" i="15"/>
  <c r="BO435" i="15"/>
  <c r="BO436" i="15"/>
  <c r="BO437" i="15"/>
  <c r="BO438" i="15"/>
  <c r="BO439" i="15"/>
  <c r="BO440" i="15"/>
  <c r="BO441" i="15"/>
  <c r="BO442" i="15"/>
  <c r="BO443" i="15"/>
  <c r="BO444" i="15"/>
  <c r="BO445" i="15"/>
  <c r="BO446" i="15"/>
  <c r="BO447" i="15"/>
  <c r="BO448" i="15"/>
  <c r="BO449" i="15"/>
  <c r="BO450" i="15"/>
  <c r="BO451" i="15"/>
  <c r="BO452" i="15"/>
  <c r="BO453" i="15"/>
  <c r="BO454" i="15"/>
  <c r="BO455" i="15"/>
  <c r="BO456" i="15"/>
  <c r="BO457" i="15"/>
  <c r="BO458" i="15"/>
  <c r="BO459" i="15"/>
  <c r="BO460" i="15"/>
  <c r="BO461" i="15"/>
  <c r="BO462" i="15"/>
  <c r="BO463" i="15"/>
  <c r="BO464" i="15"/>
  <c r="BO465" i="15"/>
  <c r="BO466" i="15"/>
  <c r="BO467" i="15"/>
  <c r="BO468" i="15"/>
  <c r="BO469" i="15"/>
  <c r="BO470" i="15"/>
  <c r="BO471" i="15"/>
  <c r="BO472" i="15"/>
  <c r="BO473" i="15"/>
  <c r="BO474" i="15"/>
  <c r="BO475" i="15"/>
  <c r="BO476" i="15"/>
  <c r="BO477" i="15"/>
  <c r="BO478" i="15"/>
  <c r="BO479" i="15"/>
  <c r="BO480" i="15"/>
  <c r="BO481" i="15"/>
  <c r="BO482" i="15"/>
  <c r="BO483" i="15"/>
  <c r="BO484" i="15"/>
  <c r="BO485" i="15"/>
  <c r="BO486" i="15"/>
  <c r="BO487" i="15"/>
  <c r="BO488" i="15"/>
  <c r="BO489" i="15"/>
  <c r="BO490" i="15"/>
  <c r="BO491" i="15"/>
  <c r="BO492" i="15"/>
  <c r="BO493" i="15"/>
  <c r="BO494" i="15"/>
  <c r="BO495" i="15"/>
  <c r="BO496" i="15"/>
  <c r="BO497" i="15"/>
  <c r="BO498" i="15"/>
  <c r="BO499" i="15"/>
  <c r="BO500" i="15"/>
  <c r="BO501" i="15"/>
  <c r="BO502" i="15"/>
  <c r="BO503" i="15"/>
  <c r="BO504" i="15"/>
  <c r="BO505" i="15"/>
  <c r="BO506" i="15"/>
  <c r="BO507" i="15"/>
  <c r="BO508" i="15"/>
  <c r="BO509" i="15"/>
  <c r="BO510" i="15"/>
  <c r="BO511" i="15"/>
  <c r="BO512" i="15"/>
  <c r="BO513" i="15"/>
  <c r="BO514" i="15"/>
  <c r="BO515" i="15"/>
  <c r="BO516" i="15"/>
  <c r="BO517" i="15"/>
  <c r="BO518" i="15"/>
  <c r="BO519" i="15"/>
  <c r="BO520" i="15"/>
  <c r="BO521" i="15"/>
  <c r="BO522" i="15"/>
  <c r="BO523" i="15"/>
  <c r="BO524" i="15"/>
  <c r="BO525" i="15"/>
  <c r="BO526" i="15"/>
  <c r="BO527" i="15"/>
  <c r="BO528" i="15"/>
  <c r="BO529" i="15"/>
  <c r="BO530" i="15"/>
  <c r="BO531" i="15"/>
  <c r="BO532" i="15"/>
  <c r="BO533" i="15"/>
  <c r="BO534" i="15"/>
  <c r="BO535" i="15"/>
  <c r="BO536" i="15"/>
  <c r="BO537" i="15"/>
  <c r="BO538" i="15"/>
  <c r="BO539" i="15"/>
  <c r="BO540" i="15"/>
  <c r="BO541" i="15"/>
  <c r="BO542" i="15"/>
  <c r="BO543" i="15"/>
  <c r="BO544" i="15"/>
  <c r="BO545" i="15"/>
  <c r="BO546" i="15"/>
  <c r="BO547" i="15"/>
  <c r="BO548" i="15"/>
  <c r="BO549" i="15"/>
  <c r="BO550" i="15"/>
  <c r="BO551" i="15"/>
  <c r="BO552" i="15"/>
  <c r="BO553" i="15"/>
  <c r="BO554" i="15"/>
  <c r="BO555" i="15"/>
  <c r="BO556" i="15"/>
  <c r="BO557" i="15"/>
  <c r="BO558" i="15"/>
  <c r="BO559" i="15"/>
  <c r="BO560" i="15"/>
  <c r="BO561" i="15"/>
  <c r="BO562" i="15"/>
  <c r="BO563" i="15"/>
  <c r="BO564" i="15"/>
  <c r="BO565" i="15"/>
  <c r="BO566" i="15"/>
  <c r="BO567" i="15"/>
  <c r="BO568" i="15"/>
  <c r="BO569" i="15"/>
  <c r="BO570" i="15"/>
  <c r="BO571" i="15"/>
  <c r="BO572" i="15"/>
  <c r="BO573" i="15"/>
  <c r="BO574" i="15"/>
  <c r="BO575" i="15"/>
  <c r="BO576" i="15"/>
  <c r="BO577" i="15"/>
  <c r="BO578" i="15"/>
  <c r="BO579" i="15"/>
  <c r="BO580" i="15"/>
  <c r="BO581" i="15"/>
  <c r="BO582" i="15"/>
  <c r="BO583" i="15"/>
  <c r="BO584" i="15"/>
  <c r="BO585" i="15"/>
  <c r="BO586" i="15"/>
  <c r="BO587" i="15"/>
  <c r="BO588" i="15"/>
  <c r="BO589" i="15"/>
  <c r="BO590" i="15"/>
  <c r="BO591" i="15"/>
  <c r="BO592" i="15"/>
  <c r="BO593" i="15"/>
  <c r="BO594" i="15"/>
  <c r="BO595" i="15"/>
  <c r="BO596" i="15"/>
  <c r="BO597" i="15"/>
  <c r="BO598" i="15"/>
  <c r="BO599" i="15"/>
  <c r="BO600" i="15"/>
  <c r="BO601" i="15"/>
  <c r="BO602" i="15"/>
  <c r="BO603" i="15"/>
  <c r="BO604" i="15"/>
  <c r="BO605" i="15"/>
  <c r="BO606" i="15"/>
  <c r="BO607" i="15"/>
  <c r="BO608" i="15"/>
  <c r="BO609" i="15"/>
  <c r="BO610" i="15"/>
  <c r="BO611" i="15"/>
  <c r="BO612" i="15"/>
  <c r="BO613" i="15"/>
  <c r="BO614" i="15"/>
  <c r="BO615" i="15"/>
  <c r="BO616" i="15"/>
  <c r="BO617" i="15"/>
  <c r="BO618" i="15"/>
  <c r="BO619" i="15"/>
  <c r="BO620" i="15"/>
  <c r="BO621" i="15"/>
  <c r="BO622" i="15"/>
  <c r="BO623" i="15"/>
  <c r="BO624" i="15"/>
  <c r="BO625" i="15"/>
  <c r="BO626" i="15"/>
  <c r="BO627" i="15"/>
  <c r="BO628" i="15"/>
  <c r="BO629" i="15"/>
  <c r="BO630" i="15"/>
  <c r="BO631" i="15"/>
  <c r="BO632" i="15"/>
  <c r="BO633" i="15"/>
  <c r="BO634" i="15"/>
  <c r="BO635" i="15"/>
  <c r="BO636" i="15"/>
  <c r="BO637" i="15"/>
  <c r="BO638" i="15"/>
  <c r="BO639" i="15"/>
  <c r="BO640" i="15"/>
  <c r="BO641" i="15"/>
  <c r="BO642" i="15"/>
  <c r="BO643" i="15"/>
  <c r="BO644" i="15"/>
  <c r="BO645" i="15"/>
  <c r="BO646" i="15"/>
  <c r="BO647" i="15"/>
  <c r="BO648" i="15"/>
  <c r="BO649" i="15"/>
  <c r="BO650" i="15"/>
  <c r="BO651" i="15"/>
  <c r="BO652" i="15"/>
  <c r="BO653" i="15"/>
  <c r="BO654" i="15"/>
  <c r="BO655" i="15"/>
  <c r="BO656" i="15"/>
  <c r="BO657" i="15"/>
  <c r="BO658" i="15"/>
  <c r="BO659" i="15"/>
  <c r="BO660" i="15"/>
  <c r="BO661" i="15"/>
  <c r="BO662" i="15"/>
  <c r="BO663" i="15"/>
  <c r="BO664" i="15"/>
  <c r="BO665" i="15"/>
  <c r="BO666" i="15"/>
  <c r="BO667" i="15"/>
  <c r="BO668" i="15"/>
  <c r="BO669" i="15"/>
  <c r="BO670" i="15"/>
  <c r="BO671" i="15"/>
  <c r="BO672" i="15"/>
  <c r="BO673" i="15"/>
  <c r="BO674" i="15"/>
  <c r="BO675" i="15"/>
  <c r="BO676" i="15"/>
  <c r="BO677" i="15"/>
  <c r="BO678" i="15"/>
  <c r="BO679" i="15"/>
  <c r="BO680" i="15"/>
  <c r="BO681" i="15"/>
  <c r="BO682" i="15"/>
  <c r="BO683" i="15"/>
  <c r="BO684" i="15"/>
  <c r="BO685" i="15"/>
  <c r="BO686" i="15"/>
  <c r="BO687" i="15"/>
  <c r="BO688" i="15"/>
  <c r="BO689" i="15"/>
  <c r="BO690" i="15"/>
  <c r="BO691" i="15"/>
  <c r="BO692" i="15"/>
  <c r="BO693" i="15"/>
  <c r="BO694" i="15"/>
  <c r="BO695" i="15"/>
  <c r="BO696" i="15"/>
  <c r="BO697" i="15"/>
  <c r="BO698" i="15"/>
  <c r="BO699" i="15"/>
  <c r="BO700" i="15"/>
  <c r="BO701" i="15"/>
  <c r="BO702" i="15"/>
  <c r="BO703" i="15"/>
  <c r="BO704" i="15"/>
  <c r="BO705" i="15"/>
  <c r="BO706" i="15"/>
  <c r="BO707" i="15"/>
  <c r="BO708" i="15"/>
  <c r="BO709" i="15"/>
  <c r="BO710" i="15"/>
  <c r="BO711" i="15"/>
  <c r="BO712" i="15"/>
  <c r="BO713" i="15"/>
  <c r="BO714" i="15"/>
  <c r="BO715" i="15"/>
  <c r="BO716" i="15"/>
  <c r="BO717" i="15"/>
  <c r="BO718" i="15"/>
  <c r="BO719" i="15"/>
  <c r="BO720" i="15"/>
  <c r="BO721" i="15"/>
  <c r="BO722" i="15"/>
  <c r="BO723" i="15"/>
  <c r="BO724" i="15"/>
  <c r="BO725" i="15"/>
  <c r="BO726" i="15"/>
  <c r="BO727" i="15"/>
  <c r="BO728" i="15"/>
  <c r="BO729" i="15"/>
  <c r="BO730" i="15"/>
  <c r="BO731" i="15"/>
  <c r="BO732" i="15"/>
  <c r="BO733" i="15"/>
  <c r="BO734" i="15"/>
  <c r="BO735" i="15"/>
  <c r="BO736" i="15"/>
  <c r="BO737" i="15"/>
  <c r="BO738" i="15"/>
  <c r="BO739" i="15"/>
  <c r="BO740" i="15"/>
  <c r="BO741" i="15"/>
  <c r="BO742" i="15"/>
  <c r="BO743" i="15"/>
  <c r="BO744" i="15"/>
  <c r="BO745" i="15"/>
  <c r="BO746" i="15"/>
  <c r="BO747" i="15"/>
  <c r="BO748" i="15"/>
  <c r="BO749" i="15"/>
  <c r="BO750" i="15"/>
  <c r="BO751" i="15"/>
  <c r="BO752" i="15"/>
  <c r="BO753" i="15"/>
  <c r="BO754" i="15"/>
  <c r="BO755" i="15"/>
  <c r="BO756" i="15"/>
  <c r="BO757" i="15"/>
  <c r="BO758" i="15"/>
  <c r="BO759" i="15"/>
  <c r="BO760" i="15"/>
  <c r="BO761" i="15"/>
  <c r="BO762" i="15"/>
  <c r="BO763" i="15"/>
  <c r="BO764" i="15"/>
  <c r="BO765" i="15"/>
  <c r="BO766" i="15"/>
  <c r="BO767" i="15"/>
  <c r="BO768" i="15"/>
  <c r="BO769" i="15"/>
  <c r="BO770" i="15"/>
  <c r="BO771" i="15"/>
  <c r="BO772" i="15"/>
  <c r="BO773" i="15"/>
  <c r="BO774" i="15"/>
  <c r="BO775" i="15"/>
  <c r="BO776" i="15"/>
  <c r="BO777" i="15"/>
  <c r="BO778" i="15"/>
  <c r="BO779" i="15"/>
  <c r="BO780" i="15"/>
  <c r="BO781" i="15"/>
  <c r="BO782" i="15"/>
  <c r="BO783" i="15"/>
  <c r="BO784" i="15"/>
  <c r="BO785" i="15"/>
  <c r="BO786" i="15"/>
  <c r="BO787" i="15"/>
  <c r="BO788" i="15"/>
  <c r="BO789" i="15"/>
  <c r="BO790" i="15"/>
  <c r="BO791" i="15"/>
  <c r="BO792" i="15"/>
  <c r="BO793" i="15"/>
  <c r="BO794" i="15"/>
  <c r="BO795" i="15"/>
  <c r="BO796" i="15"/>
  <c r="BO797" i="15"/>
  <c r="BO798" i="15"/>
  <c r="BO799" i="15"/>
  <c r="BO800" i="15"/>
  <c r="BO801" i="15"/>
  <c r="BO802" i="15"/>
  <c r="BO803" i="15"/>
  <c r="BO804" i="15"/>
  <c r="BO805" i="15"/>
  <c r="BO806" i="15"/>
  <c r="BO807" i="15"/>
  <c r="BO808" i="15"/>
  <c r="BO809" i="15"/>
  <c r="BO810" i="15"/>
  <c r="BO811" i="15"/>
  <c r="BO812" i="15"/>
  <c r="BO813" i="15"/>
  <c r="BO814" i="15"/>
  <c r="BO815" i="15"/>
  <c r="BO816" i="15"/>
  <c r="BO817" i="15"/>
  <c r="BO818" i="15"/>
  <c r="BO819" i="15"/>
  <c r="BO820" i="15"/>
  <c r="BO821" i="15"/>
  <c r="BO822" i="15"/>
  <c r="BO823" i="15"/>
  <c r="BO824" i="15"/>
  <c r="BO825" i="15"/>
  <c r="BO826" i="15"/>
  <c r="BO827" i="15"/>
  <c r="BO828" i="15"/>
  <c r="BO829" i="15"/>
  <c r="BO830" i="15"/>
  <c r="BO831" i="15"/>
  <c r="BO832" i="15"/>
  <c r="BO833" i="15"/>
  <c r="BO834" i="15"/>
  <c r="BO835" i="15"/>
  <c r="BO836" i="15"/>
  <c r="BO837" i="15"/>
  <c r="BO838" i="15"/>
  <c r="BO839" i="15"/>
  <c r="BO840" i="15"/>
  <c r="BO841" i="15"/>
  <c r="BO842" i="15"/>
  <c r="BO843" i="15"/>
  <c r="BO844" i="15"/>
  <c r="BO845" i="15"/>
  <c r="BO846" i="15"/>
  <c r="BO847" i="15"/>
  <c r="BO848" i="15"/>
  <c r="BO849" i="15"/>
  <c r="BO850" i="15"/>
  <c r="BO851" i="15"/>
  <c r="BO852" i="15"/>
  <c r="BO853" i="15"/>
  <c r="BO854" i="15"/>
  <c r="BO855" i="15"/>
  <c r="BO856" i="15"/>
  <c r="BO857" i="15"/>
  <c r="BO858" i="15"/>
  <c r="BO859" i="15"/>
  <c r="BO860" i="15"/>
  <c r="BO861" i="15"/>
  <c r="BO862" i="15"/>
  <c r="BO863" i="15"/>
  <c r="BO864" i="15"/>
  <c r="BO865" i="15"/>
  <c r="BO866" i="15"/>
  <c r="BO867" i="15"/>
  <c r="BO868" i="15"/>
  <c r="BO869" i="15"/>
  <c r="BO870" i="15"/>
  <c r="BO871" i="15"/>
  <c r="BO872" i="15"/>
  <c r="BO873" i="15"/>
  <c r="BO874" i="15"/>
  <c r="BO875" i="15"/>
  <c r="BO876" i="15"/>
  <c r="BO877" i="15"/>
  <c r="BO878" i="15"/>
  <c r="BO879" i="15"/>
  <c r="BO880" i="15"/>
  <c r="BO881" i="15"/>
  <c r="BO882" i="15"/>
  <c r="BO883" i="15"/>
  <c r="BO884" i="15"/>
  <c r="BO885" i="15"/>
  <c r="BO886" i="15"/>
  <c r="BO887" i="15"/>
  <c r="BO888" i="15"/>
  <c r="BO889" i="15"/>
  <c r="BO890" i="15"/>
  <c r="BO891" i="15"/>
  <c r="BO892" i="15"/>
  <c r="BO893" i="15"/>
  <c r="BO894" i="15"/>
  <c r="BO895" i="15"/>
  <c r="BO896" i="15"/>
  <c r="BO897" i="15"/>
  <c r="BO898" i="15"/>
  <c r="BO899" i="15"/>
  <c r="BO900" i="15"/>
  <c r="BO901" i="15"/>
  <c r="BO902" i="15"/>
  <c r="BO903" i="15"/>
  <c r="BO904" i="15"/>
  <c r="BO905" i="15"/>
  <c r="BO906" i="15"/>
  <c r="BO907" i="15"/>
  <c r="BO908" i="15"/>
  <c r="BO909" i="15"/>
  <c r="BO910" i="15"/>
  <c r="BO911" i="15"/>
  <c r="BO912" i="15"/>
  <c r="BO913" i="15"/>
  <c r="BO914" i="15"/>
  <c r="BO915" i="15"/>
  <c r="BO916" i="15"/>
  <c r="BO917" i="15"/>
  <c r="BO918" i="15"/>
  <c r="BO919" i="15"/>
  <c r="BO920" i="15"/>
  <c r="BO921" i="15"/>
  <c r="BO922" i="15"/>
  <c r="BO923" i="15"/>
  <c r="BO924" i="15"/>
  <c r="BO925" i="15"/>
  <c r="BO926" i="15"/>
  <c r="BO927" i="15"/>
  <c r="BO928" i="15"/>
  <c r="BO929" i="15"/>
  <c r="BO930" i="15"/>
  <c r="BO931" i="15"/>
  <c r="BO932" i="15"/>
  <c r="BO933" i="15"/>
  <c r="BO934" i="15"/>
  <c r="BO935" i="15"/>
  <c r="BO936" i="15"/>
  <c r="BO937" i="15"/>
  <c r="BO938" i="15"/>
  <c r="BO939" i="15"/>
  <c r="BO940" i="15"/>
  <c r="BO941" i="15"/>
  <c r="BO942" i="15"/>
  <c r="BO943" i="15"/>
  <c r="BO944" i="15"/>
  <c r="BO945" i="15"/>
  <c r="BO946" i="15"/>
  <c r="BO947" i="15"/>
  <c r="BO948" i="15"/>
  <c r="BO949" i="15"/>
  <c r="BO950" i="15"/>
  <c r="BO951" i="15"/>
  <c r="BO952" i="15"/>
  <c r="BO953" i="15"/>
  <c r="BO954" i="15"/>
  <c r="BO955" i="15"/>
  <c r="BO956" i="15"/>
  <c r="BO957" i="15"/>
  <c r="BO958" i="15"/>
  <c r="BO959" i="15"/>
  <c r="BO960" i="15"/>
  <c r="BO961" i="15"/>
  <c r="BO962" i="15"/>
  <c r="BO963" i="15"/>
  <c r="BO964" i="15"/>
  <c r="BO965" i="15"/>
  <c r="BO966" i="15"/>
  <c r="BO967" i="15"/>
  <c r="BO968" i="15"/>
  <c r="BO969" i="15"/>
  <c r="BO970" i="15"/>
  <c r="BO971" i="15"/>
  <c r="BO972" i="15"/>
  <c r="BO973" i="15"/>
  <c r="BO974" i="15"/>
  <c r="BO975" i="15"/>
  <c r="BO976" i="15"/>
  <c r="BO977" i="15"/>
  <c r="BO978" i="15"/>
  <c r="BO979" i="15"/>
  <c r="BO980" i="15"/>
  <c r="BO981" i="15"/>
  <c r="BO982" i="15"/>
  <c r="BO983" i="15"/>
  <c r="BO984" i="15"/>
  <c r="BO985" i="15"/>
  <c r="BO986" i="15"/>
  <c r="BO987" i="15"/>
  <c r="BO988" i="15"/>
  <c r="BO989" i="15"/>
  <c r="BO990" i="15"/>
  <c r="BO991" i="15"/>
  <c r="BO992" i="15"/>
  <c r="BO993" i="15"/>
  <c r="BO994" i="15"/>
  <c r="BO995" i="15"/>
  <c r="BO996" i="15"/>
  <c r="BO997" i="15"/>
  <c r="BO998" i="15"/>
  <c r="BO999" i="15"/>
  <c r="BO1000" i="15"/>
  <c r="BO1001" i="15"/>
  <c r="BO1002" i="15"/>
  <c r="BO1003" i="15"/>
  <c r="BO1004" i="15"/>
  <c r="BO1005" i="15"/>
  <c r="BO1006" i="15"/>
  <c r="BO1007" i="15"/>
  <c r="BO1008" i="15"/>
  <c r="BO1009" i="15"/>
  <c r="BO1010" i="15"/>
  <c r="BO1011" i="15"/>
  <c r="BO1012" i="15"/>
  <c r="BO1013" i="15"/>
  <c r="BO1014" i="15"/>
  <c r="BO1015" i="15"/>
  <c r="BO1016" i="15"/>
  <c r="BO1017" i="15"/>
  <c r="BO1018" i="15"/>
  <c r="BO1019" i="15"/>
  <c r="BO1020" i="15"/>
  <c r="BO1021" i="15"/>
  <c r="BO1022" i="15"/>
  <c r="BO1023" i="15"/>
  <c r="BO1024" i="15"/>
  <c r="BO1025" i="15"/>
  <c r="BO1026" i="15"/>
  <c r="BO1027" i="15"/>
  <c r="BQ27" i="15"/>
  <c r="AK1011" i="15" l="1"/>
  <c r="AJ1011" i="15"/>
  <c r="AL1011" i="15" s="1"/>
  <c r="AO888" i="15"/>
  <c r="AN888" i="15"/>
  <c r="AP888" i="15" s="1"/>
  <c r="AS765" i="15"/>
  <c r="AR765" i="15"/>
  <c r="AT765" i="15" s="1"/>
  <c r="BA519" i="15"/>
  <c r="AZ519" i="15"/>
  <c r="BB519" i="15" s="1"/>
  <c r="BM150" i="15"/>
  <c r="BL150" i="15"/>
  <c r="BN150" i="15" s="1"/>
  <c r="BI273" i="15"/>
  <c r="BH273" i="15"/>
  <c r="BJ273" i="15" s="1"/>
  <c r="AW642" i="15"/>
  <c r="AV642" i="15"/>
  <c r="AX642" i="15" s="1"/>
  <c r="BE396" i="15"/>
  <c r="BD396" i="15"/>
  <c r="BF396" i="15" s="1"/>
  <c r="BR27" i="15"/>
  <c r="BP28" i="15"/>
  <c r="BE397" i="15" l="1"/>
  <c r="BD397" i="15"/>
  <c r="BF397" i="15" s="1"/>
  <c r="AW643" i="15"/>
  <c r="AV643" i="15"/>
  <c r="AX643" i="15" s="1"/>
  <c r="BI274" i="15"/>
  <c r="BH274" i="15"/>
  <c r="BJ274" i="15" s="1"/>
  <c r="BM151" i="15"/>
  <c r="BL151" i="15"/>
  <c r="BN151" i="15" s="1"/>
  <c r="BA520" i="15"/>
  <c r="AZ520" i="15"/>
  <c r="BB520" i="15" s="1"/>
  <c r="AS766" i="15"/>
  <c r="AR766" i="15"/>
  <c r="AT766" i="15" s="1"/>
  <c r="AO889" i="15"/>
  <c r="AN889" i="15"/>
  <c r="AP889" i="15" s="1"/>
  <c r="AK1012" i="15"/>
  <c r="AJ1012" i="15"/>
  <c r="AL1012" i="15" s="1"/>
  <c r="BQ28" i="15"/>
  <c r="BR28" i="15" s="1"/>
  <c r="AK1013" i="15" l="1"/>
  <c r="AJ1013" i="15"/>
  <c r="AL1013" i="15" s="1"/>
  <c r="AS767" i="15"/>
  <c r="AR767" i="15"/>
  <c r="AT767" i="15" s="1"/>
  <c r="BA521" i="15"/>
  <c r="AZ521" i="15"/>
  <c r="BB521" i="15" s="1"/>
  <c r="BI275" i="15"/>
  <c r="BH275" i="15"/>
  <c r="BJ275" i="15" s="1"/>
  <c r="AW644" i="15"/>
  <c r="AV644" i="15"/>
  <c r="AX644" i="15" s="1"/>
  <c r="BE398" i="15"/>
  <c r="BD398" i="15"/>
  <c r="BF398" i="15" s="1"/>
  <c r="AO890" i="15"/>
  <c r="AN890" i="15"/>
  <c r="AP890" i="15" s="1"/>
  <c r="BM152" i="15"/>
  <c r="BL152" i="15"/>
  <c r="BN152" i="15" s="1"/>
  <c r="BQ29" i="15"/>
  <c r="BP29" i="15"/>
  <c r="BR29" i="15" s="1"/>
  <c r="BM153" i="15" l="1"/>
  <c r="BL153" i="15"/>
  <c r="BN153" i="15" s="1"/>
  <c r="BE399" i="15"/>
  <c r="BD399" i="15"/>
  <c r="BF399" i="15" s="1"/>
  <c r="BI276" i="15"/>
  <c r="BH276" i="15"/>
  <c r="BJ276" i="15" s="1"/>
  <c r="BA522" i="15"/>
  <c r="AZ522" i="15"/>
  <c r="BB522" i="15" s="1"/>
  <c r="AK1014" i="15"/>
  <c r="AJ1014" i="15"/>
  <c r="AL1014" i="15" s="1"/>
  <c r="BQ30" i="15"/>
  <c r="BP30" i="15"/>
  <c r="BR30" i="15" s="1"/>
  <c r="AO891" i="15"/>
  <c r="AN891" i="15"/>
  <c r="AP891" i="15" s="1"/>
  <c r="AW645" i="15"/>
  <c r="AV645" i="15"/>
  <c r="AX645" i="15" s="1"/>
  <c r="AS768" i="15"/>
  <c r="AR768" i="15"/>
  <c r="AT768" i="15" s="1"/>
  <c r="AO892" i="15" l="1"/>
  <c r="AN892" i="15"/>
  <c r="AP892" i="15" s="1"/>
  <c r="AK1015" i="15"/>
  <c r="AJ1015" i="15"/>
  <c r="AL1015" i="15" s="1"/>
  <c r="BI277" i="15"/>
  <c r="BH277" i="15"/>
  <c r="BJ277" i="15" s="1"/>
  <c r="BM154" i="15"/>
  <c r="BL154" i="15"/>
  <c r="BN154" i="15" s="1"/>
  <c r="AS769" i="15"/>
  <c r="AR769" i="15"/>
  <c r="AT769" i="15" s="1"/>
  <c r="AW646" i="15"/>
  <c r="AV646" i="15"/>
  <c r="AX646" i="15" s="1"/>
  <c r="BQ31" i="15"/>
  <c r="BP31" i="15"/>
  <c r="BR31" i="15" s="1"/>
  <c r="BA523" i="15"/>
  <c r="AZ523" i="15"/>
  <c r="BB523" i="15" s="1"/>
  <c r="BE400" i="15"/>
  <c r="BD400" i="15"/>
  <c r="BF400" i="15" s="1"/>
  <c r="BE401" i="15" l="1"/>
  <c r="BD401" i="15"/>
  <c r="BF401" i="15" s="1"/>
  <c r="BQ32" i="15"/>
  <c r="BP32" i="15"/>
  <c r="BR32" i="15" s="1"/>
  <c r="AS770" i="15"/>
  <c r="AR770" i="15"/>
  <c r="AT770" i="15" s="1"/>
  <c r="BI278" i="15"/>
  <c r="BH278" i="15"/>
  <c r="BJ278" i="15" s="1"/>
  <c r="AO893" i="15"/>
  <c r="AN893" i="15"/>
  <c r="AP893" i="15" s="1"/>
  <c r="BA524" i="15"/>
  <c r="AZ524" i="15"/>
  <c r="BB524" i="15" s="1"/>
  <c r="AW647" i="15"/>
  <c r="AV647" i="15"/>
  <c r="AX647" i="15" s="1"/>
  <c r="BM155" i="15"/>
  <c r="BL155" i="15"/>
  <c r="BN155" i="15" s="1"/>
  <c r="AK1016" i="15"/>
  <c r="AJ1016" i="15"/>
  <c r="AL1016" i="15" s="1"/>
  <c r="AS771" i="15" l="1"/>
  <c r="AR771" i="15"/>
  <c r="AT771" i="15" s="1"/>
  <c r="BE402" i="15"/>
  <c r="BD402" i="15"/>
  <c r="BF402" i="15" s="1"/>
  <c r="AK1017" i="15"/>
  <c r="AJ1017" i="15"/>
  <c r="AL1017" i="15" s="1"/>
  <c r="BM156" i="15"/>
  <c r="BL156" i="15"/>
  <c r="BN156" i="15" s="1"/>
  <c r="AW648" i="15"/>
  <c r="AV648" i="15"/>
  <c r="AX648" i="15" s="1"/>
  <c r="BA525" i="15"/>
  <c r="AZ525" i="15"/>
  <c r="BB525" i="15" s="1"/>
  <c r="AO894" i="15"/>
  <c r="AN894" i="15"/>
  <c r="AP894" i="15" s="1"/>
  <c r="BI279" i="15"/>
  <c r="BH279" i="15"/>
  <c r="BJ279" i="15" s="1"/>
  <c r="BQ33" i="15"/>
  <c r="BP33" i="15"/>
  <c r="BR33" i="15" s="1"/>
  <c r="BI280" i="15" l="1"/>
  <c r="BH280" i="15"/>
  <c r="BJ280" i="15" s="1"/>
  <c r="BA526" i="15"/>
  <c r="AZ526" i="15"/>
  <c r="BB526" i="15" s="1"/>
  <c r="BM157" i="15"/>
  <c r="BL157" i="15"/>
  <c r="BN157" i="15" s="1"/>
  <c r="AK1018" i="15"/>
  <c r="AJ1018" i="15"/>
  <c r="AL1018" i="15" s="1"/>
  <c r="AS772" i="15"/>
  <c r="AR772" i="15"/>
  <c r="AT772" i="15" s="1"/>
  <c r="BQ34" i="15"/>
  <c r="BP34" i="15"/>
  <c r="BR34" i="15" s="1"/>
  <c r="AO895" i="15"/>
  <c r="AN895" i="15"/>
  <c r="AP895" i="15" s="1"/>
  <c r="AW649" i="15"/>
  <c r="AV649" i="15"/>
  <c r="AX649" i="15" s="1"/>
  <c r="BE403" i="15"/>
  <c r="BD403" i="15"/>
  <c r="BF403" i="15" s="1"/>
  <c r="BE404" i="15" l="1"/>
  <c r="BD404" i="15"/>
  <c r="BF404" i="15" s="1"/>
  <c r="AO896" i="15"/>
  <c r="AN896" i="15"/>
  <c r="AP896" i="15" s="1"/>
  <c r="AS773" i="15"/>
  <c r="AR773" i="15"/>
  <c r="AT773" i="15" s="1"/>
  <c r="BM158" i="15"/>
  <c r="BL158" i="15"/>
  <c r="BN158" i="15" s="1"/>
  <c r="BI281" i="15"/>
  <c r="BH281" i="15"/>
  <c r="BJ281" i="15" s="1"/>
  <c r="AW650" i="15"/>
  <c r="AV650" i="15"/>
  <c r="AX650" i="15" s="1"/>
  <c r="BQ35" i="15"/>
  <c r="BP35" i="15"/>
  <c r="BR35" i="15" s="1"/>
  <c r="AK1019" i="15"/>
  <c r="AJ1019" i="15"/>
  <c r="AL1019" i="15" s="1"/>
  <c r="BA527" i="15"/>
  <c r="AZ527" i="15"/>
  <c r="BB527" i="15" s="1"/>
  <c r="BA528" i="15" l="1"/>
  <c r="AZ528" i="15"/>
  <c r="BB528" i="15" s="1"/>
  <c r="BQ36" i="15"/>
  <c r="BP36" i="15"/>
  <c r="BR36" i="15" s="1"/>
  <c r="BI282" i="15"/>
  <c r="BH282" i="15"/>
  <c r="BJ282" i="15" s="1"/>
  <c r="AS774" i="15"/>
  <c r="AR774" i="15"/>
  <c r="AT774" i="15" s="1"/>
  <c r="BE405" i="15"/>
  <c r="BD405" i="15"/>
  <c r="BF405" i="15" s="1"/>
  <c r="AK1020" i="15"/>
  <c r="AJ1020" i="15"/>
  <c r="AL1020" i="15" s="1"/>
  <c r="AW651" i="15"/>
  <c r="AV651" i="15"/>
  <c r="AX651" i="15" s="1"/>
  <c r="BM159" i="15"/>
  <c r="BL159" i="15"/>
  <c r="BN159" i="15" s="1"/>
  <c r="AO897" i="15"/>
  <c r="AN897" i="15"/>
  <c r="AP897" i="15" s="1"/>
  <c r="AO898" i="15" l="1"/>
  <c r="AN898" i="15"/>
  <c r="AP898" i="15" s="1"/>
  <c r="AW652" i="15"/>
  <c r="AV652" i="15"/>
  <c r="AX652" i="15" s="1"/>
  <c r="BE406" i="15"/>
  <c r="BD406" i="15"/>
  <c r="BF406" i="15" s="1"/>
  <c r="BI283" i="15"/>
  <c r="BH283" i="15"/>
  <c r="BJ283" i="15" s="1"/>
  <c r="BA529" i="15"/>
  <c r="AZ529" i="15"/>
  <c r="BB529" i="15" s="1"/>
  <c r="BM160" i="15"/>
  <c r="BL160" i="15"/>
  <c r="BN160" i="15" s="1"/>
  <c r="AK1021" i="15"/>
  <c r="AJ1021" i="15"/>
  <c r="AL1021" i="15" s="1"/>
  <c r="AS775" i="15"/>
  <c r="AR775" i="15"/>
  <c r="AT775" i="15" s="1"/>
  <c r="BQ37" i="15"/>
  <c r="BP37" i="15"/>
  <c r="BR37" i="15" s="1"/>
  <c r="AS776" i="15" l="1"/>
  <c r="AR776" i="15"/>
  <c r="AT776" i="15" s="1"/>
  <c r="BM161" i="15"/>
  <c r="BL161" i="15"/>
  <c r="BN161" i="15" s="1"/>
  <c r="BI284" i="15"/>
  <c r="BH284" i="15"/>
  <c r="BJ284" i="15" s="1"/>
  <c r="BE407" i="15"/>
  <c r="BD407" i="15"/>
  <c r="BF407" i="15" s="1"/>
  <c r="AO899" i="15"/>
  <c r="AN899" i="15"/>
  <c r="AP899" i="15" s="1"/>
  <c r="BQ38" i="15"/>
  <c r="BP38" i="15"/>
  <c r="BR38" i="15" s="1"/>
  <c r="AK1022" i="15"/>
  <c r="AJ1022" i="15"/>
  <c r="AL1022" i="15" s="1"/>
  <c r="BA530" i="15"/>
  <c r="AZ530" i="15"/>
  <c r="BB530" i="15" s="1"/>
  <c r="AW653" i="15"/>
  <c r="AV653" i="15"/>
  <c r="AX653" i="15" s="1"/>
  <c r="BA531" i="15" l="1"/>
  <c r="AZ531" i="15"/>
  <c r="BB531" i="15" s="1"/>
  <c r="BQ39" i="15"/>
  <c r="BP39" i="15"/>
  <c r="BR39" i="15" s="1"/>
  <c r="AO900" i="15"/>
  <c r="AN900" i="15"/>
  <c r="AP900" i="15" s="1"/>
  <c r="BI285" i="15"/>
  <c r="BH285" i="15"/>
  <c r="BJ285" i="15" s="1"/>
  <c r="AS777" i="15"/>
  <c r="AR777" i="15"/>
  <c r="AT777" i="15" s="1"/>
  <c r="AW654" i="15"/>
  <c r="AV654" i="15"/>
  <c r="AX654" i="15" s="1"/>
  <c r="AK1023" i="15"/>
  <c r="AJ1023" i="15"/>
  <c r="AL1023" i="15" s="1"/>
  <c r="BE408" i="15"/>
  <c r="BD408" i="15"/>
  <c r="BF408" i="15" s="1"/>
  <c r="BM162" i="15"/>
  <c r="BL162" i="15"/>
  <c r="BN162" i="15" s="1"/>
  <c r="BM163" i="15" l="1"/>
  <c r="BL163" i="15"/>
  <c r="BN163" i="15" s="1"/>
  <c r="AK1024" i="15"/>
  <c r="AJ1024" i="15"/>
  <c r="AL1024" i="15" s="1"/>
  <c r="AS778" i="15"/>
  <c r="AR778" i="15"/>
  <c r="AT778" i="15" s="1"/>
  <c r="AO901" i="15"/>
  <c r="AN901" i="15"/>
  <c r="AP901" i="15" s="1"/>
  <c r="BA532" i="15"/>
  <c r="AZ532" i="15"/>
  <c r="BB532" i="15" s="1"/>
  <c r="BE409" i="15"/>
  <c r="BD409" i="15"/>
  <c r="BF409" i="15" s="1"/>
  <c r="AW655" i="15"/>
  <c r="AV655" i="15"/>
  <c r="AX655" i="15" s="1"/>
  <c r="BI286" i="15"/>
  <c r="BH286" i="15"/>
  <c r="BJ286" i="15" s="1"/>
  <c r="BQ40" i="15"/>
  <c r="BP40" i="15"/>
  <c r="BR40" i="15" s="1"/>
  <c r="BI287" i="15" l="1"/>
  <c r="BH287" i="15"/>
  <c r="BJ287" i="15" s="1"/>
  <c r="BE410" i="15"/>
  <c r="BD410" i="15"/>
  <c r="BF410" i="15" s="1"/>
  <c r="AO902" i="15"/>
  <c r="AN902" i="15"/>
  <c r="AP902" i="15" s="1"/>
  <c r="AS779" i="15"/>
  <c r="AR779" i="15"/>
  <c r="AT779" i="15" s="1"/>
  <c r="BM164" i="15"/>
  <c r="BL164" i="15"/>
  <c r="BN164" i="15" s="1"/>
  <c r="BQ41" i="15"/>
  <c r="BP41" i="15"/>
  <c r="BR41" i="15" s="1"/>
  <c r="AW656" i="15"/>
  <c r="AV656" i="15"/>
  <c r="AX656" i="15" s="1"/>
  <c r="BA533" i="15"/>
  <c r="AZ533" i="15"/>
  <c r="BB533" i="15" s="1"/>
  <c r="AK1025" i="15"/>
  <c r="AJ1025" i="15"/>
  <c r="AL1025" i="15" s="1"/>
  <c r="BA534" i="15" l="1"/>
  <c r="AZ534" i="15"/>
  <c r="BB534" i="15" s="1"/>
  <c r="BQ42" i="15"/>
  <c r="BP42" i="15"/>
  <c r="BR42" i="15" s="1"/>
  <c r="BM165" i="15"/>
  <c r="BL165" i="15"/>
  <c r="BN165" i="15" s="1"/>
  <c r="AO903" i="15"/>
  <c r="AN903" i="15"/>
  <c r="AP903" i="15" s="1"/>
  <c r="BI288" i="15"/>
  <c r="BH288" i="15"/>
  <c r="BJ288" i="15" s="1"/>
  <c r="AK1026" i="15"/>
  <c r="AJ1026" i="15"/>
  <c r="AL1026" i="15" s="1"/>
  <c r="AW657" i="15"/>
  <c r="AV657" i="15"/>
  <c r="AX657" i="15" s="1"/>
  <c r="AS780" i="15"/>
  <c r="AR780" i="15"/>
  <c r="AT780" i="15" s="1"/>
  <c r="BE411" i="15"/>
  <c r="BD411" i="15"/>
  <c r="BF411" i="15" s="1"/>
  <c r="BE412" i="15" l="1"/>
  <c r="BD412" i="15"/>
  <c r="BF412" i="15" s="1"/>
  <c r="AW658" i="15"/>
  <c r="AV658" i="15"/>
  <c r="AX658" i="15" s="1"/>
  <c r="BI289" i="15"/>
  <c r="BH289" i="15"/>
  <c r="BJ289" i="15" s="1"/>
  <c r="BM166" i="15"/>
  <c r="BL166" i="15"/>
  <c r="BN166" i="15" s="1"/>
  <c r="BA535" i="15"/>
  <c r="AZ535" i="15"/>
  <c r="BB535" i="15" s="1"/>
  <c r="AS781" i="15"/>
  <c r="AR781" i="15"/>
  <c r="AT781" i="15" s="1"/>
  <c r="AK1027" i="15"/>
  <c r="AJ1027" i="15"/>
  <c r="AL1027" i="15" s="1"/>
  <c r="AO904" i="15"/>
  <c r="AN904" i="15"/>
  <c r="AP904" i="15" s="1"/>
  <c r="BQ43" i="15"/>
  <c r="BP43" i="15"/>
  <c r="BR43" i="15" s="1"/>
  <c r="AO905" i="15" l="1"/>
  <c r="AN905" i="15"/>
  <c r="AP905" i="15" s="1"/>
  <c r="AS782" i="15"/>
  <c r="AR782" i="15"/>
  <c r="AT782" i="15" s="1"/>
  <c r="BA536" i="15"/>
  <c r="AZ536" i="15"/>
  <c r="BB536" i="15" s="1"/>
  <c r="BI290" i="15"/>
  <c r="BH290" i="15"/>
  <c r="BJ290" i="15" s="1"/>
  <c r="BE413" i="15"/>
  <c r="BD413" i="15"/>
  <c r="BF413" i="15" s="1"/>
  <c r="BQ44" i="15"/>
  <c r="BP44" i="15"/>
  <c r="BR44" i="15" s="1"/>
  <c r="BM167" i="15"/>
  <c r="BL167" i="15"/>
  <c r="BN167" i="15" s="1"/>
  <c r="AW659" i="15"/>
  <c r="AV659" i="15"/>
  <c r="AX659" i="15" s="1"/>
  <c r="AW660" i="15" l="1"/>
  <c r="AV660" i="15"/>
  <c r="AX660" i="15" s="1"/>
  <c r="BQ45" i="15"/>
  <c r="BP45" i="15"/>
  <c r="BR45" i="15" s="1"/>
  <c r="BE414" i="15"/>
  <c r="BD414" i="15"/>
  <c r="BF414" i="15" s="1"/>
  <c r="BA537" i="15"/>
  <c r="AZ537" i="15"/>
  <c r="BB537" i="15" s="1"/>
  <c r="AO906" i="15"/>
  <c r="AN906" i="15"/>
  <c r="AP906" i="15" s="1"/>
  <c r="BM168" i="15"/>
  <c r="BL168" i="15"/>
  <c r="BN168" i="15" s="1"/>
  <c r="BI291" i="15"/>
  <c r="BH291" i="15"/>
  <c r="BJ291" i="15" s="1"/>
  <c r="AS783" i="15"/>
  <c r="AR783" i="15"/>
  <c r="AT783" i="15" s="1"/>
  <c r="BI292" i="15" l="1"/>
  <c r="BH292" i="15"/>
  <c r="BJ292" i="15" s="1"/>
  <c r="AO907" i="15"/>
  <c r="AN907" i="15"/>
  <c r="AP907" i="15" s="1"/>
  <c r="BE415" i="15"/>
  <c r="BD415" i="15"/>
  <c r="BF415" i="15" s="1"/>
  <c r="AW661" i="15"/>
  <c r="AV661" i="15"/>
  <c r="AX661" i="15" s="1"/>
  <c r="AS784" i="15"/>
  <c r="AR784" i="15"/>
  <c r="AT784" i="15" s="1"/>
  <c r="BM169" i="15"/>
  <c r="BL169" i="15"/>
  <c r="BN169" i="15" s="1"/>
  <c r="BA538" i="15"/>
  <c r="AZ538" i="15"/>
  <c r="BB538" i="15" s="1"/>
  <c r="BQ46" i="15"/>
  <c r="BP46" i="15"/>
  <c r="BR46" i="15" s="1"/>
  <c r="BA539" i="15" l="1"/>
  <c r="AZ539" i="15"/>
  <c r="BB539" i="15" s="1"/>
  <c r="AS785" i="15"/>
  <c r="AR785" i="15"/>
  <c r="AT785" i="15" s="1"/>
  <c r="BE416" i="15"/>
  <c r="BD416" i="15"/>
  <c r="BF416" i="15" s="1"/>
  <c r="BI293" i="15"/>
  <c r="BH293" i="15"/>
  <c r="BJ293" i="15" s="1"/>
  <c r="BQ47" i="15"/>
  <c r="BP47" i="15"/>
  <c r="BR47" i="15" s="1"/>
  <c r="BM170" i="15"/>
  <c r="BL170" i="15"/>
  <c r="BN170" i="15" s="1"/>
  <c r="AW662" i="15"/>
  <c r="AV662" i="15"/>
  <c r="AX662" i="15" s="1"/>
  <c r="AO908" i="15"/>
  <c r="AN908" i="15"/>
  <c r="AP908" i="15" s="1"/>
  <c r="AO909" i="15" l="1"/>
  <c r="AN909" i="15"/>
  <c r="AP909" i="15" s="1"/>
  <c r="BM171" i="15"/>
  <c r="BL171" i="15"/>
  <c r="BN171" i="15" s="1"/>
  <c r="BQ48" i="15"/>
  <c r="BP48" i="15"/>
  <c r="BR48" i="15" s="1"/>
  <c r="BE417" i="15"/>
  <c r="BD417" i="15"/>
  <c r="BF417" i="15" s="1"/>
  <c r="BA540" i="15"/>
  <c r="AZ540" i="15"/>
  <c r="BB540" i="15" s="1"/>
  <c r="AW663" i="15"/>
  <c r="AV663" i="15"/>
  <c r="AX663" i="15" s="1"/>
  <c r="BI294" i="15"/>
  <c r="BH294" i="15"/>
  <c r="BJ294" i="15" s="1"/>
  <c r="AS786" i="15"/>
  <c r="AR786" i="15"/>
  <c r="AT786" i="15" s="1"/>
  <c r="AS787" i="15" l="1"/>
  <c r="AR787" i="15"/>
  <c r="AT787" i="15" s="1"/>
  <c r="AW664" i="15"/>
  <c r="AV664" i="15"/>
  <c r="AX664" i="15" s="1"/>
  <c r="BE418" i="15"/>
  <c r="BD418" i="15"/>
  <c r="BF418" i="15" s="1"/>
  <c r="BQ49" i="15"/>
  <c r="BP49" i="15"/>
  <c r="BR49" i="15" s="1"/>
  <c r="AO910" i="15"/>
  <c r="AN910" i="15"/>
  <c r="AP910" i="15" s="1"/>
  <c r="BI295" i="15"/>
  <c r="BH295" i="15"/>
  <c r="BJ295" i="15" s="1"/>
  <c r="BA541" i="15"/>
  <c r="AZ541" i="15"/>
  <c r="BB541" i="15" s="1"/>
  <c r="BM172" i="15"/>
  <c r="BL172" i="15"/>
  <c r="BN172" i="15" s="1"/>
  <c r="BM173" i="15" l="1"/>
  <c r="BL173" i="15"/>
  <c r="BN173" i="15" s="1"/>
  <c r="BI296" i="15"/>
  <c r="BH296" i="15"/>
  <c r="BJ296" i="15" s="1"/>
  <c r="BQ50" i="15"/>
  <c r="BP50" i="15"/>
  <c r="BR50" i="15" s="1"/>
  <c r="BE419" i="15"/>
  <c r="BD419" i="15"/>
  <c r="BF419" i="15" s="1"/>
  <c r="AS788" i="15"/>
  <c r="AR788" i="15"/>
  <c r="AT788" i="15" s="1"/>
  <c r="BA542" i="15"/>
  <c r="AZ542" i="15"/>
  <c r="BB542" i="15" s="1"/>
  <c r="AO911" i="15"/>
  <c r="AN911" i="15"/>
  <c r="AP911" i="15" s="1"/>
  <c r="AW665" i="15"/>
  <c r="AV665" i="15"/>
  <c r="AX665" i="15" s="1"/>
  <c r="AW666" i="15" l="1"/>
  <c r="AV666" i="15"/>
  <c r="AX666" i="15" s="1"/>
  <c r="BA543" i="15"/>
  <c r="AZ543" i="15"/>
  <c r="BB543" i="15" s="1"/>
  <c r="AS789" i="15"/>
  <c r="AR789" i="15"/>
  <c r="AT789" i="15" s="1"/>
  <c r="BQ51" i="15"/>
  <c r="BP51" i="15"/>
  <c r="BR51" i="15" s="1"/>
  <c r="BM174" i="15"/>
  <c r="BL174" i="15"/>
  <c r="BN174" i="15" s="1"/>
  <c r="AO912" i="15"/>
  <c r="AN912" i="15"/>
  <c r="AP912" i="15" s="1"/>
  <c r="BE420" i="15"/>
  <c r="BD420" i="15"/>
  <c r="BF420" i="15" s="1"/>
  <c r="BI297" i="15"/>
  <c r="BH297" i="15"/>
  <c r="BJ297" i="15" s="1"/>
  <c r="BE421" i="15" l="1"/>
  <c r="BD421" i="15"/>
  <c r="BF421" i="15" s="1"/>
  <c r="BM175" i="15"/>
  <c r="BL175" i="15"/>
  <c r="BN175" i="15" s="1"/>
  <c r="AS790" i="15"/>
  <c r="AR790" i="15"/>
  <c r="AT790" i="15" s="1"/>
  <c r="AW667" i="15"/>
  <c r="AV667" i="15"/>
  <c r="AX667" i="15" s="1"/>
  <c r="BI298" i="15"/>
  <c r="BH298" i="15"/>
  <c r="BJ298" i="15" s="1"/>
  <c r="AO913" i="15"/>
  <c r="AN913" i="15"/>
  <c r="AP913" i="15" s="1"/>
  <c r="BQ52" i="15"/>
  <c r="BP52" i="15"/>
  <c r="BR52" i="15" s="1"/>
  <c r="BA544" i="15"/>
  <c r="AZ544" i="15"/>
  <c r="BB544" i="15" s="1"/>
  <c r="BA545" i="15" l="1"/>
  <c r="AZ545" i="15"/>
  <c r="BB545" i="15" s="1"/>
  <c r="AO914" i="15"/>
  <c r="AN914" i="15"/>
  <c r="AP914" i="15" s="1"/>
  <c r="AW668" i="15"/>
  <c r="AV668" i="15"/>
  <c r="AX668" i="15" s="1"/>
  <c r="AS791" i="15"/>
  <c r="AR791" i="15"/>
  <c r="AT791" i="15" s="1"/>
  <c r="BE422" i="15"/>
  <c r="BD422" i="15"/>
  <c r="BF422" i="15" s="1"/>
  <c r="BQ53" i="15"/>
  <c r="BP53" i="15"/>
  <c r="BR53" i="15" s="1"/>
  <c r="BI299" i="15"/>
  <c r="BH299" i="15"/>
  <c r="BJ299" i="15" s="1"/>
  <c r="BM176" i="15"/>
  <c r="BL176" i="15"/>
  <c r="BN176" i="15" s="1"/>
  <c r="BM177" i="15" l="1"/>
  <c r="BL177" i="15"/>
  <c r="BN177" i="15" s="1"/>
  <c r="BQ54" i="15"/>
  <c r="BP54" i="15"/>
  <c r="BR54" i="15" s="1"/>
  <c r="BE423" i="15"/>
  <c r="BD423" i="15"/>
  <c r="BF423" i="15" s="1"/>
  <c r="AW669" i="15"/>
  <c r="AV669" i="15"/>
  <c r="AX669" i="15" s="1"/>
  <c r="BA546" i="15"/>
  <c r="AZ546" i="15"/>
  <c r="BB546" i="15" s="1"/>
  <c r="BI300" i="15"/>
  <c r="BH300" i="15"/>
  <c r="BJ300" i="15" s="1"/>
  <c r="AS792" i="15"/>
  <c r="AR792" i="15"/>
  <c r="AT792" i="15" s="1"/>
  <c r="AO915" i="15"/>
  <c r="AN915" i="15"/>
  <c r="AP915" i="15" s="1"/>
  <c r="AS793" i="15" l="1"/>
  <c r="AR793" i="15"/>
  <c r="AT793" i="15" s="1"/>
  <c r="BA547" i="15"/>
  <c r="AZ547" i="15"/>
  <c r="BB547" i="15" s="1"/>
  <c r="BE424" i="15"/>
  <c r="BD424" i="15"/>
  <c r="BF424" i="15" s="1"/>
  <c r="BM178" i="15"/>
  <c r="BL178" i="15"/>
  <c r="BN178" i="15" s="1"/>
  <c r="AO916" i="15"/>
  <c r="AN916" i="15"/>
  <c r="AP916" i="15" s="1"/>
  <c r="BI301" i="15"/>
  <c r="BH301" i="15"/>
  <c r="BJ301" i="15" s="1"/>
  <c r="AW670" i="15"/>
  <c r="AV670" i="15"/>
  <c r="AX670" i="15" s="1"/>
  <c r="BQ55" i="15"/>
  <c r="BP55" i="15"/>
  <c r="BR55" i="15" s="1"/>
  <c r="AW671" i="15" l="1"/>
  <c r="AV671" i="15"/>
  <c r="AX671" i="15" s="1"/>
  <c r="AO917" i="15"/>
  <c r="AN917" i="15"/>
  <c r="AP917" i="15" s="1"/>
  <c r="BE425" i="15"/>
  <c r="BD425" i="15"/>
  <c r="BF425" i="15" s="1"/>
  <c r="AS794" i="15"/>
  <c r="AR794" i="15"/>
  <c r="AT794" i="15" s="1"/>
  <c r="BQ56" i="15"/>
  <c r="BP56" i="15"/>
  <c r="BR56" i="15" s="1"/>
  <c r="BI302" i="15"/>
  <c r="BH302" i="15"/>
  <c r="BJ302" i="15" s="1"/>
  <c r="BM179" i="15"/>
  <c r="BL179" i="15"/>
  <c r="BN179" i="15" s="1"/>
  <c r="BA548" i="15"/>
  <c r="AZ548" i="15"/>
  <c r="BB548" i="15" s="1"/>
  <c r="BA549" i="15" l="1"/>
  <c r="AZ549" i="15"/>
  <c r="BB549" i="15" s="1"/>
  <c r="BI303" i="15"/>
  <c r="BH303" i="15"/>
  <c r="BJ303" i="15" s="1"/>
  <c r="AO918" i="15"/>
  <c r="AN918" i="15"/>
  <c r="AP918" i="15" s="1"/>
  <c r="BM180" i="15"/>
  <c r="BL180" i="15"/>
  <c r="BN180" i="15" s="1"/>
  <c r="BQ57" i="15"/>
  <c r="BP57" i="15"/>
  <c r="BR57" i="15" s="1"/>
  <c r="AS795" i="15"/>
  <c r="AR795" i="15"/>
  <c r="AT795" i="15" s="1"/>
  <c r="BE426" i="15"/>
  <c r="BD426" i="15"/>
  <c r="BF426" i="15" s="1"/>
  <c r="AW672" i="15"/>
  <c r="AV672" i="15"/>
  <c r="AX672" i="15" s="1"/>
  <c r="AW673" i="15" l="1"/>
  <c r="AV673" i="15"/>
  <c r="AX673" i="15" s="1"/>
  <c r="AS796" i="15"/>
  <c r="AR796" i="15"/>
  <c r="AT796" i="15" s="1"/>
  <c r="BM181" i="15"/>
  <c r="BL181" i="15"/>
  <c r="BN181" i="15" s="1"/>
  <c r="AO919" i="15"/>
  <c r="AN919" i="15"/>
  <c r="AP919" i="15" s="1"/>
  <c r="BA550" i="15"/>
  <c r="AZ550" i="15"/>
  <c r="BB550" i="15" s="1"/>
  <c r="BE427" i="15"/>
  <c r="BD427" i="15"/>
  <c r="BF427" i="15" s="1"/>
  <c r="BQ58" i="15"/>
  <c r="BP58" i="15"/>
  <c r="BR58" i="15" s="1"/>
  <c r="BI304" i="15"/>
  <c r="BH304" i="15"/>
  <c r="BJ304" i="15" s="1"/>
  <c r="BQ59" i="15" l="1"/>
  <c r="BP59" i="15"/>
  <c r="BR59" i="15" s="1"/>
  <c r="BA551" i="15"/>
  <c r="AZ551" i="15"/>
  <c r="BB551" i="15" s="1"/>
  <c r="BM182" i="15"/>
  <c r="BL182" i="15"/>
  <c r="BN182" i="15" s="1"/>
  <c r="AW674" i="15"/>
  <c r="AV674" i="15"/>
  <c r="AX674" i="15" s="1"/>
  <c r="BI305" i="15"/>
  <c r="BH305" i="15"/>
  <c r="BJ305" i="15" s="1"/>
  <c r="BE428" i="15"/>
  <c r="BD428" i="15"/>
  <c r="BF428" i="15" s="1"/>
  <c r="AO920" i="15"/>
  <c r="AN920" i="15"/>
  <c r="AP920" i="15" s="1"/>
  <c r="AS797" i="15"/>
  <c r="AR797" i="15"/>
  <c r="AT797" i="15" s="1"/>
  <c r="AO921" i="15" l="1"/>
  <c r="AN921" i="15"/>
  <c r="AP921" i="15" s="1"/>
  <c r="BI306" i="15"/>
  <c r="BH306" i="15"/>
  <c r="BJ306" i="15" s="1"/>
  <c r="BM183" i="15"/>
  <c r="BL183" i="15"/>
  <c r="BN183" i="15" s="1"/>
  <c r="BQ60" i="15"/>
  <c r="BP60" i="15"/>
  <c r="BR60" i="15" s="1"/>
  <c r="AS798" i="15"/>
  <c r="AR798" i="15"/>
  <c r="AT798" i="15" s="1"/>
  <c r="BE429" i="15"/>
  <c r="BD429" i="15"/>
  <c r="BF429" i="15" s="1"/>
  <c r="AW675" i="15"/>
  <c r="AV675" i="15"/>
  <c r="AX675" i="15" s="1"/>
  <c r="BA552" i="15"/>
  <c r="AZ552" i="15"/>
  <c r="BB552" i="15" s="1"/>
  <c r="AW676" i="15" l="1"/>
  <c r="AV676" i="15"/>
  <c r="AX676" i="15" s="1"/>
  <c r="AS799" i="15"/>
  <c r="AR799" i="15"/>
  <c r="AT799" i="15" s="1"/>
  <c r="BM184" i="15"/>
  <c r="BL184" i="15"/>
  <c r="BN184" i="15" s="1"/>
  <c r="AO922" i="15"/>
  <c r="AN922" i="15"/>
  <c r="AP922" i="15" s="1"/>
  <c r="BA553" i="15"/>
  <c r="AZ553" i="15"/>
  <c r="BB553" i="15" s="1"/>
  <c r="BE430" i="15"/>
  <c r="BD430" i="15"/>
  <c r="BF430" i="15" s="1"/>
  <c r="BQ61" i="15"/>
  <c r="BP61" i="15"/>
  <c r="BR61" i="15" s="1"/>
  <c r="BI307" i="15"/>
  <c r="BH307" i="15"/>
  <c r="BJ307" i="15" s="1"/>
  <c r="BI308" i="15" l="1"/>
  <c r="BH308" i="15"/>
  <c r="BJ308" i="15" s="1"/>
  <c r="BE431" i="15"/>
  <c r="BD431" i="15"/>
  <c r="BF431" i="15" s="1"/>
  <c r="AO923" i="15"/>
  <c r="AN923" i="15"/>
  <c r="AP923" i="15" s="1"/>
  <c r="BM185" i="15"/>
  <c r="BL185" i="15"/>
  <c r="BN185" i="15" s="1"/>
  <c r="AW677" i="15"/>
  <c r="AV677" i="15"/>
  <c r="AX677" i="15" s="1"/>
  <c r="BQ62" i="15"/>
  <c r="BP62" i="15"/>
  <c r="BR62" i="15" s="1"/>
  <c r="BA554" i="15"/>
  <c r="AZ554" i="15"/>
  <c r="BB554" i="15" s="1"/>
  <c r="AS800" i="15"/>
  <c r="AR800" i="15"/>
  <c r="AT800" i="15" s="1"/>
  <c r="BA555" i="15" l="1"/>
  <c r="AZ555" i="15"/>
  <c r="BB555" i="15" s="1"/>
  <c r="AW678" i="15"/>
  <c r="AV678" i="15"/>
  <c r="AX678" i="15" s="1"/>
  <c r="AO924" i="15"/>
  <c r="AN924" i="15"/>
  <c r="AP924" i="15" s="1"/>
  <c r="BI309" i="15"/>
  <c r="BH309" i="15"/>
  <c r="BJ309" i="15" s="1"/>
  <c r="AS801" i="15"/>
  <c r="AR801" i="15"/>
  <c r="AT801" i="15" s="1"/>
  <c r="BQ63" i="15"/>
  <c r="BP63" i="15"/>
  <c r="BR63" i="15" s="1"/>
  <c r="BM186" i="15"/>
  <c r="BL186" i="15"/>
  <c r="BN186" i="15" s="1"/>
  <c r="BE432" i="15"/>
  <c r="BD432" i="15"/>
  <c r="BF432" i="15" s="1"/>
  <c r="BM187" i="15" l="1"/>
  <c r="BL187" i="15"/>
  <c r="BN187" i="15" s="1"/>
  <c r="AS802" i="15"/>
  <c r="AR802" i="15"/>
  <c r="AT802" i="15" s="1"/>
  <c r="AO925" i="15"/>
  <c r="AN925" i="15"/>
  <c r="AP925" i="15" s="1"/>
  <c r="BA556" i="15"/>
  <c r="AZ556" i="15"/>
  <c r="BB556" i="15" s="1"/>
  <c r="BE433" i="15"/>
  <c r="BD433" i="15"/>
  <c r="BF433" i="15" s="1"/>
  <c r="BQ64" i="15"/>
  <c r="BP64" i="15"/>
  <c r="BR64" i="15" s="1"/>
  <c r="BI310" i="15"/>
  <c r="BH310" i="15"/>
  <c r="BJ310" i="15" s="1"/>
  <c r="AW679" i="15"/>
  <c r="AV679" i="15"/>
  <c r="AX679" i="15" s="1"/>
  <c r="BI311" i="15" l="1"/>
  <c r="BH311" i="15"/>
  <c r="BJ311" i="15" s="1"/>
  <c r="BE434" i="15"/>
  <c r="BD434" i="15"/>
  <c r="BF434" i="15" s="1"/>
  <c r="AO926" i="15"/>
  <c r="AN926" i="15"/>
  <c r="AP926" i="15" s="1"/>
  <c r="BM188" i="15"/>
  <c r="BL188" i="15"/>
  <c r="BN188" i="15" s="1"/>
  <c r="AW680" i="15"/>
  <c r="AV680" i="15"/>
  <c r="AX680" i="15" s="1"/>
  <c r="BQ65" i="15"/>
  <c r="BP65" i="15"/>
  <c r="BR65" i="15" s="1"/>
  <c r="BA557" i="15"/>
  <c r="AZ557" i="15"/>
  <c r="BB557" i="15" s="1"/>
  <c r="AS803" i="15"/>
  <c r="AR803" i="15"/>
  <c r="AT803" i="15" s="1"/>
  <c r="BQ66" i="15" l="1"/>
  <c r="BP66" i="15"/>
  <c r="BR66" i="15" s="1"/>
  <c r="AW681" i="15"/>
  <c r="AV681" i="15"/>
  <c r="AX681" i="15" s="1"/>
  <c r="AO927" i="15"/>
  <c r="AN927" i="15"/>
  <c r="AP927" i="15" s="1"/>
  <c r="BI312" i="15"/>
  <c r="BH312" i="15"/>
  <c r="BJ312" i="15" s="1"/>
  <c r="AS804" i="15"/>
  <c r="AR804" i="15"/>
  <c r="AT804" i="15" s="1"/>
  <c r="BA558" i="15"/>
  <c r="AZ558" i="15"/>
  <c r="BB558" i="15" s="1"/>
  <c r="BM189" i="15"/>
  <c r="BL189" i="15"/>
  <c r="BN189" i="15" s="1"/>
  <c r="BE435" i="15"/>
  <c r="BD435" i="15"/>
  <c r="BF435" i="15" s="1"/>
  <c r="BE436" i="15" l="1"/>
  <c r="BD436" i="15"/>
  <c r="BF436" i="15" s="1"/>
  <c r="BA559" i="15"/>
  <c r="AZ559" i="15"/>
  <c r="BB559" i="15" s="1"/>
  <c r="BI313" i="15"/>
  <c r="BH313" i="15"/>
  <c r="BJ313" i="15" s="1"/>
  <c r="AO928" i="15"/>
  <c r="AN928" i="15"/>
  <c r="AP928" i="15" s="1"/>
  <c r="BQ67" i="15"/>
  <c r="BP67" i="15"/>
  <c r="BR67" i="15" s="1"/>
  <c r="BM190" i="15"/>
  <c r="BL190" i="15"/>
  <c r="BN190" i="15" s="1"/>
  <c r="AS805" i="15"/>
  <c r="AR805" i="15"/>
  <c r="AT805" i="15" s="1"/>
  <c r="AW682" i="15"/>
  <c r="AV682" i="15"/>
  <c r="AX682" i="15" s="1"/>
  <c r="BM191" i="15" l="1"/>
  <c r="BL191" i="15"/>
  <c r="BN191" i="15" s="1"/>
  <c r="BQ68" i="15"/>
  <c r="BP68" i="15"/>
  <c r="BR68" i="15" s="1"/>
  <c r="BI314" i="15"/>
  <c r="BH314" i="15"/>
  <c r="BJ314" i="15" s="1"/>
  <c r="BE437" i="15"/>
  <c r="BD437" i="15"/>
  <c r="BF437" i="15" s="1"/>
  <c r="AW683" i="15"/>
  <c r="AV683" i="15"/>
  <c r="AX683" i="15" s="1"/>
  <c r="AS806" i="15"/>
  <c r="AR806" i="15"/>
  <c r="AT806" i="15" s="1"/>
  <c r="AO929" i="15"/>
  <c r="AN929" i="15"/>
  <c r="AP929" i="15" s="1"/>
  <c r="BA560" i="15"/>
  <c r="AZ560" i="15"/>
  <c r="BB560" i="15" s="1"/>
  <c r="AO930" i="15" l="1"/>
  <c r="AN930" i="15"/>
  <c r="AP930" i="15" s="1"/>
  <c r="AW684" i="15"/>
  <c r="AV684" i="15"/>
  <c r="AX684" i="15" s="1"/>
  <c r="BI315" i="15"/>
  <c r="BH315" i="15"/>
  <c r="BJ315" i="15" s="1"/>
  <c r="BM192" i="15"/>
  <c r="BL192" i="15"/>
  <c r="BN192" i="15" s="1"/>
  <c r="BA561" i="15"/>
  <c r="AZ561" i="15"/>
  <c r="BB561" i="15" s="1"/>
  <c r="AS807" i="15"/>
  <c r="AR807" i="15"/>
  <c r="AT807" i="15" s="1"/>
  <c r="BE438" i="15"/>
  <c r="BD438" i="15"/>
  <c r="BF438" i="15" s="1"/>
  <c r="BQ69" i="15"/>
  <c r="BP69" i="15"/>
  <c r="BR69" i="15" s="1"/>
  <c r="AS808" i="15" l="1"/>
  <c r="AR808" i="15"/>
  <c r="AT808" i="15" s="1"/>
  <c r="BM193" i="15"/>
  <c r="BL193" i="15"/>
  <c r="BN193" i="15" s="1"/>
  <c r="BI316" i="15"/>
  <c r="BH316" i="15"/>
  <c r="BJ316" i="15" s="1"/>
  <c r="AO931" i="15"/>
  <c r="AN931" i="15"/>
  <c r="AP931" i="15" s="1"/>
  <c r="BQ70" i="15"/>
  <c r="BP70" i="15"/>
  <c r="BR70" i="15" s="1"/>
  <c r="BE439" i="15"/>
  <c r="BD439" i="15"/>
  <c r="BF439" i="15" s="1"/>
  <c r="BA562" i="15"/>
  <c r="AZ562" i="15"/>
  <c r="BB562" i="15" s="1"/>
  <c r="AW685" i="15"/>
  <c r="AV685" i="15"/>
  <c r="AX685" i="15" s="1"/>
  <c r="AW686" i="15" l="1"/>
  <c r="AV686" i="15"/>
  <c r="AX686" i="15" s="1"/>
  <c r="BE440" i="15"/>
  <c r="BD440" i="15"/>
  <c r="BF440" i="15" s="1"/>
  <c r="BQ71" i="15"/>
  <c r="BP71" i="15"/>
  <c r="BR71" i="15" s="1"/>
  <c r="BI317" i="15"/>
  <c r="BH317" i="15"/>
  <c r="BJ317" i="15" s="1"/>
  <c r="AS809" i="15"/>
  <c r="AR809" i="15"/>
  <c r="AT809" i="15" s="1"/>
  <c r="BA563" i="15"/>
  <c r="AZ563" i="15"/>
  <c r="BB563" i="15" s="1"/>
  <c r="AO932" i="15"/>
  <c r="AN932" i="15"/>
  <c r="AP932" i="15" s="1"/>
  <c r="BM194" i="15"/>
  <c r="BL194" i="15"/>
  <c r="BN194" i="15" s="1"/>
  <c r="BM195" i="15" l="1"/>
  <c r="BL195" i="15"/>
  <c r="BN195" i="15" s="1"/>
  <c r="BA564" i="15"/>
  <c r="AZ564" i="15"/>
  <c r="BB564" i="15" s="1"/>
  <c r="AS810" i="15"/>
  <c r="AR810" i="15"/>
  <c r="AT810" i="15" s="1"/>
  <c r="BQ72" i="15"/>
  <c r="BP72" i="15"/>
  <c r="BR72" i="15" s="1"/>
  <c r="AW687" i="15"/>
  <c r="AV687" i="15"/>
  <c r="AX687" i="15" s="1"/>
  <c r="AO933" i="15"/>
  <c r="AN933" i="15"/>
  <c r="AP933" i="15" s="1"/>
  <c r="BI318" i="15"/>
  <c r="BH318" i="15"/>
  <c r="BJ318" i="15" s="1"/>
  <c r="BE441" i="15"/>
  <c r="BD441" i="15"/>
  <c r="BF441" i="15" s="1"/>
  <c r="BI319" i="15" l="1"/>
  <c r="BH319" i="15"/>
  <c r="BJ319" i="15" s="1"/>
  <c r="AW688" i="15"/>
  <c r="AV688" i="15"/>
  <c r="AX688" i="15" s="1"/>
  <c r="AS811" i="15"/>
  <c r="AR811" i="15"/>
  <c r="AT811" i="15" s="1"/>
  <c r="BM196" i="15"/>
  <c r="BL196" i="15"/>
  <c r="BN196" i="15" s="1"/>
  <c r="BE442" i="15"/>
  <c r="BD442" i="15"/>
  <c r="BF442" i="15" s="1"/>
  <c r="AO934" i="15"/>
  <c r="AN934" i="15"/>
  <c r="AP934" i="15" s="1"/>
  <c r="BQ73" i="15"/>
  <c r="BP73" i="15"/>
  <c r="BR73" i="15" s="1"/>
  <c r="BA565" i="15"/>
  <c r="AZ565" i="15"/>
  <c r="BB565" i="15" s="1"/>
  <c r="BA566" i="15" l="1"/>
  <c r="AZ566" i="15"/>
  <c r="BB566" i="15" s="1"/>
  <c r="AO935" i="15"/>
  <c r="AN935" i="15"/>
  <c r="AP935" i="15" s="1"/>
  <c r="BM197" i="15"/>
  <c r="BL197" i="15"/>
  <c r="BN197" i="15" s="1"/>
  <c r="AS812" i="15"/>
  <c r="AR812" i="15"/>
  <c r="AT812" i="15" s="1"/>
  <c r="BI320" i="15"/>
  <c r="BH320" i="15"/>
  <c r="BJ320" i="15" s="1"/>
  <c r="BQ74" i="15"/>
  <c r="BP74" i="15"/>
  <c r="BR74" i="15" s="1"/>
  <c r="BE443" i="15"/>
  <c r="BD443" i="15"/>
  <c r="BF443" i="15" s="1"/>
  <c r="AW689" i="15"/>
  <c r="AV689" i="15"/>
  <c r="AX689" i="15" s="1"/>
  <c r="AW690" i="15" l="1"/>
  <c r="AV690" i="15"/>
  <c r="AX690" i="15" s="1"/>
  <c r="BQ75" i="15"/>
  <c r="BP75" i="15"/>
  <c r="BR75" i="15" s="1"/>
  <c r="AS813" i="15"/>
  <c r="AR813" i="15"/>
  <c r="AT813" i="15" s="1"/>
  <c r="BM198" i="15"/>
  <c r="BL198" i="15"/>
  <c r="BN198" i="15" s="1"/>
  <c r="BA567" i="15"/>
  <c r="AZ567" i="15"/>
  <c r="BB567" i="15" s="1"/>
  <c r="BE444" i="15"/>
  <c r="BD444" i="15"/>
  <c r="BF444" i="15" s="1"/>
  <c r="BI321" i="15"/>
  <c r="BH321" i="15"/>
  <c r="BJ321" i="15" s="1"/>
  <c r="AO936" i="15"/>
  <c r="AN936" i="15"/>
  <c r="AP936" i="15" s="1"/>
  <c r="AO937" i="15" l="1"/>
  <c r="AN937" i="15"/>
  <c r="AP937" i="15" s="1"/>
  <c r="BE445" i="15"/>
  <c r="BD445" i="15"/>
  <c r="BF445" i="15" s="1"/>
  <c r="BA568" i="15"/>
  <c r="AZ568" i="15"/>
  <c r="BB568" i="15" s="1"/>
  <c r="AS814" i="15"/>
  <c r="AR814" i="15"/>
  <c r="AT814" i="15" s="1"/>
  <c r="AW691" i="15"/>
  <c r="AV691" i="15"/>
  <c r="AX691" i="15" s="1"/>
  <c r="BI322" i="15"/>
  <c r="BH322" i="15"/>
  <c r="BJ322" i="15" s="1"/>
  <c r="BM199" i="15"/>
  <c r="BL199" i="15"/>
  <c r="BN199" i="15" s="1"/>
  <c r="BQ76" i="15"/>
  <c r="BP76" i="15"/>
  <c r="BR76" i="15" s="1"/>
  <c r="BM200" i="15" l="1"/>
  <c r="BL200" i="15"/>
  <c r="BN200" i="15" s="1"/>
  <c r="AW692" i="15"/>
  <c r="AV692" i="15"/>
  <c r="AX692" i="15" s="1"/>
  <c r="BA569" i="15"/>
  <c r="AZ569" i="15"/>
  <c r="BB569" i="15" s="1"/>
  <c r="AO938" i="15"/>
  <c r="AN938" i="15"/>
  <c r="AP938" i="15" s="1"/>
  <c r="BQ77" i="15"/>
  <c r="BP77" i="15"/>
  <c r="BR77" i="15" s="1"/>
  <c r="BI323" i="15"/>
  <c r="BH323" i="15"/>
  <c r="BJ323" i="15" s="1"/>
  <c r="AS815" i="15"/>
  <c r="AR815" i="15"/>
  <c r="AT815" i="15" s="1"/>
  <c r="BE446" i="15"/>
  <c r="BD446" i="15"/>
  <c r="BF446" i="15" s="1"/>
  <c r="AS816" i="15" l="1"/>
  <c r="AR816" i="15"/>
  <c r="AT816" i="15" s="1"/>
  <c r="BQ78" i="15"/>
  <c r="BP78" i="15"/>
  <c r="BR78" i="15" s="1"/>
  <c r="BA570" i="15"/>
  <c r="AZ570" i="15"/>
  <c r="BB570" i="15" s="1"/>
  <c r="BM201" i="15"/>
  <c r="BL201" i="15"/>
  <c r="BN201" i="15" s="1"/>
  <c r="BE447" i="15"/>
  <c r="BD447" i="15"/>
  <c r="BF447" i="15" s="1"/>
  <c r="BI324" i="15"/>
  <c r="BH324" i="15"/>
  <c r="BJ324" i="15" s="1"/>
  <c r="AO939" i="15"/>
  <c r="AN939" i="15"/>
  <c r="AP939" i="15" s="1"/>
  <c r="AW693" i="15"/>
  <c r="AV693" i="15"/>
  <c r="AX693" i="15" s="1"/>
  <c r="AW694" i="15" l="1"/>
  <c r="AV694" i="15"/>
  <c r="AX694" i="15" s="1"/>
  <c r="BI325" i="15"/>
  <c r="BH325" i="15"/>
  <c r="BJ325" i="15" s="1"/>
  <c r="BE448" i="15"/>
  <c r="BD448" i="15"/>
  <c r="BF448" i="15" s="1"/>
  <c r="BA571" i="15"/>
  <c r="AZ571" i="15"/>
  <c r="BB571" i="15" s="1"/>
  <c r="AS817" i="15"/>
  <c r="AR817" i="15"/>
  <c r="AT817" i="15" s="1"/>
  <c r="AO940" i="15"/>
  <c r="AN940" i="15"/>
  <c r="AP940" i="15" s="1"/>
  <c r="BM202" i="15"/>
  <c r="BL202" i="15"/>
  <c r="BN202" i="15" s="1"/>
  <c r="BQ79" i="15"/>
  <c r="BP79" i="15"/>
  <c r="BR79" i="15" s="1"/>
  <c r="BM203" i="15" l="1"/>
  <c r="BL203" i="15"/>
  <c r="BN203" i="15" s="1"/>
  <c r="AS818" i="15"/>
  <c r="AR818" i="15"/>
  <c r="AT818" i="15" s="1"/>
  <c r="BE449" i="15"/>
  <c r="BD449" i="15"/>
  <c r="BF449" i="15" s="1"/>
  <c r="AW695" i="15"/>
  <c r="AV695" i="15"/>
  <c r="AX695" i="15" s="1"/>
  <c r="BQ80" i="15"/>
  <c r="BP80" i="15"/>
  <c r="BR80" i="15" s="1"/>
  <c r="AO941" i="15"/>
  <c r="AN941" i="15"/>
  <c r="AP941" i="15" s="1"/>
  <c r="BA572" i="15"/>
  <c r="AZ572" i="15"/>
  <c r="BB572" i="15" s="1"/>
  <c r="BI326" i="15"/>
  <c r="BH326" i="15"/>
  <c r="BJ326" i="15" s="1"/>
  <c r="BA573" i="15" l="1"/>
  <c r="AZ573" i="15"/>
  <c r="BB573" i="15" s="1"/>
  <c r="BQ81" i="15"/>
  <c r="BP81" i="15"/>
  <c r="BR81" i="15" s="1"/>
  <c r="BE450" i="15"/>
  <c r="BD450" i="15"/>
  <c r="BF450" i="15" s="1"/>
  <c r="BM204" i="15"/>
  <c r="BL204" i="15"/>
  <c r="BN204" i="15" s="1"/>
  <c r="BI327" i="15"/>
  <c r="BH327" i="15"/>
  <c r="BJ327" i="15" s="1"/>
  <c r="AO942" i="15"/>
  <c r="AN942" i="15"/>
  <c r="AP942" i="15" s="1"/>
  <c r="AW696" i="15"/>
  <c r="AV696" i="15"/>
  <c r="AX696" i="15" s="1"/>
  <c r="AS819" i="15"/>
  <c r="AR819" i="15"/>
  <c r="AT819" i="15" s="1"/>
  <c r="AS820" i="15" l="1"/>
  <c r="AR820" i="15"/>
  <c r="AT820" i="15" s="1"/>
  <c r="AO943" i="15"/>
  <c r="AN943" i="15"/>
  <c r="AP943" i="15" s="1"/>
  <c r="BM205" i="15"/>
  <c r="BL205" i="15"/>
  <c r="BN205" i="15" s="1"/>
  <c r="BE451" i="15"/>
  <c r="BD451" i="15"/>
  <c r="BF451" i="15" s="1"/>
  <c r="BA574" i="15"/>
  <c r="AZ574" i="15"/>
  <c r="BB574" i="15" s="1"/>
  <c r="AW697" i="15"/>
  <c r="AV697" i="15"/>
  <c r="AX697" i="15" s="1"/>
  <c r="BI328" i="15"/>
  <c r="BH328" i="15"/>
  <c r="BJ328" i="15" s="1"/>
  <c r="BQ82" i="15"/>
  <c r="BP82" i="15"/>
  <c r="BR82" i="15" s="1"/>
  <c r="BQ83" i="15" l="1"/>
  <c r="BP83" i="15"/>
  <c r="BR83" i="15" s="1"/>
  <c r="AW698" i="15"/>
  <c r="AV698" i="15"/>
  <c r="AX698" i="15" s="1"/>
  <c r="BA575" i="15"/>
  <c r="AZ575" i="15"/>
  <c r="BB575" i="15" s="1"/>
  <c r="BM206" i="15"/>
  <c r="BL206" i="15"/>
  <c r="BN206" i="15" s="1"/>
  <c r="AS821" i="15"/>
  <c r="AR821" i="15"/>
  <c r="AT821" i="15" s="1"/>
  <c r="BI329" i="15"/>
  <c r="BH329" i="15"/>
  <c r="BJ329" i="15" s="1"/>
  <c r="BE452" i="15"/>
  <c r="BD452" i="15"/>
  <c r="BF452" i="15" s="1"/>
  <c r="AO944" i="15"/>
  <c r="AN944" i="15"/>
  <c r="AP944" i="15" s="1"/>
  <c r="AO945" i="15" l="1"/>
  <c r="AN945" i="15"/>
  <c r="AP945" i="15" s="1"/>
  <c r="BI330" i="15"/>
  <c r="BH330" i="15"/>
  <c r="BJ330" i="15" s="1"/>
  <c r="BM207" i="15"/>
  <c r="BL207" i="15"/>
  <c r="BN207" i="15" s="1"/>
  <c r="BA576" i="15"/>
  <c r="AZ576" i="15"/>
  <c r="BB576" i="15" s="1"/>
  <c r="BQ84" i="15"/>
  <c r="BP84" i="15"/>
  <c r="BR84" i="15" s="1"/>
  <c r="BE453" i="15"/>
  <c r="BD453" i="15"/>
  <c r="BF453" i="15" s="1"/>
  <c r="AS822" i="15"/>
  <c r="AR822" i="15"/>
  <c r="AT822" i="15" s="1"/>
  <c r="AW699" i="15"/>
  <c r="AV699" i="15"/>
  <c r="AX699" i="15" s="1"/>
  <c r="AS823" i="15" l="1"/>
  <c r="AR823" i="15"/>
  <c r="AT823" i="15" s="1"/>
  <c r="BQ85" i="15"/>
  <c r="BP85" i="15"/>
  <c r="BR85" i="15" s="1"/>
  <c r="BM208" i="15"/>
  <c r="BL208" i="15"/>
  <c r="BN208" i="15" s="1"/>
  <c r="AO946" i="15"/>
  <c r="AN946" i="15"/>
  <c r="AP946" i="15" s="1"/>
  <c r="AW700" i="15"/>
  <c r="AV700" i="15"/>
  <c r="AX700" i="15" s="1"/>
  <c r="BE454" i="15"/>
  <c r="BD454" i="15"/>
  <c r="BF454" i="15" s="1"/>
  <c r="BA577" i="15"/>
  <c r="AZ577" i="15"/>
  <c r="BB577" i="15" s="1"/>
  <c r="BI331" i="15"/>
  <c r="BH331" i="15"/>
  <c r="BJ331" i="15" s="1"/>
  <c r="BA578" i="15" l="1"/>
  <c r="AZ578" i="15"/>
  <c r="BB578" i="15" s="1"/>
  <c r="AW701" i="15"/>
  <c r="AV701" i="15"/>
  <c r="AX701" i="15" s="1"/>
  <c r="BM209" i="15"/>
  <c r="BL209" i="15"/>
  <c r="BN209" i="15" s="1"/>
  <c r="AS824" i="15"/>
  <c r="AR824" i="15"/>
  <c r="AT824" i="15" s="1"/>
  <c r="BI332" i="15"/>
  <c r="BH332" i="15"/>
  <c r="BJ332" i="15" s="1"/>
  <c r="BE455" i="15"/>
  <c r="BD455" i="15"/>
  <c r="BF455" i="15" s="1"/>
  <c r="AO947" i="15"/>
  <c r="AN947" i="15"/>
  <c r="AP947" i="15" s="1"/>
  <c r="BQ86" i="15"/>
  <c r="BP86" i="15"/>
  <c r="BR86" i="15" s="1"/>
  <c r="AO948" i="15" l="1"/>
  <c r="AN948" i="15"/>
  <c r="AP948" i="15" s="1"/>
  <c r="BI333" i="15"/>
  <c r="BH333" i="15"/>
  <c r="BJ333" i="15" s="1"/>
  <c r="BM210" i="15"/>
  <c r="BL210" i="15"/>
  <c r="BN210" i="15" s="1"/>
  <c r="BA579" i="15"/>
  <c r="AZ579" i="15"/>
  <c r="BB579" i="15" s="1"/>
  <c r="BQ87" i="15"/>
  <c r="BP87" i="15"/>
  <c r="BR87" i="15" s="1"/>
  <c r="BE456" i="15"/>
  <c r="BD456" i="15"/>
  <c r="BF456" i="15" s="1"/>
  <c r="AS825" i="15"/>
  <c r="AR825" i="15"/>
  <c r="AT825" i="15" s="1"/>
  <c r="AW702" i="15"/>
  <c r="AV702" i="15"/>
  <c r="AX702" i="15" s="1"/>
  <c r="AW703" i="15" l="1"/>
  <c r="AV703" i="15"/>
  <c r="AX703" i="15" s="1"/>
  <c r="BE457" i="15"/>
  <c r="BD457" i="15"/>
  <c r="BF457" i="15" s="1"/>
  <c r="BQ88" i="15"/>
  <c r="BP88" i="15"/>
  <c r="BR88" i="15" s="1"/>
  <c r="BM211" i="15"/>
  <c r="BL211" i="15"/>
  <c r="BN211" i="15" s="1"/>
  <c r="AO949" i="15"/>
  <c r="AN949" i="15"/>
  <c r="AP949" i="15" s="1"/>
  <c r="AS826" i="15"/>
  <c r="AR826" i="15"/>
  <c r="AT826" i="15" s="1"/>
  <c r="BA580" i="15"/>
  <c r="AZ580" i="15"/>
  <c r="BB580" i="15" s="1"/>
  <c r="BI334" i="15"/>
  <c r="BH334" i="15"/>
  <c r="BJ334" i="15" s="1"/>
  <c r="BI335" i="15" l="1"/>
  <c r="BH335" i="15"/>
  <c r="BJ335" i="15" s="1"/>
  <c r="AS827" i="15"/>
  <c r="AR827" i="15"/>
  <c r="AT827" i="15" s="1"/>
  <c r="AO950" i="15"/>
  <c r="AN950" i="15"/>
  <c r="AP950" i="15" s="1"/>
  <c r="BQ89" i="15"/>
  <c r="BP89" i="15"/>
  <c r="BR89" i="15" s="1"/>
  <c r="AW704" i="15"/>
  <c r="AV704" i="15"/>
  <c r="AX704" i="15" s="1"/>
  <c r="BA581" i="15"/>
  <c r="AZ581" i="15"/>
  <c r="BB581" i="15" s="1"/>
  <c r="BM212" i="15"/>
  <c r="BL212" i="15"/>
  <c r="BN212" i="15" s="1"/>
  <c r="BE458" i="15"/>
  <c r="BD458" i="15"/>
  <c r="BF458" i="15" s="1"/>
  <c r="BM213" i="15" l="1"/>
  <c r="BL213" i="15"/>
  <c r="BN213" i="15" s="1"/>
  <c r="AW705" i="15"/>
  <c r="AV705" i="15"/>
  <c r="AX705" i="15" s="1"/>
  <c r="AO951" i="15"/>
  <c r="AN951" i="15"/>
  <c r="AP951" i="15" s="1"/>
  <c r="BI336" i="15"/>
  <c r="BH336" i="15"/>
  <c r="BJ336" i="15" s="1"/>
  <c r="BE459" i="15"/>
  <c r="BD459" i="15"/>
  <c r="BF459" i="15" s="1"/>
  <c r="BA582" i="15"/>
  <c r="AZ582" i="15"/>
  <c r="BB582" i="15" s="1"/>
  <c r="BQ90" i="15"/>
  <c r="BP90" i="15"/>
  <c r="BR90" i="15" s="1"/>
  <c r="AS828" i="15"/>
  <c r="AR828" i="15"/>
  <c r="AT828" i="15" s="1"/>
  <c r="BQ91" i="15" l="1"/>
  <c r="BP91" i="15"/>
  <c r="BR91" i="15" s="1"/>
  <c r="BA583" i="15"/>
  <c r="AZ583" i="15"/>
  <c r="BB583" i="15" s="1"/>
  <c r="BI337" i="15"/>
  <c r="BH337" i="15"/>
  <c r="BJ337" i="15" s="1"/>
  <c r="AO952" i="15"/>
  <c r="AN952" i="15"/>
  <c r="AP952" i="15" s="1"/>
  <c r="BM214" i="15"/>
  <c r="BL214" i="15"/>
  <c r="BN214" i="15" s="1"/>
  <c r="AS829" i="15"/>
  <c r="AR829" i="15"/>
  <c r="AT829" i="15" s="1"/>
  <c r="BE460" i="15"/>
  <c r="BD460" i="15"/>
  <c r="BF460" i="15" s="1"/>
  <c r="AW706" i="15"/>
  <c r="AV706" i="15"/>
  <c r="AX706" i="15" s="1"/>
  <c r="BE461" i="15" l="1"/>
  <c r="BD461" i="15"/>
  <c r="BF461" i="15" s="1"/>
  <c r="BM215" i="15"/>
  <c r="BL215" i="15"/>
  <c r="BN215" i="15" s="1"/>
  <c r="BI338" i="15"/>
  <c r="BH338" i="15"/>
  <c r="BJ338" i="15" s="1"/>
  <c r="BQ92" i="15"/>
  <c r="BP92" i="15"/>
  <c r="BR92" i="15" s="1"/>
  <c r="AW707" i="15"/>
  <c r="AV707" i="15"/>
  <c r="AX707" i="15" s="1"/>
  <c r="AS830" i="15"/>
  <c r="AR830" i="15"/>
  <c r="AT830" i="15" s="1"/>
  <c r="AO953" i="15"/>
  <c r="AN953" i="15"/>
  <c r="AP953" i="15" s="1"/>
  <c r="BA584" i="15"/>
  <c r="AZ584" i="15"/>
  <c r="BB584" i="15" s="1"/>
  <c r="BA585" i="15" l="1"/>
  <c r="AZ585" i="15"/>
  <c r="BB585" i="15" s="1"/>
  <c r="AS831" i="15"/>
  <c r="AR831" i="15"/>
  <c r="AT831" i="15" s="1"/>
  <c r="AW708" i="15"/>
  <c r="AV708" i="15"/>
  <c r="AX708" i="15" s="1"/>
  <c r="BI339" i="15"/>
  <c r="BH339" i="15"/>
  <c r="BJ339" i="15" s="1"/>
  <c r="BE462" i="15"/>
  <c r="BD462" i="15"/>
  <c r="BF462" i="15" s="1"/>
  <c r="AO954" i="15"/>
  <c r="AN954" i="15"/>
  <c r="AP954" i="15" s="1"/>
  <c r="BQ93" i="15"/>
  <c r="BP93" i="15"/>
  <c r="BR93" i="15" s="1"/>
  <c r="BM216" i="15"/>
  <c r="BL216" i="15"/>
  <c r="BN216" i="15" s="1"/>
  <c r="BM217" i="15" l="1"/>
  <c r="BL217" i="15"/>
  <c r="BN217" i="15" s="1"/>
  <c r="AO955" i="15"/>
  <c r="AN955" i="15"/>
  <c r="AP955" i="15" s="1"/>
  <c r="BI340" i="15"/>
  <c r="BH340" i="15"/>
  <c r="BJ340" i="15" s="1"/>
  <c r="AW709" i="15"/>
  <c r="AV709" i="15"/>
  <c r="AX709" i="15" s="1"/>
  <c r="BA586" i="15"/>
  <c r="AZ586" i="15"/>
  <c r="BB586" i="15" s="1"/>
  <c r="BQ94" i="15"/>
  <c r="BP94" i="15"/>
  <c r="BR94" i="15" s="1"/>
  <c r="BE463" i="15"/>
  <c r="BD463" i="15"/>
  <c r="BF463" i="15" s="1"/>
  <c r="AS832" i="15"/>
  <c r="AR832" i="15"/>
  <c r="AT832" i="15" s="1"/>
  <c r="AS833" i="15" l="1"/>
  <c r="AR833" i="15"/>
  <c r="AT833" i="15" s="1"/>
  <c r="BQ95" i="15"/>
  <c r="BP95" i="15"/>
  <c r="BR95" i="15" s="1"/>
  <c r="AW710" i="15"/>
  <c r="AV710" i="15"/>
  <c r="AX710" i="15" s="1"/>
  <c r="BI341" i="15"/>
  <c r="BH341" i="15"/>
  <c r="BJ341" i="15" s="1"/>
  <c r="BM218" i="15"/>
  <c r="BL218" i="15"/>
  <c r="BN218" i="15" s="1"/>
  <c r="BE464" i="15"/>
  <c r="BD464" i="15"/>
  <c r="BF464" i="15" s="1"/>
  <c r="BA587" i="15"/>
  <c r="AZ587" i="15"/>
  <c r="BB587" i="15" s="1"/>
  <c r="AO956" i="15"/>
  <c r="AN956" i="15"/>
  <c r="AP956" i="15" s="1"/>
  <c r="BA588" i="15" l="1"/>
  <c r="AZ588" i="15"/>
  <c r="BB588" i="15" s="1"/>
  <c r="BM219" i="15"/>
  <c r="BL219" i="15"/>
  <c r="BN219" i="15" s="1"/>
  <c r="AW711" i="15"/>
  <c r="AV711" i="15"/>
  <c r="AX711" i="15" s="1"/>
  <c r="AS834" i="15"/>
  <c r="AR834" i="15"/>
  <c r="AT834" i="15" s="1"/>
  <c r="AO957" i="15"/>
  <c r="AN957" i="15"/>
  <c r="AP957" i="15" s="1"/>
  <c r="BE465" i="15"/>
  <c r="BD465" i="15"/>
  <c r="BF465" i="15" s="1"/>
  <c r="BI342" i="15"/>
  <c r="BH342" i="15"/>
  <c r="BJ342" i="15" s="1"/>
  <c r="BQ96" i="15"/>
  <c r="BP96" i="15"/>
  <c r="BR96" i="15" s="1"/>
  <c r="BQ97" i="15" l="1"/>
  <c r="BP97" i="15"/>
  <c r="BR97" i="15" s="1"/>
  <c r="BE466" i="15"/>
  <c r="BD466" i="15"/>
  <c r="BF466" i="15" s="1"/>
  <c r="AS835" i="15"/>
  <c r="AR835" i="15"/>
  <c r="AT835" i="15" s="1"/>
  <c r="AW712" i="15"/>
  <c r="AV712" i="15"/>
  <c r="AX712" i="15" s="1"/>
  <c r="BA589" i="15"/>
  <c r="AZ589" i="15"/>
  <c r="BB589" i="15" s="1"/>
  <c r="BI343" i="15"/>
  <c r="BH343" i="15"/>
  <c r="BJ343" i="15" s="1"/>
  <c r="AO958" i="15"/>
  <c r="AN958" i="15"/>
  <c r="AP958" i="15" s="1"/>
  <c r="BM220" i="15"/>
  <c r="BL220" i="15"/>
  <c r="BN220" i="15" s="1"/>
  <c r="BM221" i="15" l="1"/>
  <c r="BL221" i="15"/>
  <c r="BN221" i="15" s="1"/>
  <c r="BI344" i="15"/>
  <c r="BH344" i="15"/>
  <c r="BJ344" i="15" s="1"/>
  <c r="AW713" i="15"/>
  <c r="AV713" i="15"/>
  <c r="AX713" i="15" s="1"/>
  <c r="AS836" i="15"/>
  <c r="AR836" i="15"/>
  <c r="AT836" i="15" s="1"/>
  <c r="BQ98" i="15"/>
  <c r="BP98" i="15"/>
  <c r="BR98" i="15" s="1"/>
  <c r="AO959" i="15"/>
  <c r="AN959" i="15"/>
  <c r="AP959" i="15" s="1"/>
  <c r="BA590" i="15"/>
  <c r="AZ590" i="15"/>
  <c r="BB590" i="15" s="1"/>
  <c r="BE467" i="15"/>
  <c r="BD467" i="15"/>
  <c r="BF467" i="15" s="1"/>
  <c r="BA591" i="15" l="1"/>
  <c r="AZ591" i="15"/>
  <c r="BB591" i="15" s="1"/>
  <c r="BQ99" i="15"/>
  <c r="BP99" i="15"/>
  <c r="BR99" i="15" s="1"/>
  <c r="AW714" i="15"/>
  <c r="AV714" i="15"/>
  <c r="AX714" i="15" s="1"/>
  <c r="BM222" i="15"/>
  <c r="BL222" i="15"/>
  <c r="BN222" i="15" s="1"/>
  <c r="BE468" i="15"/>
  <c r="BD468" i="15"/>
  <c r="BF468" i="15" s="1"/>
  <c r="AO960" i="15"/>
  <c r="AN960" i="15"/>
  <c r="AP960" i="15" s="1"/>
  <c r="AS837" i="15"/>
  <c r="AR837" i="15"/>
  <c r="AT837" i="15" s="1"/>
  <c r="BI345" i="15"/>
  <c r="BH345" i="15"/>
  <c r="BJ345" i="15" s="1"/>
  <c r="BI346" i="15" l="1"/>
  <c r="BH346" i="15"/>
  <c r="BJ346" i="15" s="1"/>
  <c r="AS838" i="15"/>
  <c r="AR838" i="15"/>
  <c r="AT838" i="15" s="1"/>
  <c r="BE469" i="15"/>
  <c r="BD469" i="15"/>
  <c r="BF469" i="15" s="1"/>
  <c r="AW715" i="15"/>
  <c r="AV715" i="15"/>
  <c r="AX715" i="15" s="1"/>
  <c r="BA592" i="15"/>
  <c r="AZ592" i="15"/>
  <c r="BB592" i="15" s="1"/>
  <c r="AO961" i="15"/>
  <c r="AN961" i="15"/>
  <c r="AP961" i="15" s="1"/>
  <c r="BM223" i="15"/>
  <c r="BL223" i="15"/>
  <c r="BN223" i="15" s="1"/>
  <c r="BQ100" i="15"/>
  <c r="BP100" i="15"/>
  <c r="BR100" i="15" s="1"/>
  <c r="BM224" i="15" l="1"/>
  <c r="BL224" i="15"/>
  <c r="BN224" i="15" s="1"/>
  <c r="BA593" i="15"/>
  <c r="AZ593" i="15"/>
  <c r="BB593" i="15" s="1"/>
  <c r="BE470" i="15"/>
  <c r="BD470" i="15"/>
  <c r="BF470" i="15" s="1"/>
  <c r="BI347" i="15"/>
  <c r="BH347" i="15"/>
  <c r="BJ347" i="15" s="1"/>
  <c r="BQ101" i="15"/>
  <c r="BP101" i="15"/>
  <c r="BR101" i="15" s="1"/>
  <c r="AO962" i="15"/>
  <c r="AN962" i="15"/>
  <c r="AP962" i="15" s="1"/>
  <c r="AW716" i="15"/>
  <c r="AV716" i="15"/>
  <c r="AX716" i="15" s="1"/>
  <c r="AS839" i="15"/>
  <c r="AR839" i="15"/>
  <c r="AT839" i="15" s="1"/>
  <c r="AS840" i="15" l="1"/>
  <c r="AR840" i="15"/>
  <c r="AT840" i="15" s="1"/>
  <c r="AO963" i="15"/>
  <c r="AN963" i="15"/>
  <c r="AP963" i="15" s="1"/>
  <c r="BQ102" i="15"/>
  <c r="BP102" i="15"/>
  <c r="BR102" i="15" s="1"/>
  <c r="BE471" i="15"/>
  <c r="BD471" i="15"/>
  <c r="BF471" i="15" s="1"/>
  <c r="BM225" i="15"/>
  <c r="BL225" i="15"/>
  <c r="BN225" i="15" s="1"/>
  <c r="AW717" i="15"/>
  <c r="AV717" i="15"/>
  <c r="AX717" i="15" s="1"/>
  <c r="BI348" i="15"/>
  <c r="BH348" i="15"/>
  <c r="BJ348" i="15" s="1"/>
  <c r="BA594" i="15"/>
  <c r="AZ594" i="15"/>
  <c r="BB594" i="15" s="1"/>
  <c r="BI349" i="15" l="1"/>
  <c r="BH349" i="15"/>
  <c r="BJ349" i="15" s="1"/>
  <c r="BM226" i="15"/>
  <c r="BL226" i="15"/>
  <c r="BN226" i="15" s="1"/>
  <c r="BQ103" i="15"/>
  <c r="BP103" i="15"/>
  <c r="BR103" i="15" s="1"/>
  <c r="AS841" i="15"/>
  <c r="AR841" i="15"/>
  <c r="AT841" i="15" s="1"/>
  <c r="BA595" i="15"/>
  <c r="AZ595" i="15"/>
  <c r="BB595" i="15" s="1"/>
  <c r="AW718" i="15"/>
  <c r="AV718" i="15"/>
  <c r="AX718" i="15" s="1"/>
  <c r="BE472" i="15"/>
  <c r="BD472" i="15"/>
  <c r="BF472" i="15" s="1"/>
  <c r="AO964" i="15"/>
  <c r="AN964" i="15"/>
  <c r="AP964" i="15" s="1"/>
  <c r="AO965" i="15" l="1"/>
  <c r="AN965" i="15"/>
  <c r="AP965" i="15" s="1"/>
  <c r="AW719" i="15"/>
  <c r="AV719" i="15"/>
  <c r="AX719" i="15" s="1"/>
  <c r="BA596" i="15"/>
  <c r="AZ596" i="15"/>
  <c r="BB596" i="15" s="1"/>
  <c r="BQ104" i="15"/>
  <c r="BP104" i="15"/>
  <c r="BR104" i="15" s="1"/>
  <c r="BI350" i="15"/>
  <c r="BH350" i="15"/>
  <c r="BJ350" i="15" s="1"/>
  <c r="BE473" i="15"/>
  <c r="BD473" i="15"/>
  <c r="BF473" i="15" s="1"/>
  <c r="AS842" i="15"/>
  <c r="AR842" i="15"/>
  <c r="AT842" i="15" s="1"/>
  <c r="BM227" i="15"/>
  <c r="BL227" i="15"/>
  <c r="BN227" i="15" s="1"/>
  <c r="AS843" i="15" l="1"/>
  <c r="AR843" i="15"/>
  <c r="AT843" i="15" s="1"/>
  <c r="BE474" i="15"/>
  <c r="BD474" i="15"/>
  <c r="BF474" i="15" s="1"/>
  <c r="BQ105" i="15"/>
  <c r="BP105" i="15"/>
  <c r="BR105" i="15" s="1"/>
  <c r="BA597" i="15"/>
  <c r="AZ597" i="15"/>
  <c r="BB597" i="15" s="1"/>
  <c r="AO966" i="15"/>
  <c r="AN966" i="15"/>
  <c r="AP966" i="15" s="1"/>
  <c r="BM228" i="15"/>
  <c r="BL228" i="15"/>
  <c r="BN228" i="15" s="1"/>
  <c r="BI351" i="15"/>
  <c r="BH351" i="15"/>
  <c r="BJ351" i="15" s="1"/>
  <c r="AW720" i="15"/>
  <c r="AV720" i="15"/>
  <c r="AX720" i="15" s="1"/>
  <c r="AW721" i="15" l="1"/>
  <c r="AV721" i="15"/>
  <c r="AX721" i="15" s="1"/>
  <c r="BI352" i="15"/>
  <c r="BH352" i="15"/>
  <c r="BJ352" i="15" s="1"/>
  <c r="AO967" i="15"/>
  <c r="AN967" i="15"/>
  <c r="AP967" i="15" s="1"/>
  <c r="BQ106" i="15"/>
  <c r="BP106" i="15"/>
  <c r="BR106" i="15" s="1"/>
  <c r="AS844" i="15"/>
  <c r="AR844" i="15"/>
  <c r="AT844" i="15" s="1"/>
  <c r="BM229" i="15"/>
  <c r="BL229" i="15"/>
  <c r="BN229" i="15" s="1"/>
  <c r="BA598" i="15"/>
  <c r="AZ598" i="15"/>
  <c r="BB598" i="15" s="1"/>
  <c r="BE475" i="15"/>
  <c r="BD475" i="15"/>
  <c r="BF475" i="15" s="1"/>
  <c r="BE476" i="15" l="1"/>
  <c r="BD476" i="15"/>
  <c r="BF476" i="15" s="1"/>
  <c r="BA599" i="15"/>
  <c r="AZ599" i="15"/>
  <c r="BB599" i="15" s="1"/>
  <c r="AS845" i="15"/>
  <c r="AR845" i="15"/>
  <c r="AT845" i="15" s="1"/>
  <c r="AO968" i="15"/>
  <c r="AN968" i="15"/>
  <c r="AP968" i="15" s="1"/>
  <c r="AW722" i="15"/>
  <c r="AV722" i="15"/>
  <c r="AX722" i="15" s="1"/>
  <c r="BM230" i="15"/>
  <c r="BL230" i="15"/>
  <c r="BN230" i="15" s="1"/>
  <c r="BQ107" i="15"/>
  <c r="BP107" i="15"/>
  <c r="BR107" i="15" s="1"/>
  <c r="BI353" i="15"/>
  <c r="BH353" i="15"/>
  <c r="BJ353" i="15" s="1"/>
  <c r="BQ108" i="15" l="1"/>
  <c r="BP108" i="15"/>
  <c r="BR108" i="15" s="1"/>
  <c r="AW723" i="15"/>
  <c r="AV723" i="15"/>
  <c r="AX723" i="15" s="1"/>
  <c r="AS846" i="15"/>
  <c r="AR846" i="15"/>
  <c r="AT846" i="15" s="1"/>
  <c r="BE477" i="15"/>
  <c r="BD477" i="15"/>
  <c r="BF477" i="15" s="1"/>
  <c r="BI354" i="15"/>
  <c r="BH354" i="15"/>
  <c r="BJ354" i="15" s="1"/>
  <c r="BM231" i="15"/>
  <c r="BL231" i="15"/>
  <c r="BN231" i="15" s="1"/>
  <c r="AO969" i="15"/>
  <c r="AN969" i="15"/>
  <c r="AP969" i="15" s="1"/>
  <c r="BA600" i="15"/>
  <c r="AZ600" i="15"/>
  <c r="BB600" i="15" s="1"/>
  <c r="AO970" i="15" l="1"/>
  <c r="AN970" i="15"/>
  <c r="AP970" i="15" s="1"/>
  <c r="BI355" i="15"/>
  <c r="BH355" i="15"/>
  <c r="BJ355" i="15" s="1"/>
  <c r="AS847" i="15"/>
  <c r="AR847" i="15"/>
  <c r="AT847" i="15" s="1"/>
  <c r="BQ109" i="15"/>
  <c r="BP109" i="15"/>
  <c r="BR109" i="15" s="1"/>
  <c r="BA601" i="15"/>
  <c r="AZ601" i="15"/>
  <c r="BB601" i="15" s="1"/>
  <c r="BM232" i="15"/>
  <c r="BL232" i="15"/>
  <c r="BN232" i="15" s="1"/>
  <c r="BE478" i="15"/>
  <c r="BD478" i="15"/>
  <c r="BF478" i="15" s="1"/>
  <c r="AW724" i="15"/>
  <c r="AV724" i="15"/>
  <c r="AX724" i="15" s="1"/>
  <c r="AW725" i="15" l="1"/>
  <c r="AV725" i="15"/>
  <c r="AX725" i="15" s="1"/>
  <c r="BM233" i="15"/>
  <c r="BL233" i="15"/>
  <c r="BN233" i="15" s="1"/>
  <c r="BA602" i="15"/>
  <c r="AZ602" i="15"/>
  <c r="BB602" i="15" s="1"/>
  <c r="AS848" i="15"/>
  <c r="AR848" i="15"/>
  <c r="AT848" i="15" s="1"/>
  <c r="AO971" i="15"/>
  <c r="AN971" i="15"/>
  <c r="AP971" i="15" s="1"/>
  <c r="BE479" i="15"/>
  <c r="BD479" i="15"/>
  <c r="BF479" i="15" s="1"/>
  <c r="BQ110" i="15"/>
  <c r="BP110" i="15"/>
  <c r="BR110" i="15" s="1"/>
  <c r="BI356" i="15"/>
  <c r="BH356" i="15"/>
  <c r="BJ356" i="15" s="1"/>
  <c r="BQ111" i="15" l="1"/>
  <c r="BP111" i="15"/>
  <c r="BR111" i="15" s="1"/>
  <c r="AO972" i="15"/>
  <c r="AN972" i="15"/>
  <c r="AP972" i="15" s="1"/>
  <c r="BA603" i="15"/>
  <c r="AZ603" i="15"/>
  <c r="BB603" i="15" s="1"/>
  <c r="AW726" i="15"/>
  <c r="AV726" i="15"/>
  <c r="AX726" i="15" s="1"/>
  <c r="BI357" i="15"/>
  <c r="BH357" i="15"/>
  <c r="BJ357" i="15" s="1"/>
  <c r="BE480" i="15"/>
  <c r="BD480" i="15"/>
  <c r="BF480" i="15" s="1"/>
  <c r="AS849" i="15"/>
  <c r="AR849" i="15"/>
  <c r="AT849" i="15" s="1"/>
  <c r="BM234" i="15"/>
  <c r="BL234" i="15"/>
  <c r="BN234" i="15" s="1"/>
  <c r="AS850" i="15" l="1"/>
  <c r="AR850" i="15"/>
  <c r="AT850" i="15" s="1"/>
  <c r="BE481" i="15"/>
  <c r="BD481" i="15"/>
  <c r="BF481" i="15" s="1"/>
  <c r="AW727" i="15"/>
  <c r="AV727" i="15"/>
  <c r="AX727" i="15" s="1"/>
  <c r="BA604" i="15"/>
  <c r="AZ604" i="15"/>
  <c r="BB604" i="15" s="1"/>
  <c r="BQ112" i="15"/>
  <c r="BP112" i="15"/>
  <c r="BR112" i="15" s="1"/>
  <c r="BM235" i="15"/>
  <c r="BL235" i="15"/>
  <c r="BN235" i="15" s="1"/>
  <c r="BI358" i="15"/>
  <c r="BH358" i="15"/>
  <c r="BJ358" i="15" s="1"/>
  <c r="AO973" i="15"/>
  <c r="AN973" i="15"/>
  <c r="AP973" i="15" s="1"/>
  <c r="AO974" i="15" l="1"/>
  <c r="AN974" i="15"/>
  <c r="AP974" i="15" s="1"/>
  <c r="BM236" i="15"/>
  <c r="BL236" i="15"/>
  <c r="BN236" i="15" s="1"/>
  <c r="BA605" i="15"/>
  <c r="AZ605" i="15"/>
  <c r="BB605" i="15" s="1"/>
  <c r="AW728" i="15"/>
  <c r="AV728" i="15"/>
  <c r="AX728" i="15" s="1"/>
  <c r="AS851" i="15"/>
  <c r="AR851" i="15"/>
  <c r="AT851" i="15" s="1"/>
  <c r="BI359" i="15"/>
  <c r="BH359" i="15"/>
  <c r="BJ359" i="15" s="1"/>
  <c r="BQ113" i="15"/>
  <c r="BP113" i="15"/>
  <c r="BR113" i="15" s="1"/>
  <c r="BE482" i="15"/>
  <c r="BD482" i="15"/>
  <c r="BF482" i="15" s="1"/>
  <c r="BE483" i="15" l="1"/>
  <c r="BD483" i="15"/>
  <c r="BF483" i="15" s="1"/>
  <c r="BI360" i="15"/>
  <c r="BH360" i="15"/>
  <c r="BJ360" i="15" s="1"/>
  <c r="AS852" i="15"/>
  <c r="AR852" i="15"/>
  <c r="AT852" i="15" s="1"/>
  <c r="BA606" i="15"/>
  <c r="AZ606" i="15"/>
  <c r="BB606" i="15" s="1"/>
  <c r="AO975" i="15"/>
  <c r="AN975" i="15"/>
  <c r="AP975" i="15" s="1"/>
  <c r="BQ114" i="15"/>
  <c r="BP114" i="15"/>
  <c r="BR114" i="15" s="1"/>
  <c r="AW729" i="15"/>
  <c r="AV729" i="15"/>
  <c r="AX729" i="15" s="1"/>
  <c r="BM237" i="15"/>
  <c r="BL237" i="15"/>
  <c r="BN237" i="15" s="1"/>
  <c r="BM238" i="15" l="1"/>
  <c r="BL238" i="15"/>
  <c r="BN238" i="15" s="1"/>
  <c r="BQ115" i="15"/>
  <c r="BP115" i="15"/>
  <c r="BR115" i="15" s="1"/>
  <c r="AO976" i="15"/>
  <c r="AN976" i="15"/>
  <c r="AP976" i="15" s="1"/>
  <c r="AS853" i="15"/>
  <c r="AR853" i="15"/>
  <c r="AT853" i="15" s="1"/>
  <c r="BE484" i="15"/>
  <c r="BD484" i="15"/>
  <c r="BF484" i="15" s="1"/>
  <c r="AW730" i="15"/>
  <c r="AV730" i="15"/>
  <c r="AX730" i="15" s="1"/>
  <c r="BA607" i="15"/>
  <c r="AZ607" i="15"/>
  <c r="BB607" i="15" s="1"/>
  <c r="BI361" i="15"/>
  <c r="BH361" i="15"/>
  <c r="BJ361" i="15" s="1"/>
  <c r="BA608" i="15" l="1"/>
  <c r="AZ608" i="15"/>
  <c r="BB608" i="15" s="1"/>
  <c r="BE485" i="15"/>
  <c r="BD485" i="15"/>
  <c r="BF485" i="15" s="1"/>
  <c r="AO977" i="15"/>
  <c r="AN977" i="15"/>
  <c r="AP977" i="15" s="1"/>
  <c r="BM239" i="15"/>
  <c r="BL239" i="15"/>
  <c r="BN239" i="15" s="1"/>
  <c r="BI362" i="15"/>
  <c r="BH362" i="15"/>
  <c r="BJ362" i="15" s="1"/>
  <c r="AW731" i="15"/>
  <c r="AV731" i="15"/>
  <c r="AX731" i="15" s="1"/>
  <c r="AS854" i="15"/>
  <c r="AR854" i="15"/>
  <c r="AT854" i="15" s="1"/>
  <c r="BQ116" i="15"/>
  <c r="BP116" i="15"/>
  <c r="BR116" i="15" s="1"/>
  <c r="BQ117" i="15" l="1"/>
  <c r="BP117" i="15"/>
  <c r="BR117" i="15" s="1"/>
  <c r="AW732" i="15"/>
  <c r="AV732" i="15"/>
  <c r="AX732" i="15" s="1"/>
  <c r="BM240" i="15"/>
  <c r="BL240" i="15"/>
  <c r="BN240" i="15" s="1"/>
  <c r="AO978" i="15"/>
  <c r="AN978" i="15"/>
  <c r="AP978" i="15" s="1"/>
  <c r="BA609" i="15"/>
  <c r="AZ609" i="15"/>
  <c r="BB609" i="15" s="1"/>
  <c r="AS855" i="15"/>
  <c r="AR855" i="15"/>
  <c r="AT855" i="15" s="1"/>
  <c r="BI363" i="15"/>
  <c r="BH363" i="15"/>
  <c r="BJ363" i="15" s="1"/>
  <c r="BE486" i="15"/>
  <c r="BD486" i="15"/>
  <c r="BF486" i="15" s="1"/>
  <c r="BI364" i="15" l="1"/>
  <c r="BH364" i="15"/>
  <c r="BJ364" i="15" s="1"/>
  <c r="BA610" i="15"/>
  <c r="AZ610" i="15"/>
  <c r="BB610" i="15" s="1"/>
  <c r="BM241" i="15"/>
  <c r="BL241" i="15"/>
  <c r="BN241" i="15" s="1"/>
  <c r="BQ118" i="15"/>
  <c r="BP118" i="15"/>
  <c r="BR118" i="15" s="1"/>
  <c r="BE487" i="15"/>
  <c r="BD487" i="15"/>
  <c r="BF487" i="15" s="1"/>
  <c r="AS856" i="15"/>
  <c r="AR856" i="15"/>
  <c r="AT856" i="15" s="1"/>
  <c r="AO979" i="15"/>
  <c r="AN979" i="15"/>
  <c r="AP979" i="15" s="1"/>
  <c r="AW733" i="15"/>
  <c r="AV733" i="15"/>
  <c r="AX733" i="15" s="1"/>
  <c r="AO980" i="15" l="1"/>
  <c r="AN980" i="15"/>
  <c r="AP980" i="15" s="1"/>
  <c r="BE488" i="15"/>
  <c r="BD488" i="15"/>
  <c r="BF488" i="15" s="1"/>
  <c r="BM242" i="15"/>
  <c r="BL242" i="15"/>
  <c r="BN242" i="15" s="1"/>
  <c r="BI365" i="15"/>
  <c r="BH365" i="15"/>
  <c r="BJ365" i="15" s="1"/>
  <c r="AW734" i="15"/>
  <c r="AV734" i="15"/>
  <c r="AX734" i="15" s="1"/>
  <c r="AS857" i="15"/>
  <c r="AR857" i="15"/>
  <c r="AT857" i="15" s="1"/>
  <c r="BQ119" i="15"/>
  <c r="BP119" i="15"/>
  <c r="BR119" i="15" s="1"/>
  <c r="BA611" i="15"/>
  <c r="AZ611" i="15"/>
  <c r="BB611" i="15" s="1"/>
  <c r="BA612" i="15" l="1"/>
  <c r="AZ612" i="15"/>
  <c r="BB612" i="15" s="1"/>
  <c r="AS858" i="15"/>
  <c r="AR858" i="15"/>
  <c r="AT858" i="15" s="1"/>
  <c r="BI366" i="15"/>
  <c r="BH366" i="15"/>
  <c r="BJ366" i="15" s="1"/>
  <c r="BM243" i="15"/>
  <c r="BL243" i="15"/>
  <c r="BN243" i="15" s="1"/>
  <c r="AO981" i="15"/>
  <c r="AN981" i="15"/>
  <c r="AP981" i="15" s="1"/>
  <c r="BQ120" i="15"/>
  <c r="BP120" i="15"/>
  <c r="BR120" i="15" s="1"/>
  <c r="AW735" i="15"/>
  <c r="AV735" i="15"/>
  <c r="AX735" i="15" s="1"/>
  <c r="BE489" i="15"/>
  <c r="BD489" i="15"/>
  <c r="BF489" i="15" s="1"/>
  <c r="BE490" i="15" l="1"/>
  <c r="BD490" i="15"/>
  <c r="BF490" i="15" s="1"/>
  <c r="BQ121" i="15"/>
  <c r="BP121" i="15"/>
  <c r="BR121" i="15" s="1"/>
  <c r="AO982" i="15"/>
  <c r="AN982" i="15"/>
  <c r="AP982" i="15" s="1"/>
  <c r="BI367" i="15"/>
  <c r="BH367" i="15"/>
  <c r="BJ367" i="15" s="1"/>
  <c r="BA613" i="15"/>
  <c r="AZ613" i="15"/>
  <c r="BB613" i="15" s="1"/>
  <c r="AW736" i="15"/>
  <c r="AV736" i="15"/>
  <c r="AX736" i="15" s="1"/>
  <c r="BM244" i="15"/>
  <c r="BL244" i="15"/>
  <c r="BN244" i="15" s="1"/>
  <c r="AS859" i="15"/>
  <c r="AR859" i="15"/>
  <c r="AT859" i="15" s="1"/>
  <c r="AS860" i="15" l="1"/>
  <c r="AR860" i="15"/>
  <c r="AT860" i="15" s="1"/>
  <c r="AW737" i="15"/>
  <c r="AV737" i="15"/>
  <c r="AX737" i="15" s="1"/>
  <c r="BI368" i="15"/>
  <c r="BH368" i="15"/>
  <c r="BJ368" i="15" s="1"/>
  <c r="AO983" i="15"/>
  <c r="AN983" i="15"/>
  <c r="AP983" i="15" s="1"/>
  <c r="BE491" i="15"/>
  <c r="BD491" i="15"/>
  <c r="BF491" i="15" s="1"/>
  <c r="BM245" i="15"/>
  <c r="BL245" i="15"/>
  <c r="BN245" i="15" s="1"/>
  <c r="BA614" i="15"/>
  <c r="AZ614" i="15"/>
  <c r="BB614" i="15" s="1"/>
  <c r="BQ122" i="15"/>
  <c r="BP122" i="15"/>
  <c r="BR122" i="15" s="1"/>
  <c r="BA615" i="15" l="1"/>
  <c r="AZ615" i="15"/>
  <c r="BB615" i="15" s="1"/>
  <c r="BE492" i="15"/>
  <c r="BD492" i="15"/>
  <c r="BF492" i="15" s="1"/>
  <c r="BI369" i="15"/>
  <c r="BH369" i="15"/>
  <c r="BJ369" i="15" s="1"/>
  <c r="AS861" i="15"/>
  <c r="AR861" i="15"/>
  <c r="AT861" i="15" s="1"/>
  <c r="BQ123" i="15"/>
  <c r="BP123" i="15"/>
  <c r="BR123" i="15" s="1"/>
  <c r="BM246" i="15"/>
  <c r="BL246" i="15"/>
  <c r="BN246" i="15" s="1"/>
  <c r="AO984" i="15"/>
  <c r="AN984" i="15"/>
  <c r="AP984" i="15" s="1"/>
  <c r="AW738" i="15"/>
  <c r="AV738" i="15"/>
  <c r="AX738" i="15" s="1"/>
  <c r="AO985" i="15" l="1"/>
  <c r="AN985" i="15"/>
  <c r="AP985" i="15" s="1"/>
  <c r="BQ124" i="15"/>
  <c r="BP124" i="15"/>
  <c r="BR124" i="15" s="1"/>
  <c r="AS862" i="15"/>
  <c r="AR862" i="15"/>
  <c r="AT862" i="15" s="1"/>
  <c r="BI370" i="15"/>
  <c r="BH370" i="15"/>
  <c r="BJ370" i="15" s="1"/>
  <c r="BA616" i="15"/>
  <c r="AZ616" i="15"/>
  <c r="BB616" i="15" s="1"/>
  <c r="AW739" i="15"/>
  <c r="AV739" i="15"/>
  <c r="AX739" i="15" s="1"/>
  <c r="BM247" i="15"/>
  <c r="BL247" i="15"/>
  <c r="BN247" i="15" s="1"/>
  <c r="BE493" i="15"/>
  <c r="BD493" i="15"/>
  <c r="BF493" i="15" s="1"/>
  <c r="BM248" i="15" l="1"/>
  <c r="BL248" i="15"/>
  <c r="BN248" i="15" s="1"/>
  <c r="AW740" i="15"/>
  <c r="AV740" i="15"/>
  <c r="AX740" i="15" s="1"/>
  <c r="BI371" i="15"/>
  <c r="BH371" i="15"/>
  <c r="BJ371" i="15" s="1"/>
  <c r="AS863" i="15"/>
  <c r="AR863" i="15"/>
  <c r="AT863" i="15" s="1"/>
  <c r="AO986" i="15"/>
  <c r="AN986" i="15"/>
  <c r="AP986" i="15" s="1"/>
  <c r="BE494" i="15"/>
  <c r="BD494" i="15"/>
  <c r="BF494" i="15" s="1"/>
  <c r="BA617" i="15"/>
  <c r="AZ617" i="15"/>
  <c r="BB617" i="15" s="1"/>
  <c r="BQ125" i="15"/>
  <c r="BP125" i="15"/>
  <c r="BR125" i="15" s="1"/>
  <c r="BA618" i="15" l="1"/>
  <c r="AZ618" i="15"/>
  <c r="BB618" i="15" s="1"/>
  <c r="AO987" i="15"/>
  <c r="AN987" i="15"/>
  <c r="AP987" i="15" s="1"/>
  <c r="BI372" i="15"/>
  <c r="BH372" i="15"/>
  <c r="BJ372" i="15" s="1"/>
  <c r="BM249" i="15"/>
  <c r="BL249" i="15"/>
  <c r="BN249" i="15" s="1"/>
  <c r="BQ126" i="15"/>
  <c r="BP126" i="15"/>
  <c r="BR126" i="15" s="1"/>
  <c r="BE495" i="15"/>
  <c r="BD495" i="15"/>
  <c r="BF495" i="15" s="1"/>
  <c r="AS864" i="15"/>
  <c r="AR864" i="15"/>
  <c r="AT864" i="15" s="1"/>
  <c r="AW741" i="15"/>
  <c r="AV741" i="15"/>
  <c r="AX741" i="15" s="1"/>
  <c r="AS865" i="15" l="1"/>
  <c r="AR865" i="15"/>
  <c r="AT865" i="15" s="1"/>
  <c r="BE496" i="15"/>
  <c r="BD496" i="15"/>
  <c r="BF496" i="15" s="1"/>
  <c r="BM250" i="15"/>
  <c r="BL250" i="15"/>
  <c r="BN250" i="15" s="1"/>
  <c r="BI373" i="15"/>
  <c r="BH373" i="15"/>
  <c r="BJ373" i="15" s="1"/>
  <c r="BA619" i="15"/>
  <c r="AZ619" i="15"/>
  <c r="BB619" i="15" s="1"/>
  <c r="AW742" i="15"/>
  <c r="AV742" i="15"/>
  <c r="AX742" i="15" s="1"/>
  <c r="BQ127" i="15"/>
  <c r="BP127" i="15"/>
  <c r="BR127" i="15" s="1"/>
  <c r="AO988" i="15"/>
  <c r="AN988" i="15"/>
  <c r="AP988" i="15" s="1"/>
  <c r="BQ128" i="15" l="1"/>
  <c r="BP128" i="15"/>
  <c r="BR128" i="15" s="1"/>
  <c r="BA620" i="15"/>
  <c r="AZ620" i="15"/>
  <c r="BB620" i="15" s="1"/>
  <c r="BM251" i="15"/>
  <c r="BL251" i="15"/>
  <c r="BN251" i="15" s="1"/>
  <c r="AS866" i="15"/>
  <c r="AR866" i="15"/>
  <c r="AT866" i="15" s="1"/>
  <c r="AO989" i="15"/>
  <c r="AN989" i="15"/>
  <c r="AP989" i="15" s="1"/>
  <c r="AW743" i="15"/>
  <c r="AV743" i="15"/>
  <c r="AX743" i="15" s="1"/>
  <c r="BI374" i="15"/>
  <c r="BH374" i="15"/>
  <c r="BJ374" i="15" s="1"/>
  <c r="BE497" i="15"/>
  <c r="BD497" i="15"/>
  <c r="BF497" i="15" s="1"/>
  <c r="BE498" i="15" l="1"/>
  <c r="BD498" i="15"/>
  <c r="BF498" i="15" s="1"/>
  <c r="AW744" i="15"/>
  <c r="AV744" i="15"/>
  <c r="AX744" i="15" s="1"/>
  <c r="AO990" i="15"/>
  <c r="AN990" i="15"/>
  <c r="AP990" i="15" s="1"/>
  <c r="AS867" i="15"/>
  <c r="AR867" i="15"/>
  <c r="AT867" i="15" s="1"/>
  <c r="BA621" i="15"/>
  <c r="AZ621" i="15"/>
  <c r="BB621" i="15" s="1"/>
  <c r="BQ129" i="15"/>
  <c r="BP129" i="15"/>
  <c r="BR129" i="15" s="1"/>
  <c r="BI375" i="15"/>
  <c r="BH375" i="15"/>
  <c r="BJ375" i="15" s="1"/>
  <c r="BM252" i="15"/>
  <c r="BL252" i="15"/>
  <c r="BN252" i="15" s="1"/>
  <c r="BI376" i="15" l="1"/>
  <c r="BH376" i="15"/>
  <c r="BJ376" i="15" s="1"/>
  <c r="BA622" i="15"/>
  <c r="AZ622" i="15"/>
  <c r="BB622" i="15" s="1"/>
  <c r="AO991" i="15"/>
  <c r="AN991" i="15"/>
  <c r="AP991" i="15" s="1"/>
  <c r="BE499" i="15"/>
  <c r="BD499" i="15"/>
  <c r="BF499" i="15" s="1"/>
  <c r="BM253" i="15"/>
  <c r="BL253" i="15"/>
  <c r="BN253" i="15" s="1"/>
  <c r="BQ130" i="15"/>
  <c r="BP130" i="15"/>
  <c r="BR130" i="15" s="1"/>
  <c r="AS868" i="15"/>
  <c r="AR868" i="15"/>
  <c r="AT868" i="15" s="1"/>
  <c r="AW745" i="15"/>
  <c r="AV745" i="15"/>
  <c r="AX745" i="15" s="1"/>
  <c r="AS869" i="15" l="1"/>
  <c r="AR869" i="15"/>
  <c r="AT869" i="15" s="1"/>
  <c r="BM254" i="15"/>
  <c r="BL254" i="15"/>
  <c r="BN254" i="15" s="1"/>
  <c r="AO992" i="15"/>
  <c r="AN992" i="15"/>
  <c r="AP992" i="15" s="1"/>
  <c r="BI377" i="15"/>
  <c r="BH377" i="15"/>
  <c r="BJ377" i="15" s="1"/>
  <c r="AW746" i="15"/>
  <c r="AV746" i="15"/>
  <c r="AX746" i="15" s="1"/>
  <c r="BQ131" i="15"/>
  <c r="BP131" i="15"/>
  <c r="BR131" i="15" s="1"/>
  <c r="BE500" i="15"/>
  <c r="BD500" i="15"/>
  <c r="BF500" i="15" s="1"/>
  <c r="BA623" i="15"/>
  <c r="AZ623" i="15"/>
  <c r="BB623" i="15" s="1"/>
  <c r="BA624" i="15" l="1"/>
  <c r="AZ624" i="15"/>
  <c r="BB624" i="15" s="1"/>
  <c r="BQ132" i="15"/>
  <c r="BP132" i="15"/>
  <c r="BR132" i="15" s="1"/>
  <c r="BI378" i="15"/>
  <c r="BH378" i="15"/>
  <c r="BJ378" i="15" s="1"/>
  <c r="AO993" i="15"/>
  <c r="AN993" i="15"/>
  <c r="AP993" i="15" s="1"/>
  <c r="AS870" i="15"/>
  <c r="AR870" i="15"/>
  <c r="AT870" i="15" s="1"/>
  <c r="BE501" i="15"/>
  <c r="BD501" i="15"/>
  <c r="BF501" i="15" s="1"/>
  <c r="AW747" i="15"/>
  <c r="AV747" i="15"/>
  <c r="AX747" i="15" s="1"/>
  <c r="BM255" i="15"/>
  <c r="BL255" i="15"/>
  <c r="BN255" i="15" s="1"/>
  <c r="AW748" i="15" l="1"/>
  <c r="AV748" i="15"/>
  <c r="AX748" i="15" s="1"/>
  <c r="AS871" i="15"/>
  <c r="AR871" i="15"/>
  <c r="AT871" i="15" s="1"/>
  <c r="BI379" i="15"/>
  <c r="BH379" i="15"/>
  <c r="BJ379" i="15" s="1"/>
  <c r="BA625" i="15"/>
  <c r="AZ625" i="15"/>
  <c r="BB625" i="15" s="1"/>
  <c r="BM256" i="15"/>
  <c r="BL256" i="15"/>
  <c r="BN256" i="15" s="1"/>
  <c r="BE502" i="15"/>
  <c r="BD502" i="15"/>
  <c r="BF502" i="15" s="1"/>
  <c r="AO994" i="15"/>
  <c r="AN994" i="15"/>
  <c r="AP994" i="15" s="1"/>
  <c r="BQ133" i="15"/>
  <c r="BP133" i="15"/>
  <c r="BR133" i="15" s="1"/>
  <c r="AO995" i="15" l="1"/>
  <c r="AN995" i="15"/>
  <c r="AP995" i="15" s="1"/>
  <c r="BM257" i="15"/>
  <c r="BL257" i="15"/>
  <c r="BN257" i="15" s="1"/>
  <c r="BI380" i="15"/>
  <c r="BH380" i="15"/>
  <c r="BJ380" i="15" s="1"/>
  <c r="AW749" i="15"/>
  <c r="AV749" i="15"/>
  <c r="AX749" i="15" s="1"/>
  <c r="BQ134" i="15"/>
  <c r="BP134" i="15"/>
  <c r="BR134" i="15" s="1"/>
  <c r="BE503" i="15"/>
  <c r="BD503" i="15"/>
  <c r="BF503" i="15" s="1"/>
  <c r="BA626" i="15"/>
  <c r="AZ626" i="15"/>
  <c r="BB626" i="15" s="1"/>
  <c r="AS872" i="15"/>
  <c r="AR872" i="15"/>
  <c r="AT872" i="15" s="1"/>
  <c r="AS873" i="15" l="1"/>
  <c r="AR873" i="15"/>
  <c r="AT873" i="15" s="1"/>
  <c r="BE504" i="15"/>
  <c r="BD504" i="15"/>
  <c r="BF504" i="15" s="1"/>
  <c r="BQ135" i="15"/>
  <c r="BP135" i="15"/>
  <c r="BR135" i="15" s="1"/>
  <c r="BI381" i="15"/>
  <c r="BH381" i="15"/>
  <c r="BJ381" i="15" s="1"/>
  <c r="AO996" i="15"/>
  <c r="AN996" i="15"/>
  <c r="AP996" i="15" s="1"/>
  <c r="BA627" i="15"/>
  <c r="AZ627" i="15"/>
  <c r="BB627" i="15" s="1"/>
  <c r="AW750" i="15"/>
  <c r="AV750" i="15"/>
  <c r="AX750" i="15" s="1"/>
  <c r="BM258" i="15"/>
  <c r="BL258" i="15"/>
  <c r="BN258" i="15" s="1"/>
  <c r="BM259" i="15" l="1"/>
  <c r="BL259" i="15"/>
  <c r="BN259" i="15" s="1"/>
  <c r="BA628" i="15"/>
  <c r="AZ628" i="15"/>
  <c r="BB628" i="15" s="1"/>
  <c r="BI382" i="15"/>
  <c r="BH382" i="15"/>
  <c r="BJ382" i="15" s="1"/>
  <c r="BQ136" i="15"/>
  <c r="BP136" i="15"/>
  <c r="BR136" i="15" s="1"/>
  <c r="AS874" i="15"/>
  <c r="AR874" i="15"/>
  <c r="AT874" i="15" s="1"/>
  <c r="AW751" i="15"/>
  <c r="AV751" i="15"/>
  <c r="AX751" i="15" s="1"/>
  <c r="AO997" i="15"/>
  <c r="AN997" i="15"/>
  <c r="AP997" i="15" s="1"/>
  <c r="BE505" i="15"/>
  <c r="BD505" i="15"/>
  <c r="BF505" i="15" s="1"/>
  <c r="BE506" i="15" l="1"/>
  <c r="BD506" i="15"/>
  <c r="BF506" i="15" s="1"/>
  <c r="AW752" i="15"/>
  <c r="AV752" i="15"/>
  <c r="AX752" i="15" s="1"/>
  <c r="AS875" i="15"/>
  <c r="AR875" i="15"/>
  <c r="AT875" i="15" s="1"/>
  <c r="BI383" i="15"/>
  <c r="BH383" i="15"/>
  <c r="BJ383" i="15" s="1"/>
  <c r="BM260" i="15"/>
  <c r="BL260" i="15"/>
  <c r="BN260" i="15" s="1"/>
  <c r="AO998" i="15"/>
  <c r="AN998" i="15"/>
  <c r="AP998" i="15" s="1"/>
  <c r="BQ137" i="15"/>
  <c r="BP137" i="15"/>
  <c r="BR137" i="15" s="1"/>
  <c r="BA629" i="15"/>
  <c r="AZ629" i="15"/>
  <c r="BB629" i="15" s="1"/>
  <c r="BQ138" i="15" l="1"/>
  <c r="BP138" i="15"/>
  <c r="BR138" i="15" s="1"/>
  <c r="BM261" i="15"/>
  <c r="BL261" i="15"/>
  <c r="BN261" i="15" s="1"/>
  <c r="AS876" i="15"/>
  <c r="AR876" i="15"/>
  <c r="AT876" i="15" s="1"/>
  <c r="BE507" i="15"/>
  <c r="BD507" i="15"/>
  <c r="BF507" i="15" s="1"/>
  <c r="BA630" i="15"/>
  <c r="AZ630" i="15"/>
  <c r="BB630" i="15" s="1"/>
  <c r="AO999" i="15"/>
  <c r="AN999" i="15"/>
  <c r="AP999" i="15" s="1"/>
  <c r="BI384" i="15"/>
  <c r="BH384" i="15"/>
  <c r="BJ384" i="15" s="1"/>
  <c r="AW753" i="15"/>
  <c r="AV753" i="15"/>
  <c r="AX753" i="15" s="1"/>
  <c r="BI385" i="15" l="1"/>
  <c r="BH385" i="15"/>
  <c r="BJ385" i="15" s="1"/>
  <c r="AO1000" i="15"/>
  <c r="AN1000" i="15"/>
  <c r="AP1000" i="15" s="1"/>
  <c r="BE508" i="15"/>
  <c r="BD508" i="15"/>
  <c r="BF508" i="15" s="1"/>
  <c r="AS877" i="15"/>
  <c r="AR877" i="15"/>
  <c r="AT877" i="15" s="1"/>
  <c r="BQ139" i="15"/>
  <c r="BP139" i="15"/>
  <c r="BR139" i="15" s="1"/>
  <c r="AW754" i="15"/>
  <c r="AV754" i="15"/>
  <c r="AX754" i="15" s="1"/>
  <c r="BA631" i="15"/>
  <c r="AZ631" i="15"/>
  <c r="BB631" i="15" s="1"/>
  <c r="BM262" i="15"/>
  <c r="BL262" i="15"/>
  <c r="BN262" i="15" s="1"/>
  <c r="AW755" i="15" l="1"/>
  <c r="AV755" i="15"/>
  <c r="AX755" i="15" s="1"/>
  <c r="AS878" i="15"/>
  <c r="AR878" i="15"/>
  <c r="AT878" i="15" s="1"/>
  <c r="BE509" i="15"/>
  <c r="BD509" i="15"/>
  <c r="BF509" i="15" s="1"/>
  <c r="BI386" i="15"/>
  <c r="BH386" i="15"/>
  <c r="BJ386" i="15" s="1"/>
  <c r="BM263" i="15"/>
  <c r="BL263" i="15"/>
  <c r="BN263" i="15" s="1"/>
  <c r="BA632" i="15"/>
  <c r="AZ632" i="15"/>
  <c r="BB632" i="15" s="1"/>
  <c r="BQ140" i="15"/>
  <c r="BP140" i="15"/>
  <c r="BR140" i="15" s="1"/>
  <c r="AO1001" i="15"/>
  <c r="AN1001" i="15"/>
  <c r="AP1001" i="15" s="1"/>
  <c r="BQ141" i="15" l="1"/>
  <c r="BP141" i="15"/>
  <c r="BR141" i="15" s="1"/>
  <c r="BA633" i="15"/>
  <c r="AZ633" i="15"/>
  <c r="BB633" i="15" s="1"/>
  <c r="BI387" i="15"/>
  <c r="BH387" i="15"/>
  <c r="BJ387" i="15" s="1"/>
  <c r="BE510" i="15"/>
  <c r="BD510" i="15"/>
  <c r="BF510" i="15" s="1"/>
  <c r="AW756" i="15"/>
  <c r="AV756" i="15"/>
  <c r="AX756" i="15" s="1"/>
  <c r="AO1002" i="15"/>
  <c r="AN1002" i="15"/>
  <c r="AP1002" i="15" s="1"/>
  <c r="BM264" i="15"/>
  <c r="BL264" i="15"/>
  <c r="BN264" i="15" s="1"/>
  <c r="AS879" i="15"/>
  <c r="AR879" i="15"/>
  <c r="AT879" i="15" s="1"/>
  <c r="AS880" i="15" l="1"/>
  <c r="AR880" i="15"/>
  <c r="AT880" i="15" s="1"/>
  <c r="AO1003" i="15"/>
  <c r="AN1003" i="15"/>
  <c r="AP1003" i="15" s="1"/>
  <c r="AW757" i="15"/>
  <c r="AV757" i="15"/>
  <c r="AX757" i="15" s="1"/>
  <c r="BI388" i="15"/>
  <c r="BH388" i="15"/>
  <c r="BJ388" i="15" s="1"/>
  <c r="BQ142" i="15"/>
  <c r="BP142" i="15"/>
  <c r="BR142" i="15" s="1"/>
  <c r="BM265" i="15"/>
  <c r="BL265" i="15"/>
  <c r="BN265" i="15" s="1"/>
  <c r="BE511" i="15"/>
  <c r="BD511" i="15"/>
  <c r="BF511" i="15" s="1"/>
  <c r="BA634" i="15"/>
  <c r="AZ634" i="15"/>
  <c r="BB634" i="15" s="1"/>
  <c r="BA635" i="15" l="1"/>
  <c r="AZ635" i="15"/>
  <c r="BB635" i="15" s="1"/>
  <c r="BE512" i="15"/>
  <c r="BD512" i="15"/>
  <c r="BF512" i="15" s="1"/>
  <c r="BQ143" i="15"/>
  <c r="BP143" i="15"/>
  <c r="BR143" i="15" s="1"/>
  <c r="BI389" i="15"/>
  <c r="BH389" i="15"/>
  <c r="BJ389" i="15" s="1"/>
  <c r="AO1004" i="15"/>
  <c r="AN1004" i="15"/>
  <c r="AP1004" i="15" s="1"/>
  <c r="AS881" i="15"/>
  <c r="AR881" i="15"/>
  <c r="AT881" i="15" s="1"/>
  <c r="BM266" i="15"/>
  <c r="BL266" i="15"/>
  <c r="BN266" i="15" s="1"/>
  <c r="AW758" i="15"/>
  <c r="AV758" i="15"/>
  <c r="AX758" i="15" s="1"/>
  <c r="AW759" i="15" l="1"/>
  <c r="AV759" i="15"/>
  <c r="AX759" i="15" s="1"/>
  <c r="AS882" i="15"/>
  <c r="AR882" i="15"/>
  <c r="AT882" i="15" s="1"/>
  <c r="AO1005" i="15"/>
  <c r="AN1005" i="15"/>
  <c r="AP1005" i="15" s="1"/>
  <c r="BI390" i="15"/>
  <c r="BH390" i="15"/>
  <c r="BJ390" i="15" s="1"/>
  <c r="BE513" i="15"/>
  <c r="BD513" i="15"/>
  <c r="BF513" i="15" s="1"/>
  <c r="BA636" i="15"/>
  <c r="AZ636" i="15"/>
  <c r="BB636" i="15" s="1"/>
  <c r="BM267" i="15"/>
  <c r="BL267" i="15"/>
  <c r="BN267" i="15" s="1"/>
  <c r="BQ144" i="15"/>
  <c r="BP144" i="15"/>
  <c r="BR144" i="15" s="1"/>
  <c r="BM268" i="15" l="1"/>
  <c r="BL268" i="15"/>
  <c r="BN268" i="15" s="1"/>
  <c r="BE514" i="15"/>
  <c r="BD514" i="15"/>
  <c r="BF514" i="15" s="1"/>
  <c r="AO1006" i="15"/>
  <c r="AN1006" i="15"/>
  <c r="AP1006" i="15" s="1"/>
  <c r="AW760" i="15"/>
  <c r="AV760" i="15"/>
  <c r="AX760" i="15" s="1"/>
  <c r="BQ145" i="15"/>
  <c r="BP145" i="15"/>
  <c r="BR145" i="15" s="1"/>
  <c r="BA637" i="15"/>
  <c r="AZ637" i="15"/>
  <c r="BB637" i="15" s="1"/>
  <c r="BI391" i="15"/>
  <c r="BH391" i="15"/>
  <c r="BJ391" i="15" s="1"/>
  <c r="AS883" i="15"/>
  <c r="AR883" i="15"/>
  <c r="AT883" i="15" s="1"/>
  <c r="AS884" i="15" l="1"/>
  <c r="AR884" i="15"/>
  <c r="AT884" i="15" s="1"/>
  <c r="BI392" i="15"/>
  <c r="BH392" i="15"/>
  <c r="BJ392" i="15" s="1"/>
  <c r="BA638" i="15"/>
  <c r="AZ638" i="15"/>
  <c r="BB638" i="15" s="1"/>
  <c r="AW761" i="15"/>
  <c r="AV761" i="15"/>
  <c r="AX761" i="15" s="1"/>
  <c r="AO1007" i="15"/>
  <c r="AN1007" i="15"/>
  <c r="AP1007" i="15" s="1"/>
  <c r="BE515" i="15"/>
  <c r="BD515" i="15"/>
  <c r="BF515" i="15" s="1"/>
  <c r="BM269" i="15"/>
  <c r="BL269" i="15"/>
  <c r="BN269" i="15" s="1"/>
  <c r="BQ146" i="15"/>
  <c r="BP146" i="15"/>
  <c r="BR146" i="15" s="1"/>
  <c r="BM270" i="15" l="1"/>
  <c r="BL270" i="15"/>
  <c r="BN270" i="15" s="1"/>
  <c r="AO1008" i="15"/>
  <c r="AN1008" i="15"/>
  <c r="AP1008" i="15" s="1"/>
  <c r="BA639" i="15"/>
  <c r="AZ639" i="15"/>
  <c r="BB639" i="15" s="1"/>
  <c r="AS885" i="15"/>
  <c r="AR885" i="15"/>
  <c r="AT885" i="15" s="1"/>
  <c r="K19" i="15"/>
  <c r="BQ147" i="15"/>
  <c r="BP147" i="15"/>
  <c r="BR147" i="15" s="1"/>
  <c r="BE516" i="15"/>
  <c r="BD516" i="15"/>
  <c r="BF516" i="15" s="1"/>
  <c r="AW762" i="15"/>
  <c r="AV762" i="15"/>
  <c r="AX762" i="15" s="1"/>
  <c r="BI393" i="15"/>
  <c r="BH393" i="15"/>
  <c r="BJ393" i="15" s="1"/>
  <c r="BI394" i="15" l="1"/>
  <c r="BH394" i="15"/>
  <c r="BJ394" i="15" s="1"/>
  <c r="AW763" i="15"/>
  <c r="AV763" i="15"/>
  <c r="AX763" i="15" s="1"/>
  <c r="BE517" i="15"/>
  <c r="BD517" i="15"/>
  <c r="BF517" i="15" s="1"/>
  <c r="AS886" i="15"/>
  <c r="AR886" i="15"/>
  <c r="AT886" i="15" s="1"/>
  <c r="BA640" i="15"/>
  <c r="AZ640" i="15"/>
  <c r="BB640" i="15" s="1"/>
  <c r="AO1009" i="15"/>
  <c r="AN1009" i="15"/>
  <c r="AP1009" i="15" s="1"/>
  <c r="BM271" i="15"/>
  <c r="BL271" i="15"/>
  <c r="BN271" i="15" s="1"/>
  <c r="BQ148" i="15"/>
  <c r="BP148" i="15"/>
  <c r="BR148" i="15" s="1"/>
  <c r="H20" i="15"/>
  <c r="L19" i="15"/>
  <c r="M19" i="15"/>
  <c r="D20" i="15"/>
  <c r="C20" i="15" s="1"/>
  <c r="F20" i="15"/>
  <c r="E20" i="15" s="1"/>
  <c r="BQ149" i="15" l="1"/>
  <c r="BP149" i="15"/>
  <c r="BR149" i="15" s="1"/>
  <c r="BM272" i="15"/>
  <c r="BL272" i="15"/>
  <c r="BN272" i="15" s="1"/>
  <c r="AO1010" i="15"/>
  <c r="AN1010" i="15"/>
  <c r="AP1010" i="15" s="1"/>
  <c r="BA641" i="15"/>
  <c r="AZ641" i="15"/>
  <c r="BB641" i="15" s="1"/>
  <c r="AS887" i="15"/>
  <c r="AR887" i="15"/>
  <c r="AT887" i="15" s="1"/>
  <c r="BE518" i="15"/>
  <c r="BD518" i="15"/>
  <c r="BF518" i="15" s="1"/>
  <c r="AW764" i="15"/>
  <c r="AV764" i="15"/>
  <c r="AX764" i="15" s="1"/>
  <c r="BI395" i="15"/>
  <c r="BH395" i="15"/>
  <c r="BJ395" i="15" s="1"/>
  <c r="I20" i="15"/>
  <c r="BS27" i="15"/>
  <c r="J20" i="15"/>
  <c r="BS28" i="15"/>
  <c r="BS29" i="15"/>
  <c r="BS30" i="15"/>
  <c r="BS31" i="15"/>
  <c r="BS32" i="15"/>
  <c r="BS33" i="15"/>
  <c r="BS34" i="15"/>
  <c r="BS35" i="15"/>
  <c r="BS36" i="15"/>
  <c r="BS37" i="15"/>
  <c r="BS38" i="15"/>
  <c r="BS39" i="15"/>
  <c r="BS40" i="15"/>
  <c r="BS41" i="15"/>
  <c r="BS42" i="15"/>
  <c r="BS43" i="15"/>
  <c r="BS44" i="15"/>
  <c r="BS45" i="15"/>
  <c r="BS46" i="15"/>
  <c r="BS47" i="15"/>
  <c r="BS48" i="15"/>
  <c r="BS49" i="15"/>
  <c r="BS50" i="15"/>
  <c r="BS51" i="15"/>
  <c r="BS52" i="15"/>
  <c r="BS53" i="15"/>
  <c r="BS54" i="15"/>
  <c r="BS55" i="15"/>
  <c r="BS56" i="15"/>
  <c r="BS57" i="15"/>
  <c r="BS58" i="15"/>
  <c r="BS59" i="15"/>
  <c r="BS60" i="15"/>
  <c r="BS61" i="15"/>
  <c r="BS62" i="15"/>
  <c r="BS63" i="15"/>
  <c r="BS64" i="15"/>
  <c r="BS65" i="15"/>
  <c r="BS66" i="15"/>
  <c r="BS67" i="15"/>
  <c r="BS68" i="15"/>
  <c r="BS69" i="15"/>
  <c r="BS70" i="15"/>
  <c r="BS71" i="15"/>
  <c r="BS72" i="15"/>
  <c r="BS73" i="15"/>
  <c r="BS74" i="15"/>
  <c r="BS75" i="15"/>
  <c r="BS76" i="15"/>
  <c r="BS77" i="15"/>
  <c r="BS78" i="15"/>
  <c r="BS79" i="15"/>
  <c r="BS80" i="15"/>
  <c r="BS81" i="15"/>
  <c r="BS82" i="15"/>
  <c r="BS83" i="15"/>
  <c r="BS84" i="15"/>
  <c r="BS85" i="15"/>
  <c r="BS86" i="15"/>
  <c r="BS87" i="15"/>
  <c r="BS88" i="15"/>
  <c r="BS89" i="15"/>
  <c r="BS90" i="15"/>
  <c r="BS91" i="15"/>
  <c r="BS92" i="15"/>
  <c r="BS93" i="15"/>
  <c r="BS94" i="15"/>
  <c r="BS95" i="15"/>
  <c r="BS96" i="15"/>
  <c r="BS97" i="15"/>
  <c r="BS98" i="15"/>
  <c r="BS99" i="15"/>
  <c r="BS100" i="15"/>
  <c r="BS101" i="15"/>
  <c r="BS102" i="15"/>
  <c r="BS103" i="15"/>
  <c r="BS104" i="15"/>
  <c r="BS105" i="15"/>
  <c r="BS106" i="15"/>
  <c r="BS107" i="15"/>
  <c r="BS108" i="15"/>
  <c r="BS109" i="15"/>
  <c r="BS110" i="15"/>
  <c r="BS111" i="15"/>
  <c r="BS112" i="15"/>
  <c r="BS113" i="15"/>
  <c r="BS114" i="15"/>
  <c r="BS115" i="15"/>
  <c r="BS116" i="15"/>
  <c r="BS117" i="15"/>
  <c r="BS118" i="15"/>
  <c r="BS119" i="15"/>
  <c r="BS120" i="15"/>
  <c r="BS121" i="15"/>
  <c r="BS122" i="15"/>
  <c r="BS123" i="15"/>
  <c r="BS124" i="15"/>
  <c r="BS125" i="15"/>
  <c r="BS126" i="15"/>
  <c r="BS127" i="15"/>
  <c r="BS128" i="15"/>
  <c r="BS129" i="15"/>
  <c r="BS130" i="15"/>
  <c r="BS131" i="15"/>
  <c r="BS132" i="15"/>
  <c r="BS133" i="15"/>
  <c r="BS134" i="15"/>
  <c r="BS135" i="15"/>
  <c r="BS136" i="15"/>
  <c r="BS137" i="15"/>
  <c r="BS138" i="15"/>
  <c r="BS139" i="15"/>
  <c r="BS140" i="15"/>
  <c r="BS141" i="15"/>
  <c r="BS142" i="15"/>
  <c r="BS143" i="15"/>
  <c r="BS144" i="15"/>
  <c r="BS145" i="15"/>
  <c r="BS146" i="15"/>
  <c r="BS147" i="15"/>
  <c r="BS148" i="15"/>
  <c r="BS149" i="15"/>
  <c r="BS150" i="15"/>
  <c r="BS151" i="15"/>
  <c r="BS152" i="15"/>
  <c r="BS153" i="15"/>
  <c r="BS154" i="15"/>
  <c r="BS155" i="15"/>
  <c r="BS156" i="15"/>
  <c r="BS157" i="15"/>
  <c r="BS158" i="15"/>
  <c r="BS159" i="15"/>
  <c r="BS160" i="15"/>
  <c r="BS161" i="15"/>
  <c r="BS162" i="15"/>
  <c r="BS163" i="15"/>
  <c r="BS164" i="15"/>
  <c r="BS165" i="15"/>
  <c r="BS166" i="15"/>
  <c r="BS167" i="15"/>
  <c r="BS168" i="15"/>
  <c r="BS169" i="15"/>
  <c r="BS170" i="15"/>
  <c r="BS171" i="15"/>
  <c r="BS172" i="15"/>
  <c r="BS173" i="15"/>
  <c r="BS174" i="15"/>
  <c r="BS175" i="15"/>
  <c r="BS176" i="15"/>
  <c r="BS177" i="15"/>
  <c r="BS178" i="15"/>
  <c r="BS179" i="15"/>
  <c r="BS180" i="15"/>
  <c r="BS181" i="15"/>
  <c r="BS182" i="15"/>
  <c r="BS183" i="15"/>
  <c r="BS184" i="15"/>
  <c r="BS185" i="15"/>
  <c r="BS186" i="15"/>
  <c r="BS187" i="15"/>
  <c r="BS188" i="15"/>
  <c r="BS189" i="15"/>
  <c r="BS190" i="15"/>
  <c r="BS191" i="15"/>
  <c r="BS192" i="15"/>
  <c r="BS193" i="15"/>
  <c r="BS194" i="15"/>
  <c r="BS195" i="15"/>
  <c r="BS196" i="15"/>
  <c r="BS197" i="15"/>
  <c r="BS198" i="15"/>
  <c r="BS199" i="15"/>
  <c r="BS200" i="15"/>
  <c r="BS201" i="15"/>
  <c r="BS202" i="15"/>
  <c r="BS203" i="15"/>
  <c r="BS204" i="15"/>
  <c r="BS205" i="15"/>
  <c r="BS206" i="15"/>
  <c r="BS207" i="15"/>
  <c r="BS208" i="15"/>
  <c r="BS209" i="15"/>
  <c r="BS210" i="15"/>
  <c r="BS211" i="15"/>
  <c r="BS212" i="15"/>
  <c r="BS213" i="15"/>
  <c r="BS214" i="15"/>
  <c r="BS215" i="15"/>
  <c r="BS216" i="15"/>
  <c r="BS217" i="15"/>
  <c r="BS218" i="15"/>
  <c r="BS219" i="15"/>
  <c r="BS220" i="15"/>
  <c r="BS221" i="15"/>
  <c r="BS222" i="15"/>
  <c r="BS223" i="15"/>
  <c r="BS224" i="15"/>
  <c r="BS225" i="15"/>
  <c r="BS226" i="15"/>
  <c r="BS227" i="15"/>
  <c r="BS228" i="15"/>
  <c r="BS229" i="15"/>
  <c r="BS230" i="15"/>
  <c r="BS231" i="15"/>
  <c r="BS232" i="15"/>
  <c r="BS233" i="15"/>
  <c r="BS234" i="15"/>
  <c r="BS235" i="15"/>
  <c r="BS236" i="15"/>
  <c r="BS237" i="15"/>
  <c r="BS238" i="15"/>
  <c r="BS239" i="15"/>
  <c r="BS240" i="15"/>
  <c r="BS241" i="15"/>
  <c r="BS242" i="15"/>
  <c r="BS243" i="15"/>
  <c r="BS244" i="15"/>
  <c r="BS245" i="15"/>
  <c r="BS246" i="15"/>
  <c r="BS247" i="15"/>
  <c r="BS248" i="15"/>
  <c r="BS249" i="15"/>
  <c r="BS250" i="15"/>
  <c r="BS251" i="15"/>
  <c r="BS252" i="15"/>
  <c r="BS253" i="15"/>
  <c r="BS254" i="15"/>
  <c r="BS255" i="15"/>
  <c r="BS256" i="15"/>
  <c r="BS257" i="15"/>
  <c r="BS258" i="15"/>
  <c r="BS259" i="15"/>
  <c r="BS260" i="15"/>
  <c r="BS261" i="15"/>
  <c r="BS262" i="15"/>
  <c r="BS263" i="15"/>
  <c r="BS264" i="15"/>
  <c r="BS265" i="15"/>
  <c r="BS266" i="15"/>
  <c r="BS267" i="15"/>
  <c r="BS268" i="15"/>
  <c r="BS269" i="15"/>
  <c r="BS270" i="15"/>
  <c r="BS271" i="15"/>
  <c r="BS272" i="15"/>
  <c r="BS273" i="15"/>
  <c r="BS274" i="15"/>
  <c r="BS275" i="15"/>
  <c r="BS276" i="15"/>
  <c r="BS277" i="15"/>
  <c r="BS278" i="15"/>
  <c r="BS279" i="15"/>
  <c r="BS280" i="15"/>
  <c r="BS281" i="15"/>
  <c r="BS282" i="15"/>
  <c r="BS283" i="15"/>
  <c r="BS284" i="15"/>
  <c r="BS285" i="15"/>
  <c r="BS286" i="15"/>
  <c r="BS287" i="15"/>
  <c r="BS288" i="15"/>
  <c r="BS289" i="15"/>
  <c r="BS290" i="15"/>
  <c r="BS291" i="15"/>
  <c r="BS292" i="15"/>
  <c r="BS293" i="15"/>
  <c r="BS294" i="15"/>
  <c r="BS295" i="15"/>
  <c r="BS296" i="15"/>
  <c r="BS297" i="15"/>
  <c r="BS298" i="15"/>
  <c r="BS299" i="15"/>
  <c r="BS300" i="15"/>
  <c r="BS301" i="15"/>
  <c r="BS302" i="15"/>
  <c r="BS303" i="15"/>
  <c r="BS304" i="15"/>
  <c r="BS305" i="15"/>
  <c r="BS306" i="15"/>
  <c r="BS307" i="15"/>
  <c r="BS308" i="15"/>
  <c r="BS309" i="15"/>
  <c r="BS310" i="15"/>
  <c r="BS311" i="15"/>
  <c r="BS312" i="15"/>
  <c r="BS313" i="15"/>
  <c r="BS314" i="15"/>
  <c r="BS315" i="15"/>
  <c r="BS316" i="15"/>
  <c r="BS317" i="15"/>
  <c r="BS318" i="15"/>
  <c r="BS319" i="15"/>
  <c r="BS320" i="15"/>
  <c r="BS321" i="15"/>
  <c r="BS322" i="15"/>
  <c r="BS323" i="15"/>
  <c r="BS324" i="15"/>
  <c r="BS325" i="15"/>
  <c r="BS326" i="15"/>
  <c r="BS327" i="15"/>
  <c r="BS328" i="15"/>
  <c r="BS329" i="15"/>
  <c r="BS330" i="15"/>
  <c r="BS331" i="15"/>
  <c r="BS332" i="15"/>
  <c r="BS333" i="15"/>
  <c r="BS334" i="15"/>
  <c r="BS335" i="15"/>
  <c r="BS336" i="15"/>
  <c r="BS337" i="15"/>
  <c r="BS338" i="15"/>
  <c r="BS339" i="15"/>
  <c r="BS340" i="15"/>
  <c r="BS341" i="15"/>
  <c r="BS342" i="15"/>
  <c r="BS343" i="15"/>
  <c r="BS344" i="15"/>
  <c r="BS345" i="15"/>
  <c r="BS346" i="15"/>
  <c r="BS347" i="15"/>
  <c r="BS348" i="15"/>
  <c r="BS349" i="15"/>
  <c r="BS350" i="15"/>
  <c r="BS351" i="15"/>
  <c r="BS352" i="15"/>
  <c r="BS353" i="15"/>
  <c r="BS354" i="15"/>
  <c r="BS355" i="15"/>
  <c r="BS356" i="15"/>
  <c r="BS357" i="15"/>
  <c r="BS358" i="15"/>
  <c r="BS359" i="15"/>
  <c r="BS360" i="15"/>
  <c r="BS361" i="15"/>
  <c r="BS362" i="15"/>
  <c r="BS363" i="15"/>
  <c r="BS364" i="15"/>
  <c r="BS365" i="15"/>
  <c r="BS366" i="15"/>
  <c r="BS367" i="15"/>
  <c r="BS368" i="15"/>
  <c r="BS369" i="15"/>
  <c r="BS370" i="15"/>
  <c r="BS371" i="15"/>
  <c r="BS372" i="15"/>
  <c r="BS373" i="15"/>
  <c r="BS374" i="15"/>
  <c r="BS375" i="15"/>
  <c r="BS376" i="15"/>
  <c r="BS377" i="15"/>
  <c r="BS378" i="15"/>
  <c r="BS379" i="15"/>
  <c r="BS380" i="15"/>
  <c r="BS381" i="15"/>
  <c r="BS382" i="15"/>
  <c r="BS383" i="15"/>
  <c r="BS384" i="15"/>
  <c r="BS385" i="15"/>
  <c r="BS386" i="15"/>
  <c r="BS387" i="15"/>
  <c r="BS388" i="15"/>
  <c r="BS389" i="15"/>
  <c r="BS390" i="15"/>
  <c r="BS391" i="15"/>
  <c r="BS392" i="15"/>
  <c r="BS393" i="15"/>
  <c r="BS394" i="15"/>
  <c r="BS395" i="15"/>
  <c r="BS396" i="15"/>
  <c r="BS397" i="15"/>
  <c r="BS398" i="15"/>
  <c r="BS399" i="15"/>
  <c r="BS400" i="15"/>
  <c r="BS401" i="15"/>
  <c r="BS402" i="15"/>
  <c r="BS403" i="15"/>
  <c r="BS404" i="15"/>
  <c r="BS405" i="15"/>
  <c r="BS406" i="15"/>
  <c r="BS407" i="15"/>
  <c r="BS408" i="15"/>
  <c r="BS409" i="15"/>
  <c r="BS410" i="15"/>
  <c r="BS411" i="15"/>
  <c r="BS412" i="15"/>
  <c r="BS413" i="15"/>
  <c r="BS414" i="15"/>
  <c r="BS415" i="15"/>
  <c r="BS416" i="15"/>
  <c r="BS417" i="15"/>
  <c r="BS418" i="15"/>
  <c r="BS419" i="15"/>
  <c r="BS420" i="15"/>
  <c r="BS421" i="15"/>
  <c r="BS422" i="15"/>
  <c r="BS423" i="15"/>
  <c r="BS424" i="15"/>
  <c r="BS425" i="15"/>
  <c r="BS426" i="15"/>
  <c r="BS427" i="15"/>
  <c r="BS428" i="15"/>
  <c r="BS429" i="15"/>
  <c r="BS430" i="15"/>
  <c r="BS431" i="15"/>
  <c r="BS432" i="15"/>
  <c r="BS433" i="15"/>
  <c r="BS434" i="15"/>
  <c r="BS435" i="15"/>
  <c r="BS436" i="15"/>
  <c r="BS437" i="15"/>
  <c r="BS438" i="15"/>
  <c r="BS439" i="15"/>
  <c r="BS440" i="15"/>
  <c r="BS441" i="15"/>
  <c r="BS442" i="15"/>
  <c r="BS443" i="15"/>
  <c r="BS444" i="15"/>
  <c r="BS445" i="15"/>
  <c r="BS446" i="15"/>
  <c r="BS447" i="15"/>
  <c r="BS448" i="15"/>
  <c r="BS449" i="15"/>
  <c r="BS450" i="15"/>
  <c r="BS451" i="15"/>
  <c r="BS452" i="15"/>
  <c r="BS453" i="15"/>
  <c r="BS454" i="15"/>
  <c r="BS455" i="15"/>
  <c r="BS456" i="15"/>
  <c r="BS457" i="15"/>
  <c r="BS458" i="15"/>
  <c r="BS459" i="15"/>
  <c r="BS460" i="15"/>
  <c r="BS461" i="15"/>
  <c r="BS462" i="15"/>
  <c r="BS463" i="15"/>
  <c r="BS464" i="15"/>
  <c r="BS465" i="15"/>
  <c r="BS466" i="15"/>
  <c r="BS467" i="15"/>
  <c r="BS468" i="15"/>
  <c r="BS469" i="15"/>
  <c r="BS470" i="15"/>
  <c r="BS471" i="15"/>
  <c r="BS472" i="15"/>
  <c r="BS473" i="15"/>
  <c r="BS474" i="15"/>
  <c r="BS475" i="15"/>
  <c r="BS476" i="15"/>
  <c r="BS477" i="15"/>
  <c r="BS478" i="15"/>
  <c r="BS479" i="15"/>
  <c r="BS480" i="15"/>
  <c r="BS481" i="15"/>
  <c r="BS482" i="15"/>
  <c r="BS483" i="15"/>
  <c r="BS484" i="15"/>
  <c r="BS485" i="15"/>
  <c r="BS486" i="15"/>
  <c r="BS487" i="15"/>
  <c r="BS488" i="15"/>
  <c r="BS489" i="15"/>
  <c r="BS490" i="15"/>
  <c r="BS491" i="15"/>
  <c r="BS492" i="15"/>
  <c r="BS493" i="15"/>
  <c r="BS494" i="15"/>
  <c r="BS495" i="15"/>
  <c r="BS496" i="15"/>
  <c r="BS497" i="15"/>
  <c r="BS498" i="15"/>
  <c r="BS499" i="15"/>
  <c r="BS500" i="15"/>
  <c r="BS501" i="15"/>
  <c r="BS502" i="15"/>
  <c r="BS503" i="15"/>
  <c r="BS504" i="15"/>
  <c r="BS505" i="15"/>
  <c r="BS506" i="15"/>
  <c r="BS507" i="15"/>
  <c r="BS508" i="15"/>
  <c r="BS509" i="15"/>
  <c r="BS510" i="15"/>
  <c r="BS511" i="15"/>
  <c r="BS512" i="15"/>
  <c r="BS513" i="15"/>
  <c r="BS514" i="15"/>
  <c r="BS515" i="15"/>
  <c r="BS516" i="15"/>
  <c r="BS517" i="15"/>
  <c r="BS518" i="15"/>
  <c r="BS519" i="15"/>
  <c r="BS520" i="15"/>
  <c r="BS521" i="15"/>
  <c r="BS522" i="15"/>
  <c r="BS523" i="15"/>
  <c r="BS524" i="15"/>
  <c r="BS525" i="15"/>
  <c r="BS526" i="15"/>
  <c r="BS527" i="15"/>
  <c r="BS528" i="15"/>
  <c r="BS529" i="15"/>
  <c r="BS530" i="15"/>
  <c r="BS531" i="15"/>
  <c r="BS532" i="15"/>
  <c r="BS533" i="15"/>
  <c r="BS534" i="15"/>
  <c r="BS535" i="15"/>
  <c r="BS536" i="15"/>
  <c r="BS537" i="15"/>
  <c r="BS538" i="15"/>
  <c r="BS539" i="15"/>
  <c r="BS540" i="15"/>
  <c r="BS541" i="15"/>
  <c r="BS542" i="15"/>
  <c r="BS543" i="15"/>
  <c r="BS544" i="15"/>
  <c r="BS545" i="15"/>
  <c r="BS546" i="15"/>
  <c r="BS547" i="15"/>
  <c r="BS548" i="15"/>
  <c r="BS549" i="15"/>
  <c r="BS550" i="15"/>
  <c r="BS551" i="15"/>
  <c r="BS552" i="15"/>
  <c r="BS553" i="15"/>
  <c r="BS554" i="15"/>
  <c r="BS555" i="15"/>
  <c r="BS556" i="15"/>
  <c r="BS557" i="15"/>
  <c r="BS558" i="15"/>
  <c r="BS559" i="15"/>
  <c r="BS560" i="15"/>
  <c r="BS561" i="15"/>
  <c r="BS562" i="15"/>
  <c r="BS563" i="15"/>
  <c r="BS564" i="15"/>
  <c r="BS565" i="15"/>
  <c r="BS566" i="15"/>
  <c r="BS567" i="15"/>
  <c r="BS568" i="15"/>
  <c r="BS569" i="15"/>
  <c r="BS570" i="15"/>
  <c r="BS571" i="15"/>
  <c r="BS572" i="15"/>
  <c r="BS573" i="15"/>
  <c r="BS574" i="15"/>
  <c r="BS575" i="15"/>
  <c r="BS576" i="15"/>
  <c r="BS577" i="15"/>
  <c r="BS578" i="15"/>
  <c r="BS579" i="15"/>
  <c r="BS580" i="15"/>
  <c r="BS581" i="15"/>
  <c r="BS582" i="15"/>
  <c r="BS583" i="15"/>
  <c r="BS584" i="15"/>
  <c r="BS585" i="15"/>
  <c r="BS586" i="15"/>
  <c r="BS587" i="15"/>
  <c r="BS588" i="15"/>
  <c r="BS589" i="15"/>
  <c r="BS590" i="15"/>
  <c r="BS591" i="15"/>
  <c r="BS592" i="15"/>
  <c r="BS593" i="15"/>
  <c r="BS594" i="15"/>
  <c r="BS595" i="15"/>
  <c r="BS596" i="15"/>
  <c r="BS597" i="15"/>
  <c r="BS598" i="15"/>
  <c r="BS599" i="15"/>
  <c r="BS600" i="15"/>
  <c r="BS601" i="15"/>
  <c r="BS602" i="15"/>
  <c r="BS603" i="15"/>
  <c r="BS604" i="15"/>
  <c r="BS605" i="15"/>
  <c r="BS606" i="15"/>
  <c r="BS607" i="15"/>
  <c r="BS608" i="15"/>
  <c r="BS609" i="15"/>
  <c r="BS610" i="15"/>
  <c r="BS611" i="15"/>
  <c r="BS612" i="15"/>
  <c r="BS613" i="15"/>
  <c r="BS614" i="15"/>
  <c r="BS615" i="15"/>
  <c r="BS616" i="15"/>
  <c r="BS617" i="15"/>
  <c r="BS618" i="15"/>
  <c r="BS619" i="15"/>
  <c r="BS620" i="15"/>
  <c r="BS621" i="15"/>
  <c r="BS622" i="15"/>
  <c r="BS623" i="15"/>
  <c r="BS624" i="15"/>
  <c r="BS625" i="15"/>
  <c r="BS626" i="15"/>
  <c r="BS627" i="15"/>
  <c r="BS628" i="15"/>
  <c r="BS629" i="15"/>
  <c r="BS630" i="15"/>
  <c r="BS631" i="15"/>
  <c r="BS632" i="15"/>
  <c r="BS633" i="15"/>
  <c r="BS634" i="15"/>
  <c r="BS635" i="15"/>
  <c r="BS636" i="15"/>
  <c r="BS637" i="15"/>
  <c r="BS638" i="15"/>
  <c r="BS639" i="15"/>
  <c r="BS640" i="15"/>
  <c r="BS641" i="15"/>
  <c r="BS642" i="15"/>
  <c r="BS643" i="15"/>
  <c r="BS644" i="15"/>
  <c r="BS645" i="15"/>
  <c r="BS646" i="15"/>
  <c r="BS647" i="15"/>
  <c r="BS648" i="15"/>
  <c r="BS649" i="15"/>
  <c r="BS650" i="15"/>
  <c r="BS651" i="15"/>
  <c r="BS652" i="15"/>
  <c r="BS653" i="15"/>
  <c r="BS654" i="15"/>
  <c r="BS655" i="15"/>
  <c r="BS656" i="15"/>
  <c r="BS657" i="15"/>
  <c r="BS658" i="15"/>
  <c r="BS659" i="15"/>
  <c r="BS660" i="15"/>
  <c r="BS661" i="15"/>
  <c r="BS662" i="15"/>
  <c r="BS663" i="15"/>
  <c r="BS664" i="15"/>
  <c r="BS665" i="15"/>
  <c r="BS666" i="15"/>
  <c r="BS667" i="15"/>
  <c r="BS668" i="15"/>
  <c r="BS669" i="15"/>
  <c r="BS670" i="15"/>
  <c r="BS671" i="15"/>
  <c r="BS672" i="15"/>
  <c r="BS673" i="15"/>
  <c r="BS674" i="15"/>
  <c r="BS675" i="15"/>
  <c r="BS676" i="15"/>
  <c r="BS677" i="15"/>
  <c r="BS678" i="15"/>
  <c r="BS679" i="15"/>
  <c r="BS680" i="15"/>
  <c r="BS681" i="15"/>
  <c r="BS682" i="15"/>
  <c r="BS683" i="15"/>
  <c r="BS684" i="15"/>
  <c r="BS685" i="15"/>
  <c r="BS686" i="15"/>
  <c r="BS687" i="15"/>
  <c r="BS688" i="15"/>
  <c r="BS689" i="15"/>
  <c r="BS690" i="15"/>
  <c r="BS691" i="15"/>
  <c r="BS692" i="15"/>
  <c r="BS693" i="15"/>
  <c r="BS694" i="15"/>
  <c r="BS695" i="15"/>
  <c r="BS696" i="15"/>
  <c r="BS697" i="15"/>
  <c r="BS698" i="15"/>
  <c r="BS699" i="15"/>
  <c r="BS700" i="15"/>
  <c r="BS701" i="15"/>
  <c r="BS702" i="15"/>
  <c r="BS703" i="15"/>
  <c r="BS704" i="15"/>
  <c r="BS705" i="15"/>
  <c r="BS706" i="15"/>
  <c r="BS707" i="15"/>
  <c r="BS708" i="15"/>
  <c r="BS709" i="15"/>
  <c r="BS710" i="15"/>
  <c r="BS711" i="15"/>
  <c r="BS712" i="15"/>
  <c r="BS713" i="15"/>
  <c r="BS714" i="15"/>
  <c r="BS715" i="15"/>
  <c r="BS716" i="15"/>
  <c r="BS717" i="15"/>
  <c r="BS718" i="15"/>
  <c r="BS719" i="15"/>
  <c r="BS720" i="15"/>
  <c r="BS721" i="15"/>
  <c r="BS722" i="15"/>
  <c r="BS723" i="15"/>
  <c r="BS724" i="15"/>
  <c r="BS725" i="15"/>
  <c r="BS726" i="15"/>
  <c r="BS727" i="15"/>
  <c r="BS728" i="15"/>
  <c r="BS729" i="15"/>
  <c r="BS730" i="15"/>
  <c r="BS731" i="15"/>
  <c r="BS732" i="15"/>
  <c r="BS733" i="15"/>
  <c r="BS734" i="15"/>
  <c r="BS735" i="15"/>
  <c r="BS736" i="15"/>
  <c r="BS737" i="15"/>
  <c r="BS738" i="15"/>
  <c r="BS739" i="15"/>
  <c r="BS740" i="15"/>
  <c r="BS741" i="15"/>
  <c r="BS742" i="15"/>
  <c r="BS743" i="15"/>
  <c r="BS744" i="15"/>
  <c r="BS745" i="15"/>
  <c r="BS746" i="15"/>
  <c r="BS747" i="15"/>
  <c r="BS748" i="15"/>
  <c r="BS749" i="15"/>
  <c r="BS750" i="15"/>
  <c r="BS751" i="15"/>
  <c r="BS752" i="15"/>
  <c r="BS753" i="15"/>
  <c r="BS754" i="15"/>
  <c r="BS755" i="15"/>
  <c r="BS756" i="15"/>
  <c r="BS757" i="15"/>
  <c r="BS758" i="15"/>
  <c r="BS759" i="15"/>
  <c r="BS760" i="15"/>
  <c r="BS761" i="15"/>
  <c r="BS762" i="15"/>
  <c r="BS763" i="15"/>
  <c r="BS764" i="15"/>
  <c r="BS765" i="15"/>
  <c r="BS766" i="15"/>
  <c r="BS767" i="15"/>
  <c r="BS768" i="15"/>
  <c r="BS769" i="15"/>
  <c r="BS770" i="15"/>
  <c r="BS771" i="15"/>
  <c r="BS772" i="15"/>
  <c r="BS773" i="15"/>
  <c r="BS774" i="15"/>
  <c r="BS775" i="15"/>
  <c r="BS776" i="15"/>
  <c r="BS777" i="15"/>
  <c r="BS778" i="15"/>
  <c r="BS779" i="15"/>
  <c r="BS780" i="15"/>
  <c r="BS781" i="15"/>
  <c r="BS782" i="15"/>
  <c r="BS783" i="15"/>
  <c r="BS784" i="15"/>
  <c r="BS785" i="15"/>
  <c r="BS786" i="15"/>
  <c r="BS787" i="15"/>
  <c r="BS788" i="15"/>
  <c r="BS789" i="15"/>
  <c r="BS790" i="15"/>
  <c r="BS791" i="15"/>
  <c r="BS792" i="15"/>
  <c r="BS793" i="15"/>
  <c r="BS794" i="15"/>
  <c r="BS795" i="15"/>
  <c r="BS796" i="15"/>
  <c r="BS797" i="15"/>
  <c r="BS798" i="15"/>
  <c r="BS799" i="15"/>
  <c r="BS800" i="15"/>
  <c r="BS801" i="15"/>
  <c r="BS802" i="15"/>
  <c r="BS803" i="15"/>
  <c r="BS804" i="15"/>
  <c r="BS805" i="15"/>
  <c r="BS806" i="15"/>
  <c r="BS807" i="15"/>
  <c r="BS808" i="15"/>
  <c r="BS809" i="15"/>
  <c r="BS810" i="15"/>
  <c r="BS811" i="15"/>
  <c r="BS812" i="15"/>
  <c r="BS813" i="15"/>
  <c r="BS814" i="15"/>
  <c r="BS815" i="15"/>
  <c r="BS816" i="15"/>
  <c r="BS817" i="15"/>
  <c r="BS818" i="15"/>
  <c r="BS819" i="15"/>
  <c r="BS820" i="15"/>
  <c r="BS821" i="15"/>
  <c r="BS822" i="15"/>
  <c r="BS823" i="15"/>
  <c r="BS824" i="15"/>
  <c r="BS825" i="15"/>
  <c r="BS826" i="15"/>
  <c r="BS827" i="15"/>
  <c r="BS828" i="15"/>
  <c r="BS829" i="15"/>
  <c r="BS830" i="15"/>
  <c r="BS831" i="15"/>
  <c r="BS832" i="15"/>
  <c r="BS833" i="15"/>
  <c r="BS834" i="15"/>
  <c r="BS835" i="15"/>
  <c r="BS836" i="15"/>
  <c r="BS837" i="15"/>
  <c r="BS838" i="15"/>
  <c r="BS839" i="15"/>
  <c r="BS840" i="15"/>
  <c r="BS841" i="15"/>
  <c r="BS842" i="15"/>
  <c r="BS843" i="15"/>
  <c r="BS844" i="15"/>
  <c r="BS845" i="15"/>
  <c r="BS846" i="15"/>
  <c r="BS847" i="15"/>
  <c r="BS848" i="15"/>
  <c r="BS849" i="15"/>
  <c r="BS850" i="15"/>
  <c r="BS851" i="15"/>
  <c r="BS852" i="15"/>
  <c r="BS853" i="15"/>
  <c r="BS854" i="15"/>
  <c r="BS855" i="15"/>
  <c r="BS856" i="15"/>
  <c r="BS857" i="15"/>
  <c r="BS858" i="15"/>
  <c r="BS859" i="15"/>
  <c r="BS860" i="15"/>
  <c r="BS861" i="15"/>
  <c r="BS862" i="15"/>
  <c r="BS863" i="15"/>
  <c r="BS864" i="15"/>
  <c r="BS865" i="15"/>
  <c r="BS866" i="15"/>
  <c r="BS867" i="15"/>
  <c r="BS868" i="15"/>
  <c r="BS869" i="15"/>
  <c r="BS870" i="15"/>
  <c r="BS871" i="15"/>
  <c r="BS872" i="15"/>
  <c r="BS873" i="15"/>
  <c r="BS874" i="15"/>
  <c r="BS875" i="15"/>
  <c r="BS876" i="15"/>
  <c r="BS877" i="15"/>
  <c r="BS878" i="15"/>
  <c r="BS879" i="15"/>
  <c r="BS880" i="15"/>
  <c r="BS881" i="15"/>
  <c r="BS882" i="15"/>
  <c r="BS883" i="15"/>
  <c r="BS884" i="15"/>
  <c r="BS885" i="15"/>
  <c r="BS886" i="15"/>
  <c r="BS887" i="15"/>
  <c r="BS888" i="15"/>
  <c r="BS889" i="15"/>
  <c r="BS890" i="15"/>
  <c r="BS891" i="15"/>
  <c r="BS892" i="15"/>
  <c r="BS893" i="15"/>
  <c r="BS894" i="15"/>
  <c r="BS895" i="15"/>
  <c r="BS896" i="15"/>
  <c r="BS897" i="15"/>
  <c r="BS898" i="15"/>
  <c r="BS899" i="15"/>
  <c r="BS900" i="15"/>
  <c r="BS901" i="15"/>
  <c r="BS902" i="15"/>
  <c r="BS903" i="15"/>
  <c r="BS904" i="15"/>
  <c r="BS905" i="15"/>
  <c r="BS906" i="15"/>
  <c r="BS907" i="15"/>
  <c r="BS908" i="15"/>
  <c r="BS909" i="15"/>
  <c r="BS910" i="15"/>
  <c r="BS911" i="15"/>
  <c r="BS912" i="15"/>
  <c r="BS913" i="15"/>
  <c r="BS914" i="15"/>
  <c r="BS915" i="15"/>
  <c r="BS916" i="15"/>
  <c r="BS917" i="15"/>
  <c r="BS918" i="15"/>
  <c r="BS919" i="15"/>
  <c r="BS920" i="15"/>
  <c r="BS921" i="15"/>
  <c r="BS922" i="15"/>
  <c r="BS923" i="15"/>
  <c r="BS924" i="15"/>
  <c r="BS925" i="15"/>
  <c r="BS926" i="15"/>
  <c r="BS927" i="15"/>
  <c r="BS928" i="15"/>
  <c r="BS929" i="15"/>
  <c r="BS930" i="15"/>
  <c r="BS931" i="15"/>
  <c r="BS932" i="15"/>
  <c r="BS933" i="15"/>
  <c r="BS934" i="15"/>
  <c r="BS935" i="15"/>
  <c r="BS936" i="15"/>
  <c r="BS937" i="15"/>
  <c r="BS938" i="15"/>
  <c r="BS939" i="15"/>
  <c r="BS940" i="15"/>
  <c r="BS941" i="15"/>
  <c r="BS942" i="15"/>
  <c r="BS943" i="15"/>
  <c r="BS944" i="15"/>
  <c r="BS945" i="15"/>
  <c r="BS946" i="15"/>
  <c r="BS947" i="15"/>
  <c r="BS948" i="15"/>
  <c r="BS949" i="15"/>
  <c r="BS950" i="15"/>
  <c r="BS951" i="15"/>
  <c r="BS952" i="15"/>
  <c r="BS953" i="15"/>
  <c r="BS954" i="15"/>
  <c r="BS955" i="15"/>
  <c r="BS956" i="15"/>
  <c r="BS957" i="15"/>
  <c r="BS958" i="15"/>
  <c r="BS959" i="15"/>
  <c r="BS960" i="15"/>
  <c r="BS961" i="15"/>
  <c r="BS962" i="15"/>
  <c r="BS963" i="15"/>
  <c r="BS964" i="15"/>
  <c r="BS965" i="15"/>
  <c r="BS966" i="15"/>
  <c r="BS967" i="15"/>
  <c r="BS968" i="15"/>
  <c r="BS969" i="15"/>
  <c r="BS970" i="15"/>
  <c r="BS971" i="15"/>
  <c r="BS972" i="15"/>
  <c r="BS973" i="15"/>
  <c r="BS974" i="15"/>
  <c r="BS975" i="15"/>
  <c r="BS976" i="15"/>
  <c r="BS977" i="15"/>
  <c r="BS978" i="15"/>
  <c r="BS979" i="15"/>
  <c r="BS980" i="15"/>
  <c r="BS981" i="15"/>
  <c r="BS982" i="15"/>
  <c r="BS983" i="15"/>
  <c r="BS984" i="15"/>
  <c r="BS985" i="15"/>
  <c r="BS986" i="15"/>
  <c r="BS987" i="15"/>
  <c r="BS988" i="15"/>
  <c r="BS989" i="15"/>
  <c r="BS990" i="15"/>
  <c r="BS991" i="15"/>
  <c r="BS992" i="15"/>
  <c r="BS993" i="15"/>
  <c r="BS994" i="15"/>
  <c r="BS995" i="15"/>
  <c r="BS996" i="15"/>
  <c r="BS997" i="15"/>
  <c r="BS998" i="15"/>
  <c r="BS999" i="15"/>
  <c r="BS1000" i="15"/>
  <c r="BS1001" i="15"/>
  <c r="BS1002" i="15"/>
  <c r="BS1003" i="15"/>
  <c r="BS1004" i="15"/>
  <c r="BS1005" i="15"/>
  <c r="BS1006" i="15"/>
  <c r="BS1007" i="15"/>
  <c r="BS1008" i="15"/>
  <c r="BS1009" i="15"/>
  <c r="BS1010" i="15"/>
  <c r="BS1011" i="15"/>
  <c r="BS1012" i="15"/>
  <c r="BS1013" i="15"/>
  <c r="BS1014" i="15"/>
  <c r="BS1015" i="15"/>
  <c r="BS1016" i="15"/>
  <c r="BS1017" i="15"/>
  <c r="BS1018" i="15"/>
  <c r="BS1019" i="15"/>
  <c r="BS1020" i="15"/>
  <c r="BS1021" i="15"/>
  <c r="BS1022" i="15"/>
  <c r="BS1023" i="15"/>
  <c r="BS1024" i="15"/>
  <c r="BS1025" i="15"/>
  <c r="BS1026" i="15"/>
  <c r="BS1027" i="15"/>
  <c r="BU27" i="15"/>
  <c r="BI396" i="15" l="1"/>
  <c r="BH396" i="15"/>
  <c r="BJ396" i="15" s="1"/>
  <c r="AW765" i="15"/>
  <c r="AV765" i="15"/>
  <c r="AX765" i="15" s="1"/>
  <c r="BE519" i="15"/>
  <c r="BD519" i="15"/>
  <c r="BF519" i="15" s="1"/>
  <c r="AS888" i="15"/>
  <c r="AR888" i="15"/>
  <c r="AT888" i="15" s="1"/>
  <c r="BA642" i="15"/>
  <c r="AZ642" i="15"/>
  <c r="BB642" i="15" s="1"/>
  <c r="AO1011" i="15"/>
  <c r="AN1011" i="15"/>
  <c r="AP1011" i="15" s="1"/>
  <c r="BM273" i="15"/>
  <c r="BL273" i="15"/>
  <c r="BN273" i="15" s="1"/>
  <c r="BQ150" i="15"/>
  <c r="BP150" i="15"/>
  <c r="BR150" i="15" s="1"/>
  <c r="BT27" i="15"/>
  <c r="BV27" i="15" s="1"/>
  <c r="BT28" i="15" s="1"/>
  <c r="BQ151" i="15" l="1"/>
  <c r="BP151" i="15"/>
  <c r="BR151" i="15" s="1"/>
  <c r="AO1012" i="15"/>
  <c r="AN1012" i="15"/>
  <c r="AP1012" i="15" s="1"/>
  <c r="BA643" i="15"/>
  <c r="AZ643" i="15"/>
  <c r="BB643" i="15" s="1"/>
  <c r="AS889" i="15"/>
  <c r="AR889" i="15"/>
  <c r="AT889" i="15" s="1"/>
  <c r="BE520" i="15"/>
  <c r="BD520" i="15"/>
  <c r="BF520" i="15" s="1"/>
  <c r="AW766" i="15"/>
  <c r="AV766" i="15"/>
  <c r="AX766" i="15" s="1"/>
  <c r="BI397" i="15"/>
  <c r="BH397" i="15"/>
  <c r="BJ397" i="15" s="1"/>
  <c r="BM274" i="15"/>
  <c r="BL274" i="15"/>
  <c r="BN274" i="15" s="1"/>
  <c r="BU28" i="15"/>
  <c r="BV28" i="15" s="1"/>
  <c r="BM275" i="15" l="1"/>
  <c r="BL275" i="15"/>
  <c r="BN275" i="15" s="1"/>
  <c r="AW767" i="15"/>
  <c r="AV767" i="15"/>
  <c r="AX767" i="15" s="1"/>
  <c r="AS890" i="15"/>
  <c r="AR890" i="15"/>
  <c r="AT890" i="15" s="1"/>
  <c r="BA644" i="15"/>
  <c r="AZ644" i="15"/>
  <c r="BB644" i="15" s="1"/>
  <c r="AO1013" i="15"/>
  <c r="AN1013" i="15"/>
  <c r="AP1013" i="15" s="1"/>
  <c r="BQ152" i="15"/>
  <c r="BP152" i="15"/>
  <c r="BR152" i="15" s="1"/>
  <c r="BI398" i="15"/>
  <c r="BH398" i="15"/>
  <c r="BJ398" i="15" s="1"/>
  <c r="BE521" i="15"/>
  <c r="BD521" i="15"/>
  <c r="BF521" i="15" s="1"/>
  <c r="BU29" i="15"/>
  <c r="BT29" i="15"/>
  <c r="BV29" i="15" s="1"/>
  <c r="BE522" i="15" l="1"/>
  <c r="BD522" i="15"/>
  <c r="BF522" i="15" s="1"/>
  <c r="BQ153" i="15"/>
  <c r="BP153" i="15"/>
  <c r="BR153" i="15" s="1"/>
  <c r="BA645" i="15"/>
  <c r="AZ645" i="15"/>
  <c r="BB645" i="15" s="1"/>
  <c r="AS891" i="15"/>
  <c r="AR891" i="15"/>
  <c r="AT891" i="15" s="1"/>
  <c r="BM276" i="15"/>
  <c r="BL276" i="15"/>
  <c r="BN276" i="15" s="1"/>
  <c r="BU30" i="15"/>
  <c r="BT30" i="15"/>
  <c r="BV30" i="15" s="1"/>
  <c r="BI399" i="15"/>
  <c r="BH399" i="15"/>
  <c r="BJ399" i="15" s="1"/>
  <c r="AO1014" i="15"/>
  <c r="AN1014" i="15"/>
  <c r="AP1014" i="15" s="1"/>
  <c r="AW768" i="15"/>
  <c r="AV768" i="15"/>
  <c r="AX768" i="15" s="1"/>
  <c r="AO1015" i="15" l="1"/>
  <c r="AN1015" i="15"/>
  <c r="AP1015" i="15" s="1"/>
  <c r="BU31" i="15"/>
  <c r="BT31" i="15"/>
  <c r="BV31" i="15" s="1"/>
  <c r="BM277" i="15"/>
  <c r="BL277" i="15"/>
  <c r="BN277" i="15" s="1"/>
  <c r="BA646" i="15"/>
  <c r="AZ646" i="15"/>
  <c r="BB646" i="15" s="1"/>
  <c r="BE523" i="15"/>
  <c r="BD523" i="15"/>
  <c r="BF523" i="15" s="1"/>
  <c r="AW769" i="15"/>
  <c r="AV769" i="15"/>
  <c r="AX769" i="15" s="1"/>
  <c r="BI400" i="15"/>
  <c r="BH400" i="15"/>
  <c r="BJ400" i="15" s="1"/>
  <c r="AS892" i="15"/>
  <c r="AR892" i="15"/>
  <c r="AT892" i="15" s="1"/>
  <c r="BQ154" i="15"/>
  <c r="BP154" i="15"/>
  <c r="BR154" i="15" s="1"/>
  <c r="BQ155" i="15" l="1"/>
  <c r="BP155" i="15"/>
  <c r="BR155" i="15" s="1"/>
  <c r="BI401" i="15"/>
  <c r="BH401" i="15"/>
  <c r="BJ401" i="15" s="1"/>
  <c r="BE524" i="15"/>
  <c r="BD524" i="15"/>
  <c r="BF524" i="15" s="1"/>
  <c r="BM278" i="15"/>
  <c r="BL278" i="15"/>
  <c r="BN278" i="15" s="1"/>
  <c r="AO1016" i="15"/>
  <c r="AN1016" i="15"/>
  <c r="AP1016" i="15" s="1"/>
  <c r="AS893" i="15"/>
  <c r="AR893" i="15"/>
  <c r="AT893" i="15" s="1"/>
  <c r="AW770" i="15"/>
  <c r="AV770" i="15"/>
  <c r="AX770" i="15" s="1"/>
  <c r="BA647" i="15"/>
  <c r="AZ647" i="15"/>
  <c r="BB647" i="15" s="1"/>
  <c r="BU32" i="15"/>
  <c r="BT32" i="15"/>
  <c r="BV32" i="15" s="1"/>
  <c r="BA648" i="15" l="1"/>
  <c r="AZ648" i="15"/>
  <c r="BB648" i="15" s="1"/>
  <c r="AS894" i="15"/>
  <c r="AR894" i="15"/>
  <c r="AT894" i="15" s="1"/>
  <c r="BM279" i="15"/>
  <c r="BL279" i="15"/>
  <c r="BN279" i="15" s="1"/>
  <c r="BE525" i="15"/>
  <c r="BD525" i="15"/>
  <c r="BF525" i="15" s="1"/>
  <c r="BQ156" i="15"/>
  <c r="BP156" i="15"/>
  <c r="BR156" i="15" s="1"/>
  <c r="BU33" i="15"/>
  <c r="BT33" i="15"/>
  <c r="BV33" i="15" s="1"/>
  <c r="AW771" i="15"/>
  <c r="AV771" i="15"/>
  <c r="AX771" i="15" s="1"/>
  <c r="AO1017" i="15"/>
  <c r="AN1017" i="15"/>
  <c r="AP1017" i="15" s="1"/>
  <c r="BI402" i="15"/>
  <c r="BH402" i="15"/>
  <c r="BJ402" i="15" s="1"/>
  <c r="BI403" i="15" l="1"/>
  <c r="BH403" i="15"/>
  <c r="BJ403" i="15" s="1"/>
  <c r="AW772" i="15"/>
  <c r="AV772" i="15"/>
  <c r="AX772" i="15" s="1"/>
  <c r="BQ157" i="15"/>
  <c r="BP157" i="15"/>
  <c r="BR157" i="15" s="1"/>
  <c r="BM280" i="15"/>
  <c r="BL280" i="15"/>
  <c r="BN280" i="15" s="1"/>
  <c r="BA649" i="15"/>
  <c r="AZ649" i="15"/>
  <c r="BB649" i="15" s="1"/>
  <c r="AO1018" i="15"/>
  <c r="AN1018" i="15"/>
  <c r="AP1018" i="15" s="1"/>
  <c r="BU34" i="15"/>
  <c r="BT34" i="15"/>
  <c r="BV34" i="15" s="1"/>
  <c r="BE526" i="15"/>
  <c r="BD526" i="15"/>
  <c r="BF526" i="15" s="1"/>
  <c r="AS895" i="15"/>
  <c r="AR895" i="15"/>
  <c r="AT895" i="15" s="1"/>
  <c r="AS896" i="15" l="1"/>
  <c r="AR896" i="15"/>
  <c r="AT896" i="15" s="1"/>
  <c r="BU35" i="15"/>
  <c r="BT35" i="15"/>
  <c r="BV35" i="15" s="1"/>
  <c r="BA650" i="15"/>
  <c r="AZ650" i="15"/>
  <c r="BB650" i="15" s="1"/>
  <c r="BQ158" i="15"/>
  <c r="BP158" i="15"/>
  <c r="BR158" i="15" s="1"/>
  <c r="BI404" i="15"/>
  <c r="BH404" i="15"/>
  <c r="BJ404" i="15" s="1"/>
  <c r="BE527" i="15"/>
  <c r="BD527" i="15"/>
  <c r="BF527" i="15" s="1"/>
  <c r="AO1019" i="15"/>
  <c r="AN1019" i="15"/>
  <c r="AP1019" i="15" s="1"/>
  <c r="BM281" i="15"/>
  <c r="BL281" i="15"/>
  <c r="BN281" i="15" s="1"/>
  <c r="AW773" i="15"/>
  <c r="AV773" i="15"/>
  <c r="AX773" i="15" s="1"/>
  <c r="AW774" i="15" l="1"/>
  <c r="AV774" i="15"/>
  <c r="AX774" i="15" s="1"/>
  <c r="BE528" i="15"/>
  <c r="BD528" i="15"/>
  <c r="BF528" i="15" s="1"/>
  <c r="BQ159" i="15"/>
  <c r="BP159" i="15"/>
  <c r="BR159" i="15" s="1"/>
  <c r="BA651" i="15"/>
  <c r="AZ651" i="15"/>
  <c r="BB651" i="15" s="1"/>
  <c r="AS897" i="15"/>
  <c r="AR897" i="15"/>
  <c r="AT897" i="15" s="1"/>
  <c r="BM282" i="15"/>
  <c r="BL282" i="15"/>
  <c r="BN282" i="15" s="1"/>
  <c r="AO1020" i="15"/>
  <c r="AN1020" i="15"/>
  <c r="AP1020" i="15" s="1"/>
  <c r="BI405" i="15"/>
  <c r="BH405" i="15"/>
  <c r="BJ405" i="15" s="1"/>
  <c r="BU36" i="15"/>
  <c r="BT36" i="15"/>
  <c r="BV36" i="15" s="1"/>
  <c r="BU37" i="15" l="1"/>
  <c r="BT37" i="15"/>
  <c r="BV37" i="15" s="1"/>
  <c r="AO1021" i="15"/>
  <c r="AN1021" i="15"/>
  <c r="AP1021" i="15" s="1"/>
  <c r="AS898" i="15"/>
  <c r="AR898" i="15"/>
  <c r="AT898" i="15" s="1"/>
  <c r="BA652" i="15"/>
  <c r="AZ652" i="15"/>
  <c r="BB652" i="15" s="1"/>
  <c r="BQ160" i="15"/>
  <c r="BP160" i="15"/>
  <c r="BR160" i="15" s="1"/>
  <c r="AW775" i="15"/>
  <c r="AV775" i="15"/>
  <c r="AX775" i="15" s="1"/>
  <c r="BI406" i="15"/>
  <c r="BH406" i="15"/>
  <c r="BJ406" i="15" s="1"/>
  <c r="BM283" i="15"/>
  <c r="BL283" i="15"/>
  <c r="BN283" i="15" s="1"/>
  <c r="BE529" i="15"/>
  <c r="BD529" i="15"/>
  <c r="BF529" i="15" s="1"/>
  <c r="BM284" i="15" l="1"/>
  <c r="BL284" i="15"/>
  <c r="BN284" i="15" s="1"/>
  <c r="AW776" i="15"/>
  <c r="AV776" i="15"/>
  <c r="AX776" i="15" s="1"/>
  <c r="BA653" i="15"/>
  <c r="AZ653" i="15"/>
  <c r="BB653" i="15" s="1"/>
  <c r="AS899" i="15"/>
  <c r="AR899" i="15"/>
  <c r="AT899" i="15" s="1"/>
  <c r="BU38" i="15"/>
  <c r="BT38" i="15"/>
  <c r="BV38" i="15" s="1"/>
  <c r="BE530" i="15"/>
  <c r="BD530" i="15"/>
  <c r="BF530" i="15" s="1"/>
  <c r="BI407" i="15"/>
  <c r="BH407" i="15"/>
  <c r="BJ407" i="15" s="1"/>
  <c r="BQ161" i="15"/>
  <c r="BP161" i="15"/>
  <c r="BR161" i="15" s="1"/>
  <c r="AO1022" i="15"/>
  <c r="AN1022" i="15"/>
  <c r="AP1022" i="15" s="1"/>
  <c r="BQ162" i="15" l="1"/>
  <c r="BP162" i="15"/>
  <c r="BR162" i="15" s="1"/>
  <c r="BE531" i="15"/>
  <c r="BD531" i="15"/>
  <c r="BF531" i="15" s="1"/>
  <c r="BU39" i="15"/>
  <c r="BT39" i="15"/>
  <c r="BV39" i="15" s="1"/>
  <c r="BA654" i="15"/>
  <c r="AZ654" i="15"/>
  <c r="BB654" i="15" s="1"/>
  <c r="BM285" i="15"/>
  <c r="BL285" i="15"/>
  <c r="BN285" i="15" s="1"/>
  <c r="AO1023" i="15"/>
  <c r="AN1023" i="15"/>
  <c r="AP1023" i="15" s="1"/>
  <c r="BI408" i="15"/>
  <c r="BH408" i="15"/>
  <c r="BJ408" i="15" s="1"/>
  <c r="AS900" i="15"/>
  <c r="AR900" i="15"/>
  <c r="AT900" i="15" s="1"/>
  <c r="AW777" i="15"/>
  <c r="AV777" i="15"/>
  <c r="AX777" i="15" s="1"/>
  <c r="AW778" i="15" l="1"/>
  <c r="AV778" i="15"/>
  <c r="AX778" i="15" s="1"/>
  <c r="BI409" i="15"/>
  <c r="BH409" i="15"/>
  <c r="BJ409" i="15" s="1"/>
  <c r="BM286" i="15"/>
  <c r="BL286" i="15"/>
  <c r="BN286" i="15" s="1"/>
  <c r="BU40" i="15"/>
  <c r="BT40" i="15"/>
  <c r="BV40" i="15" s="1"/>
  <c r="BQ163" i="15"/>
  <c r="BP163" i="15"/>
  <c r="BR163" i="15" s="1"/>
  <c r="AS901" i="15"/>
  <c r="AR901" i="15"/>
  <c r="AT901" i="15" s="1"/>
  <c r="AO1024" i="15"/>
  <c r="AN1024" i="15"/>
  <c r="AP1024" i="15" s="1"/>
  <c r="BA655" i="15"/>
  <c r="AZ655" i="15"/>
  <c r="BB655" i="15" s="1"/>
  <c r="BE532" i="15"/>
  <c r="BD532" i="15"/>
  <c r="BF532" i="15" s="1"/>
  <c r="BE533" i="15" l="1"/>
  <c r="BD533" i="15"/>
  <c r="BF533" i="15" s="1"/>
  <c r="AO1025" i="15"/>
  <c r="AN1025" i="15"/>
  <c r="AP1025" i="15" s="1"/>
  <c r="BQ164" i="15"/>
  <c r="BP164" i="15"/>
  <c r="BR164" i="15" s="1"/>
  <c r="BM287" i="15"/>
  <c r="BL287" i="15"/>
  <c r="BN287" i="15" s="1"/>
  <c r="AW779" i="15"/>
  <c r="AV779" i="15"/>
  <c r="AX779" i="15" s="1"/>
  <c r="BA656" i="15"/>
  <c r="AZ656" i="15"/>
  <c r="BB656" i="15" s="1"/>
  <c r="AS902" i="15"/>
  <c r="AR902" i="15"/>
  <c r="AT902" i="15" s="1"/>
  <c r="BU41" i="15"/>
  <c r="BT41" i="15"/>
  <c r="BV41" i="15" s="1"/>
  <c r="BI410" i="15"/>
  <c r="BH410" i="15"/>
  <c r="BJ410" i="15" s="1"/>
  <c r="BU42" i="15" l="1"/>
  <c r="BT42" i="15"/>
  <c r="BV42" i="15" s="1"/>
  <c r="BA657" i="15"/>
  <c r="AZ657" i="15"/>
  <c r="BB657" i="15" s="1"/>
  <c r="AW780" i="15"/>
  <c r="AV780" i="15"/>
  <c r="AX780" i="15" s="1"/>
  <c r="BQ165" i="15"/>
  <c r="BP165" i="15"/>
  <c r="BR165" i="15" s="1"/>
  <c r="BE534" i="15"/>
  <c r="BD534" i="15"/>
  <c r="BF534" i="15" s="1"/>
  <c r="BI411" i="15"/>
  <c r="BH411" i="15"/>
  <c r="BJ411" i="15" s="1"/>
  <c r="AS903" i="15"/>
  <c r="AR903" i="15"/>
  <c r="AT903" i="15" s="1"/>
  <c r="BM288" i="15"/>
  <c r="BL288" i="15"/>
  <c r="BN288" i="15" s="1"/>
  <c r="AO1026" i="15"/>
  <c r="AN1026" i="15"/>
  <c r="AP1026" i="15" s="1"/>
  <c r="AO1027" i="15" l="1"/>
  <c r="AN1027" i="15"/>
  <c r="AP1027" i="15" s="1"/>
  <c r="BM289" i="15"/>
  <c r="BL289" i="15"/>
  <c r="BN289" i="15" s="1"/>
  <c r="AS904" i="15"/>
  <c r="AR904" i="15"/>
  <c r="AT904" i="15" s="1"/>
  <c r="BI412" i="15"/>
  <c r="BH412" i="15"/>
  <c r="BJ412" i="15" s="1"/>
  <c r="BE535" i="15"/>
  <c r="BD535" i="15"/>
  <c r="BF535" i="15" s="1"/>
  <c r="BQ166" i="15"/>
  <c r="BP166" i="15"/>
  <c r="BR166" i="15" s="1"/>
  <c r="AW781" i="15"/>
  <c r="AV781" i="15"/>
  <c r="AX781" i="15" s="1"/>
  <c r="BA658" i="15"/>
  <c r="AZ658" i="15"/>
  <c r="BB658" i="15" s="1"/>
  <c r="BU43" i="15"/>
  <c r="BT43" i="15"/>
  <c r="BV43" i="15" s="1"/>
  <c r="BU44" i="15" l="1"/>
  <c r="BT44" i="15"/>
  <c r="BV44" i="15" s="1"/>
  <c r="AW782" i="15"/>
  <c r="AV782" i="15"/>
  <c r="AX782" i="15" s="1"/>
  <c r="BE536" i="15"/>
  <c r="BD536" i="15"/>
  <c r="BF536" i="15" s="1"/>
  <c r="BI413" i="15"/>
  <c r="BH413" i="15"/>
  <c r="BJ413" i="15" s="1"/>
  <c r="AS905" i="15"/>
  <c r="AR905" i="15"/>
  <c r="AT905" i="15" s="1"/>
  <c r="BA659" i="15"/>
  <c r="AZ659" i="15"/>
  <c r="BB659" i="15" s="1"/>
  <c r="BQ167" i="15"/>
  <c r="BP167" i="15"/>
  <c r="BR167" i="15" s="1"/>
  <c r="BM290" i="15"/>
  <c r="BL290" i="15"/>
  <c r="BN290" i="15" s="1"/>
  <c r="BQ168" i="15" l="1"/>
  <c r="BP168" i="15"/>
  <c r="BR168" i="15" s="1"/>
  <c r="AS906" i="15"/>
  <c r="AR906" i="15"/>
  <c r="AT906" i="15" s="1"/>
  <c r="BI414" i="15"/>
  <c r="BH414" i="15"/>
  <c r="BJ414" i="15" s="1"/>
  <c r="AW783" i="15"/>
  <c r="AV783" i="15"/>
  <c r="AX783" i="15" s="1"/>
  <c r="BU45" i="15"/>
  <c r="BT45" i="15"/>
  <c r="BV45" i="15" s="1"/>
  <c r="BM291" i="15"/>
  <c r="BL291" i="15"/>
  <c r="BN291" i="15" s="1"/>
  <c r="BA660" i="15"/>
  <c r="AZ660" i="15"/>
  <c r="BB660" i="15" s="1"/>
  <c r="BE537" i="15"/>
  <c r="BD537" i="15"/>
  <c r="BF537" i="15" s="1"/>
  <c r="BE538" i="15" l="1"/>
  <c r="BD538" i="15"/>
  <c r="BF538" i="15" s="1"/>
  <c r="BM292" i="15"/>
  <c r="BL292" i="15"/>
  <c r="BN292" i="15" s="1"/>
  <c r="AW784" i="15"/>
  <c r="AV784" i="15"/>
  <c r="AX784" i="15" s="1"/>
  <c r="BI415" i="15"/>
  <c r="BH415" i="15"/>
  <c r="BJ415" i="15" s="1"/>
  <c r="BQ169" i="15"/>
  <c r="BP169" i="15"/>
  <c r="BR169" i="15" s="1"/>
  <c r="BA661" i="15"/>
  <c r="AZ661" i="15"/>
  <c r="BB661" i="15" s="1"/>
  <c r="BU46" i="15"/>
  <c r="BT46" i="15"/>
  <c r="BV46" i="15" s="1"/>
  <c r="AS907" i="15"/>
  <c r="AR907" i="15"/>
  <c r="AT907" i="15" s="1"/>
  <c r="BU47" i="15" l="1"/>
  <c r="BT47" i="15"/>
  <c r="BV47" i="15" s="1"/>
  <c r="BQ170" i="15"/>
  <c r="BP170" i="15"/>
  <c r="BR170" i="15" s="1"/>
  <c r="AW785" i="15"/>
  <c r="AV785" i="15"/>
  <c r="AX785" i="15" s="1"/>
  <c r="BE539" i="15"/>
  <c r="BD539" i="15"/>
  <c r="BF539" i="15" s="1"/>
  <c r="AS908" i="15"/>
  <c r="AR908" i="15"/>
  <c r="AT908" i="15" s="1"/>
  <c r="BA662" i="15"/>
  <c r="AZ662" i="15"/>
  <c r="BB662" i="15" s="1"/>
  <c r="BI416" i="15"/>
  <c r="BH416" i="15"/>
  <c r="BJ416" i="15" s="1"/>
  <c r="BM293" i="15"/>
  <c r="BL293" i="15"/>
  <c r="BN293" i="15" s="1"/>
  <c r="BI417" i="15" l="1"/>
  <c r="BH417" i="15"/>
  <c r="BJ417" i="15" s="1"/>
  <c r="BA663" i="15"/>
  <c r="AZ663" i="15"/>
  <c r="BB663" i="15" s="1"/>
  <c r="BE540" i="15"/>
  <c r="BD540" i="15"/>
  <c r="BF540" i="15" s="1"/>
  <c r="AW786" i="15"/>
  <c r="AV786" i="15"/>
  <c r="AX786" i="15" s="1"/>
  <c r="BU48" i="15"/>
  <c r="BT48" i="15"/>
  <c r="BV48" i="15" s="1"/>
  <c r="BM294" i="15"/>
  <c r="BL294" i="15"/>
  <c r="BN294" i="15" s="1"/>
  <c r="AS909" i="15"/>
  <c r="AR909" i="15"/>
  <c r="AT909" i="15" s="1"/>
  <c r="BQ171" i="15"/>
  <c r="BP171" i="15"/>
  <c r="BR171" i="15" s="1"/>
  <c r="BQ172" i="15" l="1"/>
  <c r="BP172" i="15"/>
  <c r="BR172" i="15" s="1"/>
  <c r="AS910" i="15"/>
  <c r="AR910" i="15"/>
  <c r="AT910" i="15" s="1"/>
  <c r="BU49" i="15"/>
  <c r="BT49" i="15"/>
  <c r="BV49" i="15" s="1"/>
  <c r="BE541" i="15"/>
  <c r="BD541" i="15"/>
  <c r="BF541" i="15" s="1"/>
  <c r="BI418" i="15"/>
  <c r="BH418" i="15"/>
  <c r="BJ418" i="15" s="1"/>
  <c r="BM295" i="15"/>
  <c r="BL295" i="15"/>
  <c r="BN295" i="15" s="1"/>
  <c r="AW787" i="15"/>
  <c r="AV787" i="15"/>
  <c r="AX787" i="15" s="1"/>
  <c r="BA664" i="15"/>
  <c r="AZ664" i="15"/>
  <c r="BB664" i="15" s="1"/>
  <c r="BA665" i="15" l="1"/>
  <c r="AZ665" i="15"/>
  <c r="BB665" i="15" s="1"/>
  <c r="AW788" i="15"/>
  <c r="AV788" i="15"/>
  <c r="AX788" i="15" s="1"/>
  <c r="BM296" i="15"/>
  <c r="BL296" i="15"/>
  <c r="BN296" i="15" s="1"/>
  <c r="BI419" i="15"/>
  <c r="BH419" i="15"/>
  <c r="BJ419" i="15" s="1"/>
  <c r="BE542" i="15"/>
  <c r="BD542" i="15"/>
  <c r="BF542" i="15" s="1"/>
  <c r="BU50" i="15"/>
  <c r="BT50" i="15"/>
  <c r="BV50" i="15" s="1"/>
  <c r="AS911" i="15"/>
  <c r="AR911" i="15"/>
  <c r="AT911" i="15" s="1"/>
  <c r="BQ173" i="15"/>
  <c r="BP173" i="15"/>
  <c r="BR173" i="15" s="1"/>
  <c r="BQ174" i="15" l="1"/>
  <c r="BP174" i="15"/>
  <c r="BR174" i="15" s="1"/>
  <c r="AS912" i="15"/>
  <c r="AR912" i="15"/>
  <c r="AT912" i="15" s="1"/>
  <c r="BU51" i="15"/>
  <c r="BT51" i="15"/>
  <c r="BV51" i="15" s="1"/>
  <c r="BE543" i="15"/>
  <c r="BD543" i="15"/>
  <c r="BF543" i="15" s="1"/>
  <c r="BI420" i="15"/>
  <c r="BH420" i="15"/>
  <c r="BJ420" i="15" s="1"/>
  <c r="BM297" i="15"/>
  <c r="BL297" i="15"/>
  <c r="BN297" i="15" s="1"/>
  <c r="AW789" i="15"/>
  <c r="AV789" i="15"/>
  <c r="AX789" i="15" s="1"/>
  <c r="BA666" i="15"/>
  <c r="AZ666" i="15"/>
  <c r="BB666" i="15" s="1"/>
  <c r="BA667" i="15" l="1"/>
  <c r="AZ667" i="15"/>
  <c r="BB667" i="15" s="1"/>
  <c r="AW790" i="15"/>
  <c r="AV790" i="15"/>
  <c r="AX790" i="15" s="1"/>
  <c r="BM298" i="15"/>
  <c r="BL298" i="15"/>
  <c r="BN298" i="15" s="1"/>
  <c r="BI421" i="15"/>
  <c r="BH421" i="15"/>
  <c r="BJ421" i="15" s="1"/>
  <c r="BE544" i="15"/>
  <c r="BD544" i="15"/>
  <c r="BF544" i="15" s="1"/>
  <c r="BU52" i="15"/>
  <c r="BT52" i="15"/>
  <c r="BV52" i="15" s="1"/>
  <c r="AS913" i="15"/>
  <c r="AR913" i="15"/>
  <c r="AT913" i="15" s="1"/>
  <c r="BQ175" i="15"/>
  <c r="BP175" i="15"/>
  <c r="BR175" i="15" s="1"/>
  <c r="BQ176" i="15" l="1"/>
  <c r="BP176" i="15"/>
  <c r="BR176" i="15" s="1"/>
  <c r="AS914" i="15"/>
  <c r="AR914" i="15"/>
  <c r="AT914" i="15" s="1"/>
  <c r="BU53" i="15"/>
  <c r="BT53" i="15"/>
  <c r="BV53" i="15" s="1"/>
  <c r="BE545" i="15"/>
  <c r="BD545" i="15"/>
  <c r="BF545" i="15" s="1"/>
  <c r="BI422" i="15"/>
  <c r="BH422" i="15"/>
  <c r="BJ422" i="15" s="1"/>
  <c r="BM299" i="15"/>
  <c r="BL299" i="15"/>
  <c r="BN299" i="15" s="1"/>
  <c r="AW791" i="15"/>
  <c r="AV791" i="15"/>
  <c r="AX791" i="15" s="1"/>
  <c r="BA668" i="15"/>
  <c r="AZ668" i="15"/>
  <c r="BB668" i="15" s="1"/>
  <c r="BA669" i="15" l="1"/>
  <c r="AZ669" i="15"/>
  <c r="BB669" i="15" s="1"/>
  <c r="AW792" i="15"/>
  <c r="AV792" i="15"/>
  <c r="AX792" i="15" s="1"/>
  <c r="BM300" i="15"/>
  <c r="BL300" i="15"/>
  <c r="BN300" i="15" s="1"/>
  <c r="BI423" i="15"/>
  <c r="BH423" i="15"/>
  <c r="BJ423" i="15" s="1"/>
  <c r="BE546" i="15"/>
  <c r="BD546" i="15"/>
  <c r="BF546" i="15" s="1"/>
  <c r="BU54" i="15"/>
  <c r="BT54" i="15"/>
  <c r="BV54" i="15" s="1"/>
  <c r="AS915" i="15"/>
  <c r="AR915" i="15"/>
  <c r="AT915" i="15" s="1"/>
  <c r="BQ177" i="15"/>
  <c r="BP177" i="15"/>
  <c r="BR177" i="15" s="1"/>
  <c r="BQ178" i="15" l="1"/>
  <c r="BP178" i="15"/>
  <c r="BR178" i="15" s="1"/>
  <c r="AS916" i="15"/>
  <c r="AR916" i="15"/>
  <c r="AT916" i="15" s="1"/>
  <c r="BU55" i="15"/>
  <c r="BT55" i="15"/>
  <c r="BV55" i="15" s="1"/>
  <c r="BE547" i="15"/>
  <c r="BD547" i="15"/>
  <c r="BF547" i="15" s="1"/>
  <c r="BI424" i="15"/>
  <c r="BH424" i="15"/>
  <c r="BJ424" i="15" s="1"/>
  <c r="BM301" i="15"/>
  <c r="BL301" i="15"/>
  <c r="BN301" i="15" s="1"/>
  <c r="AW793" i="15"/>
  <c r="AV793" i="15"/>
  <c r="AX793" i="15" s="1"/>
  <c r="BA670" i="15"/>
  <c r="AZ670" i="15"/>
  <c r="BB670" i="15" s="1"/>
  <c r="BA671" i="15" l="1"/>
  <c r="AZ671" i="15"/>
  <c r="BB671" i="15" s="1"/>
  <c r="BM302" i="15"/>
  <c r="BL302" i="15"/>
  <c r="BN302" i="15" s="1"/>
  <c r="BE548" i="15"/>
  <c r="BD548" i="15"/>
  <c r="BF548" i="15" s="1"/>
  <c r="BU56" i="15"/>
  <c r="BT56" i="15"/>
  <c r="BV56" i="15" s="1"/>
  <c r="BQ179" i="15"/>
  <c r="BP179" i="15"/>
  <c r="BR179" i="15" s="1"/>
  <c r="AW794" i="15"/>
  <c r="AV794" i="15"/>
  <c r="AX794" i="15" s="1"/>
  <c r="BI425" i="15"/>
  <c r="BH425" i="15"/>
  <c r="BJ425" i="15" s="1"/>
  <c r="AS917" i="15"/>
  <c r="AR917" i="15"/>
  <c r="AT917" i="15" s="1"/>
  <c r="BI426" i="15" l="1"/>
  <c r="BH426" i="15"/>
  <c r="BJ426" i="15" s="1"/>
  <c r="BQ180" i="15"/>
  <c r="BP180" i="15"/>
  <c r="BR180" i="15" s="1"/>
  <c r="BU57" i="15"/>
  <c r="BT57" i="15"/>
  <c r="BV57" i="15" s="1"/>
  <c r="BE549" i="15"/>
  <c r="BD549" i="15"/>
  <c r="BF549" i="15" s="1"/>
  <c r="BA672" i="15"/>
  <c r="AZ672" i="15"/>
  <c r="BB672" i="15" s="1"/>
  <c r="AS918" i="15"/>
  <c r="AR918" i="15"/>
  <c r="AT918" i="15" s="1"/>
  <c r="AW795" i="15"/>
  <c r="AV795" i="15"/>
  <c r="AX795" i="15" s="1"/>
  <c r="BM303" i="15"/>
  <c r="BL303" i="15"/>
  <c r="BN303" i="15" s="1"/>
  <c r="BM304" i="15" l="1"/>
  <c r="BL304" i="15"/>
  <c r="BN304" i="15" s="1"/>
  <c r="AS919" i="15"/>
  <c r="AR919" i="15"/>
  <c r="AT919" i="15" s="1"/>
  <c r="BA673" i="15"/>
  <c r="AZ673" i="15"/>
  <c r="BB673" i="15" s="1"/>
  <c r="BU58" i="15"/>
  <c r="BT58" i="15"/>
  <c r="BV58" i="15" s="1"/>
  <c r="BI427" i="15"/>
  <c r="BH427" i="15"/>
  <c r="BJ427" i="15" s="1"/>
  <c r="AW796" i="15"/>
  <c r="AV796" i="15"/>
  <c r="AX796" i="15" s="1"/>
  <c r="BE550" i="15"/>
  <c r="BD550" i="15"/>
  <c r="BF550" i="15" s="1"/>
  <c r="BQ181" i="15"/>
  <c r="BP181" i="15"/>
  <c r="BR181" i="15" s="1"/>
  <c r="BE551" i="15" l="1"/>
  <c r="BD551" i="15"/>
  <c r="BF551" i="15" s="1"/>
  <c r="BI428" i="15"/>
  <c r="BH428" i="15"/>
  <c r="BJ428" i="15" s="1"/>
  <c r="BA674" i="15"/>
  <c r="AZ674" i="15"/>
  <c r="BB674" i="15" s="1"/>
  <c r="BM305" i="15"/>
  <c r="BL305" i="15"/>
  <c r="BN305" i="15" s="1"/>
  <c r="BQ182" i="15"/>
  <c r="BP182" i="15"/>
  <c r="BR182" i="15" s="1"/>
  <c r="AW797" i="15"/>
  <c r="AV797" i="15"/>
  <c r="AX797" i="15" s="1"/>
  <c r="BU59" i="15"/>
  <c r="BT59" i="15"/>
  <c r="BV59" i="15" s="1"/>
  <c r="AS920" i="15"/>
  <c r="AR920" i="15"/>
  <c r="AT920" i="15" s="1"/>
  <c r="AS921" i="15" l="1"/>
  <c r="AR921" i="15"/>
  <c r="AT921" i="15" s="1"/>
  <c r="AW798" i="15"/>
  <c r="AV798" i="15"/>
  <c r="AX798" i="15" s="1"/>
  <c r="BQ183" i="15"/>
  <c r="BP183" i="15"/>
  <c r="BR183" i="15" s="1"/>
  <c r="BA675" i="15"/>
  <c r="AZ675" i="15"/>
  <c r="BB675" i="15" s="1"/>
  <c r="BE552" i="15"/>
  <c r="BD552" i="15"/>
  <c r="BF552" i="15" s="1"/>
  <c r="BU60" i="15"/>
  <c r="BT60" i="15"/>
  <c r="BV60" i="15" s="1"/>
  <c r="BM306" i="15"/>
  <c r="BL306" i="15"/>
  <c r="BN306" i="15" s="1"/>
  <c r="BI429" i="15"/>
  <c r="BH429" i="15"/>
  <c r="BJ429" i="15" s="1"/>
  <c r="BM307" i="15" l="1"/>
  <c r="BL307" i="15"/>
  <c r="BN307" i="15" s="1"/>
  <c r="BE553" i="15"/>
  <c r="BD553" i="15"/>
  <c r="BF553" i="15" s="1"/>
  <c r="BQ184" i="15"/>
  <c r="BP184" i="15"/>
  <c r="BR184" i="15" s="1"/>
  <c r="AS922" i="15"/>
  <c r="AR922" i="15"/>
  <c r="AT922" i="15" s="1"/>
  <c r="BI430" i="15"/>
  <c r="BH430" i="15"/>
  <c r="BJ430" i="15" s="1"/>
  <c r="BU61" i="15"/>
  <c r="BT61" i="15"/>
  <c r="BV61" i="15" s="1"/>
  <c r="BA676" i="15"/>
  <c r="AZ676" i="15"/>
  <c r="BB676" i="15" s="1"/>
  <c r="AW799" i="15"/>
  <c r="AV799" i="15"/>
  <c r="AX799" i="15" s="1"/>
  <c r="BA677" i="15" l="1"/>
  <c r="AZ677" i="15"/>
  <c r="BB677" i="15" s="1"/>
  <c r="BI431" i="15"/>
  <c r="BH431" i="15"/>
  <c r="BJ431" i="15" s="1"/>
  <c r="BQ185" i="15"/>
  <c r="BP185" i="15"/>
  <c r="BR185" i="15" s="1"/>
  <c r="BM308" i="15"/>
  <c r="BL308" i="15"/>
  <c r="BN308" i="15" s="1"/>
  <c r="AW800" i="15"/>
  <c r="AV800" i="15"/>
  <c r="AX800" i="15" s="1"/>
  <c r="BU62" i="15"/>
  <c r="BT62" i="15"/>
  <c r="BV62" i="15" s="1"/>
  <c r="AS923" i="15"/>
  <c r="AR923" i="15"/>
  <c r="AT923" i="15" s="1"/>
  <c r="BE554" i="15"/>
  <c r="BD554" i="15"/>
  <c r="BF554" i="15" s="1"/>
  <c r="BE555" i="15" l="1"/>
  <c r="BD555" i="15"/>
  <c r="BF555" i="15" s="1"/>
  <c r="BU63" i="15"/>
  <c r="BT63" i="15"/>
  <c r="BV63" i="15" s="1"/>
  <c r="BM309" i="15"/>
  <c r="BL309" i="15"/>
  <c r="BN309" i="15" s="1"/>
  <c r="BQ186" i="15"/>
  <c r="BP186" i="15"/>
  <c r="BR186" i="15" s="1"/>
  <c r="BA678" i="15"/>
  <c r="AZ678" i="15"/>
  <c r="BB678" i="15" s="1"/>
  <c r="AS924" i="15"/>
  <c r="AR924" i="15"/>
  <c r="AT924" i="15" s="1"/>
  <c r="AW801" i="15"/>
  <c r="AV801" i="15"/>
  <c r="AX801" i="15" s="1"/>
  <c r="BI432" i="15"/>
  <c r="BH432" i="15"/>
  <c r="BJ432" i="15" s="1"/>
  <c r="BI433" i="15" l="1"/>
  <c r="BH433" i="15"/>
  <c r="BJ433" i="15" s="1"/>
  <c r="AW802" i="15"/>
  <c r="AV802" i="15"/>
  <c r="AX802" i="15" s="1"/>
  <c r="BA679" i="15"/>
  <c r="AZ679" i="15"/>
  <c r="BB679" i="15" s="1"/>
  <c r="BM310" i="15"/>
  <c r="BL310" i="15"/>
  <c r="BN310" i="15" s="1"/>
  <c r="BE556" i="15"/>
  <c r="BD556" i="15"/>
  <c r="BF556" i="15" s="1"/>
  <c r="AS925" i="15"/>
  <c r="AR925" i="15"/>
  <c r="AT925" i="15" s="1"/>
  <c r="BQ187" i="15"/>
  <c r="BP187" i="15"/>
  <c r="BR187" i="15" s="1"/>
  <c r="BU64" i="15"/>
  <c r="BT64" i="15"/>
  <c r="BV64" i="15" s="1"/>
  <c r="BQ188" i="15" l="1"/>
  <c r="BP188" i="15"/>
  <c r="BR188" i="15" s="1"/>
  <c r="BE557" i="15"/>
  <c r="BD557" i="15"/>
  <c r="BF557" i="15" s="1"/>
  <c r="BA680" i="15"/>
  <c r="AZ680" i="15"/>
  <c r="BB680" i="15" s="1"/>
  <c r="BI434" i="15"/>
  <c r="BH434" i="15"/>
  <c r="BJ434" i="15" s="1"/>
  <c r="BU65" i="15"/>
  <c r="BT65" i="15"/>
  <c r="BV65" i="15" s="1"/>
  <c r="AS926" i="15"/>
  <c r="AR926" i="15"/>
  <c r="AT926" i="15" s="1"/>
  <c r="BM311" i="15"/>
  <c r="BL311" i="15"/>
  <c r="BN311" i="15" s="1"/>
  <c r="AW803" i="15"/>
  <c r="AV803" i="15"/>
  <c r="AX803" i="15" s="1"/>
  <c r="BM312" i="15" l="1"/>
  <c r="BL312" i="15"/>
  <c r="BN312" i="15" s="1"/>
  <c r="BU66" i="15"/>
  <c r="BT66" i="15"/>
  <c r="BV66" i="15" s="1"/>
  <c r="BA681" i="15"/>
  <c r="AZ681" i="15"/>
  <c r="BB681" i="15" s="1"/>
  <c r="BQ189" i="15"/>
  <c r="BP189" i="15"/>
  <c r="BR189" i="15" s="1"/>
  <c r="AW804" i="15"/>
  <c r="AV804" i="15"/>
  <c r="AX804" i="15" s="1"/>
  <c r="AS927" i="15"/>
  <c r="AR927" i="15"/>
  <c r="AT927" i="15" s="1"/>
  <c r="BI435" i="15"/>
  <c r="BH435" i="15"/>
  <c r="BJ435" i="15" s="1"/>
  <c r="BE558" i="15"/>
  <c r="BD558" i="15"/>
  <c r="BF558" i="15" s="1"/>
  <c r="BE559" i="15" l="1"/>
  <c r="BD559" i="15"/>
  <c r="BF559" i="15" s="1"/>
  <c r="AS928" i="15"/>
  <c r="AR928" i="15"/>
  <c r="AT928" i="15" s="1"/>
  <c r="AW805" i="15"/>
  <c r="AV805" i="15"/>
  <c r="AX805" i="15" s="1"/>
  <c r="BA682" i="15"/>
  <c r="AZ682" i="15"/>
  <c r="BB682" i="15" s="1"/>
  <c r="BM313" i="15"/>
  <c r="BL313" i="15"/>
  <c r="BN313" i="15" s="1"/>
  <c r="BI436" i="15"/>
  <c r="BH436" i="15"/>
  <c r="BJ436" i="15" s="1"/>
  <c r="BQ190" i="15"/>
  <c r="BP190" i="15"/>
  <c r="BR190" i="15" s="1"/>
  <c r="BU67" i="15"/>
  <c r="BT67" i="15"/>
  <c r="BV67" i="15" s="1"/>
  <c r="BQ191" i="15" l="1"/>
  <c r="BP191" i="15"/>
  <c r="BR191" i="15" s="1"/>
  <c r="BM314" i="15"/>
  <c r="BL314" i="15"/>
  <c r="BN314" i="15" s="1"/>
  <c r="AW806" i="15"/>
  <c r="AV806" i="15"/>
  <c r="AX806" i="15" s="1"/>
  <c r="BE560" i="15"/>
  <c r="BD560" i="15"/>
  <c r="BF560" i="15" s="1"/>
  <c r="BU68" i="15"/>
  <c r="BT68" i="15"/>
  <c r="BV68" i="15" s="1"/>
  <c r="BI437" i="15"/>
  <c r="BH437" i="15"/>
  <c r="BJ437" i="15" s="1"/>
  <c r="BA683" i="15"/>
  <c r="AZ683" i="15"/>
  <c r="BB683" i="15" s="1"/>
  <c r="AS929" i="15"/>
  <c r="AR929" i="15"/>
  <c r="AT929" i="15" s="1"/>
  <c r="AS930" i="15" l="1"/>
  <c r="AR930" i="15"/>
  <c r="AT930" i="15" s="1"/>
  <c r="BI438" i="15"/>
  <c r="BH438" i="15"/>
  <c r="BJ438" i="15" s="1"/>
  <c r="BU69" i="15"/>
  <c r="BT69" i="15"/>
  <c r="BV69" i="15" s="1"/>
  <c r="AW807" i="15"/>
  <c r="AV807" i="15"/>
  <c r="AX807" i="15" s="1"/>
  <c r="BQ192" i="15"/>
  <c r="BP192" i="15"/>
  <c r="BR192" i="15" s="1"/>
  <c r="BA684" i="15"/>
  <c r="AZ684" i="15"/>
  <c r="BB684" i="15" s="1"/>
  <c r="BE561" i="15"/>
  <c r="BD561" i="15"/>
  <c r="BF561" i="15" s="1"/>
  <c r="BM315" i="15"/>
  <c r="BL315" i="15"/>
  <c r="BN315" i="15" s="1"/>
  <c r="BM316" i="15" l="1"/>
  <c r="BL316" i="15"/>
  <c r="BN316" i="15" s="1"/>
  <c r="BA685" i="15"/>
  <c r="AZ685" i="15"/>
  <c r="BB685" i="15" s="1"/>
  <c r="AW808" i="15"/>
  <c r="AV808" i="15"/>
  <c r="AX808" i="15" s="1"/>
  <c r="BU70" i="15"/>
  <c r="BT70" i="15"/>
  <c r="BV70" i="15" s="1"/>
  <c r="AS931" i="15"/>
  <c r="AR931" i="15"/>
  <c r="AT931" i="15" s="1"/>
  <c r="BE562" i="15"/>
  <c r="BD562" i="15"/>
  <c r="BF562" i="15" s="1"/>
  <c r="BQ193" i="15"/>
  <c r="BP193" i="15"/>
  <c r="BR193" i="15" s="1"/>
  <c r="BI439" i="15"/>
  <c r="BH439" i="15"/>
  <c r="BJ439" i="15" s="1"/>
  <c r="BQ194" i="15" l="1"/>
  <c r="BP194" i="15"/>
  <c r="BR194" i="15" s="1"/>
  <c r="AS932" i="15"/>
  <c r="AR932" i="15"/>
  <c r="AT932" i="15" s="1"/>
  <c r="AW809" i="15"/>
  <c r="AV809" i="15"/>
  <c r="AX809" i="15" s="1"/>
  <c r="BM317" i="15"/>
  <c r="BL317" i="15"/>
  <c r="BN317" i="15" s="1"/>
  <c r="BI440" i="15"/>
  <c r="BH440" i="15"/>
  <c r="BJ440" i="15" s="1"/>
  <c r="BE563" i="15"/>
  <c r="BD563" i="15"/>
  <c r="BF563" i="15" s="1"/>
  <c r="BU71" i="15"/>
  <c r="BT71" i="15"/>
  <c r="BV71" i="15" s="1"/>
  <c r="BA686" i="15"/>
  <c r="AZ686" i="15"/>
  <c r="BB686" i="15" s="1"/>
  <c r="BU72" i="15" l="1"/>
  <c r="BT72" i="15"/>
  <c r="BV72" i="15" s="1"/>
  <c r="BI441" i="15"/>
  <c r="BH441" i="15"/>
  <c r="BJ441" i="15" s="1"/>
  <c r="AW810" i="15"/>
  <c r="AV810" i="15"/>
  <c r="AX810" i="15" s="1"/>
  <c r="BQ195" i="15"/>
  <c r="BP195" i="15"/>
  <c r="BR195" i="15" s="1"/>
  <c r="BA687" i="15"/>
  <c r="AZ687" i="15"/>
  <c r="BB687" i="15" s="1"/>
  <c r="BE564" i="15"/>
  <c r="BD564" i="15"/>
  <c r="BF564" i="15" s="1"/>
  <c r="BM318" i="15"/>
  <c r="BL318" i="15"/>
  <c r="BN318" i="15" s="1"/>
  <c r="AS933" i="15"/>
  <c r="AR933" i="15"/>
  <c r="AT933" i="15" s="1"/>
  <c r="AS934" i="15" l="1"/>
  <c r="AR934" i="15"/>
  <c r="AT934" i="15" s="1"/>
  <c r="BE565" i="15"/>
  <c r="BD565" i="15"/>
  <c r="BF565" i="15" s="1"/>
  <c r="BQ196" i="15"/>
  <c r="BP196" i="15"/>
  <c r="BR196" i="15" s="1"/>
  <c r="AW811" i="15"/>
  <c r="AV811" i="15"/>
  <c r="AX811" i="15" s="1"/>
  <c r="BU73" i="15"/>
  <c r="BT73" i="15"/>
  <c r="BV73" i="15" s="1"/>
  <c r="BM319" i="15"/>
  <c r="BL319" i="15"/>
  <c r="BN319" i="15" s="1"/>
  <c r="BA688" i="15"/>
  <c r="AZ688" i="15"/>
  <c r="BB688" i="15" s="1"/>
  <c r="BI442" i="15"/>
  <c r="BH442" i="15"/>
  <c r="BJ442" i="15" s="1"/>
  <c r="BA689" i="15" l="1"/>
  <c r="AZ689" i="15"/>
  <c r="BB689" i="15" s="1"/>
  <c r="BU74" i="15"/>
  <c r="BT74" i="15"/>
  <c r="BV74" i="15" s="1"/>
  <c r="BQ197" i="15"/>
  <c r="BP197" i="15"/>
  <c r="BR197" i="15" s="1"/>
  <c r="AS935" i="15"/>
  <c r="AR935" i="15"/>
  <c r="AT935" i="15" s="1"/>
  <c r="BI443" i="15"/>
  <c r="BH443" i="15"/>
  <c r="BJ443" i="15" s="1"/>
  <c r="BM320" i="15"/>
  <c r="BL320" i="15"/>
  <c r="BN320" i="15" s="1"/>
  <c r="AW812" i="15"/>
  <c r="AV812" i="15"/>
  <c r="AX812" i="15" s="1"/>
  <c r="BE566" i="15"/>
  <c r="BD566" i="15"/>
  <c r="BF566" i="15" s="1"/>
  <c r="AW813" i="15" l="1"/>
  <c r="AV813" i="15"/>
  <c r="AX813" i="15" s="1"/>
  <c r="BI444" i="15"/>
  <c r="BH444" i="15"/>
  <c r="BJ444" i="15" s="1"/>
  <c r="BU75" i="15"/>
  <c r="BT75" i="15"/>
  <c r="BV75" i="15" s="1"/>
  <c r="BA690" i="15"/>
  <c r="AZ690" i="15"/>
  <c r="BB690" i="15" s="1"/>
  <c r="BE567" i="15"/>
  <c r="BD567" i="15"/>
  <c r="BF567" i="15" s="1"/>
  <c r="BM321" i="15"/>
  <c r="BL321" i="15"/>
  <c r="BN321" i="15" s="1"/>
  <c r="AS936" i="15"/>
  <c r="AR936" i="15"/>
  <c r="AT936" i="15" s="1"/>
  <c r="BQ198" i="15"/>
  <c r="BP198" i="15"/>
  <c r="BR198" i="15" s="1"/>
  <c r="BQ199" i="15" l="1"/>
  <c r="BP199" i="15"/>
  <c r="BR199" i="15" s="1"/>
  <c r="BM322" i="15"/>
  <c r="BL322" i="15"/>
  <c r="BN322" i="15" s="1"/>
  <c r="BE568" i="15"/>
  <c r="BD568" i="15"/>
  <c r="BF568" i="15" s="1"/>
  <c r="BU76" i="15"/>
  <c r="BT76" i="15"/>
  <c r="BV76" i="15" s="1"/>
  <c r="AW814" i="15"/>
  <c r="AV814" i="15"/>
  <c r="AX814" i="15" s="1"/>
  <c r="AS937" i="15"/>
  <c r="AR937" i="15"/>
  <c r="AT937" i="15" s="1"/>
  <c r="BA691" i="15"/>
  <c r="AZ691" i="15"/>
  <c r="BB691" i="15" s="1"/>
  <c r="BI445" i="15"/>
  <c r="BH445" i="15"/>
  <c r="BJ445" i="15" s="1"/>
  <c r="BA692" i="15" l="1"/>
  <c r="AZ692" i="15"/>
  <c r="BB692" i="15" s="1"/>
  <c r="AW815" i="15"/>
  <c r="AV815" i="15"/>
  <c r="AX815" i="15" s="1"/>
  <c r="BE569" i="15"/>
  <c r="BD569" i="15"/>
  <c r="BF569" i="15" s="1"/>
  <c r="BQ200" i="15"/>
  <c r="BP200" i="15"/>
  <c r="BR200" i="15" s="1"/>
  <c r="BI446" i="15"/>
  <c r="BH446" i="15"/>
  <c r="BJ446" i="15" s="1"/>
  <c r="AS938" i="15"/>
  <c r="AR938" i="15"/>
  <c r="AT938" i="15" s="1"/>
  <c r="BU77" i="15"/>
  <c r="BT77" i="15"/>
  <c r="BV77" i="15" s="1"/>
  <c r="BM323" i="15"/>
  <c r="BL323" i="15"/>
  <c r="BN323" i="15" s="1"/>
  <c r="BM324" i="15" l="1"/>
  <c r="BL324" i="15"/>
  <c r="BN324" i="15" s="1"/>
  <c r="AS939" i="15"/>
  <c r="AR939" i="15"/>
  <c r="AT939" i="15" s="1"/>
  <c r="BQ201" i="15"/>
  <c r="BP201" i="15"/>
  <c r="BR201" i="15" s="1"/>
  <c r="BE570" i="15"/>
  <c r="BD570" i="15"/>
  <c r="BF570" i="15" s="1"/>
  <c r="BA693" i="15"/>
  <c r="AZ693" i="15"/>
  <c r="BB693" i="15" s="1"/>
  <c r="BU78" i="15"/>
  <c r="BT78" i="15"/>
  <c r="BV78" i="15" s="1"/>
  <c r="BI447" i="15"/>
  <c r="BH447" i="15"/>
  <c r="BJ447" i="15" s="1"/>
  <c r="AW816" i="15"/>
  <c r="AV816" i="15"/>
  <c r="AX816" i="15" s="1"/>
  <c r="BI448" i="15" l="1"/>
  <c r="BH448" i="15"/>
  <c r="BJ448" i="15" s="1"/>
  <c r="BA694" i="15"/>
  <c r="AZ694" i="15"/>
  <c r="BB694" i="15" s="1"/>
  <c r="BQ202" i="15"/>
  <c r="BP202" i="15"/>
  <c r="BR202" i="15" s="1"/>
  <c r="BM325" i="15"/>
  <c r="BL325" i="15"/>
  <c r="BN325" i="15" s="1"/>
  <c r="AW817" i="15"/>
  <c r="AV817" i="15"/>
  <c r="AX817" i="15" s="1"/>
  <c r="BU79" i="15"/>
  <c r="BT79" i="15"/>
  <c r="BV79" i="15" s="1"/>
  <c r="BE571" i="15"/>
  <c r="BD571" i="15"/>
  <c r="BF571" i="15" s="1"/>
  <c r="AS940" i="15"/>
  <c r="AR940" i="15"/>
  <c r="AT940" i="15" s="1"/>
  <c r="BE572" i="15" l="1"/>
  <c r="BD572" i="15"/>
  <c r="BF572" i="15" s="1"/>
  <c r="AW818" i="15"/>
  <c r="AV818" i="15"/>
  <c r="AX818" i="15" s="1"/>
  <c r="BQ203" i="15"/>
  <c r="BP203" i="15"/>
  <c r="BR203" i="15" s="1"/>
  <c r="BI449" i="15"/>
  <c r="BH449" i="15"/>
  <c r="BJ449" i="15" s="1"/>
  <c r="AS941" i="15"/>
  <c r="AR941" i="15"/>
  <c r="AT941" i="15" s="1"/>
  <c r="BU80" i="15"/>
  <c r="BT80" i="15"/>
  <c r="BV80" i="15" s="1"/>
  <c r="BM326" i="15"/>
  <c r="BL326" i="15"/>
  <c r="BN326" i="15" s="1"/>
  <c r="BA695" i="15"/>
  <c r="AZ695" i="15"/>
  <c r="BB695" i="15" s="1"/>
  <c r="BA696" i="15" l="1"/>
  <c r="AZ696" i="15"/>
  <c r="BB696" i="15" s="1"/>
  <c r="BU81" i="15"/>
  <c r="BT81" i="15"/>
  <c r="BV81" i="15" s="1"/>
  <c r="BI450" i="15"/>
  <c r="BH450" i="15"/>
  <c r="BJ450" i="15" s="1"/>
  <c r="BQ204" i="15"/>
  <c r="BP204" i="15"/>
  <c r="BR204" i="15" s="1"/>
  <c r="BE573" i="15"/>
  <c r="BD573" i="15"/>
  <c r="BF573" i="15" s="1"/>
  <c r="BM327" i="15"/>
  <c r="BL327" i="15"/>
  <c r="BN327" i="15" s="1"/>
  <c r="AS942" i="15"/>
  <c r="AR942" i="15"/>
  <c r="AT942" i="15" s="1"/>
  <c r="AW819" i="15"/>
  <c r="AV819" i="15"/>
  <c r="AX819" i="15" s="1"/>
  <c r="AW820" i="15" l="1"/>
  <c r="AV820" i="15"/>
  <c r="AX820" i="15" s="1"/>
  <c r="BM328" i="15"/>
  <c r="BL328" i="15"/>
  <c r="BN328" i="15" s="1"/>
  <c r="BQ205" i="15"/>
  <c r="BP205" i="15"/>
  <c r="BR205" i="15" s="1"/>
  <c r="BI451" i="15"/>
  <c r="BH451" i="15"/>
  <c r="BJ451" i="15" s="1"/>
  <c r="BA697" i="15"/>
  <c r="AZ697" i="15"/>
  <c r="BB697" i="15" s="1"/>
  <c r="AS943" i="15"/>
  <c r="AR943" i="15"/>
  <c r="AT943" i="15" s="1"/>
  <c r="BE574" i="15"/>
  <c r="BD574" i="15"/>
  <c r="BF574" i="15" s="1"/>
  <c r="BU82" i="15"/>
  <c r="BT82" i="15"/>
  <c r="BV82" i="15" s="1"/>
  <c r="BE575" i="15" l="1"/>
  <c r="BD575" i="15"/>
  <c r="BF575" i="15" s="1"/>
  <c r="BA698" i="15"/>
  <c r="AZ698" i="15"/>
  <c r="BB698" i="15" s="1"/>
  <c r="BQ206" i="15"/>
  <c r="BP206" i="15"/>
  <c r="BR206" i="15" s="1"/>
  <c r="AW821" i="15"/>
  <c r="AV821" i="15"/>
  <c r="AX821" i="15" s="1"/>
  <c r="BU83" i="15"/>
  <c r="BT83" i="15"/>
  <c r="BV83" i="15" s="1"/>
  <c r="AS944" i="15"/>
  <c r="AR944" i="15"/>
  <c r="AT944" i="15" s="1"/>
  <c r="BI452" i="15"/>
  <c r="BH452" i="15"/>
  <c r="BJ452" i="15" s="1"/>
  <c r="BM329" i="15"/>
  <c r="BL329" i="15"/>
  <c r="BN329" i="15" s="1"/>
  <c r="BM330" i="15" l="1"/>
  <c r="BL330" i="15"/>
  <c r="BN330" i="15" s="1"/>
  <c r="AS945" i="15"/>
  <c r="AR945" i="15"/>
  <c r="AT945" i="15" s="1"/>
  <c r="AW822" i="15"/>
  <c r="AV822" i="15"/>
  <c r="AX822" i="15" s="1"/>
  <c r="BQ207" i="15"/>
  <c r="BP207" i="15"/>
  <c r="BR207" i="15" s="1"/>
  <c r="BE576" i="15"/>
  <c r="BD576" i="15"/>
  <c r="BF576" i="15" s="1"/>
  <c r="BI453" i="15"/>
  <c r="BH453" i="15"/>
  <c r="BJ453" i="15" s="1"/>
  <c r="BU84" i="15"/>
  <c r="BT84" i="15"/>
  <c r="BV84" i="15" s="1"/>
  <c r="BA699" i="15"/>
  <c r="AZ699" i="15"/>
  <c r="BB699" i="15" s="1"/>
  <c r="BU85" i="15" l="1"/>
  <c r="BT85" i="15"/>
  <c r="BV85" i="15" s="1"/>
  <c r="BE577" i="15"/>
  <c r="BD577" i="15"/>
  <c r="BF577" i="15" s="1"/>
  <c r="BQ208" i="15"/>
  <c r="BP208" i="15"/>
  <c r="BR208" i="15" s="1"/>
  <c r="AS946" i="15"/>
  <c r="AR946" i="15"/>
  <c r="AT946" i="15" s="1"/>
  <c r="BM331" i="15"/>
  <c r="BL331" i="15"/>
  <c r="BN331" i="15" s="1"/>
  <c r="BA700" i="15"/>
  <c r="AZ700" i="15"/>
  <c r="BB700" i="15" s="1"/>
  <c r="BI454" i="15"/>
  <c r="BH454" i="15"/>
  <c r="BJ454" i="15" s="1"/>
  <c r="AW823" i="15"/>
  <c r="AV823" i="15"/>
  <c r="AX823" i="15" s="1"/>
  <c r="BI455" i="15" l="1"/>
  <c r="BH455" i="15"/>
  <c r="BJ455" i="15" s="1"/>
  <c r="BA701" i="15"/>
  <c r="AZ701" i="15"/>
  <c r="BB701" i="15" s="1"/>
  <c r="AS947" i="15"/>
  <c r="AR947" i="15"/>
  <c r="AT947" i="15" s="1"/>
  <c r="BQ209" i="15"/>
  <c r="BP209" i="15"/>
  <c r="BR209" i="15" s="1"/>
  <c r="BU86" i="15"/>
  <c r="BT86" i="15"/>
  <c r="BV86" i="15" s="1"/>
  <c r="AW824" i="15"/>
  <c r="AV824" i="15"/>
  <c r="AX824" i="15" s="1"/>
  <c r="BM332" i="15"/>
  <c r="BL332" i="15"/>
  <c r="BN332" i="15" s="1"/>
  <c r="BE578" i="15"/>
  <c r="BD578" i="15"/>
  <c r="BF578" i="15" s="1"/>
  <c r="BM333" i="15" l="1"/>
  <c r="BL333" i="15"/>
  <c r="BN333" i="15" s="1"/>
  <c r="AW825" i="15"/>
  <c r="AV825" i="15"/>
  <c r="AX825" i="15" s="1"/>
  <c r="BU87" i="15"/>
  <c r="BT87" i="15"/>
  <c r="BV87" i="15" s="1"/>
  <c r="BI456" i="15"/>
  <c r="BH456" i="15"/>
  <c r="BJ456" i="15" s="1"/>
  <c r="BE579" i="15"/>
  <c r="BD579" i="15"/>
  <c r="BF579" i="15" s="1"/>
  <c r="BQ210" i="15"/>
  <c r="BP210" i="15"/>
  <c r="BR210" i="15" s="1"/>
  <c r="AS948" i="15"/>
  <c r="AR948" i="15"/>
  <c r="AT948" i="15" s="1"/>
  <c r="BA702" i="15"/>
  <c r="AZ702" i="15"/>
  <c r="BB702" i="15" s="1"/>
  <c r="BA703" i="15" l="1"/>
  <c r="AZ703" i="15"/>
  <c r="BB703" i="15" s="1"/>
  <c r="BQ211" i="15"/>
  <c r="BP211" i="15"/>
  <c r="BR211" i="15" s="1"/>
  <c r="BE580" i="15"/>
  <c r="BD580" i="15"/>
  <c r="BF580" i="15" s="1"/>
  <c r="BU88" i="15"/>
  <c r="BT88" i="15"/>
  <c r="BV88" i="15" s="1"/>
  <c r="BM334" i="15"/>
  <c r="BL334" i="15"/>
  <c r="BN334" i="15" s="1"/>
  <c r="AS949" i="15"/>
  <c r="AR949" i="15"/>
  <c r="AT949" i="15" s="1"/>
  <c r="BI457" i="15"/>
  <c r="BH457" i="15"/>
  <c r="BJ457" i="15" s="1"/>
  <c r="AW826" i="15"/>
  <c r="AV826" i="15"/>
  <c r="AX826" i="15" s="1"/>
  <c r="AW827" i="15" l="1"/>
  <c r="AV827" i="15"/>
  <c r="AX827" i="15" s="1"/>
  <c r="AS950" i="15"/>
  <c r="AR950" i="15"/>
  <c r="AT950" i="15" s="1"/>
  <c r="BM335" i="15"/>
  <c r="BL335" i="15"/>
  <c r="BN335" i="15" s="1"/>
  <c r="BE581" i="15"/>
  <c r="BD581" i="15"/>
  <c r="BF581" i="15" s="1"/>
  <c r="BA704" i="15"/>
  <c r="AZ704" i="15"/>
  <c r="BB704" i="15" s="1"/>
  <c r="BI458" i="15"/>
  <c r="BH458" i="15"/>
  <c r="BJ458" i="15" s="1"/>
  <c r="BU89" i="15"/>
  <c r="BT89" i="15"/>
  <c r="BV89" i="15" s="1"/>
  <c r="BQ212" i="15"/>
  <c r="BP212" i="15"/>
  <c r="BR212" i="15" s="1"/>
  <c r="BU90" i="15" l="1"/>
  <c r="BT90" i="15"/>
  <c r="BV90" i="15" s="1"/>
  <c r="BA705" i="15"/>
  <c r="AZ705" i="15"/>
  <c r="BB705" i="15" s="1"/>
  <c r="BM336" i="15"/>
  <c r="BL336" i="15"/>
  <c r="BN336" i="15" s="1"/>
  <c r="AW828" i="15"/>
  <c r="AV828" i="15"/>
  <c r="AX828" i="15" s="1"/>
  <c r="BQ213" i="15"/>
  <c r="BP213" i="15"/>
  <c r="BR213" i="15" s="1"/>
  <c r="BI459" i="15"/>
  <c r="BH459" i="15"/>
  <c r="BJ459" i="15" s="1"/>
  <c r="BE582" i="15"/>
  <c r="BD582" i="15"/>
  <c r="BF582" i="15" s="1"/>
  <c r="AS951" i="15"/>
  <c r="AR951" i="15"/>
  <c r="AT951" i="15" s="1"/>
  <c r="BE583" i="15" l="1"/>
  <c r="BD583" i="15"/>
  <c r="BF583" i="15" s="1"/>
  <c r="BQ214" i="15"/>
  <c r="BP214" i="15"/>
  <c r="BR214" i="15" s="1"/>
  <c r="BM337" i="15"/>
  <c r="BL337" i="15"/>
  <c r="BN337" i="15" s="1"/>
  <c r="BU91" i="15"/>
  <c r="BT91" i="15"/>
  <c r="BV91" i="15" s="1"/>
  <c r="AS952" i="15"/>
  <c r="AR952" i="15"/>
  <c r="AT952" i="15" s="1"/>
  <c r="BI460" i="15"/>
  <c r="BH460" i="15"/>
  <c r="BJ460" i="15" s="1"/>
  <c r="AW829" i="15"/>
  <c r="AV829" i="15"/>
  <c r="AX829" i="15" s="1"/>
  <c r="BA706" i="15"/>
  <c r="AZ706" i="15"/>
  <c r="BB706" i="15" s="1"/>
  <c r="AW830" i="15" l="1"/>
  <c r="AV830" i="15"/>
  <c r="AX830" i="15" s="1"/>
  <c r="AS953" i="15"/>
  <c r="AR953" i="15"/>
  <c r="AT953" i="15" s="1"/>
  <c r="BM338" i="15"/>
  <c r="BL338" i="15"/>
  <c r="BN338" i="15" s="1"/>
  <c r="BE584" i="15"/>
  <c r="BD584" i="15"/>
  <c r="BF584" i="15" s="1"/>
  <c r="BA707" i="15"/>
  <c r="AZ707" i="15"/>
  <c r="BB707" i="15" s="1"/>
  <c r="BI461" i="15"/>
  <c r="BH461" i="15"/>
  <c r="BJ461" i="15" s="1"/>
  <c r="BU92" i="15"/>
  <c r="BT92" i="15"/>
  <c r="BV92" i="15" s="1"/>
  <c r="BQ215" i="15"/>
  <c r="BP215" i="15"/>
  <c r="BR215" i="15" s="1"/>
  <c r="BQ216" i="15" l="1"/>
  <c r="BP216" i="15"/>
  <c r="BR216" i="15" s="1"/>
  <c r="BI462" i="15"/>
  <c r="BH462" i="15"/>
  <c r="BJ462" i="15" s="1"/>
  <c r="BA708" i="15"/>
  <c r="AZ708" i="15"/>
  <c r="BB708" i="15" s="1"/>
  <c r="BE585" i="15"/>
  <c r="BD585" i="15"/>
  <c r="BF585" i="15" s="1"/>
  <c r="AS954" i="15"/>
  <c r="AR954" i="15"/>
  <c r="AT954" i="15" s="1"/>
  <c r="AW831" i="15"/>
  <c r="AV831" i="15"/>
  <c r="AX831" i="15" s="1"/>
  <c r="BU93" i="15"/>
  <c r="BT93" i="15"/>
  <c r="BV93" i="15" s="1"/>
  <c r="BM339" i="15"/>
  <c r="BL339" i="15"/>
  <c r="BN339" i="15" s="1"/>
  <c r="BU94" i="15" l="1"/>
  <c r="BT94" i="15"/>
  <c r="BV94" i="15" s="1"/>
  <c r="AS955" i="15"/>
  <c r="AR955" i="15"/>
  <c r="AT955" i="15" s="1"/>
  <c r="BA709" i="15"/>
  <c r="AZ709" i="15"/>
  <c r="BB709" i="15" s="1"/>
  <c r="BQ217" i="15"/>
  <c r="BP217" i="15"/>
  <c r="BR217" i="15" s="1"/>
  <c r="BM340" i="15"/>
  <c r="BL340" i="15"/>
  <c r="BN340" i="15" s="1"/>
  <c r="AW832" i="15"/>
  <c r="AV832" i="15"/>
  <c r="AX832" i="15" s="1"/>
  <c r="BE586" i="15"/>
  <c r="BD586" i="15"/>
  <c r="BF586" i="15" s="1"/>
  <c r="BI463" i="15"/>
  <c r="BH463" i="15"/>
  <c r="BJ463" i="15" s="1"/>
  <c r="BE587" i="15" l="1"/>
  <c r="BD587" i="15"/>
  <c r="BF587" i="15" s="1"/>
  <c r="AW833" i="15"/>
  <c r="AV833" i="15"/>
  <c r="AX833" i="15" s="1"/>
  <c r="BQ218" i="15"/>
  <c r="BP218" i="15"/>
  <c r="BR218" i="15" s="1"/>
  <c r="BA710" i="15"/>
  <c r="AZ710" i="15"/>
  <c r="BB710" i="15" s="1"/>
  <c r="BU95" i="15"/>
  <c r="BT95" i="15"/>
  <c r="BV95" i="15" s="1"/>
  <c r="BI464" i="15"/>
  <c r="BH464" i="15"/>
  <c r="BJ464" i="15" s="1"/>
  <c r="BM341" i="15"/>
  <c r="BL341" i="15"/>
  <c r="BN341" i="15" s="1"/>
  <c r="AS956" i="15"/>
  <c r="AR956" i="15"/>
  <c r="AT956" i="15" s="1"/>
  <c r="BM342" i="15" l="1"/>
  <c r="BL342" i="15"/>
  <c r="BN342" i="15" s="1"/>
  <c r="BU96" i="15"/>
  <c r="BT96" i="15"/>
  <c r="BV96" i="15" s="1"/>
  <c r="BQ219" i="15"/>
  <c r="BP219" i="15"/>
  <c r="BR219" i="15" s="1"/>
  <c r="BE588" i="15"/>
  <c r="BD588" i="15"/>
  <c r="BF588" i="15" s="1"/>
  <c r="AS957" i="15"/>
  <c r="AR957" i="15"/>
  <c r="AT957" i="15" s="1"/>
  <c r="BI465" i="15"/>
  <c r="BH465" i="15"/>
  <c r="BJ465" i="15" s="1"/>
  <c r="BA711" i="15"/>
  <c r="AZ711" i="15"/>
  <c r="BB711" i="15" s="1"/>
  <c r="AW834" i="15"/>
  <c r="AV834" i="15"/>
  <c r="AX834" i="15" s="1"/>
  <c r="BA712" i="15" l="1"/>
  <c r="AZ712" i="15"/>
  <c r="BB712" i="15" s="1"/>
  <c r="BI466" i="15"/>
  <c r="BH466" i="15"/>
  <c r="BJ466" i="15" s="1"/>
  <c r="AS958" i="15"/>
  <c r="AR958" i="15"/>
  <c r="AT958" i="15" s="1"/>
  <c r="BQ220" i="15"/>
  <c r="BP220" i="15"/>
  <c r="BR220" i="15" s="1"/>
  <c r="BU97" i="15"/>
  <c r="BT97" i="15"/>
  <c r="BV97" i="15" s="1"/>
  <c r="BM343" i="15"/>
  <c r="BL343" i="15"/>
  <c r="BN343" i="15" s="1"/>
  <c r="AW835" i="15"/>
  <c r="AV835" i="15"/>
  <c r="AX835" i="15" s="1"/>
  <c r="BE589" i="15"/>
  <c r="BD589" i="15"/>
  <c r="BF589" i="15" s="1"/>
  <c r="BE590" i="15" l="1"/>
  <c r="BD590" i="15"/>
  <c r="BF590" i="15" s="1"/>
  <c r="BM344" i="15"/>
  <c r="BL344" i="15"/>
  <c r="BN344" i="15" s="1"/>
  <c r="BU98" i="15"/>
  <c r="BT98" i="15"/>
  <c r="BV98" i="15" s="1"/>
  <c r="AS959" i="15"/>
  <c r="AR959" i="15"/>
  <c r="AT959" i="15" s="1"/>
  <c r="BA713" i="15"/>
  <c r="AZ713" i="15"/>
  <c r="BB713" i="15" s="1"/>
  <c r="AW836" i="15"/>
  <c r="AV836" i="15"/>
  <c r="AX836" i="15" s="1"/>
  <c r="BQ221" i="15"/>
  <c r="BP221" i="15"/>
  <c r="BR221" i="15" s="1"/>
  <c r="BI467" i="15"/>
  <c r="BH467" i="15"/>
  <c r="BJ467" i="15" s="1"/>
  <c r="BI468" i="15" l="1"/>
  <c r="BH468" i="15"/>
  <c r="BJ468" i="15" s="1"/>
  <c r="AW837" i="15"/>
  <c r="AV837" i="15"/>
  <c r="AX837" i="15" s="1"/>
  <c r="BA714" i="15"/>
  <c r="AZ714" i="15"/>
  <c r="BB714" i="15" s="1"/>
  <c r="BU99" i="15"/>
  <c r="BT99" i="15"/>
  <c r="BV99" i="15" s="1"/>
  <c r="BE591" i="15"/>
  <c r="BD591" i="15"/>
  <c r="BF591" i="15" s="1"/>
  <c r="BQ222" i="15"/>
  <c r="BP222" i="15"/>
  <c r="BR222" i="15" s="1"/>
  <c r="AS960" i="15"/>
  <c r="AR960" i="15"/>
  <c r="AT960" i="15" s="1"/>
  <c r="BM345" i="15"/>
  <c r="BL345" i="15"/>
  <c r="BN345" i="15" s="1"/>
  <c r="BM346" i="15" l="1"/>
  <c r="BL346" i="15"/>
  <c r="BN346" i="15" s="1"/>
  <c r="BQ223" i="15"/>
  <c r="BP223" i="15"/>
  <c r="BR223" i="15" s="1"/>
  <c r="BE592" i="15"/>
  <c r="BD592" i="15"/>
  <c r="BF592" i="15" s="1"/>
  <c r="BA715" i="15"/>
  <c r="AZ715" i="15"/>
  <c r="BB715" i="15" s="1"/>
  <c r="BI469" i="15"/>
  <c r="BH469" i="15"/>
  <c r="BJ469" i="15" s="1"/>
  <c r="AS961" i="15"/>
  <c r="AR961" i="15"/>
  <c r="AT961" i="15" s="1"/>
  <c r="BU100" i="15"/>
  <c r="BT100" i="15"/>
  <c r="BV100" i="15" s="1"/>
  <c r="AW838" i="15"/>
  <c r="AV838" i="15"/>
  <c r="AX838" i="15" s="1"/>
  <c r="BU101" i="15" l="1"/>
  <c r="BT101" i="15"/>
  <c r="BV101" i="15" s="1"/>
  <c r="BI470" i="15"/>
  <c r="BH470" i="15"/>
  <c r="BJ470" i="15" s="1"/>
  <c r="BE593" i="15"/>
  <c r="BD593" i="15"/>
  <c r="BF593" i="15" s="1"/>
  <c r="BM347" i="15"/>
  <c r="BL347" i="15"/>
  <c r="BN347" i="15" s="1"/>
  <c r="AW839" i="15"/>
  <c r="AV839" i="15"/>
  <c r="AX839" i="15" s="1"/>
  <c r="AS962" i="15"/>
  <c r="AR962" i="15"/>
  <c r="AT962" i="15" s="1"/>
  <c r="BA716" i="15"/>
  <c r="AZ716" i="15"/>
  <c r="BB716" i="15" s="1"/>
  <c r="BQ224" i="15"/>
  <c r="BP224" i="15"/>
  <c r="BR224" i="15" s="1"/>
  <c r="BQ225" i="15" l="1"/>
  <c r="BP225" i="15"/>
  <c r="BR225" i="15" s="1"/>
  <c r="AS963" i="15"/>
  <c r="AR963" i="15"/>
  <c r="AT963" i="15" s="1"/>
  <c r="AW840" i="15"/>
  <c r="AV840" i="15"/>
  <c r="AX840" i="15" s="1"/>
  <c r="BE594" i="15"/>
  <c r="BD594" i="15"/>
  <c r="BF594" i="15" s="1"/>
  <c r="BU102" i="15"/>
  <c r="BT102" i="15"/>
  <c r="BV102" i="15" s="1"/>
  <c r="BA717" i="15"/>
  <c r="AZ717" i="15"/>
  <c r="BB717" i="15" s="1"/>
  <c r="BM348" i="15"/>
  <c r="BL348" i="15"/>
  <c r="BN348" i="15" s="1"/>
  <c r="BI471" i="15"/>
  <c r="BH471" i="15"/>
  <c r="BJ471" i="15" s="1"/>
  <c r="BI472" i="15" l="1"/>
  <c r="BH472" i="15"/>
  <c r="BJ472" i="15" s="1"/>
  <c r="BA718" i="15"/>
  <c r="AZ718" i="15"/>
  <c r="BB718" i="15" s="1"/>
  <c r="BE595" i="15"/>
  <c r="BD595" i="15"/>
  <c r="BF595" i="15" s="1"/>
  <c r="AW841" i="15"/>
  <c r="AV841" i="15"/>
  <c r="AX841" i="15" s="1"/>
  <c r="BQ226" i="15"/>
  <c r="BP226" i="15"/>
  <c r="BR226" i="15" s="1"/>
  <c r="BM349" i="15"/>
  <c r="BL349" i="15"/>
  <c r="BN349" i="15" s="1"/>
  <c r="BU103" i="15"/>
  <c r="BT103" i="15"/>
  <c r="BV103" i="15" s="1"/>
  <c r="AS964" i="15"/>
  <c r="AR964" i="15"/>
  <c r="AT964" i="15" s="1"/>
  <c r="AS965" i="15" l="1"/>
  <c r="AR965" i="15"/>
  <c r="AT965" i="15" s="1"/>
  <c r="BU104" i="15"/>
  <c r="BT104" i="15"/>
  <c r="BV104" i="15" s="1"/>
  <c r="BM350" i="15"/>
  <c r="BL350" i="15"/>
  <c r="BN350" i="15" s="1"/>
  <c r="BQ227" i="15"/>
  <c r="BP227" i="15"/>
  <c r="BR227" i="15" s="1"/>
  <c r="AW842" i="15"/>
  <c r="AV842" i="15"/>
  <c r="AX842" i="15" s="1"/>
  <c r="BE596" i="15"/>
  <c r="BD596" i="15"/>
  <c r="BF596" i="15" s="1"/>
  <c r="BA719" i="15"/>
  <c r="AZ719" i="15"/>
  <c r="BB719" i="15" s="1"/>
  <c r="BI473" i="15"/>
  <c r="BH473" i="15"/>
  <c r="BJ473" i="15" s="1"/>
  <c r="BI474" i="15" l="1"/>
  <c r="BH474" i="15"/>
  <c r="BJ474" i="15" s="1"/>
  <c r="BE597" i="15"/>
  <c r="BD597" i="15"/>
  <c r="BF597" i="15" s="1"/>
  <c r="BQ228" i="15"/>
  <c r="BP228" i="15"/>
  <c r="BR228" i="15" s="1"/>
  <c r="BM351" i="15"/>
  <c r="BL351" i="15"/>
  <c r="BN351" i="15" s="1"/>
  <c r="AS966" i="15"/>
  <c r="AR966" i="15"/>
  <c r="AT966" i="15" s="1"/>
  <c r="BA720" i="15"/>
  <c r="AZ720" i="15"/>
  <c r="BB720" i="15" s="1"/>
  <c r="AW843" i="15"/>
  <c r="AV843" i="15"/>
  <c r="AX843" i="15" s="1"/>
  <c r="BU105" i="15"/>
  <c r="BT105" i="15"/>
  <c r="BV105" i="15" s="1"/>
  <c r="AW844" i="15" l="1"/>
  <c r="AV844" i="15"/>
  <c r="AX844" i="15" s="1"/>
  <c r="AS967" i="15"/>
  <c r="AR967" i="15"/>
  <c r="AT967" i="15" s="1"/>
  <c r="BQ229" i="15"/>
  <c r="BP229" i="15"/>
  <c r="BR229" i="15" s="1"/>
  <c r="BI475" i="15"/>
  <c r="BH475" i="15"/>
  <c r="BJ475" i="15" s="1"/>
  <c r="BU106" i="15"/>
  <c r="BT106" i="15"/>
  <c r="BV106" i="15" s="1"/>
  <c r="BA721" i="15"/>
  <c r="AZ721" i="15"/>
  <c r="BB721" i="15" s="1"/>
  <c r="BM352" i="15"/>
  <c r="BL352" i="15"/>
  <c r="BN352" i="15" s="1"/>
  <c r="BE598" i="15"/>
  <c r="BD598" i="15"/>
  <c r="BF598" i="15" s="1"/>
  <c r="BM353" i="15" l="1"/>
  <c r="BL353" i="15"/>
  <c r="BN353" i="15" s="1"/>
  <c r="BU107" i="15"/>
  <c r="BT107" i="15"/>
  <c r="BV107" i="15" s="1"/>
  <c r="BQ230" i="15"/>
  <c r="BP230" i="15"/>
  <c r="BR230" i="15" s="1"/>
  <c r="AW845" i="15"/>
  <c r="AV845" i="15"/>
  <c r="AX845" i="15" s="1"/>
  <c r="BE599" i="15"/>
  <c r="BD599" i="15"/>
  <c r="BF599" i="15" s="1"/>
  <c r="BA722" i="15"/>
  <c r="AZ722" i="15"/>
  <c r="BB722" i="15" s="1"/>
  <c r="BI476" i="15"/>
  <c r="BH476" i="15"/>
  <c r="BJ476" i="15" s="1"/>
  <c r="AS968" i="15"/>
  <c r="AR968" i="15"/>
  <c r="AT968" i="15" s="1"/>
  <c r="BI477" i="15" l="1"/>
  <c r="BH477" i="15"/>
  <c r="BJ477" i="15" s="1"/>
  <c r="BE600" i="15"/>
  <c r="BD600" i="15"/>
  <c r="BF600" i="15" s="1"/>
  <c r="BQ231" i="15"/>
  <c r="BP231" i="15"/>
  <c r="BR231" i="15" s="1"/>
  <c r="BM354" i="15"/>
  <c r="BL354" i="15"/>
  <c r="BN354" i="15" s="1"/>
  <c r="AS969" i="15"/>
  <c r="AR969" i="15"/>
  <c r="AT969" i="15" s="1"/>
  <c r="BA723" i="15"/>
  <c r="AZ723" i="15"/>
  <c r="BB723" i="15" s="1"/>
  <c r="AW846" i="15"/>
  <c r="AV846" i="15"/>
  <c r="AX846" i="15" s="1"/>
  <c r="BU108" i="15"/>
  <c r="BT108" i="15"/>
  <c r="BV108" i="15" s="1"/>
  <c r="BU109" i="15" l="1"/>
  <c r="BT109" i="15"/>
  <c r="BV109" i="15" s="1"/>
  <c r="BA724" i="15"/>
  <c r="AZ724" i="15"/>
  <c r="BB724" i="15" s="1"/>
  <c r="AS970" i="15"/>
  <c r="AR970" i="15"/>
  <c r="AT970" i="15" s="1"/>
  <c r="BQ232" i="15"/>
  <c r="BP232" i="15"/>
  <c r="BR232" i="15" s="1"/>
  <c r="BI478" i="15"/>
  <c r="BH478" i="15"/>
  <c r="BJ478" i="15" s="1"/>
  <c r="AW847" i="15"/>
  <c r="AV847" i="15"/>
  <c r="AX847" i="15" s="1"/>
  <c r="BM355" i="15"/>
  <c r="BL355" i="15"/>
  <c r="BN355" i="15" s="1"/>
  <c r="BE601" i="15"/>
  <c r="BD601" i="15"/>
  <c r="BF601" i="15" s="1"/>
  <c r="BE602" i="15" l="1"/>
  <c r="BD602" i="15"/>
  <c r="BF602" i="15" s="1"/>
  <c r="AW848" i="15"/>
  <c r="AV848" i="15"/>
  <c r="AX848" i="15" s="1"/>
  <c r="BQ233" i="15"/>
  <c r="BP233" i="15"/>
  <c r="BR233" i="15" s="1"/>
  <c r="AS971" i="15"/>
  <c r="AR971" i="15"/>
  <c r="AT971" i="15" s="1"/>
  <c r="BU110" i="15"/>
  <c r="BT110" i="15"/>
  <c r="BV110" i="15" s="1"/>
  <c r="BM356" i="15"/>
  <c r="BL356" i="15"/>
  <c r="BN356" i="15" s="1"/>
  <c r="BI479" i="15"/>
  <c r="BH479" i="15"/>
  <c r="BJ479" i="15" s="1"/>
  <c r="BA725" i="15"/>
  <c r="AZ725" i="15"/>
  <c r="BB725" i="15" s="1"/>
  <c r="BA726" i="15" l="1"/>
  <c r="AZ726" i="15"/>
  <c r="BB726" i="15" s="1"/>
  <c r="BM357" i="15"/>
  <c r="BL357" i="15"/>
  <c r="BN357" i="15" s="1"/>
  <c r="BU111" i="15"/>
  <c r="BT111" i="15"/>
  <c r="BV111" i="15" s="1"/>
  <c r="BQ234" i="15"/>
  <c r="BP234" i="15"/>
  <c r="BR234" i="15" s="1"/>
  <c r="BE603" i="15"/>
  <c r="BD603" i="15"/>
  <c r="BF603" i="15" s="1"/>
  <c r="BI480" i="15"/>
  <c r="BH480" i="15"/>
  <c r="BJ480" i="15" s="1"/>
  <c r="AS972" i="15"/>
  <c r="AR972" i="15"/>
  <c r="AT972" i="15" s="1"/>
  <c r="AW849" i="15"/>
  <c r="AV849" i="15"/>
  <c r="AX849" i="15" s="1"/>
  <c r="AS973" i="15" l="1"/>
  <c r="AR973" i="15"/>
  <c r="AT973" i="15" s="1"/>
  <c r="BI481" i="15"/>
  <c r="BH481" i="15"/>
  <c r="BJ481" i="15" s="1"/>
  <c r="BQ235" i="15"/>
  <c r="BP235" i="15"/>
  <c r="BR235" i="15" s="1"/>
  <c r="BU112" i="15"/>
  <c r="BT112" i="15"/>
  <c r="BV112" i="15" s="1"/>
  <c r="BA727" i="15"/>
  <c r="AZ727" i="15"/>
  <c r="BB727" i="15" s="1"/>
  <c r="AW850" i="15"/>
  <c r="AV850" i="15"/>
  <c r="AX850" i="15" s="1"/>
  <c r="BE604" i="15"/>
  <c r="BD604" i="15"/>
  <c r="BF604" i="15" s="1"/>
  <c r="BM358" i="15"/>
  <c r="BL358" i="15"/>
  <c r="BN358" i="15" s="1"/>
  <c r="BE605" i="15" l="1"/>
  <c r="BD605" i="15"/>
  <c r="BF605" i="15" s="1"/>
  <c r="AW851" i="15"/>
  <c r="AV851" i="15"/>
  <c r="AX851" i="15" s="1"/>
  <c r="BU113" i="15"/>
  <c r="BT113" i="15"/>
  <c r="BV113" i="15" s="1"/>
  <c r="BQ236" i="15"/>
  <c r="BP236" i="15"/>
  <c r="BR236" i="15" s="1"/>
  <c r="AS974" i="15"/>
  <c r="AR974" i="15"/>
  <c r="AT974" i="15" s="1"/>
  <c r="BM359" i="15"/>
  <c r="BL359" i="15"/>
  <c r="BN359" i="15" s="1"/>
  <c r="BA728" i="15"/>
  <c r="AZ728" i="15"/>
  <c r="BB728" i="15" s="1"/>
  <c r="BI482" i="15"/>
  <c r="BH482" i="15"/>
  <c r="BJ482" i="15" s="1"/>
  <c r="BI483" i="15" l="1"/>
  <c r="BH483" i="15"/>
  <c r="BJ483" i="15" s="1"/>
  <c r="BM360" i="15"/>
  <c r="BL360" i="15"/>
  <c r="BN360" i="15" s="1"/>
  <c r="BQ237" i="15"/>
  <c r="BP237" i="15"/>
  <c r="BR237" i="15" s="1"/>
  <c r="BU114" i="15"/>
  <c r="BT114" i="15"/>
  <c r="BV114" i="15" s="1"/>
  <c r="BE606" i="15"/>
  <c r="BD606" i="15"/>
  <c r="BF606" i="15" s="1"/>
  <c r="BA729" i="15"/>
  <c r="AZ729" i="15"/>
  <c r="BB729" i="15" s="1"/>
  <c r="AS975" i="15"/>
  <c r="AR975" i="15"/>
  <c r="AT975" i="15" s="1"/>
  <c r="AW852" i="15"/>
  <c r="AV852" i="15"/>
  <c r="AX852" i="15" s="1"/>
  <c r="AS976" i="15" l="1"/>
  <c r="AR976" i="15"/>
  <c r="AT976" i="15" s="1"/>
  <c r="BE607" i="15"/>
  <c r="BD607" i="15"/>
  <c r="BF607" i="15" s="1"/>
  <c r="BQ238" i="15"/>
  <c r="BP238" i="15"/>
  <c r="BR238" i="15" s="1"/>
  <c r="BI484" i="15"/>
  <c r="BH484" i="15"/>
  <c r="BJ484" i="15" s="1"/>
  <c r="AW853" i="15"/>
  <c r="AV853" i="15"/>
  <c r="AX853" i="15" s="1"/>
  <c r="BA730" i="15"/>
  <c r="AZ730" i="15"/>
  <c r="BB730" i="15" s="1"/>
  <c r="BU115" i="15"/>
  <c r="BT115" i="15"/>
  <c r="BV115" i="15" s="1"/>
  <c r="BM361" i="15"/>
  <c r="BL361" i="15"/>
  <c r="BN361" i="15" s="1"/>
  <c r="BU116" i="15" l="1"/>
  <c r="BT116" i="15"/>
  <c r="BV116" i="15" s="1"/>
  <c r="AW854" i="15"/>
  <c r="AV854" i="15"/>
  <c r="AX854" i="15" s="1"/>
  <c r="BQ239" i="15"/>
  <c r="BP239" i="15"/>
  <c r="BR239" i="15" s="1"/>
  <c r="AS977" i="15"/>
  <c r="AR977" i="15"/>
  <c r="AT977" i="15" s="1"/>
  <c r="BM362" i="15"/>
  <c r="BL362" i="15"/>
  <c r="BN362" i="15" s="1"/>
  <c r="BA731" i="15"/>
  <c r="AZ731" i="15"/>
  <c r="BB731" i="15" s="1"/>
  <c r="BI485" i="15"/>
  <c r="BH485" i="15"/>
  <c r="BJ485" i="15" s="1"/>
  <c r="BE608" i="15"/>
  <c r="BD608" i="15"/>
  <c r="BF608" i="15" s="1"/>
  <c r="BE609" i="15" l="1"/>
  <c r="BD609" i="15"/>
  <c r="BF609" i="15" s="1"/>
  <c r="BA732" i="15"/>
  <c r="AZ732" i="15"/>
  <c r="BB732" i="15" s="1"/>
  <c r="BM363" i="15"/>
  <c r="BL363" i="15"/>
  <c r="BN363" i="15" s="1"/>
  <c r="BQ240" i="15"/>
  <c r="BP240" i="15"/>
  <c r="BR240" i="15" s="1"/>
  <c r="BU117" i="15"/>
  <c r="BT117" i="15"/>
  <c r="BV117" i="15" s="1"/>
  <c r="BI486" i="15"/>
  <c r="BH486" i="15"/>
  <c r="BJ486" i="15" s="1"/>
  <c r="AS978" i="15"/>
  <c r="AR978" i="15"/>
  <c r="AT978" i="15" s="1"/>
  <c r="AW855" i="15"/>
  <c r="AV855" i="15"/>
  <c r="AX855" i="15" s="1"/>
  <c r="AW856" i="15" l="1"/>
  <c r="AV856" i="15"/>
  <c r="AX856" i="15" s="1"/>
  <c r="BI487" i="15"/>
  <c r="BH487" i="15"/>
  <c r="BJ487" i="15" s="1"/>
  <c r="BU118" i="15"/>
  <c r="BT118" i="15"/>
  <c r="BV118" i="15" s="1"/>
  <c r="BM364" i="15"/>
  <c r="BL364" i="15"/>
  <c r="BN364" i="15" s="1"/>
  <c r="BE610" i="15"/>
  <c r="BD610" i="15"/>
  <c r="BF610" i="15" s="1"/>
  <c r="AS979" i="15"/>
  <c r="AR979" i="15"/>
  <c r="AT979" i="15" s="1"/>
  <c r="BQ241" i="15"/>
  <c r="BP241" i="15"/>
  <c r="BR241" i="15" s="1"/>
  <c r="BA733" i="15"/>
  <c r="AZ733" i="15"/>
  <c r="BB733" i="15" s="1"/>
  <c r="BA734" i="15" l="1"/>
  <c r="AZ734" i="15"/>
  <c r="BB734" i="15" s="1"/>
  <c r="AS980" i="15"/>
  <c r="AR980" i="15"/>
  <c r="AT980" i="15" s="1"/>
  <c r="BE611" i="15"/>
  <c r="BD611" i="15"/>
  <c r="BF611" i="15" s="1"/>
  <c r="BU119" i="15"/>
  <c r="BT119" i="15"/>
  <c r="BV119" i="15" s="1"/>
  <c r="AW857" i="15"/>
  <c r="AV857" i="15"/>
  <c r="AX857" i="15" s="1"/>
  <c r="BQ242" i="15"/>
  <c r="BP242" i="15"/>
  <c r="BR242" i="15" s="1"/>
  <c r="BM365" i="15"/>
  <c r="BL365" i="15"/>
  <c r="BN365" i="15" s="1"/>
  <c r="BI488" i="15"/>
  <c r="BH488" i="15"/>
  <c r="BJ488" i="15" s="1"/>
  <c r="BI489" i="15" l="1"/>
  <c r="BH489" i="15"/>
  <c r="BJ489" i="15" s="1"/>
  <c r="BQ243" i="15"/>
  <c r="BP243" i="15"/>
  <c r="BR243" i="15" s="1"/>
  <c r="AW858" i="15"/>
  <c r="AV858" i="15"/>
  <c r="AX858" i="15" s="1"/>
  <c r="BE612" i="15"/>
  <c r="BD612" i="15"/>
  <c r="BF612" i="15" s="1"/>
  <c r="BA735" i="15"/>
  <c r="AZ735" i="15"/>
  <c r="BB735" i="15" s="1"/>
  <c r="BM366" i="15"/>
  <c r="BL366" i="15"/>
  <c r="BN366" i="15" s="1"/>
  <c r="BU120" i="15"/>
  <c r="BT120" i="15"/>
  <c r="BV120" i="15" s="1"/>
  <c r="AS981" i="15"/>
  <c r="AR981" i="15"/>
  <c r="AT981" i="15" s="1"/>
  <c r="BM367" i="15" l="1"/>
  <c r="BL367" i="15"/>
  <c r="BN367" i="15" s="1"/>
  <c r="BQ244" i="15"/>
  <c r="BP244" i="15"/>
  <c r="BR244" i="15" s="1"/>
  <c r="AS982" i="15"/>
  <c r="AR982" i="15"/>
  <c r="AT982" i="15" s="1"/>
  <c r="BU121" i="15"/>
  <c r="BT121" i="15"/>
  <c r="BV121" i="15" s="1"/>
  <c r="BA736" i="15"/>
  <c r="AZ736" i="15"/>
  <c r="BB736" i="15" s="1"/>
  <c r="BE613" i="15"/>
  <c r="BD613" i="15"/>
  <c r="BF613" i="15" s="1"/>
  <c r="AW859" i="15"/>
  <c r="AV859" i="15"/>
  <c r="AX859" i="15" s="1"/>
  <c r="BI490" i="15"/>
  <c r="BH490" i="15"/>
  <c r="BJ490" i="15" s="1"/>
  <c r="BI491" i="15" l="1"/>
  <c r="BH491" i="15"/>
  <c r="BJ491" i="15" s="1"/>
  <c r="BE614" i="15"/>
  <c r="BD614" i="15"/>
  <c r="BF614" i="15" s="1"/>
  <c r="BU122" i="15"/>
  <c r="BT122" i="15"/>
  <c r="BV122" i="15" s="1"/>
  <c r="AS983" i="15"/>
  <c r="AR983" i="15"/>
  <c r="AT983" i="15" s="1"/>
  <c r="BM368" i="15"/>
  <c r="BL368" i="15"/>
  <c r="BN368" i="15" s="1"/>
  <c r="AW860" i="15"/>
  <c r="AV860" i="15"/>
  <c r="AX860" i="15" s="1"/>
  <c r="BA737" i="15"/>
  <c r="AZ737" i="15"/>
  <c r="BB737" i="15" s="1"/>
  <c r="BQ245" i="15"/>
  <c r="BP245" i="15"/>
  <c r="BR245" i="15" s="1"/>
  <c r="BQ246" i="15" l="1"/>
  <c r="BP246" i="15"/>
  <c r="BR246" i="15" s="1"/>
  <c r="AW861" i="15"/>
  <c r="AV861" i="15"/>
  <c r="AX861" i="15" s="1"/>
  <c r="AS984" i="15"/>
  <c r="AR984" i="15"/>
  <c r="AT984" i="15" s="1"/>
  <c r="BU123" i="15"/>
  <c r="BT123" i="15"/>
  <c r="BV123" i="15" s="1"/>
  <c r="BI492" i="15"/>
  <c r="BH492" i="15"/>
  <c r="BJ492" i="15" s="1"/>
  <c r="BA738" i="15"/>
  <c r="AZ738" i="15"/>
  <c r="BB738" i="15" s="1"/>
  <c r="BM369" i="15"/>
  <c r="BL369" i="15"/>
  <c r="BN369" i="15" s="1"/>
  <c r="BE615" i="15"/>
  <c r="BD615" i="15"/>
  <c r="BF615" i="15" s="1"/>
  <c r="BM370" i="15" l="1"/>
  <c r="BL370" i="15"/>
  <c r="BN370" i="15" s="1"/>
  <c r="BI493" i="15"/>
  <c r="BH493" i="15"/>
  <c r="BJ493" i="15" s="1"/>
  <c r="AS985" i="15"/>
  <c r="AR985" i="15"/>
  <c r="AT985" i="15" s="1"/>
  <c r="BQ247" i="15"/>
  <c r="BP247" i="15"/>
  <c r="BR247" i="15" s="1"/>
  <c r="BE616" i="15"/>
  <c r="BD616" i="15"/>
  <c r="BF616" i="15" s="1"/>
  <c r="BA739" i="15"/>
  <c r="AZ739" i="15"/>
  <c r="BB739" i="15" s="1"/>
  <c r="BU124" i="15"/>
  <c r="BT124" i="15"/>
  <c r="BV124" i="15" s="1"/>
  <c r="AW862" i="15"/>
  <c r="AV862" i="15"/>
  <c r="AX862" i="15" s="1"/>
  <c r="AW863" i="15" l="1"/>
  <c r="AV863" i="15"/>
  <c r="AX863" i="15" s="1"/>
  <c r="BA740" i="15"/>
  <c r="AZ740" i="15"/>
  <c r="BB740" i="15" s="1"/>
  <c r="BQ248" i="15"/>
  <c r="BP248" i="15"/>
  <c r="BR248" i="15" s="1"/>
  <c r="AS986" i="15"/>
  <c r="AR986" i="15"/>
  <c r="AT986" i="15" s="1"/>
  <c r="BM371" i="15"/>
  <c r="BL371" i="15"/>
  <c r="BN371" i="15" s="1"/>
  <c r="BU125" i="15"/>
  <c r="BT125" i="15"/>
  <c r="BV125" i="15" s="1"/>
  <c r="BE617" i="15"/>
  <c r="BD617" i="15"/>
  <c r="BF617" i="15" s="1"/>
  <c r="BI494" i="15"/>
  <c r="BH494" i="15"/>
  <c r="BJ494" i="15" s="1"/>
  <c r="BI495" i="15" l="1"/>
  <c r="BH495" i="15"/>
  <c r="BJ495" i="15" s="1"/>
  <c r="BU126" i="15"/>
  <c r="BT126" i="15"/>
  <c r="BV126" i="15" s="1"/>
  <c r="AS987" i="15"/>
  <c r="AR987" i="15"/>
  <c r="AT987" i="15" s="1"/>
  <c r="BQ249" i="15"/>
  <c r="BP249" i="15"/>
  <c r="BR249" i="15" s="1"/>
  <c r="AW864" i="15"/>
  <c r="AV864" i="15"/>
  <c r="AX864" i="15" s="1"/>
  <c r="BE618" i="15"/>
  <c r="BD618" i="15"/>
  <c r="BF618" i="15" s="1"/>
  <c r="BM372" i="15"/>
  <c r="BL372" i="15"/>
  <c r="BN372" i="15" s="1"/>
  <c r="BA741" i="15"/>
  <c r="AZ741" i="15"/>
  <c r="BB741" i="15" s="1"/>
  <c r="BA742" i="15" l="1"/>
  <c r="AZ742" i="15"/>
  <c r="BB742" i="15" s="1"/>
  <c r="BE619" i="15"/>
  <c r="BD619" i="15"/>
  <c r="BF619" i="15" s="1"/>
  <c r="AW865" i="15"/>
  <c r="AV865" i="15"/>
  <c r="AX865" i="15" s="1"/>
  <c r="AS988" i="15"/>
  <c r="AR988" i="15"/>
  <c r="AT988" i="15" s="1"/>
  <c r="BI496" i="15"/>
  <c r="BH496" i="15"/>
  <c r="BJ496" i="15" s="1"/>
  <c r="BM373" i="15"/>
  <c r="BL373" i="15"/>
  <c r="BN373" i="15" s="1"/>
  <c r="BQ250" i="15"/>
  <c r="BP250" i="15"/>
  <c r="BR250" i="15" s="1"/>
  <c r="BU127" i="15"/>
  <c r="BT127" i="15"/>
  <c r="BV127" i="15" s="1"/>
  <c r="BQ251" i="15" l="1"/>
  <c r="BP251" i="15"/>
  <c r="BR251" i="15" s="1"/>
  <c r="BM374" i="15"/>
  <c r="BL374" i="15"/>
  <c r="BN374" i="15" s="1"/>
  <c r="BI497" i="15"/>
  <c r="BH497" i="15"/>
  <c r="BJ497" i="15" s="1"/>
  <c r="AW866" i="15"/>
  <c r="AV866" i="15"/>
  <c r="AX866" i="15" s="1"/>
  <c r="BE620" i="15"/>
  <c r="BD620" i="15"/>
  <c r="BF620" i="15" s="1"/>
  <c r="BA743" i="15"/>
  <c r="AZ743" i="15"/>
  <c r="BB743" i="15" s="1"/>
  <c r="BU128" i="15"/>
  <c r="BT128" i="15"/>
  <c r="BV128" i="15" s="1"/>
  <c r="AS989" i="15"/>
  <c r="AR989" i="15"/>
  <c r="AT989" i="15" s="1"/>
  <c r="BU129" i="15" l="1"/>
  <c r="BT129" i="15"/>
  <c r="BV129" i="15" s="1"/>
  <c r="BE621" i="15"/>
  <c r="BD621" i="15"/>
  <c r="BF621" i="15" s="1"/>
  <c r="BI498" i="15"/>
  <c r="BH498" i="15"/>
  <c r="BJ498" i="15" s="1"/>
  <c r="BQ252" i="15"/>
  <c r="BP252" i="15"/>
  <c r="BR252" i="15" s="1"/>
  <c r="AS990" i="15"/>
  <c r="AR990" i="15"/>
  <c r="AT990" i="15" s="1"/>
  <c r="BA744" i="15"/>
  <c r="AZ744" i="15"/>
  <c r="BB744" i="15" s="1"/>
  <c r="AW867" i="15"/>
  <c r="AV867" i="15"/>
  <c r="AX867" i="15" s="1"/>
  <c r="BM375" i="15"/>
  <c r="BL375" i="15"/>
  <c r="BN375" i="15" s="1"/>
  <c r="BM376" i="15" l="1"/>
  <c r="BL376" i="15"/>
  <c r="BN376" i="15" s="1"/>
  <c r="BA745" i="15"/>
  <c r="AZ745" i="15"/>
  <c r="BB745" i="15" s="1"/>
  <c r="AS991" i="15"/>
  <c r="AR991" i="15"/>
  <c r="AT991" i="15" s="1"/>
  <c r="BI499" i="15"/>
  <c r="BH499" i="15"/>
  <c r="BJ499" i="15" s="1"/>
  <c r="BU130" i="15"/>
  <c r="BT130" i="15"/>
  <c r="BV130" i="15" s="1"/>
  <c r="AW868" i="15"/>
  <c r="AV868" i="15"/>
  <c r="AX868" i="15" s="1"/>
  <c r="BQ253" i="15"/>
  <c r="BP253" i="15"/>
  <c r="BR253" i="15" s="1"/>
  <c r="BE622" i="15"/>
  <c r="BD622" i="15"/>
  <c r="BF622" i="15" s="1"/>
  <c r="BE623" i="15" l="1"/>
  <c r="BD623" i="15"/>
  <c r="BF623" i="15" s="1"/>
  <c r="AW869" i="15"/>
  <c r="AV869" i="15"/>
  <c r="AX869" i="15" s="1"/>
  <c r="BI500" i="15"/>
  <c r="BH500" i="15"/>
  <c r="BJ500" i="15" s="1"/>
  <c r="AS992" i="15"/>
  <c r="AR992" i="15"/>
  <c r="AT992" i="15" s="1"/>
  <c r="BM377" i="15"/>
  <c r="BL377" i="15"/>
  <c r="BN377" i="15" s="1"/>
  <c r="BQ254" i="15"/>
  <c r="BP254" i="15"/>
  <c r="BR254" i="15" s="1"/>
  <c r="BU131" i="15"/>
  <c r="BT131" i="15"/>
  <c r="BV131" i="15" s="1"/>
  <c r="BA746" i="15"/>
  <c r="AZ746" i="15"/>
  <c r="BB746" i="15" s="1"/>
  <c r="BQ255" i="15" l="1"/>
  <c r="BP255" i="15"/>
  <c r="BR255" i="15" s="1"/>
  <c r="BM378" i="15"/>
  <c r="BL378" i="15"/>
  <c r="BN378" i="15" s="1"/>
  <c r="BI501" i="15"/>
  <c r="BH501" i="15"/>
  <c r="BJ501" i="15" s="1"/>
  <c r="BE624" i="15"/>
  <c r="BD624" i="15"/>
  <c r="BF624" i="15" s="1"/>
  <c r="BA747" i="15"/>
  <c r="AZ747" i="15"/>
  <c r="BB747" i="15" s="1"/>
  <c r="BU132" i="15"/>
  <c r="BT132" i="15"/>
  <c r="BV132" i="15" s="1"/>
  <c r="AS993" i="15"/>
  <c r="AR993" i="15"/>
  <c r="AT993" i="15" s="1"/>
  <c r="AW870" i="15"/>
  <c r="AV870" i="15"/>
  <c r="AX870" i="15" s="1"/>
  <c r="AW871" i="15" l="1"/>
  <c r="AV871" i="15"/>
  <c r="AX871" i="15" s="1"/>
  <c r="BU133" i="15"/>
  <c r="BT133" i="15"/>
  <c r="BV133" i="15" s="1"/>
  <c r="BE625" i="15"/>
  <c r="BD625" i="15"/>
  <c r="BF625" i="15" s="1"/>
  <c r="BI502" i="15"/>
  <c r="BH502" i="15"/>
  <c r="BJ502" i="15" s="1"/>
  <c r="BQ256" i="15"/>
  <c r="BP256" i="15"/>
  <c r="BR256" i="15" s="1"/>
  <c r="AS994" i="15"/>
  <c r="AR994" i="15"/>
  <c r="AT994" i="15" s="1"/>
  <c r="BA748" i="15"/>
  <c r="AZ748" i="15"/>
  <c r="BB748" i="15" s="1"/>
  <c r="BM379" i="15"/>
  <c r="BL379" i="15"/>
  <c r="BN379" i="15" s="1"/>
  <c r="BA749" i="15" l="1"/>
  <c r="AZ749" i="15"/>
  <c r="BB749" i="15" s="1"/>
  <c r="AS995" i="15"/>
  <c r="AR995" i="15"/>
  <c r="AT995" i="15" s="1"/>
  <c r="BI503" i="15"/>
  <c r="BH503" i="15"/>
  <c r="BJ503" i="15" s="1"/>
  <c r="BE626" i="15"/>
  <c r="BD626" i="15"/>
  <c r="BF626" i="15" s="1"/>
  <c r="AW872" i="15"/>
  <c r="AV872" i="15"/>
  <c r="AX872" i="15" s="1"/>
  <c r="BM380" i="15"/>
  <c r="BL380" i="15"/>
  <c r="BN380" i="15" s="1"/>
  <c r="BQ257" i="15"/>
  <c r="BP257" i="15"/>
  <c r="BR257" i="15" s="1"/>
  <c r="BU134" i="15"/>
  <c r="BT134" i="15"/>
  <c r="BV134" i="15" s="1"/>
  <c r="BQ258" i="15" l="1"/>
  <c r="BP258" i="15"/>
  <c r="BR258" i="15" s="1"/>
  <c r="AW873" i="15"/>
  <c r="AV873" i="15"/>
  <c r="AX873" i="15" s="1"/>
  <c r="BI504" i="15"/>
  <c r="BH504" i="15"/>
  <c r="BJ504" i="15" s="1"/>
  <c r="BA750" i="15"/>
  <c r="AZ750" i="15"/>
  <c r="BB750" i="15" s="1"/>
  <c r="BU135" i="15"/>
  <c r="BT135" i="15"/>
  <c r="BV135" i="15" s="1"/>
  <c r="BM381" i="15"/>
  <c r="BL381" i="15"/>
  <c r="BN381" i="15" s="1"/>
  <c r="BE627" i="15"/>
  <c r="BD627" i="15"/>
  <c r="BF627" i="15" s="1"/>
  <c r="AS996" i="15"/>
  <c r="AR996" i="15"/>
  <c r="AT996" i="15" s="1"/>
  <c r="AS997" i="15" l="1"/>
  <c r="AR997" i="15"/>
  <c r="AT997" i="15" s="1"/>
  <c r="BM382" i="15"/>
  <c r="BL382" i="15"/>
  <c r="BN382" i="15" s="1"/>
  <c r="BU136" i="15"/>
  <c r="BT136" i="15"/>
  <c r="BV136" i="15" s="1"/>
  <c r="BI505" i="15"/>
  <c r="BH505" i="15"/>
  <c r="BJ505" i="15" s="1"/>
  <c r="BQ259" i="15"/>
  <c r="BP259" i="15"/>
  <c r="BR259" i="15" s="1"/>
  <c r="BE628" i="15"/>
  <c r="BD628" i="15"/>
  <c r="BF628" i="15" s="1"/>
  <c r="BA751" i="15"/>
  <c r="AZ751" i="15"/>
  <c r="BB751" i="15" s="1"/>
  <c r="AW874" i="15"/>
  <c r="AV874" i="15"/>
  <c r="AX874" i="15" s="1"/>
  <c r="BA752" i="15" l="1"/>
  <c r="AZ752" i="15"/>
  <c r="BB752" i="15" s="1"/>
  <c r="BQ260" i="15"/>
  <c r="BP260" i="15"/>
  <c r="BR260" i="15" s="1"/>
  <c r="BU137" i="15"/>
  <c r="BT137" i="15"/>
  <c r="BV137" i="15" s="1"/>
  <c r="AS998" i="15"/>
  <c r="AR998" i="15"/>
  <c r="AT998" i="15" s="1"/>
  <c r="AW875" i="15"/>
  <c r="AV875" i="15"/>
  <c r="AX875" i="15" s="1"/>
  <c r="BE629" i="15"/>
  <c r="BD629" i="15"/>
  <c r="BF629" i="15" s="1"/>
  <c r="BI506" i="15"/>
  <c r="BH506" i="15"/>
  <c r="BJ506" i="15" s="1"/>
  <c r="BM383" i="15"/>
  <c r="BL383" i="15"/>
  <c r="BN383" i="15" s="1"/>
  <c r="BM384" i="15" l="1"/>
  <c r="BL384" i="15"/>
  <c r="BN384" i="15" s="1"/>
  <c r="BE630" i="15"/>
  <c r="BD630" i="15"/>
  <c r="BF630" i="15" s="1"/>
  <c r="AW876" i="15"/>
  <c r="AV876" i="15"/>
  <c r="AX876" i="15" s="1"/>
  <c r="BU138" i="15"/>
  <c r="BT138" i="15"/>
  <c r="BV138" i="15" s="1"/>
  <c r="BA753" i="15"/>
  <c r="AZ753" i="15"/>
  <c r="BB753" i="15" s="1"/>
  <c r="BI507" i="15"/>
  <c r="BH507" i="15"/>
  <c r="BJ507" i="15" s="1"/>
  <c r="AS999" i="15"/>
  <c r="AR999" i="15"/>
  <c r="AT999" i="15" s="1"/>
  <c r="BQ261" i="15"/>
  <c r="BP261" i="15"/>
  <c r="BR261" i="15" s="1"/>
  <c r="BQ262" i="15" l="1"/>
  <c r="BP262" i="15"/>
  <c r="BR262" i="15" s="1"/>
  <c r="BI508" i="15"/>
  <c r="BH508" i="15"/>
  <c r="BJ508" i="15" s="1"/>
  <c r="BU139" i="15"/>
  <c r="BT139" i="15"/>
  <c r="BV139" i="15" s="1"/>
  <c r="AW877" i="15"/>
  <c r="AV877" i="15"/>
  <c r="AX877" i="15" s="1"/>
  <c r="BM385" i="15"/>
  <c r="BL385" i="15"/>
  <c r="BN385" i="15" s="1"/>
  <c r="AS1000" i="15"/>
  <c r="AR1000" i="15"/>
  <c r="AT1000" i="15" s="1"/>
  <c r="BA754" i="15"/>
  <c r="AZ754" i="15"/>
  <c r="BB754" i="15" s="1"/>
  <c r="BE631" i="15"/>
  <c r="BD631" i="15"/>
  <c r="BF631" i="15" s="1"/>
  <c r="BA755" i="15" l="1"/>
  <c r="AZ755" i="15"/>
  <c r="BB755" i="15" s="1"/>
  <c r="BM386" i="15"/>
  <c r="BL386" i="15"/>
  <c r="BN386" i="15" s="1"/>
  <c r="BU140" i="15"/>
  <c r="BT140" i="15"/>
  <c r="BV140" i="15" s="1"/>
  <c r="BQ263" i="15"/>
  <c r="BP263" i="15"/>
  <c r="BR263" i="15" s="1"/>
  <c r="BE632" i="15"/>
  <c r="BD632" i="15"/>
  <c r="BF632" i="15" s="1"/>
  <c r="AS1001" i="15"/>
  <c r="AR1001" i="15"/>
  <c r="AT1001" i="15" s="1"/>
  <c r="AW878" i="15"/>
  <c r="AV878" i="15"/>
  <c r="AX878" i="15" s="1"/>
  <c r="BI509" i="15"/>
  <c r="BH509" i="15"/>
  <c r="BJ509" i="15" s="1"/>
  <c r="BI510" i="15" l="1"/>
  <c r="BH510" i="15"/>
  <c r="BJ510" i="15" s="1"/>
  <c r="AS1002" i="15"/>
  <c r="AR1002" i="15"/>
  <c r="AT1002" i="15" s="1"/>
  <c r="BQ264" i="15"/>
  <c r="BP264" i="15"/>
  <c r="BR264" i="15" s="1"/>
  <c r="BU141" i="15"/>
  <c r="BT141" i="15"/>
  <c r="BV141" i="15" s="1"/>
  <c r="BA756" i="15"/>
  <c r="AZ756" i="15"/>
  <c r="BB756" i="15" s="1"/>
  <c r="AW879" i="15"/>
  <c r="AV879" i="15"/>
  <c r="AX879" i="15" s="1"/>
  <c r="BE633" i="15"/>
  <c r="BD633" i="15"/>
  <c r="BF633" i="15" s="1"/>
  <c r="BM387" i="15"/>
  <c r="BL387" i="15"/>
  <c r="BN387" i="15" s="1"/>
  <c r="BE634" i="15" l="1"/>
  <c r="BD634" i="15"/>
  <c r="BF634" i="15" s="1"/>
  <c r="BA757" i="15"/>
  <c r="AZ757" i="15"/>
  <c r="BB757" i="15" s="1"/>
  <c r="BQ265" i="15"/>
  <c r="BP265" i="15"/>
  <c r="BR265" i="15" s="1"/>
  <c r="BI511" i="15"/>
  <c r="BH511" i="15"/>
  <c r="BJ511" i="15" s="1"/>
  <c r="BM388" i="15"/>
  <c r="BL388" i="15"/>
  <c r="BN388" i="15" s="1"/>
  <c r="AW880" i="15"/>
  <c r="AV880" i="15"/>
  <c r="AX880" i="15" s="1"/>
  <c r="BU142" i="15"/>
  <c r="BT142" i="15"/>
  <c r="BV142" i="15" s="1"/>
  <c r="AS1003" i="15"/>
  <c r="AR1003" i="15"/>
  <c r="AT1003" i="15" s="1"/>
  <c r="BU143" i="15" l="1"/>
  <c r="BT143" i="15"/>
  <c r="BV143" i="15" s="1"/>
  <c r="BM389" i="15"/>
  <c r="BL389" i="15"/>
  <c r="BN389" i="15" s="1"/>
  <c r="BQ266" i="15"/>
  <c r="BP266" i="15"/>
  <c r="BR266" i="15" s="1"/>
  <c r="BE635" i="15"/>
  <c r="BD635" i="15"/>
  <c r="BF635" i="15" s="1"/>
  <c r="AS1004" i="15"/>
  <c r="AR1004" i="15"/>
  <c r="AT1004" i="15" s="1"/>
  <c r="AW881" i="15"/>
  <c r="AV881" i="15"/>
  <c r="AX881" i="15" s="1"/>
  <c r="BI512" i="15"/>
  <c r="BH512" i="15"/>
  <c r="BJ512" i="15" s="1"/>
  <c r="BA758" i="15"/>
  <c r="AZ758" i="15"/>
  <c r="BB758" i="15" s="1"/>
  <c r="BA759" i="15" l="1"/>
  <c r="AZ759" i="15"/>
  <c r="BB759" i="15" s="1"/>
  <c r="AW882" i="15"/>
  <c r="AV882" i="15"/>
  <c r="AX882" i="15" s="1"/>
  <c r="AS1005" i="15"/>
  <c r="AR1005" i="15"/>
  <c r="AT1005" i="15" s="1"/>
  <c r="BQ267" i="15"/>
  <c r="BP267" i="15"/>
  <c r="BR267" i="15" s="1"/>
  <c r="BU144" i="15"/>
  <c r="BT144" i="15"/>
  <c r="BV144" i="15" s="1"/>
  <c r="BI513" i="15"/>
  <c r="BH513" i="15"/>
  <c r="BJ513" i="15" s="1"/>
  <c r="BE636" i="15"/>
  <c r="BD636" i="15"/>
  <c r="BF636" i="15" s="1"/>
  <c r="BM390" i="15"/>
  <c r="BL390" i="15"/>
  <c r="BN390" i="15" s="1"/>
  <c r="BI514" i="15" l="1"/>
  <c r="BH514" i="15"/>
  <c r="BJ514" i="15" s="1"/>
  <c r="BQ268" i="15"/>
  <c r="BP268" i="15"/>
  <c r="BR268" i="15" s="1"/>
  <c r="AS1006" i="15"/>
  <c r="AR1006" i="15"/>
  <c r="AT1006" i="15" s="1"/>
  <c r="BA760" i="15"/>
  <c r="AZ760" i="15"/>
  <c r="BB760" i="15" s="1"/>
  <c r="BM391" i="15"/>
  <c r="BL391" i="15"/>
  <c r="BN391" i="15" s="1"/>
  <c r="BE637" i="15"/>
  <c r="BD637" i="15"/>
  <c r="BF637" i="15" s="1"/>
  <c r="BU145" i="15"/>
  <c r="BT145" i="15"/>
  <c r="BV145" i="15" s="1"/>
  <c r="AW883" i="15"/>
  <c r="AV883" i="15"/>
  <c r="AX883" i="15" s="1"/>
  <c r="AW884" i="15" l="1"/>
  <c r="AV884" i="15"/>
  <c r="AX884" i="15" s="1"/>
  <c r="BE638" i="15"/>
  <c r="BD638" i="15"/>
  <c r="BF638" i="15" s="1"/>
  <c r="BA761" i="15"/>
  <c r="AZ761" i="15"/>
  <c r="BB761" i="15" s="1"/>
  <c r="AS1007" i="15"/>
  <c r="AR1007" i="15"/>
  <c r="AT1007" i="15" s="1"/>
  <c r="BI515" i="15"/>
  <c r="BH515" i="15"/>
  <c r="BJ515" i="15" s="1"/>
  <c r="BU146" i="15"/>
  <c r="BT146" i="15"/>
  <c r="BV146" i="15" s="1"/>
  <c r="BM392" i="15"/>
  <c r="BL392" i="15"/>
  <c r="BN392" i="15" s="1"/>
  <c r="BQ269" i="15"/>
  <c r="BP269" i="15"/>
  <c r="BR269" i="15" s="1"/>
  <c r="BM393" i="15" l="1"/>
  <c r="BL393" i="15"/>
  <c r="BN393" i="15" s="1"/>
  <c r="BI516" i="15"/>
  <c r="BH516" i="15"/>
  <c r="BJ516" i="15" s="1"/>
  <c r="BA762" i="15"/>
  <c r="AZ762" i="15"/>
  <c r="BB762" i="15" s="1"/>
  <c r="AW885" i="15"/>
  <c r="AV885" i="15"/>
  <c r="AX885" i="15" s="1"/>
  <c r="BQ270" i="15"/>
  <c r="BP270" i="15"/>
  <c r="BR270" i="15" s="1"/>
  <c r="K20" i="15"/>
  <c r="BU147" i="15"/>
  <c r="BT147" i="15"/>
  <c r="BV147" i="15" s="1"/>
  <c r="AS1008" i="15"/>
  <c r="AR1008" i="15"/>
  <c r="AT1008" i="15" s="1"/>
  <c r="BE639" i="15"/>
  <c r="BD639" i="15"/>
  <c r="BF639" i="15" s="1"/>
  <c r="BQ271" i="15" l="1"/>
  <c r="BP271" i="15"/>
  <c r="BR271" i="15" s="1"/>
  <c r="AW886" i="15"/>
  <c r="AV886" i="15"/>
  <c r="AX886" i="15" s="1"/>
  <c r="BA763" i="15"/>
  <c r="AZ763" i="15"/>
  <c r="BB763" i="15" s="1"/>
  <c r="BI517" i="15"/>
  <c r="BH517" i="15"/>
  <c r="BJ517" i="15" s="1"/>
  <c r="BM394" i="15"/>
  <c r="BL394" i="15"/>
  <c r="BN394" i="15" s="1"/>
  <c r="BE640" i="15"/>
  <c r="BD640" i="15"/>
  <c r="BF640" i="15" s="1"/>
  <c r="AS1009" i="15"/>
  <c r="AR1009" i="15"/>
  <c r="AT1009" i="15" s="1"/>
  <c r="BU148" i="15"/>
  <c r="BT148" i="15"/>
  <c r="BV148" i="15" s="1"/>
  <c r="H21" i="15"/>
  <c r="L20" i="15"/>
  <c r="M20" i="15"/>
  <c r="F21" i="15"/>
  <c r="E21" i="15" s="1"/>
  <c r="D21" i="15"/>
  <c r="C21" i="15" s="1"/>
  <c r="BU149" i="15" l="1"/>
  <c r="BT149" i="15"/>
  <c r="BV149" i="15" s="1"/>
  <c r="BE641" i="15"/>
  <c r="BD641" i="15"/>
  <c r="BF641" i="15" s="1"/>
  <c r="BI518" i="15"/>
  <c r="BH518" i="15"/>
  <c r="BJ518" i="15" s="1"/>
  <c r="BA764" i="15"/>
  <c r="AZ764" i="15"/>
  <c r="BB764" i="15" s="1"/>
  <c r="BQ272" i="15"/>
  <c r="BP272" i="15"/>
  <c r="BR272" i="15" s="1"/>
  <c r="AS1010" i="15"/>
  <c r="AR1010" i="15"/>
  <c r="AT1010" i="15" s="1"/>
  <c r="BM395" i="15"/>
  <c r="BL395" i="15"/>
  <c r="BN395" i="15" s="1"/>
  <c r="AW887" i="15"/>
  <c r="AV887" i="15"/>
  <c r="AX887" i="15" s="1"/>
  <c r="I21" i="15"/>
  <c r="BW27" i="15"/>
  <c r="J21" i="15"/>
  <c r="BW28" i="15"/>
  <c r="BW29" i="15"/>
  <c r="BW30" i="15"/>
  <c r="BW31" i="15"/>
  <c r="BW32" i="15"/>
  <c r="BW33" i="15"/>
  <c r="BW34" i="15"/>
  <c r="BW35" i="15"/>
  <c r="BW36" i="15"/>
  <c r="BW37" i="15"/>
  <c r="BW38" i="15"/>
  <c r="BW39" i="15"/>
  <c r="BW40" i="15"/>
  <c r="BW41" i="15"/>
  <c r="BW42" i="15"/>
  <c r="BW43" i="15"/>
  <c r="BW44" i="15"/>
  <c r="BW45" i="15"/>
  <c r="BW46" i="15"/>
  <c r="BW47" i="15"/>
  <c r="BW48" i="15"/>
  <c r="BW49" i="15"/>
  <c r="BW50" i="15"/>
  <c r="BW51" i="15"/>
  <c r="BW52" i="15"/>
  <c r="BW53" i="15"/>
  <c r="BW54" i="15"/>
  <c r="BW55" i="15"/>
  <c r="BW56" i="15"/>
  <c r="BW57" i="15"/>
  <c r="BW58" i="15"/>
  <c r="BW59" i="15"/>
  <c r="BW60" i="15"/>
  <c r="BW61" i="15"/>
  <c r="BW62" i="15"/>
  <c r="BW63" i="15"/>
  <c r="BW64" i="15"/>
  <c r="BW65" i="15"/>
  <c r="BW66" i="15"/>
  <c r="BW67" i="15"/>
  <c r="BW68" i="15"/>
  <c r="BW69" i="15"/>
  <c r="BW70" i="15"/>
  <c r="BW71" i="15"/>
  <c r="BW72" i="15"/>
  <c r="BW73" i="15"/>
  <c r="BW74" i="15"/>
  <c r="BW75" i="15"/>
  <c r="BW76" i="15"/>
  <c r="BW77" i="15"/>
  <c r="BW78" i="15"/>
  <c r="BW79" i="15"/>
  <c r="BW80" i="15"/>
  <c r="BW81" i="15"/>
  <c r="BW82" i="15"/>
  <c r="BW83" i="15"/>
  <c r="BW84" i="15"/>
  <c r="BW85" i="15"/>
  <c r="BW86" i="15"/>
  <c r="BW87" i="15"/>
  <c r="BW88" i="15"/>
  <c r="BW89" i="15"/>
  <c r="BW90" i="15"/>
  <c r="BW91" i="15"/>
  <c r="BW92" i="15"/>
  <c r="BW93" i="15"/>
  <c r="BW94" i="15"/>
  <c r="BW95" i="15"/>
  <c r="BW96" i="15"/>
  <c r="BW97" i="15"/>
  <c r="BW98" i="15"/>
  <c r="BW99" i="15"/>
  <c r="BW100" i="15"/>
  <c r="BW101" i="15"/>
  <c r="BW102" i="15"/>
  <c r="BW103" i="15"/>
  <c r="BW104" i="15"/>
  <c r="BW105" i="15"/>
  <c r="BW106" i="15"/>
  <c r="BW107" i="15"/>
  <c r="BW108" i="15"/>
  <c r="BW109" i="15"/>
  <c r="BW110" i="15"/>
  <c r="BW111" i="15"/>
  <c r="BW112" i="15"/>
  <c r="BW113" i="15"/>
  <c r="BW114" i="15"/>
  <c r="BW115" i="15"/>
  <c r="BW116" i="15"/>
  <c r="BW117" i="15"/>
  <c r="BW118" i="15"/>
  <c r="BW119" i="15"/>
  <c r="BW120" i="15"/>
  <c r="BW121" i="15"/>
  <c r="BW122" i="15"/>
  <c r="BW123" i="15"/>
  <c r="BW124" i="15"/>
  <c r="BW125" i="15"/>
  <c r="BW126" i="15"/>
  <c r="BW127" i="15"/>
  <c r="BW128" i="15"/>
  <c r="BW129" i="15"/>
  <c r="BW130" i="15"/>
  <c r="BW131" i="15"/>
  <c r="BW132" i="15"/>
  <c r="BW133" i="15"/>
  <c r="BW134" i="15"/>
  <c r="BW135" i="15"/>
  <c r="BW136" i="15"/>
  <c r="BW137" i="15"/>
  <c r="BW138" i="15"/>
  <c r="BW139" i="15"/>
  <c r="BW140" i="15"/>
  <c r="BW141" i="15"/>
  <c r="BW142" i="15"/>
  <c r="BW143" i="15"/>
  <c r="BW144" i="15"/>
  <c r="BW145" i="15"/>
  <c r="BW146" i="15"/>
  <c r="BW147" i="15"/>
  <c r="BW148" i="15"/>
  <c r="BW149" i="15"/>
  <c r="BW150" i="15"/>
  <c r="BW151" i="15"/>
  <c r="BW152" i="15"/>
  <c r="BW153" i="15"/>
  <c r="BW154" i="15"/>
  <c r="BW155" i="15"/>
  <c r="BW156" i="15"/>
  <c r="BW157" i="15"/>
  <c r="BW158" i="15"/>
  <c r="BW159" i="15"/>
  <c r="BW160" i="15"/>
  <c r="BW161" i="15"/>
  <c r="BW162" i="15"/>
  <c r="BW163" i="15"/>
  <c r="BW164" i="15"/>
  <c r="BW165" i="15"/>
  <c r="BW166" i="15"/>
  <c r="BW167" i="15"/>
  <c r="BW168" i="15"/>
  <c r="BW169" i="15"/>
  <c r="BW170" i="15"/>
  <c r="BW171" i="15"/>
  <c r="BW172" i="15"/>
  <c r="BW173" i="15"/>
  <c r="BW174" i="15"/>
  <c r="BW175" i="15"/>
  <c r="BW176" i="15"/>
  <c r="BW177" i="15"/>
  <c r="BW178" i="15"/>
  <c r="BW179" i="15"/>
  <c r="BW180" i="15"/>
  <c r="BW181" i="15"/>
  <c r="BW182" i="15"/>
  <c r="BW183" i="15"/>
  <c r="BW184" i="15"/>
  <c r="BW185" i="15"/>
  <c r="BW186" i="15"/>
  <c r="BW187" i="15"/>
  <c r="BW188" i="15"/>
  <c r="BW189" i="15"/>
  <c r="BW190" i="15"/>
  <c r="BW191" i="15"/>
  <c r="BW192" i="15"/>
  <c r="BW193" i="15"/>
  <c r="BW194" i="15"/>
  <c r="BW195" i="15"/>
  <c r="BW196" i="15"/>
  <c r="BW197" i="15"/>
  <c r="BW198" i="15"/>
  <c r="BW199" i="15"/>
  <c r="BW200" i="15"/>
  <c r="BW201" i="15"/>
  <c r="BW202" i="15"/>
  <c r="BW203" i="15"/>
  <c r="BW204" i="15"/>
  <c r="BW205" i="15"/>
  <c r="BW206" i="15"/>
  <c r="BW207" i="15"/>
  <c r="BW208" i="15"/>
  <c r="BW209" i="15"/>
  <c r="BW210" i="15"/>
  <c r="BW211" i="15"/>
  <c r="BW212" i="15"/>
  <c r="BW213" i="15"/>
  <c r="BW214" i="15"/>
  <c r="BW215" i="15"/>
  <c r="BW216" i="15"/>
  <c r="BW217" i="15"/>
  <c r="BW218" i="15"/>
  <c r="BW219" i="15"/>
  <c r="BW220" i="15"/>
  <c r="BW221" i="15"/>
  <c r="BW222" i="15"/>
  <c r="BW223" i="15"/>
  <c r="BW224" i="15"/>
  <c r="BW225" i="15"/>
  <c r="BW226" i="15"/>
  <c r="BW227" i="15"/>
  <c r="BW228" i="15"/>
  <c r="BW229" i="15"/>
  <c r="BW230" i="15"/>
  <c r="BW231" i="15"/>
  <c r="BW232" i="15"/>
  <c r="BW233" i="15"/>
  <c r="BW234" i="15"/>
  <c r="BW235" i="15"/>
  <c r="BW236" i="15"/>
  <c r="BW237" i="15"/>
  <c r="BW238" i="15"/>
  <c r="BW239" i="15"/>
  <c r="BW240" i="15"/>
  <c r="BW241" i="15"/>
  <c r="BW242" i="15"/>
  <c r="BW243" i="15"/>
  <c r="BW244" i="15"/>
  <c r="BW245" i="15"/>
  <c r="BW246" i="15"/>
  <c r="BW247" i="15"/>
  <c r="BW248" i="15"/>
  <c r="BW249" i="15"/>
  <c r="BW250" i="15"/>
  <c r="BW251" i="15"/>
  <c r="BW252" i="15"/>
  <c r="BW253" i="15"/>
  <c r="BW254" i="15"/>
  <c r="BW255" i="15"/>
  <c r="BW256" i="15"/>
  <c r="BW257" i="15"/>
  <c r="BW258" i="15"/>
  <c r="BW259" i="15"/>
  <c r="BW260" i="15"/>
  <c r="BW261" i="15"/>
  <c r="BW262" i="15"/>
  <c r="BW263" i="15"/>
  <c r="BW264" i="15"/>
  <c r="BW265" i="15"/>
  <c r="BW266" i="15"/>
  <c r="BW267" i="15"/>
  <c r="BW268" i="15"/>
  <c r="BW269" i="15"/>
  <c r="BW270" i="15"/>
  <c r="BW271" i="15"/>
  <c r="BW272" i="15"/>
  <c r="BW273" i="15"/>
  <c r="BW274" i="15"/>
  <c r="BW275" i="15"/>
  <c r="BW276" i="15"/>
  <c r="BW277" i="15"/>
  <c r="BW278" i="15"/>
  <c r="BW279" i="15"/>
  <c r="BW280" i="15"/>
  <c r="BW281" i="15"/>
  <c r="BW282" i="15"/>
  <c r="BW283" i="15"/>
  <c r="BW284" i="15"/>
  <c r="BW285" i="15"/>
  <c r="BW286" i="15"/>
  <c r="BW287" i="15"/>
  <c r="BW288" i="15"/>
  <c r="BW289" i="15"/>
  <c r="BW290" i="15"/>
  <c r="BW291" i="15"/>
  <c r="BW292" i="15"/>
  <c r="BW293" i="15"/>
  <c r="BW294" i="15"/>
  <c r="BW295" i="15"/>
  <c r="BW296" i="15"/>
  <c r="BW297" i="15"/>
  <c r="BW298" i="15"/>
  <c r="BW299" i="15"/>
  <c r="BW300" i="15"/>
  <c r="BW301" i="15"/>
  <c r="BW302" i="15"/>
  <c r="BW303" i="15"/>
  <c r="BW304" i="15"/>
  <c r="BW305" i="15"/>
  <c r="BW306" i="15"/>
  <c r="BW307" i="15"/>
  <c r="BW308" i="15"/>
  <c r="BW309" i="15"/>
  <c r="BW310" i="15"/>
  <c r="BW311" i="15"/>
  <c r="BW312" i="15"/>
  <c r="BW313" i="15"/>
  <c r="BW314" i="15"/>
  <c r="BW315" i="15"/>
  <c r="BW316" i="15"/>
  <c r="BW317" i="15"/>
  <c r="BW318" i="15"/>
  <c r="BW319" i="15"/>
  <c r="BW320" i="15"/>
  <c r="BW321" i="15"/>
  <c r="BW322" i="15"/>
  <c r="BW323" i="15"/>
  <c r="BW324" i="15"/>
  <c r="BW325" i="15"/>
  <c r="BW326" i="15"/>
  <c r="BW327" i="15"/>
  <c r="BW328" i="15"/>
  <c r="BW329" i="15"/>
  <c r="BW330" i="15"/>
  <c r="BW331" i="15"/>
  <c r="BW332" i="15"/>
  <c r="BW333" i="15"/>
  <c r="BW334" i="15"/>
  <c r="BW335" i="15"/>
  <c r="BW336" i="15"/>
  <c r="BW337" i="15"/>
  <c r="BW338" i="15"/>
  <c r="BW339" i="15"/>
  <c r="BW340" i="15"/>
  <c r="BW341" i="15"/>
  <c r="BW342" i="15"/>
  <c r="BW343" i="15"/>
  <c r="BW344" i="15"/>
  <c r="BW345" i="15"/>
  <c r="BW346" i="15"/>
  <c r="BW347" i="15"/>
  <c r="BW348" i="15"/>
  <c r="BW349" i="15"/>
  <c r="BW350" i="15"/>
  <c r="BW351" i="15"/>
  <c r="BW352" i="15"/>
  <c r="BW353" i="15"/>
  <c r="BW354" i="15"/>
  <c r="BW355" i="15"/>
  <c r="BW356" i="15"/>
  <c r="BW357" i="15"/>
  <c r="BW358" i="15"/>
  <c r="BW359" i="15"/>
  <c r="BW360" i="15"/>
  <c r="BW361" i="15"/>
  <c r="BW362" i="15"/>
  <c r="BW363" i="15"/>
  <c r="BW364" i="15"/>
  <c r="BW365" i="15"/>
  <c r="BW366" i="15"/>
  <c r="BW367" i="15"/>
  <c r="BW368" i="15"/>
  <c r="BW369" i="15"/>
  <c r="BW370" i="15"/>
  <c r="BW371" i="15"/>
  <c r="BW372" i="15"/>
  <c r="BW373" i="15"/>
  <c r="BW374" i="15"/>
  <c r="BW375" i="15"/>
  <c r="BW376" i="15"/>
  <c r="BW377" i="15"/>
  <c r="BW378" i="15"/>
  <c r="BW379" i="15"/>
  <c r="BW380" i="15"/>
  <c r="BW381" i="15"/>
  <c r="BW382" i="15"/>
  <c r="BW383" i="15"/>
  <c r="BW384" i="15"/>
  <c r="BW385" i="15"/>
  <c r="BW386" i="15"/>
  <c r="BW387" i="15"/>
  <c r="BW388" i="15"/>
  <c r="BW389" i="15"/>
  <c r="BW390" i="15"/>
  <c r="BW391" i="15"/>
  <c r="BW392" i="15"/>
  <c r="BW393" i="15"/>
  <c r="BW394" i="15"/>
  <c r="BW395" i="15"/>
  <c r="BW396" i="15"/>
  <c r="BW397" i="15"/>
  <c r="BW398" i="15"/>
  <c r="BW399" i="15"/>
  <c r="BW400" i="15"/>
  <c r="BW401" i="15"/>
  <c r="BW402" i="15"/>
  <c r="BW403" i="15"/>
  <c r="BW404" i="15"/>
  <c r="BW405" i="15"/>
  <c r="BW406" i="15"/>
  <c r="BW407" i="15"/>
  <c r="BW408" i="15"/>
  <c r="BW409" i="15"/>
  <c r="BW410" i="15"/>
  <c r="BW411" i="15"/>
  <c r="BW412" i="15"/>
  <c r="BW413" i="15"/>
  <c r="BW414" i="15"/>
  <c r="BW415" i="15"/>
  <c r="BW416" i="15"/>
  <c r="BW417" i="15"/>
  <c r="BW418" i="15"/>
  <c r="BW419" i="15"/>
  <c r="BW420" i="15"/>
  <c r="BW421" i="15"/>
  <c r="BW422" i="15"/>
  <c r="BW423" i="15"/>
  <c r="BW424" i="15"/>
  <c r="BW425" i="15"/>
  <c r="BW426" i="15"/>
  <c r="BW427" i="15"/>
  <c r="BW428" i="15"/>
  <c r="BW429" i="15"/>
  <c r="BW430" i="15"/>
  <c r="BW431" i="15"/>
  <c r="BW432" i="15"/>
  <c r="BW433" i="15"/>
  <c r="BW434" i="15"/>
  <c r="BW435" i="15"/>
  <c r="BW436" i="15"/>
  <c r="BW437" i="15"/>
  <c r="BW438" i="15"/>
  <c r="BW439" i="15"/>
  <c r="BW440" i="15"/>
  <c r="BW441" i="15"/>
  <c r="BW442" i="15"/>
  <c r="BW443" i="15"/>
  <c r="BW444" i="15"/>
  <c r="BW445" i="15"/>
  <c r="BW446" i="15"/>
  <c r="BW447" i="15"/>
  <c r="BW448" i="15"/>
  <c r="BW449" i="15"/>
  <c r="BW450" i="15"/>
  <c r="BW451" i="15"/>
  <c r="BW452" i="15"/>
  <c r="BW453" i="15"/>
  <c r="BW454" i="15"/>
  <c r="BW455" i="15"/>
  <c r="BW456" i="15"/>
  <c r="BW457" i="15"/>
  <c r="BW458" i="15"/>
  <c r="BW459" i="15"/>
  <c r="BW460" i="15"/>
  <c r="BW461" i="15"/>
  <c r="BW462" i="15"/>
  <c r="BW463" i="15"/>
  <c r="BW464" i="15"/>
  <c r="BW465" i="15"/>
  <c r="BW466" i="15"/>
  <c r="BW467" i="15"/>
  <c r="BW468" i="15"/>
  <c r="BW469" i="15"/>
  <c r="BW470" i="15"/>
  <c r="BW471" i="15"/>
  <c r="BW472" i="15"/>
  <c r="BW473" i="15"/>
  <c r="BW474" i="15"/>
  <c r="BW475" i="15"/>
  <c r="BW476" i="15"/>
  <c r="BW477" i="15"/>
  <c r="BW478" i="15"/>
  <c r="BW479" i="15"/>
  <c r="BW480" i="15"/>
  <c r="BW481" i="15"/>
  <c r="BW482" i="15"/>
  <c r="BW483" i="15"/>
  <c r="BW484" i="15"/>
  <c r="BW485" i="15"/>
  <c r="BW486" i="15"/>
  <c r="BW487" i="15"/>
  <c r="BW488" i="15"/>
  <c r="BW489" i="15"/>
  <c r="BW490" i="15"/>
  <c r="BW491" i="15"/>
  <c r="BW492" i="15"/>
  <c r="BW493" i="15"/>
  <c r="BW494" i="15"/>
  <c r="BW495" i="15"/>
  <c r="BW496" i="15"/>
  <c r="BW497" i="15"/>
  <c r="BW498" i="15"/>
  <c r="BW499" i="15"/>
  <c r="BW500" i="15"/>
  <c r="BW501" i="15"/>
  <c r="BW502" i="15"/>
  <c r="BW503" i="15"/>
  <c r="BW504" i="15"/>
  <c r="BW505" i="15"/>
  <c r="BW506" i="15"/>
  <c r="BW507" i="15"/>
  <c r="BW508" i="15"/>
  <c r="BW509" i="15"/>
  <c r="BW510" i="15"/>
  <c r="BW511" i="15"/>
  <c r="BW512" i="15"/>
  <c r="BW513" i="15"/>
  <c r="BW514" i="15"/>
  <c r="BW515" i="15"/>
  <c r="BW516" i="15"/>
  <c r="BW517" i="15"/>
  <c r="BW518" i="15"/>
  <c r="BW519" i="15"/>
  <c r="BW520" i="15"/>
  <c r="BW521" i="15"/>
  <c r="BW522" i="15"/>
  <c r="BW523" i="15"/>
  <c r="BW524" i="15"/>
  <c r="BW525" i="15"/>
  <c r="BW526" i="15"/>
  <c r="BW527" i="15"/>
  <c r="BW528" i="15"/>
  <c r="BW529" i="15"/>
  <c r="BW530" i="15"/>
  <c r="BW531" i="15"/>
  <c r="BW532" i="15"/>
  <c r="BW533" i="15"/>
  <c r="BW534" i="15"/>
  <c r="BW535" i="15"/>
  <c r="BW536" i="15"/>
  <c r="BW537" i="15"/>
  <c r="BW538" i="15"/>
  <c r="BW539" i="15"/>
  <c r="BW540" i="15"/>
  <c r="BW541" i="15"/>
  <c r="BW542" i="15"/>
  <c r="BW543" i="15"/>
  <c r="BW544" i="15"/>
  <c r="BW545" i="15"/>
  <c r="BW546" i="15"/>
  <c r="BW547" i="15"/>
  <c r="BW548" i="15"/>
  <c r="BW549" i="15"/>
  <c r="BW550" i="15"/>
  <c r="BW551" i="15"/>
  <c r="BW552" i="15"/>
  <c r="BW553" i="15"/>
  <c r="BW554" i="15"/>
  <c r="BW555" i="15"/>
  <c r="BW556" i="15"/>
  <c r="BW557" i="15"/>
  <c r="BW558" i="15"/>
  <c r="BW559" i="15"/>
  <c r="BW560" i="15"/>
  <c r="BW561" i="15"/>
  <c r="BW562" i="15"/>
  <c r="BW563" i="15"/>
  <c r="BW564" i="15"/>
  <c r="BW565" i="15"/>
  <c r="BW566" i="15"/>
  <c r="BW567" i="15"/>
  <c r="BW568" i="15"/>
  <c r="BW569" i="15"/>
  <c r="BW570" i="15"/>
  <c r="BW571" i="15"/>
  <c r="BW572" i="15"/>
  <c r="BW573" i="15"/>
  <c r="BW574" i="15"/>
  <c r="BW575" i="15"/>
  <c r="BW576" i="15"/>
  <c r="BW577" i="15"/>
  <c r="BW578" i="15"/>
  <c r="BW579" i="15"/>
  <c r="BW580" i="15"/>
  <c r="BW581" i="15"/>
  <c r="BW582" i="15"/>
  <c r="BW583" i="15"/>
  <c r="BW584" i="15"/>
  <c r="BW585" i="15"/>
  <c r="BW586" i="15"/>
  <c r="BW587" i="15"/>
  <c r="BW588" i="15"/>
  <c r="BW589" i="15"/>
  <c r="BW590" i="15"/>
  <c r="BW591" i="15"/>
  <c r="BW592" i="15"/>
  <c r="BW593" i="15"/>
  <c r="BW594" i="15"/>
  <c r="BW595" i="15"/>
  <c r="BW596" i="15"/>
  <c r="BW597" i="15"/>
  <c r="BW598" i="15"/>
  <c r="BW599" i="15"/>
  <c r="BW600" i="15"/>
  <c r="BW601" i="15"/>
  <c r="BW602" i="15"/>
  <c r="BW603" i="15"/>
  <c r="BW604" i="15"/>
  <c r="BW605" i="15"/>
  <c r="BW606" i="15"/>
  <c r="BW607" i="15"/>
  <c r="BW608" i="15"/>
  <c r="BW609" i="15"/>
  <c r="BW610" i="15"/>
  <c r="BW611" i="15"/>
  <c r="BW612" i="15"/>
  <c r="BW613" i="15"/>
  <c r="BW614" i="15"/>
  <c r="BW615" i="15"/>
  <c r="BW616" i="15"/>
  <c r="BW617" i="15"/>
  <c r="BW618" i="15"/>
  <c r="BW619" i="15"/>
  <c r="BW620" i="15"/>
  <c r="BW621" i="15"/>
  <c r="BW622" i="15"/>
  <c r="BW623" i="15"/>
  <c r="BW624" i="15"/>
  <c r="BW625" i="15"/>
  <c r="BW626" i="15"/>
  <c r="BW627" i="15"/>
  <c r="BW628" i="15"/>
  <c r="BW629" i="15"/>
  <c r="BW630" i="15"/>
  <c r="BW631" i="15"/>
  <c r="BW632" i="15"/>
  <c r="BW633" i="15"/>
  <c r="BW634" i="15"/>
  <c r="BW635" i="15"/>
  <c r="BW636" i="15"/>
  <c r="BW637" i="15"/>
  <c r="BW638" i="15"/>
  <c r="BW639" i="15"/>
  <c r="BW640" i="15"/>
  <c r="BW641" i="15"/>
  <c r="BW642" i="15"/>
  <c r="BW643" i="15"/>
  <c r="BW644" i="15"/>
  <c r="BW645" i="15"/>
  <c r="BW646" i="15"/>
  <c r="BW647" i="15"/>
  <c r="BW648" i="15"/>
  <c r="BW649" i="15"/>
  <c r="BW650" i="15"/>
  <c r="BW651" i="15"/>
  <c r="BW652" i="15"/>
  <c r="BW653" i="15"/>
  <c r="BW654" i="15"/>
  <c r="BW655" i="15"/>
  <c r="BW656" i="15"/>
  <c r="BW657" i="15"/>
  <c r="BW658" i="15"/>
  <c r="BW659" i="15"/>
  <c r="BW660" i="15"/>
  <c r="BW661" i="15"/>
  <c r="BW662" i="15"/>
  <c r="BW663" i="15"/>
  <c r="BW664" i="15"/>
  <c r="BW665" i="15"/>
  <c r="BW666" i="15"/>
  <c r="BW667" i="15"/>
  <c r="BW668" i="15"/>
  <c r="BW669" i="15"/>
  <c r="BW670" i="15"/>
  <c r="BW671" i="15"/>
  <c r="BW672" i="15"/>
  <c r="BW673" i="15"/>
  <c r="BW674" i="15"/>
  <c r="BW675" i="15"/>
  <c r="BW676" i="15"/>
  <c r="BW677" i="15"/>
  <c r="BW678" i="15"/>
  <c r="BW679" i="15"/>
  <c r="BW680" i="15"/>
  <c r="BW681" i="15"/>
  <c r="BW682" i="15"/>
  <c r="BW683" i="15"/>
  <c r="BW684" i="15"/>
  <c r="BW685" i="15"/>
  <c r="BW686" i="15"/>
  <c r="BW687" i="15"/>
  <c r="BW688" i="15"/>
  <c r="BW689" i="15"/>
  <c r="BW690" i="15"/>
  <c r="BW691" i="15"/>
  <c r="BW692" i="15"/>
  <c r="BW693" i="15"/>
  <c r="BW694" i="15"/>
  <c r="BW695" i="15"/>
  <c r="BW696" i="15"/>
  <c r="BW697" i="15"/>
  <c r="BW698" i="15"/>
  <c r="BW699" i="15"/>
  <c r="BW700" i="15"/>
  <c r="BW701" i="15"/>
  <c r="BW702" i="15"/>
  <c r="BW703" i="15"/>
  <c r="BW704" i="15"/>
  <c r="BW705" i="15"/>
  <c r="BW706" i="15"/>
  <c r="BW707" i="15"/>
  <c r="BW708" i="15"/>
  <c r="BW709" i="15"/>
  <c r="BW710" i="15"/>
  <c r="BW711" i="15"/>
  <c r="BW712" i="15"/>
  <c r="BW713" i="15"/>
  <c r="BW714" i="15"/>
  <c r="BW715" i="15"/>
  <c r="BW716" i="15"/>
  <c r="BW717" i="15"/>
  <c r="BW718" i="15"/>
  <c r="BW719" i="15"/>
  <c r="BW720" i="15"/>
  <c r="BW721" i="15"/>
  <c r="BW722" i="15"/>
  <c r="BW723" i="15"/>
  <c r="BW724" i="15"/>
  <c r="BW725" i="15"/>
  <c r="BW726" i="15"/>
  <c r="BW727" i="15"/>
  <c r="BW728" i="15"/>
  <c r="BW729" i="15"/>
  <c r="BW730" i="15"/>
  <c r="BW731" i="15"/>
  <c r="BW732" i="15"/>
  <c r="BW733" i="15"/>
  <c r="BW734" i="15"/>
  <c r="BW735" i="15"/>
  <c r="BW736" i="15"/>
  <c r="BW737" i="15"/>
  <c r="BW738" i="15"/>
  <c r="BW739" i="15"/>
  <c r="BW740" i="15"/>
  <c r="BW741" i="15"/>
  <c r="BW742" i="15"/>
  <c r="BW743" i="15"/>
  <c r="BW744" i="15"/>
  <c r="BW745" i="15"/>
  <c r="BW746" i="15"/>
  <c r="BW747" i="15"/>
  <c r="BW748" i="15"/>
  <c r="BW749" i="15"/>
  <c r="BW750" i="15"/>
  <c r="BW751" i="15"/>
  <c r="BW752" i="15"/>
  <c r="BW753" i="15"/>
  <c r="BW754" i="15"/>
  <c r="BW755" i="15"/>
  <c r="BW756" i="15"/>
  <c r="BW757" i="15"/>
  <c r="BW758" i="15"/>
  <c r="BW759" i="15"/>
  <c r="BW760" i="15"/>
  <c r="BW761" i="15"/>
  <c r="BW762" i="15"/>
  <c r="BW763" i="15"/>
  <c r="BW764" i="15"/>
  <c r="BW765" i="15"/>
  <c r="BW766" i="15"/>
  <c r="BW767" i="15"/>
  <c r="BW768" i="15"/>
  <c r="BW769" i="15"/>
  <c r="BW770" i="15"/>
  <c r="BW771" i="15"/>
  <c r="BW772" i="15"/>
  <c r="BW773" i="15"/>
  <c r="BW774" i="15"/>
  <c r="BW775" i="15"/>
  <c r="BW776" i="15"/>
  <c r="BW777" i="15"/>
  <c r="BW778" i="15"/>
  <c r="BW779" i="15"/>
  <c r="BW780" i="15"/>
  <c r="BW781" i="15"/>
  <c r="BW782" i="15"/>
  <c r="BW783" i="15"/>
  <c r="BW784" i="15"/>
  <c r="BW785" i="15"/>
  <c r="BW786" i="15"/>
  <c r="BW787" i="15"/>
  <c r="BW788" i="15"/>
  <c r="BW789" i="15"/>
  <c r="BW790" i="15"/>
  <c r="BW791" i="15"/>
  <c r="BW792" i="15"/>
  <c r="BW793" i="15"/>
  <c r="BW794" i="15"/>
  <c r="BW795" i="15"/>
  <c r="BW796" i="15"/>
  <c r="BW797" i="15"/>
  <c r="BW798" i="15"/>
  <c r="BW799" i="15"/>
  <c r="BW800" i="15"/>
  <c r="BW801" i="15"/>
  <c r="BW802" i="15"/>
  <c r="BW803" i="15"/>
  <c r="BW804" i="15"/>
  <c r="BW805" i="15"/>
  <c r="BW806" i="15"/>
  <c r="BW807" i="15"/>
  <c r="BW808" i="15"/>
  <c r="BW809" i="15"/>
  <c r="BW810" i="15"/>
  <c r="BW811" i="15"/>
  <c r="BW812" i="15"/>
  <c r="BW813" i="15"/>
  <c r="BW814" i="15"/>
  <c r="BW815" i="15"/>
  <c r="BW816" i="15"/>
  <c r="BW817" i="15"/>
  <c r="BW818" i="15"/>
  <c r="BW819" i="15"/>
  <c r="BW820" i="15"/>
  <c r="BW821" i="15"/>
  <c r="BW822" i="15"/>
  <c r="BW823" i="15"/>
  <c r="BW824" i="15"/>
  <c r="BW825" i="15"/>
  <c r="BW826" i="15"/>
  <c r="BW827" i="15"/>
  <c r="BW828" i="15"/>
  <c r="BW829" i="15"/>
  <c r="BW830" i="15"/>
  <c r="BW831" i="15"/>
  <c r="BW832" i="15"/>
  <c r="BW833" i="15"/>
  <c r="BW834" i="15"/>
  <c r="BW835" i="15"/>
  <c r="BW836" i="15"/>
  <c r="BW837" i="15"/>
  <c r="BW838" i="15"/>
  <c r="BW839" i="15"/>
  <c r="BW840" i="15"/>
  <c r="BW841" i="15"/>
  <c r="BW842" i="15"/>
  <c r="BW843" i="15"/>
  <c r="BW844" i="15"/>
  <c r="BW845" i="15"/>
  <c r="BW846" i="15"/>
  <c r="BW847" i="15"/>
  <c r="BW848" i="15"/>
  <c r="BW849" i="15"/>
  <c r="BW850" i="15"/>
  <c r="BW851" i="15"/>
  <c r="BW852" i="15"/>
  <c r="BW853" i="15"/>
  <c r="BW854" i="15"/>
  <c r="BW855" i="15"/>
  <c r="BW856" i="15"/>
  <c r="BW857" i="15"/>
  <c r="BW858" i="15"/>
  <c r="BW859" i="15"/>
  <c r="BW860" i="15"/>
  <c r="BW861" i="15"/>
  <c r="BW862" i="15"/>
  <c r="BW863" i="15"/>
  <c r="BW864" i="15"/>
  <c r="BW865" i="15"/>
  <c r="BW866" i="15"/>
  <c r="BW867" i="15"/>
  <c r="BW868" i="15"/>
  <c r="BW869" i="15"/>
  <c r="BW870" i="15"/>
  <c r="BW871" i="15"/>
  <c r="BW872" i="15"/>
  <c r="BW873" i="15"/>
  <c r="BW874" i="15"/>
  <c r="BW875" i="15"/>
  <c r="BW876" i="15"/>
  <c r="BW877" i="15"/>
  <c r="BW878" i="15"/>
  <c r="BW879" i="15"/>
  <c r="BW880" i="15"/>
  <c r="BW881" i="15"/>
  <c r="BW882" i="15"/>
  <c r="BW883" i="15"/>
  <c r="BW884" i="15"/>
  <c r="BW885" i="15"/>
  <c r="BW886" i="15"/>
  <c r="BW887" i="15"/>
  <c r="BW888" i="15"/>
  <c r="BW889" i="15"/>
  <c r="BW890" i="15"/>
  <c r="BW891" i="15"/>
  <c r="BW892" i="15"/>
  <c r="BW893" i="15"/>
  <c r="BW894" i="15"/>
  <c r="BW895" i="15"/>
  <c r="BW896" i="15"/>
  <c r="BW897" i="15"/>
  <c r="BW898" i="15"/>
  <c r="BW899" i="15"/>
  <c r="BW900" i="15"/>
  <c r="BW901" i="15"/>
  <c r="BW902" i="15"/>
  <c r="BW903" i="15"/>
  <c r="BW904" i="15"/>
  <c r="BW905" i="15"/>
  <c r="BW906" i="15"/>
  <c r="BW907" i="15"/>
  <c r="BW908" i="15"/>
  <c r="BW909" i="15"/>
  <c r="BW910" i="15"/>
  <c r="BW911" i="15"/>
  <c r="BW912" i="15"/>
  <c r="BW913" i="15"/>
  <c r="BW914" i="15"/>
  <c r="BW915" i="15"/>
  <c r="BW916" i="15"/>
  <c r="BW917" i="15"/>
  <c r="BW918" i="15"/>
  <c r="BW919" i="15"/>
  <c r="BW920" i="15"/>
  <c r="BW921" i="15"/>
  <c r="BW922" i="15"/>
  <c r="BW923" i="15"/>
  <c r="BW924" i="15"/>
  <c r="BW925" i="15"/>
  <c r="BW926" i="15"/>
  <c r="BW927" i="15"/>
  <c r="BW928" i="15"/>
  <c r="BW929" i="15"/>
  <c r="BW930" i="15"/>
  <c r="BW931" i="15"/>
  <c r="BW932" i="15"/>
  <c r="BW933" i="15"/>
  <c r="BW934" i="15"/>
  <c r="BW935" i="15"/>
  <c r="BW936" i="15"/>
  <c r="BW937" i="15"/>
  <c r="BW938" i="15"/>
  <c r="BW939" i="15"/>
  <c r="BW940" i="15"/>
  <c r="BW941" i="15"/>
  <c r="BW942" i="15"/>
  <c r="BW943" i="15"/>
  <c r="BW944" i="15"/>
  <c r="BW945" i="15"/>
  <c r="BW946" i="15"/>
  <c r="BW947" i="15"/>
  <c r="BW948" i="15"/>
  <c r="BW949" i="15"/>
  <c r="BW950" i="15"/>
  <c r="BW951" i="15"/>
  <c r="BW952" i="15"/>
  <c r="BW953" i="15"/>
  <c r="BW954" i="15"/>
  <c r="BW955" i="15"/>
  <c r="BW956" i="15"/>
  <c r="BW957" i="15"/>
  <c r="BW958" i="15"/>
  <c r="BW959" i="15"/>
  <c r="BW960" i="15"/>
  <c r="BW961" i="15"/>
  <c r="BW962" i="15"/>
  <c r="BW963" i="15"/>
  <c r="BW964" i="15"/>
  <c r="BW965" i="15"/>
  <c r="BW966" i="15"/>
  <c r="BW967" i="15"/>
  <c r="BW968" i="15"/>
  <c r="BW969" i="15"/>
  <c r="BW970" i="15"/>
  <c r="BW971" i="15"/>
  <c r="BW972" i="15"/>
  <c r="BW973" i="15"/>
  <c r="BW974" i="15"/>
  <c r="BW975" i="15"/>
  <c r="BW976" i="15"/>
  <c r="BW977" i="15"/>
  <c r="BW978" i="15"/>
  <c r="BW979" i="15"/>
  <c r="BW980" i="15"/>
  <c r="BW981" i="15"/>
  <c r="BW982" i="15"/>
  <c r="BW983" i="15"/>
  <c r="BW984" i="15"/>
  <c r="BW985" i="15"/>
  <c r="BW986" i="15"/>
  <c r="BW987" i="15"/>
  <c r="BW988" i="15"/>
  <c r="BW989" i="15"/>
  <c r="BW990" i="15"/>
  <c r="BW991" i="15"/>
  <c r="BW992" i="15"/>
  <c r="BW993" i="15"/>
  <c r="BW994" i="15"/>
  <c r="BW995" i="15"/>
  <c r="BW996" i="15"/>
  <c r="BW997" i="15"/>
  <c r="BW998" i="15"/>
  <c r="BW999" i="15"/>
  <c r="BW1000" i="15"/>
  <c r="BW1001" i="15"/>
  <c r="BW1002" i="15"/>
  <c r="BW1003" i="15"/>
  <c r="BW1004" i="15"/>
  <c r="BW1005" i="15"/>
  <c r="BW1006" i="15"/>
  <c r="BW1007" i="15"/>
  <c r="BW1008" i="15"/>
  <c r="BW1009" i="15"/>
  <c r="BW1010" i="15"/>
  <c r="BW1011" i="15"/>
  <c r="BW1012" i="15"/>
  <c r="BW1013" i="15"/>
  <c r="BW1014" i="15"/>
  <c r="BW1015" i="15"/>
  <c r="BW1016" i="15"/>
  <c r="BW1017" i="15"/>
  <c r="BW1018" i="15"/>
  <c r="BW1019" i="15"/>
  <c r="BW1020" i="15"/>
  <c r="BW1021" i="15"/>
  <c r="BW1022" i="15"/>
  <c r="BW1023" i="15"/>
  <c r="BW1024" i="15"/>
  <c r="BW1025" i="15"/>
  <c r="BW1026" i="15"/>
  <c r="BW1027" i="15"/>
  <c r="BY27" i="15"/>
  <c r="AW888" i="15" l="1"/>
  <c r="AV888" i="15"/>
  <c r="AX888" i="15" s="1"/>
  <c r="BM396" i="15"/>
  <c r="BL396" i="15"/>
  <c r="BN396" i="15" s="1"/>
  <c r="AS1011" i="15"/>
  <c r="AR1011" i="15"/>
  <c r="AT1011" i="15" s="1"/>
  <c r="BQ273" i="15"/>
  <c r="BP273" i="15"/>
  <c r="BR273" i="15" s="1"/>
  <c r="BA765" i="15"/>
  <c r="AZ765" i="15"/>
  <c r="BB765" i="15" s="1"/>
  <c r="BI519" i="15"/>
  <c r="BH519" i="15"/>
  <c r="BJ519" i="15" s="1"/>
  <c r="BE642" i="15"/>
  <c r="BD642" i="15"/>
  <c r="BF642" i="15" s="1"/>
  <c r="BU150" i="15"/>
  <c r="BT150" i="15"/>
  <c r="BV150" i="15" s="1"/>
  <c r="BX28" i="15"/>
  <c r="BX27" i="15"/>
  <c r="BZ27" i="15" s="1"/>
  <c r="BU151" i="15" l="1"/>
  <c r="BT151" i="15"/>
  <c r="BV151" i="15" s="1"/>
  <c r="BE643" i="15"/>
  <c r="BD643" i="15"/>
  <c r="BF643" i="15" s="1"/>
  <c r="BI520" i="15"/>
  <c r="BH520" i="15"/>
  <c r="BJ520" i="15" s="1"/>
  <c r="BA766" i="15"/>
  <c r="AZ766" i="15"/>
  <c r="BB766" i="15" s="1"/>
  <c r="BQ274" i="15"/>
  <c r="BP274" i="15"/>
  <c r="BR274" i="15" s="1"/>
  <c r="AS1012" i="15"/>
  <c r="AR1012" i="15"/>
  <c r="AT1012" i="15" s="1"/>
  <c r="BM397" i="15"/>
  <c r="BL397" i="15"/>
  <c r="BN397" i="15" s="1"/>
  <c r="AW889" i="15"/>
  <c r="AV889" i="15"/>
  <c r="AX889" i="15" s="1"/>
  <c r="BZ28" i="15"/>
  <c r="BY28" i="15"/>
  <c r="AW890" i="15" l="1"/>
  <c r="AV890" i="15"/>
  <c r="AX890" i="15" s="1"/>
  <c r="BM398" i="15"/>
  <c r="BL398" i="15"/>
  <c r="BN398" i="15" s="1"/>
  <c r="AS1013" i="15"/>
  <c r="AR1013" i="15"/>
  <c r="AT1013" i="15" s="1"/>
  <c r="BQ275" i="15"/>
  <c r="BP275" i="15"/>
  <c r="BR275" i="15" s="1"/>
  <c r="BA767" i="15"/>
  <c r="AZ767" i="15"/>
  <c r="BB767" i="15" s="1"/>
  <c r="BI521" i="15"/>
  <c r="BH521" i="15"/>
  <c r="BJ521" i="15" s="1"/>
  <c r="BE644" i="15"/>
  <c r="BD644" i="15"/>
  <c r="BF644" i="15" s="1"/>
  <c r="BU152" i="15"/>
  <c r="BT152" i="15"/>
  <c r="BV152" i="15" s="1"/>
  <c r="BY29" i="15"/>
  <c r="BX29" i="15"/>
  <c r="BZ29" i="15" s="1"/>
  <c r="BY30" i="15" l="1"/>
  <c r="BX30" i="15"/>
  <c r="BZ30" i="15" s="1"/>
  <c r="BU153" i="15"/>
  <c r="BT153" i="15"/>
  <c r="BV153" i="15" s="1"/>
  <c r="BE645" i="15"/>
  <c r="BD645" i="15"/>
  <c r="BF645" i="15" s="1"/>
  <c r="BI522" i="15"/>
  <c r="BH522" i="15"/>
  <c r="BJ522" i="15" s="1"/>
  <c r="BA768" i="15"/>
  <c r="AZ768" i="15"/>
  <c r="BB768" i="15" s="1"/>
  <c r="BQ276" i="15"/>
  <c r="BP276" i="15"/>
  <c r="BR276" i="15" s="1"/>
  <c r="AS1014" i="15"/>
  <c r="AR1014" i="15"/>
  <c r="AT1014" i="15" s="1"/>
  <c r="BM399" i="15"/>
  <c r="BL399" i="15"/>
  <c r="BN399" i="15" s="1"/>
  <c r="AW891" i="15"/>
  <c r="AV891" i="15"/>
  <c r="AX891" i="15" s="1"/>
  <c r="AW892" i="15" l="1"/>
  <c r="AV892" i="15"/>
  <c r="AX892" i="15" s="1"/>
  <c r="BM400" i="15"/>
  <c r="BL400" i="15"/>
  <c r="BN400" i="15" s="1"/>
  <c r="AS1015" i="15"/>
  <c r="AR1015" i="15"/>
  <c r="AT1015" i="15" s="1"/>
  <c r="BQ277" i="15"/>
  <c r="BP277" i="15"/>
  <c r="BR277" i="15" s="1"/>
  <c r="BA769" i="15"/>
  <c r="AZ769" i="15"/>
  <c r="BB769" i="15" s="1"/>
  <c r="BI523" i="15"/>
  <c r="BH523" i="15"/>
  <c r="BJ523" i="15" s="1"/>
  <c r="BE646" i="15"/>
  <c r="BD646" i="15"/>
  <c r="BF646" i="15" s="1"/>
  <c r="BU154" i="15"/>
  <c r="BT154" i="15"/>
  <c r="BV154" i="15" s="1"/>
  <c r="BY31" i="15"/>
  <c r="BX31" i="15"/>
  <c r="BZ31" i="15" s="1"/>
  <c r="BY32" i="15" l="1"/>
  <c r="BX32" i="15"/>
  <c r="BZ32" i="15" s="1"/>
  <c r="BU155" i="15"/>
  <c r="BT155" i="15"/>
  <c r="BV155" i="15" s="1"/>
  <c r="BE647" i="15"/>
  <c r="BD647" i="15"/>
  <c r="BF647" i="15" s="1"/>
  <c r="BI524" i="15"/>
  <c r="BH524" i="15"/>
  <c r="BJ524" i="15" s="1"/>
  <c r="BA770" i="15"/>
  <c r="AZ770" i="15"/>
  <c r="BB770" i="15" s="1"/>
  <c r="BQ278" i="15"/>
  <c r="BP278" i="15"/>
  <c r="BR278" i="15" s="1"/>
  <c r="AS1016" i="15"/>
  <c r="AR1016" i="15"/>
  <c r="AT1016" i="15" s="1"/>
  <c r="BM401" i="15"/>
  <c r="BL401" i="15"/>
  <c r="BN401" i="15" s="1"/>
  <c r="AW893" i="15"/>
  <c r="AV893" i="15"/>
  <c r="AX893" i="15" s="1"/>
  <c r="AW894" i="15" l="1"/>
  <c r="AV894" i="15"/>
  <c r="AX894" i="15" s="1"/>
  <c r="BM402" i="15"/>
  <c r="BL402" i="15"/>
  <c r="BN402" i="15" s="1"/>
  <c r="AS1017" i="15"/>
  <c r="AR1017" i="15"/>
  <c r="AT1017" i="15" s="1"/>
  <c r="BQ279" i="15"/>
  <c r="BP279" i="15"/>
  <c r="BR279" i="15" s="1"/>
  <c r="BA771" i="15"/>
  <c r="AZ771" i="15"/>
  <c r="BB771" i="15" s="1"/>
  <c r="BI525" i="15"/>
  <c r="BH525" i="15"/>
  <c r="BJ525" i="15" s="1"/>
  <c r="BE648" i="15"/>
  <c r="BD648" i="15"/>
  <c r="BF648" i="15" s="1"/>
  <c r="BU156" i="15"/>
  <c r="BT156" i="15"/>
  <c r="BV156" i="15" s="1"/>
  <c r="BY33" i="15"/>
  <c r="BX33" i="15"/>
  <c r="BZ33" i="15" s="1"/>
  <c r="BY34" i="15" l="1"/>
  <c r="BX34" i="15"/>
  <c r="BZ34" i="15" s="1"/>
  <c r="BU157" i="15"/>
  <c r="BT157" i="15"/>
  <c r="BV157" i="15" s="1"/>
  <c r="BE649" i="15"/>
  <c r="BD649" i="15"/>
  <c r="BF649" i="15" s="1"/>
  <c r="BI526" i="15"/>
  <c r="BH526" i="15"/>
  <c r="BJ526" i="15" s="1"/>
  <c r="BA772" i="15"/>
  <c r="AZ772" i="15"/>
  <c r="BB772" i="15" s="1"/>
  <c r="BQ280" i="15"/>
  <c r="BP280" i="15"/>
  <c r="BR280" i="15" s="1"/>
  <c r="AS1018" i="15"/>
  <c r="AR1018" i="15"/>
  <c r="AT1018" i="15" s="1"/>
  <c r="BM403" i="15"/>
  <c r="BL403" i="15"/>
  <c r="BN403" i="15" s="1"/>
  <c r="AW895" i="15"/>
  <c r="AV895" i="15"/>
  <c r="AX895" i="15" s="1"/>
  <c r="AW896" i="15" l="1"/>
  <c r="AV896" i="15"/>
  <c r="AX896" i="15" s="1"/>
  <c r="BM404" i="15"/>
  <c r="BL404" i="15"/>
  <c r="BN404" i="15" s="1"/>
  <c r="AS1019" i="15"/>
  <c r="AR1019" i="15"/>
  <c r="AT1019" i="15" s="1"/>
  <c r="BQ281" i="15"/>
  <c r="BP281" i="15"/>
  <c r="BR281" i="15" s="1"/>
  <c r="BA773" i="15"/>
  <c r="AZ773" i="15"/>
  <c r="BB773" i="15" s="1"/>
  <c r="BI527" i="15"/>
  <c r="BH527" i="15"/>
  <c r="BJ527" i="15" s="1"/>
  <c r="BE650" i="15"/>
  <c r="BD650" i="15"/>
  <c r="BF650" i="15" s="1"/>
  <c r="BU158" i="15"/>
  <c r="BT158" i="15"/>
  <c r="BV158" i="15" s="1"/>
  <c r="BY35" i="15"/>
  <c r="BX35" i="15"/>
  <c r="BZ35" i="15" s="1"/>
  <c r="BY36" i="15" l="1"/>
  <c r="BX36" i="15"/>
  <c r="BZ36" i="15" s="1"/>
  <c r="BU159" i="15"/>
  <c r="BT159" i="15"/>
  <c r="BV159" i="15" s="1"/>
  <c r="BE651" i="15"/>
  <c r="BD651" i="15"/>
  <c r="BF651" i="15" s="1"/>
  <c r="BI528" i="15"/>
  <c r="BH528" i="15"/>
  <c r="BJ528" i="15" s="1"/>
  <c r="BA774" i="15"/>
  <c r="AZ774" i="15"/>
  <c r="BB774" i="15" s="1"/>
  <c r="BQ282" i="15"/>
  <c r="BP282" i="15"/>
  <c r="BR282" i="15" s="1"/>
  <c r="AS1020" i="15"/>
  <c r="AR1020" i="15"/>
  <c r="AT1020" i="15" s="1"/>
  <c r="BM405" i="15"/>
  <c r="BL405" i="15"/>
  <c r="BN405" i="15" s="1"/>
  <c r="AW897" i="15"/>
  <c r="AV897" i="15"/>
  <c r="AX897" i="15" s="1"/>
  <c r="AW898" i="15" l="1"/>
  <c r="AV898" i="15"/>
  <c r="AX898" i="15" s="1"/>
  <c r="BM406" i="15"/>
  <c r="BL406" i="15"/>
  <c r="BN406" i="15" s="1"/>
  <c r="AS1021" i="15"/>
  <c r="AR1021" i="15"/>
  <c r="AT1021" i="15" s="1"/>
  <c r="BQ283" i="15"/>
  <c r="BP283" i="15"/>
  <c r="BR283" i="15" s="1"/>
  <c r="BA775" i="15"/>
  <c r="AZ775" i="15"/>
  <c r="BB775" i="15" s="1"/>
  <c r="BI529" i="15"/>
  <c r="BH529" i="15"/>
  <c r="BJ529" i="15" s="1"/>
  <c r="BE652" i="15"/>
  <c r="BD652" i="15"/>
  <c r="BF652" i="15" s="1"/>
  <c r="BU160" i="15"/>
  <c r="BT160" i="15"/>
  <c r="BV160" i="15" s="1"/>
  <c r="BY37" i="15"/>
  <c r="BX37" i="15"/>
  <c r="BZ37" i="15" s="1"/>
  <c r="BY38" i="15" l="1"/>
  <c r="BX38" i="15"/>
  <c r="BZ38" i="15" s="1"/>
  <c r="BU161" i="15"/>
  <c r="BT161" i="15"/>
  <c r="BV161" i="15" s="1"/>
  <c r="BE653" i="15"/>
  <c r="BD653" i="15"/>
  <c r="BF653" i="15" s="1"/>
  <c r="BI530" i="15"/>
  <c r="BH530" i="15"/>
  <c r="BJ530" i="15" s="1"/>
  <c r="BA776" i="15"/>
  <c r="AZ776" i="15"/>
  <c r="BB776" i="15" s="1"/>
  <c r="BQ284" i="15"/>
  <c r="BP284" i="15"/>
  <c r="BR284" i="15" s="1"/>
  <c r="AS1022" i="15"/>
  <c r="AR1022" i="15"/>
  <c r="AT1022" i="15" s="1"/>
  <c r="BM407" i="15"/>
  <c r="BL407" i="15"/>
  <c r="BN407" i="15" s="1"/>
  <c r="AW899" i="15"/>
  <c r="AV899" i="15"/>
  <c r="AX899" i="15" s="1"/>
  <c r="AW900" i="15" l="1"/>
  <c r="AV900" i="15"/>
  <c r="AX900" i="15" s="1"/>
  <c r="BM408" i="15"/>
  <c r="BL408" i="15"/>
  <c r="BN408" i="15" s="1"/>
  <c r="AS1023" i="15"/>
  <c r="AR1023" i="15"/>
  <c r="AT1023" i="15" s="1"/>
  <c r="BQ285" i="15"/>
  <c r="BP285" i="15"/>
  <c r="BR285" i="15" s="1"/>
  <c r="BA777" i="15"/>
  <c r="AZ777" i="15"/>
  <c r="BB777" i="15" s="1"/>
  <c r="BI531" i="15"/>
  <c r="BH531" i="15"/>
  <c r="BJ531" i="15" s="1"/>
  <c r="BE654" i="15"/>
  <c r="BD654" i="15"/>
  <c r="BF654" i="15" s="1"/>
  <c r="BU162" i="15"/>
  <c r="BT162" i="15"/>
  <c r="BV162" i="15" s="1"/>
  <c r="BY39" i="15"/>
  <c r="BX39" i="15"/>
  <c r="BZ39" i="15" s="1"/>
  <c r="BY40" i="15" l="1"/>
  <c r="BX40" i="15"/>
  <c r="BZ40" i="15" s="1"/>
  <c r="BU163" i="15"/>
  <c r="BT163" i="15"/>
  <c r="BV163" i="15" s="1"/>
  <c r="BE655" i="15"/>
  <c r="BD655" i="15"/>
  <c r="BF655" i="15" s="1"/>
  <c r="BI532" i="15"/>
  <c r="BH532" i="15"/>
  <c r="BJ532" i="15" s="1"/>
  <c r="BA778" i="15"/>
  <c r="AZ778" i="15"/>
  <c r="BB778" i="15" s="1"/>
  <c r="BQ286" i="15"/>
  <c r="BP286" i="15"/>
  <c r="BR286" i="15" s="1"/>
  <c r="AS1024" i="15"/>
  <c r="AR1024" i="15"/>
  <c r="AT1024" i="15" s="1"/>
  <c r="BM409" i="15"/>
  <c r="BL409" i="15"/>
  <c r="BN409" i="15" s="1"/>
  <c r="AW901" i="15"/>
  <c r="AV901" i="15"/>
  <c r="AX901" i="15" s="1"/>
  <c r="AW902" i="15" l="1"/>
  <c r="AV902" i="15"/>
  <c r="AX902" i="15" s="1"/>
  <c r="BM410" i="15"/>
  <c r="BL410" i="15"/>
  <c r="BN410" i="15" s="1"/>
  <c r="AS1025" i="15"/>
  <c r="AR1025" i="15"/>
  <c r="AT1025" i="15" s="1"/>
  <c r="BQ287" i="15"/>
  <c r="BP287" i="15"/>
  <c r="BR287" i="15" s="1"/>
  <c r="BA779" i="15"/>
  <c r="AZ779" i="15"/>
  <c r="BB779" i="15" s="1"/>
  <c r="BI533" i="15"/>
  <c r="BH533" i="15"/>
  <c r="BJ533" i="15" s="1"/>
  <c r="BE656" i="15"/>
  <c r="BD656" i="15"/>
  <c r="BF656" i="15" s="1"/>
  <c r="BU164" i="15"/>
  <c r="BT164" i="15"/>
  <c r="BV164" i="15" s="1"/>
  <c r="BY41" i="15"/>
  <c r="BX41" i="15"/>
  <c r="BZ41" i="15" s="1"/>
  <c r="BY42" i="15" l="1"/>
  <c r="BX42" i="15"/>
  <c r="BZ42" i="15" s="1"/>
  <c r="BU165" i="15"/>
  <c r="BT165" i="15"/>
  <c r="BV165" i="15" s="1"/>
  <c r="BE657" i="15"/>
  <c r="BD657" i="15"/>
  <c r="BF657" i="15" s="1"/>
  <c r="BI534" i="15"/>
  <c r="BH534" i="15"/>
  <c r="BJ534" i="15" s="1"/>
  <c r="BA780" i="15"/>
  <c r="AZ780" i="15"/>
  <c r="BB780" i="15" s="1"/>
  <c r="BQ288" i="15"/>
  <c r="BP288" i="15"/>
  <c r="BR288" i="15" s="1"/>
  <c r="AS1026" i="15"/>
  <c r="AR1026" i="15"/>
  <c r="AT1026" i="15" s="1"/>
  <c r="BM411" i="15"/>
  <c r="BL411" i="15"/>
  <c r="BN411" i="15" s="1"/>
  <c r="AW903" i="15"/>
  <c r="AV903" i="15"/>
  <c r="AX903" i="15" s="1"/>
  <c r="AW904" i="15" l="1"/>
  <c r="AV904" i="15"/>
  <c r="AX904" i="15" s="1"/>
  <c r="BM412" i="15"/>
  <c r="BL412" i="15"/>
  <c r="BN412" i="15" s="1"/>
  <c r="AS1027" i="15"/>
  <c r="AR1027" i="15"/>
  <c r="AT1027" i="15" s="1"/>
  <c r="BQ289" i="15"/>
  <c r="BP289" i="15"/>
  <c r="BR289" i="15" s="1"/>
  <c r="BA781" i="15"/>
  <c r="AZ781" i="15"/>
  <c r="BB781" i="15" s="1"/>
  <c r="BI535" i="15"/>
  <c r="BH535" i="15"/>
  <c r="BJ535" i="15" s="1"/>
  <c r="BE658" i="15"/>
  <c r="BD658" i="15"/>
  <c r="BF658" i="15" s="1"/>
  <c r="BU166" i="15"/>
  <c r="BT166" i="15"/>
  <c r="BV166" i="15" s="1"/>
  <c r="BY43" i="15"/>
  <c r="BX43" i="15"/>
  <c r="BZ43" i="15" s="1"/>
  <c r="BY44" i="15" l="1"/>
  <c r="BX44" i="15"/>
  <c r="BZ44" i="15" s="1"/>
  <c r="BU167" i="15"/>
  <c r="BT167" i="15"/>
  <c r="BV167" i="15" s="1"/>
  <c r="BE659" i="15"/>
  <c r="BD659" i="15"/>
  <c r="BF659" i="15" s="1"/>
  <c r="BI536" i="15"/>
  <c r="BH536" i="15"/>
  <c r="BJ536" i="15" s="1"/>
  <c r="BA782" i="15"/>
  <c r="AZ782" i="15"/>
  <c r="BB782" i="15" s="1"/>
  <c r="BQ290" i="15"/>
  <c r="BP290" i="15"/>
  <c r="BR290" i="15" s="1"/>
  <c r="BM413" i="15"/>
  <c r="BL413" i="15"/>
  <c r="BN413" i="15" s="1"/>
  <c r="AW905" i="15"/>
  <c r="AV905" i="15"/>
  <c r="AX905" i="15" s="1"/>
  <c r="AW906" i="15" l="1"/>
  <c r="AV906" i="15"/>
  <c r="AX906" i="15" s="1"/>
  <c r="BM414" i="15"/>
  <c r="BL414" i="15"/>
  <c r="BN414" i="15" s="1"/>
  <c r="BQ291" i="15"/>
  <c r="BP291" i="15"/>
  <c r="BR291" i="15" s="1"/>
  <c r="BA783" i="15"/>
  <c r="AZ783" i="15"/>
  <c r="BB783" i="15" s="1"/>
  <c r="BI537" i="15"/>
  <c r="BH537" i="15"/>
  <c r="BJ537" i="15" s="1"/>
  <c r="BE660" i="15"/>
  <c r="BD660" i="15"/>
  <c r="BF660" i="15" s="1"/>
  <c r="BU168" i="15"/>
  <c r="BT168" i="15"/>
  <c r="BV168" i="15" s="1"/>
  <c r="BY45" i="15"/>
  <c r="BX45" i="15"/>
  <c r="BZ45" i="15" s="1"/>
  <c r="BY46" i="15" l="1"/>
  <c r="BX46" i="15"/>
  <c r="BZ46" i="15" s="1"/>
  <c r="BU169" i="15"/>
  <c r="BT169" i="15"/>
  <c r="BV169" i="15" s="1"/>
  <c r="BE661" i="15"/>
  <c r="BD661" i="15"/>
  <c r="BF661" i="15" s="1"/>
  <c r="BI538" i="15"/>
  <c r="BH538" i="15"/>
  <c r="BJ538" i="15" s="1"/>
  <c r="BA784" i="15"/>
  <c r="AZ784" i="15"/>
  <c r="BB784" i="15" s="1"/>
  <c r="BQ292" i="15"/>
  <c r="BP292" i="15"/>
  <c r="BR292" i="15" s="1"/>
  <c r="BM415" i="15"/>
  <c r="BL415" i="15"/>
  <c r="BN415" i="15" s="1"/>
  <c r="AW907" i="15"/>
  <c r="AV907" i="15"/>
  <c r="AX907" i="15" s="1"/>
  <c r="AW908" i="15" l="1"/>
  <c r="AV908" i="15"/>
  <c r="AX908" i="15" s="1"/>
  <c r="BM416" i="15"/>
  <c r="BL416" i="15"/>
  <c r="BN416" i="15" s="1"/>
  <c r="BQ293" i="15"/>
  <c r="BP293" i="15"/>
  <c r="BR293" i="15" s="1"/>
  <c r="BA785" i="15"/>
  <c r="AZ785" i="15"/>
  <c r="BB785" i="15" s="1"/>
  <c r="BI539" i="15"/>
  <c r="BH539" i="15"/>
  <c r="BJ539" i="15" s="1"/>
  <c r="BE662" i="15"/>
  <c r="BD662" i="15"/>
  <c r="BF662" i="15" s="1"/>
  <c r="BU170" i="15"/>
  <c r="BT170" i="15"/>
  <c r="BV170" i="15" s="1"/>
  <c r="BY47" i="15"/>
  <c r="BX47" i="15"/>
  <c r="BZ47" i="15" s="1"/>
  <c r="BY48" i="15" l="1"/>
  <c r="BX48" i="15"/>
  <c r="BZ48" i="15" s="1"/>
  <c r="BU171" i="15"/>
  <c r="BT171" i="15"/>
  <c r="BV171" i="15" s="1"/>
  <c r="BE663" i="15"/>
  <c r="BD663" i="15"/>
  <c r="BF663" i="15" s="1"/>
  <c r="BI540" i="15"/>
  <c r="BH540" i="15"/>
  <c r="BJ540" i="15" s="1"/>
  <c r="BA786" i="15"/>
  <c r="AZ786" i="15"/>
  <c r="BB786" i="15" s="1"/>
  <c r="BQ294" i="15"/>
  <c r="BP294" i="15"/>
  <c r="BR294" i="15" s="1"/>
  <c r="BM417" i="15"/>
  <c r="BL417" i="15"/>
  <c r="BN417" i="15" s="1"/>
  <c r="AW909" i="15"/>
  <c r="AV909" i="15"/>
  <c r="AX909" i="15" s="1"/>
  <c r="AW910" i="15" l="1"/>
  <c r="AV910" i="15"/>
  <c r="AX910" i="15" s="1"/>
  <c r="BM418" i="15"/>
  <c r="BL418" i="15"/>
  <c r="BN418" i="15" s="1"/>
  <c r="BQ295" i="15"/>
  <c r="BP295" i="15"/>
  <c r="BR295" i="15" s="1"/>
  <c r="BA787" i="15"/>
  <c r="AZ787" i="15"/>
  <c r="BB787" i="15" s="1"/>
  <c r="BI541" i="15"/>
  <c r="BH541" i="15"/>
  <c r="BJ541" i="15" s="1"/>
  <c r="BE664" i="15"/>
  <c r="BD664" i="15"/>
  <c r="BF664" i="15" s="1"/>
  <c r="BU172" i="15"/>
  <c r="BT172" i="15"/>
  <c r="BV172" i="15" s="1"/>
  <c r="BY49" i="15"/>
  <c r="BX49" i="15"/>
  <c r="BZ49" i="15" s="1"/>
  <c r="BY50" i="15" l="1"/>
  <c r="BX50" i="15"/>
  <c r="BZ50" i="15" s="1"/>
  <c r="BU173" i="15"/>
  <c r="BT173" i="15"/>
  <c r="BV173" i="15" s="1"/>
  <c r="BE665" i="15"/>
  <c r="BD665" i="15"/>
  <c r="BF665" i="15" s="1"/>
  <c r="BI542" i="15"/>
  <c r="BH542" i="15"/>
  <c r="BJ542" i="15" s="1"/>
  <c r="BA788" i="15"/>
  <c r="AZ788" i="15"/>
  <c r="BB788" i="15" s="1"/>
  <c r="BQ296" i="15"/>
  <c r="BP296" i="15"/>
  <c r="BR296" i="15" s="1"/>
  <c r="BM419" i="15"/>
  <c r="BL419" i="15"/>
  <c r="BN419" i="15" s="1"/>
  <c r="AW911" i="15"/>
  <c r="AV911" i="15"/>
  <c r="AX911" i="15" s="1"/>
  <c r="AW912" i="15" l="1"/>
  <c r="AV912" i="15"/>
  <c r="AX912" i="15" s="1"/>
  <c r="BM420" i="15"/>
  <c r="BL420" i="15"/>
  <c r="BN420" i="15" s="1"/>
  <c r="BQ297" i="15"/>
  <c r="BP297" i="15"/>
  <c r="BR297" i="15" s="1"/>
  <c r="BA789" i="15"/>
  <c r="AZ789" i="15"/>
  <c r="BB789" i="15" s="1"/>
  <c r="BI543" i="15"/>
  <c r="BH543" i="15"/>
  <c r="BJ543" i="15" s="1"/>
  <c r="BE666" i="15"/>
  <c r="BD666" i="15"/>
  <c r="BF666" i="15" s="1"/>
  <c r="BU174" i="15"/>
  <c r="BT174" i="15"/>
  <c r="BV174" i="15" s="1"/>
  <c r="BY51" i="15"/>
  <c r="BX51" i="15"/>
  <c r="BZ51" i="15" s="1"/>
  <c r="BY52" i="15" l="1"/>
  <c r="BX52" i="15"/>
  <c r="BZ52" i="15" s="1"/>
  <c r="BU175" i="15"/>
  <c r="BT175" i="15"/>
  <c r="BV175" i="15" s="1"/>
  <c r="BE667" i="15"/>
  <c r="BD667" i="15"/>
  <c r="BF667" i="15" s="1"/>
  <c r="BI544" i="15"/>
  <c r="BH544" i="15"/>
  <c r="BJ544" i="15" s="1"/>
  <c r="BA790" i="15"/>
  <c r="AZ790" i="15"/>
  <c r="BB790" i="15" s="1"/>
  <c r="BQ298" i="15"/>
  <c r="BP298" i="15"/>
  <c r="BR298" i="15" s="1"/>
  <c r="BM421" i="15"/>
  <c r="BL421" i="15"/>
  <c r="BN421" i="15" s="1"/>
  <c r="AW913" i="15"/>
  <c r="AV913" i="15"/>
  <c r="AX913" i="15" s="1"/>
  <c r="AW914" i="15" l="1"/>
  <c r="AV914" i="15"/>
  <c r="AX914" i="15" s="1"/>
  <c r="BM422" i="15"/>
  <c r="BL422" i="15"/>
  <c r="BN422" i="15" s="1"/>
  <c r="BQ299" i="15"/>
  <c r="BP299" i="15"/>
  <c r="BR299" i="15" s="1"/>
  <c r="BA791" i="15"/>
  <c r="AZ791" i="15"/>
  <c r="BB791" i="15" s="1"/>
  <c r="BI545" i="15"/>
  <c r="BH545" i="15"/>
  <c r="BJ545" i="15" s="1"/>
  <c r="BE668" i="15"/>
  <c r="BD668" i="15"/>
  <c r="BF668" i="15" s="1"/>
  <c r="BU176" i="15"/>
  <c r="BT176" i="15"/>
  <c r="BV176" i="15" s="1"/>
  <c r="BY53" i="15"/>
  <c r="BX53" i="15"/>
  <c r="BZ53" i="15" s="1"/>
  <c r="BY54" i="15" l="1"/>
  <c r="BX54" i="15"/>
  <c r="BZ54" i="15" s="1"/>
  <c r="BE669" i="15"/>
  <c r="BD669" i="15"/>
  <c r="BF669" i="15" s="1"/>
  <c r="BI546" i="15"/>
  <c r="BH546" i="15"/>
  <c r="BJ546" i="15" s="1"/>
  <c r="BA792" i="15"/>
  <c r="AZ792" i="15"/>
  <c r="BB792" i="15" s="1"/>
  <c r="BQ300" i="15"/>
  <c r="BP300" i="15"/>
  <c r="BR300" i="15" s="1"/>
  <c r="AW915" i="15"/>
  <c r="AV915" i="15"/>
  <c r="AX915" i="15" s="1"/>
  <c r="BU177" i="15"/>
  <c r="BT177" i="15"/>
  <c r="BV177" i="15" s="1"/>
  <c r="BM423" i="15"/>
  <c r="BL423" i="15"/>
  <c r="BN423" i="15" s="1"/>
  <c r="BM424" i="15" l="1"/>
  <c r="BL424" i="15"/>
  <c r="BN424" i="15" s="1"/>
  <c r="BU178" i="15"/>
  <c r="BT178" i="15"/>
  <c r="BV178" i="15" s="1"/>
  <c r="BQ301" i="15"/>
  <c r="BP301" i="15"/>
  <c r="BR301" i="15" s="1"/>
  <c r="BA793" i="15"/>
  <c r="AZ793" i="15"/>
  <c r="BB793" i="15" s="1"/>
  <c r="BE670" i="15"/>
  <c r="BD670" i="15"/>
  <c r="BF670" i="15" s="1"/>
  <c r="BY55" i="15"/>
  <c r="BX55" i="15"/>
  <c r="BZ55" i="15" s="1"/>
  <c r="AW916" i="15"/>
  <c r="AV916" i="15"/>
  <c r="AX916" i="15" s="1"/>
  <c r="BI547" i="15"/>
  <c r="BH547" i="15"/>
  <c r="BJ547" i="15" s="1"/>
  <c r="BI548" i="15" l="1"/>
  <c r="BH548" i="15"/>
  <c r="BJ548" i="15" s="1"/>
  <c r="BY56" i="15"/>
  <c r="BX56" i="15"/>
  <c r="BZ56" i="15" s="1"/>
  <c r="BA794" i="15"/>
  <c r="AZ794" i="15"/>
  <c r="BB794" i="15" s="1"/>
  <c r="BQ302" i="15"/>
  <c r="BP302" i="15"/>
  <c r="BR302" i="15" s="1"/>
  <c r="BM425" i="15"/>
  <c r="BL425" i="15"/>
  <c r="BN425" i="15" s="1"/>
  <c r="AW917" i="15"/>
  <c r="AV917" i="15"/>
  <c r="AX917" i="15" s="1"/>
  <c r="BE671" i="15"/>
  <c r="BD671" i="15"/>
  <c r="BF671" i="15" s="1"/>
  <c r="BU179" i="15"/>
  <c r="BT179" i="15"/>
  <c r="BV179" i="15" s="1"/>
  <c r="BU180" i="15" l="1"/>
  <c r="BT180" i="15"/>
  <c r="BV180" i="15" s="1"/>
  <c r="AW918" i="15"/>
  <c r="AV918" i="15"/>
  <c r="AX918" i="15" s="1"/>
  <c r="BQ303" i="15"/>
  <c r="BP303" i="15"/>
  <c r="BR303" i="15" s="1"/>
  <c r="BA795" i="15"/>
  <c r="AZ795" i="15"/>
  <c r="BB795" i="15" s="1"/>
  <c r="BI549" i="15"/>
  <c r="BH549" i="15"/>
  <c r="BJ549" i="15" s="1"/>
  <c r="BE672" i="15"/>
  <c r="BD672" i="15"/>
  <c r="BF672" i="15" s="1"/>
  <c r="BM426" i="15"/>
  <c r="BL426" i="15"/>
  <c r="BN426" i="15" s="1"/>
  <c r="BY57" i="15"/>
  <c r="BX57" i="15"/>
  <c r="BZ57" i="15" s="1"/>
  <c r="BY58" i="15" l="1"/>
  <c r="BX58" i="15"/>
  <c r="BZ58" i="15" s="1"/>
  <c r="BE673" i="15"/>
  <c r="BD673" i="15"/>
  <c r="BF673" i="15" s="1"/>
  <c r="BA796" i="15"/>
  <c r="AZ796" i="15"/>
  <c r="BB796" i="15" s="1"/>
  <c r="BQ304" i="15"/>
  <c r="BP304" i="15"/>
  <c r="BR304" i="15" s="1"/>
  <c r="BU181" i="15"/>
  <c r="BT181" i="15"/>
  <c r="BV181" i="15" s="1"/>
  <c r="BM427" i="15"/>
  <c r="BL427" i="15"/>
  <c r="BN427" i="15" s="1"/>
  <c r="BI550" i="15"/>
  <c r="BH550" i="15"/>
  <c r="BJ550" i="15" s="1"/>
  <c r="AW919" i="15"/>
  <c r="AV919" i="15"/>
  <c r="AX919" i="15" s="1"/>
  <c r="BI551" i="15" l="1"/>
  <c r="BH551" i="15"/>
  <c r="BJ551" i="15" s="1"/>
  <c r="BU182" i="15"/>
  <c r="BT182" i="15"/>
  <c r="BV182" i="15" s="1"/>
  <c r="BA797" i="15"/>
  <c r="AZ797" i="15"/>
  <c r="BB797" i="15" s="1"/>
  <c r="BY59" i="15"/>
  <c r="BX59" i="15"/>
  <c r="BZ59" i="15" s="1"/>
  <c r="AW920" i="15"/>
  <c r="AV920" i="15"/>
  <c r="AX920" i="15" s="1"/>
  <c r="BM428" i="15"/>
  <c r="BL428" i="15"/>
  <c r="BN428" i="15" s="1"/>
  <c r="BQ305" i="15"/>
  <c r="BP305" i="15"/>
  <c r="BR305" i="15" s="1"/>
  <c r="BE674" i="15"/>
  <c r="BD674" i="15"/>
  <c r="BF674" i="15" s="1"/>
  <c r="BE675" i="15" l="1"/>
  <c r="BD675" i="15"/>
  <c r="BF675" i="15" s="1"/>
  <c r="BM429" i="15"/>
  <c r="BL429" i="15"/>
  <c r="BN429" i="15" s="1"/>
  <c r="AW921" i="15"/>
  <c r="AV921" i="15"/>
  <c r="AX921" i="15" s="1"/>
  <c r="BA798" i="15"/>
  <c r="AZ798" i="15"/>
  <c r="BB798" i="15" s="1"/>
  <c r="BI552" i="15"/>
  <c r="BH552" i="15"/>
  <c r="BJ552" i="15" s="1"/>
  <c r="BQ306" i="15"/>
  <c r="BP306" i="15"/>
  <c r="BR306" i="15" s="1"/>
  <c r="BY60" i="15"/>
  <c r="BX60" i="15"/>
  <c r="BZ60" i="15" s="1"/>
  <c r="BU183" i="15"/>
  <c r="BT183" i="15"/>
  <c r="BV183" i="15" s="1"/>
  <c r="BU184" i="15" l="1"/>
  <c r="BT184" i="15"/>
  <c r="BV184" i="15" s="1"/>
  <c r="BQ307" i="15"/>
  <c r="BP307" i="15"/>
  <c r="BR307" i="15" s="1"/>
  <c r="BA799" i="15"/>
  <c r="AZ799" i="15"/>
  <c r="BB799" i="15" s="1"/>
  <c r="AW922" i="15"/>
  <c r="AV922" i="15"/>
  <c r="AX922" i="15" s="1"/>
  <c r="BE676" i="15"/>
  <c r="BD676" i="15"/>
  <c r="BF676" i="15" s="1"/>
  <c r="BY61" i="15"/>
  <c r="BX61" i="15"/>
  <c r="BZ61" i="15" s="1"/>
  <c r="BI553" i="15"/>
  <c r="BH553" i="15"/>
  <c r="BJ553" i="15" s="1"/>
  <c r="BM430" i="15"/>
  <c r="BL430" i="15"/>
  <c r="BN430" i="15" s="1"/>
  <c r="BM431" i="15" l="1"/>
  <c r="BL431" i="15"/>
  <c r="BN431" i="15" s="1"/>
  <c r="BY62" i="15"/>
  <c r="BX62" i="15"/>
  <c r="BZ62" i="15" s="1"/>
  <c r="AW923" i="15"/>
  <c r="AV923" i="15"/>
  <c r="AX923" i="15" s="1"/>
  <c r="BA800" i="15"/>
  <c r="AZ800" i="15"/>
  <c r="BB800" i="15" s="1"/>
  <c r="BU185" i="15"/>
  <c r="BT185" i="15"/>
  <c r="BV185" i="15" s="1"/>
  <c r="BI554" i="15"/>
  <c r="BH554" i="15"/>
  <c r="BJ554" i="15" s="1"/>
  <c r="BE677" i="15"/>
  <c r="BD677" i="15"/>
  <c r="BF677" i="15" s="1"/>
  <c r="BQ308" i="15"/>
  <c r="BP308" i="15"/>
  <c r="BR308" i="15" s="1"/>
  <c r="BQ309" i="15" l="1"/>
  <c r="BP309" i="15"/>
  <c r="BR309" i="15" s="1"/>
  <c r="BI555" i="15"/>
  <c r="BH555" i="15"/>
  <c r="BJ555" i="15" s="1"/>
  <c r="BA801" i="15"/>
  <c r="AZ801" i="15"/>
  <c r="BB801" i="15" s="1"/>
  <c r="AW924" i="15"/>
  <c r="AV924" i="15"/>
  <c r="AX924" i="15" s="1"/>
  <c r="BM432" i="15"/>
  <c r="BL432" i="15"/>
  <c r="BN432" i="15" s="1"/>
  <c r="BE678" i="15"/>
  <c r="BD678" i="15"/>
  <c r="BF678" i="15" s="1"/>
  <c r="BU186" i="15"/>
  <c r="BT186" i="15"/>
  <c r="BV186" i="15" s="1"/>
  <c r="BY63" i="15"/>
  <c r="BX63" i="15"/>
  <c r="BZ63" i="15" s="1"/>
  <c r="BY64" i="15" l="1"/>
  <c r="BX64" i="15"/>
  <c r="BZ64" i="15" s="1"/>
  <c r="BE679" i="15"/>
  <c r="BD679" i="15"/>
  <c r="BF679" i="15" s="1"/>
  <c r="BM433" i="15"/>
  <c r="BL433" i="15"/>
  <c r="BN433" i="15" s="1"/>
  <c r="BA802" i="15"/>
  <c r="AZ802" i="15"/>
  <c r="BB802" i="15" s="1"/>
  <c r="BQ310" i="15"/>
  <c r="BP310" i="15"/>
  <c r="BR310" i="15" s="1"/>
  <c r="BU187" i="15"/>
  <c r="BT187" i="15"/>
  <c r="BV187" i="15" s="1"/>
  <c r="AW925" i="15"/>
  <c r="AV925" i="15"/>
  <c r="AX925" i="15" s="1"/>
  <c r="BI556" i="15"/>
  <c r="BH556" i="15"/>
  <c r="BJ556" i="15" s="1"/>
  <c r="BI557" i="15" l="1"/>
  <c r="BH557" i="15"/>
  <c r="BJ557" i="15" s="1"/>
  <c r="BU188" i="15"/>
  <c r="BT188" i="15"/>
  <c r="BV188" i="15" s="1"/>
  <c r="BA803" i="15"/>
  <c r="AZ803" i="15"/>
  <c r="BB803" i="15" s="1"/>
  <c r="BM434" i="15"/>
  <c r="BL434" i="15"/>
  <c r="BN434" i="15" s="1"/>
  <c r="BY65" i="15"/>
  <c r="BX65" i="15"/>
  <c r="BZ65" i="15" s="1"/>
  <c r="AW926" i="15"/>
  <c r="AV926" i="15"/>
  <c r="AX926" i="15" s="1"/>
  <c r="BQ311" i="15"/>
  <c r="BP311" i="15"/>
  <c r="BR311" i="15" s="1"/>
  <c r="BE680" i="15"/>
  <c r="BD680" i="15"/>
  <c r="BF680" i="15" s="1"/>
  <c r="BE681" i="15" l="1"/>
  <c r="BD681" i="15"/>
  <c r="BF681" i="15" s="1"/>
  <c r="AW927" i="15"/>
  <c r="AV927" i="15"/>
  <c r="AX927" i="15" s="1"/>
  <c r="BM435" i="15"/>
  <c r="BL435" i="15"/>
  <c r="BN435" i="15" s="1"/>
  <c r="BA804" i="15"/>
  <c r="AZ804" i="15"/>
  <c r="BB804" i="15" s="1"/>
  <c r="BI558" i="15"/>
  <c r="BH558" i="15"/>
  <c r="BJ558" i="15" s="1"/>
  <c r="BQ312" i="15"/>
  <c r="BP312" i="15"/>
  <c r="BR312" i="15" s="1"/>
  <c r="BY66" i="15"/>
  <c r="BX66" i="15"/>
  <c r="BZ66" i="15" s="1"/>
  <c r="BU189" i="15"/>
  <c r="BT189" i="15"/>
  <c r="BV189" i="15" s="1"/>
  <c r="BU190" i="15" l="1"/>
  <c r="BT190" i="15"/>
  <c r="BV190" i="15" s="1"/>
  <c r="BQ313" i="15"/>
  <c r="BP313" i="15"/>
  <c r="BR313" i="15" s="1"/>
  <c r="BA805" i="15"/>
  <c r="AZ805" i="15"/>
  <c r="BB805" i="15" s="1"/>
  <c r="BM436" i="15"/>
  <c r="BL436" i="15"/>
  <c r="BN436" i="15" s="1"/>
  <c r="BE682" i="15"/>
  <c r="BD682" i="15"/>
  <c r="BF682" i="15" s="1"/>
  <c r="BY67" i="15"/>
  <c r="BX67" i="15"/>
  <c r="BZ67" i="15" s="1"/>
  <c r="BI559" i="15"/>
  <c r="BH559" i="15"/>
  <c r="BJ559" i="15" s="1"/>
  <c r="AW928" i="15"/>
  <c r="AV928" i="15"/>
  <c r="AX928" i="15" s="1"/>
  <c r="AW929" i="15" l="1"/>
  <c r="AV929" i="15"/>
  <c r="AX929" i="15" s="1"/>
  <c r="BY68" i="15"/>
  <c r="BX68" i="15"/>
  <c r="BZ68" i="15" s="1"/>
  <c r="BM437" i="15"/>
  <c r="BL437" i="15"/>
  <c r="BN437" i="15" s="1"/>
  <c r="BA806" i="15"/>
  <c r="AZ806" i="15"/>
  <c r="BB806" i="15" s="1"/>
  <c r="BU191" i="15"/>
  <c r="BT191" i="15"/>
  <c r="BV191" i="15" s="1"/>
  <c r="BI560" i="15"/>
  <c r="BH560" i="15"/>
  <c r="BJ560" i="15" s="1"/>
  <c r="BE683" i="15"/>
  <c r="BD683" i="15"/>
  <c r="BF683" i="15" s="1"/>
  <c r="BQ314" i="15"/>
  <c r="BP314" i="15"/>
  <c r="BR314" i="15" s="1"/>
  <c r="BE684" i="15" l="1"/>
  <c r="BD684" i="15"/>
  <c r="BF684" i="15" s="1"/>
  <c r="BI561" i="15"/>
  <c r="BH561" i="15"/>
  <c r="BJ561" i="15" s="1"/>
  <c r="BA807" i="15"/>
  <c r="AZ807" i="15"/>
  <c r="BB807" i="15" s="1"/>
  <c r="BM438" i="15"/>
  <c r="BL438" i="15"/>
  <c r="BN438" i="15" s="1"/>
  <c r="AW930" i="15"/>
  <c r="AV930" i="15"/>
  <c r="AX930" i="15" s="1"/>
  <c r="BQ315" i="15"/>
  <c r="BP315" i="15"/>
  <c r="BR315" i="15" s="1"/>
  <c r="BU192" i="15"/>
  <c r="BT192" i="15"/>
  <c r="BV192" i="15" s="1"/>
  <c r="BY69" i="15"/>
  <c r="BX69" i="15"/>
  <c r="BZ69" i="15" s="1"/>
  <c r="BY70" i="15" l="1"/>
  <c r="BX70" i="15"/>
  <c r="BZ70" i="15" s="1"/>
  <c r="BQ316" i="15"/>
  <c r="BP316" i="15"/>
  <c r="BR316" i="15" s="1"/>
  <c r="BM439" i="15"/>
  <c r="BL439" i="15"/>
  <c r="BN439" i="15" s="1"/>
  <c r="BA808" i="15"/>
  <c r="AZ808" i="15"/>
  <c r="BB808" i="15" s="1"/>
  <c r="BE685" i="15"/>
  <c r="BD685" i="15"/>
  <c r="BF685" i="15" s="1"/>
  <c r="BU193" i="15"/>
  <c r="BT193" i="15"/>
  <c r="BV193" i="15" s="1"/>
  <c r="AW931" i="15"/>
  <c r="AV931" i="15"/>
  <c r="AX931" i="15" s="1"/>
  <c r="BI562" i="15"/>
  <c r="BH562" i="15"/>
  <c r="BJ562" i="15" s="1"/>
  <c r="BI563" i="15" l="1"/>
  <c r="BH563" i="15"/>
  <c r="BJ563" i="15" s="1"/>
  <c r="BU194" i="15"/>
  <c r="BT194" i="15"/>
  <c r="BV194" i="15" s="1"/>
  <c r="BA809" i="15"/>
  <c r="AZ809" i="15"/>
  <c r="BB809" i="15" s="1"/>
  <c r="BM440" i="15"/>
  <c r="BL440" i="15"/>
  <c r="BN440" i="15" s="1"/>
  <c r="BY71" i="15"/>
  <c r="BX71" i="15"/>
  <c r="BZ71" i="15" s="1"/>
  <c r="AW932" i="15"/>
  <c r="AV932" i="15"/>
  <c r="AX932" i="15" s="1"/>
  <c r="BE686" i="15"/>
  <c r="BD686" i="15"/>
  <c r="BF686" i="15" s="1"/>
  <c r="BQ317" i="15"/>
  <c r="BP317" i="15"/>
  <c r="BR317" i="15" s="1"/>
  <c r="BE687" i="15" l="1"/>
  <c r="BD687" i="15"/>
  <c r="BF687" i="15" s="1"/>
  <c r="AW933" i="15"/>
  <c r="AV933" i="15"/>
  <c r="AX933" i="15" s="1"/>
  <c r="BM441" i="15"/>
  <c r="BL441" i="15"/>
  <c r="BN441" i="15" s="1"/>
  <c r="BA810" i="15"/>
  <c r="AZ810" i="15"/>
  <c r="BB810" i="15" s="1"/>
  <c r="BI564" i="15"/>
  <c r="BH564" i="15"/>
  <c r="BJ564" i="15" s="1"/>
  <c r="BQ318" i="15"/>
  <c r="BP318" i="15"/>
  <c r="BR318" i="15" s="1"/>
  <c r="BY72" i="15"/>
  <c r="BX72" i="15"/>
  <c r="BZ72" i="15" s="1"/>
  <c r="BU195" i="15"/>
  <c r="BT195" i="15"/>
  <c r="BV195" i="15" s="1"/>
  <c r="BU196" i="15" l="1"/>
  <c r="BT196" i="15"/>
  <c r="BV196" i="15" s="1"/>
  <c r="BQ319" i="15"/>
  <c r="BP319" i="15"/>
  <c r="BR319" i="15" s="1"/>
  <c r="BA811" i="15"/>
  <c r="AZ811" i="15"/>
  <c r="BB811" i="15" s="1"/>
  <c r="BM442" i="15"/>
  <c r="BL442" i="15"/>
  <c r="BN442" i="15" s="1"/>
  <c r="BE688" i="15"/>
  <c r="BD688" i="15"/>
  <c r="BF688" i="15" s="1"/>
  <c r="BY73" i="15"/>
  <c r="BX73" i="15"/>
  <c r="BZ73" i="15" s="1"/>
  <c r="BI565" i="15"/>
  <c r="BH565" i="15"/>
  <c r="BJ565" i="15" s="1"/>
  <c r="AW934" i="15"/>
  <c r="AV934" i="15"/>
  <c r="AX934" i="15" s="1"/>
  <c r="AW935" i="15" l="1"/>
  <c r="AV935" i="15"/>
  <c r="AX935" i="15" s="1"/>
  <c r="BY74" i="15"/>
  <c r="BX74" i="15"/>
  <c r="BZ74" i="15" s="1"/>
  <c r="BM443" i="15"/>
  <c r="BL443" i="15"/>
  <c r="BN443" i="15" s="1"/>
  <c r="BA812" i="15"/>
  <c r="AZ812" i="15"/>
  <c r="BB812" i="15" s="1"/>
  <c r="BU197" i="15"/>
  <c r="BT197" i="15"/>
  <c r="BV197" i="15" s="1"/>
  <c r="BI566" i="15"/>
  <c r="BH566" i="15"/>
  <c r="BJ566" i="15" s="1"/>
  <c r="BE689" i="15"/>
  <c r="BD689" i="15"/>
  <c r="BF689" i="15" s="1"/>
  <c r="BQ320" i="15"/>
  <c r="BP320" i="15"/>
  <c r="BR320" i="15" s="1"/>
  <c r="BQ321" i="15" l="1"/>
  <c r="BP321" i="15"/>
  <c r="BR321" i="15" s="1"/>
  <c r="BI567" i="15"/>
  <c r="BH567" i="15"/>
  <c r="BJ567" i="15" s="1"/>
  <c r="BA813" i="15"/>
  <c r="AZ813" i="15"/>
  <c r="BB813" i="15" s="1"/>
  <c r="BM444" i="15"/>
  <c r="BL444" i="15"/>
  <c r="BN444" i="15" s="1"/>
  <c r="AW936" i="15"/>
  <c r="AV936" i="15"/>
  <c r="AX936" i="15" s="1"/>
  <c r="BE690" i="15"/>
  <c r="BD690" i="15"/>
  <c r="BF690" i="15" s="1"/>
  <c r="BU198" i="15"/>
  <c r="BT198" i="15"/>
  <c r="BV198" i="15" s="1"/>
  <c r="BY75" i="15"/>
  <c r="BX75" i="15"/>
  <c r="BZ75" i="15" s="1"/>
  <c r="BU199" i="15" l="1"/>
  <c r="BT199" i="15"/>
  <c r="BV199" i="15" s="1"/>
  <c r="AW937" i="15"/>
  <c r="AV937" i="15"/>
  <c r="AX937" i="15" s="1"/>
  <c r="BA814" i="15"/>
  <c r="AZ814" i="15"/>
  <c r="BB814" i="15" s="1"/>
  <c r="BQ322" i="15"/>
  <c r="BP322" i="15"/>
  <c r="BR322" i="15" s="1"/>
  <c r="BY76" i="15"/>
  <c r="BX76" i="15"/>
  <c r="BZ76" i="15" s="1"/>
  <c r="BE691" i="15"/>
  <c r="BD691" i="15"/>
  <c r="BF691" i="15" s="1"/>
  <c r="BM445" i="15"/>
  <c r="BL445" i="15"/>
  <c r="BN445" i="15" s="1"/>
  <c r="BI568" i="15"/>
  <c r="BH568" i="15"/>
  <c r="BJ568" i="15" s="1"/>
  <c r="BM446" i="15" l="1"/>
  <c r="BL446" i="15"/>
  <c r="BN446" i="15" s="1"/>
  <c r="BY77" i="15"/>
  <c r="BX77" i="15"/>
  <c r="BZ77" i="15" s="1"/>
  <c r="BA815" i="15"/>
  <c r="AZ815" i="15"/>
  <c r="BB815" i="15" s="1"/>
  <c r="BU200" i="15"/>
  <c r="BT200" i="15"/>
  <c r="BV200" i="15" s="1"/>
  <c r="BI569" i="15"/>
  <c r="BH569" i="15"/>
  <c r="BJ569" i="15" s="1"/>
  <c r="BE692" i="15"/>
  <c r="BD692" i="15"/>
  <c r="BF692" i="15" s="1"/>
  <c r="BQ323" i="15"/>
  <c r="BP323" i="15"/>
  <c r="BR323" i="15" s="1"/>
  <c r="AW938" i="15"/>
  <c r="AV938" i="15"/>
  <c r="AX938" i="15" s="1"/>
  <c r="AW939" i="15" l="1"/>
  <c r="AV939" i="15"/>
  <c r="AX939" i="15" s="1"/>
  <c r="BE693" i="15"/>
  <c r="BD693" i="15"/>
  <c r="BF693" i="15" s="1"/>
  <c r="BU201" i="15"/>
  <c r="BT201" i="15"/>
  <c r="BV201" i="15" s="1"/>
  <c r="BA816" i="15"/>
  <c r="AZ816" i="15"/>
  <c r="BB816" i="15" s="1"/>
  <c r="BM447" i="15"/>
  <c r="BL447" i="15"/>
  <c r="BN447" i="15" s="1"/>
  <c r="BQ324" i="15"/>
  <c r="BP324" i="15"/>
  <c r="BR324" i="15" s="1"/>
  <c r="BI570" i="15"/>
  <c r="BH570" i="15"/>
  <c r="BJ570" i="15" s="1"/>
  <c r="BY78" i="15"/>
  <c r="BX78" i="15"/>
  <c r="BZ78" i="15" s="1"/>
  <c r="BI571" i="15" l="1"/>
  <c r="BH571" i="15"/>
  <c r="BJ571" i="15" s="1"/>
  <c r="BM448" i="15"/>
  <c r="BL448" i="15"/>
  <c r="BN448" i="15" s="1"/>
  <c r="BU202" i="15"/>
  <c r="BT202" i="15"/>
  <c r="BV202" i="15" s="1"/>
  <c r="AW940" i="15"/>
  <c r="AV940" i="15"/>
  <c r="AX940" i="15" s="1"/>
  <c r="BY79" i="15"/>
  <c r="BX79" i="15"/>
  <c r="BZ79" i="15" s="1"/>
  <c r="BQ325" i="15"/>
  <c r="BP325" i="15"/>
  <c r="BR325" i="15" s="1"/>
  <c r="BA817" i="15"/>
  <c r="AZ817" i="15"/>
  <c r="BB817" i="15" s="1"/>
  <c r="BE694" i="15"/>
  <c r="BD694" i="15"/>
  <c r="BF694" i="15" s="1"/>
  <c r="BA818" i="15" l="1"/>
  <c r="AZ818" i="15"/>
  <c r="BB818" i="15" s="1"/>
  <c r="BY80" i="15"/>
  <c r="BX80" i="15"/>
  <c r="BZ80" i="15" s="1"/>
  <c r="BU203" i="15"/>
  <c r="BT203" i="15"/>
  <c r="BV203" i="15" s="1"/>
  <c r="BI572" i="15"/>
  <c r="BH572" i="15"/>
  <c r="BJ572" i="15" s="1"/>
  <c r="BE695" i="15"/>
  <c r="BD695" i="15"/>
  <c r="BF695" i="15" s="1"/>
  <c r="BQ326" i="15"/>
  <c r="BP326" i="15"/>
  <c r="BR326" i="15" s="1"/>
  <c r="AW941" i="15"/>
  <c r="AV941" i="15"/>
  <c r="AX941" i="15" s="1"/>
  <c r="BM449" i="15"/>
  <c r="BL449" i="15"/>
  <c r="BN449" i="15" s="1"/>
  <c r="AW942" i="15" l="1"/>
  <c r="AV942" i="15"/>
  <c r="AX942" i="15" s="1"/>
  <c r="BE696" i="15"/>
  <c r="BD696" i="15"/>
  <c r="BF696" i="15" s="1"/>
  <c r="BU204" i="15"/>
  <c r="BT204" i="15"/>
  <c r="BV204" i="15" s="1"/>
  <c r="BA819" i="15"/>
  <c r="AZ819" i="15"/>
  <c r="BB819" i="15" s="1"/>
  <c r="BM450" i="15"/>
  <c r="BL450" i="15"/>
  <c r="BN450" i="15" s="1"/>
  <c r="BQ327" i="15"/>
  <c r="BP327" i="15"/>
  <c r="BR327" i="15" s="1"/>
  <c r="BI573" i="15"/>
  <c r="BH573" i="15"/>
  <c r="BJ573" i="15" s="1"/>
  <c r="BY81" i="15"/>
  <c r="BX81" i="15"/>
  <c r="BZ81" i="15" s="1"/>
  <c r="BY82" i="15" l="1"/>
  <c r="BX82" i="15"/>
  <c r="BZ82" i="15" s="1"/>
  <c r="BQ328" i="15"/>
  <c r="BP328" i="15"/>
  <c r="BR328" i="15" s="1"/>
  <c r="BM451" i="15"/>
  <c r="BL451" i="15"/>
  <c r="BN451" i="15" s="1"/>
  <c r="BU205" i="15"/>
  <c r="BT205" i="15"/>
  <c r="BV205" i="15" s="1"/>
  <c r="AW943" i="15"/>
  <c r="AV943" i="15"/>
  <c r="AX943" i="15" s="1"/>
  <c r="BI574" i="15"/>
  <c r="BH574" i="15"/>
  <c r="BJ574" i="15" s="1"/>
  <c r="BA820" i="15"/>
  <c r="AZ820" i="15"/>
  <c r="BB820" i="15" s="1"/>
  <c r="BE697" i="15"/>
  <c r="BD697" i="15"/>
  <c r="BF697" i="15" s="1"/>
  <c r="BI575" i="15" l="1"/>
  <c r="BH575" i="15"/>
  <c r="BJ575" i="15" s="1"/>
  <c r="BU206" i="15"/>
  <c r="BT206" i="15"/>
  <c r="BV206" i="15" s="1"/>
  <c r="BM452" i="15"/>
  <c r="BL452" i="15"/>
  <c r="BN452" i="15" s="1"/>
  <c r="BY83" i="15"/>
  <c r="BX83" i="15"/>
  <c r="BZ83" i="15" s="1"/>
  <c r="BE698" i="15"/>
  <c r="BD698" i="15"/>
  <c r="BF698" i="15" s="1"/>
  <c r="BA821" i="15"/>
  <c r="AZ821" i="15"/>
  <c r="BB821" i="15" s="1"/>
  <c r="AW944" i="15"/>
  <c r="AV944" i="15"/>
  <c r="AX944" i="15" s="1"/>
  <c r="BQ329" i="15"/>
  <c r="BP329" i="15"/>
  <c r="BR329" i="15" s="1"/>
  <c r="AW945" i="15" l="1"/>
  <c r="AV945" i="15"/>
  <c r="AX945" i="15" s="1"/>
  <c r="BA822" i="15"/>
  <c r="AZ822" i="15"/>
  <c r="BB822" i="15" s="1"/>
  <c r="BY84" i="15"/>
  <c r="BX84" i="15"/>
  <c r="BZ84" i="15" s="1"/>
  <c r="BM453" i="15"/>
  <c r="BL453" i="15"/>
  <c r="BN453" i="15" s="1"/>
  <c r="BI576" i="15"/>
  <c r="BH576" i="15"/>
  <c r="BJ576" i="15" s="1"/>
  <c r="BQ330" i="15"/>
  <c r="BP330" i="15"/>
  <c r="BR330" i="15" s="1"/>
  <c r="BE699" i="15"/>
  <c r="BD699" i="15"/>
  <c r="BF699" i="15" s="1"/>
  <c r="BU207" i="15"/>
  <c r="BT207" i="15"/>
  <c r="BV207" i="15" s="1"/>
  <c r="BE700" i="15" l="1"/>
  <c r="BD700" i="15"/>
  <c r="BF700" i="15" s="1"/>
  <c r="BQ331" i="15"/>
  <c r="BP331" i="15"/>
  <c r="BR331" i="15" s="1"/>
  <c r="BI577" i="15"/>
  <c r="BH577" i="15"/>
  <c r="BJ577" i="15" s="1"/>
  <c r="BM454" i="15"/>
  <c r="BL454" i="15"/>
  <c r="BN454" i="15" s="1"/>
  <c r="BY85" i="15"/>
  <c r="BX85" i="15"/>
  <c r="BZ85" i="15" s="1"/>
  <c r="AW946" i="15"/>
  <c r="AV946" i="15"/>
  <c r="AX946" i="15" s="1"/>
  <c r="BU208" i="15"/>
  <c r="BT208" i="15"/>
  <c r="BV208" i="15" s="1"/>
  <c r="BA823" i="15"/>
  <c r="AZ823" i="15"/>
  <c r="BB823" i="15" s="1"/>
  <c r="BA824" i="15" l="1"/>
  <c r="AZ824" i="15"/>
  <c r="BB824" i="15" s="1"/>
  <c r="AW947" i="15"/>
  <c r="AV947" i="15"/>
  <c r="AX947" i="15" s="1"/>
  <c r="BY86" i="15"/>
  <c r="BX86" i="15"/>
  <c r="BZ86" i="15" s="1"/>
  <c r="BI578" i="15"/>
  <c r="BH578" i="15"/>
  <c r="BJ578" i="15" s="1"/>
  <c r="BE701" i="15"/>
  <c r="BD701" i="15"/>
  <c r="BF701" i="15" s="1"/>
  <c r="BU209" i="15"/>
  <c r="BT209" i="15"/>
  <c r="BV209" i="15" s="1"/>
  <c r="BM455" i="15"/>
  <c r="BL455" i="15"/>
  <c r="BN455" i="15" s="1"/>
  <c r="BQ332" i="15"/>
  <c r="BP332" i="15"/>
  <c r="BR332" i="15" s="1"/>
  <c r="BQ333" i="15" l="1"/>
  <c r="BP333" i="15"/>
  <c r="BR333" i="15" s="1"/>
  <c r="BU210" i="15"/>
  <c r="BT210" i="15"/>
  <c r="BV210" i="15" s="1"/>
  <c r="BI579" i="15"/>
  <c r="BH579" i="15"/>
  <c r="BJ579" i="15" s="1"/>
  <c r="BY87" i="15"/>
  <c r="BX87" i="15"/>
  <c r="BZ87" i="15" s="1"/>
  <c r="BA825" i="15"/>
  <c r="AZ825" i="15"/>
  <c r="BB825" i="15" s="1"/>
  <c r="BM456" i="15"/>
  <c r="BL456" i="15"/>
  <c r="BN456" i="15" s="1"/>
  <c r="BE702" i="15"/>
  <c r="BD702" i="15"/>
  <c r="BF702" i="15" s="1"/>
  <c r="AW948" i="15"/>
  <c r="AV948" i="15"/>
  <c r="AX948" i="15" s="1"/>
  <c r="BE703" i="15" l="1"/>
  <c r="BD703" i="15"/>
  <c r="BF703" i="15" s="1"/>
  <c r="BA826" i="15"/>
  <c r="AZ826" i="15"/>
  <c r="BB826" i="15" s="1"/>
  <c r="BI580" i="15"/>
  <c r="BH580" i="15"/>
  <c r="BJ580" i="15" s="1"/>
  <c r="BQ334" i="15"/>
  <c r="BP334" i="15"/>
  <c r="BR334" i="15" s="1"/>
  <c r="AW949" i="15"/>
  <c r="AV949" i="15"/>
  <c r="AX949" i="15" s="1"/>
  <c r="BM457" i="15"/>
  <c r="BL457" i="15"/>
  <c r="BN457" i="15" s="1"/>
  <c r="BY88" i="15"/>
  <c r="BX88" i="15"/>
  <c r="BZ88" i="15" s="1"/>
  <c r="BU211" i="15"/>
  <c r="BT211" i="15"/>
  <c r="BV211" i="15" s="1"/>
  <c r="BY89" i="15" l="1"/>
  <c r="BX89" i="15"/>
  <c r="BZ89" i="15" s="1"/>
  <c r="BM458" i="15"/>
  <c r="BL458" i="15"/>
  <c r="BN458" i="15" s="1"/>
  <c r="BQ335" i="15"/>
  <c r="BP335" i="15"/>
  <c r="BR335" i="15" s="1"/>
  <c r="BI581" i="15"/>
  <c r="BH581" i="15"/>
  <c r="BJ581" i="15" s="1"/>
  <c r="BE704" i="15"/>
  <c r="BD704" i="15"/>
  <c r="BF704" i="15" s="1"/>
  <c r="BU212" i="15"/>
  <c r="BT212" i="15"/>
  <c r="BV212" i="15" s="1"/>
  <c r="AW950" i="15"/>
  <c r="AV950" i="15"/>
  <c r="AX950" i="15" s="1"/>
  <c r="BA827" i="15"/>
  <c r="AZ827" i="15"/>
  <c r="BB827" i="15" s="1"/>
  <c r="BA828" i="15" l="1"/>
  <c r="AZ828" i="15"/>
  <c r="BB828" i="15" s="1"/>
  <c r="BU213" i="15"/>
  <c r="BT213" i="15"/>
  <c r="BV213" i="15" s="1"/>
  <c r="BE705" i="15"/>
  <c r="BD705" i="15"/>
  <c r="BF705" i="15" s="1"/>
  <c r="BQ336" i="15"/>
  <c r="BP336" i="15"/>
  <c r="BR336" i="15" s="1"/>
  <c r="BY90" i="15"/>
  <c r="BX90" i="15"/>
  <c r="BZ90" i="15" s="1"/>
  <c r="AW951" i="15"/>
  <c r="AV951" i="15"/>
  <c r="AX951" i="15" s="1"/>
  <c r="BI582" i="15"/>
  <c r="BH582" i="15"/>
  <c r="BJ582" i="15" s="1"/>
  <c r="BM459" i="15"/>
  <c r="BL459" i="15"/>
  <c r="BN459" i="15" s="1"/>
  <c r="BM460" i="15" l="1"/>
  <c r="BL460" i="15"/>
  <c r="BN460" i="15" s="1"/>
  <c r="AW952" i="15"/>
  <c r="AV952" i="15"/>
  <c r="AX952" i="15" s="1"/>
  <c r="BY91" i="15"/>
  <c r="BX91" i="15"/>
  <c r="BZ91" i="15" s="1"/>
  <c r="BE706" i="15"/>
  <c r="BD706" i="15"/>
  <c r="BF706" i="15" s="1"/>
  <c r="BA829" i="15"/>
  <c r="AZ829" i="15"/>
  <c r="BB829" i="15" s="1"/>
  <c r="BI583" i="15"/>
  <c r="BH583" i="15"/>
  <c r="BJ583" i="15" s="1"/>
  <c r="BQ337" i="15"/>
  <c r="BP337" i="15"/>
  <c r="BR337" i="15" s="1"/>
  <c r="BU214" i="15"/>
  <c r="BT214" i="15"/>
  <c r="BV214" i="15" s="1"/>
  <c r="BU215" i="15" l="1"/>
  <c r="BT215" i="15"/>
  <c r="BV215" i="15" s="1"/>
  <c r="BI584" i="15"/>
  <c r="BH584" i="15"/>
  <c r="BJ584" i="15" s="1"/>
  <c r="BE707" i="15"/>
  <c r="BD707" i="15"/>
  <c r="BF707" i="15" s="1"/>
  <c r="BY92" i="15"/>
  <c r="BX92" i="15"/>
  <c r="BZ92" i="15" s="1"/>
  <c r="BM461" i="15"/>
  <c r="BL461" i="15"/>
  <c r="BN461" i="15" s="1"/>
  <c r="BQ338" i="15"/>
  <c r="BP338" i="15"/>
  <c r="BR338" i="15" s="1"/>
  <c r="BA830" i="15"/>
  <c r="AZ830" i="15"/>
  <c r="BB830" i="15" s="1"/>
  <c r="AW953" i="15"/>
  <c r="AV953" i="15"/>
  <c r="AX953" i="15" s="1"/>
  <c r="AW954" i="15" l="1"/>
  <c r="AV954" i="15"/>
  <c r="AX954" i="15" s="1"/>
  <c r="BQ339" i="15"/>
  <c r="BP339" i="15"/>
  <c r="BR339" i="15" s="1"/>
  <c r="BY93" i="15"/>
  <c r="BX93" i="15"/>
  <c r="BZ93" i="15" s="1"/>
  <c r="BE708" i="15"/>
  <c r="BD708" i="15"/>
  <c r="BF708" i="15" s="1"/>
  <c r="BU216" i="15"/>
  <c r="BT216" i="15"/>
  <c r="BV216" i="15" s="1"/>
  <c r="BA831" i="15"/>
  <c r="AZ831" i="15"/>
  <c r="BB831" i="15" s="1"/>
  <c r="BM462" i="15"/>
  <c r="BL462" i="15"/>
  <c r="BN462" i="15" s="1"/>
  <c r="BI585" i="15"/>
  <c r="BH585" i="15"/>
  <c r="BJ585" i="15" s="1"/>
  <c r="BI586" i="15" l="1"/>
  <c r="BH586" i="15"/>
  <c r="BJ586" i="15" s="1"/>
  <c r="BA832" i="15"/>
  <c r="AZ832" i="15"/>
  <c r="BB832" i="15" s="1"/>
  <c r="BE709" i="15"/>
  <c r="BD709" i="15"/>
  <c r="BF709" i="15" s="1"/>
  <c r="BY94" i="15"/>
  <c r="BX94" i="15"/>
  <c r="BZ94" i="15" s="1"/>
  <c r="AW955" i="15"/>
  <c r="AV955" i="15"/>
  <c r="AX955" i="15" s="1"/>
  <c r="BM463" i="15"/>
  <c r="BL463" i="15"/>
  <c r="BN463" i="15" s="1"/>
  <c r="BU217" i="15"/>
  <c r="BT217" i="15"/>
  <c r="BV217" i="15" s="1"/>
  <c r="BQ340" i="15"/>
  <c r="BP340" i="15"/>
  <c r="BR340" i="15" s="1"/>
  <c r="BQ341" i="15" l="1"/>
  <c r="BP341" i="15"/>
  <c r="BR341" i="15" s="1"/>
  <c r="BM464" i="15"/>
  <c r="BL464" i="15"/>
  <c r="BN464" i="15" s="1"/>
  <c r="BY95" i="15"/>
  <c r="BX95" i="15"/>
  <c r="BZ95" i="15" s="1"/>
  <c r="BE710" i="15"/>
  <c r="BD710" i="15"/>
  <c r="BF710" i="15" s="1"/>
  <c r="BI587" i="15"/>
  <c r="BH587" i="15"/>
  <c r="BJ587" i="15" s="1"/>
  <c r="BU218" i="15"/>
  <c r="BT218" i="15"/>
  <c r="BV218" i="15" s="1"/>
  <c r="AW956" i="15"/>
  <c r="AV956" i="15"/>
  <c r="AX956" i="15" s="1"/>
  <c r="BA833" i="15"/>
  <c r="AZ833" i="15"/>
  <c r="BB833" i="15" s="1"/>
  <c r="BA834" i="15" l="1"/>
  <c r="AZ834" i="15"/>
  <c r="BB834" i="15" s="1"/>
  <c r="BU219" i="15"/>
  <c r="BT219" i="15"/>
  <c r="BV219" i="15" s="1"/>
  <c r="BE711" i="15"/>
  <c r="BD711" i="15"/>
  <c r="BF711" i="15" s="1"/>
  <c r="BY96" i="15"/>
  <c r="BX96" i="15"/>
  <c r="BZ96" i="15" s="1"/>
  <c r="BQ342" i="15"/>
  <c r="BP342" i="15"/>
  <c r="BR342" i="15" s="1"/>
  <c r="AW957" i="15"/>
  <c r="AV957" i="15"/>
  <c r="AX957" i="15" s="1"/>
  <c r="BI588" i="15"/>
  <c r="BH588" i="15"/>
  <c r="BJ588" i="15" s="1"/>
  <c r="BM465" i="15"/>
  <c r="BL465" i="15"/>
  <c r="BN465" i="15" s="1"/>
  <c r="BI589" i="15" l="1"/>
  <c r="BH589" i="15"/>
  <c r="BJ589" i="15" s="1"/>
  <c r="BQ343" i="15"/>
  <c r="BP343" i="15"/>
  <c r="BR343" i="15" s="1"/>
  <c r="BE712" i="15"/>
  <c r="BD712" i="15"/>
  <c r="BF712" i="15" s="1"/>
  <c r="BA835" i="15"/>
  <c r="AZ835" i="15"/>
  <c r="BB835" i="15" s="1"/>
  <c r="BM466" i="15"/>
  <c r="BL466" i="15"/>
  <c r="BN466" i="15" s="1"/>
  <c r="AW958" i="15"/>
  <c r="AV958" i="15"/>
  <c r="AX958" i="15" s="1"/>
  <c r="BY97" i="15"/>
  <c r="BX97" i="15"/>
  <c r="BZ97" i="15" s="1"/>
  <c r="BU220" i="15"/>
  <c r="BT220" i="15"/>
  <c r="BV220" i="15" s="1"/>
  <c r="BY98" i="15" l="1"/>
  <c r="BX98" i="15"/>
  <c r="BZ98" i="15" s="1"/>
  <c r="AW959" i="15"/>
  <c r="AV959" i="15"/>
  <c r="AX959" i="15" s="1"/>
  <c r="BA836" i="15"/>
  <c r="AZ836" i="15"/>
  <c r="BB836" i="15" s="1"/>
  <c r="BE713" i="15"/>
  <c r="BD713" i="15"/>
  <c r="BF713" i="15" s="1"/>
  <c r="BI590" i="15"/>
  <c r="BH590" i="15"/>
  <c r="BJ590" i="15" s="1"/>
  <c r="BU221" i="15"/>
  <c r="BT221" i="15"/>
  <c r="BV221" i="15" s="1"/>
  <c r="BM467" i="15"/>
  <c r="BL467" i="15"/>
  <c r="BN467" i="15" s="1"/>
  <c r="BQ344" i="15"/>
  <c r="BP344" i="15"/>
  <c r="BR344" i="15" s="1"/>
  <c r="BQ345" i="15" l="1"/>
  <c r="BP345" i="15"/>
  <c r="BR345" i="15" s="1"/>
  <c r="BU222" i="15"/>
  <c r="BT222" i="15"/>
  <c r="BV222" i="15" s="1"/>
  <c r="BI591" i="15"/>
  <c r="BH591" i="15"/>
  <c r="BJ591" i="15" s="1"/>
  <c r="BA837" i="15"/>
  <c r="AZ837" i="15"/>
  <c r="BB837" i="15" s="1"/>
  <c r="BY99" i="15"/>
  <c r="BX99" i="15"/>
  <c r="BZ99" i="15" s="1"/>
  <c r="BM468" i="15"/>
  <c r="BL468" i="15"/>
  <c r="BN468" i="15" s="1"/>
  <c r="BE714" i="15"/>
  <c r="BD714" i="15"/>
  <c r="BF714" i="15" s="1"/>
  <c r="AW960" i="15"/>
  <c r="AV960" i="15"/>
  <c r="AX960" i="15" s="1"/>
  <c r="AW961" i="15" l="1"/>
  <c r="AV961" i="15"/>
  <c r="AX961" i="15" s="1"/>
  <c r="BM469" i="15"/>
  <c r="BL469" i="15"/>
  <c r="BN469" i="15" s="1"/>
  <c r="BA838" i="15"/>
  <c r="AZ838" i="15"/>
  <c r="BB838" i="15" s="1"/>
  <c r="BI592" i="15"/>
  <c r="BH592" i="15"/>
  <c r="BJ592" i="15" s="1"/>
  <c r="BQ346" i="15"/>
  <c r="BP346" i="15"/>
  <c r="BR346" i="15" s="1"/>
  <c r="BE715" i="15"/>
  <c r="BD715" i="15"/>
  <c r="BF715" i="15" s="1"/>
  <c r="BY100" i="15"/>
  <c r="BX100" i="15"/>
  <c r="BZ100" i="15" s="1"/>
  <c r="BU223" i="15"/>
  <c r="BT223" i="15"/>
  <c r="BV223" i="15" s="1"/>
  <c r="BU224" i="15" l="1"/>
  <c r="BT224" i="15"/>
  <c r="BV224" i="15" s="1"/>
  <c r="BE716" i="15"/>
  <c r="BD716" i="15"/>
  <c r="BF716" i="15" s="1"/>
  <c r="BI593" i="15"/>
  <c r="BH593" i="15"/>
  <c r="BJ593" i="15" s="1"/>
  <c r="BA839" i="15"/>
  <c r="AZ839" i="15"/>
  <c r="BB839" i="15" s="1"/>
  <c r="AW962" i="15"/>
  <c r="AV962" i="15"/>
  <c r="AX962" i="15" s="1"/>
  <c r="BY101" i="15"/>
  <c r="BX101" i="15"/>
  <c r="BZ101" i="15" s="1"/>
  <c r="BQ347" i="15"/>
  <c r="BP347" i="15"/>
  <c r="BR347" i="15" s="1"/>
  <c r="BM470" i="15"/>
  <c r="BL470" i="15"/>
  <c r="BN470" i="15" s="1"/>
  <c r="BQ348" i="15" l="1"/>
  <c r="BP348" i="15"/>
  <c r="BR348" i="15" s="1"/>
  <c r="AW963" i="15"/>
  <c r="AV963" i="15"/>
  <c r="AX963" i="15" s="1"/>
  <c r="BI594" i="15"/>
  <c r="BH594" i="15"/>
  <c r="BJ594" i="15" s="1"/>
  <c r="BU225" i="15"/>
  <c r="BT225" i="15"/>
  <c r="BV225" i="15" s="1"/>
  <c r="BM471" i="15"/>
  <c r="BL471" i="15"/>
  <c r="BN471" i="15" s="1"/>
  <c r="BY102" i="15"/>
  <c r="BX102" i="15"/>
  <c r="BZ102" i="15" s="1"/>
  <c r="BA840" i="15"/>
  <c r="AZ840" i="15"/>
  <c r="BB840" i="15" s="1"/>
  <c r="BE717" i="15"/>
  <c r="BD717" i="15"/>
  <c r="BF717" i="15" s="1"/>
  <c r="BA841" i="15" l="1"/>
  <c r="AZ841" i="15"/>
  <c r="BB841" i="15" s="1"/>
  <c r="BM472" i="15"/>
  <c r="BL472" i="15"/>
  <c r="BN472" i="15" s="1"/>
  <c r="BI595" i="15"/>
  <c r="BH595" i="15"/>
  <c r="BJ595" i="15" s="1"/>
  <c r="BQ349" i="15"/>
  <c r="BP349" i="15"/>
  <c r="BR349" i="15" s="1"/>
  <c r="BE718" i="15"/>
  <c r="BD718" i="15"/>
  <c r="BF718" i="15" s="1"/>
  <c r="BY103" i="15"/>
  <c r="BX103" i="15"/>
  <c r="BZ103" i="15" s="1"/>
  <c r="BU226" i="15"/>
  <c r="BT226" i="15"/>
  <c r="BV226" i="15" s="1"/>
  <c r="AW964" i="15"/>
  <c r="AV964" i="15"/>
  <c r="AX964" i="15" s="1"/>
  <c r="AW965" i="15" l="1"/>
  <c r="AV965" i="15"/>
  <c r="AX965" i="15" s="1"/>
  <c r="BY104" i="15"/>
  <c r="BX104" i="15"/>
  <c r="BZ104" i="15" s="1"/>
  <c r="BQ350" i="15"/>
  <c r="BP350" i="15"/>
  <c r="BR350" i="15" s="1"/>
  <c r="BI596" i="15"/>
  <c r="BH596" i="15"/>
  <c r="BJ596" i="15" s="1"/>
  <c r="BA842" i="15"/>
  <c r="AZ842" i="15"/>
  <c r="BB842" i="15" s="1"/>
  <c r="BU227" i="15"/>
  <c r="BT227" i="15"/>
  <c r="BV227" i="15" s="1"/>
  <c r="BE719" i="15"/>
  <c r="BD719" i="15"/>
  <c r="BF719" i="15" s="1"/>
  <c r="BM473" i="15"/>
  <c r="BL473" i="15"/>
  <c r="BN473" i="15" s="1"/>
  <c r="BM474" i="15" l="1"/>
  <c r="BL474" i="15"/>
  <c r="BN474" i="15" s="1"/>
  <c r="BU228" i="15"/>
  <c r="BT228" i="15"/>
  <c r="BV228" i="15" s="1"/>
  <c r="BI597" i="15"/>
  <c r="BH597" i="15"/>
  <c r="BJ597" i="15" s="1"/>
  <c r="BQ351" i="15"/>
  <c r="BP351" i="15"/>
  <c r="BR351" i="15" s="1"/>
  <c r="AW966" i="15"/>
  <c r="AV966" i="15"/>
  <c r="AX966" i="15" s="1"/>
  <c r="BE720" i="15"/>
  <c r="BD720" i="15"/>
  <c r="BF720" i="15" s="1"/>
  <c r="BA843" i="15"/>
  <c r="AZ843" i="15"/>
  <c r="BB843" i="15" s="1"/>
  <c r="BY105" i="15"/>
  <c r="BX105" i="15"/>
  <c r="BZ105" i="15" s="1"/>
  <c r="BA844" i="15" l="1"/>
  <c r="AZ844" i="15"/>
  <c r="BB844" i="15" s="1"/>
  <c r="AW967" i="15"/>
  <c r="AV967" i="15"/>
  <c r="AX967" i="15" s="1"/>
  <c r="BI598" i="15"/>
  <c r="BH598" i="15"/>
  <c r="BJ598" i="15" s="1"/>
  <c r="BM475" i="15"/>
  <c r="BL475" i="15"/>
  <c r="BN475" i="15" s="1"/>
  <c r="BY106" i="15"/>
  <c r="BX106" i="15"/>
  <c r="BZ106" i="15" s="1"/>
  <c r="BE721" i="15"/>
  <c r="BD721" i="15"/>
  <c r="BF721" i="15" s="1"/>
  <c r="BQ352" i="15"/>
  <c r="BP352" i="15"/>
  <c r="BR352" i="15" s="1"/>
  <c r="BU229" i="15"/>
  <c r="BT229" i="15"/>
  <c r="BV229" i="15" s="1"/>
  <c r="BU230" i="15" l="1"/>
  <c r="BT230" i="15"/>
  <c r="BV230" i="15" s="1"/>
  <c r="BE722" i="15"/>
  <c r="BD722" i="15"/>
  <c r="BF722" i="15" s="1"/>
  <c r="BM476" i="15"/>
  <c r="BL476" i="15"/>
  <c r="BN476" i="15" s="1"/>
  <c r="BI599" i="15"/>
  <c r="BH599" i="15"/>
  <c r="BJ599" i="15" s="1"/>
  <c r="BA845" i="15"/>
  <c r="AZ845" i="15"/>
  <c r="BB845" i="15" s="1"/>
  <c r="BQ353" i="15"/>
  <c r="BP353" i="15"/>
  <c r="BR353" i="15" s="1"/>
  <c r="BY107" i="15"/>
  <c r="BX107" i="15"/>
  <c r="BZ107" i="15" s="1"/>
  <c r="AW968" i="15"/>
  <c r="AV968" i="15"/>
  <c r="AX968" i="15" s="1"/>
  <c r="BY108" i="15" l="1"/>
  <c r="BX108" i="15"/>
  <c r="BZ108" i="15" s="1"/>
  <c r="BA846" i="15"/>
  <c r="AZ846" i="15"/>
  <c r="BB846" i="15" s="1"/>
  <c r="BM477" i="15"/>
  <c r="BL477" i="15"/>
  <c r="BN477" i="15" s="1"/>
  <c r="BU231" i="15"/>
  <c r="BT231" i="15"/>
  <c r="BV231" i="15" s="1"/>
  <c r="AW969" i="15"/>
  <c r="AV969" i="15"/>
  <c r="AX969" i="15" s="1"/>
  <c r="BQ354" i="15"/>
  <c r="BP354" i="15"/>
  <c r="BR354" i="15" s="1"/>
  <c r="BI600" i="15"/>
  <c r="BH600" i="15"/>
  <c r="BJ600" i="15" s="1"/>
  <c r="BE723" i="15"/>
  <c r="BD723" i="15"/>
  <c r="BF723" i="15" s="1"/>
  <c r="BE724" i="15" l="1"/>
  <c r="BD724" i="15"/>
  <c r="BF724" i="15" s="1"/>
  <c r="BQ355" i="15"/>
  <c r="BP355" i="15"/>
  <c r="BR355" i="15" s="1"/>
  <c r="BU232" i="15"/>
  <c r="BT232" i="15"/>
  <c r="BV232" i="15" s="1"/>
  <c r="BM478" i="15"/>
  <c r="BL478" i="15"/>
  <c r="BN478" i="15" s="1"/>
  <c r="BY109" i="15"/>
  <c r="BX109" i="15"/>
  <c r="BZ109" i="15" s="1"/>
  <c r="BI601" i="15"/>
  <c r="BH601" i="15"/>
  <c r="BJ601" i="15" s="1"/>
  <c r="AW970" i="15"/>
  <c r="AV970" i="15"/>
  <c r="AX970" i="15" s="1"/>
  <c r="BA847" i="15"/>
  <c r="AZ847" i="15"/>
  <c r="BB847" i="15" s="1"/>
  <c r="BA848" i="15" l="1"/>
  <c r="AZ848" i="15"/>
  <c r="BB848" i="15" s="1"/>
  <c r="BI602" i="15"/>
  <c r="BH602" i="15"/>
  <c r="BJ602" i="15" s="1"/>
  <c r="BY110" i="15"/>
  <c r="BX110" i="15"/>
  <c r="BZ110" i="15" s="1"/>
  <c r="BU233" i="15"/>
  <c r="BT233" i="15"/>
  <c r="BV233" i="15" s="1"/>
  <c r="BE725" i="15"/>
  <c r="BD725" i="15"/>
  <c r="BF725" i="15" s="1"/>
  <c r="AW971" i="15"/>
  <c r="AV971" i="15"/>
  <c r="AX971" i="15" s="1"/>
  <c r="BM479" i="15"/>
  <c r="BL479" i="15"/>
  <c r="BN479" i="15" s="1"/>
  <c r="BQ356" i="15"/>
  <c r="BP356" i="15"/>
  <c r="BR356" i="15" s="1"/>
  <c r="BQ357" i="15" l="1"/>
  <c r="BP357" i="15"/>
  <c r="BR357" i="15" s="1"/>
  <c r="AW972" i="15"/>
  <c r="AV972" i="15"/>
  <c r="AX972" i="15" s="1"/>
  <c r="BE726" i="15"/>
  <c r="BD726" i="15"/>
  <c r="BF726" i="15" s="1"/>
  <c r="BY111" i="15"/>
  <c r="BX111" i="15"/>
  <c r="BZ111" i="15" s="1"/>
  <c r="BA849" i="15"/>
  <c r="AZ849" i="15"/>
  <c r="BB849" i="15" s="1"/>
  <c r="BM480" i="15"/>
  <c r="BL480" i="15"/>
  <c r="BN480" i="15" s="1"/>
  <c r="BU234" i="15"/>
  <c r="BT234" i="15"/>
  <c r="BV234" i="15" s="1"/>
  <c r="BI603" i="15"/>
  <c r="BH603" i="15"/>
  <c r="BJ603" i="15" s="1"/>
  <c r="BU235" i="15" l="1"/>
  <c r="BT235" i="15"/>
  <c r="BV235" i="15" s="1"/>
  <c r="BA850" i="15"/>
  <c r="AZ850" i="15"/>
  <c r="BB850" i="15" s="1"/>
  <c r="BE727" i="15"/>
  <c r="BD727" i="15"/>
  <c r="BF727" i="15" s="1"/>
  <c r="BQ358" i="15"/>
  <c r="BP358" i="15"/>
  <c r="BR358" i="15" s="1"/>
  <c r="BI604" i="15"/>
  <c r="BH604" i="15"/>
  <c r="BJ604" i="15" s="1"/>
  <c r="BM481" i="15"/>
  <c r="BL481" i="15"/>
  <c r="BN481" i="15" s="1"/>
  <c r="BY112" i="15"/>
  <c r="BX112" i="15"/>
  <c r="BZ112" i="15" s="1"/>
  <c r="AW973" i="15"/>
  <c r="AV973" i="15"/>
  <c r="AX973" i="15" s="1"/>
  <c r="AW974" i="15" l="1"/>
  <c r="AV974" i="15"/>
  <c r="AX974" i="15" s="1"/>
  <c r="BM482" i="15"/>
  <c r="BL482" i="15"/>
  <c r="BN482" i="15" s="1"/>
  <c r="BI605" i="15"/>
  <c r="BH605" i="15"/>
  <c r="BJ605" i="15" s="1"/>
  <c r="BE728" i="15"/>
  <c r="BD728" i="15"/>
  <c r="BF728" i="15" s="1"/>
  <c r="BU236" i="15"/>
  <c r="BT236" i="15"/>
  <c r="BV236" i="15" s="1"/>
  <c r="BY113" i="15"/>
  <c r="BX113" i="15"/>
  <c r="BZ113" i="15" s="1"/>
  <c r="BQ359" i="15"/>
  <c r="BP359" i="15"/>
  <c r="BR359" i="15" s="1"/>
  <c r="BA851" i="15"/>
  <c r="AZ851" i="15"/>
  <c r="BB851" i="15" s="1"/>
  <c r="BA852" i="15" l="1"/>
  <c r="AZ852" i="15"/>
  <c r="BB852" i="15" s="1"/>
  <c r="BY114" i="15"/>
  <c r="BX114" i="15"/>
  <c r="BZ114" i="15" s="1"/>
  <c r="BE729" i="15"/>
  <c r="BD729" i="15"/>
  <c r="BF729" i="15" s="1"/>
  <c r="BI606" i="15"/>
  <c r="BH606" i="15"/>
  <c r="BJ606" i="15" s="1"/>
  <c r="AW975" i="15"/>
  <c r="AV975" i="15"/>
  <c r="AX975" i="15" s="1"/>
  <c r="BQ360" i="15"/>
  <c r="BP360" i="15"/>
  <c r="BR360" i="15" s="1"/>
  <c r="BU237" i="15"/>
  <c r="BT237" i="15"/>
  <c r="BV237" i="15" s="1"/>
  <c r="BM483" i="15"/>
  <c r="BL483" i="15"/>
  <c r="BN483" i="15" s="1"/>
  <c r="BU238" i="15" l="1"/>
  <c r="BT238" i="15"/>
  <c r="BV238" i="15" s="1"/>
  <c r="AW976" i="15"/>
  <c r="AV976" i="15"/>
  <c r="AX976" i="15" s="1"/>
  <c r="BE730" i="15"/>
  <c r="BD730" i="15"/>
  <c r="BF730" i="15" s="1"/>
  <c r="BA853" i="15"/>
  <c r="AZ853" i="15"/>
  <c r="BB853" i="15" s="1"/>
  <c r="BM484" i="15"/>
  <c r="BL484" i="15"/>
  <c r="BN484" i="15" s="1"/>
  <c r="BQ361" i="15"/>
  <c r="BP361" i="15"/>
  <c r="BR361" i="15" s="1"/>
  <c r="BI607" i="15"/>
  <c r="BH607" i="15"/>
  <c r="BJ607" i="15" s="1"/>
  <c r="BY115" i="15"/>
  <c r="BX115" i="15"/>
  <c r="BZ115" i="15" s="1"/>
  <c r="BY116" i="15" l="1"/>
  <c r="BX116" i="15"/>
  <c r="BZ116" i="15" s="1"/>
  <c r="BQ362" i="15"/>
  <c r="BP362" i="15"/>
  <c r="BR362" i="15" s="1"/>
  <c r="BM485" i="15"/>
  <c r="BL485" i="15"/>
  <c r="BN485" i="15" s="1"/>
  <c r="BE731" i="15"/>
  <c r="BD731" i="15"/>
  <c r="BF731" i="15" s="1"/>
  <c r="BU239" i="15"/>
  <c r="BT239" i="15"/>
  <c r="BV239" i="15" s="1"/>
  <c r="BI608" i="15"/>
  <c r="BH608" i="15"/>
  <c r="BJ608" i="15" s="1"/>
  <c r="BA854" i="15"/>
  <c r="AZ854" i="15"/>
  <c r="BB854" i="15" s="1"/>
  <c r="AW977" i="15"/>
  <c r="AV977" i="15"/>
  <c r="AX977" i="15" s="1"/>
  <c r="AW978" i="15" l="1"/>
  <c r="AV978" i="15"/>
  <c r="AX978" i="15" s="1"/>
  <c r="BI609" i="15"/>
  <c r="BH609" i="15"/>
  <c r="BJ609" i="15" s="1"/>
  <c r="BE732" i="15"/>
  <c r="BD732" i="15"/>
  <c r="BF732" i="15" s="1"/>
  <c r="BM486" i="15"/>
  <c r="BL486" i="15"/>
  <c r="BN486" i="15" s="1"/>
  <c r="BY117" i="15"/>
  <c r="BX117" i="15"/>
  <c r="BZ117" i="15" s="1"/>
  <c r="BA855" i="15"/>
  <c r="AZ855" i="15"/>
  <c r="BB855" i="15" s="1"/>
  <c r="BU240" i="15"/>
  <c r="BT240" i="15"/>
  <c r="BV240" i="15" s="1"/>
  <c r="BQ363" i="15"/>
  <c r="BP363" i="15"/>
  <c r="BR363" i="15" s="1"/>
  <c r="BQ364" i="15" l="1"/>
  <c r="BP364" i="15"/>
  <c r="BR364" i="15" s="1"/>
  <c r="BA856" i="15"/>
  <c r="AZ856" i="15"/>
  <c r="BB856" i="15" s="1"/>
  <c r="BM487" i="15"/>
  <c r="BL487" i="15"/>
  <c r="BN487" i="15" s="1"/>
  <c r="BE733" i="15"/>
  <c r="BD733" i="15"/>
  <c r="BF733" i="15" s="1"/>
  <c r="AW979" i="15"/>
  <c r="AV979" i="15"/>
  <c r="AX979" i="15" s="1"/>
  <c r="BU241" i="15"/>
  <c r="BT241" i="15"/>
  <c r="BV241" i="15" s="1"/>
  <c r="BY118" i="15"/>
  <c r="BX118" i="15"/>
  <c r="BZ118" i="15" s="1"/>
  <c r="BI610" i="15"/>
  <c r="BH610" i="15"/>
  <c r="BJ610" i="15" s="1"/>
  <c r="BI611" i="15" l="1"/>
  <c r="BH611" i="15"/>
  <c r="BJ611" i="15" s="1"/>
  <c r="BY119" i="15"/>
  <c r="BX119" i="15"/>
  <c r="BZ119" i="15" s="1"/>
  <c r="AW980" i="15"/>
  <c r="AV980" i="15"/>
  <c r="AX980" i="15" s="1"/>
  <c r="BM488" i="15"/>
  <c r="BL488" i="15"/>
  <c r="BN488" i="15" s="1"/>
  <c r="BQ365" i="15"/>
  <c r="BP365" i="15"/>
  <c r="BR365" i="15" s="1"/>
  <c r="BU242" i="15"/>
  <c r="BT242" i="15"/>
  <c r="BV242" i="15" s="1"/>
  <c r="BE734" i="15"/>
  <c r="BD734" i="15"/>
  <c r="BF734" i="15" s="1"/>
  <c r="BA857" i="15"/>
  <c r="AZ857" i="15"/>
  <c r="BB857" i="15" s="1"/>
  <c r="BE735" i="15" l="1"/>
  <c r="BD735" i="15"/>
  <c r="BF735" i="15" s="1"/>
  <c r="BM489" i="15"/>
  <c r="BL489" i="15"/>
  <c r="BN489" i="15" s="1"/>
  <c r="AW981" i="15"/>
  <c r="AV981" i="15"/>
  <c r="AX981" i="15" s="1"/>
  <c r="BI612" i="15"/>
  <c r="BH612" i="15"/>
  <c r="BJ612" i="15" s="1"/>
  <c r="BA858" i="15"/>
  <c r="AZ858" i="15"/>
  <c r="BB858" i="15" s="1"/>
  <c r="BU243" i="15"/>
  <c r="BT243" i="15"/>
  <c r="BV243" i="15" s="1"/>
  <c r="BQ366" i="15"/>
  <c r="BP366" i="15"/>
  <c r="BR366" i="15" s="1"/>
  <c r="BY120" i="15"/>
  <c r="BX120" i="15"/>
  <c r="BZ120" i="15" s="1"/>
  <c r="BY121" i="15" l="1"/>
  <c r="BX121" i="15"/>
  <c r="BZ121" i="15" s="1"/>
  <c r="BU244" i="15"/>
  <c r="BT244" i="15"/>
  <c r="BV244" i="15" s="1"/>
  <c r="BI613" i="15"/>
  <c r="BH613" i="15"/>
  <c r="BJ613" i="15" s="1"/>
  <c r="AW982" i="15"/>
  <c r="AV982" i="15"/>
  <c r="AX982" i="15" s="1"/>
  <c r="BE736" i="15"/>
  <c r="BD736" i="15"/>
  <c r="BF736" i="15" s="1"/>
  <c r="BQ367" i="15"/>
  <c r="BP367" i="15"/>
  <c r="BR367" i="15" s="1"/>
  <c r="BA859" i="15"/>
  <c r="AZ859" i="15"/>
  <c r="BB859" i="15" s="1"/>
  <c r="BM490" i="15"/>
  <c r="BL490" i="15"/>
  <c r="BN490" i="15" s="1"/>
  <c r="BA860" i="15" l="1"/>
  <c r="AZ860" i="15"/>
  <c r="BB860" i="15" s="1"/>
  <c r="BQ368" i="15"/>
  <c r="BP368" i="15"/>
  <c r="BR368" i="15" s="1"/>
  <c r="AW983" i="15"/>
  <c r="AV983" i="15"/>
  <c r="AX983" i="15" s="1"/>
  <c r="BI614" i="15"/>
  <c r="BH614" i="15"/>
  <c r="BJ614" i="15" s="1"/>
  <c r="BY122" i="15"/>
  <c r="BX122" i="15"/>
  <c r="BZ122" i="15" s="1"/>
  <c r="BM491" i="15"/>
  <c r="BL491" i="15"/>
  <c r="BN491" i="15" s="1"/>
  <c r="BE737" i="15"/>
  <c r="BD737" i="15"/>
  <c r="BF737" i="15" s="1"/>
  <c r="BU245" i="15"/>
  <c r="BT245" i="15"/>
  <c r="BV245" i="15" s="1"/>
  <c r="BE738" i="15" l="1"/>
  <c r="BD738" i="15"/>
  <c r="BF738" i="15" s="1"/>
  <c r="BM492" i="15"/>
  <c r="BL492" i="15"/>
  <c r="BN492" i="15" s="1"/>
  <c r="BI615" i="15"/>
  <c r="BH615" i="15"/>
  <c r="BJ615" i="15" s="1"/>
  <c r="AW984" i="15"/>
  <c r="AV984" i="15"/>
  <c r="AX984" i="15" s="1"/>
  <c r="BA861" i="15"/>
  <c r="AZ861" i="15"/>
  <c r="BB861" i="15" s="1"/>
  <c r="BU246" i="15"/>
  <c r="BT246" i="15"/>
  <c r="BV246" i="15" s="1"/>
  <c r="BY123" i="15"/>
  <c r="BX123" i="15"/>
  <c r="BZ123" i="15" s="1"/>
  <c r="BQ369" i="15"/>
  <c r="BP369" i="15"/>
  <c r="BR369" i="15" s="1"/>
  <c r="BQ370" i="15" l="1"/>
  <c r="BP370" i="15"/>
  <c r="BR370" i="15" s="1"/>
  <c r="BU247" i="15"/>
  <c r="BT247" i="15"/>
  <c r="BV247" i="15" s="1"/>
  <c r="AW985" i="15"/>
  <c r="AV985" i="15"/>
  <c r="AX985" i="15" s="1"/>
  <c r="BI616" i="15"/>
  <c r="BH616" i="15"/>
  <c r="BJ616" i="15" s="1"/>
  <c r="BE739" i="15"/>
  <c r="BD739" i="15"/>
  <c r="BF739" i="15" s="1"/>
  <c r="BY124" i="15"/>
  <c r="BX124" i="15"/>
  <c r="BZ124" i="15" s="1"/>
  <c r="BA862" i="15"/>
  <c r="AZ862" i="15"/>
  <c r="BB862" i="15" s="1"/>
  <c r="BM493" i="15"/>
  <c r="BL493" i="15"/>
  <c r="BN493" i="15" s="1"/>
  <c r="BM494" i="15" l="1"/>
  <c r="BL494" i="15"/>
  <c r="BN494" i="15" s="1"/>
  <c r="BY125" i="15"/>
  <c r="BX125" i="15"/>
  <c r="BZ125" i="15" s="1"/>
  <c r="BI617" i="15"/>
  <c r="BH617" i="15"/>
  <c r="BJ617" i="15" s="1"/>
  <c r="AW986" i="15"/>
  <c r="AV986" i="15"/>
  <c r="AX986" i="15" s="1"/>
  <c r="BQ371" i="15"/>
  <c r="BP371" i="15"/>
  <c r="BR371" i="15" s="1"/>
  <c r="BA863" i="15"/>
  <c r="AZ863" i="15"/>
  <c r="BB863" i="15" s="1"/>
  <c r="BE740" i="15"/>
  <c r="BD740" i="15"/>
  <c r="BF740" i="15" s="1"/>
  <c r="BU248" i="15"/>
  <c r="BT248" i="15"/>
  <c r="BV248" i="15" s="1"/>
  <c r="BE741" i="15" l="1"/>
  <c r="BD741" i="15"/>
  <c r="BF741" i="15" s="1"/>
  <c r="BQ372" i="15"/>
  <c r="BP372" i="15"/>
  <c r="BR372" i="15" s="1"/>
  <c r="BI618" i="15"/>
  <c r="BH618" i="15"/>
  <c r="BJ618" i="15" s="1"/>
  <c r="BM495" i="15"/>
  <c r="BL495" i="15"/>
  <c r="BN495" i="15" s="1"/>
  <c r="BU249" i="15"/>
  <c r="BT249" i="15"/>
  <c r="BV249" i="15" s="1"/>
  <c r="BA864" i="15"/>
  <c r="AZ864" i="15"/>
  <c r="BB864" i="15" s="1"/>
  <c r="AW987" i="15"/>
  <c r="AV987" i="15"/>
  <c r="AX987" i="15" s="1"/>
  <c r="BY126" i="15"/>
  <c r="BX126" i="15"/>
  <c r="BZ126" i="15" s="1"/>
  <c r="AW988" i="15" l="1"/>
  <c r="AV988" i="15"/>
  <c r="AX988" i="15" s="1"/>
  <c r="BU250" i="15"/>
  <c r="BT250" i="15"/>
  <c r="BV250" i="15" s="1"/>
  <c r="BI619" i="15"/>
  <c r="BH619" i="15"/>
  <c r="BJ619" i="15" s="1"/>
  <c r="BE742" i="15"/>
  <c r="BD742" i="15"/>
  <c r="BF742" i="15" s="1"/>
  <c r="BY127" i="15"/>
  <c r="BX127" i="15"/>
  <c r="BZ127" i="15" s="1"/>
  <c r="BA865" i="15"/>
  <c r="AZ865" i="15"/>
  <c r="BB865" i="15" s="1"/>
  <c r="BM496" i="15"/>
  <c r="BL496" i="15"/>
  <c r="BN496" i="15" s="1"/>
  <c r="BQ373" i="15"/>
  <c r="BP373" i="15"/>
  <c r="BR373" i="15" s="1"/>
  <c r="BQ374" i="15" l="1"/>
  <c r="BP374" i="15"/>
  <c r="BR374" i="15" s="1"/>
  <c r="BA866" i="15"/>
  <c r="AZ866" i="15"/>
  <c r="BB866" i="15" s="1"/>
  <c r="BE743" i="15"/>
  <c r="BD743" i="15"/>
  <c r="BF743" i="15" s="1"/>
  <c r="BI620" i="15"/>
  <c r="BH620" i="15"/>
  <c r="BJ620" i="15" s="1"/>
  <c r="AW989" i="15"/>
  <c r="AV989" i="15"/>
  <c r="AX989" i="15" s="1"/>
  <c r="BM497" i="15"/>
  <c r="BL497" i="15"/>
  <c r="BN497" i="15" s="1"/>
  <c r="BY128" i="15"/>
  <c r="BX128" i="15"/>
  <c r="BZ128" i="15" s="1"/>
  <c r="BU251" i="15"/>
  <c r="BT251" i="15"/>
  <c r="BV251" i="15" s="1"/>
  <c r="BY129" i="15" l="1"/>
  <c r="BX129" i="15"/>
  <c r="BZ129" i="15" s="1"/>
  <c r="AW990" i="15"/>
  <c r="AV990" i="15"/>
  <c r="AX990" i="15" s="1"/>
  <c r="BE744" i="15"/>
  <c r="BD744" i="15"/>
  <c r="BF744" i="15" s="1"/>
  <c r="BQ375" i="15"/>
  <c r="BP375" i="15"/>
  <c r="BR375" i="15" s="1"/>
  <c r="BU252" i="15"/>
  <c r="BT252" i="15"/>
  <c r="BV252" i="15" s="1"/>
  <c r="BM498" i="15"/>
  <c r="BL498" i="15"/>
  <c r="BN498" i="15" s="1"/>
  <c r="BI621" i="15"/>
  <c r="BH621" i="15"/>
  <c r="BJ621" i="15" s="1"/>
  <c r="BA867" i="15"/>
  <c r="AZ867" i="15"/>
  <c r="BB867" i="15" s="1"/>
  <c r="BI622" i="15" l="1"/>
  <c r="BH622" i="15"/>
  <c r="BJ622" i="15" s="1"/>
  <c r="BU253" i="15"/>
  <c r="BT253" i="15"/>
  <c r="BV253" i="15" s="1"/>
  <c r="BE745" i="15"/>
  <c r="BD745" i="15"/>
  <c r="BF745" i="15" s="1"/>
  <c r="BY130" i="15"/>
  <c r="BX130" i="15"/>
  <c r="BZ130" i="15" s="1"/>
  <c r="BA868" i="15"/>
  <c r="AZ868" i="15"/>
  <c r="BB868" i="15" s="1"/>
  <c r="BM499" i="15"/>
  <c r="BL499" i="15"/>
  <c r="BN499" i="15" s="1"/>
  <c r="BQ376" i="15"/>
  <c r="BP376" i="15"/>
  <c r="BR376" i="15" s="1"/>
  <c r="AW991" i="15"/>
  <c r="AV991" i="15"/>
  <c r="AX991" i="15" s="1"/>
  <c r="BQ377" i="15" l="1"/>
  <c r="BP377" i="15"/>
  <c r="BR377" i="15" s="1"/>
  <c r="BM500" i="15"/>
  <c r="BL500" i="15"/>
  <c r="BN500" i="15" s="1"/>
  <c r="BY131" i="15"/>
  <c r="BX131" i="15"/>
  <c r="BZ131" i="15" s="1"/>
  <c r="BE746" i="15"/>
  <c r="BD746" i="15"/>
  <c r="BF746" i="15" s="1"/>
  <c r="BI623" i="15"/>
  <c r="BH623" i="15"/>
  <c r="BJ623" i="15" s="1"/>
  <c r="AW992" i="15"/>
  <c r="AV992" i="15"/>
  <c r="AX992" i="15" s="1"/>
  <c r="BA869" i="15"/>
  <c r="AZ869" i="15"/>
  <c r="BB869" i="15" s="1"/>
  <c r="BU254" i="15"/>
  <c r="BT254" i="15"/>
  <c r="BV254" i="15" s="1"/>
  <c r="BA870" i="15" l="1"/>
  <c r="AZ870" i="15"/>
  <c r="BB870" i="15" s="1"/>
  <c r="BI624" i="15"/>
  <c r="BH624" i="15"/>
  <c r="BJ624" i="15" s="1"/>
  <c r="BY132" i="15"/>
  <c r="BX132" i="15"/>
  <c r="BZ132" i="15" s="1"/>
  <c r="BQ378" i="15"/>
  <c r="BP378" i="15"/>
  <c r="BR378" i="15" s="1"/>
  <c r="BU255" i="15"/>
  <c r="BT255" i="15"/>
  <c r="BV255" i="15" s="1"/>
  <c r="AW993" i="15"/>
  <c r="AV993" i="15"/>
  <c r="AX993" i="15" s="1"/>
  <c r="BE747" i="15"/>
  <c r="BD747" i="15"/>
  <c r="BF747" i="15" s="1"/>
  <c r="BM501" i="15"/>
  <c r="BL501" i="15"/>
  <c r="BN501" i="15" s="1"/>
  <c r="AW994" i="15" l="1"/>
  <c r="AV994" i="15"/>
  <c r="AX994" i="15" s="1"/>
  <c r="BU256" i="15"/>
  <c r="BT256" i="15"/>
  <c r="BV256" i="15" s="1"/>
  <c r="BY133" i="15"/>
  <c r="BX133" i="15"/>
  <c r="BZ133" i="15" s="1"/>
  <c r="BA871" i="15"/>
  <c r="AZ871" i="15"/>
  <c r="BB871" i="15" s="1"/>
  <c r="BM502" i="15"/>
  <c r="BL502" i="15"/>
  <c r="BN502" i="15" s="1"/>
  <c r="BE748" i="15"/>
  <c r="BD748" i="15"/>
  <c r="BF748" i="15" s="1"/>
  <c r="BQ379" i="15"/>
  <c r="BP379" i="15"/>
  <c r="BR379" i="15" s="1"/>
  <c r="BI625" i="15"/>
  <c r="BH625" i="15"/>
  <c r="BJ625" i="15" s="1"/>
  <c r="BE749" i="15" l="1"/>
  <c r="BD749" i="15"/>
  <c r="BF749" i="15" s="1"/>
  <c r="BU257" i="15"/>
  <c r="BT257" i="15"/>
  <c r="BV257" i="15" s="1"/>
  <c r="BI626" i="15"/>
  <c r="BH626" i="15"/>
  <c r="BJ626" i="15" s="1"/>
  <c r="BQ380" i="15"/>
  <c r="BP380" i="15"/>
  <c r="BR380" i="15" s="1"/>
  <c r="BM503" i="15"/>
  <c r="BL503" i="15"/>
  <c r="BN503" i="15" s="1"/>
  <c r="BA872" i="15"/>
  <c r="AZ872" i="15"/>
  <c r="BB872" i="15" s="1"/>
  <c r="BY134" i="15"/>
  <c r="BX134" i="15"/>
  <c r="BZ134" i="15" s="1"/>
  <c r="AW995" i="15"/>
  <c r="AV995" i="15"/>
  <c r="AX995" i="15" s="1"/>
  <c r="AW996" i="15" l="1"/>
  <c r="AV996" i="15"/>
  <c r="AX996" i="15" s="1"/>
  <c r="BA873" i="15"/>
  <c r="AZ873" i="15"/>
  <c r="BB873" i="15" s="1"/>
  <c r="BQ381" i="15"/>
  <c r="BP381" i="15"/>
  <c r="BR381" i="15" s="1"/>
  <c r="BI627" i="15"/>
  <c r="BH627" i="15"/>
  <c r="BJ627" i="15" s="1"/>
  <c r="BE750" i="15"/>
  <c r="BD750" i="15"/>
  <c r="BF750" i="15" s="1"/>
  <c r="BY135" i="15"/>
  <c r="BX135" i="15"/>
  <c r="BZ135" i="15" s="1"/>
  <c r="BM504" i="15"/>
  <c r="BL504" i="15"/>
  <c r="BN504" i="15" s="1"/>
  <c r="BU258" i="15"/>
  <c r="BT258" i="15"/>
  <c r="BV258" i="15" s="1"/>
  <c r="BU259" i="15" l="1"/>
  <c r="BT259" i="15"/>
  <c r="BV259" i="15" s="1"/>
  <c r="BY136" i="15"/>
  <c r="BX136" i="15"/>
  <c r="BZ136" i="15" s="1"/>
  <c r="BI628" i="15"/>
  <c r="BH628" i="15"/>
  <c r="BJ628" i="15" s="1"/>
  <c r="BQ382" i="15"/>
  <c r="BP382" i="15"/>
  <c r="BR382" i="15" s="1"/>
  <c r="AW997" i="15"/>
  <c r="AV997" i="15"/>
  <c r="AX997" i="15" s="1"/>
  <c r="BM505" i="15"/>
  <c r="BL505" i="15"/>
  <c r="BN505" i="15" s="1"/>
  <c r="BE751" i="15"/>
  <c r="BD751" i="15"/>
  <c r="BF751" i="15" s="1"/>
  <c r="BA874" i="15"/>
  <c r="AZ874" i="15"/>
  <c r="BB874" i="15" s="1"/>
  <c r="BE752" i="15" l="1"/>
  <c r="BD752" i="15"/>
  <c r="BF752" i="15" s="1"/>
  <c r="AW998" i="15"/>
  <c r="AV998" i="15"/>
  <c r="AX998" i="15" s="1"/>
  <c r="BI629" i="15"/>
  <c r="BH629" i="15"/>
  <c r="BJ629" i="15" s="1"/>
  <c r="BU260" i="15"/>
  <c r="BT260" i="15"/>
  <c r="BV260" i="15" s="1"/>
  <c r="BA875" i="15"/>
  <c r="AZ875" i="15"/>
  <c r="BB875" i="15" s="1"/>
  <c r="BM506" i="15"/>
  <c r="BL506" i="15"/>
  <c r="BN506" i="15" s="1"/>
  <c r="BQ383" i="15"/>
  <c r="BP383" i="15"/>
  <c r="BR383" i="15" s="1"/>
  <c r="BY137" i="15"/>
  <c r="BX137" i="15"/>
  <c r="BZ137" i="15" s="1"/>
  <c r="BY138" i="15" l="1"/>
  <c r="BX138" i="15"/>
  <c r="BZ138" i="15" s="1"/>
  <c r="BM507" i="15"/>
  <c r="BL507" i="15"/>
  <c r="BN507" i="15" s="1"/>
  <c r="BU261" i="15"/>
  <c r="BT261" i="15"/>
  <c r="BV261" i="15" s="1"/>
  <c r="BI630" i="15"/>
  <c r="BH630" i="15"/>
  <c r="BJ630" i="15" s="1"/>
  <c r="BE753" i="15"/>
  <c r="BD753" i="15"/>
  <c r="BF753" i="15" s="1"/>
  <c r="BQ384" i="15"/>
  <c r="BP384" i="15"/>
  <c r="BR384" i="15" s="1"/>
  <c r="BA876" i="15"/>
  <c r="AZ876" i="15"/>
  <c r="BB876" i="15" s="1"/>
  <c r="AW999" i="15"/>
  <c r="AV999" i="15"/>
  <c r="AX999" i="15" s="1"/>
  <c r="BA877" i="15" l="1"/>
  <c r="AZ877" i="15"/>
  <c r="BB877" i="15" s="1"/>
  <c r="BQ385" i="15"/>
  <c r="BP385" i="15"/>
  <c r="BR385" i="15" s="1"/>
  <c r="BI631" i="15"/>
  <c r="BH631" i="15"/>
  <c r="BJ631" i="15" s="1"/>
  <c r="BU262" i="15"/>
  <c r="BT262" i="15"/>
  <c r="BV262" i="15" s="1"/>
  <c r="BY139" i="15"/>
  <c r="BX139" i="15"/>
  <c r="BZ139" i="15" s="1"/>
  <c r="AW1000" i="15"/>
  <c r="AV1000" i="15"/>
  <c r="AX1000" i="15" s="1"/>
  <c r="BE754" i="15"/>
  <c r="BD754" i="15"/>
  <c r="BF754" i="15" s="1"/>
  <c r="BM508" i="15"/>
  <c r="BL508" i="15"/>
  <c r="BN508" i="15" s="1"/>
  <c r="BM509" i="15" l="1"/>
  <c r="BL509" i="15"/>
  <c r="BN509" i="15" s="1"/>
  <c r="AW1001" i="15"/>
  <c r="AV1001" i="15"/>
  <c r="AX1001" i="15" s="1"/>
  <c r="BU263" i="15"/>
  <c r="BT263" i="15"/>
  <c r="BV263" i="15" s="1"/>
  <c r="BI632" i="15"/>
  <c r="BH632" i="15"/>
  <c r="BJ632" i="15" s="1"/>
  <c r="BA878" i="15"/>
  <c r="AZ878" i="15"/>
  <c r="BB878" i="15" s="1"/>
  <c r="BE755" i="15"/>
  <c r="BD755" i="15"/>
  <c r="BF755" i="15" s="1"/>
  <c r="BY140" i="15"/>
  <c r="BX140" i="15"/>
  <c r="BZ140" i="15" s="1"/>
  <c r="BQ386" i="15"/>
  <c r="BP386" i="15"/>
  <c r="BR386" i="15" s="1"/>
  <c r="BQ387" i="15" l="1"/>
  <c r="BP387" i="15"/>
  <c r="BR387" i="15" s="1"/>
  <c r="BE756" i="15"/>
  <c r="BD756" i="15"/>
  <c r="BF756" i="15" s="1"/>
  <c r="BI633" i="15"/>
  <c r="BH633" i="15"/>
  <c r="BJ633" i="15" s="1"/>
  <c r="BU264" i="15"/>
  <c r="BT264" i="15"/>
  <c r="BV264" i="15" s="1"/>
  <c r="BM510" i="15"/>
  <c r="BL510" i="15"/>
  <c r="BN510" i="15" s="1"/>
  <c r="BY141" i="15"/>
  <c r="BX141" i="15"/>
  <c r="BZ141" i="15" s="1"/>
  <c r="BA879" i="15"/>
  <c r="AZ879" i="15"/>
  <c r="BB879" i="15" s="1"/>
  <c r="AW1002" i="15"/>
  <c r="AV1002" i="15"/>
  <c r="AX1002" i="15" s="1"/>
  <c r="AW1003" i="15" l="1"/>
  <c r="AV1003" i="15"/>
  <c r="AX1003" i="15" s="1"/>
  <c r="BY142" i="15"/>
  <c r="BX142" i="15"/>
  <c r="BZ142" i="15" s="1"/>
  <c r="BM511" i="15"/>
  <c r="BL511" i="15"/>
  <c r="BN511" i="15" s="1"/>
  <c r="BI634" i="15"/>
  <c r="BH634" i="15"/>
  <c r="BJ634" i="15" s="1"/>
  <c r="BQ388" i="15"/>
  <c r="BP388" i="15"/>
  <c r="BR388" i="15" s="1"/>
  <c r="BA880" i="15"/>
  <c r="AZ880" i="15"/>
  <c r="BB880" i="15" s="1"/>
  <c r="BU265" i="15"/>
  <c r="BT265" i="15"/>
  <c r="BV265" i="15" s="1"/>
  <c r="BE757" i="15"/>
  <c r="BD757" i="15"/>
  <c r="BF757" i="15" s="1"/>
  <c r="BU266" i="15" l="1"/>
  <c r="BT266" i="15"/>
  <c r="BV266" i="15" s="1"/>
  <c r="BQ389" i="15"/>
  <c r="BP389" i="15"/>
  <c r="BR389" i="15" s="1"/>
  <c r="BM512" i="15"/>
  <c r="BL512" i="15"/>
  <c r="BN512" i="15" s="1"/>
  <c r="AW1004" i="15"/>
  <c r="AV1004" i="15"/>
  <c r="AX1004" i="15" s="1"/>
  <c r="BE758" i="15"/>
  <c r="BD758" i="15"/>
  <c r="BF758" i="15" s="1"/>
  <c r="BA881" i="15"/>
  <c r="AZ881" i="15"/>
  <c r="BB881" i="15" s="1"/>
  <c r="BI635" i="15"/>
  <c r="BH635" i="15"/>
  <c r="BJ635" i="15" s="1"/>
  <c r="BY143" i="15"/>
  <c r="BX143" i="15"/>
  <c r="BZ143" i="15" s="1"/>
  <c r="BI636" i="15" l="1"/>
  <c r="BH636" i="15"/>
  <c r="BJ636" i="15" s="1"/>
  <c r="BE759" i="15"/>
  <c r="BD759" i="15"/>
  <c r="BF759" i="15" s="1"/>
  <c r="BM513" i="15"/>
  <c r="BL513" i="15"/>
  <c r="BN513" i="15" s="1"/>
  <c r="BU267" i="15"/>
  <c r="BT267" i="15"/>
  <c r="BV267" i="15" s="1"/>
  <c r="BY144" i="15"/>
  <c r="BX144" i="15"/>
  <c r="BZ144" i="15" s="1"/>
  <c r="BA882" i="15"/>
  <c r="AZ882" i="15"/>
  <c r="BB882" i="15" s="1"/>
  <c r="AW1005" i="15"/>
  <c r="AV1005" i="15"/>
  <c r="AX1005" i="15" s="1"/>
  <c r="BQ390" i="15"/>
  <c r="BP390" i="15"/>
  <c r="BR390" i="15" s="1"/>
  <c r="BQ391" i="15" l="1"/>
  <c r="BP391" i="15"/>
  <c r="BR391" i="15" s="1"/>
  <c r="BA883" i="15"/>
  <c r="AZ883" i="15"/>
  <c r="BB883" i="15" s="1"/>
  <c r="BU268" i="15"/>
  <c r="BT268" i="15"/>
  <c r="BV268" i="15" s="1"/>
  <c r="BM514" i="15"/>
  <c r="BL514" i="15"/>
  <c r="BN514" i="15" s="1"/>
  <c r="BI637" i="15"/>
  <c r="BH637" i="15"/>
  <c r="BJ637" i="15" s="1"/>
  <c r="AW1006" i="15"/>
  <c r="AV1006" i="15"/>
  <c r="AX1006" i="15" s="1"/>
  <c r="BY145" i="15"/>
  <c r="BX145" i="15"/>
  <c r="BZ145" i="15" s="1"/>
  <c r="BE760" i="15"/>
  <c r="BD760" i="15"/>
  <c r="BF760" i="15" s="1"/>
  <c r="BY146" i="15" l="1"/>
  <c r="BX146" i="15"/>
  <c r="BZ146" i="15" s="1"/>
  <c r="BI638" i="15"/>
  <c r="BH638" i="15"/>
  <c r="BJ638" i="15" s="1"/>
  <c r="BU269" i="15"/>
  <c r="BT269" i="15"/>
  <c r="BV269" i="15" s="1"/>
  <c r="BQ392" i="15"/>
  <c r="BP392" i="15"/>
  <c r="BR392" i="15" s="1"/>
  <c r="BE761" i="15"/>
  <c r="BD761" i="15"/>
  <c r="BF761" i="15" s="1"/>
  <c r="AW1007" i="15"/>
  <c r="AV1007" i="15"/>
  <c r="AX1007" i="15" s="1"/>
  <c r="BM515" i="15"/>
  <c r="BL515" i="15"/>
  <c r="BN515" i="15" s="1"/>
  <c r="BA884" i="15"/>
  <c r="AZ884" i="15"/>
  <c r="BB884" i="15" s="1"/>
  <c r="BA885" i="15" l="1"/>
  <c r="AZ885" i="15"/>
  <c r="BB885" i="15" s="1"/>
  <c r="AW1008" i="15"/>
  <c r="AV1008" i="15"/>
  <c r="AX1008" i="15" s="1"/>
  <c r="BQ393" i="15"/>
  <c r="BP393" i="15"/>
  <c r="BR393" i="15" s="1"/>
  <c r="BU270" i="15"/>
  <c r="BT270" i="15"/>
  <c r="BV270" i="15" s="1"/>
  <c r="K21" i="15"/>
  <c r="BY147" i="15"/>
  <c r="BX147" i="15"/>
  <c r="BZ147" i="15" s="1"/>
  <c r="BM516" i="15"/>
  <c r="BL516" i="15"/>
  <c r="BN516" i="15" s="1"/>
  <c r="BE762" i="15"/>
  <c r="BD762" i="15"/>
  <c r="BF762" i="15" s="1"/>
  <c r="BI639" i="15"/>
  <c r="BH639" i="15"/>
  <c r="BJ639" i="15" s="1"/>
  <c r="BU271" i="15" l="1"/>
  <c r="BT271" i="15"/>
  <c r="BV271" i="15" s="1"/>
  <c r="BQ394" i="15"/>
  <c r="BP394" i="15"/>
  <c r="BR394" i="15" s="1"/>
  <c r="AW1009" i="15"/>
  <c r="AV1009" i="15"/>
  <c r="AX1009" i="15" s="1"/>
  <c r="BA886" i="15"/>
  <c r="AZ886" i="15"/>
  <c r="BB886" i="15" s="1"/>
  <c r="BI640" i="15"/>
  <c r="BH640" i="15"/>
  <c r="BJ640" i="15" s="1"/>
  <c r="BE763" i="15"/>
  <c r="BD763" i="15"/>
  <c r="BF763" i="15" s="1"/>
  <c r="BM517" i="15"/>
  <c r="BL517" i="15"/>
  <c r="BN517" i="15" s="1"/>
  <c r="BY148" i="15"/>
  <c r="BX148" i="15"/>
  <c r="BZ148" i="15" s="1"/>
  <c r="H22" i="15"/>
  <c r="L21" i="15"/>
  <c r="M21" i="15"/>
  <c r="D22" i="15"/>
  <c r="C22" i="15" s="1"/>
  <c r="F22" i="15"/>
  <c r="E22" i="15" s="1"/>
  <c r="BY149" i="15" l="1"/>
  <c r="BX149" i="15"/>
  <c r="BZ149" i="15" s="1"/>
  <c r="BA887" i="15"/>
  <c r="AZ887" i="15"/>
  <c r="BB887" i="15" s="1"/>
  <c r="BM518" i="15"/>
  <c r="BL518" i="15"/>
  <c r="BN518" i="15" s="1"/>
  <c r="BE764" i="15"/>
  <c r="BD764" i="15"/>
  <c r="BF764" i="15" s="1"/>
  <c r="BI641" i="15"/>
  <c r="BH641" i="15"/>
  <c r="BJ641" i="15" s="1"/>
  <c r="AW1010" i="15"/>
  <c r="AV1010" i="15"/>
  <c r="AX1010" i="15" s="1"/>
  <c r="BQ395" i="15"/>
  <c r="BP395" i="15"/>
  <c r="BR395" i="15" s="1"/>
  <c r="BU272" i="15"/>
  <c r="BT272" i="15"/>
  <c r="BV272" i="15" s="1"/>
  <c r="I22" i="15"/>
  <c r="Q3" i="15" s="1"/>
  <c r="CA27" i="15"/>
  <c r="J22" i="15"/>
  <c r="CA28" i="15"/>
  <c r="CA29" i="15"/>
  <c r="CA30" i="15"/>
  <c r="CA31" i="15"/>
  <c r="CA32" i="15"/>
  <c r="CA33" i="15"/>
  <c r="CA34" i="15"/>
  <c r="CA35" i="15"/>
  <c r="CA36" i="15"/>
  <c r="CA37" i="15"/>
  <c r="CA38" i="15"/>
  <c r="CA39" i="15"/>
  <c r="CA40" i="15"/>
  <c r="CA41" i="15"/>
  <c r="CA42" i="15"/>
  <c r="CA43" i="15"/>
  <c r="CA44" i="15"/>
  <c r="CA45" i="15"/>
  <c r="CA46" i="15"/>
  <c r="CA47" i="15"/>
  <c r="CA48" i="15"/>
  <c r="CA49" i="15"/>
  <c r="CA50" i="15"/>
  <c r="CA51" i="15"/>
  <c r="CA52" i="15"/>
  <c r="CA53" i="15"/>
  <c r="CA54" i="15"/>
  <c r="CA55" i="15"/>
  <c r="CA56" i="15"/>
  <c r="CA57" i="15"/>
  <c r="CA58" i="15"/>
  <c r="CA59" i="15"/>
  <c r="CA60" i="15"/>
  <c r="CA61" i="15"/>
  <c r="CA62" i="15"/>
  <c r="CA63" i="15"/>
  <c r="CA64" i="15"/>
  <c r="CA65" i="15"/>
  <c r="CA66" i="15"/>
  <c r="CA67" i="15"/>
  <c r="CA68" i="15"/>
  <c r="CA69" i="15"/>
  <c r="CA70" i="15"/>
  <c r="CA71" i="15"/>
  <c r="CA72" i="15"/>
  <c r="CA73" i="15"/>
  <c r="CA74" i="15"/>
  <c r="CA75" i="15"/>
  <c r="CA76" i="15"/>
  <c r="CA77" i="15"/>
  <c r="CA78" i="15"/>
  <c r="CA79" i="15"/>
  <c r="CA80" i="15"/>
  <c r="CA81" i="15"/>
  <c r="CA82" i="15"/>
  <c r="CA83" i="15"/>
  <c r="CA84" i="15"/>
  <c r="CA85" i="15"/>
  <c r="CA86" i="15"/>
  <c r="CA87" i="15"/>
  <c r="CA88" i="15"/>
  <c r="CA89" i="15"/>
  <c r="CA90" i="15"/>
  <c r="CA91" i="15"/>
  <c r="CA92" i="15"/>
  <c r="CA93" i="15"/>
  <c r="CA94" i="15"/>
  <c r="CA95" i="15"/>
  <c r="CA96" i="15"/>
  <c r="CA97" i="15"/>
  <c r="CA98" i="15"/>
  <c r="CA99" i="15"/>
  <c r="CA100" i="15"/>
  <c r="CA101" i="15"/>
  <c r="CA102" i="15"/>
  <c r="CA103" i="15"/>
  <c r="CA104" i="15"/>
  <c r="CA105" i="15"/>
  <c r="CA106" i="15"/>
  <c r="CA107" i="15"/>
  <c r="CA108" i="15"/>
  <c r="CA109" i="15"/>
  <c r="CA110" i="15"/>
  <c r="CA111" i="15"/>
  <c r="CA112" i="15"/>
  <c r="CA113" i="15"/>
  <c r="CA114" i="15"/>
  <c r="CA115" i="15"/>
  <c r="CA116" i="15"/>
  <c r="CA117" i="15"/>
  <c r="CA118" i="15"/>
  <c r="CA119" i="15"/>
  <c r="CA120" i="15"/>
  <c r="CA121" i="15"/>
  <c r="CA122" i="15"/>
  <c r="CA123" i="15"/>
  <c r="CA124" i="15"/>
  <c r="CA125" i="15"/>
  <c r="CA126" i="15"/>
  <c r="CA127" i="15"/>
  <c r="CA128" i="15"/>
  <c r="CA129" i="15"/>
  <c r="CA130" i="15"/>
  <c r="CA131" i="15"/>
  <c r="CA132" i="15"/>
  <c r="CA133" i="15"/>
  <c r="CA134" i="15"/>
  <c r="CA135" i="15"/>
  <c r="CA136" i="15"/>
  <c r="CA137" i="15"/>
  <c r="CA138" i="15"/>
  <c r="CA139" i="15"/>
  <c r="CA140" i="15"/>
  <c r="CA141" i="15"/>
  <c r="CA142" i="15"/>
  <c r="CA143" i="15"/>
  <c r="CA144" i="15"/>
  <c r="CA145" i="15"/>
  <c r="CA146" i="15"/>
  <c r="H23" i="15"/>
  <c r="D27" i="7" s="1"/>
  <c r="E27" i="7" s="1"/>
  <c r="CA147" i="15"/>
  <c r="CA148" i="15"/>
  <c r="CA152" i="15"/>
  <c r="CA155" i="15"/>
  <c r="CA156" i="15"/>
  <c r="CA159" i="15"/>
  <c r="CA161" i="15"/>
  <c r="CA165" i="15"/>
  <c r="CA166" i="15"/>
  <c r="CA169" i="15"/>
  <c r="CA172" i="15"/>
  <c r="CA175" i="15"/>
  <c r="CA176" i="15"/>
  <c r="CA178" i="15"/>
  <c r="CA179" i="15"/>
  <c r="CA182" i="15"/>
  <c r="CA183" i="15"/>
  <c r="CA186" i="15"/>
  <c r="CA188" i="15"/>
  <c r="CA192" i="15"/>
  <c r="CA195" i="15"/>
  <c r="CA198" i="15"/>
  <c r="CA199" i="15"/>
  <c r="CA202" i="15"/>
  <c r="CA203" i="15"/>
  <c r="CA204" i="15"/>
  <c r="CA208" i="15"/>
  <c r="CA209" i="15"/>
  <c r="CA212" i="15"/>
  <c r="CA216" i="15"/>
  <c r="CA217" i="15"/>
  <c r="CA220" i="15"/>
  <c r="CA222" i="15"/>
  <c r="CA226" i="15"/>
  <c r="CA227" i="15"/>
  <c r="CA229" i="15"/>
  <c r="CA232" i="15"/>
  <c r="CA233" i="15"/>
  <c r="CA234" i="15"/>
  <c r="CA239" i="15"/>
  <c r="CA242" i="15"/>
  <c r="CA244" i="15"/>
  <c r="CA246" i="15"/>
  <c r="CA249" i="15"/>
  <c r="CA250" i="15"/>
  <c r="CA255" i="15"/>
  <c r="CA257" i="15"/>
  <c r="CA260" i="15"/>
  <c r="CA261" i="15"/>
  <c r="CA264" i="15"/>
  <c r="CA265" i="15"/>
  <c r="CA266" i="15"/>
  <c r="CA270" i="15"/>
  <c r="CA271" i="15"/>
  <c r="CA274" i="15"/>
  <c r="CA275" i="15"/>
  <c r="CA281" i="15"/>
  <c r="CA282" i="15"/>
  <c r="CA283" i="15"/>
  <c r="CA286" i="15"/>
  <c r="CA287" i="15"/>
  <c r="CA290" i="15"/>
  <c r="CA291" i="15"/>
  <c r="CA292" i="15"/>
  <c r="CA295" i="15"/>
  <c r="CA296" i="15"/>
  <c r="CA298" i="15"/>
  <c r="CA305" i="15"/>
  <c r="CA308" i="15"/>
  <c r="CA309" i="15"/>
  <c r="CA310" i="15"/>
  <c r="CA313" i="15"/>
  <c r="CA314" i="15"/>
  <c r="CA315" i="15"/>
  <c r="CA316" i="15"/>
  <c r="CA317" i="15"/>
  <c r="CA321" i="15"/>
  <c r="CA323" i="15"/>
  <c r="CA327" i="15"/>
  <c r="CA330" i="15"/>
  <c r="CA332" i="15"/>
  <c r="CA335" i="15"/>
  <c r="CA336" i="15"/>
  <c r="CA340" i="15"/>
  <c r="CA341" i="15"/>
  <c r="CA344" i="15"/>
  <c r="CA347" i="15"/>
  <c r="CA348" i="15"/>
  <c r="CA352" i="15"/>
  <c r="CA353" i="15"/>
  <c r="CA356" i="15"/>
  <c r="CA358" i="15"/>
  <c r="CA360" i="15"/>
  <c r="CA363" i="15"/>
  <c r="CA364" i="15"/>
  <c r="CA369" i="15"/>
  <c r="CA370" i="15"/>
  <c r="CA374" i="15"/>
  <c r="CA376" i="15"/>
  <c r="CA377" i="15"/>
  <c r="CA380" i="15"/>
  <c r="CA381" i="15"/>
  <c r="CA383" i="15"/>
  <c r="CA384" i="15"/>
  <c r="CA387" i="15"/>
  <c r="CA388" i="15"/>
  <c r="CA391" i="15"/>
  <c r="CA392" i="15"/>
  <c r="CA394" i="15"/>
  <c r="CA397" i="15"/>
  <c r="CA400" i="15"/>
  <c r="CA401" i="15"/>
  <c r="CA402" i="15"/>
  <c r="CA406" i="15"/>
  <c r="CA407" i="15"/>
  <c r="CA411" i="15"/>
  <c r="CA412" i="15"/>
  <c r="CA414" i="15"/>
  <c r="CA415" i="15"/>
  <c r="CA418" i="15"/>
  <c r="CA419" i="15"/>
  <c r="CA423" i="15"/>
  <c r="CA424" i="15"/>
  <c r="CA428" i="15"/>
  <c r="CA429" i="15"/>
  <c r="CA431" i="15"/>
  <c r="CA433" i="15"/>
  <c r="CA437" i="15"/>
  <c r="CA438" i="15"/>
  <c r="CA440" i="15"/>
  <c r="CA442" i="15"/>
  <c r="CA444" i="15"/>
  <c r="CA447" i="15"/>
  <c r="CA448" i="15"/>
  <c r="CA451" i="15"/>
  <c r="CA452" i="15"/>
  <c r="CA456" i="15"/>
  <c r="CA457" i="15"/>
  <c r="CA458" i="15"/>
  <c r="CA463" i="15"/>
  <c r="CA464" i="15"/>
  <c r="CA467" i="15"/>
  <c r="CA469" i="15"/>
  <c r="CA472" i="15"/>
  <c r="CA473" i="15"/>
  <c r="CA479" i="15"/>
  <c r="CA480" i="15"/>
  <c r="CA483" i="15"/>
  <c r="CA484" i="15"/>
  <c r="CA488" i="15"/>
  <c r="CA489" i="15"/>
  <c r="CA493" i="15"/>
  <c r="CA494" i="15"/>
  <c r="CA498" i="15"/>
  <c r="CA499" i="15"/>
  <c r="CA501" i="15"/>
  <c r="CA505" i="15"/>
  <c r="CA508" i="15"/>
  <c r="CA509" i="15"/>
  <c r="CA512" i="15"/>
  <c r="CA513" i="15"/>
  <c r="CA517" i="15"/>
  <c r="CA519" i="15"/>
  <c r="CA520" i="15"/>
  <c r="CA523" i="15"/>
  <c r="CA524" i="15"/>
  <c r="CA527" i="15"/>
  <c r="CA530" i="15"/>
  <c r="CA533" i="15"/>
  <c r="CA535" i="15"/>
  <c r="CA536" i="15"/>
  <c r="CA539" i="15"/>
  <c r="CA540" i="15"/>
  <c r="CA541" i="15"/>
  <c r="CA544" i="15"/>
  <c r="CA545" i="15"/>
  <c r="CA548" i="15"/>
  <c r="CA549" i="15"/>
  <c r="CA553" i="15"/>
  <c r="CA554" i="15"/>
  <c r="CA556" i="15"/>
  <c r="CA559" i="15"/>
  <c r="CA560" i="15"/>
  <c r="CA563" i="15"/>
  <c r="CA564" i="15"/>
  <c r="CA568" i="15"/>
  <c r="CA570" i="15"/>
  <c r="CA571" i="15"/>
  <c r="CA574" i="15"/>
  <c r="CA577" i="15"/>
  <c r="CA578" i="15"/>
  <c r="CA579" i="15"/>
  <c r="CA582" i="15"/>
  <c r="CA585" i="15"/>
  <c r="CA588" i="15"/>
  <c r="CA589" i="15"/>
  <c r="CA593" i="15"/>
  <c r="CA594" i="15"/>
  <c r="CA595" i="15"/>
  <c r="CA598" i="15"/>
  <c r="CA599" i="15"/>
  <c r="CA603" i="15"/>
  <c r="CA604" i="15"/>
  <c r="CA605" i="15"/>
  <c r="CA609" i="15"/>
  <c r="CA611" i="15"/>
  <c r="CA612" i="15"/>
  <c r="CA614" i="15"/>
  <c r="CA618" i="15"/>
  <c r="CA619" i="15"/>
  <c r="CA620" i="15"/>
  <c r="CA623" i="15"/>
  <c r="CA626" i="15"/>
  <c r="CA627" i="15"/>
  <c r="CA631" i="15"/>
  <c r="CA634" i="15"/>
  <c r="CA635" i="15"/>
  <c r="CA639" i="15"/>
  <c r="CA640" i="15"/>
  <c r="CA641" i="15"/>
  <c r="CA643" i="15"/>
  <c r="CA645" i="15"/>
  <c r="CA648" i="15"/>
  <c r="CA649" i="15"/>
  <c r="CA650" i="15"/>
  <c r="CA652" i="15"/>
  <c r="CA653" i="15"/>
  <c r="CA656" i="15"/>
  <c r="CA657" i="15"/>
  <c r="CA658" i="15"/>
  <c r="CA661" i="15"/>
  <c r="CA663" i="15"/>
  <c r="CA664" i="15"/>
  <c r="CA669" i="15"/>
  <c r="CA670" i="15"/>
  <c r="CA671" i="15"/>
  <c r="CA675" i="15"/>
  <c r="CA676" i="15"/>
  <c r="CA677" i="15"/>
  <c r="CA681" i="15"/>
  <c r="CA682" i="15"/>
  <c r="CA683" i="15"/>
  <c r="CA686" i="15"/>
  <c r="CA690" i="15"/>
  <c r="CA691" i="15"/>
  <c r="CA695" i="15"/>
  <c r="CA697" i="15"/>
  <c r="CA701" i="15"/>
  <c r="CA702" i="15"/>
  <c r="CA703" i="15"/>
  <c r="CA706" i="15"/>
  <c r="CA707" i="15"/>
  <c r="CA709" i="15"/>
  <c r="CA711" i="15"/>
  <c r="CA712" i="15"/>
  <c r="CA715" i="15"/>
  <c r="CA718" i="15"/>
  <c r="CA719" i="15"/>
  <c r="CA722" i="15"/>
  <c r="CA726" i="15"/>
  <c r="CA730" i="15"/>
  <c r="CA733" i="15"/>
  <c r="CA734" i="15"/>
  <c r="CA737" i="15"/>
  <c r="CA741" i="15"/>
  <c r="CA742" i="15"/>
  <c r="CA745" i="15"/>
  <c r="CA746" i="15"/>
  <c r="CA750" i="15"/>
  <c r="CA751" i="15"/>
  <c r="CA753" i="15"/>
  <c r="CA755" i="15"/>
  <c r="CA759" i="15"/>
  <c r="CA760" i="15"/>
  <c r="CA761" i="15"/>
  <c r="CA762" i="15"/>
  <c r="CA765" i="15"/>
  <c r="CA768" i="15"/>
  <c r="CA770" i="15"/>
  <c r="CA772" i="15"/>
  <c r="CA776" i="15"/>
  <c r="CA777" i="15"/>
  <c r="CA778" i="15"/>
  <c r="CA781" i="15"/>
  <c r="CA782" i="15"/>
  <c r="CA784" i="15"/>
  <c r="CA787" i="15"/>
  <c r="CA789" i="15"/>
  <c r="CA790" i="15"/>
  <c r="CA793" i="15"/>
  <c r="CA794" i="15"/>
  <c r="CA798" i="15"/>
  <c r="CA799" i="15"/>
  <c r="CA802" i="15"/>
  <c r="CA803" i="15"/>
  <c r="CA807" i="15"/>
  <c r="CA808" i="15"/>
  <c r="CA811" i="15"/>
  <c r="CA812" i="15"/>
  <c r="CA817" i="15"/>
  <c r="CA819" i="15"/>
  <c r="CA822" i="15"/>
  <c r="CA823" i="15"/>
  <c r="CA825" i="15"/>
  <c r="CA826" i="15"/>
  <c r="CA828" i="15"/>
  <c r="CA829" i="15"/>
  <c r="CA832" i="15"/>
  <c r="CA833" i="15"/>
  <c r="CA836" i="15"/>
  <c r="CA837" i="15"/>
  <c r="CA840" i="15"/>
  <c r="CA841" i="15"/>
  <c r="CA842" i="15"/>
  <c r="CA845" i="15"/>
  <c r="CA846" i="15"/>
  <c r="CA849" i="15"/>
  <c r="CA850" i="15"/>
  <c r="CA851" i="15"/>
  <c r="CA854" i="15"/>
  <c r="CA855" i="15"/>
  <c r="CA858" i="15"/>
  <c r="CA861" i="15"/>
  <c r="CA862" i="15"/>
  <c r="CA863" i="15"/>
  <c r="CA867" i="15"/>
  <c r="CA868" i="15"/>
  <c r="CA869" i="15"/>
  <c r="CA870" i="15"/>
  <c r="CA875" i="15"/>
  <c r="CA876" i="15"/>
  <c r="CA879" i="15"/>
  <c r="CA882" i="15"/>
  <c r="CA883" i="15"/>
  <c r="CA885" i="15"/>
  <c r="CA887" i="15"/>
  <c r="CA888" i="15"/>
  <c r="CA892" i="15"/>
  <c r="CA894" i="15"/>
  <c r="CA896" i="15"/>
  <c r="CA899" i="15"/>
  <c r="CA902" i="15"/>
  <c r="CA904" i="15"/>
  <c r="CA907" i="15"/>
  <c r="CA908" i="15"/>
  <c r="CA911" i="15"/>
  <c r="CA912" i="15"/>
  <c r="CA913" i="15"/>
  <c r="CA917" i="15"/>
  <c r="CA919" i="15"/>
  <c r="CA921" i="15"/>
  <c r="CA924" i="15"/>
  <c r="CA925" i="15"/>
  <c r="CA930" i="15"/>
  <c r="CA933" i="15"/>
  <c r="CA935" i="15"/>
  <c r="CA937" i="15"/>
  <c r="CA940" i="15"/>
  <c r="CA943" i="15"/>
  <c r="CA944" i="15"/>
  <c r="CA947" i="15"/>
  <c r="CA950" i="15"/>
  <c r="CA951" i="15"/>
  <c r="CA952" i="15"/>
  <c r="CA955" i="15"/>
  <c r="CA958" i="15"/>
  <c r="CA960" i="15"/>
  <c r="CA963" i="15"/>
  <c r="CA964" i="15"/>
  <c r="CA965" i="15"/>
  <c r="CA968" i="15"/>
  <c r="CA970" i="15"/>
  <c r="CA973" i="15"/>
  <c r="CA974" i="15"/>
  <c r="CA978" i="15"/>
  <c r="CA979" i="15"/>
  <c r="CA983" i="15"/>
  <c r="CA985" i="15"/>
  <c r="CA987" i="15"/>
  <c r="CA989" i="15"/>
  <c r="CA990" i="15"/>
  <c r="CA991" i="15"/>
  <c r="CA993" i="15"/>
  <c r="CA994" i="15"/>
  <c r="CA995" i="15"/>
  <c r="CA998" i="15"/>
  <c r="CA999" i="15"/>
  <c r="CA1001" i="15"/>
  <c r="CA1002" i="15"/>
  <c r="CA1006" i="15"/>
  <c r="CA1007" i="15"/>
  <c r="CA1009" i="15"/>
  <c r="CA1012" i="15"/>
  <c r="CA1013" i="15"/>
  <c r="CA1014" i="15"/>
  <c r="CA1017" i="15"/>
  <c r="CA1019" i="15"/>
  <c r="CA1021" i="15"/>
  <c r="CA1022" i="15"/>
  <c r="CA1026" i="15"/>
  <c r="CA149" i="15"/>
  <c r="CA150" i="15"/>
  <c r="CA151" i="15"/>
  <c r="CA153" i="15"/>
  <c r="CA154" i="15"/>
  <c r="CA157" i="15"/>
  <c r="CA158" i="15"/>
  <c r="CA160" i="15"/>
  <c r="CA162" i="15"/>
  <c r="CA163" i="15"/>
  <c r="CA164" i="15"/>
  <c r="CA167" i="15"/>
  <c r="CA168" i="15"/>
  <c r="CA170" i="15"/>
  <c r="CA171" i="15"/>
  <c r="CA173" i="15"/>
  <c r="CA174" i="15"/>
  <c r="CA177" i="15"/>
  <c r="CA180" i="15"/>
  <c r="CA181" i="15"/>
  <c r="CA184" i="15"/>
  <c r="CA185" i="15"/>
  <c r="CA187" i="15"/>
  <c r="CA189" i="15"/>
  <c r="CA190" i="15"/>
  <c r="CA191" i="15"/>
  <c r="CA193" i="15"/>
  <c r="CA194" i="15"/>
  <c r="CA196" i="15"/>
  <c r="CA197" i="15"/>
  <c r="CA200" i="15"/>
  <c r="CA201" i="15"/>
  <c r="CA205" i="15"/>
  <c r="CA206" i="15"/>
  <c r="CA207" i="15"/>
  <c r="CA210" i="15"/>
  <c r="CA211" i="15"/>
  <c r="CA213" i="15"/>
  <c r="CA214" i="15"/>
  <c r="CA215" i="15"/>
  <c r="CA218" i="15"/>
  <c r="CA219" i="15"/>
  <c r="CA221" i="15"/>
  <c r="CA223" i="15"/>
  <c r="CA224" i="15"/>
  <c r="CA225" i="15"/>
  <c r="CA228" i="15"/>
  <c r="CA230" i="15"/>
  <c r="CA231" i="15"/>
  <c r="CA235" i="15"/>
  <c r="CA236" i="15"/>
  <c r="CA237" i="15"/>
  <c r="CA238" i="15"/>
  <c r="CA240" i="15"/>
  <c r="CA241" i="15"/>
  <c r="CA243" i="15"/>
  <c r="CA245" i="15"/>
  <c r="CA247" i="15"/>
  <c r="CA248" i="15"/>
  <c r="CA251" i="15"/>
  <c r="CA252" i="15"/>
  <c r="CA253" i="15"/>
  <c r="CA254" i="15"/>
  <c r="CA256" i="15"/>
  <c r="CA258" i="15"/>
  <c r="CA259" i="15"/>
  <c r="CA262" i="15"/>
  <c r="CA263" i="15"/>
  <c r="CA267" i="15"/>
  <c r="CA268" i="15"/>
  <c r="CA269" i="15"/>
  <c r="CA272" i="15"/>
  <c r="CA273" i="15"/>
  <c r="CA276" i="15"/>
  <c r="CA277" i="15"/>
  <c r="CA278" i="15"/>
  <c r="CA279" i="15"/>
  <c r="CA280" i="15"/>
  <c r="CA284" i="15"/>
  <c r="CA285" i="15"/>
  <c r="CA288" i="15"/>
  <c r="CA289" i="15"/>
  <c r="CA293" i="15"/>
  <c r="CA294" i="15"/>
  <c r="CA297" i="15"/>
  <c r="CA299" i="15"/>
  <c r="CA300" i="15"/>
  <c r="CA301" i="15"/>
  <c r="CA302" i="15"/>
  <c r="CA303" i="15"/>
  <c r="CA304" i="15"/>
  <c r="CA306" i="15"/>
  <c r="CA307" i="15"/>
  <c r="CA311" i="15"/>
  <c r="CA312" i="15"/>
  <c r="CA318" i="15"/>
  <c r="CA319" i="15"/>
  <c r="CA320" i="15"/>
  <c r="CA322" i="15"/>
  <c r="CA324" i="15"/>
  <c r="CA325" i="15"/>
  <c r="CA326" i="15"/>
  <c r="CA328" i="15"/>
  <c r="CA329" i="15"/>
  <c r="CA331" i="15"/>
  <c r="CA333" i="15"/>
  <c r="CA334" i="15"/>
  <c r="CA337" i="15"/>
  <c r="CA338" i="15"/>
  <c r="CA339" i="15"/>
  <c r="CA342" i="15"/>
  <c r="CA343" i="15"/>
  <c r="CA345" i="15"/>
  <c r="CA346" i="15"/>
  <c r="CA349" i="15"/>
  <c r="CA350" i="15"/>
  <c r="CA351" i="15"/>
  <c r="CA354" i="15"/>
  <c r="CA355" i="15"/>
  <c r="CA357" i="15"/>
  <c r="CA359" i="15"/>
  <c r="CA361" i="15"/>
  <c r="CA362" i="15"/>
  <c r="CA365" i="15"/>
  <c r="CA366" i="15"/>
  <c r="CA367" i="15"/>
  <c r="CA368" i="15"/>
  <c r="CA371" i="15"/>
  <c r="CA372" i="15"/>
  <c r="CA373" i="15"/>
  <c r="CA375" i="15"/>
  <c r="CA378" i="15"/>
  <c r="CA379" i="15"/>
  <c r="CA382" i="15"/>
  <c r="CA385" i="15"/>
  <c r="CA386" i="15"/>
  <c r="CA389" i="15"/>
  <c r="CA390" i="15"/>
  <c r="CA393" i="15"/>
  <c r="CA395" i="15"/>
  <c r="CA396" i="15"/>
  <c r="CA398" i="15"/>
  <c r="CA399" i="15"/>
  <c r="CA403" i="15"/>
  <c r="CA404" i="15"/>
  <c r="CA405" i="15"/>
  <c r="CA408" i="15"/>
  <c r="CA409" i="15"/>
  <c r="CA410" i="15"/>
  <c r="CA413" i="15"/>
  <c r="CA416" i="15"/>
  <c r="CA417" i="15"/>
  <c r="CA420" i="15"/>
  <c r="CA421" i="15"/>
  <c r="CA422" i="15"/>
  <c r="CA425" i="15"/>
  <c r="CA426" i="15"/>
  <c r="CA427" i="15"/>
  <c r="CA430" i="15"/>
  <c r="CA432" i="15"/>
  <c r="CA434" i="15"/>
  <c r="CA435" i="15"/>
  <c r="CA436" i="15"/>
  <c r="CA439" i="15"/>
  <c r="CA441" i="15"/>
  <c r="CA443" i="15"/>
  <c r="CA445" i="15"/>
  <c r="CA446" i="15"/>
  <c r="CA449" i="15"/>
  <c r="CA450" i="15"/>
  <c r="CA453" i="15"/>
  <c r="CA454" i="15"/>
  <c r="CA455" i="15"/>
  <c r="CA459" i="15"/>
  <c r="CA460" i="15"/>
  <c r="CA461" i="15"/>
  <c r="CA462" i="15"/>
  <c r="CA465" i="15"/>
  <c r="CA466" i="15"/>
  <c r="CA468" i="15"/>
  <c r="CA470" i="15"/>
  <c r="CA471" i="15"/>
  <c r="CA474" i="15"/>
  <c r="CA475" i="15"/>
  <c r="CA476" i="15"/>
  <c r="CA477" i="15"/>
  <c r="CA478" i="15"/>
  <c r="CA481" i="15"/>
  <c r="CA482" i="15"/>
  <c r="CA485" i="15"/>
  <c r="CA486" i="15"/>
  <c r="CA487" i="15"/>
  <c r="CA490" i="15"/>
  <c r="CA491" i="15"/>
  <c r="CA492" i="15"/>
  <c r="CA495" i="15"/>
  <c r="CA496" i="15"/>
  <c r="CA497" i="15"/>
  <c r="CA500" i="15"/>
  <c r="CA502" i="15"/>
  <c r="CA503" i="15"/>
  <c r="CA504" i="15"/>
  <c r="CA506" i="15"/>
  <c r="CA507" i="15"/>
  <c r="CA510" i="15"/>
  <c r="CA511" i="15"/>
  <c r="CA514" i="15"/>
  <c r="CA515" i="15"/>
  <c r="CA516" i="15"/>
  <c r="CA518" i="15"/>
  <c r="CA521" i="15"/>
  <c r="CA522" i="15"/>
  <c r="CA525" i="15"/>
  <c r="CA526" i="15"/>
  <c r="CA528" i="15"/>
  <c r="CA529" i="15"/>
  <c r="CA531" i="15"/>
  <c r="CA532" i="15"/>
  <c r="CA534" i="15"/>
  <c r="CA537" i="15"/>
  <c r="CA538" i="15"/>
  <c r="CA542" i="15"/>
  <c r="CA543" i="15"/>
  <c r="CA546" i="15"/>
  <c r="CA547" i="15"/>
  <c r="CA550" i="15"/>
  <c r="CA551" i="15"/>
  <c r="CA552" i="15"/>
  <c r="CA555" i="15"/>
  <c r="CA557" i="15"/>
  <c r="CA558" i="15"/>
  <c r="CA561" i="15"/>
  <c r="CA562" i="15"/>
  <c r="CA565" i="15"/>
  <c r="CA566" i="15"/>
  <c r="CA567" i="15"/>
  <c r="CA569" i="15"/>
  <c r="CA572" i="15"/>
  <c r="CA573" i="15"/>
  <c r="CA575" i="15"/>
  <c r="CA576" i="15"/>
  <c r="CA580" i="15"/>
  <c r="CA581" i="15"/>
  <c r="CA583" i="15"/>
  <c r="CA584" i="15"/>
  <c r="CA586" i="15"/>
  <c r="CA587" i="15"/>
  <c r="CA590" i="15"/>
  <c r="CA591" i="15"/>
  <c r="CA592" i="15"/>
  <c r="CA596" i="15"/>
  <c r="CA597" i="15"/>
  <c r="CA600" i="15"/>
  <c r="CA601" i="15"/>
  <c r="CA602" i="15"/>
  <c r="CA606" i="15"/>
  <c r="CA607" i="15"/>
  <c r="CA608" i="15"/>
  <c r="CA610" i="15"/>
  <c r="CA613" i="15"/>
  <c r="CA615" i="15"/>
  <c r="CA616" i="15"/>
  <c r="CA617" i="15"/>
  <c r="CA621" i="15"/>
  <c r="CA622" i="15"/>
  <c r="CA624" i="15"/>
  <c r="CA625" i="15"/>
  <c r="CA628" i="15"/>
  <c r="CA629" i="15"/>
  <c r="CA630" i="15"/>
  <c r="CA632" i="15"/>
  <c r="CA633" i="15"/>
  <c r="CA636" i="15"/>
  <c r="CA637" i="15"/>
  <c r="CA638" i="15"/>
  <c r="CA642" i="15"/>
  <c r="CA644" i="15"/>
  <c r="CA646" i="15"/>
  <c r="CA647" i="15"/>
  <c r="CA651" i="15"/>
  <c r="CA654" i="15"/>
  <c r="CA655" i="15"/>
  <c r="CA659" i="15"/>
  <c r="CA660" i="15"/>
  <c r="CA662" i="15"/>
  <c r="CA665" i="15"/>
  <c r="CA666" i="15"/>
  <c r="CA667" i="15"/>
  <c r="CA668" i="15"/>
  <c r="CA672" i="15"/>
  <c r="CA673" i="15"/>
  <c r="CA674" i="15"/>
  <c r="CA678" i="15"/>
  <c r="CA679" i="15"/>
  <c r="CA680" i="15"/>
  <c r="CA684" i="15"/>
  <c r="CA685" i="15"/>
  <c r="CA687" i="15"/>
  <c r="CA688" i="15"/>
  <c r="CA689" i="15"/>
  <c r="CA692" i="15"/>
  <c r="CA693" i="15"/>
  <c r="CA694" i="15"/>
  <c r="CA696" i="15"/>
  <c r="CA698" i="15"/>
  <c r="CA699" i="15"/>
  <c r="CA700" i="15"/>
  <c r="CA704" i="15"/>
  <c r="CA705" i="15"/>
  <c r="CA708" i="15"/>
  <c r="CA710" i="15"/>
  <c r="CA713" i="15"/>
  <c r="CA714" i="15"/>
  <c r="CA716" i="15"/>
  <c r="CA717" i="15"/>
  <c r="CA720" i="15"/>
  <c r="CA721" i="15"/>
  <c r="CA723" i="15"/>
  <c r="CA724" i="15"/>
  <c r="CA725" i="15"/>
  <c r="CA727" i="15"/>
  <c r="CA728" i="15"/>
  <c r="CA729" i="15"/>
  <c r="CA731" i="15"/>
  <c r="CA732" i="15"/>
  <c r="CA735" i="15"/>
  <c r="CA736" i="15"/>
  <c r="CA738" i="15"/>
  <c r="CA739" i="15"/>
  <c r="CA740" i="15"/>
  <c r="CA743" i="15"/>
  <c r="CA744" i="15"/>
  <c r="CA747" i="15"/>
  <c r="CA748" i="15"/>
  <c r="CA749" i="15"/>
  <c r="CA752" i="15"/>
  <c r="CA754" i="15"/>
  <c r="CA756" i="15"/>
  <c r="CA757" i="15"/>
  <c r="CA758" i="15"/>
  <c r="CA763" i="15"/>
  <c r="CA764" i="15"/>
  <c r="CA766" i="15"/>
  <c r="CA767" i="15"/>
  <c r="CA769" i="15"/>
  <c r="CA771" i="15"/>
  <c r="CA773" i="15"/>
  <c r="CA774" i="15"/>
  <c r="CA775" i="15"/>
  <c r="CA779" i="15"/>
  <c r="CA780" i="15"/>
  <c r="CA783" i="15"/>
  <c r="CA785" i="15"/>
  <c r="CA786" i="15"/>
  <c r="CA788" i="15"/>
  <c r="CA791" i="15"/>
  <c r="CA792" i="15"/>
  <c r="CA795" i="15"/>
  <c r="CA796" i="15"/>
  <c r="CA797" i="15"/>
  <c r="CA800" i="15"/>
  <c r="CA801" i="15"/>
  <c r="CA804" i="15"/>
  <c r="CA805" i="15"/>
  <c r="CA806" i="15"/>
  <c r="CA809" i="15"/>
  <c r="CA810" i="15"/>
  <c r="CA813" i="15"/>
  <c r="CA814" i="15"/>
  <c r="CA815" i="15"/>
  <c r="CA816" i="15"/>
  <c r="CA818" i="15"/>
  <c r="CA820" i="15"/>
  <c r="CA821" i="15"/>
  <c r="CA824" i="15"/>
  <c r="CA827" i="15"/>
  <c r="CA830" i="15"/>
  <c r="CA831" i="15"/>
  <c r="CA834" i="15"/>
  <c r="CA835" i="15"/>
  <c r="CA838" i="15"/>
  <c r="CA839" i="15"/>
  <c r="CA843" i="15"/>
  <c r="CA844" i="15"/>
  <c r="CA847" i="15"/>
  <c r="CA848" i="15"/>
  <c r="CA852" i="15"/>
  <c r="CA853" i="15"/>
  <c r="CA856" i="15"/>
  <c r="CA857" i="15"/>
  <c r="CA859" i="15"/>
  <c r="CA860" i="15"/>
  <c r="CA864" i="15"/>
  <c r="CA865" i="15"/>
  <c r="CA866" i="15"/>
  <c r="CA871" i="15"/>
  <c r="CA872" i="15"/>
  <c r="CA873" i="15"/>
  <c r="CA874" i="15"/>
  <c r="CA877" i="15"/>
  <c r="CA878" i="15"/>
  <c r="CA880" i="15"/>
  <c r="CA881" i="15"/>
  <c r="CA884" i="15"/>
  <c r="CA886" i="15"/>
  <c r="CA889" i="15"/>
  <c r="CA890" i="15"/>
  <c r="CA891" i="15"/>
  <c r="CA893" i="15"/>
  <c r="CA895" i="15"/>
  <c r="CA897" i="15"/>
  <c r="CA898" i="15"/>
  <c r="CA900" i="15"/>
  <c r="CA901" i="15"/>
  <c r="CA903" i="15"/>
  <c r="CA905" i="15"/>
  <c r="CA906" i="15"/>
  <c r="CA909" i="15"/>
  <c r="CA910" i="15"/>
  <c r="CA914" i="15"/>
  <c r="CA915" i="15"/>
  <c r="CA916" i="15"/>
  <c r="CA918" i="15"/>
  <c r="CA920" i="15"/>
  <c r="CA922" i="15"/>
  <c r="CA923" i="15"/>
  <c r="CA926" i="15"/>
  <c r="CA927" i="15"/>
  <c r="CA928" i="15"/>
  <c r="CA929" i="15"/>
  <c r="CA931" i="15"/>
  <c r="CA932" i="15"/>
  <c r="CA934" i="15"/>
  <c r="CA936" i="15"/>
  <c r="CA938" i="15"/>
  <c r="CA939" i="15"/>
  <c r="CA941" i="15"/>
  <c r="CA942" i="15"/>
  <c r="CA945" i="15"/>
  <c r="CA946" i="15"/>
  <c r="CA948" i="15"/>
  <c r="CA949" i="15"/>
  <c r="CA953" i="15"/>
  <c r="CA954" i="15"/>
  <c r="CA956" i="15"/>
  <c r="CA957" i="15"/>
  <c r="CA959" i="15"/>
  <c r="CA961" i="15"/>
  <c r="CA962" i="15"/>
  <c r="CA966" i="15"/>
  <c r="CA967" i="15"/>
  <c r="CA969" i="15"/>
  <c r="CA971" i="15"/>
  <c r="CA972" i="15"/>
  <c r="CA975" i="15"/>
  <c r="CA976" i="15"/>
  <c r="CA977" i="15"/>
  <c r="CA980" i="15"/>
  <c r="CA981" i="15"/>
  <c r="CA982" i="15"/>
  <c r="CA984" i="15"/>
  <c r="CA986" i="15"/>
  <c r="CA988" i="15"/>
  <c r="CA992" i="15"/>
  <c r="CA996" i="15"/>
  <c r="CA997" i="15"/>
  <c r="CA1000" i="15"/>
  <c r="CA1003" i="15"/>
  <c r="CA1004" i="15"/>
  <c r="CA1005" i="15"/>
  <c r="CA1008" i="15"/>
  <c r="CA1010" i="15"/>
  <c r="CA1011" i="15"/>
  <c r="CA1015" i="15"/>
  <c r="CA1016" i="15"/>
  <c r="CA1018" i="15"/>
  <c r="CA1020" i="15"/>
  <c r="CA1023" i="15"/>
  <c r="CA1024" i="15"/>
  <c r="CA1025" i="15"/>
  <c r="CA1027" i="15"/>
  <c r="CC27" i="15"/>
  <c r="BU273" i="15" l="1"/>
  <c r="BT273" i="15"/>
  <c r="BV273" i="15" s="1"/>
  <c r="BQ396" i="15"/>
  <c r="BP396" i="15"/>
  <c r="BR396" i="15" s="1"/>
  <c r="AW1011" i="15"/>
  <c r="AV1011" i="15"/>
  <c r="AX1011" i="15" s="1"/>
  <c r="BI642" i="15"/>
  <c r="BH642" i="15"/>
  <c r="BJ642" i="15" s="1"/>
  <c r="BE765" i="15"/>
  <c r="BD765" i="15"/>
  <c r="BF765" i="15" s="1"/>
  <c r="BM519" i="15"/>
  <c r="BL519" i="15"/>
  <c r="BN519" i="15" s="1"/>
  <c r="BA888" i="15"/>
  <c r="AZ888" i="15"/>
  <c r="BB888" i="15" s="1"/>
  <c r="BY150" i="15"/>
  <c r="BX150" i="15"/>
  <c r="BZ150" i="15" s="1"/>
  <c r="CB28" i="15"/>
  <c r="CB27" i="15"/>
  <c r="CD27" i="15" s="1"/>
  <c r="R3" i="15"/>
  <c r="Q4" i="15"/>
  <c r="CF27" i="15"/>
  <c r="CG27" i="15" s="1"/>
  <c r="S3" i="15"/>
  <c r="CF28" i="15"/>
  <c r="CF29" i="15"/>
  <c r="CF30" i="15"/>
  <c r="CF31" i="15"/>
  <c r="CF32" i="15"/>
  <c r="CF33" i="15"/>
  <c r="CF34" i="15"/>
  <c r="CF35" i="15"/>
  <c r="CF36" i="15"/>
  <c r="CF37" i="15"/>
  <c r="CF38" i="15"/>
  <c r="CF39" i="15"/>
  <c r="CF40" i="15"/>
  <c r="CF41" i="15"/>
  <c r="CF42" i="15"/>
  <c r="CF43" i="15"/>
  <c r="CF44" i="15"/>
  <c r="CF45" i="15"/>
  <c r="CF46" i="15"/>
  <c r="CF47" i="15"/>
  <c r="CF48" i="15"/>
  <c r="CF49" i="15"/>
  <c r="CF50" i="15"/>
  <c r="CF51" i="15"/>
  <c r="CF52" i="15"/>
  <c r="CF53" i="15"/>
  <c r="CF54" i="15"/>
  <c r="CF55" i="15"/>
  <c r="CF56" i="15"/>
  <c r="CF57" i="15"/>
  <c r="CF58" i="15"/>
  <c r="CF59" i="15"/>
  <c r="CF60" i="15"/>
  <c r="CF61" i="15"/>
  <c r="CF62" i="15"/>
  <c r="CF63" i="15"/>
  <c r="CF64" i="15"/>
  <c r="CF65" i="15"/>
  <c r="CF66" i="15"/>
  <c r="CF67" i="15"/>
  <c r="CF68" i="15"/>
  <c r="CF69" i="15"/>
  <c r="CF70" i="15"/>
  <c r="CF71" i="15"/>
  <c r="CF72" i="15"/>
  <c r="CF73" i="15"/>
  <c r="CF74" i="15"/>
  <c r="CF75" i="15"/>
  <c r="CF76" i="15"/>
  <c r="CF77" i="15"/>
  <c r="CF78" i="15"/>
  <c r="CF79" i="15"/>
  <c r="CF80" i="15"/>
  <c r="CF81" i="15"/>
  <c r="CF82" i="15"/>
  <c r="CF83" i="15"/>
  <c r="CF84" i="15"/>
  <c r="CF85" i="15"/>
  <c r="CF86" i="15"/>
  <c r="CF87" i="15"/>
  <c r="CF88" i="15"/>
  <c r="CF89" i="15"/>
  <c r="CF90" i="15"/>
  <c r="CF91" i="15"/>
  <c r="CF92" i="15"/>
  <c r="CF93" i="15"/>
  <c r="CF94" i="15"/>
  <c r="CF95" i="15"/>
  <c r="CF96" i="15"/>
  <c r="CF97" i="15"/>
  <c r="CF98" i="15"/>
  <c r="CF99" i="15"/>
  <c r="CF100" i="15"/>
  <c r="CF101" i="15"/>
  <c r="CF102" i="15"/>
  <c r="CF103" i="15"/>
  <c r="CF104" i="15"/>
  <c r="CF105" i="15"/>
  <c r="CF106" i="15"/>
  <c r="CF107" i="15"/>
  <c r="CF108" i="15"/>
  <c r="CF109" i="15"/>
  <c r="CF110" i="15"/>
  <c r="CF111" i="15"/>
  <c r="CF112" i="15"/>
  <c r="CF113" i="15"/>
  <c r="CF114" i="15"/>
  <c r="CF115" i="15"/>
  <c r="CF116" i="15"/>
  <c r="CF117" i="15"/>
  <c r="CF118" i="15"/>
  <c r="CF119" i="15"/>
  <c r="CF120" i="15"/>
  <c r="CF121" i="15"/>
  <c r="CF122" i="15"/>
  <c r="CF123" i="15"/>
  <c r="CF124" i="15"/>
  <c r="CF125" i="15"/>
  <c r="CF126" i="15"/>
  <c r="CF127" i="15"/>
  <c r="CF128" i="15"/>
  <c r="CF129" i="15"/>
  <c r="CF130" i="15"/>
  <c r="CF131" i="15"/>
  <c r="CF132" i="15"/>
  <c r="CF133" i="15"/>
  <c r="CF134" i="15"/>
  <c r="CF135" i="15"/>
  <c r="CF136" i="15"/>
  <c r="CF137" i="15"/>
  <c r="CF138" i="15"/>
  <c r="CF139" i="15"/>
  <c r="CF140" i="15"/>
  <c r="CF141" i="15"/>
  <c r="CF142" i="15"/>
  <c r="CF143" i="15"/>
  <c r="CF144" i="15"/>
  <c r="CF145" i="15"/>
  <c r="CF146" i="15"/>
  <c r="CF147" i="15"/>
  <c r="CF148" i="15"/>
  <c r="CF149" i="15"/>
  <c r="CF150" i="15"/>
  <c r="CF151" i="15"/>
  <c r="CF152" i="15"/>
  <c r="CF153" i="15"/>
  <c r="CF154" i="15"/>
  <c r="CF155" i="15"/>
  <c r="CF156" i="15"/>
  <c r="CF157" i="15"/>
  <c r="CF158" i="15"/>
  <c r="CF159" i="15"/>
  <c r="CF160" i="15"/>
  <c r="CF161" i="15"/>
  <c r="CF162" i="15"/>
  <c r="CF163" i="15"/>
  <c r="CF164" i="15"/>
  <c r="CF165" i="15"/>
  <c r="CF166" i="15"/>
  <c r="CF167" i="15"/>
  <c r="CF168" i="15"/>
  <c r="CF169" i="15"/>
  <c r="CF170" i="15"/>
  <c r="CF171" i="15"/>
  <c r="CF172" i="15"/>
  <c r="CF173" i="15"/>
  <c r="CF174" i="15"/>
  <c r="CF175" i="15"/>
  <c r="CF176" i="15"/>
  <c r="CF177" i="15"/>
  <c r="CF178" i="15"/>
  <c r="CF179" i="15"/>
  <c r="CF180" i="15"/>
  <c r="CF181" i="15"/>
  <c r="CF182" i="15"/>
  <c r="CF183" i="15"/>
  <c r="CF184" i="15"/>
  <c r="CF185" i="15"/>
  <c r="CF186" i="15"/>
  <c r="CF187" i="15"/>
  <c r="CF188" i="15"/>
  <c r="CF189" i="15"/>
  <c r="CF190" i="15"/>
  <c r="CF191" i="15"/>
  <c r="CF192" i="15"/>
  <c r="CF193" i="15"/>
  <c r="CF194" i="15"/>
  <c r="CF195" i="15"/>
  <c r="CF196" i="15"/>
  <c r="CF197" i="15"/>
  <c r="CF198" i="15"/>
  <c r="CF199" i="15"/>
  <c r="CF200" i="15"/>
  <c r="CF201" i="15"/>
  <c r="CF202" i="15"/>
  <c r="CF203" i="15"/>
  <c r="CF204" i="15"/>
  <c r="CF205" i="15"/>
  <c r="CF206" i="15"/>
  <c r="CF207" i="15"/>
  <c r="CF208" i="15"/>
  <c r="CF209" i="15"/>
  <c r="CF210" i="15"/>
  <c r="CF211" i="15"/>
  <c r="CF212" i="15"/>
  <c r="CF213" i="15"/>
  <c r="CF214" i="15"/>
  <c r="CF215" i="15"/>
  <c r="CF216" i="15"/>
  <c r="CF217" i="15"/>
  <c r="CF218" i="15"/>
  <c r="CF219" i="15"/>
  <c r="CF220" i="15"/>
  <c r="CF221" i="15"/>
  <c r="CF222" i="15"/>
  <c r="CF223" i="15"/>
  <c r="CF224" i="15"/>
  <c r="CF225" i="15"/>
  <c r="CF226" i="15"/>
  <c r="CF227" i="15"/>
  <c r="CF228" i="15"/>
  <c r="CF229" i="15"/>
  <c r="CF230" i="15"/>
  <c r="CF231" i="15"/>
  <c r="CF232" i="15"/>
  <c r="CF233" i="15"/>
  <c r="CF234" i="15"/>
  <c r="CF235" i="15"/>
  <c r="CF236" i="15"/>
  <c r="CF237" i="15"/>
  <c r="CF238" i="15"/>
  <c r="CF239" i="15"/>
  <c r="CF240" i="15"/>
  <c r="CF241" i="15"/>
  <c r="CF242" i="15"/>
  <c r="CF243" i="15"/>
  <c r="CF244" i="15"/>
  <c r="CF245" i="15"/>
  <c r="CF246" i="15"/>
  <c r="CF247" i="15"/>
  <c r="CF248" i="15"/>
  <c r="CF249" i="15"/>
  <c r="CF250" i="15"/>
  <c r="CF251" i="15"/>
  <c r="CF252" i="15"/>
  <c r="CF253" i="15"/>
  <c r="CF254" i="15"/>
  <c r="CF255" i="15"/>
  <c r="CF256" i="15"/>
  <c r="CF257" i="15"/>
  <c r="CF258" i="15"/>
  <c r="CF259" i="15"/>
  <c r="CF260" i="15"/>
  <c r="CF261" i="15"/>
  <c r="CF262" i="15"/>
  <c r="CF263" i="15"/>
  <c r="CF264" i="15"/>
  <c r="CF265" i="15"/>
  <c r="CF266" i="15"/>
  <c r="CF267" i="15"/>
  <c r="CF268" i="15"/>
  <c r="CF269" i="15"/>
  <c r="CF270" i="15"/>
  <c r="CF271" i="15"/>
  <c r="CF272" i="15"/>
  <c r="CF273" i="15"/>
  <c r="CF274" i="15"/>
  <c r="CF275" i="15"/>
  <c r="CF276" i="15"/>
  <c r="CF277" i="15"/>
  <c r="CF278" i="15"/>
  <c r="CF279" i="15"/>
  <c r="CF280" i="15"/>
  <c r="CF281" i="15"/>
  <c r="CF282" i="15"/>
  <c r="CF283" i="15"/>
  <c r="CF284" i="15"/>
  <c r="CF285" i="15"/>
  <c r="CF286" i="15"/>
  <c r="CF287" i="15"/>
  <c r="CF288" i="15"/>
  <c r="CF289" i="15"/>
  <c r="CF290" i="15"/>
  <c r="CF291" i="15"/>
  <c r="CF292" i="15"/>
  <c r="CF293" i="15"/>
  <c r="CF294" i="15"/>
  <c r="CF295" i="15"/>
  <c r="CF296" i="15"/>
  <c r="CF297" i="15"/>
  <c r="CF298" i="15"/>
  <c r="CF299" i="15"/>
  <c r="CF300" i="15"/>
  <c r="CF301" i="15"/>
  <c r="CF302" i="15"/>
  <c r="CF303" i="15"/>
  <c r="CF304" i="15"/>
  <c r="CF305" i="15"/>
  <c r="CF306" i="15"/>
  <c r="CF307" i="15"/>
  <c r="CF308" i="15"/>
  <c r="CF309" i="15"/>
  <c r="CF310" i="15"/>
  <c r="CF311" i="15"/>
  <c r="CF312" i="15"/>
  <c r="CF313" i="15"/>
  <c r="CF314" i="15"/>
  <c r="CF315" i="15"/>
  <c r="CF316" i="15"/>
  <c r="CF317" i="15"/>
  <c r="CF318" i="15"/>
  <c r="CF319" i="15"/>
  <c r="CF320" i="15"/>
  <c r="CF321" i="15"/>
  <c r="CF322" i="15"/>
  <c r="CF323" i="15"/>
  <c r="CF324" i="15"/>
  <c r="CF325" i="15"/>
  <c r="CF326" i="15"/>
  <c r="CF327" i="15"/>
  <c r="CF328" i="15"/>
  <c r="CF329" i="15"/>
  <c r="CF330" i="15"/>
  <c r="CF331" i="15"/>
  <c r="CF332" i="15"/>
  <c r="CF333" i="15"/>
  <c r="CF334" i="15"/>
  <c r="CF335" i="15"/>
  <c r="CF336" i="15"/>
  <c r="CF337" i="15"/>
  <c r="CF338" i="15"/>
  <c r="CF339" i="15"/>
  <c r="CF340" i="15"/>
  <c r="CF341" i="15"/>
  <c r="CF342" i="15"/>
  <c r="CF343" i="15"/>
  <c r="CF344" i="15"/>
  <c r="CF345" i="15"/>
  <c r="CF346" i="15"/>
  <c r="CF347" i="15"/>
  <c r="CF348" i="15"/>
  <c r="CF349" i="15"/>
  <c r="CF350" i="15"/>
  <c r="CF351" i="15"/>
  <c r="CF352" i="15"/>
  <c r="CF353" i="15"/>
  <c r="CF354" i="15"/>
  <c r="CF355" i="15"/>
  <c r="CF356" i="15"/>
  <c r="CF357" i="15"/>
  <c r="CF358" i="15"/>
  <c r="CF359" i="15"/>
  <c r="CF360" i="15"/>
  <c r="CF361" i="15"/>
  <c r="CF362" i="15"/>
  <c r="CF363" i="15"/>
  <c r="CF364" i="15"/>
  <c r="CF365" i="15"/>
  <c r="CF366" i="15"/>
  <c r="CF367" i="15"/>
  <c r="CF368" i="15"/>
  <c r="CF369" i="15"/>
  <c r="CF370" i="15"/>
  <c r="CF371" i="15"/>
  <c r="CF372" i="15"/>
  <c r="CF373" i="15"/>
  <c r="CF374" i="15"/>
  <c r="CF375" i="15"/>
  <c r="CF376" i="15"/>
  <c r="CF377" i="15"/>
  <c r="CF378" i="15"/>
  <c r="CF379" i="15"/>
  <c r="CF380" i="15"/>
  <c r="CF381" i="15"/>
  <c r="CF382" i="15"/>
  <c r="CF383" i="15"/>
  <c r="CF384" i="15"/>
  <c r="CF385" i="15"/>
  <c r="CF386" i="15"/>
  <c r="CF387" i="15"/>
  <c r="CF388" i="15"/>
  <c r="CF389" i="15"/>
  <c r="CF390" i="15"/>
  <c r="CF391" i="15"/>
  <c r="CF392" i="15"/>
  <c r="CF393" i="15"/>
  <c r="CF394" i="15"/>
  <c r="CF395" i="15"/>
  <c r="CF396" i="15"/>
  <c r="CF397" i="15"/>
  <c r="CF398" i="15"/>
  <c r="CF399" i="15"/>
  <c r="CF400" i="15"/>
  <c r="CF401" i="15"/>
  <c r="CF402" i="15"/>
  <c r="CF403" i="15"/>
  <c r="CF404" i="15"/>
  <c r="CF405" i="15"/>
  <c r="CF406" i="15"/>
  <c r="CF407" i="15"/>
  <c r="CF408" i="15"/>
  <c r="CF409" i="15"/>
  <c r="CF410" i="15"/>
  <c r="CF411" i="15"/>
  <c r="CF412" i="15"/>
  <c r="CF413" i="15"/>
  <c r="CF414" i="15"/>
  <c r="CF415" i="15"/>
  <c r="CF416" i="15"/>
  <c r="CF417" i="15"/>
  <c r="CF418" i="15"/>
  <c r="CF419" i="15"/>
  <c r="CF420" i="15"/>
  <c r="CF421" i="15"/>
  <c r="CF422" i="15"/>
  <c r="CF423" i="15"/>
  <c r="CF424" i="15"/>
  <c r="CF425" i="15"/>
  <c r="CF426" i="15"/>
  <c r="CF427" i="15"/>
  <c r="CF428" i="15"/>
  <c r="CF429" i="15"/>
  <c r="CF430" i="15"/>
  <c r="CF431" i="15"/>
  <c r="CF432" i="15"/>
  <c r="CF433" i="15"/>
  <c r="CF434" i="15"/>
  <c r="CF435" i="15"/>
  <c r="CF436" i="15"/>
  <c r="CF437" i="15"/>
  <c r="CF438" i="15"/>
  <c r="CF439" i="15"/>
  <c r="CF440" i="15"/>
  <c r="CF441" i="15"/>
  <c r="CF442" i="15"/>
  <c r="CF443" i="15"/>
  <c r="CF444" i="15"/>
  <c r="CF445" i="15"/>
  <c r="CF446" i="15"/>
  <c r="CF447" i="15"/>
  <c r="CF448" i="15"/>
  <c r="CF449" i="15"/>
  <c r="CF450" i="15"/>
  <c r="CF451" i="15"/>
  <c r="CF452" i="15"/>
  <c r="CF453" i="15"/>
  <c r="CF454" i="15"/>
  <c r="CF455" i="15"/>
  <c r="CF456" i="15"/>
  <c r="CF457" i="15"/>
  <c r="CF458" i="15"/>
  <c r="CF459" i="15"/>
  <c r="CF460" i="15"/>
  <c r="CF461" i="15"/>
  <c r="CF462" i="15"/>
  <c r="CF463" i="15"/>
  <c r="CF464" i="15"/>
  <c r="CF465" i="15"/>
  <c r="CF466" i="15"/>
  <c r="CF467" i="15"/>
  <c r="CF468" i="15"/>
  <c r="CF469" i="15"/>
  <c r="CF470" i="15"/>
  <c r="CF471" i="15"/>
  <c r="CF472" i="15"/>
  <c r="CF473" i="15"/>
  <c r="CF474" i="15"/>
  <c r="CF475" i="15"/>
  <c r="CF476" i="15"/>
  <c r="CF477" i="15"/>
  <c r="CF478" i="15"/>
  <c r="CF479" i="15"/>
  <c r="CF480" i="15"/>
  <c r="CF481" i="15"/>
  <c r="CF482" i="15"/>
  <c r="CF483" i="15"/>
  <c r="CF484" i="15"/>
  <c r="CF485" i="15"/>
  <c r="CF486" i="15"/>
  <c r="CF487" i="15"/>
  <c r="CF488" i="15"/>
  <c r="CF489" i="15"/>
  <c r="CF490" i="15"/>
  <c r="CF491" i="15"/>
  <c r="CF492" i="15"/>
  <c r="CF493" i="15"/>
  <c r="CF494" i="15"/>
  <c r="CF495" i="15"/>
  <c r="CF496" i="15"/>
  <c r="CF497" i="15"/>
  <c r="CF498" i="15"/>
  <c r="CF499" i="15"/>
  <c r="CF500" i="15"/>
  <c r="CF501" i="15"/>
  <c r="CF502" i="15"/>
  <c r="CF503" i="15"/>
  <c r="CF504" i="15"/>
  <c r="CF505" i="15"/>
  <c r="CF506" i="15"/>
  <c r="CF507" i="15"/>
  <c r="CF508" i="15"/>
  <c r="CF509" i="15"/>
  <c r="CF510" i="15"/>
  <c r="CF511" i="15"/>
  <c r="CF512" i="15"/>
  <c r="CF513" i="15"/>
  <c r="CF514" i="15"/>
  <c r="CF515" i="15"/>
  <c r="CF516" i="15"/>
  <c r="CF517" i="15"/>
  <c r="CF518" i="15"/>
  <c r="CF519" i="15"/>
  <c r="CF520" i="15"/>
  <c r="CF521" i="15"/>
  <c r="CF522" i="15"/>
  <c r="CF523" i="15"/>
  <c r="CF524" i="15"/>
  <c r="CF525" i="15"/>
  <c r="CF526" i="15"/>
  <c r="CF527" i="15"/>
  <c r="CF528" i="15"/>
  <c r="CF529" i="15"/>
  <c r="CF530" i="15"/>
  <c r="CF531" i="15"/>
  <c r="CF532" i="15"/>
  <c r="CF533" i="15"/>
  <c r="CF534" i="15"/>
  <c r="CF535" i="15"/>
  <c r="CF536" i="15"/>
  <c r="CF537" i="15"/>
  <c r="CF538" i="15"/>
  <c r="CF539" i="15"/>
  <c r="CF540" i="15"/>
  <c r="CF541" i="15"/>
  <c r="CF542" i="15"/>
  <c r="CF543" i="15"/>
  <c r="CF544" i="15"/>
  <c r="CF545" i="15"/>
  <c r="CF546" i="15"/>
  <c r="CF547" i="15"/>
  <c r="CF548" i="15"/>
  <c r="CF549" i="15"/>
  <c r="CF550" i="15"/>
  <c r="CF551" i="15"/>
  <c r="CF552" i="15"/>
  <c r="CF553" i="15"/>
  <c r="CF554" i="15"/>
  <c r="CF555" i="15"/>
  <c r="CF556" i="15"/>
  <c r="CF557" i="15"/>
  <c r="CF558" i="15"/>
  <c r="CF559" i="15"/>
  <c r="CF560" i="15"/>
  <c r="CF561" i="15"/>
  <c r="CF562" i="15"/>
  <c r="CF563" i="15"/>
  <c r="CF564" i="15"/>
  <c r="CF565" i="15"/>
  <c r="CF566" i="15"/>
  <c r="CF567" i="15"/>
  <c r="CF568" i="15"/>
  <c r="CF569" i="15"/>
  <c r="CF570" i="15"/>
  <c r="CF571" i="15"/>
  <c r="CF572" i="15"/>
  <c r="CF573" i="15"/>
  <c r="CF574" i="15"/>
  <c r="CF575" i="15"/>
  <c r="CF576" i="15"/>
  <c r="CF577" i="15"/>
  <c r="CF578" i="15"/>
  <c r="CF579" i="15"/>
  <c r="CF580" i="15"/>
  <c r="CF581" i="15"/>
  <c r="CF582" i="15"/>
  <c r="CF583" i="15"/>
  <c r="CF584" i="15"/>
  <c r="CF585" i="15"/>
  <c r="CF586" i="15"/>
  <c r="CF587" i="15"/>
  <c r="CF588" i="15"/>
  <c r="CF589" i="15"/>
  <c r="CF590" i="15"/>
  <c r="CF591" i="15"/>
  <c r="CF592" i="15"/>
  <c r="CF593" i="15"/>
  <c r="CF594" i="15"/>
  <c r="CF595" i="15"/>
  <c r="CF596" i="15"/>
  <c r="CF597" i="15"/>
  <c r="CF598" i="15"/>
  <c r="CF599" i="15"/>
  <c r="CF600" i="15"/>
  <c r="CF601" i="15"/>
  <c r="CF602" i="15"/>
  <c r="CF603" i="15"/>
  <c r="CF604" i="15"/>
  <c r="CF605" i="15"/>
  <c r="CF606" i="15"/>
  <c r="CF607" i="15"/>
  <c r="CF608" i="15"/>
  <c r="CF609" i="15"/>
  <c r="CF610" i="15"/>
  <c r="CF611" i="15"/>
  <c r="CF612" i="15"/>
  <c r="CF613" i="15"/>
  <c r="CF614" i="15"/>
  <c r="CF615" i="15"/>
  <c r="CF616" i="15"/>
  <c r="CF617" i="15"/>
  <c r="CF618" i="15"/>
  <c r="CF619" i="15"/>
  <c r="CF620" i="15"/>
  <c r="CF621" i="15"/>
  <c r="CF622" i="15"/>
  <c r="CF623" i="15"/>
  <c r="CF624" i="15"/>
  <c r="CF625" i="15"/>
  <c r="CF626" i="15"/>
  <c r="CF627" i="15"/>
  <c r="CF628" i="15"/>
  <c r="CF629" i="15"/>
  <c r="CF630" i="15"/>
  <c r="CF631" i="15"/>
  <c r="CF632" i="15"/>
  <c r="CF633" i="15"/>
  <c r="CF634" i="15"/>
  <c r="CF635" i="15"/>
  <c r="CF636" i="15"/>
  <c r="CF637" i="15"/>
  <c r="CF638" i="15"/>
  <c r="CF639" i="15"/>
  <c r="CF640" i="15"/>
  <c r="CF641" i="15"/>
  <c r="CF642" i="15"/>
  <c r="CF643" i="15"/>
  <c r="CF644" i="15"/>
  <c r="CF645" i="15"/>
  <c r="CF646" i="15"/>
  <c r="CF647" i="15"/>
  <c r="CF648" i="15"/>
  <c r="CF649" i="15"/>
  <c r="CF650" i="15"/>
  <c r="CF651" i="15"/>
  <c r="CF652" i="15"/>
  <c r="CF653" i="15"/>
  <c r="CF654" i="15"/>
  <c r="CF655" i="15"/>
  <c r="CF656" i="15"/>
  <c r="CF657" i="15"/>
  <c r="CF658" i="15"/>
  <c r="CF659" i="15"/>
  <c r="CF660" i="15"/>
  <c r="CF661" i="15"/>
  <c r="CF662" i="15"/>
  <c r="CF663" i="15"/>
  <c r="CF664" i="15"/>
  <c r="CF665" i="15"/>
  <c r="CF666" i="15"/>
  <c r="CF667" i="15"/>
  <c r="CF668" i="15"/>
  <c r="CF669" i="15"/>
  <c r="CF670" i="15"/>
  <c r="CF671" i="15"/>
  <c r="CF672" i="15"/>
  <c r="CF673" i="15"/>
  <c r="CF674" i="15"/>
  <c r="CF675" i="15"/>
  <c r="CF676" i="15"/>
  <c r="CF677" i="15"/>
  <c r="CF678" i="15"/>
  <c r="CF679" i="15"/>
  <c r="CF680" i="15"/>
  <c r="CF681" i="15"/>
  <c r="CF682" i="15"/>
  <c r="CF683" i="15"/>
  <c r="CF684" i="15"/>
  <c r="CF685" i="15"/>
  <c r="CF686" i="15"/>
  <c r="CF687" i="15"/>
  <c r="CF688" i="15"/>
  <c r="CF689" i="15"/>
  <c r="CF690" i="15"/>
  <c r="CF691" i="15"/>
  <c r="CF692" i="15"/>
  <c r="CF693" i="15"/>
  <c r="CF694" i="15"/>
  <c r="CF695" i="15"/>
  <c r="CF696" i="15"/>
  <c r="CF697" i="15"/>
  <c r="CF698" i="15"/>
  <c r="CF699" i="15"/>
  <c r="CF700" i="15"/>
  <c r="CF701" i="15"/>
  <c r="CF702" i="15"/>
  <c r="CF703" i="15"/>
  <c r="CF704" i="15"/>
  <c r="CF705" i="15"/>
  <c r="CF706" i="15"/>
  <c r="CF707" i="15"/>
  <c r="CF708" i="15"/>
  <c r="CF709" i="15"/>
  <c r="CF710" i="15"/>
  <c r="CF711" i="15"/>
  <c r="CF712" i="15"/>
  <c r="CF713" i="15"/>
  <c r="CF714" i="15"/>
  <c r="CF715" i="15"/>
  <c r="CF716" i="15"/>
  <c r="CF717" i="15"/>
  <c r="CF718" i="15"/>
  <c r="CF719" i="15"/>
  <c r="CF720" i="15"/>
  <c r="CF721" i="15"/>
  <c r="CF722" i="15"/>
  <c r="CF723" i="15"/>
  <c r="CF724" i="15"/>
  <c r="CF725" i="15"/>
  <c r="CF726" i="15"/>
  <c r="CF727" i="15"/>
  <c r="CF728" i="15"/>
  <c r="CF729" i="15"/>
  <c r="CF730" i="15"/>
  <c r="CF731" i="15"/>
  <c r="CF732" i="15"/>
  <c r="CF733" i="15"/>
  <c r="CF734" i="15"/>
  <c r="CF735" i="15"/>
  <c r="CF736" i="15"/>
  <c r="CF737" i="15"/>
  <c r="CF738" i="15"/>
  <c r="CF739" i="15"/>
  <c r="CF740" i="15"/>
  <c r="CF741" i="15"/>
  <c r="CF742" i="15"/>
  <c r="CF743" i="15"/>
  <c r="CF744" i="15"/>
  <c r="CF745" i="15"/>
  <c r="CF746" i="15"/>
  <c r="CF747" i="15"/>
  <c r="CF748" i="15"/>
  <c r="CF749" i="15"/>
  <c r="CF750" i="15"/>
  <c r="CF751" i="15"/>
  <c r="CF752" i="15"/>
  <c r="CF753" i="15"/>
  <c r="CF754" i="15"/>
  <c r="CF755" i="15"/>
  <c r="CF756" i="15"/>
  <c r="CF757" i="15"/>
  <c r="CF758" i="15"/>
  <c r="CF759" i="15"/>
  <c r="CF760" i="15"/>
  <c r="CF761" i="15"/>
  <c r="CF762" i="15"/>
  <c r="CF763" i="15"/>
  <c r="CF764" i="15"/>
  <c r="CF765" i="15"/>
  <c r="CF766" i="15"/>
  <c r="CF767" i="15"/>
  <c r="CF768" i="15"/>
  <c r="CF769" i="15"/>
  <c r="CF770" i="15"/>
  <c r="CF771" i="15"/>
  <c r="CF772" i="15"/>
  <c r="CF773" i="15"/>
  <c r="CF774" i="15"/>
  <c r="CF775" i="15"/>
  <c r="CF776" i="15"/>
  <c r="CF777" i="15"/>
  <c r="CF778" i="15"/>
  <c r="CF779" i="15"/>
  <c r="CF780" i="15"/>
  <c r="CF781" i="15"/>
  <c r="CF782" i="15"/>
  <c r="CF783" i="15"/>
  <c r="CF784" i="15"/>
  <c r="CF785" i="15"/>
  <c r="CF786" i="15"/>
  <c r="CF787" i="15"/>
  <c r="CF788" i="15"/>
  <c r="CF789" i="15"/>
  <c r="CF790" i="15"/>
  <c r="CF791" i="15"/>
  <c r="CF792" i="15"/>
  <c r="CF793" i="15"/>
  <c r="CF794" i="15"/>
  <c r="CF795" i="15"/>
  <c r="CF796" i="15"/>
  <c r="CF797" i="15"/>
  <c r="CF798" i="15"/>
  <c r="CF799" i="15"/>
  <c r="CF800" i="15"/>
  <c r="CF801" i="15"/>
  <c r="CF802" i="15"/>
  <c r="CF803" i="15"/>
  <c r="CF804" i="15"/>
  <c r="CF805" i="15"/>
  <c r="CF806" i="15"/>
  <c r="CF807" i="15"/>
  <c r="CF808" i="15"/>
  <c r="CF809" i="15"/>
  <c r="CF810" i="15"/>
  <c r="CF811" i="15"/>
  <c r="CF812" i="15"/>
  <c r="CF813" i="15"/>
  <c r="CF814" i="15"/>
  <c r="CF815" i="15"/>
  <c r="CF816" i="15"/>
  <c r="CF817" i="15"/>
  <c r="CF818" i="15"/>
  <c r="CF819" i="15"/>
  <c r="CF820" i="15"/>
  <c r="CF821" i="15"/>
  <c r="CF822" i="15"/>
  <c r="CF823" i="15"/>
  <c r="CF824" i="15"/>
  <c r="CF825" i="15"/>
  <c r="CF826" i="15"/>
  <c r="CF827" i="15"/>
  <c r="CF828" i="15"/>
  <c r="CF829" i="15"/>
  <c r="CF830" i="15"/>
  <c r="CF831" i="15"/>
  <c r="CF832" i="15"/>
  <c r="CF833" i="15"/>
  <c r="CF834" i="15"/>
  <c r="CF835" i="15"/>
  <c r="CF836" i="15"/>
  <c r="CF837" i="15"/>
  <c r="CF838" i="15"/>
  <c r="CF839" i="15"/>
  <c r="CF840" i="15"/>
  <c r="CF841" i="15"/>
  <c r="CF842" i="15"/>
  <c r="CF843" i="15"/>
  <c r="CF844" i="15"/>
  <c r="CF845" i="15"/>
  <c r="CF846" i="15"/>
  <c r="CF847" i="15"/>
  <c r="CF848" i="15"/>
  <c r="CF849" i="15"/>
  <c r="CF850" i="15"/>
  <c r="CF851" i="15"/>
  <c r="CF852" i="15"/>
  <c r="CF853" i="15"/>
  <c r="CF854" i="15"/>
  <c r="CF855" i="15"/>
  <c r="CF856" i="15"/>
  <c r="CF857" i="15"/>
  <c r="CF858" i="15"/>
  <c r="CF859" i="15"/>
  <c r="CF860" i="15"/>
  <c r="CF861" i="15"/>
  <c r="CF862" i="15"/>
  <c r="CF863" i="15"/>
  <c r="CF864" i="15"/>
  <c r="CF865" i="15"/>
  <c r="CF866" i="15"/>
  <c r="CF867" i="15"/>
  <c r="CF868" i="15"/>
  <c r="CF869" i="15"/>
  <c r="CF870" i="15"/>
  <c r="CF871" i="15"/>
  <c r="CF872" i="15"/>
  <c r="CF873" i="15"/>
  <c r="CF874" i="15"/>
  <c r="CF875" i="15"/>
  <c r="CF876" i="15"/>
  <c r="CF877" i="15"/>
  <c r="CF878" i="15"/>
  <c r="CF879" i="15"/>
  <c r="CF880" i="15"/>
  <c r="CF881" i="15"/>
  <c r="CF882" i="15"/>
  <c r="CF883" i="15"/>
  <c r="CF884" i="15"/>
  <c r="CF885" i="15"/>
  <c r="CF886" i="15"/>
  <c r="CF887" i="15"/>
  <c r="CF888" i="15"/>
  <c r="CF889" i="15"/>
  <c r="CF890" i="15"/>
  <c r="CF891" i="15"/>
  <c r="CF892" i="15"/>
  <c r="CF893" i="15"/>
  <c r="CF894" i="15"/>
  <c r="CF895" i="15"/>
  <c r="CF896" i="15"/>
  <c r="CF897" i="15"/>
  <c r="CF898" i="15"/>
  <c r="CF899" i="15"/>
  <c r="CF900" i="15"/>
  <c r="CF901" i="15"/>
  <c r="CF902" i="15"/>
  <c r="CF903" i="15"/>
  <c r="CF904" i="15"/>
  <c r="CF905" i="15"/>
  <c r="CF906" i="15"/>
  <c r="CF907" i="15"/>
  <c r="CF908" i="15"/>
  <c r="CF909" i="15"/>
  <c r="CF910" i="15"/>
  <c r="CF911" i="15"/>
  <c r="CF912" i="15"/>
  <c r="CF913" i="15"/>
  <c r="CF914" i="15"/>
  <c r="CF915" i="15"/>
  <c r="CF916" i="15"/>
  <c r="CF917" i="15"/>
  <c r="CF918" i="15"/>
  <c r="CF919" i="15"/>
  <c r="CF920" i="15"/>
  <c r="CF921" i="15"/>
  <c r="CF922" i="15"/>
  <c r="CF923" i="15"/>
  <c r="CF924" i="15"/>
  <c r="CF925" i="15"/>
  <c r="CF926" i="15"/>
  <c r="CF927" i="15"/>
  <c r="CF928" i="15"/>
  <c r="CF929" i="15"/>
  <c r="CF930" i="15"/>
  <c r="CF931" i="15"/>
  <c r="CF932" i="15"/>
  <c r="CF933" i="15"/>
  <c r="CF934" i="15"/>
  <c r="CF935" i="15"/>
  <c r="CF936" i="15"/>
  <c r="CF937" i="15"/>
  <c r="CF938" i="15"/>
  <c r="CF939" i="15"/>
  <c r="CF940" i="15"/>
  <c r="CF941" i="15"/>
  <c r="CF942" i="15"/>
  <c r="CF943" i="15"/>
  <c r="CF944" i="15"/>
  <c r="CF945" i="15"/>
  <c r="CF946" i="15"/>
  <c r="CF947" i="15"/>
  <c r="CF948" i="15"/>
  <c r="CF949" i="15"/>
  <c r="CF950" i="15"/>
  <c r="CF951" i="15"/>
  <c r="CF952" i="15"/>
  <c r="CF953" i="15"/>
  <c r="CF954" i="15"/>
  <c r="CF955" i="15"/>
  <c r="CF956" i="15"/>
  <c r="CF957" i="15"/>
  <c r="CF958" i="15"/>
  <c r="CF959" i="15"/>
  <c r="CF960" i="15"/>
  <c r="CF961" i="15"/>
  <c r="CF962" i="15"/>
  <c r="CF963" i="15"/>
  <c r="CF964" i="15"/>
  <c r="CF965" i="15"/>
  <c r="CF966" i="15"/>
  <c r="CF967" i="15"/>
  <c r="CF968" i="15"/>
  <c r="CF969" i="15"/>
  <c r="CF970" i="15"/>
  <c r="CF971" i="15"/>
  <c r="CF972" i="15"/>
  <c r="CF973" i="15"/>
  <c r="CF974" i="15"/>
  <c r="CF975" i="15"/>
  <c r="CF976" i="15"/>
  <c r="CF977" i="15"/>
  <c r="CF978" i="15"/>
  <c r="CF979" i="15"/>
  <c r="CF980" i="15"/>
  <c r="CF981" i="15"/>
  <c r="CF982" i="15"/>
  <c r="CF983" i="15"/>
  <c r="CF984" i="15"/>
  <c r="CF985" i="15"/>
  <c r="CF986" i="15"/>
  <c r="CF987" i="15"/>
  <c r="CF988" i="15"/>
  <c r="CF989" i="15"/>
  <c r="CF990" i="15"/>
  <c r="CF991" i="15"/>
  <c r="CF992" i="15"/>
  <c r="CF993" i="15"/>
  <c r="CF994" i="15"/>
  <c r="CF995" i="15"/>
  <c r="CF996" i="15"/>
  <c r="CF997" i="15"/>
  <c r="CF998" i="15"/>
  <c r="CF999" i="15"/>
  <c r="CF1000" i="15"/>
  <c r="CF1001" i="15"/>
  <c r="CF1002" i="15"/>
  <c r="CF1003" i="15"/>
  <c r="CF1004" i="15"/>
  <c r="CF1005" i="15"/>
  <c r="CF1006" i="15"/>
  <c r="CF1007" i="15"/>
  <c r="CF1008" i="15"/>
  <c r="CF1009" i="15"/>
  <c r="CF1010" i="15"/>
  <c r="CF1011" i="15"/>
  <c r="CF1012" i="15"/>
  <c r="CF1013" i="15"/>
  <c r="CF1014" i="15"/>
  <c r="CF1015" i="15"/>
  <c r="CF1016" i="15"/>
  <c r="CF1017" i="15"/>
  <c r="CF1018" i="15"/>
  <c r="CF1019" i="15"/>
  <c r="CF1020" i="15"/>
  <c r="CF1021" i="15"/>
  <c r="CF1022" i="15"/>
  <c r="CF1023" i="15"/>
  <c r="CF1024" i="15"/>
  <c r="CF1025" i="15"/>
  <c r="CF1026" i="15"/>
  <c r="CF1027" i="15"/>
  <c r="CH27" i="15"/>
  <c r="BY151" i="15" l="1"/>
  <c r="BX151" i="15"/>
  <c r="BZ151" i="15" s="1"/>
  <c r="BA889" i="15"/>
  <c r="AZ889" i="15"/>
  <c r="BB889" i="15" s="1"/>
  <c r="BM520" i="15"/>
  <c r="BL520" i="15"/>
  <c r="BN520" i="15" s="1"/>
  <c r="BE766" i="15"/>
  <c r="BD766" i="15"/>
  <c r="BF766" i="15" s="1"/>
  <c r="BI643" i="15"/>
  <c r="BH643" i="15"/>
  <c r="BJ643" i="15" s="1"/>
  <c r="AW1012" i="15"/>
  <c r="AV1012" i="15"/>
  <c r="AX1012" i="15" s="1"/>
  <c r="BQ397" i="15"/>
  <c r="BP397" i="15"/>
  <c r="BR397" i="15" s="1"/>
  <c r="BU274" i="15"/>
  <c r="BT274" i="15"/>
  <c r="BV274" i="15" s="1"/>
  <c r="CI27" i="15"/>
  <c r="CG28" i="15" s="1"/>
  <c r="CC28" i="15"/>
  <c r="CD28" i="15" s="1"/>
  <c r="R4" i="15"/>
  <c r="CJ27" i="15"/>
  <c r="CK27" i="15" s="1"/>
  <c r="S4" i="15"/>
  <c r="CJ28" i="15"/>
  <c r="CJ29" i="15"/>
  <c r="CJ30" i="15"/>
  <c r="CJ31" i="15"/>
  <c r="CJ32" i="15"/>
  <c r="CJ33" i="15"/>
  <c r="CJ34" i="15"/>
  <c r="CJ35" i="15"/>
  <c r="CJ36" i="15"/>
  <c r="CJ37" i="15"/>
  <c r="CJ38" i="15"/>
  <c r="CJ39" i="15"/>
  <c r="CJ40" i="15"/>
  <c r="CJ41" i="15"/>
  <c r="CJ42" i="15"/>
  <c r="CJ43" i="15"/>
  <c r="CJ44" i="15"/>
  <c r="CJ45" i="15"/>
  <c r="CJ46" i="15"/>
  <c r="CJ47" i="15"/>
  <c r="CJ48" i="15"/>
  <c r="CJ49" i="15"/>
  <c r="CJ50" i="15"/>
  <c r="CJ51" i="15"/>
  <c r="CJ52" i="15"/>
  <c r="CJ53" i="15"/>
  <c r="CJ54" i="15"/>
  <c r="CJ55" i="15"/>
  <c r="CJ56" i="15"/>
  <c r="CJ57" i="15"/>
  <c r="CJ58" i="15"/>
  <c r="CJ59" i="15"/>
  <c r="CJ60" i="15"/>
  <c r="CJ61" i="15"/>
  <c r="CJ62" i="15"/>
  <c r="CJ63" i="15"/>
  <c r="CJ64" i="15"/>
  <c r="CJ65" i="15"/>
  <c r="CJ66" i="15"/>
  <c r="CJ67" i="15"/>
  <c r="CJ68" i="15"/>
  <c r="CJ69" i="15"/>
  <c r="CJ70" i="15"/>
  <c r="CJ71" i="15"/>
  <c r="CJ72" i="15"/>
  <c r="CJ73" i="15"/>
  <c r="CJ74" i="15"/>
  <c r="CJ75" i="15"/>
  <c r="CJ76" i="15"/>
  <c r="CJ77" i="15"/>
  <c r="CJ78" i="15"/>
  <c r="CJ79" i="15"/>
  <c r="CJ80" i="15"/>
  <c r="CJ81" i="15"/>
  <c r="CJ82" i="15"/>
  <c r="CJ83" i="15"/>
  <c r="CJ84" i="15"/>
  <c r="CJ85" i="15"/>
  <c r="CJ86" i="15"/>
  <c r="CJ87" i="15"/>
  <c r="CJ88" i="15"/>
  <c r="CJ89" i="15"/>
  <c r="CJ90" i="15"/>
  <c r="CJ91" i="15"/>
  <c r="CJ92" i="15"/>
  <c r="CJ93" i="15"/>
  <c r="CJ94" i="15"/>
  <c r="CJ95" i="15"/>
  <c r="CJ96" i="15"/>
  <c r="CJ97" i="15"/>
  <c r="CJ98" i="15"/>
  <c r="CJ99" i="15"/>
  <c r="CJ100" i="15"/>
  <c r="CJ101" i="15"/>
  <c r="CJ102" i="15"/>
  <c r="CJ103" i="15"/>
  <c r="CJ104" i="15"/>
  <c r="CJ105" i="15"/>
  <c r="CJ106" i="15"/>
  <c r="CJ107" i="15"/>
  <c r="CJ108" i="15"/>
  <c r="CJ109" i="15"/>
  <c r="CJ110" i="15"/>
  <c r="CJ111" i="15"/>
  <c r="CJ112" i="15"/>
  <c r="CJ113" i="15"/>
  <c r="CJ114" i="15"/>
  <c r="CJ115" i="15"/>
  <c r="CJ116" i="15"/>
  <c r="CJ117" i="15"/>
  <c r="CJ118" i="15"/>
  <c r="CJ119" i="15"/>
  <c r="CJ120" i="15"/>
  <c r="CJ121" i="15"/>
  <c r="CJ122" i="15"/>
  <c r="CJ123" i="15"/>
  <c r="CJ124" i="15"/>
  <c r="CJ125" i="15"/>
  <c r="CJ126" i="15"/>
  <c r="CJ127" i="15"/>
  <c r="CJ128" i="15"/>
  <c r="CJ129" i="15"/>
  <c r="CJ130" i="15"/>
  <c r="CJ131" i="15"/>
  <c r="CJ132" i="15"/>
  <c r="CJ133" i="15"/>
  <c r="CJ134" i="15"/>
  <c r="CJ135" i="15"/>
  <c r="CJ136" i="15"/>
  <c r="CJ137" i="15"/>
  <c r="CJ138" i="15"/>
  <c r="CJ139" i="15"/>
  <c r="CJ140" i="15"/>
  <c r="CJ141" i="15"/>
  <c r="CJ142" i="15"/>
  <c r="CJ143" i="15"/>
  <c r="CJ144" i="15"/>
  <c r="CJ145" i="15"/>
  <c r="CJ146" i="15"/>
  <c r="CJ147" i="15"/>
  <c r="CJ148" i="15"/>
  <c r="CJ149" i="15"/>
  <c r="CJ150" i="15"/>
  <c r="CJ151" i="15"/>
  <c r="CJ152" i="15"/>
  <c r="CJ153" i="15"/>
  <c r="CJ154" i="15"/>
  <c r="CJ155" i="15"/>
  <c r="CJ156" i="15"/>
  <c r="CJ157" i="15"/>
  <c r="CJ158" i="15"/>
  <c r="CJ159" i="15"/>
  <c r="CJ160" i="15"/>
  <c r="CJ161" i="15"/>
  <c r="CJ162" i="15"/>
  <c r="CJ163" i="15"/>
  <c r="CJ164" i="15"/>
  <c r="CJ165" i="15"/>
  <c r="CJ166" i="15"/>
  <c r="CJ167" i="15"/>
  <c r="CJ168" i="15"/>
  <c r="CJ169" i="15"/>
  <c r="CJ170" i="15"/>
  <c r="CJ171" i="15"/>
  <c r="CJ172" i="15"/>
  <c r="CJ173" i="15"/>
  <c r="CJ174" i="15"/>
  <c r="CJ175" i="15"/>
  <c r="CJ176" i="15"/>
  <c r="CJ177" i="15"/>
  <c r="CJ178" i="15"/>
  <c r="CJ179" i="15"/>
  <c r="CJ180" i="15"/>
  <c r="CJ181" i="15"/>
  <c r="CJ182" i="15"/>
  <c r="CJ183" i="15"/>
  <c r="CJ184" i="15"/>
  <c r="CJ185" i="15"/>
  <c r="CJ186" i="15"/>
  <c r="CJ187" i="15"/>
  <c r="CJ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200" i="15"/>
  <c r="CJ201" i="15"/>
  <c r="CJ202" i="15"/>
  <c r="CJ203" i="15"/>
  <c r="CJ204" i="15"/>
  <c r="CJ205" i="15"/>
  <c r="CJ206" i="15"/>
  <c r="CJ207" i="15"/>
  <c r="CJ208" i="15"/>
  <c r="CJ209" i="15"/>
  <c r="CJ210" i="15"/>
  <c r="CJ211" i="15"/>
  <c r="CJ212" i="15"/>
  <c r="CJ213" i="15"/>
  <c r="CJ214" i="15"/>
  <c r="CJ215" i="15"/>
  <c r="CJ216" i="15"/>
  <c r="CJ217" i="15"/>
  <c r="CJ218" i="15"/>
  <c r="CJ219" i="15"/>
  <c r="CJ220" i="15"/>
  <c r="CJ221" i="15"/>
  <c r="CJ222" i="15"/>
  <c r="CJ223" i="15"/>
  <c r="CJ224" i="15"/>
  <c r="CJ225" i="15"/>
  <c r="CJ226" i="15"/>
  <c r="CJ227" i="15"/>
  <c r="CJ228" i="15"/>
  <c r="CJ229" i="15"/>
  <c r="CJ230" i="15"/>
  <c r="CJ231" i="15"/>
  <c r="CJ232" i="15"/>
  <c r="CJ233" i="15"/>
  <c r="CJ234" i="15"/>
  <c r="CJ235" i="15"/>
  <c r="CJ236" i="15"/>
  <c r="CJ237" i="15"/>
  <c r="CJ238" i="15"/>
  <c r="CJ239" i="15"/>
  <c r="CJ240" i="15"/>
  <c r="CJ241" i="15"/>
  <c r="CJ242" i="15"/>
  <c r="CJ243" i="15"/>
  <c r="CJ244" i="15"/>
  <c r="CJ245" i="15"/>
  <c r="CJ246" i="15"/>
  <c r="CJ247" i="15"/>
  <c r="CJ248" i="15"/>
  <c r="CJ249" i="15"/>
  <c r="CJ250" i="15"/>
  <c r="CJ251" i="15"/>
  <c r="CJ252" i="15"/>
  <c r="CJ253" i="15"/>
  <c r="CJ254" i="15"/>
  <c r="CJ255" i="15"/>
  <c r="CJ256" i="15"/>
  <c r="CJ257" i="15"/>
  <c r="CJ258" i="15"/>
  <c r="CJ259" i="15"/>
  <c r="CJ260" i="15"/>
  <c r="CJ261" i="15"/>
  <c r="CJ262" i="15"/>
  <c r="CJ263" i="15"/>
  <c r="CJ264" i="15"/>
  <c r="CJ265" i="15"/>
  <c r="CJ266" i="15"/>
  <c r="CJ267" i="15"/>
  <c r="CJ268" i="15"/>
  <c r="CJ269" i="15"/>
  <c r="CJ270" i="15"/>
  <c r="CJ271" i="15"/>
  <c r="CJ272" i="15"/>
  <c r="CJ273" i="15"/>
  <c r="CJ274" i="15"/>
  <c r="CJ275" i="15"/>
  <c r="CJ276" i="15"/>
  <c r="CJ277" i="15"/>
  <c r="CJ278" i="15"/>
  <c r="CJ279" i="15"/>
  <c r="CJ280" i="15"/>
  <c r="CJ281" i="15"/>
  <c r="CJ282" i="15"/>
  <c r="CJ283" i="15"/>
  <c r="CJ284" i="15"/>
  <c r="CJ285" i="15"/>
  <c r="CJ286" i="15"/>
  <c r="CJ287" i="15"/>
  <c r="CJ288" i="15"/>
  <c r="CJ289" i="15"/>
  <c r="CJ290" i="15"/>
  <c r="CJ291" i="15"/>
  <c r="CJ292" i="15"/>
  <c r="CJ293" i="15"/>
  <c r="CJ294" i="15"/>
  <c r="CJ295" i="15"/>
  <c r="CJ296" i="15"/>
  <c r="CJ297" i="15"/>
  <c r="CJ298" i="15"/>
  <c r="CJ299" i="15"/>
  <c r="CJ300" i="15"/>
  <c r="CJ301" i="15"/>
  <c r="CJ302" i="15"/>
  <c r="CJ303" i="15"/>
  <c r="CJ304" i="15"/>
  <c r="CJ305" i="15"/>
  <c r="CJ306" i="15"/>
  <c r="CJ307" i="15"/>
  <c r="CJ308" i="15"/>
  <c r="CJ309" i="15"/>
  <c r="CJ310" i="15"/>
  <c r="CJ311" i="15"/>
  <c r="CJ312" i="15"/>
  <c r="CJ313" i="15"/>
  <c r="CJ314" i="15"/>
  <c r="CJ315" i="15"/>
  <c r="CJ316" i="15"/>
  <c r="CJ317" i="15"/>
  <c r="CJ318" i="15"/>
  <c r="CJ319" i="15"/>
  <c r="CJ320" i="15"/>
  <c r="CJ321" i="15"/>
  <c r="CJ322" i="15"/>
  <c r="CJ323" i="15"/>
  <c r="CJ324" i="15"/>
  <c r="CJ325" i="15"/>
  <c r="CJ326" i="15"/>
  <c r="CJ327" i="15"/>
  <c r="CJ328" i="15"/>
  <c r="CJ329" i="15"/>
  <c r="CJ330" i="15"/>
  <c r="CJ331" i="15"/>
  <c r="CJ332" i="15"/>
  <c r="CJ333" i="15"/>
  <c r="CJ334" i="15"/>
  <c r="CJ335" i="15"/>
  <c r="CJ336" i="15"/>
  <c r="CJ337" i="15"/>
  <c r="CJ338" i="15"/>
  <c r="CJ339" i="15"/>
  <c r="CJ340" i="15"/>
  <c r="CJ341" i="15"/>
  <c r="CJ342" i="15"/>
  <c r="CJ343" i="15"/>
  <c r="CJ344" i="15"/>
  <c r="CJ345" i="15"/>
  <c r="CJ346" i="15"/>
  <c r="CJ347" i="15"/>
  <c r="CJ348" i="15"/>
  <c r="CJ349" i="15"/>
  <c r="CJ350" i="15"/>
  <c r="CJ351" i="15"/>
  <c r="CJ352" i="15"/>
  <c r="CJ353" i="15"/>
  <c r="CJ354" i="15"/>
  <c r="CJ355" i="15"/>
  <c r="CJ356" i="15"/>
  <c r="CJ357" i="15"/>
  <c r="CJ358" i="15"/>
  <c r="CJ359" i="15"/>
  <c r="CJ360" i="15"/>
  <c r="CJ361" i="15"/>
  <c r="CJ362" i="15"/>
  <c r="CJ363" i="15"/>
  <c r="CJ364" i="15"/>
  <c r="CJ365" i="15"/>
  <c r="CJ366" i="15"/>
  <c r="CJ367" i="15"/>
  <c r="CJ368" i="15"/>
  <c r="CJ369" i="15"/>
  <c r="CJ370" i="15"/>
  <c r="CJ371" i="15"/>
  <c r="CJ372" i="15"/>
  <c r="CJ373" i="15"/>
  <c r="CJ374" i="15"/>
  <c r="CJ375" i="15"/>
  <c r="CJ376" i="15"/>
  <c r="CJ377" i="15"/>
  <c r="CJ378" i="15"/>
  <c r="CJ379" i="15"/>
  <c r="CJ380" i="15"/>
  <c r="CJ381" i="15"/>
  <c r="CJ382" i="15"/>
  <c r="CJ383" i="15"/>
  <c r="CJ384" i="15"/>
  <c r="CJ385" i="15"/>
  <c r="CJ386" i="15"/>
  <c r="CJ387" i="15"/>
  <c r="CJ388" i="15"/>
  <c r="CJ389" i="15"/>
  <c r="CJ390" i="15"/>
  <c r="CJ391" i="15"/>
  <c r="CJ392" i="15"/>
  <c r="CJ393" i="15"/>
  <c r="CJ394" i="15"/>
  <c r="CJ395" i="15"/>
  <c r="CJ396" i="15"/>
  <c r="CJ397" i="15"/>
  <c r="CJ398" i="15"/>
  <c r="CJ399" i="15"/>
  <c r="CJ400" i="15"/>
  <c r="CJ401" i="15"/>
  <c r="CJ402" i="15"/>
  <c r="CJ403" i="15"/>
  <c r="CJ404" i="15"/>
  <c r="CJ405" i="15"/>
  <c r="CJ406" i="15"/>
  <c r="CJ407" i="15"/>
  <c r="CJ408" i="15"/>
  <c r="CJ409" i="15"/>
  <c r="CJ410" i="15"/>
  <c r="CJ411" i="15"/>
  <c r="CJ412" i="15"/>
  <c r="CJ413" i="15"/>
  <c r="CJ414" i="15"/>
  <c r="CJ415" i="15"/>
  <c r="CJ416" i="15"/>
  <c r="CJ417" i="15"/>
  <c r="CJ418" i="15"/>
  <c r="CJ419" i="15"/>
  <c r="CJ420" i="15"/>
  <c r="CJ421" i="15"/>
  <c r="CJ422" i="15"/>
  <c r="CJ423" i="15"/>
  <c r="CJ424" i="15"/>
  <c r="CJ425" i="15"/>
  <c r="CJ426" i="15"/>
  <c r="CJ427" i="15"/>
  <c r="CJ428" i="15"/>
  <c r="CJ429" i="15"/>
  <c r="CJ430" i="15"/>
  <c r="CJ431" i="15"/>
  <c r="CJ432" i="15"/>
  <c r="CJ433" i="15"/>
  <c r="CJ434" i="15"/>
  <c r="CJ435" i="15"/>
  <c r="CJ436" i="15"/>
  <c r="CJ437" i="15"/>
  <c r="CJ438" i="15"/>
  <c r="CJ439" i="15"/>
  <c r="CJ440" i="15"/>
  <c r="CJ441" i="15"/>
  <c r="CJ442" i="15"/>
  <c r="CJ443" i="15"/>
  <c r="CJ444" i="15"/>
  <c r="CJ445" i="15"/>
  <c r="CJ446" i="15"/>
  <c r="CJ447" i="15"/>
  <c r="CJ448" i="15"/>
  <c r="CJ449" i="15"/>
  <c r="CJ450" i="15"/>
  <c r="CJ451" i="15"/>
  <c r="CJ452" i="15"/>
  <c r="CJ453" i="15"/>
  <c r="CJ454" i="15"/>
  <c r="CJ455" i="15"/>
  <c r="CJ456" i="15"/>
  <c r="CJ457" i="15"/>
  <c r="CJ458" i="15"/>
  <c r="CJ459" i="15"/>
  <c r="CJ460" i="15"/>
  <c r="CJ461" i="15"/>
  <c r="CJ462" i="15"/>
  <c r="CJ463" i="15"/>
  <c r="CJ464" i="15"/>
  <c r="CJ465" i="15"/>
  <c r="CJ466" i="15"/>
  <c r="CJ467" i="15"/>
  <c r="CJ468" i="15"/>
  <c r="CJ469" i="15"/>
  <c r="CJ470" i="15"/>
  <c r="CJ471" i="15"/>
  <c r="CJ472" i="15"/>
  <c r="CJ473" i="15"/>
  <c r="CJ474" i="15"/>
  <c r="CJ475" i="15"/>
  <c r="CJ476" i="15"/>
  <c r="CJ477" i="15"/>
  <c r="CJ478" i="15"/>
  <c r="CJ479" i="15"/>
  <c r="CJ480" i="15"/>
  <c r="CJ481" i="15"/>
  <c r="CJ482" i="15"/>
  <c r="CJ483" i="15"/>
  <c r="CJ484" i="15"/>
  <c r="CJ485" i="15"/>
  <c r="CJ486" i="15"/>
  <c r="CJ487" i="15"/>
  <c r="CJ488" i="15"/>
  <c r="CJ489" i="15"/>
  <c r="CJ490" i="15"/>
  <c r="CJ491" i="15"/>
  <c r="CJ492" i="15"/>
  <c r="CJ493" i="15"/>
  <c r="CJ494" i="15"/>
  <c r="CJ495" i="15"/>
  <c r="CJ496" i="15"/>
  <c r="CJ497" i="15"/>
  <c r="CJ498" i="15"/>
  <c r="CJ499" i="15"/>
  <c r="CJ500" i="15"/>
  <c r="CJ501" i="15"/>
  <c r="CJ502" i="15"/>
  <c r="CJ503" i="15"/>
  <c r="CJ504" i="15"/>
  <c r="CJ505" i="15"/>
  <c r="CJ506" i="15"/>
  <c r="CJ507" i="15"/>
  <c r="CJ508" i="15"/>
  <c r="CJ509" i="15"/>
  <c r="CJ510" i="15"/>
  <c r="CJ511" i="15"/>
  <c r="CJ512" i="15"/>
  <c r="CJ513" i="15"/>
  <c r="CJ514" i="15"/>
  <c r="CJ515" i="15"/>
  <c r="CJ516" i="15"/>
  <c r="CJ517" i="15"/>
  <c r="CJ518" i="15"/>
  <c r="CJ519" i="15"/>
  <c r="CJ520" i="15"/>
  <c r="CJ521" i="15"/>
  <c r="CJ522" i="15"/>
  <c r="CJ523" i="15"/>
  <c r="CJ524" i="15"/>
  <c r="CJ525" i="15"/>
  <c r="CJ526" i="15"/>
  <c r="CJ527" i="15"/>
  <c r="CJ528" i="15"/>
  <c r="CJ529" i="15"/>
  <c r="CJ530" i="15"/>
  <c r="CJ531" i="15"/>
  <c r="CJ532" i="15"/>
  <c r="CJ533" i="15"/>
  <c r="CJ534" i="15"/>
  <c r="CJ535" i="15"/>
  <c r="CJ536" i="15"/>
  <c r="CJ537" i="15"/>
  <c r="CJ538" i="15"/>
  <c r="CJ539" i="15"/>
  <c r="CJ540" i="15"/>
  <c r="CJ541" i="15"/>
  <c r="CJ542" i="15"/>
  <c r="CJ543" i="15"/>
  <c r="CJ544" i="15"/>
  <c r="CJ545" i="15"/>
  <c r="CJ546" i="15"/>
  <c r="CJ547" i="15"/>
  <c r="CJ548" i="15"/>
  <c r="CJ549" i="15"/>
  <c r="CJ550" i="15"/>
  <c r="CJ551" i="15"/>
  <c r="CJ552" i="15"/>
  <c r="CJ553" i="15"/>
  <c r="CJ554" i="15"/>
  <c r="CJ555" i="15"/>
  <c r="CJ556" i="15"/>
  <c r="CJ557" i="15"/>
  <c r="CJ558" i="15"/>
  <c r="CJ559" i="15"/>
  <c r="CJ560" i="15"/>
  <c r="CJ561" i="15"/>
  <c r="CJ562" i="15"/>
  <c r="CJ563" i="15"/>
  <c r="CJ564" i="15"/>
  <c r="CJ565" i="15"/>
  <c r="CJ566" i="15"/>
  <c r="CJ567" i="15"/>
  <c r="CJ568" i="15"/>
  <c r="CJ569" i="15"/>
  <c r="CJ570" i="15"/>
  <c r="CJ571" i="15"/>
  <c r="CJ572" i="15"/>
  <c r="CJ573" i="15"/>
  <c r="CJ574" i="15"/>
  <c r="CJ575" i="15"/>
  <c r="CJ576" i="15"/>
  <c r="CJ577" i="15"/>
  <c r="CJ578" i="15"/>
  <c r="CJ579" i="15"/>
  <c r="CJ580" i="15"/>
  <c r="CJ581" i="15"/>
  <c r="CJ582" i="15"/>
  <c r="CJ583" i="15"/>
  <c r="CJ584" i="15"/>
  <c r="CJ585" i="15"/>
  <c r="CJ586" i="15"/>
  <c r="CJ587" i="15"/>
  <c r="CJ588" i="15"/>
  <c r="CJ589" i="15"/>
  <c r="CJ590" i="15"/>
  <c r="CJ591" i="15"/>
  <c r="CJ592" i="15"/>
  <c r="CJ593" i="15"/>
  <c r="CJ594" i="15"/>
  <c r="CJ595" i="15"/>
  <c r="CJ596" i="15"/>
  <c r="CJ597" i="15"/>
  <c r="CJ598" i="15"/>
  <c r="CJ599" i="15"/>
  <c r="CJ600" i="15"/>
  <c r="CJ601" i="15"/>
  <c r="CJ602" i="15"/>
  <c r="CJ603" i="15"/>
  <c r="CJ604" i="15"/>
  <c r="CJ605" i="15"/>
  <c r="CJ606" i="15"/>
  <c r="CJ607" i="15"/>
  <c r="CJ608" i="15"/>
  <c r="CJ609" i="15"/>
  <c r="CJ610" i="15"/>
  <c r="CJ611" i="15"/>
  <c r="CJ612" i="15"/>
  <c r="CJ613" i="15"/>
  <c r="CJ614" i="15"/>
  <c r="CJ615" i="15"/>
  <c r="CJ616" i="15"/>
  <c r="CJ617" i="15"/>
  <c r="CJ618" i="15"/>
  <c r="CJ619" i="15"/>
  <c r="CJ620" i="15"/>
  <c r="CJ621" i="15"/>
  <c r="CJ622" i="15"/>
  <c r="CJ623" i="15"/>
  <c r="CJ624" i="15"/>
  <c r="CJ625" i="15"/>
  <c r="CJ626" i="15"/>
  <c r="CJ627" i="15"/>
  <c r="CJ628" i="15"/>
  <c r="CJ629" i="15"/>
  <c r="CJ630" i="15"/>
  <c r="CJ631" i="15"/>
  <c r="CJ632" i="15"/>
  <c r="CJ633" i="15"/>
  <c r="CJ634" i="15"/>
  <c r="CJ635" i="15"/>
  <c r="CJ636" i="15"/>
  <c r="CJ637" i="15"/>
  <c r="CJ638" i="15"/>
  <c r="CJ639" i="15"/>
  <c r="CJ640" i="15"/>
  <c r="CJ641" i="15"/>
  <c r="CJ642" i="15"/>
  <c r="CJ643" i="15"/>
  <c r="CJ644" i="15"/>
  <c r="CJ645" i="15"/>
  <c r="CJ646" i="15"/>
  <c r="CJ647" i="15"/>
  <c r="CJ648" i="15"/>
  <c r="CJ649" i="15"/>
  <c r="CJ650" i="15"/>
  <c r="CJ651" i="15"/>
  <c r="CJ652" i="15"/>
  <c r="CJ653" i="15"/>
  <c r="CJ654" i="15"/>
  <c r="CJ655" i="15"/>
  <c r="CJ656" i="15"/>
  <c r="CJ657" i="15"/>
  <c r="CJ658" i="15"/>
  <c r="CJ659" i="15"/>
  <c r="CJ660" i="15"/>
  <c r="CJ661" i="15"/>
  <c r="CJ662" i="15"/>
  <c r="CJ663" i="15"/>
  <c r="CJ664" i="15"/>
  <c r="CJ665" i="15"/>
  <c r="CJ666" i="15"/>
  <c r="CJ667" i="15"/>
  <c r="CJ668" i="15"/>
  <c r="CJ669" i="15"/>
  <c r="CJ670" i="15"/>
  <c r="CJ671" i="15"/>
  <c r="CJ672" i="15"/>
  <c r="CJ673" i="15"/>
  <c r="CJ674" i="15"/>
  <c r="CJ675" i="15"/>
  <c r="CJ676" i="15"/>
  <c r="CJ677" i="15"/>
  <c r="CJ678" i="15"/>
  <c r="CJ679" i="15"/>
  <c r="CJ680" i="15"/>
  <c r="CJ681" i="15"/>
  <c r="CJ682" i="15"/>
  <c r="CJ683" i="15"/>
  <c r="CJ684" i="15"/>
  <c r="CJ685" i="15"/>
  <c r="CJ686" i="15"/>
  <c r="CJ687" i="15"/>
  <c r="CJ688" i="15"/>
  <c r="CJ689" i="15"/>
  <c r="CJ690" i="15"/>
  <c r="CJ691" i="15"/>
  <c r="CJ692" i="15"/>
  <c r="CJ693" i="15"/>
  <c r="CJ694" i="15"/>
  <c r="CJ695" i="15"/>
  <c r="CJ696" i="15"/>
  <c r="CJ697" i="15"/>
  <c r="CJ698" i="15"/>
  <c r="CJ699" i="15"/>
  <c r="CJ700" i="15"/>
  <c r="CJ701" i="15"/>
  <c r="CJ702" i="15"/>
  <c r="CJ703" i="15"/>
  <c r="CJ704" i="15"/>
  <c r="CJ705" i="15"/>
  <c r="CJ706" i="15"/>
  <c r="CJ707" i="15"/>
  <c r="CJ708" i="15"/>
  <c r="CJ709" i="15"/>
  <c r="CJ710" i="15"/>
  <c r="CJ711" i="15"/>
  <c r="CJ712" i="15"/>
  <c r="CJ713" i="15"/>
  <c r="CJ714" i="15"/>
  <c r="CJ715" i="15"/>
  <c r="CJ716" i="15"/>
  <c r="CJ717" i="15"/>
  <c r="CJ718" i="15"/>
  <c r="CJ719" i="15"/>
  <c r="CJ720" i="15"/>
  <c r="CJ721" i="15"/>
  <c r="CJ722" i="15"/>
  <c r="CJ723" i="15"/>
  <c r="CJ724" i="15"/>
  <c r="CJ725" i="15"/>
  <c r="CJ726" i="15"/>
  <c r="CJ727" i="15"/>
  <c r="CJ728" i="15"/>
  <c r="CJ729" i="15"/>
  <c r="CJ730" i="15"/>
  <c r="CJ731" i="15"/>
  <c r="CJ732" i="15"/>
  <c r="CJ733" i="15"/>
  <c r="CJ734" i="15"/>
  <c r="CJ735" i="15"/>
  <c r="CJ736" i="15"/>
  <c r="CJ737" i="15"/>
  <c r="CJ738" i="15"/>
  <c r="CJ739" i="15"/>
  <c r="CJ740" i="15"/>
  <c r="CJ741" i="15"/>
  <c r="CJ742" i="15"/>
  <c r="CJ743" i="15"/>
  <c r="CJ744" i="15"/>
  <c r="CJ745" i="15"/>
  <c r="CJ746" i="15"/>
  <c r="CJ747" i="15"/>
  <c r="CJ748" i="15"/>
  <c r="CJ749" i="15"/>
  <c r="CJ750" i="15"/>
  <c r="CJ751" i="15"/>
  <c r="CJ752" i="15"/>
  <c r="CJ753" i="15"/>
  <c r="CJ754" i="15"/>
  <c r="CJ755" i="15"/>
  <c r="CJ756" i="15"/>
  <c r="CJ757" i="15"/>
  <c r="CJ758" i="15"/>
  <c r="CJ759" i="15"/>
  <c r="CJ760" i="15"/>
  <c r="CJ761" i="15"/>
  <c r="CJ762" i="15"/>
  <c r="CJ763" i="15"/>
  <c r="CJ764" i="15"/>
  <c r="CJ765" i="15"/>
  <c r="CJ766" i="15"/>
  <c r="CJ767" i="15"/>
  <c r="CJ768" i="15"/>
  <c r="CJ769" i="15"/>
  <c r="CJ770" i="15"/>
  <c r="CJ771" i="15"/>
  <c r="CJ772" i="15"/>
  <c r="CJ773" i="15"/>
  <c r="CJ774" i="15"/>
  <c r="CJ775" i="15"/>
  <c r="CJ776" i="15"/>
  <c r="CJ777" i="15"/>
  <c r="CJ778" i="15"/>
  <c r="CJ779" i="15"/>
  <c r="CJ780" i="15"/>
  <c r="CJ781" i="15"/>
  <c r="CJ782" i="15"/>
  <c r="CJ783" i="15"/>
  <c r="CJ784" i="15"/>
  <c r="CJ785" i="15"/>
  <c r="CJ786" i="15"/>
  <c r="CJ787" i="15"/>
  <c r="CJ788" i="15"/>
  <c r="CJ789" i="15"/>
  <c r="CJ790" i="15"/>
  <c r="CJ791" i="15"/>
  <c r="CJ792" i="15"/>
  <c r="CJ793" i="15"/>
  <c r="CJ794" i="15"/>
  <c r="CJ795" i="15"/>
  <c r="CJ796" i="15"/>
  <c r="CJ797" i="15"/>
  <c r="CJ798" i="15"/>
  <c r="CJ799" i="15"/>
  <c r="CJ800" i="15"/>
  <c r="CJ801" i="15"/>
  <c r="CJ802" i="15"/>
  <c r="CJ803" i="15"/>
  <c r="CJ804" i="15"/>
  <c r="CJ805" i="15"/>
  <c r="CJ806" i="15"/>
  <c r="CJ807" i="15"/>
  <c r="CJ808" i="15"/>
  <c r="CJ809" i="15"/>
  <c r="CJ810" i="15"/>
  <c r="CJ811" i="15"/>
  <c r="CJ812" i="15"/>
  <c r="CJ813" i="15"/>
  <c r="CJ814" i="15"/>
  <c r="CJ815" i="15"/>
  <c r="CJ816" i="15"/>
  <c r="CJ817" i="15"/>
  <c r="CJ818" i="15"/>
  <c r="CJ819" i="15"/>
  <c r="CJ820" i="15"/>
  <c r="CJ821" i="15"/>
  <c r="CJ822" i="15"/>
  <c r="CJ823" i="15"/>
  <c r="CJ824" i="15"/>
  <c r="CJ825" i="15"/>
  <c r="CJ826" i="15"/>
  <c r="CJ827" i="15"/>
  <c r="CJ828" i="15"/>
  <c r="CJ829" i="15"/>
  <c r="CJ830" i="15"/>
  <c r="CJ831" i="15"/>
  <c r="CJ832" i="15"/>
  <c r="CJ833" i="15"/>
  <c r="CJ834" i="15"/>
  <c r="CJ835" i="15"/>
  <c r="CJ836" i="15"/>
  <c r="CJ837" i="15"/>
  <c r="CJ838" i="15"/>
  <c r="CJ839" i="15"/>
  <c r="CJ840" i="15"/>
  <c r="CJ841" i="15"/>
  <c r="CJ842" i="15"/>
  <c r="CJ843" i="15"/>
  <c r="CJ844" i="15"/>
  <c r="CJ845" i="15"/>
  <c r="CJ846" i="15"/>
  <c r="CJ847" i="15"/>
  <c r="CJ848" i="15"/>
  <c r="CJ849" i="15"/>
  <c r="CJ850" i="15"/>
  <c r="CJ851" i="15"/>
  <c r="CJ852" i="15"/>
  <c r="CJ853" i="15"/>
  <c r="CJ854" i="15"/>
  <c r="CJ855" i="15"/>
  <c r="CJ856" i="15"/>
  <c r="CJ857" i="15"/>
  <c r="CJ858" i="15"/>
  <c r="CJ859" i="15"/>
  <c r="CJ860" i="15"/>
  <c r="CJ861" i="15"/>
  <c r="CJ862" i="15"/>
  <c r="CJ863" i="15"/>
  <c r="CJ864" i="15"/>
  <c r="CJ865" i="15"/>
  <c r="CJ866" i="15"/>
  <c r="CJ867" i="15"/>
  <c r="CJ868" i="15"/>
  <c r="CJ869" i="15"/>
  <c r="CJ870" i="15"/>
  <c r="CJ871" i="15"/>
  <c r="CJ872" i="15"/>
  <c r="CJ873" i="15"/>
  <c r="CJ874" i="15"/>
  <c r="CJ875" i="15"/>
  <c r="CJ876" i="15"/>
  <c r="CJ877" i="15"/>
  <c r="CJ878" i="15"/>
  <c r="CJ879" i="15"/>
  <c r="CJ880" i="15"/>
  <c r="CJ881" i="15"/>
  <c r="CJ882" i="15"/>
  <c r="CJ883" i="15"/>
  <c r="CJ884" i="15"/>
  <c r="CJ885" i="15"/>
  <c r="CJ886" i="15"/>
  <c r="CJ887" i="15"/>
  <c r="CJ888" i="15"/>
  <c r="CJ889" i="15"/>
  <c r="CJ890" i="15"/>
  <c r="CJ891" i="15"/>
  <c r="CJ892" i="15"/>
  <c r="CJ893" i="15"/>
  <c r="CJ894" i="15"/>
  <c r="CJ895" i="15"/>
  <c r="CJ896" i="15"/>
  <c r="CJ897" i="15"/>
  <c r="CJ898" i="15"/>
  <c r="CJ899" i="15"/>
  <c r="CJ900" i="15"/>
  <c r="CJ901" i="15"/>
  <c r="CJ902" i="15"/>
  <c r="CJ903" i="15"/>
  <c r="CJ904" i="15"/>
  <c r="CJ905" i="15"/>
  <c r="CJ906" i="15"/>
  <c r="CJ907" i="15"/>
  <c r="CJ908" i="15"/>
  <c r="CJ909" i="15"/>
  <c r="CJ910" i="15"/>
  <c r="CJ911" i="15"/>
  <c r="CJ912" i="15"/>
  <c r="CJ913" i="15"/>
  <c r="CJ914" i="15"/>
  <c r="CJ915" i="15"/>
  <c r="CJ916" i="15"/>
  <c r="CJ917" i="15"/>
  <c r="CJ918" i="15"/>
  <c r="CJ919" i="15"/>
  <c r="CJ920" i="15"/>
  <c r="CJ921" i="15"/>
  <c r="CJ922" i="15"/>
  <c r="CJ923" i="15"/>
  <c r="CJ924" i="15"/>
  <c r="CJ925" i="15"/>
  <c r="CJ926" i="15"/>
  <c r="CJ927" i="15"/>
  <c r="CJ928" i="15"/>
  <c r="CJ929" i="15"/>
  <c r="CJ930" i="15"/>
  <c r="CJ931" i="15"/>
  <c r="CJ932" i="15"/>
  <c r="CJ933" i="15"/>
  <c r="CJ934" i="15"/>
  <c r="CJ935" i="15"/>
  <c r="CJ936" i="15"/>
  <c r="CJ937" i="15"/>
  <c r="CJ938" i="15"/>
  <c r="CJ939" i="15"/>
  <c r="CJ940" i="15"/>
  <c r="CJ941" i="15"/>
  <c r="CJ942" i="15"/>
  <c r="CJ943" i="15"/>
  <c r="CJ944" i="15"/>
  <c r="CJ945" i="15"/>
  <c r="CJ946" i="15"/>
  <c r="CJ947" i="15"/>
  <c r="CJ948" i="15"/>
  <c r="CJ949" i="15"/>
  <c r="CJ950" i="15"/>
  <c r="CJ951" i="15"/>
  <c r="CJ952" i="15"/>
  <c r="CJ953" i="15"/>
  <c r="CJ954" i="15"/>
  <c r="CJ955" i="15"/>
  <c r="CJ956" i="15"/>
  <c r="CJ957" i="15"/>
  <c r="CJ958" i="15"/>
  <c r="CJ959" i="15"/>
  <c r="CJ960" i="15"/>
  <c r="CJ961" i="15"/>
  <c r="CJ962" i="15"/>
  <c r="CJ963" i="15"/>
  <c r="CJ964" i="15"/>
  <c r="CJ965" i="15"/>
  <c r="CJ966" i="15"/>
  <c r="CJ967" i="15"/>
  <c r="CJ968" i="15"/>
  <c r="CJ969" i="15"/>
  <c r="CJ970" i="15"/>
  <c r="CJ971" i="15"/>
  <c r="CJ972" i="15"/>
  <c r="CJ973" i="15"/>
  <c r="CJ974" i="15"/>
  <c r="CJ975" i="15"/>
  <c r="CJ976" i="15"/>
  <c r="CJ977" i="15"/>
  <c r="CJ978" i="15"/>
  <c r="CJ979" i="15"/>
  <c r="CJ980" i="15"/>
  <c r="CJ981" i="15"/>
  <c r="CJ982" i="15"/>
  <c r="CJ983" i="15"/>
  <c r="CJ984" i="15"/>
  <c r="CJ985" i="15"/>
  <c r="CJ986" i="15"/>
  <c r="CJ987" i="15"/>
  <c r="CJ988" i="15"/>
  <c r="CJ989" i="15"/>
  <c r="CJ990" i="15"/>
  <c r="CJ991" i="15"/>
  <c r="CJ992" i="15"/>
  <c r="CJ993" i="15"/>
  <c r="CJ994" i="15"/>
  <c r="CJ995" i="15"/>
  <c r="CJ996" i="15"/>
  <c r="CJ997" i="15"/>
  <c r="CJ998" i="15"/>
  <c r="CJ999" i="15"/>
  <c r="CJ1000" i="15"/>
  <c r="CJ1001" i="15"/>
  <c r="CJ1002" i="15"/>
  <c r="CJ1003" i="15"/>
  <c r="CJ1004" i="15"/>
  <c r="CJ1005" i="15"/>
  <c r="CJ1006" i="15"/>
  <c r="CJ1007" i="15"/>
  <c r="CJ1008" i="15"/>
  <c r="CJ1009" i="15"/>
  <c r="CJ1010" i="15"/>
  <c r="CJ1011" i="15"/>
  <c r="CJ1012" i="15"/>
  <c r="CJ1013" i="15"/>
  <c r="CJ1014" i="15"/>
  <c r="CJ1015" i="15"/>
  <c r="CJ1016" i="15"/>
  <c r="CJ1017" i="15"/>
  <c r="CJ1018" i="15"/>
  <c r="CJ1019" i="15"/>
  <c r="CJ1020" i="15"/>
  <c r="CJ1021" i="15"/>
  <c r="CJ1022" i="15"/>
  <c r="CJ1023" i="15"/>
  <c r="CJ1024" i="15"/>
  <c r="CJ1025" i="15"/>
  <c r="CJ1026" i="15"/>
  <c r="CJ1027" i="15"/>
  <c r="CL27" i="15"/>
  <c r="CC29" i="15" l="1"/>
  <c r="CB29" i="15"/>
  <c r="CD29" i="15" s="1"/>
  <c r="BU275" i="15"/>
  <c r="BT275" i="15"/>
  <c r="BV275" i="15" s="1"/>
  <c r="BQ398" i="15"/>
  <c r="BP398" i="15"/>
  <c r="BR398" i="15" s="1"/>
  <c r="AW1013" i="15"/>
  <c r="AV1013" i="15"/>
  <c r="AX1013" i="15" s="1"/>
  <c r="BI644" i="15"/>
  <c r="BH644" i="15"/>
  <c r="BJ644" i="15" s="1"/>
  <c r="BE767" i="15"/>
  <c r="BD767" i="15"/>
  <c r="BF767" i="15" s="1"/>
  <c r="BM521" i="15"/>
  <c r="BL521" i="15"/>
  <c r="BN521" i="15" s="1"/>
  <c r="BA890" i="15"/>
  <c r="AZ890" i="15"/>
  <c r="BB890" i="15" s="1"/>
  <c r="BY152" i="15"/>
  <c r="BX152" i="15"/>
  <c r="BZ152" i="15" s="1"/>
  <c r="CK28" i="15"/>
  <c r="CM27" i="15"/>
  <c r="CI28" i="15"/>
  <c r="CH28" i="15"/>
  <c r="BA891" i="15" l="1"/>
  <c r="AZ891" i="15"/>
  <c r="BB891" i="15" s="1"/>
  <c r="BM522" i="15"/>
  <c r="BL522" i="15"/>
  <c r="BN522" i="15" s="1"/>
  <c r="BI645" i="15"/>
  <c r="BH645" i="15"/>
  <c r="BJ645" i="15" s="1"/>
  <c r="AW1014" i="15"/>
  <c r="AV1014" i="15"/>
  <c r="AX1014" i="15" s="1"/>
  <c r="BQ399" i="15"/>
  <c r="BP399" i="15"/>
  <c r="BR399" i="15" s="1"/>
  <c r="CC30" i="15"/>
  <c r="CB30" i="15"/>
  <c r="CD30" i="15" s="1"/>
  <c r="BY153" i="15"/>
  <c r="BX153" i="15"/>
  <c r="BZ153" i="15" s="1"/>
  <c r="BE768" i="15"/>
  <c r="BD768" i="15"/>
  <c r="BF768" i="15" s="1"/>
  <c r="BU276" i="15"/>
  <c r="BT276" i="15"/>
  <c r="BV276" i="15" s="1"/>
  <c r="CH29" i="15"/>
  <c r="CG29" i="15"/>
  <c r="CI29" i="15" s="1"/>
  <c r="CM28" i="15"/>
  <c r="CL28" i="15"/>
  <c r="BU277" i="15" l="1"/>
  <c r="BT277" i="15"/>
  <c r="BV277" i="15" s="1"/>
  <c r="BY154" i="15"/>
  <c r="BX154" i="15"/>
  <c r="BZ154" i="15" s="1"/>
  <c r="BQ400" i="15"/>
  <c r="BP400" i="15"/>
  <c r="BR400" i="15" s="1"/>
  <c r="AW1015" i="15"/>
  <c r="AV1015" i="15"/>
  <c r="AX1015" i="15" s="1"/>
  <c r="BI646" i="15"/>
  <c r="BH646" i="15"/>
  <c r="BJ646" i="15" s="1"/>
  <c r="BA892" i="15"/>
  <c r="AZ892" i="15"/>
  <c r="BB892" i="15" s="1"/>
  <c r="CH30" i="15"/>
  <c r="CG30" i="15"/>
  <c r="CI30" i="15" s="1"/>
  <c r="BE769" i="15"/>
  <c r="BD769" i="15"/>
  <c r="BF769" i="15" s="1"/>
  <c r="CC31" i="15"/>
  <c r="CB31" i="15"/>
  <c r="CD31" i="15" s="1"/>
  <c r="BM523" i="15"/>
  <c r="BL523" i="15"/>
  <c r="BN523" i="15" s="1"/>
  <c r="CL29" i="15"/>
  <c r="CK29" i="15"/>
  <c r="CM29" i="15" s="1"/>
  <c r="BM524" i="15" l="1"/>
  <c r="BL524" i="15"/>
  <c r="BN524" i="15" s="1"/>
  <c r="CH31" i="15"/>
  <c r="CG31" i="15"/>
  <c r="CI31" i="15" s="1"/>
  <c r="BA893" i="15"/>
  <c r="AZ893" i="15"/>
  <c r="BB893" i="15" s="1"/>
  <c r="AW1016" i="15"/>
  <c r="AV1016" i="15"/>
  <c r="AX1016" i="15" s="1"/>
  <c r="BQ401" i="15"/>
  <c r="BP401" i="15"/>
  <c r="BR401" i="15" s="1"/>
  <c r="BU278" i="15"/>
  <c r="BT278" i="15"/>
  <c r="BV278" i="15" s="1"/>
  <c r="CL30" i="15"/>
  <c r="CK30" i="15"/>
  <c r="CM30" i="15" s="1"/>
  <c r="CC32" i="15"/>
  <c r="CB32" i="15"/>
  <c r="CD32" i="15" s="1"/>
  <c r="BE770" i="15"/>
  <c r="BD770" i="15"/>
  <c r="BF770" i="15" s="1"/>
  <c r="BI647" i="15"/>
  <c r="BH647" i="15"/>
  <c r="BJ647" i="15" s="1"/>
  <c r="BY155" i="15"/>
  <c r="BX155" i="15"/>
  <c r="BZ155" i="15" s="1"/>
  <c r="BI648" i="15" l="1"/>
  <c r="BH648" i="15"/>
  <c r="BJ648" i="15" s="1"/>
  <c r="CC33" i="15"/>
  <c r="CB33" i="15"/>
  <c r="CD33" i="15" s="1"/>
  <c r="BU279" i="15"/>
  <c r="BT279" i="15"/>
  <c r="BV279" i="15" s="1"/>
  <c r="AW1017" i="15"/>
  <c r="AV1017" i="15"/>
  <c r="AX1017" i="15" s="1"/>
  <c r="BA894" i="15"/>
  <c r="AZ894" i="15"/>
  <c r="BB894" i="15" s="1"/>
  <c r="BM525" i="15"/>
  <c r="BL525" i="15"/>
  <c r="BN525" i="15" s="1"/>
  <c r="BY156" i="15"/>
  <c r="BX156" i="15"/>
  <c r="BZ156" i="15" s="1"/>
  <c r="BE771" i="15"/>
  <c r="BD771" i="15"/>
  <c r="BF771" i="15" s="1"/>
  <c r="CL31" i="15"/>
  <c r="CK31" i="15"/>
  <c r="CM31" i="15" s="1"/>
  <c r="BQ402" i="15"/>
  <c r="BP402" i="15"/>
  <c r="BR402" i="15" s="1"/>
  <c r="CH32" i="15"/>
  <c r="CG32" i="15"/>
  <c r="CI32" i="15" s="1"/>
  <c r="BQ403" i="15" l="1"/>
  <c r="BP403" i="15"/>
  <c r="BR403" i="15" s="1"/>
  <c r="BE772" i="15"/>
  <c r="BD772" i="15"/>
  <c r="BF772" i="15" s="1"/>
  <c r="BM526" i="15"/>
  <c r="BL526" i="15"/>
  <c r="BN526" i="15" s="1"/>
  <c r="AW1018" i="15"/>
  <c r="AV1018" i="15"/>
  <c r="AX1018" i="15" s="1"/>
  <c r="BU280" i="15"/>
  <c r="BT280" i="15"/>
  <c r="BV280" i="15" s="1"/>
  <c r="BI649" i="15"/>
  <c r="BH649" i="15"/>
  <c r="BJ649" i="15" s="1"/>
  <c r="CH33" i="15"/>
  <c r="CG33" i="15"/>
  <c r="CI33" i="15" s="1"/>
  <c r="CL32" i="15"/>
  <c r="CK32" i="15"/>
  <c r="CM32" i="15" s="1"/>
  <c r="BY157" i="15"/>
  <c r="BX157" i="15"/>
  <c r="BZ157" i="15" s="1"/>
  <c r="BA895" i="15"/>
  <c r="AZ895" i="15"/>
  <c r="BB895" i="15" s="1"/>
  <c r="CC34" i="15"/>
  <c r="CB34" i="15"/>
  <c r="CD34" i="15" s="1"/>
  <c r="BY158" i="15" l="1"/>
  <c r="BX158" i="15"/>
  <c r="BZ158" i="15" s="1"/>
  <c r="CH34" i="15"/>
  <c r="CG34" i="15"/>
  <c r="CI34" i="15" s="1"/>
  <c r="BI650" i="15"/>
  <c r="BH650" i="15"/>
  <c r="BJ650" i="15" s="1"/>
  <c r="AW1019" i="15"/>
  <c r="AV1019" i="15"/>
  <c r="AX1019" i="15" s="1"/>
  <c r="BM527" i="15"/>
  <c r="BL527" i="15"/>
  <c r="BN527" i="15" s="1"/>
  <c r="BQ404" i="15"/>
  <c r="BP404" i="15"/>
  <c r="BR404" i="15" s="1"/>
  <c r="CC35" i="15"/>
  <c r="CB35" i="15"/>
  <c r="CD35" i="15" s="1"/>
  <c r="BA896" i="15"/>
  <c r="AZ896" i="15"/>
  <c r="BB896" i="15" s="1"/>
  <c r="CL33" i="15"/>
  <c r="CK33" i="15"/>
  <c r="CM33" i="15" s="1"/>
  <c r="BU281" i="15"/>
  <c r="BT281" i="15"/>
  <c r="BV281" i="15" s="1"/>
  <c r="BE773" i="15"/>
  <c r="BD773" i="15"/>
  <c r="BF773" i="15" s="1"/>
  <c r="BU282" i="15" l="1"/>
  <c r="BT282" i="15"/>
  <c r="BV282" i="15" s="1"/>
  <c r="BA897" i="15"/>
  <c r="AZ897" i="15"/>
  <c r="BB897" i="15" s="1"/>
  <c r="BQ405" i="15"/>
  <c r="BP405" i="15"/>
  <c r="BR405" i="15" s="1"/>
  <c r="BM528" i="15"/>
  <c r="BL528" i="15"/>
  <c r="BN528" i="15" s="1"/>
  <c r="BI651" i="15"/>
  <c r="BH651" i="15"/>
  <c r="BJ651" i="15" s="1"/>
  <c r="BY159" i="15"/>
  <c r="BX159" i="15"/>
  <c r="BZ159" i="15" s="1"/>
  <c r="BE774" i="15"/>
  <c r="BD774" i="15"/>
  <c r="BF774" i="15" s="1"/>
  <c r="CL34" i="15"/>
  <c r="CK34" i="15"/>
  <c r="CM34" i="15" s="1"/>
  <c r="CC36" i="15"/>
  <c r="CB36" i="15"/>
  <c r="CD36" i="15" s="1"/>
  <c r="AW1020" i="15"/>
  <c r="AV1020" i="15"/>
  <c r="AX1020" i="15" s="1"/>
  <c r="CH35" i="15"/>
  <c r="CG35" i="15"/>
  <c r="CI35" i="15" s="1"/>
  <c r="CH36" i="15" l="1"/>
  <c r="CG36" i="15"/>
  <c r="CI36" i="15" s="1"/>
  <c r="CC37" i="15"/>
  <c r="CB37" i="15"/>
  <c r="CD37" i="15" s="1"/>
  <c r="BE775" i="15"/>
  <c r="BD775" i="15"/>
  <c r="BF775" i="15" s="1"/>
  <c r="BI652" i="15"/>
  <c r="BH652" i="15"/>
  <c r="BJ652" i="15" s="1"/>
  <c r="BM529" i="15"/>
  <c r="BL529" i="15"/>
  <c r="BN529" i="15" s="1"/>
  <c r="BQ406" i="15"/>
  <c r="BP406" i="15"/>
  <c r="BR406" i="15" s="1"/>
  <c r="BU283" i="15"/>
  <c r="BT283" i="15"/>
  <c r="BV283" i="15" s="1"/>
  <c r="AW1021" i="15"/>
  <c r="AV1021" i="15"/>
  <c r="AX1021" i="15" s="1"/>
  <c r="CL35" i="15"/>
  <c r="CK35" i="15"/>
  <c r="CM35" i="15" s="1"/>
  <c r="BY160" i="15"/>
  <c r="BX160" i="15"/>
  <c r="BZ160" i="15" s="1"/>
  <c r="BA898" i="15"/>
  <c r="AZ898" i="15"/>
  <c r="BB898" i="15" s="1"/>
  <c r="BY161" i="15" l="1"/>
  <c r="BX161" i="15"/>
  <c r="BZ161" i="15" s="1"/>
  <c r="AW1022" i="15"/>
  <c r="AV1022" i="15"/>
  <c r="AX1022" i="15" s="1"/>
  <c r="BQ407" i="15"/>
  <c r="BP407" i="15"/>
  <c r="BR407" i="15" s="1"/>
  <c r="BI653" i="15"/>
  <c r="BH653" i="15"/>
  <c r="BJ653" i="15" s="1"/>
  <c r="BE776" i="15"/>
  <c r="BD776" i="15"/>
  <c r="BF776" i="15" s="1"/>
  <c r="CH37" i="15"/>
  <c r="CG37" i="15"/>
  <c r="CI37" i="15" s="1"/>
  <c r="BA899" i="15"/>
  <c r="AZ899" i="15"/>
  <c r="BB899" i="15" s="1"/>
  <c r="CL36" i="15"/>
  <c r="CK36" i="15"/>
  <c r="CM36" i="15" s="1"/>
  <c r="BU284" i="15"/>
  <c r="BT284" i="15"/>
  <c r="BV284" i="15" s="1"/>
  <c r="BM530" i="15"/>
  <c r="BL530" i="15"/>
  <c r="BN530" i="15" s="1"/>
  <c r="CC38" i="15"/>
  <c r="CB38" i="15"/>
  <c r="CD38" i="15" s="1"/>
  <c r="BM531" i="15" l="1"/>
  <c r="BL531" i="15"/>
  <c r="BN531" i="15" s="1"/>
  <c r="CL37" i="15"/>
  <c r="CK37" i="15"/>
  <c r="CM37" i="15" s="1"/>
  <c r="CH38" i="15"/>
  <c r="CG38" i="15"/>
  <c r="CI38" i="15" s="1"/>
  <c r="BI654" i="15"/>
  <c r="BH654" i="15"/>
  <c r="BJ654" i="15" s="1"/>
  <c r="BQ408" i="15"/>
  <c r="BP408" i="15"/>
  <c r="BR408" i="15" s="1"/>
  <c r="BY162" i="15"/>
  <c r="BX162" i="15"/>
  <c r="BZ162" i="15" s="1"/>
  <c r="CC39" i="15"/>
  <c r="CB39" i="15"/>
  <c r="CD39" i="15" s="1"/>
  <c r="BU285" i="15"/>
  <c r="BT285" i="15"/>
  <c r="BV285" i="15" s="1"/>
  <c r="BA900" i="15"/>
  <c r="AZ900" i="15"/>
  <c r="BB900" i="15" s="1"/>
  <c r="BE777" i="15"/>
  <c r="BD777" i="15"/>
  <c r="BF777" i="15" s="1"/>
  <c r="AW1023" i="15"/>
  <c r="AV1023" i="15"/>
  <c r="AX1023" i="15" s="1"/>
  <c r="AW1024" i="15" l="1"/>
  <c r="AV1024" i="15"/>
  <c r="AX1024" i="15" s="1"/>
  <c r="BU286" i="15"/>
  <c r="BT286" i="15"/>
  <c r="BV286" i="15" s="1"/>
  <c r="BY163" i="15"/>
  <c r="BX163" i="15"/>
  <c r="BZ163" i="15" s="1"/>
  <c r="BI655" i="15"/>
  <c r="BH655" i="15"/>
  <c r="BJ655" i="15" s="1"/>
  <c r="CH39" i="15"/>
  <c r="CG39" i="15"/>
  <c r="CI39" i="15" s="1"/>
  <c r="BM532" i="15"/>
  <c r="BL532" i="15"/>
  <c r="BN532" i="15" s="1"/>
  <c r="BE778" i="15"/>
  <c r="BD778" i="15"/>
  <c r="BF778" i="15" s="1"/>
  <c r="BA901" i="15"/>
  <c r="AZ901" i="15"/>
  <c r="BB901" i="15" s="1"/>
  <c r="CC40" i="15"/>
  <c r="CB40" i="15"/>
  <c r="CD40" i="15" s="1"/>
  <c r="BQ409" i="15"/>
  <c r="BP409" i="15"/>
  <c r="BR409" i="15" s="1"/>
  <c r="CL38" i="15"/>
  <c r="CK38" i="15"/>
  <c r="CM38" i="15" s="1"/>
  <c r="CL39" i="15" l="1"/>
  <c r="CK39" i="15"/>
  <c r="CM39" i="15" s="1"/>
  <c r="CC41" i="15"/>
  <c r="CB41" i="15"/>
  <c r="CD41" i="15" s="1"/>
  <c r="BA902" i="15"/>
  <c r="AZ902" i="15"/>
  <c r="BB902" i="15" s="1"/>
  <c r="BM533" i="15"/>
  <c r="BL533" i="15"/>
  <c r="BN533" i="15" s="1"/>
  <c r="BI656" i="15"/>
  <c r="BH656" i="15"/>
  <c r="BJ656" i="15" s="1"/>
  <c r="BY164" i="15"/>
  <c r="BX164" i="15"/>
  <c r="BZ164" i="15" s="1"/>
  <c r="AW1025" i="15"/>
  <c r="AV1025" i="15"/>
  <c r="AX1025" i="15" s="1"/>
  <c r="BQ410" i="15"/>
  <c r="BP410" i="15"/>
  <c r="BR410" i="15" s="1"/>
  <c r="BE779" i="15"/>
  <c r="BD779" i="15"/>
  <c r="BF779" i="15" s="1"/>
  <c r="CH40" i="15"/>
  <c r="CG40" i="15"/>
  <c r="CI40" i="15" s="1"/>
  <c r="BU287" i="15"/>
  <c r="BT287" i="15"/>
  <c r="BV287" i="15" s="1"/>
  <c r="CH41" i="15" l="1"/>
  <c r="CG41" i="15"/>
  <c r="CI41" i="15" s="1"/>
  <c r="BQ411" i="15"/>
  <c r="BP411" i="15"/>
  <c r="BR411" i="15" s="1"/>
  <c r="BY165" i="15"/>
  <c r="BX165" i="15"/>
  <c r="BZ165" i="15" s="1"/>
  <c r="BM534" i="15"/>
  <c r="BL534" i="15"/>
  <c r="BN534" i="15" s="1"/>
  <c r="BA903" i="15"/>
  <c r="AZ903" i="15"/>
  <c r="BB903" i="15" s="1"/>
  <c r="CL40" i="15"/>
  <c r="CK40" i="15"/>
  <c r="CM40" i="15" s="1"/>
  <c r="BU288" i="15"/>
  <c r="BT288" i="15"/>
  <c r="BV288" i="15" s="1"/>
  <c r="BE780" i="15"/>
  <c r="BD780" i="15"/>
  <c r="BF780" i="15" s="1"/>
  <c r="AW1026" i="15"/>
  <c r="AV1026" i="15"/>
  <c r="AX1026" i="15" s="1"/>
  <c r="BI657" i="15"/>
  <c r="BH657" i="15"/>
  <c r="BJ657" i="15" s="1"/>
  <c r="CC42" i="15"/>
  <c r="CB42" i="15"/>
  <c r="CD42" i="15" s="1"/>
  <c r="CC43" i="15" l="1"/>
  <c r="CB43" i="15"/>
  <c r="CD43" i="15" s="1"/>
  <c r="AW1027" i="15"/>
  <c r="AV1027" i="15"/>
  <c r="AX1027" i="15" s="1"/>
  <c r="BU289" i="15"/>
  <c r="BT289" i="15"/>
  <c r="BV289" i="15" s="1"/>
  <c r="BA904" i="15"/>
  <c r="AZ904" i="15"/>
  <c r="BB904" i="15" s="1"/>
  <c r="BM535" i="15"/>
  <c r="BL535" i="15"/>
  <c r="BN535" i="15" s="1"/>
  <c r="BY166" i="15"/>
  <c r="BX166" i="15"/>
  <c r="BZ166" i="15" s="1"/>
  <c r="CH42" i="15"/>
  <c r="CG42" i="15"/>
  <c r="CI42" i="15" s="1"/>
  <c r="BI658" i="15"/>
  <c r="BH658" i="15"/>
  <c r="BJ658" i="15" s="1"/>
  <c r="BE781" i="15"/>
  <c r="BD781" i="15"/>
  <c r="BF781" i="15" s="1"/>
  <c r="CL41" i="15"/>
  <c r="CK41" i="15"/>
  <c r="CM41" i="15" s="1"/>
  <c r="BQ412" i="15"/>
  <c r="BP412" i="15"/>
  <c r="BR412" i="15" s="1"/>
  <c r="BQ413" i="15" l="1"/>
  <c r="BP413" i="15"/>
  <c r="BR413" i="15" s="1"/>
  <c r="BE782" i="15"/>
  <c r="BD782" i="15"/>
  <c r="BF782" i="15" s="1"/>
  <c r="BY167" i="15"/>
  <c r="BX167" i="15"/>
  <c r="BZ167" i="15" s="1"/>
  <c r="BA905" i="15"/>
  <c r="AZ905" i="15"/>
  <c r="BB905" i="15" s="1"/>
  <c r="BU290" i="15"/>
  <c r="BT290" i="15"/>
  <c r="BV290" i="15" s="1"/>
  <c r="CC44" i="15"/>
  <c r="CB44" i="15"/>
  <c r="CD44" i="15" s="1"/>
  <c r="CL42" i="15"/>
  <c r="CK42" i="15"/>
  <c r="CM42" i="15" s="1"/>
  <c r="BI659" i="15"/>
  <c r="BH659" i="15"/>
  <c r="BJ659" i="15" s="1"/>
  <c r="CH43" i="15"/>
  <c r="CG43" i="15"/>
  <c r="CI43" i="15" s="1"/>
  <c r="BM536" i="15"/>
  <c r="BL536" i="15"/>
  <c r="BN536" i="15" s="1"/>
  <c r="BM537" i="15" l="1"/>
  <c r="BL537" i="15"/>
  <c r="BN537" i="15" s="1"/>
  <c r="BI660" i="15"/>
  <c r="BH660" i="15"/>
  <c r="BJ660" i="15" s="1"/>
  <c r="CC45" i="15"/>
  <c r="CB45" i="15"/>
  <c r="CD45" i="15" s="1"/>
  <c r="BA906" i="15"/>
  <c r="AZ906" i="15"/>
  <c r="BB906" i="15" s="1"/>
  <c r="BY168" i="15"/>
  <c r="BX168" i="15"/>
  <c r="BZ168" i="15" s="1"/>
  <c r="BQ414" i="15"/>
  <c r="BP414" i="15"/>
  <c r="BR414" i="15" s="1"/>
  <c r="CH44" i="15"/>
  <c r="CG44" i="15"/>
  <c r="CI44" i="15" s="1"/>
  <c r="CL43" i="15"/>
  <c r="CK43" i="15"/>
  <c r="CM43" i="15" s="1"/>
  <c r="BU291" i="15"/>
  <c r="BT291" i="15"/>
  <c r="BV291" i="15" s="1"/>
  <c r="BE783" i="15"/>
  <c r="BD783" i="15"/>
  <c r="BF783" i="15" s="1"/>
  <c r="BU292" i="15" l="1"/>
  <c r="BT292" i="15"/>
  <c r="BV292" i="15" s="1"/>
  <c r="CH45" i="15"/>
  <c r="CG45" i="15"/>
  <c r="CI45" i="15" s="1"/>
  <c r="BY169" i="15"/>
  <c r="BX169" i="15"/>
  <c r="BZ169" i="15" s="1"/>
  <c r="BA907" i="15"/>
  <c r="AZ907" i="15"/>
  <c r="BB907" i="15" s="1"/>
  <c r="CC46" i="15"/>
  <c r="CB46" i="15"/>
  <c r="CD46" i="15" s="1"/>
  <c r="BM538" i="15"/>
  <c r="BL538" i="15"/>
  <c r="BN538" i="15" s="1"/>
  <c r="BE784" i="15"/>
  <c r="BD784" i="15"/>
  <c r="BF784" i="15" s="1"/>
  <c r="CL44" i="15"/>
  <c r="CK44" i="15"/>
  <c r="CM44" i="15" s="1"/>
  <c r="BQ415" i="15"/>
  <c r="BP415" i="15"/>
  <c r="BR415" i="15" s="1"/>
  <c r="BI661" i="15"/>
  <c r="BH661" i="15"/>
  <c r="BJ661" i="15" s="1"/>
  <c r="BQ416" i="15" l="1"/>
  <c r="BP416" i="15"/>
  <c r="BR416" i="15" s="1"/>
  <c r="BM539" i="15"/>
  <c r="BL539" i="15"/>
  <c r="BN539" i="15" s="1"/>
  <c r="BA908" i="15"/>
  <c r="AZ908" i="15"/>
  <c r="BB908" i="15" s="1"/>
  <c r="BY170" i="15"/>
  <c r="BX170" i="15"/>
  <c r="BZ170" i="15" s="1"/>
  <c r="BU293" i="15"/>
  <c r="BT293" i="15"/>
  <c r="BV293" i="15" s="1"/>
  <c r="BI662" i="15"/>
  <c r="BH662" i="15"/>
  <c r="BJ662" i="15" s="1"/>
  <c r="CL45" i="15"/>
  <c r="CK45" i="15"/>
  <c r="CM45" i="15" s="1"/>
  <c r="BE785" i="15"/>
  <c r="BD785" i="15"/>
  <c r="BF785" i="15" s="1"/>
  <c r="CC47" i="15"/>
  <c r="CB47" i="15"/>
  <c r="CD47" i="15" s="1"/>
  <c r="CH46" i="15"/>
  <c r="CG46" i="15"/>
  <c r="CI46" i="15" s="1"/>
  <c r="BE786" i="15" l="1"/>
  <c r="BD786" i="15"/>
  <c r="BF786" i="15" s="1"/>
  <c r="CL46" i="15"/>
  <c r="CK46" i="15"/>
  <c r="CM46" i="15" s="1"/>
  <c r="BU294" i="15"/>
  <c r="BT294" i="15"/>
  <c r="BV294" i="15" s="1"/>
  <c r="BA909" i="15"/>
  <c r="AZ909" i="15"/>
  <c r="BB909" i="15" s="1"/>
  <c r="BQ417" i="15"/>
  <c r="BP417" i="15"/>
  <c r="BR417" i="15" s="1"/>
  <c r="CH47" i="15"/>
  <c r="CG47" i="15"/>
  <c r="CI47" i="15" s="1"/>
  <c r="CC48" i="15"/>
  <c r="CB48" i="15"/>
  <c r="CD48" i="15" s="1"/>
  <c r="BI663" i="15"/>
  <c r="BH663" i="15"/>
  <c r="BJ663" i="15" s="1"/>
  <c r="BY171" i="15"/>
  <c r="BX171" i="15"/>
  <c r="BZ171" i="15" s="1"/>
  <c r="BM540" i="15"/>
  <c r="BL540" i="15"/>
  <c r="BN540" i="15" s="1"/>
  <c r="BY172" i="15" l="1"/>
  <c r="BX172" i="15"/>
  <c r="BZ172" i="15" s="1"/>
  <c r="CC49" i="15"/>
  <c r="CB49" i="15"/>
  <c r="CD49" i="15" s="1"/>
  <c r="BQ418" i="15"/>
  <c r="BP418" i="15"/>
  <c r="BR418" i="15" s="1"/>
  <c r="BU295" i="15"/>
  <c r="BT295" i="15"/>
  <c r="BV295" i="15" s="1"/>
  <c r="BE787" i="15"/>
  <c r="BD787" i="15"/>
  <c r="BF787" i="15" s="1"/>
  <c r="BM541" i="15"/>
  <c r="BL541" i="15"/>
  <c r="BN541" i="15" s="1"/>
  <c r="BI664" i="15"/>
  <c r="BH664" i="15"/>
  <c r="BJ664" i="15" s="1"/>
  <c r="CH48" i="15"/>
  <c r="CG48" i="15"/>
  <c r="CI48" i="15" s="1"/>
  <c r="BA910" i="15"/>
  <c r="AZ910" i="15"/>
  <c r="BB910" i="15" s="1"/>
  <c r="CL47" i="15"/>
  <c r="CK47" i="15"/>
  <c r="CM47" i="15" s="1"/>
  <c r="BA911" i="15" l="1"/>
  <c r="AZ911" i="15"/>
  <c r="BB911" i="15" s="1"/>
  <c r="BI665" i="15"/>
  <c r="BH665" i="15"/>
  <c r="BJ665" i="15" s="1"/>
  <c r="BE788" i="15"/>
  <c r="BD788" i="15"/>
  <c r="BF788" i="15" s="1"/>
  <c r="BQ419" i="15"/>
  <c r="BP419" i="15"/>
  <c r="BR419" i="15" s="1"/>
  <c r="BY173" i="15"/>
  <c r="BX173" i="15"/>
  <c r="BZ173" i="15" s="1"/>
  <c r="CL48" i="15"/>
  <c r="CK48" i="15"/>
  <c r="CM48" i="15" s="1"/>
  <c r="CH49" i="15"/>
  <c r="CG49" i="15"/>
  <c r="CI49" i="15" s="1"/>
  <c r="BM542" i="15"/>
  <c r="BL542" i="15"/>
  <c r="BN542" i="15" s="1"/>
  <c r="BU296" i="15"/>
  <c r="BT296" i="15"/>
  <c r="BV296" i="15" s="1"/>
  <c r="CC50" i="15"/>
  <c r="CB50" i="15"/>
  <c r="CD50" i="15" s="1"/>
  <c r="BU297" i="15" l="1"/>
  <c r="BT297" i="15"/>
  <c r="BV297" i="15" s="1"/>
  <c r="CH50" i="15"/>
  <c r="CG50" i="15"/>
  <c r="CI50" i="15" s="1"/>
  <c r="BY174" i="15"/>
  <c r="BX174" i="15"/>
  <c r="BZ174" i="15" s="1"/>
  <c r="BE789" i="15"/>
  <c r="BD789" i="15"/>
  <c r="BF789" i="15" s="1"/>
  <c r="BA912" i="15"/>
  <c r="AZ912" i="15"/>
  <c r="BB912" i="15" s="1"/>
  <c r="CC51" i="15"/>
  <c r="CB51" i="15"/>
  <c r="CD51" i="15" s="1"/>
  <c r="BM543" i="15"/>
  <c r="BL543" i="15"/>
  <c r="BN543" i="15" s="1"/>
  <c r="CL49" i="15"/>
  <c r="CK49" i="15"/>
  <c r="CM49" i="15" s="1"/>
  <c r="BQ420" i="15"/>
  <c r="BP420" i="15"/>
  <c r="BR420" i="15" s="1"/>
  <c r="BI666" i="15"/>
  <c r="BH666" i="15"/>
  <c r="BJ666" i="15" s="1"/>
  <c r="BI667" i="15" l="1"/>
  <c r="BH667" i="15"/>
  <c r="BJ667" i="15" s="1"/>
  <c r="CL50" i="15"/>
  <c r="CK50" i="15"/>
  <c r="CM50" i="15" s="1"/>
  <c r="CC52" i="15"/>
  <c r="CB52" i="15"/>
  <c r="CD52" i="15" s="1"/>
  <c r="BE790" i="15"/>
  <c r="BD790" i="15"/>
  <c r="BF790" i="15" s="1"/>
  <c r="BY175" i="15"/>
  <c r="BX175" i="15"/>
  <c r="BZ175" i="15" s="1"/>
  <c r="BU298" i="15"/>
  <c r="BT298" i="15"/>
  <c r="BV298" i="15" s="1"/>
  <c r="BQ421" i="15"/>
  <c r="BP421" i="15"/>
  <c r="BR421" i="15" s="1"/>
  <c r="BM544" i="15"/>
  <c r="BL544" i="15"/>
  <c r="BN544" i="15" s="1"/>
  <c r="BA913" i="15"/>
  <c r="AZ913" i="15"/>
  <c r="BB913" i="15" s="1"/>
  <c r="CH51" i="15"/>
  <c r="CG51" i="15"/>
  <c r="CI51" i="15" s="1"/>
  <c r="BA914" i="15" l="1"/>
  <c r="AZ914" i="15"/>
  <c r="BB914" i="15" s="1"/>
  <c r="BQ422" i="15"/>
  <c r="BP422" i="15"/>
  <c r="BR422" i="15" s="1"/>
  <c r="BY176" i="15"/>
  <c r="BX176" i="15"/>
  <c r="BZ176" i="15" s="1"/>
  <c r="CC53" i="15"/>
  <c r="CB53" i="15"/>
  <c r="CD53" i="15" s="1"/>
  <c r="BI668" i="15"/>
  <c r="BH668" i="15"/>
  <c r="BJ668" i="15" s="1"/>
  <c r="CH52" i="15"/>
  <c r="CG52" i="15"/>
  <c r="CI52" i="15" s="1"/>
  <c r="BM545" i="15"/>
  <c r="BL545" i="15"/>
  <c r="BN545" i="15" s="1"/>
  <c r="BU299" i="15"/>
  <c r="BT299" i="15"/>
  <c r="BV299" i="15" s="1"/>
  <c r="BE791" i="15"/>
  <c r="BD791" i="15"/>
  <c r="BF791" i="15" s="1"/>
  <c r="CL51" i="15"/>
  <c r="CK51" i="15"/>
  <c r="CM51" i="15" s="1"/>
  <c r="BE792" i="15" l="1"/>
  <c r="BD792" i="15"/>
  <c r="BF792" i="15" s="1"/>
  <c r="BM546" i="15"/>
  <c r="BL546" i="15"/>
  <c r="BN546" i="15" s="1"/>
  <c r="BI669" i="15"/>
  <c r="BH669" i="15"/>
  <c r="BJ669" i="15" s="1"/>
  <c r="BY177" i="15"/>
  <c r="BX177" i="15"/>
  <c r="BZ177" i="15" s="1"/>
  <c r="BA915" i="15"/>
  <c r="AZ915" i="15"/>
  <c r="BB915" i="15" s="1"/>
  <c r="CL52" i="15"/>
  <c r="CK52" i="15"/>
  <c r="CM52" i="15" s="1"/>
  <c r="BU300" i="15"/>
  <c r="BT300" i="15"/>
  <c r="BV300" i="15" s="1"/>
  <c r="CH53" i="15"/>
  <c r="CG53" i="15"/>
  <c r="CI53" i="15" s="1"/>
  <c r="CC54" i="15"/>
  <c r="CB54" i="15"/>
  <c r="CD54" i="15" s="1"/>
  <c r="BQ423" i="15"/>
  <c r="BP423" i="15"/>
  <c r="BR423" i="15" s="1"/>
  <c r="BQ424" i="15" l="1"/>
  <c r="BP424" i="15"/>
  <c r="BR424" i="15" s="1"/>
  <c r="CH54" i="15"/>
  <c r="CG54" i="15"/>
  <c r="CI54" i="15" s="1"/>
  <c r="CL53" i="15"/>
  <c r="CK53" i="15"/>
  <c r="CM53" i="15" s="1"/>
  <c r="BY178" i="15"/>
  <c r="BX178" i="15"/>
  <c r="BZ178" i="15" s="1"/>
  <c r="BI670" i="15"/>
  <c r="BH670" i="15"/>
  <c r="BJ670" i="15" s="1"/>
  <c r="BE793" i="15"/>
  <c r="BD793" i="15"/>
  <c r="BF793" i="15" s="1"/>
  <c r="CC55" i="15"/>
  <c r="CB55" i="15"/>
  <c r="CD55" i="15" s="1"/>
  <c r="BU301" i="15"/>
  <c r="BT301" i="15"/>
  <c r="BV301" i="15" s="1"/>
  <c r="BA916" i="15"/>
  <c r="AZ916" i="15"/>
  <c r="BB916" i="15" s="1"/>
  <c r="BM547" i="15"/>
  <c r="BL547" i="15"/>
  <c r="BN547" i="15" s="1"/>
  <c r="BA917" i="15" l="1"/>
  <c r="AZ917" i="15"/>
  <c r="BB917" i="15" s="1"/>
  <c r="CC56" i="15"/>
  <c r="CB56" i="15"/>
  <c r="CD56" i="15" s="1"/>
  <c r="BI671" i="15"/>
  <c r="BH671" i="15"/>
  <c r="BJ671" i="15" s="1"/>
  <c r="CL54" i="15"/>
  <c r="CK54" i="15"/>
  <c r="CM54" i="15" s="1"/>
  <c r="BQ425" i="15"/>
  <c r="BP425" i="15"/>
  <c r="BR425" i="15" s="1"/>
  <c r="BM548" i="15"/>
  <c r="BL548" i="15"/>
  <c r="BN548" i="15" s="1"/>
  <c r="BU302" i="15"/>
  <c r="BT302" i="15"/>
  <c r="BV302" i="15" s="1"/>
  <c r="BE794" i="15"/>
  <c r="BD794" i="15"/>
  <c r="BF794" i="15" s="1"/>
  <c r="BY179" i="15"/>
  <c r="BX179" i="15"/>
  <c r="BZ179" i="15" s="1"/>
  <c r="CH55" i="15"/>
  <c r="CG55" i="15"/>
  <c r="CI55" i="15" s="1"/>
  <c r="BY180" i="15" l="1"/>
  <c r="BX180" i="15"/>
  <c r="BZ180" i="15" s="1"/>
  <c r="BU303" i="15"/>
  <c r="BT303" i="15"/>
  <c r="BV303" i="15" s="1"/>
  <c r="BQ426" i="15"/>
  <c r="BP426" i="15"/>
  <c r="BR426" i="15" s="1"/>
  <c r="BI672" i="15"/>
  <c r="BH672" i="15"/>
  <c r="BJ672" i="15" s="1"/>
  <c r="BA918" i="15"/>
  <c r="AZ918" i="15"/>
  <c r="BB918" i="15" s="1"/>
  <c r="CH56" i="15"/>
  <c r="CG56" i="15"/>
  <c r="CI56" i="15" s="1"/>
  <c r="BE795" i="15"/>
  <c r="BD795" i="15"/>
  <c r="BF795" i="15" s="1"/>
  <c r="BM549" i="15"/>
  <c r="BL549" i="15"/>
  <c r="BN549" i="15" s="1"/>
  <c r="CL55" i="15"/>
  <c r="CK55" i="15"/>
  <c r="CM55" i="15" s="1"/>
  <c r="CC57" i="15"/>
  <c r="CB57" i="15"/>
  <c r="CD57" i="15" s="1"/>
  <c r="CC58" i="15" l="1"/>
  <c r="CB58" i="15"/>
  <c r="CD58" i="15" s="1"/>
  <c r="CL56" i="15"/>
  <c r="CK56" i="15"/>
  <c r="CM56" i="15" s="1"/>
  <c r="BM550" i="15"/>
  <c r="BL550" i="15"/>
  <c r="BN550" i="15" s="1"/>
  <c r="BE796" i="15"/>
  <c r="BD796" i="15"/>
  <c r="BF796" i="15" s="1"/>
  <c r="CH57" i="15"/>
  <c r="CG57" i="15"/>
  <c r="CI57" i="15" s="1"/>
  <c r="BA919" i="15"/>
  <c r="AZ919" i="15"/>
  <c r="BB919" i="15" s="1"/>
  <c r="BI673" i="15"/>
  <c r="BH673" i="15"/>
  <c r="BJ673" i="15" s="1"/>
  <c r="BQ427" i="15"/>
  <c r="BP427" i="15"/>
  <c r="BR427" i="15" s="1"/>
  <c r="BU304" i="15"/>
  <c r="BT304" i="15"/>
  <c r="BV304" i="15" s="1"/>
  <c r="BY181" i="15"/>
  <c r="BX181" i="15"/>
  <c r="BZ181" i="15" s="1"/>
  <c r="BY182" i="15" l="1"/>
  <c r="BX182" i="15"/>
  <c r="BZ182" i="15" s="1"/>
  <c r="BQ428" i="15"/>
  <c r="BP428" i="15"/>
  <c r="BR428" i="15" s="1"/>
  <c r="BA920" i="15"/>
  <c r="AZ920" i="15"/>
  <c r="BB920" i="15" s="1"/>
  <c r="CH58" i="15"/>
  <c r="CG58" i="15"/>
  <c r="CI58" i="15" s="1"/>
  <c r="BM551" i="15"/>
  <c r="BL551" i="15"/>
  <c r="BN551" i="15" s="1"/>
  <c r="CC59" i="15"/>
  <c r="CB59" i="15"/>
  <c r="CD59" i="15" s="1"/>
  <c r="BU305" i="15"/>
  <c r="BT305" i="15"/>
  <c r="BV305" i="15" s="1"/>
  <c r="BI674" i="15"/>
  <c r="BH674" i="15"/>
  <c r="BJ674" i="15" s="1"/>
  <c r="BE797" i="15"/>
  <c r="BD797" i="15"/>
  <c r="BF797" i="15" s="1"/>
  <c r="CL57" i="15"/>
  <c r="CK57" i="15"/>
  <c r="CM57" i="15" s="1"/>
  <c r="CL58" i="15" l="1"/>
  <c r="CK58" i="15"/>
  <c r="CM58" i="15" s="1"/>
  <c r="BE798" i="15"/>
  <c r="BD798" i="15"/>
  <c r="BF798" i="15" s="1"/>
  <c r="BI675" i="15"/>
  <c r="BH675" i="15"/>
  <c r="BJ675" i="15" s="1"/>
  <c r="CC60" i="15"/>
  <c r="CB60" i="15"/>
  <c r="CD60" i="15" s="1"/>
  <c r="BM552" i="15"/>
  <c r="BL552" i="15"/>
  <c r="BN552" i="15" s="1"/>
  <c r="CH59" i="15"/>
  <c r="CG59" i="15"/>
  <c r="CI59" i="15" s="1"/>
  <c r="BA921" i="15"/>
  <c r="AZ921" i="15"/>
  <c r="BB921" i="15" s="1"/>
  <c r="BQ429" i="15"/>
  <c r="BP429" i="15"/>
  <c r="BR429" i="15" s="1"/>
  <c r="BY183" i="15"/>
  <c r="BX183" i="15"/>
  <c r="BZ183" i="15" s="1"/>
  <c r="BU306" i="15"/>
  <c r="BT306" i="15"/>
  <c r="BV306" i="15" s="1"/>
  <c r="BY184" i="15" l="1"/>
  <c r="BX184" i="15"/>
  <c r="BZ184" i="15" s="1"/>
  <c r="BA922" i="15"/>
  <c r="AZ922" i="15"/>
  <c r="BB922" i="15" s="1"/>
  <c r="BM553" i="15"/>
  <c r="BL553" i="15"/>
  <c r="BN553" i="15" s="1"/>
  <c r="CC61" i="15"/>
  <c r="CB61" i="15"/>
  <c r="CD61" i="15" s="1"/>
  <c r="BE799" i="15"/>
  <c r="BD799" i="15"/>
  <c r="BF799" i="15" s="1"/>
  <c r="CL59" i="15"/>
  <c r="CK59" i="15"/>
  <c r="CM59" i="15" s="1"/>
  <c r="BU307" i="15"/>
  <c r="BT307" i="15"/>
  <c r="BV307" i="15" s="1"/>
  <c r="BQ430" i="15"/>
  <c r="BP430" i="15"/>
  <c r="BR430" i="15" s="1"/>
  <c r="CH60" i="15"/>
  <c r="CG60" i="15"/>
  <c r="CI60" i="15" s="1"/>
  <c r="BI676" i="15"/>
  <c r="BH676" i="15"/>
  <c r="BJ676" i="15" s="1"/>
  <c r="CH61" i="15" l="1"/>
  <c r="CG61" i="15"/>
  <c r="CI61" i="15" s="1"/>
  <c r="BU308" i="15"/>
  <c r="BT308" i="15"/>
  <c r="BV308" i="15" s="1"/>
  <c r="BE800" i="15"/>
  <c r="BD800" i="15"/>
  <c r="BF800" i="15" s="1"/>
  <c r="BM554" i="15"/>
  <c r="BL554" i="15"/>
  <c r="BN554" i="15" s="1"/>
  <c r="BY185" i="15"/>
  <c r="BX185" i="15"/>
  <c r="BZ185" i="15" s="1"/>
  <c r="BI677" i="15"/>
  <c r="BH677" i="15"/>
  <c r="BJ677" i="15" s="1"/>
  <c r="BQ431" i="15"/>
  <c r="BP431" i="15"/>
  <c r="BR431" i="15" s="1"/>
  <c r="CL60" i="15"/>
  <c r="CK60" i="15"/>
  <c r="CM60" i="15" s="1"/>
  <c r="CC62" i="15"/>
  <c r="CB62" i="15"/>
  <c r="CD62" i="15" s="1"/>
  <c r="BA923" i="15"/>
  <c r="AZ923" i="15"/>
  <c r="BB923" i="15" s="1"/>
  <c r="CC63" i="15" l="1"/>
  <c r="CB63" i="15"/>
  <c r="CD63" i="15" s="1"/>
  <c r="CL61" i="15"/>
  <c r="CK61" i="15"/>
  <c r="CM61" i="15" s="1"/>
  <c r="BI678" i="15"/>
  <c r="BH678" i="15"/>
  <c r="BJ678" i="15" s="1"/>
  <c r="BM555" i="15"/>
  <c r="BL555" i="15"/>
  <c r="BN555" i="15" s="1"/>
  <c r="BE801" i="15"/>
  <c r="BD801" i="15"/>
  <c r="BF801" i="15" s="1"/>
  <c r="CH62" i="15"/>
  <c r="CG62" i="15"/>
  <c r="CI62" i="15" s="1"/>
  <c r="BA924" i="15"/>
  <c r="AZ924" i="15"/>
  <c r="BB924" i="15" s="1"/>
  <c r="BQ432" i="15"/>
  <c r="BP432" i="15"/>
  <c r="BR432" i="15" s="1"/>
  <c r="BY186" i="15"/>
  <c r="BX186" i="15"/>
  <c r="BZ186" i="15" s="1"/>
  <c r="BU309" i="15"/>
  <c r="BT309" i="15"/>
  <c r="BV309" i="15" s="1"/>
  <c r="BY187" i="15" l="1"/>
  <c r="BX187" i="15"/>
  <c r="BZ187" i="15" s="1"/>
  <c r="BA925" i="15"/>
  <c r="AZ925" i="15"/>
  <c r="BB925" i="15" s="1"/>
  <c r="CH63" i="15"/>
  <c r="CG63" i="15"/>
  <c r="CI63" i="15" s="1"/>
  <c r="BM556" i="15"/>
  <c r="BL556" i="15"/>
  <c r="BN556" i="15" s="1"/>
  <c r="BI679" i="15"/>
  <c r="BH679" i="15"/>
  <c r="BJ679" i="15" s="1"/>
  <c r="CC64" i="15"/>
  <c r="CB64" i="15"/>
  <c r="CD64" i="15" s="1"/>
  <c r="BU310" i="15"/>
  <c r="BT310" i="15"/>
  <c r="BV310" i="15" s="1"/>
  <c r="BQ433" i="15"/>
  <c r="BP433" i="15"/>
  <c r="BR433" i="15" s="1"/>
  <c r="BE802" i="15"/>
  <c r="BD802" i="15"/>
  <c r="BF802" i="15" s="1"/>
  <c r="CL62" i="15"/>
  <c r="CK62" i="15"/>
  <c r="CM62" i="15" s="1"/>
  <c r="BE803" i="15" l="1"/>
  <c r="BD803" i="15"/>
  <c r="BF803" i="15" s="1"/>
  <c r="BU311" i="15"/>
  <c r="BT311" i="15"/>
  <c r="BV311" i="15" s="1"/>
  <c r="CC65" i="15"/>
  <c r="CB65" i="15"/>
  <c r="CD65" i="15" s="1"/>
  <c r="BM557" i="15"/>
  <c r="BL557" i="15"/>
  <c r="BN557" i="15" s="1"/>
  <c r="CH64" i="15"/>
  <c r="CG64" i="15"/>
  <c r="CI64" i="15" s="1"/>
  <c r="BY188" i="15"/>
  <c r="BX188" i="15"/>
  <c r="BZ188" i="15" s="1"/>
  <c r="CL63" i="15"/>
  <c r="CK63" i="15"/>
  <c r="CM63" i="15" s="1"/>
  <c r="BQ434" i="15"/>
  <c r="BP434" i="15"/>
  <c r="BR434" i="15" s="1"/>
  <c r="BI680" i="15"/>
  <c r="BH680" i="15"/>
  <c r="BJ680" i="15" s="1"/>
  <c r="BA926" i="15"/>
  <c r="AZ926" i="15"/>
  <c r="BB926" i="15" s="1"/>
  <c r="BA927" i="15" l="1"/>
  <c r="AZ927" i="15"/>
  <c r="BB927" i="15" s="1"/>
  <c r="BQ435" i="15"/>
  <c r="BP435" i="15"/>
  <c r="BR435" i="15" s="1"/>
  <c r="CL64" i="15"/>
  <c r="CK64" i="15"/>
  <c r="CM64" i="15" s="1"/>
  <c r="CH65" i="15"/>
  <c r="CG65" i="15"/>
  <c r="CI65" i="15" s="1"/>
  <c r="BM558" i="15"/>
  <c r="BL558" i="15"/>
  <c r="BN558" i="15" s="1"/>
  <c r="CC66" i="15"/>
  <c r="CB66" i="15"/>
  <c r="CD66" i="15" s="1"/>
  <c r="BE804" i="15"/>
  <c r="BD804" i="15"/>
  <c r="BF804" i="15" s="1"/>
  <c r="BI681" i="15"/>
  <c r="BH681" i="15"/>
  <c r="BJ681" i="15" s="1"/>
  <c r="BY189" i="15"/>
  <c r="BX189" i="15"/>
  <c r="BZ189" i="15" s="1"/>
  <c r="BU312" i="15"/>
  <c r="BT312" i="15"/>
  <c r="BV312" i="15" s="1"/>
  <c r="BY190" i="15" l="1"/>
  <c r="BX190" i="15"/>
  <c r="BZ190" i="15" s="1"/>
  <c r="BE805" i="15"/>
  <c r="BD805" i="15"/>
  <c r="BF805" i="15" s="1"/>
  <c r="BM559" i="15"/>
  <c r="BL559" i="15"/>
  <c r="BN559" i="15" s="1"/>
  <c r="CH66" i="15"/>
  <c r="CG66" i="15"/>
  <c r="CI66" i="15" s="1"/>
  <c r="CL65" i="15"/>
  <c r="CK65" i="15"/>
  <c r="CM65" i="15" s="1"/>
  <c r="BA928" i="15"/>
  <c r="AZ928" i="15"/>
  <c r="BB928" i="15" s="1"/>
  <c r="BU313" i="15"/>
  <c r="BT313" i="15"/>
  <c r="BV313" i="15" s="1"/>
  <c r="BI682" i="15"/>
  <c r="BH682" i="15"/>
  <c r="BJ682" i="15" s="1"/>
  <c r="CC67" i="15"/>
  <c r="CB67" i="15"/>
  <c r="CD67" i="15" s="1"/>
  <c r="BQ436" i="15"/>
  <c r="BP436" i="15"/>
  <c r="BR436" i="15" s="1"/>
  <c r="CC68" i="15" l="1"/>
  <c r="CB68" i="15"/>
  <c r="CD68" i="15" s="1"/>
  <c r="BU314" i="15"/>
  <c r="BT314" i="15"/>
  <c r="BV314" i="15" s="1"/>
  <c r="CL66" i="15"/>
  <c r="CK66" i="15"/>
  <c r="CM66" i="15" s="1"/>
  <c r="CH67" i="15"/>
  <c r="CG67" i="15"/>
  <c r="CI67" i="15" s="1"/>
  <c r="BM560" i="15"/>
  <c r="BL560" i="15"/>
  <c r="BN560" i="15" s="1"/>
  <c r="BY191" i="15"/>
  <c r="BX191" i="15"/>
  <c r="BZ191" i="15" s="1"/>
  <c r="BQ437" i="15"/>
  <c r="BP437" i="15"/>
  <c r="BR437" i="15" s="1"/>
  <c r="BI683" i="15"/>
  <c r="BH683" i="15"/>
  <c r="BJ683" i="15" s="1"/>
  <c r="BA929" i="15"/>
  <c r="AZ929" i="15"/>
  <c r="BB929" i="15" s="1"/>
  <c r="BE806" i="15"/>
  <c r="BD806" i="15"/>
  <c r="BF806" i="15" s="1"/>
  <c r="BE807" i="15" l="1"/>
  <c r="BD807" i="15"/>
  <c r="BF807" i="15" s="1"/>
  <c r="BI684" i="15"/>
  <c r="BH684" i="15"/>
  <c r="BJ684" i="15" s="1"/>
  <c r="BY192" i="15"/>
  <c r="BX192" i="15"/>
  <c r="BZ192" i="15" s="1"/>
  <c r="CH68" i="15"/>
  <c r="CG68" i="15"/>
  <c r="CI68" i="15" s="1"/>
  <c r="CL67" i="15"/>
  <c r="CK67" i="15"/>
  <c r="CM67" i="15" s="1"/>
  <c r="CC69" i="15"/>
  <c r="CB69" i="15"/>
  <c r="CD69" i="15" s="1"/>
  <c r="BA930" i="15"/>
  <c r="AZ930" i="15"/>
  <c r="BB930" i="15" s="1"/>
  <c r="BQ438" i="15"/>
  <c r="BP438" i="15"/>
  <c r="BR438" i="15" s="1"/>
  <c r="BM561" i="15"/>
  <c r="BL561" i="15"/>
  <c r="BN561" i="15" s="1"/>
  <c r="BU315" i="15"/>
  <c r="BT315" i="15"/>
  <c r="BV315" i="15" s="1"/>
  <c r="BM562" i="15" l="1"/>
  <c r="BL562" i="15"/>
  <c r="BN562" i="15" s="1"/>
  <c r="BA931" i="15"/>
  <c r="AZ931" i="15"/>
  <c r="BB931" i="15" s="1"/>
  <c r="CL68" i="15"/>
  <c r="CK68" i="15"/>
  <c r="CM68" i="15" s="1"/>
  <c r="BY193" i="15"/>
  <c r="BX193" i="15"/>
  <c r="BZ193" i="15" s="1"/>
  <c r="BE808" i="15"/>
  <c r="BD808" i="15"/>
  <c r="BF808" i="15" s="1"/>
  <c r="BU316" i="15"/>
  <c r="BT316" i="15"/>
  <c r="BV316" i="15" s="1"/>
  <c r="BQ439" i="15"/>
  <c r="BP439" i="15"/>
  <c r="BR439" i="15" s="1"/>
  <c r="CC70" i="15"/>
  <c r="CB70" i="15"/>
  <c r="CD70" i="15" s="1"/>
  <c r="CH69" i="15"/>
  <c r="CG69" i="15"/>
  <c r="CI69" i="15" s="1"/>
  <c r="BI685" i="15"/>
  <c r="BH685" i="15"/>
  <c r="BJ685" i="15" s="1"/>
  <c r="BI686" i="15" l="1"/>
  <c r="BH686" i="15"/>
  <c r="BJ686" i="15" s="1"/>
  <c r="CC71" i="15"/>
  <c r="CB71" i="15"/>
  <c r="CD71" i="15" s="1"/>
  <c r="BU317" i="15"/>
  <c r="BT317" i="15"/>
  <c r="BV317" i="15" s="1"/>
  <c r="BY194" i="15"/>
  <c r="BX194" i="15"/>
  <c r="BZ194" i="15" s="1"/>
  <c r="CL69" i="15"/>
  <c r="CK69" i="15"/>
  <c r="CM69" i="15" s="1"/>
  <c r="BM563" i="15"/>
  <c r="BL563" i="15"/>
  <c r="BN563" i="15" s="1"/>
  <c r="CH70" i="15"/>
  <c r="CG70" i="15"/>
  <c r="CI70" i="15" s="1"/>
  <c r="BQ440" i="15"/>
  <c r="BP440" i="15"/>
  <c r="BR440" i="15" s="1"/>
  <c r="BE809" i="15"/>
  <c r="BD809" i="15"/>
  <c r="BF809" i="15" s="1"/>
  <c r="BA932" i="15"/>
  <c r="AZ932" i="15"/>
  <c r="BB932" i="15" s="1"/>
  <c r="BA933" i="15" l="1"/>
  <c r="AZ933" i="15"/>
  <c r="BB933" i="15" s="1"/>
  <c r="BQ441" i="15"/>
  <c r="BP441" i="15"/>
  <c r="BR441" i="15" s="1"/>
  <c r="BM564" i="15"/>
  <c r="BL564" i="15"/>
  <c r="BN564" i="15" s="1"/>
  <c r="BY195" i="15"/>
  <c r="BX195" i="15"/>
  <c r="BZ195" i="15" s="1"/>
  <c r="BU318" i="15"/>
  <c r="BT318" i="15"/>
  <c r="BV318" i="15" s="1"/>
  <c r="BI687" i="15"/>
  <c r="BH687" i="15"/>
  <c r="BJ687" i="15" s="1"/>
  <c r="BE810" i="15"/>
  <c r="BD810" i="15"/>
  <c r="BF810" i="15" s="1"/>
  <c r="CH71" i="15"/>
  <c r="CG71" i="15"/>
  <c r="CI71" i="15" s="1"/>
  <c r="CL70" i="15"/>
  <c r="CK70" i="15"/>
  <c r="CM70" i="15" s="1"/>
  <c r="CC72" i="15"/>
  <c r="CB72" i="15"/>
  <c r="CD72" i="15" s="1"/>
  <c r="CL71" i="15" l="1"/>
  <c r="CK71" i="15"/>
  <c r="CM71" i="15" s="1"/>
  <c r="BE811" i="15"/>
  <c r="BD811" i="15"/>
  <c r="BF811" i="15" s="1"/>
  <c r="BI688" i="15"/>
  <c r="BH688" i="15"/>
  <c r="BJ688" i="15" s="1"/>
  <c r="BY196" i="15"/>
  <c r="BX196" i="15"/>
  <c r="BZ196" i="15" s="1"/>
  <c r="BM565" i="15"/>
  <c r="BL565" i="15"/>
  <c r="BN565" i="15" s="1"/>
  <c r="BA934" i="15"/>
  <c r="AZ934" i="15"/>
  <c r="BB934" i="15" s="1"/>
  <c r="CC73" i="15"/>
  <c r="CB73" i="15"/>
  <c r="CD73" i="15" s="1"/>
  <c r="CH72" i="15"/>
  <c r="CG72" i="15"/>
  <c r="CI72" i="15" s="1"/>
  <c r="BU319" i="15"/>
  <c r="BT319" i="15"/>
  <c r="BV319" i="15" s="1"/>
  <c r="BQ442" i="15"/>
  <c r="BP442" i="15"/>
  <c r="BR442" i="15" s="1"/>
  <c r="BU320" i="15" l="1"/>
  <c r="BT320" i="15"/>
  <c r="BV320" i="15" s="1"/>
  <c r="CC74" i="15"/>
  <c r="CB74" i="15"/>
  <c r="CD74" i="15" s="1"/>
  <c r="BA935" i="15"/>
  <c r="AZ935" i="15"/>
  <c r="BB935" i="15" s="1"/>
  <c r="BY197" i="15"/>
  <c r="BX197" i="15"/>
  <c r="BZ197" i="15" s="1"/>
  <c r="BI689" i="15"/>
  <c r="BH689" i="15"/>
  <c r="BJ689" i="15" s="1"/>
  <c r="CL72" i="15"/>
  <c r="CK72" i="15"/>
  <c r="CM72" i="15" s="1"/>
  <c r="BQ443" i="15"/>
  <c r="BP443" i="15"/>
  <c r="BR443" i="15" s="1"/>
  <c r="CH73" i="15"/>
  <c r="CG73" i="15"/>
  <c r="CI73" i="15" s="1"/>
  <c r="BM566" i="15"/>
  <c r="BL566" i="15"/>
  <c r="BN566" i="15" s="1"/>
  <c r="BE812" i="15"/>
  <c r="BD812" i="15"/>
  <c r="BF812" i="15" s="1"/>
  <c r="BE813" i="15" l="1"/>
  <c r="BD813" i="15"/>
  <c r="BF813" i="15" s="1"/>
  <c r="CH74" i="15"/>
  <c r="CG74" i="15"/>
  <c r="CI74" i="15" s="1"/>
  <c r="CL73" i="15"/>
  <c r="CK73" i="15"/>
  <c r="CM73" i="15" s="1"/>
  <c r="BY198" i="15"/>
  <c r="BX198" i="15"/>
  <c r="BZ198" i="15" s="1"/>
  <c r="BA936" i="15"/>
  <c r="AZ936" i="15"/>
  <c r="BB936" i="15" s="1"/>
  <c r="BU321" i="15"/>
  <c r="BT321" i="15"/>
  <c r="BV321" i="15" s="1"/>
  <c r="BM567" i="15"/>
  <c r="BL567" i="15"/>
  <c r="BN567" i="15" s="1"/>
  <c r="BQ444" i="15"/>
  <c r="BP444" i="15"/>
  <c r="BR444" i="15" s="1"/>
  <c r="BI690" i="15"/>
  <c r="BH690" i="15"/>
  <c r="BJ690" i="15" s="1"/>
  <c r="CC75" i="15"/>
  <c r="CB75" i="15"/>
  <c r="CD75" i="15" s="1"/>
  <c r="CC76" i="15" l="1"/>
  <c r="CB76" i="15"/>
  <c r="CD76" i="15" s="1"/>
  <c r="BQ445" i="15"/>
  <c r="BP445" i="15"/>
  <c r="BR445" i="15" s="1"/>
  <c r="BU322" i="15"/>
  <c r="BT322" i="15"/>
  <c r="BV322" i="15" s="1"/>
  <c r="BA937" i="15"/>
  <c r="AZ937" i="15"/>
  <c r="BB937" i="15" s="1"/>
  <c r="CL74" i="15"/>
  <c r="CK74" i="15"/>
  <c r="CM74" i="15" s="1"/>
  <c r="BE814" i="15"/>
  <c r="BD814" i="15"/>
  <c r="BF814" i="15" s="1"/>
  <c r="BI691" i="15"/>
  <c r="BH691" i="15"/>
  <c r="BJ691" i="15" s="1"/>
  <c r="BM568" i="15"/>
  <c r="BL568" i="15"/>
  <c r="BN568" i="15" s="1"/>
  <c r="BY199" i="15"/>
  <c r="BX199" i="15"/>
  <c r="BZ199" i="15" s="1"/>
  <c r="CH75" i="15"/>
  <c r="CG75" i="15"/>
  <c r="CI75" i="15" s="1"/>
  <c r="BY200" i="15" l="1"/>
  <c r="BX200" i="15"/>
  <c r="BZ200" i="15" s="1"/>
  <c r="BI692" i="15"/>
  <c r="BH692" i="15"/>
  <c r="BJ692" i="15" s="1"/>
  <c r="CL75" i="15"/>
  <c r="CK75" i="15"/>
  <c r="CM75" i="15" s="1"/>
  <c r="BU323" i="15"/>
  <c r="BT323" i="15"/>
  <c r="BV323" i="15" s="1"/>
  <c r="CC77" i="15"/>
  <c r="CB77" i="15"/>
  <c r="CD77" i="15" s="1"/>
  <c r="CH76" i="15"/>
  <c r="CG76" i="15"/>
  <c r="CI76" i="15" s="1"/>
  <c r="BM569" i="15"/>
  <c r="BL569" i="15"/>
  <c r="BN569" i="15" s="1"/>
  <c r="BE815" i="15"/>
  <c r="BD815" i="15"/>
  <c r="BF815" i="15" s="1"/>
  <c r="BA938" i="15"/>
  <c r="AZ938" i="15"/>
  <c r="BB938" i="15" s="1"/>
  <c r="BQ446" i="15"/>
  <c r="BP446" i="15"/>
  <c r="BR446" i="15" s="1"/>
  <c r="BQ447" i="15" l="1"/>
  <c r="BP447" i="15"/>
  <c r="BR447" i="15" s="1"/>
  <c r="BE816" i="15"/>
  <c r="BD816" i="15"/>
  <c r="BF816" i="15" s="1"/>
  <c r="CH77" i="15"/>
  <c r="CG77" i="15"/>
  <c r="CI77" i="15" s="1"/>
  <c r="CC78" i="15"/>
  <c r="CB78" i="15"/>
  <c r="CD78" i="15" s="1"/>
  <c r="CL76" i="15"/>
  <c r="CK76" i="15"/>
  <c r="CM76" i="15" s="1"/>
  <c r="BY201" i="15"/>
  <c r="BX201" i="15"/>
  <c r="BZ201" i="15" s="1"/>
  <c r="BA939" i="15"/>
  <c r="AZ939" i="15"/>
  <c r="BB939" i="15" s="1"/>
  <c r="BM570" i="15"/>
  <c r="BL570" i="15"/>
  <c r="BN570" i="15" s="1"/>
  <c r="BU324" i="15"/>
  <c r="BT324" i="15"/>
  <c r="BV324" i="15" s="1"/>
  <c r="BI693" i="15"/>
  <c r="BH693" i="15"/>
  <c r="BJ693" i="15" s="1"/>
  <c r="BI694" i="15" l="1"/>
  <c r="BH694" i="15"/>
  <c r="BJ694" i="15" s="1"/>
  <c r="BM571" i="15"/>
  <c r="BL571" i="15"/>
  <c r="BN571" i="15" s="1"/>
  <c r="BY202" i="15"/>
  <c r="BX202" i="15"/>
  <c r="BZ202" i="15" s="1"/>
  <c r="CL77" i="15"/>
  <c r="CK77" i="15"/>
  <c r="CM77" i="15" s="1"/>
  <c r="CH78" i="15"/>
  <c r="CG78" i="15"/>
  <c r="CI78" i="15" s="1"/>
  <c r="BQ448" i="15"/>
  <c r="BP448" i="15"/>
  <c r="BR448" i="15" s="1"/>
  <c r="BU325" i="15"/>
  <c r="BT325" i="15"/>
  <c r="BV325" i="15" s="1"/>
  <c r="BA940" i="15"/>
  <c r="AZ940" i="15"/>
  <c r="BB940" i="15" s="1"/>
  <c r="CC79" i="15"/>
  <c r="CB79" i="15"/>
  <c r="CD79" i="15" s="1"/>
  <c r="BE817" i="15"/>
  <c r="BD817" i="15"/>
  <c r="BF817" i="15" s="1"/>
  <c r="BA941" i="15" l="1"/>
  <c r="AZ941" i="15"/>
  <c r="BB941" i="15" s="1"/>
  <c r="BQ449" i="15"/>
  <c r="BP449" i="15"/>
  <c r="BR449" i="15" s="1"/>
  <c r="CH79" i="15"/>
  <c r="CG79" i="15"/>
  <c r="CI79" i="15" s="1"/>
  <c r="BY203" i="15"/>
  <c r="BX203" i="15"/>
  <c r="BZ203" i="15" s="1"/>
  <c r="BI695" i="15"/>
  <c r="BH695" i="15"/>
  <c r="BJ695" i="15" s="1"/>
  <c r="BE818" i="15"/>
  <c r="BD818" i="15"/>
  <c r="BF818" i="15" s="1"/>
  <c r="CC80" i="15"/>
  <c r="CB80" i="15"/>
  <c r="CD80" i="15" s="1"/>
  <c r="BU326" i="15"/>
  <c r="BT326" i="15"/>
  <c r="BV326" i="15" s="1"/>
  <c r="CL78" i="15"/>
  <c r="CK78" i="15"/>
  <c r="CM78" i="15" s="1"/>
  <c r="BM572" i="15"/>
  <c r="BL572" i="15"/>
  <c r="BN572" i="15" s="1"/>
  <c r="BM573" i="15" l="1"/>
  <c r="BL573" i="15"/>
  <c r="BN573" i="15" s="1"/>
  <c r="BU327" i="15"/>
  <c r="BT327" i="15"/>
  <c r="BV327" i="15" s="1"/>
  <c r="BE819" i="15"/>
  <c r="BD819" i="15"/>
  <c r="BF819" i="15" s="1"/>
  <c r="BY204" i="15"/>
  <c r="BX204" i="15"/>
  <c r="BZ204" i="15" s="1"/>
  <c r="CH80" i="15"/>
  <c r="CG80" i="15"/>
  <c r="CI80" i="15" s="1"/>
  <c r="BA942" i="15"/>
  <c r="AZ942" i="15"/>
  <c r="BB942" i="15" s="1"/>
  <c r="CL79" i="15"/>
  <c r="CK79" i="15"/>
  <c r="CM79" i="15" s="1"/>
  <c r="CC81" i="15"/>
  <c r="CB81" i="15"/>
  <c r="CD81" i="15" s="1"/>
  <c r="BI696" i="15"/>
  <c r="BH696" i="15"/>
  <c r="BJ696" i="15" s="1"/>
  <c r="BQ450" i="15"/>
  <c r="BP450" i="15"/>
  <c r="BR450" i="15" s="1"/>
  <c r="BQ451" i="15" l="1"/>
  <c r="BP451" i="15"/>
  <c r="BR451" i="15" s="1"/>
  <c r="CC82" i="15"/>
  <c r="CB82" i="15"/>
  <c r="CD82" i="15" s="1"/>
  <c r="BA943" i="15"/>
  <c r="AZ943" i="15"/>
  <c r="BB943" i="15" s="1"/>
  <c r="BY205" i="15"/>
  <c r="BX205" i="15"/>
  <c r="BZ205" i="15" s="1"/>
  <c r="BE820" i="15"/>
  <c r="BD820" i="15"/>
  <c r="BF820" i="15" s="1"/>
  <c r="BM574" i="15"/>
  <c r="BL574" i="15"/>
  <c r="BN574" i="15" s="1"/>
  <c r="BI697" i="15"/>
  <c r="BH697" i="15"/>
  <c r="BJ697" i="15" s="1"/>
  <c r="CL80" i="15"/>
  <c r="CK80" i="15"/>
  <c r="CM80" i="15" s="1"/>
  <c r="CH81" i="15"/>
  <c r="CG81" i="15"/>
  <c r="CI81" i="15" s="1"/>
  <c r="BU328" i="15"/>
  <c r="BT328" i="15"/>
  <c r="BV328" i="15" s="1"/>
  <c r="BU329" i="15" l="1"/>
  <c r="BT329" i="15"/>
  <c r="BV329" i="15" s="1"/>
  <c r="CH82" i="15"/>
  <c r="CG82" i="15"/>
  <c r="CI82" i="15" s="1"/>
  <c r="CL81" i="15"/>
  <c r="CK81" i="15"/>
  <c r="CM81" i="15" s="1"/>
  <c r="BI698" i="15"/>
  <c r="BH698" i="15"/>
  <c r="BJ698" i="15" s="1"/>
  <c r="BM575" i="15"/>
  <c r="BL575" i="15"/>
  <c r="BN575" i="15" s="1"/>
  <c r="BE821" i="15"/>
  <c r="BD821" i="15"/>
  <c r="BF821" i="15" s="1"/>
  <c r="BY206" i="15"/>
  <c r="BX206" i="15"/>
  <c r="BZ206" i="15" s="1"/>
  <c r="BA944" i="15"/>
  <c r="AZ944" i="15"/>
  <c r="BB944" i="15" s="1"/>
  <c r="CC83" i="15"/>
  <c r="CB83" i="15"/>
  <c r="CD83" i="15" s="1"/>
  <c r="BQ452" i="15"/>
  <c r="BP452" i="15"/>
  <c r="BR452" i="15" s="1"/>
  <c r="CC84" i="15" l="1"/>
  <c r="CB84" i="15"/>
  <c r="CD84" i="15" s="1"/>
  <c r="BY207" i="15"/>
  <c r="BX207" i="15"/>
  <c r="BZ207" i="15" s="1"/>
  <c r="BM576" i="15"/>
  <c r="BL576" i="15"/>
  <c r="BN576" i="15" s="1"/>
  <c r="CL82" i="15"/>
  <c r="CK82" i="15"/>
  <c r="CM82" i="15" s="1"/>
  <c r="BU330" i="15"/>
  <c r="BT330" i="15"/>
  <c r="BV330" i="15" s="1"/>
  <c r="BQ453" i="15"/>
  <c r="BP453" i="15"/>
  <c r="BR453" i="15" s="1"/>
  <c r="BA945" i="15"/>
  <c r="AZ945" i="15"/>
  <c r="BB945" i="15" s="1"/>
  <c r="BE822" i="15"/>
  <c r="BD822" i="15"/>
  <c r="BF822" i="15" s="1"/>
  <c r="BI699" i="15"/>
  <c r="BH699" i="15"/>
  <c r="BJ699" i="15" s="1"/>
  <c r="CH83" i="15"/>
  <c r="CG83" i="15"/>
  <c r="CI83" i="15" s="1"/>
  <c r="BI700" i="15" l="1"/>
  <c r="BH700" i="15"/>
  <c r="BJ700" i="15" s="1"/>
  <c r="BA946" i="15"/>
  <c r="AZ946" i="15"/>
  <c r="BB946" i="15" s="1"/>
  <c r="BU331" i="15"/>
  <c r="BT331" i="15"/>
  <c r="BV331" i="15" s="1"/>
  <c r="CL83" i="15"/>
  <c r="CK83" i="15"/>
  <c r="CM83" i="15" s="1"/>
  <c r="BM577" i="15"/>
  <c r="BL577" i="15"/>
  <c r="BN577" i="15" s="1"/>
  <c r="CC85" i="15"/>
  <c r="CB85" i="15"/>
  <c r="CD85" i="15" s="1"/>
  <c r="CH84" i="15"/>
  <c r="CG84" i="15"/>
  <c r="CI84" i="15" s="1"/>
  <c r="BE823" i="15"/>
  <c r="BD823" i="15"/>
  <c r="BF823" i="15" s="1"/>
  <c r="BQ454" i="15"/>
  <c r="BP454" i="15"/>
  <c r="BR454" i="15" s="1"/>
  <c r="BY208" i="15"/>
  <c r="BX208" i="15"/>
  <c r="BZ208" i="15" s="1"/>
  <c r="BY209" i="15" l="1"/>
  <c r="BX209" i="15"/>
  <c r="BZ209" i="15" s="1"/>
  <c r="BE824" i="15"/>
  <c r="BD824" i="15"/>
  <c r="BF824" i="15" s="1"/>
  <c r="CC86" i="15"/>
  <c r="CB86" i="15"/>
  <c r="CD86" i="15" s="1"/>
  <c r="CL84" i="15"/>
  <c r="CK84" i="15"/>
  <c r="CM84" i="15" s="1"/>
  <c r="BU332" i="15"/>
  <c r="BT332" i="15"/>
  <c r="BV332" i="15" s="1"/>
  <c r="BI701" i="15"/>
  <c r="BH701" i="15"/>
  <c r="BJ701" i="15" s="1"/>
  <c r="BQ455" i="15"/>
  <c r="BP455" i="15"/>
  <c r="BR455" i="15" s="1"/>
  <c r="CH85" i="15"/>
  <c r="CG85" i="15"/>
  <c r="CI85" i="15" s="1"/>
  <c r="BM578" i="15"/>
  <c r="BL578" i="15"/>
  <c r="BN578" i="15" s="1"/>
  <c r="BA947" i="15"/>
  <c r="AZ947" i="15"/>
  <c r="BB947" i="15" s="1"/>
  <c r="BM579" i="15" l="1"/>
  <c r="BL579" i="15"/>
  <c r="BN579" i="15" s="1"/>
  <c r="BQ456" i="15"/>
  <c r="BP456" i="15"/>
  <c r="BR456" i="15" s="1"/>
  <c r="BU333" i="15"/>
  <c r="BT333" i="15"/>
  <c r="BV333" i="15" s="1"/>
  <c r="CL85" i="15"/>
  <c r="CK85" i="15"/>
  <c r="CM85" i="15" s="1"/>
  <c r="CC87" i="15"/>
  <c r="CB87" i="15"/>
  <c r="CD87" i="15" s="1"/>
  <c r="BY210" i="15"/>
  <c r="BX210" i="15"/>
  <c r="BZ210" i="15" s="1"/>
  <c r="BA948" i="15"/>
  <c r="AZ948" i="15"/>
  <c r="BB948" i="15" s="1"/>
  <c r="CH86" i="15"/>
  <c r="CG86" i="15"/>
  <c r="CI86" i="15" s="1"/>
  <c r="BI702" i="15"/>
  <c r="BH702" i="15"/>
  <c r="BJ702" i="15" s="1"/>
  <c r="BE825" i="15"/>
  <c r="BD825" i="15"/>
  <c r="BF825" i="15" s="1"/>
  <c r="BE826" i="15" l="1"/>
  <c r="BD826" i="15"/>
  <c r="BF826" i="15" s="1"/>
  <c r="CH87" i="15"/>
  <c r="CG87" i="15"/>
  <c r="CI87" i="15" s="1"/>
  <c r="BY211" i="15"/>
  <c r="BX211" i="15"/>
  <c r="BZ211" i="15" s="1"/>
  <c r="CL86" i="15"/>
  <c r="CK86" i="15"/>
  <c r="CM86" i="15" s="1"/>
  <c r="BU334" i="15"/>
  <c r="BT334" i="15"/>
  <c r="BV334" i="15" s="1"/>
  <c r="BM580" i="15"/>
  <c r="BL580" i="15"/>
  <c r="BN580" i="15" s="1"/>
  <c r="BI703" i="15"/>
  <c r="BH703" i="15"/>
  <c r="BJ703" i="15" s="1"/>
  <c r="BA949" i="15"/>
  <c r="AZ949" i="15"/>
  <c r="BB949" i="15" s="1"/>
  <c r="CC88" i="15"/>
  <c r="CB88" i="15"/>
  <c r="CD88" i="15" s="1"/>
  <c r="BQ457" i="15"/>
  <c r="BP457" i="15"/>
  <c r="BR457" i="15" s="1"/>
  <c r="CC89" i="15" l="1"/>
  <c r="CB89" i="15"/>
  <c r="CD89" i="15" s="1"/>
  <c r="BI704" i="15"/>
  <c r="BH704" i="15"/>
  <c r="BJ704" i="15" s="1"/>
  <c r="BU335" i="15"/>
  <c r="BT335" i="15"/>
  <c r="BV335" i="15" s="1"/>
  <c r="CL87" i="15"/>
  <c r="CK87" i="15"/>
  <c r="CM87" i="15" s="1"/>
  <c r="BY212" i="15"/>
  <c r="BX212" i="15"/>
  <c r="BZ212" i="15" s="1"/>
  <c r="BE827" i="15"/>
  <c r="BD827" i="15"/>
  <c r="BF827" i="15" s="1"/>
  <c r="BQ458" i="15"/>
  <c r="BP458" i="15"/>
  <c r="BR458" i="15" s="1"/>
  <c r="BA950" i="15"/>
  <c r="AZ950" i="15"/>
  <c r="BB950" i="15" s="1"/>
  <c r="BM581" i="15"/>
  <c r="BL581" i="15"/>
  <c r="BN581" i="15" s="1"/>
  <c r="CH88" i="15"/>
  <c r="CG88" i="15"/>
  <c r="CI88" i="15" s="1"/>
  <c r="BM582" i="15" l="1"/>
  <c r="BL582" i="15"/>
  <c r="BN582" i="15" s="1"/>
  <c r="BQ459" i="15"/>
  <c r="BP459" i="15"/>
  <c r="BR459" i="15" s="1"/>
  <c r="BY213" i="15"/>
  <c r="BX213" i="15"/>
  <c r="BZ213" i="15" s="1"/>
  <c r="BU336" i="15"/>
  <c r="BT336" i="15"/>
  <c r="BV336" i="15" s="1"/>
  <c r="CC90" i="15"/>
  <c r="CB90" i="15"/>
  <c r="CD90" i="15" s="1"/>
  <c r="CH89" i="15"/>
  <c r="CG89" i="15"/>
  <c r="CI89" i="15" s="1"/>
  <c r="BA951" i="15"/>
  <c r="AZ951" i="15"/>
  <c r="BB951" i="15" s="1"/>
  <c r="BE828" i="15"/>
  <c r="BD828" i="15"/>
  <c r="BF828" i="15" s="1"/>
  <c r="CL88" i="15"/>
  <c r="CK88" i="15"/>
  <c r="CM88" i="15" s="1"/>
  <c r="BI705" i="15"/>
  <c r="BH705" i="15"/>
  <c r="BJ705" i="15" s="1"/>
  <c r="BI706" i="15" l="1"/>
  <c r="BH706" i="15"/>
  <c r="BJ706" i="15" s="1"/>
  <c r="BE829" i="15"/>
  <c r="BD829" i="15"/>
  <c r="BF829" i="15" s="1"/>
  <c r="CH90" i="15"/>
  <c r="CG90" i="15"/>
  <c r="CI90" i="15" s="1"/>
  <c r="BU337" i="15"/>
  <c r="BT337" i="15"/>
  <c r="BV337" i="15" s="1"/>
  <c r="BY214" i="15"/>
  <c r="BX214" i="15"/>
  <c r="BZ214" i="15" s="1"/>
  <c r="BM583" i="15"/>
  <c r="BL583" i="15"/>
  <c r="BN583" i="15" s="1"/>
  <c r="CL89" i="15"/>
  <c r="CK89" i="15"/>
  <c r="CM89" i="15" s="1"/>
  <c r="BA952" i="15"/>
  <c r="AZ952" i="15"/>
  <c r="BB952" i="15" s="1"/>
  <c r="CC91" i="15"/>
  <c r="CB91" i="15"/>
  <c r="CD91" i="15" s="1"/>
  <c r="BQ460" i="15"/>
  <c r="BP460" i="15"/>
  <c r="BR460" i="15" s="1"/>
  <c r="BQ461" i="15" l="1"/>
  <c r="BP461" i="15"/>
  <c r="BR461" i="15" s="1"/>
  <c r="BA953" i="15"/>
  <c r="AZ953" i="15"/>
  <c r="BB953" i="15" s="1"/>
  <c r="BM584" i="15"/>
  <c r="BL584" i="15"/>
  <c r="BN584" i="15" s="1"/>
  <c r="BU338" i="15"/>
  <c r="BT338" i="15"/>
  <c r="BV338" i="15" s="1"/>
  <c r="CH91" i="15"/>
  <c r="CG91" i="15"/>
  <c r="CI91" i="15" s="1"/>
  <c r="BI707" i="15"/>
  <c r="BH707" i="15"/>
  <c r="BJ707" i="15" s="1"/>
  <c r="CC92" i="15"/>
  <c r="CB92" i="15"/>
  <c r="CD92" i="15" s="1"/>
  <c r="CL90" i="15"/>
  <c r="CK90" i="15"/>
  <c r="CM90" i="15" s="1"/>
  <c r="BY215" i="15"/>
  <c r="BX215" i="15"/>
  <c r="BZ215" i="15" s="1"/>
  <c r="BE830" i="15"/>
  <c r="BD830" i="15"/>
  <c r="BF830" i="15" s="1"/>
  <c r="BE831" i="15" l="1"/>
  <c r="BD831" i="15"/>
  <c r="BF831" i="15" s="1"/>
  <c r="CL91" i="15"/>
  <c r="CK91" i="15"/>
  <c r="CM91" i="15" s="1"/>
  <c r="BI708" i="15"/>
  <c r="BH708" i="15"/>
  <c r="BJ708" i="15" s="1"/>
  <c r="BU339" i="15"/>
  <c r="BT339" i="15"/>
  <c r="BV339" i="15" s="1"/>
  <c r="BM585" i="15"/>
  <c r="BL585" i="15"/>
  <c r="BN585" i="15" s="1"/>
  <c r="BQ462" i="15"/>
  <c r="BP462" i="15"/>
  <c r="BR462" i="15" s="1"/>
  <c r="BY216" i="15"/>
  <c r="BX216" i="15"/>
  <c r="BZ216" i="15" s="1"/>
  <c r="CC93" i="15"/>
  <c r="CB93" i="15"/>
  <c r="CD93" i="15" s="1"/>
  <c r="CH92" i="15"/>
  <c r="CG92" i="15"/>
  <c r="CI92" i="15" s="1"/>
  <c r="BA954" i="15"/>
  <c r="AZ954" i="15"/>
  <c r="BB954" i="15" s="1"/>
  <c r="BA955" i="15" l="1"/>
  <c r="AZ955" i="15"/>
  <c r="BB955" i="15" s="1"/>
  <c r="CC94" i="15"/>
  <c r="CB94" i="15"/>
  <c r="CD94" i="15" s="1"/>
  <c r="BQ463" i="15"/>
  <c r="BP463" i="15"/>
  <c r="BR463" i="15" s="1"/>
  <c r="BU340" i="15"/>
  <c r="BT340" i="15"/>
  <c r="BV340" i="15" s="1"/>
  <c r="BI709" i="15"/>
  <c r="BH709" i="15"/>
  <c r="BJ709" i="15" s="1"/>
  <c r="BE832" i="15"/>
  <c r="BD832" i="15"/>
  <c r="BF832" i="15" s="1"/>
  <c r="CH93" i="15"/>
  <c r="CG93" i="15"/>
  <c r="CI93" i="15" s="1"/>
  <c r="BY217" i="15"/>
  <c r="BX217" i="15"/>
  <c r="BZ217" i="15" s="1"/>
  <c r="BM586" i="15"/>
  <c r="BL586" i="15"/>
  <c r="BN586" i="15" s="1"/>
  <c r="CL92" i="15"/>
  <c r="CK92" i="15"/>
  <c r="CM92" i="15" s="1"/>
  <c r="BM587" i="15" l="1"/>
  <c r="BL587" i="15"/>
  <c r="BN587" i="15" s="1"/>
  <c r="CH94" i="15"/>
  <c r="CG94" i="15"/>
  <c r="CI94" i="15" s="1"/>
  <c r="BI710" i="15"/>
  <c r="BH710" i="15"/>
  <c r="BJ710" i="15" s="1"/>
  <c r="BQ464" i="15"/>
  <c r="BP464" i="15"/>
  <c r="BR464" i="15" s="1"/>
  <c r="BA956" i="15"/>
  <c r="AZ956" i="15"/>
  <c r="BB956" i="15" s="1"/>
  <c r="CL93" i="15"/>
  <c r="CK93" i="15"/>
  <c r="CM93" i="15" s="1"/>
  <c r="BY218" i="15"/>
  <c r="BX218" i="15"/>
  <c r="BZ218" i="15" s="1"/>
  <c r="BE833" i="15"/>
  <c r="BD833" i="15"/>
  <c r="BF833" i="15" s="1"/>
  <c r="BU341" i="15"/>
  <c r="BT341" i="15"/>
  <c r="BV341" i="15" s="1"/>
  <c r="CC95" i="15"/>
  <c r="CB95" i="15"/>
  <c r="CD95" i="15" s="1"/>
  <c r="CC96" i="15" l="1"/>
  <c r="CB96" i="15"/>
  <c r="CD96" i="15" s="1"/>
  <c r="BE834" i="15"/>
  <c r="BD834" i="15"/>
  <c r="BF834" i="15" s="1"/>
  <c r="CL94" i="15"/>
  <c r="CK94" i="15"/>
  <c r="CM94" i="15" s="1"/>
  <c r="BQ465" i="15"/>
  <c r="BP465" i="15"/>
  <c r="BR465" i="15" s="1"/>
  <c r="BI711" i="15"/>
  <c r="BH711" i="15"/>
  <c r="BJ711" i="15" s="1"/>
  <c r="BM588" i="15"/>
  <c r="BL588" i="15"/>
  <c r="BN588" i="15" s="1"/>
  <c r="BU342" i="15"/>
  <c r="BT342" i="15"/>
  <c r="BV342" i="15" s="1"/>
  <c r="BY219" i="15"/>
  <c r="BX219" i="15"/>
  <c r="BZ219" i="15" s="1"/>
  <c r="BA957" i="15"/>
  <c r="AZ957" i="15"/>
  <c r="BB957" i="15" s="1"/>
  <c r="CH95" i="15"/>
  <c r="CG95" i="15"/>
  <c r="CI95" i="15" s="1"/>
  <c r="CH96" i="15" l="1"/>
  <c r="CG96" i="15"/>
  <c r="CI96" i="15" s="1"/>
  <c r="BY220" i="15"/>
  <c r="BX220" i="15"/>
  <c r="BZ220" i="15" s="1"/>
  <c r="BM589" i="15"/>
  <c r="BL589" i="15"/>
  <c r="BN589" i="15" s="1"/>
  <c r="BQ466" i="15"/>
  <c r="BP466" i="15"/>
  <c r="BR466" i="15" s="1"/>
  <c r="CL95" i="15"/>
  <c r="CK95" i="15"/>
  <c r="CM95" i="15" s="1"/>
  <c r="CC97" i="15"/>
  <c r="CB97" i="15"/>
  <c r="CD97" i="15" s="1"/>
  <c r="BA958" i="15"/>
  <c r="AZ958" i="15"/>
  <c r="BB958" i="15" s="1"/>
  <c r="BU343" i="15"/>
  <c r="BT343" i="15"/>
  <c r="BV343" i="15" s="1"/>
  <c r="BI712" i="15"/>
  <c r="BH712" i="15"/>
  <c r="BJ712" i="15" s="1"/>
  <c r="BE835" i="15"/>
  <c r="BD835" i="15"/>
  <c r="BF835" i="15" s="1"/>
  <c r="BE836" i="15" l="1"/>
  <c r="BD836" i="15"/>
  <c r="BF836" i="15" s="1"/>
  <c r="BU344" i="15"/>
  <c r="BT344" i="15"/>
  <c r="BV344" i="15" s="1"/>
  <c r="BA959" i="15"/>
  <c r="AZ959" i="15"/>
  <c r="BB959" i="15" s="1"/>
  <c r="CL96" i="15"/>
  <c r="CK96" i="15"/>
  <c r="CM96" i="15" s="1"/>
  <c r="BQ467" i="15"/>
  <c r="BP467" i="15"/>
  <c r="BR467" i="15" s="1"/>
  <c r="BM590" i="15"/>
  <c r="BL590" i="15"/>
  <c r="BN590" i="15" s="1"/>
  <c r="CH97" i="15"/>
  <c r="CG97" i="15"/>
  <c r="CI97" i="15" s="1"/>
  <c r="BI713" i="15"/>
  <c r="BH713" i="15"/>
  <c r="BJ713" i="15" s="1"/>
  <c r="CC98" i="15"/>
  <c r="CB98" i="15"/>
  <c r="CD98" i="15" s="1"/>
  <c r="BY221" i="15"/>
  <c r="BX221" i="15"/>
  <c r="BZ221" i="15" s="1"/>
  <c r="BY222" i="15" l="1"/>
  <c r="BX222" i="15"/>
  <c r="BZ222" i="15" s="1"/>
  <c r="BI714" i="15"/>
  <c r="BH714" i="15"/>
  <c r="BJ714" i="15" s="1"/>
  <c r="BM591" i="15"/>
  <c r="BL591" i="15"/>
  <c r="BN591" i="15" s="1"/>
  <c r="CL97" i="15"/>
  <c r="CK97" i="15"/>
  <c r="CM97" i="15" s="1"/>
  <c r="BA960" i="15"/>
  <c r="AZ960" i="15"/>
  <c r="BB960" i="15" s="1"/>
  <c r="BE837" i="15"/>
  <c r="BD837" i="15"/>
  <c r="BF837" i="15" s="1"/>
  <c r="CC99" i="15"/>
  <c r="CB99" i="15"/>
  <c r="CD99" i="15" s="1"/>
  <c r="CH98" i="15"/>
  <c r="CG98" i="15"/>
  <c r="CI98" i="15" s="1"/>
  <c r="BQ468" i="15"/>
  <c r="BP468" i="15"/>
  <c r="BR468" i="15" s="1"/>
  <c r="BU345" i="15"/>
  <c r="BT345" i="15"/>
  <c r="BV345" i="15" s="1"/>
  <c r="BU346" i="15" l="1"/>
  <c r="BT346" i="15"/>
  <c r="BV346" i="15" s="1"/>
  <c r="CH99" i="15"/>
  <c r="CG99" i="15"/>
  <c r="CI99" i="15" s="1"/>
  <c r="BE838" i="15"/>
  <c r="BD838" i="15"/>
  <c r="BF838" i="15" s="1"/>
  <c r="CL98" i="15"/>
  <c r="CK98" i="15"/>
  <c r="CM98" i="15" s="1"/>
  <c r="BM592" i="15"/>
  <c r="BL592" i="15"/>
  <c r="BN592" i="15" s="1"/>
  <c r="BY223" i="15"/>
  <c r="BX223" i="15"/>
  <c r="BZ223" i="15" s="1"/>
  <c r="BQ469" i="15"/>
  <c r="BP469" i="15"/>
  <c r="BR469" i="15" s="1"/>
  <c r="CC100" i="15"/>
  <c r="CB100" i="15"/>
  <c r="CD100" i="15" s="1"/>
  <c r="BA961" i="15"/>
  <c r="AZ961" i="15"/>
  <c r="BB961" i="15" s="1"/>
  <c r="BI715" i="15"/>
  <c r="BH715" i="15"/>
  <c r="BJ715" i="15" s="1"/>
  <c r="BI716" i="15" l="1"/>
  <c r="BH716" i="15"/>
  <c r="BJ716" i="15" s="1"/>
  <c r="CC101" i="15"/>
  <c r="CB101" i="15"/>
  <c r="CD101" i="15" s="1"/>
  <c r="BY224" i="15"/>
  <c r="BX224" i="15"/>
  <c r="BZ224" i="15" s="1"/>
  <c r="CL99" i="15"/>
  <c r="CK99" i="15"/>
  <c r="CM99" i="15" s="1"/>
  <c r="BE839" i="15"/>
  <c r="BD839" i="15"/>
  <c r="BF839" i="15" s="1"/>
  <c r="BU347" i="15"/>
  <c r="BT347" i="15"/>
  <c r="BV347" i="15" s="1"/>
  <c r="BA962" i="15"/>
  <c r="AZ962" i="15"/>
  <c r="BB962" i="15" s="1"/>
  <c r="BQ470" i="15"/>
  <c r="BP470" i="15"/>
  <c r="BR470" i="15" s="1"/>
  <c r="BM593" i="15"/>
  <c r="BL593" i="15"/>
  <c r="BN593" i="15" s="1"/>
  <c r="CH100" i="15"/>
  <c r="CG100" i="15"/>
  <c r="CI100" i="15" s="1"/>
  <c r="CH101" i="15" l="1"/>
  <c r="CG101" i="15"/>
  <c r="CI101" i="15" s="1"/>
  <c r="BQ471" i="15"/>
  <c r="BP471" i="15"/>
  <c r="BR471" i="15" s="1"/>
  <c r="BU348" i="15"/>
  <c r="BT348" i="15"/>
  <c r="BV348" i="15" s="1"/>
  <c r="CL100" i="15"/>
  <c r="CK100" i="15"/>
  <c r="CM100" i="15" s="1"/>
  <c r="BY225" i="15"/>
  <c r="BX225" i="15"/>
  <c r="BZ225" i="15" s="1"/>
  <c r="BI717" i="15"/>
  <c r="BH717" i="15"/>
  <c r="BJ717" i="15" s="1"/>
  <c r="BM594" i="15"/>
  <c r="BL594" i="15"/>
  <c r="BN594" i="15" s="1"/>
  <c r="BA963" i="15"/>
  <c r="AZ963" i="15"/>
  <c r="BB963" i="15" s="1"/>
  <c r="BE840" i="15"/>
  <c r="BD840" i="15"/>
  <c r="BF840" i="15" s="1"/>
  <c r="CC102" i="15"/>
  <c r="CB102" i="15"/>
  <c r="CD102" i="15" s="1"/>
  <c r="BE841" i="15" l="1"/>
  <c r="BD841" i="15"/>
  <c r="BF841" i="15" s="1"/>
  <c r="BM595" i="15"/>
  <c r="BL595" i="15"/>
  <c r="BN595" i="15" s="1"/>
  <c r="BY226" i="15"/>
  <c r="BX226" i="15"/>
  <c r="BZ226" i="15" s="1"/>
  <c r="CL101" i="15"/>
  <c r="CK101" i="15"/>
  <c r="CM101" i="15" s="1"/>
  <c r="BU349" i="15"/>
  <c r="BT349" i="15"/>
  <c r="BV349" i="15" s="1"/>
  <c r="CH102" i="15"/>
  <c r="CG102" i="15"/>
  <c r="CI102" i="15" s="1"/>
  <c r="CC103" i="15"/>
  <c r="CB103" i="15"/>
  <c r="CD103" i="15" s="1"/>
  <c r="BA964" i="15"/>
  <c r="AZ964" i="15"/>
  <c r="BB964" i="15" s="1"/>
  <c r="BI718" i="15"/>
  <c r="BH718" i="15"/>
  <c r="BJ718" i="15" s="1"/>
  <c r="BQ472" i="15"/>
  <c r="BP472" i="15"/>
  <c r="BR472" i="15" s="1"/>
  <c r="BQ473" i="15" l="1"/>
  <c r="BP473" i="15"/>
  <c r="BR473" i="15" s="1"/>
  <c r="BA965" i="15"/>
  <c r="AZ965" i="15"/>
  <c r="BB965" i="15" s="1"/>
  <c r="CH103" i="15"/>
  <c r="CG103" i="15"/>
  <c r="CI103" i="15" s="1"/>
  <c r="CL102" i="15"/>
  <c r="CK102" i="15"/>
  <c r="CM102" i="15" s="1"/>
  <c r="BY227" i="15"/>
  <c r="BX227" i="15"/>
  <c r="BZ227" i="15" s="1"/>
  <c r="BE842" i="15"/>
  <c r="BD842" i="15"/>
  <c r="BF842" i="15" s="1"/>
  <c r="BI719" i="15"/>
  <c r="BH719" i="15"/>
  <c r="BJ719" i="15" s="1"/>
  <c r="CC104" i="15"/>
  <c r="CB104" i="15"/>
  <c r="CD104" i="15" s="1"/>
  <c r="BU350" i="15"/>
  <c r="BT350" i="15"/>
  <c r="BV350" i="15" s="1"/>
  <c r="BM596" i="15"/>
  <c r="BL596" i="15"/>
  <c r="BN596" i="15" s="1"/>
  <c r="BU351" i="15" l="1"/>
  <c r="BT351" i="15"/>
  <c r="BV351" i="15" s="1"/>
  <c r="BI720" i="15"/>
  <c r="BH720" i="15"/>
  <c r="BJ720" i="15" s="1"/>
  <c r="CH104" i="15"/>
  <c r="CG104" i="15"/>
  <c r="CI104" i="15" s="1"/>
  <c r="BM597" i="15"/>
  <c r="BL597" i="15"/>
  <c r="BN597" i="15" s="1"/>
  <c r="CC105" i="15"/>
  <c r="CB105" i="15"/>
  <c r="CD105" i="15" s="1"/>
  <c r="BE843" i="15"/>
  <c r="BD843" i="15"/>
  <c r="BF843" i="15" s="1"/>
  <c r="BY228" i="15"/>
  <c r="BX228" i="15"/>
  <c r="BZ228" i="15" s="1"/>
  <c r="CL103" i="15"/>
  <c r="CK103" i="15"/>
  <c r="CM103" i="15" s="1"/>
  <c r="BA966" i="15"/>
  <c r="AZ966" i="15"/>
  <c r="BB966" i="15" s="1"/>
  <c r="BQ474" i="15"/>
  <c r="BP474" i="15"/>
  <c r="BR474" i="15" s="1"/>
  <c r="BQ475" i="15" l="1"/>
  <c r="BP475" i="15"/>
  <c r="BR475" i="15" s="1"/>
  <c r="BY229" i="15"/>
  <c r="BX229" i="15"/>
  <c r="BZ229" i="15" s="1"/>
  <c r="CH105" i="15"/>
  <c r="CG105" i="15"/>
  <c r="CI105" i="15" s="1"/>
  <c r="BA967" i="15"/>
  <c r="AZ967" i="15"/>
  <c r="BB967" i="15" s="1"/>
  <c r="CL104" i="15"/>
  <c r="CK104" i="15"/>
  <c r="CM104" i="15" s="1"/>
  <c r="BE844" i="15"/>
  <c r="BD844" i="15"/>
  <c r="BF844" i="15" s="1"/>
  <c r="CC106" i="15"/>
  <c r="CB106" i="15"/>
  <c r="CD106" i="15" s="1"/>
  <c r="BM598" i="15"/>
  <c r="BL598" i="15"/>
  <c r="BN598" i="15" s="1"/>
  <c r="BI721" i="15"/>
  <c r="BH721" i="15"/>
  <c r="BJ721" i="15" s="1"/>
  <c r="BU352" i="15"/>
  <c r="BT352" i="15"/>
  <c r="BV352" i="15" s="1"/>
  <c r="BU353" i="15" l="1"/>
  <c r="BT353" i="15"/>
  <c r="BV353" i="15" s="1"/>
  <c r="BM599" i="15"/>
  <c r="BL599" i="15"/>
  <c r="BN599" i="15" s="1"/>
  <c r="BE845" i="15"/>
  <c r="BD845" i="15"/>
  <c r="BF845" i="15" s="1"/>
  <c r="BA968" i="15"/>
  <c r="AZ968" i="15"/>
  <c r="BB968" i="15" s="1"/>
  <c r="CH106" i="15"/>
  <c r="CG106" i="15"/>
  <c r="CI106" i="15" s="1"/>
  <c r="BQ476" i="15"/>
  <c r="BP476" i="15"/>
  <c r="BR476" i="15" s="1"/>
  <c r="BI722" i="15"/>
  <c r="BH722" i="15"/>
  <c r="BJ722" i="15" s="1"/>
  <c r="CC107" i="15"/>
  <c r="CB107" i="15"/>
  <c r="CD107" i="15" s="1"/>
  <c r="CL105" i="15"/>
  <c r="CK105" i="15"/>
  <c r="CM105" i="15" s="1"/>
  <c r="BY230" i="15"/>
  <c r="BX230" i="15"/>
  <c r="BZ230" i="15" s="1"/>
  <c r="CL106" i="15" l="1"/>
  <c r="CK106" i="15"/>
  <c r="CM106" i="15" s="1"/>
  <c r="BI723" i="15"/>
  <c r="BH723" i="15"/>
  <c r="BJ723" i="15" s="1"/>
  <c r="CH107" i="15"/>
  <c r="CG107" i="15"/>
  <c r="CI107" i="15" s="1"/>
  <c r="BM600" i="15"/>
  <c r="BL600" i="15"/>
  <c r="BN600" i="15" s="1"/>
  <c r="BY231" i="15"/>
  <c r="BX231" i="15"/>
  <c r="BZ231" i="15" s="1"/>
  <c r="CC108" i="15"/>
  <c r="CB108" i="15"/>
  <c r="CD108" i="15" s="1"/>
  <c r="BQ477" i="15"/>
  <c r="BP477" i="15"/>
  <c r="BR477" i="15" s="1"/>
  <c r="BA969" i="15"/>
  <c r="AZ969" i="15"/>
  <c r="BB969" i="15" s="1"/>
  <c r="BE846" i="15"/>
  <c r="BD846" i="15"/>
  <c r="BF846" i="15" s="1"/>
  <c r="BU354" i="15"/>
  <c r="BT354" i="15"/>
  <c r="BV354" i="15" s="1"/>
  <c r="BE847" i="15" l="1"/>
  <c r="BD847" i="15"/>
  <c r="BF847" i="15" s="1"/>
  <c r="BQ478" i="15"/>
  <c r="BP478" i="15"/>
  <c r="BR478" i="15" s="1"/>
  <c r="CC109" i="15"/>
  <c r="CB109" i="15"/>
  <c r="CD109" i="15" s="1"/>
  <c r="BM601" i="15"/>
  <c r="BL601" i="15"/>
  <c r="BN601" i="15" s="1"/>
  <c r="CH108" i="15"/>
  <c r="CG108" i="15"/>
  <c r="CI108" i="15" s="1"/>
  <c r="CL107" i="15"/>
  <c r="CK107" i="15"/>
  <c r="CM107" i="15" s="1"/>
  <c r="BU355" i="15"/>
  <c r="BT355" i="15"/>
  <c r="BV355" i="15" s="1"/>
  <c r="BA970" i="15"/>
  <c r="AZ970" i="15"/>
  <c r="BB970" i="15" s="1"/>
  <c r="BY232" i="15"/>
  <c r="BX232" i="15"/>
  <c r="BZ232" i="15" s="1"/>
  <c r="BI724" i="15"/>
  <c r="BH724" i="15"/>
  <c r="BJ724" i="15" s="1"/>
  <c r="BI725" i="15" l="1"/>
  <c r="BH725" i="15"/>
  <c r="BJ725" i="15" s="1"/>
  <c r="BA971" i="15"/>
  <c r="AZ971" i="15"/>
  <c r="BB971" i="15" s="1"/>
  <c r="CL108" i="15"/>
  <c r="CK108" i="15"/>
  <c r="CM108" i="15" s="1"/>
  <c r="BM602" i="15"/>
  <c r="BL602" i="15"/>
  <c r="BN602" i="15" s="1"/>
  <c r="CC110" i="15"/>
  <c r="CB110" i="15"/>
  <c r="CD110" i="15" s="1"/>
  <c r="BE848" i="15"/>
  <c r="BD848" i="15"/>
  <c r="BF848" i="15" s="1"/>
  <c r="BY233" i="15"/>
  <c r="BX233" i="15"/>
  <c r="BZ233" i="15" s="1"/>
  <c r="BU356" i="15"/>
  <c r="BT356" i="15"/>
  <c r="BV356" i="15" s="1"/>
  <c r="CH109" i="15"/>
  <c r="CG109" i="15"/>
  <c r="CI109" i="15" s="1"/>
  <c r="BQ479" i="15"/>
  <c r="BP479" i="15"/>
  <c r="BR479" i="15" s="1"/>
  <c r="BQ480" i="15" l="1"/>
  <c r="BP480" i="15"/>
  <c r="BR480" i="15" s="1"/>
  <c r="BU357" i="15"/>
  <c r="BT357" i="15"/>
  <c r="BV357" i="15" s="1"/>
  <c r="BE849" i="15"/>
  <c r="BD849" i="15"/>
  <c r="BF849" i="15" s="1"/>
  <c r="BM603" i="15"/>
  <c r="BL603" i="15"/>
  <c r="BN603" i="15" s="1"/>
  <c r="CL109" i="15"/>
  <c r="CK109" i="15"/>
  <c r="CM109" i="15" s="1"/>
  <c r="BI726" i="15"/>
  <c r="BH726" i="15"/>
  <c r="BJ726" i="15" s="1"/>
  <c r="CH110" i="15"/>
  <c r="CG110" i="15"/>
  <c r="CI110" i="15" s="1"/>
  <c r="BY234" i="15"/>
  <c r="BX234" i="15"/>
  <c r="BZ234" i="15" s="1"/>
  <c r="CC111" i="15"/>
  <c r="CB111" i="15"/>
  <c r="CD111" i="15" s="1"/>
  <c r="BA972" i="15"/>
  <c r="AZ972" i="15"/>
  <c r="BB972" i="15" s="1"/>
  <c r="BA973" i="15" l="1"/>
  <c r="AZ973" i="15"/>
  <c r="BB973" i="15" s="1"/>
  <c r="BY235" i="15"/>
  <c r="BX235" i="15"/>
  <c r="BZ235" i="15" s="1"/>
  <c r="BI727" i="15"/>
  <c r="BH727" i="15"/>
  <c r="BJ727" i="15" s="1"/>
  <c r="BE850" i="15"/>
  <c r="BD850" i="15"/>
  <c r="BF850" i="15" s="1"/>
  <c r="BU358" i="15"/>
  <c r="BT358" i="15"/>
  <c r="BV358" i="15" s="1"/>
  <c r="CC112" i="15"/>
  <c r="CB112" i="15"/>
  <c r="CD112" i="15" s="1"/>
  <c r="CH111" i="15"/>
  <c r="CG111" i="15"/>
  <c r="CI111" i="15" s="1"/>
  <c r="CL110" i="15"/>
  <c r="CK110" i="15"/>
  <c r="CM110" i="15" s="1"/>
  <c r="BM604" i="15"/>
  <c r="BL604" i="15"/>
  <c r="BN604" i="15" s="1"/>
  <c r="BQ481" i="15"/>
  <c r="BP481" i="15"/>
  <c r="BR481" i="15" s="1"/>
  <c r="BM605" i="15" l="1"/>
  <c r="BL605" i="15"/>
  <c r="BN605" i="15" s="1"/>
  <c r="CH112" i="15"/>
  <c r="CG112" i="15"/>
  <c r="CI112" i="15" s="1"/>
  <c r="CC113" i="15"/>
  <c r="CB113" i="15"/>
  <c r="CD113" i="15" s="1"/>
  <c r="BE851" i="15"/>
  <c r="BD851" i="15"/>
  <c r="BF851" i="15" s="1"/>
  <c r="BI728" i="15"/>
  <c r="BH728" i="15"/>
  <c r="BJ728" i="15" s="1"/>
  <c r="BA974" i="15"/>
  <c r="AZ974" i="15"/>
  <c r="BB974" i="15" s="1"/>
  <c r="BQ482" i="15"/>
  <c r="BP482" i="15"/>
  <c r="BR482" i="15" s="1"/>
  <c r="CL111" i="15"/>
  <c r="CK111" i="15"/>
  <c r="CM111" i="15" s="1"/>
  <c r="BU359" i="15"/>
  <c r="BT359" i="15"/>
  <c r="BV359" i="15" s="1"/>
  <c r="BY236" i="15"/>
  <c r="BX236" i="15"/>
  <c r="BZ236" i="15" s="1"/>
  <c r="BY237" i="15" l="1"/>
  <c r="BX237" i="15"/>
  <c r="BZ237" i="15" s="1"/>
  <c r="CL112" i="15"/>
  <c r="CK112" i="15"/>
  <c r="CM112" i="15" s="1"/>
  <c r="BA975" i="15"/>
  <c r="AZ975" i="15"/>
  <c r="BB975" i="15" s="1"/>
  <c r="BE852" i="15"/>
  <c r="BD852" i="15"/>
  <c r="BF852" i="15" s="1"/>
  <c r="CC114" i="15"/>
  <c r="CB114" i="15"/>
  <c r="CD114" i="15" s="1"/>
  <c r="BM606" i="15"/>
  <c r="BL606" i="15"/>
  <c r="BN606" i="15" s="1"/>
  <c r="BU360" i="15"/>
  <c r="BT360" i="15"/>
  <c r="BV360" i="15" s="1"/>
  <c r="BQ483" i="15"/>
  <c r="BP483" i="15"/>
  <c r="BR483" i="15" s="1"/>
  <c r="BI729" i="15"/>
  <c r="BH729" i="15"/>
  <c r="BJ729" i="15" s="1"/>
  <c r="CH113" i="15"/>
  <c r="CG113" i="15"/>
  <c r="CI113" i="15" s="1"/>
  <c r="CH114" i="15" l="1"/>
  <c r="CG114" i="15"/>
  <c r="CI114" i="15" s="1"/>
  <c r="BQ484" i="15"/>
  <c r="BP484" i="15"/>
  <c r="BR484" i="15" s="1"/>
  <c r="BM607" i="15"/>
  <c r="BL607" i="15"/>
  <c r="BN607" i="15" s="1"/>
  <c r="BE853" i="15"/>
  <c r="BD853" i="15"/>
  <c r="BF853" i="15" s="1"/>
  <c r="BA976" i="15"/>
  <c r="AZ976" i="15"/>
  <c r="BB976" i="15" s="1"/>
  <c r="BY238" i="15"/>
  <c r="BX238" i="15"/>
  <c r="BZ238" i="15" s="1"/>
  <c r="BI730" i="15"/>
  <c r="BH730" i="15"/>
  <c r="BJ730" i="15" s="1"/>
  <c r="BU361" i="15"/>
  <c r="BT361" i="15"/>
  <c r="BV361" i="15" s="1"/>
  <c r="CC115" i="15"/>
  <c r="CB115" i="15"/>
  <c r="CD115" i="15" s="1"/>
  <c r="CL113" i="15"/>
  <c r="CK113" i="15"/>
  <c r="CM113" i="15" s="1"/>
  <c r="BU362" i="15" l="1"/>
  <c r="BT362" i="15"/>
  <c r="BV362" i="15" s="1"/>
  <c r="BY239" i="15"/>
  <c r="BX239" i="15"/>
  <c r="BZ239" i="15" s="1"/>
  <c r="BE854" i="15"/>
  <c r="BD854" i="15"/>
  <c r="BF854" i="15" s="1"/>
  <c r="BM608" i="15"/>
  <c r="BL608" i="15"/>
  <c r="BN608" i="15" s="1"/>
  <c r="CH115" i="15"/>
  <c r="CG115" i="15"/>
  <c r="CI115" i="15" s="1"/>
  <c r="CL114" i="15"/>
  <c r="CK114" i="15"/>
  <c r="CM114" i="15" s="1"/>
  <c r="CC116" i="15"/>
  <c r="CB116" i="15"/>
  <c r="CD116" i="15" s="1"/>
  <c r="BI731" i="15"/>
  <c r="BH731" i="15"/>
  <c r="BJ731" i="15" s="1"/>
  <c r="BA977" i="15"/>
  <c r="AZ977" i="15"/>
  <c r="BB977" i="15" s="1"/>
  <c r="BQ485" i="15"/>
  <c r="BP485" i="15"/>
  <c r="BR485" i="15" s="1"/>
  <c r="BA978" i="15" l="1"/>
  <c r="AZ978" i="15"/>
  <c r="BB978" i="15" s="1"/>
  <c r="CC117" i="15"/>
  <c r="CB117" i="15"/>
  <c r="CD117" i="15" s="1"/>
  <c r="CL115" i="15"/>
  <c r="CK115" i="15"/>
  <c r="CM115" i="15" s="1"/>
  <c r="BM609" i="15"/>
  <c r="BL609" i="15"/>
  <c r="BN609" i="15" s="1"/>
  <c r="BE855" i="15"/>
  <c r="BD855" i="15"/>
  <c r="BF855" i="15" s="1"/>
  <c r="BU363" i="15"/>
  <c r="BT363" i="15"/>
  <c r="BV363" i="15" s="1"/>
  <c r="BQ486" i="15"/>
  <c r="BP486" i="15"/>
  <c r="BR486" i="15" s="1"/>
  <c r="BI732" i="15"/>
  <c r="BH732" i="15"/>
  <c r="BJ732" i="15" s="1"/>
  <c r="CH116" i="15"/>
  <c r="CG116" i="15"/>
  <c r="CI116" i="15" s="1"/>
  <c r="BY240" i="15"/>
  <c r="BX240" i="15"/>
  <c r="BZ240" i="15" s="1"/>
  <c r="BY241" i="15" l="1"/>
  <c r="BX241" i="15"/>
  <c r="BZ241" i="15" s="1"/>
  <c r="BI733" i="15"/>
  <c r="BH733" i="15"/>
  <c r="BJ733" i="15" s="1"/>
  <c r="BU364" i="15"/>
  <c r="BT364" i="15"/>
  <c r="BV364" i="15" s="1"/>
  <c r="BM610" i="15"/>
  <c r="BL610" i="15"/>
  <c r="BN610" i="15" s="1"/>
  <c r="CL116" i="15"/>
  <c r="CK116" i="15"/>
  <c r="CM116" i="15" s="1"/>
  <c r="BA979" i="15"/>
  <c r="AZ979" i="15"/>
  <c r="BB979" i="15" s="1"/>
  <c r="CH117" i="15"/>
  <c r="CG117" i="15"/>
  <c r="CI117" i="15" s="1"/>
  <c r="BQ487" i="15"/>
  <c r="BP487" i="15"/>
  <c r="BR487" i="15" s="1"/>
  <c r="BE856" i="15"/>
  <c r="BD856" i="15"/>
  <c r="BF856" i="15" s="1"/>
  <c r="CC118" i="15"/>
  <c r="CB118" i="15"/>
  <c r="CD118" i="15" s="1"/>
  <c r="CC119" i="15" l="1"/>
  <c r="CB119" i="15"/>
  <c r="CD119" i="15" s="1"/>
  <c r="BQ488" i="15"/>
  <c r="BP488" i="15"/>
  <c r="BR488" i="15" s="1"/>
  <c r="BA980" i="15"/>
  <c r="AZ980" i="15"/>
  <c r="BB980" i="15" s="1"/>
  <c r="BM611" i="15"/>
  <c r="BL611" i="15"/>
  <c r="BN611" i="15" s="1"/>
  <c r="BU365" i="15"/>
  <c r="BT365" i="15"/>
  <c r="BV365" i="15" s="1"/>
  <c r="BY242" i="15"/>
  <c r="BX242" i="15"/>
  <c r="BZ242" i="15" s="1"/>
  <c r="BE857" i="15"/>
  <c r="BD857" i="15"/>
  <c r="BF857" i="15" s="1"/>
  <c r="CH118" i="15"/>
  <c r="CG118" i="15"/>
  <c r="CI118" i="15" s="1"/>
  <c r="CL117" i="15"/>
  <c r="CK117" i="15"/>
  <c r="CM117" i="15" s="1"/>
  <c r="BI734" i="15"/>
  <c r="BH734" i="15"/>
  <c r="BJ734" i="15" s="1"/>
  <c r="BI735" i="15" l="1"/>
  <c r="BH735" i="15"/>
  <c r="BJ735" i="15" s="1"/>
  <c r="CH119" i="15"/>
  <c r="CG119" i="15"/>
  <c r="CI119" i="15" s="1"/>
  <c r="BY243" i="15"/>
  <c r="BX243" i="15"/>
  <c r="BZ243" i="15" s="1"/>
  <c r="BM612" i="15"/>
  <c r="BL612" i="15"/>
  <c r="BN612" i="15" s="1"/>
  <c r="BA981" i="15"/>
  <c r="AZ981" i="15"/>
  <c r="BB981" i="15" s="1"/>
  <c r="CC120" i="15"/>
  <c r="CB120" i="15"/>
  <c r="CD120" i="15" s="1"/>
  <c r="CL118" i="15"/>
  <c r="CK118" i="15"/>
  <c r="CM118" i="15" s="1"/>
  <c r="BE858" i="15"/>
  <c r="BD858" i="15"/>
  <c r="BF858" i="15" s="1"/>
  <c r="BU366" i="15"/>
  <c r="BT366" i="15"/>
  <c r="BV366" i="15" s="1"/>
  <c r="BQ489" i="15"/>
  <c r="BP489" i="15"/>
  <c r="BR489" i="15" s="1"/>
  <c r="BQ490" i="15" l="1"/>
  <c r="BP490" i="15"/>
  <c r="BR490" i="15" s="1"/>
  <c r="BE859" i="15"/>
  <c r="BD859" i="15"/>
  <c r="BF859" i="15" s="1"/>
  <c r="CC121" i="15"/>
  <c r="CB121" i="15"/>
  <c r="CD121" i="15" s="1"/>
  <c r="BM613" i="15"/>
  <c r="BL613" i="15"/>
  <c r="BN613" i="15" s="1"/>
  <c r="BY244" i="15"/>
  <c r="BX244" i="15"/>
  <c r="BZ244" i="15" s="1"/>
  <c r="BI736" i="15"/>
  <c r="BH736" i="15"/>
  <c r="BJ736" i="15" s="1"/>
  <c r="BU367" i="15"/>
  <c r="BT367" i="15"/>
  <c r="BV367" i="15" s="1"/>
  <c r="CL119" i="15"/>
  <c r="CK119" i="15"/>
  <c r="CM119" i="15" s="1"/>
  <c r="BA982" i="15"/>
  <c r="AZ982" i="15"/>
  <c r="BB982" i="15" s="1"/>
  <c r="CH120" i="15"/>
  <c r="CG120" i="15"/>
  <c r="CI120" i="15" s="1"/>
  <c r="BA983" i="15" l="1"/>
  <c r="AZ983" i="15"/>
  <c r="BB983" i="15" s="1"/>
  <c r="BU368" i="15"/>
  <c r="BT368" i="15"/>
  <c r="BV368" i="15" s="1"/>
  <c r="BI737" i="15"/>
  <c r="BH737" i="15"/>
  <c r="BJ737" i="15" s="1"/>
  <c r="BM614" i="15"/>
  <c r="BL614" i="15"/>
  <c r="BN614" i="15" s="1"/>
  <c r="CC122" i="15"/>
  <c r="CB122" i="15"/>
  <c r="CD122" i="15" s="1"/>
  <c r="BQ491" i="15"/>
  <c r="BP491" i="15"/>
  <c r="BR491" i="15" s="1"/>
  <c r="CH121" i="15"/>
  <c r="CG121" i="15"/>
  <c r="CI121" i="15" s="1"/>
  <c r="CL120" i="15"/>
  <c r="CK120" i="15"/>
  <c r="CM120" i="15" s="1"/>
  <c r="BY245" i="15"/>
  <c r="BX245" i="15"/>
  <c r="BZ245" i="15" s="1"/>
  <c r="BE860" i="15"/>
  <c r="BD860" i="15"/>
  <c r="BF860" i="15" s="1"/>
  <c r="BY246" i="15" l="1"/>
  <c r="BX246" i="15"/>
  <c r="BZ246" i="15" s="1"/>
  <c r="CH122" i="15"/>
  <c r="CG122" i="15"/>
  <c r="CI122" i="15" s="1"/>
  <c r="CC123" i="15"/>
  <c r="CB123" i="15"/>
  <c r="CD123" i="15" s="1"/>
  <c r="BI738" i="15"/>
  <c r="BH738" i="15"/>
  <c r="BJ738" i="15" s="1"/>
  <c r="BA984" i="15"/>
  <c r="AZ984" i="15"/>
  <c r="BB984" i="15" s="1"/>
  <c r="BE861" i="15"/>
  <c r="BD861" i="15"/>
  <c r="BF861" i="15" s="1"/>
  <c r="CL121" i="15"/>
  <c r="CK121" i="15"/>
  <c r="CM121" i="15" s="1"/>
  <c r="BQ492" i="15"/>
  <c r="BP492" i="15"/>
  <c r="BR492" i="15" s="1"/>
  <c r="BM615" i="15"/>
  <c r="BL615" i="15"/>
  <c r="BN615" i="15" s="1"/>
  <c r="BU369" i="15"/>
  <c r="BT369" i="15"/>
  <c r="BV369" i="15" s="1"/>
  <c r="BU370" i="15" l="1"/>
  <c r="BT370" i="15"/>
  <c r="BV370" i="15" s="1"/>
  <c r="BQ493" i="15"/>
  <c r="BP493" i="15"/>
  <c r="BR493" i="15" s="1"/>
  <c r="BE862" i="15"/>
  <c r="BD862" i="15"/>
  <c r="BF862" i="15" s="1"/>
  <c r="BI739" i="15"/>
  <c r="BH739" i="15"/>
  <c r="BJ739" i="15" s="1"/>
  <c r="CC124" i="15"/>
  <c r="CB124" i="15"/>
  <c r="CD124" i="15" s="1"/>
  <c r="BY247" i="15"/>
  <c r="BX247" i="15"/>
  <c r="BZ247" i="15" s="1"/>
  <c r="BM616" i="15"/>
  <c r="BL616" i="15"/>
  <c r="BN616" i="15" s="1"/>
  <c r="CL122" i="15"/>
  <c r="CK122" i="15"/>
  <c r="CM122" i="15" s="1"/>
  <c r="BA985" i="15"/>
  <c r="AZ985" i="15"/>
  <c r="BB985" i="15" s="1"/>
  <c r="CH123" i="15"/>
  <c r="CG123" i="15"/>
  <c r="CI123" i="15" s="1"/>
  <c r="BA986" i="15" l="1"/>
  <c r="AZ986" i="15"/>
  <c r="BB986" i="15" s="1"/>
  <c r="BM617" i="15"/>
  <c r="BL617" i="15"/>
  <c r="BN617" i="15" s="1"/>
  <c r="CC125" i="15"/>
  <c r="CB125" i="15"/>
  <c r="CD125" i="15" s="1"/>
  <c r="BE863" i="15"/>
  <c r="BD863" i="15"/>
  <c r="BF863" i="15" s="1"/>
  <c r="BU371" i="15"/>
  <c r="BT371" i="15"/>
  <c r="BV371" i="15" s="1"/>
  <c r="CH124" i="15"/>
  <c r="CG124" i="15"/>
  <c r="CI124" i="15" s="1"/>
  <c r="CL123" i="15"/>
  <c r="CK123" i="15"/>
  <c r="CM123" i="15" s="1"/>
  <c r="BY248" i="15"/>
  <c r="BX248" i="15"/>
  <c r="BZ248" i="15" s="1"/>
  <c r="BI740" i="15"/>
  <c r="BH740" i="15"/>
  <c r="BJ740" i="15" s="1"/>
  <c r="BQ494" i="15"/>
  <c r="BP494" i="15"/>
  <c r="BR494" i="15" s="1"/>
  <c r="BY249" i="15" l="1"/>
  <c r="BX249" i="15"/>
  <c r="BZ249" i="15" s="1"/>
  <c r="CH125" i="15"/>
  <c r="CG125" i="15"/>
  <c r="CI125" i="15" s="1"/>
  <c r="BE864" i="15"/>
  <c r="BD864" i="15"/>
  <c r="BF864" i="15" s="1"/>
  <c r="CC126" i="15"/>
  <c r="CB126" i="15"/>
  <c r="CD126" i="15" s="1"/>
  <c r="BA987" i="15"/>
  <c r="AZ987" i="15"/>
  <c r="BB987" i="15" s="1"/>
  <c r="BQ495" i="15"/>
  <c r="BP495" i="15"/>
  <c r="BR495" i="15" s="1"/>
  <c r="BI741" i="15"/>
  <c r="BH741" i="15"/>
  <c r="BJ741" i="15" s="1"/>
  <c r="CL124" i="15"/>
  <c r="CK124" i="15"/>
  <c r="CM124" i="15" s="1"/>
  <c r="BU372" i="15"/>
  <c r="BT372" i="15"/>
  <c r="BV372" i="15" s="1"/>
  <c r="BM618" i="15"/>
  <c r="BL618" i="15"/>
  <c r="BN618" i="15" s="1"/>
  <c r="BM619" i="15" l="1"/>
  <c r="BL619" i="15"/>
  <c r="BN619" i="15" s="1"/>
  <c r="CL125" i="15"/>
  <c r="CK125" i="15"/>
  <c r="CM125" i="15" s="1"/>
  <c r="BQ496" i="15"/>
  <c r="BP496" i="15"/>
  <c r="BR496" i="15" s="1"/>
  <c r="CC127" i="15"/>
  <c r="CB127" i="15"/>
  <c r="CD127" i="15" s="1"/>
  <c r="BE865" i="15"/>
  <c r="BD865" i="15"/>
  <c r="BF865" i="15" s="1"/>
  <c r="BY250" i="15"/>
  <c r="BX250" i="15"/>
  <c r="BZ250" i="15" s="1"/>
  <c r="BU373" i="15"/>
  <c r="BT373" i="15"/>
  <c r="BV373" i="15" s="1"/>
  <c r="BI742" i="15"/>
  <c r="BH742" i="15"/>
  <c r="BJ742" i="15" s="1"/>
  <c r="BA988" i="15"/>
  <c r="AZ988" i="15"/>
  <c r="BB988" i="15" s="1"/>
  <c r="CH126" i="15"/>
  <c r="CG126" i="15"/>
  <c r="CI126" i="15" s="1"/>
  <c r="BA989" i="15" l="1"/>
  <c r="AZ989" i="15"/>
  <c r="BB989" i="15" s="1"/>
  <c r="BU374" i="15"/>
  <c r="BT374" i="15"/>
  <c r="BV374" i="15" s="1"/>
  <c r="BE866" i="15"/>
  <c r="BD866" i="15"/>
  <c r="BF866" i="15" s="1"/>
  <c r="BQ497" i="15"/>
  <c r="BP497" i="15"/>
  <c r="BR497" i="15" s="1"/>
  <c r="BM620" i="15"/>
  <c r="BL620" i="15"/>
  <c r="BN620" i="15" s="1"/>
  <c r="CH127" i="15"/>
  <c r="CG127" i="15"/>
  <c r="CI127" i="15" s="1"/>
  <c r="BI743" i="15"/>
  <c r="BH743" i="15"/>
  <c r="BJ743" i="15" s="1"/>
  <c r="BY251" i="15"/>
  <c r="BX251" i="15"/>
  <c r="BZ251" i="15" s="1"/>
  <c r="CC128" i="15"/>
  <c r="CB128" i="15"/>
  <c r="CD128" i="15" s="1"/>
  <c r="CL126" i="15"/>
  <c r="CK126" i="15"/>
  <c r="CM126" i="15" s="1"/>
  <c r="BY252" i="15" l="1"/>
  <c r="BX252" i="15"/>
  <c r="BZ252" i="15" s="1"/>
  <c r="CH128" i="15"/>
  <c r="CG128" i="15"/>
  <c r="CI128" i="15" s="1"/>
  <c r="BQ498" i="15"/>
  <c r="BP498" i="15"/>
  <c r="BR498" i="15" s="1"/>
  <c r="BE867" i="15"/>
  <c r="BD867" i="15"/>
  <c r="BF867" i="15" s="1"/>
  <c r="BA990" i="15"/>
  <c r="AZ990" i="15"/>
  <c r="BB990" i="15" s="1"/>
  <c r="CL127" i="15"/>
  <c r="CK127" i="15"/>
  <c r="CM127" i="15" s="1"/>
  <c r="CC129" i="15"/>
  <c r="CB129" i="15"/>
  <c r="CD129" i="15" s="1"/>
  <c r="BI744" i="15"/>
  <c r="BH744" i="15"/>
  <c r="BJ744" i="15" s="1"/>
  <c r="BM621" i="15"/>
  <c r="BL621" i="15"/>
  <c r="BN621" i="15" s="1"/>
  <c r="BU375" i="15"/>
  <c r="BT375" i="15"/>
  <c r="BV375" i="15" s="1"/>
  <c r="BM622" i="15" l="1"/>
  <c r="BL622" i="15"/>
  <c r="BN622" i="15" s="1"/>
  <c r="CC130" i="15"/>
  <c r="CB130" i="15"/>
  <c r="CD130" i="15" s="1"/>
  <c r="BA991" i="15"/>
  <c r="AZ991" i="15"/>
  <c r="BB991" i="15" s="1"/>
  <c r="BE868" i="15"/>
  <c r="BD868" i="15"/>
  <c r="BF868" i="15" s="1"/>
  <c r="BQ499" i="15"/>
  <c r="BP499" i="15"/>
  <c r="BR499" i="15" s="1"/>
  <c r="BY253" i="15"/>
  <c r="BX253" i="15"/>
  <c r="BZ253" i="15" s="1"/>
  <c r="BU376" i="15"/>
  <c r="BT376" i="15"/>
  <c r="BV376" i="15" s="1"/>
  <c r="BI745" i="15"/>
  <c r="BH745" i="15"/>
  <c r="BJ745" i="15" s="1"/>
  <c r="CL128" i="15"/>
  <c r="CK128" i="15"/>
  <c r="CM128" i="15" s="1"/>
  <c r="CH129" i="15"/>
  <c r="CG129" i="15"/>
  <c r="CI129" i="15" s="1"/>
  <c r="BI746" i="15" l="1"/>
  <c r="BH746" i="15"/>
  <c r="BJ746" i="15" s="1"/>
  <c r="BY254" i="15"/>
  <c r="BX254" i="15"/>
  <c r="BZ254" i="15" s="1"/>
  <c r="BE869" i="15"/>
  <c r="BD869" i="15"/>
  <c r="BF869" i="15" s="1"/>
  <c r="BA992" i="15"/>
  <c r="AZ992" i="15"/>
  <c r="BB992" i="15" s="1"/>
  <c r="BM623" i="15"/>
  <c r="BL623" i="15"/>
  <c r="BN623" i="15" s="1"/>
  <c r="CH130" i="15"/>
  <c r="CG130" i="15"/>
  <c r="CI130" i="15" s="1"/>
  <c r="CL129" i="15"/>
  <c r="CK129" i="15"/>
  <c r="CM129" i="15" s="1"/>
  <c r="BU377" i="15"/>
  <c r="BT377" i="15"/>
  <c r="BV377" i="15" s="1"/>
  <c r="BQ500" i="15"/>
  <c r="BP500" i="15"/>
  <c r="BR500" i="15" s="1"/>
  <c r="CC131" i="15"/>
  <c r="CB131" i="15"/>
  <c r="CD131" i="15" s="1"/>
  <c r="BQ501" i="15" l="1"/>
  <c r="BP501" i="15"/>
  <c r="BR501" i="15" s="1"/>
  <c r="CL130" i="15"/>
  <c r="CK130" i="15"/>
  <c r="CM130" i="15" s="1"/>
  <c r="CH131" i="15"/>
  <c r="CG131" i="15"/>
  <c r="CI131" i="15" s="1"/>
  <c r="BA993" i="15"/>
  <c r="AZ993" i="15"/>
  <c r="BB993" i="15" s="1"/>
  <c r="BE870" i="15"/>
  <c r="BD870" i="15"/>
  <c r="BF870" i="15" s="1"/>
  <c r="BI747" i="15"/>
  <c r="BH747" i="15"/>
  <c r="BJ747" i="15" s="1"/>
  <c r="CC132" i="15"/>
  <c r="CB132" i="15"/>
  <c r="CD132" i="15" s="1"/>
  <c r="BU378" i="15"/>
  <c r="BT378" i="15"/>
  <c r="BV378" i="15" s="1"/>
  <c r="BM624" i="15"/>
  <c r="BL624" i="15"/>
  <c r="BN624" i="15" s="1"/>
  <c r="BY255" i="15"/>
  <c r="BX255" i="15"/>
  <c r="BZ255" i="15" s="1"/>
  <c r="BY256" i="15" l="1"/>
  <c r="BX256" i="15"/>
  <c r="BZ256" i="15" s="1"/>
  <c r="BU379" i="15"/>
  <c r="BT379" i="15"/>
  <c r="BV379" i="15" s="1"/>
  <c r="BI748" i="15"/>
  <c r="BH748" i="15"/>
  <c r="BJ748" i="15" s="1"/>
  <c r="BA994" i="15"/>
  <c r="AZ994" i="15"/>
  <c r="BB994" i="15" s="1"/>
  <c r="CH132" i="15"/>
  <c r="CG132" i="15"/>
  <c r="CI132" i="15" s="1"/>
  <c r="BQ502" i="15"/>
  <c r="BP502" i="15"/>
  <c r="BR502" i="15" s="1"/>
  <c r="BM625" i="15"/>
  <c r="BL625" i="15"/>
  <c r="BN625" i="15" s="1"/>
  <c r="CC133" i="15"/>
  <c r="CB133" i="15"/>
  <c r="CD133" i="15" s="1"/>
  <c r="BE871" i="15"/>
  <c r="BD871" i="15"/>
  <c r="BF871" i="15" s="1"/>
  <c r="CL131" i="15"/>
  <c r="CK131" i="15"/>
  <c r="CM131" i="15" s="1"/>
  <c r="BE872" i="15" l="1"/>
  <c r="BD872" i="15"/>
  <c r="BF872" i="15" s="1"/>
  <c r="BM626" i="15"/>
  <c r="BL626" i="15"/>
  <c r="BN626" i="15" s="1"/>
  <c r="CH133" i="15"/>
  <c r="CG133" i="15"/>
  <c r="CI133" i="15" s="1"/>
  <c r="BI749" i="15"/>
  <c r="BH749" i="15"/>
  <c r="BJ749" i="15" s="1"/>
  <c r="BY257" i="15"/>
  <c r="BX257" i="15"/>
  <c r="BZ257" i="15" s="1"/>
  <c r="CL132" i="15"/>
  <c r="CK132" i="15"/>
  <c r="CM132" i="15" s="1"/>
  <c r="CC134" i="15"/>
  <c r="CB134" i="15"/>
  <c r="CD134" i="15" s="1"/>
  <c r="BQ503" i="15"/>
  <c r="BP503" i="15"/>
  <c r="BR503" i="15" s="1"/>
  <c r="BA995" i="15"/>
  <c r="AZ995" i="15"/>
  <c r="BB995" i="15" s="1"/>
  <c r="BU380" i="15"/>
  <c r="BT380" i="15"/>
  <c r="BV380" i="15" s="1"/>
  <c r="BU381" i="15" l="1"/>
  <c r="BT381" i="15"/>
  <c r="BV381" i="15" s="1"/>
  <c r="BQ504" i="15"/>
  <c r="BP504" i="15"/>
  <c r="BR504" i="15" s="1"/>
  <c r="CL133" i="15"/>
  <c r="CK133" i="15"/>
  <c r="CM133" i="15" s="1"/>
  <c r="BI750" i="15"/>
  <c r="BH750" i="15"/>
  <c r="BJ750" i="15" s="1"/>
  <c r="CH134" i="15"/>
  <c r="CG134" i="15"/>
  <c r="CI134" i="15" s="1"/>
  <c r="BE873" i="15"/>
  <c r="BD873" i="15"/>
  <c r="BF873" i="15" s="1"/>
  <c r="BA996" i="15"/>
  <c r="AZ996" i="15"/>
  <c r="BB996" i="15" s="1"/>
  <c r="CC135" i="15"/>
  <c r="CB135" i="15"/>
  <c r="CD135" i="15" s="1"/>
  <c r="BY258" i="15"/>
  <c r="BX258" i="15"/>
  <c r="BZ258" i="15" s="1"/>
  <c r="BM627" i="15"/>
  <c r="BL627" i="15"/>
  <c r="BN627" i="15" s="1"/>
  <c r="BY259" i="15" l="1"/>
  <c r="BX259" i="15"/>
  <c r="BZ259" i="15" s="1"/>
  <c r="BA997" i="15"/>
  <c r="AZ997" i="15"/>
  <c r="BB997" i="15" s="1"/>
  <c r="BE874" i="15"/>
  <c r="BD874" i="15"/>
  <c r="BF874" i="15" s="1"/>
  <c r="BI751" i="15"/>
  <c r="BH751" i="15"/>
  <c r="BJ751" i="15" s="1"/>
  <c r="CL134" i="15"/>
  <c r="CK134" i="15"/>
  <c r="CM134" i="15" s="1"/>
  <c r="BU382" i="15"/>
  <c r="BT382" i="15"/>
  <c r="BV382" i="15" s="1"/>
  <c r="BM628" i="15"/>
  <c r="BL628" i="15"/>
  <c r="BN628" i="15" s="1"/>
  <c r="CC136" i="15"/>
  <c r="CB136" i="15"/>
  <c r="CD136" i="15" s="1"/>
  <c r="CH135" i="15"/>
  <c r="CG135" i="15"/>
  <c r="CI135" i="15" s="1"/>
  <c r="BQ505" i="15"/>
  <c r="BP505" i="15"/>
  <c r="BR505" i="15" s="1"/>
  <c r="CH136" i="15" l="1"/>
  <c r="CG136" i="15"/>
  <c r="CI136" i="15" s="1"/>
  <c r="BM629" i="15"/>
  <c r="BL629" i="15"/>
  <c r="BN629" i="15" s="1"/>
  <c r="BU383" i="15"/>
  <c r="BT383" i="15"/>
  <c r="BV383" i="15" s="1"/>
  <c r="BI752" i="15"/>
  <c r="BH752" i="15"/>
  <c r="BJ752" i="15" s="1"/>
  <c r="BE875" i="15"/>
  <c r="BD875" i="15"/>
  <c r="BF875" i="15" s="1"/>
  <c r="BY260" i="15"/>
  <c r="BX260" i="15"/>
  <c r="BZ260" i="15" s="1"/>
  <c r="BQ506" i="15"/>
  <c r="BP506" i="15"/>
  <c r="BR506" i="15" s="1"/>
  <c r="CC137" i="15"/>
  <c r="CB137" i="15"/>
  <c r="CD137" i="15" s="1"/>
  <c r="CL135" i="15"/>
  <c r="CK135" i="15"/>
  <c r="CM135" i="15" s="1"/>
  <c r="BA998" i="15"/>
  <c r="AZ998" i="15"/>
  <c r="BB998" i="15" s="1"/>
  <c r="CL136" i="15" l="1"/>
  <c r="CK136" i="15"/>
  <c r="CM136" i="15" s="1"/>
  <c r="BQ507" i="15"/>
  <c r="BP507" i="15"/>
  <c r="BR507" i="15" s="1"/>
  <c r="BE876" i="15"/>
  <c r="BD876" i="15"/>
  <c r="BF876" i="15" s="1"/>
  <c r="BI753" i="15"/>
  <c r="BH753" i="15"/>
  <c r="BJ753" i="15" s="1"/>
  <c r="BU384" i="15"/>
  <c r="BT384" i="15"/>
  <c r="BV384" i="15" s="1"/>
  <c r="CH137" i="15"/>
  <c r="CG137" i="15"/>
  <c r="CI137" i="15" s="1"/>
  <c r="BA999" i="15"/>
  <c r="AZ999" i="15"/>
  <c r="BB999" i="15" s="1"/>
  <c r="CC138" i="15"/>
  <c r="CB138" i="15"/>
  <c r="CD138" i="15" s="1"/>
  <c r="BY261" i="15"/>
  <c r="BX261" i="15"/>
  <c r="BZ261" i="15" s="1"/>
  <c r="BM630" i="15"/>
  <c r="BL630" i="15"/>
  <c r="BN630" i="15" s="1"/>
  <c r="BY262" i="15" l="1"/>
  <c r="BX262" i="15"/>
  <c r="BZ262" i="15" s="1"/>
  <c r="BA1000" i="15"/>
  <c r="AZ1000" i="15"/>
  <c r="BB1000" i="15" s="1"/>
  <c r="BU385" i="15"/>
  <c r="BT385" i="15"/>
  <c r="BV385" i="15" s="1"/>
  <c r="BI754" i="15"/>
  <c r="BH754" i="15"/>
  <c r="BJ754" i="15" s="1"/>
  <c r="BE877" i="15"/>
  <c r="BD877" i="15"/>
  <c r="BF877" i="15" s="1"/>
  <c r="CL137" i="15"/>
  <c r="CK137" i="15"/>
  <c r="CM137" i="15" s="1"/>
  <c r="BM631" i="15"/>
  <c r="BL631" i="15"/>
  <c r="BN631" i="15" s="1"/>
  <c r="CC139" i="15"/>
  <c r="CB139" i="15"/>
  <c r="CD139" i="15" s="1"/>
  <c r="CH138" i="15"/>
  <c r="CG138" i="15"/>
  <c r="CI138" i="15" s="1"/>
  <c r="BQ508" i="15"/>
  <c r="BP508" i="15"/>
  <c r="BR508" i="15" s="1"/>
  <c r="BQ509" i="15" l="1"/>
  <c r="BP509" i="15"/>
  <c r="BR509" i="15" s="1"/>
  <c r="CH139" i="15"/>
  <c r="CG139" i="15"/>
  <c r="CI139" i="15" s="1"/>
  <c r="CC140" i="15"/>
  <c r="CB140" i="15"/>
  <c r="CD140" i="15" s="1"/>
  <c r="BM632" i="15"/>
  <c r="BL632" i="15"/>
  <c r="BN632" i="15" s="1"/>
  <c r="BY263" i="15"/>
  <c r="BX263" i="15"/>
  <c r="BZ263" i="15" s="1"/>
  <c r="CL138" i="15"/>
  <c r="CK138" i="15"/>
  <c r="CM138" i="15" s="1"/>
  <c r="BE878" i="15"/>
  <c r="BD878" i="15"/>
  <c r="BF878" i="15" s="1"/>
  <c r="BI755" i="15"/>
  <c r="BH755" i="15"/>
  <c r="BJ755" i="15" s="1"/>
  <c r="BU386" i="15"/>
  <c r="BT386" i="15"/>
  <c r="BV386" i="15" s="1"/>
  <c r="BA1001" i="15"/>
  <c r="AZ1001" i="15"/>
  <c r="BB1001" i="15" s="1"/>
  <c r="BA1002" i="15" l="1"/>
  <c r="AZ1002" i="15"/>
  <c r="BB1002" i="15" s="1"/>
  <c r="BE879" i="15"/>
  <c r="BD879" i="15"/>
  <c r="BF879" i="15" s="1"/>
  <c r="CL139" i="15"/>
  <c r="CK139" i="15"/>
  <c r="CM139" i="15" s="1"/>
  <c r="BM633" i="15"/>
  <c r="BL633" i="15"/>
  <c r="BN633" i="15" s="1"/>
  <c r="CC141" i="15"/>
  <c r="CB141" i="15"/>
  <c r="CD141" i="15" s="1"/>
  <c r="BQ510" i="15"/>
  <c r="BP510" i="15"/>
  <c r="BR510" i="15" s="1"/>
  <c r="BU387" i="15"/>
  <c r="BT387" i="15"/>
  <c r="BV387" i="15" s="1"/>
  <c r="BI756" i="15"/>
  <c r="BH756" i="15"/>
  <c r="BJ756" i="15" s="1"/>
  <c r="BY264" i="15"/>
  <c r="BX264" i="15"/>
  <c r="BZ264" i="15" s="1"/>
  <c r="CH140" i="15"/>
  <c r="CG140" i="15"/>
  <c r="CI140" i="15" s="1"/>
  <c r="CH141" i="15" l="1"/>
  <c r="CG141" i="15"/>
  <c r="CI141" i="15" s="1"/>
  <c r="BI757" i="15"/>
  <c r="BH757" i="15"/>
  <c r="BJ757" i="15" s="1"/>
  <c r="BQ511" i="15"/>
  <c r="BP511" i="15"/>
  <c r="BR511" i="15" s="1"/>
  <c r="BM634" i="15"/>
  <c r="BL634" i="15"/>
  <c r="BN634" i="15" s="1"/>
  <c r="CL140" i="15"/>
  <c r="CK140" i="15"/>
  <c r="CM140" i="15" s="1"/>
  <c r="BA1003" i="15"/>
  <c r="AZ1003" i="15"/>
  <c r="BB1003" i="15" s="1"/>
  <c r="BY265" i="15"/>
  <c r="BX265" i="15"/>
  <c r="BZ265" i="15" s="1"/>
  <c r="BU388" i="15"/>
  <c r="BT388" i="15"/>
  <c r="BV388" i="15" s="1"/>
  <c r="CC142" i="15"/>
  <c r="CB142" i="15"/>
  <c r="CD142" i="15" s="1"/>
  <c r="BE880" i="15"/>
  <c r="BD880" i="15"/>
  <c r="BF880" i="15" s="1"/>
  <c r="CC143" i="15" l="1"/>
  <c r="CB143" i="15"/>
  <c r="CD143" i="15" s="1"/>
  <c r="BY266" i="15"/>
  <c r="BX266" i="15"/>
  <c r="BZ266" i="15" s="1"/>
  <c r="CL141" i="15"/>
  <c r="CK141" i="15"/>
  <c r="CM141" i="15" s="1"/>
  <c r="BQ512" i="15"/>
  <c r="BP512" i="15"/>
  <c r="BR512" i="15" s="1"/>
  <c r="CH142" i="15"/>
  <c r="CG142" i="15"/>
  <c r="CI142" i="15" s="1"/>
  <c r="BE881" i="15"/>
  <c r="BD881" i="15"/>
  <c r="BF881" i="15" s="1"/>
  <c r="BU389" i="15"/>
  <c r="BT389" i="15"/>
  <c r="BV389" i="15" s="1"/>
  <c r="BA1004" i="15"/>
  <c r="AZ1004" i="15"/>
  <c r="BB1004" i="15" s="1"/>
  <c r="BM635" i="15"/>
  <c r="BL635" i="15"/>
  <c r="BN635" i="15" s="1"/>
  <c r="BI758" i="15"/>
  <c r="BH758" i="15"/>
  <c r="BJ758" i="15" s="1"/>
  <c r="BM636" i="15" l="1"/>
  <c r="BL636" i="15"/>
  <c r="BN636" i="15" s="1"/>
  <c r="BU390" i="15"/>
  <c r="BT390" i="15"/>
  <c r="BV390" i="15" s="1"/>
  <c r="CH143" i="15"/>
  <c r="CG143" i="15"/>
  <c r="CI143" i="15" s="1"/>
  <c r="BQ513" i="15"/>
  <c r="BP513" i="15"/>
  <c r="BR513" i="15" s="1"/>
  <c r="CL142" i="15"/>
  <c r="CK142" i="15"/>
  <c r="CM142" i="15" s="1"/>
  <c r="CC144" i="15"/>
  <c r="CB144" i="15"/>
  <c r="CD144" i="15" s="1"/>
  <c r="BI759" i="15"/>
  <c r="BH759" i="15"/>
  <c r="BJ759" i="15" s="1"/>
  <c r="BA1005" i="15"/>
  <c r="AZ1005" i="15"/>
  <c r="BB1005" i="15" s="1"/>
  <c r="BE882" i="15"/>
  <c r="BD882" i="15"/>
  <c r="BF882" i="15" s="1"/>
  <c r="BY267" i="15"/>
  <c r="BX267" i="15"/>
  <c r="BZ267" i="15" s="1"/>
  <c r="BE883" i="15" l="1"/>
  <c r="BD883" i="15"/>
  <c r="BF883" i="15" s="1"/>
  <c r="BI760" i="15"/>
  <c r="BH760" i="15"/>
  <c r="BJ760" i="15" s="1"/>
  <c r="CC145" i="15"/>
  <c r="CB145" i="15"/>
  <c r="CD145" i="15" s="1"/>
  <c r="BQ514" i="15"/>
  <c r="BP514" i="15"/>
  <c r="BR514" i="15" s="1"/>
  <c r="CH144" i="15"/>
  <c r="CG144" i="15"/>
  <c r="CI144" i="15" s="1"/>
  <c r="BM637" i="15"/>
  <c r="BL637" i="15"/>
  <c r="BN637" i="15" s="1"/>
  <c r="BY268" i="15"/>
  <c r="BX268" i="15"/>
  <c r="BZ268" i="15" s="1"/>
  <c r="BA1006" i="15"/>
  <c r="AZ1006" i="15"/>
  <c r="BB1006" i="15" s="1"/>
  <c r="CL143" i="15"/>
  <c r="CK143" i="15"/>
  <c r="CM143" i="15" s="1"/>
  <c r="BU391" i="15"/>
  <c r="BT391" i="15"/>
  <c r="BV391" i="15" s="1"/>
  <c r="CL144" i="15" l="1"/>
  <c r="CK144" i="15"/>
  <c r="CM144" i="15" s="1"/>
  <c r="BA1007" i="15"/>
  <c r="AZ1007" i="15"/>
  <c r="BB1007" i="15" s="1"/>
  <c r="BM638" i="15"/>
  <c r="BL638" i="15"/>
  <c r="BN638" i="15" s="1"/>
  <c r="BQ515" i="15"/>
  <c r="BP515" i="15"/>
  <c r="BR515" i="15" s="1"/>
  <c r="CC146" i="15"/>
  <c r="CB146" i="15"/>
  <c r="CD146" i="15" s="1"/>
  <c r="BE884" i="15"/>
  <c r="BD884" i="15"/>
  <c r="BF884" i="15" s="1"/>
  <c r="BU392" i="15"/>
  <c r="BT392" i="15"/>
  <c r="BV392" i="15" s="1"/>
  <c r="BY269" i="15"/>
  <c r="BX269" i="15"/>
  <c r="BZ269" i="15" s="1"/>
  <c r="CH145" i="15"/>
  <c r="CG145" i="15"/>
  <c r="CI145" i="15" s="1"/>
  <c r="BI761" i="15"/>
  <c r="BH761" i="15"/>
  <c r="BJ761" i="15" s="1"/>
  <c r="BI762" i="15" l="1"/>
  <c r="BH762" i="15"/>
  <c r="BJ762" i="15" s="1"/>
  <c r="BY270" i="15"/>
  <c r="BX270" i="15"/>
  <c r="BZ270" i="15" s="1"/>
  <c r="BE885" i="15"/>
  <c r="BD885" i="15"/>
  <c r="BF885" i="15" s="1"/>
  <c r="BQ516" i="15"/>
  <c r="BP516" i="15"/>
  <c r="BR516" i="15" s="1"/>
  <c r="BM639" i="15"/>
  <c r="BL639" i="15"/>
  <c r="BN639" i="15" s="1"/>
  <c r="CL145" i="15"/>
  <c r="CK145" i="15"/>
  <c r="CM145" i="15" s="1"/>
  <c r="CH146" i="15"/>
  <c r="CG146" i="15"/>
  <c r="CI146" i="15" s="1"/>
  <c r="BU393" i="15"/>
  <c r="BT393" i="15"/>
  <c r="BV393" i="15" s="1"/>
  <c r="K22" i="15"/>
  <c r="CC147" i="15"/>
  <c r="CB147" i="15"/>
  <c r="CD147" i="15" s="1"/>
  <c r="BA1008" i="15"/>
  <c r="AZ1008" i="15"/>
  <c r="BB1008" i="15" s="1"/>
  <c r="BU394" i="15" l="1"/>
  <c r="BT394" i="15"/>
  <c r="BV394" i="15" s="1"/>
  <c r="CL146" i="15"/>
  <c r="CK146" i="15"/>
  <c r="CM146" i="15" s="1"/>
  <c r="BQ517" i="15"/>
  <c r="BP517" i="15"/>
  <c r="BR517" i="15" s="1"/>
  <c r="BE886" i="15"/>
  <c r="BD886" i="15"/>
  <c r="BF886" i="15" s="1"/>
  <c r="BY271" i="15"/>
  <c r="BX271" i="15"/>
  <c r="BZ271" i="15" s="1"/>
  <c r="BI763" i="15"/>
  <c r="BH763" i="15"/>
  <c r="BJ763" i="15" s="1"/>
  <c r="T3" i="15"/>
  <c r="CH147" i="15"/>
  <c r="CG147" i="15"/>
  <c r="CI147" i="15" s="1"/>
  <c r="BM640" i="15"/>
  <c r="BL640" i="15"/>
  <c r="BN640" i="15" s="1"/>
  <c r="BA1009" i="15"/>
  <c r="AZ1009" i="15"/>
  <c r="BB1009" i="15" s="1"/>
  <c r="CC148" i="15"/>
  <c r="CB148" i="15"/>
  <c r="CD148" i="15" s="1"/>
  <c r="E2" i="7"/>
  <c r="L22" i="15"/>
  <c r="M22" i="15"/>
  <c r="M23" i="15"/>
  <c r="L23" i="15"/>
  <c r="BI764" i="15" l="1"/>
  <c r="BH764" i="15"/>
  <c r="BJ764" i="15" s="1"/>
  <c r="BY272" i="15"/>
  <c r="BX272" i="15"/>
  <c r="BZ272" i="15" s="1"/>
  <c r="BE887" i="15"/>
  <c r="BD887" i="15"/>
  <c r="BF887" i="15" s="1"/>
  <c r="BQ518" i="15"/>
  <c r="BP518" i="15"/>
  <c r="BR518" i="15" s="1"/>
  <c r="T4" i="15"/>
  <c r="CL147" i="15"/>
  <c r="CK147" i="15"/>
  <c r="CM147" i="15" s="1"/>
  <c r="BU395" i="15"/>
  <c r="BT395" i="15"/>
  <c r="BV395" i="15" s="1"/>
  <c r="CC149" i="15"/>
  <c r="CB149" i="15"/>
  <c r="CD149" i="15" s="1"/>
  <c r="BA1010" i="15"/>
  <c r="AZ1010" i="15"/>
  <c r="BB1010" i="15" s="1"/>
  <c r="BM641" i="15"/>
  <c r="BL641" i="15"/>
  <c r="BN641" i="15" s="1"/>
  <c r="CH148" i="15"/>
  <c r="CG148" i="15"/>
  <c r="CI148" i="15" s="1"/>
  <c r="E3" i="7"/>
  <c r="C24" i="7" s="1"/>
  <c r="E5" i="7"/>
  <c r="E4" i="7"/>
  <c r="I23" i="15"/>
  <c r="C26" i="7" l="1"/>
  <c r="D28" i="7"/>
  <c r="C25" i="7"/>
  <c r="C27" i="7" s="1"/>
  <c r="J3" i="7" s="1"/>
  <c r="BY273" i="15"/>
  <c r="BX273" i="15"/>
  <c r="BZ273" i="15" s="1"/>
  <c r="BI765" i="15"/>
  <c r="BH765" i="15"/>
  <c r="BJ765" i="15" s="1"/>
  <c r="BQ519" i="15"/>
  <c r="BP519" i="15"/>
  <c r="BR519" i="15" s="1"/>
  <c r="BE888" i="15"/>
  <c r="BD888" i="15"/>
  <c r="BF888" i="15" s="1"/>
  <c r="CH149" i="15"/>
  <c r="CG149" i="15"/>
  <c r="CI149" i="15" s="1"/>
  <c r="BM642" i="15"/>
  <c r="BL642" i="15"/>
  <c r="BN642" i="15" s="1"/>
  <c r="BA1011" i="15"/>
  <c r="AZ1011" i="15"/>
  <c r="BB1011" i="15" s="1"/>
  <c r="CC150" i="15"/>
  <c r="CB150" i="15"/>
  <c r="CD150" i="15" s="1"/>
  <c r="BU396" i="15"/>
  <c r="BT396" i="15"/>
  <c r="BV396" i="15" s="1"/>
  <c r="CL148" i="15"/>
  <c r="CK148" i="15"/>
  <c r="CM148" i="15" s="1"/>
  <c r="BU397" i="15" l="1"/>
  <c r="BT397" i="15"/>
  <c r="BV397" i="15" s="1"/>
  <c r="CL149" i="15"/>
  <c r="CK149" i="15"/>
  <c r="CM149" i="15" s="1"/>
  <c r="CC151" i="15"/>
  <c r="CB151" i="15"/>
  <c r="CD151" i="15" s="1"/>
  <c r="BA1012" i="15"/>
  <c r="AZ1012" i="15"/>
  <c r="BB1012" i="15" s="1"/>
  <c r="BM643" i="15"/>
  <c r="BL643" i="15"/>
  <c r="BN643" i="15" s="1"/>
  <c r="CH150" i="15"/>
  <c r="CG150" i="15"/>
  <c r="CI150" i="15" s="1"/>
  <c r="BE889" i="15"/>
  <c r="BD889" i="15"/>
  <c r="BF889" i="15" s="1"/>
  <c r="BQ520" i="15"/>
  <c r="BP520" i="15"/>
  <c r="BR520" i="15" s="1"/>
  <c r="BI766" i="15"/>
  <c r="BH766" i="15"/>
  <c r="BJ766" i="15" s="1"/>
  <c r="BY274" i="15"/>
  <c r="BX274" i="15"/>
  <c r="BZ274" i="15" s="1"/>
  <c r="F25" i="7"/>
  <c r="K3" i="7"/>
  <c r="A25" i="18"/>
  <c r="B25" i="18" s="1"/>
  <c r="A27" i="18"/>
  <c r="B27" i="18" s="1"/>
  <c r="B1" i="18"/>
  <c r="C29" i="7"/>
  <c r="H3" i="7"/>
  <c r="B2" i="18"/>
  <c r="C28" i="7"/>
  <c r="A24" i="18"/>
  <c r="A26" i="18"/>
  <c r="B26" i="18" s="1"/>
  <c r="D26" i="7"/>
  <c r="A28" i="18" s="1"/>
  <c r="B28" i="18" s="1"/>
  <c r="BI767" i="15" l="1"/>
  <c r="BH767" i="15"/>
  <c r="BJ767" i="15" s="1"/>
  <c r="BQ521" i="15"/>
  <c r="BP521" i="15"/>
  <c r="BR521" i="15" s="1"/>
  <c r="CH151" i="15"/>
  <c r="CG151" i="15"/>
  <c r="CI151" i="15" s="1"/>
  <c r="BM644" i="15"/>
  <c r="BL644" i="15"/>
  <c r="BN644" i="15" s="1"/>
  <c r="BA1013" i="15"/>
  <c r="AZ1013" i="15"/>
  <c r="BB1013" i="15" s="1"/>
  <c r="CL150" i="15"/>
  <c r="CK150" i="15"/>
  <c r="CM150" i="15" s="1"/>
  <c r="BU398" i="15"/>
  <c r="BT398" i="15"/>
  <c r="BV398" i="15" s="1"/>
  <c r="BY275" i="15"/>
  <c r="BX275" i="15"/>
  <c r="BZ275" i="15" s="1"/>
  <c r="BE890" i="15"/>
  <c r="BD890" i="15"/>
  <c r="BF890" i="15" s="1"/>
  <c r="CC152" i="15"/>
  <c r="CB152" i="15"/>
  <c r="CD152" i="15" s="1"/>
  <c r="I3" i="7"/>
  <c r="L3" i="7" s="1"/>
  <c r="H4" i="7"/>
  <c r="I4" i="7" s="1"/>
  <c r="H6" i="7"/>
  <c r="I6" i="7" s="1"/>
  <c r="H8" i="7"/>
  <c r="I8" i="7" s="1"/>
  <c r="H10" i="7"/>
  <c r="I10" i="7" s="1"/>
  <c r="H12" i="7"/>
  <c r="I12" i="7" s="1"/>
  <c r="H14" i="7"/>
  <c r="I14" i="7" s="1"/>
  <c r="H16" i="7"/>
  <c r="I16" i="7" s="1"/>
  <c r="H18" i="7"/>
  <c r="I18" i="7" s="1"/>
  <c r="H20" i="7"/>
  <c r="I20" i="7" s="1"/>
  <c r="H22" i="7"/>
  <c r="I22" i="7" s="1"/>
  <c r="H24" i="7"/>
  <c r="I24" i="7" s="1"/>
  <c r="H26" i="7"/>
  <c r="I26" i="7" s="1"/>
  <c r="H28" i="7"/>
  <c r="I28" i="7" s="1"/>
  <c r="H30" i="7"/>
  <c r="I30" i="7" s="1"/>
  <c r="H32" i="7"/>
  <c r="I32" i="7" s="1"/>
  <c r="H34" i="7"/>
  <c r="I34" i="7" s="1"/>
  <c r="H36" i="7"/>
  <c r="I36" i="7" s="1"/>
  <c r="H38" i="7"/>
  <c r="I38" i="7" s="1"/>
  <c r="H40" i="7"/>
  <c r="I40" i="7" s="1"/>
  <c r="H42" i="7"/>
  <c r="I42" i="7" s="1"/>
  <c r="H44" i="7"/>
  <c r="I44" i="7" s="1"/>
  <c r="H46" i="7"/>
  <c r="I46" i="7" s="1"/>
  <c r="H48" i="7"/>
  <c r="I48" i="7" s="1"/>
  <c r="H50" i="7"/>
  <c r="I50" i="7" s="1"/>
  <c r="H52" i="7"/>
  <c r="I52" i="7" s="1"/>
  <c r="H54" i="7"/>
  <c r="I54" i="7" s="1"/>
  <c r="H56" i="7"/>
  <c r="I56" i="7" s="1"/>
  <c r="H58" i="7"/>
  <c r="I58" i="7" s="1"/>
  <c r="H60" i="7"/>
  <c r="I60" i="7" s="1"/>
  <c r="H62" i="7"/>
  <c r="I62" i="7" s="1"/>
  <c r="H64" i="7"/>
  <c r="H66" i="7"/>
  <c r="H68" i="7"/>
  <c r="H70" i="7"/>
  <c r="H72" i="7"/>
  <c r="H74" i="7"/>
  <c r="H5" i="7"/>
  <c r="I5" i="7" s="1"/>
  <c r="H7" i="7"/>
  <c r="I7" i="7" s="1"/>
  <c r="H9" i="7"/>
  <c r="I9" i="7" s="1"/>
  <c r="H11" i="7"/>
  <c r="I11" i="7" s="1"/>
  <c r="H13" i="7"/>
  <c r="I13" i="7" s="1"/>
  <c r="H15" i="7"/>
  <c r="H17" i="7"/>
  <c r="I17" i="7" s="1"/>
  <c r="H19" i="7"/>
  <c r="I19" i="7" s="1"/>
  <c r="H21" i="7"/>
  <c r="I21" i="7" s="1"/>
  <c r="H23" i="7"/>
  <c r="I23" i="7" s="1"/>
  <c r="H25" i="7"/>
  <c r="I25" i="7" s="1"/>
  <c r="H29" i="7"/>
  <c r="I29" i="7" s="1"/>
  <c r="H31" i="7"/>
  <c r="I31" i="7" s="1"/>
  <c r="H33" i="7"/>
  <c r="I33" i="7" s="1"/>
  <c r="H35" i="7"/>
  <c r="I35" i="7" s="1"/>
  <c r="H37" i="7"/>
  <c r="I37" i="7" s="1"/>
  <c r="H41" i="7"/>
  <c r="I41" i="7" s="1"/>
  <c r="H43" i="7"/>
  <c r="I43" i="7" s="1"/>
  <c r="H45" i="7"/>
  <c r="I45" i="7" s="1"/>
  <c r="H47" i="7"/>
  <c r="I47" i="7" s="1"/>
  <c r="H49" i="7"/>
  <c r="I49" i="7" s="1"/>
  <c r="H53" i="7"/>
  <c r="I53" i="7" s="1"/>
  <c r="H55" i="7"/>
  <c r="I55" i="7" s="1"/>
  <c r="H57" i="7"/>
  <c r="I57" i="7" s="1"/>
  <c r="H59" i="7"/>
  <c r="I59" i="7" s="1"/>
  <c r="H61" i="7"/>
  <c r="I61" i="7" s="1"/>
  <c r="H65" i="7"/>
  <c r="H67" i="7"/>
  <c r="H69" i="7"/>
  <c r="H71" i="7"/>
  <c r="H73" i="7"/>
  <c r="M4" i="7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B24" i="18"/>
  <c r="C22" i="18" s="1"/>
  <c r="C23" i="18" s="1"/>
  <c r="C21" i="18"/>
  <c r="BE891" i="15" l="1"/>
  <c r="BD891" i="15"/>
  <c r="BF891" i="15" s="1"/>
  <c r="BU399" i="15"/>
  <c r="BT399" i="15"/>
  <c r="BV399" i="15" s="1"/>
  <c r="CL151" i="15"/>
  <c r="CK151" i="15"/>
  <c r="CM151" i="15" s="1"/>
  <c r="BA1014" i="15"/>
  <c r="AZ1014" i="15"/>
  <c r="BB1014" i="15" s="1"/>
  <c r="CH152" i="15"/>
  <c r="CG152" i="15"/>
  <c r="CI152" i="15" s="1"/>
  <c r="BQ522" i="15"/>
  <c r="BP522" i="15"/>
  <c r="BR522" i="15" s="1"/>
  <c r="BI768" i="15"/>
  <c r="BH768" i="15"/>
  <c r="BJ768" i="15" s="1"/>
  <c r="CC153" i="15"/>
  <c r="CB153" i="15"/>
  <c r="CD153" i="15" s="1"/>
  <c r="BY276" i="15"/>
  <c r="BX276" i="15"/>
  <c r="BZ276" i="15" s="1"/>
  <c r="BM645" i="15"/>
  <c r="BL645" i="15"/>
  <c r="BN645" i="15" s="1"/>
  <c r="I67" i="7"/>
  <c r="H79" i="7"/>
  <c r="I73" i="7"/>
  <c r="H85" i="7"/>
  <c r="I69" i="7"/>
  <c r="H81" i="7"/>
  <c r="I65" i="7"/>
  <c r="H77" i="7"/>
  <c r="H84" i="7"/>
  <c r="I72" i="7"/>
  <c r="H80" i="7"/>
  <c r="I68" i="7"/>
  <c r="H76" i="7"/>
  <c r="I64" i="7"/>
  <c r="M16" i="7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424" i="7"/>
  <c r="M435" i="7" s="1"/>
  <c r="B7" i="18" s="1"/>
  <c r="I71" i="7"/>
  <c r="H83" i="7"/>
  <c r="I15" i="7"/>
  <c r="H27" i="7"/>
  <c r="H86" i="7"/>
  <c r="I74" i="7"/>
  <c r="H82" i="7"/>
  <c r="I70" i="7"/>
  <c r="H78" i="7"/>
  <c r="I66" i="7"/>
  <c r="J4" i="7"/>
  <c r="K4" i="7"/>
  <c r="BM646" i="15" l="1"/>
  <c r="BL646" i="15"/>
  <c r="BN646" i="15" s="1"/>
  <c r="CC154" i="15"/>
  <c r="CB154" i="15"/>
  <c r="CD154" i="15" s="1"/>
  <c r="BI769" i="15"/>
  <c r="BH769" i="15"/>
  <c r="BJ769" i="15" s="1"/>
  <c r="BQ523" i="15"/>
  <c r="BP523" i="15"/>
  <c r="BR523" i="15" s="1"/>
  <c r="BA1015" i="15"/>
  <c r="AZ1015" i="15"/>
  <c r="BB1015" i="15" s="1"/>
  <c r="CL152" i="15"/>
  <c r="CK152" i="15"/>
  <c r="CM152" i="15" s="1"/>
  <c r="BU400" i="15"/>
  <c r="BT400" i="15"/>
  <c r="BV400" i="15" s="1"/>
  <c r="BE892" i="15"/>
  <c r="BD892" i="15"/>
  <c r="BF892" i="15" s="1"/>
  <c r="BY277" i="15"/>
  <c r="BX277" i="15"/>
  <c r="BZ277" i="15" s="1"/>
  <c r="CH153" i="15"/>
  <c r="CG153" i="15"/>
  <c r="CI153" i="15" s="1"/>
  <c r="I83" i="7"/>
  <c r="H95" i="7"/>
  <c r="I77" i="7"/>
  <c r="H89" i="7"/>
  <c r="I81" i="7"/>
  <c r="H93" i="7"/>
  <c r="I85" i="7"/>
  <c r="H97" i="7"/>
  <c r="I79" i="7"/>
  <c r="H91" i="7"/>
  <c r="I27" i="7"/>
  <c r="H39" i="7"/>
  <c r="L4" i="7"/>
  <c r="H90" i="7"/>
  <c r="I78" i="7"/>
  <c r="H94" i="7"/>
  <c r="I82" i="7"/>
  <c r="H98" i="7"/>
  <c r="I86" i="7"/>
  <c r="M28" i="7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25" i="7"/>
  <c r="M436" i="7" s="1"/>
  <c r="B8" i="18" s="1"/>
  <c r="H88" i="7"/>
  <c r="I76" i="7"/>
  <c r="H92" i="7"/>
  <c r="I80" i="7"/>
  <c r="H96" i="7"/>
  <c r="I84" i="7"/>
  <c r="CH154" i="15" l="1"/>
  <c r="CG154" i="15"/>
  <c r="CI154" i="15" s="1"/>
  <c r="BE893" i="15"/>
  <c r="BD893" i="15"/>
  <c r="BF893" i="15" s="1"/>
  <c r="CL153" i="15"/>
  <c r="CK153" i="15"/>
  <c r="CM153" i="15" s="1"/>
  <c r="BA1016" i="15"/>
  <c r="AZ1016" i="15"/>
  <c r="BB1016" i="15" s="1"/>
  <c r="BQ524" i="15"/>
  <c r="BP524" i="15"/>
  <c r="BR524" i="15" s="1"/>
  <c r="CC155" i="15"/>
  <c r="CB155" i="15"/>
  <c r="CD155" i="15" s="1"/>
  <c r="BM647" i="15"/>
  <c r="BL647" i="15"/>
  <c r="BN647" i="15" s="1"/>
  <c r="BY278" i="15"/>
  <c r="BX278" i="15"/>
  <c r="BZ278" i="15" s="1"/>
  <c r="BU401" i="15"/>
  <c r="BT401" i="15"/>
  <c r="BV401" i="15" s="1"/>
  <c r="BI770" i="15"/>
  <c r="BH770" i="15"/>
  <c r="BJ770" i="15" s="1"/>
  <c r="H108" i="7"/>
  <c r="I96" i="7"/>
  <c r="H104" i="7"/>
  <c r="I92" i="7"/>
  <c r="H100" i="7"/>
  <c r="I88" i="7"/>
  <c r="M40" i="7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426" i="7"/>
  <c r="M437" i="7" s="1"/>
  <c r="B9" i="18" s="1"/>
  <c r="H110" i="7"/>
  <c r="I98" i="7"/>
  <c r="H106" i="7"/>
  <c r="I94" i="7"/>
  <c r="H102" i="7"/>
  <c r="I90" i="7"/>
  <c r="I39" i="7"/>
  <c r="H51" i="7"/>
  <c r="I91" i="7"/>
  <c r="H103" i="7"/>
  <c r="I97" i="7"/>
  <c r="H109" i="7"/>
  <c r="I93" i="7"/>
  <c r="H105" i="7"/>
  <c r="I89" i="7"/>
  <c r="H101" i="7"/>
  <c r="I95" i="7"/>
  <c r="H107" i="7"/>
  <c r="J5" i="7"/>
  <c r="L5" i="7" s="1"/>
  <c r="K5" i="7"/>
  <c r="BU402" i="15" l="1"/>
  <c r="BT402" i="15"/>
  <c r="BV402" i="15" s="1"/>
  <c r="BY279" i="15"/>
  <c r="BX279" i="15"/>
  <c r="BZ279" i="15" s="1"/>
  <c r="CC156" i="15"/>
  <c r="CB156" i="15"/>
  <c r="CD156" i="15" s="1"/>
  <c r="BQ525" i="15"/>
  <c r="BP525" i="15"/>
  <c r="BR525" i="15" s="1"/>
  <c r="CL154" i="15"/>
  <c r="CK154" i="15"/>
  <c r="CM154" i="15" s="1"/>
  <c r="BE894" i="15"/>
  <c r="BD894" i="15"/>
  <c r="BF894" i="15" s="1"/>
  <c r="CH155" i="15"/>
  <c r="CG155" i="15"/>
  <c r="CI155" i="15" s="1"/>
  <c r="BI771" i="15"/>
  <c r="BH771" i="15"/>
  <c r="BJ771" i="15" s="1"/>
  <c r="BM648" i="15"/>
  <c r="BL648" i="15"/>
  <c r="BN648" i="15" s="1"/>
  <c r="BA1017" i="15"/>
  <c r="AZ1017" i="15"/>
  <c r="BB1017" i="15" s="1"/>
  <c r="I107" i="7"/>
  <c r="H119" i="7"/>
  <c r="I101" i="7"/>
  <c r="H113" i="7"/>
  <c r="I105" i="7"/>
  <c r="H117" i="7"/>
  <c r="I109" i="7"/>
  <c r="H121" i="7"/>
  <c r="I103" i="7"/>
  <c r="H115" i="7"/>
  <c r="I51" i="7"/>
  <c r="H63" i="7"/>
  <c r="J6" i="7"/>
  <c r="L6" i="7" s="1"/>
  <c r="K6" i="7"/>
  <c r="H114" i="7"/>
  <c r="I102" i="7"/>
  <c r="H118" i="7"/>
  <c r="I106" i="7"/>
  <c r="H122" i="7"/>
  <c r="I110" i="7"/>
  <c r="M52" i="7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427" i="7"/>
  <c r="M438" i="7" s="1"/>
  <c r="B10" i="18" s="1"/>
  <c r="H112" i="7"/>
  <c r="I100" i="7"/>
  <c r="H116" i="7"/>
  <c r="I104" i="7"/>
  <c r="H120" i="7"/>
  <c r="I108" i="7"/>
  <c r="BM649" i="15" l="1"/>
  <c r="BL649" i="15"/>
  <c r="BN649" i="15" s="1"/>
  <c r="BI772" i="15"/>
  <c r="BH772" i="15"/>
  <c r="BJ772" i="15" s="1"/>
  <c r="CH156" i="15"/>
  <c r="CG156" i="15"/>
  <c r="CI156" i="15" s="1"/>
  <c r="CL155" i="15"/>
  <c r="CK155" i="15"/>
  <c r="CM155" i="15" s="1"/>
  <c r="BQ526" i="15"/>
  <c r="BP526" i="15"/>
  <c r="BR526" i="15" s="1"/>
  <c r="BY280" i="15"/>
  <c r="BX280" i="15"/>
  <c r="BZ280" i="15" s="1"/>
  <c r="BU403" i="15"/>
  <c r="BT403" i="15"/>
  <c r="BV403" i="15" s="1"/>
  <c r="BA1018" i="15"/>
  <c r="AZ1018" i="15"/>
  <c r="BB1018" i="15" s="1"/>
  <c r="BE895" i="15"/>
  <c r="BD895" i="15"/>
  <c r="BF895" i="15" s="1"/>
  <c r="CC157" i="15"/>
  <c r="CB157" i="15"/>
  <c r="CD157" i="15" s="1"/>
  <c r="H132" i="7"/>
  <c r="I120" i="7"/>
  <c r="H128" i="7"/>
  <c r="I116" i="7"/>
  <c r="H124" i="7"/>
  <c r="I112" i="7"/>
  <c r="H134" i="7"/>
  <c r="I122" i="7"/>
  <c r="I63" i="7"/>
  <c r="H75" i="7"/>
  <c r="I115" i="7"/>
  <c r="H127" i="7"/>
  <c r="I121" i="7"/>
  <c r="H133" i="7"/>
  <c r="I117" i="7"/>
  <c r="H129" i="7"/>
  <c r="I113" i="7"/>
  <c r="H125" i="7"/>
  <c r="I119" i="7"/>
  <c r="H131" i="7"/>
  <c r="M64" i="7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428" i="7"/>
  <c r="M439" i="7" s="1"/>
  <c r="B11" i="18" s="1"/>
  <c r="H130" i="7"/>
  <c r="I118" i="7"/>
  <c r="H126" i="7"/>
  <c r="I114" i="7"/>
  <c r="J7" i="7"/>
  <c r="L7" i="7" s="1"/>
  <c r="K7" i="7"/>
  <c r="BE896" i="15" l="1"/>
  <c r="BD896" i="15"/>
  <c r="BF896" i="15" s="1"/>
  <c r="BU404" i="15"/>
  <c r="BT404" i="15"/>
  <c r="BV404" i="15" s="1"/>
  <c r="BY281" i="15"/>
  <c r="BX281" i="15"/>
  <c r="BZ281" i="15" s="1"/>
  <c r="BQ527" i="15"/>
  <c r="BP527" i="15"/>
  <c r="BR527" i="15" s="1"/>
  <c r="CH157" i="15"/>
  <c r="CG157" i="15"/>
  <c r="CI157" i="15" s="1"/>
  <c r="BI773" i="15"/>
  <c r="BH773" i="15"/>
  <c r="BJ773" i="15" s="1"/>
  <c r="BM650" i="15"/>
  <c r="BL650" i="15"/>
  <c r="BN650" i="15" s="1"/>
  <c r="CC158" i="15"/>
  <c r="CB158" i="15"/>
  <c r="CD158" i="15" s="1"/>
  <c r="BA1019" i="15"/>
  <c r="AZ1019" i="15"/>
  <c r="BB1019" i="15" s="1"/>
  <c r="CL156" i="15"/>
  <c r="CK156" i="15"/>
  <c r="CM156" i="15" s="1"/>
  <c r="J8" i="7"/>
  <c r="K8" i="7"/>
  <c r="H138" i="7"/>
  <c r="I126" i="7"/>
  <c r="H142" i="7"/>
  <c r="I130" i="7"/>
  <c r="I131" i="7"/>
  <c r="H143" i="7"/>
  <c r="I125" i="7"/>
  <c r="H137" i="7"/>
  <c r="I129" i="7"/>
  <c r="H141" i="7"/>
  <c r="I133" i="7"/>
  <c r="H145" i="7"/>
  <c r="I127" i="7"/>
  <c r="H139" i="7"/>
  <c r="I75" i="7"/>
  <c r="H87" i="7"/>
  <c r="H146" i="7"/>
  <c r="I134" i="7"/>
  <c r="H136" i="7"/>
  <c r="I124" i="7"/>
  <c r="H140" i="7"/>
  <c r="I128" i="7"/>
  <c r="H144" i="7"/>
  <c r="I132" i="7"/>
  <c r="CL157" i="15" l="1"/>
  <c r="CK157" i="15"/>
  <c r="CM157" i="15" s="1"/>
  <c r="BA1020" i="15"/>
  <c r="AZ1020" i="15"/>
  <c r="BB1020" i="15" s="1"/>
  <c r="BM651" i="15"/>
  <c r="BL651" i="15"/>
  <c r="BN651" i="15" s="1"/>
  <c r="BI774" i="15"/>
  <c r="BH774" i="15"/>
  <c r="BJ774" i="15" s="1"/>
  <c r="CH158" i="15"/>
  <c r="CG158" i="15"/>
  <c r="CI158" i="15" s="1"/>
  <c r="BY282" i="15"/>
  <c r="BX282" i="15"/>
  <c r="BZ282" i="15" s="1"/>
  <c r="BU405" i="15"/>
  <c r="BT405" i="15"/>
  <c r="BV405" i="15" s="1"/>
  <c r="BE897" i="15"/>
  <c r="BD897" i="15"/>
  <c r="BF897" i="15" s="1"/>
  <c r="CC159" i="15"/>
  <c r="CB159" i="15"/>
  <c r="CD159" i="15" s="1"/>
  <c r="BQ528" i="15"/>
  <c r="BP528" i="15"/>
  <c r="BR528" i="15" s="1"/>
  <c r="H156" i="7"/>
  <c r="I144" i="7"/>
  <c r="H152" i="7"/>
  <c r="I140" i="7"/>
  <c r="H148" i="7"/>
  <c r="I136" i="7"/>
  <c r="H158" i="7"/>
  <c r="I146" i="7"/>
  <c r="I87" i="7"/>
  <c r="H99" i="7"/>
  <c r="I139" i="7"/>
  <c r="H151" i="7"/>
  <c r="I145" i="7"/>
  <c r="H157" i="7"/>
  <c r="I141" i="7"/>
  <c r="H153" i="7"/>
  <c r="I137" i="7"/>
  <c r="H149" i="7"/>
  <c r="I143" i="7"/>
  <c r="H155" i="7"/>
  <c r="M88" i="7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H154" i="7"/>
  <c r="I142" i="7"/>
  <c r="H150" i="7"/>
  <c r="I138" i="7"/>
  <c r="L8" i="7"/>
  <c r="BQ529" i="15" l="1"/>
  <c r="BP529" i="15"/>
  <c r="BR529" i="15" s="1"/>
  <c r="BE898" i="15"/>
  <c r="BD898" i="15"/>
  <c r="BF898" i="15" s="1"/>
  <c r="BU406" i="15"/>
  <c r="BT406" i="15"/>
  <c r="BV406" i="15" s="1"/>
  <c r="BY283" i="15"/>
  <c r="BX283" i="15"/>
  <c r="BZ283" i="15" s="1"/>
  <c r="BI775" i="15"/>
  <c r="BH775" i="15"/>
  <c r="BJ775" i="15" s="1"/>
  <c r="BM652" i="15"/>
  <c r="BL652" i="15"/>
  <c r="BN652" i="15" s="1"/>
  <c r="BA1021" i="15"/>
  <c r="AZ1021" i="15"/>
  <c r="BB1021" i="15" s="1"/>
  <c r="CL158" i="15"/>
  <c r="CK158" i="15"/>
  <c r="CM158" i="15" s="1"/>
  <c r="CC160" i="15"/>
  <c r="CB160" i="15"/>
  <c r="CD160" i="15" s="1"/>
  <c r="CH159" i="15"/>
  <c r="CG159" i="15"/>
  <c r="CI159" i="15" s="1"/>
  <c r="J9" i="7"/>
  <c r="K9" i="7"/>
  <c r="H162" i="7"/>
  <c r="I150" i="7"/>
  <c r="H166" i="7"/>
  <c r="I154" i="7"/>
  <c r="I155" i="7"/>
  <c r="H167" i="7"/>
  <c r="I149" i="7"/>
  <c r="H161" i="7"/>
  <c r="I153" i="7"/>
  <c r="H165" i="7"/>
  <c r="I157" i="7"/>
  <c r="H169" i="7"/>
  <c r="I151" i="7"/>
  <c r="H163" i="7"/>
  <c r="I99" i="7"/>
  <c r="H111" i="7"/>
  <c r="H170" i="7"/>
  <c r="I158" i="7"/>
  <c r="H160" i="7"/>
  <c r="I148" i="7"/>
  <c r="H164" i="7"/>
  <c r="I152" i="7"/>
  <c r="H168" i="7"/>
  <c r="I156" i="7"/>
  <c r="CH160" i="15" l="1"/>
  <c r="CG160" i="15"/>
  <c r="CI160" i="15" s="1"/>
  <c r="CL159" i="15"/>
  <c r="CK159" i="15"/>
  <c r="CM159" i="15" s="1"/>
  <c r="BM653" i="15"/>
  <c r="BL653" i="15"/>
  <c r="BN653" i="15" s="1"/>
  <c r="BI776" i="15"/>
  <c r="BH776" i="15"/>
  <c r="BJ776" i="15" s="1"/>
  <c r="BY284" i="15"/>
  <c r="BX284" i="15"/>
  <c r="BZ284" i="15" s="1"/>
  <c r="BE899" i="15"/>
  <c r="BD899" i="15"/>
  <c r="BF899" i="15" s="1"/>
  <c r="BQ530" i="15"/>
  <c r="BP530" i="15"/>
  <c r="BR530" i="15" s="1"/>
  <c r="CC161" i="15"/>
  <c r="CB161" i="15"/>
  <c r="CD161" i="15" s="1"/>
  <c r="BA1022" i="15"/>
  <c r="AZ1022" i="15"/>
  <c r="BB1022" i="15" s="1"/>
  <c r="BU407" i="15"/>
  <c r="BT407" i="15"/>
  <c r="BV407" i="15" s="1"/>
  <c r="I163" i="7"/>
  <c r="H175" i="7"/>
  <c r="I169" i="7"/>
  <c r="H181" i="7"/>
  <c r="I161" i="7"/>
  <c r="H173" i="7"/>
  <c r="H180" i="7"/>
  <c r="I168" i="7"/>
  <c r="H176" i="7"/>
  <c r="I164" i="7"/>
  <c r="H172" i="7"/>
  <c r="I160" i="7"/>
  <c r="H182" i="7"/>
  <c r="I170" i="7"/>
  <c r="H178" i="7"/>
  <c r="I166" i="7"/>
  <c r="H174" i="7"/>
  <c r="I162" i="7"/>
  <c r="L9" i="7"/>
  <c r="I111" i="7"/>
  <c r="H123" i="7"/>
  <c r="I165" i="7"/>
  <c r="H177" i="7"/>
  <c r="I167" i="7"/>
  <c r="H179" i="7"/>
  <c r="M112" i="7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CC162" i="15" l="1"/>
  <c r="CB162" i="15"/>
  <c r="CD162" i="15" s="1"/>
  <c r="BE900" i="15"/>
  <c r="BD900" i="15"/>
  <c r="BF900" i="15" s="1"/>
  <c r="BY285" i="15"/>
  <c r="BX285" i="15"/>
  <c r="BZ285" i="15" s="1"/>
  <c r="BM654" i="15"/>
  <c r="BL654" i="15"/>
  <c r="BN654" i="15" s="1"/>
  <c r="CL160" i="15"/>
  <c r="CK160" i="15"/>
  <c r="CM160" i="15" s="1"/>
  <c r="CH161" i="15"/>
  <c r="CG161" i="15"/>
  <c r="CI161" i="15" s="1"/>
  <c r="BU408" i="15"/>
  <c r="BT408" i="15"/>
  <c r="BV408" i="15" s="1"/>
  <c r="BA1023" i="15"/>
  <c r="AZ1023" i="15"/>
  <c r="BB1023" i="15" s="1"/>
  <c r="BQ531" i="15"/>
  <c r="BP531" i="15"/>
  <c r="BR531" i="15" s="1"/>
  <c r="BI777" i="15"/>
  <c r="BH777" i="15"/>
  <c r="BJ777" i="15" s="1"/>
  <c r="M124" i="7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429" i="7"/>
  <c r="M440" i="7" s="1"/>
  <c r="B12" i="18" s="1"/>
  <c r="I173" i="7"/>
  <c r="H185" i="7"/>
  <c r="I181" i="7"/>
  <c r="H193" i="7"/>
  <c r="I175" i="7"/>
  <c r="H187" i="7"/>
  <c r="I179" i="7"/>
  <c r="H191" i="7"/>
  <c r="I177" i="7"/>
  <c r="H189" i="7"/>
  <c r="I123" i="7"/>
  <c r="H135" i="7"/>
  <c r="J10" i="7"/>
  <c r="L10" i="7" s="1"/>
  <c r="K10" i="7"/>
  <c r="I174" i="7"/>
  <c r="H186" i="7"/>
  <c r="I178" i="7"/>
  <c r="H190" i="7"/>
  <c r="I182" i="7"/>
  <c r="H194" i="7"/>
  <c r="I172" i="7"/>
  <c r="H184" i="7"/>
  <c r="I176" i="7"/>
  <c r="H188" i="7"/>
  <c r="I180" i="7"/>
  <c r="H192" i="7"/>
  <c r="BQ532" i="15" l="1"/>
  <c r="BP532" i="15"/>
  <c r="BR532" i="15" s="1"/>
  <c r="BA1024" i="15"/>
  <c r="AZ1024" i="15"/>
  <c r="BB1024" i="15" s="1"/>
  <c r="CH162" i="15"/>
  <c r="CG162" i="15"/>
  <c r="CI162" i="15" s="1"/>
  <c r="CL161" i="15"/>
  <c r="CK161" i="15"/>
  <c r="CM161" i="15" s="1"/>
  <c r="BM655" i="15"/>
  <c r="BL655" i="15"/>
  <c r="BN655" i="15" s="1"/>
  <c r="BE901" i="15"/>
  <c r="BD901" i="15"/>
  <c r="BF901" i="15" s="1"/>
  <c r="CC163" i="15"/>
  <c r="CB163" i="15"/>
  <c r="CD163" i="15" s="1"/>
  <c r="BI778" i="15"/>
  <c r="BH778" i="15"/>
  <c r="BJ778" i="15" s="1"/>
  <c r="BU409" i="15"/>
  <c r="BT409" i="15"/>
  <c r="BV409" i="15" s="1"/>
  <c r="BY286" i="15"/>
  <c r="BX286" i="15"/>
  <c r="BZ286" i="15" s="1"/>
  <c r="J11" i="7"/>
  <c r="K11" i="7"/>
  <c r="I192" i="7"/>
  <c r="H204" i="7"/>
  <c r="I188" i="7"/>
  <c r="H200" i="7"/>
  <c r="I184" i="7"/>
  <c r="H196" i="7"/>
  <c r="I194" i="7"/>
  <c r="H206" i="7"/>
  <c r="I190" i="7"/>
  <c r="H202" i="7"/>
  <c r="I186" i="7"/>
  <c r="H198" i="7"/>
  <c r="I135" i="7"/>
  <c r="H147" i="7"/>
  <c r="H201" i="7"/>
  <c r="I189" i="7"/>
  <c r="H203" i="7"/>
  <c r="I191" i="7"/>
  <c r="H199" i="7"/>
  <c r="I187" i="7"/>
  <c r="H205" i="7"/>
  <c r="I193" i="7"/>
  <c r="H197" i="7"/>
  <c r="I185" i="7"/>
  <c r="M148" i="7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BU410" i="15" l="1"/>
  <c r="BT410" i="15"/>
  <c r="BV410" i="15" s="1"/>
  <c r="CC164" i="15"/>
  <c r="CB164" i="15"/>
  <c r="CD164" i="15" s="1"/>
  <c r="BE902" i="15"/>
  <c r="BD902" i="15"/>
  <c r="BF902" i="15" s="1"/>
  <c r="BM656" i="15"/>
  <c r="BL656" i="15"/>
  <c r="BN656" i="15" s="1"/>
  <c r="CH163" i="15"/>
  <c r="CG163" i="15"/>
  <c r="CI163" i="15" s="1"/>
  <c r="BA1025" i="15"/>
  <c r="AZ1025" i="15"/>
  <c r="BB1025" i="15" s="1"/>
  <c r="BQ533" i="15"/>
  <c r="BP533" i="15"/>
  <c r="BR533" i="15" s="1"/>
  <c r="BY287" i="15"/>
  <c r="BX287" i="15"/>
  <c r="BZ287" i="15" s="1"/>
  <c r="BI779" i="15"/>
  <c r="BH779" i="15"/>
  <c r="BJ779" i="15" s="1"/>
  <c r="CL162" i="15"/>
  <c r="CK162" i="15"/>
  <c r="CM162" i="15" s="1"/>
  <c r="H209" i="7"/>
  <c r="I197" i="7"/>
  <c r="I147" i="7"/>
  <c r="H159" i="7"/>
  <c r="I198" i="7"/>
  <c r="H210" i="7"/>
  <c r="I202" i="7"/>
  <c r="H214" i="7"/>
  <c r="I206" i="7"/>
  <c r="H218" i="7"/>
  <c r="I196" i="7"/>
  <c r="H208" i="7"/>
  <c r="I200" i="7"/>
  <c r="H212" i="7"/>
  <c r="I204" i="7"/>
  <c r="H216" i="7"/>
  <c r="M160" i="7"/>
  <c r="M161" i="7" s="1"/>
  <c r="M162" i="7" s="1"/>
  <c r="M163" i="7" s="1"/>
  <c r="M164" i="7" s="1"/>
  <c r="M165" i="7" s="1"/>
  <c r="M166" i="7" s="1"/>
  <c r="M167" i="7" s="1"/>
  <c r="M168" i="7" s="1"/>
  <c r="M169" i="7" s="1"/>
  <c r="M170" i="7" s="1"/>
  <c r="M171" i="7" s="1"/>
  <c r="H217" i="7"/>
  <c r="I205" i="7"/>
  <c r="H211" i="7"/>
  <c r="I199" i="7"/>
  <c r="H215" i="7"/>
  <c r="I203" i="7"/>
  <c r="H213" i="7"/>
  <c r="I201" i="7"/>
  <c r="L11" i="7"/>
  <c r="CL163" i="15" l="1"/>
  <c r="CK163" i="15"/>
  <c r="CM163" i="15" s="1"/>
  <c r="BI780" i="15"/>
  <c r="BH780" i="15"/>
  <c r="BJ780" i="15" s="1"/>
  <c r="BY288" i="15"/>
  <c r="BX288" i="15"/>
  <c r="BZ288" i="15" s="1"/>
  <c r="BQ534" i="15"/>
  <c r="BP534" i="15"/>
  <c r="BR534" i="15" s="1"/>
  <c r="BA1026" i="15"/>
  <c r="AZ1026" i="15"/>
  <c r="BB1026" i="15" s="1"/>
  <c r="CH164" i="15"/>
  <c r="CG164" i="15"/>
  <c r="CI164" i="15" s="1"/>
  <c r="BM657" i="15"/>
  <c r="BL657" i="15"/>
  <c r="BN657" i="15" s="1"/>
  <c r="BE903" i="15"/>
  <c r="BD903" i="15"/>
  <c r="BF903" i="15" s="1"/>
  <c r="CC165" i="15"/>
  <c r="CB165" i="15"/>
  <c r="CD165" i="15" s="1"/>
  <c r="BU411" i="15"/>
  <c r="BT411" i="15"/>
  <c r="BV411" i="15" s="1"/>
  <c r="J12" i="7"/>
  <c r="K12" i="7"/>
  <c r="H225" i="7"/>
  <c r="I213" i="7"/>
  <c r="H227" i="7"/>
  <c r="I215" i="7"/>
  <c r="H223" i="7"/>
  <c r="I211" i="7"/>
  <c r="H229" i="7"/>
  <c r="I217" i="7"/>
  <c r="I216" i="7"/>
  <c r="H228" i="7"/>
  <c r="I212" i="7"/>
  <c r="H224" i="7"/>
  <c r="I208" i="7"/>
  <c r="H220" i="7"/>
  <c r="I218" i="7"/>
  <c r="H230" i="7"/>
  <c r="I214" i="7"/>
  <c r="H226" i="7"/>
  <c r="I210" i="7"/>
  <c r="H222" i="7"/>
  <c r="I159" i="7"/>
  <c r="H171" i="7"/>
  <c r="H221" i="7"/>
  <c r="I209" i="7"/>
  <c r="CC166" i="15" l="1"/>
  <c r="CB166" i="15"/>
  <c r="CD166" i="15" s="1"/>
  <c r="BM658" i="15"/>
  <c r="BL658" i="15"/>
  <c r="BN658" i="15" s="1"/>
  <c r="CH165" i="15"/>
  <c r="CG165" i="15"/>
  <c r="CI165" i="15" s="1"/>
  <c r="BA1027" i="15"/>
  <c r="AZ1027" i="15"/>
  <c r="BB1027" i="15" s="1"/>
  <c r="BY289" i="15"/>
  <c r="BX289" i="15"/>
  <c r="BZ289" i="15" s="1"/>
  <c r="BI781" i="15"/>
  <c r="BH781" i="15"/>
  <c r="BJ781" i="15" s="1"/>
  <c r="CL164" i="15"/>
  <c r="CK164" i="15"/>
  <c r="CM164" i="15" s="1"/>
  <c r="BU412" i="15"/>
  <c r="BT412" i="15"/>
  <c r="BV412" i="15" s="1"/>
  <c r="BE904" i="15"/>
  <c r="BD904" i="15"/>
  <c r="BF904" i="15" s="1"/>
  <c r="BQ535" i="15"/>
  <c r="BP535" i="15"/>
  <c r="BR535" i="15" s="1"/>
  <c r="H233" i="7"/>
  <c r="I221" i="7"/>
  <c r="I222" i="7"/>
  <c r="H234" i="7"/>
  <c r="I230" i="7"/>
  <c r="H242" i="7"/>
  <c r="I224" i="7"/>
  <c r="H236" i="7"/>
  <c r="I171" i="7"/>
  <c r="H183" i="7"/>
  <c r="I226" i="7"/>
  <c r="H238" i="7"/>
  <c r="I220" i="7"/>
  <c r="H232" i="7"/>
  <c r="I228" i="7"/>
  <c r="H240" i="7"/>
  <c r="M172" i="7"/>
  <c r="M173" i="7" s="1"/>
  <c r="M174" i="7" s="1"/>
  <c r="M175" i="7" s="1"/>
  <c r="M176" i="7" s="1"/>
  <c r="M177" i="7" s="1"/>
  <c r="M178" i="7" s="1"/>
  <c r="M179" i="7" s="1"/>
  <c r="M180" i="7" s="1"/>
  <c r="M181" i="7" s="1"/>
  <c r="M182" i="7" s="1"/>
  <c r="M183" i="7" s="1"/>
  <c r="H241" i="7"/>
  <c r="I229" i="7"/>
  <c r="H235" i="7"/>
  <c r="I223" i="7"/>
  <c r="H239" i="7"/>
  <c r="I227" i="7"/>
  <c r="H237" i="7"/>
  <c r="I225" i="7"/>
  <c r="L12" i="7"/>
  <c r="BQ536" i="15" l="1"/>
  <c r="BP536" i="15"/>
  <c r="BR536" i="15" s="1"/>
  <c r="BU413" i="15"/>
  <c r="BT413" i="15"/>
  <c r="BV413" i="15" s="1"/>
  <c r="BI782" i="15"/>
  <c r="BH782" i="15"/>
  <c r="BJ782" i="15" s="1"/>
  <c r="BY290" i="15"/>
  <c r="BX290" i="15"/>
  <c r="BZ290" i="15" s="1"/>
  <c r="BM659" i="15"/>
  <c r="BL659" i="15"/>
  <c r="BN659" i="15" s="1"/>
  <c r="CC167" i="15"/>
  <c r="CB167" i="15"/>
  <c r="CD167" i="15" s="1"/>
  <c r="BE905" i="15"/>
  <c r="BD905" i="15"/>
  <c r="BF905" i="15" s="1"/>
  <c r="CL165" i="15"/>
  <c r="CK165" i="15"/>
  <c r="CM165" i="15" s="1"/>
  <c r="CH166" i="15"/>
  <c r="CG166" i="15"/>
  <c r="CI166" i="15" s="1"/>
  <c r="J13" i="7"/>
  <c r="K13" i="7"/>
  <c r="I237" i="7"/>
  <c r="H249" i="7"/>
  <c r="I239" i="7"/>
  <c r="H251" i="7"/>
  <c r="I235" i="7"/>
  <c r="H247" i="7"/>
  <c r="I241" i="7"/>
  <c r="H253" i="7"/>
  <c r="I240" i="7"/>
  <c r="H252" i="7"/>
  <c r="I232" i="7"/>
  <c r="H244" i="7"/>
  <c r="I238" i="7"/>
  <c r="H250" i="7"/>
  <c r="H195" i="7"/>
  <c r="I183" i="7"/>
  <c r="I236" i="7"/>
  <c r="H248" i="7"/>
  <c r="I242" i="7"/>
  <c r="H254" i="7"/>
  <c r="I234" i="7"/>
  <c r="H246" i="7"/>
  <c r="M184" i="7"/>
  <c r="M185" i="7" s="1"/>
  <c r="M186" i="7" s="1"/>
  <c r="M187" i="7" s="1"/>
  <c r="M188" i="7" s="1"/>
  <c r="M189" i="7" s="1"/>
  <c r="M190" i="7" s="1"/>
  <c r="M191" i="7" s="1"/>
  <c r="M192" i="7" s="1"/>
  <c r="M193" i="7" s="1"/>
  <c r="M194" i="7" s="1"/>
  <c r="M195" i="7" s="1"/>
  <c r="M196" i="7" s="1"/>
  <c r="M197" i="7" s="1"/>
  <c r="M198" i="7" s="1"/>
  <c r="M199" i="7" s="1"/>
  <c r="M200" i="7" s="1"/>
  <c r="M201" i="7" s="1"/>
  <c r="M202" i="7" s="1"/>
  <c r="M203" i="7" s="1"/>
  <c r="M204" i="7" s="1"/>
  <c r="M205" i="7" s="1"/>
  <c r="M206" i="7" s="1"/>
  <c r="M207" i="7" s="1"/>
  <c r="M430" i="7"/>
  <c r="M441" i="7" s="1"/>
  <c r="B13" i="18" s="1"/>
  <c r="I233" i="7"/>
  <c r="H245" i="7"/>
  <c r="CL166" i="15" l="1"/>
  <c r="CK166" i="15"/>
  <c r="CM166" i="15" s="1"/>
  <c r="BE906" i="15"/>
  <c r="BD906" i="15"/>
  <c r="BF906" i="15" s="1"/>
  <c r="CC168" i="15"/>
  <c r="CB168" i="15"/>
  <c r="CD168" i="15" s="1"/>
  <c r="BY291" i="15"/>
  <c r="BX291" i="15"/>
  <c r="BZ291" i="15" s="1"/>
  <c r="BI783" i="15"/>
  <c r="BH783" i="15"/>
  <c r="BJ783" i="15" s="1"/>
  <c r="BU414" i="15"/>
  <c r="BT414" i="15"/>
  <c r="BV414" i="15" s="1"/>
  <c r="BQ537" i="15"/>
  <c r="BP537" i="15"/>
  <c r="BR537" i="15" s="1"/>
  <c r="CH167" i="15"/>
  <c r="CG167" i="15"/>
  <c r="CI167" i="15" s="1"/>
  <c r="BM660" i="15"/>
  <c r="BL660" i="15"/>
  <c r="BN660" i="15" s="1"/>
  <c r="H207" i="7"/>
  <c r="M208" i="7" s="1"/>
  <c r="M209" i="7" s="1"/>
  <c r="M210" i="7" s="1"/>
  <c r="M211" i="7" s="1"/>
  <c r="M212" i="7" s="1"/>
  <c r="M213" i="7" s="1"/>
  <c r="M214" i="7" s="1"/>
  <c r="M215" i="7" s="1"/>
  <c r="M216" i="7" s="1"/>
  <c r="M217" i="7" s="1"/>
  <c r="M218" i="7" s="1"/>
  <c r="M219" i="7" s="1"/>
  <c r="I195" i="7"/>
  <c r="L13" i="7"/>
  <c r="I245" i="7"/>
  <c r="H257" i="7"/>
  <c r="H258" i="7"/>
  <c r="I246" i="7"/>
  <c r="H266" i="7"/>
  <c r="I254" i="7"/>
  <c r="H260" i="7"/>
  <c r="I248" i="7"/>
  <c r="H262" i="7"/>
  <c r="I250" i="7"/>
  <c r="H256" i="7"/>
  <c r="I244" i="7"/>
  <c r="H264" i="7"/>
  <c r="I252" i="7"/>
  <c r="I253" i="7"/>
  <c r="H265" i="7"/>
  <c r="I247" i="7"/>
  <c r="H259" i="7"/>
  <c r="I251" i="7"/>
  <c r="H263" i="7"/>
  <c r="I249" i="7"/>
  <c r="H261" i="7"/>
  <c r="BM661" i="15" l="1"/>
  <c r="BL661" i="15"/>
  <c r="BN661" i="15" s="1"/>
  <c r="CH168" i="15"/>
  <c r="CG168" i="15"/>
  <c r="CI168" i="15" s="1"/>
  <c r="BQ538" i="15"/>
  <c r="BP538" i="15"/>
  <c r="BR538" i="15" s="1"/>
  <c r="BU415" i="15"/>
  <c r="BT415" i="15"/>
  <c r="BV415" i="15" s="1"/>
  <c r="BI784" i="15"/>
  <c r="BH784" i="15"/>
  <c r="BJ784" i="15" s="1"/>
  <c r="BY292" i="15"/>
  <c r="BX292" i="15"/>
  <c r="BZ292" i="15" s="1"/>
  <c r="CC169" i="15"/>
  <c r="CB169" i="15"/>
  <c r="CD169" i="15" s="1"/>
  <c r="BE907" i="15"/>
  <c r="BD907" i="15"/>
  <c r="BF907" i="15" s="1"/>
  <c r="CL167" i="15"/>
  <c r="CK167" i="15"/>
  <c r="CM167" i="15" s="1"/>
  <c r="I261" i="7"/>
  <c r="H273" i="7"/>
  <c r="I259" i="7"/>
  <c r="H271" i="7"/>
  <c r="H276" i="7"/>
  <c r="I264" i="7"/>
  <c r="H268" i="7"/>
  <c r="I256" i="7"/>
  <c r="H274" i="7"/>
  <c r="I262" i="7"/>
  <c r="H272" i="7"/>
  <c r="I260" i="7"/>
  <c r="H278" i="7"/>
  <c r="I266" i="7"/>
  <c r="H270" i="7"/>
  <c r="I258" i="7"/>
  <c r="I263" i="7"/>
  <c r="H275" i="7"/>
  <c r="I265" i="7"/>
  <c r="H277" i="7"/>
  <c r="I257" i="7"/>
  <c r="H269" i="7"/>
  <c r="J14" i="7"/>
  <c r="L14" i="7" s="1"/>
  <c r="K14" i="7"/>
  <c r="H219" i="7"/>
  <c r="M220" i="7" s="1"/>
  <c r="M221" i="7" s="1"/>
  <c r="M222" i="7" s="1"/>
  <c r="M223" i="7" s="1"/>
  <c r="M224" i="7" s="1"/>
  <c r="M225" i="7" s="1"/>
  <c r="M226" i="7" s="1"/>
  <c r="M227" i="7" s="1"/>
  <c r="M228" i="7" s="1"/>
  <c r="M229" i="7" s="1"/>
  <c r="M230" i="7" s="1"/>
  <c r="M231" i="7" s="1"/>
  <c r="I207" i="7"/>
  <c r="CL168" i="15" l="1"/>
  <c r="CK168" i="15"/>
  <c r="CM168" i="15" s="1"/>
  <c r="BE908" i="15"/>
  <c r="BD908" i="15"/>
  <c r="BF908" i="15" s="1"/>
  <c r="CC170" i="15"/>
  <c r="CB170" i="15"/>
  <c r="CD170" i="15" s="1"/>
  <c r="BY293" i="15"/>
  <c r="BX293" i="15"/>
  <c r="BZ293" i="15" s="1"/>
  <c r="BI785" i="15"/>
  <c r="BH785" i="15"/>
  <c r="BJ785" i="15" s="1"/>
  <c r="BU416" i="15"/>
  <c r="BT416" i="15"/>
  <c r="BV416" i="15" s="1"/>
  <c r="BQ539" i="15"/>
  <c r="BP539" i="15"/>
  <c r="BR539" i="15" s="1"/>
  <c r="CH169" i="15"/>
  <c r="CG169" i="15"/>
  <c r="CI169" i="15" s="1"/>
  <c r="BM662" i="15"/>
  <c r="BL662" i="15"/>
  <c r="BN662" i="15" s="1"/>
  <c r="J15" i="7"/>
  <c r="K15" i="7"/>
  <c r="I269" i="7"/>
  <c r="H281" i="7"/>
  <c r="I277" i="7"/>
  <c r="H289" i="7"/>
  <c r="I275" i="7"/>
  <c r="H287" i="7"/>
  <c r="I271" i="7"/>
  <c r="H283" i="7"/>
  <c r="I273" i="7"/>
  <c r="H285" i="7"/>
  <c r="H231" i="7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2" i="7" s="1"/>
  <c r="M243" i="7" s="1"/>
  <c r="I219" i="7"/>
  <c r="H282" i="7"/>
  <c r="I270" i="7"/>
  <c r="H290" i="7"/>
  <c r="I278" i="7"/>
  <c r="H284" i="7"/>
  <c r="I272" i="7"/>
  <c r="H286" i="7"/>
  <c r="I274" i="7"/>
  <c r="H280" i="7"/>
  <c r="I268" i="7"/>
  <c r="H288" i="7"/>
  <c r="I276" i="7"/>
  <c r="BM663" i="15" l="1"/>
  <c r="BL663" i="15"/>
  <c r="BN663" i="15" s="1"/>
  <c r="BQ540" i="15"/>
  <c r="BP540" i="15"/>
  <c r="BR540" i="15" s="1"/>
  <c r="BU417" i="15"/>
  <c r="BT417" i="15"/>
  <c r="BV417" i="15" s="1"/>
  <c r="BI786" i="15"/>
  <c r="BH786" i="15"/>
  <c r="BJ786" i="15" s="1"/>
  <c r="BY294" i="15"/>
  <c r="BX294" i="15"/>
  <c r="BZ294" i="15" s="1"/>
  <c r="CC171" i="15"/>
  <c r="CB171" i="15"/>
  <c r="CD171" i="15" s="1"/>
  <c r="BE909" i="15"/>
  <c r="BD909" i="15"/>
  <c r="BF909" i="15" s="1"/>
  <c r="CL169" i="15"/>
  <c r="CK169" i="15"/>
  <c r="CM169" i="15" s="1"/>
  <c r="CH170" i="15"/>
  <c r="CG170" i="15"/>
  <c r="CI170" i="15" s="1"/>
  <c r="M431" i="7"/>
  <c r="M442" i="7" s="1"/>
  <c r="B14" i="18" s="1"/>
  <c r="H300" i="7"/>
  <c r="I288" i="7"/>
  <c r="H298" i="7"/>
  <c r="I286" i="7"/>
  <c r="I285" i="7"/>
  <c r="H297" i="7"/>
  <c r="I283" i="7"/>
  <c r="H295" i="7"/>
  <c r="I287" i="7"/>
  <c r="H299" i="7"/>
  <c r="I289" i="7"/>
  <c r="H301" i="7"/>
  <c r="I281" i="7"/>
  <c r="H293" i="7"/>
  <c r="H292" i="7"/>
  <c r="I280" i="7"/>
  <c r="H296" i="7"/>
  <c r="I284" i="7"/>
  <c r="H302" i="7"/>
  <c r="I290" i="7"/>
  <c r="H294" i="7"/>
  <c r="I282" i="7"/>
  <c r="I231" i="7"/>
  <c r="H243" i="7"/>
  <c r="M244" i="7" s="1"/>
  <c r="M245" i="7" s="1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L15" i="7"/>
  <c r="J424" i="7"/>
  <c r="B32" i="7"/>
  <c r="C32" i="7" s="1"/>
  <c r="CL170" i="15" l="1"/>
  <c r="CK170" i="15"/>
  <c r="CM170" i="15" s="1"/>
  <c r="BE910" i="15"/>
  <c r="BD910" i="15"/>
  <c r="BF910" i="15" s="1"/>
  <c r="CC172" i="15"/>
  <c r="CB172" i="15"/>
  <c r="CD172" i="15" s="1"/>
  <c r="BY295" i="15"/>
  <c r="BX295" i="15"/>
  <c r="BZ295" i="15" s="1"/>
  <c r="BI787" i="15"/>
  <c r="BH787" i="15"/>
  <c r="BJ787" i="15" s="1"/>
  <c r="BU418" i="15"/>
  <c r="BT418" i="15"/>
  <c r="BV418" i="15" s="1"/>
  <c r="BQ541" i="15"/>
  <c r="BP541" i="15"/>
  <c r="BR541" i="15" s="1"/>
  <c r="BM664" i="15"/>
  <c r="BL664" i="15"/>
  <c r="BN664" i="15" s="1"/>
  <c r="CH171" i="15"/>
  <c r="CG171" i="15"/>
  <c r="CI171" i="15" s="1"/>
  <c r="J16" i="7"/>
  <c r="K16" i="7"/>
  <c r="I294" i="7"/>
  <c r="H306" i="7"/>
  <c r="I302" i="7"/>
  <c r="H314" i="7"/>
  <c r="I296" i="7"/>
  <c r="H308" i="7"/>
  <c r="I292" i="7"/>
  <c r="H304" i="7"/>
  <c r="I298" i="7"/>
  <c r="H310" i="7"/>
  <c r="I300" i="7"/>
  <c r="H312" i="7"/>
  <c r="K424" i="7"/>
  <c r="K435" i="7" s="1"/>
  <c r="D7" i="18" s="1"/>
  <c r="J435" i="7"/>
  <c r="C7" i="18" s="1"/>
  <c r="I243" i="7"/>
  <c r="H255" i="7"/>
  <c r="I293" i="7"/>
  <c r="H305" i="7"/>
  <c r="I301" i="7"/>
  <c r="H313" i="7"/>
  <c r="I299" i="7"/>
  <c r="H311" i="7"/>
  <c r="I295" i="7"/>
  <c r="H307" i="7"/>
  <c r="I297" i="7"/>
  <c r="H309" i="7"/>
  <c r="CH172" i="15" l="1"/>
  <c r="CG172" i="15"/>
  <c r="CI172" i="15" s="1"/>
  <c r="BM665" i="15"/>
  <c r="BL665" i="15"/>
  <c r="BN665" i="15" s="1"/>
  <c r="BU419" i="15"/>
  <c r="BT419" i="15"/>
  <c r="BV419" i="15" s="1"/>
  <c r="BI788" i="15"/>
  <c r="BH788" i="15"/>
  <c r="BJ788" i="15" s="1"/>
  <c r="BY296" i="15"/>
  <c r="BX296" i="15"/>
  <c r="BZ296" i="15" s="1"/>
  <c r="BE911" i="15"/>
  <c r="BD911" i="15"/>
  <c r="BF911" i="15" s="1"/>
  <c r="CL171" i="15"/>
  <c r="CK171" i="15"/>
  <c r="CM171" i="15" s="1"/>
  <c r="BQ542" i="15"/>
  <c r="BP542" i="15"/>
  <c r="BR542" i="15" s="1"/>
  <c r="CC173" i="15"/>
  <c r="CB173" i="15"/>
  <c r="CD173" i="15" s="1"/>
  <c r="H321" i="7"/>
  <c r="I309" i="7"/>
  <c r="H319" i="7"/>
  <c r="I307" i="7"/>
  <c r="H325" i="7"/>
  <c r="I313" i="7"/>
  <c r="I255" i="7"/>
  <c r="H267" i="7"/>
  <c r="L16" i="7"/>
  <c r="M256" i="7"/>
  <c r="M257" i="7" s="1"/>
  <c r="M258" i="7" s="1"/>
  <c r="M259" i="7" s="1"/>
  <c r="M260" i="7" s="1"/>
  <c r="M261" i="7" s="1"/>
  <c r="M262" i="7" s="1"/>
  <c r="M263" i="7" s="1"/>
  <c r="M264" i="7" s="1"/>
  <c r="M265" i="7" s="1"/>
  <c r="M266" i="7" s="1"/>
  <c r="M267" i="7" s="1"/>
  <c r="M268" i="7" s="1"/>
  <c r="M269" i="7" s="1"/>
  <c r="M270" i="7" s="1"/>
  <c r="M271" i="7" s="1"/>
  <c r="M272" i="7" s="1"/>
  <c r="M273" i="7" s="1"/>
  <c r="M274" i="7" s="1"/>
  <c r="M275" i="7" s="1"/>
  <c r="M276" i="7" s="1"/>
  <c r="M277" i="7" s="1"/>
  <c r="M278" i="7" s="1"/>
  <c r="M279" i="7" s="1"/>
  <c r="H323" i="7"/>
  <c r="I311" i="7"/>
  <c r="H317" i="7"/>
  <c r="I305" i="7"/>
  <c r="I312" i="7"/>
  <c r="H324" i="7"/>
  <c r="I310" i="7"/>
  <c r="H322" i="7"/>
  <c r="I304" i="7"/>
  <c r="H316" i="7"/>
  <c r="I308" i="7"/>
  <c r="H320" i="7"/>
  <c r="I314" i="7"/>
  <c r="H326" i="7"/>
  <c r="I306" i="7"/>
  <c r="H318" i="7"/>
  <c r="CC174" i="15" l="1"/>
  <c r="CB174" i="15"/>
  <c r="CD174" i="15" s="1"/>
  <c r="CL172" i="15"/>
  <c r="CK172" i="15"/>
  <c r="CM172" i="15" s="1"/>
  <c r="BY297" i="15"/>
  <c r="BX297" i="15"/>
  <c r="BZ297" i="15" s="1"/>
  <c r="BI789" i="15"/>
  <c r="BH789" i="15"/>
  <c r="BJ789" i="15" s="1"/>
  <c r="BM666" i="15"/>
  <c r="BL666" i="15"/>
  <c r="BN666" i="15" s="1"/>
  <c r="CH173" i="15"/>
  <c r="CG173" i="15"/>
  <c r="CI173" i="15" s="1"/>
  <c r="BQ543" i="15"/>
  <c r="BP543" i="15"/>
  <c r="BR543" i="15" s="1"/>
  <c r="BE912" i="15"/>
  <c r="BD912" i="15"/>
  <c r="BF912" i="15" s="1"/>
  <c r="BU420" i="15"/>
  <c r="BT420" i="15"/>
  <c r="BV420" i="15" s="1"/>
  <c r="H329" i="7"/>
  <c r="I317" i="7"/>
  <c r="H335" i="7"/>
  <c r="I323" i="7"/>
  <c r="J17" i="7"/>
  <c r="K17" i="7"/>
  <c r="H337" i="7"/>
  <c r="I325" i="7"/>
  <c r="H331" i="7"/>
  <c r="I319" i="7"/>
  <c r="H333" i="7"/>
  <c r="I321" i="7"/>
  <c r="I318" i="7"/>
  <c r="H330" i="7"/>
  <c r="I326" i="7"/>
  <c r="H338" i="7"/>
  <c r="I320" i="7"/>
  <c r="H332" i="7"/>
  <c r="I316" i="7"/>
  <c r="H328" i="7"/>
  <c r="I322" i="7"/>
  <c r="H334" i="7"/>
  <c r="I324" i="7"/>
  <c r="H336" i="7"/>
  <c r="I267" i="7"/>
  <c r="H279" i="7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BE913" i="15" l="1"/>
  <c r="BD913" i="15"/>
  <c r="BF913" i="15" s="1"/>
  <c r="BQ544" i="15"/>
  <c r="BP544" i="15"/>
  <c r="BR544" i="15" s="1"/>
  <c r="BM667" i="15"/>
  <c r="BL667" i="15"/>
  <c r="BN667" i="15" s="1"/>
  <c r="BI790" i="15"/>
  <c r="BH790" i="15"/>
  <c r="BJ790" i="15" s="1"/>
  <c r="CL173" i="15"/>
  <c r="CK173" i="15"/>
  <c r="CM173" i="15" s="1"/>
  <c r="CC175" i="15"/>
  <c r="CB175" i="15"/>
  <c r="CD175" i="15" s="1"/>
  <c r="BU421" i="15"/>
  <c r="BT421" i="15"/>
  <c r="BV421" i="15" s="1"/>
  <c r="CH174" i="15"/>
  <c r="CG174" i="15"/>
  <c r="CI174" i="15" s="1"/>
  <c r="BY298" i="15"/>
  <c r="BX298" i="15"/>
  <c r="BZ298" i="15" s="1"/>
  <c r="I336" i="7"/>
  <c r="H348" i="7"/>
  <c r="I334" i="7"/>
  <c r="H346" i="7"/>
  <c r="I328" i="7"/>
  <c r="H340" i="7"/>
  <c r="I332" i="7"/>
  <c r="H344" i="7"/>
  <c r="I338" i="7"/>
  <c r="H350" i="7"/>
  <c r="I330" i="7"/>
  <c r="H342" i="7"/>
  <c r="I279" i="7"/>
  <c r="H291" i="7"/>
  <c r="H345" i="7"/>
  <c r="I333" i="7"/>
  <c r="H343" i="7"/>
  <c r="I331" i="7"/>
  <c r="H349" i="7"/>
  <c r="I337" i="7"/>
  <c r="L17" i="7"/>
  <c r="H347" i="7"/>
  <c r="I335" i="7"/>
  <c r="H341" i="7"/>
  <c r="I329" i="7"/>
  <c r="CH175" i="15" l="1"/>
  <c r="CG175" i="15"/>
  <c r="CI175" i="15" s="1"/>
  <c r="CC176" i="15"/>
  <c r="CB176" i="15"/>
  <c r="CD176" i="15" s="1"/>
  <c r="CL174" i="15"/>
  <c r="CK174" i="15"/>
  <c r="CM174" i="15" s="1"/>
  <c r="BI791" i="15"/>
  <c r="BH791" i="15"/>
  <c r="BJ791" i="15" s="1"/>
  <c r="BQ545" i="15"/>
  <c r="BP545" i="15"/>
  <c r="BR545" i="15" s="1"/>
  <c r="BE914" i="15"/>
  <c r="BD914" i="15"/>
  <c r="BF914" i="15" s="1"/>
  <c r="BY299" i="15"/>
  <c r="BX299" i="15"/>
  <c r="BZ299" i="15" s="1"/>
  <c r="BU422" i="15"/>
  <c r="BT422" i="15"/>
  <c r="BV422" i="15" s="1"/>
  <c r="BM668" i="15"/>
  <c r="BL668" i="15"/>
  <c r="BN668" i="15" s="1"/>
  <c r="J18" i="7"/>
  <c r="K18" i="7"/>
  <c r="H355" i="7"/>
  <c r="I343" i="7"/>
  <c r="H353" i="7"/>
  <c r="I341" i="7"/>
  <c r="H359" i="7"/>
  <c r="I347" i="7"/>
  <c r="I291" i="7"/>
  <c r="H303" i="7"/>
  <c r="I342" i="7"/>
  <c r="H354" i="7"/>
  <c r="I350" i="7"/>
  <c r="H362" i="7"/>
  <c r="I344" i="7"/>
  <c r="H356" i="7"/>
  <c r="I340" i="7"/>
  <c r="H352" i="7"/>
  <c r="I346" i="7"/>
  <c r="H358" i="7"/>
  <c r="I348" i="7"/>
  <c r="H360" i="7"/>
  <c r="H361" i="7"/>
  <c r="I349" i="7"/>
  <c r="H357" i="7"/>
  <c r="I345" i="7"/>
  <c r="M292" i="7"/>
  <c r="M293" i="7" s="1"/>
  <c r="M294" i="7" s="1"/>
  <c r="M295" i="7" s="1"/>
  <c r="M296" i="7" s="1"/>
  <c r="M297" i="7" s="1"/>
  <c r="M298" i="7" s="1"/>
  <c r="M299" i="7" s="1"/>
  <c r="M300" i="7" s="1"/>
  <c r="M301" i="7" s="1"/>
  <c r="M302" i="7" s="1"/>
  <c r="M303" i="7" s="1"/>
  <c r="BU423" i="15" l="1"/>
  <c r="BT423" i="15"/>
  <c r="BV423" i="15" s="1"/>
  <c r="BE915" i="15"/>
  <c r="BD915" i="15"/>
  <c r="BF915" i="15" s="1"/>
  <c r="BQ546" i="15"/>
  <c r="BP546" i="15"/>
  <c r="BR546" i="15" s="1"/>
  <c r="CL175" i="15"/>
  <c r="CK175" i="15"/>
  <c r="CM175" i="15" s="1"/>
  <c r="CC177" i="15"/>
  <c r="CB177" i="15"/>
  <c r="CD177" i="15" s="1"/>
  <c r="CH176" i="15"/>
  <c r="CG176" i="15"/>
  <c r="CI176" i="15" s="1"/>
  <c r="BM669" i="15"/>
  <c r="BL669" i="15"/>
  <c r="BN669" i="15" s="1"/>
  <c r="BY300" i="15"/>
  <c r="BX300" i="15"/>
  <c r="BZ300" i="15" s="1"/>
  <c r="BI792" i="15"/>
  <c r="BH792" i="15"/>
  <c r="BJ792" i="15" s="1"/>
  <c r="I358" i="7"/>
  <c r="H370" i="7"/>
  <c r="I356" i="7"/>
  <c r="H368" i="7"/>
  <c r="M304" i="7"/>
  <c r="M305" i="7" s="1"/>
  <c r="M306" i="7" s="1"/>
  <c r="M307" i="7" s="1"/>
  <c r="M308" i="7" s="1"/>
  <c r="M309" i="7" s="1"/>
  <c r="M310" i="7" s="1"/>
  <c r="M311" i="7" s="1"/>
  <c r="M312" i="7" s="1"/>
  <c r="M313" i="7" s="1"/>
  <c r="M314" i="7" s="1"/>
  <c r="M315" i="7" s="1"/>
  <c r="M432" i="7"/>
  <c r="M443" i="7" s="1"/>
  <c r="B15" i="18" s="1"/>
  <c r="I357" i="7"/>
  <c r="H369" i="7"/>
  <c r="I361" i="7"/>
  <c r="H373" i="7"/>
  <c r="I359" i="7"/>
  <c r="H371" i="7"/>
  <c r="I353" i="7"/>
  <c r="H365" i="7"/>
  <c r="I355" i="7"/>
  <c r="H367" i="7"/>
  <c r="L18" i="7"/>
  <c r="I360" i="7"/>
  <c r="H372" i="7"/>
  <c r="I352" i="7"/>
  <c r="H364" i="7"/>
  <c r="I362" i="7"/>
  <c r="H374" i="7"/>
  <c r="I354" i="7"/>
  <c r="H366" i="7"/>
  <c r="H315" i="7"/>
  <c r="I303" i="7"/>
  <c r="BY301" i="15" l="1"/>
  <c r="BX301" i="15"/>
  <c r="BZ301" i="15" s="1"/>
  <c r="BM670" i="15"/>
  <c r="BL670" i="15"/>
  <c r="BN670" i="15" s="1"/>
  <c r="CH177" i="15"/>
  <c r="CG177" i="15"/>
  <c r="CI177" i="15" s="1"/>
  <c r="CL176" i="15"/>
  <c r="CK176" i="15"/>
  <c r="CM176" i="15" s="1"/>
  <c r="BQ547" i="15"/>
  <c r="BP547" i="15"/>
  <c r="BR547" i="15" s="1"/>
  <c r="BE916" i="15"/>
  <c r="BD916" i="15"/>
  <c r="BF916" i="15" s="1"/>
  <c r="BU424" i="15"/>
  <c r="BT424" i="15"/>
  <c r="BV424" i="15" s="1"/>
  <c r="BI793" i="15"/>
  <c r="BH793" i="15"/>
  <c r="BJ793" i="15" s="1"/>
  <c r="CD178" i="15"/>
  <c r="CC178" i="15"/>
  <c r="CB178" i="15"/>
  <c r="H386" i="7"/>
  <c r="I374" i="7"/>
  <c r="H384" i="7"/>
  <c r="I372" i="7"/>
  <c r="M316" i="7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H378" i="7"/>
  <c r="I366" i="7"/>
  <c r="H376" i="7"/>
  <c r="I364" i="7"/>
  <c r="J19" i="7"/>
  <c r="L19" i="7" s="1"/>
  <c r="K19" i="7"/>
  <c r="H327" i="7"/>
  <c r="I315" i="7"/>
  <c r="I367" i="7"/>
  <c r="H379" i="7"/>
  <c r="I365" i="7"/>
  <c r="H377" i="7"/>
  <c r="I371" i="7"/>
  <c r="H383" i="7"/>
  <c r="I373" i="7"/>
  <c r="H385" i="7"/>
  <c r="I369" i="7"/>
  <c r="H381" i="7"/>
  <c r="H380" i="7"/>
  <c r="I368" i="7"/>
  <c r="H382" i="7"/>
  <c r="I370" i="7"/>
  <c r="BU425" i="15" l="1"/>
  <c r="BT425" i="15"/>
  <c r="BV425" i="15" s="1"/>
  <c r="BQ548" i="15"/>
  <c r="BP548" i="15"/>
  <c r="BR548" i="15" s="1"/>
  <c r="CL177" i="15"/>
  <c r="CK177" i="15"/>
  <c r="CM177" i="15" s="1"/>
  <c r="CH178" i="15"/>
  <c r="CG178" i="15"/>
  <c r="CI178" i="15" s="1"/>
  <c r="BY302" i="15"/>
  <c r="BX302" i="15"/>
  <c r="BZ302" i="15" s="1"/>
  <c r="BI794" i="15"/>
  <c r="BH794" i="15"/>
  <c r="BJ794" i="15" s="1"/>
  <c r="BE917" i="15"/>
  <c r="BD917" i="15"/>
  <c r="BF917" i="15" s="1"/>
  <c r="BM671" i="15"/>
  <c r="BL671" i="15"/>
  <c r="BN671" i="15" s="1"/>
  <c r="H394" i="7"/>
  <c r="I382" i="7"/>
  <c r="H392" i="7"/>
  <c r="I380" i="7"/>
  <c r="H339" i="7"/>
  <c r="I327" i="7"/>
  <c r="J20" i="7"/>
  <c r="K20" i="7"/>
  <c r="H388" i="7"/>
  <c r="I376" i="7"/>
  <c r="H390" i="7"/>
  <c r="I378" i="7"/>
  <c r="I381" i="7"/>
  <c r="H393" i="7"/>
  <c r="I385" i="7"/>
  <c r="H397" i="7"/>
  <c r="I383" i="7"/>
  <c r="H395" i="7"/>
  <c r="I377" i="7"/>
  <c r="H389" i="7"/>
  <c r="I379" i="7"/>
  <c r="H391" i="7"/>
  <c r="M328" i="7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H396" i="7"/>
  <c r="I384" i="7"/>
  <c r="H398" i="7"/>
  <c r="I386" i="7"/>
  <c r="CC179" i="15"/>
  <c r="CB179" i="15"/>
  <c r="CD179" i="15" s="1"/>
  <c r="CL178" i="15" l="1"/>
  <c r="CK178" i="15"/>
  <c r="CM178" i="15" s="1"/>
  <c r="BQ549" i="15"/>
  <c r="BP549" i="15"/>
  <c r="BR549" i="15" s="1"/>
  <c r="BU426" i="15"/>
  <c r="BT426" i="15"/>
  <c r="BV426" i="15" s="1"/>
  <c r="BM672" i="15"/>
  <c r="BL672" i="15"/>
  <c r="BN672" i="15" s="1"/>
  <c r="BE918" i="15"/>
  <c r="BD918" i="15"/>
  <c r="BF918" i="15" s="1"/>
  <c r="BI795" i="15"/>
  <c r="BH795" i="15"/>
  <c r="BJ795" i="15" s="1"/>
  <c r="BY303" i="15"/>
  <c r="BX303" i="15"/>
  <c r="BZ303" i="15" s="1"/>
  <c r="CH179" i="15"/>
  <c r="CG179" i="15"/>
  <c r="CI179" i="15" s="1"/>
  <c r="CC180" i="15"/>
  <c r="CB180" i="15"/>
  <c r="CD180" i="15" s="1"/>
  <c r="H410" i="7"/>
  <c r="I398" i="7"/>
  <c r="H408" i="7"/>
  <c r="I396" i="7"/>
  <c r="I391" i="7"/>
  <c r="H403" i="7"/>
  <c r="I389" i="7"/>
  <c r="H401" i="7"/>
  <c r="I395" i="7"/>
  <c r="H407" i="7"/>
  <c r="I397" i="7"/>
  <c r="H409" i="7"/>
  <c r="I393" i="7"/>
  <c r="H405" i="7"/>
  <c r="H402" i="7"/>
  <c r="I390" i="7"/>
  <c r="H400" i="7"/>
  <c r="I388" i="7"/>
  <c r="L20" i="7"/>
  <c r="H351" i="7"/>
  <c r="I339" i="7"/>
  <c r="H404" i="7"/>
  <c r="I392" i="7"/>
  <c r="H406" i="7"/>
  <c r="I394" i="7"/>
  <c r="CC181" i="15" l="1"/>
  <c r="CB181" i="15"/>
  <c r="CD181" i="15" s="1"/>
  <c r="BY304" i="15"/>
  <c r="BX304" i="15"/>
  <c r="BZ304" i="15" s="1"/>
  <c r="BE919" i="15"/>
  <c r="BD919" i="15"/>
  <c r="BF919" i="15" s="1"/>
  <c r="BM673" i="15"/>
  <c r="BL673" i="15"/>
  <c r="BN673" i="15" s="1"/>
  <c r="BQ550" i="15"/>
  <c r="BP550" i="15"/>
  <c r="BR550" i="15" s="1"/>
  <c r="CL179" i="15"/>
  <c r="CK179" i="15"/>
  <c r="CM179" i="15" s="1"/>
  <c r="CH180" i="15"/>
  <c r="CG180" i="15"/>
  <c r="CI180" i="15" s="1"/>
  <c r="BI796" i="15"/>
  <c r="BH796" i="15"/>
  <c r="BJ796" i="15" s="1"/>
  <c r="BU427" i="15"/>
  <c r="BT427" i="15"/>
  <c r="BV427" i="15" s="1"/>
  <c r="H418" i="7"/>
  <c r="I418" i="7" s="1"/>
  <c r="I406" i="7"/>
  <c r="H416" i="7"/>
  <c r="I416" i="7" s="1"/>
  <c r="I404" i="7"/>
  <c r="I351" i="7"/>
  <c r="H363" i="7"/>
  <c r="M352" i="7"/>
  <c r="M353" i="7" s="1"/>
  <c r="M354" i="7" s="1"/>
  <c r="M355" i="7" s="1"/>
  <c r="M356" i="7" s="1"/>
  <c r="M357" i="7" s="1"/>
  <c r="M358" i="7" s="1"/>
  <c r="M359" i="7" s="1"/>
  <c r="M360" i="7" s="1"/>
  <c r="M361" i="7" s="1"/>
  <c r="M362" i="7" s="1"/>
  <c r="M363" i="7" s="1"/>
  <c r="H420" i="7"/>
  <c r="I420" i="7" s="1"/>
  <c r="I408" i="7"/>
  <c r="H422" i="7"/>
  <c r="I422" i="7" s="1"/>
  <c r="I410" i="7"/>
  <c r="J21" i="7"/>
  <c r="K21" i="7"/>
  <c r="H412" i="7"/>
  <c r="I412" i="7" s="1"/>
  <c r="I400" i="7"/>
  <c r="H414" i="7"/>
  <c r="I414" i="7" s="1"/>
  <c r="I402" i="7"/>
  <c r="I405" i="7"/>
  <c r="H417" i="7"/>
  <c r="I417" i="7" s="1"/>
  <c r="I409" i="7"/>
  <c r="H421" i="7"/>
  <c r="I421" i="7" s="1"/>
  <c r="I407" i="7"/>
  <c r="H419" i="7"/>
  <c r="I419" i="7" s="1"/>
  <c r="I401" i="7"/>
  <c r="H413" i="7"/>
  <c r="I413" i="7" s="1"/>
  <c r="I403" i="7"/>
  <c r="H415" i="7"/>
  <c r="I415" i="7" s="1"/>
  <c r="BU428" i="15" l="1"/>
  <c r="BT428" i="15"/>
  <c r="BV428" i="15" s="1"/>
  <c r="CH181" i="15"/>
  <c r="CG181" i="15"/>
  <c r="CI181" i="15" s="1"/>
  <c r="CL180" i="15"/>
  <c r="CK180" i="15"/>
  <c r="CM180" i="15" s="1"/>
  <c r="BQ551" i="15"/>
  <c r="BP551" i="15"/>
  <c r="BR551" i="15" s="1"/>
  <c r="BE920" i="15"/>
  <c r="BD920" i="15"/>
  <c r="BF920" i="15" s="1"/>
  <c r="BY305" i="15"/>
  <c r="BX305" i="15"/>
  <c r="BZ305" i="15" s="1"/>
  <c r="CC182" i="15"/>
  <c r="CB182" i="15"/>
  <c r="CD182" i="15" s="1"/>
  <c r="BI797" i="15"/>
  <c r="BH797" i="15"/>
  <c r="BJ797" i="15" s="1"/>
  <c r="BM674" i="15"/>
  <c r="BL674" i="15"/>
  <c r="BN674" i="15" s="1"/>
  <c r="M364" i="7"/>
  <c r="M365" i="7" s="1"/>
  <c r="M366" i="7" s="1"/>
  <c r="M367" i="7" s="1"/>
  <c r="M368" i="7" s="1"/>
  <c r="M369" i="7" s="1"/>
  <c r="M370" i="7" s="1"/>
  <c r="M371" i="7" s="1"/>
  <c r="M372" i="7" s="1"/>
  <c r="M373" i="7" s="1"/>
  <c r="M374" i="7" s="1"/>
  <c r="M375" i="7" s="1"/>
  <c r="M433" i="7"/>
  <c r="M444" i="7" s="1"/>
  <c r="B16" i="18" s="1"/>
  <c r="L21" i="7"/>
  <c r="I363" i="7"/>
  <c r="H375" i="7"/>
  <c r="BI798" i="15" l="1"/>
  <c r="BH798" i="15"/>
  <c r="BJ798" i="15" s="1"/>
  <c r="BY306" i="15"/>
  <c r="BX306" i="15"/>
  <c r="BZ306" i="15" s="1"/>
  <c r="BQ552" i="15"/>
  <c r="BP552" i="15"/>
  <c r="BR552" i="15" s="1"/>
  <c r="CL181" i="15"/>
  <c r="CK181" i="15"/>
  <c r="CM181" i="15" s="1"/>
  <c r="BU429" i="15"/>
  <c r="BT429" i="15"/>
  <c r="BV429" i="15" s="1"/>
  <c r="BM675" i="15"/>
  <c r="BL675" i="15"/>
  <c r="BN675" i="15" s="1"/>
  <c r="CC183" i="15"/>
  <c r="CB183" i="15"/>
  <c r="CD183" i="15" s="1"/>
  <c r="BE921" i="15"/>
  <c r="BD921" i="15"/>
  <c r="BF921" i="15" s="1"/>
  <c r="CH182" i="15"/>
  <c r="CG182" i="15"/>
  <c r="CI182" i="15" s="1"/>
  <c r="I375" i="7"/>
  <c r="H387" i="7"/>
  <c r="J22" i="7"/>
  <c r="K22" i="7"/>
  <c r="M376" i="7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CH183" i="15" l="1"/>
  <c r="CG183" i="15"/>
  <c r="CI183" i="15" s="1"/>
  <c r="BE922" i="15"/>
  <c r="BD922" i="15"/>
  <c r="BF922" i="15" s="1"/>
  <c r="BM676" i="15"/>
  <c r="BL676" i="15"/>
  <c r="BN676" i="15" s="1"/>
  <c r="BU430" i="15"/>
  <c r="BT430" i="15"/>
  <c r="BV430" i="15" s="1"/>
  <c r="CL182" i="15"/>
  <c r="CK182" i="15"/>
  <c r="CM182" i="15" s="1"/>
  <c r="BY307" i="15"/>
  <c r="BX307" i="15"/>
  <c r="BZ307" i="15" s="1"/>
  <c r="BI799" i="15"/>
  <c r="BH799" i="15"/>
  <c r="BJ799" i="15" s="1"/>
  <c r="CC184" i="15"/>
  <c r="CB184" i="15"/>
  <c r="CD184" i="15" s="1"/>
  <c r="BQ553" i="15"/>
  <c r="BP553" i="15"/>
  <c r="BR553" i="15" s="1"/>
  <c r="L22" i="7"/>
  <c r="I387" i="7"/>
  <c r="H399" i="7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BQ554" i="15" l="1"/>
  <c r="BP554" i="15"/>
  <c r="BR554" i="15" s="1"/>
  <c r="BI800" i="15"/>
  <c r="BH800" i="15"/>
  <c r="BJ800" i="15" s="1"/>
  <c r="BY308" i="15"/>
  <c r="BX308" i="15"/>
  <c r="BZ308" i="15" s="1"/>
  <c r="CL183" i="15"/>
  <c r="CK183" i="15"/>
  <c r="CM183" i="15" s="1"/>
  <c r="BU431" i="15"/>
  <c r="BT431" i="15"/>
  <c r="BV431" i="15" s="1"/>
  <c r="BM677" i="15"/>
  <c r="BL677" i="15"/>
  <c r="BN677" i="15" s="1"/>
  <c r="BE923" i="15"/>
  <c r="BD923" i="15"/>
  <c r="BF923" i="15" s="1"/>
  <c r="CH184" i="15"/>
  <c r="CG184" i="15"/>
  <c r="CI184" i="15" s="1"/>
  <c r="CC185" i="15"/>
  <c r="CB185" i="15"/>
  <c r="CD185" i="15" s="1"/>
  <c r="J23" i="7"/>
  <c r="K23" i="7"/>
  <c r="I399" i="7"/>
  <c r="H411" i="7"/>
  <c r="CH185" i="15" l="1"/>
  <c r="CG185" i="15"/>
  <c r="CI185" i="15" s="1"/>
  <c r="BM678" i="15"/>
  <c r="BL678" i="15"/>
  <c r="BN678" i="15" s="1"/>
  <c r="BU432" i="15"/>
  <c r="BT432" i="15"/>
  <c r="BV432" i="15" s="1"/>
  <c r="BY309" i="15"/>
  <c r="BX309" i="15"/>
  <c r="BZ309" i="15" s="1"/>
  <c r="BQ555" i="15"/>
  <c r="BP555" i="15"/>
  <c r="BR555" i="15" s="1"/>
  <c r="CC186" i="15"/>
  <c r="CB186" i="15"/>
  <c r="CD186" i="15" s="1"/>
  <c r="BE924" i="15"/>
  <c r="BD924" i="15"/>
  <c r="BF924" i="15" s="1"/>
  <c r="CL184" i="15"/>
  <c r="CK184" i="15"/>
  <c r="CM184" i="15" s="1"/>
  <c r="BI801" i="15"/>
  <c r="BH801" i="15"/>
  <c r="BJ801" i="15" s="1"/>
  <c r="I411" i="7"/>
  <c r="H423" i="7"/>
  <c r="I423" i="7" s="1"/>
  <c r="M412" i="7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34" i="7" s="1"/>
  <c r="M445" i="7" s="1"/>
  <c r="B17" i="18" s="1"/>
  <c r="L23" i="7"/>
  <c r="CL185" i="15" l="1"/>
  <c r="CK185" i="15"/>
  <c r="CM185" i="15" s="1"/>
  <c r="CC187" i="15"/>
  <c r="CB187" i="15"/>
  <c r="CD187" i="15" s="1"/>
  <c r="BY310" i="15"/>
  <c r="BX310" i="15"/>
  <c r="BZ310" i="15" s="1"/>
  <c r="BU433" i="15"/>
  <c r="BT433" i="15"/>
  <c r="BV433" i="15" s="1"/>
  <c r="CH186" i="15"/>
  <c r="CG186" i="15"/>
  <c r="CI186" i="15" s="1"/>
  <c r="BI802" i="15"/>
  <c r="BH802" i="15"/>
  <c r="BJ802" i="15" s="1"/>
  <c r="BE925" i="15"/>
  <c r="BD925" i="15"/>
  <c r="BF925" i="15" s="1"/>
  <c r="BQ556" i="15"/>
  <c r="BP556" i="15"/>
  <c r="BR556" i="15" s="1"/>
  <c r="BM679" i="15"/>
  <c r="BL679" i="15"/>
  <c r="BN679" i="15" s="1"/>
  <c r="J24" i="7"/>
  <c r="K24" i="7"/>
  <c r="BM680" i="15" l="1"/>
  <c r="BL680" i="15"/>
  <c r="BN680" i="15" s="1"/>
  <c r="BE926" i="15"/>
  <c r="BD926" i="15"/>
  <c r="BF926" i="15" s="1"/>
  <c r="BU434" i="15"/>
  <c r="BT434" i="15"/>
  <c r="BV434" i="15" s="1"/>
  <c r="BY311" i="15"/>
  <c r="BX311" i="15"/>
  <c r="BZ311" i="15" s="1"/>
  <c r="CL186" i="15"/>
  <c r="CK186" i="15"/>
  <c r="CM186" i="15" s="1"/>
  <c r="BQ557" i="15"/>
  <c r="BP557" i="15"/>
  <c r="BR557" i="15" s="1"/>
  <c r="BI803" i="15"/>
  <c r="BH803" i="15"/>
  <c r="BJ803" i="15" s="1"/>
  <c r="CH187" i="15"/>
  <c r="CG187" i="15"/>
  <c r="CI187" i="15" s="1"/>
  <c r="CC188" i="15"/>
  <c r="CB188" i="15"/>
  <c r="CD188" i="15" s="1"/>
  <c r="L24" i="7"/>
  <c r="CH188" i="15" l="1"/>
  <c r="CG188" i="15"/>
  <c r="CI188" i="15" s="1"/>
  <c r="BQ558" i="15"/>
  <c r="BP558" i="15"/>
  <c r="BR558" i="15" s="1"/>
  <c r="BY312" i="15"/>
  <c r="BX312" i="15"/>
  <c r="BZ312" i="15" s="1"/>
  <c r="BU435" i="15"/>
  <c r="BT435" i="15"/>
  <c r="BV435" i="15" s="1"/>
  <c r="BM681" i="15"/>
  <c r="BL681" i="15"/>
  <c r="BN681" i="15" s="1"/>
  <c r="CC189" i="15"/>
  <c r="CB189" i="15"/>
  <c r="CD189" i="15" s="1"/>
  <c r="BI804" i="15"/>
  <c r="BH804" i="15"/>
  <c r="BJ804" i="15" s="1"/>
  <c r="CL187" i="15"/>
  <c r="CK187" i="15"/>
  <c r="CM187" i="15" s="1"/>
  <c r="BE927" i="15"/>
  <c r="BD927" i="15"/>
  <c r="BF927" i="15" s="1"/>
  <c r="J25" i="7"/>
  <c r="K25" i="7"/>
  <c r="CL188" i="15" l="1"/>
  <c r="CK188" i="15"/>
  <c r="CM188" i="15" s="1"/>
  <c r="CC190" i="15"/>
  <c r="CB190" i="15"/>
  <c r="CD190" i="15" s="1"/>
  <c r="BU436" i="15"/>
  <c r="BT436" i="15"/>
  <c r="BV436" i="15" s="1"/>
  <c r="BY313" i="15"/>
  <c r="BX313" i="15"/>
  <c r="BZ313" i="15" s="1"/>
  <c r="CH189" i="15"/>
  <c r="CG189" i="15"/>
  <c r="CI189" i="15" s="1"/>
  <c r="BE928" i="15"/>
  <c r="BD928" i="15"/>
  <c r="BF928" i="15" s="1"/>
  <c r="BI805" i="15"/>
  <c r="BH805" i="15"/>
  <c r="BJ805" i="15" s="1"/>
  <c r="BM682" i="15"/>
  <c r="BL682" i="15"/>
  <c r="BN682" i="15" s="1"/>
  <c r="BQ559" i="15"/>
  <c r="BP559" i="15"/>
  <c r="BR559" i="15" s="1"/>
  <c r="L25" i="7"/>
  <c r="BM683" i="15" l="1"/>
  <c r="BL683" i="15"/>
  <c r="BN683" i="15" s="1"/>
  <c r="BE929" i="15"/>
  <c r="BD929" i="15"/>
  <c r="BF929" i="15" s="1"/>
  <c r="CH190" i="15"/>
  <c r="CG190" i="15"/>
  <c r="CI190" i="15" s="1"/>
  <c r="BU437" i="15"/>
  <c r="BT437" i="15"/>
  <c r="BV437" i="15" s="1"/>
  <c r="CL189" i="15"/>
  <c r="CK189" i="15"/>
  <c r="CM189" i="15" s="1"/>
  <c r="BQ560" i="15"/>
  <c r="BP560" i="15"/>
  <c r="BR560" i="15" s="1"/>
  <c r="BI806" i="15"/>
  <c r="BH806" i="15"/>
  <c r="BJ806" i="15" s="1"/>
  <c r="BY314" i="15"/>
  <c r="BX314" i="15"/>
  <c r="BZ314" i="15" s="1"/>
  <c r="CC191" i="15"/>
  <c r="CB191" i="15"/>
  <c r="CD191" i="15" s="1"/>
  <c r="J26" i="7"/>
  <c r="K26" i="7"/>
  <c r="BI807" i="15" l="1"/>
  <c r="BH807" i="15"/>
  <c r="BJ807" i="15" s="1"/>
  <c r="BQ561" i="15"/>
  <c r="BP561" i="15"/>
  <c r="BR561" i="15" s="1"/>
  <c r="BU438" i="15"/>
  <c r="BT438" i="15"/>
  <c r="BV438" i="15" s="1"/>
  <c r="CH191" i="15"/>
  <c r="CG191" i="15"/>
  <c r="CI191" i="15" s="1"/>
  <c r="BM684" i="15"/>
  <c r="BL684" i="15"/>
  <c r="BN684" i="15" s="1"/>
  <c r="CC192" i="15"/>
  <c r="CB192" i="15"/>
  <c r="CD192" i="15" s="1"/>
  <c r="BY315" i="15"/>
  <c r="BX315" i="15"/>
  <c r="BZ315" i="15" s="1"/>
  <c r="CL190" i="15"/>
  <c r="CK190" i="15"/>
  <c r="CM190" i="15" s="1"/>
  <c r="BE930" i="15"/>
  <c r="BD930" i="15"/>
  <c r="BF930" i="15" s="1"/>
  <c r="L26" i="7"/>
  <c r="CL191" i="15" l="1"/>
  <c r="CK191" i="15"/>
  <c r="CM191" i="15" s="1"/>
  <c r="CC193" i="15"/>
  <c r="CB193" i="15"/>
  <c r="CD193" i="15" s="1"/>
  <c r="CH192" i="15"/>
  <c r="CG192" i="15"/>
  <c r="CI192" i="15" s="1"/>
  <c r="BU439" i="15"/>
  <c r="BT439" i="15"/>
  <c r="BV439" i="15" s="1"/>
  <c r="BI808" i="15"/>
  <c r="BH808" i="15"/>
  <c r="BJ808" i="15" s="1"/>
  <c r="BE931" i="15"/>
  <c r="BD931" i="15"/>
  <c r="BF931" i="15" s="1"/>
  <c r="BY316" i="15"/>
  <c r="BX316" i="15"/>
  <c r="BZ316" i="15" s="1"/>
  <c r="BM685" i="15"/>
  <c r="BL685" i="15"/>
  <c r="BN685" i="15" s="1"/>
  <c r="BQ562" i="15"/>
  <c r="BP562" i="15"/>
  <c r="BR562" i="15" s="1"/>
  <c r="J27" i="7"/>
  <c r="K27" i="7"/>
  <c r="BQ563" i="15" l="1"/>
  <c r="BP563" i="15"/>
  <c r="BR563" i="15" s="1"/>
  <c r="BY317" i="15"/>
  <c r="BX317" i="15"/>
  <c r="BZ317" i="15" s="1"/>
  <c r="BE932" i="15"/>
  <c r="BD932" i="15"/>
  <c r="BF932" i="15" s="1"/>
  <c r="BU440" i="15"/>
  <c r="BT440" i="15"/>
  <c r="BV440" i="15" s="1"/>
  <c r="CH193" i="15"/>
  <c r="CG193" i="15"/>
  <c r="CI193" i="15" s="1"/>
  <c r="CL192" i="15"/>
  <c r="CK192" i="15"/>
  <c r="CM192" i="15" s="1"/>
  <c r="BM686" i="15"/>
  <c r="BL686" i="15"/>
  <c r="BN686" i="15" s="1"/>
  <c r="BI809" i="15"/>
  <c r="BH809" i="15"/>
  <c r="BJ809" i="15" s="1"/>
  <c r="CC194" i="15"/>
  <c r="CB194" i="15"/>
  <c r="CD194" i="15" s="1"/>
  <c r="L27" i="7"/>
  <c r="J425" i="7"/>
  <c r="B33" i="7"/>
  <c r="C33" i="7" s="1"/>
  <c r="BI810" i="15" l="1"/>
  <c r="BH810" i="15"/>
  <c r="BJ810" i="15" s="1"/>
  <c r="CL193" i="15"/>
  <c r="CK193" i="15"/>
  <c r="CM193" i="15" s="1"/>
  <c r="BU441" i="15"/>
  <c r="BT441" i="15"/>
  <c r="BV441" i="15" s="1"/>
  <c r="BE933" i="15"/>
  <c r="BD933" i="15"/>
  <c r="BF933" i="15" s="1"/>
  <c r="BQ564" i="15"/>
  <c r="BP564" i="15"/>
  <c r="BR564" i="15" s="1"/>
  <c r="CC195" i="15"/>
  <c r="CB195" i="15"/>
  <c r="CD195" i="15" s="1"/>
  <c r="BM687" i="15"/>
  <c r="BL687" i="15"/>
  <c r="BN687" i="15" s="1"/>
  <c r="CH194" i="15"/>
  <c r="CG194" i="15"/>
  <c r="CI194" i="15" s="1"/>
  <c r="BY318" i="15"/>
  <c r="BX318" i="15"/>
  <c r="BZ318" i="15" s="1"/>
  <c r="J28" i="7"/>
  <c r="K28" i="7"/>
  <c r="K425" i="7"/>
  <c r="K436" i="7" s="1"/>
  <c r="D8" i="18" s="1"/>
  <c r="J436" i="7"/>
  <c r="C8" i="18" s="1"/>
  <c r="CH195" i="15" l="1"/>
  <c r="CG195" i="15"/>
  <c r="CI195" i="15" s="1"/>
  <c r="CC196" i="15"/>
  <c r="CB196" i="15"/>
  <c r="CD196" i="15" s="1"/>
  <c r="BE934" i="15"/>
  <c r="BD934" i="15"/>
  <c r="BF934" i="15" s="1"/>
  <c r="BU442" i="15"/>
  <c r="BT442" i="15"/>
  <c r="BV442" i="15" s="1"/>
  <c r="BI811" i="15"/>
  <c r="BH811" i="15"/>
  <c r="BJ811" i="15" s="1"/>
  <c r="BY319" i="15"/>
  <c r="BX319" i="15"/>
  <c r="BZ319" i="15" s="1"/>
  <c r="BM688" i="15"/>
  <c r="BL688" i="15"/>
  <c r="BN688" i="15" s="1"/>
  <c r="BQ565" i="15"/>
  <c r="BP565" i="15"/>
  <c r="BR565" i="15" s="1"/>
  <c r="CL194" i="15"/>
  <c r="CK194" i="15"/>
  <c r="CM194" i="15" s="1"/>
  <c r="L28" i="7"/>
  <c r="CL195" i="15" l="1"/>
  <c r="CK195" i="15"/>
  <c r="CM195" i="15" s="1"/>
  <c r="BM689" i="15"/>
  <c r="BL689" i="15"/>
  <c r="BN689" i="15" s="1"/>
  <c r="BU443" i="15"/>
  <c r="BT443" i="15"/>
  <c r="BV443" i="15" s="1"/>
  <c r="CC197" i="15"/>
  <c r="CB197" i="15"/>
  <c r="CD197" i="15" s="1"/>
  <c r="BQ566" i="15"/>
  <c r="BP566" i="15"/>
  <c r="BR566" i="15" s="1"/>
  <c r="BY320" i="15"/>
  <c r="BX320" i="15"/>
  <c r="BZ320" i="15" s="1"/>
  <c r="BI812" i="15"/>
  <c r="BH812" i="15"/>
  <c r="BJ812" i="15" s="1"/>
  <c r="BE935" i="15"/>
  <c r="BD935" i="15"/>
  <c r="BF935" i="15" s="1"/>
  <c r="CH196" i="15"/>
  <c r="CG196" i="15"/>
  <c r="CI196" i="15" s="1"/>
  <c r="J29" i="7"/>
  <c r="K29" i="7"/>
  <c r="CH197" i="15" l="1"/>
  <c r="CG197" i="15"/>
  <c r="CI197" i="15" s="1"/>
  <c r="BI813" i="15"/>
  <c r="BH813" i="15"/>
  <c r="BJ813" i="15" s="1"/>
  <c r="BY321" i="15"/>
  <c r="BX321" i="15"/>
  <c r="BZ321" i="15" s="1"/>
  <c r="CC198" i="15"/>
  <c r="CB198" i="15"/>
  <c r="CD198" i="15" s="1"/>
  <c r="BU444" i="15"/>
  <c r="BT444" i="15"/>
  <c r="BV444" i="15" s="1"/>
  <c r="CL196" i="15"/>
  <c r="CK196" i="15"/>
  <c r="CM196" i="15" s="1"/>
  <c r="BE936" i="15"/>
  <c r="BD936" i="15"/>
  <c r="BF936" i="15" s="1"/>
  <c r="BQ567" i="15"/>
  <c r="BP567" i="15"/>
  <c r="BR567" i="15" s="1"/>
  <c r="BM690" i="15"/>
  <c r="BL690" i="15"/>
  <c r="BN690" i="15" s="1"/>
  <c r="L29" i="7"/>
  <c r="BM691" i="15" l="1"/>
  <c r="BL691" i="15"/>
  <c r="BN691" i="15" s="1"/>
  <c r="BE937" i="15"/>
  <c r="BD937" i="15"/>
  <c r="BF937" i="15" s="1"/>
  <c r="BU445" i="15"/>
  <c r="BT445" i="15"/>
  <c r="BV445" i="15" s="1"/>
  <c r="BY322" i="15"/>
  <c r="BX322" i="15"/>
  <c r="BZ322" i="15" s="1"/>
  <c r="CH198" i="15"/>
  <c r="CG198" i="15"/>
  <c r="CI198" i="15" s="1"/>
  <c r="BQ568" i="15"/>
  <c r="BP568" i="15"/>
  <c r="BR568" i="15" s="1"/>
  <c r="CL197" i="15"/>
  <c r="CK197" i="15"/>
  <c r="CM197" i="15" s="1"/>
  <c r="CC199" i="15"/>
  <c r="CB199" i="15"/>
  <c r="CD199" i="15" s="1"/>
  <c r="BI814" i="15"/>
  <c r="BH814" i="15"/>
  <c r="BJ814" i="15" s="1"/>
  <c r="J30" i="7"/>
  <c r="K30" i="7"/>
  <c r="CC200" i="15" l="1"/>
  <c r="CB200" i="15"/>
  <c r="CD200" i="15" s="1"/>
  <c r="BQ569" i="15"/>
  <c r="BP569" i="15"/>
  <c r="BR569" i="15" s="1"/>
  <c r="BY323" i="15"/>
  <c r="BX323" i="15"/>
  <c r="BZ323" i="15" s="1"/>
  <c r="BU446" i="15"/>
  <c r="BT446" i="15"/>
  <c r="BV446" i="15" s="1"/>
  <c r="BM692" i="15"/>
  <c r="BL692" i="15"/>
  <c r="BN692" i="15" s="1"/>
  <c r="BI815" i="15"/>
  <c r="BH815" i="15"/>
  <c r="BJ815" i="15" s="1"/>
  <c r="CL198" i="15"/>
  <c r="CK198" i="15"/>
  <c r="CM198" i="15" s="1"/>
  <c r="CH199" i="15"/>
  <c r="CG199" i="15"/>
  <c r="CI199" i="15" s="1"/>
  <c r="BE938" i="15"/>
  <c r="BD938" i="15"/>
  <c r="BF938" i="15" s="1"/>
  <c r="L30" i="7"/>
  <c r="BE939" i="15" l="1"/>
  <c r="BD939" i="15"/>
  <c r="BF939" i="15" s="1"/>
  <c r="CL199" i="15"/>
  <c r="CK199" i="15"/>
  <c r="CM199" i="15" s="1"/>
  <c r="BU447" i="15"/>
  <c r="BT447" i="15"/>
  <c r="BV447" i="15" s="1"/>
  <c r="BY324" i="15"/>
  <c r="BX324" i="15"/>
  <c r="BZ324" i="15" s="1"/>
  <c r="CC201" i="15"/>
  <c r="CB201" i="15"/>
  <c r="CD201" i="15" s="1"/>
  <c r="CH200" i="15"/>
  <c r="CG200" i="15"/>
  <c r="CI200" i="15" s="1"/>
  <c r="BI816" i="15"/>
  <c r="BH816" i="15"/>
  <c r="BJ816" i="15" s="1"/>
  <c r="BM693" i="15"/>
  <c r="BL693" i="15"/>
  <c r="BN693" i="15" s="1"/>
  <c r="BQ570" i="15"/>
  <c r="BP570" i="15"/>
  <c r="BR570" i="15" s="1"/>
  <c r="J31" i="7"/>
  <c r="K31" i="7"/>
  <c r="BM694" i="15" l="1"/>
  <c r="BL694" i="15"/>
  <c r="BN694" i="15" s="1"/>
  <c r="CH201" i="15"/>
  <c r="CG201" i="15"/>
  <c r="CI201" i="15" s="1"/>
  <c r="BY325" i="15"/>
  <c r="BX325" i="15"/>
  <c r="BZ325" i="15" s="1"/>
  <c r="BU448" i="15"/>
  <c r="BT448" i="15"/>
  <c r="BV448" i="15" s="1"/>
  <c r="BE940" i="15"/>
  <c r="BD940" i="15"/>
  <c r="BF940" i="15" s="1"/>
  <c r="BQ571" i="15"/>
  <c r="BP571" i="15"/>
  <c r="BR571" i="15" s="1"/>
  <c r="BI817" i="15"/>
  <c r="BH817" i="15"/>
  <c r="BJ817" i="15" s="1"/>
  <c r="CC202" i="15"/>
  <c r="CB202" i="15"/>
  <c r="CD202" i="15" s="1"/>
  <c r="CL200" i="15"/>
  <c r="CK200" i="15"/>
  <c r="CM200" i="15" s="1"/>
  <c r="L31" i="7"/>
  <c r="CL201" i="15" l="1"/>
  <c r="CK201" i="15"/>
  <c r="CM201" i="15" s="1"/>
  <c r="BI818" i="15"/>
  <c r="BH818" i="15"/>
  <c r="BJ818" i="15" s="1"/>
  <c r="BE941" i="15"/>
  <c r="BD941" i="15"/>
  <c r="BF941" i="15" s="1"/>
  <c r="BY326" i="15"/>
  <c r="BX326" i="15"/>
  <c r="BZ326" i="15" s="1"/>
  <c r="BM695" i="15"/>
  <c r="BL695" i="15"/>
  <c r="BN695" i="15" s="1"/>
  <c r="CC203" i="15"/>
  <c r="CB203" i="15"/>
  <c r="CD203" i="15" s="1"/>
  <c r="BQ572" i="15"/>
  <c r="BP572" i="15"/>
  <c r="BR572" i="15" s="1"/>
  <c r="BU449" i="15"/>
  <c r="BT449" i="15"/>
  <c r="BV449" i="15" s="1"/>
  <c r="CH202" i="15"/>
  <c r="CG202" i="15"/>
  <c r="CI202" i="15" s="1"/>
  <c r="J32" i="7"/>
  <c r="K32" i="7"/>
  <c r="BU450" i="15" l="1"/>
  <c r="BT450" i="15"/>
  <c r="BV450" i="15" s="1"/>
  <c r="CC204" i="15"/>
  <c r="CB204" i="15"/>
  <c r="CD204" i="15" s="1"/>
  <c r="BM696" i="15"/>
  <c r="BL696" i="15"/>
  <c r="BN696" i="15" s="1"/>
  <c r="BE942" i="15"/>
  <c r="BD942" i="15"/>
  <c r="BF942" i="15" s="1"/>
  <c r="CL202" i="15"/>
  <c r="CK202" i="15"/>
  <c r="CM202" i="15" s="1"/>
  <c r="CH203" i="15"/>
  <c r="CG203" i="15"/>
  <c r="CI203" i="15" s="1"/>
  <c r="BQ573" i="15"/>
  <c r="BP573" i="15"/>
  <c r="BR573" i="15" s="1"/>
  <c r="BY327" i="15"/>
  <c r="BX327" i="15"/>
  <c r="BZ327" i="15" s="1"/>
  <c r="BI819" i="15"/>
  <c r="BH819" i="15"/>
  <c r="BJ819" i="15" s="1"/>
  <c r="L32" i="7"/>
  <c r="BY328" i="15" l="1"/>
  <c r="BX328" i="15"/>
  <c r="BZ328" i="15" s="1"/>
  <c r="CH204" i="15"/>
  <c r="CG204" i="15"/>
  <c r="CI204" i="15" s="1"/>
  <c r="CL203" i="15"/>
  <c r="CK203" i="15"/>
  <c r="CM203" i="15" s="1"/>
  <c r="BM697" i="15"/>
  <c r="BL697" i="15"/>
  <c r="BN697" i="15" s="1"/>
  <c r="BU451" i="15"/>
  <c r="BT451" i="15"/>
  <c r="BV451" i="15" s="1"/>
  <c r="BI820" i="15"/>
  <c r="BH820" i="15"/>
  <c r="BJ820" i="15" s="1"/>
  <c r="BQ574" i="15"/>
  <c r="BP574" i="15"/>
  <c r="BR574" i="15" s="1"/>
  <c r="BE943" i="15"/>
  <c r="BD943" i="15"/>
  <c r="BF943" i="15" s="1"/>
  <c r="CC205" i="15"/>
  <c r="CB205" i="15"/>
  <c r="CD205" i="15" s="1"/>
  <c r="J33" i="7"/>
  <c r="K33" i="7"/>
  <c r="BE944" i="15" l="1"/>
  <c r="BD944" i="15"/>
  <c r="BF944" i="15" s="1"/>
  <c r="BI821" i="15"/>
  <c r="BH821" i="15"/>
  <c r="BJ821" i="15" s="1"/>
  <c r="BM698" i="15"/>
  <c r="BL698" i="15"/>
  <c r="BN698" i="15" s="1"/>
  <c r="CL204" i="15"/>
  <c r="CK204" i="15"/>
  <c r="CM204" i="15" s="1"/>
  <c r="BY329" i="15"/>
  <c r="BX329" i="15"/>
  <c r="BZ329" i="15" s="1"/>
  <c r="CC206" i="15"/>
  <c r="CB206" i="15"/>
  <c r="CD206" i="15" s="1"/>
  <c r="BQ575" i="15"/>
  <c r="BP575" i="15"/>
  <c r="BR575" i="15" s="1"/>
  <c r="BU452" i="15"/>
  <c r="BT452" i="15"/>
  <c r="BV452" i="15" s="1"/>
  <c r="CH205" i="15"/>
  <c r="CG205" i="15"/>
  <c r="CI205" i="15" s="1"/>
  <c r="L33" i="7"/>
  <c r="BU453" i="15" l="1"/>
  <c r="BT453" i="15"/>
  <c r="BV453" i="15" s="1"/>
  <c r="CC207" i="15"/>
  <c r="CB207" i="15"/>
  <c r="CD207" i="15" s="1"/>
  <c r="CL205" i="15"/>
  <c r="CK205" i="15"/>
  <c r="CM205" i="15" s="1"/>
  <c r="BM699" i="15"/>
  <c r="BL699" i="15"/>
  <c r="BN699" i="15" s="1"/>
  <c r="BE945" i="15"/>
  <c r="BD945" i="15"/>
  <c r="BF945" i="15" s="1"/>
  <c r="CH206" i="15"/>
  <c r="CG206" i="15"/>
  <c r="CI206" i="15" s="1"/>
  <c r="BQ576" i="15"/>
  <c r="BP576" i="15"/>
  <c r="BR576" i="15" s="1"/>
  <c r="BY330" i="15"/>
  <c r="BX330" i="15"/>
  <c r="BZ330" i="15" s="1"/>
  <c r="BI822" i="15"/>
  <c r="BH822" i="15"/>
  <c r="BJ822" i="15" s="1"/>
  <c r="J34" i="7"/>
  <c r="K34" i="7"/>
  <c r="BI823" i="15" l="1"/>
  <c r="BH823" i="15"/>
  <c r="BJ823" i="15" s="1"/>
  <c r="BQ577" i="15"/>
  <c r="BP577" i="15"/>
  <c r="BR577" i="15" s="1"/>
  <c r="CH207" i="15"/>
  <c r="CG207" i="15"/>
  <c r="CI207" i="15" s="1"/>
  <c r="BM700" i="15"/>
  <c r="BL700" i="15"/>
  <c r="BN700" i="15" s="1"/>
  <c r="CL206" i="15"/>
  <c r="CK206" i="15"/>
  <c r="CM206" i="15" s="1"/>
  <c r="BU454" i="15"/>
  <c r="BT454" i="15"/>
  <c r="BV454" i="15" s="1"/>
  <c r="BY331" i="15"/>
  <c r="BX331" i="15"/>
  <c r="BZ331" i="15" s="1"/>
  <c r="BE946" i="15"/>
  <c r="BD946" i="15"/>
  <c r="BF946" i="15" s="1"/>
  <c r="CC208" i="15"/>
  <c r="CB208" i="15"/>
  <c r="CD208" i="15" s="1"/>
  <c r="L34" i="7"/>
  <c r="CC209" i="15" l="1"/>
  <c r="CB209" i="15"/>
  <c r="CD209" i="15" s="1"/>
  <c r="BE947" i="15"/>
  <c r="BD947" i="15"/>
  <c r="BF947" i="15" s="1"/>
  <c r="BU455" i="15"/>
  <c r="BT455" i="15"/>
  <c r="BV455" i="15" s="1"/>
  <c r="BM701" i="15"/>
  <c r="BL701" i="15"/>
  <c r="BN701" i="15" s="1"/>
  <c r="CH208" i="15"/>
  <c r="CG208" i="15"/>
  <c r="CI208" i="15" s="1"/>
  <c r="BI824" i="15"/>
  <c r="BH824" i="15"/>
  <c r="BJ824" i="15" s="1"/>
  <c r="BY332" i="15"/>
  <c r="BX332" i="15"/>
  <c r="BZ332" i="15" s="1"/>
  <c r="CL207" i="15"/>
  <c r="CK207" i="15"/>
  <c r="CM207" i="15" s="1"/>
  <c r="BQ578" i="15"/>
  <c r="BP578" i="15"/>
  <c r="BR578" i="15" s="1"/>
  <c r="J35" i="7"/>
  <c r="K35" i="7"/>
  <c r="BQ579" i="15" l="1"/>
  <c r="BP579" i="15"/>
  <c r="BR579" i="15" s="1"/>
  <c r="BY333" i="15"/>
  <c r="BX333" i="15"/>
  <c r="BZ333" i="15" s="1"/>
  <c r="CH209" i="15"/>
  <c r="CG209" i="15"/>
  <c r="CI209" i="15" s="1"/>
  <c r="BU456" i="15"/>
  <c r="BT456" i="15"/>
  <c r="BV456" i="15" s="1"/>
  <c r="CC210" i="15"/>
  <c r="CB210" i="15"/>
  <c r="CD210" i="15" s="1"/>
  <c r="CL208" i="15"/>
  <c r="CK208" i="15"/>
  <c r="CM208" i="15" s="1"/>
  <c r="BI825" i="15"/>
  <c r="BH825" i="15"/>
  <c r="BJ825" i="15" s="1"/>
  <c r="BM702" i="15"/>
  <c r="BL702" i="15"/>
  <c r="BN702" i="15" s="1"/>
  <c r="BE948" i="15"/>
  <c r="BD948" i="15"/>
  <c r="BF948" i="15" s="1"/>
  <c r="L35" i="7"/>
  <c r="BM703" i="15" l="1"/>
  <c r="BL703" i="15"/>
  <c r="BN703" i="15" s="1"/>
  <c r="CL209" i="15"/>
  <c r="CK209" i="15"/>
  <c r="CM209" i="15" s="1"/>
  <c r="BU457" i="15"/>
  <c r="BT457" i="15"/>
  <c r="BV457" i="15" s="1"/>
  <c r="CH210" i="15"/>
  <c r="CG210" i="15"/>
  <c r="CI210" i="15" s="1"/>
  <c r="BQ580" i="15"/>
  <c r="BP580" i="15"/>
  <c r="BR580" i="15" s="1"/>
  <c r="BE949" i="15"/>
  <c r="BD949" i="15"/>
  <c r="BF949" i="15" s="1"/>
  <c r="BI826" i="15"/>
  <c r="BH826" i="15"/>
  <c r="BJ826" i="15" s="1"/>
  <c r="CC211" i="15"/>
  <c r="CB211" i="15"/>
  <c r="CD211" i="15" s="1"/>
  <c r="BY334" i="15"/>
  <c r="BX334" i="15"/>
  <c r="BZ334" i="15" s="1"/>
  <c r="J36" i="7"/>
  <c r="K36" i="7"/>
  <c r="BY335" i="15" l="1"/>
  <c r="BX335" i="15"/>
  <c r="BZ335" i="15" s="1"/>
  <c r="BI827" i="15"/>
  <c r="BH827" i="15"/>
  <c r="BJ827" i="15" s="1"/>
  <c r="BE950" i="15"/>
  <c r="BD950" i="15"/>
  <c r="BF950" i="15" s="1"/>
  <c r="CH211" i="15"/>
  <c r="CG211" i="15"/>
  <c r="CI211" i="15" s="1"/>
  <c r="BU458" i="15"/>
  <c r="BT458" i="15"/>
  <c r="BV458" i="15" s="1"/>
  <c r="BM704" i="15"/>
  <c r="BL704" i="15"/>
  <c r="BN704" i="15" s="1"/>
  <c r="CC212" i="15"/>
  <c r="CB212" i="15"/>
  <c r="CD212" i="15" s="1"/>
  <c r="BQ581" i="15"/>
  <c r="BP581" i="15"/>
  <c r="BR581" i="15" s="1"/>
  <c r="CL210" i="15"/>
  <c r="CK210" i="15"/>
  <c r="CM210" i="15" s="1"/>
  <c r="L36" i="7"/>
  <c r="BQ582" i="15" l="1"/>
  <c r="BP582" i="15"/>
  <c r="BR582" i="15" s="1"/>
  <c r="BM705" i="15"/>
  <c r="BL705" i="15"/>
  <c r="BN705" i="15" s="1"/>
  <c r="CH212" i="15"/>
  <c r="CG212" i="15"/>
  <c r="CI212" i="15" s="1"/>
  <c r="BE951" i="15"/>
  <c r="BD951" i="15"/>
  <c r="BF951" i="15" s="1"/>
  <c r="BY336" i="15"/>
  <c r="BX336" i="15"/>
  <c r="BZ336" i="15" s="1"/>
  <c r="CL211" i="15"/>
  <c r="CK211" i="15"/>
  <c r="CM211" i="15" s="1"/>
  <c r="CC213" i="15"/>
  <c r="CB213" i="15"/>
  <c r="CD213" i="15" s="1"/>
  <c r="BU459" i="15"/>
  <c r="BT459" i="15"/>
  <c r="BV459" i="15" s="1"/>
  <c r="BI828" i="15"/>
  <c r="BH828" i="15"/>
  <c r="BJ828" i="15" s="1"/>
  <c r="J37" i="7"/>
  <c r="K37" i="7"/>
  <c r="BU460" i="15" l="1"/>
  <c r="BT460" i="15"/>
  <c r="BV460" i="15" s="1"/>
  <c r="CL212" i="15"/>
  <c r="CK212" i="15"/>
  <c r="CM212" i="15" s="1"/>
  <c r="BE952" i="15"/>
  <c r="BD952" i="15"/>
  <c r="BF952" i="15" s="1"/>
  <c r="CH213" i="15"/>
  <c r="CG213" i="15"/>
  <c r="CI213" i="15" s="1"/>
  <c r="BQ583" i="15"/>
  <c r="BP583" i="15"/>
  <c r="BR583" i="15" s="1"/>
  <c r="BI829" i="15"/>
  <c r="BH829" i="15"/>
  <c r="BJ829" i="15" s="1"/>
  <c r="CC214" i="15"/>
  <c r="CB214" i="15"/>
  <c r="CD214" i="15" s="1"/>
  <c r="BY337" i="15"/>
  <c r="BX337" i="15"/>
  <c r="BZ337" i="15" s="1"/>
  <c r="BM706" i="15"/>
  <c r="BL706" i="15"/>
  <c r="BN706" i="15" s="1"/>
  <c r="L37" i="7"/>
  <c r="BY338" i="15" l="1"/>
  <c r="BX338" i="15"/>
  <c r="BZ338" i="15" s="1"/>
  <c r="BI830" i="15"/>
  <c r="BH830" i="15"/>
  <c r="BJ830" i="15" s="1"/>
  <c r="CH214" i="15"/>
  <c r="CG214" i="15"/>
  <c r="CI214" i="15" s="1"/>
  <c r="BE953" i="15"/>
  <c r="BD953" i="15"/>
  <c r="BF953" i="15" s="1"/>
  <c r="BU461" i="15"/>
  <c r="BT461" i="15"/>
  <c r="BV461" i="15" s="1"/>
  <c r="BM707" i="15"/>
  <c r="BL707" i="15"/>
  <c r="BN707" i="15" s="1"/>
  <c r="CC215" i="15"/>
  <c r="CB215" i="15"/>
  <c r="CD215" i="15" s="1"/>
  <c r="BQ584" i="15"/>
  <c r="BP584" i="15"/>
  <c r="BR584" i="15" s="1"/>
  <c r="CL213" i="15"/>
  <c r="CK213" i="15"/>
  <c r="CM213" i="15" s="1"/>
  <c r="J38" i="7"/>
  <c r="K38" i="7"/>
  <c r="BQ585" i="15" l="1"/>
  <c r="BP585" i="15"/>
  <c r="BR585" i="15" s="1"/>
  <c r="BM708" i="15"/>
  <c r="BL708" i="15"/>
  <c r="BN708" i="15" s="1"/>
  <c r="BE954" i="15"/>
  <c r="BD954" i="15"/>
  <c r="BF954" i="15" s="1"/>
  <c r="CH215" i="15"/>
  <c r="CG215" i="15"/>
  <c r="CI215" i="15" s="1"/>
  <c r="BY339" i="15"/>
  <c r="BX339" i="15"/>
  <c r="BZ339" i="15" s="1"/>
  <c r="CL214" i="15"/>
  <c r="CK214" i="15"/>
  <c r="CM214" i="15" s="1"/>
  <c r="CC216" i="15"/>
  <c r="CB216" i="15"/>
  <c r="CD216" i="15" s="1"/>
  <c r="BU462" i="15"/>
  <c r="BT462" i="15"/>
  <c r="BV462" i="15" s="1"/>
  <c r="BI831" i="15"/>
  <c r="BH831" i="15"/>
  <c r="BJ831" i="15" s="1"/>
  <c r="L38" i="7"/>
  <c r="BU463" i="15" l="1"/>
  <c r="BT463" i="15"/>
  <c r="BV463" i="15" s="1"/>
  <c r="CL215" i="15"/>
  <c r="CK215" i="15"/>
  <c r="CM215" i="15" s="1"/>
  <c r="BY340" i="15"/>
  <c r="BX340" i="15"/>
  <c r="BZ340" i="15" s="1"/>
  <c r="BE955" i="15"/>
  <c r="BD955" i="15"/>
  <c r="BF955" i="15" s="1"/>
  <c r="BQ586" i="15"/>
  <c r="BP586" i="15"/>
  <c r="BR586" i="15" s="1"/>
  <c r="BI832" i="15"/>
  <c r="BH832" i="15"/>
  <c r="BJ832" i="15" s="1"/>
  <c r="CC217" i="15"/>
  <c r="CB217" i="15"/>
  <c r="CD217" i="15" s="1"/>
  <c r="CH216" i="15"/>
  <c r="CG216" i="15"/>
  <c r="CI216" i="15" s="1"/>
  <c r="BM709" i="15"/>
  <c r="BL709" i="15"/>
  <c r="BN709" i="15" s="1"/>
  <c r="J39" i="7"/>
  <c r="K39" i="7"/>
  <c r="CH217" i="15" l="1"/>
  <c r="CG217" i="15"/>
  <c r="CI217" i="15" s="1"/>
  <c r="BI833" i="15"/>
  <c r="BH833" i="15"/>
  <c r="BJ833" i="15" s="1"/>
  <c r="BE956" i="15"/>
  <c r="BD956" i="15"/>
  <c r="BF956" i="15" s="1"/>
  <c r="BY341" i="15"/>
  <c r="BX341" i="15"/>
  <c r="BZ341" i="15" s="1"/>
  <c r="BU464" i="15"/>
  <c r="BT464" i="15"/>
  <c r="BV464" i="15" s="1"/>
  <c r="BM710" i="15"/>
  <c r="BL710" i="15"/>
  <c r="BN710" i="15" s="1"/>
  <c r="CC218" i="15"/>
  <c r="CB218" i="15"/>
  <c r="CD218" i="15" s="1"/>
  <c r="BQ587" i="15"/>
  <c r="BP587" i="15"/>
  <c r="BR587" i="15" s="1"/>
  <c r="CL216" i="15"/>
  <c r="CK216" i="15"/>
  <c r="CM216" i="15" s="1"/>
  <c r="L39" i="7"/>
  <c r="J426" i="7"/>
  <c r="B34" i="7"/>
  <c r="C34" i="7" s="1"/>
  <c r="BQ588" i="15" l="1"/>
  <c r="BP588" i="15"/>
  <c r="BR588" i="15" s="1"/>
  <c r="BM711" i="15"/>
  <c r="BL711" i="15"/>
  <c r="BN711" i="15" s="1"/>
  <c r="BY342" i="15"/>
  <c r="BX342" i="15"/>
  <c r="BZ342" i="15" s="1"/>
  <c r="BE957" i="15"/>
  <c r="BD957" i="15"/>
  <c r="BF957" i="15" s="1"/>
  <c r="CH218" i="15"/>
  <c r="CG218" i="15"/>
  <c r="CI218" i="15" s="1"/>
  <c r="CL217" i="15"/>
  <c r="CK217" i="15"/>
  <c r="CM217" i="15" s="1"/>
  <c r="CC219" i="15"/>
  <c r="CB219" i="15"/>
  <c r="CD219" i="15" s="1"/>
  <c r="BU465" i="15"/>
  <c r="BT465" i="15"/>
  <c r="BV465" i="15" s="1"/>
  <c r="BI834" i="15"/>
  <c r="BH834" i="15"/>
  <c r="BJ834" i="15" s="1"/>
  <c r="J40" i="7"/>
  <c r="K40" i="7"/>
  <c r="J437" i="7"/>
  <c r="C9" i="18" s="1"/>
  <c r="K426" i="7"/>
  <c r="K437" i="7" s="1"/>
  <c r="D9" i="18" s="1"/>
  <c r="BU466" i="15" l="1"/>
  <c r="BT466" i="15"/>
  <c r="BV466" i="15" s="1"/>
  <c r="CL218" i="15"/>
  <c r="CK218" i="15"/>
  <c r="CM218" i="15" s="1"/>
  <c r="CH219" i="15"/>
  <c r="CG219" i="15"/>
  <c r="CI219" i="15" s="1"/>
  <c r="BY343" i="15"/>
  <c r="BX343" i="15"/>
  <c r="BZ343" i="15" s="1"/>
  <c r="BQ589" i="15"/>
  <c r="BP589" i="15"/>
  <c r="BR589" i="15" s="1"/>
  <c r="BI835" i="15"/>
  <c r="BH835" i="15"/>
  <c r="BJ835" i="15" s="1"/>
  <c r="CC220" i="15"/>
  <c r="CB220" i="15"/>
  <c r="CD220" i="15" s="1"/>
  <c r="BE958" i="15"/>
  <c r="BD958" i="15"/>
  <c r="BF958" i="15" s="1"/>
  <c r="BM712" i="15"/>
  <c r="BL712" i="15"/>
  <c r="BN712" i="15" s="1"/>
  <c r="L40" i="7"/>
  <c r="BE959" i="15" l="1"/>
  <c r="BD959" i="15"/>
  <c r="BF959" i="15" s="1"/>
  <c r="BI836" i="15"/>
  <c r="BH836" i="15"/>
  <c r="BJ836" i="15" s="1"/>
  <c r="BY344" i="15"/>
  <c r="BX344" i="15"/>
  <c r="BZ344" i="15" s="1"/>
  <c r="CH220" i="15"/>
  <c r="CG220" i="15"/>
  <c r="CI220" i="15" s="1"/>
  <c r="BU467" i="15"/>
  <c r="BT467" i="15"/>
  <c r="BV467" i="15" s="1"/>
  <c r="BM713" i="15"/>
  <c r="BL713" i="15"/>
  <c r="BN713" i="15" s="1"/>
  <c r="CC221" i="15"/>
  <c r="CB221" i="15"/>
  <c r="CD221" i="15" s="1"/>
  <c r="BQ590" i="15"/>
  <c r="BP590" i="15"/>
  <c r="BR590" i="15" s="1"/>
  <c r="CL219" i="15"/>
  <c r="CK219" i="15"/>
  <c r="CM219" i="15" s="1"/>
  <c r="J41" i="7"/>
  <c r="K41" i="7"/>
  <c r="BQ591" i="15" l="1"/>
  <c r="BP591" i="15"/>
  <c r="BR591" i="15" s="1"/>
  <c r="BM714" i="15"/>
  <c r="BL714" i="15"/>
  <c r="BN714" i="15" s="1"/>
  <c r="CH221" i="15"/>
  <c r="CG221" i="15"/>
  <c r="CI221" i="15" s="1"/>
  <c r="BY345" i="15"/>
  <c r="BX345" i="15"/>
  <c r="BZ345" i="15" s="1"/>
  <c r="BE960" i="15"/>
  <c r="BD960" i="15"/>
  <c r="BF960" i="15" s="1"/>
  <c r="CL220" i="15"/>
  <c r="CK220" i="15"/>
  <c r="CM220" i="15" s="1"/>
  <c r="CC222" i="15"/>
  <c r="CB222" i="15"/>
  <c r="CD222" i="15" s="1"/>
  <c r="BU468" i="15"/>
  <c r="BT468" i="15"/>
  <c r="BV468" i="15" s="1"/>
  <c r="BI837" i="15"/>
  <c r="BH837" i="15"/>
  <c r="BJ837" i="15" s="1"/>
  <c r="L41" i="7"/>
  <c r="CC223" i="15" l="1"/>
  <c r="CB223" i="15"/>
  <c r="CD223" i="15" s="1"/>
  <c r="CL221" i="15"/>
  <c r="CK221" i="15"/>
  <c r="CM221" i="15" s="1"/>
  <c r="BY346" i="15"/>
  <c r="BX346" i="15"/>
  <c r="BZ346" i="15" s="1"/>
  <c r="CH222" i="15"/>
  <c r="CG222" i="15"/>
  <c r="CI222" i="15" s="1"/>
  <c r="BQ592" i="15"/>
  <c r="BP592" i="15"/>
  <c r="BR592" i="15" s="1"/>
  <c r="BI838" i="15"/>
  <c r="BH838" i="15"/>
  <c r="BJ838" i="15" s="1"/>
  <c r="BU469" i="15"/>
  <c r="BT469" i="15"/>
  <c r="BV469" i="15" s="1"/>
  <c r="BE961" i="15"/>
  <c r="BD961" i="15"/>
  <c r="BF961" i="15" s="1"/>
  <c r="BM715" i="15"/>
  <c r="BL715" i="15"/>
  <c r="BN715" i="15" s="1"/>
  <c r="J42" i="7"/>
  <c r="K42" i="7"/>
  <c r="BE962" i="15" l="1"/>
  <c r="BD962" i="15"/>
  <c r="BF962" i="15" s="1"/>
  <c r="BI839" i="15"/>
  <c r="BH839" i="15"/>
  <c r="BJ839" i="15" s="1"/>
  <c r="CH223" i="15"/>
  <c r="CG223" i="15"/>
  <c r="CI223" i="15" s="1"/>
  <c r="BY347" i="15"/>
  <c r="BX347" i="15"/>
  <c r="BZ347" i="15" s="1"/>
  <c r="CC224" i="15"/>
  <c r="CB224" i="15"/>
  <c r="CD224" i="15" s="1"/>
  <c r="BM716" i="15"/>
  <c r="BL716" i="15"/>
  <c r="BN716" i="15" s="1"/>
  <c r="BU470" i="15"/>
  <c r="BT470" i="15"/>
  <c r="BV470" i="15" s="1"/>
  <c r="BQ593" i="15"/>
  <c r="BP593" i="15"/>
  <c r="BR593" i="15" s="1"/>
  <c r="CL222" i="15"/>
  <c r="CK222" i="15"/>
  <c r="CM222" i="15" s="1"/>
  <c r="L42" i="7"/>
  <c r="BQ594" i="15" l="1"/>
  <c r="BP594" i="15"/>
  <c r="BR594" i="15" s="1"/>
  <c r="BM717" i="15"/>
  <c r="BL717" i="15"/>
  <c r="BN717" i="15" s="1"/>
  <c r="BY348" i="15"/>
  <c r="BX348" i="15"/>
  <c r="BZ348" i="15" s="1"/>
  <c r="CH224" i="15"/>
  <c r="CG224" i="15"/>
  <c r="CI224" i="15" s="1"/>
  <c r="BE963" i="15"/>
  <c r="BD963" i="15"/>
  <c r="BF963" i="15" s="1"/>
  <c r="CL223" i="15"/>
  <c r="CK223" i="15"/>
  <c r="CM223" i="15" s="1"/>
  <c r="BU471" i="15"/>
  <c r="BT471" i="15"/>
  <c r="BV471" i="15" s="1"/>
  <c r="CC225" i="15"/>
  <c r="CB225" i="15"/>
  <c r="CD225" i="15" s="1"/>
  <c r="BI840" i="15"/>
  <c r="BH840" i="15"/>
  <c r="BJ840" i="15" s="1"/>
  <c r="J43" i="7"/>
  <c r="K43" i="7"/>
  <c r="CC226" i="15" l="1"/>
  <c r="CB226" i="15"/>
  <c r="CD226" i="15" s="1"/>
  <c r="CL224" i="15"/>
  <c r="CK224" i="15"/>
  <c r="CM224" i="15" s="1"/>
  <c r="BE964" i="15"/>
  <c r="BD964" i="15"/>
  <c r="BF964" i="15" s="1"/>
  <c r="BY349" i="15"/>
  <c r="BX349" i="15"/>
  <c r="BZ349" i="15" s="1"/>
  <c r="BQ595" i="15"/>
  <c r="BP595" i="15"/>
  <c r="BR595" i="15" s="1"/>
  <c r="BI841" i="15"/>
  <c r="BH841" i="15"/>
  <c r="BJ841" i="15" s="1"/>
  <c r="BU472" i="15"/>
  <c r="BT472" i="15"/>
  <c r="BV472" i="15" s="1"/>
  <c r="CH225" i="15"/>
  <c r="CG225" i="15"/>
  <c r="CI225" i="15" s="1"/>
  <c r="BM718" i="15"/>
  <c r="BL718" i="15"/>
  <c r="BN718" i="15" s="1"/>
  <c r="L43" i="7"/>
  <c r="BM719" i="15" l="1"/>
  <c r="BL719" i="15"/>
  <c r="BN719" i="15" s="1"/>
  <c r="BU473" i="15"/>
  <c r="BT473" i="15"/>
  <c r="BV473" i="15" s="1"/>
  <c r="BQ596" i="15"/>
  <c r="BP596" i="15"/>
  <c r="BR596" i="15" s="1"/>
  <c r="BE965" i="15"/>
  <c r="BD965" i="15"/>
  <c r="BF965" i="15" s="1"/>
  <c r="CC227" i="15"/>
  <c r="CB227" i="15"/>
  <c r="CD227" i="15" s="1"/>
  <c r="CH226" i="15"/>
  <c r="CG226" i="15"/>
  <c r="CI226" i="15" s="1"/>
  <c r="BI842" i="15"/>
  <c r="BH842" i="15"/>
  <c r="BJ842" i="15" s="1"/>
  <c r="BY350" i="15"/>
  <c r="BX350" i="15"/>
  <c r="BZ350" i="15" s="1"/>
  <c r="CL225" i="15"/>
  <c r="CK225" i="15"/>
  <c r="CM225" i="15" s="1"/>
  <c r="J44" i="7"/>
  <c r="K44" i="7"/>
  <c r="CL226" i="15" l="1"/>
  <c r="CK226" i="15"/>
  <c r="CM226" i="15" s="1"/>
  <c r="BI843" i="15"/>
  <c r="BH843" i="15"/>
  <c r="BJ843" i="15" s="1"/>
  <c r="CH227" i="15"/>
  <c r="CG227" i="15"/>
  <c r="CI227" i="15" s="1"/>
  <c r="BE966" i="15"/>
  <c r="BD966" i="15"/>
  <c r="BF966" i="15" s="1"/>
  <c r="BQ597" i="15"/>
  <c r="BP597" i="15"/>
  <c r="BR597" i="15" s="1"/>
  <c r="BM720" i="15"/>
  <c r="BL720" i="15"/>
  <c r="BN720" i="15" s="1"/>
  <c r="BY351" i="15"/>
  <c r="BX351" i="15"/>
  <c r="BZ351" i="15" s="1"/>
  <c r="CC228" i="15"/>
  <c r="CB228" i="15"/>
  <c r="CD228" i="15" s="1"/>
  <c r="BU474" i="15"/>
  <c r="BT474" i="15"/>
  <c r="BV474" i="15" s="1"/>
  <c r="L44" i="7"/>
  <c r="BU475" i="15" l="1"/>
  <c r="BT475" i="15"/>
  <c r="BV475" i="15" s="1"/>
  <c r="CC229" i="15"/>
  <c r="CB229" i="15"/>
  <c r="CD229" i="15" s="1"/>
  <c r="BM721" i="15"/>
  <c r="BL721" i="15"/>
  <c r="BN721" i="15" s="1"/>
  <c r="BE967" i="15"/>
  <c r="BD967" i="15"/>
  <c r="BF967" i="15" s="1"/>
  <c r="CH228" i="15"/>
  <c r="CG228" i="15"/>
  <c r="CI228" i="15" s="1"/>
  <c r="CL227" i="15"/>
  <c r="CK227" i="15"/>
  <c r="CM227" i="15" s="1"/>
  <c r="BY352" i="15"/>
  <c r="BX352" i="15"/>
  <c r="BZ352" i="15" s="1"/>
  <c r="BQ598" i="15"/>
  <c r="BP598" i="15"/>
  <c r="BR598" i="15" s="1"/>
  <c r="BI844" i="15"/>
  <c r="BH844" i="15"/>
  <c r="BJ844" i="15" s="1"/>
  <c r="J45" i="7"/>
  <c r="K45" i="7"/>
  <c r="BQ599" i="15" l="1"/>
  <c r="BP599" i="15"/>
  <c r="BR599" i="15" s="1"/>
  <c r="CL228" i="15"/>
  <c r="CK228" i="15"/>
  <c r="CM228" i="15" s="1"/>
  <c r="BE968" i="15"/>
  <c r="BD968" i="15"/>
  <c r="BF968" i="15" s="1"/>
  <c r="BM722" i="15"/>
  <c r="BL722" i="15"/>
  <c r="BN722" i="15" s="1"/>
  <c r="BU476" i="15"/>
  <c r="BT476" i="15"/>
  <c r="BV476" i="15" s="1"/>
  <c r="BI845" i="15"/>
  <c r="BH845" i="15"/>
  <c r="BJ845" i="15" s="1"/>
  <c r="BY353" i="15"/>
  <c r="BX353" i="15"/>
  <c r="BZ353" i="15" s="1"/>
  <c r="CH229" i="15"/>
  <c r="CG229" i="15"/>
  <c r="CI229" i="15" s="1"/>
  <c r="CC230" i="15"/>
  <c r="CB230" i="15"/>
  <c r="CD230" i="15" s="1"/>
  <c r="L45" i="7"/>
  <c r="CH230" i="15" l="1"/>
  <c r="CG230" i="15"/>
  <c r="CI230" i="15" s="1"/>
  <c r="BI846" i="15"/>
  <c r="BH846" i="15"/>
  <c r="BJ846" i="15" s="1"/>
  <c r="BU477" i="15"/>
  <c r="BT477" i="15"/>
  <c r="BV477" i="15" s="1"/>
  <c r="BE969" i="15"/>
  <c r="BD969" i="15"/>
  <c r="BF969" i="15" s="1"/>
  <c r="BQ600" i="15"/>
  <c r="BP600" i="15"/>
  <c r="BR600" i="15" s="1"/>
  <c r="CC231" i="15"/>
  <c r="CB231" i="15"/>
  <c r="CD231" i="15" s="1"/>
  <c r="BY354" i="15"/>
  <c r="BX354" i="15"/>
  <c r="BZ354" i="15" s="1"/>
  <c r="BM723" i="15"/>
  <c r="BL723" i="15"/>
  <c r="BN723" i="15" s="1"/>
  <c r="CL229" i="15"/>
  <c r="CK229" i="15"/>
  <c r="CM229" i="15" s="1"/>
  <c r="J46" i="7"/>
  <c r="K46" i="7"/>
  <c r="BM724" i="15" l="1"/>
  <c r="BL724" i="15"/>
  <c r="BN724" i="15" s="1"/>
  <c r="BQ601" i="15"/>
  <c r="BP601" i="15"/>
  <c r="BR601" i="15" s="1"/>
  <c r="BI847" i="15"/>
  <c r="BH847" i="15"/>
  <c r="BJ847" i="15" s="1"/>
  <c r="CL230" i="15"/>
  <c r="CK230" i="15"/>
  <c r="CM230" i="15" s="1"/>
  <c r="BY355" i="15"/>
  <c r="BX355" i="15"/>
  <c r="BZ355" i="15" s="1"/>
  <c r="CC232" i="15"/>
  <c r="CB232" i="15"/>
  <c r="CD232" i="15" s="1"/>
  <c r="BE970" i="15"/>
  <c r="BD970" i="15"/>
  <c r="BF970" i="15" s="1"/>
  <c r="BU478" i="15"/>
  <c r="BT478" i="15"/>
  <c r="BV478" i="15" s="1"/>
  <c r="CH231" i="15"/>
  <c r="CG231" i="15"/>
  <c r="CI231" i="15" s="1"/>
  <c r="L46" i="7"/>
  <c r="CH232" i="15" l="1"/>
  <c r="CG232" i="15"/>
  <c r="CI232" i="15" s="1"/>
  <c r="BE971" i="15"/>
  <c r="BD971" i="15"/>
  <c r="BF971" i="15" s="1"/>
  <c r="BY356" i="15"/>
  <c r="BX356" i="15"/>
  <c r="BZ356" i="15" s="1"/>
  <c r="CL231" i="15"/>
  <c r="CK231" i="15"/>
  <c r="CM231" i="15" s="1"/>
  <c r="BI848" i="15"/>
  <c r="BH848" i="15"/>
  <c r="BJ848" i="15" s="1"/>
  <c r="BM725" i="15"/>
  <c r="BL725" i="15"/>
  <c r="BN725" i="15" s="1"/>
  <c r="BU479" i="15"/>
  <c r="BT479" i="15"/>
  <c r="BV479" i="15" s="1"/>
  <c r="CC233" i="15"/>
  <c r="CB233" i="15"/>
  <c r="CD233" i="15" s="1"/>
  <c r="BQ602" i="15"/>
  <c r="BP602" i="15"/>
  <c r="BR602" i="15" s="1"/>
  <c r="J47" i="7"/>
  <c r="K47" i="7"/>
  <c r="CC234" i="15" l="1"/>
  <c r="CB234" i="15"/>
  <c r="CD234" i="15" s="1"/>
  <c r="BM726" i="15"/>
  <c r="BL726" i="15"/>
  <c r="BN726" i="15" s="1"/>
  <c r="CL232" i="15"/>
  <c r="CK232" i="15"/>
  <c r="CM232" i="15" s="1"/>
  <c r="BY357" i="15"/>
  <c r="BX357" i="15"/>
  <c r="BZ357" i="15" s="1"/>
  <c r="CH233" i="15"/>
  <c r="CG233" i="15"/>
  <c r="CI233" i="15" s="1"/>
  <c r="BQ603" i="15"/>
  <c r="BP603" i="15"/>
  <c r="BR603" i="15" s="1"/>
  <c r="BU480" i="15"/>
  <c r="BT480" i="15"/>
  <c r="BV480" i="15" s="1"/>
  <c r="BI849" i="15"/>
  <c r="BH849" i="15"/>
  <c r="BJ849" i="15" s="1"/>
  <c r="BE972" i="15"/>
  <c r="BD972" i="15"/>
  <c r="BF972" i="15" s="1"/>
  <c r="L47" i="7"/>
  <c r="BI850" i="15" l="1"/>
  <c r="BH850" i="15"/>
  <c r="BJ850" i="15" s="1"/>
  <c r="BQ604" i="15"/>
  <c r="BP604" i="15"/>
  <c r="BR604" i="15" s="1"/>
  <c r="BY358" i="15"/>
  <c r="BX358" i="15"/>
  <c r="BZ358" i="15" s="1"/>
  <c r="CL233" i="15"/>
  <c r="CK233" i="15"/>
  <c r="CM233" i="15" s="1"/>
  <c r="CC235" i="15"/>
  <c r="CB235" i="15"/>
  <c r="CD235" i="15" s="1"/>
  <c r="BE973" i="15"/>
  <c r="BD973" i="15"/>
  <c r="BF973" i="15" s="1"/>
  <c r="BU481" i="15"/>
  <c r="BT481" i="15"/>
  <c r="BV481" i="15" s="1"/>
  <c r="CH234" i="15"/>
  <c r="CG234" i="15"/>
  <c r="CI234" i="15" s="1"/>
  <c r="BM727" i="15"/>
  <c r="BL727" i="15"/>
  <c r="BN727" i="15" s="1"/>
  <c r="J48" i="7"/>
  <c r="K48" i="7"/>
  <c r="CH235" i="15" l="1"/>
  <c r="CG235" i="15"/>
  <c r="CI235" i="15" s="1"/>
  <c r="BE974" i="15"/>
  <c r="BD974" i="15"/>
  <c r="BF974" i="15" s="1"/>
  <c r="CL234" i="15"/>
  <c r="CK234" i="15"/>
  <c r="CM234" i="15" s="1"/>
  <c r="BY359" i="15"/>
  <c r="BX359" i="15"/>
  <c r="BZ359" i="15" s="1"/>
  <c r="BI851" i="15"/>
  <c r="BH851" i="15"/>
  <c r="BJ851" i="15" s="1"/>
  <c r="BM728" i="15"/>
  <c r="BL728" i="15"/>
  <c r="BN728" i="15" s="1"/>
  <c r="BU482" i="15"/>
  <c r="BT482" i="15"/>
  <c r="BV482" i="15" s="1"/>
  <c r="CC236" i="15"/>
  <c r="CB236" i="15"/>
  <c r="CD236" i="15" s="1"/>
  <c r="BQ605" i="15"/>
  <c r="BP605" i="15"/>
  <c r="BR605" i="15" s="1"/>
  <c r="L48" i="7"/>
  <c r="CC237" i="15" l="1"/>
  <c r="CB237" i="15"/>
  <c r="CD237" i="15" s="1"/>
  <c r="BM729" i="15"/>
  <c r="BL729" i="15"/>
  <c r="BN729" i="15" s="1"/>
  <c r="BY360" i="15"/>
  <c r="BX360" i="15"/>
  <c r="BZ360" i="15" s="1"/>
  <c r="CL235" i="15"/>
  <c r="CK235" i="15"/>
  <c r="CM235" i="15" s="1"/>
  <c r="CH236" i="15"/>
  <c r="CG236" i="15"/>
  <c r="CI236" i="15" s="1"/>
  <c r="BQ606" i="15"/>
  <c r="BP606" i="15"/>
  <c r="BR606" i="15" s="1"/>
  <c r="BU483" i="15"/>
  <c r="BT483" i="15"/>
  <c r="BV483" i="15" s="1"/>
  <c r="BI852" i="15"/>
  <c r="BH852" i="15"/>
  <c r="BJ852" i="15" s="1"/>
  <c r="BE975" i="15"/>
  <c r="BD975" i="15"/>
  <c r="BF975" i="15" s="1"/>
  <c r="J49" i="7"/>
  <c r="K49" i="7"/>
  <c r="BE976" i="15" l="1"/>
  <c r="BD976" i="15"/>
  <c r="BF976" i="15" s="1"/>
  <c r="BU484" i="15"/>
  <c r="BT484" i="15"/>
  <c r="BV484" i="15" s="1"/>
  <c r="CH237" i="15"/>
  <c r="CG237" i="15"/>
  <c r="CI237" i="15" s="1"/>
  <c r="BY361" i="15"/>
  <c r="BX361" i="15"/>
  <c r="BZ361" i="15" s="1"/>
  <c r="CC238" i="15"/>
  <c r="CB238" i="15"/>
  <c r="CD238" i="15" s="1"/>
  <c r="BI853" i="15"/>
  <c r="BH853" i="15"/>
  <c r="BJ853" i="15" s="1"/>
  <c r="BQ607" i="15"/>
  <c r="BP607" i="15"/>
  <c r="BR607" i="15" s="1"/>
  <c r="CL236" i="15"/>
  <c r="CK236" i="15"/>
  <c r="CM236" i="15" s="1"/>
  <c r="BM730" i="15"/>
  <c r="BL730" i="15"/>
  <c r="BN730" i="15" s="1"/>
  <c r="L49" i="7"/>
  <c r="CL237" i="15" l="1"/>
  <c r="CK237" i="15"/>
  <c r="CM237" i="15" s="1"/>
  <c r="BI854" i="15"/>
  <c r="BH854" i="15"/>
  <c r="BJ854" i="15" s="1"/>
  <c r="BY362" i="15"/>
  <c r="BX362" i="15"/>
  <c r="BZ362" i="15" s="1"/>
  <c r="CH238" i="15"/>
  <c r="CG238" i="15"/>
  <c r="CI238" i="15" s="1"/>
  <c r="BE977" i="15"/>
  <c r="BD977" i="15"/>
  <c r="BF977" i="15" s="1"/>
  <c r="BM731" i="15"/>
  <c r="BL731" i="15"/>
  <c r="BN731" i="15" s="1"/>
  <c r="BQ608" i="15"/>
  <c r="BP608" i="15"/>
  <c r="BR608" i="15" s="1"/>
  <c r="CC239" i="15"/>
  <c r="CB239" i="15"/>
  <c r="CD239" i="15" s="1"/>
  <c r="BU485" i="15"/>
  <c r="BT485" i="15"/>
  <c r="BV485" i="15" s="1"/>
  <c r="J50" i="7"/>
  <c r="K50" i="7"/>
  <c r="BU486" i="15" l="1"/>
  <c r="BT486" i="15"/>
  <c r="BV486" i="15" s="1"/>
  <c r="CC240" i="15"/>
  <c r="CB240" i="15"/>
  <c r="CD240" i="15" s="1"/>
  <c r="BQ609" i="15"/>
  <c r="BP609" i="15"/>
  <c r="BR609" i="15" s="1"/>
  <c r="BM732" i="15"/>
  <c r="BL732" i="15"/>
  <c r="BN732" i="15" s="1"/>
  <c r="BE978" i="15"/>
  <c r="BD978" i="15"/>
  <c r="BF978" i="15" s="1"/>
  <c r="CH239" i="15"/>
  <c r="CG239" i="15"/>
  <c r="CI239" i="15" s="1"/>
  <c r="BY363" i="15"/>
  <c r="BX363" i="15"/>
  <c r="BZ363" i="15" s="1"/>
  <c r="BI855" i="15"/>
  <c r="BH855" i="15"/>
  <c r="BJ855" i="15" s="1"/>
  <c r="CL238" i="15"/>
  <c r="CK238" i="15"/>
  <c r="CM238" i="15" s="1"/>
  <c r="L50" i="7"/>
  <c r="CL239" i="15" l="1"/>
  <c r="CK239" i="15"/>
  <c r="CM239" i="15" s="1"/>
  <c r="BI856" i="15"/>
  <c r="BH856" i="15"/>
  <c r="BJ856" i="15" s="1"/>
  <c r="BY364" i="15"/>
  <c r="BX364" i="15"/>
  <c r="BZ364" i="15" s="1"/>
  <c r="CH240" i="15"/>
  <c r="CG240" i="15"/>
  <c r="CI240" i="15" s="1"/>
  <c r="BE979" i="15"/>
  <c r="BD979" i="15"/>
  <c r="BF979" i="15" s="1"/>
  <c r="BM733" i="15"/>
  <c r="BL733" i="15"/>
  <c r="BN733" i="15" s="1"/>
  <c r="BQ610" i="15"/>
  <c r="BP610" i="15"/>
  <c r="BR610" i="15" s="1"/>
  <c r="CC241" i="15"/>
  <c r="CB241" i="15"/>
  <c r="CD241" i="15" s="1"/>
  <c r="BU487" i="15"/>
  <c r="BT487" i="15"/>
  <c r="BV487" i="15" s="1"/>
  <c r="J51" i="7"/>
  <c r="K51" i="7"/>
  <c r="CC242" i="15" l="1"/>
  <c r="CB242" i="15"/>
  <c r="CD242" i="15" s="1"/>
  <c r="BM734" i="15"/>
  <c r="BL734" i="15"/>
  <c r="BN734" i="15" s="1"/>
  <c r="CH241" i="15"/>
  <c r="CG241" i="15"/>
  <c r="CI241" i="15" s="1"/>
  <c r="BY365" i="15"/>
  <c r="BX365" i="15"/>
  <c r="BZ365" i="15" s="1"/>
  <c r="CL240" i="15"/>
  <c r="CK240" i="15"/>
  <c r="CM240" i="15" s="1"/>
  <c r="BU488" i="15"/>
  <c r="BT488" i="15"/>
  <c r="BV488" i="15" s="1"/>
  <c r="BQ611" i="15"/>
  <c r="BP611" i="15"/>
  <c r="BR611" i="15" s="1"/>
  <c r="BE980" i="15"/>
  <c r="BD980" i="15"/>
  <c r="BF980" i="15" s="1"/>
  <c r="BI857" i="15"/>
  <c r="BH857" i="15"/>
  <c r="BJ857" i="15" s="1"/>
  <c r="L51" i="7"/>
  <c r="J427" i="7"/>
  <c r="B35" i="7"/>
  <c r="C35" i="7" s="1"/>
  <c r="BE981" i="15" l="1"/>
  <c r="BD981" i="15"/>
  <c r="BF981" i="15" s="1"/>
  <c r="BU489" i="15"/>
  <c r="BT489" i="15"/>
  <c r="BV489" i="15" s="1"/>
  <c r="BY366" i="15"/>
  <c r="BX366" i="15"/>
  <c r="BZ366" i="15" s="1"/>
  <c r="CH242" i="15"/>
  <c r="CG242" i="15"/>
  <c r="CI242" i="15" s="1"/>
  <c r="CC243" i="15"/>
  <c r="CB243" i="15"/>
  <c r="CD243" i="15" s="1"/>
  <c r="BI858" i="15"/>
  <c r="BH858" i="15"/>
  <c r="BJ858" i="15" s="1"/>
  <c r="BQ612" i="15"/>
  <c r="BP612" i="15"/>
  <c r="BR612" i="15" s="1"/>
  <c r="CL241" i="15"/>
  <c r="CK241" i="15"/>
  <c r="CM241" i="15" s="1"/>
  <c r="BM735" i="15"/>
  <c r="BL735" i="15"/>
  <c r="BN735" i="15" s="1"/>
  <c r="J52" i="7"/>
  <c r="K52" i="7"/>
  <c r="K427" i="7"/>
  <c r="K438" i="7" s="1"/>
  <c r="D10" i="18" s="1"/>
  <c r="J438" i="7"/>
  <c r="C10" i="18" s="1"/>
  <c r="CL242" i="15" l="1"/>
  <c r="CK242" i="15"/>
  <c r="CM242" i="15" s="1"/>
  <c r="BI859" i="15"/>
  <c r="BH859" i="15"/>
  <c r="BJ859" i="15" s="1"/>
  <c r="CH243" i="15"/>
  <c r="CG243" i="15"/>
  <c r="CI243" i="15" s="1"/>
  <c r="BY367" i="15"/>
  <c r="BX367" i="15"/>
  <c r="BZ367" i="15" s="1"/>
  <c r="BE982" i="15"/>
  <c r="BD982" i="15"/>
  <c r="BF982" i="15" s="1"/>
  <c r="BM736" i="15"/>
  <c r="BL736" i="15"/>
  <c r="BN736" i="15" s="1"/>
  <c r="BQ613" i="15"/>
  <c r="BP613" i="15"/>
  <c r="BR613" i="15" s="1"/>
  <c r="CC244" i="15"/>
  <c r="CB244" i="15"/>
  <c r="CD244" i="15" s="1"/>
  <c r="BU490" i="15"/>
  <c r="BT490" i="15"/>
  <c r="BV490" i="15" s="1"/>
  <c r="L52" i="7"/>
  <c r="CC245" i="15" l="1"/>
  <c r="CB245" i="15"/>
  <c r="CD245" i="15" s="1"/>
  <c r="BM737" i="15"/>
  <c r="BL737" i="15"/>
  <c r="BN737" i="15" s="1"/>
  <c r="BY368" i="15"/>
  <c r="BX368" i="15"/>
  <c r="BZ368" i="15" s="1"/>
  <c r="CH244" i="15"/>
  <c r="CG244" i="15"/>
  <c r="CI244" i="15" s="1"/>
  <c r="CL243" i="15"/>
  <c r="CK243" i="15"/>
  <c r="CM243" i="15" s="1"/>
  <c r="BU491" i="15"/>
  <c r="BT491" i="15"/>
  <c r="BV491" i="15" s="1"/>
  <c r="BQ614" i="15"/>
  <c r="BP614" i="15"/>
  <c r="BR614" i="15" s="1"/>
  <c r="BE983" i="15"/>
  <c r="BD983" i="15"/>
  <c r="BF983" i="15" s="1"/>
  <c r="BI860" i="15"/>
  <c r="BH860" i="15"/>
  <c r="BJ860" i="15" s="1"/>
  <c r="J53" i="7"/>
  <c r="K53" i="7"/>
  <c r="BI861" i="15" l="1"/>
  <c r="BH861" i="15"/>
  <c r="BJ861" i="15" s="1"/>
  <c r="BQ615" i="15"/>
  <c r="BP615" i="15"/>
  <c r="BR615" i="15" s="1"/>
  <c r="BU492" i="15"/>
  <c r="BT492" i="15"/>
  <c r="BV492" i="15" s="1"/>
  <c r="CH245" i="15"/>
  <c r="CG245" i="15"/>
  <c r="CI245" i="15" s="1"/>
  <c r="BY369" i="15"/>
  <c r="BX369" i="15"/>
  <c r="BZ369" i="15" s="1"/>
  <c r="CC246" i="15"/>
  <c r="CB246" i="15"/>
  <c r="CD246" i="15" s="1"/>
  <c r="BE984" i="15"/>
  <c r="BD984" i="15"/>
  <c r="BF984" i="15" s="1"/>
  <c r="CL244" i="15"/>
  <c r="CK244" i="15"/>
  <c r="CM244" i="15" s="1"/>
  <c r="BM738" i="15"/>
  <c r="BL738" i="15"/>
  <c r="BN738" i="15" s="1"/>
  <c r="L53" i="7"/>
  <c r="BM739" i="15" l="1"/>
  <c r="BL739" i="15"/>
  <c r="BN739" i="15" s="1"/>
  <c r="BE985" i="15"/>
  <c r="BD985" i="15"/>
  <c r="BF985" i="15" s="1"/>
  <c r="BY370" i="15"/>
  <c r="BX370" i="15"/>
  <c r="BZ370" i="15" s="1"/>
  <c r="BU493" i="15"/>
  <c r="BT493" i="15"/>
  <c r="BV493" i="15" s="1"/>
  <c r="BI862" i="15"/>
  <c r="BH862" i="15"/>
  <c r="BJ862" i="15" s="1"/>
  <c r="CL245" i="15"/>
  <c r="CK245" i="15"/>
  <c r="CM245" i="15" s="1"/>
  <c r="CC247" i="15"/>
  <c r="CB247" i="15"/>
  <c r="CD247" i="15" s="1"/>
  <c r="CH246" i="15"/>
  <c r="CG246" i="15"/>
  <c r="CI246" i="15" s="1"/>
  <c r="BQ616" i="15"/>
  <c r="BP616" i="15"/>
  <c r="BR616" i="15" s="1"/>
  <c r="J54" i="7"/>
  <c r="K54" i="7"/>
  <c r="CH247" i="15" l="1"/>
  <c r="CG247" i="15"/>
  <c r="CI247" i="15" s="1"/>
  <c r="CL246" i="15"/>
  <c r="CK246" i="15"/>
  <c r="CM246" i="15" s="1"/>
  <c r="BU494" i="15"/>
  <c r="BT494" i="15"/>
  <c r="BV494" i="15" s="1"/>
  <c r="BY371" i="15"/>
  <c r="BX371" i="15"/>
  <c r="BZ371" i="15" s="1"/>
  <c r="BM740" i="15"/>
  <c r="BL740" i="15"/>
  <c r="BN740" i="15" s="1"/>
  <c r="BQ617" i="15"/>
  <c r="BP617" i="15"/>
  <c r="BR617" i="15" s="1"/>
  <c r="CC248" i="15"/>
  <c r="CB248" i="15"/>
  <c r="CD248" i="15" s="1"/>
  <c r="BI863" i="15"/>
  <c r="BH863" i="15"/>
  <c r="BJ863" i="15" s="1"/>
  <c r="BE986" i="15"/>
  <c r="BD986" i="15"/>
  <c r="BF986" i="15" s="1"/>
  <c r="L54" i="7"/>
  <c r="BI864" i="15" l="1"/>
  <c r="BH864" i="15"/>
  <c r="BJ864" i="15" s="1"/>
  <c r="BQ618" i="15"/>
  <c r="BP618" i="15"/>
  <c r="BR618" i="15" s="1"/>
  <c r="BM741" i="15"/>
  <c r="BL741" i="15"/>
  <c r="BN741" i="15" s="1"/>
  <c r="BU495" i="15"/>
  <c r="BT495" i="15"/>
  <c r="BV495" i="15" s="1"/>
  <c r="CH248" i="15"/>
  <c r="CG248" i="15"/>
  <c r="CI248" i="15" s="1"/>
  <c r="BE987" i="15"/>
  <c r="BD987" i="15"/>
  <c r="BF987" i="15" s="1"/>
  <c r="CC249" i="15"/>
  <c r="CB249" i="15"/>
  <c r="CD249" i="15" s="1"/>
  <c r="BY372" i="15"/>
  <c r="BX372" i="15"/>
  <c r="BZ372" i="15" s="1"/>
  <c r="CL247" i="15"/>
  <c r="CK247" i="15"/>
  <c r="CM247" i="15" s="1"/>
  <c r="J55" i="7"/>
  <c r="K55" i="7"/>
  <c r="BY373" i="15" l="1"/>
  <c r="BX373" i="15"/>
  <c r="BZ373" i="15" s="1"/>
  <c r="BE988" i="15"/>
  <c r="BD988" i="15"/>
  <c r="BF988" i="15" s="1"/>
  <c r="BU496" i="15"/>
  <c r="BT496" i="15"/>
  <c r="BV496" i="15" s="1"/>
  <c r="BM742" i="15"/>
  <c r="BL742" i="15"/>
  <c r="BN742" i="15" s="1"/>
  <c r="BI865" i="15"/>
  <c r="BH865" i="15"/>
  <c r="BJ865" i="15" s="1"/>
  <c r="CL248" i="15"/>
  <c r="CK248" i="15"/>
  <c r="CM248" i="15" s="1"/>
  <c r="CC250" i="15"/>
  <c r="CB250" i="15"/>
  <c r="CD250" i="15" s="1"/>
  <c r="CH249" i="15"/>
  <c r="CG249" i="15"/>
  <c r="CI249" i="15" s="1"/>
  <c r="BQ619" i="15"/>
  <c r="BP619" i="15"/>
  <c r="BR619" i="15" s="1"/>
  <c r="L55" i="7"/>
  <c r="CH250" i="15" l="1"/>
  <c r="CG250" i="15"/>
  <c r="CI250" i="15" s="1"/>
  <c r="CL249" i="15"/>
  <c r="CK249" i="15"/>
  <c r="CM249" i="15" s="1"/>
  <c r="BM743" i="15"/>
  <c r="BL743" i="15"/>
  <c r="BN743" i="15" s="1"/>
  <c r="BU497" i="15"/>
  <c r="BT497" i="15"/>
  <c r="BV497" i="15" s="1"/>
  <c r="BY374" i="15"/>
  <c r="BX374" i="15"/>
  <c r="BZ374" i="15" s="1"/>
  <c r="BQ620" i="15"/>
  <c r="BP620" i="15"/>
  <c r="BR620" i="15" s="1"/>
  <c r="CC251" i="15"/>
  <c r="CB251" i="15"/>
  <c r="CD251" i="15" s="1"/>
  <c r="BI866" i="15"/>
  <c r="BH866" i="15"/>
  <c r="BJ866" i="15" s="1"/>
  <c r="BE989" i="15"/>
  <c r="BD989" i="15"/>
  <c r="BF989" i="15" s="1"/>
  <c r="J56" i="7"/>
  <c r="K56" i="7"/>
  <c r="BE990" i="15" l="1"/>
  <c r="BD990" i="15"/>
  <c r="BF990" i="15" s="1"/>
  <c r="CC252" i="15"/>
  <c r="CB252" i="15"/>
  <c r="CD252" i="15" s="1"/>
  <c r="BY375" i="15"/>
  <c r="BX375" i="15"/>
  <c r="BZ375" i="15" s="1"/>
  <c r="BM744" i="15"/>
  <c r="BL744" i="15"/>
  <c r="BN744" i="15" s="1"/>
  <c r="CH251" i="15"/>
  <c r="CG251" i="15"/>
  <c r="CI251" i="15" s="1"/>
  <c r="BI867" i="15"/>
  <c r="BH867" i="15"/>
  <c r="BJ867" i="15" s="1"/>
  <c r="BQ621" i="15"/>
  <c r="BP621" i="15"/>
  <c r="BR621" i="15" s="1"/>
  <c r="BU498" i="15"/>
  <c r="BT498" i="15"/>
  <c r="BV498" i="15" s="1"/>
  <c r="CL250" i="15"/>
  <c r="CK250" i="15"/>
  <c r="CM250" i="15" s="1"/>
  <c r="L56" i="7"/>
  <c r="CL251" i="15" l="1"/>
  <c r="CK251" i="15"/>
  <c r="CM251" i="15" s="1"/>
  <c r="BQ622" i="15"/>
  <c r="BP622" i="15"/>
  <c r="BR622" i="15" s="1"/>
  <c r="CH252" i="15"/>
  <c r="CG252" i="15"/>
  <c r="CI252" i="15" s="1"/>
  <c r="BY376" i="15"/>
  <c r="BX376" i="15"/>
  <c r="BZ376" i="15" s="1"/>
  <c r="BE991" i="15"/>
  <c r="BD991" i="15"/>
  <c r="BF991" i="15" s="1"/>
  <c r="BU499" i="15"/>
  <c r="BT499" i="15"/>
  <c r="BV499" i="15" s="1"/>
  <c r="BI868" i="15"/>
  <c r="BH868" i="15"/>
  <c r="BJ868" i="15" s="1"/>
  <c r="BM745" i="15"/>
  <c r="BL745" i="15"/>
  <c r="BN745" i="15" s="1"/>
  <c r="CC253" i="15"/>
  <c r="CB253" i="15"/>
  <c r="CD253" i="15" s="1"/>
  <c r="J57" i="7"/>
  <c r="K57" i="7"/>
  <c r="CC254" i="15" l="1"/>
  <c r="CB254" i="15"/>
  <c r="CD254" i="15" s="1"/>
  <c r="BI869" i="15"/>
  <c r="BH869" i="15"/>
  <c r="BJ869" i="15" s="1"/>
  <c r="BU500" i="15"/>
  <c r="BT500" i="15"/>
  <c r="BV500" i="15" s="1"/>
  <c r="BY377" i="15"/>
  <c r="BX377" i="15"/>
  <c r="BZ377" i="15" s="1"/>
  <c r="CH253" i="15"/>
  <c r="CG253" i="15"/>
  <c r="CI253" i="15" s="1"/>
  <c r="CL252" i="15"/>
  <c r="CK252" i="15"/>
  <c r="CM252" i="15" s="1"/>
  <c r="BM746" i="15"/>
  <c r="BL746" i="15"/>
  <c r="BN746" i="15" s="1"/>
  <c r="BE992" i="15"/>
  <c r="BD992" i="15"/>
  <c r="BF992" i="15" s="1"/>
  <c r="BQ623" i="15"/>
  <c r="BP623" i="15"/>
  <c r="BR623" i="15" s="1"/>
  <c r="L57" i="7"/>
  <c r="BQ624" i="15" l="1"/>
  <c r="BP624" i="15"/>
  <c r="BR624" i="15" s="1"/>
  <c r="BM747" i="15"/>
  <c r="BL747" i="15"/>
  <c r="BN747" i="15" s="1"/>
  <c r="CH254" i="15"/>
  <c r="CG254" i="15"/>
  <c r="CI254" i="15" s="1"/>
  <c r="BU501" i="15"/>
  <c r="BT501" i="15"/>
  <c r="BV501" i="15" s="1"/>
  <c r="CC255" i="15"/>
  <c r="CB255" i="15"/>
  <c r="CD255" i="15" s="1"/>
  <c r="BE993" i="15"/>
  <c r="BD993" i="15"/>
  <c r="BF993" i="15" s="1"/>
  <c r="CL253" i="15"/>
  <c r="CK253" i="15"/>
  <c r="CM253" i="15" s="1"/>
  <c r="BY378" i="15"/>
  <c r="BX378" i="15"/>
  <c r="BZ378" i="15" s="1"/>
  <c r="BI870" i="15"/>
  <c r="BH870" i="15"/>
  <c r="BJ870" i="15" s="1"/>
  <c r="J58" i="7"/>
  <c r="K58" i="7"/>
  <c r="BY379" i="15" l="1"/>
  <c r="BX379" i="15"/>
  <c r="BZ379" i="15" s="1"/>
  <c r="BE994" i="15"/>
  <c r="BD994" i="15"/>
  <c r="BF994" i="15" s="1"/>
  <c r="BU502" i="15"/>
  <c r="BT502" i="15"/>
  <c r="BV502" i="15" s="1"/>
  <c r="CH255" i="15"/>
  <c r="CG255" i="15"/>
  <c r="CI255" i="15" s="1"/>
  <c r="BQ625" i="15"/>
  <c r="BP625" i="15"/>
  <c r="BR625" i="15" s="1"/>
  <c r="BI871" i="15"/>
  <c r="BH871" i="15"/>
  <c r="BJ871" i="15" s="1"/>
  <c r="CL254" i="15"/>
  <c r="CK254" i="15"/>
  <c r="CM254" i="15" s="1"/>
  <c r="CC256" i="15"/>
  <c r="CB256" i="15"/>
  <c r="CD256" i="15" s="1"/>
  <c r="BM748" i="15"/>
  <c r="BL748" i="15"/>
  <c r="BN748" i="15" s="1"/>
  <c r="L58" i="7"/>
  <c r="BM749" i="15" l="1"/>
  <c r="BL749" i="15"/>
  <c r="BN749" i="15" s="1"/>
  <c r="CL255" i="15"/>
  <c r="CK255" i="15"/>
  <c r="CM255" i="15" s="1"/>
  <c r="BQ626" i="15"/>
  <c r="BP626" i="15"/>
  <c r="BR626" i="15" s="1"/>
  <c r="BU503" i="15"/>
  <c r="BT503" i="15"/>
  <c r="BV503" i="15" s="1"/>
  <c r="BY380" i="15"/>
  <c r="BX380" i="15"/>
  <c r="BZ380" i="15" s="1"/>
  <c r="CC257" i="15"/>
  <c r="CB257" i="15"/>
  <c r="CD257" i="15" s="1"/>
  <c r="BI872" i="15"/>
  <c r="BH872" i="15"/>
  <c r="BJ872" i="15" s="1"/>
  <c r="CH256" i="15"/>
  <c r="CG256" i="15"/>
  <c r="CI256" i="15" s="1"/>
  <c r="BE995" i="15"/>
  <c r="BD995" i="15"/>
  <c r="BF995" i="15" s="1"/>
  <c r="J59" i="7"/>
  <c r="K59" i="7"/>
  <c r="CH257" i="15" l="1"/>
  <c r="CG257" i="15"/>
  <c r="CI257" i="15" s="1"/>
  <c r="CC258" i="15"/>
  <c r="CB258" i="15"/>
  <c r="CD258" i="15" s="1"/>
  <c r="BU504" i="15"/>
  <c r="BT504" i="15"/>
  <c r="BV504" i="15" s="1"/>
  <c r="BQ627" i="15"/>
  <c r="BP627" i="15"/>
  <c r="BR627" i="15" s="1"/>
  <c r="BM750" i="15"/>
  <c r="BL750" i="15"/>
  <c r="BN750" i="15" s="1"/>
  <c r="BE996" i="15"/>
  <c r="BD996" i="15"/>
  <c r="BF996" i="15" s="1"/>
  <c r="BI873" i="15"/>
  <c r="BH873" i="15"/>
  <c r="BJ873" i="15" s="1"/>
  <c r="BY381" i="15"/>
  <c r="BX381" i="15"/>
  <c r="BZ381" i="15" s="1"/>
  <c r="CL256" i="15"/>
  <c r="CK256" i="15"/>
  <c r="CM256" i="15" s="1"/>
  <c r="L59" i="7"/>
  <c r="BY382" i="15" l="1"/>
  <c r="BX382" i="15"/>
  <c r="BZ382" i="15" s="1"/>
  <c r="BE997" i="15"/>
  <c r="BD997" i="15"/>
  <c r="BF997" i="15" s="1"/>
  <c r="BM751" i="15"/>
  <c r="BL751" i="15"/>
  <c r="BN751" i="15" s="1"/>
  <c r="BU505" i="15"/>
  <c r="BT505" i="15"/>
  <c r="BV505" i="15" s="1"/>
  <c r="CH258" i="15"/>
  <c r="CG258" i="15"/>
  <c r="CI258" i="15" s="1"/>
  <c r="CL257" i="15"/>
  <c r="CK257" i="15"/>
  <c r="CM257" i="15" s="1"/>
  <c r="BI874" i="15"/>
  <c r="BH874" i="15"/>
  <c r="BJ874" i="15" s="1"/>
  <c r="BQ628" i="15"/>
  <c r="BP628" i="15"/>
  <c r="BR628" i="15" s="1"/>
  <c r="CC259" i="15"/>
  <c r="CB259" i="15"/>
  <c r="CD259" i="15" s="1"/>
  <c r="J60" i="7"/>
  <c r="K60" i="7"/>
  <c r="BQ629" i="15" l="1"/>
  <c r="BP629" i="15"/>
  <c r="BR629" i="15" s="1"/>
  <c r="CL258" i="15"/>
  <c r="CK258" i="15"/>
  <c r="CM258" i="15" s="1"/>
  <c r="BU506" i="15"/>
  <c r="BT506" i="15"/>
  <c r="BV506" i="15" s="1"/>
  <c r="BM752" i="15"/>
  <c r="BL752" i="15"/>
  <c r="BN752" i="15" s="1"/>
  <c r="BY383" i="15"/>
  <c r="BX383" i="15"/>
  <c r="BZ383" i="15" s="1"/>
  <c r="CC260" i="15"/>
  <c r="CB260" i="15"/>
  <c r="CD260" i="15" s="1"/>
  <c r="BI875" i="15"/>
  <c r="BH875" i="15"/>
  <c r="BJ875" i="15" s="1"/>
  <c r="CH259" i="15"/>
  <c r="CG259" i="15"/>
  <c r="CI259" i="15" s="1"/>
  <c r="BE998" i="15"/>
  <c r="BD998" i="15"/>
  <c r="BF998" i="15" s="1"/>
  <c r="L60" i="7"/>
  <c r="BE999" i="15" l="1"/>
  <c r="BD999" i="15"/>
  <c r="BF999" i="15" s="1"/>
  <c r="CH260" i="15"/>
  <c r="CG260" i="15"/>
  <c r="CI260" i="15" s="1"/>
  <c r="BI876" i="15"/>
  <c r="BH876" i="15"/>
  <c r="BJ876" i="15" s="1"/>
  <c r="CC261" i="15"/>
  <c r="CB261" i="15"/>
  <c r="CD261" i="15" s="1"/>
  <c r="BY384" i="15"/>
  <c r="BX384" i="15"/>
  <c r="BZ384" i="15" s="1"/>
  <c r="BM753" i="15"/>
  <c r="BL753" i="15"/>
  <c r="BN753" i="15" s="1"/>
  <c r="BU507" i="15"/>
  <c r="BT507" i="15"/>
  <c r="BV507" i="15" s="1"/>
  <c r="CL259" i="15"/>
  <c r="CK259" i="15"/>
  <c r="CM259" i="15" s="1"/>
  <c r="BQ630" i="15"/>
  <c r="BP630" i="15"/>
  <c r="BR630" i="15" s="1"/>
  <c r="J61" i="7"/>
  <c r="K61" i="7"/>
  <c r="CL260" i="15" l="1"/>
  <c r="CK260" i="15"/>
  <c r="CM260" i="15" s="1"/>
  <c r="BM754" i="15"/>
  <c r="BL754" i="15"/>
  <c r="BN754" i="15" s="1"/>
  <c r="CC262" i="15"/>
  <c r="CB262" i="15"/>
  <c r="CD262" i="15" s="1"/>
  <c r="BI877" i="15"/>
  <c r="BH877" i="15"/>
  <c r="BJ877" i="15" s="1"/>
  <c r="BE1000" i="15"/>
  <c r="BD1000" i="15"/>
  <c r="BF1000" i="15" s="1"/>
  <c r="BQ631" i="15"/>
  <c r="BP631" i="15"/>
  <c r="BR631" i="15" s="1"/>
  <c r="BU508" i="15"/>
  <c r="BT508" i="15"/>
  <c r="BV508" i="15" s="1"/>
  <c r="BY385" i="15"/>
  <c r="BX385" i="15"/>
  <c r="BZ385" i="15" s="1"/>
  <c r="CH261" i="15"/>
  <c r="CG261" i="15"/>
  <c r="CI261" i="15" s="1"/>
  <c r="L61" i="7"/>
  <c r="BY386" i="15" l="1"/>
  <c r="BX386" i="15"/>
  <c r="BZ386" i="15" s="1"/>
  <c r="BQ632" i="15"/>
  <c r="BP632" i="15"/>
  <c r="BR632" i="15" s="1"/>
  <c r="BE1001" i="15"/>
  <c r="BD1001" i="15"/>
  <c r="BF1001" i="15" s="1"/>
  <c r="CC263" i="15"/>
  <c r="CB263" i="15"/>
  <c r="CD263" i="15" s="1"/>
  <c r="CL261" i="15"/>
  <c r="CK261" i="15"/>
  <c r="CM261" i="15" s="1"/>
  <c r="CH262" i="15"/>
  <c r="CG262" i="15"/>
  <c r="CI262" i="15" s="1"/>
  <c r="BU509" i="15"/>
  <c r="BT509" i="15"/>
  <c r="BV509" i="15" s="1"/>
  <c r="BI878" i="15"/>
  <c r="BH878" i="15"/>
  <c r="BJ878" i="15" s="1"/>
  <c r="BM755" i="15"/>
  <c r="BL755" i="15"/>
  <c r="BN755" i="15" s="1"/>
  <c r="J62" i="7"/>
  <c r="K62" i="7"/>
  <c r="BI879" i="15" l="1"/>
  <c r="BH879" i="15"/>
  <c r="BJ879" i="15" s="1"/>
  <c r="CH263" i="15"/>
  <c r="CG263" i="15"/>
  <c r="CI263" i="15" s="1"/>
  <c r="CC264" i="15"/>
  <c r="CB264" i="15"/>
  <c r="CD264" i="15" s="1"/>
  <c r="BE1002" i="15"/>
  <c r="BD1002" i="15"/>
  <c r="BF1002" i="15" s="1"/>
  <c r="BY387" i="15"/>
  <c r="BX387" i="15"/>
  <c r="BZ387" i="15" s="1"/>
  <c r="BM756" i="15"/>
  <c r="BL756" i="15"/>
  <c r="BN756" i="15" s="1"/>
  <c r="BU510" i="15"/>
  <c r="BT510" i="15"/>
  <c r="BV510" i="15" s="1"/>
  <c r="CL262" i="15"/>
  <c r="CK262" i="15"/>
  <c r="CM262" i="15" s="1"/>
  <c r="BQ633" i="15"/>
  <c r="BP633" i="15"/>
  <c r="BR633" i="15" s="1"/>
  <c r="L62" i="7"/>
  <c r="CL263" i="15" l="1"/>
  <c r="CK263" i="15"/>
  <c r="CM263" i="15" s="1"/>
  <c r="BM757" i="15"/>
  <c r="BL757" i="15"/>
  <c r="BN757" i="15" s="1"/>
  <c r="BE1003" i="15"/>
  <c r="BD1003" i="15"/>
  <c r="BF1003" i="15" s="1"/>
  <c r="CC265" i="15"/>
  <c r="CB265" i="15"/>
  <c r="CD265" i="15" s="1"/>
  <c r="BI880" i="15"/>
  <c r="BH880" i="15"/>
  <c r="BJ880" i="15" s="1"/>
  <c r="BQ634" i="15"/>
  <c r="BP634" i="15"/>
  <c r="BR634" i="15" s="1"/>
  <c r="BU511" i="15"/>
  <c r="BT511" i="15"/>
  <c r="BV511" i="15" s="1"/>
  <c r="BY388" i="15"/>
  <c r="BX388" i="15"/>
  <c r="BZ388" i="15" s="1"/>
  <c r="CH264" i="15"/>
  <c r="CG264" i="15"/>
  <c r="CI264" i="15" s="1"/>
  <c r="J63" i="7"/>
  <c r="K63" i="7"/>
  <c r="BY389" i="15" l="1"/>
  <c r="BX389" i="15"/>
  <c r="BZ389" i="15" s="1"/>
  <c r="BQ635" i="15"/>
  <c r="BP635" i="15"/>
  <c r="BR635" i="15" s="1"/>
  <c r="CC266" i="15"/>
  <c r="CB266" i="15"/>
  <c r="CD266" i="15" s="1"/>
  <c r="BE1004" i="15"/>
  <c r="BD1004" i="15"/>
  <c r="BF1004" i="15" s="1"/>
  <c r="CL264" i="15"/>
  <c r="CK264" i="15"/>
  <c r="CM264" i="15" s="1"/>
  <c r="CH265" i="15"/>
  <c r="CG265" i="15"/>
  <c r="CI265" i="15" s="1"/>
  <c r="BU512" i="15"/>
  <c r="BT512" i="15"/>
  <c r="BV512" i="15" s="1"/>
  <c r="BI881" i="15"/>
  <c r="BH881" i="15"/>
  <c r="BJ881" i="15" s="1"/>
  <c r="BM758" i="15"/>
  <c r="BL758" i="15"/>
  <c r="BN758" i="15" s="1"/>
  <c r="L63" i="7"/>
  <c r="J428" i="7"/>
  <c r="B36" i="7"/>
  <c r="C36" i="7" s="1"/>
  <c r="BM759" i="15" l="1"/>
  <c r="BL759" i="15"/>
  <c r="BN759" i="15" s="1"/>
  <c r="BU513" i="15"/>
  <c r="BT513" i="15"/>
  <c r="BV513" i="15" s="1"/>
  <c r="CH266" i="15"/>
  <c r="CG266" i="15"/>
  <c r="CI266" i="15" s="1"/>
  <c r="BE1005" i="15"/>
  <c r="BD1005" i="15"/>
  <c r="BF1005" i="15" s="1"/>
  <c r="CC267" i="15"/>
  <c r="CB267" i="15"/>
  <c r="CD267" i="15" s="1"/>
  <c r="BY390" i="15"/>
  <c r="BX390" i="15"/>
  <c r="BZ390" i="15" s="1"/>
  <c r="BI882" i="15"/>
  <c r="BH882" i="15"/>
  <c r="BJ882" i="15" s="1"/>
  <c r="CL265" i="15"/>
  <c r="CK265" i="15"/>
  <c r="CM265" i="15" s="1"/>
  <c r="BQ636" i="15"/>
  <c r="BP636" i="15"/>
  <c r="BR636" i="15" s="1"/>
  <c r="J64" i="7"/>
  <c r="K64" i="7"/>
  <c r="J439" i="7"/>
  <c r="C11" i="18" s="1"/>
  <c r="K428" i="7"/>
  <c r="K439" i="7" s="1"/>
  <c r="D11" i="18" s="1"/>
  <c r="BQ637" i="15" l="1"/>
  <c r="BP637" i="15"/>
  <c r="BR637" i="15" s="1"/>
  <c r="BI883" i="15"/>
  <c r="BH883" i="15"/>
  <c r="BJ883" i="15" s="1"/>
  <c r="BY391" i="15"/>
  <c r="BX391" i="15"/>
  <c r="BZ391" i="15" s="1"/>
  <c r="BE1006" i="15"/>
  <c r="BD1006" i="15"/>
  <c r="BF1006" i="15" s="1"/>
  <c r="CH267" i="15"/>
  <c r="CG267" i="15"/>
  <c r="CI267" i="15" s="1"/>
  <c r="BM760" i="15"/>
  <c r="BL760" i="15"/>
  <c r="BN760" i="15" s="1"/>
  <c r="CL266" i="15"/>
  <c r="CK266" i="15"/>
  <c r="CM266" i="15" s="1"/>
  <c r="CC268" i="15"/>
  <c r="CB268" i="15"/>
  <c r="CD268" i="15" s="1"/>
  <c r="BU514" i="15"/>
  <c r="BT514" i="15"/>
  <c r="BV514" i="15" s="1"/>
  <c r="L64" i="7"/>
  <c r="CC269" i="15" l="1"/>
  <c r="CB269" i="15"/>
  <c r="CD269" i="15" s="1"/>
  <c r="BM761" i="15"/>
  <c r="BL761" i="15"/>
  <c r="BN761" i="15" s="1"/>
  <c r="BE1007" i="15"/>
  <c r="BD1007" i="15"/>
  <c r="BF1007" i="15" s="1"/>
  <c r="BY392" i="15"/>
  <c r="BX392" i="15"/>
  <c r="BZ392" i="15" s="1"/>
  <c r="BQ638" i="15"/>
  <c r="BP638" i="15"/>
  <c r="BR638" i="15" s="1"/>
  <c r="BU515" i="15"/>
  <c r="BT515" i="15"/>
  <c r="BV515" i="15" s="1"/>
  <c r="CL267" i="15"/>
  <c r="CK267" i="15"/>
  <c r="CM267" i="15" s="1"/>
  <c r="CH268" i="15"/>
  <c r="CG268" i="15"/>
  <c r="CI268" i="15" s="1"/>
  <c r="BI884" i="15"/>
  <c r="BH884" i="15"/>
  <c r="BJ884" i="15" s="1"/>
  <c r="J65" i="7"/>
  <c r="K65" i="7"/>
  <c r="BI885" i="15" l="1"/>
  <c r="BH885" i="15"/>
  <c r="BJ885" i="15" s="1"/>
  <c r="CL268" i="15"/>
  <c r="CK268" i="15"/>
  <c r="CM268" i="15" s="1"/>
  <c r="BU516" i="15"/>
  <c r="BT516" i="15"/>
  <c r="BV516" i="15" s="1"/>
  <c r="BY393" i="15"/>
  <c r="BX393" i="15"/>
  <c r="BZ393" i="15" s="1"/>
  <c r="BE1008" i="15"/>
  <c r="BD1008" i="15"/>
  <c r="BF1008" i="15" s="1"/>
  <c r="CC270" i="15"/>
  <c r="CB270" i="15"/>
  <c r="CD270" i="15" s="1"/>
  <c r="CH269" i="15"/>
  <c r="CG269" i="15"/>
  <c r="CI269" i="15" s="1"/>
  <c r="BQ639" i="15"/>
  <c r="BP639" i="15"/>
  <c r="BR639" i="15" s="1"/>
  <c r="BM762" i="15"/>
  <c r="BL762" i="15"/>
  <c r="BN762" i="15" s="1"/>
  <c r="L65" i="7"/>
  <c r="BQ640" i="15" l="1"/>
  <c r="BP640" i="15"/>
  <c r="BR640" i="15" s="1"/>
  <c r="CH270" i="15"/>
  <c r="CG270" i="15"/>
  <c r="CI270" i="15" s="1"/>
  <c r="BE1009" i="15"/>
  <c r="BD1009" i="15"/>
  <c r="BF1009" i="15" s="1"/>
  <c r="BU517" i="15"/>
  <c r="BT517" i="15"/>
  <c r="BV517" i="15" s="1"/>
  <c r="BI886" i="15"/>
  <c r="BH886" i="15"/>
  <c r="BJ886" i="15" s="1"/>
  <c r="BM763" i="15"/>
  <c r="BL763" i="15"/>
  <c r="BN763" i="15" s="1"/>
  <c r="CC271" i="15"/>
  <c r="CB271" i="15"/>
  <c r="CD271" i="15" s="1"/>
  <c r="BY394" i="15"/>
  <c r="BX394" i="15"/>
  <c r="BZ394" i="15" s="1"/>
  <c r="CL269" i="15"/>
  <c r="CK269" i="15"/>
  <c r="CM269" i="15" s="1"/>
  <c r="J66" i="7"/>
  <c r="K66" i="7"/>
  <c r="CL270" i="15" l="1"/>
  <c r="CK270" i="15"/>
  <c r="CM270" i="15" s="1"/>
  <c r="CC272" i="15"/>
  <c r="CB272" i="15"/>
  <c r="CD272" i="15" s="1"/>
  <c r="BM764" i="15"/>
  <c r="BL764" i="15"/>
  <c r="BN764" i="15" s="1"/>
  <c r="BU518" i="15"/>
  <c r="BT518" i="15"/>
  <c r="BV518" i="15" s="1"/>
  <c r="BE1010" i="15"/>
  <c r="BD1010" i="15"/>
  <c r="BF1010" i="15" s="1"/>
  <c r="BQ641" i="15"/>
  <c r="BP641" i="15"/>
  <c r="BR641" i="15" s="1"/>
  <c r="BY395" i="15"/>
  <c r="BX395" i="15"/>
  <c r="BZ395" i="15" s="1"/>
  <c r="BI887" i="15"/>
  <c r="BH887" i="15"/>
  <c r="BJ887" i="15" s="1"/>
  <c r="CH271" i="15"/>
  <c r="CG271" i="15"/>
  <c r="CI271" i="15" s="1"/>
  <c r="L66" i="7"/>
  <c r="BI888" i="15" l="1"/>
  <c r="BH888" i="15"/>
  <c r="BJ888" i="15" s="1"/>
  <c r="BQ642" i="15"/>
  <c r="BP642" i="15"/>
  <c r="BR642" i="15" s="1"/>
  <c r="BU519" i="15"/>
  <c r="BT519" i="15"/>
  <c r="BV519" i="15" s="1"/>
  <c r="BM765" i="15"/>
  <c r="BL765" i="15"/>
  <c r="BN765" i="15" s="1"/>
  <c r="CL271" i="15"/>
  <c r="CK271" i="15"/>
  <c r="CM271" i="15" s="1"/>
  <c r="CH272" i="15"/>
  <c r="CG272" i="15"/>
  <c r="CI272" i="15" s="1"/>
  <c r="BY396" i="15"/>
  <c r="BX396" i="15"/>
  <c r="BZ396" i="15" s="1"/>
  <c r="BE1011" i="15"/>
  <c r="BD1011" i="15"/>
  <c r="BF1011" i="15" s="1"/>
  <c r="CC273" i="15"/>
  <c r="CB273" i="15"/>
  <c r="CD273" i="15" s="1"/>
  <c r="J67" i="7"/>
  <c r="K67" i="7"/>
  <c r="CC274" i="15" l="1"/>
  <c r="CB274" i="15"/>
  <c r="CD274" i="15" s="1"/>
  <c r="BY397" i="15"/>
  <c r="BX397" i="15"/>
  <c r="BZ397" i="15" s="1"/>
  <c r="CL272" i="15"/>
  <c r="CK272" i="15"/>
  <c r="CM272" i="15" s="1"/>
  <c r="BM766" i="15"/>
  <c r="BL766" i="15"/>
  <c r="BN766" i="15" s="1"/>
  <c r="BU520" i="15"/>
  <c r="BT520" i="15"/>
  <c r="BV520" i="15" s="1"/>
  <c r="BI889" i="15"/>
  <c r="BH889" i="15"/>
  <c r="BJ889" i="15" s="1"/>
  <c r="BE1012" i="15"/>
  <c r="BD1012" i="15"/>
  <c r="BF1012" i="15" s="1"/>
  <c r="CH273" i="15"/>
  <c r="CG273" i="15"/>
  <c r="CI273" i="15" s="1"/>
  <c r="BQ643" i="15"/>
  <c r="BP643" i="15"/>
  <c r="BR643" i="15" s="1"/>
  <c r="L67" i="7"/>
  <c r="BQ644" i="15" l="1"/>
  <c r="BP644" i="15"/>
  <c r="BR644" i="15" s="1"/>
  <c r="BE1013" i="15"/>
  <c r="BD1013" i="15"/>
  <c r="BF1013" i="15" s="1"/>
  <c r="BU521" i="15"/>
  <c r="BT521" i="15"/>
  <c r="BV521" i="15" s="1"/>
  <c r="BM767" i="15"/>
  <c r="BL767" i="15"/>
  <c r="BN767" i="15" s="1"/>
  <c r="CL273" i="15"/>
  <c r="CK273" i="15"/>
  <c r="CM273" i="15" s="1"/>
  <c r="CC275" i="15"/>
  <c r="CB275" i="15"/>
  <c r="CD275" i="15" s="1"/>
  <c r="CH274" i="15"/>
  <c r="CG274" i="15"/>
  <c r="CI274" i="15" s="1"/>
  <c r="BI890" i="15"/>
  <c r="BH890" i="15"/>
  <c r="BJ890" i="15" s="1"/>
  <c r="BY398" i="15"/>
  <c r="BX398" i="15"/>
  <c r="BZ398" i="15" s="1"/>
  <c r="J68" i="7"/>
  <c r="K68" i="7"/>
  <c r="BI891" i="15" l="1"/>
  <c r="BH891" i="15"/>
  <c r="BJ891" i="15" s="1"/>
  <c r="CC276" i="15"/>
  <c r="CB276" i="15"/>
  <c r="CD276" i="15" s="1"/>
  <c r="BM768" i="15"/>
  <c r="BL768" i="15"/>
  <c r="BN768" i="15" s="1"/>
  <c r="BU522" i="15"/>
  <c r="BT522" i="15"/>
  <c r="BV522" i="15" s="1"/>
  <c r="BQ645" i="15"/>
  <c r="BP645" i="15"/>
  <c r="BR645" i="15" s="1"/>
  <c r="BY399" i="15"/>
  <c r="BX399" i="15"/>
  <c r="BZ399" i="15" s="1"/>
  <c r="CH275" i="15"/>
  <c r="CG275" i="15"/>
  <c r="CI275" i="15" s="1"/>
  <c r="CL274" i="15"/>
  <c r="CK274" i="15"/>
  <c r="CM274" i="15" s="1"/>
  <c r="BE1014" i="15"/>
  <c r="BD1014" i="15"/>
  <c r="BF1014" i="15" s="1"/>
  <c r="L68" i="7"/>
  <c r="CL275" i="15" l="1"/>
  <c r="CK275" i="15"/>
  <c r="CM275" i="15" s="1"/>
  <c r="BY400" i="15"/>
  <c r="BX400" i="15"/>
  <c r="BZ400" i="15" s="1"/>
  <c r="BQ646" i="15"/>
  <c r="BP646" i="15"/>
  <c r="BR646" i="15" s="1"/>
  <c r="BM769" i="15"/>
  <c r="BL769" i="15"/>
  <c r="BN769" i="15" s="1"/>
  <c r="BI892" i="15"/>
  <c r="BH892" i="15"/>
  <c r="BJ892" i="15" s="1"/>
  <c r="BE1015" i="15"/>
  <c r="BD1015" i="15"/>
  <c r="BF1015" i="15" s="1"/>
  <c r="CH276" i="15"/>
  <c r="CG276" i="15"/>
  <c r="CI276" i="15" s="1"/>
  <c r="BU523" i="15"/>
  <c r="BT523" i="15"/>
  <c r="BV523" i="15" s="1"/>
  <c r="CC277" i="15"/>
  <c r="CB277" i="15"/>
  <c r="CD277" i="15" s="1"/>
  <c r="J69" i="7"/>
  <c r="K69" i="7"/>
  <c r="BU524" i="15" l="1"/>
  <c r="BT524" i="15"/>
  <c r="BV524" i="15" s="1"/>
  <c r="BE1016" i="15"/>
  <c r="BD1016" i="15"/>
  <c r="BF1016" i="15" s="1"/>
  <c r="BM770" i="15"/>
  <c r="BL770" i="15"/>
  <c r="BN770" i="15" s="1"/>
  <c r="BQ647" i="15"/>
  <c r="BP647" i="15"/>
  <c r="BR647" i="15" s="1"/>
  <c r="CL276" i="15"/>
  <c r="CK276" i="15"/>
  <c r="CM276" i="15" s="1"/>
  <c r="CC278" i="15"/>
  <c r="CB278" i="15"/>
  <c r="CD278" i="15" s="1"/>
  <c r="CH277" i="15"/>
  <c r="CG277" i="15"/>
  <c r="CI277" i="15" s="1"/>
  <c r="BI893" i="15"/>
  <c r="BH893" i="15"/>
  <c r="BJ893" i="15" s="1"/>
  <c r="BY401" i="15"/>
  <c r="BX401" i="15"/>
  <c r="BZ401" i="15" s="1"/>
  <c r="L69" i="7"/>
  <c r="BI894" i="15" l="1"/>
  <c r="BH894" i="15"/>
  <c r="BJ894" i="15" s="1"/>
  <c r="CC279" i="15"/>
  <c r="CB279" i="15"/>
  <c r="CD279" i="15" s="1"/>
  <c r="BQ648" i="15"/>
  <c r="BP648" i="15"/>
  <c r="BR648" i="15" s="1"/>
  <c r="BM771" i="15"/>
  <c r="BL771" i="15"/>
  <c r="BN771" i="15" s="1"/>
  <c r="BU525" i="15"/>
  <c r="BT525" i="15"/>
  <c r="BV525" i="15" s="1"/>
  <c r="BY402" i="15"/>
  <c r="BX402" i="15"/>
  <c r="BZ402" i="15" s="1"/>
  <c r="CH278" i="15"/>
  <c r="CG278" i="15"/>
  <c r="CI278" i="15" s="1"/>
  <c r="CL277" i="15"/>
  <c r="CK277" i="15"/>
  <c r="CM277" i="15" s="1"/>
  <c r="BE1017" i="15"/>
  <c r="BD1017" i="15"/>
  <c r="BF1017" i="15" s="1"/>
  <c r="J70" i="7"/>
  <c r="K70" i="7"/>
  <c r="BE1018" i="15" l="1"/>
  <c r="BD1018" i="15"/>
  <c r="BF1018" i="15" s="1"/>
  <c r="CH279" i="15"/>
  <c r="CG279" i="15"/>
  <c r="CI279" i="15" s="1"/>
  <c r="BU526" i="15"/>
  <c r="BT526" i="15"/>
  <c r="BV526" i="15" s="1"/>
  <c r="BM772" i="15"/>
  <c r="BL772" i="15"/>
  <c r="BN772" i="15" s="1"/>
  <c r="BQ649" i="15"/>
  <c r="BP649" i="15"/>
  <c r="BR649" i="15" s="1"/>
  <c r="BI895" i="15"/>
  <c r="BH895" i="15"/>
  <c r="BJ895" i="15" s="1"/>
  <c r="CL278" i="15"/>
  <c r="CK278" i="15"/>
  <c r="CM278" i="15" s="1"/>
  <c r="BY403" i="15"/>
  <c r="BX403" i="15"/>
  <c r="BZ403" i="15" s="1"/>
  <c r="CC280" i="15"/>
  <c r="CB280" i="15"/>
  <c r="CD280" i="15" s="1"/>
  <c r="L70" i="7"/>
  <c r="BY404" i="15" l="1"/>
  <c r="BX404" i="15"/>
  <c r="BZ404" i="15" s="1"/>
  <c r="BI896" i="15"/>
  <c r="BH896" i="15"/>
  <c r="BJ896" i="15" s="1"/>
  <c r="BM773" i="15"/>
  <c r="BL773" i="15"/>
  <c r="BN773" i="15" s="1"/>
  <c r="BU527" i="15"/>
  <c r="BT527" i="15"/>
  <c r="BV527" i="15" s="1"/>
  <c r="BE1019" i="15"/>
  <c r="BD1019" i="15"/>
  <c r="BF1019" i="15" s="1"/>
  <c r="CC281" i="15"/>
  <c r="CB281" i="15"/>
  <c r="CD281" i="15" s="1"/>
  <c r="CL279" i="15"/>
  <c r="CK279" i="15"/>
  <c r="CM279" i="15" s="1"/>
  <c r="BQ650" i="15"/>
  <c r="BP650" i="15"/>
  <c r="BR650" i="15" s="1"/>
  <c r="CH280" i="15"/>
  <c r="CG280" i="15"/>
  <c r="CI280" i="15" s="1"/>
  <c r="J71" i="7"/>
  <c r="K71" i="7"/>
  <c r="CH281" i="15" l="1"/>
  <c r="CG281" i="15"/>
  <c r="CI281" i="15" s="1"/>
  <c r="CL280" i="15"/>
  <c r="CK280" i="15"/>
  <c r="CM280" i="15" s="1"/>
  <c r="BE1020" i="15"/>
  <c r="BD1020" i="15"/>
  <c r="BF1020" i="15" s="1"/>
  <c r="BU528" i="15"/>
  <c r="BT528" i="15"/>
  <c r="BV528" i="15" s="1"/>
  <c r="BM774" i="15"/>
  <c r="BL774" i="15"/>
  <c r="BN774" i="15" s="1"/>
  <c r="BY405" i="15"/>
  <c r="BX405" i="15"/>
  <c r="BZ405" i="15" s="1"/>
  <c r="BQ651" i="15"/>
  <c r="BP651" i="15"/>
  <c r="BR651" i="15" s="1"/>
  <c r="CC282" i="15"/>
  <c r="CB282" i="15"/>
  <c r="CD282" i="15" s="1"/>
  <c r="BI897" i="15"/>
  <c r="BH897" i="15"/>
  <c r="BJ897" i="15" s="1"/>
  <c r="L71" i="7"/>
  <c r="CC283" i="15" l="1"/>
  <c r="CB283" i="15"/>
  <c r="CD283" i="15" s="1"/>
  <c r="BY406" i="15"/>
  <c r="BX406" i="15"/>
  <c r="BZ406" i="15" s="1"/>
  <c r="BU529" i="15"/>
  <c r="BT529" i="15"/>
  <c r="BV529" i="15" s="1"/>
  <c r="BE1021" i="15"/>
  <c r="BD1021" i="15"/>
  <c r="BF1021" i="15" s="1"/>
  <c r="CH282" i="15"/>
  <c r="CG282" i="15"/>
  <c r="CI282" i="15" s="1"/>
  <c r="BI898" i="15"/>
  <c r="BH898" i="15"/>
  <c r="BJ898" i="15" s="1"/>
  <c r="BQ652" i="15"/>
  <c r="BP652" i="15"/>
  <c r="BR652" i="15" s="1"/>
  <c r="BM775" i="15"/>
  <c r="BL775" i="15"/>
  <c r="BN775" i="15" s="1"/>
  <c r="CL281" i="15"/>
  <c r="CK281" i="15"/>
  <c r="CM281" i="15" s="1"/>
  <c r="J72" i="7"/>
  <c r="K72" i="7"/>
  <c r="CL282" i="15" l="1"/>
  <c r="CK282" i="15"/>
  <c r="CM282" i="15" s="1"/>
  <c r="BQ653" i="15"/>
  <c r="BP653" i="15"/>
  <c r="BR653" i="15" s="1"/>
  <c r="BI899" i="15"/>
  <c r="BH899" i="15"/>
  <c r="BJ899" i="15" s="1"/>
  <c r="BE1022" i="15"/>
  <c r="BD1022" i="15"/>
  <c r="BF1022" i="15" s="1"/>
  <c r="BU530" i="15"/>
  <c r="BT530" i="15"/>
  <c r="BV530" i="15" s="1"/>
  <c r="CC284" i="15"/>
  <c r="CB284" i="15"/>
  <c r="CD284" i="15" s="1"/>
  <c r="BM776" i="15"/>
  <c r="BL776" i="15"/>
  <c r="BN776" i="15" s="1"/>
  <c r="CH283" i="15"/>
  <c r="CG283" i="15"/>
  <c r="CI283" i="15" s="1"/>
  <c r="BY407" i="15"/>
  <c r="BX407" i="15"/>
  <c r="BZ407" i="15" s="1"/>
  <c r="L72" i="7"/>
  <c r="CH284" i="15" l="1"/>
  <c r="CG284" i="15"/>
  <c r="CI284" i="15" s="1"/>
  <c r="CC285" i="15"/>
  <c r="CB285" i="15"/>
  <c r="CD285" i="15" s="1"/>
  <c r="BE1023" i="15"/>
  <c r="BD1023" i="15"/>
  <c r="BF1023" i="15" s="1"/>
  <c r="BI900" i="15"/>
  <c r="BH900" i="15"/>
  <c r="BJ900" i="15" s="1"/>
  <c r="CL283" i="15"/>
  <c r="CK283" i="15"/>
  <c r="CM283" i="15" s="1"/>
  <c r="BY408" i="15"/>
  <c r="BX408" i="15"/>
  <c r="BZ408" i="15" s="1"/>
  <c r="BM777" i="15"/>
  <c r="BL777" i="15"/>
  <c r="BN777" i="15" s="1"/>
  <c r="BU531" i="15"/>
  <c r="BT531" i="15"/>
  <c r="BV531" i="15" s="1"/>
  <c r="BQ654" i="15"/>
  <c r="BP654" i="15"/>
  <c r="BR654" i="15" s="1"/>
  <c r="J73" i="7"/>
  <c r="K73" i="7"/>
  <c r="BQ655" i="15" l="1"/>
  <c r="BP655" i="15"/>
  <c r="BR655" i="15" s="1"/>
  <c r="BM778" i="15"/>
  <c r="BL778" i="15"/>
  <c r="BN778" i="15" s="1"/>
  <c r="BY409" i="15"/>
  <c r="BX409" i="15"/>
  <c r="BZ409" i="15" s="1"/>
  <c r="BI901" i="15"/>
  <c r="BH901" i="15"/>
  <c r="BJ901" i="15" s="1"/>
  <c r="BE1024" i="15"/>
  <c r="BD1024" i="15"/>
  <c r="BF1024" i="15" s="1"/>
  <c r="CH285" i="15"/>
  <c r="CG285" i="15"/>
  <c r="CI285" i="15" s="1"/>
  <c r="BU532" i="15"/>
  <c r="BT532" i="15"/>
  <c r="BV532" i="15" s="1"/>
  <c r="CL284" i="15"/>
  <c r="CK284" i="15"/>
  <c r="CM284" i="15" s="1"/>
  <c r="CC286" i="15"/>
  <c r="CB286" i="15"/>
  <c r="CD286" i="15" s="1"/>
  <c r="L73" i="7"/>
  <c r="CL285" i="15" l="1"/>
  <c r="CK285" i="15"/>
  <c r="CM285" i="15" s="1"/>
  <c r="CH286" i="15"/>
  <c r="CG286" i="15"/>
  <c r="CI286" i="15" s="1"/>
  <c r="BE1025" i="15"/>
  <c r="BD1025" i="15"/>
  <c r="BF1025" i="15" s="1"/>
  <c r="BY410" i="15"/>
  <c r="BX410" i="15"/>
  <c r="BZ410" i="15" s="1"/>
  <c r="BQ656" i="15"/>
  <c r="BP656" i="15"/>
  <c r="BR656" i="15" s="1"/>
  <c r="CC287" i="15"/>
  <c r="CB287" i="15"/>
  <c r="CD287" i="15" s="1"/>
  <c r="BU533" i="15"/>
  <c r="BT533" i="15"/>
  <c r="BV533" i="15" s="1"/>
  <c r="BI902" i="15"/>
  <c r="BH902" i="15"/>
  <c r="BJ902" i="15" s="1"/>
  <c r="BM779" i="15"/>
  <c r="BL779" i="15"/>
  <c r="BN779" i="15" s="1"/>
  <c r="J74" i="7"/>
  <c r="K74" i="7"/>
  <c r="BI903" i="15" l="1"/>
  <c r="BH903" i="15"/>
  <c r="BJ903" i="15" s="1"/>
  <c r="CC288" i="15"/>
  <c r="CB288" i="15"/>
  <c r="CD288" i="15" s="1"/>
  <c r="BY411" i="15"/>
  <c r="BX411" i="15"/>
  <c r="BZ411" i="15" s="1"/>
  <c r="BE1026" i="15"/>
  <c r="BD1026" i="15"/>
  <c r="BF1026" i="15" s="1"/>
  <c r="CL286" i="15"/>
  <c r="CK286" i="15"/>
  <c r="CM286" i="15" s="1"/>
  <c r="BM780" i="15"/>
  <c r="BL780" i="15"/>
  <c r="BN780" i="15" s="1"/>
  <c r="BU534" i="15"/>
  <c r="BT534" i="15"/>
  <c r="BV534" i="15" s="1"/>
  <c r="BQ657" i="15"/>
  <c r="BP657" i="15"/>
  <c r="BR657" i="15" s="1"/>
  <c r="CH287" i="15"/>
  <c r="CG287" i="15"/>
  <c r="CI287" i="15" s="1"/>
  <c r="L74" i="7"/>
  <c r="BQ658" i="15" l="1"/>
  <c r="BP658" i="15"/>
  <c r="BR658" i="15" s="1"/>
  <c r="BM781" i="15"/>
  <c r="BL781" i="15"/>
  <c r="BN781" i="15" s="1"/>
  <c r="BE1027" i="15"/>
  <c r="BD1027" i="15"/>
  <c r="BF1027" i="15" s="1"/>
  <c r="BY412" i="15"/>
  <c r="BX412" i="15"/>
  <c r="BZ412" i="15" s="1"/>
  <c r="BI904" i="15"/>
  <c r="BH904" i="15"/>
  <c r="BJ904" i="15" s="1"/>
  <c r="CH288" i="15"/>
  <c r="CG288" i="15"/>
  <c r="CI288" i="15" s="1"/>
  <c r="BU535" i="15"/>
  <c r="BT535" i="15"/>
  <c r="BV535" i="15" s="1"/>
  <c r="CL287" i="15"/>
  <c r="CK287" i="15"/>
  <c r="CM287" i="15" s="1"/>
  <c r="CC289" i="15"/>
  <c r="CB289" i="15"/>
  <c r="CD289" i="15" s="1"/>
  <c r="J75" i="7"/>
  <c r="K75" i="7"/>
  <c r="CC290" i="15" l="1"/>
  <c r="CB290" i="15"/>
  <c r="CD290" i="15" s="1"/>
  <c r="CH289" i="15"/>
  <c r="CG289" i="15"/>
  <c r="CI289" i="15" s="1"/>
  <c r="BY413" i="15"/>
  <c r="BX413" i="15"/>
  <c r="BZ413" i="15" s="1"/>
  <c r="BQ659" i="15"/>
  <c r="BP659" i="15"/>
  <c r="BR659" i="15" s="1"/>
  <c r="CL288" i="15"/>
  <c r="CK288" i="15"/>
  <c r="CM288" i="15" s="1"/>
  <c r="BU536" i="15"/>
  <c r="BT536" i="15"/>
  <c r="BV536" i="15" s="1"/>
  <c r="BI905" i="15"/>
  <c r="BH905" i="15"/>
  <c r="BJ905" i="15" s="1"/>
  <c r="BM782" i="15"/>
  <c r="BL782" i="15"/>
  <c r="BN782" i="15" s="1"/>
  <c r="L75" i="7"/>
  <c r="BM783" i="15" l="1"/>
  <c r="BL783" i="15"/>
  <c r="BN783" i="15" s="1"/>
  <c r="BU537" i="15"/>
  <c r="BT537" i="15"/>
  <c r="BV537" i="15" s="1"/>
  <c r="CL289" i="15"/>
  <c r="CK289" i="15"/>
  <c r="CM289" i="15" s="1"/>
  <c r="BY414" i="15"/>
  <c r="BX414" i="15"/>
  <c r="BZ414" i="15" s="1"/>
  <c r="CC291" i="15"/>
  <c r="CB291" i="15"/>
  <c r="CD291" i="15" s="1"/>
  <c r="BI906" i="15"/>
  <c r="BH906" i="15"/>
  <c r="BJ906" i="15" s="1"/>
  <c r="BQ660" i="15"/>
  <c r="BP660" i="15"/>
  <c r="BR660" i="15" s="1"/>
  <c r="CH290" i="15"/>
  <c r="CG290" i="15"/>
  <c r="CI290" i="15" s="1"/>
  <c r="J76" i="7"/>
  <c r="L76" i="7" s="1"/>
  <c r="K76" i="7"/>
  <c r="BQ661" i="15" l="1"/>
  <c r="BP661" i="15"/>
  <c r="BR661" i="15" s="1"/>
  <c r="CC292" i="15"/>
  <c r="CB292" i="15"/>
  <c r="CD292" i="15" s="1"/>
  <c r="CL290" i="15"/>
  <c r="CK290" i="15"/>
  <c r="CM290" i="15" s="1"/>
  <c r="BM784" i="15"/>
  <c r="BL784" i="15"/>
  <c r="BN784" i="15" s="1"/>
  <c r="CH291" i="15"/>
  <c r="CG291" i="15"/>
  <c r="CI291" i="15" s="1"/>
  <c r="BI907" i="15"/>
  <c r="BH907" i="15"/>
  <c r="BJ907" i="15" s="1"/>
  <c r="BY415" i="15"/>
  <c r="BX415" i="15"/>
  <c r="BZ415" i="15" s="1"/>
  <c r="BU538" i="15"/>
  <c r="BT538" i="15"/>
  <c r="BV538" i="15" s="1"/>
  <c r="J77" i="7"/>
  <c r="K77" i="7"/>
  <c r="BY416" i="15" l="1"/>
  <c r="BX416" i="15"/>
  <c r="BZ416" i="15" s="1"/>
  <c r="BI908" i="15"/>
  <c r="BH908" i="15"/>
  <c r="BJ908" i="15" s="1"/>
  <c r="BM785" i="15"/>
  <c r="BL785" i="15"/>
  <c r="BN785" i="15" s="1"/>
  <c r="CL291" i="15"/>
  <c r="CK291" i="15"/>
  <c r="CM291" i="15" s="1"/>
  <c r="BQ662" i="15"/>
  <c r="BP662" i="15"/>
  <c r="BR662" i="15" s="1"/>
  <c r="BU539" i="15"/>
  <c r="BT539" i="15"/>
  <c r="BV539" i="15" s="1"/>
  <c r="CH292" i="15"/>
  <c r="CG292" i="15"/>
  <c r="CI292" i="15" s="1"/>
  <c r="CC293" i="15"/>
  <c r="CB293" i="15"/>
  <c r="CD293" i="15" s="1"/>
  <c r="L77" i="7"/>
  <c r="CC294" i="15" l="1"/>
  <c r="CB294" i="15"/>
  <c r="CD294" i="15" s="1"/>
  <c r="BU540" i="15"/>
  <c r="BT540" i="15"/>
  <c r="BV540" i="15" s="1"/>
  <c r="CL292" i="15"/>
  <c r="CK292" i="15"/>
  <c r="CM292" i="15" s="1"/>
  <c r="BM786" i="15"/>
  <c r="BL786" i="15"/>
  <c r="BN786" i="15" s="1"/>
  <c r="BY417" i="15"/>
  <c r="BX417" i="15"/>
  <c r="BZ417" i="15" s="1"/>
  <c r="CH293" i="15"/>
  <c r="CG293" i="15"/>
  <c r="CI293" i="15" s="1"/>
  <c r="BQ663" i="15"/>
  <c r="BP663" i="15"/>
  <c r="BR663" i="15" s="1"/>
  <c r="BI909" i="15"/>
  <c r="BH909" i="15"/>
  <c r="BJ909" i="15" s="1"/>
  <c r="J78" i="7"/>
  <c r="K78" i="7"/>
  <c r="BI910" i="15" l="1"/>
  <c r="BH910" i="15"/>
  <c r="BJ910" i="15" s="1"/>
  <c r="CH294" i="15"/>
  <c r="CG294" i="15"/>
  <c r="CI294" i="15" s="1"/>
  <c r="BM787" i="15"/>
  <c r="BL787" i="15"/>
  <c r="BN787" i="15" s="1"/>
  <c r="CL293" i="15"/>
  <c r="CK293" i="15"/>
  <c r="CM293" i="15" s="1"/>
  <c r="CC295" i="15"/>
  <c r="CB295" i="15"/>
  <c r="CD295" i="15" s="1"/>
  <c r="BQ664" i="15"/>
  <c r="BP664" i="15"/>
  <c r="BR664" i="15" s="1"/>
  <c r="BY418" i="15"/>
  <c r="BX418" i="15"/>
  <c r="BZ418" i="15" s="1"/>
  <c r="BU541" i="15"/>
  <c r="BT541" i="15"/>
  <c r="BV541" i="15" s="1"/>
  <c r="L78" i="7"/>
  <c r="BU542" i="15" l="1"/>
  <c r="BT542" i="15"/>
  <c r="BV542" i="15" s="1"/>
  <c r="BQ665" i="15"/>
  <c r="BP665" i="15"/>
  <c r="BR665" i="15" s="1"/>
  <c r="CL294" i="15"/>
  <c r="CK294" i="15"/>
  <c r="CM294" i="15" s="1"/>
  <c r="BM788" i="15"/>
  <c r="BL788" i="15"/>
  <c r="BN788" i="15" s="1"/>
  <c r="BI911" i="15"/>
  <c r="BH911" i="15"/>
  <c r="BJ911" i="15" s="1"/>
  <c r="BY419" i="15"/>
  <c r="BX419" i="15"/>
  <c r="BZ419" i="15" s="1"/>
  <c r="CC296" i="15"/>
  <c r="CB296" i="15"/>
  <c r="CD296" i="15" s="1"/>
  <c r="CH295" i="15"/>
  <c r="CG295" i="15"/>
  <c r="CI295" i="15" s="1"/>
  <c r="J79" i="7"/>
  <c r="K79" i="7"/>
  <c r="CH296" i="15" l="1"/>
  <c r="CG296" i="15"/>
  <c r="CI296" i="15" s="1"/>
  <c r="BY420" i="15"/>
  <c r="BX420" i="15"/>
  <c r="BZ420" i="15" s="1"/>
  <c r="BM789" i="15"/>
  <c r="BL789" i="15"/>
  <c r="BN789" i="15" s="1"/>
  <c r="CL295" i="15"/>
  <c r="CK295" i="15"/>
  <c r="CM295" i="15" s="1"/>
  <c r="BU543" i="15"/>
  <c r="BT543" i="15"/>
  <c r="BV543" i="15" s="1"/>
  <c r="CC297" i="15"/>
  <c r="CB297" i="15"/>
  <c r="CD297" i="15" s="1"/>
  <c r="BI912" i="15"/>
  <c r="BH912" i="15"/>
  <c r="BJ912" i="15" s="1"/>
  <c r="BQ666" i="15"/>
  <c r="BP666" i="15"/>
  <c r="BR666" i="15" s="1"/>
  <c r="L79" i="7"/>
  <c r="BI913" i="15" l="1"/>
  <c r="BH913" i="15"/>
  <c r="BJ913" i="15" s="1"/>
  <c r="BU544" i="15"/>
  <c r="BT544" i="15"/>
  <c r="BV544" i="15" s="1"/>
  <c r="BM790" i="15"/>
  <c r="BL790" i="15"/>
  <c r="BN790" i="15" s="1"/>
  <c r="CH297" i="15"/>
  <c r="CG297" i="15"/>
  <c r="CI297" i="15" s="1"/>
  <c r="BQ667" i="15"/>
  <c r="BP667" i="15"/>
  <c r="BR667" i="15" s="1"/>
  <c r="CC298" i="15"/>
  <c r="CB298" i="15"/>
  <c r="CD298" i="15" s="1"/>
  <c r="CL296" i="15"/>
  <c r="CK296" i="15"/>
  <c r="CM296" i="15" s="1"/>
  <c r="BY421" i="15"/>
  <c r="BX421" i="15"/>
  <c r="BZ421" i="15" s="1"/>
  <c r="J80" i="7"/>
  <c r="K80" i="7"/>
  <c r="BY422" i="15" l="1"/>
  <c r="BX422" i="15"/>
  <c r="BZ422" i="15" s="1"/>
  <c r="CC299" i="15"/>
  <c r="CB299" i="15"/>
  <c r="CD299" i="15" s="1"/>
  <c r="CH298" i="15"/>
  <c r="CG298" i="15"/>
  <c r="CI298" i="15" s="1"/>
  <c r="BM791" i="15"/>
  <c r="BL791" i="15"/>
  <c r="BN791" i="15" s="1"/>
  <c r="BI914" i="15"/>
  <c r="BH914" i="15"/>
  <c r="BJ914" i="15" s="1"/>
  <c r="CL297" i="15"/>
  <c r="CK297" i="15"/>
  <c r="CM297" i="15" s="1"/>
  <c r="BQ668" i="15"/>
  <c r="BP668" i="15"/>
  <c r="BR668" i="15" s="1"/>
  <c r="BU545" i="15"/>
  <c r="BT545" i="15"/>
  <c r="BV545" i="15" s="1"/>
  <c r="L80" i="7"/>
  <c r="BQ669" i="15" l="1"/>
  <c r="BP669" i="15"/>
  <c r="BR669" i="15" s="1"/>
  <c r="CL298" i="15"/>
  <c r="CK298" i="15"/>
  <c r="CM298" i="15" s="1"/>
  <c r="BM792" i="15"/>
  <c r="BL792" i="15"/>
  <c r="BN792" i="15" s="1"/>
  <c r="CH299" i="15"/>
  <c r="CG299" i="15"/>
  <c r="CI299" i="15" s="1"/>
  <c r="BY423" i="15"/>
  <c r="BX423" i="15"/>
  <c r="BZ423" i="15" s="1"/>
  <c r="BU546" i="15"/>
  <c r="BT546" i="15"/>
  <c r="BV546" i="15" s="1"/>
  <c r="BI915" i="15"/>
  <c r="BH915" i="15"/>
  <c r="BJ915" i="15" s="1"/>
  <c r="CC300" i="15"/>
  <c r="CB300" i="15"/>
  <c r="CD300" i="15" s="1"/>
  <c r="J81" i="7"/>
  <c r="K81" i="7"/>
  <c r="BI916" i="15" l="1"/>
  <c r="BH916" i="15"/>
  <c r="BJ916" i="15" s="1"/>
  <c r="BU547" i="15"/>
  <c r="BT547" i="15"/>
  <c r="BV547" i="15" s="1"/>
  <c r="CH300" i="15"/>
  <c r="CG300" i="15"/>
  <c r="CI300" i="15" s="1"/>
  <c r="BM793" i="15"/>
  <c r="BL793" i="15"/>
  <c r="BN793" i="15" s="1"/>
  <c r="BQ670" i="15"/>
  <c r="BP670" i="15"/>
  <c r="BR670" i="15" s="1"/>
  <c r="CC301" i="15"/>
  <c r="CB301" i="15"/>
  <c r="CD301" i="15" s="1"/>
  <c r="BY424" i="15"/>
  <c r="BX424" i="15"/>
  <c r="BZ424" i="15" s="1"/>
  <c r="CL299" i="15"/>
  <c r="CK299" i="15"/>
  <c r="CM299" i="15" s="1"/>
  <c r="L81" i="7"/>
  <c r="CL300" i="15" l="1"/>
  <c r="CK300" i="15"/>
  <c r="CM300" i="15" s="1"/>
  <c r="CC302" i="15"/>
  <c r="CB302" i="15"/>
  <c r="CD302" i="15" s="1"/>
  <c r="BM794" i="15"/>
  <c r="BL794" i="15"/>
  <c r="BN794" i="15" s="1"/>
  <c r="CH301" i="15"/>
  <c r="CG301" i="15"/>
  <c r="CI301" i="15" s="1"/>
  <c r="BI917" i="15"/>
  <c r="BH917" i="15"/>
  <c r="BJ917" i="15" s="1"/>
  <c r="BY425" i="15"/>
  <c r="BX425" i="15"/>
  <c r="BZ425" i="15" s="1"/>
  <c r="BQ671" i="15"/>
  <c r="BP671" i="15"/>
  <c r="BR671" i="15" s="1"/>
  <c r="BU548" i="15"/>
  <c r="BT548" i="15"/>
  <c r="BV548" i="15" s="1"/>
  <c r="J82" i="7"/>
  <c r="K82" i="7"/>
  <c r="BU549" i="15" l="1"/>
  <c r="BT549" i="15"/>
  <c r="BV549" i="15" s="1"/>
  <c r="BY426" i="15"/>
  <c r="BX426" i="15"/>
  <c r="BZ426" i="15" s="1"/>
  <c r="CH302" i="15"/>
  <c r="CG302" i="15"/>
  <c r="CI302" i="15" s="1"/>
  <c r="BM795" i="15"/>
  <c r="BL795" i="15"/>
  <c r="BN795" i="15" s="1"/>
  <c r="CL301" i="15"/>
  <c r="CK301" i="15"/>
  <c r="CM301" i="15" s="1"/>
  <c r="BQ672" i="15"/>
  <c r="BP672" i="15"/>
  <c r="BR672" i="15" s="1"/>
  <c r="BI918" i="15"/>
  <c r="BH918" i="15"/>
  <c r="BJ918" i="15" s="1"/>
  <c r="CC303" i="15"/>
  <c r="CB303" i="15"/>
  <c r="CD303" i="15" s="1"/>
  <c r="L82" i="7"/>
  <c r="BI919" i="15" l="1"/>
  <c r="BH919" i="15"/>
  <c r="BJ919" i="15" s="1"/>
  <c r="CL302" i="15"/>
  <c r="CK302" i="15"/>
  <c r="CM302" i="15" s="1"/>
  <c r="BM796" i="15"/>
  <c r="BL796" i="15"/>
  <c r="BN796" i="15" s="1"/>
  <c r="CH303" i="15"/>
  <c r="CG303" i="15"/>
  <c r="CI303" i="15" s="1"/>
  <c r="BU550" i="15"/>
  <c r="BT550" i="15"/>
  <c r="BV550" i="15" s="1"/>
  <c r="CC304" i="15"/>
  <c r="CB304" i="15"/>
  <c r="CD304" i="15" s="1"/>
  <c r="BQ673" i="15"/>
  <c r="BP673" i="15"/>
  <c r="BR673" i="15" s="1"/>
  <c r="BY427" i="15"/>
  <c r="BX427" i="15"/>
  <c r="BZ427" i="15" s="1"/>
  <c r="J83" i="7"/>
  <c r="K83" i="7"/>
  <c r="BQ674" i="15" l="1"/>
  <c r="BP674" i="15"/>
  <c r="BR674" i="15" s="1"/>
  <c r="BU551" i="15"/>
  <c r="BT551" i="15"/>
  <c r="BV551" i="15" s="1"/>
  <c r="BM797" i="15"/>
  <c r="BL797" i="15"/>
  <c r="BN797" i="15" s="1"/>
  <c r="BI920" i="15"/>
  <c r="BH920" i="15"/>
  <c r="BJ920" i="15" s="1"/>
  <c r="BY428" i="15"/>
  <c r="BX428" i="15"/>
  <c r="BZ428" i="15" s="1"/>
  <c r="CC305" i="15"/>
  <c r="CB305" i="15"/>
  <c r="CD305" i="15" s="1"/>
  <c r="CH304" i="15"/>
  <c r="CG304" i="15"/>
  <c r="CI304" i="15" s="1"/>
  <c r="CL303" i="15"/>
  <c r="CK303" i="15"/>
  <c r="CM303" i="15" s="1"/>
  <c r="L83" i="7"/>
  <c r="CL304" i="15" l="1"/>
  <c r="CK304" i="15"/>
  <c r="CM304" i="15" s="1"/>
  <c r="CC306" i="15"/>
  <c r="CB306" i="15"/>
  <c r="CD306" i="15" s="1"/>
  <c r="BI921" i="15"/>
  <c r="BH921" i="15"/>
  <c r="BJ921" i="15" s="1"/>
  <c r="BM798" i="15"/>
  <c r="BL798" i="15"/>
  <c r="BN798" i="15" s="1"/>
  <c r="BQ675" i="15"/>
  <c r="BP675" i="15"/>
  <c r="BR675" i="15" s="1"/>
  <c r="CH305" i="15"/>
  <c r="CG305" i="15"/>
  <c r="CI305" i="15" s="1"/>
  <c r="BY429" i="15"/>
  <c r="BX429" i="15"/>
  <c r="BZ429" i="15" s="1"/>
  <c r="BU552" i="15"/>
  <c r="BT552" i="15"/>
  <c r="BV552" i="15" s="1"/>
  <c r="J84" i="7"/>
  <c r="K84" i="7"/>
  <c r="BY430" i="15" l="1"/>
  <c r="BX430" i="15"/>
  <c r="BZ430" i="15" s="1"/>
  <c r="BQ676" i="15"/>
  <c r="BP676" i="15"/>
  <c r="BR676" i="15" s="1"/>
  <c r="BI922" i="15"/>
  <c r="BH922" i="15"/>
  <c r="BJ922" i="15" s="1"/>
  <c r="CL305" i="15"/>
  <c r="CK305" i="15"/>
  <c r="CM305" i="15" s="1"/>
  <c r="BU553" i="15"/>
  <c r="BT553" i="15"/>
  <c r="BV553" i="15" s="1"/>
  <c r="CH306" i="15"/>
  <c r="CG306" i="15"/>
  <c r="CI306" i="15" s="1"/>
  <c r="BM799" i="15"/>
  <c r="BL799" i="15"/>
  <c r="BN799" i="15" s="1"/>
  <c r="CC307" i="15"/>
  <c r="CB307" i="15"/>
  <c r="CD307" i="15" s="1"/>
  <c r="L84" i="7"/>
  <c r="BM800" i="15" l="1"/>
  <c r="BL800" i="15"/>
  <c r="BN800" i="15" s="1"/>
  <c r="CH307" i="15"/>
  <c r="CG307" i="15"/>
  <c r="CI307" i="15" s="1"/>
  <c r="CL306" i="15"/>
  <c r="CK306" i="15"/>
  <c r="CM306" i="15" s="1"/>
  <c r="BI923" i="15"/>
  <c r="BH923" i="15"/>
  <c r="BJ923" i="15" s="1"/>
  <c r="BY431" i="15"/>
  <c r="BX431" i="15"/>
  <c r="BZ431" i="15" s="1"/>
  <c r="CC308" i="15"/>
  <c r="CB308" i="15"/>
  <c r="CD308" i="15" s="1"/>
  <c r="BU554" i="15"/>
  <c r="BT554" i="15"/>
  <c r="BV554" i="15" s="1"/>
  <c r="BQ677" i="15"/>
  <c r="BP677" i="15"/>
  <c r="BR677" i="15" s="1"/>
  <c r="J85" i="7"/>
  <c r="K85" i="7"/>
  <c r="BQ678" i="15" l="1"/>
  <c r="BP678" i="15"/>
  <c r="BR678" i="15" s="1"/>
  <c r="CC309" i="15"/>
  <c r="CB309" i="15"/>
  <c r="CD309" i="15" s="1"/>
  <c r="BY432" i="15"/>
  <c r="BX432" i="15"/>
  <c r="BZ432" i="15" s="1"/>
  <c r="CL307" i="15"/>
  <c r="CK307" i="15"/>
  <c r="CM307" i="15" s="1"/>
  <c r="BM801" i="15"/>
  <c r="BL801" i="15"/>
  <c r="BN801" i="15" s="1"/>
  <c r="BU555" i="15"/>
  <c r="BT555" i="15"/>
  <c r="BV555" i="15" s="1"/>
  <c r="BI924" i="15"/>
  <c r="BH924" i="15"/>
  <c r="BJ924" i="15" s="1"/>
  <c r="CH308" i="15"/>
  <c r="CG308" i="15"/>
  <c r="CI308" i="15" s="1"/>
  <c r="L85" i="7"/>
  <c r="CH309" i="15" l="1"/>
  <c r="CG309" i="15"/>
  <c r="CI309" i="15" s="1"/>
  <c r="BU556" i="15"/>
  <c r="BT556" i="15"/>
  <c r="BV556" i="15" s="1"/>
  <c r="CL308" i="15"/>
  <c r="CK308" i="15"/>
  <c r="CM308" i="15" s="1"/>
  <c r="BY433" i="15"/>
  <c r="BX433" i="15"/>
  <c r="BZ433" i="15" s="1"/>
  <c r="BQ679" i="15"/>
  <c r="BP679" i="15"/>
  <c r="BR679" i="15" s="1"/>
  <c r="BI925" i="15"/>
  <c r="BH925" i="15"/>
  <c r="BJ925" i="15" s="1"/>
  <c r="BM802" i="15"/>
  <c r="BL802" i="15"/>
  <c r="BN802" i="15" s="1"/>
  <c r="CC310" i="15"/>
  <c r="CB310" i="15"/>
  <c r="CD310" i="15" s="1"/>
  <c r="J86" i="7"/>
  <c r="L86" i="7" s="1"/>
  <c r="K86" i="7"/>
  <c r="BM803" i="15" l="1"/>
  <c r="BL803" i="15"/>
  <c r="BN803" i="15" s="1"/>
  <c r="BQ680" i="15"/>
  <c r="BP680" i="15"/>
  <c r="BR680" i="15" s="1"/>
  <c r="CL309" i="15"/>
  <c r="CK309" i="15"/>
  <c r="CM309" i="15" s="1"/>
  <c r="CH310" i="15"/>
  <c r="CG310" i="15"/>
  <c r="CI310" i="15" s="1"/>
  <c r="CC311" i="15"/>
  <c r="CB311" i="15"/>
  <c r="CD311" i="15" s="1"/>
  <c r="BI926" i="15"/>
  <c r="BH926" i="15"/>
  <c r="BJ926" i="15" s="1"/>
  <c r="BY434" i="15"/>
  <c r="BX434" i="15"/>
  <c r="BZ434" i="15" s="1"/>
  <c r="BU557" i="15"/>
  <c r="BT557" i="15"/>
  <c r="BV557" i="15" s="1"/>
  <c r="J87" i="7"/>
  <c r="K87" i="7"/>
  <c r="BY435" i="15" l="1"/>
  <c r="BX435" i="15"/>
  <c r="BZ435" i="15" s="1"/>
  <c r="BI927" i="15"/>
  <c r="BH927" i="15"/>
  <c r="BJ927" i="15" s="1"/>
  <c r="CH311" i="15"/>
  <c r="CG311" i="15"/>
  <c r="CI311" i="15" s="1"/>
  <c r="CL310" i="15"/>
  <c r="CK310" i="15"/>
  <c r="CM310" i="15" s="1"/>
  <c r="BM804" i="15"/>
  <c r="BL804" i="15"/>
  <c r="BN804" i="15" s="1"/>
  <c r="BU558" i="15"/>
  <c r="BT558" i="15"/>
  <c r="BV558" i="15" s="1"/>
  <c r="CC312" i="15"/>
  <c r="CB312" i="15"/>
  <c r="CD312" i="15" s="1"/>
  <c r="BQ681" i="15"/>
  <c r="BP681" i="15"/>
  <c r="BR681" i="15" s="1"/>
  <c r="L87" i="7"/>
  <c r="BQ682" i="15" l="1"/>
  <c r="BP682" i="15"/>
  <c r="BR682" i="15" s="1"/>
  <c r="BU559" i="15"/>
  <c r="BT559" i="15"/>
  <c r="BV559" i="15" s="1"/>
  <c r="CL311" i="15"/>
  <c r="CK311" i="15"/>
  <c r="CM311" i="15" s="1"/>
  <c r="CH312" i="15"/>
  <c r="CG312" i="15"/>
  <c r="CI312" i="15" s="1"/>
  <c r="BY436" i="15"/>
  <c r="BX436" i="15"/>
  <c r="BZ436" i="15" s="1"/>
  <c r="CC313" i="15"/>
  <c r="CB313" i="15"/>
  <c r="CD313" i="15" s="1"/>
  <c r="BM805" i="15"/>
  <c r="BL805" i="15"/>
  <c r="BN805" i="15" s="1"/>
  <c r="BI928" i="15"/>
  <c r="BH928" i="15"/>
  <c r="BJ928" i="15" s="1"/>
  <c r="J88" i="7"/>
  <c r="K88" i="7"/>
  <c r="BM806" i="15" l="1"/>
  <c r="BL806" i="15"/>
  <c r="BN806" i="15" s="1"/>
  <c r="BY437" i="15"/>
  <c r="BX437" i="15"/>
  <c r="BZ437" i="15" s="1"/>
  <c r="CH313" i="15"/>
  <c r="CG313" i="15"/>
  <c r="CI313" i="15" s="1"/>
  <c r="CL312" i="15"/>
  <c r="CK312" i="15"/>
  <c r="CM312" i="15" s="1"/>
  <c r="BQ683" i="15"/>
  <c r="BP683" i="15"/>
  <c r="BR683" i="15" s="1"/>
  <c r="BI929" i="15"/>
  <c r="BH929" i="15"/>
  <c r="BJ929" i="15" s="1"/>
  <c r="CC314" i="15"/>
  <c r="CB314" i="15"/>
  <c r="CD314" i="15" s="1"/>
  <c r="BU560" i="15"/>
  <c r="BT560" i="15"/>
  <c r="BV560" i="15" s="1"/>
  <c r="L88" i="7"/>
  <c r="BU561" i="15" l="1"/>
  <c r="BT561" i="15"/>
  <c r="BV561" i="15" s="1"/>
  <c r="BI930" i="15"/>
  <c r="BH930" i="15"/>
  <c r="BJ930" i="15" s="1"/>
  <c r="CL313" i="15"/>
  <c r="CK313" i="15"/>
  <c r="CM313" i="15" s="1"/>
  <c r="CH314" i="15"/>
  <c r="CG314" i="15"/>
  <c r="CI314" i="15" s="1"/>
  <c r="BM807" i="15"/>
  <c r="BL807" i="15"/>
  <c r="BN807" i="15" s="1"/>
  <c r="CC315" i="15"/>
  <c r="CB315" i="15"/>
  <c r="CD315" i="15" s="1"/>
  <c r="BQ684" i="15"/>
  <c r="BP684" i="15"/>
  <c r="BR684" i="15" s="1"/>
  <c r="BY438" i="15"/>
  <c r="BX438" i="15"/>
  <c r="BZ438" i="15" s="1"/>
  <c r="J89" i="7"/>
  <c r="L89" i="7" s="1"/>
  <c r="K89" i="7"/>
  <c r="BQ685" i="15" l="1"/>
  <c r="BP685" i="15"/>
  <c r="BR685" i="15" s="1"/>
  <c r="BM808" i="15"/>
  <c r="BL808" i="15"/>
  <c r="BN808" i="15" s="1"/>
  <c r="CL314" i="15"/>
  <c r="CK314" i="15"/>
  <c r="CM314" i="15" s="1"/>
  <c r="BU562" i="15"/>
  <c r="BT562" i="15"/>
  <c r="BV562" i="15" s="1"/>
  <c r="BY439" i="15"/>
  <c r="BX439" i="15"/>
  <c r="BZ439" i="15" s="1"/>
  <c r="CC316" i="15"/>
  <c r="CB316" i="15"/>
  <c r="CD316" i="15" s="1"/>
  <c r="CH315" i="15"/>
  <c r="CG315" i="15"/>
  <c r="CI315" i="15" s="1"/>
  <c r="BI931" i="15"/>
  <c r="BH931" i="15"/>
  <c r="BJ931" i="15" s="1"/>
  <c r="J90" i="7"/>
  <c r="K90" i="7"/>
  <c r="BI932" i="15" l="1"/>
  <c r="BH932" i="15"/>
  <c r="BJ932" i="15" s="1"/>
  <c r="CC317" i="15"/>
  <c r="CB317" i="15"/>
  <c r="CD317" i="15" s="1"/>
  <c r="BU563" i="15"/>
  <c r="BT563" i="15"/>
  <c r="BV563" i="15" s="1"/>
  <c r="CL315" i="15"/>
  <c r="CK315" i="15"/>
  <c r="CM315" i="15" s="1"/>
  <c r="BQ686" i="15"/>
  <c r="BP686" i="15"/>
  <c r="BR686" i="15" s="1"/>
  <c r="CH316" i="15"/>
  <c r="CG316" i="15"/>
  <c r="CI316" i="15" s="1"/>
  <c r="BY440" i="15"/>
  <c r="BX440" i="15"/>
  <c r="BZ440" i="15" s="1"/>
  <c r="BM809" i="15"/>
  <c r="BL809" i="15"/>
  <c r="BN809" i="15" s="1"/>
  <c r="L90" i="7"/>
  <c r="BM810" i="15" l="1"/>
  <c r="BL810" i="15"/>
  <c r="BN810" i="15" s="1"/>
  <c r="CH317" i="15"/>
  <c r="CG317" i="15"/>
  <c r="CI317" i="15" s="1"/>
  <c r="CL316" i="15"/>
  <c r="CK316" i="15"/>
  <c r="CM316" i="15" s="1"/>
  <c r="BU564" i="15"/>
  <c r="BT564" i="15"/>
  <c r="BV564" i="15" s="1"/>
  <c r="BI933" i="15"/>
  <c r="BH933" i="15"/>
  <c r="BJ933" i="15" s="1"/>
  <c r="BY441" i="15"/>
  <c r="BX441" i="15"/>
  <c r="BZ441" i="15" s="1"/>
  <c r="BQ687" i="15"/>
  <c r="BP687" i="15"/>
  <c r="BR687" i="15" s="1"/>
  <c r="CC318" i="15"/>
  <c r="CB318" i="15"/>
  <c r="CD318" i="15" s="1"/>
  <c r="J91" i="7"/>
  <c r="K91" i="7"/>
  <c r="CC319" i="15" l="1"/>
  <c r="CB319" i="15"/>
  <c r="CD319" i="15" s="1"/>
  <c r="BY442" i="15"/>
  <c r="BX442" i="15"/>
  <c r="BZ442" i="15" s="1"/>
  <c r="BU565" i="15"/>
  <c r="BT565" i="15"/>
  <c r="BV565" i="15" s="1"/>
  <c r="CL317" i="15"/>
  <c r="CK317" i="15"/>
  <c r="CM317" i="15" s="1"/>
  <c r="BM811" i="15"/>
  <c r="BL811" i="15"/>
  <c r="BN811" i="15" s="1"/>
  <c r="BQ688" i="15"/>
  <c r="BP688" i="15"/>
  <c r="BR688" i="15" s="1"/>
  <c r="BI934" i="15"/>
  <c r="BH934" i="15"/>
  <c r="BJ934" i="15" s="1"/>
  <c r="CH318" i="15"/>
  <c r="CG318" i="15"/>
  <c r="CI318" i="15" s="1"/>
  <c r="L91" i="7"/>
  <c r="BI935" i="15" l="1"/>
  <c r="BH935" i="15"/>
  <c r="BJ935" i="15" s="1"/>
  <c r="BM812" i="15"/>
  <c r="BL812" i="15"/>
  <c r="BN812" i="15" s="1"/>
  <c r="CL318" i="15"/>
  <c r="CK318" i="15"/>
  <c r="CM318" i="15" s="1"/>
  <c r="BU566" i="15"/>
  <c r="BT566" i="15"/>
  <c r="BV566" i="15" s="1"/>
  <c r="CC320" i="15"/>
  <c r="CB320" i="15"/>
  <c r="CD320" i="15" s="1"/>
  <c r="CH319" i="15"/>
  <c r="CG319" i="15"/>
  <c r="CI319" i="15" s="1"/>
  <c r="BQ689" i="15"/>
  <c r="BP689" i="15"/>
  <c r="BR689" i="15" s="1"/>
  <c r="BY443" i="15"/>
  <c r="BX443" i="15"/>
  <c r="BZ443" i="15" s="1"/>
  <c r="J92" i="7"/>
  <c r="L92" i="7" s="1"/>
  <c r="K92" i="7"/>
  <c r="BQ690" i="15" l="1"/>
  <c r="BP690" i="15"/>
  <c r="BR690" i="15" s="1"/>
  <c r="CC321" i="15"/>
  <c r="CB321" i="15"/>
  <c r="CD321" i="15" s="1"/>
  <c r="CL319" i="15"/>
  <c r="CK319" i="15"/>
  <c r="CM319" i="15" s="1"/>
  <c r="BI936" i="15"/>
  <c r="BH936" i="15"/>
  <c r="BJ936" i="15" s="1"/>
  <c r="BY444" i="15"/>
  <c r="BX444" i="15"/>
  <c r="BZ444" i="15" s="1"/>
  <c r="CH320" i="15"/>
  <c r="CG320" i="15"/>
  <c r="CI320" i="15" s="1"/>
  <c r="BU567" i="15"/>
  <c r="BT567" i="15"/>
  <c r="BV567" i="15" s="1"/>
  <c r="BM813" i="15"/>
  <c r="BL813" i="15"/>
  <c r="BN813" i="15" s="1"/>
  <c r="J93" i="7"/>
  <c r="K93" i="7"/>
  <c r="BU568" i="15" l="1"/>
  <c r="BT568" i="15"/>
  <c r="BV568" i="15" s="1"/>
  <c r="CH321" i="15"/>
  <c r="CG321" i="15"/>
  <c r="CI321" i="15" s="1"/>
  <c r="BI937" i="15"/>
  <c r="BH937" i="15"/>
  <c r="BJ937" i="15" s="1"/>
  <c r="CL320" i="15"/>
  <c r="CK320" i="15"/>
  <c r="CM320" i="15" s="1"/>
  <c r="BQ691" i="15"/>
  <c r="BP691" i="15"/>
  <c r="BR691" i="15" s="1"/>
  <c r="BM814" i="15"/>
  <c r="BL814" i="15"/>
  <c r="BN814" i="15" s="1"/>
  <c r="BY445" i="15"/>
  <c r="BX445" i="15"/>
  <c r="BZ445" i="15" s="1"/>
  <c r="CC322" i="15"/>
  <c r="CB322" i="15"/>
  <c r="CD322" i="15" s="1"/>
  <c r="L93" i="7"/>
  <c r="CC323" i="15" l="1"/>
  <c r="CB323" i="15"/>
  <c r="CD323" i="15" s="1"/>
  <c r="BM815" i="15"/>
  <c r="BL815" i="15"/>
  <c r="BN815" i="15" s="1"/>
  <c r="CL321" i="15"/>
  <c r="CK321" i="15"/>
  <c r="CM321" i="15" s="1"/>
  <c r="BI938" i="15"/>
  <c r="BH938" i="15"/>
  <c r="BJ938" i="15" s="1"/>
  <c r="BU569" i="15"/>
  <c r="BT569" i="15"/>
  <c r="BV569" i="15" s="1"/>
  <c r="BY446" i="15"/>
  <c r="BX446" i="15"/>
  <c r="BZ446" i="15" s="1"/>
  <c r="BQ692" i="15"/>
  <c r="BP692" i="15"/>
  <c r="BR692" i="15" s="1"/>
  <c r="CH322" i="15"/>
  <c r="CG322" i="15"/>
  <c r="CI322" i="15" s="1"/>
  <c r="J94" i="7"/>
  <c r="K94" i="7"/>
  <c r="CH323" i="15" l="1"/>
  <c r="CG323" i="15"/>
  <c r="CI323" i="15" s="1"/>
  <c r="BY447" i="15"/>
  <c r="BX447" i="15"/>
  <c r="BZ447" i="15" s="1"/>
  <c r="BI939" i="15"/>
  <c r="BH939" i="15"/>
  <c r="BJ939" i="15" s="1"/>
  <c r="CL322" i="15"/>
  <c r="CK322" i="15"/>
  <c r="CM322" i="15" s="1"/>
  <c r="CC324" i="15"/>
  <c r="CB324" i="15"/>
  <c r="CD324" i="15" s="1"/>
  <c r="BQ693" i="15"/>
  <c r="BP693" i="15"/>
  <c r="BR693" i="15" s="1"/>
  <c r="BU570" i="15"/>
  <c r="BT570" i="15"/>
  <c r="BV570" i="15" s="1"/>
  <c r="BM816" i="15"/>
  <c r="BL816" i="15"/>
  <c r="BN816" i="15" s="1"/>
  <c r="L94" i="7"/>
  <c r="BU571" i="15" l="1"/>
  <c r="BT571" i="15"/>
  <c r="BV571" i="15" s="1"/>
  <c r="BQ694" i="15"/>
  <c r="BP694" i="15"/>
  <c r="BR694" i="15" s="1"/>
  <c r="CL323" i="15"/>
  <c r="CK323" i="15"/>
  <c r="CM323" i="15" s="1"/>
  <c r="BI940" i="15"/>
  <c r="BH940" i="15"/>
  <c r="BJ940" i="15" s="1"/>
  <c r="CH324" i="15"/>
  <c r="CG324" i="15"/>
  <c r="CI324" i="15" s="1"/>
  <c r="BM817" i="15"/>
  <c r="BL817" i="15"/>
  <c r="BN817" i="15" s="1"/>
  <c r="CC325" i="15"/>
  <c r="CB325" i="15"/>
  <c r="CD325" i="15" s="1"/>
  <c r="BY448" i="15"/>
  <c r="BX448" i="15"/>
  <c r="BZ448" i="15" s="1"/>
  <c r="J95" i="7"/>
  <c r="K95" i="7"/>
  <c r="BY449" i="15" l="1"/>
  <c r="BX449" i="15"/>
  <c r="BZ449" i="15" s="1"/>
  <c r="BM818" i="15"/>
  <c r="BL818" i="15"/>
  <c r="BN818" i="15" s="1"/>
  <c r="CH325" i="15"/>
  <c r="CG325" i="15"/>
  <c r="CI325" i="15" s="1"/>
  <c r="CL324" i="15"/>
  <c r="CK324" i="15"/>
  <c r="CM324" i="15" s="1"/>
  <c r="BU572" i="15"/>
  <c r="BT572" i="15"/>
  <c r="BV572" i="15" s="1"/>
  <c r="CC326" i="15"/>
  <c r="CB326" i="15"/>
  <c r="CD326" i="15" s="1"/>
  <c r="BI941" i="15"/>
  <c r="BH941" i="15"/>
  <c r="BJ941" i="15" s="1"/>
  <c r="BQ695" i="15"/>
  <c r="BP695" i="15"/>
  <c r="BR695" i="15" s="1"/>
  <c r="L95" i="7"/>
  <c r="BQ696" i="15" l="1"/>
  <c r="BP696" i="15"/>
  <c r="BR696" i="15" s="1"/>
  <c r="CC327" i="15"/>
  <c r="CB327" i="15"/>
  <c r="CD327" i="15" s="1"/>
  <c r="CL325" i="15"/>
  <c r="CK325" i="15"/>
  <c r="CM325" i="15" s="1"/>
  <c r="CH326" i="15"/>
  <c r="CG326" i="15"/>
  <c r="CI326" i="15" s="1"/>
  <c r="BY450" i="15"/>
  <c r="BX450" i="15"/>
  <c r="BZ450" i="15" s="1"/>
  <c r="BI942" i="15"/>
  <c r="BH942" i="15"/>
  <c r="BJ942" i="15" s="1"/>
  <c r="BU573" i="15"/>
  <c r="BT573" i="15"/>
  <c r="BV573" i="15" s="1"/>
  <c r="BM819" i="15"/>
  <c r="BL819" i="15"/>
  <c r="BN819" i="15" s="1"/>
  <c r="J96" i="7"/>
  <c r="K96" i="7"/>
  <c r="BU574" i="15" l="1"/>
  <c r="BT574" i="15"/>
  <c r="BV574" i="15" s="1"/>
  <c r="BY451" i="15"/>
  <c r="BX451" i="15"/>
  <c r="BZ451" i="15" s="1"/>
  <c r="CH327" i="15"/>
  <c r="CG327" i="15"/>
  <c r="CI327" i="15" s="1"/>
  <c r="CL326" i="15"/>
  <c r="CK326" i="15"/>
  <c r="CM326" i="15" s="1"/>
  <c r="BQ697" i="15"/>
  <c r="BP697" i="15"/>
  <c r="BR697" i="15" s="1"/>
  <c r="BM820" i="15"/>
  <c r="BL820" i="15"/>
  <c r="BN820" i="15" s="1"/>
  <c r="BI943" i="15"/>
  <c r="BH943" i="15"/>
  <c r="BJ943" i="15" s="1"/>
  <c r="CC328" i="15"/>
  <c r="CB328" i="15"/>
  <c r="CD328" i="15" s="1"/>
  <c r="L96" i="7"/>
  <c r="BI944" i="15" l="1"/>
  <c r="BH944" i="15"/>
  <c r="BJ944" i="15" s="1"/>
  <c r="BM821" i="15"/>
  <c r="BL821" i="15"/>
  <c r="BN821" i="15" s="1"/>
  <c r="CL327" i="15"/>
  <c r="CK327" i="15"/>
  <c r="CM327" i="15" s="1"/>
  <c r="CH328" i="15"/>
  <c r="CG328" i="15"/>
  <c r="CI328" i="15" s="1"/>
  <c r="BU575" i="15"/>
  <c r="BT575" i="15"/>
  <c r="BV575" i="15" s="1"/>
  <c r="CC329" i="15"/>
  <c r="CB329" i="15"/>
  <c r="CD329" i="15" s="1"/>
  <c r="BQ698" i="15"/>
  <c r="BP698" i="15"/>
  <c r="BR698" i="15" s="1"/>
  <c r="BY452" i="15"/>
  <c r="BX452" i="15"/>
  <c r="BZ452" i="15" s="1"/>
  <c r="J97" i="7"/>
  <c r="K97" i="7"/>
  <c r="BQ699" i="15" l="1"/>
  <c r="BP699" i="15"/>
  <c r="BR699" i="15" s="1"/>
  <c r="CC330" i="15"/>
  <c r="CB330" i="15"/>
  <c r="CD330" i="15" s="1"/>
  <c r="CH329" i="15"/>
  <c r="CG329" i="15"/>
  <c r="CI329" i="15" s="1"/>
  <c r="CL328" i="15"/>
  <c r="CK328" i="15"/>
  <c r="CM328" i="15" s="1"/>
  <c r="BI945" i="15"/>
  <c r="BH945" i="15"/>
  <c r="BJ945" i="15" s="1"/>
  <c r="BY453" i="15"/>
  <c r="BX453" i="15"/>
  <c r="BZ453" i="15" s="1"/>
  <c r="BU576" i="15"/>
  <c r="BT576" i="15"/>
  <c r="BV576" i="15" s="1"/>
  <c r="BM822" i="15"/>
  <c r="BL822" i="15"/>
  <c r="BN822" i="15" s="1"/>
  <c r="L97" i="7"/>
  <c r="BU577" i="15" l="1"/>
  <c r="BT577" i="15"/>
  <c r="BV577" i="15" s="1"/>
  <c r="BY454" i="15"/>
  <c r="BX454" i="15"/>
  <c r="BZ454" i="15" s="1"/>
  <c r="CL329" i="15"/>
  <c r="CK329" i="15"/>
  <c r="CM329" i="15" s="1"/>
  <c r="CH330" i="15"/>
  <c r="CG330" i="15"/>
  <c r="CI330" i="15" s="1"/>
  <c r="BQ700" i="15"/>
  <c r="BP700" i="15"/>
  <c r="BR700" i="15" s="1"/>
  <c r="BM823" i="15"/>
  <c r="BL823" i="15"/>
  <c r="BN823" i="15" s="1"/>
  <c r="BI946" i="15"/>
  <c r="BH946" i="15"/>
  <c r="BJ946" i="15" s="1"/>
  <c r="CC331" i="15"/>
  <c r="CB331" i="15"/>
  <c r="CD331" i="15" s="1"/>
  <c r="J98" i="7"/>
  <c r="K98" i="7"/>
  <c r="BI947" i="15" l="1"/>
  <c r="BH947" i="15"/>
  <c r="BJ947" i="15" s="1"/>
  <c r="CL330" i="15"/>
  <c r="CK330" i="15"/>
  <c r="CM330" i="15" s="1"/>
  <c r="CC332" i="15"/>
  <c r="CB332" i="15"/>
  <c r="CD332" i="15" s="1"/>
  <c r="BM824" i="15"/>
  <c r="BL824" i="15"/>
  <c r="BN824" i="15" s="1"/>
  <c r="BQ701" i="15"/>
  <c r="BP701" i="15"/>
  <c r="BR701" i="15" s="1"/>
  <c r="CH331" i="15"/>
  <c r="CG331" i="15"/>
  <c r="CI331" i="15" s="1"/>
  <c r="BY455" i="15"/>
  <c r="BX455" i="15"/>
  <c r="BZ455" i="15" s="1"/>
  <c r="BU578" i="15"/>
  <c r="BT578" i="15"/>
  <c r="BV578" i="15" s="1"/>
  <c r="L98" i="7"/>
  <c r="BU579" i="15" l="1"/>
  <c r="BT579" i="15"/>
  <c r="BV579" i="15" s="1"/>
  <c r="CH332" i="15"/>
  <c r="CG332" i="15"/>
  <c r="CI332" i="15" s="1"/>
  <c r="BM825" i="15"/>
  <c r="BL825" i="15"/>
  <c r="BN825" i="15" s="1"/>
  <c r="CC333" i="15"/>
  <c r="CB333" i="15"/>
  <c r="CD333" i="15" s="1"/>
  <c r="BI948" i="15"/>
  <c r="BH948" i="15"/>
  <c r="BJ948" i="15" s="1"/>
  <c r="BY456" i="15"/>
  <c r="BX456" i="15"/>
  <c r="BZ456" i="15" s="1"/>
  <c r="BQ702" i="15"/>
  <c r="BP702" i="15"/>
  <c r="BR702" i="15" s="1"/>
  <c r="CL331" i="15"/>
  <c r="CK331" i="15"/>
  <c r="CM331" i="15" s="1"/>
  <c r="J99" i="7"/>
  <c r="K99" i="7"/>
  <c r="BQ703" i="15" l="1"/>
  <c r="BP703" i="15"/>
  <c r="BR703" i="15" s="1"/>
  <c r="BI949" i="15"/>
  <c r="BH949" i="15"/>
  <c r="BJ949" i="15" s="1"/>
  <c r="BM826" i="15"/>
  <c r="BL826" i="15"/>
  <c r="BN826" i="15" s="1"/>
  <c r="BU580" i="15"/>
  <c r="BT580" i="15"/>
  <c r="BV580" i="15" s="1"/>
  <c r="CL332" i="15"/>
  <c r="CK332" i="15"/>
  <c r="CM332" i="15" s="1"/>
  <c r="BY457" i="15"/>
  <c r="BX457" i="15"/>
  <c r="BZ457" i="15" s="1"/>
  <c r="CC334" i="15"/>
  <c r="CB334" i="15"/>
  <c r="CD334" i="15" s="1"/>
  <c r="CH333" i="15"/>
  <c r="CG333" i="15"/>
  <c r="CI333" i="15" s="1"/>
  <c r="L99" i="7"/>
  <c r="CC335" i="15" l="1"/>
  <c r="CB335" i="15"/>
  <c r="CD335" i="15" s="1"/>
  <c r="BY458" i="15"/>
  <c r="BX458" i="15"/>
  <c r="BZ458" i="15" s="1"/>
  <c r="BU581" i="15"/>
  <c r="BT581" i="15"/>
  <c r="BV581" i="15" s="1"/>
  <c r="BM827" i="15"/>
  <c r="BL827" i="15"/>
  <c r="BN827" i="15" s="1"/>
  <c r="BQ704" i="15"/>
  <c r="BP704" i="15"/>
  <c r="BR704" i="15" s="1"/>
  <c r="CH334" i="15"/>
  <c r="CG334" i="15"/>
  <c r="CI334" i="15" s="1"/>
  <c r="CL333" i="15"/>
  <c r="CK333" i="15"/>
  <c r="CM333" i="15" s="1"/>
  <c r="BI950" i="15"/>
  <c r="BH950" i="15"/>
  <c r="BJ950" i="15" s="1"/>
  <c r="J100" i="7"/>
  <c r="K100" i="7"/>
  <c r="BI951" i="15" l="1"/>
  <c r="BH951" i="15"/>
  <c r="BJ951" i="15" s="1"/>
  <c r="CH335" i="15"/>
  <c r="CG335" i="15"/>
  <c r="CI335" i="15" s="1"/>
  <c r="BM828" i="15"/>
  <c r="BL828" i="15"/>
  <c r="BN828" i="15" s="1"/>
  <c r="BU582" i="15"/>
  <c r="BT582" i="15"/>
  <c r="BV582" i="15" s="1"/>
  <c r="CC336" i="15"/>
  <c r="CB336" i="15"/>
  <c r="CD336" i="15" s="1"/>
  <c r="CL334" i="15"/>
  <c r="CK334" i="15"/>
  <c r="CM334" i="15" s="1"/>
  <c r="BQ705" i="15"/>
  <c r="BP705" i="15"/>
  <c r="BR705" i="15" s="1"/>
  <c r="BY459" i="15"/>
  <c r="BX459" i="15"/>
  <c r="BZ459" i="15" s="1"/>
  <c r="L100" i="7"/>
  <c r="BY460" i="15" l="1"/>
  <c r="BX460" i="15"/>
  <c r="BZ460" i="15" s="1"/>
  <c r="CL335" i="15"/>
  <c r="CK335" i="15"/>
  <c r="CM335" i="15" s="1"/>
  <c r="BU583" i="15"/>
  <c r="BT583" i="15"/>
  <c r="BV583" i="15" s="1"/>
  <c r="BM829" i="15"/>
  <c r="BL829" i="15"/>
  <c r="BN829" i="15" s="1"/>
  <c r="BI952" i="15"/>
  <c r="BH952" i="15"/>
  <c r="BJ952" i="15" s="1"/>
  <c r="BQ706" i="15"/>
  <c r="BP706" i="15"/>
  <c r="BR706" i="15" s="1"/>
  <c r="CC337" i="15"/>
  <c r="CB337" i="15"/>
  <c r="CD337" i="15" s="1"/>
  <c r="CH336" i="15"/>
  <c r="CG336" i="15"/>
  <c r="CI336" i="15" s="1"/>
  <c r="J101" i="7"/>
  <c r="K101" i="7"/>
  <c r="CH337" i="15" l="1"/>
  <c r="CG337" i="15"/>
  <c r="CI337" i="15" s="1"/>
  <c r="BQ707" i="15"/>
  <c r="BP707" i="15"/>
  <c r="BR707" i="15" s="1"/>
  <c r="BM830" i="15"/>
  <c r="BL830" i="15"/>
  <c r="BN830" i="15" s="1"/>
  <c r="BU584" i="15"/>
  <c r="BT584" i="15"/>
  <c r="BV584" i="15" s="1"/>
  <c r="BY461" i="15"/>
  <c r="BX461" i="15"/>
  <c r="BZ461" i="15" s="1"/>
  <c r="CC338" i="15"/>
  <c r="CB338" i="15"/>
  <c r="CD338" i="15" s="1"/>
  <c r="BI953" i="15"/>
  <c r="BH953" i="15"/>
  <c r="BJ953" i="15" s="1"/>
  <c r="CL336" i="15"/>
  <c r="CK336" i="15"/>
  <c r="CM336" i="15" s="1"/>
  <c r="L101" i="7"/>
  <c r="CL337" i="15" l="1"/>
  <c r="CK337" i="15"/>
  <c r="CM337" i="15" s="1"/>
  <c r="CC339" i="15"/>
  <c r="CB339" i="15"/>
  <c r="CD339" i="15" s="1"/>
  <c r="BU585" i="15"/>
  <c r="BT585" i="15"/>
  <c r="BV585" i="15" s="1"/>
  <c r="BM831" i="15"/>
  <c r="BL831" i="15"/>
  <c r="BN831" i="15" s="1"/>
  <c r="CH338" i="15"/>
  <c r="CG338" i="15"/>
  <c r="CI338" i="15" s="1"/>
  <c r="BI954" i="15"/>
  <c r="BH954" i="15"/>
  <c r="BJ954" i="15" s="1"/>
  <c r="BY462" i="15"/>
  <c r="BX462" i="15"/>
  <c r="BZ462" i="15" s="1"/>
  <c r="BQ708" i="15"/>
  <c r="BP708" i="15"/>
  <c r="BR708" i="15" s="1"/>
  <c r="J102" i="7"/>
  <c r="L102" i="7" s="1"/>
  <c r="K102" i="7"/>
  <c r="BQ709" i="15" l="1"/>
  <c r="BP709" i="15"/>
  <c r="BR709" i="15" s="1"/>
  <c r="BI955" i="15"/>
  <c r="BH955" i="15"/>
  <c r="BJ955" i="15" s="1"/>
  <c r="BM832" i="15"/>
  <c r="BL832" i="15"/>
  <c r="BN832" i="15" s="1"/>
  <c r="BU586" i="15"/>
  <c r="BT586" i="15"/>
  <c r="BV586" i="15" s="1"/>
  <c r="CL338" i="15"/>
  <c r="CK338" i="15"/>
  <c r="CM338" i="15" s="1"/>
  <c r="BY463" i="15"/>
  <c r="BX463" i="15"/>
  <c r="BZ463" i="15" s="1"/>
  <c r="CH339" i="15"/>
  <c r="CG339" i="15"/>
  <c r="CI339" i="15" s="1"/>
  <c r="CC340" i="15"/>
  <c r="CB340" i="15"/>
  <c r="CD340" i="15" s="1"/>
  <c r="J103" i="7"/>
  <c r="K103" i="7"/>
  <c r="CC341" i="15" l="1"/>
  <c r="CB341" i="15"/>
  <c r="CD341" i="15" s="1"/>
  <c r="BY464" i="15"/>
  <c r="BX464" i="15"/>
  <c r="BZ464" i="15" s="1"/>
  <c r="BU587" i="15"/>
  <c r="BT587" i="15"/>
  <c r="BV587" i="15" s="1"/>
  <c r="BM833" i="15"/>
  <c r="BL833" i="15"/>
  <c r="BN833" i="15" s="1"/>
  <c r="BQ710" i="15"/>
  <c r="BP710" i="15"/>
  <c r="BR710" i="15" s="1"/>
  <c r="CH340" i="15"/>
  <c r="CG340" i="15"/>
  <c r="CI340" i="15" s="1"/>
  <c r="CL339" i="15"/>
  <c r="CK339" i="15"/>
  <c r="CM339" i="15" s="1"/>
  <c r="BI956" i="15"/>
  <c r="BH956" i="15"/>
  <c r="BJ956" i="15" s="1"/>
  <c r="L103" i="7"/>
  <c r="CL340" i="15" l="1"/>
  <c r="CK340" i="15"/>
  <c r="CM340" i="15" s="1"/>
  <c r="BQ711" i="15"/>
  <c r="BP711" i="15"/>
  <c r="BR711" i="15" s="1"/>
  <c r="BU588" i="15"/>
  <c r="BT588" i="15"/>
  <c r="BV588" i="15" s="1"/>
  <c r="CC342" i="15"/>
  <c r="CB342" i="15"/>
  <c r="CD342" i="15" s="1"/>
  <c r="BI957" i="15"/>
  <c r="BH957" i="15"/>
  <c r="BJ957" i="15" s="1"/>
  <c r="CH341" i="15"/>
  <c r="CG341" i="15"/>
  <c r="CI341" i="15" s="1"/>
  <c r="BM834" i="15"/>
  <c r="BL834" i="15"/>
  <c r="BN834" i="15" s="1"/>
  <c r="BY465" i="15"/>
  <c r="BX465" i="15"/>
  <c r="BZ465" i="15" s="1"/>
  <c r="J104" i="7"/>
  <c r="K104" i="7"/>
  <c r="BY466" i="15" l="1"/>
  <c r="BX466" i="15"/>
  <c r="BZ466" i="15" s="1"/>
  <c r="CH342" i="15"/>
  <c r="CG342" i="15"/>
  <c r="CI342" i="15" s="1"/>
  <c r="CC343" i="15"/>
  <c r="CB343" i="15"/>
  <c r="CD343" i="15" s="1"/>
  <c r="BU589" i="15"/>
  <c r="BT589" i="15"/>
  <c r="BV589" i="15" s="1"/>
  <c r="CL341" i="15"/>
  <c r="CK341" i="15"/>
  <c r="CM341" i="15" s="1"/>
  <c r="BM835" i="15"/>
  <c r="BL835" i="15"/>
  <c r="BN835" i="15" s="1"/>
  <c r="BI958" i="15"/>
  <c r="BH958" i="15"/>
  <c r="BJ958" i="15" s="1"/>
  <c r="BQ712" i="15"/>
  <c r="BP712" i="15"/>
  <c r="BR712" i="15" s="1"/>
  <c r="L104" i="7"/>
  <c r="BI959" i="15" l="1"/>
  <c r="BH959" i="15"/>
  <c r="BJ959" i="15" s="1"/>
  <c r="CL342" i="15"/>
  <c r="CK342" i="15"/>
  <c r="CM342" i="15" s="1"/>
  <c r="CC344" i="15"/>
  <c r="CB344" i="15"/>
  <c r="CD344" i="15" s="1"/>
  <c r="BY467" i="15"/>
  <c r="BX467" i="15"/>
  <c r="BZ467" i="15" s="1"/>
  <c r="BQ713" i="15"/>
  <c r="BP713" i="15"/>
  <c r="BR713" i="15" s="1"/>
  <c r="BM836" i="15"/>
  <c r="BL836" i="15"/>
  <c r="BN836" i="15" s="1"/>
  <c r="BU590" i="15"/>
  <c r="BT590" i="15"/>
  <c r="BV590" i="15" s="1"/>
  <c r="CH343" i="15"/>
  <c r="CG343" i="15"/>
  <c r="CI343" i="15" s="1"/>
  <c r="J105" i="7"/>
  <c r="K105" i="7"/>
  <c r="CH344" i="15" l="1"/>
  <c r="CG344" i="15"/>
  <c r="CI344" i="15" s="1"/>
  <c r="BM837" i="15"/>
  <c r="BL837" i="15"/>
  <c r="BN837" i="15" s="1"/>
  <c r="BQ714" i="15"/>
  <c r="BP714" i="15"/>
  <c r="BR714" i="15" s="1"/>
  <c r="CC345" i="15"/>
  <c r="CB345" i="15"/>
  <c r="CD345" i="15" s="1"/>
  <c r="BI960" i="15"/>
  <c r="BH960" i="15"/>
  <c r="BJ960" i="15" s="1"/>
  <c r="BU591" i="15"/>
  <c r="BT591" i="15"/>
  <c r="BV591" i="15" s="1"/>
  <c r="BY468" i="15"/>
  <c r="BX468" i="15"/>
  <c r="BZ468" i="15" s="1"/>
  <c r="CL343" i="15"/>
  <c r="CK343" i="15"/>
  <c r="CM343" i="15" s="1"/>
  <c r="L105" i="7"/>
  <c r="CL344" i="15" l="1"/>
  <c r="CK344" i="15"/>
  <c r="CM344" i="15" s="1"/>
  <c r="BU592" i="15"/>
  <c r="BT592" i="15"/>
  <c r="BV592" i="15" s="1"/>
  <c r="CC346" i="15"/>
  <c r="CB346" i="15"/>
  <c r="CD346" i="15" s="1"/>
  <c r="BQ715" i="15"/>
  <c r="BP715" i="15"/>
  <c r="BR715" i="15" s="1"/>
  <c r="CH345" i="15"/>
  <c r="CG345" i="15"/>
  <c r="CI345" i="15" s="1"/>
  <c r="BY469" i="15"/>
  <c r="BX469" i="15"/>
  <c r="BZ469" i="15" s="1"/>
  <c r="BI961" i="15"/>
  <c r="BH961" i="15"/>
  <c r="BJ961" i="15" s="1"/>
  <c r="BM838" i="15"/>
  <c r="BL838" i="15"/>
  <c r="BN838" i="15" s="1"/>
  <c r="J106" i="7"/>
  <c r="K106" i="7"/>
  <c r="BM839" i="15" l="1"/>
  <c r="BL839" i="15"/>
  <c r="BN839" i="15" s="1"/>
  <c r="BY470" i="15"/>
  <c r="BX470" i="15"/>
  <c r="BZ470" i="15" s="1"/>
  <c r="BQ716" i="15"/>
  <c r="BP716" i="15"/>
  <c r="BR716" i="15" s="1"/>
  <c r="CC347" i="15"/>
  <c r="CB347" i="15"/>
  <c r="CD347" i="15" s="1"/>
  <c r="CL345" i="15"/>
  <c r="CK345" i="15"/>
  <c r="CM345" i="15" s="1"/>
  <c r="BI962" i="15"/>
  <c r="BH962" i="15"/>
  <c r="BJ962" i="15" s="1"/>
  <c r="CH346" i="15"/>
  <c r="CG346" i="15"/>
  <c r="CI346" i="15" s="1"/>
  <c r="BU593" i="15"/>
  <c r="BT593" i="15"/>
  <c r="BV593" i="15" s="1"/>
  <c r="L106" i="7"/>
  <c r="BU594" i="15" l="1"/>
  <c r="BT594" i="15"/>
  <c r="BV594" i="15" s="1"/>
  <c r="BI963" i="15"/>
  <c r="BH963" i="15"/>
  <c r="BJ963" i="15" s="1"/>
  <c r="CC348" i="15"/>
  <c r="CB348" i="15"/>
  <c r="CD348" i="15" s="1"/>
  <c r="BQ717" i="15"/>
  <c r="BP717" i="15"/>
  <c r="BR717" i="15" s="1"/>
  <c r="BM840" i="15"/>
  <c r="BL840" i="15"/>
  <c r="BN840" i="15" s="1"/>
  <c r="CH347" i="15"/>
  <c r="CG347" i="15"/>
  <c r="CI347" i="15" s="1"/>
  <c r="CL346" i="15"/>
  <c r="CK346" i="15"/>
  <c r="CM346" i="15" s="1"/>
  <c r="BY471" i="15"/>
  <c r="BX471" i="15"/>
  <c r="BZ471" i="15" s="1"/>
  <c r="J107" i="7"/>
  <c r="L107" i="7" s="1"/>
  <c r="K107" i="7"/>
  <c r="CL347" i="15" l="1"/>
  <c r="CK347" i="15"/>
  <c r="CM347" i="15" s="1"/>
  <c r="CH348" i="15"/>
  <c r="CG348" i="15"/>
  <c r="CI348" i="15" s="1"/>
  <c r="BQ718" i="15"/>
  <c r="BP718" i="15"/>
  <c r="BR718" i="15" s="1"/>
  <c r="CC349" i="15"/>
  <c r="CB349" i="15"/>
  <c r="CD349" i="15" s="1"/>
  <c r="BU595" i="15"/>
  <c r="BT595" i="15"/>
  <c r="BV595" i="15" s="1"/>
  <c r="BY472" i="15"/>
  <c r="BX472" i="15"/>
  <c r="BZ472" i="15" s="1"/>
  <c r="BM841" i="15"/>
  <c r="BL841" i="15"/>
  <c r="BN841" i="15" s="1"/>
  <c r="BI964" i="15"/>
  <c r="BH964" i="15"/>
  <c r="BJ964" i="15" s="1"/>
  <c r="J108" i="7"/>
  <c r="K108" i="7"/>
  <c r="BI965" i="15" l="1"/>
  <c r="BH965" i="15"/>
  <c r="BJ965" i="15" s="1"/>
  <c r="BY473" i="15"/>
  <c r="BX473" i="15"/>
  <c r="BZ473" i="15" s="1"/>
  <c r="CC350" i="15"/>
  <c r="CB350" i="15"/>
  <c r="CD350" i="15" s="1"/>
  <c r="BQ719" i="15"/>
  <c r="BP719" i="15"/>
  <c r="BR719" i="15" s="1"/>
  <c r="CL348" i="15"/>
  <c r="CK348" i="15"/>
  <c r="CM348" i="15" s="1"/>
  <c r="BM842" i="15"/>
  <c r="BL842" i="15"/>
  <c r="BN842" i="15" s="1"/>
  <c r="BU596" i="15"/>
  <c r="BT596" i="15"/>
  <c r="BV596" i="15" s="1"/>
  <c r="CH349" i="15"/>
  <c r="CG349" i="15"/>
  <c r="CI349" i="15" s="1"/>
  <c r="L108" i="7"/>
  <c r="BU597" i="15" l="1"/>
  <c r="BT597" i="15"/>
  <c r="BV597" i="15" s="1"/>
  <c r="CL349" i="15"/>
  <c r="CK349" i="15"/>
  <c r="CM349" i="15" s="1"/>
  <c r="CC351" i="15"/>
  <c r="CB351" i="15"/>
  <c r="CD351" i="15" s="1"/>
  <c r="BI966" i="15"/>
  <c r="BH966" i="15"/>
  <c r="BJ966" i="15" s="1"/>
  <c r="CH350" i="15"/>
  <c r="CG350" i="15"/>
  <c r="CI350" i="15" s="1"/>
  <c r="BM843" i="15"/>
  <c r="BL843" i="15"/>
  <c r="BN843" i="15" s="1"/>
  <c r="BQ720" i="15"/>
  <c r="BP720" i="15"/>
  <c r="BR720" i="15" s="1"/>
  <c r="BY474" i="15"/>
  <c r="BX474" i="15"/>
  <c r="BZ474" i="15" s="1"/>
  <c r="J109" i="7"/>
  <c r="K109" i="7"/>
  <c r="BY475" i="15" l="1"/>
  <c r="BX475" i="15"/>
  <c r="BZ475" i="15" s="1"/>
  <c r="BM844" i="15"/>
  <c r="BL844" i="15"/>
  <c r="BN844" i="15" s="1"/>
  <c r="BI967" i="15"/>
  <c r="BH967" i="15"/>
  <c r="BJ967" i="15" s="1"/>
  <c r="CC352" i="15"/>
  <c r="CB352" i="15"/>
  <c r="CD352" i="15" s="1"/>
  <c r="BU598" i="15"/>
  <c r="BT598" i="15"/>
  <c r="BV598" i="15" s="1"/>
  <c r="BQ721" i="15"/>
  <c r="BP721" i="15"/>
  <c r="BR721" i="15" s="1"/>
  <c r="CH351" i="15"/>
  <c r="CG351" i="15"/>
  <c r="CI351" i="15" s="1"/>
  <c r="CL350" i="15"/>
  <c r="CK350" i="15"/>
  <c r="CM350" i="15" s="1"/>
  <c r="L109" i="7"/>
  <c r="CL351" i="15" l="1"/>
  <c r="CK351" i="15"/>
  <c r="CM351" i="15" s="1"/>
  <c r="BQ722" i="15"/>
  <c r="BP722" i="15"/>
  <c r="BR722" i="15" s="1"/>
  <c r="CC353" i="15"/>
  <c r="CB353" i="15"/>
  <c r="CD353" i="15" s="1"/>
  <c r="BI968" i="15"/>
  <c r="BH968" i="15"/>
  <c r="BJ968" i="15" s="1"/>
  <c r="BY476" i="15"/>
  <c r="BX476" i="15"/>
  <c r="BZ476" i="15" s="1"/>
  <c r="CH352" i="15"/>
  <c r="CG352" i="15"/>
  <c r="CI352" i="15" s="1"/>
  <c r="BU599" i="15"/>
  <c r="BT599" i="15"/>
  <c r="BV599" i="15" s="1"/>
  <c r="BM845" i="15"/>
  <c r="BL845" i="15"/>
  <c r="BN845" i="15" s="1"/>
  <c r="J110" i="7"/>
  <c r="L110" i="7" s="1"/>
  <c r="K110" i="7"/>
  <c r="BM846" i="15" l="1"/>
  <c r="BL846" i="15"/>
  <c r="BN846" i="15" s="1"/>
  <c r="BU600" i="15"/>
  <c r="BT600" i="15"/>
  <c r="BV600" i="15" s="1"/>
  <c r="BY477" i="15"/>
  <c r="BX477" i="15"/>
  <c r="BZ477" i="15" s="1"/>
  <c r="CC354" i="15"/>
  <c r="CB354" i="15"/>
  <c r="CD354" i="15" s="1"/>
  <c r="CL352" i="15"/>
  <c r="CK352" i="15"/>
  <c r="CM352" i="15" s="1"/>
  <c r="CH353" i="15"/>
  <c r="CG353" i="15"/>
  <c r="CI353" i="15" s="1"/>
  <c r="BI969" i="15"/>
  <c r="BH969" i="15"/>
  <c r="BJ969" i="15" s="1"/>
  <c r="BQ723" i="15"/>
  <c r="BP723" i="15"/>
  <c r="BR723" i="15" s="1"/>
  <c r="J111" i="7"/>
  <c r="K111" i="7"/>
  <c r="BQ724" i="15" l="1"/>
  <c r="BP724" i="15"/>
  <c r="BR724" i="15" s="1"/>
  <c r="CH354" i="15"/>
  <c r="CG354" i="15"/>
  <c r="CI354" i="15" s="1"/>
  <c r="CC355" i="15"/>
  <c r="CB355" i="15"/>
  <c r="CD355" i="15" s="1"/>
  <c r="BY478" i="15"/>
  <c r="BX478" i="15"/>
  <c r="BZ478" i="15" s="1"/>
  <c r="BM847" i="15"/>
  <c r="BL847" i="15"/>
  <c r="BN847" i="15" s="1"/>
  <c r="BI970" i="15"/>
  <c r="BH970" i="15"/>
  <c r="BJ970" i="15" s="1"/>
  <c r="CL353" i="15"/>
  <c r="CK353" i="15"/>
  <c r="CM353" i="15" s="1"/>
  <c r="BU601" i="15"/>
  <c r="BT601" i="15"/>
  <c r="BV601" i="15" s="1"/>
  <c r="L111" i="7"/>
  <c r="BU602" i="15" l="1"/>
  <c r="BT602" i="15"/>
  <c r="BV602" i="15" s="1"/>
  <c r="BI971" i="15"/>
  <c r="BH971" i="15"/>
  <c r="BJ971" i="15" s="1"/>
  <c r="BY479" i="15"/>
  <c r="BX479" i="15"/>
  <c r="BZ479" i="15" s="1"/>
  <c r="CC356" i="15"/>
  <c r="CB356" i="15"/>
  <c r="CD356" i="15" s="1"/>
  <c r="BQ725" i="15"/>
  <c r="BP725" i="15"/>
  <c r="BR725" i="15" s="1"/>
  <c r="CL354" i="15"/>
  <c r="CK354" i="15"/>
  <c r="CM354" i="15" s="1"/>
  <c r="BM848" i="15"/>
  <c r="BL848" i="15"/>
  <c r="BN848" i="15" s="1"/>
  <c r="CH355" i="15"/>
  <c r="CG355" i="15"/>
  <c r="CI355" i="15" s="1"/>
  <c r="J112" i="7"/>
  <c r="L112" i="7" s="1"/>
  <c r="K112" i="7"/>
  <c r="CL355" i="15" l="1"/>
  <c r="CK355" i="15"/>
  <c r="CM355" i="15" s="1"/>
  <c r="CC357" i="15"/>
  <c r="CB357" i="15"/>
  <c r="CD357" i="15" s="1"/>
  <c r="BU603" i="15"/>
  <c r="BT603" i="15"/>
  <c r="BV603" i="15" s="1"/>
  <c r="CH356" i="15"/>
  <c r="CG356" i="15"/>
  <c r="CI356" i="15" s="1"/>
  <c r="BM849" i="15"/>
  <c r="BL849" i="15"/>
  <c r="BN849" i="15" s="1"/>
  <c r="BQ726" i="15"/>
  <c r="BP726" i="15"/>
  <c r="BR726" i="15" s="1"/>
  <c r="BY480" i="15"/>
  <c r="BX480" i="15"/>
  <c r="BZ480" i="15" s="1"/>
  <c r="BI972" i="15"/>
  <c r="BH972" i="15"/>
  <c r="BJ972" i="15" s="1"/>
  <c r="J113" i="7"/>
  <c r="K113" i="7"/>
  <c r="BI973" i="15" l="1"/>
  <c r="BH973" i="15"/>
  <c r="BJ973" i="15" s="1"/>
  <c r="BQ727" i="15"/>
  <c r="BP727" i="15"/>
  <c r="BR727" i="15" s="1"/>
  <c r="CH357" i="15"/>
  <c r="CG357" i="15"/>
  <c r="CI357" i="15" s="1"/>
  <c r="BU604" i="15"/>
  <c r="BT604" i="15"/>
  <c r="BV604" i="15" s="1"/>
  <c r="CL356" i="15"/>
  <c r="CK356" i="15"/>
  <c r="CM356" i="15" s="1"/>
  <c r="BY481" i="15"/>
  <c r="BX481" i="15"/>
  <c r="BZ481" i="15" s="1"/>
  <c r="BM850" i="15"/>
  <c r="BL850" i="15"/>
  <c r="BN850" i="15" s="1"/>
  <c r="CC358" i="15"/>
  <c r="CB358" i="15"/>
  <c r="CD358" i="15" s="1"/>
  <c r="L113" i="7"/>
  <c r="BM851" i="15" l="1"/>
  <c r="BL851" i="15"/>
  <c r="BN851" i="15" s="1"/>
  <c r="BY482" i="15"/>
  <c r="BX482" i="15"/>
  <c r="BZ482" i="15" s="1"/>
  <c r="BU605" i="15"/>
  <c r="BT605" i="15"/>
  <c r="BV605" i="15" s="1"/>
  <c r="CH358" i="15"/>
  <c r="CG358" i="15"/>
  <c r="CI358" i="15" s="1"/>
  <c r="BI974" i="15"/>
  <c r="BH974" i="15"/>
  <c r="BJ974" i="15" s="1"/>
  <c r="CC359" i="15"/>
  <c r="CB359" i="15"/>
  <c r="CD359" i="15" s="1"/>
  <c r="CL357" i="15"/>
  <c r="CK357" i="15"/>
  <c r="CM357" i="15" s="1"/>
  <c r="BQ728" i="15"/>
  <c r="BP728" i="15"/>
  <c r="BR728" i="15" s="1"/>
  <c r="J114" i="7"/>
  <c r="K114" i="7"/>
  <c r="BQ729" i="15" l="1"/>
  <c r="BP729" i="15"/>
  <c r="BR729" i="15" s="1"/>
  <c r="CC360" i="15"/>
  <c r="CB360" i="15"/>
  <c r="CD360" i="15" s="1"/>
  <c r="CH359" i="15"/>
  <c r="CG359" i="15"/>
  <c r="CI359" i="15" s="1"/>
  <c r="BU606" i="15"/>
  <c r="BT606" i="15"/>
  <c r="BV606" i="15" s="1"/>
  <c r="BM852" i="15"/>
  <c r="BL852" i="15"/>
  <c r="BN852" i="15" s="1"/>
  <c r="CL358" i="15"/>
  <c r="CK358" i="15"/>
  <c r="CM358" i="15" s="1"/>
  <c r="BI975" i="15"/>
  <c r="BH975" i="15"/>
  <c r="BJ975" i="15" s="1"/>
  <c r="BY483" i="15"/>
  <c r="BX483" i="15"/>
  <c r="BZ483" i="15" s="1"/>
  <c r="L114" i="7"/>
  <c r="BY484" i="15" l="1"/>
  <c r="BX484" i="15"/>
  <c r="BZ484" i="15" s="1"/>
  <c r="CL359" i="15"/>
  <c r="CK359" i="15"/>
  <c r="CM359" i="15" s="1"/>
  <c r="BU607" i="15"/>
  <c r="BT607" i="15"/>
  <c r="BV607" i="15" s="1"/>
  <c r="CH360" i="15"/>
  <c r="CG360" i="15"/>
  <c r="CI360" i="15" s="1"/>
  <c r="BQ730" i="15"/>
  <c r="BP730" i="15"/>
  <c r="BR730" i="15" s="1"/>
  <c r="BI976" i="15"/>
  <c r="BH976" i="15"/>
  <c r="BJ976" i="15" s="1"/>
  <c r="BM853" i="15"/>
  <c r="BL853" i="15"/>
  <c r="BN853" i="15" s="1"/>
  <c r="CC361" i="15"/>
  <c r="CB361" i="15"/>
  <c r="CD361" i="15" s="1"/>
  <c r="J115" i="7"/>
  <c r="K115" i="7"/>
  <c r="CC362" i="15" l="1"/>
  <c r="CB362" i="15"/>
  <c r="CD362" i="15" s="1"/>
  <c r="BI977" i="15"/>
  <c r="BH977" i="15"/>
  <c r="BJ977" i="15" s="1"/>
  <c r="CH361" i="15"/>
  <c r="CG361" i="15"/>
  <c r="CI361" i="15" s="1"/>
  <c r="BU608" i="15"/>
  <c r="BT608" i="15"/>
  <c r="BV608" i="15" s="1"/>
  <c r="BY485" i="15"/>
  <c r="BX485" i="15"/>
  <c r="BZ485" i="15" s="1"/>
  <c r="BM854" i="15"/>
  <c r="BL854" i="15"/>
  <c r="BN854" i="15" s="1"/>
  <c r="BQ731" i="15"/>
  <c r="BP731" i="15"/>
  <c r="BR731" i="15" s="1"/>
  <c r="CL360" i="15"/>
  <c r="CK360" i="15"/>
  <c r="CM360" i="15" s="1"/>
  <c r="L115" i="7"/>
  <c r="BQ732" i="15" l="1"/>
  <c r="BP732" i="15"/>
  <c r="BR732" i="15" s="1"/>
  <c r="BM855" i="15"/>
  <c r="BL855" i="15"/>
  <c r="BN855" i="15" s="1"/>
  <c r="BU609" i="15"/>
  <c r="BT609" i="15"/>
  <c r="BV609" i="15" s="1"/>
  <c r="CH362" i="15"/>
  <c r="CG362" i="15"/>
  <c r="CI362" i="15" s="1"/>
  <c r="CC363" i="15"/>
  <c r="CB363" i="15"/>
  <c r="CD363" i="15" s="1"/>
  <c r="CL361" i="15"/>
  <c r="CK361" i="15"/>
  <c r="CM361" i="15" s="1"/>
  <c r="BY486" i="15"/>
  <c r="BX486" i="15"/>
  <c r="BZ486" i="15" s="1"/>
  <c r="BI978" i="15"/>
  <c r="BH978" i="15"/>
  <c r="BJ978" i="15" s="1"/>
  <c r="J116" i="7"/>
  <c r="L116" i="7" s="1"/>
  <c r="K116" i="7"/>
  <c r="BY487" i="15" l="1"/>
  <c r="BX487" i="15"/>
  <c r="BZ487" i="15" s="1"/>
  <c r="CC364" i="15"/>
  <c r="CB364" i="15"/>
  <c r="CD364" i="15" s="1"/>
  <c r="CH363" i="15"/>
  <c r="CG363" i="15"/>
  <c r="CI363" i="15" s="1"/>
  <c r="BU610" i="15"/>
  <c r="BT610" i="15"/>
  <c r="BV610" i="15" s="1"/>
  <c r="BQ733" i="15"/>
  <c r="BP733" i="15"/>
  <c r="BR733" i="15" s="1"/>
  <c r="BI979" i="15"/>
  <c r="BH979" i="15"/>
  <c r="BJ979" i="15" s="1"/>
  <c r="CL362" i="15"/>
  <c r="CK362" i="15"/>
  <c r="CM362" i="15" s="1"/>
  <c r="BM856" i="15"/>
  <c r="BL856" i="15"/>
  <c r="BN856" i="15" s="1"/>
  <c r="J117" i="7"/>
  <c r="K117" i="7"/>
  <c r="BM857" i="15" l="1"/>
  <c r="BL857" i="15"/>
  <c r="BN857" i="15" s="1"/>
  <c r="BI980" i="15"/>
  <c r="BH980" i="15"/>
  <c r="BJ980" i="15" s="1"/>
  <c r="BU611" i="15"/>
  <c r="BT611" i="15"/>
  <c r="BV611" i="15" s="1"/>
  <c r="CH364" i="15"/>
  <c r="CG364" i="15"/>
  <c r="CI364" i="15" s="1"/>
  <c r="BY488" i="15"/>
  <c r="BX488" i="15"/>
  <c r="BZ488" i="15" s="1"/>
  <c r="CL363" i="15"/>
  <c r="CK363" i="15"/>
  <c r="CM363" i="15" s="1"/>
  <c r="BQ734" i="15"/>
  <c r="BP734" i="15"/>
  <c r="BR734" i="15" s="1"/>
  <c r="CC365" i="15"/>
  <c r="CB365" i="15"/>
  <c r="CD365" i="15" s="1"/>
  <c r="L117" i="7"/>
  <c r="BQ735" i="15" l="1"/>
  <c r="BP735" i="15"/>
  <c r="BR735" i="15" s="1"/>
  <c r="BY489" i="15"/>
  <c r="BX489" i="15"/>
  <c r="BZ489" i="15" s="1"/>
  <c r="CH365" i="15"/>
  <c r="CG365" i="15"/>
  <c r="CI365" i="15" s="1"/>
  <c r="BU612" i="15"/>
  <c r="BT612" i="15"/>
  <c r="BV612" i="15" s="1"/>
  <c r="BM858" i="15"/>
  <c r="BL858" i="15"/>
  <c r="BN858" i="15" s="1"/>
  <c r="CC366" i="15"/>
  <c r="CB366" i="15"/>
  <c r="CD366" i="15" s="1"/>
  <c r="CL364" i="15"/>
  <c r="CK364" i="15"/>
  <c r="CM364" i="15" s="1"/>
  <c r="BI981" i="15"/>
  <c r="BH981" i="15"/>
  <c r="BJ981" i="15" s="1"/>
  <c r="J118" i="7"/>
  <c r="K118" i="7"/>
  <c r="BI982" i="15" l="1"/>
  <c r="BH982" i="15"/>
  <c r="BJ982" i="15" s="1"/>
  <c r="CC367" i="15"/>
  <c r="CB367" i="15"/>
  <c r="CD367" i="15" s="1"/>
  <c r="BU613" i="15"/>
  <c r="BT613" i="15"/>
  <c r="BV613" i="15" s="1"/>
  <c r="CH366" i="15"/>
  <c r="CG366" i="15"/>
  <c r="CI366" i="15" s="1"/>
  <c r="BQ736" i="15"/>
  <c r="BP736" i="15"/>
  <c r="BR736" i="15" s="1"/>
  <c r="CL365" i="15"/>
  <c r="CK365" i="15"/>
  <c r="CM365" i="15" s="1"/>
  <c r="BM859" i="15"/>
  <c r="BL859" i="15"/>
  <c r="BN859" i="15" s="1"/>
  <c r="BY490" i="15"/>
  <c r="BX490" i="15"/>
  <c r="BZ490" i="15" s="1"/>
  <c r="L118" i="7"/>
  <c r="BM860" i="15" l="1"/>
  <c r="BL860" i="15"/>
  <c r="BN860" i="15" s="1"/>
  <c r="CL366" i="15"/>
  <c r="CK366" i="15"/>
  <c r="CM366" i="15" s="1"/>
  <c r="CH367" i="15"/>
  <c r="CG367" i="15"/>
  <c r="CI367" i="15" s="1"/>
  <c r="BU614" i="15"/>
  <c r="BT614" i="15"/>
  <c r="BV614" i="15" s="1"/>
  <c r="BI983" i="15"/>
  <c r="BH983" i="15"/>
  <c r="BJ983" i="15" s="1"/>
  <c r="BY491" i="15"/>
  <c r="BX491" i="15"/>
  <c r="BZ491" i="15" s="1"/>
  <c r="BQ737" i="15"/>
  <c r="BP737" i="15"/>
  <c r="BR737" i="15" s="1"/>
  <c r="CC368" i="15"/>
  <c r="CB368" i="15"/>
  <c r="CD368" i="15" s="1"/>
  <c r="J119" i="7"/>
  <c r="K119" i="7"/>
  <c r="CC369" i="15" l="1"/>
  <c r="CB369" i="15"/>
  <c r="CD369" i="15" s="1"/>
  <c r="BY492" i="15"/>
  <c r="BX492" i="15"/>
  <c r="BZ492" i="15" s="1"/>
  <c r="BU615" i="15"/>
  <c r="BT615" i="15"/>
  <c r="BV615" i="15" s="1"/>
  <c r="CH368" i="15"/>
  <c r="CG368" i="15"/>
  <c r="CI368" i="15" s="1"/>
  <c r="BM861" i="15"/>
  <c r="BL861" i="15"/>
  <c r="BN861" i="15" s="1"/>
  <c r="BQ738" i="15"/>
  <c r="BP738" i="15"/>
  <c r="BR738" i="15" s="1"/>
  <c r="BI984" i="15"/>
  <c r="BH984" i="15"/>
  <c r="BJ984" i="15" s="1"/>
  <c r="CL367" i="15"/>
  <c r="CK367" i="15"/>
  <c r="CM367" i="15" s="1"/>
  <c r="L119" i="7"/>
  <c r="CL368" i="15" l="1"/>
  <c r="CK368" i="15"/>
  <c r="CM368" i="15" s="1"/>
  <c r="BQ739" i="15"/>
  <c r="BP739" i="15"/>
  <c r="BR739" i="15" s="1"/>
  <c r="CH369" i="15"/>
  <c r="CG369" i="15"/>
  <c r="CI369" i="15" s="1"/>
  <c r="BU616" i="15"/>
  <c r="BT616" i="15"/>
  <c r="BV616" i="15" s="1"/>
  <c r="CC370" i="15"/>
  <c r="CB370" i="15"/>
  <c r="CD370" i="15" s="1"/>
  <c r="BI985" i="15"/>
  <c r="BH985" i="15"/>
  <c r="BJ985" i="15" s="1"/>
  <c r="BM862" i="15"/>
  <c r="BL862" i="15"/>
  <c r="BN862" i="15" s="1"/>
  <c r="BY493" i="15"/>
  <c r="BX493" i="15"/>
  <c r="BZ493" i="15" s="1"/>
  <c r="J120" i="7"/>
  <c r="K120" i="7"/>
  <c r="BM863" i="15" l="1"/>
  <c r="BL863" i="15"/>
  <c r="BN863" i="15" s="1"/>
  <c r="BI986" i="15"/>
  <c r="BH986" i="15"/>
  <c r="BJ986" i="15" s="1"/>
  <c r="BU617" i="15"/>
  <c r="BT617" i="15"/>
  <c r="BV617" i="15" s="1"/>
  <c r="CH370" i="15"/>
  <c r="CG370" i="15"/>
  <c r="CI370" i="15" s="1"/>
  <c r="CL369" i="15"/>
  <c r="CK369" i="15"/>
  <c r="CM369" i="15" s="1"/>
  <c r="BY494" i="15"/>
  <c r="BX494" i="15"/>
  <c r="BZ494" i="15" s="1"/>
  <c r="CC371" i="15"/>
  <c r="CB371" i="15"/>
  <c r="CD371" i="15" s="1"/>
  <c r="BQ740" i="15"/>
  <c r="BP740" i="15"/>
  <c r="BR740" i="15" s="1"/>
  <c r="L120" i="7"/>
  <c r="BQ741" i="15" l="1"/>
  <c r="BP741" i="15"/>
  <c r="BR741" i="15" s="1"/>
  <c r="BY495" i="15"/>
  <c r="BX495" i="15"/>
  <c r="BZ495" i="15" s="1"/>
  <c r="CH371" i="15"/>
  <c r="CG371" i="15"/>
  <c r="CI371" i="15" s="1"/>
  <c r="BU618" i="15"/>
  <c r="BT618" i="15"/>
  <c r="BV618" i="15" s="1"/>
  <c r="BM864" i="15"/>
  <c r="BL864" i="15"/>
  <c r="BN864" i="15" s="1"/>
  <c r="CC372" i="15"/>
  <c r="CB372" i="15"/>
  <c r="CD372" i="15" s="1"/>
  <c r="CL370" i="15"/>
  <c r="CK370" i="15"/>
  <c r="CM370" i="15" s="1"/>
  <c r="BI987" i="15"/>
  <c r="BH987" i="15"/>
  <c r="BJ987" i="15" s="1"/>
  <c r="J121" i="7"/>
  <c r="K121" i="7"/>
  <c r="CL371" i="15" l="1"/>
  <c r="CK371" i="15"/>
  <c r="CM371" i="15" s="1"/>
  <c r="BM865" i="15"/>
  <c r="BL865" i="15"/>
  <c r="BN865" i="15" s="1"/>
  <c r="BU619" i="15"/>
  <c r="BT619" i="15"/>
  <c r="BV619" i="15" s="1"/>
  <c r="CH372" i="15"/>
  <c r="CG372" i="15"/>
  <c r="CI372" i="15" s="1"/>
  <c r="BQ742" i="15"/>
  <c r="BP742" i="15"/>
  <c r="BR742" i="15" s="1"/>
  <c r="BI988" i="15"/>
  <c r="BH988" i="15"/>
  <c r="BJ988" i="15" s="1"/>
  <c r="CC373" i="15"/>
  <c r="CB373" i="15"/>
  <c r="CD373" i="15" s="1"/>
  <c r="BY496" i="15"/>
  <c r="BX496" i="15"/>
  <c r="BZ496" i="15" s="1"/>
  <c r="L121" i="7"/>
  <c r="BY497" i="15" l="1"/>
  <c r="BX497" i="15"/>
  <c r="BZ497" i="15" s="1"/>
  <c r="BI989" i="15"/>
  <c r="BH989" i="15"/>
  <c r="BJ989" i="15" s="1"/>
  <c r="CH373" i="15"/>
  <c r="CG373" i="15"/>
  <c r="CI373" i="15" s="1"/>
  <c r="BU620" i="15"/>
  <c r="BT620" i="15"/>
  <c r="BV620" i="15" s="1"/>
  <c r="CL372" i="15"/>
  <c r="CK372" i="15"/>
  <c r="CM372" i="15" s="1"/>
  <c r="CC374" i="15"/>
  <c r="CB374" i="15"/>
  <c r="CD374" i="15" s="1"/>
  <c r="BQ743" i="15"/>
  <c r="BP743" i="15"/>
  <c r="BR743" i="15" s="1"/>
  <c r="BM866" i="15"/>
  <c r="BL866" i="15"/>
  <c r="BN866" i="15" s="1"/>
  <c r="J122" i="7"/>
  <c r="K122" i="7"/>
  <c r="BQ744" i="15" l="1"/>
  <c r="BP744" i="15"/>
  <c r="BR744" i="15" s="1"/>
  <c r="CC375" i="15"/>
  <c r="CB375" i="15"/>
  <c r="CD375" i="15" s="1"/>
  <c r="BU621" i="15"/>
  <c r="BT621" i="15"/>
  <c r="BV621" i="15" s="1"/>
  <c r="CH374" i="15"/>
  <c r="CG374" i="15"/>
  <c r="CI374" i="15" s="1"/>
  <c r="BY498" i="15"/>
  <c r="BX498" i="15"/>
  <c r="BZ498" i="15" s="1"/>
  <c r="BM867" i="15"/>
  <c r="BL867" i="15"/>
  <c r="BN867" i="15" s="1"/>
  <c r="CL373" i="15"/>
  <c r="CK373" i="15"/>
  <c r="CM373" i="15" s="1"/>
  <c r="BI990" i="15"/>
  <c r="BH990" i="15"/>
  <c r="BJ990" i="15" s="1"/>
  <c r="L122" i="7"/>
  <c r="CL374" i="15" l="1"/>
  <c r="CK374" i="15"/>
  <c r="CM374" i="15" s="1"/>
  <c r="BM868" i="15"/>
  <c r="BL868" i="15"/>
  <c r="BN868" i="15" s="1"/>
  <c r="CH375" i="15"/>
  <c r="CG375" i="15"/>
  <c r="CI375" i="15" s="1"/>
  <c r="BU622" i="15"/>
  <c r="BT622" i="15"/>
  <c r="BV622" i="15" s="1"/>
  <c r="BQ745" i="15"/>
  <c r="BP745" i="15"/>
  <c r="BR745" i="15" s="1"/>
  <c r="BI991" i="15"/>
  <c r="BH991" i="15"/>
  <c r="BJ991" i="15" s="1"/>
  <c r="BY499" i="15"/>
  <c r="BX499" i="15"/>
  <c r="BZ499" i="15" s="1"/>
  <c r="CC376" i="15"/>
  <c r="CB376" i="15"/>
  <c r="CD376" i="15" s="1"/>
  <c r="J123" i="7"/>
  <c r="K123" i="7"/>
  <c r="BY500" i="15" l="1"/>
  <c r="BX500" i="15"/>
  <c r="BZ500" i="15" s="1"/>
  <c r="BQ746" i="15"/>
  <c r="BP746" i="15"/>
  <c r="BR746" i="15" s="1"/>
  <c r="BU623" i="15"/>
  <c r="BT623" i="15"/>
  <c r="BV623" i="15" s="1"/>
  <c r="CH376" i="15"/>
  <c r="CG376" i="15"/>
  <c r="CI376" i="15" s="1"/>
  <c r="CL375" i="15"/>
  <c r="CK375" i="15"/>
  <c r="CM375" i="15" s="1"/>
  <c r="CC377" i="15"/>
  <c r="CB377" i="15"/>
  <c r="CD377" i="15" s="1"/>
  <c r="BI992" i="15"/>
  <c r="BH992" i="15"/>
  <c r="BJ992" i="15" s="1"/>
  <c r="BM869" i="15"/>
  <c r="BL869" i="15"/>
  <c r="BN869" i="15" s="1"/>
  <c r="L123" i="7"/>
  <c r="J429" i="7"/>
  <c r="B37" i="7"/>
  <c r="C37" i="7" s="1"/>
  <c r="BM870" i="15" l="1"/>
  <c r="BL870" i="15"/>
  <c r="BN870" i="15" s="1"/>
  <c r="CC378" i="15"/>
  <c r="CB378" i="15"/>
  <c r="CD378" i="15" s="1"/>
  <c r="CH377" i="15"/>
  <c r="CG377" i="15"/>
  <c r="CI377" i="15" s="1"/>
  <c r="BU624" i="15"/>
  <c r="BT624" i="15"/>
  <c r="BV624" i="15" s="1"/>
  <c r="BY501" i="15"/>
  <c r="BX501" i="15"/>
  <c r="BZ501" i="15" s="1"/>
  <c r="BI993" i="15"/>
  <c r="BH993" i="15"/>
  <c r="BJ993" i="15" s="1"/>
  <c r="CL376" i="15"/>
  <c r="CK376" i="15"/>
  <c r="CM376" i="15" s="1"/>
  <c r="BQ747" i="15"/>
  <c r="BP747" i="15"/>
  <c r="BR747" i="15" s="1"/>
  <c r="K429" i="7"/>
  <c r="K440" i="7" s="1"/>
  <c r="D12" i="18" s="1"/>
  <c r="J440" i="7"/>
  <c r="C12" i="18" s="1"/>
  <c r="J124" i="7"/>
  <c r="K124" i="7"/>
  <c r="BQ748" i="15" l="1"/>
  <c r="BP748" i="15"/>
  <c r="BR748" i="15" s="1"/>
  <c r="BI994" i="15"/>
  <c r="BH994" i="15"/>
  <c r="BJ994" i="15" s="1"/>
  <c r="BU625" i="15"/>
  <c r="BT625" i="15"/>
  <c r="BV625" i="15" s="1"/>
  <c r="CH378" i="15"/>
  <c r="CG378" i="15"/>
  <c r="CI378" i="15" s="1"/>
  <c r="BM871" i="15"/>
  <c r="BL871" i="15"/>
  <c r="BN871" i="15" s="1"/>
  <c r="CL377" i="15"/>
  <c r="CK377" i="15"/>
  <c r="CM377" i="15" s="1"/>
  <c r="BY502" i="15"/>
  <c r="BX502" i="15"/>
  <c r="BZ502" i="15" s="1"/>
  <c r="CC379" i="15"/>
  <c r="CB379" i="15"/>
  <c r="CD379" i="15" s="1"/>
  <c r="L124" i="7"/>
  <c r="BY503" i="15" l="1"/>
  <c r="BX503" i="15"/>
  <c r="BZ503" i="15" s="1"/>
  <c r="CL378" i="15"/>
  <c r="CK378" i="15"/>
  <c r="CM378" i="15" s="1"/>
  <c r="CH379" i="15"/>
  <c r="CG379" i="15"/>
  <c r="CI379" i="15" s="1"/>
  <c r="BU626" i="15"/>
  <c r="BT626" i="15"/>
  <c r="BV626" i="15" s="1"/>
  <c r="BQ749" i="15"/>
  <c r="BP749" i="15"/>
  <c r="BR749" i="15" s="1"/>
  <c r="CC380" i="15"/>
  <c r="CB380" i="15"/>
  <c r="CD380" i="15" s="1"/>
  <c r="BM872" i="15"/>
  <c r="BL872" i="15"/>
  <c r="BN872" i="15" s="1"/>
  <c r="BI995" i="15"/>
  <c r="BH995" i="15"/>
  <c r="BJ995" i="15" s="1"/>
  <c r="J125" i="7"/>
  <c r="K125" i="7"/>
  <c r="BI996" i="15" l="1"/>
  <c r="BH996" i="15"/>
  <c r="BJ996" i="15" s="1"/>
  <c r="CC381" i="15"/>
  <c r="CB381" i="15"/>
  <c r="CD381" i="15" s="1"/>
  <c r="BU627" i="15"/>
  <c r="BT627" i="15"/>
  <c r="BV627" i="15" s="1"/>
  <c r="CH380" i="15"/>
  <c r="CG380" i="15"/>
  <c r="CI380" i="15" s="1"/>
  <c r="BY504" i="15"/>
  <c r="BX504" i="15"/>
  <c r="BZ504" i="15" s="1"/>
  <c r="BM873" i="15"/>
  <c r="BL873" i="15"/>
  <c r="BN873" i="15" s="1"/>
  <c r="BQ750" i="15"/>
  <c r="BP750" i="15"/>
  <c r="BR750" i="15" s="1"/>
  <c r="CL379" i="15"/>
  <c r="CK379" i="15"/>
  <c r="CM379" i="15" s="1"/>
  <c r="L125" i="7"/>
  <c r="BQ751" i="15" l="1"/>
  <c r="BP751" i="15"/>
  <c r="BR751" i="15" s="1"/>
  <c r="BY505" i="15"/>
  <c r="BX505" i="15"/>
  <c r="BZ505" i="15" s="1"/>
  <c r="BU628" i="15"/>
  <c r="BT628" i="15"/>
  <c r="BV628" i="15" s="1"/>
  <c r="BI997" i="15"/>
  <c r="BH997" i="15"/>
  <c r="BJ997" i="15" s="1"/>
  <c r="CL380" i="15"/>
  <c r="CK380" i="15"/>
  <c r="CM380" i="15" s="1"/>
  <c r="BM874" i="15"/>
  <c r="BL874" i="15"/>
  <c r="BN874" i="15" s="1"/>
  <c r="CH381" i="15"/>
  <c r="CG381" i="15"/>
  <c r="CI381" i="15" s="1"/>
  <c r="CC382" i="15"/>
  <c r="CB382" i="15"/>
  <c r="CD382" i="15" s="1"/>
  <c r="J126" i="7"/>
  <c r="K126" i="7"/>
  <c r="CC383" i="15" l="1"/>
  <c r="CB383" i="15"/>
  <c r="CD383" i="15" s="1"/>
  <c r="BM875" i="15"/>
  <c r="BL875" i="15"/>
  <c r="BN875" i="15" s="1"/>
  <c r="CL381" i="15"/>
  <c r="CK381" i="15"/>
  <c r="CM381" i="15" s="1"/>
  <c r="BU629" i="15"/>
  <c r="BT629" i="15"/>
  <c r="BV629" i="15" s="1"/>
  <c r="BQ752" i="15"/>
  <c r="BP752" i="15"/>
  <c r="BR752" i="15" s="1"/>
  <c r="CH382" i="15"/>
  <c r="CG382" i="15"/>
  <c r="CI382" i="15" s="1"/>
  <c r="BI998" i="15"/>
  <c r="BH998" i="15"/>
  <c r="BJ998" i="15" s="1"/>
  <c r="BY506" i="15"/>
  <c r="BX506" i="15"/>
  <c r="BZ506" i="15" s="1"/>
  <c r="L126" i="7"/>
  <c r="BY507" i="15" l="1"/>
  <c r="BX507" i="15"/>
  <c r="BZ507" i="15" s="1"/>
  <c r="CH383" i="15"/>
  <c r="CG383" i="15"/>
  <c r="CI383" i="15" s="1"/>
  <c r="BU630" i="15"/>
  <c r="BT630" i="15"/>
  <c r="BV630" i="15" s="1"/>
  <c r="CL382" i="15"/>
  <c r="CK382" i="15"/>
  <c r="CM382" i="15" s="1"/>
  <c r="CC384" i="15"/>
  <c r="CB384" i="15"/>
  <c r="CD384" i="15" s="1"/>
  <c r="BI999" i="15"/>
  <c r="BH999" i="15"/>
  <c r="BJ999" i="15" s="1"/>
  <c r="BQ753" i="15"/>
  <c r="BP753" i="15"/>
  <c r="BR753" i="15" s="1"/>
  <c r="BM876" i="15"/>
  <c r="BL876" i="15"/>
  <c r="BN876" i="15" s="1"/>
  <c r="J127" i="7"/>
  <c r="L127" i="7" s="1"/>
  <c r="K127" i="7"/>
  <c r="BQ754" i="15" l="1"/>
  <c r="BP754" i="15"/>
  <c r="BR754" i="15" s="1"/>
  <c r="CC385" i="15"/>
  <c r="CB385" i="15"/>
  <c r="CD385" i="15" s="1"/>
  <c r="BU631" i="15"/>
  <c r="BT631" i="15"/>
  <c r="BV631" i="15" s="1"/>
  <c r="BY508" i="15"/>
  <c r="BX508" i="15"/>
  <c r="BZ508" i="15" s="1"/>
  <c r="BM877" i="15"/>
  <c r="BL877" i="15"/>
  <c r="BN877" i="15" s="1"/>
  <c r="BI1000" i="15"/>
  <c r="BH1000" i="15"/>
  <c r="BJ1000" i="15" s="1"/>
  <c r="CL383" i="15"/>
  <c r="CK383" i="15"/>
  <c r="CM383" i="15" s="1"/>
  <c r="CH384" i="15"/>
  <c r="CG384" i="15"/>
  <c r="CI384" i="15" s="1"/>
  <c r="J128" i="7"/>
  <c r="K128" i="7"/>
  <c r="CH385" i="15" l="1"/>
  <c r="CG385" i="15"/>
  <c r="CI385" i="15" s="1"/>
  <c r="BI1001" i="15"/>
  <c r="BH1001" i="15"/>
  <c r="BJ1001" i="15" s="1"/>
  <c r="BY509" i="15"/>
  <c r="BX509" i="15"/>
  <c r="BZ509" i="15" s="1"/>
  <c r="BU632" i="15"/>
  <c r="BT632" i="15"/>
  <c r="BV632" i="15" s="1"/>
  <c r="BQ755" i="15"/>
  <c r="BP755" i="15"/>
  <c r="BR755" i="15" s="1"/>
  <c r="CL384" i="15"/>
  <c r="CK384" i="15"/>
  <c r="CM384" i="15" s="1"/>
  <c r="BM878" i="15"/>
  <c r="BL878" i="15"/>
  <c r="BN878" i="15" s="1"/>
  <c r="CC386" i="15"/>
  <c r="CB386" i="15"/>
  <c r="CD386" i="15" s="1"/>
  <c r="L128" i="7"/>
  <c r="CC387" i="15" l="1"/>
  <c r="CB387" i="15"/>
  <c r="CD387" i="15" s="1"/>
  <c r="CL385" i="15"/>
  <c r="CK385" i="15"/>
  <c r="CM385" i="15" s="1"/>
  <c r="BQ756" i="15"/>
  <c r="BP756" i="15"/>
  <c r="BR756" i="15" s="1"/>
  <c r="BY510" i="15"/>
  <c r="BX510" i="15"/>
  <c r="BZ510" i="15" s="1"/>
  <c r="CH386" i="15"/>
  <c r="CG386" i="15"/>
  <c r="CI386" i="15" s="1"/>
  <c r="BM879" i="15"/>
  <c r="BL879" i="15"/>
  <c r="BN879" i="15" s="1"/>
  <c r="BU633" i="15"/>
  <c r="BT633" i="15"/>
  <c r="BV633" i="15" s="1"/>
  <c r="BI1002" i="15"/>
  <c r="BH1002" i="15"/>
  <c r="BJ1002" i="15" s="1"/>
  <c r="J129" i="7"/>
  <c r="K129" i="7"/>
  <c r="BI1003" i="15" l="1"/>
  <c r="BH1003" i="15"/>
  <c r="BJ1003" i="15" s="1"/>
  <c r="BM880" i="15"/>
  <c r="BL880" i="15"/>
  <c r="BN880" i="15" s="1"/>
  <c r="BY511" i="15"/>
  <c r="BX511" i="15"/>
  <c r="BZ511" i="15" s="1"/>
  <c r="BQ757" i="15"/>
  <c r="BP757" i="15"/>
  <c r="BR757" i="15" s="1"/>
  <c r="CC388" i="15"/>
  <c r="CB388" i="15"/>
  <c r="CD388" i="15" s="1"/>
  <c r="BU634" i="15"/>
  <c r="BT634" i="15"/>
  <c r="BV634" i="15" s="1"/>
  <c r="CH387" i="15"/>
  <c r="CG387" i="15"/>
  <c r="CI387" i="15" s="1"/>
  <c r="CL386" i="15"/>
  <c r="CK386" i="15"/>
  <c r="CM386" i="15" s="1"/>
  <c r="L129" i="7"/>
  <c r="CH388" i="15" l="1"/>
  <c r="CG388" i="15"/>
  <c r="CI388" i="15" s="1"/>
  <c r="CC389" i="15"/>
  <c r="CB389" i="15"/>
  <c r="CD389" i="15" s="1"/>
  <c r="BY512" i="15"/>
  <c r="BX512" i="15"/>
  <c r="BZ512" i="15" s="1"/>
  <c r="BI1004" i="15"/>
  <c r="BH1004" i="15"/>
  <c r="BJ1004" i="15" s="1"/>
  <c r="CL387" i="15"/>
  <c r="CK387" i="15"/>
  <c r="CM387" i="15" s="1"/>
  <c r="BU635" i="15"/>
  <c r="BT635" i="15"/>
  <c r="BV635" i="15" s="1"/>
  <c r="BQ758" i="15"/>
  <c r="BP758" i="15"/>
  <c r="BR758" i="15" s="1"/>
  <c r="BM881" i="15"/>
  <c r="BL881" i="15"/>
  <c r="BN881" i="15" s="1"/>
  <c r="J130" i="7"/>
  <c r="K130" i="7"/>
  <c r="BM882" i="15" l="1"/>
  <c r="BL882" i="15"/>
  <c r="BN882" i="15" s="1"/>
  <c r="BU636" i="15"/>
  <c r="BT636" i="15"/>
  <c r="BV636" i="15" s="1"/>
  <c r="BI1005" i="15"/>
  <c r="BH1005" i="15"/>
  <c r="BJ1005" i="15" s="1"/>
  <c r="BY513" i="15"/>
  <c r="BX513" i="15"/>
  <c r="BZ513" i="15" s="1"/>
  <c r="CH389" i="15"/>
  <c r="CG389" i="15"/>
  <c r="CI389" i="15" s="1"/>
  <c r="BQ759" i="15"/>
  <c r="BP759" i="15"/>
  <c r="BR759" i="15" s="1"/>
  <c r="CL388" i="15"/>
  <c r="CK388" i="15"/>
  <c r="CM388" i="15" s="1"/>
  <c r="CC390" i="15"/>
  <c r="CB390" i="15"/>
  <c r="CD390" i="15" s="1"/>
  <c r="L130" i="7"/>
  <c r="CC391" i="15" l="1"/>
  <c r="CB391" i="15"/>
  <c r="CD391" i="15" s="1"/>
  <c r="BQ760" i="15"/>
  <c r="BP760" i="15"/>
  <c r="BR760" i="15" s="1"/>
  <c r="CH390" i="15"/>
  <c r="CG390" i="15"/>
  <c r="CI390" i="15" s="1"/>
  <c r="BI1006" i="15"/>
  <c r="BH1006" i="15"/>
  <c r="BJ1006" i="15" s="1"/>
  <c r="BM883" i="15"/>
  <c r="BL883" i="15"/>
  <c r="BN883" i="15" s="1"/>
  <c r="CL389" i="15"/>
  <c r="CK389" i="15"/>
  <c r="CM389" i="15" s="1"/>
  <c r="BY514" i="15"/>
  <c r="BX514" i="15"/>
  <c r="BZ514" i="15" s="1"/>
  <c r="BU637" i="15"/>
  <c r="BT637" i="15"/>
  <c r="BV637" i="15" s="1"/>
  <c r="J131" i="7"/>
  <c r="K131" i="7"/>
  <c r="BY515" i="15" l="1"/>
  <c r="BX515" i="15"/>
  <c r="BZ515" i="15" s="1"/>
  <c r="CL390" i="15"/>
  <c r="CK390" i="15"/>
  <c r="CM390" i="15" s="1"/>
  <c r="BI1007" i="15"/>
  <c r="BH1007" i="15"/>
  <c r="BJ1007" i="15" s="1"/>
  <c r="CH391" i="15"/>
  <c r="CG391" i="15"/>
  <c r="CI391" i="15" s="1"/>
  <c r="CC392" i="15"/>
  <c r="CB392" i="15"/>
  <c r="CD392" i="15" s="1"/>
  <c r="BU638" i="15"/>
  <c r="BT638" i="15"/>
  <c r="BV638" i="15" s="1"/>
  <c r="BM884" i="15"/>
  <c r="BL884" i="15"/>
  <c r="BN884" i="15" s="1"/>
  <c r="BQ761" i="15"/>
  <c r="BP761" i="15"/>
  <c r="BR761" i="15" s="1"/>
  <c r="L131" i="7"/>
  <c r="BI1008" i="15" l="1"/>
  <c r="BH1008" i="15"/>
  <c r="BJ1008" i="15" s="1"/>
  <c r="BY516" i="15"/>
  <c r="BX516" i="15"/>
  <c r="BZ516" i="15" s="1"/>
  <c r="BQ762" i="15"/>
  <c r="BP762" i="15"/>
  <c r="BR762" i="15" s="1"/>
  <c r="BM885" i="15"/>
  <c r="BL885" i="15"/>
  <c r="BN885" i="15" s="1"/>
  <c r="BU639" i="15"/>
  <c r="BT639" i="15"/>
  <c r="BV639" i="15" s="1"/>
  <c r="CC393" i="15"/>
  <c r="CB393" i="15"/>
  <c r="CD393" i="15" s="1"/>
  <c r="CH392" i="15"/>
  <c r="CG392" i="15"/>
  <c r="CI392" i="15" s="1"/>
  <c r="CL391" i="15"/>
  <c r="CK391" i="15"/>
  <c r="CM391" i="15" s="1"/>
  <c r="J132" i="7"/>
  <c r="K132" i="7"/>
  <c r="CH393" i="15" l="1"/>
  <c r="CG393" i="15"/>
  <c r="CI393" i="15" s="1"/>
  <c r="CC394" i="15"/>
  <c r="CB394" i="15"/>
  <c r="CD394" i="15" s="1"/>
  <c r="BM886" i="15"/>
  <c r="BL886" i="15"/>
  <c r="BN886" i="15" s="1"/>
  <c r="BQ763" i="15"/>
  <c r="BP763" i="15"/>
  <c r="BR763" i="15" s="1"/>
  <c r="BI1009" i="15"/>
  <c r="BH1009" i="15"/>
  <c r="BJ1009" i="15" s="1"/>
  <c r="CL392" i="15"/>
  <c r="CK392" i="15"/>
  <c r="CM392" i="15" s="1"/>
  <c r="BU640" i="15"/>
  <c r="BT640" i="15"/>
  <c r="BV640" i="15" s="1"/>
  <c r="BY517" i="15"/>
  <c r="BX517" i="15"/>
  <c r="BZ517" i="15" s="1"/>
  <c r="L132" i="7"/>
  <c r="BU641" i="15" l="1"/>
  <c r="BT641" i="15"/>
  <c r="BV641" i="15" s="1"/>
  <c r="BI1010" i="15"/>
  <c r="BH1010" i="15"/>
  <c r="BJ1010" i="15" s="1"/>
  <c r="BM887" i="15"/>
  <c r="BL887" i="15"/>
  <c r="BN887" i="15" s="1"/>
  <c r="CH394" i="15"/>
  <c r="CG394" i="15"/>
  <c r="CI394" i="15" s="1"/>
  <c r="BY518" i="15"/>
  <c r="BX518" i="15"/>
  <c r="BZ518" i="15" s="1"/>
  <c r="CL393" i="15"/>
  <c r="CK393" i="15"/>
  <c r="CM393" i="15" s="1"/>
  <c r="BQ764" i="15"/>
  <c r="BP764" i="15"/>
  <c r="BR764" i="15" s="1"/>
  <c r="CC395" i="15"/>
  <c r="CB395" i="15"/>
  <c r="CD395" i="15" s="1"/>
  <c r="J133" i="7"/>
  <c r="K133" i="7"/>
  <c r="CC396" i="15" l="1"/>
  <c r="CB396" i="15"/>
  <c r="CD396" i="15" s="1"/>
  <c r="CL394" i="15"/>
  <c r="CK394" i="15"/>
  <c r="CM394" i="15" s="1"/>
  <c r="CH395" i="15"/>
  <c r="CG395" i="15"/>
  <c r="CI395" i="15" s="1"/>
  <c r="BM888" i="15"/>
  <c r="BL888" i="15"/>
  <c r="BN888" i="15" s="1"/>
  <c r="BU642" i="15"/>
  <c r="BT642" i="15"/>
  <c r="BV642" i="15" s="1"/>
  <c r="BQ765" i="15"/>
  <c r="BP765" i="15"/>
  <c r="BR765" i="15" s="1"/>
  <c r="BY519" i="15"/>
  <c r="BX519" i="15"/>
  <c r="BZ519" i="15" s="1"/>
  <c r="BI1011" i="15"/>
  <c r="BH1011" i="15"/>
  <c r="BJ1011" i="15" s="1"/>
  <c r="L133" i="7"/>
  <c r="BY520" i="15" l="1"/>
  <c r="BX520" i="15"/>
  <c r="BZ520" i="15" s="1"/>
  <c r="BQ766" i="15"/>
  <c r="BP766" i="15"/>
  <c r="BR766" i="15" s="1"/>
  <c r="BM889" i="15"/>
  <c r="BL889" i="15"/>
  <c r="BN889" i="15" s="1"/>
  <c r="CH396" i="15"/>
  <c r="CG396" i="15"/>
  <c r="CI396" i="15" s="1"/>
  <c r="CC397" i="15"/>
  <c r="CB397" i="15"/>
  <c r="CD397" i="15" s="1"/>
  <c r="BI1012" i="15"/>
  <c r="BH1012" i="15"/>
  <c r="BJ1012" i="15" s="1"/>
  <c r="BU643" i="15"/>
  <c r="BT643" i="15"/>
  <c r="BV643" i="15" s="1"/>
  <c r="CL395" i="15"/>
  <c r="CK395" i="15"/>
  <c r="CM395" i="15" s="1"/>
  <c r="J134" i="7"/>
  <c r="K134" i="7"/>
  <c r="CL396" i="15" l="1"/>
  <c r="CK396" i="15"/>
  <c r="CM396" i="15" s="1"/>
  <c r="BI1013" i="15"/>
  <c r="BH1013" i="15"/>
  <c r="BJ1013" i="15" s="1"/>
  <c r="CH397" i="15"/>
  <c r="CG397" i="15"/>
  <c r="CI397" i="15" s="1"/>
  <c r="BM890" i="15"/>
  <c r="BL890" i="15"/>
  <c r="BN890" i="15" s="1"/>
  <c r="BY521" i="15"/>
  <c r="BX521" i="15"/>
  <c r="BZ521" i="15" s="1"/>
  <c r="BU644" i="15"/>
  <c r="BT644" i="15"/>
  <c r="BV644" i="15" s="1"/>
  <c r="CC398" i="15"/>
  <c r="CB398" i="15"/>
  <c r="CD398" i="15" s="1"/>
  <c r="BQ767" i="15"/>
  <c r="BP767" i="15"/>
  <c r="BR767" i="15" s="1"/>
  <c r="L134" i="7"/>
  <c r="BQ768" i="15" l="1"/>
  <c r="BP768" i="15"/>
  <c r="BR768" i="15" s="1"/>
  <c r="BU645" i="15"/>
  <c r="BT645" i="15"/>
  <c r="BV645" i="15" s="1"/>
  <c r="BM891" i="15"/>
  <c r="BL891" i="15"/>
  <c r="BN891" i="15" s="1"/>
  <c r="CH398" i="15"/>
  <c r="CG398" i="15"/>
  <c r="CI398" i="15" s="1"/>
  <c r="CL397" i="15"/>
  <c r="CK397" i="15"/>
  <c r="CM397" i="15" s="1"/>
  <c r="CC399" i="15"/>
  <c r="CB399" i="15"/>
  <c r="CD399" i="15" s="1"/>
  <c r="BY522" i="15"/>
  <c r="BX522" i="15"/>
  <c r="BZ522" i="15" s="1"/>
  <c r="BI1014" i="15"/>
  <c r="BH1014" i="15"/>
  <c r="BJ1014" i="15" s="1"/>
  <c r="J135" i="7"/>
  <c r="K135" i="7"/>
  <c r="BI1015" i="15" l="1"/>
  <c r="BH1015" i="15"/>
  <c r="BJ1015" i="15" s="1"/>
  <c r="CC400" i="15"/>
  <c r="CB400" i="15"/>
  <c r="CD400" i="15" s="1"/>
  <c r="CH399" i="15"/>
  <c r="CG399" i="15"/>
  <c r="CI399" i="15" s="1"/>
  <c r="BM892" i="15"/>
  <c r="BL892" i="15"/>
  <c r="BN892" i="15" s="1"/>
  <c r="BQ769" i="15"/>
  <c r="BP769" i="15"/>
  <c r="BR769" i="15" s="1"/>
  <c r="BY523" i="15"/>
  <c r="BX523" i="15"/>
  <c r="BZ523" i="15" s="1"/>
  <c r="CL398" i="15"/>
  <c r="CK398" i="15"/>
  <c r="CM398" i="15" s="1"/>
  <c r="BU646" i="15"/>
  <c r="BT646" i="15"/>
  <c r="BV646" i="15" s="1"/>
  <c r="L135" i="7"/>
  <c r="BU647" i="15" l="1"/>
  <c r="BT647" i="15"/>
  <c r="BV647" i="15" s="1"/>
  <c r="BY524" i="15"/>
  <c r="BX524" i="15"/>
  <c r="BZ524" i="15" s="1"/>
  <c r="BM893" i="15"/>
  <c r="BL893" i="15"/>
  <c r="BN893" i="15" s="1"/>
  <c r="CH400" i="15"/>
  <c r="CG400" i="15"/>
  <c r="CI400" i="15" s="1"/>
  <c r="BI1016" i="15"/>
  <c r="BH1016" i="15"/>
  <c r="BJ1016" i="15" s="1"/>
  <c r="CL399" i="15"/>
  <c r="CK399" i="15"/>
  <c r="CM399" i="15" s="1"/>
  <c r="BQ770" i="15"/>
  <c r="BP770" i="15"/>
  <c r="BR770" i="15" s="1"/>
  <c r="CC401" i="15"/>
  <c r="CB401" i="15"/>
  <c r="CD401" i="15" s="1"/>
  <c r="J136" i="7"/>
  <c r="K136" i="7"/>
  <c r="CC402" i="15" l="1"/>
  <c r="CB402" i="15"/>
  <c r="CD402" i="15" s="1"/>
  <c r="CL400" i="15"/>
  <c r="CK400" i="15"/>
  <c r="CM400" i="15" s="1"/>
  <c r="CH401" i="15"/>
  <c r="CG401" i="15"/>
  <c r="CI401" i="15" s="1"/>
  <c r="BM894" i="15"/>
  <c r="BL894" i="15"/>
  <c r="BN894" i="15" s="1"/>
  <c r="BU648" i="15"/>
  <c r="BT648" i="15"/>
  <c r="BV648" i="15" s="1"/>
  <c r="BQ771" i="15"/>
  <c r="BP771" i="15"/>
  <c r="BR771" i="15" s="1"/>
  <c r="BI1017" i="15"/>
  <c r="BH1017" i="15"/>
  <c r="BJ1017" i="15" s="1"/>
  <c r="BY525" i="15"/>
  <c r="BX525" i="15"/>
  <c r="BZ525" i="15" s="1"/>
  <c r="L136" i="7"/>
  <c r="BY526" i="15" l="1"/>
  <c r="BX526" i="15"/>
  <c r="BZ526" i="15" s="1"/>
  <c r="BQ772" i="15"/>
  <c r="BP772" i="15"/>
  <c r="BR772" i="15" s="1"/>
  <c r="BM895" i="15"/>
  <c r="BL895" i="15"/>
  <c r="BN895" i="15" s="1"/>
  <c r="CH402" i="15"/>
  <c r="CG402" i="15"/>
  <c r="CI402" i="15" s="1"/>
  <c r="CC403" i="15"/>
  <c r="CB403" i="15"/>
  <c r="CD403" i="15" s="1"/>
  <c r="BI1018" i="15"/>
  <c r="BH1018" i="15"/>
  <c r="BJ1018" i="15" s="1"/>
  <c r="BU649" i="15"/>
  <c r="BT649" i="15"/>
  <c r="BV649" i="15" s="1"/>
  <c r="CL401" i="15"/>
  <c r="CK401" i="15"/>
  <c r="CM401" i="15" s="1"/>
  <c r="J137" i="7"/>
  <c r="L137" i="7" s="1"/>
  <c r="K137" i="7"/>
  <c r="CL402" i="15" l="1"/>
  <c r="CK402" i="15"/>
  <c r="CM402" i="15" s="1"/>
  <c r="BI1019" i="15"/>
  <c r="BH1019" i="15"/>
  <c r="BJ1019" i="15" s="1"/>
  <c r="CH403" i="15"/>
  <c r="CG403" i="15"/>
  <c r="CI403" i="15" s="1"/>
  <c r="BM896" i="15"/>
  <c r="BL896" i="15"/>
  <c r="BN896" i="15" s="1"/>
  <c r="BY527" i="15"/>
  <c r="BX527" i="15"/>
  <c r="BZ527" i="15" s="1"/>
  <c r="BU650" i="15"/>
  <c r="BT650" i="15"/>
  <c r="BV650" i="15" s="1"/>
  <c r="CC404" i="15"/>
  <c r="CB404" i="15"/>
  <c r="CD404" i="15" s="1"/>
  <c r="BQ773" i="15"/>
  <c r="BP773" i="15"/>
  <c r="BR773" i="15" s="1"/>
  <c r="J138" i="7"/>
  <c r="K138" i="7"/>
  <c r="BQ774" i="15" l="1"/>
  <c r="BP774" i="15"/>
  <c r="BR774" i="15" s="1"/>
  <c r="BU651" i="15"/>
  <c r="BT651" i="15"/>
  <c r="BV651" i="15" s="1"/>
  <c r="BM897" i="15"/>
  <c r="BL897" i="15"/>
  <c r="BN897" i="15" s="1"/>
  <c r="CH404" i="15"/>
  <c r="CG404" i="15"/>
  <c r="CI404" i="15" s="1"/>
  <c r="CL403" i="15"/>
  <c r="CK403" i="15"/>
  <c r="CM403" i="15" s="1"/>
  <c r="CC405" i="15"/>
  <c r="CB405" i="15"/>
  <c r="CD405" i="15" s="1"/>
  <c r="BY528" i="15"/>
  <c r="BX528" i="15"/>
  <c r="BZ528" i="15" s="1"/>
  <c r="BI1020" i="15"/>
  <c r="BH1020" i="15"/>
  <c r="BJ1020" i="15" s="1"/>
  <c r="L138" i="7"/>
  <c r="BI1021" i="15" l="1"/>
  <c r="BH1021" i="15"/>
  <c r="BJ1021" i="15" s="1"/>
  <c r="CC406" i="15"/>
  <c r="CB406" i="15"/>
  <c r="CD406" i="15" s="1"/>
  <c r="CH405" i="15"/>
  <c r="CG405" i="15"/>
  <c r="CI405" i="15" s="1"/>
  <c r="BM898" i="15"/>
  <c r="BL898" i="15"/>
  <c r="BN898" i="15" s="1"/>
  <c r="BQ775" i="15"/>
  <c r="BP775" i="15"/>
  <c r="BR775" i="15" s="1"/>
  <c r="BY529" i="15"/>
  <c r="BX529" i="15"/>
  <c r="BZ529" i="15" s="1"/>
  <c r="CL404" i="15"/>
  <c r="CK404" i="15"/>
  <c r="CM404" i="15" s="1"/>
  <c r="BU652" i="15"/>
  <c r="BT652" i="15"/>
  <c r="BV652" i="15" s="1"/>
  <c r="J139" i="7"/>
  <c r="K139" i="7"/>
  <c r="CL405" i="15" l="1"/>
  <c r="CK405" i="15"/>
  <c r="CM405" i="15" s="1"/>
  <c r="BY530" i="15"/>
  <c r="BX530" i="15"/>
  <c r="BZ530" i="15" s="1"/>
  <c r="BM899" i="15"/>
  <c r="BL899" i="15"/>
  <c r="BN899" i="15" s="1"/>
  <c r="CH406" i="15"/>
  <c r="CG406" i="15"/>
  <c r="CI406" i="15" s="1"/>
  <c r="BI1022" i="15"/>
  <c r="BH1022" i="15"/>
  <c r="BJ1022" i="15" s="1"/>
  <c r="BU653" i="15"/>
  <c r="BT653" i="15"/>
  <c r="BV653" i="15" s="1"/>
  <c r="BQ776" i="15"/>
  <c r="BP776" i="15"/>
  <c r="BR776" i="15" s="1"/>
  <c r="CC407" i="15"/>
  <c r="CB407" i="15"/>
  <c r="CD407" i="15" s="1"/>
  <c r="L139" i="7"/>
  <c r="CC408" i="15" l="1"/>
  <c r="CB408" i="15"/>
  <c r="CD408" i="15" s="1"/>
  <c r="BQ777" i="15"/>
  <c r="BP777" i="15"/>
  <c r="BR777" i="15" s="1"/>
  <c r="BU654" i="15"/>
  <c r="BT654" i="15"/>
  <c r="BV654" i="15" s="1"/>
  <c r="BI1023" i="15"/>
  <c r="BH1023" i="15"/>
  <c r="BJ1023" i="15" s="1"/>
  <c r="CH407" i="15"/>
  <c r="CG407" i="15"/>
  <c r="CI407" i="15" s="1"/>
  <c r="BM900" i="15"/>
  <c r="BL900" i="15"/>
  <c r="BN900" i="15" s="1"/>
  <c r="BY531" i="15"/>
  <c r="BX531" i="15"/>
  <c r="BZ531" i="15" s="1"/>
  <c r="CL406" i="15"/>
  <c r="CK406" i="15"/>
  <c r="CM406" i="15" s="1"/>
  <c r="J140" i="7"/>
  <c r="K140" i="7"/>
  <c r="BY532" i="15" l="1"/>
  <c r="BX532" i="15"/>
  <c r="BZ532" i="15" s="1"/>
  <c r="BM901" i="15"/>
  <c r="BL901" i="15"/>
  <c r="BN901" i="15" s="1"/>
  <c r="BI1024" i="15"/>
  <c r="BH1024" i="15"/>
  <c r="BJ1024" i="15" s="1"/>
  <c r="BU655" i="15"/>
  <c r="BT655" i="15"/>
  <c r="BV655" i="15" s="1"/>
  <c r="CC409" i="15"/>
  <c r="CB409" i="15"/>
  <c r="CD409" i="15" s="1"/>
  <c r="CL407" i="15"/>
  <c r="CK407" i="15"/>
  <c r="CM407" i="15" s="1"/>
  <c r="CH408" i="15"/>
  <c r="CG408" i="15"/>
  <c r="CI408" i="15" s="1"/>
  <c r="BQ778" i="15"/>
  <c r="BP778" i="15"/>
  <c r="BR778" i="15" s="1"/>
  <c r="L140" i="7"/>
  <c r="BQ779" i="15" l="1"/>
  <c r="BP779" i="15"/>
  <c r="BR779" i="15" s="1"/>
  <c r="CH409" i="15"/>
  <c r="CG409" i="15"/>
  <c r="CI409" i="15" s="1"/>
  <c r="CL408" i="15"/>
  <c r="CK408" i="15"/>
  <c r="CM408" i="15" s="1"/>
  <c r="CC410" i="15"/>
  <c r="CB410" i="15"/>
  <c r="CD410" i="15" s="1"/>
  <c r="BU656" i="15"/>
  <c r="BT656" i="15"/>
  <c r="BV656" i="15" s="1"/>
  <c r="BI1025" i="15"/>
  <c r="BH1025" i="15"/>
  <c r="BJ1025" i="15" s="1"/>
  <c r="BM902" i="15"/>
  <c r="BL902" i="15"/>
  <c r="BN902" i="15" s="1"/>
  <c r="BY533" i="15"/>
  <c r="BX533" i="15"/>
  <c r="BZ533" i="15" s="1"/>
  <c r="J141" i="7"/>
  <c r="K141" i="7"/>
  <c r="BM903" i="15" l="1"/>
  <c r="BL903" i="15"/>
  <c r="BN903" i="15" s="1"/>
  <c r="BU657" i="15"/>
  <c r="BT657" i="15"/>
  <c r="BV657" i="15" s="1"/>
  <c r="CC411" i="15"/>
  <c r="CB411" i="15"/>
  <c r="CD411" i="15" s="1"/>
  <c r="CL409" i="15"/>
  <c r="CK409" i="15"/>
  <c r="CM409" i="15" s="1"/>
  <c r="BQ780" i="15"/>
  <c r="BP780" i="15"/>
  <c r="BR780" i="15" s="1"/>
  <c r="BY534" i="15"/>
  <c r="BX534" i="15"/>
  <c r="BZ534" i="15" s="1"/>
  <c r="BI1026" i="15"/>
  <c r="BH1026" i="15"/>
  <c r="BJ1026" i="15" s="1"/>
  <c r="CH410" i="15"/>
  <c r="CG410" i="15"/>
  <c r="CI410" i="15" s="1"/>
  <c r="L141" i="7"/>
  <c r="BI1027" i="15" l="1"/>
  <c r="BH1027" i="15"/>
  <c r="BJ1027" i="15" s="1"/>
  <c r="BQ781" i="15"/>
  <c r="BP781" i="15"/>
  <c r="BR781" i="15" s="1"/>
  <c r="CL410" i="15"/>
  <c r="CK410" i="15"/>
  <c r="CM410" i="15" s="1"/>
  <c r="CC412" i="15"/>
  <c r="CB412" i="15"/>
  <c r="CD412" i="15" s="1"/>
  <c r="BM904" i="15"/>
  <c r="BL904" i="15"/>
  <c r="BN904" i="15" s="1"/>
  <c r="CH411" i="15"/>
  <c r="CG411" i="15"/>
  <c r="CI411" i="15" s="1"/>
  <c r="BY535" i="15"/>
  <c r="BX535" i="15"/>
  <c r="BZ535" i="15" s="1"/>
  <c r="BU658" i="15"/>
  <c r="BT658" i="15"/>
  <c r="BV658" i="15" s="1"/>
  <c r="J142" i="7"/>
  <c r="K142" i="7"/>
  <c r="BY536" i="15" l="1"/>
  <c r="BX536" i="15"/>
  <c r="BZ536" i="15" s="1"/>
  <c r="BM905" i="15"/>
  <c r="BL905" i="15"/>
  <c r="BN905" i="15" s="1"/>
  <c r="CC413" i="15"/>
  <c r="CB413" i="15"/>
  <c r="CD413" i="15" s="1"/>
  <c r="CL411" i="15"/>
  <c r="CK411" i="15"/>
  <c r="CM411" i="15" s="1"/>
  <c r="BU659" i="15"/>
  <c r="BT659" i="15"/>
  <c r="BV659" i="15" s="1"/>
  <c r="CH412" i="15"/>
  <c r="CG412" i="15"/>
  <c r="CI412" i="15" s="1"/>
  <c r="BQ782" i="15"/>
  <c r="BP782" i="15"/>
  <c r="BR782" i="15" s="1"/>
  <c r="L142" i="7"/>
  <c r="BQ783" i="15" l="1"/>
  <c r="BP783" i="15"/>
  <c r="BR783" i="15" s="1"/>
  <c r="BU660" i="15"/>
  <c r="BT660" i="15"/>
  <c r="BV660" i="15" s="1"/>
  <c r="CC414" i="15"/>
  <c r="CB414" i="15"/>
  <c r="CD414" i="15" s="1"/>
  <c r="BY537" i="15"/>
  <c r="BX537" i="15"/>
  <c r="BZ537" i="15" s="1"/>
  <c r="CH413" i="15"/>
  <c r="CG413" i="15"/>
  <c r="CI413" i="15" s="1"/>
  <c r="CL412" i="15"/>
  <c r="CK412" i="15"/>
  <c r="CM412" i="15" s="1"/>
  <c r="BM906" i="15"/>
  <c r="BL906" i="15"/>
  <c r="BN906" i="15" s="1"/>
  <c r="J143" i="7"/>
  <c r="K143" i="7"/>
  <c r="CL413" i="15" l="1"/>
  <c r="CK413" i="15"/>
  <c r="CM413" i="15" s="1"/>
  <c r="BY538" i="15"/>
  <c r="BX538" i="15"/>
  <c r="BZ538" i="15" s="1"/>
  <c r="CC415" i="15"/>
  <c r="CB415" i="15"/>
  <c r="CD415" i="15" s="1"/>
  <c r="BQ784" i="15"/>
  <c r="BP784" i="15"/>
  <c r="BR784" i="15" s="1"/>
  <c r="BM907" i="15"/>
  <c r="BL907" i="15"/>
  <c r="BN907" i="15" s="1"/>
  <c r="CH414" i="15"/>
  <c r="CG414" i="15"/>
  <c r="CI414" i="15" s="1"/>
  <c r="BU661" i="15"/>
  <c r="BT661" i="15"/>
  <c r="BV661" i="15" s="1"/>
  <c r="L143" i="7"/>
  <c r="BU662" i="15" l="1"/>
  <c r="BT662" i="15"/>
  <c r="BV662" i="15" s="1"/>
  <c r="BM908" i="15"/>
  <c r="BL908" i="15"/>
  <c r="BN908" i="15" s="1"/>
  <c r="CC416" i="15"/>
  <c r="CB416" i="15"/>
  <c r="CD416" i="15" s="1"/>
  <c r="CL414" i="15"/>
  <c r="CK414" i="15"/>
  <c r="CM414" i="15" s="1"/>
  <c r="CH415" i="15"/>
  <c r="CG415" i="15"/>
  <c r="CI415" i="15" s="1"/>
  <c r="BQ785" i="15"/>
  <c r="BP785" i="15"/>
  <c r="BR785" i="15" s="1"/>
  <c r="BY539" i="15"/>
  <c r="BX539" i="15"/>
  <c r="BZ539" i="15" s="1"/>
  <c r="J144" i="7"/>
  <c r="L144" i="7" s="1"/>
  <c r="K144" i="7"/>
  <c r="BQ786" i="15" l="1"/>
  <c r="BP786" i="15"/>
  <c r="BR786" i="15" s="1"/>
  <c r="CL415" i="15"/>
  <c r="CK415" i="15"/>
  <c r="CM415" i="15" s="1"/>
  <c r="CC417" i="15"/>
  <c r="CB417" i="15"/>
  <c r="CD417" i="15" s="1"/>
  <c r="BU663" i="15"/>
  <c r="BT663" i="15"/>
  <c r="BV663" i="15" s="1"/>
  <c r="BY540" i="15"/>
  <c r="BX540" i="15"/>
  <c r="BZ540" i="15" s="1"/>
  <c r="CH416" i="15"/>
  <c r="CG416" i="15"/>
  <c r="CI416" i="15" s="1"/>
  <c r="BM909" i="15"/>
  <c r="BL909" i="15"/>
  <c r="BN909" i="15" s="1"/>
  <c r="J145" i="7"/>
  <c r="K145" i="7"/>
  <c r="BM910" i="15" l="1"/>
  <c r="BL910" i="15"/>
  <c r="BN910" i="15" s="1"/>
  <c r="BY541" i="15"/>
  <c r="BX541" i="15"/>
  <c r="BZ541" i="15" s="1"/>
  <c r="CC418" i="15"/>
  <c r="CB418" i="15"/>
  <c r="CD418" i="15" s="1"/>
  <c r="BQ787" i="15"/>
  <c r="BP787" i="15"/>
  <c r="BR787" i="15" s="1"/>
  <c r="CH417" i="15"/>
  <c r="CG417" i="15"/>
  <c r="CI417" i="15" s="1"/>
  <c r="BU664" i="15"/>
  <c r="BT664" i="15"/>
  <c r="BV664" i="15" s="1"/>
  <c r="CL416" i="15"/>
  <c r="CK416" i="15"/>
  <c r="CM416" i="15" s="1"/>
  <c r="L145" i="7"/>
  <c r="BU665" i="15" l="1"/>
  <c r="BT665" i="15"/>
  <c r="BV665" i="15" s="1"/>
  <c r="CH418" i="15"/>
  <c r="CG418" i="15"/>
  <c r="CI418" i="15" s="1"/>
  <c r="CC419" i="15"/>
  <c r="CB419" i="15"/>
  <c r="CD419" i="15" s="1"/>
  <c r="BM911" i="15"/>
  <c r="BL911" i="15"/>
  <c r="BN911" i="15" s="1"/>
  <c r="CL417" i="15"/>
  <c r="CK417" i="15"/>
  <c r="CM417" i="15" s="1"/>
  <c r="BQ788" i="15"/>
  <c r="BP788" i="15"/>
  <c r="BR788" i="15" s="1"/>
  <c r="BY542" i="15"/>
  <c r="BX542" i="15"/>
  <c r="BZ542" i="15" s="1"/>
  <c r="J146" i="7"/>
  <c r="K146" i="7"/>
  <c r="BQ789" i="15" l="1"/>
  <c r="BP789" i="15"/>
  <c r="BR789" i="15" s="1"/>
  <c r="BM912" i="15"/>
  <c r="BL912" i="15"/>
  <c r="BN912" i="15" s="1"/>
  <c r="CC420" i="15"/>
  <c r="CB420" i="15"/>
  <c r="CD420" i="15" s="1"/>
  <c r="BU666" i="15"/>
  <c r="BT666" i="15"/>
  <c r="BV666" i="15" s="1"/>
  <c r="BY543" i="15"/>
  <c r="BX543" i="15"/>
  <c r="BZ543" i="15" s="1"/>
  <c r="CL418" i="15"/>
  <c r="CK418" i="15"/>
  <c r="CM418" i="15" s="1"/>
  <c r="CH419" i="15"/>
  <c r="CG419" i="15"/>
  <c r="CI419" i="15" s="1"/>
  <c r="L146" i="7"/>
  <c r="CH420" i="15" l="1"/>
  <c r="CG420" i="15"/>
  <c r="CI420" i="15" s="1"/>
  <c r="BY544" i="15"/>
  <c r="BX544" i="15"/>
  <c r="BZ544" i="15" s="1"/>
  <c r="CC421" i="15"/>
  <c r="CB421" i="15"/>
  <c r="CD421" i="15" s="1"/>
  <c r="BQ790" i="15"/>
  <c r="BP790" i="15"/>
  <c r="BR790" i="15" s="1"/>
  <c r="CL419" i="15"/>
  <c r="CK419" i="15"/>
  <c r="CM419" i="15" s="1"/>
  <c r="BU667" i="15"/>
  <c r="BT667" i="15"/>
  <c r="BV667" i="15" s="1"/>
  <c r="BM913" i="15"/>
  <c r="BL913" i="15"/>
  <c r="BN913" i="15" s="1"/>
  <c r="J147" i="7"/>
  <c r="K147" i="7"/>
  <c r="BU668" i="15" l="1"/>
  <c r="BT668" i="15"/>
  <c r="BV668" i="15" s="1"/>
  <c r="BQ791" i="15"/>
  <c r="BP791" i="15"/>
  <c r="BR791" i="15" s="1"/>
  <c r="CC422" i="15"/>
  <c r="CB422" i="15"/>
  <c r="CD422" i="15" s="1"/>
  <c r="CH421" i="15"/>
  <c r="CG421" i="15"/>
  <c r="CI421" i="15" s="1"/>
  <c r="BM914" i="15"/>
  <c r="BL914" i="15"/>
  <c r="BN914" i="15" s="1"/>
  <c r="CL420" i="15"/>
  <c r="CK420" i="15"/>
  <c r="CM420" i="15" s="1"/>
  <c r="BY545" i="15"/>
  <c r="BX545" i="15"/>
  <c r="BZ545" i="15" s="1"/>
  <c r="L147" i="7"/>
  <c r="BY546" i="15" l="1"/>
  <c r="BX546" i="15"/>
  <c r="BZ546" i="15" s="1"/>
  <c r="BM915" i="15"/>
  <c r="BL915" i="15"/>
  <c r="BN915" i="15" s="1"/>
  <c r="CC423" i="15"/>
  <c r="CB423" i="15"/>
  <c r="CD423" i="15" s="1"/>
  <c r="BU669" i="15"/>
  <c r="BT669" i="15"/>
  <c r="BV669" i="15" s="1"/>
  <c r="CL421" i="15"/>
  <c r="CK421" i="15"/>
  <c r="CM421" i="15" s="1"/>
  <c r="CH422" i="15"/>
  <c r="CG422" i="15"/>
  <c r="CI422" i="15" s="1"/>
  <c r="BQ792" i="15"/>
  <c r="BP792" i="15"/>
  <c r="BR792" i="15" s="1"/>
  <c r="J148" i="7"/>
  <c r="K148" i="7"/>
  <c r="CH423" i="15" l="1"/>
  <c r="CG423" i="15"/>
  <c r="CI423" i="15" s="1"/>
  <c r="BU670" i="15"/>
  <c r="BT670" i="15"/>
  <c r="BV670" i="15" s="1"/>
  <c r="CC424" i="15"/>
  <c r="CB424" i="15"/>
  <c r="CD424" i="15" s="1"/>
  <c r="BY547" i="15"/>
  <c r="BX547" i="15"/>
  <c r="BZ547" i="15" s="1"/>
  <c r="BQ793" i="15"/>
  <c r="BP793" i="15"/>
  <c r="BR793" i="15" s="1"/>
  <c r="CL422" i="15"/>
  <c r="CK422" i="15"/>
  <c r="CM422" i="15" s="1"/>
  <c r="BM916" i="15"/>
  <c r="BL916" i="15"/>
  <c r="BN916" i="15" s="1"/>
  <c r="L148" i="7"/>
  <c r="BM917" i="15" l="1"/>
  <c r="BL917" i="15"/>
  <c r="BN917" i="15" s="1"/>
  <c r="BQ794" i="15"/>
  <c r="BP794" i="15"/>
  <c r="BR794" i="15" s="1"/>
  <c r="BY548" i="15"/>
  <c r="BX548" i="15"/>
  <c r="BZ548" i="15" s="1"/>
  <c r="CC425" i="15"/>
  <c r="CB425" i="15"/>
  <c r="CD425" i="15" s="1"/>
  <c r="CH424" i="15"/>
  <c r="CG424" i="15"/>
  <c r="CI424" i="15" s="1"/>
  <c r="CL423" i="15"/>
  <c r="CK423" i="15"/>
  <c r="CM423" i="15" s="1"/>
  <c r="BU671" i="15"/>
  <c r="BT671" i="15"/>
  <c r="BV671" i="15" s="1"/>
  <c r="J149" i="7"/>
  <c r="K149" i="7"/>
  <c r="BU672" i="15" l="1"/>
  <c r="BT672" i="15"/>
  <c r="BV672" i="15" s="1"/>
  <c r="CL424" i="15"/>
  <c r="CK424" i="15"/>
  <c r="CM424" i="15" s="1"/>
  <c r="CH425" i="15"/>
  <c r="CG425" i="15"/>
  <c r="CI425" i="15" s="1"/>
  <c r="CC426" i="15"/>
  <c r="CB426" i="15"/>
  <c r="CD426" i="15" s="1"/>
  <c r="BY549" i="15"/>
  <c r="BX549" i="15"/>
  <c r="BZ549" i="15" s="1"/>
  <c r="BQ795" i="15"/>
  <c r="BP795" i="15"/>
  <c r="BR795" i="15" s="1"/>
  <c r="BM918" i="15"/>
  <c r="BL918" i="15"/>
  <c r="BN918" i="15" s="1"/>
  <c r="L149" i="7"/>
  <c r="BM919" i="15" l="1"/>
  <c r="BL919" i="15"/>
  <c r="BN919" i="15" s="1"/>
  <c r="BQ796" i="15"/>
  <c r="BP796" i="15"/>
  <c r="BR796" i="15" s="1"/>
  <c r="CC427" i="15"/>
  <c r="CB427" i="15"/>
  <c r="CD427" i="15" s="1"/>
  <c r="CH426" i="15"/>
  <c r="CG426" i="15"/>
  <c r="CI426" i="15" s="1"/>
  <c r="BU673" i="15"/>
  <c r="BT673" i="15"/>
  <c r="BV673" i="15" s="1"/>
  <c r="BY550" i="15"/>
  <c r="BX550" i="15"/>
  <c r="BZ550" i="15" s="1"/>
  <c r="CL425" i="15"/>
  <c r="CK425" i="15"/>
  <c r="CM425" i="15" s="1"/>
  <c r="J150" i="7"/>
  <c r="K150" i="7"/>
  <c r="CL426" i="15" l="1"/>
  <c r="CK426" i="15"/>
  <c r="CM426" i="15" s="1"/>
  <c r="BY551" i="15"/>
  <c r="BX551" i="15"/>
  <c r="BZ551" i="15" s="1"/>
  <c r="CH427" i="15"/>
  <c r="CG427" i="15"/>
  <c r="CI427" i="15" s="1"/>
  <c r="CC428" i="15"/>
  <c r="CB428" i="15"/>
  <c r="CD428" i="15" s="1"/>
  <c r="BM920" i="15"/>
  <c r="BL920" i="15"/>
  <c r="BN920" i="15" s="1"/>
  <c r="BU674" i="15"/>
  <c r="BT674" i="15"/>
  <c r="BV674" i="15" s="1"/>
  <c r="BQ797" i="15"/>
  <c r="BP797" i="15"/>
  <c r="BR797" i="15" s="1"/>
  <c r="L150" i="7"/>
  <c r="BU675" i="15" l="1"/>
  <c r="BT675" i="15"/>
  <c r="BV675" i="15" s="1"/>
  <c r="CC429" i="15"/>
  <c r="CB429" i="15"/>
  <c r="CD429" i="15" s="1"/>
  <c r="CH428" i="15"/>
  <c r="CG428" i="15"/>
  <c r="CI428" i="15" s="1"/>
  <c r="CL427" i="15"/>
  <c r="CK427" i="15"/>
  <c r="CM427" i="15" s="1"/>
  <c r="BQ798" i="15"/>
  <c r="BP798" i="15"/>
  <c r="BR798" i="15" s="1"/>
  <c r="BM921" i="15"/>
  <c r="BL921" i="15"/>
  <c r="BN921" i="15" s="1"/>
  <c r="BY552" i="15"/>
  <c r="BX552" i="15"/>
  <c r="BZ552" i="15" s="1"/>
  <c r="J151" i="7"/>
  <c r="K151" i="7"/>
  <c r="BY553" i="15" l="1"/>
  <c r="BX553" i="15"/>
  <c r="BZ553" i="15" s="1"/>
  <c r="BQ799" i="15"/>
  <c r="BP799" i="15"/>
  <c r="BR799" i="15" s="1"/>
  <c r="CL428" i="15"/>
  <c r="CK428" i="15"/>
  <c r="CM428" i="15" s="1"/>
  <c r="CH429" i="15"/>
  <c r="CG429" i="15"/>
  <c r="CI429" i="15" s="1"/>
  <c r="BU676" i="15"/>
  <c r="BT676" i="15"/>
  <c r="BV676" i="15" s="1"/>
  <c r="BM922" i="15"/>
  <c r="BL922" i="15"/>
  <c r="BN922" i="15" s="1"/>
  <c r="CC430" i="15"/>
  <c r="CB430" i="15"/>
  <c r="CD430" i="15" s="1"/>
  <c r="L151" i="7"/>
  <c r="CC431" i="15" l="1"/>
  <c r="CB431" i="15"/>
  <c r="CD431" i="15" s="1"/>
  <c r="BU677" i="15"/>
  <c r="BT677" i="15"/>
  <c r="BV677" i="15" s="1"/>
  <c r="CL429" i="15"/>
  <c r="CK429" i="15"/>
  <c r="CM429" i="15" s="1"/>
  <c r="BY554" i="15"/>
  <c r="BX554" i="15"/>
  <c r="BZ554" i="15" s="1"/>
  <c r="BM923" i="15"/>
  <c r="BL923" i="15"/>
  <c r="BN923" i="15" s="1"/>
  <c r="CH430" i="15"/>
  <c r="CG430" i="15"/>
  <c r="CI430" i="15" s="1"/>
  <c r="BQ800" i="15"/>
  <c r="BP800" i="15"/>
  <c r="BR800" i="15" s="1"/>
  <c r="J152" i="7"/>
  <c r="K152" i="7"/>
  <c r="CH431" i="15" l="1"/>
  <c r="CG431" i="15"/>
  <c r="CI431" i="15" s="1"/>
  <c r="BY555" i="15"/>
  <c r="BX555" i="15"/>
  <c r="BZ555" i="15" s="1"/>
  <c r="CL430" i="15"/>
  <c r="CK430" i="15"/>
  <c r="CM430" i="15" s="1"/>
  <c r="CC432" i="15"/>
  <c r="CB432" i="15"/>
  <c r="CD432" i="15" s="1"/>
  <c r="BQ801" i="15"/>
  <c r="BP801" i="15"/>
  <c r="BR801" i="15" s="1"/>
  <c r="BM924" i="15"/>
  <c r="BL924" i="15"/>
  <c r="BN924" i="15" s="1"/>
  <c r="BU678" i="15"/>
  <c r="BT678" i="15"/>
  <c r="BV678" i="15" s="1"/>
  <c r="L152" i="7"/>
  <c r="BM925" i="15" l="1"/>
  <c r="BL925" i="15"/>
  <c r="BN925" i="15" s="1"/>
  <c r="CC433" i="15"/>
  <c r="CB433" i="15"/>
  <c r="CD433" i="15" s="1"/>
  <c r="CL431" i="15"/>
  <c r="CK431" i="15"/>
  <c r="CM431" i="15" s="1"/>
  <c r="CH432" i="15"/>
  <c r="CG432" i="15"/>
  <c r="CI432" i="15" s="1"/>
  <c r="BU679" i="15"/>
  <c r="BT679" i="15"/>
  <c r="BV679" i="15" s="1"/>
  <c r="BQ802" i="15"/>
  <c r="BP802" i="15"/>
  <c r="BR802" i="15" s="1"/>
  <c r="BY556" i="15"/>
  <c r="BX556" i="15"/>
  <c r="BZ556" i="15" s="1"/>
  <c r="J153" i="7"/>
  <c r="K153" i="7"/>
  <c r="BY557" i="15" l="1"/>
  <c r="BX557" i="15"/>
  <c r="BZ557" i="15" s="1"/>
  <c r="BU680" i="15"/>
  <c r="BT680" i="15"/>
  <c r="BV680" i="15" s="1"/>
  <c r="CH433" i="15"/>
  <c r="CG433" i="15"/>
  <c r="CI433" i="15" s="1"/>
  <c r="CL432" i="15"/>
  <c r="CK432" i="15"/>
  <c r="CM432" i="15" s="1"/>
  <c r="BM926" i="15"/>
  <c r="BL926" i="15"/>
  <c r="BN926" i="15" s="1"/>
  <c r="BQ803" i="15"/>
  <c r="BP803" i="15"/>
  <c r="BR803" i="15" s="1"/>
  <c r="CC434" i="15"/>
  <c r="CB434" i="15"/>
  <c r="CD434" i="15" s="1"/>
  <c r="L153" i="7"/>
  <c r="CC435" i="15" l="1"/>
  <c r="CB435" i="15"/>
  <c r="CD435" i="15" s="1"/>
  <c r="BM927" i="15"/>
  <c r="BL927" i="15"/>
  <c r="BN927" i="15" s="1"/>
  <c r="CH434" i="15"/>
  <c r="CG434" i="15"/>
  <c r="CI434" i="15" s="1"/>
  <c r="BY558" i="15"/>
  <c r="BX558" i="15"/>
  <c r="BZ558" i="15" s="1"/>
  <c r="BQ804" i="15"/>
  <c r="BP804" i="15"/>
  <c r="BR804" i="15" s="1"/>
  <c r="CL433" i="15"/>
  <c r="CK433" i="15"/>
  <c r="CM433" i="15" s="1"/>
  <c r="BU681" i="15"/>
  <c r="BT681" i="15"/>
  <c r="BV681" i="15" s="1"/>
  <c r="J154" i="7"/>
  <c r="K154" i="7"/>
  <c r="CL434" i="15" l="1"/>
  <c r="CK434" i="15"/>
  <c r="CM434" i="15" s="1"/>
  <c r="BY559" i="15"/>
  <c r="BX559" i="15"/>
  <c r="BZ559" i="15" s="1"/>
  <c r="CH435" i="15"/>
  <c r="CG435" i="15"/>
  <c r="CI435" i="15" s="1"/>
  <c r="CC436" i="15"/>
  <c r="CB436" i="15"/>
  <c r="CD436" i="15" s="1"/>
  <c r="BU682" i="15"/>
  <c r="BT682" i="15"/>
  <c r="BV682" i="15" s="1"/>
  <c r="BQ805" i="15"/>
  <c r="BP805" i="15"/>
  <c r="BR805" i="15" s="1"/>
  <c r="BM928" i="15"/>
  <c r="BL928" i="15"/>
  <c r="BN928" i="15" s="1"/>
  <c r="L154" i="7"/>
  <c r="BQ806" i="15" l="1"/>
  <c r="BP806" i="15"/>
  <c r="BR806" i="15" s="1"/>
  <c r="CC437" i="15"/>
  <c r="CB437" i="15"/>
  <c r="CD437" i="15" s="1"/>
  <c r="CH436" i="15"/>
  <c r="CG436" i="15"/>
  <c r="CI436" i="15" s="1"/>
  <c r="CL435" i="15"/>
  <c r="CK435" i="15"/>
  <c r="CM435" i="15" s="1"/>
  <c r="BM929" i="15"/>
  <c r="BL929" i="15"/>
  <c r="BN929" i="15" s="1"/>
  <c r="BU683" i="15"/>
  <c r="BT683" i="15"/>
  <c r="BV683" i="15" s="1"/>
  <c r="BY560" i="15"/>
  <c r="BX560" i="15"/>
  <c r="BZ560" i="15" s="1"/>
  <c r="J155" i="7"/>
  <c r="K155" i="7"/>
  <c r="BU684" i="15" l="1"/>
  <c r="BT684" i="15"/>
  <c r="BV684" i="15" s="1"/>
  <c r="CL436" i="15"/>
  <c r="CK436" i="15"/>
  <c r="CM436" i="15" s="1"/>
  <c r="CH437" i="15"/>
  <c r="CG437" i="15"/>
  <c r="CI437" i="15" s="1"/>
  <c r="BQ807" i="15"/>
  <c r="BP807" i="15"/>
  <c r="BR807" i="15" s="1"/>
  <c r="BY561" i="15"/>
  <c r="BX561" i="15"/>
  <c r="BZ561" i="15" s="1"/>
  <c r="BM930" i="15"/>
  <c r="BL930" i="15"/>
  <c r="BN930" i="15" s="1"/>
  <c r="CC438" i="15"/>
  <c r="CB438" i="15"/>
  <c r="CD438" i="15" s="1"/>
  <c r="L155" i="7"/>
  <c r="CC439" i="15" l="1"/>
  <c r="CB439" i="15"/>
  <c r="CD439" i="15" s="1"/>
  <c r="BY562" i="15"/>
  <c r="BX562" i="15"/>
  <c r="BZ562" i="15" s="1"/>
  <c r="CH438" i="15"/>
  <c r="CG438" i="15"/>
  <c r="CI438" i="15" s="1"/>
  <c r="BU685" i="15"/>
  <c r="BT685" i="15"/>
  <c r="BV685" i="15" s="1"/>
  <c r="BM931" i="15"/>
  <c r="BL931" i="15"/>
  <c r="BN931" i="15" s="1"/>
  <c r="BQ808" i="15"/>
  <c r="BP808" i="15"/>
  <c r="BR808" i="15" s="1"/>
  <c r="CL437" i="15"/>
  <c r="CK437" i="15"/>
  <c r="CM437" i="15" s="1"/>
  <c r="J156" i="7"/>
  <c r="K156" i="7"/>
  <c r="BQ809" i="15" l="1"/>
  <c r="BP809" i="15"/>
  <c r="BR809" i="15" s="1"/>
  <c r="BU686" i="15"/>
  <c r="BT686" i="15"/>
  <c r="BV686" i="15" s="1"/>
  <c r="CH439" i="15"/>
  <c r="CG439" i="15"/>
  <c r="CI439" i="15" s="1"/>
  <c r="CC440" i="15"/>
  <c r="CB440" i="15"/>
  <c r="CD440" i="15" s="1"/>
  <c r="CL438" i="15"/>
  <c r="CK438" i="15"/>
  <c r="CM438" i="15" s="1"/>
  <c r="BM932" i="15"/>
  <c r="BL932" i="15"/>
  <c r="BN932" i="15" s="1"/>
  <c r="BY563" i="15"/>
  <c r="BX563" i="15"/>
  <c r="BZ563" i="15" s="1"/>
  <c r="L156" i="7"/>
  <c r="BY564" i="15" l="1"/>
  <c r="BX564" i="15"/>
  <c r="BZ564" i="15" s="1"/>
  <c r="BM933" i="15"/>
  <c r="BL933" i="15"/>
  <c r="BN933" i="15" s="1"/>
  <c r="CL439" i="15"/>
  <c r="CK439" i="15"/>
  <c r="CM439" i="15" s="1"/>
  <c r="CC441" i="15"/>
  <c r="CB441" i="15"/>
  <c r="CD441" i="15" s="1"/>
  <c r="CH440" i="15"/>
  <c r="CG440" i="15"/>
  <c r="CI440" i="15" s="1"/>
  <c r="BU687" i="15"/>
  <c r="BT687" i="15"/>
  <c r="BV687" i="15" s="1"/>
  <c r="BQ810" i="15"/>
  <c r="BP810" i="15"/>
  <c r="BR810" i="15" s="1"/>
  <c r="J157" i="7"/>
  <c r="L157" i="7" s="1"/>
  <c r="K157" i="7"/>
  <c r="BQ811" i="15" l="1"/>
  <c r="BP811" i="15"/>
  <c r="BR811" i="15" s="1"/>
  <c r="BU688" i="15"/>
  <c r="BT688" i="15"/>
  <c r="BV688" i="15" s="1"/>
  <c r="CH441" i="15"/>
  <c r="CG441" i="15"/>
  <c r="CI441" i="15" s="1"/>
  <c r="CC442" i="15"/>
  <c r="CB442" i="15"/>
  <c r="CD442" i="15" s="1"/>
  <c r="CL440" i="15"/>
  <c r="CK440" i="15"/>
  <c r="CM440" i="15" s="1"/>
  <c r="BM934" i="15"/>
  <c r="BL934" i="15"/>
  <c r="BN934" i="15" s="1"/>
  <c r="BY565" i="15"/>
  <c r="BX565" i="15"/>
  <c r="BZ565" i="15" s="1"/>
  <c r="J158" i="7"/>
  <c r="K158" i="7"/>
  <c r="BM935" i="15" l="1"/>
  <c r="BL935" i="15"/>
  <c r="BN935" i="15" s="1"/>
  <c r="CL441" i="15"/>
  <c r="CK441" i="15"/>
  <c r="CM441" i="15" s="1"/>
  <c r="CH442" i="15"/>
  <c r="CG442" i="15"/>
  <c r="CI442" i="15" s="1"/>
  <c r="BQ812" i="15"/>
  <c r="BP812" i="15"/>
  <c r="BR812" i="15" s="1"/>
  <c r="BY566" i="15"/>
  <c r="BX566" i="15"/>
  <c r="BZ566" i="15" s="1"/>
  <c r="CC443" i="15"/>
  <c r="CB443" i="15"/>
  <c r="CD443" i="15" s="1"/>
  <c r="BU689" i="15"/>
  <c r="BT689" i="15"/>
  <c r="BV689" i="15" s="1"/>
  <c r="L158" i="7"/>
  <c r="BU690" i="15" l="1"/>
  <c r="BT690" i="15"/>
  <c r="BV690" i="15" s="1"/>
  <c r="BY567" i="15"/>
  <c r="BX567" i="15"/>
  <c r="BZ567" i="15" s="1"/>
  <c r="CH443" i="15"/>
  <c r="CG443" i="15"/>
  <c r="CI443" i="15" s="1"/>
  <c r="BM936" i="15"/>
  <c r="BL936" i="15"/>
  <c r="BN936" i="15" s="1"/>
  <c r="CC444" i="15"/>
  <c r="CB444" i="15"/>
  <c r="CD444" i="15" s="1"/>
  <c r="BQ813" i="15"/>
  <c r="BP813" i="15"/>
  <c r="BR813" i="15" s="1"/>
  <c r="CL442" i="15"/>
  <c r="CK442" i="15"/>
  <c r="CM442" i="15" s="1"/>
  <c r="J159" i="7"/>
  <c r="L159" i="7" s="1"/>
  <c r="K159" i="7"/>
  <c r="CL443" i="15" l="1"/>
  <c r="CK443" i="15"/>
  <c r="CM443" i="15" s="1"/>
  <c r="BQ814" i="15"/>
  <c r="BP814" i="15"/>
  <c r="BR814" i="15" s="1"/>
  <c r="CC445" i="15"/>
  <c r="CB445" i="15"/>
  <c r="CD445" i="15" s="1"/>
  <c r="BM937" i="15"/>
  <c r="BL937" i="15"/>
  <c r="BN937" i="15" s="1"/>
  <c r="CH444" i="15"/>
  <c r="CG444" i="15"/>
  <c r="CI444" i="15" s="1"/>
  <c r="BY568" i="15"/>
  <c r="BX568" i="15"/>
  <c r="BZ568" i="15" s="1"/>
  <c r="BU691" i="15"/>
  <c r="BT691" i="15"/>
  <c r="BV691" i="15" s="1"/>
  <c r="J160" i="7"/>
  <c r="L160" i="7" s="1"/>
  <c r="K160" i="7"/>
  <c r="BU692" i="15" l="1"/>
  <c r="BT692" i="15"/>
  <c r="BV692" i="15" s="1"/>
  <c r="CH445" i="15"/>
  <c r="CG445" i="15"/>
  <c r="CI445" i="15" s="1"/>
  <c r="BM938" i="15"/>
  <c r="BL938" i="15"/>
  <c r="BN938" i="15" s="1"/>
  <c r="CC446" i="15"/>
  <c r="CB446" i="15"/>
  <c r="CD446" i="15" s="1"/>
  <c r="CL444" i="15"/>
  <c r="CK444" i="15"/>
  <c r="CM444" i="15" s="1"/>
  <c r="BY569" i="15"/>
  <c r="BX569" i="15"/>
  <c r="BZ569" i="15" s="1"/>
  <c r="BQ815" i="15"/>
  <c r="BP815" i="15"/>
  <c r="BR815" i="15" s="1"/>
  <c r="J161" i="7"/>
  <c r="K161" i="7"/>
  <c r="BY570" i="15" l="1"/>
  <c r="BX570" i="15"/>
  <c r="BZ570" i="15" s="1"/>
  <c r="CC447" i="15"/>
  <c r="CB447" i="15"/>
  <c r="CD447" i="15" s="1"/>
  <c r="BM939" i="15"/>
  <c r="BL939" i="15"/>
  <c r="BN939" i="15" s="1"/>
  <c r="BU693" i="15"/>
  <c r="BT693" i="15"/>
  <c r="BV693" i="15" s="1"/>
  <c r="BQ816" i="15"/>
  <c r="BP816" i="15"/>
  <c r="BR816" i="15" s="1"/>
  <c r="CL445" i="15"/>
  <c r="CK445" i="15"/>
  <c r="CM445" i="15" s="1"/>
  <c r="CH446" i="15"/>
  <c r="CG446" i="15"/>
  <c r="CI446" i="15" s="1"/>
  <c r="L161" i="7"/>
  <c r="CL446" i="15" l="1"/>
  <c r="CK446" i="15"/>
  <c r="CM446" i="15" s="1"/>
  <c r="BQ817" i="15"/>
  <c r="BP817" i="15"/>
  <c r="BR817" i="15" s="1"/>
  <c r="BM940" i="15"/>
  <c r="BL940" i="15"/>
  <c r="BN940" i="15" s="1"/>
  <c r="BY571" i="15"/>
  <c r="BX571" i="15"/>
  <c r="BZ571" i="15" s="1"/>
  <c r="CH447" i="15"/>
  <c r="CG447" i="15"/>
  <c r="CI447" i="15" s="1"/>
  <c r="BU694" i="15"/>
  <c r="BT694" i="15"/>
  <c r="BV694" i="15" s="1"/>
  <c r="CC448" i="15"/>
  <c r="CB448" i="15"/>
  <c r="CD448" i="15" s="1"/>
  <c r="J162" i="7"/>
  <c r="K162" i="7"/>
  <c r="CC449" i="15" l="1"/>
  <c r="CB449" i="15"/>
  <c r="CD449" i="15" s="1"/>
  <c r="CH448" i="15"/>
  <c r="CG448" i="15"/>
  <c r="CI448" i="15" s="1"/>
  <c r="BY572" i="15"/>
  <c r="BX572" i="15"/>
  <c r="BZ572" i="15" s="1"/>
  <c r="BM941" i="15"/>
  <c r="BL941" i="15"/>
  <c r="BN941" i="15" s="1"/>
  <c r="CL447" i="15"/>
  <c r="CK447" i="15"/>
  <c r="CM447" i="15" s="1"/>
  <c r="BU695" i="15"/>
  <c r="BT695" i="15"/>
  <c r="BV695" i="15" s="1"/>
  <c r="BQ818" i="15"/>
  <c r="BP818" i="15"/>
  <c r="BR818" i="15" s="1"/>
  <c r="L162" i="7"/>
  <c r="BQ819" i="15" l="1"/>
  <c r="BP819" i="15"/>
  <c r="BR819" i="15" s="1"/>
  <c r="CL448" i="15"/>
  <c r="CK448" i="15"/>
  <c r="CM448" i="15" s="1"/>
  <c r="BY573" i="15"/>
  <c r="BX573" i="15"/>
  <c r="BZ573" i="15" s="1"/>
  <c r="CC450" i="15"/>
  <c r="CB450" i="15"/>
  <c r="CD450" i="15" s="1"/>
  <c r="BU696" i="15"/>
  <c r="BT696" i="15"/>
  <c r="BV696" i="15" s="1"/>
  <c r="BM942" i="15"/>
  <c r="BL942" i="15"/>
  <c r="BN942" i="15" s="1"/>
  <c r="CH449" i="15"/>
  <c r="CG449" i="15"/>
  <c r="CI449" i="15" s="1"/>
  <c r="J163" i="7"/>
  <c r="K163" i="7"/>
  <c r="BM943" i="15" l="1"/>
  <c r="BL943" i="15"/>
  <c r="BN943" i="15" s="1"/>
  <c r="CC451" i="15"/>
  <c r="CB451" i="15"/>
  <c r="CD451" i="15" s="1"/>
  <c r="BY574" i="15"/>
  <c r="BX574" i="15"/>
  <c r="BZ574" i="15" s="1"/>
  <c r="BQ820" i="15"/>
  <c r="BP820" i="15"/>
  <c r="BR820" i="15" s="1"/>
  <c r="CH450" i="15"/>
  <c r="CG450" i="15"/>
  <c r="CI450" i="15" s="1"/>
  <c r="BU697" i="15"/>
  <c r="BT697" i="15"/>
  <c r="BV697" i="15" s="1"/>
  <c r="CL449" i="15"/>
  <c r="CK449" i="15"/>
  <c r="CM449" i="15" s="1"/>
  <c r="L163" i="7"/>
  <c r="BU698" i="15" l="1"/>
  <c r="BT698" i="15"/>
  <c r="BV698" i="15" s="1"/>
  <c r="BQ821" i="15"/>
  <c r="BP821" i="15"/>
  <c r="BR821" i="15" s="1"/>
  <c r="BY575" i="15"/>
  <c r="BX575" i="15"/>
  <c r="BZ575" i="15" s="1"/>
  <c r="BM944" i="15"/>
  <c r="BL944" i="15"/>
  <c r="BN944" i="15" s="1"/>
  <c r="CL450" i="15"/>
  <c r="CK450" i="15"/>
  <c r="CM450" i="15" s="1"/>
  <c r="CH451" i="15"/>
  <c r="CG451" i="15"/>
  <c r="CI451" i="15" s="1"/>
  <c r="CC452" i="15"/>
  <c r="CB452" i="15"/>
  <c r="CD452" i="15" s="1"/>
  <c r="J164" i="7"/>
  <c r="K164" i="7"/>
  <c r="CH452" i="15" l="1"/>
  <c r="CG452" i="15"/>
  <c r="CI452" i="15" s="1"/>
  <c r="BM945" i="15"/>
  <c r="BL945" i="15"/>
  <c r="BN945" i="15" s="1"/>
  <c r="BY576" i="15"/>
  <c r="BX576" i="15"/>
  <c r="BZ576" i="15" s="1"/>
  <c r="BU699" i="15"/>
  <c r="BT699" i="15"/>
  <c r="BV699" i="15" s="1"/>
  <c r="CC453" i="15"/>
  <c r="CB453" i="15"/>
  <c r="CD453" i="15" s="1"/>
  <c r="CL451" i="15"/>
  <c r="CK451" i="15"/>
  <c r="CM451" i="15" s="1"/>
  <c r="BQ822" i="15"/>
  <c r="BP822" i="15"/>
  <c r="BR822" i="15" s="1"/>
  <c r="L164" i="7"/>
  <c r="CL452" i="15" l="1"/>
  <c r="CK452" i="15"/>
  <c r="CM452" i="15" s="1"/>
  <c r="CC454" i="15"/>
  <c r="CB454" i="15"/>
  <c r="CD454" i="15" s="1"/>
  <c r="BY577" i="15"/>
  <c r="BX577" i="15"/>
  <c r="BZ577" i="15" s="1"/>
  <c r="CH453" i="15"/>
  <c r="CG453" i="15"/>
  <c r="CI453" i="15" s="1"/>
  <c r="BQ823" i="15"/>
  <c r="BP823" i="15"/>
  <c r="BR823" i="15" s="1"/>
  <c r="BU700" i="15"/>
  <c r="BT700" i="15"/>
  <c r="BV700" i="15" s="1"/>
  <c r="BM946" i="15"/>
  <c r="BL946" i="15"/>
  <c r="BN946" i="15" s="1"/>
  <c r="J165" i="7"/>
  <c r="K165" i="7"/>
  <c r="BU701" i="15" l="1"/>
  <c r="BT701" i="15"/>
  <c r="BV701" i="15" s="1"/>
  <c r="CH454" i="15"/>
  <c r="CG454" i="15"/>
  <c r="CI454" i="15" s="1"/>
  <c r="BY578" i="15"/>
  <c r="BX578" i="15"/>
  <c r="BZ578" i="15" s="1"/>
  <c r="CL453" i="15"/>
  <c r="CK453" i="15"/>
  <c r="CM453" i="15" s="1"/>
  <c r="BM947" i="15"/>
  <c r="BL947" i="15"/>
  <c r="BN947" i="15" s="1"/>
  <c r="BQ824" i="15"/>
  <c r="BP824" i="15"/>
  <c r="BR824" i="15" s="1"/>
  <c r="CC455" i="15"/>
  <c r="CB455" i="15"/>
  <c r="CD455" i="15" s="1"/>
  <c r="L165" i="7"/>
  <c r="CC456" i="15" l="1"/>
  <c r="CB456" i="15"/>
  <c r="CD456" i="15" s="1"/>
  <c r="BM948" i="15"/>
  <c r="BL948" i="15"/>
  <c r="BN948" i="15" s="1"/>
  <c r="BY579" i="15"/>
  <c r="BX579" i="15"/>
  <c r="BZ579" i="15" s="1"/>
  <c r="BU702" i="15"/>
  <c r="BT702" i="15"/>
  <c r="BV702" i="15" s="1"/>
  <c r="BQ825" i="15"/>
  <c r="BP825" i="15"/>
  <c r="BR825" i="15" s="1"/>
  <c r="CL454" i="15"/>
  <c r="CK454" i="15"/>
  <c r="CM454" i="15" s="1"/>
  <c r="CH455" i="15"/>
  <c r="CG455" i="15"/>
  <c r="CI455" i="15" s="1"/>
  <c r="J166" i="7"/>
  <c r="K166" i="7"/>
  <c r="CL455" i="15" l="1"/>
  <c r="CK455" i="15"/>
  <c r="CM455" i="15" s="1"/>
  <c r="BU703" i="15"/>
  <c r="BT703" i="15"/>
  <c r="BV703" i="15" s="1"/>
  <c r="BY580" i="15"/>
  <c r="BX580" i="15"/>
  <c r="BZ580" i="15" s="1"/>
  <c r="CC457" i="15"/>
  <c r="CB457" i="15"/>
  <c r="CD457" i="15" s="1"/>
  <c r="CH456" i="15"/>
  <c r="CG456" i="15"/>
  <c r="CI456" i="15" s="1"/>
  <c r="BQ826" i="15"/>
  <c r="BP826" i="15"/>
  <c r="BR826" i="15" s="1"/>
  <c r="BM949" i="15"/>
  <c r="BL949" i="15"/>
  <c r="BN949" i="15" s="1"/>
  <c r="L166" i="7"/>
  <c r="BQ827" i="15" l="1"/>
  <c r="BP827" i="15"/>
  <c r="BR827" i="15" s="1"/>
  <c r="CH457" i="15"/>
  <c r="CG457" i="15"/>
  <c r="CI457" i="15" s="1"/>
  <c r="BY581" i="15"/>
  <c r="BX581" i="15"/>
  <c r="BZ581" i="15" s="1"/>
  <c r="CL456" i="15"/>
  <c r="CK456" i="15"/>
  <c r="CM456" i="15" s="1"/>
  <c r="BM950" i="15"/>
  <c r="BL950" i="15"/>
  <c r="BN950" i="15" s="1"/>
  <c r="CC458" i="15"/>
  <c r="CB458" i="15"/>
  <c r="CD458" i="15" s="1"/>
  <c r="BU704" i="15"/>
  <c r="BT704" i="15"/>
  <c r="BV704" i="15" s="1"/>
  <c r="J167" i="7"/>
  <c r="K167" i="7"/>
  <c r="CC459" i="15" l="1"/>
  <c r="CB459" i="15"/>
  <c r="CD459" i="15" s="1"/>
  <c r="CL457" i="15"/>
  <c r="CK457" i="15"/>
  <c r="CM457" i="15" s="1"/>
  <c r="BY582" i="15"/>
  <c r="BX582" i="15"/>
  <c r="BZ582" i="15" s="1"/>
  <c r="BQ828" i="15"/>
  <c r="BP828" i="15"/>
  <c r="BR828" i="15" s="1"/>
  <c r="BU705" i="15"/>
  <c r="BT705" i="15"/>
  <c r="BV705" i="15" s="1"/>
  <c r="BM951" i="15"/>
  <c r="BL951" i="15"/>
  <c r="BN951" i="15" s="1"/>
  <c r="CH458" i="15"/>
  <c r="CG458" i="15"/>
  <c r="CI458" i="15" s="1"/>
  <c r="L167" i="7"/>
  <c r="BM952" i="15" l="1"/>
  <c r="BL952" i="15"/>
  <c r="BN952" i="15" s="1"/>
  <c r="BQ829" i="15"/>
  <c r="BP829" i="15"/>
  <c r="BR829" i="15" s="1"/>
  <c r="BY583" i="15"/>
  <c r="BX583" i="15"/>
  <c r="BZ583" i="15" s="1"/>
  <c r="CC460" i="15"/>
  <c r="CB460" i="15"/>
  <c r="CD460" i="15" s="1"/>
  <c r="CH459" i="15"/>
  <c r="CG459" i="15"/>
  <c r="CI459" i="15" s="1"/>
  <c r="BU706" i="15"/>
  <c r="BT706" i="15"/>
  <c r="BV706" i="15" s="1"/>
  <c r="CL458" i="15"/>
  <c r="CK458" i="15"/>
  <c r="CM458" i="15" s="1"/>
  <c r="J168" i="7"/>
  <c r="K168" i="7"/>
  <c r="BU707" i="15" l="1"/>
  <c r="BT707" i="15"/>
  <c r="BV707" i="15" s="1"/>
  <c r="CC461" i="15"/>
  <c r="CB461" i="15"/>
  <c r="CD461" i="15" s="1"/>
  <c r="BY584" i="15"/>
  <c r="BX584" i="15"/>
  <c r="BZ584" i="15" s="1"/>
  <c r="BM953" i="15"/>
  <c r="BL953" i="15"/>
  <c r="BN953" i="15" s="1"/>
  <c r="CL459" i="15"/>
  <c r="CK459" i="15"/>
  <c r="CM459" i="15" s="1"/>
  <c r="CH460" i="15"/>
  <c r="CG460" i="15"/>
  <c r="CI460" i="15" s="1"/>
  <c r="BQ830" i="15"/>
  <c r="BP830" i="15"/>
  <c r="BR830" i="15" s="1"/>
  <c r="L168" i="7"/>
  <c r="CH461" i="15" l="1"/>
  <c r="CG461" i="15"/>
  <c r="CI461" i="15" s="1"/>
  <c r="BM954" i="15"/>
  <c r="BL954" i="15"/>
  <c r="BN954" i="15" s="1"/>
  <c r="BY585" i="15"/>
  <c r="BX585" i="15"/>
  <c r="BZ585" i="15" s="1"/>
  <c r="BU708" i="15"/>
  <c r="BT708" i="15"/>
  <c r="BV708" i="15" s="1"/>
  <c r="BQ831" i="15"/>
  <c r="BP831" i="15"/>
  <c r="BR831" i="15" s="1"/>
  <c r="CL460" i="15"/>
  <c r="CK460" i="15"/>
  <c r="CM460" i="15" s="1"/>
  <c r="CC462" i="15"/>
  <c r="CB462" i="15"/>
  <c r="CD462" i="15" s="1"/>
  <c r="J169" i="7"/>
  <c r="K169" i="7"/>
  <c r="CC463" i="15" l="1"/>
  <c r="CB463" i="15"/>
  <c r="CD463" i="15" s="1"/>
  <c r="BQ832" i="15"/>
  <c r="BP832" i="15"/>
  <c r="BR832" i="15" s="1"/>
  <c r="BM955" i="15"/>
  <c r="BL955" i="15"/>
  <c r="BN955" i="15" s="1"/>
  <c r="CL461" i="15"/>
  <c r="CK461" i="15"/>
  <c r="CM461" i="15" s="1"/>
  <c r="BU709" i="15"/>
  <c r="BT709" i="15"/>
  <c r="BV709" i="15" s="1"/>
  <c r="BY586" i="15"/>
  <c r="BX586" i="15"/>
  <c r="BZ586" i="15" s="1"/>
  <c r="CH462" i="15"/>
  <c r="CG462" i="15"/>
  <c r="CI462" i="15" s="1"/>
  <c r="L169" i="7"/>
  <c r="BY587" i="15" l="1"/>
  <c r="BX587" i="15"/>
  <c r="BZ587" i="15" s="1"/>
  <c r="CL462" i="15"/>
  <c r="CK462" i="15"/>
  <c r="CM462" i="15" s="1"/>
  <c r="BM956" i="15"/>
  <c r="BL956" i="15"/>
  <c r="BN956" i="15" s="1"/>
  <c r="CC464" i="15"/>
  <c r="CB464" i="15"/>
  <c r="CD464" i="15" s="1"/>
  <c r="CH463" i="15"/>
  <c r="CG463" i="15"/>
  <c r="CI463" i="15" s="1"/>
  <c r="BU710" i="15"/>
  <c r="BT710" i="15"/>
  <c r="BV710" i="15" s="1"/>
  <c r="BQ833" i="15"/>
  <c r="BP833" i="15"/>
  <c r="BR833" i="15" s="1"/>
  <c r="J170" i="7"/>
  <c r="K170" i="7"/>
  <c r="BU711" i="15" l="1"/>
  <c r="BT711" i="15"/>
  <c r="BV711" i="15" s="1"/>
  <c r="CC465" i="15"/>
  <c r="CB465" i="15"/>
  <c r="CD465" i="15" s="1"/>
  <c r="BM957" i="15"/>
  <c r="BL957" i="15"/>
  <c r="BN957" i="15" s="1"/>
  <c r="BY588" i="15"/>
  <c r="BX588" i="15"/>
  <c r="BZ588" i="15" s="1"/>
  <c r="BQ834" i="15"/>
  <c r="BP834" i="15"/>
  <c r="BR834" i="15" s="1"/>
  <c r="CH464" i="15"/>
  <c r="CG464" i="15"/>
  <c r="CI464" i="15" s="1"/>
  <c r="CL463" i="15"/>
  <c r="CK463" i="15"/>
  <c r="CM463" i="15" s="1"/>
  <c r="L170" i="7"/>
  <c r="CH465" i="15" l="1"/>
  <c r="CG465" i="15"/>
  <c r="CI465" i="15" s="1"/>
  <c r="BY589" i="15"/>
  <c r="BX589" i="15"/>
  <c r="BZ589" i="15" s="1"/>
  <c r="BM958" i="15"/>
  <c r="BL958" i="15"/>
  <c r="BN958" i="15" s="1"/>
  <c r="BU712" i="15"/>
  <c r="BT712" i="15"/>
  <c r="BV712" i="15" s="1"/>
  <c r="CL464" i="15"/>
  <c r="CK464" i="15"/>
  <c r="CM464" i="15" s="1"/>
  <c r="BQ835" i="15"/>
  <c r="BP835" i="15"/>
  <c r="BR835" i="15" s="1"/>
  <c r="CC466" i="15"/>
  <c r="CB466" i="15"/>
  <c r="CD466" i="15" s="1"/>
  <c r="J171" i="7"/>
  <c r="K171" i="7"/>
  <c r="BQ836" i="15" l="1"/>
  <c r="BP836" i="15"/>
  <c r="BR836" i="15" s="1"/>
  <c r="CL465" i="15"/>
  <c r="CK465" i="15"/>
  <c r="CM465" i="15" s="1"/>
  <c r="BM959" i="15"/>
  <c r="BL959" i="15"/>
  <c r="BN959" i="15" s="1"/>
  <c r="CH466" i="15"/>
  <c r="CG466" i="15"/>
  <c r="CI466" i="15" s="1"/>
  <c r="CC467" i="15"/>
  <c r="CB467" i="15"/>
  <c r="CD467" i="15" s="1"/>
  <c r="BU713" i="15"/>
  <c r="BT713" i="15"/>
  <c r="BV713" i="15" s="1"/>
  <c r="BY590" i="15"/>
  <c r="BX590" i="15"/>
  <c r="BZ590" i="15" s="1"/>
  <c r="L171" i="7"/>
  <c r="BY591" i="15" l="1"/>
  <c r="BX591" i="15"/>
  <c r="BZ591" i="15" s="1"/>
  <c r="CC468" i="15"/>
  <c r="CB468" i="15"/>
  <c r="CD468" i="15" s="1"/>
  <c r="BM960" i="15"/>
  <c r="BL960" i="15"/>
  <c r="BN960" i="15" s="1"/>
  <c r="BQ837" i="15"/>
  <c r="BP837" i="15"/>
  <c r="BR837" i="15" s="1"/>
  <c r="BU714" i="15"/>
  <c r="BT714" i="15"/>
  <c r="BV714" i="15" s="1"/>
  <c r="CH467" i="15"/>
  <c r="CG467" i="15"/>
  <c r="CI467" i="15" s="1"/>
  <c r="CL466" i="15"/>
  <c r="CK466" i="15"/>
  <c r="CM466" i="15" s="1"/>
  <c r="J172" i="7"/>
  <c r="K172" i="7"/>
  <c r="CH468" i="15" l="1"/>
  <c r="CG468" i="15"/>
  <c r="CI468" i="15" s="1"/>
  <c r="BQ838" i="15"/>
  <c r="BP838" i="15"/>
  <c r="BR838" i="15" s="1"/>
  <c r="BM961" i="15"/>
  <c r="BL961" i="15"/>
  <c r="BN961" i="15" s="1"/>
  <c r="BY592" i="15"/>
  <c r="BX592" i="15"/>
  <c r="BZ592" i="15" s="1"/>
  <c r="CL467" i="15"/>
  <c r="CK467" i="15"/>
  <c r="CM467" i="15" s="1"/>
  <c r="BU715" i="15"/>
  <c r="BT715" i="15"/>
  <c r="BV715" i="15" s="1"/>
  <c r="CC469" i="15"/>
  <c r="CB469" i="15"/>
  <c r="CD469" i="15" s="1"/>
  <c r="L172" i="7"/>
  <c r="BU716" i="15" l="1"/>
  <c r="BT716" i="15"/>
  <c r="BV716" i="15" s="1"/>
  <c r="CL468" i="15"/>
  <c r="CK468" i="15"/>
  <c r="CM468" i="15" s="1"/>
  <c r="BM962" i="15"/>
  <c r="BL962" i="15"/>
  <c r="BN962" i="15" s="1"/>
  <c r="CH469" i="15"/>
  <c r="CG469" i="15"/>
  <c r="CI469" i="15" s="1"/>
  <c r="CC470" i="15"/>
  <c r="CB470" i="15"/>
  <c r="CD470" i="15" s="1"/>
  <c r="BY593" i="15"/>
  <c r="BX593" i="15"/>
  <c r="BZ593" i="15" s="1"/>
  <c r="BQ839" i="15"/>
  <c r="BP839" i="15"/>
  <c r="BR839" i="15" s="1"/>
  <c r="J173" i="7"/>
  <c r="K173" i="7"/>
  <c r="BQ840" i="15" l="1"/>
  <c r="BP840" i="15"/>
  <c r="BR840" i="15" s="1"/>
  <c r="CC471" i="15"/>
  <c r="CB471" i="15"/>
  <c r="CD471" i="15" s="1"/>
  <c r="BM963" i="15"/>
  <c r="BL963" i="15"/>
  <c r="BN963" i="15" s="1"/>
  <c r="BU717" i="15"/>
  <c r="BT717" i="15"/>
  <c r="BV717" i="15" s="1"/>
  <c r="BY594" i="15"/>
  <c r="BX594" i="15"/>
  <c r="BZ594" i="15" s="1"/>
  <c r="CH470" i="15"/>
  <c r="CG470" i="15"/>
  <c r="CI470" i="15" s="1"/>
  <c r="CL469" i="15"/>
  <c r="CK469" i="15"/>
  <c r="CM469" i="15" s="1"/>
  <c r="L173" i="7"/>
  <c r="CH471" i="15" l="1"/>
  <c r="CG471" i="15"/>
  <c r="CI471" i="15" s="1"/>
  <c r="BY595" i="15"/>
  <c r="BX595" i="15"/>
  <c r="BZ595" i="15" s="1"/>
  <c r="BM964" i="15"/>
  <c r="BL964" i="15"/>
  <c r="BN964" i="15" s="1"/>
  <c r="BQ841" i="15"/>
  <c r="BP841" i="15"/>
  <c r="BR841" i="15" s="1"/>
  <c r="CL470" i="15"/>
  <c r="CK470" i="15"/>
  <c r="CM470" i="15" s="1"/>
  <c r="BU718" i="15"/>
  <c r="BT718" i="15"/>
  <c r="BV718" i="15" s="1"/>
  <c r="CC472" i="15"/>
  <c r="CB472" i="15"/>
  <c r="CD472" i="15" s="1"/>
  <c r="J174" i="7"/>
  <c r="K174" i="7"/>
  <c r="BU719" i="15" l="1"/>
  <c r="BT719" i="15"/>
  <c r="BV719" i="15" s="1"/>
  <c r="BQ842" i="15"/>
  <c r="BP842" i="15"/>
  <c r="BR842" i="15" s="1"/>
  <c r="BM965" i="15"/>
  <c r="BL965" i="15"/>
  <c r="BN965" i="15" s="1"/>
  <c r="CH472" i="15"/>
  <c r="CG472" i="15"/>
  <c r="CI472" i="15" s="1"/>
  <c r="CC473" i="15"/>
  <c r="CB473" i="15"/>
  <c r="CD473" i="15" s="1"/>
  <c r="CL471" i="15"/>
  <c r="CK471" i="15"/>
  <c r="CM471" i="15" s="1"/>
  <c r="BY596" i="15"/>
  <c r="BX596" i="15"/>
  <c r="BZ596" i="15" s="1"/>
  <c r="L174" i="7"/>
  <c r="CL472" i="15" l="1"/>
  <c r="CK472" i="15"/>
  <c r="CM472" i="15" s="1"/>
  <c r="CH473" i="15"/>
  <c r="CG473" i="15"/>
  <c r="CI473" i="15" s="1"/>
  <c r="BM966" i="15"/>
  <c r="BL966" i="15"/>
  <c r="BN966" i="15" s="1"/>
  <c r="BU720" i="15"/>
  <c r="BT720" i="15"/>
  <c r="BV720" i="15" s="1"/>
  <c r="BY597" i="15"/>
  <c r="BX597" i="15"/>
  <c r="BZ597" i="15" s="1"/>
  <c r="CC474" i="15"/>
  <c r="CB474" i="15"/>
  <c r="CD474" i="15" s="1"/>
  <c r="BQ843" i="15"/>
  <c r="BP843" i="15"/>
  <c r="BR843" i="15" s="1"/>
  <c r="J175" i="7"/>
  <c r="K175" i="7"/>
  <c r="CC475" i="15" l="1"/>
  <c r="CB475" i="15"/>
  <c r="CD475" i="15" s="1"/>
  <c r="BU721" i="15"/>
  <c r="BT721" i="15"/>
  <c r="BV721" i="15" s="1"/>
  <c r="BM967" i="15"/>
  <c r="BL967" i="15"/>
  <c r="BN967" i="15" s="1"/>
  <c r="CL473" i="15"/>
  <c r="CK473" i="15"/>
  <c r="CM473" i="15" s="1"/>
  <c r="BQ844" i="15"/>
  <c r="BP844" i="15"/>
  <c r="BR844" i="15" s="1"/>
  <c r="BY598" i="15"/>
  <c r="BX598" i="15"/>
  <c r="BZ598" i="15" s="1"/>
  <c r="CH474" i="15"/>
  <c r="CG474" i="15"/>
  <c r="CI474" i="15" s="1"/>
  <c r="L175" i="7"/>
  <c r="BY599" i="15" l="1"/>
  <c r="BX599" i="15"/>
  <c r="BZ599" i="15" s="1"/>
  <c r="CL474" i="15"/>
  <c r="CK474" i="15"/>
  <c r="CM474" i="15" s="1"/>
  <c r="BM968" i="15"/>
  <c r="BL968" i="15"/>
  <c r="BN968" i="15" s="1"/>
  <c r="CC476" i="15"/>
  <c r="CB476" i="15"/>
  <c r="CD476" i="15" s="1"/>
  <c r="CH475" i="15"/>
  <c r="CG475" i="15"/>
  <c r="CI475" i="15" s="1"/>
  <c r="BQ845" i="15"/>
  <c r="BP845" i="15"/>
  <c r="BR845" i="15" s="1"/>
  <c r="BU722" i="15"/>
  <c r="BT722" i="15"/>
  <c r="BV722" i="15" s="1"/>
  <c r="J176" i="7"/>
  <c r="K176" i="7"/>
  <c r="BQ846" i="15" l="1"/>
  <c r="BP846" i="15"/>
  <c r="BR846" i="15" s="1"/>
  <c r="CC477" i="15"/>
  <c r="CB477" i="15"/>
  <c r="CD477" i="15" s="1"/>
  <c r="BM969" i="15"/>
  <c r="BL969" i="15"/>
  <c r="BN969" i="15" s="1"/>
  <c r="BY600" i="15"/>
  <c r="BX600" i="15"/>
  <c r="BZ600" i="15" s="1"/>
  <c r="BU723" i="15"/>
  <c r="BT723" i="15"/>
  <c r="BV723" i="15" s="1"/>
  <c r="CH476" i="15"/>
  <c r="CG476" i="15"/>
  <c r="CI476" i="15" s="1"/>
  <c r="CL475" i="15"/>
  <c r="CK475" i="15"/>
  <c r="CM475" i="15" s="1"/>
  <c r="L176" i="7"/>
  <c r="CH477" i="15" l="1"/>
  <c r="CG477" i="15"/>
  <c r="CI477" i="15" s="1"/>
  <c r="BY601" i="15"/>
  <c r="BX601" i="15"/>
  <c r="BZ601" i="15" s="1"/>
  <c r="BM970" i="15"/>
  <c r="BL970" i="15"/>
  <c r="BN970" i="15" s="1"/>
  <c r="BQ847" i="15"/>
  <c r="BP847" i="15"/>
  <c r="BR847" i="15" s="1"/>
  <c r="CL476" i="15"/>
  <c r="CK476" i="15"/>
  <c r="CM476" i="15" s="1"/>
  <c r="BU724" i="15"/>
  <c r="BT724" i="15"/>
  <c r="BV724" i="15" s="1"/>
  <c r="CC478" i="15"/>
  <c r="CB478" i="15"/>
  <c r="CD478" i="15" s="1"/>
  <c r="J177" i="7"/>
  <c r="K177" i="7"/>
  <c r="BU725" i="15" l="1"/>
  <c r="BT725" i="15"/>
  <c r="BV725" i="15" s="1"/>
  <c r="CL477" i="15"/>
  <c r="CK477" i="15"/>
  <c r="CM477" i="15" s="1"/>
  <c r="BM971" i="15"/>
  <c r="BL971" i="15"/>
  <c r="BN971" i="15" s="1"/>
  <c r="CH478" i="15"/>
  <c r="CG478" i="15"/>
  <c r="CI478" i="15" s="1"/>
  <c r="CC479" i="15"/>
  <c r="CB479" i="15"/>
  <c r="CD479" i="15" s="1"/>
  <c r="BQ848" i="15"/>
  <c r="BP848" i="15"/>
  <c r="BR848" i="15" s="1"/>
  <c r="BY602" i="15"/>
  <c r="BX602" i="15"/>
  <c r="BZ602" i="15" s="1"/>
  <c r="L177" i="7"/>
  <c r="BQ849" i="15" l="1"/>
  <c r="BP849" i="15"/>
  <c r="BR849" i="15" s="1"/>
  <c r="CH479" i="15"/>
  <c r="CG479" i="15"/>
  <c r="CI479" i="15" s="1"/>
  <c r="BM972" i="15"/>
  <c r="BL972" i="15"/>
  <c r="BN972" i="15" s="1"/>
  <c r="BU726" i="15"/>
  <c r="BT726" i="15"/>
  <c r="BV726" i="15" s="1"/>
  <c r="BY603" i="15"/>
  <c r="BX603" i="15"/>
  <c r="BZ603" i="15" s="1"/>
  <c r="CC480" i="15"/>
  <c r="CB480" i="15"/>
  <c r="CD480" i="15" s="1"/>
  <c r="CL478" i="15"/>
  <c r="CK478" i="15"/>
  <c r="CM478" i="15" s="1"/>
  <c r="J178" i="7"/>
  <c r="K178" i="7"/>
  <c r="CC481" i="15" l="1"/>
  <c r="CB481" i="15"/>
  <c r="CD481" i="15" s="1"/>
  <c r="BY604" i="15"/>
  <c r="BX604" i="15"/>
  <c r="BZ604" i="15" s="1"/>
  <c r="BM973" i="15"/>
  <c r="BL973" i="15"/>
  <c r="BN973" i="15" s="1"/>
  <c r="BQ850" i="15"/>
  <c r="BP850" i="15"/>
  <c r="BR850" i="15" s="1"/>
  <c r="CL479" i="15"/>
  <c r="CK479" i="15"/>
  <c r="CM479" i="15" s="1"/>
  <c r="BU727" i="15"/>
  <c r="BT727" i="15"/>
  <c r="BV727" i="15" s="1"/>
  <c r="CH480" i="15"/>
  <c r="CG480" i="15"/>
  <c r="CI480" i="15" s="1"/>
  <c r="L178" i="7"/>
  <c r="BU728" i="15" l="1"/>
  <c r="BT728" i="15"/>
  <c r="BV728" i="15" s="1"/>
  <c r="CL480" i="15"/>
  <c r="CK480" i="15"/>
  <c r="CM480" i="15" s="1"/>
  <c r="BM974" i="15"/>
  <c r="BL974" i="15"/>
  <c r="BN974" i="15" s="1"/>
  <c r="CC482" i="15"/>
  <c r="CB482" i="15"/>
  <c r="CD482" i="15" s="1"/>
  <c r="CH481" i="15"/>
  <c r="CG481" i="15"/>
  <c r="CI481" i="15" s="1"/>
  <c r="BQ851" i="15"/>
  <c r="BP851" i="15"/>
  <c r="BR851" i="15" s="1"/>
  <c r="BY605" i="15"/>
  <c r="BX605" i="15"/>
  <c r="BZ605" i="15" s="1"/>
  <c r="J179" i="7"/>
  <c r="K179" i="7"/>
  <c r="BY606" i="15" l="1"/>
  <c r="BX606" i="15"/>
  <c r="BZ606" i="15" s="1"/>
  <c r="CH482" i="15"/>
  <c r="CG482" i="15"/>
  <c r="CI482" i="15" s="1"/>
  <c r="BM975" i="15"/>
  <c r="BL975" i="15"/>
  <c r="BN975" i="15" s="1"/>
  <c r="BU729" i="15"/>
  <c r="BT729" i="15"/>
  <c r="BV729" i="15" s="1"/>
  <c r="BQ852" i="15"/>
  <c r="BP852" i="15"/>
  <c r="BR852" i="15" s="1"/>
  <c r="CC483" i="15"/>
  <c r="CB483" i="15"/>
  <c r="CD483" i="15" s="1"/>
  <c r="CL481" i="15"/>
  <c r="CK481" i="15"/>
  <c r="CM481" i="15" s="1"/>
  <c r="L179" i="7"/>
  <c r="CL482" i="15" l="1"/>
  <c r="CK482" i="15"/>
  <c r="CM482" i="15" s="1"/>
  <c r="BQ853" i="15"/>
  <c r="BP853" i="15"/>
  <c r="BR853" i="15" s="1"/>
  <c r="BM976" i="15"/>
  <c r="BL976" i="15"/>
  <c r="BN976" i="15" s="1"/>
  <c r="BY607" i="15"/>
  <c r="BX607" i="15"/>
  <c r="BZ607" i="15" s="1"/>
  <c r="CC484" i="15"/>
  <c r="CB484" i="15"/>
  <c r="CD484" i="15" s="1"/>
  <c r="BU730" i="15"/>
  <c r="BT730" i="15"/>
  <c r="BV730" i="15" s="1"/>
  <c r="CH483" i="15"/>
  <c r="CG483" i="15"/>
  <c r="CI483" i="15" s="1"/>
  <c r="J180" i="7"/>
  <c r="K180" i="7"/>
  <c r="BU731" i="15" l="1"/>
  <c r="BT731" i="15"/>
  <c r="BV731" i="15" s="1"/>
  <c r="BY608" i="15"/>
  <c r="BX608" i="15"/>
  <c r="BZ608" i="15" s="1"/>
  <c r="BM977" i="15"/>
  <c r="BL977" i="15"/>
  <c r="BN977" i="15" s="1"/>
  <c r="CL483" i="15"/>
  <c r="CK483" i="15"/>
  <c r="CM483" i="15" s="1"/>
  <c r="CH484" i="15"/>
  <c r="CG484" i="15"/>
  <c r="CI484" i="15" s="1"/>
  <c r="CC485" i="15"/>
  <c r="CB485" i="15"/>
  <c r="CD485" i="15" s="1"/>
  <c r="BQ854" i="15"/>
  <c r="BP854" i="15"/>
  <c r="BR854" i="15" s="1"/>
  <c r="L180" i="7"/>
  <c r="BQ855" i="15" l="1"/>
  <c r="BP855" i="15"/>
  <c r="BR855" i="15" s="1"/>
  <c r="CH485" i="15"/>
  <c r="CG485" i="15"/>
  <c r="CI485" i="15" s="1"/>
  <c r="BM978" i="15"/>
  <c r="BL978" i="15"/>
  <c r="BN978" i="15" s="1"/>
  <c r="BU732" i="15"/>
  <c r="BT732" i="15"/>
  <c r="BV732" i="15" s="1"/>
  <c r="CC486" i="15"/>
  <c r="CB486" i="15"/>
  <c r="CD486" i="15" s="1"/>
  <c r="CL484" i="15"/>
  <c r="CK484" i="15"/>
  <c r="CM484" i="15" s="1"/>
  <c r="BY609" i="15"/>
  <c r="BX609" i="15"/>
  <c r="BZ609" i="15" s="1"/>
  <c r="J181" i="7"/>
  <c r="K181" i="7"/>
  <c r="CL485" i="15" l="1"/>
  <c r="CK485" i="15"/>
  <c r="CM485" i="15" s="1"/>
  <c r="BU733" i="15"/>
  <c r="BT733" i="15"/>
  <c r="BV733" i="15" s="1"/>
  <c r="BM979" i="15"/>
  <c r="BL979" i="15"/>
  <c r="BN979" i="15" s="1"/>
  <c r="BQ856" i="15"/>
  <c r="BP856" i="15"/>
  <c r="BR856" i="15" s="1"/>
  <c r="BY610" i="15"/>
  <c r="BX610" i="15"/>
  <c r="BZ610" i="15" s="1"/>
  <c r="CC487" i="15"/>
  <c r="CB487" i="15"/>
  <c r="CD487" i="15" s="1"/>
  <c r="CH486" i="15"/>
  <c r="CG486" i="15"/>
  <c r="CI486" i="15" s="1"/>
  <c r="L181" i="7"/>
  <c r="CC488" i="15" l="1"/>
  <c r="CB488" i="15"/>
  <c r="CD488" i="15" s="1"/>
  <c r="BQ857" i="15"/>
  <c r="BP857" i="15"/>
  <c r="BR857" i="15" s="1"/>
  <c r="BM980" i="15"/>
  <c r="BL980" i="15"/>
  <c r="BN980" i="15" s="1"/>
  <c r="CL486" i="15"/>
  <c r="CK486" i="15"/>
  <c r="CM486" i="15" s="1"/>
  <c r="CH487" i="15"/>
  <c r="CG487" i="15"/>
  <c r="CI487" i="15" s="1"/>
  <c r="BY611" i="15"/>
  <c r="BX611" i="15"/>
  <c r="BZ611" i="15" s="1"/>
  <c r="BU734" i="15"/>
  <c r="BT734" i="15"/>
  <c r="BV734" i="15" s="1"/>
  <c r="J182" i="7"/>
  <c r="K182" i="7"/>
  <c r="BY612" i="15" l="1"/>
  <c r="BX612" i="15"/>
  <c r="BZ612" i="15" s="1"/>
  <c r="CL487" i="15"/>
  <c r="CK487" i="15"/>
  <c r="CM487" i="15" s="1"/>
  <c r="BM981" i="15"/>
  <c r="BL981" i="15"/>
  <c r="BN981" i="15" s="1"/>
  <c r="CC489" i="15"/>
  <c r="CB489" i="15"/>
  <c r="CD489" i="15" s="1"/>
  <c r="BU735" i="15"/>
  <c r="BT735" i="15"/>
  <c r="BV735" i="15" s="1"/>
  <c r="CH488" i="15"/>
  <c r="CG488" i="15"/>
  <c r="CI488" i="15" s="1"/>
  <c r="BQ858" i="15"/>
  <c r="BP858" i="15"/>
  <c r="BR858" i="15" s="1"/>
  <c r="L182" i="7"/>
  <c r="CH489" i="15" l="1"/>
  <c r="CG489" i="15"/>
  <c r="CI489" i="15" s="1"/>
  <c r="CC490" i="15"/>
  <c r="CB490" i="15"/>
  <c r="CD490" i="15" s="1"/>
  <c r="BM982" i="15"/>
  <c r="BL982" i="15"/>
  <c r="BN982" i="15" s="1"/>
  <c r="BY613" i="15"/>
  <c r="BX613" i="15"/>
  <c r="BZ613" i="15" s="1"/>
  <c r="BQ859" i="15"/>
  <c r="BP859" i="15"/>
  <c r="BR859" i="15" s="1"/>
  <c r="BU736" i="15"/>
  <c r="BT736" i="15"/>
  <c r="BV736" i="15" s="1"/>
  <c r="CL488" i="15"/>
  <c r="CK488" i="15"/>
  <c r="CM488" i="15" s="1"/>
  <c r="J183" i="7"/>
  <c r="K183" i="7"/>
  <c r="BU737" i="15" l="1"/>
  <c r="BT737" i="15"/>
  <c r="BV737" i="15" s="1"/>
  <c r="BY614" i="15"/>
  <c r="BX614" i="15"/>
  <c r="BZ614" i="15" s="1"/>
  <c r="BM983" i="15"/>
  <c r="BL983" i="15"/>
  <c r="BN983" i="15" s="1"/>
  <c r="CH490" i="15"/>
  <c r="CG490" i="15"/>
  <c r="CI490" i="15" s="1"/>
  <c r="CL489" i="15"/>
  <c r="CK489" i="15"/>
  <c r="CM489" i="15" s="1"/>
  <c r="BQ860" i="15"/>
  <c r="BP860" i="15"/>
  <c r="BR860" i="15" s="1"/>
  <c r="CC491" i="15"/>
  <c r="CB491" i="15"/>
  <c r="CD491" i="15" s="1"/>
  <c r="J430" i="7"/>
  <c r="L183" i="7"/>
  <c r="B38" i="7"/>
  <c r="C38" i="7" s="1"/>
  <c r="BQ861" i="15" l="1"/>
  <c r="BP861" i="15"/>
  <c r="BR861" i="15" s="1"/>
  <c r="CH491" i="15"/>
  <c r="CG491" i="15"/>
  <c r="CI491" i="15" s="1"/>
  <c r="BM984" i="15"/>
  <c r="BL984" i="15"/>
  <c r="BN984" i="15" s="1"/>
  <c r="BU738" i="15"/>
  <c r="BT738" i="15"/>
  <c r="BV738" i="15" s="1"/>
  <c r="CC492" i="15"/>
  <c r="CB492" i="15"/>
  <c r="CD492" i="15" s="1"/>
  <c r="CL490" i="15"/>
  <c r="CK490" i="15"/>
  <c r="CM490" i="15" s="1"/>
  <c r="BY615" i="15"/>
  <c r="BX615" i="15"/>
  <c r="BZ615" i="15" s="1"/>
  <c r="J441" i="7"/>
  <c r="K430" i="7"/>
  <c r="J184" i="7"/>
  <c r="K184" i="7"/>
  <c r="CL491" i="15" l="1"/>
  <c r="CK491" i="15"/>
  <c r="CM491" i="15" s="1"/>
  <c r="BU739" i="15"/>
  <c r="BT739" i="15"/>
  <c r="BV739" i="15" s="1"/>
  <c r="BM985" i="15"/>
  <c r="BL985" i="15"/>
  <c r="BN985" i="15" s="1"/>
  <c r="BQ862" i="15"/>
  <c r="BP862" i="15"/>
  <c r="BR862" i="15" s="1"/>
  <c r="BY616" i="15"/>
  <c r="BX616" i="15"/>
  <c r="BZ616" i="15" s="1"/>
  <c r="CC493" i="15"/>
  <c r="CB493" i="15"/>
  <c r="CD493" i="15" s="1"/>
  <c r="CH492" i="15"/>
  <c r="CG492" i="15"/>
  <c r="CI492" i="15" s="1"/>
  <c r="L184" i="7"/>
  <c r="K441" i="7"/>
  <c r="D13" i="18" s="1"/>
  <c r="C13" i="18"/>
  <c r="CH493" i="15" l="1"/>
  <c r="CG493" i="15"/>
  <c r="CI493" i="15" s="1"/>
  <c r="CC494" i="15"/>
  <c r="CB494" i="15"/>
  <c r="CD494" i="15" s="1"/>
  <c r="BQ863" i="15"/>
  <c r="BP863" i="15"/>
  <c r="BR863" i="15" s="1"/>
  <c r="BM986" i="15"/>
  <c r="BL986" i="15"/>
  <c r="BN986" i="15" s="1"/>
  <c r="CL492" i="15"/>
  <c r="CK492" i="15"/>
  <c r="CM492" i="15" s="1"/>
  <c r="BY617" i="15"/>
  <c r="BX617" i="15"/>
  <c r="BZ617" i="15" s="1"/>
  <c r="BU740" i="15"/>
  <c r="BT740" i="15"/>
  <c r="BV740" i="15" s="1"/>
  <c r="J185" i="7"/>
  <c r="K185" i="7"/>
  <c r="BY618" i="15" l="1"/>
  <c r="BX618" i="15"/>
  <c r="BZ618" i="15" s="1"/>
  <c r="BM987" i="15"/>
  <c r="BL987" i="15"/>
  <c r="BN987" i="15" s="1"/>
  <c r="BQ864" i="15"/>
  <c r="BP864" i="15"/>
  <c r="BR864" i="15" s="1"/>
  <c r="CH494" i="15"/>
  <c r="CG494" i="15"/>
  <c r="CI494" i="15" s="1"/>
  <c r="BU741" i="15"/>
  <c r="BT741" i="15"/>
  <c r="BV741" i="15" s="1"/>
  <c r="CL493" i="15"/>
  <c r="CK493" i="15"/>
  <c r="CM493" i="15" s="1"/>
  <c r="CC495" i="15"/>
  <c r="CB495" i="15"/>
  <c r="CD495" i="15" s="1"/>
  <c r="L185" i="7"/>
  <c r="CL494" i="15" l="1"/>
  <c r="CK494" i="15"/>
  <c r="CM494" i="15" s="1"/>
  <c r="BU742" i="15"/>
  <c r="BT742" i="15"/>
  <c r="BV742" i="15" s="1"/>
  <c r="BQ865" i="15"/>
  <c r="BP865" i="15"/>
  <c r="BR865" i="15" s="1"/>
  <c r="BY619" i="15"/>
  <c r="BX619" i="15"/>
  <c r="BZ619" i="15" s="1"/>
  <c r="CC496" i="15"/>
  <c r="CB496" i="15"/>
  <c r="CD496" i="15" s="1"/>
  <c r="CH495" i="15"/>
  <c r="CG495" i="15"/>
  <c r="CI495" i="15" s="1"/>
  <c r="BM988" i="15"/>
  <c r="BL988" i="15"/>
  <c r="BN988" i="15" s="1"/>
  <c r="J186" i="7"/>
  <c r="K186" i="7"/>
  <c r="CH496" i="15" l="1"/>
  <c r="CG496" i="15"/>
  <c r="CI496" i="15" s="1"/>
  <c r="BY620" i="15"/>
  <c r="BX620" i="15"/>
  <c r="BZ620" i="15" s="1"/>
  <c r="BQ866" i="15"/>
  <c r="BP866" i="15"/>
  <c r="BR866" i="15" s="1"/>
  <c r="CL495" i="15"/>
  <c r="CK495" i="15"/>
  <c r="CM495" i="15" s="1"/>
  <c r="BM989" i="15"/>
  <c r="BL989" i="15"/>
  <c r="BN989" i="15" s="1"/>
  <c r="CC497" i="15"/>
  <c r="CB497" i="15"/>
  <c r="CD497" i="15" s="1"/>
  <c r="BU743" i="15"/>
  <c r="BT743" i="15"/>
  <c r="BV743" i="15" s="1"/>
  <c r="L186" i="7"/>
  <c r="CC498" i="15" l="1"/>
  <c r="CB498" i="15"/>
  <c r="CD498" i="15" s="1"/>
  <c r="BM990" i="15"/>
  <c r="BL990" i="15"/>
  <c r="BN990" i="15" s="1"/>
  <c r="BQ867" i="15"/>
  <c r="BP867" i="15"/>
  <c r="BR867" i="15" s="1"/>
  <c r="CH497" i="15"/>
  <c r="CG497" i="15"/>
  <c r="CI497" i="15" s="1"/>
  <c r="BU744" i="15"/>
  <c r="BT744" i="15"/>
  <c r="BV744" i="15" s="1"/>
  <c r="CL496" i="15"/>
  <c r="CK496" i="15"/>
  <c r="CM496" i="15" s="1"/>
  <c r="BY621" i="15"/>
  <c r="BX621" i="15"/>
  <c r="BZ621" i="15" s="1"/>
  <c r="J187" i="7"/>
  <c r="K187" i="7"/>
  <c r="CL497" i="15" l="1"/>
  <c r="CK497" i="15"/>
  <c r="CM497" i="15" s="1"/>
  <c r="CH498" i="15"/>
  <c r="CG498" i="15"/>
  <c r="CI498" i="15" s="1"/>
  <c r="BQ868" i="15"/>
  <c r="BP868" i="15"/>
  <c r="BR868" i="15" s="1"/>
  <c r="CC499" i="15"/>
  <c r="CB499" i="15"/>
  <c r="CD499" i="15" s="1"/>
  <c r="BY622" i="15"/>
  <c r="BX622" i="15"/>
  <c r="BZ622" i="15" s="1"/>
  <c r="BU745" i="15"/>
  <c r="BT745" i="15"/>
  <c r="BV745" i="15" s="1"/>
  <c r="BM991" i="15"/>
  <c r="BL991" i="15"/>
  <c r="BN991" i="15" s="1"/>
  <c r="L187" i="7"/>
  <c r="BM992" i="15" l="1"/>
  <c r="BL992" i="15"/>
  <c r="BN992" i="15" s="1"/>
  <c r="BY623" i="15"/>
  <c r="BX623" i="15"/>
  <c r="BZ623" i="15" s="1"/>
  <c r="BQ869" i="15"/>
  <c r="BP869" i="15"/>
  <c r="BR869" i="15" s="1"/>
  <c r="CL498" i="15"/>
  <c r="CK498" i="15"/>
  <c r="CM498" i="15" s="1"/>
  <c r="BU746" i="15"/>
  <c r="BT746" i="15"/>
  <c r="BV746" i="15" s="1"/>
  <c r="CC500" i="15"/>
  <c r="CB500" i="15"/>
  <c r="CD500" i="15" s="1"/>
  <c r="CH499" i="15"/>
  <c r="CG499" i="15"/>
  <c r="CI499" i="15" s="1"/>
  <c r="J188" i="7"/>
  <c r="K188" i="7"/>
  <c r="CC501" i="15" l="1"/>
  <c r="CB501" i="15"/>
  <c r="CD501" i="15" s="1"/>
  <c r="CL499" i="15"/>
  <c r="CK499" i="15"/>
  <c r="CM499" i="15" s="1"/>
  <c r="BQ870" i="15"/>
  <c r="BP870" i="15"/>
  <c r="BR870" i="15" s="1"/>
  <c r="BM993" i="15"/>
  <c r="BL993" i="15"/>
  <c r="BN993" i="15" s="1"/>
  <c r="CH500" i="15"/>
  <c r="CG500" i="15"/>
  <c r="CI500" i="15" s="1"/>
  <c r="BU747" i="15"/>
  <c r="BT747" i="15"/>
  <c r="BV747" i="15" s="1"/>
  <c r="BY624" i="15"/>
  <c r="BX624" i="15"/>
  <c r="BZ624" i="15" s="1"/>
  <c r="L188" i="7"/>
  <c r="BY625" i="15" l="1"/>
  <c r="BX625" i="15"/>
  <c r="BZ625" i="15" s="1"/>
  <c r="CH501" i="15"/>
  <c r="CG501" i="15"/>
  <c r="CI501" i="15" s="1"/>
  <c r="BQ871" i="15"/>
  <c r="BP871" i="15"/>
  <c r="BR871" i="15" s="1"/>
  <c r="CC502" i="15"/>
  <c r="CB502" i="15"/>
  <c r="CD502" i="15" s="1"/>
  <c r="BU748" i="15"/>
  <c r="BT748" i="15"/>
  <c r="BV748" i="15" s="1"/>
  <c r="BM994" i="15"/>
  <c r="BL994" i="15"/>
  <c r="BN994" i="15" s="1"/>
  <c r="CL500" i="15"/>
  <c r="CK500" i="15"/>
  <c r="CM500" i="15" s="1"/>
  <c r="J189" i="7"/>
  <c r="K189" i="7"/>
  <c r="BM995" i="15" l="1"/>
  <c r="BL995" i="15"/>
  <c r="BN995" i="15" s="1"/>
  <c r="CC503" i="15"/>
  <c r="CB503" i="15"/>
  <c r="CD503" i="15" s="1"/>
  <c r="BQ872" i="15"/>
  <c r="BP872" i="15"/>
  <c r="BR872" i="15" s="1"/>
  <c r="BY626" i="15"/>
  <c r="BX626" i="15"/>
  <c r="BZ626" i="15" s="1"/>
  <c r="CL501" i="15"/>
  <c r="CK501" i="15"/>
  <c r="CM501" i="15" s="1"/>
  <c r="BU749" i="15"/>
  <c r="BT749" i="15"/>
  <c r="BV749" i="15" s="1"/>
  <c r="CH502" i="15"/>
  <c r="CG502" i="15"/>
  <c r="CI502" i="15" s="1"/>
  <c r="L189" i="7"/>
  <c r="CH503" i="15" l="1"/>
  <c r="CG503" i="15"/>
  <c r="CI503" i="15" s="1"/>
  <c r="CL502" i="15"/>
  <c r="CK502" i="15"/>
  <c r="CM502" i="15" s="1"/>
  <c r="BQ873" i="15"/>
  <c r="BP873" i="15"/>
  <c r="BR873" i="15" s="1"/>
  <c r="BM996" i="15"/>
  <c r="BL996" i="15"/>
  <c r="BN996" i="15" s="1"/>
  <c r="BU750" i="15"/>
  <c r="BT750" i="15"/>
  <c r="BV750" i="15" s="1"/>
  <c r="BY627" i="15"/>
  <c r="BX627" i="15"/>
  <c r="BZ627" i="15" s="1"/>
  <c r="CC504" i="15"/>
  <c r="CB504" i="15"/>
  <c r="CD504" i="15" s="1"/>
  <c r="J190" i="7"/>
  <c r="K190" i="7"/>
  <c r="CC505" i="15" l="1"/>
  <c r="CB505" i="15"/>
  <c r="CD505" i="15" s="1"/>
  <c r="BY628" i="15"/>
  <c r="BX628" i="15"/>
  <c r="BZ628" i="15" s="1"/>
  <c r="BU751" i="15"/>
  <c r="BT751" i="15"/>
  <c r="BV751" i="15" s="1"/>
  <c r="BM997" i="15"/>
  <c r="BL997" i="15"/>
  <c r="BN997" i="15" s="1"/>
  <c r="BQ874" i="15"/>
  <c r="BP874" i="15"/>
  <c r="BR874" i="15" s="1"/>
  <c r="CL503" i="15"/>
  <c r="CK503" i="15"/>
  <c r="CM503" i="15" s="1"/>
  <c r="CH504" i="15"/>
  <c r="CG504" i="15"/>
  <c r="CI504" i="15" s="1"/>
  <c r="L190" i="7"/>
  <c r="CH505" i="15" l="1"/>
  <c r="CG505" i="15"/>
  <c r="CI505" i="15" s="1"/>
  <c r="BQ875" i="15"/>
  <c r="BP875" i="15"/>
  <c r="BR875" i="15" s="1"/>
  <c r="BU752" i="15"/>
  <c r="BT752" i="15"/>
  <c r="BV752" i="15" s="1"/>
  <c r="CC506" i="15"/>
  <c r="CB506" i="15"/>
  <c r="CD506" i="15" s="1"/>
  <c r="CL504" i="15"/>
  <c r="CK504" i="15"/>
  <c r="CM504" i="15" s="1"/>
  <c r="BM998" i="15"/>
  <c r="BL998" i="15"/>
  <c r="BN998" i="15" s="1"/>
  <c r="BY629" i="15"/>
  <c r="BX629" i="15"/>
  <c r="BZ629" i="15" s="1"/>
  <c r="J191" i="7"/>
  <c r="K191" i="7"/>
  <c r="BM999" i="15" l="1"/>
  <c r="BL999" i="15"/>
  <c r="BN999" i="15" s="1"/>
  <c r="CC507" i="15"/>
  <c r="CB507" i="15"/>
  <c r="CD507" i="15" s="1"/>
  <c r="BU753" i="15"/>
  <c r="BT753" i="15"/>
  <c r="BV753" i="15" s="1"/>
  <c r="CH506" i="15"/>
  <c r="CG506" i="15"/>
  <c r="CI506" i="15" s="1"/>
  <c r="BY630" i="15"/>
  <c r="BX630" i="15"/>
  <c r="BZ630" i="15" s="1"/>
  <c r="CL505" i="15"/>
  <c r="CK505" i="15"/>
  <c r="CM505" i="15" s="1"/>
  <c r="BQ876" i="15"/>
  <c r="BP876" i="15"/>
  <c r="BR876" i="15" s="1"/>
  <c r="L191" i="7"/>
  <c r="BQ877" i="15" l="1"/>
  <c r="BP877" i="15"/>
  <c r="BR877" i="15" s="1"/>
  <c r="BY631" i="15"/>
  <c r="BX631" i="15"/>
  <c r="BZ631" i="15" s="1"/>
  <c r="BU754" i="15"/>
  <c r="BT754" i="15"/>
  <c r="BV754" i="15" s="1"/>
  <c r="BM1000" i="15"/>
  <c r="BL1000" i="15"/>
  <c r="BN1000" i="15" s="1"/>
  <c r="CL506" i="15"/>
  <c r="CK506" i="15"/>
  <c r="CM506" i="15" s="1"/>
  <c r="CH507" i="15"/>
  <c r="CG507" i="15"/>
  <c r="CI507" i="15" s="1"/>
  <c r="CC508" i="15"/>
  <c r="CB508" i="15"/>
  <c r="CD508" i="15" s="1"/>
  <c r="J192" i="7"/>
  <c r="K192" i="7"/>
  <c r="CH508" i="15" l="1"/>
  <c r="CG508" i="15"/>
  <c r="CI508" i="15" s="1"/>
  <c r="BM1001" i="15"/>
  <c r="BL1001" i="15"/>
  <c r="BN1001" i="15" s="1"/>
  <c r="BU755" i="15"/>
  <c r="BT755" i="15"/>
  <c r="BV755" i="15" s="1"/>
  <c r="BQ878" i="15"/>
  <c r="BP878" i="15"/>
  <c r="BR878" i="15" s="1"/>
  <c r="CC509" i="15"/>
  <c r="CB509" i="15"/>
  <c r="CD509" i="15" s="1"/>
  <c r="CL507" i="15"/>
  <c r="CK507" i="15"/>
  <c r="CM507" i="15" s="1"/>
  <c r="BY632" i="15"/>
  <c r="BX632" i="15"/>
  <c r="BZ632" i="15" s="1"/>
  <c r="L192" i="7"/>
  <c r="CL508" i="15" l="1"/>
  <c r="CK508" i="15"/>
  <c r="CM508" i="15" s="1"/>
  <c r="BQ879" i="15"/>
  <c r="BP879" i="15"/>
  <c r="BR879" i="15" s="1"/>
  <c r="BU756" i="15"/>
  <c r="BT756" i="15"/>
  <c r="BV756" i="15" s="1"/>
  <c r="CH509" i="15"/>
  <c r="CG509" i="15"/>
  <c r="CI509" i="15" s="1"/>
  <c r="BY633" i="15"/>
  <c r="BX633" i="15"/>
  <c r="BZ633" i="15" s="1"/>
  <c r="CC510" i="15"/>
  <c r="CB510" i="15"/>
  <c r="CD510" i="15" s="1"/>
  <c r="BM1002" i="15"/>
  <c r="BL1002" i="15"/>
  <c r="BN1002" i="15" s="1"/>
  <c r="J193" i="7"/>
  <c r="K193" i="7"/>
  <c r="CC511" i="15" l="1"/>
  <c r="CB511" i="15"/>
  <c r="CD511" i="15" s="1"/>
  <c r="CH510" i="15"/>
  <c r="CG510" i="15"/>
  <c r="CI510" i="15" s="1"/>
  <c r="BU757" i="15"/>
  <c r="BT757" i="15"/>
  <c r="BV757" i="15" s="1"/>
  <c r="CL509" i="15"/>
  <c r="CK509" i="15"/>
  <c r="CM509" i="15" s="1"/>
  <c r="BM1003" i="15"/>
  <c r="BL1003" i="15"/>
  <c r="BN1003" i="15" s="1"/>
  <c r="BY634" i="15"/>
  <c r="BX634" i="15"/>
  <c r="BZ634" i="15" s="1"/>
  <c r="BQ880" i="15"/>
  <c r="BP880" i="15"/>
  <c r="BR880" i="15" s="1"/>
  <c r="L193" i="7"/>
  <c r="BY635" i="15" l="1"/>
  <c r="BX635" i="15"/>
  <c r="BZ635" i="15" s="1"/>
  <c r="CL510" i="15"/>
  <c r="CK510" i="15"/>
  <c r="CM510" i="15" s="1"/>
  <c r="BU758" i="15"/>
  <c r="BT758" i="15"/>
  <c r="BV758" i="15" s="1"/>
  <c r="CC512" i="15"/>
  <c r="CB512" i="15"/>
  <c r="CD512" i="15" s="1"/>
  <c r="BQ881" i="15"/>
  <c r="BP881" i="15"/>
  <c r="BR881" i="15" s="1"/>
  <c r="BM1004" i="15"/>
  <c r="BL1004" i="15"/>
  <c r="BN1004" i="15" s="1"/>
  <c r="CH511" i="15"/>
  <c r="CG511" i="15"/>
  <c r="CI511" i="15" s="1"/>
  <c r="J194" i="7"/>
  <c r="K194" i="7"/>
  <c r="BM1005" i="15" l="1"/>
  <c r="BL1005" i="15"/>
  <c r="BN1005" i="15" s="1"/>
  <c r="CC513" i="15"/>
  <c r="CB513" i="15"/>
  <c r="CD513" i="15" s="1"/>
  <c r="BU759" i="15"/>
  <c r="BT759" i="15"/>
  <c r="BV759" i="15" s="1"/>
  <c r="BY636" i="15"/>
  <c r="BX636" i="15"/>
  <c r="BZ636" i="15" s="1"/>
  <c r="CH512" i="15"/>
  <c r="CG512" i="15"/>
  <c r="CI512" i="15" s="1"/>
  <c r="BQ882" i="15"/>
  <c r="BP882" i="15"/>
  <c r="BR882" i="15" s="1"/>
  <c r="CL511" i="15"/>
  <c r="CK511" i="15"/>
  <c r="CM511" i="15" s="1"/>
  <c r="L194" i="7"/>
  <c r="BQ883" i="15" l="1"/>
  <c r="BP883" i="15"/>
  <c r="BR883" i="15" s="1"/>
  <c r="CH513" i="15"/>
  <c r="CG513" i="15"/>
  <c r="CI513" i="15" s="1"/>
  <c r="BU760" i="15"/>
  <c r="BT760" i="15"/>
  <c r="BV760" i="15" s="1"/>
  <c r="BM1006" i="15"/>
  <c r="BL1006" i="15"/>
  <c r="BN1006" i="15" s="1"/>
  <c r="CL512" i="15"/>
  <c r="CK512" i="15"/>
  <c r="CM512" i="15" s="1"/>
  <c r="BY637" i="15"/>
  <c r="BX637" i="15"/>
  <c r="BZ637" i="15" s="1"/>
  <c r="CC514" i="15"/>
  <c r="CB514" i="15"/>
  <c r="CD514" i="15" s="1"/>
  <c r="J195" i="7"/>
  <c r="K195" i="7"/>
  <c r="BY638" i="15" l="1"/>
  <c r="BX638" i="15"/>
  <c r="BZ638" i="15" s="1"/>
  <c r="BM1007" i="15"/>
  <c r="BL1007" i="15"/>
  <c r="BN1007" i="15" s="1"/>
  <c r="BU761" i="15"/>
  <c r="BT761" i="15"/>
  <c r="BV761" i="15" s="1"/>
  <c r="BQ884" i="15"/>
  <c r="BP884" i="15"/>
  <c r="BR884" i="15" s="1"/>
  <c r="CC515" i="15"/>
  <c r="CB515" i="15"/>
  <c r="CD515" i="15" s="1"/>
  <c r="CL513" i="15"/>
  <c r="CK513" i="15"/>
  <c r="CM513" i="15" s="1"/>
  <c r="CH514" i="15"/>
  <c r="CG514" i="15"/>
  <c r="CI514" i="15" s="1"/>
  <c r="L195" i="7"/>
  <c r="CL514" i="15" l="1"/>
  <c r="CK514" i="15"/>
  <c r="CM514" i="15" s="1"/>
  <c r="BQ885" i="15"/>
  <c r="BP885" i="15"/>
  <c r="BR885" i="15" s="1"/>
  <c r="BU762" i="15"/>
  <c r="BT762" i="15"/>
  <c r="BV762" i="15" s="1"/>
  <c r="BY639" i="15"/>
  <c r="BX639" i="15"/>
  <c r="BZ639" i="15" s="1"/>
  <c r="CH515" i="15"/>
  <c r="CG515" i="15"/>
  <c r="CI515" i="15" s="1"/>
  <c r="CC516" i="15"/>
  <c r="CB516" i="15"/>
  <c r="CD516" i="15" s="1"/>
  <c r="BM1008" i="15"/>
  <c r="BL1008" i="15"/>
  <c r="BN1008" i="15" s="1"/>
  <c r="J196" i="7"/>
  <c r="K196" i="7"/>
  <c r="BM1009" i="15" l="1"/>
  <c r="BL1009" i="15"/>
  <c r="BN1009" i="15" s="1"/>
  <c r="CC517" i="15"/>
  <c r="CB517" i="15"/>
  <c r="CD517" i="15" s="1"/>
  <c r="BY640" i="15"/>
  <c r="BX640" i="15"/>
  <c r="BZ640" i="15" s="1"/>
  <c r="BU763" i="15"/>
  <c r="BT763" i="15"/>
  <c r="BV763" i="15" s="1"/>
  <c r="CL515" i="15"/>
  <c r="CK515" i="15"/>
  <c r="CM515" i="15" s="1"/>
  <c r="CH516" i="15"/>
  <c r="CG516" i="15"/>
  <c r="CI516" i="15" s="1"/>
  <c r="BQ886" i="15"/>
  <c r="BP886" i="15"/>
  <c r="BR886" i="15" s="1"/>
  <c r="L196" i="7"/>
  <c r="BQ887" i="15" l="1"/>
  <c r="BP887" i="15"/>
  <c r="BR887" i="15" s="1"/>
  <c r="CL516" i="15"/>
  <c r="CK516" i="15"/>
  <c r="CM516" i="15" s="1"/>
  <c r="BY641" i="15"/>
  <c r="BX641" i="15"/>
  <c r="BZ641" i="15" s="1"/>
  <c r="BM1010" i="15"/>
  <c r="BL1010" i="15"/>
  <c r="BN1010" i="15" s="1"/>
  <c r="CH517" i="15"/>
  <c r="CG517" i="15"/>
  <c r="CI517" i="15" s="1"/>
  <c r="BU764" i="15"/>
  <c r="BT764" i="15"/>
  <c r="BV764" i="15" s="1"/>
  <c r="CC518" i="15"/>
  <c r="CB518" i="15"/>
  <c r="CD518" i="15" s="1"/>
  <c r="J197" i="7"/>
  <c r="K197" i="7"/>
  <c r="CC519" i="15" l="1"/>
  <c r="CB519" i="15"/>
  <c r="CD519" i="15" s="1"/>
  <c r="CH518" i="15"/>
  <c r="CG518" i="15"/>
  <c r="CI518" i="15" s="1"/>
  <c r="BY642" i="15"/>
  <c r="BX642" i="15"/>
  <c r="BZ642" i="15" s="1"/>
  <c r="BQ888" i="15"/>
  <c r="BP888" i="15"/>
  <c r="BR888" i="15" s="1"/>
  <c r="BU765" i="15"/>
  <c r="BT765" i="15"/>
  <c r="BV765" i="15" s="1"/>
  <c r="BM1011" i="15"/>
  <c r="BL1011" i="15"/>
  <c r="BN1011" i="15" s="1"/>
  <c r="CL517" i="15"/>
  <c r="CK517" i="15"/>
  <c r="CM517" i="15" s="1"/>
  <c r="L197" i="7"/>
  <c r="BM1012" i="15" l="1"/>
  <c r="BL1012" i="15"/>
  <c r="BN1012" i="15" s="1"/>
  <c r="BU766" i="15"/>
  <c r="BT766" i="15"/>
  <c r="BV766" i="15" s="1"/>
  <c r="BY643" i="15"/>
  <c r="BX643" i="15"/>
  <c r="BZ643" i="15" s="1"/>
  <c r="CC520" i="15"/>
  <c r="CB520" i="15"/>
  <c r="CD520" i="15" s="1"/>
  <c r="CL518" i="15"/>
  <c r="CK518" i="15"/>
  <c r="CM518" i="15" s="1"/>
  <c r="BQ889" i="15"/>
  <c r="BP889" i="15"/>
  <c r="BR889" i="15" s="1"/>
  <c r="CH519" i="15"/>
  <c r="CG519" i="15"/>
  <c r="CI519" i="15" s="1"/>
  <c r="J198" i="7"/>
  <c r="K198" i="7"/>
  <c r="BQ890" i="15" l="1"/>
  <c r="BP890" i="15"/>
  <c r="BR890" i="15" s="1"/>
  <c r="CC521" i="15"/>
  <c r="CB521" i="15"/>
  <c r="CD521" i="15" s="1"/>
  <c r="BY644" i="15"/>
  <c r="BX644" i="15"/>
  <c r="BZ644" i="15" s="1"/>
  <c r="BM1013" i="15"/>
  <c r="BL1013" i="15"/>
  <c r="BN1013" i="15" s="1"/>
  <c r="CH520" i="15"/>
  <c r="CG520" i="15"/>
  <c r="CI520" i="15" s="1"/>
  <c r="CL519" i="15"/>
  <c r="CK519" i="15"/>
  <c r="CM519" i="15" s="1"/>
  <c r="BU767" i="15"/>
  <c r="BT767" i="15"/>
  <c r="BV767" i="15" s="1"/>
  <c r="L198" i="7"/>
  <c r="BU768" i="15" l="1"/>
  <c r="BT768" i="15"/>
  <c r="BV768" i="15" s="1"/>
  <c r="CH521" i="15"/>
  <c r="CG521" i="15"/>
  <c r="CI521" i="15" s="1"/>
  <c r="BY645" i="15"/>
  <c r="BX645" i="15"/>
  <c r="BZ645" i="15" s="1"/>
  <c r="BQ891" i="15"/>
  <c r="BP891" i="15"/>
  <c r="BR891" i="15" s="1"/>
  <c r="CL520" i="15"/>
  <c r="CK520" i="15"/>
  <c r="CM520" i="15" s="1"/>
  <c r="BM1014" i="15"/>
  <c r="BL1014" i="15"/>
  <c r="BN1014" i="15" s="1"/>
  <c r="CC522" i="15"/>
  <c r="CB522" i="15"/>
  <c r="CD522" i="15" s="1"/>
  <c r="J199" i="7"/>
  <c r="K199" i="7"/>
  <c r="BM1015" i="15" l="1"/>
  <c r="BL1015" i="15"/>
  <c r="BN1015" i="15" s="1"/>
  <c r="CL521" i="15"/>
  <c r="CK521" i="15"/>
  <c r="CM521" i="15" s="1"/>
  <c r="BY646" i="15"/>
  <c r="BX646" i="15"/>
  <c r="BZ646" i="15" s="1"/>
  <c r="BU769" i="15"/>
  <c r="BT769" i="15"/>
  <c r="BV769" i="15" s="1"/>
  <c r="CC523" i="15"/>
  <c r="CB523" i="15"/>
  <c r="CD523" i="15" s="1"/>
  <c r="BQ892" i="15"/>
  <c r="BP892" i="15"/>
  <c r="BR892" i="15" s="1"/>
  <c r="CH522" i="15"/>
  <c r="CG522" i="15"/>
  <c r="CI522" i="15" s="1"/>
  <c r="L199" i="7"/>
  <c r="CH523" i="15" l="1"/>
  <c r="CG523" i="15"/>
  <c r="CI523" i="15" s="1"/>
  <c r="CC524" i="15"/>
  <c r="CB524" i="15"/>
  <c r="CD524" i="15" s="1"/>
  <c r="BY647" i="15"/>
  <c r="BX647" i="15"/>
  <c r="BZ647" i="15" s="1"/>
  <c r="BM1016" i="15"/>
  <c r="BL1016" i="15"/>
  <c r="BN1016" i="15" s="1"/>
  <c r="BQ893" i="15"/>
  <c r="BP893" i="15"/>
  <c r="BR893" i="15" s="1"/>
  <c r="BU770" i="15"/>
  <c r="BT770" i="15"/>
  <c r="BV770" i="15" s="1"/>
  <c r="CL522" i="15"/>
  <c r="CK522" i="15"/>
  <c r="CM522" i="15" s="1"/>
  <c r="J200" i="7"/>
  <c r="L200" i="7" s="1"/>
  <c r="K200" i="7"/>
  <c r="CL523" i="15" l="1"/>
  <c r="CK523" i="15"/>
  <c r="CM523" i="15" s="1"/>
  <c r="BU771" i="15"/>
  <c r="BT771" i="15"/>
  <c r="BV771" i="15" s="1"/>
  <c r="BM1017" i="15"/>
  <c r="BL1017" i="15"/>
  <c r="BN1017" i="15" s="1"/>
  <c r="BY648" i="15"/>
  <c r="BX648" i="15"/>
  <c r="BZ648" i="15" s="1"/>
  <c r="CH524" i="15"/>
  <c r="CG524" i="15"/>
  <c r="CI524" i="15" s="1"/>
  <c r="BQ894" i="15"/>
  <c r="BP894" i="15"/>
  <c r="BR894" i="15" s="1"/>
  <c r="CC525" i="15"/>
  <c r="CB525" i="15"/>
  <c r="CD525" i="15" s="1"/>
  <c r="J201" i="7"/>
  <c r="K201" i="7"/>
  <c r="BQ895" i="15" l="1"/>
  <c r="BP895" i="15"/>
  <c r="BR895" i="15" s="1"/>
  <c r="BY649" i="15"/>
  <c r="BX649" i="15"/>
  <c r="BZ649" i="15" s="1"/>
  <c r="BM1018" i="15"/>
  <c r="BL1018" i="15"/>
  <c r="BN1018" i="15" s="1"/>
  <c r="CL524" i="15"/>
  <c r="CK524" i="15"/>
  <c r="CM524" i="15" s="1"/>
  <c r="CC526" i="15"/>
  <c r="CB526" i="15"/>
  <c r="CD526" i="15" s="1"/>
  <c r="CH525" i="15"/>
  <c r="CG525" i="15"/>
  <c r="CI525" i="15" s="1"/>
  <c r="BU772" i="15"/>
  <c r="BT772" i="15"/>
  <c r="BV772" i="15" s="1"/>
  <c r="L201" i="7"/>
  <c r="BU773" i="15" l="1"/>
  <c r="BT773" i="15"/>
  <c r="BV773" i="15" s="1"/>
  <c r="CC527" i="15"/>
  <c r="CB527" i="15"/>
  <c r="CD527" i="15" s="1"/>
  <c r="BM1019" i="15"/>
  <c r="BL1019" i="15"/>
  <c r="BN1019" i="15" s="1"/>
  <c r="BQ896" i="15"/>
  <c r="BP896" i="15"/>
  <c r="BR896" i="15" s="1"/>
  <c r="CH526" i="15"/>
  <c r="CG526" i="15"/>
  <c r="CI526" i="15" s="1"/>
  <c r="CL525" i="15"/>
  <c r="CK525" i="15"/>
  <c r="CM525" i="15" s="1"/>
  <c r="BY650" i="15"/>
  <c r="BX650" i="15"/>
  <c r="BZ650" i="15" s="1"/>
  <c r="J202" i="7"/>
  <c r="K202" i="7"/>
  <c r="CL526" i="15" l="1"/>
  <c r="CK526" i="15"/>
  <c r="CM526" i="15" s="1"/>
  <c r="CH527" i="15"/>
  <c r="CG527" i="15"/>
  <c r="CI527" i="15" s="1"/>
  <c r="BM1020" i="15"/>
  <c r="BL1020" i="15"/>
  <c r="BN1020" i="15" s="1"/>
  <c r="BU774" i="15"/>
  <c r="BT774" i="15"/>
  <c r="BV774" i="15" s="1"/>
  <c r="BY651" i="15"/>
  <c r="BX651" i="15"/>
  <c r="BZ651" i="15" s="1"/>
  <c r="BQ897" i="15"/>
  <c r="BP897" i="15"/>
  <c r="BR897" i="15" s="1"/>
  <c r="CC528" i="15"/>
  <c r="CB528" i="15"/>
  <c r="CD528" i="15" s="1"/>
  <c r="L202" i="7"/>
  <c r="BQ898" i="15" l="1"/>
  <c r="BP898" i="15"/>
  <c r="BR898" i="15" s="1"/>
  <c r="BY652" i="15"/>
  <c r="BX652" i="15"/>
  <c r="BZ652" i="15" s="1"/>
  <c r="BM1021" i="15"/>
  <c r="BL1021" i="15"/>
  <c r="BN1021" i="15" s="1"/>
  <c r="CL527" i="15"/>
  <c r="CK527" i="15"/>
  <c r="CM527" i="15" s="1"/>
  <c r="CC529" i="15"/>
  <c r="CB529" i="15"/>
  <c r="CD529" i="15" s="1"/>
  <c r="BU775" i="15"/>
  <c r="BT775" i="15"/>
  <c r="BV775" i="15" s="1"/>
  <c r="CH528" i="15"/>
  <c r="CG528" i="15"/>
  <c r="CI528" i="15" s="1"/>
  <c r="J203" i="7"/>
  <c r="K203" i="7"/>
  <c r="BU776" i="15" l="1"/>
  <c r="BT776" i="15"/>
  <c r="BV776" i="15" s="1"/>
  <c r="CL528" i="15"/>
  <c r="CK528" i="15"/>
  <c r="CM528" i="15" s="1"/>
  <c r="BM1022" i="15"/>
  <c r="BL1022" i="15"/>
  <c r="BN1022" i="15" s="1"/>
  <c r="BQ899" i="15"/>
  <c r="BP899" i="15"/>
  <c r="BR899" i="15" s="1"/>
  <c r="CH529" i="15"/>
  <c r="CG529" i="15"/>
  <c r="CI529" i="15" s="1"/>
  <c r="CC530" i="15"/>
  <c r="CB530" i="15"/>
  <c r="CD530" i="15" s="1"/>
  <c r="BY653" i="15"/>
  <c r="BX653" i="15"/>
  <c r="BZ653" i="15" s="1"/>
  <c r="L203" i="7"/>
  <c r="CC531" i="15" l="1"/>
  <c r="CB531" i="15"/>
  <c r="CD531" i="15" s="1"/>
  <c r="BQ900" i="15"/>
  <c r="BP900" i="15"/>
  <c r="BR900" i="15" s="1"/>
  <c r="BM1023" i="15"/>
  <c r="BL1023" i="15"/>
  <c r="BN1023" i="15" s="1"/>
  <c r="BU777" i="15"/>
  <c r="BT777" i="15"/>
  <c r="BV777" i="15" s="1"/>
  <c r="BY654" i="15"/>
  <c r="BX654" i="15"/>
  <c r="BZ654" i="15" s="1"/>
  <c r="CH530" i="15"/>
  <c r="CG530" i="15"/>
  <c r="CI530" i="15" s="1"/>
  <c r="CL529" i="15"/>
  <c r="CK529" i="15"/>
  <c r="CM529" i="15" s="1"/>
  <c r="J204" i="7"/>
  <c r="K204" i="7"/>
  <c r="CH531" i="15" l="1"/>
  <c r="CG531" i="15"/>
  <c r="CI531" i="15" s="1"/>
  <c r="BU778" i="15"/>
  <c r="BT778" i="15"/>
  <c r="BV778" i="15" s="1"/>
  <c r="BM1024" i="15"/>
  <c r="BL1024" i="15"/>
  <c r="BN1024" i="15" s="1"/>
  <c r="CC532" i="15"/>
  <c r="CB532" i="15"/>
  <c r="CD532" i="15" s="1"/>
  <c r="CL530" i="15"/>
  <c r="CK530" i="15"/>
  <c r="CM530" i="15" s="1"/>
  <c r="BY655" i="15"/>
  <c r="BX655" i="15"/>
  <c r="BZ655" i="15" s="1"/>
  <c r="BQ901" i="15"/>
  <c r="BP901" i="15"/>
  <c r="BR901" i="15" s="1"/>
  <c r="L204" i="7"/>
  <c r="BQ902" i="15" l="1"/>
  <c r="BP902" i="15"/>
  <c r="BR902" i="15" s="1"/>
  <c r="CL531" i="15"/>
  <c r="CK531" i="15"/>
  <c r="CM531" i="15" s="1"/>
  <c r="BM1025" i="15"/>
  <c r="BL1025" i="15"/>
  <c r="BN1025" i="15" s="1"/>
  <c r="CH532" i="15"/>
  <c r="CG532" i="15"/>
  <c r="CI532" i="15" s="1"/>
  <c r="BY656" i="15"/>
  <c r="BX656" i="15"/>
  <c r="BZ656" i="15" s="1"/>
  <c r="CC533" i="15"/>
  <c r="CB533" i="15"/>
  <c r="CD533" i="15" s="1"/>
  <c r="BU779" i="15"/>
  <c r="BT779" i="15"/>
  <c r="BV779" i="15" s="1"/>
  <c r="J205" i="7"/>
  <c r="K205" i="7"/>
  <c r="CC534" i="15" l="1"/>
  <c r="CB534" i="15"/>
  <c r="CD534" i="15" s="1"/>
  <c r="CH533" i="15"/>
  <c r="CG533" i="15"/>
  <c r="CI533" i="15" s="1"/>
  <c r="BM1026" i="15"/>
  <c r="BL1026" i="15"/>
  <c r="BN1026" i="15" s="1"/>
  <c r="BQ903" i="15"/>
  <c r="BP903" i="15"/>
  <c r="BR903" i="15" s="1"/>
  <c r="BU780" i="15"/>
  <c r="BT780" i="15"/>
  <c r="BV780" i="15" s="1"/>
  <c r="BY657" i="15"/>
  <c r="BX657" i="15"/>
  <c r="BZ657" i="15" s="1"/>
  <c r="CL532" i="15"/>
  <c r="CK532" i="15"/>
  <c r="CM532" i="15" s="1"/>
  <c r="L205" i="7"/>
  <c r="CL533" i="15" l="1"/>
  <c r="CK533" i="15"/>
  <c r="CM533" i="15" s="1"/>
  <c r="BU781" i="15"/>
  <c r="BT781" i="15"/>
  <c r="BV781" i="15" s="1"/>
  <c r="BM1027" i="15"/>
  <c r="BL1027" i="15"/>
  <c r="BN1027" i="15" s="1"/>
  <c r="CC535" i="15"/>
  <c r="CB535" i="15"/>
  <c r="CD535" i="15" s="1"/>
  <c r="BY658" i="15"/>
  <c r="BX658" i="15"/>
  <c r="BZ658" i="15" s="1"/>
  <c r="BQ904" i="15"/>
  <c r="BP904" i="15"/>
  <c r="BR904" i="15" s="1"/>
  <c r="CH534" i="15"/>
  <c r="CG534" i="15"/>
  <c r="CI534" i="15" s="1"/>
  <c r="J206" i="7"/>
  <c r="K206" i="7"/>
  <c r="BQ905" i="15" l="1"/>
  <c r="BP905" i="15"/>
  <c r="BR905" i="15" s="1"/>
  <c r="CC536" i="15"/>
  <c r="CB536" i="15"/>
  <c r="CD536" i="15" s="1"/>
  <c r="CL534" i="15"/>
  <c r="CK534" i="15"/>
  <c r="CM534" i="15" s="1"/>
  <c r="CH535" i="15"/>
  <c r="CG535" i="15"/>
  <c r="CI535" i="15" s="1"/>
  <c r="BY659" i="15"/>
  <c r="BX659" i="15"/>
  <c r="BZ659" i="15" s="1"/>
  <c r="BU782" i="15"/>
  <c r="BT782" i="15"/>
  <c r="BV782" i="15" s="1"/>
  <c r="L206" i="7"/>
  <c r="BY660" i="15" l="1"/>
  <c r="BX660" i="15"/>
  <c r="BZ660" i="15" s="1"/>
  <c r="CH536" i="15"/>
  <c r="CG536" i="15"/>
  <c r="CI536" i="15" s="1"/>
  <c r="CL535" i="15"/>
  <c r="CK535" i="15"/>
  <c r="CM535" i="15" s="1"/>
  <c r="BQ906" i="15"/>
  <c r="BP906" i="15"/>
  <c r="BR906" i="15" s="1"/>
  <c r="BU783" i="15"/>
  <c r="BT783" i="15"/>
  <c r="BV783" i="15" s="1"/>
  <c r="CC537" i="15"/>
  <c r="CB537" i="15"/>
  <c r="CD537" i="15" s="1"/>
  <c r="J207" i="7"/>
  <c r="K207" i="7"/>
  <c r="BU784" i="15" l="1"/>
  <c r="BT784" i="15"/>
  <c r="BV784" i="15" s="1"/>
  <c r="CL536" i="15"/>
  <c r="CK536" i="15"/>
  <c r="CM536" i="15" s="1"/>
  <c r="BY661" i="15"/>
  <c r="BX661" i="15"/>
  <c r="BZ661" i="15" s="1"/>
  <c r="CC538" i="15"/>
  <c r="CB538" i="15"/>
  <c r="CD538" i="15" s="1"/>
  <c r="BQ907" i="15"/>
  <c r="BP907" i="15"/>
  <c r="BR907" i="15" s="1"/>
  <c r="CH537" i="15"/>
  <c r="CG537" i="15"/>
  <c r="CI537" i="15" s="1"/>
  <c r="L207" i="7"/>
  <c r="CH538" i="15" l="1"/>
  <c r="CG538" i="15"/>
  <c r="CI538" i="15" s="1"/>
  <c r="CC539" i="15"/>
  <c r="CB539" i="15"/>
  <c r="CD539" i="15" s="1"/>
  <c r="BY662" i="15"/>
  <c r="BX662" i="15"/>
  <c r="BZ662" i="15" s="1"/>
  <c r="BU785" i="15"/>
  <c r="BT785" i="15"/>
  <c r="BV785" i="15" s="1"/>
  <c r="BQ908" i="15"/>
  <c r="BP908" i="15"/>
  <c r="BR908" i="15" s="1"/>
  <c r="CL537" i="15"/>
  <c r="CK537" i="15"/>
  <c r="CM537" i="15" s="1"/>
  <c r="J208" i="7"/>
  <c r="K208" i="7"/>
  <c r="CL538" i="15" l="1"/>
  <c r="CK538" i="15"/>
  <c r="CM538" i="15" s="1"/>
  <c r="BU786" i="15"/>
  <c r="BT786" i="15"/>
  <c r="BV786" i="15" s="1"/>
  <c r="BY663" i="15"/>
  <c r="BX663" i="15"/>
  <c r="BZ663" i="15" s="1"/>
  <c r="CH539" i="15"/>
  <c r="CG539" i="15"/>
  <c r="CI539" i="15" s="1"/>
  <c r="BQ909" i="15"/>
  <c r="BP909" i="15"/>
  <c r="BR909" i="15" s="1"/>
  <c r="CC540" i="15"/>
  <c r="CB540" i="15"/>
  <c r="CD540" i="15" s="1"/>
  <c r="L208" i="7"/>
  <c r="CC541" i="15" l="1"/>
  <c r="CB541" i="15"/>
  <c r="CD541" i="15" s="1"/>
  <c r="BQ910" i="15"/>
  <c r="BP910" i="15"/>
  <c r="BR910" i="15" s="1"/>
  <c r="BY664" i="15"/>
  <c r="BX664" i="15"/>
  <c r="BZ664" i="15" s="1"/>
  <c r="CL539" i="15"/>
  <c r="CK539" i="15"/>
  <c r="CM539" i="15" s="1"/>
  <c r="CH540" i="15"/>
  <c r="CG540" i="15"/>
  <c r="CI540" i="15" s="1"/>
  <c r="BU787" i="15"/>
  <c r="BT787" i="15"/>
  <c r="BV787" i="15" s="1"/>
  <c r="J209" i="7"/>
  <c r="K209" i="7"/>
  <c r="BU788" i="15" l="1"/>
  <c r="BT788" i="15"/>
  <c r="BV788" i="15" s="1"/>
  <c r="CL540" i="15"/>
  <c r="CK540" i="15"/>
  <c r="CM540" i="15" s="1"/>
  <c r="BY665" i="15"/>
  <c r="BX665" i="15"/>
  <c r="BZ665" i="15" s="1"/>
  <c r="CC542" i="15"/>
  <c r="CB542" i="15"/>
  <c r="CD542" i="15" s="1"/>
  <c r="CH541" i="15"/>
  <c r="CG541" i="15"/>
  <c r="CI541" i="15" s="1"/>
  <c r="BQ911" i="15"/>
  <c r="BP911" i="15"/>
  <c r="BR911" i="15" s="1"/>
  <c r="L209" i="7"/>
  <c r="BQ912" i="15" l="1"/>
  <c r="BP912" i="15"/>
  <c r="BR912" i="15" s="1"/>
  <c r="CC543" i="15"/>
  <c r="CB543" i="15"/>
  <c r="CD543" i="15" s="1"/>
  <c r="BY666" i="15"/>
  <c r="BX666" i="15"/>
  <c r="BZ666" i="15" s="1"/>
  <c r="BU789" i="15"/>
  <c r="BT789" i="15"/>
  <c r="BV789" i="15" s="1"/>
  <c r="CH542" i="15"/>
  <c r="CG542" i="15"/>
  <c r="CI542" i="15" s="1"/>
  <c r="CL541" i="15"/>
  <c r="CK541" i="15"/>
  <c r="CM541" i="15" s="1"/>
  <c r="J210" i="7"/>
  <c r="K210" i="7"/>
  <c r="CL542" i="15" l="1"/>
  <c r="CK542" i="15"/>
  <c r="CM542" i="15" s="1"/>
  <c r="BU790" i="15"/>
  <c r="BT790" i="15"/>
  <c r="BV790" i="15" s="1"/>
  <c r="BY667" i="15"/>
  <c r="BX667" i="15"/>
  <c r="BZ667" i="15" s="1"/>
  <c r="BQ913" i="15"/>
  <c r="BP913" i="15"/>
  <c r="BR913" i="15" s="1"/>
  <c r="CH543" i="15"/>
  <c r="CG543" i="15"/>
  <c r="CI543" i="15" s="1"/>
  <c r="CC544" i="15"/>
  <c r="CB544" i="15"/>
  <c r="CD544" i="15" s="1"/>
  <c r="L210" i="7"/>
  <c r="CH544" i="15" l="1"/>
  <c r="CG544" i="15"/>
  <c r="CI544" i="15" s="1"/>
  <c r="BY668" i="15"/>
  <c r="BX668" i="15"/>
  <c r="BZ668" i="15" s="1"/>
  <c r="CL543" i="15"/>
  <c r="CK543" i="15"/>
  <c r="CM543" i="15" s="1"/>
  <c r="CC545" i="15"/>
  <c r="CB545" i="15"/>
  <c r="CD545" i="15" s="1"/>
  <c r="BQ914" i="15"/>
  <c r="BP914" i="15"/>
  <c r="BR914" i="15" s="1"/>
  <c r="BU791" i="15"/>
  <c r="BT791" i="15"/>
  <c r="BV791" i="15" s="1"/>
  <c r="J211" i="7"/>
  <c r="K211" i="7"/>
  <c r="BU792" i="15" l="1"/>
  <c r="BT792" i="15"/>
  <c r="BV792" i="15" s="1"/>
  <c r="CC546" i="15"/>
  <c r="CB546" i="15"/>
  <c r="CD546" i="15" s="1"/>
  <c r="CL544" i="15"/>
  <c r="CK544" i="15"/>
  <c r="CM544" i="15" s="1"/>
  <c r="CH545" i="15"/>
  <c r="CG545" i="15"/>
  <c r="CI545" i="15" s="1"/>
  <c r="BQ915" i="15"/>
  <c r="BP915" i="15"/>
  <c r="BR915" i="15" s="1"/>
  <c r="BY669" i="15"/>
  <c r="BX669" i="15"/>
  <c r="BZ669" i="15" s="1"/>
  <c r="L211" i="7"/>
  <c r="BY670" i="15" l="1"/>
  <c r="BX670" i="15"/>
  <c r="BZ670" i="15" s="1"/>
  <c r="CH546" i="15"/>
  <c r="CG546" i="15"/>
  <c r="CI546" i="15" s="1"/>
  <c r="CL545" i="15"/>
  <c r="CK545" i="15"/>
  <c r="CM545" i="15" s="1"/>
  <c r="BU793" i="15"/>
  <c r="BT793" i="15"/>
  <c r="BV793" i="15" s="1"/>
  <c r="BQ916" i="15"/>
  <c r="BP916" i="15"/>
  <c r="BR916" i="15" s="1"/>
  <c r="CC547" i="15"/>
  <c r="CB547" i="15"/>
  <c r="CD547" i="15" s="1"/>
  <c r="J212" i="7"/>
  <c r="K212" i="7"/>
  <c r="CC548" i="15" l="1"/>
  <c r="CB548" i="15"/>
  <c r="CD548" i="15" s="1"/>
  <c r="BQ917" i="15"/>
  <c r="BP917" i="15"/>
  <c r="BR917" i="15" s="1"/>
  <c r="CL546" i="15"/>
  <c r="CK546" i="15"/>
  <c r="CM546" i="15" s="1"/>
  <c r="BY671" i="15"/>
  <c r="BX671" i="15"/>
  <c r="BZ671" i="15" s="1"/>
  <c r="BU794" i="15"/>
  <c r="BT794" i="15"/>
  <c r="BV794" i="15" s="1"/>
  <c r="CH547" i="15"/>
  <c r="CG547" i="15"/>
  <c r="CI547" i="15" s="1"/>
  <c r="L212" i="7"/>
  <c r="CH548" i="15" l="1"/>
  <c r="CG548" i="15"/>
  <c r="CI548" i="15" s="1"/>
  <c r="BY672" i="15"/>
  <c r="BX672" i="15"/>
  <c r="BZ672" i="15" s="1"/>
  <c r="CL547" i="15"/>
  <c r="CK547" i="15"/>
  <c r="CM547" i="15" s="1"/>
  <c r="CC549" i="15"/>
  <c r="CB549" i="15"/>
  <c r="CD549" i="15" s="1"/>
  <c r="BU795" i="15"/>
  <c r="BT795" i="15"/>
  <c r="BV795" i="15" s="1"/>
  <c r="BQ918" i="15"/>
  <c r="BP918" i="15"/>
  <c r="BR918" i="15" s="1"/>
  <c r="J213" i="7"/>
  <c r="K213" i="7"/>
  <c r="BQ919" i="15" l="1"/>
  <c r="BP919" i="15"/>
  <c r="BR919" i="15" s="1"/>
  <c r="CC550" i="15"/>
  <c r="CB550" i="15"/>
  <c r="CD550" i="15" s="1"/>
  <c r="CL548" i="15"/>
  <c r="CK548" i="15"/>
  <c r="CM548" i="15" s="1"/>
  <c r="CH549" i="15"/>
  <c r="CG549" i="15"/>
  <c r="CI549" i="15" s="1"/>
  <c r="BU796" i="15"/>
  <c r="BT796" i="15"/>
  <c r="BV796" i="15" s="1"/>
  <c r="BY673" i="15"/>
  <c r="BX673" i="15"/>
  <c r="BZ673" i="15" s="1"/>
  <c r="L213" i="7"/>
  <c r="BY674" i="15" l="1"/>
  <c r="BX674" i="15"/>
  <c r="BZ674" i="15" s="1"/>
  <c r="CH550" i="15"/>
  <c r="CG550" i="15"/>
  <c r="CI550" i="15" s="1"/>
  <c r="CL549" i="15"/>
  <c r="CK549" i="15"/>
  <c r="CM549" i="15" s="1"/>
  <c r="BQ920" i="15"/>
  <c r="BP920" i="15"/>
  <c r="BR920" i="15" s="1"/>
  <c r="BU797" i="15"/>
  <c r="BT797" i="15"/>
  <c r="BV797" i="15" s="1"/>
  <c r="CC551" i="15"/>
  <c r="CB551" i="15"/>
  <c r="CD551" i="15" s="1"/>
  <c r="J214" i="7"/>
  <c r="K214" i="7"/>
  <c r="CC552" i="15" l="1"/>
  <c r="CB552" i="15"/>
  <c r="CD552" i="15" s="1"/>
  <c r="BQ921" i="15"/>
  <c r="BP921" i="15"/>
  <c r="BR921" i="15" s="1"/>
  <c r="CL550" i="15"/>
  <c r="CK550" i="15"/>
  <c r="CM550" i="15" s="1"/>
  <c r="BY675" i="15"/>
  <c r="BX675" i="15"/>
  <c r="BZ675" i="15" s="1"/>
  <c r="BU798" i="15"/>
  <c r="BT798" i="15"/>
  <c r="BV798" i="15" s="1"/>
  <c r="CH551" i="15"/>
  <c r="CG551" i="15"/>
  <c r="CI551" i="15" s="1"/>
  <c r="L214" i="7"/>
  <c r="CH552" i="15" l="1"/>
  <c r="CG552" i="15"/>
  <c r="CI552" i="15" s="1"/>
  <c r="BY676" i="15"/>
  <c r="BX676" i="15"/>
  <c r="BZ676" i="15" s="1"/>
  <c r="CL551" i="15"/>
  <c r="CK551" i="15"/>
  <c r="CM551" i="15" s="1"/>
  <c r="CC553" i="15"/>
  <c r="CB553" i="15"/>
  <c r="CD553" i="15" s="1"/>
  <c r="BU799" i="15"/>
  <c r="BT799" i="15"/>
  <c r="BV799" i="15" s="1"/>
  <c r="BQ922" i="15"/>
  <c r="BP922" i="15"/>
  <c r="BR922" i="15" s="1"/>
  <c r="J215" i="7"/>
  <c r="K215" i="7"/>
  <c r="BQ923" i="15" l="1"/>
  <c r="BP923" i="15"/>
  <c r="BR923" i="15" s="1"/>
  <c r="CC554" i="15"/>
  <c r="CB554" i="15"/>
  <c r="CD554" i="15" s="1"/>
  <c r="CL552" i="15"/>
  <c r="CK552" i="15"/>
  <c r="CM552" i="15" s="1"/>
  <c r="CH553" i="15"/>
  <c r="CG553" i="15"/>
  <c r="CI553" i="15" s="1"/>
  <c r="BU800" i="15"/>
  <c r="BT800" i="15"/>
  <c r="BV800" i="15" s="1"/>
  <c r="BY677" i="15"/>
  <c r="BX677" i="15"/>
  <c r="BZ677" i="15" s="1"/>
  <c r="L215" i="7"/>
  <c r="BU801" i="15" l="1"/>
  <c r="BT801" i="15"/>
  <c r="BV801" i="15" s="1"/>
  <c r="CL553" i="15"/>
  <c r="CK553" i="15"/>
  <c r="CM553" i="15" s="1"/>
  <c r="BQ924" i="15"/>
  <c r="BP924" i="15"/>
  <c r="BR924" i="15" s="1"/>
  <c r="BY678" i="15"/>
  <c r="BX678" i="15"/>
  <c r="BZ678" i="15" s="1"/>
  <c r="CH554" i="15"/>
  <c r="CG554" i="15"/>
  <c r="CI554" i="15" s="1"/>
  <c r="CC555" i="15"/>
  <c r="CB555" i="15"/>
  <c r="CD555" i="15" s="1"/>
  <c r="J216" i="7"/>
  <c r="K216" i="7"/>
  <c r="CH555" i="15" l="1"/>
  <c r="CG555" i="15"/>
  <c r="CI555" i="15" s="1"/>
  <c r="BQ925" i="15"/>
  <c r="BP925" i="15"/>
  <c r="BR925" i="15" s="1"/>
  <c r="BU802" i="15"/>
  <c r="BT802" i="15"/>
  <c r="BV802" i="15" s="1"/>
  <c r="CC556" i="15"/>
  <c r="CB556" i="15"/>
  <c r="CD556" i="15" s="1"/>
  <c r="BY679" i="15"/>
  <c r="BX679" i="15"/>
  <c r="BZ679" i="15" s="1"/>
  <c r="CL554" i="15"/>
  <c r="CK554" i="15"/>
  <c r="CM554" i="15" s="1"/>
  <c r="L216" i="7"/>
  <c r="CL555" i="15" l="1"/>
  <c r="CK555" i="15"/>
  <c r="CM555" i="15" s="1"/>
  <c r="BY680" i="15"/>
  <c r="BX680" i="15"/>
  <c r="BZ680" i="15" s="1"/>
  <c r="BU803" i="15"/>
  <c r="BT803" i="15"/>
  <c r="BV803" i="15" s="1"/>
  <c r="CH556" i="15"/>
  <c r="CG556" i="15"/>
  <c r="CI556" i="15" s="1"/>
  <c r="CC557" i="15"/>
  <c r="CB557" i="15"/>
  <c r="CD557" i="15" s="1"/>
  <c r="BQ926" i="15"/>
  <c r="BP926" i="15"/>
  <c r="BR926" i="15" s="1"/>
  <c r="J217" i="7"/>
  <c r="K217" i="7"/>
  <c r="BQ927" i="15" l="1"/>
  <c r="BP927" i="15"/>
  <c r="BR927" i="15" s="1"/>
  <c r="CH557" i="15"/>
  <c r="CG557" i="15"/>
  <c r="CI557" i="15" s="1"/>
  <c r="BU804" i="15"/>
  <c r="BT804" i="15"/>
  <c r="BV804" i="15" s="1"/>
  <c r="CL556" i="15"/>
  <c r="CK556" i="15"/>
  <c r="CM556" i="15" s="1"/>
  <c r="CC558" i="15"/>
  <c r="CB558" i="15"/>
  <c r="CD558" i="15" s="1"/>
  <c r="BY681" i="15"/>
  <c r="BX681" i="15"/>
  <c r="BZ681" i="15" s="1"/>
  <c r="L217" i="7"/>
  <c r="CC559" i="15" l="1"/>
  <c r="CB559" i="15"/>
  <c r="CD559" i="15" s="1"/>
  <c r="BU805" i="15"/>
  <c r="BT805" i="15"/>
  <c r="BV805" i="15" s="1"/>
  <c r="BQ928" i="15"/>
  <c r="BP928" i="15"/>
  <c r="BR928" i="15" s="1"/>
  <c r="BY682" i="15"/>
  <c r="BX682" i="15"/>
  <c r="BZ682" i="15" s="1"/>
  <c r="CL557" i="15"/>
  <c r="CK557" i="15"/>
  <c r="CM557" i="15" s="1"/>
  <c r="CH558" i="15"/>
  <c r="CG558" i="15"/>
  <c r="CI558" i="15" s="1"/>
  <c r="J218" i="7"/>
  <c r="K218" i="7"/>
  <c r="CH559" i="15" l="1"/>
  <c r="CG559" i="15"/>
  <c r="CI559" i="15" s="1"/>
  <c r="BY683" i="15"/>
  <c r="BX683" i="15"/>
  <c r="BZ683" i="15" s="1"/>
  <c r="BQ929" i="15"/>
  <c r="BP929" i="15"/>
  <c r="BR929" i="15" s="1"/>
  <c r="CC560" i="15"/>
  <c r="CB560" i="15"/>
  <c r="CD560" i="15" s="1"/>
  <c r="CL558" i="15"/>
  <c r="CK558" i="15"/>
  <c r="CM558" i="15" s="1"/>
  <c r="BU806" i="15"/>
  <c r="BT806" i="15"/>
  <c r="BV806" i="15" s="1"/>
  <c r="L218" i="7"/>
  <c r="BU807" i="15" l="1"/>
  <c r="BT807" i="15"/>
  <c r="BV807" i="15" s="1"/>
  <c r="CC561" i="15"/>
  <c r="CB561" i="15"/>
  <c r="CD561" i="15" s="1"/>
  <c r="BQ930" i="15"/>
  <c r="BP930" i="15"/>
  <c r="BR930" i="15" s="1"/>
  <c r="CH560" i="15"/>
  <c r="CG560" i="15"/>
  <c r="CI560" i="15" s="1"/>
  <c r="CL559" i="15"/>
  <c r="CK559" i="15"/>
  <c r="CM559" i="15" s="1"/>
  <c r="BY684" i="15"/>
  <c r="BX684" i="15"/>
  <c r="BZ684" i="15" s="1"/>
  <c r="J219" i="7"/>
  <c r="K219" i="7"/>
  <c r="BY685" i="15" l="1"/>
  <c r="BX685" i="15"/>
  <c r="BZ685" i="15" s="1"/>
  <c r="CH561" i="15"/>
  <c r="CG561" i="15"/>
  <c r="CI561" i="15" s="1"/>
  <c r="BQ931" i="15"/>
  <c r="BP931" i="15"/>
  <c r="BR931" i="15" s="1"/>
  <c r="BU808" i="15"/>
  <c r="BT808" i="15"/>
  <c r="BV808" i="15" s="1"/>
  <c r="CL560" i="15"/>
  <c r="CK560" i="15"/>
  <c r="CM560" i="15" s="1"/>
  <c r="CC562" i="15"/>
  <c r="CB562" i="15"/>
  <c r="CD562" i="15" s="1"/>
  <c r="L219" i="7"/>
  <c r="CC563" i="15" l="1"/>
  <c r="CB563" i="15"/>
  <c r="CD563" i="15" s="1"/>
  <c r="BU809" i="15"/>
  <c r="BT809" i="15"/>
  <c r="BV809" i="15" s="1"/>
  <c r="BQ932" i="15"/>
  <c r="BP932" i="15"/>
  <c r="BR932" i="15" s="1"/>
  <c r="BY686" i="15"/>
  <c r="BX686" i="15"/>
  <c r="BZ686" i="15" s="1"/>
  <c r="CL561" i="15"/>
  <c r="CK561" i="15"/>
  <c r="CM561" i="15" s="1"/>
  <c r="CH562" i="15"/>
  <c r="CG562" i="15"/>
  <c r="CI562" i="15" s="1"/>
  <c r="J220" i="7"/>
  <c r="L220" i="7" s="1"/>
  <c r="K220" i="7"/>
  <c r="CL562" i="15" l="1"/>
  <c r="CK562" i="15"/>
  <c r="CM562" i="15" s="1"/>
  <c r="BQ933" i="15"/>
  <c r="BP933" i="15"/>
  <c r="BR933" i="15" s="1"/>
  <c r="CC564" i="15"/>
  <c r="CB564" i="15"/>
  <c r="CD564" i="15" s="1"/>
  <c r="CH563" i="15"/>
  <c r="CG563" i="15"/>
  <c r="CI563" i="15" s="1"/>
  <c r="BY687" i="15"/>
  <c r="BX687" i="15"/>
  <c r="BZ687" i="15" s="1"/>
  <c r="BU810" i="15"/>
  <c r="BT810" i="15"/>
  <c r="BV810" i="15" s="1"/>
  <c r="J221" i="7"/>
  <c r="K221" i="7"/>
  <c r="BU811" i="15" l="1"/>
  <c r="BT811" i="15"/>
  <c r="BV811" i="15" s="1"/>
  <c r="CH564" i="15"/>
  <c r="CG564" i="15"/>
  <c r="CI564" i="15" s="1"/>
  <c r="CC565" i="15"/>
  <c r="CB565" i="15"/>
  <c r="CD565" i="15" s="1"/>
  <c r="CL563" i="15"/>
  <c r="CK563" i="15"/>
  <c r="CM563" i="15" s="1"/>
  <c r="BY688" i="15"/>
  <c r="BX688" i="15"/>
  <c r="BZ688" i="15" s="1"/>
  <c r="BQ934" i="15"/>
  <c r="BP934" i="15"/>
  <c r="BR934" i="15" s="1"/>
  <c r="L221" i="7"/>
  <c r="BY689" i="15" l="1"/>
  <c r="BX689" i="15"/>
  <c r="BZ689" i="15" s="1"/>
  <c r="CC566" i="15"/>
  <c r="CB566" i="15"/>
  <c r="CD566" i="15" s="1"/>
  <c r="BU812" i="15"/>
  <c r="BT812" i="15"/>
  <c r="BV812" i="15" s="1"/>
  <c r="BQ935" i="15"/>
  <c r="BP935" i="15"/>
  <c r="BR935" i="15" s="1"/>
  <c r="CL564" i="15"/>
  <c r="CK564" i="15"/>
  <c r="CM564" i="15" s="1"/>
  <c r="CH565" i="15"/>
  <c r="CG565" i="15"/>
  <c r="CI565" i="15" s="1"/>
  <c r="J222" i="7"/>
  <c r="K222" i="7"/>
  <c r="CH566" i="15" l="1"/>
  <c r="CG566" i="15"/>
  <c r="CI566" i="15" s="1"/>
  <c r="BQ936" i="15"/>
  <c r="BP936" i="15"/>
  <c r="BR936" i="15" s="1"/>
  <c r="BU813" i="15"/>
  <c r="BT813" i="15"/>
  <c r="BV813" i="15" s="1"/>
  <c r="BY690" i="15"/>
  <c r="BX690" i="15"/>
  <c r="BZ690" i="15" s="1"/>
  <c r="CL565" i="15"/>
  <c r="CK565" i="15"/>
  <c r="CM565" i="15" s="1"/>
  <c r="CC567" i="15"/>
  <c r="CB567" i="15"/>
  <c r="CD567" i="15" s="1"/>
  <c r="L222" i="7"/>
  <c r="CC568" i="15" l="1"/>
  <c r="CB568" i="15"/>
  <c r="CD568" i="15" s="1"/>
  <c r="BY691" i="15"/>
  <c r="BX691" i="15"/>
  <c r="BZ691" i="15" s="1"/>
  <c r="BU814" i="15"/>
  <c r="BT814" i="15"/>
  <c r="BV814" i="15" s="1"/>
  <c r="CH567" i="15"/>
  <c r="CG567" i="15"/>
  <c r="CI567" i="15" s="1"/>
  <c r="CL566" i="15"/>
  <c r="CK566" i="15"/>
  <c r="CM566" i="15" s="1"/>
  <c r="BQ937" i="15"/>
  <c r="BP937" i="15"/>
  <c r="BR937" i="15" s="1"/>
  <c r="J223" i="7"/>
  <c r="K223" i="7"/>
  <c r="BQ938" i="15" l="1"/>
  <c r="BP938" i="15"/>
  <c r="BR938" i="15" s="1"/>
  <c r="CH568" i="15"/>
  <c r="CG568" i="15"/>
  <c r="CI568" i="15" s="1"/>
  <c r="BU815" i="15"/>
  <c r="BT815" i="15"/>
  <c r="BV815" i="15" s="1"/>
  <c r="CC569" i="15"/>
  <c r="CB569" i="15"/>
  <c r="CD569" i="15" s="1"/>
  <c r="CL567" i="15"/>
  <c r="CK567" i="15"/>
  <c r="CM567" i="15" s="1"/>
  <c r="BY692" i="15"/>
  <c r="BX692" i="15"/>
  <c r="BZ692" i="15" s="1"/>
  <c r="L223" i="7"/>
  <c r="BY693" i="15" l="1"/>
  <c r="BX693" i="15"/>
  <c r="BZ693" i="15" s="1"/>
  <c r="CC570" i="15"/>
  <c r="CB570" i="15"/>
  <c r="CD570" i="15" s="1"/>
  <c r="BU816" i="15"/>
  <c r="BT816" i="15"/>
  <c r="BV816" i="15" s="1"/>
  <c r="BQ939" i="15"/>
  <c r="BP939" i="15"/>
  <c r="BR939" i="15" s="1"/>
  <c r="CL568" i="15"/>
  <c r="CK568" i="15"/>
  <c r="CM568" i="15" s="1"/>
  <c r="CH569" i="15"/>
  <c r="CG569" i="15"/>
  <c r="CI569" i="15" s="1"/>
  <c r="J224" i="7"/>
  <c r="L224" i="7" s="1"/>
  <c r="K224" i="7"/>
  <c r="CH570" i="15" l="1"/>
  <c r="CG570" i="15"/>
  <c r="CI570" i="15" s="1"/>
  <c r="CL569" i="15"/>
  <c r="CK569" i="15"/>
  <c r="CM569" i="15" s="1"/>
  <c r="BU817" i="15"/>
  <c r="BT817" i="15"/>
  <c r="BV817" i="15" s="1"/>
  <c r="BY694" i="15"/>
  <c r="BX694" i="15"/>
  <c r="BZ694" i="15" s="1"/>
  <c r="BQ940" i="15"/>
  <c r="BP940" i="15"/>
  <c r="BR940" i="15" s="1"/>
  <c r="CC571" i="15"/>
  <c r="CB571" i="15"/>
  <c r="CD571" i="15" s="1"/>
  <c r="J225" i="7"/>
  <c r="K225" i="7"/>
  <c r="CC572" i="15" l="1"/>
  <c r="CB572" i="15"/>
  <c r="CD572" i="15" s="1"/>
  <c r="BY695" i="15"/>
  <c r="BX695" i="15"/>
  <c r="BZ695" i="15" s="1"/>
  <c r="BU818" i="15"/>
  <c r="BT818" i="15"/>
  <c r="BV818" i="15" s="1"/>
  <c r="CH571" i="15"/>
  <c r="CG571" i="15"/>
  <c r="CI571" i="15" s="1"/>
  <c r="BQ941" i="15"/>
  <c r="BP941" i="15"/>
  <c r="BR941" i="15" s="1"/>
  <c r="CL570" i="15"/>
  <c r="CK570" i="15"/>
  <c r="CM570" i="15" s="1"/>
  <c r="L225" i="7"/>
  <c r="BQ942" i="15" l="1"/>
  <c r="BP942" i="15"/>
  <c r="BR942" i="15" s="1"/>
  <c r="BU819" i="15"/>
  <c r="BT819" i="15"/>
  <c r="BV819" i="15" s="1"/>
  <c r="CC573" i="15"/>
  <c r="CB573" i="15"/>
  <c r="CD573" i="15" s="1"/>
  <c r="CL571" i="15"/>
  <c r="CK571" i="15"/>
  <c r="CM571" i="15" s="1"/>
  <c r="CH572" i="15"/>
  <c r="CG572" i="15"/>
  <c r="CI572" i="15" s="1"/>
  <c r="BY696" i="15"/>
  <c r="BX696" i="15"/>
  <c r="BZ696" i="15" s="1"/>
  <c r="J226" i="7"/>
  <c r="K226" i="7"/>
  <c r="BY697" i="15" l="1"/>
  <c r="BX697" i="15"/>
  <c r="BZ697" i="15" s="1"/>
  <c r="CL572" i="15"/>
  <c r="CK572" i="15"/>
  <c r="CM572" i="15" s="1"/>
  <c r="CC574" i="15"/>
  <c r="CB574" i="15"/>
  <c r="CD574" i="15" s="1"/>
  <c r="BQ943" i="15"/>
  <c r="BP943" i="15"/>
  <c r="BR943" i="15" s="1"/>
  <c r="CH573" i="15"/>
  <c r="CG573" i="15"/>
  <c r="CI573" i="15" s="1"/>
  <c r="BU820" i="15"/>
  <c r="BT820" i="15"/>
  <c r="BV820" i="15" s="1"/>
  <c r="L226" i="7"/>
  <c r="CH574" i="15" l="1"/>
  <c r="CG574" i="15"/>
  <c r="CI574" i="15" s="1"/>
  <c r="CC575" i="15"/>
  <c r="CB575" i="15"/>
  <c r="CD575" i="15" s="1"/>
  <c r="BY698" i="15"/>
  <c r="BX698" i="15"/>
  <c r="BZ698" i="15" s="1"/>
  <c r="BU821" i="15"/>
  <c r="BT821" i="15"/>
  <c r="BV821" i="15" s="1"/>
  <c r="BQ944" i="15"/>
  <c r="BP944" i="15"/>
  <c r="BR944" i="15" s="1"/>
  <c r="CL573" i="15"/>
  <c r="CK573" i="15"/>
  <c r="CM573" i="15" s="1"/>
  <c r="J227" i="7"/>
  <c r="K227" i="7"/>
  <c r="CL574" i="15" l="1"/>
  <c r="CK574" i="15"/>
  <c r="CM574" i="15" s="1"/>
  <c r="BU822" i="15"/>
  <c r="BT822" i="15"/>
  <c r="BV822" i="15" s="1"/>
  <c r="BY699" i="15"/>
  <c r="BX699" i="15"/>
  <c r="BZ699" i="15" s="1"/>
  <c r="CH575" i="15"/>
  <c r="CG575" i="15"/>
  <c r="CI575" i="15" s="1"/>
  <c r="BQ945" i="15"/>
  <c r="BP945" i="15"/>
  <c r="BR945" i="15" s="1"/>
  <c r="CC576" i="15"/>
  <c r="CB576" i="15"/>
  <c r="CD576" i="15" s="1"/>
  <c r="L227" i="7"/>
  <c r="CC577" i="15" l="1"/>
  <c r="CB577" i="15"/>
  <c r="CD577" i="15" s="1"/>
  <c r="CH576" i="15"/>
  <c r="CG576" i="15"/>
  <c r="CI576" i="15" s="1"/>
  <c r="BY700" i="15"/>
  <c r="BX700" i="15"/>
  <c r="BZ700" i="15" s="1"/>
  <c r="CL575" i="15"/>
  <c r="CK575" i="15"/>
  <c r="CM575" i="15" s="1"/>
  <c r="BQ946" i="15"/>
  <c r="BP946" i="15"/>
  <c r="BR946" i="15" s="1"/>
  <c r="BU823" i="15"/>
  <c r="BT823" i="15"/>
  <c r="BV823" i="15" s="1"/>
  <c r="J228" i="7"/>
  <c r="K228" i="7"/>
  <c r="BU824" i="15" l="1"/>
  <c r="BT824" i="15"/>
  <c r="BV824" i="15" s="1"/>
  <c r="CL576" i="15"/>
  <c r="CK576" i="15"/>
  <c r="CM576" i="15" s="1"/>
  <c r="BY701" i="15"/>
  <c r="BX701" i="15"/>
  <c r="BZ701" i="15" s="1"/>
  <c r="CC578" i="15"/>
  <c r="CB578" i="15"/>
  <c r="CD578" i="15" s="1"/>
  <c r="BQ947" i="15"/>
  <c r="BP947" i="15"/>
  <c r="BR947" i="15" s="1"/>
  <c r="CH577" i="15"/>
  <c r="CG577" i="15"/>
  <c r="CI577" i="15" s="1"/>
  <c r="L228" i="7"/>
  <c r="CH578" i="15" l="1"/>
  <c r="CG578" i="15"/>
  <c r="CI578" i="15" s="1"/>
  <c r="CC579" i="15"/>
  <c r="CB579" i="15"/>
  <c r="CD579" i="15" s="1"/>
  <c r="BY702" i="15"/>
  <c r="BX702" i="15"/>
  <c r="BZ702" i="15" s="1"/>
  <c r="BU825" i="15"/>
  <c r="BT825" i="15"/>
  <c r="BV825" i="15" s="1"/>
  <c r="BQ948" i="15"/>
  <c r="BP948" i="15"/>
  <c r="BR948" i="15" s="1"/>
  <c r="CL577" i="15"/>
  <c r="CK577" i="15"/>
  <c r="CM577" i="15" s="1"/>
  <c r="J229" i="7"/>
  <c r="L229" i="7" s="1"/>
  <c r="K229" i="7"/>
  <c r="BQ949" i="15" l="1"/>
  <c r="BP949" i="15"/>
  <c r="BR949" i="15" s="1"/>
  <c r="BY703" i="15"/>
  <c r="BX703" i="15"/>
  <c r="BZ703" i="15" s="1"/>
  <c r="CH579" i="15"/>
  <c r="CG579" i="15"/>
  <c r="CI579" i="15" s="1"/>
  <c r="CL578" i="15"/>
  <c r="CK578" i="15"/>
  <c r="CM578" i="15" s="1"/>
  <c r="BU826" i="15"/>
  <c r="BT826" i="15"/>
  <c r="BV826" i="15" s="1"/>
  <c r="CC580" i="15"/>
  <c r="CB580" i="15"/>
  <c r="CD580" i="15" s="1"/>
  <c r="J230" i="7"/>
  <c r="K230" i="7"/>
  <c r="CC581" i="15" l="1"/>
  <c r="CB581" i="15"/>
  <c r="CD581" i="15" s="1"/>
  <c r="CL579" i="15"/>
  <c r="CK579" i="15"/>
  <c r="CM579" i="15" s="1"/>
  <c r="CH580" i="15"/>
  <c r="CG580" i="15"/>
  <c r="CI580" i="15" s="1"/>
  <c r="BQ950" i="15"/>
  <c r="BP950" i="15"/>
  <c r="BR950" i="15" s="1"/>
  <c r="BU827" i="15"/>
  <c r="BT827" i="15"/>
  <c r="BV827" i="15" s="1"/>
  <c r="BY704" i="15"/>
  <c r="BX704" i="15"/>
  <c r="BZ704" i="15" s="1"/>
  <c r="L230" i="7"/>
  <c r="BY705" i="15" l="1"/>
  <c r="BX705" i="15"/>
  <c r="BZ705" i="15" s="1"/>
  <c r="BQ951" i="15"/>
  <c r="BP951" i="15"/>
  <c r="BR951" i="15" s="1"/>
  <c r="CH581" i="15"/>
  <c r="CG581" i="15"/>
  <c r="CI581" i="15" s="1"/>
  <c r="CC582" i="15"/>
  <c r="CB582" i="15"/>
  <c r="CD582" i="15" s="1"/>
  <c r="BU828" i="15"/>
  <c r="BT828" i="15"/>
  <c r="BV828" i="15" s="1"/>
  <c r="CL580" i="15"/>
  <c r="CK580" i="15"/>
  <c r="CM580" i="15" s="1"/>
  <c r="J231" i="7"/>
  <c r="K231" i="7"/>
  <c r="CL581" i="15" l="1"/>
  <c r="CK581" i="15"/>
  <c r="CM581" i="15" s="1"/>
  <c r="CC583" i="15"/>
  <c r="CB583" i="15"/>
  <c r="CD583" i="15" s="1"/>
  <c r="CH582" i="15"/>
  <c r="CG582" i="15"/>
  <c r="CI582" i="15" s="1"/>
  <c r="BY706" i="15"/>
  <c r="BX706" i="15"/>
  <c r="BZ706" i="15" s="1"/>
  <c r="BU829" i="15"/>
  <c r="BT829" i="15"/>
  <c r="BV829" i="15" s="1"/>
  <c r="BQ952" i="15"/>
  <c r="BP952" i="15"/>
  <c r="BR952" i="15" s="1"/>
  <c r="L231" i="7"/>
  <c r="BU830" i="15" l="1"/>
  <c r="BT830" i="15"/>
  <c r="BV830" i="15" s="1"/>
  <c r="CH583" i="15"/>
  <c r="CG583" i="15"/>
  <c r="CI583" i="15" s="1"/>
  <c r="CL582" i="15"/>
  <c r="CK582" i="15"/>
  <c r="CM582" i="15" s="1"/>
  <c r="BQ953" i="15"/>
  <c r="BP953" i="15"/>
  <c r="BR953" i="15" s="1"/>
  <c r="BY707" i="15"/>
  <c r="BX707" i="15"/>
  <c r="BZ707" i="15" s="1"/>
  <c r="CC584" i="15"/>
  <c r="CB584" i="15"/>
  <c r="CD584" i="15" s="1"/>
  <c r="J232" i="7"/>
  <c r="K232" i="7"/>
  <c r="CC585" i="15" l="1"/>
  <c r="CB585" i="15"/>
  <c r="CD585" i="15" s="1"/>
  <c r="BQ954" i="15"/>
  <c r="BP954" i="15"/>
  <c r="BR954" i="15" s="1"/>
  <c r="CL583" i="15"/>
  <c r="CK583" i="15"/>
  <c r="CM583" i="15" s="1"/>
  <c r="BU831" i="15"/>
  <c r="BT831" i="15"/>
  <c r="BV831" i="15" s="1"/>
  <c r="BY708" i="15"/>
  <c r="BX708" i="15"/>
  <c r="BZ708" i="15" s="1"/>
  <c r="CH584" i="15"/>
  <c r="CG584" i="15"/>
  <c r="CI584" i="15" s="1"/>
  <c r="L232" i="7"/>
  <c r="CH585" i="15" l="1"/>
  <c r="CG585" i="15"/>
  <c r="CI585" i="15" s="1"/>
  <c r="BU832" i="15"/>
  <c r="BT832" i="15"/>
  <c r="BV832" i="15" s="1"/>
  <c r="CL584" i="15"/>
  <c r="CK584" i="15"/>
  <c r="CM584" i="15" s="1"/>
  <c r="CC586" i="15"/>
  <c r="CB586" i="15"/>
  <c r="CD586" i="15" s="1"/>
  <c r="BY709" i="15"/>
  <c r="BX709" i="15"/>
  <c r="BZ709" i="15" s="1"/>
  <c r="BQ955" i="15"/>
  <c r="BP955" i="15"/>
  <c r="BR955" i="15" s="1"/>
  <c r="J233" i="7"/>
  <c r="K233" i="7"/>
  <c r="BQ956" i="15" l="1"/>
  <c r="BP956" i="15"/>
  <c r="BR956" i="15" s="1"/>
  <c r="CC587" i="15"/>
  <c r="CB587" i="15"/>
  <c r="CD587" i="15" s="1"/>
  <c r="CL585" i="15"/>
  <c r="CK585" i="15"/>
  <c r="CM585" i="15" s="1"/>
  <c r="CH586" i="15"/>
  <c r="CG586" i="15"/>
  <c r="CI586" i="15" s="1"/>
  <c r="BY710" i="15"/>
  <c r="BX710" i="15"/>
  <c r="BZ710" i="15" s="1"/>
  <c r="BU833" i="15"/>
  <c r="BT833" i="15"/>
  <c r="BV833" i="15" s="1"/>
  <c r="L233" i="7"/>
  <c r="BU834" i="15" l="1"/>
  <c r="BT834" i="15"/>
  <c r="BV834" i="15" s="1"/>
  <c r="CH587" i="15"/>
  <c r="CG587" i="15"/>
  <c r="CI587" i="15" s="1"/>
  <c r="CL586" i="15"/>
  <c r="CK586" i="15"/>
  <c r="CM586" i="15" s="1"/>
  <c r="BQ957" i="15"/>
  <c r="BP957" i="15"/>
  <c r="BR957" i="15" s="1"/>
  <c r="BY711" i="15"/>
  <c r="BX711" i="15"/>
  <c r="BZ711" i="15" s="1"/>
  <c r="CC588" i="15"/>
  <c r="CB588" i="15"/>
  <c r="CD588" i="15" s="1"/>
  <c r="J234" i="7"/>
  <c r="K234" i="7"/>
  <c r="CC589" i="15" l="1"/>
  <c r="CB589" i="15"/>
  <c r="CD589" i="15" s="1"/>
  <c r="BQ958" i="15"/>
  <c r="BP958" i="15"/>
  <c r="BR958" i="15" s="1"/>
  <c r="CL587" i="15"/>
  <c r="CK587" i="15"/>
  <c r="CM587" i="15" s="1"/>
  <c r="BU835" i="15"/>
  <c r="BT835" i="15"/>
  <c r="BV835" i="15" s="1"/>
  <c r="BY712" i="15"/>
  <c r="BX712" i="15"/>
  <c r="BZ712" i="15" s="1"/>
  <c r="CH588" i="15"/>
  <c r="CG588" i="15"/>
  <c r="CI588" i="15" s="1"/>
  <c r="L234" i="7"/>
  <c r="CH589" i="15" l="1"/>
  <c r="CG589" i="15"/>
  <c r="CI589" i="15" s="1"/>
  <c r="BU836" i="15"/>
  <c r="BT836" i="15"/>
  <c r="BV836" i="15" s="1"/>
  <c r="CL588" i="15"/>
  <c r="CK588" i="15"/>
  <c r="CM588" i="15" s="1"/>
  <c r="CC590" i="15"/>
  <c r="CB590" i="15"/>
  <c r="CD590" i="15" s="1"/>
  <c r="BY713" i="15"/>
  <c r="BX713" i="15"/>
  <c r="BZ713" i="15" s="1"/>
  <c r="BQ959" i="15"/>
  <c r="BP959" i="15"/>
  <c r="BR959" i="15" s="1"/>
  <c r="J235" i="7"/>
  <c r="K235" i="7"/>
  <c r="BQ960" i="15" l="1"/>
  <c r="BP960" i="15"/>
  <c r="BR960" i="15" s="1"/>
  <c r="CC591" i="15"/>
  <c r="CB591" i="15"/>
  <c r="CD591" i="15" s="1"/>
  <c r="CL589" i="15"/>
  <c r="CK589" i="15"/>
  <c r="CM589" i="15" s="1"/>
  <c r="CH590" i="15"/>
  <c r="CG590" i="15"/>
  <c r="CI590" i="15" s="1"/>
  <c r="BY714" i="15"/>
  <c r="BX714" i="15"/>
  <c r="BZ714" i="15" s="1"/>
  <c r="BU837" i="15"/>
  <c r="BT837" i="15"/>
  <c r="BV837" i="15" s="1"/>
  <c r="L235" i="7"/>
  <c r="BY715" i="15" l="1"/>
  <c r="BX715" i="15"/>
  <c r="BZ715" i="15" s="1"/>
  <c r="CL590" i="15"/>
  <c r="CK590" i="15"/>
  <c r="CM590" i="15" s="1"/>
  <c r="BQ961" i="15"/>
  <c r="BP961" i="15"/>
  <c r="BR961" i="15" s="1"/>
  <c r="BU838" i="15"/>
  <c r="BT838" i="15"/>
  <c r="BV838" i="15" s="1"/>
  <c r="CH591" i="15"/>
  <c r="CG591" i="15"/>
  <c r="CI591" i="15" s="1"/>
  <c r="CC592" i="15"/>
  <c r="CB592" i="15"/>
  <c r="CD592" i="15" s="1"/>
  <c r="J236" i="7"/>
  <c r="K236" i="7"/>
  <c r="CH592" i="15" l="1"/>
  <c r="CG592" i="15"/>
  <c r="CI592" i="15" s="1"/>
  <c r="BQ962" i="15"/>
  <c r="BP962" i="15"/>
  <c r="BR962" i="15" s="1"/>
  <c r="BY716" i="15"/>
  <c r="BX716" i="15"/>
  <c r="BZ716" i="15" s="1"/>
  <c r="CC593" i="15"/>
  <c r="CB593" i="15"/>
  <c r="CD593" i="15" s="1"/>
  <c r="BU839" i="15"/>
  <c r="BT839" i="15"/>
  <c r="BV839" i="15" s="1"/>
  <c r="CL591" i="15"/>
  <c r="CK591" i="15"/>
  <c r="CM591" i="15" s="1"/>
  <c r="L236" i="7"/>
  <c r="BU840" i="15" l="1"/>
  <c r="BT840" i="15"/>
  <c r="BV840" i="15" s="1"/>
  <c r="CC594" i="15"/>
  <c r="CB594" i="15"/>
  <c r="CD594" i="15" s="1"/>
  <c r="BY717" i="15"/>
  <c r="BX717" i="15"/>
  <c r="BZ717" i="15" s="1"/>
  <c r="CH593" i="15"/>
  <c r="CG593" i="15"/>
  <c r="CI593" i="15" s="1"/>
  <c r="CL592" i="15"/>
  <c r="CK592" i="15"/>
  <c r="CM592" i="15" s="1"/>
  <c r="BQ963" i="15"/>
  <c r="BP963" i="15"/>
  <c r="BR963" i="15" s="1"/>
  <c r="J237" i="7"/>
  <c r="K237" i="7"/>
  <c r="CH594" i="15" l="1"/>
  <c r="CG594" i="15"/>
  <c r="CI594" i="15" s="1"/>
  <c r="BQ964" i="15"/>
  <c r="BP964" i="15"/>
  <c r="BR964" i="15" s="1"/>
  <c r="CL593" i="15"/>
  <c r="CK593" i="15"/>
  <c r="CM593" i="15" s="1"/>
  <c r="BY718" i="15"/>
  <c r="BX718" i="15"/>
  <c r="BZ718" i="15" s="1"/>
  <c r="CC595" i="15"/>
  <c r="CB595" i="15"/>
  <c r="CD595" i="15" s="1"/>
  <c r="BU841" i="15"/>
  <c r="BT841" i="15"/>
  <c r="BV841" i="15" s="1"/>
  <c r="L237" i="7"/>
  <c r="BU842" i="15" l="1"/>
  <c r="BT842" i="15"/>
  <c r="BV842" i="15" s="1"/>
  <c r="BY719" i="15"/>
  <c r="BX719" i="15"/>
  <c r="BZ719" i="15" s="1"/>
  <c r="CL594" i="15"/>
  <c r="CK594" i="15"/>
  <c r="CM594" i="15" s="1"/>
  <c r="CH595" i="15"/>
  <c r="CG595" i="15"/>
  <c r="CI595" i="15" s="1"/>
  <c r="CC596" i="15"/>
  <c r="CB596" i="15"/>
  <c r="CD596" i="15" s="1"/>
  <c r="BQ965" i="15"/>
  <c r="BP965" i="15"/>
  <c r="BR965" i="15" s="1"/>
  <c r="J238" i="7"/>
  <c r="K238" i="7"/>
  <c r="BQ966" i="15" l="1"/>
  <c r="BP966" i="15"/>
  <c r="BR966" i="15" s="1"/>
  <c r="CH596" i="15"/>
  <c r="CG596" i="15"/>
  <c r="CI596" i="15" s="1"/>
  <c r="CL595" i="15"/>
  <c r="CK595" i="15"/>
  <c r="CM595" i="15" s="1"/>
  <c r="BU843" i="15"/>
  <c r="BT843" i="15"/>
  <c r="BV843" i="15" s="1"/>
  <c r="CC597" i="15"/>
  <c r="CB597" i="15"/>
  <c r="CD597" i="15" s="1"/>
  <c r="BY720" i="15"/>
  <c r="BX720" i="15"/>
  <c r="BZ720" i="15" s="1"/>
  <c r="L238" i="7"/>
  <c r="BY721" i="15" l="1"/>
  <c r="BX721" i="15"/>
  <c r="BZ721" i="15" s="1"/>
  <c r="BU844" i="15"/>
  <c r="BT844" i="15"/>
  <c r="BV844" i="15" s="1"/>
  <c r="CL596" i="15"/>
  <c r="CK596" i="15"/>
  <c r="CM596" i="15" s="1"/>
  <c r="BQ967" i="15"/>
  <c r="BP967" i="15"/>
  <c r="BR967" i="15" s="1"/>
  <c r="CC598" i="15"/>
  <c r="CB598" i="15"/>
  <c r="CD598" i="15" s="1"/>
  <c r="CH597" i="15"/>
  <c r="CG597" i="15"/>
  <c r="CI597" i="15" s="1"/>
  <c r="J239" i="7"/>
  <c r="K239" i="7"/>
  <c r="CH598" i="15" l="1"/>
  <c r="CG598" i="15"/>
  <c r="CI598" i="15" s="1"/>
  <c r="CC599" i="15"/>
  <c r="CB599" i="15"/>
  <c r="CD599" i="15" s="1"/>
  <c r="BQ968" i="15"/>
  <c r="BP968" i="15"/>
  <c r="BR968" i="15" s="1"/>
  <c r="CL597" i="15"/>
  <c r="CK597" i="15"/>
  <c r="CM597" i="15" s="1"/>
  <c r="BU845" i="15"/>
  <c r="BT845" i="15"/>
  <c r="BV845" i="15" s="1"/>
  <c r="BY722" i="15"/>
  <c r="BX722" i="15"/>
  <c r="BZ722" i="15" s="1"/>
  <c r="L239" i="7"/>
  <c r="BU846" i="15" l="1"/>
  <c r="BT846" i="15"/>
  <c r="BV846" i="15" s="1"/>
  <c r="CL598" i="15"/>
  <c r="CK598" i="15"/>
  <c r="CM598" i="15" s="1"/>
  <c r="BQ969" i="15"/>
  <c r="BP969" i="15"/>
  <c r="BR969" i="15" s="1"/>
  <c r="CH599" i="15"/>
  <c r="CG599" i="15"/>
  <c r="CI599" i="15" s="1"/>
  <c r="BY723" i="15"/>
  <c r="BX723" i="15"/>
  <c r="BZ723" i="15" s="1"/>
  <c r="CC600" i="15"/>
  <c r="CB600" i="15"/>
  <c r="CD600" i="15" s="1"/>
  <c r="J240" i="7"/>
  <c r="K240" i="7"/>
  <c r="CC601" i="15" l="1"/>
  <c r="CB601" i="15"/>
  <c r="CD601" i="15" s="1"/>
  <c r="CH600" i="15"/>
  <c r="CG600" i="15"/>
  <c r="CI600" i="15" s="1"/>
  <c r="BQ970" i="15"/>
  <c r="BP970" i="15"/>
  <c r="BR970" i="15" s="1"/>
  <c r="BU847" i="15"/>
  <c r="BT847" i="15"/>
  <c r="BV847" i="15" s="1"/>
  <c r="BY724" i="15"/>
  <c r="BX724" i="15"/>
  <c r="BZ724" i="15" s="1"/>
  <c r="CL599" i="15"/>
  <c r="CK599" i="15"/>
  <c r="CM599" i="15" s="1"/>
  <c r="L240" i="7"/>
  <c r="BY725" i="15" l="1"/>
  <c r="BX725" i="15"/>
  <c r="BZ725" i="15" s="1"/>
  <c r="BQ971" i="15"/>
  <c r="BP971" i="15"/>
  <c r="BR971" i="15" s="1"/>
  <c r="CC602" i="15"/>
  <c r="CB602" i="15"/>
  <c r="CD602" i="15" s="1"/>
  <c r="CL600" i="15"/>
  <c r="CK600" i="15"/>
  <c r="CM600" i="15" s="1"/>
  <c r="BU848" i="15"/>
  <c r="BT848" i="15"/>
  <c r="BV848" i="15" s="1"/>
  <c r="CH601" i="15"/>
  <c r="CG601" i="15"/>
  <c r="CI601" i="15" s="1"/>
  <c r="J241" i="7"/>
  <c r="K241" i="7"/>
  <c r="CH602" i="15" l="1"/>
  <c r="CG602" i="15"/>
  <c r="CI602" i="15" s="1"/>
  <c r="CL601" i="15"/>
  <c r="CK601" i="15"/>
  <c r="CM601" i="15" s="1"/>
  <c r="CC603" i="15"/>
  <c r="CB603" i="15"/>
  <c r="CD603" i="15" s="1"/>
  <c r="BY726" i="15"/>
  <c r="BX726" i="15"/>
  <c r="BZ726" i="15" s="1"/>
  <c r="BU849" i="15"/>
  <c r="BT849" i="15"/>
  <c r="BV849" i="15" s="1"/>
  <c r="BQ972" i="15"/>
  <c r="BP972" i="15"/>
  <c r="BR972" i="15" s="1"/>
  <c r="L241" i="7"/>
  <c r="BU850" i="15" l="1"/>
  <c r="BT850" i="15"/>
  <c r="BV850" i="15" s="1"/>
  <c r="CC604" i="15"/>
  <c r="CB604" i="15"/>
  <c r="CD604" i="15" s="1"/>
  <c r="CH603" i="15"/>
  <c r="CG603" i="15"/>
  <c r="CI603" i="15" s="1"/>
  <c r="BQ973" i="15"/>
  <c r="BP973" i="15"/>
  <c r="BR973" i="15" s="1"/>
  <c r="BY727" i="15"/>
  <c r="BX727" i="15"/>
  <c r="BZ727" i="15" s="1"/>
  <c r="CL602" i="15"/>
  <c r="CK602" i="15"/>
  <c r="CM602" i="15" s="1"/>
  <c r="J242" i="7"/>
  <c r="K242" i="7"/>
  <c r="CL603" i="15" l="1"/>
  <c r="CK603" i="15"/>
  <c r="CM603" i="15" s="1"/>
  <c r="BQ974" i="15"/>
  <c r="BP974" i="15"/>
  <c r="BR974" i="15" s="1"/>
  <c r="CH604" i="15"/>
  <c r="CG604" i="15"/>
  <c r="CI604" i="15" s="1"/>
  <c r="BU851" i="15"/>
  <c r="BT851" i="15"/>
  <c r="BV851" i="15" s="1"/>
  <c r="BY728" i="15"/>
  <c r="BX728" i="15"/>
  <c r="BZ728" i="15" s="1"/>
  <c r="CC605" i="15"/>
  <c r="CB605" i="15"/>
  <c r="CD605" i="15" s="1"/>
  <c r="L242" i="7"/>
  <c r="CC606" i="15" l="1"/>
  <c r="CB606" i="15"/>
  <c r="CD606" i="15" s="1"/>
  <c r="BU852" i="15"/>
  <c r="BT852" i="15"/>
  <c r="BV852" i="15" s="1"/>
  <c r="CH605" i="15"/>
  <c r="CG605" i="15"/>
  <c r="CI605" i="15" s="1"/>
  <c r="CL604" i="15"/>
  <c r="CK604" i="15"/>
  <c r="CM604" i="15" s="1"/>
  <c r="BY729" i="15"/>
  <c r="BX729" i="15"/>
  <c r="BZ729" i="15" s="1"/>
  <c r="BQ975" i="15"/>
  <c r="BP975" i="15"/>
  <c r="BR975" i="15" s="1"/>
  <c r="J243" i="7"/>
  <c r="K243" i="7"/>
  <c r="BQ976" i="15" l="1"/>
  <c r="BP976" i="15"/>
  <c r="BR976" i="15" s="1"/>
  <c r="CL605" i="15"/>
  <c r="CK605" i="15"/>
  <c r="CM605" i="15" s="1"/>
  <c r="CH606" i="15"/>
  <c r="CG606" i="15"/>
  <c r="CI606" i="15" s="1"/>
  <c r="CC607" i="15"/>
  <c r="CB607" i="15"/>
  <c r="CD607" i="15" s="1"/>
  <c r="BY730" i="15"/>
  <c r="BX730" i="15"/>
  <c r="BZ730" i="15" s="1"/>
  <c r="BU853" i="15"/>
  <c r="BT853" i="15"/>
  <c r="BV853" i="15" s="1"/>
  <c r="J431" i="7"/>
  <c r="L243" i="7"/>
  <c r="B39" i="7"/>
  <c r="C39" i="7" s="1"/>
  <c r="BU854" i="15" l="1"/>
  <c r="BT854" i="15"/>
  <c r="BV854" i="15" s="1"/>
  <c r="CC608" i="15"/>
  <c r="CB608" i="15"/>
  <c r="CD608" i="15" s="1"/>
  <c r="CH607" i="15"/>
  <c r="CG607" i="15"/>
  <c r="CI607" i="15" s="1"/>
  <c r="BQ977" i="15"/>
  <c r="BP977" i="15"/>
  <c r="BR977" i="15" s="1"/>
  <c r="BY731" i="15"/>
  <c r="BX731" i="15"/>
  <c r="BZ731" i="15" s="1"/>
  <c r="CL606" i="15"/>
  <c r="CK606" i="15"/>
  <c r="CM606" i="15" s="1"/>
  <c r="J244" i="7"/>
  <c r="K244" i="7"/>
  <c r="K431" i="7"/>
  <c r="J442" i="7"/>
  <c r="CL607" i="15" l="1"/>
  <c r="CK607" i="15"/>
  <c r="CM607" i="15" s="1"/>
  <c r="BQ978" i="15"/>
  <c r="BP978" i="15"/>
  <c r="BR978" i="15" s="1"/>
  <c r="CH608" i="15"/>
  <c r="CG608" i="15"/>
  <c r="CI608" i="15" s="1"/>
  <c r="BU855" i="15"/>
  <c r="BT855" i="15"/>
  <c r="BV855" i="15" s="1"/>
  <c r="BY732" i="15"/>
  <c r="BX732" i="15"/>
  <c r="BZ732" i="15" s="1"/>
  <c r="CC609" i="15"/>
  <c r="CB609" i="15"/>
  <c r="CD609" i="15" s="1"/>
  <c r="K442" i="7"/>
  <c r="D14" i="18" s="1"/>
  <c r="C14" i="18"/>
  <c r="L244" i="7"/>
  <c r="CC610" i="15" l="1"/>
  <c r="CB610" i="15"/>
  <c r="CD610" i="15" s="1"/>
  <c r="BU856" i="15"/>
  <c r="BT856" i="15"/>
  <c r="BV856" i="15" s="1"/>
  <c r="CH609" i="15"/>
  <c r="CG609" i="15"/>
  <c r="CI609" i="15" s="1"/>
  <c r="CL608" i="15"/>
  <c r="CK608" i="15"/>
  <c r="CM608" i="15" s="1"/>
  <c r="BY733" i="15"/>
  <c r="BX733" i="15"/>
  <c r="BZ733" i="15" s="1"/>
  <c r="BQ979" i="15"/>
  <c r="BP979" i="15"/>
  <c r="BR979" i="15" s="1"/>
  <c r="J245" i="7"/>
  <c r="K245" i="7"/>
  <c r="BQ980" i="15" l="1"/>
  <c r="BP980" i="15"/>
  <c r="BR980" i="15" s="1"/>
  <c r="CL609" i="15"/>
  <c r="CK609" i="15"/>
  <c r="CM609" i="15" s="1"/>
  <c r="CH610" i="15"/>
  <c r="CG610" i="15"/>
  <c r="CI610" i="15" s="1"/>
  <c r="CC611" i="15"/>
  <c r="CB611" i="15"/>
  <c r="CD611" i="15" s="1"/>
  <c r="BY734" i="15"/>
  <c r="BX734" i="15"/>
  <c r="BZ734" i="15" s="1"/>
  <c r="BU857" i="15"/>
  <c r="BT857" i="15"/>
  <c r="BV857" i="15" s="1"/>
  <c r="L245" i="7"/>
  <c r="BU858" i="15" l="1"/>
  <c r="BT858" i="15"/>
  <c r="BV858" i="15" s="1"/>
  <c r="CC612" i="15"/>
  <c r="CB612" i="15"/>
  <c r="CD612" i="15" s="1"/>
  <c r="CH611" i="15"/>
  <c r="CG611" i="15"/>
  <c r="CI611" i="15" s="1"/>
  <c r="BQ981" i="15"/>
  <c r="BP981" i="15"/>
  <c r="BR981" i="15" s="1"/>
  <c r="BY735" i="15"/>
  <c r="BX735" i="15"/>
  <c r="BZ735" i="15" s="1"/>
  <c r="CL610" i="15"/>
  <c r="CK610" i="15"/>
  <c r="CM610" i="15" s="1"/>
  <c r="J246" i="7"/>
  <c r="K246" i="7"/>
  <c r="CL611" i="15" l="1"/>
  <c r="CK611" i="15"/>
  <c r="CM611" i="15" s="1"/>
  <c r="BQ982" i="15"/>
  <c r="BP982" i="15"/>
  <c r="BR982" i="15" s="1"/>
  <c r="CH612" i="15"/>
  <c r="CG612" i="15"/>
  <c r="CI612" i="15" s="1"/>
  <c r="BU859" i="15"/>
  <c r="BT859" i="15"/>
  <c r="BV859" i="15" s="1"/>
  <c r="BY736" i="15"/>
  <c r="BX736" i="15"/>
  <c r="BZ736" i="15" s="1"/>
  <c r="CC613" i="15"/>
  <c r="CB613" i="15"/>
  <c r="CD613" i="15" s="1"/>
  <c r="L246" i="7"/>
  <c r="CC614" i="15" l="1"/>
  <c r="CB614" i="15"/>
  <c r="CD614" i="15" s="1"/>
  <c r="BU860" i="15"/>
  <c r="BT860" i="15"/>
  <c r="BV860" i="15" s="1"/>
  <c r="CH613" i="15"/>
  <c r="CG613" i="15"/>
  <c r="CI613" i="15" s="1"/>
  <c r="CL612" i="15"/>
  <c r="CK612" i="15"/>
  <c r="CM612" i="15" s="1"/>
  <c r="BY737" i="15"/>
  <c r="BX737" i="15"/>
  <c r="BZ737" i="15" s="1"/>
  <c r="BQ983" i="15"/>
  <c r="BP983" i="15"/>
  <c r="BR983" i="15" s="1"/>
  <c r="J247" i="7"/>
  <c r="K247" i="7"/>
  <c r="BQ984" i="15" l="1"/>
  <c r="BP984" i="15"/>
  <c r="BR984" i="15" s="1"/>
  <c r="CL613" i="15"/>
  <c r="CK613" i="15"/>
  <c r="CM613" i="15" s="1"/>
  <c r="CH614" i="15"/>
  <c r="CG614" i="15"/>
  <c r="CI614" i="15" s="1"/>
  <c r="CC615" i="15"/>
  <c r="CB615" i="15"/>
  <c r="CD615" i="15" s="1"/>
  <c r="BY738" i="15"/>
  <c r="BX738" i="15"/>
  <c r="BZ738" i="15" s="1"/>
  <c r="BU861" i="15"/>
  <c r="BT861" i="15"/>
  <c r="BV861" i="15" s="1"/>
  <c r="L247" i="7"/>
  <c r="BY739" i="15" l="1"/>
  <c r="BX739" i="15"/>
  <c r="BZ739" i="15" s="1"/>
  <c r="CH615" i="15"/>
  <c r="CG615" i="15"/>
  <c r="CI615" i="15" s="1"/>
  <c r="BQ985" i="15"/>
  <c r="BP985" i="15"/>
  <c r="BR985" i="15" s="1"/>
  <c r="BU862" i="15"/>
  <c r="BT862" i="15"/>
  <c r="BV862" i="15" s="1"/>
  <c r="CC616" i="15"/>
  <c r="CB616" i="15"/>
  <c r="CD616" i="15" s="1"/>
  <c r="CL614" i="15"/>
  <c r="CK614" i="15"/>
  <c r="CM614" i="15" s="1"/>
  <c r="J248" i="7"/>
  <c r="K248" i="7"/>
  <c r="CL615" i="15" l="1"/>
  <c r="CK615" i="15"/>
  <c r="CM615" i="15" s="1"/>
  <c r="BU863" i="15"/>
  <c r="BT863" i="15"/>
  <c r="BV863" i="15" s="1"/>
  <c r="BQ986" i="15"/>
  <c r="BP986" i="15"/>
  <c r="BR986" i="15" s="1"/>
  <c r="BY740" i="15"/>
  <c r="BX740" i="15"/>
  <c r="BZ740" i="15" s="1"/>
  <c r="CC617" i="15"/>
  <c r="CB617" i="15"/>
  <c r="CD617" i="15" s="1"/>
  <c r="CH616" i="15"/>
  <c r="CG616" i="15"/>
  <c r="CI616" i="15" s="1"/>
  <c r="L248" i="7"/>
  <c r="CH617" i="15" l="1"/>
  <c r="CG617" i="15"/>
  <c r="CI617" i="15" s="1"/>
  <c r="BY741" i="15"/>
  <c r="BX741" i="15"/>
  <c r="BZ741" i="15" s="1"/>
  <c r="BQ987" i="15"/>
  <c r="BP987" i="15"/>
  <c r="BR987" i="15" s="1"/>
  <c r="CL616" i="15"/>
  <c r="CK616" i="15"/>
  <c r="CM616" i="15" s="1"/>
  <c r="CC618" i="15"/>
  <c r="CB618" i="15"/>
  <c r="CD618" i="15" s="1"/>
  <c r="BU864" i="15"/>
  <c r="BT864" i="15"/>
  <c r="BV864" i="15" s="1"/>
  <c r="J249" i="7"/>
  <c r="L249" i="7" s="1"/>
  <c r="K249" i="7"/>
  <c r="CC619" i="15" l="1"/>
  <c r="CB619" i="15"/>
  <c r="CD619" i="15" s="1"/>
  <c r="BQ988" i="15"/>
  <c r="BP988" i="15"/>
  <c r="BR988" i="15" s="1"/>
  <c r="CH618" i="15"/>
  <c r="CG618" i="15"/>
  <c r="CI618" i="15" s="1"/>
  <c r="BU865" i="15"/>
  <c r="BT865" i="15"/>
  <c r="BV865" i="15" s="1"/>
  <c r="CL617" i="15"/>
  <c r="CK617" i="15"/>
  <c r="CM617" i="15" s="1"/>
  <c r="BY742" i="15"/>
  <c r="BX742" i="15"/>
  <c r="BZ742" i="15" s="1"/>
  <c r="J250" i="7"/>
  <c r="K250" i="7"/>
  <c r="BY743" i="15" l="1"/>
  <c r="BX743" i="15"/>
  <c r="BZ743" i="15" s="1"/>
  <c r="BU866" i="15"/>
  <c r="BT866" i="15"/>
  <c r="BV866" i="15" s="1"/>
  <c r="CH619" i="15"/>
  <c r="CG619" i="15"/>
  <c r="CI619" i="15" s="1"/>
  <c r="CC620" i="15"/>
  <c r="CB620" i="15"/>
  <c r="CD620" i="15" s="1"/>
  <c r="CL618" i="15"/>
  <c r="CK618" i="15"/>
  <c r="CM618" i="15" s="1"/>
  <c r="BQ989" i="15"/>
  <c r="BP989" i="15"/>
  <c r="BR989" i="15" s="1"/>
  <c r="L250" i="7"/>
  <c r="BQ990" i="15" l="1"/>
  <c r="BP990" i="15"/>
  <c r="BR990" i="15" s="1"/>
  <c r="CC621" i="15"/>
  <c r="CB621" i="15"/>
  <c r="CD621" i="15" s="1"/>
  <c r="CH620" i="15"/>
  <c r="CG620" i="15"/>
  <c r="CI620" i="15" s="1"/>
  <c r="BY744" i="15"/>
  <c r="BX744" i="15"/>
  <c r="BZ744" i="15" s="1"/>
  <c r="CL619" i="15"/>
  <c r="CK619" i="15"/>
  <c r="CM619" i="15" s="1"/>
  <c r="BU867" i="15"/>
  <c r="BT867" i="15"/>
  <c r="BV867" i="15" s="1"/>
  <c r="J251" i="7"/>
  <c r="K251" i="7"/>
  <c r="CL620" i="15" l="1"/>
  <c r="CK620" i="15"/>
  <c r="CM620" i="15" s="1"/>
  <c r="BY745" i="15"/>
  <c r="BX745" i="15"/>
  <c r="BZ745" i="15" s="1"/>
  <c r="CH621" i="15"/>
  <c r="CG621" i="15"/>
  <c r="CI621" i="15" s="1"/>
  <c r="BQ991" i="15"/>
  <c r="BP991" i="15"/>
  <c r="BR991" i="15" s="1"/>
  <c r="BU868" i="15"/>
  <c r="BT868" i="15"/>
  <c r="BV868" i="15" s="1"/>
  <c r="CC622" i="15"/>
  <c r="CB622" i="15"/>
  <c r="CD622" i="15" s="1"/>
  <c r="L251" i="7"/>
  <c r="CC623" i="15" l="1"/>
  <c r="CB623" i="15"/>
  <c r="CD623" i="15" s="1"/>
  <c r="BU869" i="15"/>
  <c r="BT869" i="15"/>
  <c r="BV869" i="15" s="1"/>
  <c r="CH622" i="15"/>
  <c r="CG622" i="15"/>
  <c r="CI622" i="15" s="1"/>
  <c r="CL621" i="15"/>
  <c r="CK621" i="15"/>
  <c r="CM621" i="15" s="1"/>
  <c r="BQ992" i="15"/>
  <c r="BP992" i="15"/>
  <c r="BR992" i="15" s="1"/>
  <c r="BY746" i="15"/>
  <c r="BX746" i="15"/>
  <c r="BZ746" i="15" s="1"/>
  <c r="J252" i="7"/>
  <c r="K252" i="7"/>
  <c r="BY747" i="15" l="1"/>
  <c r="BX747" i="15"/>
  <c r="BZ747" i="15" s="1"/>
  <c r="CL622" i="15"/>
  <c r="CK622" i="15"/>
  <c r="CM622" i="15" s="1"/>
  <c r="CH623" i="15"/>
  <c r="CG623" i="15"/>
  <c r="CI623" i="15" s="1"/>
  <c r="CC624" i="15"/>
  <c r="CB624" i="15"/>
  <c r="CD624" i="15" s="1"/>
  <c r="BQ993" i="15"/>
  <c r="BP993" i="15"/>
  <c r="BR993" i="15" s="1"/>
  <c r="BU870" i="15"/>
  <c r="BT870" i="15"/>
  <c r="BV870" i="15" s="1"/>
  <c r="L252" i="7"/>
  <c r="BQ994" i="15" l="1"/>
  <c r="BP994" i="15"/>
  <c r="BR994" i="15" s="1"/>
  <c r="CH624" i="15"/>
  <c r="CG624" i="15"/>
  <c r="CI624" i="15" s="1"/>
  <c r="BY748" i="15"/>
  <c r="BX748" i="15"/>
  <c r="BZ748" i="15" s="1"/>
  <c r="BU871" i="15"/>
  <c r="BT871" i="15"/>
  <c r="BV871" i="15" s="1"/>
  <c r="CC625" i="15"/>
  <c r="CB625" i="15"/>
  <c r="CD625" i="15" s="1"/>
  <c r="CL623" i="15"/>
  <c r="CK623" i="15"/>
  <c r="CM623" i="15" s="1"/>
  <c r="J253" i="7"/>
  <c r="K253" i="7"/>
  <c r="CC626" i="15" l="1"/>
  <c r="CB626" i="15"/>
  <c r="CD626" i="15" s="1"/>
  <c r="BY749" i="15"/>
  <c r="BX749" i="15"/>
  <c r="BZ749" i="15" s="1"/>
  <c r="BQ995" i="15"/>
  <c r="BP995" i="15"/>
  <c r="BR995" i="15" s="1"/>
  <c r="CL624" i="15"/>
  <c r="CK624" i="15"/>
  <c r="CM624" i="15" s="1"/>
  <c r="BU872" i="15"/>
  <c r="BT872" i="15"/>
  <c r="BV872" i="15" s="1"/>
  <c r="CH625" i="15"/>
  <c r="CG625" i="15"/>
  <c r="CI625" i="15" s="1"/>
  <c r="L253" i="7"/>
  <c r="BU873" i="15" l="1"/>
  <c r="BT873" i="15"/>
  <c r="BV873" i="15" s="1"/>
  <c r="BQ996" i="15"/>
  <c r="BP996" i="15"/>
  <c r="BR996" i="15" s="1"/>
  <c r="CC627" i="15"/>
  <c r="CB627" i="15"/>
  <c r="CD627" i="15" s="1"/>
  <c r="CH626" i="15"/>
  <c r="CG626" i="15"/>
  <c r="CI626" i="15" s="1"/>
  <c r="CL625" i="15"/>
  <c r="CK625" i="15"/>
  <c r="CM625" i="15" s="1"/>
  <c r="BY750" i="15"/>
  <c r="BX750" i="15"/>
  <c r="BZ750" i="15" s="1"/>
  <c r="J254" i="7"/>
  <c r="K254" i="7"/>
  <c r="CL626" i="15" l="1"/>
  <c r="CK626" i="15"/>
  <c r="CM626" i="15" s="1"/>
  <c r="CC628" i="15"/>
  <c r="CB628" i="15"/>
  <c r="CD628" i="15" s="1"/>
  <c r="BU874" i="15"/>
  <c r="BT874" i="15"/>
  <c r="BV874" i="15" s="1"/>
  <c r="BY751" i="15"/>
  <c r="BX751" i="15"/>
  <c r="BZ751" i="15" s="1"/>
  <c r="CH627" i="15"/>
  <c r="CG627" i="15"/>
  <c r="CI627" i="15" s="1"/>
  <c r="BQ997" i="15"/>
  <c r="BP997" i="15"/>
  <c r="BR997" i="15" s="1"/>
  <c r="L254" i="7"/>
  <c r="BQ998" i="15" l="1"/>
  <c r="BP998" i="15"/>
  <c r="BR998" i="15" s="1"/>
  <c r="BY752" i="15"/>
  <c r="BX752" i="15"/>
  <c r="BZ752" i="15" s="1"/>
  <c r="BU875" i="15"/>
  <c r="BT875" i="15"/>
  <c r="BV875" i="15" s="1"/>
  <c r="CL627" i="15"/>
  <c r="CK627" i="15"/>
  <c r="CM627" i="15" s="1"/>
  <c r="CH628" i="15"/>
  <c r="CG628" i="15"/>
  <c r="CI628" i="15" s="1"/>
  <c r="CC629" i="15"/>
  <c r="CB629" i="15"/>
  <c r="CD629" i="15" s="1"/>
  <c r="J255" i="7"/>
  <c r="L255" i="7" s="1"/>
  <c r="K255" i="7"/>
  <c r="CH629" i="15" l="1"/>
  <c r="CG629" i="15"/>
  <c r="CI629" i="15" s="1"/>
  <c r="BU876" i="15"/>
  <c r="BT876" i="15"/>
  <c r="BV876" i="15" s="1"/>
  <c r="BQ999" i="15"/>
  <c r="BP999" i="15"/>
  <c r="BR999" i="15" s="1"/>
  <c r="CC630" i="15"/>
  <c r="CB630" i="15"/>
  <c r="CD630" i="15" s="1"/>
  <c r="CL628" i="15"/>
  <c r="CK628" i="15"/>
  <c r="CM628" i="15" s="1"/>
  <c r="BY753" i="15"/>
  <c r="BX753" i="15"/>
  <c r="BZ753" i="15" s="1"/>
  <c r="J256" i="7"/>
  <c r="K256" i="7"/>
  <c r="BY754" i="15" l="1"/>
  <c r="BX754" i="15"/>
  <c r="BZ754" i="15" s="1"/>
  <c r="CC631" i="15"/>
  <c r="CB631" i="15"/>
  <c r="CD631" i="15" s="1"/>
  <c r="BQ1000" i="15"/>
  <c r="BP1000" i="15"/>
  <c r="BR1000" i="15" s="1"/>
  <c r="CH630" i="15"/>
  <c r="CG630" i="15"/>
  <c r="CI630" i="15" s="1"/>
  <c r="CL629" i="15"/>
  <c r="CK629" i="15"/>
  <c r="CM629" i="15" s="1"/>
  <c r="BU877" i="15"/>
  <c r="BT877" i="15"/>
  <c r="BV877" i="15" s="1"/>
  <c r="L256" i="7"/>
  <c r="BU878" i="15" l="1"/>
  <c r="BT878" i="15"/>
  <c r="BV878" i="15" s="1"/>
  <c r="CH631" i="15"/>
  <c r="CG631" i="15"/>
  <c r="CI631" i="15" s="1"/>
  <c r="BQ1001" i="15"/>
  <c r="BP1001" i="15"/>
  <c r="BR1001" i="15" s="1"/>
  <c r="BY755" i="15"/>
  <c r="BX755" i="15"/>
  <c r="BZ755" i="15" s="1"/>
  <c r="CL630" i="15"/>
  <c r="CK630" i="15"/>
  <c r="CM630" i="15" s="1"/>
  <c r="CC632" i="15"/>
  <c r="CB632" i="15"/>
  <c r="CD632" i="15" s="1"/>
  <c r="J257" i="7"/>
  <c r="K257" i="7"/>
  <c r="CC633" i="15" l="1"/>
  <c r="CB633" i="15"/>
  <c r="CD633" i="15" s="1"/>
  <c r="BY756" i="15"/>
  <c r="BX756" i="15"/>
  <c r="BZ756" i="15" s="1"/>
  <c r="BQ1002" i="15"/>
  <c r="BP1002" i="15"/>
  <c r="BR1002" i="15" s="1"/>
  <c r="BU879" i="15"/>
  <c r="BT879" i="15"/>
  <c r="BV879" i="15" s="1"/>
  <c r="CL631" i="15"/>
  <c r="CK631" i="15"/>
  <c r="CM631" i="15" s="1"/>
  <c r="CH632" i="15"/>
  <c r="CG632" i="15"/>
  <c r="CI632" i="15" s="1"/>
  <c r="L257" i="7"/>
  <c r="CL632" i="15" l="1"/>
  <c r="CK632" i="15"/>
  <c r="CM632" i="15" s="1"/>
  <c r="BQ1003" i="15"/>
  <c r="BP1003" i="15"/>
  <c r="BR1003" i="15" s="1"/>
  <c r="CC634" i="15"/>
  <c r="CB634" i="15"/>
  <c r="CD634" i="15" s="1"/>
  <c r="CH633" i="15"/>
  <c r="CG633" i="15"/>
  <c r="CI633" i="15" s="1"/>
  <c r="BU880" i="15"/>
  <c r="BT880" i="15"/>
  <c r="BV880" i="15" s="1"/>
  <c r="BY757" i="15"/>
  <c r="BX757" i="15"/>
  <c r="BZ757" i="15" s="1"/>
  <c r="J258" i="7"/>
  <c r="K258" i="7"/>
  <c r="BY758" i="15" l="1"/>
  <c r="BX758" i="15"/>
  <c r="BZ758" i="15" s="1"/>
  <c r="CH634" i="15"/>
  <c r="CG634" i="15"/>
  <c r="CI634" i="15" s="1"/>
  <c r="CC635" i="15"/>
  <c r="CB635" i="15"/>
  <c r="CD635" i="15" s="1"/>
  <c r="CL633" i="15"/>
  <c r="CK633" i="15"/>
  <c r="CM633" i="15" s="1"/>
  <c r="BU881" i="15"/>
  <c r="BT881" i="15"/>
  <c r="BV881" i="15" s="1"/>
  <c r="BQ1004" i="15"/>
  <c r="BP1004" i="15"/>
  <c r="BR1004" i="15" s="1"/>
  <c r="L258" i="7"/>
  <c r="BU882" i="15" l="1"/>
  <c r="BT882" i="15"/>
  <c r="BV882" i="15" s="1"/>
  <c r="CC636" i="15"/>
  <c r="CB636" i="15"/>
  <c r="CD636" i="15" s="1"/>
  <c r="BY759" i="15"/>
  <c r="BX759" i="15"/>
  <c r="BZ759" i="15" s="1"/>
  <c r="BQ1005" i="15"/>
  <c r="BP1005" i="15"/>
  <c r="BR1005" i="15" s="1"/>
  <c r="CL634" i="15"/>
  <c r="CK634" i="15"/>
  <c r="CM634" i="15" s="1"/>
  <c r="CH635" i="15"/>
  <c r="CG635" i="15"/>
  <c r="CI635" i="15" s="1"/>
  <c r="J259" i="7"/>
  <c r="K259" i="7"/>
  <c r="CH636" i="15" l="1"/>
  <c r="CG636" i="15"/>
  <c r="CI636" i="15" s="1"/>
  <c r="BQ1006" i="15"/>
  <c r="BP1006" i="15"/>
  <c r="BR1006" i="15" s="1"/>
  <c r="BY760" i="15"/>
  <c r="BX760" i="15"/>
  <c r="BZ760" i="15" s="1"/>
  <c r="BU883" i="15"/>
  <c r="BT883" i="15"/>
  <c r="BV883" i="15" s="1"/>
  <c r="CL635" i="15"/>
  <c r="CK635" i="15"/>
  <c r="CM635" i="15" s="1"/>
  <c r="CC637" i="15"/>
  <c r="CB637" i="15"/>
  <c r="CD637" i="15" s="1"/>
  <c r="L259" i="7"/>
  <c r="CC638" i="15" l="1"/>
  <c r="CB638" i="15"/>
  <c r="CD638" i="15" s="1"/>
  <c r="CL636" i="15"/>
  <c r="CK636" i="15"/>
  <c r="CM636" i="15" s="1"/>
  <c r="BY761" i="15"/>
  <c r="BX761" i="15"/>
  <c r="BZ761" i="15" s="1"/>
  <c r="CH637" i="15"/>
  <c r="CG637" i="15"/>
  <c r="CI637" i="15" s="1"/>
  <c r="BU884" i="15"/>
  <c r="BT884" i="15"/>
  <c r="BV884" i="15" s="1"/>
  <c r="BQ1007" i="15"/>
  <c r="BP1007" i="15"/>
  <c r="BR1007" i="15" s="1"/>
  <c r="J260" i="7"/>
  <c r="L260" i="7" s="1"/>
  <c r="K260" i="7"/>
  <c r="BU885" i="15" l="1"/>
  <c r="BT885" i="15"/>
  <c r="BV885" i="15" s="1"/>
  <c r="BY762" i="15"/>
  <c r="BX762" i="15"/>
  <c r="BZ762" i="15" s="1"/>
  <c r="CC639" i="15"/>
  <c r="CB639" i="15"/>
  <c r="CD639" i="15" s="1"/>
  <c r="BQ1008" i="15"/>
  <c r="BP1008" i="15"/>
  <c r="BR1008" i="15" s="1"/>
  <c r="CH638" i="15"/>
  <c r="CG638" i="15"/>
  <c r="CI638" i="15" s="1"/>
  <c r="CL637" i="15"/>
  <c r="CK637" i="15"/>
  <c r="CM637" i="15" s="1"/>
  <c r="J261" i="7"/>
  <c r="K261" i="7"/>
  <c r="CL638" i="15" l="1"/>
  <c r="CK638" i="15"/>
  <c r="CM638" i="15" s="1"/>
  <c r="BQ1009" i="15"/>
  <c r="BP1009" i="15"/>
  <c r="BR1009" i="15" s="1"/>
  <c r="CC640" i="15"/>
  <c r="CB640" i="15"/>
  <c r="CD640" i="15" s="1"/>
  <c r="BU886" i="15"/>
  <c r="BT886" i="15"/>
  <c r="BV886" i="15" s="1"/>
  <c r="CH639" i="15"/>
  <c r="CG639" i="15"/>
  <c r="CI639" i="15" s="1"/>
  <c r="BY763" i="15"/>
  <c r="BX763" i="15"/>
  <c r="BZ763" i="15" s="1"/>
  <c r="L261" i="7"/>
  <c r="BY764" i="15" l="1"/>
  <c r="BX764" i="15"/>
  <c r="BZ764" i="15" s="1"/>
  <c r="BU887" i="15"/>
  <c r="BT887" i="15"/>
  <c r="BV887" i="15" s="1"/>
  <c r="CC641" i="15"/>
  <c r="CB641" i="15"/>
  <c r="CD641" i="15" s="1"/>
  <c r="CL639" i="15"/>
  <c r="CK639" i="15"/>
  <c r="CM639" i="15" s="1"/>
  <c r="CH640" i="15"/>
  <c r="CG640" i="15"/>
  <c r="CI640" i="15" s="1"/>
  <c r="BQ1010" i="15"/>
  <c r="BP1010" i="15"/>
  <c r="BR1010" i="15" s="1"/>
  <c r="J262" i="7"/>
  <c r="L262" i="7" s="1"/>
  <c r="K262" i="7"/>
  <c r="CH641" i="15" l="1"/>
  <c r="CG641" i="15"/>
  <c r="CI641" i="15" s="1"/>
  <c r="CC642" i="15"/>
  <c r="CB642" i="15"/>
  <c r="CD642" i="15" s="1"/>
  <c r="BY765" i="15"/>
  <c r="BX765" i="15"/>
  <c r="BZ765" i="15" s="1"/>
  <c r="BQ1011" i="15"/>
  <c r="BP1011" i="15"/>
  <c r="BR1011" i="15" s="1"/>
  <c r="CL640" i="15"/>
  <c r="CK640" i="15"/>
  <c r="CM640" i="15" s="1"/>
  <c r="BU888" i="15"/>
  <c r="BT888" i="15"/>
  <c r="BV888" i="15" s="1"/>
  <c r="J263" i="7"/>
  <c r="K263" i="7"/>
  <c r="BU889" i="15" l="1"/>
  <c r="BT889" i="15"/>
  <c r="BV889" i="15" s="1"/>
  <c r="BQ1012" i="15"/>
  <c r="BP1012" i="15"/>
  <c r="BR1012" i="15" s="1"/>
  <c r="BY766" i="15"/>
  <c r="BX766" i="15"/>
  <c r="BZ766" i="15" s="1"/>
  <c r="CH642" i="15"/>
  <c r="CG642" i="15"/>
  <c r="CI642" i="15" s="1"/>
  <c r="CL641" i="15"/>
  <c r="CK641" i="15"/>
  <c r="CM641" i="15" s="1"/>
  <c r="CC643" i="15"/>
  <c r="CB643" i="15"/>
  <c r="CD643" i="15" s="1"/>
  <c r="L263" i="7"/>
  <c r="CC644" i="15" l="1"/>
  <c r="CB644" i="15"/>
  <c r="CD644" i="15" s="1"/>
  <c r="CH643" i="15"/>
  <c r="CG643" i="15"/>
  <c r="CI643" i="15" s="1"/>
  <c r="BY767" i="15"/>
  <c r="BX767" i="15"/>
  <c r="BZ767" i="15" s="1"/>
  <c r="BU890" i="15"/>
  <c r="BT890" i="15"/>
  <c r="BV890" i="15" s="1"/>
  <c r="CL642" i="15"/>
  <c r="CK642" i="15"/>
  <c r="CM642" i="15" s="1"/>
  <c r="BQ1013" i="15"/>
  <c r="BP1013" i="15"/>
  <c r="BR1013" i="15" s="1"/>
  <c r="J264" i="7"/>
  <c r="K264" i="7"/>
  <c r="CL643" i="15" l="1"/>
  <c r="CK643" i="15"/>
  <c r="CM643" i="15" s="1"/>
  <c r="BY768" i="15"/>
  <c r="BX768" i="15"/>
  <c r="BZ768" i="15" s="1"/>
  <c r="CC645" i="15"/>
  <c r="CB645" i="15"/>
  <c r="CD645" i="15" s="1"/>
  <c r="BQ1014" i="15"/>
  <c r="BP1014" i="15"/>
  <c r="BR1014" i="15" s="1"/>
  <c r="BU891" i="15"/>
  <c r="BT891" i="15"/>
  <c r="BV891" i="15" s="1"/>
  <c r="CH644" i="15"/>
  <c r="CG644" i="15"/>
  <c r="CI644" i="15" s="1"/>
  <c r="L264" i="7"/>
  <c r="CH645" i="15" l="1"/>
  <c r="CG645" i="15"/>
  <c r="CI645" i="15" s="1"/>
  <c r="BU892" i="15"/>
  <c r="BT892" i="15"/>
  <c r="BV892" i="15" s="1"/>
  <c r="BQ1015" i="15"/>
  <c r="BP1015" i="15"/>
  <c r="BR1015" i="15" s="1"/>
  <c r="CC646" i="15"/>
  <c r="CB646" i="15"/>
  <c r="CD646" i="15" s="1"/>
  <c r="BY769" i="15"/>
  <c r="BX769" i="15"/>
  <c r="BZ769" i="15" s="1"/>
  <c r="CL644" i="15"/>
  <c r="CK644" i="15"/>
  <c r="CM644" i="15" s="1"/>
  <c r="J265" i="7"/>
  <c r="K265" i="7"/>
  <c r="CL645" i="15" l="1"/>
  <c r="CK645" i="15"/>
  <c r="CM645" i="15" s="1"/>
  <c r="BY770" i="15"/>
  <c r="BX770" i="15"/>
  <c r="BZ770" i="15" s="1"/>
  <c r="BQ1016" i="15"/>
  <c r="BP1016" i="15"/>
  <c r="BR1016" i="15" s="1"/>
  <c r="CH646" i="15"/>
  <c r="CG646" i="15"/>
  <c r="CI646" i="15" s="1"/>
  <c r="CC647" i="15"/>
  <c r="CB647" i="15"/>
  <c r="CD647" i="15" s="1"/>
  <c r="BU893" i="15"/>
  <c r="BT893" i="15"/>
  <c r="BV893" i="15" s="1"/>
  <c r="L265" i="7"/>
  <c r="BU894" i="15" l="1"/>
  <c r="BT894" i="15"/>
  <c r="BV894" i="15" s="1"/>
  <c r="CH647" i="15"/>
  <c r="CG647" i="15"/>
  <c r="CI647" i="15" s="1"/>
  <c r="BQ1017" i="15"/>
  <c r="BP1017" i="15"/>
  <c r="BR1017" i="15" s="1"/>
  <c r="CL646" i="15"/>
  <c r="CK646" i="15"/>
  <c r="CM646" i="15" s="1"/>
  <c r="CC648" i="15"/>
  <c r="CB648" i="15"/>
  <c r="CD648" i="15" s="1"/>
  <c r="BY771" i="15"/>
  <c r="BX771" i="15"/>
  <c r="BZ771" i="15" s="1"/>
  <c r="J266" i="7"/>
  <c r="L266" i="7" s="1"/>
  <c r="K266" i="7"/>
  <c r="CC649" i="15" l="1"/>
  <c r="CB649" i="15"/>
  <c r="CD649" i="15" s="1"/>
  <c r="BQ1018" i="15"/>
  <c r="BP1018" i="15"/>
  <c r="BR1018" i="15" s="1"/>
  <c r="BU895" i="15"/>
  <c r="BT895" i="15"/>
  <c r="BV895" i="15" s="1"/>
  <c r="BY772" i="15"/>
  <c r="BX772" i="15"/>
  <c r="BZ772" i="15" s="1"/>
  <c r="CL647" i="15"/>
  <c r="CK647" i="15"/>
  <c r="CM647" i="15" s="1"/>
  <c r="CH648" i="15"/>
  <c r="CG648" i="15"/>
  <c r="CI648" i="15" s="1"/>
  <c r="J267" i="7"/>
  <c r="K267" i="7"/>
  <c r="CH649" i="15" l="1"/>
  <c r="CG649" i="15"/>
  <c r="CI649" i="15" s="1"/>
  <c r="BY773" i="15"/>
  <c r="BX773" i="15"/>
  <c r="BZ773" i="15" s="1"/>
  <c r="BU896" i="15"/>
  <c r="BT896" i="15"/>
  <c r="BV896" i="15" s="1"/>
  <c r="CC650" i="15"/>
  <c r="CB650" i="15"/>
  <c r="CD650" i="15" s="1"/>
  <c r="CL648" i="15"/>
  <c r="CK648" i="15"/>
  <c r="CM648" i="15" s="1"/>
  <c r="BQ1019" i="15"/>
  <c r="BP1019" i="15"/>
  <c r="BR1019" i="15" s="1"/>
  <c r="L267" i="7"/>
  <c r="CL649" i="15" l="1"/>
  <c r="CK649" i="15"/>
  <c r="CM649" i="15" s="1"/>
  <c r="BU897" i="15"/>
  <c r="BT897" i="15"/>
  <c r="BV897" i="15" s="1"/>
  <c r="CH650" i="15"/>
  <c r="CG650" i="15"/>
  <c r="CI650" i="15" s="1"/>
  <c r="BQ1020" i="15"/>
  <c r="BP1020" i="15"/>
  <c r="BR1020" i="15" s="1"/>
  <c r="CC651" i="15"/>
  <c r="CB651" i="15"/>
  <c r="CD651" i="15" s="1"/>
  <c r="BY774" i="15"/>
  <c r="BX774" i="15"/>
  <c r="BZ774" i="15" s="1"/>
  <c r="J268" i="7"/>
  <c r="K268" i="7"/>
  <c r="BY775" i="15" l="1"/>
  <c r="BX775" i="15"/>
  <c r="BZ775" i="15" s="1"/>
  <c r="BQ1021" i="15"/>
  <c r="BP1021" i="15"/>
  <c r="BR1021" i="15" s="1"/>
  <c r="CH651" i="15"/>
  <c r="CG651" i="15"/>
  <c r="CI651" i="15" s="1"/>
  <c r="CL650" i="15"/>
  <c r="CK650" i="15"/>
  <c r="CM650" i="15" s="1"/>
  <c r="CC652" i="15"/>
  <c r="CB652" i="15"/>
  <c r="CD652" i="15" s="1"/>
  <c r="BU898" i="15"/>
  <c r="BT898" i="15"/>
  <c r="BV898" i="15" s="1"/>
  <c r="L268" i="7"/>
  <c r="CC653" i="15" l="1"/>
  <c r="CB653" i="15"/>
  <c r="CD653" i="15" s="1"/>
  <c r="CH652" i="15"/>
  <c r="CG652" i="15"/>
  <c r="CI652" i="15" s="1"/>
  <c r="BY776" i="15"/>
  <c r="BX776" i="15"/>
  <c r="BZ776" i="15" s="1"/>
  <c r="BU899" i="15"/>
  <c r="BT899" i="15"/>
  <c r="BV899" i="15" s="1"/>
  <c r="CL651" i="15"/>
  <c r="CK651" i="15"/>
  <c r="CM651" i="15" s="1"/>
  <c r="BQ1022" i="15"/>
  <c r="BP1022" i="15"/>
  <c r="BR1022" i="15" s="1"/>
  <c r="J269" i="7"/>
  <c r="K269" i="7"/>
  <c r="BQ1023" i="15" l="1"/>
  <c r="BP1023" i="15"/>
  <c r="BR1023" i="15" s="1"/>
  <c r="BU900" i="15"/>
  <c r="BT900" i="15"/>
  <c r="BV900" i="15" s="1"/>
  <c r="BY777" i="15"/>
  <c r="BX777" i="15"/>
  <c r="BZ777" i="15" s="1"/>
  <c r="CH653" i="15"/>
  <c r="CG653" i="15"/>
  <c r="CI653" i="15" s="1"/>
  <c r="CC654" i="15"/>
  <c r="CB654" i="15"/>
  <c r="CD654" i="15" s="1"/>
  <c r="CL652" i="15"/>
  <c r="CK652" i="15"/>
  <c r="CM652" i="15" s="1"/>
  <c r="L269" i="7"/>
  <c r="CL653" i="15" l="1"/>
  <c r="CK653" i="15"/>
  <c r="CM653" i="15" s="1"/>
  <c r="CH654" i="15"/>
  <c r="CG654" i="15"/>
  <c r="CI654" i="15" s="1"/>
  <c r="BY778" i="15"/>
  <c r="BX778" i="15"/>
  <c r="BZ778" i="15" s="1"/>
  <c r="BQ1024" i="15"/>
  <c r="BP1024" i="15"/>
  <c r="BR1024" i="15" s="1"/>
  <c r="CC655" i="15"/>
  <c r="CB655" i="15"/>
  <c r="CD655" i="15" s="1"/>
  <c r="BU901" i="15"/>
  <c r="BT901" i="15"/>
  <c r="BV901" i="15" s="1"/>
  <c r="J270" i="7"/>
  <c r="K270" i="7"/>
  <c r="BU902" i="15" l="1"/>
  <c r="BT902" i="15"/>
  <c r="BV902" i="15" s="1"/>
  <c r="BQ1025" i="15"/>
  <c r="BP1025" i="15"/>
  <c r="BR1025" i="15" s="1"/>
  <c r="BY779" i="15"/>
  <c r="BX779" i="15"/>
  <c r="BZ779" i="15" s="1"/>
  <c r="CL654" i="15"/>
  <c r="CK654" i="15"/>
  <c r="CM654" i="15" s="1"/>
  <c r="CC656" i="15"/>
  <c r="CB656" i="15"/>
  <c r="CD656" i="15" s="1"/>
  <c r="CH655" i="15"/>
  <c r="CG655" i="15"/>
  <c r="CI655" i="15" s="1"/>
  <c r="L270" i="7"/>
  <c r="CH656" i="15" l="1"/>
  <c r="CG656" i="15"/>
  <c r="CI656" i="15" s="1"/>
  <c r="CL655" i="15"/>
  <c r="CK655" i="15"/>
  <c r="CM655" i="15" s="1"/>
  <c r="BY780" i="15"/>
  <c r="BX780" i="15"/>
  <c r="BZ780" i="15" s="1"/>
  <c r="BU903" i="15"/>
  <c r="BT903" i="15"/>
  <c r="BV903" i="15" s="1"/>
  <c r="CC657" i="15"/>
  <c r="CB657" i="15"/>
  <c r="CD657" i="15" s="1"/>
  <c r="BQ1026" i="15"/>
  <c r="BP1026" i="15"/>
  <c r="BR1026" i="15" s="1"/>
  <c r="J271" i="7"/>
  <c r="K271" i="7"/>
  <c r="CC658" i="15" l="1"/>
  <c r="CB658" i="15"/>
  <c r="CD658" i="15" s="1"/>
  <c r="BY781" i="15"/>
  <c r="BX781" i="15"/>
  <c r="BZ781" i="15" s="1"/>
  <c r="CH657" i="15"/>
  <c r="CG657" i="15"/>
  <c r="CI657" i="15" s="1"/>
  <c r="BQ1027" i="15"/>
  <c r="BP1027" i="15"/>
  <c r="BR1027" i="15" s="1"/>
  <c r="BU904" i="15"/>
  <c r="BT904" i="15"/>
  <c r="BV904" i="15" s="1"/>
  <c r="CL656" i="15"/>
  <c r="CK656" i="15"/>
  <c r="CM656" i="15" s="1"/>
  <c r="L271" i="7"/>
  <c r="CL657" i="15" l="1"/>
  <c r="CK657" i="15"/>
  <c r="CM657" i="15" s="1"/>
  <c r="CH658" i="15"/>
  <c r="CG658" i="15"/>
  <c r="CI658" i="15" s="1"/>
  <c r="CC659" i="15"/>
  <c r="CB659" i="15"/>
  <c r="CD659" i="15" s="1"/>
  <c r="BU905" i="15"/>
  <c r="BT905" i="15"/>
  <c r="BV905" i="15" s="1"/>
  <c r="BY782" i="15"/>
  <c r="BX782" i="15"/>
  <c r="BZ782" i="15" s="1"/>
  <c r="J272" i="7"/>
  <c r="K272" i="7"/>
  <c r="BY783" i="15" l="1"/>
  <c r="BX783" i="15"/>
  <c r="BZ783" i="15" s="1"/>
  <c r="CC660" i="15"/>
  <c r="CB660" i="15"/>
  <c r="CD660" i="15" s="1"/>
  <c r="CL658" i="15"/>
  <c r="CK658" i="15"/>
  <c r="CM658" i="15" s="1"/>
  <c r="BU906" i="15"/>
  <c r="BT906" i="15"/>
  <c r="BV906" i="15" s="1"/>
  <c r="CH659" i="15"/>
  <c r="CG659" i="15"/>
  <c r="CI659" i="15" s="1"/>
  <c r="L272" i="7"/>
  <c r="CH660" i="15" l="1"/>
  <c r="CG660" i="15"/>
  <c r="CI660" i="15" s="1"/>
  <c r="CL659" i="15"/>
  <c r="CK659" i="15"/>
  <c r="CM659" i="15" s="1"/>
  <c r="BY784" i="15"/>
  <c r="BX784" i="15"/>
  <c r="BZ784" i="15" s="1"/>
  <c r="BU907" i="15"/>
  <c r="BT907" i="15"/>
  <c r="BV907" i="15" s="1"/>
  <c r="CC661" i="15"/>
  <c r="CB661" i="15"/>
  <c r="CD661" i="15" s="1"/>
  <c r="J273" i="7"/>
  <c r="K273" i="7"/>
  <c r="BU908" i="15" l="1"/>
  <c r="BT908" i="15"/>
  <c r="BV908" i="15" s="1"/>
  <c r="BY785" i="15"/>
  <c r="BX785" i="15"/>
  <c r="BZ785" i="15" s="1"/>
  <c r="CH661" i="15"/>
  <c r="CG661" i="15"/>
  <c r="CI661" i="15" s="1"/>
  <c r="CC662" i="15"/>
  <c r="CB662" i="15"/>
  <c r="CD662" i="15" s="1"/>
  <c r="CL660" i="15"/>
  <c r="CK660" i="15"/>
  <c r="CM660" i="15" s="1"/>
  <c r="L273" i="7"/>
  <c r="CL661" i="15" l="1"/>
  <c r="CK661" i="15"/>
  <c r="CM661" i="15" s="1"/>
  <c r="CH662" i="15"/>
  <c r="CG662" i="15"/>
  <c r="CI662" i="15" s="1"/>
  <c r="BU909" i="15"/>
  <c r="BT909" i="15"/>
  <c r="BV909" i="15" s="1"/>
  <c r="CC663" i="15"/>
  <c r="CB663" i="15"/>
  <c r="CD663" i="15" s="1"/>
  <c r="BY786" i="15"/>
  <c r="BX786" i="15"/>
  <c r="BZ786" i="15" s="1"/>
  <c r="J274" i="7"/>
  <c r="K274" i="7"/>
  <c r="BY787" i="15" l="1"/>
  <c r="BX787" i="15"/>
  <c r="BZ787" i="15" s="1"/>
  <c r="BU910" i="15"/>
  <c r="BT910" i="15"/>
  <c r="BV910" i="15" s="1"/>
  <c r="CL662" i="15"/>
  <c r="CK662" i="15"/>
  <c r="CM662" i="15" s="1"/>
  <c r="CC664" i="15"/>
  <c r="CB664" i="15"/>
  <c r="CD664" i="15" s="1"/>
  <c r="CH663" i="15"/>
  <c r="CG663" i="15"/>
  <c r="CI663" i="15" s="1"/>
  <c r="L274" i="7"/>
  <c r="CH664" i="15" l="1"/>
  <c r="CG664" i="15"/>
  <c r="CI664" i="15" s="1"/>
  <c r="CL663" i="15"/>
  <c r="CK663" i="15"/>
  <c r="CM663" i="15" s="1"/>
  <c r="BY788" i="15"/>
  <c r="BX788" i="15"/>
  <c r="BZ788" i="15" s="1"/>
  <c r="CC665" i="15"/>
  <c r="CB665" i="15"/>
  <c r="CD665" i="15" s="1"/>
  <c r="BU911" i="15"/>
  <c r="BT911" i="15"/>
  <c r="BV911" i="15" s="1"/>
  <c r="J275" i="7"/>
  <c r="K275" i="7"/>
  <c r="CC666" i="15" l="1"/>
  <c r="CB666" i="15"/>
  <c r="CD666" i="15" s="1"/>
  <c r="BY789" i="15"/>
  <c r="BX789" i="15"/>
  <c r="BZ789" i="15" s="1"/>
  <c r="CH665" i="15"/>
  <c r="CG665" i="15"/>
  <c r="CI665" i="15" s="1"/>
  <c r="BU912" i="15"/>
  <c r="BT912" i="15"/>
  <c r="BV912" i="15" s="1"/>
  <c r="CL664" i="15"/>
  <c r="CK664" i="15"/>
  <c r="CM664" i="15" s="1"/>
  <c r="L275" i="7"/>
  <c r="CL665" i="15" l="1"/>
  <c r="CK665" i="15"/>
  <c r="CM665" i="15" s="1"/>
  <c r="CH666" i="15"/>
  <c r="CG666" i="15"/>
  <c r="CI666" i="15" s="1"/>
  <c r="CC667" i="15"/>
  <c r="CB667" i="15"/>
  <c r="CD667" i="15" s="1"/>
  <c r="BU913" i="15"/>
  <c r="BT913" i="15"/>
  <c r="BV913" i="15" s="1"/>
  <c r="BY790" i="15"/>
  <c r="BX790" i="15"/>
  <c r="BZ790" i="15" s="1"/>
  <c r="J276" i="7"/>
  <c r="K276" i="7"/>
  <c r="BY791" i="15" l="1"/>
  <c r="BX791" i="15"/>
  <c r="BZ791" i="15" s="1"/>
  <c r="CC668" i="15"/>
  <c r="CB668" i="15"/>
  <c r="CD668" i="15" s="1"/>
  <c r="CL666" i="15"/>
  <c r="CK666" i="15"/>
  <c r="CM666" i="15" s="1"/>
  <c r="BU914" i="15"/>
  <c r="BT914" i="15"/>
  <c r="BV914" i="15" s="1"/>
  <c r="CH667" i="15"/>
  <c r="CG667" i="15"/>
  <c r="CI667" i="15" s="1"/>
  <c r="L276" i="7"/>
  <c r="CH668" i="15" l="1"/>
  <c r="CG668" i="15"/>
  <c r="CI668" i="15" s="1"/>
  <c r="CL667" i="15"/>
  <c r="CK667" i="15"/>
  <c r="CM667" i="15" s="1"/>
  <c r="BY792" i="15"/>
  <c r="BX792" i="15"/>
  <c r="BZ792" i="15" s="1"/>
  <c r="BU915" i="15"/>
  <c r="BT915" i="15"/>
  <c r="BV915" i="15" s="1"/>
  <c r="CC669" i="15"/>
  <c r="CB669" i="15"/>
  <c r="CD669" i="15" s="1"/>
  <c r="J277" i="7"/>
  <c r="K277" i="7"/>
  <c r="BU916" i="15" l="1"/>
  <c r="BT916" i="15"/>
  <c r="BV916" i="15" s="1"/>
  <c r="BY793" i="15"/>
  <c r="BX793" i="15"/>
  <c r="BZ793" i="15" s="1"/>
  <c r="CH669" i="15"/>
  <c r="CG669" i="15"/>
  <c r="CI669" i="15" s="1"/>
  <c r="CC670" i="15"/>
  <c r="CB670" i="15"/>
  <c r="CD670" i="15" s="1"/>
  <c r="CL668" i="15"/>
  <c r="CK668" i="15"/>
  <c r="CM668" i="15" s="1"/>
  <c r="L277" i="7"/>
  <c r="CL669" i="15" l="1"/>
  <c r="CK669" i="15"/>
  <c r="CM669" i="15" s="1"/>
  <c r="CH670" i="15"/>
  <c r="CG670" i="15"/>
  <c r="CI670" i="15" s="1"/>
  <c r="BU917" i="15"/>
  <c r="BT917" i="15"/>
  <c r="BV917" i="15" s="1"/>
  <c r="CC671" i="15"/>
  <c r="CB671" i="15"/>
  <c r="CD671" i="15" s="1"/>
  <c r="BY794" i="15"/>
  <c r="BX794" i="15"/>
  <c r="BZ794" i="15" s="1"/>
  <c r="J278" i="7"/>
  <c r="K278" i="7"/>
  <c r="CC672" i="15" l="1"/>
  <c r="CB672" i="15"/>
  <c r="CD672" i="15" s="1"/>
  <c r="BU918" i="15"/>
  <c r="BT918" i="15"/>
  <c r="BV918" i="15" s="1"/>
  <c r="CL670" i="15"/>
  <c r="CK670" i="15"/>
  <c r="CM670" i="15" s="1"/>
  <c r="BY795" i="15"/>
  <c r="BX795" i="15"/>
  <c r="BZ795" i="15" s="1"/>
  <c r="CH671" i="15"/>
  <c r="CG671" i="15"/>
  <c r="CI671" i="15" s="1"/>
  <c r="L278" i="7"/>
  <c r="CH672" i="15" l="1"/>
  <c r="CG672" i="15"/>
  <c r="CI672" i="15" s="1"/>
  <c r="CL671" i="15"/>
  <c r="CK671" i="15"/>
  <c r="CM671" i="15" s="1"/>
  <c r="CC673" i="15"/>
  <c r="CB673" i="15"/>
  <c r="CD673" i="15" s="1"/>
  <c r="BY796" i="15"/>
  <c r="BX796" i="15"/>
  <c r="BZ796" i="15" s="1"/>
  <c r="BU919" i="15"/>
  <c r="BT919" i="15"/>
  <c r="BV919" i="15" s="1"/>
  <c r="J279" i="7"/>
  <c r="K279" i="7"/>
  <c r="BU920" i="15" l="1"/>
  <c r="BT920" i="15"/>
  <c r="BV920" i="15" s="1"/>
  <c r="CC674" i="15"/>
  <c r="CB674" i="15"/>
  <c r="CD674" i="15" s="1"/>
  <c r="CH673" i="15"/>
  <c r="CG673" i="15"/>
  <c r="CI673" i="15" s="1"/>
  <c r="BY797" i="15"/>
  <c r="BX797" i="15"/>
  <c r="BZ797" i="15" s="1"/>
  <c r="CL672" i="15"/>
  <c r="CK672" i="15"/>
  <c r="CM672" i="15" s="1"/>
  <c r="L279" i="7"/>
  <c r="CL673" i="15" l="1"/>
  <c r="CK673" i="15"/>
  <c r="CM673" i="15" s="1"/>
  <c r="CH674" i="15"/>
  <c r="CG674" i="15"/>
  <c r="CI674" i="15" s="1"/>
  <c r="BU921" i="15"/>
  <c r="BT921" i="15"/>
  <c r="BV921" i="15" s="1"/>
  <c r="BY798" i="15"/>
  <c r="BX798" i="15"/>
  <c r="BZ798" i="15" s="1"/>
  <c r="CC675" i="15"/>
  <c r="CB675" i="15"/>
  <c r="CD675" i="15" s="1"/>
  <c r="J280" i="7"/>
  <c r="K280" i="7"/>
  <c r="BY799" i="15" l="1"/>
  <c r="BX799" i="15"/>
  <c r="BZ799" i="15" s="1"/>
  <c r="BU922" i="15"/>
  <c r="BT922" i="15"/>
  <c r="BV922" i="15" s="1"/>
  <c r="CL674" i="15"/>
  <c r="CK674" i="15"/>
  <c r="CM674" i="15" s="1"/>
  <c r="CC676" i="15"/>
  <c r="CB676" i="15"/>
  <c r="CD676" i="15" s="1"/>
  <c r="CH675" i="15"/>
  <c r="CG675" i="15"/>
  <c r="CI675" i="15" s="1"/>
  <c r="L280" i="7"/>
  <c r="CC677" i="15" l="1"/>
  <c r="CB677" i="15"/>
  <c r="CD677" i="15" s="1"/>
  <c r="CL675" i="15"/>
  <c r="CK675" i="15"/>
  <c r="CM675" i="15" s="1"/>
  <c r="BY800" i="15"/>
  <c r="BX800" i="15"/>
  <c r="BZ800" i="15" s="1"/>
  <c r="CH676" i="15"/>
  <c r="CG676" i="15"/>
  <c r="CI676" i="15" s="1"/>
  <c r="BU923" i="15"/>
  <c r="BT923" i="15"/>
  <c r="BV923" i="15" s="1"/>
  <c r="J281" i="7"/>
  <c r="K281" i="7"/>
  <c r="BU924" i="15" l="1"/>
  <c r="BT924" i="15"/>
  <c r="BV924" i="15" s="1"/>
  <c r="BY801" i="15"/>
  <c r="BX801" i="15"/>
  <c r="BZ801" i="15" s="1"/>
  <c r="CC678" i="15"/>
  <c r="CB678" i="15"/>
  <c r="CD678" i="15" s="1"/>
  <c r="CH677" i="15"/>
  <c r="CG677" i="15"/>
  <c r="CI677" i="15" s="1"/>
  <c r="CL676" i="15"/>
  <c r="CK676" i="15"/>
  <c r="CM676" i="15" s="1"/>
  <c r="L281" i="7"/>
  <c r="CL677" i="15" l="1"/>
  <c r="CK677" i="15"/>
  <c r="CM677" i="15" s="1"/>
  <c r="CC679" i="15"/>
  <c r="CB679" i="15"/>
  <c r="CD679" i="15" s="1"/>
  <c r="BU925" i="15"/>
  <c r="BT925" i="15"/>
  <c r="BV925" i="15" s="1"/>
  <c r="CH678" i="15"/>
  <c r="CG678" i="15"/>
  <c r="CI678" i="15" s="1"/>
  <c r="BY802" i="15"/>
  <c r="BX802" i="15"/>
  <c r="BZ802" i="15" s="1"/>
  <c r="J282" i="7"/>
  <c r="K282" i="7"/>
  <c r="BY803" i="15" l="1"/>
  <c r="BX803" i="15"/>
  <c r="BZ803" i="15" s="1"/>
  <c r="BU926" i="15"/>
  <c r="BT926" i="15"/>
  <c r="BV926" i="15" s="1"/>
  <c r="CL678" i="15"/>
  <c r="CK678" i="15"/>
  <c r="CM678" i="15" s="1"/>
  <c r="CH679" i="15"/>
  <c r="CG679" i="15"/>
  <c r="CI679" i="15" s="1"/>
  <c r="CC680" i="15"/>
  <c r="CB680" i="15"/>
  <c r="CD680" i="15" s="1"/>
  <c r="L282" i="7"/>
  <c r="CC681" i="15" l="1"/>
  <c r="CB681" i="15"/>
  <c r="CD681" i="15" s="1"/>
  <c r="CL679" i="15"/>
  <c r="CK679" i="15"/>
  <c r="CM679" i="15" s="1"/>
  <c r="BY804" i="15"/>
  <c r="BX804" i="15"/>
  <c r="BZ804" i="15" s="1"/>
  <c r="CH680" i="15"/>
  <c r="CG680" i="15"/>
  <c r="CI680" i="15" s="1"/>
  <c r="BU927" i="15"/>
  <c r="BT927" i="15"/>
  <c r="BV927" i="15" s="1"/>
  <c r="J283" i="7"/>
  <c r="K283" i="7"/>
  <c r="BU928" i="15" l="1"/>
  <c r="BT928" i="15"/>
  <c r="BV928" i="15" s="1"/>
  <c r="BY805" i="15"/>
  <c r="BX805" i="15"/>
  <c r="BZ805" i="15" s="1"/>
  <c r="CC682" i="15"/>
  <c r="CB682" i="15"/>
  <c r="CD682" i="15" s="1"/>
  <c r="CH681" i="15"/>
  <c r="CG681" i="15"/>
  <c r="CI681" i="15" s="1"/>
  <c r="CL680" i="15"/>
  <c r="CK680" i="15"/>
  <c r="CM680" i="15" s="1"/>
  <c r="L283" i="7"/>
  <c r="CL681" i="15" l="1"/>
  <c r="CK681" i="15"/>
  <c r="CM681" i="15" s="1"/>
  <c r="CC683" i="15"/>
  <c r="CB683" i="15"/>
  <c r="CD683" i="15" s="1"/>
  <c r="BU929" i="15"/>
  <c r="BT929" i="15"/>
  <c r="BV929" i="15" s="1"/>
  <c r="CH682" i="15"/>
  <c r="CG682" i="15"/>
  <c r="CI682" i="15" s="1"/>
  <c r="BY806" i="15"/>
  <c r="BX806" i="15"/>
  <c r="BZ806" i="15" s="1"/>
  <c r="J284" i="7"/>
  <c r="K284" i="7"/>
  <c r="BY807" i="15" l="1"/>
  <c r="BX807" i="15"/>
  <c r="BZ807" i="15" s="1"/>
  <c r="BU930" i="15"/>
  <c r="BT930" i="15"/>
  <c r="BV930" i="15" s="1"/>
  <c r="CL682" i="15"/>
  <c r="CK682" i="15"/>
  <c r="CM682" i="15" s="1"/>
  <c r="CH683" i="15"/>
  <c r="CG683" i="15"/>
  <c r="CI683" i="15" s="1"/>
  <c r="CC684" i="15"/>
  <c r="CB684" i="15"/>
  <c r="CD684" i="15" s="1"/>
  <c r="L284" i="7"/>
  <c r="CC685" i="15" l="1"/>
  <c r="CB685" i="15"/>
  <c r="CD685" i="15" s="1"/>
  <c r="CL683" i="15"/>
  <c r="CK683" i="15"/>
  <c r="CM683" i="15" s="1"/>
  <c r="BY808" i="15"/>
  <c r="BX808" i="15"/>
  <c r="BZ808" i="15" s="1"/>
  <c r="CH684" i="15"/>
  <c r="CG684" i="15"/>
  <c r="CI684" i="15" s="1"/>
  <c r="BU931" i="15"/>
  <c r="BT931" i="15"/>
  <c r="BV931" i="15" s="1"/>
  <c r="J285" i="7"/>
  <c r="K285" i="7"/>
  <c r="CH685" i="15" l="1"/>
  <c r="CG685" i="15"/>
  <c r="CI685" i="15" s="1"/>
  <c r="BY809" i="15"/>
  <c r="BX809" i="15"/>
  <c r="BZ809" i="15" s="1"/>
  <c r="CC686" i="15"/>
  <c r="CB686" i="15"/>
  <c r="CD686" i="15" s="1"/>
  <c r="BU932" i="15"/>
  <c r="BT932" i="15"/>
  <c r="BV932" i="15" s="1"/>
  <c r="CL684" i="15"/>
  <c r="CK684" i="15"/>
  <c r="CM684" i="15" s="1"/>
  <c r="L285" i="7"/>
  <c r="CL685" i="15" l="1"/>
  <c r="CK685" i="15"/>
  <c r="CM685" i="15" s="1"/>
  <c r="CC687" i="15"/>
  <c r="CB687" i="15"/>
  <c r="CD687" i="15" s="1"/>
  <c r="CH686" i="15"/>
  <c r="CG686" i="15"/>
  <c r="CI686" i="15" s="1"/>
  <c r="BU933" i="15"/>
  <c r="BT933" i="15"/>
  <c r="BV933" i="15" s="1"/>
  <c r="BY810" i="15"/>
  <c r="BX810" i="15"/>
  <c r="BZ810" i="15" s="1"/>
  <c r="J286" i="7"/>
  <c r="K286" i="7"/>
  <c r="BU934" i="15" l="1"/>
  <c r="BT934" i="15"/>
  <c r="BV934" i="15" s="1"/>
  <c r="CH687" i="15"/>
  <c r="CG687" i="15"/>
  <c r="CI687" i="15" s="1"/>
  <c r="CL686" i="15"/>
  <c r="CK686" i="15"/>
  <c r="CM686" i="15" s="1"/>
  <c r="BY811" i="15"/>
  <c r="BX811" i="15"/>
  <c r="BZ811" i="15" s="1"/>
  <c r="CC688" i="15"/>
  <c r="CB688" i="15"/>
  <c r="CD688" i="15" s="1"/>
  <c r="L286" i="7"/>
  <c r="CC689" i="15" l="1"/>
  <c r="CB689" i="15"/>
  <c r="CD689" i="15" s="1"/>
  <c r="CL687" i="15"/>
  <c r="CK687" i="15"/>
  <c r="CM687" i="15" s="1"/>
  <c r="BU935" i="15"/>
  <c r="BT935" i="15"/>
  <c r="BV935" i="15" s="1"/>
  <c r="BY812" i="15"/>
  <c r="BX812" i="15"/>
  <c r="BZ812" i="15" s="1"/>
  <c r="CH688" i="15"/>
  <c r="CG688" i="15"/>
  <c r="CI688" i="15" s="1"/>
  <c r="J287" i="7"/>
  <c r="K287" i="7"/>
  <c r="CH689" i="15" l="1"/>
  <c r="CG689" i="15"/>
  <c r="CI689" i="15" s="1"/>
  <c r="BU936" i="15"/>
  <c r="BT936" i="15"/>
  <c r="BV936" i="15" s="1"/>
  <c r="CC690" i="15"/>
  <c r="CB690" i="15"/>
  <c r="CD690" i="15" s="1"/>
  <c r="BY813" i="15"/>
  <c r="BX813" i="15"/>
  <c r="BZ813" i="15" s="1"/>
  <c r="CL688" i="15"/>
  <c r="CK688" i="15"/>
  <c r="CM688" i="15" s="1"/>
  <c r="L287" i="7"/>
  <c r="CL689" i="15" l="1"/>
  <c r="CK689" i="15"/>
  <c r="CM689" i="15" s="1"/>
  <c r="CC691" i="15"/>
  <c r="CB691" i="15"/>
  <c r="CD691" i="15" s="1"/>
  <c r="CH690" i="15"/>
  <c r="CG690" i="15"/>
  <c r="CI690" i="15" s="1"/>
  <c r="BY814" i="15"/>
  <c r="BX814" i="15"/>
  <c r="BZ814" i="15" s="1"/>
  <c r="BU937" i="15"/>
  <c r="BT937" i="15"/>
  <c r="BV937" i="15" s="1"/>
  <c r="J288" i="7"/>
  <c r="K288" i="7"/>
  <c r="BY815" i="15" l="1"/>
  <c r="BX815" i="15"/>
  <c r="BZ815" i="15" s="1"/>
  <c r="CH691" i="15"/>
  <c r="CG691" i="15"/>
  <c r="CI691" i="15" s="1"/>
  <c r="CL690" i="15"/>
  <c r="CK690" i="15"/>
  <c r="CM690" i="15" s="1"/>
  <c r="BU938" i="15"/>
  <c r="BT938" i="15"/>
  <c r="BV938" i="15" s="1"/>
  <c r="CC692" i="15"/>
  <c r="CB692" i="15"/>
  <c r="CD692" i="15" s="1"/>
  <c r="L288" i="7"/>
  <c r="CC693" i="15" l="1"/>
  <c r="CB693" i="15"/>
  <c r="CD693" i="15" s="1"/>
  <c r="CL691" i="15"/>
  <c r="CK691" i="15"/>
  <c r="CM691" i="15" s="1"/>
  <c r="BY816" i="15"/>
  <c r="BX816" i="15"/>
  <c r="BZ816" i="15" s="1"/>
  <c r="BU939" i="15"/>
  <c r="BT939" i="15"/>
  <c r="BV939" i="15" s="1"/>
  <c r="CH692" i="15"/>
  <c r="CG692" i="15"/>
  <c r="CI692" i="15" s="1"/>
  <c r="J289" i="7"/>
  <c r="K289" i="7"/>
  <c r="CH693" i="15" l="1"/>
  <c r="CG693" i="15"/>
  <c r="CI693" i="15" s="1"/>
  <c r="BY817" i="15"/>
  <c r="BX817" i="15"/>
  <c r="BZ817" i="15" s="1"/>
  <c r="CC694" i="15"/>
  <c r="CB694" i="15"/>
  <c r="CD694" i="15" s="1"/>
  <c r="BU940" i="15"/>
  <c r="BT940" i="15"/>
  <c r="BV940" i="15" s="1"/>
  <c r="CL692" i="15"/>
  <c r="CK692" i="15"/>
  <c r="CM692" i="15" s="1"/>
  <c r="L289" i="7"/>
  <c r="CL693" i="15" l="1"/>
  <c r="CK693" i="15"/>
  <c r="CM693" i="15" s="1"/>
  <c r="CC695" i="15"/>
  <c r="CB695" i="15"/>
  <c r="CD695" i="15" s="1"/>
  <c r="CH694" i="15"/>
  <c r="CG694" i="15"/>
  <c r="CI694" i="15" s="1"/>
  <c r="BU941" i="15"/>
  <c r="BT941" i="15"/>
  <c r="BV941" i="15" s="1"/>
  <c r="BY818" i="15"/>
  <c r="BX818" i="15"/>
  <c r="BZ818" i="15" s="1"/>
  <c r="J290" i="7"/>
  <c r="K290" i="7"/>
  <c r="BU942" i="15" l="1"/>
  <c r="BT942" i="15"/>
  <c r="BV942" i="15" s="1"/>
  <c r="CH695" i="15"/>
  <c r="CG695" i="15"/>
  <c r="CI695" i="15" s="1"/>
  <c r="CL694" i="15"/>
  <c r="CK694" i="15"/>
  <c r="CM694" i="15" s="1"/>
  <c r="BY819" i="15"/>
  <c r="BX819" i="15"/>
  <c r="BZ819" i="15" s="1"/>
  <c r="CC696" i="15"/>
  <c r="CB696" i="15"/>
  <c r="CD696" i="15" s="1"/>
  <c r="L290" i="7"/>
  <c r="CC697" i="15" l="1"/>
  <c r="CB697" i="15"/>
  <c r="CD697" i="15" s="1"/>
  <c r="CL695" i="15"/>
  <c r="CK695" i="15"/>
  <c r="CM695" i="15" s="1"/>
  <c r="BU943" i="15"/>
  <c r="BT943" i="15"/>
  <c r="BV943" i="15" s="1"/>
  <c r="BY820" i="15"/>
  <c r="BX820" i="15"/>
  <c r="BZ820" i="15" s="1"/>
  <c r="CH696" i="15"/>
  <c r="CG696" i="15"/>
  <c r="CI696" i="15" s="1"/>
  <c r="J291" i="7"/>
  <c r="K291" i="7"/>
  <c r="CH697" i="15" l="1"/>
  <c r="CG697" i="15"/>
  <c r="CI697" i="15" s="1"/>
  <c r="BU944" i="15"/>
  <c r="BT944" i="15"/>
  <c r="BV944" i="15" s="1"/>
  <c r="CC698" i="15"/>
  <c r="CB698" i="15"/>
  <c r="CD698" i="15" s="1"/>
  <c r="BY821" i="15"/>
  <c r="BX821" i="15"/>
  <c r="BZ821" i="15" s="1"/>
  <c r="CL696" i="15"/>
  <c r="CK696" i="15"/>
  <c r="CM696" i="15" s="1"/>
  <c r="L291" i="7"/>
  <c r="CL697" i="15" l="1"/>
  <c r="CK697" i="15"/>
  <c r="CM697" i="15" s="1"/>
  <c r="CC699" i="15"/>
  <c r="CB699" i="15"/>
  <c r="CD699" i="15" s="1"/>
  <c r="CH698" i="15"/>
  <c r="CG698" i="15"/>
  <c r="CI698" i="15" s="1"/>
  <c r="BY822" i="15"/>
  <c r="BX822" i="15"/>
  <c r="BZ822" i="15" s="1"/>
  <c r="BU945" i="15"/>
  <c r="BT945" i="15"/>
  <c r="BV945" i="15" s="1"/>
  <c r="J292" i="7"/>
  <c r="K292" i="7"/>
  <c r="BU946" i="15" l="1"/>
  <c r="BT946" i="15"/>
  <c r="BV946" i="15" s="1"/>
  <c r="CH699" i="15"/>
  <c r="CG699" i="15"/>
  <c r="CI699" i="15" s="1"/>
  <c r="CL698" i="15"/>
  <c r="CK698" i="15"/>
  <c r="CM698" i="15" s="1"/>
  <c r="BY823" i="15"/>
  <c r="BX823" i="15"/>
  <c r="BZ823" i="15" s="1"/>
  <c r="CC700" i="15"/>
  <c r="CB700" i="15"/>
  <c r="CD700" i="15" s="1"/>
  <c r="L292" i="7"/>
  <c r="CC701" i="15" l="1"/>
  <c r="CB701" i="15"/>
  <c r="CD701" i="15" s="1"/>
  <c r="CL699" i="15"/>
  <c r="CK699" i="15"/>
  <c r="CM699" i="15" s="1"/>
  <c r="BU947" i="15"/>
  <c r="BT947" i="15"/>
  <c r="BV947" i="15" s="1"/>
  <c r="BY824" i="15"/>
  <c r="BX824" i="15"/>
  <c r="BZ824" i="15" s="1"/>
  <c r="CH700" i="15"/>
  <c r="CG700" i="15"/>
  <c r="CI700" i="15" s="1"/>
  <c r="J293" i="7"/>
  <c r="K293" i="7"/>
  <c r="BY825" i="15" l="1"/>
  <c r="BX825" i="15"/>
  <c r="BZ825" i="15" s="1"/>
  <c r="BU948" i="15"/>
  <c r="BT948" i="15"/>
  <c r="BV948" i="15" s="1"/>
  <c r="CC702" i="15"/>
  <c r="CB702" i="15"/>
  <c r="CD702" i="15" s="1"/>
  <c r="CH701" i="15"/>
  <c r="CG701" i="15"/>
  <c r="CI701" i="15" s="1"/>
  <c r="CL700" i="15"/>
  <c r="CK700" i="15"/>
  <c r="CM700" i="15" s="1"/>
  <c r="L293" i="7"/>
  <c r="CL701" i="15" l="1"/>
  <c r="CK701" i="15"/>
  <c r="CM701" i="15" s="1"/>
  <c r="CC703" i="15"/>
  <c r="CB703" i="15"/>
  <c r="CD703" i="15" s="1"/>
  <c r="BY826" i="15"/>
  <c r="BX826" i="15"/>
  <c r="BZ826" i="15" s="1"/>
  <c r="CH702" i="15"/>
  <c r="CG702" i="15"/>
  <c r="CI702" i="15" s="1"/>
  <c r="BU949" i="15"/>
  <c r="BT949" i="15"/>
  <c r="BV949" i="15" s="1"/>
  <c r="J294" i="7"/>
  <c r="K294" i="7"/>
  <c r="CH703" i="15" l="1"/>
  <c r="CG703" i="15"/>
  <c r="CI703" i="15" s="1"/>
  <c r="BY827" i="15"/>
  <c r="BX827" i="15"/>
  <c r="BZ827" i="15" s="1"/>
  <c r="CL702" i="15"/>
  <c r="CK702" i="15"/>
  <c r="CM702" i="15" s="1"/>
  <c r="BU950" i="15"/>
  <c r="BT950" i="15"/>
  <c r="BV950" i="15" s="1"/>
  <c r="CC704" i="15"/>
  <c r="CB704" i="15"/>
  <c r="CD704" i="15" s="1"/>
  <c r="L294" i="7"/>
  <c r="CC705" i="15" l="1"/>
  <c r="CB705" i="15"/>
  <c r="CD705" i="15" s="1"/>
  <c r="CL703" i="15"/>
  <c r="CK703" i="15"/>
  <c r="CM703" i="15" s="1"/>
  <c r="CH704" i="15"/>
  <c r="CG704" i="15"/>
  <c r="CI704" i="15" s="1"/>
  <c r="BU951" i="15"/>
  <c r="BT951" i="15"/>
  <c r="BV951" i="15" s="1"/>
  <c r="BY828" i="15"/>
  <c r="BX828" i="15"/>
  <c r="BZ828" i="15" s="1"/>
  <c r="J295" i="7"/>
  <c r="K295" i="7"/>
  <c r="BY829" i="15" l="1"/>
  <c r="BX829" i="15"/>
  <c r="BZ829" i="15" s="1"/>
  <c r="CH705" i="15"/>
  <c r="CG705" i="15"/>
  <c r="CI705" i="15" s="1"/>
  <c r="CC706" i="15"/>
  <c r="CB706" i="15"/>
  <c r="CD706" i="15" s="1"/>
  <c r="BU952" i="15"/>
  <c r="BT952" i="15"/>
  <c r="BV952" i="15" s="1"/>
  <c r="CL704" i="15"/>
  <c r="CK704" i="15"/>
  <c r="CM704" i="15" s="1"/>
  <c r="L295" i="7"/>
  <c r="CL705" i="15" l="1"/>
  <c r="CK705" i="15"/>
  <c r="CM705" i="15" s="1"/>
  <c r="CC707" i="15"/>
  <c r="CB707" i="15"/>
  <c r="CD707" i="15" s="1"/>
  <c r="BY830" i="15"/>
  <c r="BX830" i="15"/>
  <c r="BZ830" i="15" s="1"/>
  <c r="BU953" i="15"/>
  <c r="BT953" i="15"/>
  <c r="BV953" i="15" s="1"/>
  <c r="CH706" i="15"/>
  <c r="CG706" i="15"/>
  <c r="CI706" i="15" s="1"/>
  <c r="J296" i="7"/>
  <c r="K296" i="7"/>
  <c r="CH707" i="15" l="1"/>
  <c r="CG707" i="15"/>
  <c r="CI707" i="15" s="1"/>
  <c r="BY831" i="15"/>
  <c r="BX831" i="15"/>
  <c r="BZ831" i="15" s="1"/>
  <c r="CL706" i="15"/>
  <c r="CK706" i="15"/>
  <c r="CM706" i="15" s="1"/>
  <c r="BU954" i="15"/>
  <c r="BT954" i="15"/>
  <c r="BV954" i="15" s="1"/>
  <c r="CC708" i="15"/>
  <c r="CB708" i="15"/>
  <c r="CD708" i="15" s="1"/>
  <c r="L296" i="7"/>
  <c r="BU955" i="15" l="1"/>
  <c r="BT955" i="15"/>
  <c r="BV955" i="15" s="1"/>
  <c r="CL707" i="15"/>
  <c r="CK707" i="15"/>
  <c r="CM707" i="15" s="1"/>
  <c r="CH708" i="15"/>
  <c r="CG708" i="15"/>
  <c r="CI708" i="15" s="1"/>
  <c r="CC709" i="15"/>
  <c r="CB709" i="15"/>
  <c r="CD709" i="15" s="1"/>
  <c r="BY832" i="15"/>
  <c r="BX832" i="15"/>
  <c r="BZ832" i="15" s="1"/>
  <c r="J297" i="7"/>
  <c r="K297" i="7"/>
  <c r="BY833" i="15" l="1"/>
  <c r="BX833" i="15"/>
  <c r="BZ833" i="15" s="1"/>
  <c r="CH709" i="15"/>
  <c r="CG709" i="15"/>
  <c r="CI709" i="15" s="1"/>
  <c r="BU956" i="15"/>
  <c r="BT956" i="15"/>
  <c r="BV956" i="15" s="1"/>
  <c r="CC710" i="15"/>
  <c r="CB710" i="15"/>
  <c r="CD710" i="15" s="1"/>
  <c r="CL708" i="15"/>
  <c r="CK708" i="15"/>
  <c r="CM708" i="15" s="1"/>
  <c r="L297" i="7"/>
  <c r="CL709" i="15" l="1"/>
  <c r="CK709" i="15"/>
  <c r="CM709" i="15" s="1"/>
  <c r="BU957" i="15"/>
  <c r="BT957" i="15"/>
  <c r="BV957" i="15" s="1"/>
  <c r="BY834" i="15"/>
  <c r="BX834" i="15"/>
  <c r="BZ834" i="15" s="1"/>
  <c r="CC711" i="15"/>
  <c r="CB711" i="15"/>
  <c r="CD711" i="15" s="1"/>
  <c r="CH710" i="15"/>
  <c r="CG710" i="15"/>
  <c r="CI710" i="15" s="1"/>
  <c r="J298" i="7"/>
  <c r="K298" i="7"/>
  <c r="CC712" i="15" l="1"/>
  <c r="CB712" i="15"/>
  <c r="CD712" i="15" s="1"/>
  <c r="BY835" i="15"/>
  <c r="BX835" i="15"/>
  <c r="BZ835" i="15" s="1"/>
  <c r="CL710" i="15"/>
  <c r="CK710" i="15"/>
  <c r="CM710" i="15" s="1"/>
  <c r="CH711" i="15"/>
  <c r="CG711" i="15"/>
  <c r="CI711" i="15" s="1"/>
  <c r="BU958" i="15"/>
  <c r="BT958" i="15"/>
  <c r="BV958" i="15" s="1"/>
  <c r="L298" i="7"/>
  <c r="BU959" i="15" l="1"/>
  <c r="BT959" i="15"/>
  <c r="BV959" i="15" s="1"/>
  <c r="CL711" i="15"/>
  <c r="CK711" i="15"/>
  <c r="CM711" i="15" s="1"/>
  <c r="CC713" i="15"/>
  <c r="CB713" i="15"/>
  <c r="CD713" i="15" s="1"/>
  <c r="CH712" i="15"/>
  <c r="CG712" i="15"/>
  <c r="CI712" i="15" s="1"/>
  <c r="BY836" i="15"/>
  <c r="BX836" i="15"/>
  <c r="BZ836" i="15" s="1"/>
  <c r="J299" i="7"/>
  <c r="L299" i="7" s="1"/>
  <c r="K299" i="7"/>
  <c r="BY837" i="15" l="1"/>
  <c r="BX837" i="15"/>
  <c r="BZ837" i="15" s="1"/>
  <c r="CC714" i="15"/>
  <c r="CB714" i="15"/>
  <c r="CD714" i="15" s="1"/>
  <c r="BU960" i="15"/>
  <c r="BT960" i="15"/>
  <c r="BV960" i="15" s="1"/>
  <c r="CH713" i="15"/>
  <c r="CG713" i="15"/>
  <c r="CI713" i="15" s="1"/>
  <c r="CL712" i="15"/>
  <c r="CK712" i="15"/>
  <c r="CM712" i="15" s="1"/>
  <c r="J300" i="7"/>
  <c r="K300" i="7"/>
  <c r="CH714" i="15" l="1"/>
  <c r="CG714" i="15"/>
  <c r="CI714" i="15" s="1"/>
  <c r="BU961" i="15"/>
  <c r="BT961" i="15"/>
  <c r="BV961" i="15" s="1"/>
  <c r="BY838" i="15"/>
  <c r="BX838" i="15"/>
  <c r="BZ838" i="15" s="1"/>
  <c r="CL713" i="15"/>
  <c r="CK713" i="15"/>
  <c r="CM713" i="15" s="1"/>
  <c r="CC715" i="15"/>
  <c r="CB715" i="15"/>
  <c r="CD715" i="15" s="1"/>
  <c r="L300" i="7"/>
  <c r="CC716" i="15" l="1"/>
  <c r="CB716" i="15"/>
  <c r="CD716" i="15" s="1"/>
  <c r="BY839" i="15"/>
  <c r="BX839" i="15"/>
  <c r="BZ839" i="15" s="1"/>
  <c r="CH715" i="15"/>
  <c r="CG715" i="15"/>
  <c r="CI715" i="15" s="1"/>
  <c r="CL714" i="15"/>
  <c r="CK714" i="15"/>
  <c r="CM714" i="15" s="1"/>
  <c r="BU962" i="15"/>
  <c r="BT962" i="15"/>
  <c r="BV962" i="15" s="1"/>
  <c r="J301" i="7"/>
  <c r="L301" i="7" s="1"/>
  <c r="K301" i="7"/>
  <c r="BU963" i="15" l="1"/>
  <c r="BT963" i="15"/>
  <c r="BV963" i="15" s="1"/>
  <c r="CH716" i="15"/>
  <c r="CG716" i="15"/>
  <c r="CI716" i="15" s="1"/>
  <c r="CC717" i="15"/>
  <c r="CB717" i="15"/>
  <c r="CD717" i="15" s="1"/>
  <c r="CL715" i="15"/>
  <c r="CK715" i="15"/>
  <c r="CM715" i="15" s="1"/>
  <c r="BY840" i="15"/>
  <c r="BX840" i="15"/>
  <c r="BZ840" i="15" s="1"/>
  <c r="J302" i="7"/>
  <c r="K302" i="7"/>
  <c r="BY841" i="15" l="1"/>
  <c r="BX841" i="15"/>
  <c r="BZ841" i="15" s="1"/>
  <c r="CC718" i="15"/>
  <c r="CB718" i="15"/>
  <c r="CD718" i="15" s="1"/>
  <c r="BU964" i="15"/>
  <c r="BT964" i="15"/>
  <c r="BV964" i="15" s="1"/>
  <c r="CL716" i="15"/>
  <c r="CK716" i="15"/>
  <c r="CM716" i="15" s="1"/>
  <c r="CH717" i="15"/>
  <c r="CG717" i="15"/>
  <c r="CI717" i="15" s="1"/>
  <c r="L302" i="7"/>
  <c r="CH718" i="15" l="1"/>
  <c r="CG718" i="15"/>
  <c r="CI718" i="15" s="1"/>
  <c r="BU965" i="15"/>
  <c r="BT965" i="15"/>
  <c r="BV965" i="15" s="1"/>
  <c r="BY842" i="15"/>
  <c r="BX842" i="15"/>
  <c r="BZ842" i="15" s="1"/>
  <c r="CL717" i="15"/>
  <c r="CK717" i="15"/>
  <c r="CM717" i="15" s="1"/>
  <c r="CC719" i="15"/>
  <c r="CB719" i="15"/>
  <c r="CD719" i="15" s="1"/>
  <c r="J303" i="7"/>
  <c r="K303" i="7"/>
  <c r="CL718" i="15" l="1"/>
  <c r="CK718" i="15"/>
  <c r="CM718" i="15" s="1"/>
  <c r="BY843" i="15"/>
  <c r="BX843" i="15"/>
  <c r="BZ843" i="15" s="1"/>
  <c r="CH719" i="15"/>
  <c r="CG719" i="15"/>
  <c r="CI719" i="15" s="1"/>
  <c r="CC720" i="15"/>
  <c r="CB720" i="15"/>
  <c r="CD720" i="15" s="1"/>
  <c r="BU966" i="15"/>
  <c r="BT966" i="15"/>
  <c r="BV966" i="15" s="1"/>
  <c r="J432" i="7"/>
  <c r="L303" i="7"/>
  <c r="B40" i="7"/>
  <c r="C40" i="7" s="1"/>
  <c r="CC721" i="15" l="1"/>
  <c r="CB721" i="15"/>
  <c r="CD721" i="15" s="1"/>
  <c r="CH720" i="15"/>
  <c r="CG720" i="15"/>
  <c r="CI720" i="15" s="1"/>
  <c r="CL719" i="15"/>
  <c r="CK719" i="15"/>
  <c r="CM719" i="15" s="1"/>
  <c r="BU967" i="15"/>
  <c r="BT967" i="15"/>
  <c r="BV967" i="15" s="1"/>
  <c r="BY844" i="15"/>
  <c r="BX844" i="15"/>
  <c r="BZ844" i="15" s="1"/>
  <c r="J443" i="7"/>
  <c r="K432" i="7"/>
  <c r="J304" i="7"/>
  <c r="K304" i="7"/>
  <c r="BU968" i="15" l="1"/>
  <c r="BT968" i="15"/>
  <c r="BV968" i="15" s="1"/>
  <c r="CL720" i="15"/>
  <c r="CK720" i="15"/>
  <c r="CM720" i="15" s="1"/>
  <c r="CC722" i="15"/>
  <c r="CB722" i="15"/>
  <c r="CD722" i="15" s="1"/>
  <c r="BY845" i="15"/>
  <c r="BX845" i="15"/>
  <c r="BZ845" i="15" s="1"/>
  <c r="CH721" i="15"/>
  <c r="CG721" i="15"/>
  <c r="CI721" i="15" s="1"/>
  <c r="L304" i="7"/>
  <c r="K443" i="7"/>
  <c r="D15" i="18" s="1"/>
  <c r="C15" i="18"/>
  <c r="CH722" i="15" l="1"/>
  <c r="CG722" i="15"/>
  <c r="CI722" i="15" s="1"/>
  <c r="CC723" i="15"/>
  <c r="CB723" i="15"/>
  <c r="CD723" i="15" s="1"/>
  <c r="BU969" i="15"/>
  <c r="BT969" i="15"/>
  <c r="BV969" i="15" s="1"/>
  <c r="BY846" i="15"/>
  <c r="BX846" i="15"/>
  <c r="BZ846" i="15" s="1"/>
  <c r="CL721" i="15"/>
  <c r="CK721" i="15"/>
  <c r="CM721" i="15" s="1"/>
  <c r="J305" i="7"/>
  <c r="K305" i="7"/>
  <c r="BY847" i="15" l="1"/>
  <c r="BX847" i="15"/>
  <c r="BZ847" i="15" s="1"/>
  <c r="BU970" i="15"/>
  <c r="BT970" i="15"/>
  <c r="BV970" i="15" s="1"/>
  <c r="CH723" i="15"/>
  <c r="CG723" i="15"/>
  <c r="CI723" i="15" s="1"/>
  <c r="CL722" i="15"/>
  <c r="CK722" i="15"/>
  <c r="CM722" i="15" s="1"/>
  <c r="CC724" i="15"/>
  <c r="CB724" i="15"/>
  <c r="CD724" i="15" s="1"/>
  <c r="L305" i="7"/>
  <c r="CC725" i="15" l="1"/>
  <c r="CB725" i="15"/>
  <c r="CD725" i="15" s="1"/>
  <c r="CH724" i="15"/>
  <c r="CG724" i="15"/>
  <c r="CI724" i="15" s="1"/>
  <c r="BY848" i="15"/>
  <c r="BX848" i="15"/>
  <c r="BZ848" i="15" s="1"/>
  <c r="CL723" i="15"/>
  <c r="CK723" i="15"/>
  <c r="CM723" i="15" s="1"/>
  <c r="BU971" i="15"/>
  <c r="BT971" i="15"/>
  <c r="BV971" i="15" s="1"/>
  <c r="J306" i="7"/>
  <c r="K306" i="7"/>
  <c r="BU972" i="15" l="1"/>
  <c r="BT972" i="15"/>
  <c r="BV972" i="15" s="1"/>
  <c r="BY849" i="15"/>
  <c r="BX849" i="15"/>
  <c r="BZ849" i="15" s="1"/>
  <c r="CC726" i="15"/>
  <c r="CB726" i="15"/>
  <c r="CD726" i="15" s="1"/>
  <c r="CL724" i="15"/>
  <c r="CK724" i="15"/>
  <c r="CM724" i="15" s="1"/>
  <c r="CH725" i="15"/>
  <c r="CG725" i="15"/>
  <c r="CI725" i="15" s="1"/>
  <c r="L306" i="7"/>
  <c r="CL725" i="15" l="1"/>
  <c r="CK725" i="15"/>
  <c r="CM725" i="15" s="1"/>
  <c r="CC727" i="15"/>
  <c r="CB727" i="15"/>
  <c r="CD727" i="15" s="1"/>
  <c r="BU973" i="15"/>
  <c r="BT973" i="15"/>
  <c r="BV973" i="15" s="1"/>
  <c r="CH726" i="15"/>
  <c r="CG726" i="15"/>
  <c r="CI726" i="15" s="1"/>
  <c r="BY850" i="15"/>
  <c r="BX850" i="15"/>
  <c r="BZ850" i="15" s="1"/>
  <c r="J307" i="7"/>
  <c r="K307" i="7"/>
  <c r="BY851" i="15" l="1"/>
  <c r="BX851" i="15"/>
  <c r="BZ851" i="15" s="1"/>
  <c r="BU974" i="15"/>
  <c r="BT974" i="15"/>
  <c r="BV974" i="15" s="1"/>
  <c r="CL726" i="15"/>
  <c r="CK726" i="15"/>
  <c r="CM726" i="15" s="1"/>
  <c r="CH727" i="15"/>
  <c r="CG727" i="15"/>
  <c r="CI727" i="15" s="1"/>
  <c r="CC728" i="15"/>
  <c r="CB728" i="15"/>
  <c r="CD728" i="15" s="1"/>
  <c r="L307" i="7"/>
  <c r="CC729" i="15" l="1"/>
  <c r="CB729" i="15"/>
  <c r="CD729" i="15" s="1"/>
  <c r="CL727" i="15"/>
  <c r="CK727" i="15"/>
  <c r="CM727" i="15" s="1"/>
  <c r="BY852" i="15"/>
  <c r="BX852" i="15"/>
  <c r="BZ852" i="15" s="1"/>
  <c r="CH728" i="15"/>
  <c r="CG728" i="15"/>
  <c r="CI728" i="15" s="1"/>
  <c r="BU975" i="15"/>
  <c r="BT975" i="15"/>
  <c r="BV975" i="15" s="1"/>
  <c r="J308" i="7"/>
  <c r="K308" i="7"/>
  <c r="BU976" i="15" l="1"/>
  <c r="BT976" i="15"/>
  <c r="BV976" i="15" s="1"/>
  <c r="BY853" i="15"/>
  <c r="BX853" i="15"/>
  <c r="BZ853" i="15" s="1"/>
  <c r="CC730" i="15"/>
  <c r="CB730" i="15"/>
  <c r="CD730" i="15" s="1"/>
  <c r="CH729" i="15"/>
  <c r="CG729" i="15"/>
  <c r="CI729" i="15" s="1"/>
  <c r="CL728" i="15"/>
  <c r="CK728" i="15"/>
  <c r="CM728" i="15" s="1"/>
  <c r="L308" i="7"/>
  <c r="CL729" i="15" l="1"/>
  <c r="CK729" i="15"/>
  <c r="CM729" i="15" s="1"/>
  <c r="CC731" i="15"/>
  <c r="CB731" i="15"/>
  <c r="CD731" i="15" s="1"/>
  <c r="BU977" i="15"/>
  <c r="BT977" i="15"/>
  <c r="BV977" i="15" s="1"/>
  <c r="CH730" i="15"/>
  <c r="CG730" i="15"/>
  <c r="CI730" i="15" s="1"/>
  <c r="BY854" i="15"/>
  <c r="BX854" i="15"/>
  <c r="BZ854" i="15" s="1"/>
  <c r="J309" i="7"/>
  <c r="K309" i="7"/>
  <c r="CH731" i="15" l="1"/>
  <c r="CG731" i="15"/>
  <c r="CI731" i="15" s="1"/>
  <c r="BU978" i="15"/>
  <c r="BT978" i="15"/>
  <c r="BV978" i="15" s="1"/>
  <c r="CL730" i="15"/>
  <c r="CK730" i="15"/>
  <c r="CM730" i="15" s="1"/>
  <c r="BY855" i="15"/>
  <c r="BX855" i="15"/>
  <c r="BZ855" i="15" s="1"/>
  <c r="CC732" i="15"/>
  <c r="CB732" i="15"/>
  <c r="CD732" i="15" s="1"/>
  <c r="L309" i="7"/>
  <c r="CC733" i="15" l="1"/>
  <c r="CB733" i="15"/>
  <c r="CD733" i="15" s="1"/>
  <c r="CL731" i="15"/>
  <c r="CK731" i="15"/>
  <c r="CM731" i="15" s="1"/>
  <c r="CH732" i="15"/>
  <c r="CG732" i="15"/>
  <c r="CI732" i="15" s="1"/>
  <c r="BY856" i="15"/>
  <c r="BX856" i="15"/>
  <c r="BZ856" i="15" s="1"/>
  <c r="BU979" i="15"/>
  <c r="BT979" i="15"/>
  <c r="BV979" i="15" s="1"/>
  <c r="J310" i="7"/>
  <c r="K310" i="7"/>
  <c r="BU980" i="15" l="1"/>
  <c r="BT980" i="15"/>
  <c r="BV980" i="15" s="1"/>
  <c r="CH733" i="15"/>
  <c r="CG733" i="15"/>
  <c r="CI733" i="15" s="1"/>
  <c r="CC734" i="15"/>
  <c r="CB734" i="15"/>
  <c r="CD734" i="15" s="1"/>
  <c r="BY857" i="15"/>
  <c r="BX857" i="15"/>
  <c r="BZ857" i="15" s="1"/>
  <c r="CL732" i="15"/>
  <c r="CK732" i="15"/>
  <c r="CM732" i="15" s="1"/>
  <c r="L310" i="7"/>
  <c r="CL733" i="15" l="1"/>
  <c r="CK733" i="15"/>
  <c r="CM733" i="15" s="1"/>
  <c r="CC735" i="15"/>
  <c r="CB735" i="15"/>
  <c r="CD735" i="15" s="1"/>
  <c r="BU981" i="15"/>
  <c r="BT981" i="15"/>
  <c r="BV981" i="15" s="1"/>
  <c r="BY858" i="15"/>
  <c r="BX858" i="15"/>
  <c r="BZ858" i="15" s="1"/>
  <c r="CH734" i="15"/>
  <c r="CG734" i="15"/>
  <c r="CI734" i="15" s="1"/>
  <c r="J311" i="7"/>
  <c r="K311" i="7"/>
  <c r="CH735" i="15" l="1"/>
  <c r="CG735" i="15"/>
  <c r="CI735" i="15" s="1"/>
  <c r="BU982" i="15"/>
  <c r="BT982" i="15"/>
  <c r="BV982" i="15" s="1"/>
  <c r="CL734" i="15"/>
  <c r="CK734" i="15"/>
  <c r="CM734" i="15" s="1"/>
  <c r="BY859" i="15"/>
  <c r="BX859" i="15"/>
  <c r="BZ859" i="15" s="1"/>
  <c r="CC736" i="15"/>
  <c r="CB736" i="15"/>
  <c r="CD736" i="15" s="1"/>
  <c r="L311" i="7"/>
  <c r="CC737" i="15" l="1"/>
  <c r="CB737" i="15"/>
  <c r="CD737" i="15" s="1"/>
  <c r="CL735" i="15"/>
  <c r="CK735" i="15"/>
  <c r="CM735" i="15" s="1"/>
  <c r="CH736" i="15"/>
  <c r="CG736" i="15"/>
  <c r="CI736" i="15" s="1"/>
  <c r="BY860" i="15"/>
  <c r="BX860" i="15"/>
  <c r="BZ860" i="15" s="1"/>
  <c r="BU983" i="15"/>
  <c r="BT983" i="15"/>
  <c r="BV983" i="15" s="1"/>
  <c r="J312" i="7"/>
  <c r="K312" i="7"/>
  <c r="BY861" i="15" l="1"/>
  <c r="BX861" i="15"/>
  <c r="BZ861" i="15" s="1"/>
  <c r="CH737" i="15"/>
  <c r="CG737" i="15"/>
  <c r="CI737" i="15" s="1"/>
  <c r="CC738" i="15"/>
  <c r="CB738" i="15"/>
  <c r="CD738" i="15" s="1"/>
  <c r="BU984" i="15"/>
  <c r="BT984" i="15"/>
  <c r="BV984" i="15" s="1"/>
  <c r="CL736" i="15"/>
  <c r="CK736" i="15"/>
  <c r="CM736" i="15" s="1"/>
  <c r="L312" i="7"/>
  <c r="CL737" i="15" l="1"/>
  <c r="CK737" i="15"/>
  <c r="CM737" i="15" s="1"/>
  <c r="CC739" i="15"/>
  <c r="CB739" i="15"/>
  <c r="CD739" i="15" s="1"/>
  <c r="BY862" i="15"/>
  <c r="BX862" i="15"/>
  <c r="BZ862" i="15" s="1"/>
  <c r="BU985" i="15"/>
  <c r="BT985" i="15"/>
  <c r="BV985" i="15" s="1"/>
  <c r="CH738" i="15"/>
  <c r="CG738" i="15"/>
  <c r="CI738" i="15" s="1"/>
  <c r="J313" i="7"/>
  <c r="K313" i="7"/>
  <c r="BU986" i="15" l="1"/>
  <c r="BT986" i="15"/>
  <c r="BV986" i="15" s="1"/>
  <c r="BY863" i="15"/>
  <c r="BX863" i="15"/>
  <c r="BZ863" i="15" s="1"/>
  <c r="CL738" i="15"/>
  <c r="CK738" i="15"/>
  <c r="CM738" i="15" s="1"/>
  <c r="CH739" i="15"/>
  <c r="CG739" i="15"/>
  <c r="CI739" i="15" s="1"/>
  <c r="CC740" i="15"/>
  <c r="CB740" i="15"/>
  <c r="CD740" i="15" s="1"/>
  <c r="L313" i="7"/>
  <c r="CC741" i="15" l="1"/>
  <c r="CB741" i="15"/>
  <c r="CD741" i="15" s="1"/>
  <c r="CL739" i="15"/>
  <c r="CK739" i="15"/>
  <c r="CM739" i="15" s="1"/>
  <c r="BU987" i="15"/>
  <c r="BT987" i="15"/>
  <c r="BV987" i="15" s="1"/>
  <c r="CH740" i="15"/>
  <c r="CG740" i="15"/>
  <c r="CI740" i="15" s="1"/>
  <c r="BY864" i="15"/>
  <c r="BX864" i="15"/>
  <c r="BZ864" i="15" s="1"/>
  <c r="J314" i="7"/>
  <c r="K314" i="7"/>
  <c r="BY865" i="15" l="1"/>
  <c r="BX865" i="15"/>
  <c r="BZ865" i="15" s="1"/>
  <c r="BU988" i="15"/>
  <c r="BT988" i="15"/>
  <c r="BV988" i="15" s="1"/>
  <c r="CC742" i="15"/>
  <c r="CB742" i="15"/>
  <c r="CD742" i="15" s="1"/>
  <c r="CH741" i="15"/>
  <c r="CG741" i="15"/>
  <c r="CI741" i="15" s="1"/>
  <c r="CL740" i="15"/>
  <c r="CK740" i="15"/>
  <c r="CM740" i="15" s="1"/>
  <c r="L314" i="7"/>
  <c r="CL741" i="15" l="1"/>
  <c r="CK741" i="15"/>
  <c r="CM741" i="15" s="1"/>
  <c r="CC743" i="15"/>
  <c r="CB743" i="15"/>
  <c r="CD743" i="15" s="1"/>
  <c r="BY866" i="15"/>
  <c r="BX866" i="15"/>
  <c r="BZ866" i="15" s="1"/>
  <c r="CH742" i="15"/>
  <c r="CG742" i="15"/>
  <c r="CI742" i="15" s="1"/>
  <c r="BU989" i="15"/>
  <c r="BT989" i="15"/>
  <c r="BV989" i="15" s="1"/>
  <c r="J315" i="7"/>
  <c r="K315" i="7"/>
  <c r="BU990" i="15" l="1"/>
  <c r="BT990" i="15"/>
  <c r="BV990" i="15" s="1"/>
  <c r="BY867" i="15"/>
  <c r="BX867" i="15"/>
  <c r="BZ867" i="15" s="1"/>
  <c r="CL742" i="15"/>
  <c r="CK742" i="15"/>
  <c r="CM742" i="15" s="1"/>
  <c r="CH743" i="15"/>
  <c r="CG743" i="15"/>
  <c r="CI743" i="15" s="1"/>
  <c r="CC744" i="15"/>
  <c r="CB744" i="15"/>
  <c r="CD744" i="15" s="1"/>
  <c r="L315" i="7"/>
  <c r="CH744" i="15" l="1"/>
  <c r="CG744" i="15"/>
  <c r="CI744" i="15" s="1"/>
  <c r="CL743" i="15"/>
  <c r="CK743" i="15"/>
  <c r="CM743" i="15" s="1"/>
  <c r="BU991" i="15"/>
  <c r="BT991" i="15"/>
  <c r="BV991" i="15" s="1"/>
  <c r="CC745" i="15"/>
  <c r="CB745" i="15"/>
  <c r="CD745" i="15" s="1"/>
  <c r="BY868" i="15"/>
  <c r="BX868" i="15"/>
  <c r="BZ868" i="15" s="1"/>
  <c r="J316" i="7"/>
  <c r="K316" i="7"/>
  <c r="BY869" i="15" l="1"/>
  <c r="BX869" i="15"/>
  <c r="BZ869" i="15" s="1"/>
  <c r="BU992" i="15"/>
  <c r="BT992" i="15"/>
  <c r="BV992" i="15" s="1"/>
  <c r="CH745" i="15"/>
  <c r="CG745" i="15"/>
  <c r="CI745" i="15" s="1"/>
  <c r="CC746" i="15"/>
  <c r="CB746" i="15"/>
  <c r="CD746" i="15" s="1"/>
  <c r="CL744" i="15"/>
  <c r="CK744" i="15"/>
  <c r="CM744" i="15" s="1"/>
  <c r="L316" i="7"/>
  <c r="CC747" i="15" l="1"/>
  <c r="CB747" i="15"/>
  <c r="CD747" i="15" s="1"/>
  <c r="CH746" i="15"/>
  <c r="CG746" i="15"/>
  <c r="CI746" i="15" s="1"/>
  <c r="BY870" i="15"/>
  <c r="BX870" i="15"/>
  <c r="BZ870" i="15" s="1"/>
  <c r="CL745" i="15"/>
  <c r="CK745" i="15"/>
  <c r="CM745" i="15" s="1"/>
  <c r="BU993" i="15"/>
  <c r="BT993" i="15"/>
  <c r="BV993" i="15" s="1"/>
  <c r="J317" i="7"/>
  <c r="K317" i="7"/>
  <c r="BU994" i="15" l="1"/>
  <c r="BT994" i="15"/>
  <c r="BV994" i="15" s="1"/>
  <c r="BY871" i="15"/>
  <c r="BX871" i="15"/>
  <c r="BZ871" i="15" s="1"/>
  <c r="CC748" i="15"/>
  <c r="CB748" i="15"/>
  <c r="CD748" i="15" s="1"/>
  <c r="CL746" i="15"/>
  <c r="CK746" i="15"/>
  <c r="CM746" i="15" s="1"/>
  <c r="CH747" i="15"/>
  <c r="CG747" i="15"/>
  <c r="CI747" i="15" s="1"/>
  <c r="L317" i="7"/>
  <c r="CH748" i="15" l="1"/>
  <c r="CG748" i="15"/>
  <c r="CI748" i="15" s="1"/>
  <c r="CC749" i="15"/>
  <c r="CB749" i="15"/>
  <c r="CD749" i="15" s="1"/>
  <c r="BU995" i="15"/>
  <c r="BT995" i="15"/>
  <c r="BV995" i="15" s="1"/>
  <c r="CL747" i="15"/>
  <c r="CK747" i="15"/>
  <c r="CM747" i="15" s="1"/>
  <c r="BY872" i="15"/>
  <c r="BX872" i="15"/>
  <c r="BZ872" i="15" s="1"/>
  <c r="J318" i="7"/>
  <c r="K318" i="7"/>
  <c r="BY873" i="15" l="1"/>
  <c r="BX873" i="15"/>
  <c r="BZ873" i="15" s="1"/>
  <c r="BU996" i="15"/>
  <c r="BT996" i="15"/>
  <c r="BV996" i="15" s="1"/>
  <c r="CH749" i="15"/>
  <c r="CG749" i="15"/>
  <c r="CI749" i="15" s="1"/>
  <c r="CL748" i="15"/>
  <c r="CK748" i="15"/>
  <c r="CM748" i="15" s="1"/>
  <c r="CC750" i="15"/>
  <c r="CB750" i="15"/>
  <c r="CD750" i="15" s="1"/>
  <c r="L318" i="7"/>
  <c r="CC751" i="15" l="1"/>
  <c r="CB751" i="15"/>
  <c r="CD751" i="15" s="1"/>
  <c r="CH750" i="15"/>
  <c r="CG750" i="15"/>
  <c r="CI750" i="15" s="1"/>
  <c r="BY874" i="15"/>
  <c r="BX874" i="15"/>
  <c r="BZ874" i="15" s="1"/>
  <c r="CL749" i="15"/>
  <c r="CK749" i="15"/>
  <c r="CM749" i="15" s="1"/>
  <c r="BU997" i="15"/>
  <c r="BT997" i="15"/>
  <c r="BV997" i="15" s="1"/>
  <c r="J319" i="7"/>
  <c r="K319" i="7"/>
  <c r="BU998" i="15" l="1"/>
  <c r="BT998" i="15"/>
  <c r="BV998" i="15" s="1"/>
  <c r="BY875" i="15"/>
  <c r="BX875" i="15"/>
  <c r="BZ875" i="15" s="1"/>
  <c r="CC752" i="15"/>
  <c r="CB752" i="15"/>
  <c r="CD752" i="15" s="1"/>
  <c r="CL750" i="15"/>
  <c r="CK750" i="15"/>
  <c r="CM750" i="15" s="1"/>
  <c r="CH751" i="15"/>
  <c r="CG751" i="15"/>
  <c r="CI751" i="15" s="1"/>
  <c r="L319" i="7"/>
  <c r="CH752" i="15" l="1"/>
  <c r="CG752" i="15"/>
  <c r="CI752" i="15" s="1"/>
  <c r="CC753" i="15"/>
  <c r="CB753" i="15"/>
  <c r="CD753" i="15" s="1"/>
  <c r="BU999" i="15"/>
  <c r="BT999" i="15"/>
  <c r="BV999" i="15" s="1"/>
  <c r="CL751" i="15"/>
  <c r="CK751" i="15"/>
  <c r="CM751" i="15" s="1"/>
  <c r="BY876" i="15"/>
  <c r="BX876" i="15"/>
  <c r="BZ876" i="15" s="1"/>
  <c r="J320" i="7"/>
  <c r="K320" i="7"/>
  <c r="BY877" i="15" l="1"/>
  <c r="BX877" i="15"/>
  <c r="BZ877" i="15" s="1"/>
  <c r="BU1000" i="15"/>
  <c r="BT1000" i="15"/>
  <c r="BV1000" i="15" s="1"/>
  <c r="CH753" i="15"/>
  <c r="CG753" i="15"/>
  <c r="CI753" i="15" s="1"/>
  <c r="CL752" i="15"/>
  <c r="CK752" i="15"/>
  <c r="CM752" i="15" s="1"/>
  <c r="CC754" i="15"/>
  <c r="CB754" i="15"/>
  <c r="CD754" i="15" s="1"/>
  <c r="L320" i="7"/>
  <c r="CC755" i="15" l="1"/>
  <c r="CB755" i="15"/>
  <c r="CD755" i="15" s="1"/>
  <c r="CH754" i="15"/>
  <c r="CG754" i="15"/>
  <c r="CI754" i="15" s="1"/>
  <c r="BY878" i="15"/>
  <c r="BX878" i="15"/>
  <c r="BZ878" i="15" s="1"/>
  <c r="CL753" i="15"/>
  <c r="CK753" i="15"/>
  <c r="CM753" i="15" s="1"/>
  <c r="BU1001" i="15"/>
  <c r="BT1001" i="15"/>
  <c r="BV1001" i="15" s="1"/>
  <c r="J321" i="7"/>
  <c r="K321" i="7"/>
  <c r="BU1002" i="15" l="1"/>
  <c r="BT1002" i="15"/>
  <c r="BV1002" i="15" s="1"/>
  <c r="BY879" i="15"/>
  <c r="BX879" i="15"/>
  <c r="BZ879" i="15" s="1"/>
  <c r="CC756" i="15"/>
  <c r="CB756" i="15"/>
  <c r="CD756" i="15" s="1"/>
  <c r="CL754" i="15"/>
  <c r="CK754" i="15"/>
  <c r="CM754" i="15" s="1"/>
  <c r="CH755" i="15"/>
  <c r="CG755" i="15"/>
  <c r="CI755" i="15" s="1"/>
  <c r="L321" i="7"/>
  <c r="CH756" i="15" l="1"/>
  <c r="CG756" i="15"/>
  <c r="CI756" i="15" s="1"/>
  <c r="CC757" i="15"/>
  <c r="CB757" i="15"/>
  <c r="CD757" i="15" s="1"/>
  <c r="BU1003" i="15"/>
  <c r="BT1003" i="15"/>
  <c r="BV1003" i="15" s="1"/>
  <c r="CL755" i="15"/>
  <c r="CK755" i="15"/>
  <c r="CM755" i="15" s="1"/>
  <c r="BY880" i="15"/>
  <c r="BX880" i="15"/>
  <c r="BZ880" i="15" s="1"/>
  <c r="J322" i="7"/>
  <c r="K322" i="7"/>
  <c r="BY881" i="15" l="1"/>
  <c r="BX881" i="15"/>
  <c r="BZ881" i="15" s="1"/>
  <c r="BU1004" i="15"/>
  <c r="BT1004" i="15"/>
  <c r="BV1004" i="15" s="1"/>
  <c r="CH757" i="15"/>
  <c r="CG757" i="15"/>
  <c r="CI757" i="15" s="1"/>
  <c r="CL756" i="15"/>
  <c r="CK756" i="15"/>
  <c r="CM756" i="15" s="1"/>
  <c r="CC758" i="15"/>
  <c r="CB758" i="15"/>
  <c r="CD758" i="15" s="1"/>
  <c r="L322" i="7"/>
  <c r="CC759" i="15" l="1"/>
  <c r="CB759" i="15"/>
  <c r="CD759" i="15" s="1"/>
  <c r="CH758" i="15"/>
  <c r="CG758" i="15"/>
  <c r="CI758" i="15" s="1"/>
  <c r="BY882" i="15"/>
  <c r="BX882" i="15"/>
  <c r="BZ882" i="15" s="1"/>
  <c r="CL757" i="15"/>
  <c r="CK757" i="15"/>
  <c r="CM757" i="15" s="1"/>
  <c r="BU1005" i="15"/>
  <c r="BT1005" i="15"/>
  <c r="BV1005" i="15" s="1"/>
  <c r="J323" i="7"/>
  <c r="K323" i="7"/>
  <c r="BU1006" i="15" l="1"/>
  <c r="BT1006" i="15"/>
  <c r="BV1006" i="15" s="1"/>
  <c r="BY883" i="15"/>
  <c r="BX883" i="15"/>
  <c r="BZ883" i="15" s="1"/>
  <c r="CC760" i="15"/>
  <c r="CB760" i="15"/>
  <c r="CD760" i="15" s="1"/>
  <c r="CL758" i="15"/>
  <c r="CK758" i="15"/>
  <c r="CM758" i="15" s="1"/>
  <c r="CH759" i="15"/>
  <c r="CG759" i="15"/>
  <c r="CI759" i="15" s="1"/>
  <c r="L323" i="7"/>
  <c r="CL759" i="15" l="1"/>
  <c r="CK759" i="15"/>
  <c r="CM759" i="15" s="1"/>
  <c r="CC761" i="15"/>
  <c r="CB761" i="15"/>
  <c r="CD761" i="15" s="1"/>
  <c r="BU1007" i="15"/>
  <c r="BT1007" i="15"/>
  <c r="BV1007" i="15" s="1"/>
  <c r="CH760" i="15"/>
  <c r="CG760" i="15"/>
  <c r="CI760" i="15" s="1"/>
  <c r="BY884" i="15"/>
  <c r="BX884" i="15"/>
  <c r="BZ884" i="15" s="1"/>
  <c r="J324" i="7"/>
  <c r="K324" i="7"/>
  <c r="BY885" i="15" l="1"/>
  <c r="BX885" i="15"/>
  <c r="BZ885" i="15" s="1"/>
  <c r="BU1008" i="15"/>
  <c r="BT1008" i="15"/>
  <c r="BV1008" i="15" s="1"/>
  <c r="CL760" i="15"/>
  <c r="CK760" i="15"/>
  <c r="CM760" i="15" s="1"/>
  <c r="CH761" i="15"/>
  <c r="CG761" i="15"/>
  <c r="CI761" i="15" s="1"/>
  <c r="CC762" i="15"/>
  <c r="CB762" i="15"/>
  <c r="CD762" i="15" s="1"/>
  <c r="L324" i="7"/>
  <c r="CH762" i="15" l="1"/>
  <c r="CG762" i="15"/>
  <c r="CI762" i="15" s="1"/>
  <c r="CL761" i="15"/>
  <c r="CK761" i="15"/>
  <c r="CM761" i="15" s="1"/>
  <c r="BY886" i="15"/>
  <c r="BX886" i="15"/>
  <c r="BZ886" i="15" s="1"/>
  <c r="CC763" i="15"/>
  <c r="CB763" i="15"/>
  <c r="CD763" i="15" s="1"/>
  <c r="BU1009" i="15"/>
  <c r="BT1009" i="15"/>
  <c r="BV1009" i="15" s="1"/>
  <c r="J325" i="7"/>
  <c r="K325" i="7"/>
  <c r="CC764" i="15" l="1"/>
  <c r="CB764" i="15"/>
  <c r="CD764" i="15" s="1"/>
  <c r="BY887" i="15"/>
  <c r="BX887" i="15"/>
  <c r="BZ887" i="15" s="1"/>
  <c r="CH763" i="15"/>
  <c r="CG763" i="15"/>
  <c r="CI763" i="15" s="1"/>
  <c r="BU1010" i="15"/>
  <c r="BT1010" i="15"/>
  <c r="BV1010" i="15" s="1"/>
  <c r="CL762" i="15"/>
  <c r="CK762" i="15"/>
  <c r="CM762" i="15" s="1"/>
  <c r="L325" i="7"/>
  <c r="BU1011" i="15" l="1"/>
  <c r="BT1011" i="15"/>
  <c r="BV1011" i="15" s="1"/>
  <c r="CH764" i="15"/>
  <c r="CG764" i="15"/>
  <c r="CI764" i="15" s="1"/>
  <c r="CC765" i="15"/>
  <c r="CB765" i="15"/>
  <c r="CD765" i="15" s="1"/>
  <c r="CL763" i="15"/>
  <c r="CK763" i="15"/>
  <c r="CM763" i="15" s="1"/>
  <c r="BY888" i="15"/>
  <c r="BX888" i="15"/>
  <c r="BZ888" i="15" s="1"/>
  <c r="J326" i="7"/>
  <c r="K326" i="7"/>
  <c r="CL764" i="15" l="1"/>
  <c r="CK764" i="15"/>
  <c r="CM764" i="15" s="1"/>
  <c r="CC766" i="15"/>
  <c r="CB766" i="15"/>
  <c r="CD766" i="15" s="1"/>
  <c r="BU1012" i="15"/>
  <c r="BT1012" i="15"/>
  <c r="BV1012" i="15" s="1"/>
  <c r="BY889" i="15"/>
  <c r="BX889" i="15"/>
  <c r="BZ889" i="15" s="1"/>
  <c r="CH765" i="15"/>
  <c r="CG765" i="15"/>
  <c r="CI765" i="15" s="1"/>
  <c r="L326" i="7"/>
  <c r="CH766" i="15" l="1"/>
  <c r="CG766" i="15"/>
  <c r="CI766" i="15" s="1"/>
  <c r="BU1013" i="15"/>
  <c r="BT1013" i="15"/>
  <c r="BV1013" i="15" s="1"/>
  <c r="CL765" i="15"/>
  <c r="CK765" i="15"/>
  <c r="CM765" i="15" s="1"/>
  <c r="BY890" i="15"/>
  <c r="BX890" i="15"/>
  <c r="BZ890" i="15" s="1"/>
  <c r="CC767" i="15"/>
  <c r="CB767" i="15"/>
  <c r="CD767" i="15" s="1"/>
  <c r="J327" i="7"/>
  <c r="K327" i="7"/>
  <c r="CC768" i="15" l="1"/>
  <c r="CB768" i="15"/>
  <c r="CD768" i="15" s="1"/>
  <c r="BY891" i="15"/>
  <c r="BX891" i="15"/>
  <c r="BZ891" i="15" s="1"/>
  <c r="CL766" i="15"/>
  <c r="CK766" i="15"/>
  <c r="CM766" i="15" s="1"/>
  <c r="CH767" i="15"/>
  <c r="CG767" i="15"/>
  <c r="CI767" i="15" s="1"/>
  <c r="BU1014" i="15"/>
  <c r="BT1014" i="15"/>
  <c r="BV1014" i="15" s="1"/>
  <c r="L327" i="7"/>
  <c r="BU1015" i="15" l="1"/>
  <c r="BT1015" i="15"/>
  <c r="BV1015" i="15" s="1"/>
  <c r="CL767" i="15"/>
  <c r="CK767" i="15"/>
  <c r="CM767" i="15" s="1"/>
  <c r="CC769" i="15"/>
  <c r="CB769" i="15"/>
  <c r="CD769" i="15" s="1"/>
  <c r="CH768" i="15"/>
  <c r="CG768" i="15"/>
  <c r="CI768" i="15" s="1"/>
  <c r="BY892" i="15"/>
  <c r="BX892" i="15"/>
  <c r="BZ892" i="15" s="1"/>
  <c r="J328" i="7"/>
  <c r="K328" i="7"/>
  <c r="BY893" i="15" l="1"/>
  <c r="BX893" i="15"/>
  <c r="BZ893" i="15" s="1"/>
  <c r="CH769" i="15"/>
  <c r="CG769" i="15"/>
  <c r="CI769" i="15" s="1"/>
  <c r="CC770" i="15"/>
  <c r="CB770" i="15"/>
  <c r="CD770" i="15" s="1"/>
  <c r="BU1016" i="15"/>
  <c r="BT1016" i="15"/>
  <c r="BV1016" i="15" s="1"/>
  <c r="CL768" i="15"/>
  <c r="CK768" i="15"/>
  <c r="CM768" i="15" s="1"/>
  <c r="L328" i="7"/>
  <c r="CL769" i="15" l="1"/>
  <c r="CK769" i="15"/>
  <c r="CM769" i="15" s="1"/>
  <c r="CC771" i="15"/>
  <c r="CB771" i="15"/>
  <c r="CD771" i="15" s="1"/>
  <c r="BY894" i="15"/>
  <c r="BX894" i="15"/>
  <c r="BZ894" i="15" s="1"/>
  <c r="BU1017" i="15"/>
  <c r="BT1017" i="15"/>
  <c r="BV1017" i="15" s="1"/>
  <c r="CH770" i="15"/>
  <c r="CG770" i="15"/>
  <c r="CI770" i="15" s="1"/>
  <c r="J329" i="7"/>
  <c r="K329" i="7"/>
  <c r="BU1018" i="15" l="1"/>
  <c r="BT1018" i="15"/>
  <c r="BV1018" i="15" s="1"/>
  <c r="BY895" i="15"/>
  <c r="BX895" i="15"/>
  <c r="BZ895" i="15" s="1"/>
  <c r="CL770" i="15"/>
  <c r="CK770" i="15"/>
  <c r="CM770" i="15" s="1"/>
  <c r="CH771" i="15"/>
  <c r="CG771" i="15"/>
  <c r="CI771" i="15" s="1"/>
  <c r="CC772" i="15"/>
  <c r="CB772" i="15"/>
  <c r="CD772" i="15" s="1"/>
  <c r="L329" i="7"/>
  <c r="CC773" i="15" l="1"/>
  <c r="CB773" i="15"/>
  <c r="CD773" i="15" s="1"/>
  <c r="CL771" i="15"/>
  <c r="CK771" i="15"/>
  <c r="CM771" i="15" s="1"/>
  <c r="BU1019" i="15"/>
  <c r="BT1019" i="15"/>
  <c r="BV1019" i="15" s="1"/>
  <c r="CH772" i="15"/>
  <c r="CG772" i="15"/>
  <c r="CI772" i="15" s="1"/>
  <c r="BY896" i="15"/>
  <c r="BX896" i="15"/>
  <c r="BZ896" i="15" s="1"/>
  <c r="J330" i="7"/>
  <c r="K330" i="7"/>
  <c r="BY897" i="15" l="1"/>
  <c r="BX897" i="15"/>
  <c r="BZ897" i="15" s="1"/>
  <c r="BU1020" i="15"/>
  <c r="BT1020" i="15"/>
  <c r="BV1020" i="15" s="1"/>
  <c r="CC774" i="15"/>
  <c r="CB774" i="15"/>
  <c r="CD774" i="15" s="1"/>
  <c r="CH773" i="15"/>
  <c r="CG773" i="15"/>
  <c r="CI773" i="15" s="1"/>
  <c r="CL772" i="15"/>
  <c r="CK772" i="15"/>
  <c r="CM772" i="15" s="1"/>
  <c r="L330" i="7"/>
  <c r="CL773" i="15" l="1"/>
  <c r="CK773" i="15"/>
  <c r="CM773" i="15" s="1"/>
  <c r="CC775" i="15"/>
  <c r="CB775" i="15"/>
  <c r="CD775" i="15" s="1"/>
  <c r="BY898" i="15"/>
  <c r="BX898" i="15"/>
  <c r="BZ898" i="15" s="1"/>
  <c r="CH774" i="15"/>
  <c r="CG774" i="15"/>
  <c r="CI774" i="15" s="1"/>
  <c r="BU1021" i="15"/>
  <c r="BT1021" i="15"/>
  <c r="BV1021" i="15" s="1"/>
  <c r="J331" i="7"/>
  <c r="K331" i="7"/>
  <c r="CH775" i="15" l="1"/>
  <c r="CG775" i="15"/>
  <c r="CI775" i="15" s="1"/>
  <c r="BY899" i="15"/>
  <c r="BX899" i="15"/>
  <c r="BZ899" i="15" s="1"/>
  <c r="CL774" i="15"/>
  <c r="CK774" i="15"/>
  <c r="CM774" i="15" s="1"/>
  <c r="BU1022" i="15"/>
  <c r="BT1022" i="15"/>
  <c r="BV1022" i="15" s="1"/>
  <c r="CC776" i="15"/>
  <c r="CB776" i="15"/>
  <c r="CD776" i="15" s="1"/>
  <c r="L331" i="7"/>
  <c r="CC777" i="15" l="1"/>
  <c r="CB777" i="15"/>
  <c r="CD777" i="15" s="1"/>
  <c r="CL775" i="15"/>
  <c r="CK775" i="15"/>
  <c r="CM775" i="15" s="1"/>
  <c r="CH776" i="15"/>
  <c r="CG776" i="15"/>
  <c r="CI776" i="15" s="1"/>
  <c r="BU1023" i="15"/>
  <c r="BT1023" i="15"/>
  <c r="BV1023" i="15" s="1"/>
  <c r="BY900" i="15"/>
  <c r="BX900" i="15"/>
  <c r="BZ900" i="15" s="1"/>
  <c r="J332" i="7"/>
  <c r="K332" i="7"/>
  <c r="BY901" i="15" l="1"/>
  <c r="BX901" i="15"/>
  <c r="BZ901" i="15" s="1"/>
  <c r="CH777" i="15"/>
  <c r="CG777" i="15"/>
  <c r="CI777" i="15" s="1"/>
  <c r="CC778" i="15"/>
  <c r="CB778" i="15"/>
  <c r="CD778" i="15" s="1"/>
  <c r="BU1024" i="15"/>
  <c r="BT1024" i="15"/>
  <c r="BV1024" i="15" s="1"/>
  <c r="CL776" i="15"/>
  <c r="CK776" i="15"/>
  <c r="CM776" i="15" s="1"/>
  <c r="L332" i="7"/>
  <c r="CL777" i="15" l="1"/>
  <c r="CK777" i="15"/>
  <c r="CM777" i="15" s="1"/>
  <c r="CC779" i="15"/>
  <c r="CB779" i="15"/>
  <c r="CD779" i="15" s="1"/>
  <c r="BY902" i="15"/>
  <c r="BX902" i="15"/>
  <c r="BZ902" i="15" s="1"/>
  <c r="BU1025" i="15"/>
  <c r="BT1025" i="15"/>
  <c r="BV1025" i="15" s="1"/>
  <c r="CH778" i="15"/>
  <c r="CG778" i="15"/>
  <c r="CI778" i="15" s="1"/>
  <c r="J333" i="7"/>
  <c r="K333" i="7"/>
  <c r="BU1026" i="15" l="1"/>
  <c r="BT1026" i="15"/>
  <c r="BV1026" i="15" s="1"/>
  <c r="BY903" i="15"/>
  <c r="BX903" i="15"/>
  <c r="BZ903" i="15" s="1"/>
  <c r="CL778" i="15"/>
  <c r="CK778" i="15"/>
  <c r="CM778" i="15" s="1"/>
  <c r="CH779" i="15"/>
  <c r="CG779" i="15"/>
  <c r="CI779" i="15" s="1"/>
  <c r="CC780" i="15"/>
  <c r="CB780" i="15"/>
  <c r="CD780" i="15" s="1"/>
  <c r="L333" i="7"/>
  <c r="CC781" i="15" l="1"/>
  <c r="CB781" i="15"/>
  <c r="CD781" i="15" s="1"/>
  <c r="CL779" i="15"/>
  <c r="CK779" i="15"/>
  <c r="CM779" i="15" s="1"/>
  <c r="BU1027" i="15"/>
  <c r="BT1027" i="15"/>
  <c r="BV1027" i="15" s="1"/>
  <c r="CH780" i="15"/>
  <c r="CG780" i="15"/>
  <c r="CI780" i="15" s="1"/>
  <c r="BY904" i="15"/>
  <c r="BX904" i="15"/>
  <c r="BZ904" i="15" s="1"/>
  <c r="J334" i="7"/>
  <c r="K334" i="7"/>
  <c r="BY905" i="15" l="1"/>
  <c r="BX905" i="15"/>
  <c r="BZ905" i="15" s="1"/>
  <c r="CC782" i="15"/>
  <c r="CB782" i="15"/>
  <c r="CD782" i="15" s="1"/>
  <c r="CH781" i="15"/>
  <c r="CG781" i="15"/>
  <c r="CI781" i="15" s="1"/>
  <c r="CL780" i="15"/>
  <c r="CK780" i="15"/>
  <c r="CM780" i="15" s="1"/>
  <c r="L334" i="7"/>
  <c r="CH782" i="15" l="1"/>
  <c r="CG782" i="15"/>
  <c r="CI782" i="15" s="1"/>
  <c r="BY906" i="15"/>
  <c r="BX906" i="15"/>
  <c r="BZ906" i="15" s="1"/>
  <c r="CL781" i="15"/>
  <c r="CK781" i="15"/>
  <c r="CM781" i="15" s="1"/>
  <c r="CC783" i="15"/>
  <c r="CB783" i="15"/>
  <c r="CD783" i="15" s="1"/>
  <c r="J335" i="7"/>
  <c r="K335" i="7"/>
  <c r="CC784" i="15" l="1"/>
  <c r="CB784" i="15"/>
  <c r="CD784" i="15" s="1"/>
  <c r="CL782" i="15"/>
  <c r="CK782" i="15"/>
  <c r="CM782" i="15" s="1"/>
  <c r="CH783" i="15"/>
  <c r="CG783" i="15"/>
  <c r="CI783" i="15" s="1"/>
  <c r="BY907" i="15"/>
  <c r="BX907" i="15"/>
  <c r="BZ907" i="15" s="1"/>
  <c r="L335" i="7"/>
  <c r="BY908" i="15" l="1"/>
  <c r="BX908" i="15"/>
  <c r="BZ908" i="15" s="1"/>
  <c r="CH784" i="15"/>
  <c r="CG784" i="15"/>
  <c r="CI784" i="15" s="1"/>
  <c r="CC785" i="15"/>
  <c r="CB785" i="15"/>
  <c r="CD785" i="15" s="1"/>
  <c r="CL783" i="15"/>
  <c r="CK783" i="15"/>
  <c r="CM783" i="15" s="1"/>
  <c r="J336" i="7"/>
  <c r="L336" i="7" s="1"/>
  <c r="K336" i="7"/>
  <c r="CC786" i="15" l="1"/>
  <c r="CB786" i="15"/>
  <c r="CD786" i="15" s="1"/>
  <c r="BY909" i="15"/>
  <c r="BX909" i="15"/>
  <c r="BZ909" i="15" s="1"/>
  <c r="CL784" i="15"/>
  <c r="CK784" i="15"/>
  <c r="CM784" i="15" s="1"/>
  <c r="CH785" i="15"/>
  <c r="CG785" i="15"/>
  <c r="CI785" i="15" s="1"/>
  <c r="J337" i="7"/>
  <c r="K337" i="7"/>
  <c r="CH786" i="15" l="1"/>
  <c r="CG786" i="15"/>
  <c r="CI786" i="15" s="1"/>
  <c r="CL785" i="15"/>
  <c r="CK785" i="15"/>
  <c r="CM785" i="15" s="1"/>
  <c r="CC787" i="15"/>
  <c r="CB787" i="15"/>
  <c r="CD787" i="15" s="1"/>
  <c r="BY910" i="15"/>
  <c r="BX910" i="15"/>
  <c r="BZ910" i="15" s="1"/>
  <c r="L337" i="7"/>
  <c r="CC788" i="15" l="1"/>
  <c r="CB788" i="15"/>
  <c r="CD788" i="15" s="1"/>
  <c r="CH787" i="15"/>
  <c r="CG787" i="15"/>
  <c r="CI787" i="15" s="1"/>
  <c r="BY911" i="15"/>
  <c r="BX911" i="15"/>
  <c r="BZ911" i="15" s="1"/>
  <c r="CL786" i="15"/>
  <c r="CK786" i="15"/>
  <c r="CM786" i="15" s="1"/>
  <c r="J338" i="7"/>
  <c r="K338" i="7"/>
  <c r="CL787" i="15" l="1"/>
  <c r="CK787" i="15"/>
  <c r="CM787" i="15" s="1"/>
  <c r="BY912" i="15"/>
  <c r="BX912" i="15"/>
  <c r="BZ912" i="15" s="1"/>
  <c r="CC789" i="15"/>
  <c r="CB789" i="15"/>
  <c r="CD789" i="15" s="1"/>
  <c r="CH788" i="15"/>
  <c r="CG788" i="15"/>
  <c r="CI788" i="15" s="1"/>
  <c r="L338" i="7"/>
  <c r="CC790" i="15" l="1"/>
  <c r="CB790" i="15"/>
  <c r="CD790" i="15" s="1"/>
  <c r="CL788" i="15"/>
  <c r="CK788" i="15"/>
  <c r="CM788" i="15" s="1"/>
  <c r="CH789" i="15"/>
  <c r="CG789" i="15"/>
  <c r="CI789" i="15" s="1"/>
  <c r="BY913" i="15"/>
  <c r="BX913" i="15"/>
  <c r="BZ913" i="15" s="1"/>
  <c r="J339" i="7"/>
  <c r="K339" i="7"/>
  <c r="CH790" i="15" l="1"/>
  <c r="CG790" i="15"/>
  <c r="CI790" i="15" s="1"/>
  <c r="CC791" i="15"/>
  <c r="CB791" i="15"/>
  <c r="CD791" i="15" s="1"/>
  <c r="BY914" i="15"/>
  <c r="BX914" i="15"/>
  <c r="BZ914" i="15" s="1"/>
  <c r="CL789" i="15"/>
  <c r="CK789" i="15"/>
  <c r="CM789" i="15" s="1"/>
  <c r="L339" i="7"/>
  <c r="CL790" i="15" l="1"/>
  <c r="CK790" i="15"/>
  <c r="CM790" i="15" s="1"/>
  <c r="BY915" i="15"/>
  <c r="BX915" i="15"/>
  <c r="BZ915" i="15" s="1"/>
  <c r="CH791" i="15"/>
  <c r="CG791" i="15"/>
  <c r="CI791" i="15" s="1"/>
  <c r="CC792" i="15"/>
  <c r="CB792" i="15"/>
  <c r="CD792" i="15" s="1"/>
  <c r="J340" i="7"/>
  <c r="K340" i="7"/>
  <c r="CC793" i="15" l="1"/>
  <c r="CB793" i="15"/>
  <c r="CD793" i="15" s="1"/>
  <c r="CH792" i="15"/>
  <c r="CG792" i="15"/>
  <c r="CI792" i="15" s="1"/>
  <c r="CL791" i="15"/>
  <c r="CK791" i="15"/>
  <c r="CM791" i="15" s="1"/>
  <c r="BY916" i="15"/>
  <c r="BX916" i="15"/>
  <c r="BZ916" i="15" s="1"/>
  <c r="L340" i="7"/>
  <c r="CL792" i="15" l="1"/>
  <c r="CK792" i="15"/>
  <c r="CM792" i="15" s="1"/>
  <c r="CC794" i="15"/>
  <c r="CB794" i="15"/>
  <c r="CD794" i="15" s="1"/>
  <c r="BY917" i="15"/>
  <c r="BX917" i="15"/>
  <c r="BZ917" i="15" s="1"/>
  <c r="CH793" i="15"/>
  <c r="CG793" i="15"/>
  <c r="CI793" i="15" s="1"/>
  <c r="J341" i="7"/>
  <c r="K341" i="7"/>
  <c r="CH794" i="15" l="1"/>
  <c r="CG794" i="15"/>
  <c r="CI794" i="15" s="1"/>
  <c r="BY918" i="15"/>
  <c r="BX918" i="15"/>
  <c r="BZ918" i="15" s="1"/>
  <c r="CL793" i="15"/>
  <c r="CK793" i="15"/>
  <c r="CM793" i="15" s="1"/>
  <c r="CC795" i="15"/>
  <c r="CB795" i="15"/>
  <c r="CD795" i="15" s="1"/>
  <c r="L341" i="7"/>
  <c r="CC796" i="15" l="1"/>
  <c r="CB796" i="15"/>
  <c r="CD796" i="15" s="1"/>
  <c r="CL794" i="15"/>
  <c r="CK794" i="15"/>
  <c r="CM794" i="15" s="1"/>
  <c r="CH795" i="15"/>
  <c r="CG795" i="15"/>
  <c r="CI795" i="15" s="1"/>
  <c r="BY919" i="15"/>
  <c r="BX919" i="15"/>
  <c r="BZ919" i="15" s="1"/>
  <c r="J342" i="7"/>
  <c r="K342" i="7"/>
  <c r="BY920" i="15" l="1"/>
  <c r="BX920" i="15"/>
  <c r="BZ920" i="15" s="1"/>
  <c r="CH796" i="15"/>
  <c r="CG796" i="15"/>
  <c r="CI796" i="15" s="1"/>
  <c r="CC797" i="15"/>
  <c r="CB797" i="15"/>
  <c r="CD797" i="15" s="1"/>
  <c r="CL795" i="15"/>
  <c r="CK795" i="15"/>
  <c r="CM795" i="15" s="1"/>
  <c r="L342" i="7"/>
  <c r="CC798" i="15" l="1"/>
  <c r="CB798" i="15"/>
  <c r="CD798" i="15" s="1"/>
  <c r="BY921" i="15"/>
  <c r="BX921" i="15"/>
  <c r="BZ921" i="15" s="1"/>
  <c r="CL796" i="15"/>
  <c r="CK796" i="15"/>
  <c r="CM796" i="15" s="1"/>
  <c r="CH797" i="15"/>
  <c r="CG797" i="15"/>
  <c r="CI797" i="15" s="1"/>
  <c r="J343" i="7"/>
  <c r="K343" i="7"/>
  <c r="CH798" i="15" l="1"/>
  <c r="CG798" i="15"/>
  <c r="CI798" i="15" s="1"/>
  <c r="CL797" i="15"/>
  <c r="CK797" i="15"/>
  <c r="CM797" i="15" s="1"/>
  <c r="CC799" i="15"/>
  <c r="CB799" i="15"/>
  <c r="CD799" i="15" s="1"/>
  <c r="BY922" i="15"/>
  <c r="BX922" i="15"/>
  <c r="BZ922" i="15" s="1"/>
  <c r="L343" i="7"/>
  <c r="BY923" i="15" l="1"/>
  <c r="BX923" i="15"/>
  <c r="BZ923" i="15" s="1"/>
  <c r="CC800" i="15"/>
  <c r="CB800" i="15"/>
  <c r="CD800" i="15" s="1"/>
  <c r="CH799" i="15"/>
  <c r="CG799" i="15"/>
  <c r="CI799" i="15" s="1"/>
  <c r="CL798" i="15"/>
  <c r="CK798" i="15"/>
  <c r="CM798" i="15" s="1"/>
  <c r="J344" i="7"/>
  <c r="L344" i="7" s="1"/>
  <c r="K344" i="7"/>
  <c r="CH800" i="15" l="1"/>
  <c r="CG800" i="15"/>
  <c r="CI800" i="15" s="1"/>
  <c r="BY924" i="15"/>
  <c r="BX924" i="15"/>
  <c r="BZ924" i="15" s="1"/>
  <c r="CL799" i="15"/>
  <c r="CK799" i="15"/>
  <c r="CM799" i="15" s="1"/>
  <c r="CC801" i="15"/>
  <c r="CB801" i="15"/>
  <c r="CD801" i="15" s="1"/>
  <c r="J345" i="7"/>
  <c r="K345" i="7"/>
  <c r="CC802" i="15" l="1"/>
  <c r="CB802" i="15"/>
  <c r="CD802" i="15" s="1"/>
  <c r="CL800" i="15"/>
  <c r="CK800" i="15"/>
  <c r="CM800" i="15" s="1"/>
  <c r="CH801" i="15"/>
  <c r="CG801" i="15"/>
  <c r="CI801" i="15" s="1"/>
  <c r="BY925" i="15"/>
  <c r="BX925" i="15"/>
  <c r="BZ925" i="15" s="1"/>
  <c r="L345" i="7"/>
  <c r="CH802" i="15" l="1"/>
  <c r="CG802" i="15"/>
  <c r="CI802" i="15" s="1"/>
  <c r="CC803" i="15"/>
  <c r="CB803" i="15"/>
  <c r="CD803" i="15" s="1"/>
  <c r="BY926" i="15"/>
  <c r="BX926" i="15"/>
  <c r="BZ926" i="15" s="1"/>
  <c r="CL801" i="15"/>
  <c r="CK801" i="15"/>
  <c r="CM801" i="15" s="1"/>
  <c r="J346" i="7"/>
  <c r="K346" i="7"/>
  <c r="CL802" i="15" l="1"/>
  <c r="CK802" i="15"/>
  <c r="CM802" i="15" s="1"/>
  <c r="BY927" i="15"/>
  <c r="BX927" i="15"/>
  <c r="BZ927" i="15" s="1"/>
  <c r="CH803" i="15"/>
  <c r="CG803" i="15"/>
  <c r="CI803" i="15" s="1"/>
  <c r="CC804" i="15"/>
  <c r="CB804" i="15"/>
  <c r="CD804" i="15" s="1"/>
  <c r="L346" i="7"/>
  <c r="CC805" i="15" l="1"/>
  <c r="CB805" i="15"/>
  <c r="CD805" i="15" s="1"/>
  <c r="CH804" i="15"/>
  <c r="CG804" i="15"/>
  <c r="CI804" i="15" s="1"/>
  <c r="CL803" i="15"/>
  <c r="CK803" i="15"/>
  <c r="CM803" i="15" s="1"/>
  <c r="BY928" i="15"/>
  <c r="BX928" i="15"/>
  <c r="BZ928" i="15" s="1"/>
  <c r="J347" i="7"/>
  <c r="K347" i="7"/>
  <c r="BY929" i="15" l="1"/>
  <c r="BX929" i="15"/>
  <c r="BZ929" i="15" s="1"/>
  <c r="CL804" i="15"/>
  <c r="CK804" i="15"/>
  <c r="CM804" i="15" s="1"/>
  <c r="CC806" i="15"/>
  <c r="CB806" i="15"/>
  <c r="CD806" i="15" s="1"/>
  <c r="CH805" i="15"/>
  <c r="CG805" i="15"/>
  <c r="CI805" i="15" s="1"/>
  <c r="L347" i="7"/>
  <c r="CC807" i="15" l="1"/>
  <c r="CB807" i="15"/>
  <c r="CD807" i="15" s="1"/>
  <c r="BY930" i="15"/>
  <c r="BX930" i="15"/>
  <c r="BZ930" i="15" s="1"/>
  <c r="CH806" i="15"/>
  <c r="CG806" i="15"/>
  <c r="CI806" i="15" s="1"/>
  <c r="CL805" i="15"/>
  <c r="CK805" i="15"/>
  <c r="CM805" i="15" s="1"/>
  <c r="J348" i="7"/>
  <c r="K348" i="7"/>
  <c r="CL806" i="15" l="1"/>
  <c r="CK806" i="15"/>
  <c r="CM806" i="15" s="1"/>
  <c r="CH807" i="15"/>
  <c r="CG807" i="15"/>
  <c r="CI807" i="15" s="1"/>
  <c r="CC808" i="15"/>
  <c r="CB808" i="15"/>
  <c r="CD808" i="15" s="1"/>
  <c r="BY931" i="15"/>
  <c r="BX931" i="15"/>
  <c r="BZ931" i="15" s="1"/>
  <c r="L348" i="7"/>
  <c r="CC809" i="15" l="1"/>
  <c r="CB809" i="15"/>
  <c r="CD809" i="15" s="1"/>
  <c r="CL807" i="15"/>
  <c r="CK807" i="15"/>
  <c r="CM807" i="15" s="1"/>
  <c r="BY932" i="15"/>
  <c r="BX932" i="15"/>
  <c r="BZ932" i="15" s="1"/>
  <c r="CH808" i="15"/>
  <c r="CG808" i="15"/>
  <c r="CI808" i="15" s="1"/>
  <c r="J349" i="7"/>
  <c r="K349" i="7"/>
  <c r="CH809" i="15" l="1"/>
  <c r="CG809" i="15"/>
  <c r="CI809" i="15" s="1"/>
  <c r="BY933" i="15"/>
  <c r="BX933" i="15"/>
  <c r="BZ933" i="15" s="1"/>
  <c r="CC810" i="15"/>
  <c r="CB810" i="15"/>
  <c r="CD810" i="15" s="1"/>
  <c r="CL808" i="15"/>
  <c r="CK808" i="15"/>
  <c r="CM808" i="15" s="1"/>
  <c r="L349" i="7"/>
  <c r="CL809" i="15" l="1"/>
  <c r="CK809" i="15"/>
  <c r="CM809" i="15" s="1"/>
  <c r="CC811" i="15"/>
  <c r="CB811" i="15"/>
  <c r="CD811" i="15" s="1"/>
  <c r="CH810" i="15"/>
  <c r="CG810" i="15"/>
  <c r="CI810" i="15" s="1"/>
  <c r="BY934" i="15"/>
  <c r="BX934" i="15"/>
  <c r="BZ934" i="15" s="1"/>
  <c r="J350" i="7"/>
  <c r="K350" i="7"/>
  <c r="BY935" i="15" l="1"/>
  <c r="BX935" i="15"/>
  <c r="BZ935" i="15" s="1"/>
  <c r="CH811" i="15"/>
  <c r="CG811" i="15"/>
  <c r="CI811" i="15" s="1"/>
  <c r="CL810" i="15"/>
  <c r="CK810" i="15"/>
  <c r="CM810" i="15" s="1"/>
  <c r="CC812" i="15"/>
  <c r="CB812" i="15"/>
  <c r="CD812" i="15" s="1"/>
  <c r="L350" i="7"/>
  <c r="CL811" i="15" l="1"/>
  <c r="CK811" i="15"/>
  <c r="CM811" i="15" s="1"/>
  <c r="BY936" i="15"/>
  <c r="BX936" i="15"/>
  <c r="BZ936" i="15" s="1"/>
  <c r="CC813" i="15"/>
  <c r="CB813" i="15"/>
  <c r="CD813" i="15" s="1"/>
  <c r="CH812" i="15"/>
  <c r="CG812" i="15"/>
  <c r="CI812" i="15" s="1"/>
  <c r="J351" i="7"/>
  <c r="K351" i="7"/>
  <c r="CH813" i="15" l="1"/>
  <c r="CG813" i="15"/>
  <c r="CI813" i="15" s="1"/>
  <c r="CC814" i="15"/>
  <c r="CB814" i="15"/>
  <c r="CD814" i="15" s="1"/>
  <c r="CL812" i="15"/>
  <c r="CK812" i="15"/>
  <c r="CM812" i="15" s="1"/>
  <c r="BY937" i="15"/>
  <c r="BX937" i="15"/>
  <c r="BZ937" i="15" s="1"/>
  <c r="L351" i="7"/>
  <c r="CL813" i="15" l="1"/>
  <c r="CK813" i="15"/>
  <c r="CM813" i="15" s="1"/>
  <c r="CH814" i="15"/>
  <c r="CG814" i="15"/>
  <c r="CI814" i="15" s="1"/>
  <c r="BY938" i="15"/>
  <c r="BX938" i="15"/>
  <c r="BZ938" i="15" s="1"/>
  <c r="CC815" i="15"/>
  <c r="CB815" i="15"/>
  <c r="CD815" i="15" s="1"/>
  <c r="J352" i="7"/>
  <c r="K352" i="7"/>
  <c r="CC816" i="15" l="1"/>
  <c r="CB816" i="15"/>
  <c r="CD816" i="15" s="1"/>
  <c r="BY939" i="15"/>
  <c r="BX939" i="15"/>
  <c r="BZ939" i="15" s="1"/>
  <c r="CL814" i="15"/>
  <c r="CK814" i="15"/>
  <c r="CM814" i="15" s="1"/>
  <c r="CH815" i="15"/>
  <c r="CG815" i="15"/>
  <c r="CI815" i="15" s="1"/>
  <c r="L352" i="7"/>
  <c r="CL815" i="15" l="1"/>
  <c r="CK815" i="15"/>
  <c r="CM815" i="15" s="1"/>
  <c r="BY940" i="15"/>
  <c r="BX940" i="15"/>
  <c r="BZ940" i="15" s="1"/>
  <c r="CC817" i="15"/>
  <c r="CB817" i="15"/>
  <c r="CD817" i="15" s="1"/>
  <c r="CH816" i="15"/>
  <c r="CG816" i="15"/>
  <c r="CI816" i="15" s="1"/>
  <c r="J353" i="7"/>
  <c r="K353" i="7"/>
  <c r="CC818" i="15" l="1"/>
  <c r="CB818" i="15"/>
  <c r="CD818" i="15" s="1"/>
  <c r="CL816" i="15"/>
  <c r="CK816" i="15"/>
  <c r="CM816" i="15" s="1"/>
  <c r="CH817" i="15"/>
  <c r="CG817" i="15"/>
  <c r="CI817" i="15" s="1"/>
  <c r="BY941" i="15"/>
  <c r="BX941" i="15"/>
  <c r="BZ941" i="15" s="1"/>
  <c r="L353" i="7"/>
  <c r="BY942" i="15" l="1"/>
  <c r="BX942" i="15"/>
  <c r="BZ942" i="15" s="1"/>
  <c r="CH818" i="15"/>
  <c r="CG818" i="15"/>
  <c r="CI818" i="15" s="1"/>
  <c r="CC819" i="15"/>
  <c r="CB819" i="15"/>
  <c r="CD819" i="15" s="1"/>
  <c r="CL817" i="15"/>
  <c r="CK817" i="15"/>
  <c r="CM817" i="15" s="1"/>
  <c r="J354" i="7"/>
  <c r="L354" i="7" s="1"/>
  <c r="K354" i="7"/>
  <c r="CC820" i="15" l="1"/>
  <c r="CB820" i="15"/>
  <c r="CD820" i="15" s="1"/>
  <c r="BY943" i="15"/>
  <c r="BX943" i="15"/>
  <c r="BZ943" i="15" s="1"/>
  <c r="CL818" i="15"/>
  <c r="CK818" i="15"/>
  <c r="CM818" i="15" s="1"/>
  <c r="CH819" i="15"/>
  <c r="CG819" i="15"/>
  <c r="CI819" i="15" s="1"/>
  <c r="J355" i="7"/>
  <c r="L355" i="7" s="1"/>
  <c r="K355" i="7"/>
  <c r="CL819" i="15" l="1"/>
  <c r="CK819" i="15"/>
  <c r="CM819" i="15" s="1"/>
  <c r="CC821" i="15"/>
  <c r="CB821" i="15"/>
  <c r="CD821" i="15" s="1"/>
  <c r="CH820" i="15"/>
  <c r="CG820" i="15"/>
  <c r="CI820" i="15" s="1"/>
  <c r="BY944" i="15"/>
  <c r="BX944" i="15"/>
  <c r="BZ944" i="15" s="1"/>
  <c r="J356" i="7"/>
  <c r="K356" i="7"/>
  <c r="BY945" i="15" l="1"/>
  <c r="BX945" i="15"/>
  <c r="BZ945" i="15" s="1"/>
  <c r="CH821" i="15"/>
  <c r="CG821" i="15"/>
  <c r="CI821" i="15" s="1"/>
  <c r="CC822" i="15"/>
  <c r="CB822" i="15"/>
  <c r="CD822" i="15" s="1"/>
  <c r="CL820" i="15"/>
  <c r="CK820" i="15"/>
  <c r="CM820" i="15" s="1"/>
  <c r="L356" i="7"/>
  <c r="CC823" i="15" l="1"/>
  <c r="CB823" i="15"/>
  <c r="CD823" i="15" s="1"/>
  <c r="BY946" i="15"/>
  <c r="BX946" i="15"/>
  <c r="BZ946" i="15" s="1"/>
  <c r="CL821" i="15"/>
  <c r="CK821" i="15"/>
  <c r="CM821" i="15" s="1"/>
  <c r="CH822" i="15"/>
  <c r="CG822" i="15"/>
  <c r="CI822" i="15" s="1"/>
  <c r="J357" i="7"/>
  <c r="K357" i="7"/>
  <c r="CH823" i="15" l="1"/>
  <c r="CG823" i="15"/>
  <c r="CI823" i="15" s="1"/>
  <c r="CL822" i="15"/>
  <c r="CK822" i="15"/>
  <c r="CM822" i="15" s="1"/>
  <c r="CC824" i="15"/>
  <c r="CB824" i="15"/>
  <c r="CD824" i="15" s="1"/>
  <c r="BY947" i="15"/>
  <c r="BX947" i="15"/>
  <c r="BZ947" i="15" s="1"/>
  <c r="L357" i="7"/>
  <c r="CC825" i="15" l="1"/>
  <c r="CB825" i="15"/>
  <c r="CD825" i="15" s="1"/>
  <c r="CH824" i="15"/>
  <c r="CG824" i="15"/>
  <c r="CI824" i="15" s="1"/>
  <c r="BY948" i="15"/>
  <c r="BX948" i="15"/>
  <c r="BZ948" i="15" s="1"/>
  <c r="CL823" i="15"/>
  <c r="CK823" i="15"/>
  <c r="CM823" i="15" s="1"/>
  <c r="J358" i="7"/>
  <c r="K358" i="7"/>
  <c r="BY949" i="15" l="1"/>
  <c r="BX949" i="15"/>
  <c r="BZ949" i="15" s="1"/>
  <c r="CC826" i="15"/>
  <c r="CB826" i="15"/>
  <c r="CD826" i="15" s="1"/>
  <c r="CL824" i="15"/>
  <c r="CK824" i="15"/>
  <c r="CM824" i="15" s="1"/>
  <c r="CH825" i="15"/>
  <c r="CG825" i="15"/>
  <c r="CI825" i="15" s="1"/>
  <c r="L358" i="7"/>
  <c r="CL825" i="15" l="1"/>
  <c r="CK825" i="15"/>
  <c r="CM825" i="15" s="1"/>
  <c r="BY950" i="15"/>
  <c r="BX950" i="15"/>
  <c r="BZ950" i="15" s="1"/>
  <c r="CH826" i="15"/>
  <c r="CG826" i="15"/>
  <c r="CI826" i="15" s="1"/>
  <c r="CC827" i="15"/>
  <c r="CB827" i="15"/>
  <c r="CD827" i="15" s="1"/>
  <c r="J359" i="7"/>
  <c r="K359" i="7"/>
  <c r="CC828" i="15" l="1"/>
  <c r="CB828" i="15"/>
  <c r="CD828" i="15" s="1"/>
  <c r="CH827" i="15"/>
  <c r="CG827" i="15"/>
  <c r="CI827" i="15" s="1"/>
  <c r="CL826" i="15"/>
  <c r="CK826" i="15"/>
  <c r="CM826" i="15" s="1"/>
  <c r="BY951" i="15"/>
  <c r="BX951" i="15"/>
  <c r="BZ951" i="15" s="1"/>
  <c r="L359" i="7"/>
  <c r="CL827" i="15" l="1"/>
  <c r="CK827" i="15"/>
  <c r="CM827" i="15" s="1"/>
  <c r="CC829" i="15"/>
  <c r="CB829" i="15"/>
  <c r="CD829" i="15" s="1"/>
  <c r="BY952" i="15"/>
  <c r="BX952" i="15"/>
  <c r="BZ952" i="15" s="1"/>
  <c r="CH828" i="15"/>
  <c r="CG828" i="15"/>
  <c r="CI828" i="15" s="1"/>
  <c r="J360" i="7"/>
  <c r="K360" i="7"/>
  <c r="BY953" i="15" l="1"/>
  <c r="BX953" i="15"/>
  <c r="BZ953" i="15" s="1"/>
  <c r="CL828" i="15"/>
  <c r="CK828" i="15"/>
  <c r="CM828" i="15" s="1"/>
  <c r="CH829" i="15"/>
  <c r="CG829" i="15"/>
  <c r="CI829" i="15" s="1"/>
  <c r="CC830" i="15"/>
  <c r="CB830" i="15"/>
  <c r="CD830" i="15" s="1"/>
  <c r="L360" i="7"/>
  <c r="CC831" i="15" l="1"/>
  <c r="CB831" i="15"/>
  <c r="CD831" i="15" s="1"/>
  <c r="CH830" i="15"/>
  <c r="CG830" i="15"/>
  <c r="CI830" i="15" s="1"/>
  <c r="BY954" i="15"/>
  <c r="BX954" i="15"/>
  <c r="BZ954" i="15" s="1"/>
  <c r="CL829" i="15"/>
  <c r="CK829" i="15"/>
  <c r="CM829" i="15" s="1"/>
  <c r="J361" i="7"/>
  <c r="K361" i="7"/>
  <c r="BY955" i="15" l="1"/>
  <c r="BX955" i="15"/>
  <c r="BZ955" i="15" s="1"/>
  <c r="CC832" i="15"/>
  <c r="CB832" i="15"/>
  <c r="CD832" i="15" s="1"/>
  <c r="CL830" i="15"/>
  <c r="CK830" i="15"/>
  <c r="CM830" i="15" s="1"/>
  <c r="CH831" i="15"/>
  <c r="CG831" i="15"/>
  <c r="CI831" i="15" s="1"/>
  <c r="L361" i="7"/>
  <c r="CH832" i="15" l="1"/>
  <c r="CG832" i="15"/>
  <c r="CI832" i="15" s="1"/>
  <c r="CL831" i="15"/>
  <c r="CK831" i="15"/>
  <c r="CM831" i="15" s="1"/>
  <c r="BY956" i="15"/>
  <c r="BX956" i="15"/>
  <c r="BZ956" i="15" s="1"/>
  <c r="CC833" i="15"/>
  <c r="CB833" i="15"/>
  <c r="CD833" i="15" s="1"/>
  <c r="J362" i="7"/>
  <c r="K362" i="7"/>
  <c r="BY957" i="15" l="1"/>
  <c r="BX957" i="15"/>
  <c r="BZ957" i="15" s="1"/>
  <c r="CH833" i="15"/>
  <c r="CG833" i="15"/>
  <c r="CI833" i="15" s="1"/>
  <c r="CC834" i="15"/>
  <c r="CB834" i="15"/>
  <c r="CD834" i="15" s="1"/>
  <c r="CL832" i="15"/>
  <c r="CK832" i="15"/>
  <c r="CM832" i="15" s="1"/>
  <c r="L362" i="7"/>
  <c r="CL833" i="15" l="1"/>
  <c r="CK833" i="15"/>
  <c r="CM833" i="15" s="1"/>
  <c r="CC835" i="15"/>
  <c r="CB835" i="15"/>
  <c r="CD835" i="15" s="1"/>
  <c r="BY958" i="15"/>
  <c r="BX958" i="15"/>
  <c r="BZ958" i="15" s="1"/>
  <c r="CH834" i="15"/>
  <c r="CG834" i="15"/>
  <c r="CI834" i="15" s="1"/>
  <c r="J363" i="7"/>
  <c r="K363" i="7"/>
  <c r="BY959" i="15" l="1"/>
  <c r="BX959" i="15"/>
  <c r="BZ959" i="15" s="1"/>
  <c r="CL834" i="15"/>
  <c r="CK834" i="15"/>
  <c r="CM834" i="15" s="1"/>
  <c r="CH835" i="15"/>
  <c r="CG835" i="15"/>
  <c r="CI835" i="15" s="1"/>
  <c r="CC836" i="15"/>
  <c r="CB836" i="15"/>
  <c r="CD836" i="15" s="1"/>
  <c r="J433" i="7"/>
  <c r="L363" i="7"/>
  <c r="B41" i="7"/>
  <c r="C41" i="7" s="1"/>
  <c r="CH836" i="15" l="1"/>
  <c r="CG836" i="15"/>
  <c r="CI836" i="15" s="1"/>
  <c r="BY960" i="15"/>
  <c r="BX960" i="15"/>
  <c r="BZ960" i="15" s="1"/>
  <c r="CC837" i="15"/>
  <c r="CB837" i="15"/>
  <c r="CD837" i="15" s="1"/>
  <c r="CL835" i="15"/>
  <c r="CK835" i="15"/>
  <c r="CM835" i="15" s="1"/>
  <c r="J364" i="7"/>
  <c r="K364" i="7"/>
  <c r="K433" i="7"/>
  <c r="J444" i="7"/>
  <c r="CL836" i="15" l="1"/>
  <c r="CK836" i="15"/>
  <c r="CM836" i="15" s="1"/>
  <c r="CC838" i="15"/>
  <c r="CB838" i="15"/>
  <c r="CD838" i="15" s="1"/>
  <c r="CH837" i="15"/>
  <c r="CG837" i="15"/>
  <c r="CI837" i="15" s="1"/>
  <c r="BY961" i="15"/>
  <c r="BX961" i="15"/>
  <c r="BZ961" i="15" s="1"/>
  <c r="K444" i="7"/>
  <c r="D16" i="18" s="1"/>
  <c r="C16" i="18"/>
  <c r="L364" i="7"/>
  <c r="BY962" i="15" l="1"/>
  <c r="BX962" i="15"/>
  <c r="BZ962" i="15" s="1"/>
  <c r="CH838" i="15"/>
  <c r="CG838" i="15"/>
  <c r="CI838" i="15" s="1"/>
  <c r="CL837" i="15"/>
  <c r="CK837" i="15"/>
  <c r="CM837" i="15" s="1"/>
  <c r="CC839" i="15"/>
  <c r="CB839" i="15"/>
  <c r="CD839" i="15" s="1"/>
  <c r="J365" i="7"/>
  <c r="K365" i="7"/>
  <c r="CL838" i="15" l="1"/>
  <c r="CK838" i="15"/>
  <c r="CM838" i="15" s="1"/>
  <c r="BY963" i="15"/>
  <c r="BX963" i="15"/>
  <c r="BZ963" i="15" s="1"/>
  <c r="CC840" i="15"/>
  <c r="CB840" i="15"/>
  <c r="CD840" i="15" s="1"/>
  <c r="CH839" i="15"/>
  <c r="CG839" i="15"/>
  <c r="CI839" i="15" s="1"/>
  <c r="L365" i="7"/>
  <c r="CC841" i="15" l="1"/>
  <c r="CB841" i="15"/>
  <c r="CD841" i="15" s="1"/>
  <c r="CL839" i="15"/>
  <c r="CK839" i="15"/>
  <c r="CM839" i="15" s="1"/>
  <c r="CH840" i="15"/>
  <c r="CG840" i="15"/>
  <c r="CI840" i="15" s="1"/>
  <c r="BY964" i="15"/>
  <c r="BX964" i="15"/>
  <c r="BZ964" i="15" s="1"/>
  <c r="J366" i="7"/>
  <c r="K366" i="7"/>
  <c r="BY965" i="15" l="1"/>
  <c r="BX965" i="15"/>
  <c r="BZ965" i="15" s="1"/>
  <c r="CH841" i="15"/>
  <c r="CG841" i="15"/>
  <c r="CI841" i="15" s="1"/>
  <c r="CC842" i="15"/>
  <c r="CB842" i="15"/>
  <c r="CD842" i="15" s="1"/>
  <c r="CL840" i="15"/>
  <c r="CK840" i="15"/>
  <c r="CM840" i="15" s="1"/>
  <c r="L366" i="7"/>
  <c r="CC843" i="15" l="1"/>
  <c r="CB843" i="15"/>
  <c r="CD843" i="15" s="1"/>
  <c r="BY966" i="15"/>
  <c r="BX966" i="15"/>
  <c r="BZ966" i="15" s="1"/>
  <c r="CL841" i="15"/>
  <c r="CK841" i="15"/>
  <c r="CM841" i="15" s="1"/>
  <c r="CH842" i="15"/>
  <c r="CG842" i="15"/>
  <c r="CI842" i="15" s="1"/>
  <c r="J367" i="7"/>
  <c r="K367" i="7"/>
  <c r="CH843" i="15" l="1"/>
  <c r="CG843" i="15"/>
  <c r="CI843" i="15" s="1"/>
  <c r="CL842" i="15"/>
  <c r="CK842" i="15"/>
  <c r="CM842" i="15" s="1"/>
  <c r="CC844" i="15"/>
  <c r="CB844" i="15"/>
  <c r="CD844" i="15" s="1"/>
  <c r="BY967" i="15"/>
  <c r="BX967" i="15"/>
  <c r="BZ967" i="15" s="1"/>
  <c r="L367" i="7"/>
  <c r="CC845" i="15" l="1"/>
  <c r="CB845" i="15"/>
  <c r="CD845" i="15" s="1"/>
  <c r="CH844" i="15"/>
  <c r="CG844" i="15"/>
  <c r="CI844" i="15" s="1"/>
  <c r="BY968" i="15"/>
  <c r="BX968" i="15"/>
  <c r="BZ968" i="15" s="1"/>
  <c r="CL843" i="15"/>
  <c r="CK843" i="15"/>
  <c r="CM843" i="15" s="1"/>
  <c r="J368" i="7"/>
  <c r="K368" i="7"/>
  <c r="BY969" i="15" l="1"/>
  <c r="BX969" i="15"/>
  <c r="BZ969" i="15" s="1"/>
  <c r="CC846" i="15"/>
  <c r="CB846" i="15"/>
  <c r="CD846" i="15" s="1"/>
  <c r="CL844" i="15"/>
  <c r="CK844" i="15"/>
  <c r="CM844" i="15" s="1"/>
  <c r="CH845" i="15"/>
  <c r="CG845" i="15"/>
  <c r="CI845" i="15" s="1"/>
  <c r="L368" i="7"/>
  <c r="CH846" i="15" l="1"/>
  <c r="CG846" i="15"/>
  <c r="CI846" i="15" s="1"/>
  <c r="CL845" i="15"/>
  <c r="CK845" i="15"/>
  <c r="CM845" i="15" s="1"/>
  <c r="BY970" i="15"/>
  <c r="BX970" i="15"/>
  <c r="BZ970" i="15" s="1"/>
  <c r="CC847" i="15"/>
  <c r="CB847" i="15"/>
  <c r="CD847" i="15" s="1"/>
  <c r="J369" i="7"/>
  <c r="K369" i="7"/>
  <c r="CC848" i="15" l="1"/>
  <c r="CB848" i="15"/>
  <c r="CD848" i="15" s="1"/>
  <c r="BY971" i="15"/>
  <c r="BX971" i="15"/>
  <c r="BZ971" i="15" s="1"/>
  <c r="CH847" i="15"/>
  <c r="CG847" i="15"/>
  <c r="CI847" i="15" s="1"/>
  <c r="CL846" i="15"/>
  <c r="CK846" i="15"/>
  <c r="CM846" i="15" s="1"/>
  <c r="L369" i="7"/>
  <c r="CH848" i="15" l="1"/>
  <c r="CG848" i="15"/>
  <c r="CI848" i="15" s="1"/>
  <c r="CC849" i="15"/>
  <c r="CB849" i="15"/>
  <c r="CD849" i="15" s="1"/>
  <c r="CL847" i="15"/>
  <c r="CK847" i="15"/>
  <c r="CM847" i="15" s="1"/>
  <c r="BY972" i="15"/>
  <c r="BX972" i="15"/>
  <c r="BZ972" i="15" s="1"/>
  <c r="J370" i="7"/>
  <c r="K370" i="7"/>
  <c r="BY973" i="15" l="1"/>
  <c r="BX973" i="15"/>
  <c r="BZ973" i="15" s="1"/>
  <c r="CL848" i="15"/>
  <c r="CK848" i="15"/>
  <c r="CM848" i="15" s="1"/>
  <c r="CH849" i="15"/>
  <c r="CG849" i="15"/>
  <c r="CI849" i="15" s="1"/>
  <c r="CC850" i="15"/>
  <c r="CB850" i="15"/>
  <c r="CD850" i="15" s="1"/>
  <c r="L370" i="7"/>
  <c r="CH850" i="15" l="1"/>
  <c r="CG850" i="15"/>
  <c r="CI850" i="15" s="1"/>
  <c r="BY974" i="15"/>
  <c r="BX974" i="15"/>
  <c r="BZ974" i="15" s="1"/>
  <c r="CC851" i="15"/>
  <c r="CB851" i="15"/>
  <c r="CD851" i="15" s="1"/>
  <c r="CL849" i="15"/>
  <c r="CK849" i="15"/>
  <c r="CM849" i="15" s="1"/>
  <c r="J371" i="7"/>
  <c r="K371" i="7"/>
  <c r="CC852" i="15" l="1"/>
  <c r="CB852" i="15"/>
  <c r="CD852" i="15" s="1"/>
  <c r="CH851" i="15"/>
  <c r="CG851" i="15"/>
  <c r="CI851" i="15" s="1"/>
  <c r="CL850" i="15"/>
  <c r="CK850" i="15"/>
  <c r="CM850" i="15" s="1"/>
  <c r="BY975" i="15"/>
  <c r="BX975" i="15"/>
  <c r="BZ975" i="15" s="1"/>
  <c r="L371" i="7"/>
  <c r="BY976" i="15" l="1"/>
  <c r="BX976" i="15"/>
  <c r="BZ976" i="15" s="1"/>
  <c r="CL851" i="15"/>
  <c r="CK851" i="15"/>
  <c r="CM851" i="15" s="1"/>
  <c r="CC853" i="15"/>
  <c r="CB853" i="15"/>
  <c r="CD853" i="15" s="1"/>
  <c r="CH852" i="15"/>
  <c r="CG852" i="15"/>
  <c r="CI852" i="15" s="1"/>
  <c r="J372" i="7"/>
  <c r="L372" i="7" s="1"/>
  <c r="K372" i="7"/>
  <c r="CC854" i="15" l="1"/>
  <c r="CB854" i="15"/>
  <c r="CD854" i="15" s="1"/>
  <c r="BY977" i="15"/>
  <c r="BX977" i="15"/>
  <c r="BZ977" i="15" s="1"/>
  <c r="CH853" i="15"/>
  <c r="CG853" i="15"/>
  <c r="CI853" i="15" s="1"/>
  <c r="CL852" i="15"/>
  <c r="CK852" i="15"/>
  <c r="CM852" i="15" s="1"/>
  <c r="J373" i="7"/>
  <c r="K373" i="7"/>
  <c r="CL853" i="15" l="1"/>
  <c r="CK853" i="15"/>
  <c r="CM853" i="15" s="1"/>
  <c r="CH854" i="15"/>
  <c r="CG854" i="15"/>
  <c r="CI854" i="15" s="1"/>
  <c r="CC855" i="15"/>
  <c r="CB855" i="15"/>
  <c r="CD855" i="15" s="1"/>
  <c r="BY978" i="15"/>
  <c r="BX978" i="15"/>
  <c r="BZ978" i="15" s="1"/>
  <c r="L373" i="7"/>
  <c r="CC856" i="15" l="1"/>
  <c r="CB856" i="15"/>
  <c r="CD856" i="15" s="1"/>
  <c r="CL854" i="15"/>
  <c r="CK854" i="15"/>
  <c r="CM854" i="15" s="1"/>
  <c r="BY979" i="15"/>
  <c r="BX979" i="15"/>
  <c r="BZ979" i="15" s="1"/>
  <c r="CH855" i="15"/>
  <c r="CG855" i="15"/>
  <c r="CI855" i="15" s="1"/>
  <c r="J374" i="7"/>
  <c r="K374" i="7"/>
  <c r="CH856" i="15" l="1"/>
  <c r="CG856" i="15"/>
  <c r="CI856" i="15" s="1"/>
  <c r="BY980" i="15"/>
  <c r="BX980" i="15"/>
  <c r="BZ980" i="15" s="1"/>
  <c r="CL855" i="15"/>
  <c r="CK855" i="15"/>
  <c r="CM855" i="15" s="1"/>
  <c r="CC857" i="15"/>
  <c r="CB857" i="15"/>
  <c r="CD857" i="15" s="1"/>
  <c r="L374" i="7"/>
  <c r="CC858" i="15" l="1"/>
  <c r="CB858" i="15"/>
  <c r="CD858" i="15" s="1"/>
  <c r="CL856" i="15"/>
  <c r="CK856" i="15"/>
  <c r="CM856" i="15" s="1"/>
  <c r="CH857" i="15"/>
  <c r="CG857" i="15"/>
  <c r="CI857" i="15" s="1"/>
  <c r="BY981" i="15"/>
  <c r="BX981" i="15"/>
  <c r="BZ981" i="15" s="1"/>
  <c r="J375" i="7"/>
  <c r="K375" i="7"/>
  <c r="CH858" i="15" l="1"/>
  <c r="CG858" i="15"/>
  <c r="CI858" i="15" s="1"/>
  <c r="CC859" i="15"/>
  <c r="CB859" i="15"/>
  <c r="CD859" i="15" s="1"/>
  <c r="BY982" i="15"/>
  <c r="BX982" i="15"/>
  <c r="BZ982" i="15" s="1"/>
  <c r="CL857" i="15"/>
  <c r="CK857" i="15"/>
  <c r="CM857" i="15" s="1"/>
  <c r="L375" i="7"/>
  <c r="CL858" i="15" l="1"/>
  <c r="CK858" i="15"/>
  <c r="CM858" i="15" s="1"/>
  <c r="BY983" i="15"/>
  <c r="BX983" i="15"/>
  <c r="BZ983" i="15" s="1"/>
  <c r="CH859" i="15"/>
  <c r="CG859" i="15"/>
  <c r="CI859" i="15" s="1"/>
  <c r="CC860" i="15"/>
  <c r="CB860" i="15"/>
  <c r="CD860" i="15" s="1"/>
  <c r="J376" i="7"/>
  <c r="K376" i="7"/>
  <c r="CC861" i="15" l="1"/>
  <c r="CB861" i="15"/>
  <c r="CD861" i="15" s="1"/>
  <c r="CH860" i="15"/>
  <c r="CG860" i="15"/>
  <c r="CI860" i="15" s="1"/>
  <c r="CL859" i="15"/>
  <c r="CK859" i="15"/>
  <c r="CM859" i="15" s="1"/>
  <c r="BY984" i="15"/>
  <c r="BX984" i="15"/>
  <c r="BZ984" i="15" s="1"/>
  <c r="L376" i="7"/>
  <c r="BY985" i="15" l="1"/>
  <c r="BX985" i="15"/>
  <c r="BZ985" i="15" s="1"/>
  <c r="CL860" i="15"/>
  <c r="CK860" i="15"/>
  <c r="CM860" i="15" s="1"/>
  <c r="CC862" i="15"/>
  <c r="CB862" i="15"/>
  <c r="CD862" i="15" s="1"/>
  <c r="CH861" i="15"/>
  <c r="CG861" i="15"/>
  <c r="CI861" i="15" s="1"/>
  <c r="J377" i="7"/>
  <c r="K377" i="7"/>
  <c r="CC863" i="15" l="1"/>
  <c r="CB863" i="15"/>
  <c r="CD863" i="15" s="1"/>
  <c r="BY986" i="15"/>
  <c r="BX986" i="15"/>
  <c r="BZ986" i="15" s="1"/>
  <c r="CH862" i="15"/>
  <c r="CG862" i="15"/>
  <c r="CI862" i="15" s="1"/>
  <c r="CL861" i="15"/>
  <c r="CK861" i="15"/>
  <c r="CM861" i="15" s="1"/>
  <c r="L377" i="7"/>
  <c r="CL862" i="15" l="1"/>
  <c r="CK862" i="15"/>
  <c r="CM862" i="15" s="1"/>
  <c r="CH863" i="15"/>
  <c r="CG863" i="15"/>
  <c r="CI863" i="15" s="1"/>
  <c r="CC864" i="15"/>
  <c r="CB864" i="15"/>
  <c r="CD864" i="15" s="1"/>
  <c r="BY987" i="15"/>
  <c r="BX987" i="15"/>
  <c r="BZ987" i="15" s="1"/>
  <c r="J378" i="7"/>
  <c r="K378" i="7"/>
  <c r="CC865" i="15" l="1"/>
  <c r="CB865" i="15"/>
  <c r="CD865" i="15" s="1"/>
  <c r="CL863" i="15"/>
  <c r="CK863" i="15"/>
  <c r="CM863" i="15" s="1"/>
  <c r="BY988" i="15"/>
  <c r="BX988" i="15"/>
  <c r="BZ988" i="15" s="1"/>
  <c r="CH864" i="15"/>
  <c r="CG864" i="15"/>
  <c r="CI864" i="15" s="1"/>
  <c r="L378" i="7"/>
  <c r="BY989" i="15" l="1"/>
  <c r="BX989" i="15"/>
  <c r="BZ989" i="15" s="1"/>
  <c r="CC866" i="15"/>
  <c r="CB866" i="15"/>
  <c r="CD866" i="15" s="1"/>
  <c r="CH865" i="15"/>
  <c r="CG865" i="15"/>
  <c r="CI865" i="15" s="1"/>
  <c r="CL864" i="15"/>
  <c r="CK864" i="15"/>
  <c r="CM864" i="15" s="1"/>
  <c r="J379" i="7"/>
  <c r="K379" i="7"/>
  <c r="CL865" i="15" l="1"/>
  <c r="CK865" i="15"/>
  <c r="CM865" i="15" s="1"/>
  <c r="CH866" i="15"/>
  <c r="CG866" i="15"/>
  <c r="CI866" i="15" s="1"/>
  <c r="BY990" i="15"/>
  <c r="BX990" i="15"/>
  <c r="BZ990" i="15" s="1"/>
  <c r="CC867" i="15"/>
  <c r="CB867" i="15"/>
  <c r="CD867" i="15" s="1"/>
  <c r="L379" i="7"/>
  <c r="CC868" i="15" l="1"/>
  <c r="CB868" i="15"/>
  <c r="CD868" i="15" s="1"/>
  <c r="BY991" i="15"/>
  <c r="BX991" i="15"/>
  <c r="BZ991" i="15" s="1"/>
  <c r="CL866" i="15"/>
  <c r="CK866" i="15"/>
  <c r="CM866" i="15" s="1"/>
  <c r="CH867" i="15"/>
  <c r="CG867" i="15"/>
  <c r="CI867" i="15" s="1"/>
  <c r="J380" i="7"/>
  <c r="K380" i="7"/>
  <c r="CL867" i="15" l="1"/>
  <c r="CK867" i="15"/>
  <c r="CM867" i="15" s="1"/>
  <c r="CC869" i="15"/>
  <c r="CB869" i="15"/>
  <c r="CD869" i="15" s="1"/>
  <c r="CH868" i="15"/>
  <c r="CG868" i="15"/>
  <c r="CI868" i="15" s="1"/>
  <c r="BY992" i="15"/>
  <c r="BX992" i="15"/>
  <c r="BZ992" i="15" s="1"/>
  <c r="L380" i="7"/>
  <c r="BY993" i="15" l="1"/>
  <c r="BX993" i="15"/>
  <c r="BZ993" i="15" s="1"/>
  <c r="CH869" i="15"/>
  <c r="CG869" i="15"/>
  <c r="CI869" i="15" s="1"/>
  <c r="CL868" i="15"/>
  <c r="CK868" i="15"/>
  <c r="CM868" i="15" s="1"/>
  <c r="CC870" i="15"/>
  <c r="CB870" i="15"/>
  <c r="CD870" i="15" s="1"/>
  <c r="J381" i="7"/>
  <c r="K381" i="7"/>
  <c r="CL869" i="15" l="1"/>
  <c r="CK869" i="15"/>
  <c r="CM869" i="15" s="1"/>
  <c r="BY994" i="15"/>
  <c r="BX994" i="15"/>
  <c r="BZ994" i="15" s="1"/>
  <c r="CC871" i="15"/>
  <c r="CB871" i="15"/>
  <c r="CD871" i="15" s="1"/>
  <c r="CH870" i="15"/>
  <c r="CG870" i="15"/>
  <c r="CI870" i="15" s="1"/>
  <c r="L381" i="7"/>
  <c r="CC872" i="15" l="1"/>
  <c r="CB872" i="15"/>
  <c r="CD872" i="15" s="1"/>
  <c r="CL870" i="15"/>
  <c r="CK870" i="15"/>
  <c r="CM870" i="15" s="1"/>
  <c r="CH871" i="15"/>
  <c r="CG871" i="15"/>
  <c r="CI871" i="15" s="1"/>
  <c r="BY995" i="15"/>
  <c r="BX995" i="15"/>
  <c r="BZ995" i="15" s="1"/>
  <c r="J382" i="7"/>
  <c r="K382" i="7"/>
  <c r="CH872" i="15" l="1"/>
  <c r="CG872" i="15"/>
  <c r="CI872" i="15" s="1"/>
  <c r="CC873" i="15"/>
  <c r="CB873" i="15"/>
  <c r="CD873" i="15" s="1"/>
  <c r="BY996" i="15"/>
  <c r="BX996" i="15"/>
  <c r="BZ996" i="15" s="1"/>
  <c r="CL871" i="15"/>
  <c r="CK871" i="15"/>
  <c r="CM871" i="15" s="1"/>
  <c r="L382" i="7"/>
  <c r="BY997" i="15" l="1"/>
  <c r="BX997" i="15"/>
  <c r="BZ997" i="15" s="1"/>
  <c r="CH873" i="15"/>
  <c r="CG873" i="15"/>
  <c r="CI873" i="15" s="1"/>
  <c r="CL872" i="15"/>
  <c r="CK872" i="15"/>
  <c r="CM872" i="15" s="1"/>
  <c r="CC874" i="15"/>
  <c r="CB874" i="15"/>
  <c r="CD874" i="15" s="1"/>
  <c r="J383" i="7"/>
  <c r="K383" i="7"/>
  <c r="CL873" i="15" l="1"/>
  <c r="CK873" i="15"/>
  <c r="CM873" i="15" s="1"/>
  <c r="BY998" i="15"/>
  <c r="BX998" i="15"/>
  <c r="BZ998" i="15" s="1"/>
  <c r="CC875" i="15"/>
  <c r="CB875" i="15"/>
  <c r="CD875" i="15" s="1"/>
  <c r="CH874" i="15"/>
  <c r="CG874" i="15"/>
  <c r="CI874" i="15" s="1"/>
  <c r="L383" i="7"/>
  <c r="CC876" i="15" l="1"/>
  <c r="CB876" i="15"/>
  <c r="CD876" i="15" s="1"/>
  <c r="CL874" i="15"/>
  <c r="CK874" i="15"/>
  <c r="CM874" i="15" s="1"/>
  <c r="CH875" i="15"/>
  <c r="CG875" i="15"/>
  <c r="CI875" i="15" s="1"/>
  <c r="BY999" i="15"/>
  <c r="BX999" i="15"/>
  <c r="BZ999" i="15" s="1"/>
  <c r="J384" i="7"/>
  <c r="L384" i="7" s="1"/>
  <c r="K384" i="7"/>
  <c r="BY1000" i="15" l="1"/>
  <c r="BX1000" i="15"/>
  <c r="BZ1000" i="15" s="1"/>
  <c r="CH876" i="15"/>
  <c r="CG876" i="15"/>
  <c r="CI876" i="15" s="1"/>
  <c r="CC877" i="15"/>
  <c r="CB877" i="15"/>
  <c r="CD877" i="15" s="1"/>
  <c r="CL875" i="15"/>
  <c r="CK875" i="15"/>
  <c r="CM875" i="15" s="1"/>
  <c r="J385" i="7"/>
  <c r="L385" i="7" s="1"/>
  <c r="K385" i="7"/>
  <c r="CC878" i="15" l="1"/>
  <c r="CB878" i="15"/>
  <c r="CD878" i="15" s="1"/>
  <c r="BY1001" i="15"/>
  <c r="BX1001" i="15"/>
  <c r="BZ1001" i="15" s="1"/>
  <c r="CL876" i="15"/>
  <c r="CK876" i="15"/>
  <c r="CM876" i="15" s="1"/>
  <c r="CH877" i="15"/>
  <c r="CG877" i="15"/>
  <c r="CI877" i="15" s="1"/>
  <c r="J386" i="7"/>
  <c r="K386" i="7"/>
  <c r="CH878" i="15" l="1"/>
  <c r="CG878" i="15"/>
  <c r="CI878" i="15" s="1"/>
  <c r="CL877" i="15"/>
  <c r="CK877" i="15"/>
  <c r="CM877" i="15" s="1"/>
  <c r="CC879" i="15"/>
  <c r="CB879" i="15"/>
  <c r="CD879" i="15" s="1"/>
  <c r="BY1002" i="15"/>
  <c r="BX1002" i="15"/>
  <c r="BZ1002" i="15" s="1"/>
  <c r="L386" i="7"/>
  <c r="CC880" i="15" l="1"/>
  <c r="CB880" i="15"/>
  <c r="CD880" i="15" s="1"/>
  <c r="CH879" i="15"/>
  <c r="CG879" i="15"/>
  <c r="CI879" i="15" s="1"/>
  <c r="BY1003" i="15"/>
  <c r="BX1003" i="15"/>
  <c r="BZ1003" i="15" s="1"/>
  <c r="CL878" i="15"/>
  <c r="CK878" i="15"/>
  <c r="CM878" i="15" s="1"/>
  <c r="J387" i="7"/>
  <c r="K387" i="7"/>
  <c r="BY1004" i="15" l="1"/>
  <c r="BX1004" i="15"/>
  <c r="BZ1004" i="15" s="1"/>
  <c r="CC881" i="15"/>
  <c r="CB881" i="15"/>
  <c r="CD881" i="15" s="1"/>
  <c r="CL879" i="15"/>
  <c r="CK879" i="15"/>
  <c r="CM879" i="15" s="1"/>
  <c r="CH880" i="15"/>
  <c r="CG880" i="15"/>
  <c r="CI880" i="15" s="1"/>
  <c r="L387" i="7"/>
  <c r="CH881" i="15" l="1"/>
  <c r="CG881" i="15"/>
  <c r="CI881" i="15" s="1"/>
  <c r="CL880" i="15"/>
  <c r="CK880" i="15"/>
  <c r="CM880" i="15" s="1"/>
  <c r="BY1005" i="15"/>
  <c r="BX1005" i="15"/>
  <c r="BZ1005" i="15" s="1"/>
  <c r="CC882" i="15"/>
  <c r="CB882" i="15"/>
  <c r="CD882" i="15" s="1"/>
  <c r="J388" i="7"/>
  <c r="K388" i="7"/>
  <c r="BY1006" i="15" l="1"/>
  <c r="BX1006" i="15"/>
  <c r="BZ1006" i="15" s="1"/>
  <c r="CH882" i="15"/>
  <c r="CG882" i="15"/>
  <c r="CI882" i="15" s="1"/>
  <c r="CC883" i="15"/>
  <c r="CB883" i="15"/>
  <c r="CD883" i="15" s="1"/>
  <c r="CL881" i="15"/>
  <c r="CK881" i="15"/>
  <c r="CM881" i="15" s="1"/>
  <c r="L388" i="7"/>
  <c r="CL882" i="15" l="1"/>
  <c r="CK882" i="15"/>
  <c r="CM882" i="15" s="1"/>
  <c r="CC884" i="15"/>
  <c r="CB884" i="15"/>
  <c r="CD884" i="15" s="1"/>
  <c r="BY1007" i="15"/>
  <c r="BX1007" i="15"/>
  <c r="BZ1007" i="15" s="1"/>
  <c r="CH883" i="15"/>
  <c r="CG883" i="15"/>
  <c r="CI883" i="15" s="1"/>
  <c r="J389" i="7"/>
  <c r="L389" i="7" s="1"/>
  <c r="K389" i="7"/>
  <c r="BY1008" i="15" l="1"/>
  <c r="BX1008" i="15"/>
  <c r="BZ1008" i="15" s="1"/>
  <c r="CL883" i="15"/>
  <c r="CK883" i="15"/>
  <c r="CM883" i="15" s="1"/>
  <c r="CH884" i="15"/>
  <c r="CG884" i="15"/>
  <c r="CI884" i="15" s="1"/>
  <c r="CC885" i="15"/>
  <c r="CB885" i="15"/>
  <c r="CD885" i="15" s="1"/>
  <c r="J390" i="7"/>
  <c r="K390" i="7"/>
  <c r="CH885" i="15" l="1"/>
  <c r="CG885" i="15"/>
  <c r="CI885" i="15" s="1"/>
  <c r="BY1009" i="15"/>
  <c r="BX1009" i="15"/>
  <c r="BZ1009" i="15" s="1"/>
  <c r="CC886" i="15"/>
  <c r="CB886" i="15"/>
  <c r="CD886" i="15" s="1"/>
  <c r="CL884" i="15"/>
  <c r="CK884" i="15"/>
  <c r="CM884" i="15" s="1"/>
  <c r="L390" i="7"/>
  <c r="CL885" i="15" l="1"/>
  <c r="CK885" i="15"/>
  <c r="CM885" i="15" s="1"/>
  <c r="CC887" i="15"/>
  <c r="CB887" i="15"/>
  <c r="CD887" i="15" s="1"/>
  <c r="CH886" i="15"/>
  <c r="CG886" i="15"/>
  <c r="CI886" i="15" s="1"/>
  <c r="BY1010" i="15"/>
  <c r="BX1010" i="15"/>
  <c r="BZ1010" i="15" s="1"/>
  <c r="J391" i="7"/>
  <c r="K391" i="7"/>
  <c r="BY1011" i="15" l="1"/>
  <c r="BX1011" i="15"/>
  <c r="BZ1011" i="15" s="1"/>
  <c r="CH887" i="15"/>
  <c r="CG887" i="15"/>
  <c r="CI887" i="15" s="1"/>
  <c r="CL886" i="15"/>
  <c r="CK886" i="15"/>
  <c r="CM886" i="15" s="1"/>
  <c r="CC888" i="15"/>
  <c r="CB888" i="15"/>
  <c r="CD888" i="15" s="1"/>
  <c r="L391" i="7"/>
  <c r="CL887" i="15" l="1"/>
  <c r="CK887" i="15"/>
  <c r="CM887" i="15" s="1"/>
  <c r="BY1012" i="15"/>
  <c r="BX1012" i="15"/>
  <c r="BZ1012" i="15" s="1"/>
  <c r="CC889" i="15"/>
  <c r="CB889" i="15"/>
  <c r="CD889" i="15" s="1"/>
  <c r="CH888" i="15"/>
  <c r="CG888" i="15"/>
  <c r="CI888" i="15" s="1"/>
  <c r="J392" i="7"/>
  <c r="K392" i="7"/>
  <c r="CH889" i="15" l="1"/>
  <c r="CG889" i="15"/>
  <c r="CI889" i="15" s="1"/>
  <c r="CC890" i="15"/>
  <c r="CB890" i="15"/>
  <c r="CD890" i="15" s="1"/>
  <c r="CL888" i="15"/>
  <c r="CK888" i="15"/>
  <c r="CM888" i="15" s="1"/>
  <c r="BY1013" i="15"/>
  <c r="BX1013" i="15"/>
  <c r="BZ1013" i="15" s="1"/>
  <c r="L392" i="7"/>
  <c r="CL889" i="15" l="1"/>
  <c r="CK889" i="15"/>
  <c r="CM889" i="15" s="1"/>
  <c r="CH890" i="15"/>
  <c r="CG890" i="15"/>
  <c r="CI890" i="15" s="1"/>
  <c r="BY1014" i="15"/>
  <c r="BX1014" i="15"/>
  <c r="BZ1014" i="15" s="1"/>
  <c r="CC891" i="15"/>
  <c r="CB891" i="15"/>
  <c r="CD891" i="15" s="1"/>
  <c r="J393" i="7"/>
  <c r="K393" i="7"/>
  <c r="BY1015" i="15" l="1"/>
  <c r="BX1015" i="15"/>
  <c r="BZ1015" i="15" s="1"/>
  <c r="CL890" i="15"/>
  <c r="CK890" i="15"/>
  <c r="CM890" i="15" s="1"/>
  <c r="CC892" i="15"/>
  <c r="CB892" i="15"/>
  <c r="CD892" i="15" s="1"/>
  <c r="CH891" i="15"/>
  <c r="CG891" i="15"/>
  <c r="CI891" i="15" s="1"/>
  <c r="L393" i="7"/>
  <c r="CC893" i="15" l="1"/>
  <c r="CB893" i="15"/>
  <c r="CD893" i="15" s="1"/>
  <c r="BY1016" i="15"/>
  <c r="BX1016" i="15"/>
  <c r="BZ1016" i="15" s="1"/>
  <c r="CH892" i="15"/>
  <c r="CG892" i="15"/>
  <c r="CI892" i="15" s="1"/>
  <c r="CL891" i="15"/>
  <c r="CK891" i="15"/>
  <c r="CM891" i="15" s="1"/>
  <c r="J394" i="7"/>
  <c r="K394" i="7"/>
  <c r="CL892" i="15" l="1"/>
  <c r="CK892" i="15"/>
  <c r="CM892" i="15" s="1"/>
  <c r="CH893" i="15"/>
  <c r="CG893" i="15"/>
  <c r="CI893" i="15" s="1"/>
  <c r="BY1017" i="15"/>
  <c r="BX1017" i="15"/>
  <c r="BZ1017" i="15" s="1"/>
  <c r="CC894" i="15"/>
  <c r="CB894" i="15"/>
  <c r="CD894" i="15" s="1"/>
  <c r="L394" i="7"/>
  <c r="BY1018" i="15" l="1"/>
  <c r="BX1018" i="15"/>
  <c r="BZ1018" i="15" s="1"/>
  <c r="CL893" i="15"/>
  <c r="CK893" i="15"/>
  <c r="CM893" i="15" s="1"/>
  <c r="CC895" i="15"/>
  <c r="CB895" i="15"/>
  <c r="CD895" i="15" s="1"/>
  <c r="CH894" i="15"/>
  <c r="CG894" i="15"/>
  <c r="CI894" i="15" s="1"/>
  <c r="J395" i="7"/>
  <c r="K395" i="7"/>
  <c r="CC896" i="15" l="1"/>
  <c r="CB896" i="15"/>
  <c r="CD896" i="15" s="1"/>
  <c r="BY1019" i="15"/>
  <c r="BX1019" i="15"/>
  <c r="BZ1019" i="15" s="1"/>
  <c r="CH895" i="15"/>
  <c r="CG895" i="15"/>
  <c r="CI895" i="15" s="1"/>
  <c r="CL894" i="15"/>
  <c r="CK894" i="15"/>
  <c r="CM894" i="15" s="1"/>
  <c r="L395" i="7"/>
  <c r="CL895" i="15" l="1"/>
  <c r="CK895" i="15"/>
  <c r="CM895" i="15" s="1"/>
  <c r="CH896" i="15"/>
  <c r="CG896" i="15"/>
  <c r="CI896" i="15" s="1"/>
  <c r="CC897" i="15"/>
  <c r="CB897" i="15"/>
  <c r="CD897" i="15" s="1"/>
  <c r="BY1020" i="15"/>
  <c r="BX1020" i="15"/>
  <c r="BZ1020" i="15" s="1"/>
  <c r="J396" i="7"/>
  <c r="K396" i="7"/>
  <c r="CC898" i="15" l="1"/>
  <c r="CB898" i="15"/>
  <c r="CD898" i="15" s="1"/>
  <c r="CL896" i="15"/>
  <c r="CK896" i="15"/>
  <c r="CM896" i="15" s="1"/>
  <c r="BY1021" i="15"/>
  <c r="BX1021" i="15"/>
  <c r="BZ1021" i="15" s="1"/>
  <c r="CH897" i="15"/>
  <c r="CG897" i="15"/>
  <c r="CI897" i="15" s="1"/>
  <c r="L396" i="7"/>
  <c r="BY1022" i="15" l="1"/>
  <c r="BX1022" i="15"/>
  <c r="BZ1022" i="15" s="1"/>
  <c r="CC899" i="15"/>
  <c r="CB899" i="15"/>
  <c r="CD899" i="15" s="1"/>
  <c r="CH898" i="15"/>
  <c r="CG898" i="15"/>
  <c r="CI898" i="15" s="1"/>
  <c r="CL897" i="15"/>
  <c r="CK897" i="15"/>
  <c r="CM897" i="15" s="1"/>
  <c r="J397" i="7"/>
  <c r="K397" i="7"/>
  <c r="CL898" i="15" l="1"/>
  <c r="CK898" i="15"/>
  <c r="CM898" i="15" s="1"/>
  <c r="CH899" i="15"/>
  <c r="CG899" i="15"/>
  <c r="CI899" i="15" s="1"/>
  <c r="BY1023" i="15"/>
  <c r="BX1023" i="15"/>
  <c r="BZ1023" i="15" s="1"/>
  <c r="CC900" i="15"/>
  <c r="CB900" i="15"/>
  <c r="CD900" i="15" s="1"/>
  <c r="L397" i="7"/>
  <c r="CC901" i="15" l="1"/>
  <c r="CB901" i="15"/>
  <c r="CD901" i="15" s="1"/>
  <c r="BY1024" i="15"/>
  <c r="BX1024" i="15"/>
  <c r="BZ1024" i="15" s="1"/>
  <c r="CH900" i="15"/>
  <c r="CG900" i="15"/>
  <c r="CI900" i="15" s="1"/>
  <c r="CL899" i="15"/>
  <c r="CK899" i="15"/>
  <c r="CM899" i="15" s="1"/>
  <c r="J398" i="7"/>
  <c r="K398" i="7"/>
  <c r="CH901" i="15" l="1"/>
  <c r="CG901" i="15"/>
  <c r="CI901" i="15" s="1"/>
  <c r="CC902" i="15"/>
  <c r="CB902" i="15"/>
  <c r="CD902" i="15" s="1"/>
  <c r="CL900" i="15"/>
  <c r="CK900" i="15"/>
  <c r="CM900" i="15" s="1"/>
  <c r="BY1025" i="15"/>
  <c r="BX1025" i="15"/>
  <c r="BZ1025" i="15" s="1"/>
  <c r="L398" i="7"/>
  <c r="BY1026" i="15" l="1"/>
  <c r="BX1026" i="15"/>
  <c r="BZ1026" i="15" s="1"/>
  <c r="CL901" i="15"/>
  <c r="CK901" i="15"/>
  <c r="CM901" i="15" s="1"/>
  <c r="CH902" i="15"/>
  <c r="CG902" i="15"/>
  <c r="CI902" i="15" s="1"/>
  <c r="CC903" i="15"/>
  <c r="CB903" i="15"/>
  <c r="CD903" i="15" s="1"/>
  <c r="J399" i="7"/>
  <c r="K399" i="7"/>
  <c r="CH903" i="15" l="1"/>
  <c r="CG903" i="15"/>
  <c r="CI903" i="15" s="1"/>
  <c r="BY1027" i="15"/>
  <c r="BX1027" i="15"/>
  <c r="BZ1027" i="15" s="1"/>
  <c r="CC904" i="15"/>
  <c r="CB904" i="15"/>
  <c r="CD904" i="15" s="1"/>
  <c r="CL902" i="15"/>
  <c r="CK902" i="15"/>
  <c r="CM902" i="15" s="1"/>
  <c r="L399" i="7"/>
  <c r="CC905" i="15" l="1"/>
  <c r="CB905" i="15"/>
  <c r="CD905" i="15" s="1"/>
  <c r="CH904" i="15"/>
  <c r="CG904" i="15"/>
  <c r="CI904" i="15" s="1"/>
  <c r="CL903" i="15"/>
  <c r="CK903" i="15"/>
  <c r="CM903" i="15" s="1"/>
  <c r="J400" i="7"/>
  <c r="K400" i="7"/>
  <c r="CL904" i="15" l="1"/>
  <c r="CK904" i="15"/>
  <c r="CM904" i="15" s="1"/>
  <c r="CC906" i="15"/>
  <c r="CB906" i="15"/>
  <c r="CD906" i="15" s="1"/>
  <c r="CH905" i="15"/>
  <c r="CG905" i="15"/>
  <c r="CI905" i="15" s="1"/>
  <c r="L400" i="7"/>
  <c r="CH906" i="15" l="1"/>
  <c r="CG906" i="15"/>
  <c r="CI906" i="15" s="1"/>
  <c r="CL905" i="15"/>
  <c r="CK905" i="15"/>
  <c r="CM905" i="15" s="1"/>
  <c r="CC907" i="15"/>
  <c r="CB907" i="15"/>
  <c r="CD907" i="15" s="1"/>
  <c r="J401" i="7"/>
  <c r="K401" i="7"/>
  <c r="CC908" i="15" l="1"/>
  <c r="CB908" i="15"/>
  <c r="CD908" i="15" s="1"/>
  <c r="CH907" i="15"/>
  <c r="CG907" i="15"/>
  <c r="CI907" i="15" s="1"/>
  <c r="CL906" i="15"/>
  <c r="CK906" i="15"/>
  <c r="CM906" i="15" s="1"/>
  <c r="L401" i="7"/>
  <c r="CL907" i="15" l="1"/>
  <c r="CK907" i="15"/>
  <c r="CM907" i="15" s="1"/>
  <c r="CC909" i="15"/>
  <c r="CB909" i="15"/>
  <c r="CD909" i="15" s="1"/>
  <c r="CH908" i="15"/>
  <c r="CG908" i="15"/>
  <c r="CI908" i="15" s="1"/>
  <c r="J402" i="7"/>
  <c r="K402" i="7"/>
  <c r="CH909" i="15" l="1"/>
  <c r="CG909" i="15"/>
  <c r="CI909" i="15" s="1"/>
  <c r="CL908" i="15"/>
  <c r="CK908" i="15"/>
  <c r="CM908" i="15" s="1"/>
  <c r="CC910" i="15"/>
  <c r="CB910" i="15"/>
  <c r="CD910" i="15" s="1"/>
  <c r="L402" i="7"/>
  <c r="CC911" i="15" l="1"/>
  <c r="CB911" i="15"/>
  <c r="CD911" i="15" s="1"/>
  <c r="CH910" i="15"/>
  <c r="CG910" i="15"/>
  <c r="CI910" i="15" s="1"/>
  <c r="CL909" i="15"/>
  <c r="CK909" i="15"/>
  <c r="CM909" i="15" s="1"/>
  <c r="J403" i="7"/>
  <c r="K403" i="7"/>
  <c r="CL910" i="15" l="1"/>
  <c r="CK910" i="15"/>
  <c r="CM910" i="15" s="1"/>
  <c r="CC912" i="15"/>
  <c r="CB912" i="15"/>
  <c r="CD912" i="15" s="1"/>
  <c r="CH911" i="15"/>
  <c r="CG911" i="15"/>
  <c r="CI911" i="15" s="1"/>
  <c r="L403" i="7"/>
  <c r="CH912" i="15" l="1"/>
  <c r="CG912" i="15"/>
  <c r="CI912" i="15" s="1"/>
  <c r="CL911" i="15"/>
  <c r="CK911" i="15"/>
  <c r="CM911" i="15" s="1"/>
  <c r="CC913" i="15"/>
  <c r="CB913" i="15"/>
  <c r="CD913" i="15" s="1"/>
  <c r="J404" i="7"/>
  <c r="K404" i="7"/>
  <c r="CC914" i="15" l="1"/>
  <c r="CB914" i="15"/>
  <c r="CD914" i="15" s="1"/>
  <c r="CH913" i="15"/>
  <c r="CG913" i="15"/>
  <c r="CI913" i="15" s="1"/>
  <c r="CL912" i="15"/>
  <c r="CK912" i="15"/>
  <c r="CM912" i="15" s="1"/>
  <c r="L404" i="7"/>
  <c r="CL913" i="15" l="1"/>
  <c r="CK913" i="15"/>
  <c r="CM913" i="15" s="1"/>
  <c r="CC915" i="15"/>
  <c r="CB915" i="15"/>
  <c r="CD915" i="15" s="1"/>
  <c r="CH914" i="15"/>
  <c r="CG914" i="15"/>
  <c r="CI914" i="15" s="1"/>
  <c r="J405" i="7"/>
  <c r="K405" i="7"/>
  <c r="CH915" i="15" l="1"/>
  <c r="CG915" i="15"/>
  <c r="CI915" i="15" s="1"/>
  <c r="CL914" i="15"/>
  <c r="CK914" i="15"/>
  <c r="CM914" i="15" s="1"/>
  <c r="CC916" i="15"/>
  <c r="CB916" i="15"/>
  <c r="CD916" i="15" s="1"/>
  <c r="L405" i="7"/>
  <c r="CC917" i="15" l="1"/>
  <c r="CB917" i="15"/>
  <c r="CD917" i="15" s="1"/>
  <c r="CH916" i="15"/>
  <c r="CG916" i="15"/>
  <c r="CI916" i="15" s="1"/>
  <c r="CL915" i="15"/>
  <c r="CK915" i="15"/>
  <c r="CM915" i="15" s="1"/>
  <c r="J406" i="7"/>
  <c r="K406" i="7"/>
  <c r="CL916" i="15" l="1"/>
  <c r="CK916" i="15"/>
  <c r="CM916" i="15" s="1"/>
  <c r="CC918" i="15"/>
  <c r="CB918" i="15"/>
  <c r="CD918" i="15" s="1"/>
  <c r="CH917" i="15"/>
  <c r="CG917" i="15"/>
  <c r="CI917" i="15" s="1"/>
  <c r="L406" i="7"/>
  <c r="CH918" i="15" l="1"/>
  <c r="CG918" i="15"/>
  <c r="CI918" i="15" s="1"/>
  <c r="CL917" i="15"/>
  <c r="CK917" i="15"/>
  <c r="CM917" i="15" s="1"/>
  <c r="CC919" i="15"/>
  <c r="CB919" i="15"/>
  <c r="CD919" i="15" s="1"/>
  <c r="J407" i="7"/>
  <c r="K407" i="7"/>
  <c r="CC920" i="15" l="1"/>
  <c r="CB920" i="15"/>
  <c r="CD920" i="15" s="1"/>
  <c r="CH919" i="15"/>
  <c r="CG919" i="15"/>
  <c r="CI919" i="15" s="1"/>
  <c r="CL918" i="15"/>
  <c r="CK918" i="15"/>
  <c r="CM918" i="15" s="1"/>
  <c r="L407" i="7"/>
  <c r="CL919" i="15" l="1"/>
  <c r="CK919" i="15"/>
  <c r="CM919" i="15" s="1"/>
  <c r="CC921" i="15"/>
  <c r="CB921" i="15"/>
  <c r="CD921" i="15" s="1"/>
  <c r="CH920" i="15"/>
  <c r="CG920" i="15"/>
  <c r="CI920" i="15" s="1"/>
  <c r="J408" i="7"/>
  <c r="K408" i="7"/>
  <c r="CH921" i="15" l="1"/>
  <c r="CG921" i="15"/>
  <c r="CI921" i="15" s="1"/>
  <c r="CL920" i="15"/>
  <c r="CK920" i="15"/>
  <c r="CM920" i="15" s="1"/>
  <c r="CC922" i="15"/>
  <c r="CB922" i="15"/>
  <c r="CD922" i="15" s="1"/>
  <c r="L408" i="7"/>
  <c r="CC923" i="15" l="1"/>
  <c r="CB923" i="15"/>
  <c r="CD923" i="15" s="1"/>
  <c r="CH922" i="15"/>
  <c r="CG922" i="15"/>
  <c r="CI922" i="15" s="1"/>
  <c r="CL921" i="15"/>
  <c r="CK921" i="15"/>
  <c r="CM921" i="15" s="1"/>
  <c r="J409" i="7"/>
  <c r="K409" i="7"/>
  <c r="CL922" i="15" l="1"/>
  <c r="CK922" i="15"/>
  <c r="CM922" i="15" s="1"/>
  <c r="CC924" i="15"/>
  <c r="CB924" i="15"/>
  <c r="CD924" i="15" s="1"/>
  <c r="CH923" i="15"/>
  <c r="CG923" i="15"/>
  <c r="CI923" i="15" s="1"/>
  <c r="L409" i="7"/>
  <c r="CH924" i="15" l="1"/>
  <c r="CG924" i="15"/>
  <c r="CI924" i="15" s="1"/>
  <c r="CL923" i="15"/>
  <c r="CK923" i="15"/>
  <c r="CM923" i="15" s="1"/>
  <c r="CC925" i="15"/>
  <c r="CB925" i="15"/>
  <c r="CD925" i="15" s="1"/>
  <c r="J410" i="7"/>
  <c r="K410" i="7"/>
  <c r="CC926" i="15" l="1"/>
  <c r="CB926" i="15"/>
  <c r="CD926" i="15" s="1"/>
  <c r="CH925" i="15"/>
  <c r="CG925" i="15"/>
  <c r="CI925" i="15" s="1"/>
  <c r="CL924" i="15"/>
  <c r="CK924" i="15"/>
  <c r="CM924" i="15" s="1"/>
  <c r="L410" i="7"/>
  <c r="CL925" i="15" l="1"/>
  <c r="CK925" i="15"/>
  <c r="CM925" i="15" s="1"/>
  <c r="CC927" i="15"/>
  <c r="CB927" i="15"/>
  <c r="CD927" i="15" s="1"/>
  <c r="CH926" i="15"/>
  <c r="CG926" i="15"/>
  <c r="CI926" i="15" s="1"/>
  <c r="J411" i="7"/>
  <c r="K411" i="7"/>
  <c r="CH927" i="15" l="1"/>
  <c r="CG927" i="15"/>
  <c r="CI927" i="15" s="1"/>
  <c r="CL926" i="15"/>
  <c r="CK926" i="15"/>
  <c r="CM926" i="15" s="1"/>
  <c r="CC928" i="15"/>
  <c r="CB928" i="15"/>
  <c r="CD928" i="15" s="1"/>
  <c r="L411" i="7"/>
  <c r="CC929" i="15" l="1"/>
  <c r="CB929" i="15"/>
  <c r="CD929" i="15" s="1"/>
  <c r="CH928" i="15"/>
  <c r="CG928" i="15"/>
  <c r="CI928" i="15" s="1"/>
  <c r="CL927" i="15"/>
  <c r="CK927" i="15"/>
  <c r="CM927" i="15" s="1"/>
  <c r="J412" i="7"/>
  <c r="K412" i="7"/>
  <c r="CL928" i="15" l="1"/>
  <c r="CK928" i="15"/>
  <c r="CM928" i="15" s="1"/>
  <c r="CC930" i="15"/>
  <c r="CB930" i="15"/>
  <c r="CD930" i="15" s="1"/>
  <c r="CH929" i="15"/>
  <c r="CG929" i="15"/>
  <c r="CI929" i="15" s="1"/>
  <c r="L412" i="7"/>
  <c r="CC931" i="15" l="1"/>
  <c r="CB931" i="15"/>
  <c r="CD931" i="15" s="1"/>
  <c r="CH930" i="15"/>
  <c r="CG930" i="15"/>
  <c r="CI930" i="15" s="1"/>
  <c r="CL929" i="15"/>
  <c r="CK929" i="15"/>
  <c r="CM929" i="15" s="1"/>
  <c r="J413" i="7"/>
  <c r="K413" i="7"/>
  <c r="CL930" i="15" l="1"/>
  <c r="CK930" i="15"/>
  <c r="CM930" i="15" s="1"/>
  <c r="CC932" i="15"/>
  <c r="CB932" i="15"/>
  <c r="CD932" i="15" s="1"/>
  <c r="CH931" i="15"/>
  <c r="CG931" i="15"/>
  <c r="CI931" i="15" s="1"/>
  <c r="L413" i="7"/>
  <c r="CH932" i="15" l="1"/>
  <c r="CG932" i="15"/>
  <c r="CI932" i="15" s="1"/>
  <c r="CL931" i="15"/>
  <c r="CK931" i="15"/>
  <c r="CM931" i="15" s="1"/>
  <c r="CC933" i="15"/>
  <c r="CB933" i="15"/>
  <c r="CD933" i="15" s="1"/>
  <c r="J414" i="7"/>
  <c r="K414" i="7"/>
  <c r="CC934" i="15" l="1"/>
  <c r="CB934" i="15"/>
  <c r="CD934" i="15" s="1"/>
  <c r="CH933" i="15"/>
  <c r="CG933" i="15"/>
  <c r="CI933" i="15" s="1"/>
  <c r="CL932" i="15"/>
  <c r="CK932" i="15"/>
  <c r="CM932" i="15" s="1"/>
  <c r="L414" i="7"/>
  <c r="CL933" i="15" l="1"/>
  <c r="CK933" i="15"/>
  <c r="CM933" i="15" s="1"/>
  <c r="CC935" i="15"/>
  <c r="CB935" i="15"/>
  <c r="CD935" i="15" s="1"/>
  <c r="CH934" i="15"/>
  <c r="CG934" i="15"/>
  <c r="CI934" i="15" s="1"/>
  <c r="J415" i="7"/>
  <c r="K415" i="7"/>
  <c r="CH935" i="15" l="1"/>
  <c r="CG935" i="15"/>
  <c r="CI935" i="15" s="1"/>
  <c r="CL934" i="15"/>
  <c r="CK934" i="15"/>
  <c r="CM934" i="15" s="1"/>
  <c r="CC936" i="15"/>
  <c r="CB936" i="15"/>
  <c r="CD936" i="15" s="1"/>
  <c r="L415" i="7"/>
  <c r="CC937" i="15" l="1"/>
  <c r="CB937" i="15"/>
  <c r="CD937" i="15" s="1"/>
  <c r="CH936" i="15"/>
  <c r="CG936" i="15"/>
  <c r="CI936" i="15" s="1"/>
  <c r="CL935" i="15"/>
  <c r="CK935" i="15"/>
  <c r="CM935" i="15" s="1"/>
  <c r="J416" i="7"/>
  <c r="K416" i="7"/>
  <c r="CL936" i="15" l="1"/>
  <c r="CK936" i="15"/>
  <c r="CM936" i="15" s="1"/>
  <c r="CH937" i="15"/>
  <c r="CG937" i="15"/>
  <c r="CI937" i="15" s="1"/>
  <c r="CC938" i="15"/>
  <c r="CB938" i="15"/>
  <c r="CD938" i="15" s="1"/>
  <c r="L416" i="7"/>
  <c r="CC939" i="15" l="1"/>
  <c r="CB939" i="15"/>
  <c r="CD939" i="15" s="1"/>
  <c r="CL937" i="15"/>
  <c r="CK937" i="15"/>
  <c r="CM937" i="15" s="1"/>
  <c r="CH938" i="15"/>
  <c r="CG938" i="15"/>
  <c r="CI938" i="15" s="1"/>
  <c r="J417" i="7"/>
  <c r="L417" i="7" s="1"/>
  <c r="K417" i="7"/>
  <c r="CL938" i="15" l="1"/>
  <c r="CK938" i="15"/>
  <c r="CM938" i="15" s="1"/>
  <c r="CH939" i="15"/>
  <c r="CG939" i="15"/>
  <c r="CI939" i="15" s="1"/>
  <c r="CC940" i="15"/>
  <c r="CB940" i="15"/>
  <c r="CD940" i="15" s="1"/>
  <c r="J418" i="7"/>
  <c r="K418" i="7"/>
  <c r="CC941" i="15" l="1"/>
  <c r="CB941" i="15"/>
  <c r="CD941" i="15" s="1"/>
  <c r="CL939" i="15"/>
  <c r="CK939" i="15"/>
  <c r="CM939" i="15" s="1"/>
  <c r="CH940" i="15"/>
  <c r="CG940" i="15"/>
  <c r="CI940" i="15" s="1"/>
  <c r="L418" i="7"/>
  <c r="CH941" i="15" l="1"/>
  <c r="CG941" i="15"/>
  <c r="CI941" i="15" s="1"/>
  <c r="CC942" i="15"/>
  <c r="CB942" i="15"/>
  <c r="CD942" i="15" s="1"/>
  <c r="CL940" i="15"/>
  <c r="CK940" i="15"/>
  <c r="CM940" i="15" s="1"/>
  <c r="J419" i="7"/>
  <c r="K419" i="7"/>
  <c r="CL941" i="15" l="1"/>
  <c r="CK941" i="15"/>
  <c r="CM941" i="15" s="1"/>
  <c r="CH942" i="15"/>
  <c r="CG942" i="15"/>
  <c r="CI942" i="15" s="1"/>
  <c r="CC943" i="15"/>
  <c r="CB943" i="15"/>
  <c r="CD943" i="15" s="1"/>
  <c r="L419" i="7"/>
  <c r="CC944" i="15" l="1"/>
  <c r="CB944" i="15"/>
  <c r="CD944" i="15" s="1"/>
  <c r="CL942" i="15"/>
  <c r="CK942" i="15"/>
  <c r="CM942" i="15" s="1"/>
  <c r="CH943" i="15"/>
  <c r="CG943" i="15"/>
  <c r="CI943" i="15" s="1"/>
  <c r="J420" i="7"/>
  <c r="K420" i="7"/>
  <c r="CH944" i="15" l="1"/>
  <c r="CG944" i="15"/>
  <c r="CI944" i="15" s="1"/>
  <c r="CC945" i="15"/>
  <c r="CB945" i="15"/>
  <c r="CD945" i="15" s="1"/>
  <c r="CL943" i="15"/>
  <c r="CK943" i="15"/>
  <c r="CM943" i="15" s="1"/>
  <c r="L420" i="7"/>
  <c r="CL944" i="15" l="1"/>
  <c r="CK944" i="15"/>
  <c r="CM944" i="15" s="1"/>
  <c r="CH945" i="15"/>
  <c r="CG945" i="15"/>
  <c r="CI945" i="15" s="1"/>
  <c r="CC946" i="15"/>
  <c r="CB946" i="15"/>
  <c r="CD946" i="15" s="1"/>
  <c r="J421" i="7"/>
  <c r="K421" i="7"/>
  <c r="CC947" i="15" l="1"/>
  <c r="CB947" i="15"/>
  <c r="CD947" i="15" s="1"/>
  <c r="CL945" i="15"/>
  <c r="CK945" i="15"/>
  <c r="CM945" i="15" s="1"/>
  <c r="CH946" i="15"/>
  <c r="CG946" i="15"/>
  <c r="CI946" i="15" s="1"/>
  <c r="L421" i="7"/>
  <c r="CH947" i="15" l="1"/>
  <c r="CG947" i="15"/>
  <c r="CI947" i="15" s="1"/>
  <c r="CC948" i="15"/>
  <c r="CB948" i="15"/>
  <c r="CD948" i="15" s="1"/>
  <c r="CL946" i="15"/>
  <c r="CK946" i="15"/>
  <c r="CM946" i="15" s="1"/>
  <c r="J422" i="7"/>
  <c r="K422" i="7"/>
  <c r="CL947" i="15" l="1"/>
  <c r="CK947" i="15"/>
  <c r="CM947" i="15" s="1"/>
  <c r="CH948" i="15"/>
  <c r="CG948" i="15"/>
  <c r="CI948" i="15" s="1"/>
  <c r="CC949" i="15"/>
  <c r="CB949" i="15"/>
  <c r="CD949" i="15" s="1"/>
  <c r="L422" i="7"/>
  <c r="CC950" i="15" l="1"/>
  <c r="CB950" i="15"/>
  <c r="CD950" i="15" s="1"/>
  <c r="CL948" i="15"/>
  <c r="CK948" i="15"/>
  <c r="CM948" i="15" s="1"/>
  <c r="CH949" i="15"/>
  <c r="CG949" i="15"/>
  <c r="CI949" i="15" s="1"/>
  <c r="J423" i="7"/>
  <c r="K423" i="7"/>
  <c r="CH950" i="15" l="1"/>
  <c r="CG950" i="15"/>
  <c r="CI950" i="15" s="1"/>
  <c r="CL949" i="15"/>
  <c r="CK949" i="15"/>
  <c r="CM949" i="15" s="1"/>
  <c r="CC951" i="15"/>
  <c r="CB951" i="15"/>
  <c r="CD951" i="15" s="1"/>
  <c r="J434" i="7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C48" i="7" s="1"/>
  <c r="B49" i="7"/>
  <c r="C49" i="7" s="1"/>
  <c r="B50" i="7"/>
  <c r="C50" i="7" s="1"/>
  <c r="B51" i="7"/>
  <c r="C51" i="7" s="1"/>
  <c r="C53" i="7" s="1"/>
  <c r="L423" i="7"/>
  <c r="CC952" i="15" l="1"/>
  <c r="CB952" i="15"/>
  <c r="CD952" i="15" s="1"/>
  <c r="CH951" i="15"/>
  <c r="CG951" i="15"/>
  <c r="CI951" i="15" s="1"/>
  <c r="CL950" i="15"/>
  <c r="CK950" i="15"/>
  <c r="CM950" i="15" s="1"/>
  <c r="J445" i="7"/>
  <c r="K434" i="7"/>
  <c r="CL951" i="15" l="1"/>
  <c r="CK951" i="15"/>
  <c r="CM951" i="15" s="1"/>
  <c r="CC953" i="15"/>
  <c r="CB953" i="15"/>
  <c r="CD953" i="15" s="1"/>
  <c r="CH952" i="15"/>
  <c r="CG952" i="15"/>
  <c r="CI952" i="15" s="1"/>
  <c r="K445" i="7"/>
  <c r="D17" i="18" s="1"/>
  <c r="C17" i="18"/>
  <c r="CH953" i="15" l="1"/>
  <c r="CG953" i="15"/>
  <c r="CI953" i="15" s="1"/>
  <c r="CL952" i="15"/>
  <c r="CK952" i="15"/>
  <c r="CM952" i="15" s="1"/>
  <c r="CC954" i="15"/>
  <c r="CB954" i="15"/>
  <c r="CD954" i="15" s="1"/>
  <c r="CC955" i="15" l="1"/>
  <c r="CB955" i="15"/>
  <c r="CD955" i="15" s="1"/>
  <c r="CH954" i="15"/>
  <c r="CG954" i="15"/>
  <c r="CI954" i="15" s="1"/>
  <c r="CL953" i="15"/>
  <c r="CK953" i="15"/>
  <c r="CM953" i="15" s="1"/>
  <c r="CL954" i="15" l="1"/>
  <c r="CK954" i="15"/>
  <c r="CM954" i="15" s="1"/>
  <c r="CC956" i="15"/>
  <c r="CB956" i="15"/>
  <c r="CD956" i="15" s="1"/>
  <c r="CH955" i="15"/>
  <c r="CG955" i="15"/>
  <c r="CI955" i="15" s="1"/>
  <c r="CH956" i="15" l="1"/>
  <c r="CG956" i="15"/>
  <c r="CI956" i="15" s="1"/>
  <c r="CL955" i="15"/>
  <c r="CK955" i="15"/>
  <c r="CM955" i="15" s="1"/>
  <c r="CC957" i="15"/>
  <c r="CB957" i="15"/>
  <c r="CD957" i="15" s="1"/>
  <c r="CC958" i="15" l="1"/>
  <c r="CB958" i="15"/>
  <c r="CD958" i="15" s="1"/>
  <c r="CH957" i="15"/>
  <c r="CG957" i="15"/>
  <c r="CI957" i="15" s="1"/>
  <c r="CL956" i="15"/>
  <c r="CK956" i="15"/>
  <c r="CM956" i="15" s="1"/>
  <c r="CL957" i="15" l="1"/>
  <c r="CK957" i="15"/>
  <c r="CM957" i="15" s="1"/>
  <c r="CC959" i="15"/>
  <c r="CB959" i="15"/>
  <c r="CD959" i="15" s="1"/>
  <c r="CH958" i="15"/>
  <c r="CG958" i="15"/>
  <c r="CI958" i="15" s="1"/>
  <c r="CH959" i="15" l="1"/>
  <c r="CG959" i="15"/>
  <c r="CI959" i="15" s="1"/>
  <c r="CL958" i="15"/>
  <c r="CK958" i="15"/>
  <c r="CM958" i="15" s="1"/>
  <c r="CC960" i="15"/>
  <c r="CB960" i="15"/>
  <c r="CD960" i="15" s="1"/>
  <c r="CC961" i="15" l="1"/>
  <c r="CB961" i="15"/>
  <c r="CD961" i="15" s="1"/>
  <c r="CH960" i="15"/>
  <c r="CG960" i="15"/>
  <c r="CI960" i="15" s="1"/>
  <c r="CL959" i="15"/>
  <c r="CK959" i="15"/>
  <c r="CM959" i="15" s="1"/>
  <c r="CL960" i="15" l="1"/>
  <c r="CK960" i="15"/>
  <c r="CM960" i="15" s="1"/>
  <c r="CC962" i="15"/>
  <c r="CB962" i="15"/>
  <c r="CD962" i="15" s="1"/>
  <c r="CH961" i="15"/>
  <c r="CG961" i="15"/>
  <c r="CI961" i="15" s="1"/>
  <c r="CH962" i="15" l="1"/>
  <c r="CG962" i="15"/>
  <c r="CI962" i="15" s="1"/>
  <c r="CL961" i="15"/>
  <c r="CK961" i="15"/>
  <c r="CM961" i="15" s="1"/>
  <c r="CC963" i="15"/>
  <c r="CB963" i="15"/>
  <c r="CD963" i="15" s="1"/>
  <c r="CC964" i="15" l="1"/>
  <c r="CB964" i="15"/>
  <c r="CD964" i="15" s="1"/>
  <c r="CH963" i="15"/>
  <c r="CG963" i="15"/>
  <c r="CI963" i="15" s="1"/>
  <c r="CL962" i="15"/>
  <c r="CK962" i="15"/>
  <c r="CM962" i="15" s="1"/>
  <c r="CL963" i="15" l="1"/>
  <c r="CK963" i="15"/>
  <c r="CM963" i="15" s="1"/>
  <c r="CH964" i="15"/>
  <c r="CG964" i="15"/>
  <c r="CI964" i="15" s="1"/>
  <c r="CC965" i="15"/>
  <c r="CB965" i="15"/>
  <c r="CD965" i="15" s="1"/>
  <c r="CC966" i="15" l="1"/>
  <c r="CB966" i="15"/>
  <c r="CD966" i="15" s="1"/>
  <c r="CL964" i="15"/>
  <c r="CK964" i="15"/>
  <c r="CM964" i="15" s="1"/>
  <c r="CH965" i="15"/>
  <c r="CG965" i="15"/>
  <c r="CI965" i="15" s="1"/>
  <c r="CH966" i="15" l="1"/>
  <c r="CG966" i="15"/>
  <c r="CI966" i="15" s="1"/>
  <c r="CC967" i="15"/>
  <c r="CB967" i="15"/>
  <c r="CD967" i="15" s="1"/>
  <c r="CL965" i="15"/>
  <c r="CK965" i="15"/>
  <c r="CM965" i="15" s="1"/>
  <c r="CL966" i="15" l="1"/>
  <c r="CK966" i="15"/>
  <c r="CM966" i="15" s="1"/>
  <c r="CH967" i="15"/>
  <c r="CG967" i="15"/>
  <c r="CI967" i="15" s="1"/>
  <c r="CC968" i="15"/>
  <c r="CB968" i="15"/>
  <c r="CD968" i="15" s="1"/>
  <c r="CC969" i="15" l="1"/>
  <c r="CB969" i="15"/>
  <c r="CD969" i="15" s="1"/>
  <c r="CL967" i="15"/>
  <c r="CK967" i="15"/>
  <c r="CM967" i="15" s="1"/>
  <c r="CH968" i="15"/>
  <c r="CG968" i="15"/>
  <c r="CI968" i="15" s="1"/>
  <c r="CH969" i="15" l="1"/>
  <c r="CG969" i="15"/>
  <c r="CI969" i="15" s="1"/>
  <c r="CC970" i="15"/>
  <c r="CB970" i="15"/>
  <c r="CD970" i="15" s="1"/>
  <c r="CL968" i="15"/>
  <c r="CK968" i="15"/>
  <c r="CM968" i="15" s="1"/>
  <c r="CL969" i="15" l="1"/>
  <c r="CK969" i="15"/>
  <c r="CM969" i="15" s="1"/>
  <c r="CH970" i="15"/>
  <c r="CG970" i="15"/>
  <c r="CI970" i="15" s="1"/>
  <c r="CC971" i="15"/>
  <c r="CB971" i="15"/>
  <c r="CD971" i="15" s="1"/>
  <c r="CC972" i="15" l="1"/>
  <c r="CB972" i="15"/>
  <c r="CD972" i="15" s="1"/>
  <c r="CL970" i="15"/>
  <c r="CK970" i="15"/>
  <c r="CM970" i="15" s="1"/>
  <c r="CH971" i="15"/>
  <c r="CG971" i="15"/>
  <c r="CI971" i="15" s="1"/>
  <c r="CH972" i="15" l="1"/>
  <c r="CG972" i="15"/>
  <c r="CI972" i="15" s="1"/>
  <c r="CC973" i="15"/>
  <c r="CB973" i="15"/>
  <c r="CD973" i="15" s="1"/>
  <c r="CL971" i="15"/>
  <c r="CK971" i="15"/>
  <c r="CM971" i="15" s="1"/>
  <c r="CL972" i="15" l="1"/>
  <c r="CK972" i="15"/>
  <c r="CM972" i="15" s="1"/>
  <c r="CH973" i="15"/>
  <c r="CG973" i="15"/>
  <c r="CI973" i="15" s="1"/>
  <c r="CC974" i="15"/>
  <c r="CB974" i="15"/>
  <c r="CD974" i="15" s="1"/>
  <c r="CC975" i="15" l="1"/>
  <c r="CB975" i="15"/>
  <c r="CD975" i="15" s="1"/>
  <c r="CL973" i="15"/>
  <c r="CK973" i="15"/>
  <c r="CM973" i="15" s="1"/>
  <c r="CH974" i="15"/>
  <c r="CG974" i="15"/>
  <c r="CI974" i="15" s="1"/>
  <c r="CH975" i="15" l="1"/>
  <c r="CG975" i="15"/>
  <c r="CI975" i="15" s="1"/>
  <c r="CC976" i="15"/>
  <c r="CB976" i="15"/>
  <c r="CD976" i="15" s="1"/>
  <c r="CL974" i="15"/>
  <c r="CK974" i="15"/>
  <c r="CM974" i="15" s="1"/>
  <c r="CL975" i="15" l="1"/>
  <c r="CK975" i="15"/>
  <c r="CM975" i="15" s="1"/>
  <c r="CH976" i="15"/>
  <c r="CG976" i="15"/>
  <c r="CI976" i="15" s="1"/>
  <c r="CC977" i="15"/>
  <c r="CB977" i="15"/>
  <c r="CD977" i="15" s="1"/>
  <c r="CC978" i="15" l="1"/>
  <c r="CB978" i="15"/>
  <c r="CD978" i="15" s="1"/>
  <c r="CL976" i="15"/>
  <c r="CK976" i="15"/>
  <c r="CM976" i="15" s="1"/>
  <c r="CH977" i="15"/>
  <c r="CG977" i="15"/>
  <c r="CI977" i="15" s="1"/>
  <c r="CH978" i="15" l="1"/>
  <c r="CG978" i="15"/>
  <c r="CI978" i="15" s="1"/>
  <c r="CC979" i="15"/>
  <c r="CB979" i="15"/>
  <c r="CD979" i="15" s="1"/>
  <c r="CL977" i="15"/>
  <c r="CK977" i="15"/>
  <c r="CM977" i="15" s="1"/>
  <c r="CL978" i="15" l="1"/>
  <c r="CK978" i="15"/>
  <c r="CM978" i="15" s="1"/>
  <c r="CH979" i="15"/>
  <c r="CG979" i="15"/>
  <c r="CI979" i="15" s="1"/>
  <c r="CC980" i="15"/>
  <c r="CB980" i="15"/>
  <c r="CD980" i="15" s="1"/>
  <c r="CC981" i="15" l="1"/>
  <c r="CB981" i="15"/>
  <c r="CD981" i="15" s="1"/>
  <c r="CH980" i="15"/>
  <c r="CG980" i="15"/>
  <c r="CI980" i="15" s="1"/>
  <c r="CL979" i="15"/>
  <c r="CK979" i="15"/>
  <c r="CM979" i="15" s="1"/>
  <c r="CL980" i="15" l="1"/>
  <c r="CK980" i="15"/>
  <c r="CM980" i="15" s="1"/>
  <c r="CC982" i="15"/>
  <c r="CB982" i="15"/>
  <c r="CD982" i="15" s="1"/>
  <c r="CH981" i="15"/>
  <c r="CG981" i="15"/>
  <c r="CI981" i="15" s="1"/>
  <c r="CH982" i="15" l="1"/>
  <c r="CG982" i="15"/>
  <c r="CI982" i="15" s="1"/>
  <c r="CL981" i="15"/>
  <c r="CK981" i="15"/>
  <c r="CM981" i="15" s="1"/>
  <c r="CC983" i="15"/>
  <c r="CB983" i="15"/>
  <c r="CD983" i="15" s="1"/>
  <c r="CC984" i="15" l="1"/>
  <c r="CB984" i="15"/>
  <c r="CD984" i="15" s="1"/>
  <c r="CH983" i="15"/>
  <c r="CG983" i="15"/>
  <c r="CI983" i="15" s="1"/>
  <c r="CL982" i="15"/>
  <c r="CK982" i="15"/>
  <c r="CM982" i="15" s="1"/>
  <c r="CL983" i="15" l="1"/>
  <c r="CK983" i="15"/>
  <c r="CM983" i="15" s="1"/>
  <c r="CC985" i="15"/>
  <c r="CB985" i="15"/>
  <c r="CD985" i="15" s="1"/>
  <c r="CH984" i="15"/>
  <c r="CG984" i="15"/>
  <c r="CI984" i="15" s="1"/>
  <c r="CH985" i="15" l="1"/>
  <c r="CG985" i="15"/>
  <c r="CI985" i="15" s="1"/>
  <c r="CL984" i="15"/>
  <c r="CK984" i="15"/>
  <c r="CM984" i="15" s="1"/>
  <c r="CC986" i="15"/>
  <c r="CB986" i="15"/>
  <c r="CD986" i="15" s="1"/>
  <c r="CC987" i="15" l="1"/>
  <c r="CB987" i="15"/>
  <c r="CD987" i="15" s="1"/>
  <c r="CH986" i="15"/>
  <c r="CG986" i="15"/>
  <c r="CI986" i="15" s="1"/>
  <c r="CL985" i="15"/>
  <c r="CK985" i="15"/>
  <c r="CM985" i="15" s="1"/>
  <c r="CL986" i="15" l="1"/>
  <c r="CK986" i="15"/>
  <c r="CM986" i="15" s="1"/>
  <c r="CC988" i="15"/>
  <c r="CB988" i="15"/>
  <c r="CD988" i="15" s="1"/>
  <c r="CH987" i="15"/>
  <c r="CG987" i="15"/>
  <c r="CI987" i="15" s="1"/>
  <c r="CH988" i="15" l="1"/>
  <c r="CG988" i="15"/>
  <c r="CI988" i="15" s="1"/>
  <c r="CL987" i="15"/>
  <c r="CK987" i="15"/>
  <c r="CM987" i="15" s="1"/>
  <c r="CC989" i="15"/>
  <c r="CB989" i="15"/>
  <c r="CD989" i="15" s="1"/>
  <c r="CC990" i="15" l="1"/>
  <c r="CB990" i="15"/>
  <c r="CD990" i="15" s="1"/>
  <c r="CH989" i="15"/>
  <c r="CG989" i="15"/>
  <c r="CI989" i="15" s="1"/>
  <c r="CL988" i="15"/>
  <c r="CK988" i="15"/>
  <c r="CM988" i="15" s="1"/>
  <c r="CL989" i="15" l="1"/>
  <c r="CK989" i="15"/>
  <c r="CM989" i="15" s="1"/>
  <c r="CC991" i="15"/>
  <c r="CB991" i="15"/>
  <c r="CD991" i="15" s="1"/>
  <c r="CH990" i="15"/>
  <c r="CG990" i="15"/>
  <c r="CI990" i="15" s="1"/>
  <c r="CH991" i="15" l="1"/>
  <c r="CG991" i="15"/>
  <c r="CI991" i="15" s="1"/>
  <c r="CL990" i="15"/>
  <c r="CK990" i="15"/>
  <c r="CM990" i="15" s="1"/>
  <c r="CC992" i="15"/>
  <c r="CB992" i="15"/>
  <c r="CD992" i="15" s="1"/>
  <c r="CC993" i="15" l="1"/>
  <c r="CB993" i="15"/>
  <c r="CD993" i="15" s="1"/>
  <c r="CH992" i="15"/>
  <c r="CG992" i="15"/>
  <c r="CI992" i="15" s="1"/>
  <c r="CL991" i="15"/>
  <c r="CK991" i="15"/>
  <c r="CM991" i="15" s="1"/>
  <c r="CL992" i="15" l="1"/>
  <c r="CK992" i="15"/>
  <c r="CM992" i="15" s="1"/>
  <c r="CC994" i="15"/>
  <c r="CB994" i="15"/>
  <c r="CD994" i="15" s="1"/>
  <c r="CH993" i="15"/>
  <c r="CG993" i="15"/>
  <c r="CI993" i="15" s="1"/>
  <c r="CH994" i="15" l="1"/>
  <c r="CG994" i="15"/>
  <c r="CI994" i="15" s="1"/>
  <c r="CL993" i="15"/>
  <c r="CK993" i="15"/>
  <c r="CM993" i="15" s="1"/>
  <c r="CC995" i="15"/>
  <c r="CB995" i="15"/>
  <c r="CD995" i="15" s="1"/>
  <c r="CC996" i="15" l="1"/>
  <c r="CB996" i="15"/>
  <c r="CD996" i="15" s="1"/>
  <c r="CH995" i="15"/>
  <c r="CG995" i="15"/>
  <c r="CI995" i="15" s="1"/>
  <c r="CL994" i="15"/>
  <c r="CK994" i="15"/>
  <c r="CM994" i="15" s="1"/>
  <c r="CL995" i="15" l="1"/>
  <c r="CK995" i="15"/>
  <c r="CM995" i="15" s="1"/>
  <c r="CC997" i="15"/>
  <c r="CB997" i="15"/>
  <c r="CD997" i="15" s="1"/>
  <c r="CH996" i="15"/>
  <c r="CG996" i="15"/>
  <c r="CI996" i="15" s="1"/>
  <c r="CH997" i="15" l="1"/>
  <c r="CG997" i="15"/>
  <c r="CI997" i="15" s="1"/>
  <c r="CL996" i="15"/>
  <c r="CK996" i="15"/>
  <c r="CM996" i="15" s="1"/>
  <c r="CC998" i="15"/>
  <c r="CB998" i="15"/>
  <c r="CD998" i="15" s="1"/>
  <c r="CC999" i="15" l="1"/>
  <c r="CB999" i="15"/>
  <c r="CD999" i="15" s="1"/>
  <c r="CH998" i="15"/>
  <c r="CG998" i="15"/>
  <c r="CI998" i="15" s="1"/>
  <c r="CL997" i="15"/>
  <c r="CK997" i="15"/>
  <c r="CM997" i="15" s="1"/>
  <c r="CL998" i="15" l="1"/>
  <c r="CK998" i="15"/>
  <c r="CM998" i="15" s="1"/>
  <c r="CC1000" i="15"/>
  <c r="CB1000" i="15"/>
  <c r="CD1000" i="15" s="1"/>
  <c r="CH999" i="15"/>
  <c r="CG999" i="15"/>
  <c r="CI999" i="15" s="1"/>
  <c r="CH1000" i="15" l="1"/>
  <c r="CG1000" i="15"/>
  <c r="CI1000" i="15" s="1"/>
  <c r="CL999" i="15"/>
  <c r="CK999" i="15"/>
  <c r="CM999" i="15" s="1"/>
  <c r="CC1001" i="15"/>
  <c r="CB1001" i="15"/>
  <c r="CD1001" i="15" s="1"/>
  <c r="CC1002" i="15" l="1"/>
  <c r="CB1002" i="15"/>
  <c r="CD1002" i="15" s="1"/>
  <c r="CH1001" i="15"/>
  <c r="CG1001" i="15"/>
  <c r="CI1001" i="15" s="1"/>
  <c r="CL1000" i="15"/>
  <c r="CK1000" i="15"/>
  <c r="CM1000" i="15" s="1"/>
  <c r="CL1001" i="15" l="1"/>
  <c r="CK1001" i="15"/>
  <c r="CM1001" i="15" s="1"/>
  <c r="CC1003" i="15"/>
  <c r="CB1003" i="15"/>
  <c r="CD1003" i="15" s="1"/>
  <c r="CH1002" i="15"/>
  <c r="CG1002" i="15"/>
  <c r="CI1002" i="15" s="1"/>
  <c r="CH1003" i="15" l="1"/>
  <c r="CG1003" i="15"/>
  <c r="CI1003" i="15" s="1"/>
  <c r="CL1002" i="15"/>
  <c r="CK1002" i="15"/>
  <c r="CM1002" i="15" s="1"/>
  <c r="CC1004" i="15"/>
  <c r="CB1004" i="15"/>
  <c r="CD1004" i="15" s="1"/>
  <c r="CC1005" i="15" l="1"/>
  <c r="CB1005" i="15"/>
  <c r="CD1005" i="15" s="1"/>
  <c r="CH1004" i="15"/>
  <c r="CG1004" i="15"/>
  <c r="CI1004" i="15" s="1"/>
  <c r="CL1003" i="15"/>
  <c r="CK1003" i="15"/>
  <c r="CM1003" i="15" s="1"/>
  <c r="CL1004" i="15" l="1"/>
  <c r="CK1004" i="15"/>
  <c r="CM1004" i="15" s="1"/>
  <c r="CC1006" i="15"/>
  <c r="CB1006" i="15"/>
  <c r="CD1006" i="15" s="1"/>
  <c r="CH1005" i="15"/>
  <c r="CG1005" i="15"/>
  <c r="CI1005" i="15" s="1"/>
  <c r="CH1006" i="15" l="1"/>
  <c r="CG1006" i="15"/>
  <c r="CI1006" i="15" s="1"/>
  <c r="CL1005" i="15"/>
  <c r="CK1005" i="15"/>
  <c r="CM1005" i="15" s="1"/>
  <c r="CC1007" i="15"/>
  <c r="CB1007" i="15"/>
  <c r="CD1007" i="15" s="1"/>
  <c r="CC1008" i="15" l="1"/>
  <c r="CB1008" i="15"/>
  <c r="CD1008" i="15" s="1"/>
  <c r="CH1007" i="15"/>
  <c r="CG1007" i="15"/>
  <c r="CI1007" i="15" s="1"/>
  <c r="CL1006" i="15"/>
  <c r="CK1006" i="15"/>
  <c r="CM1006" i="15" s="1"/>
  <c r="CL1007" i="15" l="1"/>
  <c r="CK1007" i="15"/>
  <c r="CM1007" i="15" s="1"/>
  <c r="CC1009" i="15"/>
  <c r="CB1009" i="15"/>
  <c r="CD1009" i="15" s="1"/>
  <c r="CH1008" i="15"/>
  <c r="CG1008" i="15"/>
  <c r="CI1008" i="15" s="1"/>
  <c r="CH1009" i="15" l="1"/>
  <c r="CG1009" i="15"/>
  <c r="CI1009" i="15" s="1"/>
  <c r="CL1008" i="15"/>
  <c r="CK1008" i="15"/>
  <c r="CM1008" i="15" s="1"/>
  <c r="CC1010" i="15"/>
  <c r="CB1010" i="15"/>
  <c r="CD1010" i="15" s="1"/>
  <c r="CC1011" i="15" l="1"/>
  <c r="CB1011" i="15"/>
  <c r="CD1011" i="15" s="1"/>
  <c r="CH1010" i="15"/>
  <c r="CG1010" i="15"/>
  <c r="CI1010" i="15" s="1"/>
  <c r="CL1009" i="15"/>
  <c r="CK1009" i="15"/>
  <c r="CM1009" i="15" s="1"/>
  <c r="CL1010" i="15" l="1"/>
  <c r="CK1010" i="15"/>
  <c r="CM1010" i="15" s="1"/>
  <c r="CC1012" i="15"/>
  <c r="CB1012" i="15"/>
  <c r="CD1012" i="15" s="1"/>
  <c r="CH1011" i="15"/>
  <c r="CG1011" i="15"/>
  <c r="CI1011" i="15" s="1"/>
  <c r="CH1012" i="15" l="1"/>
  <c r="CG1012" i="15"/>
  <c r="CI1012" i="15" s="1"/>
  <c r="CL1011" i="15"/>
  <c r="CK1011" i="15"/>
  <c r="CM1011" i="15" s="1"/>
  <c r="CC1013" i="15"/>
  <c r="CB1013" i="15"/>
  <c r="CD1013" i="15" s="1"/>
  <c r="CC1014" i="15" l="1"/>
  <c r="CB1014" i="15"/>
  <c r="CD1014" i="15" s="1"/>
  <c r="CH1013" i="15"/>
  <c r="CG1013" i="15"/>
  <c r="CI1013" i="15" s="1"/>
  <c r="CL1012" i="15"/>
  <c r="CK1012" i="15"/>
  <c r="CM1012" i="15" s="1"/>
  <c r="CL1013" i="15" l="1"/>
  <c r="CK1013" i="15"/>
  <c r="CM1013" i="15" s="1"/>
  <c r="CC1015" i="15"/>
  <c r="CB1015" i="15"/>
  <c r="CD1015" i="15" s="1"/>
  <c r="CH1014" i="15"/>
  <c r="CG1014" i="15"/>
  <c r="CI1014" i="15" s="1"/>
  <c r="CH1015" i="15" l="1"/>
  <c r="CG1015" i="15"/>
  <c r="CI1015" i="15" s="1"/>
  <c r="CL1014" i="15"/>
  <c r="CK1014" i="15"/>
  <c r="CM1014" i="15" s="1"/>
  <c r="CC1016" i="15"/>
  <c r="CB1016" i="15"/>
  <c r="CD1016" i="15" s="1"/>
  <c r="CC1017" i="15" l="1"/>
  <c r="CB1017" i="15"/>
  <c r="CD1017" i="15" s="1"/>
  <c r="CH1016" i="15"/>
  <c r="CG1016" i="15"/>
  <c r="CI1016" i="15" s="1"/>
  <c r="CL1015" i="15"/>
  <c r="CK1015" i="15"/>
  <c r="CM1015" i="15" s="1"/>
  <c r="CL1016" i="15" l="1"/>
  <c r="CK1016" i="15"/>
  <c r="CM1016" i="15" s="1"/>
  <c r="CC1018" i="15"/>
  <c r="CB1018" i="15"/>
  <c r="CD1018" i="15" s="1"/>
  <c r="CH1017" i="15"/>
  <c r="CG1017" i="15"/>
  <c r="CI1017" i="15" s="1"/>
  <c r="CH1018" i="15" l="1"/>
  <c r="CG1018" i="15"/>
  <c r="CI1018" i="15" s="1"/>
  <c r="CL1017" i="15"/>
  <c r="CK1017" i="15"/>
  <c r="CM1017" i="15" s="1"/>
  <c r="CC1019" i="15"/>
  <c r="CB1019" i="15"/>
  <c r="CD1019" i="15" s="1"/>
  <c r="CC1020" i="15" l="1"/>
  <c r="CB1020" i="15"/>
  <c r="CD1020" i="15" s="1"/>
  <c r="CH1019" i="15"/>
  <c r="CG1019" i="15"/>
  <c r="CI1019" i="15" s="1"/>
  <c r="CL1018" i="15"/>
  <c r="CK1018" i="15"/>
  <c r="CM1018" i="15" s="1"/>
  <c r="CL1019" i="15" l="1"/>
  <c r="CK1019" i="15"/>
  <c r="CM1019" i="15" s="1"/>
  <c r="CC1021" i="15"/>
  <c r="CB1021" i="15"/>
  <c r="CD1021" i="15" s="1"/>
  <c r="CH1020" i="15"/>
  <c r="CG1020" i="15"/>
  <c r="CI1020" i="15" s="1"/>
  <c r="CH1021" i="15" l="1"/>
  <c r="CG1021" i="15"/>
  <c r="CI1021" i="15" s="1"/>
  <c r="CL1020" i="15"/>
  <c r="CK1020" i="15"/>
  <c r="CM1020" i="15" s="1"/>
  <c r="CC1022" i="15"/>
  <c r="CB1022" i="15"/>
  <c r="CD1022" i="15" s="1"/>
  <c r="CC1023" i="15" l="1"/>
  <c r="CB1023" i="15"/>
  <c r="CD1023" i="15" s="1"/>
  <c r="CH1022" i="15"/>
  <c r="CG1022" i="15"/>
  <c r="CI1022" i="15" s="1"/>
  <c r="CL1021" i="15"/>
  <c r="CK1021" i="15"/>
  <c r="CM1021" i="15" s="1"/>
  <c r="CL1022" i="15" l="1"/>
  <c r="CK1022" i="15"/>
  <c r="CM1022" i="15" s="1"/>
  <c r="CC1024" i="15"/>
  <c r="CB1024" i="15"/>
  <c r="CD1024" i="15" s="1"/>
  <c r="CH1023" i="15"/>
  <c r="CG1023" i="15"/>
  <c r="CI1023" i="15" s="1"/>
  <c r="CH1024" i="15" l="1"/>
  <c r="CG1024" i="15"/>
  <c r="CI1024" i="15" s="1"/>
  <c r="CL1023" i="15"/>
  <c r="CK1023" i="15"/>
  <c r="CM1023" i="15" s="1"/>
  <c r="CC1025" i="15"/>
  <c r="CB1025" i="15"/>
  <c r="CD1025" i="15" s="1"/>
  <c r="CC1026" i="15" l="1"/>
  <c r="CB1026" i="15"/>
  <c r="CD1026" i="15" s="1"/>
  <c r="CH1025" i="15"/>
  <c r="CG1025" i="15"/>
  <c r="CI1025" i="15" s="1"/>
  <c r="CL1024" i="15"/>
  <c r="CK1024" i="15"/>
  <c r="CM1024" i="15" s="1"/>
  <c r="CL1025" i="15" l="1"/>
  <c r="CK1025" i="15"/>
  <c r="CM1025" i="15" s="1"/>
  <c r="CC1027" i="15"/>
  <c r="CB1027" i="15"/>
  <c r="CD1027" i="15" s="1"/>
  <c r="CH1026" i="15"/>
  <c r="CG1026" i="15"/>
  <c r="CI1026" i="15" s="1"/>
  <c r="CH1027" i="15" l="1"/>
  <c r="CG1027" i="15"/>
  <c r="CI1027" i="15" s="1"/>
  <c r="CL1026" i="15"/>
  <c r="CK1026" i="15"/>
  <c r="CM1026" i="15" s="1"/>
  <c r="CL1027" i="15" l="1"/>
  <c r="CK1027" i="15"/>
  <c r="CM1027" i="15" s="1"/>
</calcChain>
</file>

<file path=xl/sharedStrings.xml><?xml version="1.0" encoding="utf-8"?>
<sst xmlns="http://schemas.openxmlformats.org/spreadsheetml/2006/main" count="773" uniqueCount="570">
  <si>
    <t>Initial</t>
  </si>
  <si>
    <t>Coverage type</t>
  </si>
  <si>
    <t>Sum assured type</t>
  </si>
  <si>
    <t>Commission Sacrifice</t>
  </si>
  <si>
    <t>Currency</t>
  </si>
  <si>
    <t>Calculation output</t>
  </si>
  <si>
    <t>Premium Rounding</t>
  </si>
  <si>
    <t>Sum Assured Rounding</t>
  </si>
  <si>
    <t>Minimum Premium</t>
  </si>
  <si>
    <t>Andorra</t>
  </si>
  <si>
    <t>Male</t>
  </si>
  <si>
    <t>Life assurance</t>
  </si>
  <si>
    <t>Single</t>
  </si>
  <si>
    <t>Integrated basis</t>
  </si>
  <si>
    <t>No</t>
  </si>
  <si>
    <t>Premium</t>
  </si>
  <si>
    <t>Monthly</t>
  </si>
  <si>
    <t>Balanced</t>
  </si>
  <si>
    <t>Female</t>
  </si>
  <si>
    <t>Illness insurance</t>
  </si>
  <si>
    <t>Joint Life First Event</t>
  </si>
  <si>
    <t>Yes</t>
  </si>
  <si>
    <t>Sum Assured</t>
  </si>
  <si>
    <t>Quarterly</t>
  </si>
  <si>
    <t>Maximum</t>
  </si>
  <si>
    <t>Australia</t>
  </si>
  <si>
    <t>Combined insurance</t>
  </si>
  <si>
    <t>Joint Life Last Event</t>
  </si>
  <si>
    <t>None</t>
  </si>
  <si>
    <t>Austria</t>
  </si>
  <si>
    <t>Annually</t>
  </si>
  <si>
    <t>Bahrain</t>
  </si>
  <si>
    <t>Belgium</t>
  </si>
  <si>
    <t>Bermuda</t>
  </si>
  <si>
    <t>ALLOCATION RATES</t>
  </si>
  <si>
    <t>Botswana</t>
  </si>
  <si>
    <t>Full commission</t>
  </si>
  <si>
    <t>Nil commission</t>
  </si>
  <si>
    <t>Canada</t>
  </si>
  <si>
    <t>Rate used</t>
  </si>
  <si>
    <t>1. Fixed charge per policy</t>
  </si>
  <si>
    <t>China</t>
  </si>
  <si>
    <t>Amount</t>
  </si>
  <si>
    <t>2. Percentage of annual premium</t>
  </si>
  <si>
    <t>Cyprus</t>
  </si>
  <si>
    <t>Sacrifice</t>
  </si>
  <si>
    <t>Denmark</t>
  </si>
  <si>
    <t>3. Percentage of sum assured</t>
  </si>
  <si>
    <t>Egypt</t>
  </si>
  <si>
    <t>Finland</t>
  </si>
  <si>
    <t>France</t>
  </si>
  <si>
    <t>Line used</t>
  </si>
  <si>
    <t>Gambia</t>
  </si>
  <si>
    <t>Germany</t>
  </si>
  <si>
    <t>CHARGES</t>
  </si>
  <si>
    <t>Ghana</t>
  </si>
  <si>
    <t>Monthly fee</t>
  </si>
  <si>
    <t>Bid/offer spread</t>
  </si>
  <si>
    <t>Greece</t>
  </si>
  <si>
    <t>Greenland</t>
  </si>
  <si>
    <t>LOYALTY BONUS % OF FUNDS</t>
  </si>
  <si>
    <t>Term (years)</t>
  </si>
  <si>
    <t>Hong Kong</t>
  </si>
  <si>
    <t>Life 1</t>
  </si>
  <si>
    <t>Iceland</t>
  </si>
  <si>
    <t>Life 2</t>
  </si>
  <si>
    <t>Indonesia</t>
  </si>
  <si>
    <t>UNDERWRITING</t>
  </si>
  <si>
    <t>Age</t>
  </si>
  <si>
    <t>Flat Rate</t>
  </si>
  <si>
    <t>Percentage</t>
  </si>
  <si>
    <t>Waiver</t>
  </si>
  <si>
    <t>Max SA</t>
  </si>
  <si>
    <t>Max WOP</t>
  </si>
  <si>
    <t>Israel</t>
  </si>
  <si>
    <t>Italy</t>
  </si>
  <si>
    <t>Japan</t>
  </si>
  <si>
    <t>BENEFIT DESCRIPTION</t>
  </si>
  <si>
    <t>Jordan</t>
  </si>
  <si>
    <t>Benefit type</t>
  </si>
  <si>
    <t>Kenya</t>
  </si>
  <si>
    <t>Kuwait</t>
  </si>
  <si>
    <t>Lebanon</t>
  </si>
  <si>
    <t xml:space="preserve">Waiver of premium </t>
  </si>
  <si>
    <t>Lesotho</t>
  </si>
  <si>
    <t>CALCULATION DESCRIPTION</t>
  </si>
  <si>
    <t>Luxembourg</t>
  </si>
  <si>
    <t>(1 = premium, 2 = sum assured &amp; 3 = neither, i.e. both specified)</t>
  </si>
  <si>
    <t>Premium specified</t>
  </si>
  <si>
    <t>Madagascar</t>
  </si>
  <si>
    <t>Malawi</t>
  </si>
  <si>
    <t>Basis</t>
  </si>
  <si>
    <t>Malaysia</t>
  </si>
  <si>
    <t>Growth rate</t>
  </si>
  <si>
    <t>Mauritania</t>
  </si>
  <si>
    <t>Mauritius</t>
  </si>
  <si>
    <t>PROJECTION PARAMETERS</t>
  </si>
  <si>
    <t>Growth rate 1</t>
  </si>
  <si>
    <t>Mongolia</t>
  </si>
  <si>
    <t>Morocco</t>
  </si>
  <si>
    <t>Mozambique</t>
  </si>
  <si>
    <t>Netherlands</t>
  </si>
  <si>
    <t>New Zealand</t>
  </si>
  <si>
    <t>Nigeria</t>
  </si>
  <si>
    <t>Norway</t>
  </si>
  <si>
    <t>Oman</t>
  </si>
  <si>
    <t>Portugal</t>
  </si>
  <si>
    <t>Qatar</t>
  </si>
  <si>
    <t>Saudi Arabia</t>
  </si>
  <si>
    <t>Senegal</t>
  </si>
  <si>
    <t>Seychelles</t>
  </si>
  <si>
    <t>Singapore</t>
  </si>
  <si>
    <t>Slovenia</t>
  </si>
  <si>
    <t>South Africa</t>
  </si>
  <si>
    <t>Spain</t>
  </si>
  <si>
    <t>Swaziland</t>
  </si>
  <si>
    <t>Sweden</t>
  </si>
  <si>
    <t>Switzerland</t>
  </si>
  <si>
    <t>Thailand</t>
  </si>
  <si>
    <t>Tunisia</t>
  </si>
  <si>
    <t>Turkey</t>
  </si>
  <si>
    <t>Turkmenistan</t>
  </si>
  <si>
    <t>Uganda</t>
  </si>
  <si>
    <t>Ukraine</t>
  </si>
  <si>
    <t>Uzbekistan</t>
  </si>
  <si>
    <t>Vietnam</t>
  </si>
  <si>
    <t>Zambia</t>
  </si>
  <si>
    <t>Zimbabwe</t>
  </si>
  <si>
    <t>Annual Risk Premium Rates ‰ : Mortality</t>
  </si>
  <si>
    <t>Annual Risk Premium Rates ‰ : Stand Alone Critical Illness with "Own Occupation" PTD</t>
  </si>
  <si>
    <t>Annual Risk Premium Rates ‰ : Accelerated Critical Illness with "Own Occupation" PTD</t>
  </si>
  <si>
    <t>Annual Risk Premium Rates Per 100 Per Annum of Contribution Waiver of Premium</t>
  </si>
  <si>
    <t>Benefit : Payable to Age 65</t>
  </si>
  <si>
    <t>Lives</t>
  </si>
  <si>
    <t>(non-</t>
  </si>
  <si>
    <t>(smokers)</t>
  </si>
  <si>
    <t>Next</t>
  </si>
  <si>
    <t>smokers)</t>
  </si>
  <si>
    <t>Time</t>
  </si>
  <si>
    <t>Age 1</t>
  </si>
  <si>
    <t>Adjusted</t>
  </si>
  <si>
    <t>Table Adj</t>
  </si>
  <si>
    <t>Flat Adj</t>
  </si>
  <si>
    <t>Dedn Rate 1</t>
  </si>
  <si>
    <t>Age 2</t>
  </si>
  <si>
    <t>Dedn Rate 2</t>
  </si>
  <si>
    <t>Deduction Rate</t>
  </si>
  <si>
    <t>Waiver Adj</t>
  </si>
  <si>
    <t>vx</t>
  </si>
  <si>
    <t>tpx</t>
  </si>
  <si>
    <t>tpx * vx</t>
  </si>
  <si>
    <t>Annuity</t>
  </si>
  <si>
    <t>tpx - tpx+1</t>
  </si>
  <si>
    <t>vx*(tpx - tpx+1)</t>
  </si>
  <si>
    <t>Term</t>
  </si>
  <si>
    <t>Growth</t>
  </si>
  <si>
    <t>Sum</t>
  </si>
  <si>
    <t>Allocation</t>
  </si>
  <si>
    <t>Residual</t>
  </si>
  <si>
    <t>Negative</t>
  </si>
  <si>
    <t>Positive</t>
  </si>
  <si>
    <t>Interpolation Limits</t>
  </si>
  <si>
    <t>Assured</t>
  </si>
  <si>
    <t>Rate</t>
  </si>
  <si>
    <t>Debt</t>
  </si>
  <si>
    <t>Value</t>
  </si>
  <si>
    <t>Values</t>
  </si>
  <si>
    <t>Guess 1</t>
  </si>
  <si>
    <t>Guess 2</t>
  </si>
  <si>
    <t>Guess 3</t>
  </si>
  <si>
    <t>Guess 4</t>
  </si>
  <si>
    <t>Guess 5</t>
  </si>
  <si>
    <t>Guess 6</t>
  </si>
  <si>
    <t>Guess 7</t>
  </si>
  <si>
    <t>Guess 8</t>
  </si>
  <si>
    <t>Guess 9</t>
  </si>
  <si>
    <t>Guess 10</t>
  </si>
  <si>
    <t>Result</t>
  </si>
  <si>
    <t xml:space="preserve">Testing level of </t>
  </si>
  <si>
    <t>Allocated</t>
  </si>
  <si>
    <t>Deductions</t>
  </si>
  <si>
    <t>Fund End</t>
  </si>
  <si>
    <t>Total</t>
  </si>
  <si>
    <t>Calculation type</t>
  </si>
  <si>
    <t>Fund Start</t>
  </si>
  <si>
    <t>Premiums</t>
  </si>
  <si>
    <t>Annuity factor</t>
  </si>
  <si>
    <t>Assurance factor</t>
  </si>
  <si>
    <t>First estimates</t>
  </si>
  <si>
    <t>Sum assured</t>
  </si>
  <si>
    <t>Size of initial debt</t>
  </si>
  <si>
    <t>Start estimates</t>
  </si>
  <si>
    <t>annual prem</t>
  </si>
  <si>
    <t>Amount of initial fee</t>
  </si>
  <si>
    <t>Check minimum SA</t>
  </si>
  <si>
    <t>Year</t>
  </si>
  <si>
    <t>Projection term</t>
  </si>
  <si>
    <t>Message required</t>
  </si>
  <si>
    <t>Message type</t>
  </si>
  <si>
    <t>Output message</t>
  </si>
  <si>
    <t>The premium has been set to the minimum level allowed.</t>
  </si>
  <si>
    <t>The premium has been set to the minimum level that will support the sum assured.</t>
  </si>
  <si>
    <t>Waiver of Premium</t>
  </si>
  <si>
    <t>Annual prem =</t>
  </si>
  <si>
    <t>debt as % SA :</t>
  </si>
  <si>
    <t>Azerbaijan</t>
  </si>
  <si>
    <t>Bahamas</t>
  </si>
  <si>
    <t>Bangladesh</t>
  </si>
  <si>
    <t>Barbados</t>
  </si>
  <si>
    <t>Bulgaria</t>
  </si>
  <si>
    <t>Cambodia</t>
  </si>
  <si>
    <t>Cayman Islands</t>
  </si>
  <si>
    <t>Cook Islands</t>
  </si>
  <si>
    <t>Croatia</t>
  </si>
  <si>
    <t>Czech Republic</t>
  </si>
  <si>
    <t>Estonia</t>
  </si>
  <si>
    <t>Fiji</t>
  </si>
  <si>
    <t>Grenada</t>
  </si>
  <si>
    <t>Guadeloupe</t>
  </si>
  <si>
    <t>Hungary</t>
  </si>
  <si>
    <t>India</t>
  </si>
  <si>
    <t>Jamaica</t>
  </si>
  <si>
    <t>Kiribati</t>
  </si>
  <si>
    <t>Latvia</t>
  </si>
  <si>
    <t>Liechtenstein</t>
  </si>
  <si>
    <t>Lithuania</t>
  </si>
  <si>
    <t>Maldives</t>
  </si>
  <si>
    <t>Nepal</t>
  </si>
  <si>
    <t>Pakistan</t>
  </si>
  <si>
    <t>Philippines</t>
  </si>
  <si>
    <t>Poland</t>
  </si>
  <si>
    <t>Romania</t>
  </si>
  <si>
    <t>Slovakia</t>
  </si>
  <si>
    <t>Solomon Islands</t>
  </si>
  <si>
    <t>Sri Lanka</t>
  </si>
  <si>
    <t>Tonga</t>
  </si>
  <si>
    <t>Tuvalu</t>
  </si>
  <si>
    <t>United Arab Emirates</t>
  </si>
  <si>
    <t>Test 1</t>
  </si>
  <si>
    <t>Test 2</t>
  </si>
  <si>
    <t>Result Validation</t>
  </si>
  <si>
    <t>Nil Residual</t>
  </si>
  <si>
    <t>Rounded Solution</t>
  </si>
  <si>
    <t>Unsolvable</t>
  </si>
  <si>
    <t>Christmas Island</t>
  </si>
  <si>
    <t>Faroe Islands</t>
  </si>
  <si>
    <t>French Polynesia</t>
  </si>
  <si>
    <t>Malta</t>
  </si>
  <si>
    <t>Guess 11</t>
  </si>
  <si>
    <t>Guess 12</t>
  </si>
  <si>
    <t>Guess 13</t>
  </si>
  <si>
    <t>Guess 14</t>
  </si>
  <si>
    <t>Guess 15</t>
  </si>
  <si>
    <t>Guess 16</t>
  </si>
  <si>
    <t>Guess 17</t>
  </si>
  <si>
    <t>Guess 18</t>
  </si>
  <si>
    <t>Guess 19</t>
  </si>
  <si>
    <t>Guess 20</t>
  </si>
  <si>
    <t>New business</t>
  </si>
  <si>
    <t>Plan review</t>
  </si>
  <si>
    <t>Period through plan</t>
  </si>
  <si>
    <t>Length of debt</t>
  </si>
  <si>
    <t>2nd annuity factor</t>
  </si>
  <si>
    <t>Discount</t>
  </si>
  <si>
    <t>PV deductions</t>
  </si>
  <si>
    <t>Deduction factor</t>
  </si>
  <si>
    <t>Prem annuity factor</t>
  </si>
  <si>
    <t>Life1</t>
  </si>
  <si>
    <t>Life2</t>
  </si>
  <si>
    <t>AdjLife1</t>
  </si>
  <si>
    <t>AdjLife2</t>
  </si>
  <si>
    <t>Life 1 age NB at entry</t>
  </si>
  <si>
    <t>Life 1 sex</t>
  </si>
  <si>
    <t>Life 1 smoker</t>
  </si>
  <si>
    <t>M</t>
  </si>
  <si>
    <t>Sex (1=M, 2=F)</t>
  </si>
  <si>
    <t>Smoker (1=F, 2=T)</t>
  </si>
  <si>
    <t>F</t>
  </si>
  <si>
    <t>Life 1 country</t>
  </si>
  <si>
    <t>Age NB</t>
  </si>
  <si>
    <t>Country (Index)</t>
  </si>
  <si>
    <t>Life 2 age NB at entry</t>
  </si>
  <si>
    <t>Life 2 sex</t>
  </si>
  <si>
    <t>Life 2 smoker</t>
  </si>
  <si>
    <t>Life 2 country</t>
  </si>
  <si>
    <t>Effective Age</t>
  </si>
  <si>
    <t>Life 1 add % load</t>
  </si>
  <si>
    <t>Life 1 add YTA</t>
  </si>
  <si>
    <t>Life 2 add YTA</t>
  </si>
  <si>
    <t>Life 2 add % load</t>
  </si>
  <si>
    <t>WOP % load</t>
  </si>
  <si>
    <t>Life 1 add flat rate</t>
  </si>
  <si>
    <t>Life 2 add flat rate</t>
  </si>
  <si>
    <t>Benefit Type</t>
  </si>
  <si>
    <t>Trigger Event</t>
  </si>
  <si>
    <t>Sum Assured Basis</t>
  </si>
  <si>
    <t>Calculation Basis</t>
  </si>
  <si>
    <t>Growth Rate</t>
  </si>
  <si>
    <t>Business Type</t>
  </si>
  <si>
    <t>Version</t>
  </si>
  <si>
    <t>Currency Rate</t>
  </si>
  <si>
    <t>Frequency</t>
  </si>
  <si>
    <t>Target</t>
  </si>
  <si>
    <t>GBP</t>
  </si>
  <si>
    <t>USD</t>
  </si>
  <si>
    <t>HKD</t>
  </si>
  <si>
    <t>EUR</t>
  </si>
  <si>
    <t>Minimum Premiums</t>
  </si>
  <si>
    <t>Roundings</t>
  </si>
  <si>
    <t>Bi-annually</t>
  </si>
  <si>
    <t>£ p.m.</t>
  </si>
  <si>
    <t>Premium Band</t>
  </si>
  <si>
    <t>plan curr p.m.</t>
  </si>
  <si>
    <t>INITIAL PERIOD CHARGES</t>
  </si>
  <si>
    <t>plan curr</t>
  </si>
  <si>
    <t>Sum Assured Band</t>
  </si>
  <si>
    <t>Age Band</t>
  </si>
  <si>
    <t>Loyalty bonus</t>
  </si>
  <si>
    <t>&lt;-- no option to rebate renewal commission yet</t>
  </si>
  <si>
    <t>Period Through Plan</t>
  </si>
  <si>
    <t>Second Iteration</t>
  </si>
  <si>
    <t>Premium Freq</t>
  </si>
  <si>
    <t>Premium Index</t>
  </si>
  <si>
    <t>Sum ass. specified</t>
  </si>
  <si>
    <t>Minimum Sum Ass.</t>
  </si>
  <si>
    <t>MINIMUM</t>
  </si>
  <si>
    <t>Calculation Date</t>
  </si>
  <si>
    <t>Calc term (months)</t>
  </si>
  <si>
    <t>Current Fund Value</t>
  </si>
  <si>
    <t>Current Premium</t>
  </si>
  <si>
    <t>Current Sum Assured</t>
  </si>
  <si>
    <t>Commencement Date</t>
  </si>
  <si>
    <t>Plan Number</t>
  </si>
  <si>
    <t>Lookups</t>
  </si>
  <si>
    <t>Benefit</t>
  </si>
  <si>
    <t>Sum Ass Basis</t>
  </si>
  <si>
    <t>YN</t>
  </si>
  <si>
    <t>Calc Type</t>
  </si>
  <si>
    <t>Bus Type</t>
  </si>
  <si>
    <t>Sum Ass</t>
  </si>
  <si>
    <t>Validation</t>
  </si>
  <si>
    <t>Contributions</t>
  </si>
  <si>
    <t>Do not use!</t>
  </si>
  <si>
    <t>Review functionality not included in CALC sheet yet</t>
  </si>
  <si>
    <t>SV</t>
  </si>
  <si>
    <t>Int Fund Charge for HK output</t>
  </si>
  <si>
    <t>Int Fund Chg</t>
  </si>
  <si>
    <t>Balanced Growth Rate</t>
  </si>
  <si>
    <t>FM</t>
  </si>
  <si>
    <t>FH</t>
  </si>
  <si>
    <t>FQ</t>
  </si>
  <si>
    <t>FA</t>
  </si>
  <si>
    <t>CHF</t>
  </si>
  <si>
    <t>Minimum SA</t>
  </si>
  <si>
    <t>Location</t>
  </si>
  <si>
    <t>&lt;---- 1 = Broker, 2 = Salesteam 3 = Sales Support, 4 = Actuarial</t>
  </si>
  <si>
    <t>1=Std, 2=Ext</t>
  </si>
  <si>
    <t>AZ</t>
  </si>
  <si>
    <t>AT</t>
  </si>
  <si>
    <t>AU</t>
  </si>
  <si>
    <t>Plan Curr</t>
  </si>
  <si>
    <t>ISO</t>
  </si>
  <si>
    <t>Name</t>
  </si>
  <si>
    <t>YTA Loading</t>
  </si>
  <si>
    <t>per mille loading</t>
  </si>
  <si>
    <t>Life Cover</t>
  </si>
  <si>
    <t>Ilness Cover</t>
  </si>
  <si>
    <t>Combined Cover</t>
  </si>
  <si>
    <t>Life Cover Ext</t>
  </si>
  <si>
    <t>Illness Cover Ext</t>
  </si>
  <si>
    <t>Combined Cover Ext</t>
  </si>
  <si>
    <t>WOP</t>
  </si>
  <si>
    <t>WOP Ext</t>
  </si>
  <si>
    <t>AD</t>
  </si>
  <si>
    <t>AG</t>
  </si>
  <si>
    <t>Antigua And Barbuda</t>
  </si>
  <si>
    <t>AR</t>
  </si>
  <si>
    <t>Argentina</t>
  </si>
  <si>
    <t>BS</t>
  </si>
  <si>
    <t>BH</t>
  </si>
  <si>
    <t>BD</t>
  </si>
  <si>
    <t>BB</t>
  </si>
  <si>
    <t>BY</t>
  </si>
  <si>
    <t>Belarus</t>
  </si>
  <si>
    <t>BE</t>
  </si>
  <si>
    <t>BZ</t>
  </si>
  <si>
    <t>Belize</t>
  </si>
  <si>
    <t>BM</t>
  </si>
  <si>
    <t>BO</t>
  </si>
  <si>
    <t>Bolivia</t>
  </si>
  <si>
    <t>BA</t>
  </si>
  <si>
    <t>Bosnia And Herzegovina</t>
  </si>
  <si>
    <t>BW</t>
  </si>
  <si>
    <t>BR</t>
  </si>
  <si>
    <t>Brazil</t>
  </si>
  <si>
    <t>BN</t>
  </si>
  <si>
    <t>Brunei Darussalam</t>
  </si>
  <si>
    <t>BG</t>
  </si>
  <si>
    <t>KH</t>
  </si>
  <si>
    <t>CA</t>
  </si>
  <si>
    <t>KY</t>
  </si>
  <si>
    <t>CL</t>
  </si>
  <si>
    <t>Chile</t>
  </si>
  <si>
    <t>CN</t>
  </si>
  <si>
    <t>CX</t>
  </si>
  <si>
    <t>CC</t>
  </si>
  <si>
    <t>Cocos (Keeling) Islands</t>
  </si>
  <si>
    <t>CK</t>
  </si>
  <si>
    <t>CR</t>
  </si>
  <si>
    <t>Costa Rica</t>
  </si>
  <si>
    <t>CI</t>
  </si>
  <si>
    <t>Cote D'ivoire</t>
  </si>
  <si>
    <t>HR</t>
  </si>
  <si>
    <t>CY</t>
  </si>
  <si>
    <t>CZ</t>
  </si>
  <si>
    <t>DK</t>
  </si>
  <si>
    <t>DO</t>
  </si>
  <si>
    <t>Dominican Republic</t>
  </si>
  <si>
    <t>EC</t>
  </si>
  <si>
    <t>Ecuador</t>
  </si>
  <si>
    <t>EG</t>
  </si>
  <si>
    <t>EE</t>
  </si>
  <si>
    <t>FK</t>
  </si>
  <si>
    <t>Falkland Islands (Malvinas)</t>
  </si>
  <si>
    <t>FO</t>
  </si>
  <si>
    <t>FJ</t>
  </si>
  <si>
    <t>FI</t>
  </si>
  <si>
    <t>FR</t>
  </si>
  <si>
    <t>GF</t>
  </si>
  <si>
    <t>French Guiana</t>
  </si>
  <si>
    <t>PF</t>
  </si>
  <si>
    <t>GM</t>
  </si>
  <si>
    <t>DE</t>
  </si>
  <si>
    <t>GH</t>
  </si>
  <si>
    <t>GI</t>
  </si>
  <si>
    <t>Gibraltar</t>
  </si>
  <si>
    <t>GR</t>
  </si>
  <si>
    <t>GL</t>
  </si>
  <si>
    <t>GD</t>
  </si>
  <si>
    <t>GP</t>
  </si>
  <si>
    <t>GT</t>
  </si>
  <si>
    <t>Guatemala</t>
  </si>
  <si>
    <t>GY</t>
  </si>
  <si>
    <t>Guyana</t>
  </si>
  <si>
    <t>HN</t>
  </si>
  <si>
    <t>Honduras</t>
  </si>
  <si>
    <t>HK</t>
  </si>
  <si>
    <t>HU</t>
  </si>
  <si>
    <t>IS</t>
  </si>
  <si>
    <t>IN</t>
  </si>
  <si>
    <t>ID</t>
  </si>
  <si>
    <t>IR</t>
  </si>
  <si>
    <t>Iran, Islamic Republic Of</t>
  </si>
  <si>
    <t>IE</t>
  </si>
  <si>
    <t>Ireland</t>
  </si>
  <si>
    <t>IL</t>
  </si>
  <si>
    <t>IT</t>
  </si>
  <si>
    <t>JM</t>
  </si>
  <si>
    <t>JP</t>
  </si>
  <si>
    <t>JO</t>
  </si>
  <si>
    <t>KE</t>
  </si>
  <si>
    <t>KI</t>
  </si>
  <si>
    <t>KW</t>
  </si>
  <si>
    <t>LV</t>
  </si>
  <si>
    <t>LB</t>
  </si>
  <si>
    <t>LS</t>
  </si>
  <si>
    <t>LI</t>
  </si>
  <si>
    <t>LT</t>
  </si>
  <si>
    <t>LU</t>
  </si>
  <si>
    <t>MO</t>
  </si>
  <si>
    <t>Macau</t>
  </si>
  <si>
    <t>MG</t>
  </si>
  <si>
    <t>MW</t>
  </si>
  <si>
    <t>MY</t>
  </si>
  <si>
    <t>MV</t>
  </si>
  <si>
    <t>MT</t>
  </si>
  <si>
    <t>MR</t>
  </si>
  <si>
    <t>MU</t>
  </si>
  <si>
    <t>MX</t>
  </si>
  <si>
    <t>Mexico</t>
  </si>
  <si>
    <t>Micronesia, Federated States Of</t>
  </si>
  <si>
    <t>MD</t>
  </si>
  <si>
    <t>Moldova, Republic Of</t>
  </si>
  <si>
    <t>MN</t>
  </si>
  <si>
    <t>MA</t>
  </si>
  <si>
    <t>MZ</t>
  </si>
  <si>
    <t>NA</t>
  </si>
  <si>
    <t>Namibia</t>
  </si>
  <si>
    <t>NR</t>
  </si>
  <si>
    <t>Nauru</t>
  </si>
  <si>
    <t>NP</t>
  </si>
  <si>
    <t>NL</t>
  </si>
  <si>
    <t>NZ</t>
  </si>
  <si>
    <t>NG</t>
  </si>
  <si>
    <t>NO</t>
  </si>
  <si>
    <t>OM</t>
  </si>
  <si>
    <t>PK</t>
  </si>
  <si>
    <t>PA</t>
  </si>
  <si>
    <t>Panama</t>
  </si>
  <si>
    <t>PY</t>
  </si>
  <si>
    <t>Paraguay</t>
  </si>
  <si>
    <t>PH</t>
  </si>
  <si>
    <t>PL</t>
  </si>
  <si>
    <t>PT</t>
  </si>
  <si>
    <t>QA</t>
  </si>
  <si>
    <t>RO</t>
  </si>
  <si>
    <t>RU</t>
  </si>
  <si>
    <t>Russian Federation</t>
  </si>
  <si>
    <t>KN</t>
  </si>
  <si>
    <t>Saint Kitts And Nevis</t>
  </si>
  <si>
    <t>LC</t>
  </si>
  <si>
    <t>Saint Lucia</t>
  </si>
  <si>
    <t>VC</t>
  </si>
  <si>
    <t>Saint Vincent And The Grenadines</t>
  </si>
  <si>
    <t>SA</t>
  </si>
  <si>
    <t>SN</t>
  </si>
  <si>
    <t>SC</t>
  </si>
  <si>
    <t>SG</t>
  </si>
  <si>
    <t>SK</t>
  </si>
  <si>
    <t>SI</t>
  </si>
  <si>
    <t>SB</t>
  </si>
  <si>
    <t>ZA</t>
  </si>
  <si>
    <t>ES</t>
  </si>
  <si>
    <t>LK</t>
  </si>
  <si>
    <t>SZ</t>
  </si>
  <si>
    <t>SE</t>
  </si>
  <si>
    <t>CH</t>
  </si>
  <si>
    <t>TW</t>
  </si>
  <si>
    <t>Taiwan, Province Of China</t>
  </si>
  <si>
    <t>TZ</t>
  </si>
  <si>
    <t>Tanzania, United Republic Of</t>
  </si>
  <si>
    <t>TH</t>
  </si>
  <si>
    <t>TO</t>
  </si>
  <si>
    <t>TT</t>
  </si>
  <si>
    <t>Trinidad And Tobago</t>
  </si>
  <si>
    <t>TN</t>
  </si>
  <si>
    <t>TR</t>
  </si>
  <si>
    <t>TM</t>
  </si>
  <si>
    <t>TV</t>
  </si>
  <si>
    <t>UG</t>
  </si>
  <si>
    <t>UA</t>
  </si>
  <si>
    <t>AE</t>
  </si>
  <si>
    <t>UY</t>
  </si>
  <si>
    <t>Uruguay</t>
  </si>
  <si>
    <t>UZ</t>
  </si>
  <si>
    <t>VE</t>
  </si>
  <si>
    <t>Venezuela</t>
  </si>
  <si>
    <t>VN</t>
  </si>
  <si>
    <t>VG</t>
  </si>
  <si>
    <t>Virgin Islands, British</t>
  </si>
  <si>
    <t>ZM</t>
  </si>
  <si>
    <t>ZW</t>
  </si>
  <si>
    <t>The sum assured calculated is below the minimum level, do you want to recalculate the premium?</t>
  </si>
  <si>
    <t>The sum assured calculated is above the maximum level allowed, please refer to Friends Provident.</t>
  </si>
  <si>
    <t>The premium calculated is above the maximum waiver of premium cover per annum.</t>
  </si>
  <si>
    <t>KR</t>
  </si>
  <si>
    <t>Korea, South</t>
  </si>
  <si>
    <t>VU</t>
  </si>
  <si>
    <t>Vanuatu</t>
  </si>
  <si>
    <t>WS</t>
  </si>
  <si>
    <t>Samoa</t>
  </si>
  <si>
    <t>SY</t>
  </si>
  <si>
    <t>Syria</t>
  </si>
  <si>
    <t>MK</t>
  </si>
  <si>
    <t>Macedonia, FYR</t>
  </si>
  <si>
    <t>YE</t>
  </si>
  <si>
    <t>Yemen</t>
  </si>
  <si>
    <t>1.0.13</t>
  </si>
  <si>
    <t>Fixes put in place for errors when loadings are applied</t>
  </si>
  <si>
    <t>Validated Prem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</si>
</sst>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5" formatCode="&quot;£&quot;#,##0;[Red]\-&quot;£&quot;#,##0"/>
    <numFmt numFmtId="171" formatCode="_-* #,##0.00_-;\-* #,##0.00_-;_-* &quot;-&quot;??_-;_-@_-"/>
    <numFmt numFmtId="172" formatCode="&quot;£&quot;#,##0_);[Red]\(&quot;£&quot;#,##0\)"/>
    <numFmt numFmtId="173" formatCode="0.000000"/>
    <numFmt numFmtId="174" formatCode="0.00_)"/>
    <numFmt numFmtId="175" formatCode="0.00000"/>
    <numFmt numFmtId="176" formatCode="0.0000000"/>
    <numFmt numFmtId="177" formatCode="0.00000000"/>
    <numFmt numFmtId="178" formatCode="0.0%"/>
    <numFmt numFmtId="179" formatCode="&quot;£&quot;#,##0"/>
    <numFmt numFmtId="180" formatCode="0.000%"/>
    <numFmt numFmtId="181" formatCode="__0"/>
    <numFmt numFmtId="182" formatCode="_-* #,##0.0000_-;\-* #,##0.0000_-;_-* &quot;-&quot;??_-;_-@_-"/>
    <numFmt numFmtId="183" formatCode="[$$-409]#,##0"/>
    <numFmt numFmtId="184" formatCode="_-* #,##0_-;\-* #,##0_-;_-* &quot;-&quot;??_-;_-@_-"/>
    <numFmt numFmtId="185" formatCode="0.000"/>
  </numFmts>
  <fonts count="12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color indexed="48"/>
      <name val="Arial"/>
      <family val="2"/>
    </font>
    <font>
      <b/>
      <sz val="10"/>
      <color indexed="48"/>
      <name val="Arial"/>
      <family val="2"/>
    </font>
    <font>
      <sz val="10"/>
      <color indexed="8"/>
      <name val="MS Sans Serif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</fills>
  <borders count="40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71" fontId="2" fillId="0" borderId="0" applyFont="0" applyFill="0" applyBorder="0" applyAlignment="0" applyProtection="0"/>
    <xf numFmtId="0" fontId="11" fillId="0" borderId="0"/>
    <xf numFmtId="9" fontId="2" fillId="0" borderId="0" applyFont="0" applyFill="0" applyBorder="0" applyAlignment="0" applyProtection="0"/>
  </cellStyleXfs>
  <cellXfs count="352">
    <xf numFmtId="0" fontId="0" fillId="0" borderId="0" xfId="0"/>
    <xf numFmtId="0" fontId="0" fillId="0" borderId="0" xfId="0" applyAlignment="1">
      <alignment horizontal="right"/>
    </xf>
    <xf numFmtId="9" fontId="0" fillId="0" borderId="0" xfId="0" applyNumberFormat="1"/>
    <xf numFmtId="0" fontId="3" fillId="2" borderId="0" xfId="0" applyFont="1" applyFill="1"/>
    <xf numFmtId="0" fontId="3" fillId="2" borderId="1" xfId="0" applyFont="1" applyFill="1" applyBorder="1" applyAlignment="1" applyProtection="1">
      <alignment horizontal="center"/>
      <protection locked="0"/>
    </xf>
    <xf numFmtId="174" fontId="3" fillId="2" borderId="2" xfId="0" applyNumberFormat="1" applyFont="1" applyFill="1" applyBorder="1" applyAlignment="1" applyProtection="1">
      <alignment horizontal="center"/>
      <protection locked="0"/>
    </xf>
    <xf numFmtId="174" fontId="3" fillId="3" borderId="2" xfId="0" applyNumberFormat="1" applyFont="1" applyFill="1" applyBorder="1" applyAlignment="1" applyProtection="1">
      <alignment horizontal="center"/>
      <protection locked="0"/>
    </xf>
    <xf numFmtId="0" fontId="0" fillId="2" borderId="0" xfId="0" applyFill="1"/>
    <xf numFmtId="0" fontId="3" fillId="2" borderId="3" xfId="0" applyFont="1" applyFill="1" applyBorder="1" applyAlignment="1" applyProtection="1">
      <alignment horizontal="center"/>
      <protection locked="0"/>
    </xf>
    <xf numFmtId="0" fontId="0" fillId="0" borderId="0" xfId="0" applyAlignment="1"/>
    <xf numFmtId="173" fontId="0" fillId="0" borderId="0" xfId="0" applyNumberFormat="1"/>
    <xf numFmtId="177" fontId="0" fillId="0" borderId="0" xfId="0" applyNumberFormat="1"/>
    <xf numFmtId="10" fontId="0" fillId="0" borderId="0" xfId="3" applyNumberFormat="1" applyFont="1"/>
    <xf numFmtId="10" fontId="0" fillId="0" borderId="0" xfId="0" applyNumberFormat="1" applyBorder="1"/>
    <xf numFmtId="0" fontId="0" fillId="0" borderId="0" xfId="0" applyBorder="1"/>
    <xf numFmtId="40" fontId="0" fillId="0" borderId="0" xfId="0" applyNumberFormat="1" applyBorder="1"/>
    <xf numFmtId="40" fontId="0" fillId="0" borderId="4" xfId="0" applyNumberFormat="1" applyBorder="1"/>
    <xf numFmtId="40" fontId="0" fillId="0" borderId="0" xfId="0" applyNumberFormat="1"/>
    <xf numFmtId="40" fontId="0" fillId="0" borderId="5" xfId="0" applyNumberFormat="1" applyBorder="1"/>
    <xf numFmtId="38" fontId="0" fillId="0" borderId="4" xfId="0" applyNumberFormat="1" applyBorder="1"/>
    <xf numFmtId="38" fontId="0" fillId="0" borderId="0" xfId="0" applyNumberFormat="1" applyBorder="1"/>
    <xf numFmtId="0" fontId="0" fillId="0" borderId="6" xfId="0" applyBorder="1" applyAlignment="1">
      <alignment horizontal="right"/>
    </xf>
    <xf numFmtId="38" fontId="0" fillId="0" borderId="5" xfId="0" applyNumberFormat="1" applyBorder="1"/>
    <xf numFmtId="38" fontId="0" fillId="0" borderId="3" xfId="0" applyNumberFormat="1" applyBorder="1"/>
    <xf numFmtId="0" fontId="3" fillId="2" borderId="4" xfId="0" applyFont="1" applyFill="1" applyBorder="1" applyAlignment="1" applyProtection="1">
      <alignment horizontal="center"/>
      <protection locked="0"/>
    </xf>
    <xf numFmtId="174" fontId="3" fillId="4" borderId="2" xfId="0" applyNumberFormat="1" applyFont="1" applyFill="1" applyBorder="1" applyAlignment="1" applyProtection="1">
      <alignment horizontal="center"/>
      <protection locked="0"/>
    </xf>
    <xf numFmtId="0" fontId="0" fillId="0" borderId="7" xfId="0" applyBorder="1" applyAlignment="1">
      <alignment horizontal="centerContinuous"/>
    </xf>
    <xf numFmtId="0" fontId="0" fillId="0" borderId="8" xfId="0" applyBorder="1" applyAlignment="1">
      <alignment horizontal="centerContinuous"/>
    </xf>
    <xf numFmtId="40" fontId="0" fillId="5" borderId="5" xfId="0" applyNumberFormat="1" applyFill="1" applyBorder="1"/>
    <xf numFmtId="40" fontId="0" fillId="5" borderId="3" xfId="0" applyNumberFormat="1" applyFill="1" applyBorder="1"/>
    <xf numFmtId="0" fontId="0" fillId="0" borderId="5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6" xfId="0" applyBorder="1" applyAlignment="1">
      <alignment horizontal="centerContinuous"/>
    </xf>
    <xf numFmtId="0" fontId="0" fillId="0" borderId="12" xfId="0" applyBorder="1" applyAlignment="1">
      <alignment horizontal="centerContinuous"/>
    </xf>
    <xf numFmtId="0" fontId="1" fillId="0" borderId="9" xfId="0" applyFont="1" applyBorder="1"/>
    <xf numFmtId="0" fontId="0" fillId="5" borderId="6" xfId="0" applyFill="1" applyBorder="1"/>
    <xf numFmtId="0" fontId="0" fillId="5" borderId="12" xfId="0" applyFill="1" applyBorder="1"/>
    <xf numFmtId="0" fontId="0" fillId="0" borderId="10" xfId="0" applyBorder="1" applyAlignment="1">
      <alignment horizontal="right"/>
    </xf>
    <xf numFmtId="0" fontId="0" fillId="0" borderId="3" xfId="0" applyBorder="1" applyAlignment="1">
      <alignment horizontal="right"/>
    </xf>
    <xf numFmtId="0" fontId="6" fillId="0" borderId="0" xfId="0" applyFont="1"/>
    <xf numFmtId="0" fontId="5" fillId="0" borderId="0" xfId="0" applyFont="1"/>
    <xf numFmtId="0" fontId="3" fillId="2" borderId="11" xfId="0" applyFont="1" applyFill="1" applyBorder="1" applyAlignment="1" applyProtection="1">
      <alignment horizontal="center"/>
      <protection locked="0"/>
    </xf>
    <xf numFmtId="0" fontId="3" fillId="2" borderId="9" xfId="0" applyFont="1" applyFill="1" applyBorder="1" applyAlignment="1" applyProtection="1">
      <alignment horizontal="center"/>
      <protection locked="0"/>
    </xf>
    <xf numFmtId="0" fontId="3" fillId="2" borderId="10" xfId="0" applyFont="1" applyFill="1" applyBorder="1" applyAlignment="1" applyProtection="1">
      <alignment horizontal="center"/>
      <protection locked="0"/>
    </xf>
    <xf numFmtId="0" fontId="3" fillId="2" borderId="12" xfId="0" applyFont="1" applyFill="1" applyBorder="1" applyAlignment="1" applyProtection="1">
      <alignment horizontal="center"/>
      <protection locked="0"/>
    </xf>
    <xf numFmtId="174" fontId="3" fillId="4" borderId="13" xfId="0" applyNumberFormat="1" applyFont="1" applyFill="1" applyBorder="1" applyAlignment="1" applyProtection="1">
      <alignment horizontal="center"/>
      <protection locked="0"/>
    </xf>
    <xf numFmtId="174" fontId="3" fillId="4" borderId="14" xfId="0" applyNumberFormat="1" applyFont="1" applyFill="1" applyBorder="1" applyAlignment="1" applyProtection="1">
      <alignment horizontal="center"/>
      <protection locked="0"/>
    </xf>
    <xf numFmtId="174" fontId="3" fillId="2" borderId="14" xfId="0" applyNumberFormat="1" applyFont="1" applyFill="1" applyBorder="1" applyAlignment="1" applyProtection="1">
      <alignment horizontal="center"/>
      <protection locked="0"/>
    </xf>
    <xf numFmtId="174" fontId="3" fillId="3" borderId="14" xfId="0" applyNumberFormat="1" applyFont="1" applyFill="1" applyBorder="1" applyAlignment="1" applyProtection="1">
      <alignment horizontal="center"/>
      <protection locked="0"/>
    </xf>
    <xf numFmtId="0" fontId="3" fillId="2" borderId="15" xfId="0" applyFont="1" applyFill="1" applyBorder="1" applyProtection="1">
      <protection locked="0"/>
    </xf>
    <xf numFmtId="0" fontId="3" fillId="2" borderId="16" xfId="0" applyFont="1" applyFill="1" applyBorder="1" applyProtection="1">
      <protection locked="0"/>
    </xf>
    <xf numFmtId="0" fontId="3" fillId="2" borderId="16" xfId="0" applyFont="1" applyFill="1" applyBorder="1" applyAlignment="1" applyProtection="1">
      <alignment horizontal="center"/>
      <protection locked="0"/>
    </xf>
    <xf numFmtId="0" fontId="3" fillId="4" borderId="17" xfId="0" applyFont="1" applyFill="1" applyBorder="1" applyAlignment="1" applyProtection="1">
      <alignment horizontal="center"/>
      <protection locked="0"/>
    </xf>
    <xf numFmtId="0" fontId="3" fillId="2" borderId="17" xfId="0" applyFont="1" applyFill="1" applyBorder="1" applyAlignment="1" applyProtection="1">
      <alignment horizontal="center"/>
      <protection locked="0"/>
    </xf>
    <xf numFmtId="0" fontId="3" fillId="3" borderId="17" xfId="0" applyFont="1" applyFill="1" applyBorder="1" applyAlignment="1" applyProtection="1">
      <alignment horizontal="center"/>
      <protection locked="0"/>
    </xf>
    <xf numFmtId="0" fontId="3" fillId="6" borderId="18" xfId="0" applyFont="1" applyFill="1" applyBorder="1" applyAlignment="1" applyProtection="1">
      <alignment horizontal="center"/>
      <protection locked="0"/>
    </xf>
    <xf numFmtId="0" fontId="3" fillId="2" borderId="19" xfId="0" applyFont="1" applyFill="1" applyBorder="1" applyAlignment="1" applyProtection="1">
      <alignment horizontal="center"/>
      <protection locked="0"/>
    </xf>
    <xf numFmtId="0" fontId="3" fillId="2" borderId="20" xfId="0" applyFont="1" applyFill="1" applyBorder="1" applyAlignment="1" applyProtection="1">
      <alignment horizontal="center"/>
      <protection locked="0"/>
    </xf>
    <xf numFmtId="174" fontId="3" fillId="6" borderId="21" xfId="0" applyNumberFormat="1" applyFont="1" applyFill="1" applyBorder="1" applyAlignment="1" applyProtection="1">
      <alignment horizontal="center"/>
      <protection locked="0"/>
    </xf>
    <xf numFmtId="174" fontId="3" fillId="4" borderId="22" xfId="0" applyNumberFormat="1" applyFont="1" applyFill="1" applyBorder="1" applyAlignment="1" applyProtection="1">
      <alignment horizontal="center"/>
      <protection locked="0"/>
    </xf>
    <xf numFmtId="174" fontId="3" fillId="4" borderId="21" xfId="0" applyNumberFormat="1" applyFont="1" applyFill="1" applyBorder="1" applyAlignment="1" applyProtection="1">
      <alignment horizontal="center"/>
      <protection locked="0"/>
    </xf>
    <xf numFmtId="0" fontId="7" fillId="0" borderId="0" xfId="0" applyNumberFormat="1" applyFont="1" applyAlignment="1">
      <alignment horizontal="right"/>
    </xf>
    <xf numFmtId="171" fontId="2" fillId="0" borderId="0" xfId="1" applyBorder="1"/>
    <xf numFmtId="10" fontId="2" fillId="0" borderId="0" xfId="3" applyNumberFormat="1" applyBorder="1"/>
    <xf numFmtId="171" fontId="2" fillId="0" borderId="6" xfId="1" applyFont="1" applyBorder="1" applyAlignment="1">
      <alignment horizontal="right"/>
    </xf>
    <xf numFmtId="171" fontId="2" fillId="0" borderId="12" xfId="1" applyFont="1" applyBorder="1" applyAlignment="1">
      <alignment horizontal="right"/>
    </xf>
    <xf numFmtId="171" fontId="2" fillId="0" borderId="5" xfId="1" applyFont="1" applyBorder="1" applyAlignment="1">
      <alignment horizontal="right"/>
    </xf>
    <xf numFmtId="171" fontId="2" fillId="0" borderId="3" xfId="1" applyFont="1" applyBorder="1" applyAlignment="1">
      <alignment horizontal="right"/>
    </xf>
    <xf numFmtId="3" fontId="2" fillId="0" borderId="0" xfId="1" applyNumberFormat="1" applyBorder="1"/>
    <xf numFmtId="9" fontId="2" fillId="0" borderId="0" xfId="3" applyBorder="1"/>
    <xf numFmtId="3" fontId="2" fillId="0" borderId="5" xfId="1" applyNumberFormat="1" applyBorder="1"/>
    <xf numFmtId="9" fontId="2" fillId="0" borderId="5" xfId="3" applyBorder="1"/>
    <xf numFmtId="3" fontId="2" fillId="0" borderId="5" xfId="1" applyNumberFormat="1" applyBorder="1" applyAlignment="1">
      <alignment horizontal="right"/>
    </xf>
    <xf numFmtId="40" fontId="2" fillId="0" borderId="0" xfId="1" applyNumberFormat="1" applyBorder="1"/>
    <xf numFmtId="0" fontId="7" fillId="0" borderId="0" xfId="0" applyFont="1"/>
    <xf numFmtId="0" fontId="0" fillId="0" borderId="6" xfId="0" applyBorder="1" applyAlignment="1">
      <alignment horizontal="left"/>
    </xf>
    <xf numFmtId="173" fontId="0" fillId="0" borderId="12" xfId="0" applyNumberFormat="1" applyBorder="1" applyAlignment="1">
      <alignment horizontal="centerContinuous"/>
    </xf>
    <xf numFmtId="0" fontId="0" fillId="0" borderId="8" xfId="0" applyBorder="1" applyAlignment="1">
      <alignment horizontal="right"/>
    </xf>
    <xf numFmtId="0" fontId="3" fillId="2" borderId="23" xfId="0" applyFont="1" applyFill="1" applyBorder="1" applyAlignment="1" applyProtection="1">
      <alignment horizontal="center"/>
      <protection locked="0"/>
    </xf>
    <xf numFmtId="174" fontId="3" fillId="4" borderId="24" xfId="0" applyNumberFormat="1" applyFont="1" applyFill="1" applyBorder="1" applyAlignment="1" applyProtection="1">
      <alignment horizontal="center"/>
      <protection locked="0"/>
    </xf>
    <xf numFmtId="174" fontId="3" fillId="2" borderId="24" xfId="0" applyNumberFormat="1" applyFont="1" applyFill="1" applyBorder="1" applyAlignment="1" applyProtection="1">
      <alignment horizontal="center"/>
      <protection locked="0"/>
    </xf>
    <xf numFmtId="174" fontId="3" fillId="4" borderId="25" xfId="0" applyNumberFormat="1" applyFont="1" applyFill="1" applyBorder="1" applyAlignment="1" applyProtection="1">
      <alignment horizontal="center"/>
      <protection locked="0"/>
    </xf>
    <xf numFmtId="0" fontId="3" fillId="2" borderId="26" xfId="0" applyFont="1" applyFill="1" applyBorder="1" applyAlignment="1" applyProtection="1">
      <alignment horizontal="center"/>
      <protection locked="0"/>
    </xf>
    <xf numFmtId="0" fontId="3" fillId="2" borderId="27" xfId="0" applyFont="1" applyFill="1" applyBorder="1" applyAlignment="1" applyProtection="1">
      <alignment horizontal="center"/>
      <protection locked="0"/>
    </xf>
    <xf numFmtId="0" fontId="3" fillId="2" borderId="28" xfId="0" applyFont="1" applyFill="1" applyBorder="1" applyAlignment="1" applyProtection="1">
      <alignment horizontal="center"/>
      <protection locked="0"/>
    </xf>
    <xf numFmtId="0" fontId="0" fillId="0" borderId="29" xfId="0" applyBorder="1"/>
    <xf numFmtId="0" fontId="0" fillId="0" borderId="5" xfId="0" applyBorder="1"/>
    <xf numFmtId="181" fontId="6" fillId="0" borderId="30" xfId="0" applyNumberFormat="1" applyFont="1" applyBorder="1" applyAlignment="1">
      <alignment horizontal="left"/>
    </xf>
    <xf numFmtId="181" fontId="6" fillId="0" borderId="29" xfId="0" applyNumberFormat="1" applyFont="1" applyBorder="1" applyAlignment="1">
      <alignment horizontal="left"/>
    </xf>
    <xf numFmtId="181" fontId="6" fillId="0" borderId="31" xfId="0" applyNumberFormat="1" applyFont="1" applyBorder="1" applyAlignment="1">
      <alignment horizontal="left"/>
    </xf>
    <xf numFmtId="0" fontId="0" fillId="0" borderId="31" xfId="0" applyBorder="1"/>
    <xf numFmtId="0" fontId="0" fillId="0" borderId="30" xfId="0" applyBorder="1"/>
    <xf numFmtId="0" fontId="0" fillId="0" borderId="32" xfId="0" applyBorder="1"/>
    <xf numFmtId="176" fontId="9" fillId="0" borderId="0" xfId="0" applyNumberFormat="1" applyFont="1"/>
    <xf numFmtId="0" fontId="9" fillId="0" borderId="0" xfId="0" applyFont="1"/>
    <xf numFmtId="176" fontId="5" fillId="0" borderId="0" xfId="0" applyNumberFormat="1" applyFont="1" applyFill="1"/>
    <xf numFmtId="173" fontId="4" fillId="2" borderId="33" xfId="0" applyNumberFormat="1" applyFont="1" applyFill="1" applyBorder="1" applyAlignment="1">
      <alignment horizontal="centerContinuous" wrapText="1"/>
    </xf>
    <xf numFmtId="173" fontId="4" fillId="2" borderId="34" xfId="0" applyNumberFormat="1" applyFont="1" applyFill="1" applyBorder="1" applyAlignment="1">
      <alignment horizontal="centerContinuous" wrapText="1"/>
    </xf>
    <xf numFmtId="173" fontId="4" fillId="2" borderId="35" xfId="0" applyNumberFormat="1" applyFont="1" applyFill="1" applyBorder="1" applyAlignment="1">
      <alignment horizontal="centerContinuous" wrapText="1"/>
    </xf>
    <xf numFmtId="0" fontId="4" fillId="2" borderId="5" xfId="0" applyFont="1" applyFill="1" applyBorder="1" applyAlignment="1">
      <alignment horizontal="centerContinuous"/>
    </xf>
    <xf numFmtId="0" fontId="4" fillId="2" borderId="28" xfId="0" applyFont="1" applyFill="1" applyBorder="1" applyAlignment="1">
      <alignment horizontal="centerContinuous"/>
    </xf>
    <xf numFmtId="0" fontId="0" fillId="0" borderId="0" xfId="0" applyAlignment="1">
      <alignment wrapText="1"/>
    </xf>
    <xf numFmtId="0" fontId="8" fillId="0" borderId="0" xfId="0" applyFont="1" applyAlignment="1">
      <alignment horizontal="right"/>
    </xf>
    <xf numFmtId="40" fontId="8" fillId="0" borderId="0" xfId="0" applyNumberFormat="1" applyFont="1" applyAlignment="1">
      <alignment horizontal="left"/>
    </xf>
    <xf numFmtId="10" fontId="8" fillId="0" borderId="0" xfId="0" applyNumberFormat="1" applyFont="1" applyAlignment="1">
      <alignment horizontal="left"/>
    </xf>
    <xf numFmtId="171" fontId="2" fillId="0" borderId="0" xfId="1" applyNumberFormat="1" applyBorder="1"/>
    <xf numFmtId="0" fontId="0" fillId="0" borderId="12" xfId="0" applyBorder="1" applyAlignment="1">
      <alignment horizontal="right"/>
    </xf>
    <xf numFmtId="171" fontId="2" fillId="0" borderId="5" xfId="1" applyBorder="1"/>
    <xf numFmtId="171" fontId="2" fillId="0" borderId="0" xfId="1" applyFont="1" applyBorder="1" applyAlignment="1">
      <alignment horizontal="right"/>
    </xf>
    <xf numFmtId="171" fontId="2" fillId="0" borderId="9" xfId="1" applyBorder="1"/>
    <xf numFmtId="171" fontId="2" fillId="0" borderId="10" xfId="1" applyBorder="1"/>
    <xf numFmtId="171" fontId="2" fillId="0" borderId="11" xfId="1" applyFont="1" applyBorder="1"/>
    <xf numFmtId="171" fontId="2" fillId="0" borderId="10" xfId="1" applyFont="1" applyBorder="1"/>
    <xf numFmtId="176" fontId="5" fillId="0" borderId="0" xfId="0" applyNumberFormat="1" applyFont="1"/>
    <xf numFmtId="0" fontId="6" fillId="0" borderId="9" xfId="0" applyFont="1" applyBorder="1"/>
    <xf numFmtId="0" fontId="5" fillId="0" borderId="36" xfId="0" applyFont="1" applyBorder="1"/>
    <xf numFmtId="0" fontId="5" fillId="0" borderId="8" xfId="0" applyFont="1" applyBorder="1"/>
    <xf numFmtId="0" fontId="5" fillId="0" borderId="7" xfId="0" applyFont="1" applyBorder="1"/>
    <xf numFmtId="173" fontId="5" fillId="0" borderId="7" xfId="0" applyNumberFormat="1" applyFont="1" applyBorder="1"/>
    <xf numFmtId="0" fontId="5" fillId="0" borderId="9" xfId="0" applyFont="1" applyBorder="1"/>
    <xf numFmtId="0" fontId="5" fillId="0" borderId="32" xfId="0" applyFont="1" applyBorder="1"/>
    <xf numFmtId="0" fontId="5" fillId="0" borderId="10" xfId="0" applyFont="1" applyBorder="1" applyAlignment="1">
      <alignment horizontal="right"/>
    </xf>
    <xf numFmtId="0" fontId="5" fillId="0" borderId="31" xfId="0" applyFont="1" applyBorder="1" applyAlignment="1">
      <alignment horizontal="right"/>
    </xf>
    <xf numFmtId="0" fontId="5" fillId="0" borderId="3" xfId="0" applyFont="1" applyBorder="1" applyAlignment="1">
      <alignment horizontal="right"/>
    </xf>
    <xf numFmtId="0" fontId="5" fillId="0" borderId="5" xfId="0" applyFont="1" applyBorder="1" applyAlignment="1">
      <alignment horizontal="right"/>
    </xf>
    <xf numFmtId="0" fontId="5" fillId="0" borderId="10" xfId="0" applyFont="1" applyBorder="1"/>
    <xf numFmtId="0" fontId="5" fillId="0" borderId="11" xfId="0" applyFont="1" applyBorder="1"/>
    <xf numFmtId="40" fontId="5" fillId="0" borderId="29" xfId="0" applyNumberFormat="1" applyFont="1" applyBorder="1"/>
    <xf numFmtId="40" fontId="5" fillId="0" borderId="4" xfId="1" applyNumberFormat="1" applyFont="1" applyBorder="1"/>
    <xf numFmtId="40" fontId="5" fillId="0" borderId="0" xfId="0" applyNumberFormat="1" applyFont="1" applyBorder="1"/>
    <xf numFmtId="40" fontId="5" fillId="0" borderId="0" xfId="1" applyNumberFormat="1" applyFont="1" applyBorder="1"/>
    <xf numFmtId="40" fontId="5" fillId="0" borderId="4" xfId="0" applyNumberFormat="1" applyFont="1" applyBorder="1"/>
    <xf numFmtId="38" fontId="5" fillId="0" borderId="0" xfId="0" applyNumberFormat="1" applyFont="1"/>
    <xf numFmtId="40" fontId="5" fillId="0" borderId="0" xfId="0" applyNumberFormat="1" applyFont="1"/>
    <xf numFmtId="40" fontId="5" fillId="0" borderId="37" xfId="0" applyNumberFormat="1" applyFont="1" applyBorder="1"/>
    <xf numFmtId="10" fontId="5" fillId="0" borderId="0" xfId="0" applyNumberFormat="1" applyFont="1"/>
    <xf numFmtId="0" fontId="5" fillId="0" borderId="0" xfId="0" applyFont="1" applyFill="1"/>
    <xf numFmtId="40" fontId="5" fillId="0" borderId="0" xfId="0" applyNumberFormat="1" applyFont="1" applyFill="1"/>
    <xf numFmtId="0" fontId="5" fillId="0" borderId="0" xfId="0" quotePrefix="1" applyFont="1"/>
    <xf numFmtId="3" fontId="5" fillId="0" borderId="0" xfId="0" applyNumberFormat="1" applyFont="1"/>
    <xf numFmtId="0" fontId="10" fillId="0" borderId="0" xfId="0" applyFont="1" applyFill="1" applyAlignment="1">
      <alignment horizontal="right"/>
    </xf>
    <xf numFmtId="10" fontId="10" fillId="0" borderId="0" xfId="3" applyNumberFormat="1" applyFont="1" applyBorder="1" applyAlignment="1">
      <alignment horizontal="left"/>
    </xf>
    <xf numFmtId="40" fontId="5" fillId="0" borderId="32" xfId="0" applyNumberFormat="1" applyFont="1" applyBorder="1"/>
    <xf numFmtId="40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0" borderId="0" xfId="0" applyFont="1" applyBorder="1"/>
    <xf numFmtId="10" fontId="5" fillId="0" borderId="0" xfId="0" applyNumberFormat="1" applyFont="1" applyBorder="1" applyAlignment="1">
      <alignment horizontal="centerContinuous"/>
    </xf>
    <xf numFmtId="9" fontId="5" fillId="0" borderId="0" xfId="0" applyNumberFormat="1" applyFont="1"/>
    <xf numFmtId="0" fontId="5" fillId="0" borderId="0" xfId="0" applyFont="1" applyAlignment="1">
      <alignment horizontal="left"/>
    </xf>
    <xf numFmtId="176" fontId="5" fillId="0" borderId="0" xfId="1" applyNumberFormat="1" applyFont="1" applyBorder="1"/>
    <xf numFmtId="0" fontId="5" fillId="0" borderId="6" xfId="0" applyFont="1" applyBorder="1"/>
    <xf numFmtId="38" fontId="5" fillId="0" borderId="6" xfId="0" applyNumberFormat="1" applyFont="1" applyBorder="1"/>
    <xf numFmtId="38" fontId="5" fillId="0" borderId="0" xfId="0" applyNumberFormat="1" applyFont="1" applyBorder="1"/>
    <xf numFmtId="0" fontId="5" fillId="0" borderId="5" xfId="0" applyFont="1" applyBorder="1"/>
    <xf numFmtId="38" fontId="5" fillId="0" borderId="5" xfId="0" applyNumberFormat="1" applyFont="1" applyBorder="1"/>
    <xf numFmtId="174" fontId="4" fillId="7" borderId="14" xfId="0" applyNumberFormat="1" applyFont="1" applyFill="1" applyBorder="1" applyAlignment="1" applyProtection="1">
      <alignment horizontal="center"/>
      <protection locked="0"/>
    </xf>
    <xf numFmtId="174" fontId="4" fillId="7" borderId="2" xfId="0" applyNumberFormat="1" applyFont="1" applyFill="1" applyBorder="1" applyAlignment="1" applyProtection="1">
      <alignment horizontal="center"/>
      <protection locked="0"/>
    </xf>
    <xf numFmtId="174" fontId="4" fillId="7" borderId="24" xfId="0" applyNumberFormat="1" applyFont="1" applyFill="1" applyBorder="1" applyAlignment="1" applyProtection="1">
      <alignment horizontal="center"/>
      <protection locked="0"/>
    </xf>
    <xf numFmtId="174" fontId="4" fillId="7" borderId="21" xfId="0" applyNumberFormat="1" applyFont="1" applyFill="1" applyBorder="1" applyAlignment="1" applyProtection="1">
      <alignment horizontal="center"/>
      <protection locked="0"/>
    </xf>
    <xf numFmtId="174" fontId="4" fillId="7" borderId="22" xfId="0" applyNumberFormat="1" applyFont="1" applyFill="1" applyBorder="1" applyAlignment="1" applyProtection="1">
      <alignment horizontal="center"/>
      <protection locked="0"/>
    </xf>
    <xf numFmtId="174" fontId="4" fillId="7" borderId="25" xfId="0" applyNumberFormat="1" applyFont="1" applyFill="1" applyBorder="1" applyAlignment="1" applyProtection="1">
      <alignment horizontal="center"/>
      <protection locked="0"/>
    </xf>
    <xf numFmtId="174" fontId="3" fillId="2" borderId="0" xfId="0" applyNumberFormat="1" applyFont="1" applyFill="1"/>
    <xf numFmtId="40" fontId="0" fillId="2" borderId="5" xfId="0" applyNumberFormat="1" applyFill="1" applyBorder="1"/>
    <xf numFmtId="40" fontId="0" fillId="2" borderId="3" xfId="0" applyNumberFormat="1" applyFill="1" applyBorder="1"/>
    <xf numFmtId="0" fontId="0" fillId="5" borderId="0" xfId="0" applyFill="1" applyBorder="1"/>
    <xf numFmtId="0" fontId="0" fillId="5" borderId="4" xfId="0" applyFill="1" applyBorder="1"/>
    <xf numFmtId="40" fontId="0" fillId="0" borderId="6" xfId="0" applyNumberFormat="1" applyBorder="1"/>
    <xf numFmtId="38" fontId="0" fillId="0" borderId="12" xfId="0" applyNumberFormat="1" applyBorder="1"/>
    <xf numFmtId="40" fontId="0" fillId="0" borderId="30" xfId="0" applyNumberFormat="1" applyBorder="1"/>
    <xf numFmtId="38" fontId="0" fillId="0" borderId="6" xfId="0" applyNumberFormat="1" applyBorder="1"/>
    <xf numFmtId="40" fontId="0" fillId="0" borderId="29" xfId="0" applyNumberFormat="1" applyBorder="1"/>
    <xf numFmtId="40" fontId="0" fillId="0" borderId="31" xfId="0" applyNumberFormat="1" applyBorder="1"/>
    <xf numFmtId="40" fontId="0" fillId="0" borderId="32" xfId="0" applyNumberFormat="1" applyBorder="1" applyAlignment="1">
      <alignment horizontal="right"/>
    </xf>
    <xf numFmtId="171" fontId="5" fillId="0" borderId="0" xfId="1" applyFont="1"/>
    <xf numFmtId="4" fontId="0" fillId="0" borderId="0" xfId="0" applyNumberFormat="1"/>
    <xf numFmtId="171" fontId="0" fillId="0" borderId="0" xfId="1" applyFont="1"/>
    <xf numFmtId="184" fontId="0" fillId="0" borderId="0" xfId="1" applyNumberFormat="1" applyFont="1"/>
    <xf numFmtId="9" fontId="2" fillId="5" borderId="36" xfId="3" applyFont="1" applyFill="1" applyBorder="1"/>
    <xf numFmtId="182" fontId="5" fillId="0" borderId="0" xfId="1" applyNumberFormat="1" applyFont="1"/>
    <xf numFmtId="0" fontId="5" fillId="0" borderId="32" xfId="0" applyFont="1" applyBorder="1" applyAlignment="1">
      <alignment horizontal="center"/>
    </xf>
    <xf numFmtId="2" fontId="5" fillId="0" borderId="0" xfId="0" applyNumberFormat="1" applyFont="1"/>
    <xf numFmtId="180" fontId="5" fillId="0" borderId="0" xfId="0" applyNumberFormat="1" applyFont="1"/>
    <xf numFmtId="165" fontId="5" fillId="0" borderId="0" xfId="0" applyNumberFormat="1" applyFont="1"/>
    <xf numFmtId="10" fontId="5" fillId="0" borderId="0" xfId="3" applyNumberFormat="1" applyFont="1"/>
    <xf numFmtId="175" fontId="5" fillId="0" borderId="0" xfId="0" applyNumberFormat="1" applyFont="1" applyFill="1" applyBorder="1" applyAlignment="1">
      <alignment horizontal="right"/>
    </xf>
    <xf numFmtId="9" fontId="5" fillId="0" borderId="0" xfId="0" applyNumberFormat="1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0" fontId="5" fillId="0" borderId="0" xfId="0" applyNumberFormat="1" applyFont="1" applyAlignment="1">
      <alignment horizontal="right"/>
    </xf>
    <xf numFmtId="0" fontId="6" fillId="0" borderId="9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185" fontId="6" fillId="0" borderId="11" xfId="0" applyNumberFormat="1" applyFont="1" applyBorder="1" applyAlignment="1">
      <alignment horizontal="center"/>
    </xf>
    <xf numFmtId="184" fontId="6" fillId="0" borderId="11" xfId="1" applyNumberFormat="1" applyFont="1" applyBorder="1" applyAlignment="1">
      <alignment horizontal="center"/>
    </xf>
    <xf numFmtId="2" fontId="0" fillId="0" borderId="9" xfId="0" applyNumberFormat="1" applyBorder="1"/>
    <xf numFmtId="2" fontId="0" fillId="0" borderId="11" xfId="0" applyNumberFormat="1" applyBorder="1"/>
    <xf numFmtId="0" fontId="0" fillId="0" borderId="12" xfId="0" applyBorder="1"/>
    <xf numFmtId="0" fontId="0" fillId="0" borderId="4" xfId="0" applyBorder="1"/>
    <xf numFmtId="0" fontId="0" fillId="0" borderId="3" xfId="0" applyBorder="1"/>
    <xf numFmtId="184" fontId="0" fillId="0" borderId="30" xfId="1" applyNumberFormat="1" applyFont="1" applyBorder="1"/>
    <xf numFmtId="184" fontId="0" fillId="0" borderId="6" xfId="1" applyNumberFormat="1" applyFont="1" applyBorder="1"/>
    <xf numFmtId="184" fontId="0" fillId="0" borderId="12" xfId="1" applyNumberFormat="1" applyFont="1" applyBorder="1"/>
    <xf numFmtId="184" fontId="0" fillId="0" borderId="29" xfId="1" applyNumberFormat="1" applyFont="1" applyBorder="1"/>
    <xf numFmtId="184" fontId="0" fillId="0" borderId="0" xfId="1" applyNumberFormat="1" applyFont="1" applyBorder="1"/>
    <xf numFmtId="184" fontId="0" fillId="0" borderId="4" xfId="1" applyNumberFormat="1" applyFont="1" applyBorder="1"/>
    <xf numFmtId="0" fontId="0" fillId="0" borderId="10" xfId="0" applyBorder="1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32" xfId="0" applyBorder="1" applyAlignment="1">
      <alignment horizontal="center"/>
    </xf>
    <xf numFmtId="4" fontId="5" fillId="0" borderId="32" xfId="0" applyNumberFormat="1" applyFont="1" applyBorder="1"/>
    <xf numFmtId="3" fontId="5" fillId="0" borderId="32" xfId="0" applyNumberFormat="1" applyFont="1" applyBorder="1"/>
    <xf numFmtId="2" fontId="7" fillId="0" borderId="32" xfId="0" applyNumberFormat="1" applyFont="1" applyBorder="1"/>
    <xf numFmtId="9" fontId="7" fillId="0" borderId="9" xfId="0" applyNumberFormat="1" applyFont="1" applyBorder="1"/>
    <xf numFmtId="0" fontId="6" fillId="0" borderId="32" xfId="0" applyFont="1" applyBorder="1" applyAlignment="1">
      <alignment horizontal="center"/>
    </xf>
    <xf numFmtId="172" fontId="7" fillId="0" borderId="32" xfId="0" applyNumberFormat="1" applyFont="1" applyBorder="1"/>
    <xf numFmtId="3" fontId="5" fillId="0" borderId="32" xfId="0" applyNumberFormat="1" applyFont="1" applyFill="1" applyBorder="1"/>
    <xf numFmtId="10" fontId="7" fillId="0" borderId="32" xfId="0" applyNumberFormat="1" applyFont="1" applyBorder="1"/>
    <xf numFmtId="10" fontId="5" fillId="0" borderId="32" xfId="3" applyNumberFormat="1" applyFont="1" applyBorder="1"/>
    <xf numFmtId="10" fontId="5" fillId="0" borderId="32" xfId="0" applyNumberFormat="1" applyFont="1" applyFill="1" applyBorder="1"/>
    <xf numFmtId="0" fontId="7" fillId="0" borderId="32" xfId="0" applyFont="1" applyBorder="1"/>
    <xf numFmtId="180" fontId="5" fillId="0" borderId="30" xfId="0" applyNumberFormat="1" applyFont="1" applyBorder="1"/>
    <xf numFmtId="180" fontId="5" fillId="0" borderId="6" xfId="0" applyNumberFormat="1" applyFont="1" applyBorder="1"/>
    <xf numFmtId="180" fontId="5" fillId="0" borderId="12" xfId="0" applyNumberFormat="1" applyFont="1" applyBorder="1"/>
    <xf numFmtId="180" fontId="5" fillId="0" borderId="29" xfId="0" applyNumberFormat="1" applyFont="1" applyBorder="1"/>
    <xf numFmtId="180" fontId="5" fillId="0" borderId="0" xfId="0" applyNumberFormat="1" applyFont="1" applyBorder="1"/>
    <xf numFmtId="180" fontId="5" fillId="0" borderId="4" xfId="0" applyNumberFormat="1" applyFont="1" applyBorder="1"/>
    <xf numFmtId="180" fontId="5" fillId="0" borderId="31" xfId="0" applyNumberFormat="1" applyFont="1" applyBorder="1"/>
    <xf numFmtId="180" fontId="5" fillId="0" borderId="5" xfId="0" applyNumberFormat="1" applyFont="1" applyBorder="1"/>
    <xf numFmtId="180" fontId="5" fillId="0" borderId="3" xfId="0" applyNumberFormat="1" applyFont="1" applyBorder="1"/>
    <xf numFmtId="184" fontId="5" fillId="0" borderId="32" xfId="0" applyNumberFormat="1" applyFont="1" applyBorder="1"/>
    <xf numFmtId="171" fontId="5" fillId="0" borderId="32" xfId="1" applyFont="1" applyBorder="1"/>
    <xf numFmtId="0" fontId="5" fillId="0" borderId="32" xfId="0" applyFont="1" applyBorder="1" applyAlignment="1">
      <alignment horizontal="right"/>
    </xf>
    <xf numFmtId="9" fontId="5" fillId="0" borderId="32" xfId="0" applyNumberFormat="1" applyFont="1" applyBorder="1"/>
    <xf numFmtId="178" fontId="7" fillId="0" borderId="32" xfId="0" applyNumberFormat="1" applyFont="1" applyBorder="1"/>
    <xf numFmtId="40" fontId="7" fillId="0" borderId="0" xfId="0" applyNumberFormat="1" applyFont="1" applyBorder="1"/>
    <xf numFmtId="171" fontId="5" fillId="0" borderId="11" xfId="1" applyFont="1" applyBorder="1"/>
    <xf numFmtId="171" fontId="9" fillId="0" borderId="11" xfId="1" applyFont="1" applyBorder="1"/>
    <xf numFmtId="171" fontId="5" fillId="0" borderId="12" xfId="1" applyFont="1" applyBorder="1"/>
    <xf numFmtId="171" fontId="5" fillId="0" borderId="4" xfId="1" applyFont="1" applyBorder="1"/>
    <xf numFmtId="171" fontId="5" fillId="0" borderId="3" xfId="1" applyFont="1" applyBorder="1"/>
    <xf numFmtId="173" fontId="5" fillId="0" borderId="0" xfId="0" applyNumberFormat="1" applyFont="1"/>
    <xf numFmtId="184" fontId="5" fillId="0" borderId="0" xfId="1" applyNumberFormat="1" applyFont="1" applyBorder="1"/>
    <xf numFmtId="184" fontId="5" fillId="0" borderId="32" xfId="1" applyNumberFormat="1" applyFont="1" applyBorder="1"/>
    <xf numFmtId="9" fontId="7" fillId="8" borderId="10" xfId="0" applyNumberFormat="1" applyFont="1" applyFill="1" applyBorder="1"/>
    <xf numFmtId="178" fontId="5" fillId="0" borderId="32" xfId="0" applyNumberFormat="1" applyFont="1" applyFill="1" applyBorder="1"/>
    <xf numFmtId="3" fontId="5" fillId="0" borderId="30" xfId="0" applyNumberFormat="1" applyFont="1" applyFill="1" applyBorder="1" applyAlignment="1">
      <alignment horizontal="right"/>
    </xf>
    <xf numFmtId="175" fontId="5" fillId="0" borderId="6" xfId="0" applyNumberFormat="1" applyFont="1" applyFill="1" applyBorder="1" applyAlignment="1">
      <alignment horizontal="right"/>
    </xf>
    <xf numFmtId="9" fontId="5" fillId="0" borderId="6" xfId="0" applyNumberFormat="1" applyFont="1" applyFill="1" applyBorder="1" applyAlignment="1">
      <alignment horizontal="right"/>
    </xf>
    <xf numFmtId="179" fontId="5" fillId="0" borderId="12" xfId="0" applyNumberFormat="1" applyFont="1" applyBorder="1" applyAlignment="1"/>
    <xf numFmtId="3" fontId="5" fillId="0" borderId="31" xfId="0" applyNumberFormat="1" applyFont="1" applyFill="1" applyBorder="1" applyAlignment="1">
      <alignment horizontal="right"/>
    </xf>
    <xf numFmtId="175" fontId="5" fillId="0" borderId="5" xfId="0" applyNumberFormat="1" applyFont="1" applyFill="1" applyBorder="1" applyAlignment="1">
      <alignment horizontal="right"/>
    </xf>
    <xf numFmtId="9" fontId="5" fillId="0" borderId="5" xfId="0" applyNumberFormat="1" applyFont="1" applyFill="1" applyBorder="1" applyAlignment="1">
      <alignment horizontal="right"/>
    </xf>
    <xf numFmtId="179" fontId="5" fillId="0" borderId="3" xfId="0" applyNumberFormat="1" applyFont="1" applyBorder="1" applyAlignment="1">
      <alignment horizontal="right"/>
    </xf>
    <xf numFmtId="0" fontId="5" fillId="0" borderId="3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178" fontId="5" fillId="0" borderId="0" xfId="0" applyNumberFormat="1" applyFont="1"/>
    <xf numFmtId="0" fontId="5" fillId="0" borderId="0" xfId="0" applyFont="1" applyAlignment="1"/>
    <xf numFmtId="175" fontId="5" fillId="0" borderId="0" xfId="0" applyNumberFormat="1" applyFont="1" applyBorder="1" applyAlignment="1"/>
    <xf numFmtId="183" fontId="5" fillId="0" borderId="0" xfId="0" applyNumberFormat="1" applyFont="1" applyBorder="1" applyAlignment="1"/>
    <xf numFmtId="0" fontId="5" fillId="0" borderId="9" xfId="0" applyFont="1" applyBorder="1" applyAlignment="1"/>
    <xf numFmtId="0" fontId="5" fillId="0" borderId="11" xfId="0" applyFont="1" applyBorder="1" applyAlignment="1"/>
    <xf numFmtId="0" fontId="5" fillId="0" borderId="10" xfId="0" applyFont="1" applyBorder="1" applyAlignment="1"/>
    <xf numFmtId="0" fontId="5" fillId="0" borderId="36" xfId="0" applyFont="1" applyBorder="1" applyAlignment="1"/>
    <xf numFmtId="0" fontId="5" fillId="0" borderId="30" xfId="0" applyFont="1" applyBorder="1" applyAlignment="1"/>
    <xf numFmtId="0" fontId="5" fillId="0" borderId="31" xfId="0" applyFont="1" applyBorder="1" applyAlignment="1"/>
    <xf numFmtId="0" fontId="0" fillId="0" borderId="32" xfId="0" applyBorder="1" applyAlignment="1">
      <alignment wrapText="1"/>
    </xf>
    <xf numFmtId="178" fontId="5" fillId="0" borderId="0" xfId="3" applyNumberFormat="1" applyFont="1"/>
    <xf numFmtId="171" fontId="5" fillId="0" borderId="0" xfId="1" applyNumberFormat="1" applyFont="1"/>
    <xf numFmtId="0" fontId="5" fillId="0" borderId="12" xfId="0" applyFont="1" applyBorder="1"/>
    <xf numFmtId="0" fontId="5" fillId="0" borderId="4" xfId="0" applyFont="1" applyBorder="1"/>
    <xf numFmtId="180" fontId="2" fillId="0" borderId="32" xfId="3" applyNumberFormat="1" applyFont="1" applyFill="1" applyBorder="1"/>
    <xf numFmtId="9" fontId="2" fillId="5" borderId="8" xfId="3" applyFill="1" applyBorder="1"/>
    <xf numFmtId="38" fontId="5" fillId="0" borderId="30" xfId="0" applyNumberFormat="1" applyFont="1" applyBorder="1"/>
    <xf numFmtId="38" fontId="5" fillId="0" borderId="29" xfId="0" applyNumberFormat="1" applyFont="1" applyBorder="1"/>
    <xf numFmtId="38" fontId="5" fillId="0" borderId="12" xfId="0" applyNumberFormat="1" applyFont="1" applyBorder="1"/>
    <xf numFmtId="38" fontId="5" fillId="0" borderId="4" xfId="0" applyNumberFormat="1" applyFont="1" applyBorder="1"/>
    <xf numFmtId="38" fontId="5" fillId="0" borderId="31" xfId="0" applyNumberFormat="1" applyFont="1" applyBorder="1"/>
    <xf numFmtId="38" fontId="5" fillId="0" borderId="3" xfId="0" applyNumberFormat="1" applyFont="1" applyBorder="1"/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184" fontId="0" fillId="0" borderId="5" xfId="1" applyNumberFormat="1" applyFont="1" applyBorder="1"/>
    <xf numFmtId="184" fontId="0" fillId="0" borderId="9" xfId="1" applyNumberFormat="1" applyFont="1" applyBorder="1"/>
    <xf numFmtId="184" fontId="0" fillId="0" borderId="11" xfId="1" applyNumberFormat="1" applyFont="1" applyBorder="1"/>
    <xf numFmtId="184" fontId="0" fillId="0" borderId="10" xfId="1" applyNumberFormat="1" applyFont="1" applyBorder="1"/>
    <xf numFmtId="38" fontId="0" fillId="0" borderId="32" xfId="0" applyNumberFormat="1" applyBorder="1"/>
    <xf numFmtId="10" fontId="0" fillId="0" borderId="36" xfId="0" applyNumberFormat="1" applyBorder="1" applyAlignment="1">
      <alignment horizontal="center"/>
    </xf>
    <xf numFmtId="184" fontId="6" fillId="8" borderId="9" xfId="1" applyNumberFormat="1" applyFont="1" applyFill="1" applyBorder="1" applyAlignment="1">
      <alignment horizontal="center"/>
    </xf>
    <xf numFmtId="184" fontId="6" fillId="8" borderId="11" xfId="1" applyNumberFormat="1" applyFont="1" applyFill="1" applyBorder="1" applyAlignment="1">
      <alignment horizontal="center"/>
    </xf>
    <xf numFmtId="14" fontId="6" fillId="8" borderId="11" xfId="0" applyNumberFormat="1" applyFont="1" applyFill="1" applyBorder="1" applyAlignment="1">
      <alignment horizontal="center"/>
    </xf>
    <xf numFmtId="0" fontId="6" fillId="8" borderId="10" xfId="0" applyFont="1" applyFill="1" applyBorder="1" applyAlignment="1">
      <alignment horizontal="center"/>
    </xf>
    <xf numFmtId="0" fontId="6" fillId="8" borderId="11" xfId="0" applyFont="1" applyFill="1" applyBorder="1" applyAlignment="1">
      <alignment horizontal="center"/>
    </xf>
    <xf numFmtId="10" fontId="0" fillId="0" borderId="32" xfId="0" applyNumberFormat="1" applyBorder="1" applyAlignment="1">
      <alignment horizontal="center"/>
    </xf>
    <xf numFmtId="178" fontId="7" fillId="0" borderId="0" xfId="0" applyNumberFormat="1" applyFont="1"/>
    <xf numFmtId="184" fontId="5" fillId="0" borderId="0" xfId="1" applyNumberFormat="1" applyFont="1"/>
    <xf numFmtId="0" fontId="5" fillId="0" borderId="31" xfId="0" applyFont="1" applyBorder="1"/>
    <xf numFmtId="0" fontId="5" fillId="0" borderId="30" xfId="0" applyFont="1" applyBorder="1"/>
    <xf numFmtId="0" fontId="5" fillId="0" borderId="11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184" fontId="0" fillId="0" borderId="32" xfId="1" applyNumberFormat="1" applyFont="1" applyBorder="1"/>
    <xf numFmtId="0" fontId="0" fillId="0" borderId="0" xfId="0" applyNumberFormat="1"/>
    <xf numFmtId="0" fontId="0" fillId="0" borderId="32" xfId="0" applyNumberFormat="1" applyBorder="1"/>
    <xf numFmtId="0" fontId="6" fillId="0" borderId="32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84" fontId="5" fillId="0" borderId="32" xfId="1" applyNumberFormat="1" applyFont="1" applyBorder="1" applyAlignment="1">
      <alignment horizontal="center"/>
    </xf>
    <xf numFmtId="14" fontId="6" fillId="0" borderId="10" xfId="0" applyNumberFormat="1" applyFont="1" applyBorder="1" applyAlignment="1">
      <alignment horizontal="center"/>
    </xf>
    <xf numFmtId="0" fontId="5" fillId="0" borderId="4" xfId="0" applyFont="1" applyBorder="1" applyAlignment="1"/>
    <xf numFmtId="0" fontId="5" fillId="0" borderId="6" xfId="0" applyFont="1" applyBorder="1" applyAlignment="1">
      <alignment horizontal="center"/>
    </xf>
    <xf numFmtId="175" fontId="5" fillId="0" borderId="6" xfId="0" applyNumberFormat="1" applyFont="1" applyBorder="1" applyAlignment="1">
      <alignment horizontal="center"/>
    </xf>
    <xf numFmtId="175" fontId="5" fillId="0" borderId="12" xfId="0" applyNumberFormat="1" applyFont="1" applyBorder="1" applyAlignment="1">
      <alignment horizontal="center"/>
    </xf>
    <xf numFmtId="184" fontId="5" fillId="0" borderId="0" xfId="1" applyNumberFormat="1" applyFont="1" applyFill="1" applyBorder="1" applyAlignment="1">
      <alignment horizontal="right"/>
    </xf>
    <xf numFmtId="184" fontId="5" fillId="0" borderId="6" xfId="1" applyNumberFormat="1" applyFont="1" applyFill="1" applyBorder="1" applyAlignment="1">
      <alignment horizontal="right"/>
    </xf>
    <xf numFmtId="184" fontId="5" fillId="0" borderId="12" xfId="1" applyNumberFormat="1" applyFont="1" applyFill="1" applyBorder="1" applyAlignment="1">
      <alignment horizontal="right"/>
    </xf>
    <xf numFmtId="184" fontId="5" fillId="0" borderId="4" xfId="1" applyNumberFormat="1" applyFont="1" applyFill="1" applyBorder="1" applyAlignment="1">
      <alignment horizontal="right"/>
    </xf>
    <xf numFmtId="0" fontId="5" fillId="0" borderId="30" xfId="0" applyFont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184" fontId="5" fillId="0" borderId="8" xfId="1" applyNumberFormat="1" applyFont="1" applyBorder="1"/>
    <xf numFmtId="184" fontId="5" fillId="0" borderId="36" xfId="1" applyNumberFormat="1" applyFont="1" applyBorder="1"/>
    <xf numFmtId="179" fontId="5" fillId="0" borderId="32" xfId="0" applyNumberFormat="1" applyFont="1" applyBorder="1"/>
    <xf numFmtId="175" fontId="5" fillId="0" borderId="30" xfId="0" applyNumberFormat="1" applyFont="1" applyBorder="1" applyAlignment="1">
      <alignment horizontal="center"/>
    </xf>
    <xf numFmtId="0" fontId="5" fillId="0" borderId="0" xfId="0" applyFont="1" applyBorder="1" applyAlignment="1"/>
    <xf numFmtId="0" fontId="5" fillId="0" borderId="0" xfId="2" applyFont="1" applyFill="1" applyBorder="1" applyAlignment="1">
      <alignment horizontal="right"/>
    </xf>
    <xf numFmtId="0" fontId="5" fillId="0" borderId="12" xfId="2" applyFont="1" applyFill="1" applyBorder="1" applyAlignment="1">
      <alignment horizontal="right"/>
    </xf>
    <xf numFmtId="0" fontId="5" fillId="0" borderId="4" xfId="2" applyFont="1" applyFill="1" applyBorder="1" applyAlignment="1">
      <alignment horizontal="right"/>
    </xf>
    <xf numFmtId="0" fontId="5" fillId="0" borderId="6" xfId="2" applyFont="1" applyFill="1" applyBorder="1" applyAlignment="1">
      <alignment horizontal="right"/>
    </xf>
    <xf numFmtId="0" fontId="5" fillId="0" borderId="12" xfId="2" applyFont="1" applyFill="1" applyBorder="1" applyAlignment="1">
      <alignment horizontal="left"/>
    </xf>
    <xf numFmtId="0" fontId="5" fillId="0" borderId="4" xfId="2" applyFont="1" applyFill="1" applyBorder="1" applyAlignment="1">
      <alignment horizontal="left"/>
    </xf>
    <xf numFmtId="0" fontId="5" fillId="0" borderId="30" xfId="0" applyFont="1" applyBorder="1" applyAlignment="1">
      <alignment horizontal="right"/>
    </xf>
    <xf numFmtId="0" fontId="5" fillId="0" borderId="9" xfId="0" applyFont="1" applyBorder="1" applyAlignment="1">
      <alignment horizontal="center"/>
    </xf>
    <xf numFmtId="0" fontId="5" fillId="0" borderId="11" xfId="0" quotePrefix="1" applyFont="1" applyBorder="1" applyAlignment="1">
      <alignment horizontal="center"/>
    </xf>
    <xf numFmtId="179" fontId="5" fillId="0" borderId="30" xfId="0" applyNumberFormat="1" applyFont="1" applyBorder="1" applyAlignment="1"/>
    <xf numFmtId="179" fontId="5" fillId="0" borderId="31" xfId="0" applyNumberFormat="1" applyFont="1" applyBorder="1" applyAlignment="1"/>
    <xf numFmtId="184" fontId="5" fillId="0" borderId="31" xfId="1" applyNumberFormat="1" applyFont="1" applyFill="1" applyBorder="1" applyAlignment="1">
      <alignment horizontal="right"/>
    </xf>
    <xf numFmtId="184" fontId="5" fillId="0" borderId="5" xfId="1" applyNumberFormat="1" applyFont="1" applyFill="1" applyBorder="1" applyAlignment="1">
      <alignment horizontal="right"/>
    </xf>
    <xf numFmtId="184" fontId="5" fillId="0" borderId="3" xfId="1" applyNumberFormat="1" applyFont="1" applyFill="1" applyBorder="1" applyAlignment="1">
      <alignment horizontal="right"/>
    </xf>
    <xf numFmtId="0" fontId="0" fillId="0" borderId="32" xfId="0" applyBorder="1" applyAlignment="1">
      <alignment horizontal="center"/>
    </xf>
    <xf numFmtId="0" fontId="5" fillId="0" borderId="32" xfId="0" applyFont="1" applyBorder="1" applyAlignment="1">
      <alignment horizontal="left"/>
    </xf>
    <xf numFmtId="0" fontId="5" fillId="8" borderId="32" xfId="0" applyFont="1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5" fillId="0" borderId="8" xfId="0" applyFont="1" applyBorder="1" applyAlignment="1">
      <alignment horizontal="left"/>
    </xf>
    <xf numFmtId="0" fontId="4" fillId="2" borderId="38" xfId="0" applyFont="1" applyFill="1" applyBorder="1" applyAlignment="1">
      <alignment horizontal="center" wrapText="1"/>
    </xf>
    <xf numFmtId="0" fontId="4" fillId="2" borderId="39" xfId="0" applyFont="1" applyFill="1" applyBorder="1" applyAlignment="1">
      <alignment horizontal="center" wrapText="1"/>
    </xf>
    <xf numFmtId="0" fontId="0" fillId="0" borderId="36" xfId="0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32" xfId="0" applyFont="1" applyBorder="1" applyAlignment="1">
      <alignment horizontal="center"/>
    </xf>
  </cellXfs>
  <cellStyles count="4">
    <cellStyle name="Comma" xfId="1" builtinId="3"/>
    <cellStyle name="Normal" xfId="0" builtinId="0"/>
    <cellStyle name="Normal_Sheet2" xfId="2"/>
    <cellStyle name="Percent" xfId="3" builtinId="5"/>
  </cellStyles>
  <dxfs count="1">
    <dxf>
      <font>
        <b/>
        <i val="0"/>
        <condense val="0"/>
        <extend val="0"/>
      </font>
      <fill>
        <patternFill>
          <bgColor indexed="4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autoPageBreaks="0"/>
  </sheetPr>
  <dimension ref="A1:F49"/>
  <sheetViews>
    <sheetView tabSelected="1" workbookViewId="0">
      <selection activeCell="B1" sqref="B1"/>
    </sheetView>
  </sheetViews>
  <sheetFormatPr defaultRowHeight="12.75" x14ac:dyDescent="0.2"/>
  <cols>
    <col min="1" max="1" width="20.5703125" bestFit="1" customWidth="1"/>
    <col min="2" max="2" width="12" customWidth="1"/>
  </cols>
  <sheetData>
    <row r="1" spans="1:4" x14ac:dyDescent="0.2">
      <c r="A1" s="94" t="s">
        <v>299</v>
      </c>
      <c r="B1" s="208" t="s">
        <v>567</v>
      </c>
      <c r="C1" t="s">
        <v>568</v>
      </c>
    </row>
    <row r="3" spans="1:4" x14ac:dyDescent="0.2">
      <c r="A3" s="307" t="s">
        <v>354</v>
      </c>
      <c r="B3" s="308">
        <v>1</v>
      </c>
      <c r="C3" s="306" t="str">
        <f>CHOOSE(Location,"Broker","Salesteam","Sales Support","Actuarial")</f>
        <v>Broker</v>
      </c>
      <c r="D3" s="306" t="s">
        <v>355</v>
      </c>
    </row>
    <row r="5" spans="1:4" x14ac:dyDescent="0.2">
      <c r="A5" s="31" t="s">
        <v>271</v>
      </c>
      <c r="B5" s="190">
        <v>31</v>
      </c>
    </row>
    <row r="6" spans="1:4" x14ac:dyDescent="0.2">
      <c r="A6" s="33" t="s">
        <v>272</v>
      </c>
      <c r="B6" s="191" t="s">
        <v>274</v>
      </c>
    </row>
    <row r="7" spans="1:4" x14ac:dyDescent="0.2">
      <c r="A7" s="33" t="s">
        <v>273</v>
      </c>
      <c r="B7" s="191" t="s">
        <v>277</v>
      </c>
    </row>
    <row r="8" spans="1:4" x14ac:dyDescent="0.2">
      <c r="A8" s="32" t="s">
        <v>278</v>
      </c>
      <c r="B8" s="192" t="s">
        <v>373</v>
      </c>
      <c r="C8" t="str">
        <f>VLOOKUP(L1_Country,LookupCountry,2,FALSE)</f>
        <v>Andorra</v>
      </c>
    </row>
    <row r="9" spans="1:4" x14ac:dyDescent="0.2">
      <c r="A9" s="31" t="s">
        <v>287</v>
      </c>
      <c r="B9" s="190">
        <v>0</v>
      </c>
    </row>
    <row r="10" spans="1:4" x14ac:dyDescent="0.2">
      <c r="A10" s="33" t="s">
        <v>286</v>
      </c>
      <c r="B10" s="191">
        <v>0</v>
      </c>
    </row>
    <row r="11" spans="1:4" x14ac:dyDescent="0.2">
      <c r="A11" s="32" t="s">
        <v>291</v>
      </c>
      <c r="B11" s="192">
        <v>0</v>
      </c>
    </row>
    <row r="12" spans="1:4" x14ac:dyDescent="0.2">
      <c r="A12" s="31" t="s">
        <v>281</v>
      </c>
      <c r="B12" s="190">
        <v>0</v>
      </c>
    </row>
    <row r="13" spans="1:4" x14ac:dyDescent="0.2">
      <c r="A13" s="33" t="s">
        <v>282</v>
      </c>
      <c r="B13" s="191" t="s">
        <v>277</v>
      </c>
    </row>
    <row r="14" spans="1:4" x14ac:dyDescent="0.2">
      <c r="A14" s="33" t="s">
        <v>283</v>
      </c>
      <c r="B14" s="191" t="s">
        <v>277</v>
      </c>
    </row>
    <row r="15" spans="1:4" x14ac:dyDescent="0.2">
      <c r="A15" s="32" t="s">
        <v>284</v>
      </c>
      <c r="B15" s="192" t="s">
        <v>551</v>
      </c>
      <c r="C15" t="str">
        <f>VLOOKUP(L2_Country,LookupCountry,2,FALSE)</f>
        <v>Zimbabwe</v>
      </c>
    </row>
    <row r="16" spans="1:4" x14ac:dyDescent="0.2">
      <c r="A16" s="31" t="s">
        <v>288</v>
      </c>
      <c r="B16" s="190">
        <v>0</v>
      </c>
    </row>
    <row r="17" spans="1:3" x14ac:dyDescent="0.2">
      <c r="A17" s="33" t="s">
        <v>289</v>
      </c>
      <c r="B17" s="191">
        <v>0</v>
      </c>
    </row>
    <row r="18" spans="1:3" x14ac:dyDescent="0.2">
      <c r="A18" s="33" t="s">
        <v>292</v>
      </c>
      <c r="B18" s="191">
        <v>0</v>
      </c>
    </row>
    <row r="19" spans="1:3" x14ac:dyDescent="0.2">
      <c r="A19" s="94" t="s">
        <v>290</v>
      </c>
      <c r="B19" s="213">
        <v>0</v>
      </c>
    </row>
    <row r="21" spans="1:3" x14ac:dyDescent="0.2">
      <c r="A21" s="31" t="s">
        <v>293</v>
      </c>
      <c r="B21" s="190">
        <v>1</v>
      </c>
      <c r="C21" t="str">
        <f>INDEX(LookupBenefit,InputBenefitType)</f>
        <v>Life assurance</v>
      </c>
    </row>
    <row r="22" spans="1:3" x14ac:dyDescent="0.2">
      <c r="A22" s="33" t="s">
        <v>294</v>
      </c>
      <c r="B22" s="191">
        <v>1</v>
      </c>
      <c r="C22" t="str">
        <f>INDEX(LookupEvent,InputTrigger)</f>
        <v>Single</v>
      </c>
    </row>
    <row r="23" spans="1:3" x14ac:dyDescent="0.2">
      <c r="A23" s="33" t="s">
        <v>295</v>
      </c>
      <c r="B23" s="292">
        <v>1</v>
      </c>
      <c r="C23" t="str">
        <f>INDEX(LookupBasis,InputSABasis)</f>
        <v>Integrated basis</v>
      </c>
    </row>
    <row r="24" spans="1:3" x14ac:dyDescent="0.2">
      <c r="A24" s="33" t="s">
        <v>202</v>
      </c>
      <c r="B24" s="191" t="s">
        <v>277</v>
      </c>
    </row>
    <row r="25" spans="1:3" x14ac:dyDescent="0.2">
      <c r="A25" s="33" t="s">
        <v>296</v>
      </c>
      <c r="B25" s="191">
        <v>1</v>
      </c>
      <c r="C25" t="str">
        <f>INDEX(LookupCalc,InputCalcBasis)</f>
        <v>Balanced</v>
      </c>
    </row>
    <row r="26" spans="1:3" x14ac:dyDescent="0.2">
      <c r="A26" s="33" t="s">
        <v>347</v>
      </c>
      <c r="B26" s="193">
        <v>7.4999999999999997E-2</v>
      </c>
    </row>
    <row r="27" spans="1:3" x14ac:dyDescent="0.2">
      <c r="A27" s="32" t="s">
        <v>298</v>
      </c>
      <c r="B27" s="291">
        <v>1</v>
      </c>
      <c r="C27" t="str">
        <f>INDEX(LookupType,InputBusType)</f>
        <v>New business</v>
      </c>
    </row>
    <row r="29" spans="1:3" x14ac:dyDescent="0.2">
      <c r="A29" s="31" t="s">
        <v>4</v>
      </c>
      <c r="B29" s="190" t="s">
        <v>303</v>
      </c>
    </row>
    <row r="30" spans="1:3" x14ac:dyDescent="0.2">
      <c r="A30" s="33" t="s">
        <v>300</v>
      </c>
      <c r="B30" s="298">
        <f>VLOOKUP(InputCurrency,CurrencyLookup,2,FALSE)</f>
        <v>1</v>
      </c>
    </row>
    <row r="31" spans="1:3" x14ac:dyDescent="0.2">
      <c r="A31" s="33" t="s">
        <v>15</v>
      </c>
      <c r="B31" s="194">
        <v>67</v>
      </c>
    </row>
    <row r="32" spans="1:3" x14ac:dyDescent="0.2">
      <c r="A32" s="33" t="s">
        <v>6</v>
      </c>
      <c r="B32" s="298">
        <f>VLOOKUP(InputCurrency,CurrencyLookup,3,FALSE)</f>
        <v>0</v>
      </c>
    </row>
    <row r="33" spans="1:6" x14ac:dyDescent="0.2">
      <c r="A33" s="33" t="s">
        <v>301</v>
      </c>
      <c r="B33" s="191" t="s">
        <v>348</v>
      </c>
      <c r="C33" s="299" t="s">
        <v>348</v>
      </c>
      <c r="D33" s="300" t="s">
        <v>350</v>
      </c>
      <c r="E33" s="300" t="s">
        <v>349</v>
      </c>
      <c r="F33" s="301" t="s">
        <v>351</v>
      </c>
    </row>
    <row r="34" spans="1:6" x14ac:dyDescent="0.2">
      <c r="A34" s="33" t="s">
        <v>22</v>
      </c>
      <c r="B34" s="194">
        <v>50000</v>
      </c>
      <c r="C34" s="302">
        <v>5</v>
      </c>
      <c r="D34" s="303">
        <v>6</v>
      </c>
      <c r="E34" s="303">
        <v>7</v>
      </c>
      <c r="F34" s="304">
        <v>8</v>
      </c>
    </row>
    <row r="35" spans="1:6" x14ac:dyDescent="0.2">
      <c r="A35" s="33" t="s">
        <v>7</v>
      </c>
      <c r="B35" s="298">
        <f>VLOOKUP(InputCurrency,CurrencyLookup,4,FALSE)</f>
        <v>-2</v>
      </c>
    </row>
    <row r="36" spans="1:6" x14ac:dyDescent="0.2">
      <c r="A36" s="32" t="s">
        <v>302</v>
      </c>
      <c r="B36" s="192">
        <v>3</v>
      </c>
      <c r="C36" t="str">
        <f>INDEX(LookupTarget,InputTarget)</f>
        <v>None</v>
      </c>
    </row>
    <row r="37" spans="1:6" x14ac:dyDescent="0.2">
      <c r="A37" s="14"/>
      <c r="B37" s="309"/>
      <c r="C37" s="14"/>
    </row>
    <row r="38" spans="1:6" x14ac:dyDescent="0.2">
      <c r="A38" s="94" t="s">
        <v>8</v>
      </c>
      <c r="B38" s="310">
        <f>VLOOKUP(InputCurrency,CurrencyLookup,HLOOKUP(InputPremFreq,INPUTS!$C$33:$F$34,2,FALSE),FALSE)</f>
        <v>67</v>
      </c>
    </row>
    <row r="40" spans="1:6" x14ac:dyDescent="0.2">
      <c r="A40" s="94" t="s">
        <v>3</v>
      </c>
      <c r="B40" s="213">
        <v>0</v>
      </c>
    </row>
    <row r="42" spans="1:6" x14ac:dyDescent="0.2">
      <c r="A42" s="31" t="s">
        <v>297</v>
      </c>
      <c r="B42" s="190">
        <v>7.4999999999999997E-2</v>
      </c>
    </row>
    <row r="43" spans="1:6" x14ac:dyDescent="0.2">
      <c r="A43" s="32" t="s">
        <v>326</v>
      </c>
      <c r="B43" s="311">
        <v>38013</v>
      </c>
    </row>
    <row r="45" spans="1:6" x14ac:dyDescent="0.2">
      <c r="A45" s="93" t="s">
        <v>328</v>
      </c>
      <c r="B45" s="288"/>
      <c r="C45" t="s">
        <v>342</v>
      </c>
    </row>
    <row r="46" spans="1:6" x14ac:dyDescent="0.2">
      <c r="A46" s="87" t="s">
        <v>329</v>
      </c>
      <c r="B46" s="289"/>
      <c r="C46" t="s">
        <v>343</v>
      </c>
    </row>
    <row r="47" spans="1:6" x14ac:dyDescent="0.2">
      <c r="A47" s="87" t="s">
        <v>330</v>
      </c>
      <c r="B47" s="289"/>
    </row>
    <row r="48" spans="1:6" x14ac:dyDescent="0.2">
      <c r="A48" s="87" t="s">
        <v>331</v>
      </c>
      <c r="B48" s="290"/>
    </row>
    <row r="49" spans="1:2" x14ac:dyDescent="0.2">
      <c r="A49" s="92" t="s">
        <v>332</v>
      </c>
      <c r="B49" s="29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autoPageBreaks="0"/>
  </sheetPr>
  <dimension ref="A1:AC150"/>
  <sheetViews>
    <sheetView workbookViewId="0">
      <pane ySplit="1" topLeftCell="A2" activePane="bottomLeft" state="frozen"/>
      <selection activeCell="J1" sqref="J1"/>
      <selection pane="bottomLeft" activeCell="A2" sqref="A2"/>
    </sheetView>
  </sheetViews>
  <sheetFormatPr defaultRowHeight="12.75" x14ac:dyDescent="0.2"/>
  <cols>
    <col min="1" max="1" width="8.42578125" bestFit="1" customWidth="1"/>
    <col min="2" max="2" width="5.5703125" bestFit="1" customWidth="1"/>
    <col min="3" max="3" width="8.42578125" bestFit="1" customWidth="1"/>
    <col min="4" max="4" width="8.7109375" bestFit="1" customWidth="1"/>
    <col min="5" max="8" width="10.140625" customWidth="1"/>
    <col min="10" max="10" width="4.42578125" bestFit="1" customWidth="1"/>
    <col min="11" max="11" width="29.5703125" bestFit="1" customWidth="1"/>
    <col min="12" max="12" width="11.5703125" bestFit="1" customWidth="1"/>
    <col min="13" max="13" width="14.42578125" bestFit="1" customWidth="1"/>
    <col min="14" max="14" width="10.28515625" bestFit="1" customWidth="1"/>
    <col min="15" max="15" width="11" bestFit="1" customWidth="1"/>
    <col min="16" max="16" width="14.42578125" bestFit="1" customWidth="1"/>
    <col min="17" max="17" width="12.42578125" bestFit="1" customWidth="1"/>
    <col min="18" max="18" width="14.85546875" bestFit="1" customWidth="1"/>
    <col min="19" max="19" width="17.85546875" bestFit="1" customWidth="1"/>
    <col min="20" max="20" width="7.7109375" bestFit="1" customWidth="1"/>
    <col min="21" max="21" width="9" bestFit="1" customWidth="1"/>
    <col min="22" max="22" width="9.140625" style="14"/>
    <col min="23" max="23" width="17.85546875" bestFit="1" customWidth="1"/>
    <col min="24" max="24" width="17.7109375" bestFit="1" customWidth="1"/>
    <col min="25" max="25" width="14.140625" bestFit="1" customWidth="1"/>
    <col min="26" max="26" width="4.28515625" bestFit="1" customWidth="1"/>
    <col min="27" max="27" width="12.28515625" bestFit="1" customWidth="1"/>
    <col min="28" max="28" width="10" customWidth="1"/>
    <col min="29" max="29" width="12.5703125" bestFit="1" customWidth="1"/>
  </cols>
  <sheetData>
    <row r="1" spans="1:29" ht="12.75" customHeight="1" x14ac:dyDescent="0.2">
      <c r="A1" s="31"/>
      <c r="B1" s="31"/>
      <c r="C1" s="342" t="s">
        <v>308</v>
      </c>
      <c r="D1" s="342"/>
      <c r="E1" s="342" t="s">
        <v>307</v>
      </c>
      <c r="F1" s="342"/>
      <c r="G1" s="342"/>
      <c r="H1" s="342"/>
      <c r="J1" s="334" t="s">
        <v>361</v>
      </c>
      <c r="K1" s="260" t="s">
        <v>362</v>
      </c>
      <c r="L1" s="320" t="s">
        <v>363</v>
      </c>
      <c r="M1" s="315" t="s">
        <v>364</v>
      </c>
      <c r="N1" s="313" t="s">
        <v>365</v>
      </c>
      <c r="O1" s="313" t="s">
        <v>366</v>
      </c>
      <c r="P1" s="314" t="s">
        <v>367</v>
      </c>
      <c r="Q1" s="320" t="s">
        <v>368</v>
      </c>
      <c r="R1" s="313" t="s">
        <v>369</v>
      </c>
      <c r="S1" s="314" t="s">
        <v>370</v>
      </c>
      <c r="T1" s="326" t="s">
        <v>371</v>
      </c>
      <c r="U1" s="315" t="s">
        <v>372</v>
      </c>
      <c r="V1" s="258"/>
      <c r="W1" s="257" t="s">
        <v>333</v>
      </c>
      <c r="X1" s="257"/>
      <c r="Y1" s="257"/>
      <c r="Z1" s="257"/>
      <c r="AA1" s="257"/>
      <c r="AB1" s="257"/>
      <c r="AC1" s="257"/>
    </row>
    <row r="2" spans="1:29" s="103" customFormat="1" x14ac:dyDescent="0.2">
      <c r="A2" s="206" t="s">
        <v>4</v>
      </c>
      <c r="B2" s="206" t="s">
        <v>163</v>
      </c>
      <c r="C2" s="207" t="s">
        <v>15</v>
      </c>
      <c r="D2" s="207" t="s">
        <v>339</v>
      </c>
      <c r="E2" s="207" t="s">
        <v>16</v>
      </c>
      <c r="F2" s="207" t="s">
        <v>23</v>
      </c>
      <c r="G2" s="207" t="s">
        <v>309</v>
      </c>
      <c r="H2" s="207" t="s">
        <v>30</v>
      </c>
      <c r="J2" s="335" t="s">
        <v>373</v>
      </c>
      <c r="K2" s="332" t="s">
        <v>9</v>
      </c>
      <c r="L2" s="331">
        <v>0</v>
      </c>
      <c r="M2" s="329">
        <v>0</v>
      </c>
      <c r="N2" s="317">
        <v>1000000</v>
      </c>
      <c r="O2" s="317">
        <v>500000</v>
      </c>
      <c r="P2" s="318">
        <v>500000</v>
      </c>
      <c r="Q2" s="317">
        <v>6500000</v>
      </c>
      <c r="R2" s="317">
        <v>750000</v>
      </c>
      <c r="S2" s="318">
        <v>750000</v>
      </c>
      <c r="T2" s="317">
        <v>15000</v>
      </c>
      <c r="U2" s="318">
        <v>50000</v>
      </c>
      <c r="V2" s="316"/>
      <c r="W2" s="266" t="s">
        <v>334</v>
      </c>
      <c r="X2" s="266" t="s">
        <v>294</v>
      </c>
      <c r="Y2" s="266" t="s">
        <v>335</v>
      </c>
      <c r="Z2" s="266" t="s">
        <v>336</v>
      </c>
      <c r="AA2" s="266" t="s">
        <v>302</v>
      </c>
      <c r="AB2" s="266" t="s">
        <v>337</v>
      </c>
      <c r="AC2" s="266" t="s">
        <v>338</v>
      </c>
    </row>
    <row r="3" spans="1:29" x14ac:dyDescent="0.2">
      <c r="A3" s="31" t="s">
        <v>303</v>
      </c>
      <c r="B3" s="195">
        <v>1</v>
      </c>
      <c r="C3" s="93">
        <v>0</v>
      </c>
      <c r="D3" s="197">
        <v>-2</v>
      </c>
      <c r="E3" s="200">
        <v>67</v>
      </c>
      <c r="F3" s="201">
        <v>200</v>
      </c>
      <c r="G3" s="201">
        <v>400</v>
      </c>
      <c r="H3" s="202">
        <v>670</v>
      </c>
      <c r="J3" s="336" t="s">
        <v>541</v>
      </c>
      <c r="K3" s="333" t="s">
        <v>237</v>
      </c>
      <c r="L3" s="328">
        <v>0</v>
      </c>
      <c r="M3" s="330">
        <v>0</v>
      </c>
      <c r="N3" s="316">
        <v>1000000</v>
      </c>
      <c r="O3" s="316">
        <v>500000</v>
      </c>
      <c r="P3" s="319">
        <v>500000</v>
      </c>
      <c r="Q3" s="316">
        <v>6500000</v>
      </c>
      <c r="R3" s="316">
        <v>750000</v>
      </c>
      <c r="S3" s="319">
        <v>750000</v>
      </c>
      <c r="T3" s="316">
        <v>15000</v>
      </c>
      <c r="U3" s="319">
        <v>50000</v>
      </c>
      <c r="V3" s="316"/>
      <c r="W3" s="260" t="s">
        <v>11</v>
      </c>
      <c r="X3" s="260" t="s">
        <v>12</v>
      </c>
      <c r="Y3" s="263" t="s">
        <v>13</v>
      </c>
      <c r="Z3" s="264" t="s">
        <v>14</v>
      </c>
      <c r="AA3" s="260" t="s">
        <v>15</v>
      </c>
      <c r="AB3" s="260" t="s">
        <v>17</v>
      </c>
      <c r="AC3" s="260" t="s">
        <v>258</v>
      </c>
    </row>
    <row r="4" spans="1:29" x14ac:dyDescent="0.2">
      <c r="A4" s="33" t="s">
        <v>304</v>
      </c>
      <c r="B4" s="196">
        <v>1.5</v>
      </c>
      <c r="C4" s="87">
        <v>0</v>
      </c>
      <c r="D4" s="198">
        <v>-2</v>
      </c>
      <c r="E4" s="203">
        <v>100</v>
      </c>
      <c r="F4" s="204">
        <v>300</v>
      </c>
      <c r="G4" s="204">
        <v>600</v>
      </c>
      <c r="H4" s="205">
        <v>1000</v>
      </c>
      <c r="J4" s="298" t="s">
        <v>374</v>
      </c>
      <c r="K4" s="333" t="s">
        <v>375</v>
      </c>
      <c r="L4" s="328">
        <v>2</v>
      </c>
      <c r="M4" s="330">
        <v>0</v>
      </c>
      <c r="N4" s="316">
        <v>1000000</v>
      </c>
      <c r="O4" s="316">
        <v>500000</v>
      </c>
      <c r="P4" s="319">
        <v>500000</v>
      </c>
      <c r="Q4" s="316">
        <v>6500000</v>
      </c>
      <c r="R4" s="316">
        <v>750000</v>
      </c>
      <c r="S4" s="319">
        <v>750000</v>
      </c>
      <c r="T4" s="316">
        <v>15000</v>
      </c>
      <c r="U4" s="319">
        <v>50000</v>
      </c>
      <c r="V4" s="316"/>
      <c r="W4" s="261" t="s">
        <v>19</v>
      </c>
      <c r="X4" s="261" t="s">
        <v>20</v>
      </c>
      <c r="Y4" s="257"/>
      <c r="Z4" s="265" t="s">
        <v>21</v>
      </c>
      <c r="AA4" s="261" t="s">
        <v>22</v>
      </c>
      <c r="AB4" s="262" t="s">
        <v>24</v>
      </c>
      <c r="AC4" s="262" t="s">
        <v>259</v>
      </c>
    </row>
    <row r="5" spans="1:29" x14ac:dyDescent="0.2">
      <c r="A5" s="33" t="s">
        <v>305</v>
      </c>
      <c r="B5" s="196">
        <v>12.5</v>
      </c>
      <c r="C5" s="87">
        <v>-1</v>
      </c>
      <c r="D5" s="198">
        <v>-3</v>
      </c>
      <c r="E5" s="203">
        <v>840</v>
      </c>
      <c r="F5" s="204">
        <v>2500</v>
      </c>
      <c r="G5" s="204">
        <v>5000</v>
      </c>
      <c r="H5" s="205">
        <v>8400</v>
      </c>
      <c r="J5" s="298" t="s">
        <v>376</v>
      </c>
      <c r="K5" s="333" t="s">
        <v>377</v>
      </c>
      <c r="L5" s="328">
        <v>0</v>
      </c>
      <c r="M5" s="330">
        <v>0</v>
      </c>
      <c r="N5" s="316">
        <v>1000000</v>
      </c>
      <c r="O5" s="316">
        <v>500000</v>
      </c>
      <c r="P5" s="319">
        <v>500000</v>
      </c>
      <c r="Q5" s="316">
        <v>6500000</v>
      </c>
      <c r="R5" s="316">
        <v>750000</v>
      </c>
      <c r="S5" s="319">
        <v>750000</v>
      </c>
      <c r="T5" s="316">
        <v>15000</v>
      </c>
      <c r="U5" s="319">
        <v>50000</v>
      </c>
      <c r="V5" s="316"/>
      <c r="W5" s="262" t="s">
        <v>26</v>
      </c>
      <c r="X5" s="262" t="s">
        <v>27</v>
      </c>
      <c r="Y5" s="257"/>
      <c r="Z5" s="257"/>
      <c r="AA5" s="262" t="s">
        <v>28</v>
      </c>
      <c r="AB5" s="257"/>
      <c r="AC5" s="257"/>
    </row>
    <row r="6" spans="1:29" x14ac:dyDescent="0.2">
      <c r="A6" s="33" t="s">
        <v>306</v>
      </c>
      <c r="B6" s="196">
        <v>1.5</v>
      </c>
      <c r="C6" s="87">
        <v>0</v>
      </c>
      <c r="D6" s="198">
        <v>-2</v>
      </c>
      <c r="E6" s="203">
        <v>100</v>
      </c>
      <c r="F6" s="204">
        <v>300</v>
      </c>
      <c r="G6" s="204">
        <v>600</v>
      </c>
      <c r="H6" s="205">
        <v>1000</v>
      </c>
      <c r="J6" s="298" t="s">
        <v>358</v>
      </c>
      <c r="K6" s="333" t="s">
        <v>29</v>
      </c>
      <c r="L6" s="328">
        <v>0</v>
      </c>
      <c r="M6" s="330">
        <v>0</v>
      </c>
      <c r="N6" s="316">
        <v>1000000</v>
      </c>
      <c r="O6" s="316">
        <v>500000</v>
      </c>
      <c r="P6" s="319">
        <v>500000</v>
      </c>
      <c r="Q6" s="316">
        <v>6500000</v>
      </c>
      <c r="R6" s="316">
        <v>750000</v>
      </c>
      <c r="S6" s="319">
        <v>750000</v>
      </c>
      <c r="T6" s="316">
        <v>15000</v>
      </c>
      <c r="U6" s="319">
        <v>50000</v>
      </c>
      <c r="V6" s="316"/>
      <c r="W6" s="257"/>
      <c r="X6" s="257"/>
      <c r="Y6" s="257"/>
      <c r="Z6" s="257"/>
      <c r="AA6" s="257"/>
      <c r="AB6" s="257"/>
      <c r="AC6" s="257"/>
    </row>
    <row r="7" spans="1:29" x14ac:dyDescent="0.2">
      <c r="A7" s="33" t="s">
        <v>352</v>
      </c>
      <c r="B7" s="196">
        <v>2.5</v>
      </c>
      <c r="C7" s="87">
        <v>0</v>
      </c>
      <c r="D7" s="198">
        <v>-2</v>
      </c>
      <c r="E7" s="203">
        <v>167</v>
      </c>
      <c r="F7" s="204">
        <v>500</v>
      </c>
      <c r="G7" s="204">
        <v>1000</v>
      </c>
      <c r="H7" s="205">
        <v>1670</v>
      </c>
      <c r="J7" s="298" t="s">
        <v>359</v>
      </c>
      <c r="K7" s="333" t="s">
        <v>25</v>
      </c>
      <c r="L7" s="328">
        <v>0</v>
      </c>
      <c r="M7" s="330">
        <v>0</v>
      </c>
      <c r="N7" s="316">
        <v>1000000</v>
      </c>
      <c r="O7" s="316">
        <v>500000</v>
      </c>
      <c r="P7" s="319">
        <v>500000</v>
      </c>
      <c r="Q7" s="316">
        <v>6500000</v>
      </c>
      <c r="R7" s="316">
        <v>750000</v>
      </c>
      <c r="S7" s="319">
        <v>750000</v>
      </c>
      <c r="T7" s="316">
        <v>15000</v>
      </c>
      <c r="U7" s="319">
        <v>50000</v>
      </c>
      <c r="V7" s="316"/>
      <c r="W7" s="257"/>
      <c r="X7" s="257"/>
      <c r="Y7" s="257"/>
      <c r="Z7" s="257"/>
      <c r="AA7" s="257"/>
      <c r="AB7" s="257"/>
      <c r="AC7" s="257"/>
    </row>
    <row r="8" spans="1:29" x14ac:dyDescent="0.2">
      <c r="A8" s="33"/>
      <c r="B8" s="33"/>
      <c r="C8" s="87"/>
      <c r="D8" s="198"/>
      <c r="E8" s="87"/>
      <c r="F8" s="14"/>
      <c r="G8" s="14"/>
      <c r="H8" s="198"/>
      <c r="J8" s="336" t="s">
        <v>357</v>
      </c>
      <c r="K8" s="333" t="s">
        <v>205</v>
      </c>
      <c r="L8" s="328">
        <v>3</v>
      </c>
      <c r="M8" s="330">
        <v>0</v>
      </c>
      <c r="N8" s="316">
        <v>166666.67000000001</v>
      </c>
      <c r="O8" s="316">
        <v>0</v>
      </c>
      <c r="P8" s="319">
        <v>0</v>
      </c>
      <c r="Q8" s="316">
        <v>166666.67000000001</v>
      </c>
      <c r="R8" s="316">
        <v>0</v>
      </c>
      <c r="S8" s="319">
        <v>0</v>
      </c>
      <c r="T8" s="316">
        <v>0</v>
      </c>
      <c r="U8" s="319">
        <v>0</v>
      </c>
      <c r="V8" s="316"/>
      <c r="W8" s="257"/>
      <c r="X8" s="257"/>
      <c r="Y8" s="257"/>
      <c r="Z8" s="257"/>
      <c r="AA8" s="257"/>
      <c r="AB8" s="257"/>
      <c r="AC8" s="257"/>
    </row>
    <row r="9" spans="1:29" x14ac:dyDescent="0.2">
      <c r="A9" s="33"/>
      <c r="B9" s="33"/>
      <c r="C9" s="87"/>
      <c r="D9" s="198"/>
      <c r="E9" s="87"/>
      <c r="F9" s="14"/>
      <c r="G9" s="14"/>
      <c r="H9" s="198"/>
      <c r="J9" s="336" t="s">
        <v>390</v>
      </c>
      <c r="K9" s="333" t="s">
        <v>391</v>
      </c>
      <c r="L9" s="328">
        <v>3</v>
      </c>
      <c r="M9" s="330">
        <v>0</v>
      </c>
      <c r="N9" s="316">
        <v>166666.67000000001</v>
      </c>
      <c r="O9" s="316">
        <v>0</v>
      </c>
      <c r="P9" s="319">
        <v>0</v>
      </c>
      <c r="Q9" s="316">
        <v>166666.67000000001</v>
      </c>
      <c r="R9" s="316">
        <v>0</v>
      </c>
      <c r="S9" s="319">
        <v>0</v>
      </c>
      <c r="T9" s="316">
        <v>0</v>
      </c>
      <c r="U9" s="319">
        <v>0</v>
      </c>
      <c r="V9" s="316"/>
      <c r="W9" s="257"/>
      <c r="X9" s="257"/>
      <c r="Y9" s="257"/>
      <c r="Z9" s="257"/>
      <c r="AA9" s="257"/>
      <c r="AB9" s="257"/>
      <c r="AC9" s="257"/>
    </row>
    <row r="10" spans="1:29" x14ac:dyDescent="0.2">
      <c r="A10" s="32"/>
      <c r="B10" s="32"/>
      <c r="C10" s="92"/>
      <c r="D10" s="199"/>
      <c r="E10" s="92"/>
      <c r="F10" s="88"/>
      <c r="G10" s="88"/>
      <c r="H10" s="199"/>
      <c r="J10" s="336" t="s">
        <v>381</v>
      </c>
      <c r="K10" s="333" t="s">
        <v>208</v>
      </c>
      <c r="L10" s="328">
        <v>2</v>
      </c>
      <c r="M10" s="330">
        <v>0</v>
      </c>
      <c r="N10" s="316">
        <v>1000000</v>
      </c>
      <c r="O10" s="316">
        <v>500000</v>
      </c>
      <c r="P10" s="319">
        <v>500000</v>
      </c>
      <c r="Q10" s="316">
        <v>6500000</v>
      </c>
      <c r="R10" s="316">
        <v>750000</v>
      </c>
      <c r="S10" s="319">
        <v>750000</v>
      </c>
      <c r="T10" s="316">
        <v>15000</v>
      </c>
      <c r="U10" s="319">
        <v>50000</v>
      </c>
      <c r="V10" s="316"/>
      <c r="W10" s="257"/>
      <c r="X10" s="257"/>
      <c r="Y10" s="257"/>
      <c r="Z10" s="257"/>
      <c r="AA10" s="257"/>
      <c r="AB10" s="257"/>
      <c r="AC10" s="257"/>
    </row>
    <row r="11" spans="1:29" x14ac:dyDescent="0.2">
      <c r="J11" s="336" t="s">
        <v>380</v>
      </c>
      <c r="K11" s="333" t="s">
        <v>207</v>
      </c>
      <c r="L11" s="328">
        <v>4</v>
      </c>
      <c r="M11" s="330">
        <v>0</v>
      </c>
      <c r="N11" s="316">
        <v>333333.34000000003</v>
      </c>
      <c r="O11" s="316">
        <v>166666.67000000001</v>
      </c>
      <c r="P11" s="319">
        <v>166666.67000000001</v>
      </c>
      <c r="Q11" s="316">
        <v>333333.34000000003</v>
      </c>
      <c r="R11" s="316">
        <v>166666.67000000001</v>
      </c>
      <c r="S11" s="319">
        <v>166666.67000000001</v>
      </c>
      <c r="T11" s="316">
        <v>0</v>
      </c>
      <c r="U11" s="319">
        <v>0</v>
      </c>
      <c r="V11" s="316"/>
      <c r="W11" s="257"/>
      <c r="X11" s="257"/>
      <c r="Y11" s="257"/>
      <c r="Z11" s="257"/>
      <c r="AA11" s="257"/>
      <c r="AB11" s="257"/>
      <c r="AC11" s="257"/>
    </row>
    <row r="12" spans="1:29" x14ac:dyDescent="0.2">
      <c r="J12" s="336" t="s">
        <v>384</v>
      </c>
      <c r="K12" s="333" t="s">
        <v>32</v>
      </c>
      <c r="L12" s="328">
        <v>0</v>
      </c>
      <c r="M12" s="330">
        <v>0</v>
      </c>
      <c r="N12" s="316">
        <v>1000000</v>
      </c>
      <c r="O12" s="316">
        <v>500000</v>
      </c>
      <c r="P12" s="319">
        <v>500000</v>
      </c>
      <c r="Q12" s="316">
        <v>6500000</v>
      </c>
      <c r="R12" s="316">
        <v>750000</v>
      </c>
      <c r="S12" s="319">
        <v>750000</v>
      </c>
      <c r="T12" s="316">
        <v>15000</v>
      </c>
      <c r="U12" s="319">
        <v>50000</v>
      </c>
      <c r="V12" s="316"/>
      <c r="W12" s="257"/>
      <c r="X12" s="257"/>
      <c r="Y12" s="257"/>
      <c r="Z12" s="257"/>
      <c r="AA12" s="257"/>
      <c r="AB12" s="257"/>
      <c r="AC12" s="257"/>
    </row>
    <row r="13" spans="1:29" x14ac:dyDescent="0.2">
      <c r="J13" s="336" t="s">
        <v>397</v>
      </c>
      <c r="K13" s="333" t="s">
        <v>209</v>
      </c>
      <c r="L13" s="328">
        <v>3</v>
      </c>
      <c r="M13" s="330">
        <v>0</v>
      </c>
      <c r="N13" s="316">
        <v>333333.34000000003</v>
      </c>
      <c r="O13" s="316">
        <v>0</v>
      </c>
      <c r="P13" s="319">
        <v>0</v>
      </c>
      <c r="Q13" s="316">
        <v>333333.34000000003</v>
      </c>
      <c r="R13" s="316">
        <v>0</v>
      </c>
      <c r="S13" s="319">
        <v>0</v>
      </c>
      <c r="T13" s="316">
        <v>0</v>
      </c>
      <c r="U13" s="319">
        <v>0</v>
      </c>
      <c r="V13" s="316"/>
      <c r="W13" s="257"/>
      <c r="X13" s="257"/>
      <c r="Y13" s="257"/>
      <c r="Z13" s="257"/>
      <c r="AA13" s="257"/>
      <c r="AB13" s="257"/>
      <c r="AC13" s="257"/>
    </row>
    <row r="14" spans="1:29" x14ac:dyDescent="0.2">
      <c r="J14" s="336" t="s">
        <v>379</v>
      </c>
      <c r="K14" s="333" t="s">
        <v>31</v>
      </c>
      <c r="L14" s="328">
        <v>0</v>
      </c>
      <c r="M14" s="330">
        <v>0</v>
      </c>
      <c r="N14" s="316">
        <v>1000000</v>
      </c>
      <c r="O14" s="316">
        <v>500000</v>
      </c>
      <c r="P14" s="319">
        <v>500000</v>
      </c>
      <c r="Q14" s="316">
        <v>6500000</v>
      </c>
      <c r="R14" s="316">
        <v>750000</v>
      </c>
      <c r="S14" s="319">
        <v>750000</v>
      </c>
      <c r="T14" s="316">
        <v>15000</v>
      </c>
      <c r="U14" s="319">
        <v>50000</v>
      </c>
      <c r="V14" s="316"/>
      <c r="W14" s="257"/>
      <c r="X14" s="257"/>
      <c r="Y14" s="257"/>
      <c r="Z14" s="257"/>
      <c r="AA14" s="257"/>
      <c r="AB14" s="257"/>
      <c r="AC14" s="257"/>
    </row>
    <row r="15" spans="1:29" x14ac:dyDescent="0.2">
      <c r="J15" s="336" t="s">
        <v>387</v>
      </c>
      <c r="K15" s="333" t="s">
        <v>33</v>
      </c>
      <c r="L15" s="328">
        <v>0</v>
      </c>
      <c r="M15" s="330">
        <v>0</v>
      </c>
      <c r="N15" s="316">
        <v>1000000</v>
      </c>
      <c r="O15" s="316">
        <v>500000</v>
      </c>
      <c r="P15" s="319">
        <v>500000</v>
      </c>
      <c r="Q15" s="316">
        <v>6500000</v>
      </c>
      <c r="R15" s="316">
        <v>750000</v>
      </c>
      <c r="S15" s="319">
        <v>750000</v>
      </c>
      <c r="T15" s="316">
        <v>15000</v>
      </c>
      <c r="U15" s="319">
        <v>50000</v>
      </c>
      <c r="V15" s="316"/>
      <c r="W15" s="257"/>
      <c r="X15" s="257"/>
      <c r="Y15" s="257"/>
      <c r="Z15" s="257"/>
      <c r="AA15" s="257"/>
      <c r="AB15" s="257"/>
      <c r="AC15" s="257"/>
    </row>
    <row r="16" spans="1:29" x14ac:dyDescent="0.2">
      <c r="J16" s="336" t="s">
        <v>395</v>
      </c>
      <c r="K16" s="333" t="s">
        <v>396</v>
      </c>
      <c r="L16" s="328">
        <v>0</v>
      </c>
      <c r="M16" s="330">
        <v>0</v>
      </c>
      <c r="N16" s="316">
        <v>1000000</v>
      </c>
      <c r="O16" s="316">
        <v>500000</v>
      </c>
      <c r="P16" s="319">
        <v>500000</v>
      </c>
      <c r="Q16" s="316">
        <v>6500000</v>
      </c>
      <c r="R16" s="316">
        <v>750000</v>
      </c>
      <c r="S16" s="319">
        <v>750000</v>
      </c>
      <c r="T16" s="316">
        <v>15000</v>
      </c>
      <c r="U16" s="319">
        <v>50000</v>
      </c>
      <c r="V16" s="316"/>
      <c r="W16" s="257"/>
      <c r="X16" s="257"/>
      <c r="Y16" s="257"/>
      <c r="Z16" s="257"/>
      <c r="AA16" s="257"/>
      <c r="AB16" s="257"/>
      <c r="AC16" s="257"/>
    </row>
    <row r="17" spans="10:29" x14ac:dyDescent="0.2">
      <c r="J17" s="336" t="s">
        <v>388</v>
      </c>
      <c r="K17" s="333" t="s">
        <v>389</v>
      </c>
      <c r="L17" s="328">
        <v>2</v>
      </c>
      <c r="M17" s="330">
        <v>0</v>
      </c>
      <c r="N17" s="316">
        <v>1000000</v>
      </c>
      <c r="O17" s="316">
        <v>500000</v>
      </c>
      <c r="P17" s="319">
        <v>500000</v>
      </c>
      <c r="Q17" s="316">
        <v>6500000</v>
      </c>
      <c r="R17" s="316">
        <v>750000</v>
      </c>
      <c r="S17" s="319">
        <v>750000</v>
      </c>
      <c r="T17" s="316">
        <v>15000</v>
      </c>
      <c r="U17" s="319">
        <v>50000</v>
      </c>
      <c r="V17" s="316"/>
      <c r="W17" s="257"/>
      <c r="X17" s="257"/>
      <c r="Y17" s="257"/>
      <c r="Z17" s="257"/>
      <c r="AA17" s="257"/>
      <c r="AB17" s="257"/>
      <c r="AC17" s="257"/>
    </row>
    <row r="18" spans="10:29" x14ac:dyDescent="0.2">
      <c r="J18" s="336" t="s">
        <v>393</v>
      </c>
      <c r="K18" s="333" t="s">
        <v>394</v>
      </c>
      <c r="L18" s="328">
        <v>1</v>
      </c>
      <c r="M18" s="330">
        <v>0</v>
      </c>
      <c r="N18" s="316">
        <v>1000000</v>
      </c>
      <c r="O18" s="316">
        <v>500000</v>
      </c>
      <c r="P18" s="319">
        <v>500000</v>
      </c>
      <c r="Q18" s="316">
        <v>6500000</v>
      </c>
      <c r="R18" s="316">
        <v>750000</v>
      </c>
      <c r="S18" s="319">
        <v>750000</v>
      </c>
      <c r="T18" s="316">
        <v>15000</v>
      </c>
      <c r="U18" s="319">
        <v>50000</v>
      </c>
      <c r="V18" s="316"/>
      <c r="W18" s="257"/>
      <c r="X18" s="257"/>
      <c r="Y18" s="257"/>
      <c r="Z18" s="257"/>
      <c r="AA18" s="257"/>
      <c r="AB18" s="257"/>
      <c r="AC18" s="257"/>
    </row>
    <row r="19" spans="10:29" x14ac:dyDescent="0.2">
      <c r="J19" s="336" t="s">
        <v>378</v>
      </c>
      <c r="K19" s="333" t="s">
        <v>206</v>
      </c>
      <c r="L19" s="328">
        <v>1</v>
      </c>
      <c r="M19" s="330">
        <v>0</v>
      </c>
      <c r="N19" s="316">
        <v>1000000</v>
      </c>
      <c r="O19" s="316">
        <v>500000</v>
      </c>
      <c r="P19" s="319">
        <v>500000</v>
      </c>
      <c r="Q19" s="316">
        <v>6500000</v>
      </c>
      <c r="R19" s="316">
        <v>750000</v>
      </c>
      <c r="S19" s="319">
        <v>750000</v>
      </c>
      <c r="T19" s="316">
        <v>15000</v>
      </c>
      <c r="U19" s="319">
        <v>50000</v>
      </c>
      <c r="V19" s="316"/>
      <c r="W19" s="257"/>
      <c r="X19" s="257"/>
      <c r="Y19" s="257"/>
      <c r="Z19" s="257"/>
      <c r="AA19" s="257"/>
      <c r="AB19" s="257"/>
      <c r="AC19" s="257"/>
    </row>
    <row r="20" spans="10:29" x14ac:dyDescent="0.2">
      <c r="J20" s="336" t="s">
        <v>392</v>
      </c>
      <c r="K20" s="333" t="s">
        <v>35</v>
      </c>
      <c r="L20" s="328">
        <v>2</v>
      </c>
      <c r="M20" s="330">
        <v>0.5</v>
      </c>
      <c r="N20" s="316">
        <v>333333.34000000003</v>
      </c>
      <c r="O20" s="316">
        <v>333333.34000000003</v>
      </c>
      <c r="P20" s="319">
        <v>333333.34000000003</v>
      </c>
      <c r="Q20" s="316">
        <v>333333.34000000003</v>
      </c>
      <c r="R20" s="316">
        <v>333333.34000000003</v>
      </c>
      <c r="S20" s="319">
        <v>333333.34000000003</v>
      </c>
      <c r="T20" s="316">
        <v>0</v>
      </c>
      <c r="U20" s="319">
        <v>0</v>
      </c>
      <c r="V20" s="316"/>
      <c r="W20" s="257"/>
      <c r="X20" s="257"/>
      <c r="Y20" s="257"/>
      <c r="Z20" s="257"/>
      <c r="AA20" s="257"/>
      <c r="AB20" s="257"/>
      <c r="AC20" s="257"/>
    </row>
    <row r="21" spans="10:29" x14ac:dyDescent="0.2">
      <c r="J21" s="336" t="s">
        <v>382</v>
      </c>
      <c r="K21" s="333" t="s">
        <v>383</v>
      </c>
      <c r="L21" s="328">
        <v>3</v>
      </c>
      <c r="M21" s="330">
        <v>0</v>
      </c>
      <c r="N21" s="316">
        <v>333333.34000000003</v>
      </c>
      <c r="O21" s="316">
        <v>0</v>
      </c>
      <c r="P21" s="319">
        <v>0</v>
      </c>
      <c r="Q21" s="316">
        <v>333333.34000000003</v>
      </c>
      <c r="R21" s="316">
        <v>0</v>
      </c>
      <c r="S21" s="319">
        <v>0</v>
      </c>
      <c r="T21" s="316">
        <v>0</v>
      </c>
      <c r="U21" s="319">
        <v>0</v>
      </c>
      <c r="V21" s="316"/>
      <c r="W21" s="257"/>
      <c r="X21" s="257"/>
      <c r="Y21" s="257"/>
      <c r="Z21" s="257"/>
      <c r="AA21" s="257"/>
      <c r="AB21" s="257"/>
      <c r="AC21" s="257"/>
    </row>
    <row r="22" spans="10:29" x14ac:dyDescent="0.2">
      <c r="J22" s="336" t="s">
        <v>385</v>
      </c>
      <c r="K22" s="333" t="s">
        <v>386</v>
      </c>
      <c r="L22" s="328">
        <v>2</v>
      </c>
      <c r="M22" s="330">
        <v>0</v>
      </c>
      <c r="N22" s="316">
        <v>1000000</v>
      </c>
      <c r="O22" s="316">
        <v>500000</v>
      </c>
      <c r="P22" s="319">
        <v>500000</v>
      </c>
      <c r="Q22" s="316">
        <v>6500000</v>
      </c>
      <c r="R22" s="316">
        <v>750000</v>
      </c>
      <c r="S22" s="319">
        <v>750000</v>
      </c>
      <c r="T22" s="316">
        <v>15000</v>
      </c>
      <c r="U22" s="319">
        <v>50000</v>
      </c>
      <c r="V22" s="316"/>
      <c r="W22" s="257"/>
      <c r="X22" s="257"/>
      <c r="Y22" s="257"/>
      <c r="Z22" s="257"/>
      <c r="AA22" s="257"/>
      <c r="AB22" s="257"/>
      <c r="AC22" s="257"/>
    </row>
    <row r="23" spans="10:29" x14ac:dyDescent="0.2">
      <c r="J23" s="336" t="s">
        <v>399</v>
      </c>
      <c r="K23" s="333" t="s">
        <v>38</v>
      </c>
      <c r="L23" s="328">
        <v>0</v>
      </c>
      <c r="M23" s="330">
        <v>0</v>
      </c>
      <c r="N23" s="316">
        <v>1000000</v>
      </c>
      <c r="O23" s="316">
        <v>500000</v>
      </c>
      <c r="P23" s="319">
        <v>500000</v>
      </c>
      <c r="Q23" s="316">
        <v>6500000</v>
      </c>
      <c r="R23" s="316">
        <v>750000</v>
      </c>
      <c r="S23" s="319">
        <v>750000</v>
      </c>
      <c r="T23" s="316">
        <v>15000</v>
      </c>
      <c r="U23" s="319">
        <v>50000</v>
      </c>
      <c r="V23" s="316"/>
      <c r="W23" s="257"/>
      <c r="X23" s="257"/>
      <c r="Y23" s="257"/>
      <c r="Z23" s="257"/>
      <c r="AA23" s="257"/>
      <c r="AB23" s="257"/>
      <c r="AC23" s="257"/>
    </row>
    <row r="24" spans="10:29" x14ac:dyDescent="0.2">
      <c r="J24" s="336" t="s">
        <v>405</v>
      </c>
      <c r="K24" s="333" t="s">
        <v>406</v>
      </c>
      <c r="L24" s="328">
        <v>2</v>
      </c>
      <c r="M24" s="330">
        <v>0</v>
      </c>
      <c r="N24" s="316">
        <v>1000000</v>
      </c>
      <c r="O24" s="316">
        <v>500000</v>
      </c>
      <c r="P24" s="319">
        <v>500000</v>
      </c>
      <c r="Q24" s="316">
        <v>6500000</v>
      </c>
      <c r="R24" s="316">
        <v>750000</v>
      </c>
      <c r="S24" s="319">
        <v>750000</v>
      </c>
      <c r="T24" s="316">
        <v>15000</v>
      </c>
      <c r="U24" s="319">
        <v>50000</v>
      </c>
      <c r="V24" s="316"/>
      <c r="W24" s="257"/>
      <c r="X24" s="257"/>
      <c r="Y24" s="257"/>
      <c r="Z24" s="257"/>
      <c r="AA24" s="257"/>
      <c r="AB24" s="257"/>
      <c r="AC24" s="257"/>
    </row>
    <row r="25" spans="10:29" x14ac:dyDescent="0.2">
      <c r="J25" s="336" t="s">
        <v>526</v>
      </c>
      <c r="K25" s="333" t="s">
        <v>117</v>
      </c>
      <c r="L25" s="328">
        <v>0</v>
      </c>
      <c r="M25" s="330">
        <v>0</v>
      </c>
      <c r="N25" s="316">
        <v>1000000</v>
      </c>
      <c r="O25" s="316">
        <v>500000</v>
      </c>
      <c r="P25" s="319">
        <v>500000</v>
      </c>
      <c r="Q25" s="316">
        <v>6500000</v>
      </c>
      <c r="R25" s="316">
        <v>750000</v>
      </c>
      <c r="S25" s="319">
        <v>750000</v>
      </c>
      <c r="T25" s="316">
        <v>15000</v>
      </c>
      <c r="U25" s="319">
        <v>50000</v>
      </c>
      <c r="V25" s="316"/>
      <c r="W25" s="257"/>
      <c r="X25" s="257"/>
      <c r="Y25" s="257"/>
      <c r="Z25" s="257"/>
      <c r="AA25" s="257"/>
      <c r="AB25" s="257"/>
      <c r="AC25" s="257"/>
    </row>
    <row r="26" spans="10:29" x14ac:dyDescent="0.2">
      <c r="J26" s="336" t="s">
        <v>410</v>
      </c>
      <c r="K26" s="333" t="s">
        <v>411</v>
      </c>
      <c r="L26" s="328">
        <v>3</v>
      </c>
      <c r="M26" s="330">
        <v>1</v>
      </c>
      <c r="N26" s="316">
        <v>166666.67000000001</v>
      </c>
      <c r="O26" s="316">
        <v>0</v>
      </c>
      <c r="P26" s="319">
        <v>0</v>
      </c>
      <c r="Q26" s="316">
        <v>166666.67000000001</v>
      </c>
      <c r="R26" s="316">
        <v>0</v>
      </c>
      <c r="S26" s="319">
        <v>0</v>
      </c>
      <c r="T26" s="316">
        <v>0</v>
      </c>
      <c r="U26" s="319">
        <v>0</v>
      </c>
      <c r="V26" s="316"/>
      <c r="W26" s="257"/>
      <c r="X26" s="257"/>
      <c r="Y26" s="257"/>
      <c r="Z26" s="257"/>
      <c r="AA26" s="257"/>
      <c r="AB26" s="257"/>
      <c r="AC26" s="257"/>
    </row>
    <row r="27" spans="10:29" x14ac:dyDescent="0.2">
      <c r="J27" s="336" t="s">
        <v>407</v>
      </c>
      <c r="K27" s="333" t="s">
        <v>212</v>
      </c>
      <c r="L27" s="328">
        <v>2</v>
      </c>
      <c r="M27" s="330">
        <v>0</v>
      </c>
      <c r="N27" s="316">
        <v>1000000</v>
      </c>
      <c r="O27" s="316">
        <v>500000</v>
      </c>
      <c r="P27" s="319">
        <v>500000</v>
      </c>
      <c r="Q27" s="316">
        <v>6500000</v>
      </c>
      <c r="R27" s="316">
        <v>750000</v>
      </c>
      <c r="S27" s="319">
        <v>750000</v>
      </c>
      <c r="T27" s="316">
        <v>15000</v>
      </c>
      <c r="U27" s="319">
        <v>50000</v>
      </c>
      <c r="V27" s="316"/>
      <c r="W27" s="257"/>
      <c r="X27" s="257"/>
      <c r="Y27" s="257"/>
      <c r="Z27" s="257"/>
      <c r="AA27" s="257"/>
      <c r="AB27" s="257"/>
      <c r="AC27" s="257"/>
    </row>
    <row r="28" spans="10:29" x14ac:dyDescent="0.2">
      <c r="J28" s="336" t="s">
        <v>401</v>
      </c>
      <c r="K28" s="333" t="s">
        <v>402</v>
      </c>
      <c r="L28" s="328">
        <v>0</v>
      </c>
      <c r="M28" s="330">
        <v>0</v>
      </c>
      <c r="N28" s="316">
        <v>1000000</v>
      </c>
      <c r="O28" s="316">
        <v>500000</v>
      </c>
      <c r="P28" s="319">
        <v>500000</v>
      </c>
      <c r="Q28" s="316">
        <v>6500000</v>
      </c>
      <c r="R28" s="316">
        <v>750000</v>
      </c>
      <c r="S28" s="319">
        <v>750000</v>
      </c>
      <c r="T28" s="316">
        <v>15000</v>
      </c>
      <c r="U28" s="319">
        <v>50000</v>
      </c>
      <c r="V28" s="316"/>
      <c r="W28" s="257"/>
      <c r="X28" s="257"/>
      <c r="Y28" s="257"/>
      <c r="Z28" s="257"/>
      <c r="AA28" s="257"/>
      <c r="AB28" s="257"/>
      <c r="AC28" s="257"/>
    </row>
    <row r="29" spans="10:29" x14ac:dyDescent="0.2">
      <c r="J29" s="336" t="s">
        <v>403</v>
      </c>
      <c r="K29" s="333" t="s">
        <v>41</v>
      </c>
      <c r="L29" s="328">
        <v>2</v>
      </c>
      <c r="M29" s="330">
        <v>0</v>
      </c>
      <c r="N29" s="316">
        <v>1000000</v>
      </c>
      <c r="O29" s="316">
        <v>500000</v>
      </c>
      <c r="P29" s="319">
        <v>500000</v>
      </c>
      <c r="Q29" s="316">
        <v>6500000</v>
      </c>
      <c r="R29" s="316">
        <v>750000</v>
      </c>
      <c r="S29" s="319">
        <v>750000</v>
      </c>
      <c r="T29" s="316">
        <v>15000</v>
      </c>
      <c r="U29" s="319">
        <v>50000</v>
      </c>
      <c r="V29" s="316"/>
      <c r="W29" s="257"/>
      <c r="X29" s="257"/>
      <c r="Y29" s="257"/>
      <c r="Z29" s="257"/>
      <c r="AA29" s="257"/>
      <c r="AB29" s="257"/>
      <c r="AC29" s="257"/>
    </row>
    <row r="30" spans="10:29" x14ac:dyDescent="0.2">
      <c r="J30" s="336" t="s">
        <v>408</v>
      </c>
      <c r="K30" s="333" t="s">
        <v>409</v>
      </c>
      <c r="L30" s="328">
        <v>1</v>
      </c>
      <c r="M30" s="330">
        <v>0</v>
      </c>
      <c r="N30" s="316">
        <v>1000000</v>
      </c>
      <c r="O30" s="316">
        <v>500000</v>
      </c>
      <c r="P30" s="319">
        <v>500000</v>
      </c>
      <c r="Q30" s="316">
        <v>6500000</v>
      </c>
      <c r="R30" s="316">
        <v>750000</v>
      </c>
      <c r="S30" s="319">
        <v>750000</v>
      </c>
      <c r="T30" s="316">
        <v>15000</v>
      </c>
      <c r="U30" s="319">
        <v>50000</v>
      </c>
      <c r="V30" s="316"/>
      <c r="W30" s="257"/>
      <c r="X30" s="257"/>
      <c r="Y30" s="257"/>
      <c r="Z30" s="257"/>
      <c r="AA30" s="257"/>
      <c r="AB30" s="257"/>
      <c r="AC30" s="257"/>
    </row>
    <row r="31" spans="10:29" x14ac:dyDescent="0.2">
      <c r="J31" s="336" t="s">
        <v>404</v>
      </c>
      <c r="K31" s="333" t="s">
        <v>244</v>
      </c>
      <c r="L31" s="328">
        <v>2</v>
      </c>
      <c r="M31" s="330">
        <v>0</v>
      </c>
      <c r="N31" s="316">
        <v>1000000</v>
      </c>
      <c r="O31" s="316">
        <v>500000</v>
      </c>
      <c r="P31" s="319">
        <v>500000</v>
      </c>
      <c r="Q31" s="316">
        <v>6500000</v>
      </c>
      <c r="R31" s="316">
        <v>750000</v>
      </c>
      <c r="S31" s="319">
        <v>750000</v>
      </c>
      <c r="T31" s="316">
        <v>15000</v>
      </c>
      <c r="U31" s="319">
        <v>50000</v>
      </c>
      <c r="V31" s="316"/>
      <c r="W31" s="257"/>
      <c r="X31" s="257"/>
      <c r="Y31" s="257"/>
      <c r="Z31" s="257"/>
      <c r="AA31" s="257"/>
      <c r="AB31" s="257"/>
      <c r="AC31" s="257"/>
    </row>
    <row r="32" spans="10:29" x14ac:dyDescent="0.2">
      <c r="J32" s="336" t="s">
        <v>413</v>
      </c>
      <c r="K32" s="333" t="s">
        <v>44</v>
      </c>
      <c r="L32" s="328">
        <v>0</v>
      </c>
      <c r="M32" s="330">
        <v>0</v>
      </c>
      <c r="N32" s="316">
        <v>1000000</v>
      </c>
      <c r="O32" s="316">
        <v>500000</v>
      </c>
      <c r="P32" s="319">
        <v>500000</v>
      </c>
      <c r="Q32" s="316">
        <v>6500000</v>
      </c>
      <c r="R32" s="316">
        <v>750000</v>
      </c>
      <c r="S32" s="319">
        <v>750000</v>
      </c>
      <c r="T32" s="316">
        <v>15000</v>
      </c>
      <c r="U32" s="319">
        <v>50000</v>
      </c>
      <c r="V32" s="316"/>
      <c r="W32" s="257"/>
      <c r="X32" s="257"/>
      <c r="Y32" s="257"/>
      <c r="Z32" s="257"/>
      <c r="AA32" s="257"/>
      <c r="AB32" s="257"/>
      <c r="AC32" s="257"/>
    </row>
    <row r="33" spans="10:29" x14ac:dyDescent="0.2">
      <c r="J33" s="336" t="s">
        <v>414</v>
      </c>
      <c r="K33" s="333" t="s">
        <v>214</v>
      </c>
      <c r="L33" s="328">
        <v>2</v>
      </c>
      <c r="M33" s="330">
        <v>0</v>
      </c>
      <c r="N33" s="316">
        <v>666666.67000000004</v>
      </c>
      <c r="O33" s="316">
        <v>333333.34000000003</v>
      </c>
      <c r="P33" s="319">
        <v>333333.34000000003</v>
      </c>
      <c r="Q33" s="316">
        <v>666666.67000000004</v>
      </c>
      <c r="R33" s="316">
        <v>333333.34000000003</v>
      </c>
      <c r="S33" s="319">
        <v>333333.34000000003</v>
      </c>
      <c r="T33" s="316">
        <v>0</v>
      </c>
      <c r="U33" s="319">
        <v>0</v>
      </c>
      <c r="V33" s="316"/>
      <c r="W33" s="257"/>
      <c r="X33" s="257"/>
      <c r="Y33" s="257"/>
      <c r="Z33" s="257"/>
      <c r="AA33" s="257"/>
      <c r="AB33" s="257"/>
      <c r="AC33" s="257"/>
    </row>
    <row r="34" spans="10:29" x14ac:dyDescent="0.2">
      <c r="J34" s="336" t="s">
        <v>432</v>
      </c>
      <c r="K34" s="333" t="s">
        <v>53</v>
      </c>
      <c r="L34" s="328">
        <v>0</v>
      </c>
      <c r="M34" s="330">
        <v>0</v>
      </c>
      <c r="N34" s="316">
        <v>1000000</v>
      </c>
      <c r="O34" s="316">
        <v>500000</v>
      </c>
      <c r="P34" s="319">
        <v>500000</v>
      </c>
      <c r="Q34" s="316">
        <v>6500000</v>
      </c>
      <c r="R34" s="316">
        <v>750000</v>
      </c>
      <c r="S34" s="319">
        <v>750000</v>
      </c>
      <c r="T34" s="316">
        <v>15000</v>
      </c>
      <c r="U34" s="319">
        <v>50000</v>
      </c>
      <c r="V34" s="316"/>
      <c r="W34" s="257"/>
      <c r="X34" s="257"/>
      <c r="Y34" s="257"/>
      <c r="Z34" s="257"/>
      <c r="AA34" s="257"/>
      <c r="AB34" s="257"/>
      <c r="AC34" s="257"/>
    </row>
    <row r="35" spans="10:29" x14ac:dyDescent="0.2">
      <c r="J35" s="336" t="s">
        <v>415</v>
      </c>
      <c r="K35" s="333" t="s">
        <v>46</v>
      </c>
      <c r="L35" s="328">
        <v>0</v>
      </c>
      <c r="M35" s="330">
        <v>0</v>
      </c>
      <c r="N35" s="316">
        <v>1000000</v>
      </c>
      <c r="O35" s="316">
        <v>500000</v>
      </c>
      <c r="P35" s="319">
        <v>500000</v>
      </c>
      <c r="Q35" s="316">
        <v>6500000</v>
      </c>
      <c r="R35" s="316">
        <v>750000</v>
      </c>
      <c r="S35" s="319">
        <v>750000</v>
      </c>
      <c r="T35" s="316">
        <v>15000</v>
      </c>
      <c r="U35" s="319">
        <v>50000</v>
      </c>
      <c r="V35" s="316"/>
      <c r="W35" s="257"/>
      <c r="X35" s="257"/>
      <c r="Y35" s="257"/>
      <c r="Z35" s="257"/>
      <c r="AA35" s="257"/>
      <c r="AB35" s="257"/>
      <c r="AC35" s="257"/>
    </row>
    <row r="36" spans="10:29" x14ac:dyDescent="0.2">
      <c r="J36" s="336" t="s">
        <v>416</v>
      </c>
      <c r="K36" s="333" t="s">
        <v>417</v>
      </c>
      <c r="L36" s="328">
        <v>3</v>
      </c>
      <c r="M36" s="330">
        <v>0</v>
      </c>
      <c r="N36" s="316">
        <v>333333.34000000003</v>
      </c>
      <c r="O36" s="316">
        <v>0</v>
      </c>
      <c r="P36" s="319">
        <v>0</v>
      </c>
      <c r="Q36" s="316">
        <v>333333.34000000003</v>
      </c>
      <c r="R36" s="316">
        <v>0</v>
      </c>
      <c r="S36" s="319">
        <v>0</v>
      </c>
      <c r="T36" s="316">
        <v>0</v>
      </c>
      <c r="U36" s="319">
        <v>0</v>
      </c>
      <c r="V36" s="316"/>
      <c r="W36" s="257"/>
      <c r="X36" s="257"/>
      <c r="Y36" s="257"/>
      <c r="Z36" s="257"/>
      <c r="AA36" s="257"/>
      <c r="AB36" s="257"/>
      <c r="AC36" s="257"/>
    </row>
    <row r="37" spans="10:29" x14ac:dyDescent="0.2">
      <c r="J37" s="336" t="s">
        <v>418</v>
      </c>
      <c r="K37" s="333" t="s">
        <v>419</v>
      </c>
      <c r="L37" s="328">
        <v>2</v>
      </c>
      <c r="M37" s="330">
        <v>0</v>
      </c>
      <c r="N37" s="316">
        <v>1000000</v>
      </c>
      <c r="O37" s="316">
        <v>500000</v>
      </c>
      <c r="P37" s="319">
        <v>500000</v>
      </c>
      <c r="Q37" s="316">
        <v>6500000</v>
      </c>
      <c r="R37" s="316">
        <v>750000</v>
      </c>
      <c r="S37" s="319">
        <v>750000</v>
      </c>
      <c r="T37" s="316">
        <v>15000</v>
      </c>
      <c r="U37" s="319">
        <v>50000</v>
      </c>
      <c r="V37" s="316"/>
      <c r="W37" s="257"/>
      <c r="X37" s="257"/>
      <c r="Y37" s="257"/>
      <c r="Z37" s="257"/>
      <c r="AA37" s="257"/>
      <c r="AB37" s="257"/>
      <c r="AC37" s="257"/>
    </row>
    <row r="38" spans="10:29" x14ac:dyDescent="0.2">
      <c r="J38" s="336" t="s">
        <v>421</v>
      </c>
      <c r="K38" s="333" t="s">
        <v>215</v>
      </c>
      <c r="L38" s="328">
        <v>3</v>
      </c>
      <c r="M38" s="330">
        <v>0</v>
      </c>
      <c r="N38" s="316">
        <v>333333.34000000003</v>
      </c>
      <c r="O38" s="316">
        <v>0</v>
      </c>
      <c r="P38" s="319">
        <v>0</v>
      </c>
      <c r="Q38" s="316">
        <v>333333.34000000003</v>
      </c>
      <c r="R38" s="316">
        <v>0</v>
      </c>
      <c r="S38" s="319">
        <v>0</v>
      </c>
      <c r="T38" s="316">
        <v>0</v>
      </c>
      <c r="U38" s="319">
        <v>0</v>
      </c>
      <c r="V38" s="316"/>
      <c r="W38" s="257"/>
      <c r="X38" s="257"/>
      <c r="Y38" s="257"/>
      <c r="Z38" s="257"/>
      <c r="AA38" s="257"/>
      <c r="AB38" s="257"/>
      <c r="AC38" s="257"/>
    </row>
    <row r="39" spans="10:29" x14ac:dyDescent="0.2">
      <c r="J39" s="336" t="s">
        <v>420</v>
      </c>
      <c r="K39" s="333" t="s">
        <v>48</v>
      </c>
      <c r="L39" s="328">
        <v>3</v>
      </c>
      <c r="M39" s="330">
        <v>0</v>
      </c>
      <c r="N39" s="316">
        <v>1000000</v>
      </c>
      <c r="O39" s="316">
        <v>500000</v>
      </c>
      <c r="P39" s="319">
        <v>500000</v>
      </c>
      <c r="Q39" s="316">
        <v>6500000</v>
      </c>
      <c r="R39" s="316">
        <v>750000</v>
      </c>
      <c r="S39" s="319">
        <v>750000</v>
      </c>
      <c r="T39" s="316">
        <v>15000</v>
      </c>
      <c r="U39" s="319">
        <v>50000</v>
      </c>
      <c r="V39" s="316"/>
      <c r="W39" s="257"/>
      <c r="X39" s="257"/>
      <c r="Y39" s="257"/>
      <c r="Z39" s="257"/>
      <c r="AA39" s="257"/>
      <c r="AB39" s="257"/>
      <c r="AC39" s="257"/>
    </row>
    <row r="40" spans="10:29" x14ac:dyDescent="0.2">
      <c r="J40" s="336" t="s">
        <v>522</v>
      </c>
      <c r="K40" s="333" t="s">
        <v>114</v>
      </c>
      <c r="L40" s="328">
        <v>0</v>
      </c>
      <c r="M40" s="330">
        <v>0</v>
      </c>
      <c r="N40" s="316">
        <v>1000000</v>
      </c>
      <c r="O40" s="316">
        <v>500000</v>
      </c>
      <c r="P40" s="319">
        <v>500000</v>
      </c>
      <c r="Q40" s="316">
        <v>6500000</v>
      </c>
      <c r="R40" s="316">
        <v>750000</v>
      </c>
      <c r="S40" s="319">
        <v>750000</v>
      </c>
      <c r="T40" s="316">
        <v>15000</v>
      </c>
      <c r="U40" s="319">
        <v>50000</v>
      </c>
      <c r="V40" s="316"/>
      <c r="W40" s="257"/>
      <c r="X40" s="257"/>
      <c r="Y40" s="257"/>
      <c r="Z40" s="257"/>
      <c r="AA40" s="257"/>
      <c r="AB40" s="257"/>
      <c r="AC40" s="257"/>
    </row>
    <row r="41" spans="10:29" x14ac:dyDescent="0.2">
      <c r="J41" s="336" t="s">
        <v>426</v>
      </c>
      <c r="K41" s="333" t="s">
        <v>49</v>
      </c>
      <c r="L41" s="328">
        <v>0</v>
      </c>
      <c r="M41" s="330">
        <v>0</v>
      </c>
      <c r="N41" s="316">
        <v>1000000</v>
      </c>
      <c r="O41" s="316">
        <v>500000</v>
      </c>
      <c r="P41" s="319">
        <v>500000</v>
      </c>
      <c r="Q41" s="316">
        <v>6500000</v>
      </c>
      <c r="R41" s="316">
        <v>750000</v>
      </c>
      <c r="S41" s="319">
        <v>750000</v>
      </c>
      <c r="T41" s="316">
        <v>15000</v>
      </c>
      <c r="U41" s="319">
        <v>50000</v>
      </c>
      <c r="V41" s="316"/>
      <c r="W41" s="257"/>
      <c r="X41" s="257"/>
      <c r="Y41" s="257"/>
      <c r="Z41" s="257"/>
      <c r="AA41" s="257"/>
      <c r="AB41" s="257"/>
      <c r="AC41" s="257"/>
    </row>
    <row r="42" spans="10:29" x14ac:dyDescent="0.2">
      <c r="J42" s="336" t="s">
        <v>425</v>
      </c>
      <c r="K42" s="333" t="s">
        <v>216</v>
      </c>
      <c r="L42" s="328">
        <v>2</v>
      </c>
      <c r="M42" s="330">
        <v>0</v>
      </c>
      <c r="N42" s="316">
        <v>1000000</v>
      </c>
      <c r="O42" s="316">
        <v>500000</v>
      </c>
      <c r="P42" s="319">
        <v>500000</v>
      </c>
      <c r="Q42" s="316">
        <v>6500000</v>
      </c>
      <c r="R42" s="316">
        <v>750000</v>
      </c>
      <c r="S42" s="319">
        <v>750000</v>
      </c>
      <c r="T42" s="316">
        <v>15000</v>
      </c>
      <c r="U42" s="319">
        <v>50000</v>
      </c>
      <c r="V42" s="316"/>
      <c r="W42" s="257"/>
      <c r="X42" s="257"/>
      <c r="Y42" s="257"/>
      <c r="Z42" s="257"/>
      <c r="AA42" s="257"/>
      <c r="AB42" s="257"/>
      <c r="AC42" s="257"/>
    </row>
    <row r="43" spans="10:29" x14ac:dyDescent="0.2">
      <c r="J43" s="336" t="s">
        <v>422</v>
      </c>
      <c r="K43" s="333" t="s">
        <v>423</v>
      </c>
      <c r="L43" s="328">
        <v>0</v>
      </c>
      <c r="M43" s="330">
        <v>0</v>
      </c>
      <c r="N43" s="316">
        <v>1000000</v>
      </c>
      <c r="O43" s="316">
        <v>500000</v>
      </c>
      <c r="P43" s="319">
        <v>500000</v>
      </c>
      <c r="Q43" s="316">
        <v>6500000</v>
      </c>
      <c r="R43" s="316">
        <v>750000</v>
      </c>
      <c r="S43" s="319">
        <v>750000</v>
      </c>
      <c r="T43" s="316">
        <v>15000</v>
      </c>
      <c r="U43" s="319">
        <v>50000</v>
      </c>
      <c r="V43" s="316"/>
      <c r="W43" s="257"/>
      <c r="X43" s="257"/>
      <c r="Y43" s="257"/>
      <c r="Z43" s="257"/>
      <c r="AA43" s="257"/>
      <c r="AB43" s="257"/>
      <c r="AC43" s="257"/>
    </row>
    <row r="44" spans="10:29" x14ac:dyDescent="0.2">
      <c r="J44" s="336" t="s">
        <v>348</v>
      </c>
      <c r="K44" s="333" t="s">
        <v>480</v>
      </c>
      <c r="L44" s="328">
        <v>2</v>
      </c>
      <c r="M44" s="330">
        <v>0</v>
      </c>
      <c r="N44" s="316">
        <v>1000000</v>
      </c>
      <c r="O44" s="316">
        <v>500000</v>
      </c>
      <c r="P44" s="319">
        <v>500000</v>
      </c>
      <c r="Q44" s="316">
        <v>6500000</v>
      </c>
      <c r="R44" s="316">
        <v>750000</v>
      </c>
      <c r="S44" s="319">
        <v>750000</v>
      </c>
      <c r="T44" s="316">
        <v>15000</v>
      </c>
      <c r="U44" s="319">
        <v>50000</v>
      </c>
      <c r="V44" s="316"/>
      <c r="W44" s="257"/>
      <c r="X44" s="257"/>
      <c r="Y44" s="257"/>
      <c r="Z44" s="257"/>
      <c r="AA44" s="257"/>
      <c r="AB44" s="257"/>
      <c r="AC44" s="257"/>
    </row>
    <row r="45" spans="10:29" x14ac:dyDescent="0.2">
      <c r="J45" s="336" t="s">
        <v>424</v>
      </c>
      <c r="K45" s="333" t="s">
        <v>245</v>
      </c>
      <c r="L45" s="328">
        <v>0</v>
      </c>
      <c r="M45" s="330">
        <v>0</v>
      </c>
      <c r="N45" s="316">
        <v>1000000</v>
      </c>
      <c r="O45" s="316">
        <v>500000</v>
      </c>
      <c r="P45" s="319">
        <v>500000</v>
      </c>
      <c r="Q45" s="316">
        <v>6500000</v>
      </c>
      <c r="R45" s="316">
        <v>750000</v>
      </c>
      <c r="S45" s="319">
        <v>750000</v>
      </c>
      <c r="T45" s="316">
        <v>15000</v>
      </c>
      <c r="U45" s="319">
        <v>50000</v>
      </c>
      <c r="V45" s="316"/>
      <c r="W45" s="257"/>
      <c r="X45" s="257"/>
      <c r="Y45" s="257"/>
      <c r="Z45" s="257"/>
      <c r="AA45" s="257"/>
      <c r="AB45" s="257"/>
      <c r="AC45" s="257"/>
    </row>
    <row r="46" spans="10:29" x14ac:dyDescent="0.2">
      <c r="J46" s="336" t="s">
        <v>427</v>
      </c>
      <c r="K46" s="333" t="s">
        <v>50</v>
      </c>
      <c r="L46" s="328">
        <v>0</v>
      </c>
      <c r="M46" s="330">
        <v>0</v>
      </c>
      <c r="N46" s="316">
        <v>1000000</v>
      </c>
      <c r="O46" s="316">
        <v>500000</v>
      </c>
      <c r="P46" s="319">
        <v>500000</v>
      </c>
      <c r="Q46" s="316">
        <v>6500000</v>
      </c>
      <c r="R46" s="316">
        <v>750000</v>
      </c>
      <c r="S46" s="319">
        <v>750000</v>
      </c>
      <c r="T46" s="316">
        <v>15000</v>
      </c>
      <c r="U46" s="319">
        <v>50000</v>
      </c>
      <c r="V46" s="316"/>
      <c r="W46" s="257"/>
      <c r="X46" s="257"/>
      <c r="Y46" s="257"/>
      <c r="Z46" s="257"/>
      <c r="AA46" s="257"/>
      <c r="AB46" s="257"/>
      <c r="AC46" s="257"/>
    </row>
    <row r="47" spans="10:29" x14ac:dyDescent="0.2">
      <c r="J47" s="336" t="s">
        <v>438</v>
      </c>
      <c r="K47" s="333" t="s">
        <v>217</v>
      </c>
      <c r="L47" s="328">
        <v>3</v>
      </c>
      <c r="M47" s="330">
        <v>0</v>
      </c>
      <c r="N47" s="316">
        <v>1000000</v>
      </c>
      <c r="O47" s="316">
        <v>500000</v>
      </c>
      <c r="P47" s="319">
        <v>500000</v>
      </c>
      <c r="Q47" s="316">
        <v>6500000</v>
      </c>
      <c r="R47" s="316">
        <v>750000</v>
      </c>
      <c r="S47" s="319">
        <v>750000</v>
      </c>
      <c r="T47" s="316">
        <v>15000</v>
      </c>
      <c r="U47" s="319">
        <v>50000</v>
      </c>
      <c r="V47" s="316"/>
      <c r="W47" s="257"/>
      <c r="X47" s="257"/>
      <c r="Y47" s="257"/>
      <c r="Z47" s="257"/>
      <c r="AA47" s="257"/>
      <c r="AB47" s="257"/>
      <c r="AC47" s="257"/>
    </row>
    <row r="48" spans="10:29" x14ac:dyDescent="0.2">
      <c r="J48" s="336" t="s">
        <v>428</v>
      </c>
      <c r="K48" s="333" t="s">
        <v>429</v>
      </c>
      <c r="L48" s="328">
        <v>3</v>
      </c>
      <c r="M48" s="330">
        <v>0</v>
      </c>
      <c r="N48" s="316">
        <v>1000000</v>
      </c>
      <c r="O48" s="316">
        <v>500000</v>
      </c>
      <c r="P48" s="319">
        <v>500000</v>
      </c>
      <c r="Q48" s="316">
        <v>6500000</v>
      </c>
      <c r="R48" s="316">
        <v>750000</v>
      </c>
      <c r="S48" s="319">
        <v>750000</v>
      </c>
      <c r="T48" s="316">
        <v>15000</v>
      </c>
      <c r="U48" s="319">
        <v>50000</v>
      </c>
      <c r="V48" s="316"/>
      <c r="W48" s="257"/>
      <c r="X48" s="257"/>
      <c r="Y48" s="257"/>
      <c r="Z48" s="257"/>
      <c r="AA48" s="257"/>
      <c r="AB48" s="257"/>
      <c r="AC48" s="257"/>
    </row>
    <row r="49" spans="10:29" x14ac:dyDescent="0.2">
      <c r="J49" s="336" t="s">
        <v>433</v>
      </c>
      <c r="K49" s="333" t="s">
        <v>55</v>
      </c>
      <c r="L49" s="328">
        <v>3</v>
      </c>
      <c r="M49" s="330">
        <v>1</v>
      </c>
      <c r="N49" s="316">
        <v>166666.67000000001</v>
      </c>
      <c r="O49" s="316">
        <v>0</v>
      </c>
      <c r="P49" s="319">
        <v>0</v>
      </c>
      <c r="Q49" s="316">
        <v>166666.67000000001</v>
      </c>
      <c r="R49" s="316">
        <v>0</v>
      </c>
      <c r="S49" s="319">
        <v>0</v>
      </c>
      <c r="T49" s="316">
        <v>0</v>
      </c>
      <c r="U49" s="319">
        <v>0</v>
      </c>
      <c r="V49" s="316"/>
      <c r="W49" s="257"/>
      <c r="X49" s="257"/>
      <c r="Y49" s="257"/>
      <c r="Z49" s="257"/>
      <c r="AA49" s="257"/>
      <c r="AB49" s="257"/>
      <c r="AC49" s="257"/>
    </row>
    <row r="50" spans="10:29" x14ac:dyDescent="0.2">
      <c r="J50" s="336" t="s">
        <v>434</v>
      </c>
      <c r="K50" s="333" t="s">
        <v>435</v>
      </c>
      <c r="L50" s="328">
        <v>0</v>
      </c>
      <c r="M50" s="330">
        <v>0</v>
      </c>
      <c r="N50" s="316">
        <v>1000000</v>
      </c>
      <c r="O50" s="316">
        <v>500000</v>
      </c>
      <c r="P50" s="319">
        <v>500000</v>
      </c>
      <c r="Q50" s="316">
        <v>6500000</v>
      </c>
      <c r="R50" s="316">
        <v>750000</v>
      </c>
      <c r="S50" s="319">
        <v>750000</v>
      </c>
      <c r="T50" s="316">
        <v>15000</v>
      </c>
      <c r="U50" s="319">
        <v>50000</v>
      </c>
      <c r="V50" s="316"/>
      <c r="W50" s="257"/>
      <c r="X50" s="257"/>
      <c r="Y50" s="257"/>
      <c r="Z50" s="257"/>
      <c r="AA50" s="257"/>
      <c r="AB50" s="257"/>
      <c r="AC50" s="257"/>
    </row>
    <row r="51" spans="10:29" x14ac:dyDescent="0.2">
      <c r="J51" s="336" t="s">
        <v>437</v>
      </c>
      <c r="K51" s="333" t="s">
        <v>59</v>
      </c>
      <c r="L51" s="328">
        <v>0</v>
      </c>
      <c r="M51" s="330">
        <v>0</v>
      </c>
      <c r="N51" s="316">
        <v>1000000</v>
      </c>
      <c r="O51" s="316">
        <v>500000</v>
      </c>
      <c r="P51" s="319">
        <v>500000</v>
      </c>
      <c r="Q51" s="316">
        <v>6500000</v>
      </c>
      <c r="R51" s="316">
        <v>750000</v>
      </c>
      <c r="S51" s="319">
        <v>750000</v>
      </c>
      <c r="T51" s="316">
        <v>15000</v>
      </c>
      <c r="U51" s="319">
        <v>50000</v>
      </c>
      <c r="V51" s="316"/>
      <c r="W51" s="257"/>
      <c r="X51" s="257"/>
      <c r="Y51" s="257"/>
      <c r="Z51" s="257"/>
      <c r="AA51" s="257"/>
      <c r="AB51" s="257"/>
      <c r="AC51" s="257"/>
    </row>
    <row r="52" spans="10:29" x14ac:dyDescent="0.2">
      <c r="J52" s="336" t="s">
        <v>431</v>
      </c>
      <c r="K52" s="333" t="s">
        <v>52</v>
      </c>
      <c r="L52" s="328">
        <v>3</v>
      </c>
      <c r="M52" s="330">
        <v>1</v>
      </c>
      <c r="N52" s="316">
        <v>166666.67000000001</v>
      </c>
      <c r="O52" s="316">
        <v>0</v>
      </c>
      <c r="P52" s="319">
        <v>0</v>
      </c>
      <c r="Q52" s="316">
        <v>166666.67000000001</v>
      </c>
      <c r="R52" s="316">
        <v>0</v>
      </c>
      <c r="S52" s="319">
        <v>0</v>
      </c>
      <c r="T52" s="316">
        <v>0</v>
      </c>
      <c r="U52" s="319">
        <v>0</v>
      </c>
      <c r="V52" s="316"/>
      <c r="W52" s="257"/>
      <c r="X52" s="257"/>
      <c r="Y52" s="257"/>
      <c r="Z52" s="257"/>
      <c r="AA52" s="257"/>
      <c r="AB52" s="257"/>
      <c r="AC52" s="257"/>
    </row>
    <row r="53" spans="10:29" x14ac:dyDescent="0.2">
      <c r="J53" s="336" t="s">
        <v>439</v>
      </c>
      <c r="K53" s="333" t="s">
        <v>218</v>
      </c>
      <c r="L53" s="328">
        <v>3</v>
      </c>
      <c r="M53" s="330">
        <v>0</v>
      </c>
      <c r="N53" s="316">
        <v>1000000</v>
      </c>
      <c r="O53" s="316">
        <v>500000</v>
      </c>
      <c r="P53" s="319">
        <v>500000</v>
      </c>
      <c r="Q53" s="316">
        <v>6500000</v>
      </c>
      <c r="R53" s="316">
        <v>750000</v>
      </c>
      <c r="S53" s="319">
        <v>750000</v>
      </c>
      <c r="T53" s="316">
        <v>15000</v>
      </c>
      <c r="U53" s="319">
        <v>50000</v>
      </c>
      <c r="V53" s="316"/>
      <c r="W53" s="257"/>
      <c r="X53" s="257"/>
      <c r="Y53" s="257"/>
      <c r="Z53" s="257"/>
      <c r="AA53" s="257"/>
      <c r="AB53" s="257"/>
      <c r="AC53" s="257"/>
    </row>
    <row r="54" spans="10:29" x14ac:dyDescent="0.2">
      <c r="J54" s="336" t="s">
        <v>436</v>
      </c>
      <c r="K54" s="333" t="s">
        <v>58</v>
      </c>
      <c r="L54" s="328">
        <v>0</v>
      </c>
      <c r="M54" s="330">
        <v>0</v>
      </c>
      <c r="N54" s="316">
        <v>1000000</v>
      </c>
      <c r="O54" s="316">
        <v>500000</v>
      </c>
      <c r="P54" s="319">
        <v>500000</v>
      </c>
      <c r="Q54" s="316">
        <v>6500000</v>
      </c>
      <c r="R54" s="316">
        <v>750000</v>
      </c>
      <c r="S54" s="319">
        <v>750000</v>
      </c>
      <c r="T54" s="316">
        <v>15000</v>
      </c>
      <c r="U54" s="319">
        <v>50000</v>
      </c>
      <c r="V54" s="316"/>
      <c r="W54" s="257"/>
      <c r="X54" s="257"/>
      <c r="Y54" s="257"/>
      <c r="Z54" s="257"/>
      <c r="AA54" s="257"/>
      <c r="AB54" s="257"/>
      <c r="AC54" s="257"/>
    </row>
    <row r="55" spans="10:29" x14ac:dyDescent="0.2">
      <c r="J55" s="336" t="s">
        <v>440</v>
      </c>
      <c r="K55" s="333" t="s">
        <v>441</v>
      </c>
      <c r="L55" s="328">
        <v>3</v>
      </c>
      <c r="M55" s="330">
        <v>0</v>
      </c>
      <c r="N55" s="316">
        <v>1000000</v>
      </c>
      <c r="O55" s="316">
        <v>500000</v>
      </c>
      <c r="P55" s="319">
        <v>500000</v>
      </c>
      <c r="Q55" s="316">
        <v>6500000</v>
      </c>
      <c r="R55" s="316">
        <v>750000</v>
      </c>
      <c r="S55" s="319">
        <v>750000</v>
      </c>
      <c r="T55" s="316">
        <v>15000</v>
      </c>
      <c r="U55" s="319">
        <v>50000</v>
      </c>
      <c r="V55" s="316"/>
      <c r="W55" s="257"/>
      <c r="X55" s="257"/>
      <c r="Y55" s="257"/>
      <c r="Z55" s="257"/>
      <c r="AA55" s="257"/>
      <c r="AB55" s="257"/>
      <c r="AC55" s="257"/>
    </row>
    <row r="56" spans="10:29" x14ac:dyDescent="0.2">
      <c r="J56" s="336" t="s">
        <v>442</v>
      </c>
      <c r="K56" s="333" t="s">
        <v>443</v>
      </c>
      <c r="L56" s="328">
        <v>3</v>
      </c>
      <c r="M56" s="330">
        <v>0</v>
      </c>
      <c r="N56" s="316">
        <v>1000000</v>
      </c>
      <c r="O56" s="316">
        <v>500000</v>
      </c>
      <c r="P56" s="319">
        <v>500000</v>
      </c>
      <c r="Q56" s="316">
        <v>6500000</v>
      </c>
      <c r="R56" s="316">
        <v>750000</v>
      </c>
      <c r="S56" s="319">
        <v>750000</v>
      </c>
      <c r="T56" s="316">
        <v>15000</v>
      </c>
      <c r="U56" s="319">
        <v>50000</v>
      </c>
      <c r="V56" s="316"/>
      <c r="W56" s="257"/>
      <c r="X56" s="257"/>
      <c r="Y56" s="257"/>
      <c r="Z56" s="257"/>
      <c r="AA56" s="257"/>
      <c r="AB56" s="257"/>
      <c r="AC56" s="257"/>
    </row>
    <row r="57" spans="10:29" x14ac:dyDescent="0.2">
      <c r="J57" s="336" t="s">
        <v>446</v>
      </c>
      <c r="K57" s="333" t="s">
        <v>62</v>
      </c>
      <c r="L57" s="328">
        <v>0</v>
      </c>
      <c r="M57" s="330">
        <v>0</v>
      </c>
      <c r="N57" s="316">
        <v>1000000</v>
      </c>
      <c r="O57" s="316">
        <v>500000</v>
      </c>
      <c r="P57" s="319">
        <v>500000</v>
      </c>
      <c r="Q57" s="316">
        <v>6500000</v>
      </c>
      <c r="R57" s="316">
        <v>750000</v>
      </c>
      <c r="S57" s="319">
        <v>750000</v>
      </c>
      <c r="T57" s="316">
        <v>15000</v>
      </c>
      <c r="U57" s="319">
        <v>50000</v>
      </c>
      <c r="V57" s="316"/>
      <c r="W57" s="257"/>
      <c r="X57" s="257"/>
      <c r="Y57" s="257"/>
      <c r="Z57" s="257"/>
      <c r="AA57" s="257"/>
      <c r="AB57" s="257"/>
      <c r="AC57" s="257"/>
    </row>
    <row r="58" spans="10:29" x14ac:dyDescent="0.2">
      <c r="J58" s="336" t="s">
        <v>444</v>
      </c>
      <c r="K58" s="333" t="s">
        <v>445</v>
      </c>
      <c r="L58" s="328">
        <v>3</v>
      </c>
      <c r="M58" s="330">
        <v>0</v>
      </c>
      <c r="N58" s="316">
        <v>1000000</v>
      </c>
      <c r="O58" s="316">
        <v>500000</v>
      </c>
      <c r="P58" s="319">
        <v>500000</v>
      </c>
      <c r="Q58" s="316">
        <v>6500000</v>
      </c>
      <c r="R58" s="316">
        <v>750000</v>
      </c>
      <c r="S58" s="319">
        <v>750000</v>
      </c>
      <c r="T58" s="316">
        <v>15000</v>
      </c>
      <c r="U58" s="319">
        <v>50000</v>
      </c>
      <c r="V58" s="316"/>
      <c r="W58" s="257"/>
      <c r="X58" s="257"/>
      <c r="Y58" s="257"/>
      <c r="Z58" s="257"/>
      <c r="AA58" s="257"/>
      <c r="AB58" s="257"/>
      <c r="AC58" s="257"/>
    </row>
    <row r="59" spans="10:29" x14ac:dyDescent="0.2">
      <c r="J59" s="336" t="s">
        <v>412</v>
      </c>
      <c r="K59" s="333" t="s">
        <v>213</v>
      </c>
      <c r="L59" s="328">
        <v>3</v>
      </c>
      <c r="M59" s="330">
        <v>0</v>
      </c>
      <c r="N59" s="316">
        <v>166666.67000000001</v>
      </c>
      <c r="O59" s="316">
        <v>0</v>
      </c>
      <c r="P59" s="319">
        <v>0</v>
      </c>
      <c r="Q59" s="316">
        <v>166666.67000000001</v>
      </c>
      <c r="R59" s="316">
        <v>0</v>
      </c>
      <c r="S59" s="319">
        <v>0</v>
      </c>
      <c r="T59" s="316">
        <v>0</v>
      </c>
      <c r="U59" s="319">
        <v>0</v>
      </c>
      <c r="V59" s="316"/>
      <c r="W59" s="257"/>
      <c r="X59" s="257"/>
      <c r="Y59" s="257"/>
      <c r="Z59" s="257"/>
      <c r="AA59" s="257"/>
      <c r="AB59" s="257"/>
      <c r="AC59" s="257"/>
    </row>
    <row r="60" spans="10:29" x14ac:dyDescent="0.2">
      <c r="J60" s="336" t="s">
        <v>447</v>
      </c>
      <c r="K60" s="333" t="s">
        <v>219</v>
      </c>
      <c r="L60" s="328">
        <v>2</v>
      </c>
      <c r="M60" s="330">
        <v>0</v>
      </c>
      <c r="N60" s="316">
        <v>666666.67000000004</v>
      </c>
      <c r="O60" s="316">
        <v>333333.34000000003</v>
      </c>
      <c r="P60" s="319">
        <v>333333.34000000003</v>
      </c>
      <c r="Q60" s="316">
        <v>666666.67000000004</v>
      </c>
      <c r="R60" s="316">
        <v>333333.34000000003</v>
      </c>
      <c r="S60" s="319">
        <v>333333.34000000003</v>
      </c>
      <c r="T60" s="316">
        <v>0</v>
      </c>
      <c r="U60" s="319">
        <v>0</v>
      </c>
      <c r="V60" s="316"/>
      <c r="W60" s="257"/>
      <c r="X60" s="257"/>
      <c r="Y60" s="257"/>
      <c r="Z60" s="257"/>
      <c r="AA60" s="257"/>
      <c r="AB60" s="257"/>
      <c r="AC60" s="257"/>
    </row>
    <row r="61" spans="10:29" x14ac:dyDescent="0.2">
      <c r="J61" s="336" t="s">
        <v>450</v>
      </c>
      <c r="K61" s="333" t="s">
        <v>66</v>
      </c>
      <c r="L61" s="328">
        <v>2</v>
      </c>
      <c r="M61" s="330">
        <v>0</v>
      </c>
      <c r="N61" s="316">
        <v>1000000</v>
      </c>
      <c r="O61" s="316">
        <v>500000</v>
      </c>
      <c r="P61" s="319">
        <v>500000</v>
      </c>
      <c r="Q61" s="316">
        <v>6500000</v>
      </c>
      <c r="R61" s="316">
        <v>750000</v>
      </c>
      <c r="S61" s="319">
        <v>750000</v>
      </c>
      <c r="T61" s="316">
        <v>15000</v>
      </c>
      <c r="U61" s="319">
        <v>50000</v>
      </c>
      <c r="V61" s="316"/>
      <c r="W61" s="257"/>
      <c r="X61" s="257"/>
      <c r="Y61" s="257"/>
      <c r="Z61" s="257"/>
      <c r="AA61" s="257"/>
      <c r="AB61" s="257"/>
      <c r="AC61" s="257"/>
    </row>
    <row r="62" spans="10:29" x14ac:dyDescent="0.2">
      <c r="J62" s="336" t="s">
        <v>453</v>
      </c>
      <c r="K62" s="333" t="s">
        <v>454</v>
      </c>
      <c r="L62" s="328">
        <v>0</v>
      </c>
      <c r="M62" s="330">
        <v>0</v>
      </c>
      <c r="N62" s="316">
        <v>1000000</v>
      </c>
      <c r="O62" s="316">
        <v>500000</v>
      </c>
      <c r="P62" s="319">
        <v>500000</v>
      </c>
      <c r="Q62" s="316">
        <v>6500000</v>
      </c>
      <c r="R62" s="316">
        <v>750000</v>
      </c>
      <c r="S62" s="319">
        <v>750000</v>
      </c>
      <c r="T62" s="316">
        <v>15000</v>
      </c>
      <c r="U62" s="319">
        <v>50000</v>
      </c>
      <c r="V62" s="316"/>
      <c r="W62" s="257"/>
      <c r="X62" s="257"/>
      <c r="Y62" s="257"/>
      <c r="Z62" s="257"/>
      <c r="AA62" s="257"/>
      <c r="AB62" s="257"/>
      <c r="AC62" s="257"/>
    </row>
    <row r="63" spans="10:29" x14ac:dyDescent="0.2">
      <c r="J63" s="336" t="s">
        <v>455</v>
      </c>
      <c r="K63" s="333" t="s">
        <v>74</v>
      </c>
      <c r="L63" s="328">
        <v>0</v>
      </c>
      <c r="M63" s="330">
        <v>0.5</v>
      </c>
      <c r="N63" s="316">
        <v>1000000</v>
      </c>
      <c r="O63" s="316">
        <v>500000</v>
      </c>
      <c r="P63" s="319">
        <v>500000</v>
      </c>
      <c r="Q63" s="316">
        <v>6500000</v>
      </c>
      <c r="R63" s="316">
        <v>750000</v>
      </c>
      <c r="S63" s="319">
        <v>750000</v>
      </c>
      <c r="T63" s="316">
        <v>15000</v>
      </c>
      <c r="U63" s="319">
        <v>50000</v>
      </c>
      <c r="V63" s="316"/>
      <c r="W63" s="257"/>
      <c r="X63" s="257"/>
      <c r="Y63" s="257"/>
      <c r="Z63" s="257"/>
      <c r="AA63" s="257"/>
      <c r="AB63" s="257"/>
      <c r="AC63" s="257"/>
    </row>
    <row r="64" spans="10:29" x14ac:dyDescent="0.2">
      <c r="J64" s="336" t="s">
        <v>449</v>
      </c>
      <c r="K64" s="333" t="s">
        <v>220</v>
      </c>
      <c r="L64" s="328">
        <v>4</v>
      </c>
      <c r="M64" s="330">
        <v>0</v>
      </c>
      <c r="N64" s="316">
        <v>333333.34000000003</v>
      </c>
      <c r="O64" s="316">
        <v>166666.67000000001</v>
      </c>
      <c r="P64" s="319">
        <v>166666.67000000001</v>
      </c>
      <c r="Q64" s="316">
        <v>333333.34000000003</v>
      </c>
      <c r="R64" s="316">
        <v>166666.67000000001</v>
      </c>
      <c r="S64" s="319">
        <v>166666.67000000001</v>
      </c>
      <c r="T64" s="316">
        <v>0</v>
      </c>
      <c r="U64" s="319">
        <v>0</v>
      </c>
      <c r="V64" s="316"/>
      <c r="W64" s="257"/>
      <c r="X64" s="257"/>
      <c r="Y64" s="257"/>
      <c r="Z64" s="257"/>
      <c r="AA64" s="257"/>
      <c r="AB64" s="257"/>
      <c r="AC64" s="257"/>
    </row>
    <row r="65" spans="10:29" x14ac:dyDescent="0.2">
      <c r="J65" s="336" t="s">
        <v>451</v>
      </c>
      <c r="K65" s="333" t="s">
        <v>452</v>
      </c>
      <c r="L65" s="328">
        <v>3</v>
      </c>
      <c r="M65" s="330">
        <v>0.5</v>
      </c>
      <c r="N65" s="316">
        <v>333333.34000000003</v>
      </c>
      <c r="O65" s="316">
        <v>0</v>
      </c>
      <c r="P65" s="319">
        <v>0</v>
      </c>
      <c r="Q65" s="316">
        <v>333333.34000000003</v>
      </c>
      <c r="R65" s="316">
        <v>0</v>
      </c>
      <c r="S65" s="319">
        <v>0</v>
      </c>
      <c r="T65" s="316">
        <v>0</v>
      </c>
      <c r="U65" s="319">
        <v>0</v>
      </c>
      <c r="V65" s="316"/>
      <c r="W65" s="257"/>
      <c r="X65" s="257"/>
      <c r="Y65" s="257"/>
      <c r="Z65" s="257"/>
      <c r="AA65" s="257"/>
      <c r="AB65" s="257"/>
      <c r="AC65" s="257"/>
    </row>
    <row r="66" spans="10:29" x14ac:dyDescent="0.2">
      <c r="J66" s="336" t="s">
        <v>448</v>
      </c>
      <c r="K66" s="333" t="s">
        <v>64</v>
      </c>
      <c r="L66" s="328">
        <v>0</v>
      </c>
      <c r="M66" s="330">
        <v>0</v>
      </c>
      <c r="N66" s="316">
        <v>1000000</v>
      </c>
      <c r="O66" s="316">
        <v>500000</v>
      </c>
      <c r="P66" s="319">
        <v>500000</v>
      </c>
      <c r="Q66" s="316">
        <v>6500000</v>
      </c>
      <c r="R66" s="316">
        <v>750000</v>
      </c>
      <c r="S66" s="319">
        <v>750000</v>
      </c>
      <c r="T66" s="316">
        <v>15000</v>
      </c>
      <c r="U66" s="319">
        <v>50000</v>
      </c>
      <c r="V66" s="316"/>
      <c r="W66" s="257"/>
      <c r="X66" s="257"/>
      <c r="Y66" s="257"/>
      <c r="Z66" s="257"/>
      <c r="AA66" s="257"/>
      <c r="AB66" s="257"/>
      <c r="AC66" s="257"/>
    </row>
    <row r="67" spans="10:29" x14ac:dyDescent="0.2">
      <c r="J67" s="336" t="s">
        <v>456</v>
      </c>
      <c r="K67" s="333" t="s">
        <v>75</v>
      </c>
      <c r="L67" s="328">
        <v>0</v>
      </c>
      <c r="M67" s="330">
        <v>0</v>
      </c>
      <c r="N67" s="316">
        <v>1000000</v>
      </c>
      <c r="O67" s="316">
        <v>500000</v>
      </c>
      <c r="P67" s="319">
        <v>500000</v>
      </c>
      <c r="Q67" s="316">
        <v>6500000</v>
      </c>
      <c r="R67" s="316">
        <v>750000</v>
      </c>
      <c r="S67" s="319">
        <v>750000</v>
      </c>
      <c r="T67" s="316">
        <v>15000</v>
      </c>
      <c r="U67" s="319">
        <v>50000</v>
      </c>
      <c r="V67" s="316"/>
      <c r="W67" s="257"/>
      <c r="X67" s="257"/>
      <c r="Y67" s="257"/>
      <c r="Z67" s="257"/>
      <c r="AA67" s="257"/>
      <c r="AB67" s="257"/>
      <c r="AC67" s="257"/>
    </row>
    <row r="68" spans="10:29" x14ac:dyDescent="0.2">
      <c r="J68" s="336" t="s">
        <v>457</v>
      </c>
      <c r="K68" s="333" t="s">
        <v>221</v>
      </c>
      <c r="L68" s="328">
        <v>3</v>
      </c>
      <c r="M68" s="330">
        <v>0</v>
      </c>
      <c r="N68" s="316">
        <v>1000000</v>
      </c>
      <c r="O68" s="316">
        <v>500000</v>
      </c>
      <c r="P68" s="319">
        <v>500000</v>
      </c>
      <c r="Q68" s="316">
        <v>6500000</v>
      </c>
      <c r="R68" s="316">
        <v>750000</v>
      </c>
      <c r="S68" s="319">
        <v>750000</v>
      </c>
      <c r="T68" s="316">
        <v>15000</v>
      </c>
      <c r="U68" s="319">
        <v>50000</v>
      </c>
      <c r="V68" s="316"/>
      <c r="W68" s="257"/>
      <c r="X68" s="257"/>
      <c r="Y68" s="257"/>
      <c r="Z68" s="257"/>
      <c r="AA68" s="257"/>
      <c r="AB68" s="257"/>
      <c r="AC68" s="257"/>
    </row>
    <row r="69" spans="10:29" x14ac:dyDescent="0.2">
      <c r="J69" s="336" t="s">
        <v>459</v>
      </c>
      <c r="K69" s="333" t="s">
        <v>78</v>
      </c>
      <c r="L69" s="328">
        <v>1</v>
      </c>
      <c r="M69" s="330">
        <v>0</v>
      </c>
      <c r="N69" s="316">
        <v>1000000</v>
      </c>
      <c r="O69" s="316">
        <v>500000</v>
      </c>
      <c r="P69" s="319">
        <v>500000</v>
      </c>
      <c r="Q69" s="316">
        <v>6500000</v>
      </c>
      <c r="R69" s="316">
        <v>750000</v>
      </c>
      <c r="S69" s="319">
        <v>750000</v>
      </c>
      <c r="T69" s="316">
        <v>15000</v>
      </c>
      <c r="U69" s="319">
        <v>50000</v>
      </c>
      <c r="V69" s="316"/>
      <c r="W69" s="257"/>
      <c r="X69" s="257"/>
      <c r="Y69" s="257"/>
      <c r="Z69" s="257"/>
      <c r="AA69" s="257"/>
      <c r="AB69" s="257"/>
      <c r="AC69" s="257"/>
    </row>
    <row r="70" spans="10:29" x14ac:dyDescent="0.2">
      <c r="J70" s="336" t="s">
        <v>458</v>
      </c>
      <c r="K70" s="333" t="s">
        <v>76</v>
      </c>
      <c r="L70" s="328">
        <v>0</v>
      </c>
      <c r="M70" s="330">
        <v>0</v>
      </c>
      <c r="N70" s="316">
        <v>1000000</v>
      </c>
      <c r="O70" s="316">
        <v>500000</v>
      </c>
      <c r="P70" s="319">
        <v>500000</v>
      </c>
      <c r="Q70" s="316">
        <v>6500000</v>
      </c>
      <c r="R70" s="316">
        <v>750000</v>
      </c>
      <c r="S70" s="319">
        <v>750000</v>
      </c>
      <c r="T70" s="316">
        <v>15000</v>
      </c>
      <c r="U70" s="319">
        <v>50000</v>
      </c>
      <c r="V70" s="316"/>
      <c r="W70" s="257"/>
      <c r="X70" s="257"/>
      <c r="Y70" s="257"/>
      <c r="Z70" s="257"/>
      <c r="AA70" s="257"/>
      <c r="AB70" s="257"/>
      <c r="AC70" s="257"/>
    </row>
    <row r="71" spans="10:29" x14ac:dyDescent="0.2">
      <c r="J71" s="336" t="s">
        <v>460</v>
      </c>
      <c r="K71" s="333" t="s">
        <v>80</v>
      </c>
      <c r="L71" s="328">
        <v>2</v>
      </c>
      <c r="M71" s="330">
        <v>0.5</v>
      </c>
      <c r="N71" s="316">
        <v>333333.34000000003</v>
      </c>
      <c r="O71" s="316">
        <v>333333.34000000003</v>
      </c>
      <c r="P71" s="319">
        <v>333333.34000000003</v>
      </c>
      <c r="Q71" s="316">
        <v>333333.34000000003</v>
      </c>
      <c r="R71" s="316">
        <v>333333.34000000003</v>
      </c>
      <c r="S71" s="319">
        <v>333333.34000000003</v>
      </c>
      <c r="T71" s="316">
        <v>0</v>
      </c>
      <c r="U71" s="319">
        <v>0</v>
      </c>
      <c r="V71" s="316"/>
      <c r="W71" s="257"/>
      <c r="X71" s="257"/>
      <c r="Y71" s="257"/>
      <c r="Z71" s="257"/>
      <c r="AA71" s="257"/>
      <c r="AB71" s="257"/>
      <c r="AC71" s="257"/>
    </row>
    <row r="72" spans="10:29" x14ac:dyDescent="0.2">
      <c r="J72" s="336" t="s">
        <v>398</v>
      </c>
      <c r="K72" s="333" t="s">
        <v>210</v>
      </c>
      <c r="L72" s="328">
        <v>4</v>
      </c>
      <c r="M72" s="330">
        <v>0</v>
      </c>
      <c r="N72" s="316">
        <v>166666.67000000001</v>
      </c>
      <c r="O72" s="316">
        <v>0</v>
      </c>
      <c r="P72" s="319">
        <v>0</v>
      </c>
      <c r="Q72" s="316">
        <v>166666.67000000001</v>
      </c>
      <c r="R72" s="316">
        <v>0</v>
      </c>
      <c r="S72" s="319">
        <v>0</v>
      </c>
      <c r="T72" s="316">
        <v>0</v>
      </c>
      <c r="U72" s="319">
        <v>0</v>
      </c>
      <c r="V72" s="316"/>
      <c r="W72" s="257"/>
      <c r="X72" s="257"/>
      <c r="Y72" s="257"/>
      <c r="Z72" s="257"/>
      <c r="AA72" s="257"/>
      <c r="AB72" s="257"/>
      <c r="AC72" s="257"/>
    </row>
    <row r="73" spans="10:29" x14ac:dyDescent="0.2">
      <c r="J73" s="336" t="s">
        <v>461</v>
      </c>
      <c r="K73" s="333" t="s">
        <v>222</v>
      </c>
      <c r="L73" s="328">
        <v>2</v>
      </c>
      <c r="M73" s="330">
        <v>0</v>
      </c>
      <c r="N73" s="316">
        <v>1000000</v>
      </c>
      <c r="O73" s="316">
        <v>500000</v>
      </c>
      <c r="P73" s="319">
        <v>500000</v>
      </c>
      <c r="Q73" s="316">
        <v>6500000</v>
      </c>
      <c r="R73" s="316">
        <v>750000</v>
      </c>
      <c r="S73" s="319">
        <v>750000</v>
      </c>
      <c r="T73" s="316">
        <v>15000</v>
      </c>
      <c r="U73" s="319">
        <v>50000</v>
      </c>
      <c r="V73" s="316"/>
      <c r="W73" s="257"/>
      <c r="X73" s="257"/>
      <c r="Y73" s="257"/>
      <c r="Z73" s="257"/>
      <c r="AA73" s="257"/>
      <c r="AB73" s="257"/>
      <c r="AC73" s="257"/>
    </row>
    <row r="74" spans="10:29" x14ac:dyDescent="0.2">
      <c r="J74" s="336" t="s">
        <v>508</v>
      </c>
      <c r="K74" s="333" t="s">
        <v>509</v>
      </c>
      <c r="L74" s="328">
        <v>3</v>
      </c>
      <c r="M74" s="330">
        <v>0</v>
      </c>
      <c r="N74" s="316">
        <v>1000000</v>
      </c>
      <c r="O74" s="316">
        <v>500000</v>
      </c>
      <c r="P74" s="319">
        <v>500000</v>
      </c>
      <c r="Q74" s="316">
        <v>6500000</v>
      </c>
      <c r="R74" s="316">
        <v>750000</v>
      </c>
      <c r="S74" s="319">
        <v>750000</v>
      </c>
      <c r="T74" s="316">
        <v>15000</v>
      </c>
      <c r="U74" s="319">
        <v>50000</v>
      </c>
      <c r="V74" s="316"/>
      <c r="W74" s="257"/>
      <c r="X74" s="257"/>
      <c r="Y74" s="257"/>
      <c r="Z74" s="257"/>
      <c r="AA74" s="257"/>
      <c r="AB74" s="257"/>
      <c r="AC74" s="257"/>
    </row>
    <row r="75" spans="10:29" x14ac:dyDescent="0.2">
      <c r="J75" s="298" t="s">
        <v>555</v>
      </c>
      <c r="K75" s="333" t="s">
        <v>556</v>
      </c>
      <c r="L75" s="328">
        <v>3</v>
      </c>
      <c r="M75" s="330">
        <v>0</v>
      </c>
      <c r="N75" s="316">
        <v>1000000</v>
      </c>
      <c r="O75" s="316">
        <v>500000</v>
      </c>
      <c r="P75" s="319">
        <v>500000</v>
      </c>
      <c r="Q75" s="316">
        <v>6500000</v>
      </c>
      <c r="R75" s="316">
        <v>750000</v>
      </c>
      <c r="S75" s="319">
        <v>750000</v>
      </c>
      <c r="T75" s="316">
        <v>15000</v>
      </c>
      <c r="U75" s="319">
        <v>50000</v>
      </c>
      <c r="V75" s="316"/>
      <c r="W75" s="257"/>
      <c r="X75" s="257"/>
      <c r="Y75" s="257"/>
      <c r="Z75" s="257"/>
      <c r="AA75" s="257"/>
      <c r="AB75" s="257"/>
      <c r="AC75" s="257"/>
    </row>
    <row r="76" spans="10:29" x14ac:dyDescent="0.2">
      <c r="J76" s="336" t="s">
        <v>462</v>
      </c>
      <c r="K76" s="333" t="s">
        <v>81</v>
      </c>
      <c r="L76" s="328">
        <v>0</v>
      </c>
      <c r="M76" s="330">
        <v>0</v>
      </c>
      <c r="N76" s="316">
        <v>1000000</v>
      </c>
      <c r="O76" s="316">
        <v>500000</v>
      </c>
      <c r="P76" s="319">
        <v>500000</v>
      </c>
      <c r="Q76" s="316">
        <v>6500000</v>
      </c>
      <c r="R76" s="316">
        <v>750000</v>
      </c>
      <c r="S76" s="319">
        <v>750000</v>
      </c>
      <c r="T76" s="316">
        <v>15000</v>
      </c>
      <c r="U76" s="319">
        <v>50000</v>
      </c>
      <c r="V76" s="316"/>
      <c r="W76" s="257"/>
      <c r="X76" s="257"/>
      <c r="Y76" s="257"/>
      <c r="Z76" s="257"/>
      <c r="AA76" s="257"/>
      <c r="AB76" s="257"/>
      <c r="AC76" s="257"/>
    </row>
    <row r="77" spans="10:29" x14ac:dyDescent="0.2">
      <c r="J77" s="336" t="s">
        <v>400</v>
      </c>
      <c r="K77" s="333" t="s">
        <v>211</v>
      </c>
      <c r="L77" s="328">
        <v>2</v>
      </c>
      <c r="M77" s="330">
        <v>0</v>
      </c>
      <c r="N77" s="316">
        <v>1000000</v>
      </c>
      <c r="O77" s="316">
        <v>500000</v>
      </c>
      <c r="P77" s="319">
        <v>500000</v>
      </c>
      <c r="Q77" s="316">
        <v>6500000</v>
      </c>
      <c r="R77" s="316">
        <v>750000</v>
      </c>
      <c r="S77" s="319">
        <v>750000</v>
      </c>
      <c r="T77" s="316">
        <v>15000</v>
      </c>
      <c r="U77" s="319">
        <v>50000</v>
      </c>
      <c r="V77" s="316"/>
      <c r="W77" s="257"/>
      <c r="X77" s="257"/>
      <c r="Y77" s="257"/>
      <c r="Z77" s="257"/>
      <c r="AA77" s="257"/>
      <c r="AB77" s="257"/>
      <c r="AC77" s="257"/>
    </row>
    <row r="78" spans="10:29" x14ac:dyDescent="0.2">
      <c r="J78" s="336" t="s">
        <v>464</v>
      </c>
      <c r="K78" s="333" t="s">
        <v>82</v>
      </c>
      <c r="L78" s="328">
        <v>1</v>
      </c>
      <c r="M78" s="330">
        <v>0.5</v>
      </c>
      <c r="N78" s="316">
        <v>1000000</v>
      </c>
      <c r="O78" s="316">
        <v>500000</v>
      </c>
      <c r="P78" s="319">
        <v>500000</v>
      </c>
      <c r="Q78" s="316">
        <v>6500000</v>
      </c>
      <c r="R78" s="316">
        <v>750000</v>
      </c>
      <c r="S78" s="319">
        <v>750000</v>
      </c>
      <c r="T78" s="316">
        <v>15000</v>
      </c>
      <c r="U78" s="319">
        <v>50000</v>
      </c>
      <c r="V78" s="316"/>
      <c r="W78" s="257"/>
      <c r="X78" s="257"/>
      <c r="Y78" s="257"/>
      <c r="Z78" s="257"/>
      <c r="AA78" s="257"/>
      <c r="AB78" s="257"/>
      <c r="AC78" s="257"/>
    </row>
    <row r="79" spans="10:29" x14ac:dyDescent="0.2">
      <c r="J79" s="336" t="s">
        <v>510</v>
      </c>
      <c r="K79" s="333" t="s">
        <v>511</v>
      </c>
      <c r="L79" s="328">
        <v>3</v>
      </c>
      <c r="M79" s="330">
        <v>0</v>
      </c>
      <c r="N79" s="316">
        <v>1000000</v>
      </c>
      <c r="O79" s="316">
        <v>500000</v>
      </c>
      <c r="P79" s="319">
        <v>500000</v>
      </c>
      <c r="Q79" s="316">
        <v>6500000</v>
      </c>
      <c r="R79" s="316">
        <v>750000</v>
      </c>
      <c r="S79" s="319">
        <v>750000</v>
      </c>
      <c r="T79" s="316">
        <v>15000</v>
      </c>
      <c r="U79" s="319">
        <v>50000</v>
      </c>
      <c r="V79" s="316"/>
      <c r="W79" s="257"/>
      <c r="X79" s="257"/>
      <c r="Y79" s="257"/>
      <c r="Z79" s="257"/>
      <c r="AA79" s="257"/>
      <c r="AB79" s="257"/>
      <c r="AC79" s="257"/>
    </row>
    <row r="80" spans="10:29" x14ac:dyDescent="0.2">
      <c r="J80" s="336" t="s">
        <v>466</v>
      </c>
      <c r="K80" s="333" t="s">
        <v>224</v>
      </c>
      <c r="L80" s="328">
        <v>0</v>
      </c>
      <c r="M80" s="330">
        <v>0</v>
      </c>
      <c r="N80" s="316">
        <v>1000000</v>
      </c>
      <c r="O80" s="316">
        <v>500000</v>
      </c>
      <c r="P80" s="319">
        <v>500000</v>
      </c>
      <c r="Q80" s="316">
        <v>6500000</v>
      </c>
      <c r="R80" s="316">
        <v>750000</v>
      </c>
      <c r="S80" s="319">
        <v>750000</v>
      </c>
      <c r="T80" s="316">
        <v>15000</v>
      </c>
      <c r="U80" s="319">
        <v>50000</v>
      </c>
      <c r="V80" s="316"/>
      <c r="W80" s="257"/>
      <c r="X80" s="257"/>
      <c r="Y80" s="257"/>
      <c r="Z80" s="257"/>
      <c r="AA80" s="257"/>
      <c r="AB80" s="257"/>
      <c r="AC80" s="257"/>
    </row>
    <row r="81" spans="10:29" x14ac:dyDescent="0.2">
      <c r="J81" s="336" t="s">
        <v>523</v>
      </c>
      <c r="K81" s="333" t="s">
        <v>234</v>
      </c>
      <c r="L81" s="328">
        <v>4</v>
      </c>
      <c r="M81" s="330">
        <v>0</v>
      </c>
      <c r="N81" s="316">
        <v>333333.34000000003</v>
      </c>
      <c r="O81" s="316">
        <v>166666.67000000001</v>
      </c>
      <c r="P81" s="319">
        <v>166666.67000000001</v>
      </c>
      <c r="Q81" s="316">
        <v>333333.34000000003</v>
      </c>
      <c r="R81" s="316">
        <v>166666.67000000001</v>
      </c>
      <c r="S81" s="319">
        <v>166666.67000000001</v>
      </c>
      <c r="T81" s="316">
        <v>0</v>
      </c>
      <c r="U81" s="319">
        <v>0</v>
      </c>
      <c r="V81" s="316"/>
      <c r="W81" s="257"/>
      <c r="X81" s="257"/>
      <c r="Y81" s="257"/>
      <c r="Z81" s="257"/>
      <c r="AA81" s="257"/>
      <c r="AB81" s="257"/>
      <c r="AC81" s="257"/>
    </row>
    <row r="82" spans="10:29" x14ac:dyDescent="0.2">
      <c r="J82" s="336" t="s">
        <v>465</v>
      </c>
      <c r="K82" s="333" t="s">
        <v>84</v>
      </c>
      <c r="L82" s="328">
        <v>0</v>
      </c>
      <c r="M82" s="330">
        <v>0</v>
      </c>
      <c r="N82" s="316">
        <v>1000000</v>
      </c>
      <c r="O82" s="316">
        <v>500000</v>
      </c>
      <c r="P82" s="319">
        <v>500000</v>
      </c>
      <c r="Q82" s="316">
        <v>6500000</v>
      </c>
      <c r="R82" s="316">
        <v>750000</v>
      </c>
      <c r="S82" s="319">
        <v>750000</v>
      </c>
      <c r="T82" s="316">
        <v>15000</v>
      </c>
      <c r="U82" s="319">
        <v>50000</v>
      </c>
      <c r="V82" s="316"/>
      <c r="W82" s="257"/>
      <c r="X82" s="257"/>
      <c r="Y82" s="257"/>
      <c r="Z82" s="257"/>
      <c r="AA82" s="257"/>
      <c r="AB82" s="257"/>
      <c r="AC82" s="257"/>
    </row>
    <row r="83" spans="10:29" x14ac:dyDescent="0.2">
      <c r="J83" s="336" t="s">
        <v>467</v>
      </c>
      <c r="K83" s="333" t="s">
        <v>225</v>
      </c>
      <c r="L83" s="328">
        <v>3</v>
      </c>
      <c r="M83" s="330">
        <v>0</v>
      </c>
      <c r="N83" s="316">
        <v>333333.34000000003</v>
      </c>
      <c r="O83" s="316">
        <v>0</v>
      </c>
      <c r="P83" s="319">
        <v>0</v>
      </c>
      <c r="Q83" s="316">
        <v>333333.34000000003</v>
      </c>
      <c r="R83" s="316">
        <v>0</v>
      </c>
      <c r="S83" s="319">
        <v>0</v>
      </c>
      <c r="T83" s="316">
        <v>0</v>
      </c>
      <c r="U83" s="319">
        <v>0</v>
      </c>
      <c r="V83" s="316"/>
      <c r="W83" s="257"/>
      <c r="X83" s="257"/>
      <c r="Y83" s="257"/>
      <c r="Z83" s="257"/>
      <c r="AA83" s="257"/>
      <c r="AB83" s="257"/>
      <c r="AC83" s="257"/>
    </row>
    <row r="84" spans="10:29" x14ac:dyDescent="0.2">
      <c r="J84" s="336" t="s">
        <v>468</v>
      </c>
      <c r="K84" s="333" t="s">
        <v>86</v>
      </c>
      <c r="L84" s="328">
        <v>0</v>
      </c>
      <c r="M84" s="330">
        <v>0</v>
      </c>
      <c r="N84" s="316">
        <v>1000000</v>
      </c>
      <c r="O84" s="316">
        <v>500000</v>
      </c>
      <c r="P84" s="319">
        <v>500000</v>
      </c>
      <c r="Q84" s="316">
        <v>6500000</v>
      </c>
      <c r="R84" s="316">
        <v>750000</v>
      </c>
      <c r="S84" s="319">
        <v>750000</v>
      </c>
      <c r="T84" s="316">
        <v>15000</v>
      </c>
      <c r="U84" s="319">
        <v>50000</v>
      </c>
      <c r="V84" s="316"/>
      <c r="W84" s="257"/>
      <c r="X84" s="257"/>
      <c r="Y84" s="257"/>
      <c r="Z84" s="257"/>
      <c r="AA84" s="257"/>
      <c r="AB84" s="257"/>
      <c r="AC84" s="257"/>
    </row>
    <row r="85" spans="10:29" x14ac:dyDescent="0.2">
      <c r="J85" s="336" t="s">
        <v>463</v>
      </c>
      <c r="K85" s="333" t="s">
        <v>223</v>
      </c>
      <c r="L85" s="328">
        <v>3</v>
      </c>
      <c r="M85" s="330">
        <v>0</v>
      </c>
      <c r="N85" s="316">
        <v>333333.34000000003</v>
      </c>
      <c r="O85" s="316">
        <v>0</v>
      </c>
      <c r="P85" s="319">
        <v>0</v>
      </c>
      <c r="Q85" s="316">
        <v>333333.34000000003</v>
      </c>
      <c r="R85" s="316">
        <v>0</v>
      </c>
      <c r="S85" s="319">
        <v>0</v>
      </c>
      <c r="T85" s="316">
        <v>0</v>
      </c>
      <c r="U85" s="319">
        <v>0</v>
      </c>
      <c r="V85" s="316"/>
      <c r="W85" s="257"/>
      <c r="X85" s="257"/>
      <c r="Y85" s="257"/>
      <c r="Z85" s="257"/>
      <c r="AA85" s="257"/>
      <c r="AB85" s="257"/>
      <c r="AC85" s="257"/>
    </row>
    <row r="86" spans="10:29" x14ac:dyDescent="0.2">
      <c r="J86" s="336" t="s">
        <v>484</v>
      </c>
      <c r="K86" s="333" t="s">
        <v>99</v>
      </c>
      <c r="L86" s="328">
        <v>2</v>
      </c>
      <c r="M86" s="330">
        <v>0</v>
      </c>
      <c r="N86" s="316">
        <v>1000000</v>
      </c>
      <c r="O86" s="316">
        <v>500000</v>
      </c>
      <c r="P86" s="319">
        <v>500000</v>
      </c>
      <c r="Q86" s="316">
        <v>6500000</v>
      </c>
      <c r="R86" s="316">
        <v>750000</v>
      </c>
      <c r="S86" s="319">
        <v>750000</v>
      </c>
      <c r="T86" s="316">
        <v>15000</v>
      </c>
      <c r="U86" s="319">
        <v>50000</v>
      </c>
      <c r="V86" s="316"/>
      <c r="W86" s="257"/>
      <c r="X86" s="257"/>
      <c r="Y86" s="257"/>
      <c r="Z86" s="257"/>
      <c r="AA86" s="257"/>
      <c r="AB86" s="257"/>
      <c r="AC86" s="257"/>
    </row>
    <row r="87" spans="10:29" x14ac:dyDescent="0.2">
      <c r="J87" s="336" t="s">
        <v>481</v>
      </c>
      <c r="K87" s="333" t="s">
        <v>482</v>
      </c>
      <c r="L87" s="328">
        <v>3</v>
      </c>
      <c r="M87" s="330">
        <v>0</v>
      </c>
      <c r="N87" s="316">
        <v>166666.67000000001</v>
      </c>
      <c r="O87" s="316">
        <v>0</v>
      </c>
      <c r="P87" s="319">
        <v>0</v>
      </c>
      <c r="Q87" s="316">
        <v>166666.67000000001</v>
      </c>
      <c r="R87" s="316">
        <v>0</v>
      </c>
      <c r="S87" s="319">
        <v>0</v>
      </c>
      <c r="T87" s="316">
        <v>0</v>
      </c>
      <c r="U87" s="319">
        <v>0</v>
      </c>
      <c r="V87" s="316"/>
      <c r="W87" s="257"/>
      <c r="X87" s="257"/>
      <c r="Y87" s="257"/>
      <c r="Z87" s="257"/>
      <c r="AA87" s="257"/>
      <c r="AB87" s="257"/>
      <c r="AC87" s="257"/>
    </row>
    <row r="88" spans="10:29" x14ac:dyDescent="0.2">
      <c r="J88" s="336" t="s">
        <v>471</v>
      </c>
      <c r="K88" s="333" t="s">
        <v>89</v>
      </c>
      <c r="L88" s="328">
        <v>0</v>
      </c>
      <c r="M88" s="330">
        <v>0</v>
      </c>
      <c r="N88" s="316">
        <v>1000000</v>
      </c>
      <c r="O88" s="316">
        <v>500000</v>
      </c>
      <c r="P88" s="319">
        <v>500000</v>
      </c>
      <c r="Q88" s="316">
        <v>6500000</v>
      </c>
      <c r="R88" s="316">
        <v>750000</v>
      </c>
      <c r="S88" s="319">
        <v>750000</v>
      </c>
      <c r="T88" s="316">
        <v>15000</v>
      </c>
      <c r="U88" s="319">
        <v>50000</v>
      </c>
      <c r="V88" s="316"/>
      <c r="W88" s="257"/>
      <c r="X88" s="257"/>
      <c r="Y88" s="257"/>
      <c r="Z88" s="257"/>
      <c r="AA88" s="257"/>
      <c r="AB88" s="257"/>
      <c r="AC88" s="257"/>
    </row>
    <row r="89" spans="10:29" x14ac:dyDescent="0.2">
      <c r="J89" s="298" t="s">
        <v>563</v>
      </c>
      <c r="K89" s="333" t="s">
        <v>564</v>
      </c>
      <c r="L89" s="328">
        <v>3</v>
      </c>
      <c r="M89" s="330">
        <v>0</v>
      </c>
      <c r="N89" s="316">
        <v>166666.67000000001</v>
      </c>
      <c r="O89" s="316">
        <v>0</v>
      </c>
      <c r="P89" s="319">
        <v>0</v>
      </c>
      <c r="Q89" s="316">
        <v>166666.67000000001</v>
      </c>
      <c r="R89" s="316">
        <v>0</v>
      </c>
      <c r="S89" s="319">
        <v>0</v>
      </c>
      <c r="T89" s="316">
        <v>0</v>
      </c>
      <c r="U89" s="319">
        <v>0</v>
      </c>
      <c r="V89" s="316"/>
      <c r="W89" s="257"/>
      <c r="X89" s="257"/>
      <c r="Y89" s="257"/>
      <c r="Z89" s="257"/>
      <c r="AA89" s="257"/>
      <c r="AB89" s="257"/>
      <c r="AC89" s="257"/>
    </row>
    <row r="90" spans="10:29" x14ac:dyDescent="0.2">
      <c r="J90" s="336" t="s">
        <v>483</v>
      </c>
      <c r="K90" s="333" t="s">
        <v>98</v>
      </c>
      <c r="L90" s="328">
        <v>4</v>
      </c>
      <c r="M90" s="330">
        <v>0</v>
      </c>
      <c r="N90" s="316">
        <v>166666.67000000001</v>
      </c>
      <c r="O90" s="316">
        <v>0</v>
      </c>
      <c r="P90" s="319">
        <v>0</v>
      </c>
      <c r="Q90" s="316">
        <v>166666.67000000001</v>
      </c>
      <c r="R90" s="316">
        <v>0</v>
      </c>
      <c r="S90" s="319">
        <v>0</v>
      </c>
      <c r="T90" s="316">
        <v>0</v>
      </c>
      <c r="U90" s="319">
        <v>0</v>
      </c>
      <c r="V90" s="316"/>
      <c r="W90" s="257"/>
      <c r="X90" s="257"/>
      <c r="Y90" s="257"/>
      <c r="Z90" s="257"/>
      <c r="AA90" s="257"/>
      <c r="AB90" s="257"/>
      <c r="AC90" s="257"/>
    </row>
    <row r="91" spans="10:29" x14ac:dyDescent="0.2">
      <c r="J91" s="336" t="s">
        <v>469</v>
      </c>
      <c r="K91" s="333" t="s">
        <v>470</v>
      </c>
      <c r="L91" s="328">
        <v>2</v>
      </c>
      <c r="M91" s="330">
        <v>0</v>
      </c>
      <c r="N91" s="316">
        <v>1000000</v>
      </c>
      <c r="O91" s="316">
        <v>500000</v>
      </c>
      <c r="P91" s="319">
        <v>500000</v>
      </c>
      <c r="Q91" s="316">
        <v>6500000</v>
      </c>
      <c r="R91" s="316">
        <v>750000</v>
      </c>
      <c r="S91" s="319">
        <v>750000</v>
      </c>
      <c r="T91" s="316">
        <v>15000</v>
      </c>
      <c r="U91" s="319">
        <v>50000</v>
      </c>
      <c r="V91" s="316"/>
      <c r="W91" s="257"/>
      <c r="X91" s="257"/>
      <c r="Y91" s="257"/>
      <c r="Z91" s="257"/>
      <c r="AA91" s="257"/>
      <c r="AB91" s="257"/>
      <c r="AC91" s="257"/>
    </row>
    <row r="92" spans="10:29" x14ac:dyDescent="0.2">
      <c r="J92" s="336" t="s">
        <v>476</v>
      </c>
      <c r="K92" s="333" t="s">
        <v>94</v>
      </c>
      <c r="L92" s="328">
        <v>3</v>
      </c>
      <c r="M92" s="330">
        <v>0</v>
      </c>
      <c r="N92" s="316">
        <v>1000000</v>
      </c>
      <c r="O92" s="316">
        <v>500000</v>
      </c>
      <c r="P92" s="319">
        <v>500000</v>
      </c>
      <c r="Q92" s="316">
        <v>6500000</v>
      </c>
      <c r="R92" s="316">
        <v>750000</v>
      </c>
      <c r="S92" s="319">
        <v>750000</v>
      </c>
      <c r="T92" s="316">
        <v>15000</v>
      </c>
      <c r="U92" s="319">
        <v>50000</v>
      </c>
      <c r="V92" s="316"/>
      <c r="W92" s="257"/>
      <c r="X92" s="257"/>
      <c r="Y92" s="257"/>
      <c r="Z92" s="257"/>
      <c r="AA92" s="257"/>
      <c r="AB92" s="257"/>
      <c r="AC92" s="257"/>
    </row>
    <row r="93" spans="10:29" x14ac:dyDescent="0.2">
      <c r="J93" s="336" t="s">
        <v>475</v>
      </c>
      <c r="K93" s="333" t="s">
        <v>247</v>
      </c>
      <c r="L93" s="328">
        <v>0</v>
      </c>
      <c r="M93" s="330">
        <v>0</v>
      </c>
      <c r="N93" s="316">
        <v>1000000</v>
      </c>
      <c r="O93" s="316">
        <v>500000</v>
      </c>
      <c r="P93" s="319">
        <v>500000</v>
      </c>
      <c r="Q93" s="316">
        <v>6500000</v>
      </c>
      <c r="R93" s="316">
        <v>750000</v>
      </c>
      <c r="S93" s="319">
        <v>750000</v>
      </c>
      <c r="T93" s="316">
        <v>15000</v>
      </c>
      <c r="U93" s="319">
        <v>50000</v>
      </c>
      <c r="V93" s="316"/>
      <c r="W93" s="257"/>
      <c r="X93" s="257"/>
      <c r="Y93" s="257"/>
      <c r="Z93" s="257"/>
      <c r="AA93" s="257"/>
      <c r="AB93" s="257"/>
      <c r="AC93" s="257"/>
    </row>
    <row r="94" spans="10:29" x14ac:dyDescent="0.2">
      <c r="J94" s="336" t="s">
        <v>477</v>
      </c>
      <c r="K94" s="333" t="s">
        <v>95</v>
      </c>
      <c r="L94" s="328">
        <v>0</v>
      </c>
      <c r="M94" s="330">
        <v>0</v>
      </c>
      <c r="N94" s="316">
        <v>1000000</v>
      </c>
      <c r="O94" s="316">
        <v>500000</v>
      </c>
      <c r="P94" s="319">
        <v>500000</v>
      </c>
      <c r="Q94" s="316">
        <v>6500000</v>
      </c>
      <c r="R94" s="316">
        <v>750000</v>
      </c>
      <c r="S94" s="319">
        <v>750000</v>
      </c>
      <c r="T94" s="316">
        <v>15000</v>
      </c>
      <c r="U94" s="319">
        <v>50000</v>
      </c>
      <c r="V94" s="316"/>
      <c r="W94" s="257"/>
      <c r="X94" s="257"/>
      <c r="Y94" s="257"/>
      <c r="Z94" s="257"/>
      <c r="AA94" s="257"/>
      <c r="AB94" s="257"/>
      <c r="AC94" s="257"/>
    </row>
    <row r="95" spans="10:29" x14ac:dyDescent="0.2">
      <c r="J95" s="336" t="s">
        <v>474</v>
      </c>
      <c r="K95" s="333" t="s">
        <v>226</v>
      </c>
      <c r="L95" s="328">
        <v>4</v>
      </c>
      <c r="M95" s="330">
        <v>0</v>
      </c>
      <c r="N95" s="316">
        <v>333333.34000000003</v>
      </c>
      <c r="O95" s="316">
        <v>166666.67000000001</v>
      </c>
      <c r="P95" s="319">
        <v>166666.67000000001</v>
      </c>
      <c r="Q95" s="316">
        <v>333333.34000000003</v>
      </c>
      <c r="R95" s="316">
        <v>166666.67000000001</v>
      </c>
      <c r="S95" s="319">
        <v>166666.67000000001</v>
      </c>
      <c r="T95" s="316">
        <v>0</v>
      </c>
      <c r="U95" s="319">
        <v>0</v>
      </c>
      <c r="V95" s="316"/>
      <c r="W95" s="257"/>
      <c r="X95" s="257"/>
      <c r="Y95" s="257"/>
      <c r="Z95" s="257"/>
      <c r="AA95" s="257"/>
      <c r="AB95" s="257"/>
      <c r="AC95" s="257"/>
    </row>
    <row r="96" spans="10:29" x14ac:dyDescent="0.2">
      <c r="J96" s="336" t="s">
        <v>472</v>
      </c>
      <c r="K96" s="333" t="s">
        <v>90</v>
      </c>
      <c r="L96" s="328">
        <v>3</v>
      </c>
      <c r="M96" s="330">
        <v>1</v>
      </c>
      <c r="N96" s="316">
        <v>166666.67000000001</v>
      </c>
      <c r="O96" s="316">
        <v>0</v>
      </c>
      <c r="P96" s="319">
        <v>0</v>
      </c>
      <c r="Q96" s="316">
        <v>166666.67000000001</v>
      </c>
      <c r="R96" s="316">
        <v>0</v>
      </c>
      <c r="S96" s="319">
        <v>0</v>
      </c>
      <c r="T96" s="316">
        <v>0</v>
      </c>
      <c r="U96" s="319">
        <v>0</v>
      </c>
      <c r="V96" s="316"/>
      <c r="W96" s="257"/>
      <c r="X96" s="257"/>
      <c r="Y96" s="257"/>
      <c r="Z96" s="257"/>
      <c r="AA96" s="257"/>
      <c r="AB96" s="257"/>
      <c r="AC96" s="257"/>
    </row>
    <row r="97" spans="10:29" x14ac:dyDescent="0.2">
      <c r="J97" s="336" t="s">
        <v>478</v>
      </c>
      <c r="K97" s="333" t="s">
        <v>479</v>
      </c>
      <c r="L97" s="328">
        <v>1</v>
      </c>
      <c r="M97" s="330">
        <v>0</v>
      </c>
      <c r="N97" s="316">
        <v>1000000</v>
      </c>
      <c r="O97" s="316">
        <v>500000</v>
      </c>
      <c r="P97" s="319">
        <v>500000</v>
      </c>
      <c r="Q97" s="316">
        <v>6500000</v>
      </c>
      <c r="R97" s="316">
        <v>750000</v>
      </c>
      <c r="S97" s="319">
        <v>750000</v>
      </c>
      <c r="T97" s="316">
        <v>15000</v>
      </c>
      <c r="U97" s="319">
        <v>50000</v>
      </c>
      <c r="V97" s="316"/>
      <c r="W97" s="257"/>
      <c r="X97" s="257"/>
      <c r="Y97" s="257"/>
      <c r="Z97" s="257"/>
      <c r="AA97" s="257"/>
      <c r="AB97" s="257"/>
      <c r="AC97" s="257"/>
    </row>
    <row r="98" spans="10:29" x14ac:dyDescent="0.2">
      <c r="J98" s="336" t="s">
        <v>473</v>
      </c>
      <c r="K98" s="333" t="s">
        <v>92</v>
      </c>
      <c r="L98" s="328">
        <v>0</v>
      </c>
      <c r="M98" s="330">
        <v>0</v>
      </c>
      <c r="N98" s="316">
        <v>1000000</v>
      </c>
      <c r="O98" s="316">
        <v>500000</v>
      </c>
      <c r="P98" s="319">
        <v>500000</v>
      </c>
      <c r="Q98" s="316">
        <v>6500000</v>
      </c>
      <c r="R98" s="316">
        <v>750000</v>
      </c>
      <c r="S98" s="319">
        <v>750000</v>
      </c>
      <c r="T98" s="316">
        <v>15000</v>
      </c>
      <c r="U98" s="319">
        <v>50000</v>
      </c>
      <c r="V98" s="316"/>
      <c r="W98" s="257"/>
      <c r="X98" s="257"/>
      <c r="Y98" s="257"/>
      <c r="Z98" s="257"/>
      <c r="AA98" s="257"/>
      <c r="AB98" s="257"/>
      <c r="AC98" s="257"/>
    </row>
    <row r="99" spans="10:29" x14ac:dyDescent="0.2">
      <c r="J99" s="336" t="s">
        <v>485</v>
      </c>
      <c r="K99" s="333" t="s">
        <v>100</v>
      </c>
      <c r="L99" s="328">
        <v>3</v>
      </c>
      <c r="M99" s="330">
        <v>1</v>
      </c>
      <c r="N99" s="316">
        <v>166666.67000000001</v>
      </c>
      <c r="O99" s="316">
        <v>0</v>
      </c>
      <c r="P99" s="319">
        <v>0</v>
      </c>
      <c r="Q99" s="316">
        <v>166666.67000000001</v>
      </c>
      <c r="R99" s="316">
        <v>0</v>
      </c>
      <c r="S99" s="319">
        <v>0</v>
      </c>
      <c r="T99" s="316">
        <v>0</v>
      </c>
      <c r="U99" s="319">
        <v>0</v>
      </c>
      <c r="V99" s="316"/>
      <c r="W99" s="257"/>
      <c r="X99" s="257"/>
      <c r="Y99" s="257"/>
      <c r="Z99" s="257"/>
      <c r="AA99" s="257"/>
      <c r="AB99" s="257"/>
      <c r="AC99" s="257"/>
    </row>
    <row r="100" spans="10:29" x14ac:dyDescent="0.2">
      <c r="J100" s="336" t="s">
        <v>486</v>
      </c>
      <c r="K100" s="333" t="s">
        <v>487</v>
      </c>
      <c r="L100" s="328">
        <v>3</v>
      </c>
      <c r="M100" s="330">
        <v>1</v>
      </c>
      <c r="N100" s="316">
        <v>166666.67000000001</v>
      </c>
      <c r="O100" s="316">
        <v>0</v>
      </c>
      <c r="P100" s="319">
        <v>0</v>
      </c>
      <c r="Q100" s="316">
        <v>166666.67000000001</v>
      </c>
      <c r="R100" s="316">
        <v>0</v>
      </c>
      <c r="S100" s="319">
        <v>0</v>
      </c>
      <c r="T100" s="316">
        <v>0</v>
      </c>
      <c r="U100" s="319">
        <v>0</v>
      </c>
      <c r="V100" s="316"/>
      <c r="W100" s="257"/>
      <c r="X100" s="257"/>
      <c r="Y100" s="257"/>
      <c r="Z100" s="257"/>
      <c r="AA100" s="257"/>
      <c r="AB100" s="257"/>
      <c r="AC100" s="257"/>
    </row>
    <row r="101" spans="10:29" x14ac:dyDescent="0.2">
      <c r="J101" s="336" t="s">
        <v>493</v>
      </c>
      <c r="K101" s="333" t="s">
        <v>103</v>
      </c>
      <c r="L101" s="328">
        <v>3</v>
      </c>
      <c r="M101" s="330">
        <v>1</v>
      </c>
      <c r="N101" s="316">
        <v>166666.67000000001</v>
      </c>
      <c r="O101" s="316">
        <v>0</v>
      </c>
      <c r="P101" s="319">
        <v>0</v>
      </c>
      <c r="Q101" s="316">
        <v>166666.67000000001</v>
      </c>
      <c r="R101" s="316">
        <v>0</v>
      </c>
      <c r="S101" s="319">
        <v>0</v>
      </c>
      <c r="T101" s="316">
        <v>0</v>
      </c>
      <c r="U101" s="319">
        <v>0</v>
      </c>
      <c r="V101" s="316"/>
      <c r="W101" s="257"/>
      <c r="X101" s="257"/>
      <c r="Y101" s="257"/>
      <c r="Z101" s="257"/>
      <c r="AA101" s="257"/>
      <c r="AB101" s="257"/>
      <c r="AC101" s="257"/>
    </row>
    <row r="102" spans="10:29" x14ac:dyDescent="0.2">
      <c r="J102" s="336" t="s">
        <v>491</v>
      </c>
      <c r="K102" s="333" t="s">
        <v>101</v>
      </c>
      <c r="L102" s="328">
        <v>0</v>
      </c>
      <c r="M102" s="330">
        <v>0</v>
      </c>
      <c r="N102" s="316">
        <v>1000000</v>
      </c>
      <c r="O102" s="316">
        <v>500000</v>
      </c>
      <c r="P102" s="319">
        <v>500000</v>
      </c>
      <c r="Q102" s="316">
        <v>6500000</v>
      </c>
      <c r="R102" s="316">
        <v>750000</v>
      </c>
      <c r="S102" s="319">
        <v>750000</v>
      </c>
      <c r="T102" s="316">
        <v>15000</v>
      </c>
      <c r="U102" s="319">
        <v>50000</v>
      </c>
      <c r="V102" s="316"/>
      <c r="W102" s="257"/>
      <c r="X102" s="257"/>
      <c r="Y102" s="257"/>
      <c r="Z102" s="257"/>
      <c r="AA102" s="257"/>
      <c r="AB102" s="257"/>
      <c r="AC102" s="257"/>
    </row>
    <row r="103" spans="10:29" x14ac:dyDescent="0.2">
      <c r="J103" s="336" t="s">
        <v>494</v>
      </c>
      <c r="K103" s="333" t="s">
        <v>104</v>
      </c>
      <c r="L103" s="328">
        <v>0</v>
      </c>
      <c r="M103" s="330">
        <v>0</v>
      </c>
      <c r="N103" s="316">
        <v>1000000</v>
      </c>
      <c r="O103" s="316">
        <v>500000</v>
      </c>
      <c r="P103" s="319">
        <v>500000</v>
      </c>
      <c r="Q103" s="316">
        <v>6500000</v>
      </c>
      <c r="R103" s="316">
        <v>750000</v>
      </c>
      <c r="S103" s="319">
        <v>750000</v>
      </c>
      <c r="T103" s="316">
        <v>15000</v>
      </c>
      <c r="U103" s="319">
        <v>50000</v>
      </c>
      <c r="V103" s="316"/>
      <c r="W103" s="257"/>
      <c r="X103" s="257"/>
      <c r="Y103" s="257"/>
      <c r="Z103" s="257"/>
      <c r="AA103" s="257"/>
      <c r="AB103" s="257"/>
      <c r="AC103" s="257"/>
    </row>
    <row r="104" spans="10:29" x14ac:dyDescent="0.2">
      <c r="J104" s="336" t="s">
        <v>490</v>
      </c>
      <c r="K104" s="333" t="s">
        <v>227</v>
      </c>
      <c r="L104" s="328">
        <v>4</v>
      </c>
      <c r="M104" s="330">
        <v>0</v>
      </c>
      <c r="N104" s="316">
        <v>333333.34000000003</v>
      </c>
      <c r="O104" s="316">
        <v>166666.67000000001</v>
      </c>
      <c r="P104" s="319">
        <v>166666.67000000001</v>
      </c>
      <c r="Q104" s="316">
        <v>333333.34000000003</v>
      </c>
      <c r="R104" s="316">
        <v>166666.67000000001</v>
      </c>
      <c r="S104" s="319">
        <v>166666.67000000001</v>
      </c>
      <c r="T104" s="316">
        <v>0</v>
      </c>
      <c r="U104" s="319">
        <v>0</v>
      </c>
      <c r="V104" s="316"/>
      <c r="W104" s="257"/>
      <c r="X104" s="257"/>
      <c r="Y104" s="257"/>
      <c r="Z104" s="257"/>
      <c r="AA104" s="257"/>
      <c r="AB104" s="257"/>
      <c r="AC104" s="257"/>
    </row>
    <row r="105" spans="10:29" x14ac:dyDescent="0.2">
      <c r="J105" s="336" t="s">
        <v>488</v>
      </c>
      <c r="K105" s="333" t="s">
        <v>489</v>
      </c>
      <c r="L105" s="328">
        <v>2</v>
      </c>
      <c r="M105" s="330">
        <v>0</v>
      </c>
      <c r="N105" s="316">
        <v>1000000</v>
      </c>
      <c r="O105" s="316">
        <v>500000</v>
      </c>
      <c r="P105" s="319">
        <v>500000</v>
      </c>
      <c r="Q105" s="316">
        <v>6500000</v>
      </c>
      <c r="R105" s="316">
        <v>750000</v>
      </c>
      <c r="S105" s="319">
        <v>750000</v>
      </c>
      <c r="T105" s="316">
        <v>15000</v>
      </c>
      <c r="U105" s="319">
        <v>50000</v>
      </c>
      <c r="V105" s="316"/>
      <c r="W105" s="257"/>
      <c r="X105" s="257"/>
      <c r="Y105" s="257"/>
      <c r="Z105" s="257"/>
      <c r="AA105" s="257"/>
      <c r="AB105" s="257"/>
      <c r="AC105" s="257"/>
    </row>
    <row r="106" spans="10:29" x14ac:dyDescent="0.2">
      <c r="J106" s="336" t="s">
        <v>492</v>
      </c>
      <c r="K106" s="333" t="s">
        <v>102</v>
      </c>
      <c r="L106" s="328">
        <v>0</v>
      </c>
      <c r="M106" s="330">
        <v>0</v>
      </c>
      <c r="N106" s="316">
        <v>1000000</v>
      </c>
      <c r="O106" s="316">
        <v>500000</v>
      </c>
      <c r="P106" s="319">
        <v>500000</v>
      </c>
      <c r="Q106" s="316">
        <v>6500000</v>
      </c>
      <c r="R106" s="316">
        <v>750000</v>
      </c>
      <c r="S106" s="319">
        <v>750000</v>
      </c>
      <c r="T106" s="316">
        <v>15000</v>
      </c>
      <c r="U106" s="319">
        <v>50000</v>
      </c>
      <c r="V106" s="316"/>
      <c r="W106" s="257"/>
      <c r="X106" s="257"/>
      <c r="Y106" s="257"/>
      <c r="Z106" s="257"/>
      <c r="AA106" s="257"/>
      <c r="AB106" s="257"/>
      <c r="AC106" s="257"/>
    </row>
    <row r="107" spans="10:29" x14ac:dyDescent="0.2">
      <c r="J107" s="336" t="s">
        <v>495</v>
      </c>
      <c r="K107" s="333" t="s">
        <v>105</v>
      </c>
      <c r="L107" s="328">
        <v>0</v>
      </c>
      <c r="M107" s="330">
        <v>0</v>
      </c>
      <c r="N107" s="316">
        <v>1000000</v>
      </c>
      <c r="O107" s="316">
        <v>500000</v>
      </c>
      <c r="P107" s="319">
        <v>500000</v>
      </c>
      <c r="Q107" s="316">
        <v>6500000</v>
      </c>
      <c r="R107" s="316">
        <v>750000</v>
      </c>
      <c r="S107" s="319">
        <v>750000</v>
      </c>
      <c r="T107" s="316">
        <v>15000</v>
      </c>
      <c r="U107" s="319">
        <v>50000</v>
      </c>
      <c r="V107" s="316"/>
      <c r="W107" s="257"/>
      <c r="X107" s="257"/>
      <c r="Y107" s="257"/>
      <c r="Z107" s="257"/>
      <c r="AA107" s="257"/>
      <c r="AB107" s="257"/>
      <c r="AC107" s="257"/>
    </row>
    <row r="108" spans="10:29" x14ac:dyDescent="0.2">
      <c r="J108" s="336" t="s">
        <v>497</v>
      </c>
      <c r="K108" s="333" t="s">
        <v>498</v>
      </c>
      <c r="L108" s="328">
        <v>1</v>
      </c>
      <c r="M108" s="330">
        <v>0</v>
      </c>
      <c r="N108" s="316">
        <v>1000000</v>
      </c>
      <c r="O108" s="316">
        <v>500000</v>
      </c>
      <c r="P108" s="319">
        <v>500000</v>
      </c>
      <c r="Q108" s="316">
        <v>6500000</v>
      </c>
      <c r="R108" s="316">
        <v>750000</v>
      </c>
      <c r="S108" s="319">
        <v>750000</v>
      </c>
      <c r="T108" s="316">
        <v>15000</v>
      </c>
      <c r="U108" s="319">
        <v>50000</v>
      </c>
      <c r="V108" s="316"/>
      <c r="W108" s="257"/>
      <c r="X108" s="257"/>
      <c r="Y108" s="257"/>
      <c r="Z108" s="257"/>
      <c r="AA108" s="257"/>
      <c r="AB108" s="257"/>
      <c r="AC108" s="257"/>
    </row>
    <row r="109" spans="10:29" x14ac:dyDescent="0.2">
      <c r="J109" s="336" t="s">
        <v>430</v>
      </c>
      <c r="K109" s="333" t="s">
        <v>246</v>
      </c>
      <c r="L109" s="328">
        <v>2</v>
      </c>
      <c r="M109" s="330">
        <v>0</v>
      </c>
      <c r="N109" s="316">
        <v>1000000</v>
      </c>
      <c r="O109" s="316">
        <v>500000</v>
      </c>
      <c r="P109" s="319">
        <v>500000</v>
      </c>
      <c r="Q109" s="316">
        <v>6500000</v>
      </c>
      <c r="R109" s="316">
        <v>750000</v>
      </c>
      <c r="S109" s="319">
        <v>750000</v>
      </c>
      <c r="T109" s="316">
        <v>15000</v>
      </c>
      <c r="U109" s="319">
        <v>50000</v>
      </c>
      <c r="V109" s="316"/>
      <c r="W109" s="257"/>
      <c r="X109" s="257"/>
      <c r="Y109" s="257"/>
      <c r="Z109" s="257"/>
      <c r="AA109" s="257"/>
      <c r="AB109" s="257"/>
      <c r="AC109" s="257"/>
    </row>
    <row r="110" spans="10:29" x14ac:dyDescent="0.2">
      <c r="J110" s="336" t="s">
        <v>501</v>
      </c>
      <c r="K110" s="333" t="s">
        <v>229</v>
      </c>
      <c r="L110" s="328">
        <v>1</v>
      </c>
      <c r="M110" s="330">
        <v>0</v>
      </c>
      <c r="N110" s="316">
        <v>1000000</v>
      </c>
      <c r="O110" s="316">
        <v>500000</v>
      </c>
      <c r="P110" s="319">
        <v>500000</v>
      </c>
      <c r="Q110" s="316">
        <v>6500000</v>
      </c>
      <c r="R110" s="316">
        <v>750000</v>
      </c>
      <c r="S110" s="319">
        <v>750000</v>
      </c>
      <c r="T110" s="316">
        <v>15000</v>
      </c>
      <c r="U110" s="319">
        <v>50000</v>
      </c>
      <c r="V110" s="316"/>
      <c r="W110" s="257"/>
      <c r="X110" s="257"/>
      <c r="Y110" s="257"/>
      <c r="Z110" s="257"/>
      <c r="AA110" s="257"/>
      <c r="AB110" s="257"/>
      <c r="AC110" s="257"/>
    </row>
    <row r="111" spans="10:29" x14ac:dyDescent="0.2">
      <c r="J111" s="336" t="s">
        <v>496</v>
      </c>
      <c r="K111" s="333" t="s">
        <v>228</v>
      </c>
      <c r="L111" s="328">
        <v>4</v>
      </c>
      <c r="M111" s="330">
        <v>0</v>
      </c>
      <c r="N111" s="316">
        <v>333333.34000000003</v>
      </c>
      <c r="O111" s="316">
        <v>166666.67000000001</v>
      </c>
      <c r="P111" s="319">
        <v>166666.67000000001</v>
      </c>
      <c r="Q111" s="316">
        <v>333333.34000000003</v>
      </c>
      <c r="R111" s="316">
        <v>166666.67000000001</v>
      </c>
      <c r="S111" s="319">
        <v>166666.67000000001</v>
      </c>
      <c r="T111" s="316">
        <v>0</v>
      </c>
      <c r="U111" s="319">
        <v>0</v>
      </c>
      <c r="V111" s="316"/>
      <c r="W111" s="257"/>
      <c r="X111" s="257"/>
      <c r="Y111" s="257"/>
      <c r="Z111" s="257"/>
      <c r="AA111" s="257"/>
      <c r="AB111" s="257"/>
      <c r="AC111" s="257"/>
    </row>
    <row r="112" spans="10:29" x14ac:dyDescent="0.2">
      <c r="J112" s="336" t="s">
        <v>502</v>
      </c>
      <c r="K112" s="333" t="s">
        <v>230</v>
      </c>
      <c r="L112" s="328">
        <v>2</v>
      </c>
      <c r="M112" s="330">
        <v>0</v>
      </c>
      <c r="N112" s="316">
        <v>666666.67000000004</v>
      </c>
      <c r="O112" s="316">
        <v>333333.34000000003</v>
      </c>
      <c r="P112" s="319">
        <v>333333.34000000003</v>
      </c>
      <c r="Q112" s="316">
        <v>666666.67000000004</v>
      </c>
      <c r="R112" s="316">
        <v>333333.34000000003</v>
      </c>
      <c r="S112" s="319">
        <v>333333.34000000003</v>
      </c>
      <c r="T112" s="316">
        <v>0</v>
      </c>
      <c r="U112" s="319">
        <v>0</v>
      </c>
      <c r="V112" s="316"/>
      <c r="W112" s="257"/>
      <c r="X112" s="257"/>
      <c r="Y112" s="257"/>
      <c r="Z112" s="257"/>
      <c r="AA112" s="257"/>
      <c r="AB112" s="257"/>
      <c r="AC112" s="257"/>
    </row>
    <row r="113" spans="10:29" x14ac:dyDescent="0.2">
      <c r="J113" s="336" t="s">
        <v>503</v>
      </c>
      <c r="K113" s="333" t="s">
        <v>106</v>
      </c>
      <c r="L113" s="328">
        <v>0</v>
      </c>
      <c r="M113" s="330">
        <v>0</v>
      </c>
      <c r="N113" s="316">
        <v>1000000</v>
      </c>
      <c r="O113" s="316">
        <v>500000</v>
      </c>
      <c r="P113" s="319">
        <v>500000</v>
      </c>
      <c r="Q113" s="316">
        <v>6500000</v>
      </c>
      <c r="R113" s="316">
        <v>750000</v>
      </c>
      <c r="S113" s="319">
        <v>750000</v>
      </c>
      <c r="T113" s="316">
        <v>15000</v>
      </c>
      <c r="U113" s="319">
        <v>50000</v>
      </c>
      <c r="V113" s="316"/>
      <c r="W113" s="257"/>
      <c r="X113" s="257"/>
      <c r="Y113" s="257"/>
      <c r="Z113" s="257"/>
      <c r="AA113" s="257"/>
      <c r="AB113" s="257"/>
      <c r="AC113" s="257"/>
    </row>
    <row r="114" spans="10:29" x14ac:dyDescent="0.2">
      <c r="J114" s="336" t="s">
        <v>499</v>
      </c>
      <c r="K114" s="333" t="s">
        <v>500</v>
      </c>
      <c r="L114" s="328">
        <v>1</v>
      </c>
      <c r="M114" s="330">
        <v>0</v>
      </c>
      <c r="N114" s="316">
        <v>1000000</v>
      </c>
      <c r="O114" s="316">
        <v>500000</v>
      </c>
      <c r="P114" s="319">
        <v>500000</v>
      </c>
      <c r="Q114" s="316">
        <v>6500000</v>
      </c>
      <c r="R114" s="316">
        <v>750000</v>
      </c>
      <c r="S114" s="319">
        <v>750000</v>
      </c>
      <c r="T114" s="316">
        <v>15000</v>
      </c>
      <c r="U114" s="319">
        <v>50000</v>
      </c>
      <c r="V114" s="316"/>
      <c r="W114" s="257"/>
      <c r="X114" s="257"/>
      <c r="Y114" s="257"/>
      <c r="Z114" s="257"/>
      <c r="AA114" s="257"/>
      <c r="AB114" s="257"/>
      <c r="AC114" s="257"/>
    </row>
    <row r="115" spans="10:29" x14ac:dyDescent="0.2">
      <c r="J115" s="336" t="s">
        <v>504</v>
      </c>
      <c r="K115" s="333" t="s">
        <v>107</v>
      </c>
      <c r="L115" s="328">
        <v>0</v>
      </c>
      <c r="M115" s="330">
        <v>0</v>
      </c>
      <c r="N115" s="316">
        <v>1000000</v>
      </c>
      <c r="O115" s="316">
        <v>500000</v>
      </c>
      <c r="P115" s="319">
        <v>500000</v>
      </c>
      <c r="Q115" s="316">
        <v>6500000</v>
      </c>
      <c r="R115" s="316">
        <v>750000</v>
      </c>
      <c r="S115" s="319">
        <v>750000</v>
      </c>
      <c r="T115" s="316">
        <v>15000</v>
      </c>
      <c r="U115" s="319">
        <v>50000</v>
      </c>
      <c r="V115" s="316"/>
      <c r="W115" s="257"/>
      <c r="X115" s="257"/>
      <c r="Y115" s="257"/>
      <c r="Z115" s="257"/>
      <c r="AA115" s="257"/>
      <c r="AB115" s="257"/>
      <c r="AC115" s="257"/>
    </row>
    <row r="116" spans="10:29" x14ac:dyDescent="0.2">
      <c r="J116" s="336" t="s">
        <v>505</v>
      </c>
      <c r="K116" s="333" t="s">
        <v>231</v>
      </c>
      <c r="L116" s="328">
        <v>3</v>
      </c>
      <c r="M116" s="330">
        <v>0</v>
      </c>
      <c r="N116" s="316">
        <v>333333.34000000003</v>
      </c>
      <c r="O116" s="316">
        <v>0</v>
      </c>
      <c r="P116" s="319">
        <v>0</v>
      </c>
      <c r="Q116" s="316">
        <v>333333.34000000003</v>
      </c>
      <c r="R116" s="316">
        <v>0</v>
      </c>
      <c r="S116" s="319">
        <v>0</v>
      </c>
      <c r="T116" s="316">
        <v>0</v>
      </c>
      <c r="U116" s="319">
        <v>0</v>
      </c>
      <c r="V116" s="316"/>
      <c r="W116" s="257"/>
      <c r="X116" s="257"/>
      <c r="Y116" s="257"/>
      <c r="Z116" s="257"/>
      <c r="AA116" s="257"/>
      <c r="AB116" s="257"/>
      <c r="AC116" s="257"/>
    </row>
    <row r="117" spans="10:29" x14ac:dyDescent="0.2">
      <c r="J117" s="336" t="s">
        <v>506</v>
      </c>
      <c r="K117" s="333" t="s">
        <v>507</v>
      </c>
      <c r="L117" s="328">
        <v>3</v>
      </c>
      <c r="M117" s="330">
        <v>0</v>
      </c>
      <c r="N117" s="316">
        <v>333333.34000000003</v>
      </c>
      <c r="O117" s="316">
        <v>0</v>
      </c>
      <c r="P117" s="319">
        <v>0</v>
      </c>
      <c r="Q117" s="316">
        <v>333333.34000000003</v>
      </c>
      <c r="R117" s="316">
        <v>0</v>
      </c>
      <c r="S117" s="319">
        <v>0</v>
      </c>
      <c r="T117" s="316">
        <v>0</v>
      </c>
      <c r="U117" s="319">
        <v>0</v>
      </c>
      <c r="V117" s="316"/>
      <c r="W117" s="257"/>
      <c r="X117" s="257"/>
      <c r="Y117" s="257"/>
      <c r="Z117" s="257"/>
      <c r="AA117" s="257"/>
      <c r="AB117" s="257"/>
      <c r="AC117" s="257"/>
    </row>
    <row r="118" spans="10:29" x14ac:dyDescent="0.2">
      <c r="J118" s="336" t="s">
        <v>514</v>
      </c>
      <c r="K118" s="333" t="s">
        <v>108</v>
      </c>
      <c r="L118" s="328">
        <v>0</v>
      </c>
      <c r="M118" s="330">
        <v>0</v>
      </c>
      <c r="N118" s="316">
        <v>1000000</v>
      </c>
      <c r="O118" s="316">
        <v>500000</v>
      </c>
      <c r="P118" s="319">
        <v>500000</v>
      </c>
      <c r="Q118" s="316">
        <v>6500000</v>
      </c>
      <c r="R118" s="316">
        <v>750000</v>
      </c>
      <c r="S118" s="319">
        <v>750000</v>
      </c>
      <c r="T118" s="316">
        <v>15000</v>
      </c>
      <c r="U118" s="319">
        <v>50000</v>
      </c>
      <c r="V118" s="316"/>
      <c r="W118" s="257"/>
      <c r="X118" s="257"/>
      <c r="Y118" s="257"/>
      <c r="Z118" s="257"/>
      <c r="AA118" s="257"/>
      <c r="AB118" s="257"/>
      <c r="AC118" s="257"/>
    </row>
    <row r="119" spans="10:29" x14ac:dyDescent="0.2">
      <c r="J119" s="336" t="s">
        <v>520</v>
      </c>
      <c r="K119" s="333" t="s">
        <v>233</v>
      </c>
      <c r="L119" s="328">
        <v>0</v>
      </c>
      <c r="M119" s="330">
        <v>0</v>
      </c>
      <c r="N119" s="316">
        <v>1000000</v>
      </c>
      <c r="O119" s="316">
        <v>500000</v>
      </c>
      <c r="P119" s="319">
        <v>500000</v>
      </c>
      <c r="Q119" s="316">
        <v>6500000</v>
      </c>
      <c r="R119" s="316">
        <v>750000</v>
      </c>
      <c r="S119" s="319">
        <v>750000</v>
      </c>
      <c r="T119" s="316">
        <v>15000</v>
      </c>
      <c r="U119" s="319">
        <v>50000</v>
      </c>
      <c r="V119" s="316"/>
      <c r="W119" s="257"/>
      <c r="X119" s="257"/>
      <c r="Y119" s="257"/>
      <c r="Z119" s="257"/>
      <c r="AA119" s="257"/>
      <c r="AB119" s="257"/>
      <c r="AC119" s="257"/>
    </row>
    <row r="120" spans="10:29" x14ac:dyDescent="0.2">
      <c r="J120" s="336" t="s">
        <v>516</v>
      </c>
      <c r="K120" s="333" t="s">
        <v>110</v>
      </c>
      <c r="L120" s="328">
        <v>2</v>
      </c>
      <c r="M120" s="330">
        <v>0</v>
      </c>
      <c r="N120" s="316">
        <v>1000000</v>
      </c>
      <c r="O120" s="316">
        <v>500000</v>
      </c>
      <c r="P120" s="319">
        <v>500000</v>
      </c>
      <c r="Q120" s="316">
        <v>6500000</v>
      </c>
      <c r="R120" s="316">
        <v>750000</v>
      </c>
      <c r="S120" s="319">
        <v>750000</v>
      </c>
      <c r="T120" s="316">
        <v>15000</v>
      </c>
      <c r="U120" s="319">
        <v>50000</v>
      </c>
      <c r="V120" s="316"/>
      <c r="W120" s="257"/>
      <c r="X120" s="257"/>
      <c r="Y120" s="257"/>
      <c r="Z120" s="257"/>
      <c r="AA120" s="257"/>
      <c r="AB120" s="257"/>
      <c r="AC120" s="257"/>
    </row>
    <row r="121" spans="10:29" x14ac:dyDescent="0.2">
      <c r="J121" s="336" t="s">
        <v>525</v>
      </c>
      <c r="K121" s="333" t="s">
        <v>116</v>
      </c>
      <c r="L121" s="328">
        <v>0</v>
      </c>
      <c r="M121" s="330">
        <v>0</v>
      </c>
      <c r="N121" s="316">
        <v>1000000</v>
      </c>
      <c r="O121" s="316">
        <v>500000</v>
      </c>
      <c r="P121" s="319">
        <v>500000</v>
      </c>
      <c r="Q121" s="316">
        <v>6500000</v>
      </c>
      <c r="R121" s="316">
        <v>750000</v>
      </c>
      <c r="S121" s="319">
        <v>750000</v>
      </c>
      <c r="T121" s="316">
        <v>15000</v>
      </c>
      <c r="U121" s="319">
        <v>50000</v>
      </c>
      <c r="V121" s="316"/>
      <c r="W121" s="257"/>
      <c r="X121" s="257"/>
      <c r="Y121" s="257"/>
      <c r="Z121" s="257"/>
      <c r="AA121" s="257"/>
      <c r="AB121" s="257"/>
      <c r="AC121" s="257"/>
    </row>
    <row r="122" spans="10:29" x14ac:dyDescent="0.2">
      <c r="J122" s="336" t="s">
        <v>517</v>
      </c>
      <c r="K122" s="333" t="s">
        <v>111</v>
      </c>
      <c r="L122" s="328">
        <v>0</v>
      </c>
      <c r="M122" s="330">
        <v>0</v>
      </c>
      <c r="N122" s="316">
        <v>1000000</v>
      </c>
      <c r="O122" s="316">
        <v>500000</v>
      </c>
      <c r="P122" s="319">
        <v>500000</v>
      </c>
      <c r="Q122" s="316">
        <v>6500000</v>
      </c>
      <c r="R122" s="316">
        <v>750000</v>
      </c>
      <c r="S122" s="319">
        <v>750000</v>
      </c>
      <c r="T122" s="316">
        <v>15000</v>
      </c>
      <c r="U122" s="319">
        <v>50000</v>
      </c>
      <c r="V122" s="316"/>
      <c r="W122" s="257"/>
      <c r="X122" s="257"/>
      <c r="Y122" s="257"/>
      <c r="Z122" s="257"/>
      <c r="AA122" s="257"/>
      <c r="AB122" s="257"/>
      <c r="AC122" s="257"/>
    </row>
    <row r="123" spans="10:29" x14ac:dyDescent="0.2">
      <c r="J123" s="336" t="s">
        <v>519</v>
      </c>
      <c r="K123" s="333" t="s">
        <v>112</v>
      </c>
      <c r="L123" s="328">
        <v>3</v>
      </c>
      <c r="M123" s="330">
        <v>0</v>
      </c>
      <c r="N123" s="316">
        <v>166666.67000000001</v>
      </c>
      <c r="O123" s="316">
        <v>0</v>
      </c>
      <c r="P123" s="319">
        <v>0</v>
      </c>
      <c r="Q123" s="316">
        <v>166666.67000000001</v>
      </c>
      <c r="R123" s="316">
        <v>0</v>
      </c>
      <c r="S123" s="319">
        <v>0</v>
      </c>
      <c r="T123" s="316">
        <v>0</v>
      </c>
      <c r="U123" s="319">
        <v>0</v>
      </c>
      <c r="V123" s="316"/>
      <c r="W123" s="257"/>
      <c r="X123" s="257"/>
      <c r="Y123" s="257"/>
      <c r="Z123" s="257"/>
      <c r="AA123" s="257"/>
      <c r="AB123" s="257"/>
      <c r="AC123" s="257"/>
    </row>
    <row r="124" spans="10:29" x14ac:dyDescent="0.2">
      <c r="J124" s="336" t="s">
        <v>518</v>
      </c>
      <c r="K124" s="333" t="s">
        <v>232</v>
      </c>
      <c r="L124" s="328">
        <v>2</v>
      </c>
      <c r="M124" s="330">
        <v>0</v>
      </c>
      <c r="N124" s="316">
        <v>666666.67000000004</v>
      </c>
      <c r="O124" s="316">
        <v>333333.34000000003</v>
      </c>
      <c r="P124" s="319">
        <v>333333.34000000003</v>
      </c>
      <c r="Q124" s="316">
        <v>666666.67000000004</v>
      </c>
      <c r="R124" s="316">
        <v>333333.34000000003</v>
      </c>
      <c r="S124" s="319">
        <v>333333.34000000003</v>
      </c>
      <c r="T124" s="316">
        <v>0</v>
      </c>
      <c r="U124" s="319">
        <v>0</v>
      </c>
      <c r="V124" s="316"/>
      <c r="W124" s="257"/>
      <c r="X124" s="257"/>
      <c r="Y124" s="257"/>
      <c r="Z124" s="257"/>
      <c r="AA124" s="257"/>
      <c r="AB124" s="257"/>
      <c r="AC124" s="257"/>
    </row>
    <row r="125" spans="10:29" x14ac:dyDescent="0.2">
      <c r="J125" s="336" t="s">
        <v>515</v>
      </c>
      <c r="K125" s="333" t="s">
        <v>109</v>
      </c>
      <c r="L125" s="328">
        <v>3</v>
      </c>
      <c r="M125" s="330">
        <v>1</v>
      </c>
      <c r="N125" s="316">
        <v>166666.67000000001</v>
      </c>
      <c r="O125" s="316">
        <v>0</v>
      </c>
      <c r="P125" s="319">
        <v>0</v>
      </c>
      <c r="Q125" s="316">
        <v>166666.67000000001</v>
      </c>
      <c r="R125" s="316">
        <v>0</v>
      </c>
      <c r="S125" s="319">
        <v>0</v>
      </c>
      <c r="T125" s="316">
        <v>0</v>
      </c>
      <c r="U125" s="319">
        <v>0</v>
      </c>
      <c r="V125" s="316"/>
      <c r="W125" s="257"/>
      <c r="X125" s="257"/>
      <c r="Y125" s="257"/>
      <c r="Z125" s="257"/>
      <c r="AA125" s="257"/>
      <c r="AB125" s="257"/>
      <c r="AC125" s="257"/>
    </row>
    <row r="126" spans="10:29" x14ac:dyDescent="0.2">
      <c r="J126" s="298" t="s">
        <v>561</v>
      </c>
      <c r="K126" s="333" t="s">
        <v>562</v>
      </c>
      <c r="L126" s="328">
        <v>3</v>
      </c>
      <c r="M126" s="330">
        <v>0</v>
      </c>
      <c r="N126" s="316">
        <v>1000000</v>
      </c>
      <c r="O126" s="316">
        <v>500000</v>
      </c>
      <c r="P126" s="319">
        <v>500000</v>
      </c>
      <c r="Q126" s="316">
        <v>6500000</v>
      </c>
      <c r="R126" s="316">
        <v>750000</v>
      </c>
      <c r="S126" s="319">
        <v>750000</v>
      </c>
      <c r="T126" s="316">
        <v>15000</v>
      </c>
      <c r="U126" s="319">
        <v>50000</v>
      </c>
      <c r="V126" s="316"/>
      <c r="W126" s="257"/>
      <c r="X126" s="257"/>
      <c r="Y126" s="257"/>
      <c r="Z126" s="257"/>
      <c r="AA126" s="257"/>
      <c r="AB126" s="257"/>
      <c r="AC126" s="257"/>
    </row>
    <row r="127" spans="10:29" x14ac:dyDescent="0.2">
      <c r="J127" s="336" t="s">
        <v>524</v>
      </c>
      <c r="K127" s="333" t="s">
        <v>115</v>
      </c>
      <c r="L127" s="328">
        <v>0</v>
      </c>
      <c r="M127" s="330">
        <v>0</v>
      </c>
      <c r="N127" s="316">
        <v>1000000</v>
      </c>
      <c r="O127" s="316">
        <v>500000</v>
      </c>
      <c r="P127" s="319">
        <v>500000</v>
      </c>
      <c r="Q127" s="316">
        <v>6500000</v>
      </c>
      <c r="R127" s="316">
        <v>750000</v>
      </c>
      <c r="S127" s="319">
        <v>750000</v>
      </c>
      <c r="T127" s="316">
        <v>15000</v>
      </c>
      <c r="U127" s="319">
        <v>50000</v>
      </c>
      <c r="V127" s="316"/>
      <c r="W127" s="257"/>
      <c r="X127" s="257"/>
      <c r="Y127" s="257"/>
      <c r="Z127" s="257"/>
      <c r="AA127" s="257"/>
      <c r="AB127" s="257"/>
      <c r="AC127" s="257"/>
    </row>
    <row r="128" spans="10:29" x14ac:dyDescent="0.2">
      <c r="J128" s="336" t="s">
        <v>531</v>
      </c>
      <c r="K128" s="333" t="s">
        <v>118</v>
      </c>
      <c r="L128" s="328">
        <v>2</v>
      </c>
      <c r="M128" s="330">
        <v>0</v>
      </c>
      <c r="N128" s="316">
        <v>1000000</v>
      </c>
      <c r="O128" s="316">
        <v>500000</v>
      </c>
      <c r="P128" s="319">
        <v>500000</v>
      </c>
      <c r="Q128" s="316">
        <v>6500000</v>
      </c>
      <c r="R128" s="316">
        <v>750000</v>
      </c>
      <c r="S128" s="319">
        <v>750000</v>
      </c>
      <c r="T128" s="316">
        <v>15000</v>
      </c>
      <c r="U128" s="319">
        <v>50000</v>
      </c>
      <c r="V128" s="316"/>
      <c r="W128" s="257"/>
      <c r="X128" s="257"/>
      <c r="Y128" s="257"/>
      <c r="Z128" s="257"/>
      <c r="AA128" s="257"/>
      <c r="AB128" s="257"/>
      <c r="AC128" s="257"/>
    </row>
    <row r="129" spans="10:29" x14ac:dyDescent="0.2">
      <c r="J129" s="336" t="s">
        <v>537</v>
      </c>
      <c r="K129" s="333" t="s">
        <v>121</v>
      </c>
      <c r="L129" s="328">
        <v>3</v>
      </c>
      <c r="M129" s="330">
        <v>0</v>
      </c>
      <c r="N129" s="316">
        <v>166666.67000000001</v>
      </c>
      <c r="O129" s="316">
        <v>0</v>
      </c>
      <c r="P129" s="319">
        <v>0</v>
      </c>
      <c r="Q129" s="316">
        <v>166666.67000000001</v>
      </c>
      <c r="R129" s="316">
        <v>0</v>
      </c>
      <c r="S129" s="319">
        <v>0</v>
      </c>
      <c r="T129" s="316">
        <v>0</v>
      </c>
      <c r="U129" s="319">
        <v>0</v>
      </c>
      <c r="V129" s="316"/>
      <c r="W129" s="257"/>
      <c r="X129" s="257"/>
      <c r="Y129" s="257"/>
      <c r="Z129" s="257"/>
      <c r="AA129" s="257"/>
      <c r="AB129" s="257"/>
      <c r="AC129" s="257"/>
    </row>
    <row r="130" spans="10:29" x14ac:dyDescent="0.2">
      <c r="J130" s="336" t="s">
        <v>535</v>
      </c>
      <c r="K130" s="333" t="s">
        <v>119</v>
      </c>
      <c r="L130" s="328">
        <v>2</v>
      </c>
      <c r="M130" s="330">
        <v>0</v>
      </c>
      <c r="N130" s="316">
        <v>1000000</v>
      </c>
      <c r="O130" s="316">
        <v>500000</v>
      </c>
      <c r="P130" s="319">
        <v>500000</v>
      </c>
      <c r="Q130" s="316">
        <v>6500000</v>
      </c>
      <c r="R130" s="316">
        <v>750000</v>
      </c>
      <c r="S130" s="319">
        <v>750000</v>
      </c>
      <c r="T130" s="316">
        <v>15000</v>
      </c>
      <c r="U130" s="319">
        <v>50000</v>
      </c>
      <c r="V130" s="316"/>
      <c r="W130" s="257"/>
      <c r="X130" s="257"/>
      <c r="Y130" s="257"/>
      <c r="Z130" s="257"/>
      <c r="AA130" s="257"/>
      <c r="AB130" s="257"/>
      <c r="AC130" s="257"/>
    </row>
    <row r="131" spans="10:29" x14ac:dyDescent="0.2">
      <c r="J131" s="336" t="s">
        <v>532</v>
      </c>
      <c r="K131" s="333" t="s">
        <v>235</v>
      </c>
      <c r="L131" s="328">
        <v>2</v>
      </c>
      <c r="M131" s="330">
        <v>0</v>
      </c>
      <c r="N131" s="316">
        <v>1000000</v>
      </c>
      <c r="O131" s="316">
        <v>500000</v>
      </c>
      <c r="P131" s="319">
        <v>500000</v>
      </c>
      <c r="Q131" s="316">
        <v>6500000</v>
      </c>
      <c r="R131" s="316">
        <v>750000</v>
      </c>
      <c r="S131" s="319">
        <v>750000</v>
      </c>
      <c r="T131" s="316">
        <v>15000</v>
      </c>
      <c r="U131" s="319">
        <v>50000</v>
      </c>
      <c r="V131" s="316"/>
      <c r="W131" s="257"/>
      <c r="X131" s="257"/>
      <c r="Y131" s="257"/>
      <c r="Z131" s="257"/>
      <c r="AA131" s="257"/>
      <c r="AB131" s="257"/>
      <c r="AC131" s="257"/>
    </row>
    <row r="132" spans="10:29" x14ac:dyDescent="0.2">
      <c r="J132" s="336" t="s">
        <v>536</v>
      </c>
      <c r="K132" s="333" t="s">
        <v>120</v>
      </c>
      <c r="L132" s="328">
        <v>1</v>
      </c>
      <c r="M132" s="330">
        <v>0</v>
      </c>
      <c r="N132" s="316">
        <v>1000000</v>
      </c>
      <c r="O132" s="316">
        <v>500000</v>
      </c>
      <c r="P132" s="319">
        <v>500000</v>
      </c>
      <c r="Q132" s="316">
        <v>6500000</v>
      </c>
      <c r="R132" s="316">
        <v>750000</v>
      </c>
      <c r="S132" s="319">
        <v>750000</v>
      </c>
      <c r="T132" s="316">
        <v>15000</v>
      </c>
      <c r="U132" s="319">
        <v>50000</v>
      </c>
      <c r="V132" s="316"/>
      <c r="W132" s="257"/>
      <c r="X132" s="257"/>
      <c r="Y132" s="257"/>
      <c r="Z132" s="257"/>
      <c r="AA132" s="257"/>
      <c r="AB132" s="257"/>
      <c r="AC132" s="257"/>
    </row>
    <row r="133" spans="10:29" x14ac:dyDescent="0.2">
      <c r="J133" s="336" t="s">
        <v>533</v>
      </c>
      <c r="K133" s="333" t="s">
        <v>534</v>
      </c>
      <c r="L133" s="328">
        <v>2</v>
      </c>
      <c r="M133" s="330">
        <v>0</v>
      </c>
      <c r="N133" s="316">
        <v>1000000</v>
      </c>
      <c r="O133" s="316">
        <v>500000</v>
      </c>
      <c r="P133" s="319">
        <v>500000</v>
      </c>
      <c r="Q133" s="316">
        <v>6500000</v>
      </c>
      <c r="R133" s="316">
        <v>750000</v>
      </c>
      <c r="S133" s="319">
        <v>750000</v>
      </c>
      <c r="T133" s="316">
        <v>15000</v>
      </c>
      <c r="U133" s="319">
        <v>50000</v>
      </c>
      <c r="V133" s="316"/>
      <c r="W133" s="257"/>
      <c r="X133" s="257"/>
      <c r="Y133" s="257"/>
      <c r="Z133" s="257"/>
      <c r="AA133" s="257"/>
      <c r="AB133" s="257"/>
      <c r="AC133" s="257"/>
    </row>
    <row r="134" spans="10:29" x14ac:dyDescent="0.2">
      <c r="J134" s="336" t="s">
        <v>538</v>
      </c>
      <c r="K134" s="333" t="s">
        <v>236</v>
      </c>
      <c r="L134" s="328">
        <v>2</v>
      </c>
      <c r="M134" s="330">
        <v>0</v>
      </c>
      <c r="N134" s="316">
        <v>1000000</v>
      </c>
      <c r="O134" s="316">
        <v>500000</v>
      </c>
      <c r="P134" s="319">
        <v>500000</v>
      </c>
      <c r="Q134" s="316">
        <v>6500000</v>
      </c>
      <c r="R134" s="316">
        <v>750000</v>
      </c>
      <c r="S134" s="319">
        <v>750000</v>
      </c>
      <c r="T134" s="316">
        <v>15000</v>
      </c>
      <c r="U134" s="319">
        <v>50000</v>
      </c>
      <c r="V134" s="316"/>
      <c r="W134" s="257"/>
      <c r="X134" s="257"/>
      <c r="Y134" s="257"/>
      <c r="Z134" s="257"/>
      <c r="AA134" s="257"/>
      <c r="AB134" s="257"/>
      <c r="AC134" s="257"/>
    </row>
    <row r="135" spans="10:29" x14ac:dyDescent="0.2">
      <c r="J135" s="336" t="s">
        <v>527</v>
      </c>
      <c r="K135" s="333" t="s">
        <v>528</v>
      </c>
      <c r="L135" s="328">
        <v>2</v>
      </c>
      <c r="M135" s="330">
        <v>0</v>
      </c>
      <c r="N135" s="316">
        <v>1000000</v>
      </c>
      <c r="O135" s="316">
        <v>500000</v>
      </c>
      <c r="P135" s="319">
        <v>500000</v>
      </c>
      <c r="Q135" s="316">
        <v>6500000</v>
      </c>
      <c r="R135" s="316">
        <v>750000</v>
      </c>
      <c r="S135" s="319">
        <v>750000</v>
      </c>
      <c r="T135" s="316">
        <v>15000</v>
      </c>
      <c r="U135" s="319">
        <v>50000</v>
      </c>
      <c r="V135" s="316"/>
      <c r="W135" s="257"/>
      <c r="X135" s="257"/>
      <c r="Y135" s="257"/>
      <c r="Z135" s="257"/>
      <c r="AA135" s="257"/>
      <c r="AB135" s="257"/>
      <c r="AC135" s="257"/>
    </row>
    <row r="136" spans="10:29" x14ac:dyDescent="0.2">
      <c r="J136" s="336" t="s">
        <v>529</v>
      </c>
      <c r="K136" s="333" t="s">
        <v>530</v>
      </c>
      <c r="L136" s="328">
        <v>2</v>
      </c>
      <c r="M136" s="330">
        <v>0.5</v>
      </c>
      <c r="N136" s="316">
        <v>333333.34000000003</v>
      </c>
      <c r="O136" s="316">
        <v>333333.34000000003</v>
      </c>
      <c r="P136" s="319">
        <v>333333.34000000003</v>
      </c>
      <c r="Q136" s="316">
        <v>333333.34000000003</v>
      </c>
      <c r="R136" s="316">
        <v>333333.34000000003</v>
      </c>
      <c r="S136" s="319">
        <v>333333.34000000003</v>
      </c>
      <c r="T136" s="316">
        <v>0</v>
      </c>
      <c r="U136" s="319">
        <v>0</v>
      </c>
      <c r="V136" s="316"/>
      <c r="W136" s="257"/>
      <c r="X136" s="257"/>
      <c r="Y136" s="257"/>
      <c r="Z136" s="257"/>
      <c r="AA136" s="257"/>
      <c r="AB136" s="257"/>
      <c r="AC136" s="257"/>
    </row>
    <row r="137" spans="10:29" x14ac:dyDescent="0.2">
      <c r="J137" s="336" t="s">
        <v>540</v>
      </c>
      <c r="K137" s="333" t="s">
        <v>123</v>
      </c>
      <c r="L137" s="328">
        <v>3</v>
      </c>
      <c r="M137" s="330">
        <v>0</v>
      </c>
      <c r="N137" s="316">
        <v>166666.67000000001</v>
      </c>
      <c r="O137" s="316">
        <v>0</v>
      </c>
      <c r="P137" s="319">
        <v>0</v>
      </c>
      <c r="Q137" s="316">
        <v>166666.67000000001</v>
      </c>
      <c r="R137" s="316">
        <v>0</v>
      </c>
      <c r="S137" s="319">
        <v>0</v>
      </c>
      <c r="T137" s="316">
        <v>0</v>
      </c>
      <c r="U137" s="319">
        <v>0</v>
      </c>
      <c r="V137" s="316"/>
      <c r="W137" s="257"/>
      <c r="X137" s="257"/>
      <c r="Y137" s="257"/>
      <c r="Z137" s="257"/>
      <c r="AA137" s="257"/>
      <c r="AB137" s="257"/>
      <c r="AC137" s="257"/>
    </row>
    <row r="138" spans="10:29" x14ac:dyDescent="0.2">
      <c r="J138" s="336" t="s">
        <v>539</v>
      </c>
      <c r="K138" s="333" t="s">
        <v>122</v>
      </c>
      <c r="L138" s="328">
        <v>3</v>
      </c>
      <c r="M138" s="330">
        <v>0.5</v>
      </c>
      <c r="N138" s="316">
        <v>333333.34000000003</v>
      </c>
      <c r="O138" s="316">
        <v>333333.34000000003</v>
      </c>
      <c r="P138" s="319">
        <v>333333.34000000003</v>
      </c>
      <c r="Q138" s="316">
        <v>333333.34000000003</v>
      </c>
      <c r="R138" s="316">
        <v>333333.34000000003</v>
      </c>
      <c r="S138" s="319">
        <v>333333.34000000003</v>
      </c>
      <c r="T138" s="316">
        <v>0</v>
      </c>
      <c r="U138" s="319">
        <v>0</v>
      </c>
      <c r="V138" s="316"/>
      <c r="W138" s="257"/>
      <c r="X138" s="257"/>
      <c r="Y138" s="257"/>
      <c r="Z138" s="257"/>
      <c r="AA138" s="257"/>
      <c r="AB138" s="257"/>
      <c r="AC138" s="257"/>
    </row>
    <row r="139" spans="10:29" x14ac:dyDescent="0.2">
      <c r="J139" s="336" t="s">
        <v>542</v>
      </c>
      <c r="K139" s="333" t="s">
        <v>543</v>
      </c>
      <c r="L139" s="328">
        <v>0</v>
      </c>
      <c r="M139" s="330">
        <v>0</v>
      </c>
      <c r="N139" s="316">
        <v>1000000</v>
      </c>
      <c r="O139" s="316">
        <v>500000</v>
      </c>
      <c r="P139" s="319">
        <v>500000</v>
      </c>
      <c r="Q139" s="316">
        <v>6500000</v>
      </c>
      <c r="R139" s="316">
        <v>750000</v>
      </c>
      <c r="S139" s="319">
        <v>750000</v>
      </c>
      <c r="T139" s="316">
        <v>15000</v>
      </c>
      <c r="U139" s="319">
        <v>50000</v>
      </c>
      <c r="V139" s="316"/>
      <c r="W139" s="257"/>
      <c r="X139" s="257"/>
      <c r="Y139" s="257"/>
      <c r="Z139" s="257"/>
      <c r="AA139" s="257"/>
      <c r="AB139" s="257"/>
      <c r="AC139" s="257"/>
    </row>
    <row r="140" spans="10:29" x14ac:dyDescent="0.2">
      <c r="J140" s="336" t="s">
        <v>544</v>
      </c>
      <c r="K140" s="333" t="s">
        <v>124</v>
      </c>
      <c r="L140" s="328">
        <v>3</v>
      </c>
      <c r="M140" s="330">
        <v>0</v>
      </c>
      <c r="N140" s="316">
        <v>166666.67000000001</v>
      </c>
      <c r="O140" s="316">
        <v>0</v>
      </c>
      <c r="P140" s="319">
        <v>0</v>
      </c>
      <c r="Q140" s="316">
        <v>166666.67000000001</v>
      </c>
      <c r="R140" s="316">
        <v>0</v>
      </c>
      <c r="S140" s="319">
        <v>0</v>
      </c>
      <c r="T140" s="316">
        <v>0</v>
      </c>
      <c r="U140" s="319">
        <v>0</v>
      </c>
      <c r="V140" s="259"/>
      <c r="W140" s="257"/>
      <c r="X140" s="257"/>
      <c r="Y140" s="257"/>
      <c r="Z140" s="257"/>
      <c r="AA140" s="257"/>
      <c r="AB140" s="257"/>
      <c r="AC140" s="257"/>
    </row>
    <row r="141" spans="10:29" x14ac:dyDescent="0.2">
      <c r="J141" s="336" t="s">
        <v>512</v>
      </c>
      <c r="K141" s="333" t="s">
        <v>513</v>
      </c>
      <c r="L141" s="328">
        <v>3</v>
      </c>
      <c r="M141" s="330">
        <v>0</v>
      </c>
      <c r="N141" s="316">
        <v>1000000</v>
      </c>
      <c r="O141" s="316">
        <v>500000</v>
      </c>
      <c r="P141" s="319">
        <v>500000</v>
      </c>
      <c r="Q141" s="316">
        <v>6500000</v>
      </c>
      <c r="R141" s="316">
        <v>750000</v>
      </c>
      <c r="S141" s="319">
        <v>750000</v>
      </c>
      <c r="T141" s="316">
        <v>15000</v>
      </c>
      <c r="U141" s="319">
        <v>50000</v>
      </c>
      <c r="V141" s="259"/>
      <c r="W141" s="257"/>
      <c r="X141" s="257"/>
      <c r="Y141" s="257"/>
      <c r="Z141" s="257"/>
      <c r="AA141" s="257"/>
      <c r="AB141" s="257"/>
      <c r="AC141" s="257"/>
    </row>
    <row r="142" spans="10:29" x14ac:dyDescent="0.2">
      <c r="J142" s="298" t="s">
        <v>545</v>
      </c>
      <c r="K142" s="312" t="s">
        <v>546</v>
      </c>
      <c r="L142" s="327">
        <v>0</v>
      </c>
      <c r="M142" s="312">
        <v>0</v>
      </c>
      <c r="N142" s="316">
        <v>1000000</v>
      </c>
      <c r="O142" s="316">
        <v>500000</v>
      </c>
      <c r="P142" s="319">
        <v>500000</v>
      </c>
      <c r="Q142" s="316">
        <v>6500000</v>
      </c>
      <c r="R142" s="316">
        <v>750000</v>
      </c>
      <c r="S142" s="319">
        <v>750000</v>
      </c>
      <c r="T142" s="316">
        <v>15000</v>
      </c>
      <c r="U142" s="319">
        <v>50000</v>
      </c>
    </row>
    <row r="143" spans="10:29" x14ac:dyDescent="0.2">
      <c r="J143" s="280" t="s">
        <v>548</v>
      </c>
      <c r="K143" s="198" t="s">
        <v>549</v>
      </c>
      <c r="L143" s="14">
        <v>3</v>
      </c>
      <c r="M143" s="198">
        <v>0</v>
      </c>
      <c r="N143" s="316">
        <v>1000000</v>
      </c>
      <c r="O143" s="316">
        <v>500000</v>
      </c>
      <c r="P143" s="319">
        <v>500000</v>
      </c>
      <c r="Q143" s="316">
        <v>6500000</v>
      </c>
      <c r="R143" s="316">
        <v>750000</v>
      </c>
      <c r="S143" s="319">
        <v>750000</v>
      </c>
      <c r="T143" s="316">
        <v>15000</v>
      </c>
      <c r="U143" s="319">
        <v>50000</v>
      </c>
    </row>
    <row r="144" spans="10:29" x14ac:dyDescent="0.2">
      <c r="J144" s="298" t="s">
        <v>547</v>
      </c>
      <c r="K144" s="312" t="s">
        <v>125</v>
      </c>
      <c r="L144" s="327">
        <v>4</v>
      </c>
      <c r="M144" s="312">
        <v>0</v>
      </c>
      <c r="N144" s="316">
        <v>166666.67000000001</v>
      </c>
      <c r="O144" s="316">
        <v>0</v>
      </c>
      <c r="P144" s="319">
        <v>0</v>
      </c>
      <c r="Q144" s="316">
        <v>166666.67000000001</v>
      </c>
      <c r="R144" s="316">
        <v>0</v>
      </c>
      <c r="S144" s="319">
        <v>0</v>
      </c>
      <c r="T144" s="316">
        <v>0</v>
      </c>
      <c r="U144" s="319">
        <v>0</v>
      </c>
    </row>
    <row r="145" spans="10:21" x14ac:dyDescent="0.2">
      <c r="J145" s="298" t="s">
        <v>557</v>
      </c>
      <c r="K145" s="312" t="s">
        <v>558</v>
      </c>
      <c r="L145" s="327">
        <v>3</v>
      </c>
      <c r="M145" s="312">
        <v>0</v>
      </c>
      <c r="N145" s="316">
        <v>1000000</v>
      </c>
      <c r="O145" s="316">
        <v>500000</v>
      </c>
      <c r="P145" s="319">
        <v>500000</v>
      </c>
      <c r="Q145" s="316">
        <v>6500000</v>
      </c>
      <c r="R145" s="316">
        <v>750000</v>
      </c>
      <c r="S145" s="319">
        <v>750000</v>
      </c>
      <c r="T145" s="316">
        <v>15000</v>
      </c>
      <c r="U145" s="319">
        <v>50000</v>
      </c>
    </row>
    <row r="146" spans="10:21" x14ac:dyDescent="0.2">
      <c r="J146" s="298" t="s">
        <v>559</v>
      </c>
      <c r="K146" s="312" t="s">
        <v>560</v>
      </c>
      <c r="L146" s="327">
        <v>2</v>
      </c>
      <c r="M146" s="312">
        <v>0</v>
      </c>
      <c r="N146" s="316">
        <v>1000000</v>
      </c>
      <c r="O146" s="316">
        <v>500000</v>
      </c>
      <c r="P146" s="319">
        <v>500000</v>
      </c>
      <c r="Q146" s="316">
        <v>6500000</v>
      </c>
      <c r="R146" s="316">
        <v>750000</v>
      </c>
      <c r="S146" s="319">
        <v>750000</v>
      </c>
      <c r="T146" s="316">
        <v>15000</v>
      </c>
      <c r="U146" s="319">
        <v>50000</v>
      </c>
    </row>
    <row r="147" spans="10:21" x14ac:dyDescent="0.2">
      <c r="J147" s="298" t="s">
        <v>565</v>
      </c>
      <c r="K147" s="312" t="s">
        <v>566</v>
      </c>
      <c r="L147" s="327">
        <v>3</v>
      </c>
      <c r="M147" s="312">
        <v>0</v>
      </c>
      <c r="N147" s="316">
        <v>166666.67000000001</v>
      </c>
      <c r="O147" s="316">
        <v>0</v>
      </c>
      <c r="P147" s="319">
        <v>0</v>
      </c>
      <c r="Q147" s="316">
        <v>166666.67000000001</v>
      </c>
      <c r="R147" s="316">
        <v>0</v>
      </c>
      <c r="S147" s="319">
        <v>0</v>
      </c>
      <c r="T147" s="316">
        <v>0</v>
      </c>
      <c r="U147" s="319">
        <v>0</v>
      </c>
    </row>
    <row r="148" spans="10:21" x14ac:dyDescent="0.2">
      <c r="J148" s="336" t="s">
        <v>521</v>
      </c>
      <c r="K148" s="333" t="s">
        <v>113</v>
      </c>
      <c r="L148" s="328">
        <v>0</v>
      </c>
      <c r="M148" s="330">
        <v>0</v>
      </c>
      <c r="N148" s="316">
        <v>1000000</v>
      </c>
      <c r="O148" s="316">
        <v>500000</v>
      </c>
      <c r="P148" s="319">
        <v>500000</v>
      </c>
      <c r="Q148" s="316">
        <v>6500000</v>
      </c>
      <c r="R148" s="316">
        <v>750000</v>
      </c>
      <c r="S148" s="319">
        <v>750000</v>
      </c>
      <c r="T148" s="316">
        <v>15000</v>
      </c>
      <c r="U148" s="319">
        <v>50000</v>
      </c>
    </row>
    <row r="149" spans="10:21" x14ac:dyDescent="0.2">
      <c r="J149" s="280" t="s">
        <v>550</v>
      </c>
      <c r="K149" s="198" t="s">
        <v>126</v>
      </c>
      <c r="L149" s="14">
        <v>2</v>
      </c>
      <c r="M149" s="198">
        <v>1</v>
      </c>
      <c r="N149" s="316">
        <v>166666.67000000001</v>
      </c>
      <c r="O149" s="316">
        <v>0</v>
      </c>
      <c r="P149" s="319">
        <v>0</v>
      </c>
      <c r="Q149" s="316">
        <v>166666.67000000001</v>
      </c>
      <c r="R149" s="316">
        <v>0</v>
      </c>
      <c r="S149" s="319">
        <v>0</v>
      </c>
      <c r="T149" s="316">
        <v>0</v>
      </c>
      <c r="U149" s="319">
        <v>0</v>
      </c>
    </row>
    <row r="150" spans="10:21" x14ac:dyDescent="0.2">
      <c r="J150" s="281" t="s">
        <v>551</v>
      </c>
      <c r="K150" s="199" t="s">
        <v>127</v>
      </c>
      <c r="L150" s="88">
        <v>0</v>
      </c>
      <c r="M150" s="199">
        <v>0.5</v>
      </c>
      <c r="N150" s="339">
        <v>333333.34000000003</v>
      </c>
      <c r="O150" s="340">
        <v>333333.34000000003</v>
      </c>
      <c r="P150" s="341">
        <v>333333.34000000003</v>
      </c>
      <c r="Q150" s="340">
        <v>333333.34000000003</v>
      </c>
      <c r="R150" s="340">
        <v>333333.34000000003</v>
      </c>
      <c r="S150" s="341">
        <v>333333.34000000003</v>
      </c>
      <c r="T150" s="340">
        <v>0</v>
      </c>
      <c r="U150" s="341">
        <v>0</v>
      </c>
    </row>
  </sheetData>
  <mergeCells count="2">
    <mergeCell ref="E1:H1"/>
    <mergeCell ref="C1:D1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60"/>
  <sheetViews>
    <sheetView zoomScale="75" workbookViewId="0"/>
  </sheetViews>
  <sheetFormatPr defaultRowHeight="12.75" x14ac:dyDescent="0.2"/>
  <cols>
    <col min="1" max="1" width="16.5703125" style="42" customWidth="1"/>
    <col min="2" max="2" width="13.7109375" style="42" bestFit="1" customWidth="1"/>
    <col min="3" max="3" width="13.42578125" style="42" customWidth="1"/>
    <col min="4" max="4" width="15.28515625" style="42" customWidth="1"/>
    <col min="5" max="9" width="12.7109375" style="42" customWidth="1"/>
    <col min="10" max="10" width="13.5703125" style="42" customWidth="1"/>
    <col min="11" max="11" width="16.5703125" style="42" customWidth="1"/>
    <col min="12" max="16384" width="9.140625" style="42"/>
  </cols>
  <sheetData>
    <row r="1" spans="1:11" x14ac:dyDescent="0.2">
      <c r="A1" s="41" t="s">
        <v>34</v>
      </c>
      <c r="E1" s="182"/>
      <c r="J1" s="147"/>
      <c r="K1" s="147"/>
    </row>
    <row r="2" spans="1:11" x14ac:dyDescent="0.2">
      <c r="B2" s="122" t="s">
        <v>310</v>
      </c>
      <c r="C2" s="211">
        <v>0</v>
      </c>
      <c r="D2" s="211">
        <v>100</v>
      </c>
      <c r="E2" s="211">
        <v>150</v>
      </c>
      <c r="F2" s="211">
        <v>200</v>
      </c>
      <c r="G2" s="211">
        <v>250</v>
      </c>
      <c r="H2" s="211">
        <v>500</v>
      </c>
    </row>
    <row r="3" spans="1:11" x14ac:dyDescent="0.2">
      <c r="A3" s="122" t="s">
        <v>311</v>
      </c>
      <c r="B3" s="118" t="s">
        <v>312</v>
      </c>
      <c r="C3" s="209">
        <f t="shared" ref="C3:H3" si="0">ROUND(C2*InputCurrRate,InputPremRounding)</f>
        <v>0</v>
      </c>
      <c r="D3" s="209">
        <f t="shared" si="0"/>
        <v>100</v>
      </c>
      <c r="E3" s="209">
        <f t="shared" si="0"/>
        <v>150</v>
      </c>
      <c r="F3" s="209">
        <f t="shared" si="0"/>
        <v>200</v>
      </c>
      <c r="G3" s="209">
        <f t="shared" si="0"/>
        <v>250</v>
      </c>
      <c r="H3" s="209">
        <f t="shared" si="0"/>
        <v>500</v>
      </c>
    </row>
    <row r="4" spans="1:11" x14ac:dyDescent="0.2">
      <c r="A4" s="343" t="s">
        <v>36</v>
      </c>
      <c r="B4" s="343"/>
      <c r="C4" s="212">
        <v>0.9</v>
      </c>
      <c r="D4" s="212">
        <v>1</v>
      </c>
      <c r="E4" s="212">
        <v>1.01</v>
      </c>
      <c r="F4" s="212">
        <v>1.02</v>
      </c>
      <c r="G4" s="212">
        <v>1.03</v>
      </c>
      <c r="H4" s="212">
        <v>1.03</v>
      </c>
    </row>
    <row r="5" spans="1:11" x14ac:dyDescent="0.2">
      <c r="A5" s="344" t="s">
        <v>37</v>
      </c>
      <c r="B5" s="344"/>
      <c r="C5" s="243">
        <v>0.92</v>
      </c>
      <c r="D5" s="243">
        <v>1.02</v>
      </c>
      <c r="E5" s="243">
        <v>1.03</v>
      </c>
      <c r="F5" s="243">
        <v>1.04</v>
      </c>
      <c r="G5" s="243">
        <v>1.05</v>
      </c>
      <c r="H5" s="243">
        <v>1.05</v>
      </c>
      <c r="I5" s="42" t="s">
        <v>318</v>
      </c>
    </row>
    <row r="6" spans="1:11" x14ac:dyDescent="0.2">
      <c r="A6" s="345" t="s">
        <v>39</v>
      </c>
      <c r="B6" s="346"/>
      <c r="C6" s="244">
        <f t="shared" ref="C6:H6" si="1">C4</f>
        <v>0.9</v>
      </c>
      <c r="D6" s="244">
        <f t="shared" si="1"/>
        <v>1</v>
      </c>
      <c r="E6" s="244">
        <f t="shared" si="1"/>
        <v>1.01</v>
      </c>
      <c r="F6" s="244">
        <f t="shared" si="1"/>
        <v>1.02</v>
      </c>
      <c r="G6" s="244">
        <f t="shared" si="1"/>
        <v>1.03</v>
      </c>
      <c r="H6" s="244">
        <f t="shared" si="1"/>
        <v>1.03</v>
      </c>
    </row>
    <row r="7" spans="1:11" x14ac:dyDescent="0.2">
      <c r="D7" s="149"/>
    </row>
    <row r="8" spans="1:11" x14ac:dyDescent="0.2">
      <c r="A8" s="41" t="s">
        <v>313</v>
      </c>
      <c r="B8" s="41"/>
      <c r="C8" s="41"/>
    </row>
    <row r="9" spans="1:11" x14ac:dyDescent="0.2">
      <c r="A9" s="41" t="s">
        <v>40</v>
      </c>
      <c r="B9" s="41"/>
      <c r="C9" s="41"/>
    </row>
    <row r="10" spans="1:11" x14ac:dyDescent="0.2">
      <c r="A10" s="122" t="s">
        <v>42</v>
      </c>
      <c r="B10" s="214">
        <v>1000</v>
      </c>
      <c r="C10" s="215">
        <f>B10*InputCurrRate</f>
        <v>1000</v>
      </c>
    </row>
    <row r="11" spans="1:11" x14ac:dyDescent="0.2">
      <c r="A11" s="41" t="s">
        <v>43</v>
      </c>
      <c r="B11" s="41"/>
      <c r="C11" s="41"/>
    </row>
    <row r="12" spans="1:11" x14ac:dyDescent="0.2">
      <c r="A12" s="181" t="s">
        <v>36</v>
      </c>
      <c r="B12" s="181" t="s">
        <v>37</v>
      </c>
      <c r="C12" s="181" t="s">
        <v>45</v>
      </c>
    </row>
    <row r="13" spans="1:11" x14ac:dyDescent="0.2">
      <c r="A13" s="216">
        <v>0.8</v>
      </c>
      <c r="B13" s="216">
        <v>0.2</v>
      </c>
      <c r="C13" s="217">
        <f>InputCommSac</f>
        <v>0</v>
      </c>
    </row>
    <row r="14" spans="1:11" x14ac:dyDescent="0.2">
      <c r="A14" s="122" t="s">
        <v>39</v>
      </c>
      <c r="B14" s="218">
        <f>C13*B13+(1-C13)*A13</f>
        <v>0.8</v>
      </c>
    </row>
    <row r="15" spans="1:11" x14ac:dyDescent="0.2">
      <c r="A15" s="41" t="s">
        <v>47</v>
      </c>
      <c r="B15" s="41"/>
      <c r="C15" s="41"/>
    </row>
    <row r="16" spans="1:11" x14ac:dyDescent="0.2">
      <c r="A16" s="42" t="s">
        <v>51</v>
      </c>
      <c r="B16" s="150">
        <f>MATCH(CHOOSE(B43,B38,MAX(B38,B39),MIN(B38,B39)),B18:B21,1)</f>
        <v>1</v>
      </c>
      <c r="C16" s="214">
        <v>0</v>
      </c>
      <c r="D16" s="214">
        <v>150000</v>
      </c>
      <c r="E16" s="214">
        <v>250000</v>
      </c>
      <c r="F16" s="214">
        <v>350000</v>
      </c>
      <c r="G16" s="214">
        <v>450000</v>
      </c>
      <c r="H16" s="214">
        <v>550000</v>
      </c>
    </row>
    <row r="17" spans="1:9" x14ac:dyDescent="0.2">
      <c r="A17" s="122" t="s">
        <v>315</v>
      </c>
      <c r="B17" s="122" t="s">
        <v>314</v>
      </c>
      <c r="C17" s="210">
        <f t="shared" ref="C17:H17" si="2">ROUND(C16*InputCurrRate,InputSumAssRounding)</f>
        <v>0</v>
      </c>
      <c r="D17" s="210">
        <f t="shared" si="2"/>
        <v>150000</v>
      </c>
      <c r="E17" s="210">
        <f t="shared" si="2"/>
        <v>250000</v>
      </c>
      <c r="F17" s="210">
        <f t="shared" si="2"/>
        <v>350000</v>
      </c>
      <c r="G17" s="210">
        <f t="shared" si="2"/>
        <v>450000</v>
      </c>
      <c r="H17" s="210">
        <f t="shared" si="2"/>
        <v>550000</v>
      </c>
    </row>
    <row r="18" spans="1:9" x14ac:dyDescent="0.2">
      <c r="A18" s="121" t="s">
        <v>316</v>
      </c>
      <c r="B18" s="219">
        <v>18</v>
      </c>
      <c r="C18" s="220">
        <v>1.5E-3</v>
      </c>
      <c r="D18" s="221">
        <v>1.5E-3</v>
      </c>
      <c r="E18" s="221">
        <v>8.9999999999999998E-4</v>
      </c>
      <c r="F18" s="221">
        <v>7.5000000000000002E-4</v>
      </c>
      <c r="G18" s="221">
        <v>5.9999999999999995E-4</v>
      </c>
      <c r="H18" s="222">
        <v>5.0000000000000001E-4</v>
      </c>
      <c r="I18" s="141"/>
    </row>
    <row r="19" spans="1:9" x14ac:dyDescent="0.2">
      <c r="A19" s="128"/>
      <c r="B19" s="219">
        <v>41</v>
      </c>
      <c r="C19" s="223">
        <v>1.5E-3</v>
      </c>
      <c r="D19" s="224">
        <v>1.5E-3</v>
      </c>
      <c r="E19" s="224">
        <v>8.9999999999999998E-4</v>
      </c>
      <c r="F19" s="224">
        <v>7.5000000000000002E-4</v>
      </c>
      <c r="G19" s="224">
        <v>5.9999999999999995E-4</v>
      </c>
      <c r="H19" s="225">
        <v>5.0000000000000001E-4</v>
      </c>
    </row>
    <row r="20" spans="1:9" x14ac:dyDescent="0.2">
      <c r="A20" s="128"/>
      <c r="B20" s="219">
        <v>51</v>
      </c>
      <c r="C20" s="223">
        <v>1.5E-3</v>
      </c>
      <c r="D20" s="224">
        <v>1.5E-3</v>
      </c>
      <c r="E20" s="224">
        <v>8.9999999999999998E-4</v>
      </c>
      <c r="F20" s="224">
        <v>8.0000000000000004E-4</v>
      </c>
      <c r="G20" s="224">
        <v>6.9999999999999999E-4</v>
      </c>
      <c r="H20" s="225">
        <v>5.0000000000000001E-4</v>
      </c>
    </row>
    <row r="21" spans="1:9" x14ac:dyDescent="0.2">
      <c r="A21" s="127"/>
      <c r="B21" s="219">
        <v>66</v>
      </c>
      <c r="C21" s="226">
        <v>1.5E-3</v>
      </c>
      <c r="D21" s="227">
        <v>1.5E-3</v>
      </c>
      <c r="E21" s="227">
        <v>1E-3</v>
      </c>
      <c r="F21" s="227">
        <v>8.9999999999999998E-4</v>
      </c>
      <c r="G21" s="227">
        <v>7.5000000000000002E-4</v>
      </c>
      <c r="H21" s="228">
        <v>5.9999999999999995E-4</v>
      </c>
    </row>
    <row r="22" spans="1:9" x14ac:dyDescent="0.2">
      <c r="A22" s="42" t="s">
        <v>24</v>
      </c>
      <c r="B22" s="214">
        <v>500</v>
      </c>
      <c r="C22" s="229">
        <f>B22*InputCurrRate</f>
        <v>500</v>
      </c>
    </row>
    <row r="23" spans="1:9" x14ac:dyDescent="0.2">
      <c r="E23" s="183"/>
      <c r="F23" s="183"/>
      <c r="G23" s="183"/>
      <c r="H23" s="135"/>
    </row>
    <row r="24" spans="1:9" x14ac:dyDescent="0.2">
      <c r="A24" s="147"/>
      <c r="B24" s="147"/>
      <c r="C24" s="147"/>
      <c r="D24" s="149"/>
    </row>
    <row r="25" spans="1:9" x14ac:dyDescent="0.2">
      <c r="A25" s="41" t="s">
        <v>54</v>
      </c>
      <c r="B25" s="41"/>
      <c r="C25" s="41"/>
      <c r="I25" s="184"/>
    </row>
    <row r="26" spans="1:9" x14ac:dyDescent="0.2">
      <c r="A26" s="42" t="s">
        <v>56</v>
      </c>
      <c r="B26" s="214">
        <v>5</v>
      </c>
      <c r="C26" s="230">
        <f>B26*InputCurrRate</f>
        <v>5</v>
      </c>
    </row>
    <row r="27" spans="1:9" x14ac:dyDescent="0.2">
      <c r="A27" s="42" t="s">
        <v>57</v>
      </c>
      <c r="C27" s="216">
        <v>7.0000000000000007E-2</v>
      </c>
    </row>
    <row r="29" spans="1:9" x14ac:dyDescent="0.2">
      <c r="A29" s="41" t="s">
        <v>60</v>
      </c>
      <c r="B29" s="41"/>
      <c r="C29" s="41"/>
    </row>
    <row r="30" spans="1:9" x14ac:dyDescent="0.2">
      <c r="A30" s="42" t="s">
        <v>61</v>
      </c>
      <c r="B30" s="122">
        <v>0</v>
      </c>
      <c r="C30" s="122">
        <v>10</v>
      </c>
      <c r="D30" s="122">
        <v>15</v>
      </c>
      <c r="E30" s="122">
        <v>20</v>
      </c>
      <c r="F30" s="122">
        <v>25</v>
      </c>
      <c r="G30" s="122">
        <v>30</v>
      </c>
      <c r="H30" s="122">
        <v>35</v>
      </c>
      <c r="I30" s="231">
        <v>40</v>
      </c>
    </row>
    <row r="31" spans="1:9" x14ac:dyDescent="0.2">
      <c r="A31" s="42" t="s">
        <v>317</v>
      </c>
      <c r="B31" s="232">
        <v>0</v>
      </c>
      <c r="C31" s="233">
        <v>0.03</v>
      </c>
      <c r="D31" s="233">
        <v>0.03</v>
      </c>
      <c r="E31" s="233">
        <v>0.03</v>
      </c>
      <c r="F31" s="233">
        <v>0.03</v>
      </c>
      <c r="G31" s="233">
        <v>0.03</v>
      </c>
      <c r="H31" s="233">
        <v>0.03</v>
      </c>
      <c r="I31" s="233">
        <v>0.03</v>
      </c>
    </row>
    <row r="33" spans="1:11" x14ac:dyDescent="0.2">
      <c r="A33" s="41" t="s">
        <v>325</v>
      </c>
    </row>
    <row r="34" spans="1:11" x14ac:dyDescent="0.2">
      <c r="A34" s="188" t="s">
        <v>324</v>
      </c>
      <c r="B34" s="214">
        <v>50000</v>
      </c>
      <c r="C34" s="242">
        <f>MinimumSumAss*InputCurrRate</f>
        <v>50000</v>
      </c>
      <c r="D34" s="185"/>
    </row>
    <row r="35" spans="1:11" x14ac:dyDescent="0.2">
      <c r="D35" s="185"/>
    </row>
    <row r="36" spans="1:11" x14ac:dyDescent="0.2">
      <c r="J36" s="117">
        <f>CHOOSE(Location,1,1,2,2)</f>
        <v>1</v>
      </c>
      <c r="K36" s="118" t="s">
        <v>356</v>
      </c>
    </row>
    <row r="37" spans="1:11" x14ac:dyDescent="0.2">
      <c r="A37" s="41" t="s">
        <v>67</v>
      </c>
      <c r="B37" s="253" t="s">
        <v>279</v>
      </c>
      <c r="C37" s="254" t="s">
        <v>275</v>
      </c>
      <c r="D37" s="254" t="s">
        <v>276</v>
      </c>
      <c r="E37" s="254" t="s">
        <v>280</v>
      </c>
      <c r="F37" s="321" t="s">
        <v>285</v>
      </c>
      <c r="G37" s="322" t="s">
        <v>69</v>
      </c>
      <c r="H37" s="322" t="s">
        <v>70</v>
      </c>
      <c r="I37" s="313" t="s">
        <v>71</v>
      </c>
      <c r="J37" s="253" t="s">
        <v>72</v>
      </c>
      <c r="K37" s="255" t="s">
        <v>73</v>
      </c>
    </row>
    <row r="38" spans="1:11" x14ac:dyDescent="0.2">
      <c r="A38" s="42" t="s">
        <v>63</v>
      </c>
      <c r="B38" s="297">
        <f>L1_AgeNB</f>
        <v>31</v>
      </c>
      <c r="C38" s="152">
        <f>IF(L1_Sex="M",1,2)</f>
        <v>1</v>
      </c>
      <c r="D38" s="152">
        <f>IF(L1_Smoker="F",1,2)</f>
        <v>1</v>
      </c>
      <c r="E38" s="152" t="str">
        <f>L1_Country</f>
        <v>AD</v>
      </c>
      <c r="F38" s="245">
        <f>B38+VLOOKUP(E38,LookupCountryTbl,3,FALSE)+L1_YTA</f>
        <v>31</v>
      </c>
      <c r="G38" s="246">
        <f>VLOOKUP(E38,LookupCountryTbl,4,FALSE)/1000+L1_FlatRate</f>
        <v>0</v>
      </c>
      <c r="H38" s="247">
        <f>IF(AND(B43=3,ABS(B38-B39)&lt;10),0.9,1)+L1_PcLoad</f>
        <v>1</v>
      </c>
      <c r="I38" s="247">
        <f>CHOOSE(B45,0,1+WoP_PcLoad)</f>
        <v>0</v>
      </c>
      <c r="J38" s="337">
        <f>VLOOKUP(E38,LookupCountryTbl,4+$B$42+3*($J$36-1),FALSE)</f>
        <v>1000000</v>
      </c>
      <c r="K38" s="248">
        <f>VLOOKUP(E38,LookupCountryTbl,10+$J$36)</f>
        <v>15000</v>
      </c>
    </row>
    <row r="39" spans="1:11" x14ac:dyDescent="0.2">
      <c r="A39" s="42" t="s">
        <v>65</v>
      </c>
      <c r="B39" s="296">
        <f>L2_AgeNB</f>
        <v>0</v>
      </c>
      <c r="C39" s="155">
        <f>IF(L2_Sex="M",1,2)</f>
        <v>2</v>
      </c>
      <c r="D39" s="155">
        <f>IF(L2_Smoker="F",1,2)</f>
        <v>1</v>
      </c>
      <c r="E39" s="155" t="str">
        <f>L2_Country</f>
        <v>ZW</v>
      </c>
      <c r="F39" s="249">
        <f>B39+VLOOKUP(E39,LookupCountryTbl,3,FALSE)+L2_YTA</f>
        <v>0</v>
      </c>
      <c r="G39" s="250">
        <f>IF(B43=1,0,VLOOKUP(E39,LookupCountryTbl,4,FALSE)/1000+L2_FlatRate)</f>
        <v>0</v>
      </c>
      <c r="H39" s="251">
        <f>IF(B43=1,0,(IF(AND(B43=3,ABS(B38-B39)&lt;10),0.9,1)+L2_PcLoad))</f>
        <v>0</v>
      </c>
      <c r="I39" s="126"/>
      <c r="J39" s="338">
        <f>IF(B43=1,J38,VLOOKUP(E39,LookupCountryTbl,4+$B$42+3*($J$36-1),FALSE))</f>
        <v>1000000</v>
      </c>
      <c r="K39" s="252"/>
    </row>
    <row r="40" spans="1:11" x14ac:dyDescent="0.2">
      <c r="F40" s="188"/>
      <c r="G40" s="186"/>
      <c r="H40" s="187"/>
      <c r="J40" s="325">
        <f>MIN(J38:J39)</f>
        <v>1000000</v>
      </c>
    </row>
    <row r="41" spans="1:11" x14ac:dyDescent="0.2">
      <c r="A41" s="41" t="s">
        <v>77</v>
      </c>
      <c r="I41" s="122" t="s">
        <v>360</v>
      </c>
      <c r="J41" s="324">
        <f>ROUNDUP(J40*InputCurrRate,InputSumAssRounding)</f>
        <v>1000000</v>
      </c>
      <c r="K41" s="323">
        <f>K38*InputCurrRate</f>
        <v>15000</v>
      </c>
    </row>
    <row r="42" spans="1:11" x14ac:dyDescent="0.2">
      <c r="A42" s="42" t="s">
        <v>79</v>
      </c>
      <c r="B42" s="42">
        <f>InputBenefitType</f>
        <v>1</v>
      </c>
      <c r="C42" t="str">
        <f>INPUTS!C21</f>
        <v>Life assurance</v>
      </c>
    </row>
    <row r="43" spans="1:11" x14ac:dyDescent="0.2">
      <c r="A43" s="42" t="s">
        <v>1</v>
      </c>
      <c r="B43" s="42">
        <f>InputTrigger</f>
        <v>1</v>
      </c>
      <c r="C43" t="str">
        <f>INPUTS!C22</f>
        <v>Single</v>
      </c>
    </row>
    <row r="44" spans="1:11" x14ac:dyDescent="0.2">
      <c r="A44" s="42" t="s">
        <v>2</v>
      </c>
      <c r="B44" s="42">
        <f>InputSABasis</f>
        <v>1</v>
      </c>
      <c r="C44" t="str">
        <f>INPUTS!C23</f>
        <v>Integrated basis</v>
      </c>
    </row>
    <row r="45" spans="1:11" x14ac:dyDescent="0.2">
      <c r="A45" s="42" t="s">
        <v>83</v>
      </c>
      <c r="B45" s="42">
        <f>IF(InputWoP="F",1,2)</f>
        <v>1</v>
      </c>
      <c r="C45" s="42" t="str">
        <f>INDEX(LookupYN,B45)</f>
        <v>No</v>
      </c>
    </row>
    <row r="47" spans="1:11" x14ac:dyDescent="0.2">
      <c r="A47" s="41" t="s">
        <v>85</v>
      </c>
    </row>
    <row r="48" spans="1:11" x14ac:dyDescent="0.2">
      <c r="A48" s="42" t="s">
        <v>5</v>
      </c>
      <c r="B48" s="42">
        <f>InputTarget</f>
        <v>3</v>
      </c>
      <c r="C48" s="42" t="s">
        <v>87</v>
      </c>
    </row>
    <row r="49" spans="1:6" x14ac:dyDescent="0.2">
      <c r="A49" s="42" t="s">
        <v>88</v>
      </c>
      <c r="B49" s="295">
        <f>InputPremium</f>
        <v>67</v>
      </c>
      <c r="C49" s="42" t="s">
        <v>203</v>
      </c>
      <c r="D49" s="241">
        <f>B49*D51</f>
        <v>804</v>
      </c>
    </row>
    <row r="50" spans="1:6" x14ac:dyDescent="0.2">
      <c r="A50" s="42" t="s">
        <v>323</v>
      </c>
      <c r="B50" s="42">
        <f>InputSumAss</f>
        <v>50000</v>
      </c>
    </row>
    <row r="51" spans="1:6" x14ac:dyDescent="0.2">
      <c r="A51" s="42" t="s">
        <v>322</v>
      </c>
      <c r="B51" s="138">
        <f>IF(InputPremFreq="FM",1,IF(InputPremFreq="FQ",2,IF(InputPremFreq="FH",3,IF(InputPremFreq="FA",4,"Err"))))</f>
        <v>1</v>
      </c>
      <c r="C51" s="42" t="s">
        <v>321</v>
      </c>
      <c r="D51" s="147">
        <f>IF(InputPremFreq="FA",1,IF(InputPremFreq="FH",2,IF(InputPremFreq="FQ",4,IF(InputPremFreq="FM",12,"Err"))))</f>
        <v>12</v>
      </c>
      <c r="F51" s="147"/>
    </row>
    <row r="52" spans="1:6" x14ac:dyDescent="0.2">
      <c r="A52" s="42" t="s">
        <v>91</v>
      </c>
      <c r="B52" s="42">
        <f>InputCalcBasis</f>
        <v>1</v>
      </c>
      <c r="C52" s="42" t="str">
        <f>INPUTS!C25</f>
        <v>Balanced</v>
      </c>
    </row>
    <row r="53" spans="1:6" x14ac:dyDescent="0.2">
      <c r="A53" s="42" t="s">
        <v>93</v>
      </c>
      <c r="B53" s="137">
        <f>IF(OR(B52=2,B48=3),0,InputGrowth)</f>
        <v>0</v>
      </c>
      <c r="C53" s="240">
        <f>(1+B53)^(1/12)</f>
        <v>1</v>
      </c>
    </row>
    <row r="54" spans="1:6" x14ac:dyDescent="0.2">
      <c r="A54" s="42" t="s">
        <v>298</v>
      </c>
      <c r="B54" s="189">
        <f>InputBusType</f>
        <v>1</v>
      </c>
      <c r="C54" s="42" t="str">
        <f>INPUTS!C27</f>
        <v>New business</v>
      </c>
    </row>
    <row r="55" spans="1:6" x14ac:dyDescent="0.2">
      <c r="A55" s="42" t="s">
        <v>327</v>
      </c>
      <c r="B55" s="189">
        <f>IF(AND(B52=1,B48&lt;&gt;3),CHOOSE(B43,100-B38,100-MAX(B38,B39),100-MIN(B38,B39)),IF(B56&lt;60,10-B56/12,5)+B56/12)*12</f>
        <v>120</v>
      </c>
    </row>
    <row r="56" spans="1:6" x14ac:dyDescent="0.2">
      <c r="A56" s="42" t="s">
        <v>260</v>
      </c>
      <c r="B56" s="189">
        <f>IF(B54=1,0,ROUND(YEARFRAC(InputCalcDate,ReviewCommDate)*12,0))</f>
        <v>0</v>
      </c>
    </row>
    <row r="58" spans="1:6" x14ac:dyDescent="0.2">
      <c r="A58" s="41" t="s">
        <v>96</v>
      </c>
    </row>
    <row r="59" spans="1:6" x14ac:dyDescent="0.2">
      <c r="A59" s="42" t="s">
        <v>97</v>
      </c>
      <c r="B59" s="137">
        <f>InputIllusRate</f>
        <v>7.4999999999999997E-2</v>
      </c>
      <c r="C59" s="240">
        <f>(1+B59)^(1/12)</f>
        <v>1.0060449190242917</v>
      </c>
    </row>
    <row r="60" spans="1:6" x14ac:dyDescent="0.2">
      <c r="A60" s="42" t="s">
        <v>345</v>
      </c>
      <c r="C60" s="294">
        <v>1.2E-2</v>
      </c>
    </row>
  </sheetData>
  <mergeCells count="3">
    <mergeCell ref="A4:B4"/>
    <mergeCell ref="A5:B5"/>
    <mergeCell ref="A6:B6"/>
  </mergeCells>
  <phoneticPr fontId="0" type="noConversion"/>
  <printOptions headings="1" gridLines="1"/>
  <pageMargins left="0.75" right="0.75" top="1" bottom="1" header="0.5" footer="0.5"/>
  <pageSetup paperSize="9" scale="60" orientation="landscape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O104"/>
  <sheetViews>
    <sheetView workbookViewId="0"/>
  </sheetViews>
  <sheetFormatPr defaultRowHeight="12.75" x14ac:dyDescent="0.2"/>
  <cols>
    <col min="1" max="13" width="9.140625" style="3"/>
    <col min="14" max="15" width="18.7109375" style="3" customWidth="1"/>
    <col min="16" max="16384" width="9.140625" style="7"/>
  </cols>
  <sheetData>
    <row r="1" spans="1:15" ht="25.5" customHeight="1" x14ac:dyDescent="0.2">
      <c r="A1" s="51"/>
      <c r="B1" s="98" t="s">
        <v>128</v>
      </c>
      <c r="C1" s="99"/>
      <c r="D1" s="99"/>
      <c r="E1" s="100"/>
      <c r="F1" s="99" t="s">
        <v>129</v>
      </c>
      <c r="G1" s="99"/>
      <c r="H1" s="99"/>
      <c r="I1" s="100"/>
      <c r="J1" s="99" t="s">
        <v>130</v>
      </c>
      <c r="K1" s="99"/>
      <c r="L1" s="99"/>
      <c r="M1" s="100"/>
      <c r="N1" s="347" t="s">
        <v>131</v>
      </c>
      <c r="O1" s="348"/>
    </row>
    <row r="2" spans="1:15" x14ac:dyDescent="0.2">
      <c r="A2" s="52"/>
      <c r="B2" s="46"/>
      <c r="C2" s="44"/>
      <c r="D2" s="44"/>
      <c r="E2" s="80"/>
      <c r="F2" s="46"/>
      <c r="G2" s="44"/>
      <c r="H2" s="44"/>
      <c r="I2" s="80"/>
      <c r="J2" s="46"/>
      <c r="K2" s="44"/>
      <c r="L2" s="44"/>
      <c r="M2" s="80"/>
      <c r="N2" s="101" t="s">
        <v>132</v>
      </c>
      <c r="O2" s="102"/>
    </row>
    <row r="3" spans="1:15" x14ac:dyDescent="0.2">
      <c r="A3" s="52"/>
      <c r="B3" s="24" t="s">
        <v>10</v>
      </c>
      <c r="C3" s="43" t="s">
        <v>18</v>
      </c>
      <c r="D3" s="43" t="s">
        <v>10</v>
      </c>
      <c r="E3" s="58" t="s">
        <v>18</v>
      </c>
      <c r="F3" s="24" t="s">
        <v>10</v>
      </c>
      <c r="G3" s="43" t="s">
        <v>18</v>
      </c>
      <c r="H3" s="43" t="s">
        <v>10</v>
      </c>
      <c r="I3" s="58" t="s">
        <v>18</v>
      </c>
      <c r="J3" s="24" t="s">
        <v>10</v>
      </c>
      <c r="K3" s="43" t="s">
        <v>18</v>
      </c>
      <c r="L3" s="43" t="s">
        <v>10</v>
      </c>
      <c r="M3" s="58" t="s">
        <v>18</v>
      </c>
      <c r="N3" s="24"/>
      <c r="O3" s="84"/>
    </row>
    <row r="4" spans="1:15" x14ac:dyDescent="0.2">
      <c r="A4" s="52"/>
      <c r="B4" s="24" t="s">
        <v>133</v>
      </c>
      <c r="C4" s="43" t="s">
        <v>133</v>
      </c>
      <c r="D4" s="43" t="s">
        <v>133</v>
      </c>
      <c r="E4" s="58" t="s">
        <v>133</v>
      </c>
      <c r="F4" s="24" t="s">
        <v>133</v>
      </c>
      <c r="G4" s="43" t="s">
        <v>133</v>
      </c>
      <c r="H4" s="43" t="s">
        <v>133</v>
      </c>
      <c r="I4" s="58" t="s">
        <v>133</v>
      </c>
      <c r="J4" s="24" t="s">
        <v>133</v>
      </c>
      <c r="K4" s="43" t="s">
        <v>133</v>
      </c>
      <c r="L4" s="43" t="s">
        <v>133</v>
      </c>
      <c r="M4" s="58" t="s">
        <v>133</v>
      </c>
      <c r="N4" s="24"/>
      <c r="O4" s="84"/>
    </row>
    <row r="5" spans="1:15" x14ac:dyDescent="0.2">
      <c r="A5" s="53" t="s">
        <v>68</v>
      </c>
      <c r="B5" s="24" t="s">
        <v>134</v>
      </c>
      <c r="C5" s="43" t="s">
        <v>134</v>
      </c>
      <c r="D5" s="43" t="s">
        <v>135</v>
      </c>
      <c r="E5" s="58" t="s">
        <v>135</v>
      </c>
      <c r="F5" s="24" t="s">
        <v>134</v>
      </c>
      <c r="G5" s="43" t="s">
        <v>134</v>
      </c>
      <c r="H5" s="43" t="s">
        <v>135</v>
      </c>
      <c r="I5" s="58" t="s">
        <v>135</v>
      </c>
      <c r="J5" s="24" t="s">
        <v>134</v>
      </c>
      <c r="K5" s="43" t="s">
        <v>134</v>
      </c>
      <c r="L5" s="43" t="s">
        <v>135</v>
      </c>
      <c r="M5" s="58" t="s">
        <v>135</v>
      </c>
      <c r="N5" s="24"/>
      <c r="O5" s="84"/>
    </row>
    <row r="6" spans="1:15" x14ac:dyDescent="0.2">
      <c r="A6" s="53" t="s">
        <v>136</v>
      </c>
      <c r="B6" s="24" t="s">
        <v>137</v>
      </c>
      <c r="C6" s="43" t="s">
        <v>137</v>
      </c>
      <c r="D6" s="43"/>
      <c r="E6" s="58"/>
      <c r="F6" s="24" t="s">
        <v>137</v>
      </c>
      <c r="G6" s="43" t="s">
        <v>137</v>
      </c>
      <c r="H6" s="43"/>
      <c r="I6" s="58"/>
      <c r="J6" s="24" t="s">
        <v>137</v>
      </c>
      <c r="K6" s="43" t="s">
        <v>137</v>
      </c>
      <c r="L6" s="43"/>
      <c r="M6" s="58"/>
      <c r="N6" s="4" t="s">
        <v>10</v>
      </c>
      <c r="O6" s="85" t="s">
        <v>18</v>
      </c>
    </row>
    <row r="7" spans="1:15" x14ac:dyDescent="0.2">
      <c r="A7" s="52"/>
      <c r="B7" s="8"/>
      <c r="C7" s="45"/>
      <c r="D7" s="45"/>
      <c r="E7" s="59"/>
      <c r="F7" s="8"/>
      <c r="G7" s="45"/>
      <c r="H7" s="45"/>
      <c r="I7" s="59"/>
      <c r="J7" s="8"/>
      <c r="K7" s="45"/>
      <c r="L7" s="45"/>
      <c r="M7" s="59"/>
      <c r="N7" s="8"/>
      <c r="O7" s="86"/>
    </row>
    <row r="8" spans="1:15" x14ac:dyDescent="0.2">
      <c r="A8" s="54">
        <v>0</v>
      </c>
      <c r="B8" s="47">
        <v>0</v>
      </c>
      <c r="C8" s="25">
        <v>0</v>
      </c>
      <c r="D8" s="25">
        <v>0</v>
      </c>
      <c r="E8" s="81">
        <v>0</v>
      </c>
      <c r="F8" s="48">
        <v>0</v>
      </c>
      <c r="G8" s="25">
        <v>0</v>
      </c>
      <c r="H8" s="25">
        <v>0</v>
      </c>
      <c r="I8" s="81">
        <v>0</v>
      </c>
      <c r="J8" s="48">
        <v>0</v>
      </c>
      <c r="K8" s="25">
        <v>0</v>
      </c>
      <c r="L8" s="25">
        <v>0</v>
      </c>
      <c r="M8" s="81">
        <v>0</v>
      </c>
      <c r="N8" s="48">
        <v>0</v>
      </c>
      <c r="O8" s="81">
        <v>0</v>
      </c>
    </row>
    <row r="9" spans="1:15" x14ac:dyDescent="0.2">
      <c r="A9" s="54">
        <v>19</v>
      </c>
      <c r="B9" s="48">
        <v>0.47</v>
      </c>
      <c r="C9" s="25">
        <v>0.26</v>
      </c>
      <c r="D9" s="25">
        <v>0.75</v>
      </c>
      <c r="E9" s="81">
        <v>0.44</v>
      </c>
      <c r="F9" s="48">
        <v>0.64</v>
      </c>
      <c r="G9" s="25">
        <v>0.8</v>
      </c>
      <c r="H9" s="25">
        <v>0.94</v>
      </c>
      <c r="I9" s="81">
        <v>1.18</v>
      </c>
      <c r="J9" s="48">
        <v>1.1000000000000001</v>
      </c>
      <c r="K9" s="25">
        <v>0.91</v>
      </c>
      <c r="L9" s="25">
        <v>1.68</v>
      </c>
      <c r="M9" s="81">
        <v>1.37</v>
      </c>
      <c r="N9" s="48">
        <v>0.39</v>
      </c>
      <c r="O9" s="81">
        <v>0.57999999999999996</v>
      </c>
    </row>
    <row r="10" spans="1:15" x14ac:dyDescent="0.2">
      <c r="A10" s="55">
        <v>20</v>
      </c>
      <c r="B10" s="49">
        <v>0.47</v>
      </c>
      <c r="C10" s="5">
        <v>0.26</v>
      </c>
      <c r="D10" s="5">
        <v>0.75</v>
      </c>
      <c r="E10" s="82">
        <v>0.44</v>
      </c>
      <c r="F10" s="49">
        <v>0.64</v>
      </c>
      <c r="G10" s="5">
        <v>0.8</v>
      </c>
      <c r="H10" s="5">
        <v>0.94</v>
      </c>
      <c r="I10" s="82">
        <v>1.18</v>
      </c>
      <c r="J10" s="49">
        <v>1.1000000000000001</v>
      </c>
      <c r="K10" s="5">
        <v>0.91</v>
      </c>
      <c r="L10" s="5">
        <v>1.68</v>
      </c>
      <c r="M10" s="82">
        <v>1.37</v>
      </c>
      <c r="N10" s="49">
        <v>0.39</v>
      </c>
      <c r="O10" s="82">
        <v>0.57999999999999996</v>
      </c>
    </row>
    <row r="11" spans="1:15" x14ac:dyDescent="0.2">
      <c r="A11" s="55">
        <v>21</v>
      </c>
      <c r="B11" s="49">
        <v>0.47</v>
      </c>
      <c r="C11" s="5">
        <v>0.26</v>
      </c>
      <c r="D11" s="5">
        <v>0.75</v>
      </c>
      <c r="E11" s="82">
        <v>0.44</v>
      </c>
      <c r="F11" s="49">
        <v>0.64</v>
      </c>
      <c r="G11" s="5">
        <v>0.8</v>
      </c>
      <c r="H11" s="5">
        <v>0.94</v>
      </c>
      <c r="I11" s="82">
        <v>1.18</v>
      </c>
      <c r="J11" s="49">
        <v>1.1000000000000001</v>
      </c>
      <c r="K11" s="5">
        <v>0.91</v>
      </c>
      <c r="L11" s="5">
        <v>1.68</v>
      </c>
      <c r="M11" s="82">
        <v>1.37</v>
      </c>
      <c r="N11" s="49">
        <v>0.41</v>
      </c>
      <c r="O11" s="82">
        <v>0.61</v>
      </c>
    </row>
    <row r="12" spans="1:15" x14ac:dyDescent="0.2">
      <c r="A12" s="55">
        <v>22</v>
      </c>
      <c r="B12" s="49">
        <v>0.47</v>
      </c>
      <c r="C12" s="5">
        <v>0.26</v>
      </c>
      <c r="D12" s="5">
        <v>0.75</v>
      </c>
      <c r="E12" s="82">
        <v>0.44</v>
      </c>
      <c r="F12" s="49">
        <v>0.64</v>
      </c>
      <c r="G12" s="5">
        <v>0.8</v>
      </c>
      <c r="H12" s="5">
        <v>0.94</v>
      </c>
      <c r="I12" s="82">
        <v>1.18</v>
      </c>
      <c r="J12" s="49">
        <v>1.1000000000000001</v>
      </c>
      <c r="K12" s="5">
        <v>0.91</v>
      </c>
      <c r="L12" s="5">
        <v>1.68</v>
      </c>
      <c r="M12" s="82">
        <v>1.37</v>
      </c>
      <c r="N12" s="49">
        <v>0.44</v>
      </c>
      <c r="O12" s="82">
        <v>0.65</v>
      </c>
    </row>
    <row r="13" spans="1:15" x14ac:dyDescent="0.2">
      <c r="A13" s="55">
        <v>23</v>
      </c>
      <c r="B13" s="49">
        <v>0.47</v>
      </c>
      <c r="C13" s="5">
        <v>0.26</v>
      </c>
      <c r="D13" s="5">
        <v>0.75</v>
      </c>
      <c r="E13" s="82">
        <v>0.44</v>
      </c>
      <c r="F13" s="49">
        <v>0.64</v>
      </c>
      <c r="G13" s="5">
        <v>0.8</v>
      </c>
      <c r="H13" s="5">
        <v>0.94</v>
      </c>
      <c r="I13" s="82">
        <v>1.18</v>
      </c>
      <c r="J13" s="49">
        <v>1.1000000000000001</v>
      </c>
      <c r="K13" s="5">
        <v>0.91</v>
      </c>
      <c r="L13" s="5">
        <v>1.68</v>
      </c>
      <c r="M13" s="82">
        <v>1.37</v>
      </c>
      <c r="N13" s="49">
        <v>0.46</v>
      </c>
      <c r="O13" s="82">
        <v>0.7</v>
      </c>
    </row>
    <row r="14" spans="1:15" x14ac:dyDescent="0.2">
      <c r="A14" s="56">
        <v>24</v>
      </c>
      <c r="B14" s="50">
        <v>0.47</v>
      </c>
      <c r="C14" s="6">
        <v>0.26</v>
      </c>
      <c r="D14" s="6">
        <v>0.75</v>
      </c>
      <c r="E14" s="82">
        <v>0.44</v>
      </c>
      <c r="F14" s="49">
        <v>0.64</v>
      </c>
      <c r="G14" s="5">
        <v>0.8</v>
      </c>
      <c r="H14" s="5">
        <v>0.94</v>
      </c>
      <c r="I14" s="82">
        <v>1.18</v>
      </c>
      <c r="J14" s="49">
        <v>1.1000000000000001</v>
      </c>
      <c r="K14" s="5">
        <v>0.91</v>
      </c>
      <c r="L14" s="5">
        <v>1.68</v>
      </c>
      <c r="M14" s="82">
        <v>1.37</v>
      </c>
      <c r="N14" s="49">
        <v>0.49</v>
      </c>
      <c r="O14" s="82">
        <v>0.74</v>
      </c>
    </row>
    <row r="15" spans="1:15" x14ac:dyDescent="0.2">
      <c r="A15" s="55">
        <v>25</v>
      </c>
      <c r="B15" s="49">
        <v>0.47</v>
      </c>
      <c r="C15" s="5">
        <v>0.26</v>
      </c>
      <c r="D15" s="5">
        <v>0.75</v>
      </c>
      <c r="E15" s="82">
        <v>0.44</v>
      </c>
      <c r="F15" s="49">
        <v>0.64</v>
      </c>
      <c r="G15" s="5">
        <v>0.8</v>
      </c>
      <c r="H15" s="5">
        <v>0.94</v>
      </c>
      <c r="I15" s="82">
        <v>1.18</v>
      </c>
      <c r="J15" s="49">
        <v>1.1000000000000001</v>
      </c>
      <c r="K15" s="5">
        <v>0.91</v>
      </c>
      <c r="L15" s="5">
        <v>1.68</v>
      </c>
      <c r="M15" s="82">
        <v>1.37</v>
      </c>
      <c r="N15" s="49">
        <v>0.52</v>
      </c>
      <c r="O15" s="82">
        <v>0.79</v>
      </c>
    </row>
    <row r="16" spans="1:15" x14ac:dyDescent="0.2">
      <c r="A16" s="55">
        <v>26</v>
      </c>
      <c r="B16" s="49">
        <v>0.47</v>
      </c>
      <c r="C16" s="5">
        <v>0.26</v>
      </c>
      <c r="D16" s="5">
        <v>0.75</v>
      </c>
      <c r="E16" s="82">
        <v>0.44</v>
      </c>
      <c r="F16" s="49">
        <v>0.64</v>
      </c>
      <c r="G16" s="5">
        <v>0.8</v>
      </c>
      <c r="H16" s="5">
        <v>0.94</v>
      </c>
      <c r="I16" s="82">
        <v>1.18</v>
      </c>
      <c r="J16" s="49">
        <v>1.1000000000000001</v>
      </c>
      <c r="K16" s="5">
        <v>0.91</v>
      </c>
      <c r="L16" s="5">
        <v>1.68</v>
      </c>
      <c r="M16" s="82">
        <v>1.37</v>
      </c>
      <c r="N16" s="49">
        <v>0.56000000000000005</v>
      </c>
      <c r="O16" s="82">
        <v>0.83</v>
      </c>
    </row>
    <row r="17" spans="1:15" x14ac:dyDescent="0.2">
      <c r="A17" s="55">
        <v>27</v>
      </c>
      <c r="B17" s="49">
        <v>0.47</v>
      </c>
      <c r="C17" s="5">
        <v>0.26</v>
      </c>
      <c r="D17" s="5">
        <v>0.75</v>
      </c>
      <c r="E17" s="82">
        <v>0.44</v>
      </c>
      <c r="F17" s="49">
        <v>0.64</v>
      </c>
      <c r="G17" s="5">
        <v>0.8</v>
      </c>
      <c r="H17" s="5">
        <v>0.94</v>
      </c>
      <c r="I17" s="82">
        <v>1.18</v>
      </c>
      <c r="J17" s="49">
        <v>1.1000000000000001</v>
      </c>
      <c r="K17" s="5">
        <v>0.91</v>
      </c>
      <c r="L17" s="5">
        <v>1.68</v>
      </c>
      <c r="M17" s="82">
        <v>1.37</v>
      </c>
      <c r="N17" s="49">
        <v>0.56999999999999995</v>
      </c>
      <c r="O17" s="82">
        <v>0.85</v>
      </c>
    </row>
    <row r="18" spans="1:15" x14ac:dyDescent="0.2">
      <c r="A18" s="55">
        <v>28</v>
      </c>
      <c r="B18" s="49">
        <v>0.46</v>
      </c>
      <c r="C18" s="5">
        <v>0.28000000000000003</v>
      </c>
      <c r="D18" s="5">
        <v>0.74</v>
      </c>
      <c r="E18" s="82">
        <v>0.46</v>
      </c>
      <c r="F18" s="49">
        <v>0.64</v>
      </c>
      <c r="G18" s="5">
        <v>0.8</v>
      </c>
      <c r="H18" s="5">
        <v>0.94</v>
      </c>
      <c r="I18" s="82">
        <v>1.18</v>
      </c>
      <c r="J18" s="49">
        <v>1.1000000000000001</v>
      </c>
      <c r="K18" s="5">
        <v>0.91</v>
      </c>
      <c r="L18" s="5">
        <v>1.68</v>
      </c>
      <c r="M18" s="82">
        <v>1.37</v>
      </c>
      <c r="N18" s="49">
        <v>0.57999999999999996</v>
      </c>
      <c r="O18" s="82">
        <v>0.88</v>
      </c>
    </row>
    <row r="19" spans="1:15" x14ac:dyDescent="0.2">
      <c r="A19" s="56">
        <v>29</v>
      </c>
      <c r="B19" s="50">
        <v>0.46</v>
      </c>
      <c r="C19" s="6">
        <v>0.3</v>
      </c>
      <c r="D19" s="6">
        <v>0.73</v>
      </c>
      <c r="E19" s="82">
        <v>0.5</v>
      </c>
      <c r="F19" s="49">
        <v>0.68</v>
      </c>
      <c r="G19" s="5">
        <v>0.88</v>
      </c>
      <c r="H19" s="5">
        <v>1.01</v>
      </c>
      <c r="I19" s="82">
        <v>1.3</v>
      </c>
      <c r="J19" s="49">
        <v>1.1299999999999999</v>
      </c>
      <c r="K19" s="5">
        <v>0.98</v>
      </c>
      <c r="L19" s="5">
        <v>1.71</v>
      </c>
      <c r="M19" s="82">
        <v>1.49</v>
      </c>
      <c r="N19" s="49">
        <v>0.6</v>
      </c>
      <c r="O19" s="82">
        <v>0.91</v>
      </c>
    </row>
    <row r="20" spans="1:15" x14ac:dyDescent="0.2">
      <c r="A20" s="55">
        <v>30</v>
      </c>
      <c r="B20" s="49">
        <v>0.46</v>
      </c>
      <c r="C20" s="5">
        <v>0.32</v>
      </c>
      <c r="D20" s="5">
        <v>0.74</v>
      </c>
      <c r="E20" s="82">
        <v>0.53</v>
      </c>
      <c r="F20" s="49">
        <v>0.73</v>
      </c>
      <c r="G20" s="5">
        <v>0.97</v>
      </c>
      <c r="H20" s="5">
        <v>1.08</v>
      </c>
      <c r="I20" s="82">
        <v>1.44</v>
      </c>
      <c r="J20" s="49">
        <v>1.1599999999999999</v>
      </c>
      <c r="K20" s="5">
        <v>1.07</v>
      </c>
      <c r="L20" s="5">
        <v>1.77</v>
      </c>
      <c r="M20" s="82">
        <v>1.62</v>
      </c>
      <c r="N20" s="49">
        <v>0.63</v>
      </c>
      <c r="O20" s="82">
        <v>0.95</v>
      </c>
    </row>
    <row r="21" spans="1:15" x14ac:dyDescent="0.2">
      <c r="A21" s="55">
        <v>31</v>
      </c>
      <c r="B21" s="49">
        <v>0.48</v>
      </c>
      <c r="C21" s="5">
        <v>0.35</v>
      </c>
      <c r="D21" s="5">
        <v>0.76</v>
      </c>
      <c r="E21" s="82">
        <v>0.57999999999999996</v>
      </c>
      <c r="F21" s="49">
        <v>0.8</v>
      </c>
      <c r="G21" s="5">
        <v>1.07</v>
      </c>
      <c r="H21" s="5">
        <v>1.19</v>
      </c>
      <c r="I21" s="82">
        <v>1.62</v>
      </c>
      <c r="J21" s="49">
        <v>1.22</v>
      </c>
      <c r="K21" s="5">
        <v>1.17</v>
      </c>
      <c r="L21" s="5">
        <v>1.87</v>
      </c>
      <c r="M21" s="82">
        <v>1.79</v>
      </c>
      <c r="N21" s="49">
        <v>0.66</v>
      </c>
      <c r="O21" s="82">
        <v>0.99</v>
      </c>
    </row>
    <row r="22" spans="1:15" x14ac:dyDescent="0.2">
      <c r="A22" s="55">
        <v>32</v>
      </c>
      <c r="B22" s="49">
        <v>0.5</v>
      </c>
      <c r="C22" s="5">
        <v>0.37</v>
      </c>
      <c r="D22" s="5">
        <v>0.8</v>
      </c>
      <c r="E22" s="82">
        <v>0.63</v>
      </c>
      <c r="F22" s="49">
        <v>0.88</v>
      </c>
      <c r="G22" s="5">
        <v>1.19</v>
      </c>
      <c r="H22" s="5">
        <v>1.32</v>
      </c>
      <c r="I22" s="82">
        <v>1.81</v>
      </c>
      <c r="J22" s="49">
        <v>1.3</v>
      </c>
      <c r="K22" s="5">
        <v>1.29</v>
      </c>
      <c r="L22" s="5">
        <v>1.99</v>
      </c>
      <c r="M22" s="82">
        <v>1.97</v>
      </c>
      <c r="N22" s="49">
        <v>0.7</v>
      </c>
      <c r="O22" s="82">
        <v>1.05</v>
      </c>
    </row>
    <row r="23" spans="1:15" x14ac:dyDescent="0.2">
      <c r="A23" s="55">
        <v>33</v>
      </c>
      <c r="B23" s="49">
        <v>0.52</v>
      </c>
      <c r="C23" s="5">
        <v>0.41</v>
      </c>
      <c r="D23" s="5">
        <v>0.84</v>
      </c>
      <c r="E23" s="82">
        <v>0.68</v>
      </c>
      <c r="F23" s="49">
        <v>0.98</v>
      </c>
      <c r="G23" s="5">
        <v>1.34</v>
      </c>
      <c r="H23" s="5">
        <v>1.48</v>
      </c>
      <c r="I23" s="82">
        <v>2.04</v>
      </c>
      <c r="J23" s="49">
        <v>1.4</v>
      </c>
      <c r="K23" s="5">
        <v>1.43</v>
      </c>
      <c r="L23" s="5">
        <v>2.15</v>
      </c>
      <c r="M23" s="82">
        <v>2.19</v>
      </c>
      <c r="N23" s="49">
        <v>0.75</v>
      </c>
      <c r="O23" s="82">
        <v>1.1200000000000001</v>
      </c>
    </row>
    <row r="24" spans="1:15" x14ac:dyDescent="0.2">
      <c r="A24" s="56">
        <v>34</v>
      </c>
      <c r="B24" s="50">
        <v>0.56000000000000005</v>
      </c>
      <c r="C24" s="6">
        <v>0.44</v>
      </c>
      <c r="D24" s="6">
        <v>0.9</v>
      </c>
      <c r="E24" s="82">
        <v>0.74</v>
      </c>
      <c r="F24" s="49">
        <v>1.1000000000000001</v>
      </c>
      <c r="G24" s="5">
        <v>1.45</v>
      </c>
      <c r="H24" s="5">
        <v>1.66</v>
      </c>
      <c r="I24" s="82">
        <v>2.21</v>
      </c>
      <c r="J24" s="49">
        <v>1.52</v>
      </c>
      <c r="K24" s="5">
        <v>1.53</v>
      </c>
      <c r="L24" s="5">
        <v>2.35</v>
      </c>
      <c r="M24" s="82">
        <v>2.35</v>
      </c>
      <c r="N24" s="49">
        <v>0.8</v>
      </c>
      <c r="O24" s="82">
        <v>1.19</v>
      </c>
    </row>
    <row r="25" spans="1:15" x14ac:dyDescent="0.2">
      <c r="A25" s="55">
        <v>35</v>
      </c>
      <c r="B25" s="49">
        <v>0.6</v>
      </c>
      <c r="C25" s="5">
        <v>0.48</v>
      </c>
      <c r="D25" s="5">
        <v>0.97</v>
      </c>
      <c r="E25" s="82">
        <v>0.81</v>
      </c>
      <c r="F25" s="49">
        <v>1.23</v>
      </c>
      <c r="G25" s="5">
        <v>1.56</v>
      </c>
      <c r="H25" s="5">
        <v>1.89</v>
      </c>
      <c r="I25" s="82">
        <v>2.42</v>
      </c>
      <c r="J25" s="49">
        <v>1.68</v>
      </c>
      <c r="K25" s="5">
        <v>1.63</v>
      </c>
      <c r="L25" s="5">
        <v>2.62</v>
      </c>
      <c r="M25" s="82">
        <v>2.5499999999999998</v>
      </c>
      <c r="N25" s="49">
        <v>0.86</v>
      </c>
      <c r="O25" s="82">
        <v>1.28</v>
      </c>
    </row>
    <row r="26" spans="1:15" x14ac:dyDescent="0.2">
      <c r="A26" s="55">
        <v>36</v>
      </c>
      <c r="B26" s="49">
        <v>0.64</v>
      </c>
      <c r="C26" s="5">
        <v>0.52</v>
      </c>
      <c r="D26" s="5">
        <v>1.08</v>
      </c>
      <c r="E26" s="82">
        <v>0.91</v>
      </c>
      <c r="F26" s="49">
        <v>1.38</v>
      </c>
      <c r="G26" s="5">
        <v>1.69</v>
      </c>
      <c r="H26" s="5">
        <v>2.15</v>
      </c>
      <c r="I26" s="82">
        <v>2.64</v>
      </c>
      <c r="J26" s="49">
        <v>1.85</v>
      </c>
      <c r="K26" s="5">
        <v>1.75</v>
      </c>
      <c r="L26" s="5">
        <v>2.92</v>
      </c>
      <c r="M26" s="82">
        <v>2.76</v>
      </c>
      <c r="N26" s="49">
        <v>0.92</v>
      </c>
      <c r="O26" s="82">
        <v>1.38</v>
      </c>
    </row>
    <row r="27" spans="1:15" x14ac:dyDescent="0.2">
      <c r="A27" s="55">
        <v>37</v>
      </c>
      <c r="B27" s="49">
        <v>0.69</v>
      </c>
      <c r="C27" s="5">
        <v>0.56000000000000005</v>
      </c>
      <c r="D27" s="5">
        <v>1.2</v>
      </c>
      <c r="E27" s="82">
        <v>1.01</v>
      </c>
      <c r="F27" s="49">
        <v>1.55</v>
      </c>
      <c r="G27" s="5">
        <v>1.82</v>
      </c>
      <c r="H27" s="5">
        <v>2.44</v>
      </c>
      <c r="I27" s="82">
        <v>2.88</v>
      </c>
      <c r="J27" s="49">
        <v>2.04</v>
      </c>
      <c r="K27" s="5">
        <v>1.87</v>
      </c>
      <c r="L27" s="5">
        <v>3.26</v>
      </c>
      <c r="M27" s="82">
        <v>2.99</v>
      </c>
      <c r="N27" s="49">
        <v>0.99</v>
      </c>
      <c r="O27" s="82">
        <v>1.49</v>
      </c>
    </row>
    <row r="28" spans="1:15" x14ac:dyDescent="0.2">
      <c r="A28" s="55">
        <v>38</v>
      </c>
      <c r="B28" s="49">
        <v>0.75</v>
      </c>
      <c r="C28" s="5">
        <v>0.61</v>
      </c>
      <c r="D28" s="5">
        <v>1.35</v>
      </c>
      <c r="E28" s="82">
        <v>1.1299999999999999</v>
      </c>
      <c r="F28" s="49">
        <v>1.74</v>
      </c>
      <c r="G28" s="5">
        <v>1.96</v>
      </c>
      <c r="H28" s="5">
        <v>2.77</v>
      </c>
      <c r="I28" s="82">
        <v>3.15</v>
      </c>
      <c r="J28" s="49">
        <v>2.2400000000000002</v>
      </c>
      <c r="K28" s="5">
        <v>2.0099999999999998</v>
      </c>
      <c r="L28" s="5">
        <v>3.63</v>
      </c>
      <c r="M28" s="82">
        <v>3.24</v>
      </c>
      <c r="N28" s="49">
        <v>1.07</v>
      </c>
      <c r="O28" s="82">
        <v>1.61</v>
      </c>
    </row>
    <row r="29" spans="1:15" x14ac:dyDescent="0.2">
      <c r="A29" s="56">
        <v>39</v>
      </c>
      <c r="B29" s="50">
        <v>0.83</v>
      </c>
      <c r="C29" s="6">
        <v>0.66</v>
      </c>
      <c r="D29" s="6">
        <v>1.5</v>
      </c>
      <c r="E29" s="82">
        <v>1.25</v>
      </c>
      <c r="F29" s="49">
        <v>1.95</v>
      </c>
      <c r="G29" s="5">
        <v>2.12</v>
      </c>
      <c r="H29" s="5">
        <v>3.16</v>
      </c>
      <c r="I29" s="82">
        <v>3.44</v>
      </c>
      <c r="J29" s="49">
        <v>2.4700000000000002</v>
      </c>
      <c r="K29" s="5">
        <v>2.15</v>
      </c>
      <c r="L29" s="5">
        <v>4.05</v>
      </c>
      <c r="M29" s="82">
        <v>3.52</v>
      </c>
      <c r="N29" s="49">
        <v>1.1599999999999999</v>
      </c>
      <c r="O29" s="82">
        <v>1.75</v>
      </c>
    </row>
    <row r="30" spans="1:15" x14ac:dyDescent="0.2">
      <c r="A30" s="55">
        <v>40</v>
      </c>
      <c r="B30" s="49">
        <v>0.93</v>
      </c>
      <c r="C30" s="5">
        <v>0.73</v>
      </c>
      <c r="D30" s="5">
        <v>1.68</v>
      </c>
      <c r="E30" s="82">
        <v>1.38</v>
      </c>
      <c r="F30" s="49">
        <v>2.19</v>
      </c>
      <c r="G30" s="5">
        <v>2.29</v>
      </c>
      <c r="H30" s="5">
        <v>3.59</v>
      </c>
      <c r="I30" s="82">
        <v>3.76</v>
      </c>
      <c r="J30" s="49">
        <v>2.72</v>
      </c>
      <c r="K30" s="5">
        <v>2.2999999999999998</v>
      </c>
      <c r="L30" s="5">
        <v>4.5199999999999996</v>
      </c>
      <c r="M30" s="82">
        <v>3.81</v>
      </c>
      <c r="N30" s="49">
        <v>1.26</v>
      </c>
      <c r="O30" s="82">
        <v>1.89</v>
      </c>
    </row>
    <row r="31" spans="1:15" x14ac:dyDescent="0.2">
      <c r="A31" s="55">
        <v>41</v>
      </c>
      <c r="B31" s="49">
        <v>1.04</v>
      </c>
      <c r="C31" s="5">
        <v>0.8</v>
      </c>
      <c r="D31" s="5">
        <v>1.88</v>
      </c>
      <c r="E31" s="82">
        <v>1.52</v>
      </c>
      <c r="F31" s="49">
        <v>2.4500000000000002</v>
      </c>
      <c r="G31" s="5">
        <v>2.4700000000000002</v>
      </c>
      <c r="H31" s="5">
        <v>4.08</v>
      </c>
      <c r="I31" s="82">
        <v>4.1100000000000003</v>
      </c>
      <c r="J31" s="49">
        <v>3.01</v>
      </c>
      <c r="K31" s="5">
        <v>2.4900000000000002</v>
      </c>
      <c r="L31" s="5">
        <v>5.0599999999999996</v>
      </c>
      <c r="M31" s="82">
        <v>4.17</v>
      </c>
      <c r="N31" s="49">
        <v>1.37</v>
      </c>
      <c r="O31" s="82">
        <v>2.0499999999999998</v>
      </c>
    </row>
    <row r="32" spans="1:15" x14ac:dyDescent="0.2">
      <c r="A32" s="55">
        <v>42</v>
      </c>
      <c r="B32" s="49">
        <v>1.1599999999999999</v>
      </c>
      <c r="C32" s="5">
        <v>0.88</v>
      </c>
      <c r="D32" s="5">
        <v>2.12</v>
      </c>
      <c r="E32" s="82">
        <v>1.68</v>
      </c>
      <c r="F32" s="49">
        <v>2.75</v>
      </c>
      <c r="G32" s="5">
        <v>2.66</v>
      </c>
      <c r="H32" s="5">
        <v>4.6399999999999997</v>
      </c>
      <c r="I32" s="82">
        <v>4.49</v>
      </c>
      <c r="J32" s="49">
        <v>3.33</v>
      </c>
      <c r="K32" s="5">
        <v>2.68</v>
      </c>
      <c r="L32" s="5">
        <v>5.66</v>
      </c>
      <c r="M32" s="82">
        <v>4.55</v>
      </c>
      <c r="N32" s="49">
        <v>1.49</v>
      </c>
      <c r="O32" s="82">
        <v>2.23</v>
      </c>
    </row>
    <row r="33" spans="1:15" x14ac:dyDescent="0.2">
      <c r="A33" s="55">
        <v>43</v>
      </c>
      <c r="B33" s="49">
        <v>1.3</v>
      </c>
      <c r="C33" s="5">
        <v>0.97</v>
      </c>
      <c r="D33" s="5">
        <v>2.39</v>
      </c>
      <c r="E33" s="82">
        <v>1.86</v>
      </c>
      <c r="F33" s="49">
        <v>3.09</v>
      </c>
      <c r="G33" s="5">
        <v>2.87</v>
      </c>
      <c r="H33" s="5">
        <v>5.28</v>
      </c>
      <c r="I33" s="82">
        <v>4.91</v>
      </c>
      <c r="J33" s="49">
        <v>3.68</v>
      </c>
      <c r="K33" s="5">
        <v>2.9</v>
      </c>
      <c r="L33" s="5">
        <v>6.34</v>
      </c>
      <c r="M33" s="82">
        <v>4.9800000000000004</v>
      </c>
      <c r="N33" s="49">
        <v>1.61</v>
      </c>
      <c r="O33" s="82">
        <v>2.42</v>
      </c>
    </row>
    <row r="34" spans="1:15" x14ac:dyDescent="0.2">
      <c r="A34" s="56">
        <v>44</v>
      </c>
      <c r="B34" s="50">
        <v>1.45</v>
      </c>
      <c r="C34" s="6">
        <v>1.07</v>
      </c>
      <c r="D34" s="6">
        <v>2.69</v>
      </c>
      <c r="E34" s="82">
        <v>2.06</v>
      </c>
      <c r="F34" s="49">
        <v>3.46</v>
      </c>
      <c r="G34" s="5">
        <v>3.1</v>
      </c>
      <c r="H34" s="5">
        <v>6</v>
      </c>
      <c r="I34" s="82">
        <v>5.37</v>
      </c>
      <c r="J34" s="49">
        <v>4.07</v>
      </c>
      <c r="K34" s="5">
        <v>3.13</v>
      </c>
      <c r="L34" s="5">
        <v>7.1</v>
      </c>
      <c r="M34" s="82">
        <v>5.44</v>
      </c>
      <c r="N34" s="49">
        <v>1.75</v>
      </c>
      <c r="O34" s="82">
        <v>2.62</v>
      </c>
    </row>
    <row r="35" spans="1:15" x14ac:dyDescent="0.2">
      <c r="A35" s="55">
        <v>45</v>
      </c>
      <c r="B35" s="49">
        <v>1.63</v>
      </c>
      <c r="C35" s="5">
        <v>1.17</v>
      </c>
      <c r="D35" s="5">
        <v>3.04</v>
      </c>
      <c r="E35" s="82">
        <v>2.29</v>
      </c>
      <c r="F35" s="49">
        <v>3.88</v>
      </c>
      <c r="G35" s="5">
        <v>3.35</v>
      </c>
      <c r="H35" s="5">
        <v>6.82</v>
      </c>
      <c r="I35" s="82">
        <v>5.86</v>
      </c>
      <c r="J35" s="49">
        <v>4.5</v>
      </c>
      <c r="K35" s="5">
        <v>3.38</v>
      </c>
      <c r="L35" s="5">
        <v>7.95</v>
      </c>
      <c r="M35" s="82">
        <v>5.94</v>
      </c>
      <c r="N35" s="49">
        <v>1.89</v>
      </c>
      <c r="O35" s="82">
        <v>2.84</v>
      </c>
    </row>
    <row r="36" spans="1:15" x14ac:dyDescent="0.2">
      <c r="A36" s="55">
        <v>46</v>
      </c>
      <c r="B36" s="49">
        <v>1.83</v>
      </c>
      <c r="C36" s="5">
        <v>1.3</v>
      </c>
      <c r="D36" s="5">
        <v>3.43</v>
      </c>
      <c r="E36" s="82">
        <v>2.54</v>
      </c>
      <c r="F36" s="49">
        <v>4.3600000000000003</v>
      </c>
      <c r="G36" s="5">
        <v>3.61</v>
      </c>
      <c r="H36" s="5">
        <v>7.76</v>
      </c>
      <c r="I36" s="82">
        <v>6.41</v>
      </c>
      <c r="J36" s="49">
        <v>4.97</v>
      </c>
      <c r="K36" s="5">
        <v>3.65</v>
      </c>
      <c r="L36" s="5">
        <v>8.9</v>
      </c>
      <c r="M36" s="82">
        <v>6.49</v>
      </c>
      <c r="N36" s="49">
        <v>2.0499999999999998</v>
      </c>
      <c r="O36" s="82">
        <v>3.07</v>
      </c>
    </row>
    <row r="37" spans="1:15" x14ac:dyDescent="0.2">
      <c r="A37" s="55">
        <v>47</v>
      </c>
      <c r="B37" s="49">
        <v>2.06</v>
      </c>
      <c r="C37" s="5">
        <v>1.43</v>
      </c>
      <c r="D37" s="5">
        <v>3.88</v>
      </c>
      <c r="E37" s="82">
        <v>2.81</v>
      </c>
      <c r="F37" s="49">
        <v>4.8899999999999997</v>
      </c>
      <c r="G37" s="5">
        <v>3.9</v>
      </c>
      <c r="H37" s="5">
        <v>8.82</v>
      </c>
      <c r="I37" s="82">
        <v>7</v>
      </c>
      <c r="J37" s="49">
        <v>5.5</v>
      </c>
      <c r="K37" s="5">
        <v>3.94</v>
      </c>
      <c r="L37" s="5">
        <v>9.9700000000000006</v>
      </c>
      <c r="M37" s="82">
        <v>7.1</v>
      </c>
      <c r="N37" s="49">
        <v>2.21</v>
      </c>
      <c r="O37" s="82">
        <v>3.31</v>
      </c>
    </row>
    <row r="38" spans="1:15" x14ac:dyDescent="0.2">
      <c r="A38" s="55">
        <v>48</v>
      </c>
      <c r="B38" s="49">
        <v>2.31</v>
      </c>
      <c r="C38" s="5">
        <v>1.58</v>
      </c>
      <c r="D38" s="5">
        <v>4.38</v>
      </c>
      <c r="E38" s="82">
        <v>3.12</v>
      </c>
      <c r="F38" s="49">
        <v>5.48</v>
      </c>
      <c r="G38" s="5">
        <v>4.2</v>
      </c>
      <c r="H38" s="5">
        <v>10.029999999999999</v>
      </c>
      <c r="I38" s="82">
        <v>7.65</v>
      </c>
      <c r="J38" s="49">
        <v>6.08</v>
      </c>
      <c r="K38" s="5">
        <v>4.25</v>
      </c>
      <c r="L38" s="5">
        <v>11.16</v>
      </c>
      <c r="M38" s="82">
        <v>7.75</v>
      </c>
      <c r="N38" s="49">
        <v>2.38</v>
      </c>
      <c r="O38" s="82">
        <v>3.57</v>
      </c>
    </row>
    <row r="39" spans="1:15" x14ac:dyDescent="0.2">
      <c r="A39" s="56">
        <v>49</v>
      </c>
      <c r="B39" s="50">
        <v>2.59</v>
      </c>
      <c r="C39" s="5">
        <v>1.74</v>
      </c>
      <c r="D39" s="5">
        <v>4.9400000000000004</v>
      </c>
      <c r="E39" s="82">
        <v>3.46</v>
      </c>
      <c r="F39" s="49">
        <v>6.15</v>
      </c>
      <c r="G39" s="5">
        <v>4.54</v>
      </c>
      <c r="H39" s="5">
        <v>11.41</v>
      </c>
      <c r="I39" s="82">
        <v>8.36</v>
      </c>
      <c r="J39" s="49">
        <v>6.72</v>
      </c>
      <c r="K39" s="5">
        <v>4.59</v>
      </c>
      <c r="L39" s="5">
        <v>12.5</v>
      </c>
      <c r="M39" s="82">
        <v>8.4700000000000006</v>
      </c>
      <c r="N39" s="49">
        <v>2.56</v>
      </c>
      <c r="O39" s="82">
        <v>3.84</v>
      </c>
    </row>
    <row r="40" spans="1:15" x14ac:dyDescent="0.2">
      <c r="A40" s="55">
        <v>50</v>
      </c>
      <c r="B40" s="49">
        <v>2.9</v>
      </c>
      <c r="C40" s="5">
        <v>1.92</v>
      </c>
      <c r="D40" s="5">
        <v>5.56</v>
      </c>
      <c r="E40" s="82">
        <v>3.84</v>
      </c>
      <c r="F40" s="49">
        <v>6.9</v>
      </c>
      <c r="G40" s="5">
        <v>4.9000000000000004</v>
      </c>
      <c r="H40" s="5">
        <v>12.97</v>
      </c>
      <c r="I40" s="82">
        <v>9.14</v>
      </c>
      <c r="J40" s="49">
        <v>7.44</v>
      </c>
      <c r="K40" s="5">
        <v>4.95</v>
      </c>
      <c r="L40" s="5">
        <v>14</v>
      </c>
      <c r="M40" s="82">
        <v>9.25</v>
      </c>
      <c r="N40" s="49">
        <v>2.75</v>
      </c>
      <c r="O40" s="82">
        <v>4.12</v>
      </c>
    </row>
    <row r="41" spans="1:15" x14ac:dyDescent="0.2">
      <c r="A41" s="55">
        <v>51</v>
      </c>
      <c r="B41" s="49">
        <v>3.25</v>
      </c>
      <c r="C41" s="5">
        <v>2.12</v>
      </c>
      <c r="D41" s="5">
        <v>6.27</v>
      </c>
      <c r="E41" s="82">
        <v>4.26</v>
      </c>
      <c r="F41" s="49">
        <v>7.74</v>
      </c>
      <c r="G41" s="5">
        <v>5.36</v>
      </c>
      <c r="H41" s="5">
        <v>14.65</v>
      </c>
      <c r="I41" s="82">
        <v>10.08</v>
      </c>
      <c r="J41" s="49">
        <v>8.2899999999999991</v>
      </c>
      <c r="K41" s="5">
        <v>5.46</v>
      </c>
      <c r="L41" s="5">
        <v>15.72</v>
      </c>
      <c r="M41" s="82">
        <v>10.28</v>
      </c>
      <c r="N41" s="49">
        <v>2.94</v>
      </c>
      <c r="O41" s="82">
        <v>4.41</v>
      </c>
    </row>
    <row r="42" spans="1:15" x14ac:dyDescent="0.2">
      <c r="A42" s="55">
        <v>52</v>
      </c>
      <c r="B42" s="49">
        <v>3.64</v>
      </c>
      <c r="C42" s="5">
        <v>2.34</v>
      </c>
      <c r="D42" s="5">
        <v>7.05</v>
      </c>
      <c r="E42" s="82">
        <v>4.7300000000000004</v>
      </c>
      <c r="F42" s="49">
        <v>8.57</v>
      </c>
      <c r="G42" s="5">
        <v>5.82</v>
      </c>
      <c r="H42" s="5">
        <v>16.329999999999998</v>
      </c>
      <c r="I42" s="82">
        <v>11.01</v>
      </c>
      <c r="J42" s="49">
        <v>9.1300000000000008</v>
      </c>
      <c r="K42" s="5">
        <v>5.97</v>
      </c>
      <c r="L42" s="5">
        <v>17.420000000000002</v>
      </c>
      <c r="M42" s="82">
        <v>11.31</v>
      </c>
      <c r="N42" s="49">
        <v>3.14</v>
      </c>
      <c r="O42" s="82">
        <v>4.7</v>
      </c>
    </row>
    <row r="43" spans="1:15" x14ac:dyDescent="0.2">
      <c r="A43" s="55">
        <v>53</v>
      </c>
      <c r="B43" s="49">
        <v>4.07</v>
      </c>
      <c r="C43" s="5">
        <v>2.58</v>
      </c>
      <c r="D43" s="5">
        <v>7.93</v>
      </c>
      <c r="E43" s="82">
        <v>5.26</v>
      </c>
      <c r="F43" s="49">
        <v>9.52</v>
      </c>
      <c r="G43" s="5">
        <v>6.31</v>
      </c>
      <c r="H43" s="5">
        <v>18.260000000000002</v>
      </c>
      <c r="I43" s="82">
        <v>12.03</v>
      </c>
      <c r="J43" s="49">
        <v>10.08</v>
      </c>
      <c r="K43" s="5">
        <v>6.52</v>
      </c>
      <c r="L43" s="5">
        <v>19.350000000000001</v>
      </c>
      <c r="M43" s="82">
        <v>12.44</v>
      </c>
      <c r="N43" s="49">
        <v>3.33</v>
      </c>
      <c r="O43" s="82">
        <v>4.99</v>
      </c>
    </row>
    <row r="44" spans="1:15" x14ac:dyDescent="0.2">
      <c r="A44" s="56">
        <v>54</v>
      </c>
      <c r="B44" s="50">
        <v>4.5599999999999996</v>
      </c>
      <c r="C44" s="5">
        <v>2.86</v>
      </c>
      <c r="D44" s="5">
        <v>8.8699999999999992</v>
      </c>
      <c r="E44" s="82">
        <v>5.81</v>
      </c>
      <c r="F44" s="49">
        <v>10.31</v>
      </c>
      <c r="G44" s="5">
        <v>6.84</v>
      </c>
      <c r="H44" s="5">
        <v>19.91</v>
      </c>
      <c r="I44" s="82">
        <v>13.12</v>
      </c>
      <c r="J44" s="49">
        <v>10.91</v>
      </c>
      <c r="K44" s="5">
        <v>7.13</v>
      </c>
      <c r="L44" s="5">
        <v>21.08</v>
      </c>
      <c r="M44" s="82">
        <v>13.68</v>
      </c>
      <c r="N44" s="49">
        <v>3.51</v>
      </c>
      <c r="O44" s="82">
        <v>5.27</v>
      </c>
    </row>
    <row r="45" spans="1:15" x14ac:dyDescent="0.2">
      <c r="A45" s="55">
        <v>55</v>
      </c>
      <c r="B45" s="49">
        <v>5.1100000000000003</v>
      </c>
      <c r="C45" s="5">
        <v>3.17</v>
      </c>
      <c r="D45" s="5">
        <v>9.9</v>
      </c>
      <c r="E45" s="82">
        <v>6.42</v>
      </c>
      <c r="F45" s="49">
        <v>11.25</v>
      </c>
      <c r="G45" s="5">
        <v>7.46</v>
      </c>
      <c r="H45" s="5">
        <v>21.66</v>
      </c>
      <c r="I45" s="82">
        <v>14.28</v>
      </c>
      <c r="J45" s="49">
        <v>11.89</v>
      </c>
      <c r="K45" s="5">
        <v>7.83</v>
      </c>
      <c r="L45" s="5">
        <v>22.91</v>
      </c>
      <c r="M45" s="82">
        <v>15.01</v>
      </c>
      <c r="N45" s="49">
        <v>3.69</v>
      </c>
      <c r="O45" s="82">
        <v>5.53</v>
      </c>
    </row>
    <row r="46" spans="1:15" x14ac:dyDescent="0.2">
      <c r="A46" s="55">
        <v>56</v>
      </c>
      <c r="B46" s="49">
        <v>5.72</v>
      </c>
      <c r="C46" s="5">
        <v>3.51</v>
      </c>
      <c r="D46" s="5">
        <v>11.04</v>
      </c>
      <c r="E46" s="82">
        <v>7.09</v>
      </c>
      <c r="F46" s="49">
        <v>12.27</v>
      </c>
      <c r="G46" s="5">
        <v>8.16</v>
      </c>
      <c r="H46" s="5">
        <v>23.58</v>
      </c>
      <c r="I46" s="82">
        <v>15.58</v>
      </c>
      <c r="J46" s="49">
        <v>12.96</v>
      </c>
      <c r="K46" s="5">
        <v>8.6300000000000008</v>
      </c>
      <c r="L46" s="5">
        <v>24.9</v>
      </c>
      <c r="M46" s="82">
        <v>16.5</v>
      </c>
      <c r="N46" s="49">
        <v>3.84</v>
      </c>
      <c r="O46" s="82">
        <v>5.75</v>
      </c>
    </row>
    <row r="47" spans="1:15" x14ac:dyDescent="0.2">
      <c r="A47" s="55">
        <v>57</v>
      </c>
      <c r="B47" s="49">
        <v>6.39</v>
      </c>
      <c r="C47" s="5">
        <v>3.89</v>
      </c>
      <c r="D47" s="5">
        <v>12.31</v>
      </c>
      <c r="E47" s="82">
        <v>7.84</v>
      </c>
      <c r="F47" s="49">
        <v>13.43</v>
      </c>
      <c r="G47" s="5">
        <v>8.94</v>
      </c>
      <c r="H47" s="5">
        <v>25.74</v>
      </c>
      <c r="I47" s="82">
        <v>17.04</v>
      </c>
      <c r="J47" s="49">
        <v>14.15</v>
      </c>
      <c r="K47" s="5">
        <v>9.5299999999999994</v>
      </c>
      <c r="L47" s="5">
        <v>27.13</v>
      </c>
      <c r="M47" s="82">
        <v>18.190000000000001</v>
      </c>
      <c r="N47" s="49">
        <v>3.95</v>
      </c>
      <c r="O47" s="82">
        <v>5.93</v>
      </c>
    </row>
    <row r="48" spans="1:15" x14ac:dyDescent="0.2">
      <c r="A48" s="55">
        <v>58</v>
      </c>
      <c r="B48" s="49">
        <v>7.14</v>
      </c>
      <c r="C48" s="5">
        <v>4.32</v>
      </c>
      <c r="D48" s="5">
        <v>13.7</v>
      </c>
      <c r="E48" s="82">
        <v>8.66</v>
      </c>
      <c r="F48" s="49">
        <v>14.73</v>
      </c>
      <c r="G48" s="5">
        <v>9.84</v>
      </c>
      <c r="H48" s="5">
        <v>28.16</v>
      </c>
      <c r="I48" s="82">
        <v>18.71</v>
      </c>
      <c r="J48" s="49">
        <v>15.49</v>
      </c>
      <c r="K48" s="5">
        <v>10.56</v>
      </c>
      <c r="L48" s="5">
        <v>29.61</v>
      </c>
      <c r="M48" s="82">
        <v>20.11</v>
      </c>
      <c r="N48" s="49">
        <v>4.0199999999999996</v>
      </c>
      <c r="O48" s="82">
        <v>6.03</v>
      </c>
    </row>
    <row r="49" spans="1:15" x14ac:dyDescent="0.2">
      <c r="A49" s="55">
        <v>59</v>
      </c>
      <c r="B49" s="49">
        <v>7.97</v>
      </c>
      <c r="C49" s="5">
        <v>4.78</v>
      </c>
      <c r="D49" s="5">
        <v>15.24</v>
      </c>
      <c r="E49" s="82">
        <v>9.57</v>
      </c>
      <c r="F49" s="49">
        <v>16.02</v>
      </c>
      <c r="G49" s="5">
        <v>10.79</v>
      </c>
      <c r="H49" s="5">
        <v>30.54</v>
      </c>
      <c r="I49" s="82">
        <v>20.48</v>
      </c>
      <c r="J49" s="49">
        <v>16.920000000000002</v>
      </c>
      <c r="K49" s="5">
        <v>11.68</v>
      </c>
      <c r="L49" s="5">
        <v>32.25</v>
      </c>
      <c r="M49" s="82">
        <v>22.2</v>
      </c>
      <c r="N49" s="49">
        <v>4.01</v>
      </c>
      <c r="O49" s="82">
        <v>6.02</v>
      </c>
    </row>
    <row r="50" spans="1:15" x14ac:dyDescent="0.2">
      <c r="A50" s="55">
        <v>60</v>
      </c>
      <c r="B50" s="49">
        <v>8.8800000000000008</v>
      </c>
      <c r="C50" s="5">
        <v>5.3</v>
      </c>
      <c r="D50" s="5">
        <v>16.93</v>
      </c>
      <c r="E50" s="82">
        <v>10.57</v>
      </c>
      <c r="F50" s="49">
        <v>17.45</v>
      </c>
      <c r="G50" s="5">
        <v>11.87</v>
      </c>
      <c r="H50" s="5">
        <v>33.18</v>
      </c>
      <c r="I50" s="82">
        <v>22.48</v>
      </c>
      <c r="J50" s="49">
        <v>18.5</v>
      </c>
      <c r="K50" s="5">
        <v>12.96</v>
      </c>
      <c r="L50" s="5">
        <v>35.19</v>
      </c>
      <c r="M50" s="82">
        <v>24.56</v>
      </c>
      <c r="N50" s="49">
        <v>3.91</v>
      </c>
      <c r="O50" s="82">
        <v>5.87</v>
      </c>
    </row>
    <row r="51" spans="1:15" x14ac:dyDescent="0.2">
      <c r="A51" s="55">
        <v>61</v>
      </c>
      <c r="B51" s="49">
        <v>9.89</v>
      </c>
      <c r="C51" s="5">
        <v>5.88</v>
      </c>
      <c r="D51" s="5">
        <v>18.79</v>
      </c>
      <c r="E51" s="82">
        <v>11.68</v>
      </c>
      <c r="F51" s="49">
        <v>19.05</v>
      </c>
      <c r="G51" s="5">
        <v>13.05</v>
      </c>
      <c r="H51" s="5">
        <v>36.119999999999997</v>
      </c>
      <c r="I51" s="82">
        <v>24.66</v>
      </c>
      <c r="J51" s="49">
        <v>20.29</v>
      </c>
      <c r="K51" s="5">
        <v>14.37</v>
      </c>
      <c r="L51" s="5">
        <v>38.479999999999997</v>
      </c>
      <c r="M51" s="82">
        <v>27.16</v>
      </c>
      <c r="N51" s="49">
        <v>3.68</v>
      </c>
      <c r="O51" s="82">
        <v>5.52</v>
      </c>
    </row>
    <row r="52" spans="1:15" x14ac:dyDescent="0.2">
      <c r="A52" s="55">
        <v>62</v>
      </c>
      <c r="B52" s="49">
        <v>11</v>
      </c>
      <c r="C52" s="5">
        <v>6.52</v>
      </c>
      <c r="D52" s="5">
        <v>20.84</v>
      </c>
      <c r="E52" s="82">
        <v>12.9</v>
      </c>
      <c r="F52" s="49">
        <v>20.86</v>
      </c>
      <c r="G52" s="5">
        <v>14.39</v>
      </c>
      <c r="H52" s="5">
        <v>39.44</v>
      </c>
      <c r="I52" s="82">
        <v>27.12</v>
      </c>
      <c r="J52" s="49">
        <v>22.25</v>
      </c>
      <c r="K52" s="5">
        <v>15.92</v>
      </c>
      <c r="L52" s="5">
        <v>42.08</v>
      </c>
      <c r="M52" s="82">
        <v>30.02</v>
      </c>
      <c r="N52" s="49">
        <v>3.27</v>
      </c>
      <c r="O52" s="82">
        <v>4.9000000000000004</v>
      </c>
    </row>
    <row r="53" spans="1:15" x14ac:dyDescent="0.2">
      <c r="A53" s="55">
        <v>63</v>
      </c>
      <c r="B53" s="49">
        <v>12.23</v>
      </c>
      <c r="C53" s="5">
        <v>7.22</v>
      </c>
      <c r="D53" s="5">
        <v>23.1</v>
      </c>
      <c r="E53" s="82">
        <v>14.25</v>
      </c>
      <c r="F53" s="49">
        <v>22.86</v>
      </c>
      <c r="G53" s="5">
        <v>15.88</v>
      </c>
      <c r="H53" s="5">
        <v>43.09</v>
      </c>
      <c r="I53" s="82">
        <v>29.85</v>
      </c>
      <c r="J53" s="49">
        <v>24.42</v>
      </c>
      <c r="K53" s="5">
        <v>17.66</v>
      </c>
      <c r="L53" s="5">
        <v>46.04</v>
      </c>
      <c r="M53" s="82">
        <v>33.21</v>
      </c>
      <c r="N53" s="49">
        <v>2.61</v>
      </c>
      <c r="O53" s="82">
        <v>3.92</v>
      </c>
    </row>
    <row r="54" spans="1:15" x14ac:dyDescent="0.2">
      <c r="A54" s="56">
        <v>64</v>
      </c>
      <c r="B54" s="50">
        <v>13.59</v>
      </c>
      <c r="C54" s="5">
        <v>8</v>
      </c>
      <c r="D54" s="5">
        <v>25.57</v>
      </c>
      <c r="E54" s="82">
        <v>15.74</v>
      </c>
      <c r="F54" s="49">
        <v>24.75</v>
      </c>
      <c r="G54" s="5">
        <v>17.260000000000002</v>
      </c>
      <c r="H54" s="5">
        <v>46.53</v>
      </c>
      <c r="I54" s="82">
        <v>32.340000000000003</v>
      </c>
      <c r="J54" s="49">
        <v>26.51</v>
      </c>
      <c r="K54" s="5">
        <v>19.350000000000001</v>
      </c>
      <c r="L54" s="5">
        <v>49.85</v>
      </c>
      <c r="M54" s="82">
        <v>36.28</v>
      </c>
      <c r="N54" s="49">
        <v>1.63</v>
      </c>
      <c r="O54" s="82">
        <v>2.44</v>
      </c>
    </row>
    <row r="55" spans="1:15" x14ac:dyDescent="0.2">
      <c r="A55" s="55">
        <v>65</v>
      </c>
      <c r="B55" s="49">
        <v>15.08</v>
      </c>
      <c r="C55" s="5">
        <v>8.8699999999999992</v>
      </c>
      <c r="D55" s="5">
        <v>28.28</v>
      </c>
      <c r="E55" s="82">
        <v>17.39</v>
      </c>
      <c r="F55" s="49">
        <v>26.81</v>
      </c>
      <c r="G55" s="5">
        <v>18.78</v>
      </c>
      <c r="H55" s="5">
        <v>50.24</v>
      </c>
      <c r="I55" s="82">
        <v>35.090000000000003</v>
      </c>
      <c r="J55" s="49">
        <v>28.79</v>
      </c>
      <c r="K55" s="5">
        <v>21.22</v>
      </c>
      <c r="L55" s="5">
        <v>53.96</v>
      </c>
      <c r="M55" s="82">
        <v>39.69</v>
      </c>
      <c r="N55" s="49">
        <v>0.53</v>
      </c>
      <c r="O55" s="82">
        <v>0.8</v>
      </c>
    </row>
    <row r="56" spans="1:15" x14ac:dyDescent="0.2">
      <c r="A56" s="55">
        <v>66</v>
      </c>
      <c r="B56" s="49">
        <v>16.72</v>
      </c>
      <c r="C56" s="5">
        <v>9.82</v>
      </c>
      <c r="D56" s="5">
        <v>31.26</v>
      </c>
      <c r="E56" s="82">
        <v>19.2</v>
      </c>
      <c r="F56" s="49">
        <v>29.03</v>
      </c>
      <c r="G56" s="5">
        <v>20.420000000000002</v>
      </c>
      <c r="H56" s="5">
        <v>54.23</v>
      </c>
      <c r="I56" s="82">
        <v>38.06</v>
      </c>
      <c r="J56" s="49">
        <v>31.25</v>
      </c>
      <c r="K56" s="5">
        <v>23.27</v>
      </c>
      <c r="L56" s="5">
        <v>58.4</v>
      </c>
      <c r="M56" s="82">
        <v>43.39</v>
      </c>
      <c r="N56" s="49">
        <v>0</v>
      </c>
      <c r="O56" s="82">
        <v>0</v>
      </c>
    </row>
    <row r="57" spans="1:15" x14ac:dyDescent="0.2">
      <c r="A57" s="55">
        <v>67</v>
      </c>
      <c r="B57" s="49">
        <v>18.52</v>
      </c>
      <c r="C57" s="5">
        <v>10.88</v>
      </c>
      <c r="D57" s="5">
        <v>34.53</v>
      </c>
      <c r="E57" s="82">
        <v>21.2</v>
      </c>
      <c r="F57" s="49">
        <v>31.4</v>
      </c>
      <c r="G57" s="5">
        <v>22.2</v>
      </c>
      <c r="H57" s="5">
        <v>58.49</v>
      </c>
      <c r="I57" s="82">
        <v>41.26</v>
      </c>
      <c r="J57" s="49">
        <v>33.9</v>
      </c>
      <c r="K57" s="5">
        <v>25.51</v>
      </c>
      <c r="L57" s="5">
        <v>63.15</v>
      </c>
      <c r="M57" s="82">
        <v>47.42</v>
      </c>
      <c r="N57" s="49">
        <v>0</v>
      </c>
      <c r="O57" s="82">
        <v>0</v>
      </c>
    </row>
    <row r="58" spans="1:15" x14ac:dyDescent="0.2">
      <c r="A58" s="55">
        <v>68</v>
      </c>
      <c r="B58" s="49">
        <v>20.51</v>
      </c>
      <c r="C58" s="5">
        <v>12.05</v>
      </c>
      <c r="D58" s="5">
        <v>38.1</v>
      </c>
      <c r="E58" s="82">
        <v>23.41</v>
      </c>
      <c r="F58" s="49">
        <v>33.96</v>
      </c>
      <c r="G58" s="5">
        <v>24.08</v>
      </c>
      <c r="H58" s="5">
        <v>63.06</v>
      </c>
      <c r="I58" s="82">
        <v>44.62</v>
      </c>
      <c r="J58" s="49">
        <v>36.75</v>
      </c>
      <c r="K58" s="5">
        <v>27.89</v>
      </c>
      <c r="L58" s="5">
        <v>68.27</v>
      </c>
      <c r="M58" s="82">
        <v>51.71</v>
      </c>
      <c r="N58" s="49">
        <v>0</v>
      </c>
      <c r="O58" s="82">
        <v>0</v>
      </c>
    </row>
    <row r="59" spans="1:15" x14ac:dyDescent="0.2">
      <c r="A59" s="56">
        <v>69</v>
      </c>
      <c r="B59" s="50">
        <v>22.69</v>
      </c>
      <c r="C59" s="5">
        <v>13.35</v>
      </c>
      <c r="D59" s="5">
        <v>42.02</v>
      </c>
      <c r="E59" s="82">
        <v>25.85</v>
      </c>
      <c r="F59" s="49">
        <v>36.49</v>
      </c>
      <c r="G59" s="5">
        <v>25.94</v>
      </c>
      <c r="H59" s="5">
        <v>67.55</v>
      </c>
      <c r="I59" s="82">
        <v>47.93</v>
      </c>
      <c r="J59" s="49">
        <v>39.840000000000003</v>
      </c>
      <c r="K59" s="5">
        <v>30.36</v>
      </c>
      <c r="L59" s="5">
        <v>73.78</v>
      </c>
      <c r="M59" s="82">
        <v>56.13</v>
      </c>
      <c r="N59" s="49">
        <v>0</v>
      </c>
      <c r="O59" s="82">
        <v>0</v>
      </c>
    </row>
    <row r="60" spans="1:15" x14ac:dyDescent="0.2">
      <c r="A60" s="55">
        <v>70</v>
      </c>
      <c r="B60" s="49">
        <v>25.07</v>
      </c>
      <c r="C60" s="5">
        <v>14.77</v>
      </c>
      <c r="D60" s="5">
        <v>46.37</v>
      </c>
      <c r="E60" s="82">
        <v>28.57</v>
      </c>
      <c r="F60" s="49">
        <v>39.19</v>
      </c>
      <c r="G60" s="5">
        <v>27.87</v>
      </c>
      <c r="H60" s="5">
        <v>72.33</v>
      </c>
      <c r="I60" s="82">
        <v>51.34</v>
      </c>
      <c r="J60" s="49">
        <v>43.19</v>
      </c>
      <c r="K60" s="5">
        <v>32.979999999999997</v>
      </c>
      <c r="L60" s="5">
        <v>79.73</v>
      </c>
      <c r="M60" s="82">
        <v>60.78</v>
      </c>
      <c r="N60" s="49">
        <v>0</v>
      </c>
      <c r="O60" s="82">
        <v>0</v>
      </c>
    </row>
    <row r="61" spans="1:15" x14ac:dyDescent="0.2">
      <c r="A61" s="55">
        <v>71</v>
      </c>
      <c r="B61" s="49">
        <v>27.65</v>
      </c>
      <c r="C61" s="5">
        <v>16.329999999999998</v>
      </c>
      <c r="D61" s="5">
        <v>51.16</v>
      </c>
      <c r="E61" s="82">
        <v>31.59</v>
      </c>
      <c r="F61" s="49">
        <v>42.05</v>
      </c>
      <c r="G61" s="5">
        <v>29.84</v>
      </c>
      <c r="H61" s="5">
        <v>77.540000000000006</v>
      </c>
      <c r="I61" s="82">
        <v>54.93</v>
      </c>
      <c r="J61" s="49">
        <v>46.78</v>
      </c>
      <c r="K61" s="5">
        <v>35.47</v>
      </c>
      <c r="L61" s="5">
        <v>86.3</v>
      </c>
      <c r="M61" s="82">
        <v>65.319999999999993</v>
      </c>
      <c r="N61" s="49">
        <v>0</v>
      </c>
      <c r="O61" s="82">
        <v>0</v>
      </c>
    </row>
    <row r="62" spans="1:15" x14ac:dyDescent="0.2">
      <c r="A62" s="55">
        <v>72</v>
      </c>
      <c r="B62" s="49">
        <v>30.49</v>
      </c>
      <c r="C62" s="5">
        <v>18.059999999999999</v>
      </c>
      <c r="D62" s="5">
        <v>56.41</v>
      </c>
      <c r="E62" s="82">
        <v>34.93</v>
      </c>
      <c r="F62" s="49">
        <v>45.07</v>
      </c>
      <c r="G62" s="5">
        <v>31.85</v>
      </c>
      <c r="H62" s="5">
        <v>83.15</v>
      </c>
      <c r="I62" s="82">
        <v>58.66</v>
      </c>
      <c r="J62" s="49">
        <v>50.47</v>
      </c>
      <c r="K62" s="5">
        <v>38.049999999999997</v>
      </c>
      <c r="L62" s="5">
        <v>93.13</v>
      </c>
      <c r="M62" s="82">
        <v>70.099999999999994</v>
      </c>
      <c r="N62" s="49">
        <v>0</v>
      </c>
      <c r="O62" s="82">
        <v>0</v>
      </c>
    </row>
    <row r="63" spans="1:15" x14ac:dyDescent="0.2">
      <c r="A63" s="55">
        <v>73</v>
      </c>
      <c r="B63" s="49">
        <v>33.6</v>
      </c>
      <c r="C63" s="5">
        <v>19.96</v>
      </c>
      <c r="D63" s="5">
        <v>62.17</v>
      </c>
      <c r="E63" s="82">
        <v>38.61</v>
      </c>
      <c r="F63" s="49">
        <v>48.32</v>
      </c>
      <c r="G63" s="5">
        <v>33.93</v>
      </c>
      <c r="H63" s="5">
        <v>89.16</v>
      </c>
      <c r="I63" s="82">
        <v>62.52</v>
      </c>
      <c r="J63" s="49">
        <v>54.47</v>
      </c>
      <c r="K63" s="5">
        <v>40.75</v>
      </c>
      <c r="L63" s="5">
        <v>100.53</v>
      </c>
      <c r="M63" s="82">
        <v>75.12</v>
      </c>
      <c r="N63" s="49">
        <v>0</v>
      </c>
      <c r="O63" s="82">
        <v>0</v>
      </c>
    </row>
    <row r="64" spans="1:15" x14ac:dyDescent="0.2">
      <c r="A64" s="56">
        <v>74</v>
      </c>
      <c r="B64" s="50">
        <v>37.01</v>
      </c>
      <c r="C64" s="5">
        <v>22.07</v>
      </c>
      <c r="D64" s="5">
        <v>68.459999999999994</v>
      </c>
      <c r="E64" s="82">
        <v>42.68</v>
      </c>
      <c r="F64" s="49">
        <v>51.57</v>
      </c>
      <c r="G64" s="5">
        <v>35.9</v>
      </c>
      <c r="H64" s="5">
        <v>95.19</v>
      </c>
      <c r="I64" s="82">
        <v>66.180000000000007</v>
      </c>
      <c r="J64" s="49">
        <v>58.74</v>
      </c>
      <c r="K64" s="5">
        <v>43.57</v>
      </c>
      <c r="L64" s="5">
        <v>108.44</v>
      </c>
      <c r="M64" s="82">
        <v>80.349999999999994</v>
      </c>
      <c r="N64" s="49">
        <v>0</v>
      </c>
      <c r="O64" s="82">
        <v>0</v>
      </c>
    </row>
    <row r="65" spans="1:15" x14ac:dyDescent="0.2">
      <c r="A65" s="55">
        <v>75</v>
      </c>
      <c r="B65" s="49">
        <v>40.729999999999997</v>
      </c>
      <c r="C65" s="5">
        <v>24.38</v>
      </c>
      <c r="D65" s="5">
        <v>75.349999999999994</v>
      </c>
      <c r="E65" s="82">
        <v>47.16</v>
      </c>
      <c r="F65" s="49">
        <v>55.06</v>
      </c>
      <c r="G65" s="5">
        <v>37.950000000000003</v>
      </c>
      <c r="H65" s="5">
        <v>101.65</v>
      </c>
      <c r="I65" s="82">
        <v>69.98</v>
      </c>
      <c r="J65" s="49">
        <v>63.37</v>
      </c>
      <c r="K65" s="5">
        <v>46.57</v>
      </c>
      <c r="L65" s="5">
        <v>117.03</v>
      </c>
      <c r="M65" s="82">
        <v>85.92</v>
      </c>
      <c r="N65" s="49">
        <v>0</v>
      </c>
      <c r="O65" s="82">
        <v>0</v>
      </c>
    </row>
    <row r="66" spans="1:15" x14ac:dyDescent="0.2">
      <c r="A66" s="55">
        <v>76</v>
      </c>
      <c r="B66" s="49">
        <v>44.8</v>
      </c>
      <c r="C66" s="5">
        <v>26.94</v>
      </c>
      <c r="D66" s="5">
        <v>82.88</v>
      </c>
      <c r="E66" s="82">
        <v>52.11</v>
      </c>
      <c r="F66" s="49">
        <v>58.78</v>
      </c>
      <c r="G66" s="5">
        <v>40.08</v>
      </c>
      <c r="H66" s="5">
        <v>108.55</v>
      </c>
      <c r="I66" s="82">
        <v>73.930000000000007</v>
      </c>
      <c r="J66" s="49">
        <v>68.39</v>
      </c>
      <c r="K66" s="5">
        <v>49.76</v>
      </c>
      <c r="L66" s="5">
        <v>126.33</v>
      </c>
      <c r="M66" s="82">
        <v>91.83</v>
      </c>
      <c r="N66" s="49">
        <v>0</v>
      </c>
      <c r="O66" s="82">
        <v>0</v>
      </c>
    </row>
    <row r="67" spans="1:15" x14ac:dyDescent="0.2">
      <c r="A67" s="55">
        <v>77</v>
      </c>
      <c r="B67" s="49">
        <v>49.24</v>
      </c>
      <c r="C67" s="5">
        <v>29.76</v>
      </c>
      <c r="D67" s="5">
        <v>91.1</v>
      </c>
      <c r="E67" s="82">
        <v>57.56</v>
      </c>
      <c r="F67" s="49">
        <v>62.78</v>
      </c>
      <c r="G67" s="5">
        <v>42.28</v>
      </c>
      <c r="H67" s="5">
        <v>115.95</v>
      </c>
      <c r="I67" s="82">
        <v>78.010000000000005</v>
      </c>
      <c r="J67" s="49">
        <v>73.849999999999994</v>
      </c>
      <c r="K67" s="5">
        <v>53.15</v>
      </c>
      <c r="L67" s="5">
        <v>136.44</v>
      </c>
      <c r="M67" s="82">
        <v>98.11</v>
      </c>
      <c r="N67" s="49">
        <v>0</v>
      </c>
      <c r="O67" s="82">
        <v>0</v>
      </c>
    </row>
    <row r="68" spans="1:15" x14ac:dyDescent="0.2">
      <c r="A68" s="55">
        <v>78</v>
      </c>
      <c r="B68" s="49">
        <v>54.1</v>
      </c>
      <c r="C68" s="5">
        <v>32.869999999999997</v>
      </c>
      <c r="D68" s="5">
        <v>100.08</v>
      </c>
      <c r="E68" s="82">
        <v>63.58</v>
      </c>
      <c r="F68" s="49">
        <v>67.08</v>
      </c>
      <c r="G68" s="5">
        <v>44.59</v>
      </c>
      <c r="H68" s="5">
        <v>123.92</v>
      </c>
      <c r="I68" s="82">
        <v>82.3</v>
      </c>
      <c r="J68" s="49">
        <v>79.8</v>
      </c>
      <c r="K68" s="5">
        <v>56.78</v>
      </c>
      <c r="L68" s="5">
        <v>147.44999999999999</v>
      </c>
      <c r="M68" s="82">
        <v>104.84</v>
      </c>
      <c r="N68" s="49">
        <v>0</v>
      </c>
      <c r="O68" s="82">
        <v>0</v>
      </c>
    </row>
    <row r="69" spans="1:15" x14ac:dyDescent="0.2">
      <c r="A69" s="56">
        <v>79</v>
      </c>
      <c r="B69" s="50">
        <v>59.39</v>
      </c>
      <c r="C69" s="5">
        <v>36.299999999999997</v>
      </c>
      <c r="D69" s="5">
        <v>109.88</v>
      </c>
      <c r="E69" s="82">
        <v>70.2</v>
      </c>
      <c r="F69" s="49">
        <v>70.94</v>
      </c>
      <c r="G69" s="5">
        <v>46.25</v>
      </c>
      <c r="H69" s="5">
        <v>131.07</v>
      </c>
      <c r="I69" s="82">
        <v>85.38</v>
      </c>
      <c r="J69" s="49">
        <v>85.96</v>
      </c>
      <c r="K69" s="5">
        <v>60.28</v>
      </c>
      <c r="L69" s="5">
        <v>158.86000000000001</v>
      </c>
      <c r="M69" s="82">
        <v>111.31</v>
      </c>
      <c r="N69" s="49">
        <v>0</v>
      </c>
      <c r="O69" s="82">
        <v>0</v>
      </c>
    </row>
    <row r="70" spans="1:15" x14ac:dyDescent="0.2">
      <c r="A70" s="55">
        <v>80</v>
      </c>
      <c r="B70" s="49">
        <v>65.16</v>
      </c>
      <c r="C70" s="5">
        <v>40.07</v>
      </c>
      <c r="D70" s="5">
        <v>120.54</v>
      </c>
      <c r="E70" s="82">
        <v>77.5</v>
      </c>
      <c r="F70" s="49">
        <v>75.02</v>
      </c>
      <c r="G70" s="5">
        <v>47.83</v>
      </c>
      <c r="H70" s="5">
        <v>138.62</v>
      </c>
      <c r="I70" s="82">
        <v>88.31</v>
      </c>
      <c r="J70" s="49">
        <v>92.64</v>
      </c>
      <c r="K70" s="5">
        <v>63.9</v>
      </c>
      <c r="L70" s="5">
        <v>171.23</v>
      </c>
      <c r="M70" s="82">
        <v>118.03</v>
      </c>
      <c r="N70" s="49">
        <v>0</v>
      </c>
      <c r="O70" s="82">
        <v>0</v>
      </c>
    </row>
    <row r="71" spans="1:15" x14ac:dyDescent="0.2">
      <c r="A71" s="55">
        <v>81</v>
      </c>
      <c r="B71" s="49">
        <v>71.38</v>
      </c>
      <c r="C71" s="5">
        <v>44.22</v>
      </c>
      <c r="D71" s="5">
        <v>132.06</v>
      </c>
      <c r="E71" s="82">
        <v>85.53</v>
      </c>
      <c r="F71" s="49">
        <v>79.31</v>
      </c>
      <c r="G71" s="5">
        <v>49.3</v>
      </c>
      <c r="H71" s="5">
        <v>146.57</v>
      </c>
      <c r="I71" s="82">
        <v>91.03</v>
      </c>
      <c r="J71" s="49">
        <v>99.86</v>
      </c>
      <c r="K71" s="5">
        <v>68.67</v>
      </c>
      <c r="L71" s="5">
        <v>184.6</v>
      </c>
      <c r="M71" s="82">
        <v>126.86</v>
      </c>
      <c r="N71" s="49">
        <v>0</v>
      </c>
      <c r="O71" s="82">
        <v>0</v>
      </c>
    </row>
    <row r="72" spans="1:15" x14ac:dyDescent="0.2">
      <c r="A72" s="55">
        <v>82</v>
      </c>
      <c r="B72" s="49">
        <v>78.09</v>
      </c>
      <c r="C72" s="5">
        <v>48.79</v>
      </c>
      <c r="D72" s="5">
        <v>144.47999999999999</v>
      </c>
      <c r="E72" s="82">
        <v>94.36</v>
      </c>
      <c r="F72" s="49">
        <v>83.77</v>
      </c>
      <c r="G72" s="5">
        <v>50.37</v>
      </c>
      <c r="H72" s="5">
        <v>154.83000000000001</v>
      </c>
      <c r="I72" s="82">
        <v>93.03</v>
      </c>
      <c r="J72" s="49">
        <v>107.58</v>
      </c>
      <c r="K72" s="5">
        <v>75.39</v>
      </c>
      <c r="L72" s="5">
        <v>198.89</v>
      </c>
      <c r="M72" s="82">
        <v>139.30000000000001</v>
      </c>
      <c r="N72" s="49">
        <v>0</v>
      </c>
      <c r="O72" s="82">
        <v>0</v>
      </c>
    </row>
    <row r="73" spans="1:15" x14ac:dyDescent="0.2">
      <c r="A73" s="55">
        <v>83</v>
      </c>
      <c r="B73" s="49">
        <v>85.31</v>
      </c>
      <c r="C73" s="5">
        <v>53.81</v>
      </c>
      <c r="D73" s="5">
        <v>157.83000000000001</v>
      </c>
      <c r="E73" s="82">
        <v>104.08</v>
      </c>
      <c r="F73" s="49">
        <v>88.37</v>
      </c>
      <c r="G73" s="5">
        <v>51.49</v>
      </c>
      <c r="H73" s="5">
        <v>163.35</v>
      </c>
      <c r="I73" s="82">
        <v>95.09</v>
      </c>
      <c r="J73" s="49">
        <v>115.79</v>
      </c>
      <c r="K73" s="5">
        <v>83.15</v>
      </c>
      <c r="L73" s="5">
        <v>214.07</v>
      </c>
      <c r="M73" s="82">
        <v>153.66</v>
      </c>
      <c r="N73" s="49">
        <v>0</v>
      </c>
      <c r="O73" s="82">
        <v>0</v>
      </c>
    </row>
    <row r="74" spans="1:15" x14ac:dyDescent="0.2">
      <c r="A74" s="56">
        <v>84</v>
      </c>
      <c r="B74" s="50">
        <v>93.06</v>
      </c>
      <c r="C74" s="5">
        <v>59.33</v>
      </c>
      <c r="D74" s="5">
        <v>172.17</v>
      </c>
      <c r="E74" s="82">
        <v>114.75</v>
      </c>
      <c r="F74" s="49">
        <v>91.5</v>
      </c>
      <c r="G74" s="5">
        <v>52.32</v>
      </c>
      <c r="H74" s="5">
        <v>169.15</v>
      </c>
      <c r="I74" s="82">
        <v>96.65</v>
      </c>
      <c r="J74" s="49">
        <v>123.76</v>
      </c>
      <c r="K74" s="5">
        <v>91.68</v>
      </c>
      <c r="L74" s="5">
        <v>228.83</v>
      </c>
      <c r="M74" s="82">
        <v>169.45</v>
      </c>
      <c r="N74" s="49">
        <v>0</v>
      </c>
      <c r="O74" s="82">
        <v>0</v>
      </c>
    </row>
    <row r="75" spans="1:15" x14ac:dyDescent="0.2">
      <c r="A75" s="55">
        <v>85</v>
      </c>
      <c r="B75" s="49">
        <v>101.37</v>
      </c>
      <c r="C75" s="5">
        <v>65.39</v>
      </c>
      <c r="D75" s="5">
        <v>187.54</v>
      </c>
      <c r="E75" s="82">
        <v>126.47</v>
      </c>
      <c r="F75" s="49">
        <v>94.51</v>
      </c>
      <c r="G75" s="5">
        <v>52.9</v>
      </c>
      <c r="H75" s="5">
        <v>174.71</v>
      </c>
      <c r="I75" s="82">
        <v>97.72</v>
      </c>
      <c r="J75" s="49">
        <v>132.55000000000001</v>
      </c>
      <c r="K75" s="5">
        <v>101.06</v>
      </c>
      <c r="L75" s="5">
        <v>245.1</v>
      </c>
      <c r="M75" s="82">
        <v>186.8</v>
      </c>
      <c r="N75" s="49">
        <v>0</v>
      </c>
      <c r="O75" s="82">
        <v>0</v>
      </c>
    </row>
    <row r="76" spans="1:15" x14ac:dyDescent="0.2">
      <c r="A76" s="55">
        <v>86</v>
      </c>
      <c r="B76" s="49">
        <v>110.26</v>
      </c>
      <c r="C76" s="5">
        <v>72.040000000000006</v>
      </c>
      <c r="D76" s="5">
        <v>203.98</v>
      </c>
      <c r="E76" s="82">
        <v>139.32</v>
      </c>
      <c r="F76" s="49">
        <v>97.35</v>
      </c>
      <c r="G76" s="5">
        <v>53.23</v>
      </c>
      <c r="H76" s="5">
        <v>179.97</v>
      </c>
      <c r="I76" s="82">
        <v>98.34</v>
      </c>
      <c r="J76" s="49">
        <v>144.36000000000001</v>
      </c>
      <c r="K76" s="5">
        <v>111.35</v>
      </c>
      <c r="L76" s="5">
        <v>266.93</v>
      </c>
      <c r="M76" s="82">
        <v>205.86</v>
      </c>
      <c r="N76" s="49">
        <v>0</v>
      </c>
      <c r="O76" s="82">
        <v>0</v>
      </c>
    </row>
    <row r="77" spans="1:15" x14ac:dyDescent="0.2">
      <c r="A77" s="55">
        <v>87</v>
      </c>
      <c r="B77" s="49">
        <v>119.74</v>
      </c>
      <c r="C77" s="5">
        <v>79.319999999999993</v>
      </c>
      <c r="D77" s="5">
        <v>221.53</v>
      </c>
      <c r="E77" s="82">
        <v>153.41999999999999</v>
      </c>
      <c r="F77" s="49">
        <v>99.97</v>
      </c>
      <c r="G77" s="5">
        <v>53.3</v>
      </c>
      <c r="H77" s="5">
        <v>184.82</v>
      </c>
      <c r="I77" s="82">
        <v>98.47</v>
      </c>
      <c r="J77" s="49">
        <v>156.97999999999999</v>
      </c>
      <c r="K77" s="5">
        <v>122.65</v>
      </c>
      <c r="L77" s="5">
        <v>290.29000000000002</v>
      </c>
      <c r="M77" s="82">
        <v>226.76</v>
      </c>
      <c r="N77" s="49">
        <v>0</v>
      </c>
      <c r="O77" s="82">
        <v>0</v>
      </c>
    </row>
    <row r="78" spans="1:15" x14ac:dyDescent="0.2">
      <c r="A78" s="55">
        <v>88</v>
      </c>
      <c r="B78" s="49">
        <v>129.85</v>
      </c>
      <c r="C78" s="5">
        <v>87.3</v>
      </c>
      <c r="D78" s="5">
        <v>240.22</v>
      </c>
      <c r="E78" s="82">
        <v>168.85</v>
      </c>
      <c r="F78" s="49">
        <v>102.28</v>
      </c>
      <c r="G78" s="158">
        <v>55.97</v>
      </c>
      <c r="H78" s="5">
        <v>189.1</v>
      </c>
      <c r="I78" s="159">
        <v>103.39</v>
      </c>
      <c r="J78" s="49">
        <v>170.45</v>
      </c>
      <c r="K78" s="5">
        <v>135.03</v>
      </c>
      <c r="L78" s="5">
        <v>315.23</v>
      </c>
      <c r="M78" s="82">
        <v>249.67</v>
      </c>
      <c r="N78" s="49">
        <v>0</v>
      </c>
      <c r="O78" s="82">
        <v>0</v>
      </c>
    </row>
    <row r="79" spans="1:15" x14ac:dyDescent="0.2">
      <c r="A79" s="56">
        <v>89</v>
      </c>
      <c r="B79" s="50">
        <v>140.59</v>
      </c>
      <c r="C79" s="5">
        <v>96.03</v>
      </c>
      <c r="D79" s="5">
        <v>260.10000000000002</v>
      </c>
      <c r="E79" s="82">
        <v>185.73</v>
      </c>
      <c r="F79" s="49">
        <v>103.39</v>
      </c>
      <c r="G79" s="158">
        <v>58.76</v>
      </c>
      <c r="H79" s="5">
        <v>191.16</v>
      </c>
      <c r="I79" s="159">
        <v>108.56</v>
      </c>
      <c r="J79" s="49">
        <v>184.81</v>
      </c>
      <c r="K79" s="5">
        <v>148.59</v>
      </c>
      <c r="L79" s="5">
        <v>341.79</v>
      </c>
      <c r="M79" s="82">
        <v>274.76</v>
      </c>
      <c r="N79" s="49">
        <v>0</v>
      </c>
      <c r="O79" s="82">
        <v>0</v>
      </c>
    </row>
    <row r="80" spans="1:15" x14ac:dyDescent="0.2">
      <c r="A80" s="55">
        <v>90</v>
      </c>
      <c r="B80" s="49">
        <v>151.99</v>
      </c>
      <c r="C80" s="5">
        <v>105.56</v>
      </c>
      <c r="D80" s="5">
        <v>281.18</v>
      </c>
      <c r="E80" s="82">
        <v>204.17</v>
      </c>
      <c r="F80" s="157">
        <v>108.56</v>
      </c>
      <c r="G80" s="158">
        <v>61.7</v>
      </c>
      <c r="H80" s="158">
        <v>200.72</v>
      </c>
      <c r="I80" s="159">
        <v>113.99</v>
      </c>
      <c r="J80" s="49">
        <v>200.07</v>
      </c>
      <c r="K80" s="5">
        <v>163.41999999999999</v>
      </c>
      <c r="L80" s="5">
        <v>370.02</v>
      </c>
      <c r="M80" s="82">
        <v>302.20999999999998</v>
      </c>
      <c r="N80" s="49">
        <v>0</v>
      </c>
      <c r="O80" s="82">
        <v>0</v>
      </c>
    </row>
    <row r="81" spans="1:15" x14ac:dyDescent="0.2">
      <c r="A81" s="55">
        <v>91</v>
      </c>
      <c r="B81" s="49">
        <v>164.05</v>
      </c>
      <c r="C81" s="5">
        <v>115.97</v>
      </c>
      <c r="D81" s="5">
        <v>303.49</v>
      </c>
      <c r="E81" s="82">
        <v>224.29</v>
      </c>
      <c r="F81" s="157">
        <v>113.99</v>
      </c>
      <c r="G81" s="158">
        <v>64.790000000000006</v>
      </c>
      <c r="H81" s="158">
        <v>210.75</v>
      </c>
      <c r="I81" s="159">
        <v>119.69</v>
      </c>
      <c r="J81" s="49">
        <v>216.25</v>
      </c>
      <c r="K81" s="5">
        <v>179.63</v>
      </c>
      <c r="L81" s="5">
        <v>399.96</v>
      </c>
      <c r="M81" s="82">
        <v>332.19</v>
      </c>
      <c r="N81" s="49">
        <v>0</v>
      </c>
      <c r="O81" s="82">
        <v>0</v>
      </c>
    </row>
    <row r="82" spans="1:15" x14ac:dyDescent="0.2">
      <c r="A82" s="55">
        <v>92</v>
      </c>
      <c r="B82" s="49">
        <v>176.78</v>
      </c>
      <c r="C82" s="5">
        <v>127.3</v>
      </c>
      <c r="D82" s="5">
        <v>327.05</v>
      </c>
      <c r="E82" s="82">
        <v>246.22</v>
      </c>
      <c r="F82" s="157">
        <v>119.69</v>
      </c>
      <c r="G82" s="158">
        <v>70.010000000000005</v>
      </c>
      <c r="H82" s="158">
        <v>221.29</v>
      </c>
      <c r="I82" s="159">
        <v>125.68</v>
      </c>
      <c r="J82" s="49">
        <v>233.37</v>
      </c>
      <c r="K82" s="5">
        <v>197.31</v>
      </c>
      <c r="L82" s="5">
        <v>431.65</v>
      </c>
      <c r="M82" s="82">
        <v>364.91</v>
      </c>
      <c r="N82" s="49">
        <v>0</v>
      </c>
      <c r="O82" s="82">
        <v>0</v>
      </c>
    </row>
    <row r="83" spans="1:15" x14ac:dyDescent="0.2">
      <c r="A83" s="55">
        <v>93</v>
      </c>
      <c r="B83" s="49">
        <v>190.19</v>
      </c>
      <c r="C83" s="5">
        <v>139.63</v>
      </c>
      <c r="D83" s="5">
        <v>351.85</v>
      </c>
      <c r="E83" s="82">
        <v>270.07</v>
      </c>
      <c r="F83" s="157">
        <v>125.67</v>
      </c>
      <c r="G83" s="158">
        <v>76.95</v>
      </c>
      <c r="H83" s="158">
        <v>232.36</v>
      </c>
      <c r="I83" s="159">
        <v>131.96</v>
      </c>
      <c r="J83" s="49">
        <v>251.45</v>
      </c>
      <c r="K83" s="5">
        <v>216.58</v>
      </c>
      <c r="L83" s="5">
        <v>465.1</v>
      </c>
      <c r="M83" s="82">
        <v>400.57</v>
      </c>
      <c r="N83" s="49">
        <v>0</v>
      </c>
      <c r="O83" s="82">
        <v>0</v>
      </c>
    </row>
    <row r="84" spans="1:15" x14ac:dyDescent="0.2">
      <c r="A84" s="56">
        <v>94</v>
      </c>
      <c r="B84" s="50">
        <v>204.27</v>
      </c>
      <c r="C84" s="5">
        <v>153.02000000000001</v>
      </c>
      <c r="D84" s="5">
        <v>377.91</v>
      </c>
      <c r="E84" s="82">
        <v>295.95999999999998</v>
      </c>
      <c r="F84" s="157">
        <v>131.94999999999999</v>
      </c>
      <c r="G84" s="158">
        <v>84.53</v>
      </c>
      <c r="H84" s="158">
        <v>243.97</v>
      </c>
      <c r="I84" s="159">
        <v>143.38999999999999</v>
      </c>
      <c r="J84" s="49">
        <v>270.49</v>
      </c>
      <c r="K84" s="5">
        <v>237.55</v>
      </c>
      <c r="L84" s="5">
        <v>500.32</v>
      </c>
      <c r="M84" s="82">
        <v>439.35</v>
      </c>
      <c r="N84" s="49">
        <v>0</v>
      </c>
      <c r="O84" s="82">
        <v>0</v>
      </c>
    </row>
    <row r="85" spans="1:15" x14ac:dyDescent="0.2">
      <c r="A85" s="55">
        <v>95</v>
      </c>
      <c r="B85" s="49">
        <v>219.03</v>
      </c>
      <c r="C85" s="5">
        <v>167.53</v>
      </c>
      <c r="D85" s="5">
        <v>405.2</v>
      </c>
      <c r="E85" s="82">
        <v>324.02</v>
      </c>
      <c r="F85" s="157">
        <v>138.55000000000001</v>
      </c>
      <c r="G85" s="158">
        <v>92.78</v>
      </c>
      <c r="H85" s="158">
        <v>256.17</v>
      </c>
      <c r="I85" s="159">
        <v>157.44999999999999</v>
      </c>
      <c r="J85" s="49">
        <v>290.48</v>
      </c>
      <c r="K85" s="5">
        <v>260.31</v>
      </c>
      <c r="L85" s="5">
        <v>537.30999999999995</v>
      </c>
      <c r="M85" s="82">
        <v>481.47</v>
      </c>
      <c r="N85" s="49">
        <v>0</v>
      </c>
      <c r="O85" s="82">
        <v>0</v>
      </c>
    </row>
    <row r="86" spans="1:15" x14ac:dyDescent="0.2">
      <c r="A86" s="55">
        <v>96</v>
      </c>
      <c r="B86" s="49">
        <v>234.44</v>
      </c>
      <c r="C86" s="5">
        <v>183.22</v>
      </c>
      <c r="D86" s="5">
        <v>433.71</v>
      </c>
      <c r="E86" s="82">
        <v>354.37</v>
      </c>
      <c r="F86" s="157">
        <v>145.47999999999999</v>
      </c>
      <c r="G86" s="158">
        <v>101.76</v>
      </c>
      <c r="H86" s="158">
        <v>268.98</v>
      </c>
      <c r="I86" s="159">
        <v>172.73</v>
      </c>
      <c r="J86" s="49">
        <v>311.43</v>
      </c>
      <c r="K86" s="5">
        <v>284.98</v>
      </c>
      <c r="L86" s="5">
        <v>576.04999999999995</v>
      </c>
      <c r="M86" s="82">
        <v>527.1</v>
      </c>
      <c r="N86" s="49">
        <v>0</v>
      </c>
      <c r="O86" s="82">
        <v>0</v>
      </c>
    </row>
    <row r="87" spans="1:15" x14ac:dyDescent="0.2">
      <c r="A87" s="55">
        <v>97</v>
      </c>
      <c r="B87" s="49">
        <v>250.49</v>
      </c>
      <c r="C87" s="5">
        <v>200.15</v>
      </c>
      <c r="D87" s="5">
        <v>463.4</v>
      </c>
      <c r="E87" s="82">
        <v>387.1</v>
      </c>
      <c r="F87" s="157">
        <v>152.75</v>
      </c>
      <c r="G87" s="158">
        <v>111.5</v>
      </c>
      <c r="H87" s="158">
        <v>282.43</v>
      </c>
      <c r="I87" s="159">
        <v>189.36</v>
      </c>
      <c r="J87" s="49">
        <v>333.3</v>
      </c>
      <c r="K87" s="5">
        <v>311.64999999999998</v>
      </c>
      <c r="L87" s="5">
        <v>616.52</v>
      </c>
      <c r="M87" s="82">
        <v>576.46</v>
      </c>
      <c r="N87" s="49">
        <v>0</v>
      </c>
      <c r="O87" s="82">
        <v>0</v>
      </c>
    </row>
    <row r="88" spans="1:15" x14ac:dyDescent="0.2">
      <c r="A88" s="55">
        <v>98</v>
      </c>
      <c r="B88" s="49">
        <v>267.16000000000003</v>
      </c>
      <c r="C88" s="5">
        <v>218.35</v>
      </c>
      <c r="D88" s="5">
        <v>494.24</v>
      </c>
      <c r="E88" s="82">
        <v>422.32</v>
      </c>
      <c r="F88" s="157">
        <v>160.38999999999999</v>
      </c>
      <c r="G88" s="158">
        <v>122.08</v>
      </c>
      <c r="H88" s="158">
        <v>296.55</v>
      </c>
      <c r="I88" s="159">
        <v>207.37</v>
      </c>
      <c r="J88" s="49">
        <v>356.08</v>
      </c>
      <c r="K88" s="5">
        <v>340.43</v>
      </c>
      <c r="L88" s="5">
        <v>658.66</v>
      </c>
      <c r="M88" s="82">
        <v>629.69000000000005</v>
      </c>
      <c r="N88" s="49">
        <v>0</v>
      </c>
      <c r="O88" s="82">
        <v>0</v>
      </c>
    </row>
    <row r="89" spans="1:15" x14ac:dyDescent="0.2">
      <c r="A89" s="56">
        <v>99</v>
      </c>
      <c r="B89" s="50">
        <v>284.41000000000003</v>
      </c>
      <c r="C89" s="5">
        <v>237.89</v>
      </c>
      <c r="D89" s="5">
        <v>526.16</v>
      </c>
      <c r="E89" s="82">
        <v>460.09</v>
      </c>
      <c r="F89" s="157">
        <v>168.41</v>
      </c>
      <c r="G89" s="158">
        <v>133.49</v>
      </c>
      <c r="H89" s="158">
        <v>311.38</v>
      </c>
      <c r="I89" s="159">
        <v>226.87</v>
      </c>
      <c r="J89" s="49">
        <v>379.72</v>
      </c>
      <c r="K89" s="5">
        <v>371.38</v>
      </c>
      <c r="L89" s="5">
        <v>702.41</v>
      </c>
      <c r="M89" s="82">
        <v>686.96</v>
      </c>
      <c r="N89" s="49">
        <v>0</v>
      </c>
      <c r="O89" s="82">
        <v>0</v>
      </c>
    </row>
    <row r="90" spans="1:15" ht="13.5" thickBot="1" x14ac:dyDescent="0.25">
      <c r="A90" s="57">
        <v>100</v>
      </c>
      <c r="B90" s="60">
        <v>284.41000000000003</v>
      </c>
      <c r="C90" s="61">
        <v>237.89</v>
      </c>
      <c r="D90" s="61">
        <v>526.16</v>
      </c>
      <c r="E90" s="83">
        <v>460.09</v>
      </c>
      <c r="F90" s="160">
        <v>168.41</v>
      </c>
      <c r="G90" s="161">
        <v>133.49</v>
      </c>
      <c r="H90" s="161">
        <v>311.38</v>
      </c>
      <c r="I90" s="162">
        <v>226.87</v>
      </c>
      <c r="J90" s="62">
        <v>379.72</v>
      </c>
      <c r="K90" s="61">
        <v>371.38</v>
      </c>
      <c r="L90" s="61">
        <v>702.41</v>
      </c>
      <c r="M90" s="83">
        <v>686.96</v>
      </c>
      <c r="N90" s="62">
        <v>0</v>
      </c>
      <c r="O90" s="83">
        <v>0</v>
      </c>
    </row>
    <row r="92" spans="1:15" x14ac:dyDescent="0.2">
      <c r="F92" s="163"/>
      <c r="G92" s="163"/>
      <c r="H92" s="163"/>
      <c r="I92" s="163"/>
    </row>
    <row r="93" spans="1:15" x14ac:dyDescent="0.2">
      <c r="F93" s="163"/>
      <c r="G93" s="163"/>
      <c r="H93" s="163"/>
      <c r="I93" s="163"/>
    </row>
    <row r="94" spans="1:15" x14ac:dyDescent="0.2">
      <c r="F94" s="163"/>
      <c r="G94" s="163"/>
      <c r="H94" s="163"/>
      <c r="I94" s="163"/>
    </row>
    <row r="95" spans="1:15" x14ac:dyDescent="0.2">
      <c r="F95" s="163"/>
      <c r="G95" s="163"/>
      <c r="H95" s="163"/>
      <c r="I95" s="163"/>
    </row>
    <row r="96" spans="1:15" x14ac:dyDescent="0.2">
      <c r="F96" s="163"/>
      <c r="G96" s="163"/>
      <c r="H96" s="163"/>
      <c r="I96" s="163"/>
    </row>
    <row r="97" spans="6:9" x14ac:dyDescent="0.2">
      <c r="F97" s="163"/>
      <c r="G97" s="163"/>
      <c r="H97" s="163"/>
      <c r="I97" s="163"/>
    </row>
    <row r="98" spans="6:9" x14ac:dyDescent="0.2">
      <c r="F98" s="163"/>
      <c r="G98" s="163"/>
      <c r="H98" s="163"/>
      <c r="I98" s="163"/>
    </row>
    <row r="99" spans="6:9" x14ac:dyDescent="0.2">
      <c r="F99" s="163"/>
      <c r="G99" s="163"/>
      <c r="H99" s="163"/>
      <c r="I99" s="163"/>
    </row>
    <row r="100" spans="6:9" x14ac:dyDescent="0.2">
      <c r="F100" s="163"/>
      <c r="G100" s="163"/>
      <c r="H100" s="163"/>
      <c r="I100" s="163"/>
    </row>
    <row r="101" spans="6:9" x14ac:dyDescent="0.2">
      <c r="F101" s="163"/>
      <c r="G101" s="163"/>
      <c r="H101" s="163"/>
      <c r="I101" s="163"/>
    </row>
    <row r="102" spans="6:9" x14ac:dyDescent="0.2">
      <c r="F102" s="163"/>
      <c r="G102" s="163"/>
      <c r="H102" s="163"/>
      <c r="I102" s="163"/>
    </row>
    <row r="103" spans="6:9" x14ac:dyDescent="0.2">
      <c r="F103" s="163"/>
      <c r="G103" s="163"/>
      <c r="H103" s="163"/>
      <c r="I103" s="163"/>
    </row>
    <row r="104" spans="6:9" x14ac:dyDescent="0.2">
      <c r="F104" s="163"/>
      <c r="G104" s="163"/>
      <c r="H104" s="163"/>
      <c r="I104" s="163"/>
    </row>
  </sheetData>
  <mergeCells count="1">
    <mergeCell ref="N1:O1"/>
  </mergeCells>
  <phoneticPr fontId="0" type="noConversion"/>
  <pageMargins left="0.75" right="0.75" top="1" bottom="1" header="0.5" footer="0.5"/>
  <pageSetup paperSize="9" scale="67" fitToHeight="3" orientation="landscape" r:id="rId1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autoPageBreaks="0"/>
  </sheetPr>
  <dimension ref="A1:AL1003"/>
  <sheetViews>
    <sheetView workbookViewId="0">
      <pane xSplit="1" ySplit="2" topLeftCell="O3" activePane="bottomRight" state="frozen"/>
      <selection pane="topRight"/>
      <selection pane="bottomLeft"/>
      <selection pane="bottomRight" activeCell="U3" sqref="U3"/>
    </sheetView>
  </sheetViews>
  <sheetFormatPr defaultRowHeight="12.75" x14ac:dyDescent="0.2"/>
  <cols>
    <col min="1" max="2" width="9.140625" style="9"/>
    <col min="3" max="3" width="8.28515625" customWidth="1"/>
    <col min="4" max="5" width="10.42578125" customWidth="1"/>
    <col min="6" max="6" width="12.7109375" customWidth="1"/>
    <col min="7" max="7" width="9.140625" style="9"/>
    <col min="8" max="8" width="8.28515625" customWidth="1"/>
    <col min="9" max="10" width="10.42578125" customWidth="1"/>
    <col min="11" max="11" width="12.7109375" customWidth="1"/>
    <col min="12" max="12" width="13.7109375" customWidth="1"/>
    <col min="13" max="13" width="10.42578125" customWidth="1"/>
    <col min="14" max="14" width="12.7109375" customWidth="1"/>
    <col min="15" max="15" width="1.7109375" customWidth="1"/>
    <col min="16" max="20" width="10.7109375" customWidth="1"/>
    <col min="21" max="21" width="13.5703125" customWidth="1"/>
    <col min="24" max="24" width="5.140625" bestFit="1" customWidth="1"/>
    <col min="25" max="25" width="7.5703125" bestFit="1" customWidth="1"/>
    <col min="26" max="26" width="4.85546875" bestFit="1" customWidth="1"/>
    <col min="27" max="27" width="7.5703125" bestFit="1" customWidth="1"/>
    <col min="32" max="32" width="10.28515625" bestFit="1" customWidth="1"/>
    <col min="33" max="33" width="14" bestFit="1" customWidth="1"/>
  </cols>
  <sheetData>
    <row r="1" spans="1:38" x14ac:dyDescent="0.2">
      <c r="A1" s="1" t="s">
        <v>138</v>
      </c>
      <c r="B1" s="1" t="s">
        <v>139</v>
      </c>
      <c r="C1" s="1" t="s">
        <v>140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140</v>
      </c>
      <c r="I1" s="1" t="s">
        <v>141</v>
      </c>
      <c r="J1" s="1" t="s">
        <v>142</v>
      </c>
      <c r="K1" s="1" t="s">
        <v>145</v>
      </c>
      <c r="L1" s="1" t="s">
        <v>146</v>
      </c>
      <c r="M1" s="1" t="s">
        <v>147</v>
      </c>
      <c r="N1" s="1" t="s">
        <v>71</v>
      </c>
      <c r="P1" s="1" t="s">
        <v>148</v>
      </c>
      <c r="Q1" s="1" t="s">
        <v>149</v>
      </c>
      <c r="R1" s="1" t="s">
        <v>150</v>
      </c>
      <c r="S1" s="1" t="s">
        <v>151</v>
      </c>
      <c r="T1" s="1" t="s">
        <v>152</v>
      </c>
      <c r="U1" s="1" t="s">
        <v>153</v>
      </c>
    </row>
    <row r="2" spans="1:38" x14ac:dyDescent="0.2">
      <c r="A2" s="1"/>
      <c r="B2" s="1"/>
      <c r="C2" s="1" t="s">
        <v>139</v>
      </c>
      <c r="D2" s="1"/>
      <c r="E2" s="1"/>
      <c r="F2" s="1">
        <f>CHOOSE(PARAM!B42,2,6,10)+CHOOSE(PARAM!D38,0,2)+CHOOSE(PARAM!C38,0,1)</f>
        <v>2</v>
      </c>
      <c r="G2" s="1"/>
      <c r="H2" s="1" t="s">
        <v>144</v>
      </c>
      <c r="I2" s="1"/>
      <c r="J2" s="1"/>
      <c r="K2" s="1">
        <f>CHOOSE(PARAM!B42,2,6,10)+CHOOSE(PARAM!D39,0,2)+CHOOSE(PARAM!C39,0,1)</f>
        <v>3</v>
      </c>
      <c r="L2" s="1">
        <f>IF(F3&lt;K3,1,2)</f>
        <v>2</v>
      </c>
      <c r="M2" s="1"/>
      <c r="N2" s="1">
        <f>CHOOSE(PARAM!C38,14,15)</f>
        <v>14</v>
      </c>
      <c r="P2" s="1"/>
      <c r="Q2" s="1"/>
      <c r="R2" s="1"/>
      <c r="S2" s="1"/>
      <c r="T2" s="1"/>
      <c r="U2" s="1"/>
      <c r="X2" t="s">
        <v>267</v>
      </c>
      <c r="Y2" t="s">
        <v>269</v>
      </c>
      <c r="Z2" t="s">
        <v>268</v>
      </c>
      <c r="AA2" t="s">
        <v>270</v>
      </c>
      <c r="AE2" t="s">
        <v>263</v>
      </c>
    </row>
    <row r="3" spans="1:38" x14ac:dyDescent="0.2">
      <c r="A3" s="9">
        <v>0</v>
      </c>
      <c r="B3" s="178">
        <f>PARAM!B38</f>
        <v>31</v>
      </c>
      <c r="C3" s="178">
        <f>PARAM!F38</f>
        <v>31</v>
      </c>
      <c r="D3" s="2">
        <f>PARAM!$H$38</f>
        <v>1</v>
      </c>
      <c r="E3" s="11">
        <f>PARAM!$G$38</f>
        <v>0</v>
      </c>
      <c r="F3" s="11">
        <f>(VLOOKUP(C3,DEDN!$A$8:$O$902,$F$2)*D3+E3)/1000</f>
        <v>4.7999999999999996E-4</v>
      </c>
      <c r="G3" s="178">
        <f>PARAM!B39</f>
        <v>0</v>
      </c>
      <c r="H3" s="178">
        <f>PARAM!F39</f>
        <v>0</v>
      </c>
      <c r="I3" s="2">
        <f>PARAM!$H$39</f>
        <v>0</v>
      </c>
      <c r="J3" s="11">
        <f>PARAM!$G$39</f>
        <v>0</v>
      </c>
      <c r="K3" s="11">
        <f>(VLOOKUP(H3,DEDN!$A$8:$O$902,$K$2)*I3+J3)/1000</f>
        <v>0</v>
      </c>
      <c r="L3" s="11">
        <f>MIN(IF(PARAM!$B$43=3,CHOOSE($L$2,F3,K3),F3+K3-F3*K3),1)</f>
        <v>4.7999999999999996E-4</v>
      </c>
      <c r="M3" s="2">
        <f>PARAM!$I$38</f>
        <v>0</v>
      </c>
      <c r="N3" s="11">
        <f>VLOOKUP(B3,DEDN!$A$8:$O$90,$N$2)*M3</f>
        <v>0</v>
      </c>
      <c r="O3" s="12"/>
      <c r="P3" s="10">
        <f>PARAM!$C$53^-A3</f>
        <v>1</v>
      </c>
      <c r="Q3" s="10">
        <v>1</v>
      </c>
      <c r="R3" s="10">
        <f>P3*Q3</f>
        <v>1</v>
      </c>
      <c r="S3" s="10">
        <f>R3*(A3&lt;PARAM!$B$55)</f>
        <v>1</v>
      </c>
      <c r="T3" s="10">
        <f>Q3-Q4</f>
        <v>4.0008802699609269E-5</v>
      </c>
      <c r="U3" s="10">
        <f>T3*P3*(A3&lt;PARAM!$B$55)</f>
        <v>4.0008802699609269E-5</v>
      </c>
      <c r="W3">
        <v>0</v>
      </c>
      <c r="X3" s="178">
        <f>PARAM!B38</f>
        <v>31</v>
      </c>
      <c r="Y3" s="178">
        <f>PARAM!F38</f>
        <v>31</v>
      </c>
      <c r="Z3" s="178">
        <f>PARAM!B39</f>
        <v>0</v>
      </c>
      <c r="AA3" s="178">
        <f>PARAM!F39</f>
        <v>0</v>
      </c>
      <c r="AD3" s="17">
        <f>CALC!E27*(A3&lt;PARAM!$B$55)</f>
        <v>7</v>
      </c>
      <c r="AE3">
        <f>IF(A3&lt;ITER!$C$16,1,PARAM!$C$53^-(RATES!A3-ITER!$C$16))*(A3&lt;PARAM!$B$55)</f>
        <v>1</v>
      </c>
      <c r="AF3" s="177">
        <f>CALC!K3*VLOOKUP(CALC!D1-1,RATES!A3:AE1003,16)</f>
        <v>-189.81416773883765</v>
      </c>
      <c r="AG3" s="177">
        <f>SUMPRODUCT(AD3:AD1003,AE3:AE1003)</f>
        <v>939.00000000000068</v>
      </c>
      <c r="AH3" t="s">
        <v>264</v>
      </c>
    </row>
    <row r="4" spans="1:38" x14ac:dyDescent="0.2">
      <c r="A4" s="9">
        <v>1</v>
      </c>
      <c r="B4" s="178">
        <f>B$3</f>
        <v>31</v>
      </c>
      <c r="C4" s="178">
        <f>C$3</f>
        <v>31</v>
      </c>
      <c r="D4" s="2">
        <f>PARAM!$H$38</f>
        <v>1</v>
      </c>
      <c r="E4" s="11">
        <f>PARAM!$G$38</f>
        <v>0</v>
      </c>
      <c r="F4" s="11">
        <f>(VLOOKUP(C4,DEDN!$A$8:$O$902,$F$2)*D4+E4)/1000</f>
        <v>4.7999999999999996E-4</v>
      </c>
      <c r="G4" s="178">
        <f>G$3</f>
        <v>0</v>
      </c>
      <c r="H4" s="178">
        <f>H$3</f>
        <v>0</v>
      </c>
      <c r="I4" s="2">
        <f>PARAM!$H$39</f>
        <v>0</v>
      </c>
      <c r="J4" s="11">
        <f>PARAM!$G$39</f>
        <v>0</v>
      </c>
      <c r="K4" s="11">
        <f>(VLOOKUP(H4,DEDN!$A$8:$O$902,$K$2)*I4+J4)/1000</f>
        <v>0</v>
      </c>
      <c r="L4" s="11">
        <f>MIN(IF(PARAM!$B$43=3,CHOOSE($L$2,F4,K4),F4+K4-F4*K4),1)</f>
        <v>4.7999999999999996E-4</v>
      </c>
      <c r="M4" s="2">
        <f>PARAM!$I$38</f>
        <v>0</v>
      </c>
      <c r="N4" s="11">
        <f>VLOOKUP(B4,DEDN!$A$8:$O$90,$N$2)*M4</f>
        <v>0</v>
      </c>
      <c r="O4" s="12"/>
      <c r="P4" s="10">
        <f>PARAM!$C$53^-A4</f>
        <v>1</v>
      </c>
      <c r="Q4" s="10">
        <f>Q3*(1-L3)^(1/12)</f>
        <v>0.99995999119730039</v>
      </c>
      <c r="R4" s="10">
        <f t="shared" ref="R4:R19" si="0">P4*Q4</f>
        <v>0.99995999119730039</v>
      </c>
      <c r="S4" s="10">
        <f>CHOOSE(PARAM!$B$51,R4,0,0,0)*(A4&lt;PARAM!$B$55)</f>
        <v>0.99995999119730039</v>
      </c>
      <c r="T4" s="10">
        <f t="shared" ref="T4:T67" si="1">Q4-Q5</f>
        <v>4.000720199526242E-5</v>
      </c>
      <c r="U4" s="10">
        <f>T4*P4*(A4&lt;PARAM!$B$55)</f>
        <v>4.000720199526242E-5</v>
      </c>
      <c r="W4">
        <v>1</v>
      </c>
      <c r="X4" s="178">
        <f>X$3</f>
        <v>31</v>
      </c>
      <c r="Y4" s="178">
        <f>Y$3</f>
        <v>31</v>
      </c>
      <c r="Z4" s="178">
        <f>Z$3</f>
        <v>0</v>
      </c>
      <c r="AA4" s="178">
        <f>AA$3</f>
        <v>0</v>
      </c>
      <c r="AD4" s="17">
        <f>CALC!E28*(A4&lt;PARAM!$B$55)</f>
        <v>7</v>
      </c>
      <c r="AE4">
        <f>IF(A4&lt;ITER!$C$16,1,PARAM!$C$53^-(RATES!A4-ITER!$C$16))*(A4&lt;PARAM!$B$55)</f>
        <v>1</v>
      </c>
      <c r="AF4" s="177"/>
      <c r="AG4" s="177">
        <f>SUM(AE3:AE1003)</f>
        <v>120</v>
      </c>
      <c r="AH4" t="s">
        <v>266</v>
      </c>
    </row>
    <row r="5" spans="1:38" x14ac:dyDescent="0.2">
      <c r="A5" s="9">
        <v>2</v>
      </c>
      <c r="B5" s="178">
        <f t="shared" ref="B5:C8" si="2">B$3</f>
        <v>31</v>
      </c>
      <c r="C5" s="178">
        <f t="shared" si="2"/>
        <v>31</v>
      </c>
      <c r="D5" s="2">
        <f>PARAM!$H$38</f>
        <v>1</v>
      </c>
      <c r="E5" s="11">
        <f>PARAM!$G$38</f>
        <v>0</v>
      </c>
      <c r="F5" s="11">
        <f>(VLOOKUP(C5,DEDN!$A$8:$O$902,$F$2)*D5+E5)/1000</f>
        <v>4.7999999999999996E-4</v>
      </c>
      <c r="G5" s="178">
        <f t="shared" ref="G5:H8" si="3">G$3</f>
        <v>0</v>
      </c>
      <c r="H5" s="178">
        <f t="shared" si="3"/>
        <v>0</v>
      </c>
      <c r="I5" s="2">
        <f>PARAM!$H$39</f>
        <v>0</v>
      </c>
      <c r="J5" s="11">
        <f>PARAM!$G$39</f>
        <v>0</v>
      </c>
      <c r="K5" s="11">
        <f>(VLOOKUP(H5,DEDN!$A$8:$O$902,$K$2)*I5+J5)/1000</f>
        <v>0</v>
      </c>
      <c r="L5" s="11">
        <f>MIN(IF(PARAM!$B$43=3,CHOOSE($L$2,F5,K5),F5+K5-F5*K5),1)</f>
        <v>4.7999999999999996E-4</v>
      </c>
      <c r="M5" s="2">
        <f>PARAM!$I$38</f>
        <v>0</v>
      </c>
      <c r="N5" s="11">
        <f>VLOOKUP(B5,DEDN!$A$8:$O$90,$N$2)*M5</f>
        <v>0</v>
      </c>
      <c r="O5" s="12"/>
      <c r="P5" s="10">
        <f>PARAM!$C$53^-A5</f>
        <v>1</v>
      </c>
      <c r="Q5" s="10">
        <f t="shared" ref="Q5:Q20" si="4">Q4*(1-L4)^(1/12)</f>
        <v>0.99991998399530513</v>
      </c>
      <c r="R5" s="10">
        <f t="shared" si="0"/>
        <v>0.99991998399530513</v>
      </c>
      <c r="S5" s="10">
        <f>CHOOSE(PARAM!$B$51,R5,0,0,0)*(A5&lt;PARAM!$B$55)</f>
        <v>0.99991998399530513</v>
      </c>
      <c r="T5" s="10">
        <f t="shared" si="1"/>
        <v>4.0005601355086462E-5</v>
      </c>
      <c r="U5" s="10">
        <f>T5*P5*(A5&lt;PARAM!$B$55)</f>
        <v>4.0005601355086462E-5</v>
      </c>
      <c r="W5">
        <v>2</v>
      </c>
      <c r="X5" s="178">
        <f t="shared" ref="X5:AA8" si="5">X$3</f>
        <v>31</v>
      </c>
      <c r="Y5" s="178">
        <f t="shared" si="5"/>
        <v>31</v>
      </c>
      <c r="Z5" s="178">
        <f t="shared" si="5"/>
        <v>0</v>
      </c>
      <c r="AA5" s="178">
        <f t="shared" si="5"/>
        <v>0</v>
      </c>
      <c r="AD5" s="17">
        <f>CALC!E29*(A5&lt;PARAM!$B$55)</f>
        <v>7</v>
      </c>
      <c r="AE5">
        <f>IF(A5&lt;ITER!$C$16,1,PARAM!$C$53^-(RATES!A5-ITER!$C$16))*(A5&lt;PARAM!$B$55)</f>
        <v>1</v>
      </c>
    </row>
    <row r="6" spans="1:38" x14ac:dyDescent="0.2">
      <c r="A6" s="9">
        <v>3</v>
      </c>
      <c r="B6" s="178">
        <f t="shared" si="2"/>
        <v>31</v>
      </c>
      <c r="C6" s="178">
        <f t="shared" si="2"/>
        <v>31</v>
      </c>
      <c r="D6" s="2">
        <f>PARAM!$H$38</f>
        <v>1</v>
      </c>
      <c r="E6" s="11">
        <f>PARAM!$G$38</f>
        <v>0</v>
      </c>
      <c r="F6" s="11">
        <f>(VLOOKUP(C6,DEDN!$A$8:$O$902,$F$2)*D6+E6)/1000</f>
        <v>4.7999999999999996E-4</v>
      </c>
      <c r="G6" s="178">
        <f t="shared" si="3"/>
        <v>0</v>
      </c>
      <c r="H6" s="178">
        <f t="shared" si="3"/>
        <v>0</v>
      </c>
      <c r="I6" s="2">
        <f>PARAM!$H$39</f>
        <v>0</v>
      </c>
      <c r="J6" s="11">
        <f>PARAM!$G$39</f>
        <v>0</v>
      </c>
      <c r="K6" s="11">
        <f>(VLOOKUP(H6,DEDN!$A$8:$O$902,$K$2)*I6+J6)/1000</f>
        <v>0</v>
      </c>
      <c r="L6" s="11">
        <f>MIN(IF(PARAM!$B$43=3,CHOOSE($L$2,F6,K6),F6+K6-F6*K6),1)</f>
        <v>4.7999999999999996E-4</v>
      </c>
      <c r="M6" s="2">
        <f>PARAM!$I$38</f>
        <v>0</v>
      </c>
      <c r="N6" s="11">
        <f>VLOOKUP(B6,DEDN!$A$8:$O$90,$N$2)*M6</f>
        <v>0</v>
      </c>
      <c r="O6" s="12"/>
      <c r="P6" s="10">
        <f>PARAM!$C$53^-A6</f>
        <v>1</v>
      </c>
      <c r="Q6" s="10">
        <f t="shared" si="4"/>
        <v>0.99987997839395004</v>
      </c>
      <c r="R6" s="10">
        <f t="shared" si="0"/>
        <v>0.99987997839395004</v>
      </c>
      <c r="S6" s="10">
        <f>CHOOSE(PARAM!$B$51,R6,R6,0,0)*(A6&lt;PARAM!$B$55)</f>
        <v>0.99987997839395004</v>
      </c>
      <c r="T6" s="10">
        <f t="shared" si="1"/>
        <v>4.000400077885935E-5</v>
      </c>
      <c r="U6" s="10">
        <f>T6*P6*(A6&lt;PARAM!$B$55)</f>
        <v>4.000400077885935E-5</v>
      </c>
      <c r="W6">
        <v>3</v>
      </c>
      <c r="X6" s="178">
        <f t="shared" si="5"/>
        <v>31</v>
      </c>
      <c r="Y6" s="178">
        <f t="shared" si="5"/>
        <v>31</v>
      </c>
      <c r="Z6" s="178">
        <f t="shared" si="5"/>
        <v>0</v>
      </c>
      <c r="AA6" s="178">
        <f t="shared" si="5"/>
        <v>0</v>
      </c>
      <c r="AD6" s="17">
        <f>CALC!E30*(A6&lt;PARAM!$B$55)</f>
        <v>7</v>
      </c>
      <c r="AE6">
        <f>IF(A6&lt;ITER!$C$16,1,PARAM!$C$53^-(RATES!A6-ITER!$C$16))*(A6&lt;PARAM!$B$55)</f>
        <v>1</v>
      </c>
    </row>
    <row r="7" spans="1:38" x14ac:dyDescent="0.2">
      <c r="A7" s="9">
        <v>4</v>
      </c>
      <c r="B7" s="178">
        <f t="shared" si="2"/>
        <v>31</v>
      </c>
      <c r="C7" s="178">
        <f t="shared" si="2"/>
        <v>31</v>
      </c>
      <c r="D7" s="2">
        <f>PARAM!$H$38</f>
        <v>1</v>
      </c>
      <c r="E7" s="11">
        <f>PARAM!$G$38</f>
        <v>0</v>
      </c>
      <c r="F7" s="11">
        <f>(VLOOKUP(C7,DEDN!$A$8:$O$902,$F$2)*D7+E7)/1000</f>
        <v>4.7999999999999996E-4</v>
      </c>
      <c r="G7" s="178">
        <f t="shared" si="3"/>
        <v>0</v>
      </c>
      <c r="H7" s="178">
        <f t="shared" si="3"/>
        <v>0</v>
      </c>
      <c r="I7" s="2">
        <f>PARAM!$H$39</f>
        <v>0</v>
      </c>
      <c r="J7" s="11">
        <f>PARAM!$G$39</f>
        <v>0</v>
      </c>
      <c r="K7" s="11">
        <f>(VLOOKUP(H7,DEDN!$A$8:$O$902,$K$2)*I7+J7)/1000</f>
        <v>0</v>
      </c>
      <c r="L7" s="11">
        <f>MIN(IF(PARAM!$B$43=3,CHOOSE($L$2,F7,K7),F7+K7-F7*K7),1)</f>
        <v>4.7999999999999996E-4</v>
      </c>
      <c r="M7" s="2">
        <f>PARAM!$I$38</f>
        <v>0</v>
      </c>
      <c r="N7" s="11">
        <f>VLOOKUP(B7,DEDN!$A$8:$O$90,$N$2)*M7</f>
        <v>0</v>
      </c>
      <c r="O7" s="12"/>
      <c r="P7" s="10">
        <f>PARAM!$C$53^-A7</f>
        <v>1</v>
      </c>
      <c r="Q7" s="10">
        <f t="shared" si="4"/>
        <v>0.99983997439317118</v>
      </c>
      <c r="R7" s="10">
        <f t="shared" si="0"/>
        <v>0.99983997439317118</v>
      </c>
      <c r="S7" s="10">
        <f>CHOOSE(PARAM!$B$51,R7,0,0,0)*(A7&lt;PARAM!$B$55)</f>
        <v>0.99983997439317118</v>
      </c>
      <c r="T7" s="10">
        <f t="shared" si="1"/>
        <v>4.0002400266692106E-5</v>
      </c>
      <c r="U7" s="10">
        <f>T7*P7*(A7&lt;PARAM!$B$55)</f>
        <v>4.0002400266692106E-5</v>
      </c>
      <c r="W7">
        <v>4</v>
      </c>
      <c r="X7" s="178">
        <f t="shared" si="5"/>
        <v>31</v>
      </c>
      <c r="Y7" s="178">
        <f t="shared" si="5"/>
        <v>31</v>
      </c>
      <c r="Z7" s="178">
        <f t="shared" si="5"/>
        <v>0</v>
      </c>
      <c r="AA7" s="178">
        <f t="shared" si="5"/>
        <v>0</v>
      </c>
      <c r="AD7" s="17">
        <f>CALC!E31*(A7&lt;PARAM!$B$55)</f>
        <v>7</v>
      </c>
      <c r="AE7">
        <f>IF(A7&lt;ITER!$C$16,1,PARAM!$C$53^-(RATES!A7-ITER!$C$16))*(A7&lt;PARAM!$B$55)</f>
        <v>1</v>
      </c>
      <c r="AJ7" s="2"/>
    </row>
    <row r="8" spans="1:38" x14ac:dyDescent="0.2">
      <c r="A8" s="9">
        <v>5</v>
      </c>
      <c r="B8" s="178">
        <f t="shared" si="2"/>
        <v>31</v>
      </c>
      <c r="C8" s="178">
        <f t="shared" si="2"/>
        <v>31</v>
      </c>
      <c r="D8" s="2">
        <f>PARAM!$H$38</f>
        <v>1</v>
      </c>
      <c r="E8" s="11">
        <f>PARAM!$G$38</f>
        <v>0</v>
      </c>
      <c r="F8" s="11">
        <f>(VLOOKUP(C8,DEDN!$A$8:$O$902,$F$2)*D8+E8)/1000</f>
        <v>4.7999999999999996E-4</v>
      </c>
      <c r="G8" s="178">
        <f t="shared" si="3"/>
        <v>0</v>
      </c>
      <c r="H8" s="178">
        <f t="shared" si="3"/>
        <v>0</v>
      </c>
      <c r="I8" s="2">
        <f>PARAM!$H$39</f>
        <v>0</v>
      </c>
      <c r="J8" s="11">
        <f>PARAM!$G$39</f>
        <v>0</v>
      </c>
      <c r="K8" s="11">
        <f>(VLOOKUP(H8,DEDN!$A$8:$O$902,$K$2)*I8+J8)/1000</f>
        <v>0</v>
      </c>
      <c r="L8" s="11">
        <f>MIN(IF(PARAM!$B$43=3,CHOOSE($L$2,F8,K8),F8+K8-F8*K8),1)</f>
        <v>4.7999999999999996E-4</v>
      </c>
      <c r="M8" s="2">
        <f>PARAM!$I$38</f>
        <v>0</v>
      </c>
      <c r="N8" s="11">
        <f>VLOOKUP(B8,DEDN!$A$8:$O$90,$N$2)*M8</f>
        <v>0</v>
      </c>
      <c r="O8" s="12"/>
      <c r="P8" s="10">
        <f>PARAM!$C$53^-A8</f>
        <v>1</v>
      </c>
      <c r="Q8" s="10">
        <f t="shared" si="4"/>
        <v>0.99979997199290449</v>
      </c>
      <c r="R8" s="10">
        <f t="shared" si="0"/>
        <v>0.99979997199290449</v>
      </c>
      <c r="S8" s="10">
        <f>CHOOSE(PARAM!$B$51,R8,0,0,0)*(A8&lt;PARAM!$B$55)</f>
        <v>0.99979997199290449</v>
      </c>
      <c r="T8" s="10">
        <f t="shared" si="1"/>
        <v>4.0000799818584731E-5</v>
      </c>
      <c r="U8" s="10">
        <f>T8*P8*(A8&lt;PARAM!$B$55)</f>
        <v>4.0000799818584731E-5</v>
      </c>
      <c r="W8">
        <v>5</v>
      </c>
      <c r="X8" s="178">
        <f t="shared" si="5"/>
        <v>31</v>
      </c>
      <c r="Y8" s="178">
        <f t="shared" si="5"/>
        <v>31</v>
      </c>
      <c r="Z8" s="178">
        <f t="shared" si="5"/>
        <v>0</v>
      </c>
      <c r="AA8" s="178">
        <f t="shared" si="5"/>
        <v>0</v>
      </c>
      <c r="AD8" s="17">
        <f>CALC!E32*(A8&lt;PARAM!$B$55)</f>
        <v>7</v>
      </c>
      <c r="AE8">
        <f>IF(A8&lt;ITER!$C$16,1,PARAM!$C$53^-(RATES!A8-ITER!$C$16))*(A8&lt;PARAM!$B$55)</f>
        <v>1</v>
      </c>
    </row>
    <row r="9" spans="1:38" x14ac:dyDescent="0.2">
      <c r="A9" s="9">
        <v>6</v>
      </c>
      <c r="B9" s="178">
        <f>B$3+1</f>
        <v>32</v>
      </c>
      <c r="C9" s="178">
        <f>C$3+1</f>
        <v>32</v>
      </c>
      <c r="D9" s="2">
        <f>PARAM!$H$38</f>
        <v>1</v>
      </c>
      <c r="E9" s="11">
        <f>PARAM!$G$38</f>
        <v>0</v>
      </c>
      <c r="F9" s="11">
        <f>(VLOOKUP(C9,DEDN!$A$8:$O$902,$F$2)*D9+E9)/1000</f>
        <v>5.0000000000000001E-4</v>
      </c>
      <c r="G9" s="178">
        <f>G$3+1</f>
        <v>1</v>
      </c>
      <c r="H9" s="178">
        <f>H$3+1</f>
        <v>1</v>
      </c>
      <c r="I9" s="2">
        <f>PARAM!$H$39</f>
        <v>0</v>
      </c>
      <c r="J9" s="11">
        <f>PARAM!$G$39</f>
        <v>0</v>
      </c>
      <c r="K9" s="11">
        <f>(VLOOKUP(H9,DEDN!$A$8:$O$902,$K$2)*I9+J9)/1000</f>
        <v>0</v>
      </c>
      <c r="L9" s="11">
        <f>MIN(IF(PARAM!$B$43=3,CHOOSE($L$2,F9,K9),F9+K9-F9*K9),1)</f>
        <v>5.0000000000000001E-4</v>
      </c>
      <c r="M9" s="2">
        <f>PARAM!$I$38</f>
        <v>0</v>
      </c>
      <c r="N9" s="11">
        <f>VLOOKUP(B9,DEDN!$A$8:$O$90,$N$2)*M9</f>
        <v>0</v>
      </c>
      <c r="O9" s="12"/>
      <c r="P9" s="10">
        <f>PARAM!$C$53^-A9</f>
        <v>1</v>
      </c>
      <c r="Q9" s="10">
        <f t="shared" si="4"/>
        <v>0.99975997119308591</v>
      </c>
      <c r="R9" s="10">
        <f t="shared" si="0"/>
        <v>0.99975997119308591</v>
      </c>
      <c r="S9" s="10">
        <f>CHOOSE(PARAM!$B$51,R9,R9,R9,0)*(A9&lt;PARAM!$B$55)</f>
        <v>0.99975997119308591</v>
      </c>
      <c r="T9" s="10">
        <f t="shared" si="1"/>
        <v>4.1666214836255655E-5</v>
      </c>
      <c r="U9" s="10">
        <f>T9*P9*(A9&lt;PARAM!$B$55)</f>
        <v>4.1666214836255655E-5</v>
      </c>
      <c r="W9">
        <v>6</v>
      </c>
      <c r="X9" s="178">
        <f>X$3+1</f>
        <v>32</v>
      </c>
      <c r="Y9" s="178">
        <f>Y$3+1</f>
        <v>32</v>
      </c>
      <c r="Z9" s="178">
        <f>Z$3+1</f>
        <v>1</v>
      </c>
      <c r="AA9" s="178">
        <f>AA$3+1</f>
        <v>1</v>
      </c>
      <c r="AD9" s="17">
        <f>CALC!E33*(A9&lt;PARAM!$B$55)</f>
        <v>7.0833333333333339</v>
      </c>
      <c r="AE9">
        <f>IF(A9&lt;ITER!$C$16,1,PARAM!$C$53^-(RATES!A9-ITER!$C$16))*(A9&lt;PARAM!$B$55)</f>
        <v>1</v>
      </c>
      <c r="AK9" s="17"/>
      <c r="AL9" s="17"/>
    </row>
    <row r="10" spans="1:38" x14ac:dyDescent="0.2">
      <c r="A10" s="9">
        <v>7</v>
      </c>
      <c r="B10" s="178">
        <f t="shared" ref="B10:C20" si="6">B$3+1</f>
        <v>32</v>
      </c>
      <c r="C10" s="178">
        <f t="shared" si="6"/>
        <v>32</v>
      </c>
      <c r="D10" s="2">
        <f>PARAM!$H$38</f>
        <v>1</v>
      </c>
      <c r="E10" s="11">
        <f>PARAM!$G$38</f>
        <v>0</v>
      </c>
      <c r="F10" s="11">
        <f>(VLOOKUP(C10,DEDN!$A$8:$O$902,$F$2)*D10+E10)/1000</f>
        <v>5.0000000000000001E-4</v>
      </c>
      <c r="G10" s="178">
        <f t="shared" ref="G10:H20" si="7">G$3+1</f>
        <v>1</v>
      </c>
      <c r="H10" s="178">
        <f t="shared" si="7"/>
        <v>1</v>
      </c>
      <c r="I10" s="2">
        <f>PARAM!$H$39</f>
        <v>0</v>
      </c>
      <c r="J10" s="11">
        <f>PARAM!$G$39</f>
        <v>0</v>
      </c>
      <c r="K10" s="11">
        <f>(VLOOKUP(H10,DEDN!$A$8:$O$902,$K$2)*I10+J10)/1000</f>
        <v>0</v>
      </c>
      <c r="L10" s="11">
        <f>MIN(IF(PARAM!$B$43=3,CHOOSE($L$2,F10,K10),F10+K10-F10*K10),1)</f>
        <v>5.0000000000000001E-4</v>
      </c>
      <c r="M10" s="2">
        <f>PARAM!$I$38</f>
        <v>0</v>
      </c>
      <c r="N10" s="11">
        <f>VLOOKUP(B10,DEDN!$A$8:$O$90,$N$2)*M10</f>
        <v>0</v>
      </c>
      <c r="O10" s="12"/>
      <c r="P10" s="10">
        <f>PARAM!$C$53^-A10</f>
        <v>1</v>
      </c>
      <c r="Q10" s="10">
        <f t="shared" si="4"/>
        <v>0.99971830497824965</v>
      </c>
      <c r="R10" s="10">
        <f t="shared" si="0"/>
        <v>0.99971830497824965</v>
      </c>
      <c r="S10" s="10">
        <f>CHOOSE(PARAM!$B$51,R10,0,0,0)*(A10&lt;PARAM!$B$55)</f>
        <v>0.99971830497824965</v>
      </c>
      <c r="T10" s="10">
        <f t="shared" si="1"/>
        <v>4.1664478345970757E-5</v>
      </c>
      <c r="U10" s="10">
        <f>T10*P10*(A10&lt;PARAM!$B$55)</f>
        <v>4.1664478345970757E-5</v>
      </c>
      <c r="W10">
        <v>7</v>
      </c>
      <c r="X10" s="178">
        <f t="shared" ref="X10:AA20" si="8">X$3+1</f>
        <v>32</v>
      </c>
      <c r="Y10" s="178">
        <f t="shared" si="8"/>
        <v>32</v>
      </c>
      <c r="Z10" s="178">
        <f t="shared" si="8"/>
        <v>1</v>
      </c>
      <c r="AA10" s="178">
        <f t="shared" si="8"/>
        <v>1</v>
      </c>
      <c r="AD10" s="17">
        <f>CALC!E34*(A10&lt;PARAM!$B$55)</f>
        <v>7.0833333333333339</v>
      </c>
      <c r="AE10">
        <f>IF(A10&lt;ITER!$C$16,1,PARAM!$C$53^-(RATES!A10-ITER!$C$16))*(A10&lt;PARAM!$B$55)</f>
        <v>1</v>
      </c>
      <c r="AK10" s="17"/>
    </row>
    <row r="11" spans="1:38" x14ac:dyDescent="0.2">
      <c r="A11" s="9">
        <v>8</v>
      </c>
      <c r="B11" s="178">
        <f t="shared" si="6"/>
        <v>32</v>
      </c>
      <c r="C11" s="178">
        <f t="shared" si="6"/>
        <v>32</v>
      </c>
      <c r="D11" s="2">
        <f>PARAM!$H$38</f>
        <v>1</v>
      </c>
      <c r="E11" s="11">
        <f>PARAM!$G$38</f>
        <v>0</v>
      </c>
      <c r="F11" s="11">
        <f>(VLOOKUP(C11,DEDN!$A$8:$O$902,$F$2)*D11+E11)/1000</f>
        <v>5.0000000000000001E-4</v>
      </c>
      <c r="G11" s="178">
        <f t="shared" si="7"/>
        <v>1</v>
      </c>
      <c r="H11" s="178">
        <f t="shared" si="7"/>
        <v>1</v>
      </c>
      <c r="I11" s="2">
        <f>PARAM!$H$39</f>
        <v>0</v>
      </c>
      <c r="J11" s="11">
        <f>PARAM!$G$39</f>
        <v>0</v>
      </c>
      <c r="K11" s="11">
        <f>(VLOOKUP(H11,DEDN!$A$8:$O$902,$K$2)*I11+J11)/1000</f>
        <v>0</v>
      </c>
      <c r="L11" s="11">
        <f>MIN(IF(PARAM!$B$43=3,CHOOSE($L$2,F11,K11),F11+K11-F11*K11),1)</f>
        <v>5.0000000000000001E-4</v>
      </c>
      <c r="M11" s="2">
        <f>PARAM!$I$38</f>
        <v>0</v>
      </c>
      <c r="N11" s="11">
        <f>VLOOKUP(B11,DEDN!$A$8:$O$90,$N$2)*M11</f>
        <v>0</v>
      </c>
      <c r="O11" s="12"/>
      <c r="P11" s="10">
        <f>PARAM!$C$53^-A11</f>
        <v>1</v>
      </c>
      <c r="Q11" s="10">
        <f t="shared" si="4"/>
        <v>0.99967664049990368</v>
      </c>
      <c r="R11" s="10">
        <f t="shared" si="0"/>
        <v>0.99967664049990368</v>
      </c>
      <c r="S11" s="10">
        <f>CHOOSE(PARAM!$B$51,R11,0,0,0)*(A11&lt;PARAM!$B$55)</f>
        <v>0.99967664049990368</v>
      </c>
      <c r="T11" s="10">
        <f t="shared" si="1"/>
        <v>4.16627419280724E-5</v>
      </c>
      <c r="U11" s="10">
        <f>T11*P11*(A11&lt;PARAM!$B$55)</f>
        <v>4.16627419280724E-5</v>
      </c>
      <c r="W11">
        <v>8</v>
      </c>
      <c r="X11" s="178">
        <f t="shared" si="8"/>
        <v>32</v>
      </c>
      <c r="Y11" s="178">
        <f t="shared" si="8"/>
        <v>32</v>
      </c>
      <c r="Z11" s="178">
        <f t="shared" si="8"/>
        <v>1</v>
      </c>
      <c r="AA11" s="178">
        <f t="shared" si="8"/>
        <v>1</v>
      </c>
      <c r="AD11" s="17">
        <f>CALC!E35*(A11&lt;PARAM!$B$55)</f>
        <v>7.0833333333333339</v>
      </c>
      <c r="AE11">
        <f>IF(A11&lt;ITER!$C$16,1,PARAM!$C$53^-(RATES!A11-ITER!$C$16))*(A11&lt;PARAM!$B$55)</f>
        <v>1</v>
      </c>
      <c r="AK11" s="17"/>
    </row>
    <row r="12" spans="1:38" x14ac:dyDescent="0.2">
      <c r="A12" s="9">
        <v>9</v>
      </c>
      <c r="B12" s="178">
        <f t="shared" si="6"/>
        <v>32</v>
      </c>
      <c r="C12" s="178">
        <f t="shared" si="6"/>
        <v>32</v>
      </c>
      <c r="D12" s="2">
        <f>PARAM!$H$38</f>
        <v>1</v>
      </c>
      <c r="E12" s="11">
        <f>PARAM!$G$38</f>
        <v>0</v>
      </c>
      <c r="F12" s="11">
        <f>(VLOOKUP(C12,DEDN!$A$8:$O$902,$F$2)*D12+E12)/1000</f>
        <v>5.0000000000000001E-4</v>
      </c>
      <c r="G12" s="178">
        <f t="shared" si="7"/>
        <v>1</v>
      </c>
      <c r="H12" s="178">
        <f t="shared" si="7"/>
        <v>1</v>
      </c>
      <c r="I12" s="2">
        <f>PARAM!$H$39</f>
        <v>0</v>
      </c>
      <c r="J12" s="11">
        <f>PARAM!$G$39</f>
        <v>0</v>
      </c>
      <c r="K12" s="11">
        <f>(VLOOKUP(H12,DEDN!$A$8:$O$902,$K$2)*I12+J12)/1000</f>
        <v>0</v>
      </c>
      <c r="L12" s="11">
        <f>MIN(IF(PARAM!$B$43=3,CHOOSE($L$2,F12,K12),F12+K12-F12*K12),1)</f>
        <v>5.0000000000000001E-4</v>
      </c>
      <c r="M12" s="2">
        <f>PARAM!$I$38</f>
        <v>0</v>
      </c>
      <c r="N12" s="11">
        <f>VLOOKUP(B12,DEDN!$A$8:$O$90,$N$2)*M12</f>
        <v>0</v>
      </c>
      <c r="O12" s="12"/>
      <c r="P12" s="10">
        <f>PARAM!$C$53^-A12</f>
        <v>1</v>
      </c>
      <c r="Q12" s="10">
        <f t="shared" si="4"/>
        <v>0.99963497775797561</v>
      </c>
      <c r="R12" s="10">
        <f t="shared" si="0"/>
        <v>0.99963497775797561</v>
      </c>
      <c r="S12" s="10">
        <f>CHOOSE(PARAM!$B$51,R12,R12,0,0)*(A12&lt;PARAM!$B$55)</f>
        <v>0.99963497775797561</v>
      </c>
      <c r="T12" s="10">
        <f t="shared" si="1"/>
        <v>4.1661005582560584E-5</v>
      </c>
      <c r="U12" s="10">
        <f>T12*P12*(A12&lt;PARAM!$B$55)</f>
        <v>4.1661005582560584E-5</v>
      </c>
      <c r="W12">
        <v>9</v>
      </c>
      <c r="X12" s="178">
        <f t="shared" si="8"/>
        <v>32</v>
      </c>
      <c r="Y12" s="178">
        <f t="shared" si="8"/>
        <v>32</v>
      </c>
      <c r="Z12" s="178">
        <f t="shared" si="8"/>
        <v>1</v>
      </c>
      <c r="AA12" s="178">
        <f t="shared" si="8"/>
        <v>1</v>
      </c>
      <c r="AD12" s="17">
        <f>CALC!E36*(A12&lt;PARAM!$B$55)</f>
        <v>7.0833333333333339</v>
      </c>
      <c r="AE12">
        <f>IF(A12&lt;ITER!$C$16,1,PARAM!$C$53^-(RATES!A12-ITER!$C$16))*(A12&lt;PARAM!$B$55)</f>
        <v>1</v>
      </c>
      <c r="AK12" s="17"/>
    </row>
    <row r="13" spans="1:38" x14ac:dyDescent="0.2">
      <c r="A13" s="9">
        <v>10</v>
      </c>
      <c r="B13" s="178">
        <f t="shared" si="6"/>
        <v>32</v>
      </c>
      <c r="C13" s="178">
        <f t="shared" si="6"/>
        <v>32</v>
      </c>
      <c r="D13" s="2">
        <f>PARAM!$H$38</f>
        <v>1</v>
      </c>
      <c r="E13" s="11">
        <f>PARAM!$G$38</f>
        <v>0</v>
      </c>
      <c r="F13" s="11">
        <f>(VLOOKUP(C13,DEDN!$A$8:$O$902,$F$2)*D13+E13)/1000</f>
        <v>5.0000000000000001E-4</v>
      </c>
      <c r="G13" s="178">
        <f t="shared" si="7"/>
        <v>1</v>
      </c>
      <c r="H13" s="178">
        <f t="shared" si="7"/>
        <v>1</v>
      </c>
      <c r="I13" s="2">
        <f>PARAM!$H$39</f>
        <v>0</v>
      </c>
      <c r="J13" s="11">
        <f>PARAM!$G$39</f>
        <v>0</v>
      </c>
      <c r="K13" s="11">
        <f>(VLOOKUP(H13,DEDN!$A$8:$O$902,$K$2)*I13+J13)/1000</f>
        <v>0</v>
      </c>
      <c r="L13" s="11">
        <f>MIN(IF(PARAM!$B$43=3,CHOOSE($L$2,F13,K13),F13+K13-F13*K13),1)</f>
        <v>5.0000000000000001E-4</v>
      </c>
      <c r="M13" s="2">
        <f>PARAM!$I$38</f>
        <v>0</v>
      </c>
      <c r="N13" s="11">
        <f>VLOOKUP(B13,DEDN!$A$8:$O$90,$N$2)*M13</f>
        <v>0</v>
      </c>
      <c r="O13" s="12"/>
      <c r="P13" s="10">
        <f>PARAM!$C$53^-A13</f>
        <v>1</v>
      </c>
      <c r="Q13" s="10">
        <f t="shared" si="4"/>
        <v>0.99959331675239305</v>
      </c>
      <c r="R13" s="10">
        <f t="shared" si="0"/>
        <v>0.99959331675239305</v>
      </c>
      <c r="S13" s="10">
        <f>CHOOSE(PARAM!$B$51,R13,0,0,0)*(A13&lt;PARAM!$B$55)</f>
        <v>0.99959331675239305</v>
      </c>
      <c r="T13" s="10">
        <f t="shared" si="1"/>
        <v>4.1659269309324287E-5</v>
      </c>
      <c r="U13" s="10">
        <f>T13*P13*(A13&lt;PARAM!$B$55)</f>
        <v>4.1659269309324287E-5</v>
      </c>
      <c r="W13">
        <v>10</v>
      </c>
      <c r="X13" s="178">
        <f t="shared" si="8"/>
        <v>32</v>
      </c>
      <c r="Y13" s="178">
        <f t="shared" si="8"/>
        <v>32</v>
      </c>
      <c r="Z13" s="178">
        <f t="shared" si="8"/>
        <v>1</v>
      </c>
      <c r="AA13" s="178">
        <f t="shared" si="8"/>
        <v>1</v>
      </c>
      <c r="AD13" s="17">
        <f>CALC!E37*(A13&lt;PARAM!$B$55)</f>
        <v>7.0833333333333339</v>
      </c>
      <c r="AE13">
        <f>IF(A13&lt;ITER!$C$16,1,PARAM!$C$53^-(RATES!A13-ITER!$C$16))*(A13&lt;PARAM!$B$55)</f>
        <v>1</v>
      </c>
      <c r="AK13" s="17"/>
    </row>
    <row r="14" spans="1:38" x14ac:dyDescent="0.2">
      <c r="A14" s="9">
        <v>11</v>
      </c>
      <c r="B14" s="178">
        <f t="shared" si="6"/>
        <v>32</v>
      </c>
      <c r="C14" s="178">
        <f t="shared" si="6"/>
        <v>32</v>
      </c>
      <c r="D14" s="2">
        <f>PARAM!$H$38</f>
        <v>1</v>
      </c>
      <c r="E14" s="11">
        <f>PARAM!$G$38</f>
        <v>0</v>
      </c>
      <c r="F14" s="11">
        <f>(VLOOKUP(C14,DEDN!$A$8:$O$902,$F$2)*D14+E14)/1000</f>
        <v>5.0000000000000001E-4</v>
      </c>
      <c r="G14" s="178">
        <f t="shared" si="7"/>
        <v>1</v>
      </c>
      <c r="H14" s="178">
        <f t="shared" si="7"/>
        <v>1</v>
      </c>
      <c r="I14" s="2">
        <f>PARAM!$H$39</f>
        <v>0</v>
      </c>
      <c r="J14" s="11">
        <f>PARAM!$G$39</f>
        <v>0</v>
      </c>
      <c r="K14" s="11">
        <f>(VLOOKUP(H14,DEDN!$A$8:$O$902,$K$2)*I14+J14)/1000</f>
        <v>0</v>
      </c>
      <c r="L14" s="11">
        <f>MIN(IF(PARAM!$B$43=3,CHOOSE($L$2,F14,K14),F14+K14-F14*K14),1)</f>
        <v>5.0000000000000001E-4</v>
      </c>
      <c r="M14" s="2">
        <f>PARAM!$I$38</f>
        <v>0</v>
      </c>
      <c r="N14" s="11">
        <f>VLOOKUP(B14,DEDN!$A$8:$O$90,$N$2)*M14</f>
        <v>0</v>
      </c>
      <c r="O14" s="12"/>
      <c r="P14" s="10">
        <f>PARAM!$C$53^-A14</f>
        <v>1</v>
      </c>
      <c r="Q14" s="10">
        <f t="shared" si="4"/>
        <v>0.99955165748308372</v>
      </c>
      <c r="R14" s="10">
        <f t="shared" si="0"/>
        <v>0.99955165748308372</v>
      </c>
      <c r="S14" s="10">
        <f>CHOOSE(PARAM!$B$51,R14,0,0,0)*(A14&lt;PARAM!$B$55)</f>
        <v>0.99955165748308372</v>
      </c>
      <c r="T14" s="10">
        <f t="shared" si="1"/>
        <v>4.1657533108585554E-5</v>
      </c>
      <c r="U14" s="10">
        <f>T14*P14*(A14&lt;PARAM!$B$55)</f>
        <v>4.1657533108585554E-5</v>
      </c>
      <c r="W14">
        <v>11</v>
      </c>
      <c r="X14" s="178">
        <f t="shared" si="8"/>
        <v>32</v>
      </c>
      <c r="Y14" s="178">
        <f t="shared" si="8"/>
        <v>32</v>
      </c>
      <c r="Z14" s="178">
        <f t="shared" si="8"/>
        <v>1</v>
      </c>
      <c r="AA14" s="178">
        <f t="shared" si="8"/>
        <v>1</v>
      </c>
      <c r="AD14" s="17">
        <f>CALC!E38*(A14&lt;PARAM!$B$55)</f>
        <v>7.0833333333333339</v>
      </c>
      <c r="AE14">
        <f>IF(A14&lt;ITER!$C$16,1,PARAM!$C$53^-(RATES!A14-ITER!$C$16))*(A14&lt;PARAM!$B$55)</f>
        <v>1</v>
      </c>
      <c r="AK14" s="17"/>
    </row>
    <row r="15" spans="1:38" x14ac:dyDescent="0.2">
      <c r="A15" s="9">
        <v>12</v>
      </c>
      <c r="B15" s="178">
        <f t="shared" si="6"/>
        <v>32</v>
      </c>
      <c r="C15" s="178">
        <f t="shared" si="6"/>
        <v>32</v>
      </c>
      <c r="D15" s="2">
        <f>PARAM!$H$38</f>
        <v>1</v>
      </c>
      <c r="E15" s="11">
        <f>PARAM!$G$38</f>
        <v>0</v>
      </c>
      <c r="F15" s="11">
        <f>(VLOOKUP(C15,DEDN!$A$8:$O$902,$F$2)*D15+E15)/1000</f>
        <v>5.0000000000000001E-4</v>
      </c>
      <c r="G15" s="178">
        <f t="shared" si="7"/>
        <v>1</v>
      </c>
      <c r="H15" s="178">
        <f t="shared" si="7"/>
        <v>1</v>
      </c>
      <c r="I15" s="2">
        <f>PARAM!$H$39</f>
        <v>0</v>
      </c>
      <c r="J15" s="11">
        <f>PARAM!$G$39</f>
        <v>0</v>
      </c>
      <c r="K15" s="11">
        <f>(VLOOKUP(H15,DEDN!$A$8:$O$902,$K$2)*I15+J15)/1000</f>
        <v>0</v>
      </c>
      <c r="L15" s="11">
        <f>MIN(IF(PARAM!$B$43=3,CHOOSE($L$2,F15,K15),F15+K15-F15*K15),1)</f>
        <v>5.0000000000000001E-4</v>
      </c>
      <c r="M15" s="2">
        <f>PARAM!$I$38</f>
        <v>0</v>
      </c>
      <c r="N15" s="11">
        <f>VLOOKUP(B15,DEDN!$A$8:$O$90,$N$2)*M15</f>
        <v>0</v>
      </c>
      <c r="O15" s="12"/>
      <c r="P15" s="10">
        <f>PARAM!$C$53^-A15</f>
        <v>1</v>
      </c>
      <c r="Q15" s="10">
        <f t="shared" si="4"/>
        <v>0.99950999994997514</v>
      </c>
      <c r="R15" s="10">
        <f t="shared" si="0"/>
        <v>0.99950999994997514</v>
      </c>
      <c r="S15" s="10">
        <f>R15*(A15&lt;PARAM!$B$55)</f>
        <v>0.99950999994997514</v>
      </c>
      <c r="T15" s="10">
        <f t="shared" si="1"/>
        <v>4.1655796980122339E-5</v>
      </c>
      <c r="U15" s="10">
        <f>T15*P15*(A15&lt;PARAM!$B$55)</f>
        <v>4.1655796980122339E-5</v>
      </c>
      <c r="W15">
        <v>12</v>
      </c>
      <c r="X15" s="178">
        <f t="shared" si="8"/>
        <v>32</v>
      </c>
      <c r="Y15" s="178">
        <f t="shared" si="8"/>
        <v>32</v>
      </c>
      <c r="Z15" s="178">
        <f t="shared" si="8"/>
        <v>1</v>
      </c>
      <c r="AA15" s="178">
        <f t="shared" si="8"/>
        <v>1</v>
      </c>
      <c r="AD15" s="17">
        <f>CALC!E39*(A15&lt;PARAM!$B$55)</f>
        <v>7.0833333333333339</v>
      </c>
      <c r="AE15">
        <f>IF(A15&lt;ITER!$C$16,1,PARAM!$C$53^-(RATES!A15-ITER!$C$16))*(A15&lt;PARAM!$B$55)</f>
        <v>1</v>
      </c>
      <c r="AK15" s="17"/>
    </row>
    <row r="16" spans="1:38" x14ac:dyDescent="0.2">
      <c r="A16" s="9">
        <v>13</v>
      </c>
      <c r="B16" s="178">
        <f t="shared" si="6"/>
        <v>32</v>
      </c>
      <c r="C16" s="178">
        <f t="shared" si="6"/>
        <v>32</v>
      </c>
      <c r="D16" s="2">
        <f>PARAM!$H$38</f>
        <v>1</v>
      </c>
      <c r="E16" s="11">
        <f>PARAM!$G$38</f>
        <v>0</v>
      </c>
      <c r="F16" s="11">
        <f>(VLOOKUP(C16,DEDN!$A$8:$O$902,$F$2)*D16+E16)/1000</f>
        <v>5.0000000000000001E-4</v>
      </c>
      <c r="G16" s="178">
        <f t="shared" si="7"/>
        <v>1</v>
      </c>
      <c r="H16" s="178">
        <f t="shared" si="7"/>
        <v>1</v>
      </c>
      <c r="I16" s="2">
        <f>PARAM!$H$39</f>
        <v>0</v>
      </c>
      <c r="J16" s="11">
        <f>PARAM!$G$39</f>
        <v>0</v>
      </c>
      <c r="K16" s="11">
        <f>(VLOOKUP(H16,DEDN!$A$8:$O$902,$K$2)*I16+J16)/1000</f>
        <v>0</v>
      </c>
      <c r="L16" s="11">
        <f>MIN(IF(PARAM!$B$43=3,CHOOSE($L$2,F16,K16),F16+K16-F16*K16),1)</f>
        <v>5.0000000000000001E-4</v>
      </c>
      <c r="M16" s="2">
        <f>PARAM!$I$38</f>
        <v>0</v>
      </c>
      <c r="N16" s="11">
        <f>VLOOKUP(B16,DEDN!$A$8:$O$90,$N$2)*M16</f>
        <v>0</v>
      </c>
      <c r="O16" s="12"/>
      <c r="P16" s="10">
        <f>PARAM!$C$53^-A16</f>
        <v>1</v>
      </c>
      <c r="Q16" s="10">
        <f t="shared" si="4"/>
        <v>0.99946834415299501</v>
      </c>
      <c r="R16" s="10">
        <f t="shared" si="0"/>
        <v>0.99946834415299501</v>
      </c>
      <c r="S16" s="10">
        <f>CHOOSE(PARAM!$B$51,R16,0,0,0)*(A16&lt;PARAM!$B$55)</f>
        <v>0.99946834415299501</v>
      </c>
      <c r="T16" s="10">
        <f t="shared" si="1"/>
        <v>4.1654060924045666E-5</v>
      </c>
      <c r="U16" s="10">
        <f>T16*P16*(A16&lt;PARAM!$B$55)</f>
        <v>4.1654060924045666E-5</v>
      </c>
      <c r="W16">
        <v>13</v>
      </c>
      <c r="X16" s="178">
        <f t="shared" si="8"/>
        <v>32</v>
      </c>
      <c r="Y16" s="178">
        <f t="shared" si="8"/>
        <v>32</v>
      </c>
      <c r="Z16" s="178">
        <f t="shared" si="8"/>
        <v>1</v>
      </c>
      <c r="AA16" s="178">
        <f t="shared" si="8"/>
        <v>1</v>
      </c>
      <c r="AD16" s="17">
        <f>CALC!E40*(A16&lt;PARAM!$B$55)</f>
        <v>7.0833333333333339</v>
      </c>
      <c r="AE16">
        <f>IF(A16&lt;ITER!$C$16,1,PARAM!$C$53^-(RATES!A16-ITER!$C$16))*(A16&lt;PARAM!$B$55)</f>
        <v>1</v>
      </c>
      <c r="AK16" s="17"/>
    </row>
    <row r="17" spans="1:37" x14ac:dyDescent="0.2">
      <c r="A17" s="9">
        <v>14</v>
      </c>
      <c r="B17" s="178">
        <f t="shared" si="6"/>
        <v>32</v>
      </c>
      <c r="C17" s="178">
        <f t="shared" si="6"/>
        <v>32</v>
      </c>
      <c r="D17" s="2">
        <f>PARAM!$H$38</f>
        <v>1</v>
      </c>
      <c r="E17" s="11">
        <f>PARAM!$G$38</f>
        <v>0</v>
      </c>
      <c r="F17" s="11">
        <f>(VLOOKUP(C17,DEDN!$A$8:$O$902,$F$2)*D17+E17)/1000</f>
        <v>5.0000000000000001E-4</v>
      </c>
      <c r="G17" s="178">
        <f t="shared" si="7"/>
        <v>1</v>
      </c>
      <c r="H17" s="178">
        <f t="shared" si="7"/>
        <v>1</v>
      </c>
      <c r="I17" s="2">
        <f>PARAM!$H$39</f>
        <v>0</v>
      </c>
      <c r="J17" s="11">
        <f>PARAM!$G$39</f>
        <v>0</v>
      </c>
      <c r="K17" s="11">
        <f>(VLOOKUP(H17,DEDN!$A$8:$O$902,$K$2)*I17+J17)/1000</f>
        <v>0</v>
      </c>
      <c r="L17" s="11">
        <f>MIN(IF(PARAM!$B$43=3,CHOOSE($L$2,F17,K17),F17+K17-F17*K17),1)</f>
        <v>5.0000000000000001E-4</v>
      </c>
      <c r="M17" s="2">
        <f>PARAM!$I$38</f>
        <v>0</v>
      </c>
      <c r="N17" s="11">
        <f>VLOOKUP(B17,DEDN!$A$8:$O$90,$N$2)*M17</f>
        <v>0</v>
      </c>
      <c r="O17" s="12"/>
      <c r="P17" s="10">
        <f>PARAM!$C$53^-A17</f>
        <v>1</v>
      </c>
      <c r="Q17" s="10">
        <f t="shared" si="4"/>
        <v>0.99942669009207097</v>
      </c>
      <c r="R17" s="10">
        <f t="shared" si="0"/>
        <v>0.99942669009207097</v>
      </c>
      <c r="S17" s="10">
        <f>CHOOSE(PARAM!$B$51,R17,0,0,0)*(A17&lt;PARAM!$B$55)</f>
        <v>0.99942669009207097</v>
      </c>
      <c r="T17" s="10">
        <f t="shared" si="1"/>
        <v>4.1652324940244512E-5</v>
      </c>
      <c r="U17" s="10">
        <f>T17*P17*(A17&lt;PARAM!$B$55)</f>
        <v>4.1652324940244512E-5</v>
      </c>
      <c r="W17">
        <v>14</v>
      </c>
      <c r="X17" s="178">
        <f t="shared" si="8"/>
        <v>32</v>
      </c>
      <c r="Y17" s="178">
        <f t="shared" si="8"/>
        <v>32</v>
      </c>
      <c r="Z17" s="178">
        <f t="shared" si="8"/>
        <v>1</v>
      </c>
      <c r="AA17" s="178">
        <f t="shared" si="8"/>
        <v>1</v>
      </c>
      <c r="AD17" s="17">
        <f>CALC!E41*(A17&lt;PARAM!$B$55)</f>
        <v>7.0833333333333339</v>
      </c>
      <c r="AE17">
        <f>IF(A17&lt;ITER!$C$16,1,PARAM!$C$53^-(RATES!A17-ITER!$C$16))*(A17&lt;PARAM!$B$55)</f>
        <v>1</v>
      </c>
      <c r="AK17" s="17"/>
    </row>
    <row r="18" spans="1:37" x14ac:dyDescent="0.2">
      <c r="A18" s="9">
        <v>15</v>
      </c>
      <c r="B18" s="178">
        <f t="shared" si="6"/>
        <v>32</v>
      </c>
      <c r="C18" s="178">
        <f t="shared" si="6"/>
        <v>32</v>
      </c>
      <c r="D18" s="2">
        <f>PARAM!$H$38</f>
        <v>1</v>
      </c>
      <c r="E18" s="11">
        <f>PARAM!$G$38</f>
        <v>0</v>
      </c>
      <c r="F18" s="11">
        <f>(VLOOKUP(C18,DEDN!$A$8:$O$902,$F$2)*D18+E18)/1000</f>
        <v>5.0000000000000001E-4</v>
      </c>
      <c r="G18" s="178">
        <f t="shared" si="7"/>
        <v>1</v>
      </c>
      <c r="H18" s="178">
        <f t="shared" si="7"/>
        <v>1</v>
      </c>
      <c r="I18" s="2">
        <f>PARAM!$H$39</f>
        <v>0</v>
      </c>
      <c r="J18" s="11">
        <f>PARAM!$G$39</f>
        <v>0</v>
      </c>
      <c r="K18" s="11">
        <f>(VLOOKUP(H18,DEDN!$A$8:$O$902,$K$2)*I18+J18)/1000</f>
        <v>0</v>
      </c>
      <c r="L18" s="11">
        <f>MIN(IF(PARAM!$B$43=3,CHOOSE($L$2,F18,K18),F18+K18-F18*K18),1)</f>
        <v>5.0000000000000001E-4</v>
      </c>
      <c r="M18" s="2">
        <f>PARAM!$I$38</f>
        <v>0</v>
      </c>
      <c r="N18" s="11">
        <f>VLOOKUP(B18,DEDN!$A$8:$O$90,$N$2)*M18</f>
        <v>0</v>
      </c>
      <c r="O18" s="12"/>
      <c r="P18" s="10">
        <f>PARAM!$C$53^-A18</f>
        <v>1</v>
      </c>
      <c r="Q18" s="10">
        <f t="shared" si="4"/>
        <v>0.99938503776713072</v>
      </c>
      <c r="R18" s="10">
        <f t="shared" si="0"/>
        <v>0.99938503776713072</v>
      </c>
      <c r="S18" s="10">
        <f>CHOOSE(PARAM!$B$51,R18,R18,0,0)*(A18&lt;PARAM!$B$55)</f>
        <v>0.99938503776713072</v>
      </c>
      <c r="T18" s="10">
        <f t="shared" si="1"/>
        <v>4.1650589028940921E-5</v>
      </c>
      <c r="U18" s="10">
        <f>T18*P18*(A18&lt;PARAM!$B$55)</f>
        <v>4.1650589028940921E-5</v>
      </c>
      <c r="W18">
        <v>15</v>
      </c>
      <c r="X18" s="178">
        <f t="shared" si="8"/>
        <v>32</v>
      </c>
      <c r="Y18" s="178">
        <f t="shared" si="8"/>
        <v>32</v>
      </c>
      <c r="Z18" s="178">
        <f t="shared" si="8"/>
        <v>1</v>
      </c>
      <c r="AA18" s="178">
        <f t="shared" si="8"/>
        <v>1</v>
      </c>
      <c r="AD18" s="17">
        <f>CALC!E42*(A18&lt;PARAM!$B$55)</f>
        <v>7.0833333333333339</v>
      </c>
      <c r="AE18">
        <f>IF(A18&lt;ITER!$C$16,1,PARAM!$C$53^-(RATES!A18-ITER!$C$16))*(A18&lt;PARAM!$B$55)</f>
        <v>1</v>
      </c>
      <c r="AK18" s="17"/>
    </row>
    <row r="19" spans="1:37" x14ac:dyDescent="0.2">
      <c r="A19" s="9">
        <v>16</v>
      </c>
      <c r="B19" s="178">
        <f t="shared" si="6"/>
        <v>32</v>
      </c>
      <c r="C19" s="178">
        <f t="shared" si="6"/>
        <v>32</v>
      </c>
      <c r="D19" s="2">
        <f>PARAM!$H$38</f>
        <v>1</v>
      </c>
      <c r="E19" s="11">
        <f>PARAM!$G$38</f>
        <v>0</v>
      </c>
      <c r="F19" s="11">
        <f>(VLOOKUP(C19,DEDN!$A$8:$O$902,$F$2)*D19+E19)/1000</f>
        <v>5.0000000000000001E-4</v>
      </c>
      <c r="G19" s="178">
        <f t="shared" si="7"/>
        <v>1</v>
      </c>
      <c r="H19" s="178">
        <f t="shared" si="7"/>
        <v>1</v>
      </c>
      <c r="I19" s="2">
        <f>PARAM!$H$39</f>
        <v>0</v>
      </c>
      <c r="J19" s="11">
        <f>PARAM!$G$39</f>
        <v>0</v>
      </c>
      <c r="K19" s="11">
        <f>(VLOOKUP(H19,DEDN!$A$8:$O$902,$K$2)*I19+J19)/1000</f>
        <v>0</v>
      </c>
      <c r="L19" s="11">
        <f>MIN(IF(PARAM!$B$43=3,CHOOSE($L$2,F19,K19),F19+K19-F19*K19),1)</f>
        <v>5.0000000000000001E-4</v>
      </c>
      <c r="M19" s="2">
        <f>PARAM!$I$38</f>
        <v>0</v>
      </c>
      <c r="N19" s="11">
        <f>VLOOKUP(B19,DEDN!$A$8:$O$90,$N$2)*M19</f>
        <v>0</v>
      </c>
      <c r="O19" s="12"/>
      <c r="P19" s="10">
        <f>PARAM!$C$53^-A19</f>
        <v>1</v>
      </c>
      <c r="Q19" s="10">
        <f t="shared" si="4"/>
        <v>0.99934338717810178</v>
      </c>
      <c r="R19" s="10">
        <f t="shared" si="0"/>
        <v>0.99934338717810178</v>
      </c>
      <c r="S19" s="10">
        <f>CHOOSE(PARAM!$B$51,R19,0,0,0)*(A19&lt;PARAM!$B$55)</f>
        <v>0.99934338717810178</v>
      </c>
      <c r="T19" s="10">
        <f t="shared" si="1"/>
        <v>4.1648853189801827E-5</v>
      </c>
      <c r="U19" s="10">
        <f>T19*P19*(A19&lt;PARAM!$B$55)</f>
        <v>4.1648853189801827E-5</v>
      </c>
      <c r="W19">
        <v>16</v>
      </c>
      <c r="X19" s="178">
        <f t="shared" si="8"/>
        <v>32</v>
      </c>
      <c r="Y19" s="178">
        <f t="shared" si="8"/>
        <v>32</v>
      </c>
      <c r="Z19" s="178">
        <f t="shared" si="8"/>
        <v>1</v>
      </c>
      <c r="AA19" s="178">
        <f t="shared" si="8"/>
        <v>1</v>
      </c>
      <c r="AD19" s="17">
        <f>CALC!E43*(A19&lt;PARAM!$B$55)</f>
        <v>7.0833333333333339</v>
      </c>
      <c r="AE19">
        <f>IF(A19&lt;ITER!$C$16,1,PARAM!$C$53^-(RATES!A19-ITER!$C$16))*(A19&lt;PARAM!$B$55)</f>
        <v>1</v>
      </c>
      <c r="AK19" s="17"/>
    </row>
    <row r="20" spans="1:37" x14ac:dyDescent="0.2">
      <c r="A20" s="9">
        <v>17</v>
      </c>
      <c r="B20" s="178">
        <f t="shared" si="6"/>
        <v>32</v>
      </c>
      <c r="C20" s="178">
        <f t="shared" si="6"/>
        <v>32</v>
      </c>
      <c r="D20" s="2">
        <f>PARAM!$H$38</f>
        <v>1</v>
      </c>
      <c r="E20" s="11">
        <f>PARAM!$G$38</f>
        <v>0</v>
      </c>
      <c r="F20" s="11">
        <f>(VLOOKUP(C20,DEDN!$A$8:$O$902,$F$2)*D20+E20)/1000</f>
        <v>5.0000000000000001E-4</v>
      </c>
      <c r="G20" s="178">
        <f t="shared" si="7"/>
        <v>1</v>
      </c>
      <c r="H20" s="178">
        <f t="shared" si="7"/>
        <v>1</v>
      </c>
      <c r="I20" s="2">
        <f>PARAM!$H$39</f>
        <v>0</v>
      </c>
      <c r="J20" s="11">
        <f>PARAM!$G$39</f>
        <v>0</v>
      </c>
      <c r="K20" s="11">
        <f>(VLOOKUP(H20,DEDN!$A$8:$O$902,$K$2)*I20+J20)/1000</f>
        <v>0</v>
      </c>
      <c r="L20" s="11">
        <f>MIN(IF(PARAM!$B$43=3,CHOOSE($L$2,F20,K20),F20+K20-F20*K20),1)</f>
        <v>5.0000000000000001E-4</v>
      </c>
      <c r="M20" s="2">
        <f>PARAM!$I$38</f>
        <v>0</v>
      </c>
      <c r="N20" s="11">
        <f>VLOOKUP(B20,DEDN!$A$8:$O$90,$N$2)*M20</f>
        <v>0</v>
      </c>
      <c r="O20" s="12"/>
      <c r="P20" s="10">
        <f>PARAM!$C$53^-A20</f>
        <v>1</v>
      </c>
      <c r="Q20" s="10">
        <f t="shared" si="4"/>
        <v>0.99930173832491198</v>
      </c>
      <c r="R20" s="10">
        <f t="shared" ref="R20:R35" si="9">P20*Q20</f>
        <v>0.99930173832491198</v>
      </c>
      <c r="S20" s="10">
        <f>CHOOSE(PARAM!$B$51,R20,0,0,0)*(A20&lt;PARAM!$B$55)</f>
        <v>0.99930173832491198</v>
      </c>
      <c r="T20" s="10">
        <f t="shared" si="1"/>
        <v>4.1647117423160296E-5</v>
      </c>
      <c r="U20" s="10">
        <f>T20*P20*(A20&lt;PARAM!$B$55)</f>
        <v>4.1647117423160296E-5</v>
      </c>
      <c r="W20">
        <v>17</v>
      </c>
      <c r="X20" s="178">
        <f t="shared" si="8"/>
        <v>32</v>
      </c>
      <c r="Y20" s="178">
        <f t="shared" si="8"/>
        <v>32</v>
      </c>
      <c r="Z20" s="178">
        <f t="shared" si="8"/>
        <v>1</v>
      </c>
      <c r="AA20" s="178">
        <f t="shared" si="8"/>
        <v>1</v>
      </c>
      <c r="AD20" s="17">
        <f>CALC!E44*(A20&lt;PARAM!$B$55)</f>
        <v>7.0833333333333339</v>
      </c>
      <c r="AE20">
        <f>IF(A20&lt;ITER!$C$16,1,PARAM!$C$53^-(RATES!A20-ITER!$C$16))*(A20&lt;PARAM!$B$55)</f>
        <v>1</v>
      </c>
      <c r="AK20" s="17"/>
    </row>
    <row r="21" spans="1:37" x14ac:dyDescent="0.2">
      <c r="A21" s="9">
        <v>18</v>
      </c>
      <c r="B21" s="178">
        <f t="shared" ref="B21:C40" si="10">B9+1</f>
        <v>33</v>
      </c>
      <c r="C21" s="178">
        <f t="shared" si="10"/>
        <v>33</v>
      </c>
      <c r="D21" s="2">
        <f>PARAM!$H$38</f>
        <v>1</v>
      </c>
      <c r="E21" s="11">
        <f>PARAM!$G$38</f>
        <v>0</v>
      </c>
      <c r="F21" s="11">
        <f>(VLOOKUP(C21,DEDN!$A$8:$O$902,$F$2)*D21+E21)/1000</f>
        <v>5.2000000000000006E-4</v>
      </c>
      <c r="G21" s="178">
        <f t="shared" ref="G21:H40" si="11">G9+1</f>
        <v>2</v>
      </c>
      <c r="H21" s="178">
        <f t="shared" si="11"/>
        <v>2</v>
      </c>
      <c r="I21" s="2">
        <f>PARAM!$H$39</f>
        <v>0</v>
      </c>
      <c r="J21" s="11">
        <f>PARAM!$G$39</f>
        <v>0</v>
      </c>
      <c r="K21" s="11">
        <f>(VLOOKUP(H21,DEDN!$A$8:$O$902,$K$2)*I21+J21)/1000</f>
        <v>0</v>
      </c>
      <c r="L21" s="11">
        <f>MIN(IF(PARAM!$B$43=3,CHOOSE($L$2,F21,K21),F21+K21-F21*K21),1)</f>
        <v>5.2000000000000006E-4</v>
      </c>
      <c r="M21" s="2">
        <f>PARAM!$I$38</f>
        <v>0</v>
      </c>
      <c r="N21" s="11">
        <f>VLOOKUP(B21,DEDN!$A$8:$O$90,$N$2)*M21</f>
        <v>0</v>
      </c>
      <c r="O21" s="12"/>
      <c r="P21" s="10">
        <f>PARAM!$C$53^-A21</f>
        <v>1</v>
      </c>
      <c r="Q21" s="10">
        <f t="shared" ref="Q21:Q36" si="12">Q20*(1-L20)^(1/12)</f>
        <v>0.99926009120748882</v>
      </c>
      <c r="R21" s="10">
        <f t="shared" si="9"/>
        <v>0.99926009120748882</v>
      </c>
      <c r="S21" s="10">
        <f>CHOOSE(PARAM!$B$51,R21,R21,R21,0)*(A21&lt;PARAM!$B$55)</f>
        <v>0.99926009120748882</v>
      </c>
      <c r="T21" s="10">
        <f t="shared" si="1"/>
        <v>4.3311594185024838E-5</v>
      </c>
      <c r="U21" s="10">
        <f>T21*P21*(A21&lt;PARAM!$B$55)</f>
        <v>4.3311594185024838E-5</v>
      </c>
      <c r="W21">
        <v>18</v>
      </c>
      <c r="X21" s="178">
        <f t="shared" ref="X21:AA40" si="13">X9+1</f>
        <v>33</v>
      </c>
      <c r="Y21" s="178">
        <f t="shared" si="13"/>
        <v>33</v>
      </c>
      <c r="Z21" s="178">
        <f t="shared" si="13"/>
        <v>2</v>
      </c>
      <c r="AA21" s="178">
        <f t="shared" si="13"/>
        <v>2</v>
      </c>
      <c r="AD21" s="17">
        <f>CALC!E45*(A21&lt;PARAM!$B$55)</f>
        <v>7.166666666666667</v>
      </c>
      <c r="AE21">
        <f>IF(A21&lt;ITER!$C$16,1,PARAM!$C$53^-(RATES!A21-ITER!$C$16))*(A21&lt;PARAM!$B$55)</f>
        <v>1</v>
      </c>
      <c r="AK21" s="17"/>
    </row>
    <row r="22" spans="1:37" x14ac:dyDescent="0.2">
      <c r="A22" s="9">
        <v>19</v>
      </c>
      <c r="B22" s="178">
        <f t="shared" si="10"/>
        <v>33</v>
      </c>
      <c r="C22" s="178">
        <f t="shared" si="10"/>
        <v>33</v>
      </c>
      <c r="D22" s="2">
        <f>PARAM!$H$38</f>
        <v>1</v>
      </c>
      <c r="E22" s="11">
        <f>PARAM!$G$38</f>
        <v>0</v>
      </c>
      <c r="F22" s="11">
        <f>(VLOOKUP(C22,DEDN!$A$8:$O$902,$F$2)*D22+E22)/1000</f>
        <v>5.2000000000000006E-4</v>
      </c>
      <c r="G22" s="178">
        <f t="shared" si="11"/>
        <v>2</v>
      </c>
      <c r="H22" s="178">
        <f t="shared" si="11"/>
        <v>2</v>
      </c>
      <c r="I22" s="2">
        <f>PARAM!$H$39</f>
        <v>0</v>
      </c>
      <c r="J22" s="11">
        <f>PARAM!$G$39</f>
        <v>0</v>
      </c>
      <c r="K22" s="11">
        <f>(VLOOKUP(H22,DEDN!$A$8:$O$902,$K$2)*I22+J22)/1000</f>
        <v>0</v>
      </c>
      <c r="L22" s="11">
        <f>MIN(IF(PARAM!$B$43=3,CHOOSE($L$2,F22,K22),F22+K22-F22*K22),1)</f>
        <v>5.2000000000000006E-4</v>
      </c>
      <c r="M22" s="2">
        <f>PARAM!$I$38</f>
        <v>0</v>
      </c>
      <c r="N22" s="11">
        <f>VLOOKUP(B22,DEDN!$A$8:$O$90,$N$2)*M22</f>
        <v>0</v>
      </c>
      <c r="O22" s="12"/>
      <c r="P22" s="10">
        <f>PARAM!$C$53^-A22</f>
        <v>1</v>
      </c>
      <c r="Q22" s="10">
        <f t="shared" si="12"/>
        <v>0.9992167796133038</v>
      </c>
      <c r="R22" s="10">
        <f t="shared" si="9"/>
        <v>0.9992167796133038</v>
      </c>
      <c r="S22" s="10">
        <f>CHOOSE(PARAM!$B$51,R22,0,0,0)*(A22&lt;PARAM!$B$55)</f>
        <v>0.9992167796133038</v>
      </c>
      <c r="T22" s="10">
        <f t="shared" si="1"/>
        <v>4.3309716901807072E-5</v>
      </c>
      <c r="U22" s="10">
        <f>T22*P22*(A22&lt;PARAM!$B$55)</f>
        <v>4.3309716901807072E-5</v>
      </c>
      <c r="W22">
        <v>19</v>
      </c>
      <c r="X22" s="178">
        <f t="shared" si="13"/>
        <v>33</v>
      </c>
      <c r="Y22" s="178">
        <f t="shared" si="13"/>
        <v>33</v>
      </c>
      <c r="Z22" s="178">
        <f t="shared" si="13"/>
        <v>2</v>
      </c>
      <c r="AA22" s="178">
        <f t="shared" si="13"/>
        <v>2</v>
      </c>
      <c r="AD22" s="17">
        <f>CALC!E46*(A22&lt;PARAM!$B$55)</f>
        <v>7.166666666666667</v>
      </c>
      <c r="AE22">
        <f>IF(A22&lt;ITER!$C$16,1,PARAM!$C$53^-(RATES!A22-ITER!$C$16))*(A22&lt;PARAM!$B$55)</f>
        <v>1</v>
      </c>
      <c r="AK22" s="17"/>
    </row>
    <row r="23" spans="1:37" x14ac:dyDescent="0.2">
      <c r="A23" s="9">
        <v>20</v>
      </c>
      <c r="B23" s="178">
        <f t="shared" si="10"/>
        <v>33</v>
      </c>
      <c r="C23" s="178">
        <f t="shared" si="10"/>
        <v>33</v>
      </c>
      <c r="D23" s="2">
        <f>PARAM!$H$38</f>
        <v>1</v>
      </c>
      <c r="E23" s="11">
        <f>PARAM!$G$38</f>
        <v>0</v>
      </c>
      <c r="F23" s="11">
        <f>(VLOOKUP(C23,DEDN!$A$8:$O$902,$F$2)*D23+E23)/1000</f>
        <v>5.2000000000000006E-4</v>
      </c>
      <c r="G23" s="178">
        <f t="shared" si="11"/>
        <v>2</v>
      </c>
      <c r="H23" s="178">
        <f t="shared" si="11"/>
        <v>2</v>
      </c>
      <c r="I23" s="2">
        <f>PARAM!$H$39</f>
        <v>0</v>
      </c>
      <c r="J23" s="11">
        <f>PARAM!$G$39</f>
        <v>0</v>
      </c>
      <c r="K23" s="11">
        <f>(VLOOKUP(H23,DEDN!$A$8:$O$902,$K$2)*I23+J23)/1000</f>
        <v>0</v>
      </c>
      <c r="L23" s="11">
        <f>MIN(IF(PARAM!$B$43=3,CHOOSE($L$2,F23,K23),F23+K23-F23*K23),1)</f>
        <v>5.2000000000000006E-4</v>
      </c>
      <c r="M23" s="2">
        <f>PARAM!$I$38</f>
        <v>0</v>
      </c>
      <c r="N23" s="11">
        <f>VLOOKUP(B23,DEDN!$A$8:$O$90,$N$2)*M23</f>
        <v>0</v>
      </c>
      <c r="O23" s="12"/>
      <c r="P23" s="10">
        <f>PARAM!$C$53^-A23</f>
        <v>1</v>
      </c>
      <c r="Q23" s="10">
        <f t="shared" si="12"/>
        <v>0.99917346989640199</v>
      </c>
      <c r="R23" s="10">
        <f t="shared" si="9"/>
        <v>0.99917346989640199</v>
      </c>
      <c r="S23" s="10">
        <f>CHOOSE(PARAM!$B$51,R23,0,0,0)*(A23&lt;PARAM!$B$55)</f>
        <v>0.99917346989640199</v>
      </c>
      <c r="T23" s="10">
        <f t="shared" si="1"/>
        <v>4.3307839699968653E-5</v>
      </c>
      <c r="U23" s="10">
        <f>T23*P23*(A23&lt;PARAM!$B$55)</f>
        <v>4.3307839699968653E-5</v>
      </c>
      <c r="W23">
        <v>20</v>
      </c>
      <c r="X23" s="178">
        <f t="shared" si="13"/>
        <v>33</v>
      </c>
      <c r="Y23" s="178">
        <f t="shared" si="13"/>
        <v>33</v>
      </c>
      <c r="Z23" s="178">
        <f t="shared" si="13"/>
        <v>2</v>
      </c>
      <c r="AA23" s="178">
        <f t="shared" si="13"/>
        <v>2</v>
      </c>
      <c r="AD23" s="17">
        <f>CALC!E47*(A23&lt;PARAM!$B$55)</f>
        <v>7.166666666666667</v>
      </c>
      <c r="AE23">
        <f>IF(A23&lt;ITER!$C$16,1,PARAM!$C$53^-(RATES!A23-ITER!$C$16))*(A23&lt;PARAM!$B$55)</f>
        <v>1</v>
      </c>
      <c r="AK23" s="17"/>
    </row>
    <row r="24" spans="1:37" x14ac:dyDescent="0.2">
      <c r="A24" s="9">
        <v>21</v>
      </c>
      <c r="B24" s="178">
        <f t="shared" si="10"/>
        <v>33</v>
      </c>
      <c r="C24" s="178">
        <f t="shared" si="10"/>
        <v>33</v>
      </c>
      <c r="D24" s="2">
        <f>PARAM!$H$38</f>
        <v>1</v>
      </c>
      <c r="E24" s="11">
        <f>PARAM!$G$38</f>
        <v>0</v>
      </c>
      <c r="F24" s="11">
        <f>(VLOOKUP(C24,DEDN!$A$8:$O$902,$F$2)*D24+E24)/1000</f>
        <v>5.2000000000000006E-4</v>
      </c>
      <c r="G24" s="178">
        <f t="shared" si="11"/>
        <v>2</v>
      </c>
      <c r="H24" s="178">
        <f t="shared" si="11"/>
        <v>2</v>
      </c>
      <c r="I24" s="2">
        <f>PARAM!$H$39</f>
        <v>0</v>
      </c>
      <c r="J24" s="11">
        <f>PARAM!$G$39</f>
        <v>0</v>
      </c>
      <c r="K24" s="11">
        <f>(VLOOKUP(H24,DEDN!$A$8:$O$902,$K$2)*I24+J24)/1000</f>
        <v>0</v>
      </c>
      <c r="L24" s="11">
        <f>MIN(IF(PARAM!$B$43=3,CHOOSE($L$2,F24,K24),F24+K24-F24*K24),1)</f>
        <v>5.2000000000000006E-4</v>
      </c>
      <c r="M24" s="2">
        <f>PARAM!$I$38</f>
        <v>0</v>
      </c>
      <c r="N24" s="11">
        <f>VLOOKUP(B24,DEDN!$A$8:$O$90,$N$2)*M24</f>
        <v>0</v>
      </c>
      <c r="O24" s="12"/>
      <c r="P24" s="10">
        <f>PARAM!$C$53^-A24</f>
        <v>1</v>
      </c>
      <c r="Q24" s="10">
        <f t="shared" si="12"/>
        <v>0.99913016205670202</v>
      </c>
      <c r="R24" s="10">
        <f t="shared" si="9"/>
        <v>0.99913016205670202</v>
      </c>
      <c r="S24" s="10">
        <f>CHOOSE(PARAM!$B$51,R24,R24,0,0)*(A24&lt;PARAM!$B$55)</f>
        <v>0.99913016205670202</v>
      </c>
      <c r="T24" s="10">
        <f t="shared" si="1"/>
        <v>4.3305962579509583E-5</v>
      </c>
      <c r="U24" s="10">
        <f>T24*P24*(A24&lt;PARAM!$B$55)</f>
        <v>4.3305962579509583E-5</v>
      </c>
      <c r="W24">
        <v>21</v>
      </c>
      <c r="X24" s="178">
        <f t="shared" si="13"/>
        <v>33</v>
      </c>
      <c r="Y24" s="178">
        <f t="shared" si="13"/>
        <v>33</v>
      </c>
      <c r="Z24" s="178">
        <f t="shared" si="13"/>
        <v>2</v>
      </c>
      <c r="AA24" s="178">
        <f t="shared" si="13"/>
        <v>2</v>
      </c>
      <c r="AD24" s="17">
        <f>CALC!E48*(A24&lt;PARAM!$B$55)</f>
        <v>7.166666666666667</v>
      </c>
      <c r="AE24">
        <f>IF(A24&lt;ITER!$C$16,1,PARAM!$C$53^-(RATES!A24-ITER!$C$16))*(A24&lt;PARAM!$B$55)</f>
        <v>1</v>
      </c>
      <c r="AK24" s="17"/>
    </row>
    <row r="25" spans="1:37" x14ac:dyDescent="0.2">
      <c r="A25" s="9">
        <v>22</v>
      </c>
      <c r="B25" s="178">
        <f t="shared" si="10"/>
        <v>33</v>
      </c>
      <c r="C25" s="178">
        <f t="shared" si="10"/>
        <v>33</v>
      </c>
      <c r="D25" s="2">
        <f>PARAM!$H$38</f>
        <v>1</v>
      </c>
      <c r="E25" s="11">
        <f>PARAM!$G$38</f>
        <v>0</v>
      </c>
      <c r="F25" s="11">
        <f>(VLOOKUP(C25,DEDN!$A$8:$O$902,$F$2)*D25+E25)/1000</f>
        <v>5.2000000000000006E-4</v>
      </c>
      <c r="G25" s="178">
        <f t="shared" si="11"/>
        <v>2</v>
      </c>
      <c r="H25" s="178">
        <f t="shared" si="11"/>
        <v>2</v>
      </c>
      <c r="I25" s="2">
        <f>PARAM!$H$39</f>
        <v>0</v>
      </c>
      <c r="J25" s="11">
        <f>PARAM!$G$39</f>
        <v>0</v>
      </c>
      <c r="K25" s="11">
        <f>(VLOOKUP(H25,DEDN!$A$8:$O$902,$K$2)*I25+J25)/1000</f>
        <v>0</v>
      </c>
      <c r="L25" s="11">
        <f>MIN(IF(PARAM!$B$43=3,CHOOSE($L$2,F25,K25),F25+K25-F25*K25),1)</f>
        <v>5.2000000000000006E-4</v>
      </c>
      <c r="M25" s="2">
        <f>PARAM!$I$38</f>
        <v>0</v>
      </c>
      <c r="N25" s="11">
        <f>VLOOKUP(B25,DEDN!$A$8:$O$90,$N$2)*M25</f>
        <v>0</v>
      </c>
      <c r="O25" s="12"/>
      <c r="P25" s="10">
        <f>PARAM!$C$53^-A25</f>
        <v>1</v>
      </c>
      <c r="Q25" s="10">
        <f t="shared" si="12"/>
        <v>0.99908685609412251</v>
      </c>
      <c r="R25" s="10">
        <f t="shared" si="9"/>
        <v>0.99908685609412251</v>
      </c>
      <c r="S25" s="10">
        <f>CHOOSE(PARAM!$B$51,R25,0,0,0)*(A25&lt;PARAM!$B$55)</f>
        <v>0.99908685609412251</v>
      </c>
      <c r="T25" s="10">
        <f t="shared" si="1"/>
        <v>4.3304085540318837E-5</v>
      </c>
      <c r="U25" s="10">
        <f>T25*P25*(A25&lt;PARAM!$B$55)</f>
        <v>4.3304085540318837E-5</v>
      </c>
      <c r="W25">
        <v>22</v>
      </c>
      <c r="X25" s="178">
        <f t="shared" si="13"/>
        <v>33</v>
      </c>
      <c r="Y25" s="178">
        <f t="shared" si="13"/>
        <v>33</v>
      </c>
      <c r="Z25" s="178">
        <f t="shared" si="13"/>
        <v>2</v>
      </c>
      <c r="AA25" s="178">
        <f t="shared" si="13"/>
        <v>2</v>
      </c>
      <c r="AD25" s="17">
        <f>CALC!E49*(A25&lt;PARAM!$B$55)</f>
        <v>7.166666666666667</v>
      </c>
      <c r="AE25">
        <f>IF(A25&lt;ITER!$C$16,1,PARAM!$C$53^-(RATES!A25-ITER!$C$16))*(A25&lt;PARAM!$B$55)</f>
        <v>1</v>
      </c>
      <c r="AK25" s="17"/>
    </row>
    <row r="26" spans="1:37" x14ac:dyDescent="0.2">
      <c r="A26" s="9">
        <v>23</v>
      </c>
      <c r="B26" s="178">
        <f t="shared" si="10"/>
        <v>33</v>
      </c>
      <c r="C26" s="178">
        <f t="shared" si="10"/>
        <v>33</v>
      </c>
      <c r="D26" s="2">
        <f>PARAM!$H$38</f>
        <v>1</v>
      </c>
      <c r="E26" s="11">
        <f>PARAM!$G$38</f>
        <v>0</v>
      </c>
      <c r="F26" s="11">
        <f>(VLOOKUP(C26,DEDN!$A$8:$O$902,$F$2)*D26+E26)/1000</f>
        <v>5.2000000000000006E-4</v>
      </c>
      <c r="G26" s="178">
        <f t="shared" si="11"/>
        <v>2</v>
      </c>
      <c r="H26" s="178">
        <f t="shared" si="11"/>
        <v>2</v>
      </c>
      <c r="I26" s="2">
        <f>PARAM!$H$39</f>
        <v>0</v>
      </c>
      <c r="J26" s="11">
        <f>PARAM!$G$39</f>
        <v>0</v>
      </c>
      <c r="K26" s="11">
        <f>(VLOOKUP(H26,DEDN!$A$8:$O$902,$K$2)*I26+J26)/1000</f>
        <v>0</v>
      </c>
      <c r="L26" s="11">
        <f>MIN(IF(PARAM!$B$43=3,CHOOSE($L$2,F26,K26),F26+K26-F26*K26),1)</f>
        <v>5.2000000000000006E-4</v>
      </c>
      <c r="M26" s="2">
        <f>PARAM!$I$38</f>
        <v>0</v>
      </c>
      <c r="N26" s="11">
        <f>VLOOKUP(B26,DEDN!$A$8:$O$90,$N$2)*M26</f>
        <v>0</v>
      </c>
      <c r="O26" s="12"/>
      <c r="P26" s="10">
        <f>PARAM!$C$53^-A26</f>
        <v>1</v>
      </c>
      <c r="Q26" s="10">
        <f t="shared" si="12"/>
        <v>0.99904355200858219</v>
      </c>
      <c r="R26" s="10">
        <f t="shared" si="9"/>
        <v>0.99904355200858219</v>
      </c>
      <c r="S26" s="10">
        <f>CHOOSE(PARAM!$B$51,R26,0,0,0)*(A26&lt;PARAM!$B$55)</f>
        <v>0.99904355200858219</v>
      </c>
      <c r="T26" s="10">
        <f t="shared" si="1"/>
        <v>4.3302208582618462E-5</v>
      </c>
      <c r="U26" s="10">
        <f>T26*P26*(A26&lt;PARAM!$B$55)</f>
        <v>4.3302208582618462E-5</v>
      </c>
      <c r="W26">
        <v>23</v>
      </c>
      <c r="X26" s="178">
        <f t="shared" si="13"/>
        <v>33</v>
      </c>
      <c r="Y26" s="178">
        <f t="shared" si="13"/>
        <v>33</v>
      </c>
      <c r="Z26" s="178">
        <f t="shared" si="13"/>
        <v>2</v>
      </c>
      <c r="AA26" s="178">
        <f t="shared" si="13"/>
        <v>2</v>
      </c>
      <c r="AD26" s="17">
        <f>CALC!E50*(A26&lt;PARAM!$B$55)</f>
        <v>7.166666666666667</v>
      </c>
      <c r="AE26">
        <f>IF(A26&lt;ITER!$C$16,1,PARAM!$C$53^-(RATES!A26-ITER!$C$16))*(A26&lt;PARAM!$B$55)</f>
        <v>1</v>
      </c>
      <c r="AK26" s="17"/>
    </row>
    <row r="27" spans="1:37" x14ac:dyDescent="0.2">
      <c r="A27" s="9">
        <v>24</v>
      </c>
      <c r="B27" s="178">
        <f t="shared" si="10"/>
        <v>33</v>
      </c>
      <c r="C27" s="178">
        <f t="shared" si="10"/>
        <v>33</v>
      </c>
      <c r="D27" s="2">
        <f>PARAM!$H$38</f>
        <v>1</v>
      </c>
      <c r="E27" s="11">
        <f>PARAM!$G$38</f>
        <v>0</v>
      </c>
      <c r="F27" s="11">
        <f>(VLOOKUP(C27,DEDN!$A$8:$O$902,$F$2)*D27+E27)/1000</f>
        <v>5.2000000000000006E-4</v>
      </c>
      <c r="G27" s="178">
        <f t="shared" si="11"/>
        <v>2</v>
      </c>
      <c r="H27" s="178">
        <f t="shared" si="11"/>
        <v>2</v>
      </c>
      <c r="I27" s="2">
        <f>PARAM!$H$39</f>
        <v>0</v>
      </c>
      <c r="J27" s="11">
        <f>PARAM!$G$39</f>
        <v>0</v>
      </c>
      <c r="K27" s="11">
        <f>(VLOOKUP(H27,DEDN!$A$8:$O$902,$K$2)*I27+J27)/1000</f>
        <v>0</v>
      </c>
      <c r="L27" s="11">
        <f>MIN(IF(PARAM!$B$43=3,CHOOSE($L$2,F27,K27),F27+K27-F27*K27),1)</f>
        <v>5.2000000000000006E-4</v>
      </c>
      <c r="M27" s="2">
        <f>PARAM!$I$38</f>
        <v>0</v>
      </c>
      <c r="N27" s="11">
        <f>VLOOKUP(B27,DEDN!$A$8:$O$90,$N$2)*M27</f>
        <v>0</v>
      </c>
      <c r="O27" s="12"/>
      <c r="P27" s="10">
        <f>PARAM!$C$53^-A27</f>
        <v>1</v>
      </c>
      <c r="Q27" s="10">
        <f t="shared" si="12"/>
        <v>0.99900024979999957</v>
      </c>
      <c r="R27" s="10">
        <f t="shared" si="9"/>
        <v>0.99900024979999957</v>
      </c>
      <c r="S27" s="10">
        <f>R27*(A27&lt;PARAM!$B$55)</f>
        <v>0.99900024979999957</v>
      </c>
      <c r="T27" s="10">
        <f t="shared" si="1"/>
        <v>4.3300331706186412E-5</v>
      </c>
      <c r="U27" s="10">
        <f>T27*P27*(A27&lt;PARAM!$B$55)</f>
        <v>4.3300331706186412E-5</v>
      </c>
      <c r="W27">
        <v>24</v>
      </c>
      <c r="X27" s="178">
        <f t="shared" si="13"/>
        <v>33</v>
      </c>
      <c r="Y27" s="178">
        <f t="shared" si="13"/>
        <v>33</v>
      </c>
      <c r="Z27" s="178">
        <f t="shared" si="13"/>
        <v>2</v>
      </c>
      <c r="AA27" s="178">
        <f t="shared" si="13"/>
        <v>2</v>
      </c>
      <c r="AD27" s="17">
        <f>CALC!E51*(A27&lt;PARAM!$B$55)</f>
        <v>7.166666666666667</v>
      </c>
      <c r="AE27">
        <f>IF(A27&lt;ITER!$C$16,1,PARAM!$C$53^-(RATES!A27-ITER!$C$16))*(A27&lt;PARAM!$B$55)</f>
        <v>1</v>
      </c>
      <c r="AK27" s="17"/>
    </row>
    <row r="28" spans="1:37" x14ac:dyDescent="0.2">
      <c r="A28" s="9">
        <v>25</v>
      </c>
      <c r="B28" s="178">
        <f t="shared" si="10"/>
        <v>33</v>
      </c>
      <c r="C28" s="178">
        <f t="shared" si="10"/>
        <v>33</v>
      </c>
      <c r="D28" s="2">
        <f>PARAM!$H$38</f>
        <v>1</v>
      </c>
      <c r="E28" s="11">
        <f>PARAM!$G$38</f>
        <v>0</v>
      </c>
      <c r="F28" s="11">
        <f>(VLOOKUP(C28,DEDN!$A$8:$O$902,$F$2)*D28+E28)/1000</f>
        <v>5.2000000000000006E-4</v>
      </c>
      <c r="G28" s="178">
        <f t="shared" si="11"/>
        <v>2</v>
      </c>
      <c r="H28" s="178">
        <f t="shared" si="11"/>
        <v>2</v>
      </c>
      <c r="I28" s="2">
        <f>PARAM!$H$39</f>
        <v>0</v>
      </c>
      <c r="J28" s="11">
        <f>PARAM!$G$39</f>
        <v>0</v>
      </c>
      <c r="K28" s="11">
        <f>(VLOOKUP(H28,DEDN!$A$8:$O$902,$K$2)*I28+J28)/1000</f>
        <v>0</v>
      </c>
      <c r="L28" s="11">
        <f>MIN(IF(PARAM!$B$43=3,CHOOSE($L$2,F28,K28),F28+K28-F28*K28),1)</f>
        <v>5.2000000000000006E-4</v>
      </c>
      <c r="M28" s="2">
        <f>PARAM!$I$38</f>
        <v>0</v>
      </c>
      <c r="N28" s="11">
        <f>VLOOKUP(B28,DEDN!$A$8:$O$90,$N$2)*M28</f>
        <v>0</v>
      </c>
      <c r="O28" s="12"/>
      <c r="P28" s="10">
        <f>PARAM!$C$53^-A28</f>
        <v>1</v>
      </c>
      <c r="Q28" s="10">
        <f t="shared" si="12"/>
        <v>0.99895694946829339</v>
      </c>
      <c r="R28" s="10">
        <f t="shared" si="9"/>
        <v>0.99895694946829339</v>
      </c>
      <c r="S28" s="10">
        <f>CHOOSE(PARAM!$B$51,R28,0,0,0)*(A28&lt;PARAM!$B$55)</f>
        <v>0.99895694946829339</v>
      </c>
      <c r="T28" s="10">
        <f t="shared" si="1"/>
        <v>4.329845491113371E-5</v>
      </c>
      <c r="U28" s="10">
        <f>T28*P28*(A28&lt;PARAM!$B$55)</f>
        <v>4.329845491113371E-5</v>
      </c>
      <c r="W28">
        <v>25</v>
      </c>
      <c r="X28" s="178">
        <f t="shared" si="13"/>
        <v>33</v>
      </c>
      <c r="Y28" s="178">
        <f t="shared" si="13"/>
        <v>33</v>
      </c>
      <c r="Z28" s="178">
        <f t="shared" si="13"/>
        <v>2</v>
      </c>
      <c r="AA28" s="178">
        <f t="shared" si="13"/>
        <v>2</v>
      </c>
      <c r="AD28" s="17">
        <f>CALC!E52*(A28&lt;PARAM!$B$55)</f>
        <v>7.166666666666667</v>
      </c>
      <c r="AE28">
        <f>IF(A28&lt;ITER!$C$16,1,PARAM!$C$53^-(RATES!A28-ITER!$C$16))*(A28&lt;PARAM!$B$55)</f>
        <v>1</v>
      </c>
      <c r="AK28" s="17"/>
    </row>
    <row r="29" spans="1:37" x14ac:dyDescent="0.2">
      <c r="A29" s="9">
        <v>26</v>
      </c>
      <c r="B29" s="178">
        <f t="shared" si="10"/>
        <v>33</v>
      </c>
      <c r="C29" s="178">
        <f t="shared" si="10"/>
        <v>33</v>
      </c>
      <c r="D29" s="2">
        <f>PARAM!$H$38</f>
        <v>1</v>
      </c>
      <c r="E29" s="11">
        <f>PARAM!$G$38</f>
        <v>0</v>
      </c>
      <c r="F29" s="11">
        <f>(VLOOKUP(C29,DEDN!$A$8:$O$902,$F$2)*D29+E29)/1000</f>
        <v>5.2000000000000006E-4</v>
      </c>
      <c r="G29" s="178">
        <f t="shared" si="11"/>
        <v>2</v>
      </c>
      <c r="H29" s="178">
        <f t="shared" si="11"/>
        <v>2</v>
      </c>
      <c r="I29" s="2">
        <f>PARAM!$H$39</f>
        <v>0</v>
      </c>
      <c r="J29" s="11">
        <f>PARAM!$G$39</f>
        <v>0</v>
      </c>
      <c r="K29" s="11">
        <f>(VLOOKUP(H29,DEDN!$A$8:$O$902,$K$2)*I29+J29)/1000</f>
        <v>0</v>
      </c>
      <c r="L29" s="11">
        <f>MIN(IF(PARAM!$B$43=3,CHOOSE($L$2,F29,K29),F29+K29-F29*K29),1)</f>
        <v>5.2000000000000006E-4</v>
      </c>
      <c r="M29" s="2">
        <f>PARAM!$I$38</f>
        <v>0</v>
      </c>
      <c r="N29" s="11">
        <f>VLOOKUP(B29,DEDN!$A$8:$O$90,$N$2)*M29</f>
        <v>0</v>
      </c>
      <c r="O29" s="12"/>
      <c r="P29" s="10">
        <f>PARAM!$C$53^-A29</f>
        <v>1</v>
      </c>
      <c r="Q29" s="10">
        <f t="shared" si="12"/>
        <v>0.99891365101338225</v>
      </c>
      <c r="R29" s="10">
        <f t="shared" si="9"/>
        <v>0.99891365101338225</v>
      </c>
      <c r="S29" s="10">
        <f>CHOOSE(PARAM!$B$51,R29,0,0,0)*(A29&lt;PARAM!$B$55)</f>
        <v>0.99891365101338225</v>
      </c>
      <c r="T29" s="10">
        <f t="shared" si="1"/>
        <v>4.3296578197460356E-5</v>
      </c>
      <c r="U29" s="10">
        <f>T29*P29*(A29&lt;PARAM!$B$55)</f>
        <v>4.3296578197460356E-5</v>
      </c>
      <c r="W29">
        <v>26</v>
      </c>
      <c r="X29" s="178">
        <f t="shared" si="13"/>
        <v>33</v>
      </c>
      <c r="Y29" s="178">
        <f t="shared" si="13"/>
        <v>33</v>
      </c>
      <c r="Z29" s="178">
        <f t="shared" si="13"/>
        <v>2</v>
      </c>
      <c r="AA29" s="178">
        <f t="shared" si="13"/>
        <v>2</v>
      </c>
      <c r="AD29" s="17">
        <f>CALC!E53*(A29&lt;PARAM!$B$55)</f>
        <v>7.166666666666667</v>
      </c>
      <c r="AE29">
        <f>IF(A29&lt;ITER!$C$16,1,PARAM!$C$53^-(RATES!A29-ITER!$C$16))*(A29&lt;PARAM!$B$55)</f>
        <v>1</v>
      </c>
      <c r="AK29" s="17"/>
    </row>
    <row r="30" spans="1:37" x14ac:dyDescent="0.2">
      <c r="A30" s="9">
        <v>27</v>
      </c>
      <c r="B30" s="178">
        <f t="shared" si="10"/>
        <v>33</v>
      </c>
      <c r="C30" s="178">
        <f t="shared" si="10"/>
        <v>33</v>
      </c>
      <c r="D30" s="2">
        <f>PARAM!$H$38</f>
        <v>1</v>
      </c>
      <c r="E30" s="11">
        <f>PARAM!$G$38</f>
        <v>0</v>
      </c>
      <c r="F30" s="11">
        <f>(VLOOKUP(C30,DEDN!$A$8:$O$902,$F$2)*D30+E30)/1000</f>
        <v>5.2000000000000006E-4</v>
      </c>
      <c r="G30" s="178">
        <f t="shared" si="11"/>
        <v>2</v>
      </c>
      <c r="H30" s="178">
        <f t="shared" si="11"/>
        <v>2</v>
      </c>
      <c r="I30" s="2">
        <f>PARAM!$H$39</f>
        <v>0</v>
      </c>
      <c r="J30" s="11">
        <f>PARAM!$G$39</f>
        <v>0</v>
      </c>
      <c r="K30" s="11">
        <f>(VLOOKUP(H30,DEDN!$A$8:$O$902,$K$2)*I30+J30)/1000</f>
        <v>0</v>
      </c>
      <c r="L30" s="11">
        <f>MIN(IF(PARAM!$B$43=3,CHOOSE($L$2,F30,K30),F30+K30-F30*K30),1)</f>
        <v>5.2000000000000006E-4</v>
      </c>
      <c r="M30" s="2">
        <f>PARAM!$I$38</f>
        <v>0</v>
      </c>
      <c r="N30" s="11">
        <f>VLOOKUP(B30,DEDN!$A$8:$O$90,$N$2)*M30</f>
        <v>0</v>
      </c>
      <c r="O30" s="12"/>
      <c r="P30" s="10">
        <f>PARAM!$C$53^-A30</f>
        <v>1</v>
      </c>
      <c r="Q30" s="10">
        <f t="shared" si="12"/>
        <v>0.99887035443518479</v>
      </c>
      <c r="R30" s="10">
        <f t="shared" si="9"/>
        <v>0.99887035443518479</v>
      </c>
      <c r="S30" s="10">
        <f>CHOOSE(PARAM!$B$51,R30,R30,0,0)*(A30&lt;PARAM!$B$55)</f>
        <v>0.99887035443518479</v>
      </c>
      <c r="T30" s="10">
        <f t="shared" si="1"/>
        <v>4.3294701565055327E-5</v>
      </c>
      <c r="U30" s="10">
        <f>T30*P30*(A30&lt;PARAM!$B$55)</f>
        <v>4.3294701565055327E-5</v>
      </c>
      <c r="W30">
        <v>27</v>
      </c>
      <c r="X30" s="178">
        <f t="shared" si="13"/>
        <v>33</v>
      </c>
      <c r="Y30" s="178">
        <f t="shared" si="13"/>
        <v>33</v>
      </c>
      <c r="Z30" s="178">
        <f t="shared" si="13"/>
        <v>2</v>
      </c>
      <c r="AA30" s="178">
        <f t="shared" si="13"/>
        <v>2</v>
      </c>
      <c r="AD30" s="17">
        <f>CALC!E54*(A30&lt;PARAM!$B$55)</f>
        <v>7.166666666666667</v>
      </c>
      <c r="AE30">
        <f>IF(A30&lt;ITER!$C$16,1,PARAM!$C$53^-(RATES!A30-ITER!$C$16))*(A30&lt;PARAM!$B$55)</f>
        <v>1</v>
      </c>
      <c r="AK30" s="17"/>
    </row>
    <row r="31" spans="1:37" x14ac:dyDescent="0.2">
      <c r="A31" s="9">
        <v>28</v>
      </c>
      <c r="B31" s="178">
        <f t="shared" si="10"/>
        <v>33</v>
      </c>
      <c r="C31" s="178">
        <f t="shared" si="10"/>
        <v>33</v>
      </c>
      <c r="D31" s="2">
        <f>PARAM!$H$38</f>
        <v>1</v>
      </c>
      <c r="E31" s="11">
        <f>PARAM!$G$38</f>
        <v>0</v>
      </c>
      <c r="F31" s="11">
        <f>(VLOOKUP(C31,DEDN!$A$8:$O$902,$F$2)*D31+E31)/1000</f>
        <v>5.2000000000000006E-4</v>
      </c>
      <c r="G31" s="178">
        <f t="shared" si="11"/>
        <v>2</v>
      </c>
      <c r="H31" s="178">
        <f t="shared" si="11"/>
        <v>2</v>
      </c>
      <c r="I31" s="2">
        <f>PARAM!$H$39</f>
        <v>0</v>
      </c>
      <c r="J31" s="11">
        <f>PARAM!$G$39</f>
        <v>0</v>
      </c>
      <c r="K31" s="11">
        <f>(VLOOKUP(H31,DEDN!$A$8:$O$902,$K$2)*I31+J31)/1000</f>
        <v>0</v>
      </c>
      <c r="L31" s="11">
        <f>MIN(IF(PARAM!$B$43=3,CHOOSE($L$2,F31,K31),F31+K31-F31*K31),1)</f>
        <v>5.2000000000000006E-4</v>
      </c>
      <c r="M31" s="2">
        <f>PARAM!$I$38</f>
        <v>0</v>
      </c>
      <c r="N31" s="11">
        <f>VLOOKUP(B31,DEDN!$A$8:$O$90,$N$2)*M31</f>
        <v>0</v>
      </c>
      <c r="O31" s="12"/>
      <c r="P31" s="10">
        <f>PARAM!$C$53^-A31</f>
        <v>1</v>
      </c>
      <c r="Q31" s="10">
        <f t="shared" si="12"/>
        <v>0.99882705973361974</v>
      </c>
      <c r="R31" s="10">
        <f t="shared" si="9"/>
        <v>0.99882705973361974</v>
      </c>
      <c r="S31" s="10">
        <f>CHOOSE(PARAM!$B$51,R31,0,0,0)*(A31&lt;PARAM!$B$55)</f>
        <v>0.99882705973361974</v>
      </c>
      <c r="T31" s="10">
        <f t="shared" si="1"/>
        <v>4.3292825014029646E-5</v>
      </c>
      <c r="U31" s="10">
        <f>T31*P31*(A31&lt;PARAM!$B$55)</f>
        <v>4.3292825014029646E-5</v>
      </c>
      <c r="W31">
        <v>28</v>
      </c>
      <c r="X31" s="178">
        <f t="shared" si="13"/>
        <v>33</v>
      </c>
      <c r="Y31" s="178">
        <f t="shared" si="13"/>
        <v>33</v>
      </c>
      <c r="Z31" s="178">
        <f t="shared" si="13"/>
        <v>2</v>
      </c>
      <c r="AA31" s="178">
        <f t="shared" si="13"/>
        <v>2</v>
      </c>
      <c r="AD31" s="17">
        <f>CALC!E55*(A31&lt;PARAM!$B$55)</f>
        <v>7.166666666666667</v>
      </c>
      <c r="AE31">
        <f>IF(A31&lt;ITER!$C$16,1,PARAM!$C$53^-(RATES!A31-ITER!$C$16))*(A31&lt;PARAM!$B$55)</f>
        <v>1</v>
      </c>
      <c r="AK31" s="17"/>
    </row>
    <row r="32" spans="1:37" x14ac:dyDescent="0.2">
      <c r="A32" s="9">
        <v>29</v>
      </c>
      <c r="B32" s="178">
        <f t="shared" si="10"/>
        <v>33</v>
      </c>
      <c r="C32" s="178">
        <f t="shared" si="10"/>
        <v>33</v>
      </c>
      <c r="D32" s="2">
        <f>PARAM!$H$38</f>
        <v>1</v>
      </c>
      <c r="E32" s="11">
        <f>PARAM!$G$38</f>
        <v>0</v>
      </c>
      <c r="F32" s="11">
        <f>(VLOOKUP(C32,DEDN!$A$8:$O$902,$F$2)*D32+E32)/1000</f>
        <v>5.2000000000000006E-4</v>
      </c>
      <c r="G32" s="178">
        <f t="shared" si="11"/>
        <v>2</v>
      </c>
      <c r="H32" s="178">
        <f t="shared" si="11"/>
        <v>2</v>
      </c>
      <c r="I32" s="2">
        <f>PARAM!$H$39</f>
        <v>0</v>
      </c>
      <c r="J32" s="11">
        <f>PARAM!$G$39</f>
        <v>0</v>
      </c>
      <c r="K32" s="11">
        <f>(VLOOKUP(H32,DEDN!$A$8:$O$902,$K$2)*I32+J32)/1000</f>
        <v>0</v>
      </c>
      <c r="L32" s="11">
        <f>MIN(IF(PARAM!$B$43=3,CHOOSE($L$2,F32,K32),F32+K32-F32*K32),1)</f>
        <v>5.2000000000000006E-4</v>
      </c>
      <c r="M32" s="2">
        <f>PARAM!$I$38</f>
        <v>0</v>
      </c>
      <c r="N32" s="11">
        <f>VLOOKUP(B32,DEDN!$A$8:$O$90,$N$2)*M32</f>
        <v>0</v>
      </c>
      <c r="O32" s="12"/>
      <c r="P32" s="10">
        <f>PARAM!$C$53^-A32</f>
        <v>1</v>
      </c>
      <c r="Q32" s="10">
        <f t="shared" si="12"/>
        <v>0.99878376690860571</v>
      </c>
      <c r="R32" s="10">
        <f t="shared" si="9"/>
        <v>0.99878376690860571</v>
      </c>
      <c r="S32" s="10">
        <f>CHOOSE(PARAM!$B$51,R32,0,0,0)*(A32&lt;PARAM!$B$55)</f>
        <v>0.99878376690860571</v>
      </c>
      <c r="T32" s="10">
        <f t="shared" si="1"/>
        <v>4.3290948544383312E-5</v>
      </c>
      <c r="U32" s="10">
        <f>T32*P32*(A32&lt;PARAM!$B$55)</f>
        <v>4.3290948544383312E-5</v>
      </c>
      <c r="W32">
        <v>29</v>
      </c>
      <c r="X32" s="178">
        <f t="shared" si="13"/>
        <v>33</v>
      </c>
      <c r="Y32" s="178">
        <f t="shared" si="13"/>
        <v>33</v>
      </c>
      <c r="Z32" s="178">
        <f t="shared" si="13"/>
        <v>2</v>
      </c>
      <c r="AA32" s="178">
        <f t="shared" si="13"/>
        <v>2</v>
      </c>
      <c r="AD32" s="17">
        <f>CALC!E56*(A32&lt;PARAM!$B$55)</f>
        <v>7.166666666666667</v>
      </c>
      <c r="AE32">
        <f>IF(A32&lt;ITER!$C$16,1,PARAM!$C$53^-(RATES!A32-ITER!$C$16))*(A32&lt;PARAM!$B$55)</f>
        <v>1</v>
      </c>
      <c r="AK32" s="17"/>
    </row>
    <row r="33" spans="1:37" x14ac:dyDescent="0.2">
      <c r="A33" s="9">
        <v>30</v>
      </c>
      <c r="B33" s="178">
        <f t="shared" si="10"/>
        <v>34</v>
      </c>
      <c r="C33" s="178">
        <f t="shared" si="10"/>
        <v>34</v>
      </c>
      <c r="D33" s="2">
        <f>PARAM!$H$38</f>
        <v>1</v>
      </c>
      <c r="E33" s="11">
        <f>PARAM!$G$38</f>
        <v>0</v>
      </c>
      <c r="F33" s="11">
        <f>(VLOOKUP(C33,DEDN!$A$8:$O$902,$F$2)*D33+E33)/1000</f>
        <v>5.6000000000000006E-4</v>
      </c>
      <c r="G33" s="178">
        <f t="shared" si="11"/>
        <v>3</v>
      </c>
      <c r="H33" s="178">
        <f t="shared" si="11"/>
        <v>3</v>
      </c>
      <c r="I33" s="2">
        <f>PARAM!$H$39</f>
        <v>0</v>
      </c>
      <c r="J33" s="11">
        <f>PARAM!$G$39</f>
        <v>0</v>
      </c>
      <c r="K33" s="11">
        <f>(VLOOKUP(H33,DEDN!$A$8:$O$902,$K$2)*I33+J33)/1000</f>
        <v>0</v>
      </c>
      <c r="L33" s="11">
        <f>MIN(IF(PARAM!$B$43=3,CHOOSE($L$2,F33,K33),F33+K33-F33*K33),1)</f>
        <v>5.6000000000000006E-4</v>
      </c>
      <c r="M33" s="2">
        <f>PARAM!$I$38</f>
        <v>0</v>
      </c>
      <c r="N33" s="11">
        <f>VLOOKUP(B33,DEDN!$A$8:$O$90,$N$2)*M33</f>
        <v>0</v>
      </c>
      <c r="O33" s="12"/>
      <c r="P33" s="10">
        <f>PARAM!$C$53^-A33</f>
        <v>1</v>
      </c>
      <c r="Q33" s="10">
        <f t="shared" si="12"/>
        <v>0.99874047596006132</v>
      </c>
      <c r="R33" s="10">
        <f t="shared" si="9"/>
        <v>0.99874047596006132</v>
      </c>
      <c r="S33" s="10">
        <f>CHOOSE(PARAM!$B$51,R33,R33,R33,0)*(A33&lt;PARAM!$B$55)</f>
        <v>0.99874047596006132</v>
      </c>
      <c r="T33" s="10">
        <f t="shared" si="1"/>
        <v>4.6619855851304237E-5</v>
      </c>
      <c r="U33" s="10">
        <f>T33*P33*(A33&lt;PARAM!$B$55)</f>
        <v>4.6619855851304237E-5</v>
      </c>
      <c r="W33">
        <v>30</v>
      </c>
      <c r="X33" s="178">
        <f t="shared" si="13"/>
        <v>34</v>
      </c>
      <c r="Y33" s="178">
        <f t="shared" si="13"/>
        <v>34</v>
      </c>
      <c r="Z33" s="178">
        <f t="shared" si="13"/>
        <v>3</v>
      </c>
      <c r="AA33" s="178">
        <f t="shared" si="13"/>
        <v>3</v>
      </c>
      <c r="AD33" s="17">
        <f>CALC!E57*(A33&lt;PARAM!$B$55)</f>
        <v>7.3333333333333339</v>
      </c>
      <c r="AE33">
        <f>IF(A33&lt;ITER!$C$16,1,PARAM!$C$53^-(RATES!A33-ITER!$C$16))*(A33&lt;PARAM!$B$55)</f>
        <v>1</v>
      </c>
      <c r="AK33" s="17"/>
    </row>
    <row r="34" spans="1:37" x14ac:dyDescent="0.2">
      <c r="A34" s="9">
        <v>31</v>
      </c>
      <c r="B34" s="178">
        <f t="shared" si="10"/>
        <v>34</v>
      </c>
      <c r="C34" s="178">
        <f t="shared" si="10"/>
        <v>34</v>
      </c>
      <c r="D34" s="2">
        <f>PARAM!$H$38</f>
        <v>1</v>
      </c>
      <c r="E34" s="11">
        <f>PARAM!$G$38</f>
        <v>0</v>
      </c>
      <c r="F34" s="11">
        <f>(VLOOKUP(C34,DEDN!$A$8:$O$902,$F$2)*D34+E34)/1000</f>
        <v>5.6000000000000006E-4</v>
      </c>
      <c r="G34" s="178">
        <f t="shared" si="11"/>
        <v>3</v>
      </c>
      <c r="H34" s="178">
        <f t="shared" si="11"/>
        <v>3</v>
      </c>
      <c r="I34" s="2">
        <f>PARAM!$H$39</f>
        <v>0</v>
      </c>
      <c r="J34" s="11">
        <f>PARAM!$G$39</f>
        <v>0</v>
      </c>
      <c r="K34" s="11">
        <f>(VLOOKUP(H34,DEDN!$A$8:$O$902,$K$2)*I34+J34)/1000</f>
        <v>0</v>
      </c>
      <c r="L34" s="11">
        <f>MIN(IF(PARAM!$B$43=3,CHOOSE($L$2,F34,K34),F34+K34-F34*K34),1)</f>
        <v>5.6000000000000006E-4</v>
      </c>
      <c r="M34" s="2">
        <f>PARAM!$I$38</f>
        <v>0</v>
      </c>
      <c r="N34" s="11">
        <f>VLOOKUP(B34,DEDN!$A$8:$O$90,$N$2)*M34</f>
        <v>0</v>
      </c>
      <c r="O34" s="12"/>
      <c r="P34" s="10">
        <f>PARAM!$C$53^-A34</f>
        <v>1</v>
      </c>
      <c r="Q34" s="10">
        <f t="shared" si="12"/>
        <v>0.99869385610421002</v>
      </c>
      <c r="R34" s="10">
        <f t="shared" si="9"/>
        <v>0.99869385610421002</v>
      </c>
      <c r="S34" s="10">
        <f>CHOOSE(PARAM!$B$51,R34,0,0,0)*(A34&lt;PARAM!$B$55)</f>
        <v>0.99869385610421002</v>
      </c>
      <c r="T34" s="10">
        <f t="shared" si="1"/>
        <v>4.6617679699378911E-5</v>
      </c>
      <c r="U34" s="10">
        <f>T34*P34*(A34&lt;PARAM!$B$55)</f>
        <v>4.6617679699378911E-5</v>
      </c>
      <c r="W34">
        <v>31</v>
      </c>
      <c r="X34" s="178">
        <f t="shared" si="13"/>
        <v>34</v>
      </c>
      <c r="Y34" s="178">
        <f t="shared" si="13"/>
        <v>34</v>
      </c>
      <c r="Z34" s="178">
        <f t="shared" si="13"/>
        <v>3</v>
      </c>
      <c r="AA34" s="178">
        <f t="shared" si="13"/>
        <v>3</v>
      </c>
      <c r="AD34" s="17">
        <f>CALC!E58*(A34&lt;PARAM!$B$55)</f>
        <v>7.3333333333333339</v>
      </c>
      <c r="AE34">
        <f>IF(A34&lt;ITER!$C$16,1,PARAM!$C$53^-(RATES!A34-ITER!$C$16))*(A34&lt;PARAM!$B$55)</f>
        <v>1</v>
      </c>
    </row>
    <row r="35" spans="1:37" x14ac:dyDescent="0.2">
      <c r="A35" s="9">
        <v>32</v>
      </c>
      <c r="B35" s="178">
        <f t="shared" si="10"/>
        <v>34</v>
      </c>
      <c r="C35" s="178">
        <f t="shared" si="10"/>
        <v>34</v>
      </c>
      <c r="D35" s="2">
        <f>PARAM!$H$38</f>
        <v>1</v>
      </c>
      <c r="E35" s="11">
        <f>PARAM!$G$38</f>
        <v>0</v>
      </c>
      <c r="F35" s="11">
        <f>(VLOOKUP(C35,DEDN!$A$8:$O$902,$F$2)*D35+E35)/1000</f>
        <v>5.6000000000000006E-4</v>
      </c>
      <c r="G35" s="178">
        <f t="shared" si="11"/>
        <v>3</v>
      </c>
      <c r="H35" s="178">
        <f t="shared" si="11"/>
        <v>3</v>
      </c>
      <c r="I35" s="2">
        <f>PARAM!$H$39</f>
        <v>0</v>
      </c>
      <c r="J35" s="11">
        <f>PARAM!$G$39</f>
        <v>0</v>
      </c>
      <c r="K35" s="11">
        <f>(VLOOKUP(H35,DEDN!$A$8:$O$902,$K$2)*I35+J35)/1000</f>
        <v>0</v>
      </c>
      <c r="L35" s="11">
        <f>MIN(IF(PARAM!$B$43=3,CHOOSE($L$2,F35,K35),F35+K35-F35*K35),1)</f>
        <v>5.6000000000000006E-4</v>
      </c>
      <c r="M35" s="2">
        <f>PARAM!$I$38</f>
        <v>0</v>
      </c>
      <c r="N35" s="11">
        <f>VLOOKUP(B35,DEDN!$A$8:$O$90,$N$2)*M35</f>
        <v>0</v>
      </c>
      <c r="O35" s="12"/>
      <c r="P35" s="10">
        <f>PARAM!$C$53^-A35</f>
        <v>1</v>
      </c>
      <c r="Q35" s="10">
        <f t="shared" si="12"/>
        <v>0.99864723842451064</v>
      </c>
      <c r="R35" s="10">
        <f t="shared" si="9"/>
        <v>0.99864723842451064</v>
      </c>
      <c r="S35" s="10">
        <f>CHOOSE(PARAM!$B$51,R35,0,0,0)*(A35&lt;PARAM!$B$55)</f>
        <v>0.99864723842451064</v>
      </c>
      <c r="T35" s="10">
        <f t="shared" si="1"/>
        <v>4.6615503649150014E-5</v>
      </c>
      <c r="U35" s="10">
        <f>T35*P35*(A35&lt;PARAM!$B$55)</f>
        <v>4.6615503649150014E-5</v>
      </c>
      <c r="W35">
        <v>32</v>
      </c>
      <c r="X35" s="178">
        <f t="shared" si="13"/>
        <v>34</v>
      </c>
      <c r="Y35" s="178">
        <f t="shared" si="13"/>
        <v>34</v>
      </c>
      <c r="Z35" s="178">
        <f t="shared" si="13"/>
        <v>3</v>
      </c>
      <c r="AA35" s="178">
        <f t="shared" si="13"/>
        <v>3</v>
      </c>
      <c r="AD35" s="17">
        <f>CALC!E59*(A35&lt;PARAM!$B$55)</f>
        <v>7.3333333333333339</v>
      </c>
      <c r="AE35">
        <f>IF(A35&lt;ITER!$C$16,1,PARAM!$C$53^-(RATES!A35-ITER!$C$16))*(A35&lt;PARAM!$B$55)</f>
        <v>1</v>
      </c>
    </row>
    <row r="36" spans="1:37" x14ac:dyDescent="0.2">
      <c r="A36" s="9">
        <v>33</v>
      </c>
      <c r="B36" s="178">
        <f t="shared" si="10"/>
        <v>34</v>
      </c>
      <c r="C36" s="178">
        <f t="shared" si="10"/>
        <v>34</v>
      </c>
      <c r="D36" s="2">
        <f>PARAM!$H$38</f>
        <v>1</v>
      </c>
      <c r="E36" s="11">
        <f>PARAM!$G$38</f>
        <v>0</v>
      </c>
      <c r="F36" s="11">
        <f>(VLOOKUP(C36,DEDN!$A$8:$O$902,$F$2)*D36+E36)/1000</f>
        <v>5.6000000000000006E-4</v>
      </c>
      <c r="G36" s="178">
        <f t="shared" si="11"/>
        <v>3</v>
      </c>
      <c r="H36" s="178">
        <f t="shared" si="11"/>
        <v>3</v>
      </c>
      <c r="I36" s="2">
        <f>PARAM!$H$39</f>
        <v>0</v>
      </c>
      <c r="J36" s="11">
        <f>PARAM!$G$39</f>
        <v>0</v>
      </c>
      <c r="K36" s="11">
        <f>(VLOOKUP(H36,DEDN!$A$8:$O$902,$K$2)*I36+J36)/1000</f>
        <v>0</v>
      </c>
      <c r="L36" s="11">
        <f>MIN(IF(PARAM!$B$43=3,CHOOSE($L$2,F36,K36),F36+K36-F36*K36),1)</f>
        <v>5.6000000000000006E-4</v>
      </c>
      <c r="M36" s="2">
        <f>PARAM!$I$38</f>
        <v>0</v>
      </c>
      <c r="N36" s="11">
        <f>VLOOKUP(B36,DEDN!$A$8:$O$90,$N$2)*M36</f>
        <v>0</v>
      </c>
      <c r="O36" s="12"/>
      <c r="P36" s="10">
        <f>PARAM!$C$53^-A36</f>
        <v>1</v>
      </c>
      <c r="Q36" s="10">
        <f t="shared" si="12"/>
        <v>0.99860062292086149</v>
      </c>
      <c r="R36" s="10">
        <f t="shared" ref="R36:R51" si="14">P36*Q36</f>
        <v>0.99860062292086149</v>
      </c>
      <c r="S36" s="10">
        <f>CHOOSE(PARAM!$B$51,R36,R36,0,0)*(A36&lt;PARAM!$B$55)</f>
        <v>0.99860062292086149</v>
      </c>
      <c r="T36" s="10">
        <f t="shared" si="1"/>
        <v>4.6613327700395502E-5</v>
      </c>
      <c r="U36" s="10">
        <f>T36*P36*(A36&lt;PARAM!$B$55)</f>
        <v>4.6613327700395502E-5</v>
      </c>
      <c r="W36">
        <v>33</v>
      </c>
      <c r="X36" s="178">
        <f t="shared" si="13"/>
        <v>34</v>
      </c>
      <c r="Y36" s="178">
        <f t="shared" si="13"/>
        <v>34</v>
      </c>
      <c r="Z36" s="178">
        <f t="shared" si="13"/>
        <v>3</v>
      </c>
      <c r="AA36" s="178">
        <f t="shared" si="13"/>
        <v>3</v>
      </c>
      <c r="AD36" s="17">
        <f>CALC!E60*(A36&lt;PARAM!$B$55)</f>
        <v>7.3333333333333339</v>
      </c>
      <c r="AE36">
        <f>IF(A36&lt;ITER!$C$16,1,PARAM!$C$53^-(RATES!A36-ITER!$C$16))*(A36&lt;PARAM!$B$55)</f>
        <v>1</v>
      </c>
    </row>
    <row r="37" spans="1:37" x14ac:dyDescent="0.2">
      <c r="A37" s="9">
        <v>34</v>
      </c>
      <c r="B37" s="178">
        <f t="shared" si="10"/>
        <v>34</v>
      </c>
      <c r="C37" s="178">
        <f t="shared" si="10"/>
        <v>34</v>
      </c>
      <c r="D37" s="2">
        <f>PARAM!$H$38</f>
        <v>1</v>
      </c>
      <c r="E37" s="11">
        <f>PARAM!$G$38</f>
        <v>0</v>
      </c>
      <c r="F37" s="11">
        <f>(VLOOKUP(C37,DEDN!$A$8:$O$902,$F$2)*D37+E37)/1000</f>
        <v>5.6000000000000006E-4</v>
      </c>
      <c r="G37" s="178">
        <f t="shared" si="11"/>
        <v>3</v>
      </c>
      <c r="H37" s="178">
        <f t="shared" si="11"/>
        <v>3</v>
      </c>
      <c r="I37" s="2">
        <f>PARAM!$H$39</f>
        <v>0</v>
      </c>
      <c r="J37" s="11">
        <f>PARAM!$G$39</f>
        <v>0</v>
      </c>
      <c r="K37" s="11">
        <f>(VLOOKUP(H37,DEDN!$A$8:$O$902,$K$2)*I37+J37)/1000</f>
        <v>0</v>
      </c>
      <c r="L37" s="11">
        <f>MIN(IF(PARAM!$B$43=3,CHOOSE($L$2,F37,K37),F37+K37-F37*K37),1)</f>
        <v>5.6000000000000006E-4</v>
      </c>
      <c r="M37" s="2">
        <f>PARAM!$I$38</f>
        <v>0</v>
      </c>
      <c r="N37" s="11">
        <f>VLOOKUP(B37,DEDN!$A$8:$O$90,$N$2)*M37</f>
        <v>0</v>
      </c>
      <c r="O37" s="12"/>
      <c r="P37" s="10">
        <f>PARAM!$C$53^-A37</f>
        <v>1</v>
      </c>
      <c r="Q37" s="10">
        <f t="shared" ref="Q37:Q52" si="15">Q36*(1-L36)^(1/12)</f>
        <v>0.9985540095931611</v>
      </c>
      <c r="R37" s="10">
        <f t="shared" si="14"/>
        <v>0.9985540095931611</v>
      </c>
      <c r="S37" s="10">
        <f>CHOOSE(PARAM!$B$51,R37,0,0,0)*(A37&lt;PARAM!$B$55)</f>
        <v>0.9985540095931611</v>
      </c>
      <c r="T37" s="10">
        <f t="shared" si="1"/>
        <v>4.6611151853226396E-5</v>
      </c>
      <c r="U37" s="10">
        <f>T37*P37*(A37&lt;PARAM!$B$55)</f>
        <v>4.6611151853226396E-5</v>
      </c>
      <c r="W37">
        <v>34</v>
      </c>
      <c r="X37" s="178">
        <f t="shared" si="13"/>
        <v>34</v>
      </c>
      <c r="Y37" s="178">
        <f t="shared" si="13"/>
        <v>34</v>
      </c>
      <c r="Z37" s="178">
        <f t="shared" si="13"/>
        <v>3</v>
      </c>
      <c r="AA37" s="178">
        <f t="shared" si="13"/>
        <v>3</v>
      </c>
      <c r="AD37" s="17">
        <f>CALC!E61*(A37&lt;PARAM!$B$55)</f>
        <v>7.3333333333333339</v>
      </c>
      <c r="AE37">
        <f>IF(A37&lt;ITER!$C$16,1,PARAM!$C$53^-(RATES!A37-ITER!$C$16))*(A37&lt;PARAM!$B$55)</f>
        <v>1</v>
      </c>
    </row>
    <row r="38" spans="1:37" x14ac:dyDescent="0.2">
      <c r="A38" s="9">
        <v>35</v>
      </c>
      <c r="B38" s="178">
        <f t="shared" si="10"/>
        <v>34</v>
      </c>
      <c r="C38" s="178">
        <f t="shared" si="10"/>
        <v>34</v>
      </c>
      <c r="D38" s="2">
        <f>PARAM!$H$38</f>
        <v>1</v>
      </c>
      <c r="E38" s="11">
        <f>PARAM!$G$38</f>
        <v>0</v>
      </c>
      <c r="F38" s="11">
        <f>(VLOOKUP(C38,DEDN!$A$8:$O$902,$F$2)*D38+E38)/1000</f>
        <v>5.6000000000000006E-4</v>
      </c>
      <c r="G38" s="178">
        <f t="shared" si="11"/>
        <v>3</v>
      </c>
      <c r="H38" s="178">
        <f t="shared" si="11"/>
        <v>3</v>
      </c>
      <c r="I38" s="2">
        <f>PARAM!$H$39</f>
        <v>0</v>
      </c>
      <c r="J38" s="11">
        <f>PARAM!$G$39</f>
        <v>0</v>
      </c>
      <c r="K38" s="11">
        <f>(VLOOKUP(H38,DEDN!$A$8:$O$902,$K$2)*I38+J38)/1000</f>
        <v>0</v>
      </c>
      <c r="L38" s="11">
        <f>MIN(IF(PARAM!$B$43=3,CHOOSE($L$2,F38,K38),F38+K38-F38*K38),1)</f>
        <v>5.6000000000000006E-4</v>
      </c>
      <c r="M38" s="2">
        <f>PARAM!$I$38</f>
        <v>0</v>
      </c>
      <c r="N38" s="11">
        <f>VLOOKUP(B38,DEDN!$A$8:$O$90,$N$2)*M38</f>
        <v>0</v>
      </c>
      <c r="O38" s="12"/>
      <c r="P38" s="10">
        <f>PARAM!$C$53^-A38</f>
        <v>1</v>
      </c>
      <c r="Q38" s="10">
        <f t="shared" si="15"/>
        <v>0.99850739844130787</v>
      </c>
      <c r="R38" s="10">
        <f t="shared" si="14"/>
        <v>0.99850739844130787</v>
      </c>
      <c r="S38" s="10">
        <f>CHOOSE(PARAM!$B$51,R38,0,0,0)*(A38&lt;PARAM!$B$55)</f>
        <v>0.99850739844130787</v>
      </c>
      <c r="T38" s="10">
        <f t="shared" si="1"/>
        <v>4.6608976107642697E-5</v>
      </c>
      <c r="U38" s="10">
        <f>T38*P38*(A38&lt;PARAM!$B$55)</f>
        <v>4.6608976107642697E-5</v>
      </c>
      <c r="W38">
        <v>35</v>
      </c>
      <c r="X38" s="178">
        <f t="shared" si="13"/>
        <v>34</v>
      </c>
      <c r="Y38" s="178">
        <f t="shared" si="13"/>
        <v>34</v>
      </c>
      <c r="Z38" s="178">
        <f t="shared" si="13"/>
        <v>3</v>
      </c>
      <c r="AA38" s="178">
        <f t="shared" si="13"/>
        <v>3</v>
      </c>
      <c r="AD38" s="17">
        <f>CALC!E62*(A38&lt;PARAM!$B$55)</f>
        <v>7.3333333333333339</v>
      </c>
      <c r="AE38">
        <f>IF(A38&lt;ITER!$C$16,1,PARAM!$C$53^-(RATES!A38-ITER!$C$16))*(A38&lt;PARAM!$B$55)</f>
        <v>1</v>
      </c>
    </row>
    <row r="39" spans="1:37" x14ac:dyDescent="0.2">
      <c r="A39" s="9">
        <v>36</v>
      </c>
      <c r="B39" s="178">
        <f t="shared" si="10"/>
        <v>34</v>
      </c>
      <c r="C39" s="178">
        <f t="shared" si="10"/>
        <v>34</v>
      </c>
      <c r="D39" s="2">
        <f>PARAM!$H$38</f>
        <v>1</v>
      </c>
      <c r="E39" s="11">
        <f>PARAM!$G$38</f>
        <v>0</v>
      </c>
      <c r="F39" s="11">
        <f>(VLOOKUP(C39,DEDN!$A$8:$O$902,$F$2)*D39+E39)/1000</f>
        <v>5.6000000000000006E-4</v>
      </c>
      <c r="G39" s="178">
        <f t="shared" si="11"/>
        <v>3</v>
      </c>
      <c r="H39" s="178">
        <f t="shared" si="11"/>
        <v>3</v>
      </c>
      <c r="I39" s="2">
        <f>PARAM!$H$39</f>
        <v>0</v>
      </c>
      <c r="J39" s="11">
        <f>PARAM!$G$39</f>
        <v>0</v>
      </c>
      <c r="K39" s="11">
        <f>(VLOOKUP(H39,DEDN!$A$8:$O$902,$K$2)*I39+J39)/1000</f>
        <v>0</v>
      </c>
      <c r="L39" s="11">
        <f>MIN(IF(PARAM!$B$43=3,CHOOSE($L$2,F39,K39),F39+K39-F39*K39),1)</f>
        <v>5.6000000000000006E-4</v>
      </c>
      <c r="M39" s="2">
        <f>PARAM!$I$38</f>
        <v>0</v>
      </c>
      <c r="N39" s="11">
        <f>VLOOKUP(B39,DEDN!$A$8:$O$90,$N$2)*M39</f>
        <v>0</v>
      </c>
      <c r="O39" s="12"/>
      <c r="P39" s="10">
        <f>PARAM!$C$53^-A39</f>
        <v>1</v>
      </c>
      <c r="Q39" s="10">
        <f t="shared" si="15"/>
        <v>0.99846078946520023</v>
      </c>
      <c r="R39" s="10">
        <f t="shared" si="14"/>
        <v>0.99846078946520023</v>
      </c>
      <c r="S39" s="10">
        <f>R39*(A39&lt;PARAM!$B$55)</f>
        <v>0.99846078946520023</v>
      </c>
      <c r="T39" s="10">
        <f t="shared" si="1"/>
        <v>4.6606800463644404E-5</v>
      </c>
      <c r="U39" s="10">
        <f>T39*P39*(A39&lt;PARAM!$B$55)</f>
        <v>4.6606800463644404E-5</v>
      </c>
      <c r="W39">
        <v>36</v>
      </c>
      <c r="X39" s="178">
        <f t="shared" si="13"/>
        <v>34</v>
      </c>
      <c r="Y39" s="178">
        <f t="shared" si="13"/>
        <v>34</v>
      </c>
      <c r="Z39" s="178">
        <f t="shared" si="13"/>
        <v>3</v>
      </c>
      <c r="AA39" s="178">
        <f t="shared" si="13"/>
        <v>3</v>
      </c>
      <c r="AD39" s="17">
        <f>CALC!E63*(A39&lt;PARAM!$B$55)</f>
        <v>7.3333333333333339</v>
      </c>
      <c r="AE39">
        <f>IF(A39&lt;ITER!$C$16,1,PARAM!$C$53^-(RATES!A39-ITER!$C$16))*(A39&lt;PARAM!$B$55)</f>
        <v>1</v>
      </c>
    </row>
    <row r="40" spans="1:37" x14ac:dyDescent="0.2">
      <c r="A40" s="9">
        <v>37</v>
      </c>
      <c r="B40" s="178">
        <f t="shared" si="10"/>
        <v>34</v>
      </c>
      <c r="C40" s="178">
        <f t="shared" si="10"/>
        <v>34</v>
      </c>
      <c r="D40" s="2">
        <f>PARAM!$H$38</f>
        <v>1</v>
      </c>
      <c r="E40" s="11">
        <f>PARAM!$G$38</f>
        <v>0</v>
      </c>
      <c r="F40" s="11">
        <f>(VLOOKUP(C40,DEDN!$A$8:$O$902,$F$2)*D40+E40)/1000</f>
        <v>5.6000000000000006E-4</v>
      </c>
      <c r="G40" s="178">
        <f t="shared" si="11"/>
        <v>3</v>
      </c>
      <c r="H40" s="178">
        <f t="shared" si="11"/>
        <v>3</v>
      </c>
      <c r="I40" s="2">
        <f>PARAM!$H$39</f>
        <v>0</v>
      </c>
      <c r="J40" s="11">
        <f>PARAM!$G$39</f>
        <v>0</v>
      </c>
      <c r="K40" s="11">
        <f>(VLOOKUP(H40,DEDN!$A$8:$O$902,$K$2)*I40+J40)/1000</f>
        <v>0</v>
      </c>
      <c r="L40" s="11">
        <f>MIN(IF(PARAM!$B$43=3,CHOOSE($L$2,F40,K40),F40+K40-F40*K40),1)</f>
        <v>5.6000000000000006E-4</v>
      </c>
      <c r="M40" s="2">
        <f>PARAM!$I$38</f>
        <v>0</v>
      </c>
      <c r="N40" s="11">
        <f>VLOOKUP(B40,DEDN!$A$8:$O$90,$N$2)*M40</f>
        <v>0</v>
      </c>
      <c r="O40" s="12"/>
      <c r="P40" s="10">
        <f>PARAM!$C$53^-A40</f>
        <v>1</v>
      </c>
      <c r="Q40" s="10">
        <f t="shared" si="15"/>
        <v>0.99841418266473658</v>
      </c>
      <c r="R40" s="10">
        <f t="shared" si="14"/>
        <v>0.99841418266473658</v>
      </c>
      <c r="S40" s="10">
        <f>CHOOSE(PARAM!$B$51,R40,0,0,0)*(A40&lt;PARAM!$B$55)</f>
        <v>0.99841418266473658</v>
      </c>
      <c r="T40" s="10">
        <f t="shared" si="1"/>
        <v>4.6604624921231519E-5</v>
      </c>
      <c r="U40" s="10">
        <f>T40*P40*(A40&lt;PARAM!$B$55)</f>
        <v>4.6604624921231519E-5</v>
      </c>
      <c r="W40">
        <v>37</v>
      </c>
      <c r="X40" s="178">
        <f t="shared" si="13"/>
        <v>34</v>
      </c>
      <c r="Y40" s="178">
        <f t="shared" si="13"/>
        <v>34</v>
      </c>
      <c r="Z40" s="178">
        <f t="shared" si="13"/>
        <v>3</v>
      </c>
      <c r="AA40" s="178">
        <f t="shared" si="13"/>
        <v>3</v>
      </c>
      <c r="AD40" s="17">
        <f>CALC!E64*(A40&lt;PARAM!$B$55)</f>
        <v>7.3333333333333339</v>
      </c>
      <c r="AE40">
        <f>IF(A40&lt;ITER!$C$16,1,PARAM!$C$53^-(RATES!A40-ITER!$C$16))*(A40&lt;PARAM!$B$55)</f>
        <v>1</v>
      </c>
    </row>
    <row r="41" spans="1:37" x14ac:dyDescent="0.2">
      <c r="A41" s="9">
        <v>38</v>
      </c>
      <c r="B41" s="178">
        <f t="shared" ref="B41:C60" si="16">B29+1</f>
        <v>34</v>
      </c>
      <c r="C41" s="178">
        <f t="shared" si="16"/>
        <v>34</v>
      </c>
      <c r="D41" s="2">
        <f>PARAM!$H$38</f>
        <v>1</v>
      </c>
      <c r="E41" s="11">
        <f>PARAM!$G$38</f>
        <v>0</v>
      </c>
      <c r="F41" s="11">
        <f>(VLOOKUP(C41,DEDN!$A$8:$O$902,$F$2)*D41+E41)/1000</f>
        <v>5.6000000000000006E-4</v>
      </c>
      <c r="G41" s="178">
        <f t="shared" ref="G41:H60" si="17">G29+1</f>
        <v>3</v>
      </c>
      <c r="H41" s="178">
        <f t="shared" si="17"/>
        <v>3</v>
      </c>
      <c r="I41" s="2">
        <f>PARAM!$H$39</f>
        <v>0</v>
      </c>
      <c r="J41" s="11">
        <f>PARAM!$G$39</f>
        <v>0</v>
      </c>
      <c r="K41" s="11">
        <f>(VLOOKUP(H41,DEDN!$A$8:$O$902,$K$2)*I41+J41)/1000</f>
        <v>0</v>
      </c>
      <c r="L41" s="11">
        <f>MIN(IF(PARAM!$B$43=3,CHOOSE($L$2,F41,K41),F41+K41-F41*K41),1)</f>
        <v>5.6000000000000006E-4</v>
      </c>
      <c r="M41" s="2">
        <f>PARAM!$I$38</f>
        <v>0</v>
      </c>
      <c r="N41" s="11">
        <f>VLOOKUP(B41,DEDN!$A$8:$O$90,$N$2)*M41</f>
        <v>0</v>
      </c>
      <c r="O41" s="12"/>
      <c r="P41" s="10">
        <f>PARAM!$C$53^-A41</f>
        <v>1</v>
      </c>
      <c r="Q41" s="10">
        <f t="shared" si="15"/>
        <v>0.99836757803981535</v>
      </c>
      <c r="R41" s="10">
        <f t="shared" si="14"/>
        <v>0.99836757803981535</v>
      </c>
      <c r="S41" s="10">
        <f>CHOOSE(PARAM!$B$51,R41,0,0,0)*(A41&lt;PARAM!$B$55)</f>
        <v>0.99836757803981535</v>
      </c>
      <c r="T41" s="10">
        <f t="shared" si="1"/>
        <v>4.6602449480293018E-5</v>
      </c>
      <c r="U41" s="10">
        <f>T41*P41*(A41&lt;PARAM!$B$55)</f>
        <v>4.6602449480293018E-5</v>
      </c>
      <c r="W41">
        <v>38</v>
      </c>
      <c r="X41" s="178">
        <f t="shared" ref="X41:AA60" si="18">X29+1</f>
        <v>34</v>
      </c>
      <c r="Y41" s="178">
        <f t="shared" si="18"/>
        <v>34</v>
      </c>
      <c r="Z41" s="178">
        <f t="shared" si="18"/>
        <v>3</v>
      </c>
      <c r="AA41" s="178">
        <f t="shared" si="18"/>
        <v>3</v>
      </c>
      <c r="AD41" s="17">
        <f>CALC!E65*(A41&lt;PARAM!$B$55)</f>
        <v>7.3333333333333339</v>
      </c>
      <c r="AE41">
        <f>IF(A41&lt;ITER!$C$16,1,PARAM!$C$53^-(RATES!A41-ITER!$C$16))*(A41&lt;PARAM!$B$55)</f>
        <v>1</v>
      </c>
    </row>
    <row r="42" spans="1:37" x14ac:dyDescent="0.2">
      <c r="A42" s="9">
        <v>39</v>
      </c>
      <c r="B42" s="178">
        <f t="shared" si="16"/>
        <v>34</v>
      </c>
      <c r="C42" s="178">
        <f t="shared" si="16"/>
        <v>34</v>
      </c>
      <c r="D42" s="2">
        <f>PARAM!$H$38</f>
        <v>1</v>
      </c>
      <c r="E42" s="11">
        <f>PARAM!$G$38</f>
        <v>0</v>
      </c>
      <c r="F42" s="11">
        <f>(VLOOKUP(C42,DEDN!$A$8:$O$902,$F$2)*D42+E42)/1000</f>
        <v>5.6000000000000006E-4</v>
      </c>
      <c r="G42" s="178">
        <f t="shared" si="17"/>
        <v>3</v>
      </c>
      <c r="H42" s="178">
        <f t="shared" si="17"/>
        <v>3</v>
      </c>
      <c r="I42" s="2">
        <f>PARAM!$H$39</f>
        <v>0</v>
      </c>
      <c r="J42" s="11">
        <f>PARAM!$G$39</f>
        <v>0</v>
      </c>
      <c r="K42" s="11">
        <f>(VLOOKUP(H42,DEDN!$A$8:$O$902,$K$2)*I42+J42)/1000</f>
        <v>0</v>
      </c>
      <c r="L42" s="11">
        <f>MIN(IF(PARAM!$B$43=3,CHOOSE($L$2,F42,K42),F42+K42-F42*K42),1)</f>
        <v>5.6000000000000006E-4</v>
      </c>
      <c r="M42" s="2">
        <f>PARAM!$I$38</f>
        <v>0</v>
      </c>
      <c r="N42" s="11">
        <f>VLOOKUP(B42,DEDN!$A$8:$O$90,$N$2)*M42</f>
        <v>0</v>
      </c>
      <c r="O42" s="12"/>
      <c r="P42" s="10">
        <f>PARAM!$C$53^-A42</f>
        <v>1</v>
      </c>
      <c r="Q42" s="10">
        <f t="shared" si="15"/>
        <v>0.99832097559033506</v>
      </c>
      <c r="R42" s="10">
        <f t="shared" si="14"/>
        <v>0.99832097559033506</v>
      </c>
      <c r="S42" s="10">
        <f>CHOOSE(PARAM!$B$51,R42,R42,0,0)*(A42&lt;PARAM!$B$55)</f>
        <v>0.99832097559033506</v>
      </c>
      <c r="T42" s="10">
        <f t="shared" si="1"/>
        <v>4.6600274140939923E-5</v>
      </c>
      <c r="U42" s="10">
        <f>T42*P42*(A42&lt;PARAM!$B$55)</f>
        <v>4.6600274140939923E-5</v>
      </c>
      <c r="W42">
        <v>39</v>
      </c>
      <c r="X42" s="178">
        <f t="shared" si="18"/>
        <v>34</v>
      </c>
      <c r="Y42" s="178">
        <f t="shared" si="18"/>
        <v>34</v>
      </c>
      <c r="Z42" s="178">
        <f t="shared" si="18"/>
        <v>3</v>
      </c>
      <c r="AA42" s="178">
        <f t="shared" si="18"/>
        <v>3</v>
      </c>
      <c r="AD42" s="17">
        <f>CALC!E66*(A42&lt;PARAM!$B$55)</f>
        <v>7.3333333333333339</v>
      </c>
      <c r="AE42">
        <f>IF(A42&lt;ITER!$C$16,1,PARAM!$C$53^-(RATES!A42-ITER!$C$16))*(A42&lt;PARAM!$B$55)</f>
        <v>1</v>
      </c>
    </row>
    <row r="43" spans="1:37" x14ac:dyDescent="0.2">
      <c r="A43" s="9">
        <v>40</v>
      </c>
      <c r="B43" s="178">
        <f t="shared" si="16"/>
        <v>34</v>
      </c>
      <c r="C43" s="178">
        <f t="shared" si="16"/>
        <v>34</v>
      </c>
      <c r="D43" s="2">
        <f>PARAM!$H$38</f>
        <v>1</v>
      </c>
      <c r="E43" s="11">
        <f>PARAM!$G$38</f>
        <v>0</v>
      </c>
      <c r="F43" s="11">
        <f>(VLOOKUP(C43,DEDN!$A$8:$O$902,$F$2)*D43+E43)/1000</f>
        <v>5.6000000000000006E-4</v>
      </c>
      <c r="G43" s="178">
        <f t="shared" si="17"/>
        <v>3</v>
      </c>
      <c r="H43" s="178">
        <f t="shared" si="17"/>
        <v>3</v>
      </c>
      <c r="I43" s="2">
        <f>PARAM!$H$39</f>
        <v>0</v>
      </c>
      <c r="J43" s="11">
        <f>PARAM!$G$39</f>
        <v>0</v>
      </c>
      <c r="K43" s="11">
        <f>(VLOOKUP(H43,DEDN!$A$8:$O$902,$K$2)*I43+J43)/1000</f>
        <v>0</v>
      </c>
      <c r="L43" s="11">
        <f>MIN(IF(PARAM!$B$43=3,CHOOSE($L$2,F43,K43),F43+K43-F43*K43),1)</f>
        <v>5.6000000000000006E-4</v>
      </c>
      <c r="M43" s="2">
        <f>PARAM!$I$38</f>
        <v>0</v>
      </c>
      <c r="N43" s="11">
        <f>VLOOKUP(B43,DEDN!$A$8:$O$90,$N$2)*M43</f>
        <v>0</v>
      </c>
      <c r="O43" s="12"/>
      <c r="P43" s="10">
        <f>PARAM!$C$53^-A43</f>
        <v>1</v>
      </c>
      <c r="Q43" s="10">
        <f t="shared" si="15"/>
        <v>0.99827437531619412</v>
      </c>
      <c r="R43" s="10">
        <f t="shared" si="14"/>
        <v>0.99827437531619412</v>
      </c>
      <c r="S43" s="10">
        <f>CHOOSE(PARAM!$B$51,R43,0,0,0)*(A43&lt;PARAM!$B$55)</f>
        <v>0.99827437531619412</v>
      </c>
      <c r="T43" s="10">
        <f t="shared" si="1"/>
        <v>4.6598098903061214E-5</v>
      </c>
      <c r="U43" s="10">
        <f>T43*P43*(A43&lt;PARAM!$B$55)</f>
        <v>4.6598098903061214E-5</v>
      </c>
      <c r="W43">
        <v>40</v>
      </c>
      <c r="X43" s="178">
        <f t="shared" si="18"/>
        <v>34</v>
      </c>
      <c r="Y43" s="178">
        <f t="shared" si="18"/>
        <v>34</v>
      </c>
      <c r="Z43" s="178">
        <f t="shared" si="18"/>
        <v>3</v>
      </c>
      <c r="AA43" s="178">
        <f t="shared" si="18"/>
        <v>3</v>
      </c>
      <c r="AD43" s="17">
        <f>CALC!E67*(A43&lt;PARAM!$B$55)</f>
        <v>7.3333333333333339</v>
      </c>
      <c r="AE43">
        <f>IF(A43&lt;ITER!$C$16,1,PARAM!$C$53^-(RATES!A43-ITER!$C$16))*(A43&lt;PARAM!$B$55)</f>
        <v>1</v>
      </c>
    </row>
    <row r="44" spans="1:37" x14ac:dyDescent="0.2">
      <c r="A44" s="9">
        <v>41</v>
      </c>
      <c r="B44" s="178">
        <f t="shared" si="16"/>
        <v>34</v>
      </c>
      <c r="C44" s="178">
        <f t="shared" si="16"/>
        <v>34</v>
      </c>
      <c r="D44" s="2">
        <f>PARAM!$H$38</f>
        <v>1</v>
      </c>
      <c r="E44" s="11">
        <f>PARAM!$G$38</f>
        <v>0</v>
      </c>
      <c r="F44" s="11">
        <f>(VLOOKUP(C44,DEDN!$A$8:$O$902,$F$2)*D44+E44)/1000</f>
        <v>5.6000000000000006E-4</v>
      </c>
      <c r="G44" s="178">
        <f t="shared" si="17"/>
        <v>3</v>
      </c>
      <c r="H44" s="178">
        <f t="shared" si="17"/>
        <v>3</v>
      </c>
      <c r="I44" s="2">
        <f>PARAM!$H$39</f>
        <v>0</v>
      </c>
      <c r="J44" s="11">
        <f>PARAM!$G$39</f>
        <v>0</v>
      </c>
      <c r="K44" s="11">
        <f>(VLOOKUP(H44,DEDN!$A$8:$O$902,$K$2)*I44+J44)/1000</f>
        <v>0</v>
      </c>
      <c r="L44" s="11">
        <f>MIN(IF(PARAM!$B$43=3,CHOOSE($L$2,F44,K44),F44+K44-F44*K44),1)</f>
        <v>5.6000000000000006E-4</v>
      </c>
      <c r="M44" s="2">
        <f>PARAM!$I$38</f>
        <v>0</v>
      </c>
      <c r="N44" s="11">
        <f>VLOOKUP(B44,DEDN!$A$8:$O$90,$N$2)*M44</f>
        <v>0</v>
      </c>
      <c r="O44" s="12"/>
      <c r="P44" s="10">
        <f>PARAM!$C$53^-A44</f>
        <v>1</v>
      </c>
      <c r="Q44" s="10">
        <f t="shared" si="15"/>
        <v>0.99822777721729106</v>
      </c>
      <c r="R44" s="10">
        <f t="shared" si="14"/>
        <v>0.99822777721729106</v>
      </c>
      <c r="S44" s="10">
        <f>CHOOSE(PARAM!$B$51,R44,0,0,0)*(A44&lt;PARAM!$B$55)</f>
        <v>0.99822777721729106</v>
      </c>
      <c r="T44" s="10">
        <f t="shared" si="1"/>
        <v>4.659592376676791E-5</v>
      </c>
      <c r="U44" s="10">
        <f>T44*P44*(A44&lt;PARAM!$B$55)</f>
        <v>4.659592376676791E-5</v>
      </c>
      <c r="W44">
        <v>41</v>
      </c>
      <c r="X44" s="178">
        <f t="shared" si="18"/>
        <v>34</v>
      </c>
      <c r="Y44" s="178">
        <f t="shared" si="18"/>
        <v>34</v>
      </c>
      <c r="Z44" s="178">
        <f t="shared" si="18"/>
        <v>3</v>
      </c>
      <c r="AA44" s="178">
        <f t="shared" si="18"/>
        <v>3</v>
      </c>
      <c r="AD44" s="17">
        <f>CALC!E68*(A44&lt;PARAM!$B$55)</f>
        <v>7.3333333333333339</v>
      </c>
      <c r="AE44">
        <f>IF(A44&lt;ITER!$C$16,1,PARAM!$C$53^-(RATES!A44-ITER!$C$16))*(A44&lt;PARAM!$B$55)</f>
        <v>1</v>
      </c>
    </row>
    <row r="45" spans="1:37" x14ac:dyDescent="0.2">
      <c r="A45" s="9">
        <v>42</v>
      </c>
      <c r="B45" s="178">
        <f t="shared" si="16"/>
        <v>35</v>
      </c>
      <c r="C45" s="178">
        <f t="shared" si="16"/>
        <v>35</v>
      </c>
      <c r="D45" s="2">
        <f>PARAM!$H$38</f>
        <v>1</v>
      </c>
      <c r="E45" s="11">
        <f>PARAM!$G$38</f>
        <v>0</v>
      </c>
      <c r="F45" s="11">
        <f>(VLOOKUP(C45,DEDN!$A$8:$O$902,$F$2)*D45+E45)/1000</f>
        <v>5.9999999999999995E-4</v>
      </c>
      <c r="G45" s="178">
        <f t="shared" si="17"/>
        <v>4</v>
      </c>
      <c r="H45" s="178">
        <f t="shared" si="17"/>
        <v>4</v>
      </c>
      <c r="I45" s="2">
        <f>PARAM!$H$39</f>
        <v>0</v>
      </c>
      <c r="J45" s="11">
        <f>PARAM!$G$39</f>
        <v>0</v>
      </c>
      <c r="K45" s="11">
        <f>(VLOOKUP(H45,DEDN!$A$8:$O$902,$K$2)*I45+J45)/1000</f>
        <v>0</v>
      </c>
      <c r="L45" s="11">
        <f>MIN(IF(PARAM!$B$43=3,CHOOSE($L$2,F45,K45),F45+K45-F45*K45),1)</f>
        <v>5.9999999999999995E-4</v>
      </c>
      <c r="M45" s="2">
        <f>PARAM!$I$38</f>
        <v>0</v>
      </c>
      <c r="N45" s="11">
        <f>VLOOKUP(B45,DEDN!$A$8:$O$90,$N$2)*M45</f>
        <v>0</v>
      </c>
      <c r="O45" s="12"/>
      <c r="P45" s="10">
        <f>PARAM!$C$53^-A45</f>
        <v>1</v>
      </c>
      <c r="Q45" s="10">
        <f t="shared" si="15"/>
        <v>0.99818118129352429</v>
      </c>
      <c r="R45" s="10">
        <f t="shared" si="14"/>
        <v>0.99818118129352429</v>
      </c>
      <c r="S45" s="10">
        <f>CHOOSE(PARAM!$B$51,R45,R45,R45,0)*(A45&lt;PARAM!$B$55)</f>
        <v>0.99818118129352429</v>
      </c>
      <c r="T45" s="10">
        <f t="shared" si="1"/>
        <v>4.9922789319478689E-5</v>
      </c>
      <c r="U45" s="10">
        <f>T45*P45*(A45&lt;PARAM!$B$55)</f>
        <v>4.9922789319478689E-5</v>
      </c>
      <c r="W45">
        <v>42</v>
      </c>
      <c r="X45" s="178">
        <f t="shared" si="18"/>
        <v>35</v>
      </c>
      <c r="Y45" s="178">
        <f t="shared" si="18"/>
        <v>35</v>
      </c>
      <c r="Z45" s="178">
        <f t="shared" si="18"/>
        <v>4</v>
      </c>
      <c r="AA45" s="178">
        <f t="shared" si="18"/>
        <v>4</v>
      </c>
      <c r="AD45" s="17">
        <f>CALC!E69*(A45&lt;PARAM!$B$55)</f>
        <v>7.5</v>
      </c>
      <c r="AE45">
        <f>IF(A45&lt;ITER!$C$16,1,PARAM!$C$53^-(RATES!A45-ITER!$C$16))*(A45&lt;PARAM!$B$55)</f>
        <v>1</v>
      </c>
    </row>
    <row r="46" spans="1:37" x14ac:dyDescent="0.2">
      <c r="A46" s="9">
        <v>43</v>
      </c>
      <c r="B46" s="178">
        <f t="shared" si="16"/>
        <v>35</v>
      </c>
      <c r="C46" s="178">
        <f t="shared" si="16"/>
        <v>35</v>
      </c>
      <c r="D46" s="2">
        <f>PARAM!$H$38</f>
        <v>1</v>
      </c>
      <c r="E46" s="11">
        <f>PARAM!$G$38</f>
        <v>0</v>
      </c>
      <c r="F46" s="11">
        <f>(VLOOKUP(C46,DEDN!$A$8:$O$902,$F$2)*D46+E46)/1000</f>
        <v>5.9999999999999995E-4</v>
      </c>
      <c r="G46" s="178">
        <f t="shared" si="17"/>
        <v>4</v>
      </c>
      <c r="H46" s="178">
        <f t="shared" si="17"/>
        <v>4</v>
      </c>
      <c r="I46" s="2">
        <f>PARAM!$H$39</f>
        <v>0</v>
      </c>
      <c r="J46" s="11">
        <f>PARAM!$G$39</f>
        <v>0</v>
      </c>
      <c r="K46" s="11">
        <f>(VLOOKUP(H46,DEDN!$A$8:$O$902,$K$2)*I46+J46)/1000</f>
        <v>0</v>
      </c>
      <c r="L46" s="11">
        <f>MIN(IF(PARAM!$B$43=3,CHOOSE($L$2,F46,K46),F46+K46-F46*K46),1)</f>
        <v>5.9999999999999995E-4</v>
      </c>
      <c r="M46" s="2">
        <f>PARAM!$I$38</f>
        <v>0</v>
      </c>
      <c r="N46" s="11">
        <f>VLOOKUP(B46,DEDN!$A$8:$O$90,$N$2)*M46</f>
        <v>0</v>
      </c>
      <c r="O46" s="12"/>
      <c r="P46" s="10">
        <f>PARAM!$C$53^-A46</f>
        <v>1</v>
      </c>
      <c r="Q46" s="10">
        <f t="shared" si="15"/>
        <v>0.99813125850420481</v>
      </c>
      <c r="R46" s="10">
        <f t="shared" si="14"/>
        <v>0.99813125850420481</v>
      </c>
      <c r="S46" s="10">
        <f>CHOOSE(PARAM!$B$51,R46,0,0,0)*(A46&lt;PARAM!$B$55)</f>
        <v>0.99813125850420481</v>
      </c>
      <c r="T46" s="10">
        <f t="shared" si="1"/>
        <v>4.9920292493288443E-5</v>
      </c>
      <c r="U46" s="10">
        <f>T46*P46*(A46&lt;PARAM!$B$55)</f>
        <v>4.9920292493288443E-5</v>
      </c>
      <c r="W46">
        <v>43</v>
      </c>
      <c r="X46" s="178">
        <f t="shared" si="18"/>
        <v>35</v>
      </c>
      <c r="Y46" s="178">
        <f t="shared" si="18"/>
        <v>35</v>
      </c>
      <c r="Z46" s="178">
        <f t="shared" si="18"/>
        <v>4</v>
      </c>
      <c r="AA46" s="178">
        <f t="shared" si="18"/>
        <v>4</v>
      </c>
      <c r="AD46" s="17">
        <f>CALC!E70*(A46&lt;PARAM!$B$55)</f>
        <v>7.5</v>
      </c>
      <c r="AE46">
        <f>IF(A46&lt;ITER!$C$16,1,PARAM!$C$53^-(RATES!A46-ITER!$C$16))*(A46&lt;PARAM!$B$55)</f>
        <v>1</v>
      </c>
    </row>
    <row r="47" spans="1:37" x14ac:dyDescent="0.2">
      <c r="A47" s="9">
        <v>44</v>
      </c>
      <c r="B47" s="178">
        <f t="shared" si="16"/>
        <v>35</v>
      </c>
      <c r="C47" s="178">
        <f t="shared" si="16"/>
        <v>35</v>
      </c>
      <c r="D47" s="2">
        <f>PARAM!$H$38</f>
        <v>1</v>
      </c>
      <c r="E47" s="11">
        <f>PARAM!$G$38</f>
        <v>0</v>
      </c>
      <c r="F47" s="11">
        <f>(VLOOKUP(C47,DEDN!$A$8:$O$902,$F$2)*D47+E47)/1000</f>
        <v>5.9999999999999995E-4</v>
      </c>
      <c r="G47" s="178">
        <f t="shared" si="17"/>
        <v>4</v>
      </c>
      <c r="H47" s="178">
        <f t="shared" si="17"/>
        <v>4</v>
      </c>
      <c r="I47" s="2">
        <f>PARAM!$H$39</f>
        <v>0</v>
      </c>
      <c r="J47" s="11">
        <f>PARAM!$G$39</f>
        <v>0</v>
      </c>
      <c r="K47" s="11">
        <f>(VLOOKUP(H47,DEDN!$A$8:$O$902,$K$2)*I47+J47)/1000</f>
        <v>0</v>
      </c>
      <c r="L47" s="11">
        <f>MIN(IF(PARAM!$B$43=3,CHOOSE($L$2,F47,K47),F47+K47-F47*K47),1)</f>
        <v>5.9999999999999995E-4</v>
      </c>
      <c r="M47" s="2">
        <f>PARAM!$I$38</f>
        <v>0</v>
      </c>
      <c r="N47" s="11">
        <f>VLOOKUP(B47,DEDN!$A$8:$O$90,$N$2)*M47</f>
        <v>0</v>
      </c>
      <c r="O47" s="12"/>
      <c r="P47" s="10">
        <f>PARAM!$C$53^-A47</f>
        <v>1</v>
      </c>
      <c r="Q47" s="10">
        <f t="shared" si="15"/>
        <v>0.99808133821171152</v>
      </c>
      <c r="R47" s="10">
        <f t="shared" si="14"/>
        <v>0.99808133821171152</v>
      </c>
      <c r="S47" s="10">
        <f>CHOOSE(PARAM!$B$51,R47,0,0,0)*(A47&lt;PARAM!$B$55)</f>
        <v>0.99808133821171152</v>
      </c>
      <c r="T47" s="10">
        <f t="shared" si="1"/>
        <v>4.9917795791998287E-5</v>
      </c>
      <c r="U47" s="10">
        <f>T47*P47*(A47&lt;PARAM!$B$55)</f>
        <v>4.9917795791998287E-5</v>
      </c>
      <c r="W47">
        <v>44</v>
      </c>
      <c r="X47" s="178">
        <f t="shared" si="18"/>
        <v>35</v>
      </c>
      <c r="Y47" s="178">
        <f t="shared" si="18"/>
        <v>35</v>
      </c>
      <c r="Z47" s="178">
        <f t="shared" si="18"/>
        <v>4</v>
      </c>
      <c r="AA47" s="178">
        <f t="shared" si="18"/>
        <v>4</v>
      </c>
      <c r="AD47" s="17">
        <f>CALC!E71*(A47&lt;PARAM!$B$55)</f>
        <v>7.5</v>
      </c>
      <c r="AE47">
        <f>IF(A47&lt;ITER!$C$16,1,PARAM!$C$53^-(RATES!A47-ITER!$C$16))*(A47&lt;PARAM!$B$55)</f>
        <v>1</v>
      </c>
    </row>
    <row r="48" spans="1:37" x14ac:dyDescent="0.2">
      <c r="A48" s="9">
        <v>45</v>
      </c>
      <c r="B48" s="178">
        <f t="shared" si="16"/>
        <v>35</v>
      </c>
      <c r="C48" s="178">
        <f t="shared" si="16"/>
        <v>35</v>
      </c>
      <c r="D48" s="2">
        <f>PARAM!$H$38</f>
        <v>1</v>
      </c>
      <c r="E48" s="11">
        <f>PARAM!$G$38</f>
        <v>0</v>
      </c>
      <c r="F48" s="11">
        <f>(VLOOKUP(C48,DEDN!$A$8:$O$902,$F$2)*D48+E48)/1000</f>
        <v>5.9999999999999995E-4</v>
      </c>
      <c r="G48" s="178">
        <f t="shared" si="17"/>
        <v>4</v>
      </c>
      <c r="H48" s="178">
        <f t="shared" si="17"/>
        <v>4</v>
      </c>
      <c r="I48" s="2">
        <f>PARAM!$H$39</f>
        <v>0</v>
      </c>
      <c r="J48" s="11">
        <f>PARAM!$G$39</f>
        <v>0</v>
      </c>
      <c r="K48" s="11">
        <f>(VLOOKUP(H48,DEDN!$A$8:$O$902,$K$2)*I48+J48)/1000</f>
        <v>0</v>
      </c>
      <c r="L48" s="11">
        <f>MIN(IF(PARAM!$B$43=3,CHOOSE($L$2,F48,K48),F48+K48-F48*K48),1)</f>
        <v>5.9999999999999995E-4</v>
      </c>
      <c r="M48" s="2">
        <f>PARAM!$I$38</f>
        <v>0</v>
      </c>
      <c r="N48" s="11">
        <f>VLOOKUP(B48,DEDN!$A$8:$O$90,$N$2)*M48</f>
        <v>0</v>
      </c>
      <c r="O48" s="12"/>
      <c r="P48" s="10">
        <f>PARAM!$C$53^-A48</f>
        <v>1</v>
      </c>
      <c r="Q48" s="10">
        <f t="shared" si="15"/>
        <v>0.99803142041591952</v>
      </c>
      <c r="R48" s="10">
        <f t="shared" si="14"/>
        <v>0.99803142041591952</v>
      </c>
      <c r="S48" s="10">
        <f>CHOOSE(PARAM!$B$51,R48,R48,0,0)*(A48&lt;PARAM!$B$55)</f>
        <v>0.99803142041591952</v>
      </c>
      <c r="T48" s="10">
        <f t="shared" si="1"/>
        <v>4.9915299215608222E-5</v>
      </c>
      <c r="U48" s="10">
        <f>T48*P48*(A48&lt;PARAM!$B$55)</f>
        <v>4.9915299215608222E-5</v>
      </c>
      <c r="W48">
        <v>45</v>
      </c>
      <c r="X48" s="178">
        <f t="shared" si="18"/>
        <v>35</v>
      </c>
      <c r="Y48" s="178">
        <f t="shared" si="18"/>
        <v>35</v>
      </c>
      <c r="Z48" s="178">
        <f t="shared" si="18"/>
        <v>4</v>
      </c>
      <c r="AA48" s="178">
        <f t="shared" si="18"/>
        <v>4</v>
      </c>
      <c r="AD48" s="17">
        <f>CALC!E72*(A48&lt;PARAM!$B$55)</f>
        <v>7.5</v>
      </c>
      <c r="AE48">
        <f>IF(A48&lt;ITER!$C$16,1,PARAM!$C$53^-(RATES!A48-ITER!$C$16))*(A48&lt;PARAM!$B$55)</f>
        <v>1</v>
      </c>
    </row>
    <row r="49" spans="1:31" x14ac:dyDescent="0.2">
      <c r="A49" s="9">
        <v>46</v>
      </c>
      <c r="B49" s="178">
        <f t="shared" si="16"/>
        <v>35</v>
      </c>
      <c r="C49" s="178">
        <f t="shared" si="16"/>
        <v>35</v>
      </c>
      <c r="D49" s="2">
        <f>PARAM!$H$38</f>
        <v>1</v>
      </c>
      <c r="E49" s="11">
        <f>PARAM!$G$38</f>
        <v>0</v>
      </c>
      <c r="F49" s="11">
        <f>(VLOOKUP(C49,DEDN!$A$8:$O$902,$F$2)*D49+E49)/1000</f>
        <v>5.9999999999999995E-4</v>
      </c>
      <c r="G49" s="178">
        <f t="shared" si="17"/>
        <v>4</v>
      </c>
      <c r="H49" s="178">
        <f t="shared" si="17"/>
        <v>4</v>
      </c>
      <c r="I49" s="2">
        <f>PARAM!$H$39</f>
        <v>0</v>
      </c>
      <c r="J49" s="11">
        <f>PARAM!$G$39</f>
        <v>0</v>
      </c>
      <c r="K49" s="11">
        <f>(VLOOKUP(H49,DEDN!$A$8:$O$902,$K$2)*I49+J49)/1000</f>
        <v>0</v>
      </c>
      <c r="L49" s="11">
        <f>MIN(IF(PARAM!$B$43=3,CHOOSE($L$2,F49,K49),F49+K49-F49*K49),1)</f>
        <v>5.9999999999999995E-4</v>
      </c>
      <c r="M49" s="2">
        <f>PARAM!$I$38</f>
        <v>0</v>
      </c>
      <c r="N49" s="11">
        <f>VLOOKUP(B49,DEDN!$A$8:$O$90,$N$2)*M49</f>
        <v>0</v>
      </c>
      <c r="O49" s="12"/>
      <c r="P49" s="10">
        <f>PARAM!$C$53^-A49</f>
        <v>1</v>
      </c>
      <c r="Q49" s="10">
        <f t="shared" si="15"/>
        <v>0.99798150511670392</v>
      </c>
      <c r="R49" s="10">
        <f t="shared" si="14"/>
        <v>0.99798150511670392</v>
      </c>
      <c r="S49" s="10">
        <f>CHOOSE(PARAM!$B$51,R49,0,0,0)*(A49&lt;PARAM!$B$55)</f>
        <v>0.99798150511670392</v>
      </c>
      <c r="T49" s="10">
        <f t="shared" si="1"/>
        <v>4.9912802764007225E-5</v>
      </c>
      <c r="U49" s="10">
        <f>T49*P49*(A49&lt;PARAM!$B$55)</f>
        <v>4.9912802764007225E-5</v>
      </c>
      <c r="W49">
        <v>46</v>
      </c>
      <c r="X49" s="178">
        <f t="shared" si="18"/>
        <v>35</v>
      </c>
      <c r="Y49" s="178">
        <f t="shared" si="18"/>
        <v>35</v>
      </c>
      <c r="Z49" s="178">
        <f t="shared" si="18"/>
        <v>4</v>
      </c>
      <c r="AA49" s="178">
        <f t="shared" si="18"/>
        <v>4</v>
      </c>
      <c r="AD49" s="17">
        <f>CALC!E73*(A49&lt;PARAM!$B$55)</f>
        <v>7.5</v>
      </c>
      <c r="AE49">
        <f>IF(A49&lt;ITER!$C$16,1,PARAM!$C$53^-(RATES!A49-ITER!$C$16))*(A49&lt;PARAM!$B$55)</f>
        <v>1</v>
      </c>
    </row>
    <row r="50" spans="1:31" x14ac:dyDescent="0.2">
      <c r="A50" s="9">
        <v>47</v>
      </c>
      <c r="B50" s="178">
        <f t="shared" si="16"/>
        <v>35</v>
      </c>
      <c r="C50" s="178">
        <f t="shared" si="16"/>
        <v>35</v>
      </c>
      <c r="D50" s="2">
        <f>PARAM!$H$38</f>
        <v>1</v>
      </c>
      <c r="E50" s="11">
        <f>PARAM!$G$38</f>
        <v>0</v>
      </c>
      <c r="F50" s="11">
        <f>(VLOOKUP(C50,DEDN!$A$8:$O$902,$F$2)*D50+E50)/1000</f>
        <v>5.9999999999999995E-4</v>
      </c>
      <c r="G50" s="178">
        <f t="shared" si="17"/>
        <v>4</v>
      </c>
      <c r="H50" s="178">
        <f t="shared" si="17"/>
        <v>4</v>
      </c>
      <c r="I50" s="2">
        <f>PARAM!$H$39</f>
        <v>0</v>
      </c>
      <c r="J50" s="11">
        <f>PARAM!$G$39</f>
        <v>0</v>
      </c>
      <c r="K50" s="11">
        <f>(VLOOKUP(H50,DEDN!$A$8:$O$902,$K$2)*I50+J50)/1000</f>
        <v>0</v>
      </c>
      <c r="L50" s="11">
        <f>MIN(IF(PARAM!$B$43=3,CHOOSE($L$2,F50,K50),F50+K50-F50*K50),1)</f>
        <v>5.9999999999999995E-4</v>
      </c>
      <c r="M50" s="2">
        <f>PARAM!$I$38</f>
        <v>0</v>
      </c>
      <c r="N50" s="11">
        <f>VLOOKUP(B50,DEDN!$A$8:$O$90,$N$2)*M50</f>
        <v>0</v>
      </c>
      <c r="O50" s="12"/>
      <c r="P50" s="10">
        <f>PARAM!$C$53^-A50</f>
        <v>1</v>
      </c>
      <c r="Q50" s="10">
        <f t="shared" si="15"/>
        <v>0.99793159231393991</v>
      </c>
      <c r="R50" s="10">
        <f t="shared" si="14"/>
        <v>0.99793159231393991</v>
      </c>
      <c r="S50" s="10">
        <f>CHOOSE(PARAM!$B$51,R50,0,0,0)*(A50&lt;PARAM!$B$55)</f>
        <v>0.99793159231393991</v>
      </c>
      <c r="T50" s="10">
        <f t="shared" si="1"/>
        <v>4.9910306437306318E-5</v>
      </c>
      <c r="U50" s="10">
        <f>T50*P50*(A50&lt;PARAM!$B$55)</f>
        <v>4.9910306437306318E-5</v>
      </c>
      <c r="W50">
        <v>47</v>
      </c>
      <c r="X50" s="178">
        <f t="shared" si="18"/>
        <v>35</v>
      </c>
      <c r="Y50" s="178">
        <f t="shared" si="18"/>
        <v>35</v>
      </c>
      <c r="Z50" s="178">
        <f t="shared" si="18"/>
        <v>4</v>
      </c>
      <c r="AA50" s="178">
        <f t="shared" si="18"/>
        <v>4</v>
      </c>
      <c r="AD50" s="17">
        <f>CALC!E74*(A50&lt;PARAM!$B$55)</f>
        <v>7.5</v>
      </c>
      <c r="AE50">
        <f>IF(A50&lt;ITER!$C$16,1,PARAM!$C$53^-(RATES!A50-ITER!$C$16))*(A50&lt;PARAM!$B$55)</f>
        <v>1</v>
      </c>
    </row>
    <row r="51" spans="1:31" x14ac:dyDescent="0.2">
      <c r="A51" s="9">
        <v>48</v>
      </c>
      <c r="B51" s="178">
        <f t="shared" si="16"/>
        <v>35</v>
      </c>
      <c r="C51" s="178">
        <f t="shared" si="16"/>
        <v>35</v>
      </c>
      <c r="D51" s="2">
        <f>PARAM!$H$38</f>
        <v>1</v>
      </c>
      <c r="E51" s="11">
        <f>PARAM!$G$38</f>
        <v>0</v>
      </c>
      <c r="F51" s="11">
        <f>(VLOOKUP(C51,DEDN!$A$8:$O$902,$F$2)*D51+E51)/1000</f>
        <v>5.9999999999999995E-4</v>
      </c>
      <c r="G51" s="178">
        <f t="shared" si="17"/>
        <v>4</v>
      </c>
      <c r="H51" s="178">
        <f t="shared" si="17"/>
        <v>4</v>
      </c>
      <c r="I51" s="2">
        <f>PARAM!$H$39</f>
        <v>0</v>
      </c>
      <c r="J51" s="11">
        <f>PARAM!$G$39</f>
        <v>0</v>
      </c>
      <c r="K51" s="11">
        <f>(VLOOKUP(H51,DEDN!$A$8:$O$902,$K$2)*I51+J51)/1000</f>
        <v>0</v>
      </c>
      <c r="L51" s="11">
        <f>MIN(IF(PARAM!$B$43=3,CHOOSE($L$2,F51,K51),F51+K51-F51*K51),1)</f>
        <v>5.9999999999999995E-4</v>
      </c>
      <c r="M51" s="2">
        <f>PARAM!$I$38</f>
        <v>0</v>
      </c>
      <c r="N51" s="11">
        <f>VLOOKUP(B51,DEDN!$A$8:$O$90,$N$2)*M51</f>
        <v>0</v>
      </c>
      <c r="O51" s="12"/>
      <c r="P51" s="10">
        <f>PARAM!$C$53^-A51</f>
        <v>1</v>
      </c>
      <c r="Q51" s="10">
        <f t="shared" si="15"/>
        <v>0.9978816820075026</v>
      </c>
      <c r="R51" s="10">
        <f t="shared" si="14"/>
        <v>0.9978816820075026</v>
      </c>
      <c r="S51" s="10">
        <f>R51*(A51&lt;PARAM!$B$55)</f>
        <v>0.9978816820075026</v>
      </c>
      <c r="T51" s="10">
        <f t="shared" si="1"/>
        <v>4.9907810235505501E-5</v>
      </c>
      <c r="U51" s="10">
        <f>T51*P51*(A51&lt;PARAM!$B$55)</f>
        <v>4.9907810235505501E-5</v>
      </c>
      <c r="W51">
        <v>48</v>
      </c>
      <c r="X51" s="178">
        <f t="shared" si="18"/>
        <v>35</v>
      </c>
      <c r="Y51" s="178">
        <f t="shared" si="18"/>
        <v>35</v>
      </c>
      <c r="Z51" s="178">
        <f t="shared" si="18"/>
        <v>4</v>
      </c>
      <c r="AA51" s="178">
        <f t="shared" si="18"/>
        <v>4</v>
      </c>
      <c r="AD51" s="17">
        <f>CALC!E75*(A51&lt;PARAM!$B$55)</f>
        <v>7.5</v>
      </c>
      <c r="AE51">
        <f>IF(A51&lt;ITER!$C$16,1,PARAM!$C$53^-(RATES!A51-ITER!$C$16))*(A51&lt;PARAM!$B$55)</f>
        <v>1</v>
      </c>
    </row>
    <row r="52" spans="1:31" x14ac:dyDescent="0.2">
      <c r="A52" s="9">
        <v>49</v>
      </c>
      <c r="B52" s="178">
        <f t="shared" si="16"/>
        <v>35</v>
      </c>
      <c r="C52" s="178">
        <f t="shared" si="16"/>
        <v>35</v>
      </c>
      <c r="D52" s="2">
        <f>PARAM!$H$38</f>
        <v>1</v>
      </c>
      <c r="E52" s="11">
        <f>PARAM!$G$38</f>
        <v>0</v>
      </c>
      <c r="F52" s="11">
        <f>(VLOOKUP(C52,DEDN!$A$8:$O$902,$F$2)*D52+E52)/1000</f>
        <v>5.9999999999999995E-4</v>
      </c>
      <c r="G52" s="178">
        <f t="shared" si="17"/>
        <v>4</v>
      </c>
      <c r="H52" s="178">
        <f t="shared" si="17"/>
        <v>4</v>
      </c>
      <c r="I52" s="2">
        <f>PARAM!$H$39</f>
        <v>0</v>
      </c>
      <c r="J52" s="11">
        <f>PARAM!$G$39</f>
        <v>0</v>
      </c>
      <c r="K52" s="11">
        <f>(VLOOKUP(H52,DEDN!$A$8:$O$902,$K$2)*I52+J52)/1000</f>
        <v>0</v>
      </c>
      <c r="L52" s="11">
        <f>MIN(IF(PARAM!$B$43=3,CHOOSE($L$2,F52,K52),F52+K52-F52*K52),1)</f>
        <v>5.9999999999999995E-4</v>
      </c>
      <c r="M52" s="2">
        <f>PARAM!$I$38</f>
        <v>0</v>
      </c>
      <c r="N52" s="11">
        <f>VLOOKUP(B52,DEDN!$A$8:$O$90,$N$2)*M52</f>
        <v>0</v>
      </c>
      <c r="O52" s="12"/>
      <c r="P52" s="10">
        <f>PARAM!$C$53^-A52</f>
        <v>1</v>
      </c>
      <c r="Q52" s="10">
        <f t="shared" si="15"/>
        <v>0.9978317741972671</v>
      </c>
      <c r="R52" s="10">
        <f t="shared" ref="R52:R67" si="19">P52*Q52</f>
        <v>0.9978317741972671</v>
      </c>
      <c r="S52" s="10">
        <f>CHOOSE(PARAM!$B$51,R52,0,0,0)*(A52&lt;PARAM!$B$55)</f>
        <v>0.9978317741972671</v>
      </c>
      <c r="T52" s="10">
        <f t="shared" si="1"/>
        <v>4.9905314158493752E-5</v>
      </c>
      <c r="U52" s="10">
        <f>T52*P52*(A52&lt;PARAM!$B$55)</f>
        <v>4.9905314158493752E-5</v>
      </c>
      <c r="W52">
        <v>49</v>
      </c>
      <c r="X52" s="178">
        <f t="shared" si="18"/>
        <v>35</v>
      </c>
      <c r="Y52" s="178">
        <f t="shared" si="18"/>
        <v>35</v>
      </c>
      <c r="Z52" s="178">
        <f t="shared" si="18"/>
        <v>4</v>
      </c>
      <c r="AA52" s="178">
        <f t="shared" si="18"/>
        <v>4</v>
      </c>
      <c r="AD52" s="17">
        <f>CALC!E76*(A52&lt;PARAM!$B$55)</f>
        <v>7.5</v>
      </c>
      <c r="AE52">
        <f>IF(A52&lt;ITER!$C$16,1,PARAM!$C$53^-(RATES!A52-ITER!$C$16))*(A52&lt;PARAM!$B$55)</f>
        <v>1</v>
      </c>
    </row>
    <row r="53" spans="1:31" x14ac:dyDescent="0.2">
      <c r="A53" s="9">
        <v>50</v>
      </c>
      <c r="B53" s="178">
        <f t="shared" si="16"/>
        <v>35</v>
      </c>
      <c r="C53" s="178">
        <f t="shared" si="16"/>
        <v>35</v>
      </c>
      <c r="D53" s="2">
        <f>PARAM!$H$38</f>
        <v>1</v>
      </c>
      <c r="E53" s="11">
        <f>PARAM!$G$38</f>
        <v>0</v>
      </c>
      <c r="F53" s="11">
        <f>(VLOOKUP(C53,DEDN!$A$8:$O$902,$F$2)*D53+E53)/1000</f>
        <v>5.9999999999999995E-4</v>
      </c>
      <c r="G53" s="178">
        <f t="shared" si="17"/>
        <v>4</v>
      </c>
      <c r="H53" s="178">
        <f t="shared" si="17"/>
        <v>4</v>
      </c>
      <c r="I53" s="2">
        <f>PARAM!$H$39</f>
        <v>0</v>
      </c>
      <c r="J53" s="11">
        <f>PARAM!$G$39</f>
        <v>0</v>
      </c>
      <c r="K53" s="11">
        <f>(VLOOKUP(H53,DEDN!$A$8:$O$902,$K$2)*I53+J53)/1000</f>
        <v>0</v>
      </c>
      <c r="L53" s="11">
        <f>MIN(IF(PARAM!$B$43=3,CHOOSE($L$2,F53,K53),F53+K53-F53*K53),1)</f>
        <v>5.9999999999999995E-4</v>
      </c>
      <c r="M53" s="2">
        <f>PARAM!$I$38</f>
        <v>0</v>
      </c>
      <c r="N53" s="11">
        <f>VLOOKUP(B53,DEDN!$A$8:$O$90,$N$2)*M53</f>
        <v>0</v>
      </c>
      <c r="O53" s="12"/>
      <c r="P53" s="10">
        <f>PARAM!$C$53^-A53</f>
        <v>1</v>
      </c>
      <c r="Q53" s="10">
        <f t="shared" ref="Q53:Q68" si="20">Q52*(1-L52)^(1/12)</f>
        <v>0.9977818688831086</v>
      </c>
      <c r="R53" s="10">
        <f t="shared" si="19"/>
        <v>0.9977818688831086</v>
      </c>
      <c r="S53" s="10">
        <f>CHOOSE(PARAM!$B$51,R53,0,0,0)*(A53&lt;PARAM!$B$55)</f>
        <v>0.9977818688831086</v>
      </c>
      <c r="T53" s="10">
        <f t="shared" si="1"/>
        <v>4.9902818206271071E-5</v>
      </c>
      <c r="U53" s="10">
        <f>T53*P53*(A53&lt;PARAM!$B$55)</f>
        <v>4.9902818206271071E-5</v>
      </c>
      <c r="W53">
        <v>50</v>
      </c>
      <c r="X53" s="178">
        <f t="shared" si="18"/>
        <v>35</v>
      </c>
      <c r="Y53" s="178">
        <f t="shared" si="18"/>
        <v>35</v>
      </c>
      <c r="Z53" s="178">
        <f t="shared" si="18"/>
        <v>4</v>
      </c>
      <c r="AA53" s="178">
        <f t="shared" si="18"/>
        <v>4</v>
      </c>
      <c r="AD53" s="17">
        <f>CALC!E77*(A53&lt;PARAM!$B$55)</f>
        <v>7.5</v>
      </c>
      <c r="AE53">
        <f>IF(A53&lt;ITER!$C$16,1,PARAM!$C$53^-(RATES!A53-ITER!$C$16))*(A53&lt;PARAM!$B$55)</f>
        <v>1</v>
      </c>
    </row>
    <row r="54" spans="1:31" x14ac:dyDescent="0.2">
      <c r="A54" s="9">
        <v>51</v>
      </c>
      <c r="B54" s="178">
        <f t="shared" si="16"/>
        <v>35</v>
      </c>
      <c r="C54" s="178">
        <f t="shared" si="16"/>
        <v>35</v>
      </c>
      <c r="D54" s="2">
        <f>PARAM!$H$38</f>
        <v>1</v>
      </c>
      <c r="E54" s="11">
        <f>PARAM!$G$38</f>
        <v>0</v>
      </c>
      <c r="F54" s="11">
        <f>(VLOOKUP(C54,DEDN!$A$8:$O$902,$F$2)*D54+E54)/1000</f>
        <v>5.9999999999999995E-4</v>
      </c>
      <c r="G54" s="178">
        <f t="shared" si="17"/>
        <v>4</v>
      </c>
      <c r="H54" s="178">
        <f t="shared" si="17"/>
        <v>4</v>
      </c>
      <c r="I54" s="2">
        <f>PARAM!$H$39</f>
        <v>0</v>
      </c>
      <c r="J54" s="11">
        <f>PARAM!$G$39</f>
        <v>0</v>
      </c>
      <c r="K54" s="11">
        <f>(VLOOKUP(H54,DEDN!$A$8:$O$902,$K$2)*I54+J54)/1000</f>
        <v>0</v>
      </c>
      <c r="L54" s="11">
        <f>MIN(IF(PARAM!$B$43=3,CHOOSE($L$2,F54,K54),F54+K54-F54*K54),1)</f>
        <v>5.9999999999999995E-4</v>
      </c>
      <c r="M54" s="2">
        <f>PARAM!$I$38</f>
        <v>0</v>
      </c>
      <c r="N54" s="11">
        <f>VLOOKUP(B54,DEDN!$A$8:$O$90,$N$2)*M54</f>
        <v>0</v>
      </c>
      <c r="O54" s="12"/>
      <c r="P54" s="10">
        <f>PARAM!$C$53^-A54</f>
        <v>1</v>
      </c>
      <c r="Q54" s="10">
        <f t="shared" si="20"/>
        <v>0.99773196606490233</v>
      </c>
      <c r="R54" s="10">
        <f t="shared" si="19"/>
        <v>0.99773196606490233</v>
      </c>
      <c r="S54" s="10">
        <f>CHOOSE(PARAM!$B$51,R54,R54,0,0)*(A54&lt;PARAM!$B$55)</f>
        <v>0.99773196606490233</v>
      </c>
      <c r="T54" s="10">
        <f t="shared" si="1"/>
        <v>4.9900322378948481E-5</v>
      </c>
      <c r="U54" s="10">
        <f>T54*P54*(A54&lt;PARAM!$B$55)</f>
        <v>4.9900322378948481E-5</v>
      </c>
      <c r="W54">
        <v>51</v>
      </c>
      <c r="X54" s="178">
        <f t="shared" si="18"/>
        <v>35</v>
      </c>
      <c r="Y54" s="178">
        <f t="shared" si="18"/>
        <v>35</v>
      </c>
      <c r="Z54" s="178">
        <f t="shared" si="18"/>
        <v>4</v>
      </c>
      <c r="AA54" s="178">
        <f t="shared" si="18"/>
        <v>4</v>
      </c>
      <c r="AD54" s="17">
        <f>CALC!E78*(A54&lt;PARAM!$B$55)</f>
        <v>7.5</v>
      </c>
      <c r="AE54">
        <f>IF(A54&lt;ITER!$C$16,1,PARAM!$C$53^-(RATES!A54-ITER!$C$16))*(A54&lt;PARAM!$B$55)</f>
        <v>1</v>
      </c>
    </row>
    <row r="55" spans="1:31" x14ac:dyDescent="0.2">
      <c r="A55" s="9">
        <v>52</v>
      </c>
      <c r="B55" s="178">
        <f t="shared" si="16"/>
        <v>35</v>
      </c>
      <c r="C55" s="178">
        <f t="shared" si="16"/>
        <v>35</v>
      </c>
      <c r="D55" s="2">
        <f>PARAM!$H$38</f>
        <v>1</v>
      </c>
      <c r="E55" s="11">
        <f>PARAM!$G$38</f>
        <v>0</v>
      </c>
      <c r="F55" s="11">
        <f>(VLOOKUP(C55,DEDN!$A$8:$O$902,$F$2)*D55+E55)/1000</f>
        <v>5.9999999999999995E-4</v>
      </c>
      <c r="G55" s="178">
        <f t="shared" si="17"/>
        <v>4</v>
      </c>
      <c r="H55" s="178">
        <f t="shared" si="17"/>
        <v>4</v>
      </c>
      <c r="I55" s="2">
        <f>PARAM!$H$39</f>
        <v>0</v>
      </c>
      <c r="J55" s="11">
        <f>PARAM!$G$39</f>
        <v>0</v>
      </c>
      <c r="K55" s="11">
        <f>(VLOOKUP(H55,DEDN!$A$8:$O$902,$K$2)*I55+J55)/1000</f>
        <v>0</v>
      </c>
      <c r="L55" s="11">
        <f>MIN(IF(PARAM!$B$43=3,CHOOSE($L$2,F55,K55),F55+K55-F55*K55),1)</f>
        <v>5.9999999999999995E-4</v>
      </c>
      <c r="M55" s="2">
        <f>PARAM!$I$38</f>
        <v>0</v>
      </c>
      <c r="N55" s="11">
        <f>VLOOKUP(B55,DEDN!$A$8:$O$90,$N$2)*M55</f>
        <v>0</v>
      </c>
      <c r="O55" s="12"/>
      <c r="P55" s="10">
        <f>PARAM!$C$53^-A55</f>
        <v>1</v>
      </c>
      <c r="Q55" s="10">
        <f t="shared" si="20"/>
        <v>0.99768206574252338</v>
      </c>
      <c r="R55" s="10">
        <f t="shared" si="19"/>
        <v>0.99768206574252338</v>
      </c>
      <c r="S55" s="10">
        <f>CHOOSE(PARAM!$B$51,R55,0,0,0)*(A55&lt;PARAM!$B$55)</f>
        <v>0.99768206574252338</v>
      </c>
      <c r="T55" s="10">
        <f t="shared" si="1"/>
        <v>4.9897826676414958E-5</v>
      </c>
      <c r="U55" s="10">
        <f>T55*P55*(A55&lt;PARAM!$B$55)</f>
        <v>4.9897826676414958E-5</v>
      </c>
      <c r="W55">
        <v>52</v>
      </c>
      <c r="X55" s="178">
        <f t="shared" si="18"/>
        <v>35</v>
      </c>
      <c r="Y55" s="178">
        <f t="shared" si="18"/>
        <v>35</v>
      </c>
      <c r="Z55" s="178">
        <f t="shared" si="18"/>
        <v>4</v>
      </c>
      <c r="AA55" s="178">
        <f t="shared" si="18"/>
        <v>4</v>
      </c>
      <c r="AD55" s="17">
        <f>CALC!E79*(A55&lt;PARAM!$B$55)</f>
        <v>7.5</v>
      </c>
      <c r="AE55">
        <f>IF(A55&lt;ITER!$C$16,1,PARAM!$C$53^-(RATES!A55-ITER!$C$16))*(A55&lt;PARAM!$B$55)</f>
        <v>1</v>
      </c>
    </row>
    <row r="56" spans="1:31" x14ac:dyDescent="0.2">
      <c r="A56" s="9">
        <v>53</v>
      </c>
      <c r="B56" s="178">
        <f t="shared" si="16"/>
        <v>35</v>
      </c>
      <c r="C56" s="178">
        <f t="shared" si="16"/>
        <v>35</v>
      </c>
      <c r="D56" s="2">
        <f>PARAM!$H$38</f>
        <v>1</v>
      </c>
      <c r="E56" s="11">
        <f>PARAM!$G$38</f>
        <v>0</v>
      </c>
      <c r="F56" s="11">
        <f>(VLOOKUP(C56,DEDN!$A$8:$O$902,$F$2)*D56+E56)/1000</f>
        <v>5.9999999999999995E-4</v>
      </c>
      <c r="G56" s="178">
        <f t="shared" si="17"/>
        <v>4</v>
      </c>
      <c r="H56" s="178">
        <f t="shared" si="17"/>
        <v>4</v>
      </c>
      <c r="I56" s="2">
        <f>PARAM!$H$39</f>
        <v>0</v>
      </c>
      <c r="J56" s="11">
        <f>PARAM!$G$39</f>
        <v>0</v>
      </c>
      <c r="K56" s="11">
        <f>(VLOOKUP(H56,DEDN!$A$8:$O$902,$K$2)*I56+J56)/1000</f>
        <v>0</v>
      </c>
      <c r="L56" s="11">
        <f>MIN(IF(PARAM!$B$43=3,CHOOSE($L$2,F56,K56),F56+K56-F56*K56),1)</f>
        <v>5.9999999999999995E-4</v>
      </c>
      <c r="M56" s="2">
        <f>PARAM!$I$38</f>
        <v>0</v>
      </c>
      <c r="N56" s="11">
        <f>VLOOKUP(B56,DEDN!$A$8:$O$90,$N$2)*M56</f>
        <v>0</v>
      </c>
      <c r="O56" s="12"/>
      <c r="P56" s="10">
        <f>PARAM!$C$53^-A56</f>
        <v>1</v>
      </c>
      <c r="Q56" s="10">
        <f t="shared" si="20"/>
        <v>0.99763216791584697</v>
      </c>
      <c r="R56" s="10">
        <f t="shared" si="19"/>
        <v>0.99763216791584697</v>
      </c>
      <c r="S56" s="10">
        <f>CHOOSE(PARAM!$B$51,R56,0,0,0)*(A56&lt;PARAM!$B$55)</f>
        <v>0.99763216791584697</v>
      </c>
      <c r="T56" s="10">
        <f t="shared" si="1"/>
        <v>4.9895331098781526E-5</v>
      </c>
      <c r="U56" s="10">
        <f>T56*P56*(A56&lt;PARAM!$B$55)</f>
        <v>4.9895331098781526E-5</v>
      </c>
      <c r="W56">
        <v>53</v>
      </c>
      <c r="X56" s="178">
        <f t="shared" si="18"/>
        <v>35</v>
      </c>
      <c r="Y56" s="178">
        <f t="shared" si="18"/>
        <v>35</v>
      </c>
      <c r="Z56" s="178">
        <f t="shared" si="18"/>
        <v>4</v>
      </c>
      <c r="AA56" s="178">
        <f t="shared" si="18"/>
        <v>4</v>
      </c>
      <c r="AD56" s="17">
        <f>CALC!E80*(A56&lt;PARAM!$B$55)</f>
        <v>7.5</v>
      </c>
      <c r="AE56">
        <f>IF(A56&lt;ITER!$C$16,1,PARAM!$C$53^-(RATES!A56-ITER!$C$16))*(A56&lt;PARAM!$B$55)</f>
        <v>1</v>
      </c>
    </row>
    <row r="57" spans="1:31" x14ac:dyDescent="0.2">
      <c r="A57" s="9">
        <v>54</v>
      </c>
      <c r="B57" s="178">
        <f t="shared" si="16"/>
        <v>36</v>
      </c>
      <c r="C57" s="178">
        <f t="shared" si="16"/>
        <v>36</v>
      </c>
      <c r="D57" s="2">
        <f>PARAM!$H$38</f>
        <v>1</v>
      </c>
      <c r="E57" s="11">
        <f>PARAM!$G$38</f>
        <v>0</v>
      </c>
      <c r="F57" s="11">
        <f>(VLOOKUP(C57,DEDN!$A$8:$O$902,$F$2)*D57+E57)/1000</f>
        <v>6.4000000000000005E-4</v>
      </c>
      <c r="G57" s="178">
        <f t="shared" si="17"/>
        <v>5</v>
      </c>
      <c r="H57" s="178">
        <f t="shared" si="17"/>
        <v>5</v>
      </c>
      <c r="I57" s="2">
        <f>PARAM!$H$39</f>
        <v>0</v>
      </c>
      <c r="J57" s="11">
        <f>PARAM!$G$39</f>
        <v>0</v>
      </c>
      <c r="K57" s="11">
        <f>(VLOOKUP(H57,DEDN!$A$8:$O$902,$K$2)*I57+J57)/1000</f>
        <v>0</v>
      </c>
      <c r="L57" s="11">
        <f>MIN(IF(PARAM!$B$43=3,CHOOSE($L$2,F57,K57),F57+K57-F57*K57),1)</f>
        <v>6.4000000000000005E-4</v>
      </c>
      <c r="M57" s="2">
        <f>PARAM!$I$38</f>
        <v>0</v>
      </c>
      <c r="N57" s="11">
        <f>VLOOKUP(B57,DEDN!$A$8:$O$90,$N$2)*M57</f>
        <v>0</v>
      </c>
      <c r="O57" s="12"/>
      <c r="P57" s="10">
        <f>PARAM!$C$53^-A57</f>
        <v>1</v>
      </c>
      <c r="Q57" s="10">
        <f t="shared" si="20"/>
        <v>0.99758227258474819</v>
      </c>
      <c r="R57" s="10">
        <f t="shared" si="19"/>
        <v>0.99758227258474819</v>
      </c>
      <c r="S57" s="10">
        <f>CHOOSE(PARAM!$B$51,R57,R57,R57,0)*(A57&lt;PARAM!$B$55)</f>
        <v>0.99758227258474819</v>
      </c>
      <c r="T57" s="10">
        <f t="shared" si="1"/>
        <v>5.3220000876041951E-5</v>
      </c>
      <c r="U57" s="10">
        <f>T57*P57*(A57&lt;PARAM!$B$55)</f>
        <v>5.3220000876041951E-5</v>
      </c>
      <c r="W57">
        <v>54</v>
      </c>
      <c r="X57" s="178">
        <f t="shared" si="18"/>
        <v>36</v>
      </c>
      <c r="Y57" s="178">
        <f t="shared" si="18"/>
        <v>36</v>
      </c>
      <c r="Z57" s="178">
        <f t="shared" si="18"/>
        <v>5</v>
      </c>
      <c r="AA57" s="178">
        <f t="shared" si="18"/>
        <v>5</v>
      </c>
      <c r="AD57" s="17">
        <f>CALC!E81*(A57&lt;PARAM!$B$55)</f>
        <v>7.6666666666666661</v>
      </c>
      <c r="AE57">
        <f>IF(A57&lt;ITER!$C$16,1,PARAM!$C$53^-(RATES!A57-ITER!$C$16))*(A57&lt;PARAM!$B$55)</f>
        <v>1</v>
      </c>
    </row>
    <row r="58" spans="1:31" x14ac:dyDescent="0.2">
      <c r="A58" s="9">
        <v>55</v>
      </c>
      <c r="B58" s="178">
        <f t="shared" si="16"/>
        <v>36</v>
      </c>
      <c r="C58" s="178">
        <f t="shared" si="16"/>
        <v>36</v>
      </c>
      <c r="D58" s="2">
        <f>PARAM!$H$38</f>
        <v>1</v>
      </c>
      <c r="E58" s="11">
        <f>PARAM!$G$38</f>
        <v>0</v>
      </c>
      <c r="F58" s="11">
        <f>(VLOOKUP(C58,DEDN!$A$8:$O$902,$F$2)*D58+E58)/1000</f>
        <v>6.4000000000000005E-4</v>
      </c>
      <c r="G58" s="178">
        <f t="shared" si="17"/>
        <v>5</v>
      </c>
      <c r="H58" s="178">
        <f t="shared" si="17"/>
        <v>5</v>
      </c>
      <c r="I58" s="2">
        <f>PARAM!$H$39</f>
        <v>0</v>
      </c>
      <c r="J58" s="11">
        <f>PARAM!$G$39</f>
        <v>0</v>
      </c>
      <c r="K58" s="11">
        <f>(VLOOKUP(H58,DEDN!$A$8:$O$902,$K$2)*I58+J58)/1000</f>
        <v>0</v>
      </c>
      <c r="L58" s="11">
        <f>MIN(IF(PARAM!$B$43=3,CHOOSE($L$2,F58,K58),F58+K58-F58*K58),1)</f>
        <v>6.4000000000000005E-4</v>
      </c>
      <c r="M58" s="2">
        <f>PARAM!$I$38</f>
        <v>0</v>
      </c>
      <c r="N58" s="11">
        <f>VLOOKUP(B58,DEDN!$A$8:$O$90,$N$2)*M58</f>
        <v>0</v>
      </c>
      <c r="O58" s="12"/>
      <c r="P58" s="10">
        <f>PARAM!$C$53^-A58</f>
        <v>1</v>
      </c>
      <c r="Q58" s="10">
        <f t="shared" si="20"/>
        <v>0.99752905258387214</v>
      </c>
      <c r="R58" s="10">
        <f t="shared" si="19"/>
        <v>0.99752905258387214</v>
      </c>
      <c r="S58" s="10">
        <f>CHOOSE(PARAM!$B$51,R58,0,0,0)*(A58&lt;PARAM!$B$55)</f>
        <v>0.99752905258387214</v>
      </c>
      <c r="T58" s="10">
        <f t="shared" si="1"/>
        <v>5.32171616430821E-5</v>
      </c>
      <c r="U58" s="10">
        <f>T58*P58*(A58&lt;PARAM!$B$55)</f>
        <v>5.32171616430821E-5</v>
      </c>
      <c r="W58">
        <v>55</v>
      </c>
      <c r="X58" s="178">
        <f t="shared" si="18"/>
        <v>36</v>
      </c>
      <c r="Y58" s="178">
        <f t="shared" si="18"/>
        <v>36</v>
      </c>
      <c r="Z58" s="178">
        <f t="shared" si="18"/>
        <v>5</v>
      </c>
      <c r="AA58" s="178">
        <f t="shared" si="18"/>
        <v>5</v>
      </c>
      <c r="AD58" s="17">
        <f>CALC!E82*(A58&lt;PARAM!$B$55)</f>
        <v>7.6666666666666661</v>
      </c>
      <c r="AE58">
        <f>IF(A58&lt;ITER!$C$16,1,PARAM!$C$53^-(RATES!A58-ITER!$C$16))*(A58&lt;PARAM!$B$55)</f>
        <v>1</v>
      </c>
    </row>
    <row r="59" spans="1:31" x14ac:dyDescent="0.2">
      <c r="A59" s="9">
        <v>56</v>
      </c>
      <c r="B59" s="178">
        <f t="shared" si="16"/>
        <v>36</v>
      </c>
      <c r="C59" s="178">
        <f t="shared" si="16"/>
        <v>36</v>
      </c>
      <c r="D59" s="2">
        <f>PARAM!$H$38</f>
        <v>1</v>
      </c>
      <c r="E59" s="11">
        <f>PARAM!$G$38</f>
        <v>0</v>
      </c>
      <c r="F59" s="11">
        <f>(VLOOKUP(C59,DEDN!$A$8:$O$902,$F$2)*D59+E59)/1000</f>
        <v>6.4000000000000005E-4</v>
      </c>
      <c r="G59" s="178">
        <f t="shared" si="17"/>
        <v>5</v>
      </c>
      <c r="H59" s="178">
        <f t="shared" si="17"/>
        <v>5</v>
      </c>
      <c r="I59" s="2">
        <f>PARAM!$H$39</f>
        <v>0</v>
      </c>
      <c r="J59" s="11">
        <f>PARAM!$G$39</f>
        <v>0</v>
      </c>
      <c r="K59" s="11">
        <f>(VLOOKUP(H59,DEDN!$A$8:$O$902,$K$2)*I59+J59)/1000</f>
        <v>0</v>
      </c>
      <c r="L59" s="11">
        <f>MIN(IF(PARAM!$B$43=3,CHOOSE($L$2,F59,K59),F59+K59-F59*K59),1)</f>
        <v>6.4000000000000005E-4</v>
      </c>
      <c r="M59" s="2">
        <f>PARAM!$I$38</f>
        <v>0</v>
      </c>
      <c r="N59" s="11">
        <f>VLOOKUP(B59,DEDN!$A$8:$O$90,$N$2)*M59</f>
        <v>0</v>
      </c>
      <c r="O59" s="12"/>
      <c r="P59" s="10">
        <f>PARAM!$C$53^-A59</f>
        <v>1</v>
      </c>
      <c r="Q59" s="10">
        <f t="shared" si="20"/>
        <v>0.99747583542222906</v>
      </c>
      <c r="R59" s="10">
        <f t="shared" si="19"/>
        <v>0.99747583542222906</v>
      </c>
      <c r="S59" s="10">
        <f>CHOOSE(PARAM!$B$51,R59,0,0,0)*(A59&lt;PARAM!$B$55)</f>
        <v>0.99747583542222906</v>
      </c>
      <c r="T59" s="10">
        <f t="shared" si="1"/>
        <v>5.3214322561556671E-5</v>
      </c>
      <c r="U59" s="10">
        <f>T59*P59*(A59&lt;PARAM!$B$55)</f>
        <v>5.3214322561556671E-5</v>
      </c>
      <c r="W59">
        <v>56</v>
      </c>
      <c r="X59" s="178">
        <f t="shared" si="18"/>
        <v>36</v>
      </c>
      <c r="Y59" s="178">
        <f t="shared" si="18"/>
        <v>36</v>
      </c>
      <c r="Z59" s="178">
        <f t="shared" si="18"/>
        <v>5</v>
      </c>
      <c r="AA59" s="178">
        <f t="shared" si="18"/>
        <v>5</v>
      </c>
      <c r="AD59" s="17">
        <f>CALC!E83*(A59&lt;PARAM!$B$55)</f>
        <v>7.6666666666666661</v>
      </c>
      <c r="AE59">
        <f>IF(A59&lt;ITER!$C$16,1,PARAM!$C$53^-(RATES!A59-ITER!$C$16))*(A59&lt;PARAM!$B$55)</f>
        <v>1</v>
      </c>
    </row>
    <row r="60" spans="1:31" x14ac:dyDescent="0.2">
      <c r="A60" s="9">
        <v>57</v>
      </c>
      <c r="B60" s="178">
        <f t="shared" si="16"/>
        <v>36</v>
      </c>
      <c r="C60" s="178">
        <f t="shared" si="16"/>
        <v>36</v>
      </c>
      <c r="D60" s="2">
        <f>PARAM!$H$38</f>
        <v>1</v>
      </c>
      <c r="E60" s="11">
        <f>PARAM!$G$38</f>
        <v>0</v>
      </c>
      <c r="F60" s="11">
        <f>(VLOOKUP(C60,DEDN!$A$8:$O$902,$F$2)*D60+E60)/1000</f>
        <v>6.4000000000000005E-4</v>
      </c>
      <c r="G60" s="178">
        <f t="shared" si="17"/>
        <v>5</v>
      </c>
      <c r="H60" s="178">
        <f t="shared" si="17"/>
        <v>5</v>
      </c>
      <c r="I60" s="2">
        <f>PARAM!$H$39</f>
        <v>0</v>
      </c>
      <c r="J60" s="11">
        <f>PARAM!$G$39</f>
        <v>0</v>
      </c>
      <c r="K60" s="11">
        <f>(VLOOKUP(H60,DEDN!$A$8:$O$902,$K$2)*I60+J60)/1000</f>
        <v>0</v>
      </c>
      <c r="L60" s="11">
        <f>MIN(IF(PARAM!$B$43=3,CHOOSE($L$2,F60,K60),F60+K60-F60*K60),1)</f>
        <v>6.4000000000000005E-4</v>
      </c>
      <c r="M60" s="2">
        <f>PARAM!$I$38</f>
        <v>0</v>
      </c>
      <c r="N60" s="11">
        <f>VLOOKUP(B60,DEDN!$A$8:$O$90,$N$2)*M60</f>
        <v>0</v>
      </c>
      <c r="O60" s="12"/>
      <c r="P60" s="10">
        <f>PARAM!$C$53^-A60</f>
        <v>1</v>
      </c>
      <c r="Q60" s="10">
        <f t="shared" si="20"/>
        <v>0.99742262109966751</v>
      </c>
      <c r="R60" s="10">
        <f t="shared" si="19"/>
        <v>0.99742262109966751</v>
      </c>
      <c r="S60" s="10">
        <f>CHOOSE(PARAM!$B$51,R60,R60,0,0)*(A60&lt;PARAM!$B$55)</f>
        <v>0.99742262109966751</v>
      </c>
      <c r="T60" s="10">
        <f t="shared" si="1"/>
        <v>5.3211483631465661E-5</v>
      </c>
      <c r="U60" s="10">
        <f>T60*P60*(A60&lt;PARAM!$B$55)</f>
        <v>5.3211483631465661E-5</v>
      </c>
      <c r="W60">
        <v>57</v>
      </c>
      <c r="X60" s="178">
        <f t="shared" si="18"/>
        <v>36</v>
      </c>
      <c r="Y60" s="178">
        <f t="shared" si="18"/>
        <v>36</v>
      </c>
      <c r="Z60" s="178">
        <f t="shared" si="18"/>
        <v>5</v>
      </c>
      <c r="AA60" s="178">
        <f t="shared" si="18"/>
        <v>5</v>
      </c>
      <c r="AD60" s="17">
        <f>CALC!E84*(A60&lt;PARAM!$B$55)</f>
        <v>7.6666666666666661</v>
      </c>
      <c r="AE60">
        <f>IF(A60&lt;ITER!$C$16,1,PARAM!$C$53^-(RATES!A60-ITER!$C$16))*(A60&lt;PARAM!$B$55)</f>
        <v>1</v>
      </c>
    </row>
    <row r="61" spans="1:31" x14ac:dyDescent="0.2">
      <c r="A61" s="9">
        <v>58</v>
      </c>
      <c r="B61" s="178">
        <f t="shared" ref="B61:C80" si="21">B49+1</f>
        <v>36</v>
      </c>
      <c r="C61" s="178">
        <f t="shared" si="21"/>
        <v>36</v>
      </c>
      <c r="D61" s="2">
        <f>PARAM!$H$38</f>
        <v>1</v>
      </c>
      <c r="E61" s="11">
        <f>PARAM!$G$38</f>
        <v>0</v>
      </c>
      <c r="F61" s="11">
        <f>(VLOOKUP(C61,DEDN!$A$8:$O$902,$F$2)*D61+E61)/1000</f>
        <v>6.4000000000000005E-4</v>
      </c>
      <c r="G61" s="178">
        <f t="shared" ref="G61:H80" si="22">G49+1</f>
        <v>5</v>
      </c>
      <c r="H61" s="178">
        <f t="shared" si="22"/>
        <v>5</v>
      </c>
      <c r="I61" s="2">
        <f>PARAM!$H$39</f>
        <v>0</v>
      </c>
      <c r="J61" s="11">
        <f>PARAM!$G$39</f>
        <v>0</v>
      </c>
      <c r="K61" s="11">
        <f>(VLOOKUP(H61,DEDN!$A$8:$O$902,$K$2)*I61+J61)/1000</f>
        <v>0</v>
      </c>
      <c r="L61" s="11">
        <f>MIN(IF(PARAM!$B$43=3,CHOOSE($L$2,F61,K61),F61+K61-F61*K61),1)</f>
        <v>6.4000000000000005E-4</v>
      </c>
      <c r="M61" s="2">
        <f>PARAM!$I$38</f>
        <v>0</v>
      </c>
      <c r="N61" s="11">
        <f>VLOOKUP(B61,DEDN!$A$8:$O$90,$N$2)*M61</f>
        <v>0</v>
      </c>
      <c r="O61" s="12"/>
      <c r="P61" s="10">
        <f>PARAM!$C$53^-A61</f>
        <v>1</v>
      </c>
      <c r="Q61" s="10">
        <f t="shared" si="20"/>
        <v>0.99736940961603604</v>
      </c>
      <c r="R61" s="10">
        <f t="shared" si="19"/>
        <v>0.99736940961603604</v>
      </c>
      <c r="S61" s="10">
        <f>CHOOSE(PARAM!$B$51,R61,0,0,0)*(A61&lt;PARAM!$B$55)</f>
        <v>0.99736940961603604</v>
      </c>
      <c r="T61" s="10">
        <f t="shared" si="1"/>
        <v>5.3208644852920095E-5</v>
      </c>
      <c r="U61" s="10">
        <f>T61*P61*(A61&lt;PARAM!$B$55)</f>
        <v>5.3208644852920095E-5</v>
      </c>
      <c r="W61">
        <v>58</v>
      </c>
      <c r="X61" s="178">
        <f t="shared" ref="X61:AA80" si="23">X49+1</f>
        <v>36</v>
      </c>
      <c r="Y61" s="178">
        <f t="shared" si="23"/>
        <v>36</v>
      </c>
      <c r="Z61" s="178">
        <f t="shared" si="23"/>
        <v>5</v>
      </c>
      <c r="AA61" s="178">
        <f t="shared" si="23"/>
        <v>5</v>
      </c>
      <c r="AD61" s="17">
        <f>CALC!E85*(A61&lt;PARAM!$B$55)</f>
        <v>7.6666666666666661</v>
      </c>
      <c r="AE61">
        <f>IF(A61&lt;ITER!$C$16,1,PARAM!$C$53^-(RATES!A61-ITER!$C$16))*(A61&lt;PARAM!$B$55)</f>
        <v>1</v>
      </c>
    </row>
    <row r="62" spans="1:31" x14ac:dyDescent="0.2">
      <c r="A62" s="9">
        <v>59</v>
      </c>
      <c r="B62" s="178">
        <f t="shared" si="21"/>
        <v>36</v>
      </c>
      <c r="C62" s="178">
        <f t="shared" si="21"/>
        <v>36</v>
      </c>
      <c r="D62" s="2">
        <f>PARAM!$H$38</f>
        <v>1</v>
      </c>
      <c r="E62" s="11">
        <f>PARAM!$G$38</f>
        <v>0</v>
      </c>
      <c r="F62" s="11">
        <f>(VLOOKUP(C62,DEDN!$A$8:$O$902,$F$2)*D62+E62)/1000</f>
        <v>6.4000000000000005E-4</v>
      </c>
      <c r="G62" s="178">
        <f t="shared" si="22"/>
        <v>5</v>
      </c>
      <c r="H62" s="178">
        <f t="shared" si="22"/>
        <v>5</v>
      </c>
      <c r="I62" s="2">
        <f>PARAM!$H$39</f>
        <v>0</v>
      </c>
      <c r="J62" s="11">
        <f>PARAM!$G$39</f>
        <v>0</v>
      </c>
      <c r="K62" s="11">
        <f>(VLOOKUP(H62,DEDN!$A$8:$O$902,$K$2)*I62+J62)/1000</f>
        <v>0</v>
      </c>
      <c r="L62" s="11">
        <f>MIN(IF(PARAM!$B$43=3,CHOOSE($L$2,F62,K62),F62+K62-F62*K62),1)</f>
        <v>6.4000000000000005E-4</v>
      </c>
      <c r="M62" s="2">
        <f>PARAM!$I$38</f>
        <v>0</v>
      </c>
      <c r="N62" s="11">
        <f>VLOOKUP(B62,DEDN!$A$8:$O$90,$N$2)*M62</f>
        <v>0</v>
      </c>
      <c r="O62" s="12"/>
      <c r="P62" s="10">
        <f>PARAM!$C$53^-A62</f>
        <v>1</v>
      </c>
      <c r="Q62" s="10">
        <f t="shared" si="20"/>
        <v>0.99731620097118312</v>
      </c>
      <c r="R62" s="10">
        <f t="shared" si="19"/>
        <v>0.99731620097118312</v>
      </c>
      <c r="S62" s="10">
        <f>CHOOSE(PARAM!$B$51,R62,0,0,0)*(A62&lt;PARAM!$B$55)</f>
        <v>0.99731620097118312</v>
      </c>
      <c r="T62" s="10">
        <f t="shared" si="1"/>
        <v>5.3205806225697927E-5</v>
      </c>
      <c r="U62" s="10">
        <f>T62*P62*(A62&lt;PARAM!$B$55)</f>
        <v>5.3205806225697927E-5</v>
      </c>
      <c r="W62">
        <v>59</v>
      </c>
      <c r="X62" s="178">
        <f t="shared" si="23"/>
        <v>36</v>
      </c>
      <c r="Y62" s="178">
        <f t="shared" si="23"/>
        <v>36</v>
      </c>
      <c r="Z62" s="178">
        <f t="shared" si="23"/>
        <v>5</v>
      </c>
      <c r="AA62" s="178">
        <f t="shared" si="23"/>
        <v>5</v>
      </c>
      <c r="AD62" s="17">
        <f>CALC!E86*(A62&lt;PARAM!$B$55)</f>
        <v>7.6666666666666661</v>
      </c>
      <c r="AE62">
        <f>IF(A62&lt;ITER!$C$16,1,PARAM!$C$53^-(RATES!A62-ITER!$C$16))*(A62&lt;PARAM!$B$55)</f>
        <v>1</v>
      </c>
    </row>
    <row r="63" spans="1:31" x14ac:dyDescent="0.2">
      <c r="A63" s="9">
        <v>60</v>
      </c>
      <c r="B63" s="178">
        <f t="shared" si="21"/>
        <v>36</v>
      </c>
      <c r="C63" s="178">
        <f t="shared" si="21"/>
        <v>36</v>
      </c>
      <c r="D63" s="2">
        <f>PARAM!$H$38</f>
        <v>1</v>
      </c>
      <c r="E63" s="11">
        <f>PARAM!$G$38</f>
        <v>0</v>
      </c>
      <c r="F63" s="11">
        <f>(VLOOKUP(C63,DEDN!$A$8:$O$902,$F$2)*D63+E63)/1000</f>
        <v>6.4000000000000005E-4</v>
      </c>
      <c r="G63" s="178">
        <f t="shared" si="22"/>
        <v>5</v>
      </c>
      <c r="H63" s="178">
        <f t="shared" si="22"/>
        <v>5</v>
      </c>
      <c r="I63" s="2">
        <f>PARAM!$H$39</f>
        <v>0</v>
      </c>
      <c r="J63" s="11">
        <f>PARAM!$G$39</f>
        <v>0</v>
      </c>
      <c r="K63" s="11">
        <f>(VLOOKUP(H63,DEDN!$A$8:$O$902,$K$2)*I63+J63)/1000</f>
        <v>0</v>
      </c>
      <c r="L63" s="11">
        <f>MIN(IF(PARAM!$B$43=3,CHOOSE($L$2,F63,K63),F63+K63-F63*K63),1)</f>
        <v>6.4000000000000005E-4</v>
      </c>
      <c r="M63" s="2">
        <f>PARAM!$I$38</f>
        <v>0</v>
      </c>
      <c r="N63" s="11">
        <f>VLOOKUP(B63,DEDN!$A$8:$O$90,$N$2)*M63</f>
        <v>0</v>
      </c>
      <c r="O63" s="12"/>
      <c r="P63" s="10">
        <f>PARAM!$C$53^-A63</f>
        <v>1</v>
      </c>
      <c r="Q63" s="10">
        <f t="shared" si="20"/>
        <v>0.99726299516495742</v>
      </c>
      <c r="R63" s="10">
        <f t="shared" si="19"/>
        <v>0.99726299516495742</v>
      </c>
      <c r="S63" s="10">
        <f>R63*(A63&lt;PARAM!$B$55)</f>
        <v>0.99726299516495742</v>
      </c>
      <c r="T63" s="10">
        <f t="shared" si="1"/>
        <v>5.3202967750021202E-5</v>
      </c>
      <c r="U63" s="10">
        <f>T63*P63*(A63&lt;PARAM!$B$55)</f>
        <v>5.3202967750021202E-5</v>
      </c>
      <c r="W63">
        <v>60</v>
      </c>
      <c r="X63" s="178">
        <f t="shared" si="23"/>
        <v>36</v>
      </c>
      <c r="Y63" s="178">
        <f t="shared" si="23"/>
        <v>36</v>
      </c>
      <c r="Z63" s="178">
        <f t="shared" si="23"/>
        <v>5</v>
      </c>
      <c r="AA63" s="178">
        <f t="shared" si="23"/>
        <v>5</v>
      </c>
      <c r="AD63" s="17">
        <f>CALC!E87*(A63&lt;PARAM!$B$55)</f>
        <v>7.6666666666666661</v>
      </c>
      <c r="AE63">
        <f>IF(A63&lt;ITER!$C$16,1,PARAM!$C$53^-(RATES!A63-ITER!$C$16))*(A63&lt;PARAM!$B$55)</f>
        <v>1</v>
      </c>
    </row>
    <row r="64" spans="1:31" x14ac:dyDescent="0.2">
      <c r="A64" s="9">
        <v>61</v>
      </c>
      <c r="B64" s="178">
        <f t="shared" si="21"/>
        <v>36</v>
      </c>
      <c r="C64" s="178">
        <f t="shared" si="21"/>
        <v>36</v>
      </c>
      <c r="D64" s="2">
        <f>PARAM!$H$38</f>
        <v>1</v>
      </c>
      <c r="E64" s="11">
        <f>PARAM!$G$38</f>
        <v>0</v>
      </c>
      <c r="F64" s="11">
        <f>(VLOOKUP(C64,DEDN!$A$8:$O$902,$F$2)*D64+E64)/1000</f>
        <v>6.4000000000000005E-4</v>
      </c>
      <c r="G64" s="178">
        <f t="shared" si="22"/>
        <v>5</v>
      </c>
      <c r="H64" s="178">
        <f t="shared" si="22"/>
        <v>5</v>
      </c>
      <c r="I64" s="2">
        <f>PARAM!$H$39</f>
        <v>0</v>
      </c>
      <c r="J64" s="11">
        <f>PARAM!$G$39</f>
        <v>0</v>
      </c>
      <c r="K64" s="11">
        <f>(VLOOKUP(H64,DEDN!$A$8:$O$902,$K$2)*I64+J64)/1000</f>
        <v>0</v>
      </c>
      <c r="L64" s="11">
        <f>MIN(IF(PARAM!$B$43=3,CHOOSE($L$2,F64,K64),F64+K64-F64*K64),1)</f>
        <v>6.4000000000000005E-4</v>
      </c>
      <c r="M64" s="2">
        <f>PARAM!$I$38</f>
        <v>0</v>
      </c>
      <c r="N64" s="11">
        <f>VLOOKUP(B64,DEDN!$A$8:$O$90,$N$2)*M64</f>
        <v>0</v>
      </c>
      <c r="O64" s="12"/>
      <c r="P64" s="10">
        <f>PARAM!$C$53^-A64</f>
        <v>1</v>
      </c>
      <c r="Q64" s="10">
        <f t="shared" si="20"/>
        <v>0.9972097921972074</v>
      </c>
      <c r="R64" s="10">
        <f t="shared" si="19"/>
        <v>0.9972097921972074</v>
      </c>
      <c r="S64" s="10">
        <f>CHOOSE(PARAM!$B$51,R64,0,0,0)*(A64&lt;PARAM!$B$55)</f>
        <v>0.9972097921972074</v>
      </c>
      <c r="T64" s="10">
        <f t="shared" si="1"/>
        <v>5.3200129425667875E-5</v>
      </c>
      <c r="U64" s="10">
        <f>T64*P64*(A64&lt;PARAM!$B$55)</f>
        <v>5.3200129425667875E-5</v>
      </c>
      <c r="W64">
        <v>61</v>
      </c>
      <c r="X64" s="178">
        <f t="shared" si="23"/>
        <v>36</v>
      </c>
      <c r="Y64" s="178">
        <f t="shared" si="23"/>
        <v>36</v>
      </c>
      <c r="Z64" s="178">
        <f t="shared" si="23"/>
        <v>5</v>
      </c>
      <c r="AA64" s="178">
        <f t="shared" si="23"/>
        <v>5</v>
      </c>
      <c r="AD64" s="17">
        <f>CALC!E88*(A64&lt;PARAM!$B$55)</f>
        <v>7.6666666666666661</v>
      </c>
      <c r="AE64">
        <f>IF(A64&lt;ITER!$C$16,1,PARAM!$C$53^-(RATES!A64-ITER!$C$16))*(A64&lt;PARAM!$B$55)</f>
        <v>1</v>
      </c>
    </row>
    <row r="65" spans="1:31" x14ac:dyDescent="0.2">
      <c r="A65" s="9">
        <v>62</v>
      </c>
      <c r="B65" s="178">
        <f t="shared" si="21"/>
        <v>36</v>
      </c>
      <c r="C65" s="178">
        <f t="shared" si="21"/>
        <v>36</v>
      </c>
      <c r="D65" s="2">
        <f>PARAM!$H$38</f>
        <v>1</v>
      </c>
      <c r="E65" s="11">
        <f>PARAM!$G$38</f>
        <v>0</v>
      </c>
      <c r="F65" s="11">
        <f>(VLOOKUP(C65,DEDN!$A$8:$O$902,$F$2)*D65+E65)/1000</f>
        <v>6.4000000000000005E-4</v>
      </c>
      <c r="G65" s="178">
        <f t="shared" si="22"/>
        <v>5</v>
      </c>
      <c r="H65" s="178">
        <f t="shared" si="22"/>
        <v>5</v>
      </c>
      <c r="I65" s="2">
        <f>PARAM!$H$39</f>
        <v>0</v>
      </c>
      <c r="J65" s="11">
        <f>PARAM!$G$39</f>
        <v>0</v>
      </c>
      <c r="K65" s="11">
        <f>(VLOOKUP(H65,DEDN!$A$8:$O$902,$K$2)*I65+J65)/1000</f>
        <v>0</v>
      </c>
      <c r="L65" s="11">
        <f>MIN(IF(PARAM!$B$43=3,CHOOSE($L$2,F65,K65),F65+K65-F65*K65),1)</f>
        <v>6.4000000000000005E-4</v>
      </c>
      <c r="M65" s="2">
        <f>PARAM!$I$38</f>
        <v>0</v>
      </c>
      <c r="N65" s="11">
        <f>VLOOKUP(B65,DEDN!$A$8:$O$90,$N$2)*M65</f>
        <v>0</v>
      </c>
      <c r="O65" s="12"/>
      <c r="P65" s="10">
        <f>PARAM!$C$53^-A65</f>
        <v>1</v>
      </c>
      <c r="Q65" s="10">
        <f t="shared" si="20"/>
        <v>0.99715659206778173</v>
      </c>
      <c r="R65" s="10">
        <f t="shared" si="19"/>
        <v>0.99715659206778173</v>
      </c>
      <c r="S65" s="10">
        <f>CHOOSE(PARAM!$B$51,R65,0,0,0)*(A65&lt;PARAM!$B$55)</f>
        <v>0.99715659206778173</v>
      </c>
      <c r="T65" s="10">
        <f t="shared" si="1"/>
        <v>5.3197291252859991E-5</v>
      </c>
      <c r="U65" s="10">
        <f>T65*P65*(A65&lt;PARAM!$B$55)</f>
        <v>5.3197291252859991E-5</v>
      </c>
      <c r="W65">
        <v>62</v>
      </c>
      <c r="X65" s="178">
        <f t="shared" si="23"/>
        <v>36</v>
      </c>
      <c r="Y65" s="178">
        <f t="shared" si="23"/>
        <v>36</v>
      </c>
      <c r="Z65" s="178">
        <f t="shared" si="23"/>
        <v>5</v>
      </c>
      <c r="AA65" s="178">
        <f t="shared" si="23"/>
        <v>5</v>
      </c>
      <c r="AD65" s="17">
        <f>CALC!E89*(A65&lt;PARAM!$B$55)</f>
        <v>7.6666666666666661</v>
      </c>
      <c r="AE65">
        <f>IF(A65&lt;ITER!$C$16,1,PARAM!$C$53^-(RATES!A65-ITER!$C$16))*(A65&lt;PARAM!$B$55)</f>
        <v>1</v>
      </c>
    </row>
    <row r="66" spans="1:31" x14ac:dyDescent="0.2">
      <c r="A66" s="9">
        <v>63</v>
      </c>
      <c r="B66" s="178">
        <f t="shared" si="21"/>
        <v>36</v>
      </c>
      <c r="C66" s="178">
        <f t="shared" si="21"/>
        <v>36</v>
      </c>
      <c r="D66" s="2">
        <f>PARAM!$H$38</f>
        <v>1</v>
      </c>
      <c r="E66" s="11">
        <f>PARAM!$G$38</f>
        <v>0</v>
      </c>
      <c r="F66" s="11">
        <f>(VLOOKUP(C66,DEDN!$A$8:$O$902,$F$2)*D66+E66)/1000</f>
        <v>6.4000000000000005E-4</v>
      </c>
      <c r="G66" s="178">
        <f t="shared" si="22"/>
        <v>5</v>
      </c>
      <c r="H66" s="178">
        <f t="shared" si="22"/>
        <v>5</v>
      </c>
      <c r="I66" s="2">
        <f>PARAM!$H$39</f>
        <v>0</v>
      </c>
      <c r="J66" s="11">
        <f>PARAM!$G$39</f>
        <v>0</v>
      </c>
      <c r="K66" s="11">
        <f>(VLOOKUP(H66,DEDN!$A$8:$O$902,$K$2)*I66+J66)/1000</f>
        <v>0</v>
      </c>
      <c r="L66" s="11">
        <f>MIN(IF(PARAM!$B$43=3,CHOOSE($L$2,F66,K66),F66+K66-F66*K66),1)</f>
        <v>6.4000000000000005E-4</v>
      </c>
      <c r="M66" s="2">
        <f>PARAM!$I$38</f>
        <v>0</v>
      </c>
      <c r="N66" s="11">
        <f>VLOOKUP(B66,DEDN!$A$8:$O$90,$N$2)*M66</f>
        <v>0</v>
      </c>
      <c r="O66" s="12"/>
      <c r="P66" s="10">
        <f>PARAM!$C$53^-A66</f>
        <v>1</v>
      </c>
      <c r="Q66" s="10">
        <f t="shared" si="20"/>
        <v>0.99710339477652887</v>
      </c>
      <c r="R66" s="10">
        <f t="shared" si="19"/>
        <v>0.99710339477652887</v>
      </c>
      <c r="S66" s="10">
        <f>CHOOSE(PARAM!$B$51,R66,R66,0,0)*(A66&lt;PARAM!$B$55)</f>
        <v>0.99710339477652887</v>
      </c>
      <c r="T66" s="10">
        <f t="shared" si="1"/>
        <v>5.3194453231375505E-5</v>
      </c>
      <c r="U66" s="10">
        <f>T66*P66*(A66&lt;PARAM!$B$55)</f>
        <v>5.3194453231375505E-5</v>
      </c>
      <c r="W66">
        <v>63</v>
      </c>
      <c r="X66" s="178">
        <f t="shared" si="23"/>
        <v>36</v>
      </c>
      <c r="Y66" s="178">
        <f t="shared" si="23"/>
        <v>36</v>
      </c>
      <c r="Z66" s="178">
        <f t="shared" si="23"/>
        <v>5</v>
      </c>
      <c r="AA66" s="178">
        <f t="shared" si="23"/>
        <v>5</v>
      </c>
      <c r="AD66" s="17">
        <f>CALC!E90*(A66&lt;PARAM!$B$55)</f>
        <v>7.6666666666666661</v>
      </c>
      <c r="AE66">
        <f>IF(A66&lt;ITER!$C$16,1,PARAM!$C$53^-(RATES!A66-ITER!$C$16))*(A66&lt;PARAM!$B$55)</f>
        <v>1</v>
      </c>
    </row>
    <row r="67" spans="1:31" x14ac:dyDescent="0.2">
      <c r="A67" s="9">
        <v>64</v>
      </c>
      <c r="B67" s="178">
        <f t="shared" si="21"/>
        <v>36</v>
      </c>
      <c r="C67" s="178">
        <f t="shared" si="21"/>
        <v>36</v>
      </c>
      <c r="D67" s="2">
        <f>PARAM!$H$38</f>
        <v>1</v>
      </c>
      <c r="E67" s="11">
        <f>PARAM!$G$38</f>
        <v>0</v>
      </c>
      <c r="F67" s="11">
        <f>(VLOOKUP(C67,DEDN!$A$8:$O$902,$F$2)*D67+E67)/1000</f>
        <v>6.4000000000000005E-4</v>
      </c>
      <c r="G67" s="178">
        <f t="shared" si="22"/>
        <v>5</v>
      </c>
      <c r="H67" s="178">
        <f t="shared" si="22"/>
        <v>5</v>
      </c>
      <c r="I67" s="2">
        <f>PARAM!$H$39</f>
        <v>0</v>
      </c>
      <c r="J67" s="11">
        <f>PARAM!$G$39</f>
        <v>0</v>
      </c>
      <c r="K67" s="11">
        <f>(VLOOKUP(H67,DEDN!$A$8:$O$902,$K$2)*I67+J67)/1000</f>
        <v>0</v>
      </c>
      <c r="L67" s="11">
        <f>MIN(IF(PARAM!$B$43=3,CHOOSE($L$2,F67,K67),F67+K67-F67*K67),1)</f>
        <v>6.4000000000000005E-4</v>
      </c>
      <c r="M67" s="2">
        <f>PARAM!$I$38</f>
        <v>0</v>
      </c>
      <c r="N67" s="11">
        <f>VLOOKUP(B67,DEDN!$A$8:$O$90,$N$2)*M67</f>
        <v>0</v>
      </c>
      <c r="O67" s="12"/>
      <c r="P67" s="10">
        <f>PARAM!$C$53^-A67</f>
        <v>1</v>
      </c>
      <c r="Q67" s="10">
        <f t="shared" si="20"/>
        <v>0.9970502003232975</v>
      </c>
      <c r="R67" s="10">
        <f t="shared" si="19"/>
        <v>0.9970502003232975</v>
      </c>
      <c r="S67" s="10">
        <f>CHOOSE(PARAM!$B$51,R67,0,0,0)*(A67&lt;PARAM!$B$55)</f>
        <v>0.9970502003232975</v>
      </c>
      <c r="T67" s="10">
        <f t="shared" si="1"/>
        <v>5.3191615361325439E-5</v>
      </c>
      <c r="U67" s="10">
        <f>T67*P67*(A67&lt;PARAM!$B$55)</f>
        <v>5.3191615361325439E-5</v>
      </c>
      <c r="W67">
        <v>64</v>
      </c>
      <c r="X67" s="178">
        <f t="shared" si="23"/>
        <v>36</v>
      </c>
      <c r="Y67" s="178">
        <f t="shared" si="23"/>
        <v>36</v>
      </c>
      <c r="Z67" s="178">
        <f t="shared" si="23"/>
        <v>5</v>
      </c>
      <c r="AA67" s="178">
        <f t="shared" si="23"/>
        <v>5</v>
      </c>
      <c r="AD67" s="17">
        <f>CALC!E91*(A67&lt;PARAM!$B$55)</f>
        <v>7.6666666666666661</v>
      </c>
      <c r="AE67">
        <f>IF(A67&lt;ITER!$C$16,1,PARAM!$C$53^-(RATES!A67-ITER!$C$16))*(A67&lt;PARAM!$B$55)</f>
        <v>1</v>
      </c>
    </row>
    <row r="68" spans="1:31" x14ac:dyDescent="0.2">
      <c r="A68" s="9">
        <v>65</v>
      </c>
      <c r="B68" s="178">
        <f t="shared" si="21"/>
        <v>36</v>
      </c>
      <c r="C68" s="178">
        <f t="shared" si="21"/>
        <v>36</v>
      </c>
      <c r="D68" s="2">
        <f>PARAM!$H$38</f>
        <v>1</v>
      </c>
      <c r="E68" s="11">
        <f>PARAM!$G$38</f>
        <v>0</v>
      </c>
      <c r="F68" s="11">
        <f>(VLOOKUP(C68,DEDN!$A$8:$O$902,$F$2)*D68+E68)/1000</f>
        <v>6.4000000000000005E-4</v>
      </c>
      <c r="G68" s="178">
        <f t="shared" si="22"/>
        <v>5</v>
      </c>
      <c r="H68" s="178">
        <f t="shared" si="22"/>
        <v>5</v>
      </c>
      <c r="I68" s="2">
        <f>PARAM!$H$39</f>
        <v>0</v>
      </c>
      <c r="J68" s="11">
        <f>PARAM!$G$39</f>
        <v>0</v>
      </c>
      <c r="K68" s="11">
        <f>(VLOOKUP(H68,DEDN!$A$8:$O$902,$K$2)*I68+J68)/1000</f>
        <v>0</v>
      </c>
      <c r="L68" s="11">
        <f>MIN(IF(PARAM!$B$43=3,CHOOSE($L$2,F68,K68),F68+K68-F68*K68),1)</f>
        <v>6.4000000000000005E-4</v>
      </c>
      <c r="M68" s="2">
        <f>PARAM!$I$38</f>
        <v>0</v>
      </c>
      <c r="N68" s="11">
        <f>VLOOKUP(B68,DEDN!$A$8:$O$90,$N$2)*M68</f>
        <v>0</v>
      </c>
      <c r="O68" s="12"/>
      <c r="P68" s="10">
        <f>PARAM!$C$53^-A68</f>
        <v>1</v>
      </c>
      <c r="Q68" s="10">
        <f t="shared" si="20"/>
        <v>0.99699700870793617</v>
      </c>
      <c r="R68" s="10">
        <f t="shared" ref="R68:R83" si="24">P68*Q68</f>
        <v>0.99699700870793617</v>
      </c>
      <c r="S68" s="10">
        <f>CHOOSE(PARAM!$B$51,R68,0,0,0)*(A68&lt;PARAM!$B$55)</f>
        <v>0.99699700870793617</v>
      </c>
      <c r="T68" s="10">
        <f t="shared" ref="T68:T131" si="25">Q68-Q69</f>
        <v>5.3188777642709795E-5</v>
      </c>
      <c r="U68" s="10">
        <f>T68*P68*(A68&lt;PARAM!$B$55)</f>
        <v>5.3188777642709795E-5</v>
      </c>
      <c r="W68">
        <v>65</v>
      </c>
      <c r="X68" s="178">
        <f t="shared" si="23"/>
        <v>36</v>
      </c>
      <c r="Y68" s="178">
        <f t="shared" si="23"/>
        <v>36</v>
      </c>
      <c r="Z68" s="178">
        <f t="shared" si="23"/>
        <v>5</v>
      </c>
      <c r="AA68" s="178">
        <f t="shared" si="23"/>
        <v>5</v>
      </c>
      <c r="AD68" s="17">
        <f>CALC!E92*(A68&lt;PARAM!$B$55)</f>
        <v>7.6666666666666661</v>
      </c>
      <c r="AE68">
        <f>IF(A68&lt;ITER!$C$16,1,PARAM!$C$53^-(RATES!A68-ITER!$C$16))*(A68&lt;PARAM!$B$55)</f>
        <v>1</v>
      </c>
    </row>
    <row r="69" spans="1:31" x14ac:dyDescent="0.2">
      <c r="A69" s="9">
        <v>66</v>
      </c>
      <c r="B69" s="178">
        <f t="shared" si="21"/>
        <v>37</v>
      </c>
      <c r="C69" s="178">
        <f t="shared" si="21"/>
        <v>37</v>
      </c>
      <c r="D69" s="2">
        <f>PARAM!$H$38</f>
        <v>1</v>
      </c>
      <c r="E69" s="11">
        <f>PARAM!$G$38</f>
        <v>0</v>
      </c>
      <c r="F69" s="11">
        <f>(VLOOKUP(C69,DEDN!$A$8:$O$902,$F$2)*D69+E69)/1000</f>
        <v>6.8999999999999997E-4</v>
      </c>
      <c r="G69" s="178">
        <f t="shared" si="22"/>
        <v>6</v>
      </c>
      <c r="H69" s="178">
        <f t="shared" si="22"/>
        <v>6</v>
      </c>
      <c r="I69" s="2">
        <f>PARAM!$H$39</f>
        <v>0</v>
      </c>
      <c r="J69" s="11">
        <f>PARAM!$G$39</f>
        <v>0</v>
      </c>
      <c r="K69" s="11">
        <f>(VLOOKUP(H69,DEDN!$A$8:$O$902,$K$2)*I69+J69)/1000</f>
        <v>0</v>
      </c>
      <c r="L69" s="11">
        <f>MIN(IF(PARAM!$B$43=3,CHOOSE($L$2,F69,K69),F69+K69-F69*K69),1)</f>
        <v>6.8999999999999997E-4</v>
      </c>
      <c r="M69" s="2">
        <f>PARAM!$I$38</f>
        <v>0</v>
      </c>
      <c r="N69" s="11">
        <f>VLOOKUP(B69,DEDN!$A$8:$O$90,$N$2)*M69</f>
        <v>0</v>
      </c>
      <c r="O69" s="12"/>
      <c r="P69" s="10">
        <f>PARAM!$C$53^-A69</f>
        <v>1</v>
      </c>
      <c r="Q69" s="10">
        <f t="shared" ref="Q69:Q84" si="26">Q68*(1-L68)^(1/12)</f>
        <v>0.99694381993029346</v>
      </c>
      <c r="R69" s="10">
        <f t="shared" si="24"/>
        <v>0.99694381993029346</v>
      </c>
      <c r="S69" s="10">
        <f>CHOOSE(PARAM!$B$51,R69,R69,R69,0)*(A69&lt;PARAM!$B$55)</f>
        <v>0.99694381993029346</v>
      </c>
      <c r="T69" s="10">
        <f t="shared" si="25"/>
        <v>5.7342406442062455E-5</v>
      </c>
      <c r="U69" s="10">
        <f>T69*P69*(A69&lt;PARAM!$B$55)</f>
        <v>5.7342406442062455E-5</v>
      </c>
      <c r="W69">
        <v>66</v>
      </c>
      <c r="X69" s="178">
        <f t="shared" si="23"/>
        <v>37</v>
      </c>
      <c r="Y69" s="178">
        <f t="shared" si="23"/>
        <v>37</v>
      </c>
      <c r="Z69" s="178">
        <f t="shared" si="23"/>
        <v>6</v>
      </c>
      <c r="AA69" s="178">
        <f t="shared" si="23"/>
        <v>6</v>
      </c>
      <c r="AD69" s="17">
        <f>CALC!E93*(A69&lt;PARAM!$B$55)</f>
        <v>7.875</v>
      </c>
      <c r="AE69">
        <f>IF(A69&lt;ITER!$C$16,1,PARAM!$C$53^-(RATES!A69-ITER!$C$16))*(A69&lt;PARAM!$B$55)</f>
        <v>1</v>
      </c>
    </row>
    <row r="70" spans="1:31" x14ac:dyDescent="0.2">
      <c r="A70" s="9">
        <v>67</v>
      </c>
      <c r="B70" s="178">
        <f t="shared" si="21"/>
        <v>37</v>
      </c>
      <c r="C70" s="178">
        <f t="shared" si="21"/>
        <v>37</v>
      </c>
      <c r="D70" s="2">
        <f>PARAM!$H$38</f>
        <v>1</v>
      </c>
      <c r="E70" s="11">
        <f>PARAM!$G$38</f>
        <v>0</v>
      </c>
      <c r="F70" s="11">
        <f>(VLOOKUP(C70,DEDN!$A$8:$O$902,$F$2)*D70+E70)/1000</f>
        <v>6.8999999999999997E-4</v>
      </c>
      <c r="G70" s="178">
        <f t="shared" si="22"/>
        <v>6</v>
      </c>
      <c r="H70" s="178">
        <f t="shared" si="22"/>
        <v>6</v>
      </c>
      <c r="I70" s="2">
        <f>PARAM!$H$39</f>
        <v>0</v>
      </c>
      <c r="J70" s="11">
        <f>PARAM!$G$39</f>
        <v>0</v>
      </c>
      <c r="K70" s="11">
        <f>(VLOOKUP(H70,DEDN!$A$8:$O$902,$K$2)*I70+J70)/1000</f>
        <v>0</v>
      </c>
      <c r="L70" s="11">
        <f>MIN(IF(PARAM!$B$43=3,CHOOSE($L$2,F70,K70),F70+K70-F70*K70),1)</f>
        <v>6.8999999999999997E-4</v>
      </c>
      <c r="M70" s="2">
        <f>PARAM!$I$38</f>
        <v>0</v>
      </c>
      <c r="N70" s="11">
        <f>VLOOKUP(B70,DEDN!$A$8:$O$90,$N$2)*M70</f>
        <v>0</v>
      </c>
      <c r="O70" s="12"/>
      <c r="P70" s="10">
        <f>PARAM!$C$53^-A70</f>
        <v>1</v>
      </c>
      <c r="Q70" s="10">
        <f t="shared" si="26"/>
        <v>0.9968864775238514</v>
      </c>
      <c r="R70" s="10">
        <f t="shared" si="24"/>
        <v>0.9968864775238514</v>
      </c>
      <c r="S70" s="10">
        <f>CHOOSE(PARAM!$B$51,R70,0,0,0)*(A70&lt;PARAM!$B$55)</f>
        <v>0.9968864775238514</v>
      </c>
      <c r="T70" s="10">
        <f t="shared" si="25"/>
        <v>5.7339108210485712E-5</v>
      </c>
      <c r="U70" s="10">
        <f>T70*P70*(A70&lt;PARAM!$B$55)</f>
        <v>5.7339108210485712E-5</v>
      </c>
      <c r="W70">
        <v>67</v>
      </c>
      <c r="X70" s="178">
        <f t="shared" si="23"/>
        <v>37</v>
      </c>
      <c r="Y70" s="178">
        <f t="shared" si="23"/>
        <v>37</v>
      </c>
      <c r="Z70" s="178">
        <f t="shared" si="23"/>
        <v>6</v>
      </c>
      <c r="AA70" s="178">
        <f t="shared" si="23"/>
        <v>6</v>
      </c>
      <c r="AD70" s="17">
        <f>CALC!E94*(A70&lt;PARAM!$B$55)</f>
        <v>7.875</v>
      </c>
      <c r="AE70">
        <f>IF(A70&lt;ITER!$C$16,1,PARAM!$C$53^-(RATES!A70-ITER!$C$16))*(A70&lt;PARAM!$B$55)</f>
        <v>1</v>
      </c>
    </row>
    <row r="71" spans="1:31" x14ac:dyDescent="0.2">
      <c r="A71" s="9">
        <v>68</v>
      </c>
      <c r="B71" s="178">
        <f t="shared" si="21"/>
        <v>37</v>
      </c>
      <c r="C71" s="178">
        <f t="shared" si="21"/>
        <v>37</v>
      </c>
      <c r="D71" s="2">
        <f>PARAM!$H$38</f>
        <v>1</v>
      </c>
      <c r="E71" s="11">
        <f>PARAM!$G$38</f>
        <v>0</v>
      </c>
      <c r="F71" s="11">
        <f>(VLOOKUP(C71,DEDN!$A$8:$O$902,$F$2)*D71+E71)/1000</f>
        <v>6.8999999999999997E-4</v>
      </c>
      <c r="G71" s="178">
        <f t="shared" si="22"/>
        <v>6</v>
      </c>
      <c r="H71" s="178">
        <f t="shared" si="22"/>
        <v>6</v>
      </c>
      <c r="I71" s="2">
        <f>PARAM!$H$39</f>
        <v>0</v>
      </c>
      <c r="J71" s="11">
        <f>PARAM!$G$39</f>
        <v>0</v>
      </c>
      <c r="K71" s="11">
        <f>(VLOOKUP(H71,DEDN!$A$8:$O$902,$K$2)*I71+J71)/1000</f>
        <v>0</v>
      </c>
      <c r="L71" s="11">
        <f>MIN(IF(PARAM!$B$43=3,CHOOSE($L$2,F71,K71),F71+K71-F71*K71),1)</f>
        <v>6.8999999999999997E-4</v>
      </c>
      <c r="M71" s="2">
        <f>PARAM!$I$38</f>
        <v>0</v>
      </c>
      <c r="N71" s="11">
        <f>VLOOKUP(B71,DEDN!$A$8:$O$90,$N$2)*M71</f>
        <v>0</v>
      </c>
      <c r="O71" s="12"/>
      <c r="P71" s="10">
        <f>PARAM!$C$53^-A71</f>
        <v>1</v>
      </c>
      <c r="Q71" s="10">
        <f t="shared" si="26"/>
        <v>0.99682913841564091</v>
      </c>
      <c r="R71" s="10">
        <f t="shared" si="24"/>
        <v>0.99682913841564091</v>
      </c>
      <c r="S71" s="10">
        <f>CHOOSE(PARAM!$B$51,R71,0,0,0)*(A71&lt;PARAM!$B$55)</f>
        <v>0.99682913841564091</v>
      </c>
      <c r="T71" s="10">
        <f t="shared" si="25"/>
        <v>5.7335810168646084E-5</v>
      </c>
      <c r="U71" s="10">
        <f>T71*P71*(A71&lt;PARAM!$B$55)</f>
        <v>5.7335810168646084E-5</v>
      </c>
      <c r="W71">
        <v>68</v>
      </c>
      <c r="X71" s="178">
        <f t="shared" si="23"/>
        <v>37</v>
      </c>
      <c r="Y71" s="178">
        <f t="shared" si="23"/>
        <v>37</v>
      </c>
      <c r="Z71" s="178">
        <f t="shared" si="23"/>
        <v>6</v>
      </c>
      <c r="AA71" s="178">
        <f t="shared" si="23"/>
        <v>6</v>
      </c>
      <c r="AD71" s="17">
        <f>CALC!E95*(A71&lt;PARAM!$B$55)</f>
        <v>7.875</v>
      </c>
      <c r="AE71">
        <f>IF(A71&lt;ITER!$C$16,1,PARAM!$C$53^-(RATES!A71-ITER!$C$16))*(A71&lt;PARAM!$B$55)</f>
        <v>1</v>
      </c>
    </row>
    <row r="72" spans="1:31" x14ac:dyDescent="0.2">
      <c r="A72" s="9">
        <v>69</v>
      </c>
      <c r="B72" s="178">
        <f t="shared" si="21"/>
        <v>37</v>
      </c>
      <c r="C72" s="178">
        <f t="shared" si="21"/>
        <v>37</v>
      </c>
      <c r="D72" s="2">
        <f>PARAM!$H$38</f>
        <v>1</v>
      </c>
      <c r="E72" s="11">
        <f>PARAM!$G$38</f>
        <v>0</v>
      </c>
      <c r="F72" s="11">
        <f>(VLOOKUP(C72,DEDN!$A$8:$O$902,$F$2)*D72+E72)/1000</f>
        <v>6.8999999999999997E-4</v>
      </c>
      <c r="G72" s="178">
        <f t="shared" si="22"/>
        <v>6</v>
      </c>
      <c r="H72" s="178">
        <f t="shared" si="22"/>
        <v>6</v>
      </c>
      <c r="I72" s="2">
        <f>PARAM!$H$39</f>
        <v>0</v>
      </c>
      <c r="J72" s="11">
        <f>PARAM!$G$39</f>
        <v>0</v>
      </c>
      <c r="K72" s="11">
        <f>(VLOOKUP(H72,DEDN!$A$8:$O$902,$K$2)*I72+J72)/1000</f>
        <v>0</v>
      </c>
      <c r="L72" s="11">
        <f>MIN(IF(PARAM!$B$43=3,CHOOSE($L$2,F72,K72),F72+K72-F72*K72),1)</f>
        <v>6.8999999999999997E-4</v>
      </c>
      <c r="M72" s="2">
        <f>PARAM!$I$38</f>
        <v>0</v>
      </c>
      <c r="N72" s="11">
        <f>VLOOKUP(B72,DEDN!$A$8:$O$90,$N$2)*M72</f>
        <v>0</v>
      </c>
      <c r="O72" s="12"/>
      <c r="P72" s="10">
        <f>PARAM!$C$53^-A72</f>
        <v>1</v>
      </c>
      <c r="Q72" s="10">
        <f t="shared" si="26"/>
        <v>0.99677180260547227</v>
      </c>
      <c r="R72" s="10">
        <f t="shared" si="24"/>
        <v>0.99677180260547227</v>
      </c>
      <c r="S72" s="10">
        <f>CHOOSE(PARAM!$B$51,R72,R72,0,0)*(A72&lt;PARAM!$B$55)</f>
        <v>0.99677180260547227</v>
      </c>
      <c r="T72" s="10">
        <f t="shared" si="25"/>
        <v>5.7332512316432549E-5</v>
      </c>
      <c r="U72" s="10">
        <f>T72*P72*(A72&lt;PARAM!$B$55)</f>
        <v>5.7332512316432549E-5</v>
      </c>
      <c r="W72">
        <v>69</v>
      </c>
      <c r="X72" s="178">
        <f t="shared" si="23"/>
        <v>37</v>
      </c>
      <c r="Y72" s="178">
        <f t="shared" si="23"/>
        <v>37</v>
      </c>
      <c r="Z72" s="178">
        <f t="shared" si="23"/>
        <v>6</v>
      </c>
      <c r="AA72" s="178">
        <f t="shared" si="23"/>
        <v>6</v>
      </c>
      <c r="AD72" s="17">
        <f>CALC!E96*(A72&lt;PARAM!$B$55)</f>
        <v>7.875</v>
      </c>
      <c r="AE72">
        <f>IF(A72&lt;ITER!$C$16,1,PARAM!$C$53^-(RATES!A72-ITER!$C$16))*(A72&lt;PARAM!$B$55)</f>
        <v>1</v>
      </c>
    </row>
    <row r="73" spans="1:31" x14ac:dyDescent="0.2">
      <c r="A73" s="9">
        <v>70</v>
      </c>
      <c r="B73" s="178">
        <f t="shared" si="21"/>
        <v>37</v>
      </c>
      <c r="C73" s="178">
        <f t="shared" si="21"/>
        <v>37</v>
      </c>
      <c r="D73" s="2">
        <f>PARAM!$H$38</f>
        <v>1</v>
      </c>
      <c r="E73" s="11">
        <f>PARAM!$G$38</f>
        <v>0</v>
      </c>
      <c r="F73" s="11">
        <f>(VLOOKUP(C73,DEDN!$A$8:$O$902,$F$2)*D73+E73)/1000</f>
        <v>6.8999999999999997E-4</v>
      </c>
      <c r="G73" s="178">
        <f t="shared" si="22"/>
        <v>6</v>
      </c>
      <c r="H73" s="178">
        <f t="shared" si="22"/>
        <v>6</v>
      </c>
      <c r="I73" s="2">
        <f>PARAM!$H$39</f>
        <v>0</v>
      </c>
      <c r="J73" s="11">
        <f>PARAM!$G$39</f>
        <v>0</v>
      </c>
      <c r="K73" s="11">
        <f>(VLOOKUP(H73,DEDN!$A$8:$O$902,$K$2)*I73+J73)/1000</f>
        <v>0</v>
      </c>
      <c r="L73" s="11">
        <f>MIN(IF(PARAM!$B$43=3,CHOOSE($L$2,F73,K73),F73+K73-F73*K73),1)</f>
        <v>6.8999999999999997E-4</v>
      </c>
      <c r="M73" s="2">
        <f>PARAM!$I$38</f>
        <v>0</v>
      </c>
      <c r="N73" s="11">
        <f>VLOOKUP(B73,DEDN!$A$8:$O$90,$N$2)*M73</f>
        <v>0</v>
      </c>
      <c r="O73" s="12"/>
      <c r="P73" s="10">
        <f>PARAM!$C$53^-A73</f>
        <v>1</v>
      </c>
      <c r="Q73" s="10">
        <f t="shared" si="26"/>
        <v>0.99671447009315584</v>
      </c>
      <c r="R73" s="10">
        <f t="shared" si="24"/>
        <v>0.99671447009315584</v>
      </c>
      <c r="S73" s="10">
        <f>CHOOSE(PARAM!$B$51,R73,0,0,0)*(A73&lt;PARAM!$B$55)</f>
        <v>0.99671447009315584</v>
      </c>
      <c r="T73" s="10">
        <f t="shared" si="25"/>
        <v>5.7329214653956129E-5</v>
      </c>
      <c r="U73" s="10">
        <f>T73*P73*(A73&lt;PARAM!$B$55)</f>
        <v>5.7329214653956129E-5</v>
      </c>
      <c r="W73">
        <v>70</v>
      </c>
      <c r="X73" s="178">
        <f t="shared" si="23"/>
        <v>37</v>
      </c>
      <c r="Y73" s="178">
        <f t="shared" si="23"/>
        <v>37</v>
      </c>
      <c r="Z73" s="178">
        <f t="shared" si="23"/>
        <v>6</v>
      </c>
      <c r="AA73" s="178">
        <f t="shared" si="23"/>
        <v>6</v>
      </c>
      <c r="AD73" s="17">
        <f>CALC!E97*(A73&lt;PARAM!$B$55)</f>
        <v>7.875</v>
      </c>
      <c r="AE73">
        <f>IF(A73&lt;ITER!$C$16,1,PARAM!$C$53^-(RATES!A73-ITER!$C$16))*(A73&lt;PARAM!$B$55)</f>
        <v>1</v>
      </c>
    </row>
    <row r="74" spans="1:31" x14ac:dyDescent="0.2">
      <c r="A74" s="9">
        <v>71</v>
      </c>
      <c r="B74" s="178">
        <f t="shared" si="21"/>
        <v>37</v>
      </c>
      <c r="C74" s="178">
        <f t="shared" si="21"/>
        <v>37</v>
      </c>
      <c r="D74" s="2">
        <f>PARAM!$H$38</f>
        <v>1</v>
      </c>
      <c r="E74" s="11">
        <f>PARAM!$G$38</f>
        <v>0</v>
      </c>
      <c r="F74" s="11">
        <f>(VLOOKUP(C74,DEDN!$A$8:$O$902,$F$2)*D74+E74)/1000</f>
        <v>6.8999999999999997E-4</v>
      </c>
      <c r="G74" s="178">
        <f t="shared" si="22"/>
        <v>6</v>
      </c>
      <c r="H74" s="178">
        <f t="shared" si="22"/>
        <v>6</v>
      </c>
      <c r="I74" s="2">
        <f>PARAM!$H$39</f>
        <v>0</v>
      </c>
      <c r="J74" s="11">
        <f>PARAM!$G$39</f>
        <v>0</v>
      </c>
      <c r="K74" s="11">
        <f>(VLOOKUP(H74,DEDN!$A$8:$O$902,$K$2)*I74+J74)/1000</f>
        <v>0</v>
      </c>
      <c r="L74" s="11">
        <f>MIN(IF(PARAM!$B$43=3,CHOOSE($L$2,F74,K74),F74+K74-F74*K74),1)</f>
        <v>6.8999999999999997E-4</v>
      </c>
      <c r="M74" s="2">
        <f>PARAM!$I$38</f>
        <v>0</v>
      </c>
      <c r="N74" s="11">
        <f>VLOOKUP(B74,DEDN!$A$8:$O$90,$N$2)*M74</f>
        <v>0</v>
      </c>
      <c r="O74" s="12"/>
      <c r="P74" s="10">
        <f>PARAM!$C$53^-A74</f>
        <v>1</v>
      </c>
      <c r="Q74" s="10">
        <f t="shared" si="26"/>
        <v>0.99665714087850188</v>
      </c>
      <c r="R74" s="10">
        <f t="shared" si="24"/>
        <v>0.99665714087850188</v>
      </c>
      <c r="S74" s="10">
        <f>CHOOSE(PARAM!$B$51,R74,0,0,0)*(A74&lt;PARAM!$B$55)</f>
        <v>0.99665714087850188</v>
      </c>
      <c r="T74" s="10">
        <f t="shared" si="25"/>
        <v>5.7325917181216823E-5</v>
      </c>
      <c r="U74" s="10">
        <f>T74*P74*(A74&lt;PARAM!$B$55)</f>
        <v>5.7325917181216823E-5</v>
      </c>
      <c r="W74">
        <v>71</v>
      </c>
      <c r="X74" s="178">
        <f t="shared" si="23"/>
        <v>37</v>
      </c>
      <c r="Y74" s="178">
        <f t="shared" si="23"/>
        <v>37</v>
      </c>
      <c r="Z74" s="178">
        <f t="shared" si="23"/>
        <v>6</v>
      </c>
      <c r="AA74" s="178">
        <f t="shared" si="23"/>
        <v>6</v>
      </c>
      <c r="AD74" s="17">
        <f>CALC!E98*(A74&lt;PARAM!$B$55)</f>
        <v>7.875</v>
      </c>
      <c r="AE74">
        <f>IF(A74&lt;ITER!$C$16,1,PARAM!$C$53^-(RATES!A74-ITER!$C$16))*(A74&lt;PARAM!$B$55)</f>
        <v>1</v>
      </c>
    </row>
    <row r="75" spans="1:31" x14ac:dyDescent="0.2">
      <c r="A75" s="9">
        <v>72</v>
      </c>
      <c r="B75" s="178">
        <f t="shared" si="21"/>
        <v>37</v>
      </c>
      <c r="C75" s="178">
        <f t="shared" si="21"/>
        <v>37</v>
      </c>
      <c r="D75" s="2">
        <f>PARAM!$H$38</f>
        <v>1</v>
      </c>
      <c r="E75" s="11">
        <f>PARAM!$G$38</f>
        <v>0</v>
      </c>
      <c r="F75" s="11">
        <f>(VLOOKUP(C75,DEDN!$A$8:$O$902,$F$2)*D75+E75)/1000</f>
        <v>6.8999999999999997E-4</v>
      </c>
      <c r="G75" s="178">
        <f t="shared" si="22"/>
        <v>6</v>
      </c>
      <c r="H75" s="178">
        <f t="shared" si="22"/>
        <v>6</v>
      </c>
      <c r="I75" s="2">
        <f>PARAM!$H$39</f>
        <v>0</v>
      </c>
      <c r="J75" s="11">
        <f>PARAM!$G$39</f>
        <v>0</v>
      </c>
      <c r="K75" s="11">
        <f>(VLOOKUP(H75,DEDN!$A$8:$O$902,$K$2)*I75+J75)/1000</f>
        <v>0</v>
      </c>
      <c r="L75" s="11">
        <f>MIN(IF(PARAM!$B$43=3,CHOOSE($L$2,F75,K75),F75+K75-F75*K75),1)</f>
        <v>6.8999999999999997E-4</v>
      </c>
      <c r="M75" s="2">
        <f>PARAM!$I$38</f>
        <v>0</v>
      </c>
      <c r="N75" s="11">
        <f>VLOOKUP(B75,DEDN!$A$8:$O$90,$N$2)*M75</f>
        <v>0</v>
      </c>
      <c r="O75" s="12"/>
      <c r="P75" s="10">
        <f>PARAM!$C$53^-A75</f>
        <v>1</v>
      </c>
      <c r="Q75" s="10">
        <f t="shared" si="26"/>
        <v>0.99659981496132066</v>
      </c>
      <c r="R75" s="10">
        <f t="shared" si="24"/>
        <v>0.99659981496132066</v>
      </c>
      <c r="S75" s="10">
        <f>R75*(A75&lt;PARAM!$B$55)</f>
        <v>0.99659981496132066</v>
      </c>
      <c r="T75" s="10">
        <f t="shared" si="25"/>
        <v>5.7322619898103611E-5</v>
      </c>
      <c r="U75" s="10">
        <f>T75*P75*(A75&lt;PARAM!$B$55)</f>
        <v>5.7322619898103611E-5</v>
      </c>
      <c r="W75">
        <v>72</v>
      </c>
      <c r="X75" s="178">
        <f t="shared" si="23"/>
        <v>37</v>
      </c>
      <c r="Y75" s="178">
        <f t="shared" si="23"/>
        <v>37</v>
      </c>
      <c r="Z75" s="178">
        <f t="shared" si="23"/>
        <v>6</v>
      </c>
      <c r="AA75" s="178">
        <f t="shared" si="23"/>
        <v>6</v>
      </c>
      <c r="AD75" s="17">
        <f>CALC!E99*(A75&lt;PARAM!$B$55)</f>
        <v>7.875</v>
      </c>
      <c r="AE75">
        <f>IF(A75&lt;ITER!$C$16,1,PARAM!$C$53^-(RATES!A75-ITER!$C$16))*(A75&lt;PARAM!$B$55)</f>
        <v>1</v>
      </c>
    </row>
    <row r="76" spans="1:31" x14ac:dyDescent="0.2">
      <c r="A76" s="9">
        <v>73</v>
      </c>
      <c r="B76" s="178">
        <f t="shared" si="21"/>
        <v>37</v>
      </c>
      <c r="C76" s="178">
        <f t="shared" si="21"/>
        <v>37</v>
      </c>
      <c r="D76" s="2">
        <f>PARAM!$H$38</f>
        <v>1</v>
      </c>
      <c r="E76" s="11">
        <f>PARAM!$G$38</f>
        <v>0</v>
      </c>
      <c r="F76" s="11">
        <f>(VLOOKUP(C76,DEDN!$A$8:$O$902,$F$2)*D76+E76)/1000</f>
        <v>6.8999999999999997E-4</v>
      </c>
      <c r="G76" s="178">
        <f t="shared" si="22"/>
        <v>6</v>
      </c>
      <c r="H76" s="178">
        <f t="shared" si="22"/>
        <v>6</v>
      </c>
      <c r="I76" s="2">
        <f>PARAM!$H$39</f>
        <v>0</v>
      </c>
      <c r="J76" s="11">
        <f>PARAM!$G$39</f>
        <v>0</v>
      </c>
      <c r="K76" s="11">
        <f>(VLOOKUP(H76,DEDN!$A$8:$O$902,$K$2)*I76+J76)/1000</f>
        <v>0</v>
      </c>
      <c r="L76" s="11">
        <f>MIN(IF(PARAM!$B$43=3,CHOOSE($L$2,F76,K76),F76+K76-F76*K76),1)</f>
        <v>6.8999999999999997E-4</v>
      </c>
      <c r="M76" s="2">
        <f>PARAM!$I$38</f>
        <v>0</v>
      </c>
      <c r="N76" s="11">
        <f>VLOOKUP(B76,DEDN!$A$8:$O$90,$N$2)*M76</f>
        <v>0</v>
      </c>
      <c r="O76" s="12"/>
      <c r="P76" s="10">
        <f>PARAM!$C$53^-A76</f>
        <v>1</v>
      </c>
      <c r="Q76" s="10">
        <f t="shared" si="26"/>
        <v>0.99654249234142256</v>
      </c>
      <c r="R76" s="10">
        <f t="shared" si="24"/>
        <v>0.99654249234142256</v>
      </c>
      <c r="S76" s="10">
        <f>CHOOSE(PARAM!$B$51,R76,0,0,0)*(A76&lt;PARAM!$B$55)</f>
        <v>0.99654249234142256</v>
      </c>
      <c r="T76" s="10">
        <f t="shared" si="25"/>
        <v>5.731932280461649E-5</v>
      </c>
      <c r="U76" s="10">
        <f>T76*P76*(A76&lt;PARAM!$B$55)</f>
        <v>5.731932280461649E-5</v>
      </c>
      <c r="W76">
        <v>73</v>
      </c>
      <c r="X76" s="178">
        <f t="shared" si="23"/>
        <v>37</v>
      </c>
      <c r="Y76" s="178">
        <f t="shared" si="23"/>
        <v>37</v>
      </c>
      <c r="Z76" s="178">
        <f t="shared" si="23"/>
        <v>6</v>
      </c>
      <c r="AA76" s="178">
        <f t="shared" si="23"/>
        <v>6</v>
      </c>
      <c r="AD76" s="17">
        <f>CALC!E100*(A76&lt;PARAM!$B$55)</f>
        <v>7.875</v>
      </c>
      <c r="AE76">
        <f>IF(A76&lt;ITER!$C$16,1,PARAM!$C$53^-(RATES!A76-ITER!$C$16))*(A76&lt;PARAM!$B$55)</f>
        <v>1</v>
      </c>
    </row>
    <row r="77" spans="1:31" x14ac:dyDescent="0.2">
      <c r="A77" s="9">
        <v>74</v>
      </c>
      <c r="B77" s="178">
        <f t="shared" si="21"/>
        <v>37</v>
      </c>
      <c r="C77" s="178">
        <f t="shared" si="21"/>
        <v>37</v>
      </c>
      <c r="D77" s="2">
        <f>PARAM!$H$38</f>
        <v>1</v>
      </c>
      <c r="E77" s="11">
        <f>PARAM!$G$38</f>
        <v>0</v>
      </c>
      <c r="F77" s="11">
        <f>(VLOOKUP(C77,DEDN!$A$8:$O$902,$F$2)*D77+E77)/1000</f>
        <v>6.8999999999999997E-4</v>
      </c>
      <c r="G77" s="178">
        <f t="shared" si="22"/>
        <v>6</v>
      </c>
      <c r="H77" s="178">
        <f t="shared" si="22"/>
        <v>6</v>
      </c>
      <c r="I77" s="2">
        <f>PARAM!$H$39</f>
        <v>0</v>
      </c>
      <c r="J77" s="11">
        <f>PARAM!$G$39</f>
        <v>0</v>
      </c>
      <c r="K77" s="11">
        <f>(VLOOKUP(H77,DEDN!$A$8:$O$902,$K$2)*I77+J77)/1000</f>
        <v>0</v>
      </c>
      <c r="L77" s="11">
        <f>MIN(IF(PARAM!$B$43=3,CHOOSE($L$2,F77,K77),F77+K77-F77*K77),1)</f>
        <v>6.8999999999999997E-4</v>
      </c>
      <c r="M77" s="2">
        <f>PARAM!$I$38</f>
        <v>0</v>
      </c>
      <c r="N77" s="11">
        <f>VLOOKUP(B77,DEDN!$A$8:$O$90,$N$2)*M77</f>
        <v>0</v>
      </c>
      <c r="O77" s="12"/>
      <c r="P77" s="10">
        <f>PARAM!$C$53^-A77</f>
        <v>1</v>
      </c>
      <c r="Q77" s="10">
        <f t="shared" si="26"/>
        <v>0.99648517301861794</v>
      </c>
      <c r="R77" s="10">
        <f t="shared" si="24"/>
        <v>0.99648517301861794</v>
      </c>
      <c r="S77" s="10">
        <f>CHOOSE(PARAM!$B$51,R77,0,0,0)*(A77&lt;PARAM!$B$55)</f>
        <v>0.99648517301861794</v>
      </c>
      <c r="T77" s="10">
        <f t="shared" si="25"/>
        <v>5.7316025900755463E-5</v>
      </c>
      <c r="U77" s="10">
        <f>T77*P77*(A77&lt;PARAM!$B$55)</f>
        <v>5.7316025900755463E-5</v>
      </c>
      <c r="W77">
        <v>74</v>
      </c>
      <c r="X77" s="178">
        <f t="shared" si="23"/>
        <v>37</v>
      </c>
      <c r="Y77" s="178">
        <f t="shared" si="23"/>
        <v>37</v>
      </c>
      <c r="Z77" s="178">
        <f t="shared" si="23"/>
        <v>6</v>
      </c>
      <c r="AA77" s="178">
        <f t="shared" si="23"/>
        <v>6</v>
      </c>
      <c r="AD77" s="17">
        <f>CALC!E101*(A77&lt;PARAM!$B$55)</f>
        <v>7.875</v>
      </c>
      <c r="AE77">
        <f>IF(A77&lt;ITER!$C$16,1,PARAM!$C$53^-(RATES!A77-ITER!$C$16))*(A77&lt;PARAM!$B$55)</f>
        <v>1</v>
      </c>
    </row>
    <row r="78" spans="1:31" x14ac:dyDescent="0.2">
      <c r="A78" s="9">
        <v>75</v>
      </c>
      <c r="B78" s="178">
        <f t="shared" si="21"/>
        <v>37</v>
      </c>
      <c r="C78" s="178">
        <f t="shared" si="21"/>
        <v>37</v>
      </c>
      <c r="D78" s="2">
        <f>PARAM!$H$38</f>
        <v>1</v>
      </c>
      <c r="E78" s="11">
        <f>PARAM!$G$38</f>
        <v>0</v>
      </c>
      <c r="F78" s="11">
        <f>(VLOOKUP(C78,DEDN!$A$8:$O$902,$F$2)*D78+E78)/1000</f>
        <v>6.8999999999999997E-4</v>
      </c>
      <c r="G78" s="178">
        <f t="shared" si="22"/>
        <v>6</v>
      </c>
      <c r="H78" s="178">
        <f t="shared" si="22"/>
        <v>6</v>
      </c>
      <c r="I78" s="2">
        <f>PARAM!$H$39</f>
        <v>0</v>
      </c>
      <c r="J78" s="11">
        <f>PARAM!$G$39</f>
        <v>0</v>
      </c>
      <c r="K78" s="11">
        <f>(VLOOKUP(H78,DEDN!$A$8:$O$902,$K$2)*I78+J78)/1000</f>
        <v>0</v>
      </c>
      <c r="L78" s="11">
        <f>MIN(IF(PARAM!$B$43=3,CHOOSE($L$2,F78,K78),F78+K78-F78*K78),1)</f>
        <v>6.8999999999999997E-4</v>
      </c>
      <c r="M78" s="2">
        <f>PARAM!$I$38</f>
        <v>0</v>
      </c>
      <c r="N78" s="11">
        <f>VLOOKUP(B78,DEDN!$A$8:$O$90,$N$2)*M78</f>
        <v>0</v>
      </c>
      <c r="O78" s="12"/>
      <c r="P78" s="10">
        <f>PARAM!$C$53^-A78</f>
        <v>1</v>
      </c>
      <c r="Q78" s="10">
        <f t="shared" si="26"/>
        <v>0.99642785699271719</v>
      </c>
      <c r="R78" s="10">
        <f t="shared" si="24"/>
        <v>0.99642785699271719</v>
      </c>
      <c r="S78" s="10">
        <f>CHOOSE(PARAM!$B$51,R78,R78,0,0)*(A78&lt;PARAM!$B$55)</f>
        <v>0.99642785699271719</v>
      </c>
      <c r="T78" s="10">
        <f t="shared" si="25"/>
        <v>5.7312729186520528E-5</v>
      </c>
      <c r="U78" s="10">
        <f>T78*P78*(A78&lt;PARAM!$B$55)</f>
        <v>5.7312729186520528E-5</v>
      </c>
      <c r="W78">
        <v>75</v>
      </c>
      <c r="X78" s="178">
        <f t="shared" si="23"/>
        <v>37</v>
      </c>
      <c r="Y78" s="178">
        <f t="shared" si="23"/>
        <v>37</v>
      </c>
      <c r="Z78" s="178">
        <f t="shared" si="23"/>
        <v>6</v>
      </c>
      <c r="AA78" s="178">
        <f t="shared" si="23"/>
        <v>6</v>
      </c>
      <c r="AD78" s="17">
        <f>CALC!E102*(A78&lt;PARAM!$B$55)</f>
        <v>7.875</v>
      </c>
      <c r="AE78">
        <f>IF(A78&lt;ITER!$C$16,1,PARAM!$C$53^-(RATES!A78-ITER!$C$16))*(A78&lt;PARAM!$B$55)</f>
        <v>1</v>
      </c>
    </row>
    <row r="79" spans="1:31" x14ac:dyDescent="0.2">
      <c r="A79" s="9">
        <v>76</v>
      </c>
      <c r="B79" s="178">
        <f t="shared" si="21"/>
        <v>37</v>
      </c>
      <c r="C79" s="178">
        <f t="shared" si="21"/>
        <v>37</v>
      </c>
      <c r="D79" s="2">
        <f>PARAM!$H$38</f>
        <v>1</v>
      </c>
      <c r="E79" s="11">
        <f>PARAM!$G$38</f>
        <v>0</v>
      </c>
      <c r="F79" s="11">
        <f>(VLOOKUP(C79,DEDN!$A$8:$O$902,$F$2)*D79+E79)/1000</f>
        <v>6.8999999999999997E-4</v>
      </c>
      <c r="G79" s="178">
        <f t="shared" si="22"/>
        <v>6</v>
      </c>
      <c r="H79" s="178">
        <f t="shared" si="22"/>
        <v>6</v>
      </c>
      <c r="I79" s="2">
        <f>PARAM!$H$39</f>
        <v>0</v>
      </c>
      <c r="J79" s="11">
        <f>PARAM!$G$39</f>
        <v>0</v>
      </c>
      <c r="K79" s="11">
        <f>(VLOOKUP(H79,DEDN!$A$8:$O$902,$K$2)*I79+J79)/1000</f>
        <v>0</v>
      </c>
      <c r="L79" s="11">
        <f>MIN(IF(PARAM!$B$43=3,CHOOSE($L$2,F79,K79),F79+K79-F79*K79),1)</f>
        <v>6.8999999999999997E-4</v>
      </c>
      <c r="M79" s="2">
        <f>PARAM!$I$38</f>
        <v>0</v>
      </c>
      <c r="N79" s="11">
        <f>VLOOKUP(B79,DEDN!$A$8:$O$90,$N$2)*M79</f>
        <v>0</v>
      </c>
      <c r="O79" s="12"/>
      <c r="P79" s="10">
        <f>PARAM!$C$53^-A79</f>
        <v>1</v>
      </c>
      <c r="Q79" s="10">
        <f t="shared" si="26"/>
        <v>0.99637054426353067</v>
      </c>
      <c r="R79" s="10">
        <f t="shared" si="24"/>
        <v>0.99637054426353067</v>
      </c>
      <c r="S79" s="10">
        <f>CHOOSE(PARAM!$B$51,R79,0,0,0)*(A79&lt;PARAM!$B$55)</f>
        <v>0.99637054426353067</v>
      </c>
      <c r="T79" s="10">
        <f t="shared" si="25"/>
        <v>5.7309432661911686E-5</v>
      </c>
      <c r="U79" s="10">
        <f>T79*P79*(A79&lt;PARAM!$B$55)</f>
        <v>5.7309432661911686E-5</v>
      </c>
      <c r="W79">
        <v>76</v>
      </c>
      <c r="X79" s="178">
        <f t="shared" si="23"/>
        <v>37</v>
      </c>
      <c r="Y79" s="178">
        <f t="shared" si="23"/>
        <v>37</v>
      </c>
      <c r="Z79" s="178">
        <f t="shared" si="23"/>
        <v>6</v>
      </c>
      <c r="AA79" s="178">
        <f t="shared" si="23"/>
        <v>6</v>
      </c>
      <c r="AD79" s="17">
        <f>CALC!E103*(A79&lt;PARAM!$B$55)</f>
        <v>7.875</v>
      </c>
      <c r="AE79">
        <f>IF(A79&lt;ITER!$C$16,1,PARAM!$C$53^-(RATES!A79-ITER!$C$16))*(A79&lt;PARAM!$B$55)</f>
        <v>1</v>
      </c>
    </row>
    <row r="80" spans="1:31" x14ac:dyDescent="0.2">
      <c r="A80" s="9">
        <v>77</v>
      </c>
      <c r="B80" s="178">
        <f t="shared" si="21"/>
        <v>37</v>
      </c>
      <c r="C80" s="178">
        <f t="shared" si="21"/>
        <v>37</v>
      </c>
      <c r="D80" s="2">
        <f>PARAM!$H$38</f>
        <v>1</v>
      </c>
      <c r="E80" s="11">
        <f>PARAM!$G$38</f>
        <v>0</v>
      </c>
      <c r="F80" s="11">
        <f>(VLOOKUP(C80,DEDN!$A$8:$O$902,$F$2)*D80+E80)/1000</f>
        <v>6.8999999999999997E-4</v>
      </c>
      <c r="G80" s="178">
        <f t="shared" si="22"/>
        <v>6</v>
      </c>
      <c r="H80" s="178">
        <f t="shared" si="22"/>
        <v>6</v>
      </c>
      <c r="I80" s="2">
        <f>PARAM!$H$39</f>
        <v>0</v>
      </c>
      <c r="J80" s="11">
        <f>PARAM!$G$39</f>
        <v>0</v>
      </c>
      <c r="K80" s="11">
        <f>(VLOOKUP(H80,DEDN!$A$8:$O$902,$K$2)*I80+J80)/1000</f>
        <v>0</v>
      </c>
      <c r="L80" s="11">
        <f>MIN(IF(PARAM!$B$43=3,CHOOSE($L$2,F80,K80),F80+K80-F80*K80),1)</f>
        <v>6.8999999999999997E-4</v>
      </c>
      <c r="M80" s="2">
        <f>PARAM!$I$38</f>
        <v>0</v>
      </c>
      <c r="N80" s="11">
        <f>VLOOKUP(B80,DEDN!$A$8:$O$90,$N$2)*M80</f>
        <v>0</v>
      </c>
      <c r="O80" s="12"/>
      <c r="P80" s="10">
        <f>PARAM!$C$53^-A80</f>
        <v>1</v>
      </c>
      <c r="Q80" s="10">
        <f t="shared" si="26"/>
        <v>0.99631323483086875</v>
      </c>
      <c r="R80" s="10">
        <f t="shared" si="24"/>
        <v>0.99631323483086875</v>
      </c>
      <c r="S80" s="10">
        <f>CHOOSE(PARAM!$B$51,R80,0,0,0)*(A80&lt;PARAM!$B$55)</f>
        <v>0.99631323483086875</v>
      </c>
      <c r="T80" s="10">
        <f t="shared" si="25"/>
        <v>5.7306136327039958E-5</v>
      </c>
      <c r="U80" s="10">
        <f>T80*P80*(A80&lt;PARAM!$B$55)</f>
        <v>5.7306136327039958E-5</v>
      </c>
      <c r="W80">
        <v>77</v>
      </c>
      <c r="X80" s="178">
        <f t="shared" si="23"/>
        <v>37</v>
      </c>
      <c r="Y80" s="178">
        <f t="shared" si="23"/>
        <v>37</v>
      </c>
      <c r="Z80" s="178">
        <f t="shared" si="23"/>
        <v>6</v>
      </c>
      <c r="AA80" s="178">
        <f t="shared" si="23"/>
        <v>6</v>
      </c>
      <c r="AD80" s="17">
        <f>CALC!E104*(A80&lt;PARAM!$B$55)</f>
        <v>7.875</v>
      </c>
      <c r="AE80">
        <f>IF(A80&lt;ITER!$C$16,1,PARAM!$C$53^-(RATES!A80-ITER!$C$16))*(A80&lt;PARAM!$B$55)</f>
        <v>1</v>
      </c>
    </row>
    <row r="81" spans="1:31" x14ac:dyDescent="0.2">
      <c r="A81" s="9">
        <v>78</v>
      </c>
      <c r="B81" s="178">
        <f t="shared" ref="B81:C100" si="27">B69+1</f>
        <v>38</v>
      </c>
      <c r="C81" s="178">
        <f t="shared" si="27"/>
        <v>38</v>
      </c>
      <c r="D81" s="2">
        <f>PARAM!$H$38</f>
        <v>1</v>
      </c>
      <c r="E81" s="11">
        <f>PARAM!$G$38</f>
        <v>0</v>
      </c>
      <c r="F81" s="11">
        <f>(VLOOKUP(C81,DEDN!$A$8:$O$902,$F$2)*D81+E81)/1000</f>
        <v>7.5000000000000002E-4</v>
      </c>
      <c r="G81" s="178">
        <f t="shared" ref="G81:H100" si="28">G69+1</f>
        <v>7</v>
      </c>
      <c r="H81" s="178">
        <f t="shared" si="28"/>
        <v>7</v>
      </c>
      <c r="I81" s="2">
        <f>PARAM!$H$39</f>
        <v>0</v>
      </c>
      <c r="J81" s="11">
        <f>PARAM!$G$39</f>
        <v>0</v>
      </c>
      <c r="K81" s="11">
        <f>(VLOOKUP(H81,DEDN!$A$8:$O$902,$K$2)*I81+J81)/1000</f>
        <v>0</v>
      </c>
      <c r="L81" s="11">
        <f>MIN(IF(PARAM!$B$43=3,CHOOSE($L$2,F81,K81),F81+K81-F81*K81),1)</f>
        <v>7.5000000000000002E-4</v>
      </c>
      <c r="M81" s="2">
        <f>PARAM!$I$38</f>
        <v>0</v>
      </c>
      <c r="N81" s="11">
        <f>VLOOKUP(B81,DEDN!$A$8:$O$90,$N$2)*M81</f>
        <v>0</v>
      </c>
      <c r="O81" s="12"/>
      <c r="P81" s="10">
        <f>PARAM!$C$53^-A81</f>
        <v>1</v>
      </c>
      <c r="Q81" s="10">
        <f t="shared" si="26"/>
        <v>0.99625592869454171</v>
      </c>
      <c r="R81" s="10">
        <f t="shared" si="24"/>
        <v>0.99625592869454171</v>
      </c>
      <c r="S81" s="10">
        <f>CHOOSE(PARAM!$B$51,R81,R81,R81,0)*(A81&lt;PARAM!$B$55)</f>
        <v>0.99625592869454171</v>
      </c>
      <c r="T81" s="10">
        <f t="shared" si="25"/>
        <v>6.22874097410131E-5</v>
      </c>
      <c r="U81" s="10">
        <f>T81*P81*(A81&lt;PARAM!$B$55)</f>
        <v>6.22874097410131E-5</v>
      </c>
      <c r="W81">
        <v>78</v>
      </c>
      <c r="X81" s="178">
        <f t="shared" ref="X81:AA100" si="29">X69+1</f>
        <v>38</v>
      </c>
      <c r="Y81" s="178">
        <f t="shared" si="29"/>
        <v>38</v>
      </c>
      <c r="Z81" s="178">
        <f t="shared" si="29"/>
        <v>7</v>
      </c>
      <c r="AA81" s="178">
        <f t="shared" si="29"/>
        <v>7</v>
      </c>
      <c r="AD81" s="17">
        <f>CALC!E105*(A81&lt;PARAM!$B$55)</f>
        <v>8.125</v>
      </c>
      <c r="AE81">
        <f>IF(A81&lt;ITER!$C$16,1,PARAM!$C$53^-(RATES!A81-ITER!$C$16))*(A81&lt;PARAM!$B$55)</f>
        <v>1</v>
      </c>
    </row>
    <row r="82" spans="1:31" x14ac:dyDescent="0.2">
      <c r="A82" s="9">
        <v>79</v>
      </c>
      <c r="B82" s="178">
        <f t="shared" si="27"/>
        <v>38</v>
      </c>
      <c r="C82" s="178">
        <f t="shared" si="27"/>
        <v>38</v>
      </c>
      <c r="D82" s="2">
        <f>PARAM!$H$38</f>
        <v>1</v>
      </c>
      <c r="E82" s="11">
        <f>PARAM!$G$38</f>
        <v>0</v>
      </c>
      <c r="F82" s="11">
        <f>(VLOOKUP(C82,DEDN!$A$8:$O$902,$F$2)*D82+E82)/1000</f>
        <v>7.5000000000000002E-4</v>
      </c>
      <c r="G82" s="178">
        <f t="shared" si="28"/>
        <v>7</v>
      </c>
      <c r="H82" s="178">
        <f t="shared" si="28"/>
        <v>7</v>
      </c>
      <c r="I82" s="2">
        <f>PARAM!$H$39</f>
        <v>0</v>
      </c>
      <c r="J82" s="11">
        <f>PARAM!$G$39</f>
        <v>0</v>
      </c>
      <c r="K82" s="11">
        <f>(VLOOKUP(H82,DEDN!$A$8:$O$902,$K$2)*I82+J82)/1000</f>
        <v>0</v>
      </c>
      <c r="L82" s="11">
        <f>MIN(IF(PARAM!$B$43=3,CHOOSE($L$2,F82,K82),F82+K82-F82*K82),1)</f>
        <v>7.5000000000000002E-4</v>
      </c>
      <c r="M82" s="2">
        <f>PARAM!$I$38</f>
        <v>0</v>
      </c>
      <c r="N82" s="11">
        <f>VLOOKUP(B82,DEDN!$A$8:$O$90,$N$2)*M82</f>
        <v>0</v>
      </c>
      <c r="O82" s="12"/>
      <c r="P82" s="10">
        <f>PARAM!$C$53^-A82</f>
        <v>1</v>
      </c>
      <c r="Q82" s="10">
        <f t="shared" si="26"/>
        <v>0.9961936412848007</v>
      </c>
      <c r="R82" s="10">
        <f t="shared" si="24"/>
        <v>0.9961936412848007</v>
      </c>
      <c r="S82" s="10">
        <f>CHOOSE(PARAM!$B$51,R82,0,0,0)*(A82&lt;PARAM!$B$55)</f>
        <v>0.9961936412848007</v>
      </c>
      <c r="T82" s="10">
        <f t="shared" si="25"/>
        <v>6.2283515439132131E-5</v>
      </c>
      <c r="U82" s="10">
        <f>T82*P82*(A82&lt;PARAM!$B$55)</f>
        <v>6.2283515439132131E-5</v>
      </c>
      <c r="W82">
        <v>79</v>
      </c>
      <c r="X82" s="178">
        <f t="shared" si="29"/>
        <v>38</v>
      </c>
      <c r="Y82" s="178">
        <f t="shared" si="29"/>
        <v>38</v>
      </c>
      <c r="Z82" s="178">
        <f t="shared" si="29"/>
        <v>7</v>
      </c>
      <c r="AA82" s="178">
        <f t="shared" si="29"/>
        <v>7</v>
      </c>
      <c r="AD82" s="17">
        <f>CALC!E106*(A82&lt;PARAM!$B$55)</f>
        <v>8.125</v>
      </c>
      <c r="AE82">
        <f>IF(A82&lt;ITER!$C$16,1,PARAM!$C$53^-(RATES!A82-ITER!$C$16))*(A82&lt;PARAM!$B$55)</f>
        <v>1</v>
      </c>
    </row>
    <row r="83" spans="1:31" x14ac:dyDescent="0.2">
      <c r="A83" s="9">
        <v>80</v>
      </c>
      <c r="B83" s="178">
        <f t="shared" si="27"/>
        <v>38</v>
      </c>
      <c r="C83" s="178">
        <f t="shared" si="27"/>
        <v>38</v>
      </c>
      <c r="D83" s="2">
        <f>PARAM!$H$38</f>
        <v>1</v>
      </c>
      <c r="E83" s="11">
        <f>PARAM!$G$38</f>
        <v>0</v>
      </c>
      <c r="F83" s="11">
        <f>(VLOOKUP(C83,DEDN!$A$8:$O$902,$F$2)*D83+E83)/1000</f>
        <v>7.5000000000000002E-4</v>
      </c>
      <c r="G83" s="178">
        <f t="shared" si="28"/>
        <v>7</v>
      </c>
      <c r="H83" s="178">
        <f t="shared" si="28"/>
        <v>7</v>
      </c>
      <c r="I83" s="2">
        <f>PARAM!$H$39</f>
        <v>0</v>
      </c>
      <c r="J83" s="11">
        <f>PARAM!$G$39</f>
        <v>0</v>
      </c>
      <c r="K83" s="11">
        <f>(VLOOKUP(H83,DEDN!$A$8:$O$902,$K$2)*I83+J83)/1000</f>
        <v>0</v>
      </c>
      <c r="L83" s="11">
        <f>MIN(IF(PARAM!$B$43=3,CHOOSE($L$2,F83,K83),F83+K83-F83*K83),1)</f>
        <v>7.5000000000000002E-4</v>
      </c>
      <c r="M83" s="2">
        <f>PARAM!$I$38</f>
        <v>0</v>
      </c>
      <c r="N83" s="11">
        <f>VLOOKUP(B83,DEDN!$A$8:$O$90,$N$2)*M83</f>
        <v>0</v>
      </c>
      <c r="O83" s="12"/>
      <c r="P83" s="10">
        <f>PARAM!$C$53^-A83</f>
        <v>1</v>
      </c>
      <c r="Q83" s="10">
        <f t="shared" si="26"/>
        <v>0.99613135776936157</v>
      </c>
      <c r="R83" s="10">
        <f t="shared" si="24"/>
        <v>0.99613135776936157</v>
      </c>
      <c r="S83" s="10">
        <f>CHOOSE(PARAM!$B$51,R83,0,0,0)*(A83&lt;PARAM!$B$55)</f>
        <v>0.99613135776936157</v>
      </c>
      <c r="T83" s="10">
        <f t="shared" si="25"/>
        <v>6.2279621380612049E-5</v>
      </c>
      <c r="U83" s="10">
        <f>T83*P83*(A83&lt;PARAM!$B$55)</f>
        <v>6.2279621380612049E-5</v>
      </c>
      <c r="W83">
        <v>80</v>
      </c>
      <c r="X83" s="178">
        <f t="shared" si="29"/>
        <v>38</v>
      </c>
      <c r="Y83" s="178">
        <f t="shared" si="29"/>
        <v>38</v>
      </c>
      <c r="Z83" s="178">
        <f t="shared" si="29"/>
        <v>7</v>
      </c>
      <c r="AA83" s="178">
        <f t="shared" si="29"/>
        <v>7</v>
      </c>
      <c r="AD83" s="17">
        <f>CALC!E107*(A83&lt;PARAM!$B$55)</f>
        <v>8.125</v>
      </c>
      <c r="AE83">
        <f>IF(A83&lt;ITER!$C$16,1,PARAM!$C$53^-(RATES!A83-ITER!$C$16))*(A83&lt;PARAM!$B$55)</f>
        <v>1</v>
      </c>
    </row>
    <row r="84" spans="1:31" x14ac:dyDescent="0.2">
      <c r="A84" s="9">
        <v>81</v>
      </c>
      <c r="B84" s="178">
        <f t="shared" si="27"/>
        <v>38</v>
      </c>
      <c r="C84" s="178">
        <f t="shared" si="27"/>
        <v>38</v>
      </c>
      <c r="D84" s="2">
        <f>PARAM!$H$38</f>
        <v>1</v>
      </c>
      <c r="E84" s="11">
        <f>PARAM!$G$38</f>
        <v>0</v>
      </c>
      <c r="F84" s="11">
        <f>(VLOOKUP(C84,DEDN!$A$8:$O$902,$F$2)*D84+E84)/1000</f>
        <v>7.5000000000000002E-4</v>
      </c>
      <c r="G84" s="178">
        <f t="shared" si="28"/>
        <v>7</v>
      </c>
      <c r="H84" s="178">
        <f t="shared" si="28"/>
        <v>7</v>
      </c>
      <c r="I84" s="2">
        <f>PARAM!$H$39</f>
        <v>0</v>
      </c>
      <c r="J84" s="11">
        <f>PARAM!$G$39</f>
        <v>0</v>
      </c>
      <c r="K84" s="11">
        <f>(VLOOKUP(H84,DEDN!$A$8:$O$902,$K$2)*I84+J84)/1000</f>
        <v>0</v>
      </c>
      <c r="L84" s="11">
        <f>MIN(IF(PARAM!$B$43=3,CHOOSE($L$2,F84,K84),F84+K84-F84*K84),1)</f>
        <v>7.5000000000000002E-4</v>
      </c>
      <c r="M84" s="2">
        <f>PARAM!$I$38</f>
        <v>0</v>
      </c>
      <c r="N84" s="11">
        <f>VLOOKUP(B84,DEDN!$A$8:$O$90,$N$2)*M84</f>
        <v>0</v>
      </c>
      <c r="O84" s="12"/>
      <c r="P84" s="10">
        <f>PARAM!$C$53^-A84</f>
        <v>1</v>
      </c>
      <c r="Q84" s="10">
        <f t="shared" si="26"/>
        <v>0.99606907814798096</v>
      </c>
      <c r="R84" s="10">
        <f t="shared" ref="R84:R99" si="30">P84*Q84</f>
        <v>0.99606907814798096</v>
      </c>
      <c r="S84" s="10">
        <f>CHOOSE(PARAM!$B$51,R84,R84,0,0)*(A84&lt;PARAM!$B$55)</f>
        <v>0.99606907814798096</v>
      </c>
      <c r="T84" s="10">
        <f t="shared" si="25"/>
        <v>6.2275727565563876E-5</v>
      </c>
      <c r="U84" s="10">
        <f>T84*P84*(A84&lt;PARAM!$B$55)</f>
        <v>6.2275727565563876E-5</v>
      </c>
      <c r="W84">
        <v>81</v>
      </c>
      <c r="X84" s="178">
        <f t="shared" si="29"/>
        <v>38</v>
      </c>
      <c r="Y84" s="178">
        <f t="shared" si="29"/>
        <v>38</v>
      </c>
      <c r="Z84" s="178">
        <f t="shared" si="29"/>
        <v>7</v>
      </c>
      <c r="AA84" s="178">
        <f t="shared" si="29"/>
        <v>7</v>
      </c>
      <c r="AD84" s="17">
        <f>CALC!E108*(A84&lt;PARAM!$B$55)</f>
        <v>8.125</v>
      </c>
      <c r="AE84">
        <f>IF(A84&lt;ITER!$C$16,1,PARAM!$C$53^-(RATES!A84-ITER!$C$16))*(A84&lt;PARAM!$B$55)</f>
        <v>1</v>
      </c>
    </row>
    <row r="85" spans="1:31" x14ac:dyDescent="0.2">
      <c r="A85" s="9">
        <v>82</v>
      </c>
      <c r="B85" s="178">
        <f t="shared" si="27"/>
        <v>38</v>
      </c>
      <c r="C85" s="178">
        <f t="shared" si="27"/>
        <v>38</v>
      </c>
      <c r="D85" s="2">
        <f>PARAM!$H$38</f>
        <v>1</v>
      </c>
      <c r="E85" s="11">
        <f>PARAM!$G$38</f>
        <v>0</v>
      </c>
      <c r="F85" s="11">
        <f>(VLOOKUP(C85,DEDN!$A$8:$O$902,$F$2)*D85+E85)/1000</f>
        <v>7.5000000000000002E-4</v>
      </c>
      <c r="G85" s="178">
        <f t="shared" si="28"/>
        <v>7</v>
      </c>
      <c r="H85" s="178">
        <f t="shared" si="28"/>
        <v>7</v>
      </c>
      <c r="I85" s="2">
        <f>PARAM!$H$39</f>
        <v>0</v>
      </c>
      <c r="J85" s="11">
        <f>PARAM!$G$39</f>
        <v>0</v>
      </c>
      <c r="K85" s="11">
        <f>(VLOOKUP(H85,DEDN!$A$8:$O$902,$K$2)*I85+J85)/1000</f>
        <v>0</v>
      </c>
      <c r="L85" s="11">
        <f>MIN(IF(PARAM!$B$43=3,CHOOSE($L$2,F85,K85),F85+K85-F85*K85),1)</f>
        <v>7.5000000000000002E-4</v>
      </c>
      <c r="M85" s="2">
        <f>PARAM!$I$38</f>
        <v>0</v>
      </c>
      <c r="N85" s="11">
        <f>VLOOKUP(B85,DEDN!$A$8:$O$90,$N$2)*M85</f>
        <v>0</v>
      </c>
      <c r="O85" s="12"/>
      <c r="P85" s="10">
        <f>PARAM!$C$53^-A85</f>
        <v>1</v>
      </c>
      <c r="Q85" s="10">
        <f t="shared" ref="Q85:Q100" si="31">Q84*(1-L84)^(1/12)</f>
        <v>0.99600680242041539</v>
      </c>
      <c r="R85" s="10">
        <f t="shared" si="30"/>
        <v>0.99600680242041539</v>
      </c>
      <c r="S85" s="10">
        <f>CHOOSE(PARAM!$B$51,R85,0,0,0)*(A85&lt;PARAM!$B$55)</f>
        <v>0.99600680242041539</v>
      </c>
      <c r="T85" s="10">
        <f t="shared" si="25"/>
        <v>6.2271833993987613E-5</v>
      </c>
      <c r="U85" s="10">
        <f>T85*P85*(A85&lt;PARAM!$B$55)</f>
        <v>6.2271833993987613E-5</v>
      </c>
      <c r="W85">
        <v>82</v>
      </c>
      <c r="X85" s="178">
        <f t="shared" si="29"/>
        <v>38</v>
      </c>
      <c r="Y85" s="178">
        <f t="shared" si="29"/>
        <v>38</v>
      </c>
      <c r="Z85" s="178">
        <f t="shared" si="29"/>
        <v>7</v>
      </c>
      <c r="AA85" s="178">
        <f t="shared" si="29"/>
        <v>7</v>
      </c>
      <c r="AD85" s="17">
        <f>CALC!E109*(A85&lt;PARAM!$B$55)</f>
        <v>8.125</v>
      </c>
      <c r="AE85">
        <f>IF(A85&lt;ITER!$C$16,1,PARAM!$C$53^-(RATES!A85-ITER!$C$16))*(A85&lt;PARAM!$B$55)</f>
        <v>1</v>
      </c>
    </row>
    <row r="86" spans="1:31" x14ac:dyDescent="0.2">
      <c r="A86" s="9">
        <v>83</v>
      </c>
      <c r="B86" s="178">
        <f t="shared" si="27"/>
        <v>38</v>
      </c>
      <c r="C86" s="178">
        <f t="shared" si="27"/>
        <v>38</v>
      </c>
      <c r="D86" s="2">
        <f>PARAM!$H$38</f>
        <v>1</v>
      </c>
      <c r="E86" s="11">
        <f>PARAM!$G$38</f>
        <v>0</v>
      </c>
      <c r="F86" s="11">
        <f>(VLOOKUP(C86,DEDN!$A$8:$O$902,$F$2)*D86+E86)/1000</f>
        <v>7.5000000000000002E-4</v>
      </c>
      <c r="G86" s="178">
        <f t="shared" si="28"/>
        <v>7</v>
      </c>
      <c r="H86" s="178">
        <f t="shared" si="28"/>
        <v>7</v>
      </c>
      <c r="I86" s="2">
        <f>PARAM!$H$39</f>
        <v>0</v>
      </c>
      <c r="J86" s="11">
        <f>PARAM!$G$39</f>
        <v>0</v>
      </c>
      <c r="K86" s="11">
        <f>(VLOOKUP(H86,DEDN!$A$8:$O$902,$K$2)*I86+J86)/1000</f>
        <v>0</v>
      </c>
      <c r="L86" s="11">
        <f>MIN(IF(PARAM!$B$43=3,CHOOSE($L$2,F86,K86),F86+K86-F86*K86),1)</f>
        <v>7.5000000000000002E-4</v>
      </c>
      <c r="M86" s="2">
        <f>PARAM!$I$38</f>
        <v>0</v>
      </c>
      <c r="N86" s="11">
        <f>VLOOKUP(B86,DEDN!$A$8:$O$90,$N$2)*M86</f>
        <v>0</v>
      </c>
      <c r="O86" s="12"/>
      <c r="P86" s="10">
        <f>PARAM!$C$53^-A86</f>
        <v>1</v>
      </c>
      <c r="Q86" s="10">
        <f t="shared" si="31"/>
        <v>0.99594453058642141</v>
      </c>
      <c r="R86" s="10">
        <f t="shared" si="30"/>
        <v>0.99594453058642141</v>
      </c>
      <c r="S86" s="10">
        <f>CHOOSE(PARAM!$B$51,R86,0,0,0)*(A86&lt;PARAM!$B$55)</f>
        <v>0.99594453058642141</v>
      </c>
      <c r="T86" s="10">
        <f t="shared" si="25"/>
        <v>6.2267940665883259E-5</v>
      </c>
      <c r="U86" s="10">
        <f>T86*P86*(A86&lt;PARAM!$B$55)</f>
        <v>6.2267940665883259E-5</v>
      </c>
      <c r="W86">
        <v>83</v>
      </c>
      <c r="X86" s="178">
        <f t="shared" si="29"/>
        <v>38</v>
      </c>
      <c r="Y86" s="178">
        <f t="shared" si="29"/>
        <v>38</v>
      </c>
      <c r="Z86" s="178">
        <f t="shared" si="29"/>
        <v>7</v>
      </c>
      <c r="AA86" s="178">
        <f t="shared" si="29"/>
        <v>7</v>
      </c>
      <c r="AD86" s="17">
        <f>CALC!E110*(A86&lt;PARAM!$B$55)</f>
        <v>8.125</v>
      </c>
      <c r="AE86">
        <f>IF(A86&lt;ITER!$C$16,1,PARAM!$C$53^-(RATES!A86-ITER!$C$16))*(A86&lt;PARAM!$B$55)</f>
        <v>1</v>
      </c>
    </row>
    <row r="87" spans="1:31" x14ac:dyDescent="0.2">
      <c r="A87" s="9">
        <v>84</v>
      </c>
      <c r="B87" s="178">
        <f t="shared" si="27"/>
        <v>38</v>
      </c>
      <c r="C87" s="178">
        <f t="shared" si="27"/>
        <v>38</v>
      </c>
      <c r="D87" s="2">
        <f>PARAM!$H$38</f>
        <v>1</v>
      </c>
      <c r="E87" s="11">
        <f>PARAM!$G$38</f>
        <v>0</v>
      </c>
      <c r="F87" s="11">
        <f>(VLOOKUP(C87,DEDN!$A$8:$O$902,$F$2)*D87+E87)/1000</f>
        <v>7.5000000000000002E-4</v>
      </c>
      <c r="G87" s="178">
        <f t="shared" si="28"/>
        <v>7</v>
      </c>
      <c r="H87" s="178">
        <f t="shared" si="28"/>
        <v>7</v>
      </c>
      <c r="I87" s="2">
        <f>PARAM!$H$39</f>
        <v>0</v>
      </c>
      <c r="J87" s="11">
        <f>PARAM!$G$39</f>
        <v>0</v>
      </c>
      <c r="K87" s="11">
        <f>(VLOOKUP(H87,DEDN!$A$8:$O$902,$K$2)*I87+J87)/1000</f>
        <v>0</v>
      </c>
      <c r="L87" s="11">
        <f>MIN(IF(PARAM!$B$43=3,CHOOSE($L$2,F87,K87),F87+K87-F87*K87),1)</f>
        <v>7.5000000000000002E-4</v>
      </c>
      <c r="M87" s="2">
        <f>PARAM!$I$38</f>
        <v>0</v>
      </c>
      <c r="N87" s="11">
        <f>VLOOKUP(B87,DEDN!$A$8:$O$90,$N$2)*M87</f>
        <v>0</v>
      </c>
      <c r="O87" s="12"/>
      <c r="P87" s="10">
        <f>PARAM!$C$53^-A87</f>
        <v>1</v>
      </c>
      <c r="Q87" s="10">
        <f t="shared" si="31"/>
        <v>0.99588226264575552</v>
      </c>
      <c r="R87" s="10">
        <f t="shared" si="30"/>
        <v>0.99588226264575552</v>
      </c>
      <c r="S87" s="10">
        <f>R87*(A87&lt;PARAM!$B$55)</f>
        <v>0.99588226264575552</v>
      </c>
      <c r="T87" s="10">
        <f t="shared" si="25"/>
        <v>6.2264047581139792E-5</v>
      </c>
      <c r="U87" s="10">
        <f>T87*P87*(A87&lt;PARAM!$B$55)</f>
        <v>6.2264047581139792E-5</v>
      </c>
      <c r="W87">
        <v>84</v>
      </c>
      <c r="X87" s="178">
        <f t="shared" si="29"/>
        <v>38</v>
      </c>
      <c r="Y87" s="178">
        <f t="shared" si="29"/>
        <v>38</v>
      </c>
      <c r="Z87" s="178">
        <f t="shared" si="29"/>
        <v>7</v>
      </c>
      <c r="AA87" s="178">
        <f t="shared" si="29"/>
        <v>7</v>
      </c>
      <c r="AD87" s="17">
        <f>CALC!E111*(A87&lt;PARAM!$B$55)</f>
        <v>8.125</v>
      </c>
      <c r="AE87">
        <f>IF(A87&lt;ITER!$C$16,1,PARAM!$C$53^-(RATES!A87-ITER!$C$16))*(A87&lt;PARAM!$B$55)</f>
        <v>1</v>
      </c>
    </row>
    <row r="88" spans="1:31" x14ac:dyDescent="0.2">
      <c r="A88" s="9">
        <v>85</v>
      </c>
      <c r="B88" s="178">
        <f t="shared" si="27"/>
        <v>38</v>
      </c>
      <c r="C88" s="178">
        <f t="shared" si="27"/>
        <v>38</v>
      </c>
      <c r="D88" s="2">
        <f>PARAM!$H$38</f>
        <v>1</v>
      </c>
      <c r="E88" s="11">
        <f>PARAM!$G$38</f>
        <v>0</v>
      </c>
      <c r="F88" s="11">
        <f>(VLOOKUP(C88,DEDN!$A$8:$O$902,$F$2)*D88+E88)/1000</f>
        <v>7.5000000000000002E-4</v>
      </c>
      <c r="G88" s="178">
        <f t="shared" si="28"/>
        <v>7</v>
      </c>
      <c r="H88" s="178">
        <f t="shared" si="28"/>
        <v>7</v>
      </c>
      <c r="I88" s="2">
        <f>PARAM!$H$39</f>
        <v>0</v>
      </c>
      <c r="J88" s="11">
        <f>PARAM!$G$39</f>
        <v>0</v>
      </c>
      <c r="K88" s="11">
        <f>(VLOOKUP(H88,DEDN!$A$8:$O$902,$K$2)*I88+J88)/1000</f>
        <v>0</v>
      </c>
      <c r="L88" s="11">
        <f>MIN(IF(PARAM!$B$43=3,CHOOSE($L$2,F88,K88),F88+K88-F88*K88),1)</f>
        <v>7.5000000000000002E-4</v>
      </c>
      <c r="M88" s="2">
        <f>PARAM!$I$38</f>
        <v>0</v>
      </c>
      <c r="N88" s="11">
        <f>VLOOKUP(B88,DEDN!$A$8:$O$90,$N$2)*M88</f>
        <v>0</v>
      </c>
      <c r="O88" s="12"/>
      <c r="P88" s="10">
        <f>PARAM!$C$53^-A88</f>
        <v>1</v>
      </c>
      <c r="Q88" s="10">
        <f t="shared" si="31"/>
        <v>0.99581999859817438</v>
      </c>
      <c r="R88" s="10">
        <f t="shared" si="30"/>
        <v>0.99581999859817438</v>
      </c>
      <c r="S88" s="10">
        <f>CHOOSE(PARAM!$B$51,R88,0,0,0)*(A88&lt;PARAM!$B$55)</f>
        <v>0.99581999859817438</v>
      </c>
      <c r="T88" s="10">
        <f t="shared" si="25"/>
        <v>6.2260154739868234E-5</v>
      </c>
      <c r="U88" s="10">
        <f>T88*P88*(A88&lt;PARAM!$B$55)</f>
        <v>6.2260154739868234E-5</v>
      </c>
      <c r="W88">
        <v>85</v>
      </c>
      <c r="X88" s="178">
        <f t="shared" si="29"/>
        <v>38</v>
      </c>
      <c r="Y88" s="178">
        <f t="shared" si="29"/>
        <v>38</v>
      </c>
      <c r="Z88" s="178">
        <f t="shared" si="29"/>
        <v>7</v>
      </c>
      <c r="AA88" s="178">
        <f t="shared" si="29"/>
        <v>7</v>
      </c>
      <c r="AD88" s="17">
        <f>CALC!E112*(A88&lt;PARAM!$B$55)</f>
        <v>8.125</v>
      </c>
      <c r="AE88">
        <f>IF(A88&lt;ITER!$C$16,1,PARAM!$C$53^-(RATES!A88-ITER!$C$16))*(A88&lt;PARAM!$B$55)</f>
        <v>1</v>
      </c>
    </row>
    <row r="89" spans="1:31" x14ac:dyDescent="0.2">
      <c r="A89" s="9">
        <v>86</v>
      </c>
      <c r="B89" s="178">
        <f t="shared" si="27"/>
        <v>38</v>
      </c>
      <c r="C89" s="178">
        <f t="shared" si="27"/>
        <v>38</v>
      </c>
      <c r="D89" s="2">
        <f>PARAM!$H$38</f>
        <v>1</v>
      </c>
      <c r="E89" s="11">
        <f>PARAM!$G$38</f>
        <v>0</v>
      </c>
      <c r="F89" s="11">
        <f>(VLOOKUP(C89,DEDN!$A$8:$O$902,$F$2)*D89+E89)/1000</f>
        <v>7.5000000000000002E-4</v>
      </c>
      <c r="G89" s="178">
        <f t="shared" si="28"/>
        <v>7</v>
      </c>
      <c r="H89" s="178">
        <f t="shared" si="28"/>
        <v>7</v>
      </c>
      <c r="I89" s="2">
        <f>PARAM!$H$39</f>
        <v>0</v>
      </c>
      <c r="J89" s="11">
        <f>PARAM!$G$39</f>
        <v>0</v>
      </c>
      <c r="K89" s="11">
        <f>(VLOOKUP(H89,DEDN!$A$8:$O$902,$K$2)*I89+J89)/1000</f>
        <v>0</v>
      </c>
      <c r="L89" s="11">
        <f>MIN(IF(PARAM!$B$43=3,CHOOSE($L$2,F89,K89),F89+K89-F89*K89),1)</f>
        <v>7.5000000000000002E-4</v>
      </c>
      <c r="M89" s="2">
        <f>PARAM!$I$38</f>
        <v>0</v>
      </c>
      <c r="N89" s="11">
        <f>VLOOKUP(B89,DEDN!$A$8:$O$90,$N$2)*M89</f>
        <v>0</v>
      </c>
      <c r="O89" s="12"/>
      <c r="P89" s="10">
        <f>PARAM!$C$53^-A89</f>
        <v>1</v>
      </c>
      <c r="Q89" s="10">
        <f t="shared" si="31"/>
        <v>0.99575773844343451</v>
      </c>
      <c r="R89" s="10">
        <f t="shared" si="30"/>
        <v>0.99575773844343451</v>
      </c>
      <c r="S89" s="10">
        <f>CHOOSE(PARAM!$B$51,R89,0,0,0)*(A89&lt;PARAM!$B$55)</f>
        <v>0.99575773844343451</v>
      </c>
      <c r="T89" s="10">
        <f t="shared" si="25"/>
        <v>6.2256262141957563E-5</v>
      </c>
      <c r="U89" s="10">
        <f>T89*P89*(A89&lt;PARAM!$B$55)</f>
        <v>6.2256262141957563E-5</v>
      </c>
      <c r="W89">
        <v>86</v>
      </c>
      <c r="X89" s="178">
        <f t="shared" si="29"/>
        <v>38</v>
      </c>
      <c r="Y89" s="178">
        <f t="shared" si="29"/>
        <v>38</v>
      </c>
      <c r="Z89" s="178">
        <f t="shared" si="29"/>
        <v>7</v>
      </c>
      <c r="AA89" s="178">
        <f t="shared" si="29"/>
        <v>7</v>
      </c>
      <c r="AD89" s="17">
        <f>CALC!E113*(A89&lt;PARAM!$B$55)</f>
        <v>8.125</v>
      </c>
      <c r="AE89">
        <f>IF(A89&lt;ITER!$C$16,1,PARAM!$C$53^-(RATES!A89-ITER!$C$16))*(A89&lt;PARAM!$B$55)</f>
        <v>1</v>
      </c>
    </row>
    <row r="90" spans="1:31" x14ac:dyDescent="0.2">
      <c r="A90" s="9">
        <v>87</v>
      </c>
      <c r="B90" s="178">
        <f t="shared" si="27"/>
        <v>38</v>
      </c>
      <c r="C90" s="178">
        <f t="shared" si="27"/>
        <v>38</v>
      </c>
      <c r="D90" s="2">
        <f>PARAM!$H$38</f>
        <v>1</v>
      </c>
      <c r="E90" s="11">
        <f>PARAM!$G$38</f>
        <v>0</v>
      </c>
      <c r="F90" s="11">
        <f>(VLOOKUP(C90,DEDN!$A$8:$O$902,$F$2)*D90+E90)/1000</f>
        <v>7.5000000000000002E-4</v>
      </c>
      <c r="G90" s="178">
        <f t="shared" si="28"/>
        <v>7</v>
      </c>
      <c r="H90" s="178">
        <f t="shared" si="28"/>
        <v>7</v>
      </c>
      <c r="I90" s="2">
        <f>PARAM!$H$39</f>
        <v>0</v>
      </c>
      <c r="J90" s="11">
        <f>PARAM!$G$39</f>
        <v>0</v>
      </c>
      <c r="K90" s="11">
        <f>(VLOOKUP(H90,DEDN!$A$8:$O$902,$K$2)*I90+J90)/1000</f>
        <v>0</v>
      </c>
      <c r="L90" s="11">
        <f>MIN(IF(PARAM!$B$43=3,CHOOSE($L$2,F90,K90),F90+K90-F90*K90),1)</f>
        <v>7.5000000000000002E-4</v>
      </c>
      <c r="M90" s="2">
        <f>PARAM!$I$38</f>
        <v>0</v>
      </c>
      <c r="N90" s="11">
        <f>VLOOKUP(B90,DEDN!$A$8:$O$90,$N$2)*M90</f>
        <v>0</v>
      </c>
      <c r="O90" s="12"/>
      <c r="P90" s="10">
        <f>PARAM!$C$53^-A90</f>
        <v>1</v>
      </c>
      <c r="Q90" s="10">
        <f t="shared" si="31"/>
        <v>0.99569548218129256</v>
      </c>
      <c r="R90" s="10">
        <f t="shared" si="30"/>
        <v>0.99569548218129256</v>
      </c>
      <c r="S90" s="10">
        <f>CHOOSE(PARAM!$B$51,R90,R90,0,0)*(A90&lt;PARAM!$B$55)</f>
        <v>0.99569548218129256</v>
      </c>
      <c r="T90" s="10">
        <f t="shared" si="25"/>
        <v>6.2252369787296757E-5</v>
      </c>
      <c r="U90" s="10">
        <f>T90*P90*(A90&lt;PARAM!$B$55)</f>
        <v>6.2252369787296757E-5</v>
      </c>
      <c r="W90">
        <v>87</v>
      </c>
      <c r="X90" s="178">
        <f t="shared" si="29"/>
        <v>38</v>
      </c>
      <c r="Y90" s="178">
        <f t="shared" si="29"/>
        <v>38</v>
      </c>
      <c r="Z90" s="178">
        <f t="shared" si="29"/>
        <v>7</v>
      </c>
      <c r="AA90" s="178">
        <f t="shared" si="29"/>
        <v>7</v>
      </c>
      <c r="AD90" s="17">
        <f>CALC!E114*(A90&lt;PARAM!$B$55)</f>
        <v>8.125</v>
      </c>
      <c r="AE90">
        <f>IF(A90&lt;ITER!$C$16,1,PARAM!$C$53^-(RATES!A90-ITER!$C$16))*(A90&lt;PARAM!$B$55)</f>
        <v>1</v>
      </c>
    </row>
    <row r="91" spans="1:31" x14ac:dyDescent="0.2">
      <c r="A91" s="9">
        <v>88</v>
      </c>
      <c r="B91" s="178">
        <f t="shared" si="27"/>
        <v>38</v>
      </c>
      <c r="C91" s="178">
        <f t="shared" si="27"/>
        <v>38</v>
      </c>
      <c r="D91" s="2">
        <f>PARAM!$H$38</f>
        <v>1</v>
      </c>
      <c r="E91" s="11">
        <f>PARAM!$G$38</f>
        <v>0</v>
      </c>
      <c r="F91" s="11">
        <f>(VLOOKUP(C91,DEDN!$A$8:$O$902,$F$2)*D91+E91)/1000</f>
        <v>7.5000000000000002E-4</v>
      </c>
      <c r="G91" s="178">
        <f t="shared" si="28"/>
        <v>7</v>
      </c>
      <c r="H91" s="178">
        <f t="shared" si="28"/>
        <v>7</v>
      </c>
      <c r="I91" s="2">
        <f>PARAM!$H$39</f>
        <v>0</v>
      </c>
      <c r="J91" s="11">
        <f>PARAM!$G$39</f>
        <v>0</v>
      </c>
      <c r="K91" s="11">
        <f>(VLOOKUP(H91,DEDN!$A$8:$O$902,$K$2)*I91+J91)/1000</f>
        <v>0</v>
      </c>
      <c r="L91" s="11">
        <f>MIN(IF(PARAM!$B$43=3,CHOOSE($L$2,F91,K91),F91+K91-F91*K91),1)</f>
        <v>7.5000000000000002E-4</v>
      </c>
      <c r="M91" s="2">
        <f>PARAM!$I$38</f>
        <v>0</v>
      </c>
      <c r="N91" s="11">
        <f>VLOOKUP(B91,DEDN!$A$8:$O$90,$N$2)*M91</f>
        <v>0</v>
      </c>
      <c r="O91" s="12"/>
      <c r="P91" s="10">
        <f>PARAM!$C$53^-A91</f>
        <v>1</v>
      </c>
      <c r="Q91" s="10">
        <f t="shared" si="31"/>
        <v>0.99563322981150526</v>
      </c>
      <c r="R91" s="10">
        <f t="shared" si="30"/>
        <v>0.99563322981150526</v>
      </c>
      <c r="S91" s="10">
        <f>CHOOSE(PARAM!$B$51,R91,0,0,0)*(A91&lt;PARAM!$B$55)</f>
        <v>0.99563322981150526</v>
      </c>
      <c r="T91" s="10">
        <f t="shared" si="25"/>
        <v>6.2248477676107861E-5</v>
      </c>
      <c r="U91" s="10">
        <f>T91*P91*(A91&lt;PARAM!$B$55)</f>
        <v>6.2248477676107861E-5</v>
      </c>
      <c r="W91">
        <v>88</v>
      </c>
      <c r="X91" s="178">
        <f t="shared" si="29"/>
        <v>38</v>
      </c>
      <c r="Y91" s="178">
        <f t="shared" si="29"/>
        <v>38</v>
      </c>
      <c r="Z91" s="178">
        <f t="shared" si="29"/>
        <v>7</v>
      </c>
      <c r="AA91" s="178">
        <f t="shared" si="29"/>
        <v>7</v>
      </c>
      <c r="AD91" s="17">
        <f>CALC!E115*(A91&lt;PARAM!$B$55)</f>
        <v>8.125</v>
      </c>
      <c r="AE91">
        <f>IF(A91&lt;ITER!$C$16,1,PARAM!$C$53^-(RATES!A91-ITER!$C$16))*(A91&lt;PARAM!$B$55)</f>
        <v>1</v>
      </c>
    </row>
    <row r="92" spans="1:31" x14ac:dyDescent="0.2">
      <c r="A92" s="9">
        <v>89</v>
      </c>
      <c r="B92" s="178">
        <f t="shared" si="27"/>
        <v>38</v>
      </c>
      <c r="C92" s="178">
        <f t="shared" si="27"/>
        <v>38</v>
      </c>
      <c r="D92" s="2">
        <f>PARAM!$H$38</f>
        <v>1</v>
      </c>
      <c r="E92" s="11">
        <f>PARAM!$G$38</f>
        <v>0</v>
      </c>
      <c r="F92" s="11">
        <f>(VLOOKUP(C92,DEDN!$A$8:$O$902,$F$2)*D92+E92)/1000</f>
        <v>7.5000000000000002E-4</v>
      </c>
      <c r="G92" s="178">
        <f t="shared" si="28"/>
        <v>7</v>
      </c>
      <c r="H92" s="178">
        <f t="shared" si="28"/>
        <v>7</v>
      </c>
      <c r="I92" s="2">
        <f>PARAM!$H$39</f>
        <v>0</v>
      </c>
      <c r="J92" s="11">
        <f>PARAM!$G$39</f>
        <v>0</v>
      </c>
      <c r="K92" s="11">
        <f>(VLOOKUP(H92,DEDN!$A$8:$O$902,$K$2)*I92+J92)/1000</f>
        <v>0</v>
      </c>
      <c r="L92" s="11">
        <f>MIN(IF(PARAM!$B$43=3,CHOOSE($L$2,F92,K92),F92+K92-F92*K92),1)</f>
        <v>7.5000000000000002E-4</v>
      </c>
      <c r="M92" s="2">
        <f>PARAM!$I$38</f>
        <v>0</v>
      </c>
      <c r="N92" s="11">
        <f>VLOOKUP(B92,DEDN!$A$8:$O$90,$N$2)*M92</f>
        <v>0</v>
      </c>
      <c r="O92" s="12"/>
      <c r="P92" s="10">
        <f>PARAM!$C$53^-A92</f>
        <v>1</v>
      </c>
      <c r="Q92" s="10">
        <f t="shared" si="31"/>
        <v>0.99557098133382915</v>
      </c>
      <c r="R92" s="10">
        <f t="shared" si="30"/>
        <v>0.99557098133382915</v>
      </c>
      <c r="S92" s="10">
        <f>CHOOSE(PARAM!$B$51,R92,0,0,0)*(A92&lt;PARAM!$B$55)</f>
        <v>0.99557098133382915</v>
      </c>
      <c r="T92" s="10">
        <f t="shared" si="25"/>
        <v>6.2244585808279851E-5</v>
      </c>
      <c r="U92" s="10">
        <f>T92*P92*(A92&lt;PARAM!$B$55)</f>
        <v>6.2244585808279851E-5</v>
      </c>
      <c r="W92">
        <v>89</v>
      </c>
      <c r="X92" s="178">
        <f t="shared" si="29"/>
        <v>38</v>
      </c>
      <c r="Y92" s="178">
        <f t="shared" si="29"/>
        <v>38</v>
      </c>
      <c r="Z92" s="178">
        <f t="shared" si="29"/>
        <v>7</v>
      </c>
      <c r="AA92" s="178">
        <f t="shared" si="29"/>
        <v>7</v>
      </c>
      <c r="AD92" s="17">
        <f>CALC!E116*(A92&lt;PARAM!$B$55)</f>
        <v>8.125</v>
      </c>
      <c r="AE92">
        <f>IF(A92&lt;ITER!$C$16,1,PARAM!$C$53^-(RATES!A92-ITER!$C$16))*(A92&lt;PARAM!$B$55)</f>
        <v>1</v>
      </c>
    </row>
    <row r="93" spans="1:31" x14ac:dyDescent="0.2">
      <c r="A93" s="9">
        <v>90</v>
      </c>
      <c r="B93" s="178">
        <f t="shared" si="27"/>
        <v>39</v>
      </c>
      <c r="C93" s="178">
        <f t="shared" si="27"/>
        <v>39</v>
      </c>
      <c r="D93" s="2">
        <f>PARAM!$H$38</f>
        <v>1</v>
      </c>
      <c r="E93" s="11">
        <f>PARAM!$G$38</f>
        <v>0</v>
      </c>
      <c r="F93" s="11">
        <f>(VLOOKUP(C93,DEDN!$A$8:$O$902,$F$2)*D93+E93)/1000</f>
        <v>8.3000000000000001E-4</v>
      </c>
      <c r="G93" s="178">
        <f t="shared" si="28"/>
        <v>8</v>
      </c>
      <c r="H93" s="178">
        <f t="shared" si="28"/>
        <v>8</v>
      </c>
      <c r="I93" s="2">
        <f>PARAM!$H$39</f>
        <v>0</v>
      </c>
      <c r="J93" s="11">
        <f>PARAM!$G$39</f>
        <v>0</v>
      </c>
      <c r="K93" s="11">
        <f>(VLOOKUP(H93,DEDN!$A$8:$O$902,$K$2)*I93+J93)/1000</f>
        <v>0</v>
      </c>
      <c r="L93" s="11">
        <f>MIN(IF(PARAM!$B$43=3,CHOOSE($L$2,F93,K93),F93+K93-F93*K93),1)</f>
        <v>8.3000000000000001E-4</v>
      </c>
      <c r="M93" s="2">
        <f>PARAM!$I$38</f>
        <v>0</v>
      </c>
      <c r="N93" s="11">
        <f>VLOOKUP(B93,DEDN!$A$8:$O$90,$N$2)*M93</f>
        <v>0</v>
      </c>
      <c r="O93" s="12"/>
      <c r="P93" s="10">
        <f>PARAM!$C$53^-A93</f>
        <v>1</v>
      </c>
      <c r="Q93" s="10">
        <f t="shared" si="31"/>
        <v>0.99550873674802087</v>
      </c>
      <c r="R93" s="10">
        <f t="shared" si="30"/>
        <v>0.99550873674802087</v>
      </c>
      <c r="S93" s="10">
        <f>CHOOSE(PARAM!$B$51,R93,R93,R93,0)*(A93&lt;PARAM!$B$55)</f>
        <v>0.99550873674802087</v>
      </c>
      <c r="T93" s="10">
        <f t="shared" si="25"/>
        <v>6.8882228834832304E-5</v>
      </c>
      <c r="U93" s="10">
        <f>T93*P93*(A93&lt;PARAM!$B$55)</f>
        <v>6.8882228834832304E-5</v>
      </c>
      <c r="W93">
        <v>90</v>
      </c>
      <c r="X93" s="178">
        <f t="shared" si="29"/>
        <v>39</v>
      </c>
      <c r="Y93" s="178">
        <f t="shared" si="29"/>
        <v>39</v>
      </c>
      <c r="Z93" s="178">
        <f t="shared" si="29"/>
        <v>8</v>
      </c>
      <c r="AA93" s="178">
        <f t="shared" si="29"/>
        <v>8</v>
      </c>
      <c r="AD93" s="17">
        <f>CALC!E117*(A93&lt;PARAM!$B$55)</f>
        <v>8.4583333333333339</v>
      </c>
      <c r="AE93">
        <f>IF(A93&lt;ITER!$C$16,1,PARAM!$C$53^-(RATES!A93-ITER!$C$16))*(A93&lt;PARAM!$B$55)</f>
        <v>1</v>
      </c>
    </row>
    <row r="94" spans="1:31" x14ac:dyDescent="0.2">
      <c r="A94" s="9">
        <v>91</v>
      </c>
      <c r="B94" s="178">
        <f t="shared" si="27"/>
        <v>39</v>
      </c>
      <c r="C94" s="178">
        <f t="shared" si="27"/>
        <v>39</v>
      </c>
      <c r="D94" s="2">
        <f>PARAM!$H$38</f>
        <v>1</v>
      </c>
      <c r="E94" s="11">
        <f>PARAM!$G$38</f>
        <v>0</v>
      </c>
      <c r="F94" s="11">
        <f>(VLOOKUP(C94,DEDN!$A$8:$O$902,$F$2)*D94+E94)/1000</f>
        <v>8.3000000000000001E-4</v>
      </c>
      <c r="G94" s="178">
        <f t="shared" si="28"/>
        <v>8</v>
      </c>
      <c r="H94" s="178">
        <f t="shared" si="28"/>
        <v>8</v>
      </c>
      <c r="I94" s="2">
        <f>PARAM!$H$39</f>
        <v>0</v>
      </c>
      <c r="J94" s="11">
        <f>PARAM!$G$39</f>
        <v>0</v>
      </c>
      <c r="K94" s="11">
        <f>(VLOOKUP(H94,DEDN!$A$8:$O$902,$K$2)*I94+J94)/1000</f>
        <v>0</v>
      </c>
      <c r="L94" s="11">
        <f>MIN(IF(PARAM!$B$43=3,CHOOSE($L$2,F94,K94),F94+K94-F94*K94),1)</f>
        <v>8.3000000000000001E-4</v>
      </c>
      <c r="M94" s="2">
        <f>PARAM!$I$38</f>
        <v>0</v>
      </c>
      <c r="N94" s="11">
        <f>VLOOKUP(B94,DEDN!$A$8:$O$90,$N$2)*M94</f>
        <v>0</v>
      </c>
      <c r="O94" s="12"/>
      <c r="P94" s="10">
        <f>PARAM!$C$53^-A94</f>
        <v>1</v>
      </c>
      <c r="Q94" s="10">
        <f t="shared" si="31"/>
        <v>0.99543985451918604</v>
      </c>
      <c r="R94" s="10">
        <f t="shared" si="30"/>
        <v>0.99543985451918604</v>
      </c>
      <c r="S94" s="10">
        <f>CHOOSE(PARAM!$B$51,R94,0,0,0)*(A94&lt;PARAM!$B$55)</f>
        <v>0.99543985451918604</v>
      </c>
      <c r="T94" s="10">
        <f t="shared" si="25"/>
        <v>6.8877462667260581E-5</v>
      </c>
      <c r="U94" s="10">
        <f>T94*P94*(A94&lt;PARAM!$B$55)</f>
        <v>6.8877462667260581E-5</v>
      </c>
      <c r="W94">
        <v>91</v>
      </c>
      <c r="X94" s="178">
        <f t="shared" si="29"/>
        <v>39</v>
      </c>
      <c r="Y94" s="178">
        <f t="shared" si="29"/>
        <v>39</v>
      </c>
      <c r="Z94" s="178">
        <f t="shared" si="29"/>
        <v>8</v>
      </c>
      <c r="AA94" s="178">
        <f t="shared" si="29"/>
        <v>8</v>
      </c>
      <c r="AD94" s="17">
        <f>CALC!E118*(A94&lt;PARAM!$B$55)</f>
        <v>8.4583333333333339</v>
      </c>
      <c r="AE94">
        <f>IF(A94&lt;ITER!$C$16,1,PARAM!$C$53^-(RATES!A94-ITER!$C$16))*(A94&lt;PARAM!$B$55)</f>
        <v>1</v>
      </c>
    </row>
    <row r="95" spans="1:31" x14ac:dyDescent="0.2">
      <c r="A95" s="9">
        <v>92</v>
      </c>
      <c r="B95" s="178">
        <f t="shared" si="27"/>
        <v>39</v>
      </c>
      <c r="C95" s="178">
        <f t="shared" si="27"/>
        <v>39</v>
      </c>
      <c r="D95" s="2">
        <f>PARAM!$H$38</f>
        <v>1</v>
      </c>
      <c r="E95" s="11">
        <f>PARAM!$G$38</f>
        <v>0</v>
      </c>
      <c r="F95" s="11">
        <f>(VLOOKUP(C95,DEDN!$A$8:$O$902,$F$2)*D95+E95)/1000</f>
        <v>8.3000000000000001E-4</v>
      </c>
      <c r="G95" s="178">
        <f t="shared" si="28"/>
        <v>8</v>
      </c>
      <c r="H95" s="178">
        <f t="shared" si="28"/>
        <v>8</v>
      </c>
      <c r="I95" s="2">
        <f>PARAM!$H$39</f>
        <v>0</v>
      </c>
      <c r="J95" s="11">
        <f>PARAM!$G$39</f>
        <v>0</v>
      </c>
      <c r="K95" s="11">
        <f>(VLOOKUP(H95,DEDN!$A$8:$O$902,$K$2)*I95+J95)/1000</f>
        <v>0</v>
      </c>
      <c r="L95" s="11">
        <f>MIN(IF(PARAM!$B$43=3,CHOOSE($L$2,F95,K95),F95+K95-F95*K95),1)</f>
        <v>8.3000000000000001E-4</v>
      </c>
      <c r="M95" s="2">
        <f>PARAM!$I$38</f>
        <v>0</v>
      </c>
      <c r="N95" s="11">
        <f>VLOOKUP(B95,DEDN!$A$8:$O$90,$N$2)*M95</f>
        <v>0</v>
      </c>
      <c r="O95" s="12"/>
      <c r="P95" s="10">
        <f>PARAM!$C$53^-A95</f>
        <v>1</v>
      </c>
      <c r="Q95" s="10">
        <f t="shared" si="31"/>
        <v>0.99537097705651878</v>
      </c>
      <c r="R95" s="10">
        <f t="shared" si="30"/>
        <v>0.99537097705651878</v>
      </c>
      <c r="S95" s="10">
        <f>CHOOSE(PARAM!$B$51,R95,0,0,0)*(A95&lt;PARAM!$B$55)</f>
        <v>0.99537097705651878</v>
      </c>
      <c r="T95" s="10">
        <f t="shared" si="25"/>
        <v>6.8872696829536117E-5</v>
      </c>
      <c r="U95" s="10">
        <f>T95*P95*(A95&lt;PARAM!$B$55)</f>
        <v>6.8872696829536117E-5</v>
      </c>
      <c r="W95">
        <v>92</v>
      </c>
      <c r="X95" s="178">
        <f t="shared" si="29"/>
        <v>39</v>
      </c>
      <c r="Y95" s="178">
        <f t="shared" si="29"/>
        <v>39</v>
      </c>
      <c r="Z95" s="178">
        <f t="shared" si="29"/>
        <v>8</v>
      </c>
      <c r="AA95" s="178">
        <f t="shared" si="29"/>
        <v>8</v>
      </c>
      <c r="AD95" s="17">
        <f>CALC!E119*(A95&lt;PARAM!$B$55)</f>
        <v>8.4583333333333339</v>
      </c>
      <c r="AE95">
        <f>IF(A95&lt;ITER!$C$16,1,PARAM!$C$53^-(RATES!A95-ITER!$C$16))*(A95&lt;PARAM!$B$55)</f>
        <v>1</v>
      </c>
    </row>
    <row r="96" spans="1:31" x14ac:dyDescent="0.2">
      <c r="A96" s="9">
        <v>93</v>
      </c>
      <c r="B96" s="178">
        <f t="shared" si="27"/>
        <v>39</v>
      </c>
      <c r="C96" s="178">
        <f t="shared" si="27"/>
        <v>39</v>
      </c>
      <c r="D96" s="2">
        <f>PARAM!$H$38</f>
        <v>1</v>
      </c>
      <c r="E96" s="11">
        <f>PARAM!$G$38</f>
        <v>0</v>
      </c>
      <c r="F96" s="11">
        <f>(VLOOKUP(C96,DEDN!$A$8:$O$902,$F$2)*D96+E96)/1000</f>
        <v>8.3000000000000001E-4</v>
      </c>
      <c r="G96" s="178">
        <f t="shared" si="28"/>
        <v>8</v>
      </c>
      <c r="H96" s="178">
        <f t="shared" si="28"/>
        <v>8</v>
      </c>
      <c r="I96" s="2">
        <f>PARAM!$H$39</f>
        <v>0</v>
      </c>
      <c r="J96" s="11">
        <f>PARAM!$G$39</f>
        <v>0</v>
      </c>
      <c r="K96" s="11">
        <f>(VLOOKUP(H96,DEDN!$A$8:$O$902,$K$2)*I96+J96)/1000</f>
        <v>0</v>
      </c>
      <c r="L96" s="11">
        <f>MIN(IF(PARAM!$B$43=3,CHOOSE($L$2,F96,K96),F96+K96-F96*K96),1)</f>
        <v>8.3000000000000001E-4</v>
      </c>
      <c r="M96" s="2">
        <f>PARAM!$I$38</f>
        <v>0</v>
      </c>
      <c r="N96" s="11">
        <f>VLOOKUP(B96,DEDN!$A$8:$O$90,$N$2)*M96</f>
        <v>0</v>
      </c>
      <c r="O96" s="12"/>
      <c r="P96" s="10">
        <f>PARAM!$C$53^-A96</f>
        <v>1</v>
      </c>
      <c r="Q96" s="10">
        <f t="shared" si="31"/>
        <v>0.99530210435968924</v>
      </c>
      <c r="R96" s="10">
        <f t="shared" si="30"/>
        <v>0.99530210435968924</v>
      </c>
      <c r="S96" s="10">
        <f>CHOOSE(PARAM!$B$51,R96,R96,0,0)*(A96&lt;PARAM!$B$55)</f>
        <v>0.99530210435968924</v>
      </c>
      <c r="T96" s="10">
        <f t="shared" si="25"/>
        <v>6.8867931321547893E-5</v>
      </c>
      <c r="U96" s="10">
        <f>T96*P96*(A96&lt;PARAM!$B$55)</f>
        <v>6.8867931321547893E-5</v>
      </c>
      <c r="W96">
        <v>93</v>
      </c>
      <c r="X96" s="178">
        <f t="shared" si="29"/>
        <v>39</v>
      </c>
      <c r="Y96" s="178">
        <f t="shared" si="29"/>
        <v>39</v>
      </c>
      <c r="Z96" s="178">
        <f t="shared" si="29"/>
        <v>8</v>
      </c>
      <c r="AA96" s="178">
        <f t="shared" si="29"/>
        <v>8</v>
      </c>
      <c r="AD96" s="17">
        <f>CALC!E120*(A96&lt;PARAM!$B$55)</f>
        <v>8.4583333333333339</v>
      </c>
      <c r="AE96">
        <f>IF(A96&lt;ITER!$C$16,1,PARAM!$C$53^-(RATES!A96-ITER!$C$16))*(A96&lt;PARAM!$B$55)</f>
        <v>1</v>
      </c>
    </row>
    <row r="97" spans="1:31" x14ac:dyDescent="0.2">
      <c r="A97" s="9">
        <v>94</v>
      </c>
      <c r="B97" s="178">
        <f t="shared" si="27"/>
        <v>39</v>
      </c>
      <c r="C97" s="178">
        <f t="shared" si="27"/>
        <v>39</v>
      </c>
      <c r="D97" s="2">
        <f>PARAM!$H$38</f>
        <v>1</v>
      </c>
      <c r="E97" s="11">
        <f>PARAM!$G$38</f>
        <v>0</v>
      </c>
      <c r="F97" s="11">
        <f>(VLOOKUP(C97,DEDN!$A$8:$O$902,$F$2)*D97+E97)/1000</f>
        <v>8.3000000000000001E-4</v>
      </c>
      <c r="G97" s="178">
        <f t="shared" si="28"/>
        <v>8</v>
      </c>
      <c r="H97" s="178">
        <f t="shared" si="28"/>
        <v>8</v>
      </c>
      <c r="I97" s="2">
        <f>PARAM!$H$39</f>
        <v>0</v>
      </c>
      <c r="J97" s="11">
        <f>PARAM!$G$39</f>
        <v>0</v>
      </c>
      <c r="K97" s="11">
        <f>(VLOOKUP(H97,DEDN!$A$8:$O$902,$K$2)*I97+J97)/1000</f>
        <v>0</v>
      </c>
      <c r="L97" s="11">
        <f>MIN(IF(PARAM!$B$43=3,CHOOSE($L$2,F97,K97),F97+K97-F97*K97),1)</f>
        <v>8.3000000000000001E-4</v>
      </c>
      <c r="M97" s="2">
        <f>PARAM!$I$38</f>
        <v>0</v>
      </c>
      <c r="N97" s="11">
        <f>VLOOKUP(B97,DEDN!$A$8:$O$90,$N$2)*M97</f>
        <v>0</v>
      </c>
      <c r="O97" s="12"/>
      <c r="P97" s="10">
        <f>PARAM!$C$53^-A97</f>
        <v>1</v>
      </c>
      <c r="Q97" s="10">
        <f t="shared" si="31"/>
        <v>0.9952332364283677</v>
      </c>
      <c r="R97" s="10">
        <f t="shared" si="30"/>
        <v>0.9952332364283677</v>
      </c>
      <c r="S97" s="10">
        <f>CHOOSE(PARAM!$B$51,R97,0,0,0)*(A97&lt;PARAM!$B$55)</f>
        <v>0.9952332364283677</v>
      </c>
      <c r="T97" s="10">
        <f t="shared" si="25"/>
        <v>6.8863166143184884E-5</v>
      </c>
      <c r="U97" s="10">
        <f>T97*P97*(A97&lt;PARAM!$B$55)</f>
        <v>6.8863166143184884E-5</v>
      </c>
      <c r="W97">
        <v>94</v>
      </c>
      <c r="X97" s="178">
        <f t="shared" si="29"/>
        <v>39</v>
      </c>
      <c r="Y97" s="178">
        <f t="shared" si="29"/>
        <v>39</v>
      </c>
      <c r="Z97" s="178">
        <f t="shared" si="29"/>
        <v>8</v>
      </c>
      <c r="AA97" s="178">
        <f t="shared" si="29"/>
        <v>8</v>
      </c>
      <c r="AD97" s="17">
        <f>CALC!E121*(A97&lt;PARAM!$B$55)</f>
        <v>8.4583333333333339</v>
      </c>
      <c r="AE97">
        <f>IF(A97&lt;ITER!$C$16,1,PARAM!$C$53^-(RATES!A97-ITER!$C$16))*(A97&lt;PARAM!$B$55)</f>
        <v>1</v>
      </c>
    </row>
    <row r="98" spans="1:31" x14ac:dyDescent="0.2">
      <c r="A98" s="9">
        <v>95</v>
      </c>
      <c r="B98" s="178">
        <f t="shared" si="27"/>
        <v>39</v>
      </c>
      <c r="C98" s="178">
        <f t="shared" si="27"/>
        <v>39</v>
      </c>
      <c r="D98" s="2">
        <f>PARAM!$H$38</f>
        <v>1</v>
      </c>
      <c r="E98" s="11">
        <f>PARAM!$G$38</f>
        <v>0</v>
      </c>
      <c r="F98" s="11">
        <f>(VLOOKUP(C98,DEDN!$A$8:$O$902,$F$2)*D98+E98)/1000</f>
        <v>8.3000000000000001E-4</v>
      </c>
      <c r="G98" s="178">
        <f t="shared" si="28"/>
        <v>8</v>
      </c>
      <c r="H98" s="178">
        <f t="shared" si="28"/>
        <v>8</v>
      </c>
      <c r="I98" s="2">
        <f>PARAM!$H$39</f>
        <v>0</v>
      </c>
      <c r="J98" s="11">
        <f>PARAM!$G$39</f>
        <v>0</v>
      </c>
      <c r="K98" s="11">
        <f>(VLOOKUP(H98,DEDN!$A$8:$O$902,$K$2)*I98+J98)/1000</f>
        <v>0</v>
      </c>
      <c r="L98" s="11">
        <f>MIN(IF(PARAM!$B$43=3,CHOOSE($L$2,F98,K98),F98+K98-F98*K98),1)</f>
        <v>8.3000000000000001E-4</v>
      </c>
      <c r="M98" s="2">
        <f>PARAM!$I$38</f>
        <v>0</v>
      </c>
      <c r="N98" s="11">
        <f>VLOOKUP(B98,DEDN!$A$8:$O$90,$N$2)*M98</f>
        <v>0</v>
      </c>
      <c r="O98" s="12"/>
      <c r="P98" s="10">
        <f>PARAM!$C$53^-A98</f>
        <v>1</v>
      </c>
      <c r="Q98" s="10">
        <f t="shared" si="31"/>
        <v>0.99516437326222451</v>
      </c>
      <c r="R98" s="10">
        <f t="shared" si="30"/>
        <v>0.99516437326222451</v>
      </c>
      <c r="S98" s="10">
        <f>CHOOSE(PARAM!$B$51,R98,0,0,0)*(A98&lt;PARAM!$B$55)</f>
        <v>0.99516437326222451</v>
      </c>
      <c r="T98" s="10">
        <f t="shared" si="25"/>
        <v>6.8858401294669136E-5</v>
      </c>
      <c r="U98" s="10">
        <f>T98*P98*(A98&lt;PARAM!$B$55)</f>
        <v>6.8858401294669136E-5</v>
      </c>
      <c r="W98">
        <v>95</v>
      </c>
      <c r="X98" s="178">
        <f t="shared" si="29"/>
        <v>39</v>
      </c>
      <c r="Y98" s="178">
        <f t="shared" si="29"/>
        <v>39</v>
      </c>
      <c r="Z98" s="178">
        <f t="shared" si="29"/>
        <v>8</v>
      </c>
      <c r="AA98" s="178">
        <f t="shared" si="29"/>
        <v>8</v>
      </c>
      <c r="AD98" s="17">
        <f>CALC!E122*(A98&lt;PARAM!$B$55)</f>
        <v>8.4583333333333339</v>
      </c>
      <c r="AE98">
        <f>IF(A98&lt;ITER!$C$16,1,PARAM!$C$53^-(RATES!A98-ITER!$C$16))*(A98&lt;PARAM!$B$55)</f>
        <v>1</v>
      </c>
    </row>
    <row r="99" spans="1:31" x14ac:dyDescent="0.2">
      <c r="A99" s="9">
        <v>96</v>
      </c>
      <c r="B99" s="178">
        <f t="shared" si="27"/>
        <v>39</v>
      </c>
      <c r="C99" s="178">
        <f t="shared" si="27"/>
        <v>39</v>
      </c>
      <c r="D99" s="2">
        <f>PARAM!$H$38</f>
        <v>1</v>
      </c>
      <c r="E99" s="11">
        <f>PARAM!$G$38</f>
        <v>0</v>
      </c>
      <c r="F99" s="11">
        <f>(VLOOKUP(C99,DEDN!$A$8:$O$902,$F$2)*D99+E99)/1000</f>
        <v>8.3000000000000001E-4</v>
      </c>
      <c r="G99" s="178">
        <f t="shared" si="28"/>
        <v>8</v>
      </c>
      <c r="H99" s="178">
        <f t="shared" si="28"/>
        <v>8</v>
      </c>
      <c r="I99" s="2">
        <f>PARAM!$H$39</f>
        <v>0</v>
      </c>
      <c r="J99" s="11">
        <f>PARAM!$G$39</f>
        <v>0</v>
      </c>
      <c r="K99" s="11">
        <f>(VLOOKUP(H99,DEDN!$A$8:$O$902,$K$2)*I99+J99)/1000</f>
        <v>0</v>
      </c>
      <c r="L99" s="11">
        <f>MIN(IF(PARAM!$B$43=3,CHOOSE($L$2,F99,K99),F99+K99-F99*K99),1)</f>
        <v>8.3000000000000001E-4</v>
      </c>
      <c r="M99" s="2">
        <f>PARAM!$I$38</f>
        <v>0</v>
      </c>
      <c r="N99" s="11">
        <f>VLOOKUP(B99,DEDN!$A$8:$O$90,$N$2)*M99</f>
        <v>0</v>
      </c>
      <c r="O99" s="12"/>
      <c r="P99" s="10">
        <f>PARAM!$C$53^-A99</f>
        <v>1</v>
      </c>
      <c r="Q99" s="10">
        <f t="shared" si="31"/>
        <v>0.99509551486092984</v>
      </c>
      <c r="R99" s="10">
        <f t="shared" si="30"/>
        <v>0.99509551486092984</v>
      </c>
      <c r="S99" s="10">
        <f>R99*(A99&lt;PARAM!$B$55)</f>
        <v>0.99509551486092984</v>
      </c>
      <c r="T99" s="10">
        <f t="shared" si="25"/>
        <v>6.8853636775778604E-5</v>
      </c>
      <c r="U99" s="10">
        <f>T99*P99*(A99&lt;PARAM!$B$55)</f>
        <v>6.8853636775778604E-5</v>
      </c>
      <c r="W99">
        <v>96</v>
      </c>
      <c r="X99" s="178">
        <f t="shared" si="29"/>
        <v>39</v>
      </c>
      <c r="Y99" s="178">
        <f t="shared" si="29"/>
        <v>39</v>
      </c>
      <c r="Z99" s="178">
        <f t="shared" si="29"/>
        <v>8</v>
      </c>
      <c r="AA99" s="178">
        <f t="shared" si="29"/>
        <v>8</v>
      </c>
      <c r="AD99" s="17">
        <f>CALC!E123*(A99&lt;PARAM!$B$55)</f>
        <v>8.4583333333333339</v>
      </c>
      <c r="AE99">
        <f>IF(A99&lt;ITER!$C$16,1,PARAM!$C$53^-(RATES!A99-ITER!$C$16))*(A99&lt;PARAM!$B$55)</f>
        <v>1</v>
      </c>
    </row>
    <row r="100" spans="1:31" x14ac:dyDescent="0.2">
      <c r="A100" s="9">
        <v>97</v>
      </c>
      <c r="B100" s="178">
        <f t="shared" si="27"/>
        <v>39</v>
      </c>
      <c r="C100" s="178">
        <f t="shared" si="27"/>
        <v>39</v>
      </c>
      <c r="D100" s="2">
        <f>PARAM!$H$38</f>
        <v>1</v>
      </c>
      <c r="E100" s="11">
        <f>PARAM!$G$38</f>
        <v>0</v>
      </c>
      <c r="F100" s="11">
        <f>(VLOOKUP(C100,DEDN!$A$8:$O$902,$F$2)*D100+E100)/1000</f>
        <v>8.3000000000000001E-4</v>
      </c>
      <c r="G100" s="178">
        <f t="shared" si="28"/>
        <v>8</v>
      </c>
      <c r="H100" s="178">
        <f t="shared" si="28"/>
        <v>8</v>
      </c>
      <c r="I100" s="2">
        <f>PARAM!$H$39</f>
        <v>0</v>
      </c>
      <c r="J100" s="11">
        <f>PARAM!$G$39</f>
        <v>0</v>
      </c>
      <c r="K100" s="11">
        <f>(VLOOKUP(H100,DEDN!$A$8:$O$902,$K$2)*I100+J100)/1000</f>
        <v>0</v>
      </c>
      <c r="L100" s="11">
        <f>MIN(IF(PARAM!$B$43=3,CHOOSE($L$2,F100,K100),F100+K100-F100*K100),1)</f>
        <v>8.3000000000000001E-4</v>
      </c>
      <c r="M100" s="2">
        <f>PARAM!$I$38</f>
        <v>0</v>
      </c>
      <c r="N100" s="11">
        <f>VLOOKUP(B100,DEDN!$A$8:$O$90,$N$2)*M100</f>
        <v>0</v>
      </c>
      <c r="O100" s="12"/>
      <c r="P100" s="10">
        <f>PARAM!$C$53^-A100</f>
        <v>1</v>
      </c>
      <c r="Q100" s="10">
        <f t="shared" si="31"/>
        <v>0.99502666122415406</v>
      </c>
      <c r="R100" s="10">
        <f t="shared" ref="R100:R115" si="32">P100*Q100</f>
        <v>0.99502666122415406</v>
      </c>
      <c r="S100" s="10">
        <f>CHOOSE(PARAM!$B$51,R100,0,0,0)*(A100&lt;PARAM!$B$55)</f>
        <v>0.99502666122415406</v>
      </c>
      <c r="T100" s="10">
        <f t="shared" si="25"/>
        <v>6.884887258662431E-5</v>
      </c>
      <c r="U100" s="10">
        <f>T100*P100*(A100&lt;PARAM!$B$55)</f>
        <v>6.884887258662431E-5</v>
      </c>
      <c r="W100">
        <v>97</v>
      </c>
      <c r="X100" s="178">
        <f t="shared" si="29"/>
        <v>39</v>
      </c>
      <c r="Y100" s="178">
        <f t="shared" si="29"/>
        <v>39</v>
      </c>
      <c r="Z100" s="178">
        <f t="shared" si="29"/>
        <v>8</v>
      </c>
      <c r="AA100" s="178">
        <f t="shared" si="29"/>
        <v>8</v>
      </c>
      <c r="AD100" s="17">
        <f>CALC!E124*(A100&lt;PARAM!$B$55)</f>
        <v>8.4583333333333339</v>
      </c>
      <c r="AE100">
        <f>IF(A100&lt;ITER!$C$16,1,PARAM!$C$53^-(RATES!A100-ITER!$C$16))*(A100&lt;PARAM!$B$55)</f>
        <v>1</v>
      </c>
    </row>
    <row r="101" spans="1:31" x14ac:dyDescent="0.2">
      <c r="A101" s="9">
        <v>98</v>
      </c>
      <c r="B101" s="178">
        <f t="shared" ref="B101:C120" si="33">B89+1</f>
        <v>39</v>
      </c>
      <c r="C101" s="178">
        <f t="shared" si="33"/>
        <v>39</v>
      </c>
      <c r="D101" s="2">
        <f>PARAM!$H$38</f>
        <v>1</v>
      </c>
      <c r="E101" s="11">
        <f>PARAM!$G$38</f>
        <v>0</v>
      </c>
      <c r="F101" s="11">
        <f>(VLOOKUP(C101,DEDN!$A$8:$O$902,$F$2)*D101+E101)/1000</f>
        <v>8.3000000000000001E-4</v>
      </c>
      <c r="G101" s="178">
        <f t="shared" ref="G101:H120" si="34">G89+1</f>
        <v>8</v>
      </c>
      <c r="H101" s="178">
        <f t="shared" si="34"/>
        <v>8</v>
      </c>
      <c r="I101" s="2">
        <f>PARAM!$H$39</f>
        <v>0</v>
      </c>
      <c r="J101" s="11">
        <f>PARAM!$G$39</f>
        <v>0</v>
      </c>
      <c r="K101" s="11">
        <f>(VLOOKUP(H101,DEDN!$A$8:$O$902,$K$2)*I101+J101)/1000</f>
        <v>0</v>
      </c>
      <c r="L101" s="11">
        <f>MIN(IF(PARAM!$B$43=3,CHOOSE($L$2,F101,K101),F101+K101-F101*K101),1)</f>
        <v>8.3000000000000001E-4</v>
      </c>
      <c r="M101" s="2">
        <f>PARAM!$I$38</f>
        <v>0</v>
      </c>
      <c r="N101" s="11">
        <f>VLOOKUP(B101,DEDN!$A$8:$O$90,$N$2)*M101</f>
        <v>0</v>
      </c>
      <c r="O101" s="12"/>
      <c r="P101" s="10">
        <f>PARAM!$C$53^-A101</f>
        <v>1</v>
      </c>
      <c r="Q101" s="10">
        <f t="shared" ref="Q101:Q116" si="35">Q100*(1-L100)^(1/12)</f>
        <v>0.99495781235156744</v>
      </c>
      <c r="R101" s="10">
        <f t="shared" si="32"/>
        <v>0.99495781235156744</v>
      </c>
      <c r="S101" s="10">
        <f>CHOOSE(PARAM!$B$51,R101,0,0,0)*(A101&lt;PARAM!$B$55)</f>
        <v>0.99495781235156744</v>
      </c>
      <c r="T101" s="10">
        <f t="shared" si="25"/>
        <v>6.8844108727095232E-5</v>
      </c>
      <c r="U101" s="10">
        <f>T101*P101*(A101&lt;PARAM!$B$55)</f>
        <v>6.8844108727095232E-5</v>
      </c>
      <c r="W101">
        <v>98</v>
      </c>
      <c r="X101" s="178">
        <f t="shared" ref="X101:AA120" si="36">X89+1</f>
        <v>39</v>
      </c>
      <c r="Y101" s="178">
        <f t="shared" si="36"/>
        <v>39</v>
      </c>
      <c r="Z101" s="178">
        <f t="shared" si="36"/>
        <v>8</v>
      </c>
      <c r="AA101" s="178">
        <f t="shared" si="36"/>
        <v>8</v>
      </c>
      <c r="AD101" s="17">
        <f>CALC!E125*(A101&lt;PARAM!$B$55)</f>
        <v>8.4583333333333339</v>
      </c>
      <c r="AE101">
        <f>IF(A101&lt;ITER!$C$16,1,PARAM!$C$53^-(RATES!A101-ITER!$C$16))*(A101&lt;PARAM!$B$55)</f>
        <v>1</v>
      </c>
    </row>
    <row r="102" spans="1:31" x14ac:dyDescent="0.2">
      <c r="A102" s="9">
        <v>99</v>
      </c>
      <c r="B102" s="178">
        <f t="shared" si="33"/>
        <v>39</v>
      </c>
      <c r="C102" s="178">
        <f t="shared" si="33"/>
        <v>39</v>
      </c>
      <c r="D102" s="2">
        <f>PARAM!$H$38</f>
        <v>1</v>
      </c>
      <c r="E102" s="11">
        <f>PARAM!$G$38</f>
        <v>0</v>
      </c>
      <c r="F102" s="11">
        <f>(VLOOKUP(C102,DEDN!$A$8:$O$902,$F$2)*D102+E102)/1000</f>
        <v>8.3000000000000001E-4</v>
      </c>
      <c r="G102" s="178">
        <f t="shared" si="34"/>
        <v>8</v>
      </c>
      <c r="H102" s="178">
        <f t="shared" si="34"/>
        <v>8</v>
      </c>
      <c r="I102" s="2">
        <f>PARAM!$H$39</f>
        <v>0</v>
      </c>
      <c r="J102" s="11">
        <f>PARAM!$G$39</f>
        <v>0</v>
      </c>
      <c r="K102" s="11">
        <f>(VLOOKUP(H102,DEDN!$A$8:$O$902,$K$2)*I102+J102)/1000</f>
        <v>0</v>
      </c>
      <c r="L102" s="11">
        <f>MIN(IF(PARAM!$B$43=3,CHOOSE($L$2,F102,K102),F102+K102-F102*K102),1)</f>
        <v>8.3000000000000001E-4</v>
      </c>
      <c r="M102" s="2">
        <f>PARAM!$I$38</f>
        <v>0</v>
      </c>
      <c r="N102" s="11">
        <f>VLOOKUP(B102,DEDN!$A$8:$O$90,$N$2)*M102</f>
        <v>0</v>
      </c>
      <c r="O102" s="12"/>
      <c r="P102" s="10">
        <f>PARAM!$C$53^-A102</f>
        <v>1</v>
      </c>
      <c r="Q102" s="10">
        <f t="shared" si="35"/>
        <v>0.99488896824284034</v>
      </c>
      <c r="R102" s="10">
        <f t="shared" si="32"/>
        <v>0.99488896824284034</v>
      </c>
      <c r="S102" s="10">
        <f>CHOOSE(PARAM!$B$51,R102,R102,0,0)*(A102&lt;PARAM!$B$55)</f>
        <v>0.99488896824284034</v>
      </c>
      <c r="T102" s="10">
        <f t="shared" si="25"/>
        <v>6.8839345197191371E-5</v>
      </c>
      <c r="U102" s="10">
        <f>T102*P102*(A102&lt;PARAM!$B$55)</f>
        <v>6.8839345197191371E-5</v>
      </c>
      <c r="W102">
        <v>99</v>
      </c>
      <c r="X102" s="178">
        <f t="shared" si="36"/>
        <v>39</v>
      </c>
      <c r="Y102" s="178">
        <f t="shared" si="36"/>
        <v>39</v>
      </c>
      <c r="Z102" s="178">
        <f t="shared" si="36"/>
        <v>8</v>
      </c>
      <c r="AA102" s="178">
        <f t="shared" si="36"/>
        <v>8</v>
      </c>
      <c r="AD102" s="17">
        <f>CALC!E126*(A102&lt;PARAM!$B$55)</f>
        <v>8.4583333333333339</v>
      </c>
      <c r="AE102">
        <f>IF(A102&lt;ITER!$C$16,1,PARAM!$C$53^-(RATES!A102-ITER!$C$16))*(A102&lt;PARAM!$B$55)</f>
        <v>1</v>
      </c>
    </row>
    <row r="103" spans="1:31" x14ac:dyDescent="0.2">
      <c r="A103" s="9">
        <v>100</v>
      </c>
      <c r="B103" s="178">
        <f t="shared" si="33"/>
        <v>39</v>
      </c>
      <c r="C103" s="178">
        <f t="shared" si="33"/>
        <v>39</v>
      </c>
      <c r="D103" s="2">
        <f>PARAM!$H$38</f>
        <v>1</v>
      </c>
      <c r="E103" s="11">
        <f>PARAM!$G$38</f>
        <v>0</v>
      </c>
      <c r="F103" s="11">
        <f>(VLOOKUP(C103,DEDN!$A$8:$O$902,$F$2)*D103+E103)/1000</f>
        <v>8.3000000000000001E-4</v>
      </c>
      <c r="G103" s="178">
        <f t="shared" si="34"/>
        <v>8</v>
      </c>
      <c r="H103" s="178">
        <f t="shared" si="34"/>
        <v>8</v>
      </c>
      <c r="I103" s="2">
        <f>PARAM!$H$39</f>
        <v>0</v>
      </c>
      <c r="J103" s="11">
        <f>PARAM!$G$39</f>
        <v>0</v>
      </c>
      <c r="K103" s="11">
        <f>(VLOOKUP(H103,DEDN!$A$8:$O$902,$K$2)*I103+J103)/1000</f>
        <v>0</v>
      </c>
      <c r="L103" s="11">
        <f>MIN(IF(PARAM!$B$43=3,CHOOSE($L$2,F103,K103),F103+K103-F103*K103),1)</f>
        <v>8.3000000000000001E-4</v>
      </c>
      <c r="M103" s="2">
        <f>PARAM!$I$38</f>
        <v>0</v>
      </c>
      <c r="N103" s="11">
        <f>VLOOKUP(B103,DEDN!$A$8:$O$90,$N$2)*M103</f>
        <v>0</v>
      </c>
      <c r="O103" s="12"/>
      <c r="P103" s="10">
        <f>PARAM!$C$53^-A103</f>
        <v>1</v>
      </c>
      <c r="Q103" s="10">
        <f t="shared" si="35"/>
        <v>0.99482012889764315</v>
      </c>
      <c r="R103" s="10">
        <f t="shared" si="32"/>
        <v>0.99482012889764315</v>
      </c>
      <c r="S103" s="10">
        <f>CHOOSE(PARAM!$B$51,R103,0,0,0)*(A103&lt;PARAM!$B$55)</f>
        <v>0.99482012889764315</v>
      </c>
      <c r="T103" s="10">
        <f t="shared" si="25"/>
        <v>6.8834581996801703E-5</v>
      </c>
      <c r="U103" s="10">
        <f>T103*P103*(A103&lt;PARAM!$B$55)</f>
        <v>6.8834581996801703E-5</v>
      </c>
      <c r="W103">
        <v>100</v>
      </c>
      <c r="X103" s="178">
        <f t="shared" si="36"/>
        <v>39</v>
      </c>
      <c r="Y103" s="178">
        <f t="shared" si="36"/>
        <v>39</v>
      </c>
      <c r="Z103" s="178">
        <f t="shared" si="36"/>
        <v>8</v>
      </c>
      <c r="AA103" s="178">
        <f t="shared" si="36"/>
        <v>8</v>
      </c>
      <c r="AD103" s="17">
        <f>CALC!E127*(A103&lt;PARAM!$B$55)</f>
        <v>8.4583333333333339</v>
      </c>
      <c r="AE103">
        <f>IF(A103&lt;ITER!$C$16,1,PARAM!$C$53^-(RATES!A103-ITER!$C$16))*(A103&lt;PARAM!$B$55)</f>
        <v>1</v>
      </c>
    </row>
    <row r="104" spans="1:31" x14ac:dyDescent="0.2">
      <c r="A104" s="9">
        <v>101</v>
      </c>
      <c r="B104" s="178">
        <f t="shared" si="33"/>
        <v>39</v>
      </c>
      <c r="C104" s="178">
        <f t="shared" si="33"/>
        <v>39</v>
      </c>
      <c r="D104" s="2">
        <f>PARAM!$H$38</f>
        <v>1</v>
      </c>
      <c r="E104" s="11">
        <f>PARAM!$G$38</f>
        <v>0</v>
      </c>
      <c r="F104" s="11">
        <f>(VLOOKUP(C104,DEDN!$A$8:$O$902,$F$2)*D104+E104)/1000</f>
        <v>8.3000000000000001E-4</v>
      </c>
      <c r="G104" s="178">
        <f t="shared" si="34"/>
        <v>8</v>
      </c>
      <c r="H104" s="178">
        <f t="shared" si="34"/>
        <v>8</v>
      </c>
      <c r="I104" s="2">
        <f>PARAM!$H$39</f>
        <v>0</v>
      </c>
      <c r="J104" s="11">
        <f>PARAM!$G$39</f>
        <v>0</v>
      </c>
      <c r="K104" s="11">
        <f>(VLOOKUP(H104,DEDN!$A$8:$O$902,$K$2)*I104+J104)/1000</f>
        <v>0</v>
      </c>
      <c r="L104" s="11">
        <f>MIN(IF(PARAM!$B$43=3,CHOOSE($L$2,F104,K104),F104+K104-F104*K104),1)</f>
        <v>8.3000000000000001E-4</v>
      </c>
      <c r="M104" s="2">
        <f>PARAM!$I$38</f>
        <v>0</v>
      </c>
      <c r="N104" s="11">
        <f>VLOOKUP(B104,DEDN!$A$8:$O$90,$N$2)*M104</f>
        <v>0</v>
      </c>
      <c r="O104" s="12"/>
      <c r="P104" s="10">
        <f>PARAM!$C$53^-A104</f>
        <v>1</v>
      </c>
      <c r="Q104" s="10">
        <f t="shared" si="35"/>
        <v>0.99475129431564635</v>
      </c>
      <c r="R104" s="10">
        <f t="shared" si="32"/>
        <v>0.99475129431564635</v>
      </c>
      <c r="S104" s="10">
        <f>CHOOSE(PARAM!$B$51,R104,0,0,0)*(A104&lt;PARAM!$B$55)</f>
        <v>0.99475129431564635</v>
      </c>
      <c r="T104" s="10">
        <f t="shared" si="25"/>
        <v>6.8829819126148273E-5</v>
      </c>
      <c r="U104" s="10">
        <f>T104*P104*(A104&lt;PARAM!$B$55)</f>
        <v>6.8829819126148273E-5</v>
      </c>
      <c r="W104">
        <v>101</v>
      </c>
      <c r="X104" s="178">
        <f t="shared" si="36"/>
        <v>39</v>
      </c>
      <c r="Y104" s="178">
        <f t="shared" si="36"/>
        <v>39</v>
      </c>
      <c r="Z104" s="178">
        <f t="shared" si="36"/>
        <v>8</v>
      </c>
      <c r="AA104" s="178">
        <f t="shared" si="36"/>
        <v>8</v>
      </c>
      <c r="AD104" s="17">
        <f>CALC!E128*(A104&lt;PARAM!$B$55)</f>
        <v>8.4583333333333339</v>
      </c>
      <c r="AE104">
        <f>IF(A104&lt;ITER!$C$16,1,PARAM!$C$53^-(RATES!A104-ITER!$C$16))*(A104&lt;PARAM!$B$55)</f>
        <v>1</v>
      </c>
    </row>
    <row r="105" spans="1:31" x14ac:dyDescent="0.2">
      <c r="A105" s="9">
        <v>102</v>
      </c>
      <c r="B105" s="178">
        <f t="shared" si="33"/>
        <v>40</v>
      </c>
      <c r="C105" s="178">
        <f t="shared" si="33"/>
        <v>40</v>
      </c>
      <c r="D105" s="2">
        <f>PARAM!$H$38</f>
        <v>1</v>
      </c>
      <c r="E105" s="11">
        <f>PARAM!$G$38</f>
        <v>0</v>
      </c>
      <c r="F105" s="11">
        <f>(VLOOKUP(C105,DEDN!$A$8:$O$902,$F$2)*D105+E105)/1000</f>
        <v>9.3000000000000005E-4</v>
      </c>
      <c r="G105" s="178">
        <f t="shared" si="34"/>
        <v>9</v>
      </c>
      <c r="H105" s="178">
        <f t="shared" si="34"/>
        <v>9</v>
      </c>
      <c r="I105" s="2">
        <f>PARAM!$H$39</f>
        <v>0</v>
      </c>
      <c r="J105" s="11">
        <f>PARAM!$G$39</f>
        <v>0</v>
      </c>
      <c r="K105" s="11">
        <f>(VLOOKUP(H105,DEDN!$A$8:$O$902,$K$2)*I105+J105)/1000</f>
        <v>0</v>
      </c>
      <c r="L105" s="11">
        <f>MIN(IF(PARAM!$B$43=3,CHOOSE($L$2,F105,K105),F105+K105-F105*K105),1)</f>
        <v>9.3000000000000005E-4</v>
      </c>
      <c r="M105" s="2">
        <f>PARAM!$I$38</f>
        <v>0</v>
      </c>
      <c r="N105" s="11">
        <f>VLOOKUP(B105,DEDN!$A$8:$O$90,$N$2)*M105</f>
        <v>0</v>
      </c>
      <c r="O105" s="12"/>
      <c r="P105" s="10">
        <f>PARAM!$C$53^-A105</f>
        <v>1</v>
      </c>
      <c r="Q105" s="10">
        <f t="shared" si="35"/>
        <v>0.9946824644965202</v>
      </c>
      <c r="R105" s="10">
        <f t="shared" si="32"/>
        <v>0.9946824644965202</v>
      </c>
      <c r="S105" s="10">
        <f>CHOOSE(PARAM!$B$51,R105,R105,R105,0)*(A105&lt;PARAM!$B$55)</f>
        <v>0.9946824644965202</v>
      </c>
      <c r="T105" s="10">
        <f t="shared" si="25"/>
        <v>7.7120769248817389E-5</v>
      </c>
      <c r="U105" s="10">
        <f>T105*P105*(A105&lt;PARAM!$B$55)</f>
        <v>7.7120769248817389E-5</v>
      </c>
      <c r="W105">
        <v>102</v>
      </c>
      <c r="X105" s="178">
        <f t="shared" si="36"/>
        <v>40</v>
      </c>
      <c r="Y105" s="178">
        <f t="shared" si="36"/>
        <v>40</v>
      </c>
      <c r="Z105" s="178">
        <f t="shared" si="36"/>
        <v>9</v>
      </c>
      <c r="AA105" s="178">
        <f t="shared" si="36"/>
        <v>9</v>
      </c>
      <c r="AD105" s="17">
        <f>CALC!E129*(A105&lt;PARAM!$B$55)</f>
        <v>8.875</v>
      </c>
      <c r="AE105">
        <f>IF(A105&lt;ITER!$C$16,1,PARAM!$C$53^-(RATES!A105-ITER!$C$16))*(A105&lt;PARAM!$B$55)</f>
        <v>1</v>
      </c>
    </row>
    <row r="106" spans="1:31" x14ac:dyDescent="0.2">
      <c r="A106" s="9">
        <v>103</v>
      </c>
      <c r="B106" s="178">
        <f t="shared" si="33"/>
        <v>40</v>
      </c>
      <c r="C106" s="178">
        <f t="shared" si="33"/>
        <v>40</v>
      </c>
      <c r="D106" s="2">
        <f>PARAM!$H$38</f>
        <v>1</v>
      </c>
      <c r="E106" s="11">
        <f>PARAM!$G$38</f>
        <v>0</v>
      </c>
      <c r="F106" s="11">
        <f>(VLOOKUP(C106,DEDN!$A$8:$O$902,$F$2)*D106+E106)/1000</f>
        <v>9.3000000000000005E-4</v>
      </c>
      <c r="G106" s="178">
        <f t="shared" si="34"/>
        <v>9</v>
      </c>
      <c r="H106" s="178">
        <f t="shared" si="34"/>
        <v>9</v>
      </c>
      <c r="I106" s="2">
        <f>PARAM!$H$39</f>
        <v>0</v>
      </c>
      <c r="J106" s="11">
        <f>PARAM!$G$39</f>
        <v>0</v>
      </c>
      <c r="K106" s="11">
        <f>(VLOOKUP(H106,DEDN!$A$8:$O$902,$K$2)*I106+J106)/1000</f>
        <v>0</v>
      </c>
      <c r="L106" s="11">
        <f>MIN(IF(PARAM!$B$43=3,CHOOSE($L$2,F106,K106),F106+K106-F106*K106),1)</f>
        <v>9.3000000000000005E-4</v>
      </c>
      <c r="M106" s="2">
        <f>PARAM!$I$38</f>
        <v>0</v>
      </c>
      <c r="N106" s="11">
        <f>VLOOKUP(B106,DEDN!$A$8:$O$90,$N$2)*M106</f>
        <v>0</v>
      </c>
      <c r="O106" s="12"/>
      <c r="P106" s="10">
        <f>PARAM!$C$53^-A106</f>
        <v>1</v>
      </c>
      <c r="Q106" s="10">
        <f t="shared" si="35"/>
        <v>0.99460534372727138</v>
      </c>
      <c r="R106" s="10">
        <f t="shared" si="32"/>
        <v>0.99460534372727138</v>
      </c>
      <c r="S106" s="10">
        <f>CHOOSE(PARAM!$B$51,R106,0,0,0)*(A106&lt;PARAM!$B$55)</f>
        <v>0.99460534372727138</v>
      </c>
      <c r="T106" s="10">
        <f t="shared" si="25"/>
        <v>7.7114789840071474E-5</v>
      </c>
      <c r="U106" s="10">
        <f>T106*P106*(A106&lt;PARAM!$B$55)</f>
        <v>7.7114789840071474E-5</v>
      </c>
      <c r="W106">
        <v>103</v>
      </c>
      <c r="X106" s="178">
        <f t="shared" si="36"/>
        <v>40</v>
      </c>
      <c r="Y106" s="178">
        <f t="shared" si="36"/>
        <v>40</v>
      </c>
      <c r="Z106" s="178">
        <f t="shared" si="36"/>
        <v>9</v>
      </c>
      <c r="AA106" s="178">
        <f t="shared" si="36"/>
        <v>9</v>
      </c>
      <c r="AD106" s="17">
        <f>CALC!E130*(A106&lt;PARAM!$B$55)</f>
        <v>8.875</v>
      </c>
      <c r="AE106">
        <f>IF(A106&lt;ITER!$C$16,1,PARAM!$C$53^-(RATES!A106-ITER!$C$16))*(A106&lt;PARAM!$B$55)</f>
        <v>1</v>
      </c>
    </row>
    <row r="107" spans="1:31" x14ac:dyDescent="0.2">
      <c r="A107" s="9">
        <v>104</v>
      </c>
      <c r="B107" s="178">
        <f t="shared" si="33"/>
        <v>40</v>
      </c>
      <c r="C107" s="178">
        <f t="shared" si="33"/>
        <v>40</v>
      </c>
      <c r="D107" s="2">
        <f>PARAM!$H$38</f>
        <v>1</v>
      </c>
      <c r="E107" s="11">
        <f>PARAM!$G$38</f>
        <v>0</v>
      </c>
      <c r="F107" s="11">
        <f>(VLOOKUP(C107,DEDN!$A$8:$O$902,$F$2)*D107+E107)/1000</f>
        <v>9.3000000000000005E-4</v>
      </c>
      <c r="G107" s="178">
        <f t="shared" si="34"/>
        <v>9</v>
      </c>
      <c r="H107" s="178">
        <f t="shared" si="34"/>
        <v>9</v>
      </c>
      <c r="I107" s="2">
        <f>PARAM!$H$39</f>
        <v>0</v>
      </c>
      <c r="J107" s="11">
        <f>PARAM!$G$39</f>
        <v>0</v>
      </c>
      <c r="K107" s="11">
        <f>(VLOOKUP(H107,DEDN!$A$8:$O$902,$K$2)*I107+J107)/1000</f>
        <v>0</v>
      </c>
      <c r="L107" s="11">
        <f>MIN(IF(PARAM!$B$43=3,CHOOSE($L$2,F107,K107),F107+K107-F107*K107),1)</f>
        <v>9.3000000000000005E-4</v>
      </c>
      <c r="M107" s="2">
        <f>PARAM!$I$38</f>
        <v>0</v>
      </c>
      <c r="N107" s="11">
        <f>VLOOKUP(B107,DEDN!$A$8:$O$90,$N$2)*M107</f>
        <v>0</v>
      </c>
      <c r="O107" s="12"/>
      <c r="P107" s="10">
        <f>PARAM!$C$53^-A107</f>
        <v>1</v>
      </c>
      <c r="Q107" s="10">
        <f t="shared" si="35"/>
        <v>0.99452822893743131</v>
      </c>
      <c r="R107" s="10">
        <f t="shared" si="32"/>
        <v>0.99452822893743131</v>
      </c>
      <c r="S107" s="10">
        <f>CHOOSE(PARAM!$B$51,R107,0,0,0)*(A107&lt;PARAM!$B$55)</f>
        <v>0.99452822893743131</v>
      </c>
      <c r="T107" s="10">
        <f t="shared" si="25"/>
        <v>7.7108810894843671E-5</v>
      </c>
      <c r="U107" s="10">
        <f>T107*P107*(A107&lt;PARAM!$B$55)</f>
        <v>7.7108810894843671E-5</v>
      </c>
      <c r="W107">
        <v>104</v>
      </c>
      <c r="X107" s="178">
        <f t="shared" si="36"/>
        <v>40</v>
      </c>
      <c r="Y107" s="178">
        <f t="shared" si="36"/>
        <v>40</v>
      </c>
      <c r="Z107" s="178">
        <f t="shared" si="36"/>
        <v>9</v>
      </c>
      <c r="AA107" s="178">
        <f t="shared" si="36"/>
        <v>9</v>
      </c>
      <c r="AD107" s="17">
        <f>CALC!E131*(A107&lt;PARAM!$B$55)</f>
        <v>8.875</v>
      </c>
      <c r="AE107">
        <f>IF(A107&lt;ITER!$C$16,1,PARAM!$C$53^-(RATES!A107-ITER!$C$16))*(A107&lt;PARAM!$B$55)</f>
        <v>1</v>
      </c>
    </row>
    <row r="108" spans="1:31" x14ac:dyDescent="0.2">
      <c r="A108" s="9">
        <v>105</v>
      </c>
      <c r="B108" s="178">
        <f t="shared" si="33"/>
        <v>40</v>
      </c>
      <c r="C108" s="178">
        <f t="shared" si="33"/>
        <v>40</v>
      </c>
      <c r="D108" s="2">
        <f>PARAM!$H$38</f>
        <v>1</v>
      </c>
      <c r="E108" s="11">
        <f>PARAM!$G$38</f>
        <v>0</v>
      </c>
      <c r="F108" s="11">
        <f>(VLOOKUP(C108,DEDN!$A$8:$O$902,$F$2)*D108+E108)/1000</f>
        <v>9.3000000000000005E-4</v>
      </c>
      <c r="G108" s="178">
        <f t="shared" si="34"/>
        <v>9</v>
      </c>
      <c r="H108" s="178">
        <f t="shared" si="34"/>
        <v>9</v>
      </c>
      <c r="I108" s="2">
        <f>PARAM!$H$39</f>
        <v>0</v>
      </c>
      <c r="J108" s="11">
        <f>PARAM!$G$39</f>
        <v>0</v>
      </c>
      <c r="K108" s="11">
        <f>(VLOOKUP(H108,DEDN!$A$8:$O$902,$K$2)*I108+J108)/1000</f>
        <v>0</v>
      </c>
      <c r="L108" s="11">
        <f>MIN(IF(PARAM!$B$43=3,CHOOSE($L$2,F108,K108),F108+K108-F108*K108),1)</f>
        <v>9.3000000000000005E-4</v>
      </c>
      <c r="M108" s="2">
        <f>PARAM!$I$38</f>
        <v>0</v>
      </c>
      <c r="N108" s="11">
        <f>VLOOKUP(B108,DEDN!$A$8:$O$90,$N$2)*M108</f>
        <v>0</v>
      </c>
      <c r="O108" s="12"/>
      <c r="P108" s="10">
        <f>PARAM!$C$53^-A108</f>
        <v>1</v>
      </c>
      <c r="Q108" s="10">
        <f t="shared" si="35"/>
        <v>0.99445112012653647</v>
      </c>
      <c r="R108" s="10">
        <f t="shared" si="32"/>
        <v>0.99445112012653647</v>
      </c>
      <c r="S108" s="10">
        <f>CHOOSE(PARAM!$B$51,R108,R108,0,0)*(A108&lt;PARAM!$B$55)</f>
        <v>0.99445112012653647</v>
      </c>
      <c r="T108" s="10">
        <f t="shared" si="25"/>
        <v>7.7102832413245004E-5</v>
      </c>
      <c r="U108" s="10">
        <f>T108*P108*(A108&lt;PARAM!$B$55)</f>
        <v>7.7102832413245004E-5</v>
      </c>
      <c r="W108">
        <v>105</v>
      </c>
      <c r="X108" s="178">
        <f t="shared" si="36"/>
        <v>40</v>
      </c>
      <c r="Y108" s="178">
        <f t="shared" si="36"/>
        <v>40</v>
      </c>
      <c r="Z108" s="178">
        <f t="shared" si="36"/>
        <v>9</v>
      </c>
      <c r="AA108" s="178">
        <f t="shared" si="36"/>
        <v>9</v>
      </c>
      <c r="AD108" s="17">
        <f>CALC!E132*(A108&lt;PARAM!$B$55)</f>
        <v>8.875</v>
      </c>
      <c r="AE108">
        <f>IF(A108&lt;ITER!$C$16,1,PARAM!$C$53^-(RATES!A108-ITER!$C$16))*(A108&lt;PARAM!$B$55)</f>
        <v>1</v>
      </c>
    </row>
    <row r="109" spans="1:31" x14ac:dyDescent="0.2">
      <c r="A109" s="9">
        <v>106</v>
      </c>
      <c r="B109" s="178">
        <f t="shared" si="33"/>
        <v>40</v>
      </c>
      <c r="C109" s="178">
        <f t="shared" si="33"/>
        <v>40</v>
      </c>
      <c r="D109" s="2">
        <f>PARAM!$H$38</f>
        <v>1</v>
      </c>
      <c r="E109" s="11">
        <f>PARAM!$G$38</f>
        <v>0</v>
      </c>
      <c r="F109" s="11">
        <f>(VLOOKUP(C109,DEDN!$A$8:$O$902,$F$2)*D109+E109)/1000</f>
        <v>9.3000000000000005E-4</v>
      </c>
      <c r="G109" s="178">
        <f t="shared" si="34"/>
        <v>9</v>
      </c>
      <c r="H109" s="178">
        <f t="shared" si="34"/>
        <v>9</v>
      </c>
      <c r="I109" s="2">
        <f>PARAM!$H$39</f>
        <v>0</v>
      </c>
      <c r="J109" s="11">
        <f>PARAM!$G$39</f>
        <v>0</v>
      </c>
      <c r="K109" s="11">
        <f>(VLOOKUP(H109,DEDN!$A$8:$O$902,$K$2)*I109+J109)/1000</f>
        <v>0</v>
      </c>
      <c r="L109" s="11">
        <f>MIN(IF(PARAM!$B$43=3,CHOOSE($L$2,F109,K109),F109+K109-F109*K109),1)</f>
        <v>9.3000000000000005E-4</v>
      </c>
      <c r="M109" s="2">
        <f>PARAM!$I$38</f>
        <v>0</v>
      </c>
      <c r="N109" s="11">
        <f>VLOOKUP(B109,DEDN!$A$8:$O$90,$N$2)*M109</f>
        <v>0</v>
      </c>
      <c r="O109" s="12"/>
      <c r="P109" s="10">
        <f>PARAM!$C$53^-A109</f>
        <v>1</v>
      </c>
      <c r="Q109" s="10">
        <f t="shared" si="35"/>
        <v>0.99437401729412322</v>
      </c>
      <c r="R109" s="10">
        <f t="shared" si="32"/>
        <v>0.99437401729412322</v>
      </c>
      <c r="S109" s="10">
        <f>CHOOSE(PARAM!$B$51,R109,0,0,0)*(A109&lt;PARAM!$B$55)</f>
        <v>0.99437401729412322</v>
      </c>
      <c r="T109" s="10">
        <f t="shared" si="25"/>
        <v>7.7096854395275471E-5</v>
      </c>
      <c r="U109" s="10">
        <f>T109*P109*(A109&lt;PARAM!$B$55)</f>
        <v>7.7096854395275471E-5</v>
      </c>
      <c r="W109">
        <v>106</v>
      </c>
      <c r="X109" s="178">
        <f t="shared" si="36"/>
        <v>40</v>
      </c>
      <c r="Y109" s="178">
        <f t="shared" si="36"/>
        <v>40</v>
      </c>
      <c r="Z109" s="178">
        <f t="shared" si="36"/>
        <v>9</v>
      </c>
      <c r="AA109" s="178">
        <f t="shared" si="36"/>
        <v>9</v>
      </c>
      <c r="AD109" s="17">
        <f>CALC!E133*(A109&lt;PARAM!$B$55)</f>
        <v>8.875</v>
      </c>
      <c r="AE109">
        <f>IF(A109&lt;ITER!$C$16,1,PARAM!$C$53^-(RATES!A109-ITER!$C$16))*(A109&lt;PARAM!$B$55)</f>
        <v>1</v>
      </c>
    </row>
    <row r="110" spans="1:31" x14ac:dyDescent="0.2">
      <c r="A110" s="9">
        <v>107</v>
      </c>
      <c r="B110" s="178">
        <f t="shared" si="33"/>
        <v>40</v>
      </c>
      <c r="C110" s="178">
        <f t="shared" si="33"/>
        <v>40</v>
      </c>
      <c r="D110" s="2">
        <f>PARAM!$H$38</f>
        <v>1</v>
      </c>
      <c r="E110" s="11">
        <f>PARAM!$G$38</f>
        <v>0</v>
      </c>
      <c r="F110" s="11">
        <f>(VLOOKUP(C110,DEDN!$A$8:$O$902,$F$2)*D110+E110)/1000</f>
        <v>9.3000000000000005E-4</v>
      </c>
      <c r="G110" s="178">
        <f t="shared" si="34"/>
        <v>9</v>
      </c>
      <c r="H110" s="178">
        <f t="shared" si="34"/>
        <v>9</v>
      </c>
      <c r="I110" s="2">
        <f>PARAM!$H$39</f>
        <v>0</v>
      </c>
      <c r="J110" s="11">
        <f>PARAM!$G$39</f>
        <v>0</v>
      </c>
      <c r="K110" s="11">
        <f>(VLOOKUP(H110,DEDN!$A$8:$O$902,$K$2)*I110+J110)/1000</f>
        <v>0</v>
      </c>
      <c r="L110" s="11">
        <f>MIN(IF(PARAM!$B$43=3,CHOOSE($L$2,F110,K110),F110+K110-F110*K110),1)</f>
        <v>9.3000000000000005E-4</v>
      </c>
      <c r="M110" s="2">
        <f>PARAM!$I$38</f>
        <v>0</v>
      </c>
      <c r="N110" s="11">
        <f>VLOOKUP(B110,DEDN!$A$8:$O$90,$N$2)*M110</f>
        <v>0</v>
      </c>
      <c r="O110" s="12"/>
      <c r="P110" s="10">
        <f>PARAM!$C$53^-A110</f>
        <v>1</v>
      </c>
      <c r="Q110" s="10">
        <f t="shared" si="35"/>
        <v>0.99429692043972795</v>
      </c>
      <c r="R110" s="10">
        <f t="shared" si="32"/>
        <v>0.99429692043972795</v>
      </c>
      <c r="S110" s="10">
        <f>CHOOSE(PARAM!$B$51,R110,0,0,0)*(A110&lt;PARAM!$B$55)</f>
        <v>0.99429692043972795</v>
      </c>
      <c r="T110" s="10">
        <f t="shared" si="25"/>
        <v>7.7090876840602007E-5</v>
      </c>
      <c r="U110" s="10">
        <f>T110*P110*(A110&lt;PARAM!$B$55)</f>
        <v>7.7090876840602007E-5</v>
      </c>
      <c r="W110">
        <v>107</v>
      </c>
      <c r="X110" s="178">
        <f t="shared" si="36"/>
        <v>40</v>
      </c>
      <c r="Y110" s="178">
        <f t="shared" si="36"/>
        <v>40</v>
      </c>
      <c r="Z110" s="178">
        <f t="shared" si="36"/>
        <v>9</v>
      </c>
      <c r="AA110" s="178">
        <f t="shared" si="36"/>
        <v>9</v>
      </c>
      <c r="AD110" s="17">
        <f>CALC!E134*(A110&lt;PARAM!$B$55)</f>
        <v>8.875</v>
      </c>
      <c r="AE110">
        <f>IF(A110&lt;ITER!$C$16,1,PARAM!$C$53^-(RATES!A110-ITER!$C$16))*(A110&lt;PARAM!$B$55)</f>
        <v>1</v>
      </c>
    </row>
    <row r="111" spans="1:31" x14ac:dyDescent="0.2">
      <c r="A111" s="9">
        <v>108</v>
      </c>
      <c r="B111" s="178">
        <f t="shared" si="33"/>
        <v>40</v>
      </c>
      <c r="C111" s="178">
        <f t="shared" si="33"/>
        <v>40</v>
      </c>
      <c r="D111" s="2">
        <f>PARAM!$H$38</f>
        <v>1</v>
      </c>
      <c r="E111" s="11">
        <f>PARAM!$G$38</f>
        <v>0</v>
      </c>
      <c r="F111" s="11">
        <f>(VLOOKUP(C111,DEDN!$A$8:$O$902,$F$2)*D111+E111)/1000</f>
        <v>9.3000000000000005E-4</v>
      </c>
      <c r="G111" s="178">
        <f t="shared" si="34"/>
        <v>9</v>
      </c>
      <c r="H111" s="178">
        <f t="shared" si="34"/>
        <v>9</v>
      </c>
      <c r="I111" s="2">
        <f>PARAM!$H$39</f>
        <v>0</v>
      </c>
      <c r="J111" s="11">
        <f>PARAM!$G$39</f>
        <v>0</v>
      </c>
      <c r="K111" s="11">
        <f>(VLOOKUP(H111,DEDN!$A$8:$O$902,$K$2)*I111+J111)/1000</f>
        <v>0</v>
      </c>
      <c r="L111" s="11">
        <f>MIN(IF(PARAM!$B$43=3,CHOOSE($L$2,F111,K111),F111+K111-F111*K111),1)</f>
        <v>9.3000000000000005E-4</v>
      </c>
      <c r="M111" s="2">
        <f>PARAM!$I$38</f>
        <v>0</v>
      </c>
      <c r="N111" s="11">
        <f>VLOOKUP(B111,DEDN!$A$8:$O$90,$N$2)*M111</f>
        <v>0</v>
      </c>
      <c r="O111" s="12"/>
      <c r="P111" s="10">
        <f>PARAM!$C$53^-A111</f>
        <v>1</v>
      </c>
      <c r="Q111" s="10">
        <f t="shared" si="35"/>
        <v>0.99421982956288735</v>
      </c>
      <c r="R111" s="10">
        <f t="shared" si="32"/>
        <v>0.99421982956288735</v>
      </c>
      <c r="S111" s="10">
        <f>R111*(A111&lt;PARAM!$B$55)</f>
        <v>0.99421982956288735</v>
      </c>
      <c r="T111" s="10">
        <f t="shared" si="25"/>
        <v>7.7084899749557678E-5</v>
      </c>
      <c r="U111" s="10">
        <f>T111*P111*(A111&lt;PARAM!$B$55)</f>
        <v>7.7084899749557678E-5</v>
      </c>
      <c r="W111">
        <v>108</v>
      </c>
      <c r="X111" s="178">
        <f t="shared" si="36"/>
        <v>40</v>
      </c>
      <c r="Y111" s="178">
        <f t="shared" si="36"/>
        <v>40</v>
      </c>
      <c r="Z111" s="178">
        <f t="shared" si="36"/>
        <v>9</v>
      </c>
      <c r="AA111" s="178">
        <f t="shared" si="36"/>
        <v>9</v>
      </c>
      <c r="AD111" s="17">
        <f>CALC!E135*(A111&lt;PARAM!$B$55)</f>
        <v>8.875</v>
      </c>
      <c r="AE111">
        <f>IF(A111&lt;ITER!$C$16,1,PARAM!$C$53^-(RATES!A111-ITER!$C$16))*(A111&lt;PARAM!$B$55)</f>
        <v>1</v>
      </c>
    </row>
    <row r="112" spans="1:31" x14ac:dyDescent="0.2">
      <c r="A112" s="9">
        <v>109</v>
      </c>
      <c r="B112" s="178">
        <f t="shared" si="33"/>
        <v>40</v>
      </c>
      <c r="C112" s="178">
        <f t="shared" si="33"/>
        <v>40</v>
      </c>
      <c r="D112" s="2">
        <f>PARAM!$H$38</f>
        <v>1</v>
      </c>
      <c r="E112" s="11">
        <f>PARAM!$G$38</f>
        <v>0</v>
      </c>
      <c r="F112" s="11">
        <f>(VLOOKUP(C112,DEDN!$A$8:$O$902,$F$2)*D112+E112)/1000</f>
        <v>9.3000000000000005E-4</v>
      </c>
      <c r="G112" s="178">
        <f t="shared" si="34"/>
        <v>9</v>
      </c>
      <c r="H112" s="178">
        <f t="shared" si="34"/>
        <v>9</v>
      </c>
      <c r="I112" s="2">
        <f>PARAM!$H$39</f>
        <v>0</v>
      </c>
      <c r="J112" s="11">
        <f>PARAM!$G$39</f>
        <v>0</v>
      </c>
      <c r="K112" s="11">
        <f>(VLOOKUP(H112,DEDN!$A$8:$O$902,$K$2)*I112+J112)/1000</f>
        <v>0</v>
      </c>
      <c r="L112" s="11">
        <f>MIN(IF(PARAM!$B$43=3,CHOOSE($L$2,F112,K112),F112+K112-F112*K112),1)</f>
        <v>9.3000000000000005E-4</v>
      </c>
      <c r="M112" s="2">
        <f>PARAM!$I$38</f>
        <v>0</v>
      </c>
      <c r="N112" s="11">
        <f>VLOOKUP(B112,DEDN!$A$8:$O$90,$N$2)*M112</f>
        <v>0</v>
      </c>
      <c r="O112" s="12"/>
      <c r="P112" s="10">
        <f>PARAM!$C$53^-A112</f>
        <v>1</v>
      </c>
      <c r="Q112" s="10">
        <f t="shared" si="35"/>
        <v>0.99414274466313779</v>
      </c>
      <c r="R112" s="10">
        <f t="shared" si="32"/>
        <v>0.99414274466313779</v>
      </c>
      <c r="S112" s="10">
        <f>CHOOSE(PARAM!$B$51,R112,0,0,0)*(A112&lt;PARAM!$B$55)</f>
        <v>0.99414274466313779</v>
      </c>
      <c r="T112" s="10">
        <f t="shared" si="25"/>
        <v>7.7078923121809417E-5</v>
      </c>
      <c r="U112" s="10">
        <f>T112*P112*(A112&lt;PARAM!$B$55)</f>
        <v>7.7078923121809417E-5</v>
      </c>
      <c r="W112">
        <v>109</v>
      </c>
      <c r="X112" s="178">
        <f t="shared" si="36"/>
        <v>40</v>
      </c>
      <c r="Y112" s="178">
        <f t="shared" si="36"/>
        <v>40</v>
      </c>
      <c r="Z112" s="178">
        <f t="shared" si="36"/>
        <v>9</v>
      </c>
      <c r="AA112" s="178">
        <f t="shared" si="36"/>
        <v>9</v>
      </c>
      <c r="AD112" s="17">
        <f>CALC!E136*(A112&lt;PARAM!$B$55)</f>
        <v>8.875</v>
      </c>
      <c r="AE112">
        <f>IF(A112&lt;ITER!$C$16,1,PARAM!$C$53^-(RATES!A112-ITER!$C$16))*(A112&lt;PARAM!$B$55)</f>
        <v>1</v>
      </c>
    </row>
    <row r="113" spans="1:31" x14ac:dyDescent="0.2">
      <c r="A113" s="9">
        <v>110</v>
      </c>
      <c r="B113" s="178">
        <f t="shared" si="33"/>
        <v>40</v>
      </c>
      <c r="C113" s="178">
        <f t="shared" si="33"/>
        <v>40</v>
      </c>
      <c r="D113" s="2">
        <f>PARAM!$H$38</f>
        <v>1</v>
      </c>
      <c r="E113" s="11">
        <f>PARAM!$G$38</f>
        <v>0</v>
      </c>
      <c r="F113" s="11">
        <f>(VLOOKUP(C113,DEDN!$A$8:$O$902,$F$2)*D113+E113)/1000</f>
        <v>9.3000000000000005E-4</v>
      </c>
      <c r="G113" s="178">
        <f t="shared" si="34"/>
        <v>9</v>
      </c>
      <c r="H113" s="178">
        <f t="shared" si="34"/>
        <v>9</v>
      </c>
      <c r="I113" s="2">
        <f>PARAM!$H$39</f>
        <v>0</v>
      </c>
      <c r="J113" s="11">
        <f>PARAM!$G$39</f>
        <v>0</v>
      </c>
      <c r="K113" s="11">
        <f>(VLOOKUP(H113,DEDN!$A$8:$O$902,$K$2)*I113+J113)/1000</f>
        <v>0</v>
      </c>
      <c r="L113" s="11">
        <f>MIN(IF(PARAM!$B$43=3,CHOOSE($L$2,F113,K113),F113+K113-F113*K113),1)</f>
        <v>9.3000000000000005E-4</v>
      </c>
      <c r="M113" s="2">
        <f>PARAM!$I$38</f>
        <v>0</v>
      </c>
      <c r="N113" s="11">
        <f>VLOOKUP(B113,DEDN!$A$8:$O$90,$N$2)*M113</f>
        <v>0</v>
      </c>
      <c r="O113" s="12"/>
      <c r="P113" s="10">
        <f>PARAM!$C$53^-A113</f>
        <v>1</v>
      </c>
      <c r="Q113" s="10">
        <f t="shared" si="35"/>
        <v>0.99406566574001598</v>
      </c>
      <c r="R113" s="10">
        <f t="shared" si="32"/>
        <v>0.99406566574001598</v>
      </c>
      <c r="S113" s="10">
        <f>CHOOSE(PARAM!$B$51,R113,0,0,0)*(A113&lt;PARAM!$B$55)</f>
        <v>0.99406566574001598</v>
      </c>
      <c r="T113" s="10">
        <f t="shared" si="25"/>
        <v>7.7072946957579269E-5</v>
      </c>
      <c r="U113" s="10">
        <f>T113*P113*(A113&lt;PARAM!$B$55)</f>
        <v>7.7072946957579269E-5</v>
      </c>
      <c r="W113">
        <v>110</v>
      </c>
      <c r="X113" s="178">
        <f t="shared" si="36"/>
        <v>40</v>
      </c>
      <c r="Y113" s="178">
        <f t="shared" si="36"/>
        <v>40</v>
      </c>
      <c r="Z113" s="178">
        <f t="shared" si="36"/>
        <v>9</v>
      </c>
      <c r="AA113" s="178">
        <f t="shared" si="36"/>
        <v>9</v>
      </c>
      <c r="AD113" s="17">
        <f>CALC!E137*(A113&lt;PARAM!$B$55)</f>
        <v>8.875</v>
      </c>
      <c r="AE113">
        <f>IF(A113&lt;ITER!$C$16,1,PARAM!$C$53^-(RATES!A113-ITER!$C$16))*(A113&lt;PARAM!$B$55)</f>
        <v>1</v>
      </c>
    </row>
    <row r="114" spans="1:31" x14ac:dyDescent="0.2">
      <c r="A114" s="9">
        <v>111</v>
      </c>
      <c r="B114" s="178">
        <f t="shared" si="33"/>
        <v>40</v>
      </c>
      <c r="C114" s="178">
        <f t="shared" si="33"/>
        <v>40</v>
      </c>
      <c r="D114" s="2">
        <f>PARAM!$H$38</f>
        <v>1</v>
      </c>
      <c r="E114" s="11">
        <f>PARAM!$G$38</f>
        <v>0</v>
      </c>
      <c r="F114" s="11">
        <f>(VLOOKUP(C114,DEDN!$A$8:$O$902,$F$2)*D114+E114)/1000</f>
        <v>9.3000000000000005E-4</v>
      </c>
      <c r="G114" s="178">
        <f t="shared" si="34"/>
        <v>9</v>
      </c>
      <c r="H114" s="178">
        <f t="shared" si="34"/>
        <v>9</v>
      </c>
      <c r="I114" s="2">
        <f>PARAM!$H$39</f>
        <v>0</v>
      </c>
      <c r="J114" s="11">
        <f>PARAM!$G$39</f>
        <v>0</v>
      </c>
      <c r="K114" s="11">
        <f>(VLOOKUP(H114,DEDN!$A$8:$O$902,$K$2)*I114+J114)/1000</f>
        <v>0</v>
      </c>
      <c r="L114" s="11">
        <f>MIN(IF(PARAM!$B$43=3,CHOOSE($L$2,F114,K114),F114+K114-F114*K114),1)</f>
        <v>9.3000000000000005E-4</v>
      </c>
      <c r="M114" s="2">
        <f>PARAM!$I$38</f>
        <v>0</v>
      </c>
      <c r="N114" s="11">
        <f>VLOOKUP(B114,DEDN!$A$8:$O$90,$N$2)*M114</f>
        <v>0</v>
      </c>
      <c r="O114" s="12"/>
      <c r="P114" s="10">
        <f>PARAM!$C$53^-A114</f>
        <v>1</v>
      </c>
      <c r="Q114" s="10">
        <f t="shared" si="35"/>
        <v>0.9939885927930584</v>
      </c>
      <c r="R114" s="10">
        <f t="shared" si="32"/>
        <v>0.9939885927930584</v>
      </c>
      <c r="S114" s="10">
        <f>CHOOSE(PARAM!$B$51,R114,R114,0,0)*(A114&lt;PARAM!$B$55)</f>
        <v>0.9939885927930584</v>
      </c>
      <c r="T114" s="10">
        <f t="shared" si="25"/>
        <v>7.7066971256534167E-5</v>
      </c>
      <c r="U114" s="10">
        <f>T114*P114*(A114&lt;PARAM!$B$55)</f>
        <v>7.7066971256534167E-5</v>
      </c>
      <c r="W114">
        <v>111</v>
      </c>
      <c r="X114" s="178">
        <f t="shared" si="36"/>
        <v>40</v>
      </c>
      <c r="Y114" s="178">
        <f t="shared" si="36"/>
        <v>40</v>
      </c>
      <c r="Z114" s="178">
        <f t="shared" si="36"/>
        <v>9</v>
      </c>
      <c r="AA114" s="178">
        <f t="shared" si="36"/>
        <v>9</v>
      </c>
      <c r="AD114" s="17">
        <f>CALC!E138*(A114&lt;PARAM!$B$55)</f>
        <v>8.875</v>
      </c>
      <c r="AE114">
        <f>IF(A114&lt;ITER!$C$16,1,PARAM!$C$53^-(RATES!A114-ITER!$C$16))*(A114&lt;PARAM!$B$55)</f>
        <v>1</v>
      </c>
    </row>
    <row r="115" spans="1:31" x14ac:dyDescent="0.2">
      <c r="A115" s="9">
        <v>112</v>
      </c>
      <c r="B115" s="178">
        <f t="shared" si="33"/>
        <v>40</v>
      </c>
      <c r="C115" s="178">
        <f t="shared" si="33"/>
        <v>40</v>
      </c>
      <c r="D115" s="2">
        <f>PARAM!$H$38</f>
        <v>1</v>
      </c>
      <c r="E115" s="11">
        <f>PARAM!$G$38</f>
        <v>0</v>
      </c>
      <c r="F115" s="11">
        <f>(VLOOKUP(C115,DEDN!$A$8:$O$902,$F$2)*D115+E115)/1000</f>
        <v>9.3000000000000005E-4</v>
      </c>
      <c r="G115" s="178">
        <f t="shared" si="34"/>
        <v>9</v>
      </c>
      <c r="H115" s="178">
        <f t="shared" si="34"/>
        <v>9</v>
      </c>
      <c r="I115" s="2">
        <f>PARAM!$H$39</f>
        <v>0</v>
      </c>
      <c r="J115" s="11">
        <f>PARAM!$G$39</f>
        <v>0</v>
      </c>
      <c r="K115" s="11">
        <f>(VLOOKUP(H115,DEDN!$A$8:$O$902,$K$2)*I115+J115)/1000</f>
        <v>0</v>
      </c>
      <c r="L115" s="11">
        <f>MIN(IF(PARAM!$B$43=3,CHOOSE($L$2,F115,K115),F115+K115-F115*K115),1)</f>
        <v>9.3000000000000005E-4</v>
      </c>
      <c r="M115" s="2">
        <f>PARAM!$I$38</f>
        <v>0</v>
      </c>
      <c r="N115" s="11">
        <f>VLOOKUP(B115,DEDN!$A$8:$O$90,$N$2)*M115</f>
        <v>0</v>
      </c>
      <c r="O115" s="12"/>
      <c r="P115" s="10">
        <f>PARAM!$C$53^-A115</f>
        <v>1</v>
      </c>
      <c r="Q115" s="10">
        <f t="shared" si="35"/>
        <v>0.99391152582180187</v>
      </c>
      <c r="R115" s="10">
        <f t="shared" si="32"/>
        <v>0.99391152582180187</v>
      </c>
      <c r="S115" s="10">
        <f>CHOOSE(PARAM!$B$51,R115,0,0,0)*(A115&lt;PARAM!$B$55)</f>
        <v>0.99391152582180187</v>
      </c>
      <c r="T115" s="10">
        <f t="shared" si="25"/>
        <v>7.7060996018896155E-5</v>
      </c>
      <c r="U115" s="10">
        <f>T115*P115*(A115&lt;PARAM!$B$55)</f>
        <v>7.7060996018896155E-5</v>
      </c>
      <c r="W115">
        <v>112</v>
      </c>
      <c r="X115" s="178">
        <f t="shared" si="36"/>
        <v>40</v>
      </c>
      <c r="Y115" s="178">
        <f t="shared" si="36"/>
        <v>40</v>
      </c>
      <c r="Z115" s="178">
        <f t="shared" si="36"/>
        <v>9</v>
      </c>
      <c r="AA115" s="178">
        <f t="shared" si="36"/>
        <v>9</v>
      </c>
      <c r="AD115" s="17">
        <f>CALC!E139*(A115&lt;PARAM!$B$55)</f>
        <v>8.875</v>
      </c>
      <c r="AE115">
        <f>IF(A115&lt;ITER!$C$16,1,PARAM!$C$53^-(RATES!A115-ITER!$C$16))*(A115&lt;PARAM!$B$55)</f>
        <v>1</v>
      </c>
    </row>
    <row r="116" spans="1:31" x14ac:dyDescent="0.2">
      <c r="A116" s="9">
        <v>113</v>
      </c>
      <c r="B116" s="178">
        <f t="shared" si="33"/>
        <v>40</v>
      </c>
      <c r="C116" s="178">
        <f t="shared" si="33"/>
        <v>40</v>
      </c>
      <c r="D116" s="2">
        <f>PARAM!$H$38</f>
        <v>1</v>
      </c>
      <c r="E116" s="11">
        <f>PARAM!$G$38</f>
        <v>0</v>
      </c>
      <c r="F116" s="11">
        <f>(VLOOKUP(C116,DEDN!$A$8:$O$902,$F$2)*D116+E116)/1000</f>
        <v>9.3000000000000005E-4</v>
      </c>
      <c r="G116" s="178">
        <f t="shared" si="34"/>
        <v>9</v>
      </c>
      <c r="H116" s="178">
        <f t="shared" si="34"/>
        <v>9</v>
      </c>
      <c r="I116" s="2">
        <f>PARAM!$H$39</f>
        <v>0</v>
      </c>
      <c r="J116" s="11">
        <f>PARAM!$G$39</f>
        <v>0</v>
      </c>
      <c r="K116" s="11">
        <f>(VLOOKUP(H116,DEDN!$A$8:$O$902,$K$2)*I116+J116)/1000</f>
        <v>0</v>
      </c>
      <c r="L116" s="11">
        <f>MIN(IF(PARAM!$B$43=3,CHOOSE($L$2,F116,K116),F116+K116-F116*K116),1)</f>
        <v>9.3000000000000005E-4</v>
      </c>
      <c r="M116" s="2">
        <f>PARAM!$I$38</f>
        <v>0</v>
      </c>
      <c r="N116" s="11">
        <f>VLOOKUP(B116,DEDN!$A$8:$O$90,$N$2)*M116</f>
        <v>0</v>
      </c>
      <c r="O116" s="12"/>
      <c r="P116" s="10">
        <f>PARAM!$C$53^-A116</f>
        <v>1</v>
      </c>
      <c r="Q116" s="10">
        <f t="shared" si="35"/>
        <v>0.99383446482578297</v>
      </c>
      <c r="R116" s="10">
        <f t="shared" ref="R116:R131" si="37">P116*Q116</f>
        <v>0.99383446482578297</v>
      </c>
      <c r="S116" s="10">
        <f>CHOOSE(PARAM!$B$51,R116,0,0,0)*(A116&lt;PARAM!$B$55)</f>
        <v>0.99383446482578297</v>
      </c>
      <c r="T116" s="10">
        <f t="shared" si="25"/>
        <v>7.7055021244554212E-5</v>
      </c>
      <c r="U116" s="10">
        <f>T116*P116*(A116&lt;PARAM!$B$55)</f>
        <v>7.7055021244554212E-5</v>
      </c>
      <c r="W116">
        <v>113</v>
      </c>
      <c r="X116" s="178">
        <f t="shared" si="36"/>
        <v>40</v>
      </c>
      <c r="Y116" s="178">
        <f t="shared" si="36"/>
        <v>40</v>
      </c>
      <c r="Z116" s="178">
        <f t="shared" si="36"/>
        <v>9</v>
      </c>
      <c r="AA116" s="178">
        <f t="shared" si="36"/>
        <v>9</v>
      </c>
      <c r="AD116" s="17">
        <f>CALC!E140*(A116&lt;PARAM!$B$55)</f>
        <v>8.875</v>
      </c>
      <c r="AE116">
        <f>IF(A116&lt;ITER!$C$16,1,PARAM!$C$53^-(RATES!A116-ITER!$C$16))*(A116&lt;PARAM!$B$55)</f>
        <v>1</v>
      </c>
    </row>
    <row r="117" spans="1:31" x14ac:dyDescent="0.2">
      <c r="A117" s="9">
        <v>114</v>
      </c>
      <c r="B117" s="178">
        <f t="shared" si="33"/>
        <v>41</v>
      </c>
      <c r="C117" s="178">
        <f t="shared" si="33"/>
        <v>41</v>
      </c>
      <c r="D117" s="2">
        <f>PARAM!$H$38</f>
        <v>1</v>
      </c>
      <c r="E117" s="11">
        <f>PARAM!$G$38</f>
        <v>0</v>
      </c>
      <c r="F117" s="11">
        <f>(VLOOKUP(C117,DEDN!$A$8:$O$902,$F$2)*D117+E117)/1000</f>
        <v>1.0400000000000001E-3</v>
      </c>
      <c r="G117" s="178">
        <f t="shared" si="34"/>
        <v>10</v>
      </c>
      <c r="H117" s="178">
        <f t="shared" si="34"/>
        <v>10</v>
      </c>
      <c r="I117" s="2">
        <f>PARAM!$H$39</f>
        <v>0</v>
      </c>
      <c r="J117" s="11">
        <f>PARAM!$G$39</f>
        <v>0</v>
      </c>
      <c r="K117" s="11">
        <f>(VLOOKUP(H117,DEDN!$A$8:$O$902,$K$2)*I117+J117)/1000</f>
        <v>0</v>
      </c>
      <c r="L117" s="11">
        <f>MIN(IF(PARAM!$B$43=3,CHOOSE($L$2,F117,K117),F117+K117-F117*K117),1)</f>
        <v>1.0400000000000001E-3</v>
      </c>
      <c r="M117" s="2">
        <f>PARAM!$I$38</f>
        <v>0</v>
      </c>
      <c r="N117" s="11">
        <f>VLOOKUP(B117,DEDN!$A$8:$O$90,$N$2)*M117</f>
        <v>0</v>
      </c>
      <c r="O117" s="12"/>
      <c r="P117" s="10">
        <f>PARAM!$C$53^-A117</f>
        <v>1</v>
      </c>
      <c r="Q117" s="10">
        <f t="shared" ref="Q117:Q132" si="38">Q116*(1-L116)^(1/12)</f>
        <v>0.99375740980453842</v>
      </c>
      <c r="R117" s="10">
        <f t="shared" si="37"/>
        <v>0.99375740980453842</v>
      </c>
      <c r="S117" s="10">
        <f>CHOOSE(PARAM!$B$51,R117,R117,R117,0)*(A117&lt;PARAM!$B$55)</f>
        <v>0.99375740980453842</v>
      </c>
      <c r="T117" s="10">
        <f t="shared" si="25"/>
        <v>8.6166722704117404E-5</v>
      </c>
      <c r="U117" s="10">
        <f>T117*P117*(A117&lt;PARAM!$B$55)</f>
        <v>8.6166722704117404E-5</v>
      </c>
      <c r="W117">
        <v>114</v>
      </c>
      <c r="X117" s="178">
        <f t="shared" si="36"/>
        <v>41</v>
      </c>
      <c r="Y117" s="178">
        <f t="shared" si="36"/>
        <v>41</v>
      </c>
      <c r="Z117" s="178">
        <f t="shared" si="36"/>
        <v>10</v>
      </c>
      <c r="AA117" s="178">
        <f t="shared" si="36"/>
        <v>10</v>
      </c>
      <c r="AD117" s="17">
        <f>CALC!E141*(A117&lt;PARAM!$B$55)</f>
        <v>9.3333333333333339</v>
      </c>
      <c r="AE117">
        <f>IF(A117&lt;ITER!$C$16,1,PARAM!$C$53^-(RATES!A117-ITER!$C$16))*(A117&lt;PARAM!$B$55)</f>
        <v>1</v>
      </c>
    </row>
    <row r="118" spans="1:31" x14ac:dyDescent="0.2">
      <c r="A118" s="9">
        <v>115</v>
      </c>
      <c r="B118" s="178">
        <f t="shared" si="33"/>
        <v>41</v>
      </c>
      <c r="C118" s="178">
        <f t="shared" si="33"/>
        <v>41</v>
      </c>
      <c r="D118" s="2">
        <f>PARAM!$H$38</f>
        <v>1</v>
      </c>
      <c r="E118" s="11">
        <f>PARAM!$G$38</f>
        <v>0</v>
      </c>
      <c r="F118" s="11">
        <f>(VLOOKUP(C118,DEDN!$A$8:$O$902,$F$2)*D118+E118)/1000</f>
        <v>1.0400000000000001E-3</v>
      </c>
      <c r="G118" s="178">
        <f t="shared" si="34"/>
        <v>10</v>
      </c>
      <c r="H118" s="178">
        <f t="shared" si="34"/>
        <v>10</v>
      </c>
      <c r="I118" s="2">
        <f>PARAM!$H$39</f>
        <v>0</v>
      </c>
      <c r="J118" s="11">
        <f>PARAM!$G$39</f>
        <v>0</v>
      </c>
      <c r="K118" s="11">
        <f>(VLOOKUP(H118,DEDN!$A$8:$O$902,$K$2)*I118+J118)/1000</f>
        <v>0</v>
      </c>
      <c r="L118" s="11">
        <f>MIN(IF(PARAM!$B$43=3,CHOOSE($L$2,F118,K118),F118+K118-F118*K118),1)</f>
        <v>1.0400000000000001E-3</v>
      </c>
      <c r="M118" s="2">
        <f>PARAM!$I$38</f>
        <v>0</v>
      </c>
      <c r="N118" s="11">
        <f>VLOOKUP(B118,DEDN!$A$8:$O$90,$N$2)*M118</f>
        <v>0</v>
      </c>
      <c r="O118" s="12"/>
      <c r="P118" s="10">
        <f>PARAM!$C$53^-A118</f>
        <v>1</v>
      </c>
      <c r="Q118" s="10">
        <f t="shared" si="38"/>
        <v>0.9936712430818343</v>
      </c>
      <c r="R118" s="10">
        <f t="shared" si="37"/>
        <v>0.9936712430818343</v>
      </c>
      <c r="S118" s="10">
        <f>CHOOSE(PARAM!$B$51,R118,0,0,0)*(A118&lt;PARAM!$B$55)</f>
        <v>0.9936712430818343</v>
      </c>
      <c r="T118" s="10">
        <f t="shared" si="25"/>
        <v>8.615925135946334E-5</v>
      </c>
      <c r="U118" s="10">
        <f>T118*P118*(A118&lt;PARAM!$B$55)</f>
        <v>8.615925135946334E-5</v>
      </c>
      <c r="W118">
        <v>115</v>
      </c>
      <c r="X118" s="178">
        <f t="shared" si="36"/>
        <v>41</v>
      </c>
      <c r="Y118" s="178">
        <f t="shared" si="36"/>
        <v>41</v>
      </c>
      <c r="Z118" s="178">
        <f t="shared" si="36"/>
        <v>10</v>
      </c>
      <c r="AA118" s="178">
        <f t="shared" si="36"/>
        <v>10</v>
      </c>
      <c r="AD118" s="17">
        <f>CALC!E142*(A118&lt;PARAM!$B$55)</f>
        <v>9.3333333333333339</v>
      </c>
      <c r="AE118">
        <f>IF(A118&lt;ITER!$C$16,1,PARAM!$C$53^-(RATES!A118-ITER!$C$16))*(A118&lt;PARAM!$B$55)</f>
        <v>1</v>
      </c>
    </row>
    <row r="119" spans="1:31" x14ac:dyDescent="0.2">
      <c r="A119" s="9">
        <v>116</v>
      </c>
      <c r="B119" s="178">
        <f t="shared" si="33"/>
        <v>41</v>
      </c>
      <c r="C119" s="178">
        <f t="shared" si="33"/>
        <v>41</v>
      </c>
      <c r="D119" s="2">
        <f>PARAM!$H$38</f>
        <v>1</v>
      </c>
      <c r="E119" s="11">
        <f>PARAM!$G$38</f>
        <v>0</v>
      </c>
      <c r="F119" s="11">
        <f>(VLOOKUP(C119,DEDN!$A$8:$O$902,$F$2)*D119+E119)/1000</f>
        <v>1.0400000000000001E-3</v>
      </c>
      <c r="G119" s="178">
        <f t="shared" si="34"/>
        <v>10</v>
      </c>
      <c r="H119" s="178">
        <f t="shared" si="34"/>
        <v>10</v>
      </c>
      <c r="I119" s="2">
        <f>PARAM!$H$39</f>
        <v>0</v>
      </c>
      <c r="J119" s="11">
        <f>PARAM!$G$39</f>
        <v>0</v>
      </c>
      <c r="K119" s="11">
        <f>(VLOOKUP(H119,DEDN!$A$8:$O$902,$K$2)*I119+J119)/1000</f>
        <v>0</v>
      </c>
      <c r="L119" s="11">
        <f>MIN(IF(PARAM!$B$43=3,CHOOSE($L$2,F119,K119),F119+K119-F119*K119),1)</f>
        <v>1.0400000000000001E-3</v>
      </c>
      <c r="M119" s="2">
        <f>PARAM!$I$38</f>
        <v>0</v>
      </c>
      <c r="N119" s="11">
        <f>VLOOKUP(B119,DEDN!$A$8:$O$90,$N$2)*M119</f>
        <v>0</v>
      </c>
      <c r="O119" s="12"/>
      <c r="P119" s="10">
        <f>PARAM!$C$53^-A119</f>
        <v>1</v>
      </c>
      <c r="Q119" s="10">
        <f t="shared" si="38"/>
        <v>0.99358508383047484</v>
      </c>
      <c r="R119" s="10">
        <f t="shared" si="37"/>
        <v>0.99358508383047484</v>
      </c>
      <c r="S119" s="10">
        <f>CHOOSE(PARAM!$B$51,R119,0,0,0)*(A119&lt;PARAM!$B$55)</f>
        <v>0.99358508383047484</v>
      </c>
      <c r="T119" s="10">
        <f t="shared" si="25"/>
        <v>8.6151780662735433E-5</v>
      </c>
      <c r="U119" s="10">
        <f>T119*P119*(A119&lt;PARAM!$B$55)</f>
        <v>8.6151780662735433E-5</v>
      </c>
      <c r="W119">
        <v>116</v>
      </c>
      <c r="X119" s="178">
        <f t="shared" si="36"/>
        <v>41</v>
      </c>
      <c r="Y119" s="178">
        <f t="shared" si="36"/>
        <v>41</v>
      </c>
      <c r="Z119" s="178">
        <f t="shared" si="36"/>
        <v>10</v>
      </c>
      <c r="AA119" s="178">
        <f t="shared" si="36"/>
        <v>10</v>
      </c>
      <c r="AD119" s="17">
        <f>CALC!E143*(A119&lt;PARAM!$B$55)</f>
        <v>9.3333333333333339</v>
      </c>
      <c r="AE119">
        <f>IF(A119&lt;ITER!$C$16,1,PARAM!$C$53^-(RATES!A119-ITER!$C$16))*(A119&lt;PARAM!$B$55)</f>
        <v>1</v>
      </c>
    </row>
    <row r="120" spans="1:31" x14ac:dyDescent="0.2">
      <c r="A120" s="9">
        <v>117</v>
      </c>
      <c r="B120" s="178">
        <f t="shared" si="33"/>
        <v>41</v>
      </c>
      <c r="C120" s="178">
        <f t="shared" si="33"/>
        <v>41</v>
      </c>
      <c r="D120" s="2">
        <f>PARAM!$H$38</f>
        <v>1</v>
      </c>
      <c r="E120" s="11">
        <f>PARAM!$G$38</f>
        <v>0</v>
      </c>
      <c r="F120" s="11">
        <f>(VLOOKUP(C120,DEDN!$A$8:$O$902,$F$2)*D120+E120)/1000</f>
        <v>1.0400000000000001E-3</v>
      </c>
      <c r="G120" s="178">
        <f t="shared" si="34"/>
        <v>10</v>
      </c>
      <c r="H120" s="178">
        <f t="shared" si="34"/>
        <v>10</v>
      </c>
      <c r="I120" s="2">
        <f>PARAM!$H$39</f>
        <v>0</v>
      </c>
      <c r="J120" s="11">
        <f>PARAM!$G$39</f>
        <v>0</v>
      </c>
      <c r="K120" s="11">
        <f>(VLOOKUP(H120,DEDN!$A$8:$O$902,$K$2)*I120+J120)/1000</f>
        <v>0</v>
      </c>
      <c r="L120" s="11">
        <f>MIN(IF(PARAM!$B$43=3,CHOOSE($L$2,F120,K120),F120+K120-F120*K120),1)</f>
        <v>1.0400000000000001E-3</v>
      </c>
      <c r="M120" s="2">
        <f>PARAM!$I$38</f>
        <v>0</v>
      </c>
      <c r="N120" s="11">
        <f>VLOOKUP(B120,DEDN!$A$8:$O$90,$N$2)*M120</f>
        <v>0</v>
      </c>
      <c r="O120" s="12"/>
      <c r="P120" s="10">
        <f>PARAM!$C$53^-A120</f>
        <v>1</v>
      </c>
      <c r="Q120" s="10">
        <f t="shared" si="38"/>
        <v>0.9934989320498121</v>
      </c>
      <c r="R120" s="10">
        <f t="shared" si="37"/>
        <v>0.9934989320498121</v>
      </c>
      <c r="S120" s="10">
        <f>CHOOSE(PARAM!$B$51,R120,R120,0,0)*(A120&lt;PARAM!$B$55)</f>
        <v>0.9934989320498121</v>
      </c>
      <c r="T120" s="10">
        <f t="shared" si="25"/>
        <v>8.6144310613600616E-5</v>
      </c>
      <c r="U120" s="10">
        <f>T120*P120*(A120&lt;PARAM!$B$55)</f>
        <v>8.6144310613600616E-5</v>
      </c>
      <c r="W120">
        <v>117</v>
      </c>
      <c r="X120" s="178">
        <f t="shared" si="36"/>
        <v>41</v>
      </c>
      <c r="Y120" s="178">
        <f t="shared" si="36"/>
        <v>41</v>
      </c>
      <c r="Z120" s="178">
        <f t="shared" si="36"/>
        <v>10</v>
      </c>
      <c r="AA120" s="178">
        <f t="shared" si="36"/>
        <v>10</v>
      </c>
      <c r="AD120" s="17">
        <f>CALC!E144*(A120&lt;PARAM!$B$55)</f>
        <v>9.3333333333333339</v>
      </c>
      <c r="AE120">
        <f>IF(A120&lt;ITER!$C$16,1,PARAM!$C$53^-(RATES!A120-ITER!$C$16))*(A120&lt;PARAM!$B$55)</f>
        <v>1</v>
      </c>
    </row>
    <row r="121" spans="1:31" x14ac:dyDescent="0.2">
      <c r="A121" s="9">
        <v>118</v>
      </c>
      <c r="B121" s="178">
        <f t="shared" ref="B121:C140" si="39">B109+1</f>
        <v>41</v>
      </c>
      <c r="C121" s="178">
        <f t="shared" si="39"/>
        <v>41</v>
      </c>
      <c r="D121" s="2">
        <f>PARAM!$H$38</f>
        <v>1</v>
      </c>
      <c r="E121" s="11">
        <f>PARAM!$G$38</f>
        <v>0</v>
      </c>
      <c r="F121" s="11">
        <f>(VLOOKUP(C121,DEDN!$A$8:$O$902,$F$2)*D121+E121)/1000</f>
        <v>1.0400000000000001E-3</v>
      </c>
      <c r="G121" s="178">
        <f t="shared" ref="G121:H140" si="40">G109+1</f>
        <v>10</v>
      </c>
      <c r="H121" s="178">
        <f t="shared" si="40"/>
        <v>10</v>
      </c>
      <c r="I121" s="2">
        <f>PARAM!$H$39</f>
        <v>0</v>
      </c>
      <c r="J121" s="11">
        <f>PARAM!$G$39</f>
        <v>0</v>
      </c>
      <c r="K121" s="11">
        <f>(VLOOKUP(H121,DEDN!$A$8:$O$902,$K$2)*I121+J121)/1000</f>
        <v>0</v>
      </c>
      <c r="L121" s="11">
        <f>MIN(IF(PARAM!$B$43=3,CHOOSE($L$2,F121,K121),F121+K121-F121*K121),1)</f>
        <v>1.0400000000000001E-3</v>
      </c>
      <c r="M121" s="2">
        <f>PARAM!$I$38</f>
        <v>0</v>
      </c>
      <c r="N121" s="11">
        <f>VLOOKUP(B121,DEDN!$A$8:$O$90,$N$2)*M121</f>
        <v>0</v>
      </c>
      <c r="O121" s="12"/>
      <c r="P121" s="10">
        <f>PARAM!$C$53^-A121</f>
        <v>1</v>
      </c>
      <c r="Q121" s="10">
        <f t="shared" si="38"/>
        <v>0.9934127877391985</v>
      </c>
      <c r="R121" s="10">
        <f t="shared" si="37"/>
        <v>0.9934127877391985</v>
      </c>
      <c r="S121" s="10">
        <f>CHOOSE(PARAM!$B$51,R121,0,0,0)*(A121&lt;PARAM!$B$55)</f>
        <v>0.9934127877391985</v>
      </c>
      <c r="T121" s="10">
        <f t="shared" si="25"/>
        <v>8.6136841212280935E-5</v>
      </c>
      <c r="U121" s="10">
        <f>T121*P121*(A121&lt;PARAM!$B$55)</f>
        <v>8.6136841212280935E-5</v>
      </c>
      <c r="W121">
        <v>118</v>
      </c>
      <c r="X121" s="178">
        <f t="shared" ref="X121:AA140" si="41">X109+1</f>
        <v>41</v>
      </c>
      <c r="Y121" s="178">
        <f t="shared" si="41"/>
        <v>41</v>
      </c>
      <c r="Z121" s="178">
        <f t="shared" si="41"/>
        <v>10</v>
      </c>
      <c r="AA121" s="178">
        <f t="shared" si="41"/>
        <v>10</v>
      </c>
      <c r="AD121" s="17">
        <f>CALC!E145*(A121&lt;PARAM!$B$55)</f>
        <v>9.3333333333333339</v>
      </c>
      <c r="AE121">
        <f>IF(A121&lt;ITER!$C$16,1,PARAM!$C$53^-(RATES!A121-ITER!$C$16))*(A121&lt;PARAM!$B$55)</f>
        <v>1</v>
      </c>
    </row>
    <row r="122" spans="1:31" x14ac:dyDescent="0.2">
      <c r="A122" s="9">
        <v>119</v>
      </c>
      <c r="B122" s="178">
        <f t="shared" si="39"/>
        <v>41</v>
      </c>
      <c r="C122" s="178">
        <f t="shared" si="39"/>
        <v>41</v>
      </c>
      <c r="D122" s="2">
        <f>PARAM!$H$38</f>
        <v>1</v>
      </c>
      <c r="E122" s="11">
        <f>PARAM!$G$38</f>
        <v>0</v>
      </c>
      <c r="F122" s="11">
        <f>(VLOOKUP(C122,DEDN!$A$8:$O$902,$F$2)*D122+E122)/1000</f>
        <v>1.0400000000000001E-3</v>
      </c>
      <c r="G122" s="178">
        <f t="shared" si="40"/>
        <v>10</v>
      </c>
      <c r="H122" s="178">
        <f t="shared" si="40"/>
        <v>10</v>
      </c>
      <c r="I122" s="2">
        <f>PARAM!$H$39</f>
        <v>0</v>
      </c>
      <c r="J122" s="11">
        <f>PARAM!$G$39</f>
        <v>0</v>
      </c>
      <c r="K122" s="11">
        <f>(VLOOKUP(H122,DEDN!$A$8:$O$902,$K$2)*I122+J122)/1000</f>
        <v>0</v>
      </c>
      <c r="L122" s="11">
        <f>MIN(IF(PARAM!$B$43=3,CHOOSE($L$2,F122,K122),F122+K122-F122*K122),1)</f>
        <v>1.0400000000000001E-3</v>
      </c>
      <c r="M122" s="2">
        <f>PARAM!$I$38</f>
        <v>0</v>
      </c>
      <c r="N122" s="11">
        <f>VLOOKUP(B122,DEDN!$A$8:$O$90,$N$2)*M122</f>
        <v>0</v>
      </c>
      <c r="O122" s="12"/>
      <c r="P122" s="10">
        <f>PARAM!$C$53^-A122</f>
        <v>1</v>
      </c>
      <c r="Q122" s="10">
        <f t="shared" si="38"/>
        <v>0.99332665089798622</v>
      </c>
      <c r="R122" s="10">
        <f t="shared" si="37"/>
        <v>0.99332665089798622</v>
      </c>
      <c r="S122" s="10">
        <f>CHOOSE(PARAM!$B$51,R122,0,0,0)*(A122&lt;PARAM!$B$55)</f>
        <v>0.99332665089798622</v>
      </c>
      <c r="T122" s="10">
        <f t="shared" si="25"/>
        <v>8.6129372458665365E-5</v>
      </c>
      <c r="U122" s="10">
        <f>T122*P122*(A122&lt;PARAM!$B$55)</f>
        <v>8.6129372458665365E-5</v>
      </c>
      <c r="W122">
        <v>119</v>
      </c>
      <c r="X122" s="178">
        <f t="shared" si="41"/>
        <v>41</v>
      </c>
      <c r="Y122" s="178">
        <f t="shared" si="41"/>
        <v>41</v>
      </c>
      <c r="Z122" s="178">
        <f t="shared" si="41"/>
        <v>10</v>
      </c>
      <c r="AA122" s="178">
        <f t="shared" si="41"/>
        <v>10</v>
      </c>
      <c r="AD122" s="17">
        <f>CALC!E146*(A122&lt;PARAM!$B$55)</f>
        <v>9.3333333333333339</v>
      </c>
      <c r="AE122">
        <f>IF(A122&lt;ITER!$C$16,1,PARAM!$C$53^-(RATES!A122-ITER!$C$16))*(A122&lt;PARAM!$B$55)</f>
        <v>1</v>
      </c>
    </row>
    <row r="123" spans="1:31" x14ac:dyDescent="0.2">
      <c r="A123" s="9">
        <v>120</v>
      </c>
      <c r="B123" s="178">
        <f t="shared" si="39"/>
        <v>41</v>
      </c>
      <c r="C123" s="178">
        <f t="shared" si="39"/>
        <v>41</v>
      </c>
      <c r="D123" s="2">
        <f>PARAM!$H$38</f>
        <v>1</v>
      </c>
      <c r="E123" s="11">
        <f>PARAM!$G$38</f>
        <v>0</v>
      </c>
      <c r="F123" s="11">
        <f>(VLOOKUP(C123,DEDN!$A$8:$O$902,$F$2)*D123+E123)/1000</f>
        <v>1.0400000000000001E-3</v>
      </c>
      <c r="G123" s="178">
        <f t="shared" si="40"/>
        <v>10</v>
      </c>
      <c r="H123" s="178">
        <f t="shared" si="40"/>
        <v>10</v>
      </c>
      <c r="I123" s="2">
        <f>PARAM!$H$39</f>
        <v>0</v>
      </c>
      <c r="J123" s="11">
        <f>PARAM!$G$39</f>
        <v>0</v>
      </c>
      <c r="K123" s="11">
        <f>(VLOOKUP(H123,DEDN!$A$8:$O$902,$K$2)*I123+J123)/1000</f>
        <v>0</v>
      </c>
      <c r="L123" s="11">
        <f>MIN(IF(PARAM!$B$43=3,CHOOSE($L$2,F123,K123),F123+K123-F123*K123),1)</f>
        <v>1.0400000000000001E-3</v>
      </c>
      <c r="M123" s="2">
        <f>PARAM!$I$38</f>
        <v>0</v>
      </c>
      <c r="N123" s="11">
        <f>VLOOKUP(B123,DEDN!$A$8:$O$90,$N$2)*M123</f>
        <v>0</v>
      </c>
      <c r="O123" s="12"/>
      <c r="P123" s="10">
        <f>PARAM!$C$53^-A123</f>
        <v>1</v>
      </c>
      <c r="Q123" s="10">
        <f t="shared" si="38"/>
        <v>0.99324052152552755</v>
      </c>
      <c r="R123" s="10">
        <f t="shared" si="37"/>
        <v>0.99324052152552755</v>
      </c>
      <c r="S123" s="10">
        <f>R123*(A123&lt;PARAM!$B$55)</f>
        <v>0</v>
      </c>
      <c r="T123" s="10">
        <f t="shared" si="25"/>
        <v>8.6121904352531864E-5</v>
      </c>
      <c r="U123" s="10">
        <f>T123*P123*(A123&lt;PARAM!$B$55)</f>
        <v>0</v>
      </c>
      <c r="W123">
        <v>120</v>
      </c>
      <c r="X123" s="178">
        <f t="shared" si="41"/>
        <v>41</v>
      </c>
      <c r="Y123" s="178">
        <f t="shared" si="41"/>
        <v>41</v>
      </c>
      <c r="Z123" s="178">
        <f t="shared" si="41"/>
        <v>10</v>
      </c>
      <c r="AA123" s="178">
        <f t="shared" si="41"/>
        <v>10</v>
      </c>
      <c r="AD123" s="17">
        <f>CALC!E147*(A123&lt;PARAM!$B$55)</f>
        <v>0</v>
      </c>
      <c r="AE123">
        <f>IF(A123&lt;ITER!$C$16,1,PARAM!$C$53^-(RATES!A123-ITER!$C$16))*(A123&lt;PARAM!$B$55)</f>
        <v>0</v>
      </c>
    </row>
    <row r="124" spans="1:31" x14ac:dyDescent="0.2">
      <c r="A124" s="9">
        <v>121</v>
      </c>
      <c r="B124" s="178">
        <f t="shared" si="39"/>
        <v>41</v>
      </c>
      <c r="C124" s="178">
        <f t="shared" si="39"/>
        <v>41</v>
      </c>
      <c r="D124" s="2">
        <f>PARAM!$H$38</f>
        <v>1</v>
      </c>
      <c r="E124" s="11">
        <f>PARAM!$G$38</f>
        <v>0</v>
      </c>
      <c r="F124" s="11">
        <f>(VLOOKUP(C124,DEDN!$A$8:$O$902,$F$2)*D124+E124)/1000</f>
        <v>1.0400000000000001E-3</v>
      </c>
      <c r="G124" s="178">
        <f t="shared" si="40"/>
        <v>10</v>
      </c>
      <c r="H124" s="178">
        <f t="shared" si="40"/>
        <v>10</v>
      </c>
      <c r="I124" s="2">
        <f>PARAM!$H$39</f>
        <v>0</v>
      </c>
      <c r="J124" s="11">
        <f>PARAM!$G$39</f>
        <v>0</v>
      </c>
      <c r="K124" s="11">
        <f>(VLOOKUP(H124,DEDN!$A$8:$O$902,$K$2)*I124+J124)/1000</f>
        <v>0</v>
      </c>
      <c r="L124" s="11">
        <f>MIN(IF(PARAM!$B$43=3,CHOOSE($L$2,F124,K124),F124+K124-F124*K124),1)</f>
        <v>1.0400000000000001E-3</v>
      </c>
      <c r="M124" s="2">
        <f>PARAM!$I$38</f>
        <v>0</v>
      </c>
      <c r="N124" s="11">
        <f>VLOOKUP(B124,DEDN!$A$8:$O$90,$N$2)*M124</f>
        <v>0</v>
      </c>
      <c r="O124" s="12"/>
      <c r="P124" s="10">
        <f>PARAM!$C$53^-A124</f>
        <v>1</v>
      </c>
      <c r="Q124" s="10">
        <f t="shared" si="38"/>
        <v>0.99315439962117502</v>
      </c>
      <c r="R124" s="10">
        <f t="shared" si="37"/>
        <v>0.99315439962117502</v>
      </c>
      <c r="S124" s="10">
        <f>CHOOSE(PARAM!$B$51,R124,0,0,0)*(A124&lt;PARAM!$B$55)</f>
        <v>0</v>
      </c>
      <c r="T124" s="10">
        <f t="shared" si="25"/>
        <v>8.6114436893991453E-5</v>
      </c>
      <c r="U124" s="10">
        <f>T124*P124*(A124&lt;PARAM!$B$55)</f>
        <v>0</v>
      </c>
      <c r="W124">
        <v>121</v>
      </c>
      <c r="X124" s="178">
        <f t="shared" si="41"/>
        <v>41</v>
      </c>
      <c r="Y124" s="178">
        <f t="shared" si="41"/>
        <v>41</v>
      </c>
      <c r="Z124" s="178">
        <f t="shared" si="41"/>
        <v>10</v>
      </c>
      <c r="AA124" s="178">
        <f t="shared" si="41"/>
        <v>10</v>
      </c>
      <c r="AD124" s="17">
        <f>CALC!E148*(A124&lt;PARAM!$B$55)</f>
        <v>0</v>
      </c>
      <c r="AE124">
        <f>IF(A124&lt;ITER!$C$16,1,PARAM!$C$53^-(RATES!A124-ITER!$C$16))*(A124&lt;PARAM!$B$55)</f>
        <v>0</v>
      </c>
    </row>
    <row r="125" spans="1:31" x14ac:dyDescent="0.2">
      <c r="A125" s="9">
        <v>122</v>
      </c>
      <c r="B125" s="178">
        <f t="shared" si="39"/>
        <v>41</v>
      </c>
      <c r="C125" s="178">
        <f t="shared" si="39"/>
        <v>41</v>
      </c>
      <c r="D125" s="2">
        <f>PARAM!$H$38</f>
        <v>1</v>
      </c>
      <c r="E125" s="11">
        <f>PARAM!$G$38</f>
        <v>0</v>
      </c>
      <c r="F125" s="11">
        <f>(VLOOKUP(C125,DEDN!$A$8:$O$902,$F$2)*D125+E125)/1000</f>
        <v>1.0400000000000001E-3</v>
      </c>
      <c r="G125" s="178">
        <f t="shared" si="40"/>
        <v>10</v>
      </c>
      <c r="H125" s="178">
        <f t="shared" si="40"/>
        <v>10</v>
      </c>
      <c r="I125" s="2">
        <f>PARAM!$H$39</f>
        <v>0</v>
      </c>
      <c r="J125" s="11">
        <f>PARAM!$G$39</f>
        <v>0</v>
      </c>
      <c r="K125" s="11">
        <f>(VLOOKUP(H125,DEDN!$A$8:$O$902,$K$2)*I125+J125)/1000</f>
        <v>0</v>
      </c>
      <c r="L125" s="11">
        <f>MIN(IF(PARAM!$B$43=3,CHOOSE($L$2,F125,K125),F125+K125-F125*K125),1)</f>
        <v>1.0400000000000001E-3</v>
      </c>
      <c r="M125" s="2">
        <f>PARAM!$I$38</f>
        <v>0</v>
      </c>
      <c r="N125" s="11">
        <f>VLOOKUP(B125,DEDN!$A$8:$O$90,$N$2)*M125</f>
        <v>0</v>
      </c>
      <c r="O125" s="12"/>
      <c r="P125" s="10">
        <f>PARAM!$C$53^-A125</f>
        <v>1</v>
      </c>
      <c r="Q125" s="10">
        <f t="shared" si="38"/>
        <v>0.99306828518428103</v>
      </c>
      <c r="R125" s="10">
        <f t="shared" si="37"/>
        <v>0.99306828518428103</v>
      </c>
      <c r="S125" s="10">
        <f>CHOOSE(PARAM!$B$51,R125,0,0,0)*(A125&lt;PARAM!$B$55)</f>
        <v>0</v>
      </c>
      <c r="T125" s="10">
        <f t="shared" si="25"/>
        <v>8.610697008293311E-5</v>
      </c>
      <c r="U125" s="10">
        <f>T125*P125*(A125&lt;PARAM!$B$55)</f>
        <v>0</v>
      </c>
      <c r="W125">
        <v>122</v>
      </c>
      <c r="X125" s="178">
        <f t="shared" si="41"/>
        <v>41</v>
      </c>
      <c r="Y125" s="178">
        <f t="shared" si="41"/>
        <v>41</v>
      </c>
      <c r="Z125" s="178">
        <f t="shared" si="41"/>
        <v>10</v>
      </c>
      <c r="AA125" s="178">
        <f t="shared" si="41"/>
        <v>10</v>
      </c>
      <c r="AD125" s="17">
        <f>CALC!E149*(A125&lt;PARAM!$B$55)</f>
        <v>0</v>
      </c>
      <c r="AE125">
        <f>IF(A125&lt;ITER!$C$16,1,PARAM!$C$53^-(RATES!A125-ITER!$C$16))*(A125&lt;PARAM!$B$55)</f>
        <v>0</v>
      </c>
    </row>
    <row r="126" spans="1:31" x14ac:dyDescent="0.2">
      <c r="A126" s="9">
        <v>123</v>
      </c>
      <c r="B126" s="178">
        <f t="shared" si="39"/>
        <v>41</v>
      </c>
      <c r="C126" s="178">
        <f t="shared" si="39"/>
        <v>41</v>
      </c>
      <c r="D126" s="2">
        <f>PARAM!$H$38</f>
        <v>1</v>
      </c>
      <c r="E126" s="11">
        <f>PARAM!$G$38</f>
        <v>0</v>
      </c>
      <c r="F126" s="11">
        <f>(VLOOKUP(C126,DEDN!$A$8:$O$902,$F$2)*D126+E126)/1000</f>
        <v>1.0400000000000001E-3</v>
      </c>
      <c r="G126" s="178">
        <f t="shared" si="40"/>
        <v>10</v>
      </c>
      <c r="H126" s="178">
        <f t="shared" si="40"/>
        <v>10</v>
      </c>
      <c r="I126" s="2">
        <f>PARAM!$H$39</f>
        <v>0</v>
      </c>
      <c r="J126" s="11">
        <f>PARAM!$G$39</f>
        <v>0</v>
      </c>
      <c r="K126" s="11">
        <f>(VLOOKUP(H126,DEDN!$A$8:$O$902,$K$2)*I126+J126)/1000</f>
        <v>0</v>
      </c>
      <c r="L126" s="11">
        <f>MIN(IF(PARAM!$B$43=3,CHOOSE($L$2,F126,K126),F126+K126-F126*K126),1)</f>
        <v>1.0400000000000001E-3</v>
      </c>
      <c r="M126" s="2">
        <f>PARAM!$I$38</f>
        <v>0</v>
      </c>
      <c r="N126" s="11">
        <f>VLOOKUP(B126,DEDN!$A$8:$O$90,$N$2)*M126</f>
        <v>0</v>
      </c>
      <c r="O126" s="12"/>
      <c r="P126" s="10">
        <f>PARAM!$C$53^-A126</f>
        <v>1</v>
      </c>
      <c r="Q126" s="10">
        <f t="shared" si="38"/>
        <v>0.9929821782141981</v>
      </c>
      <c r="R126" s="10">
        <f t="shared" si="37"/>
        <v>0.9929821782141981</v>
      </c>
      <c r="S126" s="10">
        <f>CHOOSE(PARAM!$B$51,R126,R126,0,0)*(A126&lt;PARAM!$B$55)</f>
        <v>0</v>
      </c>
      <c r="T126" s="10">
        <f t="shared" si="25"/>
        <v>8.6099503919356835E-5</v>
      </c>
      <c r="U126" s="10">
        <f>T126*P126*(A126&lt;PARAM!$B$55)</f>
        <v>0</v>
      </c>
      <c r="W126">
        <v>123</v>
      </c>
      <c r="X126" s="178">
        <f t="shared" si="41"/>
        <v>41</v>
      </c>
      <c r="Y126" s="178">
        <f t="shared" si="41"/>
        <v>41</v>
      </c>
      <c r="Z126" s="178">
        <f t="shared" si="41"/>
        <v>10</v>
      </c>
      <c r="AA126" s="178">
        <f t="shared" si="41"/>
        <v>10</v>
      </c>
      <c r="AD126" s="17">
        <f>CALC!E150*(A126&lt;PARAM!$B$55)</f>
        <v>0</v>
      </c>
      <c r="AE126">
        <f>IF(A126&lt;ITER!$C$16,1,PARAM!$C$53^-(RATES!A126-ITER!$C$16))*(A126&lt;PARAM!$B$55)</f>
        <v>0</v>
      </c>
    </row>
    <row r="127" spans="1:31" x14ac:dyDescent="0.2">
      <c r="A127" s="9">
        <v>124</v>
      </c>
      <c r="B127" s="178">
        <f t="shared" si="39"/>
        <v>41</v>
      </c>
      <c r="C127" s="178">
        <f t="shared" si="39"/>
        <v>41</v>
      </c>
      <c r="D127" s="2">
        <f>PARAM!$H$38</f>
        <v>1</v>
      </c>
      <c r="E127" s="11">
        <f>PARAM!$G$38</f>
        <v>0</v>
      </c>
      <c r="F127" s="11">
        <f>(VLOOKUP(C127,DEDN!$A$8:$O$902,$F$2)*D127+E127)/1000</f>
        <v>1.0400000000000001E-3</v>
      </c>
      <c r="G127" s="178">
        <f t="shared" si="40"/>
        <v>10</v>
      </c>
      <c r="H127" s="178">
        <f t="shared" si="40"/>
        <v>10</v>
      </c>
      <c r="I127" s="2">
        <f>PARAM!$H$39</f>
        <v>0</v>
      </c>
      <c r="J127" s="11">
        <f>PARAM!$G$39</f>
        <v>0</v>
      </c>
      <c r="K127" s="11">
        <f>(VLOOKUP(H127,DEDN!$A$8:$O$902,$K$2)*I127+J127)/1000</f>
        <v>0</v>
      </c>
      <c r="L127" s="11">
        <f>MIN(IF(PARAM!$B$43=3,CHOOSE($L$2,F127,K127),F127+K127-F127*K127),1)</f>
        <v>1.0400000000000001E-3</v>
      </c>
      <c r="M127" s="2">
        <f>PARAM!$I$38</f>
        <v>0</v>
      </c>
      <c r="N127" s="11">
        <f>VLOOKUP(B127,DEDN!$A$8:$O$90,$N$2)*M127</f>
        <v>0</v>
      </c>
      <c r="O127" s="12"/>
      <c r="P127" s="10">
        <f>PARAM!$C$53^-A127</f>
        <v>1</v>
      </c>
      <c r="Q127" s="10">
        <f t="shared" si="38"/>
        <v>0.99289607871027874</v>
      </c>
      <c r="R127" s="10">
        <f t="shared" si="37"/>
        <v>0.99289607871027874</v>
      </c>
      <c r="S127" s="10">
        <f>CHOOSE(PARAM!$B$51,R127,0,0,0)*(A127&lt;PARAM!$B$55)</f>
        <v>0</v>
      </c>
      <c r="T127" s="10">
        <f t="shared" si="25"/>
        <v>8.6092038403151605E-5</v>
      </c>
      <c r="U127" s="10">
        <f>T127*P127*(A127&lt;PARAM!$B$55)</f>
        <v>0</v>
      </c>
      <c r="W127">
        <v>124</v>
      </c>
      <c r="X127" s="178">
        <f t="shared" si="41"/>
        <v>41</v>
      </c>
      <c r="Y127" s="178">
        <f t="shared" si="41"/>
        <v>41</v>
      </c>
      <c r="Z127" s="178">
        <f t="shared" si="41"/>
        <v>10</v>
      </c>
      <c r="AA127" s="178">
        <f t="shared" si="41"/>
        <v>10</v>
      </c>
      <c r="AD127" s="17">
        <f>CALC!E151*(A127&lt;PARAM!$B$55)</f>
        <v>0</v>
      </c>
      <c r="AE127">
        <f>IF(A127&lt;ITER!$C$16,1,PARAM!$C$53^-(RATES!A127-ITER!$C$16))*(A127&lt;PARAM!$B$55)</f>
        <v>0</v>
      </c>
    </row>
    <row r="128" spans="1:31" x14ac:dyDescent="0.2">
      <c r="A128" s="9">
        <v>125</v>
      </c>
      <c r="B128" s="178">
        <f t="shared" si="39"/>
        <v>41</v>
      </c>
      <c r="C128" s="178">
        <f t="shared" si="39"/>
        <v>41</v>
      </c>
      <c r="D128" s="2">
        <f>PARAM!$H$38</f>
        <v>1</v>
      </c>
      <c r="E128" s="11">
        <f>PARAM!$G$38</f>
        <v>0</v>
      </c>
      <c r="F128" s="11">
        <f>(VLOOKUP(C128,DEDN!$A$8:$O$902,$F$2)*D128+E128)/1000</f>
        <v>1.0400000000000001E-3</v>
      </c>
      <c r="G128" s="178">
        <f t="shared" si="40"/>
        <v>10</v>
      </c>
      <c r="H128" s="178">
        <f t="shared" si="40"/>
        <v>10</v>
      </c>
      <c r="I128" s="2">
        <f>PARAM!$H$39</f>
        <v>0</v>
      </c>
      <c r="J128" s="11">
        <f>PARAM!$G$39</f>
        <v>0</v>
      </c>
      <c r="K128" s="11">
        <f>(VLOOKUP(H128,DEDN!$A$8:$O$902,$K$2)*I128+J128)/1000</f>
        <v>0</v>
      </c>
      <c r="L128" s="11">
        <f>MIN(IF(PARAM!$B$43=3,CHOOSE($L$2,F128,K128),F128+K128-F128*K128),1)</f>
        <v>1.0400000000000001E-3</v>
      </c>
      <c r="M128" s="2">
        <f>PARAM!$I$38</f>
        <v>0</v>
      </c>
      <c r="N128" s="11">
        <f>VLOOKUP(B128,DEDN!$A$8:$O$90,$N$2)*M128</f>
        <v>0</v>
      </c>
      <c r="O128" s="12"/>
      <c r="P128" s="10">
        <f>PARAM!$C$53^-A128</f>
        <v>1</v>
      </c>
      <c r="Q128" s="10">
        <f t="shared" si="38"/>
        <v>0.99280998667187559</v>
      </c>
      <c r="R128" s="10">
        <f t="shared" si="37"/>
        <v>0.99280998667187559</v>
      </c>
      <c r="S128" s="10">
        <f>CHOOSE(PARAM!$B$51,R128,0,0,0)*(A128&lt;PARAM!$B$55)</f>
        <v>0</v>
      </c>
      <c r="T128" s="10">
        <f t="shared" si="25"/>
        <v>8.6084573534206399E-5</v>
      </c>
      <c r="U128" s="10">
        <f>T128*P128*(A128&lt;PARAM!$B$55)</f>
        <v>0</v>
      </c>
      <c r="W128">
        <v>125</v>
      </c>
      <c r="X128" s="178">
        <f t="shared" si="41"/>
        <v>41</v>
      </c>
      <c r="Y128" s="178">
        <f t="shared" si="41"/>
        <v>41</v>
      </c>
      <c r="Z128" s="178">
        <f t="shared" si="41"/>
        <v>10</v>
      </c>
      <c r="AA128" s="178">
        <f t="shared" si="41"/>
        <v>10</v>
      </c>
      <c r="AD128" s="17">
        <f>CALC!E152*(A128&lt;PARAM!$B$55)</f>
        <v>0</v>
      </c>
      <c r="AE128">
        <f>IF(A128&lt;ITER!$C$16,1,PARAM!$C$53^-(RATES!A128-ITER!$C$16))*(A128&lt;PARAM!$B$55)</f>
        <v>0</v>
      </c>
    </row>
    <row r="129" spans="1:31" x14ac:dyDescent="0.2">
      <c r="A129" s="9">
        <v>126</v>
      </c>
      <c r="B129" s="178">
        <f t="shared" si="39"/>
        <v>42</v>
      </c>
      <c r="C129" s="178">
        <f t="shared" si="39"/>
        <v>42</v>
      </c>
      <c r="D129" s="2">
        <f>PARAM!$H$38</f>
        <v>1</v>
      </c>
      <c r="E129" s="11">
        <f>PARAM!$G$38</f>
        <v>0</v>
      </c>
      <c r="F129" s="11">
        <f>(VLOOKUP(C129,DEDN!$A$8:$O$902,$F$2)*D129+E129)/1000</f>
        <v>1.16E-3</v>
      </c>
      <c r="G129" s="178">
        <f t="shared" si="40"/>
        <v>11</v>
      </c>
      <c r="H129" s="178">
        <f t="shared" si="40"/>
        <v>11</v>
      </c>
      <c r="I129" s="2">
        <f>PARAM!$H$39</f>
        <v>0</v>
      </c>
      <c r="J129" s="11">
        <f>PARAM!$G$39</f>
        <v>0</v>
      </c>
      <c r="K129" s="11">
        <f>(VLOOKUP(H129,DEDN!$A$8:$O$902,$K$2)*I129+J129)/1000</f>
        <v>0</v>
      </c>
      <c r="L129" s="11">
        <f>MIN(IF(PARAM!$B$43=3,CHOOSE($L$2,F129,K129),F129+K129-F129*K129),1)</f>
        <v>1.16E-3</v>
      </c>
      <c r="M129" s="2">
        <f>PARAM!$I$38</f>
        <v>0</v>
      </c>
      <c r="N129" s="11">
        <f>VLOOKUP(B129,DEDN!$A$8:$O$90,$N$2)*M129</f>
        <v>0</v>
      </c>
      <c r="O129" s="12"/>
      <c r="P129" s="10">
        <f>PARAM!$C$53^-A129</f>
        <v>1</v>
      </c>
      <c r="Q129" s="10">
        <f t="shared" si="38"/>
        <v>0.99272390209834138</v>
      </c>
      <c r="R129" s="10">
        <f t="shared" si="37"/>
        <v>0.99272390209834138</v>
      </c>
      <c r="S129" s="10">
        <f>CHOOSE(PARAM!$B$51,R129,R129,R129,0)*(A129&lt;PARAM!$B$55)</f>
        <v>0</v>
      </c>
      <c r="T129" s="10">
        <f t="shared" si="25"/>
        <v>9.6014368873520439E-5</v>
      </c>
      <c r="U129" s="10">
        <f>T129*P129*(A129&lt;PARAM!$B$55)</f>
        <v>0</v>
      </c>
      <c r="W129">
        <v>126</v>
      </c>
      <c r="X129" s="178">
        <f t="shared" si="41"/>
        <v>42</v>
      </c>
      <c r="Y129" s="178">
        <f t="shared" si="41"/>
        <v>42</v>
      </c>
      <c r="Z129" s="178">
        <f t="shared" si="41"/>
        <v>11</v>
      </c>
      <c r="AA129" s="178">
        <f t="shared" si="41"/>
        <v>11</v>
      </c>
      <c r="AD129" s="17">
        <f>CALC!E153*(A129&lt;PARAM!$B$55)</f>
        <v>0</v>
      </c>
      <c r="AE129">
        <f>IF(A129&lt;ITER!$C$16,1,PARAM!$C$53^-(RATES!A129-ITER!$C$16))*(A129&lt;PARAM!$B$55)</f>
        <v>0</v>
      </c>
    </row>
    <row r="130" spans="1:31" x14ac:dyDescent="0.2">
      <c r="A130" s="9">
        <v>127</v>
      </c>
      <c r="B130" s="178">
        <f t="shared" si="39"/>
        <v>42</v>
      </c>
      <c r="C130" s="178">
        <f t="shared" si="39"/>
        <v>42</v>
      </c>
      <c r="D130" s="2">
        <f>PARAM!$H$38</f>
        <v>1</v>
      </c>
      <c r="E130" s="11">
        <f>PARAM!$G$38</f>
        <v>0</v>
      </c>
      <c r="F130" s="11">
        <f>(VLOOKUP(C130,DEDN!$A$8:$O$902,$F$2)*D130+E130)/1000</f>
        <v>1.16E-3</v>
      </c>
      <c r="G130" s="178">
        <f t="shared" si="40"/>
        <v>11</v>
      </c>
      <c r="H130" s="178">
        <f t="shared" si="40"/>
        <v>11</v>
      </c>
      <c r="I130" s="2">
        <f>PARAM!$H$39</f>
        <v>0</v>
      </c>
      <c r="J130" s="11">
        <f>PARAM!$G$39</f>
        <v>0</v>
      </c>
      <c r="K130" s="11">
        <f>(VLOOKUP(H130,DEDN!$A$8:$O$902,$K$2)*I130+J130)/1000</f>
        <v>0</v>
      </c>
      <c r="L130" s="11">
        <f>MIN(IF(PARAM!$B$43=3,CHOOSE($L$2,F130,K130),F130+K130-F130*K130),1)</f>
        <v>1.16E-3</v>
      </c>
      <c r="M130" s="2">
        <f>PARAM!$I$38</f>
        <v>0</v>
      </c>
      <c r="N130" s="11">
        <f>VLOOKUP(B130,DEDN!$A$8:$O$90,$N$2)*M130</f>
        <v>0</v>
      </c>
      <c r="O130" s="12"/>
      <c r="P130" s="10">
        <f>PARAM!$C$53^-A130</f>
        <v>1</v>
      </c>
      <c r="Q130" s="10">
        <f t="shared" si="38"/>
        <v>0.99262788772946786</v>
      </c>
      <c r="R130" s="10">
        <f t="shared" si="37"/>
        <v>0.99262788772946786</v>
      </c>
      <c r="S130" s="10">
        <f>CHOOSE(PARAM!$B$51,R130,0,0,0)*(A130&lt;PARAM!$B$55)</f>
        <v>0</v>
      </c>
      <c r="T130" s="10">
        <f t="shared" si="25"/>
        <v>9.6005082546257725E-5</v>
      </c>
      <c r="U130" s="10">
        <f>T130*P130*(A130&lt;PARAM!$B$55)</f>
        <v>0</v>
      </c>
      <c r="W130">
        <v>127</v>
      </c>
      <c r="X130" s="178">
        <f t="shared" si="41"/>
        <v>42</v>
      </c>
      <c r="Y130" s="178">
        <f t="shared" si="41"/>
        <v>42</v>
      </c>
      <c r="Z130" s="178">
        <f t="shared" si="41"/>
        <v>11</v>
      </c>
      <c r="AA130" s="178">
        <f t="shared" si="41"/>
        <v>11</v>
      </c>
      <c r="AD130" s="17">
        <f>CALC!E154*(A130&lt;PARAM!$B$55)</f>
        <v>0</v>
      </c>
      <c r="AE130">
        <f>IF(A130&lt;ITER!$C$16,1,PARAM!$C$53^-(RATES!A130-ITER!$C$16))*(A130&lt;PARAM!$B$55)</f>
        <v>0</v>
      </c>
    </row>
    <row r="131" spans="1:31" x14ac:dyDescent="0.2">
      <c r="A131" s="9">
        <v>128</v>
      </c>
      <c r="B131" s="178">
        <f t="shared" si="39"/>
        <v>42</v>
      </c>
      <c r="C131" s="178">
        <f t="shared" si="39"/>
        <v>42</v>
      </c>
      <c r="D131" s="2">
        <f>PARAM!$H$38</f>
        <v>1</v>
      </c>
      <c r="E131" s="11">
        <f>PARAM!$G$38</f>
        <v>0</v>
      </c>
      <c r="F131" s="11">
        <f>(VLOOKUP(C131,DEDN!$A$8:$O$902,$F$2)*D131+E131)/1000</f>
        <v>1.16E-3</v>
      </c>
      <c r="G131" s="178">
        <f t="shared" si="40"/>
        <v>11</v>
      </c>
      <c r="H131" s="178">
        <f t="shared" si="40"/>
        <v>11</v>
      </c>
      <c r="I131" s="2">
        <f>PARAM!$H$39</f>
        <v>0</v>
      </c>
      <c r="J131" s="11">
        <f>PARAM!$G$39</f>
        <v>0</v>
      </c>
      <c r="K131" s="11">
        <f>(VLOOKUP(H131,DEDN!$A$8:$O$902,$K$2)*I131+J131)/1000</f>
        <v>0</v>
      </c>
      <c r="L131" s="11">
        <f>MIN(IF(PARAM!$B$43=3,CHOOSE($L$2,F131,K131),F131+K131-F131*K131),1)</f>
        <v>1.16E-3</v>
      </c>
      <c r="M131" s="2">
        <f>PARAM!$I$38</f>
        <v>0</v>
      </c>
      <c r="N131" s="11">
        <f>VLOOKUP(B131,DEDN!$A$8:$O$90,$N$2)*M131</f>
        <v>0</v>
      </c>
      <c r="O131" s="12"/>
      <c r="P131" s="10">
        <f>PARAM!$C$53^-A131</f>
        <v>1</v>
      </c>
      <c r="Q131" s="10">
        <f t="shared" si="38"/>
        <v>0.9925318826469216</v>
      </c>
      <c r="R131" s="10">
        <f t="shared" si="37"/>
        <v>0.9925318826469216</v>
      </c>
      <c r="S131" s="10">
        <f>CHOOSE(PARAM!$B$51,R131,0,0,0)*(A131&lt;PARAM!$B$55)</f>
        <v>0</v>
      </c>
      <c r="T131" s="10">
        <f t="shared" si="25"/>
        <v>9.5995797117165438E-5</v>
      </c>
      <c r="U131" s="10">
        <f>T131*P131*(A131&lt;PARAM!$B$55)</f>
        <v>0</v>
      </c>
      <c r="W131">
        <v>128</v>
      </c>
      <c r="X131" s="178">
        <f t="shared" si="41"/>
        <v>42</v>
      </c>
      <c r="Y131" s="178">
        <f t="shared" si="41"/>
        <v>42</v>
      </c>
      <c r="Z131" s="178">
        <f t="shared" si="41"/>
        <v>11</v>
      </c>
      <c r="AA131" s="178">
        <f t="shared" si="41"/>
        <v>11</v>
      </c>
      <c r="AD131" s="17">
        <f>CALC!E155*(A131&lt;PARAM!$B$55)</f>
        <v>0</v>
      </c>
      <c r="AE131">
        <f>IF(A131&lt;ITER!$C$16,1,PARAM!$C$53^-(RATES!A131-ITER!$C$16))*(A131&lt;PARAM!$B$55)</f>
        <v>0</v>
      </c>
    </row>
    <row r="132" spans="1:31" x14ac:dyDescent="0.2">
      <c r="A132" s="9">
        <v>129</v>
      </c>
      <c r="B132" s="178">
        <f t="shared" si="39"/>
        <v>42</v>
      </c>
      <c r="C132" s="178">
        <f t="shared" si="39"/>
        <v>42</v>
      </c>
      <c r="D132" s="2">
        <f>PARAM!$H$38</f>
        <v>1</v>
      </c>
      <c r="E132" s="11">
        <f>PARAM!$G$38</f>
        <v>0</v>
      </c>
      <c r="F132" s="11">
        <f>(VLOOKUP(C132,DEDN!$A$8:$O$902,$F$2)*D132+E132)/1000</f>
        <v>1.16E-3</v>
      </c>
      <c r="G132" s="178">
        <f t="shared" si="40"/>
        <v>11</v>
      </c>
      <c r="H132" s="178">
        <f t="shared" si="40"/>
        <v>11</v>
      </c>
      <c r="I132" s="2">
        <f>PARAM!$H$39</f>
        <v>0</v>
      </c>
      <c r="J132" s="11">
        <f>PARAM!$G$39</f>
        <v>0</v>
      </c>
      <c r="K132" s="11">
        <f>(VLOOKUP(H132,DEDN!$A$8:$O$902,$K$2)*I132+J132)/1000</f>
        <v>0</v>
      </c>
      <c r="L132" s="11">
        <f>MIN(IF(PARAM!$B$43=3,CHOOSE($L$2,F132,K132),F132+K132-F132*K132),1)</f>
        <v>1.16E-3</v>
      </c>
      <c r="M132" s="2">
        <f>PARAM!$I$38</f>
        <v>0</v>
      </c>
      <c r="N132" s="11">
        <f>VLOOKUP(B132,DEDN!$A$8:$O$90,$N$2)*M132</f>
        <v>0</v>
      </c>
      <c r="O132" s="12"/>
      <c r="P132" s="10">
        <f>PARAM!$C$53^-A132</f>
        <v>1</v>
      </c>
      <c r="Q132" s="10">
        <f t="shared" si="38"/>
        <v>0.99243588684980444</v>
      </c>
      <c r="R132" s="10">
        <f t="shared" ref="R132:R147" si="42">P132*Q132</f>
        <v>0.99243588684980444</v>
      </c>
      <c r="S132" s="10">
        <f>CHOOSE(PARAM!$B$51,R132,R132,0,0)*(A132&lt;PARAM!$B$55)</f>
        <v>0</v>
      </c>
      <c r="T132" s="10">
        <f t="shared" ref="T132:T195" si="43">Q132-Q133</f>
        <v>9.5986512586132555E-5</v>
      </c>
      <c r="U132" s="10">
        <f>T132*P132*(A132&lt;PARAM!$B$55)</f>
        <v>0</v>
      </c>
      <c r="W132">
        <v>129</v>
      </c>
      <c r="X132" s="178">
        <f t="shared" si="41"/>
        <v>42</v>
      </c>
      <c r="Y132" s="178">
        <f t="shared" si="41"/>
        <v>42</v>
      </c>
      <c r="Z132" s="178">
        <f t="shared" si="41"/>
        <v>11</v>
      </c>
      <c r="AA132" s="178">
        <f t="shared" si="41"/>
        <v>11</v>
      </c>
      <c r="AD132" s="17">
        <f>CALC!E156*(A132&lt;PARAM!$B$55)</f>
        <v>0</v>
      </c>
      <c r="AE132">
        <f>IF(A132&lt;ITER!$C$16,1,PARAM!$C$53^-(RATES!A132-ITER!$C$16))*(A132&lt;PARAM!$B$55)</f>
        <v>0</v>
      </c>
    </row>
    <row r="133" spans="1:31" x14ac:dyDescent="0.2">
      <c r="A133" s="9">
        <v>130</v>
      </c>
      <c r="B133" s="178">
        <f t="shared" si="39"/>
        <v>42</v>
      </c>
      <c r="C133" s="178">
        <f t="shared" si="39"/>
        <v>42</v>
      </c>
      <c r="D133" s="2">
        <f>PARAM!$H$38</f>
        <v>1</v>
      </c>
      <c r="E133" s="11">
        <f>PARAM!$G$38</f>
        <v>0</v>
      </c>
      <c r="F133" s="11">
        <f>(VLOOKUP(C133,DEDN!$A$8:$O$902,$F$2)*D133+E133)/1000</f>
        <v>1.16E-3</v>
      </c>
      <c r="G133" s="178">
        <f t="shared" si="40"/>
        <v>11</v>
      </c>
      <c r="H133" s="178">
        <f t="shared" si="40"/>
        <v>11</v>
      </c>
      <c r="I133" s="2">
        <f>PARAM!$H$39</f>
        <v>0</v>
      </c>
      <c r="J133" s="11">
        <f>PARAM!$G$39</f>
        <v>0</v>
      </c>
      <c r="K133" s="11">
        <f>(VLOOKUP(H133,DEDN!$A$8:$O$902,$K$2)*I133+J133)/1000</f>
        <v>0</v>
      </c>
      <c r="L133" s="11">
        <f>MIN(IF(PARAM!$B$43=3,CHOOSE($L$2,F133,K133),F133+K133-F133*K133),1)</f>
        <v>1.16E-3</v>
      </c>
      <c r="M133" s="2">
        <f>PARAM!$I$38</f>
        <v>0</v>
      </c>
      <c r="N133" s="11">
        <f>VLOOKUP(B133,DEDN!$A$8:$O$90,$N$2)*M133</f>
        <v>0</v>
      </c>
      <c r="O133" s="12"/>
      <c r="P133" s="10">
        <f>PARAM!$C$53^-A133</f>
        <v>1</v>
      </c>
      <c r="Q133" s="10">
        <f t="shared" ref="Q133:Q148" si="44">Q132*(1-L132)^(1/12)</f>
        <v>0.99233990033721831</v>
      </c>
      <c r="R133" s="10">
        <f t="shared" si="42"/>
        <v>0.99233990033721831</v>
      </c>
      <c r="S133" s="10">
        <f>CHOOSE(PARAM!$B$51,R133,0,0,0)*(A133&lt;PARAM!$B$55)</f>
        <v>0</v>
      </c>
      <c r="T133" s="10">
        <f t="shared" si="43"/>
        <v>9.5977228953048055E-5</v>
      </c>
      <c r="U133" s="10">
        <f>T133*P133*(A133&lt;PARAM!$B$55)</f>
        <v>0</v>
      </c>
      <c r="W133">
        <v>130</v>
      </c>
      <c r="X133" s="178">
        <f t="shared" si="41"/>
        <v>42</v>
      </c>
      <c r="Y133" s="178">
        <f t="shared" si="41"/>
        <v>42</v>
      </c>
      <c r="Z133" s="178">
        <f t="shared" si="41"/>
        <v>11</v>
      </c>
      <c r="AA133" s="178">
        <f t="shared" si="41"/>
        <v>11</v>
      </c>
      <c r="AD133" s="17">
        <f>CALC!E157*(A133&lt;PARAM!$B$55)</f>
        <v>0</v>
      </c>
      <c r="AE133">
        <f>IF(A133&lt;ITER!$C$16,1,PARAM!$C$53^-(RATES!A133-ITER!$C$16))*(A133&lt;PARAM!$B$55)</f>
        <v>0</v>
      </c>
    </row>
    <row r="134" spans="1:31" x14ac:dyDescent="0.2">
      <c r="A134" s="9">
        <v>131</v>
      </c>
      <c r="B134" s="178">
        <f t="shared" si="39"/>
        <v>42</v>
      </c>
      <c r="C134" s="178">
        <f t="shared" si="39"/>
        <v>42</v>
      </c>
      <c r="D134" s="2">
        <f>PARAM!$H$38</f>
        <v>1</v>
      </c>
      <c r="E134" s="11">
        <f>PARAM!$G$38</f>
        <v>0</v>
      </c>
      <c r="F134" s="11">
        <f>(VLOOKUP(C134,DEDN!$A$8:$O$902,$F$2)*D134+E134)/1000</f>
        <v>1.16E-3</v>
      </c>
      <c r="G134" s="178">
        <f t="shared" si="40"/>
        <v>11</v>
      </c>
      <c r="H134" s="178">
        <f t="shared" si="40"/>
        <v>11</v>
      </c>
      <c r="I134" s="2">
        <f>PARAM!$H$39</f>
        <v>0</v>
      </c>
      <c r="J134" s="11">
        <f>PARAM!$G$39</f>
        <v>0</v>
      </c>
      <c r="K134" s="11">
        <f>(VLOOKUP(H134,DEDN!$A$8:$O$902,$K$2)*I134+J134)/1000</f>
        <v>0</v>
      </c>
      <c r="L134" s="11">
        <f>MIN(IF(PARAM!$B$43=3,CHOOSE($L$2,F134,K134),F134+K134-F134*K134),1)</f>
        <v>1.16E-3</v>
      </c>
      <c r="M134" s="2">
        <f>PARAM!$I$38</f>
        <v>0</v>
      </c>
      <c r="N134" s="11">
        <f>VLOOKUP(B134,DEDN!$A$8:$O$90,$N$2)*M134</f>
        <v>0</v>
      </c>
      <c r="O134" s="12"/>
      <c r="P134" s="10">
        <f>PARAM!$C$53^-A134</f>
        <v>1</v>
      </c>
      <c r="Q134" s="10">
        <f t="shared" si="44"/>
        <v>0.99224392310826526</v>
      </c>
      <c r="R134" s="10">
        <f t="shared" si="42"/>
        <v>0.99224392310826526</v>
      </c>
      <c r="S134" s="10">
        <f>CHOOSE(PARAM!$B$51,R134,0,0,0)*(A134&lt;PARAM!$B$55)</f>
        <v>0</v>
      </c>
      <c r="T134" s="10">
        <f t="shared" si="43"/>
        <v>9.5967946217911937E-5</v>
      </c>
      <c r="U134" s="10">
        <f>T134*P134*(A134&lt;PARAM!$B$55)</f>
        <v>0</v>
      </c>
      <c r="W134">
        <v>131</v>
      </c>
      <c r="X134" s="178">
        <f t="shared" si="41"/>
        <v>42</v>
      </c>
      <c r="Y134" s="178">
        <f t="shared" si="41"/>
        <v>42</v>
      </c>
      <c r="Z134" s="178">
        <f t="shared" si="41"/>
        <v>11</v>
      </c>
      <c r="AA134" s="178">
        <f t="shared" si="41"/>
        <v>11</v>
      </c>
      <c r="AD134" s="17">
        <f>CALC!E158*(A134&lt;PARAM!$B$55)</f>
        <v>0</v>
      </c>
      <c r="AE134">
        <f>IF(A134&lt;ITER!$C$16,1,PARAM!$C$53^-(RATES!A134-ITER!$C$16))*(A134&lt;PARAM!$B$55)</f>
        <v>0</v>
      </c>
    </row>
    <row r="135" spans="1:31" x14ac:dyDescent="0.2">
      <c r="A135" s="9">
        <v>132</v>
      </c>
      <c r="B135" s="178">
        <f t="shared" si="39"/>
        <v>42</v>
      </c>
      <c r="C135" s="178">
        <f t="shared" si="39"/>
        <v>42</v>
      </c>
      <c r="D135" s="2">
        <f>PARAM!$H$38</f>
        <v>1</v>
      </c>
      <c r="E135" s="11">
        <f>PARAM!$G$38</f>
        <v>0</v>
      </c>
      <c r="F135" s="11">
        <f>(VLOOKUP(C135,DEDN!$A$8:$O$902,$F$2)*D135+E135)/1000</f>
        <v>1.16E-3</v>
      </c>
      <c r="G135" s="178">
        <f t="shared" si="40"/>
        <v>11</v>
      </c>
      <c r="H135" s="178">
        <f t="shared" si="40"/>
        <v>11</v>
      </c>
      <c r="I135" s="2">
        <f>PARAM!$H$39</f>
        <v>0</v>
      </c>
      <c r="J135" s="11">
        <f>PARAM!$G$39</f>
        <v>0</v>
      </c>
      <c r="K135" s="11">
        <f>(VLOOKUP(H135,DEDN!$A$8:$O$902,$K$2)*I135+J135)/1000</f>
        <v>0</v>
      </c>
      <c r="L135" s="11">
        <f>MIN(IF(PARAM!$B$43=3,CHOOSE($L$2,F135,K135),F135+K135-F135*K135),1)</f>
        <v>1.16E-3</v>
      </c>
      <c r="M135" s="2">
        <f>PARAM!$I$38</f>
        <v>0</v>
      </c>
      <c r="N135" s="11">
        <f>VLOOKUP(B135,DEDN!$A$8:$O$90,$N$2)*M135</f>
        <v>0</v>
      </c>
      <c r="O135" s="12"/>
      <c r="P135" s="10">
        <f>PARAM!$C$53^-A135</f>
        <v>1</v>
      </c>
      <c r="Q135" s="10">
        <f t="shared" si="44"/>
        <v>0.99214795516204735</v>
      </c>
      <c r="R135" s="10">
        <f t="shared" si="42"/>
        <v>0.99214795516204735</v>
      </c>
      <c r="S135" s="10">
        <f>R135*(A135&lt;PARAM!$B$55)</f>
        <v>0</v>
      </c>
      <c r="T135" s="10">
        <f t="shared" si="43"/>
        <v>9.5958664380613179E-5</v>
      </c>
      <c r="U135" s="10">
        <f>T135*P135*(A135&lt;PARAM!$B$55)</f>
        <v>0</v>
      </c>
      <c r="W135">
        <v>132</v>
      </c>
      <c r="X135" s="178">
        <f t="shared" si="41"/>
        <v>42</v>
      </c>
      <c r="Y135" s="178">
        <f t="shared" si="41"/>
        <v>42</v>
      </c>
      <c r="Z135" s="178">
        <f t="shared" si="41"/>
        <v>11</v>
      </c>
      <c r="AA135" s="178">
        <f t="shared" si="41"/>
        <v>11</v>
      </c>
      <c r="AD135" s="17">
        <f>CALC!E159*(A135&lt;PARAM!$B$55)</f>
        <v>0</v>
      </c>
      <c r="AE135">
        <f>IF(A135&lt;ITER!$C$16,1,PARAM!$C$53^-(RATES!A135-ITER!$C$16))*(A135&lt;PARAM!$B$55)</f>
        <v>0</v>
      </c>
    </row>
    <row r="136" spans="1:31" x14ac:dyDescent="0.2">
      <c r="A136" s="9">
        <v>133</v>
      </c>
      <c r="B136" s="178">
        <f t="shared" si="39"/>
        <v>42</v>
      </c>
      <c r="C136" s="178">
        <f t="shared" si="39"/>
        <v>42</v>
      </c>
      <c r="D136" s="2">
        <f>PARAM!$H$38</f>
        <v>1</v>
      </c>
      <c r="E136" s="11">
        <f>PARAM!$G$38</f>
        <v>0</v>
      </c>
      <c r="F136" s="11">
        <f>(VLOOKUP(C136,DEDN!$A$8:$O$902,$F$2)*D136+E136)/1000</f>
        <v>1.16E-3</v>
      </c>
      <c r="G136" s="178">
        <f t="shared" si="40"/>
        <v>11</v>
      </c>
      <c r="H136" s="178">
        <f t="shared" si="40"/>
        <v>11</v>
      </c>
      <c r="I136" s="2">
        <f>PARAM!$H$39</f>
        <v>0</v>
      </c>
      <c r="J136" s="11">
        <f>PARAM!$G$39</f>
        <v>0</v>
      </c>
      <c r="K136" s="11">
        <f>(VLOOKUP(H136,DEDN!$A$8:$O$902,$K$2)*I136+J136)/1000</f>
        <v>0</v>
      </c>
      <c r="L136" s="11">
        <f>MIN(IF(PARAM!$B$43=3,CHOOSE($L$2,F136,K136),F136+K136-F136*K136),1)</f>
        <v>1.16E-3</v>
      </c>
      <c r="M136" s="2">
        <f>PARAM!$I$38</f>
        <v>0</v>
      </c>
      <c r="N136" s="11">
        <f>VLOOKUP(B136,DEDN!$A$8:$O$90,$N$2)*M136</f>
        <v>0</v>
      </c>
      <c r="O136" s="12"/>
      <c r="P136" s="10">
        <f>PARAM!$C$53^-A136</f>
        <v>1</v>
      </c>
      <c r="Q136" s="10">
        <f t="shared" si="44"/>
        <v>0.99205199649766673</v>
      </c>
      <c r="R136" s="10">
        <f t="shared" si="42"/>
        <v>0.99205199649766673</v>
      </c>
      <c r="S136" s="10">
        <f>CHOOSE(PARAM!$B$51,R136,0,0,0)*(A136&lt;PARAM!$B$55)</f>
        <v>0</v>
      </c>
      <c r="T136" s="10">
        <f t="shared" si="43"/>
        <v>9.5949383440929736E-5</v>
      </c>
      <c r="U136" s="10">
        <f>T136*P136*(A136&lt;PARAM!$B$55)</f>
        <v>0</v>
      </c>
      <c r="W136">
        <v>133</v>
      </c>
      <c r="X136" s="178">
        <f t="shared" si="41"/>
        <v>42</v>
      </c>
      <c r="Y136" s="178">
        <f t="shared" si="41"/>
        <v>42</v>
      </c>
      <c r="Z136" s="178">
        <f t="shared" si="41"/>
        <v>11</v>
      </c>
      <c r="AA136" s="178">
        <f t="shared" si="41"/>
        <v>11</v>
      </c>
      <c r="AD136" s="17">
        <f>CALC!E160*(A136&lt;PARAM!$B$55)</f>
        <v>0</v>
      </c>
      <c r="AE136">
        <f>IF(A136&lt;ITER!$C$16,1,PARAM!$C$53^-(RATES!A136-ITER!$C$16))*(A136&lt;PARAM!$B$55)</f>
        <v>0</v>
      </c>
    </row>
    <row r="137" spans="1:31" x14ac:dyDescent="0.2">
      <c r="A137" s="9">
        <v>134</v>
      </c>
      <c r="B137" s="178">
        <f t="shared" si="39"/>
        <v>42</v>
      </c>
      <c r="C137" s="178">
        <f t="shared" si="39"/>
        <v>42</v>
      </c>
      <c r="D137" s="2">
        <f>PARAM!$H$38</f>
        <v>1</v>
      </c>
      <c r="E137" s="11">
        <f>PARAM!$G$38</f>
        <v>0</v>
      </c>
      <c r="F137" s="11">
        <f>(VLOOKUP(C137,DEDN!$A$8:$O$902,$F$2)*D137+E137)/1000</f>
        <v>1.16E-3</v>
      </c>
      <c r="G137" s="178">
        <f t="shared" si="40"/>
        <v>11</v>
      </c>
      <c r="H137" s="178">
        <f t="shared" si="40"/>
        <v>11</v>
      </c>
      <c r="I137" s="2">
        <f>PARAM!$H$39</f>
        <v>0</v>
      </c>
      <c r="J137" s="11">
        <f>PARAM!$G$39</f>
        <v>0</v>
      </c>
      <c r="K137" s="11">
        <f>(VLOOKUP(H137,DEDN!$A$8:$O$902,$K$2)*I137+J137)/1000</f>
        <v>0</v>
      </c>
      <c r="L137" s="11">
        <f>MIN(IF(PARAM!$B$43=3,CHOOSE($L$2,F137,K137),F137+K137-F137*K137),1)</f>
        <v>1.16E-3</v>
      </c>
      <c r="M137" s="2">
        <f>PARAM!$I$38</f>
        <v>0</v>
      </c>
      <c r="N137" s="11">
        <f>VLOOKUP(B137,DEDN!$A$8:$O$90,$N$2)*M137</f>
        <v>0</v>
      </c>
      <c r="O137" s="12"/>
      <c r="P137" s="10">
        <f>PARAM!$C$53^-A137</f>
        <v>1</v>
      </c>
      <c r="Q137" s="10">
        <f t="shared" si="44"/>
        <v>0.9919560471142258</v>
      </c>
      <c r="R137" s="10">
        <f t="shared" si="42"/>
        <v>0.9919560471142258</v>
      </c>
      <c r="S137" s="10">
        <f>CHOOSE(PARAM!$B$51,R137,0,0,0)*(A137&lt;PARAM!$B$55)</f>
        <v>0</v>
      </c>
      <c r="T137" s="10">
        <f t="shared" si="43"/>
        <v>9.5940103398972632E-5</v>
      </c>
      <c r="U137" s="10">
        <f>T137*P137*(A137&lt;PARAM!$B$55)</f>
        <v>0</v>
      </c>
      <c r="W137">
        <v>134</v>
      </c>
      <c r="X137" s="178">
        <f t="shared" si="41"/>
        <v>42</v>
      </c>
      <c r="Y137" s="178">
        <f t="shared" si="41"/>
        <v>42</v>
      </c>
      <c r="Z137" s="178">
        <f t="shared" si="41"/>
        <v>11</v>
      </c>
      <c r="AA137" s="178">
        <f t="shared" si="41"/>
        <v>11</v>
      </c>
      <c r="AD137" s="17">
        <f>CALC!E161*(A137&lt;PARAM!$B$55)</f>
        <v>0</v>
      </c>
      <c r="AE137">
        <f>IF(A137&lt;ITER!$C$16,1,PARAM!$C$53^-(RATES!A137-ITER!$C$16))*(A137&lt;PARAM!$B$55)</f>
        <v>0</v>
      </c>
    </row>
    <row r="138" spans="1:31" x14ac:dyDescent="0.2">
      <c r="A138" s="9">
        <v>135</v>
      </c>
      <c r="B138" s="178">
        <f t="shared" si="39"/>
        <v>42</v>
      </c>
      <c r="C138" s="178">
        <f t="shared" si="39"/>
        <v>42</v>
      </c>
      <c r="D138" s="2">
        <f>PARAM!$H$38</f>
        <v>1</v>
      </c>
      <c r="E138" s="11">
        <f>PARAM!$G$38</f>
        <v>0</v>
      </c>
      <c r="F138" s="11">
        <f>(VLOOKUP(C138,DEDN!$A$8:$O$902,$F$2)*D138+E138)/1000</f>
        <v>1.16E-3</v>
      </c>
      <c r="G138" s="178">
        <f t="shared" si="40"/>
        <v>11</v>
      </c>
      <c r="H138" s="178">
        <f t="shared" si="40"/>
        <v>11</v>
      </c>
      <c r="I138" s="2">
        <f>PARAM!$H$39</f>
        <v>0</v>
      </c>
      <c r="J138" s="11">
        <f>PARAM!$G$39</f>
        <v>0</v>
      </c>
      <c r="K138" s="11">
        <f>(VLOOKUP(H138,DEDN!$A$8:$O$902,$K$2)*I138+J138)/1000</f>
        <v>0</v>
      </c>
      <c r="L138" s="11">
        <f>MIN(IF(PARAM!$B$43=3,CHOOSE($L$2,F138,K138),F138+K138-F138*K138),1)</f>
        <v>1.16E-3</v>
      </c>
      <c r="M138" s="2">
        <f>PARAM!$I$38</f>
        <v>0</v>
      </c>
      <c r="N138" s="11">
        <f>VLOOKUP(B138,DEDN!$A$8:$O$90,$N$2)*M138</f>
        <v>0</v>
      </c>
      <c r="O138" s="12"/>
      <c r="P138" s="10">
        <f>PARAM!$C$53^-A138</f>
        <v>1</v>
      </c>
      <c r="Q138" s="10">
        <f t="shared" si="44"/>
        <v>0.99186010701082683</v>
      </c>
      <c r="R138" s="10">
        <f t="shared" si="42"/>
        <v>0.99186010701082683</v>
      </c>
      <c r="S138" s="10">
        <f>CHOOSE(PARAM!$B$51,R138,R138,0,0)*(A138&lt;PARAM!$B$55)</f>
        <v>0</v>
      </c>
      <c r="T138" s="10">
        <f t="shared" si="43"/>
        <v>9.593082425451982E-5</v>
      </c>
      <c r="U138" s="10">
        <f>T138*P138*(A138&lt;PARAM!$B$55)</f>
        <v>0</v>
      </c>
      <c r="W138">
        <v>135</v>
      </c>
      <c r="X138" s="178">
        <f t="shared" si="41"/>
        <v>42</v>
      </c>
      <c r="Y138" s="178">
        <f t="shared" si="41"/>
        <v>42</v>
      </c>
      <c r="Z138" s="178">
        <f t="shared" si="41"/>
        <v>11</v>
      </c>
      <c r="AA138" s="178">
        <f t="shared" si="41"/>
        <v>11</v>
      </c>
      <c r="AD138" s="17">
        <f>CALC!E162*(A138&lt;PARAM!$B$55)</f>
        <v>0</v>
      </c>
      <c r="AE138">
        <f>IF(A138&lt;ITER!$C$16,1,PARAM!$C$53^-(RATES!A138-ITER!$C$16))*(A138&lt;PARAM!$B$55)</f>
        <v>0</v>
      </c>
    </row>
    <row r="139" spans="1:31" x14ac:dyDescent="0.2">
      <c r="A139" s="9">
        <v>136</v>
      </c>
      <c r="B139" s="178">
        <f t="shared" si="39"/>
        <v>42</v>
      </c>
      <c r="C139" s="178">
        <f t="shared" si="39"/>
        <v>42</v>
      </c>
      <c r="D139" s="2">
        <f>PARAM!$H$38</f>
        <v>1</v>
      </c>
      <c r="E139" s="11">
        <f>PARAM!$G$38</f>
        <v>0</v>
      </c>
      <c r="F139" s="11">
        <f>(VLOOKUP(C139,DEDN!$A$8:$O$902,$F$2)*D139+E139)/1000</f>
        <v>1.16E-3</v>
      </c>
      <c r="G139" s="178">
        <f t="shared" si="40"/>
        <v>11</v>
      </c>
      <c r="H139" s="178">
        <f t="shared" si="40"/>
        <v>11</v>
      </c>
      <c r="I139" s="2">
        <f>PARAM!$H$39</f>
        <v>0</v>
      </c>
      <c r="J139" s="11">
        <f>PARAM!$G$39</f>
        <v>0</v>
      </c>
      <c r="K139" s="11">
        <f>(VLOOKUP(H139,DEDN!$A$8:$O$902,$K$2)*I139+J139)/1000</f>
        <v>0</v>
      </c>
      <c r="L139" s="11">
        <f>MIN(IF(PARAM!$B$43=3,CHOOSE($L$2,F139,K139),F139+K139-F139*K139),1)</f>
        <v>1.16E-3</v>
      </c>
      <c r="M139" s="2">
        <f>PARAM!$I$38</f>
        <v>0</v>
      </c>
      <c r="N139" s="11">
        <f>VLOOKUP(B139,DEDN!$A$8:$O$90,$N$2)*M139</f>
        <v>0</v>
      </c>
      <c r="O139" s="12"/>
      <c r="P139" s="10">
        <f>PARAM!$C$53^-A139</f>
        <v>1</v>
      </c>
      <c r="Q139" s="10">
        <f t="shared" si="44"/>
        <v>0.99176417618657231</v>
      </c>
      <c r="R139" s="10">
        <f t="shared" si="42"/>
        <v>0.99176417618657231</v>
      </c>
      <c r="S139" s="10">
        <f>CHOOSE(PARAM!$B$51,R139,0,0,0)*(A139&lt;PARAM!$B$55)</f>
        <v>0</v>
      </c>
      <c r="T139" s="10">
        <f t="shared" si="43"/>
        <v>9.5921546007571301E-5</v>
      </c>
      <c r="U139" s="10">
        <f>T139*P139*(A139&lt;PARAM!$B$55)</f>
        <v>0</v>
      </c>
      <c r="W139">
        <v>136</v>
      </c>
      <c r="X139" s="178">
        <f t="shared" si="41"/>
        <v>42</v>
      </c>
      <c r="Y139" s="178">
        <f t="shared" si="41"/>
        <v>42</v>
      </c>
      <c r="Z139" s="178">
        <f t="shared" si="41"/>
        <v>11</v>
      </c>
      <c r="AA139" s="178">
        <f t="shared" si="41"/>
        <v>11</v>
      </c>
      <c r="AD139" s="17">
        <f>CALC!E163*(A139&lt;PARAM!$B$55)</f>
        <v>0</v>
      </c>
      <c r="AE139">
        <f>IF(A139&lt;ITER!$C$16,1,PARAM!$C$53^-(RATES!A139-ITER!$C$16))*(A139&lt;PARAM!$B$55)</f>
        <v>0</v>
      </c>
    </row>
    <row r="140" spans="1:31" x14ac:dyDescent="0.2">
      <c r="A140" s="9">
        <v>137</v>
      </c>
      <c r="B140" s="178">
        <f t="shared" si="39"/>
        <v>42</v>
      </c>
      <c r="C140" s="178">
        <f t="shared" si="39"/>
        <v>42</v>
      </c>
      <c r="D140" s="2">
        <f>PARAM!$H$38</f>
        <v>1</v>
      </c>
      <c r="E140" s="11">
        <f>PARAM!$G$38</f>
        <v>0</v>
      </c>
      <c r="F140" s="11">
        <f>(VLOOKUP(C140,DEDN!$A$8:$O$902,$F$2)*D140+E140)/1000</f>
        <v>1.16E-3</v>
      </c>
      <c r="G140" s="178">
        <f t="shared" si="40"/>
        <v>11</v>
      </c>
      <c r="H140" s="178">
        <f t="shared" si="40"/>
        <v>11</v>
      </c>
      <c r="I140" s="2">
        <f>PARAM!$H$39</f>
        <v>0</v>
      </c>
      <c r="J140" s="11">
        <f>PARAM!$G$39</f>
        <v>0</v>
      </c>
      <c r="K140" s="11">
        <f>(VLOOKUP(H140,DEDN!$A$8:$O$902,$K$2)*I140+J140)/1000</f>
        <v>0</v>
      </c>
      <c r="L140" s="11">
        <f>MIN(IF(PARAM!$B$43=3,CHOOSE($L$2,F140,K140),F140+K140-F140*K140),1)</f>
        <v>1.16E-3</v>
      </c>
      <c r="M140" s="2">
        <f>PARAM!$I$38</f>
        <v>0</v>
      </c>
      <c r="N140" s="11">
        <f>VLOOKUP(B140,DEDN!$A$8:$O$90,$N$2)*M140</f>
        <v>0</v>
      </c>
      <c r="O140" s="12"/>
      <c r="P140" s="10">
        <f>PARAM!$C$53^-A140</f>
        <v>1</v>
      </c>
      <c r="Q140" s="10">
        <f t="shared" si="44"/>
        <v>0.99166825464056474</v>
      </c>
      <c r="R140" s="10">
        <f t="shared" si="42"/>
        <v>0.99166825464056474</v>
      </c>
      <c r="S140" s="10">
        <f>CHOOSE(PARAM!$B$51,R140,0,0,0)*(A140&lt;PARAM!$B$55)</f>
        <v>0</v>
      </c>
      <c r="T140" s="10">
        <f t="shared" si="43"/>
        <v>9.5912268657905031E-5</v>
      </c>
      <c r="U140" s="10">
        <f>T140*P140*(A140&lt;PARAM!$B$55)</f>
        <v>0</v>
      </c>
      <c r="W140">
        <v>137</v>
      </c>
      <c r="X140" s="178">
        <f t="shared" si="41"/>
        <v>42</v>
      </c>
      <c r="Y140" s="178">
        <f t="shared" si="41"/>
        <v>42</v>
      </c>
      <c r="Z140" s="178">
        <f t="shared" si="41"/>
        <v>11</v>
      </c>
      <c r="AA140" s="178">
        <f t="shared" si="41"/>
        <v>11</v>
      </c>
      <c r="AD140" s="17">
        <f>CALC!E164*(A140&lt;PARAM!$B$55)</f>
        <v>0</v>
      </c>
      <c r="AE140">
        <f>IF(A140&lt;ITER!$C$16,1,PARAM!$C$53^-(RATES!A140-ITER!$C$16))*(A140&lt;PARAM!$B$55)</f>
        <v>0</v>
      </c>
    </row>
    <row r="141" spans="1:31" x14ac:dyDescent="0.2">
      <c r="A141" s="9">
        <v>138</v>
      </c>
      <c r="B141" s="178">
        <f t="shared" ref="B141:C160" si="45">B129+1</f>
        <v>43</v>
      </c>
      <c r="C141" s="178">
        <f t="shared" si="45"/>
        <v>43</v>
      </c>
      <c r="D141" s="2">
        <f>PARAM!$H$38</f>
        <v>1</v>
      </c>
      <c r="E141" s="11">
        <f>PARAM!$G$38</f>
        <v>0</v>
      </c>
      <c r="F141" s="11">
        <f>(VLOOKUP(C141,DEDN!$A$8:$O$902,$F$2)*D141+E141)/1000</f>
        <v>1.2999999999999999E-3</v>
      </c>
      <c r="G141" s="178">
        <f t="shared" ref="G141:H160" si="46">G129+1</f>
        <v>12</v>
      </c>
      <c r="H141" s="178">
        <f t="shared" si="46"/>
        <v>12</v>
      </c>
      <c r="I141" s="2">
        <f>PARAM!$H$39</f>
        <v>0</v>
      </c>
      <c r="J141" s="11">
        <f>PARAM!$G$39</f>
        <v>0</v>
      </c>
      <c r="K141" s="11">
        <f>(VLOOKUP(H141,DEDN!$A$8:$O$902,$K$2)*I141+J141)/1000</f>
        <v>0</v>
      </c>
      <c r="L141" s="11">
        <f>MIN(IF(PARAM!$B$43=3,CHOOSE($L$2,F141,K141),F141+K141-F141*K141),1)</f>
        <v>1.2999999999999999E-3</v>
      </c>
      <c r="M141" s="2">
        <f>PARAM!$I$38</f>
        <v>0</v>
      </c>
      <c r="N141" s="11">
        <f>VLOOKUP(B141,DEDN!$A$8:$O$90,$N$2)*M141</f>
        <v>0</v>
      </c>
      <c r="O141" s="12"/>
      <c r="P141" s="10">
        <f>PARAM!$C$53^-A141</f>
        <v>1</v>
      </c>
      <c r="Q141" s="10">
        <f t="shared" si="44"/>
        <v>0.99157234237190683</v>
      </c>
      <c r="R141" s="10">
        <f t="shared" si="42"/>
        <v>0.99157234237190683</v>
      </c>
      <c r="S141" s="10">
        <f>CHOOSE(PARAM!$B$51,R141,R141,R141,0)*(A141&lt;PARAM!$B$55)</f>
        <v>0</v>
      </c>
      <c r="T141" s="10">
        <f t="shared" si="43"/>
        <v>1.0748439491770068E-4</v>
      </c>
      <c r="U141" s="10">
        <f>T141*P141*(A141&lt;PARAM!$B$55)</f>
        <v>0</v>
      </c>
      <c r="W141">
        <v>138</v>
      </c>
      <c r="X141" s="178">
        <f t="shared" ref="X141:AA160" si="47">X129+1</f>
        <v>43</v>
      </c>
      <c r="Y141" s="178">
        <f t="shared" si="47"/>
        <v>43</v>
      </c>
      <c r="Z141" s="178">
        <f t="shared" si="47"/>
        <v>12</v>
      </c>
      <c r="AA141" s="178">
        <f t="shared" si="47"/>
        <v>12</v>
      </c>
      <c r="AD141" s="17">
        <f>CALC!E165*(A141&lt;PARAM!$B$55)</f>
        <v>0</v>
      </c>
      <c r="AE141">
        <f>IF(A141&lt;ITER!$C$16,1,PARAM!$C$53^-(RATES!A141-ITER!$C$16))*(A141&lt;PARAM!$B$55)</f>
        <v>0</v>
      </c>
    </row>
    <row r="142" spans="1:31" x14ac:dyDescent="0.2">
      <c r="A142" s="9">
        <v>139</v>
      </c>
      <c r="B142" s="178">
        <f t="shared" si="45"/>
        <v>43</v>
      </c>
      <c r="C142" s="178">
        <f t="shared" si="45"/>
        <v>43</v>
      </c>
      <c r="D142" s="2">
        <f>PARAM!$H$38</f>
        <v>1</v>
      </c>
      <c r="E142" s="11">
        <f>PARAM!$G$38</f>
        <v>0</v>
      </c>
      <c r="F142" s="11">
        <f>(VLOOKUP(C142,DEDN!$A$8:$O$902,$F$2)*D142+E142)/1000</f>
        <v>1.2999999999999999E-3</v>
      </c>
      <c r="G142" s="178">
        <f t="shared" si="46"/>
        <v>12</v>
      </c>
      <c r="H142" s="178">
        <f t="shared" si="46"/>
        <v>12</v>
      </c>
      <c r="I142" s="2">
        <f>PARAM!$H$39</f>
        <v>0</v>
      </c>
      <c r="J142" s="11">
        <f>PARAM!$G$39</f>
        <v>0</v>
      </c>
      <c r="K142" s="11">
        <f>(VLOOKUP(H142,DEDN!$A$8:$O$902,$K$2)*I142+J142)/1000</f>
        <v>0</v>
      </c>
      <c r="L142" s="11">
        <f>MIN(IF(PARAM!$B$43=3,CHOOSE($L$2,F142,K142),F142+K142-F142*K142),1)</f>
        <v>1.2999999999999999E-3</v>
      </c>
      <c r="M142" s="2">
        <f>PARAM!$I$38</f>
        <v>0</v>
      </c>
      <c r="N142" s="11">
        <f>VLOOKUP(B142,DEDN!$A$8:$O$90,$N$2)*M142</f>
        <v>0</v>
      </c>
      <c r="O142" s="12"/>
      <c r="P142" s="10">
        <f>PARAM!$C$53^-A142</f>
        <v>1</v>
      </c>
      <c r="Q142" s="10">
        <f t="shared" si="44"/>
        <v>0.99146485797698913</v>
      </c>
      <c r="R142" s="10">
        <f t="shared" si="42"/>
        <v>0.99146485797698913</v>
      </c>
      <c r="S142" s="10">
        <f>CHOOSE(PARAM!$B$51,R142,0,0,0)*(A142&lt;PARAM!$B$55)</f>
        <v>0</v>
      </c>
      <c r="T142" s="10">
        <f t="shared" si="43"/>
        <v>1.0747274383116068E-4</v>
      </c>
      <c r="U142" s="10">
        <f>T142*P142*(A142&lt;PARAM!$B$55)</f>
        <v>0</v>
      </c>
      <c r="W142">
        <v>139</v>
      </c>
      <c r="X142" s="178">
        <f t="shared" si="47"/>
        <v>43</v>
      </c>
      <c r="Y142" s="178">
        <f t="shared" si="47"/>
        <v>43</v>
      </c>
      <c r="Z142" s="178">
        <f t="shared" si="47"/>
        <v>12</v>
      </c>
      <c r="AA142" s="178">
        <f t="shared" si="47"/>
        <v>12</v>
      </c>
      <c r="AD142" s="17">
        <f>CALC!E166*(A142&lt;PARAM!$B$55)</f>
        <v>0</v>
      </c>
      <c r="AE142">
        <f>IF(A142&lt;ITER!$C$16,1,PARAM!$C$53^-(RATES!A142-ITER!$C$16))*(A142&lt;PARAM!$B$55)</f>
        <v>0</v>
      </c>
    </row>
    <row r="143" spans="1:31" x14ac:dyDescent="0.2">
      <c r="A143" s="9">
        <v>140</v>
      </c>
      <c r="B143" s="178">
        <f t="shared" si="45"/>
        <v>43</v>
      </c>
      <c r="C143" s="178">
        <f t="shared" si="45"/>
        <v>43</v>
      </c>
      <c r="D143" s="2">
        <f>PARAM!$H$38</f>
        <v>1</v>
      </c>
      <c r="E143" s="11">
        <f>PARAM!$G$38</f>
        <v>0</v>
      </c>
      <c r="F143" s="11">
        <f>(VLOOKUP(C143,DEDN!$A$8:$O$902,$F$2)*D143+E143)/1000</f>
        <v>1.2999999999999999E-3</v>
      </c>
      <c r="G143" s="178">
        <f t="shared" si="46"/>
        <v>12</v>
      </c>
      <c r="H143" s="178">
        <f t="shared" si="46"/>
        <v>12</v>
      </c>
      <c r="I143" s="2">
        <f>PARAM!$H$39</f>
        <v>0</v>
      </c>
      <c r="J143" s="11">
        <f>PARAM!$G$39</f>
        <v>0</v>
      </c>
      <c r="K143" s="11">
        <f>(VLOOKUP(H143,DEDN!$A$8:$O$902,$K$2)*I143+J143)/1000</f>
        <v>0</v>
      </c>
      <c r="L143" s="11">
        <f>MIN(IF(PARAM!$B$43=3,CHOOSE($L$2,F143,K143),F143+K143-F143*K143),1)</f>
        <v>1.2999999999999999E-3</v>
      </c>
      <c r="M143" s="2">
        <f>PARAM!$I$38</f>
        <v>0</v>
      </c>
      <c r="N143" s="11">
        <f>VLOOKUP(B143,DEDN!$A$8:$O$90,$N$2)*M143</f>
        <v>0</v>
      </c>
      <c r="O143" s="12"/>
      <c r="P143" s="10">
        <f>PARAM!$C$53^-A143</f>
        <v>1</v>
      </c>
      <c r="Q143" s="10">
        <f t="shared" si="44"/>
        <v>0.99135738523315797</v>
      </c>
      <c r="R143" s="10">
        <f t="shared" si="42"/>
        <v>0.99135738523315797</v>
      </c>
      <c r="S143" s="10">
        <f>CHOOSE(PARAM!$B$51,R143,0,0,0)*(A143&lt;PARAM!$B$55)</f>
        <v>0</v>
      </c>
      <c r="T143" s="10">
        <f t="shared" si="43"/>
        <v>1.0746109400761039E-4</v>
      </c>
      <c r="U143" s="10">
        <f>T143*P143*(A143&lt;PARAM!$B$55)</f>
        <v>0</v>
      </c>
      <c r="W143">
        <v>140</v>
      </c>
      <c r="X143" s="178">
        <f t="shared" si="47"/>
        <v>43</v>
      </c>
      <c r="Y143" s="178">
        <f t="shared" si="47"/>
        <v>43</v>
      </c>
      <c r="Z143" s="178">
        <f t="shared" si="47"/>
        <v>12</v>
      </c>
      <c r="AA143" s="178">
        <f t="shared" si="47"/>
        <v>12</v>
      </c>
      <c r="AD143" s="17">
        <f>CALC!E167*(A143&lt;PARAM!$B$55)</f>
        <v>0</v>
      </c>
      <c r="AE143">
        <f>IF(A143&lt;ITER!$C$16,1,PARAM!$C$53^-(RATES!A143-ITER!$C$16))*(A143&lt;PARAM!$B$55)</f>
        <v>0</v>
      </c>
    </row>
    <row r="144" spans="1:31" x14ac:dyDescent="0.2">
      <c r="A144" s="9">
        <v>141</v>
      </c>
      <c r="B144" s="178">
        <f t="shared" si="45"/>
        <v>43</v>
      </c>
      <c r="C144" s="178">
        <f t="shared" si="45"/>
        <v>43</v>
      </c>
      <c r="D144" s="2">
        <f>PARAM!$H$38</f>
        <v>1</v>
      </c>
      <c r="E144" s="11">
        <f>PARAM!$G$38</f>
        <v>0</v>
      </c>
      <c r="F144" s="11">
        <f>(VLOOKUP(C144,DEDN!$A$8:$O$902,$F$2)*D144+E144)/1000</f>
        <v>1.2999999999999999E-3</v>
      </c>
      <c r="G144" s="178">
        <f t="shared" si="46"/>
        <v>12</v>
      </c>
      <c r="H144" s="178">
        <f t="shared" si="46"/>
        <v>12</v>
      </c>
      <c r="I144" s="2">
        <f>PARAM!$H$39</f>
        <v>0</v>
      </c>
      <c r="J144" s="11">
        <f>PARAM!$G$39</f>
        <v>0</v>
      </c>
      <c r="K144" s="11">
        <f>(VLOOKUP(H144,DEDN!$A$8:$O$902,$K$2)*I144+J144)/1000</f>
        <v>0</v>
      </c>
      <c r="L144" s="11">
        <f>MIN(IF(PARAM!$B$43=3,CHOOSE($L$2,F144,K144),F144+K144-F144*K144),1)</f>
        <v>1.2999999999999999E-3</v>
      </c>
      <c r="M144" s="2">
        <f>PARAM!$I$38</f>
        <v>0</v>
      </c>
      <c r="N144" s="11">
        <f>VLOOKUP(B144,DEDN!$A$8:$O$90,$N$2)*M144</f>
        <v>0</v>
      </c>
      <c r="O144" s="12"/>
      <c r="P144" s="10">
        <f>PARAM!$C$53^-A144</f>
        <v>1</v>
      </c>
      <c r="Q144" s="10">
        <f t="shared" si="44"/>
        <v>0.99124992413915036</v>
      </c>
      <c r="R144" s="10">
        <f t="shared" si="42"/>
        <v>0.99124992413915036</v>
      </c>
      <c r="S144" s="10">
        <f>CHOOSE(PARAM!$B$51,R144,R144,0,0)*(A144&lt;PARAM!$B$55)</f>
        <v>0</v>
      </c>
      <c r="T144" s="10">
        <f t="shared" si="43"/>
        <v>1.0744944544682777E-4</v>
      </c>
      <c r="U144" s="10">
        <f>T144*P144*(A144&lt;PARAM!$B$55)</f>
        <v>0</v>
      </c>
      <c r="W144">
        <v>141</v>
      </c>
      <c r="X144" s="178">
        <f t="shared" si="47"/>
        <v>43</v>
      </c>
      <c r="Y144" s="178">
        <f t="shared" si="47"/>
        <v>43</v>
      </c>
      <c r="Z144" s="178">
        <f t="shared" si="47"/>
        <v>12</v>
      </c>
      <c r="AA144" s="178">
        <f t="shared" si="47"/>
        <v>12</v>
      </c>
      <c r="AD144" s="17">
        <f>CALC!E168*(A144&lt;PARAM!$B$55)</f>
        <v>0</v>
      </c>
      <c r="AE144">
        <f>IF(A144&lt;ITER!$C$16,1,PARAM!$C$53^-(RATES!A144-ITER!$C$16))*(A144&lt;PARAM!$B$55)</f>
        <v>0</v>
      </c>
    </row>
    <row r="145" spans="1:31" x14ac:dyDescent="0.2">
      <c r="A145" s="9">
        <v>142</v>
      </c>
      <c r="B145" s="178">
        <f t="shared" si="45"/>
        <v>43</v>
      </c>
      <c r="C145" s="178">
        <f t="shared" si="45"/>
        <v>43</v>
      </c>
      <c r="D145" s="2">
        <f>PARAM!$H$38</f>
        <v>1</v>
      </c>
      <c r="E145" s="11">
        <f>PARAM!$G$38</f>
        <v>0</v>
      </c>
      <c r="F145" s="11">
        <f>(VLOOKUP(C145,DEDN!$A$8:$O$902,$F$2)*D145+E145)/1000</f>
        <v>1.2999999999999999E-3</v>
      </c>
      <c r="G145" s="178">
        <f t="shared" si="46"/>
        <v>12</v>
      </c>
      <c r="H145" s="178">
        <f t="shared" si="46"/>
        <v>12</v>
      </c>
      <c r="I145" s="2">
        <f>PARAM!$H$39</f>
        <v>0</v>
      </c>
      <c r="J145" s="11">
        <f>PARAM!$G$39</f>
        <v>0</v>
      </c>
      <c r="K145" s="11">
        <f>(VLOOKUP(H145,DEDN!$A$8:$O$902,$K$2)*I145+J145)/1000</f>
        <v>0</v>
      </c>
      <c r="L145" s="11">
        <f>MIN(IF(PARAM!$B$43=3,CHOOSE($L$2,F145,K145),F145+K145-F145*K145),1)</f>
        <v>1.2999999999999999E-3</v>
      </c>
      <c r="M145" s="2">
        <f>PARAM!$I$38</f>
        <v>0</v>
      </c>
      <c r="N145" s="11">
        <f>VLOOKUP(B145,DEDN!$A$8:$O$90,$N$2)*M145</f>
        <v>0</v>
      </c>
      <c r="O145" s="12"/>
      <c r="P145" s="10">
        <f>PARAM!$C$53^-A145</f>
        <v>1</v>
      </c>
      <c r="Q145" s="10">
        <f t="shared" si="44"/>
        <v>0.99114247469370353</v>
      </c>
      <c r="R145" s="10">
        <f t="shared" si="42"/>
        <v>0.99114247469370353</v>
      </c>
      <c r="S145" s="10">
        <f>CHOOSE(PARAM!$B$51,R145,0,0,0)*(A145&lt;PARAM!$B$55)</f>
        <v>0</v>
      </c>
      <c r="T145" s="10">
        <f t="shared" si="43"/>
        <v>1.0743779814881282E-4</v>
      </c>
      <c r="U145" s="10">
        <f>T145*P145*(A145&lt;PARAM!$B$55)</f>
        <v>0</v>
      </c>
      <c r="W145">
        <v>142</v>
      </c>
      <c r="X145" s="178">
        <f t="shared" si="47"/>
        <v>43</v>
      </c>
      <c r="Y145" s="178">
        <f t="shared" si="47"/>
        <v>43</v>
      </c>
      <c r="Z145" s="178">
        <f t="shared" si="47"/>
        <v>12</v>
      </c>
      <c r="AA145" s="178">
        <f t="shared" si="47"/>
        <v>12</v>
      </c>
      <c r="AD145" s="17">
        <f>CALC!E169*(A145&lt;PARAM!$B$55)</f>
        <v>0</v>
      </c>
      <c r="AE145">
        <f>IF(A145&lt;ITER!$C$16,1,PARAM!$C$53^-(RATES!A145-ITER!$C$16))*(A145&lt;PARAM!$B$55)</f>
        <v>0</v>
      </c>
    </row>
    <row r="146" spans="1:31" x14ac:dyDescent="0.2">
      <c r="A146" s="9">
        <v>143</v>
      </c>
      <c r="B146" s="178">
        <f t="shared" si="45"/>
        <v>43</v>
      </c>
      <c r="C146" s="178">
        <f t="shared" si="45"/>
        <v>43</v>
      </c>
      <c r="D146" s="2">
        <f>PARAM!$H$38</f>
        <v>1</v>
      </c>
      <c r="E146" s="11">
        <f>PARAM!$G$38</f>
        <v>0</v>
      </c>
      <c r="F146" s="11">
        <f>(VLOOKUP(C146,DEDN!$A$8:$O$902,$F$2)*D146+E146)/1000</f>
        <v>1.2999999999999999E-3</v>
      </c>
      <c r="G146" s="178">
        <f t="shared" si="46"/>
        <v>12</v>
      </c>
      <c r="H146" s="178">
        <f t="shared" si="46"/>
        <v>12</v>
      </c>
      <c r="I146" s="2">
        <f>PARAM!$H$39</f>
        <v>0</v>
      </c>
      <c r="J146" s="11">
        <f>PARAM!$G$39</f>
        <v>0</v>
      </c>
      <c r="K146" s="11">
        <f>(VLOOKUP(H146,DEDN!$A$8:$O$902,$K$2)*I146+J146)/1000</f>
        <v>0</v>
      </c>
      <c r="L146" s="11">
        <f>MIN(IF(PARAM!$B$43=3,CHOOSE($L$2,F146,K146),F146+K146-F146*K146),1)</f>
        <v>1.2999999999999999E-3</v>
      </c>
      <c r="M146" s="2">
        <f>PARAM!$I$38</f>
        <v>0</v>
      </c>
      <c r="N146" s="11">
        <f>VLOOKUP(B146,DEDN!$A$8:$O$90,$N$2)*M146</f>
        <v>0</v>
      </c>
      <c r="O146" s="12"/>
      <c r="P146" s="10">
        <f>PARAM!$C$53^-A146</f>
        <v>1</v>
      </c>
      <c r="Q146" s="10">
        <f t="shared" si="44"/>
        <v>0.99103503689555472</v>
      </c>
      <c r="R146" s="10">
        <f t="shared" si="42"/>
        <v>0.99103503689555472</v>
      </c>
      <c r="S146" s="10">
        <f>CHOOSE(PARAM!$B$51,R146,0,0,0)*(A146&lt;PARAM!$B$55)</f>
        <v>0</v>
      </c>
      <c r="T146" s="10">
        <f t="shared" si="43"/>
        <v>1.0742615211323248E-4</v>
      </c>
      <c r="U146" s="10">
        <f>T146*P146*(A146&lt;PARAM!$B$55)</f>
        <v>0</v>
      </c>
      <c r="W146">
        <v>143</v>
      </c>
      <c r="X146" s="178">
        <f t="shared" si="47"/>
        <v>43</v>
      </c>
      <c r="Y146" s="178">
        <f t="shared" si="47"/>
        <v>43</v>
      </c>
      <c r="Z146" s="178">
        <f t="shared" si="47"/>
        <v>12</v>
      </c>
      <c r="AA146" s="178">
        <f t="shared" si="47"/>
        <v>12</v>
      </c>
      <c r="AD146" s="17">
        <f>CALC!E170*(A146&lt;PARAM!$B$55)</f>
        <v>0</v>
      </c>
      <c r="AE146">
        <f>IF(A146&lt;ITER!$C$16,1,PARAM!$C$53^-(RATES!A146-ITER!$C$16))*(A146&lt;PARAM!$B$55)</f>
        <v>0</v>
      </c>
    </row>
    <row r="147" spans="1:31" x14ac:dyDescent="0.2">
      <c r="A147" s="9">
        <v>144</v>
      </c>
      <c r="B147" s="178">
        <f t="shared" si="45"/>
        <v>43</v>
      </c>
      <c r="C147" s="178">
        <f t="shared" si="45"/>
        <v>43</v>
      </c>
      <c r="D147" s="2">
        <f>PARAM!$H$38</f>
        <v>1</v>
      </c>
      <c r="E147" s="11">
        <f>PARAM!$G$38</f>
        <v>0</v>
      </c>
      <c r="F147" s="11">
        <f>(VLOOKUP(C147,DEDN!$A$8:$O$902,$F$2)*D147+E147)/1000</f>
        <v>1.2999999999999999E-3</v>
      </c>
      <c r="G147" s="178">
        <f t="shared" si="46"/>
        <v>12</v>
      </c>
      <c r="H147" s="178">
        <f t="shared" si="46"/>
        <v>12</v>
      </c>
      <c r="I147" s="2">
        <f>PARAM!$H$39</f>
        <v>0</v>
      </c>
      <c r="J147" s="11">
        <f>PARAM!$G$39</f>
        <v>0</v>
      </c>
      <c r="K147" s="11">
        <f>(VLOOKUP(H147,DEDN!$A$8:$O$902,$K$2)*I147+J147)/1000</f>
        <v>0</v>
      </c>
      <c r="L147" s="11">
        <f>MIN(IF(PARAM!$B$43=3,CHOOSE($L$2,F147,K147),F147+K147-F147*K147),1)</f>
        <v>1.2999999999999999E-3</v>
      </c>
      <c r="M147" s="2">
        <f>PARAM!$I$38</f>
        <v>0</v>
      </c>
      <c r="N147" s="11">
        <f>VLOOKUP(B147,DEDN!$A$8:$O$90,$N$2)*M147</f>
        <v>0</v>
      </c>
      <c r="O147" s="12"/>
      <c r="P147" s="10">
        <f>PARAM!$C$53^-A147</f>
        <v>1</v>
      </c>
      <c r="Q147" s="10">
        <f t="shared" si="44"/>
        <v>0.99092761074344149</v>
      </c>
      <c r="R147" s="10">
        <f t="shared" si="42"/>
        <v>0.99092761074344149</v>
      </c>
      <c r="S147" s="10">
        <f>R147*(A147&lt;PARAM!$B$55)</f>
        <v>0</v>
      </c>
      <c r="T147" s="10">
        <f t="shared" si="43"/>
        <v>1.0741450734019775E-4</v>
      </c>
      <c r="U147" s="10">
        <f>T147*P147*(A147&lt;PARAM!$B$55)</f>
        <v>0</v>
      </c>
      <c r="W147">
        <v>144</v>
      </c>
      <c r="X147" s="178">
        <f t="shared" si="47"/>
        <v>43</v>
      </c>
      <c r="Y147" s="178">
        <f t="shared" si="47"/>
        <v>43</v>
      </c>
      <c r="Z147" s="178">
        <f t="shared" si="47"/>
        <v>12</v>
      </c>
      <c r="AA147" s="178">
        <f t="shared" si="47"/>
        <v>12</v>
      </c>
      <c r="AD147" s="17">
        <f>CALC!E171*(A147&lt;PARAM!$B$55)</f>
        <v>0</v>
      </c>
      <c r="AE147">
        <f>IF(A147&lt;ITER!$C$16,1,PARAM!$C$53^-(RATES!A147-ITER!$C$16))*(A147&lt;PARAM!$B$55)</f>
        <v>0</v>
      </c>
    </row>
    <row r="148" spans="1:31" x14ac:dyDescent="0.2">
      <c r="A148" s="9">
        <v>145</v>
      </c>
      <c r="B148" s="178">
        <f t="shared" si="45"/>
        <v>43</v>
      </c>
      <c r="C148" s="178">
        <f t="shared" si="45"/>
        <v>43</v>
      </c>
      <c r="D148" s="2">
        <f>PARAM!$H$38</f>
        <v>1</v>
      </c>
      <c r="E148" s="11">
        <f>PARAM!$G$38</f>
        <v>0</v>
      </c>
      <c r="F148" s="11">
        <f>(VLOOKUP(C148,DEDN!$A$8:$O$902,$F$2)*D148+E148)/1000</f>
        <v>1.2999999999999999E-3</v>
      </c>
      <c r="G148" s="178">
        <f t="shared" si="46"/>
        <v>12</v>
      </c>
      <c r="H148" s="178">
        <f t="shared" si="46"/>
        <v>12</v>
      </c>
      <c r="I148" s="2">
        <f>PARAM!$H$39</f>
        <v>0</v>
      </c>
      <c r="J148" s="11">
        <f>PARAM!$G$39</f>
        <v>0</v>
      </c>
      <c r="K148" s="11">
        <f>(VLOOKUP(H148,DEDN!$A$8:$O$902,$K$2)*I148+J148)/1000</f>
        <v>0</v>
      </c>
      <c r="L148" s="11">
        <f>MIN(IF(PARAM!$B$43=3,CHOOSE($L$2,F148,K148),F148+K148-F148*K148),1)</f>
        <v>1.2999999999999999E-3</v>
      </c>
      <c r="M148" s="2">
        <f>PARAM!$I$38</f>
        <v>0</v>
      </c>
      <c r="N148" s="11">
        <f>VLOOKUP(B148,DEDN!$A$8:$O$90,$N$2)*M148</f>
        <v>0</v>
      </c>
      <c r="O148" s="12"/>
      <c r="P148" s="10">
        <f>PARAM!$C$53^-A148</f>
        <v>1</v>
      </c>
      <c r="Q148" s="10">
        <f t="shared" si="44"/>
        <v>0.99082019623610129</v>
      </c>
      <c r="R148" s="10">
        <f t="shared" ref="R148:R163" si="48">P148*Q148</f>
        <v>0.99082019623610129</v>
      </c>
      <c r="S148" s="10">
        <f>CHOOSE(PARAM!$B$51,R148,0,0,0)*(A148&lt;PARAM!$B$55)</f>
        <v>0</v>
      </c>
      <c r="T148" s="10">
        <f t="shared" si="43"/>
        <v>1.0740286382926456E-4</v>
      </c>
      <c r="U148" s="10">
        <f>T148*P148*(A148&lt;PARAM!$B$55)</f>
        <v>0</v>
      </c>
      <c r="W148">
        <v>145</v>
      </c>
      <c r="X148" s="178">
        <f t="shared" si="47"/>
        <v>43</v>
      </c>
      <c r="Y148" s="178">
        <f t="shared" si="47"/>
        <v>43</v>
      </c>
      <c r="Z148" s="178">
        <f t="shared" si="47"/>
        <v>12</v>
      </c>
      <c r="AA148" s="178">
        <f t="shared" si="47"/>
        <v>12</v>
      </c>
      <c r="AD148" s="17">
        <f>CALC!E172*(A148&lt;PARAM!$B$55)</f>
        <v>0</v>
      </c>
      <c r="AE148">
        <f>IF(A148&lt;ITER!$C$16,1,PARAM!$C$53^-(RATES!A148-ITER!$C$16))*(A148&lt;PARAM!$B$55)</f>
        <v>0</v>
      </c>
    </row>
    <row r="149" spans="1:31" x14ac:dyDescent="0.2">
      <c r="A149" s="9">
        <v>146</v>
      </c>
      <c r="B149" s="178">
        <f t="shared" si="45"/>
        <v>43</v>
      </c>
      <c r="C149" s="178">
        <f t="shared" si="45"/>
        <v>43</v>
      </c>
      <c r="D149" s="2">
        <f>PARAM!$H$38</f>
        <v>1</v>
      </c>
      <c r="E149" s="11">
        <f>PARAM!$G$38</f>
        <v>0</v>
      </c>
      <c r="F149" s="11">
        <f>(VLOOKUP(C149,DEDN!$A$8:$O$902,$F$2)*D149+E149)/1000</f>
        <v>1.2999999999999999E-3</v>
      </c>
      <c r="G149" s="178">
        <f t="shared" si="46"/>
        <v>12</v>
      </c>
      <c r="H149" s="178">
        <f t="shared" si="46"/>
        <v>12</v>
      </c>
      <c r="I149" s="2">
        <f>PARAM!$H$39</f>
        <v>0</v>
      </c>
      <c r="J149" s="11">
        <f>PARAM!$G$39</f>
        <v>0</v>
      </c>
      <c r="K149" s="11">
        <f>(VLOOKUP(H149,DEDN!$A$8:$O$902,$K$2)*I149+J149)/1000</f>
        <v>0</v>
      </c>
      <c r="L149" s="11">
        <f>MIN(IF(PARAM!$B$43=3,CHOOSE($L$2,F149,K149),F149+K149-F149*K149),1)</f>
        <v>1.2999999999999999E-3</v>
      </c>
      <c r="M149" s="2">
        <f>PARAM!$I$38</f>
        <v>0</v>
      </c>
      <c r="N149" s="11">
        <f>VLOOKUP(B149,DEDN!$A$8:$O$90,$N$2)*M149</f>
        <v>0</v>
      </c>
      <c r="O149" s="12"/>
      <c r="P149" s="10">
        <f>PARAM!$C$53^-A149</f>
        <v>1</v>
      </c>
      <c r="Q149" s="10">
        <f t="shared" ref="Q149:Q164" si="49">Q148*(1-L148)^(1/12)</f>
        <v>0.99071279337227203</v>
      </c>
      <c r="R149" s="10">
        <f t="shared" si="48"/>
        <v>0.99071279337227203</v>
      </c>
      <c r="S149" s="10">
        <f>CHOOSE(PARAM!$B$51,R149,0,0,0)*(A149&lt;PARAM!$B$55)</f>
        <v>0</v>
      </c>
      <c r="T149" s="10">
        <f t="shared" si="43"/>
        <v>1.0739122158054393E-4</v>
      </c>
      <c r="U149" s="10">
        <f>T149*P149*(A149&lt;PARAM!$B$55)</f>
        <v>0</v>
      </c>
      <c r="W149">
        <v>146</v>
      </c>
      <c r="X149" s="178">
        <f t="shared" si="47"/>
        <v>43</v>
      </c>
      <c r="Y149" s="178">
        <f t="shared" si="47"/>
        <v>43</v>
      </c>
      <c r="Z149" s="178">
        <f t="shared" si="47"/>
        <v>12</v>
      </c>
      <c r="AA149" s="178">
        <f t="shared" si="47"/>
        <v>12</v>
      </c>
      <c r="AD149" s="17">
        <f>CALC!E173*(A149&lt;PARAM!$B$55)</f>
        <v>0</v>
      </c>
      <c r="AE149">
        <f>IF(A149&lt;ITER!$C$16,1,PARAM!$C$53^-(RATES!A149-ITER!$C$16))*(A149&lt;PARAM!$B$55)</f>
        <v>0</v>
      </c>
    </row>
    <row r="150" spans="1:31" x14ac:dyDescent="0.2">
      <c r="A150" s="9">
        <v>147</v>
      </c>
      <c r="B150" s="178">
        <f t="shared" si="45"/>
        <v>43</v>
      </c>
      <c r="C150" s="178">
        <f t="shared" si="45"/>
        <v>43</v>
      </c>
      <c r="D150" s="2">
        <f>PARAM!$H$38</f>
        <v>1</v>
      </c>
      <c r="E150" s="11">
        <f>PARAM!$G$38</f>
        <v>0</v>
      </c>
      <c r="F150" s="11">
        <f>(VLOOKUP(C150,DEDN!$A$8:$O$902,$F$2)*D150+E150)/1000</f>
        <v>1.2999999999999999E-3</v>
      </c>
      <c r="G150" s="178">
        <f t="shared" si="46"/>
        <v>12</v>
      </c>
      <c r="H150" s="178">
        <f t="shared" si="46"/>
        <v>12</v>
      </c>
      <c r="I150" s="2">
        <f>PARAM!$H$39</f>
        <v>0</v>
      </c>
      <c r="J150" s="11">
        <f>PARAM!$G$39</f>
        <v>0</v>
      </c>
      <c r="K150" s="11">
        <f>(VLOOKUP(H150,DEDN!$A$8:$O$902,$K$2)*I150+J150)/1000</f>
        <v>0</v>
      </c>
      <c r="L150" s="11">
        <f>MIN(IF(PARAM!$B$43=3,CHOOSE($L$2,F150,K150),F150+K150-F150*K150),1)</f>
        <v>1.2999999999999999E-3</v>
      </c>
      <c r="M150" s="2">
        <f>PARAM!$I$38</f>
        <v>0</v>
      </c>
      <c r="N150" s="11">
        <f>VLOOKUP(B150,DEDN!$A$8:$O$90,$N$2)*M150</f>
        <v>0</v>
      </c>
      <c r="O150" s="12"/>
      <c r="P150" s="10">
        <f>PARAM!$C$53^-A150</f>
        <v>1</v>
      </c>
      <c r="Q150" s="10">
        <f t="shared" si="49"/>
        <v>0.99060540215069148</v>
      </c>
      <c r="R150" s="10">
        <f t="shared" si="48"/>
        <v>0.99060540215069148</v>
      </c>
      <c r="S150" s="10">
        <f>CHOOSE(PARAM!$B$51,R150,R150,0,0)*(A150&lt;PARAM!$B$55)</f>
        <v>0</v>
      </c>
      <c r="T150" s="10">
        <f t="shared" si="43"/>
        <v>1.0737958059381381E-4</v>
      </c>
      <c r="U150" s="10">
        <f>T150*P150*(A150&lt;PARAM!$B$55)</f>
        <v>0</v>
      </c>
      <c r="W150">
        <v>147</v>
      </c>
      <c r="X150" s="178">
        <f t="shared" si="47"/>
        <v>43</v>
      </c>
      <c r="Y150" s="178">
        <f t="shared" si="47"/>
        <v>43</v>
      </c>
      <c r="Z150" s="178">
        <f t="shared" si="47"/>
        <v>12</v>
      </c>
      <c r="AA150" s="178">
        <f t="shared" si="47"/>
        <v>12</v>
      </c>
      <c r="AD150" s="17">
        <f>CALC!E174*(A150&lt;PARAM!$B$55)</f>
        <v>0</v>
      </c>
      <c r="AE150">
        <f>IF(A150&lt;ITER!$C$16,1,PARAM!$C$53^-(RATES!A150-ITER!$C$16))*(A150&lt;PARAM!$B$55)</f>
        <v>0</v>
      </c>
    </row>
    <row r="151" spans="1:31" x14ac:dyDescent="0.2">
      <c r="A151" s="9">
        <v>148</v>
      </c>
      <c r="B151" s="178">
        <f t="shared" si="45"/>
        <v>43</v>
      </c>
      <c r="C151" s="178">
        <f t="shared" si="45"/>
        <v>43</v>
      </c>
      <c r="D151" s="2">
        <f>PARAM!$H$38</f>
        <v>1</v>
      </c>
      <c r="E151" s="11">
        <f>PARAM!$G$38</f>
        <v>0</v>
      </c>
      <c r="F151" s="11">
        <f>(VLOOKUP(C151,DEDN!$A$8:$O$902,$F$2)*D151+E151)/1000</f>
        <v>1.2999999999999999E-3</v>
      </c>
      <c r="G151" s="178">
        <f t="shared" si="46"/>
        <v>12</v>
      </c>
      <c r="H151" s="178">
        <f t="shared" si="46"/>
        <v>12</v>
      </c>
      <c r="I151" s="2">
        <f>PARAM!$H$39</f>
        <v>0</v>
      </c>
      <c r="J151" s="11">
        <f>PARAM!$G$39</f>
        <v>0</v>
      </c>
      <c r="K151" s="11">
        <f>(VLOOKUP(H151,DEDN!$A$8:$O$902,$K$2)*I151+J151)/1000</f>
        <v>0</v>
      </c>
      <c r="L151" s="11">
        <f>MIN(IF(PARAM!$B$43=3,CHOOSE($L$2,F151,K151),F151+K151-F151*K151),1)</f>
        <v>1.2999999999999999E-3</v>
      </c>
      <c r="M151" s="2">
        <f>PARAM!$I$38</f>
        <v>0</v>
      </c>
      <c r="N151" s="11">
        <f>VLOOKUP(B151,DEDN!$A$8:$O$90,$N$2)*M151</f>
        <v>0</v>
      </c>
      <c r="O151" s="12"/>
      <c r="P151" s="10">
        <f>PARAM!$C$53^-A151</f>
        <v>1</v>
      </c>
      <c r="Q151" s="10">
        <f t="shared" si="49"/>
        <v>0.99049802257009767</v>
      </c>
      <c r="R151" s="10">
        <f t="shared" si="48"/>
        <v>0.99049802257009767</v>
      </c>
      <c r="S151" s="10">
        <f>CHOOSE(PARAM!$B$51,R151,0,0,0)*(A151&lt;PARAM!$B$55)</f>
        <v>0</v>
      </c>
      <c r="T151" s="10">
        <f t="shared" si="43"/>
        <v>1.0736794086896317E-4</v>
      </c>
      <c r="U151" s="10">
        <f>T151*P151*(A151&lt;PARAM!$B$55)</f>
        <v>0</v>
      </c>
      <c r="W151">
        <v>148</v>
      </c>
      <c r="X151" s="178">
        <f t="shared" si="47"/>
        <v>43</v>
      </c>
      <c r="Y151" s="178">
        <f t="shared" si="47"/>
        <v>43</v>
      </c>
      <c r="Z151" s="178">
        <f t="shared" si="47"/>
        <v>12</v>
      </c>
      <c r="AA151" s="178">
        <f t="shared" si="47"/>
        <v>12</v>
      </c>
      <c r="AD151" s="17">
        <f>CALC!E175*(A151&lt;PARAM!$B$55)</f>
        <v>0</v>
      </c>
      <c r="AE151">
        <f>IF(A151&lt;ITER!$C$16,1,PARAM!$C$53^-(RATES!A151-ITER!$C$16))*(A151&lt;PARAM!$B$55)</f>
        <v>0</v>
      </c>
    </row>
    <row r="152" spans="1:31" x14ac:dyDescent="0.2">
      <c r="A152" s="9">
        <v>149</v>
      </c>
      <c r="B152" s="178">
        <f t="shared" si="45"/>
        <v>43</v>
      </c>
      <c r="C152" s="178">
        <f t="shared" si="45"/>
        <v>43</v>
      </c>
      <c r="D152" s="2">
        <f>PARAM!$H$38</f>
        <v>1</v>
      </c>
      <c r="E152" s="11">
        <f>PARAM!$G$38</f>
        <v>0</v>
      </c>
      <c r="F152" s="11">
        <f>(VLOOKUP(C152,DEDN!$A$8:$O$902,$F$2)*D152+E152)/1000</f>
        <v>1.2999999999999999E-3</v>
      </c>
      <c r="G152" s="178">
        <f t="shared" si="46"/>
        <v>12</v>
      </c>
      <c r="H152" s="178">
        <f t="shared" si="46"/>
        <v>12</v>
      </c>
      <c r="I152" s="2">
        <f>PARAM!$H$39</f>
        <v>0</v>
      </c>
      <c r="J152" s="11">
        <f>PARAM!$G$39</f>
        <v>0</v>
      </c>
      <c r="K152" s="11">
        <f>(VLOOKUP(H152,DEDN!$A$8:$O$902,$K$2)*I152+J152)/1000</f>
        <v>0</v>
      </c>
      <c r="L152" s="11">
        <f>MIN(IF(PARAM!$B$43=3,CHOOSE($L$2,F152,K152),F152+K152-F152*K152),1)</f>
        <v>1.2999999999999999E-3</v>
      </c>
      <c r="M152" s="2">
        <f>PARAM!$I$38</f>
        <v>0</v>
      </c>
      <c r="N152" s="11">
        <f>VLOOKUP(B152,DEDN!$A$8:$O$90,$N$2)*M152</f>
        <v>0</v>
      </c>
      <c r="O152" s="12"/>
      <c r="P152" s="10">
        <f>PARAM!$C$53^-A152</f>
        <v>1</v>
      </c>
      <c r="Q152" s="10">
        <f t="shared" si="49"/>
        <v>0.99039065462922871</v>
      </c>
      <c r="R152" s="10">
        <f t="shared" si="48"/>
        <v>0.99039065462922871</v>
      </c>
      <c r="S152" s="10">
        <f>CHOOSE(PARAM!$B$51,R152,0,0,0)*(A152&lt;PARAM!$B$55)</f>
        <v>0</v>
      </c>
      <c r="T152" s="10">
        <f t="shared" si="43"/>
        <v>1.0735630240588101E-4</v>
      </c>
      <c r="U152" s="10">
        <f>T152*P152*(A152&lt;PARAM!$B$55)</f>
        <v>0</v>
      </c>
      <c r="W152">
        <v>149</v>
      </c>
      <c r="X152" s="178">
        <f t="shared" si="47"/>
        <v>43</v>
      </c>
      <c r="Y152" s="178">
        <f t="shared" si="47"/>
        <v>43</v>
      </c>
      <c r="Z152" s="178">
        <f t="shared" si="47"/>
        <v>12</v>
      </c>
      <c r="AA152" s="178">
        <f t="shared" si="47"/>
        <v>12</v>
      </c>
      <c r="AD152" s="17">
        <f>CALC!E176*(A152&lt;PARAM!$B$55)</f>
        <v>0</v>
      </c>
      <c r="AE152">
        <f>IF(A152&lt;ITER!$C$16,1,PARAM!$C$53^-(RATES!A152-ITER!$C$16))*(A152&lt;PARAM!$B$55)</f>
        <v>0</v>
      </c>
    </row>
    <row r="153" spans="1:31" x14ac:dyDescent="0.2">
      <c r="A153" s="9">
        <v>150</v>
      </c>
      <c r="B153" s="178">
        <f t="shared" si="45"/>
        <v>44</v>
      </c>
      <c r="C153" s="178">
        <f t="shared" si="45"/>
        <v>44</v>
      </c>
      <c r="D153" s="2">
        <f>PARAM!$H$38</f>
        <v>1</v>
      </c>
      <c r="E153" s="11">
        <f>PARAM!$G$38</f>
        <v>0</v>
      </c>
      <c r="F153" s="11">
        <f>(VLOOKUP(C153,DEDN!$A$8:$O$902,$F$2)*D153+E153)/1000</f>
        <v>1.4499999999999999E-3</v>
      </c>
      <c r="G153" s="178">
        <f t="shared" si="46"/>
        <v>13</v>
      </c>
      <c r="H153" s="178">
        <f t="shared" si="46"/>
        <v>13</v>
      </c>
      <c r="I153" s="2">
        <f>PARAM!$H$39</f>
        <v>0</v>
      </c>
      <c r="J153" s="11">
        <f>PARAM!$G$39</f>
        <v>0</v>
      </c>
      <c r="K153" s="11">
        <f>(VLOOKUP(H153,DEDN!$A$8:$O$902,$K$2)*I153+J153)/1000</f>
        <v>0</v>
      </c>
      <c r="L153" s="11">
        <f>MIN(IF(PARAM!$B$43=3,CHOOSE($L$2,F153,K153),F153+K153-F153*K153),1)</f>
        <v>1.4499999999999999E-3</v>
      </c>
      <c r="M153" s="2">
        <f>PARAM!$I$38</f>
        <v>0</v>
      </c>
      <c r="N153" s="11">
        <f>VLOOKUP(B153,DEDN!$A$8:$O$90,$N$2)*M153</f>
        <v>0</v>
      </c>
      <c r="O153" s="12"/>
      <c r="P153" s="10">
        <f>PARAM!$C$53^-A153</f>
        <v>1</v>
      </c>
      <c r="Q153" s="10">
        <f t="shared" si="49"/>
        <v>0.99028329832682283</v>
      </c>
      <c r="R153" s="10">
        <f t="shared" si="48"/>
        <v>0.99028329832682283</v>
      </c>
      <c r="S153" s="10">
        <f>CHOOSE(PARAM!$B$51,R153,R153,R153,0)*(A153&lt;PARAM!$B$55)</f>
        <v>0</v>
      </c>
      <c r="T153" s="10">
        <f t="shared" si="43"/>
        <v>1.1973882915994327E-4</v>
      </c>
      <c r="U153" s="10">
        <f>T153*P153*(A153&lt;PARAM!$B$55)</f>
        <v>0</v>
      </c>
      <c r="W153">
        <v>150</v>
      </c>
      <c r="X153" s="178">
        <f t="shared" si="47"/>
        <v>44</v>
      </c>
      <c r="Y153" s="178">
        <f t="shared" si="47"/>
        <v>44</v>
      </c>
      <c r="Z153" s="178">
        <f t="shared" si="47"/>
        <v>13</v>
      </c>
      <c r="AA153" s="178">
        <f t="shared" si="47"/>
        <v>13</v>
      </c>
      <c r="AD153" s="17">
        <f>CALC!E177*(A153&lt;PARAM!$B$55)</f>
        <v>0</v>
      </c>
      <c r="AE153">
        <f>IF(A153&lt;ITER!$C$16,1,PARAM!$C$53^-(RATES!A153-ITER!$C$16))*(A153&lt;PARAM!$B$55)</f>
        <v>0</v>
      </c>
    </row>
    <row r="154" spans="1:31" x14ac:dyDescent="0.2">
      <c r="A154" s="9">
        <v>151</v>
      </c>
      <c r="B154" s="178">
        <f t="shared" si="45"/>
        <v>44</v>
      </c>
      <c r="C154" s="178">
        <f t="shared" si="45"/>
        <v>44</v>
      </c>
      <c r="D154" s="2">
        <f>PARAM!$H$38</f>
        <v>1</v>
      </c>
      <c r="E154" s="11">
        <f>PARAM!$G$38</f>
        <v>0</v>
      </c>
      <c r="F154" s="11">
        <f>(VLOOKUP(C154,DEDN!$A$8:$O$902,$F$2)*D154+E154)/1000</f>
        <v>1.4499999999999999E-3</v>
      </c>
      <c r="G154" s="178">
        <f t="shared" si="46"/>
        <v>13</v>
      </c>
      <c r="H154" s="178">
        <f t="shared" si="46"/>
        <v>13</v>
      </c>
      <c r="I154" s="2">
        <f>PARAM!$H$39</f>
        <v>0</v>
      </c>
      <c r="J154" s="11">
        <f>PARAM!$G$39</f>
        <v>0</v>
      </c>
      <c r="K154" s="11">
        <f>(VLOOKUP(H154,DEDN!$A$8:$O$902,$K$2)*I154+J154)/1000</f>
        <v>0</v>
      </c>
      <c r="L154" s="11">
        <f>MIN(IF(PARAM!$B$43=3,CHOOSE($L$2,F154,K154),F154+K154-F154*K154),1)</f>
        <v>1.4499999999999999E-3</v>
      </c>
      <c r="M154" s="2">
        <f>PARAM!$I$38</f>
        <v>0</v>
      </c>
      <c r="N154" s="11">
        <f>VLOOKUP(B154,DEDN!$A$8:$O$90,$N$2)*M154</f>
        <v>0</v>
      </c>
      <c r="O154" s="12"/>
      <c r="P154" s="10">
        <f>PARAM!$C$53^-A154</f>
        <v>1</v>
      </c>
      <c r="Q154" s="10">
        <f t="shared" si="49"/>
        <v>0.99016355949766288</v>
      </c>
      <c r="R154" s="10">
        <f t="shared" si="48"/>
        <v>0.99016355949766288</v>
      </c>
      <c r="S154" s="10">
        <f>CHOOSE(PARAM!$B$51,R154,0,0,0)*(A154&lt;PARAM!$B$55)</f>
        <v>0</v>
      </c>
      <c r="T154" s="10">
        <f t="shared" si="43"/>
        <v>1.197243510937529E-4</v>
      </c>
      <c r="U154" s="10">
        <f>T154*P154*(A154&lt;PARAM!$B$55)</f>
        <v>0</v>
      </c>
      <c r="W154">
        <v>151</v>
      </c>
      <c r="X154" s="178">
        <f t="shared" si="47"/>
        <v>44</v>
      </c>
      <c r="Y154" s="178">
        <f t="shared" si="47"/>
        <v>44</v>
      </c>
      <c r="Z154" s="178">
        <f t="shared" si="47"/>
        <v>13</v>
      </c>
      <c r="AA154" s="178">
        <f t="shared" si="47"/>
        <v>13</v>
      </c>
      <c r="AD154" s="17">
        <f>CALC!E178*(A154&lt;PARAM!$B$55)</f>
        <v>0</v>
      </c>
      <c r="AE154">
        <f>IF(A154&lt;ITER!$C$16,1,PARAM!$C$53^-(RATES!A154-ITER!$C$16))*(A154&lt;PARAM!$B$55)</f>
        <v>0</v>
      </c>
    </row>
    <row r="155" spans="1:31" x14ac:dyDescent="0.2">
      <c r="A155" s="9">
        <v>152</v>
      </c>
      <c r="B155" s="178">
        <f t="shared" si="45"/>
        <v>44</v>
      </c>
      <c r="C155" s="178">
        <f t="shared" si="45"/>
        <v>44</v>
      </c>
      <c r="D155" s="2">
        <f>PARAM!$H$38</f>
        <v>1</v>
      </c>
      <c r="E155" s="11">
        <f>PARAM!$G$38</f>
        <v>0</v>
      </c>
      <c r="F155" s="11">
        <f>(VLOOKUP(C155,DEDN!$A$8:$O$902,$F$2)*D155+E155)/1000</f>
        <v>1.4499999999999999E-3</v>
      </c>
      <c r="G155" s="178">
        <f t="shared" si="46"/>
        <v>13</v>
      </c>
      <c r="H155" s="178">
        <f t="shared" si="46"/>
        <v>13</v>
      </c>
      <c r="I155" s="2">
        <f>PARAM!$H$39</f>
        <v>0</v>
      </c>
      <c r="J155" s="11">
        <f>PARAM!$G$39</f>
        <v>0</v>
      </c>
      <c r="K155" s="11">
        <f>(VLOOKUP(H155,DEDN!$A$8:$O$902,$K$2)*I155+J155)/1000</f>
        <v>0</v>
      </c>
      <c r="L155" s="11">
        <f>MIN(IF(PARAM!$B$43=3,CHOOSE($L$2,F155,K155),F155+K155-F155*K155),1)</f>
        <v>1.4499999999999999E-3</v>
      </c>
      <c r="M155" s="2">
        <f>PARAM!$I$38</f>
        <v>0</v>
      </c>
      <c r="N155" s="11">
        <f>VLOOKUP(B155,DEDN!$A$8:$O$90,$N$2)*M155</f>
        <v>0</v>
      </c>
      <c r="O155" s="12"/>
      <c r="P155" s="10">
        <f>PARAM!$C$53^-A155</f>
        <v>1</v>
      </c>
      <c r="Q155" s="10">
        <f t="shared" si="49"/>
        <v>0.99004383514656913</v>
      </c>
      <c r="R155" s="10">
        <f t="shared" si="48"/>
        <v>0.99004383514656913</v>
      </c>
      <c r="S155" s="10">
        <f>CHOOSE(PARAM!$B$51,R155,0,0,0)*(A155&lt;PARAM!$B$55)</f>
        <v>0</v>
      </c>
      <c r="T155" s="10">
        <f t="shared" si="43"/>
        <v>1.1970987477805117E-4</v>
      </c>
      <c r="U155" s="10">
        <f>T155*P155*(A155&lt;PARAM!$B$55)</f>
        <v>0</v>
      </c>
      <c r="W155">
        <v>152</v>
      </c>
      <c r="X155" s="178">
        <f t="shared" si="47"/>
        <v>44</v>
      </c>
      <c r="Y155" s="178">
        <f t="shared" si="47"/>
        <v>44</v>
      </c>
      <c r="Z155" s="178">
        <f t="shared" si="47"/>
        <v>13</v>
      </c>
      <c r="AA155" s="178">
        <f t="shared" si="47"/>
        <v>13</v>
      </c>
      <c r="AD155" s="17">
        <f>CALC!E179*(A155&lt;PARAM!$B$55)</f>
        <v>0</v>
      </c>
      <c r="AE155">
        <f>IF(A155&lt;ITER!$C$16,1,PARAM!$C$53^-(RATES!A155-ITER!$C$16))*(A155&lt;PARAM!$B$55)</f>
        <v>0</v>
      </c>
    </row>
    <row r="156" spans="1:31" x14ac:dyDescent="0.2">
      <c r="A156" s="9">
        <v>153</v>
      </c>
      <c r="B156" s="178">
        <f t="shared" si="45"/>
        <v>44</v>
      </c>
      <c r="C156" s="178">
        <f t="shared" si="45"/>
        <v>44</v>
      </c>
      <c r="D156" s="2">
        <f>PARAM!$H$38</f>
        <v>1</v>
      </c>
      <c r="E156" s="11">
        <f>PARAM!$G$38</f>
        <v>0</v>
      </c>
      <c r="F156" s="11">
        <f>(VLOOKUP(C156,DEDN!$A$8:$O$902,$F$2)*D156+E156)/1000</f>
        <v>1.4499999999999999E-3</v>
      </c>
      <c r="G156" s="178">
        <f t="shared" si="46"/>
        <v>13</v>
      </c>
      <c r="H156" s="178">
        <f t="shared" si="46"/>
        <v>13</v>
      </c>
      <c r="I156" s="2">
        <f>PARAM!$H$39</f>
        <v>0</v>
      </c>
      <c r="J156" s="11">
        <f>PARAM!$G$39</f>
        <v>0</v>
      </c>
      <c r="K156" s="11">
        <f>(VLOOKUP(H156,DEDN!$A$8:$O$902,$K$2)*I156+J156)/1000</f>
        <v>0</v>
      </c>
      <c r="L156" s="11">
        <f>MIN(IF(PARAM!$B$43=3,CHOOSE($L$2,F156,K156),F156+K156-F156*K156),1)</f>
        <v>1.4499999999999999E-3</v>
      </c>
      <c r="M156" s="2">
        <f>PARAM!$I$38</f>
        <v>0</v>
      </c>
      <c r="N156" s="11">
        <f>VLOOKUP(B156,DEDN!$A$8:$O$90,$N$2)*M156</f>
        <v>0</v>
      </c>
      <c r="O156" s="12"/>
      <c r="P156" s="10">
        <f>PARAM!$C$53^-A156</f>
        <v>1</v>
      </c>
      <c r="Q156" s="10">
        <f t="shared" si="49"/>
        <v>0.98992412527179108</v>
      </c>
      <c r="R156" s="10">
        <f t="shared" si="48"/>
        <v>0.98992412527179108</v>
      </c>
      <c r="S156" s="10">
        <f>CHOOSE(PARAM!$B$51,R156,R156,0,0)*(A156&lt;PARAM!$B$55)</f>
        <v>0</v>
      </c>
      <c r="T156" s="10">
        <f t="shared" si="43"/>
        <v>1.1969540021283809E-4</v>
      </c>
      <c r="U156" s="10">
        <f>T156*P156*(A156&lt;PARAM!$B$55)</f>
        <v>0</v>
      </c>
      <c r="W156">
        <v>153</v>
      </c>
      <c r="X156" s="178">
        <f t="shared" si="47"/>
        <v>44</v>
      </c>
      <c r="Y156" s="178">
        <f t="shared" si="47"/>
        <v>44</v>
      </c>
      <c r="Z156" s="178">
        <f t="shared" si="47"/>
        <v>13</v>
      </c>
      <c r="AA156" s="178">
        <f t="shared" si="47"/>
        <v>13</v>
      </c>
      <c r="AD156" s="17">
        <f>CALC!E180*(A156&lt;PARAM!$B$55)</f>
        <v>0</v>
      </c>
      <c r="AE156">
        <f>IF(A156&lt;ITER!$C$16,1,PARAM!$C$53^-(RATES!A156-ITER!$C$16))*(A156&lt;PARAM!$B$55)</f>
        <v>0</v>
      </c>
    </row>
    <row r="157" spans="1:31" x14ac:dyDescent="0.2">
      <c r="A157" s="9">
        <v>154</v>
      </c>
      <c r="B157" s="178">
        <f t="shared" si="45"/>
        <v>44</v>
      </c>
      <c r="C157" s="178">
        <f t="shared" si="45"/>
        <v>44</v>
      </c>
      <c r="D157" s="2">
        <f>PARAM!$H$38</f>
        <v>1</v>
      </c>
      <c r="E157" s="11">
        <f>PARAM!$G$38</f>
        <v>0</v>
      </c>
      <c r="F157" s="11">
        <f>(VLOOKUP(C157,DEDN!$A$8:$O$902,$F$2)*D157+E157)/1000</f>
        <v>1.4499999999999999E-3</v>
      </c>
      <c r="G157" s="178">
        <f t="shared" si="46"/>
        <v>13</v>
      </c>
      <c r="H157" s="178">
        <f t="shared" si="46"/>
        <v>13</v>
      </c>
      <c r="I157" s="2">
        <f>PARAM!$H$39</f>
        <v>0</v>
      </c>
      <c r="J157" s="11">
        <f>PARAM!$G$39</f>
        <v>0</v>
      </c>
      <c r="K157" s="11">
        <f>(VLOOKUP(H157,DEDN!$A$8:$O$902,$K$2)*I157+J157)/1000</f>
        <v>0</v>
      </c>
      <c r="L157" s="11">
        <f>MIN(IF(PARAM!$B$43=3,CHOOSE($L$2,F157,K157),F157+K157-F157*K157),1)</f>
        <v>1.4499999999999999E-3</v>
      </c>
      <c r="M157" s="2">
        <f>PARAM!$I$38</f>
        <v>0</v>
      </c>
      <c r="N157" s="11">
        <f>VLOOKUP(B157,DEDN!$A$8:$O$90,$N$2)*M157</f>
        <v>0</v>
      </c>
      <c r="O157" s="12"/>
      <c r="P157" s="10">
        <f>PARAM!$C$53^-A157</f>
        <v>1</v>
      </c>
      <c r="Q157" s="10">
        <f t="shared" si="49"/>
        <v>0.98980442987157824</v>
      </c>
      <c r="R157" s="10">
        <f t="shared" si="48"/>
        <v>0.98980442987157824</v>
      </c>
      <c r="S157" s="10">
        <f>CHOOSE(PARAM!$B$51,R157,0,0,0)*(A157&lt;PARAM!$B$55)</f>
        <v>0</v>
      </c>
      <c r="T157" s="10">
        <f t="shared" si="43"/>
        <v>1.1968092739766956E-4</v>
      </c>
      <c r="U157" s="10">
        <f>T157*P157*(A157&lt;PARAM!$B$55)</f>
        <v>0</v>
      </c>
      <c r="W157">
        <v>154</v>
      </c>
      <c r="X157" s="178">
        <f t="shared" si="47"/>
        <v>44</v>
      </c>
      <c r="Y157" s="178">
        <f t="shared" si="47"/>
        <v>44</v>
      </c>
      <c r="Z157" s="178">
        <f t="shared" si="47"/>
        <v>13</v>
      </c>
      <c r="AA157" s="178">
        <f t="shared" si="47"/>
        <v>13</v>
      </c>
      <c r="AD157" s="17">
        <f>CALC!E181*(A157&lt;PARAM!$B$55)</f>
        <v>0</v>
      </c>
      <c r="AE157">
        <f>IF(A157&lt;ITER!$C$16,1,PARAM!$C$53^-(RATES!A157-ITER!$C$16))*(A157&lt;PARAM!$B$55)</f>
        <v>0</v>
      </c>
    </row>
    <row r="158" spans="1:31" x14ac:dyDescent="0.2">
      <c r="A158" s="9">
        <v>155</v>
      </c>
      <c r="B158" s="178">
        <f t="shared" si="45"/>
        <v>44</v>
      </c>
      <c r="C158" s="178">
        <f t="shared" si="45"/>
        <v>44</v>
      </c>
      <c r="D158" s="2">
        <f>PARAM!$H$38</f>
        <v>1</v>
      </c>
      <c r="E158" s="11">
        <f>PARAM!$G$38</f>
        <v>0</v>
      </c>
      <c r="F158" s="11">
        <f>(VLOOKUP(C158,DEDN!$A$8:$O$902,$F$2)*D158+E158)/1000</f>
        <v>1.4499999999999999E-3</v>
      </c>
      <c r="G158" s="178">
        <f t="shared" si="46"/>
        <v>13</v>
      </c>
      <c r="H158" s="178">
        <f t="shared" si="46"/>
        <v>13</v>
      </c>
      <c r="I158" s="2">
        <f>PARAM!$H$39</f>
        <v>0</v>
      </c>
      <c r="J158" s="11">
        <f>PARAM!$G$39</f>
        <v>0</v>
      </c>
      <c r="K158" s="11">
        <f>(VLOOKUP(H158,DEDN!$A$8:$O$902,$K$2)*I158+J158)/1000</f>
        <v>0</v>
      </c>
      <c r="L158" s="11">
        <f>MIN(IF(PARAM!$B$43=3,CHOOSE($L$2,F158,K158),F158+K158-F158*K158),1)</f>
        <v>1.4499999999999999E-3</v>
      </c>
      <c r="M158" s="2">
        <f>PARAM!$I$38</f>
        <v>0</v>
      </c>
      <c r="N158" s="11">
        <f>VLOOKUP(B158,DEDN!$A$8:$O$90,$N$2)*M158</f>
        <v>0</v>
      </c>
      <c r="O158" s="12"/>
      <c r="P158" s="10">
        <f>PARAM!$C$53^-A158</f>
        <v>1</v>
      </c>
      <c r="Q158" s="10">
        <f t="shared" si="49"/>
        <v>0.98968474894418057</v>
      </c>
      <c r="R158" s="10">
        <f t="shared" si="48"/>
        <v>0.98968474894418057</v>
      </c>
      <c r="S158" s="10">
        <f>CHOOSE(PARAM!$B$51,R158,0,0,0)*(A158&lt;PARAM!$B$55)</f>
        <v>0</v>
      </c>
      <c r="T158" s="10">
        <f t="shared" si="43"/>
        <v>1.1966645633254558E-4</v>
      </c>
      <c r="U158" s="10">
        <f>T158*P158*(A158&lt;PARAM!$B$55)</f>
        <v>0</v>
      </c>
      <c r="W158">
        <v>155</v>
      </c>
      <c r="X158" s="178">
        <f t="shared" si="47"/>
        <v>44</v>
      </c>
      <c r="Y158" s="178">
        <f t="shared" si="47"/>
        <v>44</v>
      </c>
      <c r="Z158" s="178">
        <f t="shared" si="47"/>
        <v>13</v>
      </c>
      <c r="AA158" s="178">
        <f t="shared" si="47"/>
        <v>13</v>
      </c>
      <c r="AD158" s="17">
        <f>CALC!E182*(A158&lt;PARAM!$B$55)</f>
        <v>0</v>
      </c>
      <c r="AE158">
        <f>IF(A158&lt;ITER!$C$16,1,PARAM!$C$53^-(RATES!A158-ITER!$C$16))*(A158&lt;PARAM!$B$55)</f>
        <v>0</v>
      </c>
    </row>
    <row r="159" spans="1:31" x14ac:dyDescent="0.2">
      <c r="A159" s="9">
        <v>156</v>
      </c>
      <c r="B159" s="178">
        <f t="shared" si="45"/>
        <v>44</v>
      </c>
      <c r="C159" s="178">
        <f t="shared" si="45"/>
        <v>44</v>
      </c>
      <c r="D159" s="2">
        <f>PARAM!$H$38</f>
        <v>1</v>
      </c>
      <c r="E159" s="11">
        <f>PARAM!$G$38</f>
        <v>0</v>
      </c>
      <c r="F159" s="11">
        <f>(VLOOKUP(C159,DEDN!$A$8:$O$902,$F$2)*D159+E159)/1000</f>
        <v>1.4499999999999999E-3</v>
      </c>
      <c r="G159" s="178">
        <f t="shared" si="46"/>
        <v>13</v>
      </c>
      <c r="H159" s="178">
        <f t="shared" si="46"/>
        <v>13</v>
      </c>
      <c r="I159" s="2">
        <f>PARAM!$H$39</f>
        <v>0</v>
      </c>
      <c r="J159" s="11">
        <f>PARAM!$G$39</f>
        <v>0</v>
      </c>
      <c r="K159" s="11">
        <f>(VLOOKUP(H159,DEDN!$A$8:$O$902,$K$2)*I159+J159)/1000</f>
        <v>0</v>
      </c>
      <c r="L159" s="11">
        <f>MIN(IF(PARAM!$B$43=3,CHOOSE($L$2,F159,K159),F159+K159-F159*K159),1)</f>
        <v>1.4499999999999999E-3</v>
      </c>
      <c r="M159" s="2">
        <f>PARAM!$I$38</f>
        <v>0</v>
      </c>
      <c r="N159" s="11">
        <f>VLOOKUP(B159,DEDN!$A$8:$O$90,$N$2)*M159</f>
        <v>0</v>
      </c>
      <c r="O159" s="12"/>
      <c r="P159" s="10">
        <f>PARAM!$C$53^-A159</f>
        <v>1</v>
      </c>
      <c r="Q159" s="10">
        <f t="shared" si="49"/>
        <v>0.98956508248784802</v>
      </c>
      <c r="R159" s="10">
        <f t="shared" si="48"/>
        <v>0.98956508248784802</v>
      </c>
      <c r="S159" s="10">
        <f>R159*(A159&lt;PARAM!$B$55)</f>
        <v>0</v>
      </c>
      <c r="T159" s="10">
        <f t="shared" si="43"/>
        <v>1.1965198701713309E-4</v>
      </c>
      <c r="U159" s="10">
        <f>T159*P159*(A159&lt;PARAM!$B$55)</f>
        <v>0</v>
      </c>
      <c r="W159">
        <v>156</v>
      </c>
      <c r="X159" s="178">
        <f t="shared" si="47"/>
        <v>44</v>
      </c>
      <c r="Y159" s="178">
        <f t="shared" si="47"/>
        <v>44</v>
      </c>
      <c r="Z159" s="178">
        <f t="shared" si="47"/>
        <v>13</v>
      </c>
      <c r="AA159" s="178">
        <f t="shared" si="47"/>
        <v>13</v>
      </c>
      <c r="AD159" s="17">
        <f>CALC!E183*(A159&lt;PARAM!$B$55)</f>
        <v>0</v>
      </c>
      <c r="AE159">
        <f>IF(A159&lt;ITER!$C$16,1,PARAM!$C$53^-(RATES!A159-ITER!$C$16))*(A159&lt;PARAM!$B$55)</f>
        <v>0</v>
      </c>
    </row>
    <row r="160" spans="1:31" x14ac:dyDescent="0.2">
      <c r="A160" s="9">
        <v>157</v>
      </c>
      <c r="B160" s="178">
        <f t="shared" si="45"/>
        <v>44</v>
      </c>
      <c r="C160" s="178">
        <f t="shared" si="45"/>
        <v>44</v>
      </c>
      <c r="D160" s="2">
        <f>PARAM!$H$38</f>
        <v>1</v>
      </c>
      <c r="E160" s="11">
        <f>PARAM!$G$38</f>
        <v>0</v>
      </c>
      <c r="F160" s="11">
        <f>(VLOOKUP(C160,DEDN!$A$8:$O$902,$F$2)*D160+E160)/1000</f>
        <v>1.4499999999999999E-3</v>
      </c>
      <c r="G160" s="178">
        <f t="shared" si="46"/>
        <v>13</v>
      </c>
      <c r="H160" s="178">
        <f t="shared" si="46"/>
        <v>13</v>
      </c>
      <c r="I160" s="2">
        <f>PARAM!$H$39</f>
        <v>0</v>
      </c>
      <c r="J160" s="11">
        <f>PARAM!$G$39</f>
        <v>0</v>
      </c>
      <c r="K160" s="11">
        <f>(VLOOKUP(H160,DEDN!$A$8:$O$902,$K$2)*I160+J160)/1000</f>
        <v>0</v>
      </c>
      <c r="L160" s="11">
        <f>MIN(IF(PARAM!$B$43=3,CHOOSE($L$2,F160,K160),F160+K160-F160*K160),1)</f>
        <v>1.4499999999999999E-3</v>
      </c>
      <c r="M160" s="2">
        <f>PARAM!$I$38</f>
        <v>0</v>
      </c>
      <c r="N160" s="11">
        <f>VLOOKUP(B160,DEDN!$A$8:$O$90,$N$2)*M160</f>
        <v>0</v>
      </c>
      <c r="O160" s="12"/>
      <c r="P160" s="10">
        <f>PARAM!$C$53^-A160</f>
        <v>1</v>
      </c>
      <c r="Q160" s="10">
        <f t="shared" si="49"/>
        <v>0.98944543050083089</v>
      </c>
      <c r="R160" s="10">
        <f t="shared" si="48"/>
        <v>0.98944543050083089</v>
      </c>
      <c r="S160" s="10">
        <f>CHOOSE(PARAM!$B$51,R160,0,0,0)*(A160&lt;PARAM!$B$55)</f>
        <v>0</v>
      </c>
      <c r="T160" s="10">
        <f t="shared" si="43"/>
        <v>1.1963751945132106E-4</v>
      </c>
      <c r="U160" s="10">
        <f>T160*P160*(A160&lt;PARAM!$B$55)</f>
        <v>0</v>
      </c>
      <c r="W160">
        <v>157</v>
      </c>
      <c r="X160" s="178">
        <f t="shared" si="47"/>
        <v>44</v>
      </c>
      <c r="Y160" s="178">
        <f t="shared" si="47"/>
        <v>44</v>
      </c>
      <c r="Z160" s="178">
        <f t="shared" si="47"/>
        <v>13</v>
      </c>
      <c r="AA160" s="178">
        <f t="shared" si="47"/>
        <v>13</v>
      </c>
      <c r="AD160" s="17">
        <f>CALC!E184*(A160&lt;PARAM!$B$55)</f>
        <v>0</v>
      </c>
      <c r="AE160">
        <f>IF(A160&lt;ITER!$C$16,1,PARAM!$C$53^-(RATES!A160-ITER!$C$16))*(A160&lt;PARAM!$B$55)</f>
        <v>0</v>
      </c>
    </row>
    <row r="161" spans="1:31" x14ac:dyDescent="0.2">
      <c r="A161" s="9">
        <v>158</v>
      </c>
      <c r="B161" s="178">
        <f t="shared" ref="B161:C180" si="50">B149+1</f>
        <v>44</v>
      </c>
      <c r="C161" s="178">
        <f t="shared" si="50"/>
        <v>44</v>
      </c>
      <c r="D161" s="2">
        <f>PARAM!$H$38</f>
        <v>1</v>
      </c>
      <c r="E161" s="11">
        <f>PARAM!$G$38</f>
        <v>0</v>
      </c>
      <c r="F161" s="11">
        <f>(VLOOKUP(C161,DEDN!$A$8:$O$902,$F$2)*D161+E161)/1000</f>
        <v>1.4499999999999999E-3</v>
      </c>
      <c r="G161" s="178">
        <f t="shared" ref="G161:H180" si="51">G149+1</f>
        <v>13</v>
      </c>
      <c r="H161" s="178">
        <f t="shared" si="51"/>
        <v>13</v>
      </c>
      <c r="I161" s="2">
        <f>PARAM!$H$39</f>
        <v>0</v>
      </c>
      <c r="J161" s="11">
        <f>PARAM!$G$39</f>
        <v>0</v>
      </c>
      <c r="K161" s="11">
        <f>(VLOOKUP(H161,DEDN!$A$8:$O$902,$K$2)*I161+J161)/1000</f>
        <v>0</v>
      </c>
      <c r="L161" s="11">
        <f>MIN(IF(PARAM!$B$43=3,CHOOSE($L$2,F161,K161),F161+K161-F161*K161),1)</f>
        <v>1.4499999999999999E-3</v>
      </c>
      <c r="M161" s="2">
        <f>PARAM!$I$38</f>
        <v>0</v>
      </c>
      <c r="N161" s="11">
        <f>VLOOKUP(B161,DEDN!$A$8:$O$90,$N$2)*M161</f>
        <v>0</v>
      </c>
      <c r="O161" s="12"/>
      <c r="P161" s="10">
        <f>PARAM!$C$53^-A161</f>
        <v>1</v>
      </c>
      <c r="Q161" s="10">
        <f t="shared" si="49"/>
        <v>0.98932579298137957</v>
      </c>
      <c r="R161" s="10">
        <f t="shared" si="48"/>
        <v>0.98932579298137957</v>
      </c>
      <c r="S161" s="10">
        <f>CHOOSE(PARAM!$B$51,R161,0,0,0)*(A161&lt;PARAM!$B$55)</f>
        <v>0</v>
      </c>
      <c r="T161" s="10">
        <f t="shared" si="43"/>
        <v>1.1962305363477643E-4</v>
      </c>
      <c r="U161" s="10">
        <f>T161*P161*(A161&lt;PARAM!$B$55)</f>
        <v>0</v>
      </c>
      <c r="W161">
        <v>158</v>
      </c>
      <c r="X161" s="178">
        <f t="shared" ref="X161:AA180" si="52">X149+1</f>
        <v>44</v>
      </c>
      <c r="Y161" s="178">
        <f t="shared" si="52"/>
        <v>44</v>
      </c>
      <c r="Z161" s="178">
        <f t="shared" si="52"/>
        <v>13</v>
      </c>
      <c r="AA161" s="178">
        <f t="shared" si="52"/>
        <v>13</v>
      </c>
      <c r="AD161" s="17">
        <f>CALC!E185*(A161&lt;PARAM!$B$55)</f>
        <v>0</v>
      </c>
      <c r="AE161">
        <f>IF(A161&lt;ITER!$C$16,1,PARAM!$C$53^-(RATES!A161-ITER!$C$16))*(A161&lt;PARAM!$B$55)</f>
        <v>0</v>
      </c>
    </row>
    <row r="162" spans="1:31" x14ac:dyDescent="0.2">
      <c r="A162" s="9">
        <v>159</v>
      </c>
      <c r="B162" s="178">
        <f t="shared" si="50"/>
        <v>44</v>
      </c>
      <c r="C162" s="178">
        <f t="shared" si="50"/>
        <v>44</v>
      </c>
      <c r="D162" s="2">
        <f>PARAM!$H$38</f>
        <v>1</v>
      </c>
      <c r="E162" s="11">
        <f>PARAM!$G$38</f>
        <v>0</v>
      </c>
      <c r="F162" s="11">
        <f>(VLOOKUP(C162,DEDN!$A$8:$O$902,$F$2)*D162+E162)/1000</f>
        <v>1.4499999999999999E-3</v>
      </c>
      <c r="G162" s="178">
        <f t="shared" si="51"/>
        <v>13</v>
      </c>
      <c r="H162" s="178">
        <f t="shared" si="51"/>
        <v>13</v>
      </c>
      <c r="I162" s="2">
        <f>PARAM!$H$39</f>
        <v>0</v>
      </c>
      <c r="J162" s="11">
        <f>PARAM!$G$39</f>
        <v>0</v>
      </c>
      <c r="K162" s="11">
        <f>(VLOOKUP(H162,DEDN!$A$8:$O$902,$K$2)*I162+J162)/1000</f>
        <v>0</v>
      </c>
      <c r="L162" s="11">
        <f>MIN(IF(PARAM!$B$43=3,CHOOSE($L$2,F162,K162),F162+K162-F162*K162),1)</f>
        <v>1.4499999999999999E-3</v>
      </c>
      <c r="M162" s="2">
        <f>PARAM!$I$38</f>
        <v>0</v>
      </c>
      <c r="N162" s="11">
        <f>VLOOKUP(B162,DEDN!$A$8:$O$90,$N$2)*M162</f>
        <v>0</v>
      </c>
      <c r="O162" s="12"/>
      <c r="P162" s="10">
        <f>PARAM!$C$53^-A162</f>
        <v>1</v>
      </c>
      <c r="Q162" s="10">
        <f t="shared" si="49"/>
        <v>0.98920616992774479</v>
      </c>
      <c r="R162" s="10">
        <f t="shared" si="48"/>
        <v>0.98920616992774479</v>
      </c>
      <c r="S162" s="10">
        <f>CHOOSE(PARAM!$B$51,R162,R162,0,0)*(A162&lt;PARAM!$B$55)</f>
        <v>0</v>
      </c>
      <c r="T162" s="10">
        <f t="shared" si="43"/>
        <v>1.1960858956738818E-4</v>
      </c>
      <c r="U162" s="10">
        <f>T162*P162*(A162&lt;PARAM!$B$55)</f>
        <v>0</v>
      </c>
      <c r="W162">
        <v>159</v>
      </c>
      <c r="X162" s="178">
        <f t="shared" si="52"/>
        <v>44</v>
      </c>
      <c r="Y162" s="178">
        <f t="shared" si="52"/>
        <v>44</v>
      </c>
      <c r="Z162" s="178">
        <f t="shared" si="52"/>
        <v>13</v>
      </c>
      <c r="AA162" s="178">
        <f t="shared" si="52"/>
        <v>13</v>
      </c>
      <c r="AD162" s="17">
        <f>CALC!E186*(A162&lt;PARAM!$B$55)</f>
        <v>0</v>
      </c>
      <c r="AE162">
        <f>IF(A162&lt;ITER!$C$16,1,PARAM!$C$53^-(RATES!A162-ITER!$C$16))*(A162&lt;PARAM!$B$55)</f>
        <v>0</v>
      </c>
    </row>
    <row r="163" spans="1:31" x14ac:dyDescent="0.2">
      <c r="A163" s="9">
        <v>160</v>
      </c>
      <c r="B163" s="178">
        <f t="shared" si="50"/>
        <v>44</v>
      </c>
      <c r="C163" s="178">
        <f t="shared" si="50"/>
        <v>44</v>
      </c>
      <c r="D163" s="2">
        <f>PARAM!$H$38</f>
        <v>1</v>
      </c>
      <c r="E163" s="11">
        <f>PARAM!$G$38</f>
        <v>0</v>
      </c>
      <c r="F163" s="11">
        <f>(VLOOKUP(C163,DEDN!$A$8:$O$902,$F$2)*D163+E163)/1000</f>
        <v>1.4499999999999999E-3</v>
      </c>
      <c r="G163" s="178">
        <f t="shared" si="51"/>
        <v>13</v>
      </c>
      <c r="H163" s="178">
        <f t="shared" si="51"/>
        <v>13</v>
      </c>
      <c r="I163" s="2">
        <f>PARAM!$H$39</f>
        <v>0</v>
      </c>
      <c r="J163" s="11">
        <f>PARAM!$G$39</f>
        <v>0</v>
      </c>
      <c r="K163" s="11">
        <f>(VLOOKUP(H163,DEDN!$A$8:$O$902,$K$2)*I163+J163)/1000</f>
        <v>0</v>
      </c>
      <c r="L163" s="11">
        <f>MIN(IF(PARAM!$B$43=3,CHOOSE($L$2,F163,K163),F163+K163-F163*K163),1)</f>
        <v>1.4499999999999999E-3</v>
      </c>
      <c r="M163" s="2">
        <f>PARAM!$I$38</f>
        <v>0</v>
      </c>
      <c r="N163" s="11">
        <f>VLOOKUP(B163,DEDN!$A$8:$O$90,$N$2)*M163</f>
        <v>0</v>
      </c>
      <c r="O163" s="12"/>
      <c r="P163" s="10">
        <f>PARAM!$C$53^-A163</f>
        <v>1</v>
      </c>
      <c r="Q163" s="10">
        <f t="shared" si="49"/>
        <v>0.98908656133817741</v>
      </c>
      <c r="R163" s="10">
        <f t="shared" si="48"/>
        <v>0.98908656133817741</v>
      </c>
      <c r="S163" s="10">
        <f>CHOOSE(PARAM!$B$51,R163,0,0,0)*(A163&lt;PARAM!$B$55)</f>
        <v>0</v>
      </c>
      <c r="T163" s="10">
        <f t="shared" si="43"/>
        <v>1.1959412724882323E-4</v>
      </c>
      <c r="U163" s="10">
        <f>T163*P163*(A163&lt;PARAM!$B$55)</f>
        <v>0</v>
      </c>
      <c r="W163">
        <v>160</v>
      </c>
      <c r="X163" s="178">
        <f t="shared" si="52"/>
        <v>44</v>
      </c>
      <c r="Y163" s="178">
        <f t="shared" si="52"/>
        <v>44</v>
      </c>
      <c r="Z163" s="178">
        <f t="shared" si="52"/>
        <v>13</v>
      </c>
      <c r="AA163" s="178">
        <f t="shared" si="52"/>
        <v>13</v>
      </c>
      <c r="AD163" s="17">
        <f>CALC!E187*(A163&lt;PARAM!$B$55)</f>
        <v>0</v>
      </c>
      <c r="AE163">
        <f>IF(A163&lt;ITER!$C$16,1,PARAM!$C$53^-(RATES!A163-ITER!$C$16))*(A163&lt;PARAM!$B$55)</f>
        <v>0</v>
      </c>
    </row>
    <row r="164" spans="1:31" x14ac:dyDescent="0.2">
      <c r="A164" s="9">
        <v>161</v>
      </c>
      <c r="B164" s="178">
        <f t="shared" si="50"/>
        <v>44</v>
      </c>
      <c r="C164" s="178">
        <f t="shared" si="50"/>
        <v>44</v>
      </c>
      <c r="D164" s="2">
        <f>PARAM!$H$38</f>
        <v>1</v>
      </c>
      <c r="E164" s="11">
        <f>PARAM!$G$38</f>
        <v>0</v>
      </c>
      <c r="F164" s="11">
        <f>(VLOOKUP(C164,DEDN!$A$8:$O$902,$F$2)*D164+E164)/1000</f>
        <v>1.4499999999999999E-3</v>
      </c>
      <c r="G164" s="178">
        <f t="shared" si="51"/>
        <v>13</v>
      </c>
      <c r="H164" s="178">
        <f t="shared" si="51"/>
        <v>13</v>
      </c>
      <c r="I164" s="2">
        <f>PARAM!$H$39</f>
        <v>0</v>
      </c>
      <c r="J164" s="11">
        <f>PARAM!$G$39</f>
        <v>0</v>
      </c>
      <c r="K164" s="11">
        <f>(VLOOKUP(H164,DEDN!$A$8:$O$902,$K$2)*I164+J164)/1000</f>
        <v>0</v>
      </c>
      <c r="L164" s="11">
        <f>MIN(IF(PARAM!$B$43=3,CHOOSE($L$2,F164,K164),F164+K164-F164*K164),1)</f>
        <v>1.4499999999999999E-3</v>
      </c>
      <c r="M164" s="2">
        <f>PARAM!$I$38</f>
        <v>0</v>
      </c>
      <c r="N164" s="11">
        <f>VLOOKUP(B164,DEDN!$A$8:$O$90,$N$2)*M164</f>
        <v>0</v>
      </c>
      <c r="O164" s="12"/>
      <c r="P164" s="10">
        <f>PARAM!$C$53^-A164</f>
        <v>1</v>
      </c>
      <c r="Q164" s="10">
        <f t="shared" si="49"/>
        <v>0.98896696721092858</v>
      </c>
      <c r="R164" s="10">
        <f t="shared" ref="R164:R179" si="53">P164*Q164</f>
        <v>0.98896696721092858</v>
      </c>
      <c r="S164" s="10">
        <f>CHOOSE(PARAM!$B$51,R164,0,0,0)*(A164&lt;PARAM!$B$55)</f>
        <v>0</v>
      </c>
      <c r="T164" s="10">
        <f t="shared" si="43"/>
        <v>1.195796666790816E-4</v>
      </c>
      <c r="U164" s="10">
        <f>T164*P164*(A164&lt;PARAM!$B$55)</f>
        <v>0</v>
      </c>
      <c r="W164">
        <v>161</v>
      </c>
      <c r="X164" s="178">
        <f t="shared" si="52"/>
        <v>44</v>
      </c>
      <c r="Y164" s="178">
        <f t="shared" si="52"/>
        <v>44</v>
      </c>
      <c r="Z164" s="178">
        <f t="shared" si="52"/>
        <v>13</v>
      </c>
      <c r="AA164" s="178">
        <f t="shared" si="52"/>
        <v>13</v>
      </c>
      <c r="AD164" s="17">
        <f>CALC!E188*(A164&lt;PARAM!$B$55)</f>
        <v>0</v>
      </c>
      <c r="AE164">
        <f>IF(A164&lt;ITER!$C$16,1,PARAM!$C$53^-(RATES!A164-ITER!$C$16))*(A164&lt;PARAM!$B$55)</f>
        <v>0</v>
      </c>
    </row>
    <row r="165" spans="1:31" x14ac:dyDescent="0.2">
      <c r="A165" s="9">
        <v>162</v>
      </c>
      <c r="B165" s="178">
        <f t="shared" si="50"/>
        <v>45</v>
      </c>
      <c r="C165" s="178">
        <f t="shared" si="50"/>
        <v>45</v>
      </c>
      <c r="D165" s="2">
        <f>PARAM!$H$38</f>
        <v>1</v>
      </c>
      <c r="E165" s="11">
        <f>PARAM!$G$38</f>
        <v>0</v>
      </c>
      <c r="F165" s="11">
        <f>(VLOOKUP(C165,DEDN!$A$8:$O$902,$F$2)*D165+E165)/1000</f>
        <v>1.6299999999999999E-3</v>
      </c>
      <c r="G165" s="178">
        <f t="shared" si="51"/>
        <v>14</v>
      </c>
      <c r="H165" s="178">
        <f t="shared" si="51"/>
        <v>14</v>
      </c>
      <c r="I165" s="2">
        <f>PARAM!$H$39</f>
        <v>0</v>
      </c>
      <c r="J165" s="11">
        <f>PARAM!$G$39</f>
        <v>0</v>
      </c>
      <c r="K165" s="11">
        <f>(VLOOKUP(H165,DEDN!$A$8:$O$902,$K$2)*I165+J165)/1000</f>
        <v>0</v>
      </c>
      <c r="L165" s="11">
        <f>MIN(IF(PARAM!$B$43=3,CHOOSE($L$2,F165,K165),F165+K165-F165*K165),1)</f>
        <v>1.6299999999999999E-3</v>
      </c>
      <c r="M165" s="2">
        <f>PARAM!$I$38</f>
        <v>0</v>
      </c>
      <c r="N165" s="11">
        <f>VLOOKUP(B165,DEDN!$A$8:$O$90,$N$2)*M165</f>
        <v>0</v>
      </c>
      <c r="O165" s="12"/>
      <c r="P165" s="10">
        <f>PARAM!$C$53^-A165</f>
        <v>1</v>
      </c>
      <c r="Q165" s="10">
        <f t="shared" ref="Q165:Q180" si="54">Q164*(1-L164)^(1/12)</f>
        <v>0.9888473875442495</v>
      </c>
      <c r="R165" s="10">
        <f t="shared" si="53"/>
        <v>0.9888473875442495</v>
      </c>
      <c r="S165" s="10">
        <f>CHOOSE(PARAM!$B$51,R165,R165,R165,0)*(A165&lt;PARAM!$B$55)</f>
        <v>0</v>
      </c>
      <c r="T165" s="10">
        <f t="shared" si="43"/>
        <v>1.3441888849829997E-4</v>
      </c>
      <c r="U165" s="10">
        <f>T165*P165*(A165&lt;PARAM!$B$55)</f>
        <v>0</v>
      </c>
      <c r="W165">
        <v>162</v>
      </c>
      <c r="X165" s="178">
        <f t="shared" si="52"/>
        <v>45</v>
      </c>
      <c r="Y165" s="178">
        <f t="shared" si="52"/>
        <v>45</v>
      </c>
      <c r="Z165" s="178">
        <f t="shared" si="52"/>
        <v>14</v>
      </c>
      <c r="AA165" s="178">
        <f t="shared" si="52"/>
        <v>14</v>
      </c>
      <c r="AD165" s="17">
        <f>CALC!E189*(A165&lt;PARAM!$B$55)</f>
        <v>0</v>
      </c>
      <c r="AE165">
        <f>IF(A165&lt;ITER!$C$16,1,PARAM!$C$53^-(RATES!A165-ITER!$C$16))*(A165&lt;PARAM!$B$55)</f>
        <v>0</v>
      </c>
    </row>
    <row r="166" spans="1:31" x14ac:dyDescent="0.2">
      <c r="A166" s="9">
        <v>163</v>
      </c>
      <c r="B166" s="178">
        <f t="shared" si="50"/>
        <v>45</v>
      </c>
      <c r="C166" s="178">
        <f t="shared" si="50"/>
        <v>45</v>
      </c>
      <c r="D166" s="2">
        <f>PARAM!$H$38</f>
        <v>1</v>
      </c>
      <c r="E166" s="11">
        <f>PARAM!$G$38</f>
        <v>0</v>
      </c>
      <c r="F166" s="11">
        <f>(VLOOKUP(C166,DEDN!$A$8:$O$902,$F$2)*D166+E166)/1000</f>
        <v>1.6299999999999999E-3</v>
      </c>
      <c r="G166" s="178">
        <f t="shared" si="51"/>
        <v>14</v>
      </c>
      <c r="H166" s="178">
        <f t="shared" si="51"/>
        <v>14</v>
      </c>
      <c r="I166" s="2">
        <f>PARAM!$H$39</f>
        <v>0</v>
      </c>
      <c r="J166" s="11">
        <f>PARAM!$G$39</f>
        <v>0</v>
      </c>
      <c r="K166" s="11">
        <f>(VLOOKUP(H166,DEDN!$A$8:$O$902,$K$2)*I166+J166)/1000</f>
        <v>0</v>
      </c>
      <c r="L166" s="11">
        <f>MIN(IF(PARAM!$B$43=3,CHOOSE($L$2,F166,K166),F166+K166-F166*K166),1)</f>
        <v>1.6299999999999999E-3</v>
      </c>
      <c r="M166" s="2">
        <f>PARAM!$I$38</f>
        <v>0</v>
      </c>
      <c r="N166" s="11">
        <f>VLOOKUP(B166,DEDN!$A$8:$O$90,$N$2)*M166</f>
        <v>0</v>
      </c>
      <c r="O166" s="12"/>
      <c r="P166" s="10">
        <f>PARAM!$C$53^-A166</f>
        <v>1</v>
      </c>
      <c r="Q166" s="10">
        <f t="shared" si="54"/>
        <v>0.9887129686557512</v>
      </c>
      <c r="R166" s="10">
        <f t="shared" si="53"/>
        <v>0.9887129686557512</v>
      </c>
      <c r="S166" s="10">
        <f>CHOOSE(PARAM!$B$51,R166,0,0,0)*(A166&lt;PARAM!$B$55)</f>
        <v>0</v>
      </c>
      <c r="T166" s="10">
        <f t="shared" si="43"/>
        <v>1.3440061627767452E-4</v>
      </c>
      <c r="U166" s="10">
        <f>T166*P166*(A166&lt;PARAM!$B$55)</f>
        <v>0</v>
      </c>
      <c r="W166">
        <v>163</v>
      </c>
      <c r="X166" s="178">
        <f t="shared" si="52"/>
        <v>45</v>
      </c>
      <c r="Y166" s="178">
        <f t="shared" si="52"/>
        <v>45</v>
      </c>
      <c r="Z166" s="178">
        <f t="shared" si="52"/>
        <v>14</v>
      </c>
      <c r="AA166" s="178">
        <f t="shared" si="52"/>
        <v>14</v>
      </c>
      <c r="AD166" s="17">
        <f>CALC!E190*(A166&lt;PARAM!$B$55)</f>
        <v>0</v>
      </c>
      <c r="AE166">
        <f>IF(A166&lt;ITER!$C$16,1,PARAM!$C$53^-(RATES!A166-ITER!$C$16))*(A166&lt;PARAM!$B$55)</f>
        <v>0</v>
      </c>
    </row>
    <row r="167" spans="1:31" x14ac:dyDescent="0.2">
      <c r="A167" s="9">
        <v>164</v>
      </c>
      <c r="B167" s="178">
        <f t="shared" si="50"/>
        <v>45</v>
      </c>
      <c r="C167" s="178">
        <f t="shared" si="50"/>
        <v>45</v>
      </c>
      <c r="D167" s="2">
        <f>PARAM!$H$38</f>
        <v>1</v>
      </c>
      <c r="E167" s="11">
        <f>PARAM!$G$38</f>
        <v>0</v>
      </c>
      <c r="F167" s="11">
        <f>(VLOOKUP(C167,DEDN!$A$8:$O$902,$F$2)*D167+E167)/1000</f>
        <v>1.6299999999999999E-3</v>
      </c>
      <c r="G167" s="178">
        <f t="shared" si="51"/>
        <v>14</v>
      </c>
      <c r="H167" s="178">
        <f t="shared" si="51"/>
        <v>14</v>
      </c>
      <c r="I167" s="2">
        <f>PARAM!$H$39</f>
        <v>0</v>
      </c>
      <c r="J167" s="11">
        <f>PARAM!$G$39</f>
        <v>0</v>
      </c>
      <c r="K167" s="11">
        <f>(VLOOKUP(H167,DEDN!$A$8:$O$902,$K$2)*I167+J167)/1000</f>
        <v>0</v>
      </c>
      <c r="L167" s="11">
        <f>MIN(IF(PARAM!$B$43=3,CHOOSE($L$2,F167,K167),F167+K167-F167*K167),1)</f>
        <v>1.6299999999999999E-3</v>
      </c>
      <c r="M167" s="2">
        <f>PARAM!$I$38</f>
        <v>0</v>
      </c>
      <c r="N167" s="11">
        <f>VLOOKUP(B167,DEDN!$A$8:$O$90,$N$2)*M167</f>
        <v>0</v>
      </c>
      <c r="O167" s="12"/>
      <c r="P167" s="10">
        <f>PARAM!$C$53^-A167</f>
        <v>1</v>
      </c>
      <c r="Q167" s="10">
        <f t="shared" si="54"/>
        <v>0.98857856803947353</v>
      </c>
      <c r="R167" s="10">
        <f t="shared" si="53"/>
        <v>0.98857856803947353</v>
      </c>
      <c r="S167" s="10">
        <f>CHOOSE(PARAM!$B$51,R167,0,0,0)*(A167&lt;PARAM!$B$55)</f>
        <v>0</v>
      </c>
      <c r="T167" s="10">
        <f t="shared" si="43"/>
        <v>1.3438234654095105E-4</v>
      </c>
      <c r="U167" s="10">
        <f>T167*P167*(A167&lt;PARAM!$B$55)</f>
        <v>0</v>
      </c>
      <c r="W167">
        <v>164</v>
      </c>
      <c r="X167" s="178">
        <f t="shared" si="52"/>
        <v>45</v>
      </c>
      <c r="Y167" s="178">
        <f t="shared" si="52"/>
        <v>45</v>
      </c>
      <c r="Z167" s="178">
        <f t="shared" si="52"/>
        <v>14</v>
      </c>
      <c r="AA167" s="178">
        <f t="shared" si="52"/>
        <v>14</v>
      </c>
      <c r="AD167" s="17">
        <f>CALC!E191*(A167&lt;PARAM!$B$55)</f>
        <v>0</v>
      </c>
      <c r="AE167">
        <f>IF(A167&lt;ITER!$C$16,1,PARAM!$C$53^-(RATES!A167-ITER!$C$16))*(A167&lt;PARAM!$B$55)</f>
        <v>0</v>
      </c>
    </row>
    <row r="168" spans="1:31" x14ac:dyDescent="0.2">
      <c r="A168" s="9">
        <v>165</v>
      </c>
      <c r="B168" s="178">
        <f t="shared" si="50"/>
        <v>45</v>
      </c>
      <c r="C168" s="178">
        <f t="shared" si="50"/>
        <v>45</v>
      </c>
      <c r="D168" s="2">
        <f>PARAM!$H$38</f>
        <v>1</v>
      </c>
      <c r="E168" s="11">
        <f>PARAM!$G$38</f>
        <v>0</v>
      </c>
      <c r="F168" s="11">
        <f>(VLOOKUP(C168,DEDN!$A$8:$O$902,$F$2)*D168+E168)/1000</f>
        <v>1.6299999999999999E-3</v>
      </c>
      <c r="G168" s="178">
        <f t="shared" si="51"/>
        <v>14</v>
      </c>
      <c r="H168" s="178">
        <f t="shared" si="51"/>
        <v>14</v>
      </c>
      <c r="I168" s="2">
        <f>PARAM!$H$39</f>
        <v>0</v>
      </c>
      <c r="J168" s="11">
        <f>PARAM!$G$39</f>
        <v>0</v>
      </c>
      <c r="K168" s="11">
        <f>(VLOOKUP(H168,DEDN!$A$8:$O$902,$K$2)*I168+J168)/1000</f>
        <v>0</v>
      </c>
      <c r="L168" s="11">
        <f>MIN(IF(PARAM!$B$43=3,CHOOSE($L$2,F168,K168),F168+K168-F168*K168),1)</f>
        <v>1.6299999999999999E-3</v>
      </c>
      <c r="M168" s="2">
        <f>PARAM!$I$38</f>
        <v>0</v>
      </c>
      <c r="N168" s="11">
        <f>VLOOKUP(B168,DEDN!$A$8:$O$90,$N$2)*M168</f>
        <v>0</v>
      </c>
      <c r="O168" s="12"/>
      <c r="P168" s="10">
        <f>PARAM!$C$53^-A168</f>
        <v>1</v>
      </c>
      <c r="Q168" s="10">
        <f t="shared" si="54"/>
        <v>0.98844418569293258</v>
      </c>
      <c r="R168" s="10">
        <f t="shared" si="53"/>
        <v>0.98844418569293258</v>
      </c>
      <c r="S168" s="10">
        <f>CHOOSE(PARAM!$B$51,R168,R168,0,0)*(A168&lt;PARAM!$B$55)</f>
        <v>0</v>
      </c>
      <c r="T168" s="10">
        <f t="shared" si="43"/>
        <v>1.3436407928768546E-4</v>
      </c>
      <c r="U168" s="10">
        <f>T168*P168*(A168&lt;PARAM!$B$55)</f>
        <v>0</v>
      </c>
      <c r="W168">
        <v>165</v>
      </c>
      <c r="X168" s="178">
        <f t="shared" si="52"/>
        <v>45</v>
      </c>
      <c r="Y168" s="178">
        <f t="shared" si="52"/>
        <v>45</v>
      </c>
      <c r="Z168" s="178">
        <f t="shared" si="52"/>
        <v>14</v>
      </c>
      <c r="AA168" s="178">
        <f t="shared" si="52"/>
        <v>14</v>
      </c>
      <c r="AD168" s="17">
        <f>CALC!E192*(A168&lt;PARAM!$B$55)</f>
        <v>0</v>
      </c>
      <c r="AE168">
        <f>IF(A168&lt;ITER!$C$16,1,PARAM!$C$53^-(RATES!A168-ITER!$C$16))*(A168&lt;PARAM!$B$55)</f>
        <v>0</v>
      </c>
    </row>
    <row r="169" spans="1:31" x14ac:dyDescent="0.2">
      <c r="A169" s="9">
        <v>166</v>
      </c>
      <c r="B169" s="178">
        <f t="shared" si="50"/>
        <v>45</v>
      </c>
      <c r="C169" s="178">
        <f t="shared" si="50"/>
        <v>45</v>
      </c>
      <c r="D169" s="2">
        <f>PARAM!$H$38</f>
        <v>1</v>
      </c>
      <c r="E169" s="11">
        <f>PARAM!$G$38</f>
        <v>0</v>
      </c>
      <c r="F169" s="11">
        <f>(VLOOKUP(C169,DEDN!$A$8:$O$902,$F$2)*D169+E169)/1000</f>
        <v>1.6299999999999999E-3</v>
      </c>
      <c r="G169" s="178">
        <f t="shared" si="51"/>
        <v>14</v>
      </c>
      <c r="H169" s="178">
        <f t="shared" si="51"/>
        <v>14</v>
      </c>
      <c r="I169" s="2">
        <f>PARAM!$H$39</f>
        <v>0</v>
      </c>
      <c r="J169" s="11">
        <f>PARAM!$G$39</f>
        <v>0</v>
      </c>
      <c r="K169" s="11">
        <f>(VLOOKUP(H169,DEDN!$A$8:$O$902,$K$2)*I169+J169)/1000</f>
        <v>0</v>
      </c>
      <c r="L169" s="11">
        <f>MIN(IF(PARAM!$B$43=3,CHOOSE($L$2,F169,K169),F169+K169-F169*K169),1)</f>
        <v>1.6299999999999999E-3</v>
      </c>
      <c r="M169" s="2">
        <f>PARAM!$I$38</f>
        <v>0</v>
      </c>
      <c r="N169" s="11">
        <f>VLOOKUP(B169,DEDN!$A$8:$O$90,$N$2)*M169</f>
        <v>0</v>
      </c>
      <c r="O169" s="12"/>
      <c r="P169" s="10">
        <f>PARAM!$C$53^-A169</f>
        <v>1</v>
      </c>
      <c r="Q169" s="10">
        <f t="shared" si="54"/>
        <v>0.98830982161364489</v>
      </c>
      <c r="R169" s="10">
        <f t="shared" si="53"/>
        <v>0.98830982161364489</v>
      </c>
      <c r="S169" s="10">
        <f>CHOOSE(PARAM!$B$51,R169,0,0,0)*(A169&lt;PARAM!$B$55)</f>
        <v>0</v>
      </c>
      <c r="T169" s="10">
        <f t="shared" si="43"/>
        <v>1.343458145176557E-4</v>
      </c>
      <c r="U169" s="10">
        <f>T169*P169*(A169&lt;PARAM!$B$55)</f>
        <v>0</v>
      </c>
      <c r="W169">
        <v>166</v>
      </c>
      <c r="X169" s="178">
        <f t="shared" si="52"/>
        <v>45</v>
      </c>
      <c r="Y169" s="178">
        <f t="shared" si="52"/>
        <v>45</v>
      </c>
      <c r="Z169" s="178">
        <f t="shared" si="52"/>
        <v>14</v>
      </c>
      <c r="AA169" s="178">
        <f t="shared" si="52"/>
        <v>14</v>
      </c>
      <c r="AD169" s="17">
        <f>CALC!E193*(A169&lt;PARAM!$B$55)</f>
        <v>0</v>
      </c>
      <c r="AE169">
        <f>IF(A169&lt;ITER!$C$16,1,PARAM!$C$53^-(RATES!A169-ITER!$C$16))*(A169&lt;PARAM!$B$55)</f>
        <v>0</v>
      </c>
    </row>
    <row r="170" spans="1:31" x14ac:dyDescent="0.2">
      <c r="A170" s="9">
        <v>167</v>
      </c>
      <c r="B170" s="178">
        <f t="shared" si="50"/>
        <v>45</v>
      </c>
      <c r="C170" s="178">
        <f t="shared" si="50"/>
        <v>45</v>
      </c>
      <c r="D170" s="2">
        <f>PARAM!$H$38</f>
        <v>1</v>
      </c>
      <c r="E170" s="11">
        <f>PARAM!$G$38</f>
        <v>0</v>
      </c>
      <c r="F170" s="11">
        <f>(VLOOKUP(C170,DEDN!$A$8:$O$902,$F$2)*D170+E170)/1000</f>
        <v>1.6299999999999999E-3</v>
      </c>
      <c r="G170" s="178">
        <f t="shared" si="51"/>
        <v>14</v>
      </c>
      <c r="H170" s="178">
        <f t="shared" si="51"/>
        <v>14</v>
      </c>
      <c r="I170" s="2">
        <f>PARAM!$H$39</f>
        <v>0</v>
      </c>
      <c r="J170" s="11">
        <f>PARAM!$G$39</f>
        <v>0</v>
      </c>
      <c r="K170" s="11">
        <f>(VLOOKUP(H170,DEDN!$A$8:$O$902,$K$2)*I170+J170)/1000</f>
        <v>0</v>
      </c>
      <c r="L170" s="11">
        <f>MIN(IF(PARAM!$B$43=3,CHOOSE($L$2,F170,K170),F170+K170-F170*K170),1)</f>
        <v>1.6299999999999999E-3</v>
      </c>
      <c r="M170" s="2">
        <f>PARAM!$I$38</f>
        <v>0</v>
      </c>
      <c r="N170" s="11">
        <f>VLOOKUP(B170,DEDN!$A$8:$O$90,$N$2)*M170</f>
        <v>0</v>
      </c>
      <c r="O170" s="12"/>
      <c r="P170" s="10">
        <f>PARAM!$C$53^-A170</f>
        <v>1</v>
      </c>
      <c r="Q170" s="10">
        <f t="shared" si="54"/>
        <v>0.98817547579912723</v>
      </c>
      <c r="R170" s="10">
        <f t="shared" si="53"/>
        <v>0.98817547579912723</v>
      </c>
      <c r="S170" s="10">
        <f>CHOOSE(PARAM!$B$51,R170,0,0,0)*(A170&lt;PARAM!$B$55)</f>
        <v>0</v>
      </c>
      <c r="T170" s="10">
        <f t="shared" si="43"/>
        <v>1.3432755223030668E-4</v>
      </c>
      <c r="U170" s="10">
        <f>T170*P170*(A170&lt;PARAM!$B$55)</f>
        <v>0</v>
      </c>
      <c r="W170">
        <v>167</v>
      </c>
      <c r="X170" s="178">
        <f t="shared" si="52"/>
        <v>45</v>
      </c>
      <c r="Y170" s="178">
        <f t="shared" si="52"/>
        <v>45</v>
      </c>
      <c r="Z170" s="178">
        <f t="shared" si="52"/>
        <v>14</v>
      </c>
      <c r="AA170" s="178">
        <f t="shared" si="52"/>
        <v>14</v>
      </c>
      <c r="AD170" s="17">
        <f>CALC!E194*(A170&lt;PARAM!$B$55)</f>
        <v>0</v>
      </c>
      <c r="AE170">
        <f>IF(A170&lt;ITER!$C$16,1,PARAM!$C$53^-(RATES!A170-ITER!$C$16))*(A170&lt;PARAM!$B$55)</f>
        <v>0</v>
      </c>
    </row>
    <row r="171" spans="1:31" x14ac:dyDescent="0.2">
      <c r="A171" s="9">
        <v>168</v>
      </c>
      <c r="B171" s="178">
        <f t="shared" si="50"/>
        <v>45</v>
      </c>
      <c r="C171" s="178">
        <f t="shared" si="50"/>
        <v>45</v>
      </c>
      <c r="D171" s="2">
        <f>PARAM!$H$38</f>
        <v>1</v>
      </c>
      <c r="E171" s="11">
        <f>PARAM!$G$38</f>
        <v>0</v>
      </c>
      <c r="F171" s="11">
        <f>(VLOOKUP(C171,DEDN!$A$8:$O$902,$F$2)*D171+E171)/1000</f>
        <v>1.6299999999999999E-3</v>
      </c>
      <c r="G171" s="178">
        <f t="shared" si="51"/>
        <v>14</v>
      </c>
      <c r="H171" s="178">
        <f t="shared" si="51"/>
        <v>14</v>
      </c>
      <c r="I171" s="2">
        <f>PARAM!$H$39</f>
        <v>0</v>
      </c>
      <c r="J171" s="11">
        <f>PARAM!$G$39</f>
        <v>0</v>
      </c>
      <c r="K171" s="11">
        <f>(VLOOKUP(H171,DEDN!$A$8:$O$902,$K$2)*I171+J171)/1000</f>
        <v>0</v>
      </c>
      <c r="L171" s="11">
        <f>MIN(IF(PARAM!$B$43=3,CHOOSE($L$2,F171,K171),F171+K171-F171*K171),1)</f>
        <v>1.6299999999999999E-3</v>
      </c>
      <c r="M171" s="2">
        <f>PARAM!$I$38</f>
        <v>0</v>
      </c>
      <c r="N171" s="11">
        <f>VLOOKUP(B171,DEDN!$A$8:$O$90,$N$2)*M171</f>
        <v>0</v>
      </c>
      <c r="O171" s="12"/>
      <c r="P171" s="10">
        <f>PARAM!$C$53^-A171</f>
        <v>1</v>
      </c>
      <c r="Q171" s="10">
        <f t="shared" si="54"/>
        <v>0.98804114824689693</v>
      </c>
      <c r="R171" s="10">
        <f t="shared" si="53"/>
        <v>0.98804114824689693</v>
      </c>
      <c r="S171" s="10">
        <f>R171*(A171&lt;PARAM!$B$55)</f>
        <v>0</v>
      </c>
      <c r="T171" s="10">
        <f t="shared" si="43"/>
        <v>1.3430929242552736E-4</v>
      </c>
      <c r="U171" s="10">
        <f>T171*P171*(A171&lt;PARAM!$B$55)</f>
        <v>0</v>
      </c>
      <c r="W171">
        <v>168</v>
      </c>
      <c r="X171" s="178">
        <f t="shared" si="52"/>
        <v>45</v>
      </c>
      <c r="Y171" s="178">
        <f t="shared" si="52"/>
        <v>45</v>
      </c>
      <c r="Z171" s="178">
        <f t="shared" si="52"/>
        <v>14</v>
      </c>
      <c r="AA171" s="178">
        <f t="shared" si="52"/>
        <v>14</v>
      </c>
      <c r="AD171" s="17">
        <f>CALC!E195*(A171&lt;PARAM!$B$55)</f>
        <v>0</v>
      </c>
      <c r="AE171">
        <f>IF(A171&lt;ITER!$C$16,1,PARAM!$C$53^-(RATES!A171-ITER!$C$16))*(A171&lt;PARAM!$B$55)</f>
        <v>0</v>
      </c>
    </row>
    <row r="172" spans="1:31" x14ac:dyDescent="0.2">
      <c r="A172" s="9">
        <v>169</v>
      </c>
      <c r="B172" s="178">
        <f t="shared" si="50"/>
        <v>45</v>
      </c>
      <c r="C172" s="178">
        <f t="shared" si="50"/>
        <v>45</v>
      </c>
      <c r="D172" s="2">
        <f>PARAM!$H$38</f>
        <v>1</v>
      </c>
      <c r="E172" s="11">
        <f>PARAM!$G$38</f>
        <v>0</v>
      </c>
      <c r="F172" s="11">
        <f>(VLOOKUP(C172,DEDN!$A$8:$O$902,$F$2)*D172+E172)/1000</f>
        <v>1.6299999999999999E-3</v>
      </c>
      <c r="G172" s="178">
        <f t="shared" si="51"/>
        <v>14</v>
      </c>
      <c r="H172" s="178">
        <f t="shared" si="51"/>
        <v>14</v>
      </c>
      <c r="I172" s="2">
        <f>PARAM!$H$39</f>
        <v>0</v>
      </c>
      <c r="J172" s="11">
        <f>PARAM!$G$39</f>
        <v>0</v>
      </c>
      <c r="K172" s="11">
        <f>(VLOOKUP(H172,DEDN!$A$8:$O$902,$K$2)*I172+J172)/1000</f>
        <v>0</v>
      </c>
      <c r="L172" s="11">
        <f>MIN(IF(PARAM!$B$43=3,CHOOSE($L$2,F172,K172),F172+K172-F172*K172),1)</f>
        <v>1.6299999999999999E-3</v>
      </c>
      <c r="M172" s="2">
        <f>PARAM!$I$38</f>
        <v>0</v>
      </c>
      <c r="N172" s="11">
        <f>VLOOKUP(B172,DEDN!$A$8:$O$90,$N$2)*M172</f>
        <v>0</v>
      </c>
      <c r="O172" s="12"/>
      <c r="P172" s="10">
        <f>PARAM!$C$53^-A172</f>
        <v>1</v>
      </c>
      <c r="Q172" s="10">
        <f t="shared" si="54"/>
        <v>0.9879068389544714</v>
      </c>
      <c r="R172" s="10">
        <f t="shared" si="53"/>
        <v>0.9879068389544714</v>
      </c>
      <c r="S172" s="10">
        <f>CHOOSE(PARAM!$B$51,R172,0,0,0)*(A172&lt;PARAM!$B$55)</f>
        <v>0</v>
      </c>
      <c r="T172" s="10">
        <f t="shared" si="43"/>
        <v>1.3429103510287366E-4</v>
      </c>
      <c r="U172" s="10">
        <f>T172*P172*(A172&lt;PARAM!$B$55)</f>
        <v>0</v>
      </c>
      <c r="W172">
        <v>169</v>
      </c>
      <c r="X172" s="178">
        <f t="shared" si="52"/>
        <v>45</v>
      </c>
      <c r="Y172" s="178">
        <f t="shared" si="52"/>
        <v>45</v>
      </c>
      <c r="Z172" s="178">
        <f t="shared" si="52"/>
        <v>14</v>
      </c>
      <c r="AA172" s="178">
        <f t="shared" si="52"/>
        <v>14</v>
      </c>
      <c r="AD172" s="17">
        <f>CALC!E196*(A172&lt;PARAM!$B$55)</f>
        <v>0</v>
      </c>
      <c r="AE172">
        <f>IF(A172&lt;ITER!$C$16,1,PARAM!$C$53^-(RATES!A172-ITER!$C$16))*(A172&lt;PARAM!$B$55)</f>
        <v>0</v>
      </c>
    </row>
    <row r="173" spans="1:31" x14ac:dyDescent="0.2">
      <c r="A173" s="9">
        <v>170</v>
      </c>
      <c r="B173" s="178">
        <f t="shared" si="50"/>
        <v>45</v>
      </c>
      <c r="C173" s="178">
        <f t="shared" si="50"/>
        <v>45</v>
      </c>
      <c r="D173" s="2">
        <f>PARAM!$H$38</f>
        <v>1</v>
      </c>
      <c r="E173" s="11">
        <f>PARAM!$G$38</f>
        <v>0</v>
      </c>
      <c r="F173" s="11">
        <f>(VLOOKUP(C173,DEDN!$A$8:$O$902,$F$2)*D173+E173)/1000</f>
        <v>1.6299999999999999E-3</v>
      </c>
      <c r="G173" s="178">
        <f t="shared" si="51"/>
        <v>14</v>
      </c>
      <c r="H173" s="178">
        <f t="shared" si="51"/>
        <v>14</v>
      </c>
      <c r="I173" s="2">
        <f>PARAM!$H$39</f>
        <v>0</v>
      </c>
      <c r="J173" s="11">
        <f>PARAM!$G$39</f>
        <v>0</v>
      </c>
      <c r="K173" s="11">
        <f>(VLOOKUP(H173,DEDN!$A$8:$O$902,$K$2)*I173+J173)/1000</f>
        <v>0</v>
      </c>
      <c r="L173" s="11">
        <f>MIN(IF(PARAM!$B$43=3,CHOOSE($L$2,F173,K173),F173+K173-F173*K173),1)</f>
        <v>1.6299999999999999E-3</v>
      </c>
      <c r="M173" s="2">
        <f>PARAM!$I$38</f>
        <v>0</v>
      </c>
      <c r="N173" s="11">
        <f>VLOOKUP(B173,DEDN!$A$8:$O$90,$N$2)*M173</f>
        <v>0</v>
      </c>
      <c r="O173" s="12"/>
      <c r="P173" s="10">
        <f>PARAM!$C$53^-A173</f>
        <v>1</v>
      </c>
      <c r="Q173" s="10">
        <f t="shared" si="54"/>
        <v>0.98777254791936853</v>
      </c>
      <c r="R173" s="10">
        <f t="shared" si="53"/>
        <v>0.98777254791936853</v>
      </c>
      <c r="S173" s="10">
        <f>CHOOSE(PARAM!$B$51,R173,0,0,0)*(A173&lt;PARAM!$B$55)</f>
        <v>0</v>
      </c>
      <c r="T173" s="10">
        <f t="shared" si="43"/>
        <v>1.3427278026212353E-4</v>
      </c>
      <c r="U173" s="10">
        <f>T173*P173*(A173&lt;PARAM!$B$55)</f>
        <v>0</v>
      </c>
      <c r="W173">
        <v>170</v>
      </c>
      <c r="X173" s="178">
        <f t="shared" si="52"/>
        <v>45</v>
      </c>
      <c r="Y173" s="178">
        <f t="shared" si="52"/>
        <v>45</v>
      </c>
      <c r="Z173" s="178">
        <f t="shared" si="52"/>
        <v>14</v>
      </c>
      <c r="AA173" s="178">
        <f t="shared" si="52"/>
        <v>14</v>
      </c>
      <c r="AD173" s="17">
        <f>CALC!E197*(A173&lt;PARAM!$B$55)</f>
        <v>0</v>
      </c>
      <c r="AE173">
        <f>IF(A173&lt;ITER!$C$16,1,PARAM!$C$53^-(RATES!A173-ITER!$C$16))*(A173&lt;PARAM!$B$55)</f>
        <v>0</v>
      </c>
    </row>
    <row r="174" spans="1:31" x14ac:dyDescent="0.2">
      <c r="A174" s="9">
        <v>171</v>
      </c>
      <c r="B174" s="178">
        <f t="shared" si="50"/>
        <v>45</v>
      </c>
      <c r="C174" s="178">
        <f t="shared" si="50"/>
        <v>45</v>
      </c>
      <c r="D174" s="2">
        <f>PARAM!$H$38</f>
        <v>1</v>
      </c>
      <c r="E174" s="11">
        <f>PARAM!$G$38</f>
        <v>0</v>
      </c>
      <c r="F174" s="11">
        <f>(VLOOKUP(C174,DEDN!$A$8:$O$902,$F$2)*D174+E174)/1000</f>
        <v>1.6299999999999999E-3</v>
      </c>
      <c r="G174" s="178">
        <f t="shared" si="51"/>
        <v>14</v>
      </c>
      <c r="H174" s="178">
        <f t="shared" si="51"/>
        <v>14</v>
      </c>
      <c r="I174" s="2">
        <f>PARAM!$H$39</f>
        <v>0</v>
      </c>
      <c r="J174" s="11">
        <f>PARAM!$G$39</f>
        <v>0</v>
      </c>
      <c r="K174" s="11">
        <f>(VLOOKUP(H174,DEDN!$A$8:$O$902,$K$2)*I174+J174)/1000</f>
        <v>0</v>
      </c>
      <c r="L174" s="11">
        <f>MIN(IF(PARAM!$B$43=3,CHOOSE($L$2,F174,K174),F174+K174-F174*K174),1)</f>
        <v>1.6299999999999999E-3</v>
      </c>
      <c r="M174" s="2">
        <f>PARAM!$I$38</f>
        <v>0</v>
      </c>
      <c r="N174" s="11">
        <f>VLOOKUP(B174,DEDN!$A$8:$O$90,$N$2)*M174</f>
        <v>0</v>
      </c>
      <c r="O174" s="12"/>
      <c r="P174" s="10">
        <f>PARAM!$C$53^-A174</f>
        <v>1</v>
      </c>
      <c r="Q174" s="10">
        <f t="shared" si="54"/>
        <v>0.9876382751391064</v>
      </c>
      <c r="R174" s="10">
        <f t="shared" si="53"/>
        <v>0.9876382751391064</v>
      </c>
      <c r="S174" s="10">
        <f>CHOOSE(PARAM!$B$51,R174,R174,0,0)*(A174&lt;PARAM!$B$55)</f>
        <v>0</v>
      </c>
      <c r="T174" s="10">
        <f t="shared" si="43"/>
        <v>1.3425452790272185E-4</v>
      </c>
      <c r="U174" s="10">
        <f>T174*P174*(A174&lt;PARAM!$B$55)</f>
        <v>0</v>
      </c>
      <c r="W174">
        <v>171</v>
      </c>
      <c r="X174" s="178">
        <f t="shared" si="52"/>
        <v>45</v>
      </c>
      <c r="Y174" s="178">
        <f t="shared" si="52"/>
        <v>45</v>
      </c>
      <c r="Z174" s="178">
        <f t="shared" si="52"/>
        <v>14</v>
      </c>
      <c r="AA174" s="178">
        <f t="shared" si="52"/>
        <v>14</v>
      </c>
      <c r="AD174" s="17">
        <f>CALC!E198*(A174&lt;PARAM!$B$55)</f>
        <v>0</v>
      </c>
      <c r="AE174">
        <f>IF(A174&lt;ITER!$C$16,1,PARAM!$C$53^-(RATES!A174-ITER!$C$16))*(A174&lt;PARAM!$B$55)</f>
        <v>0</v>
      </c>
    </row>
    <row r="175" spans="1:31" x14ac:dyDescent="0.2">
      <c r="A175" s="9">
        <v>172</v>
      </c>
      <c r="B175" s="178">
        <f t="shared" si="50"/>
        <v>45</v>
      </c>
      <c r="C175" s="178">
        <f t="shared" si="50"/>
        <v>45</v>
      </c>
      <c r="D175" s="2">
        <f>PARAM!$H$38</f>
        <v>1</v>
      </c>
      <c r="E175" s="11">
        <f>PARAM!$G$38</f>
        <v>0</v>
      </c>
      <c r="F175" s="11">
        <f>(VLOOKUP(C175,DEDN!$A$8:$O$902,$F$2)*D175+E175)/1000</f>
        <v>1.6299999999999999E-3</v>
      </c>
      <c r="G175" s="178">
        <f t="shared" si="51"/>
        <v>14</v>
      </c>
      <c r="H175" s="178">
        <f t="shared" si="51"/>
        <v>14</v>
      </c>
      <c r="I175" s="2">
        <f>PARAM!$H$39</f>
        <v>0</v>
      </c>
      <c r="J175" s="11">
        <f>PARAM!$G$39</f>
        <v>0</v>
      </c>
      <c r="K175" s="11">
        <f>(VLOOKUP(H175,DEDN!$A$8:$O$902,$K$2)*I175+J175)/1000</f>
        <v>0</v>
      </c>
      <c r="L175" s="11">
        <f>MIN(IF(PARAM!$B$43=3,CHOOSE($L$2,F175,K175),F175+K175-F175*K175),1)</f>
        <v>1.6299999999999999E-3</v>
      </c>
      <c r="M175" s="2">
        <f>PARAM!$I$38</f>
        <v>0</v>
      </c>
      <c r="N175" s="11">
        <f>VLOOKUP(B175,DEDN!$A$8:$O$90,$N$2)*M175</f>
        <v>0</v>
      </c>
      <c r="O175" s="12"/>
      <c r="P175" s="10">
        <f>PARAM!$C$53^-A175</f>
        <v>1</v>
      </c>
      <c r="Q175" s="10">
        <f t="shared" si="54"/>
        <v>0.98750402061120368</v>
      </c>
      <c r="R175" s="10">
        <f t="shared" si="53"/>
        <v>0.98750402061120368</v>
      </c>
      <c r="S175" s="10">
        <f>CHOOSE(PARAM!$B$51,R175,0,0,0)*(A175&lt;PARAM!$B$55)</f>
        <v>0</v>
      </c>
      <c r="T175" s="10">
        <f t="shared" si="43"/>
        <v>1.342362780244466E-4</v>
      </c>
      <c r="U175" s="10">
        <f>T175*P175*(A175&lt;PARAM!$B$55)</f>
        <v>0</v>
      </c>
      <c r="W175">
        <v>172</v>
      </c>
      <c r="X175" s="178">
        <f t="shared" si="52"/>
        <v>45</v>
      </c>
      <c r="Y175" s="178">
        <f t="shared" si="52"/>
        <v>45</v>
      </c>
      <c r="Z175" s="178">
        <f t="shared" si="52"/>
        <v>14</v>
      </c>
      <c r="AA175" s="178">
        <f t="shared" si="52"/>
        <v>14</v>
      </c>
      <c r="AD175" s="17">
        <f>CALC!E199*(A175&lt;PARAM!$B$55)</f>
        <v>0</v>
      </c>
      <c r="AE175">
        <f>IF(A175&lt;ITER!$C$16,1,PARAM!$C$53^-(RATES!A175-ITER!$C$16))*(A175&lt;PARAM!$B$55)</f>
        <v>0</v>
      </c>
    </row>
    <row r="176" spans="1:31" x14ac:dyDescent="0.2">
      <c r="A176" s="9">
        <v>173</v>
      </c>
      <c r="B176" s="178">
        <f t="shared" si="50"/>
        <v>45</v>
      </c>
      <c r="C176" s="178">
        <f t="shared" si="50"/>
        <v>45</v>
      </c>
      <c r="D176" s="2">
        <f>PARAM!$H$38</f>
        <v>1</v>
      </c>
      <c r="E176" s="11">
        <f>PARAM!$G$38</f>
        <v>0</v>
      </c>
      <c r="F176" s="11">
        <f>(VLOOKUP(C176,DEDN!$A$8:$O$902,$F$2)*D176+E176)/1000</f>
        <v>1.6299999999999999E-3</v>
      </c>
      <c r="G176" s="178">
        <f t="shared" si="51"/>
        <v>14</v>
      </c>
      <c r="H176" s="178">
        <f t="shared" si="51"/>
        <v>14</v>
      </c>
      <c r="I176" s="2">
        <f>PARAM!$H$39</f>
        <v>0</v>
      </c>
      <c r="J176" s="11">
        <f>PARAM!$G$39</f>
        <v>0</v>
      </c>
      <c r="K176" s="11">
        <f>(VLOOKUP(H176,DEDN!$A$8:$O$902,$K$2)*I176+J176)/1000</f>
        <v>0</v>
      </c>
      <c r="L176" s="11">
        <f>MIN(IF(PARAM!$B$43=3,CHOOSE($L$2,F176,K176),F176+K176-F176*K176),1)</f>
        <v>1.6299999999999999E-3</v>
      </c>
      <c r="M176" s="2">
        <f>PARAM!$I$38</f>
        <v>0</v>
      </c>
      <c r="N176" s="11">
        <f>VLOOKUP(B176,DEDN!$A$8:$O$90,$N$2)*M176</f>
        <v>0</v>
      </c>
      <c r="O176" s="12"/>
      <c r="P176" s="10">
        <f>PARAM!$C$53^-A176</f>
        <v>1</v>
      </c>
      <c r="Q176" s="10">
        <f t="shared" si="54"/>
        <v>0.98736978433317923</v>
      </c>
      <c r="R176" s="10">
        <f t="shared" si="53"/>
        <v>0.98736978433317923</v>
      </c>
      <c r="S176" s="10">
        <f>CHOOSE(PARAM!$B$51,R176,0,0,0)*(A176&lt;PARAM!$B$55)</f>
        <v>0</v>
      </c>
      <c r="T176" s="10">
        <f t="shared" si="43"/>
        <v>1.3421803062707571E-4</v>
      </c>
      <c r="U176" s="10">
        <f>T176*P176*(A176&lt;PARAM!$B$55)</f>
        <v>0</v>
      </c>
      <c r="W176">
        <v>173</v>
      </c>
      <c r="X176" s="178">
        <f t="shared" si="52"/>
        <v>45</v>
      </c>
      <c r="Y176" s="178">
        <f t="shared" si="52"/>
        <v>45</v>
      </c>
      <c r="Z176" s="178">
        <f t="shared" si="52"/>
        <v>14</v>
      </c>
      <c r="AA176" s="178">
        <f t="shared" si="52"/>
        <v>14</v>
      </c>
      <c r="AD176" s="17">
        <f>CALC!E200*(A176&lt;PARAM!$B$55)</f>
        <v>0</v>
      </c>
      <c r="AE176">
        <f>IF(A176&lt;ITER!$C$16,1,PARAM!$C$53^-(RATES!A176-ITER!$C$16))*(A176&lt;PARAM!$B$55)</f>
        <v>0</v>
      </c>
    </row>
    <row r="177" spans="1:31" x14ac:dyDescent="0.2">
      <c r="A177" s="9">
        <v>174</v>
      </c>
      <c r="B177" s="178">
        <f t="shared" si="50"/>
        <v>46</v>
      </c>
      <c r="C177" s="178">
        <f t="shared" si="50"/>
        <v>46</v>
      </c>
      <c r="D177" s="2">
        <f>PARAM!$H$38</f>
        <v>1</v>
      </c>
      <c r="E177" s="11">
        <f>PARAM!$G$38</f>
        <v>0</v>
      </c>
      <c r="F177" s="11">
        <f>(VLOOKUP(C177,DEDN!$A$8:$O$902,$F$2)*D177+E177)/1000</f>
        <v>1.83E-3</v>
      </c>
      <c r="G177" s="178">
        <f t="shared" si="51"/>
        <v>15</v>
      </c>
      <c r="H177" s="178">
        <f t="shared" si="51"/>
        <v>15</v>
      </c>
      <c r="I177" s="2">
        <f>PARAM!$H$39</f>
        <v>0</v>
      </c>
      <c r="J177" s="11">
        <f>PARAM!$G$39</f>
        <v>0</v>
      </c>
      <c r="K177" s="11">
        <f>(VLOOKUP(H177,DEDN!$A$8:$O$902,$K$2)*I177+J177)/1000</f>
        <v>0</v>
      </c>
      <c r="L177" s="11">
        <f>MIN(IF(PARAM!$B$43=3,CHOOSE($L$2,F177,K177),F177+K177-F177*K177),1)</f>
        <v>1.83E-3</v>
      </c>
      <c r="M177" s="2">
        <f>PARAM!$I$38</f>
        <v>0</v>
      </c>
      <c r="N177" s="11">
        <f>VLOOKUP(B177,DEDN!$A$8:$O$90,$N$2)*M177</f>
        <v>0</v>
      </c>
      <c r="O177" s="12"/>
      <c r="P177" s="10">
        <f>PARAM!$C$53^-A177</f>
        <v>1</v>
      </c>
      <c r="Q177" s="10">
        <f t="shared" si="54"/>
        <v>0.98723556630255216</v>
      </c>
      <c r="R177" s="10">
        <f t="shared" si="53"/>
        <v>0.98723556630255216</v>
      </c>
      <c r="S177" s="10">
        <f>CHOOSE(PARAM!$B$51,R177,R177,R177,0)*(A177&lt;PARAM!$B$55)</f>
        <v>0</v>
      </c>
      <c r="T177" s="10">
        <f t="shared" si="43"/>
        <v>1.5067984838113002E-4</v>
      </c>
      <c r="U177" s="10">
        <f>T177*P177*(A177&lt;PARAM!$B$55)</f>
        <v>0</v>
      </c>
      <c r="W177">
        <v>174</v>
      </c>
      <c r="X177" s="178">
        <f t="shared" si="52"/>
        <v>46</v>
      </c>
      <c r="Y177" s="178">
        <f t="shared" si="52"/>
        <v>46</v>
      </c>
      <c r="Z177" s="178">
        <f t="shared" si="52"/>
        <v>15</v>
      </c>
      <c r="AA177" s="178">
        <f t="shared" si="52"/>
        <v>15</v>
      </c>
      <c r="AD177" s="17">
        <f>CALC!E201*(A177&lt;PARAM!$B$55)</f>
        <v>0</v>
      </c>
      <c r="AE177">
        <f>IF(A177&lt;ITER!$C$16,1,PARAM!$C$53^-(RATES!A177-ITER!$C$16))*(A177&lt;PARAM!$B$55)</f>
        <v>0</v>
      </c>
    </row>
    <row r="178" spans="1:31" x14ac:dyDescent="0.2">
      <c r="A178" s="9">
        <v>175</v>
      </c>
      <c r="B178" s="178">
        <f t="shared" si="50"/>
        <v>46</v>
      </c>
      <c r="C178" s="178">
        <f t="shared" si="50"/>
        <v>46</v>
      </c>
      <c r="D178" s="2">
        <f>PARAM!$H$38</f>
        <v>1</v>
      </c>
      <c r="E178" s="11">
        <f>PARAM!$G$38</f>
        <v>0</v>
      </c>
      <c r="F178" s="11">
        <f>(VLOOKUP(C178,DEDN!$A$8:$O$902,$F$2)*D178+E178)/1000</f>
        <v>1.83E-3</v>
      </c>
      <c r="G178" s="178">
        <f t="shared" si="51"/>
        <v>15</v>
      </c>
      <c r="H178" s="178">
        <f t="shared" si="51"/>
        <v>15</v>
      </c>
      <c r="I178" s="2">
        <f>PARAM!$H$39</f>
        <v>0</v>
      </c>
      <c r="J178" s="11">
        <f>PARAM!$G$39</f>
        <v>0</v>
      </c>
      <c r="K178" s="11">
        <f>(VLOOKUP(H178,DEDN!$A$8:$O$902,$K$2)*I178+J178)/1000</f>
        <v>0</v>
      </c>
      <c r="L178" s="11">
        <f>MIN(IF(PARAM!$B$43=3,CHOOSE($L$2,F178,K178),F178+K178-F178*K178),1)</f>
        <v>1.83E-3</v>
      </c>
      <c r="M178" s="2">
        <f>PARAM!$I$38</f>
        <v>0</v>
      </c>
      <c r="N178" s="11">
        <f>VLOOKUP(B178,DEDN!$A$8:$O$90,$N$2)*M178</f>
        <v>0</v>
      </c>
      <c r="O178" s="12"/>
      <c r="P178" s="10">
        <f>PARAM!$C$53^-A178</f>
        <v>1</v>
      </c>
      <c r="Q178" s="10">
        <f t="shared" si="54"/>
        <v>0.98708488645417103</v>
      </c>
      <c r="R178" s="10">
        <f t="shared" si="53"/>
        <v>0.98708488645417103</v>
      </c>
      <c r="S178" s="10">
        <f>CHOOSE(PARAM!$B$51,R178,0,0,0)*(A178&lt;PARAM!$B$55)</f>
        <v>0</v>
      </c>
      <c r="T178" s="10">
        <f t="shared" si="43"/>
        <v>1.5065685040838162E-4</v>
      </c>
      <c r="U178" s="10">
        <f>T178*P178*(A178&lt;PARAM!$B$55)</f>
        <v>0</v>
      </c>
      <c r="W178">
        <v>175</v>
      </c>
      <c r="X178" s="178">
        <f t="shared" si="52"/>
        <v>46</v>
      </c>
      <c r="Y178" s="178">
        <f t="shared" si="52"/>
        <v>46</v>
      </c>
      <c r="Z178" s="178">
        <f t="shared" si="52"/>
        <v>15</v>
      </c>
      <c r="AA178" s="178">
        <f t="shared" si="52"/>
        <v>15</v>
      </c>
      <c r="AD178" s="17">
        <f>CALC!E202*(A178&lt;PARAM!$B$55)</f>
        <v>0</v>
      </c>
      <c r="AE178">
        <f>IF(A178&lt;ITER!$C$16,1,PARAM!$C$53^-(RATES!A178-ITER!$C$16))*(A178&lt;PARAM!$B$55)</f>
        <v>0</v>
      </c>
    </row>
    <row r="179" spans="1:31" x14ac:dyDescent="0.2">
      <c r="A179" s="9">
        <v>176</v>
      </c>
      <c r="B179" s="178">
        <f t="shared" si="50"/>
        <v>46</v>
      </c>
      <c r="C179" s="178">
        <f t="shared" si="50"/>
        <v>46</v>
      </c>
      <c r="D179" s="2">
        <f>PARAM!$H$38</f>
        <v>1</v>
      </c>
      <c r="E179" s="11">
        <f>PARAM!$G$38</f>
        <v>0</v>
      </c>
      <c r="F179" s="11">
        <f>(VLOOKUP(C179,DEDN!$A$8:$O$902,$F$2)*D179+E179)/1000</f>
        <v>1.83E-3</v>
      </c>
      <c r="G179" s="178">
        <f t="shared" si="51"/>
        <v>15</v>
      </c>
      <c r="H179" s="178">
        <f t="shared" si="51"/>
        <v>15</v>
      </c>
      <c r="I179" s="2">
        <f>PARAM!$H$39</f>
        <v>0</v>
      </c>
      <c r="J179" s="11">
        <f>PARAM!$G$39</f>
        <v>0</v>
      </c>
      <c r="K179" s="11">
        <f>(VLOOKUP(H179,DEDN!$A$8:$O$902,$K$2)*I179+J179)/1000</f>
        <v>0</v>
      </c>
      <c r="L179" s="11">
        <f>MIN(IF(PARAM!$B$43=3,CHOOSE($L$2,F179,K179),F179+K179-F179*K179),1)</f>
        <v>1.83E-3</v>
      </c>
      <c r="M179" s="2">
        <f>PARAM!$I$38</f>
        <v>0</v>
      </c>
      <c r="N179" s="11">
        <f>VLOOKUP(B179,DEDN!$A$8:$O$90,$N$2)*M179</f>
        <v>0</v>
      </c>
      <c r="O179" s="12"/>
      <c r="P179" s="10">
        <f>PARAM!$C$53^-A179</f>
        <v>1</v>
      </c>
      <c r="Q179" s="10">
        <f t="shared" si="54"/>
        <v>0.98693422960376265</v>
      </c>
      <c r="R179" s="10">
        <f t="shared" si="53"/>
        <v>0.98693422960376265</v>
      </c>
      <c r="S179" s="10">
        <f>CHOOSE(PARAM!$B$51,R179,0,0,0)*(A179&lt;PARAM!$B$55)</f>
        <v>0</v>
      </c>
      <c r="T179" s="10">
        <f t="shared" si="43"/>
        <v>1.5063385594571432E-4</v>
      </c>
      <c r="U179" s="10">
        <f>T179*P179*(A179&lt;PARAM!$B$55)</f>
        <v>0</v>
      </c>
      <c r="W179">
        <v>176</v>
      </c>
      <c r="X179" s="178">
        <f t="shared" si="52"/>
        <v>46</v>
      </c>
      <c r="Y179" s="178">
        <f t="shared" si="52"/>
        <v>46</v>
      </c>
      <c r="Z179" s="178">
        <f t="shared" si="52"/>
        <v>15</v>
      </c>
      <c r="AA179" s="178">
        <f t="shared" si="52"/>
        <v>15</v>
      </c>
      <c r="AD179" s="17">
        <f>CALC!E203*(A179&lt;PARAM!$B$55)</f>
        <v>0</v>
      </c>
      <c r="AE179">
        <f>IF(A179&lt;ITER!$C$16,1,PARAM!$C$53^-(RATES!A179-ITER!$C$16))*(A179&lt;PARAM!$B$55)</f>
        <v>0</v>
      </c>
    </row>
    <row r="180" spans="1:31" x14ac:dyDescent="0.2">
      <c r="A180" s="9">
        <v>177</v>
      </c>
      <c r="B180" s="178">
        <f t="shared" si="50"/>
        <v>46</v>
      </c>
      <c r="C180" s="178">
        <f t="shared" si="50"/>
        <v>46</v>
      </c>
      <c r="D180" s="2">
        <f>PARAM!$H$38</f>
        <v>1</v>
      </c>
      <c r="E180" s="11">
        <f>PARAM!$G$38</f>
        <v>0</v>
      </c>
      <c r="F180" s="11">
        <f>(VLOOKUP(C180,DEDN!$A$8:$O$902,$F$2)*D180+E180)/1000</f>
        <v>1.83E-3</v>
      </c>
      <c r="G180" s="178">
        <f t="shared" si="51"/>
        <v>15</v>
      </c>
      <c r="H180" s="178">
        <f t="shared" si="51"/>
        <v>15</v>
      </c>
      <c r="I180" s="2">
        <f>PARAM!$H$39</f>
        <v>0</v>
      </c>
      <c r="J180" s="11">
        <f>PARAM!$G$39</f>
        <v>0</v>
      </c>
      <c r="K180" s="11">
        <f>(VLOOKUP(H180,DEDN!$A$8:$O$902,$K$2)*I180+J180)/1000</f>
        <v>0</v>
      </c>
      <c r="L180" s="11">
        <f>MIN(IF(PARAM!$B$43=3,CHOOSE($L$2,F180,K180),F180+K180-F180*K180),1)</f>
        <v>1.83E-3</v>
      </c>
      <c r="M180" s="2">
        <f>PARAM!$I$38</f>
        <v>0</v>
      </c>
      <c r="N180" s="11">
        <f>VLOOKUP(B180,DEDN!$A$8:$O$90,$N$2)*M180</f>
        <v>0</v>
      </c>
      <c r="O180" s="12"/>
      <c r="P180" s="10">
        <f>PARAM!$C$53^-A180</f>
        <v>1</v>
      </c>
      <c r="Q180" s="10">
        <f t="shared" si="54"/>
        <v>0.98678359574781693</v>
      </c>
      <c r="R180" s="10">
        <f t="shared" ref="R180:R195" si="55">P180*Q180</f>
        <v>0.98678359574781693</v>
      </c>
      <c r="S180" s="10">
        <f>CHOOSE(PARAM!$B$51,R180,R180,0,0)*(A180&lt;PARAM!$B$55)</f>
        <v>0</v>
      </c>
      <c r="T180" s="10">
        <f t="shared" si="43"/>
        <v>1.5061086499257303E-4</v>
      </c>
      <c r="U180" s="10">
        <f>T180*P180*(A180&lt;PARAM!$B$55)</f>
        <v>0</v>
      </c>
      <c r="W180">
        <v>177</v>
      </c>
      <c r="X180" s="178">
        <f t="shared" si="52"/>
        <v>46</v>
      </c>
      <c r="Y180" s="178">
        <f t="shared" si="52"/>
        <v>46</v>
      </c>
      <c r="Z180" s="178">
        <f t="shared" si="52"/>
        <v>15</v>
      </c>
      <c r="AA180" s="178">
        <f t="shared" si="52"/>
        <v>15</v>
      </c>
      <c r="AD180" s="17">
        <f>CALC!E204*(A180&lt;PARAM!$B$55)</f>
        <v>0</v>
      </c>
      <c r="AE180">
        <f>IF(A180&lt;ITER!$C$16,1,PARAM!$C$53^-(RATES!A180-ITER!$C$16))*(A180&lt;PARAM!$B$55)</f>
        <v>0</v>
      </c>
    </row>
    <row r="181" spans="1:31" x14ac:dyDescent="0.2">
      <c r="A181" s="9">
        <v>178</v>
      </c>
      <c r="B181" s="178">
        <f t="shared" ref="B181:C200" si="56">B169+1</f>
        <v>46</v>
      </c>
      <c r="C181" s="178">
        <f t="shared" si="56"/>
        <v>46</v>
      </c>
      <c r="D181" s="2">
        <f>PARAM!$H$38</f>
        <v>1</v>
      </c>
      <c r="E181" s="11">
        <f>PARAM!$G$38</f>
        <v>0</v>
      </c>
      <c r="F181" s="11">
        <f>(VLOOKUP(C181,DEDN!$A$8:$O$902,$F$2)*D181+E181)/1000</f>
        <v>1.83E-3</v>
      </c>
      <c r="G181" s="178">
        <f t="shared" ref="G181:H200" si="57">G169+1</f>
        <v>15</v>
      </c>
      <c r="H181" s="178">
        <f t="shared" si="57"/>
        <v>15</v>
      </c>
      <c r="I181" s="2">
        <f>PARAM!$H$39</f>
        <v>0</v>
      </c>
      <c r="J181" s="11">
        <f>PARAM!$G$39</f>
        <v>0</v>
      </c>
      <c r="K181" s="11">
        <f>(VLOOKUP(H181,DEDN!$A$8:$O$902,$K$2)*I181+J181)/1000</f>
        <v>0</v>
      </c>
      <c r="L181" s="11">
        <f>MIN(IF(PARAM!$B$43=3,CHOOSE($L$2,F181,K181),F181+K181-F181*K181),1)</f>
        <v>1.83E-3</v>
      </c>
      <c r="M181" s="2">
        <f>PARAM!$I$38</f>
        <v>0</v>
      </c>
      <c r="N181" s="11">
        <f>VLOOKUP(B181,DEDN!$A$8:$O$90,$N$2)*M181</f>
        <v>0</v>
      </c>
      <c r="O181" s="12"/>
      <c r="P181" s="10">
        <f>PARAM!$C$53^-A181</f>
        <v>1</v>
      </c>
      <c r="Q181" s="10">
        <f t="shared" ref="Q181:Q196" si="58">Q180*(1-L180)^(1/12)</f>
        <v>0.98663298488282436</v>
      </c>
      <c r="R181" s="10">
        <f t="shared" si="55"/>
        <v>0.98663298488282436</v>
      </c>
      <c r="S181" s="10">
        <f>CHOOSE(PARAM!$B$51,R181,0,0,0)*(A181&lt;PARAM!$B$55)</f>
        <v>0</v>
      </c>
      <c r="T181" s="10">
        <f t="shared" si="43"/>
        <v>1.5058787754862468E-4</v>
      </c>
      <c r="U181" s="10">
        <f>T181*P181*(A181&lt;PARAM!$B$55)</f>
        <v>0</v>
      </c>
      <c r="W181">
        <v>178</v>
      </c>
      <c r="X181" s="178">
        <f t="shared" ref="X181:AA200" si="59">X169+1</f>
        <v>46</v>
      </c>
      <c r="Y181" s="178">
        <f t="shared" si="59"/>
        <v>46</v>
      </c>
      <c r="Z181" s="178">
        <f t="shared" si="59"/>
        <v>15</v>
      </c>
      <c r="AA181" s="178">
        <f t="shared" si="59"/>
        <v>15</v>
      </c>
      <c r="AD181" s="17">
        <f>CALC!E205*(A181&lt;PARAM!$B$55)</f>
        <v>0</v>
      </c>
      <c r="AE181">
        <f>IF(A181&lt;ITER!$C$16,1,PARAM!$C$53^-(RATES!A181-ITER!$C$16))*(A181&lt;PARAM!$B$55)</f>
        <v>0</v>
      </c>
    </row>
    <row r="182" spans="1:31" x14ac:dyDescent="0.2">
      <c r="A182" s="9">
        <v>179</v>
      </c>
      <c r="B182" s="178">
        <f t="shared" si="56"/>
        <v>46</v>
      </c>
      <c r="C182" s="178">
        <f t="shared" si="56"/>
        <v>46</v>
      </c>
      <c r="D182" s="2">
        <f>PARAM!$H$38</f>
        <v>1</v>
      </c>
      <c r="E182" s="11">
        <f>PARAM!$G$38</f>
        <v>0</v>
      </c>
      <c r="F182" s="11">
        <f>(VLOOKUP(C182,DEDN!$A$8:$O$902,$F$2)*D182+E182)/1000</f>
        <v>1.83E-3</v>
      </c>
      <c r="G182" s="178">
        <f t="shared" si="57"/>
        <v>15</v>
      </c>
      <c r="H182" s="178">
        <f t="shared" si="57"/>
        <v>15</v>
      </c>
      <c r="I182" s="2">
        <f>PARAM!$H$39</f>
        <v>0</v>
      </c>
      <c r="J182" s="11">
        <f>PARAM!$G$39</f>
        <v>0</v>
      </c>
      <c r="K182" s="11">
        <f>(VLOOKUP(H182,DEDN!$A$8:$O$902,$K$2)*I182+J182)/1000</f>
        <v>0</v>
      </c>
      <c r="L182" s="11">
        <f>MIN(IF(PARAM!$B$43=3,CHOOSE($L$2,F182,K182),F182+K182-F182*K182),1)</f>
        <v>1.83E-3</v>
      </c>
      <c r="M182" s="2">
        <f>PARAM!$I$38</f>
        <v>0</v>
      </c>
      <c r="N182" s="11">
        <f>VLOOKUP(B182,DEDN!$A$8:$O$90,$N$2)*M182</f>
        <v>0</v>
      </c>
      <c r="O182" s="12"/>
      <c r="P182" s="10">
        <f>PARAM!$C$53^-A182</f>
        <v>1</v>
      </c>
      <c r="Q182" s="10">
        <f t="shared" si="58"/>
        <v>0.98648239700527574</v>
      </c>
      <c r="R182" s="10">
        <f t="shared" si="55"/>
        <v>0.98648239700527574</v>
      </c>
      <c r="S182" s="10">
        <f>CHOOSE(PARAM!$B$51,R182,0,0,0)*(A182&lt;PARAM!$B$55)</f>
        <v>0</v>
      </c>
      <c r="T182" s="10">
        <f t="shared" si="43"/>
        <v>1.5056489361309211E-4</v>
      </c>
      <c r="U182" s="10">
        <f>T182*P182*(A182&lt;PARAM!$B$55)</f>
        <v>0</v>
      </c>
      <c r="W182">
        <v>179</v>
      </c>
      <c r="X182" s="178">
        <f t="shared" si="59"/>
        <v>46</v>
      </c>
      <c r="Y182" s="178">
        <f t="shared" si="59"/>
        <v>46</v>
      </c>
      <c r="Z182" s="178">
        <f t="shared" si="59"/>
        <v>15</v>
      </c>
      <c r="AA182" s="178">
        <f t="shared" si="59"/>
        <v>15</v>
      </c>
      <c r="AD182" s="17">
        <f>CALC!E206*(A182&lt;PARAM!$B$55)</f>
        <v>0</v>
      </c>
      <c r="AE182">
        <f>IF(A182&lt;ITER!$C$16,1,PARAM!$C$53^-(RATES!A182-ITER!$C$16))*(A182&lt;PARAM!$B$55)</f>
        <v>0</v>
      </c>
    </row>
    <row r="183" spans="1:31" x14ac:dyDescent="0.2">
      <c r="A183" s="9">
        <v>180</v>
      </c>
      <c r="B183" s="178">
        <f t="shared" si="56"/>
        <v>46</v>
      </c>
      <c r="C183" s="178">
        <f t="shared" si="56"/>
        <v>46</v>
      </c>
      <c r="D183" s="2">
        <f>PARAM!$H$38</f>
        <v>1</v>
      </c>
      <c r="E183" s="11">
        <f>PARAM!$G$38</f>
        <v>0</v>
      </c>
      <c r="F183" s="11">
        <f>(VLOOKUP(C183,DEDN!$A$8:$O$902,$F$2)*D183+E183)/1000</f>
        <v>1.83E-3</v>
      </c>
      <c r="G183" s="178">
        <f t="shared" si="57"/>
        <v>15</v>
      </c>
      <c r="H183" s="178">
        <f t="shared" si="57"/>
        <v>15</v>
      </c>
      <c r="I183" s="2">
        <f>PARAM!$H$39</f>
        <v>0</v>
      </c>
      <c r="J183" s="11">
        <f>PARAM!$G$39</f>
        <v>0</v>
      </c>
      <c r="K183" s="11">
        <f>(VLOOKUP(H183,DEDN!$A$8:$O$902,$K$2)*I183+J183)/1000</f>
        <v>0</v>
      </c>
      <c r="L183" s="11">
        <f>MIN(IF(PARAM!$B$43=3,CHOOSE($L$2,F183,K183),F183+K183-F183*K183),1)</f>
        <v>1.83E-3</v>
      </c>
      <c r="M183" s="2">
        <f>PARAM!$I$38</f>
        <v>0</v>
      </c>
      <c r="N183" s="11">
        <f>VLOOKUP(B183,DEDN!$A$8:$O$90,$N$2)*M183</f>
        <v>0</v>
      </c>
      <c r="O183" s="12"/>
      <c r="P183" s="10">
        <f>PARAM!$C$53^-A183</f>
        <v>1</v>
      </c>
      <c r="Q183" s="10">
        <f t="shared" si="58"/>
        <v>0.98633183211166264</v>
      </c>
      <c r="R183" s="10">
        <f t="shared" si="55"/>
        <v>0.98633183211166264</v>
      </c>
      <c r="S183" s="10">
        <f>R183*(A183&lt;PARAM!$B$55)</f>
        <v>0</v>
      </c>
      <c r="T183" s="10">
        <f t="shared" si="43"/>
        <v>1.5054191318564225E-4</v>
      </c>
      <c r="U183" s="10">
        <f>T183*P183*(A183&lt;PARAM!$B$55)</f>
        <v>0</v>
      </c>
      <c r="W183">
        <v>180</v>
      </c>
      <c r="X183" s="178">
        <f t="shared" si="59"/>
        <v>46</v>
      </c>
      <c r="Y183" s="178">
        <f t="shared" si="59"/>
        <v>46</v>
      </c>
      <c r="Z183" s="178">
        <f t="shared" si="59"/>
        <v>15</v>
      </c>
      <c r="AA183" s="178">
        <f t="shared" si="59"/>
        <v>15</v>
      </c>
      <c r="AD183" s="17">
        <f>CALC!E207*(A183&lt;PARAM!$B$55)</f>
        <v>0</v>
      </c>
      <c r="AE183">
        <f>IF(A183&lt;ITER!$C$16,1,PARAM!$C$53^-(RATES!A183-ITER!$C$16))*(A183&lt;PARAM!$B$55)</f>
        <v>0</v>
      </c>
    </row>
    <row r="184" spans="1:31" x14ac:dyDescent="0.2">
      <c r="A184" s="9">
        <v>181</v>
      </c>
      <c r="B184" s="178">
        <f t="shared" si="56"/>
        <v>46</v>
      </c>
      <c r="C184" s="178">
        <f t="shared" si="56"/>
        <v>46</v>
      </c>
      <c r="D184" s="2">
        <f>PARAM!$H$38</f>
        <v>1</v>
      </c>
      <c r="E184" s="11">
        <f>PARAM!$G$38</f>
        <v>0</v>
      </c>
      <c r="F184" s="11">
        <f>(VLOOKUP(C184,DEDN!$A$8:$O$902,$F$2)*D184+E184)/1000</f>
        <v>1.83E-3</v>
      </c>
      <c r="G184" s="178">
        <f t="shared" si="57"/>
        <v>15</v>
      </c>
      <c r="H184" s="178">
        <f t="shared" si="57"/>
        <v>15</v>
      </c>
      <c r="I184" s="2">
        <f>PARAM!$H$39</f>
        <v>0</v>
      </c>
      <c r="J184" s="11">
        <f>PARAM!$G$39</f>
        <v>0</v>
      </c>
      <c r="K184" s="11">
        <f>(VLOOKUP(H184,DEDN!$A$8:$O$902,$K$2)*I184+J184)/1000</f>
        <v>0</v>
      </c>
      <c r="L184" s="11">
        <f>MIN(IF(PARAM!$B$43=3,CHOOSE($L$2,F184,K184),F184+K184-F184*K184),1)</f>
        <v>1.83E-3</v>
      </c>
      <c r="M184" s="2">
        <f>PARAM!$I$38</f>
        <v>0</v>
      </c>
      <c r="N184" s="11">
        <f>VLOOKUP(B184,DEDN!$A$8:$O$90,$N$2)*M184</f>
        <v>0</v>
      </c>
      <c r="O184" s="12"/>
      <c r="P184" s="10">
        <f>PARAM!$C$53^-A184</f>
        <v>1</v>
      </c>
      <c r="Q184" s="10">
        <f t="shared" si="58"/>
        <v>0.986181290198477</v>
      </c>
      <c r="R184" s="10">
        <f t="shared" si="55"/>
        <v>0.986181290198477</v>
      </c>
      <c r="S184" s="10">
        <f>CHOOSE(PARAM!$B$51,R184,0,0,0)*(A184&lt;PARAM!$B$55)</f>
        <v>0</v>
      </c>
      <c r="T184" s="10">
        <f t="shared" si="43"/>
        <v>1.5051893626560897E-4</v>
      </c>
      <c r="U184" s="10">
        <f>T184*P184*(A184&lt;PARAM!$B$55)</f>
        <v>0</v>
      </c>
      <c r="W184">
        <v>181</v>
      </c>
      <c r="X184" s="178">
        <f t="shared" si="59"/>
        <v>46</v>
      </c>
      <c r="Y184" s="178">
        <f t="shared" si="59"/>
        <v>46</v>
      </c>
      <c r="Z184" s="178">
        <f t="shared" si="59"/>
        <v>15</v>
      </c>
      <c r="AA184" s="178">
        <f t="shared" si="59"/>
        <v>15</v>
      </c>
      <c r="AD184" s="17">
        <f>CALC!E208*(A184&lt;PARAM!$B$55)</f>
        <v>0</v>
      </c>
      <c r="AE184">
        <f>IF(A184&lt;ITER!$C$16,1,PARAM!$C$53^-(RATES!A184-ITER!$C$16))*(A184&lt;PARAM!$B$55)</f>
        <v>0</v>
      </c>
    </row>
    <row r="185" spans="1:31" x14ac:dyDescent="0.2">
      <c r="A185" s="9">
        <v>182</v>
      </c>
      <c r="B185" s="178">
        <f t="shared" si="56"/>
        <v>46</v>
      </c>
      <c r="C185" s="178">
        <f t="shared" si="56"/>
        <v>46</v>
      </c>
      <c r="D185" s="2">
        <f>PARAM!$H$38</f>
        <v>1</v>
      </c>
      <c r="E185" s="11">
        <f>PARAM!$G$38</f>
        <v>0</v>
      </c>
      <c r="F185" s="11">
        <f>(VLOOKUP(C185,DEDN!$A$8:$O$902,$F$2)*D185+E185)/1000</f>
        <v>1.83E-3</v>
      </c>
      <c r="G185" s="178">
        <f t="shared" si="57"/>
        <v>15</v>
      </c>
      <c r="H185" s="178">
        <f t="shared" si="57"/>
        <v>15</v>
      </c>
      <c r="I185" s="2">
        <f>PARAM!$H$39</f>
        <v>0</v>
      </c>
      <c r="J185" s="11">
        <f>PARAM!$G$39</f>
        <v>0</v>
      </c>
      <c r="K185" s="11">
        <f>(VLOOKUP(H185,DEDN!$A$8:$O$902,$K$2)*I185+J185)/1000</f>
        <v>0</v>
      </c>
      <c r="L185" s="11">
        <f>MIN(IF(PARAM!$B$43=3,CHOOSE($L$2,F185,K185),F185+K185-F185*K185),1)</f>
        <v>1.83E-3</v>
      </c>
      <c r="M185" s="2">
        <f>PARAM!$I$38</f>
        <v>0</v>
      </c>
      <c r="N185" s="11">
        <f>VLOOKUP(B185,DEDN!$A$8:$O$90,$N$2)*M185</f>
        <v>0</v>
      </c>
      <c r="O185" s="12"/>
      <c r="P185" s="10">
        <f>PARAM!$C$53^-A185</f>
        <v>1</v>
      </c>
      <c r="Q185" s="10">
        <f t="shared" si="58"/>
        <v>0.98603077126221139</v>
      </c>
      <c r="R185" s="10">
        <f t="shared" si="55"/>
        <v>0.98603077126221139</v>
      </c>
      <c r="S185" s="10">
        <f>CHOOSE(PARAM!$B$51,R185,0,0,0)*(A185&lt;PARAM!$B$55)</f>
        <v>0</v>
      </c>
      <c r="T185" s="10">
        <f t="shared" si="43"/>
        <v>1.5049596285254818E-4</v>
      </c>
      <c r="U185" s="10">
        <f>T185*P185*(A185&lt;PARAM!$B$55)</f>
        <v>0</v>
      </c>
      <c r="W185">
        <v>182</v>
      </c>
      <c r="X185" s="178">
        <f t="shared" si="59"/>
        <v>46</v>
      </c>
      <c r="Y185" s="178">
        <f t="shared" si="59"/>
        <v>46</v>
      </c>
      <c r="Z185" s="178">
        <f t="shared" si="59"/>
        <v>15</v>
      </c>
      <c r="AA185" s="178">
        <f t="shared" si="59"/>
        <v>15</v>
      </c>
      <c r="AD185" s="17">
        <f>CALC!E209*(A185&lt;PARAM!$B$55)</f>
        <v>0</v>
      </c>
      <c r="AE185">
        <f>IF(A185&lt;ITER!$C$16,1,PARAM!$C$53^-(RATES!A185-ITER!$C$16))*(A185&lt;PARAM!$B$55)</f>
        <v>0</v>
      </c>
    </row>
    <row r="186" spans="1:31" x14ac:dyDescent="0.2">
      <c r="A186" s="9">
        <v>183</v>
      </c>
      <c r="B186" s="178">
        <f t="shared" si="56"/>
        <v>46</v>
      </c>
      <c r="C186" s="178">
        <f t="shared" si="56"/>
        <v>46</v>
      </c>
      <c r="D186" s="2">
        <f>PARAM!$H$38</f>
        <v>1</v>
      </c>
      <c r="E186" s="11">
        <f>PARAM!$G$38</f>
        <v>0</v>
      </c>
      <c r="F186" s="11">
        <f>(VLOOKUP(C186,DEDN!$A$8:$O$902,$F$2)*D186+E186)/1000</f>
        <v>1.83E-3</v>
      </c>
      <c r="G186" s="178">
        <f t="shared" si="57"/>
        <v>15</v>
      </c>
      <c r="H186" s="178">
        <f t="shared" si="57"/>
        <v>15</v>
      </c>
      <c r="I186" s="2">
        <f>PARAM!$H$39</f>
        <v>0</v>
      </c>
      <c r="J186" s="11">
        <f>PARAM!$G$39</f>
        <v>0</v>
      </c>
      <c r="K186" s="11">
        <f>(VLOOKUP(H186,DEDN!$A$8:$O$902,$K$2)*I186+J186)/1000</f>
        <v>0</v>
      </c>
      <c r="L186" s="11">
        <f>MIN(IF(PARAM!$B$43=3,CHOOSE($L$2,F186,K186),F186+K186-F186*K186),1)</f>
        <v>1.83E-3</v>
      </c>
      <c r="M186" s="2">
        <f>PARAM!$I$38</f>
        <v>0</v>
      </c>
      <c r="N186" s="11">
        <f>VLOOKUP(B186,DEDN!$A$8:$O$90,$N$2)*M186</f>
        <v>0</v>
      </c>
      <c r="O186" s="12"/>
      <c r="P186" s="10">
        <f>PARAM!$C$53^-A186</f>
        <v>1</v>
      </c>
      <c r="Q186" s="10">
        <f t="shared" si="58"/>
        <v>0.98588027529935884</v>
      </c>
      <c r="R186" s="10">
        <f t="shared" si="55"/>
        <v>0.98588027529935884</v>
      </c>
      <c r="S186" s="10">
        <f>CHOOSE(PARAM!$B$51,R186,R186,0,0)*(A186&lt;PARAM!$B$55)</f>
        <v>0</v>
      </c>
      <c r="T186" s="10">
        <f t="shared" si="43"/>
        <v>1.5047299294579375E-4</v>
      </c>
      <c r="U186" s="10">
        <f>T186*P186*(A186&lt;PARAM!$B$55)</f>
        <v>0</v>
      </c>
      <c r="W186">
        <v>183</v>
      </c>
      <c r="X186" s="178">
        <f t="shared" si="59"/>
        <v>46</v>
      </c>
      <c r="Y186" s="178">
        <f t="shared" si="59"/>
        <v>46</v>
      </c>
      <c r="Z186" s="178">
        <f t="shared" si="59"/>
        <v>15</v>
      </c>
      <c r="AA186" s="178">
        <f t="shared" si="59"/>
        <v>15</v>
      </c>
      <c r="AD186" s="17">
        <f>CALC!E210*(A186&lt;PARAM!$B$55)</f>
        <v>0</v>
      </c>
      <c r="AE186">
        <f>IF(A186&lt;ITER!$C$16,1,PARAM!$C$53^-(RATES!A186-ITER!$C$16))*(A186&lt;PARAM!$B$55)</f>
        <v>0</v>
      </c>
    </row>
    <row r="187" spans="1:31" x14ac:dyDescent="0.2">
      <c r="A187" s="9">
        <v>184</v>
      </c>
      <c r="B187" s="178">
        <f t="shared" si="56"/>
        <v>46</v>
      </c>
      <c r="C187" s="178">
        <f t="shared" si="56"/>
        <v>46</v>
      </c>
      <c r="D187" s="2">
        <f>PARAM!$H$38</f>
        <v>1</v>
      </c>
      <c r="E187" s="11">
        <f>PARAM!$G$38</f>
        <v>0</v>
      </c>
      <c r="F187" s="11">
        <f>(VLOOKUP(C187,DEDN!$A$8:$O$902,$F$2)*D187+E187)/1000</f>
        <v>1.83E-3</v>
      </c>
      <c r="G187" s="178">
        <f t="shared" si="57"/>
        <v>15</v>
      </c>
      <c r="H187" s="178">
        <f t="shared" si="57"/>
        <v>15</v>
      </c>
      <c r="I187" s="2">
        <f>PARAM!$H$39</f>
        <v>0</v>
      </c>
      <c r="J187" s="11">
        <f>PARAM!$G$39</f>
        <v>0</v>
      </c>
      <c r="K187" s="11">
        <f>(VLOOKUP(H187,DEDN!$A$8:$O$902,$K$2)*I187+J187)/1000</f>
        <v>0</v>
      </c>
      <c r="L187" s="11">
        <f>MIN(IF(PARAM!$B$43=3,CHOOSE($L$2,F187,K187),F187+K187-F187*K187),1)</f>
        <v>1.83E-3</v>
      </c>
      <c r="M187" s="2">
        <f>PARAM!$I$38</f>
        <v>0</v>
      </c>
      <c r="N187" s="11">
        <f>VLOOKUP(B187,DEDN!$A$8:$O$90,$N$2)*M187</f>
        <v>0</v>
      </c>
      <c r="O187" s="12"/>
      <c r="P187" s="10">
        <f>PARAM!$C$53^-A187</f>
        <v>1</v>
      </c>
      <c r="Q187" s="10">
        <f t="shared" si="58"/>
        <v>0.98572980230641305</v>
      </c>
      <c r="R187" s="10">
        <f t="shared" si="55"/>
        <v>0.98572980230641305</v>
      </c>
      <c r="S187" s="10">
        <f>CHOOSE(PARAM!$B$51,R187,0,0,0)*(A187&lt;PARAM!$B$55)</f>
        <v>0</v>
      </c>
      <c r="T187" s="10">
        <f t="shared" si="43"/>
        <v>1.5045002654490158E-4</v>
      </c>
      <c r="U187" s="10">
        <f>T187*P187*(A187&lt;PARAM!$B$55)</f>
        <v>0</v>
      </c>
      <c r="W187">
        <v>184</v>
      </c>
      <c r="X187" s="178">
        <f t="shared" si="59"/>
        <v>46</v>
      </c>
      <c r="Y187" s="178">
        <f t="shared" si="59"/>
        <v>46</v>
      </c>
      <c r="Z187" s="178">
        <f t="shared" si="59"/>
        <v>15</v>
      </c>
      <c r="AA187" s="178">
        <f t="shared" si="59"/>
        <v>15</v>
      </c>
      <c r="AD187" s="17">
        <f>CALC!E211*(A187&lt;PARAM!$B$55)</f>
        <v>0</v>
      </c>
      <c r="AE187">
        <f>IF(A187&lt;ITER!$C$16,1,PARAM!$C$53^-(RATES!A187-ITER!$C$16))*(A187&lt;PARAM!$B$55)</f>
        <v>0</v>
      </c>
    </row>
    <row r="188" spans="1:31" x14ac:dyDescent="0.2">
      <c r="A188" s="9">
        <v>185</v>
      </c>
      <c r="B188" s="178">
        <f t="shared" si="56"/>
        <v>46</v>
      </c>
      <c r="C188" s="178">
        <f t="shared" si="56"/>
        <v>46</v>
      </c>
      <c r="D188" s="2">
        <f>PARAM!$H$38</f>
        <v>1</v>
      </c>
      <c r="E188" s="11">
        <f>PARAM!$G$38</f>
        <v>0</v>
      </c>
      <c r="F188" s="11">
        <f>(VLOOKUP(C188,DEDN!$A$8:$O$902,$F$2)*D188+E188)/1000</f>
        <v>1.83E-3</v>
      </c>
      <c r="G188" s="178">
        <f t="shared" si="57"/>
        <v>15</v>
      </c>
      <c r="H188" s="178">
        <f t="shared" si="57"/>
        <v>15</v>
      </c>
      <c r="I188" s="2">
        <f>PARAM!$H$39</f>
        <v>0</v>
      </c>
      <c r="J188" s="11">
        <f>PARAM!$G$39</f>
        <v>0</v>
      </c>
      <c r="K188" s="11">
        <f>(VLOOKUP(H188,DEDN!$A$8:$O$902,$K$2)*I188+J188)/1000</f>
        <v>0</v>
      </c>
      <c r="L188" s="11">
        <f>MIN(IF(PARAM!$B$43=3,CHOOSE($L$2,F188,K188),F188+K188-F188*K188),1)</f>
        <v>1.83E-3</v>
      </c>
      <c r="M188" s="2">
        <f>PARAM!$I$38</f>
        <v>0</v>
      </c>
      <c r="N188" s="11">
        <f>VLOOKUP(B188,DEDN!$A$8:$O$90,$N$2)*M188</f>
        <v>0</v>
      </c>
      <c r="O188" s="12"/>
      <c r="P188" s="10">
        <f>PARAM!$C$53^-A188</f>
        <v>1</v>
      </c>
      <c r="Q188" s="10">
        <f t="shared" si="58"/>
        <v>0.98557935227986815</v>
      </c>
      <c r="R188" s="10">
        <f t="shared" si="55"/>
        <v>0.98557935227986815</v>
      </c>
      <c r="S188" s="10">
        <f>CHOOSE(PARAM!$B$51,R188,0,0,0)*(A188&lt;PARAM!$B$55)</f>
        <v>0</v>
      </c>
      <c r="T188" s="10">
        <f t="shared" si="43"/>
        <v>1.5042706364942759E-4</v>
      </c>
      <c r="U188" s="10">
        <f>T188*P188*(A188&lt;PARAM!$B$55)</f>
        <v>0</v>
      </c>
      <c r="W188">
        <v>185</v>
      </c>
      <c r="X188" s="178">
        <f t="shared" si="59"/>
        <v>46</v>
      </c>
      <c r="Y188" s="178">
        <f t="shared" si="59"/>
        <v>46</v>
      </c>
      <c r="Z188" s="178">
        <f t="shared" si="59"/>
        <v>15</v>
      </c>
      <c r="AA188" s="178">
        <f t="shared" si="59"/>
        <v>15</v>
      </c>
      <c r="AD188" s="17">
        <f>CALC!E212*(A188&lt;PARAM!$B$55)</f>
        <v>0</v>
      </c>
      <c r="AE188">
        <f>IF(A188&lt;ITER!$C$16,1,PARAM!$C$53^-(RATES!A188-ITER!$C$16))*(A188&lt;PARAM!$B$55)</f>
        <v>0</v>
      </c>
    </row>
    <row r="189" spans="1:31" x14ac:dyDescent="0.2">
      <c r="A189" s="9">
        <v>186</v>
      </c>
      <c r="B189" s="178">
        <f t="shared" si="56"/>
        <v>47</v>
      </c>
      <c r="C189" s="178">
        <f t="shared" si="56"/>
        <v>47</v>
      </c>
      <c r="D189" s="2">
        <f>PARAM!$H$38</f>
        <v>1</v>
      </c>
      <c r="E189" s="11">
        <f>PARAM!$G$38</f>
        <v>0</v>
      </c>
      <c r="F189" s="11">
        <f>(VLOOKUP(C189,DEDN!$A$8:$O$902,$F$2)*D189+E189)/1000</f>
        <v>2.0600000000000002E-3</v>
      </c>
      <c r="G189" s="178">
        <f t="shared" si="57"/>
        <v>16</v>
      </c>
      <c r="H189" s="178">
        <f t="shared" si="57"/>
        <v>16</v>
      </c>
      <c r="I189" s="2">
        <f>PARAM!$H$39</f>
        <v>0</v>
      </c>
      <c r="J189" s="11">
        <f>PARAM!$G$39</f>
        <v>0</v>
      </c>
      <c r="K189" s="11">
        <f>(VLOOKUP(H189,DEDN!$A$8:$O$902,$K$2)*I189+J189)/1000</f>
        <v>0</v>
      </c>
      <c r="L189" s="11">
        <f>MIN(IF(PARAM!$B$43=3,CHOOSE($L$2,F189,K189),F189+K189-F189*K189),1)</f>
        <v>2.0600000000000002E-3</v>
      </c>
      <c r="M189" s="2">
        <f>PARAM!$I$38</f>
        <v>0</v>
      </c>
      <c r="N189" s="11">
        <f>VLOOKUP(B189,DEDN!$A$8:$O$90,$N$2)*M189</f>
        <v>0</v>
      </c>
      <c r="O189" s="12"/>
      <c r="P189" s="10">
        <f>PARAM!$C$53^-A189</f>
        <v>1</v>
      </c>
      <c r="Q189" s="10">
        <f t="shared" si="58"/>
        <v>0.98542892521621872</v>
      </c>
      <c r="R189" s="10">
        <f t="shared" si="55"/>
        <v>0.98542892521621872</v>
      </c>
      <c r="S189" s="10">
        <f>CHOOSE(PARAM!$B$51,R189,R189,R189,0)*(A189&lt;PARAM!$B$55)</f>
        <v>0</v>
      </c>
      <c r="T189" s="10">
        <f t="shared" si="43"/>
        <v>1.693252295908998E-4</v>
      </c>
      <c r="U189" s="10">
        <f>T189*P189*(A189&lt;PARAM!$B$55)</f>
        <v>0</v>
      </c>
      <c r="W189">
        <v>186</v>
      </c>
      <c r="X189" s="178">
        <f t="shared" si="59"/>
        <v>47</v>
      </c>
      <c r="Y189" s="178">
        <f t="shared" si="59"/>
        <v>47</v>
      </c>
      <c r="Z189" s="178">
        <f t="shared" si="59"/>
        <v>16</v>
      </c>
      <c r="AA189" s="178">
        <f t="shared" si="59"/>
        <v>16</v>
      </c>
      <c r="AD189" s="17">
        <f>CALC!E213*(A189&lt;PARAM!$B$55)</f>
        <v>0</v>
      </c>
      <c r="AE189">
        <f>IF(A189&lt;ITER!$C$16,1,PARAM!$C$53^-(RATES!A189-ITER!$C$16))*(A189&lt;PARAM!$B$55)</f>
        <v>0</v>
      </c>
    </row>
    <row r="190" spans="1:31" x14ac:dyDescent="0.2">
      <c r="A190" s="9">
        <v>187</v>
      </c>
      <c r="B190" s="178">
        <f t="shared" si="56"/>
        <v>47</v>
      </c>
      <c r="C190" s="178">
        <f t="shared" si="56"/>
        <v>47</v>
      </c>
      <c r="D190" s="2">
        <f>PARAM!$H$38</f>
        <v>1</v>
      </c>
      <c r="E190" s="11">
        <f>PARAM!$G$38</f>
        <v>0</v>
      </c>
      <c r="F190" s="11">
        <f>(VLOOKUP(C190,DEDN!$A$8:$O$902,$F$2)*D190+E190)/1000</f>
        <v>2.0600000000000002E-3</v>
      </c>
      <c r="G190" s="178">
        <f t="shared" si="57"/>
        <v>16</v>
      </c>
      <c r="H190" s="178">
        <f t="shared" si="57"/>
        <v>16</v>
      </c>
      <c r="I190" s="2">
        <f>PARAM!$H$39</f>
        <v>0</v>
      </c>
      <c r="J190" s="11">
        <f>PARAM!$G$39</f>
        <v>0</v>
      </c>
      <c r="K190" s="11">
        <f>(VLOOKUP(H190,DEDN!$A$8:$O$902,$K$2)*I190+J190)/1000</f>
        <v>0</v>
      </c>
      <c r="L190" s="11">
        <f>MIN(IF(PARAM!$B$43=3,CHOOSE($L$2,F190,K190),F190+K190-F190*K190),1)</f>
        <v>2.0600000000000002E-3</v>
      </c>
      <c r="M190" s="2">
        <f>PARAM!$I$38</f>
        <v>0</v>
      </c>
      <c r="N190" s="11">
        <f>VLOOKUP(B190,DEDN!$A$8:$O$90,$N$2)*M190</f>
        <v>0</v>
      </c>
      <c r="O190" s="12"/>
      <c r="P190" s="10">
        <f>PARAM!$C$53^-A190</f>
        <v>1</v>
      </c>
      <c r="Q190" s="10">
        <f t="shared" si="58"/>
        <v>0.98525959998662782</v>
      </c>
      <c r="R190" s="10">
        <f t="shared" si="55"/>
        <v>0.98525959998662782</v>
      </c>
      <c r="S190" s="10">
        <f>CHOOSE(PARAM!$B$51,R190,0,0,0)*(A190&lt;PARAM!$B$55)</f>
        <v>0</v>
      </c>
      <c r="T190" s="10">
        <f t="shared" si="43"/>
        <v>1.6929613461247328E-4</v>
      </c>
      <c r="U190" s="10">
        <f>T190*P190*(A190&lt;PARAM!$B$55)</f>
        <v>0</v>
      </c>
      <c r="W190">
        <v>187</v>
      </c>
      <c r="X190" s="178">
        <f t="shared" si="59"/>
        <v>47</v>
      </c>
      <c r="Y190" s="178">
        <f t="shared" si="59"/>
        <v>47</v>
      </c>
      <c r="Z190" s="178">
        <f t="shared" si="59"/>
        <v>16</v>
      </c>
      <c r="AA190" s="178">
        <f t="shared" si="59"/>
        <v>16</v>
      </c>
      <c r="AD190" s="17">
        <f>CALC!E214*(A190&lt;PARAM!$B$55)</f>
        <v>0</v>
      </c>
      <c r="AE190">
        <f>IF(A190&lt;ITER!$C$16,1,PARAM!$C$53^-(RATES!A190-ITER!$C$16))*(A190&lt;PARAM!$B$55)</f>
        <v>0</v>
      </c>
    </row>
    <row r="191" spans="1:31" x14ac:dyDescent="0.2">
      <c r="A191" s="9">
        <v>188</v>
      </c>
      <c r="B191" s="178">
        <f t="shared" si="56"/>
        <v>47</v>
      </c>
      <c r="C191" s="178">
        <f t="shared" si="56"/>
        <v>47</v>
      </c>
      <c r="D191" s="2">
        <f>PARAM!$H$38</f>
        <v>1</v>
      </c>
      <c r="E191" s="11">
        <f>PARAM!$G$38</f>
        <v>0</v>
      </c>
      <c r="F191" s="11">
        <f>(VLOOKUP(C191,DEDN!$A$8:$O$902,$F$2)*D191+E191)/1000</f>
        <v>2.0600000000000002E-3</v>
      </c>
      <c r="G191" s="178">
        <f t="shared" si="57"/>
        <v>16</v>
      </c>
      <c r="H191" s="178">
        <f t="shared" si="57"/>
        <v>16</v>
      </c>
      <c r="I191" s="2">
        <f>PARAM!$H$39</f>
        <v>0</v>
      </c>
      <c r="J191" s="11">
        <f>PARAM!$G$39</f>
        <v>0</v>
      </c>
      <c r="K191" s="11">
        <f>(VLOOKUP(H191,DEDN!$A$8:$O$902,$K$2)*I191+J191)/1000</f>
        <v>0</v>
      </c>
      <c r="L191" s="11">
        <f>MIN(IF(PARAM!$B$43=3,CHOOSE($L$2,F191,K191),F191+K191-F191*K191),1)</f>
        <v>2.0600000000000002E-3</v>
      </c>
      <c r="M191" s="2">
        <f>PARAM!$I$38</f>
        <v>0</v>
      </c>
      <c r="N191" s="11">
        <f>VLOOKUP(B191,DEDN!$A$8:$O$90,$N$2)*M191</f>
        <v>0</v>
      </c>
      <c r="O191" s="12"/>
      <c r="P191" s="10">
        <f>PARAM!$C$53^-A191</f>
        <v>1</v>
      </c>
      <c r="Q191" s="10">
        <f t="shared" si="58"/>
        <v>0.98509030385201535</v>
      </c>
      <c r="R191" s="10">
        <f t="shared" si="55"/>
        <v>0.98509030385201535</v>
      </c>
      <c r="S191" s="10">
        <f>CHOOSE(PARAM!$B$51,R191,0,0,0)*(A191&lt;PARAM!$B$55)</f>
        <v>0</v>
      </c>
      <c r="T191" s="10">
        <f t="shared" si="43"/>
        <v>1.6926704463327003E-4</v>
      </c>
      <c r="U191" s="10">
        <f>T191*P191*(A191&lt;PARAM!$B$55)</f>
        <v>0</v>
      </c>
      <c r="W191">
        <v>188</v>
      </c>
      <c r="X191" s="178">
        <f t="shared" si="59"/>
        <v>47</v>
      </c>
      <c r="Y191" s="178">
        <f t="shared" si="59"/>
        <v>47</v>
      </c>
      <c r="Z191" s="178">
        <f t="shared" si="59"/>
        <v>16</v>
      </c>
      <c r="AA191" s="178">
        <f t="shared" si="59"/>
        <v>16</v>
      </c>
      <c r="AD191" s="17">
        <f>CALC!E215*(A191&lt;PARAM!$B$55)</f>
        <v>0</v>
      </c>
      <c r="AE191">
        <f>IF(A191&lt;ITER!$C$16,1,PARAM!$C$53^-(RATES!A191-ITER!$C$16))*(A191&lt;PARAM!$B$55)</f>
        <v>0</v>
      </c>
    </row>
    <row r="192" spans="1:31" x14ac:dyDescent="0.2">
      <c r="A192" s="9">
        <v>189</v>
      </c>
      <c r="B192" s="178">
        <f t="shared" si="56"/>
        <v>47</v>
      </c>
      <c r="C192" s="178">
        <f t="shared" si="56"/>
        <v>47</v>
      </c>
      <c r="D192" s="2">
        <f>PARAM!$H$38</f>
        <v>1</v>
      </c>
      <c r="E192" s="11">
        <f>PARAM!$G$38</f>
        <v>0</v>
      </c>
      <c r="F192" s="11">
        <f>(VLOOKUP(C192,DEDN!$A$8:$O$902,$F$2)*D192+E192)/1000</f>
        <v>2.0600000000000002E-3</v>
      </c>
      <c r="G192" s="178">
        <f t="shared" si="57"/>
        <v>16</v>
      </c>
      <c r="H192" s="178">
        <f t="shared" si="57"/>
        <v>16</v>
      </c>
      <c r="I192" s="2">
        <f>PARAM!$H$39</f>
        <v>0</v>
      </c>
      <c r="J192" s="11">
        <f>PARAM!$G$39</f>
        <v>0</v>
      </c>
      <c r="K192" s="11">
        <f>(VLOOKUP(H192,DEDN!$A$8:$O$902,$K$2)*I192+J192)/1000</f>
        <v>0</v>
      </c>
      <c r="L192" s="11">
        <f>MIN(IF(PARAM!$B$43=3,CHOOSE($L$2,F192,K192),F192+K192-F192*K192),1)</f>
        <v>2.0600000000000002E-3</v>
      </c>
      <c r="M192" s="2">
        <f>PARAM!$I$38</f>
        <v>0</v>
      </c>
      <c r="N192" s="11">
        <f>VLOOKUP(B192,DEDN!$A$8:$O$90,$N$2)*M192</f>
        <v>0</v>
      </c>
      <c r="O192" s="12"/>
      <c r="P192" s="10">
        <f>PARAM!$C$53^-A192</f>
        <v>1</v>
      </c>
      <c r="Q192" s="10">
        <f t="shared" si="58"/>
        <v>0.98492103680738208</v>
      </c>
      <c r="R192" s="10">
        <f t="shared" si="55"/>
        <v>0.98492103680738208</v>
      </c>
      <c r="S192" s="10">
        <f>CHOOSE(PARAM!$B$51,R192,R192,0,0)*(A192&lt;PARAM!$B$55)</f>
        <v>0</v>
      </c>
      <c r="T192" s="10">
        <f t="shared" si="43"/>
        <v>1.6923795965273492E-4</v>
      </c>
      <c r="U192" s="10">
        <f>T192*P192*(A192&lt;PARAM!$B$55)</f>
        <v>0</v>
      </c>
      <c r="W192">
        <v>189</v>
      </c>
      <c r="X192" s="178">
        <f t="shared" si="59"/>
        <v>47</v>
      </c>
      <c r="Y192" s="178">
        <f t="shared" si="59"/>
        <v>47</v>
      </c>
      <c r="Z192" s="178">
        <f t="shared" si="59"/>
        <v>16</v>
      </c>
      <c r="AA192" s="178">
        <f t="shared" si="59"/>
        <v>16</v>
      </c>
      <c r="AD192" s="17">
        <f>CALC!E216*(A192&lt;PARAM!$B$55)</f>
        <v>0</v>
      </c>
      <c r="AE192">
        <f>IF(A192&lt;ITER!$C$16,1,PARAM!$C$53^-(RATES!A192-ITER!$C$16))*(A192&lt;PARAM!$B$55)</f>
        <v>0</v>
      </c>
    </row>
    <row r="193" spans="1:31" x14ac:dyDescent="0.2">
      <c r="A193" s="9">
        <v>190</v>
      </c>
      <c r="B193" s="178">
        <f t="shared" si="56"/>
        <v>47</v>
      </c>
      <c r="C193" s="178">
        <f t="shared" si="56"/>
        <v>47</v>
      </c>
      <c r="D193" s="2">
        <f>PARAM!$H$38</f>
        <v>1</v>
      </c>
      <c r="E193" s="11">
        <f>PARAM!$G$38</f>
        <v>0</v>
      </c>
      <c r="F193" s="11">
        <f>(VLOOKUP(C193,DEDN!$A$8:$O$902,$F$2)*D193+E193)/1000</f>
        <v>2.0600000000000002E-3</v>
      </c>
      <c r="G193" s="178">
        <f t="shared" si="57"/>
        <v>16</v>
      </c>
      <c r="H193" s="178">
        <f t="shared" si="57"/>
        <v>16</v>
      </c>
      <c r="I193" s="2">
        <f>PARAM!$H$39</f>
        <v>0</v>
      </c>
      <c r="J193" s="11">
        <f>PARAM!$G$39</f>
        <v>0</v>
      </c>
      <c r="K193" s="11">
        <f>(VLOOKUP(H193,DEDN!$A$8:$O$902,$K$2)*I193+J193)/1000</f>
        <v>0</v>
      </c>
      <c r="L193" s="11">
        <f>MIN(IF(PARAM!$B$43=3,CHOOSE($L$2,F193,K193),F193+K193-F193*K193),1)</f>
        <v>2.0600000000000002E-3</v>
      </c>
      <c r="M193" s="2">
        <f>PARAM!$I$38</f>
        <v>0</v>
      </c>
      <c r="N193" s="11">
        <f>VLOOKUP(B193,DEDN!$A$8:$O$90,$N$2)*M193</f>
        <v>0</v>
      </c>
      <c r="O193" s="12"/>
      <c r="P193" s="10">
        <f>PARAM!$C$53^-A193</f>
        <v>1</v>
      </c>
      <c r="Q193" s="10">
        <f t="shared" si="58"/>
        <v>0.98475179884772934</v>
      </c>
      <c r="R193" s="10">
        <f t="shared" si="55"/>
        <v>0.98475179884772934</v>
      </c>
      <c r="S193" s="10">
        <f>CHOOSE(PARAM!$B$51,R193,0,0,0)*(A193&lt;PARAM!$B$55)</f>
        <v>0</v>
      </c>
      <c r="T193" s="10">
        <f t="shared" si="43"/>
        <v>1.6920887966975773E-4</v>
      </c>
      <c r="U193" s="10">
        <f>T193*P193*(A193&lt;PARAM!$B$55)</f>
        <v>0</v>
      </c>
      <c r="W193">
        <v>190</v>
      </c>
      <c r="X193" s="178">
        <f t="shared" si="59"/>
        <v>47</v>
      </c>
      <c r="Y193" s="178">
        <f t="shared" si="59"/>
        <v>47</v>
      </c>
      <c r="Z193" s="178">
        <f t="shared" si="59"/>
        <v>16</v>
      </c>
      <c r="AA193" s="178">
        <f t="shared" si="59"/>
        <v>16</v>
      </c>
      <c r="AD193" s="17">
        <f>CALC!E217*(A193&lt;PARAM!$B$55)</f>
        <v>0</v>
      </c>
      <c r="AE193">
        <f>IF(A193&lt;ITER!$C$16,1,PARAM!$C$53^-(RATES!A193-ITER!$C$16))*(A193&lt;PARAM!$B$55)</f>
        <v>0</v>
      </c>
    </row>
    <row r="194" spans="1:31" x14ac:dyDescent="0.2">
      <c r="A194" s="9">
        <v>191</v>
      </c>
      <c r="B194" s="178">
        <f t="shared" si="56"/>
        <v>47</v>
      </c>
      <c r="C194" s="178">
        <f t="shared" si="56"/>
        <v>47</v>
      </c>
      <c r="D194" s="2">
        <f>PARAM!$H$38</f>
        <v>1</v>
      </c>
      <c r="E194" s="11">
        <f>PARAM!$G$38</f>
        <v>0</v>
      </c>
      <c r="F194" s="11">
        <f>(VLOOKUP(C194,DEDN!$A$8:$O$902,$F$2)*D194+E194)/1000</f>
        <v>2.0600000000000002E-3</v>
      </c>
      <c r="G194" s="178">
        <f t="shared" si="57"/>
        <v>16</v>
      </c>
      <c r="H194" s="178">
        <f t="shared" si="57"/>
        <v>16</v>
      </c>
      <c r="I194" s="2">
        <f>PARAM!$H$39</f>
        <v>0</v>
      </c>
      <c r="J194" s="11">
        <f>PARAM!$G$39</f>
        <v>0</v>
      </c>
      <c r="K194" s="11">
        <f>(VLOOKUP(H194,DEDN!$A$8:$O$902,$K$2)*I194+J194)/1000</f>
        <v>0</v>
      </c>
      <c r="L194" s="11">
        <f>MIN(IF(PARAM!$B$43=3,CHOOSE($L$2,F194,K194),F194+K194-F194*K194),1)</f>
        <v>2.0600000000000002E-3</v>
      </c>
      <c r="M194" s="2">
        <f>PARAM!$I$38</f>
        <v>0</v>
      </c>
      <c r="N194" s="11">
        <f>VLOOKUP(B194,DEDN!$A$8:$O$90,$N$2)*M194</f>
        <v>0</v>
      </c>
      <c r="O194" s="12"/>
      <c r="P194" s="10">
        <f>PARAM!$C$53^-A194</f>
        <v>1</v>
      </c>
      <c r="Q194" s="10">
        <f t="shared" si="58"/>
        <v>0.98458258996805958</v>
      </c>
      <c r="R194" s="10">
        <f t="shared" si="55"/>
        <v>0.98458258996805958</v>
      </c>
      <c r="S194" s="10">
        <f>CHOOSE(PARAM!$B$51,R194,0,0,0)*(A194&lt;PARAM!$B$55)</f>
        <v>0</v>
      </c>
      <c r="T194" s="10">
        <f t="shared" si="43"/>
        <v>1.6917980468356131E-4</v>
      </c>
      <c r="U194" s="10">
        <f>T194*P194*(A194&lt;PARAM!$B$55)</f>
        <v>0</v>
      </c>
      <c r="W194">
        <v>191</v>
      </c>
      <c r="X194" s="178">
        <f t="shared" si="59"/>
        <v>47</v>
      </c>
      <c r="Y194" s="178">
        <f t="shared" si="59"/>
        <v>47</v>
      </c>
      <c r="Z194" s="178">
        <f t="shared" si="59"/>
        <v>16</v>
      </c>
      <c r="AA194" s="178">
        <f t="shared" si="59"/>
        <v>16</v>
      </c>
      <c r="AD194" s="17">
        <f>CALC!E218*(A194&lt;PARAM!$B$55)</f>
        <v>0</v>
      </c>
      <c r="AE194">
        <f>IF(A194&lt;ITER!$C$16,1,PARAM!$C$53^-(RATES!A194-ITER!$C$16))*(A194&lt;PARAM!$B$55)</f>
        <v>0</v>
      </c>
    </row>
    <row r="195" spans="1:31" x14ac:dyDescent="0.2">
      <c r="A195" s="9">
        <v>192</v>
      </c>
      <c r="B195" s="178">
        <f t="shared" si="56"/>
        <v>47</v>
      </c>
      <c r="C195" s="178">
        <f t="shared" si="56"/>
        <v>47</v>
      </c>
      <c r="D195" s="2">
        <f>PARAM!$H$38</f>
        <v>1</v>
      </c>
      <c r="E195" s="11">
        <f>PARAM!$G$38</f>
        <v>0</v>
      </c>
      <c r="F195" s="11">
        <f>(VLOOKUP(C195,DEDN!$A$8:$O$902,$F$2)*D195+E195)/1000</f>
        <v>2.0600000000000002E-3</v>
      </c>
      <c r="G195" s="178">
        <f t="shared" si="57"/>
        <v>16</v>
      </c>
      <c r="H195" s="178">
        <f t="shared" si="57"/>
        <v>16</v>
      </c>
      <c r="I195" s="2">
        <f>PARAM!$H$39</f>
        <v>0</v>
      </c>
      <c r="J195" s="11">
        <f>PARAM!$G$39</f>
        <v>0</v>
      </c>
      <c r="K195" s="11">
        <f>(VLOOKUP(H195,DEDN!$A$8:$O$902,$K$2)*I195+J195)/1000</f>
        <v>0</v>
      </c>
      <c r="L195" s="11">
        <f>MIN(IF(PARAM!$B$43=3,CHOOSE($L$2,F195,K195),F195+K195-F195*K195),1)</f>
        <v>2.0600000000000002E-3</v>
      </c>
      <c r="M195" s="2">
        <f>PARAM!$I$38</f>
        <v>0</v>
      </c>
      <c r="N195" s="11">
        <f>VLOOKUP(B195,DEDN!$A$8:$O$90,$N$2)*M195</f>
        <v>0</v>
      </c>
      <c r="O195" s="12"/>
      <c r="P195" s="10">
        <f>PARAM!$C$53^-A195</f>
        <v>1</v>
      </c>
      <c r="Q195" s="10">
        <f t="shared" si="58"/>
        <v>0.98441341016337602</v>
      </c>
      <c r="R195" s="10">
        <f t="shared" si="55"/>
        <v>0.98441341016337602</v>
      </c>
      <c r="S195" s="10">
        <f>R195*(A195&lt;PARAM!$B$55)</f>
        <v>0</v>
      </c>
      <c r="T195" s="10">
        <f t="shared" si="43"/>
        <v>1.6915073469325748E-4</v>
      </c>
      <c r="U195" s="10">
        <f>T195*P195*(A195&lt;PARAM!$B$55)</f>
        <v>0</v>
      </c>
      <c r="W195">
        <v>192</v>
      </c>
      <c r="X195" s="178">
        <f t="shared" si="59"/>
        <v>47</v>
      </c>
      <c r="Y195" s="178">
        <f t="shared" si="59"/>
        <v>47</v>
      </c>
      <c r="Z195" s="178">
        <f t="shared" si="59"/>
        <v>16</v>
      </c>
      <c r="AA195" s="178">
        <f t="shared" si="59"/>
        <v>16</v>
      </c>
      <c r="AD195" s="17">
        <f>CALC!E219*(A195&lt;PARAM!$B$55)</f>
        <v>0</v>
      </c>
      <c r="AE195">
        <f>IF(A195&lt;ITER!$C$16,1,PARAM!$C$53^-(RATES!A195-ITER!$C$16))*(A195&lt;PARAM!$B$55)</f>
        <v>0</v>
      </c>
    </row>
    <row r="196" spans="1:31" x14ac:dyDescent="0.2">
      <c r="A196" s="9">
        <v>193</v>
      </c>
      <c r="B196" s="178">
        <f t="shared" si="56"/>
        <v>47</v>
      </c>
      <c r="C196" s="178">
        <f t="shared" si="56"/>
        <v>47</v>
      </c>
      <c r="D196" s="2">
        <f>PARAM!$H$38</f>
        <v>1</v>
      </c>
      <c r="E196" s="11">
        <f>PARAM!$G$38</f>
        <v>0</v>
      </c>
      <c r="F196" s="11">
        <f>(VLOOKUP(C196,DEDN!$A$8:$O$902,$F$2)*D196+E196)/1000</f>
        <v>2.0600000000000002E-3</v>
      </c>
      <c r="G196" s="178">
        <f t="shared" si="57"/>
        <v>16</v>
      </c>
      <c r="H196" s="178">
        <f t="shared" si="57"/>
        <v>16</v>
      </c>
      <c r="I196" s="2">
        <f>PARAM!$H$39</f>
        <v>0</v>
      </c>
      <c r="J196" s="11">
        <f>PARAM!$G$39</f>
        <v>0</v>
      </c>
      <c r="K196" s="11">
        <f>(VLOOKUP(H196,DEDN!$A$8:$O$902,$K$2)*I196+J196)/1000</f>
        <v>0</v>
      </c>
      <c r="L196" s="11">
        <f>MIN(IF(PARAM!$B$43=3,CHOOSE($L$2,F196,K196),F196+K196-F196*K196),1)</f>
        <v>2.0600000000000002E-3</v>
      </c>
      <c r="M196" s="2">
        <f>PARAM!$I$38</f>
        <v>0</v>
      </c>
      <c r="N196" s="11">
        <f>VLOOKUP(B196,DEDN!$A$8:$O$90,$N$2)*M196</f>
        <v>0</v>
      </c>
      <c r="O196" s="12"/>
      <c r="P196" s="10">
        <f>PARAM!$C$53^-A196</f>
        <v>1</v>
      </c>
      <c r="Q196" s="10">
        <f t="shared" si="58"/>
        <v>0.98424425942868277</v>
      </c>
      <c r="R196" s="10">
        <f t="shared" ref="R196:R211" si="60">P196*Q196</f>
        <v>0.98424425942868277</v>
      </c>
      <c r="S196" s="10">
        <f>CHOOSE(PARAM!$B$51,R196,0,0,0)*(A196&lt;PARAM!$B$55)</f>
        <v>0</v>
      </c>
      <c r="T196" s="10">
        <f t="shared" ref="T196:T259" si="61">Q196-Q197</f>
        <v>1.6912166969806908E-4</v>
      </c>
      <c r="U196" s="10">
        <f>T196*P196*(A196&lt;PARAM!$B$55)</f>
        <v>0</v>
      </c>
      <c r="W196">
        <v>193</v>
      </c>
      <c r="X196" s="178">
        <f t="shared" si="59"/>
        <v>47</v>
      </c>
      <c r="Y196" s="178">
        <f t="shared" si="59"/>
        <v>47</v>
      </c>
      <c r="Z196" s="178">
        <f t="shared" si="59"/>
        <v>16</v>
      </c>
      <c r="AA196" s="178">
        <f t="shared" si="59"/>
        <v>16</v>
      </c>
      <c r="AD196" s="17">
        <f>CALC!E220*(A196&lt;PARAM!$B$55)</f>
        <v>0</v>
      </c>
      <c r="AE196">
        <f>IF(A196&lt;ITER!$C$16,1,PARAM!$C$53^-(RATES!A196-ITER!$C$16))*(A196&lt;PARAM!$B$55)</f>
        <v>0</v>
      </c>
    </row>
    <row r="197" spans="1:31" x14ac:dyDescent="0.2">
      <c r="A197" s="9">
        <v>194</v>
      </c>
      <c r="B197" s="178">
        <f t="shared" si="56"/>
        <v>47</v>
      </c>
      <c r="C197" s="178">
        <f t="shared" si="56"/>
        <v>47</v>
      </c>
      <c r="D197" s="2">
        <f>PARAM!$H$38</f>
        <v>1</v>
      </c>
      <c r="E197" s="11">
        <f>PARAM!$G$38</f>
        <v>0</v>
      </c>
      <c r="F197" s="11">
        <f>(VLOOKUP(C197,DEDN!$A$8:$O$902,$F$2)*D197+E197)/1000</f>
        <v>2.0600000000000002E-3</v>
      </c>
      <c r="G197" s="178">
        <f t="shared" si="57"/>
        <v>16</v>
      </c>
      <c r="H197" s="178">
        <f t="shared" si="57"/>
        <v>16</v>
      </c>
      <c r="I197" s="2">
        <f>PARAM!$H$39</f>
        <v>0</v>
      </c>
      <c r="J197" s="11">
        <f>PARAM!$G$39</f>
        <v>0</v>
      </c>
      <c r="K197" s="11">
        <f>(VLOOKUP(H197,DEDN!$A$8:$O$902,$K$2)*I197+J197)/1000</f>
        <v>0</v>
      </c>
      <c r="L197" s="11">
        <f>MIN(IF(PARAM!$B$43=3,CHOOSE($L$2,F197,K197),F197+K197-F197*K197),1)</f>
        <v>2.0600000000000002E-3</v>
      </c>
      <c r="M197" s="2">
        <f>PARAM!$I$38</f>
        <v>0</v>
      </c>
      <c r="N197" s="11">
        <f>VLOOKUP(B197,DEDN!$A$8:$O$90,$N$2)*M197</f>
        <v>0</v>
      </c>
      <c r="O197" s="12"/>
      <c r="P197" s="10">
        <f>PARAM!$C$53^-A197</f>
        <v>1</v>
      </c>
      <c r="Q197" s="10">
        <f t="shared" ref="Q197:Q212" si="62">Q196*(1-L196)^(1/12)</f>
        <v>0.9840751377589847</v>
      </c>
      <c r="R197" s="10">
        <f t="shared" si="60"/>
        <v>0.9840751377589847</v>
      </c>
      <c r="S197" s="10">
        <f>CHOOSE(PARAM!$B$51,R197,0,0,0)*(A197&lt;PARAM!$B$55)</f>
        <v>0</v>
      </c>
      <c r="T197" s="10">
        <f t="shared" si="61"/>
        <v>1.6909260969699691E-4</v>
      </c>
      <c r="U197" s="10">
        <f>T197*P197*(A197&lt;PARAM!$B$55)</f>
        <v>0</v>
      </c>
      <c r="W197">
        <v>194</v>
      </c>
      <c r="X197" s="178">
        <f t="shared" si="59"/>
        <v>47</v>
      </c>
      <c r="Y197" s="178">
        <f t="shared" si="59"/>
        <v>47</v>
      </c>
      <c r="Z197" s="178">
        <f t="shared" si="59"/>
        <v>16</v>
      </c>
      <c r="AA197" s="178">
        <f t="shared" si="59"/>
        <v>16</v>
      </c>
      <c r="AD197" s="17">
        <f>CALC!E221*(A197&lt;PARAM!$B$55)</f>
        <v>0</v>
      </c>
      <c r="AE197">
        <f>IF(A197&lt;ITER!$C$16,1,PARAM!$C$53^-(RATES!A197-ITER!$C$16))*(A197&lt;PARAM!$B$55)</f>
        <v>0</v>
      </c>
    </row>
    <row r="198" spans="1:31" x14ac:dyDescent="0.2">
      <c r="A198" s="9">
        <v>195</v>
      </c>
      <c r="B198" s="178">
        <f t="shared" si="56"/>
        <v>47</v>
      </c>
      <c r="C198" s="178">
        <f t="shared" si="56"/>
        <v>47</v>
      </c>
      <c r="D198" s="2">
        <f>PARAM!$H$38</f>
        <v>1</v>
      </c>
      <c r="E198" s="11">
        <f>PARAM!$G$38</f>
        <v>0</v>
      </c>
      <c r="F198" s="11">
        <f>(VLOOKUP(C198,DEDN!$A$8:$O$902,$F$2)*D198+E198)/1000</f>
        <v>2.0600000000000002E-3</v>
      </c>
      <c r="G198" s="178">
        <f t="shared" si="57"/>
        <v>16</v>
      </c>
      <c r="H198" s="178">
        <f t="shared" si="57"/>
        <v>16</v>
      </c>
      <c r="I198" s="2">
        <f>PARAM!$H$39</f>
        <v>0</v>
      </c>
      <c r="J198" s="11">
        <f>PARAM!$G$39</f>
        <v>0</v>
      </c>
      <c r="K198" s="11">
        <f>(VLOOKUP(H198,DEDN!$A$8:$O$902,$K$2)*I198+J198)/1000</f>
        <v>0</v>
      </c>
      <c r="L198" s="11">
        <f>MIN(IF(PARAM!$B$43=3,CHOOSE($L$2,F198,K198),F198+K198-F198*K198),1)</f>
        <v>2.0600000000000002E-3</v>
      </c>
      <c r="M198" s="2">
        <f>PARAM!$I$38</f>
        <v>0</v>
      </c>
      <c r="N198" s="11">
        <f>VLOOKUP(B198,DEDN!$A$8:$O$90,$N$2)*M198</f>
        <v>0</v>
      </c>
      <c r="O198" s="12"/>
      <c r="P198" s="10">
        <f>PARAM!$C$53^-A198</f>
        <v>1</v>
      </c>
      <c r="Q198" s="10">
        <f t="shared" si="62"/>
        <v>0.9839060451492877</v>
      </c>
      <c r="R198" s="10">
        <f t="shared" si="60"/>
        <v>0.9839060451492877</v>
      </c>
      <c r="S198" s="10">
        <f>CHOOSE(PARAM!$B$51,R198,R198,0,0)*(A198&lt;PARAM!$B$55)</f>
        <v>0</v>
      </c>
      <c r="T198" s="10">
        <f t="shared" si="61"/>
        <v>1.6906355468937484E-4</v>
      </c>
      <c r="U198" s="10">
        <f>T198*P198*(A198&lt;PARAM!$B$55)</f>
        <v>0</v>
      </c>
      <c r="W198">
        <v>195</v>
      </c>
      <c r="X198" s="178">
        <f t="shared" si="59"/>
        <v>47</v>
      </c>
      <c r="Y198" s="178">
        <f t="shared" si="59"/>
        <v>47</v>
      </c>
      <c r="Z198" s="178">
        <f t="shared" si="59"/>
        <v>16</v>
      </c>
      <c r="AA198" s="178">
        <f t="shared" si="59"/>
        <v>16</v>
      </c>
      <c r="AD198" s="17">
        <f>CALC!E222*(A198&lt;PARAM!$B$55)</f>
        <v>0</v>
      </c>
      <c r="AE198">
        <f>IF(A198&lt;ITER!$C$16,1,PARAM!$C$53^-(RATES!A198-ITER!$C$16))*(A198&lt;PARAM!$B$55)</f>
        <v>0</v>
      </c>
    </row>
    <row r="199" spans="1:31" x14ac:dyDescent="0.2">
      <c r="A199" s="9">
        <v>196</v>
      </c>
      <c r="B199" s="178">
        <f t="shared" si="56"/>
        <v>47</v>
      </c>
      <c r="C199" s="178">
        <f t="shared" si="56"/>
        <v>47</v>
      </c>
      <c r="D199" s="2">
        <f>PARAM!$H$38</f>
        <v>1</v>
      </c>
      <c r="E199" s="11">
        <f>PARAM!$G$38</f>
        <v>0</v>
      </c>
      <c r="F199" s="11">
        <f>(VLOOKUP(C199,DEDN!$A$8:$O$902,$F$2)*D199+E199)/1000</f>
        <v>2.0600000000000002E-3</v>
      </c>
      <c r="G199" s="178">
        <f t="shared" si="57"/>
        <v>16</v>
      </c>
      <c r="H199" s="178">
        <f t="shared" si="57"/>
        <v>16</v>
      </c>
      <c r="I199" s="2">
        <f>PARAM!$H$39</f>
        <v>0</v>
      </c>
      <c r="J199" s="11">
        <f>PARAM!$G$39</f>
        <v>0</v>
      </c>
      <c r="K199" s="11">
        <f>(VLOOKUP(H199,DEDN!$A$8:$O$902,$K$2)*I199+J199)/1000</f>
        <v>0</v>
      </c>
      <c r="L199" s="11">
        <f>MIN(IF(PARAM!$B$43=3,CHOOSE($L$2,F199,K199),F199+K199-F199*K199),1)</f>
        <v>2.0600000000000002E-3</v>
      </c>
      <c r="M199" s="2">
        <f>PARAM!$I$38</f>
        <v>0</v>
      </c>
      <c r="N199" s="11">
        <f>VLOOKUP(B199,DEDN!$A$8:$O$90,$N$2)*M199</f>
        <v>0</v>
      </c>
      <c r="O199" s="12"/>
      <c r="P199" s="10">
        <f>PARAM!$C$53^-A199</f>
        <v>1</v>
      </c>
      <c r="Q199" s="10">
        <f t="shared" si="62"/>
        <v>0.98373698159459833</v>
      </c>
      <c r="R199" s="10">
        <f t="shared" si="60"/>
        <v>0.98373698159459833</v>
      </c>
      <c r="S199" s="10">
        <f>CHOOSE(PARAM!$B$51,R199,0,0,0)*(A199&lt;PARAM!$B$55)</f>
        <v>0</v>
      </c>
      <c r="T199" s="10">
        <f t="shared" si="61"/>
        <v>1.6903450467420367E-4</v>
      </c>
      <c r="U199" s="10">
        <f>T199*P199*(A199&lt;PARAM!$B$55)</f>
        <v>0</v>
      </c>
      <c r="W199">
        <v>196</v>
      </c>
      <c r="X199" s="178">
        <f t="shared" si="59"/>
        <v>47</v>
      </c>
      <c r="Y199" s="178">
        <f t="shared" si="59"/>
        <v>47</v>
      </c>
      <c r="Z199" s="178">
        <f t="shared" si="59"/>
        <v>16</v>
      </c>
      <c r="AA199" s="178">
        <f t="shared" si="59"/>
        <v>16</v>
      </c>
      <c r="AD199" s="17">
        <f>CALC!E223*(A199&lt;PARAM!$B$55)</f>
        <v>0</v>
      </c>
      <c r="AE199">
        <f>IF(A199&lt;ITER!$C$16,1,PARAM!$C$53^-(RATES!A199-ITER!$C$16))*(A199&lt;PARAM!$B$55)</f>
        <v>0</v>
      </c>
    </row>
    <row r="200" spans="1:31" x14ac:dyDescent="0.2">
      <c r="A200" s="9">
        <v>197</v>
      </c>
      <c r="B200" s="178">
        <f t="shared" si="56"/>
        <v>47</v>
      </c>
      <c r="C200" s="178">
        <f t="shared" si="56"/>
        <v>47</v>
      </c>
      <c r="D200" s="2">
        <f>PARAM!$H$38</f>
        <v>1</v>
      </c>
      <c r="E200" s="11">
        <f>PARAM!$G$38</f>
        <v>0</v>
      </c>
      <c r="F200" s="11">
        <f>(VLOOKUP(C200,DEDN!$A$8:$O$902,$F$2)*D200+E200)/1000</f>
        <v>2.0600000000000002E-3</v>
      </c>
      <c r="G200" s="178">
        <f t="shared" si="57"/>
        <v>16</v>
      </c>
      <c r="H200" s="178">
        <f t="shared" si="57"/>
        <v>16</v>
      </c>
      <c r="I200" s="2">
        <f>PARAM!$H$39</f>
        <v>0</v>
      </c>
      <c r="J200" s="11">
        <f>PARAM!$G$39</f>
        <v>0</v>
      </c>
      <c r="K200" s="11">
        <f>(VLOOKUP(H200,DEDN!$A$8:$O$902,$K$2)*I200+J200)/1000</f>
        <v>0</v>
      </c>
      <c r="L200" s="11">
        <f>MIN(IF(PARAM!$B$43=3,CHOOSE($L$2,F200,K200),F200+K200-F200*K200),1)</f>
        <v>2.0600000000000002E-3</v>
      </c>
      <c r="M200" s="2">
        <f>PARAM!$I$38</f>
        <v>0</v>
      </c>
      <c r="N200" s="11">
        <f>VLOOKUP(B200,DEDN!$A$8:$O$90,$N$2)*M200</f>
        <v>0</v>
      </c>
      <c r="O200" s="12"/>
      <c r="P200" s="10">
        <f>PARAM!$C$53^-A200</f>
        <v>1</v>
      </c>
      <c r="Q200" s="10">
        <f t="shared" si="62"/>
        <v>0.98356794708992412</v>
      </c>
      <c r="R200" s="10">
        <f t="shared" si="60"/>
        <v>0.98356794708992412</v>
      </c>
      <c r="S200" s="10">
        <f>CHOOSE(PARAM!$B$51,R200,0,0,0)*(A200&lt;PARAM!$B$55)</f>
        <v>0</v>
      </c>
      <c r="T200" s="10">
        <f t="shared" si="61"/>
        <v>1.6900545965070624E-4</v>
      </c>
      <c r="U200" s="10">
        <f>T200*P200*(A200&lt;PARAM!$B$55)</f>
        <v>0</v>
      </c>
      <c r="W200">
        <v>197</v>
      </c>
      <c r="X200" s="178">
        <f t="shared" si="59"/>
        <v>47</v>
      </c>
      <c r="Y200" s="178">
        <f t="shared" si="59"/>
        <v>47</v>
      </c>
      <c r="Z200" s="178">
        <f t="shared" si="59"/>
        <v>16</v>
      </c>
      <c r="AA200" s="178">
        <f t="shared" si="59"/>
        <v>16</v>
      </c>
      <c r="AD200" s="17">
        <f>CALC!E224*(A200&lt;PARAM!$B$55)</f>
        <v>0</v>
      </c>
      <c r="AE200">
        <f>IF(A200&lt;ITER!$C$16,1,PARAM!$C$53^-(RATES!A200-ITER!$C$16))*(A200&lt;PARAM!$B$55)</f>
        <v>0</v>
      </c>
    </row>
    <row r="201" spans="1:31" x14ac:dyDescent="0.2">
      <c r="A201" s="9">
        <v>198</v>
      </c>
      <c r="B201" s="178">
        <f t="shared" ref="B201:C220" si="63">B189+1</f>
        <v>48</v>
      </c>
      <c r="C201" s="178">
        <f t="shared" si="63"/>
        <v>48</v>
      </c>
      <c r="D201" s="2">
        <f>PARAM!$H$38</f>
        <v>1</v>
      </c>
      <c r="E201" s="11">
        <f>PARAM!$G$38</f>
        <v>0</v>
      </c>
      <c r="F201" s="11">
        <f>(VLOOKUP(C201,DEDN!$A$8:$O$902,$F$2)*D201+E201)/1000</f>
        <v>2.31E-3</v>
      </c>
      <c r="G201" s="178">
        <f t="shared" ref="G201:H220" si="64">G189+1</f>
        <v>17</v>
      </c>
      <c r="H201" s="178">
        <f t="shared" si="64"/>
        <v>17</v>
      </c>
      <c r="I201" s="2">
        <f>PARAM!$H$39</f>
        <v>0</v>
      </c>
      <c r="J201" s="11">
        <f>PARAM!$G$39</f>
        <v>0</v>
      </c>
      <c r="K201" s="11">
        <f>(VLOOKUP(H201,DEDN!$A$8:$O$902,$K$2)*I201+J201)/1000</f>
        <v>0</v>
      </c>
      <c r="L201" s="11">
        <f>MIN(IF(PARAM!$B$43=3,CHOOSE($L$2,F201,K201),F201+K201-F201*K201),1)</f>
        <v>2.31E-3</v>
      </c>
      <c r="M201" s="2">
        <f>PARAM!$I$38</f>
        <v>0</v>
      </c>
      <c r="N201" s="11">
        <f>VLOOKUP(B201,DEDN!$A$8:$O$90,$N$2)*M201</f>
        <v>0</v>
      </c>
      <c r="O201" s="12"/>
      <c r="P201" s="10">
        <f>PARAM!$C$53^-A201</f>
        <v>1</v>
      </c>
      <c r="Q201" s="10">
        <f t="shared" si="62"/>
        <v>0.98339894163027342</v>
      </c>
      <c r="R201" s="10">
        <f t="shared" si="60"/>
        <v>0.98339894163027342</v>
      </c>
      <c r="S201" s="10">
        <f>CHOOSE(PARAM!$B$51,R201,R201,R201,0)*(A201&lt;PARAM!$B$55)</f>
        <v>0</v>
      </c>
      <c r="T201" s="10">
        <f t="shared" si="61"/>
        <v>1.895050184818059E-4</v>
      </c>
      <c r="U201" s="10">
        <f>T201*P201*(A201&lt;PARAM!$B$55)</f>
        <v>0</v>
      </c>
      <c r="W201">
        <v>198</v>
      </c>
      <c r="X201" s="178">
        <f t="shared" ref="X201:AA220" si="65">X189+1</f>
        <v>48</v>
      </c>
      <c r="Y201" s="178">
        <f t="shared" si="65"/>
        <v>48</v>
      </c>
      <c r="Z201" s="178">
        <f t="shared" si="65"/>
        <v>17</v>
      </c>
      <c r="AA201" s="178">
        <f t="shared" si="65"/>
        <v>17</v>
      </c>
      <c r="AD201" s="17">
        <f>CALC!E225*(A201&lt;PARAM!$B$55)</f>
        <v>0</v>
      </c>
      <c r="AE201">
        <f>IF(A201&lt;ITER!$C$16,1,PARAM!$C$53^-(RATES!A201-ITER!$C$16))*(A201&lt;PARAM!$B$55)</f>
        <v>0</v>
      </c>
    </row>
    <row r="202" spans="1:31" x14ac:dyDescent="0.2">
      <c r="A202" s="9">
        <v>199</v>
      </c>
      <c r="B202" s="178">
        <f t="shared" si="63"/>
        <v>48</v>
      </c>
      <c r="C202" s="178">
        <f t="shared" si="63"/>
        <v>48</v>
      </c>
      <c r="D202" s="2">
        <f>PARAM!$H$38</f>
        <v>1</v>
      </c>
      <c r="E202" s="11">
        <f>PARAM!$G$38</f>
        <v>0</v>
      </c>
      <c r="F202" s="11">
        <f>(VLOOKUP(C202,DEDN!$A$8:$O$902,$F$2)*D202+E202)/1000</f>
        <v>2.31E-3</v>
      </c>
      <c r="G202" s="178">
        <f t="shared" si="64"/>
        <v>17</v>
      </c>
      <c r="H202" s="178">
        <f t="shared" si="64"/>
        <v>17</v>
      </c>
      <c r="I202" s="2">
        <f>PARAM!$H$39</f>
        <v>0</v>
      </c>
      <c r="J202" s="11">
        <f>PARAM!$G$39</f>
        <v>0</v>
      </c>
      <c r="K202" s="11">
        <f>(VLOOKUP(H202,DEDN!$A$8:$O$902,$K$2)*I202+J202)/1000</f>
        <v>0</v>
      </c>
      <c r="L202" s="11">
        <f>MIN(IF(PARAM!$B$43=3,CHOOSE($L$2,F202,K202),F202+K202-F202*K202),1)</f>
        <v>2.31E-3</v>
      </c>
      <c r="M202" s="2">
        <f>PARAM!$I$38</f>
        <v>0</v>
      </c>
      <c r="N202" s="11">
        <f>VLOOKUP(B202,DEDN!$A$8:$O$90,$N$2)*M202</f>
        <v>0</v>
      </c>
      <c r="O202" s="12"/>
      <c r="P202" s="10">
        <f>PARAM!$C$53^-A202</f>
        <v>1</v>
      </c>
      <c r="Q202" s="10">
        <f t="shared" si="62"/>
        <v>0.98320943661179161</v>
      </c>
      <c r="R202" s="10">
        <f t="shared" si="60"/>
        <v>0.98320943661179161</v>
      </c>
      <c r="S202" s="10">
        <f>CHOOSE(PARAM!$B$51,R202,0,0,0)*(A202&lt;PARAM!$B$55)</f>
        <v>0</v>
      </c>
      <c r="T202" s="10">
        <f t="shared" si="61"/>
        <v>1.8946850008583205E-4</v>
      </c>
      <c r="U202" s="10">
        <f>T202*P202*(A202&lt;PARAM!$B$55)</f>
        <v>0</v>
      </c>
      <c r="W202">
        <v>199</v>
      </c>
      <c r="X202" s="178">
        <f t="shared" si="65"/>
        <v>48</v>
      </c>
      <c r="Y202" s="178">
        <f t="shared" si="65"/>
        <v>48</v>
      </c>
      <c r="Z202" s="178">
        <f t="shared" si="65"/>
        <v>17</v>
      </c>
      <c r="AA202" s="178">
        <f t="shared" si="65"/>
        <v>17</v>
      </c>
      <c r="AD202" s="17">
        <f>CALC!E226*(A202&lt;PARAM!$B$55)</f>
        <v>0</v>
      </c>
      <c r="AE202">
        <f>IF(A202&lt;ITER!$C$16,1,PARAM!$C$53^-(RATES!A202-ITER!$C$16))*(A202&lt;PARAM!$B$55)</f>
        <v>0</v>
      </c>
    </row>
    <row r="203" spans="1:31" x14ac:dyDescent="0.2">
      <c r="A203" s="9">
        <v>200</v>
      </c>
      <c r="B203" s="178">
        <f t="shared" si="63"/>
        <v>48</v>
      </c>
      <c r="C203" s="178">
        <f t="shared" si="63"/>
        <v>48</v>
      </c>
      <c r="D203" s="2">
        <f>PARAM!$H$38</f>
        <v>1</v>
      </c>
      <c r="E203" s="11">
        <f>PARAM!$G$38</f>
        <v>0</v>
      </c>
      <c r="F203" s="11">
        <f>(VLOOKUP(C203,DEDN!$A$8:$O$902,$F$2)*D203+E203)/1000</f>
        <v>2.31E-3</v>
      </c>
      <c r="G203" s="178">
        <f t="shared" si="64"/>
        <v>17</v>
      </c>
      <c r="H203" s="178">
        <f t="shared" si="64"/>
        <v>17</v>
      </c>
      <c r="I203" s="2">
        <f>PARAM!$H$39</f>
        <v>0</v>
      </c>
      <c r="J203" s="11">
        <f>PARAM!$G$39</f>
        <v>0</v>
      </c>
      <c r="K203" s="11">
        <f>(VLOOKUP(H203,DEDN!$A$8:$O$902,$K$2)*I203+J203)/1000</f>
        <v>0</v>
      </c>
      <c r="L203" s="11">
        <f>MIN(IF(PARAM!$B$43=3,CHOOSE($L$2,F203,K203),F203+K203-F203*K203),1)</f>
        <v>2.31E-3</v>
      </c>
      <c r="M203" s="2">
        <f>PARAM!$I$38</f>
        <v>0</v>
      </c>
      <c r="N203" s="11">
        <f>VLOOKUP(B203,DEDN!$A$8:$O$90,$N$2)*M203</f>
        <v>0</v>
      </c>
      <c r="O203" s="12"/>
      <c r="P203" s="10">
        <f>PARAM!$C$53^-A203</f>
        <v>1</v>
      </c>
      <c r="Q203" s="10">
        <f t="shared" si="62"/>
        <v>0.98301996811170578</v>
      </c>
      <c r="R203" s="10">
        <f t="shared" si="60"/>
        <v>0.98301996811170578</v>
      </c>
      <c r="S203" s="10">
        <f>CHOOSE(PARAM!$B$51,R203,0,0,0)*(A203&lt;PARAM!$B$55)</f>
        <v>0</v>
      </c>
      <c r="T203" s="10">
        <f t="shared" si="61"/>
        <v>1.8943198872700684E-4</v>
      </c>
      <c r="U203" s="10">
        <f>T203*P203*(A203&lt;PARAM!$B$55)</f>
        <v>0</v>
      </c>
      <c r="W203">
        <v>200</v>
      </c>
      <c r="X203" s="178">
        <f t="shared" si="65"/>
        <v>48</v>
      </c>
      <c r="Y203" s="178">
        <f t="shared" si="65"/>
        <v>48</v>
      </c>
      <c r="Z203" s="178">
        <f t="shared" si="65"/>
        <v>17</v>
      </c>
      <c r="AA203" s="178">
        <f t="shared" si="65"/>
        <v>17</v>
      </c>
      <c r="AD203" s="17">
        <f>CALC!E227*(A203&lt;PARAM!$B$55)</f>
        <v>0</v>
      </c>
      <c r="AE203">
        <f>IF(A203&lt;ITER!$C$16,1,PARAM!$C$53^-(RATES!A203-ITER!$C$16))*(A203&lt;PARAM!$B$55)</f>
        <v>0</v>
      </c>
    </row>
    <row r="204" spans="1:31" x14ac:dyDescent="0.2">
      <c r="A204" s="9">
        <v>201</v>
      </c>
      <c r="B204" s="178">
        <f t="shared" si="63"/>
        <v>48</v>
      </c>
      <c r="C204" s="178">
        <f t="shared" si="63"/>
        <v>48</v>
      </c>
      <c r="D204" s="2">
        <f>PARAM!$H$38</f>
        <v>1</v>
      </c>
      <c r="E204" s="11">
        <f>PARAM!$G$38</f>
        <v>0</v>
      </c>
      <c r="F204" s="11">
        <f>(VLOOKUP(C204,DEDN!$A$8:$O$902,$F$2)*D204+E204)/1000</f>
        <v>2.31E-3</v>
      </c>
      <c r="G204" s="178">
        <f t="shared" si="64"/>
        <v>17</v>
      </c>
      <c r="H204" s="178">
        <f t="shared" si="64"/>
        <v>17</v>
      </c>
      <c r="I204" s="2">
        <f>PARAM!$H$39</f>
        <v>0</v>
      </c>
      <c r="J204" s="11">
        <f>PARAM!$G$39</f>
        <v>0</v>
      </c>
      <c r="K204" s="11">
        <f>(VLOOKUP(H204,DEDN!$A$8:$O$902,$K$2)*I204+J204)/1000</f>
        <v>0</v>
      </c>
      <c r="L204" s="11">
        <f>MIN(IF(PARAM!$B$43=3,CHOOSE($L$2,F204,K204),F204+K204-F204*K204),1)</f>
        <v>2.31E-3</v>
      </c>
      <c r="M204" s="2">
        <f>PARAM!$I$38</f>
        <v>0</v>
      </c>
      <c r="N204" s="11">
        <f>VLOOKUP(B204,DEDN!$A$8:$O$90,$N$2)*M204</f>
        <v>0</v>
      </c>
      <c r="O204" s="12"/>
      <c r="P204" s="10">
        <f>PARAM!$C$53^-A204</f>
        <v>1</v>
      </c>
      <c r="Q204" s="10">
        <f t="shared" si="62"/>
        <v>0.98283053612297877</v>
      </c>
      <c r="R204" s="10">
        <f t="shared" si="60"/>
        <v>0.98283053612297877</v>
      </c>
      <c r="S204" s="10">
        <f>CHOOSE(PARAM!$B$51,R204,R204,0,0)*(A204&lt;PARAM!$B$55)</f>
        <v>0</v>
      </c>
      <c r="T204" s="10">
        <f t="shared" si="61"/>
        <v>1.8939548440410903E-4</v>
      </c>
      <c r="U204" s="10">
        <f>T204*P204*(A204&lt;PARAM!$B$55)</f>
        <v>0</v>
      </c>
      <c r="W204">
        <v>201</v>
      </c>
      <c r="X204" s="178">
        <f t="shared" si="65"/>
        <v>48</v>
      </c>
      <c r="Y204" s="178">
        <f t="shared" si="65"/>
        <v>48</v>
      </c>
      <c r="Z204" s="178">
        <f t="shared" si="65"/>
        <v>17</v>
      </c>
      <c r="AA204" s="178">
        <f t="shared" si="65"/>
        <v>17</v>
      </c>
      <c r="AD204" s="17">
        <f>CALC!E228*(A204&lt;PARAM!$B$55)</f>
        <v>0</v>
      </c>
      <c r="AE204">
        <f>IF(A204&lt;ITER!$C$16,1,PARAM!$C$53^-(RATES!A204-ITER!$C$16))*(A204&lt;PARAM!$B$55)</f>
        <v>0</v>
      </c>
    </row>
    <row r="205" spans="1:31" x14ac:dyDescent="0.2">
      <c r="A205" s="9">
        <v>202</v>
      </c>
      <c r="B205" s="178">
        <f t="shared" si="63"/>
        <v>48</v>
      </c>
      <c r="C205" s="178">
        <f t="shared" si="63"/>
        <v>48</v>
      </c>
      <c r="D205" s="2">
        <f>PARAM!$H$38</f>
        <v>1</v>
      </c>
      <c r="E205" s="11">
        <f>PARAM!$G$38</f>
        <v>0</v>
      </c>
      <c r="F205" s="11">
        <f>(VLOOKUP(C205,DEDN!$A$8:$O$902,$F$2)*D205+E205)/1000</f>
        <v>2.31E-3</v>
      </c>
      <c r="G205" s="178">
        <f t="shared" si="64"/>
        <v>17</v>
      </c>
      <c r="H205" s="178">
        <f t="shared" si="64"/>
        <v>17</v>
      </c>
      <c r="I205" s="2">
        <f>PARAM!$H$39</f>
        <v>0</v>
      </c>
      <c r="J205" s="11">
        <f>PARAM!$G$39</f>
        <v>0</v>
      </c>
      <c r="K205" s="11">
        <f>(VLOOKUP(H205,DEDN!$A$8:$O$902,$K$2)*I205+J205)/1000</f>
        <v>0</v>
      </c>
      <c r="L205" s="11">
        <f>MIN(IF(PARAM!$B$43=3,CHOOSE($L$2,F205,K205),F205+K205-F205*K205),1)</f>
        <v>2.31E-3</v>
      </c>
      <c r="M205" s="2">
        <f>PARAM!$I$38</f>
        <v>0</v>
      </c>
      <c r="N205" s="11">
        <f>VLOOKUP(B205,DEDN!$A$8:$O$90,$N$2)*M205</f>
        <v>0</v>
      </c>
      <c r="O205" s="12"/>
      <c r="P205" s="10">
        <f>PARAM!$C$53^-A205</f>
        <v>1</v>
      </c>
      <c r="Q205" s="10">
        <f t="shared" si="62"/>
        <v>0.98264114063857466</v>
      </c>
      <c r="R205" s="10">
        <f t="shared" si="60"/>
        <v>0.98264114063857466</v>
      </c>
      <c r="S205" s="10">
        <f>CHOOSE(PARAM!$B$51,R205,0,0,0)*(A205&lt;PARAM!$B$55)</f>
        <v>0</v>
      </c>
      <c r="T205" s="10">
        <f t="shared" si="61"/>
        <v>1.8935898711569532E-4</v>
      </c>
      <c r="U205" s="10">
        <f>T205*P205*(A205&lt;PARAM!$B$55)</f>
        <v>0</v>
      </c>
      <c r="W205">
        <v>202</v>
      </c>
      <c r="X205" s="178">
        <f t="shared" si="65"/>
        <v>48</v>
      </c>
      <c r="Y205" s="178">
        <f t="shared" si="65"/>
        <v>48</v>
      </c>
      <c r="Z205" s="178">
        <f t="shared" si="65"/>
        <v>17</v>
      </c>
      <c r="AA205" s="178">
        <f t="shared" si="65"/>
        <v>17</v>
      </c>
      <c r="AD205" s="17">
        <f>CALC!E229*(A205&lt;PARAM!$B$55)</f>
        <v>0</v>
      </c>
      <c r="AE205">
        <f>IF(A205&lt;ITER!$C$16,1,PARAM!$C$53^-(RATES!A205-ITER!$C$16))*(A205&lt;PARAM!$B$55)</f>
        <v>0</v>
      </c>
    </row>
    <row r="206" spans="1:31" x14ac:dyDescent="0.2">
      <c r="A206" s="9">
        <v>203</v>
      </c>
      <c r="B206" s="178">
        <f t="shared" si="63"/>
        <v>48</v>
      </c>
      <c r="C206" s="178">
        <f t="shared" si="63"/>
        <v>48</v>
      </c>
      <c r="D206" s="2">
        <f>PARAM!$H$38</f>
        <v>1</v>
      </c>
      <c r="E206" s="11">
        <f>PARAM!$G$38</f>
        <v>0</v>
      </c>
      <c r="F206" s="11">
        <f>(VLOOKUP(C206,DEDN!$A$8:$O$902,$F$2)*D206+E206)/1000</f>
        <v>2.31E-3</v>
      </c>
      <c r="G206" s="178">
        <f t="shared" si="64"/>
        <v>17</v>
      </c>
      <c r="H206" s="178">
        <f t="shared" si="64"/>
        <v>17</v>
      </c>
      <c r="I206" s="2">
        <f>PARAM!$H$39</f>
        <v>0</v>
      </c>
      <c r="J206" s="11">
        <f>PARAM!$G$39</f>
        <v>0</v>
      </c>
      <c r="K206" s="11">
        <f>(VLOOKUP(H206,DEDN!$A$8:$O$902,$K$2)*I206+J206)/1000</f>
        <v>0</v>
      </c>
      <c r="L206" s="11">
        <f>MIN(IF(PARAM!$B$43=3,CHOOSE($L$2,F206,K206),F206+K206-F206*K206),1)</f>
        <v>2.31E-3</v>
      </c>
      <c r="M206" s="2">
        <f>PARAM!$I$38</f>
        <v>0</v>
      </c>
      <c r="N206" s="11">
        <f>VLOOKUP(B206,DEDN!$A$8:$O$90,$N$2)*M206</f>
        <v>0</v>
      </c>
      <c r="O206" s="12"/>
      <c r="P206" s="10">
        <f>PARAM!$C$53^-A206</f>
        <v>1</v>
      </c>
      <c r="Q206" s="10">
        <f t="shared" si="62"/>
        <v>0.98245178165145897</v>
      </c>
      <c r="R206" s="10">
        <f t="shared" si="60"/>
        <v>0.98245178165145897</v>
      </c>
      <c r="S206" s="10">
        <f>CHOOSE(PARAM!$B$51,R206,0,0,0)*(A206&lt;PARAM!$B$55)</f>
        <v>0</v>
      </c>
      <c r="T206" s="10">
        <f t="shared" si="61"/>
        <v>1.8932249686043345E-4</v>
      </c>
      <c r="U206" s="10">
        <f>T206*P206*(A206&lt;PARAM!$B$55)</f>
        <v>0</v>
      </c>
      <c r="W206">
        <v>203</v>
      </c>
      <c r="X206" s="178">
        <f t="shared" si="65"/>
        <v>48</v>
      </c>
      <c r="Y206" s="178">
        <f t="shared" si="65"/>
        <v>48</v>
      </c>
      <c r="Z206" s="178">
        <f t="shared" si="65"/>
        <v>17</v>
      </c>
      <c r="AA206" s="178">
        <f t="shared" si="65"/>
        <v>17</v>
      </c>
      <c r="AD206" s="17">
        <f>CALC!E230*(A206&lt;PARAM!$B$55)</f>
        <v>0</v>
      </c>
      <c r="AE206">
        <f>IF(A206&lt;ITER!$C$16,1,PARAM!$C$53^-(RATES!A206-ITER!$C$16))*(A206&lt;PARAM!$B$55)</f>
        <v>0</v>
      </c>
    </row>
    <row r="207" spans="1:31" x14ac:dyDescent="0.2">
      <c r="A207" s="9">
        <v>204</v>
      </c>
      <c r="B207" s="178">
        <f t="shared" si="63"/>
        <v>48</v>
      </c>
      <c r="C207" s="178">
        <f t="shared" si="63"/>
        <v>48</v>
      </c>
      <c r="D207" s="2">
        <f>PARAM!$H$38</f>
        <v>1</v>
      </c>
      <c r="E207" s="11">
        <f>PARAM!$G$38</f>
        <v>0</v>
      </c>
      <c r="F207" s="11">
        <f>(VLOOKUP(C207,DEDN!$A$8:$O$902,$F$2)*D207+E207)/1000</f>
        <v>2.31E-3</v>
      </c>
      <c r="G207" s="178">
        <f t="shared" si="64"/>
        <v>17</v>
      </c>
      <c r="H207" s="178">
        <f t="shared" si="64"/>
        <v>17</v>
      </c>
      <c r="I207" s="2">
        <f>PARAM!$H$39</f>
        <v>0</v>
      </c>
      <c r="J207" s="11">
        <f>PARAM!$G$39</f>
        <v>0</v>
      </c>
      <c r="K207" s="11">
        <f>(VLOOKUP(H207,DEDN!$A$8:$O$902,$K$2)*I207+J207)/1000</f>
        <v>0</v>
      </c>
      <c r="L207" s="11">
        <f>MIN(IF(PARAM!$B$43=3,CHOOSE($L$2,F207,K207),F207+K207-F207*K207),1)</f>
        <v>2.31E-3</v>
      </c>
      <c r="M207" s="2">
        <f>PARAM!$I$38</f>
        <v>0</v>
      </c>
      <c r="N207" s="11">
        <f>VLOOKUP(B207,DEDN!$A$8:$O$90,$N$2)*M207</f>
        <v>0</v>
      </c>
      <c r="O207" s="12"/>
      <c r="P207" s="10">
        <f>PARAM!$C$53^-A207</f>
        <v>1</v>
      </c>
      <c r="Q207" s="10">
        <f t="shared" si="62"/>
        <v>0.98226245915459853</v>
      </c>
      <c r="R207" s="10">
        <f t="shared" si="60"/>
        <v>0.98226245915459853</v>
      </c>
      <c r="S207" s="10">
        <f>R207*(A207&lt;PARAM!$B$55)</f>
        <v>0</v>
      </c>
      <c r="T207" s="10">
        <f t="shared" si="61"/>
        <v>1.8928601363710218E-4</v>
      </c>
      <c r="U207" s="10">
        <f>T207*P207*(A207&lt;PARAM!$B$55)</f>
        <v>0</v>
      </c>
      <c r="W207">
        <v>204</v>
      </c>
      <c r="X207" s="178">
        <f t="shared" si="65"/>
        <v>48</v>
      </c>
      <c r="Y207" s="178">
        <f t="shared" si="65"/>
        <v>48</v>
      </c>
      <c r="Z207" s="178">
        <f t="shared" si="65"/>
        <v>17</v>
      </c>
      <c r="AA207" s="178">
        <f t="shared" si="65"/>
        <v>17</v>
      </c>
      <c r="AD207" s="17">
        <f>CALC!E231*(A207&lt;PARAM!$B$55)</f>
        <v>0</v>
      </c>
      <c r="AE207">
        <f>IF(A207&lt;ITER!$C$16,1,PARAM!$C$53^-(RATES!A207-ITER!$C$16))*(A207&lt;PARAM!$B$55)</f>
        <v>0</v>
      </c>
    </row>
    <row r="208" spans="1:31" x14ac:dyDescent="0.2">
      <c r="A208" s="9">
        <v>205</v>
      </c>
      <c r="B208" s="178">
        <f t="shared" si="63"/>
        <v>48</v>
      </c>
      <c r="C208" s="178">
        <f t="shared" si="63"/>
        <v>48</v>
      </c>
      <c r="D208" s="2">
        <f>PARAM!$H$38</f>
        <v>1</v>
      </c>
      <c r="E208" s="11">
        <f>PARAM!$G$38</f>
        <v>0</v>
      </c>
      <c r="F208" s="11">
        <f>(VLOOKUP(C208,DEDN!$A$8:$O$902,$F$2)*D208+E208)/1000</f>
        <v>2.31E-3</v>
      </c>
      <c r="G208" s="178">
        <f t="shared" si="64"/>
        <v>17</v>
      </c>
      <c r="H208" s="178">
        <f t="shared" si="64"/>
        <v>17</v>
      </c>
      <c r="I208" s="2">
        <f>PARAM!$H$39</f>
        <v>0</v>
      </c>
      <c r="J208" s="11">
        <f>PARAM!$G$39</f>
        <v>0</v>
      </c>
      <c r="K208" s="11">
        <f>(VLOOKUP(H208,DEDN!$A$8:$O$902,$K$2)*I208+J208)/1000</f>
        <v>0</v>
      </c>
      <c r="L208" s="11">
        <f>MIN(IF(PARAM!$B$43=3,CHOOSE($L$2,F208,K208),F208+K208-F208*K208),1)</f>
        <v>2.31E-3</v>
      </c>
      <c r="M208" s="2">
        <f>PARAM!$I$38</f>
        <v>0</v>
      </c>
      <c r="N208" s="11">
        <f>VLOOKUP(B208,DEDN!$A$8:$O$90,$N$2)*M208</f>
        <v>0</v>
      </c>
      <c r="O208" s="12"/>
      <c r="P208" s="10">
        <f>PARAM!$C$53^-A208</f>
        <v>1</v>
      </c>
      <c r="Q208" s="10">
        <f t="shared" si="62"/>
        <v>0.98207317314096143</v>
      </c>
      <c r="R208" s="10">
        <f t="shared" si="60"/>
        <v>0.98207317314096143</v>
      </c>
      <c r="S208" s="10">
        <f>CHOOSE(PARAM!$B$51,R208,0,0,0)*(A208&lt;PARAM!$B$55)</f>
        <v>0</v>
      </c>
      <c r="T208" s="10">
        <f t="shared" si="61"/>
        <v>1.8924953744414719E-4</v>
      </c>
      <c r="U208" s="10">
        <f>T208*P208*(A208&lt;PARAM!$B$55)</f>
        <v>0</v>
      </c>
      <c r="W208">
        <v>205</v>
      </c>
      <c r="X208" s="178">
        <f t="shared" si="65"/>
        <v>48</v>
      </c>
      <c r="Y208" s="178">
        <f t="shared" si="65"/>
        <v>48</v>
      </c>
      <c r="Z208" s="178">
        <f t="shared" si="65"/>
        <v>17</v>
      </c>
      <c r="AA208" s="178">
        <f t="shared" si="65"/>
        <v>17</v>
      </c>
      <c r="AD208" s="17">
        <f>CALC!E232*(A208&lt;PARAM!$B$55)</f>
        <v>0</v>
      </c>
      <c r="AE208">
        <f>IF(A208&lt;ITER!$C$16,1,PARAM!$C$53^-(RATES!A208-ITER!$C$16))*(A208&lt;PARAM!$B$55)</f>
        <v>0</v>
      </c>
    </row>
    <row r="209" spans="1:31" x14ac:dyDescent="0.2">
      <c r="A209" s="9">
        <v>206</v>
      </c>
      <c r="B209" s="178">
        <f t="shared" si="63"/>
        <v>48</v>
      </c>
      <c r="C209" s="178">
        <f t="shared" si="63"/>
        <v>48</v>
      </c>
      <c r="D209" s="2">
        <f>PARAM!$H$38</f>
        <v>1</v>
      </c>
      <c r="E209" s="11">
        <f>PARAM!$G$38</f>
        <v>0</v>
      </c>
      <c r="F209" s="11">
        <f>(VLOOKUP(C209,DEDN!$A$8:$O$902,$F$2)*D209+E209)/1000</f>
        <v>2.31E-3</v>
      </c>
      <c r="G209" s="178">
        <f t="shared" si="64"/>
        <v>17</v>
      </c>
      <c r="H209" s="178">
        <f t="shared" si="64"/>
        <v>17</v>
      </c>
      <c r="I209" s="2">
        <f>PARAM!$H$39</f>
        <v>0</v>
      </c>
      <c r="J209" s="11">
        <f>PARAM!$G$39</f>
        <v>0</v>
      </c>
      <c r="K209" s="11">
        <f>(VLOOKUP(H209,DEDN!$A$8:$O$902,$K$2)*I209+J209)/1000</f>
        <v>0</v>
      </c>
      <c r="L209" s="11">
        <f>MIN(IF(PARAM!$B$43=3,CHOOSE($L$2,F209,K209),F209+K209-F209*K209),1)</f>
        <v>2.31E-3</v>
      </c>
      <c r="M209" s="2">
        <f>PARAM!$I$38</f>
        <v>0</v>
      </c>
      <c r="N209" s="11">
        <f>VLOOKUP(B209,DEDN!$A$8:$O$90,$N$2)*M209</f>
        <v>0</v>
      </c>
      <c r="O209" s="12"/>
      <c r="P209" s="10">
        <f>PARAM!$C$53^-A209</f>
        <v>1</v>
      </c>
      <c r="Q209" s="10">
        <f t="shared" si="62"/>
        <v>0.98188392360351728</v>
      </c>
      <c r="R209" s="10">
        <f t="shared" si="60"/>
        <v>0.98188392360351728</v>
      </c>
      <c r="S209" s="10">
        <f>CHOOSE(PARAM!$B$51,R209,0,0,0)*(A209&lt;PARAM!$B$55)</f>
        <v>0</v>
      </c>
      <c r="T209" s="10">
        <f t="shared" si="61"/>
        <v>1.8921306828034723E-4</v>
      </c>
      <c r="U209" s="10">
        <f>T209*P209*(A209&lt;PARAM!$B$55)</f>
        <v>0</v>
      </c>
      <c r="W209">
        <v>206</v>
      </c>
      <c r="X209" s="178">
        <f t="shared" si="65"/>
        <v>48</v>
      </c>
      <c r="Y209" s="178">
        <f t="shared" si="65"/>
        <v>48</v>
      </c>
      <c r="Z209" s="178">
        <f t="shared" si="65"/>
        <v>17</v>
      </c>
      <c r="AA209" s="178">
        <f t="shared" si="65"/>
        <v>17</v>
      </c>
      <c r="AD209" s="17">
        <f>CALC!E233*(A209&lt;PARAM!$B$55)</f>
        <v>0</v>
      </c>
      <c r="AE209">
        <f>IF(A209&lt;ITER!$C$16,1,PARAM!$C$53^-(RATES!A209-ITER!$C$16))*(A209&lt;PARAM!$B$55)</f>
        <v>0</v>
      </c>
    </row>
    <row r="210" spans="1:31" x14ac:dyDescent="0.2">
      <c r="A210" s="9">
        <v>207</v>
      </c>
      <c r="B210" s="178">
        <f t="shared" si="63"/>
        <v>48</v>
      </c>
      <c r="C210" s="178">
        <f t="shared" si="63"/>
        <v>48</v>
      </c>
      <c r="D210" s="2">
        <f>PARAM!$H$38</f>
        <v>1</v>
      </c>
      <c r="E210" s="11">
        <f>PARAM!$G$38</f>
        <v>0</v>
      </c>
      <c r="F210" s="11">
        <f>(VLOOKUP(C210,DEDN!$A$8:$O$902,$F$2)*D210+E210)/1000</f>
        <v>2.31E-3</v>
      </c>
      <c r="G210" s="178">
        <f t="shared" si="64"/>
        <v>17</v>
      </c>
      <c r="H210" s="178">
        <f t="shared" si="64"/>
        <v>17</v>
      </c>
      <c r="I210" s="2">
        <f>PARAM!$H$39</f>
        <v>0</v>
      </c>
      <c r="J210" s="11">
        <f>PARAM!$G$39</f>
        <v>0</v>
      </c>
      <c r="K210" s="11">
        <f>(VLOOKUP(H210,DEDN!$A$8:$O$902,$K$2)*I210+J210)/1000</f>
        <v>0</v>
      </c>
      <c r="L210" s="11">
        <f>MIN(IF(PARAM!$B$43=3,CHOOSE($L$2,F210,K210),F210+K210-F210*K210),1)</f>
        <v>2.31E-3</v>
      </c>
      <c r="M210" s="2">
        <f>PARAM!$I$38</f>
        <v>0</v>
      </c>
      <c r="N210" s="11">
        <f>VLOOKUP(B210,DEDN!$A$8:$O$90,$N$2)*M210</f>
        <v>0</v>
      </c>
      <c r="O210" s="12"/>
      <c r="P210" s="10">
        <f>PARAM!$C$53^-A210</f>
        <v>1</v>
      </c>
      <c r="Q210" s="10">
        <f t="shared" si="62"/>
        <v>0.98169471053523694</v>
      </c>
      <c r="R210" s="10">
        <f t="shared" si="60"/>
        <v>0.98169471053523694</v>
      </c>
      <c r="S210" s="10">
        <f>CHOOSE(PARAM!$B$51,R210,R210,0,0)*(A210&lt;PARAM!$B$55)</f>
        <v>0</v>
      </c>
      <c r="T210" s="10">
        <f t="shared" si="61"/>
        <v>1.8917660614425902E-4</v>
      </c>
      <c r="U210" s="10">
        <f>T210*P210*(A210&lt;PARAM!$B$55)</f>
        <v>0</v>
      </c>
      <c r="W210">
        <v>207</v>
      </c>
      <c r="X210" s="178">
        <f t="shared" si="65"/>
        <v>48</v>
      </c>
      <c r="Y210" s="178">
        <f t="shared" si="65"/>
        <v>48</v>
      </c>
      <c r="Z210" s="178">
        <f t="shared" si="65"/>
        <v>17</v>
      </c>
      <c r="AA210" s="178">
        <f t="shared" si="65"/>
        <v>17</v>
      </c>
      <c r="AD210" s="17">
        <f>CALC!E234*(A210&lt;PARAM!$B$55)</f>
        <v>0</v>
      </c>
      <c r="AE210">
        <f>IF(A210&lt;ITER!$C$16,1,PARAM!$C$53^-(RATES!A210-ITER!$C$16))*(A210&lt;PARAM!$B$55)</f>
        <v>0</v>
      </c>
    </row>
    <row r="211" spans="1:31" x14ac:dyDescent="0.2">
      <c r="A211" s="9">
        <v>208</v>
      </c>
      <c r="B211" s="178">
        <f t="shared" si="63"/>
        <v>48</v>
      </c>
      <c r="C211" s="178">
        <f t="shared" si="63"/>
        <v>48</v>
      </c>
      <c r="D211" s="2">
        <f>PARAM!$H$38</f>
        <v>1</v>
      </c>
      <c r="E211" s="11">
        <f>PARAM!$G$38</f>
        <v>0</v>
      </c>
      <c r="F211" s="11">
        <f>(VLOOKUP(C211,DEDN!$A$8:$O$902,$F$2)*D211+E211)/1000</f>
        <v>2.31E-3</v>
      </c>
      <c r="G211" s="178">
        <f t="shared" si="64"/>
        <v>17</v>
      </c>
      <c r="H211" s="178">
        <f t="shared" si="64"/>
        <v>17</v>
      </c>
      <c r="I211" s="2">
        <f>PARAM!$H$39</f>
        <v>0</v>
      </c>
      <c r="J211" s="11">
        <f>PARAM!$G$39</f>
        <v>0</v>
      </c>
      <c r="K211" s="11">
        <f>(VLOOKUP(H211,DEDN!$A$8:$O$902,$K$2)*I211+J211)/1000</f>
        <v>0</v>
      </c>
      <c r="L211" s="11">
        <f>MIN(IF(PARAM!$B$43=3,CHOOSE($L$2,F211,K211),F211+K211-F211*K211),1)</f>
        <v>2.31E-3</v>
      </c>
      <c r="M211" s="2">
        <f>PARAM!$I$38</f>
        <v>0</v>
      </c>
      <c r="N211" s="11">
        <f>VLOOKUP(B211,DEDN!$A$8:$O$90,$N$2)*M211</f>
        <v>0</v>
      </c>
      <c r="O211" s="12"/>
      <c r="P211" s="10">
        <f>PARAM!$C$53^-A211</f>
        <v>1</v>
      </c>
      <c r="Q211" s="10">
        <f t="shared" si="62"/>
        <v>0.98150553392909268</v>
      </c>
      <c r="R211" s="10">
        <f t="shared" si="60"/>
        <v>0.98150553392909268</v>
      </c>
      <c r="S211" s="10">
        <f>CHOOSE(PARAM!$B$51,R211,0,0,0)*(A211&lt;PARAM!$B$55)</f>
        <v>0</v>
      </c>
      <c r="T211" s="10">
        <f t="shared" si="61"/>
        <v>1.8914015103466131E-4</v>
      </c>
      <c r="U211" s="10">
        <f>T211*P211*(A211&lt;PARAM!$B$55)</f>
        <v>0</v>
      </c>
      <c r="W211">
        <v>208</v>
      </c>
      <c r="X211" s="178">
        <f t="shared" si="65"/>
        <v>48</v>
      </c>
      <c r="Y211" s="178">
        <f t="shared" si="65"/>
        <v>48</v>
      </c>
      <c r="Z211" s="178">
        <f t="shared" si="65"/>
        <v>17</v>
      </c>
      <c r="AA211" s="178">
        <f t="shared" si="65"/>
        <v>17</v>
      </c>
      <c r="AD211" s="17">
        <f>CALC!E235*(A211&lt;PARAM!$B$55)</f>
        <v>0</v>
      </c>
      <c r="AE211">
        <f>IF(A211&lt;ITER!$C$16,1,PARAM!$C$53^-(RATES!A211-ITER!$C$16))*(A211&lt;PARAM!$B$55)</f>
        <v>0</v>
      </c>
    </row>
    <row r="212" spans="1:31" x14ac:dyDescent="0.2">
      <c r="A212" s="9">
        <v>209</v>
      </c>
      <c r="B212" s="178">
        <f t="shared" si="63"/>
        <v>48</v>
      </c>
      <c r="C212" s="178">
        <f t="shared" si="63"/>
        <v>48</v>
      </c>
      <c r="D212" s="2">
        <f>PARAM!$H$38</f>
        <v>1</v>
      </c>
      <c r="E212" s="11">
        <f>PARAM!$G$38</f>
        <v>0</v>
      </c>
      <c r="F212" s="11">
        <f>(VLOOKUP(C212,DEDN!$A$8:$O$902,$F$2)*D212+E212)/1000</f>
        <v>2.31E-3</v>
      </c>
      <c r="G212" s="178">
        <f t="shared" si="64"/>
        <v>17</v>
      </c>
      <c r="H212" s="178">
        <f t="shared" si="64"/>
        <v>17</v>
      </c>
      <c r="I212" s="2">
        <f>PARAM!$H$39</f>
        <v>0</v>
      </c>
      <c r="J212" s="11">
        <f>PARAM!$G$39</f>
        <v>0</v>
      </c>
      <c r="K212" s="11">
        <f>(VLOOKUP(H212,DEDN!$A$8:$O$902,$K$2)*I212+J212)/1000</f>
        <v>0</v>
      </c>
      <c r="L212" s="11">
        <f>MIN(IF(PARAM!$B$43=3,CHOOSE($L$2,F212,K212),F212+K212-F212*K212),1)</f>
        <v>2.31E-3</v>
      </c>
      <c r="M212" s="2">
        <f>PARAM!$I$38</f>
        <v>0</v>
      </c>
      <c r="N212" s="11">
        <f>VLOOKUP(B212,DEDN!$A$8:$O$90,$N$2)*M212</f>
        <v>0</v>
      </c>
      <c r="O212" s="12"/>
      <c r="P212" s="10">
        <f>PARAM!$C$53^-A212</f>
        <v>1</v>
      </c>
      <c r="Q212" s="10">
        <f t="shared" si="62"/>
        <v>0.98131639377805802</v>
      </c>
      <c r="R212" s="10">
        <f t="shared" ref="R212:R227" si="66">P212*Q212</f>
        <v>0.98131639377805802</v>
      </c>
      <c r="S212" s="10">
        <f>CHOOSE(PARAM!$B$51,R212,0,0,0)*(A212&lt;PARAM!$B$55)</f>
        <v>0</v>
      </c>
      <c r="T212" s="10">
        <f t="shared" si="61"/>
        <v>1.8910370294999979E-4</v>
      </c>
      <c r="U212" s="10">
        <f>T212*P212*(A212&lt;PARAM!$B$55)</f>
        <v>0</v>
      </c>
      <c r="W212">
        <v>209</v>
      </c>
      <c r="X212" s="178">
        <f t="shared" si="65"/>
        <v>48</v>
      </c>
      <c r="Y212" s="178">
        <f t="shared" si="65"/>
        <v>48</v>
      </c>
      <c r="Z212" s="178">
        <f t="shared" si="65"/>
        <v>17</v>
      </c>
      <c r="AA212" s="178">
        <f t="shared" si="65"/>
        <v>17</v>
      </c>
      <c r="AD212" s="17">
        <f>CALC!E236*(A212&lt;PARAM!$B$55)</f>
        <v>0</v>
      </c>
      <c r="AE212">
        <f>IF(A212&lt;ITER!$C$16,1,PARAM!$C$53^-(RATES!A212-ITER!$C$16))*(A212&lt;PARAM!$B$55)</f>
        <v>0</v>
      </c>
    </row>
    <row r="213" spans="1:31" x14ac:dyDescent="0.2">
      <c r="A213" s="9">
        <v>210</v>
      </c>
      <c r="B213" s="178">
        <f t="shared" si="63"/>
        <v>49</v>
      </c>
      <c r="C213" s="178">
        <f t="shared" si="63"/>
        <v>49</v>
      </c>
      <c r="D213" s="2">
        <f>PARAM!$H$38</f>
        <v>1</v>
      </c>
      <c r="E213" s="11">
        <f>PARAM!$G$38</f>
        <v>0</v>
      </c>
      <c r="F213" s="11">
        <f>(VLOOKUP(C213,DEDN!$A$8:$O$902,$F$2)*D213+E213)/1000</f>
        <v>2.5899999999999999E-3</v>
      </c>
      <c r="G213" s="178">
        <f t="shared" si="64"/>
        <v>18</v>
      </c>
      <c r="H213" s="178">
        <f t="shared" si="64"/>
        <v>18</v>
      </c>
      <c r="I213" s="2">
        <f>PARAM!$H$39</f>
        <v>0</v>
      </c>
      <c r="J213" s="11">
        <f>PARAM!$G$39</f>
        <v>0</v>
      </c>
      <c r="K213" s="11">
        <f>(VLOOKUP(H213,DEDN!$A$8:$O$902,$K$2)*I213+J213)/1000</f>
        <v>0</v>
      </c>
      <c r="L213" s="11">
        <f>MIN(IF(PARAM!$B$43=3,CHOOSE($L$2,F213,K213),F213+K213-F213*K213),1)</f>
        <v>2.5899999999999999E-3</v>
      </c>
      <c r="M213" s="2">
        <f>PARAM!$I$38</f>
        <v>0</v>
      </c>
      <c r="N213" s="11">
        <f>VLOOKUP(B213,DEDN!$A$8:$O$90,$N$2)*M213</f>
        <v>0</v>
      </c>
      <c r="O213" s="12"/>
      <c r="P213" s="10">
        <f>PARAM!$C$53^-A213</f>
        <v>1</v>
      </c>
      <c r="Q213" s="10">
        <f t="shared" ref="Q213:Q228" si="67">Q212*(1-L212)^(1/12)</f>
        <v>0.98112729007510802</v>
      </c>
      <c r="R213" s="10">
        <f t="shared" si="66"/>
        <v>0.98112729007510802</v>
      </c>
      <c r="S213" s="10">
        <f>CHOOSE(PARAM!$B$51,R213,R213,R213,0)*(A213&lt;PARAM!$B$55)</f>
        <v>0</v>
      </c>
      <c r="T213" s="10">
        <f t="shared" si="61"/>
        <v>2.1201176692220436E-4</v>
      </c>
      <c r="U213" s="10">
        <f>T213*P213*(A213&lt;PARAM!$B$55)</f>
        <v>0</v>
      </c>
      <c r="W213">
        <v>210</v>
      </c>
      <c r="X213" s="178">
        <f t="shared" si="65"/>
        <v>49</v>
      </c>
      <c r="Y213" s="178">
        <f t="shared" si="65"/>
        <v>49</v>
      </c>
      <c r="Z213" s="178">
        <f t="shared" si="65"/>
        <v>18</v>
      </c>
      <c r="AA213" s="178">
        <f t="shared" si="65"/>
        <v>18</v>
      </c>
      <c r="AD213" s="17">
        <f>CALC!E237*(A213&lt;PARAM!$B$55)</f>
        <v>0</v>
      </c>
      <c r="AE213">
        <f>IF(A213&lt;ITER!$C$16,1,PARAM!$C$53^-(RATES!A213-ITER!$C$16))*(A213&lt;PARAM!$B$55)</f>
        <v>0</v>
      </c>
    </row>
    <row r="214" spans="1:31" x14ac:dyDescent="0.2">
      <c r="A214" s="9">
        <v>211</v>
      </c>
      <c r="B214" s="178">
        <f t="shared" si="63"/>
        <v>49</v>
      </c>
      <c r="C214" s="178">
        <f t="shared" si="63"/>
        <v>49</v>
      </c>
      <c r="D214" s="2">
        <f>PARAM!$H$38</f>
        <v>1</v>
      </c>
      <c r="E214" s="11">
        <f>PARAM!$G$38</f>
        <v>0</v>
      </c>
      <c r="F214" s="11">
        <f>(VLOOKUP(C214,DEDN!$A$8:$O$902,$F$2)*D214+E214)/1000</f>
        <v>2.5899999999999999E-3</v>
      </c>
      <c r="G214" s="178">
        <f t="shared" si="64"/>
        <v>18</v>
      </c>
      <c r="H214" s="178">
        <f t="shared" si="64"/>
        <v>18</v>
      </c>
      <c r="I214" s="2">
        <f>PARAM!$H$39</f>
        <v>0</v>
      </c>
      <c r="J214" s="11">
        <f>PARAM!$G$39</f>
        <v>0</v>
      </c>
      <c r="K214" s="11">
        <f>(VLOOKUP(H214,DEDN!$A$8:$O$902,$K$2)*I214+J214)/1000</f>
        <v>0</v>
      </c>
      <c r="L214" s="11">
        <f>MIN(IF(PARAM!$B$43=3,CHOOSE($L$2,F214,K214),F214+K214-F214*K214),1)</f>
        <v>2.5899999999999999E-3</v>
      </c>
      <c r="M214" s="2">
        <f>PARAM!$I$38</f>
        <v>0</v>
      </c>
      <c r="N214" s="11">
        <f>VLOOKUP(B214,DEDN!$A$8:$O$90,$N$2)*M214</f>
        <v>0</v>
      </c>
      <c r="O214" s="12"/>
      <c r="P214" s="10">
        <f>PARAM!$C$53^-A214</f>
        <v>1</v>
      </c>
      <c r="Q214" s="10">
        <f t="shared" si="67"/>
        <v>0.98091527830818581</v>
      </c>
      <c r="R214" s="10">
        <f t="shared" si="66"/>
        <v>0.98091527830818581</v>
      </c>
      <c r="S214" s="10">
        <f>CHOOSE(PARAM!$B$51,R214,0,0,0)*(A214&lt;PARAM!$B$55)</f>
        <v>0</v>
      </c>
      <c r="T214" s="10">
        <f t="shared" si="61"/>
        <v>2.119659533057483E-4</v>
      </c>
      <c r="U214" s="10">
        <f>T214*P214*(A214&lt;PARAM!$B$55)</f>
        <v>0</v>
      </c>
      <c r="W214">
        <v>211</v>
      </c>
      <c r="X214" s="178">
        <f t="shared" si="65"/>
        <v>49</v>
      </c>
      <c r="Y214" s="178">
        <f t="shared" si="65"/>
        <v>49</v>
      </c>
      <c r="Z214" s="178">
        <f t="shared" si="65"/>
        <v>18</v>
      </c>
      <c r="AA214" s="178">
        <f t="shared" si="65"/>
        <v>18</v>
      </c>
      <c r="AD214" s="17">
        <f>CALC!E238*(A214&lt;PARAM!$B$55)</f>
        <v>0</v>
      </c>
      <c r="AE214">
        <f>IF(A214&lt;ITER!$C$16,1,PARAM!$C$53^-(RATES!A214-ITER!$C$16))*(A214&lt;PARAM!$B$55)</f>
        <v>0</v>
      </c>
    </row>
    <row r="215" spans="1:31" x14ac:dyDescent="0.2">
      <c r="A215" s="9">
        <v>212</v>
      </c>
      <c r="B215" s="178">
        <f t="shared" si="63"/>
        <v>49</v>
      </c>
      <c r="C215" s="178">
        <f t="shared" si="63"/>
        <v>49</v>
      </c>
      <c r="D215" s="2">
        <f>PARAM!$H$38</f>
        <v>1</v>
      </c>
      <c r="E215" s="11">
        <f>PARAM!$G$38</f>
        <v>0</v>
      </c>
      <c r="F215" s="11">
        <f>(VLOOKUP(C215,DEDN!$A$8:$O$902,$F$2)*D215+E215)/1000</f>
        <v>2.5899999999999999E-3</v>
      </c>
      <c r="G215" s="178">
        <f t="shared" si="64"/>
        <v>18</v>
      </c>
      <c r="H215" s="178">
        <f t="shared" si="64"/>
        <v>18</v>
      </c>
      <c r="I215" s="2">
        <f>PARAM!$H$39</f>
        <v>0</v>
      </c>
      <c r="J215" s="11">
        <f>PARAM!$G$39</f>
        <v>0</v>
      </c>
      <c r="K215" s="11">
        <f>(VLOOKUP(H215,DEDN!$A$8:$O$902,$K$2)*I215+J215)/1000</f>
        <v>0</v>
      </c>
      <c r="L215" s="11">
        <f>MIN(IF(PARAM!$B$43=3,CHOOSE($L$2,F215,K215),F215+K215-F215*K215),1)</f>
        <v>2.5899999999999999E-3</v>
      </c>
      <c r="M215" s="2">
        <f>PARAM!$I$38</f>
        <v>0</v>
      </c>
      <c r="N215" s="11">
        <f>VLOOKUP(B215,DEDN!$A$8:$O$90,$N$2)*M215</f>
        <v>0</v>
      </c>
      <c r="O215" s="12"/>
      <c r="P215" s="10">
        <f>PARAM!$C$53^-A215</f>
        <v>1</v>
      </c>
      <c r="Q215" s="10">
        <f t="shared" si="67"/>
        <v>0.98070331235488006</v>
      </c>
      <c r="R215" s="10">
        <f t="shared" si="66"/>
        <v>0.98070331235488006</v>
      </c>
      <c r="S215" s="10">
        <f>CHOOSE(PARAM!$B$51,R215,0,0,0)*(A215&lt;PARAM!$B$55)</f>
        <v>0</v>
      </c>
      <c r="T215" s="10">
        <f t="shared" si="61"/>
        <v>2.1192014958926197E-4</v>
      </c>
      <c r="U215" s="10">
        <f>T215*P215*(A215&lt;PARAM!$B$55)</f>
        <v>0</v>
      </c>
      <c r="W215">
        <v>212</v>
      </c>
      <c r="X215" s="178">
        <f t="shared" si="65"/>
        <v>49</v>
      </c>
      <c r="Y215" s="178">
        <f t="shared" si="65"/>
        <v>49</v>
      </c>
      <c r="Z215" s="178">
        <f t="shared" si="65"/>
        <v>18</v>
      </c>
      <c r="AA215" s="178">
        <f t="shared" si="65"/>
        <v>18</v>
      </c>
      <c r="AD215" s="17">
        <f>CALC!E239*(A215&lt;PARAM!$B$55)</f>
        <v>0</v>
      </c>
      <c r="AE215">
        <f>IF(A215&lt;ITER!$C$16,1,PARAM!$C$53^-(RATES!A215-ITER!$C$16))*(A215&lt;PARAM!$B$55)</f>
        <v>0</v>
      </c>
    </row>
    <row r="216" spans="1:31" x14ac:dyDescent="0.2">
      <c r="A216" s="9">
        <v>213</v>
      </c>
      <c r="B216" s="178">
        <f t="shared" si="63"/>
        <v>49</v>
      </c>
      <c r="C216" s="178">
        <f t="shared" si="63"/>
        <v>49</v>
      </c>
      <c r="D216" s="2">
        <f>PARAM!$H$38</f>
        <v>1</v>
      </c>
      <c r="E216" s="11">
        <f>PARAM!$G$38</f>
        <v>0</v>
      </c>
      <c r="F216" s="11">
        <f>(VLOOKUP(C216,DEDN!$A$8:$O$902,$F$2)*D216+E216)/1000</f>
        <v>2.5899999999999999E-3</v>
      </c>
      <c r="G216" s="178">
        <f t="shared" si="64"/>
        <v>18</v>
      </c>
      <c r="H216" s="178">
        <f t="shared" si="64"/>
        <v>18</v>
      </c>
      <c r="I216" s="2">
        <f>PARAM!$H$39</f>
        <v>0</v>
      </c>
      <c r="J216" s="11">
        <f>PARAM!$G$39</f>
        <v>0</v>
      </c>
      <c r="K216" s="11">
        <f>(VLOOKUP(H216,DEDN!$A$8:$O$902,$K$2)*I216+J216)/1000</f>
        <v>0</v>
      </c>
      <c r="L216" s="11">
        <f>MIN(IF(PARAM!$B$43=3,CHOOSE($L$2,F216,K216),F216+K216-F216*K216),1)</f>
        <v>2.5899999999999999E-3</v>
      </c>
      <c r="M216" s="2">
        <f>PARAM!$I$38</f>
        <v>0</v>
      </c>
      <c r="N216" s="11">
        <f>VLOOKUP(B216,DEDN!$A$8:$O$90,$N$2)*M216</f>
        <v>0</v>
      </c>
      <c r="O216" s="12"/>
      <c r="P216" s="10">
        <f>PARAM!$C$53^-A216</f>
        <v>1</v>
      </c>
      <c r="Q216" s="10">
        <f t="shared" si="67"/>
        <v>0.9804913922052908</v>
      </c>
      <c r="R216" s="10">
        <f t="shared" si="66"/>
        <v>0.9804913922052908</v>
      </c>
      <c r="S216" s="10">
        <f>CHOOSE(PARAM!$B$51,R216,R216,0,0)*(A216&lt;PARAM!$B$55)</f>
        <v>0</v>
      </c>
      <c r="T216" s="10">
        <f t="shared" si="61"/>
        <v>2.1187435577041391E-4</v>
      </c>
      <c r="U216" s="10">
        <f>T216*P216*(A216&lt;PARAM!$B$55)</f>
        <v>0</v>
      </c>
      <c r="W216">
        <v>213</v>
      </c>
      <c r="X216" s="178">
        <f t="shared" si="65"/>
        <v>49</v>
      </c>
      <c r="Y216" s="178">
        <f t="shared" si="65"/>
        <v>49</v>
      </c>
      <c r="Z216" s="178">
        <f t="shared" si="65"/>
        <v>18</v>
      </c>
      <c r="AA216" s="178">
        <f t="shared" si="65"/>
        <v>18</v>
      </c>
      <c r="AD216" s="17">
        <f>CALC!E240*(A216&lt;PARAM!$B$55)</f>
        <v>0</v>
      </c>
      <c r="AE216">
        <f>IF(A216&lt;ITER!$C$16,1,PARAM!$C$53^-(RATES!A216-ITER!$C$16))*(A216&lt;PARAM!$B$55)</f>
        <v>0</v>
      </c>
    </row>
    <row r="217" spans="1:31" x14ac:dyDescent="0.2">
      <c r="A217" s="9">
        <v>214</v>
      </c>
      <c r="B217" s="178">
        <f t="shared" si="63"/>
        <v>49</v>
      </c>
      <c r="C217" s="178">
        <f t="shared" si="63"/>
        <v>49</v>
      </c>
      <c r="D217" s="2">
        <f>PARAM!$H$38</f>
        <v>1</v>
      </c>
      <c r="E217" s="11">
        <f>PARAM!$G$38</f>
        <v>0</v>
      </c>
      <c r="F217" s="11">
        <f>(VLOOKUP(C217,DEDN!$A$8:$O$902,$F$2)*D217+E217)/1000</f>
        <v>2.5899999999999999E-3</v>
      </c>
      <c r="G217" s="178">
        <f t="shared" si="64"/>
        <v>18</v>
      </c>
      <c r="H217" s="178">
        <f t="shared" si="64"/>
        <v>18</v>
      </c>
      <c r="I217" s="2">
        <f>PARAM!$H$39</f>
        <v>0</v>
      </c>
      <c r="J217" s="11">
        <f>PARAM!$G$39</f>
        <v>0</v>
      </c>
      <c r="K217" s="11">
        <f>(VLOOKUP(H217,DEDN!$A$8:$O$902,$K$2)*I217+J217)/1000</f>
        <v>0</v>
      </c>
      <c r="L217" s="11">
        <f>MIN(IF(PARAM!$B$43=3,CHOOSE($L$2,F217,K217),F217+K217-F217*K217),1)</f>
        <v>2.5899999999999999E-3</v>
      </c>
      <c r="M217" s="2">
        <f>PARAM!$I$38</f>
        <v>0</v>
      </c>
      <c r="N217" s="11">
        <f>VLOOKUP(B217,DEDN!$A$8:$O$90,$N$2)*M217</f>
        <v>0</v>
      </c>
      <c r="O217" s="12"/>
      <c r="P217" s="10">
        <f>PARAM!$C$53^-A217</f>
        <v>1</v>
      </c>
      <c r="Q217" s="10">
        <f t="shared" si="67"/>
        <v>0.98027951784952039</v>
      </c>
      <c r="R217" s="10">
        <f t="shared" si="66"/>
        <v>0.98027951784952039</v>
      </c>
      <c r="S217" s="10">
        <f>CHOOSE(PARAM!$B$51,R217,0,0,0)*(A217&lt;PARAM!$B$55)</f>
        <v>0</v>
      </c>
      <c r="T217" s="10">
        <f t="shared" si="61"/>
        <v>2.1182857184720572E-4</v>
      </c>
      <c r="U217" s="10">
        <f>T217*P217*(A217&lt;PARAM!$B$55)</f>
        <v>0</v>
      </c>
      <c r="W217">
        <v>214</v>
      </c>
      <c r="X217" s="178">
        <f t="shared" si="65"/>
        <v>49</v>
      </c>
      <c r="Y217" s="178">
        <f t="shared" si="65"/>
        <v>49</v>
      </c>
      <c r="Z217" s="178">
        <f t="shared" si="65"/>
        <v>18</v>
      </c>
      <c r="AA217" s="178">
        <f t="shared" si="65"/>
        <v>18</v>
      </c>
      <c r="AD217" s="17">
        <f>CALC!E241*(A217&lt;PARAM!$B$55)</f>
        <v>0</v>
      </c>
      <c r="AE217">
        <f>IF(A217&lt;ITER!$C$16,1,PARAM!$C$53^-(RATES!A217-ITER!$C$16))*(A217&lt;PARAM!$B$55)</f>
        <v>0</v>
      </c>
    </row>
    <row r="218" spans="1:31" x14ac:dyDescent="0.2">
      <c r="A218" s="9">
        <v>215</v>
      </c>
      <c r="B218" s="178">
        <f t="shared" si="63"/>
        <v>49</v>
      </c>
      <c r="C218" s="178">
        <f t="shared" si="63"/>
        <v>49</v>
      </c>
      <c r="D218" s="2">
        <f>PARAM!$H$38</f>
        <v>1</v>
      </c>
      <c r="E218" s="11">
        <f>PARAM!$G$38</f>
        <v>0</v>
      </c>
      <c r="F218" s="11">
        <f>(VLOOKUP(C218,DEDN!$A$8:$O$902,$F$2)*D218+E218)/1000</f>
        <v>2.5899999999999999E-3</v>
      </c>
      <c r="G218" s="178">
        <f t="shared" si="64"/>
        <v>18</v>
      </c>
      <c r="H218" s="178">
        <f t="shared" si="64"/>
        <v>18</v>
      </c>
      <c r="I218" s="2">
        <f>PARAM!$H$39</f>
        <v>0</v>
      </c>
      <c r="J218" s="11">
        <f>PARAM!$G$39</f>
        <v>0</v>
      </c>
      <c r="K218" s="11">
        <f>(VLOOKUP(H218,DEDN!$A$8:$O$902,$K$2)*I218+J218)/1000</f>
        <v>0</v>
      </c>
      <c r="L218" s="11">
        <f>MIN(IF(PARAM!$B$43=3,CHOOSE($L$2,F218,K218),F218+K218-F218*K218),1)</f>
        <v>2.5899999999999999E-3</v>
      </c>
      <c r="M218" s="2">
        <f>PARAM!$I$38</f>
        <v>0</v>
      </c>
      <c r="N218" s="11">
        <f>VLOOKUP(B218,DEDN!$A$8:$O$90,$N$2)*M218</f>
        <v>0</v>
      </c>
      <c r="O218" s="12"/>
      <c r="P218" s="10">
        <f>PARAM!$C$53^-A218</f>
        <v>1</v>
      </c>
      <c r="Q218" s="10">
        <f t="shared" si="67"/>
        <v>0.98006768927767318</v>
      </c>
      <c r="R218" s="10">
        <f t="shared" si="66"/>
        <v>0.98006768927767318</v>
      </c>
      <c r="S218" s="10">
        <f>CHOOSE(PARAM!$B$51,R218,0,0,0)*(A218&lt;PARAM!$B$55)</f>
        <v>0</v>
      </c>
      <c r="T218" s="10">
        <f t="shared" si="61"/>
        <v>2.1178279781741693E-4</v>
      </c>
      <c r="U218" s="10">
        <f>T218*P218*(A218&lt;PARAM!$B$55)</f>
        <v>0</v>
      </c>
      <c r="W218">
        <v>215</v>
      </c>
      <c r="X218" s="178">
        <f t="shared" si="65"/>
        <v>49</v>
      </c>
      <c r="Y218" s="178">
        <f t="shared" si="65"/>
        <v>49</v>
      </c>
      <c r="Z218" s="178">
        <f t="shared" si="65"/>
        <v>18</v>
      </c>
      <c r="AA218" s="178">
        <f t="shared" si="65"/>
        <v>18</v>
      </c>
      <c r="AD218" s="17">
        <f>CALC!E242*(A218&lt;PARAM!$B$55)</f>
        <v>0</v>
      </c>
      <c r="AE218">
        <f>IF(A218&lt;ITER!$C$16,1,PARAM!$C$53^-(RATES!A218-ITER!$C$16))*(A218&lt;PARAM!$B$55)</f>
        <v>0</v>
      </c>
    </row>
    <row r="219" spans="1:31" x14ac:dyDescent="0.2">
      <c r="A219" s="9">
        <v>216</v>
      </c>
      <c r="B219" s="178">
        <f t="shared" si="63"/>
        <v>49</v>
      </c>
      <c r="C219" s="178">
        <f t="shared" si="63"/>
        <v>49</v>
      </c>
      <c r="D219" s="2">
        <f>PARAM!$H$38</f>
        <v>1</v>
      </c>
      <c r="E219" s="11">
        <f>PARAM!$G$38</f>
        <v>0</v>
      </c>
      <c r="F219" s="11">
        <f>(VLOOKUP(C219,DEDN!$A$8:$O$902,$F$2)*D219+E219)/1000</f>
        <v>2.5899999999999999E-3</v>
      </c>
      <c r="G219" s="178">
        <f t="shared" si="64"/>
        <v>18</v>
      </c>
      <c r="H219" s="178">
        <f t="shared" si="64"/>
        <v>18</v>
      </c>
      <c r="I219" s="2">
        <f>PARAM!$H$39</f>
        <v>0</v>
      </c>
      <c r="J219" s="11">
        <f>PARAM!$G$39</f>
        <v>0</v>
      </c>
      <c r="K219" s="11">
        <f>(VLOOKUP(H219,DEDN!$A$8:$O$902,$K$2)*I219+J219)/1000</f>
        <v>0</v>
      </c>
      <c r="L219" s="11">
        <f>MIN(IF(PARAM!$B$43=3,CHOOSE($L$2,F219,K219),F219+K219-F219*K219),1)</f>
        <v>2.5899999999999999E-3</v>
      </c>
      <c r="M219" s="2">
        <f>PARAM!$I$38</f>
        <v>0</v>
      </c>
      <c r="N219" s="11">
        <f>VLOOKUP(B219,DEDN!$A$8:$O$90,$N$2)*M219</f>
        <v>0</v>
      </c>
      <c r="O219" s="12"/>
      <c r="P219" s="10">
        <f>PARAM!$C$53^-A219</f>
        <v>1</v>
      </c>
      <c r="Q219" s="10">
        <f t="shared" si="67"/>
        <v>0.97985590647985576</v>
      </c>
      <c r="R219" s="10">
        <f t="shared" si="66"/>
        <v>0.97985590647985576</v>
      </c>
      <c r="S219" s="10">
        <f>R219*(A219&lt;PARAM!$B$55)</f>
        <v>0</v>
      </c>
      <c r="T219" s="10">
        <f t="shared" si="61"/>
        <v>2.1173703367893815E-4</v>
      </c>
      <c r="U219" s="10">
        <f>T219*P219*(A219&lt;PARAM!$B$55)</f>
        <v>0</v>
      </c>
      <c r="W219">
        <v>216</v>
      </c>
      <c r="X219" s="178">
        <f t="shared" si="65"/>
        <v>49</v>
      </c>
      <c r="Y219" s="178">
        <f t="shared" si="65"/>
        <v>49</v>
      </c>
      <c r="Z219" s="178">
        <f t="shared" si="65"/>
        <v>18</v>
      </c>
      <c r="AA219" s="178">
        <f t="shared" si="65"/>
        <v>18</v>
      </c>
      <c r="AD219" s="17">
        <f>CALC!E243*(A219&lt;PARAM!$B$55)</f>
        <v>0</v>
      </c>
      <c r="AE219">
        <f>IF(A219&lt;ITER!$C$16,1,PARAM!$C$53^-(RATES!A219-ITER!$C$16))*(A219&lt;PARAM!$B$55)</f>
        <v>0</v>
      </c>
    </row>
    <row r="220" spans="1:31" x14ac:dyDescent="0.2">
      <c r="A220" s="9">
        <v>217</v>
      </c>
      <c r="B220" s="178">
        <f t="shared" si="63"/>
        <v>49</v>
      </c>
      <c r="C220" s="178">
        <f t="shared" si="63"/>
        <v>49</v>
      </c>
      <c r="D220" s="2">
        <f>PARAM!$H$38</f>
        <v>1</v>
      </c>
      <c r="E220" s="11">
        <f>PARAM!$G$38</f>
        <v>0</v>
      </c>
      <c r="F220" s="11">
        <f>(VLOOKUP(C220,DEDN!$A$8:$O$902,$F$2)*D220+E220)/1000</f>
        <v>2.5899999999999999E-3</v>
      </c>
      <c r="G220" s="178">
        <f t="shared" si="64"/>
        <v>18</v>
      </c>
      <c r="H220" s="178">
        <f t="shared" si="64"/>
        <v>18</v>
      </c>
      <c r="I220" s="2">
        <f>PARAM!$H$39</f>
        <v>0</v>
      </c>
      <c r="J220" s="11">
        <f>PARAM!$G$39</f>
        <v>0</v>
      </c>
      <c r="K220" s="11">
        <f>(VLOOKUP(H220,DEDN!$A$8:$O$902,$K$2)*I220+J220)/1000</f>
        <v>0</v>
      </c>
      <c r="L220" s="11">
        <f>MIN(IF(PARAM!$B$43=3,CHOOSE($L$2,F220,K220),F220+K220-F220*K220),1)</f>
        <v>2.5899999999999999E-3</v>
      </c>
      <c r="M220" s="2">
        <f>PARAM!$I$38</f>
        <v>0</v>
      </c>
      <c r="N220" s="11">
        <f>VLOOKUP(B220,DEDN!$A$8:$O$90,$N$2)*M220</f>
        <v>0</v>
      </c>
      <c r="O220" s="12"/>
      <c r="P220" s="10">
        <f>PARAM!$C$53^-A220</f>
        <v>1</v>
      </c>
      <c r="Q220" s="10">
        <f t="shared" si="67"/>
        <v>0.97964416944617683</v>
      </c>
      <c r="R220" s="10">
        <f t="shared" si="66"/>
        <v>0.97964416944617683</v>
      </c>
      <c r="S220" s="10">
        <f>CHOOSE(PARAM!$B$51,R220,0,0,0)*(A220&lt;PARAM!$B$55)</f>
        <v>0</v>
      </c>
      <c r="T220" s="10">
        <f t="shared" si="61"/>
        <v>2.1169127942954891E-4</v>
      </c>
      <c r="U220" s="10">
        <f>T220*P220*(A220&lt;PARAM!$B$55)</f>
        <v>0</v>
      </c>
      <c r="W220">
        <v>217</v>
      </c>
      <c r="X220" s="178">
        <f t="shared" si="65"/>
        <v>49</v>
      </c>
      <c r="Y220" s="178">
        <f t="shared" si="65"/>
        <v>49</v>
      </c>
      <c r="Z220" s="178">
        <f t="shared" si="65"/>
        <v>18</v>
      </c>
      <c r="AA220" s="178">
        <f t="shared" si="65"/>
        <v>18</v>
      </c>
      <c r="AD220" s="17">
        <f>CALC!E244*(A220&lt;PARAM!$B$55)</f>
        <v>0</v>
      </c>
      <c r="AE220">
        <f>IF(A220&lt;ITER!$C$16,1,PARAM!$C$53^-(RATES!A220-ITER!$C$16))*(A220&lt;PARAM!$B$55)</f>
        <v>0</v>
      </c>
    </row>
    <row r="221" spans="1:31" x14ac:dyDescent="0.2">
      <c r="A221" s="9">
        <v>218</v>
      </c>
      <c r="B221" s="178">
        <f t="shared" ref="B221:C240" si="68">B209+1</f>
        <v>49</v>
      </c>
      <c r="C221" s="178">
        <f t="shared" si="68"/>
        <v>49</v>
      </c>
      <c r="D221" s="2">
        <f>PARAM!$H$38</f>
        <v>1</v>
      </c>
      <c r="E221" s="11">
        <f>PARAM!$G$38</f>
        <v>0</v>
      </c>
      <c r="F221" s="11">
        <f>(VLOOKUP(C221,DEDN!$A$8:$O$902,$F$2)*D221+E221)/1000</f>
        <v>2.5899999999999999E-3</v>
      </c>
      <c r="G221" s="178">
        <f t="shared" ref="G221:H240" si="69">G209+1</f>
        <v>18</v>
      </c>
      <c r="H221" s="178">
        <f t="shared" si="69"/>
        <v>18</v>
      </c>
      <c r="I221" s="2">
        <f>PARAM!$H$39</f>
        <v>0</v>
      </c>
      <c r="J221" s="11">
        <f>PARAM!$G$39</f>
        <v>0</v>
      </c>
      <c r="K221" s="11">
        <f>(VLOOKUP(H221,DEDN!$A$8:$O$902,$K$2)*I221+J221)/1000</f>
        <v>0</v>
      </c>
      <c r="L221" s="11">
        <f>MIN(IF(PARAM!$B$43=3,CHOOSE($L$2,F221,K221),F221+K221-F221*K221),1)</f>
        <v>2.5899999999999999E-3</v>
      </c>
      <c r="M221" s="2">
        <f>PARAM!$I$38</f>
        <v>0</v>
      </c>
      <c r="N221" s="11">
        <f>VLOOKUP(B221,DEDN!$A$8:$O$90,$N$2)*M221</f>
        <v>0</v>
      </c>
      <c r="O221" s="12"/>
      <c r="P221" s="10">
        <f>PARAM!$C$53^-A221</f>
        <v>1</v>
      </c>
      <c r="Q221" s="10">
        <f t="shared" si="67"/>
        <v>0.97943247816674728</v>
      </c>
      <c r="R221" s="10">
        <f t="shared" si="66"/>
        <v>0.97943247816674728</v>
      </c>
      <c r="S221" s="10">
        <f>CHOOSE(PARAM!$B$51,R221,0,0,0)*(A221&lt;PARAM!$B$55)</f>
        <v>0</v>
      </c>
      <c r="T221" s="10">
        <f t="shared" si="61"/>
        <v>2.1164553506736183E-4</v>
      </c>
      <c r="U221" s="10">
        <f>T221*P221*(A221&lt;PARAM!$B$55)</f>
        <v>0</v>
      </c>
      <c r="W221">
        <v>218</v>
      </c>
      <c r="X221" s="178">
        <f t="shared" ref="X221:AA240" si="70">X209+1</f>
        <v>49</v>
      </c>
      <c r="Y221" s="178">
        <f t="shared" si="70"/>
        <v>49</v>
      </c>
      <c r="Z221" s="178">
        <f t="shared" si="70"/>
        <v>18</v>
      </c>
      <c r="AA221" s="178">
        <f t="shared" si="70"/>
        <v>18</v>
      </c>
      <c r="AD221" s="17">
        <f>CALC!E245*(A221&lt;PARAM!$B$55)</f>
        <v>0</v>
      </c>
      <c r="AE221">
        <f>IF(A221&lt;ITER!$C$16,1,PARAM!$C$53^-(RATES!A221-ITER!$C$16))*(A221&lt;PARAM!$B$55)</f>
        <v>0</v>
      </c>
    </row>
    <row r="222" spans="1:31" x14ac:dyDescent="0.2">
      <c r="A222" s="9">
        <v>219</v>
      </c>
      <c r="B222" s="178">
        <f t="shared" si="68"/>
        <v>49</v>
      </c>
      <c r="C222" s="178">
        <f t="shared" si="68"/>
        <v>49</v>
      </c>
      <c r="D222" s="2">
        <f>PARAM!$H$38</f>
        <v>1</v>
      </c>
      <c r="E222" s="11">
        <f>PARAM!$G$38</f>
        <v>0</v>
      </c>
      <c r="F222" s="11">
        <f>(VLOOKUP(C222,DEDN!$A$8:$O$902,$F$2)*D222+E222)/1000</f>
        <v>2.5899999999999999E-3</v>
      </c>
      <c r="G222" s="178">
        <f t="shared" si="69"/>
        <v>18</v>
      </c>
      <c r="H222" s="178">
        <f t="shared" si="69"/>
        <v>18</v>
      </c>
      <c r="I222" s="2">
        <f>PARAM!$H$39</f>
        <v>0</v>
      </c>
      <c r="J222" s="11">
        <f>PARAM!$G$39</f>
        <v>0</v>
      </c>
      <c r="K222" s="11">
        <f>(VLOOKUP(H222,DEDN!$A$8:$O$902,$K$2)*I222+J222)/1000</f>
        <v>0</v>
      </c>
      <c r="L222" s="11">
        <f>MIN(IF(PARAM!$B$43=3,CHOOSE($L$2,F222,K222),F222+K222-F222*K222),1)</f>
        <v>2.5899999999999999E-3</v>
      </c>
      <c r="M222" s="2">
        <f>PARAM!$I$38</f>
        <v>0</v>
      </c>
      <c r="N222" s="11">
        <f>VLOOKUP(B222,DEDN!$A$8:$O$90,$N$2)*M222</f>
        <v>0</v>
      </c>
      <c r="O222" s="12"/>
      <c r="P222" s="10">
        <f>PARAM!$C$53^-A222</f>
        <v>1</v>
      </c>
      <c r="Q222" s="10">
        <f t="shared" si="67"/>
        <v>0.97922083263167992</v>
      </c>
      <c r="R222" s="10">
        <f t="shared" si="66"/>
        <v>0.97922083263167992</v>
      </c>
      <c r="S222" s="10">
        <f>CHOOSE(PARAM!$B$51,R222,R222,0,0)*(A222&lt;PARAM!$B$55)</f>
        <v>0</v>
      </c>
      <c r="T222" s="10">
        <f t="shared" si="61"/>
        <v>2.1159980058993444E-4</v>
      </c>
      <c r="U222" s="10">
        <f>T222*P222*(A222&lt;PARAM!$B$55)</f>
        <v>0</v>
      </c>
      <c r="W222">
        <v>219</v>
      </c>
      <c r="X222" s="178">
        <f t="shared" si="70"/>
        <v>49</v>
      </c>
      <c r="Y222" s="178">
        <f t="shared" si="70"/>
        <v>49</v>
      </c>
      <c r="Z222" s="178">
        <f t="shared" si="70"/>
        <v>18</v>
      </c>
      <c r="AA222" s="178">
        <f t="shared" si="70"/>
        <v>18</v>
      </c>
      <c r="AD222" s="17">
        <f>CALC!E246*(A222&lt;PARAM!$B$55)</f>
        <v>0</v>
      </c>
      <c r="AE222">
        <f>IF(A222&lt;ITER!$C$16,1,PARAM!$C$53^-(RATES!A222-ITER!$C$16))*(A222&lt;PARAM!$B$55)</f>
        <v>0</v>
      </c>
    </row>
    <row r="223" spans="1:31" x14ac:dyDescent="0.2">
      <c r="A223" s="9">
        <v>220</v>
      </c>
      <c r="B223" s="178">
        <f t="shared" si="68"/>
        <v>49</v>
      </c>
      <c r="C223" s="178">
        <f t="shared" si="68"/>
        <v>49</v>
      </c>
      <c r="D223" s="2">
        <f>PARAM!$H$38</f>
        <v>1</v>
      </c>
      <c r="E223" s="11">
        <f>PARAM!$G$38</f>
        <v>0</v>
      </c>
      <c r="F223" s="11">
        <f>(VLOOKUP(C223,DEDN!$A$8:$O$902,$F$2)*D223+E223)/1000</f>
        <v>2.5899999999999999E-3</v>
      </c>
      <c r="G223" s="178">
        <f t="shared" si="69"/>
        <v>18</v>
      </c>
      <c r="H223" s="178">
        <f t="shared" si="69"/>
        <v>18</v>
      </c>
      <c r="I223" s="2">
        <f>PARAM!$H$39</f>
        <v>0</v>
      </c>
      <c r="J223" s="11">
        <f>PARAM!$G$39</f>
        <v>0</v>
      </c>
      <c r="K223" s="11">
        <f>(VLOOKUP(H223,DEDN!$A$8:$O$902,$K$2)*I223+J223)/1000</f>
        <v>0</v>
      </c>
      <c r="L223" s="11">
        <f>MIN(IF(PARAM!$B$43=3,CHOOSE($L$2,F223,K223),F223+K223-F223*K223),1)</f>
        <v>2.5899999999999999E-3</v>
      </c>
      <c r="M223" s="2">
        <f>PARAM!$I$38</f>
        <v>0</v>
      </c>
      <c r="N223" s="11">
        <f>VLOOKUP(B223,DEDN!$A$8:$O$90,$N$2)*M223</f>
        <v>0</v>
      </c>
      <c r="O223" s="12"/>
      <c r="P223" s="10">
        <f>PARAM!$C$53^-A223</f>
        <v>1</v>
      </c>
      <c r="Q223" s="10">
        <f t="shared" si="67"/>
        <v>0.97900923283108998</v>
      </c>
      <c r="R223" s="10">
        <f t="shared" si="66"/>
        <v>0.97900923283108998</v>
      </c>
      <c r="S223" s="10">
        <f>CHOOSE(PARAM!$B$51,R223,0,0,0)*(A223&lt;PARAM!$B$55)</f>
        <v>0</v>
      </c>
      <c r="T223" s="10">
        <f t="shared" si="61"/>
        <v>2.1155407599537934E-4</v>
      </c>
      <c r="U223" s="10">
        <f>T223*P223*(A223&lt;PARAM!$B$55)</f>
        <v>0</v>
      </c>
      <c r="W223">
        <v>220</v>
      </c>
      <c r="X223" s="178">
        <f t="shared" si="70"/>
        <v>49</v>
      </c>
      <c r="Y223" s="178">
        <f t="shared" si="70"/>
        <v>49</v>
      </c>
      <c r="Z223" s="178">
        <f t="shared" si="70"/>
        <v>18</v>
      </c>
      <c r="AA223" s="178">
        <f t="shared" si="70"/>
        <v>18</v>
      </c>
      <c r="AD223" s="17">
        <f>CALC!E247*(A223&lt;PARAM!$B$55)</f>
        <v>0</v>
      </c>
      <c r="AE223">
        <f>IF(A223&lt;ITER!$C$16,1,PARAM!$C$53^-(RATES!A223-ITER!$C$16))*(A223&lt;PARAM!$B$55)</f>
        <v>0</v>
      </c>
    </row>
    <row r="224" spans="1:31" x14ac:dyDescent="0.2">
      <c r="A224" s="9">
        <v>221</v>
      </c>
      <c r="B224" s="178">
        <f t="shared" si="68"/>
        <v>49</v>
      </c>
      <c r="C224" s="178">
        <f t="shared" si="68"/>
        <v>49</v>
      </c>
      <c r="D224" s="2">
        <f>PARAM!$H$38</f>
        <v>1</v>
      </c>
      <c r="E224" s="11">
        <f>PARAM!$G$38</f>
        <v>0</v>
      </c>
      <c r="F224" s="11">
        <f>(VLOOKUP(C224,DEDN!$A$8:$O$902,$F$2)*D224+E224)/1000</f>
        <v>2.5899999999999999E-3</v>
      </c>
      <c r="G224" s="178">
        <f t="shared" si="69"/>
        <v>18</v>
      </c>
      <c r="H224" s="178">
        <f t="shared" si="69"/>
        <v>18</v>
      </c>
      <c r="I224" s="2">
        <f>PARAM!$H$39</f>
        <v>0</v>
      </c>
      <c r="J224" s="11">
        <f>PARAM!$G$39</f>
        <v>0</v>
      </c>
      <c r="K224" s="11">
        <f>(VLOOKUP(H224,DEDN!$A$8:$O$902,$K$2)*I224+J224)/1000</f>
        <v>0</v>
      </c>
      <c r="L224" s="11">
        <f>MIN(IF(PARAM!$B$43=3,CHOOSE($L$2,F224,K224),F224+K224-F224*K224),1)</f>
        <v>2.5899999999999999E-3</v>
      </c>
      <c r="M224" s="2">
        <f>PARAM!$I$38</f>
        <v>0</v>
      </c>
      <c r="N224" s="11">
        <f>VLOOKUP(B224,DEDN!$A$8:$O$90,$N$2)*M224</f>
        <v>0</v>
      </c>
      <c r="O224" s="12"/>
      <c r="P224" s="10">
        <f>PARAM!$C$53^-A224</f>
        <v>1</v>
      </c>
      <c r="Q224" s="10">
        <f t="shared" si="67"/>
        <v>0.9787976787550946</v>
      </c>
      <c r="R224" s="10">
        <f t="shared" si="66"/>
        <v>0.9787976787550946</v>
      </c>
      <c r="S224" s="10">
        <f>CHOOSE(PARAM!$B$51,R224,0,0,0)*(A224&lt;PARAM!$B$55)</f>
        <v>0</v>
      </c>
      <c r="T224" s="10">
        <f t="shared" si="61"/>
        <v>2.1150836128136508E-4</v>
      </c>
      <c r="U224" s="10">
        <f>T224*P224*(A224&lt;PARAM!$B$55)</f>
        <v>0</v>
      </c>
      <c r="W224">
        <v>221</v>
      </c>
      <c r="X224" s="178">
        <f t="shared" si="70"/>
        <v>49</v>
      </c>
      <c r="Y224" s="178">
        <f t="shared" si="70"/>
        <v>49</v>
      </c>
      <c r="Z224" s="178">
        <f t="shared" si="70"/>
        <v>18</v>
      </c>
      <c r="AA224" s="178">
        <f t="shared" si="70"/>
        <v>18</v>
      </c>
      <c r="AD224" s="17">
        <f>CALC!E248*(A224&lt;PARAM!$B$55)</f>
        <v>0</v>
      </c>
      <c r="AE224">
        <f>IF(A224&lt;ITER!$C$16,1,PARAM!$C$53^-(RATES!A224-ITER!$C$16))*(A224&lt;PARAM!$B$55)</f>
        <v>0</v>
      </c>
    </row>
    <row r="225" spans="1:31" x14ac:dyDescent="0.2">
      <c r="A225" s="9">
        <v>222</v>
      </c>
      <c r="B225" s="178">
        <f t="shared" si="68"/>
        <v>50</v>
      </c>
      <c r="C225" s="178">
        <f t="shared" si="68"/>
        <v>50</v>
      </c>
      <c r="D225" s="2">
        <f>PARAM!$H$38</f>
        <v>1</v>
      </c>
      <c r="E225" s="11">
        <f>PARAM!$G$38</f>
        <v>0</v>
      </c>
      <c r="F225" s="11">
        <f>(VLOOKUP(C225,DEDN!$A$8:$O$902,$F$2)*D225+E225)/1000</f>
        <v>2.8999999999999998E-3</v>
      </c>
      <c r="G225" s="178">
        <f t="shared" si="69"/>
        <v>19</v>
      </c>
      <c r="H225" s="178">
        <f t="shared" si="69"/>
        <v>19</v>
      </c>
      <c r="I225" s="2">
        <f>PARAM!$H$39</f>
        <v>0</v>
      </c>
      <c r="J225" s="11">
        <f>PARAM!$G$39</f>
        <v>0</v>
      </c>
      <c r="K225" s="11">
        <f>(VLOOKUP(H225,DEDN!$A$8:$O$902,$K$2)*I225+J225)/1000</f>
        <v>0</v>
      </c>
      <c r="L225" s="11">
        <f>MIN(IF(PARAM!$B$43=3,CHOOSE($L$2,F225,K225),F225+K225-F225*K225),1)</f>
        <v>2.8999999999999998E-3</v>
      </c>
      <c r="M225" s="2">
        <f>PARAM!$I$38</f>
        <v>0</v>
      </c>
      <c r="N225" s="11">
        <f>VLOOKUP(B225,DEDN!$A$8:$O$90,$N$2)*M225</f>
        <v>0</v>
      </c>
      <c r="O225" s="12"/>
      <c r="P225" s="10">
        <f>PARAM!$C$53^-A225</f>
        <v>1</v>
      </c>
      <c r="Q225" s="10">
        <f t="shared" si="67"/>
        <v>0.97858617039381324</v>
      </c>
      <c r="R225" s="10">
        <f t="shared" si="66"/>
        <v>0.97858617039381324</v>
      </c>
      <c r="S225" s="10">
        <f>CHOOSE(PARAM!$B$51,R225,R225,R225,0)*(A225&lt;PARAM!$B$55)</f>
        <v>0</v>
      </c>
      <c r="T225" s="10">
        <f t="shared" si="61"/>
        <v>2.3680657830438268E-4</v>
      </c>
      <c r="U225" s="10">
        <f>T225*P225*(A225&lt;PARAM!$B$55)</f>
        <v>0</v>
      </c>
      <c r="W225">
        <v>222</v>
      </c>
      <c r="X225" s="178">
        <f t="shared" si="70"/>
        <v>50</v>
      </c>
      <c r="Y225" s="178">
        <f t="shared" si="70"/>
        <v>50</v>
      </c>
      <c r="Z225" s="178">
        <f t="shared" si="70"/>
        <v>19</v>
      </c>
      <c r="AA225" s="178">
        <f t="shared" si="70"/>
        <v>19</v>
      </c>
      <c r="AD225" s="17">
        <f>CALC!E249*(A225&lt;PARAM!$B$55)</f>
        <v>0</v>
      </c>
      <c r="AE225">
        <f>IF(A225&lt;ITER!$C$16,1,PARAM!$C$53^-(RATES!A225-ITER!$C$16))*(A225&lt;PARAM!$B$55)</f>
        <v>0</v>
      </c>
    </row>
    <row r="226" spans="1:31" x14ac:dyDescent="0.2">
      <c r="A226" s="9">
        <v>223</v>
      </c>
      <c r="B226" s="178">
        <f t="shared" si="68"/>
        <v>50</v>
      </c>
      <c r="C226" s="178">
        <f t="shared" si="68"/>
        <v>50</v>
      </c>
      <c r="D226" s="2">
        <f>PARAM!$H$38</f>
        <v>1</v>
      </c>
      <c r="E226" s="11">
        <f>PARAM!$G$38</f>
        <v>0</v>
      </c>
      <c r="F226" s="11">
        <f>(VLOOKUP(C226,DEDN!$A$8:$O$902,$F$2)*D226+E226)/1000</f>
        <v>2.8999999999999998E-3</v>
      </c>
      <c r="G226" s="178">
        <f t="shared" si="69"/>
        <v>19</v>
      </c>
      <c r="H226" s="178">
        <f t="shared" si="69"/>
        <v>19</v>
      </c>
      <c r="I226" s="2">
        <f>PARAM!$H$39</f>
        <v>0</v>
      </c>
      <c r="J226" s="11">
        <f>PARAM!$G$39</f>
        <v>0</v>
      </c>
      <c r="K226" s="11">
        <f>(VLOOKUP(H226,DEDN!$A$8:$O$902,$K$2)*I226+J226)/1000</f>
        <v>0</v>
      </c>
      <c r="L226" s="11">
        <f>MIN(IF(PARAM!$B$43=3,CHOOSE($L$2,F226,K226),F226+K226-F226*K226),1)</f>
        <v>2.8999999999999998E-3</v>
      </c>
      <c r="M226" s="2">
        <f>PARAM!$I$38</f>
        <v>0</v>
      </c>
      <c r="N226" s="11">
        <f>VLOOKUP(B226,DEDN!$A$8:$O$90,$N$2)*M226</f>
        <v>0</v>
      </c>
      <c r="O226" s="12"/>
      <c r="P226" s="10">
        <f>PARAM!$C$53^-A226</f>
        <v>1</v>
      </c>
      <c r="Q226" s="10">
        <f t="shared" si="67"/>
        <v>0.97834936381550885</v>
      </c>
      <c r="R226" s="10">
        <f t="shared" si="66"/>
        <v>0.97834936381550885</v>
      </c>
      <c r="S226" s="10">
        <f>CHOOSE(PARAM!$B$51,R226,0,0,0)*(A226&lt;PARAM!$B$55)</f>
        <v>0</v>
      </c>
      <c r="T226" s="10">
        <f t="shared" si="61"/>
        <v>2.3674927384076394E-4</v>
      </c>
      <c r="U226" s="10">
        <f>T226*P226*(A226&lt;PARAM!$B$55)</f>
        <v>0</v>
      </c>
      <c r="W226">
        <v>223</v>
      </c>
      <c r="X226" s="178">
        <f t="shared" si="70"/>
        <v>50</v>
      </c>
      <c r="Y226" s="178">
        <f t="shared" si="70"/>
        <v>50</v>
      </c>
      <c r="Z226" s="178">
        <f t="shared" si="70"/>
        <v>19</v>
      </c>
      <c r="AA226" s="178">
        <f t="shared" si="70"/>
        <v>19</v>
      </c>
      <c r="AD226" s="17">
        <f>CALC!E250*(A226&lt;PARAM!$B$55)</f>
        <v>0</v>
      </c>
      <c r="AE226">
        <f>IF(A226&lt;ITER!$C$16,1,PARAM!$C$53^-(RATES!A226-ITER!$C$16))*(A226&lt;PARAM!$B$55)</f>
        <v>0</v>
      </c>
    </row>
    <row r="227" spans="1:31" x14ac:dyDescent="0.2">
      <c r="A227" s="9">
        <v>224</v>
      </c>
      <c r="B227" s="178">
        <f t="shared" si="68"/>
        <v>50</v>
      </c>
      <c r="C227" s="178">
        <f t="shared" si="68"/>
        <v>50</v>
      </c>
      <c r="D227" s="2">
        <f>PARAM!$H$38</f>
        <v>1</v>
      </c>
      <c r="E227" s="11">
        <f>PARAM!$G$38</f>
        <v>0</v>
      </c>
      <c r="F227" s="11">
        <f>(VLOOKUP(C227,DEDN!$A$8:$O$902,$F$2)*D227+E227)/1000</f>
        <v>2.8999999999999998E-3</v>
      </c>
      <c r="G227" s="178">
        <f t="shared" si="69"/>
        <v>19</v>
      </c>
      <c r="H227" s="178">
        <f t="shared" si="69"/>
        <v>19</v>
      </c>
      <c r="I227" s="2">
        <f>PARAM!$H$39</f>
        <v>0</v>
      </c>
      <c r="J227" s="11">
        <f>PARAM!$G$39</f>
        <v>0</v>
      </c>
      <c r="K227" s="11">
        <f>(VLOOKUP(H227,DEDN!$A$8:$O$902,$K$2)*I227+J227)/1000</f>
        <v>0</v>
      </c>
      <c r="L227" s="11">
        <f>MIN(IF(PARAM!$B$43=3,CHOOSE($L$2,F227,K227),F227+K227-F227*K227),1)</f>
        <v>2.8999999999999998E-3</v>
      </c>
      <c r="M227" s="2">
        <f>PARAM!$I$38</f>
        <v>0</v>
      </c>
      <c r="N227" s="11">
        <f>VLOOKUP(B227,DEDN!$A$8:$O$90,$N$2)*M227</f>
        <v>0</v>
      </c>
      <c r="O227" s="12"/>
      <c r="P227" s="10">
        <f>PARAM!$C$53^-A227</f>
        <v>1</v>
      </c>
      <c r="Q227" s="10">
        <f t="shared" si="67"/>
        <v>0.97811261454166809</v>
      </c>
      <c r="R227" s="10">
        <f t="shared" si="66"/>
        <v>0.97811261454166809</v>
      </c>
      <c r="S227" s="10">
        <f>CHOOSE(PARAM!$B$51,R227,0,0,0)*(A227&lt;PARAM!$B$55)</f>
        <v>0</v>
      </c>
      <c r="T227" s="10">
        <f t="shared" si="61"/>
        <v>2.3669198324427487E-4</v>
      </c>
      <c r="U227" s="10">
        <f>T227*P227*(A227&lt;PARAM!$B$55)</f>
        <v>0</v>
      </c>
      <c r="W227">
        <v>224</v>
      </c>
      <c r="X227" s="178">
        <f t="shared" si="70"/>
        <v>50</v>
      </c>
      <c r="Y227" s="178">
        <f t="shared" si="70"/>
        <v>50</v>
      </c>
      <c r="Z227" s="178">
        <f t="shared" si="70"/>
        <v>19</v>
      </c>
      <c r="AA227" s="178">
        <f t="shared" si="70"/>
        <v>19</v>
      </c>
      <c r="AD227" s="17">
        <f>CALC!E251*(A227&lt;PARAM!$B$55)</f>
        <v>0</v>
      </c>
      <c r="AE227">
        <f>IF(A227&lt;ITER!$C$16,1,PARAM!$C$53^-(RATES!A227-ITER!$C$16))*(A227&lt;PARAM!$B$55)</f>
        <v>0</v>
      </c>
    </row>
    <row r="228" spans="1:31" x14ac:dyDescent="0.2">
      <c r="A228" s="9">
        <v>225</v>
      </c>
      <c r="B228" s="178">
        <f t="shared" si="68"/>
        <v>50</v>
      </c>
      <c r="C228" s="178">
        <f t="shared" si="68"/>
        <v>50</v>
      </c>
      <c r="D228" s="2">
        <f>PARAM!$H$38</f>
        <v>1</v>
      </c>
      <c r="E228" s="11">
        <f>PARAM!$G$38</f>
        <v>0</v>
      </c>
      <c r="F228" s="11">
        <f>(VLOOKUP(C228,DEDN!$A$8:$O$902,$F$2)*D228+E228)/1000</f>
        <v>2.8999999999999998E-3</v>
      </c>
      <c r="G228" s="178">
        <f t="shared" si="69"/>
        <v>19</v>
      </c>
      <c r="H228" s="178">
        <f t="shared" si="69"/>
        <v>19</v>
      </c>
      <c r="I228" s="2">
        <f>PARAM!$H$39</f>
        <v>0</v>
      </c>
      <c r="J228" s="11">
        <f>PARAM!$G$39</f>
        <v>0</v>
      </c>
      <c r="K228" s="11">
        <f>(VLOOKUP(H228,DEDN!$A$8:$O$902,$K$2)*I228+J228)/1000</f>
        <v>0</v>
      </c>
      <c r="L228" s="11">
        <f>MIN(IF(PARAM!$B$43=3,CHOOSE($L$2,F228,K228),F228+K228-F228*K228),1)</f>
        <v>2.8999999999999998E-3</v>
      </c>
      <c r="M228" s="2">
        <f>PARAM!$I$38</f>
        <v>0</v>
      </c>
      <c r="N228" s="11">
        <f>VLOOKUP(B228,DEDN!$A$8:$O$90,$N$2)*M228</f>
        <v>0</v>
      </c>
      <c r="O228" s="12"/>
      <c r="P228" s="10">
        <f>PARAM!$C$53^-A228</f>
        <v>1</v>
      </c>
      <c r="Q228" s="10">
        <f t="shared" si="67"/>
        <v>0.97787592255842382</v>
      </c>
      <c r="R228" s="10">
        <f t="shared" ref="R228:R243" si="71">P228*Q228</f>
        <v>0.97787592255842382</v>
      </c>
      <c r="S228" s="10">
        <f>CHOOSE(PARAM!$B$51,R228,R228,0,0)*(A228&lt;PARAM!$B$55)</f>
        <v>0</v>
      </c>
      <c r="T228" s="10">
        <f t="shared" si="61"/>
        <v>2.3663470651147378E-4</v>
      </c>
      <c r="U228" s="10">
        <f>T228*P228*(A228&lt;PARAM!$B$55)</f>
        <v>0</v>
      </c>
      <c r="W228">
        <v>225</v>
      </c>
      <c r="X228" s="178">
        <f t="shared" si="70"/>
        <v>50</v>
      </c>
      <c r="Y228" s="178">
        <f t="shared" si="70"/>
        <v>50</v>
      </c>
      <c r="Z228" s="178">
        <f t="shared" si="70"/>
        <v>19</v>
      </c>
      <c r="AA228" s="178">
        <f t="shared" si="70"/>
        <v>19</v>
      </c>
      <c r="AD228" s="17">
        <f>CALC!E252*(A228&lt;PARAM!$B$55)</f>
        <v>0</v>
      </c>
      <c r="AE228">
        <f>IF(A228&lt;ITER!$C$16,1,PARAM!$C$53^-(RATES!A228-ITER!$C$16))*(A228&lt;PARAM!$B$55)</f>
        <v>0</v>
      </c>
    </row>
    <row r="229" spans="1:31" x14ac:dyDescent="0.2">
      <c r="A229" s="9">
        <v>226</v>
      </c>
      <c r="B229" s="178">
        <f t="shared" si="68"/>
        <v>50</v>
      </c>
      <c r="C229" s="178">
        <f t="shared" si="68"/>
        <v>50</v>
      </c>
      <c r="D229" s="2">
        <f>PARAM!$H$38</f>
        <v>1</v>
      </c>
      <c r="E229" s="11">
        <f>PARAM!$G$38</f>
        <v>0</v>
      </c>
      <c r="F229" s="11">
        <f>(VLOOKUP(C229,DEDN!$A$8:$O$902,$F$2)*D229+E229)/1000</f>
        <v>2.8999999999999998E-3</v>
      </c>
      <c r="G229" s="178">
        <f t="shared" si="69"/>
        <v>19</v>
      </c>
      <c r="H229" s="178">
        <f t="shared" si="69"/>
        <v>19</v>
      </c>
      <c r="I229" s="2">
        <f>PARAM!$H$39</f>
        <v>0</v>
      </c>
      <c r="J229" s="11">
        <f>PARAM!$G$39</f>
        <v>0</v>
      </c>
      <c r="K229" s="11">
        <f>(VLOOKUP(H229,DEDN!$A$8:$O$902,$K$2)*I229+J229)/1000</f>
        <v>0</v>
      </c>
      <c r="L229" s="11">
        <f>MIN(IF(PARAM!$B$43=3,CHOOSE($L$2,F229,K229),F229+K229-F229*K229),1)</f>
        <v>2.8999999999999998E-3</v>
      </c>
      <c r="M229" s="2">
        <f>PARAM!$I$38</f>
        <v>0</v>
      </c>
      <c r="N229" s="11">
        <f>VLOOKUP(B229,DEDN!$A$8:$O$90,$N$2)*M229</f>
        <v>0</v>
      </c>
      <c r="O229" s="12"/>
      <c r="P229" s="10">
        <f>PARAM!$C$53^-A229</f>
        <v>1</v>
      </c>
      <c r="Q229" s="10">
        <f t="shared" ref="Q229:Q244" si="72">Q228*(1-L228)^(1/12)</f>
        <v>0.97763928785191234</v>
      </c>
      <c r="R229" s="10">
        <f t="shared" si="71"/>
        <v>0.97763928785191234</v>
      </c>
      <c r="S229" s="10">
        <f>CHOOSE(PARAM!$B$51,R229,0,0,0)*(A229&lt;PARAM!$B$55)</f>
        <v>0</v>
      </c>
      <c r="T229" s="10">
        <f t="shared" si="61"/>
        <v>2.3657744363891897E-4</v>
      </c>
      <c r="U229" s="10">
        <f>T229*P229*(A229&lt;PARAM!$B$55)</f>
        <v>0</v>
      </c>
      <c r="W229">
        <v>226</v>
      </c>
      <c r="X229" s="178">
        <f t="shared" si="70"/>
        <v>50</v>
      </c>
      <c r="Y229" s="178">
        <f t="shared" si="70"/>
        <v>50</v>
      </c>
      <c r="Z229" s="178">
        <f t="shared" si="70"/>
        <v>19</v>
      </c>
      <c r="AA229" s="178">
        <f t="shared" si="70"/>
        <v>19</v>
      </c>
      <c r="AD229" s="17">
        <f>CALC!E253*(A229&lt;PARAM!$B$55)</f>
        <v>0</v>
      </c>
      <c r="AE229">
        <f>IF(A229&lt;ITER!$C$16,1,PARAM!$C$53^-(RATES!A229-ITER!$C$16))*(A229&lt;PARAM!$B$55)</f>
        <v>0</v>
      </c>
    </row>
    <row r="230" spans="1:31" x14ac:dyDescent="0.2">
      <c r="A230" s="9">
        <v>227</v>
      </c>
      <c r="B230" s="178">
        <f t="shared" si="68"/>
        <v>50</v>
      </c>
      <c r="C230" s="178">
        <f t="shared" si="68"/>
        <v>50</v>
      </c>
      <c r="D230" s="2">
        <f>PARAM!$H$38</f>
        <v>1</v>
      </c>
      <c r="E230" s="11">
        <f>PARAM!$G$38</f>
        <v>0</v>
      </c>
      <c r="F230" s="11">
        <f>(VLOOKUP(C230,DEDN!$A$8:$O$902,$F$2)*D230+E230)/1000</f>
        <v>2.8999999999999998E-3</v>
      </c>
      <c r="G230" s="178">
        <f t="shared" si="69"/>
        <v>19</v>
      </c>
      <c r="H230" s="178">
        <f t="shared" si="69"/>
        <v>19</v>
      </c>
      <c r="I230" s="2">
        <f>PARAM!$H$39</f>
        <v>0</v>
      </c>
      <c r="J230" s="11">
        <f>PARAM!$G$39</f>
        <v>0</v>
      </c>
      <c r="K230" s="11">
        <f>(VLOOKUP(H230,DEDN!$A$8:$O$902,$K$2)*I230+J230)/1000</f>
        <v>0</v>
      </c>
      <c r="L230" s="11">
        <f>MIN(IF(PARAM!$B$43=3,CHOOSE($L$2,F230,K230),F230+K230-F230*K230),1)</f>
        <v>2.8999999999999998E-3</v>
      </c>
      <c r="M230" s="2">
        <f>PARAM!$I$38</f>
        <v>0</v>
      </c>
      <c r="N230" s="11">
        <f>VLOOKUP(B230,DEDN!$A$8:$O$90,$N$2)*M230</f>
        <v>0</v>
      </c>
      <c r="O230" s="12"/>
      <c r="P230" s="10">
        <f>PARAM!$C$53^-A230</f>
        <v>1</v>
      </c>
      <c r="Q230" s="10">
        <f t="shared" si="72"/>
        <v>0.97740271040827342</v>
      </c>
      <c r="R230" s="10">
        <f t="shared" si="71"/>
        <v>0.97740271040827342</v>
      </c>
      <c r="S230" s="10">
        <f>CHOOSE(PARAM!$B$51,R230,0,0,0)*(A230&lt;PARAM!$B$55)</f>
        <v>0</v>
      </c>
      <c r="T230" s="10">
        <f t="shared" si="61"/>
        <v>2.3652019462327978E-4</v>
      </c>
      <c r="U230" s="10">
        <f>T230*P230*(A230&lt;PARAM!$B$55)</f>
        <v>0</v>
      </c>
      <c r="W230">
        <v>227</v>
      </c>
      <c r="X230" s="178">
        <f t="shared" si="70"/>
        <v>50</v>
      </c>
      <c r="Y230" s="178">
        <f t="shared" si="70"/>
        <v>50</v>
      </c>
      <c r="Z230" s="178">
        <f t="shared" si="70"/>
        <v>19</v>
      </c>
      <c r="AA230" s="178">
        <f t="shared" si="70"/>
        <v>19</v>
      </c>
      <c r="AD230" s="17">
        <f>CALC!E254*(A230&lt;PARAM!$B$55)</f>
        <v>0</v>
      </c>
      <c r="AE230">
        <f>IF(A230&lt;ITER!$C$16,1,PARAM!$C$53^-(RATES!A230-ITER!$C$16))*(A230&lt;PARAM!$B$55)</f>
        <v>0</v>
      </c>
    </row>
    <row r="231" spans="1:31" x14ac:dyDescent="0.2">
      <c r="A231" s="9">
        <v>228</v>
      </c>
      <c r="B231" s="178">
        <f t="shared" si="68"/>
        <v>50</v>
      </c>
      <c r="C231" s="178">
        <f t="shared" si="68"/>
        <v>50</v>
      </c>
      <c r="D231" s="2">
        <f>PARAM!$H$38</f>
        <v>1</v>
      </c>
      <c r="E231" s="11">
        <f>PARAM!$G$38</f>
        <v>0</v>
      </c>
      <c r="F231" s="11">
        <f>(VLOOKUP(C231,DEDN!$A$8:$O$902,$F$2)*D231+E231)/1000</f>
        <v>2.8999999999999998E-3</v>
      </c>
      <c r="G231" s="178">
        <f t="shared" si="69"/>
        <v>19</v>
      </c>
      <c r="H231" s="178">
        <f t="shared" si="69"/>
        <v>19</v>
      </c>
      <c r="I231" s="2">
        <f>PARAM!$H$39</f>
        <v>0</v>
      </c>
      <c r="J231" s="11">
        <f>PARAM!$G$39</f>
        <v>0</v>
      </c>
      <c r="K231" s="11">
        <f>(VLOOKUP(H231,DEDN!$A$8:$O$902,$K$2)*I231+J231)/1000</f>
        <v>0</v>
      </c>
      <c r="L231" s="11">
        <f>MIN(IF(PARAM!$B$43=3,CHOOSE($L$2,F231,K231),F231+K231-F231*K231),1)</f>
        <v>2.8999999999999998E-3</v>
      </c>
      <c r="M231" s="2">
        <f>PARAM!$I$38</f>
        <v>0</v>
      </c>
      <c r="N231" s="11">
        <f>VLOOKUP(B231,DEDN!$A$8:$O$90,$N$2)*M231</f>
        <v>0</v>
      </c>
      <c r="O231" s="12"/>
      <c r="P231" s="10">
        <f>PARAM!$C$53^-A231</f>
        <v>1</v>
      </c>
      <c r="Q231" s="10">
        <f t="shared" si="72"/>
        <v>0.97716619021365014</v>
      </c>
      <c r="R231" s="10">
        <f t="shared" si="71"/>
        <v>0.97716619021365014</v>
      </c>
      <c r="S231" s="10">
        <f>R231*(A231&lt;PARAM!$B$55)</f>
        <v>0</v>
      </c>
      <c r="T231" s="10">
        <f t="shared" si="61"/>
        <v>2.3646295946133655E-4</v>
      </c>
      <c r="U231" s="10">
        <f>T231*P231*(A231&lt;PARAM!$B$55)</f>
        <v>0</v>
      </c>
      <c r="W231">
        <v>228</v>
      </c>
      <c r="X231" s="178">
        <f t="shared" si="70"/>
        <v>50</v>
      </c>
      <c r="Y231" s="178">
        <f t="shared" si="70"/>
        <v>50</v>
      </c>
      <c r="Z231" s="178">
        <f t="shared" si="70"/>
        <v>19</v>
      </c>
      <c r="AA231" s="178">
        <f t="shared" si="70"/>
        <v>19</v>
      </c>
      <c r="AD231" s="17">
        <f>CALC!E255*(A231&lt;PARAM!$B$55)</f>
        <v>0</v>
      </c>
      <c r="AE231">
        <f>IF(A231&lt;ITER!$C$16,1,PARAM!$C$53^-(RATES!A231-ITER!$C$16))*(A231&lt;PARAM!$B$55)</f>
        <v>0</v>
      </c>
    </row>
    <row r="232" spans="1:31" x14ac:dyDescent="0.2">
      <c r="A232" s="9">
        <v>229</v>
      </c>
      <c r="B232" s="178">
        <f t="shared" si="68"/>
        <v>50</v>
      </c>
      <c r="C232" s="178">
        <f t="shared" si="68"/>
        <v>50</v>
      </c>
      <c r="D232" s="2">
        <f>PARAM!$H$38</f>
        <v>1</v>
      </c>
      <c r="E232" s="11">
        <f>PARAM!$G$38</f>
        <v>0</v>
      </c>
      <c r="F232" s="11">
        <f>(VLOOKUP(C232,DEDN!$A$8:$O$902,$F$2)*D232+E232)/1000</f>
        <v>2.8999999999999998E-3</v>
      </c>
      <c r="G232" s="178">
        <f t="shared" si="69"/>
        <v>19</v>
      </c>
      <c r="H232" s="178">
        <f t="shared" si="69"/>
        <v>19</v>
      </c>
      <c r="I232" s="2">
        <f>PARAM!$H$39</f>
        <v>0</v>
      </c>
      <c r="J232" s="11">
        <f>PARAM!$G$39</f>
        <v>0</v>
      </c>
      <c r="K232" s="11">
        <f>(VLOOKUP(H232,DEDN!$A$8:$O$902,$K$2)*I232+J232)/1000</f>
        <v>0</v>
      </c>
      <c r="L232" s="11">
        <f>MIN(IF(PARAM!$B$43=3,CHOOSE($L$2,F232,K232),F232+K232-F232*K232),1)</f>
        <v>2.8999999999999998E-3</v>
      </c>
      <c r="M232" s="2">
        <f>PARAM!$I$38</f>
        <v>0</v>
      </c>
      <c r="N232" s="11">
        <f>VLOOKUP(B232,DEDN!$A$8:$O$90,$N$2)*M232</f>
        <v>0</v>
      </c>
      <c r="O232" s="12"/>
      <c r="P232" s="10">
        <f>PARAM!$C$53^-A232</f>
        <v>1</v>
      </c>
      <c r="Q232" s="10">
        <f t="shared" si="72"/>
        <v>0.97692972725418881</v>
      </c>
      <c r="R232" s="10">
        <f t="shared" si="71"/>
        <v>0.97692972725418881</v>
      </c>
      <c r="S232" s="10">
        <f>CHOOSE(PARAM!$B$51,R232,0,0,0)*(A232&lt;PARAM!$B$55)</f>
        <v>0</v>
      </c>
      <c r="T232" s="10">
        <f t="shared" si="61"/>
        <v>2.3640573814953658E-4</v>
      </c>
      <c r="U232" s="10">
        <f>T232*P232*(A232&lt;PARAM!$B$55)</f>
        <v>0</v>
      </c>
      <c r="W232">
        <v>229</v>
      </c>
      <c r="X232" s="178">
        <f t="shared" si="70"/>
        <v>50</v>
      </c>
      <c r="Y232" s="178">
        <f t="shared" si="70"/>
        <v>50</v>
      </c>
      <c r="Z232" s="178">
        <f t="shared" si="70"/>
        <v>19</v>
      </c>
      <c r="AA232" s="178">
        <f t="shared" si="70"/>
        <v>19</v>
      </c>
      <c r="AD232" s="17">
        <f>CALC!E256*(A232&lt;PARAM!$B$55)</f>
        <v>0</v>
      </c>
      <c r="AE232">
        <f>IF(A232&lt;ITER!$C$16,1,PARAM!$C$53^-(RATES!A232-ITER!$C$16))*(A232&lt;PARAM!$B$55)</f>
        <v>0</v>
      </c>
    </row>
    <row r="233" spans="1:31" x14ac:dyDescent="0.2">
      <c r="A233" s="9">
        <v>230</v>
      </c>
      <c r="B233" s="178">
        <f t="shared" si="68"/>
        <v>50</v>
      </c>
      <c r="C233" s="178">
        <f t="shared" si="68"/>
        <v>50</v>
      </c>
      <c r="D233" s="2">
        <f>PARAM!$H$38</f>
        <v>1</v>
      </c>
      <c r="E233" s="11">
        <f>PARAM!$G$38</f>
        <v>0</v>
      </c>
      <c r="F233" s="11">
        <f>(VLOOKUP(C233,DEDN!$A$8:$O$902,$F$2)*D233+E233)/1000</f>
        <v>2.8999999999999998E-3</v>
      </c>
      <c r="G233" s="178">
        <f t="shared" si="69"/>
        <v>19</v>
      </c>
      <c r="H233" s="178">
        <f t="shared" si="69"/>
        <v>19</v>
      </c>
      <c r="I233" s="2">
        <f>PARAM!$H$39</f>
        <v>0</v>
      </c>
      <c r="J233" s="11">
        <f>PARAM!$G$39</f>
        <v>0</v>
      </c>
      <c r="K233" s="11">
        <f>(VLOOKUP(H233,DEDN!$A$8:$O$902,$K$2)*I233+J233)/1000</f>
        <v>0</v>
      </c>
      <c r="L233" s="11">
        <f>MIN(IF(PARAM!$B$43=3,CHOOSE($L$2,F233,K233),F233+K233-F233*K233),1)</f>
        <v>2.8999999999999998E-3</v>
      </c>
      <c r="M233" s="2">
        <f>PARAM!$I$38</f>
        <v>0</v>
      </c>
      <c r="N233" s="11">
        <f>VLOOKUP(B233,DEDN!$A$8:$O$90,$N$2)*M233</f>
        <v>0</v>
      </c>
      <c r="O233" s="12"/>
      <c r="P233" s="10">
        <f>PARAM!$C$53^-A233</f>
        <v>1</v>
      </c>
      <c r="Q233" s="10">
        <f t="shared" si="72"/>
        <v>0.97669332151603927</v>
      </c>
      <c r="R233" s="10">
        <f t="shared" si="71"/>
        <v>0.97669332151603927</v>
      </c>
      <c r="S233" s="10">
        <f>CHOOSE(PARAM!$B$51,R233,0,0,0)*(A233&lt;PARAM!$B$55)</f>
        <v>0</v>
      </c>
      <c r="T233" s="10">
        <f t="shared" si="61"/>
        <v>2.3634853068466022E-4</v>
      </c>
      <c r="U233" s="10">
        <f>T233*P233*(A233&lt;PARAM!$B$55)</f>
        <v>0</v>
      </c>
      <c r="W233">
        <v>230</v>
      </c>
      <c r="X233" s="178">
        <f t="shared" si="70"/>
        <v>50</v>
      </c>
      <c r="Y233" s="178">
        <f t="shared" si="70"/>
        <v>50</v>
      </c>
      <c r="Z233" s="178">
        <f t="shared" si="70"/>
        <v>19</v>
      </c>
      <c r="AA233" s="178">
        <f t="shared" si="70"/>
        <v>19</v>
      </c>
      <c r="AD233" s="17">
        <f>CALC!E257*(A233&lt;PARAM!$B$55)</f>
        <v>0</v>
      </c>
      <c r="AE233">
        <f>IF(A233&lt;ITER!$C$16,1,PARAM!$C$53^-(RATES!A233-ITER!$C$16))*(A233&lt;PARAM!$B$55)</f>
        <v>0</v>
      </c>
    </row>
    <row r="234" spans="1:31" x14ac:dyDescent="0.2">
      <c r="A234" s="9">
        <v>231</v>
      </c>
      <c r="B234" s="178">
        <f t="shared" si="68"/>
        <v>50</v>
      </c>
      <c r="C234" s="178">
        <f t="shared" si="68"/>
        <v>50</v>
      </c>
      <c r="D234" s="2">
        <f>PARAM!$H$38</f>
        <v>1</v>
      </c>
      <c r="E234" s="11">
        <f>PARAM!$G$38</f>
        <v>0</v>
      </c>
      <c r="F234" s="11">
        <f>(VLOOKUP(C234,DEDN!$A$8:$O$902,$F$2)*D234+E234)/1000</f>
        <v>2.8999999999999998E-3</v>
      </c>
      <c r="G234" s="178">
        <f t="shared" si="69"/>
        <v>19</v>
      </c>
      <c r="H234" s="178">
        <f t="shared" si="69"/>
        <v>19</v>
      </c>
      <c r="I234" s="2">
        <f>PARAM!$H$39</f>
        <v>0</v>
      </c>
      <c r="J234" s="11">
        <f>PARAM!$G$39</f>
        <v>0</v>
      </c>
      <c r="K234" s="11">
        <f>(VLOOKUP(H234,DEDN!$A$8:$O$902,$K$2)*I234+J234)/1000</f>
        <v>0</v>
      </c>
      <c r="L234" s="11">
        <f>MIN(IF(PARAM!$B$43=3,CHOOSE($L$2,F234,K234),F234+K234-F234*K234),1)</f>
        <v>2.8999999999999998E-3</v>
      </c>
      <c r="M234" s="2">
        <f>PARAM!$I$38</f>
        <v>0</v>
      </c>
      <c r="N234" s="11">
        <f>VLOOKUP(B234,DEDN!$A$8:$O$90,$N$2)*M234</f>
        <v>0</v>
      </c>
      <c r="O234" s="12"/>
      <c r="P234" s="10">
        <f>PARAM!$C$53^-A234</f>
        <v>1</v>
      </c>
      <c r="Q234" s="10">
        <f t="shared" si="72"/>
        <v>0.97645697298535461</v>
      </c>
      <c r="R234" s="10">
        <f t="shared" si="71"/>
        <v>0.97645697298535461</v>
      </c>
      <c r="S234" s="10">
        <f>CHOOSE(PARAM!$B$51,R234,R234,0,0)*(A234&lt;PARAM!$B$55)</f>
        <v>0</v>
      </c>
      <c r="T234" s="10">
        <f t="shared" si="61"/>
        <v>2.3629133706337679E-4</v>
      </c>
      <c r="U234" s="10">
        <f>T234*P234*(A234&lt;PARAM!$B$55)</f>
        <v>0</v>
      </c>
      <c r="W234">
        <v>231</v>
      </c>
      <c r="X234" s="178">
        <f t="shared" si="70"/>
        <v>50</v>
      </c>
      <c r="Y234" s="178">
        <f t="shared" si="70"/>
        <v>50</v>
      </c>
      <c r="Z234" s="178">
        <f t="shared" si="70"/>
        <v>19</v>
      </c>
      <c r="AA234" s="178">
        <f t="shared" si="70"/>
        <v>19</v>
      </c>
      <c r="AD234" s="17">
        <f>CALC!E258*(A234&lt;PARAM!$B$55)</f>
        <v>0</v>
      </c>
      <c r="AE234">
        <f>IF(A234&lt;ITER!$C$16,1,PARAM!$C$53^-(RATES!A234-ITER!$C$16))*(A234&lt;PARAM!$B$55)</f>
        <v>0</v>
      </c>
    </row>
    <row r="235" spans="1:31" x14ac:dyDescent="0.2">
      <c r="A235" s="9">
        <v>232</v>
      </c>
      <c r="B235" s="178">
        <f t="shared" si="68"/>
        <v>50</v>
      </c>
      <c r="C235" s="178">
        <f t="shared" si="68"/>
        <v>50</v>
      </c>
      <c r="D235" s="2">
        <f>PARAM!$H$38</f>
        <v>1</v>
      </c>
      <c r="E235" s="11">
        <f>PARAM!$G$38</f>
        <v>0</v>
      </c>
      <c r="F235" s="11">
        <f>(VLOOKUP(C235,DEDN!$A$8:$O$902,$F$2)*D235+E235)/1000</f>
        <v>2.8999999999999998E-3</v>
      </c>
      <c r="G235" s="178">
        <f t="shared" si="69"/>
        <v>19</v>
      </c>
      <c r="H235" s="178">
        <f t="shared" si="69"/>
        <v>19</v>
      </c>
      <c r="I235" s="2">
        <f>PARAM!$H$39</f>
        <v>0</v>
      </c>
      <c r="J235" s="11">
        <f>PARAM!$G$39</f>
        <v>0</v>
      </c>
      <c r="K235" s="11">
        <f>(VLOOKUP(H235,DEDN!$A$8:$O$902,$K$2)*I235+J235)/1000</f>
        <v>0</v>
      </c>
      <c r="L235" s="11">
        <f>MIN(IF(PARAM!$B$43=3,CHOOSE($L$2,F235,K235),F235+K235-F235*K235),1)</f>
        <v>2.8999999999999998E-3</v>
      </c>
      <c r="M235" s="2">
        <f>PARAM!$I$38</f>
        <v>0</v>
      </c>
      <c r="N235" s="11">
        <f>VLOOKUP(B235,DEDN!$A$8:$O$90,$N$2)*M235</f>
        <v>0</v>
      </c>
      <c r="O235" s="12"/>
      <c r="P235" s="10">
        <f>PARAM!$C$53^-A235</f>
        <v>1</v>
      </c>
      <c r="Q235" s="10">
        <f t="shared" si="72"/>
        <v>0.97622068164829123</v>
      </c>
      <c r="R235" s="10">
        <f t="shared" si="71"/>
        <v>0.97622068164829123</v>
      </c>
      <c r="S235" s="10">
        <f>CHOOSE(PARAM!$B$51,R235,0,0,0)*(A235&lt;PARAM!$B$55)</f>
        <v>0</v>
      </c>
      <c r="T235" s="10">
        <f t="shared" si="61"/>
        <v>2.3623415728224462E-4</v>
      </c>
      <c r="U235" s="10">
        <f>T235*P235*(A235&lt;PARAM!$B$55)</f>
        <v>0</v>
      </c>
      <c r="W235">
        <v>232</v>
      </c>
      <c r="X235" s="178">
        <f t="shared" si="70"/>
        <v>50</v>
      </c>
      <c r="Y235" s="178">
        <f t="shared" si="70"/>
        <v>50</v>
      </c>
      <c r="Z235" s="178">
        <f t="shared" si="70"/>
        <v>19</v>
      </c>
      <c r="AA235" s="178">
        <f t="shared" si="70"/>
        <v>19</v>
      </c>
      <c r="AD235" s="17">
        <f>CALC!E259*(A235&lt;PARAM!$B$55)</f>
        <v>0</v>
      </c>
      <c r="AE235">
        <f>IF(A235&lt;ITER!$C$16,1,PARAM!$C$53^-(RATES!A235-ITER!$C$16))*(A235&lt;PARAM!$B$55)</f>
        <v>0</v>
      </c>
    </row>
    <row r="236" spans="1:31" x14ac:dyDescent="0.2">
      <c r="A236" s="9">
        <v>233</v>
      </c>
      <c r="B236" s="178">
        <f t="shared" si="68"/>
        <v>50</v>
      </c>
      <c r="C236" s="178">
        <f t="shared" si="68"/>
        <v>50</v>
      </c>
      <c r="D236" s="2">
        <f>PARAM!$H$38</f>
        <v>1</v>
      </c>
      <c r="E236" s="11">
        <f>PARAM!$G$38</f>
        <v>0</v>
      </c>
      <c r="F236" s="11">
        <f>(VLOOKUP(C236,DEDN!$A$8:$O$902,$F$2)*D236+E236)/1000</f>
        <v>2.8999999999999998E-3</v>
      </c>
      <c r="G236" s="178">
        <f t="shared" si="69"/>
        <v>19</v>
      </c>
      <c r="H236" s="178">
        <f t="shared" si="69"/>
        <v>19</v>
      </c>
      <c r="I236" s="2">
        <f>PARAM!$H$39</f>
        <v>0</v>
      </c>
      <c r="J236" s="11">
        <f>PARAM!$G$39</f>
        <v>0</v>
      </c>
      <c r="K236" s="11">
        <f>(VLOOKUP(H236,DEDN!$A$8:$O$902,$K$2)*I236+J236)/1000</f>
        <v>0</v>
      </c>
      <c r="L236" s="11">
        <f>MIN(IF(PARAM!$B$43=3,CHOOSE($L$2,F236,K236),F236+K236-F236*K236),1)</f>
        <v>2.8999999999999998E-3</v>
      </c>
      <c r="M236" s="2">
        <f>PARAM!$I$38</f>
        <v>0</v>
      </c>
      <c r="N236" s="11">
        <f>VLOOKUP(B236,DEDN!$A$8:$O$90,$N$2)*M236</f>
        <v>0</v>
      </c>
      <c r="O236" s="12"/>
      <c r="P236" s="10">
        <f>PARAM!$C$53^-A236</f>
        <v>1</v>
      </c>
      <c r="Q236" s="10">
        <f t="shared" si="72"/>
        <v>0.97598444749100899</v>
      </c>
      <c r="R236" s="10">
        <f t="shared" si="71"/>
        <v>0.97598444749100899</v>
      </c>
      <c r="S236" s="10">
        <f>CHOOSE(PARAM!$B$51,R236,0,0,0)*(A236&lt;PARAM!$B$55)</f>
        <v>0</v>
      </c>
      <c r="T236" s="10">
        <f t="shared" si="61"/>
        <v>2.3617699133804404E-4</v>
      </c>
      <c r="U236" s="10">
        <f>T236*P236*(A236&lt;PARAM!$B$55)</f>
        <v>0</v>
      </c>
      <c r="W236">
        <v>233</v>
      </c>
      <c r="X236" s="178">
        <f t="shared" si="70"/>
        <v>50</v>
      </c>
      <c r="Y236" s="178">
        <f t="shared" si="70"/>
        <v>50</v>
      </c>
      <c r="Z236" s="178">
        <f t="shared" si="70"/>
        <v>19</v>
      </c>
      <c r="AA236" s="178">
        <f t="shared" si="70"/>
        <v>19</v>
      </c>
      <c r="AD236" s="17">
        <f>CALC!E260*(A236&lt;PARAM!$B$55)</f>
        <v>0</v>
      </c>
      <c r="AE236">
        <f>IF(A236&lt;ITER!$C$16,1,PARAM!$C$53^-(RATES!A236-ITER!$C$16))*(A236&lt;PARAM!$B$55)</f>
        <v>0</v>
      </c>
    </row>
    <row r="237" spans="1:31" x14ac:dyDescent="0.2">
      <c r="A237" s="9">
        <v>234</v>
      </c>
      <c r="B237" s="178">
        <f t="shared" si="68"/>
        <v>51</v>
      </c>
      <c r="C237" s="178">
        <f t="shared" si="68"/>
        <v>51</v>
      </c>
      <c r="D237" s="2">
        <f>PARAM!$H$38</f>
        <v>1</v>
      </c>
      <c r="E237" s="11">
        <f>PARAM!$G$38</f>
        <v>0</v>
      </c>
      <c r="F237" s="11">
        <f>(VLOOKUP(C237,DEDN!$A$8:$O$902,$F$2)*D237+E237)/1000</f>
        <v>3.2499999999999999E-3</v>
      </c>
      <c r="G237" s="178">
        <f t="shared" si="69"/>
        <v>20</v>
      </c>
      <c r="H237" s="178">
        <f t="shared" si="69"/>
        <v>20</v>
      </c>
      <c r="I237" s="2">
        <f>PARAM!$H$39</f>
        <v>0</v>
      </c>
      <c r="J237" s="11">
        <f>PARAM!$G$39</f>
        <v>0</v>
      </c>
      <c r="K237" s="11">
        <f>(VLOOKUP(H237,DEDN!$A$8:$O$902,$K$2)*I237+J237)/1000</f>
        <v>0</v>
      </c>
      <c r="L237" s="11">
        <f>MIN(IF(PARAM!$B$43=3,CHOOSE($L$2,F237,K237),F237+K237-F237*K237),1)</f>
        <v>3.2499999999999999E-3</v>
      </c>
      <c r="M237" s="2">
        <f>PARAM!$I$38</f>
        <v>0</v>
      </c>
      <c r="N237" s="11">
        <f>VLOOKUP(B237,DEDN!$A$8:$O$90,$N$2)*M237</f>
        <v>0</v>
      </c>
      <c r="O237" s="12"/>
      <c r="P237" s="10">
        <f>PARAM!$C$53^-A237</f>
        <v>1</v>
      </c>
      <c r="Q237" s="10">
        <f t="shared" si="72"/>
        <v>0.97574827049967094</v>
      </c>
      <c r="R237" s="10">
        <f t="shared" si="71"/>
        <v>0.97574827049967094</v>
      </c>
      <c r="S237" s="10">
        <f>CHOOSE(PARAM!$B$51,R237,R237,R237,0)*(A237&lt;PARAM!$B$55)</f>
        <v>0</v>
      </c>
      <c r="T237" s="10">
        <f t="shared" si="61"/>
        <v>2.6465962086852368E-4</v>
      </c>
      <c r="U237" s="10">
        <f>T237*P237*(A237&lt;PARAM!$B$55)</f>
        <v>0</v>
      </c>
      <c r="W237">
        <v>234</v>
      </c>
      <c r="X237" s="178">
        <f t="shared" si="70"/>
        <v>51</v>
      </c>
      <c r="Y237" s="178">
        <f t="shared" si="70"/>
        <v>51</v>
      </c>
      <c r="Z237" s="178">
        <f t="shared" si="70"/>
        <v>20</v>
      </c>
      <c r="AA237" s="178">
        <f t="shared" si="70"/>
        <v>20</v>
      </c>
      <c r="AD237" s="17">
        <f>CALC!E261*(A237&lt;PARAM!$B$55)</f>
        <v>0</v>
      </c>
      <c r="AE237">
        <f>IF(A237&lt;ITER!$C$16,1,PARAM!$C$53^-(RATES!A237-ITER!$C$16))*(A237&lt;PARAM!$B$55)</f>
        <v>0</v>
      </c>
    </row>
    <row r="238" spans="1:31" x14ac:dyDescent="0.2">
      <c r="A238" s="9">
        <v>235</v>
      </c>
      <c r="B238" s="178">
        <f t="shared" si="68"/>
        <v>51</v>
      </c>
      <c r="C238" s="178">
        <f t="shared" si="68"/>
        <v>51</v>
      </c>
      <c r="D238" s="2">
        <f>PARAM!$H$38</f>
        <v>1</v>
      </c>
      <c r="E238" s="11">
        <f>PARAM!$G$38</f>
        <v>0</v>
      </c>
      <c r="F238" s="11">
        <f>(VLOOKUP(C238,DEDN!$A$8:$O$902,$F$2)*D238+E238)/1000</f>
        <v>3.2499999999999999E-3</v>
      </c>
      <c r="G238" s="178">
        <f t="shared" si="69"/>
        <v>20</v>
      </c>
      <c r="H238" s="178">
        <f t="shared" si="69"/>
        <v>20</v>
      </c>
      <c r="I238" s="2">
        <f>PARAM!$H$39</f>
        <v>0</v>
      </c>
      <c r="J238" s="11">
        <f>PARAM!$G$39</f>
        <v>0</v>
      </c>
      <c r="K238" s="11">
        <f>(VLOOKUP(H238,DEDN!$A$8:$O$902,$K$2)*I238+J238)/1000</f>
        <v>0</v>
      </c>
      <c r="L238" s="11">
        <f>MIN(IF(PARAM!$B$43=3,CHOOSE($L$2,F238,K238),F238+K238-F238*K238),1)</f>
        <v>3.2499999999999999E-3</v>
      </c>
      <c r="M238" s="2">
        <f>PARAM!$I$38</f>
        <v>0</v>
      </c>
      <c r="N238" s="11">
        <f>VLOOKUP(B238,DEDN!$A$8:$O$90,$N$2)*M238</f>
        <v>0</v>
      </c>
      <c r="O238" s="12"/>
      <c r="P238" s="10">
        <f>PARAM!$C$53^-A238</f>
        <v>1</v>
      </c>
      <c r="Q238" s="10">
        <f t="shared" si="72"/>
        <v>0.97548361087880242</v>
      </c>
      <c r="R238" s="10">
        <f t="shared" si="71"/>
        <v>0.97548361087880242</v>
      </c>
      <c r="S238" s="10">
        <f>CHOOSE(PARAM!$B$51,R238,0,0,0)*(A238&lt;PARAM!$B$55)</f>
        <v>0</v>
      </c>
      <c r="T238" s="10">
        <f t="shared" si="61"/>
        <v>2.6458783522764762E-4</v>
      </c>
      <c r="U238" s="10">
        <f>T238*P238*(A238&lt;PARAM!$B$55)</f>
        <v>0</v>
      </c>
      <c r="W238">
        <v>235</v>
      </c>
      <c r="X238" s="178">
        <f t="shared" si="70"/>
        <v>51</v>
      </c>
      <c r="Y238" s="178">
        <f t="shared" si="70"/>
        <v>51</v>
      </c>
      <c r="Z238" s="178">
        <f t="shared" si="70"/>
        <v>20</v>
      </c>
      <c r="AA238" s="178">
        <f t="shared" si="70"/>
        <v>20</v>
      </c>
      <c r="AD238" s="17">
        <f>CALC!E262*(A238&lt;PARAM!$B$55)</f>
        <v>0</v>
      </c>
      <c r="AE238">
        <f>IF(A238&lt;ITER!$C$16,1,PARAM!$C$53^-(RATES!A238-ITER!$C$16))*(A238&lt;PARAM!$B$55)</f>
        <v>0</v>
      </c>
    </row>
    <row r="239" spans="1:31" x14ac:dyDescent="0.2">
      <c r="A239" s="9">
        <v>236</v>
      </c>
      <c r="B239" s="178">
        <f t="shared" si="68"/>
        <v>51</v>
      </c>
      <c r="C239" s="178">
        <f t="shared" si="68"/>
        <v>51</v>
      </c>
      <c r="D239" s="2">
        <f>PARAM!$H$38</f>
        <v>1</v>
      </c>
      <c r="E239" s="11">
        <f>PARAM!$G$38</f>
        <v>0</v>
      </c>
      <c r="F239" s="11">
        <f>(VLOOKUP(C239,DEDN!$A$8:$O$902,$F$2)*D239+E239)/1000</f>
        <v>3.2499999999999999E-3</v>
      </c>
      <c r="G239" s="178">
        <f t="shared" si="69"/>
        <v>20</v>
      </c>
      <c r="H239" s="178">
        <f t="shared" si="69"/>
        <v>20</v>
      </c>
      <c r="I239" s="2">
        <f>PARAM!$H$39</f>
        <v>0</v>
      </c>
      <c r="J239" s="11">
        <f>PARAM!$G$39</f>
        <v>0</v>
      </c>
      <c r="K239" s="11">
        <f>(VLOOKUP(H239,DEDN!$A$8:$O$902,$K$2)*I239+J239)/1000</f>
        <v>0</v>
      </c>
      <c r="L239" s="11">
        <f>MIN(IF(PARAM!$B$43=3,CHOOSE($L$2,F239,K239),F239+K239-F239*K239),1)</f>
        <v>3.2499999999999999E-3</v>
      </c>
      <c r="M239" s="2">
        <f>PARAM!$I$38</f>
        <v>0</v>
      </c>
      <c r="N239" s="11">
        <f>VLOOKUP(B239,DEDN!$A$8:$O$90,$N$2)*M239</f>
        <v>0</v>
      </c>
      <c r="O239" s="12"/>
      <c r="P239" s="10">
        <f>PARAM!$C$53^-A239</f>
        <v>1</v>
      </c>
      <c r="Q239" s="10">
        <f t="shared" si="72"/>
        <v>0.97521902304357477</v>
      </c>
      <c r="R239" s="10">
        <f t="shared" si="71"/>
        <v>0.97521902304357477</v>
      </c>
      <c r="S239" s="10">
        <f>CHOOSE(PARAM!$B$51,R239,0,0,0)*(A239&lt;PARAM!$B$55)</f>
        <v>0</v>
      </c>
      <c r="T239" s="10">
        <f t="shared" si="61"/>
        <v>2.6451606905775193E-4</v>
      </c>
      <c r="U239" s="10">
        <f>T239*P239*(A239&lt;PARAM!$B$55)</f>
        <v>0</v>
      </c>
      <c r="W239">
        <v>236</v>
      </c>
      <c r="X239" s="178">
        <f t="shared" si="70"/>
        <v>51</v>
      </c>
      <c r="Y239" s="178">
        <f t="shared" si="70"/>
        <v>51</v>
      </c>
      <c r="Z239" s="178">
        <f t="shared" si="70"/>
        <v>20</v>
      </c>
      <c r="AA239" s="178">
        <f t="shared" si="70"/>
        <v>20</v>
      </c>
      <c r="AD239" s="17">
        <f>CALC!E263*(A239&lt;PARAM!$B$55)</f>
        <v>0</v>
      </c>
      <c r="AE239">
        <f>IF(A239&lt;ITER!$C$16,1,PARAM!$C$53^-(RATES!A239-ITER!$C$16))*(A239&lt;PARAM!$B$55)</f>
        <v>0</v>
      </c>
    </row>
    <row r="240" spans="1:31" x14ac:dyDescent="0.2">
      <c r="A240" s="9">
        <v>237</v>
      </c>
      <c r="B240" s="178">
        <f t="shared" si="68"/>
        <v>51</v>
      </c>
      <c r="C240" s="178">
        <f t="shared" si="68"/>
        <v>51</v>
      </c>
      <c r="D240" s="2">
        <f>PARAM!$H$38</f>
        <v>1</v>
      </c>
      <c r="E240" s="11">
        <f>PARAM!$G$38</f>
        <v>0</v>
      </c>
      <c r="F240" s="11">
        <f>(VLOOKUP(C240,DEDN!$A$8:$O$902,$F$2)*D240+E240)/1000</f>
        <v>3.2499999999999999E-3</v>
      </c>
      <c r="G240" s="178">
        <f t="shared" si="69"/>
        <v>20</v>
      </c>
      <c r="H240" s="178">
        <f t="shared" si="69"/>
        <v>20</v>
      </c>
      <c r="I240" s="2">
        <f>PARAM!$H$39</f>
        <v>0</v>
      </c>
      <c r="J240" s="11">
        <f>PARAM!$G$39</f>
        <v>0</v>
      </c>
      <c r="K240" s="11">
        <f>(VLOOKUP(H240,DEDN!$A$8:$O$902,$K$2)*I240+J240)/1000</f>
        <v>0</v>
      </c>
      <c r="L240" s="11">
        <f>MIN(IF(PARAM!$B$43=3,CHOOSE($L$2,F240,K240),F240+K240-F240*K240),1)</f>
        <v>3.2499999999999999E-3</v>
      </c>
      <c r="M240" s="2">
        <f>PARAM!$I$38</f>
        <v>0</v>
      </c>
      <c r="N240" s="11">
        <f>VLOOKUP(B240,DEDN!$A$8:$O$90,$N$2)*M240</f>
        <v>0</v>
      </c>
      <c r="O240" s="12"/>
      <c r="P240" s="10">
        <f>PARAM!$C$53^-A240</f>
        <v>1</v>
      </c>
      <c r="Q240" s="10">
        <f t="shared" si="72"/>
        <v>0.97495450697451702</v>
      </c>
      <c r="R240" s="10">
        <f t="shared" si="71"/>
        <v>0.97495450697451702</v>
      </c>
      <c r="S240" s="10">
        <f>CHOOSE(PARAM!$B$51,R240,R240,0,0)*(A240&lt;PARAM!$B$55)</f>
        <v>0</v>
      </c>
      <c r="T240" s="10">
        <f t="shared" si="61"/>
        <v>2.6444432235350757E-4</v>
      </c>
      <c r="U240" s="10">
        <f>T240*P240*(A240&lt;PARAM!$B$55)</f>
        <v>0</v>
      </c>
      <c r="W240">
        <v>237</v>
      </c>
      <c r="X240" s="178">
        <f t="shared" si="70"/>
        <v>51</v>
      </c>
      <c r="Y240" s="178">
        <f t="shared" si="70"/>
        <v>51</v>
      </c>
      <c r="Z240" s="178">
        <f t="shared" si="70"/>
        <v>20</v>
      </c>
      <c r="AA240" s="178">
        <f t="shared" si="70"/>
        <v>20</v>
      </c>
      <c r="AD240" s="17">
        <f>CALC!E264*(A240&lt;PARAM!$B$55)</f>
        <v>0</v>
      </c>
      <c r="AE240">
        <f>IF(A240&lt;ITER!$C$16,1,PARAM!$C$53^-(RATES!A240-ITER!$C$16))*(A240&lt;PARAM!$B$55)</f>
        <v>0</v>
      </c>
    </row>
    <row r="241" spans="1:31" x14ac:dyDescent="0.2">
      <c r="A241" s="9">
        <v>238</v>
      </c>
      <c r="B241" s="178">
        <f t="shared" ref="B241:C260" si="73">B229+1</f>
        <v>51</v>
      </c>
      <c r="C241" s="178">
        <f t="shared" si="73"/>
        <v>51</v>
      </c>
      <c r="D241" s="2">
        <f>PARAM!$H$38</f>
        <v>1</v>
      </c>
      <c r="E241" s="11">
        <f>PARAM!$G$38</f>
        <v>0</v>
      </c>
      <c r="F241" s="11">
        <f>(VLOOKUP(C241,DEDN!$A$8:$O$902,$F$2)*D241+E241)/1000</f>
        <v>3.2499999999999999E-3</v>
      </c>
      <c r="G241" s="178">
        <f t="shared" ref="G241:H260" si="74">G229+1</f>
        <v>20</v>
      </c>
      <c r="H241" s="178">
        <f t="shared" si="74"/>
        <v>20</v>
      </c>
      <c r="I241" s="2">
        <f>PARAM!$H$39</f>
        <v>0</v>
      </c>
      <c r="J241" s="11">
        <f>PARAM!$G$39</f>
        <v>0</v>
      </c>
      <c r="K241" s="11">
        <f>(VLOOKUP(H241,DEDN!$A$8:$O$902,$K$2)*I241+J241)/1000</f>
        <v>0</v>
      </c>
      <c r="L241" s="11">
        <f>MIN(IF(PARAM!$B$43=3,CHOOSE($L$2,F241,K241),F241+K241-F241*K241),1)</f>
        <v>3.2499999999999999E-3</v>
      </c>
      <c r="M241" s="2">
        <f>PARAM!$I$38</f>
        <v>0</v>
      </c>
      <c r="N241" s="11">
        <f>VLOOKUP(B241,DEDN!$A$8:$O$90,$N$2)*M241</f>
        <v>0</v>
      </c>
      <c r="O241" s="12"/>
      <c r="P241" s="10">
        <f>PARAM!$C$53^-A241</f>
        <v>1</v>
      </c>
      <c r="Q241" s="10">
        <f t="shared" si="72"/>
        <v>0.97469006265216351</v>
      </c>
      <c r="R241" s="10">
        <f t="shared" si="71"/>
        <v>0.97469006265216351</v>
      </c>
      <c r="S241" s="10">
        <f>CHOOSE(PARAM!$B$51,R241,0,0,0)*(A241&lt;PARAM!$B$55)</f>
        <v>0</v>
      </c>
      <c r="T241" s="10">
        <f t="shared" si="61"/>
        <v>2.6437259510969646E-4</v>
      </c>
      <c r="U241" s="10">
        <f>T241*P241*(A241&lt;PARAM!$B$55)</f>
        <v>0</v>
      </c>
      <c r="W241">
        <v>238</v>
      </c>
      <c r="X241" s="178">
        <f t="shared" ref="X241:AA260" si="75">X229+1</f>
        <v>51</v>
      </c>
      <c r="Y241" s="178">
        <f t="shared" si="75"/>
        <v>51</v>
      </c>
      <c r="Z241" s="178">
        <f t="shared" si="75"/>
        <v>20</v>
      </c>
      <c r="AA241" s="178">
        <f t="shared" si="75"/>
        <v>20</v>
      </c>
      <c r="AD241" s="17">
        <f>CALC!E265*(A241&lt;PARAM!$B$55)</f>
        <v>0</v>
      </c>
      <c r="AE241">
        <f>IF(A241&lt;ITER!$C$16,1,PARAM!$C$53^-(RATES!A241-ITER!$C$16))*(A241&lt;PARAM!$B$55)</f>
        <v>0</v>
      </c>
    </row>
    <row r="242" spans="1:31" x14ac:dyDescent="0.2">
      <c r="A242" s="9">
        <v>239</v>
      </c>
      <c r="B242" s="178">
        <f t="shared" si="73"/>
        <v>51</v>
      </c>
      <c r="C242" s="178">
        <f t="shared" si="73"/>
        <v>51</v>
      </c>
      <c r="D242" s="2">
        <f>PARAM!$H$38</f>
        <v>1</v>
      </c>
      <c r="E242" s="11">
        <f>PARAM!$G$38</f>
        <v>0</v>
      </c>
      <c r="F242" s="11">
        <f>(VLOOKUP(C242,DEDN!$A$8:$O$902,$F$2)*D242+E242)/1000</f>
        <v>3.2499999999999999E-3</v>
      </c>
      <c r="G242" s="178">
        <f t="shared" si="74"/>
        <v>20</v>
      </c>
      <c r="H242" s="178">
        <f t="shared" si="74"/>
        <v>20</v>
      </c>
      <c r="I242" s="2">
        <f>PARAM!$H$39</f>
        <v>0</v>
      </c>
      <c r="J242" s="11">
        <f>PARAM!$G$39</f>
        <v>0</v>
      </c>
      <c r="K242" s="11">
        <f>(VLOOKUP(H242,DEDN!$A$8:$O$902,$K$2)*I242+J242)/1000</f>
        <v>0</v>
      </c>
      <c r="L242" s="11">
        <f>MIN(IF(PARAM!$B$43=3,CHOOSE($L$2,F242,K242),F242+K242-F242*K242),1)</f>
        <v>3.2499999999999999E-3</v>
      </c>
      <c r="M242" s="2">
        <f>PARAM!$I$38</f>
        <v>0</v>
      </c>
      <c r="N242" s="11">
        <f>VLOOKUP(B242,DEDN!$A$8:$O$90,$N$2)*M242</f>
        <v>0</v>
      </c>
      <c r="O242" s="12"/>
      <c r="P242" s="10">
        <f>PARAM!$C$53^-A242</f>
        <v>1</v>
      </c>
      <c r="Q242" s="10">
        <f t="shared" si="72"/>
        <v>0.97442569005705382</v>
      </c>
      <c r="R242" s="10">
        <f t="shared" si="71"/>
        <v>0.97442569005705382</v>
      </c>
      <c r="S242" s="10">
        <f>CHOOSE(PARAM!$B$51,R242,0,0,0)*(A242&lt;PARAM!$B$55)</f>
        <v>0</v>
      </c>
      <c r="T242" s="10">
        <f t="shared" si="61"/>
        <v>2.6430088732110057E-4</v>
      </c>
      <c r="U242" s="10">
        <f>T242*P242*(A242&lt;PARAM!$B$55)</f>
        <v>0</v>
      </c>
      <c r="W242">
        <v>239</v>
      </c>
      <c r="X242" s="178">
        <f t="shared" si="75"/>
        <v>51</v>
      </c>
      <c r="Y242" s="178">
        <f t="shared" si="75"/>
        <v>51</v>
      </c>
      <c r="Z242" s="178">
        <f t="shared" si="75"/>
        <v>20</v>
      </c>
      <c r="AA242" s="178">
        <f t="shared" si="75"/>
        <v>20</v>
      </c>
      <c r="AD242" s="17">
        <f>CALC!E266*(A242&lt;PARAM!$B$55)</f>
        <v>0</v>
      </c>
      <c r="AE242">
        <f>IF(A242&lt;ITER!$C$16,1,PARAM!$C$53^-(RATES!A242-ITER!$C$16))*(A242&lt;PARAM!$B$55)</f>
        <v>0</v>
      </c>
    </row>
    <row r="243" spans="1:31" x14ac:dyDescent="0.2">
      <c r="A243" s="9">
        <v>240</v>
      </c>
      <c r="B243" s="178">
        <f t="shared" si="73"/>
        <v>51</v>
      </c>
      <c r="C243" s="178">
        <f t="shared" si="73"/>
        <v>51</v>
      </c>
      <c r="D243" s="2">
        <f>PARAM!$H$38</f>
        <v>1</v>
      </c>
      <c r="E243" s="11">
        <f>PARAM!$G$38</f>
        <v>0</v>
      </c>
      <c r="F243" s="11">
        <f>(VLOOKUP(C243,DEDN!$A$8:$O$902,$F$2)*D243+E243)/1000</f>
        <v>3.2499999999999999E-3</v>
      </c>
      <c r="G243" s="178">
        <f t="shared" si="74"/>
        <v>20</v>
      </c>
      <c r="H243" s="178">
        <f t="shared" si="74"/>
        <v>20</v>
      </c>
      <c r="I243" s="2">
        <f>PARAM!$H$39</f>
        <v>0</v>
      </c>
      <c r="J243" s="11">
        <f>PARAM!$G$39</f>
        <v>0</v>
      </c>
      <c r="K243" s="11">
        <f>(VLOOKUP(H243,DEDN!$A$8:$O$902,$K$2)*I243+J243)/1000</f>
        <v>0</v>
      </c>
      <c r="L243" s="11">
        <f>MIN(IF(PARAM!$B$43=3,CHOOSE($L$2,F243,K243),F243+K243-F243*K243),1)</f>
        <v>3.2499999999999999E-3</v>
      </c>
      <c r="M243" s="2">
        <f>PARAM!$I$38</f>
        <v>0</v>
      </c>
      <c r="N243" s="11">
        <f>VLOOKUP(B243,DEDN!$A$8:$O$90,$N$2)*M243</f>
        <v>0</v>
      </c>
      <c r="O243" s="12"/>
      <c r="P243" s="10">
        <f>PARAM!$C$53^-A243</f>
        <v>1</v>
      </c>
      <c r="Q243" s="10">
        <f t="shared" si="72"/>
        <v>0.97416138916973272</v>
      </c>
      <c r="R243" s="10">
        <f t="shared" si="71"/>
        <v>0.97416138916973272</v>
      </c>
      <c r="S243" s="10">
        <f>R243*(A243&lt;PARAM!$B$55)</f>
        <v>0</v>
      </c>
      <c r="T243" s="10">
        <f t="shared" si="61"/>
        <v>2.6422919898216879E-4</v>
      </c>
      <c r="U243" s="10">
        <f>T243*P243*(A243&lt;PARAM!$B$55)</f>
        <v>0</v>
      </c>
      <c r="W243">
        <v>240</v>
      </c>
      <c r="X243" s="178">
        <f t="shared" si="75"/>
        <v>51</v>
      </c>
      <c r="Y243" s="178">
        <f t="shared" si="75"/>
        <v>51</v>
      </c>
      <c r="Z243" s="178">
        <f t="shared" si="75"/>
        <v>20</v>
      </c>
      <c r="AA243" s="178">
        <f t="shared" si="75"/>
        <v>20</v>
      </c>
      <c r="AD243" s="17">
        <f>CALC!E267*(A243&lt;PARAM!$B$55)</f>
        <v>0</v>
      </c>
      <c r="AE243">
        <f>IF(A243&lt;ITER!$C$16,1,PARAM!$C$53^-(RATES!A243-ITER!$C$16))*(A243&lt;PARAM!$B$55)</f>
        <v>0</v>
      </c>
    </row>
    <row r="244" spans="1:31" x14ac:dyDescent="0.2">
      <c r="A244" s="9">
        <v>241</v>
      </c>
      <c r="B244" s="178">
        <f t="shared" si="73"/>
        <v>51</v>
      </c>
      <c r="C244" s="178">
        <f t="shared" si="73"/>
        <v>51</v>
      </c>
      <c r="D244" s="2">
        <f>PARAM!$H$38</f>
        <v>1</v>
      </c>
      <c r="E244" s="11">
        <f>PARAM!$G$38</f>
        <v>0</v>
      </c>
      <c r="F244" s="11">
        <f>(VLOOKUP(C244,DEDN!$A$8:$O$902,$F$2)*D244+E244)/1000</f>
        <v>3.2499999999999999E-3</v>
      </c>
      <c r="G244" s="178">
        <f t="shared" si="74"/>
        <v>20</v>
      </c>
      <c r="H244" s="178">
        <f t="shared" si="74"/>
        <v>20</v>
      </c>
      <c r="I244" s="2">
        <f>PARAM!$H$39</f>
        <v>0</v>
      </c>
      <c r="J244" s="11">
        <f>PARAM!$G$39</f>
        <v>0</v>
      </c>
      <c r="K244" s="11">
        <f>(VLOOKUP(H244,DEDN!$A$8:$O$902,$K$2)*I244+J244)/1000</f>
        <v>0</v>
      </c>
      <c r="L244" s="11">
        <f>MIN(IF(PARAM!$B$43=3,CHOOSE($L$2,F244,K244),F244+K244-F244*K244),1)</f>
        <v>3.2499999999999999E-3</v>
      </c>
      <c r="M244" s="2">
        <f>PARAM!$I$38</f>
        <v>0</v>
      </c>
      <c r="N244" s="11">
        <f>VLOOKUP(B244,DEDN!$A$8:$O$90,$N$2)*M244</f>
        <v>0</v>
      </c>
      <c r="O244" s="12"/>
      <c r="P244" s="10">
        <f>PARAM!$C$53^-A244</f>
        <v>1</v>
      </c>
      <c r="Q244" s="10">
        <f t="shared" si="72"/>
        <v>0.97389715997075055</v>
      </c>
      <c r="R244" s="10">
        <f t="shared" ref="R244:R259" si="76">P244*Q244</f>
        <v>0.97389715997075055</v>
      </c>
      <c r="S244" s="10">
        <f>CHOOSE(PARAM!$B$51,R244,0,0,0)*(A244&lt;PARAM!$B$55)</f>
        <v>0</v>
      </c>
      <c r="T244" s="10">
        <f t="shared" si="61"/>
        <v>2.641575300879051E-4</v>
      </c>
      <c r="U244" s="10">
        <f>T244*P244*(A244&lt;PARAM!$B$55)</f>
        <v>0</v>
      </c>
      <c r="W244">
        <v>241</v>
      </c>
      <c r="X244" s="178">
        <f t="shared" si="75"/>
        <v>51</v>
      </c>
      <c r="Y244" s="178">
        <f t="shared" si="75"/>
        <v>51</v>
      </c>
      <c r="Z244" s="178">
        <f t="shared" si="75"/>
        <v>20</v>
      </c>
      <c r="AA244" s="178">
        <f t="shared" si="75"/>
        <v>20</v>
      </c>
      <c r="AD244" s="17">
        <f>CALC!E268*(A244&lt;PARAM!$B$55)</f>
        <v>0</v>
      </c>
      <c r="AE244">
        <f>IF(A244&lt;ITER!$C$16,1,PARAM!$C$53^-(RATES!A244-ITER!$C$16))*(A244&lt;PARAM!$B$55)</f>
        <v>0</v>
      </c>
    </row>
    <row r="245" spans="1:31" x14ac:dyDescent="0.2">
      <c r="A245" s="9">
        <v>242</v>
      </c>
      <c r="B245" s="178">
        <f t="shared" si="73"/>
        <v>51</v>
      </c>
      <c r="C245" s="178">
        <f t="shared" si="73"/>
        <v>51</v>
      </c>
      <c r="D245" s="2">
        <f>PARAM!$H$38</f>
        <v>1</v>
      </c>
      <c r="E245" s="11">
        <f>PARAM!$G$38</f>
        <v>0</v>
      </c>
      <c r="F245" s="11">
        <f>(VLOOKUP(C245,DEDN!$A$8:$O$902,$F$2)*D245+E245)/1000</f>
        <v>3.2499999999999999E-3</v>
      </c>
      <c r="G245" s="178">
        <f t="shared" si="74"/>
        <v>20</v>
      </c>
      <c r="H245" s="178">
        <f t="shared" si="74"/>
        <v>20</v>
      </c>
      <c r="I245" s="2">
        <f>PARAM!$H$39</f>
        <v>0</v>
      </c>
      <c r="J245" s="11">
        <f>PARAM!$G$39</f>
        <v>0</v>
      </c>
      <c r="K245" s="11">
        <f>(VLOOKUP(H245,DEDN!$A$8:$O$902,$K$2)*I245+J245)/1000</f>
        <v>0</v>
      </c>
      <c r="L245" s="11">
        <f>MIN(IF(PARAM!$B$43=3,CHOOSE($L$2,F245,K245),F245+K245-F245*K245),1)</f>
        <v>3.2499999999999999E-3</v>
      </c>
      <c r="M245" s="2">
        <f>PARAM!$I$38</f>
        <v>0</v>
      </c>
      <c r="N245" s="11">
        <f>VLOOKUP(B245,DEDN!$A$8:$O$90,$N$2)*M245</f>
        <v>0</v>
      </c>
      <c r="O245" s="12"/>
      <c r="P245" s="10">
        <f>PARAM!$C$53^-A245</f>
        <v>1</v>
      </c>
      <c r="Q245" s="10">
        <f t="shared" ref="Q245:Q260" si="77">Q244*(1-L244)^(1/12)</f>
        <v>0.97363300244066264</v>
      </c>
      <c r="R245" s="10">
        <f t="shared" si="76"/>
        <v>0.97363300244066264</v>
      </c>
      <c r="S245" s="10">
        <f>CHOOSE(PARAM!$B$51,R245,0,0,0)*(A245&lt;PARAM!$B$55)</f>
        <v>0</v>
      </c>
      <c r="T245" s="10">
        <f t="shared" si="61"/>
        <v>2.6408588063298044E-4</v>
      </c>
      <c r="U245" s="10">
        <f>T245*P245*(A245&lt;PARAM!$B$55)</f>
        <v>0</v>
      </c>
      <c r="W245">
        <v>242</v>
      </c>
      <c r="X245" s="178">
        <f t="shared" si="75"/>
        <v>51</v>
      </c>
      <c r="Y245" s="178">
        <f t="shared" si="75"/>
        <v>51</v>
      </c>
      <c r="Z245" s="178">
        <f t="shared" si="75"/>
        <v>20</v>
      </c>
      <c r="AA245" s="178">
        <f t="shared" si="75"/>
        <v>20</v>
      </c>
      <c r="AD245" s="17">
        <f>CALC!E269*(A245&lt;PARAM!$B$55)</f>
        <v>0</v>
      </c>
      <c r="AE245">
        <f>IF(A245&lt;ITER!$C$16,1,PARAM!$C$53^-(RATES!A245-ITER!$C$16))*(A245&lt;PARAM!$B$55)</f>
        <v>0</v>
      </c>
    </row>
    <row r="246" spans="1:31" x14ac:dyDescent="0.2">
      <c r="A246" s="9">
        <v>243</v>
      </c>
      <c r="B246" s="178">
        <f t="shared" si="73"/>
        <v>51</v>
      </c>
      <c r="C246" s="178">
        <f t="shared" si="73"/>
        <v>51</v>
      </c>
      <c r="D246" s="2">
        <f>PARAM!$H$38</f>
        <v>1</v>
      </c>
      <c r="E246" s="11">
        <f>PARAM!$G$38</f>
        <v>0</v>
      </c>
      <c r="F246" s="11">
        <f>(VLOOKUP(C246,DEDN!$A$8:$O$902,$F$2)*D246+E246)/1000</f>
        <v>3.2499999999999999E-3</v>
      </c>
      <c r="G246" s="178">
        <f t="shared" si="74"/>
        <v>20</v>
      </c>
      <c r="H246" s="178">
        <f t="shared" si="74"/>
        <v>20</v>
      </c>
      <c r="I246" s="2">
        <f>PARAM!$H$39</f>
        <v>0</v>
      </c>
      <c r="J246" s="11">
        <f>PARAM!$G$39</f>
        <v>0</v>
      </c>
      <c r="K246" s="11">
        <f>(VLOOKUP(H246,DEDN!$A$8:$O$902,$K$2)*I246+J246)/1000</f>
        <v>0</v>
      </c>
      <c r="L246" s="11">
        <f>MIN(IF(PARAM!$B$43=3,CHOOSE($L$2,F246,K246),F246+K246-F246*K246),1)</f>
        <v>3.2499999999999999E-3</v>
      </c>
      <c r="M246" s="2">
        <f>PARAM!$I$38</f>
        <v>0</v>
      </c>
      <c r="N246" s="11">
        <f>VLOOKUP(B246,DEDN!$A$8:$O$90,$N$2)*M246</f>
        <v>0</v>
      </c>
      <c r="O246" s="12"/>
      <c r="P246" s="10">
        <f>PARAM!$C$53^-A246</f>
        <v>1</v>
      </c>
      <c r="Q246" s="10">
        <f t="shared" si="77"/>
        <v>0.97336891656002966</v>
      </c>
      <c r="R246" s="10">
        <f t="shared" si="76"/>
        <v>0.97336891656002966</v>
      </c>
      <c r="S246" s="10">
        <f>CHOOSE(PARAM!$B$51,R246,R246,0,0)*(A246&lt;PARAM!$B$55)</f>
        <v>0</v>
      </c>
      <c r="T246" s="10">
        <f t="shared" si="61"/>
        <v>2.6401425061206574E-4</v>
      </c>
      <c r="U246" s="10">
        <f>T246*P246*(A246&lt;PARAM!$B$55)</f>
        <v>0</v>
      </c>
      <c r="W246">
        <v>243</v>
      </c>
      <c r="X246" s="178">
        <f t="shared" si="75"/>
        <v>51</v>
      </c>
      <c r="Y246" s="178">
        <f t="shared" si="75"/>
        <v>51</v>
      </c>
      <c r="Z246" s="178">
        <f t="shared" si="75"/>
        <v>20</v>
      </c>
      <c r="AA246" s="178">
        <f t="shared" si="75"/>
        <v>20</v>
      </c>
      <c r="AD246" s="17">
        <f>CALC!E270*(A246&lt;PARAM!$B$55)</f>
        <v>0</v>
      </c>
      <c r="AE246">
        <f>IF(A246&lt;ITER!$C$16,1,PARAM!$C$53^-(RATES!A246-ITER!$C$16))*(A246&lt;PARAM!$B$55)</f>
        <v>0</v>
      </c>
    </row>
    <row r="247" spans="1:31" x14ac:dyDescent="0.2">
      <c r="A247" s="9">
        <v>244</v>
      </c>
      <c r="B247" s="178">
        <f t="shared" si="73"/>
        <v>51</v>
      </c>
      <c r="C247" s="178">
        <f t="shared" si="73"/>
        <v>51</v>
      </c>
      <c r="D247" s="2">
        <f>PARAM!$H$38</f>
        <v>1</v>
      </c>
      <c r="E247" s="11">
        <f>PARAM!$G$38</f>
        <v>0</v>
      </c>
      <c r="F247" s="11">
        <f>(VLOOKUP(C247,DEDN!$A$8:$O$902,$F$2)*D247+E247)/1000</f>
        <v>3.2499999999999999E-3</v>
      </c>
      <c r="G247" s="178">
        <f t="shared" si="74"/>
        <v>20</v>
      </c>
      <c r="H247" s="178">
        <f t="shared" si="74"/>
        <v>20</v>
      </c>
      <c r="I247" s="2">
        <f>PARAM!$H$39</f>
        <v>0</v>
      </c>
      <c r="J247" s="11">
        <f>PARAM!$G$39</f>
        <v>0</v>
      </c>
      <c r="K247" s="11">
        <f>(VLOOKUP(H247,DEDN!$A$8:$O$902,$K$2)*I247+J247)/1000</f>
        <v>0</v>
      </c>
      <c r="L247" s="11">
        <f>MIN(IF(PARAM!$B$43=3,CHOOSE($L$2,F247,K247),F247+K247-F247*K247),1)</f>
        <v>3.2499999999999999E-3</v>
      </c>
      <c r="M247" s="2">
        <f>PARAM!$I$38</f>
        <v>0</v>
      </c>
      <c r="N247" s="11">
        <f>VLOOKUP(B247,DEDN!$A$8:$O$90,$N$2)*M247</f>
        <v>0</v>
      </c>
      <c r="O247" s="12"/>
      <c r="P247" s="10">
        <f>PARAM!$C$53^-A247</f>
        <v>1</v>
      </c>
      <c r="Q247" s="10">
        <f t="shared" si="77"/>
        <v>0.9731049023094176</v>
      </c>
      <c r="R247" s="10">
        <f t="shared" si="76"/>
        <v>0.9731049023094176</v>
      </c>
      <c r="S247" s="10">
        <f>CHOOSE(PARAM!$B$51,R247,0,0,0)*(A247&lt;PARAM!$B$55)</f>
        <v>0</v>
      </c>
      <c r="T247" s="10">
        <f t="shared" si="61"/>
        <v>2.6394264001983192E-4</v>
      </c>
      <c r="U247" s="10">
        <f>T247*P247*(A247&lt;PARAM!$B$55)</f>
        <v>0</v>
      </c>
      <c r="W247">
        <v>244</v>
      </c>
      <c r="X247" s="178">
        <f t="shared" si="75"/>
        <v>51</v>
      </c>
      <c r="Y247" s="178">
        <f t="shared" si="75"/>
        <v>51</v>
      </c>
      <c r="Z247" s="178">
        <f t="shared" si="75"/>
        <v>20</v>
      </c>
      <c r="AA247" s="178">
        <f t="shared" si="75"/>
        <v>20</v>
      </c>
      <c r="AD247" s="17">
        <f>CALC!E271*(A247&lt;PARAM!$B$55)</f>
        <v>0</v>
      </c>
      <c r="AE247">
        <f>IF(A247&lt;ITER!$C$16,1,PARAM!$C$53^-(RATES!A247-ITER!$C$16))*(A247&lt;PARAM!$B$55)</f>
        <v>0</v>
      </c>
    </row>
    <row r="248" spans="1:31" x14ac:dyDescent="0.2">
      <c r="A248" s="9">
        <v>245</v>
      </c>
      <c r="B248" s="178">
        <f t="shared" si="73"/>
        <v>51</v>
      </c>
      <c r="C248" s="178">
        <f t="shared" si="73"/>
        <v>51</v>
      </c>
      <c r="D248" s="2">
        <f>PARAM!$H$38</f>
        <v>1</v>
      </c>
      <c r="E248" s="11">
        <f>PARAM!$G$38</f>
        <v>0</v>
      </c>
      <c r="F248" s="11">
        <f>(VLOOKUP(C248,DEDN!$A$8:$O$902,$F$2)*D248+E248)/1000</f>
        <v>3.2499999999999999E-3</v>
      </c>
      <c r="G248" s="178">
        <f t="shared" si="74"/>
        <v>20</v>
      </c>
      <c r="H248" s="178">
        <f t="shared" si="74"/>
        <v>20</v>
      </c>
      <c r="I248" s="2">
        <f>PARAM!$H$39</f>
        <v>0</v>
      </c>
      <c r="J248" s="11">
        <f>PARAM!$G$39</f>
        <v>0</v>
      </c>
      <c r="K248" s="11">
        <f>(VLOOKUP(H248,DEDN!$A$8:$O$902,$K$2)*I248+J248)/1000</f>
        <v>0</v>
      </c>
      <c r="L248" s="11">
        <f>MIN(IF(PARAM!$B$43=3,CHOOSE($L$2,F248,K248),F248+K248-F248*K248),1)</f>
        <v>3.2499999999999999E-3</v>
      </c>
      <c r="M248" s="2">
        <f>PARAM!$I$38</f>
        <v>0</v>
      </c>
      <c r="N248" s="11">
        <f>VLOOKUP(B248,DEDN!$A$8:$O$90,$N$2)*M248</f>
        <v>0</v>
      </c>
      <c r="O248" s="12"/>
      <c r="P248" s="10">
        <f>PARAM!$C$53^-A248</f>
        <v>1</v>
      </c>
      <c r="Q248" s="10">
        <f t="shared" si="77"/>
        <v>0.97284095966939776</v>
      </c>
      <c r="R248" s="10">
        <f t="shared" si="76"/>
        <v>0.97284095966939776</v>
      </c>
      <c r="S248" s="10">
        <f>CHOOSE(PARAM!$B$51,R248,0,0,0)*(A248&lt;PARAM!$B$55)</f>
        <v>0</v>
      </c>
      <c r="T248" s="10">
        <f t="shared" si="61"/>
        <v>2.6387104885117196E-4</v>
      </c>
      <c r="U248" s="10">
        <f>T248*P248*(A248&lt;PARAM!$B$55)</f>
        <v>0</v>
      </c>
      <c r="W248">
        <v>245</v>
      </c>
      <c r="X248" s="178">
        <f t="shared" si="75"/>
        <v>51</v>
      </c>
      <c r="Y248" s="178">
        <f t="shared" si="75"/>
        <v>51</v>
      </c>
      <c r="Z248" s="178">
        <f t="shared" si="75"/>
        <v>20</v>
      </c>
      <c r="AA248" s="178">
        <f t="shared" si="75"/>
        <v>20</v>
      </c>
      <c r="AD248" s="17">
        <f>CALC!E272*(A248&lt;PARAM!$B$55)</f>
        <v>0</v>
      </c>
      <c r="AE248">
        <f>IF(A248&lt;ITER!$C$16,1,PARAM!$C$53^-(RATES!A248-ITER!$C$16))*(A248&lt;PARAM!$B$55)</f>
        <v>0</v>
      </c>
    </row>
    <row r="249" spans="1:31" x14ac:dyDescent="0.2">
      <c r="A249" s="9">
        <v>246</v>
      </c>
      <c r="B249" s="178">
        <f t="shared" si="73"/>
        <v>52</v>
      </c>
      <c r="C249" s="178">
        <f t="shared" si="73"/>
        <v>52</v>
      </c>
      <c r="D249" s="2">
        <f>PARAM!$H$38</f>
        <v>1</v>
      </c>
      <c r="E249" s="11">
        <f>PARAM!$G$38</f>
        <v>0</v>
      </c>
      <c r="F249" s="11">
        <f>(VLOOKUP(C249,DEDN!$A$8:$O$902,$F$2)*D249+E249)/1000</f>
        <v>3.64E-3</v>
      </c>
      <c r="G249" s="178">
        <f t="shared" si="74"/>
        <v>21</v>
      </c>
      <c r="H249" s="178">
        <f t="shared" si="74"/>
        <v>21</v>
      </c>
      <c r="I249" s="2">
        <f>PARAM!$H$39</f>
        <v>0</v>
      </c>
      <c r="J249" s="11">
        <f>PARAM!$G$39</f>
        <v>0</v>
      </c>
      <c r="K249" s="11">
        <f>(VLOOKUP(H249,DEDN!$A$8:$O$902,$K$2)*I249+J249)/1000</f>
        <v>0</v>
      </c>
      <c r="L249" s="11">
        <f>MIN(IF(PARAM!$B$43=3,CHOOSE($L$2,F249,K249),F249+K249-F249*K249),1)</f>
        <v>3.64E-3</v>
      </c>
      <c r="M249" s="2">
        <f>PARAM!$I$38</f>
        <v>0</v>
      </c>
      <c r="N249" s="11">
        <f>VLOOKUP(B249,DEDN!$A$8:$O$90,$N$2)*M249</f>
        <v>0</v>
      </c>
      <c r="O249" s="12"/>
      <c r="P249" s="10">
        <f>PARAM!$C$53^-A249</f>
        <v>1</v>
      </c>
      <c r="Q249" s="10">
        <f t="shared" si="77"/>
        <v>0.97257708862054659</v>
      </c>
      <c r="R249" s="10">
        <f t="shared" si="76"/>
        <v>0.97257708862054659</v>
      </c>
      <c r="S249" s="10">
        <f>CHOOSE(PARAM!$B$51,R249,R249,R249,0)*(A249&lt;PARAM!$B$55)</f>
        <v>0</v>
      </c>
      <c r="T249" s="10">
        <f t="shared" si="61"/>
        <v>2.9550838130354418E-4</v>
      </c>
      <c r="U249" s="10">
        <f>T249*P249*(A249&lt;PARAM!$B$55)</f>
        <v>0</v>
      </c>
      <c r="W249">
        <v>246</v>
      </c>
      <c r="X249" s="178">
        <f t="shared" si="75"/>
        <v>52</v>
      </c>
      <c r="Y249" s="178">
        <f t="shared" si="75"/>
        <v>52</v>
      </c>
      <c r="Z249" s="178">
        <f t="shared" si="75"/>
        <v>21</v>
      </c>
      <c r="AA249" s="178">
        <f t="shared" si="75"/>
        <v>21</v>
      </c>
      <c r="AD249" s="17">
        <f>CALC!E273*(A249&lt;PARAM!$B$55)</f>
        <v>0</v>
      </c>
      <c r="AE249">
        <f>IF(A249&lt;ITER!$C$16,1,PARAM!$C$53^-(RATES!A249-ITER!$C$16))*(A249&lt;PARAM!$B$55)</f>
        <v>0</v>
      </c>
    </row>
    <row r="250" spans="1:31" x14ac:dyDescent="0.2">
      <c r="A250" s="9">
        <v>247</v>
      </c>
      <c r="B250" s="178">
        <f t="shared" si="73"/>
        <v>52</v>
      </c>
      <c r="C250" s="178">
        <f t="shared" si="73"/>
        <v>52</v>
      </c>
      <c r="D250" s="2">
        <f>PARAM!$H$38</f>
        <v>1</v>
      </c>
      <c r="E250" s="11">
        <f>PARAM!$G$38</f>
        <v>0</v>
      </c>
      <c r="F250" s="11">
        <f>(VLOOKUP(C250,DEDN!$A$8:$O$902,$F$2)*D250+E250)/1000</f>
        <v>3.64E-3</v>
      </c>
      <c r="G250" s="178">
        <f t="shared" si="74"/>
        <v>21</v>
      </c>
      <c r="H250" s="178">
        <f t="shared" si="74"/>
        <v>21</v>
      </c>
      <c r="I250" s="2">
        <f>PARAM!$H$39</f>
        <v>0</v>
      </c>
      <c r="J250" s="11">
        <f>PARAM!$G$39</f>
        <v>0</v>
      </c>
      <c r="K250" s="11">
        <f>(VLOOKUP(H250,DEDN!$A$8:$O$902,$K$2)*I250+J250)/1000</f>
        <v>0</v>
      </c>
      <c r="L250" s="11">
        <f>MIN(IF(PARAM!$B$43=3,CHOOSE($L$2,F250,K250),F250+K250-F250*K250),1)</f>
        <v>3.64E-3</v>
      </c>
      <c r="M250" s="2">
        <f>PARAM!$I$38</f>
        <v>0</v>
      </c>
      <c r="N250" s="11">
        <f>VLOOKUP(B250,DEDN!$A$8:$O$90,$N$2)*M250</f>
        <v>0</v>
      </c>
      <c r="O250" s="12"/>
      <c r="P250" s="10">
        <f>PARAM!$C$53^-A250</f>
        <v>1</v>
      </c>
      <c r="Q250" s="10">
        <f t="shared" si="77"/>
        <v>0.97228158023924305</v>
      </c>
      <c r="R250" s="10">
        <f t="shared" si="76"/>
        <v>0.97228158023924305</v>
      </c>
      <c r="S250" s="10">
        <f>CHOOSE(PARAM!$B$51,R250,0,0,0)*(A250&lt;PARAM!$B$55)</f>
        <v>0</v>
      </c>
      <c r="T250" s="10">
        <f t="shared" si="61"/>
        <v>2.9541859386728042E-4</v>
      </c>
      <c r="U250" s="10">
        <f>T250*P250*(A250&lt;PARAM!$B$55)</f>
        <v>0</v>
      </c>
      <c r="W250">
        <v>247</v>
      </c>
      <c r="X250" s="178">
        <f t="shared" si="75"/>
        <v>52</v>
      </c>
      <c r="Y250" s="178">
        <f t="shared" si="75"/>
        <v>52</v>
      </c>
      <c r="Z250" s="178">
        <f t="shared" si="75"/>
        <v>21</v>
      </c>
      <c r="AA250" s="178">
        <f t="shared" si="75"/>
        <v>21</v>
      </c>
      <c r="AD250" s="17">
        <f>CALC!E274*(A250&lt;PARAM!$B$55)</f>
        <v>0</v>
      </c>
      <c r="AE250">
        <f>IF(A250&lt;ITER!$C$16,1,PARAM!$C$53^-(RATES!A250-ITER!$C$16))*(A250&lt;PARAM!$B$55)</f>
        <v>0</v>
      </c>
    </row>
    <row r="251" spans="1:31" x14ac:dyDescent="0.2">
      <c r="A251" s="9">
        <v>248</v>
      </c>
      <c r="B251" s="178">
        <f t="shared" si="73"/>
        <v>52</v>
      </c>
      <c r="C251" s="178">
        <f t="shared" si="73"/>
        <v>52</v>
      </c>
      <c r="D251" s="2">
        <f>PARAM!$H$38</f>
        <v>1</v>
      </c>
      <c r="E251" s="11">
        <f>PARAM!$G$38</f>
        <v>0</v>
      </c>
      <c r="F251" s="11">
        <f>(VLOOKUP(C251,DEDN!$A$8:$O$902,$F$2)*D251+E251)/1000</f>
        <v>3.64E-3</v>
      </c>
      <c r="G251" s="178">
        <f t="shared" si="74"/>
        <v>21</v>
      </c>
      <c r="H251" s="178">
        <f t="shared" si="74"/>
        <v>21</v>
      </c>
      <c r="I251" s="2">
        <f>PARAM!$H$39</f>
        <v>0</v>
      </c>
      <c r="J251" s="11">
        <f>PARAM!$G$39</f>
        <v>0</v>
      </c>
      <c r="K251" s="11">
        <f>(VLOOKUP(H251,DEDN!$A$8:$O$902,$K$2)*I251+J251)/1000</f>
        <v>0</v>
      </c>
      <c r="L251" s="11">
        <f>MIN(IF(PARAM!$B$43=3,CHOOSE($L$2,F251,K251),F251+K251-F251*K251),1)</f>
        <v>3.64E-3</v>
      </c>
      <c r="M251" s="2">
        <f>PARAM!$I$38</f>
        <v>0</v>
      </c>
      <c r="N251" s="11">
        <f>VLOOKUP(B251,DEDN!$A$8:$O$90,$N$2)*M251</f>
        <v>0</v>
      </c>
      <c r="O251" s="12"/>
      <c r="P251" s="10">
        <f>PARAM!$C$53^-A251</f>
        <v>1</v>
      </c>
      <c r="Q251" s="10">
        <f t="shared" si="77"/>
        <v>0.97198616164537577</v>
      </c>
      <c r="R251" s="10">
        <f t="shared" si="76"/>
        <v>0.97198616164537577</v>
      </c>
      <c r="S251" s="10">
        <f>CHOOSE(PARAM!$B$51,R251,0,0,0)*(A251&lt;PARAM!$B$55)</f>
        <v>0</v>
      </c>
      <c r="T251" s="10">
        <f t="shared" si="61"/>
        <v>2.9532883371197194E-4</v>
      </c>
      <c r="U251" s="10">
        <f>T251*P251*(A251&lt;PARAM!$B$55)</f>
        <v>0</v>
      </c>
      <c r="W251">
        <v>248</v>
      </c>
      <c r="X251" s="178">
        <f t="shared" si="75"/>
        <v>52</v>
      </c>
      <c r="Y251" s="178">
        <f t="shared" si="75"/>
        <v>52</v>
      </c>
      <c r="Z251" s="178">
        <f t="shared" si="75"/>
        <v>21</v>
      </c>
      <c r="AA251" s="178">
        <f t="shared" si="75"/>
        <v>21</v>
      </c>
      <c r="AD251" s="17">
        <f>CALC!E275*(A251&lt;PARAM!$B$55)</f>
        <v>0</v>
      </c>
      <c r="AE251">
        <f>IF(A251&lt;ITER!$C$16,1,PARAM!$C$53^-(RATES!A251-ITER!$C$16))*(A251&lt;PARAM!$B$55)</f>
        <v>0</v>
      </c>
    </row>
    <row r="252" spans="1:31" x14ac:dyDescent="0.2">
      <c r="A252" s="9">
        <v>249</v>
      </c>
      <c r="B252" s="178">
        <f t="shared" si="73"/>
        <v>52</v>
      </c>
      <c r="C252" s="178">
        <f t="shared" si="73"/>
        <v>52</v>
      </c>
      <c r="D252" s="2">
        <f>PARAM!$H$38</f>
        <v>1</v>
      </c>
      <c r="E252" s="11">
        <f>PARAM!$G$38</f>
        <v>0</v>
      </c>
      <c r="F252" s="11">
        <f>(VLOOKUP(C252,DEDN!$A$8:$O$902,$F$2)*D252+E252)/1000</f>
        <v>3.64E-3</v>
      </c>
      <c r="G252" s="178">
        <f t="shared" si="74"/>
        <v>21</v>
      </c>
      <c r="H252" s="178">
        <f t="shared" si="74"/>
        <v>21</v>
      </c>
      <c r="I252" s="2">
        <f>PARAM!$H$39</f>
        <v>0</v>
      </c>
      <c r="J252" s="11">
        <f>PARAM!$G$39</f>
        <v>0</v>
      </c>
      <c r="K252" s="11">
        <f>(VLOOKUP(H252,DEDN!$A$8:$O$902,$K$2)*I252+J252)/1000</f>
        <v>0</v>
      </c>
      <c r="L252" s="11">
        <f>MIN(IF(PARAM!$B$43=3,CHOOSE($L$2,F252,K252),F252+K252-F252*K252),1)</f>
        <v>3.64E-3</v>
      </c>
      <c r="M252" s="2">
        <f>PARAM!$I$38</f>
        <v>0</v>
      </c>
      <c r="N252" s="11">
        <f>VLOOKUP(B252,DEDN!$A$8:$O$90,$N$2)*M252</f>
        <v>0</v>
      </c>
      <c r="O252" s="12"/>
      <c r="P252" s="10">
        <f>PARAM!$C$53^-A252</f>
        <v>1</v>
      </c>
      <c r="Q252" s="10">
        <f t="shared" si="77"/>
        <v>0.9716908328116638</v>
      </c>
      <c r="R252" s="10">
        <f t="shared" si="76"/>
        <v>0.9716908328116638</v>
      </c>
      <c r="S252" s="10">
        <f>CHOOSE(PARAM!$B$51,R252,R252,0,0)*(A252&lt;PARAM!$B$55)</f>
        <v>0</v>
      </c>
      <c r="T252" s="10">
        <f t="shared" si="61"/>
        <v>2.952391008295141E-4</v>
      </c>
      <c r="U252" s="10">
        <f>T252*P252*(A252&lt;PARAM!$B$55)</f>
        <v>0</v>
      </c>
      <c r="W252">
        <v>249</v>
      </c>
      <c r="X252" s="178">
        <f t="shared" si="75"/>
        <v>52</v>
      </c>
      <c r="Y252" s="178">
        <f t="shared" si="75"/>
        <v>52</v>
      </c>
      <c r="Z252" s="178">
        <f t="shared" si="75"/>
        <v>21</v>
      </c>
      <c r="AA252" s="178">
        <f t="shared" si="75"/>
        <v>21</v>
      </c>
      <c r="AD252" s="17">
        <f>CALC!E276*(A252&lt;PARAM!$B$55)</f>
        <v>0</v>
      </c>
      <c r="AE252">
        <f>IF(A252&lt;ITER!$C$16,1,PARAM!$C$53^-(RATES!A252-ITER!$C$16))*(A252&lt;PARAM!$B$55)</f>
        <v>0</v>
      </c>
    </row>
    <row r="253" spans="1:31" x14ac:dyDescent="0.2">
      <c r="A253" s="9">
        <v>250</v>
      </c>
      <c r="B253" s="178">
        <f t="shared" si="73"/>
        <v>52</v>
      </c>
      <c r="C253" s="178">
        <f t="shared" si="73"/>
        <v>52</v>
      </c>
      <c r="D253" s="2">
        <f>PARAM!$H$38</f>
        <v>1</v>
      </c>
      <c r="E253" s="11">
        <f>PARAM!$G$38</f>
        <v>0</v>
      </c>
      <c r="F253" s="11">
        <f>(VLOOKUP(C253,DEDN!$A$8:$O$902,$F$2)*D253+E253)/1000</f>
        <v>3.64E-3</v>
      </c>
      <c r="G253" s="178">
        <f t="shared" si="74"/>
        <v>21</v>
      </c>
      <c r="H253" s="178">
        <f t="shared" si="74"/>
        <v>21</v>
      </c>
      <c r="I253" s="2">
        <f>PARAM!$H$39</f>
        <v>0</v>
      </c>
      <c r="J253" s="11">
        <f>PARAM!$G$39</f>
        <v>0</v>
      </c>
      <c r="K253" s="11">
        <f>(VLOOKUP(H253,DEDN!$A$8:$O$902,$K$2)*I253+J253)/1000</f>
        <v>0</v>
      </c>
      <c r="L253" s="11">
        <f>MIN(IF(PARAM!$B$43=3,CHOOSE($L$2,F253,K253),F253+K253-F253*K253),1)</f>
        <v>3.64E-3</v>
      </c>
      <c r="M253" s="2">
        <f>PARAM!$I$38</f>
        <v>0</v>
      </c>
      <c r="N253" s="11">
        <f>VLOOKUP(B253,DEDN!$A$8:$O$90,$N$2)*M253</f>
        <v>0</v>
      </c>
      <c r="O253" s="12"/>
      <c r="P253" s="10">
        <f>PARAM!$C$53^-A253</f>
        <v>1</v>
      </c>
      <c r="Q253" s="10">
        <f t="shared" si="77"/>
        <v>0.97139559371083428</v>
      </c>
      <c r="R253" s="10">
        <f t="shared" si="76"/>
        <v>0.97139559371083428</v>
      </c>
      <c r="S253" s="10">
        <f>CHOOSE(PARAM!$B$51,R253,0,0,0)*(A253&lt;PARAM!$B$55)</f>
        <v>0</v>
      </c>
      <c r="T253" s="10">
        <f t="shared" si="61"/>
        <v>2.9514939521146921E-4</v>
      </c>
      <c r="U253" s="10">
        <f>T253*P253*(A253&lt;PARAM!$B$55)</f>
        <v>0</v>
      </c>
      <c r="W253">
        <v>250</v>
      </c>
      <c r="X253" s="178">
        <f t="shared" si="75"/>
        <v>52</v>
      </c>
      <c r="Y253" s="178">
        <f t="shared" si="75"/>
        <v>52</v>
      </c>
      <c r="Z253" s="178">
        <f t="shared" si="75"/>
        <v>21</v>
      </c>
      <c r="AA253" s="178">
        <f t="shared" si="75"/>
        <v>21</v>
      </c>
      <c r="AD253" s="17">
        <f>CALC!E277*(A253&lt;PARAM!$B$55)</f>
        <v>0</v>
      </c>
      <c r="AE253">
        <f>IF(A253&lt;ITER!$C$16,1,PARAM!$C$53^-(RATES!A253-ITER!$C$16))*(A253&lt;PARAM!$B$55)</f>
        <v>0</v>
      </c>
    </row>
    <row r="254" spans="1:31" x14ac:dyDescent="0.2">
      <c r="A254" s="9">
        <v>251</v>
      </c>
      <c r="B254" s="178">
        <f t="shared" si="73"/>
        <v>52</v>
      </c>
      <c r="C254" s="178">
        <f t="shared" si="73"/>
        <v>52</v>
      </c>
      <c r="D254" s="2">
        <f>PARAM!$H$38</f>
        <v>1</v>
      </c>
      <c r="E254" s="11">
        <f>PARAM!$G$38</f>
        <v>0</v>
      </c>
      <c r="F254" s="11">
        <f>(VLOOKUP(C254,DEDN!$A$8:$O$902,$F$2)*D254+E254)/1000</f>
        <v>3.64E-3</v>
      </c>
      <c r="G254" s="178">
        <f t="shared" si="74"/>
        <v>21</v>
      </c>
      <c r="H254" s="178">
        <f t="shared" si="74"/>
        <v>21</v>
      </c>
      <c r="I254" s="2">
        <f>PARAM!$H$39</f>
        <v>0</v>
      </c>
      <c r="J254" s="11">
        <f>PARAM!$G$39</f>
        <v>0</v>
      </c>
      <c r="K254" s="11">
        <f>(VLOOKUP(H254,DEDN!$A$8:$O$902,$K$2)*I254+J254)/1000</f>
        <v>0</v>
      </c>
      <c r="L254" s="11">
        <f>MIN(IF(PARAM!$B$43=3,CHOOSE($L$2,F254,K254),F254+K254-F254*K254),1)</f>
        <v>3.64E-3</v>
      </c>
      <c r="M254" s="2">
        <f>PARAM!$I$38</f>
        <v>0</v>
      </c>
      <c r="N254" s="11">
        <f>VLOOKUP(B254,DEDN!$A$8:$O$90,$N$2)*M254</f>
        <v>0</v>
      </c>
      <c r="O254" s="12"/>
      <c r="P254" s="10">
        <f>PARAM!$C$53^-A254</f>
        <v>1</v>
      </c>
      <c r="Q254" s="10">
        <f t="shared" si="77"/>
        <v>0.97110044431562281</v>
      </c>
      <c r="R254" s="10">
        <f t="shared" si="76"/>
        <v>0.97110044431562281</v>
      </c>
      <c r="S254" s="10">
        <f>CHOOSE(PARAM!$B$51,R254,0,0,0)*(A254&lt;PARAM!$B$55)</f>
        <v>0</v>
      </c>
      <c r="T254" s="10">
        <f t="shared" si="61"/>
        <v>2.9505971684973265E-4</v>
      </c>
      <c r="U254" s="10">
        <f>T254*P254*(A254&lt;PARAM!$B$55)</f>
        <v>0</v>
      </c>
      <c r="W254">
        <v>251</v>
      </c>
      <c r="X254" s="178">
        <f t="shared" si="75"/>
        <v>52</v>
      </c>
      <c r="Y254" s="178">
        <f t="shared" si="75"/>
        <v>52</v>
      </c>
      <c r="Z254" s="178">
        <f t="shared" si="75"/>
        <v>21</v>
      </c>
      <c r="AA254" s="178">
        <f t="shared" si="75"/>
        <v>21</v>
      </c>
      <c r="AD254" s="17">
        <f>CALC!E278*(A254&lt;PARAM!$B$55)</f>
        <v>0</v>
      </c>
      <c r="AE254">
        <f>IF(A254&lt;ITER!$C$16,1,PARAM!$C$53^-(RATES!A254-ITER!$C$16))*(A254&lt;PARAM!$B$55)</f>
        <v>0</v>
      </c>
    </row>
    <row r="255" spans="1:31" x14ac:dyDescent="0.2">
      <c r="A255" s="9">
        <v>252</v>
      </c>
      <c r="B255" s="178">
        <f t="shared" si="73"/>
        <v>52</v>
      </c>
      <c r="C255" s="178">
        <f t="shared" si="73"/>
        <v>52</v>
      </c>
      <c r="D255" s="2">
        <f>PARAM!$H$38</f>
        <v>1</v>
      </c>
      <c r="E255" s="11">
        <f>PARAM!$G$38</f>
        <v>0</v>
      </c>
      <c r="F255" s="11">
        <f>(VLOOKUP(C255,DEDN!$A$8:$O$902,$F$2)*D255+E255)/1000</f>
        <v>3.64E-3</v>
      </c>
      <c r="G255" s="178">
        <f t="shared" si="74"/>
        <v>21</v>
      </c>
      <c r="H255" s="178">
        <f t="shared" si="74"/>
        <v>21</v>
      </c>
      <c r="I255" s="2">
        <f>PARAM!$H$39</f>
        <v>0</v>
      </c>
      <c r="J255" s="11">
        <f>PARAM!$G$39</f>
        <v>0</v>
      </c>
      <c r="K255" s="11">
        <f>(VLOOKUP(H255,DEDN!$A$8:$O$902,$K$2)*I255+J255)/1000</f>
        <v>0</v>
      </c>
      <c r="L255" s="11">
        <f>MIN(IF(PARAM!$B$43=3,CHOOSE($L$2,F255,K255),F255+K255-F255*K255),1)</f>
        <v>3.64E-3</v>
      </c>
      <c r="M255" s="2">
        <f>PARAM!$I$38</f>
        <v>0</v>
      </c>
      <c r="N255" s="11">
        <f>VLOOKUP(B255,DEDN!$A$8:$O$90,$N$2)*M255</f>
        <v>0</v>
      </c>
      <c r="O255" s="12"/>
      <c r="P255" s="10">
        <f>PARAM!$C$53^-A255</f>
        <v>1</v>
      </c>
      <c r="Q255" s="10">
        <f t="shared" si="77"/>
        <v>0.97080538459877308</v>
      </c>
      <c r="R255" s="10">
        <f t="shared" si="76"/>
        <v>0.97080538459877308</v>
      </c>
      <c r="S255" s="10">
        <f>R255*(A255&lt;PARAM!$B$55)</f>
        <v>0</v>
      </c>
      <c r="T255" s="10">
        <f t="shared" si="61"/>
        <v>2.949700657358667E-4</v>
      </c>
      <c r="U255" s="10">
        <f>T255*P255*(A255&lt;PARAM!$B$55)</f>
        <v>0</v>
      </c>
      <c r="W255">
        <v>252</v>
      </c>
      <c r="X255" s="178">
        <f t="shared" si="75"/>
        <v>52</v>
      </c>
      <c r="Y255" s="178">
        <f t="shared" si="75"/>
        <v>52</v>
      </c>
      <c r="Z255" s="178">
        <f t="shared" si="75"/>
        <v>21</v>
      </c>
      <c r="AA255" s="178">
        <f t="shared" si="75"/>
        <v>21</v>
      </c>
      <c r="AD255" s="17">
        <f>CALC!E279*(A255&lt;PARAM!$B$55)</f>
        <v>0</v>
      </c>
      <c r="AE255">
        <f>IF(A255&lt;ITER!$C$16,1,PARAM!$C$53^-(RATES!A255-ITER!$C$16))*(A255&lt;PARAM!$B$55)</f>
        <v>0</v>
      </c>
    </row>
    <row r="256" spans="1:31" x14ac:dyDescent="0.2">
      <c r="A256" s="9">
        <v>253</v>
      </c>
      <c r="B256" s="178">
        <f t="shared" si="73"/>
        <v>52</v>
      </c>
      <c r="C256" s="178">
        <f t="shared" si="73"/>
        <v>52</v>
      </c>
      <c r="D256" s="2">
        <f>PARAM!$H$38</f>
        <v>1</v>
      </c>
      <c r="E256" s="11">
        <f>PARAM!$G$38</f>
        <v>0</v>
      </c>
      <c r="F256" s="11">
        <f>(VLOOKUP(C256,DEDN!$A$8:$O$902,$F$2)*D256+E256)/1000</f>
        <v>3.64E-3</v>
      </c>
      <c r="G256" s="178">
        <f t="shared" si="74"/>
        <v>21</v>
      </c>
      <c r="H256" s="178">
        <f t="shared" si="74"/>
        <v>21</v>
      </c>
      <c r="I256" s="2">
        <f>PARAM!$H$39</f>
        <v>0</v>
      </c>
      <c r="J256" s="11">
        <f>PARAM!$G$39</f>
        <v>0</v>
      </c>
      <c r="K256" s="11">
        <f>(VLOOKUP(H256,DEDN!$A$8:$O$902,$K$2)*I256+J256)/1000</f>
        <v>0</v>
      </c>
      <c r="L256" s="11">
        <f>MIN(IF(PARAM!$B$43=3,CHOOSE($L$2,F256,K256),F256+K256-F256*K256),1)</f>
        <v>3.64E-3</v>
      </c>
      <c r="M256" s="2">
        <f>PARAM!$I$38</f>
        <v>0</v>
      </c>
      <c r="N256" s="11">
        <f>VLOOKUP(B256,DEDN!$A$8:$O$90,$N$2)*M256</f>
        <v>0</v>
      </c>
      <c r="O256" s="12"/>
      <c r="P256" s="10">
        <f>PARAM!$C$53^-A256</f>
        <v>1</v>
      </c>
      <c r="Q256" s="10">
        <f t="shared" si="77"/>
        <v>0.97051041453303721</v>
      </c>
      <c r="R256" s="10">
        <f t="shared" si="76"/>
        <v>0.97051041453303721</v>
      </c>
      <c r="S256" s="10">
        <f>CHOOSE(PARAM!$B$51,R256,0,0,0)*(A256&lt;PARAM!$B$55)</f>
        <v>0</v>
      </c>
      <c r="T256" s="10">
        <f t="shared" si="61"/>
        <v>2.9488044186165574E-4</v>
      </c>
      <c r="U256" s="10">
        <f>T256*P256*(A256&lt;PARAM!$B$55)</f>
        <v>0</v>
      </c>
      <c r="W256">
        <v>253</v>
      </c>
      <c r="X256" s="178">
        <f t="shared" si="75"/>
        <v>52</v>
      </c>
      <c r="Y256" s="178">
        <f t="shared" si="75"/>
        <v>52</v>
      </c>
      <c r="Z256" s="178">
        <f t="shared" si="75"/>
        <v>21</v>
      </c>
      <c r="AA256" s="178">
        <f t="shared" si="75"/>
        <v>21</v>
      </c>
      <c r="AD256" s="17">
        <f>CALC!E280*(A256&lt;PARAM!$B$55)</f>
        <v>0</v>
      </c>
      <c r="AE256">
        <f>IF(A256&lt;ITER!$C$16,1,PARAM!$C$53^-(RATES!A256-ITER!$C$16))*(A256&lt;PARAM!$B$55)</f>
        <v>0</v>
      </c>
    </row>
    <row r="257" spans="1:31" x14ac:dyDescent="0.2">
      <c r="A257" s="9">
        <v>254</v>
      </c>
      <c r="B257" s="178">
        <f t="shared" si="73"/>
        <v>52</v>
      </c>
      <c r="C257" s="178">
        <f t="shared" si="73"/>
        <v>52</v>
      </c>
      <c r="D257" s="2">
        <f>PARAM!$H$38</f>
        <v>1</v>
      </c>
      <c r="E257" s="11">
        <f>PARAM!$G$38</f>
        <v>0</v>
      </c>
      <c r="F257" s="11">
        <f>(VLOOKUP(C257,DEDN!$A$8:$O$902,$F$2)*D257+E257)/1000</f>
        <v>3.64E-3</v>
      </c>
      <c r="G257" s="178">
        <f t="shared" si="74"/>
        <v>21</v>
      </c>
      <c r="H257" s="178">
        <f t="shared" si="74"/>
        <v>21</v>
      </c>
      <c r="I257" s="2">
        <f>PARAM!$H$39</f>
        <v>0</v>
      </c>
      <c r="J257" s="11">
        <f>PARAM!$G$39</f>
        <v>0</v>
      </c>
      <c r="K257" s="11">
        <f>(VLOOKUP(H257,DEDN!$A$8:$O$902,$K$2)*I257+J257)/1000</f>
        <v>0</v>
      </c>
      <c r="L257" s="11">
        <f>MIN(IF(PARAM!$B$43=3,CHOOSE($L$2,F257,K257),F257+K257-F257*K257),1)</f>
        <v>3.64E-3</v>
      </c>
      <c r="M257" s="2">
        <f>PARAM!$I$38</f>
        <v>0</v>
      </c>
      <c r="N257" s="11">
        <f>VLOOKUP(B257,DEDN!$A$8:$O$90,$N$2)*M257</f>
        <v>0</v>
      </c>
      <c r="O257" s="12"/>
      <c r="P257" s="10">
        <f>PARAM!$C$53^-A257</f>
        <v>1</v>
      </c>
      <c r="Q257" s="10">
        <f t="shared" si="77"/>
        <v>0.97021553409117556</v>
      </c>
      <c r="R257" s="10">
        <f t="shared" si="76"/>
        <v>0.97021553409117556</v>
      </c>
      <c r="S257" s="10">
        <f>CHOOSE(PARAM!$B$51,R257,0,0,0)*(A257&lt;PARAM!$B$55)</f>
        <v>0</v>
      </c>
      <c r="T257" s="10">
        <f t="shared" si="61"/>
        <v>2.9479084521877308E-4</v>
      </c>
      <c r="U257" s="10">
        <f>T257*P257*(A257&lt;PARAM!$B$55)</f>
        <v>0</v>
      </c>
      <c r="W257">
        <v>254</v>
      </c>
      <c r="X257" s="178">
        <f t="shared" si="75"/>
        <v>52</v>
      </c>
      <c r="Y257" s="178">
        <f t="shared" si="75"/>
        <v>52</v>
      </c>
      <c r="Z257" s="178">
        <f t="shared" si="75"/>
        <v>21</v>
      </c>
      <c r="AA257" s="178">
        <f t="shared" si="75"/>
        <v>21</v>
      </c>
      <c r="AD257" s="17">
        <f>CALC!E281*(A257&lt;PARAM!$B$55)</f>
        <v>0</v>
      </c>
      <c r="AE257">
        <f>IF(A257&lt;ITER!$C$16,1,PARAM!$C$53^-(RATES!A257-ITER!$C$16))*(A257&lt;PARAM!$B$55)</f>
        <v>0</v>
      </c>
    </row>
    <row r="258" spans="1:31" x14ac:dyDescent="0.2">
      <c r="A258" s="9">
        <v>255</v>
      </c>
      <c r="B258" s="178">
        <f t="shared" si="73"/>
        <v>52</v>
      </c>
      <c r="C258" s="178">
        <f t="shared" si="73"/>
        <v>52</v>
      </c>
      <c r="D258" s="2">
        <f>PARAM!$H$38</f>
        <v>1</v>
      </c>
      <c r="E258" s="11">
        <f>PARAM!$G$38</f>
        <v>0</v>
      </c>
      <c r="F258" s="11">
        <f>(VLOOKUP(C258,DEDN!$A$8:$O$902,$F$2)*D258+E258)/1000</f>
        <v>3.64E-3</v>
      </c>
      <c r="G258" s="178">
        <f t="shared" si="74"/>
        <v>21</v>
      </c>
      <c r="H258" s="178">
        <f t="shared" si="74"/>
        <v>21</v>
      </c>
      <c r="I258" s="2">
        <f>PARAM!$H$39</f>
        <v>0</v>
      </c>
      <c r="J258" s="11">
        <f>PARAM!$G$39</f>
        <v>0</v>
      </c>
      <c r="K258" s="11">
        <f>(VLOOKUP(H258,DEDN!$A$8:$O$902,$K$2)*I258+J258)/1000</f>
        <v>0</v>
      </c>
      <c r="L258" s="11">
        <f>MIN(IF(PARAM!$B$43=3,CHOOSE($L$2,F258,K258),F258+K258-F258*K258),1)</f>
        <v>3.64E-3</v>
      </c>
      <c r="M258" s="2">
        <f>PARAM!$I$38</f>
        <v>0</v>
      </c>
      <c r="N258" s="11">
        <f>VLOOKUP(B258,DEDN!$A$8:$O$90,$N$2)*M258</f>
        <v>0</v>
      </c>
      <c r="O258" s="12"/>
      <c r="P258" s="10">
        <f>PARAM!$C$53^-A258</f>
        <v>1</v>
      </c>
      <c r="Q258" s="10">
        <f t="shared" si="77"/>
        <v>0.96992074324595678</v>
      </c>
      <c r="R258" s="10">
        <f t="shared" si="76"/>
        <v>0.96992074324595678</v>
      </c>
      <c r="S258" s="10">
        <f>CHOOSE(PARAM!$B$51,R258,R258,0,0)*(A258&lt;PARAM!$B$55)</f>
        <v>0</v>
      </c>
      <c r="T258" s="10">
        <f t="shared" si="61"/>
        <v>2.9470127579900307E-4</v>
      </c>
      <c r="U258" s="10">
        <f>T258*P258*(A258&lt;PARAM!$B$55)</f>
        <v>0</v>
      </c>
      <c r="W258">
        <v>255</v>
      </c>
      <c r="X258" s="178">
        <f t="shared" si="75"/>
        <v>52</v>
      </c>
      <c r="Y258" s="178">
        <f t="shared" si="75"/>
        <v>52</v>
      </c>
      <c r="Z258" s="178">
        <f t="shared" si="75"/>
        <v>21</v>
      </c>
      <c r="AA258" s="178">
        <f t="shared" si="75"/>
        <v>21</v>
      </c>
      <c r="AD258" s="17">
        <f>CALC!E282*(A258&lt;PARAM!$B$55)</f>
        <v>0</v>
      </c>
      <c r="AE258">
        <f>IF(A258&lt;ITER!$C$16,1,PARAM!$C$53^-(RATES!A258-ITER!$C$16))*(A258&lt;PARAM!$B$55)</f>
        <v>0</v>
      </c>
    </row>
    <row r="259" spans="1:31" x14ac:dyDescent="0.2">
      <c r="A259" s="9">
        <v>256</v>
      </c>
      <c r="B259" s="178">
        <f t="shared" si="73"/>
        <v>52</v>
      </c>
      <c r="C259" s="178">
        <f t="shared" si="73"/>
        <v>52</v>
      </c>
      <c r="D259" s="2">
        <f>PARAM!$H$38</f>
        <v>1</v>
      </c>
      <c r="E259" s="11">
        <f>PARAM!$G$38</f>
        <v>0</v>
      </c>
      <c r="F259" s="11">
        <f>(VLOOKUP(C259,DEDN!$A$8:$O$902,$F$2)*D259+E259)/1000</f>
        <v>3.64E-3</v>
      </c>
      <c r="G259" s="178">
        <f t="shared" si="74"/>
        <v>21</v>
      </c>
      <c r="H259" s="178">
        <f t="shared" si="74"/>
        <v>21</v>
      </c>
      <c r="I259" s="2">
        <f>PARAM!$H$39</f>
        <v>0</v>
      </c>
      <c r="J259" s="11">
        <f>PARAM!$G$39</f>
        <v>0</v>
      </c>
      <c r="K259" s="11">
        <f>(VLOOKUP(H259,DEDN!$A$8:$O$902,$K$2)*I259+J259)/1000</f>
        <v>0</v>
      </c>
      <c r="L259" s="11">
        <f>MIN(IF(PARAM!$B$43=3,CHOOSE($L$2,F259,K259),F259+K259-F259*K259),1)</f>
        <v>3.64E-3</v>
      </c>
      <c r="M259" s="2">
        <f>PARAM!$I$38</f>
        <v>0</v>
      </c>
      <c r="N259" s="11">
        <f>VLOOKUP(B259,DEDN!$A$8:$O$90,$N$2)*M259</f>
        <v>0</v>
      </c>
      <c r="O259" s="12"/>
      <c r="P259" s="10">
        <f>PARAM!$C$53^-A259</f>
        <v>1</v>
      </c>
      <c r="Q259" s="10">
        <f t="shared" si="77"/>
        <v>0.96962604197015778</v>
      </c>
      <c r="R259" s="10">
        <f t="shared" si="76"/>
        <v>0.96962604197015778</v>
      </c>
      <c r="S259" s="10">
        <f>CHOOSE(PARAM!$B$51,R259,0,0,0)*(A259&lt;PARAM!$B$55)</f>
        <v>0</v>
      </c>
      <c r="T259" s="10">
        <f t="shared" si="61"/>
        <v>2.9461173359413007E-4</v>
      </c>
      <c r="U259" s="10">
        <f>T259*P259*(A259&lt;PARAM!$B$55)</f>
        <v>0</v>
      </c>
      <c r="W259">
        <v>256</v>
      </c>
      <c r="X259" s="178">
        <f t="shared" si="75"/>
        <v>52</v>
      </c>
      <c r="Y259" s="178">
        <f t="shared" si="75"/>
        <v>52</v>
      </c>
      <c r="Z259" s="178">
        <f t="shared" si="75"/>
        <v>21</v>
      </c>
      <c r="AA259" s="178">
        <f t="shared" si="75"/>
        <v>21</v>
      </c>
      <c r="AD259" s="17">
        <f>CALC!E283*(A259&lt;PARAM!$B$55)</f>
        <v>0</v>
      </c>
      <c r="AE259">
        <f>IF(A259&lt;ITER!$C$16,1,PARAM!$C$53^-(RATES!A259-ITER!$C$16))*(A259&lt;PARAM!$B$55)</f>
        <v>0</v>
      </c>
    </row>
    <row r="260" spans="1:31" x14ac:dyDescent="0.2">
      <c r="A260" s="9">
        <v>257</v>
      </c>
      <c r="B260" s="178">
        <f t="shared" si="73"/>
        <v>52</v>
      </c>
      <c r="C260" s="178">
        <f t="shared" si="73"/>
        <v>52</v>
      </c>
      <c r="D260" s="2">
        <f>PARAM!$H$38</f>
        <v>1</v>
      </c>
      <c r="E260" s="11">
        <f>PARAM!$G$38</f>
        <v>0</v>
      </c>
      <c r="F260" s="11">
        <f>(VLOOKUP(C260,DEDN!$A$8:$O$902,$F$2)*D260+E260)/1000</f>
        <v>3.64E-3</v>
      </c>
      <c r="G260" s="178">
        <f t="shared" si="74"/>
        <v>21</v>
      </c>
      <c r="H260" s="178">
        <f t="shared" si="74"/>
        <v>21</v>
      </c>
      <c r="I260" s="2">
        <f>PARAM!$H$39</f>
        <v>0</v>
      </c>
      <c r="J260" s="11">
        <f>PARAM!$G$39</f>
        <v>0</v>
      </c>
      <c r="K260" s="11">
        <f>(VLOOKUP(H260,DEDN!$A$8:$O$902,$K$2)*I260+J260)/1000</f>
        <v>0</v>
      </c>
      <c r="L260" s="11">
        <f>MIN(IF(PARAM!$B$43=3,CHOOSE($L$2,F260,K260),F260+K260-F260*K260),1)</f>
        <v>3.64E-3</v>
      </c>
      <c r="M260" s="2">
        <f>PARAM!$I$38</f>
        <v>0</v>
      </c>
      <c r="N260" s="11">
        <f>VLOOKUP(B260,DEDN!$A$8:$O$90,$N$2)*M260</f>
        <v>0</v>
      </c>
      <c r="O260" s="12"/>
      <c r="P260" s="10">
        <f>PARAM!$C$53^-A260</f>
        <v>1</v>
      </c>
      <c r="Q260" s="10">
        <f t="shared" si="77"/>
        <v>0.96933143023656365</v>
      </c>
      <c r="R260" s="10">
        <f t="shared" ref="R260:R275" si="78">P260*Q260</f>
        <v>0.96933143023656365</v>
      </c>
      <c r="S260" s="10">
        <f>CHOOSE(PARAM!$B$51,R260,0,0,0)*(A260&lt;PARAM!$B$55)</f>
        <v>0</v>
      </c>
      <c r="T260" s="10">
        <f t="shared" ref="T260:T323" si="79">Q260-Q261</f>
        <v>2.9452221859571637E-4</v>
      </c>
      <c r="U260" s="10">
        <f>T260*P260*(A260&lt;PARAM!$B$55)</f>
        <v>0</v>
      </c>
      <c r="W260">
        <v>257</v>
      </c>
      <c r="X260" s="178">
        <f t="shared" si="75"/>
        <v>52</v>
      </c>
      <c r="Y260" s="178">
        <f t="shared" si="75"/>
        <v>52</v>
      </c>
      <c r="Z260" s="178">
        <f t="shared" si="75"/>
        <v>21</v>
      </c>
      <c r="AA260" s="178">
        <f t="shared" si="75"/>
        <v>21</v>
      </c>
      <c r="AD260" s="17">
        <f>CALC!E284*(A260&lt;PARAM!$B$55)</f>
        <v>0</v>
      </c>
      <c r="AE260">
        <f>IF(A260&lt;ITER!$C$16,1,PARAM!$C$53^-(RATES!A260-ITER!$C$16))*(A260&lt;PARAM!$B$55)</f>
        <v>0</v>
      </c>
    </row>
    <row r="261" spans="1:31" x14ac:dyDescent="0.2">
      <c r="A261" s="9">
        <v>258</v>
      </c>
      <c r="B261" s="178">
        <f t="shared" ref="B261:C280" si="80">B249+1</f>
        <v>53</v>
      </c>
      <c r="C261" s="178">
        <f t="shared" si="80"/>
        <v>53</v>
      </c>
      <c r="D261" s="2">
        <f>PARAM!$H$38</f>
        <v>1</v>
      </c>
      <c r="E261" s="11">
        <f>PARAM!$G$38</f>
        <v>0</v>
      </c>
      <c r="F261" s="11">
        <f>(VLOOKUP(C261,DEDN!$A$8:$O$902,$F$2)*D261+E261)/1000</f>
        <v>4.0700000000000007E-3</v>
      </c>
      <c r="G261" s="178">
        <f t="shared" ref="G261:H280" si="81">G249+1</f>
        <v>22</v>
      </c>
      <c r="H261" s="178">
        <f t="shared" si="81"/>
        <v>22</v>
      </c>
      <c r="I261" s="2">
        <f>PARAM!$H$39</f>
        <v>0</v>
      </c>
      <c r="J261" s="11">
        <f>PARAM!$G$39</f>
        <v>0</v>
      </c>
      <c r="K261" s="11">
        <f>(VLOOKUP(H261,DEDN!$A$8:$O$902,$K$2)*I261+J261)/1000</f>
        <v>0</v>
      </c>
      <c r="L261" s="11">
        <f>MIN(IF(PARAM!$B$43=3,CHOOSE($L$2,F261,K261),F261+K261-F261*K261),1)</f>
        <v>4.0700000000000007E-3</v>
      </c>
      <c r="M261" s="2">
        <f>PARAM!$I$38</f>
        <v>0</v>
      </c>
      <c r="N261" s="11">
        <f>VLOOKUP(B261,DEDN!$A$8:$O$90,$N$2)*M261</f>
        <v>0</v>
      </c>
      <c r="O261" s="12"/>
      <c r="P261" s="10">
        <f>PARAM!$C$53^-A261</f>
        <v>1</v>
      </c>
      <c r="Q261" s="10">
        <f t="shared" ref="Q261:Q276" si="82">Q260*(1-L260)^(1/12)</f>
        <v>0.96903690801796794</v>
      </c>
      <c r="R261" s="10">
        <f t="shared" si="78"/>
        <v>0.96903690801796794</v>
      </c>
      <c r="S261" s="10">
        <f>CHOOSE(PARAM!$B$51,R261,R261,R261,0)*(A261&lt;PARAM!$B$55)</f>
        <v>0</v>
      </c>
      <c r="T261" s="10">
        <f t="shared" si="79"/>
        <v>3.2927971414109525E-4</v>
      </c>
      <c r="U261" s="10">
        <f>T261*P261*(A261&lt;PARAM!$B$55)</f>
        <v>0</v>
      </c>
      <c r="W261">
        <v>258</v>
      </c>
      <c r="X261" s="178">
        <f t="shared" ref="X261:AA280" si="83">X249+1</f>
        <v>53</v>
      </c>
      <c r="Y261" s="178">
        <f t="shared" si="83"/>
        <v>53</v>
      </c>
      <c r="Z261" s="178">
        <f t="shared" si="83"/>
        <v>22</v>
      </c>
      <c r="AA261" s="178">
        <f t="shared" si="83"/>
        <v>22</v>
      </c>
      <c r="AD261" s="17">
        <f>CALC!E285*(A261&lt;PARAM!$B$55)</f>
        <v>0</v>
      </c>
      <c r="AE261">
        <f>IF(A261&lt;ITER!$C$16,1,PARAM!$C$53^-(RATES!A261-ITER!$C$16))*(A261&lt;PARAM!$B$55)</f>
        <v>0</v>
      </c>
    </row>
    <row r="262" spans="1:31" x14ac:dyDescent="0.2">
      <c r="A262" s="9">
        <v>259</v>
      </c>
      <c r="B262" s="178">
        <f t="shared" si="80"/>
        <v>53</v>
      </c>
      <c r="C262" s="178">
        <f t="shared" si="80"/>
        <v>53</v>
      </c>
      <c r="D262" s="2">
        <f>PARAM!$H$38</f>
        <v>1</v>
      </c>
      <c r="E262" s="11">
        <f>PARAM!$G$38</f>
        <v>0</v>
      </c>
      <c r="F262" s="11">
        <f>(VLOOKUP(C262,DEDN!$A$8:$O$902,$F$2)*D262+E262)/1000</f>
        <v>4.0700000000000007E-3</v>
      </c>
      <c r="G262" s="178">
        <f t="shared" si="81"/>
        <v>22</v>
      </c>
      <c r="H262" s="178">
        <f t="shared" si="81"/>
        <v>22</v>
      </c>
      <c r="I262" s="2">
        <f>PARAM!$H$39</f>
        <v>0</v>
      </c>
      <c r="J262" s="11">
        <f>PARAM!$G$39</f>
        <v>0</v>
      </c>
      <c r="K262" s="11">
        <f>(VLOOKUP(H262,DEDN!$A$8:$O$902,$K$2)*I262+J262)/1000</f>
        <v>0</v>
      </c>
      <c r="L262" s="11">
        <f>MIN(IF(PARAM!$B$43=3,CHOOSE($L$2,F262,K262),F262+K262-F262*K262),1)</f>
        <v>4.0700000000000007E-3</v>
      </c>
      <c r="M262" s="2">
        <f>PARAM!$I$38</f>
        <v>0</v>
      </c>
      <c r="N262" s="11">
        <f>VLOOKUP(B262,DEDN!$A$8:$O$90,$N$2)*M262</f>
        <v>0</v>
      </c>
      <c r="O262" s="12"/>
      <c r="P262" s="10">
        <f>PARAM!$C$53^-A262</f>
        <v>1</v>
      </c>
      <c r="Q262" s="10">
        <f t="shared" si="82"/>
        <v>0.96870762830382684</v>
      </c>
      <c r="R262" s="10">
        <f t="shared" si="78"/>
        <v>0.96870762830382684</v>
      </c>
      <c r="S262" s="10">
        <f>CHOOSE(PARAM!$B$51,R262,0,0,0)*(A262&lt;PARAM!$B$55)</f>
        <v>0</v>
      </c>
      <c r="T262" s="10">
        <f t="shared" si="79"/>
        <v>3.2916782456360316E-4</v>
      </c>
      <c r="U262" s="10">
        <f>T262*P262*(A262&lt;PARAM!$B$55)</f>
        <v>0</v>
      </c>
      <c r="W262">
        <v>259</v>
      </c>
      <c r="X262" s="178">
        <f t="shared" si="83"/>
        <v>53</v>
      </c>
      <c r="Y262" s="178">
        <f t="shared" si="83"/>
        <v>53</v>
      </c>
      <c r="Z262" s="178">
        <f t="shared" si="83"/>
        <v>22</v>
      </c>
      <c r="AA262" s="178">
        <f t="shared" si="83"/>
        <v>22</v>
      </c>
      <c r="AD262" s="17">
        <f>CALC!E286*(A262&lt;PARAM!$B$55)</f>
        <v>0</v>
      </c>
      <c r="AE262">
        <f>IF(A262&lt;ITER!$C$16,1,PARAM!$C$53^-(RATES!A262-ITER!$C$16))*(A262&lt;PARAM!$B$55)</f>
        <v>0</v>
      </c>
    </row>
    <row r="263" spans="1:31" x14ac:dyDescent="0.2">
      <c r="A263" s="9">
        <v>260</v>
      </c>
      <c r="B263" s="178">
        <f t="shared" si="80"/>
        <v>53</v>
      </c>
      <c r="C263" s="178">
        <f t="shared" si="80"/>
        <v>53</v>
      </c>
      <c r="D263" s="2">
        <f>PARAM!$H$38</f>
        <v>1</v>
      </c>
      <c r="E263" s="11">
        <f>PARAM!$G$38</f>
        <v>0</v>
      </c>
      <c r="F263" s="11">
        <f>(VLOOKUP(C263,DEDN!$A$8:$O$902,$F$2)*D263+E263)/1000</f>
        <v>4.0700000000000007E-3</v>
      </c>
      <c r="G263" s="178">
        <f t="shared" si="81"/>
        <v>22</v>
      </c>
      <c r="H263" s="178">
        <f t="shared" si="81"/>
        <v>22</v>
      </c>
      <c r="I263" s="2">
        <f>PARAM!$H$39</f>
        <v>0</v>
      </c>
      <c r="J263" s="11">
        <f>PARAM!$G$39</f>
        <v>0</v>
      </c>
      <c r="K263" s="11">
        <f>(VLOOKUP(H263,DEDN!$A$8:$O$902,$K$2)*I263+J263)/1000</f>
        <v>0</v>
      </c>
      <c r="L263" s="11">
        <f>MIN(IF(PARAM!$B$43=3,CHOOSE($L$2,F263,K263),F263+K263-F263*K263),1)</f>
        <v>4.0700000000000007E-3</v>
      </c>
      <c r="M263" s="2">
        <f>PARAM!$I$38</f>
        <v>0</v>
      </c>
      <c r="N263" s="11">
        <f>VLOOKUP(B263,DEDN!$A$8:$O$90,$N$2)*M263</f>
        <v>0</v>
      </c>
      <c r="O263" s="12"/>
      <c r="P263" s="10">
        <f>PARAM!$C$53^-A263</f>
        <v>1</v>
      </c>
      <c r="Q263" s="10">
        <f t="shared" si="82"/>
        <v>0.96837846047926324</v>
      </c>
      <c r="R263" s="10">
        <f t="shared" si="78"/>
        <v>0.96837846047926324</v>
      </c>
      <c r="S263" s="10">
        <f>CHOOSE(PARAM!$B$51,R263,0,0,0)*(A263&lt;PARAM!$B$55)</f>
        <v>0</v>
      </c>
      <c r="T263" s="10">
        <f t="shared" si="79"/>
        <v>3.2905597300636469E-4</v>
      </c>
      <c r="U263" s="10">
        <f>T263*P263*(A263&lt;PARAM!$B$55)</f>
        <v>0</v>
      </c>
      <c r="W263">
        <v>260</v>
      </c>
      <c r="X263" s="178">
        <f t="shared" si="83"/>
        <v>53</v>
      </c>
      <c r="Y263" s="178">
        <f t="shared" si="83"/>
        <v>53</v>
      </c>
      <c r="Z263" s="178">
        <f t="shared" si="83"/>
        <v>22</v>
      </c>
      <c r="AA263" s="178">
        <f t="shared" si="83"/>
        <v>22</v>
      </c>
      <c r="AD263" s="17">
        <f>CALC!E287*(A263&lt;PARAM!$B$55)</f>
        <v>0</v>
      </c>
      <c r="AE263">
        <f>IF(A263&lt;ITER!$C$16,1,PARAM!$C$53^-(RATES!A263-ITER!$C$16))*(A263&lt;PARAM!$B$55)</f>
        <v>0</v>
      </c>
    </row>
    <row r="264" spans="1:31" x14ac:dyDescent="0.2">
      <c r="A264" s="9">
        <v>261</v>
      </c>
      <c r="B264" s="178">
        <f t="shared" si="80"/>
        <v>53</v>
      </c>
      <c r="C264" s="178">
        <f t="shared" si="80"/>
        <v>53</v>
      </c>
      <c r="D264" s="2">
        <f>PARAM!$H$38</f>
        <v>1</v>
      </c>
      <c r="E264" s="11">
        <f>PARAM!$G$38</f>
        <v>0</v>
      </c>
      <c r="F264" s="11">
        <f>(VLOOKUP(C264,DEDN!$A$8:$O$902,$F$2)*D264+E264)/1000</f>
        <v>4.0700000000000007E-3</v>
      </c>
      <c r="G264" s="178">
        <f t="shared" si="81"/>
        <v>22</v>
      </c>
      <c r="H264" s="178">
        <f t="shared" si="81"/>
        <v>22</v>
      </c>
      <c r="I264" s="2">
        <f>PARAM!$H$39</f>
        <v>0</v>
      </c>
      <c r="J264" s="11">
        <f>PARAM!$G$39</f>
        <v>0</v>
      </c>
      <c r="K264" s="11">
        <f>(VLOOKUP(H264,DEDN!$A$8:$O$902,$K$2)*I264+J264)/1000</f>
        <v>0</v>
      </c>
      <c r="L264" s="11">
        <f>MIN(IF(PARAM!$B$43=3,CHOOSE($L$2,F264,K264),F264+K264-F264*K264),1)</f>
        <v>4.0700000000000007E-3</v>
      </c>
      <c r="M264" s="2">
        <f>PARAM!$I$38</f>
        <v>0</v>
      </c>
      <c r="N264" s="11">
        <f>VLOOKUP(B264,DEDN!$A$8:$O$90,$N$2)*M264</f>
        <v>0</v>
      </c>
      <c r="O264" s="12"/>
      <c r="P264" s="10">
        <f>PARAM!$C$53^-A264</f>
        <v>1</v>
      </c>
      <c r="Q264" s="10">
        <f t="shared" si="82"/>
        <v>0.96804940450625687</v>
      </c>
      <c r="R264" s="10">
        <f t="shared" si="78"/>
        <v>0.96804940450625687</v>
      </c>
      <c r="S264" s="10">
        <f>CHOOSE(PARAM!$B$51,R264,R264,0,0)*(A264&lt;PARAM!$B$55)</f>
        <v>0</v>
      </c>
      <c r="T264" s="10">
        <f t="shared" si="79"/>
        <v>3.2894415945639022E-4</v>
      </c>
      <c r="U264" s="10">
        <f>T264*P264*(A264&lt;PARAM!$B$55)</f>
        <v>0</v>
      </c>
      <c r="W264">
        <v>261</v>
      </c>
      <c r="X264" s="178">
        <f t="shared" si="83"/>
        <v>53</v>
      </c>
      <c r="Y264" s="178">
        <f t="shared" si="83"/>
        <v>53</v>
      </c>
      <c r="Z264" s="178">
        <f t="shared" si="83"/>
        <v>22</v>
      </c>
      <c r="AA264" s="178">
        <f t="shared" si="83"/>
        <v>22</v>
      </c>
      <c r="AD264" s="17">
        <f>CALC!E288*(A264&lt;PARAM!$B$55)</f>
        <v>0</v>
      </c>
      <c r="AE264">
        <f>IF(A264&lt;ITER!$C$16,1,PARAM!$C$53^-(RATES!A264-ITER!$C$16))*(A264&lt;PARAM!$B$55)</f>
        <v>0</v>
      </c>
    </row>
    <row r="265" spans="1:31" x14ac:dyDescent="0.2">
      <c r="A265" s="9">
        <v>262</v>
      </c>
      <c r="B265" s="178">
        <f t="shared" si="80"/>
        <v>53</v>
      </c>
      <c r="C265" s="178">
        <f t="shared" si="80"/>
        <v>53</v>
      </c>
      <c r="D265" s="2">
        <f>PARAM!$H$38</f>
        <v>1</v>
      </c>
      <c r="E265" s="11">
        <f>PARAM!$G$38</f>
        <v>0</v>
      </c>
      <c r="F265" s="11">
        <f>(VLOOKUP(C265,DEDN!$A$8:$O$902,$F$2)*D265+E265)/1000</f>
        <v>4.0700000000000007E-3</v>
      </c>
      <c r="G265" s="178">
        <f t="shared" si="81"/>
        <v>22</v>
      </c>
      <c r="H265" s="178">
        <f t="shared" si="81"/>
        <v>22</v>
      </c>
      <c r="I265" s="2">
        <f>PARAM!$H$39</f>
        <v>0</v>
      </c>
      <c r="J265" s="11">
        <f>PARAM!$G$39</f>
        <v>0</v>
      </c>
      <c r="K265" s="11">
        <f>(VLOOKUP(H265,DEDN!$A$8:$O$902,$K$2)*I265+J265)/1000</f>
        <v>0</v>
      </c>
      <c r="L265" s="11">
        <f>MIN(IF(PARAM!$B$43=3,CHOOSE($L$2,F265,K265),F265+K265-F265*K265),1)</f>
        <v>4.0700000000000007E-3</v>
      </c>
      <c r="M265" s="2">
        <f>PARAM!$I$38</f>
        <v>0</v>
      </c>
      <c r="N265" s="11">
        <f>VLOOKUP(B265,DEDN!$A$8:$O$90,$N$2)*M265</f>
        <v>0</v>
      </c>
      <c r="O265" s="12"/>
      <c r="P265" s="10">
        <f>PARAM!$C$53^-A265</f>
        <v>1</v>
      </c>
      <c r="Q265" s="10">
        <f t="shared" si="82"/>
        <v>0.96772046034680048</v>
      </c>
      <c r="R265" s="10">
        <f t="shared" si="78"/>
        <v>0.96772046034680048</v>
      </c>
      <c r="S265" s="10">
        <f>CHOOSE(PARAM!$B$51,R265,0,0,0)*(A265&lt;PARAM!$B$55)</f>
        <v>0</v>
      </c>
      <c r="T265" s="10">
        <f t="shared" si="79"/>
        <v>3.2883238390080116E-4</v>
      </c>
      <c r="U265" s="10">
        <f>T265*P265*(A265&lt;PARAM!$B$55)</f>
        <v>0</v>
      </c>
      <c r="W265">
        <v>262</v>
      </c>
      <c r="X265" s="178">
        <f t="shared" si="83"/>
        <v>53</v>
      </c>
      <c r="Y265" s="178">
        <f t="shared" si="83"/>
        <v>53</v>
      </c>
      <c r="Z265" s="178">
        <f t="shared" si="83"/>
        <v>22</v>
      </c>
      <c r="AA265" s="178">
        <f t="shared" si="83"/>
        <v>22</v>
      </c>
      <c r="AD265" s="17">
        <f>CALC!E289*(A265&lt;PARAM!$B$55)</f>
        <v>0</v>
      </c>
      <c r="AE265">
        <f>IF(A265&lt;ITER!$C$16,1,PARAM!$C$53^-(RATES!A265-ITER!$C$16))*(A265&lt;PARAM!$B$55)</f>
        <v>0</v>
      </c>
    </row>
    <row r="266" spans="1:31" x14ac:dyDescent="0.2">
      <c r="A266" s="9">
        <v>263</v>
      </c>
      <c r="B266" s="178">
        <f t="shared" si="80"/>
        <v>53</v>
      </c>
      <c r="C266" s="178">
        <f t="shared" si="80"/>
        <v>53</v>
      </c>
      <c r="D266" s="2">
        <f>PARAM!$H$38</f>
        <v>1</v>
      </c>
      <c r="E266" s="11">
        <f>PARAM!$G$38</f>
        <v>0</v>
      </c>
      <c r="F266" s="11">
        <f>(VLOOKUP(C266,DEDN!$A$8:$O$902,$F$2)*D266+E266)/1000</f>
        <v>4.0700000000000007E-3</v>
      </c>
      <c r="G266" s="178">
        <f t="shared" si="81"/>
        <v>22</v>
      </c>
      <c r="H266" s="178">
        <f t="shared" si="81"/>
        <v>22</v>
      </c>
      <c r="I266" s="2">
        <f>PARAM!$H$39</f>
        <v>0</v>
      </c>
      <c r="J266" s="11">
        <f>PARAM!$G$39</f>
        <v>0</v>
      </c>
      <c r="K266" s="11">
        <f>(VLOOKUP(H266,DEDN!$A$8:$O$902,$K$2)*I266+J266)/1000</f>
        <v>0</v>
      </c>
      <c r="L266" s="11">
        <f>MIN(IF(PARAM!$B$43=3,CHOOSE($L$2,F266,K266),F266+K266-F266*K266),1)</f>
        <v>4.0700000000000007E-3</v>
      </c>
      <c r="M266" s="2">
        <f>PARAM!$I$38</f>
        <v>0</v>
      </c>
      <c r="N266" s="11">
        <f>VLOOKUP(B266,DEDN!$A$8:$O$90,$N$2)*M266</f>
        <v>0</v>
      </c>
      <c r="O266" s="12"/>
      <c r="P266" s="10">
        <f>PARAM!$C$53^-A266</f>
        <v>1</v>
      </c>
      <c r="Q266" s="10">
        <f t="shared" si="82"/>
        <v>0.96739162796289968</v>
      </c>
      <c r="R266" s="10">
        <f t="shared" si="78"/>
        <v>0.96739162796289968</v>
      </c>
      <c r="S266" s="10">
        <f>CHOOSE(PARAM!$B$51,R266,0,0,0)*(A266&lt;PARAM!$B$55)</f>
        <v>0</v>
      </c>
      <c r="T266" s="10">
        <f t="shared" si="79"/>
        <v>3.2872064632671893E-4</v>
      </c>
      <c r="U266" s="10">
        <f>T266*P266*(A266&lt;PARAM!$B$55)</f>
        <v>0</v>
      </c>
      <c r="W266">
        <v>263</v>
      </c>
      <c r="X266" s="178">
        <f t="shared" si="83"/>
        <v>53</v>
      </c>
      <c r="Y266" s="178">
        <f t="shared" si="83"/>
        <v>53</v>
      </c>
      <c r="Z266" s="178">
        <f t="shared" si="83"/>
        <v>22</v>
      </c>
      <c r="AA266" s="178">
        <f t="shared" si="83"/>
        <v>22</v>
      </c>
      <c r="AD266" s="17">
        <f>CALC!E290*(A266&lt;PARAM!$B$55)</f>
        <v>0</v>
      </c>
      <c r="AE266">
        <f>IF(A266&lt;ITER!$C$16,1,PARAM!$C$53^-(RATES!A266-ITER!$C$16))*(A266&lt;PARAM!$B$55)</f>
        <v>0</v>
      </c>
    </row>
    <row r="267" spans="1:31" x14ac:dyDescent="0.2">
      <c r="A267" s="9">
        <v>264</v>
      </c>
      <c r="B267" s="178">
        <f t="shared" si="80"/>
        <v>53</v>
      </c>
      <c r="C267" s="178">
        <f t="shared" si="80"/>
        <v>53</v>
      </c>
      <c r="D267" s="2">
        <f>PARAM!$H$38</f>
        <v>1</v>
      </c>
      <c r="E267" s="11">
        <f>PARAM!$G$38</f>
        <v>0</v>
      </c>
      <c r="F267" s="11">
        <f>(VLOOKUP(C267,DEDN!$A$8:$O$902,$F$2)*D267+E267)/1000</f>
        <v>4.0700000000000007E-3</v>
      </c>
      <c r="G267" s="178">
        <f t="shared" si="81"/>
        <v>22</v>
      </c>
      <c r="H267" s="178">
        <f t="shared" si="81"/>
        <v>22</v>
      </c>
      <c r="I267" s="2">
        <f>PARAM!$H$39</f>
        <v>0</v>
      </c>
      <c r="J267" s="11">
        <f>PARAM!$G$39</f>
        <v>0</v>
      </c>
      <c r="K267" s="11">
        <f>(VLOOKUP(H267,DEDN!$A$8:$O$902,$K$2)*I267+J267)/1000</f>
        <v>0</v>
      </c>
      <c r="L267" s="11">
        <f>MIN(IF(PARAM!$B$43=3,CHOOSE($L$2,F267,K267),F267+K267-F267*K267),1)</f>
        <v>4.0700000000000007E-3</v>
      </c>
      <c r="M267" s="2">
        <f>PARAM!$I$38</f>
        <v>0</v>
      </c>
      <c r="N267" s="11">
        <f>VLOOKUP(B267,DEDN!$A$8:$O$90,$N$2)*M267</f>
        <v>0</v>
      </c>
      <c r="O267" s="12"/>
      <c r="P267" s="10">
        <f>PARAM!$C$53^-A267</f>
        <v>1</v>
      </c>
      <c r="Q267" s="10">
        <f t="shared" si="82"/>
        <v>0.96706290731657296</v>
      </c>
      <c r="R267" s="10">
        <f t="shared" si="78"/>
        <v>0.96706290731657296</v>
      </c>
      <c r="S267" s="10">
        <f>R267*(A267&lt;PARAM!$B$55)</f>
        <v>0</v>
      </c>
      <c r="T267" s="10">
        <f t="shared" si="79"/>
        <v>3.286089467210429E-4</v>
      </c>
      <c r="U267" s="10">
        <f>T267*P267*(A267&lt;PARAM!$B$55)</f>
        <v>0</v>
      </c>
      <c r="W267">
        <v>264</v>
      </c>
      <c r="X267" s="178">
        <f t="shared" si="83"/>
        <v>53</v>
      </c>
      <c r="Y267" s="178">
        <f t="shared" si="83"/>
        <v>53</v>
      </c>
      <c r="Z267" s="178">
        <f t="shared" si="83"/>
        <v>22</v>
      </c>
      <c r="AA267" s="178">
        <f t="shared" si="83"/>
        <v>22</v>
      </c>
      <c r="AD267" s="17">
        <f>CALC!E291*(A267&lt;PARAM!$B$55)</f>
        <v>0</v>
      </c>
      <c r="AE267">
        <f>IF(A267&lt;ITER!$C$16,1,PARAM!$C$53^-(RATES!A267-ITER!$C$16))*(A267&lt;PARAM!$B$55)</f>
        <v>0</v>
      </c>
    </row>
    <row r="268" spans="1:31" x14ac:dyDescent="0.2">
      <c r="A268" s="9">
        <v>265</v>
      </c>
      <c r="B268" s="178">
        <f t="shared" si="80"/>
        <v>53</v>
      </c>
      <c r="C268" s="178">
        <f t="shared" si="80"/>
        <v>53</v>
      </c>
      <c r="D268" s="2">
        <f>PARAM!$H$38</f>
        <v>1</v>
      </c>
      <c r="E268" s="11">
        <f>PARAM!$G$38</f>
        <v>0</v>
      </c>
      <c r="F268" s="11">
        <f>(VLOOKUP(C268,DEDN!$A$8:$O$902,$F$2)*D268+E268)/1000</f>
        <v>4.0700000000000007E-3</v>
      </c>
      <c r="G268" s="178">
        <f t="shared" si="81"/>
        <v>22</v>
      </c>
      <c r="H268" s="178">
        <f t="shared" si="81"/>
        <v>22</v>
      </c>
      <c r="I268" s="2">
        <f>PARAM!$H$39</f>
        <v>0</v>
      </c>
      <c r="J268" s="11">
        <f>PARAM!$G$39</f>
        <v>0</v>
      </c>
      <c r="K268" s="11">
        <f>(VLOOKUP(H268,DEDN!$A$8:$O$902,$K$2)*I268+J268)/1000</f>
        <v>0</v>
      </c>
      <c r="L268" s="11">
        <f>MIN(IF(PARAM!$B$43=3,CHOOSE($L$2,F268,K268),F268+K268-F268*K268),1)</f>
        <v>4.0700000000000007E-3</v>
      </c>
      <c r="M268" s="2">
        <f>PARAM!$I$38</f>
        <v>0</v>
      </c>
      <c r="N268" s="11">
        <f>VLOOKUP(B268,DEDN!$A$8:$O$90,$N$2)*M268</f>
        <v>0</v>
      </c>
      <c r="O268" s="12"/>
      <c r="P268" s="10">
        <f>PARAM!$C$53^-A268</f>
        <v>1</v>
      </c>
      <c r="Q268" s="10">
        <f t="shared" si="82"/>
        <v>0.96673429836985192</v>
      </c>
      <c r="R268" s="10">
        <f t="shared" si="78"/>
        <v>0.96673429836985192</v>
      </c>
      <c r="S268" s="10">
        <f>CHOOSE(PARAM!$B$51,R268,0,0,0)*(A268&lt;PARAM!$B$55)</f>
        <v>0</v>
      </c>
      <c r="T268" s="10">
        <f t="shared" si="79"/>
        <v>3.2849728507111653E-4</v>
      </c>
      <c r="U268" s="10">
        <f>T268*P268*(A268&lt;PARAM!$B$55)</f>
        <v>0</v>
      </c>
      <c r="W268">
        <v>265</v>
      </c>
      <c r="X268" s="178">
        <f t="shared" si="83"/>
        <v>53</v>
      </c>
      <c r="Y268" s="178">
        <f t="shared" si="83"/>
        <v>53</v>
      </c>
      <c r="Z268" s="178">
        <f t="shared" si="83"/>
        <v>22</v>
      </c>
      <c r="AA268" s="178">
        <f t="shared" si="83"/>
        <v>22</v>
      </c>
      <c r="AD268" s="17">
        <f>CALC!E292*(A268&lt;PARAM!$B$55)</f>
        <v>0</v>
      </c>
      <c r="AE268">
        <f>IF(A268&lt;ITER!$C$16,1,PARAM!$C$53^-(RATES!A268-ITER!$C$16))*(A268&lt;PARAM!$B$55)</f>
        <v>0</v>
      </c>
    </row>
    <row r="269" spans="1:31" x14ac:dyDescent="0.2">
      <c r="A269" s="9">
        <v>266</v>
      </c>
      <c r="B269" s="178">
        <f t="shared" si="80"/>
        <v>53</v>
      </c>
      <c r="C269" s="178">
        <f t="shared" si="80"/>
        <v>53</v>
      </c>
      <c r="D269" s="2">
        <f>PARAM!$H$38</f>
        <v>1</v>
      </c>
      <c r="E269" s="11">
        <f>PARAM!$G$38</f>
        <v>0</v>
      </c>
      <c r="F269" s="11">
        <f>(VLOOKUP(C269,DEDN!$A$8:$O$902,$F$2)*D269+E269)/1000</f>
        <v>4.0700000000000007E-3</v>
      </c>
      <c r="G269" s="178">
        <f t="shared" si="81"/>
        <v>22</v>
      </c>
      <c r="H269" s="178">
        <f t="shared" si="81"/>
        <v>22</v>
      </c>
      <c r="I269" s="2">
        <f>PARAM!$H$39</f>
        <v>0</v>
      </c>
      <c r="J269" s="11">
        <f>PARAM!$G$39</f>
        <v>0</v>
      </c>
      <c r="K269" s="11">
        <f>(VLOOKUP(H269,DEDN!$A$8:$O$902,$K$2)*I269+J269)/1000</f>
        <v>0</v>
      </c>
      <c r="L269" s="11">
        <f>MIN(IF(PARAM!$B$43=3,CHOOSE($L$2,F269,K269),F269+K269-F269*K269),1)</f>
        <v>4.0700000000000007E-3</v>
      </c>
      <c r="M269" s="2">
        <f>PARAM!$I$38</f>
        <v>0</v>
      </c>
      <c r="N269" s="11">
        <f>VLOOKUP(B269,DEDN!$A$8:$O$90,$N$2)*M269</f>
        <v>0</v>
      </c>
      <c r="O269" s="12"/>
      <c r="P269" s="10">
        <f>PARAM!$C$53^-A269</f>
        <v>1</v>
      </c>
      <c r="Q269" s="10">
        <f t="shared" si="82"/>
        <v>0.9664058010847808</v>
      </c>
      <c r="R269" s="10">
        <f t="shared" si="78"/>
        <v>0.9664058010847808</v>
      </c>
      <c r="S269" s="10">
        <f>CHOOSE(PARAM!$B$51,R269,0,0,0)*(A269&lt;PARAM!$B$55)</f>
        <v>0</v>
      </c>
      <c r="T269" s="10">
        <f t="shared" si="79"/>
        <v>3.2838566136383918E-4</v>
      </c>
      <c r="U269" s="10">
        <f>T269*P269*(A269&lt;PARAM!$B$55)</f>
        <v>0</v>
      </c>
      <c r="W269">
        <v>266</v>
      </c>
      <c r="X269" s="178">
        <f t="shared" si="83"/>
        <v>53</v>
      </c>
      <c r="Y269" s="178">
        <f t="shared" si="83"/>
        <v>53</v>
      </c>
      <c r="Z269" s="178">
        <f t="shared" si="83"/>
        <v>22</v>
      </c>
      <c r="AA269" s="178">
        <f t="shared" si="83"/>
        <v>22</v>
      </c>
      <c r="AD269" s="17">
        <f>CALC!E293*(A269&lt;PARAM!$B$55)</f>
        <v>0</v>
      </c>
      <c r="AE269">
        <f>IF(A269&lt;ITER!$C$16,1,PARAM!$C$53^-(RATES!A269-ITER!$C$16))*(A269&lt;PARAM!$B$55)</f>
        <v>0</v>
      </c>
    </row>
    <row r="270" spans="1:31" x14ac:dyDescent="0.2">
      <c r="A270" s="9">
        <v>267</v>
      </c>
      <c r="B270" s="178">
        <f t="shared" si="80"/>
        <v>53</v>
      </c>
      <c r="C270" s="178">
        <f t="shared" si="80"/>
        <v>53</v>
      </c>
      <c r="D270" s="2">
        <f>PARAM!$H$38</f>
        <v>1</v>
      </c>
      <c r="E270" s="11">
        <f>PARAM!$G$38</f>
        <v>0</v>
      </c>
      <c r="F270" s="11">
        <f>(VLOOKUP(C270,DEDN!$A$8:$O$902,$F$2)*D270+E270)/1000</f>
        <v>4.0700000000000007E-3</v>
      </c>
      <c r="G270" s="178">
        <f t="shared" si="81"/>
        <v>22</v>
      </c>
      <c r="H270" s="178">
        <f t="shared" si="81"/>
        <v>22</v>
      </c>
      <c r="I270" s="2">
        <f>PARAM!$H$39</f>
        <v>0</v>
      </c>
      <c r="J270" s="11">
        <f>PARAM!$G$39</f>
        <v>0</v>
      </c>
      <c r="K270" s="11">
        <f>(VLOOKUP(H270,DEDN!$A$8:$O$902,$K$2)*I270+J270)/1000</f>
        <v>0</v>
      </c>
      <c r="L270" s="11">
        <f>MIN(IF(PARAM!$B$43=3,CHOOSE($L$2,F270,K270),F270+K270-F270*K270),1)</f>
        <v>4.0700000000000007E-3</v>
      </c>
      <c r="M270" s="2">
        <f>PARAM!$I$38</f>
        <v>0</v>
      </c>
      <c r="N270" s="11">
        <f>VLOOKUP(B270,DEDN!$A$8:$O$90,$N$2)*M270</f>
        <v>0</v>
      </c>
      <c r="O270" s="12"/>
      <c r="P270" s="10">
        <f>PARAM!$C$53^-A270</f>
        <v>1</v>
      </c>
      <c r="Q270" s="10">
        <f t="shared" si="82"/>
        <v>0.96607741542341696</v>
      </c>
      <c r="R270" s="10">
        <f t="shared" si="78"/>
        <v>0.96607741542341696</v>
      </c>
      <c r="S270" s="10">
        <f>CHOOSE(PARAM!$B$51,R270,R270,0,0)*(A270&lt;PARAM!$B$55)</f>
        <v>0</v>
      </c>
      <c r="T270" s="10">
        <f t="shared" si="79"/>
        <v>3.2827407558644328E-4</v>
      </c>
      <c r="U270" s="10">
        <f>T270*P270*(A270&lt;PARAM!$B$55)</f>
        <v>0</v>
      </c>
      <c r="W270">
        <v>267</v>
      </c>
      <c r="X270" s="178">
        <f t="shared" si="83"/>
        <v>53</v>
      </c>
      <c r="Y270" s="178">
        <f t="shared" si="83"/>
        <v>53</v>
      </c>
      <c r="Z270" s="178">
        <f t="shared" si="83"/>
        <v>22</v>
      </c>
      <c r="AA270" s="178">
        <f t="shared" si="83"/>
        <v>22</v>
      </c>
      <c r="AD270" s="17">
        <f>CALC!E294*(A270&lt;PARAM!$B$55)</f>
        <v>0</v>
      </c>
      <c r="AE270">
        <f>IF(A270&lt;ITER!$C$16,1,PARAM!$C$53^-(RATES!A270-ITER!$C$16))*(A270&lt;PARAM!$B$55)</f>
        <v>0</v>
      </c>
    </row>
    <row r="271" spans="1:31" x14ac:dyDescent="0.2">
      <c r="A271" s="9">
        <v>268</v>
      </c>
      <c r="B271" s="178">
        <f t="shared" si="80"/>
        <v>53</v>
      </c>
      <c r="C271" s="178">
        <f t="shared" si="80"/>
        <v>53</v>
      </c>
      <c r="D271" s="2">
        <f>PARAM!$H$38</f>
        <v>1</v>
      </c>
      <c r="E271" s="11">
        <f>PARAM!$G$38</f>
        <v>0</v>
      </c>
      <c r="F271" s="11">
        <f>(VLOOKUP(C271,DEDN!$A$8:$O$902,$F$2)*D271+E271)/1000</f>
        <v>4.0700000000000007E-3</v>
      </c>
      <c r="G271" s="178">
        <f t="shared" si="81"/>
        <v>22</v>
      </c>
      <c r="H271" s="178">
        <f t="shared" si="81"/>
        <v>22</v>
      </c>
      <c r="I271" s="2">
        <f>PARAM!$H$39</f>
        <v>0</v>
      </c>
      <c r="J271" s="11">
        <f>PARAM!$G$39</f>
        <v>0</v>
      </c>
      <c r="K271" s="11">
        <f>(VLOOKUP(H271,DEDN!$A$8:$O$902,$K$2)*I271+J271)/1000</f>
        <v>0</v>
      </c>
      <c r="L271" s="11">
        <f>MIN(IF(PARAM!$B$43=3,CHOOSE($L$2,F271,K271),F271+K271-F271*K271),1)</f>
        <v>4.0700000000000007E-3</v>
      </c>
      <c r="M271" s="2">
        <f>PARAM!$I$38</f>
        <v>0</v>
      </c>
      <c r="N271" s="11">
        <f>VLOOKUP(B271,DEDN!$A$8:$O$90,$N$2)*M271</f>
        <v>0</v>
      </c>
      <c r="O271" s="12"/>
      <c r="P271" s="10">
        <f>PARAM!$C$53^-A271</f>
        <v>1</v>
      </c>
      <c r="Q271" s="10">
        <f t="shared" si="82"/>
        <v>0.96574914134783052</v>
      </c>
      <c r="R271" s="10">
        <f t="shared" si="78"/>
        <v>0.96574914134783052</v>
      </c>
      <c r="S271" s="10">
        <f>CHOOSE(PARAM!$B$51,R271,0,0,0)*(A271&lt;PARAM!$B$55)</f>
        <v>0</v>
      </c>
      <c r="T271" s="10">
        <f t="shared" si="79"/>
        <v>3.2816252772605026E-4</v>
      </c>
      <c r="U271" s="10">
        <f>T271*P271*(A271&lt;PARAM!$B$55)</f>
        <v>0</v>
      </c>
      <c r="W271">
        <v>268</v>
      </c>
      <c r="X271" s="178">
        <f t="shared" si="83"/>
        <v>53</v>
      </c>
      <c r="Y271" s="178">
        <f t="shared" si="83"/>
        <v>53</v>
      </c>
      <c r="Z271" s="178">
        <f t="shared" si="83"/>
        <v>22</v>
      </c>
      <c r="AA271" s="178">
        <f t="shared" si="83"/>
        <v>22</v>
      </c>
      <c r="AD271" s="17">
        <f>CALC!E295*(A271&lt;PARAM!$B$55)</f>
        <v>0</v>
      </c>
      <c r="AE271">
        <f>IF(A271&lt;ITER!$C$16,1,PARAM!$C$53^-(RATES!A271-ITER!$C$16))*(A271&lt;PARAM!$B$55)</f>
        <v>0</v>
      </c>
    </row>
    <row r="272" spans="1:31" x14ac:dyDescent="0.2">
      <c r="A272" s="9">
        <v>269</v>
      </c>
      <c r="B272" s="178">
        <f t="shared" si="80"/>
        <v>53</v>
      </c>
      <c r="C272" s="178">
        <f t="shared" si="80"/>
        <v>53</v>
      </c>
      <c r="D272" s="2">
        <f>PARAM!$H$38</f>
        <v>1</v>
      </c>
      <c r="E272" s="11">
        <f>PARAM!$G$38</f>
        <v>0</v>
      </c>
      <c r="F272" s="11">
        <f>(VLOOKUP(C272,DEDN!$A$8:$O$902,$F$2)*D272+E272)/1000</f>
        <v>4.0700000000000007E-3</v>
      </c>
      <c r="G272" s="178">
        <f t="shared" si="81"/>
        <v>22</v>
      </c>
      <c r="H272" s="178">
        <f t="shared" si="81"/>
        <v>22</v>
      </c>
      <c r="I272" s="2">
        <f>PARAM!$H$39</f>
        <v>0</v>
      </c>
      <c r="J272" s="11">
        <f>PARAM!$G$39</f>
        <v>0</v>
      </c>
      <c r="K272" s="11">
        <f>(VLOOKUP(H272,DEDN!$A$8:$O$902,$K$2)*I272+J272)/1000</f>
        <v>0</v>
      </c>
      <c r="L272" s="11">
        <f>MIN(IF(PARAM!$B$43=3,CHOOSE($L$2,F272,K272),F272+K272-F272*K272),1)</f>
        <v>4.0700000000000007E-3</v>
      </c>
      <c r="M272" s="2">
        <f>PARAM!$I$38</f>
        <v>0</v>
      </c>
      <c r="N272" s="11">
        <f>VLOOKUP(B272,DEDN!$A$8:$O$90,$N$2)*M272</f>
        <v>0</v>
      </c>
      <c r="O272" s="12"/>
      <c r="P272" s="10">
        <f>PARAM!$C$53^-A272</f>
        <v>1</v>
      </c>
      <c r="Q272" s="10">
        <f t="shared" si="82"/>
        <v>0.96542097882010447</v>
      </c>
      <c r="R272" s="10">
        <f t="shared" si="78"/>
        <v>0.96542097882010447</v>
      </c>
      <c r="S272" s="10">
        <f>CHOOSE(PARAM!$B$51,R272,0,0,0)*(A272&lt;PARAM!$B$55)</f>
        <v>0</v>
      </c>
      <c r="T272" s="10">
        <f t="shared" si="79"/>
        <v>3.2805101776967049E-4</v>
      </c>
      <c r="U272" s="10">
        <f>T272*P272*(A272&lt;PARAM!$B$55)</f>
        <v>0</v>
      </c>
      <c r="W272">
        <v>269</v>
      </c>
      <c r="X272" s="178">
        <f t="shared" si="83"/>
        <v>53</v>
      </c>
      <c r="Y272" s="178">
        <f t="shared" si="83"/>
        <v>53</v>
      </c>
      <c r="Z272" s="178">
        <f t="shared" si="83"/>
        <v>22</v>
      </c>
      <c r="AA272" s="178">
        <f t="shared" si="83"/>
        <v>22</v>
      </c>
      <c r="AD272" s="17">
        <f>CALC!E296*(A272&lt;PARAM!$B$55)</f>
        <v>0</v>
      </c>
      <c r="AE272">
        <f>IF(A272&lt;ITER!$C$16,1,PARAM!$C$53^-(RATES!A272-ITER!$C$16))*(A272&lt;PARAM!$B$55)</f>
        <v>0</v>
      </c>
    </row>
    <row r="273" spans="1:31" x14ac:dyDescent="0.2">
      <c r="A273" s="9">
        <v>270</v>
      </c>
      <c r="B273" s="178">
        <f t="shared" si="80"/>
        <v>54</v>
      </c>
      <c r="C273" s="178">
        <f t="shared" si="80"/>
        <v>54</v>
      </c>
      <c r="D273" s="2">
        <f>PARAM!$H$38</f>
        <v>1</v>
      </c>
      <c r="E273" s="11">
        <f>PARAM!$G$38</f>
        <v>0</v>
      </c>
      <c r="F273" s="11">
        <f>(VLOOKUP(C273,DEDN!$A$8:$O$902,$F$2)*D273+E273)/1000</f>
        <v>4.5599999999999998E-3</v>
      </c>
      <c r="G273" s="178">
        <f t="shared" si="81"/>
        <v>23</v>
      </c>
      <c r="H273" s="178">
        <f t="shared" si="81"/>
        <v>23</v>
      </c>
      <c r="I273" s="2">
        <f>PARAM!$H$39</f>
        <v>0</v>
      </c>
      <c r="J273" s="11">
        <f>PARAM!$G$39</f>
        <v>0</v>
      </c>
      <c r="K273" s="11">
        <f>(VLOOKUP(H273,DEDN!$A$8:$O$902,$K$2)*I273+J273)/1000</f>
        <v>0</v>
      </c>
      <c r="L273" s="11">
        <f>MIN(IF(PARAM!$B$43=3,CHOOSE($L$2,F273,K273),F273+K273-F273*K273),1)</f>
        <v>4.5599999999999998E-3</v>
      </c>
      <c r="M273" s="2">
        <f>PARAM!$I$38</f>
        <v>0</v>
      </c>
      <c r="N273" s="11">
        <f>VLOOKUP(B273,DEDN!$A$8:$O$90,$N$2)*M273</f>
        <v>0</v>
      </c>
      <c r="O273" s="12"/>
      <c r="P273" s="10">
        <f>PARAM!$C$53^-A273</f>
        <v>1</v>
      </c>
      <c r="Q273" s="10">
        <f t="shared" si="82"/>
        <v>0.9650929278023348</v>
      </c>
      <c r="R273" s="10">
        <f t="shared" si="78"/>
        <v>0.9650929278023348</v>
      </c>
      <c r="S273" s="10">
        <f>CHOOSE(PARAM!$B$51,R273,R273,R273,0)*(A273&lt;PARAM!$B$55)</f>
        <v>0</v>
      </c>
      <c r="T273" s="10">
        <f t="shared" si="79"/>
        <v>3.6750402982188568E-4</v>
      </c>
      <c r="U273" s="10">
        <f>T273*P273*(A273&lt;PARAM!$B$55)</f>
        <v>0</v>
      </c>
      <c r="W273">
        <v>270</v>
      </c>
      <c r="X273" s="178">
        <f t="shared" si="83"/>
        <v>54</v>
      </c>
      <c r="Y273" s="178">
        <f t="shared" si="83"/>
        <v>54</v>
      </c>
      <c r="Z273" s="178">
        <f t="shared" si="83"/>
        <v>23</v>
      </c>
      <c r="AA273" s="178">
        <f t="shared" si="83"/>
        <v>23</v>
      </c>
      <c r="AD273" s="17">
        <f>CALC!E297*(A273&lt;PARAM!$B$55)</f>
        <v>0</v>
      </c>
      <c r="AE273">
        <f>IF(A273&lt;ITER!$C$16,1,PARAM!$C$53^-(RATES!A273-ITER!$C$16))*(A273&lt;PARAM!$B$55)</f>
        <v>0</v>
      </c>
    </row>
    <row r="274" spans="1:31" x14ac:dyDescent="0.2">
      <c r="A274" s="9">
        <v>271</v>
      </c>
      <c r="B274" s="178">
        <f t="shared" si="80"/>
        <v>54</v>
      </c>
      <c r="C274" s="178">
        <f t="shared" si="80"/>
        <v>54</v>
      </c>
      <c r="D274" s="2">
        <f>PARAM!$H$38</f>
        <v>1</v>
      </c>
      <c r="E274" s="11">
        <f>PARAM!$G$38</f>
        <v>0</v>
      </c>
      <c r="F274" s="11">
        <f>(VLOOKUP(C274,DEDN!$A$8:$O$902,$F$2)*D274+E274)/1000</f>
        <v>4.5599999999999998E-3</v>
      </c>
      <c r="G274" s="178">
        <f t="shared" si="81"/>
        <v>23</v>
      </c>
      <c r="H274" s="178">
        <f t="shared" si="81"/>
        <v>23</v>
      </c>
      <c r="I274" s="2">
        <f>PARAM!$H$39</f>
        <v>0</v>
      </c>
      <c r="J274" s="11">
        <f>PARAM!$G$39</f>
        <v>0</v>
      </c>
      <c r="K274" s="11">
        <f>(VLOOKUP(H274,DEDN!$A$8:$O$902,$K$2)*I274+J274)/1000</f>
        <v>0</v>
      </c>
      <c r="L274" s="11">
        <f>MIN(IF(PARAM!$B$43=3,CHOOSE($L$2,F274,K274),F274+K274-F274*K274),1)</f>
        <v>4.5599999999999998E-3</v>
      </c>
      <c r="M274" s="2">
        <f>PARAM!$I$38</f>
        <v>0</v>
      </c>
      <c r="N274" s="11">
        <f>VLOOKUP(B274,DEDN!$A$8:$O$90,$N$2)*M274</f>
        <v>0</v>
      </c>
      <c r="O274" s="12"/>
      <c r="P274" s="10">
        <f>PARAM!$C$53^-A274</f>
        <v>1</v>
      </c>
      <c r="Q274" s="10">
        <f t="shared" si="82"/>
        <v>0.96472542377251291</v>
      </c>
      <c r="R274" s="10">
        <f t="shared" si="78"/>
        <v>0.96472542377251291</v>
      </c>
      <c r="S274" s="10">
        <f>CHOOSE(PARAM!$B$51,R274,0,0,0)*(A274&lt;PARAM!$B$55)</f>
        <v>0</v>
      </c>
      <c r="T274" s="10">
        <f t="shared" si="79"/>
        <v>3.6736408556570233E-4</v>
      </c>
      <c r="U274" s="10">
        <f>T274*P274*(A274&lt;PARAM!$B$55)</f>
        <v>0</v>
      </c>
      <c r="W274">
        <v>271</v>
      </c>
      <c r="X274" s="178">
        <f t="shared" si="83"/>
        <v>54</v>
      </c>
      <c r="Y274" s="178">
        <f t="shared" si="83"/>
        <v>54</v>
      </c>
      <c r="Z274" s="178">
        <f t="shared" si="83"/>
        <v>23</v>
      </c>
      <c r="AA274" s="178">
        <f t="shared" si="83"/>
        <v>23</v>
      </c>
      <c r="AD274" s="17">
        <f>CALC!E298*(A274&lt;PARAM!$B$55)</f>
        <v>0</v>
      </c>
      <c r="AE274">
        <f>IF(A274&lt;ITER!$C$16,1,PARAM!$C$53^-(RATES!A274-ITER!$C$16))*(A274&lt;PARAM!$B$55)</f>
        <v>0</v>
      </c>
    </row>
    <row r="275" spans="1:31" x14ac:dyDescent="0.2">
      <c r="A275" s="9">
        <v>272</v>
      </c>
      <c r="B275" s="178">
        <f t="shared" si="80"/>
        <v>54</v>
      </c>
      <c r="C275" s="178">
        <f t="shared" si="80"/>
        <v>54</v>
      </c>
      <c r="D275" s="2">
        <f>PARAM!$H$38</f>
        <v>1</v>
      </c>
      <c r="E275" s="11">
        <f>PARAM!$G$38</f>
        <v>0</v>
      </c>
      <c r="F275" s="11">
        <f>(VLOOKUP(C275,DEDN!$A$8:$O$902,$F$2)*D275+E275)/1000</f>
        <v>4.5599999999999998E-3</v>
      </c>
      <c r="G275" s="178">
        <f t="shared" si="81"/>
        <v>23</v>
      </c>
      <c r="H275" s="178">
        <f t="shared" si="81"/>
        <v>23</v>
      </c>
      <c r="I275" s="2">
        <f>PARAM!$H$39</f>
        <v>0</v>
      </c>
      <c r="J275" s="11">
        <f>PARAM!$G$39</f>
        <v>0</v>
      </c>
      <c r="K275" s="11">
        <f>(VLOOKUP(H275,DEDN!$A$8:$O$902,$K$2)*I275+J275)/1000</f>
        <v>0</v>
      </c>
      <c r="L275" s="11">
        <f>MIN(IF(PARAM!$B$43=3,CHOOSE($L$2,F275,K275),F275+K275-F275*K275),1)</f>
        <v>4.5599999999999998E-3</v>
      </c>
      <c r="M275" s="2">
        <f>PARAM!$I$38</f>
        <v>0</v>
      </c>
      <c r="N275" s="11">
        <f>VLOOKUP(B275,DEDN!$A$8:$O$90,$N$2)*M275</f>
        <v>0</v>
      </c>
      <c r="O275" s="12"/>
      <c r="P275" s="10">
        <f>PARAM!$C$53^-A275</f>
        <v>1</v>
      </c>
      <c r="Q275" s="10">
        <f t="shared" si="82"/>
        <v>0.96435805968694721</v>
      </c>
      <c r="R275" s="10">
        <f t="shared" si="78"/>
        <v>0.96435805968694721</v>
      </c>
      <c r="S275" s="10">
        <f>CHOOSE(PARAM!$B$51,R275,0,0,0)*(A275&lt;PARAM!$B$55)</f>
        <v>0</v>
      </c>
      <c r="T275" s="10">
        <f t="shared" si="79"/>
        <v>3.6722419459978006E-4</v>
      </c>
      <c r="U275" s="10">
        <f>T275*P275*(A275&lt;PARAM!$B$55)</f>
        <v>0</v>
      </c>
      <c r="W275">
        <v>272</v>
      </c>
      <c r="X275" s="178">
        <f t="shared" si="83"/>
        <v>54</v>
      </c>
      <c r="Y275" s="178">
        <f t="shared" si="83"/>
        <v>54</v>
      </c>
      <c r="Z275" s="178">
        <f t="shared" si="83"/>
        <v>23</v>
      </c>
      <c r="AA275" s="178">
        <f t="shared" si="83"/>
        <v>23</v>
      </c>
      <c r="AD275" s="17">
        <f>CALC!E299*(A275&lt;PARAM!$B$55)</f>
        <v>0</v>
      </c>
      <c r="AE275">
        <f>IF(A275&lt;ITER!$C$16,1,PARAM!$C$53^-(RATES!A275-ITER!$C$16))*(A275&lt;PARAM!$B$55)</f>
        <v>0</v>
      </c>
    </row>
    <row r="276" spans="1:31" x14ac:dyDescent="0.2">
      <c r="A276" s="9">
        <v>273</v>
      </c>
      <c r="B276" s="178">
        <f t="shared" si="80"/>
        <v>54</v>
      </c>
      <c r="C276" s="178">
        <f t="shared" si="80"/>
        <v>54</v>
      </c>
      <c r="D276" s="2">
        <f>PARAM!$H$38</f>
        <v>1</v>
      </c>
      <c r="E276" s="11">
        <f>PARAM!$G$38</f>
        <v>0</v>
      </c>
      <c r="F276" s="11">
        <f>(VLOOKUP(C276,DEDN!$A$8:$O$902,$F$2)*D276+E276)/1000</f>
        <v>4.5599999999999998E-3</v>
      </c>
      <c r="G276" s="178">
        <f t="shared" si="81"/>
        <v>23</v>
      </c>
      <c r="H276" s="178">
        <f t="shared" si="81"/>
        <v>23</v>
      </c>
      <c r="I276" s="2">
        <f>PARAM!$H$39</f>
        <v>0</v>
      </c>
      <c r="J276" s="11">
        <f>PARAM!$G$39</f>
        <v>0</v>
      </c>
      <c r="K276" s="11">
        <f>(VLOOKUP(H276,DEDN!$A$8:$O$902,$K$2)*I276+J276)/1000</f>
        <v>0</v>
      </c>
      <c r="L276" s="11">
        <f>MIN(IF(PARAM!$B$43=3,CHOOSE($L$2,F276,K276),F276+K276-F276*K276),1)</f>
        <v>4.5599999999999998E-3</v>
      </c>
      <c r="M276" s="2">
        <f>PARAM!$I$38</f>
        <v>0</v>
      </c>
      <c r="N276" s="11">
        <f>VLOOKUP(B276,DEDN!$A$8:$O$90,$N$2)*M276</f>
        <v>0</v>
      </c>
      <c r="O276" s="12"/>
      <c r="P276" s="10">
        <f>PARAM!$C$53^-A276</f>
        <v>1</v>
      </c>
      <c r="Q276" s="10">
        <f t="shared" si="82"/>
        <v>0.96399083549234743</v>
      </c>
      <c r="R276" s="10">
        <f t="shared" ref="R276:R291" si="84">P276*Q276</f>
        <v>0.96399083549234743</v>
      </c>
      <c r="S276" s="10">
        <f>CHOOSE(PARAM!$B$51,R276,R276,0,0)*(A276&lt;PARAM!$B$55)</f>
        <v>0</v>
      </c>
      <c r="T276" s="10">
        <f t="shared" si="79"/>
        <v>3.6708435690391283E-4</v>
      </c>
      <c r="U276" s="10">
        <f>T276*P276*(A276&lt;PARAM!$B$55)</f>
        <v>0</v>
      </c>
      <c r="W276">
        <v>273</v>
      </c>
      <c r="X276" s="178">
        <f t="shared" si="83"/>
        <v>54</v>
      </c>
      <c r="Y276" s="178">
        <f t="shared" si="83"/>
        <v>54</v>
      </c>
      <c r="Z276" s="178">
        <f t="shared" si="83"/>
        <v>23</v>
      </c>
      <c r="AA276" s="178">
        <f t="shared" si="83"/>
        <v>23</v>
      </c>
      <c r="AD276" s="17">
        <f>CALC!E300*(A276&lt;PARAM!$B$55)</f>
        <v>0</v>
      </c>
      <c r="AE276">
        <f>IF(A276&lt;ITER!$C$16,1,PARAM!$C$53^-(RATES!A276-ITER!$C$16))*(A276&lt;PARAM!$B$55)</f>
        <v>0</v>
      </c>
    </row>
    <row r="277" spans="1:31" x14ac:dyDescent="0.2">
      <c r="A277" s="9">
        <v>274</v>
      </c>
      <c r="B277" s="178">
        <f t="shared" si="80"/>
        <v>54</v>
      </c>
      <c r="C277" s="178">
        <f t="shared" si="80"/>
        <v>54</v>
      </c>
      <c r="D277" s="2">
        <f>PARAM!$H$38</f>
        <v>1</v>
      </c>
      <c r="E277" s="11">
        <f>PARAM!$G$38</f>
        <v>0</v>
      </c>
      <c r="F277" s="11">
        <f>(VLOOKUP(C277,DEDN!$A$8:$O$902,$F$2)*D277+E277)/1000</f>
        <v>4.5599999999999998E-3</v>
      </c>
      <c r="G277" s="178">
        <f t="shared" si="81"/>
        <v>23</v>
      </c>
      <c r="H277" s="178">
        <f t="shared" si="81"/>
        <v>23</v>
      </c>
      <c r="I277" s="2">
        <f>PARAM!$H$39</f>
        <v>0</v>
      </c>
      <c r="J277" s="11">
        <f>PARAM!$G$39</f>
        <v>0</v>
      </c>
      <c r="K277" s="11">
        <f>(VLOOKUP(H277,DEDN!$A$8:$O$902,$K$2)*I277+J277)/1000</f>
        <v>0</v>
      </c>
      <c r="L277" s="11">
        <f>MIN(IF(PARAM!$B$43=3,CHOOSE($L$2,F277,K277),F277+K277-F277*K277),1)</f>
        <v>4.5599999999999998E-3</v>
      </c>
      <c r="M277" s="2">
        <f>PARAM!$I$38</f>
        <v>0</v>
      </c>
      <c r="N277" s="11">
        <f>VLOOKUP(B277,DEDN!$A$8:$O$90,$N$2)*M277</f>
        <v>0</v>
      </c>
      <c r="O277" s="12"/>
      <c r="P277" s="10">
        <f>PARAM!$C$53^-A277</f>
        <v>1</v>
      </c>
      <c r="Q277" s="10">
        <f t="shared" ref="Q277:Q292" si="85">Q276*(1-L276)^(1/12)</f>
        <v>0.96362375113544352</v>
      </c>
      <c r="R277" s="10">
        <f t="shared" si="84"/>
        <v>0.96362375113544352</v>
      </c>
      <c r="S277" s="10">
        <f>CHOOSE(PARAM!$B$51,R277,0,0,0)*(A277&lt;PARAM!$B$55)</f>
        <v>0</v>
      </c>
      <c r="T277" s="10">
        <f t="shared" si="79"/>
        <v>3.6694457245767254E-4</v>
      </c>
      <c r="U277" s="10">
        <f>T277*P277*(A277&lt;PARAM!$B$55)</f>
        <v>0</v>
      </c>
      <c r="W277">
        <v>274</v>
      </c>
      <c r="X277" s="178">
        <f t="shared" si="83"/>
        <v>54</v>
      </c>
      <c r="Y277" s="178">
        <f t="shared" si="83"/>
        <v>54</v>
      </c>
      <c r="Z277" s="178">
        <f t="shared" si="83"/>
        <v>23</v>
      </c>
      <c r="AA277" s="178">
        <f t="shared" si="83"/>
        <v>23</v>
      </c>
      <c r="AD277" s="17">
        <f>CALC!E301*(A277&lt;PARAM!$B$55)</f>
        <v>0</v>
      </c>
      <c r="AE277">
        <f>IF(A277&lt;ITER!$C$16,1,PARAM!$C$53^-(RATES!A277-ITER!$C$16))*(A277&lt;PARAM!$B$55)</f>
        <v>0</v>
      </c>
    </row>
    <row r="278" spans="1:31" x14ac:dyDescent="0.2">
      <c r="A278" s="9">
        <v>275</v>
      </c>
      <c r="B278" s="178">
        <f t="shared" si="80"/>
        <v>54</v>
      </c>
      <c r="C278" s="178">
        <f t="shared" si="80"/>
        <v>54</v>
      </c>
      <c r="D278" s="2">
        <f>PARAM!$H$38</f>
        <v>1</v>
      </c>
      <c r="E278" s="11">
        <f>PARAM!$G$38</f>
        <v>0</v>
      </c>
      <c r="F278" s="11">
        <f>(VLOOKUP(C278,DEDN!$A$8:$O$902,$F$2)*D278+E278)/1000</f>
        <v>4.5599999999999998E-3</v>
      </c>
      <c r="G278" s="178">
        <f t="shared" si="81"/>
        <v>23</v>
      </c>
      <c r="H278" s="178">
        <f t="shared" si="81"/>
        <v>23</v>
      </c>
      <c r="I278" s="2">
        <f>PARAM!$H$39</f>
        <v>0</v>
      </c>
      <c r="J278" s="11">
        <f>PARAM!$G$39</f>
        <v>0</v>
      </c>
      <c r="K278" s="11">
        <f>(VLOOKUP(H278,DEDN!$A$8:$O$902,$K$2)*I278+J278)/1000</f>
        <v>0</v>
      </c>
      <c r="L278" s="11">
        <f>MIN(IF(PARAM!$B$43=3,CHOOSE($L$2,F278,K278),F278+K278-F278*K278),1)</f>
        <v>4.5599999999999998E-3</v>
      </c>
      <c r="M278" s="2">
        <f>PARAM!$I$38</f>
        <v>0</v>
      </c>
      <c r="N278" s="11">
        <f>VLOOKUP(B278,DEDN!$A$8:$O$90,$N$2)*M278</f>
        <v>0</v>
      </c>
      <c r="O278" s="12"/>
      <c r="P278" s="10">
        <f>PARAM!$C$53^-A278</f>
        <v>1</v>
      </c>
      <c r="Q278" s="10">
        <f t="shared" si="85"/>
        <v>0.96325680656298585</v>
      </c>
      <c r="R278" s="10">
        <f t="shared" si="84"/>
        <v>0.96325680656298585</v>
      </c>
      <c r="S278" s="10">
        <f>CHOOSE(PARAM!$B$51,R278,0,0,0)*(A278&lt;PARAM!$B$55)</f>
        <v>0</v>
      </c>
      <c r="T278" s="10">
        <f t="shared" si="79"/>
        <v>3.6680484124085311E-4</v>
      </c>
      <c r="U278" s="10">
        <f>T278*P278*(A278&lt;PARAM!$B$55)</f>
        <v>0</v>
      </c>
      <c r="W278">
        <v>275</v>
      </c>
      <c r="X278" s="178">
        <f t="shared" si="83"/>
        <v>54</v>
      </c>
      <c r="Y278" s="178">
        <f t="shared" si="83"/>
        <v>54</v>
      </c>
      <c r="Z278" s="178">
        <f t="shared" si="83"/>
        <v>23</v>
      </c>
      <c r="AA278" s="178">
        <f t="shared" si="83"/>
        <v>23</v>
      </c>
      <c r="AD278" s="17">
        <f>CALC!E302*(A278&lt;PARAM!$B$55)</f>
        <v>0</v>
      </c>
      <c r="AE278">
        <f>IF(A278&lt;ITER!$C$16,1,PARAM!$C$53^-(RATES!A278-ITER!$C$16))*(A278&lt;PARAM!$B$55)</f>
        <v>0</v>
      </c>
    </row>
    <row r="279" spans="1:31" x14ac:dyDescent="0.2">
      <c r="A279" s="9">
        <v>276</v>
      </c>
      <c r="B279" s="178">
        <f t="shared" si="80"/>
        <v>54</v>
      </c>
      <c r="C279" s="178">
        <f t="shared" si="80"/>
        <v>54</v>
      </c>
      <c r="D279" s="2">
        <f>PARAM!$H$38</f>
        <v>1</v>
      </c>
      <c r="E279" s="11">
        <f>PARAM!$G$38</f>
        <v>0</v>
      </c>
      <c r="F279" s="11">
        <f>(VLOOKUP(C279,DEDN!$A$8:$O$902,$F$2)*D279+E279)/1000</f>
        <v>4.5599999999999998E-3</v>
      </c>
      <c r="G279" s="178">
        <f t="shared" si="81"/>
        <v>23</v>
      </c>
      <c r="H279" s="178">
        <f t="shared" si="81"/>
        <v>23</v>
      </c>
      <c r="I279" s="2">
        <f>PARAM!$H$39</f>
        <v>0</v>
      </c>
      <c r="J279" s="11">
        <f>PARAM!$G$39</f>
        <v>0</v>
      </c>
      <c r="K279" s="11">
        <f>(VLOOKUP(H279,DEDN!$A$8:$O$902,$K$2)*I279+J279)/1000</f>
        <v>0</v>
      </c>
      <c r="L279" s="11">
        <f>MIN(IF(PARAM!$B$43=3,CHOOSE($L$2,F279,K279),F279+K279-F279*K279),1)</f>
        <v>4.5599999999999998E-3</v>
      </c>
      <c r="M279" s="2">
        <f>PARAM!$I$38</f>
        <v>0</v>
      </c>
      <c r="N279" s="11">
        <f>VLOOKUP(B279,DEDN!$A$8:$O$90,$N$2)*M279</f>
        <v>0</v>
      </c>
      <c r="O279" s="12"/>
      <c r="P279" s="10">
        <f>PARAM!$C$53^-A279</f>
        <v>1</v>
      </c>
      <c r="Q279" s="10">
        <f t="shared" si="85"/>
        <v>0.96289000172174499</v>
      </c>
      <c r="R279" s="10">
        <f t="shared" si="84"/>
        <v>0.96289000172174499</v>
      </c>
      <c r="S279" s="10">
        <f>R279*(A279&lt;PARAM!$B$55)</f>
        <v>0</v>
      </c>
      <c r="T279" s="10">
        <f t="shared" si="79"/>
        <v>3.6666516323324849E-4</v>
      </c>
      <c r="U279" s="10">
        <f>T279*P279*(A279&lt;PARAM!$B$55)</f>
        <v>0</v>
      </c>
      <c r="W279">
        <v>276</v>
      </c>
      <c r="X279" s="178">
        <f t="shared" si="83"/>
        <v>54</v>
      </c>
      <c r="Y279" s="178">
        <f t="shared" si="83"/>
        <v>54</v>
      </c>
      <c r="Z279" s="178">
        <f t="shared" si="83"/>
        <v>23</v>
      </c>
      <c r="AA279" s="178">
        <f t="shared" si="83"/>
        <v>23</v>
      </c>
      <c r="AD279" s="17">
        <f>CALC!E303*(A279&lt;PARAM!$B$55)</f>
        <v>0</v>
      </c>
      <c r="AE279">
        <f>IF(A279&lt;ITER!$C$16,1,PARAM!$C$53^-(RATES!A279-ITER!$C$16))*(A279&lt;PARAM!$B$55)</f>
        <v>0</v>
      </c>
    </row>
    <row r="280" spans="1:31" x14ac:dyDescent="0.2">
      <c r="A280" s="9">
        <v>277</v>
      </c>
      <c r="B280" s="178">
        <f t="shared" si="80"/>
        <v>54</v>
      </c>
      <c r="C280" s="178">
        <f t="shared" si="80"/>
        <v>54</v>
      </c>
      <c r="D280" s="2">
        <f>PARAM!$H$38</f>
        <v>1</v>
      </c>
      <c r="E280" s="11">
        <f>PARAM!$G$38</f>
        <v>0</v>
      </c>
      <c r="F280" s="11">
        <f>(VLOOKUP(C280,DEDN!$A$8:$O$902,$F$2)*D280+E280)/1000</f>
        <v>4.5599999999999998E-3</v>
      </c>
      <c r="G280" s="178">
        <f t="shared" si="81"/>
        <v>23</v>
      </c>
      <c r="H280" s="178">
        <f t="shared" si="81"/>
        <v>23</v>
      </c>
      <c r="I280" s="2">
        <f>PARAM!$H$39</f>
        <v>0</v>
      </c>
      <c r="J280" s="11">
        <f>PARAM!$G$39</f>
        <v>0</v>
      </c>
      <c r="K280" s="11">
        <f>(VLOOKUP(H280,DEDN!$A$8:$O$902,$K$2)*I280+J280)/1000</f>
        <v>0</v>
      </c>
      <c r="L280" s="11">
        <f>MIN(IF(PARAM!$B$43=3,CHOOSE($L$2,F280,K280),F280+K280-F280*K280),1)</f>
        <v>4.5599999999999998E-3</v>
      </c>
      <c r="M280" s="2">
        <f>PARAM!$I$38</f>
        <v>0</v>
      </c>
      <c r="N280" s="11">
        <f>VLOOKUP(B280,DEDN!$A$8:$O$90,$N$2)*M280</f>
        <v>0</v>
      </c>
      <c r="O280" s="12"/>
      <c r="P280" s="10">
        <f>PARAM!$C$53^-A280</f>
        <v>1</v>
      </c>
      <c r="Q280" s="10">
        <f t="shared" si="85"/>
        <v>0.96252333655851174</v>
      </c>
      <c r="R280" s="10">
        <f t="shared" si="84"/>
        <v>0.96252333655851174</v>
      </c>
      <c r="S280" s="10">
        <f>CHOOSE(PARAM!$B$51,R280,0,0,0)*(A280&lt;PARAM!$B$55)</f>
        <v>0</v>
      </c>
      <c r="T280" s="10">
        <f t="shared" si="79"/>
        <v>3.6652553841454161E-4</v>
      </c>
      <c r="U280" s="10">
        <f>T280*P280*(A280&lt;PARAM!$B$55)</f>
        <v>0</v>
      </c>
      <c r="W280">
        <v>277</v>
      </c>
      <c r="X280" s="178">
        <f t="shared" si="83"/>
        <v>54</v>
      </c>
      <c r="Y280" s="178">
        <f t="shared" si="83"/>
        <v>54</v>
      </c>
      <c r="Z280" s="178">
        <f t="shared" si="83"/>
        <v>23</v>
      </c>
      <c r="AA280" s="178">
        <f t="shared" si="83"/>
        <v>23</v>
      </c>
      <c r="AD280" s="17">
        <f>CALC!E304*(A280&lt;PARAM!$B$55)</f>
        <v>0</v>
      </c>
      <c r="AE280">
        <f>IF(A280&lt;ITER!$C$16,1,PARAM!$C$53^-(RATES!A280-ITER!$C$16))*(A280&lt;PARAM!$B$55)</f>
        <v>0</v>
      </c>
    </row>
    <row r="281" spans="1:31" x14ac:dyDescent="0.2">
      <c r="A281" s="9">
        <v>278</v>
      </c>
      <c r="B281" s="178">
        <f t="shared" ref="B281:C300" si="86">B269+1</f>
        <v>54</v>
      </c>
      <c r="C281" s="178">
        <f t="shared" si="86"/>
        <v>54</v>
      </c>
      <c r="D281" s="2">
        <f>PARAM!$H$38</f>
        <v>1</v>
      </c>
      <c r="E281" s="11">
        <f>PARAM!$G$38</f>
        <v>0</v>
      </c>
      <c r="F281" s="11">
        <f>(VLOOKUP(C281,DEDN!$A$8:$O$902,$F$2)*D281+E281)/1000</f>
        <v>4.5599999999999998E-3</v>
      </c>
      <c r="G281" s="178">
        <f t="shared" ref="G281:H300" si="87">G269+1</f>
        <v>23</v>
      </c>
      <c r="H281" s="178">
        <f t="shared" si="87"/>
        <v>23</v>
      </c>
      <c r="I281" s="2">
        <f>PARAM!$H$39</f>
        <v>0</v>
      </c>
      <c r="J281" s="11">
        <f>PARAM!$G$39</f>
        <v>0</v>
      </c>
      <c r="K281" s="11">
        <f>(VLOOKUP(H281,DEDN!$A$8:$O$902,$K$2)*I281+J281)/1000</f>
        <v>0</v>
      </c>
      <c r="L281" s="11">
        <f>MIN(IF(PARAM!$B$43=3,CHOOSE($L$2,F281,K281),F281+K281-F281*K281),1)</f>
        <v>4.5599999999999998E-3</v>
      </c>
      <c r="M281" s="2">
        <f>PARAM!$I$38</f>
        <v>0</v>
      </c>
      <c r="N281" s="11">
        <f>VLOOKUP(B281,DEDN!$A$8:$O$90,$N$2)*M281</f>
        <v>0</v>
      </c>
      <c r="O281" s="12"/>
      <c r="P281" s="10">
        <f>PARAM!$C$53^-A281</f>
        <v>1</v>
      </c>
      <c r="Q281" s="10">
        <f t="shared" si="85"/>
        <v>0.9621568110200972</v>
      </c>
      <c r="R281" s="10">
        <f t="shared" si="84"/>
        <v>0.9621568110200972</v>
      </c>
      <c r="S281" s="10">
        <f>CHOOSE(PARAM!$B$51,R281,0,0,0)*(A281&lt;PARAM!$B$55)</f>
        <v>0</v>
      </c>
      <c r="T281" s="10">
        <f t="shared" si="79"/>
        <v>3.6638596676452639E-4</v>
      </c>
      <c r="U281" s="10">
        <f>T281*P281*(A281&lt;PARAM!$B$55)</f>
        <v>0</v>
      </c>
      <c r="W281">
        <v>278</v>
      </c>
      <c r="X281" s="178">
        <f t="shared" ref="X281:AA300" si="88">X269+1</f>
        <v>54</v>
      </c>
      <c r="Y281" s="178">
        <f t="shared" si="88"/>
        <v>54</v>
      </c>
      <c r="Z281" s="178">
        <f t="shared" si="88"/>
        <v>23</v>
      </c>
      <c r="AA281" s="178">
        <f t="shared" si="88"/>
        <v>23</v>
      </c>
      <c r="AD281" s="17">
        <f>CALC!E305*(A281&lt;PARAM!$B$55)</f>
        <v>0</v>
      </c>
      <c r="AE281">
        <f>IF(A281&lt;ITER!$C$16,1,PARAM!$C$53^-(RATES!A281-ITER!$C$16))*(A281&lt;PARAM!$B$55)</f>
        <v>0</v>
      </c>
    </row>
    <row r="282" spans="1:31" x14ac:dyDescent="0.2">
      <c r="A282" s="9">
        <v>279</v>
      </c>
      <c r="B282" s="178">
        <f t="shared" si="86"/>
        <v>54</v>
      </c>
      <c r="C282" s="178">
        <f t="shared" si="86"/>
        <v>54</v>
      </c>
      <c r="D282" s="2">
        <f>PARAM!$H$38</f>
        <v>1</v>
      </c>
      <c r="E282" s="11">
        <f>PARAM!$G$38</f>
        <v>0</v>
      </c>
      <c r="F282" s="11">
        <f>(VLOOKUP(C282,DEDN!$A$8:$O$902,$F$2)*D282+E282)/1000</f>
        <v>4.5599999999999998E-3</v>
      </c>
      <c r="G282" s="178">
        <f t="shared" si="87"/>
        <v>23</v>
      </c>
      <c r="H282" s="178">
        <f t="shared" si="87"/>
        <v>23</v>
      </c>
      <c r="I282" s="2">
        <f>PARAM!$H$39</f>
        <v>0</v>
      </c>
      <c r="J282" s="11">
        <f>PARAM!$G$39</f>
        <v>0</v>
      </c>
      <c r="K282" s="11">
        <f>(VLOOKUP(H282,DEDN!$A$8:$O$902,$K$2)*I282+J282)/1000</f>
        <v>0</v>
      </c>
      <c r="L282" s="11">
        <f>MIN(IF(PARAM!$B$43=3,CHOOSE($L$2,F282,K282),F282+K282-F282*K282),1)</f>
        <v>4.5599999999999998E-3</v>
      </c>
      <c r="M282" s="2">
        <f>PARAM!$I$38</f>
        <v>0</v>
      </c>
      <c r="N282" s="11">
        <f>VLOOKUP(B282,DEDN!$A$8:$O$90,$N$2)*M282</f>
        <v>0</v>
      </c>
      <c r="O282" s="12"/>
      <c r="P282" s="10">
        <f>PARAM!$C$53^-A282</f>
        <v>1</v>
      </c>
      <c r="Q282" s="10">
        <f t="shared" si="85"/>
        <v>0.96179042505333268</v>
      </c>
      <c r="R282" s="10">
        <f t="shared" si="84"/>
        <v>0.96179042505333268</v>
      </c>
      <c r="S282" s="10">
        <f>CHOOSE(PARAM!$B$51,R282,R282,0,0)*(A282&lt;PARAM!$B$55)</f>
        <v>0</v>
      </c>
      <c r="T282" s="10">
        <f t="shared" si="79"/>
        <v>3.6624644826288577E-4</v>
      </c>
      <c r="U282" s="10">
        <f>T282*P282*(A282&lt;PARAM!$B$55)</f>
        <v>0</v>
      </c>
      <c r="W282">
        <v>279</v>
      </c>
      <c r="X282" s="178">
        <f t="shared" si="88"/>
        <v>54</v>
      </c>
      <c r="Y282" s="178">
        <f t="shared" si="88"/>
        <v>54</v>
      </c>
      <c r="Z282" s="178">
        <f t="shared" si="88"/>
        <v>23</v>
      </c>
      <c r="AA282" s="178">
        <f t="shared" si="88"/>
        <v>23</v>
      </c>
      <c r="AD282" s="17">
        <f>CALC!E306*(A282&lt;PARAM!$B$55)</f>
        <v>0</v>
      </c>
      <c r="AE282">
        <f>IF(A282&lt;ITER!$C$16,1,PARAM!$C$53^-(RATES!A282-ITER!$C$16))*(A282&lt;PARAM!$B$55)</f>
        <v>0</v>
      </c>
    </row>
    <row r="283" spans="1:31" x14ac:dyDescent="0.2">
      <c r="A283" s="9">
        <v>280</v>
      </c>
      <c r="B283" s="178">
        <f t="shared" si="86"/>
        <v>54</v>
      </c>
      <c r="C283" s="178">
        <f t="shared" si="86"/>
        <v>54</v>
      </c>
      <c r="D283" s="2">
        <f>PARAM!$H$38</f>
        <v>1</v>
      </c>
      <c r="E283" s="11">
        <f>PARAM!$G$38</f>
        <v>0</v>
      </c>
      <c r="F283" s="11">
        <f>(VLOOKUP(C283,DEDN!$A$8:$O$902,$F$2)*D283+E283)/1000</f>
        <v>4.5599999999999998E-3</v>
      </c>
      <c r="G283" s="178">
        <f t="shared" si="87"/>
        <v>23</v>
      </c>
      <c r="H283" s="178">
        <f t="shared" si="87"/>
        <v>23</v>
      </c>
      <c r="I283" s="2">
        <f>PARAM!$H$39</f>
        <v>0</v>
      </c>
      <c r="J283" s="11">
        <f>PARAM!$G$39</f>
        <v>0</v>
      </c>
      <c r="K283" s="11">
        <f>(VLOOKUP(H283,DEDN!$A$8:$O$902,$K$2)*I283+J283)/1000</f>
        <v>0</v>
      </c>
      <c r="L283" s="11">
        <f>MIN(IF(PARAM!$B$43=3,CHOOSE($L$2,F283,K283),F283+K283-F283*K283),1)</f>
        <v>4.5599999999999998E-3</v>
      </c>
      <c r="M283" s="2">
        <f>PARAM!$I$38</f>
        <v>0</v>
      </c>
      <c r="N283" s="11">
        <f>VLOOKUP(B283,DEDN!$A$8:$O$90,$N$2)*M283</f>
        <v>0</v>
      </c>
      <c r="O283" s="12"/>
      <c r="P283" s="10">
        <f>PARAM!$C$53^-A283</f>
        <v>1</v>
      </c>
      <c r="Q283" s="10">
        <f t="shared" si="85"/>
        <v>0.96142417860506979</v>
      </c>
      <c r="R283" s="10">
        <f t="shared" si="84"/>
        <v>0.96142417860506979</v>
      </c>
      <c r="S283" s="10">
        <f>CHOOSE(PARAM!$B$51,R283,0,0,0)*(A283&lt;PARAM!$B$55)</f>
        <v>0</v>
      </c>
      <c r="T283" s="10">
        <f t="shared" si="79"/>
        <v>3.6610698288930266E-4</v>
      </c>
      <c r="U283" s="10">
        <f>T283*P283*(A283&lt;PARAM!$B$55)</f>
        <v>0</v>
      </c>
      <c r="W283">
        <v>280</v>
      </c>
      <c r="X283" s="178">
        <f t="shared" si="88"/>
        <v>54</v>
      </c>
      <c r="Y283" s="178">
        <f t="shared" si="88"/>
        <v>54</v>
      </c>
      <c r="Z283" s="178">
        <f t="shared" si="88"/>
        <v>23</v>
      </c>
      <c r="AA283" s="178">
        <f t="shared" si="88"/>
        <v>23</v>
      </c>
      <c r="AD283" s="17">
        <f>CALC!E307*(A283&lt;PARAM!$B$55)</f>
        <v>0</v>
      </c>
      <c r="AE283">
        <f>IF(A283&lt;ITER!$C$16,1,PARAM!$C$53^-(RATES!A283-ITER!$C$16))*(A283&lt;PARAM!$B$55)</f>
        <v>0</v>
      </c>
    </row>
    <row r="284" spans="1:31" x14ac:dyDescent="0.2">
      <c r="A284" s="9">
        <v>281</v>
      </c>
      <c r="B284" s="178">
        <f t="shared" si="86"/>
        <v>54</v>
      </c>
      <c r="C284" s="178">
        <f t="shared" si="86"/>
        <v>54</v>
      </c>
      <c r="D284" s="2">
        <f>PARAM!$H$38</f>
        <v>1</v>
      </c>
      <c r="E284" s="11">
        <f>PARAM!$G$38</f>
        <v>0</v>
      </c>
      <c r="F284" s="11">
        <f>(VLOOKUP(C284,DEDN!$A$8:$O$902,$F$2)*D284+E284)/1000</f>
        <v>4.5599999999999998E-3</v>
      </c>
      <c r="G284" s="178">
        <f t="shared" si="87"/>
        <v>23</v>
      </c>
      <c r="H284" s="178">
        <f t="shared" si="87"/>
        <v>23</v>
      </c>
      <c r="I284" s="2">
        <f>PARAM!$H$39</f>
        <v>0</v>
      </c>
      <c r="J284" s="11">
        <f>PARAM!$G$39</f>
        <v>0</v>
      </c>
      <c r="K284" s="11">
        <f>(VLOOKUP(H284,DEDN!$A$8:$O$902,$K$2)*I284+J284)/1000</f>
        <v>0</v>
      </c>
      <c r="L284" s="11">
        <f>MIN(IF(PARAM!$B$43=3,CHOOSE($L$2,F284,K284),F284+K284-F284*K284),1)</f>
        <v>4.5599999999999998E-3</v>
      </c>
      <c r="M284" s="2">
        <f>PARAM!$I$38</f>
        <v>0</v>
      </c>
      <c r="N284" s="11">
        <f>VLOOKUP(B284,DEDN!$A$8:$O$90,$N$2)*M284</f>
        <v>0</v>
      </c>
      <c r="O284" s="12"/>
      <c r="P284" s="10">
        <f>PARAM!$C$53^-A284</f>
        <v>1</v>
      </c>
      <c r="Q284" s="10">
        <f t="shared" si="85"/>
        <v>0.96105807162218049</v>
      </c>
      <c r="R284" s="10">
        <f t="shared" si="84"/>
        <v>0.96105807162218049</v>
      </c>
      <c r="S284" s="10">
        <f>CHOOSE(PARAM!$B$51,R284,0,0,0)*(A284&lt;PARAM!$B$55)</f>
        <v>0</v>
      </c>
      <c r="T284" s="10">
        <f t="shared" si="79"/>
        <v>3.6596757062379304E-4</v>
      </c>
      <c r="U284" s="10">
        <f>T284*P284*(A284&lt;PARAM!$B$55)</f>
        <v>0</v>
      </c>
      <c r="W284">
        <v>281</v>
      </c>
      <c r="X284" s="178">
        <f t="shared" si="88"/>
        <v>54</v>
      </c>
      <c r="Y284" s="178">
        <f t="shared" si="88"/>
        <v>54</v>
      </c>
      <c r="Z284" s="178">
        <f t="shared" si="88"/>
        <v>23</v>
      </c>
      <c r="AA284" s="178">
        <f t="shared" si="88"/>
        <v>23</v>
      </c>
      <c r="AD284" s="17">
        <f>CALC!E308*(A284&lt;PARAM!$B$55)</f>
        <v>0</v>
      </c>
      <c r="AE284">
        <f>IF(A284&lt;ITER!$C$16,1,PARAM!$C$53^-(RATES!A284-ITER!$C$16))*(A284&lt;PARAM!$B$55)</f>
        <v>0</v>
      </c>
    </row>
    <row r="285" spans="1:31" x14ac:dyDescent="0.2">
      <c r="A285" s="9">
        <v>282</v>
      </c>
      <c r="B285" s="178">
        <f t="shared" si="86"/>
        <v>55</v>
      </c>
      <c r="C285" s="178">
        <f t="shared" si="86"/>
        <v>55</v>
      </c>
      <c r="D285" s="2">
        <f>PARAM!$H$38</f>
        <v>1</v>
      </c>
      <c r="E285" s="11">
        <f>PARAM!$G$38</f>
        <v>0</v>
      </c>
      <c r="F285" s="11">
        <f>(VLOOKUP(C285,DEDN!$A$8:$O$902,$F$2)*D285+E285)/1000</f>
        <v>5.11E-3</v>
      </c>
      <c r="G285" s="178">
        <f t="shared" si="87"/>
        <v>24</v>
      </c>
      <c r="H285" s="178">
        <f t="shared" si="87"/>
        <v>24</v>
      </c>
      <c r="I285" s="2">
        <f>PARAM!$H$39</f>
        <v>0</v>
      </c>
      <c r="J285" s="11">
        <f>PARAM!$G$39</f>
        <v>0</v>
      </c>
      <c r="K285" s="11">
        <f>(VLOOKUP(H285,DEDN!$A$8:$O$902,$K$2)*I285+J285)/1000</f>
        <v>0</v>
      </c>
      <c r="L285" s="11">
        <f>MIN(IF(PARAM!$B$43=3,CHOOSE($L$2,F285,K285),F285+K285-F285*K285),1)</f>
        <v>5.11E-3</v>
      </c>
      <c r="M285" s="2">
        <f>PARAM!$I$38</f>
        <v>0</v>
      </c>
      <c r="N285" s="11">
        <f>VLOOKUP(B285,DEDN!$A$8:$O$90,$N$2)*M285</f>
        <v>0</v>
      </c>
      <c r="O285" s="12"/>
      <c r="P285" s="10">
        <f>PARAM!$C$53^-A285</f>
        <v>1</v>
      </c>
      <c r="Q285" s="10">
        <f t="shared" si="85"/>
        <v>0.96069210405155669</v>
      </c>
      <c r="R285" s="10">
        <f t="shared" si="84"/>
        <v>0.96069210405155669</v>
      </c>
      <c r="S285" s="10">
        <f>CHOOSE(PARAM!$B$51,R285,R285,R285,0)*(A285&lt;PARAM!$B$55)</f>
        <v>0</v>
      </c>
      <c r="T285" s="10">
        <f t="shared" si="79"/>
        <v>4.1005599464616349E-4</v>
      </c>
      <c r="U285" s="10">
        <f>T285*P285*(A285&lt;PARAM!$B$55)</f>
        <v>0</v>
      </c>
      <c r="W285">
        <v>282</v>
      </c>
      <c r="X285" s="178">
        <f t="shared" si="88"/>
        <v>55</v>
      </c>
      <c r="Y285" s="178">
        <f t="shared" si="88"/>
        <v>55</v>
      </c>
      <c r="Z285" s="178">
        <f t="shared" si="88"/>
        <v>24</v>
      </c>
      <c r="AA285" s="178">
        <f t="shared" si="88"/>
        <v>24</v>
      </c>
      <c r="AD285" s="17">
        <f>CALC!E309*(A285&lt;PARAM!$B$55)</f>
        <v>0</v>
      </c>
      <c r="AE285">
        <f>IF(A285&lt;ITER!$C$16,1,PARAM!$C$53^-(RATES!A285-ITER!$C$16))*(A285&lt;PARAM!$B$55)</f>
        <v>0</v>
      </c>
    </row>
    <row r="286" spans="1:31" x14ac:dyDescent="0.2">
      <c r="A286" s="9">
        <v>283</v>
      </c>
      <c r="B286" s="178">
        <f t="shared" si="86"/>
        <v>55</v>
      </c>
      <c r="C286" s="178">
        <f t="shared" si="86"/>
        <v>55</v>
      </c>
      <c r="D286" s="2">
        <f>PARAM!$H$38</f>
        <v>1</v>
      </c>
      <c r="E286" s="11">
        <f>PARAM!$G$38</f>
        <v>0</v>
      </c>
      <c r="F286" s="11">
        <f>(VLOOKUP(C286,DEDN!$A$8:$O$902,$F$2)*D286+E286)/1000</f>
        <v>5.11E-3</v>
      </c>
      <c r="G286" s="178">
        <f t="shared" si="87"/>
        <v>24</v>
      </c>
      <c r="H286" s="178">
        <f t="shared" si="87"/>
        <v>24</v>
      </c>
      <c r="I286" s="2">
        <f>PARAM!$H$39</f>
        <v>0</v>
      </c>
      <c r="J286" s="11">
        <f>PARAM!$G$39</f>
        <v>0</v>
      </c>
      <c r="K286" s="11">
        <f>(VLOOKUP(H286,DEDN!$A$8:$O$902,$K$2)*I286+J286)/1000</f>
        <v>0</v>
      </c>
      <c r="L286" s="11">
        <f>MIN(IF(PARAM!$B$43=3,CHOOSE($L$2,F286,K286),F286+K286-F286*K286),1)</f>
        <v>5.11E-3</v>
      </c>
      <c r="M286" s="2">
        <f>PARAM!$I$38</f>
        <v>0</v>
      </c>
      <c r="N286" s="11">
        <f>VLOOKUP(B286,DEDN!$A$8:$O$90,$N$2)*M286</f>
        <v>0</v>
      </c>
      <c r="O286" s="12"/>
      <c r="P286" s="10">
        <f>PARAM!$C$53^-A286</f>
        <v>1</v>
      </c>
      <c r="Q286" s="10">
        <f t="shared" si="85"/>
        <v>0.96028204805691053</v>
      </c>
      <c r="R286" s="10">
        <f t="shared" si="84"/>
        <v>0.96028204805691053</v>
      </c>
      <c r="S286" s="10">
        <f>CHOOSE(PARAM!$B$51,R286,0,0,0)*(A286&lt;PARAM!$B$55)</f>
        <v>0</v>
      </c>
      <c r="T286" s="10">
        <f t="shared" si="79"/>
        <v>4.0988096883087799E-4</v>
      </c>
      <c r="U286" s="10">
        <f>T286*P286*(A286&lt;PARAM!$B$55)</f>
        <v>0</v>
      </c>
      <c r="W286">
        <v>283</v>
      </c>
      <c r="X286" s="178">
        <f t="shared" si="88"/>
        <v>55</v>
      </c>
      <c r="Y286" s="178">
        <f t="shared" si="88"/>
        <v>55</v>
      </c>
      <c r="Z286" s="178">
        <f t="shared" si="88"/>
        <v>24</v>
      </c>
      <c r="AA286" s="178">
        <f t="shared" si="88"/>
        <v>24</v>
      </c>
      <c r="AD286" s="17">
        <f>CALC!E310*(A286&lt;PARAM!$B$55)</f>
        <v>0</v>
      </c>
      <c r="AE286">
        <f>IF(A286&lt;ITER!$C$16,1,PARAM!$C$53^-(RATES!A286-ITER!$C$16))*(A286&lt;PARAM!$B$55)</f>
        <v>0</v>
      </c>
    </row>
    <row r="287" spans="1:31" x14ac:dyDescent="0.2">
      <c r="A287" s="9">
        <v>284</v>
      </c>
      <c r="B287" s="178">
        <f t="shared" si="86"/>
        <v>55</v>
      </c>
      <c r="C287" s="178">
        <f t="shared" si="86"/>
        <v>55</v>
      </c>
      <c r="D287" s="2">
        <f>PARAM!$H$38</f>
        <v>1</v>
      </c>
      <c r="E287" s="11">
        <f>PARAM!$G$38</f>
        <v>0</v>
      </c>
      <c r="F287" s="11">
        <f>(VLOOKUP(C287,DEDN!$A$8:$O$902,$F$2)*D287+E287)/1000</f>
        <v>5.11E-3</v>
      </c>
      <c r="G287" s="178">
        <f t="shared" si="87"/>
        <v>24</v>
      </c>
      <c r="H287" s="178">
        <f t="shared" si="87"/>
        <v>24</v>
      </c>
      <c r="I287" s="2">
        <f>PARAM!$H$39</f>
        <v>0</v>
      </c>
      <c r="J287" s="11">
        <f>PARAM!$G$39</f>
        <v>0</v>
      </c>
      <c r="K287" s="11">
        <f>(VLOOKUP(H287,DEDN!$A$8:$O$902,$K$2)*I287+J287)/1000</f>
        <v>0</v>
      </c>
      <c r="L287" s="11">
        <f>MIN(IF(PARAM!$B$43=3,CHOOSE($L$2,F287,K287),F287+K287-F287*K287),1)</f>
        <v>5.11E-3</v>
      </c>
      <c r="M287" s="2">
        <f>PARAM!$I$38</f>
        <v>0</v>
      </c>
      <c r="N287" s="11">
        <f>VLOOKUP(B287,DEDN!$A$8:$O$90,$N$2)*M287</f>
        <v>0</v>
      </c>
      <c r="O287" s="12"/>
      <c r="P287" s="10">
        <f>PARAM!$C$53^-A287</f>
        <v>1</v>
      </c>
      <c r="Q287" s="10">
        <f t="shared" si="85"/>
        <v>0.95987216708807965</v>
      </c>
      <c r="R287" s="10">
        <f t="shared" si="84"/>
        <v>0.95987216708807965</v>
      </c>
      <c r="S287" s="10">
        <f>CHOOSE(PARAM!$B$51,R287,0,0,0)*(A287&lt;PARAM!$B$55)</f>
        <v>0</v>
      </c>
      <c r="T287" s="10">
        <f t="shared" si="79"/>
        <v>4.0970601772261084E-4</v>
      </c>
      <c r="U287" s="10">
        <f>T287*P287*(A287&lt;PARAM!$B$55)</f>
        <v>0</v>
      </c>
      <c r="W287">
        <v>284</v>
      </c>
      <c r="X287" s="178">
        <f t="shared" si="88"/>
        <v>55</v>
      </c>
      <c r="Y287" s="178">
        <f t="shared" si="88"/>
        <v>55</v>
      </c>
      <c r="Z287" s="178">
        <f t="shared" si="88"/>
        <v>24</v>
      </c>
      <c r="AA287" s="178">
        <f t="shared" si="88"/>
        <v>24</v>
      </c>
      <c r="AD287" s="17">
        <f>CALC!E311*(A287&lt;PARAM!$B$55)</f>
        <v>0</v>
      </c>
      <c r="AE287">
        <f>IF(A287&lt;ITER!$C$16,1,PARAM!$C$53^-(RATES!A287-ITER!$C$16))*(A287&lt;PARAM!$B$55)</f>
        <v>0</v>
      </c>
    </row>
    <row r="288" spans="1:31" x14ac:dyDescent="0.2">
      <c r="A288" s="9">
        <v>285</v>
      </c>
      <c r="B288" s="178">
        <f t="shared" si="86"/>
        <v>55</v>
      </c>
      <c r="C288" s="178">
        <f t="shared" si="86"/>
        <v>55</v>
      </c>
      <c r="D288" s="2">
        <f>PARAM!$H$38</f>
        <v>1</v>
      </c>
      <c r="E288" s="11">
        <f>PARAM!$G$38</f>
        <v>0</v>
      </c>
      <c r="F288" s="11">
        <f>(VLOOKUP(C288,DEDN!$A$8:$O$902,$F$2)*D288+E288)/1000</f>
        <v>5.11E-3</v>
      </c>
      <c r="G288" s="178">
        <f t="shared" si="87"/>
        <v>24</v>
      </c>
      <c r="H288" s="178">
        <f t="shared" si="87"/>
        <v>24</v>
      </c>
      <c r="I288" s="2">
        <f>PARAM!$H$39</f>
        <v>0</v>
      </c>
      <c r="J288" s="11">
        <f>PARAM!$G$39</f>
        <v>0</v>
      </c>
      <c r="K288" s="11">
        <f>(VLOOKUP(H288,DEDN!$A$8:$O$902,$K$2)*I288+J288)/1000</f>
        <v>0</v>
      </c>
      <c r="L288" s="11">
        <f>MIN(IF(PARAM!$B$43=3,CHOOSE($L$2,F288,K288),F288+K288-F288*K288),1)</f>
        <v>5.11E-3</v>
      </c>
      <c r="M288" s="2">
        <f>PARAM!$I$38</f>
        <v>0</v>
      </c>
      <c r="N288" s="11">
        <f>VLOOKUP(B288,DEDN!$A$8:$O$90,$N$2)*M288</f>
        <v>0</v>
      </c>
      <c r="O288" s="12"/>
      <c r="P288" s="10">
        <f>PARAM!$C$53^-A288</f>
        <v>1</v>
      </c>
      <c r="Q288" s="10">
        <f t="shared" si="85"/>
        <v>0.95946246107035704</v>
      </c>
      <c r="R288" s="10">
        <f t="shared" si="84"/>
        <v>0.95946246107035704</v>
      </c>
      <c r="S288" s="10">
        <f>CHOOSE(PARAM!$B$51,R288,R288,0,0)*(A288&lt;PARAM!$B$55)</f>
        <v>0</v>
      </c>
      <c r="T288" s="10">
        <f t="shared" si="79"/>
        <v>4.0953114128927659E-4</v>
      </c>
      <c r="U288" s="10">
        <f>T288*P288*(A288&lt;PARAM!$B$55)</f>
        <v>0</v>
      </c>
      <c r="W288">
        <v>285</v>
      </c>
      <c r="X288" s="178">
        <f t="shared" si="88"/>
        <v>55</v>
      </c>
      <c r="Y288" s="178">
        <f t="shared" si="88"/>
        <v>55</v>
      </c>
      <c r="Z288" s="178">
        <f t="shared" si="88"/>
        <v>24</v>
      </c>
      <c r="AA288" s="178">
        <f t="shared" si="88"/>
        <v>24</v>
      </c>
      <c r="AD288" s="17">
        <f>CALC!E312*(A288&lt;PARAM!$B$55)</f>
        <v>0</v>
      </c>
      <c r="AE288">
        <f>IF(A288&lt;ITER!$C$16,1,PARAM!$C$53^-(RATES!A288-ITER!$C$16))*(A288&lt;PARAM!$B$55)</f>
        <v>0</v>
      </c>
    </row>
    <row r="289" spans="1:31" x14ac:dyDescent="0.2">
      <c r="A289" s="9">
        <v>286</v>
      </c>
      <c r="B289" s="178">
        <f t="shared" si="86"/>
        <v>55</v>
      </c>
      <c r="C289" s="178">
        <f t="shared" si="86"/>
        <v>55</v>
      </c>
      <c r="D289" s="2">
        <f>PARAM!$H$38</f>
        <v>1</v>
      </c>
      <c r="E289" s="11">
        <f>PARAM!$G$38</f>
        <v>0</v>
      </c>
      <c r="F289" s="11">
        <f>(VLOOKUP(C289,DEDN!$A$8:$O$902,$F$2)*D289+E289)/1000</f>
        <v>5.11E-3</v>
      </c>
      <c r="G289" s="178">
        <f t="shared" si="87"/>
        <v>24</v>
      </c>
      <c r="H289" s="178">
        <f t="shared" si="87"/>
        <v>24</v>
      </c>
      <c r="I289" s="2">
        <f>PARAM!$H$39</f>
        <v>0</v>
      </c>
      <c r="J289" s="11">
        <f>PARAM!$G$39</f>
        <v>0</v>
      </c>
      <c r="K289" s="11">
        <f>(VLOOKUP(H289,DEDN!$A$8:$O$902,$K$2)*I289+J289)/1000</f>
        <v>0</v>
      </c>
      <c r="L289" s="11">
        <f>MIN(IF(PARAM!$B$43=3,CHOOSE($L$2,F289,K289),F289+K289-F289*K289),1)</f>
        <v>5.11E-3</v>
      </c>
      <c r="M289" s="2">
        <f>PARAM!$I$38</f>
        <v>0</v>
      </c>
      <c r="N289" s="11">
        <f>VLOOKUP(B289,DEDN!$A$8:$O$90,$N$2)*M289</f>
        <v>0</v>
      </c>
      <c r="O289" s="12"/>
      <c r="P289" s="10">
        <f>PARAM!$C$53^-A289</f>
        <v>1</v>
      </c>
      <c r="Q289" s="10">
        <f t="shared" si="85"/>
        <v>0.95905292992906777</v>
      </c>
      <c r="R289" s="10">
        <f t="shared" si="84"/>
        <v>0.95905292992906777</v>
      </c>
      <c r="S289" s="10">
        <f>CHOOSE(PARAM!$B$51,R289,0,0,0)*(A289&lt;PARAM!$B$55)</f>
        <v>0</v>
      </c>
      <c r="T289" s="10">
        <f t="shared" si="79"/>
        <v>4.0935633949923389E-4</v>
      </c>
      <c r="U289" s="10">
        <f>T289*P289*(A289&lt;PARAM!$B$55)</f>
        <v>0</v>
      </c>
      <c r="W289">
        <v>286</v>
      </c>
      <c r="X289" s="178">
        <f t="shared" si="88"/>
        <v>55</v>
      </c>
      <c r="Y289" s="178">
        <f t="shared" si="88"/>
        <v>55</v>
      </c>
      <c r="Z289" s="178">
        <f t="shared" si="88"/>
        <v>24</v>
      </c>
      <c r="AA289" s="178">
        <f t="shared" si="88"/>
        <v>24</v>
      </c>
      <c r="AD289" s="17">
        <f>CALC!E313*(A289&lt;PARAM!$B$55)</f>
        <v>0</v>
      </c>
      <c r="AE289">
        <f>IF(A289&lt;ITER!$C$16,1,PARAM!$C$53^-(RATES!A289-ITER!$C$16))*(A289&lt;PARAM!$B$55)</f>
        <v>0</v>
      </c>
    </row>
    <row r="290" spans="1:31" x14ac:dyDescent="0.2">
      <c r="A290" s="9">
        <v>287</v>
      </c>
      <c r="B290" s="178">
        <f t="shared" si="86"/>
        <v>55</v>
      </c>
      <c r="C290" s="178">
        <f t="shared" si="86"/>
        <v>55</v>
      </c>
      <c r="D290" s="2">
        <f>PARAM!$H$38</f>
        <v>1</v>
      </c>
      <c r="E290" s="11">
        <f>PARAM!$G$38</f>
        <v>0</v>
      </c>
      <c r="F290" s="11">
        <f>(VLOOKUP(C290,DEDN!$A$8:$O$902,$F$2)*D290+E290)/1000</f>
        <v>5.11E-3</v>
      </c>
      <c r="G290" s="178">
        <f t="shared" si="87"/>
        <v>24</v>
      </c>
      <c r="H290" s="178">
        <f t="shared" si="87"/>
        <v>24</v>
      </c>
      <c r="I290" s="2">
        <f>PARAM!$H$39</f>
        <v>0</v>
      </c>
      <c r="J290" s="11">
        <f>PARAM!$G$39</f>
        <v>0</v>
      </c>
      <c r="K290" s="11">
        <f>(VLOOKUP(H290,DEDN!$A$8:$O$902,$K$2)*I290+J290)/1000</f>
        <v>0</v>
      </c>
      <c r="L290" s="11">
        <f>MIN(IF(PARAM!$B$43=3,CHOOSE($L$2,F290,K290),F290+K290-F290*K290),1)</f>
        <v>5.11E-3</v>
      </c>
      <c r="M290" s="2">
        <f>PARAM!$I$38</f>
        <v>0</v>
      </c>
      <c r="N290" s="11">
        <f>VLOOKUP(B290,DEDN!$A$8:$O$90,$N$2)*M290</f>
        <v>0</v>
      </c>
      <c r="O290" s="12"/>
      <c r="P290" s="10">
        <f>PARAM!$C$53^-A290</f>
        <v>1</v>
      </c>
      <c r="Q290" s="10">
        <f t="shared" si="85"/>
        <v>0.95864357358956853</v>
      </c>
      <c r="R290" s="10">
        <f t="shared" si="84"/>
        <v>0.95864357358956853</v>
      </c>
      <c r="S290" s="10">
        <f>CHOOSE(PARAM!$B$51,R290,0,0,0)*(A290&lt;PARAM!$B$55)</f>
        <v>0</v>
      </c>
      <c r="T290" s="10">
        <f t="shared" si="79"/>
        <v>4.0918161232050831E-4</v>
      </c>
      <c r="U290" s="10">
        <f>T290*P290*(A290&lt;PARAM!$B$55)</f>
        <v>0</v>
      </c>
      <c r="W290">
        <v>287</v>
      </c>
      <c r="X290" s="178">
        <f t="shared" si="88"/>
        <v>55</v>
      </c>
      <c r="Y290" s="178">
        <f t="shared" si="88"/>
        <v>55</v>
      </c>
      <c r="Z290" s="178">
        <f t="shared" si="88"/>
        <v>24</v>
      </c>
      <c r="AA290" s="178">
        <f t="shared" si="88"/>
        <v>24</v>
      </c>
      <c r="AD290" s="17">
        <f>CALC!E314*(A290&lt;PARAM!$B$55)</f>
        <v>0</v>
      </c>
      <c r="AE290">
        <f>IF(A290&lt;ITER!$C$16,1,PARAM!$C$53^-(RATES!A290-ITER!$C$16))*(A290&lt;PARAM!$B$55)</f>
        <v>0</v>
      </c>
    </row>
    <row r="291" spans="1:31" x14ac:dyDescent="0.2">
      <c r="A291" s="9">
        <v>288</v>
      </c>
      <c r="B291" s="178">
        <f t="shared" si="86"/>
        <v>55</v>
      </c>
      <c r="C291" s="178">
        <f t="shared" si="86"/>
        <v>55</v>
      </c>
      <c r="D291" s="2">
        <f>PARAM!$H$38</f>
        <v>1</v>
      </c>
      <c r="E291" s="11">
        <f>PARAM!$G$38</f>
        <v>0</v>
      </c>
      <c r="F291" s="11">
        <f>(VLOOKUP(C291,DEDN!$A$8:$O$902,$F$2)*D291+E291)/1000</f>
        <v>5.11E-3</v>
      </c>
      <c r="G291" s="178">
        <f t="shared" si="87"/>
        <v>24</v>
      </c>
      <c r="H291" s="178">
        <f t="shared" si="87"/>
        <v>24</v>
      </c>
      <c r="I291" s="2">
        <f>PARAM!$H$39</f>
        <v>0</v>
      </c>
      <c r="J291" s="11">
        <f>PARAM!$G$39</f>
        <v>0</v>
      </c>
      <c r="K291" s="11">
        <f>(VLOOKUP(H291,DEDN!$A$8:$O$902,$K$2)*I291+J291)/1000</f>
        <v>0</v>
      </c>
      <c r="L291" s="11">
        <f>MIN(IF(PARAM!$B$43=3,CHOOSE($L$2,F291,K291),F291+K291-F291*K291),1)</f>
        <v>5.11E-3</v>
      </c>
      <c r="M291" s="2">
        <f>PARAM!$I$38</f>
        <v>0</v>
      </c>
      <c r="N291" s="11">
        <f>VLOOKUP(B291,DEDN!$A$8:$O$90,$N$2)*M291</f>
        <v>0</v>
      </c>
      <c r="O291" s="12"/>
      <c r="P291" s="10">
        <f>PARAM!$C$53^-A291</f>
        <v>1</v>
      </c>
      <c r="Q291" s="10">
        <f t="shared" si="85"/>
        <v>0.95823439197724802</v>
      </c>
      <c r="R291" s="10">
        <f t="shared" si="84"/>
        <v>0.95823439197724802</v>
      </c>
      <c r="S291" s="10">
        <f>R291*(A291&lt;PARAM!$B$55)</f>
        <v>0</v>
      </c>
      <c r="T291" s="10">
        <f t="shared" si="79"/>
        <v>4.0900695972134749E-4</v>
      </c>
      <c r="U291" s="10">
        <f>T291*P291*(A291&lt;PARAM!$B$55)</f>
        <v>0</v>
      </c>
      <c r="W291">
        <v>288</v>
      </c>
      <c r="X291" s="178">
        <f t="shared" si="88"/>
        <v>55</v>
      </c>
      <c r="Y291" s="178">
        <f t="shared" si="88"/>
        <v>55</v>
      </c>
      <c r="Z291" s="178">
        <f t="shared" si="88"/>
        <v>24</v>
      </c>
      <c r="AA291" s="178">
        <f t="shared" si="88"/>
        <v>24</v>
      </c>
      <c r="AD291" s="17">
        <f>CALC!E315*(A291&lt;PARAM!$B$55)</f>
        <v>0</v>
      </c>
      <c r="AE291">
        <f>IF(A291&lt;ITER!$C$16,1,PARAM!$C$53^-(RATES!A291-ITER!$C$16))*(A291&lt;PARAM!$B$55)</f>
        <v>0</v>
      </c>
    </row>
    <row r="292" spans="1:31" x14ac:dyDescent="0.2">
      <c r="A292" s="9">
        <v>289</v>
      </c>
      <c r="B292" s="178">
        <f t="shared" si="86"/>
        <v>55</v>
      </c>
      <c r="C292" s="178">
        <f t="shared" si="86"/>
        <v>55</v>
      </c>
      <c r="D292" s="2">
        <f>PARAM!$H$38</f>
        <v>1</v>
      </c>
      <c r="E292" s="11">
        <f>PARAM!$G$38</f>
        <v>0</v>
      </c>
      <c r="F292" s="11">
        <f>(VLOOKUP(C292,DEDN!$A$8:$O$902,$F$2)*D292+E292)/1000</f>
        <v>5.11E-3</v>
      </c>
      <c r="G292" s="178">
        <f t="shared" si="87"/>
        <v>24</v>
      </c>
      <c r="H292" s="178">
        <f t="shared" si="87"/>
        <v>24</v>
      </c>
      <c r="I292" s="2">
        <f>PARAM!$H$39</f>
        <v>0</v>
      </c>
      <c r="J292" s="11">
        <f>PARAM!$G$39</f>
        <v>0</v>
      </c>
      <c r="K292" s="11">
        <f>(VLOOKUP(H292,DEDN!$A$8:$O$902,$K$2)*I292+J292)/1000</f>
        <v>0</v>
      </c>
      <c r="L292" s="11">
        <f>MIN(IF(PARAM!$B$43=3,CHOOSE($L$2,F292,K292),F292+K292-F292*K292),1)</f>
        <v>5.11E-3</v>
      </c>
      <c r="M292" s="2">
        <f>PARAM!$I$38</f>
        <v>0</v>
      </c>
      <c r="N292" s="11">
        <f>VLOOKUP(B292,DEDN!$A$8:$O$90,$N$2)*M292</f>
        <v>0</v>
      </c>
      <c r="O292" s="12"/>
      <c r="P292" s="10">
        <f>PARAM!$C$53^-A292</f>
        <v>1</v>
      </c>
      <c r="Q292" s="10">
        <f t="shared" si="85"/>
        <v>0.95782538501752668</v>
      </c>
      <c r="R292" s="10">
        <f t="shared" ref="R292:R307" si="89">P292*Q292</f>
        <v>0.95782538501752668</v>
      </c>
      <c r="S292" s="10">
        <f>CHOOSE(PARAM!$B$51,R292,0,0,0)*(A292&lt;PARAM!$B$55)</f>
        <v>0</v>
      </c>
      <c r="T292" s="10">
        <f t="shared" si="79"/>
        <v>4.0883238166977698E-4</v>
      </c>
      <c r="U292" s="10">
        <f>T292*P292*(A292&lt;PARAM!$B$55)</f>
        <v>0</v>
      </c>
      <c r="W292">
        <v>289</v>
      </c>
      <c r="X292" s="178">
        <f t="shared" si="88"/>
        <v>55</v>
      </c>
      <c r="Y292" s="178">
        <f t="shared" si="88"/>
        <v>55</v>
      </c>
      <c r="Z292" s="178">
        <f t="shared" si="88"/>
        <v>24</v>
      </c>
      <c r="AA292" s="178">
        <f t="shared" si="88"/>
        <v>24</v>
      </c>
      <c r="AD292" s="17">
        <f>CALC!E316*(A292&lt;PARAM!$B$55)</f>
        <v>0</v>
      </c>
      <c r="AE292">
        <f>IF(A292&lt;ITER!$C$16,1,PARAM!$C$53^-(RATES!A292-ITER!$C$16))*(A292&lt;PARAM!$B$55)</f>
        <v>0</v>
      </c>
    </row>
    <row r="293" spans="1:31" x14ac:dyDescent="0.2">
      <c r="A293" s="9">
        <v>290</v>
      </c>
      <c r="B293" s="178">
        <f t="shared" si="86"/>
        <v>55</v>
      </c>
      <c r="C293" s="178">
        <f t="shared" si="86"/>
        <v>55</v>
      </c>
      <c r="D293" s="2">
        <f>PARAM!$H$38</f>
        <v>1</v>
      </c>
      <c r="E293" s="11">
        <f>PARAM!$G$38</f>
        <v>0</v>
      </c>
      <c r="F293" s="11">
        <f>(VLOOKUP(C293,DEDN!$A$8:$O$902,$F$2)*D293+E293)/1000</f>
        <v>5.11E-3</v>
      </c>
      <c r="G293" s="178">
        <f t="shared" si="87"/>
        <v>24</v>
      </c>
      <c r="H293" s="178">
        <f t="shared" si="87"/>
        <v>24</v>
      </c>
      <c r="I293" s="2">
        <f>PARAM!$H$39</f>
        <v>0</v>
      </c>
      <c r="J293" s="11">
        <f>PARAM!$G$39</f>
        <v>0</v>
      </c>
      <c r="K293" s="11">
        <f>(VLOOKUP(H293,DEDN!$A$8:$O$902,$K$2)*I293+J293)/1000</f>
        <v>0</v>
      </c>
      <c r="L293" s="11">
        <f>MIN(IF(PARAM!$B$43=3,CHOOSE($L$2,F293,K293),F293+K293-F293*K293),1)</f>
        <v>5.11E-3</v>
      </c>
      <c r="M293" s="2">
        <f>PARAM!$I$38</f>
        <v>0</v>
      </c>
      <c r="N293" s="11">
        <f>VLOOKUP(B293,DEDN!$A$8:$O$90,$N$2)*M293</f>
        <v>0</v>
      </c>
      <c r="O293" s="12"/>
      <c r="P293" s="10">
        <f>PARAM!$C$53^-A293</f>
        <v>1</v>
      </c>
      <c r="Q293" s="10">
        <f t="shared" ref="Q293:Q308" si="90">Q292*(1-L292)^(1/12)</f>
        <v>0.9574165526358569</v>
      </c>
      <c r="R293" s="10">
        <f t="shared" si="89"/>
        <v>0.9574165526358569</v>
      </c>
      <c r="S293" s="10">
        <f>CHOOSE(PARAM!$B$51,R293,0,0,0)*(A293&lt;PARAM!$B$55)</f>
        <v>0</v>
      </c>
      <c r="T293" s="10">
        <f t="shared" si="79"/>
        <v>4.0865787813404442E-4</v>
      </c>
      <c r="U293" s="10">
        <f>T293*P293*(A293&lt;PARAM!$B$55)</f>
        <v>0</v>
      </c>
      <c r="W293">
        <v>290</v>
      </c>
      <c r="X293" s="178">
        <f t="shared" si="88"/>
        <v>55</v>
      </c>
      <c r="Y293" s="178">
        <f t="shared" si="88"/>
        <v>55</v>
      </c>
      <c r="Z293" s="178">
        <f t="shared" si="88"/>
        <v>24</v>
      </c>
      <c r="AA293" s="178">
        <f t="shared" si="88"/>
        <v>24</v>
      </c>
      <c r="AD293" s="17">
        <f>CALC!E317*(A293&lt;PARAM!$B$55)</f>
        <v>0</v>
      </c>
      <c r="AE293">
        <f>IF(A293&lt;ITER!$C$16,1,PARAM!$C$53^-(RATES!A293-ITER!$C$16))*(A293&lt;PARAM!$B$55)</f>
        <v>0</v>
      </c>
    </row>
    <row r="294" spans="1:31" x14ac:dyDescent="0.2">
      <c r="A294" s="9">
        <v>291</v>
      </c>
      <c r="B294" s="178">
        <f t="shared" si="86"/>
        <v>55</v>
      </c>
      <c r="C294" s="178">
        <f t="shared" si="86"/>
        <v>55</v>
      </c>
      <c r="D294" s="2">
        <f>PARAM!$H$38</f>
        <v>1</v>
      </c>
      <c r="E294" s="11">
        <f>PARAM!$G$38</f>
        <v>0</v>
      </c>
      <c r="F294" s="11">
        <f>(VLOOKUP(C294,DEDN!$A$8:$O$902,$F$2)*D294+E294)/1000</f>
        <v>5.11E-3</v>
      </c>
      <c r="G294" s="178">
        <f t="shared" si="87"/>
        <v>24</v>
      </c>
      <c r="H294" s="178">
        <f t="shared" si="87"/>
        <v>24</v>
      </c>
      <c r="I294" s="2">
        <f>PARAM!$H$39</f>
        <v>0</v>
      </c>
      <c r="J294" s="11">
        <f>PARAM!$G$39</f>
        <v>0</v>
      </c>
      <c r="K294" s="11">
        <f>(VLOOKUP(H294,DEDN!$A$8:$O$902,$K$2)*I294+J294)/1000</f>
        <v>0</v>
      </c>
      <c r="L294" s="11">
        <f>MIN(IF(PARAM!$B$43=3,CHOOSE($L$2,F294,K294),F294+K294-F294*K294),1)</f>
        <v>5.11E-3</v>
      </c>
      <c r="M294" s="2">
        <f>PARAM!$I$38</f>
        <v>0</v>
      </c>
      <c r="N294" s="11">
        <f>VLOOKUP(B294,DEDN!$A$8:$O$90,$N$2)*M294</f>
        <v>0</v>
      </c>
      <c r="O294" s="12"/>
      <c r="P294" s="10">
        <f>PARAM!$C$53^-A294</f>
        <v>1</v>
      </c>
      <c r="Q294" s="10">
        <f t="shared" si="90"/>
        <v>0.95700789475772285</v>
      </c>
      <c r="R294" s="10">
        <f t="shared" si="89"/>
        <v>0.95700789475772285</v>
      </c>
      <c r="S294" s="10">
        <f>CHOOSE(PARAM!$B$51,R294,R294,0,0)*(A294&lt;PARAM!$B$55)</f>
        <v>0</v>
      </c>
      <c r="T294" s="10">
        <f t="shared" si="79"/>
        <v>4.084834490822864E-4</v>
      </c>
      <c r="U294" s="10">
        <f>T294*P294*(A294&lt;PARAM!$B$55)</f>
        <v>0</v>
      </c>
      <c r="W294">
        <v>291</v>
      </c>
      <c r="X294" s="178">
        <f t="shared" si="88"/>
        <v>55</v>
      </c>
      <c r="Y294" s="178">
        <f t="shared" si="88"/>
        <v>55</v>
      </c>
      <c r="Z294" s="178">
        <f t="shared" si="88"/>
        <v>24</v>
      </c>
      <c r="AA294" s="178">
        <f t="shared" si="88"/>
        <v>24</v>
      </c>
      <c r="AD294" s="17">
        <f>CALC!E318*(A294&lt;PARAM!$B$55)</f>
        <v>0</v>
      </c>
      <c r="AE294">
        <f>IF(A294&lt;ITER!$C$16,1,PARAM!$C$53^-(RATES!A294-ITER!$C$16))*(A294&lt;PARAM!$B$55)</f>
        <v>0</v>
      </c>
    </row>
    <row r="295" spans="1:31" x14ac:dyDescent="0.2">
      <c r="A295" s="9">
        <v>292</v>
      </c>
      <c r="B295" s="178">
        <f t="shared" si="86"/>
        <v>55</v>
      </c>
      <c r="C295" s="178">
        <f t="shared" si="86"/>
        <v>55</v>
      </c>
      <c r="D295" s="2">
        <f>PARAM!$H$38</f>
        <v>1</v>
      </c>
      <c r="E295" s="11">
        <f>PARAM!$G$38</f>
        <v>0</v>
      </c>
      <c r="F295" s="11">
        <f>(VLOOKUP(C295,DEDN!$A$8:$O$902,$F$2)*D295+E295)/1000</f>
        <v>5.11E-3</v>
      </c>
      <c r="G295" s="178">
        <f t="shared" si="87"/>
        <v>24</v>
      </c>
      <c r="H295" s="178">
        <f t="shared" si="87"/>
        <v>24</v>
      </c>
      <c r="I295" s="2">
        <f>PARAM!$H$39</f>
        <v>0</v>
      </c>
      <c r="J295" s="11">
        <f>PARAM!$G$39</f>
        <v>0</v>
      </c>
      <c r="K295" s="11">
        <f>(VLOOKUP(H295,DEDN!$A$8:$O$902,$K$2)*I295+J295)/1000</f>
        <v>0</v>
      </c>
      <c r="L295" s="11">
        <f>MIN(IF(PARAM!$B$43=3,CHOOSE($L$2,F295,K295),F295+K295-F295*K295),1)</f>
        <v>5.11E-3</v>
      </c>
      <c r="M295" s="2">
        <f>PARAM!$I$38</f>
        <v>0</v>
      </c>
      <c r="N295" s="11">
        <f>VLOOKUP(B295,DEDN!$A$8:$O$90,$N$2)*M295</f>
        <v>0</v>
      </c>
      <c r="O295" s="12"/>
      <c r="P295" s="10">
        <f>PARAM!$C$53^-A295</f>
        <v>1</v>
      </c>
      <c r="Q295" s="10">
        <f t="shared" si="90"/>
        <v>0.95659941130864057</v>
      </c>
      <c r="R295" s="10">
        <f t="shared" si="89"/>
        <v>0.95659941130864057</v>
      </c>
      <c r="S295" s="10">
        <f>CHOOSE(PARAM!$B$51,R295,0,0,0)*(A295&lt;PARAM!$B$55)</f>
        <v>0</v>
      </c>
      <c r="T295" s="10">
        <f t="shared" si="79"/>
        <v>4.0830909448286157E-4</v>
      </c>
      <c r="U295" s="10">
        <f>T295*P295*(A295&lt;PARAM!$B$55)</f>
        <v>0</v>
      </c>
      <c r="W295">
        <v>292</v>
      </c>
      <c r="X295" s="178">
        <f t="shared" si="88"/>
        <v>55</v>
      </c>
      <c r="Y295" s="178">
        <f t="shared" si="88"/>
        <v>55</v>
      </c>
      <c r="Z295" s="178">
        <f t="shared" si="88"/>
        <v>24</v>
      </c>
      <c r="AA295" s="178">
        <f t="shared" si="88"/>
        <v>24</v>
      </c>
      <c r="AD295" s="17">
        <f>CALC!E319*(A295&lt;PARAM!$B$55)</f>
        <v>0</v>
      </c>
      <c r="AE295">
        <f>IF(A295&lt;ITER!$C$16,1,PARAM!$C$53^-(RATES!A295-ITER!$C$16))*(A295&lt;PARAM!$B$55)</f>
        <v>0</v>
      </c>
    </row>
    <row r="296" spans="1:31" x14ac:dyDescent="0.2">
      <c r="A296" s="9">
        <v>293</v>
      </c>
      <c r="B296" s="178">
        <f t="shared" si="86"/>
        <v>55</v>
      </c>
      <c r="C296" s="178">
        <f t="shared" si="86"/>
        <v>55</v>
      </c>
      <c r="D296" s="2">
        <f>PARAM!$H$38</f>
        <v>1</v>
      </c>
      <c r="E296" s="11">
        <f>PARAM!$G$38</f>
        <v>0</v>
      </c>
      <c r="F296" s="11">
        <f>(VLOOKUP(C296,DEDN!$A$8:$O$902,$F$2)*D296+E296)/1000</f>
        <v>5.11E-3</v>
      </c>
      <c r="G296" s="178">
        <f t="shared" si="87"/>
        <v>24</v>
      </c>
      <c r="H296" s="178">
        <f t="shared" si="87"/>
        <v>24</v>
      </c>
      <c r="I296" s="2">
        <f>PARAM!$H$39</f>
        <v>0</v>
      </c>
      <c r="J296" s="11">
        <f>PARAM!$G$39</f>
        <v>0</v>
      </c>
      <c r="K296" s="11">
        <f>(VLOOKUP(H296,DEDN!$A$8:$O$902,$K$2)*I296+J296)/1000</f>
        <v>0</v>
      </c>
      <c r="L296" s="11">
        <f>MIN(IF(PARAM!$B$43=3,CHOOSE($L$2,F296,K296),F296+K296-F296*K296),1)</f>
        <v>5.11E-3</v>
      </c>
      <c r="M296" s="2">
        <f>PARAM!$I$38</f>
        <v>0</v>
      </c>
      <c r="N296" s="11">
        <f>VLOOKUP(B296,DEDN!$A$8:$O$90,$N$2)*M296</f>
        <v>0</v>
      </c>
      <c r="O296" s="12"/>
      <c r="P296" s="10">
        <f>PARAM!$C$53^-A296</f>
        <v>1</v>
      </c>
      <c r="Q296" s="10">
        <f t="shared" si="90"/>
        <v>0.95619110221415771</v>
      </c>
      <c r="R296" s="10">
        <f t="shared" si="89"/>
        <v>0.95619110221415771</v>
      </c>
      <c r="S296" s="10">
        <f>CHOOSE(PARAM!$B$51,R296,0,0,0)*(A296&lt;PARAM!$B$55)</f>
        <v>0</v>
      </c>
      <c r="T296" s="10">
        <f t="shared" si="79"/>
        <v>4.081348143037955E-4</v>
      </c>
      <c r="U296" s="10">
        <f>T296*P296*(A296&lt;PARAM!$B$55)</f>
        <v>0</v>
      </c>
      <c r="W296">
        <v>293</v>
      </c>
      <c r="X296" s="178">
        <f t="shared" si="88"/>
        <v>55</v>
      </c>
      <c r="Y296" s="178">
        <f t="shared" si="88"/>
        <v>55</v>
      </c>
      <c r="Z296" s="178">
        <f t="shared" si="88"/>
        <v>24</v>
      </c>
      <c r="AA296" s="178">
        <f t="shared" si="88"/>
        <v>24</v>
      </c>
      <c r="AD296" s="17">
        <f>CALC!E320*(A296&lt;PARAM!$B$55)</f>
        <v>0</v>
      </c>
      <c r="AE296">
        <f>IF(A296&lt;ITER!$C$16,1,PARAM!$C$53^-(RATES!A296-ITER!$C$16))*(A296&lt;PARAM!$B$55)</f>
        <v>0</v>
      </c>
    </row>
    <row r="297" spans="1:31" x14ac:dyDescent="0.2">
      <c r="A297" s="9">
        <v>294</v>
      </c>
      <c r="B297" s="178">
        <f t="shared" si="86"/>
        <v>56</v>
      </c>
      <c r="C297" s="178">
        <f t="shared" si="86"/>
        <v>56</v>
      </c>
      <c r="D297" s="2">
        <f>PARAM!$H$38</f>
        <v>1</v>
      </c>
      <c r="E297" s="11">
        <f>PARAM!$G$38</f>
        <v>0</v>
      </c>
      <c r="F297" s="11">
        <f>(VLOOKUP(C297,DEDN!$A$8:$O$902,$F$2)*D297+E297)/1000</f>
        <v>5.7199999999999994E-3</v>
      </c>
      <c r="G297" s="178">
        <f t="shared" si="87"/>
        <v>25</v>
      </c>
      <c r="H297" s="178">
        <f t="shared" si="87"/>
        <v>25</v>
      </c>
      <c r="I297" s="2">
        <f>PARAM!$H$39</f>
        <v>0</v>
      </c>
      <c r="J297" s="11">
        <f>PARAM!$G$39</f>
        <v>0</v>
      </c>
      <c r="K297" s="11">
        <f>(VLOOKUP(H297,DEDN!$A$8:$O$902,$K$2)*I297+J297)/1000</f>
        <v>0</v>
      </c>
      <c r="L297" s="11">
        <f>MIN(IF(PARAM!$B$43=3,CHOOSE($L$2,F297,K297),F297+K297-F297*K297),1)</f>
        <v>5.7199999999999994E-3</v>
      </c>
      <c r="M297" s="2">
        <f>PARAM!$I$38</f>
        <v>0</v>
      </c>
      <c r="N297" s="11">
        <f>VLOOKUP(B297,DEDN!$A$8:$O$90,$N$2)*M297</f>
        <v>0</v>
      </c>
      <c r="O297" s="12"/>
      <c r="P297" s="10">
        <f>PARAM!$C$53^-A297</f>
        <v>1</v>
      </c>
      <c r="Q297" s="10">
        <f t="shared" si="90"/>
        <v>0.95578296739985391</v>
      </c>
      <c r="R297" s="10">
        <f t="shared" si="89"/>
        <v>0.95578296739985391</v>
      </c>
      <c r="S297" s="10">
        <f>CHOOSE(PARAM!$B$51,R297,R297,R297,0)*(A297&lt;PARAM!$B$55)</f>
        <v>0</v>
      </c>
      <c r="T297" s="10">
        <f t="shared" si="79"/>
        <v>4.5678866910547899E-4</v>
      </c>
      <c r="U297" s="10">
        <f>T297*P297*(A297&lt;PARAM!$B$55)</f>
        <v>0</v>
      </c>
      <c r="W297">
        <v>294</v>
      </c>
      <c r="X297" s="178">
        <f t="shared" si="88"/>
        <v>56</v>
      </c>
      <c r="Y297" s="178">
        <f t="shared" si="88"/>
        <v>56</v>
      </c>
      <c r="Z297" s="178">
        <f t="shared" si="88"/>
        <v>25</v>
      </c>
      <c r="AA297" s="178">
        <f t="shared" si="88"/>
        <v>25</v>
      </c>
      <c r="AD297" s="17">
        <f>CALC!E321*(A297&lt;PARAM!$B$55)</f>
        <v>0</v>
      </c>
      <c r="AE297">
        <f>IF(A297&lt;ITER!$C$16,1,PARAM!$C$53^-(RATES!A297-ITER!$C$16))*(A297&lt;PARAM!$B$55)</f>
        <v>0</v>
      </c>
    </row>
    <row r="298" spans="1:31" x14ac:dyDescent="0.2">
      <c r="A298" s="9">
        <v>295</v>
      </c>
      <c r="B298" s="178">
        <f t="shared" si="86"/>
        <v>56</v>
      </c>
      <c r="C298" s="178">
        <f t="shared" si="86"/>
        <v>56</v>
      </c>
      <c r="D298" s="2">
        <f>PARAM!$H$38</f>
        <v>1</v>
      </c>
      <c r="E298" s="11">
        <f>PARAM!$G$38</f>
        <v>0</v>
      </c>
      <c r="F298" s="11">
        <f>(VLOOKUP(C298,DEDN!$A$8:$O$902,$F$2)*D298+E298)/1000</f>
        <v>5.7199999999999994E-3</v>
      </c>
      <c r="G298" s="178">
        <f t="shared" si="87"/>
        <v>25</v>
      </c>
      <c r="H298" s="178">
        <f t="shared" si="87"/>
        <v>25</v>
      </c>
      <c r="I298" s="2">
        <f>PARAM!$H$39</f>
        <v>0</v>
      </c>
      <c r="J298" s="11">
        <f>PARAM!$G$39</f>
        <v>0</v>
      </c>
      <c r="K298" s="11">
        <f>(VLOOKUP(H298,DEDN!$A$8:$O$902,$K$2)*I298+J298)/1000</f>
        <v>0</v>
      </c>
      <c r="L298" s="11">
        <f>MIN(IF(PARAM!$B$43=3,CHOOSE($L$2,F298,K298),F298+K298-F298*K298),1)</f>
        <v>5.7199999999999994E-3</v>
      </c>
      <c r="M298" s="2">
        <f>PARAM!$I$38</f>
        <v>0</v>
      </c>
      <c r="N298" s="11">
        <f>VLOOKUP(B298,DEDN!$A$8:$O$90,$N$2)*M298</f>
        <v>0</v>
      </c>
      <c r="O298" s="12"/>
      <c r="P298" s="10">
        <f>PARAM!$C$53^-A298</f>
        <v>1</v>
      </c>
      <c r="Q298" s="10">
        <f t="shared" si="90"/>
        <v>0.95532617873074843</v>
      </c>
      <c r="R298" s="10">
        <f t="shared" si="89"/>
        <v>0.95532617873074843</v>
      </c>
      <c r="S298" s="10">
        <f>CHOOSE(PARAM!$B$51,R298,0,0,0)*(A298&lt;PARAM!$B$55)</f>
        <v>0</v>
      </c>
      <c r="T298" s="10">
        <f t="shared" si="79"/>
        <v>4.5657036024737696E-4</v>
      </c>
      <c r="U298" s="10">
        <f>T298*P298*(A298&lt;PARAM!$B$55)</f>
        <v>0</v>
      </c>
      <c r="W298">
        <v>295</v>
      </c>
      <c r="X298" s="178">
        <f t="shared" si="88"/>
        <v>56</v>
      </c>
      <c r="Y298" s="178">
        <f t="shared" si="88"/>
        <v>56</v>
      </c>
      <c r="Z298" s="178">
        <f t="shared" si="88"/>
        <v>25</v>
      </c>
      <c r="AA298" s="178">
        <f t="shared" si="88"/>
        <v>25</v>
      </c>
      <c r="AD298" s="17">
        <f>CALC!E322*(A298&lt;PARAM!$B$55)</f>
        <v>0</v>
      </c>
      <c r="AE298">
        <f>IF(A298&lt;ITER!$C$16,1,PARAM!$C$53^-(RATES!A298-ITER!$C$16))*(A298&lt;PARAM!$B$55)</f>
        <v>0</v>
      </c>
    </row>
    <row r="299" spans="1:31" x14ac:dyDescent="0.2">
      <c r="A299" s="9">
        <v>296</v>
      </c>
      <c r="B299" s="178">
        <f t="shared" si="86"/>
        <v>56</v>
      </c>
      <c r="C299" s="178">
        <f t="shared" si="86"/>
        <v>56</v>
      </c>
      <c r="D299" s="2">
        <f>PARAM!$H$38</f>
        <v>1</v>
      </c>
      <c r="E299" s="11">
        <f>PARAM!$G$38</f>
        <v>0</v>
      </c>
      <c r="F299" s="11">
        <f>(VLOOKUP(C299,DEDN!$A$8:$O$902,$F$2)*D299+E299)/1000</f>
        <v>5.7199999999999994E-3</v>
      </c>
      <c r="G299" s="178">
        <f t="shared" si="87"/>
        <v>25</v>
      </c>
      <c r="H299" s="178">
        <f t="shared" si="87"/>
        <v>25</v>
      </c>
      <c r="I299" s="2">
        <f>PARAM!$H$39</f>
        <v>0</v>
      </c>
      <c r="J299" s="11">
        <f>PARAM!$G$39</f>
        <v>0</v>
      </c>
      <c r="K299" s="11">
        <f>(VLOOKUP(H299,DEDN!$A$8:$O$902,$K$2)*I299+J299)/1000</f>
        <v>0</v>
      </c>
      <c r="L299" s="11">
        <f>MIN(IF(PARAM!$B$43=3,CHOOSE($L$2,F299,K299),F299+K299-F299*K299),1)</f>
        <v>5.7199999999999994E-3</v>
      </c>
      <c r="M299" s="2">
        <f>PARAM!$I$38</f>
        <v>0</v>
      </c>
      <c r="N299" s="11">
        <f>VLOOKUP(B299,DEDN!$A$8:$O$90,$N$2)*M299</f>
        <v>0</v>
      </c>
      <c r="O299" s="12"/>
      <c r="P299" s="10">
        <f>PARAM!$C$53^-A299</f>
        <v>1</v>
      </c>
      <c r="Q299" s="10">
        <f t="shared" si="90"/>
        <v>0.95486960837050106</v>
      </c>
      <c r="R299" s="10">
        <f t="shared" si="89"/>
        <v>0.95486960837050106</v>
      </c>
      <c r="S299" s="10">
        <f>CHOOSE(PARAM!$B$51,R299,0,0,0)*(A299&lt;PARAM!$B$55)</f>
        <v>0</v>
      </c>
      <c r="T299" s="10">
        <f t="shared" si="79"/>
        <v>4.5635215572359389E-4</v>
      </c>
      <c r="U299" s="10">
        <f>T299*P299*(A299&lt;PARAM!$B$55)</f>
        <v>0</v>
      </c>
      <c r="W299">
        <v>296</v>
      </c>
      <c r="X299" s="178">
        <f t="shared" si="88"/>
        <v>56</v>
      </c>
      <c r="Y299" s="178">
        <f t="shared" si="88"/>
        <v>56</v>
      </c>
      <c r="Z299" s="178">
        <f t="shared" si="88"/>
        <v>25</v>
      </c>
      <c r="AA299" s="178">
        <f t="shared" si="88"/>
        <v>25</v>
      </c>
      <c r="AD299" s="17">
        <f>CALC!E323*(A299&lt;PARAM!$B$55)</f>
        <v>0</v>
      </c>
      <c r="AE299">
        <f>IF(A299&lt;ITER!$C$16,1,PARAM!$C$53^-(RATES!A299-ITER!$C$16))*(A299&lt;PARAM!$B$55)</f>
        <v>0</v>
      </c>
    </row>
    <row r="300" spans="1:31" x14ac:dyDescent="0.2">
      <c r="A300" s="9">
        <v>297</v>
      </c>
      <c r="B300" s="178">
        <f t="shared" si="86"/>
        <v>56</v>
      </c>
      <c r="C300" s="178">
        <f t="shared" si="86"/>
        <v>56</v>
      </c>
      <c r="D300" s="2">
        <f>PARAM!$H$38</f>
        <v>1</v>
      </c>
      <c r="E300" s="11">
        <f>PARAM!$G$38</f>
        <v>0</v>
      </c>
      <c r="F300" s="11">
        <f>(VLOOKUP(C300,DEDN!$A$8:$O$902,$F$2)*D300+E300)/1000</f>
        <v>5.7199999999999994E-3</v>
      </c>
      <c r="G300" s="178">
        <f t="shared" si="87"/>
        <v>25</v>
      </c>
      <c r="H300" s="178">
        <f t="shared" si="87"/>
        <v>25</v>
      </c>
      <c r="I300" s="2">
        <f>PARAM!$H$39</f>
        <v>0</v>
      </c>
      <c r="J300" s="11">
        <f>PARAM!$G$39</f>
        <v>0</v>
      </c>
      <c r="K300" s="11">
        <f>(VLOOKUP(H300,DEDN!$A$8:$O$902,$K$2)*I300+J300)/1000</f>
        <v>0</v>
      </c>
      <c r="L300" s="11">
        <f>MIN(IF(PARAM!$B$43=3,CHOOSE($L$2,F300,K300),F300+K300-F300*K300),1)</f>
        <v>5.7199999999999994E-3</v>
      </c>
      <c r="M300" s="2">
        <f>PARAM!$I$38</f>
        <v>0</v>
      </c>
      <c r="N300" s="11">
        <f>VLOOKUP(B300,DEDN!$A$8:$O$90,$N$2)*M300</f>
        <v>0</v>
      </c>
      <c r="O300" s="12"/>
      <c r="P300" s="10">
        <f>PARAM!$C$53^-A300</f>
        <v>1</v>
      </c>
      <c r="Q300" s="10">
        <f t="shared" si="90"/>
        <v>0.95441325621477746</v>
      </c>
      <c r="R300" s="10">
        <f t="shared" si="89"/>
        <v>0.95441325621477746</v>
      </c>
      <c r="S300" s="10">
        <f>CHOOSE(PARAM!$B$51,R300,R300,0,0)*(A300&lt;PARAM!$B$55)</f>
        <v>0</v>
      </c>
      <c r="T300" s="10">
        <f t="shared" si="79"/>
        <v>4.5613405548439179E-4</v>
      </c>
      <c r="U300" s="10">
        <f>T300*P300*(A300&lt;PARAM!$B$55)</f>
        <v>0</v>
      </c>
      <c r="W300">
        <v>297</v>
      </c>
      <c r="X300" s="178">
        <f t="shared" si="88"/>
        <v>56</v>
      </c>
      <c r="Y300" s="178">
        <f t="shared" si="88"/>
        <v>56</v>
      </c>
      <c r="Z300" s="178">
        <f t="shared" si="88"/>
        <v>25</v>
      </c>
      <c r="AA300" s="178">
        <f t="shared" si="88"/>
        <v>25</v>
      </c>
      <c r="AD300" s="17">
        <f>CALC!E324*(A300&lt;PARAM!$B$55)</f>
        <v>0</v>
      </c>
      <c r="AE300">
        <f>IF(A300&lt;ITER!$C$16,1,PARAM!$C$53^-(RATES!A300-ITER!$C$16))*(A300&lt;PARAM!$B$55)</f>
        <v>0</v>
      </c>
    </row>
    <row r="301" spans="1:31" x14ac:dyDescent="0.2">
      <c r="A301" s="9">
        <v>298</v>
      </c>
      <c r="B301" s="178">
        <f t="shared" ref="B301:C320" si="91">B289+1</f>
        <v>56</v>
      </c>
      <c r="C301" s="178">
        <f t="shared" si="91"/>
        <v>56</v>
      </c>
      <c r="D301" s="2">
        <f>PARAM!$H$38</f>
        <v>1</v>
      </c>
      <c r="E301" s="11">
        <f>PARAM!$G$38</f>
        <v>0</v>
      </c>
      <c r="F301" s="11">
        <f>(VLOOKUP(C301,DEDN!$A$8:$O$902,$F$2)*D301+E301)/1000</f>
        <v>5.7199999999999994E-3</v>
      </c>
      <c r="G301" s="178">
        <f t="shared" ref="G301:H320" si="92">G289+1</f>
        <v>25</v>
      </c>
      <c r="H301" s="178">
        <f t="shared" si="92"/>
        <v>25</v>
      </c>
      <c r="I301" s="2">
        <f>PARAM!$H$39</f>
        <v>0</v>
      </c>
      <c r="J301" s="11">
        <f>PARAM!$G$39</f>
        <v>0</v>
      </c>
      <c r="K301" s="11">
        <f>(VLOOKUP(H301,DEDN!$A$8:$O$902,$K$2)*I301+J301)/1000</f>
        <v>0</v>
      </c>
      <c r="L301" s="11">
        <f>MIN(IF(PARAM!$B$43=3,CHOOSE($L$2,F301,K301),F301+K301-F301*K301),1)</f>
        <v>5.7199999999999994E-3</v>
      </c>
      <c r="M301" s="2">
        <f>PARAM!$I$38</f>
        <v>0</v>
      </c>
      <c r="N301" s="11">
        <f>VLOOKUP(B301,DEDN!$A$8:$O$90,$N$2)*M301</f>
        <v>0</v>
      </c>
      <c r="O301" s="12"/>
      <c r="P301" s="10">
        <f>PARAM!$C$53^-A301</f>
        <v>1</v>
      </c>
      <c r="Q301" s="10">
        <f t="shared" si="90"/>
        <v>0.95395712215929307</v>
      </c>
      <c r="R301" s="10">
        <f t="shared" si="89"/>
        <v>0.95395712215929307</v>
      </c>
      <c r="S301" s="10">
        <f>CHOOSE(PARAM!$B$51,R301,0,0,0)*(A301&lt;PARAM!$B$55)</f>
        <v>0</v>
      </c>
      <c r="T301" s="10">
        <f t="shared" si="79"/>
        <v>4.5591605947981062E-4</v>
      </c>
      <c r="U301" s="10">
        <f>T301*P301*(A301&lt;PARAM!$B$55)</f>
        <v>0</v>
      </c>
      <c r="W301">
        <v>298</v>
      </c>
      <c r="X301" s="178">
        <f t="shared" ref="X301:AA320" si="93">X289+1</f>
        <v>56</v>
      </c>
      <c r="Y301" s="178">
        <f t="shared" si="93"/>
        <v>56</v>
      </c>
      <c r="Z301" s="178">
        <f t="shared" si="93"/>
        <v>25</v>
      </c>
      <c r="AA301" s="178">
        <f t="shared" si="93"/>
        <v>25</v>
      </c>
      <c r="AD301" s="17">
        <f>CALC!E325*(A301&lt;PARAM!$B$55)</f>
        <v>0</v>
      </c>
      <c r="AE301">
        <f>IF(A301&lt;ITER!$C$16,1,PARAM!$C$53^-(RATES!A301-ITER!$C$16))*(A301&lt;PARAM!$B$55)</f>
        <v>0</v>
      </c>
    </row>
    <row r="302" spans="1:31" x14ac:dyDescent="0.2">
      <c r="A302" s="9">
        <v>299</v>
      </c>
      <c r="B302" s="178">
        <f t="shared" si="91"/>
        <v>56</v>
      </c>
      <c r="C302" s="178">
        <f t="shared" si="91"/>
        <v>56</v>
      </c>
      <c r="D302" s="2">
        <f>PARAM!$H$38</f>
        <v>1</v>
      </c>
      <c r="E302" s="11">
        <f>PARAM!$G$38</f>
        <v>0</v>
      </c>
      <c r="F302" s="11">
        <f>(VLOOKUP(C302,DEDN!$A$8:$O$902,$F$2)*D302+E302)/1000</f>
        <v>5.7199999999999994E-3</v>
      </c>
      <c r="G302" s="178">
        <f t="shared" si="92"/>
        <v>25</v>
      </c>
      <c r="H302" s="178">
        <f t="shared" si="92"/>
        <v>25</v>
      </c>
      <c r="I302" s="2">
        <f>PARAM!$H$39</f>
        <v>0</v>
      </c>
      <c r="J302" s="11">
        <f>PARAM!$G$39</f>
        <v>0</v>
      </c>
      <c r="K302" s="11">
        <f>(VLOOKUP(H302,DEDN!$A$8:$O$902,$K$2)*I302+J302)/1000</f>
        <v>0</v>
      </c>
      <c r="L302" s="11">
        <f>MIN(IF(PARAM!$B$43=3,CHOOSE($L$2,F302,K302),F302+K302-F302*K302),1)</f>
        <v>5.7199999999999994E-3</v>
      </c>
      <c r="M302" s="2">
        <f>PARAM!$I$38</f>
        <v>0</v>
      </c>
      <c r="N302" s="11">
        <f>VLOOKUP(B302,DEDN!$A$8:$O$90,$N$2)*M302</f>
        <v>0</v>
      </c>
      <c r="O302" s="12"/>
      <c r="P302" s="10">
        <f>PARAM!$C$53^-A302</f>
        <v>1</v>
      </c>
      <c r="Q302" s="10">
        <f t="shared" si="90"/>
        <v>0.95350120609981326</v>
      </c>
      <c r="R302" s="10">
        <f t="shared" si="89"/>
        <v>0.95350120609981326</v>
      </c>
      <c r="S302" s="10">
        <f>CHOOSE(PARAM!$B$51,R302,0,0,0)*(A302&lt;PARAM!$B$55)</f>
        <v>0</v>
      </c>
      <c r="T302" s="10">
        <f t="shared" si="79"/>
        <v>4.556981676601124E-4</v>
      </c>
      <c r="U302" s="10">
        <f>T302*P302*(A302&lt;PARAM!$B$55)</f>
        <v>0</v>
      </c>
      <c r="W302">
        <v>299</v>
      </c>
      <c r="X302" s="178">
        <f t="shared" si="93"/>
        <v>56</v>
      </c>
      <c r="Y302" s="178">
        <f t="shared" si="93"/>
        <v>56</v>
      </c>
      <c r="Z302" s="178">
        <f t="shared" si="93"/>
        <v>25</v>
      </c>
      <c r="AA302" s="178">
        <f t="shared" si="93"/>
        <v>25</v>
      </c>
      <c r="AD302" s="17">
        <f>CALC!E326*(A302&lt;PARAM!$B$55)</f>
        <v>0</v>
      </c>
      <c r="AE302">
        <f>IF(A302&lt;ITER!$C$16,1,PARAM!$C$53^-(RATES!A302-ITER!$C$16))*(A302&lt;PARAM!$B$55)</f>
        <v>0</v>
      </c>
    </row>
    <row r="303" spans="1:31" x14ac:dyDescent="0.2">
      <c r="A303" s="9">
        <v>300</v>
      </c>
      <c r="B303" s="178">
        <f t="shared" si="91"/>
        <v>56</v>
      </c>
      <c r="C303" s="178">
        <f t="shared" si="91"/>
        <v>56</v>
      </c>
      <c r="D303" s="2">
        <f>PARAM!$H$38</f>
        <v>1</v>
      </c>
      <c r="E303" s="11">
        <f>PARAM!$G$38</f>
        <v>0</v>
      </c>
      <c r="F303" s="11">
        <f>(VLOOKUP(C303,DEDN!$A$8:$O$902,$F$2)*D303+E303)/1000</f>
        <v>5.7199999999999994E-3</v>
      </c>
      <c r="G303" s="178">
        <f t="shared" si="92"/>
        <v>25</v>
      </c>
      <c r="H303" s="178">
        <f t="shared" si="92"/>
        <v>25</v>
      </c>
      <c r="I303" s="2">
        <f>PARAM!$H$39</f>
        <v>0</v>
      </c>
      <c r="J303" s="11">
        <f>PARAM!$G$39</f>
        <v>0</v>
      </c>
      <c r="K303" s="11">
        <f>(VLOOKUP(H303,DEDN!$A$8:$O$902,$K$2)*I303+J303)/1000</f>
        <v>0</v>
      </c>
      <c r="L303" s="11">
        <f>MIN(IF(PARAM!$B$43=3,CHOOSE($L$2,F303,K303),F303+K303-F303*K303),1)</f>
        <v>5.7199999999999994E-3</v>
      </c>
      <c r="M303" s="2">
        <f>PARAM!$I$38</f>
        <v>0</v>
      </c>
      <c r="N303" s="11">
        <f>VLOOKUP(B303,DEDN!$A$8:$O$90,$N$2)*M303</f>
        <v>0</v>
      </c>
      <c r="O303" s="12"/>
      <c r="P303" s="10">
        <f>PARAM!$C$53^-A303</f>
        <v>1</v>
      </c>
      <c r="Q303" s="10">
        <f t="shared" si="90"/>
        <v>0.95304550793215315</v>
      </c>
      <c r="R303" s="10">
        <f t="shared" si="89"/>
        <v>0.95304550793215315</v>
      </c>
      <c r="S303" s="10">
        <f>R303*(A303&lt;PARAM!$B$55)</f>
        <v>0</v>
      </c>
      <c r="T303" s="10">
        <f t="shared" si="79"/>
        <v>4.554803799754481E-4</v>
      </c>
      <c r="U303" s="10">
        <f>T303*P303*(A303&lt;PARAM!$B$55)</f>
        <v>0</v>
      </c>
      <c r="W303">
        <v>300</v>
      </c>
      <c r="X303" s="178">
        <f t="shared" si="93"/>
        <v>56</v>
      </c>
      <c r="Y303" s="178">
        <f t="shared" si="93"/>
        <v>56</v>
      </c>
      <c r="Z303" s="178">
        <f t="shared" si="93"/>
        <v>25</v>
      </c>
      <c r="AA303" s="178">
        <f t="shared" si="93"/>
        <v>25</v>
      </c>
      <c r="AD303" s="17">
        <f>CALC!E327*(A303&lt;PARAM!$B$55)</f>
        <v>0</v>
      </c>
      <c r="AE303">
        <f>IF(A303&lt;ITER!$C$16,1,PARAM!$C$53^-(RATES!A303-ITER!$C$16))*(A303&lt;PARAM!$B$55)</f>
        <v>0</v>
      </c>
    </row>
    <row r="304" spans="1:31" x14ac:dyDescent="0.2">
      <c r="A304" s="9">
        <v>301</v>
      </c>
      <c r="B304" s="178">
        <f t="shared" si="91"/>
        <v>56</v>
      </c>
      <c r="C304" s="178">
        <f t="shared" si="91"/>
        <v>56</v>
      </c>
      <c r="D304" s="2">
        <f>PARAM!$H$38</f>
        <v>1</v>
      </c>
      <c r="E304" s="11">
        <f>PARAM!$G$38</f>
        <v>0</v>
      </c>
      <c r="F304" s="11">
        <f>(VLOOKUP(C304,DEDN!$A$8:$O$902,$F$2)*D304+E304)/1000</f>
        <v>5.7199999999999994E-3</v>
      </c>
      <c r="G304" s="178">
        <f t="shared" si="92"/>
        <v>25</v>
      </c>
      <c r="H304" s="178">
        <f t="shared" si="92"/>
        <v>25</v>
      </c>
      <c r="I304" s="2">
        <f>PARAM!$H$39</f>
        <v>0</v>
      </c>
      <c r="J304" s="11">
        <f>PARAM!$G$39</f>
        <v>0</v>
      </c>
      <c r="K304" s="11">
        <f>(VLOOKUP(H304,DEDN!$A$8:$O$902,$K$2)*I304+J304)/1000</f>
        <v>0</v>
      </c>
      <c r="L304" s="11">
        <f>MIN(IF(PARAM!$B$43=3,CHOOSE($L$2,F304,K304),F304+K304-F304*K304),1)</f>
        <v>5.7199999999999994E-3</v>
      </c>
      <c r="M304" s="2">
        <f>PARAM!$I$38</f>
        <v>0</v>
      </c>
      <c r="N304" s="11">
        <f>VLOOKUP(B304,DEDN!$A$8:$O$90,$N$2)*M304</f>
        <v>0</v>
      </c>
      <c r="O304" s="12"/>
      <c r="P304" s="10">
        <f>PARAM!$C$53^-A304</f>
        <v>1</v>
      </c>
      <c r="Q304" s="10">
        <f t="shared" si="90"/>
        <v>0.9525900275521777</v>
      </c>
      <c r="R304" s="10">
        <f t="shared" si="89"/>
        <v>0.9525900275521777</v>
      </c>
      <c r="S304" s="10">
        <f>CHOOSE(PARAM!$B$51,R304,0,0,0)*(A304&lt;PARAM!$B$55)</f>
        <v>0</v>
      </c>
      <c r="T304" s="10">
        <f t="shared" si="79"/>
        <v>4.5526269637607975E-4</v>
      </c>
      <c r="U304" s="10">
        <f>T304*P304*(A304&lt;PARAM!$B$55)</f>
        <v>0</v>
      </c>
      <c r="W304">
        <v>301</v>
      </c>
      <c r="X304" s="178">
        <f t="shared" si="93"/>
        <v>56</v>
      </c>
      <c r="Y304" s="178">
        <f t="shared" si="93"/>
        <v>56</v>
      </c>
      <c r="Z304" s="178">
        <f t="shared" si="93"/>
        <v>25</v>
      </c>
      <c r="AA304" s="178">
        <f t="shared" si="93"/>
        <v>25</v>
      </c>
      <c r="AD304" s="17">
        <f>CALC!E328*(A304&lt;PARAM!$B$55)</f>
        <v>0</v>
      </c>
      <c r="AE304">
        <f>IF(A304&lt;ITER!$C$16,1,PARAM!$C$53^-(RATES!A304-ITER!$C$16))*(A304&lt;PARAM!$B$55)</f>
        <v>0</v>
      </c>
    </row>
    <row r="305" spans="1:31" x14ac:dyDescent="0.2">
      <c r="A305" s="9">
        <v>302</v>
      </c>
      <c r="B305" s="178">
        <f t="shared" si="91"/>
        <v>56</v>
      </c>
      <c r="C305" s="178">
        <f t="shared" si="91"/>
        <v>56</v>
      </c>
      <c r="D305" s="2">
        <f>PARAM!$H$38</f>
        <v>1</v>
      </c>
      <c r="E305" s="11">
        <f>PARAM!$G$38</f>
        <v>0</v>
      </c>
      <c r="F305" s="11">
        <f>(VLOOKUP(C305,DEDN!$A$8:$O$902,$F$2)*D305+E305)/1000</f>
        <v>5.7199999999999994E-3</v>
      </c>
      <c r="G305" s="178">
        <f t="shared" si="92"/>
        <v>25</v>
      </c>
      <c r="H305" s="178">
        <f t="shared" si="92"/>
        <v>25</v>
      </c>
      <c r="I305" s="2">
        <f>PARAM!$H$39</f>
        <v>0</v>
      </c>
      <c r="J305" s="11">
        <f>PARAM!$G$39</f>
        <v>0</v>
      </c>
      <c r="K305" s="11">
        <f>(VLOOKUP(H305,DEDN!$A$8:$O$902,$K$2)*I305+J305)/1000</f>
        <v>0</v>
      </c>
      <c r="L305" s="11">
        <f>MIN(IF(PARAM!$B$43=3,CHOOSE($L$2,F305,K305),F305+K305-F305*K305),1)</f>
        <v>5.7199999999999994E-3</v>
      </c>
      <c r="M305" s="2">
        <f>PARAM!$I$38</f>
        <v>0</v>
      </c>
      <c r="N305" s="11">
        <f>VLOOKUP(B305,DEDN!$A$8:$O$90,$N$2)*M305</f>
        <v>0</v>
      </c>
      <c r="O305" s="12"/>
      <c r="P305" s="10">
        <f>PARAM!$C$53^-A305</f>
        <v>1</v>
      </c>
      <c r="Q305" s="10">
        <f t="shared" si="90"/>
        <v>0.95213476485580162</v>
      </c>
      <c r="R305" s="10">
        <f t="shared" si="89"/>
        <v>0.95213476485580162</v>
      </c>
      <c r="S305" s="10">
        <f>CHOOSE(PARAM!$B$51,R305,0,0,0)*(A305&lt;PARAM!$B$55)</f>
        <v>0</v>
      </c>
      <c r="T305" s="10">
        <f t="shared" si="79"/>
        <v>4.5504511681215831E-4</v>
      </c>
      <c r="U305" s="10">
        <f>T305*P305*(A305&lt;PARAM!$B$55)</f>
        <v>0</v>
      </c>
      <c r="W305">
        <v>302</v>
      </c>
      <c r="X305" s="178">
        <f t="shared" si="93"/>
        <v>56</v>
      </c>
      <c r="Y305" s="178">
        <f t="shared" si="93"/>
        <v>56</v>
      </c>
      <c r="Z305" s="178">
        <f t="shared" si="93"/>
        <v>25</v>
      </c>
      <c r="AA305" s="178">
        <f t="shared" si="93"/>
        <v>25</v>
      </c>
      <c r="AD305" s="17">
        <f>CALC!E329*(A305&lt;PARAM!$B$55)</f>
        <v>0</v>
      </c>
      <c r="AE305">
        <f>IF(A305&lt;ITER!$C$16,1,PARAM!$C$53^-(RATES!A305-ITER!$C$16))*(A305&lt;PARAM!$B$55)</f>
        <v>0</v>
      </c>
    </row>
    <row r="306" spans="1:31" x14ac:dyDescent="0.2">
      <c r="A306" s="9">
        <v>303</v>
      </c>
      <c r="B306" s="178">
        <f t="shared" si="91"/>
        <v>56</v>
      </c>
      <c r="C306" s="178">
        <f t="shared" si="91"/>
        <v>56</v>
      </c>
      <c r="D306" s="2">
        <f>PARAM!$H$38</f>
        <v>1</v>
      </c>
      <c r="E306" s="11">
        <f>PARAM!$G$38</f>
        <v>0</v>
      </c>
      <c r="F306" s="11">
        <f>(VLOOKUP(C306,DEDN!$A$8:$O$902,$F$2)*D306+E306)/1000</f>
        <v>5.7199999999999994E-3</v>
      </c>
      <c r="G306" s="178">
        <f t="shared" si="92"/>
        <v>25</v>
      </c>
      <c r="H306" s="178">
        <f t="shared" si="92"/>
        <v>25</v>
      </c>
      <c r="I306" s="2">
        <f>PARAM!$H$39</f>
        <v>0</v>
      </c>
      <c r="J306" s="11">
        <f>PARAM!$G$39</f>
        <v>0</v>
      </c>
      <c r="K306" s="11">
        <f>(VLOOKUP(H306,DEDN!$A$8:$O$902,$K$2)*I306+J306)/1000</f>
        <v>0</v>
      </c>
      <c r="L306" s="11">
        <f>MIN(IF(PARAM!$B$43=3,CHOOSE($L$2,F306,K306),F306+K306-F306*K306),1)</f>
        <v>5.7199999999999994E-3</v>
      </c>
      <c r="M306" s="2">
        <f>PARAM!$I$38</f>
        <v>0</v>
      </c>
      <c r="N306" s="11">
        <f>VLOOKUP(B306,DEDN!$A$8:$O$90,$N$2)*M306</f>
        <v>0</v>
      </c>
      <c r="O306" s="12"/>
      <c r="P306" s="10">
        <f>PARAM!$C$53^-A306</f>
        <v>1</v>
      </c>
      <c r="Q306" s="10">
        <f t="shared" si="90"/>
        <v>0.95167971973898946</v>
      </c>
      <c r="R306" s="10">
        <f t="shared" si="89"/>
        <v>0.95167971973898946</v>
      </c>
      <c r="S306" s="10">
        <f>CHOOSE(PARAM!$B$51,R306,R306,0,0)*(A306&lt;PARAM!$B$55)</f>
        <v>0</v>
      </c>
      <c r="T306" s="10">
        <f t="shared" si="79"/>
        <v>4.5482764123416786E-4</v>
      </c>
      <c r="U306" s="10">
        <f>T306*P306*(A306&lt;PARAM!$B$55)</f>
        <v>0</v>
      </c>
      <c r="W306">
        <v>303</v>
      </c>
      <c r="X306" s="178">
        <f t="shared" si="93"/>
        <v>56</v>
      </c>
      <c r="Y306" s="178">
        <f t="shared" si="93"/>
        <v>56</v>
      </c>
      <c r="Z306" s="178">
        <f t="shared" si="93"/>
        <v>25</v>
      </c>
      <c r="AA306" s="178">
        <f t="shared" si="93"/>
        <v>25</v>
      </c>
      <c r="AD306" s="17">
        <f>CALC!E330*(A306&lt;PARAM!$B$55)</f>
        <v>0</v>
      </c>
      <c r="AE306">
        <f>IF(A306&lt;ITER!$C$16,1,PARAM!$C$53^-(RATES!A306-ITER!$C$16))*(A306&lt;PARAM!$B$55)</f>
        <v>0</v>
      </c>
    </row>
    <row r="307" spans="1:31" x14ac:dyDescent="0.2">
      <c r="A307" s="9">
        <v>304</v>
      </c>
      <c r="B307" s="178">
        <f t="shared" si="91"/>
        <v>56</v>
      </c>
      <c r="C307" s="178">
        <f t="shared" si="91"/>
        <v>56</v>
      </c>
      <c r="D307" s="2">
        <f>PARAM!$H$38</f>
        <v>1</v>
      </c>
      <c r="E307" s="11">
        <f>PARAM!$G$38</f>
        <v>0</v>
      </c>
      <c r="F307" s="11">
        <f>(VLOOKUP(C307,DEDN!$A$8:$O$902,$F$2)*D307+E307)/1000</f>
        <v>5.7199999999999994E-3</v>
      </c>
      <c r="G307" s="178">
        <f t="shared" si="92"/>
        <v>25</v>
      </c>
      <c r="H307" s="178">
        <f t="shared" si="92"/>
        <v>25</v>
      </c>
      <c r="I307" s="2">
        <f>PARAM!$H$39</f>
        <v>0</v>
      </c>
      <c r="J307" s="11">
        <f>PARAM!$G$39</f>
        <v>0</v>
      </c>
      <c r="K307" s="11">
        <f>(VLOOKUP(H307,DEDN!$A$8:$O$902,$K$2)*I307+J307)/1000</f>
        <v>0</v>
      </c>
      <c r="L307" s="11">
        <f>MIN(IF(PARAM!$B$43=3,CHOOSE($L$2,F307,K307),F307+K307-F307*K307),1)</f>
        <v>5.7199999999999994E-3</v>
      </c>
      <c r="M307" s="2">
        <f>PARAM!$I$38</f>
        <v>0</v>
      </c>
      <c r="N307" s="11">
        <f>VLOOKUP(B307,DEDN!$A$8:$O$90,$N$2)*M307</f>
        <v>0</v>
      </c>
      <c r="O307" s="12"/>
      <c r="P307" s="10">
        <f>PARAM!$C$53^-A307</f>
        <v>1</v>
      </c>
      <c r="Q307" s="10">
        <f t="shared" si="90"/>
        <v>0.95122489209775529</v>
      </c>
      <c r="R307" s="10">
        <f t="shared" si="89"/>
        <v>0.95122489209775529</v>
      </c>
      <c r="S307" s="10">
        <f>CHOOSE(PARAM!$B$51,R307,0,0,0)*(A307&lt;PARAM!$B$55)</f>
        <v>0</v>
      </c>
      <c r="T307" s="10">
        <f t="shared" si="79"/>
        <v>4.5461026959225936E-4</v>
      </c>
      <c r="U307" s="10">
        <f>T307*P307*(A307&lt;PARAM!$B$55)</f>
        <v>0</v>
      </c>
      <c r="W307">
        <v>304</v>
      </c>
      <c r="X307" s="178">
        <f t="shared" si="93"/>
        <v>56</v>
      </c>
      <c r="Y307" s="178">
        <f t="shared" si="93"/>
        <v>56</v>
      </c>
      <c r="Z307" s="178">
        <f t="shared" si="93"/>
        <v>25</v>
      </c>
      <c r="AA307" s="178">
        <f t="shared" si="93"/>
        <v>25</v>
      </c>
      <c r="AD307" s="17">
        <f>CALC!E331*(A307&lt;PARAM!$B$55)</f>
        <v>0</v>
      </c>
      <c r="AE307">
        <f>IF(A307&lt;ITER!$C$16,1,PARAM!$C$53^-(RATES!A307-ITER!$C$16))*(A307&lt;PARAM!$B$55)</f>
        <v>0</v>
      </c>
    </row>
    <row r="308" spans="1:31" x14ac:dyDescent="0.2">
      <c r="A308" s="9">
        <v>305</v>
      </c>
      <c r="B308" s="178">
        <f t="shared" si="91"/>
        <v>56</v>
      </c>
      <c r="C308" s="178">
        <f t="shared" si="91"/>
        <v>56</v>
      </c>
      <c r="D308" s="2">
        <f>PARAM!$H$38</f>
        <v>1</v>
      </c>
      <c r="E308" s="11">
        <f>PARAM!$G$38</f>
        <v>0</v>
      </c>
      <c r="F308" s="11">
        <f>(VLOOKUP(C308,DEDN!$A$8:$O$902,$F$2)*D308+E308)/1000</f>
        <v>5.7199999999999994E-3</v>
      </c>
      <c r="G308" s="178">
        <f t="shared" si="92"/>
        <v>25</v>
      </c>
      <c r="H308" s="178">
        <f t="shared" si="92"/>
        <v>25</v>
      </c>
      <c r="I308" s="2">
        <f>PARAM!$H$39</f>
        <v>0</v>
      </c>
      <c r="J308" s="11">
        <f>PARAM!$G$39</f>
        <v>0</v>
      </c>
      <c r="K308" s="11">
        <f>(VLOOKUP(H308,DEDN!$A$8:$O$902,$K$2)*I308+J308)/1000</f>
        <v>0</v>
      </c>
      <c r="L308" s="11">
        <f>MIN(IF(PARAM!$B$43=3,CHOOSE($L$2,F308,K308),F308+K308-F308*K308),1)</f>
        <v>5.7199999999999994E-3</v>
      </c>
      <c r="M308" s="2">
        <f>PARAM!$I$38</f>
        <v>0</v>
      </c>
      <c r="N308" s="11">
        <f>VLOOKUP(B308,DEDN!$A$8:$O$90,$N$2)*M308</f>
        <v>0</v>
      </c>
      <c r="O308" s="12"/>
      <c r="P308" s="10">
        <f>PARAM!$C$53^-A308</f>
        <v>1</v>
      </c>
      <c r="Q308" s="10">
        <f t="shared" si="90"/>
        <v>0.95077028182816303</v>
      </c>
      <c r="R308" s="10">
        <f t="shared" ref="R308:R323" si="94">P308*Q308</f>
        <v>0.95077028182816303</v>
      </c>
      <c r="S308" s="10">
        <f>CHOOSE(PARAM!$B$51,R308,0,0,0)*(A308&lt;PARAM!$B$55)</f>
        <v>0</v>
      </c>
      <c r="T308" s="10">
        <f t="shared" si="79"/>
        <v>4.5439300183680587E-4</v>
      </c>
      <c r="U308" s="10">
        <f>T308*P308*(A308&lt;PARAM!$B$55)</f>
        <v>0</v>
      </c>
      <c r="W308">
        <v>305</v>
      </c>
      <c r="X308" s="178">
        <f t="shared" si="93"/>
        <v>56</v>
      </c>
      <c r="Y308" s="178">
        <f t="shared" si="93"/>
        <v>56</v>
      </c>
      <c r="Z308" s="178">
        <f t="shared" si="93"/>
        <v>25</v>
      </c>
      <c r="AA308" s="178">
        <f t="shared" si="93"/>
        <v>25</v>
      </c>
      <c r="AD308" s="17">
        <f>CALC!E332*(A308&lt;PARAM!$B$55)</f>
        <v>0</v>
      </c>
      <c r="AE308">
        <f>IF(A308&lt;ITER!$C$16,1,PARAM!$C$53^-(RATES!A308-ITER!$C$16))*(A308&lt;PARAM!$B$55)</f>
        <v>0</v>
      </c>
    </row>
    <row r="309" spans="1:31" x14ac:dyDescent="0.2">
      <c r="A309" s="9">
        <v>306</v>
      </c>
      <c r="B309" s="178">
        <f t="shared" si="91"/>
        <v>57</v>
      </c>
      <c r="C309" s="178">
        <f t="shared" si="91"/>
        <v>57</v>
      </c>
      <c r="D309" s="2">
        <f>PARAM!$H$38</f>
        <v>1</v>
      </c>
      <c r="E309" s="11">
        <f>PARAM!$G$38</f>
        <v>0</v>
      </c>
      <c r="F309" s="11">
        <f>(VLOOKUP(C309,DEDN!$A$8:$O$902,$F$2)*D309+E309)/1000</f>
        <v>6.3899999999999998E-3</v>
      </c>
      <c r="G309" s="178">
        <f t="shared" si="92"/>
        <v>26</v>
      </c>
      <c r="H309" s="178">
        <f t="shared" si="92"/>
        <v>26</v>
      </c>
      <c r="I309" s="2">
        <f>PARAM!$H$39</f>
        <v>0</v>
      </c>
      <c r="J309" s="11">
        <f>PARAM!$G$39</f>
        <v>0</v>
      </c>
      <c r="K309" s="11">
        <f>(VLOOKUP(H309,DEDN!$A$8:$O$902,$K$2)*I309+J309)/1000</f>
        <v>0</v>
      </c>
      <c r="L309" s="11">
        <f>MIN(IF(PARAM!$B$43=3,CHOOSE($L$2,F309,K309),F309+K309-F309*K309),1)</f>
        <v>6.3899999999999998E-3</v>
      </c>
      <c r="M309" s="2">
        <f>PARAM!$I$38</f>
        <v>0</v>
      </c>
      <c r="N309" s="11">
        <f>VLOOKUP(B309,DEDN!$A$8:$O$90,$N$2)*M309</f>
        <v>0</v>
      </c>
      <c r="O309" s="12"/>
      <c r="P309" s="10">
        <f>PARAM!$C$53^-A309</f>
        <v>1</v>
      </c>
      <c r="Q309" s="10">
        <f t="shared" ref="Q309:Q324" si="95">Q308*(1-L308)^(1/12)</f>
        <v>0.95031588882632623</v>
      </c>
      <c r="R309" s="10">
        <f t="shared" si="94"/>
        <v>0.95031588882632623</v>
      </c>
      <c r="S309" s="10">
        <f>CHOOSE(PARAM!$B$51,R309,R309,R309,0)*(A309&lt;PARAM!$B$55)</f>
        <v>0</v>
      </c>
      <c r="T309" s="10">
        <f t="shared" si="79"/>
        <v>5.0753136375469854E-4</v>
      </c>
      <c r="U309" s="10">
        <f>T309*P309*(A309&lt;PARAM!$B$55)</f>
        <v>0</v>
      </c>
      <c r="W309">
        <v>306</v>
      </c>
      <c r="X309" s="178">
        <f t="shared" si="93"/>
        <v>57</v>
      </c>
      <c r="Y309" s="178">
        <f t="shared" si="93"/>
        <v>57</v>
      </c>
      <c r="Z309" s="178">
        <f t="shared" si="93"/>
        <v>26</v>
      </c>
      <c r="AA309" s="178">
        <f t="shared" si="93"/>
        <v>26</v>
      </c>
      <c r="AD309" s="17">
        <f>CALC!E333*(A309&lt;PARAM!$B$55)</f>
        <v>0</v>
      </c>
      <c r="AE309">
        <f>IF(A309&lt;ITER!$C$16,1,PARAM!$C$53^-(RATES!A309-ITER!$C$16))*(A309&lt;PARAM!$B$55)</f>
        <v>0</v>
      </c>
    </row>
    <row r="310" spans="1:31" x14ac:dyDescent="0.2">
      <c r="A310" s="9">
        <v>307</v>
      </c>
      <c r="B310" s="178">
        <f t="shared" si="91"/>
        <v>57</v>
      </c>
      <c r="C310" s="178">
        <f t="shared" si="91"/>
        <v>57</v>
      </c>
      <c r="D310" s="2">
        <f>PARAM!$H$38</f>
        <v>1</v>
      </c>
      <c r="E310" s="11">
        <f>PARAM!$G$38</f>
        <v>0</v>
      </c>
      <c r="F310" s="11">
        <f>(VLOOKUP(C310,DEDN!$A$8:$O$902,$F$2)*D310+E310)/1000</f>
        <v>6.3899999999999998E-3</v>
      </c>
      <c r="G310" s="178">
        <f t="shared" si="92"/>
        <v>26</v>
      </c>
      <c r="H310" s="178">
        <f t="shared" si="92"/>
        <v>26</v>
      </c>
      <c r="I310" s="2">
        <f>PARAM!$H$39</f>
        <v>0</v>
      </c>
      <c r="J310" s="11">
        <f>PARAM!$G$39</f>
        <v>0</v>
      </c>
      <c r="K310" s="11">
        <f>(VLOOKUP(H310,DEDN!$A$8:$O$902,$K$2)*I310+J310)/1000</f>
        <v>0</v>
      </c>
      <c r="L310" s="11">
        <f>MIN(IF(PARAM!$B$43=3,CHOOSE($L$2,F310,K310),F310+K310-F310*K310),1)</f>
        <v>6.3899999999999998E-3</v>
      </c>
      <c r="M310" s="2">
        <f>PARAM!$I$38</f>
        <v>0</v>
      </c>
      <c r="N310" s="11">
        <f>VLOOKUP(B310,DEDN!$A$8:$O$90,$N$2)*M310</f>
        <v>0</v>
      </c>
      <c r="O310" s="12"/>
      <c r="P310" s="10">
        <f>PARAM!$C$53^-A310</f>
        <v>1</v>
      </c>
      <c r="Q310" s="10">
        <f t="shared" si="95"/>
        <v>0.94980835746257153</v>
      </c>
      <c r="R310" s="10">
        <f t="shared" si="94"/>
        <v>0.94980835746257153</v>
      </c>
      <c r="S310" s="10">
        <f>CHOOSE(PARAM!$B$51,R310,0,0,0)*(A310&lt;PARAM!$B$55)</f>
        <v>0</v>
      </c>
      <c r="T310" s="10">
        <f t="shared" si="79"/>
        <v>5.0726030853165405E-4</v>
      </c>
      <c r="U310" s="10">
        <f>T310*P310*(A310&lt;PARAM!$B$55)</f>
        <v>0</v>
      </c>
      <c r="W310">
        <v>307</v>
      </c>
      <c r="X310" s="178">
        <f t="shared" si="93"/>
        <v>57</v>
      </c>
      <c r="Y310" s="178">
        <f t="shared" si="93"/>
        <v>57</v>
      </c>
      <c r="Z310" s="178">
        <f t="shared" si="93"/>
        <v>26</v>
      </c>
      <c r="AA310" s="178">
        <f t="shared" si="93"/>
        <v>26</v>
      </c>
      <c r="AD310" s="17">
        <f>CALC!E334*(A310&lt;PARAM!$B$55)</f>
        <v>0</v>
      </c>
      <c r="AE310">
        <f>IF(A310&lt;ITER!$C$16,1,PARAM!$C$53^-(RATES!A310-ITER!$C$16))*(A310&lt;PARAM!$B$55)</f>
        <v>0</v>
      </c>
    </row>
    <row r="311" spans="1:31" x14ac:dyDescent="0.2">
      <c r="A311" s="9">
        <v>308</v>
      </c>
      <c r="B311" s="178">
        <f t="shared" si="91"/>
        <v>57</v>
      </c>
      <c r="C311" s="178">
        <f t="shared" si="91"/>
        <v>57</v>
      </c>
      <c r="D311" s="2">
        <f>PARAM!$H$38</f>
        <v>1</v>
      </c>
      <c r="E311" s="11">
        <f>PARAM!$G$38</f>
        <v>0</v>
      </c>
      <c r="F311" s="11">
        <f>(VLOOKUP(C311,DEDN!$A$8:$O$902,$F$2)*D311+E311)/1000</f>
        <v>6.3899999999999998E-3</v>
      </c>
      <c r="G311" s="178">
        <f t="shared" si="92"/>
        <v>26</v>
      </c>
      <c r="H311" s="178">
        <f t="shared" si="92"/>
        <v>26</v>
      </c>
      <c r="I311" s="2">
        <f>PARAM!$H$39</f>
        <v>0</v>
      </c>
      <c r="J311" s="11">
        <f>PARAM!$G$39</f>
        <v>0</v>
      </c>
      <c r="K311" s="11">
        <f>(VLOOKUP(H311,DEDN!$A$8:$O$902,$K$2)*I311+J311)/1000</f>
        <v>0</v>
      </c>
      <c r="L311" s="11">
        <f>MIN(IF(PARAM!$B$43=3,CHOOSE($L$2,F311,K311),F311+K311-F311*K311),1)</f>
        <v>6.3899999999999998E-3</v>
      </c>
      <c r="M311" s="2">
        <f>PARAM!$I$38</f>
        <v>0</v>
      </c>
      <c r="N311" s="11">
        <f>VLOOKUP(B311,DEDN!$A$8:$O$90,$N$2)*M311</f>
        <v>0</v>
      </c>
      <c r="O311" s="12"/>
      <c r="P311" s="10">
        <f>PARAM!$C$53^-A311</f>
        <v>1</v>
      </c>
      <c r="Q311" s="10">
        <f t="shared" si="95"/>
        <v>0.94930109715403987</v>
      </c>
      <c r="R311" s="10">
        <f t="shared" si="94"/>
        <v>0.94930109715403987</v>
      </c>
      <c r="S311" s="10">
        <f>CHOOSE(PARAM!$B$51,R311,0,0,0)*(A311&lt;PARAM!$B$55)</f>
        <v>0</v>
      </c>
      <c r="T311" s="10">
        <f t="shared" si="79"/>
        <v>5.069893980699236E-4</v>
      </c>
      <c r="U311" s="10">
        <f>T311*P311*(A311&lt;PARAM!$B$55)</f>
        <v>0</v>
      </c>
      <c r="W311">
        <v>308</v>
      </c>
      <c r="X311" s="178">
        <f t="shared" si="93"/>
        <v>57</v>
      </c>
      <c r="Y311" s="178">
        <f t="shared" si="93"/>
        <v>57</v>
      </c>
      <c r="Z311" s="178">
        <f t="shared" si="93"/>
        <v>26</v>
      </c>
      <c r="AA311" s="178">
        <f t="shared" si="93"/>
        <v>26</v>
      </c>
      <c r="AD311" s="17">
        <f>CALC!E335*(A311&lt;PARAM!$B$55)</f>
        <v>0</v>
      </c>
      <c r="AE311">
        <f>IF(A311&lt;ITER!$C$16,1,PARAM!$C$53^-(RATES!A311-ITER!$C$16))*(A311&lt;PARAM!$B$55)</f>
        <v>0</v>
      </c>
    </row>
    <row r="312" spans="1:31" x14ac:dyDescent="0.2">
      <c r="A312" s="9">
        <v>309</v>
      </c>
      <c r="B312" s="178">
        <f t="shared" si="91"/>
        <v>57</v>
      </c>
      <c r="C312" s="178">
        <f t="shared" si="91"/>
        <v>57</v>
      </c>
      <c r="D312" s="2">
        <f>PARAM!$H$38</f>
        <v>1</v>
      </c>
      <c r="E312" s="11">
        <f>PARAM!$G$38</f>
        <v>0</v>
      </c>
      <c r="F312" s="11">
        <f>(VLOOKUP(C312,DEDN!$A$8:$O$902,$F$2)*D312+E312)/1000</f>
        <v>6.3899999999999998E-3</v>
      </c>
      <c r="G312" s="178">
        <f t="shared" si="92"/>
        <v>26</v>
      </c>
      <c r="H312" s="178">
        <f t="shared" si="92"/>
        <v>26</v>
      </c>
      <c r="I312" s="2">
        <f>PARAM!$H$39</f>
        <v>0</v>
      </c>
      <c r="J312" s="11">
        <f>PARAM!$G$39</f>
        <v>0</v>
      </c>
      <c r="K312" s="11">
        <f>(VLOOKUP(H312,DEDN!$A$8:$O$902,$K$2)*I312+J312)/1000</f>
        <v>0</v>
      </c>
      <c r="L312" s="11">
        <f>MIN(IF(PARAM!$B$43=3,CHOOSE($L$2,F312,K312),F312+K312-F312*K312),1)</f>
        <v>6.3899999999999998E-3</v>
      </c>
      <c r="M312" s="2">
        <f>PARAM!$I$38</f>
        <v>0</v>
      </c>
      <c r="N312" s="11">
        <f>VLOOKUP(B312,DEDN!$A$8:$O$90,$N$2)*M312</f>
        <v>0</v>
      </c>
      <c r="O312" s="12"/>
      <c r="P312" s="10">
        <f>PARAM!$C$53^-A312</f>
        <v>1</v>
      </c>
      <c r="Q312" s="10">
        <f t="shared" si="95"/>
        <v>0.94879410775596995</v>
      </c>
      <c r="R312" s="10">
        <f t="shared" si="94"/>
        <v>0.94879410775596995</v>
      </c>
      <c r="S312" s="10">
        <f>CHOOSE(PARAM!$B$51,R312,R312,0,0)*(A312&lt;PARAM!$B$55)</f>
        <v>0</v>
      </c>
      <c r="T312" s="10">
        <f t="shared" si="79"/>
        <v>5.067186322923467E-4</v>
      </c>
      <c r="U312" s="10">
        <f>T312*P312*(A312&lt;PARAM!$B$55)</f>
        <v>0</v>
      </c>
      <c r="W312">
        <v>309</v>
      </c>
      <c r="X312" s="178">
        <f t="shared" si="93"/>
        <v>57</v>
      </c>
      <c r="Y312" s="178">
        <f t="shared" si="93"/>
        <v>57</v>
      </c>
      <c r="Z312" s="178">
        <f t="shared" si="93"/>
        <v>26</v>
      </c>
      <c r="AA312" s="178">
        <f t="shared" si="93"/>
        <v>26</v>
      </c>
      <c r="AD312" s="17">
        <f>CALC!E336*(A312&lt;PARAM!$B$55)</f>
        <v>0</v>
      </c>
      <c r="AE312">
        <f>IF(A312&lt;ITER!$C$16,1,PARAM!$C$53^-(RATES!A312-ITER!$C$16))*(A312&lt;PARAM!$B$55)</f>
        <v>0</v>
      </c>
    </row>
    <row r="313" spans="1:31" x14ac:dyDescent="0.2">
      <c r="A313" s="9">
        <v>310</v>
      </c>
      <c r="B313" s="178">
        <f t="shared" si="91"/>
        <v>57</v>
      </c>
      <c r="C313" s="178">
        <f t="shared" si="91"/>
        <v>57</v>
      </c>
      <c r="D313" s="2">
        <f>PARAM!$H$38</f>
        <v>1</v>
      </c>
      <c r="E313" s="11">
        <f>PARAM!$G$38</f>
        <v>0</v>
      </c>
      <c r="F313" s="11">
        <f>(VLOOKUP(C313,DEDN!$A$8:$O$902,$F$2)*D313+E313)/1000</f>
        <v>6.3899999999999998E-3</v>
      </c>
      <c r="G313" s="178">
        <f t="shared" si="92"/>
        <v>26</v>
      </c>
      <c r="H313" s="178">
        <f t="shared" si="92"/>
        <v>26</v>
      </c>
      <c r="I313" s="2">
        <f>PARAM!$H$39</f>
        <v>0</v>
      </c>
      <c r="J313" s="11">
        <f>PARAM!$G$39</f>
        <v>0</v>
      </c>
      <c r="K313" s="11">
        <f>(VLOOKUP(H313,DEDN!$A$8:$O$902,$K$2)*I313+J313)/1000</f>
        <v>0</v>
      </c>
      <c r="L313" s="11">
        <f>MIN(IF(PARAM!$B$43=3,CHOOSE($L$2,F313,K313),F313+K313-F313*K313),1)</f>
        <v>6.3899999999999998E-3</v>
      </c>
      <c r="M313" s="2">
        <f>PARAM!$I$38</f>
        <v>0</v>
      </c>
      <c r="N313" s="11">
        <f>VLOOKUP(B313,DEDN!$A$8:$O$90,$N$2)*M313</f>
        <v>0</v>
      </c>
      <c r="O313" s="12"/>
      <c r="P313" s="10">
        <f>PARAM!$C$53^-A313</f>
        <v>1</v>
      </c>
      <c r="Q313" s="10">
        <f t="shared" si="95"/>
        <v>0.9482873891236776</v>
      </c>
      <c r="R313" s="10">
        <f t="shared" si="94"/>
        <v>0.9482873891236776</v>
      </c>
      <c r="S313" s="10">
        <f>CHOOSE(PARAM!$B$51,R313,0,0,0)*(A313&lt;PARAM!$B$55)</f>
        <v>0</v>
      </c>
      <c r="T313" s="10">
        <f t="shared" si="79"/>
        <v>5.0644801112154081E-4</v>
      </c>
      <c r="U313" s="10">
        <f>T313*P313*(A313&lt;PARAM!$B$55)</f>
        <v>0</v>
      </c>
      <c r="W313">
        <v>310</v>
      </c>
      <c r="X313" s="178">
        <f t="shared" si="93"/>
        <v>57</v>
      </c>
      <c r="Y313" s="178">
        <f t="shared" si="93"/>
        <v>57</v>
      </c>
      <c r="Z313" s="178">
        <f t="shared" si="93"/>
        <v>26</v>
      </c>
      <c r="AA313" s="178">
        <f t="shared" si="93"/>
        <v>26</v>
      </c>
      <c r="AD313" s="17">
        <f>CALC!E337*(A313&lt;PARAM!$B$55)</f>
        <v>0</v>
      </c>
      <c r="AE313">
        <f>IF(A313&lt;ITER!$C$16,1,PARAM!$C$53^-(RATES!A313-ITER!$C$16))*(A313&lt;PARAM!$B$55)</f>
        <v>0</v>
      </c>
    </row>
    <row r="314" spans="1:31" x14ac:dyDescent="0.2">
      <c r="A314" s="9">
        <v>311</v>
      </c>
      <c r="B314" s="178">
        <f t="shared" si="91"/>
        <v>57</v>
      </c>
      <c r="C314" s="178">
        <f t="shared" si="91"/>
        <v>57</v>
      </c>
      <c r="D314" s="2">
        <f>PARAM!$H$38</f>
        <v>1</v>
      </c>
      <c r="E314" s="11">
        <f>PARAM!$G$38</f>
        <v>0</v>
      </c>
      <c r="F314" s="11">
        <f>(VLOOKUP(C314,DEDN!$A$8:$O$902,$F$2)*D314+E314)/1000</f>
        <v>6.3899999999999998E-3</v>
      </c>
      <c r="G314" s="178">
        <f t="shared" si="92"/>
        <v>26</v>
      </c>
      <c r="H314" s="178">
        <f t="shared" si="92"/>
        <v>26</v>
      </c>
      <c r="I314" s="2">
        <f>PARAM!$H$39</f>
        <v>0</v>
      </c>
      <c r="J314" s="11">
        <f>PARAM!$G$39</f>
        <v>0</v>
      </c>
      <c r="K314" s="11">
        <f>(VLOOKUP(H314,DEDN!$A$8:$O$902,$K$2)*I314+J314)/1000</f>
        <v>0</v>
      </c>
      <c r="L314" s="11">
        <f>MIN(IF(PARAM!$B$43=3,CHOOSE($L$2,F314,K314),F314+K314-F314*K314),1)</f>
        <v>6.3899999999999998E-3</v>
      </c>
      <c r="M314" s="2">
        <f>PARAM!$I$38</f>
        <v>0</v>
      </c>
      <c r="N314" s="11">
        <f>VLOOKUP(B314,DEDN!$A$8:$O$90,$N$2)*M314</f>
        <v>0</v>
      </c>
      <c r="O314" s="12"/>
      <c r="P314" s="10">
        <f>PARAM!$C$53^-A314</f>
        <v>1</v>
      </c>
      <c r="Q314" s="10">
        <f t="shared" si="95"/>
        <v>0.94778094111255606</v>
      </c>
      <c r="R314" s="10">
        <f t="shared" si="94"/>
        <v>0.94778094111255606</v>
      </c>
      <c r="S314" s="10">
        <f>CHOOSE(PARAM!$B$51,R314,0,0,0)*(A314&lt;PARAM!$B$55)</f>
        <v>0</v>
      </c>
      <c r="T314" s="10">
        <f t="shared" si="79"/>
        <v>5.0617753448023439E-4</v>
      </c>
      <c r="U314" s="10">
        <f>T314*P314*(A314&lt;PARAM!$B$55)</f>
        <v>0</v>
      </c>
      <c r="W314">
        <v>311</v>
      </c>
      <c r="X314" s="178">
        <f t="shared" si="93"/>
        <v>57</v>
      </c>
      <c r="Y314" s="178">
        <f t="shared" si="93"/>
        <v>57</v>
      </c>
      <c r="Z314" s="178">
        <f t="shared" si="93"/>
        <v>26</v>
      </c>
      <c r="AA314" s="178">
        <f t="shared" si="93"/>
        <v>26</v>
      </c>
      <c r="AD314" s="17">
        <f>CALC!E338*(A314&lt;PARAM!$B$55)</f>
        <v>0</v>
      </c>
      <c r="AE314">
        <f>IF(A314&lt;ITER!$C$16,1,PARAM!$C$53^-(RATES!A314-ITER!$C$16))*(A314&lt;PARAM!$B$55)</f>
        <v>0</v>
      </c>
    </row>
    <row r="315" spans="1:31" x14ac:dyDescent="0.2">
      <c r="A315" s="9">
        <v>312</v>
      </c>
      <c r="B315" s="178">
        <f t="shared" si="91"/>
        <v>57</v>
      </c>
      <c r="C315" s="178">
        <f t="shared" si="91"/>
        <v>57</v>
      </c>
      <c r="D315" s="2">
        <f>PARAM!$H$38</f>
        <v>1</v>
      </c>
      <c r="E315" s="11">
        <f>PARAM!$G$38</f>
        <v>0</v>
      </c>
      <c r="F315" s="11">
        <f>(VLOOKUP(C315,DEDN!$A$8:$O$902,$F$2)*D315+E315)/1000</f>
        <v>6.3899999999999998E-3</v>
      </c>
      <c r="G315" s="178">
        <f t="shared" si="92"/>
        <v>26</v>
      </c>
      <c r="H315" s="178">
        <f t="shared" si="92"/>
        <v>26</v>
      </c>
      <c r="I315" s="2">
        <f>PARAM!$H$39</f>
        <v>0</v>
      </c>
      <c r="J315" s="11">
        <f>PARAM!$G$39</f>
        <v>0</v>
      </c>
      <c r="K315" s="11">
        <f>(VLOOKUP(H315,DEDN!$A$8:$O$902,$K$2)*I315+J315)/1000</f>
        <v>0</v>
      </c>
      <c r="L315" s="11">
        <f>MIN(IF(PARAM!$B$43=3,CHOOSE($L$2,F315,K315),F315+K315-F315*K315),1)</f>
        <v>6.3899999999999998E-3</v>
      </c>
      <c r="M315" s="2">
        <f>PARAM!$I$38</f>
        <v>0</v>
      </c>
      <c r="N315" s="11">
        <f>VLOOKUP(B315,DEDN!$A$8:$O$90,$N$2)*M315</f>
        <v>0</v>
      </c>
      <c r="O315" s="12"/>
      <c r="P315" s="10">
        <f>PARAM!$C$53^-A315</f>
        <v>1</v>
      </c>
      <c r="Q315" s="10">
        <f t="shared" si="95"/>
        <v>0.94727476357807583</v>
      </c>
      <c r="R315" s="10">
        <f t="shared" si="94"/>
        <v>0.94727476357807583</v>
      </c>
      <c r="S315" s="10">
        <f>R315*(A315&lt;PARAM!$B$55)</f>
        <v>0</v>
      </c>
      <c r="T315" s="10">
        <f t="shared" si="79"/>
        <v>5.0590720229137798E-4</v>
      </c>
      <c r="U315" s="10">
        <f>T315*P315*(A315&lt;PARAM!$B$55)</f>
        <v>0</v>
      </c>
      <c r="W315">
        <v>312</v>
      </c>
      <c r="X315" s="178">
        <f t="shared" si="93"/>
        <v>57</v>
      </c>
      <c r="Y315" s="178">
        <f t="shared" si="93"/>
        <v>57</v>
      </c>
      <c r="Z315" s="178">
        <f t="shared" si="93"/>
        <v>26</v>
      </c>
      <c r="AA315" s="178">
        <f t="shared" si="93"/>
        <v>26</v>
      </c>
      <c r="AD315" s="17">
        <f>CALC!E339*(A315&lt;PARAM!$B$55)</f>
        <v>0</v>
      </c>
      <c r="AE315">
        <f>IF(A315&lt;ITER!$C$16,1,PARAM!$C$53^-(RATES!A315-ITER!$C$16))*(A315&lt;PARAM!$B$55)</f>
        <v>0</v>
      </c>
    </row>
    <row r="316" spans="1:31" x14ac:dyDescent="0.2">
      <c r="A316" s="9">
        <v>313</v>
      </c>
      <c r="B316" s="178">
        <f t="shared" si="91"/>
        <v>57</v>
      </c>
      <c r="C316" s="178">
        <f t="shared" si="91"/>
        <v>57</v>
      </c>
      <c r="D316" s="2">
        <f>PARAM!$H$38</f>
        <v>1</v>
      </c>
      <c r="E316" s="11">
        <f>PARAM!$G$38</f>
        <v>0</v>
      </c>
      <c r="F316" s="11">
        <f>(VLOOKUP(C316,DEDN!$A$8:$O$902,$F$2)*D316+E316)/1000</f>
        <v>6.3899999999999998E-3</v>
      </c>
      <c r="G316" s="178">
        <f t="shared" si="92"/>
        <v>26</v>
      </c>
      <c r="H316" s="178">
        <f t="shared" si="92"/>
        <v>26</v>
      </c>
      <c r="I316" s="2">
        <f>PARAM!$H$39</f>
        <v>0</v>
      </c>
      <c r="J316" s="11">
        <f>PARAM!$G$39</f>
        <v>0</v>
      </c>
      <c r="K316" s="11">
        <f>(VLOOKUP(H316,DEDN!$A$8:$O$902,$K$2)*I316+J316)/1000</f>
        <v>0</v>
      </c>
      <c r="L316" s="11">
        <f>MIN(IF(PARAM!$B$43=3,CHOOSE($L$2,F316,K316),F316+K316-F316*K316),1)</f>
        <v>6.3899999999999998E-3</v>
      </c>
      <c r="M316" s="2">
        <f>PARAM!$I$38</f>
        <v>0</v>
      </c>
      <c r="N316" s="11">
        <f>VLOOKUP(B316,DEDN!$A$8:$O$90,$N$2)*M316</f>
        <v>0</v>
      </c>
      <c r="O316" s="12"/>
      <c r="P316" s="10">
        <f>PARAM!$C$53^-A316</f>
        <v>1</v>
      </c>
      <c r="Q316" s="10">
        <f t="shared" si="95"/>
        <v>0.94676885637578445</v>
      </c>
      <c r="R316" s="10">
        <f t="shared" si="94"/>
        <v>0.94676885637578445</v>
      </c>
      <c r="S316" s="10">
        <f>CHOOSE(PARAM!$B$51,R316,0,0,0)*(A316&lt;PARAM!$B$55)</f>
        <v>0</v>
      </c>
      <c r="T316" s="10">
        <f t="shared" si="79"/>
        <v>5.0563701447770004E-4</v>
      </c>
      <c r="U316" s="10">
        <f>T316*P316*(A316&lt;PARAM!$B$55)</f>
        <v>0</v>
      </c>
      <c r="W316">
        <v>313</v>
      </c>
      <c r="X316" s="178">
        <f t="shared" si="93"/>
        <v>57</v>
      </c>
      <c r="Y316" s="178">
        <f t="shared" si="93"/>
        <v>57</v>
      </c>
      <c r="Z316" s="178">
        <f t="shared" si="93"/>
        <v>26</v>
      </c>
      <c r="AA316" s="178">
        <f t="shared" si="93"/>
        <v>26</v>
      </c>
      <c r="AD316" s="17">
        <f>CALC!E340*(A316&lt;PARAM!$B$55)</f>
        <v>0</v>
      </c>
      <c r="AE316">
        <f>IF(A316&lt;ITER!$C$16,1,PARAM!$C$53^-(RATES!A316-ITER!$C$16))*(A316&lt;PARAM!$B$55)</f>
        <v>0</v>
      </c>
    </row>
    <row r="317" spans="1:31" x14ac:dyDescent="0.2">
      <c r="A317" s="9">
        <v>314</v>
      </c>
      <c r="B317" s="178">
        <f t="shared" si="91"/>
        <v>57</v>
      </c>
      <c r="C317" s="178">
        <f t="shared" si="91"/>
        <v>57</v>
      </c>
      <c r="D317" s="2">
        <f>PARAM!$H$38</f>
        <v>1</v>
      </c>
      <c r="E317" s="11">
        <f>PARAM!$G$38</f>
        <v>0</v>
      </c>
      <c r="F317" s="11">
        <f>(VLOOKUP(C317,DEDN!$A$8:$O$902,$F$2)*D317+E317)/1000</f>
        <v>6.3899999999999998E-3</v>
      </c>
      <c r="G317" s="178">
        <f t="shared" si="92"/>
        <v>26</v>
      </c>
      <c r="H317" s="178">
        <f t="shared" si="92"/>
        <v>26</v>
      </c>
      <c r="I317" s="2">
        <f>PARAM!$H$39</f>
        <v>0</v>
      </c>
      <c r="J317" s="11">
        <f>PARAM!$G$39</f>
        <v>0</v>
      </c>
      <c r="K317" s="11">
        <f>(VLOOKUP(H317,DEDN!$A$8:$O$902,$K$2)*I317+J317)/1000</f>
        <v>0</v>
      </c>
      <c r="L317" s="11">
        <f>MIN(IF(PARAM!$B$43=3,CHOOSE($L$2,F317,K317),F317+K317-F317*K317),1)</f>
        <v>6.3899999999999998E-3</v>
      </c>
      <c r="M317" s="2">
        <f>PARAM!$I$38</f>
        <v>0</v>
      </c>
      <c r="N317" s="11">
        <f>VLOOKUP(B317,DEDN!$A$8:$O$90,$N$2)*M317</f>
        <v>0</v>
      </c>
      <c r="O317" s="12"/>
      <c r="P317" s="10">
        <f>PARAM!$C$53^-A317</f>
        <v>1</v>
      </c>
      <c r="Q317" s="10">
        <f t="shared" si="95"/>
        <v>0.94626321936130675</v>
      </c>
      <c r="R317" s="10">
        <f t="shared" si="94"/>
        <v>0.94626321936130675</v>
      </c>
      <c r="S317" s="10">
        <f>CHOOSE(PARAM!$B$51,R317,0,0,0)*(A317&lt;PARAM!$B$55)</f>
        <v>0</v>
      </c>
      <c r="T317" s="10">
        <f t="shared" si="79"/>
        <v>5.0536697096215111E-4</v>
      </c>
      <c r="U317" s="10">
        <f>T317*P317*(A317&lt;PARAM!$B$55)</f>
        <v>0</v>
      </c>
      <c r="W317">
        <v>314</v>
      </c>
      <c r="X317" s="178">
        <f t="shared" si="93"/>
        <v>57</v>
      </c>
      <c r="Y317" s="178">
        <f t="shared" si="93"/>
        <v>57</v>
      </c>
      <c r="Z317" s="178">
        <f t="shared" si="93"/>
        <v>26</v>
      </c>
      <c r="AA317" s="178">
        <f t="shared" si="93"/>
        <v>26</v>
      </c>
      <c r="AD317" s="17">
        <f>CALC!E341*(A317&lt;PARAM!$B$55)</f>
        <v>0</v>
      </c>
      <c r="AE317">
        <f>IF(A317&lt;ITER!$C$16,1,PARAM!$C$53^-(RATES!A317-ITER!$C$16))*(A317&lt;PARAM!$B$55)</f>
        <v>0</v>
      </c>
    </row>
    <row r="318" spans="1:31" x14ac:dyDescent="0.2">
      <c r="A318" s="9">
        <v>315</v>
      </c>
      <c r="B318" s="178">
        <f t="shared" si="91"/>
        <v>57</v>
      </c>
      <c r="C318" s="178">
        <f t="shared" si="91"/>
        <v>57</v>
      </c>
      <c r="D318" s="2">
        <f>PARAM!$H$38</f>
        <v>1</v>
      </c>
      <c r="E318" s="11">
        <f>PARAM!$G$38</f>
        <v>0</v>
      </c>
      <c r="F318" s="11">
        <f>(VLOOKUP(C318,DEDN!$A$8:$O$902,$F$2)*D318+E318)/1000</f>
        <v>6.3899999999999998E-3</v>
      </c>
      <c r="G318" s="178">
        <f t="shared" si="92"/>
        <v>26</v>
      </c>
      <c r="H318" s="178">
        <f t="shared" si="92"/>
        <v>26</v>
      </c>
      <c r="I318" s="2">
        <f>PARAM!$H$39</f>
        <v>0</v>
      </c>
      <c r="J318" s="11">
        <f>PARAM!$G$39</f>
        <v>0</v>
      </c>
      <c r="K318" s="11">
        <f>(VLOOKUP(H318,DEDN!$A$8:$O$902,$K$2)*I318+J318)/1000</f>
        <v>0</v>
      </c>
      <c r="L318" s="11">
        <f>MIN(IF(PARAM!$B$43=3,CHOOSE($L$2,F318,K318),F318+K318-F318*K318),1)</f>
        <v>6.3899999999999998E-3</v>
      </c>
      <c r="M318" s="2">
        <f>PARAM!$I$38</f>
        <v>0</v>
      </c>
      <c r="N318" s="11">
        <f>VLOOKUP(B318,DEDN!$A$8:$O$90,$N$2)*M318</f>
        <v>0</v>
      </c>
      <c r="O318" s="12"/>
      <c r="P318" s="10">
        <f>PARAM!$C$53^-A318</f>
        <v>1</v>
      </c>
      <c r="Q318" s="10">
        <f t="shared" si="95"/>
        <v>0.9457578523903446</v>
      </c>
      <c r="R318" s="10">
        <f t="shared" si="94"/>
        <v>0.9457578523903446</v>
      </c>
      <c r="S318" s="10">
        <f>CHOOSE(PARAM!$B$51,R318,R318,0,0)*(A318&lt;PARAM!$B$55)</f>
        <v>0</v>
      </c>
      <c r="T318" s="10">
        <f t="shared" si="79"/>
        <v>5.0509707166757067E-4</v>
      </c>
      <c r="U318" s="10">
        <f>T318*P318*(A318&lt;PARAM!$B$55)</f>
        <v>0</v>
      </c>
      <c r="W318">
        <v>315</v>
      </c>
      <c r="X318" s="178">
        <f t="shared" si="93"/>
        <v>57</v>
      </c>
      <c r="Y318" s="178">
        <f t="shared" si="93"/>
        <v>57</v>
      </c>
      <c r="Z318" s="178">
        <f t="shared" si="93"/>
        <v>26</v>
      </c>
      <c r="AA318" s="178">
        <f t="shared" si="93"/>
        <v>26</v>
      </c>
      <c r="AD318" s="17">
        <f>CALC!E342*(A318&lt;PARAM!$B$55)</f>
        <v>0</v>
      </c>
      <c r="AE318">
        <f>IF(A318&lt;ITER!$C$16,1,PARAM!$C$53^-(RATES!A318-ITER!$C$16))*(A318&lt;PARAM!$B$55)</f>
        <v>0</v>
      </c>
    </row>
    <row r="319" spans="1:31" x14ac:dyDescent="0.2">
      <c r="A319" s="9">
        <v>316</v>
      </c>
      <c r="B319" s="178">
        <f t="shared" si="91"/>
        <v>57</v>
      </c>
      <c r="C319" s="178">
        <f t="shared" si="91"/>
        <v>57</v>
      </c>
      <c r="D319" s="2">
        <f>PARAM!$H$38</f>
        <v>1</v>
      </c>
      <c r="E319" s="11">
        <f>PARAM!$G$38</f>
        <v>0</v>
      </c>
      <c r="F319" s="11">
        <f>(VLOOKUP(C319,DEDN!$A$8:$O$902,$F$2)*D319+E319)/1000</f>
        <v>6.3899999999999998E-3</v>
      </c>
      <c r="G319" s="178">
        <f t="shared" si="92"/>
        <v>26</v>
      </c>
      <c r="H319" s="178">
        <f t="shared" si="92"/>
        <v>26</v>
      </c>
      <c r="I319" s="2">
        <f>PARAM!$H$39</f>
        <v>0</v>
      </c>
      <c r="J319" s="11">
        <f>PARAM!$G$39</f>
        <v>0</v>
      </c>
      <c r="K319" s="11">
        <f>(VLOOKUP(H319,DEDN!$A$8:$O$902,$K$2)*I319+J319)/1000</f>
        <v>0</v>
      </c>
      <c r="L319" s="11">
        <f>MIN(IF(PARAM!$B$43=3,CHOOSE($L$2,F319,K319),F319+K319-F319*K319),1)</f>
        <v>6.3899999999999998E-3</v>
      </c>
      <c r="M319" s="2">
        <f>PARAM!$I$38</f>
        <v>0</v>
      </c>
      <c r="N319" s="11">
        <f>VLOOKUP(B319,DEDN!$A$8:$O$90,$N$2)*M319</f>
        <v>0</v>
      </c>
      <c r="O319" s="12"/>
      <c r="P319" s="10">
        <f>PARAM!$C$53^-A319</f>
        <v>1</v>
      </c>
      <c r="Q319" s="10">
        <f t="shared" si="95"/>
        <v>0.94525275531867703</v>
      </c>
      <c r="R319" s="10">
        <f t="shared" si="94"/>
        <v>0.94525275531867703</v>
      </c>
      <c r="S319" s="10">
        <f>CHOOSE(PARAM!$B$51,R319,0,0,0)*(A319&lt;PARAM!$B$55)</f>
        <v>0</v>
      </c>
      <c r="T319" s="10">
        <f t="shared" si="79"/>
        <v>5.0482731651713131E-4</v>
      </c>
      <c r="U319" s="10">
        <f>T319*P319*(A319&lt;PARAM!$B$55)</f>
        <v>0</v>
      </c>
      <c r="W319">
        <v>316</v>
      </c>
      <c r="X319" s="178">
        <f t="shared" si="93"/>
        <v>57</v>
      </c>
      <c r="Y319" s="178">
        <f t="shared" si="93"/>
        <v>57</v>
      </c>
      <c r="Z319" s="178">
        <f t="shared" si="93"/>
        <v>26</v>
      </c>
      <c r="AA319" s="178">
        <f t="shared" si="93"/>
        <v>26</v>
      </c>
      <c r="AD319" s="17">
        <f>CALC!E343*(A319&lt;PARAM!$B$55)</f>
        <v>0</v>
      </c>
      <c r="AE319">
        <f>IF(A319&lt;ITER!$C$16,1,PARAM!$C$53^-(RATES!A319-ITER!$C$16))*(A319&lt;PARAM!$B$55)</f>
        <v>0</v>
      </c>
    </row>
    <row r="320" spans="1:31" x14ac:dyDescent="0.2">
      <c r="A320" s="9">
        <v>317</v>
      </c>
      <c r="B320" s="178">
        <f t="shared" si="91"/>
        <v>57</v>
      </c>
      <c r="C320" s="178">
        <f t="shared" si="91"/>
        <v>57</v>
      </c>
      <c r="D320" s="2">
        <f>PARAM!$H$38</f>
        <v>1</v>
      </c>
      <c r="E320" s="11">
        <f>PARAM!$G$38</f>
        <v>0</v>
      </c>
      <c r="F320" s="11">
        <f>(VLOOKUP(C320,DEDN!$A$8:$O$902,$F$2)*D320+E320)/1000</f>
        <v>6.3899999999999998E-3</v>
      </c>
      <c r="G320" s="178">
        <f t="shared" si="92"/>
        <v>26</v>
      </c>
      <c r="H320" s="178">
        <f t="shared" si="92"/>
        <v>26</v>
      </c>
      <c r="I320" s="2">
        <f>PARAM!$H$39</f>
        <v>0</v>
      </c>
      <c r="J320" s="11">
        <f>PARAM!$G$39</f>
        <v>0</v>
      </c>
      <c r="K320" s="11">
        <f>(VLOOKUP(H320,DEDN!$A$8:$O$902,$K$2)*I320+J320)/1000</f>
        <v>0</v>
      </c>
      <c r="L320" s="11">
        <f>MIN(IF(PARAM!$B$43=3,CHOOSE($L$2,F320,K320),F320+K320-F320*K320),1)</f>
        <v>6.3899999999999998E-3</v>
      </c>
      <c r="M320" s="2">
        <f>PARAM!$I$38</f>
        <v>0</v>
      </c>
      <c r="N320" s="11">
        <f>VLOOKUP(B320,DEDN!$A$8:$O$90,$N$2)*M320</f>
        <v>0</v>
      </c>
      <c r="O320" s="12"/>
      <c r="P320" s="10">
        <f>PARAM!$C$53^-A320</f>
        <v>1</v>
      </c>
      <c r="Q320" s="10">
        <f t="shared" si="95"/>
        <v>0.9447479280021599</v>
      </c>
      <c r="R320" s="10">
        <f t="shared" si="94"/>
        <v>0.9447479280021599</v>
      </c>
      <c r="S320" s="10">
        <f>CHOOSE(PARAM!$B$51,R320,0,0,0)*(A320&lt;PARAM!$B$55)</f>
        <v>0</v>
      </c>
      <c r="T320" s="10">
        <f t="shared" si="79"/>
        <v>5.0455770543367251E-4</v>
      </c>
      <c r="U320" s="10">
        <f>T320*P320*(A320&lt;PARAM!$B$55)</f>
        <v>0</v>
      </c>
      <c r="W320">
        <v>317</v>
      </c>
      <c r="X320" s="178">
        <f t="shared" si="93"/>
        <v>57</v>
      </c>
      <c r="Y320" s="178">
        <f t="shared" si="93"/>
        <v>57</v>
      </c>
      <c r="Z320" s="178">
        <f t="shared" si="93"/>
        <v>26</v>
      </c>
      <c r="AA320" s="178">
        <f t="shared" si="93"/>
        <v>26</v>
      </c>
      <c r="AD320" s="17">
        <f>CALC!E344*(A320&lt;PARAM!$B$55)</f>
        <v>0</v>
      </c>
      <c r="AE320">
        <f>IF(A320&lt;ITER!$C$16,1,PARAM!$C$53^-(RATES!A320-ITER!$C$16))*(A320&lt;PARAM!$B$55)</f>
        <v>0</v>
      </c>
    </row>
    <row r="321" spans="1:31" x14ac:dyDescent="0.2">
      <c r="A321" s="9">
        <v>318</v>
      </c>
      <c r="B321" s="178">
        <f t="shared" ref="B321:C340" si="96">B309+1</f>
        <v>58</v>
      </c>
      <c r="C321" s="178">
        <f t="shared" si="96"/>
        <v>58</v>
      </c>
      <c r="D321" s="2">
        <f>PARAM!$H$38</f>
        <v>1</v>
      </c>
      <c r="E321" s="11">
        <f>PARAM!$G$38</f>
        <v>0</v>
      </c>
      <c r="F321" s="11">
        <f>(VLOOKUP(C321,DEDN!$A$8:$O$902,$F$2)*D321+E321)/1000</f>
        <v>7.1399999999999996E-3</v>
      </c>
      <c r="G321" s="178">
        <f t="shared" ref="G321:H340" si="97">G309+1</f>
        <v>27</v>
      </c>
      <c r="H321" s="178">
        <f t="shared" si="97"/>
        <v>27</v>
      </c>
      <c r="I321" s="2">
        <f>PARAM!$H$39</f>
        <v>0</v>
      </c>
      <c r="J321" s="11">
        <f>PARAM!$G$39</f>
        <v>0</v>
      </c>
      <c r="K321" s="11">
        <f>(VLOOKUP(H321,DEDN!$A$8:$O$902,$K$2)*I321+J321)/1000</f>
        <v>0</v>
      </c>
      <c r="L321" s="11">
        <f>MIN(IF(PARAM!$B$43=3,CHOOSE($L$2,F321,K321),F321+K321-F321*K321),1)</f>
        <v>7.1399999999999996E-3</v>
      </c>
      <c r="M321" s="2">
        <f>PARAM!$I$38</f>
        <v>0</v>
      </c>
      <c r="N321" s="11">
        <f>VLOOKUP(B321,DEDN!$A$8:$O$90,$N$2)*M321</f>
        <v>0</v>
      </c>
      <c r="O321" s="12"/>
      <c r="P321" s="10">
        <f>PARAM!$C$53^-A321</f>
        <v>1</v>
      </c>
      <c r="Q321" s="10">
        <f t="shared" si="95"/>
        <v>0.94424337029672623</v>
      </c>
      <c r="R321" s="10">
        <f t="shared" si="94"/>
        <v>0.94424337029672623</v>
      </c>
      <c r="S321" s="10">
        <f>CHOOSE(PARAM!$B$51,R321,R321,R321,0)*(A321&lt;PARAM!$B$55)</f>
        <v>0</v>
      </c>
      <c r="T321" s="10">
        <f t="shared" si="79"/>
        <v>5.6367180786331961E-4</v>
      </c>
      <c r="U321" s="10">
        <f>T321*P321*(A321&lt;PARAM!$B$55)</f>
        <v>0</v>
      </c>
      <c r="W321">
        <v>318</v>
      </c>
      <c r="X321" s="178">
        <f t="shared" ref="X321:AA340" si="98">X309+1</f>
        <v>58</v>
      </c>
      <c r="Y321" s="178">
        <f t="shared" si="98"/>
        <v>58</v>
      </c>
      <c r="Z321" s="178">
        <f t="shared" si="98"/>
        <v>27</v>
      </c>
      <c r="AA321" s="178">
        <f t="shared" si="98"/>
        <v>27</v>
      </c>
      <c r="AD321" s="17">
        <f>CALC!E345*(A321&lt;PARAM!$B$55)</f>
        <v>0</v>
      </c>
      <c r="AE321">
        <f>IF(A321&lt;ITER!$C$16,1,PARAM!$C$53^-(RATES!A321-ITER!$C$16))*(A321&lt;PARAM!$B$55)</f>
        <v>0</v>
      </c>
    </row>
    <row r="322" spans="1:31" x14ac:dyDescent="0.2">
      <c r="A322" s="9">
        <v>319</v>
      </c>
      <c r="B322" s="178">
        <f t="shared" si="96"/>
        <v>58</v>
      </c>
      <c r="C322" s="178">
        <f t="shared" si="96"/>
        <v>58</v>
      </c>
      <c r="D322" s="2">
        <f>PARAM!$H$38</f>
        <v>1</v>
      </c>
      <c r="E322" s="11">
        <f>PARAM!$G$38</f>
        <v>0</v>
      </c>
      <c r="F322" s="11">
        <f>(VLOOKUP(C322,DEDN!$A$8:$O$902,$F$2)*D322+E322)/1000</f>
        <v>7.1399999999999996E-3</v>
      </c>
      <c r="G322" s="178">
        <f t="shared" si="97"/>
        <v>27</v>
      </c>
      <c r="H322" s="178">
        <f t="shared" si="97"/>
        <v>27</v>
      </c>
      <c r="I322" s="2">
        <f>PARAM!$H$39</f>
        <v>0</v>
      </c>
      <c r="J322" s="11">
        <f>PARAM!$G$39</f>
        <v>0</v>
      </c>
      <c r="K322" s="11">
        <f>(VLOOKUP(H322,DEDN!$A$8:$O$902,$K$2)*I322+J322)/1000</f>
        <v>0</v>
      </c>
      <c r="L322" s="11">
        <f>MIN(IF(PARAM!$B$43=3,CHOOSE($L$2,F322,K322),F322+K322-F322*K322),1)</f>
        <v>7.1399999999999996E-3</v>
      </c>
      <c r="M322" s="2">
        <f>PARAM!$I$38</f>
        <v>0</v>
      </c>
      <c r="N322" s="11">
        <f>VLOOKUP(B322,DEDN!$A$8:$O$90,$N$2)*M322</f>
        <v>0</v>
      </c>
      <c r="O322" s="12"/>
      <c r="P322" s="10">
        <f>PARAM!$C$53^-A322</f>
        <v>1</v>
      </c>
      <c r="Q322" s="10">
        <f t="shared" si="95"/>
        <v>0.94367969848886291</v>
      </c>
      <c r="R322" s="10">
        <f t="shared" si="94"/>
        <v>0.94367969848886291</v>
      </c>
      <c r="S322" s="10">
        <f>CHOOSE(PARAM!$B$51,R322,0,0,0)*(A322&lt;PARAM!$B$55)</f>
        <v>0</v>
      </c>
      <c r="T322" s="10">
        <f t="shared" si="79"/>
        <v>5.6333532055818925E-4</v>
      </c>
      <c r="U322" s="10">
        <f>T322*P322*(A322&lt;PARAM!$B$55)</f>
        <v>0</v>
      </c>
      <c r="W322">
        <v>319</v>
      </c>
      <c r="X322" s="178">
        <f t="shared" si="98"/>
        <v>58</v>
      </c>
      <c r="Y322" s="178">
        <f t="shared" si="98"/>
        <v>58</v>
      </c>
      <c r="Z322" s="178">
        <f t="shared" si="98"/>
        <v>27</v>
      </c>
      <c r="AA322" s="178">
        <f t="shared" si="98"/>
        <v>27</v>
      </c>
      <c r="AD322" s="17">
        <f>CALC!E346*(A322&lt;PARAM!$B$55)</f>
        <v>0</v>
      </c>
      <c r="AE322">
        <f>IF(A322&lt;ITER!$C$16,1,PARAM!$C$53^-(RATES!A322-ITER!$C$16))*(A322&lt;PARAM!$B$55)</f>
        <v>0</v>
      </c>
    </row>
    <row r="323" spans="1:31" x14ac:dyDescent="0.2">
      <c r="A323" s="9">
        <v>320</v>
      </c>
      <c r="B323" s="178">
        <f t="shared" si="96"/>
        <v>58</v>
      </c>
      <c r="C323" s="178">
        <f t="shared" si="96"/>
        <v>58</v>
      </c>
      <c r="D323" s="2">
        <f>PARAM!$H$38</f>
        <v>1</v>
      </c>
      <c r="E323" s="11">
        <f>PARAM!$G$38</f>
        <v>0</v>
      </c>
      <c r="F323" s="11">
        <f>(VLOOKUP(C323,DEDN!$A$8:$O$902,$F$2)*D323+E323)/1000</f>
        <v>7.1399999999999996E-3</v>
      </c>
      <c r="G323" s="178">
        <f t="shared" si="97"/>
        <v>27</v>
      </c>
      <c r="H323" s="178">
        <f t="shared" si="97"/>
        <v>27</v>
      </c>
      <c r="I323" s="2">
        <f>PARAM!$H$39</f>
        <v>0</v>
      </c>
      <c r="J323" s="11">
        <f>PARAM!$G$39</f>
        <v>0</v>
      </c>
      <c r="K323" s="11">
        <f>(VLOOKUP(H323,DEDN!$A$8:$O$902,$K$2)*I323+J323)/1000</f>
        <v>0</v>
      </c>
      <c r="L323" s="11">
        <f>MIN(IF(PARAM!$B$43=3,CHOOSE($L$2,F323,K323),F323+K323-F323*K323),1)</f>
        <v>7.1399999999999996E-3</v>
      </c>
      <c r="M323" s="2">
        <f>PARAM!$I$38</f>
        <v>0</v>
      </c>
      <c r="N323" s="11">
        <f>VLOOKUP(B323,DEDN!$A$8:$O$90,$N$2)*M323</f>
        <v>0</v>
      </c>
      <c r="O323" s="12"/>
      <c r="P323" s="10">
        <f>PARAM!$C$53^-A323</f>
        <v>1</v>
      </c>
      <c r="Q323" s="10">
        <f t="shared" si="95"/>
        <v>0.94311636316830472</v>
      </c>
      <c r="R323" s="10">
        <f t="shared" si="94"/>
        <v>0.94311636316830472</v>
      </c>
      <c r="S323" s="10">
        <f>CHOOSE(PARAM!$B$51,R323,0,0,0)*(A323&lt;PARAM!$B$55)</f>
        <v>0</v>
      </c>
      <c r="T323" s="10">
        <f t="shared" si="79"/>
        <v>5.6299903412126984E-4</v>
      </c>
      <c r="U323" s="10">
        <f>T323*P323*(A323&lt;PARAM!$B$55)</f>
        <v>0</v>
      </c>
      <c r="W323">
        <v>320</v>
      </c>
      <c r="X323" s="178">
        <f t="shared" si="98"/>
        <v>58</v>
      </c>
      <c r="Y323" s="178">
        <f t="shared" si="98"/>
        <v>58</v>
      </c>
      <c r="Z323" s="178">
        <f t="shared" si="98"/>
        <v>27</v>
      </c>
      <c r="AA323" s="178">
        <f t="shared" si="98"/>
        <v>27</v>
      </c>
      <c r="AD323" s="17">
        <f>CALC!E347*(A323&lt;PARAM!$B$55)</f>
        <v>0</v>
      </c>
      <c r="AE323">
        <f>IF(A323&lt;ITER!$C$16,1,PARAM!$C$53^-(RATES!A323-ITER!$C$16))*(A323&lt;PARAM!$B$55)</f>
        <v>0</v>
      </c>
    </row>
    <row r="324" spans="1:31" x14ac:dyDescent="0.2">
      <c r="A324" s="9">
        <v>321</v>
      </c>
      <c r="B324" s="178">
        <f t="shared" si="96"/>
        <v>58</v>
      </c>
      <c r="C324" s="178">
        <f t="shared" si="96"/>
        <v>58</v>
      </c>
      <c r="D324" s="2">
        <f>PARAM!$H$38</f>
        <v>1</v>
      </c>
      <c r="E324" s="11">
        <f>PARAM!$G$38</f>
        <v>0</v>
      </c>
      <c r="F324" s="11">
        <f>(VLOOKUP(C324,DEDN!$A$8:$O$902,$F$2)*D324+E324)/1000</f>
        <v>7.1399999999999996E-3</v>
      </c>
      <c r="G324" s="178">
        <f t="shared" si="97"/>
        <v>27</v>
      </c>
      <c r="H324" s="178">
        <f t="shared" si="97"/>
        <v>27</v>
      </c>
      <c r="I324" s="2">
        <f>PARAM!$H$39</f>
        <v>0</v>
      </c>
      <c r="J324" s="11">
        <f>PARAM!$G$39</f>
        <v>0</v>
      </c>
      <c r="K324" s="11">
        <f>(VLOOKUP(H324,DEDN!$A$8:$O$902,$K$2)*I324+J324)/1000</f>
        <v>0</v>
      </c>
      <c r="L324" s="11">
        <f>MIN(IF(PARAM!$B$43=3,CHOOSE($L$2,F324,K324),F324+K324-F324*K324),1)</f>
        <v>7.1399999999999996E-3</v>
      </c>
      <c r="M324" s="2">
        <f>PARAM!$I$38</f>
        <v>0</v>
      </c>
      <c r="N324" s="11">
        <f>VLOOKUP(B324,DEDN!$A$8:$O$90,$N$2)*M324</f>
        <v>0</v>
      </c>
      <c r="O324" s="12"/>
      <c r="P324" s="10">
        <f>PARAM!$C$53^-A324</f>
        <v>1</v>
      </c>
      <c r="Q324" s="10">
        <f t="shared" si="95"/>
        <v>0.94255336413418345</v>
      </c>
      <c r="R324" s="10">
        <f t="shared" ref="R324:R339" si="99">P324*Q324</f>
        <v>0.94255336413418345</v>
      </c>
      <c r="S324" s="10">
        <f>CHOOSE(PARAM!$B$51,R324,R324,0,0)*(A324&lt;PARAM!$B$55)</f>
        <v>0</v>
      </c>
      <c r="T324" s="10">
        <f t="shared" ref="T324:T387" si="100">Q324-Q325</f>
        <v>5.6266294843265729E-4</v>
      </c>
      <c r="U324" s="10">
        <f>T324*P324*(A324&lt;PARAM!$B$55)</f>
        <v>0</v>
      </c>
      <c r="W324">
        <v>321</v>
      </c>
      <c r="X324" s="178">
        <f t="shared" si="98"/>
        <v>58</v>
      </c>
      <c r="Y324" s="178">
        <f t="shared" si="98"/>
        <v>58</v>
      </c>
      <c r="Z324" s="178">
        <f t="shared" si="98"/>
        <v>27</v>
      </c>
      <c r="AA324" s="178">
        <f t="shared" si="98"/>
        <v>27</v>
      </c>
      <c r="AD324" s="17">
        <f>CALC!E348*(A324&lt;PARAM!$B$55)</f>
        <v>0</v>
      </c>
      <c r="AE324">
        <f>IF(A324&lt;ITER!$C$16,1,PARAM!$C$53^-(RATES!A324-ITER!$C$16))*(A324&lt;PARAM!$B$55)</f>
        <v>0</v>
      </c>
    </row>
    <row r="325" spans="1:31" x14ac:dyDescent="0.2">
      <c r="A325" s="9">
        <v>322</v>
      </c>
      <c r="B325" s="178">
        <f t="shared" si="96"/>
        <v>58</v>
      </c>
      <c r="C325" s="178">
        <f t="shared" si="96"/>
        <v>58</v>
      </c>
      <c r="D325" s="2">
        <f>PARAM!$H$38</f>
        <v>1</v>
      </c>
      <c r="E325" s="11">
        <f>PARAM!$G$38</f>
        <v>0</v>
      </c>
      <c r="F325" s="11">
        <f>(VLOOKUP(C325,DEDN!$A$8:$O$902,$F$2)*D325+E325)/1000</f>
        <v>7.1399999999999996E-3</v>
      </c>
      <c r="G325" s="178">
        <f t="shared" si="97"/>
        <v>27</v>
      </c>
      <c r="H325" s="178">
        <f t="shared" si="97"/>
        <v>27</v>
      </c>
      <c r="I325" s="2">
        <f>PARAM!$H$39</f>
        <v>0</v>
      </c>
      <c r="J325" s="11">
        <f>PARAM!$G$39</f>
        <v>0</v>
      </c>
      <c r="K325" s="11">
        <f>(VLOOKUP(H325,DEDN!$A$8:$O$902,$K$2)*I325+J325)/1000</f>
        <v>0</v>
      </c>
      <c r="L325" s="11">
        <f>MIN(IF(PARAM!$B$43=3,CHOOSE($L$2,F325,K325),F325+K325-F325*K325),1)</f>
        <v>7.1399999999999996E-3</v>
      </c>
      <c r="M325" s="2">
        <f>PARAM!$I$38</f>
        <v>0</v>
      </c>
      <c r="N325" s="11">
        <f>VLOOKUP(B325,DEDN!$A$8:$O$90,$N$2)*M325</f>
        <v>0</v>
      </c>
      <c r="O325" s="12"/>
      <c r="P325" s="10">
        <f>PARAM!$C$53^-A325</f>
        <v>1</v>
      </c>
      <c r="Q325" s="10">
        <f t="shared" ref="Q325:Q340" si="101">Q324*(1-L324)^(1/12)</f>
        <v>0.94199070118575079</v>
      </c>
      <c r="R325" s="10">
        <f t="shared" si="99"/>
        <v>0.94199070118575079</v>
      </c>
      <c r="S325" s="10">
        <f>CHOOSE(PARAM!$B$51,R325,0,0,0)*(A325&lt;PARAM!$B$55)</f>
        <v>0</v>
      </c>
      <c r="T325" s="10">
        <f t="shared" si="100"/>
        <v>5.6232706337233651E-4</v>
      </c>
      <c r="U325" s="10">
        <f>T325*P325*(A325&lt;PARAM!$B$55)</f>
        <v>0</v>
      </c>
      <c r="W325">
        <v>322</v>
      </c>
      <c r="X325" s="178">
        <f t="shared" si="98"/>
        <v>58</v>
      </c>
      <c r="Y325" s="178">
        <f t="shared" si="98"/>
        <v>58</v>
      </c>
      <c r="Z325" s="178">
        <f t="shared" si="98"/>
        <v>27</v>
      </c>
      <c r="AA325" s="178">
        <f t="shared" si="98"/>
        <v>27</v>
      </c>
      <c r="AD325" s="17">
        <f>CALC!E349*(A325&lt;PARAM!$B$55)</f>
        <v>0</v>
      </c>
      <c r="AE325">
        <f>IF(A325&lt;ITER!$C$16,1,PARAM!$C$53^-(RATES!A325-ITER!$C$16))*(A325&lt;PARAM!$B$55)</f>
        <v>0</v>
      </c>
    </row>
    <row r="326" spans="1:31" x14ac:dyDescent="0.2">
      <c r="A326" s="9">
        <v>323</v>
      </c>
      <c r="B326" s="178">
        <f t="shared" si="96"/>
        <v>58</v>
      </c>
      <c r="C326" s="178">
        <f t="shared" si="96"/>
        <v>58</v>
      </c>
      <c r="D326" s="2">
        <f>PARAM!$H$38</f>
        <v>1</v>
      </c>
      <c r="E326" s="11">
        <f>PARAM!$G$38</f>
        <v>0</v>
      </c>
      <c r="F326" s="11">
        <f>(VLOOKUP(C326,DEDN!$A$8:$O$902,$F$2)*D326+E326)/1000</f>
        <v>7.1399999999999996E-3</v>
      </c>
      <c r="G326" s="178">
        <f t="shared" si="97"/>
        <v>27</v>
      </c>
      <c r="H326" s="178">
        <f t="shared" si="97"/>
        <v>27</v>
      </c>
      <c r="I326" s="2">
        <f>PARAM!$H$39</f>
        <v>0</v>
      </c>
      <c r="J326" s="11">
        <f>PARAM!$G$39</f>
        <v>0</v>
      </c>
      <c r="K326" s="11">
        <f>(VLOOKUP(H326,DEDN!$A$8:$O$902,$K$2)*I326+J326)/1000</f>
        <v>0</v>
      </c>
      <c r="L326" s="11">
        <f>MIN(IF(PARAM!$B$43=3,CHOOSE($L$2,F326,K326),F326+K326-F326*K326),1)</f>
        <v>7.1399999999999996E-3</v>
      </c>
      <c r="M326" s="2">
        <f>PARAM!$I$38</f>
        <v>0</v>
      </c>
      <c r="N326" s="11">
        <f>VLOOKUP(B326,DEDN!$A$8:$O$90,$N$2)*M326</f>
        <v>0</v>
      </c>
      <c r="O326" s="12"/>
      <c r="P326" s="10">
        <f>PARAM!$C$53^-A326</f>
        <v>1</v>
      </c>
      <c r="Q326" s="10">
        <f t="shared" si="101"/>
        <v>0.94142837412237845</v>
      </c>
      <c r="R326" s="10">
        <f t="shared" si="99"/>
        <v>0.94142837412237845</v>
      </c>
      <c r="S326" s="10">
        <f>CHOOSE(PARAM!$B$51,R326,0,0,0)*(A326&lt;PARAM!$B$55)</f>
        <v>0</v>
      </c>
      <c r="T326" s="10">
        <f t="shared" si="100"/>
        <v>5.6199137882073646E-4</v>
      </c>
      <c r="U326" s="10">
        <f>T326*P326*(A326&lt;PARAM!$B$55)</f>
        <v>0</v>
      </c>
      <c r="W326">
        <v>323</v>
      </c>
      <c r="X326" s="178">
        <f t="shared" si="98"/>
        <v>58</v>
      </c>
      <c r="Y326" s="178">
        <f t="shared" si="98"/>
        <v>58</v>
      </c>
      <c r="Z326" s="178">
        <f t="shared" si="98"/>
        <v>27</v>
      </c>
      <c r="AA326" s="178">
        <f t="shared" si="98"/>
        <v>27</v>
      </c>
      <c r="AD326" s="17">
        <f>CALC!E350*(A326&lt;PARAM!$B$55)</f>
        <v>0</v>
      </c>
      <c r="AE326">
        <f>IF(A326&lt;ITER!$C$16,1,PARAM!$C$53^-(RATES!A326-ITER!$C$16))*(A326&lt;PARAM!$B$55)</f>
        <v>0</v>
      </c>
    </row>
    <row r="327" spans="1:31" x14ac:dyDescent="0.2">
      <c r="A327" s="9">
        <v>324</v>
      </c>
      <c r="B327" s="178">
        <f t="shared" si="96"/>
        <v>58</v>
      </c>
      <c r="C327" s="178">
        <f t="shared" si="96"/>
        <v>58</v>
      </c>
      <c r="D327" s="2">
        <f>PARAM!$H$38</f>
        <v>1</v>
      </c>
      <c r="E327" s="11">
        <f>PARAM!$G$38</f>
        <v>0</v>
      </c>
      <c r="F327" s="11">
        <f>(VLOOKUP(C327,DEDN!$A$8:$O$902,$F$2)*D327+E327)/1000</f>
        <v>7.1399999999999996E-3</v>
      </c>
      <c r="G327" s="178">
        <f t="shared" si="97"/>
        <v>27</v>
      </c>
      <c r="H327" s="178">
        <f t="shared" si="97"/>
        <v>27</v>
      </c>
      <c r="I327" s="2">
        <f>PARAM!$H$39</f>
        <v>0</v>
      </c>
      <c r="J327" s="11">
        <f>PARAM!$G$39</f>
        <v>0</v>
      </c>
      <c r="K327" s="11">
        <f>(VLOOKUP(H327,DEDN!$A$8:$O$902,$K$2)*I327+J327)/1000</f>
        <v>0</v>
      </c>
      <c r="L327" s="11">
        <f>MIN(IF(PARAM!$B$43=3,CHOOSE($L$2,F327,K327),F327+K327-F327*K327),1)</f>
        <v>7.1399999999999996E-3</v>
      </c>
      <c r="M327" s="2">
        <f>PARAM!$I$38</f>
        <v>0</v>
      </c>
      <c r="N327" s="11">
        <f>VLOOKUP(B327,DEDN!$A$8:$O$90,$N$2)*M327</f>
        <v>0</v>
      </c>
      <c r="O327" s="12"/>
      <c r="P327" s="10">
        <f>PARAM!$C$53^-A327</f>
        <v>1</v>
      </c>
      <c r="Q327" s="10">
        <f t="shared" si="101"/>
        <v>0.94086638274355772</v>
      </c>
      <c r="R327" s="10">
        <f t="shared" si="99"/>
        <v>0.94086638274355772</v>
      </c>
      <c r="S327" s="10">
        <f>R327*(A327&lt;PARAM!$B$55)</f>
        <v>0</v>
      </c>
      <c r="T327" s="10">
        <f t="shared" si="100"/>
        <v>5.6165589465795307E-4</v>
      </c>
      <c r="U327" s="10">
        <f>T327*P327*(A327&lt;PARAM!$B$55)</f>
        <v>0</v>
      </c>
      <c r="W327">
        <v>324</v>
      </c>
      <c r="X327" s="178">
        <f t="shared" si="98"/>
        <v>58</v>
      </c>
      <c r="Y327" s="178">
        <f t="shared" si="98"/>
        <v>58</v>
      </c>
      <c r="Z327" s="178">
        <f t="shared" si="98"/>
        <v>27</v>
      </c>
      <c r="AA327" s="178">
        <f t="shared" si="98"/>
        <v>27</v>
      </c>
      <c r="AD327" s="17">
        <f>CALC!E351*(A327&lt;PARAM!$B$55)</f>
        <v>0</v>
      </c>
      <c r="AE327">
        <f>IF(A327&lt;ITER!$C$16,1,PARAM!$C$53^-(RATES!A327-ITER!$C$16))*(A327&lt;PARAM!$B$55)</f>
        <v>0</v>
      </c>
    </row>
    <row r="328" spans="1:31" x14ac:dyDescent="0.2">
      <c r="A328" s="9">
        <v>325</v>
      </c>
      <c r="B328" s="178">
        <f t="shared" si="96"/>
        <v>58</v>
      </c>
      <c r="C328" s="178">
        <f t="shared" si="96"/>
        <v>58</v>
      </c>
      <c r="D328" s="2">
        <f>PARAM!$H$38</f>
        <v>1</v>
      </c>
      <c r="E328" s="11">
        <f>PARAM!$G$38</f>
        <v>0</v>
      </c>
      <c r="F328" s="11">
        <f>(VLOOKUP(C328,DEDN!$A$8:$O$902,$F$2)*D328+E328)/1000</f>
        <v>7.1399999999999996E-3</v>
      </c>
      <c r="G328" s="178">
        <f t="shared" si="97"/>
        <v>27</v>
      </c>
      <c r="H328" s="178">
        <f t="shared" si="97"/>
        <v>27</v>
      </c>
      <c r="I328" s="2">
        <f>PARAM!$H$39</f>
        <v>0</v>
      </c>
      <c r="J328" s="11">
        <f>PARAM!$G$39</f>
        <v>0</v>
      </c>
      <c r="K328" s="11">
        <f>(VLOOKUP(H328,DEDN!$A$8:$O$902,$K$2)*I328+J328)/1000</f>
        <v>0</v>
      </c>
      <c r="L328" s="11">
        <f>MIN(IF(PARAM!$B$43=3,CHOOSE($L$2,F328,K328),F328+K328-F328*K328),1)</f>
        <v>7.1399999999999996E-3</v>
      </c>
      <c r="M328" s="2">
        <f>PARAM!$I$38</f>
        <v>0</v>
      </c>
      <c r="N328" s="11">
        <f>VLOOKUP(B328,DEDN!$A$8:$O$90,$N$2)*M328</f>
        <v>0</v>
      </c>
      <c r="O328" s="12"/>
      <c r="P328" s="10">
        <f>PARAM!$C$53^-A328</f>
        <v>1</v>
      </c>
      <c r="Q328" s="10">
        <f t="shared" si="101"/>
        <v>0.94030472684889976</v>
      </c>
      <c r="R328" s="10">
        <f t="shared" si="99"/>
        <v>0.94030472684889976</v>
      </c>
      <c r="S328" s="10">
        <f>CHOOSE(PARAM!$B$51,R328,0,0,0)*(A328&lt;PARAM!$B$55)</f>
        <v>0</v>
      </c>
      <c r="T328" s="10">
        <f t="shared" si="100"/>
        <v>5.6132061076452633E-4</v>
      </c>
      <c r="U328" s="10">
        <f>T328*P328*(A328&lt;PARAM!$B$55)</f>
        <v>0</v>
      </c>
      <c r="W328">
        <v>325</v>
      </c>
      <c r="X328" s="178">
        <f t="shared" si="98"/>
        <v>58</v>
      </c>
      <c r="Y328" s="178">
        <f t="shared" si="98"/>
        <v>58</v>
      </c>
      <c r="Z328" s="178">
        <f t="shared" si="98"/>
        <v>27</v>
      </c>
      <c r="AA328" s="178">
        <f t="shared" si="98"/>
        <v>27</v>
      </c>
      <c r="AD328" s="17">
        <f>CALC!E352*(A328&lt;PARAM!$B$55)</f>
        <v>0</v>
      </c>
      <c r="AE328">
        <f>IF(A328&lt;ITER!$C$16,1,PARAM!$C$53^-(RATES!A328-ITER!$C$16))*(A328&lt;PARAM!$B$55)</f>
        <v>0</v>
      </c>
    </row>
    <row r="329" spans="1:31" x14ac:dyDescent="0.2">
      <c r="A329" s="9">
        <v>326</v>
      </c>
      <c r="B329" s="178">
        <f t="shared" si="96"/>
        <v>58</v>
      </c>
      <c r="C329" s="178">
        <f t="shared" si="96"/>
        <v>58</v>
      </c>
      <c r="D329" s="2">
        <f>PARAM!$H$38</f>
        <v>1</v>
      </c>
      <c r="E329" s="11">
        <f>PARAM!$G$38</f>
        <v>0</v>
      </c>
      <c r="F329" s="11">
        <f>(VLOOKUP(C329,DEDN!$A$8:$O$902,$F$2)*D329+E329)/1000</f>
        <v>7.1399999999999996E-3</v>
      </c>
      <c r="G329" s="178">
        <f t="shared" si="97"/>
        <v>27</v>
      </c>
      <c r="H329" s="178">
        <f t="shared" si="97"/>
        <v>27</v>
      </c>
      <c r="I329" s="2">
        <f>PARAM!$H$39</f>
        <v>0</v>
      </c>
      <c r="J329" s="11">
        <f>PARAM!$G$39</f>
        <v>0</v>
      </c>
      <c r="K329" s="11">
        <f>(VLOOKUP(H329,DEDN!$A$8:$O$902,$K$2)*I329+J329)/1000</f>
        <v>0</v>
      </c>
      <c r="L329" s="11">
        <f>MIN(IF(PARAM!$B$43=3,CHOOSE($L$2,F329,K329),F329+K329-F329*K329),1)</f>
        <v>7.1399999999999996E-3</v>
      </c>
      <c r="M329" s="2">
        <f>PARAM!$I$38</f>
        <v>0</v>
      </c>
      <c r="N329" s="11">
        <f>VLOOKUP(B329,DEDN!$A$8:$O$90,$N$2)*M329</f>
        <v>0</v>
      </c>
      <c r="O329" s="12"/>
      <c r="P329" s="10">
        <f>PARAM!$C$53^-A329</f>
        <v>1</v>
      </c>
      <c r="Q329" s="10">
        <f t="shared" si="101"/>
        <v>0.93974340623813524</v>
      </c>
      <c r="R329" s="10">
        <f t="shared" si="99"/>
        <v>0.93974340623813524</v>
      </c>
      <c r="S329" s="10">
        <f>CHOOSE(PARAM!$B$51,R329,0,0,0)*(A329&lt;PARAM!$B$55)</f>
        <v>0</v>
      </c>
      <c r="T329" s="10">
        <f t="shared" si="100"/>
        <v>5.6098552702088522E-4</v>
      </c>
      <c r="U329" s="10">
        <f>T329*P329*(A329&lt;PARAM!$B$55)</f>
        <v>0</v>
      </c>
      <c r="W329">
        <v>326</v>
      </c>
      <c r="X329" s="178">
        <f t="shared" si="98"/>
        <v>58</v>
      </c>
      <c r="Y329" s="178">
        <f t="shared" si="98"/>
        <v>58</v>
      </c>
      <c r="Z329" s="178">
        <f t="shared" si="98"/>
        <v>27</v>
      </c>
      <c r="AA329" s="178">
        <f t="shared" si="98"/>
        <v>27</v>
      </c>
      <c r="AD329" s="17">
        <f>CALC!E353*(A329&lt;PARAM!$B$55)</f>
        <v>0</v>
      </c>
      <c r="AE329">
        <f>IF(A329&lt;ITER!$C$16,1,PARAM!$C$53^-(RATES!A329-ITER!$C$16))*(A329&lt;PARAM!$B$55)</f>
        <v>0</v>
      </c>
    </row>
    <row r="330" spans="1:31" x14ac:dyDescent="0.2">
      <c r="A330" s="9">
        <v>327</v>
      </c>
      <c r="B330" s="178">
        <f t="shared" si="96"/>
        <v>58</v>
      </c>
      <c r="C330" s="178">
        <f t="shared" si="96"/>
        <v>58</v>
      </c>
      <c r="D330" s="2">
        <f>PARAM!$H$38</f>
        <v>1</v>
      </c>
      <c r="E330" s="11">
        <f>PARAM!$G$38</f>
        <v>0</v>
      </c>
      <c r="F330" s="11">
        <f>(VLOOKUP(C330,DEDN!$A$8:$O$902,$F$2)*D330+E330)/1000</f>
        <v>7.1399999999999996E-3</v>
      </c>
      <c r="G330" s="178">
        <f t="shared" si="97"/>
        <v>27</v>
      </c>
      <c r="H330" s="178">
        <f t="shared" si="97"/>
        <v>27</v>
      </c>
      <c r="I330" s="2">
        <f>PARAM!$H$39</f>
        <v>0</v>
      </c>
      <c r="J330" s="11">
        <f>PARAM!$G$39</f>
        <v>0</v>
      </c>
      <c r="K330" s="11">
        <f>(VLOOKUP(H330,DEDN!$A$8:$O$902,$K$2)*I330+J330)/1000</f>
        <v>0</v>
      </c>
      <c r="L330" s="11">
        <f>MIN(IF(PARAM!$B$43=3,CHOOSE($L$2,F330,K330),F330+K330-F330*K330),1)</f>
        <v>7.1399999999999996E-3</v>
      </c>
      <c r="M330" s="2">
        <f>PARAM!$I$38</f>
        <v>0</v>
      </c>
      <c r="N330" s="11">
        <f>VLOOKUP(B330,DEDN!$A$8:$O$90,$N$2)*M330</f>
        <v>0</v>
      </c>
      <c r="O330" s="12"/>
      <c r="P330" s="10">
        <f>PARAM!$C$53^-A330</f>
        <v>1</v>
      </c>
      <c r="Q330" s="10">
        <f t="shared" si="101"/>
        <v>0.93918242071111435</v>
      </c>
      <c r="R330" s="10">
        <f t="shared" si="99"/>
        <v>0.93918242071111435</v>
      </c>
      <c r="S330" s="10">
        <f>CHOOSE(PARAM!$B$51,R330,R330,0,0)*(A330&lt;PARAM!$B$55)</f>
        <v>0</v>
      </c>
      <c r="T330" s="10">
        <f t="shared" si="100"/>
        <v>5.6065064330745873E-4</v>
      </c>
      <c r="U330" s="10">
        <f>T330*P330*(A330&lt;PARAM!$B$55)</f>
        <v>0</v>
      </c>
      <c r="W330">
        <v>327</v>
      </c>
      <c r="X330" s="178">
        <f t="shared" si="98"/>
        <v>58</v>
      </c>
      <c r="Y330" s="178">
        <f t="shared" si="98"/>
        <v>58</v>
      </c>
      <c r="Z330" s="178">
        <f t="shared" si="98"/>
        <v>27</v>
      </c>
      <c r="AA330" s="178">
        <f t="shared" si="98"/>
        <v>27</v>
      </c>
      <c r="AD330" s="17">
        <f>CALC!E354*(A330&lt;PARAM!$B$55)</f>
        <v>0</v>
      </c>
      <c r="AE330">
        <f>IF(A330&lt;ITER!$C$16,1,PARAM!$C$53^-(RATES!A330-ITER!$C$16))*(A330&lt;PARAM!$B$55)</f>
        <v>0</v>
      </c>
    </row>
    <row r="331" spans="1:31" x14ac:dyDescent="0.2">
      <c r="A331" s="9">
        <v>328</v>
      </c>
      <c r="B331" s="178">
        <f t="shared" si="96"/>
        <v>58</v>
      </c>
      <c r="C331" s="178">
        <f t="shared" si="96"/>
        <v>58</v>
      </c>
      <c r="D331" s="2">
        <f>PARAM!$H$38</f>
        <v>1</v>
      </c>
      <c r="E331" s="11">
        <f>PARAM!$G$38</f>
        <v>0</v>
      </c>
      <c r="F331" s="11">
        <f>(VLOOKUP(C331,DEDN!$A$8:$O$902,$F$2)*D331+E331)/1000</f>
        <v>7.1399999999999996E-3</v>
      </c>
      <c r="G331" s="178">
        <f t="shared" si="97"/>
        <v>27</v>
      </c>
      <c r="H331" s="178">
        <f t="shared" si="97"/>
        <v>27</v>
      </c>
      <c r="I331" s="2">
        <f>PARAM!$H$39</f>
        <v>0</v>
      </c>
      <c r="J331" s="11">
        <f>PARAM!$G$39</f>
        <v>0</v>
      </c>
      <c r="K331" s="11">
        <f>(VLOOKUP(H331,DEDN!$A$8:$O$902,$K$2)*I331+J331)/1000</f>
        <v>0</v>
      </c>
      <c r="L331" s="11">
        <f>MIN(IF(PARAM!$B$43=3,CHOOSE($L$2,F331,K331),F331+K331-F331*K331),1)</f>
        <v>7.1399999999999996E-3</v>
      </c>
      <c r="M331" s="2">
        <f>PARAM!$I$38</f>
        <v>0</v>
      </c>
      <c r="N331" s="11">
        <f>VLOOKUP(B331,DEDN!$A$8:$O$90,$N$2)*M331</f>
        <v>0</v>
      </c>
      <c r="O331" s="12"/>
      <c r="P331" s="10">
        <f>PARAM!$C$53^-A331</f>
        <v>1</v>
      </c>
      <c r="Q331" s="10">
        <f t="shared" si="101"/>
        <v>0.93862177006780689</v>
      </c>
      <c r="R331" s="10">
        <f t="shared" si="99"/>
        <v>0.93862177006780689</v>
      </c>
      <c r="S331" s="10">
        <f>CHOOSE(PARAM!$B$51,R331,0,0,0)*(A331&lt;PARAM!$B$55)</f>
        <v>0</v>
      </c>
      <c r="T331" s="10">
        <f t="shared" si="100"/>
        <v>5.6031595950489788E-4</v>
      </c>
      <c r="U331" s="10">
        <f>T331*P331*(A331&lt;PARAM!$B$55)</f>
        <v>0</v>
      </c>
      <c r="W331">
        <v>328</v>
      </c>
      <c r="X331" s="178">
        <f t="shared" si="98"/>
        <v>58</v>
      </c>
      <c r="Y331" s="178">
        <f t="shared" si="98"/>
        <v>58</v>
      </c>
      <c r="Z331" s="178">
        <f t="shared" si="98"/>
        <v>27</v>
      </c>
      <c r="AA331" s="178">
        <f t="shared" si="98"/>
        <v>27</v>
      </c>
      <c r="AD331" s="17">
        <f>CALC!E355*(A331&lt;PARAM!$B$55)</f>
        <v>0</v>
      </c>
      <c r="AE331">
        <f>IF(A331&lt;ITER!$C$16,1,PARAM!$C$53^-(RATES!A331-ITER!$C$16))*(A331&lt;PARAM!$B$55)</f>
        <v>0</v>
      </c>
    </row>
    <row r="332" spans="1:31" x14ac:dyDescent="0.2">
      <c r="A332" s="9">
        <v>329</v>
      </c>
      <c r="B332" s="178">
        <f t="shared" si="96"/>
        <v>58</v>
      </c>
      <c r="C332" s="178">
        <f t="shared" si="96"/>
        <v>58</v>
      </c>
      <c r="D332" s="2">
        <f>PARAM!$H$38</f>
        <v>1</v>
      </c>
      <c r="E332" s="11">
        <f>PARAM!$G$38</f>
        <v>0</v>
      </c>
      <c r="F332" s="11">
        <f>(VLOOKUP(C332,DEDN!$A$8:$O$902,$F$2)*D332+E332)/1000</f>
        <v>7.1399999999999996E-3</v>
      </c>
      <c r="G332" s="178">
        <f t="shared" si="97"/>
        <v>27</v>
      </c>
      <c r="H332" s="178">
        <f t="shared" si="97"/>
        <v>27</v>
      </c>
      <c r="I332" s="2">
        <f>PARAM!$H$39</f>
        <v>0</v>
      </c>
      <c r="J332" s="11">
        <f>PARAM!$G$39</f>
        <v>0</v>
      </c>
      <c r="K332" s="11">
        <f>(VLOOKUP(H332,DEDN!$A$8:$O$902,$K$2)*I332+J332)/1000</f>
        <v>0</v>
      </c>
      <c r="L332" s="11">
        <f>MIN(IF(PARAM!$B$43=3,CHOOSE($L$2,F332,K332),F332+K332-F332*K332),1)</f>
        <v>7.1399999999999996E-3</v>
      </c>
      <c r="M332" s="2">
        <f>PARAM!$I$38</f>
        <v>0</v>
      </c>
      <c r="N332" s="11">
        <f>VLOOKUP(B332,DEDN!$A$8:$O$90,$N$2)*M332</f>
        <v>0</v>
      </c>
      <c r="O332" s="12"/>
      <c r="P332" s="10">
        <f>PARAM!$C$53^-A332</f>
        <v>1</v>
      </c>
      <c r="Q332" s="10">
        <f t="shared" si="101"/>
        <v>0.938061454108302</v>
      </c>
      <c r="R332" s="10">
        <f t="shared" si="99"/>
        <v>0.938061454108302</v>
      </c>
      <c r="S332" s="10">
        <f>CHOOSE(PARAM!$B$51,R332,0,0,0)*(A332&lt;PARAM!$B$55)</f>
        <v>0</v>
      </c>
      <c r="T332" s="10">
        <f t="shared" si="100"/>
        <v>5.5998147549385369E-4</v>
      </c>
      <c r="U332" s="10">
        <f>T332*P332*(A332&lt;PARAM!$B$55)</f>
        <v>0</v>
      </c>
      <c r="W332">
        <v>329</v>
      </c>
      <c r="X332" s="178">
        <f t="shared" si="98"/>
        <v>58</v>
      </c>
      <c r="Y332" s="178">
        <f t="shared" si="98"/>
        <v>58</v>
      </c>
      <c r="Z332" s="178">
        <f t="shared" si="98"/>
        <v>27</v>
      </c>
      <c r="AA332" s="178">
        <f t="shared" si="98"/>
        <v>27</v>
      </c>
      <c r="AD332" s="17">
        <f>CALC!E356*(A332&lt;PARAM!$B$55)</f>
        <v>0</v>
      </c>
      <c r="AE332">
        <f>IF(A332&lt;ITER!$C$16,1,PARAM!$C$53^-(RATES!A332-ITER!$C$16))*(A332&lt;PARAM!$B$55)</f>
        <v>0</v>
      </c>
    </row>
    <row r="333" spans="1:31" x14ac:dyDescent="0.2">
      <c r="A333" s="9">
        <v>330</v>
      </c>
      <c r="B333" s="178">
        <f t="shared" si="96"/>
        <v>59</v>
      </c>
      <c r="C333" s="178">
        <f t="shared" si="96"/>
        <v>59</v>
      </c>
      <c r="D333" s="2">
        <f>PARAM!$H$38</f>
        <v>1</v>
      </c>
      <c r="E333" s="11">
        <f>PARAM!$G$38</f>
        <v>0</v>
      </c>
      <c r="F333" s="11">
        <f>(VLOOKUP(C333,DEDN!$A$8:$O$902,$F$2)*D333+E333)/1000</f>
        <v>7.9699999999999997E-3</v>
      </c>
      <c r="G333" s="178">
        <f t="shared" si="97"/>
        <v>28</v>
      </c>
      <c r="H333" s="178">
        <f t="shared" si="97"/>
        <v>28</v>
      </c>
      <c r="I333" s="2">
        <f>PARAM!$H$39</f>
        <v>0</v>
      </c>
      <c r="J333" s="11">
        <f>PARAM!$G$39</f>
        <v>0</v>
      </c>
      <c r="K333" s="11">
        <f>(VLOOKUP(H333,DEDN!$A$8:$O$902,$K$2)*I333+J333)/1000</f>
        <v>0</v>
      </c>
      <c r="L333" s="11">
        <f>MIN(IF(PARAM!$B$43=3,CHOOSE($L$2,F333,K333),F333+K333-F333*K333),1)</f>
        <v>7.9699999999999997E-3</v>
      </c>
      <c r="M333" s="2">
        <f>PARAM!$I$38</f>
        <v>0</v>
      </c>
      <c r="N333" s="11">
        <f>VLOOKUP(B333,DEDN!$A$8:$O$90,$N$2)*M333</f>
        <v>0</v>
      </c>
      <c r="O333" s="12"/>
      <c r="P333" s="10">
        <f>PARAM!$C$53^-A333</f>
        <v>1</v>
      </c>
      <c r="Q333" s="10">
        <f t="shared" si="101"/>
        <v>0.93750147263280814</v>
      </c>
      <c r="R333" s="10">
        <f t="shared" si="99"/>
        <v>0.93750147263280814</v>
      </c>
      <c r="S333" s="10">
        <f>CHOOSE(PARAM!$B$51,R333,R333,R333,0)*(A333&lt;PARAM!$B$55)</f>
        <v>0</v>
      </c>
      <c r="T333" s="10">
        <f t="shared" si="100"/>
        <v>6.2494339247298747E-4</v>
      </c>
      <c r="U333" s="10">
        <f>T333*P333*(A333&lt;PARAM!$B$55)</f>
        <v>0</v>
      </c>
      <c r="W333">
        <v>330</v>
      </c>
      <c r="X333" s="178">
        <f t="shared" si="98"/>
        <v>59</v>
      </c>
      <c r="Y333" s="178">
        <f t="shared" si="98"/>
        <v>59</v>
      </c>
      <c r="Z333" s="178">
        <f t="shared" si="98"/>
        <v>28</v>
      </c>
      <c r="AA333" s="178">
        <f t="shared" si="98"/>
        <v>28</v>
      </c>
      <c r="AD333" s="17">
        <f>CALC!E357*(A333&lt;PARAM!$B$55)</f>
        <v>0</v>
      </c>
      <c r="AE333">
        <f>IF(A333&lt;ITER!$C$16,1,PARAM!$C$53^-(RATES!A333-ITER!$C$16))*(A333&lt;PARAM!$B$55)</f>
        <v>0</v>
      </c>
    </row>
    <row r="334" spans="1:31" x14ac:dyDescent="0.2">
      <c r="A334" s="9">
        <v>331</v>
      </c>
      <c r="B334" s="178">
        <f t="shared" si="96"/>
        <v>59</v>
      </c>
      <c r="C334" s="178">
        <f t="shared" si="96"/>
        <v>59</v>
      </c>
      <c r="D334" s="2">
        <f>PARAM!$H$38</f>
        <v>1</v>
      </c>
      <c r="E334" s="11">
        <f>PARAM!$G$38</f>
        <v>0</v>
      </c>
      <c r="F334" s="11">
        <f>(VLOOKUP(C334,DEDN!$A$8:$O$902,$F$2)*D334+E334)/1000</f>
        <v>7.9699999999999997E-3</v>
      </c>
      <c r="G334" s="178">
        <f t="shared" si="97"/>
        <v>28</v>
      </c>
      <c r="H334" s="178">
        <f t="shared" si="97"/>
        <v>28</v>
      </c>
      <c r="I334" s="2">
        <f>PARAM!$H$39</f>
        <v>0</v>
      </c>
      <c r="J334" s="11">
        <f>PARAM!$G$39</f>
        <v>0</v>
      </c>
      <c r="K334" s="11">
        <f>(VLOOKUP(H334,DEDN!$A$8:$O$902,$K$2)*I334+J334)/1000</f>
        <v>0</v>
      </c>
      <c r="L334" s="11">
        <f>MIN(IF(PARAM!$B$43=3,CHOOSE($L$2,F334,K334),F334+K334-F334*K334),1)</f>
        <v>7.9699999999999997E-3</v>
      </c>
      <c r="M334" s="2">
        <f>PARAM!$I$38</f>
        <v>0</v>
      </c>
      <c r="N334" s="11">
        <f>VLOOKUP(B334,DEDN!$A$8:$O$90,$N$2)*M334</f>
        <v>0</v>
      </c>
      <c r="O334" s="12"/>
      <c r="P334" s="10">
        <f>PARAM!$C$53^-A334</f>
        <v>1</v>
      </c>
      <c r="Q334" s="10">
        <f t="shared" si="101"/>
        <v>0.93687652924033515</v>
      </c>
      <c r="R334" s="10">
        <f t="shared" si="99"/>
        <v>0.93687652924033515</v>
      </c>
      <c r="S334" s="10">
        <f>CHOOSE(PARAM!$B$51,R334,0,0,0)*(A334&lt;PARAM!$B$55)</f>
        <v>0</v>
      </c>
      <c r="T334" s="10">
        <f t="shared" si="100"/>
        <v>6.2452680193403332E-4</v>
      </c>
      <c r="U334" s="10">
        <f>T334*P334*(A334&lt;PARAM!$B$55)</f>
        <v>0</v>
      </c>
      <c r="W334">
        <v>331</v>
      </c>
      <c r="X334" s="178">
        <f t="shared" si="98"/>
        <v>59</v>
      </c>
      <c r="Y334" s="178">
        <f t="shared" si="98"/>
        <v>59</v>
      </c>
      <c r="Z334" s="178">
        <f t="shared" si="98"/>
        <v>28</v>
      </c>
      <c r="AA334" s="178">
        <f t="shared" si="98"/>
        <v>28</v>
      </c>
      <c r="AD334" s="17">
        <f>CALC!E358*(A334&lt;PARAM!$B$55)</f>
        <v>0</v>
      </c>
      <c r="AE334">
        <f>IF(A334&lt;ITER!$C$16,1,PARAM!$C$53^-(RATES!A334-ITER!$C$16))*(A334&lt;PARAM!$B$55)</f>
        <v>0</v>
      </c>
    </row>
    <row r="335" spans="1:31" x14ac:dyDescent="0.2">
      <c r="A335" s="9">
        <v>332</v>
      </c>
      <c r="B335" s="178">
        <f t="shared" si="96"/>
        <v>59</v>
      </c>
      <c r="C335" s="178">
        <f t="shared" si="96"/>
        <v>59</v>
      </c>
      <c r="D335" s="2">
        <f>PARAM!$H$38</f>
        <v>1</v>
      </c>
      <c r="E335" s="11">
        <f>PARAM!$G$38</f>
        <v>0</v>
      </c>
      <c r="F335" s="11">
        <f>(VLOOKUP(C335,DEDN!$A$8:$O$902,$F$2)*D335+E335)/1000</f>
        <v>7.9699999999999997E-3</v>
      </c>
      <c r="G335" s="178">
        <f t="shared" si="97"/>
        <v>28</v>
      </c>
      <c r="H335" s="178">
        <f t="shared" si="97"/>
        <v>28</v>
      </c>
      <c r="I335" s="2">
        <f>PARAM!$H$39</f>
        <v>0</v>
      </c>
      <c r="J335" s="11">
        <f>PARAM!$G$39</f>
        <v>0</v>
      </c>
      <c r="K335" s="11">
        <f>(VLOOKUP(H335,DEDN!$A$8:$O$902,$K$2)*I335+J335)/1000</f>
        <v>0</v>
      </c>
      <c r="L335" s="11">
        <f>MIN(IF(PARAM!$B$43=3,CHOOSE($L$2,F335,K335),F335+K335-F335*K335),1)</f>
        <v>7.9699999999999997E-3</v>
      </c>
      <c r="M335" s="2">
        <f>PARAM!$I$38</f>
        <v>0</v>
      </c>
      <c r="N335" s="11">
        <f>VLOOKUP(B335,DEDN!$A$8:$O$90,$N$2)*M335</f>
        <v>0</v>
      </c>
      <c r="O335" s="12"/>
      <c r="P335" s="10">
        <f>PARAM!$C$53^-A335</f>
        <v>1</v>
      </c>
      <c r="Q335" s="10">
        <f t="shared" si="101"/>
        <v>0.93625200243840112</v>
      </c>
      <c r="R335" s="10">
        <f t="shared" si="99"/>
        <v>0.93625200243840112</v>
      </c>
      <c r="S335" s="10">
        <f>CHOOSE(PARAM!$B$51,R335,0,0,0)*(A335&lt;PARAM!$B$55)</f>
        <v>0</v>
      </c>
      <c r="T335" s="10">
        <f t="shared" si="100"/>
        <v>6.2411048909649658E-4</v>
      </c>
      <c r="U335" s="10">
        <f>T335*P335*(A335&lt;PARAM!$B$55)</f>
        <v>0</v>
      </c>
      <c r="W335">
        <v>332</v>
      </c>
      <c r="X335" s="178">
        <f t="shared" si="98"/>
        <v>59</v>
      </c>
      <c r="Y335" s="178">
        <f t="shared" si="98"/>
        <v>59</v>
      </c>
      <c r="Z335" s="178">
        <f t="shared" si="98"/>
        <v>28</v>
      </c>
      <c r="AA335" s="178">
        <f t="shared" si="98"/>
        <v>28</v>
      </c>
      <c r="AD335" s="17">
        <f>CALC!E359*(A335&lt;PARAM!$B$55)</f>
        <v>0</v>
      </c>
      <c r="AE335">
        <f>IF(A335&lt;ITER!$C$16,1,PARAM!$C$53^-(RATES!A335-ITER!$C$16))*(A335&lt;PARAM!$B$55)</f>
        <v>0</v>
      </c>
    </row>
    <row r="336" spans="1:31" x14ac:dyDescent="0.2">
      <c r="A336" s="9">
        <v>333</v>
      </c>
      <c r="B336" s="178">
        <f t="shared" si="96"/>
        <v>59</v>
      </c>
      <c r="C336" s="178">
        <f t="shared" si="96"/>
        <v>59</v>
      </c>
      <c r="D336" s="2">
        <f>PARAM!$H$38</f>
        <v>1</v>
      </c>
      <c r="E336" s="11">
        <f>PARAM!$G$38</f>
        <v>0</v>
      </c>
      <c r="F336" s="11">
        <f>(VLOOKUP(C336,DEDN!$A$8:$O$902,$F$2)*D336+E336)/1000</f>
        <v>7.9699999999999997E-3</v>
      </c>
      <c r="G336" s="178">
        <f t="shared" si="97"/>
        <v>28</v>
      </c>
      <c r="H336" s="178">
        <f t="shared" si="97"/>
        <v>28</v>
      </c>
      <c r="I336" s="2">
        <f>PARAM!$H$39</f>
        <v>0</v>
      </c>
      <c r="J336" s="11">
        <f>PARAM!$G$39</f>
        <v>0</v>
      </c>
      <c r="K336" s="11">
        <f>(VLOOKUP(H336,DEDN!$A$8:$O$902,$K$2)*I336+J336)/1000</f>
        <v>0</v>
      </c>
      <c r="L336" s="11">
        <f>MIN(IF(PARAM!$B$43=3,CHOOSE($L$2,F336,K336),F336+K336-F336*K336),1)</f>
        <v>7.9699999999999997E-3</v>
      </c>
      <c r="M336" s="2">
        <f>PARAM!$I$38</f>
        <v>0</v>
      </c>
      <c r="N336" s="11">
        <f>VLOOKUP(B336,DEDN!$A$8:$O$90,$N$2)*M336</f>
        <v>0</v>
      </c>
      <c r="O336" s="12"/>
      <c r="P336" s="10">
        <f>PARAM!$C$53^-A336</f>
        <v>1</v>
      </c>
      <c r="Q336" s="10">
        <f t="shared" si="101"/>
        <v>0.93562789194930462</v>
      </c>
      <c r="R336" s="10">
        <f t="shared" si="99"/>
        <v>0.93562789194930462</v>
      </c>
      <c r="S336" s="10">
        <f>CHOOSE(PARAM!$B$51,R336,R336,0,0)*(A336&lt;PARAM!$B$55)</f>
        <v>0</v>
      </c>
      <c r="T336" s="10">
        <f t="shared" si="100"/>
        <v>6.2369445377519206E-4</v>
      </c>
      <c r="U336" s="10">
        <f>T336*P336*(A336&lt;PARAM!$B$55)</f>
        <v>0</v>
      </c>
      <c r="W336">
        <v>333</v>
      </c>
      <c r="X336" s="178">
        <f t="shared" si="98"/>
        <v>59</v>
      </c>
      <c r="Y336" s="178">
        <f t="shared" si="98"/>
        <v>59</v>
      </c>
      <c r="Z336" s="178">
        <f t="shared" si="98"/>
        <v>28</v>
      </c>
      <c r="AA336" s="178">
        <f t="shared" si="98"/>
        <v>28</v>
      </c>
      <c r="AD336" s="17">
        <f>CALC!E360*(A336&lt;PARAM!$B$55)</f>
        <v>0</v>
      </c>
      <c r="AE336">
        <f>IF(A336&lt;ITER!$C$16,1,PARAM!$C$53^-(RATES!A336-ITER!$C$16))*(A336&lt;PARAM!$B$55)</f>
        <v>0</v>
      </c>
    </row>
    <row r="337" spans="1:31" x14ac:dyDescent="0.2">
      <c r="A337" s="9">
        <v>334</v>
      </c>
      <c r="B337" s="178">
        <f t="shared" si="96"/>
        <v>59</v>
      </c>
      <c r="C337" s="178">
        <f t="shared" si="96"/>
        <v>59</v>
      </c>
      <c r="D337" s="2">
        <f>PARAM!$H$38</f>
        <v>1</v>
      </c>
      <c r="E337" s="11">
        <f>PARAM!$G$38</f>
        <v>0</v>
      </c>
      <c r="F337" s="11">
        <f>(VLOOKUP(C337,DEDN!$A$8:$O$902,$F$2)*D337+E337)/1000</f>
        <v>7.9699999999999997E-3</v>
      </c>
      <c r="G337" s="178">
        <f t="shared" si="97"/>
        <v>28</v>
      </c>
      <c r="H337" s="178">
        <f t="shared" si="97"/>
        <v>28</v>
      </c>
      <c r="I337" s="2">
        <f>PARAM!$H$39</f>
        <v>0</v>
      </c>
      <c r="J337" s="11">
        <f>PARAM!$G$39</f>
        <v>0</v>
      </c>
      <c r="K337" s="11">
        <f>(VLOOKUP(H337,DEDN!$A$8:$O$902,$K$2)*I337+J337)/1000</f>
        <v>0</v>
      </c>
      <c r="L337" s="11">
        <f>MIN(IF(PARAM!$B$43=3,CHOOSE($L$2,F337,K337),F337+K337-F337*K337),1)</f>
        <v>7.9699999999999997E-3</v>
      </c>
      <c r="M337" s="2">
        <f>PARAM!$I$38</f>
        <v>0</v>
      </c>
      <c r="N337" s="11">
        <f>VLOOKUP(B337,DEDN!$A$8:$O$90,$N$2)*M337</f>
        <v>0</v>
      </c>
      <c r="O337" s="12"/>
      <c r="P337" s="10">
        <f>PARAM!$C$53^-A337</f>
        <v>1</v>
      </c>
      <c r="Q337" s="10">
        <f t="shared" si="101"/>
        <v>0.93500419749552943</v>
      </c>
      <c r="R337" s="10">
        <f t="shared" si="99"/>
        <v>0.93500419749552943</v>
      </c>
      <c r="S337" s="10">
        <f>CHOOSE(PARAM!$B$51,R337,0,0,0)*(A337&lt;PARAM!$B$55)</f>
        <v>0</v>
      </c>
      <c r="T337" s="10">
        <f t="shared" si="100"/>
        <v>6.2327869578526762E-4</v>
      </c>
      <c r="U337" s="10">
        <f>T337*P337*(A337&lt;PARAM!$B$55)</f>
        <v>0</v>
      </c>
      <c r="W337">
        <v>334</v>
      </c>
      <c r="X337" s="178">
        <f t="shared" si="98"/>
        <v>59</v>
      </c>
      <c r="Y337" s="178">
        <f t="shared" si="98"/>
        <v>59</v>
      </c>
      <c r="Z337" s="178">
        <f t="shared" si="98"/>
        <v>28</v>
      </c>
      <c r="AA337" s="178">
        <f t="shared" si="98"/>
        <v>28</v>
      </c>
      <c r="AD337" s="17">
        <f>CALC!E361*(A337&lt;PARAM!$B$55)</f>
        <v>0</v>
      </c>
      <c r="AE337">
        <f>IF(A337&lt;ITER!$C$16,1,PARAM!$C$53^-(RATES!A337-ITER!$C$16))*(A337&lt;PARAM!$B$55)</f>
        <v>0</v>
      </c>
    </row>
    <row r="338" spans="1:31" x14ac:dyDescent="0.2">
      <c r="A338" s="9">
        <v>335</v>
      </c>
      <c r="B338" s="178">
        <f t="shared" si="96"/>
        <v>59</v>
      </c>
      <c r="C338" s="178">
        <f t="shared" si="96"/>
        <v>59</v>
      </c>
      <c r="D338" s="2">
        <f>PARAM!$H$38</f>
        <v>1</v>
      </c>
      <c r="E338" s="11">
        <f>PARAM!$G$38</f>
        <v>0</v>
      </c>
      <c r="F338" s="11">
        <f>(VLOOKUP(C338,DEDN!$A$8:$O$902,$F$2)*D338+E338)/1000</f>
        <v>7.9699999999999997E-3</v>
      </c>
      <c r="G338" s="178">
        <f t="shared" si="97"/>
        <v>28</v>
      </c>
      <c r="H338" s="178">
        <f t="shared" si="97"/>
        <v>28</v>
      </c>
      <c r="I338" s="2">
        <f>PARAM!$H$39</f>
        <v>0</v>
      </c>
      <c r="J338" s="11">
        <f>PARAM!$G$39</f>
        <v>0</v>
      </c>
      <c r="K338" s="11">
        <f>(VLOOKUP(H338,DEDN!$A$8:$O$902,$K$2)*I338+J338)/1000</f>
        <v>0</v>
      </c>
      <c r="L338" s="11">
        <f>MIN(IF(PARAM!$B$43=3,CHOOSE($L$2,F338,K338),F338+K338-F338*K338),1)</f>
        <v>7.9699999999999997E-3</v>
      </c>
      <c r="M338" s="2">
        <f>PARAM!$I$38</f>
        <v>0</v>
      </c>
      <c r="N338" s="11">
        <f>VLOOKUP(B338,DEDN!$A$8:$O$90,$N$2)*M338</f>
        <v>0</v>
      </c>
      <c r="O338" s="12"/>
      <c r="P338" s="10">
        <f>PARAM!$C$53^-A338</f>
        <v>1</v>
      </c>
      <c r="Q338" s="10">
        <f t="shared" si="101"/>
        <v>0.93438091879974416</v>
      </c>
      <c r="R338" s="10">
        <f t="shared" si="99"/>
        <v>0.93438091879974416</v>
      </c>
      <c r="S338" s="10">
        <f>CHOOSE(PARAM!$B$51,R338,0,0,0)*(A338&lt;PARAM!$B$55)</f>
        <v>0</v>
      </c>
      <c r="T338" s="10">
        <f t="shared" si="100"/>
        <v>6.2286321494187114E-4</v>
      </c>
      <c r="U338" s="10">
        <f>T338*P338*(A338&lt;PARAM!$B$55)</f>
        <v>0</v>
      </c>
      <c r="W338">
        <v>335</v>
      </c>
      <c r="X338" s="178">
        <f t="shared" si="98"/>
        <v>59</v>
      </c>
      <c r="Y338" s="178">
        <f t="shared" si="98"/>
        <v>59</v>
      </c>
      <c r="Z338" s="178">
        <f t="shared" si="98"/>
        <v>28</v>
      </c>
      <c r="AA338" s="178">
        <f t="shared" si="98"/>
        <v>28</v>
      </c>
      <c r="AD338" s="17">
        <f>CALC!E362*(A338&lt;PARAM!$B$55)</f>
        <v>0</v>
      </c>
      <c r="AE338">
        <f>IF(A338&lt;ITER!$C$16,1,PARAM!$C$53^-(RATES!A338-ITER!$C$16))*(A338&lt;PARAM!$B$55)</f>
        <v>0</v>
      </c>
    </row>
    <row r="339" spans="1:31" x14ac:dyDescent="0.2">
      <c r="A339" s="9">
        <v>336</v>
      </c>
      <c r="B339" s="178">
        <f t="shared" si="96"/>
        <v>59</v>
      </c>
      <c r="C339" s="178">
        <f t="shared" si="96"/>
        <v>59</v>
      </c>
      <c r="D339" s="2">
        <f>PARAM!$H$38</f>
        <v>1</v>
      </c>
      <c r="E339" s="11">
        <f>PARAM!$G$38</f>
        <v>0</v>
      </c>
      <c r="F339" s="11">
        <f>(VLOOKUP(C339,DEDN!$A$8:$O$902,$F$2)*D339+E339)/1000</f>
        <v>7.9699999999999997E-3</v>
      </c>
      <c r="G339" s="178">
        <f t="shared" si="97"/>
        <v>28</v>
      </c>
      <c r="H339" s="178">
        <f t="shared" si="97"/>
        <v>28</v>
      </c>
      <c r="I339" s="2">
        <f>PARAM!$H$39</f>
        <v>0</v>
      </c>
      <c r="J339" s="11">
        <f>PARAM!$G$39</f>
        <v>0</v>
      </c>
      <c r="K339" s="11">
        <f>(VLOOKUP(H339,DEDN!$A$8:$O$902,$K$2)*I339+J339)/1000</f>
        <v>0</v>
      </c>
      <c r="L339" s="11">
        <f>MIN(IF(PARAM!$B$43=3,CHOOSE($L$2,F339,K339),F339+K339-F339*K339),1)</f>
        <v>7.9699999999999997E-3</v>
      </c>
      <c r="M339" s="2">
        <f>PARAM!$I$38</f>
        <v>0</v>
      </c>
      <c r="N339" s="11">
        <f>VLOOKUP(B339,DEDN!$A$8:$O$90,$N$2)*M339</f>
        <v>0</v>
      </c>
      <c r="O339" s="12"/>
      <c r="P339" s="10">
        <f>PARAM!$C$53^-A339</f>
        <v>1</v>
      </c>
      <c r="Q339" s="10">
        <f t="shared" si="101"/>
        <v>0.93375805558480229</v>
      </c>
      <c r="R339" s="10">
        <f t="shared" si="99"/>
        <v>0.93375805558480229</v>
      </c>
      <c r="S339" s="10">
        <f>R339*(A339&lt;PARAM!$B$55)</f>
        <v>0</v>
      </c>
      <c r="T339" s="10">
        <f t="shared" si="100"/>
        <v>6.2244801106003944E-4</v>
      </c>
      <c r="U339" s="10">
        <f>T339*P339*(A339&lt;PARAM!$B$55)</f>
        <v>0</v>
      </c>
      <c r="W339">
        <v>336</v>
      </c>
      <c r="X339" s="178">
        <f t="shared" si="98"/>
        <v>59</v>
      </c>
      <c r="Y339" s="178">
        <f t="shared" si="98"/>
        <v>59</v>
      </c>
      <c r="Z339" s="178">
        <f t="shared" si="98"/>
        <v>28</v>
      </c>
      <c r="AA339" s="178">
        <f t="shared" si="98"/>
        <v>28</v>
      </c>
      <c r="AD339" s="17">
        <f>CALC!E363*(A339&lt;PARAM!$B$55)</f>
        <v>0</v>
      </c>
      <c r="AE339">
        <f>IF(A339&lt;ITER!$C$16,1,PARAM!$C$53^-(RATES!A339-ITER!$C$16))*(A339&lt;PARAM!$B$55)</f>
        <v>0</v>
      </c>
    </row>
    <row r="340" spans="1:31" x14ac:dyDescent="0.2">
      <c r="A340" s="9">
        <v>337</v>
      </c>
      <c r="B340" s="178">
        <f t="shared" si="96"/>
        <v>59</v>
      </c>
      <c r="C340" s="178">
        <f t="shared" si="96"/>
        <v>59</v>
      </c>
      <c r="D340" s="2">
        <f>PARAM!$H$38</f>
        <v>1</v>
      </c>
      <c r="E340" s="11">
        <f>PARAM!$G$38</f>
        <v>0</v>
      </c>
      <c r="F340" s="11">
        <f>(VLOOKUP(C340,DEDN!$A$8:$O$902,$F$2)*D340+E340)/1000</f>
        <v>7.9699999999999997E-3</v>
      </c>
      <c r="G340" s="178">
        <f t="shared" si="97"/>
        <v>28</v>
      </c>
      <c r="H340" s="178">
        <f t="shared" si="97"/>
        <v>28</v>
      </c>
      <c r="I340" s="2">
        <f>PARAM!$H$39</f>
        <v>0</v>
      </c>
      <c r="J340" s="11">
        <f>PARAM!$G$39</f>
        <v>0</v>
      </c>
      <c r="K340" s="11">
        <f>(VLOOKUP(H340,DEDN!$A$8:$O$902,$K$2)*I340+J340)/1000</f>
        <v>0</v>
      </c>
      <c r="L340" s="11">
        <f>MIN(IF(PARAM!$B$43=3,CHOOSE($L$2,F340,K340),F340+K340-F340*K340),1)</f>
        <v>7.9699999999999997E-3</v>
      </c>
      <c r="M340" s="2">
        <f>PARAM!$I$38</f>
        <v>0</v>
      </c>
      <c r="N340" s="11">
        <f>VLOOKUP(B340,DEDN!$A$8:$O$90,$N$2)*M340</f>
        <v>0</v>
      </c>
      <c r="O340" s="12"/>
      <c r="P340" s="10">
        <f>PARAM!$C$53^-A340</f>
        <v>1</v>
      </c>
      <c r="Q340" s="10">
        <f t="shared" si="101"/>
        <v>0.93313560757374225</v>
      </c>
      <c r="R340" s="10">
        <f t="shared" ref="R340:R355" si="102">P340*Q340</f>
        <v>0.93313560757374225</v>
      </c>
      <c r="S340" s="10">
        <f>CHOOSE(PARAM!$B$51,R340,0,0,0)*(A340&lt;PARAM!$B$55)</f>
        <v>0</v>
      </c>
      <c r="T340" s="10">
        <f t="shared" si="100"/>
        <v>6.220330839553645E-4</v>
      </c>
      <c r="U340" s="10">
        <f>T340*P340*(A340&lt;PARAM!$B$55)</f>
        <v>0</v>
      </c>
      <c r="W340">
        <v>337</v>
      </c>
      <c r="X340" s="178">
        <f t="shared" si="98"/>
        <v>59</v>
      </c>
      <c r="Y340" s="178">
        <f t="shared" si="98"/>
        <v>59</v>
      </c>
      <c r="Z340" s="178">
        <f t="shared" si="98"/>
        <v>28</v>
      </c>
      <c r="AA340" s="178">
        <f t="shared" si="98"/>
        <v>28</v>
      </c>
      <c r="AD340" s="17">
        <f>CALC!E364*(A340&lt;PARAM!$B$55)</f>
        <v>0</v>
      </c>
      <c r="AE340">
        <f>IF(A340&lt;ITER!$C$16,1,PARAM!$C$53^-(RATES!A340-ITER!$C$16))*(A340&lt;PARAM!$B$55)</f>
        <v>0</v>
      </c>
    </row>
    <row r="341" spans="1:31" x14ac:dyDescent="0.2">
      <c r="A341" s="9">
        <v>338</v>
      </c>
      <c r="B341" s="178">
        <f t="shared" ref="B341:C360" si="103">B329+1</f>
        <v>59</v>
      </c>
      <c r="C341" s="178">
        <f t="shared" si="103"/>
        <v>59</v>
      </c>
      <c r="D341" s="2">
        <f>PARAM!$H$38</f>
        <v>1</v>
      </c>
      <c r="E341" s="11">
        <f>PARAM!$G$38</f>
        <v>0</v>
      </c>
      <c r="F341" s="11">
        <f>(VLOOKUP(C341,DEDN!$A$8:$O$902,$F$2)*D341+E341)/1000</f>
        <v>7.9699999999999997E-3</v>
      </c>
      <c r="G341" s="178">
        <f t="shared" ref="G341:H360" si="104">G329+1</f>
        <v>28</v>
      </c>
      <c r="H341" s="178">
        <f t="shared" si="104"/>
        <v>28</v>
      </c>
      <c r="I341" s="2">
        <f>PARAM!$H$39</f>
        <v>0</v>
      </c>
      <c r="J341" s="11">
        <f>PARAM!$G$39</f>
        <v>0</v>
      </c>
      <c r="K341" s="11">
        <f>(VLOOKUP(H341,DEDN!$A$8:$O$902,$K$2)*I341+J341)/1000</f>
        <v>0</v>
      </c>
      <c r="L341" s="11">
        <f>MIN(IF(PARAM!$B$43=3,CHOOSE($L$2,F341,K341),F341+K341-F341*K341),1)</f>
        <v>7.9699999999999997E-3</v>
      </c>
      <c r="M341" s="2">
        <f>PARAM!$I$38</f>
        <v>0</v>
      </c>
      <c r="N341" s="11">
        <f>VLOOKUP(B341,DEDN!$A$8:$O$90,$N$2)*M341</f>
        <v>0</v>
      </c>
      <c r="O341" s="12"/>
      <c r="P341" s="10">
        <f>PARAM!$C$53^-A341</f>
        <v>1</v>
      </c>
      <c r="Q341" s="10">
        <f t="shared" ref="Q341:Q356" si="105">Q340*(1-L340)^(1/12)</f>
        <v>0.93251357448978689</v>
      </c>
      <c r="R341" s="10">
        <f t="shared" si="102"/>
        <v>0.93251357448978689</v>
      </c>
      <c r="S341" s="10">
        <f>CHOOSE(PARAM!$B$51,R341,0,0,0)*(A341&lt;PARAM!$B$55)</f>
        <v>0</v>
      </c>
      <c r="T341" s="10">
        <f t="shared" si="100"/>
        <v>6.2161843344332723E-4</v>
      </c>
      <c r="U341" s="10">
        <f>T341*P341*(A341&lt;PARAM!$B$55)</f>
        <v>0</v>
      </c>
      <c r="W341">
        <v>338</v>
      </c>
      <c r="X341" s="178">
        <f t="shared" ref="X341:AA360" si="106">X329+1</f>
        <v>59</v>
      </c>
      <c r="Y341" s="178">
        <f t="shared" si="106"/>
        <v>59</v>
      </c>
      <c r="Z341" s="178">
        <f t="shared" si="106"/>
        <v>28</v>
      </c>
      <c r="AA341" s="178">
        <f t="shared" si="106"/>
        <v>28</v>
      </c>
      <c r="AD341" s="17">
        <f>CALC!E365*(A341&lt;PARAM!$B$55)</f>
        <v>0</v>
      </c>
      <c r="AE341">
        <f>IF(A341&lt;ITER!$C$16,1,PARAM!$C$53^-(RATES!A341-ITER!$C$16))*(A341&lt;PARAM!$B$55)</f>
        <v>0</v>
      </c>
    </row>
    <row r="342" spans="1:31" x14ac:dyDescent="0.2">
      <c r="A342" s="9">
        <v>339</v>
      </c>
      <c r="B342" s="178">
        <f t="shared" si="103"/>
        <v>59</v>
      </c>
      <c r="C342" s="178">
        <f t="shared" si="103"/>
        <v>59</v>
      </c>
      <c r="D342" s="2">
        <f>PARAM!$H$38</f>
        <v>1</v>
      </c>
      <c r="E342" s="11">
        <f>PARAM!$G$38</f>
        <v>0</v>
      </c>
      <c r="F342" s="11">
        <f>(VLOOKUP(C342,DEDN!$A$8:$O$902,$F$2)*D342+E342)/1000</f>
        <v>7.9699999999999997E-3</v>
      </c>
      <c r="G342" s="178">
        <f t="shared" si="104"/>
        <v>28</v>
      </c>
      <c r="H342" s="178">
        <f t="shared" si="104"/>
        <v>28</v>
      </c>
      <c r="I342" s="2">
        <f>PARAM!$H$39</f>
        <v>0</v>
      </c>
      <c r="J342" s="11">
        <f>PARAM!$G$39</f>
        <v>0</v>
      </c>
      <c r="K342" s="11">
        <f>(VLOOKUP(H342,DEDN!$A$8:$O$902,$K$2)*I342+J342)/1000</f>
        <v>0</v>
      </c>
      <c r="L342" s="11">
        <f>MIN(IF(PARAM!$B$43=3,CHOOSE($L$2,F342,K342),F342+K342-F342*K342),1)</f>
        <v>7.9699999999999997E-3</v>
      </c>
      <c r="M342" s="2">
        <f>PARAM!$I$38</f>
        <v>0</v>
      </c>
      <c r="N342" s="11">
        <f>VLOOKUP(B342,DEDN!$A$8:$O$90,$N$2)*M342</f>
        <v>0</v>
      </c>
      <c r="O342" s="12"/>
      <c r="P342" s="10">
        <f>PARAM!$C$53^-A342</f>
        <v>1</v>
      </c>
      <c r="Q342" s="10">
        <f t="shared" si="105"/>
        <v>0.93189195605634356</v>
      </c>
      <c r="R342" s="10">
        <f t="shared" si="102"/>
        <v>0.93189195605634356</v>
      </c>
      <c r="S342" s="10">
        <f>CHOOSE(PARAM!$B$51,R342,R342,0,0)*(A342&lt;PARAM!$B$55)</f>
        <v>0</v>
      </c>
      <c r="T342" s="10">
        <f t="shared" si="100"/>
        <v>6.2120405933940859E-4</v>
      </c>
      <c r="U342" s="10">
        <f>T342*P342*(A342&lt;PARAM!$B$55)</f>
        <v>0</v>
      </c>
      <c r="W342">
        <v>339</v>
      </c>
      <c r="X342" s="178">
        <f t="shared" si="106"/>
        <v>59</v>
      </c>
      <c r="Y342" s="178">
        <f t="shared" si="106"/>
        <v>59</v>
      </c>
      <c r="Z342" s="178">
        <f t="shared" si="106"/>
        <v>28</v>
      </c>
      <c r="AA342" s="178">
        <f t="shared" si="106"/>
        <v>28</v>
      </c>
      <c r="AD342" s="17">
        <f>CALC!E366*(A342&lt;PARAM!$B$55)</f>
        <v>0</v>
      </c>
      <c r="AE342">
        <f>IF(A342&lt;ITER!$C$16,1,PARAM!$C$53^-(RATES!A342-ITER!$C$16))*(A342&lt;PARAM!$B$55)</f>
        <v>0</v>
      </c>
    </row>
    <row r="343" spans="1:31" x14ac:dyDescent="0.2">
      <c r="A343" s="9">
        <v>340</v>
      </c>
      <c r="B343" s="178">
        <f t="shared" si="103"/>
        <v>59</v>
      </c>
      <c r="C343" s="178">
        <f t="shared" si="103"/>
        <v>59</v>
      </c>
      <c r="D343" s="2">
        <f>PARAM!$H$38</f>
        <v>1</v>
      </c>
      <c r="E343" s="11">
        <f>PARAM!$G$38</f>
        <v>0</v>
      </c>
      <c r="F343" s="11">
        <f>(VLOOKUP(C343,DEDN!$A$8:$O$902,$F$2)*D343+E343)/1000</f>
        <v>7.9699999999999997E-3</v>
      </c>
      <c r="G343" s="178">
        <f t="shared" si="104"/>
        <v>28</v>
      </c>
      <c r="H343" s="178">
        <f t="shared" si="104"/>
        <v>28</v>
      </c>
      <c r="I343" s="2">
        <f>PARAM!$H$39</f>
        <v>0</v>
      </c>
      <c r="J343" s="11">
        <f>PARAM!$G$39</f>
        <v>0</v>
      </c>
      <c r="K343" s="11">
        <f>(VLOOKUP(H343,DEDN!$A$8:$O$902,$K$2)*I343+J343)/1000</f>
        <v>0</v>
      </c>
      <c r="L343" s="11">
        <f>MIN(IF(PARAM!$B$43=3,CHOOSE($L$2,F343,K343),F343+K343-F343*K343),1)</f>
        <v>7.9699999999999997E-3</v>
      </c>
      <c r="M343" s="2">
        <f>PARAM!$I$38</f>
        <v>0</v>
      </c>
      <c r="N343" s="11">
        <f>VLOOKUP(B343,DEDN!$A$8:$O$90,$N$2)*M343</f>
        <v>0</v>
      </c>
      <c r="O343" s="12"/>
      <c r="P343" s="10">
        <f>PARAM!$C$53^-A343</f>
        <v>1</v>
      </c>
      <c r="Q343" s="10">
        <f t="shared" si="105"/>
        <v>0.93127075199700415</v>
      </c>
      <c r="R343" s="10">
        <f t="shared" si="102"/>
        <v>0.93127075199700415</v>
      </c>
      <c r="S343" s="10">
        <f>CHOOSE(PARAM!$B$51,R343,0,0,0)*(A343&lt;PARAM!$B$55)</f>
        <v>0</v>
      </c>
      <c r="T343" s="10">
        <f t="shared" si="100"/>
        <v>6.2078996145942256E-4</v>
      </c>
      <c r="U343" s="10">
        <f>T343*P343*(A343&lt;PARAM!$B$55)</f>
        <v>0</v>
      </c>
      <c r="W343">
        <v>340</v>
      </c>
      <c r="X343" s="178">
        <f t="shared" si="106"/>
        <v>59</v>
      </c>
      <c r="Y343" s="178">
        <f t="shared" si="106"/>
        <v>59</v>
      </c>
      <c r="Z343" s="178">
        <f t="shared" si="106"/>
        <v>28</v>
      </c>
      <c r="AA343" s="178">
        <f t="shared" si="106"/>
        <v>28</v>
      </c>
      <c r="AD343" s="17">
        <f>CALC!E367*(A343&lt;PARAM!$B$55)</f>
        <v>0</v>
      </c>
      <c r="AE343">
        <f>IF(A343&lt;ITER!$C$16,1,PARAM!$C$53^-(RATES!A343-ITER!$C$16))*(A343&lt;PARAM!$B$55)</f>
        <v>0</v>
      </c>
    </row>
    <row r="344" spans="1:31" x14ac:dyDescent="0.2">
      <c r="A344" s="9">
        <v>341</v>
      </c>
      <c r="B344" s="178">
        <f t="shared" si="103"/>
        <v>59</v>
      </c>
      <c r="C344" s="178">
        <f t="shared" si="103"/>
        <v>59</v>
      </c>
      <c r="D344" s="2">
        <f>PARAM!$H$38</f>
        <v>1</v>
      </c>
      <c r="E344" s="11">
        <f>PARAM!$G$38</f>
        <v>0</v>
      </c>
      <c r="F344" s="11">
        <f>(VLOOKUP(C344,DEDN!$A$8:$O$902,$F$2)*D344+E344)/1000</f>
        <v>7.9699999999999997E-3</v>
      </c>
      <c r="G344" s="178">
        <f t="shared" si="104"/>
        <v>28</v>
      </c>
      <c r="H344" s="178">
        <f t="shared" si="104"/>
        <v>28</v>
      </c>
      <c r="I344" s="2">
        <f>PARAM!$H$39</f>
        <v>0</v>
      </c>
      <c r="J344" s="11">
        <f>PARAM!$G$39</f>
        <v>0</v>
      </c>
      <c r="K344" s="11">
        <f>(VLOOKUP(H344,DEDN!$A$8:$O$902,$K$2)*I344+J344)/1000</f>
        <v>0</v>
      </c>
      <c r="L344" s="11">
        <f>MIN(IF(PARAM!$B$43=3,CHOOSE($L$2,F344,K344),F344+K344-F344*K344),1)</f>
        <v>7.9699999999999997E-3</v>
      </c>
      <c r="M344" s="2">
        <f>PARAM!$I$38</f>
        <v>0</v>
      </c>
      <c r="N344" s="11">
        <f>VLOOKUP(B344,DEDN!$A$8:$O$90,$N$2)*M344</f>
        <v>0</v>
      </c>
      <c r="O344" s="12"/>
      <c r="P344" s="10">
        <f>PARAM!$C$53^-A344</f>
        <v>1</v>
      </c>
      <c r="Q344" s="10">
        <f t="shared" si="105"/>
        <v>0.93064996203554473</v>
      </c>
      <c r="R344" s="10">
        <f t="shared" si="102"/>
        <v>0.93064996203554473</v>
      </c>
      <c r="S344" s="10">
        <f>CHOOSE(PARAM!$B$51,R344,0,0,0)*(A344&lt;PARAM!$B$55)</f>
        <v>0</v>
      </c>
      <c r="T344" s="10">
        <f t="shared" si="100"/>
        <v>6.2037613961929416E-4</v>
      </c>
      <c r="U344" s="10">
        <f>T344*P344*(A344&lt;PARAM!$B$55)</f>
        <v>0</v>
      </c>
      <c r="W344">
        <v>341</v>
      </c>
      <c r="X344" s="178">
        <f t="shared" si="106"/>
        <v>59</v>
      </c>
      <c r="Y344" s="178">
        <f t="shared" si="106"/>
        <v>59</v>
      </c>
      <c r="Z344" s="178">
        <f t="shared" si="106"/>
        <v>28</v>
      </c>
      <c r="AA344" s="178">
        <f t="shared" si="106"/>
        <v>28</v>
      </c>
      <c r="AD344" s="17">
        <f>CALC!E368*(A344&lt;PARAM!$B$55)</f>
        <v>0</v>
      </c>
      <c r="AE344">
        <f>IF(A344&lt;ITER!$C$16,1,PARAM!$C$53^-(RATES!A344-ITER!$C$16))*(A344&lt;PARAM!$B$55)</f>
        <v>0</v>
      </c>
    </row>
    <row r="345" spans="1:31" x14ac:dyDescent="0.2">
      <c r="A345" s="9">
        <v>342</v>
      </c>
      <c r="B345" s="178">
        <f t="shared" si="103"/>
        <v>60</v>
      </c>
      <c r="C345" s="178">
        <f t="shared" si="103"/>
        <v>60</v>
      </c>
      <c r="D345" s="2">
        <f>PARAM!$H$38</f>
        <v>1</v>
      </c>
      <c r="E345" s="11">
        <f>PARAM!$G$38</f>
        <v>0</v>
      </c>
      <c r="F345" s="11">
        <f>(VLOOKUP(C345,DEDN!$A$8:$O$902,$F$2)*D345+E345)/1000</f>
        <v>8.8800000000000007E-3</v>
      </c>
      <c r="G345" s="178">
        <f t="shared" si="104"/>
        <v>29</v>
      </c>
      <c r="H345" s="178">
        <f t="shared" si="104"/>
        <v>29</v>
      </c>
      <c r="I345" s="2">
        <f>PARAM!$H$39</f>
        <v>0</v>
      </c>
      <c r="J345" s="11">
        <f>PARAM!$G$39</f>
        <v>0</v>
      </c>
      <c r="K345" s="11">
        <f>(VLOOKUP(H345,DEDN!$A$8:$O$902,$K$2)*I345+J345)/1000</f>
        <v>0</v>
      </c>
      <c r="L345" s="11">
        <f>MIN(IF(PARAM!$B$43=3,CHOOSE($L$2,F345,K345),F345+K345-F345*K345),1)</f>
        <v>8.8800000000000007E-3</v>
      </c>
      <c r="M345" s="2">
        <f>PARAM!$I$38</f>
        <v>0</v>
      </c>
      <c r="N345" s="11">
        <f>VLOOKUP(B345,DEDN!$A$8:$O$90,$N$2)*M345</f>
        <v>0</v>
      </c>
      <c r="O345" s="12"/>
      <c r="P345" s="10">
        <f>PARAM!$C$53^-A345</f>
        <v>1</v>
      </c>
      <c r="Q345" s="10">
        <f t="shared" si="105"/>
        <v>0.93002958589592544</v>
      </c>
      <c r="R345" s="10">
        <f t="shared" si="102"/>
        <v>0.93002958589592544</v>
      </c>
      <c r="S345" s="10">
        <f>CHOOSE(PARAM!$B$51,R345,R345,R345,0)*(A345&lt;PARAM!$B$55)</f>
        <v>0</v>
      </c>
      <c r="T345" s="10">
        <f t="shared" si="100"/>
        <v>6.9103895165201212E-4</v>
      </c>
      <c r="U345" s="10">
        <f>T345*P345*(A345&lt;PARAM!$B$55)</f>
        <v>0</v>
      </c>
      <c r="W345">
        <v>342</v>
      </c>
      <c r="X345" s="178">
        <f t="shared" si="106"/>
        <v>60</v>
      </c>
      <c r="Y345" s="178">
        <f t="shared" si="106"/>
        <v>60</v>
      </c>
      <c r="Z345" s="178">
        <f t="shared" si="106"/>
        <v>29</v>
      </c>
      <c r="AA345" s="178">
        <f t="shared" si="106"/>
        <v>29</v>
      </c>
      <c r="AD345" s="17">
        <f>CALC!E369*(A345&lt;PARAM!$B$55)</f>
        <v>0</v>
      </c>
      <c r="AE345">
        <f>IF(A345&lt;ITER!$C$16,1,PARAM!$C$53^-(RATES!A345-ITER!$C$16))*(A345&lt;PARAM!$B$55)</f>
        <v>0</v>
      </c>
    </row>
    <row r="346" spans="1:31" x14ac:dyDescent="0.2">
      <c r="A346" s="9">
        <v>343</v>
      </c>
      <c r="B346" s="178">
        <f t="shared" si="103"/>
        <v>60</v>
      </c>
      <c r="C346" s="178">
        <f t="shared" si="103"/>
        <v>60</v>
      </c>
      <c r="D346" s="2">
        <f>PARAM!$H$38</f>
        <v>1</v>
      </c>
      <c r="E346" s="11">
        <f>PARAM!$G$38</f>
        <v>0</v>
      </c>
      <c r="F346" s="11">
        <f>(VLOOKUP(C346,DEDN!$A$8:$O$902,$F$2)*D346+E346)/1000</f>
        <v>8.8800000000000007E-3</v>
      </c>
      <c r="G346" s="178">
        <f t="shared" si="104"/>
        <v>29</v>
      </c>
      <c r="H346" s="178">
        <f t="shared" si="104"/>
        <v>29</v>
      </c>
      <c r="I346" s="2">
        <f>PARAM!$H$39</f>
        <v>0</v>
      </c>
      <c r="J346" s="11">
        <f>PARAM!$G$39</f>
        <v>0</v>
      </c>
      <c r="K346" s="11">
        <f>(VLOOKUP(H346,DEDN!$A$8:$O$902,$K$2)*I346+J346)/1000</f>
        <v>0</v>
      </c>
      <c r="L346" s="11">
        <f>MIN(IF(PARAM!$B$43=3,CHOOSE($L$2,F346,K346),F346+K346-F346*K346),1)</f>
        <v>8.8800000000000007E-3</v>
      </c>
      <c r="M346" s="2">
        <f>PARAM!$I$38</f>
        <v>0</v>
      </c>
      <c r="N346" s="11">
        <f>VLOOKUP(B346,DEDN!$A$8:$O$90,$N$2)*M346</f>
        <v>0</v>
      </c>
      <c r="O346" s="12"/>
      <c r="P346" s="10">
        <f>PARAM!$C$53^-A346</f>
        <v>1</v>
      </c>
      <c r="Q346" s="10">
        <f t="shared" si="105"/>
        <v>0.92933854694427342</v>
      </c>
      <c r="R346" s="10">
        <f t="shared" si="102"/>
        <v>0.92933854694427342</v>
      </c>
      <c r="S346" s="10">
        <f>CHOOSE(PARAM!$B$51,R346,0,0,0)*(A346&lt;PARAM!$B$55)</f>
        <v>0</v>
      </c>
      <c r="T346" s="10">
        <f t="shared" si="100"/>
        <v>6.9052548967196703E-4</v>
      </c>
      <c r="U346" s="10">
        <f>T346*P346*(A346&lt;PARAM!$B$55)</f>
        <v>0</v>
      </c>
      <c r="W346">
        <v>343</v>
      </c>
      <c r="X346" s="178">
        <f t="shared" si="106"/>
        <v>60</v>
      </c>
      <c r="Y346" s="178">
        <f t="shared" si="106"/>
        <v>60</v>
      </c>
      <c r="Z346" s="178">
        <f t="shared" si="106"/>
        <v>29</v>
      </c>
      <c r="AA346" s="178">
        <f t="shared" si="106"/>
        <v>29</v>
      </c>
      <c r="AD346" s="17">
        <f>CALC!E370*(A346&lt;PARAM!$B$55)</f>
        <v>0</v>
      </c>
      <c r="AE346">
        <f>IF(A346&lt;ITER!$C$16,1,PARAM!$C$53^-(RATES!A346-ITER!$C$16))*(A346&lt;PARAM!$B$55)</f>
        <v>0</v>
      </c>
    </row>
    <row r="347" spans="1:31" x14ac:dyDescent="0.2">
      <c r="A347" s="9">
        <v>344</v>
      </c>
      <c r="B347" s="178">
        <f t="shared" si="103"/>
        <v>60</v>
      </c>
      <c r="C347" s="178">
        <f t="shared" si="103"/>
        <v>60</v>
      </c>
      <c r="D347" s="2">
        <f>PARAM!$H$38</f>
        <v>1</v>
      </c>
      <c r="E347" s="11">
        <f>PARAM!$G$38</f>
        <v>0</v>
      </c>
      <c r="F347" s="11">
        <f>(VLOOKUP(C347,DEDN!$A$8:$O$902,$F$2)*D347+E347)/1000</f>
        <v>8.8800000000000007E-3</v>
      </c>
      <c r="G347" s="178">
        <f t="shared" si="104"/>
        <v>29</v>
      </c>
      <c r="H347" s="178">
        <f t="shared" si="104"/>
        <v>29</v>
      </c>
      <c r="I347" s="2">
        <f>PARAM!$H$39</f>
        <v>0</v>
      </c>
      <c r="J347" s="11">
        <f>PARAM!$G$39</f>
        <v>0</v>
      </c>
      <c r="K347" s="11">
        <f>(VLOOKUP(H347,DEDN!$A$8:$O$902,$K$2)*I347+J347)/1000</f>
        <v>0</v>
      </c>
      <c r="L347" s="11">
        <f>MIN(IF(PARAM!$B$43=3,CHOOSE($L$2,F347,K347),F347+K347-F347*K347),1)</f>
        <v>8.8800000000000007E-3</v>
      </c>
      <c r="M347" s="2">
        <f>PARAM!$I$38</f>
        <v>0</v>
      </c>
      <c r="N347" s="11">
        <f>VLOOKUP(B347,DEDN!$A$8:$O$90,$N$2)*M347</f>
        <v>0</v>
      </c>
      <c r="O347" s="12"/>
      <c r="P347" s="10">
        <f>PARAM!$C$53^-A347</f>
        <v>1</v>
      </c>
      <c r="Q347" s="10">
        <f t="shared" si="105"/>
        <v>0.92864802145460146</v>
      </c>
      <c r="R347" s="10">
        <f t="shared" si="102"/>
        <v>0.92864802145460146</v>
      </c>
      <c r="S347" s="10">
        <f>CHOOSE(PARAM!$B$51,R347,0,0,0)*(A347&lt;PARAM!$B$55)</f>
        <v>0</v>
      </c>
      <c r="T347" s="10">
        <f t="shared" si="100"/>
        <v>6.9001240920907314E-4</v>
      </c>
      <c r="U347" s="10">
        <f>T347*P347*(A347&lt;PARAM!$B$55)</f>
        <v>0</v>
      </c>
      <c r="W347">
        <v>344</v>
      </c>
      <c r="X347" s="178">
        <f t="shared" si="106"/>
        <v>60</v>
      </c>
      <c r="Y347" s="178">
        <f t="shared" si="106"/>
        <v>60</v>
      </c>
      <c r="Z347" s="178">
        <f t="shared" si="106"/>
        <v>29</v>
      </c>
      <c r="AA347" s="178">
        <f t="shared" si="106"/>
        <v>29</v>
      </c>
      <c r="AD347" s="17">
        <f>CALC!E371*(A347&lt;PARAM!$B$55)</f>
        <v>0</v>
      </c>
      <c r="AE347">
        <f>IF(A347&lt;ITER!$C$16,1,PARAM!$C$53^-(RATES!A347-ITER!$C$16))*(A347&lt;PARAM!$B$55)</f>
        <v>0</v>
      </c>
    </row>
    <row r="348" spans="1:31" x14ac:dyDescent="0.2">
      <c r="A348" s="9">
        <v>345</v>
      </c>
      <c r="B348" s="178">
        <f t="shared" si="103"/>
        <v>60</v>
      </c>
      <c r="C348" s="178">
        <f t="shared" si="103"/>
        <v>60</v>
      </c>
      <c r="D348" s="2">
        <f>PARAM!$H$38</f>
        <v>1</v>
      </c>
      <c r="E348" s="11">
        <f>PARAM!$G$38</f>
        <v>0</v>
      </c>
      <c r="F348" s="11">
        <f>(VLOOKUP(C348,DEDN!$A$8:$O$902,$F$2)*D348+E348)/1000</f>
        <v>8.8800000000000007E-3</v>
      </c>
      <c r="G348" s="178">
        <f t="shared" si="104"/>
        <v>29</v>
      </c>
      <c r="H348" s="178">
        <f t="shared" si="104"/>
        <v>29</v>
      </c>
      <c r="I348" s="2">
        <f>PARAM!$H$39</f>
        <v>0</v>
      </c>
      <c r="J348" s="11">
        <f>PARAM!$G$39</f>
        <v>0</v>
      </c>
      <c r="K348" s="11">
        <f>(VLOOKUP(H348,DEDN!$A$8:$O$902,$K$2)*I348+J348)/1000</f>
        <v>0</v>
      </c>
      <c r="L348" s="11">
        <f>MIN(IF(PARAM!$B$43=3,CHOOSE($L$2,F348,K348),F348+K348-F348*K348),1)</f>
        <v>8.8800000000000007E-3</v>
      </c>
      <c r="M348" s="2">
        <f>PARAM!$I$38</f>
        <v>0</v>
      </c>
      <c r="N348" s="11">
        <f>VLOOKUP(B348,DEDN!$A$8:$O$90,$N$2)*M348</f>
        <v>0</v>
      </c>
      <c r="O348" s="12"/>
      <c r="P348" s="10">
        <f>PARAM!$C$53^-A348</f>
        <v>1</v>
      </c>
      <c r="Q348" s="10">
        <f t="shared" si="105"/>
        <v>0.92795800904539238</v>
      </c>
      <c r="R348" s="10">
        <f t="shared" si="102"/>
        <v>0.92795800904539238</v>
      </c>
      <c r="S348" s="10">
        <f>CHOOSE(PARAM!$B$51,R348,R348,0,0)*(A348&lt;PARAM!$B$55)</f>
        <v>0</v>
      </c>
      <c r="T348" s="10">
        <f t="shared" si="100"/>
        <v>6.894997099797795E-4</v>
      </c>
      <c r="U348" s="10">
        <f>T348*P348*(A348&lt;PARAM!$B$55)</f>
        <v>0</v>
      </c>
      <c r="W348">
        <v>345</v>
      </c>
      <c r="X348" s="178">
        <f t="shared" si="106"/>
        <v>60</v>
      </c>
      <c r="Y348" s="178">
        <f t="shared" si="106"/>
        <v>60</v>
      </c>
      <c r="Z348" s="178">
        <f t="shared" si="106"/>
        <v>29</v>
      </c>
      <c r="AA348" s="178">
        <f t="shared" si="106"/>
        <v>29</v>
      </c>
      <c r="AD348" s="17">
        <f>CALC!E372*(A348&lt;PARAM!$B$55)</f>
        <v>0</v>
      </c>
      <c r="AE348">
        <f>IF(A348&lt;ITER!$C$16,1,PARAM!$C$53^-(RATES!A348-ITER!$C$16))*(A348&lt;PARAM!$B$55)</f>
        <v>0</v>
      </c>
    </row>
    <row r="349" spans="1:31" x14ac:dyDescent="0.2">
      <c r="A349" s="9">
        <v>346</v>
      </c>
      <c r="B349" s="178">
        <f t="shared" si="103"/>
        <v>60</v>
      </c>
      <c r="C349" s="178">
        <f t="shared" si="103"/>
        <v>60</v>
      </c>
      <c r="D349" s="2">
        <f>PARAM!$H$38</f>
        <v>1</v>
      </c>
      <c r="E349" s="11">
        <f>PARAM!$G$38</f>
        <v>0</v>
      </c>
      <c r="F349" s="11">
        <f>(VLOOKUP(C349,DEDN!$A$8:$O$902,$F$2)*D349+E349)/1000</f>
        <v>8.8800000000000007E-3</v>
      </c>
      <c r="G349" s="178">
        <f t="shared" si="104"/>
        <v>29</v>
      </c>
      <c r="H349" s="178">
        <f t="shared" si="104"/>
        <v>29</v>
      </c>
      <c r="I349" s="2">
        <f>PARAM!$H$39</f>
        <v>0</v>
      </c>
      <c r="J349" s="11">
        <f>PARAM!$G$39</f>
        <v>0</v>
      </c>
      <c r="K349" s="11">
        <f>(VLOOKUP(H349,DEDN!$A$8:$O$902,$K$2)*I349+J349)/1000</f>
        <v>0</v>
      </c>
      <c r="L349" s="11">
        <f>MIN(IF(PARAM!$B$43=3,CHOOSE($L$2,F349,K349),F349+K349-F349*K349),1)</f>
        <v>8.8800000000000007E-3</v>
      </c>
      <c r="M349" s="2">
        <f>PARAM!$I$38</f>
        <v>0</v>
      </c>
      <c r="N349" s="11">
        <f>VLOOKUP(B349,DEDN!$A$8:$O$90,$N$2)*M349</f>
        <v>0</v>
      </c>
      <c r="O349" s="12"/>
      <c r="P349" s="10">
        <f>PARAM!$C$53^-A349</f>
        <v>1</v>
      </c>
      <c r="Q349" s="10">
        <f t="shared" si="105"/>
        <v>0.92726850933541261</v>
      </c>
      <c r="R349" s="10">
        <f t="shared" si="102"/>
        <v>0.92726850933541261</v>
      </c>
      <c r="S349" s="10">
        <f>CHOOSE(PARAM!$B$51,R349,0,0,0)*(A349&lt;PARAM!$B$55)</f>
        <v>0</v>
      </c>
      <c r="T349" s="10">
        <f t="shared" si="100"/>
        <v>6.889873917008682E-4</v>
      </c>
      <c r="U349" s="10">
        <f>T349*P349*(A349&lt;PARAM!$B$55)</f>
        <v>0</v>
      </c>
      <c r="W349">
        <v>346</v>
      </c>
      <c r="X349" s="178">
        <f t="shared" si="106"/>
        <v>60</v>
      </c>
      <c r="Y349" s="178">
        <f t="shared" si="106"/>
        <v>60</v>
      </c>
      <c r="Z349" s="178">
        <f t="shared" si="106"/>
        <v>29</v>
      </c>
      <c r="AA349" s="178">
        <f t="shared" si="106"/>
        <v>29</v>
      </c>
      <c r="AD349" s="17">
        <f>CALC!E373*(A349&lt;PARAM!$B$55)</f>
        <v>0</v>
      </c>
      <c r="AE349">
        <f>IF(A349&lt;ITER!$C$16,1,PARAM!$C$53^-(RATES!A349-ITER!$C$16))*(A349&lt;PARAM!$B$55)</f>
        <v>0</v>
      </c>
    </row>
    <row r="350" spans="1:31" x14ac:dyDescent="0.2">
      <c r="A350" s="9">
        <v>347</v>
      </c>
      <c r="B350" s="178">
        <f t="shared" si="103"/>
        <v>60</v>
      </c>
      <c r="C350" s="178">
        <f t="shared" si="103"/>
        <v>60</v>
      </c>
      <c r="D350" s="2">
        <f>PARAM!$H$38</f>
        <v>1</v>
      </c>
      <c r="E350" s="11">
        <f>PARAM!$G$38</f>
        <v>0</v>
      </c>
      <c r="F350" s="11">
        <f>(VLOOKUP(C350,DEDN!$A$8:$O$902,$F$2)*D350+E350)/1000</f>
        <v>8.8800000000000007E-3</v>
      </c>
      <c r="G350" s="178">
        <f t="shared" si="104"/>
        <v>29</v>
      </c>
      <c r="H350" s="178">
        <f t="shared" si="104"/>
        <v>29</v>
      </c>
      <c r="I350" s="2">
        <f>PARAM!$H$39</f>
        <v>0</v>
      </c>
      <c r="J350" s="11">
        <f>PARAM!$G$39</f>
        <v>0</v>
      </c>
      <c r="K350" s="11">
        <f>(VLOOKUP(H350,DEDN!$A$8:$O$902,$K$2)*I350+J350)/1000</f>
        <v>0</v>
      </c>
      <c r="L350" s="11">
        <f>MIN(IF(PARAM!$B$43=3,CHOOSE($L$2,F350,K350),F350+K350-F350*K350),1)</f>
        <v>8.8800000000000007E-3</v>
      </c>
      <c r="M350" s="2">
        <f>PARAM!$I$38</f>
        <v>0</v>
      </c>
      <c r="N350" s="11">
        <f>VLOOKUP(B350,DEDN!$A$8:$O$90,$N$2)*M350</f>
        <v>0</v>
      </c>
      <c r="O350" s="12"/>
      <c r="P350" s="10">
        <f>PARAM!$C$53^-A350</f>
        <v>1</v>
      </c>
      <c r="Q350" s="10">
        <f t="shared" si="105"/>
        <v>0.92657952194371174</v>
      </c>
      <c r="R350" s="10">
        <f t="shared" si="102"/>
        <v>0.92657952194371174</v>
      </c>
      <c r="S350" s="10">
        <f>CHOOSE(PARAM!$B$51,R350,0,0,0)*(A350&lt;PARAM!$B$55)</f>
        <v>0</v>
      </c>
      <c r="T350" s="10">
        <f t="shared" si="100"/>
        <v>6.8847545408934341E-4</v>
      </c>
      <c r="U350" s="10">
        <f>T350*P350*(A350&lt;PARAM!$B$55)</f>
        <v>0</v>
      </c>
      <c r="W350">
        <v>347</v>
      </c>
      <c r="X350" s="178">
        <f t="shared" si="106"/>
        <v>60</v>
      </c>
      <c r="Y350" s="178">
        <f t="shared" si="106"/>
        <v>60</v>
      </c>
      <c r="Z350" s="178">
        <f t="shared" si="106"/>
        <v>29</v>
      </c>
      <c r="AA350" s="178">
        <f t="shared" si="106"/>
        <v>29</v>
      </c>
      <c r="AD350" s="17">
        <f>CALC!E374*(A350&lt;PARAM!$B$55)</f>
        <v>0</v>
      </c>
      <c r="AE350">
        <f>IF(A350&lt;ITER!$C$16,1,PARAM!$C$53^-(RATES!A350-ITER!$C$16))*(A350&lt;PARAM!$B$55)</f>
        <v>0</v>
      </c>
    </row>
    <row r="351" spans="1:31" x14ac:dyDescent="0.2">
      <c r="A351" s="9">
        <v>348</v>
      </c>
      <c r="B351" s="178">
        <f t="shared" si="103"/>
        <v>60</v>
      </c>
      <c r="C351" s="178">
        <f t="shared" si="103"/>
        <v>60</v>
      </c>
      <c r="D351" s="2">
        <f>PARAM!$H$38</f>
        <v>1</v>
      </c>
      <c r="E351" s="11">
        <f>PARAM!$G$38</f>
        <v>0</v>
      </c>
      <c r="F351" s="11">
        <f>(VLOOKUP(C351,DEDN!$A$8:$O$902,$F$2)*D351+E351)/1000</f>
        <v>8.8800000000000007E-3</v>
      </c>
      <c r="G351" s="178">
        <f t="shared" si="104"/>
        <v>29</v>
      </c>
      <c r="H351" s="178">
        <f t="shared" si="104"/>
        <v>29</v>
      </c>
      <c r="I351" s="2">
        <f>PARAM!$H$39</f>
        <v>0</v>
      </c>
      <c r="J351" s="11">
        <f>PARAM!$G$39</f>
        <v>0</v>
      </c>
      <c r="K351" s="11">
        <f>(VLOOKUP(H351,DEDN!$A$8:$O$902,$K$2)*I351+J351)/1000</f>
        <v>0</v>
      </c>
      <c r="L351" s="11">
        <f>MIN(IF(PARAM!$B$43=3,CHOOSE($L$2,F351,K351),F351+K351-F351*K351),1)</f>
        <v>8.8800000000000007E-3</v>
      </c>
      <c r="M351" s="2">
        <f>PARAM!$I$38</f>
        <v>0</v>
      </c>
      <c r="N351" s="11">
        <f>VLOOKUP(B351,DEDN!$A$8:$O$90,$N$2)*M351</f>
        <v>0</v>
      </c>
      <c r="O351" s="12"/>
      <c r="P351" s="10">
        <f>PARAM!$C$53^-A351</f>
        <v>1</v>
      </c>
      <c r="Q351" s="10">
        <f t="shared" si="105"/>
        <v>0.92589104648962239</v>
      </c>
      <c r="R351" s="10">
        <f t="shared" si="102"/>
        <v>0.92589104648962239</v>
      </c>
      <c r="S351" s="10">
        <f>R351*(A351&lt;PARAM!$B$55)</f>
        <v>0</v>
      </c>
      <c r="T351" s="10">
        <f t="shared" si="100"/>
        <v>6.8796389686232029E-4</v>
      </c>
      <c r="U351" s="10">
        <f>T351*P351*(A351&lt;PARAM!$B$55)</f>
        <v>0</v>
      </c>
      <c r="W351">
        <v>348</v>
      </c>
      <c r="X351" s="178">
        <f t="shared" si="106"/>
        <v>60</v>
      </c>
      <c r="Y351" s="178">
        <f t="shared" si="106"/>
        <v>60</v>
      </c>
      <c r="Z351" s="178">
        <f t="shared" si="106"/>
        <v>29</v>
      </c>
      <c r="AA351" s="178">
        <f t="shared" si="106"/>
        <v>29</v>
      </c>
      <c r="AD351" s="17">
        <f>CALC!E375*(A351&lt;PARAM!$B$55)</f>
        <v>0</v>
      </c>
      <c r="AE351">
        <f>IF(A351&lt;ITER!$C$16,1,PARAM!$C$53^-(RATES!A351-ITER!$C$16))*(A351&lt;PARAM!$B$55)</f>
        <v>0</v>
      </c>
    </row>
    <row r="352" spans="1:31" x14ac:dyDescent="0.2">
      <c r="A352" s="9">
        <v>349</v>
      </c>
      <c r="B352" s="178">
        <f t="shared" si="103"/>
        <v>60</v>
      </c>
      <c r="C352" s="178">
        <f t="shared" si="103"/>
        <v>60</v>
      </c>
      <c r="D352" s="2">
        <f>PARAM!$H$38</f>
        <v>1</v>
      </c>
      <c r="E352" s="11">
        <f>PARAM!$G$38</f>
        <v>0</v>
      </c>
      <c r="F352" s="11">
        <f>(VLOOKUP(C352,DEDN!$A$8:$O$902,$F$2)*D352+E352)/1000</f>
        <v>8.8800000000000007E-3</v>
      </c>
      <c r="G352" s="178">
        <f t="shared" si="104"/>
        <v>29</v>
      </c>
      <c r="H352" s="178">
        <f t="shared" si="104"/>
        <v>29</v>
      </c>
      <c r="I352" s="2">
        <f>PARAM!$H$39</f>
        <v>0</v>
      </c>
      <c r="J352" s="11">
        <f>PARAM!$G$39</f>
        <v>0</v>
      </c>
      <c r="K352" s="11">
        <f>(VLOOKUP(H352,DEDN!$A$8:$O$902,$K$2)*I352+J352)/1000</f>
        <v>0</v>
      </c>
      <c r="L352" s="11">
        <f>MIN(IF(PARAM!$B$43=3,CHOOSE($L$2,F352,K352),F352+K352-F352*K352),1)</f>
        <v>8.8800000000000007E-3</v>
      </c>
      <c r="M352" s="2">
        <f>PARAM!$I$38</f>
        <v>0</v>
      </c>
      <c r="N352" s="11">
        <f>VLOOKUP(B352,DEDN!$A$8:$O$90,$N$2)*M352</f>
        <v>0</v>
      </c>
      <c r="O352" s="12"/>
      <c r="P352" s="10">
        <f>PARAM!$C$53^-A352</f>
        <v>1</v>
      </c>
      <c r="Q352" s="10">
        <f t="shared" si="105"/>
        <v>0.92520308259276007</v>
      </c>
      <c r="R352" s="10">
        <f t="shared" si="102"/>
        <v>0.92520308259276007</v>
      </c>
      <c r="S352" s="10">
        <f>CHOOSE(PARAM!$B$51,R352,0,0,0)*(A352&lt;PARAM!$B$55)</f>
        <v>0</v>
      </c>
      <c r="T352" s="10">
        <f t="shared" si="100"/>
        <v>6.8745271973713606E-4</v>
      </c>
      <c r="U352" s="10">
        <f>T352*P352*(A352&lt;PARAM!$B$55)</f>
        <v>0</v>
      </c>
      <c r="W352">
        <v>349</v>
      </c>
      <c r="X352" s="178">
        <f t="shared" si="106"/>
        <v>60</v>
      </c>
      <c r="Y352" s="178">
        <f t="shared" si="106"/>
        <v>60</v>
      </c>
      <c r="Z352" s="178">
        <f t="shared" si="106"/>
        <v>29</v>
      </c>
      <c r="AA352" s="178">
        <f t="shared" si="106"/>
        <v>29</v>
      </c>
      <c r="AD352" s="17">
        <f>CALC!E376*(A352&lt;PARAM!$B$55)</f>
        <v>0</v>
      </c>
      <c r="AE352">
        <f>IF(A352&lt;ITER!$C$16,1,PARAM!$C$53^-(RATES!A352-ITER!$C$16))*(A352&lt;PARAM!$B$55)</f>
        <v>0</v>
      </c>
    </row>
    <row r="353" spans="1:31" x14ac:dyDescent="0.2">
      <c r="A353" s="9">
        <v>350</v>
      </c>
      <c r="B353" s="178">
        <f t="shared" si="103"/>
        <v>60</v>
      </c>
      <c r="C353" s="178">
        <f t="shared" si="103"/>
        <v>60</v>
      </c>
      <c r="D353" s="2">
        <f>PARAM!$H$38</f>
        <v>1</v>
      </c>
      <c r="E353" s="11">
        <f>PARAM!$G$38</f>
        <v>0</v>
      </c>
      <c r="F353" s="11">
        <f>(VLOOKUP(C353,DEDN!$A$8:$O$902,$F$2)*D353+E353)/1000</f>
        <v>8.8800000000000007E-3</v>
      </c>
      <c r="G353" s="178">
        <f t="shared" si="104"/>
        <v>29</v>
      </c>
      <c r="H353" s="178">
        <f t="shared" si="104"/>
        <v>29</v>
      </c>
      <c r="I353" s="2">
        <f>PARAM!$H$39</f>
        <v>0</v>
      </c>
      <c r="J353" s="11">
        <f>PARAM!$G$39</f>
        <v>0</v>
      </c>
      <c r="K353" s="11">
        <f>(VLOOKUP(H353,DEDN!$A$8:$O$902,$K$2)*I353+J353)/1000</f>
        <v>0</v>
      </c>
      <c r="L353" s="11">
        <f>MIN(IF(PARAM!$B$43=3,CHOOSE($L$2,F353,K353),F353+K353-F353*K353),1)</f>
        <v>8.8800000000000007E-3</v>
      </c>
      <c r="M353" s="2">
        <f>PARAM!$I$38</f>
        <v>0</v>
      </c>
      <c r="N353" s="11">
        <f>VLOOKUP(B353,DEDN!$A$8:$O$90,$N$2)*M353</f>
        <v>0</v>
      </c>
      <c r="O353" s="12"/>
      <c r="P353" s="10">
        <f>PARAM!$C$53^-A353</f>
        <v>1</v>
      </c>
      <c r="Q353" s="10">
        <f t="shared" si="105"/>
        <v>0.92451562987302294</v>
      </c>
      <c r="R353" s="10">
        <f t="shared" si="102"/>
        <v>0.92451562987302294</v>
      </c>
      <c r="S353" s="10">
        <f>CHOOSE(PARAM!$B$51,R353,0,0,0)*(A353&lt;PARAM!$B$55)</f>
        <v>0</v>
      </c>
      <c r="T353" s="10">
        <f t="shared" si="100"/>
        <v>6.8694192243134999E-4</v>
      </c>
      <c r="U353" s="10">
        <f>T353*P353*(A353&lt;PARAM!$B$55)</f>
        <v>0</v>
      </c>
      <c r="W353">
        <v>350</v>
      </c>
      <c r="X353" s="178">
        <f t="shared" si="106"/>
        <v>60</v>
      </c>
      <c r="Y353" s="178">
        <f t="shared" si="106"/>
        <v>60</v>
      </c>
      <c r="Z353" s="178">
        <f t="shared" si="106"/>
        <v>29</v>
      </c>
      <c r="AA353" s="178">
        <f t="shared" si="106"/>
        <v>29</v>
      </c>
      <c r="AD353" s="17">
        <f>CALC!E377*(A353&lt;PARAM!$B$55)</f>
        <v>0</v>
      </c>
      <c r="AE353">
        <f>IF(A353&lt;ITER!$C$16,1,PARAM!$C$53^-(RATES!A353-ITER!$C$16))*(A353&lt;PARAM!$B$55)</f>
        <v>0</v>
      </c>
    </row>
    <row r="354" spans="1:31" x14ac:dyDescent="0.2">
      <c r="A354" s="9">
        <v>351</v>
      </c>
      <c r="B354" s="178">
        <f t="shared" si="103"/>
        <v>60</v>
      </c>
      <c r="C354" s="178">
        <f t="shared" si="103"/>
        <v>60</v>
      </c>
      <c r="D354" s="2">
        <f>PARAM!$H$38</f>
        <v>1</v>
      </c>
      <c r="E354" s="11">
        <f>PARAM!$G$38</f>
        <v>0</v>
      </c>
      <c r="F354" s="11">
        <f>(VLOOKUP(C354,DEDN!$A$8:$O$902,$F$2)*D354+E354)/1000</f>
        <v>8.8800000000000007E-3</v>
      </c>
      <c r="G354" s="178">
        <f t="shared" si="104"/>
        <v>29</v>
      </c>
      <c r="H354" s="178">
        <f t="shared" si="104"/>
        <v>29</v>
      </c>
      <c r="I354" s="2">
        <f>PARAM!$H$39</f>
        <v>0</v>
      </c>
      <c r="J354" s="11">
        <f>PARAM!$G$39</f>
        <v>0</v>
      </c>
      <c r="K354" s="11">
        <f>(VLOOKUP(H354,DEDN!$A$8:$O$902,$K$2)*I354+J354)/1000</f>
        <v>0</v>
      </c>
      <c r="L354" s="11">
        <f>MIN(IF(PARAM!$B$43=3,CHOOSE($L$2,F354,K354),F354+K354-F354*K354),1)</f>
        <v>8.8800000000000007E-3</v>
      </c>
      <c r="M354" s="2">
        <f>PARAM!$I$38</f>
        <v>0</v>
      </c>
      <c r="N354" s="11">
        <f>VLOOKUP(B354,DEDN!$A$8:$O$90,$N$2)*M354</f>
        <v>0</v>
      </c>
      <c r="O354" s="12"/>
      <c r="P354" s="10">
        <f>PARAM!$C$53^-A354</f>
        <v>1</v>
      </c>
      <c r="Q354" s="10">
        <f t="shared" si="105"/>
        <v>0.92382868795059159</v>
      </c>
      <c r="R354" s="10">
        <f t="shared" si="102"/>
        <v>0.92382868795059159</v>
      </c>
      <c r="S354" s="10">
        <f>CHOOSE(PARAM!$B$51,R354,R354,0,0)*(A354&lt;PARAM!$B$55)</f>
        <v>0</v>
      </c>
      <c r="T354" s="10">
        <f t="shared" si="100"/>
        <v>6.8643150466285441E-4</v>
      </c>
      <c r="U354" s="10">
        <f>T354*P354*(A354&lt;PARAM!$B$55)</f>
        <v>0</v>
      </c>
      <c r="W354">
        <v>351</v>
      </c>
      <c r="X354" s="178">
        <f t="shared" si="106"/>
        <v>60</v>
      </c>
      <c r="Y354" s="178">
        <f t="shared" si="106"/>
        <v>60</v>
      </c>
      <c r="Z354" s="178">
        <f t="shared" si="106"/>
        <v>29</v>
      </c>
      <c r="AA354" s="178">
        <f t="shared" si="106"/>
        <v>29</v>
      </c>
      <c r="AD354" s="17">
        <f>CALC!E378*(A354&lt;PARAM!$B$55)</f>
        <v>0</v>
      </c>
      <c r="AE354">
        <f>IF(A354&lt;ITER!$C$16,1,PARAM!$C$53^-(RATES!A354-ITER!$C$16))*(A354&lt;PARAM!$B$55)</f>
        <v>0</v>
      </c>
    </row>
    <row r="355" spans="1:31" x14ac:dyDescent="0.2">
      <c r="A355" s="9">
        <v>352</v>
      </c>
      <c r="B355" s="178">
        <f t="shared" si="103"/>
        <v>60</v>
      </c>
      <c r="C355" s="178">
        <f t="shared" si="103"/>
        <v>60</v>
      </c>
      <c r="D355" s="2">
        <f>PARAM!$H$38</f>
        <v>1</v>
      </c>
      <c r="E355" s="11">
        <f>PARAM!$G$38</f>
        <v>0</v>
      </c>
      <c r="F355" s="11">
        <f>(VLOOKUP(C355,DEDN!$A$8:$O$902,$F$2)*D355+E355)/1000</f>
        <v>8.8800000000000007E-3</v>
      </c>
      <c r="G355" s="178">
        <f t="shared" si="104"/>
        <v>29</v>
      </c>
      <c r="H355" s="178">
        <f t="shared" si="104"/>
        <v>29</v>
      </c>
      <c r="I355" s="2">
        <f>PARAM!$H$39</f>
        <v>0</v>
      </c>
      <c r="J355" s="11">
        <f>PARAM!$G$39</f>
        <v>0</v>
      </c>
      <c r="K355" s="11">
        <f>(VLOOKUP(H355,DEDN!$A$8:$O$902,$K$2)*I355+J355)/1000</f>
        <v>0</v>
      </c>
      <c r="L355" s="11">
        <f>MIN(IF(PARAM!$B$43=3,CHOOSE($L$2,F355,K355),F355+K355-F355*K355),1)</f>
        <v>8.8800000000000007E-3</v>
      </c>
      <c r="M355" s="2">
        <f>PARAM!$I$38</f>
        <v>0</v>
      </c>
      <c r="N355" s="11">
        <f>VLOOKUP(B355,DEDN!$A$8:$O$90,$N$2)*M355</f>
        <v>0</v>
      </c>
      <c r="O355" s="12"/>
      <c r="P355" s="10">
        <f>PARAM!$C$53^-A355</f>
        <v>1</v>
      </c>
      <c r="Q355" s="10">
        <f t="shared" si="105"/>
        <v>0.92314225644592873</v>
      </c>
      <c r="R355" s="10">
        <f t="shared" si="102"/>
        <v>0.92314225644592873</v>
      </c>
      <c r="S355" s="10">
        <f>CHOOSE(PARAM!$B$51,R355,0,0,0)*(A355&lt;PARAM!$B$55)</f>
        <v>0</v>
      </c>
      <c r="T355" s="10">
        <f t="shared" si="100"/>
        <v>6.8592146614943061E-4</v>
      </c>
      <c r="U355" s="10">
        <f>T355*P355*(A355&lt;PARAM!$B$55)</f>
        <v>0</v>
      </c>
      <c r="W355">
        <v>352</v>
      </c>
      <c r="X355" s="178">
        <f t="shared" si="106"/>
        <v>60</v>
      </c>
      <c r="Y355" s="178">
        <f t="shared" si="106"/>
        <v>60</v>
      </c>
      <c r="Z355" s="178">
        <f t="shared" si="106"/>
        <v>29</v>
      </c>
      <c r="AA355" s="178">
        <f t="shared" si="106"/>
        <v>29</v>
      </c>
      <c r="AD355" s="17">
        <f>CALC!E379*(A355&lt;PARAM!$B$55)</f>
        <v>0</v>
      </c>
      <c r="AE355">
        <f>IF(A355&lt;ITER!$C$16,1,PARAM!$C$53^-(RATES!A355-ITER!$C$16))*(A355&lt;PARAM!$B$55)</f>
        <v>0</v>
      </c>
    </row>
    <row r="356" spans="1:31" x14ac:dyDescent="0.2">
      <c r="A356" s="9">
        <v>353</v>
      </c>
      <c r="B356" s="178">
        <f t="shared" si="103"/>
        <v>60</v>
      </c>
      <c r="C356" s="178">
        <f t="shared" si="103"/>
        <v>60</v>
      </c>
      <c r="D356" s="2">
        <f>PARAM!$H$38</f>
        <v>1</v>
      </c>
      <c r="E356" s="11">
        <f>PARAM!$G$38</f>
        <v>0</v>
      </c>
      <c r="F356" s="11">
        <f>(VLOOKUP(C356,DEDN!$A$8:$O$902,$F$2)*D356+E356)/1000</f>
        <v>8.8800000000000007E-3</v>
      </c>
      <c r="G356" s="178">
        <f t="shared" si="104"/>
        <v>29</v>
      </c>
      <c r="H356" s="178">
        <f t="shared" si="104"/>
        <v>29</v>
      </c>
      <c r="I356" s="2">
        <f>PARAM!$H$39</f>
        <v>0</v>
      </c>
      <c r="J356" s="11">
        <f>PARAM!$G$39</f>
        <v>0</v>
      </c>
      <c r="K356" s="11">
        <f>(VLOOKUP(H356,DEDN!$A$8:$O$902,$K$2)*I356+J356)/1000</f>
        <v>0</v>
      </c>
      <c r="L356" s="11">
        <f>MIN(IF(PARAM!$B$43=3,CHOOSE($L$2,F356,K356),F356+K356-F356*K356),1)</f>
        <v>8.8800000000000007E-3</v>
      </c>
      <c r="M356" s="2">
        <f>PARAM!$I$38</f>
        <v>0</v>
      </c>
      <c r="N356" s="11">
        <f>VLOOKUP(B356,DEDN!$A$8:$O$90,$N$2)*M356</f>
        <v>0</v>
      </c>
      <c r="O356" s="12"/>
      <c r="P356" s="10">
        <f>PARAM!$C$53^-A356</f>
        <v>1</v>
      </c>
      <c r="Q356" s="10">
        <f t="shared" si="105"/>
        <v>0.9224563349797793</v>
      </c>
      <c r="R356" s="10">
        <f t="shared" ref="R356:R371" si="107">P356*Q356</f>
        <v>0.9224563349797793</v>
      </c>
      <c r="S356" s="10">
        <f>CHOOSE(PARAM!$B$51,R356,0,0,0)*(A356&lt;PARAM!$B$55)</f>
        <v>0</v>
      </c>
      <c r="T356" s="10">
        <f t="shared" si="100"/>
        <v>6.8541180660952605E-4</v>
      </c>
      <c r="U356" s="10">
        <f>T356*P356*(A356&lt;PARAM!$B$55)</f>
        <v>0</v>
      </c>
      <c r="W356">
        <v>353</v>
      </c>
      <c r="X356" s="178">
        <f t="shared" si="106"/>
        <v>60</v>
      </c>
      <c r="Y356" s="178">
        <f t="shared" si="106"/>
        <v>60</v>
      </c>
      <c r="Z356" s="178">
        <f t="shared" si="106"/>
        <v>29</v>
      </c>
      <c r="AA356" s="178">
        <f t="shared" si="106"/>
        <v>29</v>
      </c>
      <c r="AD356" s="17">
        <f>CALC!E380*(A356&lt;PARAM!$B$55)</f>
        <v>0</v>
      </c>
      <c r="AE356">
        <f>IF(A356&lt;ITER!$C$16,1,PARAM!$C$53^-(RATES!A356-ITER!$C$16))*(A356&lt;PARAM!$B$55)</f>
        <v>0</v>
      </c>
    </row>
    <row r="357" spans="1:31" x14ac:dyDescent="0.2">
      <c r="A357" s="9">
        <v>354</v>
      </c>
      <c r="B357" s="178">
        <f t="shared" si="103"/>
        <v>61</v>
      </c>
      <c r="C357" s="178">
        <f t="shared" si="103"/>
        <v>61</v>
      </c>
      <c r="D357" s="2">
        <f>PARAM!$H$38</f>
        <v>1</v>
      </c>
      <c r="E357" s="11">
        <f>PARAM!$G$38</f>
        <v>0</v>
      </c>
      <c r="F357" s="11">
        <f>(VLOOKUP(C357,DEDN!$A$8:$O$902,$F$2)*D357+E357)/1000</f>
        <v>9.8900000000000012E-3</v>
      </c>
      <c r="G357" s="178">
        <f t="shared" si="104"/>
        <v>30</v>
      </c>
      <c r="H357" s="178">
        <f t="shared" si="104"/>
        <v>30</v>
      </c>
      <c r="I357" s="2">
        <f>PARAM!$H$39</f>
        <v>0</v>
      </c>
      <c r="J357" s="11">
        <f>PARAM!$G$39</f>
        <v>0</v>
      </c>
      <c r="K357" s="11">
        <f>(VLOOKUP(H357,DEDN!$A$8:$O$902,$K$2)*I357+J357)/1000</f>
        <v>0</v>
      </c>
      <c r="L357" s="11">
        <f>MIN(IF(PARAM!$B$43=3,CHOOSE($L$2,F357,K357),F357+K357-F357*K357),1)</f>
        <v>9.8900000000000012E-3</v>
      </c>
      <c r="M357" s="2">
        <f>PARAM!$I$38</f>
        <v>0</v>
      </c>
      <c r="N357" s="11">
        <f>VLOOKUP(B357,DEDN!$A$8:$O$90,$N$2)*M357</f>
        <v>0</v>
      </c>
      <c r="O357" s="12"/>
      <c r="P357" s="10">
        <f>PARAM!$C$53^-A357</f>
        <v>1</v>
      </c>
      <c r="Q357" s="10">
        <f t="shared" ref="Q357:Q372" si="108">Q356*(1-L356)^(1/12)</f>
        <v>0.92177092317316978</v>
      </c>
      <c r="R357" s="10">
        <f t="shared" si="107"/>
        <v>0.92177092317316978</v>
      </c>
      <c r="S357" s="10">
        <f>CHOOSE(PARAM!$B$51,R357,R357,R357,0)*(A357&lt;PARAM!$B$55)</f>
        <v>0</v>
      </c>
      <c r="T357" s="10">
        <f t="shared" si="100"/>
        <v>7.6315841071306068E-4</v>
      </c>
      <c r="U357" s="10">
        <f>T357*P357*(A357&lt;PARAM!$B$55)</f>
        <v>0</v>
      </c>
      <c r="W357">
        <v>354</v>
      </c>
      <c r="X357" s="178">
        <f t="shared" si="106"/>
        <v>61</v>
      </c>
      <c r="Y357" s="178">
        <f t="shared" si="106"/>
        <v>61</v>
      </c>
      <c r="Z357" s="178">
        <f t="shared" si="106"/>
        <v>30</v>
      </c>
      <c r="AA357" s="178">
        <f t="shared" si="106"/>
        <v>30</v>
      </c>
      <c r="AD357" s="17">
        <f>CALC!E381*(A357&lt;PARAM!$B$55)</f>
        <v>0</v>
      </c>
      <c r="AE357">
        <f>IF(A357&lt;ITER!$C$16,1,PARAM!$C$53^-(RATES!A357-ITER!$C$16))*(A357&lt;PARAM!$B$55)</f>
        <v>0</v>
      </c>
    </row>
    <row r="358" spans="1:31" x14ac:dyDescent="0.2">
      <c r="A358" s="9">
        <v>355</v>
      </c>
      <c r="B358" s="178">
        <f t="shared" si="103"/>
        <v>61</v>
      </c>
      <c r="C358" s="178">
        <f t="shared" si="103"/>
        <v>61</v>
      </c>
      <c r="D358" s="2">
        <f>PARAM!$H$38</f>
        <v>1</v>
      </c>
      <c r="E358" s="11">
        <f>PARAM!$G$38</f>
        <v>0</v>
      </c>
      <c r="F358" s="11">
        <f>(VLOOKUP(C358,DEDN!$A$8:$O$902,$F$2)*D358+E358)/1000</f>
        <v>9.8900000000000012E-3</v>
      </c>
      <c r="G358" s="178">
        <f t="shared" si="104"/>
        <v>30</v>
      </c>
      <c r="H358" s="178">
        <f t="shared" si="104"/>
        <v>30</v>
      </c>
      <c r="I358" s="2">
        <f>PARAM!$H$39</f>
        <v>0</v>
      </c>
      <c r="J358" s="11">
        <f>PARAM!$G$39</f>
        <v>0</v>
      </c>
      <c r="K358" s="11">
        <f>(VLOOKUP(H358,DEDN!$A$8:$O$902,$K$2)*I358+J358)/1000</f>
        <v>0</v>
      </c>
      <c r="L358" s="11">
        <f>MIN(IF(PARAM!$B$43=3,CHOOSE($L$2,F358,K358),F358+K358-F358*K358),1)</f>
        <v>9.8900000000000012E-3</v>
      </c>
      <c r="M358" s="2">
        <f>PARAM!$I$38</f>
        <v>0</v>
      </c>
      <c r="N358" s="11">
        <f>VLOOKUP(B358,DEDN!$A$8:$O$90,$N$2)*M358</f>
        <v>0</v>
      </c>
      <c r="O358" s="12"/>
      <c r="P358" s="10">
        <f>PARAM!$C$53^-A358</f>
        <v>1</v>
      </c>
      <c r="Q358" s="10">
        <f t="shared" si="108"/>
        <v>0.92100776476245672</v>
      </c>
      <c r="R358" s="10">
        <f t="shared" si="107"/>
        <v>0.92100776476245672</v>
      </c>
      <c r="S358" s="10">
        <f>CHOOSE(PARAM!$B$51,R358,0,0,0)*(A358&lt;PARAM!$B$55)</f>
        <v>0</v>
      </c>
      <c r="T358" s="10">
        <f t="shared" si="100"/>
        <v>7.6252657177655614E-4</v>
      </c>
      <c r="U358" s="10">
        <f>T358*P358*(A358&lt;PARAM!$B$55)</f>
        <v>0</v>
      </c>
      <c r="W358">
        <v>355</v>
      </c>
      <c r="X358" s="178">
        <f t="shared" si="106"/>
        <v>61</v>
      </c>
      <c r="Y358" s="178">
        <f t="shared" si="106"/>
        <v>61</v>
      </c>
      <c r="Z358" s="178">
        <f t="shared" si="106"/>
        <v>30</v>
      </c>
      <c r="AA358" s="178">
        <f t="shared" si="106"/>
        <v>30</v>
      </c>
      <c r="AD358" s="17">
        <f>CALC!E382*(A358&lt;PARAM!$B$55)</f>
        <v>0</v>
      </c>
      <c r="AE358">
        <f>IF(A358&lt;ITER!$C$16,1,PARAM!$C$53^-(RATES!A358-ITER!$C$16))*(A358&lt;PARAM!$B$55)</f>
        <v>0</v>
      </c>
    </row>
    <row r="359" spans="1:31" x14ac:dyDescent="0.2">
      <c r="A359" s="9">
        <v>356</v>
      </c>
      <c r="B359" s="178">
        <f t="shared" si="103"/>
        <v>61</v>
      </c>
      <c r="C359" s="178">
        <f t="shared" si="103"/>
        <v>61</v>
      </c>
      <c r="D359" s="2">
        <f>PARAM!$H$38</f>
        <v>1</v>
      </c>
      <c r="E359" s="11">
        <f>PARAM!$G$38</f>
        <v>0</v>
      </c>
      <c r="F359" s="11">
        <f>(VLOOKUP(C359,DEDN!$A$8:$O$902,$F$2)*D359+E359)/1000</f>
        <v>9.8900000000000012E-3</v>
      </c>
      <c r="G359" s="178">
        <f t="shared" si="104"/>
        <v>30</v>
      </c>
      <c r="H359" s="178">
        <f t="shared" si="104"/>
        <v>30</v>
      </c>
      <c r="I359" s="2">
        <f>PARAM!$H$39</f>
        <v>0</v>
      </c>
      <c r="J359" s="11">
        <f>PARAM!$G$39</f>
        <v>0</v>
      </c>
      <c r="K359" s="11">
        <f>(VLOOKUP(H359,DEDN!$A$8:$O$902,$K$2)*I359+J359)/1000</f>
        <v>0</v>
      </c>
      <c r="L359" s="11">
        <f>MIN(IF(PARAM!$B$43=3,CHOOSE($L$2,F359,K359),F359+K359-F359*K359),1)</f>
        <v>9.8900000000000012E-3</v>
      </c>
      <c r="M359" s="2">
        <f>PARAM!$I$38</f>
        <v>0</v>
      </c>
      <c r="N359" s="11">
        <f>VLOOKUP(B359,DEDN!$A$8:$O$90,$N$2)*M359</f>
        <v>0</v>
      </c>
      <c r="O359" s="12"/>
      <c r="P359" s="10">
        <f>PARAM!$C$53^-A359</f>
        <v>1</v>
      </c>
      <c r="Q359" s="10">
        <f t="shared" si="108"/>
        <v>0.92024523819068016</v>
      </c>
      <c r="R359" s="10">
        <f t="shared" si="107"/>
        <v>0.92024523819068016</v>
      </c>
      <c r="S359" s="10">
        <f>CHOOSE(PARAM!$B$51,R359,0,0,0)*(A359&lt;PARAM!$B$55)</f>
        <v>0</v>
      </c>
      <c r="T359" s="10">
        <f t="shared" si="100"/>
        <v>7.6189525595604657E-4</v>
      </c>
      <c r="U359" s="10">
        <f>T359*P359*(A359&lt;PARAM!$B$55)</f>
        <v>0</v>
      </c>
      <c r="W359">
        <v>356</v>
      </c>
      <c r="X359" s="178">
        <f t="shared" si="106"/>
        <v>61</v>
      </c>
      <c r="Y359" s="178">
        <f t="shared" si="106"/>
        <v>61</v>
      </c>
      <c r="Z359" s="178">
        <f t="shared" si="106"/>
        <v>30</v>
      </c>
      <c r="AA359" s="178">
        <f t="shared" si="106"/>
        <v>30</v>
      </c>
      <c r="AD359" s="17">
        <f>CALC!E383*(A359&lt;PARAM!$B$55)</f>
        <v>0</v>
      </c>
      <c r="AE359">
        <f>IF(A359&lt;ITER!$C$16,1,PARAM!$C$53^-(RATES!A359-ITER!$C$16))*(A359&lt;PARAM!$B$55)</f>
        <v>0</v>
      </c>
    </row>
    <row r="360" spans="1:31" x14ac:dyDescent="0.2">
      <c r="A360" s="9">
        <v>357</v>
      </c>
      <c r="B360" s="178">
        <f t="shared" si="103"/>
        <v>61</v>
      </c>
      <c r="C360" s="178">
        <f t="shared" si="103"/>
        <v>61</v>
      </c>
      <c r="D360" s="2">
        <f>PARAM!$H$38</f>
        <v>1</v>
      </c>
      <c r="E360" s="11">
        <f>PARAM!$G$38</f>
        <v>0</v>
      </c>
      <c r="F360" s="11">
        <f>(VLOOKUP(C360,DEDN!$A$8:$O$902,$F$2)*D360+E360)/1000</f>
        <v>9.8900000000000012E-3</v>
      </c>
      <c r="G360" s="178">
        <f t="shared" si="104"/>
        <v>30</v>
      </c>
      <c r="H360" s="178">
        <f t="shared" si="104"/>
        <v>30</v>
      </c>
      <c r="I360" s="2">
        <f>PARAM!$H$39</f>
        <v>0</v>
      </c>
      <c r="J360" s="11">
        <f>PARAM!$G$39</f>
        <v>0</v>
      </c>
      <c r="K360" s="11">
        <f>(VLOOKUP(H360,DEDN!$A$8:$O$902,$K$2)*I360+J360)/1000</f>
        <v>0</v>
      </c>
      <c r="L360" s="11">
        <f>MIN(IF(PARAM!$B$43=3,CHOOSE($L$2,F360,K360),F360+K360-F360*K360),1)</f>
        <v>9.8900000000000012E-3</v>
      </c>
      <c r="M360" s="2">
        <f>PARAM!$I$38</f>
        <v>0</v>
      </c>
      <c r="N360" s="11">
        <f>VLOOKUP(B360,DEDN!$A$8:$O$90,$N$2)*M360</f>
        <v>0</v>
      </c>
      <c r="O360" s="12"/>
      <c r="P360" s="10">
        <f>PARAM!$C$53^-A360</f>
        <v>1</v>
      </c>
      <c r="Q360" s="10">
        <f t="shared" si="108"/>
        <v>0.91948334293472411</v>
      </c>
      <c r="R360" s="10">
        <f t="shared" si="107"/>
        <v>0.91948334293472411</v>
      </c>
      <c r="S360" s="10">
        <f>CHOOSE(PARAM!$B$51,R360,R360,0,0)*(A360&lt;PARAM!$B$55)</f>
        <v>0</v>
      </c>
      <c r="T360" s="10">
        <f t="shared" si="100"/>
        <v>7.6126446281865601E-4</v>
      </c>
      <c r="U360" s="10">
        <f>T360*P360*(A360&lt;PARAM!$B$55)</f>
        <v>0</v>
      </c>
      <c r="W360">
        <v>357</v>
      </c>
      <c r="X360" s="178">
        <f t="shared" si="106"/>
        <v>61</v>
      </c>
      <c r="Y360" s="178">
        <f t="shared" si="106"/>
        <v>61</v>
      </c>
      <c r="Z360" s="178">
        <f t="shared" si="106"/>
        <v>30</v>
      </c>
      <c r="AA360" s="178">
        <f t="shared" si="106"/>
        <v>30</v>
      </c>
      <c r="AD360" s="17">
        <f>CALC!E384*(A360&lt;PARAM!$B$55)</f>
        <v>0</v>
      </c>
      <c r="AE360">
        <f>IF(A360&lt;ITER!$C$16,1,PARAM!$C$53^-(RATES!A360-ITER!$C$16))*(A360&lt;PARAM!$B$55)</f>
        <v>0</v>
      </c>
    </row>
    <row r="361" spans="1:31" x14ac:dyDescent="0.2">
      <c r="A361" s="9">
        <v>358</v>
      </c>
      <c r="B361" s="178">
        <f t="shared" ref="B361:C380" si="109">B349+1</f>
        <v>61</v>
      </c>
      <c r="C361" s="178">
        <f t="shared" si="109"/>
        <v>61</v>
      </c>
      <c r="D361" s="2">
        <f>PARAM!$H$38</f>
        <v>1</v>
      </c>
      <c r="E361" s="11">
        <f>PARAM!$G$38</f>
        <v>0</v>
      </c>
      <c r="F361" s="11">
        <f>(VLOOKUP(C361,DEDN!$A$8:$O$902,$F$2)*D361+E361)/1000</f>
        <v>9.8900000000000012E-3</v>
      </c>
      <c r="G361" s="178">
        <f t="shared" ref="G361:H380" si="110">G349+1</f>
        <v>30</v>
      </c>
      <c r="H361" s="178">
        <f t="shared" si="110"/>
        <v>30</v>
      </c>
      <c r="I361" s="2">
        <f>PARAM!$H$39</f>
        <v>0</v>
      </c>
      <c r="J361" s="11">
        <f>PARAM!$G$39</f>
        <v>0</v>
      </c>
      <c r="K361" s="11">
        <f>(VLOOKUP(H361,DEDN!$A$8:$O$902,$K$2)*I361+J361)/1000</f>
        <v>0</v>
      </c>
      <c r="L361" s="11">
        <f>MIN(IF(PARAM!$B$43=3,CHOOSE($L$2,F361,K361),F361+K361-F361*K361),1)</f>
        <v>9.8900000000000012E-3</v>
      </c>
      <c r="M361" s="2">
        <f>PARAM!$I$38</f>
        <v>0</v>
      </c>
      <c r="N361" s="11">
        <f>VLOOKUP(B361,DEDN!$A$8:$O$90,$N$2)*M361</f>
        <v>0</v>
      </c>
      <c r="O361" s="12"/>
      <c r="P361" s="10">
        <f>PARAM!$C$53^-A361</f>
        <v>1</v>
      </c>
      <c r="Q361" s="10">
        <f t="shared" si="108"/>
        <v>0.91872207847190546</v>
      </c>
      <c r="R361" s="10">
        <f t="shared" si="107"/>
        <v>0.91872207847190546</v>
      </c>
      <c r="S361" s="10">
        <f>CHOOSE(PARAM!$B$51,R361,0,0,0)*(A361&lt;PARAM!$B$55)</f>
        <v>0</v>
      </c>
      <c r="T361" s="10">
        <f t="shared" si="100"/>
        <v>7.6063419193139747E-4</v>
      </c>
      <c r="U361" s="10">
        <f>T361*P361*(A361&lt;PARAM!$B$55)</f>
        <v>0</v>
      </c>
      <c r="W361">
        <v>358</v>
      </c>
      <c r="X361" s="178">
        <f t="shared" ref="X361:AA380" si="111">X349+1</f>
        <v>61</v>
      </c>
      <c r="Y361" s="178">
        <f t="shared" si="111"/>
        <v>61</v>
      </c>
      <c r="Z361" s="178">
        <f t="shared" si="111"/>
        <v>30</v>
      </c>
      <c r="AA361" s="178">
        <f t="shared" si="111"/>
        <v>30</v>
      </c>
      <c r="AD361" s="17">
        <f>CALC!E385*(A361&lt;PARAM!$B$55)</f>
        <v>0</v>
      </c>
      <c r="AE361">
        <f>IF(A361&lt;ITER!$C$16,1,PARAM!$C$53^-(RATES!A361-ITER!$C$16))*(A361&lt;PARAM!$B$55)</f>
        <v>0</v>
      </c>
    </row>
    <row r="362" spans="1:31" x14ac:dyDescent="0.2">
      <c r="A362" s="9">
        <v>359</v>
      </c>
      <c r="B362" s="178">
        <f t="shared" si="109"/>
        <v>61</v>
      </c>
      <c r="C362" s="178">
        <f t="shared" si="109"/>
        <v>61</v>
      </c>
      <c r="D362" s="2">
        <f>PARAM!$H$38</f>
        <v>1</v>
      </c>
      <c r="E362" s="11">
        <f>PARAM!$G$38</f>
        <v>0</v>
      </c>
      <c r="F362" s="11">
        <f>(VLOOKUP(C362,DEDN!$A$8:$O$902,$F$2)*D362+E362)/1000</f>
        <v>9.8900000000000012E-3</v>
      </c>
      <c r="G362" s="178">
        <f t="shared" si="110"/>
        <v>30</v>
      </c>
      <c r="H362" s="178">
        <f t="shared" si="110"/>
        <v>30</v>
      </c>
      <c r="I362" s="2">
        <f>PARAM!$H$39</f>
        <v>0</v>
      </c>
      <c r="J362" s="11">
        <f>PARAM!$G$39</f>
        <v>0</v>
      </c>
      <c r="K362" s="11">
        <f>(VLOOKUP(H362,DEDN!$A$8:$O$902,$K$2)*I362+J362)/1000</f>
        <v>0</v>
      </c>
      <c r="L362" s="11">
        <f>MIN(IF(PARAM!$B$43=3,CHOOSE($L$2,F362,K362),F362+K362-F362*K362),1)</f>
        <v>9.8900000000000012E-3</v>
      </c>
      <c r="M362" s="2">
        <f>PARAM!$I$38</f>
        <v>0</v>
      </c>
      <c r="N362" s="11">
        <f>VLOOKUP(B362,DEDN!$A$8:$O$90,$N$2)*M362</f>
        <v>0</v>
      </c>
      <c r="O362" s="12"/>
      <c r="P362" s="10">
        <f>PARAM!$C$53^-A362</f>
        <v>1</v>
      </c>
      <c r="Q362" s="10">
        <f t="shared" si="108"/>
        <v>0.91796144427997406</v>
      </c>
      <c r="R362" s="10">
        <f t="shared" si="107"/>
        <v>0.91796144427997406</v>
      </c>
      <c r="S362" s="10">
        <f>CHOOSE(PARAM!$B$51,R362,0,0,0)*(A362&lt;PARAM!$B$55)</f>
        <v>0</v>
      </c>
      <c r="T362" s="10">
        <f t="shared" si="100"/>
        <v>7.6000444286195012E-4</v>
      </c>
      <c r="U362" s="10">
        <f>T362*P362*(A362&lt;PARAM!$B$55)</f>
        <v>0</v>
      </c>
      <c r="W362">
        <v>359</v>
      </c>
      <c r="X362" s="178">
        <f t="shared" si="111"/>
        <v>61</v>
      </c>
      <c r="Y362" s="178">
        <f t="shared" si="111"/>
        <v>61</v>
      </c>
      <c r="Z362" s="178">
        <f t="shared" si="111"/>
        <v>30</v>
      </c>
      <c r="AA362" s="178">
        <f t="shared" si="111"/>
        <v>30</v>
      </c>
      <c r="AD362" s="17">
        <f>CALC!E386*(A362&lt;PARAM!$B$55)</f>
        <v>0</v>
      </c>
      <c r="AE362">
        <f>IF(A362&lt;ITER!$C$16,1,PARAM!$C$53^-(RATES!A362-ITER!$C$16))*(A362&lt;PARAM!$B$55)</f>
        <v>0</v>
      </c>
    </row>
    <row r="363" spans="1:31" x14ac:dyDescent="0.2">
      <c r="A363" s="9">
        <v>360</v>
      </c>
      <c r="B363" s="178">
        <f t="shared" si="109"/>
        <v>61</v>
      </c>
      <c r="C363" s="178">
        <f t="shared" si="109"/>
        <v>61</v>
      </c>
      <c r="D363" s="2">
        <f>PARAM!$H$38</f>
        <v>1</v>
      </c>
      <c r="E363" s="11">
        <f>PARAM!$G$38</f>
        <v>0</v>
      </c>
      <c r="F363" s="11">
        <f>(VLOOKUP(C363,DEDN!$A$8:$O$902,$F$2)*D363+E363)/1000</f>
        <v>9.8900000000000012E-3</v>
      </c>
      <c r="G363" s="178">
        <f t="shared" si="110"/>
        <v>30</v>
      </c>
      <c r="H363" s="178">
        <f t="shared" si="110"/>
        <v>30</v>
      </c>
      <c r="I363" s="2">
        <f>PARAM!$H$39</f>
        <v>0</v>
      </c>
      <c r="J363" s="11">
        <f>PARAM!$G$39</f>
        <v>0</v>
      </c>
      <c r="K363" s="11">
        <f>(VLOOKUP(H363,DEDN!$A$8:$O$902,$K$2)*I363+J363)/1000</f>
        <v>0</v>
      </c>
      <c r="L363" s="11">
        <f>MIN(IF(PARAM!$B$43=3,CHOOSE($L$2,F363,K363),F363+K363-F363*K363),1)</f>
        <v>9.8900000000000012E-3</v>
      </c>
      <c r="M363" s="2">
        <f>PARAM!$I$38</f>
        <v>0</v>
      </c>
      <c r="N363" s="11">
        <f>VLOOKUP(B363,DEDN!$A$8:$O$90,$N$2)*M363</f>
        <v>0</v>
      </c>
      <c r="O363" s="12"/>
      <c r="P363" s="10">
        <f>PARAM!$C$53^-A363</f>
        <v>1</v>
      </c>
      <c r="Q363" s="10">
        <f t="shared" si="108"/>
        <v>0.91720143983711211</v>
      </c>
      <c r="R363" s="10">
        <f t="shared" si="107"/>
        <v>0.91720143983711211</v>
      </c>
      <c r="S363" s="10">
        <f>R363*(A363&lt;PARAM!$B$55)</f>
        <v>0</v>
      </c>
      <c r="T363" s="10">
        <f t="shared" si="100"/>
        <v>7.593752151784372E-4</v>
      </c>
      <c r="U363" s="10">
        <f>T363*P363*(A363&lt;PARAM!$B$55)</f>
        <v>0</v>
      </c>
      <c r="W363">
        <v>360</v>
      </c>
      <c r="X363" s="178">
        <f t="shared" si="111"/>
        <v>61</v>
      </c>
      <c r="Y363" s="178">
        <f t="shared" si="111"/>
        <v>61</v>
      </c>
      <c r="Z363" s="178">
        <f t="shared" si="111"/>
        <v>30</v>
      </c>
      <c r="AA363" s="178">
        <f t="shared" si="111"/>
        <v>30</v>
      </c>
      <c r="AD363" s="17">
        <f>CALC!E387*(A363&lt;PARAM!$B$55)</f>
        <v>0</v>
      </c>
      <c r="AE363">
        <f>IF(A363&lt;ITER!$C$16,1,PARAM!$C$53^-(RATES!A363-ITER!$C$16))*(A363&lt;PARAM!$B$55)</f>
        <v>0</v>
      </c>
    </row>
    <row r="364" spans="1:31" x14ac:dyDescent="0.2">
      <c r="A364" s="9">
        <v>361</v>
      </c>
      <c r="B364" s="178">
        <f t="shared" si="109"/>
        <v>61</v>
      </c>
      <c r="C364" s="178">
        <f t="shared" si="109"/>
        <v>61</v>
      </c>
      <c r="D364" s="2">
        <f>PARAM!$H$38</f>
        <v>1</v>
      </c>
      <c r="E364" s="11">
        <f>PARAM!$G$38</f>
        <v>0</v>
      </c>
      <c r="F364" s="11">
        <f>(VLOOKUP(C364,DEDN!$A$8:$O$902,$F$2)*D364+E364)/1000</f>
        <v>9.8900000000000012E-3</v>
      </c>
      <c r="G364" s="178">
        <f t="shared" si="110"/>
        <v>30</v>
      </c>
      <c r="H364" s="178">
        <f t="shared" si="110"/>
        <v>30</v>
      </c>
      <c r="I364" s="2">
        <f>PARAM!$H$39</f>
        <v>0</v>
      </c>
      <c r="J364" s="11">
        <f>PARAM!$G$39</f>
        <v>0</v>
      </c>
      <c r="K364" s="11">
        <f>(VLOOKUP(H364,DEDN!$A$8:$O$902,$K$2)*I364+J364)/1000</f>
        <v>0</v>
      </c>
      <c r="L364" s="11">
        <f>MIN(IF(PARAM!$B$43=3,CHOOSE($L$2,F364,K364),F364+K364-F364*K364),1)</f>
        <v>9.8900000000000012E-3</v>
      </c>
      <c r="M364" s="2">
        <f>PARAM!$I$38</f>
        <v>0</v>
      </c>
      <c r="N364" s="11">
        <f>VLOOKUP(B364,DEDN!$A$8:$O$90,$N$2)*M364</f>
        <v>0</v>
      </c>
      <c r="O364" s="12"/>
      <c r="P364" s="10">
        <f>PARAM!$C$53^-A364</f>
        <v>1</v>
      </c>
      <c r="Q364" s="10">
        <f t="shared" si="108"/>
        <v>0.91644206462193367</v>
      </c>
      <c r="R364" s="10">
        <f t="shared" si="107"/>
        <v>0.91644206462193367</v>
      </c>
      <c r="S364" s="10">
        <f>CHOOSE(PARAM!$B$51,R364,0,0,0)*(A364&lt;PARAM!$B$55)</f>
        <v>0</v>
      </c>
      <c r="T364" s="10">
        <f t="shared" si="100"/>
        <v>7.5874650844909297E-4</v>
      </c>
      <c r="U364" s="10">
        <f>T364*P364*(A364&lt;PARAM!$B$55)</f>
        <v>0</v>
      </c>
      <c r="W364">
        <v>361</v>
      </c>
      <c r="X364" s="178">
        <f t="shared" si="111"/>
        <v>61</v>
      </c>
      <c r="Y364" s="178">
        <f t="shared" si="111"/>
        <v>61</v>
      </c>
      <c r="Z364" s="178">
        <f t="shared" si="111"/>
        <v>30</v>
      </c>
      <c r="AA364" s="178">
        <f t="shared" si="111"/>
        <v>30</v>
      </c>
      <c r="AD364" s="17">
        <f>CALC!E388*(A364&lt;PARAM!$B$55)</f>
        <v>0</v>
      </c>
      <c r="AE364">
        <f>IF(A364&lt;ITER!$C$16,1,PARAM!$C$53^-(RATES!A364-ITER!$C$16))*(A364&lt;PARAM!$B$55)</f>
        <v>0</v>
      </c>
    </row>
    <row r="365" spans="1:31" x14ac:dyDescent="0.2">
      <c r="A365" s="9">
        <v>362</v>
      </c>
      <c r="B365" s="178">
        <f t="shared" si="109"/>
        <v>61</v>
      </c>
      <c r="C365" s="178">
        <f t="shared" si="109"/>
        <v>61</v>
      </c>
      <c r="D365" s="2">
        <f>PARAM!$H$38</f>
        <v>1</v>
      </c>
      <c r="E365" s="11">
        <f>PARAM!$G$38</f>
        <v>0</v>
      </c>
      <c r="F365" s="11">
        <f>(VLOOKUP(C365,DEDN!$A$8:$O$902,$F$2)*D365+E365)/1000</f>
        <v>9.8900000000000012E-3</v>
      </c>
      <c r="G365" s="178">
        <f t="shared" si="110"/>
        <v>30</v>
      </c>
      <c r="H365" s="178">
        <f t="shared" si="110"/>
        <v>30</v>
      </c>
      <c r="I365" s="2">
        <f>PARAM!$H$39</f>
        <v>0</v>
      </c>
      <c r="J365" s="11">
        <f>PARAM!$G$39</f>
        <v>0</v>
      </c>
      <c r="K365" s="11">
        <f>(VLOOKUP(H365,DEDN!$A$8:$O$902,$K$2)*I365+J365)/1000</f>
        <v>0</v>
      </c>
      <c r="L365" s="11">
        <f>MIN(IF(PARAM!$B$43=3,CHOOSE($L$2,F365,K365),F365+K365-F365*K365),1)</f>
        <v>9.8900000000000012E-3</v>
      </c>
      <c r="M365" s="2">
        <f>PARAM!$I$38</f>
        <v>0</v>
      </c>
      <c r="N365" s="11">
        <f>VLOOKUP(B365,DEDN!$A$8:$O$90,$N$2)*M365</f>
        <v>0</v>
      </c>
      <c r="O365" s="12"/>
      <c r="P365" s="10">
        <f>PARAM!$C$53^-A365</f>
        <v>1</v>
      </c>
      <c r="Q365" s="10">
        <f t="shared" si="108"/>
        <v>0.91568331811348458</v>
      </c>
      <c r="R365" s="10">
        <f t="shared" si="107"/>
        <v>0.91568331811348458</v>
      </c>
      <c r="S365" s="10">
        <f>CHOOSE(PARAM!$B$51,R365,0,0,0)*(A365&lt;PARAM!$B$55)</f>
        <v>0</v>
      </c>
      <c r="T365" s="10">
        <f t="shared" si="100"/>
        <v>7.5811832224248477E-4</v>
      </c>
      <c r="U365" s="10">
        <f>T365*P365*(A365&lt;PARAM!$B$55)</f>
        <v>0</v>
      </c>
      <c r="W365">
        <v>362</v>
      </c>
      <c r="X365" s="178">
        <f t="shared" si="111"/>
        <v>61</v>
      </c>
      <c r="Y365" s="178">
        <f t="shared" si="111"/>
        <v>61</v>
      </c>
      <c r="Z365" s="178">
        <f t="shared" si="111"/>
        <v>30</v>
      </c>
      <c r="AA365" s="178">
        <f t="shared" si="111"/>
        <v>30</v>
      </c>
      <c r="AD365" s="17">
        <f>CALC!E389*(A365&lt;PARAM!$B$55)</f>
        <v>0</v>
      </c>
      <c r="AE365">
        <f>IF(A365&lt;ITER!$C$16,1,PARAM!$C$53^-(RATES!A365-ITER!$C$16))*(A365&lt;PARAM!$B$55)</f>
        <v>0</v>
      </c>
    </row>
    <row r="366" spans="1:31" x14ac:dyDescent="0.2">
      <c r="A366" s="9">
        <v>363</v>
      </c>
      <c r="B366" s="178">
        <f t="shared" si="109"/>
        <v>61</v>
      </c>
      <c r="C366" s="178">
        <f t="shared" si="109"/>
        <v>61</v>
      </c>
      <c r="D366" s="2">
        <f>PARAM!$H$38</f>
        <v>1</v>
      </c>
      <c r="E366" s="11">
        <f>PARAM!$G$38</f>
        <v>0</v>
      </c>
      <c r="F366" s="11">
        <f>(VLOOKUP(C366,DEDN!$A$8:$O$902,$F$2)*D366+E366)/1000</f>
        <v>9.8900000000000012E-3</v>
      </c>
      <c r="G366" s="178">
        <f t="shared" si="110"/>
        <v>30</v>
      </c>
      <c r="H366" s="178">
        <f t="shared" si="110"/>
        <v>30</v>
      </c>
      <c r="I366" s="2">
        <f>PARAM!$H$39</f>
        <v>0</v>
      </c>
      <c r="J366" s="11">
        <f>PARAM!$G$39</f>
        <v>0</v>
      </c>
      <c r="K366" s="11">
        <f>(VLOOKUP(H366,DEDN!$A$8:$O$902,$K$2)*I366+J366)/1000</f>
        <v>0</v>
      </c>
      <c r="L366" s="11">
        <f>MIN(IF(PARAM!$B$43=3,CHOOSE($L$2,F366,K366),F366+K366-F366*K366),1)</f>
        <v>9.8900000000000012E-3</v>
      </c>
      <c r="M366" s="2">
        <f>PARAM!$I$38</f>
        <v>0</v>
      </c>
      <c r="N366" s="11">
        <f>VLOOKUP(B366,DEDN!$A$8:$O$90,$N$2)*M366</f>
        <v>0</v>
      </c>
      <c r="O366" s="12"/>
      <c r="P366" s="10">
        <f>PARAM!$C$53^-A366</f>
        <v>1</v>
      </c>
      <c r="Q366" s="10">
        <f t="shared" si="108"/>
        <v>0.91492519979124209</v>
      </c>
      <c r="R366" s="10">
        <f t="shared" si="107"/>
        <v>0.91492519979124209</v>
      </c>
      <c r="S366" s="10">
        <f>CHOOSE(PARAM!$B$51,R366,R366,0,0)*(A366&lt;PARAM!$B$55)</f>
        <v>0</v>
      </c>
      <c r="T366" s="10">
        <f t="shared" si="100"/>
        <v>7.5749065612784605E-4</v>
      </c>
      <c r="U366" s="10">
        <f>T366*P366*(A366&lt;PARAM!$B$55)</f>
        <v>0</v>
      </c>
      <c r="W366">
        <v>363</v>
      </c>
      <c r="X366" s="178">
        <f t="shared" si="111"/>
        <v>61</v>
      </c>
      <c r="Y366" s="178">
        <f t="shared" si="111"/>
        <v>61</v>
      </c>
      <c r="Z366" s="178">
        <f t="shared" si="111"/>
        <v>30</v>
      </c>
      <c r="AA366" s="178">
        <f t="shared" si="111"/>
        <v>30</v>
      </c>
      <c r="AD366" s="17">
        <f>CALC!E390*(A366&lt;PARAM!$B$55)</f>
        <v>0</v>
      </c>
      <c r="AE366">
        <f>IF(A366&lt;ITER!$C$16,1,PARAM!$C$53^-(RATES!A366-ITER!$C$16))*(A366&lt;PARAM!$B$55)</f>
        <v>0</v>
      </c>
    </row>
    <row r="367" spans="1:31" x14ac:dyDescent="0.2">
      <c r="A367" s="9">
        <v>364</v>
      </c>
      <c r="B367" s="178">
        <f t="shared" si="109"/>
        <v>61</v>
      </c>
      <c r="C367" s="178">
        <f t="shared" si="109"/>
        <v>61</v>
      </c>
      <c r="D367" s="2">
        <f>PARAM!$H$38</f>
        <v>1</v>
      </c>
      <c r="E367" s="11">
        <f>PARAM!$G$38</f>
        <v>0</v>
      </c>
      <c r="F367" s="11">
        <f>(VLOOKUP(C367,DEDN!$A$8:$O$902,$F$2)*D367+E367)/1000</f>
        <v>9.8900000000000012E-3</v>
      </c>
      <c r="G367" s="178">
        <f t="shared" si="110"/>
        <v>30</v>
      </c>
      <c r="H367" s="178">
        <f t="shared" si="110"/>
        <v>30</v>
      </c>
      <c r="I367" s="2">
        <f>PARAM!$H$39</f>
        <v>0</v>
      </c>
      <c r="J367" s="11">
        <f>PARAM!$G$39</f>
        <v>0</v>
      </c>
      <c r="K367" s="11">
        <f>(VLOOKUP(H367,DEDN!$A$8:$O$902,$K$2)*I367+J367)/1000</f>
        <v>0</v>
      </c>
      <c r="L367" s="11">
        <f>MIN(IF(PARAM!$B$43=3,CHOOSE($L$2,F367,K367),F367+K367-F367*K367),1)</f>
        <v>9.8900000000000012E-3</v>
      </c>
      <c r="M367" s="2">
        <f>PARAM!$I$38</f>
        <v>0</v>
      </c>
      <c r="N367" s="11">
        <f>VLOOKUP(B367,DEDN!$A$8:$O$90,$N$2)*M367</f>
        <v>0</v>
      </c>
      <c r="O367" s="12"/>
      <c r="P367" s="10">
        <f>PARAM!$C$53^-A367</f>
        <v>1</v>
      </c>
      <c r="Q367" s="10">
        <f t="shared" si="108"/>
        <v>0.91416770913511425</v>
      </c>
      <c r="R367" s="10">
        <f t="shared" si="107"/>
        <v>0.91416770913511425</v>
      </c>
      <c r="S367" s="10">
        <f>CHOOSE(PARAM!$B$51,R367,0,0,0)*(A367&lt;PARAM!$B$55)</f>
        <v>0</v>
      </c>
      <c r="T367" s="10">
        <f t="shared" si="100"/>
        <v>7.5686350967452132E-4</v>
      </c>
      <c r="U367" s="10">
        <f>T367*P367*(A367&lt;PARAM!$B$55)</f>
        <v>0</v>
      </c>
      <c r="W367">
        <v>364</v>
      </c>
      <c r="X367" s="178">
        <f t="shared" si="111"/>
        <v>61</v>
      </c>
      <c r="Y367" s="178">
        <f t="shared" si="111"/>
        <v>61</v>
      </c>
      <c r="Z367" s="178">
        <f t="shared" si="111"/>
        <v>30</v>
      </c>
      <c r="AA367" s="178">
        <f t="shared" si="111"/>
        <v>30</v>
      </c>
      <c r="AD367" s="17">
        <f>CALC!E391*(A367&lt;PARAM!$B$55)</f>
        <v>0</v>
      </c>
      <c r="AE367">
        <f>IF(A367&lt;ITER!$C$16,1,PARAM!$C$53^-(RATES!A367-ITER!$C$16))*(A367&lt;PARAM!$B$55)</f>
        <v>0</v>
      </c>
    </row>
    <row r="368" spans="1:31" x14ac:dyDescent="0.2">
      <c r="A368" s="9">
        <v>365</v>
      </c>
      <c r="B368" s="178">
        <f t="shared" si="109"/>
        <v>61</v>
      </c>
      <c r="C368" s="178">
        <f t="shared" si="109"/>
        <v>61</v>
      </c>
      <c r="D368" s="2">
        <f>PARAM!$H$38</f>
        <v>1</v>
      </c>
      <c r="E368" s="11">
        <f>PARAM!$G$38</f>
        <v>0</v>
      </c>
      <c r="F368" s="11">
        <f>(VLOOKUP(C368,DEDN!$A$8:$O$902,$F$2)*D368+E368)/1000</f>
        <v>9.8900000000000012E-3</v>
      </c>
      <c r="G368" s="178">
        <f t="shared" si="110"/>
        <v>30</v>
      </c>
      <c r="H368" s="178">
        <f t="shared" si="110"/>
        <v>30</v>
      </c>
      <c r="I368" s="2">
        <f>PARAM!$H$39</f>
        <v>0</v>
      </c>
      <c r="J368" s="11">
        <f>PARAM!$G$39</f>
        <v>0</v>
      </c>
      <c r="K368" s="11">
        <f>(VLOOKUP(H368,DEDN!$A$8:$O$902,$K$2)*I368+J368)/1000</f>
        <v>0</v>
      </c>
      <c r="L368" s="11">
        <f>MIN(IF(PARAM!$B$43=3,CHOOSE($L$2,F368,K368),F368+K368-F368*K368),1)</f>
        <v>9.8900000000000012E-3</v>
      </c>
      <c r="M368" s="2">
        <f>PARAM!$I$38</f>
        <v>0</v>
      </c>
      <c r="N368" s="11">
        <f>VLOOKUP(B368,DEDN!$A$8:$O$90,$N$2)*M368</f>
        <v>0</v>
      </c>
      <c r="O368" s="12"/>
      <c r="P368" s="10">
        <f>PARAM!$C$53^-A368</f>
        <v>1</v>
      </c>
      <c r="Q368" s="10">
        <f t="shared" si="108"/>
        <v>0.91341084562543973</v>
      </c>
      <c r="R368" s="10">
        <f t="shared" si="107"/>
        <v>0.91341084562543973</v>
      </c>
      <c r="S368" s="10">
        <f>CHOOSE(PARAM!$B$51,R368,0,0,0)*(A368&lt;PARAM!$B$55)</f>
        <v>0</v>
      </c>
      <c r="T368" s="10">
        <f t="shared" si="100"/>
        <v>7.5623688245229914E-4</v>
      </c>
      <c r="U368" s="10">
        <f>T368*P368*(A368&lt;PARAM!$B$55)</f>
        <v>0</v>
      </c>
      <c r="W368">
        <v>365</v>
      </c>
      <c r="X368" s="178">
        <f t="shared" si="111"/>
        <v>61</v>
      </c>
      <c r="Y368" s="178">
        <f t="shared" si="111"/>
        <v>61</v>
      </c>
      <c r="Z368" s="178">
        <f t="shared" si="111"/>
        <v>30</v>
      </c>
      <c r="AA368" s="178">
        <f t="shared" si="111"/>
        <v>30</v>
      </c>
      <c r="AD368" s="17">
        <f>CALC!E392*(A368&lt;PARAM!$B$55)</f>
        <v>0</v>
      </c>
      <c r="AE368">
        <f>IF(A368&lt;ITER!$C$16,1,PARAM!$C$53^-(RATES!A368-ITER!$C$16))*(A368&lt;PARAM!$B$55)</f>
        <v>0</v>
      </c>
    </row>
    <row r="369" spans="1:31" x14ac:dyDescent="0.2">
      <c r="A369" s="9">
        <v>366</v>
      </c>
      <c r="B369" s="178">
        <f t="shared" si="109"/>
        <v>62</v>
      </c>
      <c r="C369" s="178">
        <f t="shared" si="109"/>
        <v>62</v>
      </c>
      <c r="D369" s="2">
        <f>PARAM!$H$38</f>
        <v>1</v>
      </c>
      <c r="E369" s="11">
        <f>PARAM!$G$38</f>
        <v>0</v>
      </c>
      <c r="F369" s="11">
        <f>(VLOOKUP(C369,DEDN!$A$8:$O$902,$F$2)*D369+E369)/1000</f>
        <v>1.0999999999999999E-2</v>
      </c>
      <c r="G369" s="178">
        <f t="shared" si="110"/>
        <v>31</v>
      </c>
      <c r="H369" s="178">
        <f t="shared" si="110"/>
        <v>31</v>
      </c>
      <c r="I369" s="2">
        <f>PARAM!$H$39</f>
        <v>0</v>
      </c>
      <c r="J369" s="11">
        <f>PARAM!$G$39</f>
        <v>0</v>
      </c>
      <c r="K369" s="11">
        <f>(VLOOKUP(H369,DEDN!$A$8:$O$902,$K$2)*I369+J369)/1000</f>
        <v>0</v>
      </c>
      <c r="L369" s="11">
        <f>MIN(IF(PARAM!$B$43=3,CHOOSE($L$2,F369,K369),F369+K369-F369*K369),1)</f>
        <v>1.0999999999999999E-2</v>
      </c>
      <c r="M369" s="2">
        <f>PARAM!$I$38</f>
        <v>0</v>
      </c>
      <c r="N369" s="11">
        <f>VLOOKUP(B369,DEDN!$A$8:$O$90,$N$2)*M369</f>
        <v>0</v>
      </c>
      <c r="O369" s="12"/>
      <c r="P369" s="10">
        <f>PARAM!$C$53^-A369</f>
        <v>1</v>
      </c>
      <c r="Q369" s="10">
        <f t="shared" si="108"/>
        <v>0.91265460874298743</v>
      </c>
      <c r="R369" s="10">
        <f t="shared" si="107"/>
        <v>0.91265460874298743</v>
      </c>
      <c r="S369" s="10">
        <f>CHOOSE(PARAM!$B$51,R369,R369,R369,0)*(A369&lt;PARAM!$B$55)</f>
        <v>0</v>
      </c>
      <c r="T369" s="10">
        <f t="shared" si="100"/>
        <v>8.4084779863558001E-4</v>
      </c>
      <c r="U369" s="10">
        <f>T369*P369*(A369&lt;PARAM!$B$55)</f>
        <v>0</v>
      </c>
      <c r="W369">
        <v>366</v>
      </c>
      <c r="X369" s="178">
        <f t="shared" si="111"/>
        <v>62</v>
      </c>
      <c r="Y369" s="178">
        <f t="shared" si="111"/>
        <v>62</v>
      </c>
      <c r="Z369" s="178">
        <f t="shared" si="111"/>
        <v>31</v>
      </c>
      <c r="AA369" s="178">
        <f t="shared" si="111"/>
        <v>31</v>
      </c>
      <c r="AD369" s="17">
        <f>CALC!E393*(A369&lt;PARAM!$B$55)</f>
        <v>0</v>
      </c>
      <c r="AE369">
        <f>IF(A369&lt;ITER!$C$16,1,PARAM!$C$53^-(RATES!A369-ITER!$C$16))*(A369&lt;PARAM!$B$55)</f>
        <v>0</v>
      </c>
    </row>
    <row r="370" spans="1:31" x14ac:dyDescent="0.2">
      <c r="A370" s="9">
        <v>367</v>
      </c>
      <c r="B370" s="178">
        <f t="shared" si="109"/>
        <v>62</v>
      </c>
      <c r="C370" s="178">
        <f t="shared" si="109"/>
        <v>62</v>
      </c>
      <c r="D370" s="2">
        <f>PARAM!$H$38</f>
        <v>1</v>
      </c>
      <c r="E370" s="11">
        <f>PARAM!$G$38</f>
        <v>0</v>
      </c>
      <c r="F370" s="11">
        <f>(VLOOKUP(C370,DEDN!$A$8:$O$902,$F$2)*D370+E370)/1000</f>
        <v>1.0999999999999999E-2</v>
      </c>
      <c r="G370" s="178">
        <f t="shared" si="110"/>
        <v>31</v>
      </c>
      <c r="H370" s="178">
        <f t="shared" si="110"/>
        <v>31</v>
      </c>
      <c r="I370" s="2">
        <f>PARAM!$H$39</f>
        <v>0</v>
      </c>
      <c r="J370" s="11">
        <f>PARAM!$G$39</f>
        <v>0</v>
      </c>
      <c r="K370" s="11">
        <f>(VLOOKUP(H370,DEDN!$A$8:$O$902,$K$2)*I370+J370)/1000</f>
        <v>0</v>
      </c>
      <c r="L370" s="11">
        <f>MIN(IF(PARAM!$B$43=3,CHOOSE($L$2,F370,K370),F370+K370-F370*K370),1)</f>
        <v>1.0999999999999999E-2</v>
      </c>
      <c r="M370" s="2">
        <f>PARAM!$I$38</f>
        <v>0</v>
      </c>
      <c r="N370" s="11">
        <f>VLOOKUP(B370,DEDN!$A$8:$O$90,$N$2)*M370</f>
        <v>0</v>
      </c>
      <c r="O370" s="12"/>
      <c r="P370" s="10">
        <f>PARAM!$C$53^-A370</f>
        <v>1</v>
      </c>
      <c r="Q370" s="10">
        <f t="shared" si="108"/>
        <v>0.91181376094435185</v>
      </c>
      <c r="R370" s="10">
        <f t="shared" si="107"/>
        <v>0.91181376094435185</v>
      </c>
      <c r="S370" s="10">
        <f>CHOOSE(PARAM!$B$51,R370,0,0,0)*(A370&lt;PARAM!$B$55)</f>
        <v>0</v>
      </c>
      <c r="T370" s="10">
        <f t="shared" si="100"/>
        <v>8.4007310795453094E-4</v>
      </c>
      <c r="U370" s="10">
        <f>T370*P370*(A370&lt;PARAM!$B$55)</f>
        <v>0</v>
      </c>
      <c r="W370">
        <v>367</v>
      </c>
      <c r="X370" s="178">
        <f t="shared" si="111"/>
        <v>62</v>
      </c>
      <c r="Y370" s="178">
        <f t="shared" si="111"/>
        <v>62</v>
      </c>
      <c r="Z370" s="178">
        <f t="shared" si="111"/>
        <v>31</v>
      </c>
      <c r="AA370" s="178">
        <f t="shared" si="111"/>
        <v>31</v>
      </c>
      <c r="AD370" s="17">
        <f>CALC!E394*(A370&lt;PARAM!$B$55)</f>
        <v>0</v>
      </c>
      <c r="AE370">
        <f>IF(A370&lt;ITER!$C$16,1,PARAM!$C$53^-(RATES!A370-ITER!$C$16))*(A370&lt;PARAM!$B$55)</f>
        <v>0</v>
      </c>
    </row>
    <row r="371" spans="1:31" x14ac:dyDescent="0.2">
      <c r="A371" s="9">
        <v>368</v>
      </c>
      <c r="B371" s="178">
        <f t="shared" si="109"/>
        <v>62</v>
      </c>
      <c r="C371" s="178">
        <f t="shared" si="109"/>
        <v>62</v>
      </c>
      <c r="D371" s="2">
        <f>PARAM!$H$38</f>
        <v>1</v>
      </c>
      <c r="E371" s="11">
        <f>PARAM!$G$38</f>
        <v>0</v>
      </c>
      <c r="F371" s="11">
        <f>(VLOOKUP(C371,DEDN!$A$8:$O$902,$F$2)*D371+E371)/1000</f>
        <v>1.0999999999999999E-2</v>
      </c>
      <c r="G371" s="178">
        <f t="shared" si="110"/>
        <v>31</v>
      </c>
      <c r="H371" s="178">
        <f t="shared" si="110"/>
        <v>31</v>
      </c>
      <c r="I371" s="2">
        <f>PARAM!$H$39</f>
        <v>0</v>
      </c>
      <c r="J371" s="11">
        <f>PARAM!$G$39</f>
        <v>0</v>
      </c>
      <c r="K371" s="11">
        <f>(VLOOKUP(H371,DEDN!$A$8:$O$902,$K$2)*I371+J371)/1000</f>
        <v>0</v>
      </c>
      <c r="L371" s="11">
        <f>MIN(IF(PARAM!$B$43=3,CHOOSE($L$2,F371,K371),F371+K371-F371*K371),1)</f>
        <v>1.0999999999999999E-2</v>
      </c>
      <c r="M371" s="2">
        <f>PARAM!$I$38</f>
        <v>0</v>
      </c>
      <c r="N371" s="11">
        <f>VLOOKUP(B371,DEDN!$A$8:$O$90,$N$2)*M371</f>
        <v>0</v>
      </c>
      <c r="O371" s="12"/>
      <c r="P371" s="10">
        <f>PARAM!$C$53^-A371</f>
        <v>1</v>
      </c>
      <c r="Q371" s="10">
        <f t="shared" si="108"/>
        <v>0.91097368783639732</v>
      </c>
      <c r="R371" s="10">
        <f t="shared" si="107"/>
        <v>0.91097368783639732</v>
      </c>
      <c r="S371" s="10">
        <f>CHOOSE(PARAM!$B$51,R371,0,0,0)*(A371&lt;PARAM!$B$55)</f>
        <v>0</v>
      </c>
      <c r="T371" s="10">
        <f t="shared" si="100"/>
        <v>8.3929913101210563E-4</v>
      </c>
      <c r="U371" s="10">
        <f>T371*P371*(A371&lt;PARAM!$B$55)</f>
        <v>0</v>
      </c>
      <c r="W371">
        <v>368</v>
      </c>
      <c r="X371" s="178">
        <f t="shared" si="111"/>
        <v>62</v>
      </c>
      <c r="Y371" s="178">
        <f t="shared" si="111"/>
        <v>62</v>
      </c>
      <c r="Z371" s="178">
        <f t="shared" si="111"/>
        <v>31</v>
      </c>
      <c r="AA371" s="178">
        <f t="shared" si="111"/>
        <v>31</v>
      </c>
      <c r="AD371" s="17">
        <f>CALC!E395*(A371&lt;PARAM!$B$55)</f>
        <v>0</v>
      </c>
      <c r="AE371">
        <f>IF(A371&lt;ITER!$C$16,1,PARAM!$C$53^-(RATES!A371-ITER!$C$16))*(A371&lt;PARAM!$B$55)</f>
        <v>0</v>
      </c>
    </row>
    <row r="372" spans="1:31" x14ac:dyDescent="0.2">
      <c r="A372" s="9">
        <v>369</v>
      </c>
      <c r="B372" s="178">
        <f t="shared" si="109"/>
        <v>62</v>
      </c>
      <c r="C372" s="178">
        <f t="shared" si="109"/>
        <v>62</v>
      </c>
      <c r="D372" s="2">
        <f>PARAM!$H$38</f>
        <v>1</v>
      </c>
      <c r="E372" s="11">
        <f>PARAM!$G$38</f>
        <v>0</v>
      </c>
      <c r="F372" s="11">
        <f>(VLOOKUP(C372,DEDN!$A$8:$O$902,$F$2)*D372+E372)/1000</f>
        <v>1.0999999999999999E-2</v>
      </c>
      <c r="G372" s="178">
        <f t="shared" si="110"/>
        <v>31</v>
      </c>
      <c r="H372" s="178">
        <f t="shared" si="110"/>
        <v>31</v>
      </c>
      <c r="I372" s="2">
        <f>PARAM!$H$39</f>
        <v>0</v>
      </c>
      <c r="J372" s="11">
        <f>PARAM!$G$39</f>
        <v>0</v>
      </c>
      <c r="K372" s="11">
        <f>(VLOOKUP(H372,DEDN!$A$8:$O$902,$K$2)*I372+J372)/1000</f>
        <v>0</v>
      </c>
      <c r="L372" s="11">
        <f>MIN(IF(PARAM!$B$43=3,CHOOSE($L$2,F372,K372),F372+K372-F372*K372),1)</f>
        <v>1.0999999999999999E-2</v>
      </c>
      <c r="M372" s="2">
        <f>PARAM!$I$38</f>
        <v>0</v>
      </c>
      <c r="N372" s="11">
        <f>VLOOKUP(B372,DEDN!$A$8:$O$90,$N$2)*M372</f>
        <v>0</v>
      </c>
      <c r="O372" s="12"/>
      <c r="P372" s="10">
        <f>PARAM!$C$53^-A372</f>
        <v>1</v>
      </c>
      <c r="Q372" s="10">
        <f t="shared" si="108"/>
        <v>0.91013438870538521</v>
      </c>
      <c r="R372" s="10">
        <f t="shared" ref="R372:R387" si="112">P372*Q372</f>
        <v>0.91013438870538521</v>
      </c>
      <c r="S372" s="10">
        <f>CHOOSE(PARAM!$B$51,R372,R372,0,0)*(A372&lt;PARAM!$B$55)</f>
        <v>0</v>
      </c>
      <c r="T372" s="10">
        <f t="shared" si="100"/>
        <v>8.3852586715094102E-4</v>
      </c>
      <c r="U372" s="10">
        <f>T372*P372*(A372&lt;PARAM!$B$55)</f>
        <v>0</v>
      </c>
      <c r="W372">
        <v>369</v>
      </c>
      <c r="X372" s="178">
        <f t="shared" si="111"/>
        <v>62</v>
      </c>
      <c r="Y372" s="178">
        <f t="shared" si="111"/>
        <v>62</v>
      </c>
      <c r="Z372" s="178">
        <f t="shared" si="111"/>
        <v>31</v>
      </c>
      <c r="AA372" s="178">
        <f t="shared" si="111"/>
        <v>31</v>
      </c>
      <c r="AD372" s="17">
        <f>CALC!E396*(A372&lt;PARAM!$B$55)</f>
        <v>0</v>
      </c>
      <c r="AE372">
        <f>IF(A372&lt;ITER!$C$16,1,PARAM!$C$53^-(RATES!A372-ITER!$C$16))*(A372&lt;PARAM!$B$55)</f>
        <v>0</v>
      </c>
    </row>
    <row r="373" spans="1:31" x14ac:dyDescent="0.2">
      <c r="A373" s="9">
        <v>370</v>
      </c>
      <c r="B373" s="178">
        <f t="shared" si="109"/>
        <v>62</v>
      </c>
      <c r="C373" s="178">
        <f t="shared" si="109"/>
        <v>62</v>
      </c>
      <c r="D373" s="2">
        <f>PARAM!$H$38</f>
        <v>1</v>
      </c>
      <c r="E373" s="11">
        <f>PARAM!$G$38</f>
        <v>0</v>
      </c>
      <c r="F373" s="11">
        <f>(VLOOKUP(C373,DEDN!$A$8:$O$902,$F$2)*D373+E373)/1000</f>
        <v>1.0999999999999999E-2</v>
      </c>
      <c r="G373" s="178">
        <f t="shared" si="110"/>
        <v>31</v>
      </c>
      <c r="H373" s="178">
        <f t="shared" si="110"/>
        <v>31</v>
      </c>
      <c r="I373" s="2">
        <f>PARAM!$H$39</f>
        <v>0</v>
      </c>
      <c r="J373" s="11">
        <f>PARAM!$G$39</f>
        <v>0</v>
      </c>
      <c r="K373" s="11">
        <f>(VLOOKUP(H373,DEDN!$A$8:$O$902,$K$2)*I373+J373)/1000</f>
        <v>0</v>
      </c>
      <c r="L373" s="11">
        <f>MIN(IF(PARAM!$B$43=3,CHOOSE($L$2,F373,K373),F373+K373-F373*K373),1)</f>
        <v>1.0999999999999999E-2</v>
      </c>
      <c r="M373" s="2">
        <f>PARAM!$I$38</f>
        <v>0</v>
      </c>
      <c r="N373" s="11">
        <f>VLOOKUP(B373,DEDN!$A$8:$O$90,$N$2)*M373</f>
        <v>0</v>
      </c>
      <c r="O373" s="12"/>
      <c r="P373" s="10">
        <f>PARAM!$C$53^-A373</f>
        <v>1</v>
      </c>
      <c r="Q373" s="10">
        <f t="shared" ref="Q373:Q388" si="113">Q372*(1-L372)^(1/12)</f>
        <v>0.90929586283823427</v>
      </c>
      <c r="R373" s="10">
        <f t="shared" si="112"/>
        <v>0.90929586283823427</v>
      </c>
      <c r="S373" s="10">
        <f>CHOOSE(PARAM!$B$51,R373,0,0,0)*(A373&lt;PARAM!$B$55)</f>
        <v>0</v>
      </c>
      <c r="T373" s="10">
        <f t="shared" si="100"/>
        <v>8.3775331571389611E-4</v>
      </c>
      <c r="U373" s="10">
        <f>T373*P373*(A373&lt;PARAM!$B$55)</f>
        <v>0</v>
      </c>
      <c r="W373">
        <v>370</v>
      </c>
      <c r="X373" s="178">
        <f t="shared" si="111"/>
        <v>62</v>
      </c>
      <c r="Y373" s="178">
        <f t="shared" si="111"/>
        <v>62</v>
      </c>
      <c r="Z373" s="178">
        <f t="shared" si="111"/>
        <v>31</v>
      </c>
      <c r="AA373" s="178">
        <f t="shared" si="111"/>
        <v>31</v>
      </c>
      <c r="AD373" s="17">
        <f>CALC!E397*(A373&lt;PARAM!$B$55)</f>
        <v>0</v>
      </c>
      <c r="AE373">
        <f>IF(A373&lt;ITER!$C$16,1,PARAM!$C$53^-(RATES!A373-ITER!$C$16))*(A373&lt;PARAM!$B$55)</f>
        <v>0</v>
      </c>
    </row>
    <row r="374" spans="1:31" x14ac:dyDescent="0.2">
      <c r="A374" s="9">
        <v>371</v>
      </c>
      <c r="B374" s="178">
        <f t="shared" si="109"/>
        <v>62</v>
      </c>
      <c r="C374" s="178">
        <f t="shared" si="109"/>
        <v>62</v>
      </c>
      <c r="D374" s="2">
        <f>PARAM!$H$38</f>
        <v>1</v>
      </c>
      <c r="E374" s="11">
        <f>PARAM!$G$38</f>
        <v>0</v>
      </c>
      <c r="F374" s="11">
        <f>(VLOOKUP(C374,DEDN!$A$8:$O$902,$F$2)*D374+E374)/1000</f>
        <v>1.0999999999999999E-2</v>
      </c>
      <c r="G374" s="178">
        <f t="shared" si="110"/>
        <v>31</v>
      </c>
      <c r="H374" s="178">
        <f t="shared" si="110"/>
        <v>31</v>
      </c>
      <c r="I374" s="2">
        <f>PARAM!$H$39</f>
        <v>0</v>
      </c>
      <c r="J374" s="11">
        <f>PARAM!$G$39</f>
        <v>0</v>
      </c>
      <c r="K374" s="11">
        <f>(VLOOKUP(H374,DEDN!$A$8:$O$902,$K$2)*I374+J374)/1000</f>
        <v>0</v>
      </c>
      <c r="L374" s="11">
        <f>MIN(IF(PARAM!$B$43=3,CHOOSE($L$2,F374,K374),F374+K374-F374*K374),1)</f>
        <v>1.0999999999999999E-2</v>
      </c>
      <c r="M374" s="2">
        <f>PARAM!$I$38</f>
        <v>0</v>
      </c>
      <c r="N374" s="11">
        <f>VLOOKUP(B374,DEDN!$A$8:$O$90,$N$2)*M374</f>
        <v>0</v>
      </c>
      <c r="O374" s="12"/>
      <c r="P374" s="10">
        <f>PARAM!$C$53^-A374</f>
        <v>1</v>
      </c>
      <c r="Q374" s="10">
        <f t="shared" si="113"/>
        <v>0.90845810952252037</v>
      </c>
      <c r="R374" s="10">
        <f t="shared" si="112"/>
        <v>0.90845810952252037</v>
      </c>
      <c r="S374" s="10">
        <f>CHOOSE(PARAM!$B$51,R374,0,0,0)*(A374&lt;PARAM!$B$55)</f>
        <v>0</v>
      </c>
      <c r="T374" s="10">
        <f t="shared" si="100"/>
        <v>8.3698147604471806E-4</v>
      </c>
      <c r="U374" s="10">
        <f>T374*P374*(A374&lt;PARAM!$B$55)</f>
        <v>0</v>
      </c>
      <c r="W374">
        <v>371</v>
      </c>
      <c r="X374" s="178">
        <f t="shared" si="111"/>
        <v>62</v>
      </c>
      <c r="Y374" s="178">
        <f t="shared" si="111"/>
        <v>62</v>
      </c>
      <c r="Z374" s="178">
        <f t="shared" si="111"/>
        <v>31</v>
      </c>
      <c r="AA374" s="178">
        <f t="shared" si="111"/>
        <v>31</v>
      </c>
      <c r="AD374" s="17">
        <f>CALC!E398*(A374&lt;PARAM!$B$55)</f>
        <v>0</v>
      </c>
      <c r="AE374">
        <f>IF(A374&lt;ITER!$C$16,1,PARAM!$C$53^-(RATES!A374-ITER!$C$16))*(A374&lt;PARAM!$B$55)</f>
        <v>0</v>
      </c>
    </row>
    <row r="375" spans="1:31" x14ac:dyDescent="0.2">
      <c r="A375" s="9">
        <v>372</v>
      </c>
      <c r="B375" s="178">
        <f t="shared" si="109"/>
        <v>62</v>
      </c>
      <c r="C375" s="178">
        <f t="shared" si="109"/>
        <v>62</v>
      </c>
      <c r="D375" s="2">
        <f>PARAM!$H$38</f>
        <v>1</v>
      </c>
      <c r="E375" s="11">
        <f>PARAM!$G$38</f>
        <v>0</v>
      </c>
      <c r="F375" s="11">
        <f>(VLOOKUP(C375,DEDN!$A$8:$O$902,$F$2)*D375+E375)/1000</f>
        <v>1.0999999999999999E-2</v>
      </c>
      <c r="G375" s="178">
        <f t="shared" si="110"/>
        <v>31</v>
      </c>
      <c r="H375" s="178">
        <f t="shared" si="110"/>
        <v>31</v>
      </c>
      <c r="I375" s="2">
        <f>PARAM!$H$39</f>
        <v>0</v>
      </c>
      <c r="J375" s="11">
        <f>PARAM!$G$39</f>
        <v>0</v>
      </c>
      <c r="K375" s="11">
        <f>(VLOOKUP(H375,DEDN!$A$8:$O$902,$K$2)*I375+J375)/1000</f>
        <v>0</v>
      </c>
      <c r="L375" s="11">
        <f>MIN(IF(PARAM!$B$43=3,CHOOSE($L$2,F375,K375),F375+K375-F375*K375),1)</f>
        <v>1.0999999999999999E-2</v>
      </c>
      <c r="M375" s="2">
        <f>PARAM!$I$38</f>
        <v>0</v>
      </c>
      <c r="N375" s="11">
        <f>VLOOKUP(B375,DEDN!$A$8:$O$90,$N$2)*M375</f>
        <v>0</v>
      </c>
      <c r="O375" s="12"/>
      <c r="P375" s="10">
        <f>PARAM!$C$53^-A375</f>
        <v>1</v>
      </c>
      <c r="Q375" s="10">
        <f t="shared" si="113"/>
        <v>0.90762112804647566</v>
      </c>
      <c r="R375" s="10">
        <f t="shared" si="112"/>
        <v>0.90762112804647566</v>
      </c>
      <c r="S375" s="10">
        <f>R375*(A375&lt;PARAM!$B$55)</f>
        <v>0</v>
      </c>
      <c r="T375" s="10">
        <f t="shared" si="100"/>
        <v>8.3621034748748713E-4</v>
      </c>
      <c r="U375" s="10">
        <f>T375*P375*(A375&lt;PARAM!$B$55)</f>
        <v>0</v>
      </c>
      <c r="W375">
        <v>372</v>
      </c>
      <c r="X375" s="178">
        <f t="shared" si="111"/>
        <v>62</v>
      </c>
      <c r="Y375" s="178">
        <f t="shared" si="111"/>
        <v>62</v>
      </c>
      <c r="Z375" s="178">
        <f t="shared" si="111"/>
        <v>31</v>
      </c>
      <c r="AA375" s="178">
        <f t="shared" si="111"/>
        <v>31</v>
      </c>
      <c r="AD375" s="17">
        <f>CALC!E399*(A375&lt;PARAM!$B$55)</f>
        <v>0</v>
      </c>
      <c r="AE375">
        <f>IF(A375&lt;ITER!$C$16,1,PARAM!$C$53^-(RATES!A375-ITER!$C$16))*(A375&lt;PARAM!$B$55)</f>
        <v>0</v>
      </c>
    </row>
    <row r="376" spans="1:31" x14ac:dyDescent="0.2">
      <c r="A376" s="9">
        <v>373</v>
      </c>
      <c r="B376" s="178">
        <f t="shared" si="109"/>
        <v>62</v>
      </c>
      <c r="C376" s="178">
        <f t="shared" si="109"/>
        <v>62</v>
      </c>
      <c r="D376" s="2">
        <f>PARAM!$H$38</f>
        <v>1</v>
      </c>
      <c r="E376" s="11">
        <f>PARAM!$G$38</f>
        <v>0</v>
      </c>
      <c r="F376" s="11">
        <f>(VLOOKUP(C376,DEDN!$A$8:$O$902,$F$2)*D376+E376)/1000</f>
        <v>1.0999999999999999E-2</v>
      </c>
      <c r="G376" s="178">
        <f t="shared" si="110"/>
        <v>31</v>
      </c>
      <c r="H376" s="178">
        <f t="shared" si="110"/>
        <v>31</v>
      </c>
      <c r="I376" s="2">
        <f>PARAM!$H$39</f>
        <v>0</v>
      </c>
      <c r="J376" s="11">
        <f>PARAM!$G$39</f>
        <v>0</v>
      </c>
      <c r="K376" s="11">
        <f>(VLOOKUP(H376,DEDN!$A$8:$O$902,$K$2)*I376+J376)/1000</f>
        <v>0</v>
      </c>
      <c r="L376" s="11">
        <f>MIN(IF(PARAM!$B$43=3,CHOOSE($L$2,F376,K376),F376+K376-F376*K376),1)</f>
        <v>1.0999999999999999E-2</v>
      </c>
      <c r="M376" s="2">
        <f>PARAM!$I$38</f>
        <v>0</v>
      </c>
      <c r="N376" s="11">
        <f>VLOOKUP(B376,DEDN!$A$8:$O$90,$N$2)*M376</f>
        <v>0</v>
      </c>
      <c r="O376" s="12"/>
      <c r="P376" s="10">
        <f>PARAM!$C$53^-A376</f>
        <v>1</v>
      </c>
      <c r="Q376" s="10">
        <f t="shared" si="113"/>
        <v>0.90678491769898817</v>
      </c>
      <c r="R376" s="10">
        <f t="shared" si="112"/>
        <v>0.90678491769898817</v>
      </c>
      <c r="S376" s="10">
        <f>CHOOSE(PARAM!$B$51,R376,0,0,0)*(A376&lt;PARAM!$B$55)</f>
        <v>0</v>
      </c>
      <c r="T376" s="10">
        <f t="shared" si="100"/>
        <v>8.3543992938717171E-4</v>
      </c>
      <c r="U376" s="10">
        <f>T376*P376*(A376&lt;PARAM!$B$55)</f>
        <v>0</v>
      </c>
      <c r="W376">
        <v>373</v>
      </c>
      <c r="X376" s="178">
        <f t="shared" si="111"/>
        <v>62</v>
      </c>
      <c r="Y376" s="178">
        <f t="shared" si="111"/>
        <v>62</v>
      </c>
      <c r="Z376" s="178">
        <f t="shared" si="111"/>
        <v>31</v>
      </c>
      <c r="AA376" s="178">
        <f t="shared" si="111"/>
        <v>31</v>
      </c>
      <c r="AD376" s="17">
        <f>CALC!E400*(A376&lt;PARAM!$B$55)</f>
        <v>0</v>
      </c>
      <c r="AE376">
        <f>IF(A376&lt;ITER!$C$16,1,PARAM!$C$53^-(RATES!A376-ITER!$C$16))*(A376&lt;PARAM!$B$55)</f>
        <v>0</v>
      </c>
    </row>
    <row r="377" spans="1:31" x14ac:dyDescent="0.2">
      <c r="A377" s="9">
        <v>374</v>
      </c>
      <c r="B377" s="178">
        <f t="shared" si="109"/>
        <v>62</v>
      </c>
      <c r="C377" s="178">
        <f t="shared" si="109"/>
        <v>62</v>
      </c>
      <c r="D377" s="2">
        <f>PARAM!$H$38</f>
        <v>1</v>
      </c>
      <c r="E377" s="11">
        <f>PARAM!$G$38</f>
        <v>0</v>
      </c>
      <c r="F377" s="11">
        <f>(VLOOKUP(C377,DEDN!$A$8:$O$902,$F$2)*D377+E377)/1000</f>
        <v>1.0999999999999999E-2</v>
      </c>
      <c r="G377" s="178">
        <f t="shared" si="110"/>
        <v>31</v>
      </c>
      <c r="H377" s="178">
        <f t="shared" si="110"/>
        <v>31</v>
      </c>
      <c r="I377" s="2">
        <f>PARAM!$H$39</f>
        <v>0</v>
      </c>
      <c r="J377" s="11">
        <f>PARAM!$G$39</f>
        <v>0</v>
      </c>
      <c r="K377" s="11">
        <f>(VLOOKUP(H377,DEDN!$A$8:$O$902,$K$2)*I377+J377)/1000</f>
        <v>0</v>
      </c>
      <c r="L377" s="11">
        <f>MIN(IF(PARAM!$B$43=3,CHOOSE($L$2,F377,K377),F377+K377-F377*K377),1)</f>
        <v>1.0999999999999999E-2</v>
      </c>
      <c r="M377" s="2">
        <f>PARAM!$I$38</f>
        <v>0</v>
      </c>
      <c r="N377" s="11">
        <f>VLOOKUP(B377,DEDN!$A$8:$O$90,$N$2)*M377</f>
        <v>0</v>
      </c>
      <c r="O377" s="12"/>
      <c r="P377" s="10">
        <f>PARAM!$C$53^-A377</f>
        <v>1</v>
      </c>
      <c r="Q377" s="10">
        <f t="shared" si="113"/>
        <v>0.905949477769601</v>
      </c>
      <c r="R377" s="10">
        <f t="shared" si="112"/>
        <v>0.905949477769601</v>
      </c>
      <c r="S377" s="10">
        <f>CHOOSE(PARAM!$B$51,R377,0,0,0)*(A377&lt;PARAM!$B$55)</f>
        <v>0</v>
      </c>
      <c r="T377" s="10">
        <f t="shared" si="100"/>
        <v>8.3467022108929534E-4</v>
      </c>
      <c r="U377" s="10">
        <f>T377*P377*(A377&lt;PARAM!$B$55)</f>
        <v>0</v>
      </c>
      <c r="W377">
        <v>374</v>
      </c>
      <c r="X377" s="178">
        <f t="shared" si="111"/>
        <v>62</v>
      </c>
      <c r="Y377" s="178">
        <f t="shared" si="111"/>
        <v>62</v>
      </c>
      <c r="Z377" s="178">
        <f t="shared" si="111"/>
        <v>31</v>
      </c>
      <c r="AA377" s="178">
        <f t="shared" si="111"/>
        <v>31</v>
      </c>
      <c r="AD377" s="17">
        <f>CALC!E401*(A377&lt;PARAM!$B$55)</f>
        <v>0</v>
      </c>
      <c r="AE377">
        <f>IF(A377&lt;ITER!$C$16,1,PARAM!$C$53^-(RATES!A377-ITER!$C$16))*(A377&lt;PARAM!$B$55)</f>
        <v>0</v>
      </c>
    </row>
    <row r="378" spans="1:31" x14ac:dyDescent="0.2">
      <c r="A378" s="9">
        <v>375</v>
      </c>
      <c r="B378" s="178">
        <f t="shared" si="109"/>
        <v>62</v>
      </c>
      <c r="C378" s="178">
        <f t="shared" si="109"/>
        <v>62</v>
      </c>
      <c r="D378" s="2">
        <f>PARAM!$H$38</f>
        <v>1</v>
      </c>
      <c r="E378" s="11">
        <f>PARAM!$G$38</f>
        <v>0</v>
      </c>
      <c r="F378" s="11">
        <f>(VLOOKUP(C378,DEDN!$A$8:$O$902,$F$2)*D378+E378)/1000</f>
        <v>1.0999999999999999E-2</v>
      </c>
      <c r="G378" s="178">
        <f t="shared" si="110"/>
        <v>31</v>
      </c>
      <c r="H378" s="178">
        <f t="shared" si="110"/>
        <v>31</v>
      </c>
      <c r="I378" s="2">
        <f>PARAM!$H$39</f>
        <v>0</v>
      </c>
      <c r="J378" s="11">
        <f>PARAM!$G$39</f>
        <v>0</v>
      </c>
      <c r="K378" s="11">
        <f>(VLOOKUP(H378,DEDN!$A$8:$O$902,$K$2)*I378+J378)/1000</f>
        <v>0</v>
      </c>
      <c r="L378" s="11">
        <f>MIN(IF(PARAM!$B$43=3,CHOOSE($L$2,F378,K378),F378+K378-F378*K378),1)</f>
        <v>1.0999999999999999E-2</v>
      </c>
      <c r="M378" s="2">
        <f>PARAM!$I$38</f>
        <v>0</v>
      </c>
      <c r="N378" s="11">
        <f>VLOOKUP(B378,DEDN!$A$8:$O$90,$N$2)*M378</f>
        <v>0</v>
      </c>
      <c r="O378" s="12"/>
      <c r="P378" s="10">
        <f>PARAM!$C$53^-A378</f>
        <v>1</v>
      </c>
      <c r="Q378" s="10">
        <f t="shared" si="113"/>
        <v>0.9051148075485117</v>
      </c>
      <c r="R378" s="10">
        <f t="shared" si="112"/>
        <v>0.9051148075485117</v>
      </c>
      <c r="S378" s="10">
        <f>CHOOSE(PARAM!$B$51,R378,R378,0,0)*(A378&lt;PARAM!$B$55)</f>
        <v>0</v>
      </c>
      <c r="T378" s="10">
        <f t="shared" si="100"/>
        <v>8.3390122193971461E-4</v>
      </c>
      <c r="U378" s="10">
        <f>T378*P378*(A378&lt;PARAM!$B$55)</f>
        <v>0</v>
      </c>
      <c r="W378">
        <v>375</v>
      </c>
      <c r="X378" s="178">
        <f t="shared" si="111"/>
        <v>62</v>
      </c>
      <c r="Y378" s="178">
        <f t="shared" si="111"/>
        <v>62</v>
      </c>
      <c r="Z378" s="178">
        <f t="shared" si="111"/>
        <v>31</v>
      </c>
      <c r="AA378" s="178">
        <f t="shared" si="111"/>
        <v>31</v>
      </c>
      <c r="AD378" s="17">
        <f>CALC!E402*(A378&lt;PARAM!$B$55)</f>
        <v>0</v>
      </c>
      <c r="AE378">
        <f>IF(A378&lt;ITER!$C$16,1,PARAM!$C$53^-(RATES!A378-ITER!$C$16))*(A378&lt;PARAM!$B$55)</f>
        <v>0</v>
      </c>
    </row>
    <row r="379" spans="1:31" x14ac:dyDescent="0.2">
      <c r="A379" s="9">
        <v>376</v>
      </c>
      <c r="B379" s="178">
        <f t="shared" si="109"/>
        <v>62</v>
      </c>
      <c r="C379" s="178">
        <f t="shared" si="109"/>
        <v>62</v>
      </c>
      <c r="D379" s="2">
        <f>PARAM!$H$38</f>
        <v>1</v>
      </c>
      <c r="E379" s="11">
        <f>PARAM!$G$38</f>
        <v>0</v>
      </c>
      <c r="F379" s="11">
        <f>(VLOOKUP(C379,DEDN!$A$8:$O$902,$F$2)*D379+E379)/1000</f>
        <v>1.0999999999999999E-2</v>
      </c>
      <c r="G379" s="178">
        <f t="shared" si="110"/>
        <v>31</v>
      </c>
      <c r="H379" s="178">
        <f t="shared" si="110"/>
        <v>31</v>
      </c>
      <c r="I379" s="2">
        <f>PARAM!$H$39</f>
        <v>0</v>
      </c>
      <c r="J379" s="11">
        <f>PARAM!$G$39</f>
        <v>0</v>
      </c>
      <c r="K379" s="11">
        <f>(VLOOKUP(H379,DEDN!$A$8:$O$902,$K$2)*I379+J379)/1000</f>
        <v>0</v>
      </c>
      <c r="L379" s="11">
        <f>MIN(IF(PARAM!$B$43=3,CHOOSE($L$2,F379,K379),F379+K379-F379*K379),1)</f>
        <v>1.0999999999999999E-2</v>
      </c>
      <c r="M379" s="2">
        <f>PARAM!$I$38</f>
        <v>0</v>
      </c>
      <c r="N379" s="11">
        <f>VLOOKUP(B379,DEDN!$A$8:$O$90,$N$2)*M379</f>
        <v>0</v>
      </c>
      <c r="O379" s="12"/>
      <c r="P379" s="10">
        <f>PARAM!$C$53^-A379</f>
        <v>1</v>
      </c>
      <c r="Q379" s="10">
        <f t="shared" si="113"/>
        <v>0.90428090632657199</v>
      </c>
      <c r="R379" s="10">
        <f t="shared" si="112"/>
        <v>0.90428090632657199</v>
      </c>
      <c r="S379" s="10">
        <f>CHOOSE(PARAM!$B$51,R379,0,0,0)*(A379&lt;PARAM!$B$55)</f>
        <v>0</v>
      </c>
      <c r="T379" s="10">
        <f t="shared" si="100"/>
        <v>8.3313293128506327E-4</v>
      </c>
      <c r="U379" s="10">
        <f>T379*P379*(A379&lt;PARAM!$B$55)</f>
        <v>0</v>
      </c>
      <c r="W379">
        <v>376</v>
      </c>
      <c r="X379" s="178">
        <f t="shared" si="111"/>
        <v>62</v>
      </c>
      <c r="Y379" s="178">
        <f t="shared" si="111"/>
        <v>62</v>
      </c>
      <c r="Z379" s="178">
        <f t="shared" si="111"/>
        <v>31</v>
      </c>
      <c r="AA379" s="178">
        <f t="shared" si="111"/>
        <v>31</v>
      </c>
      <c r="AD379" s="17">
        <f>CALC!E403*(A379&lt;PARAM!$B$55)</f>
        <v>0</v>
      </c>
      <c r="AE379">
        <f>IF(A379&lt;ITER!$C$16,1,PARAM!$C$53^-(RATES!A379-ITER!$C$16))*(A379&lt;PARAM!$B$55)</f>
        <v>0</v>
      </c>
    </row>
    <row r="380" spans="1:31" x14ac:dyDescent="0.2">
      <c r="A380" s="9">
        <v>377</v>
      </c>
      <c r="B380" s="178">
        <f t="shared" si="109"/>
        <v>62</v>
      </c>
      <c r="C380" s="178">
        <f t="shared" si="109"/>
        <v>62</v>
      </c>
      <c r="D380" s="2">
        <f>PARAM!$H$38</f>
        <v>1</v>
      </c>
      <c r="E380" s="11">
        <f>PARAM!$G$38</f>
        <v>0</v>
      </c>
      <c r="F380" s="11">
        <f>(VLOOKUP(C380,DEDN!$A$8:$O$902,$F$2)*D380+E380)/1000</f>
        <v>1.0999999999999999E-2</v>
      </c>
      <c r="G380" s="178">
        <f t="shared" si="110"/>
        <v>31</v>
      </c>
      <c r="H380" s="178">
        <f t="shared" si="110"/>
        <v>31</v>
      </c>
      <c r="I380" s="2">
        <f>PARAM!$H$39</f>
        <v>0</v>
      </c>
      <c r="J380" s="11">
        <f>PARAM!$G$39</f>
        <v>0</v>
      </c>
      <c r="K380" s="11">
        <f>(VLOOKUP(H380,DEDN!$A$8:$O$902,$K$2)*I380+J380)/1000</f>
        <v>0</v>
      </c>
      <c r="L380" s="11">
        <f>MIN(IF(PARAM!$B$43=3,CHOOSE($L$2,F380,K380),F380+K380-F380*K380),1)</f>
        <v>1.0999999999999999E-2</v>
      </c>
      <c r="M380" s="2">
        <f>PARAM!$I$38</f>
        <v>0</v>
      </c>
      <c r="N380" s="11">
        <f>VLOOKUP(B380,DEDN!$A$8:$O$90,$N$2)*M380</f>
        <v>0</v>
      </c>
      <c r="O380" s="12"/>
      <c r="P380" s="10">
        <f>PARAM!$C$53^-A380</f>
        <v>1</v>
      </c>
      <c r="Q380" s="10">
        <f t="shared" si="113"/>
        <v>0.90344777339528692</v>
      </c>
      <c r="R380" s="10">
        <f t="shared" si="112"/>
        <v>0.90344777339528692</v>
      </c>
      <c r="S380" s="10">
        <f>CHOOSE(PARAM!$B$51,R380,0,0,0)*(A380&lt;PARAM!$B$55)</f>
        <v>0</v>
      </c>
      <c r="T380" s="10">
        <f t="shared" si="100"/>
        <v>8.3236534847275223E-4</v>
      </c>
      <c r="U380" s="10">
        <f>T380*P380*(A380&lt;PARAM!$B$55)</f>
        <v>0</v>
      </c>
      <c r="W380">
        <v>377</v>
      </c>
      <c r="X380" s="178">
        <f t="shared" si="111"/>
        <v>62</v>
      </c>
      <c r="Y380" s="178">
        <f t="shared" si="111"/>
        <v>62</v>
      </c>
      <c r="Z380" s="178">
        <f t="shared" si="111"/>
        <v>31</v>
      </c>
      <c r="AA380" s="178">
        <f t="shared" si="111"/>
        <v>31</v>
      </c>
      <c r="AD380" s="17">
        <f>CALC!E404*(A380&lt;PARAM!$B$55)</f>
        <v>0</v>
      </c>
      <c r="AE380">
        <f>IF(A380&lt;ITER!$C$16,1,PARAM!$C$53^-(RATES!A380-ITER!$C$16))*(A380&lt;PARAM!$B$55)</f>
        <v>0</v>
      </c>
    </row>
    <row r="381" spans="1:31" x14ac:dyDescent="0.2">
      <c r="A381" s="9">
        <v>378</v>
      </c>
      <c r="B381" s="178">
        <f t="shared" ref="B381:C400" si="114">B369+1</f>
        <v>63</v>
      </c>
      <c r="C381" s="178">
        <f t="shared" si="114"/>
        <v>63</v>
      </c>
      <c r="D381" s="2">
        <f>PARAM!$H$38</f>
        <v>1</v>
      </c>
      <c r="E381" s="11">
        <f>PARAM!$G$38</f>
        <v>0</v>
      </c>
      <c r="F381" s="11">
        <f>(VLOOKUP(C381,DEDN!$A$8:$O$902,$F$2)*D381+E381)/1000</f>
        <v>1.2230000000000001E-2</v>
      </c>
      <c r="G381" s="178">
        <f t="shared" ref="G381:H400" si="115">G369+1</f>
        <v>32</v>
      </c>
      <c r="H381" s="178">
        <f t="shared" si="115"/>
        <v>32</v>
      </c>
      <c r="I381" s="2">
        <f>PARAM!$H$39</f>
        <v>0</v>
      </c>
      <c r="J381" s="11">
        <f>PARAM!$G$39</f>
        <v>0</v>
      </c>
      <c r="K381" s="11">
        <f>(VLOOKUP(H381,DEDN!$A$8:$O$902,$K$2)*I381+J381)/1000</f>
        <v>0</v>
      </c>
      <c r="L381" s="11">
        <f>MIN(IF(PARAM!$B$43=3,CHOOSE($L$2,F381,K381),F381+K381-F381*K381),1)</f>
        <v>1.2230000000000001E-2</v>
      </c>
      <c r="M381" s="2">
        <f>PARAM!$I$38</f>
        <v>0</v>
      </c>
      <c r="N381" s="11">
        <f>VLOOKUP(B381,DEDN!$A$8:$O$90,$N$2)*M381</f>
        <v>0</v>
      </c>
      <c r="O381" s="12"/>
      <c r="P381" s="10">
        <f>PARAM!$C$53^-A381</f>
        <v>1</v>
      </c>
      <c r="Q381" s="10">
        <f t="shared" si="113"/>
        <v>0.90261540804681417</v>
      </c>
      <c r="R381" s="10">
        <f t="shared" si="112"/>
        <v>0.90261540804681417</v>
      </c>
      <c r="S381" s="10">
        <f>CHOOSE(PARAM!$B$51,R381,R381,R381,0)*(A381&lt;PARAM!$B$55)</f>
        <v>0</v>
      </c>
      <c r="T381" s="10">
        <f t="shared" si="100"/>
        <v>9.2511270032546999E-4</v>
      </c>
      <c r="U381" s="10">
        <f>T381*P381*(A381&lt;PARAM!$B$55)</f>
        <v>0</v>
      </c>
      <c r="W381">
        <v>378</v>
      </c>
      <c r="X381" s="178">
        <f t="shared" ref="X381:AA400" si="116">X369+1</f>
        <v>63</v>
      </c>
      <c r="Y381" s="178">
        <f t="shared" si="116"/>
        <v>63</v>
      </c>
      <c r="Z381" s="178">
        <f t="shared" si="116"/>
        <v>32</v>
      </c>
      <c r="AA381" s="178">
        <f t="shared" si="116"/>
        <v>32</v>
      </c>
      <c r="AD381" s="17">
        <f>CALC!E405*(A381&lt;PARAM!$B$55)</f>
        <v>0</v>
      </c>
      <c r="AE381">
        <f>IF(A381&lt;ITER!$C$16,1,PARAM!$C$53^-(RATES!A381-ITER!$C$16))*(A381&lt;PARAM!$B$55)</f>
        <v>0</v>
      </c>
    </row>
    <row r="382" spans="1:31" x14ac:dyDescent="0.2">
      <c r="A382" s="9">
        <v>379</v>
      </c>
      <c r="B382" s="178">
        <f t="shared" si="114"/>
        <v>63</v>
      </c>
      <c r="C382" s="178">
        <f t="shared" si="114"/>
        <v>63</v>
      </c>
      <c r="D382" s="2">
        <f>PARAM!$H$38</f>
        <v>1</v>
      </c>
      <c r="E382" s="11">
        <f>PARAM!$G$38</f>
        <v>0</v>
      </c>
      <c r="F382" s="11">
        <f>(VLOOKUP(C382,DEDN!$A$8:$O$902,$F$2)*D382+E382)/1000</f>
        <v>1.2230000000000001E-2</v>
      </c>
      <c r="G382" s="178">
        <f t="shared" si="115"/>
        <v>32</v>
      </c>
      <c r="H382" s="178">
        <f t="shared" si="115"/>
        <v>32</v>
      </c>
      <c r="I382" s="2">
        <f>PARAM!$H$39</f>
        <v>0</v>
      </c>
      <c r="J382" s="11">
        <f>PARAM!$G$39</f>
        <v>0</v>
      </c>
      <c r="K382" s="11">
        <f>(VLOOKUP(H382,DEDN!$A$8:$O$902,$K$2)*I382+J382)/1000</f>
        <v>0</v>
      </c>
      <c r="L382" s="11">
        <f>MIN(IF(PARAM!$B$43=3,CHOOSE($L$2,F382,K382),F382+K382-F382*K382),1)</f>
        <v>1.2230000000000001E-2</v>
      </c>
      <c r="M382" s="2">
        <f>PARAM!$I$38</f>
        <v>0</v>
      </c>
      <c r="N382" s="11">
        <f>VLOOKUP(B382,DEDN!$A$8:$O$90,$N$2)*M382</f>
        <v>0</v>
      </c>
      <c r="O382" s="12"/>
      <c r="P382" s="10">
        <f>PARAM!$C$53^-A382</f>
        <v>1</v>
      </c>
      <c r="Q382" s="10">
        <f t="shared" si="113"/>
        <v>0.9016902953464887</v>
      </c>
      <c r="R382" s="10">
        <f t="shared" si="112"/>
        <v>0.9016902953464887</v>
      </c>
      <c r="S382" s="10">
        <f>CHOOSE(PARAM!$B$51,R382,0,0,0)*(A382&lt;PARAM!$B$55)</f>
        <v>0</v>
      </c>
      <c r="T382" s="10">
        <f t="shared" si="100"/>
        <v>9.2416452959775963E-4</v>
      </c>
      <c r="U382" s="10">
        <f>T382*P382*(A382&lt;PARAM!$B$55)</f>
        <v>0</v>
      </c>
      <c r="W382">
        <v>379</v>
      </c>
      <c r="X382" s="178">
        <f t="shared" si="116"/>
        <v>63</v>
      </c>
      <c r="Y382" s="178">
        <f t="shared" si="116"/>
        <v>63</v>
      </c>
      <c r="Z382" s="178">
        <f t="shared" si="116"/>
        <v>32</v>
      </c>
      <c r="AA382" s="178">
        <f t="shared" si="116"/>
        <v>32</v>
      </c>
      <c r="AD382" s="17">
        <f>CALC!E406*(A382&lt;PARAM!$B$55)</f>
        <v>0</v>
      </c>
      <c r="AE382">
        <f>IF(A382&lt;ITER!$C$16,1,PARAM!$C$53^-(RATES!A382-ITER!$C$16))*(A382&lt;PARAM!$B$55)</f>
        <v>0</v>
      </c>
    </row>
    <row r="383" spans="1:31" x14ac:dyDescent="0.2">
      <c r="A383" s="9">
        <v>380</v>
      </c>
      <c r="B383" s="178">
        <f t="shared" si="114"/>
        <v>63</v>
      </c>
      <c r="C383" s="178">
        <f t="shared" si="114"/>
        <v>63</v>
      </c>
      <c r="D383" s="2">
        <f>PARAM!$H$38</f>
        <v>1</v>
      </c>
      <c r="E383" s="11">
        <f>PARAM!$G$38</f>
        <v>0</v>
      </c>
      <c r="F383" s="11">
        <f>(VLOOKUP(C383,DEDN!$A$8:$O$902,$F$2)*D383+E383)/1000</f>
        <v>1.2230000000000001E-2</v>
      </c>
      <c r="G383" s="178">
        <f t="shared" si="115"/>
        <v>32</v>
      </c>
      <c r="H383" s="178">
        <f t="shared" si="115"/>
        <v>32</v>
      </c>
      <c r="I383" s="2">
        <f>PARAM!$H$39</f>
        <v>0</v>
      </c>
      <c r="J383" s="11">
        <f>PARAM!$G$39</f>
        <v>0</v>
      </c>
      <c r="K383" s="11">
        <f>(VLOOKUP(H383,DEDN!$A$8:$O$902,$K$2)*I383+J383)/1000</f>
        <v>0</v>
      </c>
      <c r="L383" s="11">
        <f>MIN(IF(PARAM!$B$43=3,CHOOSE($L$2,F383,K383),F383+K383-F383*K383),1)</f>
        <v>1.2230000000000001E-2</v>
      </c>
      <c r="M383" s="2">
        <f>PARAM!$I$38</f>
        <v>0</v>
      </c>
      <c r="N383" s="11">
        <f>VLOOKUP(B383,DEDN!$A$8:$O$90,$N$2)*M383</f>
        <v>0</v>
      </c>
      <c r="O383" s="12"/>
      <c r="P383" s="10">
        <f>PARAM!$C$53^-A383</f>
        <v>1</v>
      </c>
      <c r="Q383" s="10">
        <f t="shared" si="113"/>
        <v>0.90076613081689094</v>
      </c>
      <c r="R383" s="10">
        <f t="shared" si="112"/>
        <v>0.90076613081689094</v>
      </c>
      <c r="S383" s="10">
        <f>CHOOSE(PARAM!$B$51,R383,0,0,0)*(A383&lt;PARAM!$B$55)</f>
        <v>0</v>
      </c>
      <c r="T383" s="10">
        <f t="shared" si="100"/>
        <v>9.2321733067346479E-4</v>
      </c>
      <c r="U383" s="10">
        <f>T383*P383*(A383&lt;PARAM!$B$55)</f>
        <v>0</v>
      </c>
      <c r="W383">
        <v>380</v>
      </c>
      <c r="X383" s="178">
        <f t="shared" si="116"/>
        <v>63</v>
      </c>
      <c r="Y383" s="178">
        <f t="shared" si="116"/>
        <v>63</v>
      </c>
      <c r="Z383" s="178">
        <f t="shared" si="116"/>
        <v>32</v>
      </c>
      <c r="AA383" s="178">
        <f t="shared" si="116"/>
        <v>32</v>
      </c>
      <c r="AD383" s="17">
        <f>CALC!E407*(A383&lt;PARAM!$B$55)</f>
        <v>0</v>
      </c>
      <c r="AE383">
        <f>IF(A383&lt;ITER!$C$16,1,PARAM!$C$53^-(RATES!A383-ITER!$C$16))*(A383&lt;PARAM!$B$55)</f>
        <v>0</v>
      </c>
    </row>
    <row r="384" spans="1:31" x14ac:dyDescent="0.2">
      <c r="A384" s="9">
        <v>381</v>
      </c>
      <c r="B384" s="178">
        <f t="shared" si="114"/>
        <v>63</v>
      </c>
      <c r="C384" s="178">
        <f t="shared" si="114"/>
        <v>63</v>
      </c>
      <c r="D384" s="2">
        <f>PARAM!$H$38</f>
        <v>1</v>
      </c>
      <c r="E384" s="11">
        <f>PARAM!$G$38</f>
        <v>0</v>
      </c>
      <c r="F384" s="11">
        <f>(VLOOKUP(C384,DEDN!$A$8:$O$902,$F$2)*D384+E384)/1000</f>
        <v>1.2230000000000001E-2</v>
      </c>
      <c r="G384" s="178">
        <f t="shared" si="115"/>
        <v>32</v>
      </c>
      <c r="H384" s="178">
        <f t="shared" si="115"/>
        <v>32</v>
      </c>
      <c r="I384" s="2">
        <f>PARAM!$H$39</f>
        <v>0</v>
      </c>
      <c r="J384" s="11">
        <f>PARAM!$G$39</f>
        <v>0</v>
      </c>
      <c r="K384" s="11">
        <f>(VLOOKUP(H384,DEDN!$A$8:$O$902,$K$2)*I384+J384)/1000</f>
        <v>0</v>
      </c>
      <c r="L384" s="11">
        <f>MIN(IF(PARAM!$B$43=3,CHOOSE($L$2,F384,K384),F384+K384-F384*K384),1)</f>
        <v>1.2230000000000001E-2</v>
      </c>
      <c r="M384" s="2">
        <f>PARAM!$I$38</f>
        <v>0</v>
      </c>
      <c r="N384" s="11">
        <f>VLOOKUP(B384,DEDN!$A$8:$O$90,$N$2)*M384</f>
        <v>0</v>
      </c>
      <c r="O384" s="12"/>
      <c r="P384" s="10">
        <f>PARAM!$C$53^-A384</f>
        <v>1</v>
      </c>
      <c r="Q384" s="10">
        <f t="shared" si="113"/>
        <v>0.89984291348621748</v>
      </c>
      <c r="R384" s="10">
        <f t="shared" si="112"/>
        <v>0.89984291348621748</v>
      </c>
      <c r="S384" s="10">
        <f>CHOOSE(PARAM!$B$51,R384,R384,0,0)*(A384&lt;PARAM!$B$55)</f>
        <v>0</v>
      </c>
      <c r="T384" s="10">
        <f t="shared" si="100"/>
        <v>9.2227110255660438E-4</v>
      </c>
      <c r="U384" s="10">
        <f>T384*P384*(A384&lt;PARAM!$B$55)</f>
        <v>0</v>
      </c>
      <c r="W384">
        <v>381</v>
      </c>
      <c r="X384" s="178">
        <f t="shared" si="116"/>
        <v>63</v>
      </c>
      <c r="Y384" s="178">
        <f t="shared" si="116"/>
        <v>63</v>
      </c>
      <c r="Z384" s="178">
        <f t="shared" si="116"/>
        <v>32</v>
      </c>
      <c r="AA384" s="178">
        <f t="shared" si="116"/>
        <v>32</v>
      </c>
      <c r="AD384" s="17">
        <f>CALC!E408*(A384&lt;PARAM!$B$55)</f>
        <v>0</v>
      </c>
      <c r="AE384">
        <f>IF(A384&lt;ITER!$C$16,1,PARAM!$C$53^-(RATES!A384-ITER!$C$16))*(A384&lt;PARAM!$B$55)</f>
        <v>0</v>
      </c>
    </row>
    <row r="385" spans="1:31" x14ac:dyDescent="0.2">
      <c r="A385" s="9">
        <v>382</v>
      </c>
      <c r="B385" s="178">
        <f t="shared" si="114"/>
        <v>63</v>
      </c>
      <c r="C385" s="178">
        <f t="shared" si="114"/>
        <v>63</v>
      </c>
      <c r="D385" s="2">
        <f>PARAM!$H$38</f>
        <v>1</v>
      </c>
      <c r="E385" s="11">
        <f>PARAM!$G$38</f>
        <v>0</v>
      </c>
      <c r="F385" s="11">
        <f>(VLOOKUP(C385,DEDN!$A$8:$O$902,$F$2)*D385+E385)/1000</f>
        <v>1.2230000000000001E-2</v>
      </c>
      <c r="G385" s="178">
        <f t="shared" si="115"/>
        <v>32</v>
      </c>
      <c r="H385" s="178">
        <f t="shared" si="115"/>
        <v>32</v>
      </c>
      <c r="I385" s="2">
        <f>PARAM!$H$39</f>
        <v>0</v>
      </c>
      <c r="J385" s="11">
        <f>PARAM!$G$39</f>
        <v>0</v>
      </c>
      <c r="K385" s="11">
        <f>(VLOOKUP(H385,DEDN!$A$8:$O$902,$K$2)*I385+J385)/1000</f>
        <v>0</v>
      </c>
      <c r="L385" s="11">
        <f>MIN(IF(PARAM!$B$43=3,CHOOSE($L$2,F385,K385),F385+K385-F385*K385),1)</f>
        <v>1.2230000000000001E-2</v>
      </c>
      <c r="M385" s="2">
        <f>PARAM!$I$38</f>
        <v>0</v>
      </c>
      <c r="N385" s="11">
        <f>VLOOKUP(B385,DEDN!$A$8:$O$90,$N$2)*M385</f>
        <v>0</v>
      </c>
      <c r="O385" s="12"/>
      <c r="P385" s="10">
        <f>PARAM!$C$53^-A385</f>
        <v>1</v>
      </c>
      <c r="Q385" s="10">
        <f t="shared" si="113"/>
        <v>0.89892064238366087</v>
      </c>
      <c r="R385" s="10">
        <f t="shared" si="112"/>
        <v>0.89892064238366087</v>
      </c>
      <c r="S385" s="10">
        <f>CHOOSE(PARAM!$B$51,R385,0,0,0)*(A385&lt;PARAM!$B$55)</f>
        <v>0</v>
      </c>
      <c r="T385" s="10">
        <f t="shared" si="100"/>
        <v>9.2132584425219655E-4</v>
      </c>
      <c r="U385" s="10">
        <f>T385*P385*(A385&lt;PARAM!$B$55)</f>
        <v>0</v>
      </c>
      <c r="W385">
        <v>382</v>
      </c>
      <c r="X385" s="178">
        <f t="shared" si="116"/>
        <v>63</v>
      </c>
      <c r="Y385" s="178">
        <f t="shared" si="116"/>
        <v>63</v>
      </c>
      <c r="Z385" s="178">
        <f t="shared" si="116"/>
        <v>32</v>
      </c>
      <c r="AA385" s="178">
        <f t="shared" si="116"/>
        <v>32</v>
      </c>
      <c r="AD385" s="17">
        <f>CALC!E409*(A385&lt;PARAM!$B$55)</f>
        <v>0</v>
      </c>
      <c r="AE385">
        <f>IF(A385&lt;ITER!$C$16,1,PARAM!$C$53^-(RATES!A385-ITER!$C$16))*(A385&lt;PARAM!$B$55)</f>
        <v>0</v>
      </c>
    </row>
    <row r="386" spans="1:31" x14ac:dyDescent="0.2">
      <c r="A386" s="9">
        <v>383</v>
      </c>
      <c r="B386" s="178">
        <f t="shared" si="114"/>
        <v>63</v>
      </c>
      <c r="C386" s="178">
        <f t="shared" si="114"/>
        <v>63</v>
      </c>
      <c r="D386" s="2">
        <f>PARAM!$H$38</f>
        <v>1</v>
      </c>
      <c r="E386" s="11">
        <f>PARAM!$G$38</f>
        <v>0</v>
      </c>
      <c r="F386" s="11">
        <f>(VLOOKUP(C386,DEDN!$A$8:$O$902,$F$2)*D386+E386)/1000</f>
        <v>1.2230000000000001E-2</v>
      </c>
      <c r="G386" s="178">
        <f t="shared" si="115"/>
        <v>32</v>
      </c>
      <c r="H386" s="178">
        <f t="shared" si="115"/>
        <v>32</v>
      </c>
      <c r="I386" s="2">
        <f>PARAM!$H$39</f>
        <v>0</v>
      </c>
      <c r="J386" s="11">
        <f>PARAM!$G$39</f>
        <v>0</v>
      </c>
      <c r="K386" s="11">
        <f>(VLOOKUP(H386,DEDN!$A$8:$O$902,$K$2)*I386+J386)/1000</f>
        <v>0</v>
      </c>
      <c r="L386" s="11">
        <f>MIN(IF(PARAM!$B$43=3,CHOOSE($L$2,F386,K386),F386+K386-F386*K386),1)</f>
        <v>1.2230000000000001E-2</v>
      </c>
      <c r="M386" s="2">
        <f>PARAM!$I$38</f>
        <v>0</v>
      </c>
      <c r="N386" s="11">
        <f>VLOOKUP(B386,DEDN!$A$8:$O$90,$N$2)*M386</f>
        <v>0</v>
      </c>
      <c r="O386" s="12"/>
      <c r="P386" s="10">
        <f>PARAM!$C$53^-A386</f>
        <v>1</v>
      </c>
      <c r="Q386" s="10">
        <f t="shared" si="113"/>
        <v>0.89799931653940868</v>
      </c>
      <c r="R386" s="10">
        <f t="shared" si="112"/>
        <v>0.89799931653940868</v>
      </c>
      <c r="S386" s="10">
        <f>CHOOSE(PARAM!$B$51,R386,0,0,0)*(A386&lt;PARAM!$B$55)</f>
        <v>0</v>
      </c>
      <c r="T386" s="10">
        <f t="shared" si="100"/>
        <v>9.2038155476636963E-4</v>
      </c>
      <c r="U386" s="10">
        <f>T386*P386*(A386&lt;PARAM!$B$55)</f>
        <v>0</v>
      </c>
      <c r="W386">
        <v>383</v>
      </c>
      <c r="X386" s="178">
        <f t="shared" si="116"/>
        <v>63</v>
      </c>
      <c r="Y386" s="178">
        <f t="shared" si="116"/>
        <v>63</v>
      </c>
      <c r="Z386" s="178">
        <f t="shared" si="116"/>
        <v>32</v>
      </c>
      <c r="AA386" s="178">
        <f t="shared" si="116"/>
        <v>32</v>
      </c>
      <c r="AD386" s="17">
        <f>CALC!E410*(A386&lt;PARAM!$B$55)</f>
        <v>0</v>
      </c>
      <c r="AE386">
        <f>IF(A386&lt;ITER!$C$16,1,PARAM!$C$53^-(RATES!A386-ITER!$C$16))*(A386&lt;PARAM!$B$55)</f>
        <v>0</v>
      </c>
    </row>
    <row r="387" spans="1:31" x14ac:dyDescent="0.2">
      <c r="A387" s="9">
        <v>384</v>
      </c>
      <c r="B387" s="178">
        <f t="shared" si="114"/>
        <v>63</v>
      </c>
      <c r="C387" s="178">
        <f t="shared" si="114"/>
        <v>63</v>
      </c>
      <c r="D387" s="2">
        <f>PARAM!$H$38</f>
        <v>1</v>
      </c>
      <c r="E387" s="11">
        <f>PARAM!$G$38</f>
        <v>0</v>
      </c>
      <c r="F387" s="11">
        <f>(VLOOKUP(C387,DEDN!$A$8:$O$902,$F$2)*D387+E387)/1000</f>
        <v>1.2230000000000001E-2</v>
      </c>
      <c r="G387" s="178">
        <f t="shared" si="115"/>
        <v>32</v>
      </c>
      <c r="H387" s="178">
        <f t="shared" si="115"/>
        <v>32</v>
      </c>
      <c r="I387" s="2">
        <f>PARAM!$H$39</f>
        <v>0</v>
      </c>
      <c r="J387" s="11">
        <f>PARAM!$G$39</f>
        <v>0</v>
      </c>
      <c r="K387" s="11">
        <f>(VLOOKUP(H387,DEDN!$A$8:$O$902,$K$2)*I387+J387)/1000</f>
        <v>0</v>
      </c>
      <c r="L387" s="11">
        <f>MIN(IF(PARAM!$B$43=3,CHOOSE($L$2,F387,K387),F387+K387-F387*K387),1)</f>
        <v>1.2230000000000001E-2</v>
      </c>
      <c r="M387" s="2">
        <f>PARAM!$I$38</f>
        <v>0</v>
      </c>
      <c r="N387" s="11">
        <f>VLOOKUP(B387,DEDN!$A$8:$O$90,$N$2)*M387</f>
        <v>0</v>
      </c>
      <c r="O387" s="12"/>
      <c r="P387" s="10">
        <f>PARAM!$C$53^-A387</f>
        <v>1</v>
      </c>
      <c r="Q387" s="10">
        <f t="shared" si="113"/>
        <v>0.89707893498464231</v>
      </c>
      <c r="R387" s="10">
        <f t="shared" si="112"/>
        <v>0.89707893498464231</v>
      </c>
      <c r="S387" s="10">
        <f>R387*(A387&lt;PARAM!$B$55)</f>
        <v>0</v>
      </c>
      <c r="T387" s="10">
        <f t="shared" si="100"/>
        <v>9.194382331059181E-4</v>
      </c>
      <c r="U387" s="10">
        <f>T387*P387*(A387&lt;PARAM!$B$55)</f>
        <v>0</v>
      </c>
      <c r="W387">
        <v>384</v>
      </c>
      <c r="X387" s="178">
        <f t="shared" si="116"/>
        <v>63</v>
      </c>
      <c r="Y387" s="178">
        <f t="shared" si="116"/>
        <v>63</v>
      </c>
      <c r="Z387" s="178">
        <f t="shared" si="116"/>
        <v>32</v>
      </c>
      <c r="AA387" s="178">
        <f t="shared" si="116"/>
        <v>32</v>
      </c>
      <c r="AD387" s="17">
        <f>CALC!E411*(A387&lt;PARAM!$B$55)</f>
        <v>0</v>
      </c>
      <c r="AE387">
        <f>IF(A387&lt;ITER!$C$16,1,PARAM!$C$53^-(RATES!A387-ITER!$C$16))*(A387&lt;PARAM!$B$55)</f>
        <v>0</v>
      </c>
    </row>
    <row r="388" spans="1:31" x14ac:dyDescent="0.2">
      <c r="A388" s="9">
        <v>385</v>
      </c>
      <c r="B388" s="178">
        <f t="shared" si="114"/>
        <v>63</v>
      </c>
      <c r="C388" s="178">
        <f t="shared" si="114"/>
        <v>63</v>
      </c>
      <c r="D388" s="2">
        <f>PARAM!$H$38</f>
        <v>1</v>
      </c>
      <c r="E388" s="11">
        <f>PARAM!$G$38</f>
        <v>0</v>
      </c>
      <c r="F388" s="11">
        <f>(VLOOKUP(C388,DEDN!$A$8:$O$902,$F$2)*D388+E388)/1000</f>
        <v>1.2230000000000001E-2</v>
      </c>
      <c r="G388" s="178">
        <f t="shared" si="115"/>
        <v>32</v>
      </c>
      <c r="H388" s="178">
        <f t="shared" si="115"/>
        <v>32</v>
      </c>
      <c r="I388" s="2">
        <f>PARAM!$H$39</f>
        <v>0</v>
      </c>
      <c r="J388" s="11">
        <f>PARAM!$G$39</f>
        <v>0</v>
      </c>
      <c r="K388" s="11">
        <f>(VLOOKUP(H388,DEDN!$A$8:$O$902,$K$2)*I388+J388)/1000</f>
        <v>0</v>
      </c>
      <c r="L388" s="11">
        <f>MIN(IF(PARAM!$B$43=3,CHOOSE($L$2,F388,K388),F388+K388-F388*K388),1)</f>
        <v>1.2230000000000001E-2</v>
      </c>
      <c r="M388" s="2">
        <f>PARAM!$I$38</f>
        <v>0</v>
      </c>
      <c r="N388" s="11">
        <f>VLOOKUP(B388,DEDN!$A$8:$O$90,$N$2)*M388</f>
        <v>0</v>
      </c>
      <c r="O388" s="12"/>
      <c r="P388" s="10">
        <f>PARAM!$C$53^-A388</f>
        <v>1</v>
      </c>
      <c r="Q388" s="10">
        <f t="shared" si="113"/>
        <v>0.89615949675153639</v>
      </c>
      <c r="R388" s="10">
        <f t="shared" ref="R388:R403" si="117">P388*Q388</f>
        <v>0.89615949675153639</v>
      </c>
      <c r="S388" s="10">
        <f>CHOOSE(PARAM!$B$51,R388,0,0,0)*(A388&lt;PARAM!$B$55)</f>
        <v>0</v>
      </c>
      <c r="T388" s="10">
        <f t="shared" ref="T388:T451" si="118">Q388-Q389</f>
        <v>9.1849587827896872E-4</v>
      </c>
      <c r="U388" s="10">
        <f>T388*P388*(A388&lt;PARAM!$B$55)</f>
        <v>0</v>
      </c>
      <c r="W388">
        <v>385</v>
      </c>
      <c r="X388" s="178">
        <f t="shared" si="116"/>
        <v>63</v>
      </c>
      <c r="Y388" s="178">
        <f t="shared" si="116"/>
        <v>63</v>
      </c>
      <c r="Z388" s="178">
        <f t="shared" si="116"/>
        <v>32</v>
      </c>
      <c r="AA388" s="178">
        <f t="shared" si="116"/>
        <v>32</v>
      </c>
      <c r="AD388" s="17">
        <f>CALC!E412*(A388&lt;PARAM!$B$55)</f>
        <v>0</v>
      </c>
      <c r="AE388">
        <f>IF(A388&lt;ITER!$C$16,1,PARAM!$C$53^-(RATES!A388-ITER!$C$16))*(A388&lt;PARAM!$B$55)</f>
        <v>0</v>
      </c>
    </row>
    <row r="389" spans="1:31" x14ac:dyDescent="0.2">
      <c r="A389" s="9">
        <v>386</v>
      </c>
      <c r="B389" s="178">
        <f t="shared" si="114"/>
        <v>63</v>
      </c>
      <c r="C389" s="178">
        <f t="shared" si="114"/>
        <v>63</v>
      </c>
      <c r="D389" s="2">
        <f>PARAM!$H$38</f>
        <v>1</v>
      </c>
      <c r="E389" s="11">
        <f>PARAM!$G$38</f>
        <v>0</v>
      </c>
      <c r="F389" s="11">
        <f>(VLOOKUP(C389,DEDN!$A$8:$O$902,$F$2)*D389+E389)/1000</f>
        <v>1.2230000000000001E-2</v>
      </c>
      <c r="G389" s="178">
        <f t="shared" si="115"/>
        <v>32</v>
      </c>
      <c r="H389" s="178">
        <f t="shared" si="115"/>
        <v>32</v>
      </c>
      <c r="I389" s="2">
        <f>PARAM!$H$39</f>
        <v>0</v>
      </c>
      <c r="J389" s="11">
        <f>PARAM!$G$39</f>
        <v>0</v>
      </c>
      <c r="K389" s="11">
        <f>(VLOOKUP(H389,DEDN!$A$8:$O$902,$K$2)*I389+J389)/1000</f>
        <v>0</v>
      </c>
      <c r="L389" s="11">
        <f>MIN(IF(PARAM!$B$43=3,CHOOSE($L$2,F389,K389),F389+K389-F389*K389),1)</f>
        <v>1.2230000000000001E-2</v>
      </c>
      <c r="M389" s="2">
        <f>PARAM!$I$38</f>
        <v>0</v>
      </c>
      <c r="N389" s="11">
        <f>VLOOKUP(B389,DEDN!$A$8:$O$90,$N$2)*M389</f>
        <v>0</v>
      </c>
      <c r="O389" s="12"/>
      <c r="P389" s="10">
        <f>PARAM!$C$53^-A389</f>
        <v>1</v>
      </c>
      <c r="Q389" s="10">
        <f t="shared" ref="Q389:Q404" si="119">Q388*(1-L388)^(1/12)</f>
        <v>0.89524100087325742</v>
      </c>
      <c r="R389" s="10">
        <f t="shared" si="117"/>
        <v>0.89524100087325742</v>
      </c>
      <c r="S389" s="10">
        <f>CHOOSE(PARAM!$B$51,R389,0,0,0)*(A389&lt;PARAM!$B$55)</f>
        <v>0</v>
      </c>
      <c r="T389" s="10">
        <f t="shared" si="118"/>
        <v>9.1755448929464745E-4</v>
      </c>
      <c r="U389" s="10">
        <f>T389*P389*(A389&lt;PARAM!$B$55)</f>
        <v>0</v>
      </c>
      <c r="W389">
        <v>386</v>
      </c>
      <c r="X389" s="178">
        <f t="shared" si="116"/>
        <v>63</v>
      </c>
      <c r="Y389" s="178">
        <f t="shared" si="116"/>
        <v>63</v>
      </c>
      <c r="Z389" s="178">
        <f t="shared" si="116"/>
        <v>32</v>
      </c>
      <c r="AA389" s="178">
        <f t="shared" si="116"/>
        <v>32</v>
      </c>
      <c r="AD389" s="17">
        <f>CALC!E413*(A389&lt;PARAM!$B$55)</f>
        <v>0</v>
      </c>
      <c r="AE389">
        <f>IF(A389&lt;ITER!$C$16,1,PARAM!$C$53^-(RATES!A389-ITER!$C$16))*(A389&lt;PARAM!$B$55)</f>
        <v>0</v>
      </c>
    </row>
    <row r="390" spans="1:31" x14ac:dyDescent="0.2">
      <c r="A390" s="9">
        <v>387</v>
      </c>
      <c r="B390" s="178">
        <f t="shared" si="114"/>
        <v>63</v>
      </c>
      <c r="C390" s="178">
        <f t="shared" si="114"/>
        <v>63</v>
      </c>
      <c r="D390" s="2">
        <f>PARAM!$H$38</f>
        <v>1</v>
      </c>
      <c r="E390" s="11">
        <f>PARAM!$G$38</f>
        <v>0</v>
      </c>
      <c r="F390" s="11">
        <f>(VLOOKUP(C390,DEDN!$A$8:$O$902,$F$2)*D390+E390)/1000</f>
        <v>1.2230000000000001E-2</v>
      </c>
      <c r="G390" s="178">
        <f t="shared" si="115"/>
        <v>32</v>
      </c>
      <c r="H390" s="178">
        <f t="shared" si="115"/>
        <v>32</v>
      </c>
      <c r="I390" s="2">
        <f>PARAM!$H$39</f>
        <v>0</v>
      </c>
      <c r="J390" s="11">
        <f>PARAM!$G$39</f>
        <v>0</v>
      </c>
      <c r="K390" s="11">
        <f>(VLOOKUP(H390,DEDN!$A$8:$O$902,$K$2)*I390+J390)/1000</f>
        <v>0</v>
      </c>
      <c r="L390" s="11">
        <f>MIN(IF(PARAM!$B$43=3,CHOOSE($L$2,F390,K390),F390+K390-F390*K390),1)</f>
        <v>1.2230000000000001E-2</v>
      </c>
      <c r="M390" s="2">
        <f>PARAM!$I$38</f>
        <v>0</v>
      </c>
      <c r="N390" s="11">
        <f>VLOOKUP(B390,DEDN!$A$8:$O$90,$N$2)*M390</f>
        <v>0</v>
      </c>
      <c r="O390" s="12"/>
      <c r="P390" s="10">
        <f>PARAM!$C$53^-A390</f>
        <v>1</v>
      </c>
      <c r="Q390" s="10">
        <f t="shared" si="119"/>
        <v>0.89432344638396277</v>
      </c>
      <c r="R390" s="10">
        <f t="shared" si="117"/>
        <v>0.89432344638396277</v>
      </c>
      <c r="S390" s="10">
        <f>CHOOSE(PARAM!$B$51,R390,R390,0,0)*(A390&lt;PARAM!$B$55)</f>
        <v>0</v>
      </c>
      <c r="T390" s="10">
        <f t="shared" si="118"/>
        <v>9.1661406516307942E-4</v>
      </c>
      <c r="U390" s="10">
        <f>T390*P390*(A390&lt;PARAM!$B$55)</f>
        <v>0</v>
      </c>
      <c r="W390">
        <v>387</v>
      </c>
      <c r="X390" s="178">
        <f t="shared" si="116"/>
        <v>63</v>
      </c>
      <c r="Y390" s="178">
        <f t="shared" si="116"/>
        <v>63</v>
      </c>
      <c r="Z390" s="178">
        <f t="shared" si="116"/>
        <v>32</v>
      </c>
      <c r="AA390" s="178">
        <f t="shared" si="116"/>
        <v>32</v>
      </c>
      <c r="AD390" s="17">
        <f>CALC!E414*(A390&lt;PARAM!$B$55)</f>
        <v>0</v>
      </c>
      <c r="AE390">
        <f>IF(A390&lt;ITER!$C$16,1,PARAM!$C$53^-(RATES!A390-ITER!$C$16))*(A390&lt;PARAM!$B$55)</f>
        <v>0</v>
      </c>
    </row>
    <row r="391" spans="1:31" x14ac:dyDescent="0.2">
      <c r="A391" s="9">
        <v>388</v>
      </c>
      <c r="B391" s="178">
        <f t="shared" si="114"/>
        <v>63</v>
      </c>
      <c r="C391" s="178">
        <f t="shared" si="114"/>
        <v>63</v>
      </c>
      <c r="D391" s="2">
        <f>PARAM!$H$38</f>
        <v>1</v>
      </c>
      <c r="E391" s="11">
        <f>PARAM!$G$38</f>
        <v>0</v>
      </c>
      <c r="F391" s="11">
        <f>(VLOOKUP(C391,DEDN!$A$8:$O$902,$F$2)*D391+E391)/1000</f>
        <v>1.2230000000000001E-2</v>
      </c>
      <c r="G391" s="178">
        <f t="shared" si="115"/>
        <v>32</v>
      </c>
      <c r="H391" s="178">
        <f t="shared" si="115"/>
        <v>32</v>
      </c>
      <c r="I391" s="2">
        <f>PARAM!$H$39</f>
        <v>0</v>
      </c>
      <c r="J391" s="11">
        <f>PARAM!$G$39</f>
        <v>0</v>
      </c>
      <c r="K391" s="11">
        <f>(VLOOKUP(H391,DEDN!$A$8:$O$902,$K$2)*I391+J391)/1000</f>
        <v>0</v>
      </c>
      <c r="L391" s="11">
        <f>MIN(IF(PARAM!$B$43=3,CHOOSE($L$2,F391,K391),F391+K391-F391*K391),1)</f>
        <v>1.2230000000000001E-2</v>
      </c>
      <c r="M391" s="2">
        <f>PARAM!$I$38</f>
        <v>0</v>
      </c>
      <c r="N391" s="11">
        <f>VLOOKUP(B391,DEDN!$A$8:$O$90,$N$2)*M391</f>
        <v>0</v>
      </c>
      <c r="O391" s="12"/>
      <c r="P391" s="10">
        <f>PARAM!$C$53^-A391</f>
        <v>1</v>
      </c>
      <c r="Q391" s="10">
        <f t="shared" si="119"/>
        <v>0.89340683231879969</v>
      </c>
      <c r="R391" s="10">
        <f t="shared" si="117"/>
        <v>0.89340683231879969</v>
      </c>
      <c r="S391" s="10">
        <f>CHOOSE(PARAM!$B$51,R391,0,0,0)*(A391&lt;PARAM!$B$55)</f>
        <v>0</v>
      </c>
      <c r="T391" s="10">
        <f t="shared" si="118"/>
        <v>9.1567460489527797E-4</v>
      </c>
      <c r="U391" s="10">
        <f>T391*P391*(A391&lt;PARAM!$B$55)</f>
        <v>0</v>
      </c>
      <c r="W391">
        <v>388</v>
      </c>
      <c r="X391" s="178">
        <f t="shared" si="116"/>
        <v>63</v>
      </c>
      <c r="Y391" s="178">
        <f t="shared" si="116"/>
        <v>63</v>
      </c>
      <c r="Z391" s="178">
        <f t="shared" si="116"/>
        <v>32</v>
      </c>
      <c r="AA391" s="178">
        <f t="shared" si="116"/>
        <v>32</v>
      </c>
      <c r="AD391" s="17">
        <f>CALC!E415*(A391&lt;PARAM!$B$55)</f>
        <v>0</v>
      </c>
      <c r="AE391">
        <f>IF(A391&lt;ITER!$C$16,1,PARAM!$C$53^-(RATES!A391-ITER!$C$16))*(A391&lt;PARAM!$B$55)</f>
        <v>0</v>
      </c>
    </row>
    <row r="392" spans="1:31" x14ac:dyDescent="0.2">
      <c r="A392" s="9">
        <v>389</v>
      </c>
      <c r="B392" s="178">
        <f t="shared" si="114"/>
        <v>63</v>
      </c>
      <c r="C392" s="178">
        <f t="shared" si="114"/>
        <v>63</v>
      </c>
      <c r="D392" s="2">
        <f>PARAM!$H$38</f>
        <v>1</v>
      </c>
      <c r="E392" s="11">
        <f>PARAM!$G$38</f>
        <v>0</v>
      </c>
      <c r="F392" s="11">
        <f>(VLOOKUP(C392,DEDN!$A$8:$O$902,$F$2)*D392+E392)/1000</f>
        <v>1.2230000000000001E-2</v>
      </c>
      <c r="G392" s="178">
        <f t="shared" si="115"/>
        <v>32</v>
      </c>
      <c r="H392" s="178">
        <f t="shared" si="115"/>
        <v>32</v>
      </c>
      <c r="I392" s="2">
        <f>PARAM!$H$39</f>
        <v>0</v>
      </c>
      <c r="J392" s="11">
        <f>PARAM!$G$39</f>
        <v>0</v>
      </c>
      <c r="K392" s="11">
        <f>(VLOOKUP(H392,DEDN!$A$8:$O$902,$K$2)*I392+J392)/1000</f>
        <v>0</v>
      </c>
      <c r="L392" s="11">
        <f>MIN(IF(PARAM!$B$43=3,CHOOSE($L$2,F392,K392),F392+K392-F392*K392),1)</f>
        <v>1.2230000000000001E-2</v>
      </c>
      <c r="M392" s="2">
        <f>PARAM!$I$38</f>
        <v>0</v>
      </c>
      <c r="N392" s="11">
        <f>VLOOKUP(B392,DEDN!$A$8:$O$90,$N$2)*M392</f>
        <v>0</v>
      </c>
      <c r="O392" s="12"/>
      <c r="P392" s="10">
        <f>PARAM!$C$53^-A392</f>
        <v>1</v>
      </c>
      <c r="Q392" s="10">
        <f t="shared" si="119"/>
        <v>0.89249115771390441</v>
      </c>
      <c r="R392" s="10">
        <f t="shared" si="117"/>
        <v>0.89249115771390441</v>
      </c>
      <c r="S392" s="10">
        <f>CHOOSE(PARAM!$B$51,R392,0,0,0)*(A392&lt;PARAM!$B$55)</f>
        <v>0</v>
      </c>
      <c r="T392" s="10">
        <f t="shared" si="118"/>
        <v>9.1473610750336665E-4</v>
      </c>
      <c r="U392" s="10">
        <f>T392*P392*(A392&lt;PARAM!$B$55)</f>
        <v>0</v>
      </c>
      <c r="W392">
        <v>389</v>
      </c>
      <c r="X392" s="178">
        <f t="shared" si="116"/>
        <v>63</v>
      </c>
      <c r="Y392" s="178">
        <f t="shared" si="116"/>
        <v>63</v>
      </c>
      <c r="Z392" s="178">
        <f t="shared" si="116"/>
        <v>32</v>
      </c>
      <c r="AA392" s="178">
        <f t="shared" si="116"/>
        <v>32</v>
      </c>
      <c r="AD392" s="17">
        <f>CALC!E416*(A392&lt;PARAM!$B$55)</f>
        <v>0</v>
      </c>
      <c r="AE392">
        <f>IF(A392&lt;ITER!$C$16,1,PARAM!$C$53^-(RATES!A392-ITER!$C$16))*(A392&lt;PARAM!$B$55)</f>
        <v>0</v>
      </c>
    </row>
    <row r="393" spans="1:31" x14ac:dyDescent="0.2">
      <c r="A393" s="9">
        <v>390</v>
      </c>
      <c r="B393" s="178">
        <f t="shared" si="114"/>
        <v>64</v>
      </c>
      <c r="C393" s="178">
        <f t="shared" si="114"/>
        <v>64</v>
      </c>
      <c r="D393" s="2">
        <f>PARAM!$H$38</f>
        <v>1</v>
      </c>
      <c r="E393" s="11">
        <f>PARAM!$G$38</f>
        <v>0</v>
      </c>
      <c r="F393" s="11">
        <f>(VLOOKUP(C393,DEDN!$A$8:$O$902,$F$2)*D393+E393)/1000</f>
        <v>1.359E-2</v>
      </c>
      <c r="G393" s="178">
        <f t="shared" si="115"/>
        <v>33</v>
      </c>
      <c r="H393" s="178">
        <f t="shared" si="115"/>
        <v>33</v>
      </c>
      <c r="I393" s="2">
        <f>PARAM!$H$39</f>
        <v>0</v>
      </c>
      <c r="J393" s="11">
        <f>PARAM!$G$39</f>
        <v>0</v>
      </c>
      <c r="K393" s="11">
        <f>(VLOOKUP(H393,DEDN!$A$8:$O$902,$K$2)*I393+J393)/1000</f>
        <v>0</v>
      </c>
      <c r="L393" s="11">
        <f>MIN(IF(PARAM!$B$43=3,CHOOSE($L$2,F393,K393),F393+K393-F393*K393),1)</f>
        <v>1.359E-2</v>
      </c>
      <c r="M393" s="2">
        <f>PARAM!$I$38</f>
        <v>0</v>
      </c>
      <c r="N393" s="11">
        <f>VLOOKUP(B393,DEDN!$A$8:$O$90,$N$2)*M393</f>
        <v>0</v>
      </c>
      <c r="O393" s="12"/>
      <c r="P393" s="10">
        <f>PARAM!$C$53^-A393</f>
        <v>1</v>
      </c>
      <c r="Q393" s="10">
        <f t="shared" si="119"/>
        <v>0.89157642160640105</v>
      </c>
      <c r="R393" s="10">
        <f t="shared" si="117"/>
        <v>0.89157642160640105</v>
      </c>
      <c r="S393" s="10">
        <f>CHOOSE(PARAM!$B$51,R393,R393,R393,0)*(A393&lt;PARAM!$B$55)</f>
        <v>0</v>
      </c>
      <c r="T393" s="10">
        <f t="shared" si="118"/>
        <v>1.0160546836895934E-3</v>
      </c>
      <c r="U393" s="10">
        <f>T393*P393*(A393&lt;PARAM!$B$55)</f>
        <v>0</v>
      </c>
      <c r="W393">
        <v>390</v>
      </c>
      <c r="X393" s="178">
        <f t="shared" si="116"/>
        <v>64</v>
      </c>
      <c r="Y393" s="178">
        <f t="shared" si="116"/>
        <v>64</v>
      </c>
      <c r="Z393" s="178">
        <f t="shared" si="116"/>
        <v>33</v>
      </c>
      <c r="AA393" s="178">
        <f t="shared" si="116"/>
        <v>33</v>
      </c>
      <c r="AD393" s="17">
        <f>CALC!E417*(A393&lt;PARAM!$B$55)</f>
        <v>0</v>
      </c>
      <c r="AE393">
        <f>IF(A393&lt;ITER!$C$16,1,PARAM!$C$53^-(RATES!A393-ITER!$C$16))*(A393&lt;PARAM!$B$55)</f>
        <v>0</v>
      </c>
    </row>
    <row r="394" spans="1:31" x14ac:dyDescent="0.2">
      <c r="A394" s="9">
        <v>391</v>
      </c>
      <c r="B394" s="178">
        <f t="shared" si="114"/>
        <v>64</v>
      </c>
      <c r="C394" s="178">
        <f t="shared" si="114"/>
        <v>64</v>
      </c>
      <c r="D394" s="2">
        <f>PARAM!$H$38</f>
        <v>1</v>
      </c>
      <c r="E394" s="11">
        <f>PARAM!$G$38</f>
        <v>0</v>
      </c>
      <c r="F394" s="11">
        <f>(VLOOKUP(C394,DEDN!$A$8:$O$902,$F$2)*D394+E394)/1000</f>
        <v>1.359E-2</v>
      </c>
      <c r="G394" s="178">
        <f t="shared" si="115"/>
        <v>33</v>
      </c>
      <c r="H394" s="178">
        <f t="shared" si="115"/>
        <v>33</v>
      </c>
      <c r="I394" s="2">
        <f>PARAM!$H$39</f>
        <v>0</v>
      </c>
      <c r="J394" s="11">
        <f>PARAM!$G$39</f>
        <v>0</v>
      </c>
      <c r="K394" s="11">
        <f>(VLOOKUP(H394,DEDN!$A$8:$O$902,$K$2)*I394+J394)/1000</f>
        <v>0</v>
      </c>
      <c r="L394" s="11">
        <f>MIN(IF(PARAM!$B$43=3,CHOOSE($L$2,F394,K394),F394+K394-F394*K394),1)</f>
        <v>1.359E-2</v>
      </c>
      <c r="M394" s="2">
        <f>PARAM!$I$38</f>
        <v>0</v>
      </c>
      <c r="N394" s="11">
        <f>VLOOKUP(B394,DEDN!$A$8:$O$90,$N$2)*M394</f>
        <v>0</v>
      </c>
      <c r="O394" s="12"/>
      <c r="P394" s="10">
        <f>PARAM!$C$53^-A394</f>
        <v>1</v>
      </c>
      <c r="Q394" s="10">
        <f t="shared" si="119"/>
        <v>0.89056036692271145</v>
      </c>
      <c r="R394" s="10">
        <f t="shared" si="117"/>
        <v>0.89056036692271145</v>
      </c>
      <c r="S394" s="10">
        <f>CHOOSE(PARAM!$B$51,R394,0,0,0)*(A394&lt;PARAM!$B$55)</f>
        <v>0</v>
      </c>
      <c r="T394" s="10">
        <f t="shared" si="118"/>
        <v>1.0148967715967183E-3</v>
      </c>
      <c r="U394" s="10">
        <f>T394*P394*(A394&lt;PARAM!$B$55)</f>
        <v>0</v>
      </c>
      <c r="W394">
        <v>391</v>
      </c>
      <c r="X394" s="178">
        <f t="shared" si="116"/>
        <v>64</v>
      </c>
      <c r="Y394" s="178">
        <f t="shared" si="116"/>
        <v>64</v>
      </c>
      <c r="Z394" s="178">
        <f t="shared" si="116"/>
        <v>33</v>
      </c>
      <c r="AA394" s="178">
        <f t="shared" si="116"/>
        <v>33</v>
      </c>
      <c r="AD394" s="17">
        <f>CALC!E418*(A394&lt;PARAM!$B$55)</f>
        <v>0</v>
      </c>
      <c r="AE394">
        <f>IF(A394&lt;ITER!$C$16,1,PARAM!$C$53^-(RATES!A394-ITER!$C$16))*(A394&lt;PARAM!$B$55)</f>
        <v>0</v>
      </c>
    </row>
    <row r="395" spans="1:31" x14ac:dyDescent="0.2">
      <c r="A395" s="9">
        <v>392</v>
      </c>
      <c r="B395" s="178">
        <f t="shared" si="114"/>
        <v>64</v>
      </c>
      <c r="C395" s="178">
        <f t="shared" si="114"/>
        <v>64</v>
      </c>
      <c r="D395" s="2">
        <f>PARAM!$H$38</f>
        <v>1</v>
      </c>
      <c r="E395" s="11">
        <f>PARAM!$G$38</f>
        <v>0</v>
      </c>
      <c r="F395" s="11">
        <f>(VLOOKUP(C395,DEDN!$A$8:$O$902,$F$2)*D395+E395)/1000</f>
        <v>1.359E-2</v>
      </c>
      <c r="G395" s="178">
        <f t="shared" si="115"/>
        <v>33</v>
      </c>
      <c r="H395" s="178">
        <f t="shared" si="115"/>
        <v>33</v>
      </c>
      <c r="I395" s="2">
        <f>PARAM!$H$39</f>
        <v>0</v>
      </c>
      <c r="J395" s="11">
        <f>PARAM!$G$39</f>
        <v>0</v>
      </c>
      <c r="K395" s="11">
        <f>(VLOOKUP(H395,DEDN!$A$8:$O$902,$K$2)*I395+J395)/1000</f>
        <v>0</v>
      </c>
      <c r="L395" s="11">
        <f>MIN(IF(PARAM!$B$43=3,CHOOSE($L$2,F395,K395),F395+K395-F395*K395),1)</f>
        <v>1.359E-2</v>
      </c>
      <c r="M395" s="2">
        <f>PARAM!$I$38</f>
        <v>0</v>
      </c>
      <c r="N395" s="11">
        <f>VLOOKUP(B395,DEDN!$A$8:$O$90,$N$2)*M395</f>
        <v>0</v>
      </c>
      <c r="O395" s="12"/>
      <c r="P395" s="10">
        <f>PARAM!$C$53^-A395</f>
        <v>1</v>
      </c>
      <c r="Q395" s="10">
        <f t="shared" si="119"/>
        <v>0.88954547015111474</v>
      </c>
      <c r="R395" s="10">
        <f t="shared" si="117"/>
        <v>0.88954547015111474</v>
      </c>
      <c r="S395" s="10">
        <f>CHOOSE(PARAM!$B$51,R395,0,0,0)*(A395&lt;PARAM!$B$55)</f>
        <v>0</v>
      </c>
      <c r="T395" s="10">
        <f t="shared" si="118"/>
        <v>1.0137401790789591E-3</v>
      </c>
      <c r="U395" s="10">
        <f>T395*P395*(A395&lt;PARAM!$B$55)</f>
        <v>0</v>
      </c>
      <c r="W395">
        <v>392</v>
      </c>
      <c r="X395" s="178">
        <f t="shared" si="116"/>
        <v>64</v>
      </c>
      <c r="Y395" s="178">
        <f t="shared" si="116"/>
        <v>64</v>
      </c>
      <c r="Z395" s="178">
        <f t="shared" si="116"/>
        <v>33</v>
      </c>
      <c r="AA395" s="178">
        <f t="shared" si="116"/>
        <v>33</v>
      </c>
      <c r="AD395" s="17">
        <f>CALC!E419*(A395&lt;PARAM!$B$55)</f>
        <v>0</v>
      </c>
      <c r="AE395">
        <f>IF(A395&lt;ITER!$C$16,1,PARAM!$C$53^-(RATES!A395-ITER!$C$16))*(A395&lt;PARAM!$B$55)</f>
        <v>0</v>
      </c>
    </row>
    <row r="396" spans="1:31" x14ac:dyDescent="0.2">
      <c r="A396" s="9">
        <v>393</v>
      </c>
      <c r="B396" s="178">
        <f t="shared" si="114"/>
        <v>64</v>
      </c>
      <c r="C396" s="178">
        <f t="shared" si="114"/>
        <v>64</v>
      </c>
      <c r="D396" s="2">
        <f>PARAM!$H$38</f>
        <v>1</v>
      </c>
      <c r="E396" s="11">
        <f>PARAM!$G$38</f>
        <v>0</v>
      </c>
      <c r="F396" s="11">
        <f>(VLOOKUP(C396,DEDN!$A$8:$O$902,$F$2)*D396+E396)/1000</f>
        <v>1.359E-2</v>
      </c>
      <c r="G396" s="178">
        <f t="shared" si="115"/>
        <v>33</v>
      </c>
      <c r="H396" s="178">
        <f t="shared" si="115"/>
        <v>33</v>
      </c>
      <c r="I396" s="2">
        <f>PARAM!$H$39</f>
        <v>0</v>
      </c>
      <c r="J396" s="11">
        <f>PARAM!$G$39</f>
        <v>0</v>
      </c>
      <c r="K396" s="11">
        <f>(VLOOKUP(H396,DEDN!$A$8:$O$902,$K$2)*I396+J396)/1000</f>
        <v>0</v>
      </c>
      <c r="L396" s="11">
        <f>MIN(IF(PARAM!$B$43=3,CHOOSE($L$2,F396,K396),F396+K396-F396*K396),1)</f>
        <v>1.359E-2</v>
      </c>
      <c r="M396" s="2">
        <f>PARAM!$I$38</f>
        <v>0</v>
      </c>
      <c r="N396" s="11">
        <f>VLOOKUP(B396,DEDN!$A$8:$O$90,$N$2)*M396</f>
        <v>0</v>
      </c>
      <c r="O396" s="12"/>
      <c r="P396" s="10">
        <f>PARAM!$C$53^-A396</f>
        <v>1</v>
      </c>
      <c r="Q396" s="10">
        <f t="shared" si="119"/>
        <v>0.88853172997203578</v>
      </c>
      <c r="R396" s="10">
        <f t="shared" si="117"/>
        <v>0.88853172997203578</v>
      </c>
      <c r="S396" s="10">
        <f>CHOOSE(PARAM!$B$51,R396,R396,0,0)*(A396&lt;PARAM!$B$55)</f>
        <v>0</v>
      </c>
      <c r="T396" s="10">
        <f t="shared" si="118"/>
        <v>1.0125849046325186E-3</v>
      </c>
      <c r="U396" s="10">
        <f>T396*P396*(A396&lt;PARAM!$B$55)</f>
        <v>0</v>
      </c>
      <c r="W396">
        <v>393</v>
      </c>
      <c r="X396" s="178">
        <f t="shared" si="116"/>
        <v>64</v>
      </c>
      <c r="Y396" s="178">
        <f t="shared" si="116"/>
        <v>64</v>
      </c>
      <c r="Z396" s="178">
        <f t="shared" si="116"/>
        <v>33</v>
      </c>
      <c r="AA396" s="178">
        <f t="shared" si="116"/>
        <v>33</v>
      </c>
      <c r="AD396" s="17">
        <f>CALC!E420*(A396&lt;PARAM!$B$55)</f>
        <v>0</v>
      </c>
      <c r="AE396">
        <f>IF(A396&lt;ITER!$C$16,1,PARAM!$C$53^-(RATES!A396-ITER!$C$16))*(A396&lt;PARAM!$B$55)</f>
        <v>0</v>
      </c>
    </row>
    <row r="397" spans="1:31" x14ac:dyDescent="0.2">
      <c r="A397" s="9">
        <v>394</v>
      </c>
      <c r="B397" s="178">
        <f t="shared" si="114"/>
        <v>64</v>
      </c>
      <c r="C397" s="178">
        <f t="shared" si="114"/>
        <v>64</v>
      </c>
      <c r="D397" s="2">
        <f>PARAM!$H$38</f>
        <v>1</v>
      </c>
      <c r="E397" s="11">
        <f>PARAM!$G$38</f>
        <v>0</v>
      </c>
      <c r="F397" s="11">
        <f>(VLOOKUP(C397,DEDN!$A$8:$O$902,$F$2)*D397+E397)/1000</f>
        <v>1.359E-2</v>
      </c>
      <c r="G397" s="178">
        <f t="shared" si="115"/>
        <v>33</v>
      </c>
      <c r="H397" s="178">
        <f t="shared" si="115"/>
        <v>33</v>
      </c>
      <c r="I397" s="2">
        <f>PARAM!$H$39</f>
        <v>0</v>
      </c>
      <c r="J397" s="11">
        <f>PARAM!$G$39</f>
        <v>0</v>
      </c>
      <c r="K397" s="11">
        <f>(VLOOKUP(H397,DEDN!$A$8:$O$902,$K$2)*I397+J397)/1000</f>
        <v>0</v>
      </c>
      <c r="L397" s="11">
        <f>MIN(IF(PARAM!$B$43=3,CHOOSE($L$2,F397,K397),F397+K397-F397*K397),1)</f>
        <v>1.359E-2</v>
      </c>
      <c r="M397" s="2">
        <f>PARAM!$I$38</f>
        <v>0</v>
      </c>
      <c r="N397" s="11">
        <f>VLOOKUP(B397,DEDN!$A$8:$O$90,$N$2)*M397</f>
        <v>0</v>
      </c>
      <c r="O397" s="12"/>
      <c r="P397" s="10">
        <f>PARAM!$C$53^-A397</f>
        <v>1</v>
      </c>
      <c r="Q397" s="10">
        <f t="shared" si="119"/>
        <v>0.88751914506740326</v>
      </c>
      <c r="R397" s="10">
        <f t="shared" si="117"/>
        <v>0.88751914506740326</v>
      </c>
      <c r="S397" s="10">
        <f>CHOOSE(PARAM!$B$51,R397,0,0,0)*(A397&lt;PARAM!$B$55)</f>
        <v>0</v>
      </c>
      <c r="T397" s="10">
        <f t="shared" si="118"/>
        <v>1.0114309467551541E-3</v>
      </c>
      <c r="U397" s="10">
        <f>T397*P397*(A397&lt;PARAM!$B$55)</f>
        <v>0</v>
      </c>
      <c r="W397">
        <v>394</v>
      </c>
      <c r="X397" s="178">
        <f t="shared" si="116"/>
        <v>64</v>
      </c>
      <c r="Y397" s="178">
        <f t="shared" si="116"/>
        <v>64</v>
      </c>
      <c r="Z397" s="178">
        <f t="shared" si="116"/>
        <v>33</v>
      </c>
      <c r="AA397" s="178">
        <f t="shared" si="116"/>
        <v>33</v>
      </c>
      <c r="AD397" s="17">
        <f>CALC!E421*(A397&lt;PARAM!$B$55)</f>
        <v>0</v>
      </c>
      <c r="AE397">
        <f>IF(A397&lt;ITER!$C$16,1,PARAM!$C$53^-(RATES!A397-ITER!$C$16))*(A397&lt;PARAM!$B$55)</f>
        <v>0</v>
      </c>
    </row>
    <row r="398" spans="1:31" x14ac:dyDescent="0.2">
      <c r="A398" s="9">
        <v>395</v>
      </c>
      <c r="B398" s="178">
        <f t="shared" si="114"/>
        <v>64</v>
      </c>
      <c r="C398" s="178">
        <f t="shared" si="114"/>
        <v>64</v>
      </c>
      <c r="D398" s="2">
        <f>PARAM!$H$38</f>
        <v>1</v>
      </c>
      <c r="E398" s="11">
        <f>PARAM!$G$38</f>
        <v>0</v>
      </c>
      <c r="F398" s="11">
        <f>(VLOOKUP(C398,DEDN!$A$8:$O$902,$F$2)*D398+E398)/1000</f>
        <v>1.359E-2</v>
      </c>
      <c r="G398" s="178">
        <f t="shared" si="115"/>
        <v>33</v>
      </c>
      <c r="H398" s="178">
        <f t="shared" si="115"/>
        <v>33</v>
      </c>
      <c r="I398" s="2">
        <f>PARAM!$H$39</f>
        <v>0</v>
      </c>
      <c r="J398" s="11">
        <f>PARAM!$G$39</f>
        <v>0</v>
      </c>
      <c r="K398" s="11">
        <f>(VLOOKUP(H398,DEDN!$A$8:$O$902,$K$2)*I398+J398)/1000</f>
        <v>0</v>
      </c>
      <c r="L398" s="11">
        <f>MIN(IF(PARAM!$B$43=3,CHOOSE($L$2,F398,K398),F398+K398-F398*K398),1)</f>
        <v>1.359E-2</v>
      </c>
      <c r="M398" s="2">
        <f>PARAM!$I$38</f>
        <v>0</v>
      </c>
      <c r="N398" s="11">
        <f>VLOOKUP(B398,DEDN!$A$8:$O$90,$N$2)*M398</f>
        <v>0</v>
      </c>
      <c r="O398" s="12"/>
      <c r="P398" s="10">
        <f>PARAM!$C$53^-A398</f>
        <v>1</v>
      </c>
      <c r="Q398" s="10">
        <f t="shared" si="119"/>
        <v>0.8865077141206481</v>
      </c>
      <c r="R398" s="10">
        <f t="shared" si="117"/>
        <v>0.8865077141206481</v>
      </c>
      <c r="S398" s="10">
        <f>CHOOSE(PARAM!$B$51,R398,0,0,0)*(A398&lt;PARAM!$B$55)</f>
        <v>0</v>
      </c>
      <c r="T398" s="10">
        <f t="shared" si="118"/>
        <v>1.0102783039465102E-3</v>
      </c>
      <c r="U398" s="10">
        <f>T398*P398*(A398&lt;PARAM!$B$55)</f>
        <v>0</v>
      </c>
      <c r="W398">
        <v>395</v>
      </c>
      <c r="X398" s="178">
        <f t="shared" si="116"/>
        <v>64</v>
      </c>
      <c r="Y398" s="178">
        <f t="shared" si="116"/>
        <v>64</v>
      </c>
      <c r="Z398" s="178">
        <f t="shared" si="116"/>
        <v>33</v>
      </c>
      <c r="AA398" s="178">
        <f t="shared" si="116"/>
        <v>33</v>
      </c>
      <c r="AD398" s="17">
        <f>CALC!E422*(A398&lt;PARAM!$B$55)</f>
        <v>0</v>
      </c>
      <c r="AE398">
        <f>IF(A398&lt;ITER!$C$16,1,PARAM!$C$53^-(RATES!A398-ITER!$C$16))*(A398&lt;PARAM!$B$55)</f>
        <v>0</v>
      </c>
    </row>
    <row r="399" spans="1:31" x14ac:dyDescent="0.2">
      <c r="A399" s="9">
        <v>396</v>
      </c>
      <c r="B399" s="178">
        <f t="shared" si="114"/>
        <v>64</v>
      </c>
      <c r="C399" s="178">
        <f t="shared" si="114"/>
        <v>64</v>
      </c>
      <c r="D399" s="2">
        <f>PARAM!$H$38</f>
        <v>1</v>
      </c>
      <c r="E399" s="11">
        <f>PARAM!$G$38</f>
        <v>0</v>
      </c>
      <c r="F399" s="11">
        <f>(VLOOKUP(C399,DEDN!$A$8:$O$902,$F$2)*D399+E399)/1000</f>
        <v>1.359E-2</v>
      </c>
      <c r="G399" s="178">
        <f t="shared" si="115"/>
        <v>33</v>
      </c>
      <c r="H399" s="178">
        <f t="shared" si="115"/>
        <v>33</v>
      </c>
      <c r="I399" s="2">
        <f>PARAM!$H$39</f>
        <v>0</v>
      </c>
      <c r="J399" s="11">
        <f>PARAM!$G$39</f>
        <v>0</v>
      </c>
      <c r="K399" s="11">
        <f>(VLOOKUP(H399,DEDN!$A$8:$O$902,$K$2)*I399+J399)/1000</f>
        <v>0</v>
      </c>
      <c r="L399" s="11">
        <f>MIN(IF(PARAM!$B$43=3,CHOOSE($L$2,F399,K399),F399+K399-F399*K399),1)</f>
        <v>1.359E-2</v>
      </c>
      <c r="M399" s="2">
        <f>PARAM!$I$38</f>
        <v>0</v>
      </c>
      <c r="N399" s="11">
        <f>VLOOKUP(B399,DEDN!$A$8:$O$90,$N$2)*M399</f>
        <v>0</v>
      </c>
      <c r="O399" s="12"/>
      <c r="P399" s="10">
        <f>PARAM!$C$53^-A399</f>
        <v>1</v>
      </c>
      <c r="Q399" s="10">
        <f t="shared" si="119"/>
        <v>0.88549743581670159</v>
      </c>
      <c r="R399" s="10">
        <f t="shared" si="117"/>
        <v>0.88549743581670159</v>
      </c>
      <c r="S399" s="10">
        <f>R399*(A399&lt;PARAM!$B$55)</f>
        <v>0</v>
      </c>
      <c r="T399" s="10">
        <f t="shared" si="118"/>
        <v>1.0091269747080078E-3</v>
      </c>
      <c r="U399" s="10">
        <f>T399*P399*(A399&lt;PARAM!$B$55)</f>
        <v>0</v>
      </c>
      <c r="W399">
        <v>396</v>
      </c>
      <c r="X399" s="178">
        <f t="shared" si="116"/>
        <v>64</v>
      </c>
      <c r="Y399" s="178">
        <f t="shared" si="116"/>
        <v>64</v>
      </c>
      <c r="Z399" s="178">
        <f t="shared" si="116"/>
        <v>33</v>
      </c>
      <c r="AA399" s="178">
        <f t="shared" si="116"/>
        <v>33</v>
      </c>
      <c r="AD399" s="17">
        <f>CALC!E423*(A399&lt;PARAM!$B$55)</f>
        <v>0</v>
      </c>
      <c r="AE399">
        <f>IF(A399&lt;ITER!$C$16,1,PARAM!$C$53^-(RATES!A399-ITER!$C$16))*(A399&lt;PARAM!$B$55)</f>
        <v>0</v>
      </c>
    </row>
    <row r="400" spans="1:31" x14ac:dyDescent="0.2">
      <c r="A400" s="9">
        <v>397</v>
      </c>
      <c r="B400" s="178">
        <f t="shared" si="114"/>
        <v>64</v>
      </c>
      <c r="C400" s="178">
        <f t="shared" si="114"/>
        <v>64</v>
      </c>
      <c r="D400" s="2">
        <f>PARAM!$H$38</f>
        <v>1</v>
      </c>
      <c r="E400" s="11">
        <f>PARAM!$G$38</f>
        <v>0</v>
      </c>
      <c r="F400" s="11">
        <f>(VLOOKUP(C400,DEDN!$A$8:$O$902,$F$2)*D400+E400)/1000</f>
        <v>1.359E-2</v>
      </c>
      <c r="G400" s="178">
        <f t="shared" si="115"/>
        <v>33</v>
      </c>
      <c r="H400" s="178">
        <f t="shared" si="115"/>
        <v>33</v>
      </c>
      <c r="I400" s="2">
        <f>PARAM!$H$39</f>
        <v>0</v>
      </c>
      <c r="J400" s="11">
        <f>PARAM!$G$39</f>
        <v>0</v>
      </c>
      <c r="K400" s="11">
        <f>(VLOOKUP(H400,DEDN!$A$8:$O$902,$K$2)*I400+J400)/1000</f>
        <v>0</v>
      </c>
      <c r="L400" s="11">
        <f>MIN(IF(PARAM!$B$43=3,CHOOSE($L$2,F400,K400),F400+K400-F400*K400),1)</f>
        <v>1.359E-2</v>
      </c>
      <c r="M400" s="2">
        <f>PARAM!$I$38</f>
        <v>0</v>
      </c>
      <c r="N400" s="11">
        <f>VLOOKUP(B400,DEDN!$A$8:$O$90,$N$2)*M400</f>
        <v>0</v>
      </c>
      <c r="O400" s="12"/>
      <c r="P400" s="10">
        <f>PARAM!$C$53^-A400</f>
        <v>1</v>
      </c>
      <c r="Q400" s="10">
        <f t="shared" si="119"/>
        <v>0.88448830884199359</v>
      </c>
      <c r="R400" s="10">
        <f t="shared" si="117"/>
        <v>0.88448830884199359</v>
      </c>
      <c r="S400" s="10">
        <f>CHOOSE(PARAM!$B$51,R400,0,0,0)*(A400&lt;PARAM!$B$55)</f>
        <v>0</v>
      </c>
      <c r="T400" s="10">
        <f t="shared" si="118"/>
        <v>1.0079769575426223E-3</v>
      </c>
      <c r="U400" s="10">
        <f>T400*P400*(A400&lt;PARAM!$B$55)</f>
        <v>0</v>
      </c>
      <c r="W400">
        <v>397</v>
      </c>
      <c r="X400" s="178">
        <f t="shared" si="116"/>
        <v>64</v>
      </c>
      <c r="Y400" s="178">
        <f t="shared" si="116"/>
        <v>64</v>
      </c>
      <c r="Z400" s="178">
        <f t="shared" si="116"/>
        <v>33</v>
      </c>
      <c r="AA400" s="178">
        <f t="shared" si="116"/>
        <v>33</v>
      </c>
      <c r="AD400" s="17">
        <f>CALC!E424*(A400&lt;PARAM!$B$55)</f>
        <v>0</v>
      </c>
      <c r="AE400">
        <f>IF(A400&lt;ITER!$C$16,1,PARAM!$C$53^-(RATES!A400-ITER!$C$16))*(A400&lt;PARAM!$B$55)</f>
        <v>0</v>
      </c>
    </row>
    <row r="401" spans="1:31" x14ac:dyDescent="0.2">
      <c r="A401" s="9">
        <v>398</v>
      </c>
      <c r="B401" s="178">
        <f t="shared" ref="B401:C420" si="120">B389+1</f>
        <v>64</v>
      </c>
      <c r="C401" s="178">
        <f t="shared" si="120"/>
        <v>64</v>
      </c>
      <c r="D401" s="2">
        <f>PARAM!$H$38</f>
        <v>1</v>
      </c>
      <c r="E401" s="11">
        <f>PARAM!$G$38</f>
        <v>0</v>
      </c>
      <c r="F401" s="11">
        <f>(VLOOKUP(C401,DEDN!$A$8:$O$902,$F$2)*D401+E401)/1000</f>
        <v>1.359E-2</v>
      </c>
      <c r="G401" s="178">
        <f t="shared" ref="G401:H420" si="121">G389+1</f>
        <v>33</v>
      </c>
      <c r="H401" s="178">
        <f t="shared" si="121"/>
        <v>33</v>
      </c>
      <c r="I401" s="2">
        <f>PARAM!$H$39</f>
        <v>0</v>
      </c>
      <c r="J401" s="11">
        <f>PARAM!$G$39</f>
        <v>0</v>
      </c>
      <c r="K401" s="11">
        <f>(VLOOKUP(H401,DEDN!$A$8:$O$902,$K$2)*I401+J401)/1000</f>
        <v>0</v>
      </c>
      <c r="L401" s="11">
        <f>MIN(IF(PARAM!$B$43=3,CHOOSE($L$2,F401,K401),F401+K401-F401*K401),1)</f>
        <v>1.359E-2</v>
      </c>
      <c r="M401" s="2">
        <f>PARAM!$I$38</f>
        <v>0</v>
      </c>
      <c r="N401" s="11">
        <f>VLOOKUP(B401,DEDN!$A$8:$O$90,$N$2)*M401</f>
        <v>0</v>
      </c>
      <c r="O401" s="12"/>
      <c r="P401" s="10">
        <f>PARAM!$C$53^-A401</f>
        <v>1</v>
      </c>
      <c r="Q401" s="10">
        <f t="shared" si="119"/>
        <v>0.88348033188445096</v>
      </c>
      <c r="R401" s="10">
        <f t="shared" si="117"/>
        <v>0.88348033188445096</v>
      </c>
      <c r="S401" s="10">
        <f>CHOOSE(PARAM!$B$51,R401,0,0,0)*(A401&lt;PARAM!$B$55)</f>
        <v>0</v>
      </c>
      <c r="T401" s="10">
        <f t="shared" si="118"/>
        <v>1.0068282509551052E-3</v>
      </c>
      <c r="U401" s="10">
        <f>T401*P401*(A401&lt;PARAM!$B$55)</f>
        <v>0</v>
      </c>
      <c r="W401">
        <v>398</v>
      </c>
      <c r="X401" s="178">
        <f t="shared" ref="X401:AA420" si="122">X389+1</f>
        <v>64</v>
      </c>
      <c r="Y401" s="178">
        <f t="shared" si="122"/>
        <v>64</v>
      </c>
      <c r="Z401" s="178">
        <f t="shared" si="122"/>
        <v>33</v>
      </c>
      <c r="AA401" s="178">
        <f t="shared" si="122"/>
        <v>33</v>
      </c>
      <c r="AD401" s="17">
        <f>CALC!E425*(A401&lt;PARAM!$B$55)</f>
        <v>0</v>
      </c>
      <c r="AE401">
        <f>IF(A401&lt;ITER!$C$16,1,PARAM!$C$53^-(RATES!A401-ITER!$C$16))*(A401&lt;PARAM!$B$55)</f>
        <v>0</v>
      </c>
    </row>
    <row r="402" spans="1:31" x14ac:dyDescent="0.2">
      <c r="A402" s="9">
        <v>399</v>
      </c>
      <c r="B402" s="178">
        <f t="shared" si="120"/>
        <v>64</v>
      </c>
      <c r="C402" s="178">
        <f t="shared" si="120"/>
        <v>64</v>
      </c>
      <c r="D402" s="2">
        <f>PARAM!$H$38</f>
        <v>1</v>
      </c>
      <c r="E402" s="11">
        <f>PARAM!$G$38</f>
        <v>0</v>
      </c>
      <c r="F402" s="11">
        <f>(VLOOKUP(C402,DEDN!$A$8:$O$902,$F$2)*D402+E402)/1000</f>
        <v>1.359E-2</v>
      </c>
      <c r="G402" s="178">
        <f t="shared" si="121"/>
        <v>33</v>
      </c>
      <c r="H402" s="178">
        <f t="shared" si="121"/>
        <v>33</v>
      </c>
      <c r="I402" s="2">
        <f>PARAM!$H$39</f>
        <v>0</v>
      </c>
      <c r="J402" s="11">
        <f>PARAM!$G$39</f>
        <v>0</v>
      </c>
      <c r="K402" s="11">
        <f>(VLOOKUP(H402,DEDN!$A$8:$O$902,$K$2)*I402+J402)/1000</f>
        <v>0</v>
      </c>
      <c r="L402" s="11">
        <f>MIN(IF(PARAM!$B$43=3,CHOOSE($L$2,F402,K402),F402+K402-F402*K402),1)</f>
        <v>1.359E-2</v>
      </c>
      <c r="M402" s="2">
        <f>PARAM!$I$38</f>
        <v>0</v>
      </c>
      <c r="N402" s="11">
        <f>VLOOKUP(B402,DEDN!$A$8:$O$90,$N$2)*M402</f>
        <v>0</v>
      </c>
      <c r="O402" s="12"/>
      <c r="P402" s="10">
        <f>PARAM!$C$53^-A402</f>
        <v>1</v>
      </c>
      <c r="Q402" s="10">
        <f t="shared" si="119"/>
        <v>0.88247350363349586</v>
      </c>
      <c r="R402" s="10">
        <f t="shared" si="117"/>
        <v>0.88247350363349586</v>
      </c>
      <c r="S402" s="10">
        <f>CHOOSE(PARAM!$B$51,R402,R402,0,0)*(A402&lt;PARAM!$B$55)</f>
        <v>0</v>
      </c>
      <c r="T402" s="10">
        <f t="shared" si="118"/>
        <v>1.0056808534519845E-3</v>
      </c>
      <c r="U402" s="10">
        <f>T402*P402*(A402&lt;PARAM!$B$55)</f>
        <v>0</v>
      </c>
      <c r="W402">
        <v>399</v>
      </c>
      <c r="X402" s="178">
        <f t="shared" si="122"/>
        <v>64</v>
      </c>
      <c r="Y402" s="178">
        <f t="shared" si="122"/>
        <v>64</v>
      </c>
      <c r="Z402" s="178">
        <f t="shared" si="122"/>
        <v>33</v>
      </c>
      <c r="AA402" s="178">
        <f t="shared" si="122"/>
        <v>33</v>
      </c>
      <c r="AD402" s="17">
        <f>CALC!E426*(A402&lt;PARAM!$B$55)</f>
        <v>0</v>
      </c>
      <c r="AE402">
        <f>IF(A402&lt;ITER!$C$16,1,PARAM!$C$53^-(RATES!A402-ITER!$C$16))*(A402&lt;PARAM!$B$55)</f>
        <v>0</v>
      </c>
    </row>
    <row r="403" spans="1:31" x14ac:dyDescent="0.2">
      <c r="A403" s="9">
        <v>400</v>
      </c>
      <c r="B403" s="178">
        <f t="shared" si="120"/>
        <v>64</v>
      </c>
      <c r="C403" s="178">
        <f t="shared" si="120"/>
        <v>64</v>
      </c>
      <c r="D403" s="2">
        <f>PARAM!$H$38</f>
        <v>1</v>
      </c>
      <c r="E403" s="11">
        <f>PARAM!$G$38</f>
        <v>0</v>
      </c>
      <c r="F403" s="11">
        <f>(VLOOKUP(C403,DEDN!$A$8:$O$902,$F$2)*D403+E403)/1000</f>
        <v>1.359E-2</v>
      </c>
      <c r="G403" s="178">
        <f t="shared" si="121"/>
        <v>33</v>
      </c>
      <c r="H403" s="178">
        <f t="shared" si="121"/>
        <v>33</v>
      </c>
      <c r="I403" s="2">
        <f>PARAM!$H$39</f>
        <v>0</v>
      </c>
      <c r="J403" s="11">
        <f>PARAM!$G$39</f>
        <v>0</v>
      </c>
      <c r="K403" s="11">
        <f>(VLOOKUP(H403,DEDN!$A$8:$O$902,$K$2)*I403+J403)/1000</f>
        <v>0</v>
      </c>
      <c r="L403" s="11">
        <f>MIN(IF(PARAM!$B$43=3,CHOOSE($L$2,F403,K403),F403+K403-F403*K403),1)</f>
        <v>1.359E-2</v>
      </c>
      <c r="M403" s="2">
        <f>PARAM!$I$38</f>
        <v>0</v>
      </c>
      <c r="N403" s="11">
        <f>VLOOKUP(B403,DEDN!$A$8:$O$90,$N$2)*M403</f>
        <v>0</v>
      </c>
      <c r="O403" s="12"/>
      <c r="P403" s="10">
        <f>PARAM!$C$53^-A403</f>
        <v>1</v>
      </c>
      <c r="Q403" s="10">
        <f t="shared" si="119"/>
        <v>0.88146782278004387</v>
      </c>
      <c r="R403" s="10">
        <f t="shared" si="117"/>
        <v>0.88146782278004387</v>
      </c>
      <c r="S403" s="10">
        <f>CHOOSE(PARAM!$B$51,R403,0,0,0)*(A403&lt;PARAM!$B$55)</f>
        <v>0</v>
      </c>
      <c r="T403" s="10">
        <f t="shared" si="118"/>
        <v>1.0045347635412316E-3</v>
      </c>
      <c r="U403" s="10">
        <f>T403*P403*(A403&lt;PARAM!$B$55)</f>
        <v>0</v>
      </c>
      <c r="W403">
        <v>400</v>
      </c>
      <c r="X403" s="178">
        <f t="shared" si="122"/>
        <v>64</v>
      </c>
      <c r="Y403" s="178">
        <f t="shared" si="122"/>
        <v>64</v>
      </c>
      <c r="Z403" s="178">
        <f t="shared" si="122"/>
        <v>33</v>
      </c>
      <c r="AA403" s="178">
        <f t="shared" si="122"/>
        <v>33</v>
      </c>
      <c r="AD403" s="17">
        <f>CALC!E427*(A403&lt;PARAM!$B$55)</f>
        <v>0</v>
      </c>
      <c r="AE403">
        <f>IF(A403&lt;ITER!$C$16,1,PARAM!$C$53^-(RATES!A403-ITER!$C$16))*(A403&lt;PARAM!$B$55)</f>
        <v>0</v>
      </c>
    </row>
    <row r="404" spans="1:31" x14ac:dyDescent="0.2">
      <c r="A404" s="9">
        <v>401</v>
      </c>
      <c r="B404" s="178">
        <f t="shared" si="120"/>
        <v>64</v>
      </c>
      <c r="C404" s="178">
        <f t="shared" si="120"/>
        <v>64</v>
      </c>
      <c r="D404" s="2">
        <f>PARAM!$H$38</f>
        <v>1</v>
      </c>
      <c r="E404" s="11">
        <f>PARAM!$G$38</f>
        <v>0</v>
      </c>
      <c r="F404" s="11">
        <f>(VLOOKUP(C404,DEDN!$A$8:$O$902,$F$2)*D404+E404)/1000</f>
        <v>1.359E-2</v>
      </c>
      <c r="G404" s="178">
        <f t="shared" si="121"/>
        <v>33</v>
      </c>
      <c r="H404" s="178">
        <f t="shared" si="121"/>
        <v>33</v>
      </c>
      <c r="I404" s="2">
        <f>PARAM!$H$39</f>
        <v>0</v>
      </c>
      <c r="J404" s="11">
        <f>PARAM!$G$39</f>
        <v>0</v>
      </c>
      <c r="K404" s="11">
        <f>(VLOOKUP(H404,DEDN!$A$8:$O$902,$K$2)*I404+J404)/1000</f>
        <v>0</v>
      </c>
      <c r="L404" s="11">
        <f>MIN(IF(PARAM!$B$43=3,CHOOSE($L$2,F404,K404),F404+K404-F404*K404),1)</f>
        <v>1.359E-2</v>
      </c>
      <c r="M404" s="2">
        <f>PARAM!$I$38</f>
        <v>0</v>
      </c>
      <c r="N404" s="11">
        <f>VLOOKUP(B404,DEDN!$A$8:$O$90,$N$2)*M404</f>
        <v>0</v>
      </c>
      <c r="O404" s="12"/>
      <c r="P404" s="10">
        <f>PARAM!$C$53^-A404</f>
        <v>1</v>
      </c>
      <c r="Q404" s="10">
        <f t="shared" si="119"/>
        <v>0.88046328801650264</v>
      </c>
      <c r="R404" s="10">
        <f t="shared" ref="R404:R419" si="123">P404*Q404</f>
        <v>0.88046328801650264</v>
      </c>
      <c r="S404" s="10">
        <f>CHOOSE(PARAM!$B$51,R404,0,0,0)*(A404&lt;PARAM!$B$55)</f>
        <v>0</v>
      </c>
      <c r="T404" s="10">
        <f t="shared" si="118"/>
        <v>1.0033899797328161E-3</v>
      </c>
      <c r="U404" s="10">
        <f>T404*P404*(A404&lt;PARAM!$B$55)</f>
        <v>0</v>
      </c>
      <c r="W404">
        <v>401</v>
      </c>
      <c r="X404" s="178">
        <f t="shared" si="122"/>
        <v>64</v>
      </c>
      <c r="Y404" s="178">
        <f t="shared" si="122"/>
        <v>64</v>
      </c>
      <c r="Z404" s="178">
        <f t="shared" si="122"/>
        <v>33</v>
      </c>
      <c r="AA404" s="178">
        <f t="shared" si="122"/>
        <v>33</v>
      </c>
      <c r="AD404" s="17">
        <f>CALC!E428*(A404&lt;PARAM!$B$55)</f>
        <v>0</v>
      </c>
      <c r="AE404">
        <f>IF(A404&lt;ITER!$C$16,1,PARAM!$C$53^-(RATES!A404-ITER!$C$16))*(A404&lt;PARAM!$B$55)</f>
        <v>0</v>
      </c>
    </row>
    <row r="405" spans="1:31" x14ac:dyDescent="0.2">
      <c r="A405" s="9">
        <v>402</v>
      </c>
      <c r="B405" s="178">
        <f t="shared" si="120"/>
        <v>65</v>
      </c>
      <c r="C405" s="178">
        <f t="shared" si="120"/>
        <v>65</v>
      </c>
      <c r="D405" s="2">
        <f>PARAM!$H$38</f>
        <v>1</v>
      </c>
      <c r="E405" s="11">
        <f>PARAM!$G$38</f>
        <v>0</v>
      </c>
      <c r="F405" s="11">
        <f>(VLOOKUP(C405,DEDN!$A$8:$O$902,$F$2)*D405+E405)/1000</f>
        <v>1.508E-2</v>
      </c>
      <c r="G405" s="178">
        <f t="shared" si="121"/>
        <v>34</v>
      </c>
      <c r="H405" s="178">
        <f t="shared" si="121"/>
        <v>34</v>
      </c>
      <c r="I405" s="2">
        <f>PARAM!$H$39</f>
        <v>0</v>
      </c>
      <c r="J405" s="11">
        <f>PARAM!$G$39</f>
        <v>0</v>
      </c>
      <c r="K405" s="11">
        <f>(VLOOKUP(H405,DEDN!$A$8:$O$902,$K$2)*I405+J405)/1000</f>
        <v>0</v>
      </c>
      <c r="L405" s="11">
        <f>MIN(IF(PARAM!$B$43=3,CHOOSE($L$2,F405,K405),F405+K405-F405*K405),1)</f>
        <v>1.508E-2</v>
      </c>
      <c r="M405" s="2">
        <f>PARAM!$I$38</f>
        <v>0</v>
      </c>
      <c r="N405" s="11">
        <f>VLOOKUP(B405,DEDN!$A$8:$O$90,$N$2)*M405</f>
        <v>0</v>
      </c>
      <c r="O405" s="12"/>
      <c r="P405" s="10">
        <f>PARAM!$C$53^-A405</f>
        <v>1</v>
      </c>
      <c r="Q405" s="10">
        <f t="shared" ref="Q405:Q420" si="124">Q404*(1-L404)^(1/12)</f>
        <v>0.87945989803676983</v>
      </c>
      <c r="R405" s="10">
        <f t="shared" si="123"/>
        <v>0.87945989803676983</v>
      </c>
      <c r="S405" s="10">
        <f>CHOOSE(PARAM!$B$51,R405,R405,R405,0)*(A405&lt;PARAM!$B$55)</f>
        <v>0</v>
      </c>
      <c r="T405" s="10">
        <f t="shared" si="118"/>
        <v>1.1129010426207397E-3</v>
      </c>
      <c r="U405" s="10">
        <f>T405*P405*(A405&lt;PARAM!$B$55)</f>
        <v>0</v>
      </c>
      <c r="W405">
        <v>402</v>
      </c>
      <c r="X405" s="178">
        <f t="shared" si="122"/>
        <v>65</v>
      </c>
      <c r="Y405" s="178">
        <f t="shared" si="122"/>
        <v>65</v>
      </c>
      <c r="Z405" s="178">
        <f t="shared" si="122"/>
        <v>34</v>
      </c>
      <c r="AA405" s="178">
        <f t="shared" si="122"/>
        <v>34</v>
      </c>
      <c r="AD405" s="17">
        <f>CALC!E429*(A405&lt;PARAM!$B$55)</f>
        <v>0</v>
      </c>
      <c r="AE405">
        <f>IF(A405&lt;ITER!$C$16,1,PARAM!$C$53^-(RATES!A405-ITER!$C$16))*(A405&lt;PARAM!$B$55)</f>
        <v>0</v>
      </c>
    </row>
    <row r="406" spans="1:31" x14ac:dyDescent="0.2">
      <c r="A406" s="9">
        <v>403</v>
      </c>
      <c r="B406" s="178">
        <f t="shared" si="120"/>
        <v>65</v>
      </c>
      <c r="C406" s="178">
        <f t="shared" si="120"/>
        <v>65</v>
      </c>
      <c r="D406" s="2">
        <f>PARAM!$H$38</f>
        <v>1</v>
      </c>
      <c r="E406" s="11">
        <f>PARAM!$G$38</f>
        <v>0</v>
      </c>
      <c r="F406" s="11">
        <f>(VLOOKUP(C406,DEDN!$A$8:$O$902,$F$2)*D406+E406)/1000</f>
        <v>1.508E-2</v>
      </c>
      <c r="G406" s="178">
        <f t="shared" si="121"/>
        <v>34</v>
      </c>
      <c r="H406" s="178">
        <f t="shared" si="121"/>
        <v>34</v>
      </c>
      <c r="I406" s="2">
        <f>PARAM!$H$39</f>
        <v>0</v>
      </c>
      <c r="J406" s="11">
        <f>PARAM!$G$39</f>
        <v>0</v>
      </c>
      <c r="K406" s="11">
        <f>(VLOOKUP(H406,DEDN!$A$8:$O$902,$K$2)*I406+J406)/1000</f>
        <v>0</v>
      </c>
      <c r="L406" s="11">
        <f>MIN(IF(PARAM!$B$43=3,CHOOSE($L$2,F406,K406),F406+K406-F406*K406),1)</f>
        <v>1.508E-2</v>
      </c>
      <c r="M406" s="2">
        <f>PARAM!$I$38</f>
        <v>0</v>
      </c>
      <c r="N406" s="11">
        <f>VLOOKUP(B406,DEDN!$A$8:$O$90,$N$2)*M406</f>
        <v>0</v>
      </c>
      <c r="O406" s="12"/>
      <c r="P406" s="10">
        <f>PARAM!$C$53^-A406</f>
        <v>1</v>
      </c>
      <c r="Q406" s="10">
        <f t="shared" si="124"/>
        <v>0.87834699699414909</v>
      </c>
      <c r="R406" s="10">
        <f t="shared" si="123"/>
        <v>0.87834699699414909</v>
      </c>
      <c r="S406" s="10">
        <f>CHOOSE(PARAM!$B$51,R406,0,0,0)*(A406&lt;PARAM!$B$55)</f>
        <v>0</v>
      </c>
      <c r="T406" s="10">
        <f t="shared" si="118"/>
        <v>1.1114927365303284E-3</v>
      </c>
      <c r="U406" s="10">
        <f>T406*P406*(A406&lt;PARAM!$B$55)</f>
        <v>0</v>
      </c>
      <c r="W406">
        <v>403</v>
      </c>
      <c r="X406" s="178">
        <f t="shared" si="122"/>
        <v>65</v>
      </c>
      <c r="Y406" s="178">
        <f t="shared" si="122"/>
        <v>65</v>
      </c>
      <c r="Z406" s="178">
        <f t="shared" si="122"/>
        <v>34</v>
      </c>
      <c r="AA406" s="178">
        <f t="shared" si="122"/>
        <v>34</v>
      </c>
      <c r="AD406" s="17">
        <f>CALC!E430*(A406&lt;PARAM!$B$55)</f>
        <v>0</v>
      </c>
      <c r="AE406">
        <f>IF(A406&lt;ITER!$C$16,1,PARAM!$C$53^-(RATES!A406-ITER!$C$16))*(A406&lt;PARAM!$B$55)</f>
        <v>0</v>
      </c>
    </row>
    <row r="407" spans="1:31" x14ac:dyDescent="0.2">
      <c r="A407" s="9">
        <v>404</v>
      </c>
      <c r="B407" s="178">
        <f t="shared" si="120"/>
        <v>65</v>
      </c>
      <c r="C407" s="178">
        <f t="shared" si="120"/>
        <v>65</v>
      </c>
      <c r="D407" s="2">
        <f>PARAM!$H$38</f>
        <v>1</v>
      </c>
      <c r="E407" s="11">
        <f>PARAM!$G$38</f>
        <v>0</v>
      </c>
      <c r="F407" s="11">
        <f>(VLOOKUP(C407,DEDN!$A$8:$O$902,$F$2)*D407+E407)/1000</f>
        <v>1.508E-2</v>
      </c>
      <c r="G407" s="178">
        <f t="shared" si="121"/>
        <v>34</v>
      </c>
      <c r="H407" s="178">
        <f t="shared" si="121"/>
        <v>34</v>
      </c>
      <c r="I407" s="2">
        <f>PARAM!$H$39</f>
        <v>0</v>
      </c>
      <c r="J407" s="11">
        <f>PARAM!$G$39</f>
        <v>0</v>
      </c>
      <c r="K407" s="11">
        <f>(VLOOKUP(H407,DEDN!$A$8:$O$902,$K$2)*I407+J407)/1000</f>
        <v>0</v>
      </c>
      <c r="L407" s="11">
        <f>MIN(IF(PARAM!$B$43=3,CHOOSE($L$2,F407,K407),F407+K407-F407*K407),1)</f>
        <v>1.508E-2</v>
      </c>
      <c r="M407" s="2">
        <f>PARAM!$I$38</f>
        <v>0</v>
      </c>
      <c r="N407" s="11">
        <f>VLOOKUP(B407,DEDN!$A$8:$O$90,$N$2)*M407</f>
        <v>0</v>
      </c>
      <c r="O407" s="12"/>
      <c r="P407" s="10">
        <f>PARAM!$C$53^-A407</f>
        <v>1</v>
      </c>
      <c r="Q407" s="10">
        <f t="shared" si="124"/>
        <v>0.87723550425761876</v>
      </c>
      <c r="R407" s="10">
        <f t="shared" si="123"/>
        <v>0.87723550425761876</v>
      </c>
      <c r="S407" s="10">
        <f>CHOOSE(PARAM!$B$51,R407,0,0,0)*(A407&lt;PARAM!$B$55)</f>
        <v>0</v>
      </c>
      <c r="T407" s="10">
        <f t="shared" si="118"/>
        <v>1.1100862125624777E-3</v>
      </c>
      <c r="U407" s="10">
        <f>T407*P407*(A407&lt;PARAM!$B$55)</f>
        <v>0</v>
      </c>
      <c r="W407">
        <v>404</v>
      </c>
      <c r="X407" s="178">
        <f t="shared" si="122"/>
        <v>65</v>
      </c>
      <c r="Y407" s="178">
        <f t="shared" si="122"/>
        <v>65</v>
      </c>
      <c r="Z407" s="178">
        <f t="shared" si="122"/>
        <v>34</v>
      </c>
      <c r="AA407" s="178">
        <f t="shared" si="122"/>
        <v>34</v>
      </c>
      <c r="AD407" s="17">
        <f>CALC!E431*(A407&lt;PARAM!$B$55)</f>
        <v>0</v>
      </c>
      <c r="AE407">
        <f>IF(A407&lt;ITER!$C$16,1,PARAM!$C$53^-(RATES!A407-ITER!$C$16))*(A407&lt;PARAM!$B$55)</f>
        <v>0</v>
      </c>
    </row>
    <row r="408" spans="1:31" x14ac:dyDescent="0.2">
      <c r="A408" s="9">
        <v>405</v>
      </c>
      <c r="B408" s="178">
        <f t="shared" si="120"/>
        <v>65</v>
      </c>
      <c r="C408" s="178">
        <f t="shared" si="120"/>
        <v>65</v>
      </c>
      <c r="D408" s="2">
        <f>PARAM!$H$38</f>
        <v>1</v>
      </c>
      <c r="E408" s="11">
        <f>PARAM!$G$38</f>
        <v>0</v>
      </c>
      <c r="F408" s="11">
        <f>(VLOOKUP(C408,DEDN!$A$8:$O$902,$F$2)*D408+E408)/1000</f>
        <v>1.508E-2</v>
      </c>
      <c r="G408" s="178">
        <f t="shared" si="121"/>
        <v>34</v>
      </c>
      <c r="H408" s="178">
        <f t="shared" si="121"/>
        <v>34</v>
      </c>
      <c r="I408" s="2">
        <f>PARAM!$H$39</f>
        <v>0</v>
      </c>
      <c r="J408" s="11">
        <f>PARAM!$G$39</f>
        <v>0</v>
      </c>
      <c r="K408" s="11">
        <f>(VLOOKUP(H408,DEDN!$A$8:$O$902,$K$2)*I408+J408)/1000</f>
        <v>0</v>
      </c>
      <c r="L408" s="11">
        <f>MIN(IF(PARAM!$B$43=3,CHOOSE($L$2,F408,K408),F408+K408-F408*K408),1)</f>
        <v>1.508E-2</v>
      </c>
      <c r="M408" s="2">
        <f>PARAM!$I$38</f>
        <v>0</v>
      </c>
      <c r="N408" s="11">
        <f>VLOOKUP(B408,DEDN!$A$8:$O$90,$N$2)*M408</f>
        <v>0</v>
      </c>
      <c r="O408" s="12"/>
      <c r="P408" s="10">
        <f>PARAM!$C$53^-A408</f>
        <v>1</v>
      </c>
      <c r="Q408" s="10">
        <f t="shared" si="124"/>
        <v>0.87612541804505628</v>
      </c>
      <c r="R408" s="10">
        <f t="shared" si="123"/>
        <v>0.87612541804505628</v>
      </c>
      <c r="S408" s="10">
        <f>CHOOSE(PARAM!$B$51,R408,R408,0,0)*(A408&lt;PARAM!$B$55)</f>
        <v>0</v>
      </c>
      <c r="T408" s="10">
        <f t="shared" si="118"/>
        <v>1.1086814684619917E-3</v>
      </c>
      <c r="U408" s="10">
        <f>T408*P408*(A408&lt;PARAM!$B$55)</f>
        <v>0</v>
      </c>
      <c r="W408">
        <v>405</v>
      </c>
      <c r="X408" s="178">
        <f t="shared" si="122"/>
        <v>65</v>
      </c>
      <c r="Y408" s="178">
        <f t="shared" si="122"/>
        <v>65</v>
      </c>
      <c r="Z408" s="178">
        <f t="shared" si="122"/>
        <v>34</v>
      </c>
      <c r="AA408" s="178">
        <f t="shared" si="122"/>
        <v>34</v>
      </c>
      <c r="AD408" s="17">
        <f>CALC!E432*(A408&lt;PARAM!$B$55)</f>
        <v>0</v>
      </c>
      <c r="AE408">
        <f>IF(A408&lt;ITER!$C$16,1,PARAM!$C$53^-(RATES!A408-ITER!$C$16))*(A408&lt;PARAM!$B$55)</f>
        <v>0</v>
      </c>
    </row>
    <row r="409" spans="1:31" x14ac:dyDescent="0.2">
      <c r="A409" s="9">
        <v>406</v>
      </c>
      <c r="B409" s="178">
        <f t="shared" si="120"/>
        <v>65</v>
      </c>
      <c r="C409" s="178">
        <f t="shared" si="120"/>
        <v>65</v>
      </c>
      <c r="D409" s="2">
        <f>PARAM!$H$38</f>
        <v>1</v>
      </c>
      <c r="E409" s="11">
        <f>PARAM!$G$38</f>
        <v>0</v>
      </c>
      <c r="F409" s="11">
        <f>(VLOOKUP(C409,DEDN!$A$8:$O$902,$F$2)*D409+E409)/1000</f>
        <v>1.508E-2</v>
      </c>
      <c r="G409" s="178">
        <f t="shared" si="121"/>
        <v>34</v>
      </c>
      <c r="H409" s="178">
        <f t="shared" si="121"/>
        <v>34</v>
      </c>
      <c r="I409" s="2">
        <f>PARAM!$H$39</f>
        <v>0</v>
      </c>
      <c r="J409" s="11">
        <f>PARAM!$G$39</f>
        <v>0</v>
      </c>
      <c r="K409" s="11">
        <f>(VLOOKUP(H409,DEDN!$A$8:$O$902,$K$2)*I409+J409)/1000</f>
        <v>0</v>
      </c>
      <c r="L409" s="11">
        <f>MIN(IF(PARAM!$B$43=3,CHOOSE($L$2,F409,K409),F409+K409-F409*K409),1)</f>
        <v>1.508E-2</v>
      </c>
      <c r="M409" s="2">
        <f>PARAM!$I$38</f>
        <v>0</v>
      </c>
      <c r="N409" s="11">
        <f>VLOOKUP(B409,DEDN!$A$8:$O$90,$N$2)*M409</f>
        <v>0</v>
      </c>
      <c r="O409" s="12"/>
      <c r="P409" s="10">
        <f>PARAM!$C$53^-A409</f>
        <v>1</v>
      </c>
      <c r="Q409" s="10">
        <f t="shared" si="124"/>
        <v>0.87501673657659429</v>
      </c>
      <c r="R409" s="10">
        <f t="shared" si="123"/>
        <v>0.87501673657659429</v>
      </c>
      <c r="S409" s="10">
        <f>CHOOSE(PARAM!$B$51,R409,0,0,0)*(A409&lt;PARAM!$B$55)</f>
        <v>0</v>
      </c>
      <c r="T409" s="10">
        <f t="shared" si="118"/>
        <v>1.1072785019765607E-3</v>
      </c>
      <c r="U409" s="10">
        <f>T409*P409*(A409&lt;PARAM!$B$55)</f>
        <v>0</v>
      </c>
      <c r="W409">
        <v>406</v>
      </c>
      <c r="X409" s="178">
        <f t="shared" si="122"/>
        <v>65</v>
      </c>
      <c r="Y409" s="178">
        <f t="shared" si="122"/>
        <v>65</v>
      </c>
      <c r="Z409" s="178">
        <f t="shared" si="122"/>
        <v>34</v>
      </c>
      <c r="AA409" s="178">
        <f t="shared" si="122"/>
        <v>34</v>
      </c>
      <c r="AD409" s="17">
        <f>CALC!E433*(A409&lt;PARAM!$B$55)</f>
        <v>0</v>
      </c>
      <c r="AE409">
        <f>IF(A409&lt;ITER!$C$16,1,PARAM!$C$53^-(RATES!A409-ITER!$C$16))*(A409&lt;PARAM!$B$55)</f>
        <v>0</v>
      </c>
    </row>
    <row r="410" spans="1:31" x14ac:dyDescent="0.2">
      <c r="A410" s="9">
        <v>407</v>
      </c>
      <c r="B410" s="178">
        <f t="shared" si="120"/>
        <v>65</v>
      </c>
      <c r="C410" s="178">
        <f t="shared" si="120"/>
        <v>65</v>
      </c>
      <c r="D410" s="2">
        <f>PARAM!$H$38</f>
        <v>1</v>
      </c>
      <c r="E410" s="11">
        <f>PARAM!$G$38</f>
        <v>0</v>
      </c>
      <c r="F410" s="11">
        <f>(VLOOKUP(C410,DEDN!$A$8:$O$902,$F$2)*D410+E410)/1000</f>
        <v>1.508E-2</v>
      </c>
      <c r="G410" s="178">
        <f t="shared" si="121"/>
        <v>34</v>
      </c>
      <c r="H410" s="178">
        <f t="shared" si="121"/>
        <v>34</v>
      </c>
      <c r="I410" s="2">
        <f>PARAM!$H$39</f>
        <v>0</v>
      </c>
      <c r="J410" s="11">
        <f>PARAM!$G$39</f>
        <v>0</v>
      </c>
      <c r="K410" s="11">
        <f>(VLOOKUP(H410,DEDN!$A$8:$O$902,$K$2)*I410+J410)/1000</f>
        <v>0</v>
      </c>
      <c r="L410" s="11">
        <f>MIN(IF(PARAM!$B$43=3,CHOOSE($L$2,F410,K410),F410+K410-F410*K410),1)</f>
        <v>1.508E-2</v>
      </c>
      <c r="M410" s="2">
        <f>PARAM!$I$38</f>
        <v>0</v>
      </c>
      <c r="N410" s="11">
        <f>VLOOKUP(B410,DEDN!$A$8:$O$90,$N$2)*M410</f>
        <v>0</v>
      </c>
      <c r="O410" s="12"/>
      <c r="P410" s="10">
        <f>PARAM!$C$53^-A410</f>
        <v>1</v>
      </c>
      <c r="Q410" s="10">
        <f t="shared" si="124"/>
        <v>0.87390945807461773</v>
      </c>
      <c r="R410" s="10">
        <f t="shared" si="123"/>
        <v>0.87390945807461773</v>
      </c>
      <c r="S410" s="10">
        <f>CHOOSE(PARAM!$B$51,R410,0,0,0)*(A410&lt;PARAM!$B$55)</f>
        <v>0</v>
      </c>
      <c r="T410" s="10">
        <f t="shared" si="118"/>
        <v>1.1058773108568731E-3</v>
      </c>
      <c r="U410" s="10">
        <f>T410*P410*(A410&lt;PARAM!$B$55)</f>
        <v>0</v>
      </c>
      <c r="W410">
        <v>407</v>
      </c>
      <c r="X410" s="178">
        <f t="shared" si="122"/>
        <v>65</v>
      </c>
      <c r="Y410" s="178">
        <f t="shared" si="122"/>
        <v>65</v>
      </c>
      <c r="Z410" s="178">
        <f t="shared" si="122"/>
        <v>34</v>
      </c>
      <c r="AA410" s="178">
        <f t="shared" si="122"/>
        <v>34</v>
      </c>
      <c r="AD410" s="17">
        <f>CALC!E434*(A410&lt;PARAM!$B$55)</f>
        <v>0</v>
      </c>
      <c r="AE410">
        <f>IF(A410&lt;ITER!$C$16,1,PARAM!$C$53^-(RATES!A410-ITER!$C$16))*(A410&lt;PARAM!$B$55)</f>
        <v>0</v>
      </c>
    </row>
    <row r="411" spans="1:31" x14ac:dyDescent="0.2">
      <c r="A411" s="9">
        <v>408</v>
      </c>
      <c r="B411" s="178">
        <f t="shared" si="120"/>
        <v>65</v>
      </c>
      <c r="C411" s="178">
        <f t="shared" si="120"/>
        <v>65</v>
      </c>
      <c r="D411" s="2">
        <f>PARAM!$H$38</f>
        <v>1</v>
      </c>
      <c r="E411" s="11">
        <f>PARAM!$G$38</f>
        <v>0</v>
      </c>
      <c r="F411" s="11">
        <f>(VLOOKUP(C411,DEDN!$A$8:$O$902,$F$2)*D411+E411)/1000</f>
        <v>1.508E-2</v>
      </c>
      <c r="G411" s="178">
        <f t="shared" si="121"/>
        <v>34</v>
      </c>
      <c r="H411" s="178">
        <f t="shared" si="121"/>
        <v>34</v>
      </c>
      <c r="I411" s="2">
        <f>PARAM!$H$39</f>
        <v>0</v>
      </c>
      <c r="J411" s="11">
        <f>PARAM!$G$39</f>
        <v>0</v>
      </c>
      <c r="K411" s="11">
        <f>(VLOOKUP(H411,DEDN!$A$8:$O$902,$K$2)*I411+J411)/1000</f>
        <v>0</v>
      </c>
      <c r="L411" s="11">
        <f>MIN(IF(PARAM!$B$43=3,CHOOSE($L$2,F411,K411),F411+K411-F411*K411),1)</f>
        <v>1.508E-2</v>
      </c>
      <c r="M411" s="2">
        <f>PARAM!$I$38</f>
        <v>0</v>
      </c>
      <c r="N411" s="11">
        <f>VLOOKUP(B411,DEDN!$A$8:$O$90,$N$2)*M411</f>
        <v>0</v>
      </c>
      <c r="O411" s="12"/>
      <c r="P411" s="10">
        <f>PARAM!$C$53^-A411</f>
        <v>1</v>
      </c>
      <c r="Q411" s="10">
        <f t="shared" si="124"/>
        <v>0.87280358076376086</v>
      </c>
      <c r="R411" s="10">
        <f t="shared" si="123"/>
        <v>0.87280358076376086</v>
      </c>
      <c r="S411" s="10">
        <f>R411*(A411&lt;PARAM!$B$55)</f>
        <v>0</v>
      </c>
      <c r="T411" s="10">
        <f t="shared" si="118"/>
        <v>1.1044778928560595E-3</v>
      </c>
      <c r="U411" s="10">
        <f>T411*P411*(A411&lt;PARAM!$B$55)</f>
        <v>0</v>
      </c>
      <c r="W411">
        <v>408</v>
      </c>
      <c r="X411" s="178">
        <f t="shared" si="122"/>
        <v>65</v>
      </c>
      <c r="Y411" s="178">
        <f t="shared" si="122"/>
        <v>65</v>
      </c>
      <c r="Z411" s="178">
        <f t="shared" si="122"/>
        <v>34</v>
      </c>
      <c r="AA411" s="178">
        <f t="shared" si="122"/>
        <v>34</v>
      </c>
      <c r="AD411" s="17">
        <f>CALC!E435*(A411&lt;PARAM!$B$55)</f>
        <v>0</v>
      </c>
      <c r="AE411">
        <f>IF(A411&lt;ITER!$C$16,1,PARAM!$C$53^-(RATES!A411-ITER!$C$16))*(A411&lt;PARAM!$B$55)</f>
        <v>0</v>
      </c>
    </row>
    <row r="412" spans="1:31" x14ac:dyDescent="0.2">
      <c r="A412" s="9">
        <v>409</v>
      </c>
      <c r="B412" s="178">
        <f t="shared" si="120"/>
        <v>65</v>
      </c>
      <c r="C412" s="178">
        <f t="shared" si="120"/>
        <v>65</v>
      </c>
      <c r="D412" s="2">
        <f>PARAM!$H$38</f>
        <v>1</v>
      </c>
      <c r="E412" s="11">
        <f>PARAM!$G$38</f>
        <v>0</v>
      </c>
      <c r="F412" s="11">
        <f>(VLOOKUP(C412,DEDN!$A$8:$O$902,$F$2)*D412+E412)/1000</f>
        <v>1.508E-2</v>
      </c>
      <c r="G412" s="178">
        <f t="shared" si="121"/>
        <v>34</v>
      </c>
      <c r="H412" s="178">
        <f t="shared" si="121"/>
        <v>34</v>
      </c>
      <c r="I412" s="2">
        <f>PARAM!$H$39</f>
        <v>0</v>
      </c>
      <c r="J412" s="11">
        <f>PARAM!$G$39</f>
        <v>0</v>
      </c>
      <c r="K412" s="11">
        <f>(VLOOKUP(H412,DEDN!$A$8:$O$902,$K$2)*I412+J412)/1000</f>
        <v>0</v>
      </c>
      <c r="L412" s="11">
        <f>MIN(IF(PARAM!$B$43=3,CHOOSE($L$2,F412,K412),F412+K412-F412*K412),1)</f>
        <v>1.508E-2</v>
      </c>
      <c r="M412" s="2">
        <f>PARAM!$I$38</f>
        <v>0</v>
      </c>
      <c r="N412" s="11">
        <f>VLOOKUP(B412,DEDN!$A$8:$O$90,$N$2)*M412</f>
        <v>0</v>
      </c>
      <c r="O412" s="12"/>
      <c r="P412" s="10">
        <f>PARAM!$C$53^-A412</f>
        <v>1</v>
      </c>
      <c r="Q412" s="10">
        <f t="shared" si="124"/>
        <v>0.8716991028709048</v>
      </c>
      <c r="R412" s="10">
        <f t="shared" si="123"/>
        <v>0.8716991028709048</v>
      </c>
      <c r="S412" s="10">
        <f>CHOOSE(PARAM!$B$51,R412,0,0,0)*(A412&lt;PARAM!$B$55)</f>
        <v>0</v>
      </c>
      <c r="T412" s="10">
        <f t="shared" si="118"/>
        <v>1.1030802457305811E-3</v>
      </c>
      <c r="U412" s="10">
        <f>T412*P412*(A412&lt;PARAM!$B$55)</f>
        <v>0</v>
      </c>
      <c r="W412">
        <v>409</v>
      </c>
      <c r="X412" s="178">
        <f t="shared" si="122"/>
        <v>65</v>
      </c>
      <c r="Y412" s="178">
        <f t="shared" si="122"/>
        <v>65</v>
      </c>
      <c r="Z412" s="178">
        <f t="shared" si="122"/>
        <v>34</v>
      </c>
      <c r="AA412" s="178">
        <f t="shared" si="122"/>
        <v>34</v>
      </c>
      <c r="AD412" s="17">
        <f>CALC!E436*(A412&lt;PARAM!$B$55)</f>
        <v>0</v>
      </c>
      <c r="AE412">
        <f>IF(A412&lt;ITER!$C$16,1,PARAM!$C$53^-(RATES!A412-ITER!$C$16))*(A412&lt;PARAM!$B$55)</f>
        <v>0</v>
      </c>
    </row>
    <row r="413" spans="1:31" x14ac:dyDescent="0.2">
      <c r="A413" s="9">
        <v>410</v>
      </c>
      <c r="B413" s="178">
        <f t="shared" si="120"/>
        <v>65</v>
      </c>
      <c r="C413" s="178">
        <f t="shared" si="120"/>
        <v>65</v>
      </c>
      <c r="D413" s="2">
        <f>PARAM!$H$38</f>
        <v>1</v>
      </c>
      <c r="E413" s="11">
        <f>PARAM!$G$38</f>
        <v>0</v>
      </c>
      <c r="F413" s="11">
        <f>(VLOOKUP(C413,DEDN!$A$8:$O$902,$F$2)*D413+E413)/1000</f>
        <v>1.508E-2</v>
      </c>
      <c r="G413" s="178">
        <f t="shared" si="121"/>
        <v>34</v>
      </c>
      <c r="H413" s="178">
        <f t="shared" si="121"/>
        <v>34</v>
      </c>
      <c r="I413" s="2">
        <f>PARAM!$H$39</f>
        <v>0</v>
      </c>
      <c r="J413" s="11">
        <f>PARAM!$G$39</f>
        <v>0</v>
      </c>
      <c r="K413" s="11">
        <f>(VLOOKUP(H413,DEDN!$A$8:$O$902,$K$2)*I413+J413)/1000</f>
        <v>0</v>
      </c>
      <c r="L413" s="11">
        <f>MIN(IF(PARAM!$B$43=3,CHOOSE($L$2,F413,K413),F413+K413-F413*K413),1)</f>
        <v>1.508E-2</v>
      </c>
      <c r="M413" s="2">
        <f>PARAM!$I$38</f>
        <v>0</v>
      </c>
      <c r="N413" s="11">
        <f>VLOOKUP(B413,DEDN!$A$8:$O$90,$N$2)*M413</f>
        <v>0</v>
      </c>
      <c r="O413" s="12"/>
      <c r="P413" s="10">
        <f>PARAM!$C$53^-A413</f>
        <v>1</v>
      </c>
      <c r="Q413" s="10">
        <f t="shared" si="124"/>
        <v>0.87059602262517422</v>
      </c>
      <c r="R413" s="10">
        <f t="shared" si="123"/>
        <v>0.87059602262517422</v>
      </c>
      <c r="S413" s="10">
        <f>CHOOSE(PARAM!$B$51,R413,0,0,0)*(A413&lt;PARAM!$B$55)</f>
        <v>0</v>
      </c>
      <c r="T413" s="10">
        <f t="shared" si="118"/>
        <v>1.1016843672393417E-3</v>
      </c>
      <c r="U413" s="10">
        <f>T413*P413*(A413&lt;PARAM!$B$55)</f>
        <v>0</v>
      </c>
      <c r="W413">
        <v>410</v>
      </c>
      <c r="X413" s="178">
        <f t="shared" si="122"/>
        <v>65</v>
      </c>
      <c r="Y413" s="178">
        <f t="shared" si="122"/>
        <v>65</v>
      </c>
      <c r="Z413" s="178">
        <f t="shared" si="122"/>
        <v>34</v>
      </c>
      <c r="AA413" s="178">
        <f t="shared" si="122"/>
        <v>34</v>
      </c>
      <c r="AD413" s="17">
        <f>CALC!E437*(A413&lt;PARAM!$B$55)</f>
        <v>0</v>
      </c>
      <c r="AE413">
        <f>IF(A413&lt;ITER!$C$16,1,PARAM!$C$53^-(RATES!A413-ITER!$C$16))*(A413&lt;PARAM!$B$55)</f>
        <v>0</v>
      </c>
    </row>
    <row r="414" spans="1:31" x14ac:dyDescent="0.2">
      <c r="A414" s="9">
        <v>411</v>
      </c>
      <c r="B414" s="178">
        <f t="shared" si="120"/>
        <v>65</v>
      </c>
      <c r="C414" s="178">
        <f t="shared" si="120"/>
        <v>65</v>
      </c>
      <c r="D414" s="2">
        <f>PARAM!$H$38</f>
        <v>1</v>
      </c>
      <c r="E414" s="11">
        <f>PARAM!$G$38</f>
        <v>0</v>
      </c>
      <c r="F414" s="11">
        <f>(VLOOKUP(C414,DEDN!$A$8:$O$902,$F$2)*D414+E414)/1000</f>
        <v>1.508E-2</v>
      </c>
      <c r="G414" s="178">
        <f t="shared" si="121"/>
        <v>34</v>
      </c>
      <c r="H414" s="178">
        <f t="shared" si="121"/>
        <v>34</v>
      </c>
      <c r="I414" s="2">
        <f>PARAM!$H$39</f>
        <v>0</v>
      </c>
      <c r="J414" s="11">
        <f>PARAM!$G$39</f>
        <v>0</v>
      </c>
      <c r="K414" s="11">
        <f>(VLOOKUP(H414,DEDN!$A$8:$O$902,$K$2)*I414+J414)/1000</f>
        <v>0</v>
      </c>
      <c r="L414" s="11">
        <f>MIN(IF(PARAM!$B$43=3,CHOOSE($L$2,F414,K414),F414+K414-F414*K414),1)</f>
        <v>1.508E-2</v>
      </c>
      <c r="M414" s="2">
        <f>PARAM!$I$38</f>
        <v>0</v>
      </c>
      <c r="N414" s="11">
        <f>VLOOKUP(B414,DEDN!$A$8:$O$90,$N$2)*M414</f>
        <v>0</v>
      </c>
      <c r="O414" s="12"/>
      <c r="P414" s="10">
        <f>PARAM!$C$53^-A414</f>
        <v>1</v>
      </c>
      <c r="Q414" s="10">
        <f t="shared" si="124"/>
        <v>0.86949433825793487</v>
      </c>
      <c r="R414" s="10">
        <f t="shared" si="123"/>
        <v>0.86949433825793487</v>
      </c>
      <c r="S414" s="10">
        <f>CHOOSE(PARAM!$B$51,R414,R414,0,0)*(A414&lt;PARAM!$B$55)</f>
        <v>0</v>
      </c>
      <c r="T414" s="10">
        <f t="shared" si="118"/>
        <v>1.1002902551443539E-3</v>
      </c>
      <c r="U414" s="10">
        <f>T414*P414*(A414&lt;PARAM!$B$55)</f>
        <v>0</v>
      </c>
      <c r="W414">
        <v>411</v>
      </c>
      <c r="X414" s="178">
        <f t="shared" si="122"/>
        <v>65</v>
      </c>
      <c r="Y414" s="178">
        <f t="shared" si="122"/>
        <v>65</v>
      </c>
      <c r="Z414" s="178">
        <f t="shared" si="122"/>
        <v>34</v>
      </c>
      <c r="AA414" s="178">
        <f t="shared" si="122"/>
        <v>34</v>
      </c>
      <c r="AD414" s="17">
        <f>CALC!E438*(A414&lt;PARAM!$B$55)</f>
        <v>0</v>
      </c>
      <c r="AE414">
        <f>IF(A414&lt;ITER!$C$16,1,PARAM!$C$53^-(RATES!A414-ITER!$C$16))*(A414&lt;PARAM!$B$55)</f>
        <v>0</v>
      </c>
    </row>
    <row r="415" spans="1:31" x14ac:dyDescent="0.2">
      <c r="A415" s="9">
        <v>412</v>
      </c>
      <c r="B415" s="178">
        <f t="shared" si="120"/>
        <v>65</v>
      </c>
      <c r="C415" s="178">
        <f t="shared" si="120"/>
        <v>65</v>
      </c>
      <c r="D415" s="2">
        <f>PARAM!$H$38</f>
        <v>1</v>
      </c>
      <c r="E415" s="11">
        <f>PARAM!$G$38</f>
        <v>0</v>
      </c>
      <c r="F415" s="11">
        <f>(VLOOKUP(C415,DEDN!$A$8:$O$902,$F$2)*D415+E415)/1000</f>
        <v>1.508E-2</v>
      </c>
      <c r="G415" s="178">
        <f t="shared" si="121"/>
        <v>34</v>
      </c>
      <c r="H415" s="178">
        <f t="shared" si="121"/>
        <v>34</v>
      </c>
      <c r="I415" s="2">
        <f>PARAM!$H$39</f>
        <v>0</v>
      </c>
      <c r="J415" s="11">
        <f>PARAM!$G$39</f>
        <v>0</v>
      </c>
      <c r="K415" s="11">
        <f>(VLOOKUP(H415,DEDN!$A$8:$O$902,$K$2)*I415+J415)/1000</f>
        <v>0</v>
      </c>
      <c r="L415" s="11">
        <f>MIN(IF(PARAM!$B$43=3,CHOOSE($L$2,F415,K415),F415+K415-F415*K415),1)</f>
        <v>1.508E-2</v>
      </c>
      <c r="M415" s="2">
        <f>PARAM!$I$38</f>
        <v>0</v>
      </c>
      <c r="N415" s="11">
        <f>VLOOKUP(B415,DEDN!$A$8:$O$90,$N$2)*M415</f>
        <v>0</v>
      </c>
      <c r="O415" s="12"/>
      <c r="P415" s="10">
        <f>PARAM!$C$53^-A415</f>
        <v>1</v>
      </c>
      <c r="Q415" s="10">
        <f t="shared" si="124"/>
        <v>0.86839404800279052</v>
      </c>
      <c r="R415" s="10">
        <f t="shared" si="123"/>
        <v>0.86839404800279052</v>
      </c>
      <c r="S415" s="10">
        <f>CHOOSE(PARAM!$B$51,R415,0,0,0)*(A415&lt;PARAM!$B$55)</f>
        <v>0</v>
      </c>
      <c r="T415" s="10">
        <f t="shared" si="118"/>
        <v>1.0988979072101834E-3</v>
      </c>
      <c r="U415" s="10">
        <f>T415*P415*(A415&lt;PARAM!$B$55)</f>
        <v>0</v>
      </c>
      <c r="W415">
        <v>412</v>
      </c>
      <c r="X415" s="178">
        <f t="shared" si="122"/>
        <v>65</v>
      </c>
      <c r="Y415" s="178">
        <f t="shared" si="122"/>
        <v>65</v>
      </c>
      <c r="Z415" s="178">
        <f t="shared" si="122"/>
        <v>34</v>
      </c>
      <c r="AA415" s="178">
        <f t="shared" si="122"/>
        <v>34</v>
      </c>
      <c r="AD415" s="17">
        <f>CALC!E439*(A415&lt;PARAM!$B$55)</f>
        <v>0</v>
      </c>
      <c r="AE415">
        <f>IF(A415&lt;ITER!$C$16,1,PARAM!$C$53^-(RATES!A415-ITER!$C$16))*(A415&lt;PARAM!$B$55)</f>
        <v>0</v>
      </c>
    </row>
    <row r="416" spans="1:31" x14ac:dyDescent="0.2">
      <c r="A416" s="9">
        <v>413</v>
      </c>
      <c r="B416" s="178">
        <f t="shared" si="120"/>
        <v>65</v>
      </c>
      <c r="C416" s="178">
        <f t="shared" si="120"/>
        <v>65</v>
      </c>
      <c r="D416" s="2">
        <f>PARAM!$H$38</f>
        <v>1</v>
      </c>
      <c r="E416" s="11">
        <f>PARAM!$G$38</f>
        <v>0</v>
      </c>
      <c r="F416" s="11">
        <f>(VLOOKUP(C416,DEDN!$A$8:$O$902,$F$2)*D416+E416)/1000</f>
        <v>1.508E-2</v>
      </c>
      <c r="G416" s="178">
        <f t="shared" si="121"/>
        <v>34</v>
      </c>
      <c r="H416" s="178">
        <f t="shared" si="121"/>
        <v>34</v>
      </c>
      <c r="I416" s="2">
        <f>PARAM!$H$39</f>
        <v>0</v>
      </c>
      <c r="J416" s="11">
        <f>PARAM!$G$39</f>
        <v>0</v>
      </c>
      <c r="K416" s="11">
        <f>(VLOOKUP(H416,DEDN!$A$8:$O$902,$K$2)*I416+J416)/1000</f>
        <v>0</v>
      </c>
      <c r="L416" s="11">
        <f>MIN(IF(PARAM!$B$43=3,CHOOSE($L$2,F416,K416),F416+K416-F416*K416),1)</f>
        <v>1.508E-2</v>
      </c>
      <c r="M416" s="2">
        <f>PARAM!$I$38</f>
        <v>0</v>
      </c>
      <c r="N416" s="11">
        <f>VLOOKUP(B416,DEDN!$A$8:$O$90,$N$2)*M416</f>
        <v>0</v>
      </c>
      <c r="O416" s="12"/>
      <c r="P416" s="10">
        <f>PARAM!$C$53^-A416</f>
        <v>1</v>
      </c>
      <c r="Q416" s="10">
        <f t="shared" si="124"/>
        <v>0.86729515009558034</v>
      </c>
      <c r="R416" s="10">
        <f t="shared" si="123"/>
        <v>0.86729515009558034</v>
      </c>
      <c r="S416" s="10">
        <f>CHOOSE(PARAM!$B$51,R416,0,0,0)*(A416&lt;PARAM!$B$55)</f>
        <v>0</v>
      </c>
      <c r="T416" s="10">
        <f t="shared" si="118"/>
        <v>1.097507321204616E-3</v>
      </c>
      <c r="U416" s="10">
        <f>T416*P416*(A416&lt;PARAM!$B$55)</f>
        <v>0</v>
      </c>
      <c r="W416">
        <v>413</v>
      </c>
      <c r="X416" s="178">
        <f t="shared" si="122"/>
        <v>65</v>
      </c>
      <c r="Y416" s="178">
        <f t="shared" si="122"/>
        <v>65</v>
      </c>
      <c r="Z416" s="178">
        <f t="shared" si="122"/>
        <v>34</v>
      </c>
      <c r="AA416" s="178">
        <f t="shared" si="122"/>
        <v>34</v>
      </c>
      <c r="AD416" s="17">
        <f>CALC!E440*(A416&lt;PARAM!$B$55)</f>
        <v>0</v>
      </c>
      <c r="AE416">
        <f>IF(A416&lt;ITER!$C$16,1,PARAM!$C$53^-(RATES!A416-ITER!$C$16))*(A416&lt;PARAM!$B$55)</f>
        <v>0</v>
      </c>
    </row>
    <row r="417" spans="1:31" x14ac:dyDescent="0.2">
      <c r="A417" s="9">
        <v>414</v>
      </c>
      <c r="B417" s="178">
        <f t="shared" si="120"/>
        <v>66</v>
      </c>
      <c r="C417" s="178">
        <f t="shared" si="120"/>
        <v>66</v>
      </c>
      <c r="D417" s="2">
        <f>PARAM!$H$38</f>
        <v>1</v>
      </c>
      <c r="E417" s="11">
        <f>PARAM!$G$38</f>
        <v>0</v>
      </c>
      <c r="F417" s="11">
        <f>(VLOOKUP(C417,DEDN!$A$8:$O$902,$F$2)*D417+E417)/1000</f>
        <v>1.6719999999999999E-2</v>
      </c>
      <c r="G417" s="178">
        <f t="shared" si="121"/>
        <v>35</v>
      </c>
      <c r="H417" s="178">
        <f t="shared" si="121"/>
        <v>35</v>
      </c>
      <c r="I417" s="2">
        <f>PARAM!$H$39</f>
        <v>0</v>
      </c>
      <c r="J417" s="11">
        <f>PARAM!$G$39</f>
        <v>0</v>
      </c>
      <c r="K417" s="11">
        <f>(VLOOKUP(H417,DEDN!$A$8:$O$902,$K$2)*I417+J417)/1000</f>
        <v>0</v>
      </c>
      <c r="L417" s="11">
        <f>MIN(IF(PARAM!$B$43=3,CHOOSE($L$2,F417,K417),F417+K417-F417*K417),1)</f>
        <v>1.6719999999999999E-2</v>
      </c>
      <c r="M417" s="2">
        <f>PARAM!$I$38</f>
        <v>0</v>
      </c>
      <c r="N417" s="11">
        <f>VLOOKUP(B417,DEDN!$A$8:$O$90,$N$2)*M417</f>
        <v>0</v>
      </c>
      <c r="O417" s="12"/>
      <c r="P417" s="10">
        <f>PARAM!$C$53^-A417</f>
        <v>1</v>
      </c>
      <c r="Q417" s="10">
        <f t="shared" si="124"/>
        <v>0.86619764277437572</v>
      </c>
      <c r="R417" s="10">
        <f t="shared" si="123"/>
        <v>0.86619764277437572</v>
      </c>
      <c r="S417" s="10">
        <f>CHOOSE(PARAM!$B$51,R417,R417,R417,0)*(A417&lt;PARAM!$B$55)</f>
        <v>0</v>
      </c>
      <c r="T417" s="10">
        <f t="shared" si="118"/>
        <v>1.2162509608775185E-3</v>
      </c>
      <c r="U417" s="10">
        <f>T417*P417*(A417&lt;PARAM!$B$55)</f>
        <v>0</v>
      </c>
      <c r="W417">
        <v>414</v>
      </c>
      <c r="X417" s="178">
        <f t="shared" si="122"/>
        <v>66</v>
      </c>
      <c r="Y417" s="178">
        <f t="shared" si="122"/>
        <v>66</v>
      </c>
      <c r="Z417" s="178">
        <f t="shared" si="122"/>
        <v>35</v>
      </c>
      <c r="AA417" s="178">
        <f t="shared" si="122"/>
        <v>35</v>
      </c>
      <c r="AD417" s="17">
        <f>CALC!E441*(A417&lt;PARAM!$B$55)</f>
        <v>0</v>
      </c>
      <c r="AE417">
        <f>IF(A417&lt;ITER!$C$16,1,PARAM!$C$53^-(RATES!A417-ITER!$C$16))*(A417&lt;PARAM!$B$55)</f>
        <v>0</v>
      </c>
    </row>
    <row r="418" spans="1:31" x14ac:dyDescent="0.2">
      <c r="A418" s="9">
        <v>415</v>
      </c>
      <c r="B418" s="178">
        <f t="shared" si="120"/>
        <v>66</v>
      </c>
      <c r="C418" s="178">
        <f t="shared" si="120"/>
        <v>66</v>
      </c>
      <c r="D418" s="2">
        <f>PARAM!$H$38</f>
        <v>1</v>
      </c>
      <c r="E418" s="11">
        <f>PARAM!$G$38</f>
        <v>0</v>
      </c>
      <c r="F418" s="11">
        <f>(VLOOKUP(C418,DEDN!$A$8:$O$902,$F$2)*D418+E418)/1000</f>
        <v>1.6719999999999999E-2</v>
      </c>
      <c r="G418" s="178">
        <f t="shared" si="121"/>
        <v>35</v>
      </c>
      <c r="H418" s="178">
        <f t="shared" si="121"/>
        <v>35</v>
      </c>
      <c r="I418" s="2">
        <f>PARAM!$H$39</f>
        <v>0</v>
      </c>
      <c r="J418" s="11">
        <f>PARAM!$G$39</f>
        <v>0</v>
      </c>
      <c r="K418" s="11">
        <f>(VLOOKUP(H418,DEDN!$A$8:$O$902,$K$2)*I418+J418)/1000</f>
        <v>0</v>
      </c>
      <c r="L418" s="11">
        <f>MIN(IF(PARAM!$B$43=3,CHOOSE($L$2,F418,K418),F418+K418-F418*K418),1)</f>
        <v>1.6719999999999999E-2</v>
      </c>
      <c r="M418" s="2">
        <f>PARAM!$I$38</f>
        <v>0</v>
      </c>
      <c r="N418" s="11">
        <f>VLOOKUP(B418,DEDN!$A$8:$O$90,$N$2)*M418</f>
        <v>0</v>
      </c>
      <c r="O418" s="12"/>
      <c r="P418" s="10">
        <f>PARAM!$C$53^-A418</f>
        <v>1</v>
      </c>
      <c r="Q418" s="10">
        <f t="shared" si="124"/>
        <v>0.8649813918134982</v>
      </c>
      <c r="R418" s="10">
        <f t="shared" si="123"/>
        <v>0.8649813918134982</v>
      </c>
      <c r="S418" s="10">
        <f>CHOOSE(PARAM!$B$51,R418,0,0,0)*(A418&lt;PARAM!$B$55)</f>
        <v>0</v>
      </c>
      <c r="T418" s="10">
        <f t="shared" si="118"/>
        <v>1.2145431908181514E-3</v>
      </c>
      <c r="U418" s="10">
        <f>T418*P418*(A418&lt;PARAM!$B$55)</f>
        <v>0</v>
      </c>
      <c r="W418">
        <v>415</v>
      </c>
      <c r="X418" s="178">
        <f t="shared" si="122"/>
        <v>66</v>
      </c>
      <c r="Y418" s="178">
        <f t="shared" si="122"/>
        <v>66</v>
      </c>
      <c r="Z418" s="178">
        <f t="shared" si="122"/>
        <v>35</v>
      </c>
      <c r="AA418" s="178">
        <f t="shared" si="122"/>
        <v>35</v>
      </c>
      <c r="AD418" s="17">
        <f>CALC!E442*(A418&lt;PARAM!$B$55)</f>
        <v>0</v>
      </c>
      <c r="AE418">
        <f>IF(A418&lt;ITER!$C$16,1,PARAM!$C$53^-(RATES!A418-ITER!$C$16))*(A418&lt;PARAM!$B$55)</f>
        <v>0</v>
      </c>
    </row>
    <row r="419" spans="1:31" x14ac:dyDescent="0.2">
      <c r="A419" s="9">
        <v>416</v>
      </c>
      <c r="B419" s="178">
        <f t="shared" si="120"/>
        <v>66</v>
      </c>
      <c r="C419" s="178">
        <f t="shared" si="120"/>
        <v>66</v>
      </c>
      <c r="D419" s="2">
        <f>PARAM!$H$38</f>
        <v>1</v>
      </c>
      <c r="E419" s="11">
        <f>PARAM!$G$38</f>
        <v>0</v>
      </c>
      <c r="F419" s="11">
        <f>(VLOOKUP(C419,DEDN!$A$8:$O$902,$F$2)*D419+E419)/1000</f>
        <v>1.6719999999999999E-2</v>
      </c>
      <c r="G419" s="178">
        <f t="shared" si="121"/>
        <v>35</v>
      </c>
      <c r="H419" s="178">
        <f t="shared" si="121"/>
        <v>35</v>
      </c>
      <c r="I419" s="2">
        <f>PARAM!$H$39</f>
        <v>0</v>
      </c>
      <c r="J419" s="11">
        <f>PARAM!$G$39</f>
        <v>0</v>
      </c>
      <c r="K419" s="11">
        <f>(VLOOKUP(H419,DEDN!$A$8:$O$902,$K$2)*I419+J419)/1000</f>
        <v>0</v>
      </c>
      <c r="L419" s="11">
        <f>MIN(IF(PARAM!$B$43=3,CHOOSE($L$2,F419,K419),F419+K419-F419*K419),1)</f>
        <v>1.6719999999999999E-2</v>
      </c>
      <c r="M419" s="2">
        <f>PARAM!$I$38</f>
        <v>0</v>
      </c>
      <c r="N419" s="11">
        <f>VLOOKUP(B419,DEDN!$A$8:$O$90,$N$2)*M419</f>
        <v>0</v>
      </c>
      <c r="O419" s="12"/>
      <c r="P419" s="10">
        <f>PARAM!$C$53^-A419</f>
        <v>1</v>
      </c>
      <c r="Q419" s="10">
        <f t="shared" si="124"/>
        <v>0.86376684862268005</v>
      </c>
      <c r="R419" s="10">
        <f t="shared" si="123"/>
        <v>0.86376684862268005</v>
      </c>
      <c r="S419" s="10">
        <f>CHOOSE(PARAM!$B$51,R419,0,0,0)*(A419&lt;PARAM!$B$55)</f>
        <v>0</v>
      </c>
      <c r="T419" s="10">
        <f t="shared" si="118"/>
        <v>1.2128378186837541E-3</v>
      </c>
      <c r="U419" s="10">
        <f>T419*P419*(A419&lt;PARAM!$B$55)</f>
        <v>0</v>
      </c>
      <c r="W419">
        <v>416</v>
      </c>
      <c r="X419" s="178">
        <f t="shared" si="122"/>
        <v>66</v>
      </c>
      <c r="Y419" s="178">
        <f t="shared" si="122"/>
        <v>66</v>
      </c>
      <c r="Z419" s="178">
        <f t="shared" si="122"/>
        <v>35</v>
      </c>
      <c r="AA419" s="178">
        <f t="shared" si="122"/>
        <v>35</v>
      </c>
      <c r="AD419" s="17">
        <f>CALC!E443*(A419&lt;PARAM!$B$55)</f>
        <v>0</v>
      </c>
      <c r="AE419">
        <f>IF(A419&lt;ITER!$C$16,1,PARAM!$C$53^-(RATES!A419-ITER!$C$16))*(A419&lt;PARAM!$B$55)</f>
        <v>0</v>
      </c>
    </row>
    <row r="420" spans="1:31" x14ac:dyDescent="0.2">
      <c r="A420" s="9">
        <v>417</v>
      </c>
      <c r="B420" s="178">
        <f t="shared" si="120"/>
        <v>66</v>
      </c>
      <c r="C420" s="178">
        <f t="shared" si="120"/>
        <v>66</v>
      </c>
      <c r="D420" s="2">
        <f>PARAM!$H$38</f>
        <v>1</v>
      </c>
      <c r="E420" s="11">
        <f>PARAM!$G$38</f>
        <v>0</v>
      </c>
      <c r="F420" s="11">
        <f>(VLOOKUP(C420,DEDN!$A$8:$O$902,$F$2)*D420+E420)/1000</f>
        <v>1.6719999999999999E-2</v>
      </c>
      <c r="G420" s="178">
        <f t="shared" si="121"/>
        <v>35</v>
      </c>
      <c r="H420" s="178">
        <f t="shared" si="121"/>
        <v>35</v>
      </c>
      <c r="I420" s="2">
        <f>PARAM!$H$39</f>
        <v>0</v>
      </c>
      <c r="J420" s="11">
        <f>PARAM!$G$39</f>
        <v>0</v>
      </c>
      <c r="K420" s="11">
        <f>(VLOOKUP(H420,DEDN!$A$8:$O$902,$K$2)*I420+J420)/1000</f>
        <v>0</v>
      </c>
      <c r="L420" s="11">
        <f>MIN(IF(PARAM!$B$43=3,CHOOSE($L$2,F420,K420),F420+K420-F420*K420),1)</f>
        <v>1.6719999999999999E-2</v>
      </c>
      <c r="M420" s="2">
        <f>PARAM!$I$38</f>
        <v>0</v>
      </c>
      <c r="N420" s="11">
        <f>VLOOKUP(B420,DEDN!$A$8:$O$90,$N$2)*M420</f>
        <v>0</v>
      </c>
      <c r="O420" s="12"/>
      <c r="P420" s="10">
        <f>PARAM!$C$53^-A420</f>
        <v>1</v>
      </c>
      <c r="Q420" s="10">
        <f t="shared" si="124"/>
        <v>0.8625540108039963</v>
      </c>
      <c r="R420" s="10">
        <f t="shared" ref="R420:R435" si="125">P420*Q420</f>
        <v>0.8625540108039963</v>
      </c>
      <c r="S420" s="10">
        <f>CHOOSE(PARAM!$B$51,R420,R420,0,0)*(A420&lt;PARAM!$B$55)</f>
        <v>0</v>
      </c>
      <c r="T420" s="10">
        <f t="shared" si="118"/>
        <v>1.211134841107353E-3</v>
      </c>
      <c r="U420" s="10">
        <f>T420*P420*(A420&lt;PARAM!$B$55)</f>
        <v>0</v>
      </c>
      <c r="W420">
        <v>417</v>
      </c>
      <c r="X420" s="178">
        <f t="shared" si="122"/>
        <v>66</v>
      </c>
      <c r="Y420" s="178">
        <f t="shared" si="122"/>
        <v>66</v>
      </c>
      <c r="Z420" s="178">
        <f t="shared" si="122"/>
        <v>35</v>
      </c>
      <c r="AA420" s="178">
        <f t="shared" si="122"/>
        <v>35</v>
      </c>
      <c r="AD420" s="17">
        <f>CALC!E444*(A420&lt;PARAM!$B$55)</f>
        <v>0</v>
      </c>
      <c r="AE420">
        <f>IF(A420&lt;ITER!$C$16,1,PARAM!$C$53^-(RATES!A420-ITER!$C$16))*(A420&lt;PARAM!$B$55)</f>
        <v>0</v>
      </c>
    </row>
    <row r="421" spans="1:31" x14ac:dyDescent="0.2">
      <c r="A421" s="9">
        <v>418</v>
      </c>
      <c r="B421" s="178">
        <f t="shared" ref="B421:C440" si="126">B409+1</f>
        <v>66</v>
      </c>
      <c r="C421" s="178">
        <f t="shared" si="126"/>
        <v>66</v>
      </c>
      <c r="D421" s="2">
        <f>PARAM!$H$38</f>
        <v>1</v>
      </c>
      <c r="E421" s="11">
        <f>PARAM!$G$38</f>
        <v>0</v>
      </c>
      <c r="F421" s="11">
        <f>(VLOOKUP(C421,DEDN!$A$8:$O$902,$F$2)*D421+E421)/1000</f>
        <v>1.6719999999999999E-2</v>
      </c>
      <c r="G421" s="178">
        <f t="shared" ref="G421:H440" si="127">G409+1</f>
        <v>35</v>
      </c>
      <c r="H421" s="178">
        <f t="shared" si="127"/>
        <v>35</v>
      </c>
      <c r="I421" s="2">
        <f>PARAM!$H$39</f>
        <v>0</v>
      </c>
      <c r="J421" s="11">
        <f>PARAM!$G$39</f>
        <v>0</v>
      </c>
      <c r="K421" s="11">
        <f>(VLOOKUP(H421,DEDN!$A$8:$O$902,$K$2)*I421+J421)/1000</f>
        <v>0</v>
      </c>
      <c r="L421" s="11">
        <f>MIN(IF(PARAM!$B$43=3,CHOOSE($L$2,F421,K421),F421+K421-F421*K421),1)</f>
        <v>1.6719999999999999E-2</v>
      </c>
      <c r="M421" s="2">
        <f>PARAM!$I$38</f>
        <v>0</v>
      </c>
      <c r="N421" s="11">
        <f>VLOOKUP(B421,DEDN!$A$8:$O$90,$N$2)*M421</f>
        <v>0</v>
      </c>
      <c r="O421" s="12"/>
      <c r="P421" s="10">
        <f>PARAM!$C$53^-A421</f>
        <v>1</v>
      </c>
      <c r="Q421" s="10">
        <f t="shared" ref="Q421:Q436" si="128">Q420*(1-L420)^(1/12)</f>
        <v>0.86134287596288894</v>
      </c>
      <c r="R421" s="10">
        <f t="shared" si="125"/>
        <v>0.86134287596288894</v>
      </c>
      <c r="S421" s="10">
        <f>CHOOSE(PARAM!$B$51,R421,0,0,0)*(A421&lt;PARAM!$B$55)</f>
        <v>0</v>
      </c>
      <c r="T421" s="10">
        <f t="shared" si="118"/>
        <v>1.2094342547266379E-3</v>
      </c>
      <c r="U421" s="10">
        <f>T421*P421*(A421&lt;PARAM!$B$55)</f>
        <v>0</v>
      </c>
      <c r="W421">
        <v>418</v>
      </c>
      <c r="X421" s="178">
        <f t="shared" ref="X421:AA440" si="129">X409+1</f>
        <v>66</v>
      </c>
      <c r="Y421" s="178">
        <f t="shared" si="129"/>
        <v>66</v>
      </c>
      <c r="Z421" s="178">
        <f t="shared" si="129"/>
        <v>35</v>
      </c>
      <c r="AA421" s="178">
        <f t="shared" si="129"/>
        <v>35</v>
      </c>
      <c r="AD421" s="17">
        <f>CALC!E445*(A421&lt;PARAM!$B$55)</f>
        <v>0</v>
      </c>
      <c r="AE421">
        <f>IF(A421&lt;ITER!$C$16,1,PARAM!$C$53^-(RATES!A421-ITER!$C$16))*(A421&lt;PARAM!$B$55)</f>
        <v>0</v>
      </c>
    </row>
    <row r="422" spans="1:31" x14ac:dyDescent="0.2">
      <c r="A422" s="9">
        <v>419</v>
      </c>
      <c r="B422" s="178">
        <f t="shared" si="126"/>
        <v>66</v>
      </c>
      <c r="C422" s="178">
        <f t="shared" si="126"/>
        <v>66</v>
      </c>
      <c r="D422" s="2">
        <f>PARAM!$H$38</f>
        <v>1</v>
      </c>
      <c r="E422" s="11">
        <f>PARAM!$G$38</f>
        <v>0</v>
      </c>
      <c r="F422" s="11">
        <f>(VLOOKUP(C422,DEDN!$A$8:$O$902,$F$2)*D422+E422)/1000</f>
        <v>1.6719999999999999E-2</v>
      </c>
      <c r="G422" s="178">
        <f t="shared" si="127"/>
        <v>35</v>
      </c>
      <c r="H422" s="178">
        <f t="shared" si="127"/>
        <v>35</v>
      </c>
      <c r="I422" s="2">
        <f>PARAM!$H$39</f>
        <v>0</v>
      </c>
      <c r="J422" s="11">
        <f>PARAM!$G$39</f>
        <v>0</v>
      </c>
      <c r="K422" s="11">
        <f>(VLOOKUP(H422,DEDN!$A$8:$O$902,$K$2)*I422+J422)/1000</f>
        <v>0</v>
      </c>
      <c r="L422" s="11">
        <f>MIN(IF(PARAM!$B$43=3,CHOOSE($L$2,F422,K422),F422+K422-F422*K422),1)</f>
        <v>1.6719999999999999E-2</v>
      </c>
      <c r="M422" s="2">
        <f>PARAM!$I$38</f>
        <v>0</v>
      </c>
      <c r="N422" s="11">
        <f>VLOOKUP(B422,DEDN!$A$8:$O$90,$N$2)*M422</f>
        <v>0</v>
      </c>
      <c r="O422" s="12"/>
      <c r="P422" s="10">
        <f>PARAM!$C$53^-A422</f>
        <v>1</v>
      </c>
      <c r="Q422" s="10">
        <f t="shared" si="128"/>
        <v>0.86013344170816231</v>
      </c>
      <c r="R422" s="10">
        <f t="shared" si="125"/>
        <v>0.86013344170816231</v>
      </c>
      <c r="S422" s="10">
        <f>CHOOSE(PARAM!$B$51,R422,0,0,0)*(A422&lt;PARAM!$B$55)</f>
        <v>0</v>
      </c>
      <c r="T422" s="10">
        <f t="shared" si="118"/>
        <v>1.2077360561842942E-3</v>
      </c>
      <c r="U422" s="10">
        <f>T422*P422*(A422&lt;PARAM!$B$55)</f>
        <v>0</v>
      </c>
      <c r="W422">
        <v>419</v>
      </c>
      <c r="X422" s="178">
        <f t="shared" si="129"/>
        <v>66</v>
      </c>
      <c r="Y422" s="178">
        <f t="shared" si="129"/>
        <v>66</v>
      </c>
      <c r="Z422" s="178">
        <f t="shared" si="129"/>
        <v>35</v>
      </c>
      <c r="AA422" s="178">
        <f t="shared" si="129"/>
        <v>35</v>
      </c>
      <c r="AD422" s="17">
        <f>CALC!E446*(A422&lt;PARAM!$B$55)</f>
        <v>0</v>
      </c>
      <c r="AE422">
        <f>IF(A422&lt;ITER!$C$16,1,PARAM!$C$53^-(RATES!A422-ITER!$C$16))*(A422&lt;PARAM!$B$55)</f>
        <v>0</v>
      </c>
    </row>
    <row r="423" spans="1:31" x14ac:dyDescent="0.2">
      <c r="A423" s="9">
        <v>420</v>
      </c>
      <c r="B423" s="178">
        <f t="shared" si="126"/>
        <v>66</v>
      </c>
      <c r="C423" s="178">
        <f t="shared" si="126"/>
        <v>66</v>
      </c>
      <c r="D423" s="2">
        <f>PARAM!$H$38</f>
        <v>1</v>
      </c>
      <c r="E423" s="11">
        <f>PARAM!$G$38</f>
        <v>0</v>
      </c>
      <c r="F423" s="11">
        <f>(VLOOKUP(C423,DEDN!$A$8:$O$902,$F$2)*D423+E423)/1000</f>
        <v>1.6719999999999999E-2</v>
      </c>
      <c r="G423" s="178">
        <f t="shared" si="127"/>
        <v>35</v>
      </c>
      <c r="H423" s="178">
        <f t="shared" si="127"/>
        <v>35</v>
      </c>
      <c r="I423" s="2">
        <f>PARAM!$H$39</f>
        <v>0</v>
      </c>
      <c r="J423" s="11">
        <f>PARAM!$G$39</f>
        <v>0</v>
      </c>
      <c r="K423" s="11">
        <f>(VLOOKUP(H423,DEDN!$A$8:$O$902,$K$2)*I423+J423)/1000</f>
        <v>0</v>
      </c>
      <c r="L423" s="11">
        <f>MIN(IF(PARAM!$B$43=3,CHOOSE($L$2,F423,K423),F423+K423-F423*K423),1)</f>
        <v>1.6719999999999999E-2</v>
      </c>
      <c r="M423" s="2">
        <f>PARAM!$I$38</f>
        <v>0</v>
      </c>
      <c r="N423" s="11">
        <f>VLOOKUP(B423,DEDN!$A$8:$O$90,$N$2)*M423</f>
        <v>0</v>
      </c>
      <c r="O423" s="12"/>
      <c r="P423" s="10">
        <f>PARAM!$C$53^-A423</f>
        <v>1</v>
      </c>
      <c r="Q423" s="10">
        <f t="shared" si="128"/>
        <v>0.85892570565197801</v>
      </c>
      <c r="R423" s="10">
        <f t="shared" si="125"/>
        <v>0.85892570565197801</v>
      </c>
      <c r="S423" s="10">
        <f>R423*(A423&lt;PARAM!$B$55)</f>
        <v>0</v>
      </c>
      <c r="T423" s="10">
        <f t="shared" si="118"/>
        <v>1.2060402421271155E-3</v>
      </c>
      <c r="U423" s="10">
        <f>T423*P423*(A423&lt;PARAM!$B$55)</f>
        <v>0</v>
      </c>
      <c r="W423">
        <v>420</v>
      </c>
      <c r="X423" s="178">
        <f t="shared" si="129"/>
        <v>66</v>
      </c>
      <c r="Y423" s="178">
        <f t="shared" si="129"/>
        <v>66</v>
      </c>
      <c r="Z423" s="178">
        <f t="shared" si="129"/>
        <v>35</v>
      </c>
      <c r="AA423" s="178">
        <f t="shared" si="129"/>
        <v>35</v>
      </c>
      <c r="AD423" s="17">
        <f>CALC!E447*(A423&lt;PARAM!$B$55)</f>
        <v>0</v>
      </c>
      <c r="AE423">
        <f>IF(A423&lt;ITER!$C$16,1,PARAM!$C$53^-(RATES!A423-ITER!$C$16))*(A423&lt;PARAM!$B$55)</f>
        <v>0</v>
      </c>
    </row>
    <row r="424" spans="1:31" x14ac:dyDescent="0.2">
      <c r="A424" s="9">
        <v>421</v>
      </c>
      <c r="B424" s="178">
        <f t="shared" si="126"/>
        <v>66</v>
      </c>
      <c r="C424" s="178">
        <f t="shared" si="126"/>
        <v>66</v>
      </c>
      <c r="D424" s="2">
        <f>PARAM!$H$38</f>
        <v>1</v>
      </c>
      <c r="E424" s="11">
        <f>PARAM!$G$38</f>
        <v>0</v>
      </c>
      <c r="F424" s="11">
        <f>(VLOOKUP(C424,DEDN!$A$8:$O$902,$F$2)*D424+E424)/1000</f>
        <v>1.6719999999999999E-2</v>
      </c>
      <c r="G424" s="178">
        <f t="shared" si="127"/>
        <v>35</v>
      </c>
      <c r="H424" s="178">
        <f t="shared" si="127"/>
        <v>35</v>
      </c>
      <c r="I424" s="2">
        <f>PARAM!$H$39</f>
        <v>0</v>
      </c>
      <c r="J424" s="11">
        <f>PARAM!$G$39</f>
        <v>0</v>
      </c>
      <c r="K424" s="11">
        <f>(VLOOKUP(H424,DEDN!$A$8:$O$902,$K$2)*I424+J424)/1000</f>
        <v>0</v>
      </c>
      <c r="L424" s="11">
        <f>MIN(IF(PARAM!$B$43=3,CHOOSE($L$2,F424,K424),F424+K424-F424*K424),1)</f>
        <v>1.6719999999999999E-2</v>
      </c>
      <c r="M424" s="2">
        <f>PARAM!$I$38</f>
        <v>0</v>
      </c>
      <c r="N424" s="11">
        <f>VLOOKUP(B424,DEDN!$A$8:$O$90,$N$2)*M424</f>
        <v>0</v>
      </c>
      <c r="O424" s="12"/>
      <c r="P424" s="10">
        <f>PARAM!$C$53^-A424</f>
        <v>1</v>
      </c>
      <c r="Q424" s="10">
        <f t="shared" si="128"/>
        <v>0.8577196654098509</v>
      </c>
      <c r="R424" s="10">
        <f t="shared" si="125"/>
        <v>0.8577196654098509</v>
      </c>
      <c r="S424" s="10">
        <f>CHOOSE(PARAM!$B$51,R424,0,0,0)*(A424&lt;PARAM!$B$55)</f>
        <v>0</v>
      </c>
      <c r="T424" s="10">
        <f t="shared" si="118"/>
        <v>1.2043468092073351E-3</v>
      </c>
      <c r="U424" s="10">
        <f>T424*P424*(A424&lt;PARAM!$B$55)</f>
        <v>0</v>
      </c>
      <c r="W424">
        <v>421</v>
      </c>
      <c r="X424" s="178">
        <f t="shared" si="129"/>
        <v>66</v>
      </c>
      <c r="Y424" s="178">
        <f t="shared" si="129"/>
        <v>66</v>
      </c>
      <c r="Z424" s="178">
        <f t="shared" si="129"/>
        <v>35</v>
      </c>
      <c r="AA424" s="178">
        <f t="shared" si="129"/>
        <v>35</v>
      </c>
      <c r="AD424" s="17">
        <f>CALC!E448*(A424&lt;PARAM!$B$55)</f>
        <v>0</v>
      </c>
      <c r="AE424">
        <f>IF(A424&lt;ITER!$C$16,1,PARAM!$C$53^-(RATES!A424-ITER!$C$16))*(A424&lt;PARAM!$B$55)</f>
        <v>0</v>
      </c>
    </row>
    <row r="425" spans="1:31" x14ac:dyDescent="0.2">
      <c r="A425" s="9">
        <v>422</v>
      </c>
      <c r="B425" s="178">
        <f t="shared" si="126"/>
        <v>66</v>
      </c>
      <c r="C425" s="178">
        <f t="shared" si="126"/>
        <v>66</v>
      </c>
      <c r="D425" s="2">
        <f>PARAM!$H$38</f>
        <v>1</v>
      </c>
      <c r="E425" s="11">
        <f>PARAM!$G$38</f>
        <v>0</v>
      </c>
      <c r="F425" s="11">
        <f>(VLOOKUP(C425,DEDN!$A$8:$O$902,$F$2)*D425+E425)/1000</f>
        <v>1.6719999999999999E-2</v>
      </c>
      <c r="G425" s="178">
        <f t="shared" si="127"/>
        <v>35</v>
      </c>
      <c r="H425" s="178">
        <f t="shared" si="127"/>
        <v>35</v>
      </c>
      <c r="I425" s="2">
        <f>PARAM!$H$39</f>
        <v>0</v>
      </c>
      <c r="J425" s="11">
        <f>PARAM!$G$39</f>
        <v>0</v>
      </c>
      <c r="K425" s="11">
        <f>(VLOOKUP(H425,DEDN!$A$8:$O$902,$K$2)*I425+J425)/1000</f>
        <v>0</v>
      </c>
      <c r="L425" s="11">
        <f>MIN(IF(PARAM!$B$43=3,CHOOSE($L$2,F425,K425),F425+K425-F425*K425),1)</f>
        <v>1.6719999999999999E-2</v>
      </c>
      <c r="M425" s="2">
        <f>PARAM!$I$38</f>
        <v>0</v>
      </c>
      <c r="N425" s="11">
        <f>VLOOKUP(B425,DEDN!$A$8:$O$90,$N$2)*M425</f>
        <v>0</v>
      </c>
      <c r="O425" s="12"/>
      <c r="P425" s="10">
        <f>PARAM!$C$53^-A425</f>
        <v>1</v>
      </c>
      <c r="Q425" s="10">
        <f t="shared" si="128"/>
        <v>0.85651531860064356</v>
      </c>
      <c r="R425" s="10">
        <f t="shared" si="125"/>
        <v>0.85651531860064356</v>
      </c>
      <c r="S425" s="10">
        <f>CHOOSE(PARAM!$B$51,R425,0,0,0)*(A425&lt;PARAM!$B$55)</f>
        <v>0</v>
      </c>
      <c r="T425" s="10">
        <f t="shared" si="118"/>
        <v>1.2026557540814053E-3</v>
      </c>
      <c r="U425" s="10">
        <f>T425*P425*(A425&lt;PARAM!$B$55)</f>
        <v>0</v>
      </c>
      <c r="W425">
        <v>422</v>
      </c>
      <c r="X425" s="178">
        <f t="shared" si="129"/>
        <v>66</v>
      </c>
      <c r="Y425" s="178">
        <f t="shared" si="129"/>
        <v>66</v>
      </c>
      <c r="Z425" s="178">
        <f t="shared" si="129"/>
        <v>35</v>
      </c>
      <c r="AA425" s="178">
        <f t="shared" si="129"/>
        <v>35</v>
      </c>
      <c r="AD425" s="17">
        <f>CALC!E449*(A425&lt;PARAM!$B$55)</f>
        <v>0</v>
      </c>
      <c r="AE425">
        <f>IF(A425&lt;ITER!$C$16,1,PARAM!$C$53^-(RATES!A425-ITER!$C$16))*(A425&lt;PARAM!$B$55)</f>
        <v>0</v>
      </c>
    </row>
    <row r="426" spans="1:31" x14ac:dyDescent="0.2">
      <c r="A426" s="9">
        <v>423</v>
      </c>
      <c r="B426" s="178">
        <f t="shared" si="126"/>
        <v>66</v>
      </c>
      <c r="C426" s="178">
        <f t="shared" si="126"/>
        <v>66</v>
      </c>
      <c r="D426" s="2">
        <f>PARAM!$H$38</f>
        <v>1</v>
      </c>
      <c r="E426" s="11">
        <f>PARAM!$G$38</f>
        <v>0</v>
      </c>
      <c r="F426" s="11">
        <f>(VLOOKUP(C426,DEDN!$A$8:$O$902,$F$2)*D426+E426)/1000</f>
        <v>1.6719999999999999E-2</v>
      </c>
      <c r="G426" s="178">
        <f t="shared" si="127"/>
        <v>35</v>
      </c>
      <c r="H426" s="178">
        <f t="shared" si="127"/>
        <v>35</v>
      </c>
      <c r="I426" s="2">
        <f>PARAM!$H$39</f>
        <v>0</v>
      </c>
      <c r="J426" s="11">
        <f>PARAM!$G$39</f>
        <v>0</v>
      </c>
      <c r="K426" s="11">
        <f>(VLOOKUP(H426,DEDN!$A$8:$O$902,$K$2)*I426+J426)/1000</f>
        <v>0</v>
      </c>
      <c r="L426" s="11">
        <f>MIN(IF(PARAM!$B$43=3,CHOOSE($L$2,F426,K426),F426+K426-F426*K426),1)</f>
        <v>1.6719999999999999E-2</v>
      </c>
      <c r="M426" s="2">
        <f>PARAM!$I$38</f>
        <v>0</v>
      </c>
      <c r="N426" s="11">
        <f>VLOOKUP(B426,DEDN!$A$8:$O$90,$N$2)*M426</f>
        <v>0</v>
      </c>
      <c r="O426" s="12"/>
      <c r="P426" s="10">
        <f>PARAM!$C$53^-A426</f>
        <v>1</v>
      </c>
      <c r="Q426" s="10">
        <f t="shared" si="128"/>
        <v>0.85531266284656216</v>
      </c>
      <c r="R426" s="10">
        <f t="shared" si="125"/>
        <v>0.85531266284656216</v>
      </c>
      <c r="S426" s="10">
        <f>CHOOSE(PARAM!$B$51,R426,R426,0,0)*(A426&lt;PARAM!$B$55)</f>
        <v>0</v>
      </c>
      <c r="T426" s="10">
        <f t="shared" si="118"/>
        <v>1.2009670734104416E-3</v>
      </c>
      <c r="U426" s="10">
        <f>T426*P426*(A426&lt;PARAM!$B$55)</f>
        <v>0</v>
      </c>
      <c r="W426">
        <v>423</v>
      </c>
      <c r="X426" s="178">
        <f t="shared" si="129"/>
        <v>66</v>
      </c>
      <c r="Y426" s="178">
        <f t="shared" si="129"/>
        <v>66</v>
      </c>
      <c r="Z426" s="178">
        <f t="shared" si="129"/>
        <v>35</v>
      </c>
      <c r="AA426" s="178">
        <f t="shared" si="129"/>
        <v>35</v>
      </c>
      <c r="AD426" s="17">
        <f>CALC!E450*(A426&lt;PARAM!$B$55)</f>
        <v>0</v>
      </c>
      <c r="AE426">
        <f>IF(A426&lt;ITER!$C$16,1,PARAM!$C$53^-(RATES!A426-ITER!$C$16))*(A426&lt;PARAM!$B$55)</f>
        <v>0</v>
      </c>
    </row>
    <row r="427" spans="1:31" x14ac:dyDescent="0.2">
      <c r="A427" s="9">
        <v>424</v>
      </c>
      <c r="B427" s="178">
        <f t="shared" si="126"/>
        <v>66</v>
      </c>
      <c r="C427" s="178">
        <f t="shared" si="126"/>
        <v>66</v>
      </c>
      <c r="D427" s="2">
        <f>PARAM!$H$38</f>
        <v>1</v>
      </c>
      <c r="E427" s="11">
        <f>PARAM!$G$38</f>
        <v>0</v>
      </c>
      <c r="F427" s="11">
        <f>(VLOOKUP(C427,DEDN!$A$8:$O$902,$F$2)*D427+E427)/1000</f>
        <v>1.6719999999999999E-2</v>
      </c>
      <c r="G427" s="178">
        <f t="shared" si="127"/>
        <v>35</v>
      </c>
      <c r="H427" s="178">
        <f t="shared" si="127"/>
        <v>35</v>
      </c>
      <c r="I427" s="2">
        <f>PARAM!$H$39</f>
        <v>0</v>
      </c>
      <c r="J427" s="11">
        <f>PARAM!$G$39</f>
        <v>0</v>
      </c>
      <c r="K427" s="11">
        <f>(VLOOKUP(H427,DEDN!$A$8:$O$902,$K$2)*I427+J427)/1000</f>
        <v>0</v>
      </c>
      <c r="L427" s="11">
        <f>MIN(IF(PARAM!$B$43=3,CHOOSE($L$2,F427,K427),F427+K427-F427*K427),1)</f>
        <v>1.6719999999999999E-2</v>
      </c>
      <c r="M427" s="2">
        <f>PARAM!$I$38</f>
        <v>0</v>
      </c>
      <c r="N427" s="11">
        <f>VLOOKUP(B427,DEDN!$A$8:$O$90,$N$2)*M427</f>
        <v>0</v>
      </c>
      <c r="O427" s="12"/>
      <c r="P427" s="10">
        <f>PARAM!$C$53^-A427</f>
        <v>1</v>
      </c>
      <c r="Q427" s="10">
        <f t="shared" si="128"/>
        <v>0.85411169577315171</v>
      </c>
      <c r="R427" s="10">
        <f t="shared" si="125"/>
        <v>0.85411169577315171</v>
      </c>
      <c r="S427" s="10">
        <f>CHOOSE(PARAM!$B$51,R427,0,0,0)*(A427&lt;PARAM!$B$55)</f>
        <v>0</v>
      </c>
      <c r="T427" s="10">
        <f t="shared" si="118"/>
        <v>1.1992807638606662E-3</v>
      </c>
      <c r="U427" s="10">
        <f>T427*P427*(A427&lt;PARAM!$B$55)</f>
        <v>0</v>
      </c>
      <c r="W427">
        <v>424</v>
      </c>
      <c r="X427" s="178">
        <f t="shared" si="129"/>
        <v>66</v>
      </c>
      <c r="Y427" s="178">
        <f t="shared" si="129"/>
        <v>66</v>
      </c>
      <c r="Z427" s="178">
        <f t="shared" si="129"/>
        <v>35</v>
      </c>
      <c r="AA427" s="178">
        <f t="shared" si="129"/>
        <v>35</v>
      </c>
      <c r="AD427" s="17">
        <f>CALC!E451*(A427&lt;PARAM!$B$55)</f>
        <v>0</v>
      </c>
      <c r="AE427">
        <f>IF(A427&lt;ITER!$C$16,1,PARAM!$C$53^-(RATES!A427-ITER!$C$16))*(A427&lt;PARAM!$B$55)</f>
        <v>0</v>
      </c>
    </row>
    <row r="428" spans="1:31" x14ac:dyDescent="0.2">
      <c r="A428" s="9">
        <v>425</v>
      </c>
      <c r="B428" s="178">
        <f t="shared" si="126"/>
        <v>66</v>
      </c>
      <c r="C428" s="178">
        <f t="shared" si="126"/>
        <v>66</v>
      </c>
      <c r="D428" s="2">
        <f>PARAM!$H$38</f>
        <v>1</v>
      </c>
      <c r="E428" s="11">
        <f>PARAM!$G$38</f>
        <v>0</v>
      </c>
      <c r="F428" s="11">
        <f>(VLOOKUP(C428,DEDN!$A$8:$O$902,$F$2)*D428+E428)/1000</f>
        <v>1.6719999999999999E-2</v>
      </c>
      <c r="G428" s="178">
        <f t="shared" si="127"/>
        <v>35</v>
      </c>
      <c r="H428" s="178">
        <f t="shared" si="127"/>
        <v>35</v>
      </c>
      <c r="I428" s="2">
        <f>PARAM!$H$39</f>
        <v>0</v>
      </c>
      <c r="J428" s="11">
        <f>PARAM!$G$39</f>
        <v>0</v>
      </c>
      <c r="K428" s="11">
        <f>(VLOOKUP(H428,DEDN!$A$8:$O$902,$K$2)*I428+J428)/1000</f>
        <v>0</v>
      </c>
      <c r="L428" s="11">
        <f>MIN(IF(PARAM!$B$43=3,CHOOSE($L$2,F428,K428),F428+K428-F428*K428),1)</f>
        <v>1.6719999999999999E-2</v>
      </c>
      <c r="M428" s="2">
        <f>PARAM!$I$38</f>
        <v>0</v>
      </c>
      <c r="N428" s="11">
        <f>VLOOKUP(B428,DEDN!$A$8:$O$90,$N$2)*M428</f>
        <v>0</v>
      </c>
      <c r="O428" s="12"/>
      <c r="P428" s="10">
        <f>PARAM!$C$53^-A428</f>
        <v>1</v>
      </c>
      <c r="Q428" s="10">
        <f t="shared" si="128"/>
        <v>0.85291241500929105</v>
      </c>
      <c r="R428" s="10">
        <f t="shared" si="125"/>
        <v>0.85291241500929105</v>
      </c>
      <c r="S428" s="10">
        <f>CHOOSE(PARAM!$B$51,R428,0,0,0)*(A428&lt;PARAM!$B$55)</f>
        <v>0</v>
      </c>
      <c r="T428" s="10">
        <f t="shared" si="118"/>
        <v>1.1975968221026312E-3</v>
      </c>
      <c r="U428" s="10">
        <f>T428*P428*(A428&lt;PARAM!$B$55)</f>
        <v>0</v>
      </c>
      <c r="W428">
        <v>425</v>
      </c>
      <c r="X428" s="178">
        <f t="shared" si="129"/>
        <v>66</v>
      </c>
      <c r="Y428" s="178">
        <f t="shared" si="129"/>
        <v>66</v>
      </c>
      <c r="Z428" s="178">
        <f t="shared" si="129"/>
        <v>35</v>
      </c>
      <c r="AA428" s="178">
        <f t="shared" si="129"/>
        <v>35</v>
      </c>
      <c r="AD428" s="17">
        <f>CALC!E452*(A428&lt;PARAM!$B$55)</f>
        <v>0</v>
      </c>
      <c r="AE428">
        <f>IF(A428&lt;ITER!$C$16,1,PARAM!$C$53^-(RATES!A428-ITER!$C$16))*(A428&lt;PARAM!$B$55)</f>
        <v>0</v>
      </c>
    </row>
    <row r="429" spans="1:31" x14ac:dyDescent="0.2">
      <c r="A429" s="9">
        <v>426</v>
      </c>
      <c r="B429" s="178">
        <f t="shared" si="126"/>
        <v>67</v>
      </c>
      <c r="C429" s="178">
        <f t="shared" si="126"/>
        <v>67</v>
      </c>
      <c r="D429" s="2">
        <f>PARAM!$H$38</f>
        <v>1</v>
      </c>
      <c r="E429" s="11">
        <f>PARAM!$G$38</f>
        <v>0</v>
      </c>
      <c r="F429" s="11">
        <f>(VLOOKUP(C429,DEDN!$A$8:$O$902,$F$2)*D429+E429)/1000</f>
        <v>1.8519999999999998E-2</v>
      </c>
      <c r="G429" s="178">
        <f t="shared" si="127"/>
        <v>36</v>
      </c>
      <c r="H429" s="178">
        <f t="shared" si="127"/>
        <v>36</v>
      </c>
      <c r="I429" s="2">
        <f>PARAM!$H$39</f>
        <v>0</v>
      </c>
      <c r="J429" s="11">
        <f>PARAM!$G$39</f>
        <v>0</v>
      </c>
      <c r="K429" s="11">
        <f>(VLOOKUP(H429,DEDN!$A$8:$O$902,$K$2)*I429+J429)/1000</f>
        <v>0</v>
      </c>
      <c r="L429" s="11">
        <f>MIN(IF(PARAM!$B$43=3,CHOOSE($L$2,F429,K429),F429+K429-F429*K429),1)</f>
        <v>1.8519999999999998E-2</v>
      </c>
      <c r="M429" s="2">
        <f>PARAM!$I$38</f>
        <v>0</v>
      </c>
      <c r="N429" s="11">
        <f>VLOOKUP(B429,DEDN!$A$8:$O$90,$N$2)*M429</f>
        <v>0</v>
      </c>
      <c r="O429" s="12"/>
      <c r="P429" s="10">
        <f>PARAM!$C$53^-A429</f>
        <v>1</v>
      </c>
      <c r="Q429" s="10">
        <f t="shared" si="128"/>
        <v>0.85171481818718842</v>
      </c>
      <c r="R429" s="10">
        <f t="shared" si="125"/>
        <v>0.85171481818718842</v>
      </c>
      <c r="S429" s="10">
        <f>CHOOSE(PARAM!$B$51,R429,R429,R429,0)*(A429&lt;PARAM!$B$55)</f>
        <v>0</v>
      </c>
      <c r="T429" s="10">
        <f t="shared" si="118"/>
        <v>1.3257714426868628E-3</v>
      </c>
      <c r="U429" s="10">
        <f>T429*P429*(A429&lt;PARAM!$B$55)</f>
        <v>0</v>
      </c>
      <c r="W429">
        <v>426</v>
      </c>
      <c r="X429" s="178">
        <f t="shared" si="129"/>
        <v>67</v>
      </c>
      <c r="Y429" s="178">
        <f t="shared" si="129"/>
        <v>67</v>
      </c>
      <c r="Z429" s="178">
        <f t="shared" si="129"/>
        <v>36</v>
      </c>
      <c r="AA429" s="178">
        <f t="shared" si="129"/>
        <v>36</v>
      </c>
      <c r="AD429" s="17">
        <f>CALC!E453*(A429&lt;PARAM!$B$55)</f>
        <v>0</v>
      </c>
      <c r="AE429">
        <f>IF(A429&lt;ITER!$C$16,1,PARAM!$C$53^-(RATES!A429-ITER!$C$16))*(A429&lt;PARAM!$B$55)</f>
        <v>0</v>
      </c>
    </row>
    <row r="430" spans="1:31" x14ac:dyDescent="0.2">
      <c r="A430" s="9">
        <v>427</v>
      </c>
      <c r="B430" s="178">
        <f t="shared" si="126"/>
        <v>67</v>
      </c>
      <c r="C430" s="178">
        <f t="shared" si="126"/>
        <v>67</v>
      </c>
      <c r="D430" s="2">
        <f>PARAM!$H$38</f>
        <v>1</v>
      </c>
      <c r="E430" s="11">
        <f>PARAM!$G$38</f>
        <v>0</v>
      </c>
      <c r="F430" s="11">
        <f>(VLOOKUP(C430,DEDN!$A$8:$O$902,$F$2)*D430+E430)/1000</f>
        <v>1.8519999999999998E-2</v>
      </c>
      <c r="G430" s="178">
        <f t="shared" si="127"/>
        <v>36</v>
      </c>
      <c r="H430" s="178">
        <f t="shared" si="127"/>
        <v>36</v>
      </c>
      <c r="I430" s="2">
        <f>PARAM!$H$39</f>
        <v>0</v>
      </c>
      <c r="J430" s="11">
        <f>PARAM!$G$39</f>
        <v>0</v>
      </c>
      <c r="K430" s="11">
        <f>(VLOOKUP(H430,DEDN!$A$8:$O$902,$K$2)*I430+J430)/1000</f>
        <v>0</v>
      </c>
      <c r="L430" s="11">
        <f>MIN(IF(PARAM!$B$43=3,CHOOSE($L$2,F430,K430),F430+K430-F430*K430),1)</f>
        <v>1.8519999999999998E-2</v>
      </c>
      <c r="M430" s="2">
        <f>PARAM!$I$38</f>
        <v>0</v>
      </c>
      <c r="N430" s="11">
        <f>VLOOKUP(B430,DEDN!$A$8:$O$90,$N$2)*M430</f>
        <v>0</v>
      </c>
      <c r="O430" s="12"/>
      <c r="P430" s="10">
        <f>PARAM!$C$53^-A430</f>
        <v>1</v>
      </c>
      <c r="Q430" s="10">
        <f t="shared" si="128"/>
        <v>0.85038904674450155</v>
      </c>
      <c r="R430" s="10">
        <f t="shared" si="125"/>
        <v>0.85038904674450155</v>
      </c>
      <c r="S430" s="10">
        <f>CHOOSE(PARAM!$B$51,R430,0,0,0)*(A430&lt;PARAM!$B$55)</f>
        <v>0</v>
      </c>
      <c r="T430" s="10">
        <f t="shared" si="118"/>
        <v>1.3237077590679824E-3</v>
      </c>
      <c r="U430" s="10">
        <f>T430*P430*(A430&lt;PARAM!$B$55)</f>
        <v>0</v>
      </c>
      <c r="W430">
        <v>427</v>
      </c>
      <c r="X430" s="178">
        <f t="shared" si="129"/>
        <v>67</v>
      </c>
      <c r="Y430" s="178">
        <f t="shared" si="129"/>
        <v>67</v>
      </c>
      <c r="Z430" s="178">
        <f t="shared" si="129"/>
        <v>36</v>
      </c>
      <c r="AA430" s="178">
        <f t="shared" si="129"/>
        <v>36</v>
      </c>
      <c r="AD430" s="17">
        <f>CALC!E454*(A430&lt;PARAM!$B$55)</f>
        <v>0</v>
      </c>
      <c r="AE430">
        <f>IF(A430&lt;ITER!$C$16,1,PARAM!$C$53^-(RATES!A430-ITER!$C$16))*(A430&lt;PARAM!$B$55)</f>
        <v>0</v>
      </c>
    </row>
    <row r="431" spans="1:31" x14ac:dyDescent="0.2">
      <c r="A431" s="9">
        <v>428</v>
      </c>
      <c r="B431" s="178">
        <f t="shared" si="126"/>
        <v>67</v>
      </c>
      <c r="C431" s="178">
        <f t="shared" si="126"/>
        <v>67</v>
      </c>
      <c r="D431" s="2">
        <f>PARAM!$H$38</f>
        <v>1</v>
      </c>
      <c r="E431" s="11">
        <f>PARAM!$G$38</f>
        <v>0</v>
      </c>
      <c r="F431" s="11">
        <f>(VLOOKUP(C431,DEDN!$A$8:$O$902,$F$2)*D431+E431)/1000</f>
        <v>1.8519999999999998E-2</v>
      </c>
      <c r="G431" s="178">
        <f t="shared" si="127"/>
        <v>36</v>
      </c>
      <c r="H431" s="178">
        <f t="shared" si="127"/>
        <v>36</v>
      </c>
      <c r="I431" s="2">
        <f>PARAM!$H$39</f>
        <v>0</v>
      </c>
      <c r="J431" s="11">
        <f>PARAM!$G$39</f>
        <v>0</v>
      </c>
      <c r="K431" s="11">
        <f>(VLOOKUP(H431,DEDN!$A$8:$O$902,$K$2)*I431+J431)/1000</f>
        <v>0</v>
      </c>
      <c r="L431" s="11">
        <f>MIN(IF(PARAM!$B$43=3,CHOOSE($L$2,F431,K431),F431+K431-F431*K431),1)</f>
        <v>1.8519999999999998E-2</v>
      </c>
      <c r="M431" s="2">
        <f>PARAM!$I$38</f>
        <v>0</v>
      </c>
      <c r="N431" s="11">
        <f>VLOOKUP(B431,DEDN!$A$8:$O$90,$N$2)*M431</f>
        <v>0</v>
      </c>
      <c r="O431" s="12"/>
      <c r="P431" s="10">
        <f>PARAM!$C$53^-A431</f>
        <v>1</v>
      </c>
      <c r="Q431" s="10">
        <f t="shared" si="128"/>
        <v>0.84906533898543357</v>
      </c>
      <c r="R431" s="10">
        <f t="shared" si="125"/>
        <v>0.84906533898543357</v>
      </c>
      <c r="S431" s="10">
        <f>CHOOSE(PARAM!$B$51,R431,0,0,0)*(A431&lt;PARAM!$B$55)</f>
        <v>0</v>
      </c>
      <c r="T431" s="10">
        <f t="shared" si="118"/>
        <v>1.3216472877600749E-3</v>
      </c>
      <c r="U431" s="10">
        <f>T431*P431*(A431&lt;PARAM!$B$55)</f>
        <v>0</v>
      </c>
      <c r="W431">
        <v>428</v>
      </c>
      <c r="X431" s="178">
        <f t="shared" si="129"/>
        <v>67</v>
      </c>
      <c r="Y431" s="178">
        <f t="shared" si="129"/>
        <v>67</v>
      </c>
      <c r="Z431" s="178">
        <f t="shared" si="129"/>
        <v>36</v>
      </c>
      <c r="AA431" s="178">
        <f t="shared" si="129"/>
        <v>36</v>
      </c>
      <c r="AD431" s="17">
        <f>CALC!E455*(A431&lt;PARAM!$B$55)</f>
        <v>0</v>
      </c>
      <c r="AE431">
        <f>IF(A431&lt;ITER!$C$16,1,PARAM!$C$53^-(RATES!A431-ITER!$C$16))*(A431&lt;PARAM!$B$55)</f>
        <v>0</v>
      </c>
    </row>
    <row r="432" spans="1:31" x14ac:dyDescent="0.2">
      <c r="A432" s="9">
        <v>429</v>
      </c>
      <c r="B432" s="178">
        <f t="shared" si="126"/>
        <v>67</v>
      </c>
      <c r="C432" s="178">
        <f t="shared" si="126"/>
        <v>67</v>
      </c>
      <c r="D432" s="2">
        <f>PARAM!$H$38</f>
        <v>1</v>
      </c>
      <c r="E432" s="11">
        <f>PARAM!$G$38</f>
        <v>0</v>
      </c>
      <c r="F432" s="11">
        <f>(VLOOKUP(C432,DEDN!$A$8:$O$902,$F$2)*D432+E432)/1000</f>
        <v>1.8519999999999998E-2</v>
      </c>
      <c r="G432" s="178">
        <f t="shared" si="127"/>
        <v>36</v>
      </c>
      <c r="H432" s="178">
        <f t="shared" si="127"/>
        <v>36</v>
      </c>
      <c r="I432" s="2">
        <f>PARAM!$H$39</f>
        <v>0</v>
      </c>
      <c r="J432" s="11">
        <f>PARAM!$G$39</f>
        <v>0</v>
      </c>
      <c r="K432" s="11">
        <f>(VLOOKUP(H432,DEDN!$A$8:$O$902,$K$2)*I432+J432)/1000</f>
        <v>0</v>
      </c>
      <c r="L432" s="11">
        <f>MIN(IF(PARAM!$B$43=3,CHOOSE($L$2,F432,K432),F432+K432-F432*K432),1)</f>
        <v>1.8519999999999998E-2</v>
      </c>
      <c r="M432" s="2">
        <f>PARAM!$I$38</f>
        <v>0</v>
      </c>
      <c r="N432" s="11">
        <f>VLOOKUP(B432,DEDN!$A$8:$O$90,$N$2)*M432</f>
        <v>0</v>
      </c>
      <c r="O432" s="12"/>
      <c r="P432" s="10">
        <f>PARAM!$C$53^-A432</f>
        <v>1</v>
      </c>
      <c r="Q432" s="10">
        <f t="shared" si="128"/>
        <v>0.8477436916976735</v>
      </c>
      <c r="R432" s="10">
        <f t="shared" si="125"/>
        <v>0.8477436916976735</v>
      </c>
      <c r="S432" s="10">
        <f>CHOOSE(PARAM!$B$51,R432,R432,0,0)*(A432&lt;PARAM!$B$55)</f>
        <v>0</v>
      </c>
      <c r="T432" s="10">
        <f t="shared" si="118"/>
        <v>1.3195900237626956E-3</v>
      </c>
      <c r="U432" s="10">
        <f>T432*P432*(A432&lt;PARAM!$B$55)</f>
        <v>0</v>
      </c>
      <c r="W432">
        <v>429</v>
      </c>
      <c r="X432" s="178">
        <f t="shared" si="129"/>
        <v>67</v>
      </c>
      <c r="Y432" s="178">
        <f t="shared" si="129"/>
        <v>67</v>
      </c>
      <c r="Z432" s="178">
        <f t="shared" si="129"/>
        <v>36</v>
      </c>
      <c r="AA432" s="178">
        <f t="shared" si="129"/>
        <v>36</v>
      </c>
      <c r="AD432" s="17">
        <f>CALC!E456*(A432&lt;PARAM!$B$55)</f>
        <v>0</v>
      </c>
      <c r="AE432">
        <f>IF(A432&lt;ITER!$C$16,1,PARAM!$C$53^-(RATES!A432-ITER!$C$16))*(A432&lt;PARAM!$B$55)</f>
        <v>0</v>
      </c>
    </row>
    <row r="433" spans="1:31" x14ac:dyDescent="0.2">
      <c r="A433" s="9">
        <v>430</v>
      </c>
      <c r="B433" s="178">
        <f t="shared" si="126"/>
        <v>67</v>
      </c>
      <c r="C433" s="178">
        <f t="shared" si="126"/>
        <v>67</v>
      </c>
      <c r="D433" s="2">
        <f>PARAM!$H$38</f>
        <v>1</v>
      </c>
      <c r="E433" s="11">
        <f>PARAM!$G$38</f>
        <v>0</v>
      </c>
      <c r="F433" s="11">
        <f>(VLOOKUP(C433,DEDN!$A$8:$O$902,$F$2)*D433+E433)/1000</f>
        <v>1.8519999999999998E-2</v>
      </c>
      <c r="G433" s="178">
        <f t="shared" si="127"/>
        <v>36</v>
      </c>
      <c r="H433" s="178">
        <f t="shared" si="127"/>
        <v>36</v>
      </c>
      <c r="I433" s="2">
        <f>PARAM!$H$39</f>
        <v>0</v>
      </c>
      <c r="J433" s="11">
        <f>PARAM!$G$39</f>
        <v>0</v>
      </c>
      <c r="K433" s="11">
        <f>(VLOOKUP(H433,DEDN!$A$8:$O$902,$K$2)*I433+J433)/1000</f>
        <v>0</v>
      </c>
      <c r="L433" s="11">
        <f>MIN(IF(PARAM!$B$43=3,CHOOSE($L$2,F433,K433),F433+K433-F433*K433),1)</f>
        <v>1.8519999999999998E-2</v>
      </c>
      <c r="M433" s="2">
        <f>PARAM!$I$38</f>
        <v>0</v>
      </c>
      <c r="N433" s="11">
        <f>VLOOKUP(B433,DEDN!$A$8:$O$90,$N$2)*M433</f>
        <v>0</v>
      </c>
      <c r="O433" s="12"/>
      <c r="P433" s="10">
        <f>PARAM!$C$53^-A433</f>
        <v>1</v>
      </c>
      <c r="Q433" s="10">
        <f t="shared" si="128"/>
        <v>0.8464241016739108</v>
      </c>
      <c r="R433" s="10">
        <f t="shared" si="125"/>
        <v>0.8464241016739108</v>
      </c>
      <c r="S433" s="10">
        <f>CHOOSE(PARAM!$B$51,R433,0,0,0)*(A433&lt;PARAM!$B$55)</f>
        <v>0</v>
      </c>
      <c r="T433" s="10">
        <f t="shared" si="118"/>
        <v>1.3175359620836158E-3</v>
      </c>
      <c r="U433" s="10">
        <f>T433*P433*(A433&lt;PARAM!$B$55)</f>
        <v>0</v>
      </c>
      <c r="W433">
        <v>430</v>
      </c>
      <c r="X433" s="178">
        <f t="shared" si="129"/>
        <v>67</v>
      </c>
      <c r="Y433" s="178">
        <f t="shared" si="129"/>
        <v>67</v>
      </c>
      <c r="Z433" s="178">
        <f t="shared" si="129"/>
        <v>36</v>
      </c>
      <c r="AA433" s="178">
        <f t="shared" si="129"/>
        <v>36</v>
      </c>
      <c r="AD433" s="17">
        <f>CALC!E457*(A433&lt;PARAM!$B$55)</f>
        <v>0</v>
      </c>
      <c r="AE433">
        <f>IF(A433&lt;ITER!$C$16,1,PARAM!$C$53^-(RATES!A433-ITER!$C$16))*(A433&lt;PARAM!$B$55)</f>
        <v>0</v>
      </c>
    </row>
    <row r="434" spans="1:31" x14ac:dyDescent="0.2">
      <c r="A434" s="9">
        <v>431</v>
      </c>
      <c r="B434" s="178">
        <f t="shared" si="126"/>
        <v>67</v>
      </c>
      <c r="C434" s="178">
        <f t="shared" si="126"/>
        <v>67</v>
      </c>
      <c r="D434" s="2">
        <f>PARAM!$H$38</f>
        <v>1</v>
      </c>
      <c r="E434" s="11">
        <f>PARAM!$G$38</f>
        <v>0</v>
      </c>
      <c r="F434" s="11">
        <f>(VLOOKUP(C434,DEDN!$A$8:$O$902,$F$2)*D434+E434)/1000</f>
        <v>1.8519999999999998E-2</v>
      </c>
      <c r="G434" s="178">
        <f t="shared" si="127"/>
        <v>36</v>
      </c>
      <c r="H434" s="178">
        <f t="shared" si="127"/>
        <v>36</v>
      </c>
      <c r="I434" s="2">
        <f>PARAM!$H$39</f>
        <v>0</v>
      </c>
      <c r="J434" s="11">
        <f>PARAM!$G$39</f>
        <v>0</v>
      </c>
      <c r="K434" s="11">
        <f>(VLOOKUP(H434,DEDN!$A$8:$O$902,$K$2)*I434+J434)/1000</f>
        <v>0</v>
      </c>
      <c r="L434" s="11">
        <f>MIN(IF(PARAM!$B$43=3,CHOOSE($L$2,F434,K434),F434+K434-F434*K434),1)</f>
        <v>1.8519999999999998E-2</v>
      </c>
      <c r="M434" s="2">
        <f>PARAM!$I$38</f>
        <v>0</v>
      </c>
      <c r="N434" s="11">
        <f>VLOOKUP(B434,DEDN!$A$8:$O$90,$N$2)*M434</f>
        <v>0</v>
      </c>
      <c r="O434" s="12"/>
      <c r="P434" s="10">
        <f>PARAM!$C$53^-A434</f>
        <v>1</v>
      </c>
      <c r="Q434" s="10">
        <f t="shared" si="128"/>
        <v>0.84510656571182718</v>
      </c>
      <c r="R434" s="10">
        <f t="shared" si="125"/>
        <v>0.84510656571182718</v>
      </c>
      <c r="S434" s="10">
        <f>CHOOSE(PARAM!$B$51,R434,0,0,0)*(A434&lt;PARAM!$B$55)</f>
        <v>0</v>
      </c>
      <c r="T434" s="10">
        <f t="shared" si="118"/>
        <v>1.315485097738045E-3</v>
      </c>
      <c r="U434" s="10">
        <f>T434*P434*(A434&lt;PARAM!$B$55)</f>
        <v>0</v>
      </c>
      <c r="W434">
        <v>431</v>
      </c>
      <c r="X434" s="178">
        <f t="shared" si="129"/>
        <v>67</v>
      </c>
      <c r="Y434" s="178">
        <f t="shared" si="129"/>
        <v>67</v>
      </c>
      <c r="Z434" s="178">
        <f t="shared" si="129"/>
        <v>36</v>
      </c>
      <c r="AA434" s="178">
        <f t="shared" si="129"/>
        <v>36</v>
      </c>
      <c r="AD434" s="17">
        <f>CALC!E458*(A434&lt;PARAM!$B$55)</f>
        <v>0</v>
      </c>
      <c r="AE434">
        <f>IF(A434&lt;ITER!$C$16,1,PARAM!$C$53^-(RATES!A434-ITER!$C$16))*(A434&lt;PARAM!$B$55)</f>
        <v>0</v>
      </c>
    </row>
    <row r="435" spans="1:31" x14ac:dyDescent="0.2">
      <c r="A435" s="9">
        <v>432</v>
      </c>
      <c r="B435" s="178">
        <f t="shared" si="126"/>
        <v>67</v>
      </c>
      <c r="C435" s="178">
        <f t="shared" si="126"/>
        <v>67</v>
      </c>
      <c r="D435" s="2">
        <f>PARAM!$H$38</f>
        <v>1</v>
      </c>
      <c r="E435" s="11">
        <f>PARAM!$G$38</f>
        <v>0</v>
      </c>
      <c r="F435" s="11">
        <f>(VLOOKUP(C435,DEDN!$A$8:$O$902,$F$2)*D435+E435)/1000</f>
        <v>1.8519999999999998E-2</v>
      </c>
      <c r="G435" s="178">
        <f t="shared" si="127"/>
        <v>36</v>
      </c>
      <c r="H435" s="178">
        <f t="shared" si="127"/>
        <v>36</v>
      </c>
      <c r="I435" s="2">
        <f>PARAM!$H$39</f>
        <v>0</v>
      </c>
      <c r="J435" s="11">
        <f>PARAM!$G$39</f>
        <v>0</v>
      </c>
      <c r="K435" s="11">
        <f>(VLOOKUP(H435,DEDN!$A$8:$O$902,$K$2)*I435+J435)/1000</f>
        <v>0</v>
      </c>
      <c r="L435" s="11">
        <f>MIN(IF(PARAM!$B$43=3,CHOOSE($L$2,F435,K435),F435+K435-F435*K435),1)</f>
        <v>1.8519999999999998E-2</v>
      </c>
      <c r="M435" s="2">
        <f>PARAM!$I$38</f>
        <v>0</v>
      </c>
      <c r="N435" s="11">
        <f>VLOOKUP(B435,DEDN!$A$8:$O$90,$N$2)*M435</f>
        <v>0</v>
      </c>
      <c r="O435" s="12"/>
      <c r="P435" s="10">
        <f>PARAM!$C$53^-A435</f>
        <v>1</v>
      </c>
      <c r="Q435" s="10">
        <f t="shared" si="128"/>
        <v>0.84379108061408914</v>
      </c>
      <c r="R435" s="10">
        <f t="shared" si="125"/>
        <v>0.84379108061408914</v>
      </c>
      <c r="S435" s="10">
        <f>R435*(A435&lt;PARAM!$B$55)</f>
        <v>0</v>
      </c>
      <c r="T435" s="10">
        <f t="shared" si="118"/>
        <v>1.3134374257489645E-3</v>
      </c>
      <c r="U435" s="10">
        <f>T435*P435*(A435&lt;PARAM!$B$55)</f>
        <v>0</v>
      </c>
      <c r="W435">
        <v>432</v>
      </c>
      <c r="X435" s="178">
        <f t="shared" si="129"/>
        <v>67</v>
      </c>
      <c r="Y435" s="178">
        <f t="shared" si="129"/>
        <v>67</v>
      </c>
      <c r="Z435" s="178">
        <f t="shared" si="129"/>
        <v>36</v>
      </c>
      <c r="AA435" s="178">
        <f t="shared" si="129"/>
        <v>36</v>
      </c>
      <c r="AD435" s="17">
        <f>CALC!E459*(A435&lt;PARAM!$B$55)</f>
        <v>0</v>
      </c>
      <c r="AE435">
        <f>IF(A435&lt;ITER!$C$16,1,PARAM!$C$53^-(RATES!A435-ITER!$C$16))*(A435&lt;PARAM!$B$55)</f>
        <v>0</v>
      </c>
    </row>
    <row r="436" spans="1:31" x14ac:dyDescent="0.2">
      <c r="A436" s="9">
        <v>433</v>
      </c>
      <c r="B436" s="178">
        <f t="shared" si="126"/>
        <v>67</v>
      </c>
      <c r="C436" s="178">
        <f t="shared" si="126"/>
        <v>67</v>
      </c>
      <c r="D436" s="2">
        <f>PARAM!$H$38</f>
        <v>1</v>
      </c>
      <c r="E436" s="11">
        <f>PARAM!$G$38</f>
        <v>0</v>
      </c>
      <c r="F436" s="11">
        <f>(VLOOKUP(C436,DEDN!$A$8:$O$902,$F$2)*D436+E436)/1000</f>
        <v>1.8519999999999998E-2</v>
      </c>
      <c r="G436" s="178">
        <f t="shared" si="127"/>
        <v>36</v>
      </c>
      <c r="H436" s="178">
        <f t="shared" si="127"/>
        <v>36</v>
      </c>
      <c r="I436" s="2">
        <f>PARAM!$H$39</f>
        <v>0</v>
      </c>
      <c r="J436" s="11">
        <f>PARAM!$G$39</f>
        <v>0</v>
      </c>
      <c r="K436" s="11">
        <f>(VLOOKUP(H436,DEDN!$A$8:$O$902,$K$2)*I436+J436)/1000</f>
        <v>0</v>
      </c>
      <c r="L436" s="11">
        <f>MIN(IF(PARAM!$B$43=3,CHOOSE($L$2,F436,K436),F436+K436-F436*K436),1)</f>
        <v>1.8519999999999998E-2</v>
      </c>
      <c r="M436" s="2">
        <f>PARAM!$I$38</f>
        <v>0</v>
      </c>
      <c r="N436" s="11">
        <f>VLOOKUP(B436,DEDN!$A$8:$O$90,$N$2)*M436</f>
        <v>0</v>
      </c>
      <c r="O436" s="12"/>
      <c r="P436" s="10">
        <f>PARAM!$C$53^-A436</f>
        <v>1</v>
      </c>
      <c r="Q436" s="10">
        <f t="shared" si="128"/>
        <v>0.84247764318834018</v>
      </c>
      <c r="R436" s="10">
        <f t="shared" ref="R436:R451" si="130">P436*Q436</f>
        <v>0.84247764318834018</v>
      </c>
      <c r="S436" s="10">
        <f>CHOOSE(PARAM!$B$51,R436,0,0,0)*(A436&lt;PARAM!$B$55)</f>
        <v>0</v>
      </c>
      <c r="T436" s="10">
        <f t="shared" si="118"/>
        <v>1.3113929411473491E-3</v>
      </c>
      <c r="U436" s="10">
        <f>T436*P436*(A436&lt;PARAM!$B$55)</f>
        <v>0</v>
      </c>
      <c r="W436">
        <v>433</v>
      </c>
      <c r="X436" s="178">
        <f t="shared" si="129"/>
        <v>67</v>
      </c>
      <c r="Y436" s="178">
        <f t="shared" si="129"/>
        <v>67</v>
      </c>
      <c r="Z436" s="178">
        <f t="shared" si="129"/>
        <v>36</v>
      </c>
      <c r="AA436" s="178">
        <f t="shared" si="129"/>
        <v>36</v>
      </c>
      <c r="AD436" s="17">
        <f>CALC!E460*(A436&lt;PARAM!$B$55)</f>
        <v>0</v>
      </c>
      <c r="AE436">
        <f>IF(A436&lt;ITER!$C$16,1,PARAM!$C$53^-(RATES!A436-ITER!$C$16))*(A436&lt;PARAM!$B$55)</f>
        <v>0</v>
      </c>
    </row>
    <row r="437" spans="1:31" x14ac:dyDescent="0.2">
      <c r="A437" s="9">
        <v>434</v>
      </c>
      <c r="B437" s="178">
        <f t="shared" si="126"/>
        <v>67</v>
      </c>
      <c r="C437" s="178">
        <f t="shared" si="126"/>
        <v>67</v>
      </c>
      <c r="D437" s="2">
        <f>PARAM!$H$38</f>
        <v>1</v>
      </c>
      <c r="E437" s="11">
        <f>PARAM!$G$38</f>
        <v>0</v>
      </c>
      <c r="F437" s="11">
        <f>(VLOOKUP(C437,DEDN!$A$8:$O$902,$F$2)*D437+E437)/1000</f>
        <v>1.8519999999999998E-2</v>
      </c>
      <c r="G437" s="178">
        <f t="shared" si="127"/>
        <v>36</v>
      </c>
      <c r="H437" s="178">
        <f t="shared" si="127"/>
        <v>36</v>
      </c>
      <c r="I437" s="2">
        <f>PARAM!$H$39</f>
        <v>0</v>
      </c>
      <c r="J437" s="11">
        <f>PARAM!$G$39</f>
        <v>0</v>
      </c>
      <c r="K437" s="11">
        <f>(VLOOKUP(H437,DEDN!$A$8:$O$902,$K$2)*I437+J437)/1000</f>
        <v>0</v>
      </c>
      <c r="L437" s="11">
        <f>MIN(IF(PARAM!$B$43=3,CHOOSE($L$2,F437,K437),F437+K437-F437*K437),1)</f>
        <v>1.8519999999999998E-2</v>
      </c>
      <c r="M437" s="2">
        <f>PARAM!$I$38</f>
        <v>0</v>
      </c>
      <c r="N437" s="11">
        <f>VLOOKUP(B437,DEDN!$A$8:$O$90,$N$2)*M437</f>
        <v>0</v>
      </c>
      <c r="O437" s="12"/>
      <c r="P437" s="10">
        <f>PARAM!$C$53^-A437</f>
        <v>1</v>
      </c>
      <c r="Q437" s="10">
        <f t="shared" ref="Q437:Q452" si="131">Q436*(1-L436)^(1/12)</f>
        <v>0.84116625024719283</v>
      </c>
      <c r="R437" s="10">
        <f t="shared" si="130"/>
        <v>0.84116625024719283</v>
      </c>
      <c r="S437" s="10">
        <f>CHOOSE(PARAM!$B$51,R437,0,0,0)*(A437&lt;PARAM!$B$55)</f>
        <v>0</v>
      </c>
      <c r="T437" s="10">
        <f t="shared" si="118"/>
        <v>1.309351638971501E-3</v>
      </c>
      <c r="U437" s="10">
        <f>T437*P437*(A437&lt;PARAM!$B$55)</f>
        <v>0</v>
      </c>
      <c r="W437">
        <v>434</v>
      </c>
      <c r="X437" s="178">
        <f t="shared" si="129"/>
        <v>67</v>
      </c>
      <c r="Y437" s="178">
        <f t="shared" si="129"/>
        <v>67</v>
      </c>
      <c r="Z437" s="178">
        <f t="shared" si="129"/>
        <v>36</v>
      </c>
      <c r="AA437" s="178">
        <f t="shared" si="129"/>
        <v>36</v>
      </c>
      <c r="AD437" s="17">
        <f>CALC!E461*(A437&lt;PARAM!$B$55)</f>
        <v>0</v>
      </c>
      <c r="AE437">
        <f>IF(A437&lt;ITER!$C$16,1,PARAM!$C$53^-(RATES!A437-ITER!$C$16))*(A437&lt;PARAM!$B$55)</f>
        <v>0</v>
      </c>
    </row>
    <row r="438" spans="1:31" x14ac:dyDescent="0.2">
      <c r="A438" s="9">
        <v>435</v>
      </c>
      <c r="B438" s="178">
        <f t="shared" si="126"/>
        <v>67</v>
      </c>
      <c r="C438" s="178">
        <f t="shared" si="126"/>
        <v>67</v>
      </c>
      <c r="D438" s="2">
        <f>PARAM!$H$38</f>
        <v>1</v>
      </c>
      <c r="E438" s="11">
        <f>PARAM!$G$38</f>
        <v>0</v>
      </c>
      <c r="F438" s="11">
        <f>(VLOOKUP(C438,DEDN!$A$8:$O$902,$F$2)*D438+E438)/1000</f>
        <v>1.8519999999999998E-2</v>
      </c>
      <c r="G438" s="178">
        <f t="shared" si="127"/>
        <v>36</v>
      </c>
      <c r="H438" s="178">
        <f t="shared" si="127"/>
        <v>36</v>
      </c>
      <c r="I438" s="2">
        <f>PARAM!$H$39</f>
        <v>0</v>
      </c>
      <c r="J438" s="11">
        <f>PARAM!$G$39</f>
        <v>0</v>
      </c>
      <c r="K438" s="11">
        <f>(VLOOKUP(H438,DEDN!$A$8:$O$902,$K$2)*I438+J438)/1000</f>
        <v>0</v>
      </c>
      <c r="L438" s="11">
        <f>MIN(IF(PARAM!$B$43=3,CHOOSE($L$2,F438,K438),F438+K438-F438*K438),1)</f>
        <v>1.8519999999999998E-2</v>
      </c>
      <c r="M438" s="2">
        <f>PARAM!$I$38</f>
        <v>0</v>
      </c>
      <c r="N438" s="11">
        <f>VLOOKUP(B438,DEDN!$A$8:$O$90,$N$2)*M438</f>
        <v>0</v>
      </c>
      <c r="O438" s="12"/>
      <c r="P438" s="10">
        <f>PARAM!$C$53^-A438</f>
        <v>1</v>
      </c>
      <c r="Q438" s="10">
        <f t="shared" si="131"/>
        <v>0.83985689860822133</v>
      </c>
      <c r="R438" s="10">
        <f t="shared" si="130"/>
        <v>0.83985689860822133</v>
      </c>
      <c r="S438" s="10">
        <f>CHOOSE(PARAM!$B$51,R438,R438,0,0)*(A438&lt;PARAM!$B$55)</f>
        <v>0</v>
      </c>
      <c r="T438" s="10">
        <f t="shared" si="118"/>
        <v>1.3073135142679382E-3</v>
      </c>
      <c r="U438" s="10">
        <f>T438*P438*(A438&lt;PARAM!$B$55)</f>
        <v>0</v>
      </c>
      <c r="W438">
        <v>435</v>
      </c>
      <c r="X438" s="178">
        <f t="shared" si="129"/>
        <v>67</v>
      </c>
      <c r="Y438" s="178">
        <f t="shared" si="129"/>
        <v>67</v>
      </c>
      <c r="Z438" s="178">
        <f t="shared" si="129"/>
        <v>36</v>
      </c>
      <c r="AA438" s="178">
        <f t="shared" si="129"/>
        <v>36</v>
      </c>
      <c r="AD438" s="17">
        <f>CALC!E462*(A438&lt;PARAM!$B$55)</f>
        <v>0</v>
      </c>
      <c r="AE438">
        <f>IF(A438&lt;ITER!$C$16,1,PARAM!$C$53^-(RATES!A438-ITER!$C$16))*(A438&lt;PARAM!$B$55)</f>
        <v>0</v>
      </c>
    </row>
    <row r="439" spans="1:31" x14ac:dyDescent="0.2">
      <c r="A439" s="9">
        <v>436</v>
      </c>
      <c r="B439" s="178">
        <f t="shared" si="126"/>
        <v>67</v>
      </c>
      <c r="C439" s="178">
        <f t="shared" si="126"/>
        <v>67</v>
      </c>
      <c r="D439" s="2">
        <f>PARAM!$H$38</f>
        <v>1</v>
      </c>
      <c r="E439" s="11">
        <f>PARAM!$G$38</f>
        <v>0</v>
      </c>
      <c r="F439" s="11">
        <f>(VLOOKUP(C439,DEDN!$A$8:$O$902,$F$2)*D439+E439)/1000</f>
        <v>1.8519999999999998E-2</v>
      </c>
      <c r="G439" s="178">
        <f t="shared" si="127"/>
        <v>36</v>
      </c>
      <c r="H439" s="178">
        <f t="shared" si="127"/>
        <v>36</v>
      </c>
      <c r="I439" s="2">
        <f>PARAM!$H$39</f>
        <v>0</v>
      </c>
      <c r="J439" s="11">
        <f>PARAM!$G$39</f>
        <v>0</v>
      </c>
      <c r="K439" s="11">
        <f>(VLOOKUP(H439,DEDN!$A$8:$O$902,$K$2)*I439+J439)/1000</f>
        <v>0</v>
      </c>
      <c r="L439" s="11">
        <f>MIN(IF(PARAM!$B$43=3,CHOOSE($L$2,F439,K439),F439+K439-F439*K439),1)</f>
        <v>1.8519999999999998E-2</v>
      </c>
      <c r="M439" s="2">
        <f>PARAM!$I$38</f>
        <v>0</v>
      </c>
      <c r="N439" s="11">
        <f>VLOOKUP(B439,DEDN!$A$8:$O$90,$N$2)*M439</f>
        <v>0</v>
      </c>
      <c r="O439" s="12"/>
      <c r="P439" s="10">
        <f>PARAM!$C$53^-A439</f>
        <v>1</v>
      </c>
      <c r="Q439" s="10">
        <f t="shared" si="131"/>
        <v>0.83854958509395339</v>
      </c>
      <c r="R439" s="10">
        <f t="shared" si="130"/>
        <v>0.83854958509395339</v>
      </c>
      <c r="S439" s="10">
        <f>CHOOSE(PARAM!$B$51,R439,0,0,0)*(A439&lt;PARAM!$B$55)</f>
        <v>0</v>
      </c>
      <c r="T439" s="10">
        <f t="shared" si="118"/>
        <v>1.3052785620903951E-3</v>
      </c>
      <c r="U439" s="10">
        <f>T439*P439*(A439&lt;PARAM!$B$55)</f>
        <v>0</v>
      </c>
      <c r="W439">
        <v>436</v>
      </c>
      <c r="X439" s="178">
        <f t="shared" si="129"/>
        <v>67</v>
      </c>
      <c r="Y439" s="178">
        <f t="shared" si="129"/>
        <v>67</v>
      </c>
      <c r="Z439" s="178">
        <f t="shared" si="129"/>
        <v>36</v>
      </c>
      <c r="AA439" s="178">
        <f t="shared" si="129"/>
        <v>36</v>
      </c>
      <c r="AD439" s="17">
        <f>CALC!E463*(A439&lt;PARAM!$B$55)</f>
        <v>0</v>
      </c>
      <c r="AE439">
        <f>IF(A439&lt;ITER!$C$16,1,PARAM!$C$53^-(RATES!A439-ITER!$C$16))*(A439&lt;PARAM!$B$55)</f>
        <v>0</v>
      </c>
    </row>
    <row r="440" spans="1:31" x14ac:dyDescent="0.2">
      <c r="A440" s="9">
        <v>437</v>
      </c>
      <c r="B440" s="178">
        <f t="shared" si="126"/>
        <v>67</v>
      </c>
      <c r="C440" s="178">
        <f t="shared" si="126"/>
        <v>67</v>
      </c>
      <c r="D440" s="2">
        <f>PARAM!$H$38</f>
        <v>1</v>
      </c>
      <c r="E440" s="11">
        <f>PARAM!$G$38</f>
        <v>0</v>
      </c>
      <c r="F440" s="11">
        <f>(VLOOKUP(C440,DEDN!$A$8:$O$902,$F$2)*D440+E440)/1000</f>
        <v>1.8519999999999998E-2</v>
      </c>
      <c r="G440" s="178">
        <f t="shared" si="127"/>
        <v>36</v>
      </c>
      <c r="H440" s="178">
        <f t="shared" si="127"/>
        <v>36</v>
      </c>
      <c r="I440" s="2">
        <f>PARAM!$H$39</f>
        <v>0</v>
      </c>
      <c r="J440" s="11">
        <f>PARAM!$G$39</f>
        <v>0</v>
      </c>
      <c r="K440" s="11">
        <f>(VLOOKUP(H440,DEDN!$A$8:$O$902,$K$2)*I440+J440)/1000</f>
        <v>0</v>
      </c>
      <c r="L440" s="11">
        <f>MIN(IF(PARAM!$B$43=3,CHOOSE($L$2,F440,K440),F440+K440-F440*K440),1)</f>
        <v>1.8519999999999998E-2</v>
      </c>
      <c r="M440" s="2">
        <f>PARAM!$I$38</f>
        <v>0</v>
      </c>
      <c r="N440" s="11">
        <f>VLOOKUP(B440,DEDN!$A$8:$O$90,$N$2)*M440</f>
        <v>0</v>
      </c>
      <c r="O440" s="12"/>
      <c r="P440" s="10">
        <f>PARAM!$C$53^-A440</f>
        <v>1</v>
      </c>
      <c r="Q440" s="10">
        <f t="shared" si="131"/>
        <v>0.83724430653186299</v>
      </c>
      <c r="R440" s="10">
        <f t="shared" si="130"/>
        <v>0.83724430653186299</v>
      </c>
      <c r="S440" s="10">
        <f>CHOOSE(PARAM!$B$51,R440,0,0,0)*(A440&lt;PARAM!$B$55)</f>
        <v>0</v>
      </c>
      <c r="T440" s="10">
        <f t="shared" si="118"/>
        <v>1.3032467775008216E-3</v>
      </c>
      <c r="U440" s="10">
        <f>T440*P440*(A440&lt;PARAM!$B$55)</f>
        <v>0</v>
      </c>
      <c r="W440">
        <v>437</v>
      </c>
      <c r="X440" s="178">
        <f t="shared" si="129"/>
        <v>67</v>
      </c>
      <c r="Y440" s="178">
        <f t="shared" si="129"/>
        <v>67</v>
      </c>
      <c r="Z440" s="178">
        <f t="shared" si="129"/>
        <v>36</v>
      </c>
      <c r="AA440" s="178">
        <f t="shared" si="129"/>
        <v>36</v>
      </c>
      <c r="AD440" s="17">
        <f>CALC!E464*(A440&lt;PARAM!$B$55)</f>
        <v>0</v>
      </c>
      <c r="AE440">
        <f>IF(A440&lt;ITER!$C$16,1,PARAM!$C$53^-(RATES!A440-ITER!$C$16))*(A440&lt;PARAM!$B$55)</f>
        <v>0</v>
      </c>
    </row>
    <row r="441" spans="1:31" x14ac:dyDescent="0.2">
      <c r="A441" s="9">
        <v>438</v>
      </c>
      <c r="B441" s="178">
        <f t="shared" ref="B441:C460" si="132">B429+1</f>
        <v>68</v>
      </c>
      <c r="C441" s="178">
        <f t="shared" si="132"/>
        <v>68</v>
      </c>
      <c r="D441" s="2">
        <f>PARAM!$H$38</f>
        <v>1</v>
      </c>
      <c r="E441" s="11">
        <f>PARAM!$G$38</f>
        <v>0</v>
      </c>
      <c r="F441" s="11">
        <f>(VLOOKUP(C441,DEDN!$A$8:$O$902,$F$2)*D441+E441)/1000</f>
        <v>2.051E-2</v>
      </c>
      <c r="G441" s="178">
        <f t="shared" ref="G441:H460" si="133">G429+1</f>
        <v>37</v>
      </c>
      <c r="H441" s="178">
        <f t="shared" si="133"/>
        <v>37</v>
      </c>
      <c r="I441" s="2">
        <f>PARAM!$H$39</f>
        <v>0</v>
      </c>
      <c r="J441" s="11">
        <f>PARAM!$G$39</f>
        <v>0</v>
      </c>
      <c r="K441" s="11">
        <f>(VLOOKUP(H441,DEDN!$A$8:$O$902,$K$2)*I441+J441)/1000</f>
        <v>0</v>
      </c>
      <c r="L441" s="11">
        <f>MIN(IF(PARAM!$B$43=3,CHOOSE($L$2,F441,K441),F441+K441-F441*K441),1)</f>
        <v>2.051E-2</v>
      </c>
      <c r="M441" s="2">
        <f>PARAM!$I$38</f>
        <v>0</v>
      </c>
      <c r="N441" s="11">
        <f>VLOOKUP(B441,DEDN!$A$8:$O$90,$N$2)*M441</f>
        <v>0</v>
      </c>
      <c r="O441" s="12"/>
      <c r="P441" s="10">
        <f>PARAM!$C$53^-A441</f>
        <v>1</v>
      </c>
      <c r="Q441" s="10">
        <f t="shared" si="131"/>
        <v>0.83594105975436217</v>
      </c>
      <c r="R441" s="10">
        <f t="shared" si="130"/>
        <v>0.83594105975436217</v>
      </c>
      <c r="S441" s="10">
        <f>CHOOSE(PARAM!$B$51,R441,R441,R441,0)*(A441&lt;PARAM!$B$55)</f>
        <v>0</v>
      </c>
      <c r="T441" s="10">
        <f t="shared" si="118"/>
        <v>1.4423722275013207E-3</v>
      </c>
      <c r="U441" s="10">
        <f>T441*P441*(A441&lt;PARAM!$B$55)</f>
        <v>0</v>
      </c>
      <c r="W441">
        <v>438</v>
      </c>
      <c r="X441" s="178">
        <f t="shared" ref="X441:AA460" si="134">X429+1</f>
        <v>68</v>
      </c>
      <c r="Y441" s="178">
        <f t="shared" si="134"/>
        <v>68</v>
      </c>
      <c r="Z441" s="178">
        <f t="shared" si="134"/>
        <v>37</v>
      </c>
      <c r="AA441" s="178">
        <f t="shared" si="134"/>
        <v>37</v>
      </c>
      <c r="AD441" s="17">
        <f>CALC!E465*(A441&lt;PARAM!$B$55)</f>
        <v>0</v>
      </c>
      <c r="AE441">
        <f>IF(A441&lt;ITER!$C$16,1,PARAM!$C$53^-(RATES!A441-ITER!$C$16))*(A441&lt;PARAM!$B$55)</f>
        <v>0</v>
      </c>
    </row>
    <row r="442" spans="1:31" x14ac:dyDescent="0.2">
      <c r="A442" s="9">
        <v>439</v>
      </c>
      <c r="B442" s="178">
        <f t="shared" si="132"/>
        <v>68</v>
      </c>
      <c r="C442" s="178">
        <f t="shared" si="132"/>
        <v>68</v>
      </c>
      <c r="D442" s="2">
        <f>PARAM!$H$38</f>
        <v>1</v>
      </c>
      <c r="E442" s="11">
        <f>PARAM!$G$38</f>
        <v>0</v>
      </c>
      <c r="F442" s="11">
        <f>(VLOOKUP(C442,DEDN!$A$8:$O$902,$F$2)*D442+E442)/1000</f>
        <v>2.051E-2</v>
      </c>
      <c r="G442" s="178">
        <f t="shared" si="133"/>
        <v>37</v>
      </c>
      <c r="H442" s="178">
        <f t="shared" si="133"/>
        <v>37</v>
      </c>
      <c r="I442" s="2">
        <f>PARAM!$H$39</f>
        <v>0</v>
      </c>
      <c r="J442" s="11">
        <f>PARAM!$G$39</f>
        <v>0</v>
      </c>
      <c r="K442" s="11">
        <f>(VLOOKUP(H442,DEDN!$A$8:$O$902,$K$2)*I442+J442)/1000</f>
        <v>0</v>
      </c>
      <c r="L442" s="11">
        <f>MIN(IF(PARAM!$B$43=3,CHOOSE($L$2,F442,K442),F442+K442-F442*K442),1)</f>
        <v>2.051E-2</v>
      </c>
      <c r="M442" s="2">
        <f>PARAM!$I$38</f>
        <v>0</v>
      </c>
      <c r="N442" s="11">
        <f>VLOOKUP(B442,DEDN!$A$8:$O$90,$N$2)*M442</f>
        <v>0</v>
      </c>
      <c r="O442" s="12"/>
      <c r="P442" s="10">
        <f>PARAM!$C$53^-A442</f>
        <v>1</v>
      </c>
      <c r="Q442" s="10">
        <f t="shared" si="131"/>
        <v>0.83449868752686085</v>
      </c>
      <c r="R442" s="10">
        <f t="shared" si="130"/>
        <v>0.83449868752686085</v>
      </c>
      <c r="S442" s="10">
        <f>CHOOSE(PARAM!$B$51,R442,0,0,0)*(A442&lt;PARAM!$B$55)</f>
        <v>0</v>
      </c>
      <c r="T442" s="10">
        <f t="shared" si="118"/>
        <v>1.439883490265137E-3</v>
      </c>
      <c r="U442" s="10">
        <f>T442*P442*(A442&lt;PARAM!$B$55)</f>
        <v>0</v>
      </c>
      <c r="W442">
        <v>439</v>
      </c>
      <c r="X442" s="178">
        <f t="shared" si="134"/>
        <v>68</v>
      </c>
      <c r="Y442" s="178">
        <f t="shared" si="134"/>
        <v>68</v>
      </c>
      <c r="Z442" s="178">
        <f t="shared" si="134"/>
        <v>37</v>
      </c>
      <c r="AA442" s="178">
        <f t="shared" si="134"/>
        <v>37</v>
      </c>
      <c r="AD442" s="17">
        <f>CALC!E466*(A442&lt;PARAM!$B$55)</f>
        <v>0</v>
      </c>
      <c r="AE442">
        <f>IF(A442&lt;ITER!$C$16,1,PARAM!$C$53^-(RATES!A442-ITER!$C$16))*(A442&lt;PARAM!$B$55)</f>
        <v>0</v>
      </c>
    </row>
    <row r="443" spans="1:31" x14ac:dyDescent="0.2">
      <c r="A443" s="9">
        <v>440</v>
      </c>
      <c r="B443" s="178">
        <f t="shared" si="132"/>
        <v>68</v>
      </c>
      <c r="C443" s="178">
        <f t="shared" si="132"/>
        <v>68</v>
      </c>
      <c r="D443" s="2">
        <f>PARAM!$H$38</f>
        <v>1</v>
      </c>
      <c r="E443" s="11">
        <f>PARAM!$G$38</f>
        <v>0</v>
      </c>
      <c r="F443" s="11">
        <f>(VLOOKUP(C443,DEDN!$A$8:$O$902,$F$2)*D443+E443)/1000</f>
        <v>2.051E-2</v>
      </c>
      <c r="G443" s="178">
        <f t="shared" si="133"/>
        <v>37</v>
      </c>
      <c r="H443" s="178">
        <f t="shared" si="133"/>
        <v>37</v>
      </c>
      <c r="I443" s="2">
        <f>PARAM!$H$39</f>
        <v>0</v>
      </c>
      <c r="J443" s="11">
        <f>PARAM!$G$39</f>
        <v>0</v>
      </c>
      <c r="K443" s="11">
        <f>(VLOOKUP(H443,DEDN!$A$8:$O$902,$K$2)*I443+J443)/1000</f>
        <v>0</v>
      </c>
      <c r="L443" s="11">
        <f>MIN(IF(PARAM!$B$43=3,CHOOSE($L$2,F443,K443),F443+K443-F443*K443),1)</f>
        <v>2.051E-2</v>
      </c>
      <c r="M443" s="2">
        <f>PARAM!$I$38</f>
        <v>0</v>
      </c>
      <c r="N443" s="11">
        <f>VLOOKUP(B443,DEDN!$A$8:$O$90,$N$2)*M443</f>
        <v>0</v>
      </c>
      <c r="O443" s="12"/>
      <c r="P443" s="10">
        <f>PARAM!$C$53^-A443</f>
        <v>1</v>
      </c>
      <c r="Q443" s="10">
        <f t="shared" si="131"/>
        <v>0.83305880403659571</v>
      </c>
      <c r="R443" s="10">
        <f t="shared" si="130"/>
        <v>0.83305880403659571</v>
      </c>
      <c r="S443" s="10">
        <f>CHOOSE(PARAM!$B$51,R443,0,0,0)*(A443&lt;PARAM!$B$55)</f>
        <v>0</v>
      </c>
      <c r="T443" s="10">
        <f t="shared" si="118"/>
        <v>1.4373990472138498E-3</v>
      </c>
      <c r="U443" s="10">
        <f>T443*P443*(A443&lt;PARAM!$B$55)</f>
        <v>0</v>
      </c>
      <c r="W443">
        <v>440</v>
      </c>
      <c r="X443" s="178">
        <f t="shared" si="134"/>
        <v>68</v>
      </c>
      <c r="Y443" s="178">
        <f t="shared" si="134"/>
        <v>68</v>
      </c>
      <c r="Z443" s="178">
        <f t="shared" si="134"/>
        <v>37</v>
      </c>
      <c r="AA443" s="178">
        <f t="shared" si="134"/>
        <v>37</v>
      </c>
      <c r="AD443" s="17">
        <f>CALC!E467*(A443&lt;PARAM!$B$55)</f>
        <v>0</v>
      </c>
      <c r="AE443">
        <f>IF(A443&lt;ITER!$C$16,1,PARAM!$C$53^-(RATES!A443-ITER!$C$16))*(A443&lt;PARAM!$B$55)</f>
        <v>0</v>
      </c>
    </row>
    <row r="444" spans="1:31" x14ac:dyDescent="0.2">
      <c r="A444" s="9">
        <v>441</v>
      </c>
      <c r="B444" s="178">
        <f t="shared" si="132"/>
        <v>68</v>
      </c>
      <c r="C444" s="178">
        <f t="shared" si="132"/>
        <v>68</v>
      </c>
      <c r="D444" s="2">
        <f>PARAM!$H$38</f>
        <v>1</v>
      </c>
      <c r="E444" s="11">
        <f>PARAM!$G$38</f>
        <v>0</v>
      </c>
      <c r="F444" s="11">
        <f>(VLOOKUP(C444,DEDN!$A$8:$O$902,$F$2)*D444+E444)/1000</f>
        <v>2.051E-2</v>
      </c>
      <c r="G444" s="178">
        <f t="shared" si="133"/>
        <v>37</v>
      </c>
      <c r="H444" s="178">
        <f t="shared" si="133"/>
        <v>37</v>
      </c>
      <c r="I444" s="2">
        <f>PARAM!$H$39</f>
        <v>0</v>
      </c>
      <c r="J444" s="11">
        <f>PARAM!$G$39</f>
        <v>0</v>
      </c>
      <c r="K444" s="11">
        <f>(VLOOKUP(H444,DEDN!$A$8:$O$902,$K$2)*I444+J444)/1000</f>
        <v>0</v>
      </c>
      <c r="L444" s="11">
        <f>MIN(IF(PARAM!$B$43=3,CHOOSE($L$2,F444,K444),F444+K444-F444*K444),1)</f>
        <v>2.051E-2</v>
      </c>
      <c r="M444" s="2">
        <f>PARAM!$I$38</f>
        <v>0</v>
      </c>
      <c r="N444" s="11">
        <f>VLOOKUP(B444,DEDN!$A$8:$O$90,$N$2)*M444</f>
        <v>0</v>
      </c>
      <c r="O444" s="12"/>
      <c r="P444" s="10">
        <f>PARAM!$C$53^-A444</f>
        <v>1</v>
      </c>
      <c r="Q444" s="10">
        <f t="shared" si="131"/>
        <v>0.83162140498938186</v>
      </c>
      <c r="R444" s="10">
        <f t="shared" si="130"/>
        <v>0.83162140498938186</v>
      </c>
      <c r="S444" s="10">
        <f>CHOOSE(PARAM!$B$51,R444,R444,0,0)*(A444&lt;PARAM!$B$55)</f>
        <v>0</v>
      </c>
      <c r="T444" s="10">
        <f t="shared" si="118"/>
        <v>1.4349188909380528E-3</v>
      </c>
      <c r="U444" s="10">
        <f>T444*P444*(A444&lt;PARAM!$B$55)</f>
        <v>0</v>
      </c>
      <c r="W444">
        <v>441</v>
      </c>
      <c r="X444" s="178">
        <f t="shared" si="134"/>
        <v>68</v>
      </c>
      <c r="Y444" s="178">
        <f t="shared" si="134"/>
        <v>68</v>
      </c>
      <c r="Z444" s="178">
        <f t="shared" si="134"/>
        <v>37</v>
      </c>
      <c r="AA444" s="178">
        <f t="shared" si="134"/>
        <v>37</v>
      </c>
      <c r="AD444" s="17">
        <f>CALC!E468*(A444&lt;PARAM!$B$55)</f>
        <v>0</v>
      </c>
      <c r="AE444">
        <f>IF(A444&lt;ITER!$C$16,1,PARAM!$C$53^-(RATES!A444-ITER!$C$16))*(A444&lt;PARAM!$B$55)</f>
        <v>0</v>
      </c>
    </row>
    <row r="445" spans="1:31" x14ac:dyDescent="0.2">
      <c r="A445" s="9">
        <v>442</v>
      </c>
      <c r="B445" s="178">
        <f t="shared" si="132"/>
        <v>68</v>
      </c>
      <c r="C445" s="178">
        <f t="shared" si="132"/>
        <v>68</v>
      </c>
      <c r="D445" s="2">
        <f>PARAM!$H$38</f>
        <v>1</v>
      </c>
      <c r="E445" s="11">
        <f>PARAM!$G$38</f>
        <v>0</v>
      </c>
      <c r="F445" s="11">
        <f>(VLOOKUP(C445,DEDN!$A$8:$O$902,$F$2)*D445+E445)/1000</f>
        <v>2.051E-2</v>
      </c>
      <c r="G445" s="178">
        <f t="shared" si="133"/>
        <v>37</v>
      </c>
      <c r="H445" s="178">
        <f t="shared" si="133"/>
        <v>37</v>
      </c>
      <c r="I445" s="2">
        <f>PARAM!$H$39</f>
        <v>0</v>
      </c>
      <c r="J445" s="11">
        <f>PARAM!$G$39</f>
        <v>0</v>
      </c>
      <c r="K445" s="11">
        <f>(VLOOKUP(H445,DEDN!$A$8:$O$902,$K$2)*I445+J445)/1000</f>
        <v>0</v>
      </c>
      <c r="L445" s="11">
        <f>MIN(IF(PARAM!$B$43=3,CHOOSE($L$2,F445,K445),F445+K445-F445*K445),1)</f>
        <v>2.051E-2</v>
      </c>
      <c r="M445" s="2">
        <f>PARAM!$I$38</f>
        <v>0</v>
      </c>
      <c r="N445" s="11">
        <f>VLOOKUP(B445,DEDN!$A$8:$O$90,$N$2)*M445</f>
        <v>0</v>
      </c>
      <c r="O445" s="12"/>
      <c r="P445" s="10">
        <f>PARAM!$C$53^-A445</f>
        <v>1</v>
      </c>
      <c r="Q445" s="10">
        <f t="shared" si="131"/>
        <v>0.83018648609844381</v>
      </c>
      <c r="R445" s="10">
        <f t="shared" si="130"/>
        <v>0.83018648609844381</v>
      </c>
      <c r="S445" s="10">
        <f>CHOOSE(PARAM!$B$51,R445,0,0,0)*(A445&lt;PARAM!$B$55)</f>
        <v>0</v>
      </c>
      <c r="T445" s="10">
        <f t="shared" si="118"/>
        <v>1.4324430140412181E-3</v>
      </c>
      <c r="U445" s="10">
        <f>T445*P445*(A445&lt;PARAM!$B$55)</f>
        <v>0</v>
      </c>
      <c r="W445">
        <v>442</v>
      </c>
      <c r="X445" s="178">
        <f t="shared" si="134"/>
        <v>68</v>
      </c>
      <c r="Y445" s="178">
        <f t="shared" si="134"/>
        <v>68</v>
      </c>
      <c r="Z445" s="178">
        <f t="shared" si="134"/>
        <v>37</v>
      </c>
      <c r="AA445" s="178">
        <f t="shared" si="134"/>
        <v>37</v>
      </c>
      <c r="AD445" s="17">
        <f>CALC!E469*(A445&lt;PARAM!$B$55)</f>
        <v>0</v>
      </c>
      <c r="AE445">
        <f>IF(A445&lt;ITER!$C$16,1,PARAM!$C$53^-(RATES!A445-ITER!$C$16))*(A445&lt;PARAM!$B$55)</f>
        <v>0</v>
      </c>
    </row>
    <row r="446" spans="1:31" x14ac:dyDescent="0.2">
      <c r="A446" s="9">
        <v>443</v>
      </c>
      <c r="B446" s="178">
        <f t="shared" si="132"/>
        <v>68</v>
      </c>
      <c r="C446" s="178">
        <f t="shared" si="132"/>
        <v>68</v>
      </c>
      <c r="D446" s="2">
        <f>PARAM!$H$38</f>
        <v>1</v>
      </c>
      <c r="E446" s="11">
        <f>PARAM!$G$38</f>
        <v>0</v>
      </c>
      <c r="F446" s="11">
        <f>(VLOOKUP(C446,DEDN!$A$8:$O$902,$F$2)*D446+E446)/1000</f>
        <v>2.051E-2</v>
      </c>
      <c r="G446" s="178">
        <f t="shared" si="133"/>
        <v>37</v>
      </c>
      <c r="H446" s="178">
        <f t="shared" si="133"/>
        <v>37</v>
      </c>
      <c r="I446" s="2">
        <f>PARAM!$H$39</f>
        <v>0</v>
      </c>
      <c r="J446" s="11">
        <f>PARAM!$G$39</f>
        <v>0</v>
      </c>
      <c r="K446" s="11">
        <f>(VLOOKUP(H446,DEDN!$A$8:$O$902,$K$2)*I446+J446)/1000</f>
        <v>0</v>
      </c>
      <c r="L446" s="11">
        <f>MIN(IF(PARAM!$B$43=3,CHOOSE($L$2,F446,K446),F446+K446-F446*K446),1)</f>
        <v>2.051E-2</v>
      </c>
      <c r="M446" s="2">
        <f>PARAM!$I$38</f>
        <v>0</v>
      </c>
      <c r="N446" s="11">
        <f>VLOOKUP(B446,DEDN!$A$8:$O$90,$N$2)*M446</f>
        <v>0</v>
      </c>
      <c r="O446" s="12"/>
      <c r="P446" s="10">
        <f>PARAM!$C$53^-A446</f>
        <v>1</v>
      </c>
      <c r="Q446" s="10">
        <f t="shared" si="131"/>
        <v>0.82875404308440259</v>
      </c>
      <c r="R446" s="10">
        <f t="shared" si="130"/>
        <v>0.82875404308440259</v>
      </c>
      <c r="S446" s="10">
        <f>CHOOSE(PARAM!$B$51,R446,0,0,0)*(A446&lt;PARAM!$B$55)</f>
        <v>0</v>
      </c>
      <c r="T446" s="10">
        <f t="shared" si="118"/>
        <v>1.4299714091393634E-3</v>
      </c>
      <c r="U446" s="10">
        <f>T446*P446*(A446&lt;PARAM!$B$55)</f>
        <v>0</v>
      </c>
      <c r="W446">
        <v>443</v>
      </c>
      <c r="X446" s="178">
        <f t="shared" si="134"/>
        <v>68</v>
      </c>
      <c r="Y446" s="178">
        <f t="shared" si="134"/>
        <v>68</v>
      </c>
      <c r="Z446" s="178">
        <f t="shared" si="134"/>
        <v>37</v>
      </c>
      <c r="AA446" s="178">
        <f t="shared" si="134"/>
        <v>37</v>
      </c>
      <c r="AD446" s="17">
        <f>CALC!E470*(A446&lt;PARAM!$B$55)</f>
        <v>0</v>
      </c>
      <c r="AE446">
        <f>IF(A446&lt;ITER!$C$16,1,PARAM!$C$53^-(RATES!A446-ITER!$C$16))*(A446&lt;PARAM!$B$55)</f>
        <v>0</v>
      </c>
    </row>
    <row r="447" spans="1:31" x14ac:dyDescent="0.2">
      <c r="A447" s="9">
        <v>444</v>
      </c>
      <c r="B447" s="178">
        <f t="shared" si="132"/>
        <v>68</v>
      </c>
      <c r="C447" s="178">
        <f t="shared" si="132"/>
        <v>68</v>
      </c>
      <c r="D447" s="2">
        <f>PARAM!$H$38</f>
        <v>1</v>
      </c>
      <c r="E447" s="11">
        <f>PARAM!$G$38</f>
        <v>0</v>
      </c>
      <c r="F447" s="11">
        <f>(VLOOKUP(C447,DEDN!$A$8:$O$902,$F$2)*D447+E447)/1000</f>
        <v>2.051E-2</v>
      </c>
      <c r="G447" s="178">
        <f t="shared" si="133"/>
        <v>37</v>
      </c>
      <c r="H447" s="178">
        <f t="shared" si="133"/>
        <v>37</v>
      </c>
      <c r="I447" s="2">
        <f>PARAM!$H$39</f>
        <v>0</v>
      </c>
      <c r="J447" s="11">
        <f>PARAM!$G$39</f>
        <v>0</v>
      </c>
      <c r="K447" s="11">
        <f>(VLOOKUP(H447,DEDN!$A$8:$O$902,$K$2)*I447+J447)/1000</f>
        <v>0</v>
      </c>
      <c r="L447" s="11">
        <f>MIN(IF(PARAM!$B$43=3,CHOOSE($L$2,F447,K447),F447+K447-F447*K447),1)</f>
        <v>2.051E-2</v>
      </c>
      <c r="M447" s="2">
        <f>PARAM!$I$38</f>
        <v>0</v>
      </c>
      <c r="N447" s="11">
        <f>VLOOKUP(B447,DEDN!$A$8:$O$90,$N$2)*M447</f>
        <v>0</v>
      </c>
      <c r="O447" s="12"/>
      <c r="P447" s="10">
        <f>PARAM!$C$53^-A447</f>
        <v>1</v>
      </c>
      <c r="Q447" s="10">
        <f t="shared" si="131"/>
        <v>0.82732407167526323</v>
      </c>
      <c r="R447" s="10">
        <f t="shared" si="130"/>
        <v>0.82732407167526323</v>
      </c>
      <c r="S447" s="10">
        <f>R447*(A447&lt;PARAM!$B$55)</f>
        <v>0</v>
      </c>
      <c r="T447" s="10">
        <f t="shared" si="118"/>
        <v>1.4275040688614959E-3</v>
      </c>
      <c r="U447" s="10">
        <f>T447*P447*(A447&lt;PARAM!$B$55)</f>
        <v>0</v>
      </c>
      <c r="W447">
        <v>444</v>
      </c>
      <c r="X447" s="178">
        <f t="shared" si="134"/>
        <v>68</v>
      </c>
      <c r="Y447" s="178">
        <f t="shared" si="134"/>
        <v>68</v>
      </c>
      <c r="Z447" s="178">
        <f t="shared" si="134"/>
        <v>37</v>
      </c>
      <c r="AA447" s="178">
        <f t="shared" si="134"/>
        <v>37</v>
      </c>
      <c r="AD447" s="17">
        <f>CALC!E471*(A447&lt;PARAM!$B$55)</f>
        <v>0</v>
      </c>
      <c r="AE447">
        <f>IF(A447&lt;ITER!$C$16,1,PARAM!$C$53^-(RATES!A447-ITER!$C$16))*(A447&lt;PARAM!$B$55)</f>
        <v>0</v>
      </c>
    </row>
    <row r="448" spans="1:31" x14ac:dyDescent="0.2">
      <c r="A448" s="9">
        <v>445</v>
      </c>
      <c r="B448" s="178">
        <f t="shared" si="132"/>
        <v>68</v>
      </c>
      <c r="C448" s="178">
        <f t="shared" si="132"/>
        <v>68</v>
      </c>
      <c r="D448" s="2">
        <f>PARAM!$H$38</f>
        <v>1</v>
      </c>
      <c r="E448" s="11">
        <f>PARAM!$G$38</f>
        <v>0</v>
      </c>
      <c r="F448" s="11">
        <f>(VLOOKUP(C448,DEDN!$A$8:$O$902,$F$2)*D448+E448)/1000</f>
        <v>2.051E-2</v>
      </c>
      <c r="G448" s="178">
        <f t="shared" si="133"/>
        <v>37</v>
      </c>
      <c r="H448" s="178">
        <f t="shared" si="133"/>
        <v>37</v>
      </c>
      <c r="I448" s="2">
        <f>PARAM!$H$39</f>
        <v>0</v>
      </c>
      <c r="J448" s="11">
        <f>PARAM!$G$39</f>
        <v>0</v>
      </c>
      <c r="K448" s="11">
        <f>(VLOOKUP(H448,DEDN!$A$8:$O$902,$K$2)*I448+J448)/1000</f>
        <v>0</v>
      </c>
      <c r="L448" s="11">
        <f>MIN(IF(PARAM!$B$43=3,CHOOSE($L$2,F448,K448),F448+K448-F448*K448),1)</f>
        <v>2.051E-2</v>
      </c>
      <c r="M448" s="2">
        <f>PARAM!$I$38</f>
        <v>0</v>
      </c>
      <c r="N448" s="11">
        <f>VLOOKUP(B448,DEDN!$A$8:$O$90,$N$2)*M448</f>
        <v>0</v>
      </c>
      <c r="O448" s="12"/>
      <c r="P448" s="10">
        <f>PARAM!$C$53^-A448</f>
        <v>1</v>
      </c>
      <c r="Q448" s="10">
        <f t="shared" si="131"/>
        <v>0.82589656760640173</v>
      </c>
      <c r="R448" s="10">
        <f t="shared" si="130"/>
        <v>0.82589656760640173</v>
      </c>
      <c r="S448" s="10">
        <f>CHOOSE(PARAM!$B$51,R448,0,0,0)*(A448&lt;PARAM!$B$55)</f>
        <v>0</v>
      </c>
      <c r="T448" s="10">
        <f t="shared" si="118"/>
        <v>1.4250409858491686E-3</v>
      </c>
      <c r="U448" s="10">
        <f>T448*P448*(A448&lt;PARAM!$B$55)</f>
        <v>0</v>
      </c>
      <c r="W448">
        <v>445</v>
      </c>
      <c r="X448" s="178">
        <f t="shared" si="134"/>
        <v>68</v>
      </c>
      <c r="Y448" s="178">
        <f t="shared" si="134"/>
        <v>68</v>
      </c>
      <c r="Z448" s="178">
        <f t="shared" si="134"/>
        <v>37</v>
      </c>
      <c r="AA448" s="178">
        <f t="shared" si="134"/>
        <v>37</v>
      </c>
      <c r="AD448" s="17">
        <f>CALC!E472*(A448&lt;PARAM!$B$55)</f>
        <v>0</v>
      </c>
      <c r="AE448">
        <f>IF(A448&lt;ITER!$C$16,1,PARAM!$C$53^-(RATES!A448-ITER!$C$16))*(A448&lt;PARAM!$B$55)</f>
        <v>0</v>
      </c>
    </row>
    <row r="449" spans="1:31" x14ac:dyDescent="0.2">
      <c r="A449" s="9">
        <v>446</v>
      </c>
      <c r="B449" s="178">
        <f t="shared" si="132"/>
        <v>68</v>
      </c>
      <c r="C449" s="178">
        <f t="shared" si="132"/>
        <v>68</v>
      </c>
      <c r="D449" s="2">
        <f>PARAM!$H$38</f>
        <v>1</v>
      </c>
      <c r="E449" s="11">
        <f>PARAM!$G$38</f>
        <v>0</v>
      </c>
      <c r="F449" s="11">
        <f>(VLOOKUP(C449,DEDN!$A$8:$O$902,$F$2)*D449+E449)/1000</f>
        <v>2.051E-2</v>
      </c>
      <c r="G449" s="178">
        <f t="shared" si="133"/>
        <v>37</v>
      </c>
      <c r="H449" s="178">
        <f t="shared" si="133"/>
        <v>37</v>
      </c>
      <c r="I449" s="2">
        <f>PARAM!$H$39</f>
        <v>0</v>
      </c>
      <c r="J449" s="11">
        <f>PARAM!$G$39</f>
        <v>0</v>
      </c>
      <c r="K449" s="11">
        <f>(VLOOKUP(H449,DEDN!$A$8:$O$902,$K$2)*I449+J449)/1000</f>
        <v>0</v>
      </c>
      <c r="L449" s="11">
        <f>MIN(IF(PARAM!$B$43=3,CHOOSE($L$2,F449,K449),F449+K449-F449*K449),1)</f>
        <v>2.051E-2</v>
      </c>
      <c r="M449" s="2">
        <f>PARAM!$I$38</f>
        <v>0</v>
      </c>
      <c r="N449" s="11">
        <f>VLOOKUP(B449,DEDN!$A$8:$O$90,$N$2)*M449</f>
        <v>0</v>
      </c>
      <c r="O449" s="12"/>
      <c r="P449" s="10">
        <f>PARAM!$C$53^-A449</f>
        <v>1</v>
      </c>
      <c r="Q449" s="10">
        <f t="shared" si="131"/>
        <v>0.82447152662055256</v>
      </c>
      <c r="R449" s="10">
        <f t="shared" si="130"/>
        <v>0.82447152662055256</v>
      </c>
      <c r="S449" s="10">
        <f>CHOOSE(PARAM!$B$51,R449,0,0,0)*(A449&lt;PARAM!$B$55)</f>
        <v>0</v>
      </c>
      <c r="T449" s="10">
        <f t="shared" si="118"/>
        <v>1.4225821527567017E-3</v>
      </c>
      <c r="U449" s="10">
        <f>T449*P449*(A449&lt;PARAM!$B$55)</f>
        <v>0</v>
      </c>
      <c r="W449">
        <v>446</v>
      </c>
      <c r="X449" s="178">
        <f t="shared" si="134"/>
        <v>68</v>
      </c>
      <c r="Y449" s="178">
        <f t="shared" si="134"/>
        <v>68</v>
      </c>
      <c r="Z449" s="178">
        <f t="shared" si="134"/>
        <v>37</v>
      </c>
      <c r="AA449" s="178">
        <f t="shared" si="134"/>
        <v>37</v>
      </c>
      <c r="AD449" s="17">
        <f>CALC!E473*(A449&lt;PARAM!$B$55)</f>
        <v>0</v>
      </c>
      <c r="AE449">
        <f>IF(A449&lt;ITER!$C$16,1,PARAM!$C$53^-(RATES!A449-ITER!$C$16))*(A449&lt;PARAM!$B$55)</f>
        <v>0</v>
      </c>
    </row>
    <row r="450" spans="1:31" x14ac:dyDescent="0.2">
      <c r="A450" s="9">
        <v>447</v>
      </c>
      <c r="B450" s="178">
        <f t="shared" si="132"/>
        <v>68</v>
      </c>
      <c r="C450" s="178">
        <f t="shared" si="132"/>
        <v>68</v>
      </c>
      <c r="D450" s="2">
        <f>PARAM!$H$38</f>
        <v>1</v>
      </c>
      <c r="E450" s="11">
        <f>PARAM!$G$38</f>
        <v>0</v>
      </c>
      <c r="F450" s="11">
        <f>(VLOOKUP(C450,DEDN!$A$8:$O$902,$F$2)*D450+E450)/1000</f>
        <v>2.051E-2</v>
      </c>
      <c r="G450" s="178">
        <f t="shared" si="133"/>
        <v>37</v>
      </c>
      <c r="H450" s="178">
        <f t="shared" si="133"/>
        <v>37</v>
      </c>
      <c r="I450" s="2">
        <f>PARAM!$H$39</f>
        <v>0</v>
      </c>
      <c r="J450" s="11">
        <f>PARAM!$G$39</f>
        <v>0</v>
      </c>
      <c r="K450" s="11">
        <f>(VLOOKUP(H450,DEDN!$A$8:$O$902,$K$2)*I450+J450)/1000</f>
        <v>0</v>
      </c>
      <c r="L450" s="11">
        <f>MIN(IF(PARAM!$B$43=3,CHOOSE($L$2,F450,K450),F450+K450-F450*K450),1)</f>
        <v>2.051E-2</v>
      </c>
      <c r="M450" s="2">
        <f>PARAM!$I$38</f>
        <v>0</v>
      </c>
      <c r="N450" s="11">
        <f>VLOOKUP(B450,DEDN!$A$8:$O$90,$N$2)*M450</f>
        <v>0</v>
      </c>
      <c r="O450" s="12"/>
      <c r="P450" s="10">
        <f>PARAM!$C$53^-A450</f>
        <v>1</v>
      </c>
      <c r="Q450" s="10">
        <f t="shared" si="131"/>
        <v>0.82304894446779586</v>
      </c>
      <c r="R450" s="10">
        <f t="shared" si="130"/>
        <v>0.82304894446779586</v>
      </c>
      <c r="S450" s="10">
        <f>CHOOSE(PARAM!$B$51,R450,R450,0,0)*(A450&lt;PARAM!$B$55)</f>
        <v>0</v>
      </c>
      <c r="T450" s="10">
        <f t="shared" si="118"/>
        <v>1.4201275622511833E-3</v>
      </c>
      <c r="U450" s="10">
        <f>T450*P450*(A450&lt;PARAM!$B$55)</f>
        <v>0</v>
      </c>
      <c r="W450">
        <v>447</v>
      </c>
      <c r="X450" s="178">
        <f t="shared" si="134"/>
        <v>68</v>
      </c>
      <c r="Y450" s="178">
        <f t="shared" si="134"/>
        <v>68</v>
      </c>
      <c r="Z450" s="178">
        <f t="shared" si="134"/>
        <v>37</v>
      </c>
      <c r="AA450" s="178">
        <f t="shared" si="134"/>
        <v>37</v>
      </c>
      <c r="AD450" s="17">
        <f>CALC!E474*(A450&lt;PARAM!$B$55)</f>
        <v>0</v>
      </c>
      <c r="AE450">
        <f>IF(A450&lt;ITER!$C$16,1,PARAM!$C$53^-(RATES!A450-ITER!$C$16))*(A450&lt;PARAM!$B$55)</f>
        <v>0</v>
      </c>
    </row>
    <row r="451" spans="1:31" x14ac:dyDescent="0.2">
      <c r="A451" s="9">
        <v>448</v>
      </c>
      <c r="B451" s="178">
        <f t="shared" si="132"/>
        <v>68</v>
      </c>
      <c r="C451" s="178">
        <f t="shared" si="132"/>
        <v>68</v>
      </c>
      <c r="D451" s="2">
        <f>PARAM!$H$38</f>
        <v>1</v>
      </c>
      <c r="E451" s="11">
        <f>PARAM!$G$38</f>
        <v>0</v>
      </c>
      <c r="F451" s="11">
        <f>(VLOOKUP(C451,DEDN!$A$8:$O$902,$F$2)*D451+E451)/1000</f>
        <v>2.051E-2</v>
      </c>
      <c r="G451" s="178">
        <f t="shared" si="133"/>
        <v>37</v>
      </c>
      <c r="H451" s="178">
        <f t="shared" si="133"/>
        <v>37</v>
      </c>
      <c r="I451" s="2">
        <f>PARAM!$H$39</f>
        <v>0</v>
      </c>
      <c r="J451" s="11">
        <f>PARAM!$G$39</f>
        <v>0</v>
      </c>
      <c r="K451" s="11">
        <f>(VLOOKUP(H451,DEDN!$A$8:$O$902,$K$2)*I451+J451)/1000</f>
        <v>0</v>
      </c>
      <c r="L451" s="11">
        <f>MIN(IF(PARAM!$B$43=3,CHOOSE($L$2,F451,K451),F451+K451-F451*K451),1)</f>
        <v>2.051E-2</v>
      </c>
      <c r="M451" s="2">
        <f>PARAM!$I$38</f>
        <v>0</v>
      </c>
      <c r="N451" s="11">
        <f>VLOOKUP(B451,DEDN!$A$8:$O$90,$N$2)*M451</f>
        <v>0</v>
      </c>
      <c r="O451" s="12"/>
      <c r="P451" s="10">
        <f>PARAM!$C$53^-A451</f>
        <v>1</v>
      </c>
      <c r="Q451" s="10">
        <f t="shared" si="131"/>
        <v>0.82162881690554468</v>
      </c>
      <c r="R451" s="10">
        <f t="shared" si="130"/>
        <v>0.82162881690554468</v>
      </c>
      <c r="S451" s="10">
        <f>CHOOSE(PARAM!$B$51,R451,0,0,0)*(A451&lt;PARAM!$B$55)</f>
        <v>0</v>
      </c>
      <c r="T451" s="10">
        <f t="shared" si="118"/>
        <v>1.4176772070121357E-3</v>
      </c>
      <c r="U451" s="10">
        <f>T451*P451*(A451&lt;PARAM!$B$55)</f>
        <v>0</v>
      </c>
      <c r="W451">
        <v>448</v>
      </c>
      <c r="X451" s="178">
        <f t="shared" si="134"/>
        <v>68</v>
      </c>
      <c r="Y451" s="178">
        <f t="shared" si="134"/>
        <v>68</v>
      </c>
      <c r="Z451" s="178">
        <f t="shared" si="134"/>
        <v>37</v>
      </c>
      <c r="AA451" s="178">
        <f t="shared" si="134"/>
        <v>37</v>
      </c>
      <c r="AD451" s="17">
        <f>CALC!E475*(A451&lt;PARAM!$B$55)</f>
        <v>0</v>
      </c>
      <c r="AE451">
        <f>IF(A451&lt;ITER!$C$16,1,PARAM!$C$53^-(RATES!A451-ITER!$C$16))*(A451&lt;PARAM!$B$55)</f>
        <v>0</v>
      </c>
    </row>
    <row r="452" spans="1:31" x14ac:dyDescent="0.2">
      <c r="A452" s="9">
        <v>449</v>
      </c>
      <c r="B452" s="178">
        <f t="shared" si="132"/>
        <v>68</v>
      </c>
      <c r="C452" s="178">
        <f t="shared" si="132"/>
        <v>68</v>
      </c>
      <c r="D452" s="2">
        <f>PARAM!$H$38</f>
        <v>1</v>
      </c>
      <c r="E452" s="11">
        <f>PARAM!$G$38</f>
        <v>0</v>
      </c>
      <c r="F452" s="11">
        <f>(VLOOKUP(C452,DEDN!$A$8:$O$902,$F$2)*D452+E452)/1000</f>
        <v>2.051E-2</v>
      </c>
      <c r="G452" s="178">
        <f t="shared" si="133"/>
        <v>37</v>
      </c>
      <c r="H452" s="178">
        <f t="shared" si="133"/>
        <v>37</v>
      </c>
      <c r="I452" s="2">
        <f>PARAM!$H$39</f>
        <v>0</v>
      </c>
      <c r="J452" s="11">
        <f>PARAM!$G$39</f>
        <v>0</v>
      </c>
      <c r="K452" s="11">
        <f>(VLOOKUP(H452,DEDN!$A$8:$O$902,$K$2)*I452+J452)/1000</f>
        <v>0</v>
      </c>
      <c r="L452" s="11">
        <f>MIN(IF(PARAM!$B$43=3,CHOOSE($L$2,F452,K452),F452+K452-F452*K452),1)</f>
        <v>2.051E-2</v>
      </c>
      <c r="M452" s="2">
        <f>PARAM!$I$38</f>
        <v>0</v>
      </c>
      <c r="N452" s="11">
        <f>VLOOKUP(B452,DEDN!$A$8:$O$90,$N$2)*M452</f>
        <v>0</v>
      </c>
      <c r="O452" s="12"/>
      <c r="P452" s="10">
        <f>PARAM!$C$53^-A452</f>
        <v>1</v>
      </c>
      <c r="Q452" s="10">
        <f t="shared" si="131"/>
        <v>0.82021113969853254</v>
      </c>
      <c r="R452" s="10">
        <f t="shared" ref="R452:R467" si="135">P452*Q452</f>
        <v>0.82021113969853254</v>
      </c>
      <c r="S452" s="10">
        <f>CHOOSE(PARAM!$B$51,R452,0,0,0)*(A452&lt;PARAM!$B$55)</f>
        <v>0</v>
      </c>
      <c r="T452" s="10">
        <f t="shared" ref="T452:T515" si="136">Q452-Q453</f>
        <v>1.415231079731849E-3</v>
      </c>
      <c r="U452" s="10">
        <f>T452*P452*(A452&lt;PARAM!$B$55)</f>
        <v>0</v>
      </c>
      <c r="W452">
        <v>449</v>
      </c>
      <c r="X452" s="178">
        <f t="shared" si="134"/>
        <v>68</v>
      </c>
      <c r="Y452" s="178">
        <f t="shared" si="134"/>
        <v>68</v>
      </c>
      <c r="Z452" s="178">
        <f t="shared" si="134"/>
        <v>37</v>
      </c>
      <c r="AA452" s="178">
        <f t="shared" si="134"/>
        <v>37</v>
      </c>
      <c r="AD452" s="17">
        <f>CALC!E476*(A452&lt;PARAM!$B$55)</f>
        <v>0</v>
      </c>
      <c r="AE452">
        <f>IF(A452&lt;ITER!$C$16,1,PARAM!$C$53^-(RATES!A452-ITER!$C$16))*(A452&lt;PARAM!$B$55)</f>
        <v>0</v>
      </c>
    </row>
    <row r="453" spans="1:31" x14ac:dyDescent="0.2">
      <c r="A453" s="9">
        <v>450</v>
      </c>
      <c r="B453" s="178">
        <f t="shared" si="132"/>
        <v>69</v>
      </c>
      <c r="C453" s="178">
        <f t="shared" si="132"/>
        <v>69</v>
      </c>
      <c r="D453" s="2">
        <f>PARAM!$H$38</f>
        <v>1</v>
      </c>
      <c r="E453" s="11">
        <f>PARAM!$G$38</f>
        <v>0</v>
      </c>
      <c r="F453" s="11">
        <f>(VLOOKUP(C453,DEDN!$A$8:$O$902,$F$2)*D453+E453)/1000</f>
        <v>2.2690000000000002E-2</v>
      </c>
      <c r="G453" s="178">
        <f t="shared" si="133"/>
        <v>38</v>
      </c>
      <c r="H453" s="178">
        <f t="shared" si="133"/>
        <v>38</v>
      </c>
      <c r="I453" s="2">
        <f>PARAM!$H$39</f>
        <v>0</v>
      </c>
      <c r="J453" s="11">
        <f>PARAM!$G$39</f>
        <v>0</v>
      </c>
      <c r="K453" s="11">
        <f>(VLOOKUP(H453,DEDN!$A$8:$O$902,$K$2)*I453+J453)/1000</f>
        <v>0</v>
      </c>
      <c r="L453" s="11">
        <f>MIN(IF(PARAM!$B$43=3,CHOOSE($L$2,F453,K453),F453+K453-F453*K453),1)</f>
        <v>2.2690000000000002E-2</v>
      </c>
      <c r="M453" s="2">
        <f>PARAM!$I$38</f>
        <v>0</v>
      </c>
      <c r="N453" s="11">
        <f>VLOOKUP(B453,DEDN!$A$8:$O$90,$N$2)*M453</f>
        <v>0</v>
      </c>
      <c r="O453" s="12"/>
      <c r="P453" s="10">
        <f>PARAM!$C$53^-A453</f>
        <v>1</v>
      </c>
      <c r="Q453" s="10">
        <f t="shared" ref="Q453:Q468" si="137">Q452*(1-L452)^(1/12)</f>
        <v>0.81879590861880069</v>
      </c>
      <c r="R453" s="10">
        <f t="shared" si="135"/>
        <v>0.81879590861880069</v>
      </c>
      <c r="S453" s="10">
        <f>CHOOSE(PARAM!$B$51,R453,R453,R453,0)*(A453&lt;PARAM!$B$55)</f>
        <v>0</v>
      </c>
      <c r="T453" s="10">
        <f t="shared" si="136"/>
        <v>1.564544634322762E-3</v>
      </c>
      <c r="U453" s="10">
        <f>T453*P453*(A453&lt;PARAM!$B$55)</f>
        <v>0</v>
      </c>
      <c r="W453">
        <v>450</v>
      </c>
      <c r="X453" s="178">
        <f t="shared" si="134"/>
        <v>69</v>
      </c>
      <c r="Y453" s="178">
        <f t="shared" si="134"/>
        <v>69</v>
      </c>
      <c r="Z453" s="178">
        <f t="shared" si="134"/>
        <v>38</v>
      </c>
      <c r="AA453" s="178">
        <f t="shared" si="134"/>
        <v>38</v>
      </c>
      <c r="AD453" s="17">
        <f>CALC!E477*(A453&lt;PARAM!$B$55)</f>
        <v>0</v>
      </c>
      <c r="AE453">
        <f>IF(A453&lt;ITER!$C$16,1,PARAM!$C$53^-(RATES!A453-ITER!$C$16))*(A453&lt;PARAM!$B$55)</f>
        <v>0</v>
      </c>
    </row>
    <row r="454" spans="1:31" x14ac:dyDescent="0.2">
      <c r="A454" s="9">
        <v>451</v>
      </c>
      <c r="B454" s="178">
        <f t="shared" si="132"/>
        <v>69</v>
      </c>
      <c r="C454" s="178">
        <f t="shared" si="132"/>
        <v>69</v>
      </c>
      <c r="D454" s="2">
        <f>PARAM!$H$38</f>
        <v>1</v>
      </c>
      <c r="E454" s="11">
        <f>PARAM!$G$38</f>
        <v>0</v>
      </c>
      <c r="F454" s="11">
        <f>(VLOOKUP(C454,DEDN!$A$8:$O$902,$F$2)*D454+E454)/1000</f>
        <v>2.2690000000000002E-2</v>
      </c>
      <c r="G454" s="178">
        <f t="shared" si="133"/>
        <v>38</v>
      </c>
      <c r="H454" s="178">
        <f t="shared" si="133"/>
        <v>38</v>
      </c>
      <c r="I454" s="2">
        <f>PARAM!$H$39</f>
        <v>0</v>
      </c>
      <c r="J454" s="11">
        <f>PARAM!$G$39</f>
        <v>0</v>
      </c>
      <c r="K454" s="11">
        <f>(VLOOKUP(H454,DEDN!$A$8:$O$902,$K$2)*I454+J454)/1000</f>
        <v>0</v>
      </c>
      <c r="L454" s="11">
        <f>MIN(IF(PARAM!$B$43=3,CHOOSE($L$2,F454,K454),F454+K454-F454*K454),1)</f>
        <v>2.2690000000000002E-2</v>
      </c>
      <c r="M454" s="2">
        <f>PARAM!$I$38</f>
        <v>0</v>
      </c>
      <c r="N454" s="11">
        <f>VLOOKUP(B454,DEDN!$A$8:$O$90,$N$2)*M454</f>
        <v>0</v>
      </c>
      <c r="O454" s="12"/>
      <c r="P454" s="10">
        <f>PARAM!$C$53^-A454</f>
        <v>1</v>
      </c>
      <c r="Q454" s="10">
        <f t="shared" si="137"/>
        <v>0.81723136398447793</v>
      </c>
      <c r="R454" s="10">
        <f t="shared" si="135"/>
        <v>0.81723136398447793</v>
      </c>
      <c r="S454" s="10">
        <f>CHOOSE(PARAM!$B$51,R454,0,0,0)*(A454&lt;PARAM!$B$55)</f>
        <v>0</v>
      </c>
      <c r="T454" s="10">
        <f t="shared" si="136"/>
        <v>1.5615551226666469E-3</v>
      </c>
      <c r="U454" s="10">
        <f>T454*P454*(A454&lt;PARAM!$B$55)</f>
        <v>0</v>
      </c>
      <c r="W454">
        <v>451</v>
      </c>
      <c r="X454" s="178">
        <f t="shared" si="134"/>
        <v>69</v>
      </c>
      <c r="Y454" s="178">
        <f t="shared" si="134"/>
        <v>69</v>
      </c>
      <c r="Z454" s="178">
        <f t="shared" si="134"/>
        <v>38</v>
      </c>
      <c r="AA454" s="178">
        <f t="shared" si="134"/>
        <v>38</v>
      </c>
      <c r="AD454" s="17">
        <f>CALC!E478*(A454&lt;PARAM!$B$55)</f>
        <v>0</v>
      </c>
      <c r="AE454">
        <f>IF(A454&lt;ITER!$C$16,1,PARAM!$C$53^-(RATES!A454-ITER!$C$16))*(A454&lt;PARAM!$B$55)</f>
        <v>0</v>
      </c>
    </row>
    <row r="455" spans="1:31" x14ac:dyDescent="0.2">
      <c r="A455" s="9">
        <v>452</v>
      </c>
      <c r="B455" s="178">
        <f t="shared" si="132"/>
        <v>69</v>
      </c>
      <c r="C455" s="178">
        <f t="shared" si="132"/>
        <v>69</v>
      </c>
      <c r="D455" s="2">
        <f>PARAM!$H$38</f>
        <v>1</v>
      </c>
      <c r="E455" s="11">
        <f>PARAM!$G$38</f>
        <v>0</v>
      </c>
      <c r="F455" s="11">
        <f>(VLOOKUP(C455,DEDN!$A$8:$O$902,$F$2)*D455+E455)/1000</f>
        <v>2.2690000000000002E-2</v>
      </c>
      <c r="G455" s="178">
        <f t="shared" si="133"/>
        <v>38</v>
      </c>
      <c r="H455" s="178">
        <f t="shared" si="133"/>
        <v>38</v>
      </c>
      <c r="I455" s="2">
        <f>PARAM!$H$39</f>
        <v>0</v>
      </c>
      <c r="J455" s="11">
        <f>PARAM!$G$39</f>
        <v>0</v>
      </c>
      <c r="K455" s="11">
        <f>(VLOOKUP(H455,DEDN!$A$8:$O$902,$K$2)*I455+J455)/1000</f>
        <v>0</v>
      </c>
      <c r="L455" s="11">
        <f>MIN(IF(PARAM!$B$43=3,CHOOSE($L$2,F455,K455),F455+K455-F455*K455),1)</f>
        <v>2.2690000000000002E-2</v>
      </c>
      <c r="M455" s="2">
        <f>PARAM!$I$38</f>
        <v>0</v>
      </c>
      <c r="N455" s="11">
        <f>VLOOKUP(B455,DEDN!$A$8:$O$90,$N$2)*M455</f>
        <v>0</v>
      </c>
      <c r="O455" s="12"/>
      <c r="P455" s="10">
        <f>PARAM!$C$53^-A455</f>
        <v>1</v>
      </c>
      <c r="Q455" s="10">
        <f t="shared" si="137"/>
        <v>0.81566980886181129</v>
      </c>
      <c r="R455" s="10">
        <f t="shared" si="135"/>
        <v>0.81566980886181129</v>
      </c>
      <c r="S455" s="10">
        <f>CHOOSE(PARAM!$B$51,R455,0,0,0)*(A455&lt;PARAM!$B$55)</f>
        <v>0</v>
      </c>
      <c r="T455" s="10">
        <f t="shared" si="136"/>
        <v>1.5585713233308152E-3</v>
      </c>
      <c r="U455" s="10">
        <f>T455*P455*(A455&lt;PARAM!$B$55)</f>
        <v>0</v>
      </c>
      <c r="W455">
        <v>452</v>
      </c>
      <c r="X455" s="178">
        <f t="shared" si="134"/>
        <v>69</v>
      </c>
      <c r="Y455" s="178">
        <f t="shared" si="134"/>
        <v>69</v>
      </c>
      <c r="Z455" s="178">
        <f t="shared" si="134"/>
        <v>38</v>
      </c>
      <c r="AA455" s="178">
        <f t="shared" si="134"/>
        <v>38</v>
      </c>
      <c r="AD455" s="17">
        <f>CALC!E479*(A455&lt;PARAM!$B$55)</f>
        <v>0</v>
      </c>
      <c r="AE455">
        <f>IF(A455&lt;ITER!$C$16,1,PARAM!$C$53^-(RATES!A455-ITER!$C$16))*(A455&lt;PARAM!$B$55)</f>
        <v>0</v>
      </c>
    </row>
    <row r="456" spans="1:31" x14ac:dyDescent="0.2">
      <c r="A456" s="9">
        <v>453</v>
      </c>
      <c r="B456" s="178">
        <f t="shared" si="132"/>
        <v>69</v>
      </c>
      <c r="C456" s="178">
        <f t="shared" si="132"/>
        <v>69</v>
      </c>
      <c r="D456" s="2">
        <f>PARAM!$H$38</f>
        <v>1</v>
      </c>
      <c r="E456" s="11">
        <f>PARAM!$G$38</f>
        <v>0</v>
      </c>
      <c r="F456" s="11">
        <f>(VLOOKUP(C456,DEDN!$A$8:$O$902,$F$2)*D456+E456)/1000</f>
        <v>2.2690000000000002E-2</v>
      </c>
      <c r="G456" s="178">
        <f t="shared" si="133"/>
        <v>38</v>
      </c>
      <c r="H456" s="178">
        <f t="shared" si="133"/>
        <v>38</v>
      </c>
      <c r="I456" s="2">
        <f>PARAM!$H$39</f>
        <v>0</v>
      </c>
      <c r="J456" s="11">
        <f>PARAM!$G$39</f>
        <v>0</v>
      </c>
      <c r="K456" s="11">
        <f>(VLOOKUP(H456,DEDN!$A$8:$O$902,$K$2)*I456+J456)/1000</f>
        <v>0</v>
      </c>
      <c r="L456" s="11">
        <f>MIN(IF(PARAM!$B$43=3,CHOOSE($L$2,F456,K456),F456+K456-F456*K456),1)</f>
        <v>2.2690000000000002E-2</v>
      </c>
      <c r="M456" s="2">
        <f>PARAM!$I$38</f>
        <v>0</v>
      </c>
      <c r="N456" s="11">
        <f>VLOOKUP(B456,DEDN!$A$8:$O$90,$N$2)*M456</f>
        <v>0</v>
      </c>
      <c r="O456" s="12"/>
      <c r="P456" s="10">
        <f>PARAM!$C$53^-A456</f>
        <v>1</v>
      </c>
      <c r="Q456" s="10">
        <f t="shared" si="137"/>
        <v>0.81411123753848047</v>
      </c>
      <c r="R456" s="10">
        <f t="shared" si="135"/>
        <v>0.81411123753848047</v>
      </c>
      <c r="S456" s="10">
        <f>CHOOSE(PARAM!$B$51,R456,R456,0,0)*(A456&lt;PARAM!$B$55)</f>
        <v>0</v>
      </c>
      <c r="T456" s="10">
        <f t="shared" si="136"/>
        <v>1.5555932254001092E-3</v>
      </c>
      <c r="U456" s="10">
        <f>T456*P456*(A456&lt;PARAM!$B$55)</f>
        <v>0</v>
      </c>
      <c r="W456">
        <v>453</v>
      </c>
      <c r="X456" s="178">
        <f t="shared" si="134"/>
        <v>69</v>
      </c>
      <c r="Y456" s="178">
        <f t="shared" si="134"/>
        <v>69</v>
      </c>
      <c r="Z456" s="178">
        <f t="shared" si="134"/>
        <v>38</v>
      </c>
      <c r="AA456" s="178">
        <f t="shared" si="134"/>
        <v>38</v>
      </c>
      <c r="AD456" s="17">
        <f>CALC!E480*(A456&lt;PARAM!$B$55)</f>
        <v>0</v>
      </c>
      <c r="AE456">
        <f>IF(A456&lt;ITER!$C$16,1,PARAM!$C$53^-(RATES!A456-ITER!$C$16))*(A456&lt;PARAM!$B$55)</f>
        <v>0</v>
      </c>
    </row>
    <row r="457" spans="1:31" x14ac:dyDescent="0.2">
      <c r="A457" s="9">
        <v>454</v>
      </c>
      <c r="B457" s="178">
        <f t="shared" si="132"/>
        <v>69</v>
      </c>
      <c r="C457" s="178">
        <f t="shared" si="132"/>
        <v>69</v>
      </c>
      <c r="D457" s="2">
        <f>PARAM!$H$38</f>
        <v>1</v>
      </c>
      <c r="E457" s="11">
        <f>PARAM!$G$38</f>
        <v>0</v>
      </c>
      <c r="F457" s="11">
        <f>(VLOOKUP(C457,DEDN!$A$8:$O$902,$F$2)*D457+E457)/1000</f>
        <v>2.2690000000000002E-2</v>
      </c>
      <c r="G457" s="178">
        <f t="shared" si="133"/>
        <v>38</v>
      </c>
      <c r="H457" s="178">
        <f t="shared" si="133"/>
        <v>38</v>
      </c>
      <c r="I457" s="2">
        <f>PARAM!$H$39</f>
        <v>0</v>
      </c>
      <c r="J457" s="11">
        <f>PARAM!$G$39</f>
        <v>0</v>
      </c>
      <c r="K457" s="11">
        <f>(VLOOKUP(H457,DEDN!$A$8:$O$902,$K$2)*I457+J457)/1000</f>
        <v>0</v>
      </c>
      <c r="L457" s="11">
        <f>MIN(IF(PARAM!$B$43=3,CHOOSE($L$2,F457,K457),F457+K457-F457*K457),1)</f>
        <v>2.2690000000000002E-2</v>
      </c>
      <c r="M457" s="2">
        <f>PARAM!$I$38</f>
        <v>0</v>
      </c>
      <c r="N457" s="11">
        <f>VLOOKUP(B457,DEDN!$A$8:$O$90,$N$2)*M457</f>
        <v>0</v>
      </c>
      <c r="O457" s="12"/>
      <c r="P457" s="10">
        <f>PARAM!$C$53^-A457</f>
        <v>1</v>
      </c>
      <c r="Q457" s="10">
        <f t="shared" si="137"/>
        <v>0.81255564431308036</v>
      </c>
      <c r="R457" s="10">
        <f t="shared" si="135"/>
        <v>0.81255564431308036</v>
      </c>
      <c r="S457" s="10">
        <f>CHOOSE(PARAM!$B$51,R457,0,0,0)*(A457&lt;PARAM!$B$55)</f>
        <v>0</v>
      </c>
      <c r="T457" s="10">
        <f t="shared" si="136"/>
        <v>1.5526208179803547E-3</v>
      </c>
      <c r="U457" s="10">
        <f>T457*P457*(A457&lt;PARAM!$B$55)</f>
        <v>0</v>
      </c>
      <c r="W457">
        <v>454</v>
      </c>
      <c r="X457" s="178">
        <f t="shared" si="134"/>
        <v>69</v>
      </c>
      <c r="Y457" s="178">
        <f t="shared" si="134"/>
        <v>69</v>
      </c>
      <c r="Z457" s="178">
        <f t="shared" si="134"/>
        <v>38</v>
      </c>
      <c r="AA457" s="178">
        <f t="shared" si="134"/>
        <v>38</v>
      </c>
      <c r="AD457" s="17">
        <f>CALC!E481*(A457&lt;PARAM!$B$55)</f>
        <v>0</v>
      </c>
      <c r="AE457">
        <f>IF(A457&lt;ITER!$C$16,1,PARAM!$C$53^-(RATES!A457-ITER!$C$16))*(A457&lt;PARAM!$B$55)</f>
        <v>0</v>
      </c>
    </row>
    <row r="458" spans="1:31" x14ac:dyDescent="0.2">
      <c r="A458" s="9">
        <v>455</v>
      </c>
      <c r="B458" s="178">
        <f t="shared" si="132"/>
        <v>69</v>
      </c>
      <c r="C458" s="178">
        <f t="shared" si="132"/>
        <v>69</v>
      </c>
      <c r="D458" s="2">
        <f>PARAM!$H$38</f>
        <v>1</v>
      </c>
      <c r="E458" s="11">
        <f>PARAM!$G$38</f>
        <v>0</v>
      </c>
      <c r="F458" s="11">
        <f>(VLOOKUP(C458,DEDN!$A$8:$O$902,$F$2)*D458+E458)/1000</f>
        <v>2.2690000000000002E-2</v>
      </c>
      <c r="G458" s="178">
        <f t="shared" si="133"/>
        <v>38</v>
      </c>
      <c r="H458" s="178">
        <f t="shared" si="133"/>
        <v>38</v>
      </c>
      <c r="I458" s="2">
        <f>PARAM!$H$39</f>
        <v>0</v>
      </c>
      <c r="J458" s="11">
        <f>PARAM!$G$39</f>
        <v>0</v>
      </c>
      <c r="K458" s="11">
        <f>(VLOOKUP(H458,DEDN!$A$8:$O$902,$K$2)*I458+J458)/1000</f>
        <v>0</v>
      </c>
      <c r="L458" s="11">
        <f>MIN(IF(PARAM!$B$43=3,CHOOSE($L$2,F458,K458),F458+K458-F458*K458),1)</f>
        <v>2.2690000000000002E-2</v>
      </c>
      <c r="M458" s="2">
        <f>PARAM!$I$38</f>
        <v>0</v>
      </c>
      <c r="N458" s="11">
        <f>VLOOKUP(B458,DEDN!$A$8:$O$90,$N$2)*M458</f>
        <v>0</v>
      </c>
      <c r="O458" s="12"/>
      <c r="P458" s="10">
        <f>PARAM!$C$53^-A458</f>
        <v>1</v>
      </c>
      <c r="Q458" s="10">
        <f t="shared" si="137"/>
        <v>0.81100302349510001</v>
      </c>
      <c r="R458" s="10">
        <f t="shared" si="135"/>
        <v>0.81100302349510001</v>
      </c>
      <c r="S458" s="10">
        <f>CHOOSE(PARAM!$B$51,R458,0,0,0)*(A458&lt;PARAM!$B$55)</f>
        <v>0</v>
      </c>
      <c r="T458" s="10">
        <f t="shared" si="136"/>
        <v>1.5496540901983602E-3</v>
      </c>
      <c r="U458" s="10">
        <f>T458*P458*(A458&lt;PARAM!$B$55)</f>
        <v>0</v>
      </c>
      <c r="W458">
        <v>455</v>
      </c>
      <c r="X458" s="178">
        <f t="shared" si="134"/>
        <v>69</v>
      </c>
      <c r="Y458" s="178">
        <f t="shared" si="134"/>
        <v>69</v>
      </c>
      <c r="Z458" s="178">
        <f t="shared" si="134"/>
        <v>38</v>
      </c>
      <c r="AA458" s="178">
        <f t="shared" si="134"/>
        <v>38</v>
      </c>
      <c r="AD458" s="17">
        <f>CALC!E482*(A458&lt;PARAM!$B$55)</f>
        <v>0</v>
      </c>
      <c r="AE458">
        <f>IF(A458&lt;ITER!$C$16,1,PARAM!$C$53^-(RATES!A458-ITER!$C$16))*(A458&lt;PARAM!$B$55)</f>
        <v>0</v>
      </c>
    </row>
    <row r="459" spans="1:31" x14ac:dyDescent="0.2">
      <c r="A459" s="9">
        <v>456</v>
      </c>
      <c r="B459" s="178">
        <f t="shared" si="132"/>
        <v>69</v>
      </c>
      <c r="C459" s="178">
        <f t="shared" si="132"/>
        <v>69</v>
      </c>
      <c r="D459" s="2">
        <f>PARAM!$H$38</f>
        <v>1</v>
      </c>
      <c r="E459" s="11">
        <f>PARAM!$G$38</f>
        <v>0</v>
      </c>
      <c r="F459" s="11">
        <f>(VLOOKUP(C459,DEDN!$A$8:$O$902,$F$2)*D459+E459)/1000</f>
        <v>2.2690000000000002E-2</v>
      </c>
      <c r="G459" s="178">
        <f t="shared" si="133"/>
        <v>38</v>
      </c>
      <c r="H459" s="178">
        <f t="shared" si="133"/>
        <v>38</v>
      </c>
      <c r="I459" s="2">
        <f>PARAM!$H$39</f>
        <v>0</v>
      </c>
      <c r="J459" s="11">
        <f>PARAM!$G$39</f>
        <v>0</v>
      </c>
      <c r="K459" s="11">
        <f>(VLOOKUP(H459,DEDN!$A$8:$O$902,$K$2)*I459+J459)/1000</f>
        <v>0</v>
      </c>
      <c r="L459" s="11">
        <f>MIN(IF(PARAM!$B$43=3,CHOOSE($L$2,F459,K459),F459+K459-F459*K459),1)</f>
        <v>2.2690000000000002E-2</v>
      </c>
      <c r="M459" s="2">
        <f>PARAM!$I$38</f>
        <v>0</v>
      </c>
      <c r="N459" s="11">
        <f>VLOOKUP(B459,DEDN!$A$8:$O$90,$N$2)*M459</f>
        <v>0</v>
      </c>
      <c r="O459" s="12"/>
      <c r="P459" s="10">
        <f>PARAM!$C$53^-A459</f>
        <v>1</v>
      </c>
      <c r="Q459" s="10">
        <f t="shared" si="137"/>
        <v>0.80945336940490165</v>
      </c>
      <c r="R459" s="10">
        <f t="shared" si="135"/>
        <v>0.80945336940490165</v>
      </c>
      <c r="S459" s="10">
        <f>R459*(A459&lt;PARAM!$B$55)</f>
        <v>0</v>
      </c>
      <c r="T459" s="10">
        <f t="shared" si="136"/>
        <v>1.5466930312013627E-3</v>
      </c>
      <c r="U459" s="10">
        <f>T459*P459*(A459&lt;PARAM!$B$55)</f>
        <v>0</v>
      </c>
      <c r="W459">
        <v>456</v>
      </c>
      <c r="X459" s="178">
        <f t="shared" si="134"/>
        <v>69</v>
      </c>
      <c r="Y459" s="178">
        <f t="shared" si="134"/>
        <v>69</v>
      </c>
      <c r="Z459" s="178">
        <f t="shared" si="134"/>
        <v>38</v>
      </c>
      <c r="AA459" s="178">
        <f t="shared" si="134"/>
        <v>38</v>
      </c>
      <c r="AD459" s="17">
        <f>CALC!E483*(A459&lt;PARAM!$B$55)</f>
        <v>0</v>
      </c>
      <c r="AE459">
        <f>IF(A459&lt;ITER!$C$16,1,PARAM!$C$53^-(RATES!A459-ITER!$C$16))*(A459&lt;PARAM!$B$55)</f>
        <v>0</v>
      </c>
    </row>
    <row r="460" spans="1:31" x14ac:dyDescent="0.2">
      <c r="A460" s="9">
        <v>457</v>
      </c>
      <c r="B460" s="178">
        <f t="shared" si="132"/>
        <v>69</v>
      </c>
      <c r="C460" s="178">
        <f t="shared" si="132"/>
        <v>69</v>
      </c>
      <c r="D460" s="2">
        <f>PARAM!$H$38</f>
        <v>1</v>
      </c>
      <c r="E460" s="11">
        <f>PARAM!$G$38</f>
        <v>0</v>
      </c>
      <c r="F460" s="11">
        <f>(VLOOKUP(C460,DEDN!$A$8:$O$902,$F$2)*D460+E460)/1000</f>
        <v>2.2690000000000002E-2</v>
      </c>
      <c r="G460" s="178">
        <f t="shared" si="133"/>
        <v>38</v>
      </c>
      <c r="H460" s="178">
        <f t="shared" si="133"/>
        <v>38</v>
      </c>
      <c r="I460" s="2">
        <f>PARAM!$H$39</f>
        <v>0</v>
      </c>
      <c r="J460" s="11">
        <f>PARAM!$G$39</f>
        <v>0</v>
      </c>
      <c r="K460" s="11">
        <f>(VLOOKUP(H460,DEDN!$A$8:$O$902,$K$2)*I460+J460)/1000</f>
        <v>0</v>
      </c>
      <c r="L460" s="11">
        <f>MIN(IF(PARAM!$B$43=3,CHOOSE($L$2,F460,K460),F460+K460-F460*K460),1)</f>
        <v>2.2690000000000002E-2</v>
      </c>
      <c r="M460" s="2">
        <f>PARAM!$I$38</f>
        <v>0</v>
      </c>
      <c r="N460" s="11">
        <f>VLOOKUP(B460,DEDN!$A$8:$O$90,$N$2)*M460</f>
        <v>0</v>
      </c>
      <c r="O460" s="12"/>
      <c r="P460" s="10">
        <f>PARAM!$C$53^-A460</f>
        <v>1</v>
      </c>
      <c r="Q460" s="10">
        <f t="shared" si="137"/>
        <v>0.80790667637370028</v>
      </c>
      <c r="R460" s="10">
        <f t="shared" si="135"/>
        <v>0.80790667637370028</v>
      </c>
      <c r="S460" s="10">
        <f>CHOOSE(PARAM!$B$51,R460,0,0,0)*(A460&lt;PARAM!$B$55)</f>
        <v>0</v>
      </c>
      <c r="T460" s="10">
        <f t="shared" si="136"/>
        <v>1.5437376301576933E-3</v>
      </c>
      <c r="U460" s="10">
        <f>T460*P460*(A460&lt;PARAM!$B$55)</f>
        <v>0</v>
      </c>
      <c r="W460">
        <v>457</v>
      </c>
      <c r="X460" s="178">
        <f t="shared" si="134"/>
        <v>69</v>
      </c>
      <c r="Y460" s="178">
        <f t="shared" si="134"/>
        <v>69</v>
      </c>
      <c r="Z460" s="178">
        <f t="shared" si="134"/>
        <v>38</v>
      </c>
      <c r="AA460" s="178">
        <f t="shared" si="134"/>
        <v>38</v>
      </c>
      <c r="AD460" s="17">
        <f>CALC!E484*(A460&lt;PARAM!$B$55)</f>
        <v>0</v>
      </c>
      <c r="AE460">
        <f>IF(A460&lt;ITER!$C$16,1,PARAM!$C$53^-(RATES!A460-ITER!$C$16))*(A460&lt;PARAM!$B$55)</f>
        <v>0</v>
      </c>
    </row>
    <row r="461" spans="1:31" x14ac:dyDescent="0.2">
      <c r="A461" s="9">
        <v>458</v>
      </c>
      <c r="B461" s="178">
        <f t="shared" ref="B461:C480" si="138">B449+1</f>
        <v>69</v>
      </c>
      <c r="C461" s="178">
        <f t="shared" si="138"/>
        <v>69</v>
      </c>
      <c r="D461" s="2">
        <f>PARAM!$H$38</f>
        <v>1</v>
      </c>
      <c r="E461" s="11">
        <f>PARAM!$G$38</f>
        <v>0</v>
      </c>
      <c r="F461" s="11">
        <f>(VLOOKUP(C461,DEDN!$A$8:$O$902,$F$2)*D461+E461)/1000</f>
        <v>2.2690000000000002E-2</v>
      </c>
      <c r="G461" s="178">
        <f t="shared" ref="G461:H480" si="139">G449+1</f>
        <v>38</v>
      </c>
      <c r="H461" s="178">
        <f t="shared" si="139"/>
        <v>38</v>
      </c>
      <c r="I461" s="2">
        <f>PARAM!$H$39</f>
        <v>0</v>
      </c>
      <c r="J461" s="11">
        <f>PARAM!$G$39</f>
        <v>0</v>
      </c>
      <c r="K461" s="11">
        <f>(VLOOKUP(H461,DEDN!$A$8:$O$902,$K$2)*I461+J461)/1000</f>
        <v>0</v>
      </c>
      <c r="L461" s="11">
        <f>MIN(IF(PARAM!$B$43=3,CHOOSE($L$2,F461,K461),F461+K461-F461*K461),1)</f>
        <v>2.2690000000000002E-2</v>
      </c>
      <c r="M461" s="2">
        <f>PARAM!$I$38</f>
        <v>0</v>
      </c>
      <c r="N461" s="11">
        <f>VLOOKUP(B461,DEDN!$A$8:$O$90,$N$2)*M461</f>
        <v>0</v>
      </c>
      <c r="O461" s="12"/>
      <c r="P461" s="10">
        <f>PARAM!$C$53^-A461</f>
        <v>1</v>
      </c>
      <c r="Q461" s="10">
        <f t="shared" si="137"/>
        <v>0.80636293874354259</v>
      </c>
      <c r="R461" s="10">
        <f t="shared" si="135"/>
        <v>0.80636293874354259</v>
      </c>
      <c r="S461" s="10">
        <f>CHOOSE(PARAM!$B$51,R461,0,0,0)*(A461&lt;PARAM!$B$55)</f>
        <v>0</v>
      </c>
      <c r="T461" s="10">
        <f t="shared" si="136"/>
        <v>1.5407878762561111E-3</v>
      </c>
      <c r="U461" s="10">
        <f>T461*P461*(A461&lt;PARAM!$B$55)</f>
        <v>0</v>
      </c>
      <c r="W461">
        <v>458</v>
      </c>
      <c r="X461" s="178">
        <f t="shared" ref="X461:AA480" si="140">X449+1</f>
        <v>69</v>
      </c>
      <c r="Y461" s="178">
        <f t="shared" si="140"/>
        <v>69</v>
      </c>
      <c r="Z461" s="178">
        <f t="shared" si="140"/>
        <v>38</v>
      </c>
      <c r="AA461" s="178">
        <f t="shared" si="140"/>
        <v>38</v>
      </c>
      <c r="AD461" s="17">
        <f>CALC!E485*(A461&lt;PARAM!$B$55)</f>
        <v>0</v>
      </c>
      <c r="AE461">
        <f>IF(A461&lt;ITER!$C$16,1,PARAM!$C$53^-(RATES!A461-ITER!$C$16))*(A461&lt;PARAM!$B$55)</f>
        <v>0</v>
      </c>
    </row>
    <row r="462" spans="1:31" x14ac:dyDescent="0.2">
      <c r="A462" s="9">
        <v>459</v>
      </c>
      <c r="B462" s="178">
        <f t="shared" si="138"/>
        <v>69</v>
      </c>
      <c r="C462" s="178">
        <f t="shared" si="138"/>
        <v>69</v>
      </c>
      <c r="D462" s="2">
        <f>PARAM!$H$38</f>
        <v>1</v>
      </c>
      <c r="E462" s="11">
        <f>PARAM!$G$38</f>
        <v>0</v>
      </c>
      <c r="F462" s="11">
        <f>(VLOOKUP(C462,DEDN!$A$8:$O$902,$F$2)*D462+E462)/1000</f>
        <v>2.2690000000000002E-2</v>
      </c>
      <c r="G462" s="178">
        <f t="shared" si="139"/>
        <v>38</v>
      </c>
      <c r="H462" s="178">
        <f t="shared" si="139"/>
        <v>38</v>
      </c>
      <c r="I462" s="2">
        <f>PARAM!$H$39</f>
        <v>0</v>
      </c>
      <c r="J462" s="11">
        <f>PARAM!$G$39</f>
        <v>0</v>
      </c>
      <c r="K462" s="11">
        <f>(VLOOKUP(H462,DEDN!$A$8:$O$902,$K$2)*I462+J462)/1000</f>
        <v>0</v>
      </c>
      <c r="L462" s="11">
        <f>MIN(IF(PARAM!$B$43=3,CHOOSE($L$2,F462,K462),F462+K462-F462*K462),1)</f>
        <v>2.2690000000000002E-2</v>
      </c>
      <c r="M462" s="2">
        <f>PARAM!$I$38</f>
        <v>0</v>
      </c>
      <c r="N462" s="11">
        <f>VLOOKUP(B462,DEDN!$A$8:$O$90,$N$2)*M462</f>
        <v>0</v>
      </c>
      <c r="O462" s="12"/>
      <c r="P462" s="10">
        <f>PARAM!$C$53^-A462</f>
        <v>1</v>
      </c>
      <c r="Q462" s="10">
        <f t="shared" si="137"/>
        <v>0.80482215086728648</v>
      </c>
      <c r="R462" s="10">
        <f t="shared" si="135"/>
        <v>0.80482215086728648</v>
      </c>
      <c r="S462" s="10">
        <f>CHOOSE(PARAM!$B$51,R462,R462,0,0)*(A462&lt;PARAM!$B$55)</f>
        <v>0</v>
      </c>
      <c r="T462" s="10">
        <f t="shared" si="136"/>
        <v>1.5378437587061367E-3</v>
      </c>
      <c r="U462" s="10">
        <f>T462*P462*(A462&lt;PARAM!$B$55)</f>
        <v>0</v>
      </c>
      <c r="W462">
        <v>459</v>
      </c>
      <c r="X462" s="178">
        <f t="shared" si="140"/>
        <v>69</v>
      </c>
      <c r="Y462" s="178">
        <f t="shared" si="140"/>
        <v>69</v>
      </c>
      <c r="Z462" s="178">
        <f t="shared" si="140"/>
        <v>38</v>
      </c>
      <c r="AA462" s="178">
        <f t="shared" si="140"/>
        <v>38</v>
      </c>
      <c r="AD462" s="17">
        <f>CALC!E486*(A462&lt;PARAM!$B$55)</f>
        <v>0</v>
      </c>
      <c r="AE462">
        <f>IF(A462&lt;ITER!$C$16,1,PARAM!$C$53^-(RATES!A462-ITER!$C$16))*(A462&lt;PARAM!$B$55)</f>
        <v>0</v>
      </c>
    </row>
    <row r="463" spans="1:31" x14ac:dyDescent="0.2">
      <c r="A463" s="9">
        <v>460</v>
      </c>
      <c r="B463" s="178">
        <f t="shared" si="138"/>
        <v>69</v>
      </c>
      <c r="C463" s="178">
        <f t="shared" si="138"/>
        <v>69</v>
      </c>
      <c r="D463" s="2">
        <f>PARAM!$H$38</f>
        <v>1</v>
      </c>
      <c r="E463" s="11">
        <f>PARAM!$G$38</f>
        <v>0</v>
      </c>
      <c r="F463" s="11">
        <f>(VLOOKUP(C463,DEDN!$A$8:$O$902,$F$2)*D463+E463)/1000</f>
        <v>2.2690000000000002E-2</v>
      </c>
      <c r="G463" s="178">
        <f t="shared" si="139"/>
        <v>38</v>
      </c>
      <c r="H463" s="178">
        <f t="shared" si="139"/>
        <v>38</v>
      </c>
      <c r="I463" s="2">
        <f>PARAM!$H$39</f>
        <v>0</v>
      </c>
      <c r="J463" s="11">
        <f>PARAM!$G$39</f>
        <v>0</v>
      </c>
      <c r="K463" s="11">
        <f>(VLOOKUP(H463,DEDN!$A$8:$O$902,$K$2)*I463+J463)/1000</f>
        <v>0</v>
      </c>
      <c r="L463" s="11">
        <f>MIN(IF(PARAM!$B$43=3,CHOOSE($L$2,F463,K463),F463+K463-F463*K463),1)</f>
        <v>2.2690000000000002E-2</v>
      </c>
      <c r="M463" s="2">
        <f>PARAM!$I$38</f>
        <v>0</v>
      </c>
      <c r="N463" s="11">
        <f>VLOOKUP(B463,DEDN!$A$8:$O$90,$N$2)*M463</f>
        <v>0</v>
      </c>
      <c r="O463" s="12"/>
      <c r="P463" s="10">
        <f>PARAM!$C$53^-A463</f>
        <v>1</v>
      </c>
      <c r="Q463" s="10">
        <f t="shared" si="137"/>
        <v>0.80328430710858034</v>
      </c>
      <c r="R463" s="10">
        <f t="shared" si="135"/>
        <v>0.80328430710858034</v>
      </c>
      <c r="S463" s="10">
        <f>CHOOSE(PARAM!$B$51,R463,0,0,0)*(A463&lt;PARAM!$B$55)</f>
        <v>0</v>
      </c>
      <c r="T463" s="10">
        <f t="shared" si="136"/>
        <v>1.5349052667378293E-3</v>
      </c>
      <c r="U463" s="10">
        <f>T463*P463*(A463&lt;PARAM!$B$55)</f>
        <v>0</v>
      </c>
      <c r="W463">
        <v>460</v>
      </c>
      <c r="X463" s="178">
        <f t="shared" si="140"/>
        <v>69</v>
      </c>
      <c r="Y463" s="178">
        <f t="shared" si="140"/>
        <v>69</v>
      </c>
      <c r="Z463" s="178">
        <f t="shared" si="140"/>
        <v>38</v>
      </c>
      <c r="AA463" s="178">
        <f t="shared" si="140"/>
        <v>38</v>
      </c>
      <c r="AD463" s="17">
        <f>CALC!E487*(A463&lt;PARAM!$B$55)</f>
        <v>0</v>
      </c>
      <c r="AE463">
        <f>IF(A463&lt;ITER!$C$16,1,PARAM!$C$53^-(RATES!A463-ITER!$C$16))*(A463&lt;PARAM!$B$55)</f>
        <v>0</v>
      </c>
    </row>
    <row r="464" spans="1:31" x14ac:dyDescent="0.2">
      <c r="A464" s="9">
        <v>461</v>
      </c>
      <c r="B464" s="178">
        <f t="shared" si="138"/>
        <v>69</v>
      </c>
      <c r="C464" s="178">
        <f t="shared" si="138"/>
        <v>69</v>
      </c>
      <c r="D464" s="2">
        <f>PARAM!$H$38</f>
        <v>1</v>
      </c>
      <c r="E464" s="11">
        <f>PARAM!$G$38</f>
        <v>0</v>
      </c>
      <c r="F464" s="11">
        <f>(VLOOKUP(C464,DEDN!$A$8:$O$902,$F$2)*D464+E464)/1000</f>
        <v>2.2690000000000002E-2</v>
      </c>
      <c r="G464" s="178">
        <f t="shared" si="139"/>
        <v>38</v>
      </c>
      <c r="H464" s="178">
        <f t="shared" si="139"/>
        <v>38</v>
      </c>
      <c r="I464" s="2">
        <f>PARAM!$H$39</f>
        <v>0</v>
      </c>
      <c r="J464" s="11">
        <f>PARAM!$G$39</f>
        <v>0</v>
      </c>
      <c r="K464" s="11">
        <f>(VLOOKUP(H464,DEDN!$A$8:$O$902,$K$2)*I464+J464)/1000</f>
        <v>0</v>
      </c>
      <c r="L464" s="11">
        <f>MIN(IF(PARAM!$B$43=3,CHOOSE($L$2,F464,K464),F464+K464-F464*K464),1)</f>
        <v>2.2690000000000002E-2</v>
      </c>
      <c r="M464" s="2">
        <f>PARAM!$I$38</f>
        <v>0</v>
      </c>
      <c r="N464" s="11">
        <f>VLOOKUP(B464,DEDN!$A$8:$O$90,$N$2)*M464</f>
        <v>0</v>
      </c>
      <c r="O464" s="12"/>
      <c r="P464" s="10">
        <f>PARAM!$C$53^-A464</f>
        <v>1</v>
      </c>
      <c r="Q464" s="10">
        <f t="shared" si="137"/>
        <v>0.80174940184184251</v>
      </c>
      <c r="R464" s="10">
        <f t="shared" si="135"/>
        <v>0.80174940184184251</v>
      </c>
      <c r="S464" s="10">
        <f>CHOOSE(PARAM!$B$51,R464,0,0,0)*(A464&lt;PARAM!$B$55)</f>
        <v>0</v>
      </c>
      <c r="T464" s="10">
        <f t="shared" si="136"/>
        <v>1.5319723896021209E-3</v>
      </c>
      <c r="U464" s="10">
        <f>T464*P464*(A464&lt;PARAM!$B$55)</f>
        <v>0</v>
      </c>
      <c r="W464">
        <v>461</v>
      </c>
      <c r="X464" s="178">
        <f t="shared" si="140"/>
        <v>69</v>
      </c>
      <c r="Y464" s="178">
        <f t="shared" si="140"/>
        <v>69</v>
      </c>
      <c r="Z464" s="178">
        <f t="shared" si="140"/>
        <v>38</v>
      </c>
      <c r="AA464" s="178">
        <f t="shared" si="140"/>
        <v>38</v>
      </c>
      <c r="AD464" s="17">
        <f>CALC!E488*(A464&lt;PARAM!$B$55)</f>
        <v>0</v>
      </c>
      <c r="AE464">
        <f>IF(A464&lt;ITER!$C$16,1,PARAM!$C$53^-(RATES!A464-ITER!$C$16))*(A464&lt;PARAM!$B$55)</f>
        <v>0</v>
      </c>
    </row>
    <row r="465" spans="1:31" x14ac:dyDescent="0.2">
      <c r="A465" s="9">
        <v>462</v>
      </c>
      <c r="B465" s="178">
        <f t="shared" si="138"/>
        <v>70</v>
      </c>
      <c r="C465" s="178">
        <f t="shared" si="138"/>
        <v>70</v>
      </c>
      <c r="D465" s="2">
        <f>PARAM!$H$38</f>
        <v>1</v>
      </c>
      <c r="E465" s="11">
        <f>PARAM!$G$38</f>
        <v>0</v>
      </c>
      <c r="F465" s="11">
        <f>(VLOOKUP(C465,DEDN!$A$8:$O$902,$F$2)*D465+E465)/1000</f>
        <v>2.5070000000000002E-2</v>
      </c>
      <c r="G465" s="178">
        <f t="shared" si="139"/>
        <v>39</v>
      </c>
      <c r="H465" s="178">
        <f t="shared" si="139"/>
        <v>39</v>
      </c>
      <c r="I465" s="2">
        <f>PARAM!$H$39</f>
        <v>0</v>
      </c>
      <c r="J465" s="11">
        <f>PARAM!$G$39</f>
        <v>0</v>
      </c>
      <c r="K465" s="11">
        <f>(VLOOKUP(H465,DEDN!$A$8:$O$902,$K$2)*I465+J465)/1000</f>
        <v>0</v>
      </c>
      <c r="L465" s="11">
        <f>MIN(IF(PARAM!$B$43=3,CHOOSE($L$2,F465,K465),F465+K465-F465*K465),1)</f>
        <v>2.5070000000000002E-2</v>
      </c>
      <c r="M465" s="2">
        <f>PARAM!$I$38</f>
        <v>0</v>
      </c>
      <c r="N465" s="11">
        <f>VLOOKUP(B465,DEDN!$A$8:$O$90,$N$2)*M465</f>
        <v>0</v>
      </c>
      <c r="O465" s="12"/>
      <c r="P465" s="10">
        <f>PARAM!$C$53^-A465</f>
        <v>1</v>
      </c>
      <c r="Q465" s="10">
        <f t="shared" si="137"/>
        <v>0.80021742945224039</v>
      </c>
      <c r="R465" s="10">
        <f t="shared" si="135"/>
        <v>0.80021742945224039</v>
      </c>
      <c r="S465" s="10">
        <f>CHOOSE(PARAM!$B$51,R465,R465,R465,0)*(A465&lt;PARAM!$B$55)</f>
        <v>0</v>
      </c>
      <c r="T465" s="10">
        <f t="shared" si="136"/>
        <v>1.6913105308257181E-3</v>
      </c>
      <c r="U465" s="10">
        <f>T465*P465*(A465&lt;PARAM!$B$55)</f>
        <v>0</v>
      </c>
      <c r="W465">
        <v>462</v>
      </c>
      <c r="X465" s="178">
        <f t="shared" si="140"/>
        <v>70</v>
      </c>
      <c r="Y465" s="178">
        <f t="shared" si="140"/>
        <v>70</v>
      </c>
      <c r="Z465" s="178">
        <f t="shared" si="140"/>
        <v>39</v>
      </c>
      <c r="AA465" s="178">
        <f t="shared" si="140"/>
        <v>39</v>
      </c>
      <c r="AD465" s="17">
        <f>CALC!E489*(A465&lt;PARAM!$B$55)</f>
        <v>0</v>
      </c>
      <c r="AE465">
        <f>IF(A465&lt;ITER!$C$16,1,PARAM!$C$53^-(RATES!A465-ITER!$C$16))*(A465&lt;PARAM!$B$55)</f>
        <v>0</v>
      </c>
    </row>
    <row r="466" spans="1:31" x14ac:dyDescent="0.2">
      <c r="A466" s="9">
        <v>463</v>
      </c>
      <c r="B466" s="178">
        <f t="shared" si="138"/>
        <v>70</v>
      </c>
      <c r="C466" s="178">
        <f t="shared" si="138"/>
        <v>70</v>
      </c>
      <c r="D466" s="2">
        <f>PARAM!$H$38</f>
        <v>1</v>
      </c>
      <c r="E466" s="11">
        <f>PARAM!$G$38</f>
        <v>0</v>
      </c>
      <c r="F466" s="11">
        <f>(VLOOKUP(C466,DEDN!$A$8:$O$902,$F$2)*D466+E466)/1000</f>
        <v>2.5070000000000002E-2</v>
      </c>
      <c r="G466" s="178">
        <f t="shared" si="139"/>
        <v>39</v>
      </c>
      <c r="H466" s="178">
        <f t="shared" si="139"/>
        <v>39</v>
      </c>
      <c r="I466" s="2">
        <f>PARAM!$H$39</f>
        <v>0</v>
      </c>
      <c r="J466" s="11">
        <f>PARAM!$G$39</f>
        <v>0</v>
      </c>
      <c r="K466" s="11">
        <f>(VLOOKUP(H466,DEDN!$A$8:$O$902,$K$2)*I466+J466)/1000</f>
        <v>0</v>
      </c>
      <c r="L466" s="11">
        <f>MIN(IF(PARAM!$B$43=3,CHOOSE($L$2,F466,K466),F466+K466-F466*K466),1)</f>
        <v>2.5070000000000002E-2</v>
      </c>
      <c r="M466" s="2">
        <f>PARAM!$I$38</f>
        <v>0</v>
      </c>
      <c r="N466" s="11">
        <f>VLOOKUP(B466,DEDN!$A$8:$O$90,$N$2)*M466</f>
        <v>0</v>
      </c>
      <c r="O466" s="12"/>
      <c r="P466" s="10">
        <f>PARAM!$C$53^-A466</f>
        <v>1</v>
      </c>
      <c r="Q466" s="10">
        <f t="shared" si="137"/>
        <v>0.79852611892141467</v>
      </c>
      <c r="R466" s="10">
        <f t="shared" si="135"/>
        <v>0.79852611892141467</v>
      </c>
      <c r="S466" s="10">
        <f>CHOOSE(PARAM!$B$51,R466,0,0,0)*(A466&lt;PARAM!$B$55)</f>
        <v>0</v>
      </c>
      <c r="T466" s="10">
        <f t="shared" si="136"/>
        <v>1.687735838240445E-3</v>
      </c>
      <c r="U466" s="10">
        <f>T466*P466*(A466&lt;PARAM!$B$55)</f>
        <v>0</v>
      </c>
      <c r="W466">
        <v>463</v>
      </c>
      <c r="X466" s="178">
        <f t="shared" si="140"/>
        <v>70</v>
      </c>
      <c r="Y466" s="178">
        <f t="shared" si="140"/>
        <v>70</v>
      </c>
      <c r="Z466" s="178">
        <f t="shared" si="140"/>
        <v>39</v>
      </c>
      <c r="AA466" s="178">
        <f t="shared" si="140"/>
        <v>39</v>
      </c>
      <c r="AD466" s="17">
        <f>CALC!E490*(A466&lt;PARAM!$B$55)</f>
        <v>0</v>
      </c>
      <c r="AE466">
        <f>IF(A466&lt;ITER!$C$16,1,PARAM!$C$53^-(RATES!A466-ITER!$C$16))*(A466&lt;PARAM!$B$55)</f>
        <v>0</v>
      </c>
    </row>
    <row r="467" spans="1:31" x14ac:dyDescent="0.2">
      <c r="A467" s="9">
        <v>464</v>
      </c>
      <c r="B467" s="178">
        <f t="shared" si="138"/>
        <v>70</v>
      </c>
      <c r="C467" s="178">
        <f t="shared" si="138"/>
        <v>70</v>
      </c>
      <c r="D467" s="2">
        <f>PARAM!$H$38</f>
        <v>1</v>
      </c>
      <c r="E467" s="11">
        <f>PARAM!$G$38</f>
        <v>0</v>
      </c>
      <c r="F467" s="11">
        <f>(VLOOKUP(C467,DEDN!$A$8:$O$902,$F$2)*D467+E467)/1000</f>
        <v>2.5070000000000002E-2</v>
      </c>
      <c r="G467" s="178">
        <f t="shared" si="139"/>
        <v>39</v>
      </c>
      <c r="H467" s="178">
        <f t="shared" si="139"/>
        <v>39</v>
      </c>
      <c r="I467" s="2">
        <f>PARAM!$H$39</f>
        <v>0</v>
      </c>
      <c r="J467" s="11">
        <f>PARAM!$G$39</f>
        <v>0</v>
      </c>
      <c r="K467" s="11">
        <f>(VLOOKUP(H467,DEDN!$A$8:$O$902,$K$2)*I467+J467)/1000</f>
        <v>0</v>
      </c>
      <c r="L467" s="11">
        <f>MIN(IF(PARAM!$B$43=3,CHOOSE($L$2,F467,K467),F467+K467-F467*K467),1)</f>
        <v>2.5070000000000002E-2</v>
      </c>
      <c r="M467" s="2">
        <f>PARAM!$I$38</f>
        <v>0</v>
      </c>
      <c r="N467" s="11">
        <f>VLOOKUP(B467,DEDN!$A$8:$O$90,$N$2)*M467</f>
        <v>0</v>
      </c>
      <c r="O467" s="12"/>
      <c r="P467" s="10">
        <f>PARAM!$C$53^-A467</f>
        <v>1</v>
      </c>
      <c r="Q467" s="10">
        <f t="shared" si="137"/>
        <v>0.79683838308317423</v>
      </c>
      <c r="R467" s="10">
        <f t="shared" si="135"/>
        <v>0.79683838308317423</v>
      </c>
      <c r="S467" s="10">
        <f>CHOOSE(PARAM!$B$51,R467,0,0,0)*(A467&lt;PARAM!$B$55)</f>
        <v>0</v>
      </c>
      <c r="T467" s="10">
        <f t="shared" si="136"/>
        <v>1.6841687009957473E-3</v>
      </c>
      <c r="U467" s="10">
        <f>T467*P467*(A467&lt;PARAM!$B$55)</f>
        <v>0</v>
      </c>
      <c r="W467">
        <v>464</v>
      </c>
      <c r="X467" s="178">
        <f t="shared" si="140"/>
        <v>70</v>
      </c>
      <c r="Y467" s="178">
        <f t="shared" si="140"/>
        <v>70</v>
      </c>
      <c r="Z467" s="178">
        <f t="shared" si="140"/>
        <v>39</v>
      </c>
      <c r="AA467" s="178">
        <f t="shared" si="140"/>
        <v>39</v>
      </c>
      <c r="AD467" s="17">
        <f>CALC!E491*(A467&lt;PARAM!$B$55)</f>
        <v>0</v>
      </c>
      <c r="AE467">
        <f>IF(A467&lt;ITER!$C$16,1,PARAM!$C$53^-(RATES!A467-ITER!$C$16))*(A467&lt;PARAM!$B$55)</f>
        <v>0</v>
      </c>
    </row>
    <row r="468" spans="1:31" x14ac:dyDescent="0.2">
      <c r="A468" s="9">
        <v>465</v>
      </c>
      <c r="B468" s="178">
        <f t="shared" si="138"/>
        <v>70</v>
      </c>
      <c r="C468" s="178">
        <f t="shared" si="138"/>
        <v>70</v>
      </c>
      <c r="D468" s="2">
        <f>PARAM!$H$38</f>
        <v>1</v>
      </c>
      <c r="E468" s="11">
        <f>PARAM!$G$38</f>
        <v>0</v>
      </c>
      <c r="F468" s="11">
        <f>(VLOOKUP(C468,DEDN!$A$8:$O$902,$F$2)*D468+E468)/1000</f>
        <v>2.5070000000000002E-2</v>
      </c>
      <c r="G468" s="178">
        <f t="shared" si="139"/>
        <v>39</v>
      </c>
      <c r="H468" s="178">
        <f t="shared" si="139"/>
        <v>39</v>
      </c>
      <c r="I468" s="2">
        <f>PARAM!$H$39</f>
        <v>0</v>
      </c>
      <c r="J468" s="11">
        <f>PARAM!$G$39</f>
        <v>0</v>
      </c>
      <c r="K468" s="11">
        <f>(VLOOKUP(H468,DEDN!$A$8:$O$902,$K$2)*I468+J468)/1000</f>
        <v>0</v>
      </c>
      <c r="L468" s="11">
        <f>MIN(IF(PARAM!$B$43=3,CHOOSE($L$2,F468,K468),F468+K468-F468*K468),1)</f>
        <v>2.5070000000000002E-2</v>
      </c>
      <c r="M468" s="2">
        <f>PARAM!$I$38</f>
        <v>0</v>
      </c>
      <c r="N468" s="11">
        <f>VLOOKUP(B468,DEDN!$A$8:$O$90,$N$2)*M468</f>
        <v>0</v>
      </c>
      <c r="O468" s="12"/>
      <c r="P468" s="10">
        <f>PARAM!$C$53^-A468</f>
        <v>1</v>
      </c>
      <c r="Q468" s="10">
        <f t="shared" si="137"/>
        <v>0.79515421438217848</v>
      </c>
      <c r="R468" s="10">
        <f t="shared" ref="R468:R483" si="141">P468*Q468</f>
        <v>0.79515421438217848</v>
      </c>
      <c r="S468" s="10">
        <f>CHOOSE(PARAM!$B$51,R468,R468,0,0)*(A468&lt;PARAM!$B$55)</f>
        <v>0</v>
      </c>
      <c r="T468" s="10">
        <f t="shared" si="136"/>
        <v>1.6806091031228432E-3</v>
      </c>
      <c r="U468" s="10">
        <f>T468*P468*(A468&lt;PARAM!$B$55)</f>
        <v>0</v>
      </c>
      <c r="W468">
        <v>465</v>
      </c>
      <c r="X468" s="178">
        <f t="shared" si="140"/>
        <v>70</v>
      </c>
      <c r="Y468" s="178">
        <f t="shared" si="140"/>
        <v>70</v>
      </c>
      <c r="Z468" s="178">
        <f t="shared" si="140"/>
        <v>39</v>
      </c>
      <c r="AA468" s="178">
        <f t="shared" si="140"/>
        <v>39</v>
      </c>
      <c r="AD468" s="17">
        <f>CALC!E492*(A468&lt;PARAM!$B$55)</f>
        <v>0</v>
      </c>
      <c r="AE468">
        <f>IF(A468&lt;ITER!$C$16,1,PARAM!$C$53^-(RATES!A468-ITER!$C$16))*(A468&lt;PARAM!$B$55)</f>
        <v>0</v>
      </c>
    </row>
    <row r="469" spans="1:31" x14ac:dyDescent="0.2">
      <c r="A469" s="9">
        <v>466</v>
      </c>
      <c r="B469" s="178">
        <f t="shared" si="138"/>
        <v>70</v>
      </c>
      <c r="C469" s="178">
        <f t="shared" si="138"/>
        <v>70</v>
      </c>
      <c r="D469" s="2">
        <f>PARAM!$H$38</f>
        <v>1</v>
      </c>
      <c r="E469" s="11">
        <f>PARAM!$G$38</f>
        <v>0</v>
      </c>
      <c r="F469" s="11">
        <f>(VLOOKUP(C469,DEDN!$A$8:$O$902,$F$2)*D469+E469)/1000</f>
        <v>2.5070000000000002E-2</v>
      </c>
      <c r="G469" s="178">
        <f t="shared" si="139"/>
        <v>39</v>
      </c>
      <c r="H469" s="178">
        <f t="shared" si="139"/>
        <v>39</v>
      </c>
      <c r="I469" s="2">
        <f>PARAM!$H$39</f>
        <v>0</v>
      </c>
      <c r="J469" s="11">
        <f>PARAM!$G$39</f>
        <v>0</v>
      </c>
      <c r="K469" s="11">
        <f>(VLOOKUP(H469,DEDN!$A$8:$O$902,$K$2)*I469+J469)/1000</f>
        <v>0</v>
      </c>
      <c r="L469" s="11">
        <f>MIN(IF(PARAM!$B$43=3,CHOOSE($L$2,F469,K469),F469+K469-F469*K469),1)</f>
        <v>2.5070000000000002E-2</v>
      </c>
      <c r="M469" s="2">
        <f>PARAM!$I$38</f>
        <v>0</v>
      </c>
      <c r="N469" s="11">
        <f>VLOOKUP(B469,DEDN!$A$8:$O$90,$N$2)*M469</f>
        <v>0</v>
      </c>
      <c r="O469" s="12"/>
      <c r="P469" s="10">
        <f>PARAM!$C$53^-A469</f>
        <v>1</v>
      </c>
      <c r="Q469" s="10">
        <f t="shared" ref="Q469:Q484" si="142">Q468*(1-L468)^(1/12)</f>
        <v>0.79347360527905564</v>
      </c>
      <c r="R469" s="10">
        <f t="shared" si="141"/>
        <v>0.79347360527905564</v>
      </c>
      <c r="S469" s="10">
        <f>CHOOSE(PARAM!$B$51,R469,0,0,0)*(A469&lt;PARAM!$B$55)</f>
        <v>0</v>
      </c>
      <c r="T469" s="10">
        <f t="shared" si="136"/>
        <v>1.6770570286870345E-3</v>
      </c>
      <c r="U469" s="10">
        <f>T469*P469*(A469&lt;PARAM!$B$55)</f>
        <v>0</v>
      </c>
      <c r="W469">
        <v>466</v>
      </c>
      <c r="X469" s="178">
        <f t="shared" si="140"/>
        <v>70</v>
      </c>
      <c r="Y469" s="178">
        <f t="shared" si="140"/>
        <v>70</v>
      </c>
      <c r="Z469" s="178">
        <f t="shared" si="140"/>
        <v>39</v>
      </c>
      <c r="AA469" s="178">
        <f t="shared" si="140"/>
        <v>39</v>
      </c>
      <c r="AD469" s="17">
        <f>CALC!E493*(A469&lt;PARAM!$B$55)</f>
        <v>0</v>
      </c>
      <c r="AE469">
        <f>IF(A469&lt;ITER!$C$16,1,PARAM!$C$53^-(RATES!A469-ITER!$C$16))*(A469&lt;PARAM!$B$55)</f>
        <v>0</v>
      </c>
    </row>
    <row r="470" spans="1:31" x14ac:dyDescent="0.2">
      <c r="A470" s="9">
        <v>467</v>
      </c>
      <c r="B470" s="178">
        <f t="shared" si="138"/>
        <v>70</v>
      </c>
      <c r="C470" s="178">
        <f t="shared" si="138"/>
        <v>70</v>
      </c>
      <c r="D470" s="2">
        <f>PARAM!$H$38</f>
        <v>1</v>
      </c>
      <c r="E470" s="11">
        <f>PARAM!$G$38</f>
        <v>0</v>
      </c>
      <c r="F470" s="11">
        <f>(VLOOKUP(C470,DEDN!$A$8:$O$902,$F$2)*D470+E470)/1000</f>
        <v>2.5070000000000002E-2</v>
      </c>
      <c r="G470" s="178">
        <f t="shared" si="139"/>
        <v>39</v>
      </c>
      <c r="H470" s="178">
        <f t="shared" si="139"/>
        <v>39</v>
      </c>
      <c r="I470" s="2">
        <f>PARAM!$H$39</f>
        <v>0</v>
      </c>
      <c r="J470" s="11">
        <f>PARAM!$G$39</f>
        <v>0</v>
      </c>
      <c r="K470" s="11">
        <f>(VLOOKUP(H470,DEDN!$A$8:$O$902,$K$2)*I470+J470)/1000</f>
        <v>0</v>
      </c>
      <c r="L470" s="11">
        <f>MIN(IF(PARAM!$B$43=3,CHOOSE($L$2,F470,K470),F470+K470-F470*K470),1)</f>
        <v>2.5070000000000002E-2</v>
      </c>
      <c r="M470" s="2">
        <f>PARAM!$I$38</f>
        <v>0</v>
      </c>
      <c r="N470" s="11">
        <f>VLOOKUP(B470,DEDN!$A$8:$O$90,$N$2)*M470</f>
        <v>0</v>
      </c>
      <c r="O470" s="12"/>
      <c r="P470" s="10">
        <f>PARAM!$C$53^-A470</f>
        <v>1</v>
      </c>
      <c r="Q470" s="10">
        <f t="shared" si="142"/>
        <v>0.7917965482503686</v>
      </c>
      <c r="R470" s="10">
        <f t="shared" si="141"/>
        <v>0.7917965482503686</v>
      </c>
      <c r="S470" s="10">
        <f>CHOOSE(PARAM!$B$51,R470,0,0,0)*(A470&lt;PARAM!$B$55)</f>
        <v>0</v>
      </c>
      <c r="T470" s="10">
        <f t="shared" si="136"/>
        <v>1.6735124617868191E-3</v>
      </c>
      <c r="U470" s="10">
        <f>T470*P470*(A470&lt;PARAM!$B$55)</f>
        <v>0</v>
      </c>
      <c r="W470">
        <v>467</v>
      </c>
      <c r="X470" s="178">
        <f t="shared" si="140"/>
        <v>70</v>
      </c>
      <c r="Y470" s="178">
        <f t="shared" si="140"/>
        <v>70</v>
      </c>
      <c r="Z470" s="178">
        <f t="shared" si="140"/>
        <v>39</v>
      </c>
      <c r="AA470" s="178">
        <f t="shared" si="140"/>
        <v>39</v>
      </c>
      <c r="AD470" s="17">
        <f>CALC!E494*(A470&lt;PARAM!$B$55)</f>
        <v>0</v>
      </c>
      <c r="AE470">
        <f>IF(A470&lt;ITER!$C$16,1,PARAM!$C$53^-(RATES!A470-ITER!$C$16))*(A470&lt;PARAM!$B$55)</f>
        <v>0</v>
      </c>
    </row>
    <row r="471" spans="1:31" x14ac:dyDescent="0.2">
      <c r="A471" s="9">
        <v>468</v>
      </c>
      <c r="B471" s="178">
        <f t="shared" si="138"/>
        <v>70</v>
      </c>
      <c r="C471" s="178">
        <f t="shared" si="138"/>
        <v>70</v>
      </c>
      <c r="D471" s="2">
        <f>PARAM!$H$38</f>
        <v>1</v>
      </c>
      <c r="E471" s="11">
        <f>PARAM!$G$38</f>
        <v>0</v>
      </c>
      <c r="F471" s="11">
        <f>(VLOOKUP(C471,DEDN!$A$8:$O$902,$F$2)*D471+E471)/1000</f>
        <v>2.5070000000000002E-2</v>
      </c>
      <c r="G471" s="178">
        <f t="shared" si="139"/>
        <v>39</v>
      </c>
      <c r="H471" s="178">
        <f t="shared" si="139"/>
        <v>39</v>
      </c>
      <c r="I471" s="2">
        <f>PARAM!$H$39</f>
        <v>0</v>
      </c>
      <c r="J471" s="11">
        <f>PARAM!$G$39</f>
        <v>0</v>
      </c>
      <c r="K471" s="11">
        <f>(VLOOKUP(H471,DEDN!$A$8:$O$902,$K$2)*I471+J471)/1000</f>
        <v>0</v>
      </c>
      <c r="L471" s="11">
        <f>MIN(IF(PARAM!$B$43=3,CHOOSE($L$2,F471,K471),F471+K471-F471*K471),1)</f>
        <v>2.5070000000000002E-2</v>
      </c>
      <c r="M471" s="2">
        <f>PARAM!$I$38</f>
        <v>0</v>
      </c>
      <c r="N471" s="11">
        <f>VLOOKUP(B471,DEDN!$A$8:$O$90,$N$2)*M471</f>
        <v>0</v>
      </c>
      <c r="O471" s="12"/>
      <c r="P471" s="10">
        <f>PARAM!$C$53^-A471</f>
        <v>1</v>
      </c>
      <c r="Q471" s="10">
        <f t="shared" si="142"/>
        <v>0.79012303578858178</v>
      </c>
      <c r="R471" s="10">
        <f t="shared" si="141"/>
        <v>0.79012303578858178</v>
      </c>
      <c r="S471" s="10">
        <f>R471*(A471&lt;PARAM!$B$55)</f>
        <v>0</v>
      </c>
      <c r="T471" s="10">
        <f t="shared" si="136"/>
        <v>1.6699753865545564E-3</v>
      </c>
      <c r="U471" s="10">
        <f>T471*P471*(A471&lt;PARAM!$B$55)</f>
        <v>0</v>
      </c>
      <c r="W471">
        <v>468</v>
      </c>
      <c r="X471" s="178">
        <f t="shared" si="140"/>
        <v>70</v>
      </c>
      <c r="Y471" s="178">
        <f t="shared" si="140"/>
        <v>70</v>
      </c>
      <c r="Z471" s="178">
        <f t="shared" si="140"/>
        <v>39</v>
      </c>
      <c r="AA471" s="178">
        <f t="shared" si="140"/>
        <v>39</v>
      </c>
      <c r="AD471" s="17">
        <f>CALC!E495*(A471&lt;PARAM!$B$55)</f>
        <v>0</v>
      </c>
      <c r="AE471">
        <f>IF(A471&lt;ITER!$C$16,1,PARAM!$C$53^-(RATES!A471-ITER!$C$16))*(A471&lt;PARAM!$B$55)</f>
        <v>0</v>
      </c>
    </row>
    <row r="472" spans="1:31" x14ac:dyDescent="0.2">
      <c r="A472" s="9">
        <v>469</v>
      </c>
      <c r="B472" s="178">
        <f t="shared" si="138"/>
        <v>70</v>
      </c>
      <c r="C472" s="178">
        <f t="shared" si="138"/>
        <v>70</v>
      </c>
      <c r="D472" s="2">
        <f>PARAM!$H$38</f>
        <v>1</v>
      </c>
      <c r="E472" s="11">
        <f>PARAM!$G$38</f>
        <v>0</v>
      </c>
      <c r="F472" s="11">
        <f>(VLOOKUP(C472,DEDN!$A$8:$O$902,$F$2)*D472+E472)/1000</f>
        <v>2.5070000000000002E-2</v>
      </c>
      <c r="G472" s="178">
        <f t="shared" si="139"/>
        <v>39</v>
      </c>
      <c r="H472" s="178">
        <f t="shared" si="139"/>
        <v>39</v>
      </c>
      <c r="I472" s="2">
        <f>PARAM!$H$39</f>
        <v>0</v>
      </c>
      <c r="J472" s="11">
        <f>PARAM!$G$39</f>
        <v>0</v>
      </c>
      <c r="K472" s="11">
        <f>(VLOOKUP(H472,DEDN!$A$8:$O$902,$K$2)*I472+J472)/1000</f>
        <v>0</v>
      </c>
      <c r="L472" s="11">
        <f>MIN(IF(PARAM!$B$43=3,CHOOSE($L$2,F472,K472),F472+K472-F472*K472),1)</f>
        <v>2.5070000000000002E-2</v>
      </c>
      <c r="M472" s="2">
        <f>PARAM!$I$38</f>
        <v>0</v>
      </c>
      <c r="N472" s="11">
        <f>VLOOKUP(B472,DEDN!$A$8:$O$90,$N$2)*M472</f>
        <v>0</v>
      </c>
      <c r="O472" s="12"/>
      <c r="P472" s="10">
        <f>PARAM!$C$53^-A472</f>
        <v>1</v>
      </c>
      <c r="Q472" s="10">
        <f t="shared" si="142"/>
        <v>0.78845306040202723</v>
      </c>
      <c r="R472" s="10">
        <f t="shared" si="141"/>
        <v>0.78845306040202723</v>
      </c>
      <c r="S472" s="10">
        <f>CHOOSE(PARAM!$B$51,R472,0,0,0)*(A472&lt;PARAM!$B$55)</f>
        <v>0</v>
      </c>
      <c r="T472" s="10">
        <f t="shared" si="136"/>
        <v>1.6664457871562455E-3</v>
      </c>
      <c r="U472" s="10">
        <f>T472*P472*(A472&lt;PARAM!$B$55)</f>
        <v>0</v>
      </c>
      <c r="W472">
        <v>469</v>
      </c>
      <c r="X472" s="178">
        <f t="shared" si="140"/>
        <v>70</v>
      </c>
      <c r="Y472" s="178">
        <f t="shared" si="140"/>
        <v>70</v>
      </c>
      <c r="Z472" s="178">
        <f t="shared" si="140"/>
        <v>39</v>
      </c>
      <c r="AA472" s="178">
        <f t="shared" si="140"/>
        <v>39</v>
      </c>
      <c r="AD472" s="17">
        <f>CALC!E496*(A472&lt;PARAM!$B$55)</f>
        <v>0</v>
      </c>
      <c r="AE472">
        <f>IF(A472&lt;ITER!$C$16,1,PARAM!$C$53^-(RATES!A472-ITER!$C$16))*(A472&lt;PARAM!$B$55)</f>
        <v>0</v>
      </c>
    </row>
    <row r="473" spans="1:31" x14ac:dyDescent="0.2">
      <c r="A473" s="9">
        <v>470</v>
      </c>
      <c r="B473" s="178">
        <f t="shared" si="138"/>
        <v>70</v>
      </c>
      <c r="C473" s="178">
        <f t="shared" si="138"/>
        <v>70</v>
      </c>
      <c r="D473" s="2">
        <f>PARAM!$H$38</f>
        <v>1</v>
      </c>
      <c r="E473" s="11">
        <f>PARAM!$G$38</f>
        <v>0</v>
      </c>
      <c r="F473" s="11">
        <f>(VLOOKUP(C473,DEDN!$A$8:$O$902,$F$2)*D473+E473)/1000</f>
        <v>2.5070000000000002E-2</v>
      </c>
      <c r="G473" s="178">
        <f t="shared" si="139"/>
        <v>39</v>
      </c>
      <c r="H473" s="178">
        <f t="shared" si="139"/>
        <v>39</v>
      </c>
      <c r="I473" s="2">
        <f>PARAM!$H$39</f>
        <v>0</v>
      </c>
      <c r="J473" s="11">
        <f>PARAM!$G$39</f>
        <v>0</v>
      </c>
      <c r="K473" s="11">
        <f>(VLOOKUP(H473,DEDN!$A$8:$O$902,$K$2)*I473+J473)/1000</f>
        <v>0</v>
      </c>
      <c r="L473" s="11">
        <f>MIN(IF(PARAM!$B$43=3,CHOOSE($L$2,F473,K473),F473+K473-F473*K473),1)</f>
        <v>2.5070000000000002E-2</v>
      </c>
      <c r="M473" s="2">
        <f>PARAM!$I$38</f>
        <v>0</v>
      </c>
      <c r="N473" s="11">
        <f>VLOOKUP(B473,DEDN!$A$8:$O$90,$N$2)*M473</f>
        <v>0</v>
      </c>
      <c r="O473" s="12"/>
      <c r="P473" s="10">
        <f>PARAM!$C$53^-A473</f>
        <v>1</v>
      </c>
      <c r="Q473" s="10">
        <f t="shared" si="142"/>
        <v>0.78678661461487098</v>
      </c>
      <c r="R473" s="10">
        <f t="shared" si="141"/>
        <v>0.78678661461487098</v>
      </c>
      <c r="S473" s="10">
        <f>CHOOSE(PARAM!$B$51,R473,0,0,0)*(A473&lt;PARAM!$B$55)</f>
        <v>0</v>
      </c>
      <c r="T473" s="10">
        <f t="shared" si="136"/>
        <v>1.6629236477911924E-3</v>
      </c>
      <c r="U473" s="10">
        <f>T473*P473*(A473&lt;PARAM!$B$55)</f>
        <v>0</v>
      </c>
      <c r="W473">
        <v>470</v>
      </c>
      <c r="X473" s="178">
        <f t="shared" si="140"/>
        <v>70</v>
      </c>
      <c r="Y473" s="178">
        <f t="shared" si="140"/>
        <v>70</v>
      </c>
      <c r="Z473" s="178">
        <f t="shared" si="140"/>
        <v>39</v>
      </c>
      <c r="AA473" s="178">
        <f t="shared" si="140"/>
        <v>39</v>
      </c>
      <c r="AD473" s="17">
        <f>CALC!E497*(A473&lt;PARAM!$B$55)</f>
        <v>0</v>
      </c>
      <c r="AE473">
        <f>IF(A473&lt;ITER!$C$16,1,PARAM!$C$53^-(RATES!A473-ITER!$C$16))*(A473&lt;PARAM!$B$55)</f>
        <v>0</v>
      </c>
    </row>
    <row r="474" spans="1:31" x14ac:dyDescent="0.2">
      <c r="A474" s="9">
        <v>471</v>
      </c>
      <c r="B474" s="178">
        <f t="shared" si="138"/>
        <v>70</v>
      </c>
      <c r="C474" s="178">
        <f t="shared" si="138"/>
        <v>70</v>
      </c>
      <c r="D474" s="2">
        <f>PARAM!$H$38</f>
        <v>1</v>
      </c>
      <c r="E474" s="11">
        <f>PARAM!$G$38</f>
        <v>0</v>
      </c>
      <c r="F474" s="11">
        <f>(VLOOKUP(C474,DEDN!$A$8:$O$902,$F$2)*D474+E474)/1000</f>
        <v>2.5070000000000002E-2</v>
      </c>
      <c r="G474" s="178">
        <f t="shared" si="139"/>
        <v>39</v>
      </c>
      <c r="H474" s="178">
        <f t="shared" si="139"/>
        <v>39</v>
      </c>
      <c r="I474" s="2">
        <f>PARAM!$H$39</f>
        <v>0</v>
      </c>
      <c r="J474" s="11">
        <f>PARAM!$G$39</f>
        <v>0</v>
      </c>
      <c r="K474" s="11">
        <f>(VLOOKUP(H474,DEDN!$A$8:$O$902,$K$2)*I474+J474)/1000</f>
        <v>0</v>
      </c>
      <c r="L474" s="11">
        <f>MIN(IF(PARAM!$B$43=3,CHOOSE($L$2,F474,K474),F474+K474-F474*K474),1)</f>
        <v>2.5070000000000002E-2</v>
      </c>
      <c r="M474" s="2">
        <f>PARAM!$I$38</f>
        <v>0</v>
      </c>
      <c r="N474" s="11">
        <f>VLOOKUP(B474,DEDN!$A$8:$O$90,$N$2)*M474</f>
        <v>0</v>
      </c>
      <c r="O474" s="12"/>
      <c r="P474" s="10">
        <f>PARAM!$C$53^-A474</f>
        <v>1</v>
      </c>
      <c r="Q474" s="10">
        <f t="shared" si="142"/>
        <v>0.78512369096707979</v>
      </c>
      <c r="R474" s="10">
        <f t="shared" si="141"/>
        <v>0.78512369096707979</v>
      </c>
      <c r="S474" s="10">
        <f>CHOOSE(PARAM!$B$51,R474,R474,0,0)*(A474&lt;PARAM!$B$55)</f>
        <v>0</v>
      </c>
      <c r="T474" s="10">
        <f t="shared" si="136"/>
        <v>1.6594089526922318E-3</v>
      </c>
      <c r="U474" s="10">
        <f>T474*P474*(A474&lt;PARAM!$B$55)</f>
        <v>0</v>
      </c>
      <c r="W474">
        <v>471</v>
      </c>
      <c r="X474" s="178">
        <f t="shared" si="140"/>
        <v>70</v>
      </c>
      <c r="Y474" s="178">
        <f t="shared" si="140"/>
        <v>70</v>
      </c>
      <c r="Z474" s="178">
        <f t="shared" si="140"/>
        <v>39</v>
      </c>
      <c r="AA474" s="178">
        <f t="shared" si="140"/>
        <v>39</v>
      </c>
      <c r="AD474" s="17">
        <f>CALC!E498*(A474&lt;PARAM!$B$55)</f>
        <v>0</v>
      </c>
      <c r="AE474">
        <f>IF(A474&lt;ITER!$C$16,1,PARAM!$C$53^-(RATES!A474-ITER!$C$16))*(A474&lt;PARAM!$B$55)</f>
        <v>0</v>
      </c>
    </row>
    <row r="475" spans="1:31" x14ac:dyDescent="0.2">
      <c r="A475" s="9">
        <v>472</v>
      </c>
      <c r="B475" s="178">
        <f t="shared" si="138"/>
        <v>70</v>
      </c>
      <c r="C475" s="178">
        <f t="shared" si="138"/>
        <v>70</v>
      </c>
      <c r="D475" s="2">
        <f>PARAM!$H$38</f>
        <v>1</v>
      </c>
      <c r="E475" s="11">
        <f>PARAM!$G$38</f>
        <v>0</v>
      </c>
      <c r="F475" s="11">
        <f>(VLOOKUP(C475,DEDN!$A$8:$O$902,$F$2)*D475+E475)/1000</f>
        <v>2.5070000000000002E-2</v>
      </c>
      <c r="G475" s="178">
        <f t="shared" si="139"/>
        <v>39</v>
      </c>
      <c r="H475" s="178">
        <f t="shared" si="139"/>
        <v>39</v>
      </c>
      <c r="I475" s="2">
        <f>PARAM!$H$39</f>
        <v>0</v>
      </c>
      <c r="J475" s="11">
        <f>PARAM!$G$39</f>
        <v>0</v>
      </c>
      <c r="K475" s="11">
        <f>(VLOOKUP(H475,DEDN!$A$8:$O$902,$K$2)*I475+J475)/1000</f>
        <v>0</v>
      </c>
      <c r="L475" s="11">
        <f>MIN(IF(PARAM!$B$43=3,CHOOSE($L$2,F475,K475),F475+K475-F475*K475),1)</f>
        <v>2.5070000000000002E-2</v>
      </c>
      <c r="M475" s="2">
        <f>PARAM!$I$38</f>
        <v>0</v>
      </c>
      <c r="N475" s="11">
        <f>VLOOKUP(B475,DEDN!$A$8:$O$90,$N$2)*M475</f>
        <v>0</v>
      </c>
      <c r="O475" s="12"/>
      <c r="P475" s="10">
        <f>PARAM!$C$53^-A475</f>
        <v>1</v>
      </c>
      <c r="Q475" s="10">
        <f t="shared" si="142"/>
        <v>0.78346428201438756</v>
      </c>
      <c r="R475" s="10">
        <f t="shared" si="141"/>
        <v>0.78346428201438756</v>
      </c>
      <c r="S475" s="10">
        <f>CHOOSE(PARAM!$B$51,R475,0,0,0)*(A475&lt;PARAM!$B$55)</f>
        <v>0</v>
      </c>
      <c r="T475" s="10">
        <f t="shared" si="136"/>
        <v>1.6559016861251719E-3</v>
      </c>
      <c r="U475" s="10">
        <f>T475*P475*(A475&lt;PARAM!$B$55)</f>
        <v>0</v>
      </c>
      <c r="W475">
        <v>472</v>
      </c>
      <c r="X475" s="178">
        <f t="shared" si="140"/>
        <v>70</v>
      </c>
      <c r="Y475" s="178">
        <f t="shared" si="140"/>
        <v>70</v>
      </c>
      <c r="Z475" s="178">
        <f t="shared" si="140"/>
        <v>39</v>
      </c>
      <c r="AA475" s="178">
        <f t="shared" si="140"/>
        <v>39</v>
      </c>
      <c r="AD475" s="17">
        <f>CALC!E499*(A475&lt;PARAM!$B$55)</f>
        <v>0</v>
      </c>
      <c r="AE475">
        <f>IF(A475&lt;ITER!$C$16,1,PARAM!$C$53^-(RATES!A475-ITER!$C$16))*(A475&lt;PARAM!$B$55)</f>
        <v>0</v>
      </c>
    </row>
    <row r="476" spans="1:31" x14ac:dyDescent="0.2">
      <c r="A476" s="9">
        <v>473</v>
      </c>
      <c r="B476" s="178">
        <f t="shared" si="138"/>
        <v>70</v>
      </c>
      <c r="C476" s="178">
        <f t="shared" si="138"/>
        <v>70</v>
      </c>
      <c r="D476" s="2">
        <f>PARAM!$H$38</f>
        <v>1</v>
      </c>
      <c r="E476" s="11">
        <f>PARAM!$G$38</f>
        <v>0</v>
      </c>
      <c r="F476" s="11">
        <f>(VLOOKUP(C476,DEDN!$A$8:$O$902,$F$2)*D476+E476)/1000</f>
        <v>2.5070000000000002E-2</v>
      </c>
      <c r="G476" s="178">
        <f t="shared" si="139"/>
        <v>39</v>
      </c>
      <c r="H476" s="178">
        <f t="shared" si="139"/>
        <v>39</v>
      </c>
      <c r="I476" s="2">
        <f>PARAM!$H$39</f>
        <v>0</v>
      </c>
      <c r="J476" s="11">
        <f>PARAM!$G$39</f>
        <v>0</v>
      </c>
      <c r="K476" s="11">
        <f>(VLOOKUP(H476,DEDN!$A$8:$O$902,$K$2)*I476+J476)/1000</f>
        <v>0</v>
      </c>
      <c r="L476" s="11">
        <f>MIN(IF(PARAM!$B$43=3,CHOOSE($L$2,F476,K476),F476+K476-F476*K476),1)</f>
        <v>2.5070000000000002E-2</v>
      </c>
      <c r="M476" s="2">
        <f>PARAM!$I$38</f>
        <v>0</v>
      </c>
      <c r="N476" s="11">
        <f>VLOOKUP(B476,DEDN!$A$8:$O$90,$N$2)*M476</f>
        <v>0</v>
      </c>
      <c r="O476" s="12"/>
      <c r="P476" s="10">
        <f>PARAM!$C$53^-A476</f>
        <v>1</v>
      </c>
      <c r="Q476" s="10">
        <f t="shared" si="142"/>
        <v>0.78180838032826239</v>
      </c>
      <c r="R476" s="10">
        <f t="shared" si="141"/>
        <v>0.78180838032826239</v>
      </c>
      <c r="S476" s="10">
        <f>CHOOSE(PARAM!$B$51,R476,0,0,0)*(A476&lt;PARAM!$B$55)</f>
        <v>0</v>
      </c>
      <c r="T476" s="10">
        <f t="shared" si="136"/>
        <v>1.6524018323895717E-3</v>
      </c>
      <c r="U476" s="10">
        <f>T476*P476*(A476&lt;PARAM!$B$55)</f>
        <v>0</v>
      </c>
      <c r="W476">
        <v>473</v>
      </c>
      <c r="X476" s="178">
        <f t="shared" si="140"/>
        <v>70</v>
      </c>
      <c r="Y476" s="178">
        <f t="shared" si="140"/>
        <v>70</v>
      </c>
      <c r="Z476" s="178">
        <f t="shared" si="140"/>
        <v>39</v>
      </c>
      <c r="AA476" s="178">
        <f t="shared" si="140"/>
        <v>39</v>
      </c>
      <c r="AD476" s="17">
        <f>CALC!E500*(A476&lt;PARAM!$B$55)</f>
        <v>0</v>
      </c>
      <c r="AE476">
        <f>IF(A476&lt;ITER!$C$16,1,PARAM!$C$53^-(RATES!A476-ITER!$C$16))*(A476&lt;PARAM!$B$55)</f>
        <v>0</v>
      </c>
    </row>
    <row r="477" spans="1:31" x14ac:dyDescent="0.2">
      <c r="A477" s="9">
        <v>474</v>
      </c>
      <c r="B477" s="178">
        <f t="shared" si="138"/>
        <v>71</v>
      </c>
      <c r="C477" s="178">
        <f t="shared" si="138"/>
        <v>71</v>
      </c>
      <c r="D477" s="2">
        <f>PARAM!$H$38</f>
        <v>1</v>
      </c>
      <c r="E477" s="11">
        <f>PARAM!$G$38</f>
        <v>0</v>
      </c>
      <c r="F477" s="11">
        <f>(VLOOKUP(C477,DEDN!$A$8:$O$902,$F$2)*D477+E477)/1000</f>
        <v>2.7649999999999997E-2</v>
      </c>
      <c r="G477" s="178">
        <f t="shared" si="139"/>
        <v>40</v>
      </c>
      <c r="H477" s="178">
        <f t="shared" si="139"/>
        <v>40</v>
      </c>
      <c r="I477" s="2">
        <f>PARAM!$H$39</f>
        <v>0</v>
      </c>
      <c r="J477" s="11">
        <f>PARAM!$G$39</f>
        <v>0</v>
      </c>
      <c r="K477" s="11">
        <f>(VLOOKUP(H477,DEDN!$A$8:$O$902,$K$2)*I477+J477)/1000</f>
        <v>0</v>
      </c>
      <c r="L477" s="11">
        <f>MIN(IF(PARAM!$B$43=3,CHOOSE($L$2,F477,K477),F477+K477-F477*K477),1)</f>
        <v>2.7649999999999997E-2</v>
      </c>
      <c r="M477" s="2">
        <f>PARAM!$I$38</f>
        <v>0</v>
      </c>
      <c r="N477" s="11">
        <f>VLOOKUP(B477,DEDN!$A$8:$O$90,$N$2)*M477</f>
        <v>0</v>
      </c>
      <c r="O477" s="12"/>
      <c r="P477" s="10">
        <f>PARAM!$C$53^-A477</f>
        <v>1</v>
      </c>
      <c r="Q477" s="10">
        <f t="shared" si="142"/>
        <v>0.78015597849587281</v>
      </c>
      <c r="R477" s="10">
        <f t="shared" si="141"/>
        <v>0.78015597849587281</v>
      </c>
      <c r="S477" s="10">
        <f>CHOOSE(PARAM!$B$51,R477,R477,R477,0)*(A477&lt;PARAM!$B$55)</f>
        <v>0</v>
      </c>
      <c r="T477" s="10">
        <f t="shared" si="136"/>
        <v>1.820801079889689E-3</v>
      </c>
      <c r="U477" s="10">
        <f>T477*P477*(A477&lt;PARAM!$B$55)</f>
        <v>0</v>
      </c>
      <c r="W477">
        <v>474</v>
      </c>
      <c r="X477" s="178">
        <f t="shared" si="140"/>
        <v>71</v>
      </c>
      <c r="Y477" s="178">
        <f t="shared" si="140"/>
        <v>71</v>
      </c>
      <c r="Z477" s="178">
        <f t="shared" si="140"/>
        <v>40</v>
      </c>
      <c r="AA477" s="178">
        <f t="shared" si="140"/>
        <v>40</v>
      </c>
      <c r="AD477" s="17">
        <f>CALC!E501*(A477&lt;PARAM!$B$55)</f>
        <v>0</v>
      </c>
      <c r="AE477">
        <f>IF(A477&lt;ITER!$C$16,1,PARAM!$C$53^-(RATES!A477-ITER!$C$16))*(A477&lt;PARAM!$B$55)</f>
        <v>0</v>
      </c>
    </row>
    <row r="478" spans="1:31" x14ac:dyDescent="0.2">
      <c r="A478" s="9">
        <v>475</v>
      </c>
      <c r="B478" s="178">
        <f t="shared" si="138"/>
        <v>71</v>
      </c>
      <c r="C478" s="178">
        <f t="shared" si="138"/>
        <v>71</v>
      </c>
      <c r="D478" s="2">
        <f>PARAM!$H$38</f>
        <v>1</v>
      </c>
      <c r="E478" s="11">
        <f>PARAM!$G$38</f>
        <v>0</v>
      </c>
      <c r="F478" s="11">
        <f>(VLOOKUP(C478,DEDN!$A$8:$O$902,$F$2)*D478+E478)/1000</f>
        <v>2.7649999999999997E-2</v>
      </c>
      <c r="G478" s="178">
        <f t="shared" si="139"/>
        <v>40</v>
      </c>
      <c r="H478" s="178">
        <f t="shared" si="139"/>
        <v>40</v>
      </c>
      <c r="I478" s="2">
        <f>PARAM!$H$39</f>
        <v>0</v>
      </c>
      <c r="J478" s="11">
        <f>PARAM!$G$39</f>
        <v>0</v>
      </c>
      <c r="K478" s="11">
        <f>(VLOOKUP(H478,DEDN!$A$8:$O$902,$K$2)*I478+J478)/1000</f>
        <v>0</v>
      </c>
      <c r="L478" s="11">
        <f>MIN(IF(PARAM!$B$43=3,CHOOSE($L$2,F478,K478),F478+K478-F478*K478),1)</f>
        <v>2.7649999999999997E-2</v>
      </c>
      <c r="M478" s="2">
        <f>PARAM!$I$38</f>
        <v>0</v>
      </c>
      <c r="N478" s="11">
        <f>VLOOKUP(B478,DEDN!$A$8:$O$90,$N$2)*M478</f>
        <v>0</v>
      </c>
      <c r="O478" s="12"/>
      <c r="P478" s="10">
        <f>PARAM!$C$53^-A478</f>
        <v>1</v>
      </c>
      <c r="Q478" s="10">
        <f t="shared" si="142"/>
        <v>0.77833517741598313</v>
      </c>
      <c r="R478" s="10">
        <f t="shared" si="141"/>
        <v>0.77833517741598313</v>
      </c>
      <c r="S478" s="10">
        <f>CHOOSE(PARAM!$B$51,R478,0,0,0)*(A478&lt;PARAM!$B$55)</f>
        <v>0</v>
      </c>
      <c r="T478" s="10">
        <f t="shared" si="136"/>
        <v>1.8165515238215413E-3</v>
      </c>
      <c r="U478" s="10">
        <f>T478*P478*(A478&lt;PARAM!$B$55)</f>
        <v>0</v>
      </c>
      <c r="W478">
        <v>475</v>
      </c>
      <c r="X478" s="178">
        <f t="shared" si="140"/>
        <v>71</v>
      </c>
      <c r="Y478" s="178">
        <f t="shared" si="140"/>
        <v>71</v>
      </c>
      <c r="Z478" s="178">
        <f t="shared" si="140"/>
        <v>40</v>
      </c>
      <c r="AA478" s="178">
        <f t="shared" si="140"/>
        <v>40</v>
      </c>
      <c r="AD478" s="17">
        <f>CALC!E502*(A478&lt;PARAM!$B$55)</f>
        <v>0</v>
      </c>
      <c r="AE478">
        <f>IF(A478&lt;ITER!$C$16,1,PARAM!$C$53^-(RATES!A478-ITER!$C$16))*(A478&lt;PARAM!$B$55)</f>
        <v>0</v>
      </c>
    </row>
    <row r="479" spans="1:31" x14ac:dyDescent="0.2">
      <c r="A479" s="9">
        <v>476</v>
      </c>
      <c r="B479" s="178">
        <f t="shared" si="138"/>
        <v>71</v>
      </c>
      <c r="C479" s="178">
        <f t="shared" si="138"/>
        <v>71</v>
      </c>
      <c r="D479" s="2">
        <f>PARAM!$H$38</f>
        <v>1</v>
      </c>
      <c r="E479" s="11">
        <f>PARAM!$G$38</f>
        <v>0</v>
      </c>
      <c r="F479" s="11">
        <f>(VLOOKUP(C479,DEDN!$A$8:$O$902,$F$2)*D479+E479)/1000</f>
        <v>2.7649999999999997E-2</v>
      </c>
      <c r="G479" s="178">
        <f t="shared" si="139"/>
        <v>40</v>
      </c>
      <c r="H479" s="178">
        <f t="shared" si="139"/>
        <v>40</v>
      </c>
      <c r="I479" s="2">
        <f>PARAM!$H$39</f>
        <v>0</v>
      </c>
      <c r="J479" s="11">
        <f>PARAM!$G$39</f>
        <v>0</v>
      </c>
      <c r="K479" s="11">
        <f>(VLOOKUP(H479,DEDN!$A$8:$O$902,$K$2)*I479+J479)/1000</f>
        <v>0</v>
      </c>
      <c r="L479" s="11">
        <f>MIN(IF(PARAM!$B$43=3,CHOOSE($L$2,F479,K479),F479+K479-F479*K479),1)</f>
        <v>2.7649999999999997E-2</v>
      </c>
      <c r="M479" s="2">
        <f>PARAM!$I$38</f>
        <v>0</v>
      </c>
      <c r="N479" s="11">
        <f>VLOOKUP(B479,DEDN!$A$8:$O$90,$N$2)*M479</f>
        <v>0</v>
      </c>
      <c r="O479" s="12"/>
      <c r="P479" s="10">
        <f>PARAM!$C$53^-A479</f>
        <v>1</v>
      </c>
      <c r="Q479" s="10">
        <f t="shared" si="142"/>
        <v>0.77651862589216158</v>
      </c>
      <c r="R479" s="10">
        <f t="shared" si="141"/>
        <v>0.77651862589216158</v>
      </c>
      <c r="S479" s="10">
        <f>CHOOSE(PARAM!$B$51,R479,0,0,0)*(A479&lt;PARAM!$B$55)</f>
        <v>0</v>
      </c>
      <c r="T479" s="10">
        <f t="shared" si="136"/>
        <v>1.8123118857652498E-3</v>
      </c>
      <c r="U479" s="10">
        <f>T479*P479*(A479&lt;PARAM!$B$55)</f>
        <v>0</v>
      </c>
      <c r="W479">
        <v>476</v>
      </c>
      <c r="X479" s="178">
        <f t="shared" si="140"/>
        <v>71</v>
      </c>
      <c r="Y479" s="178">
        <f t="shared" si="140"/>
        <v>71</v>
      </c>
      <c r="Z479" s="178">
        <f t="shared" si="140"/>
        <v>40</v>
      </c>
      <c r="AA479" s="178">
        <f t="shared" si="140"/>
        <v>40</v>
      </c>
      <c r="AD479" s="17">
        <f>CALC!E503*(A479&lt;PARAM!$B$55)</f>
        <v>0</v>
      </c>
      <c r="AE479">
        <f>IF(A479&lt;ITER!$C$16,1,PARAM!$C$53^-(RATES!A479-ITER!$C$16))*(A479&lt;PARAM!$B$55)</f>
        <v>0</v>
      </c>
    </row>
    <row r="480" spans="1:31" x14ac:dyDescent="0.2">
      <c r="A480" s="9">
        <v>477</v>
      </c>
      <c r="B480" s="178">
        <f t="shared" si="138"/>
        <v>71</v>
      </c>
      <c r="C480" s="178">
        <f t="shared" si="138"/>
        <v>71</v>
      </c>
      <c r="D480" s="2">
        <f>PARAM!$H$38</f>
        <v>1</v>
      </c>
      <c r="E480" s="11">
        <f>PARAM!$G$38</f>
        <v>0</v>
      </c>
      <c r="F480" s="11">
        <f>(VLOOKUP(C480,DEDN!$A$8:$O$902,$F$2)*D480+E480)/1000</f>
        <v>2.7649999999999997E-2</v>
      </c>
      <c r="G480" s="178">
        <f t="shared" si="139"/>
        <v>40</v>
      </c>
      <c r="H480" s="178">
        <f t="shared" si="139"/>
        <v>40</v>
      </c>
      <c r="I480" s="2">
        <f>PARAM!$H$39</f>
        <v>0</v>
      </c>
      <c r="J480" s="11">
        <f>PARAM!$G$39</f>
        <v>0</v>
      </c>
      <c r="K480" s="11">
        <f>(VLOOKUP(H480,DEDN!$A$8:$O$902,$K$2)*I480+J480)/1000</f>
        <v>0</v>
      </c>
      <c r="L480" s="11">
        <f>MIN(IF(PARAM!$B$43=3,CHOOSE($L$2,F480,K480),F480+K480-F480*K480),1)</f>
        <v>2.7649999999999997E-2</v>
      </c>
      <c r="M480" s="2">
        <f>PARAM!$I$38</f>
        <v>0</v>
      </c>
      <c r="N480" s="11">
        <f>VLOOKUP(B480,DEDN!$A$8:$O$90,$N$2)*M480</f>
        <v>0</v>
      </c>
      <c r="O480" s="12"/>
      <c r="P480" s="10">
        <f>PARAM!$C$53^-A480</f>
        <v>1</v>
      </c>
      <c r="Q480" s="10">
        <f t="shared" si="142"/>
        <v>0.77470631400639633</v>
      </c>
      <c r="R480" s="10">
        <f t="shared" si="141"/>
        <v>0.77470631400639633</v>
      </c>
      <c r="S480" s="10">
        <f>CHOOSE(PARAM!$B$51,R480,R480,0,0)*(A480&lt;PARAM!$B$55)</f>
        <v>0</v>
      </c>
      <c r="T480" s="10">
        <f t="shared" si="136"/>
        <v>1.8080821425733307E-3</v>
      </c>
      <c r="U480" s="10">
        <f>T480*P480*(A480&lt;PARAM!$B$55)</f>
        <v>0</v>
      </c>
      <c r="W480">
        <v>477</v>
      </c>
      <c r="X480" s="178">
        <f t="shared" si="140"/>
        <v>71</v>
      </c>
      <c r="Y480" s="178">
        <f t="shared" si="140"/>
        <v>71</v>
      </c>
      <c r="Z480" s="178">
        <f t="shared" si="140"/>
        <v>40</v>
      </c>
      <c r="AA480" s="178">
        <f t="shared" si="140"/>
        <v>40</v>
      </c>
      <c r="AD480" s="17">
        <f>CALC!E504*(A480&lt;PARAM!$B$55)</f>
        <v>0</v>
      </c>
      <c r="AE480">
        <f>IF(A480&lt;ITER!$C$16,1,PARAM!$C$53^-(RATES!A480-ITER!$C$16))*(A480&lt;PARAM!$B$55)</f>
        <v>0</v>
      </c>
    </row>
    <row r="481" spans="1:31" x14ac:dyDescent="0.2">
      <c r="A481" s="9">
        <v>478</v>
      </c>
      <c r="B481" s="178">
        <f t="shared" ref="B481:C500" si="143">B469+1</f>
        <v>71</v>
      </c>
      <c r="C481" s="178">
        <f t="shared" si="143"/>
        <v>71</v>
      </c>
      <c r="D481" s="2">
        <f>PARAM!$H$38</f>
        <v>1</v>
      </c>
      <c r="E481" s="11">
        <f>PARAM!$G$38</f>
        <v>0</v>
      </c>
      <c r="F481" s="11">
        <f>(VLOOKUP(C481,DEDN!$A$8:$O$902,$F$2)*D481+E481)/1000</f>
        <v>2.7649999999999997E-2</v>
      </c>
      <c r="G481" s="178">
        <f t="shared" ref="G481:H500" si="144">G469+1</f>
        <v>40</v>
      </c>
      <c r="H481" s="178">
        <f t="shared" si="144"/>
        <v>40</v>
      </c>
      <c r="I481" s="2">
        <f>PARAM!$H$39</f>
        <v>0</v>
      </c>
      <c r="J481" s="11">
        <f>PARAM!$G$39</f>
        <v>0</v>
      </c>
      <c r="K481" s="11">
        <f>(VLOOKUP(H481,DEDN!$A$8:$O$902,$K$2)*I481+J481)/1000</f>
        <v>0</v>
      </c>
      <c r="L481" s="11">
        <f>MIN(IF(PARAM!$B$43=3,CHOOSE($L$2,F481,K481),F481+K481-F481*K481),1)</f>
        <v>2.7649999999999997E-2</v>
      </c>
      <c r="M481" s="2">
        <f>PARAM!$I$38</f>
        <v>0</v>
      </c>
      <c r="N481" s="11">
        <f>VLOOKUP(B481,DEDN!$A$8:$O$90,$N$2)*M481</f>
        <v>0</v>
      </c>
      <c r="O481" s="12"/>
      <c r="P481" s="10">
        <f>PARAM!$C$53^-A481</f>
        <v>1</v>
      </c>
      <c r="Q481" s="10">
        <f t="shared" si="142"/>
        <v>0.772898231863823</v>
      </c>
      <c r="R481" s="10">
        <f t="shared" si="141"/>
        <v>0.772898231863823</v>
      </c>
      <c r="S481" s="10">
        <f>CHOOSE(PARAM!$B$51,R481,0,0,0)*(A481&lt;PARAM!$B$55)</f>
        <v>0</v>
      </c>
      <c r="T481" s="10">
        <f t="shared" si="136"/>
        <v>1.8038622711521457E-3</v>
      </c>
      <c r="U481" s="10">
        <f>T481*P481*(A481&lt;PARAM!$B$55)</f>
        <v>0</v>
      </c>
      <c r="W481">
        <v>478</v>
      </c>
      <c r="X481" s="178">
        <f t="shared" ref="X481:AA500" si="145">X469+1</f>
        <v>71</v>
      </c>
      <c r="Y481" s="178">
        <f t="shared" si="145"/>
        <v>71</v>
      </c>
      <c r="Z481" s="178">
        <f t="shared" si="145"/>
        <v>40</v>
      </c>
      <c r="AA481" s="178">
        <f t="shared" si="145"/>
        <v>40</v>
      </c>
      <c r="AD481" s="17">
        <f>CALC!E505*(A481&lt;PARAM!$B$55)</f>
        <v>0</v>
      </c>
      <c r="AE481">
        <f>IF(A481&lt;ITER!$C$16,1,PARAM!$C$53^-(RATES!A481-ITER!$C$16))*(A481&lt;PARAM!$B$55)</f>
        <v>0</v>
      </c>
    </row>
    <row r="482" spans="1:31" x14ac:dyDescent="0.2">
      <c r="A482" s="9">
        <v>479</v>
      </c>
      <c r="B482" s="178">
        <f t="shared" si="143"/>
        <v>71</v>
      </c>
      <c r="C482" s="178">
        <f t="shared" si="143"/>
        <v>71</v>
      </c>
      <c r="D482" s="2">
        <f>PARAM!$H$38</f>
        <v>1</v>
      </c>
      <c r="E482" s="11">
        <f>PARAM!$G$38</f>
        <v>0</v>
      </c>
      <c r="F482" s="11">
        <f>(VLOOKUP(C482,DEDN!$A$8:$O$902,$F$2)*D482+E482)/1000</f>
        <v>2.7649999999999997E-2</v>
      </c>
      <c r="G482" s="178">
        <f t="shared" si="144"/>
        <v>40</v>
      </c>
      <c r="H482" s="178">
        <f t="shared" si="144"/>
        <v>40</v>
      </c>
      <c r="I482" s="2">
        <f>PARAM!$H$39</f>
        <v>0</v>
      </c>
      <c r="J482" s="11">
        <f>PARAM!$G$39</f>
        <v>0</v>
      </c>
      <c r="K482" s="11">
        <f>(VLOOKUP(H482,DEDN!$A$8:$O$902,$K$2)*I482+J482)/1000</f>
        <v>0</v>
      </c>
      <c r="L482" s="11">
        <f>MIN(IF(PARAM!$B$43=3,CHOOSE($L$2,F482,K482),F482+K482-F482*K482),1)</f>
        <v>2.7649999999999997E-2</v>
      </c>
      <c r="M482" s="2">
        <f>PARAM!$I$38</f>
        <v>0</v>
      </c>
      <c r="N482" s="11">
        <f>VLOOKUP(B482,DEDN!$A$8:$O$90,$N$2)*M482</f>
        <v>0</v>
      </c>
      <c r="O482" s="12"/>
      <c r="P482" s="10">
        <f>PARAM!$C$53^-A482</f>
        <v>1</v>
      </c>
      <c r="Q482" s="10">
        <f t="shared" si="142"/>
        <v>0.77109436959267086</v>
      </c>
      <c r="R482" s="10">
        <f t="shared" si="141"/>
        <v>0.77109436959267086</v>
      </c>
      <c r="S482" s="10">
        <f>CHOOSE(PARAM!$B$51,R482,0,0,0)*(A482&lt;PARAM!$B$55)</f>
        <v>0</v>
      </c>
      <c r="T482" s="10">
        <f t="shared" si="136"/>
        <v>1.7996522484620137E-3</v>
      </c>
      <c r="U482" s="10">
        <f>T482*P482*(A482&lt;PARAM!$B$55)</f>
        <v>0</v>
      </c>
      <c r="W482">
        <v>479</v>
      </c>
      <c r="X482" s="178">
        <f t="shared" si="145"/>
        <v>71</v>
      </c>
      <c r="Y482" s="178">
        <f t="shared" si="145"/>
        <v>71</v>
      </c>
      <c r="Z482" s="178">
        <f t="shared" si="145"/>
        <v>40</v>
      </c>
      <c r="AA482" s="178">
        <f t="shared" si="145"/>
        <v>40</v>
      </c>
      <c r="AD482" s="17">
        <f>CALC!E506*(A482&lt;PARAM!$B$55)</f>
        <v>0</v>
      </c>
      <c r="AE482">
        <f>IF(A482&lt;ITER!$C$16,1,PARAM!$C$53^-(RATES!A482-ITER!$C$16))*(A482&lt;PARAM!$B$55)</f>
        <v>0</v>
      </c>
    </row>
    <row r="483" spans="1:31" x14ac:dyDescent="0.2">
      <c r="A483" s="9">
        <v>480</v>
      </c>
      <c r="B483" s="178">
        <f t="shared" si="143"/>
        <v>71</v>
      </c>
      <c r="C483" s="178">
        <f t="shared" si="143"/>
        <v>71</v>
      </c>
      <c r="D483" s="2">
        <f>PARAM!$H$38</f>
        <v>1</v>
      </c>
      <c r="E483" s="11">
        <f>PARAM!$G$38</f>
        <v>0</v>
      </c>
      <c r="F483" s="11">
        <f>(VLOOKUP(C483,DEDN!$A$8:$O$902,$F$2)*D483+E483)/1000</f>
        <v>2.7649999999999997E-2</v>
      </c>
      <c r="G483" s="178">
        <f t="shared" si="144"/>
        <v>40</v>
      </c>
      <c r="H483" s="178">
        <f t="shared" si="144"/>
        <v>40</v>
      </c>
      <c r="I483" s="2">
        <f>PARAM!$H$39</f>
        <v>0</v>
      </c>
      <c r="J483" s="11">
        <f>PARAM!$G$39</f>
        <v>0</v>
      </c>
      <c r="K483" s="11">
        <f>(VLOOKUP(H483,DEDN!$A$8:$O$902,$K$2)*I483+J483)/1000</f>
        <v>0</v>
      </c>
      <c r="L483" s="11">
        <f>MIN(IF(PARAM!$B$43=3,CHOOSE($L$2,F483,K483),F483+K483-F483*K483),1)</f>
        <v>2.7649999999999997E-2</v>
      </c>
      <c r="M483" s="2">
        <f>PARAM!$I$38</f>
        <v>0</v>
      </c>
      <c r="N483" s="11">
        <f>VLOOKUP(B483,DEDN!$A$8:$O$90,$N$2)*M483</f>
        <v>0</v>
      </c>
      <c r="O483" s="12"/>
      <c r="P483" s="10">
        <f>PARAM!$C$53^-A483</f>
        <v>1</v>
      </c>
      <c r="Q483" s="10">
        <f t="shared" si="142"/>
        <v>0.76929471734420884</v>
      </c>
      <c r="R483" s="10">
        <f t="shared" si="141"/>
        <v>0.76929471734420884</v>
      </c>
      <c r="S483" s="10">
        <f>R483*(A483&lt;PARAM!$B$55)</f>
        <v>0</v>
      </c>
      <c r="T483" s="10">
        <f t="shared" si="136"/>
        <v>1.7954520515170991E-3</v>
      </c>
      <c r="U483" s="10">
        <f>T483*P483*(A483&lt;PARAM!$B$55)</f>
        <v>0</v>
      </c>
      <c r="W483">
        <v>480</v>
      </c>
      <c r="X483" s="178">
        <f t="shared" si="145"/>
        <v>71</v>
      </c>
      <c r="Y483" s="178">
        <f t="shared" si="145"/>
        <v>71</v>
      </c>
      <c r="Z483" s="178">
        <f t="shared" si="145"/>
        <v>40</v>
      </c>
      <c r="AA483" s="178">
        <f t="shared" si="145"/>
        <v>40</v>
      </c>
      <c r="AD483" s="17">
        <f>CALC!E507*(A483&lt;PARAM!$B$55)</f>
        <v>0</v>
      </c>
      <c r="AE483">
        <f>IF(A483&lt;ITER!$C$16,1,PARAM!$C$53^-(RATES!A483-ITER!$C$16))*(A483&lt;PARAM!$B$55)</f>
        <v>0</v>
      </c>
    </row>
    <row r="484" spans="1:31" x14ac:dyDescent="0.2">
      <c r="A484" s="9">
        <v>481</v>
      </c>
      <c r="B484" s="178">
        <f t="shared" si="143"/>
        <v>71</v>
      </c>
      <c r="C484" s="178">
        <f t="shared" si="143"/>
        <v>71</v>
      </c>
      <c r="D484" s="2">
        <f>PARAM!$H$38</f>
        <v>1</v>
      </c>
      <c r="E484" s="11">
        <f>PARAM!$G$38</f>
        <v>0</v>
      </c>
      <c r="F484" s="11">
        <f>(VLOOKUP(C484,DEDN!$A$8:$O$902,$F$2)*D484+E484)/1000</f>
        <v>2.7649999999999997E-2</v>
      </c>
      <c r="G484" s="178">
        <f t="shared" si="144"/>
        <v>40</v>
      </c>
      <c r="H484" s="178">
        <f t="shared" si="144"/>
        <v>40</v>
      </c>
      <c r="I484" s="2">
        <f>PARAM!$H$39</f>
        <v>0</v>
      </c>
      <c r="J484" s="11">
        <f>PARAM!$G$39</f>
        <v>0</v>
      </c>
      <c r="K484" s="11">
        <f>(VLOOKUP(H484,DEDN!$A$8:$O$902,$K$2)*I484+J484)/1000</f>
        <v>0</v>
      </c>
      <c r="L484" s="11">
        <f>MIN(IF(PARAM!$B$43=3,CHOOSE($L$2,F484,K484),F484+K484-F484*K484),1)</f>
        <v>2.7649999999999997E-2</v>
      </c>
      <c r="M484" s="2">
        <f>PARAM!$I$38</f>
        <v>0</v>
      </c>
      <c r="N484" s="11">
        <f>VLOOKUP(B484,DEDN!$A$8:$O$90,$N$2)*M484</f>
        <v>0</v>
      </c>
      <c r="O484" s="12"/>
      <c r="P484" s="10">
        <f>PARAM!$C$53^-A484</f>
        <v>1</v>
      </c>
      <c r="Q484" s="10">
        <f t="shared" si="142"/>
        <v>0.76749926529269175</v>
      </c>
      <c r="R484" s="10">
        <f t="shared" ref="R484:R499" si="146">P484*Q484</f>
        <v>0.76749926529269175</v>
      </c>
      <c r="S484" s="10">
        <f>CHOOSE(PARAM!$B$51,R484,0,0,0)*(A484&lt;PARAM!$B$55)</f>
        <v>0</v>
      </c>
      <c r="T484" s="10">
        <f t="shared" si="136"/>
        <v>1.7912616573851903E-3</v>
      </c>
      <c r="U484" s="10">
        <f>T484*P484*(A484&lt;PARAM!$B$55)</f>
        <v>0</v>
      </c>
      <c r="W484">
        <v>481</v>
      </c>
      <c r="X484" s="178">
        <f t="shared" si="145"/>
        <v>71</v>
      </c>
      <c r="Y484" s="178">
        <f t="shared" si="145"/>
        <v>71</v>
      </c>
      <c r="Z484" s="178">
        <f t="shared" si="145"/>
        <v>40</v>
      </c>
      <c r="AA484" s="178">
        <f t="shared" si="145"/>
        <v>40</v>
      </c>
      <c r="AD484" s="17">
        <f>CALC!E508*(A484&lt;PARAM!$B$55)</f>
        <v>0</v>
      </c>
      <c r="AE484">
        <f>IF(A484&lt;ITER!$C$16,1,PARAM!$C$53^-(RATES!A484-ITER!$C$16))*(A484&lt;PARAM!$B$55)</f>
        <v>0</v>
      </c>
    </row>
    <row r="485" spans="1:31" x14ac:dyDescent="0.2">
      <c r="A485" s="9">
        <v>482</v>
      </c>
      <c r="B485" s="178">
        <f t="shared" si="143"/>
        <v>71</v>
      </c>
      <c r="C485" s="178">
        <f t="shared" si="143"/>
        <v>71</v>
      </c>
      <c r="D485" s="2">
        <f>PARAM!$H$38</f>
        <v>1</v>
      </c>
      <c r="E485" s="11">
        <f>PARAM!$G$38</f>
        <v>0</v>
      </c>
      <c r="F485" s="11">
        <f>(VLOOKUP(C485,DEDN!$A$8:$O$902,$F$2)*D485+E485)/1000</f>
        <v>2.7649999999999997E-2</v>
      </c>
      <c r="G485" s="178">
        <f t="shared" si="144"/>
        <v>40</v>
      </c>
      <c r="H485" s="178">
        <f t="shared" si="144"/>
        <v>40</v>
      </c>
      <c r="I485" s="2">
        <f>PARAM!$H$39</f>
        <v>0</v>
      </c>
      <c r="J485" s="11">
        <f>PARAM!$G$39</f>
        <v>0</v>
      </c>
      <c r="K485" s="11">
        <f>(VLOOKUP(H485,DEDN!$A$8:$O$902,$K$2)*I485+J485)/1000</f>
        <v>0</v>
      </c>
      <c r="L485" s="11">
        <f>MIN(IF(PARAM!$B$43=3,CHOOSE($L$2,F485,K485),F485+K485-F485*K485),1)</f>
        <v>2.7649999999999997E-2</v>
      </c>
      <c r="M485" s="2">
        <f>PARAM!$I$38</f>
        <v>0</v>
      </c>
      <c r="N485" s="11">
        <f>VLOOKUP(B485,DEDN!$A$8:$O$90,$N$2)*M485</f>
        <v>0</v>
      </c>
      <c r="O485" s="12"/>
      <c r="P485" s="10">
        <f>PARAM!$C$53^-A485</f>
        <v>1</v>
      </c>
      <c r="Q485" s="10">
        <f t="shared" ref="Q485:Q500" si="147">Q484*(1-L484)^(1/12)</f>
        <v>0.76570800363530656</v>
      </c>
      <c r="R485" s="10">
        <f t="shared" si="146"/>
        <v>0.76570800363530656</v>
      </c>
      <c r="S485" s="10">
        <f>CHOOSE(PARAM!$B$51,R485,0,0,0)*(A485&lt;PARAM!$B$55)</f>
        <v>0</v>
      </c>
      <c r="T485" s="10">
        <f t="shared" si="136"/>
        <v>1.7870810431874773E-3</v>
      </c>
      <c r="U485" s="10">
        <f>T485*P485*(A485&lt;PARAM!$B$55)</f>
        <v>0</v>
      </c>
      <c r="W485">
        <v>482</v>
      </c>
      <c r="X485" s="178">
        <f t="shared" si="145"/>
        <v>71</v>
      </c>
      <c r="Y485" s="178">
        <f t="shared" si="145"/>
        <v>71</v>
      </c>
      <c r="Z485" s="178">
        <f t="shared" si="145"/>
        <v>40</v>
      </c>
      <c r="AA485" s="178">
        <f t="shared" si="145"/>
        <v>40</v>
      </c>
      <c r="AD485" s="17">
        <f>CALC!E509*(A485&lt;PARAM!$B$55)</f>
        <v>0</v>
      </c>
      <c r="AE485">
        <f>IF(A485&lt;ITER!$C$16,1,PARAM!$C$53^-(RATES!A485-ITER!$C$16))*(A485&lt;PARAM!$B$55)</f>
        <v>0</v>
      </c>
    </row>
    <row r="486" spans="1:31" x14ac:dyDescent="0.2">
      <c r="A486" s="9">
        <v>483</v>
      </c>
      <c r="B486" s="178">
        <f t="shared" si="143"/>
        <v>71</v>
      </c>
      <c r="C486" s="178">
        <f t="shared" si="143"/>
        <v>71</v>
      </c>
      <c r="D486" s="2">
        <f>PARAM!$H$38</f>
        <v>1</v>
      </c>
      <c r="E486" s="11">
        <f>PARAM!$G$38</f>
        <v>0</v>
      </c>
      <c r="F486" s="11">
        <f>(VLOOKUP(C486,DEDN!$A$8:$O$902,$F$2)*D486+E486)/1000</f>
        <v>2.7649999999999997E-2</v>
      </c>
      <c r="G486" s="178">
        <f t="shared" si="144"/>
        <v>40</v>
      </c>
      <c r="H486" s="178">
        <f t="shared" si="144"/>
        <v>40</v>
      </c>
      <c r="I486" s="2">
        <f>PARAM!$H$39</f>
        <v>0</v>
      </c>
      <c r="J486" s="11">
        <f>PARAM!$G$39</f>
        <v>0</v>
      </c>
      <c r="K486" s="11">
        <f>(VLOOKUP(H486,DEDN!$A$8:$O$902,$K$2)*I486+J486)/1000</f>
        <v>0</v>
      </c>
      <c r="L486" s="11">
        <f>MIN(IF(PARAM!$B$43=3,CHOOSE($L$2,F486,K486),F486+K486-F486*K486),1)</f>
        <v>2.7649999999999997E-2</v>
      </c>
      <c r="M486" s="2">
        <f>PARAM!$I$38</f>
        <v>0</v>
      </c>
      <c r="N486" s="11">
        <f>VLOOKUP(B486,DEDN!$A$8:$O$90,$N$2)*M486</f>
        <v>0</v>
      </c>
      <c r="O486" s="12"/>
      <c r="P486" s="10">
        <f>PARAM!$C$53^-A486</f>
        <v>1</v>
      </c>
      <c r="Q486" s="10">
        <f t="shared" si="147"/>
        <v>0.76392092259211908</v>
      </c>
      <c r="R486" s="10">
        <f t="shared" si="146"/>
        <v>0.76392092259211908</v>
      </c>
      <c r="S486" s="10">
        <f>CHOOSE(PARAM!$B$51,R486,R486,0,0)*(A486&lt;PARAM!$B$55)</f>
        <v>0</v>
      </c>
      <c r="T486" s="10">
        <f t="shared" si="136"/>
        <v>1.7829101860986629E-3</v>
      </c>
      <c r="U486" s="10">
        <f>T486*P486*(A486&lt;PARAM!$B$55)</f>
        <v>0</v>
      </c>
      <c r="W486">
        <v>483</v>
      </c>
      <c r="X486" s="178">
        <f t="shared" si="145"/>
        <v>71</v>
      </c>
      <c r="Y486" s="178">
        <f t="shared" si="145"/>
        <v>71</v>
      </c>
      <c r="Z486" s="178">
        <f t="shared" si="145"/>
        <v>40</v>
      </c>
      <c r="AA486" s="178">
        <f t="shared" si="145"/>
        <v>40</v>
      </c>
      <c r="AD486" s="17">
        <f>CALC!E510*(A486&lt;PARAM!$B$55)</f>
        <v>0</v>
      </c>
      <c r="AE486">
        <f>IF(A486&lt;ITER!$C$16,1,PARAM!$C$53^-(RATES!A486-ITER!$C$16))*(A486&lt;PARAM!$B$55)</f>
        <v>0</v>
      </c>
    </row>
    <row r="487" spans="1:31" x14ac:dyDescent="0.2">
      <c r="A487" s="9">
        <v>484</v>
      </c>
      <c r="B487" s="178">
        <f t="shared" si="143"/>
        <v>71</v>
      </c>
      <c r="C487" s="178">
        <f t="shared" si="143"/>
        <v>71</v>
      </c>
      <c r="D487" s="2">
        <f>PARAM!$H$38</f>
        <v>1</v>
      </c>
      <c r="E487" s="11">
        <f>PARAM!$G$38</f>
        <v>0</v>
      </c>
      <c r="F487" s="11">
        <f>(VLOOKUP(C487,DEDN!$A$8:$O$902,$F$2)*D487+E487)/1000</f>
        <v>2.7649999999999997E-2</v>
      </c>
      <c r="G487" s="178">
        <f t="shared" si="144"/>
        <v>40</v>
      </c>
      <c r="H487" s="178">
        <f t="shared" si="144"/>
        <v>40</v>
      </c>
      <c r="I487" s="2">
        <f>PARAM!$H$39</f>
        <v>0</v>
      </c>
      <c r="J487" s="11">
        <f>PARAM!$G$39</f>
        <v>0</v>
      </c>
      <c r="K487" s="11">
        <f>(VLOOKUP(H487,DEDN!$A$8:$O$902,$K$2)*I487+J487)/1000</f>
        <v>0</v>
      </c>
      <c r="L487" s="11">
        <f>MIN(IF(PARAM!$B$43=3,CHOOSE($L$2,F487,K487),F487+K487-F487*K487),1)</f>
        <v>2.7649999999999997E-2</v>
      </c>
      <c r="M487" s="2">
        <f>PARAM!$I$38</f>
        <v>0</v>
      </c>
      <c r="N487" s="11">
        <f>VLOOKUP(B487,DEDN!$A$8:$O$90,$N$2)*M487</f>
        <v>0</v>
      </c>
      <c r="O487" s="12"/>
      <c r="P487" s="10">
        <f>PARAM!$C$53^-A487</f>
        <v>1</v>
      </c>
      <c r="Q487" s="10">
        <f t="shared" si="147"/>
        <v>0.76213801240602042</v>
      </c>
      <c r="R487" s="10">
        <f t="shared" si="146"/>
        <v>0.76213801240602042</v>
      </c>
      <c r="S487" s="10">
        <f>CHOOSE(PARAM!$B$51,R487,0,0,0)*(A487&lt;PARAM!$B$55)</f>
        <v>0</v>
      </c>
      <c r="T487" s="10">
        <f t="shared" si="136"/>
        <v>1.7787490633466296E-3</v>
      </c>
      <c r="U487" s="10">
        <f>T487*P487*(A487&lt;PARAM!$B$55)</f>
        <v>0</v>
      </c>
      <c r="W487">
        <v>484</v>
      </c>
      <c r="X487" s="178">
        <f t="shared" si="145"/>
        <v>71</v>
      </c>
      <c r="Y487" s="178">
        <f t="shared" si="145"/>
        <v>71</v>
      </c>
      <c r="Z487" s="178">
        <f t="shared" si="145"/>
        <v>40</v>
      </c>
      <c r="AA487" s="178">
        <f t="shared" si="145"/>
        <v>40</v>
      </c>
      <c r="AD487" s="17">
        <f>CALC!E511*(A487&lt;PARAM!$B$55)</f>
        <v>0</v>
      </c>
      <c r="AE487">
        <f>IF(A487&lt;ITER!$C$16,1,PARAM!$C$53^-(RATES!A487-ITER!$C$16))*(A487&lt;PARAM!$B$55)</f>
        <v>0</v>
      </c>
    </row>
    <row r="488" spans="1:31" x14ac:dyDescent="0.2">
      <c r="A488" s="9">
        <v>485</v>
      </c>
      <c r="B488" s="178">
        <f t="shared" si="143"/>
        <v>71</v>
      </c>
      <c r="C488" s="178">
        <f t="shared" si="143"/>
        <v>71</v>
      </c>
      <c r="D488" s="2">
        <f>PARAM!$H$38</f>
        <v>1</v>
      </c>
      <c r="E488" s="11">
        <f>PARAM!$G$38</f>
        <v>0</v>
      </c>
      <c r="F488" s="11">
        <f>(VLOOKUP(C488,DEDN!$A$8:$O$902,$F$2)*D488+E488)/1000</f>
        <v>2.7649999999999997E-2</v>
      </c>
      <c r="G488" s="178">
        <f t="shared" si="144"/>
        <v>40</v>
      </c>
      <c r="H488" s="178">
        <f t="shared" si="144"/>
        <v>40</v>
      </c>
      <c r="I488" s="2">
        <f>PARAM!$H$39</f>
        <v>0</v>
      </c>
      <c r="J488" s="11">
        <f>PARAM!$G$39</f>
        <v>0</v>
      </c>
      <c r="K488" s="11">
        <f>(VLOOKUP(H488,DEDN!$A$8:$O$902,$K$2)*I488+J488)/1000</f>
        <v>0</v>
      </c>
      <c r="L488" s="11">
        <f>MIN(IF(PARAM!$B$43=3,CHOOSE($L$2,F488,K488),F488+K488-F488*K488),1)</f>
        <v>2.7649999999999997E-2</v>
      </c>
      <c r="M488" s="2">
        <f>PARAM!$I$38</f>
        <v>0</v>
      </c>
      <c r="N488" s="11">
        <f>VLOOKUP(B488,DEDN!$A$8:$O$90,$N$2)*M488</f>
        <v>0</v>
      </c>
      <c r="O488" s="12"/>
      <c r="P488" s="10">
        <f>PARAM!$C$53^-A488</f>
        <v>1</v>
      </c>
      <c r="Q488" s="10">
        <f t="shared" si="147"/>
        <v>0.76035926334267379</v>
      </c>
      <c r="R488" s="10">
        <f t="shared" si="146"/>
        <v>0.76035926334267379</v>
      </c>
      <c r="S488" s="10">
        <f>CHOOSE(PARAM!$B$51,R488,0,0,0)*(A488&lt;PARAM!$B$55)</f>
        <v>0</v>
      </c>
      <c r="T488" s="10">
        <f t="shared" si="136"/>
        <v>1.7745976522126616E-3</v>
      </c>
      <c r="U488" s="10">
        <f>T488*P488*(A488&lt;PARAM!$B$55)</f>
        <v>0</v>
      </c>
      <c r="W488">
        <v>485</v>
      </c>
      <c r="X488" s="178">
        <f t="shared" si="145"/>
        <v>71</v>
      </c>
      <c r="Y488" s="178">
        <f t="shared" si="145"/>
        <v>71</v>
      </c>
      <c r="Z488" s="178">
        <f t="shared" si="145"/>
        <v>40</v>
      </c>
      <c r="AA488" s="178">
        <f t="shared" si="145"/>
        <v>40</v>
      </c>
      <c r="AD488" s="17">
        <f>CALC!E512*(A488&lt;PARAM!$B$55)</f>
        <v>0</v>
      </c>
      <c r="AE488">
        <f>IF(A488&lt;ITER!$C$16,1,PARAM!$C$53^-(RATES!A488-ITER!$C$16))*(A488&lt;PARAM!$B$55)</f>
        <v>0</v>
      </c>
    </row>
    <row r="489" spans="1:31" x14ac:dyDescent="0.2">
      <c r="A489" s="9">
        <v>486</v>
      </c>
      <c r="B489" s="178">
        <f t="shared" si="143"/>
        <v>72</v>
      </c>
      <c r="C489" s="178">
        <f t="shared" si="143"/>
        <v>72</v>
      </c>
      <c r="D489" s="2">
        <f>PARAM!$H$38</f>
        <v>1</v>
      </c>
      <c r="E489" s="11">
        <f>PARAM!$G$38</f>
        <v>0</v>
      </c>
      <c r="F489" s="11">
        <f>(VLOOKUP(C489,DEDN!$A$8:$O$902,$F$2)*D489+E489)/1000</f>
        <v>3.049E-2</v>
      </c>
      <c r="G489" s="178">
        <f t="shared" si="144"/>
        <v>41</v>
      </c>
      <c r="H489" s="178">
        <f t="shared" si="144"/>
        <v>41</v>
      </c>
      <c r="I489" s="2">
        <f>PARAM!$H$39</f>
        <v>0</v>
      </c>
      <c r="J489" s="11">
        <f>PARAM!$G$39</f>
        <v>0</v>
      </c>
      <c r="K489" s="11">
        <f>(VLOOKUP(H489,DEDN!$A$8:$O$902,$K$2)*I489+J489)/1000</f>
        <v>0</v>
      </c>
      <c r="L489" s="11">
        <f>MIN(IF(PARAM!$B$43=3,CHOOSE($L$2,F489,K489),F489+K489-F489*K489),1)</f>
        <v>3.049E-2</v>
      </c>
      <c r="M489" s="2">
        <f>PARAM!$I$38</f>
        <v>0</v>
      </c>
      <c r="N489" s="11">
        <f>VLOOKUP(B489,DEDN!$A$8:$O$90,$N$2)*M489</f>
        <v>0</v>
      </c>
      <c r="O489" s="12"/>
      <c r="P489" s="10">
        <f>PARAM!$C$53^-A489</f>
        <v>1</v>
      </c>
      <c r="Q489" s="10">
        <f t="shared" si="147"/>
        <v>0.75858466569046112</v>
      </c>
      <c r="R489" s="10">
        <f t="shared" si="146"/>
        <v>0.75858466569046112</v>
      </c>
      <c r="S489" s="10">
        <f>CHOOSE(PARAM!$B$51,R489,R489,R489,0)*(A489&lt;PARAM!$B$55)</f>
        <v>0</v>
      </c>
      <c r="T489" s="10">
        <f t="shared" si="136"/>
        <v>1.9549089762527228E-3</v>
      </c>
      <c r="U489" s="10">
        <f>T489*P489*(A489&lt;PARAM!$B$55)</f>
        <v>0</v>
      </c>
      <c r="W489">
        <v>486</v>
      </c>
      <c r="X489" s="178">
        <f t="shared" si="145"/>
        <v>72</v>
      </c>
      <c r="Y489" s="178">
        <f t="shared" si="145"/>
        <v>72</v>
      </c>
      <c r="Z489" s="178">
        <f t="shared" si="145"/>
        <v>41</v>
      </c>
      <c r="AA489" s="178">
        <f t="shared" si="145"/>
        <v>41</v>
      </c>
      <c r="AD489" s="17">
        <f>CALC!E513*(A489&lt;PARAM!$B$55)</f>
        <v>0</v>
      </c>
      <c r="AE489">
        <f>IF(A489&lt;ITER!$C$16,1,PARAM!$C$53^-(RATES!A489-ITER!$C$16))*(A489&lt;PARAM!$B$55)</f>
        <v>0</v>
      </c>
    </row>
    <row r="490" spans="1:31" x14ac:dyDescent="0.2">
      <c r="A490" s="9">
        <v>487</v>
      </c>
      <c r="B490" s="178">
        <f t="shared" si="143"/>
        <v>72</v>
      </c>
      <c r="C490" s="178">
        <f t="shared" si="143"/>
        <v>72</v>
      </c>
      <c r="D490" s="2">
        <f>PARAM!$H$38</f>
        <v>1</v>
      </c>
      <c r="E490" s="11">
        <f>PARAM!$G$38</f>
        <v>0</v>
      </c>
      <c r="F490" s="11">
        <f>(VLOOKUP(C490,DEDN!$A$8:$O$902,$F$2)*D490+E490)/1000</f>
        <v>3.049E-2</v>
      </c>
      <c r="G490" s="178">
        <f t="shared" si="144"/>
        <v>41</v>
      </c>
      <c r="H490" s="178">
        <f t="shared" si="144"/>
        <v>41</v>
      </c>
      <c r="I490" s="2">
        <f>PARAM!$H$39</f>
        <v>0</v>
      </c>
      <c r="J490" s="11">
        <f>PARAM!$G$39</f>
        <v>0</v>
      </c>
      <c r="K490" s="11">
        <f>(VLOOKUP(H490,DEDN!$A$8:$O$902,$K$2)*I490+J490)/1000</f>
        <v>0</v>
      </c>
      <c r="L490" s="11">
        <f>MIN(IF(PARAM!$B$43=3,CHOOSE($L$2,F490,K490),F490+K490-F490*K490),1)</f>
        <v>3.049E-2</v>
      </c>
      <c r="M490" s="2">
        <f>PARAM!$I$38</f>
        <v>0</v>
      </c>
      <c r="N490" s="11">
        <f>VLOOKUP(B490,DEDN!$A$8:$O$90,$N$2)*M490</f>
        <v>0</v>
      </c>
      <c r="O490" s="12"/>
      <c r="P490" s="10">
        <f>PARAM!$C$53^-A490</f>
        <v>1</v>
      </c>
      <c r="Q490" s="10">
        <f t="shared" si="147"/>
        <v>0.7566297567142084</v>
      </c>
      <c r="R490" s="10">
        <f t="shared" si="146"/>
        <v>0.7566297567142084</v>
      </c>
      <c r="S490" s="10">
        <f>CHOOSE(PARAM!$B$51,R490,0,0,0)*(A490&lt;PARAM!$B$55)</f>
        <v>0</v>
      </c>
      <c r="T490" s="10">
        <f t="shared" si="136"/>
        <v>1.9498710822927201E-3</v>
      </c>
      <c r="U490" s="10">
        <f>T490*P490*(A490&lt;PARAM!$B$55)</f>
        <v>0</v>
      </c>
      <c r="W490">
        <v>487</v>
      </c>
      <c r="X490" s="178">
        <f t="shared" si="145"/>
        <v>72</v>
      </c>
      <c r="Y490" s="178">
        <f t="shared" si="145"/>
        <v>72</v>
      </c>
      <c r="Z490" s="178">
        <f t="shared" si="145"/>
        <v>41</v>
      </c>
      <c r="AA490" s="178">
        <f t="shared" si="145"/>
        <v>41</v>
      </c>
      <c r="AD490" s="17">
        <f>CALC!E514*(A490&lt;PARAM!$B$55)</f>
        <v>0</v>
      </c>
      <c r="AE490">
        <f>IF(A490&lt;ITER!$C$16,1,PARAM!$C$53^-(RATES!A490-ITER!$C$16))*(A490&lt;PARAM!$B$55)</f>
        <v>0</v>
      </c>
    </row>
    <row r="491" spans="1:31" x14ac:dyDescent="0.2">
      <c r="A491" s="9">
        <v>488</v>
      </c>
      <c r="B491" s="178">
        <f t="shared" si="143"/>
        <v>72</v>
      </c>
      <c r="C491" s="178">
        <f t="shared" si="143"/>
        <v>72</v>
      </c>
      <c r="D491" s="2">
        <f>PARAM!$H$38</f>
        <v>1</v>
      </c>
      <c r="E491" s="11">
        <f>PARAM!$G$38</f>
        <v>0</v>
      </c>
      <c r="F491" s="11">
        <f>(VLOOKUP(C491,DEDN!$A$8:$O$902,$F$2)*D491+E491)/1000</f>
        <v>3.049E-2</v>
      </c>
      <c r="G491" s="178">
        <f t="shared" si="144"/>
        <v>41</v>
      </c>
      <c r="H491" s="178">
        <f t="shared" si="144"/>
        <v>41</v>
      </c>
      <c r="I491" s="2">
        <f>PARAM!$H$39</f>
        <v>0</v>
      </c>
      <c r="J491" s="11">
        <f>PARAM!$G$39</f>
        <v>0</v>
      </c>
      <c r="K491" s="11">
        <f>(VLOOKUP(H491,DEDN!$A$8:$O$902,$K$2)*I491+J491)/1000</f>
        <v>0</v>
      </c>
      <c r="L491" s="11">
        <f>MIN(IF(PARAM!$B$43=3,CHOOSE($L$2,F491,K491),F491+K491-F491*K491),1)</f>
        <v>3.049E-2</v>
      </c>
      <c r="M491" s="2">
        <f>PARAM!$I$38</f>
        <v>0</v>
      </c>
      <c r="N491" s="11">
        <f>VLOOKUP(B491,DEDN!$A$8:$O$90,$N$2)*M491</f>
        <v>0</v>
      </c>
      <c r="O491" s="12"/>
      <c r="P491" s="10">
        <f>PARAM!$C$53^-A491</f>
        <v>1</v>
      </c>
      <c r="Q491" s="10">
        <f t="shared" si="147"/>
        <v>0.75467988563191568</v>
      </c>
      <c r="R491" s="10">
        <f t="shared" si="146"/>
        <v>0.75467988563191568</v>
      </c>
      <c r="S491" s="10">
        <f>CHOOSE(PARAM!$B$51,R491,0,0,0)*(A491&lt;PARAM!$B$55)</f>
        <v>0</v>
      </c>
      <c r="T491" s="10">
        <f t="shared" si="136"/>
        <v>1.9448461712264775E-3</v>
      </c>
      <c r="U491" s="10">
        <f>T491*P491*(A491&lt;PARAM!$B$55)</f>
        <v>0</v>
      </c>
      <c r="W491">
        <v>488</v>
      </c>
      <c r="X491" s="178">
        <f t="shared" si="145"/>
        <v>72</v>
      </c>
      <c r="Y491" s="178">
        <f t="shared" si="145"/>
        <v>72</v>
      </c>
      <c r="Z491" s="178">
        <f t="shared" si="145"/>
        <v>41</v>
      </c>
      <c r="AA491" s="178">
        <f t="shared" si="145"/>
        <v>41</v>
      </c>
      <c r="AD491" s="17">
        <f>CALC!E515*(A491&lt;PARAM!$B$55)</f>
        <v>0</v>
      </c>
      <c r="AE491">
        <f>IF(A491&lt;ITER!$C$16,1,PARAM!$C$53^-(RATES!A491-ITER!$C$16))*(A491&lt;PARAM!$B$55)</f>
        <v>0</v>
      </c>
    </row>
    <row r="492" spans="1:31" x14ac:dyDescent="0.2">
      <c r="A492" s="9">
        <v>489</v>
      </c>
      <c r="B492" s="178">
        <f t="shared" si="143"/>
        <v>72</v>
      </c>
      <c r="C492" s="178">
        <f t="shared" si="143"/>
        <v>72</v>
      </c>
      <c r="D492" s="2">
        <f>PARAM!$H$38</f>
        <v>1</v>
      </c>
      <c r="E492" s="11">
        <f>PARAM!$G$38</f>
        <v>0</v>
      </c>
      <c r="F492" s="11">
        <f>(VLOOKUP(C492,DEDN!$A$8:$O$902,$F$2)*D492+E492)/1000</f>
        <v>3.049E-2</v>
      </c>
      <c r="G492" s="178">
        <f t="shared" si="144"/>
        <v>41</v>
      </c>
      <c r="H492" s="178">
        <f t="shared" si="144"/>
        <v>41</v>
      </c>
      <c r="I492" s="2">
        <f>PARAM!$H$39</f>
        <v>0</v>
      </c>
      <c r="J492" s="11">
        <f>PARAM!$G$39</f>
        <v>0</v>
      </c>
      <c r="K492" s="11">
        <f>(VLOOKUP(H492,DEDN!$A$8:$O$902,$K$2)*I492+J492)/1000</f>
        <v>0</v>
      </c>
      <c r="L492" s="11">
        <f>MIN(IF(PARAM!$B$43=3,CHOOSE($L$2,F492,K492),F492+K492-F492*K492),1)</f>
        <v>3.049E-2</v>
      </c>
      <c r="M492" s="2">
        <f>PARAM!$I$38</f>
        <v>0</v>
      </c>
      <c r="N492" s="11">
        <f>VLOOKUP(B492,DEDN!$A$8:$O$90,$N$2)*M492</f>
        <v>0</v>
      </c>
      <c r="O492" s="12"/>
      <c r="P492" s="10">
        <f>PARAM!$C$53^-A492</f>
        <v>1</v>
      </c>
      <c r="Q492" s="10">
        <f t="shared" si="147"/>
        <v>0.7527350394606892</v>
      </c>
      <c r="R492" s="10">
        <f t="shared" si="146"/>
        <v>0.7527350394606892</v>
      </c>
      <c r="S492" s="10">
        <f>CHOOSE(PARAM!$B$51,R492,R492,0,0)*(A492&lt;PARAM!$B$55)</f>
        <v>0</v>
      </c>
      <c r="T492" s="10">
        <f t="shared" si="136"/>
        <v>1.939834209596536E-3</v>
      </c>
      <c r="U492" s="10">
        <f>T492*P492*(A492&lt;PARAM!$B$55)</f>
        <v>0</v>
      </c>
      <c r="W492">
        <v>489</v>
      </c>
      <c r="X492" s="178">
        <f t="shared" si="145"/>
        <v>72</v>
      </c>
      <c r="Y492" s="178">
        <f t="shared" si="145"/>
        <v>72</v>
      </c>
      <c r="Z492" s="178">
        <f t="shared" si="145"/>
        <v>41</v>
      </c>
      <c r="AA492" s="178">
        <f t="shared" si="145"/>
        <v>41</v>
      </c>
      <c r="AD492" s="17">
        <f>CALC!E516*(A492&lt;PARAM!$B$55)</f>
        <v>0</v>
      </c>
      <c r="AE492">
        <f>IF(A492&lt;ITER!$C$16,1,PARAM!$C$53^-(RATES!A492-ITER!$C$16))*(A492&lt;PARAM!$B$55)</f>
        <v>0</v>
      </c>
    </row>
    <row r="493" spans="1:31" x14ac:dyDescent="0.2">
      <c r="A493" s="9">
        <v>490</v>
      </c>
      <c r="B493" s="178">
        <f t="shared" si="143"/>
        <v>72</v>
      </c>
      <c r="C493" s="178">
        <f t="shared" si="143"/>
        <v>72</v>
      </c>
      <c r="D493" s="2">
        <f>PARAM!$H$38</f>
        <v>1</v>
      </c>
      <c r="E493" s="11">
        <f>PARAM!$G$38</f>
        <v>0</v>
      </c>
      <c r="F493" s="11">
        <f>(VLOOKUP(C493,DEDN!$A$8:$O$902,$F$2)*D493+E493)/1000</f>
        <v>3.049E-2</v>
      </c>
      <c r="G493" s="178">
        <f t="shared" si="144"/>
        <v>41</v>
      </c>
      <c r="H493" s="178">
        <f t="shared" si="144"/>
        <v>41</v>
      </c>
      <c r="I493" s="2">
        <f>PARAM!$H$39</f>
        <v>0</v>
      </c>
      <c r="J493" s="11">
        <f>PARAM!$G$39</f>
        <v>0</v>
      </c>
      <c r="K493" s="11">
        <f>(VLOOKUP(H493,DEDN!$A$8:$O$902,$K$2)*I493+J493)/1000</f>
        <v>0</v>
      </c>
      <c r="L493" s="11">
        <f>MIN(IF(PARAM!$B$43=3,CHOOSE($L$2,F493,K493),F493+K493-F493*K493),1)</f>
        <v>3.049E-2</v>
      </c>
      <c r="M493" s="2">
        <f>PARAM!$I$38</f>
        <v>0</v>
      </c>
      <c r="N493" s="11">
        <f>VLOOKUP(B493,DEDN!$A$8:$O$90,$N$2)*M493</f>
        <v>0</v>
      </c>
      <c r="O493" s="12"/>
      <c r="P493" s="10">
        <f>PARAM!$C$53^-A493</f>
        <v>1</v>
      </c>
      <c r="Q493" s="10">
        <f t="shared" si="147"/>
        <v>0.75079520525109267</v>
      </c>
      <c r="R493" s="10">
        <f t="shared" si="146"/>
        <v>0.75079520525109267</v>
      </c>
      <c r="S493" s="10">
        <f>CHOOSE(PARAM!$B$51,R493,0,0,0)*(A493&lt;PARAM!$B$55)</f>
        <v>0</v>
      </c>
      <c r="T493" s="10">
        <f t="shared" si="136"/>
        <v>1.9348351640313677E-3</v>
      </c>
      <c r="U493" s="10">
        <f>T493*P493*(A493&lt;PARAM!$B$55)</f>
        <v>0</v>
      </c>
      <c r="W493">
        <v>490</v>
      </c>
      <c r="X493" s="178">
        <f t="shared" si="145"/>
        <v>72</v>
      </c>
      <c r="Y493" s="178">
        <f t="shared" si="145"/>
        <v>72</v>
      </c>
      <c r="Z493" s="178">
        <f t="shared" si="145"/>
        <v>41</v>
      </c>
      <c r="AA493" s="178">
        <f t="shared" si="145"/>
        <v>41</v>
      </c>
      <c r="AD493" s="17">
        <f>CALC!E517*(A493&lt;PARAM!$B$55)</f>
        <v>0</v>
      </c>
      <c r="AE493">
        <f>IF(A493&lt;ITER!$C$16,1,PARAM!$C$53^-(RATES!A493-ITER!$C$16))*(A493&lt;PARAM!$B$55)</f>
        <v>0</v>
      </c>
    </row>
    <row r="494" spans="1:31" x14ac:dyDescent="0.2">
      <c r="A494" s="9">
        <v>491</v>
      </c>
      <c r="B494" s="178">
        <f t="shared" si="143"/>
        <v>72</v>
      </c>
      <c r="C494" s="178">
        <f t="shared" si="143"/>
        <v>72</v>
      </c>
      <c r="D494" s="2">
        <f>PARAM!$H$38</f>
        <v>1</v>
      </c>
      <c r="E494" s="11">
        <f>PARAM!$G$38</f>
        <v>0</v>
      </c>
      <c r="F494" s="11">
        <f>(VLOOKUP(C494,DEDN!$A$8:$O$902,$F$2)*D494+E494)/1000</f>
        <v>3.049E-2</v>
      </c>
      <c r="G494" s="178">
        <f t="shared" si="144"/>
        <v>41</v>
      </c>
      <c r="H494" s="178">
        <f t="shared" si="144"/>
        <v>41</v>
      </c>
      <c r="I494" s="2">
        <f>PARAM!$H$39</f>
        <v>0</v>
      </c>
      <c r="J494" s="11">
        <f>PARAM!$G$39</f>
        <v>0</v>
      </c>
      <c r="K494" s="11">
        <f>(VLOOKUP(H494,DEDN!$A$8:$O$902,$K$2)*I494+J494)/1000</f>
        <v>0</v>
      </c>
      <c r="L494" s="11">
        <f>MIN(IF(PARAM!$B$43=3,CHOOSE($L$2,F494,K494),F494+K494-F494*K494),1)</f>
        <v>3.049E-2</v>
      </c>
      <c r="M494" s="2">
        <f>PARAM!$I$38</f>
        <v>0</v>
      </c>
      <c r="N494" s="11">
        <f>VLOOKUP(B494,DEDN!$A$8:$O$90,$N$2)*M494</f>
        <v>0</v>
      </c>
      <c r="O494" s="12"/>
      <c r="P494" s="10">
        <f>PARAM!$C$53^-A494</f>
        <v>1</v>
      </c>
      <c r="Q494" s="10">
        <f t="shared" si="147"/>
        <v>0.7488603700870613</v>
      </c>
      <c r="R494" s="10">
        <f t="shared" si="146"/>
        <v>0.7488603700870613</v>
      </c>
      <c r="S494" s="10">
        <f>CHOOSE(PARAM!$B$51,R494,0,0,0)*(A494&lt;PARAM!$B$55)</f>
        <v>0</v>
      </c>
      <c r="T494" s="10">
        <f t="shared" si="136"/>
        <v>1.9298490012458203E-3</v>
      </c>
      <c r="U494" s="10">
        <f>T494*P494*(A494&lt;PARAM!$B$55)</f>
        <v>0</v>
      </c>
      <c r="W494">
        <v>491</v>
      </c>
      <c r="X494" s="178">
        <f t="shared" si="145"/>
        <v>72</v>
      </c>
      <c r="Y494" s="178">
        <f t="shared" si="145"/>
        <v>72</v>
      </c>
      <c r="Z494" s="178">
        <f t="shared" si="145"/>
        <v>41</v>
      </c>
      <c r="AA494" s="178">
        <f t="shared" si="145"/>
        <v>41</v>
      </c>
      <c r="AD494" s="17">
        <f>CALC!E518*(A494&lt;PARAM!$B$55)</f>
        <v>0</v>
      </c>
      <c r="AE494">
        <f>IF(A494&lt;ITER!$C$16,1,PARAM!$C$53^-(RATES!A494-ITER!$C$16))*(A494&lt;PARAM!$B$55)</f>
        <v>0</v>
      </c>
    </row>
    <row r="495" spans="1:31" x14ac:dyDescent="0.2">
      <c r="A495" s="9">
        <v>492</v>
      </c>
      <c r="B495" s="178">
        <f t="shared" si="143"/>
        <v>72</v>
      </c>
      <c r="C495" s="178">
        <f t="shared" si="143"/>
        <v>72</v>
      </c>
      <c r="D495" s="2">
        <f>PARAM!$H$38</f>
        <v>1</v>
      </c>
      <c r="E495" s="11">
        <f>PARAM!$G$38</f>
        <v>0</v>
      </c>
      <c r="F495" s="11">
        <f>(VLOOKUP(C495,DEDN!$A$8:$O$902,$F$2)*D495+E495)/1000</f>
        <v>3.049E-2</v>
      </c>
      <c r="G495" s="178">
        <f t="shared" si="144"/>
        <v>41</v>
      </c>
      <c r="H495" s="178">
        <f t="shared" si="144"/>
        <v>41</v>
      </c>
      <c r="I495" s="2">
        <f>PARAM!$H$39</f>
        <v>0</v>
      </c>
      <c r="J495" s="11">
        <f>PARAM!$G$39</f>
        <v>0</v>
      </c>
      <c r="K495" s="11">
        <f>(VLOOKUP(H495,DEDN!$A$8:$O$902,$K$2)*I495+J495)/1000</f>
        <v>0</v>
      </c>
      <c r="L495" s="11">
        <f>MIN(IF(PARAM!$B$43=3,CHOOSE($L$2,F495,K495),F495+K495-F495*K495),1)</f>
        <v>3.049E-2</v>
      </c>
      <c r="M495" s="2">
        <f>PARAM!$I$38</f>
        <v>0</v>
      </c>
      <c r="N495" s="11">
        <f>VLOOKUP(B495,DEDN!$A$8:$O$90,$N$2)*M495</f>
        <v>0</v>
      </c>
      <c r="O495" s="12"/>
      <c r="P495" s="10">
        <f>PARAM!$C$53^-A495</f>
        <v>1</v>
      </c>
      <c r="Q495" s="10">
        <f t="shared" si="147"/>
        <v>0.74693052108581548</v>
      </c>
      <c r="R495" s="10">
        <f t="shared" si="146"/>
        <v>0.74693052108581548</v>
      </c>
      <c r="S495" s="10">
        <f>R495*(A495&lt;PARAM!$B$55)</f>
        <v>0</v>
      </c>
      <c r="T495" s="10">
        <f t="shared" si="136"/>
        <v>1.9248756880404505E-3</v>
      </c>
      <c r="U495" s="10">
        <f>T495*P495*(A495&lt;PARAM!$B$55)</f>
        <v>0</v>
      </c>
      <c r="W495">
        <v>492</v>
      </c>
      <c r="X495" s="178">
        <f t="shared" si="145"/>
        <v>72</v>
      </c>
      <c r="Y495" s="178">
        <f t="shared" si="145"/>
        <v>72</v>
      </c>
      <c r="Z495" s="178">
        <f t="shared" si="145"/>
        <v>41</v>
      </c>
      <c r="AA495" s="178">
        <f t="shared" si="145"/>
        <v>41</v>
      </c>
      <c r="AD495" s="17">
        <f>CALC!E519*(A495&lt;PARAM!$B$55)</f>
        <v>0</v>
      </c>
      <c r="AE495">
        <f>IF(A495&lt;ITER!$C$16,1,PARAM!$C$53^-(RATES!A495-ITER!$C$16))*(A495&lt;PARAM!$B$55)</f>
        <v>0</v>
      </c>
    </row>
    <row r="496" spans="1:31" x14ac:dyDescent="0.2">
      <c r="A496" s="9">
        <v>493</v>
      </c>
      <c r="B496" s="178">
        <f t="shared" si="143"/>
        <v>72</v>
      </c>
      <c r="C496" s="178">
        <f t="shared" si="143"/>
        <v>72</v>
      </c>
      <c r="D496" s="2">
        <f>PARAM!$H$38</f>
        <v>1</v>
      </c>
      <c r="E496" s="11">
        <f>PARAM!$G$38</f>
        <v>0</v>
      </c>
      <c r="F496" s="11">
        <f>(VLOOKUP(C496,DEDN!$A$8:$O$902,$F$2)*D496+E496)/1000</f>
        <v>3.049E-2</v>
      </c>
      <c r="G496" s="178">
        <f t="shared" si="144"/>
        <v>41</v>
      </c>
      <c r="H496" s="178">
        <f t="shared" si="144"/>
        <v>41</v>
      </c>
      <c r="I496" s="2">
        <f>PARAM!$H$39</f>
        <v>0</v>
      </c>
      <c r="J496" s="11">
        <f>PARAM!$G$39</f>
        <v>0</v>
      </c>
      <c r="K496" s="11">
        <f>(VLOOKUP(H496,DEDN!$A$8:$O$902,$K$2)*I496+J496)/1000</f>
        <v>0</v>
      </c>
      <c r="L496" s="11">
        <f>MIN(IF(PARAM!$B$43=3,CHOOSE($L$2,F496,K496),F496+K496-F496*K496),1)</f>
        <v>3.049E-2</v>
      </c>
      <c r="M496" s="2">
        <f>PARAM!$I$38</f>
        <v>0</v>
      </c>
      <c r="N496" s="11">
        <f>VLOOKUP(B496,DEDN!$A$8:$O$90,$N$2)*M496</f>
        <v>0</v>
      </c>
      <c r="O496" s="12"/>
      <c r="P496" s="10">
        <f>PARAM!$C$53^-A496</f>
        <v>1</v>
      </c>
      <c r="Q496" s="10">
        <f t="shared" si="147"/>
        <v>0.74500564539777503</v>
      </c>
      <c r="R496" s="10">
        <f t="shared" si="146"/>
        <v>0.74500564539777503</v>
      </c>
      <c r="S496" s="10">
        <f>CHOOSE(PARAM!$B$51,R496,0,0,0)*(A496&lt;PARAM!$B$55)</f>
        <v>0</v>
      </c>
      <c r="T496" s="10">
        <f t="shared" si="136"/>
        <v>1.9199151913009693E-3</v>
      </c>
      <c r="U496" s="10">
        <f>T496*P496*(A496&lt;PARAM!$B$55)</f>
        <v>0</v>
      </c>
      <c r="W496">
        <v>493</v>
      </c>
      <c r="X496" s="178">
        <f t="shared" si="145"/>
        <v>72</v>
      </c>
      <c r="Y496" s="178">
        <f t="shared" si="145"/>
        <v>72</v>
      </c>
      <c r="Z496" s="178">
        <f t="shared" si="145"/>
        <v>41</v>
      </c>
      <c r="AA496" s="178">
        <f t="shared" si="145"/>
        <v>41</v>
      </c>
      <c r="AD496" s="17">
        <f>CALC!E520*(A496&lt;PARAM!$B$55)</f>
        <v>0</v>
      </c>
      <c r="AE496">
        <f>IF(A496&lt;ITER!$C$16,1,PARAM!$C$53^-(RATES!A496-ITER!$C$16))*(A496&lt;PARAM!$B$55)</f>
        <v>0</v>
      </c>
    </row>
    <row r="497" spans="1:31" x14ac:dyDescent="0.2">
      <c r="A497" s="9">
        <v>494</v>
      </c>
      <c r="B497" s="178">
        <f t="shared" si="143"/>
        <v>72</v>
      </c>
      <c r="C497" s="178">
        <f t="shared" si="143"/>
        <v>72</v>
      </c>
      <c r="D497" s="2">
        <f>PARAM!$H$38</f>
        <v>1</v>
      </c>
      <c r="E497" s="11">
        <f>PARAM!$G$38</f>
        <v>0</v>
      </c>
      <c r="F497" s="11">
        <f>(VLOOKUP(C497,DEDN!$A$8:$O$902,$F$2)*D497+E497)/1000</f>
        <v>3.049E-2</v>
      </c>
      <c r="G497" s="178">
        <f t="shared" si="144"/>
        <v>41</v>
      </c>
      <c r="H497" s="178">
        <f t="shared" si="144"/>
        <v>41</v>
      </c>
      <c r="I497" s="2">
        <f>PARAM!$H$39</f>
        <v>0</v>
      </c>
      <c r="J497" s="11">
        <f>PARAM!$G$39</f>
        <v>0</v>
      </c>
      <c r="K497" s="11">
        <f>(VLOOKUP(H497,DEDN!$A$8:$O$902,$K$2)*I497+J497)/1000</f>
        <v>0</v>
      </c>
      <c r="L497" s="11">
        <f>MIN(IF(PARAM!$B$43=3,CHOOSE($L$2,F497,K497),F497+K497-F497*K497),1)</f>
        <v>3.049E-2</v>
      </c>
      <c r="M497" s="2">
        <f>PARAM!$I$38</f>
        <v>0</v>
      </c>
      <c r="N497" s="11">
        <f>VLOOKUP(B497,DEDN!$A$8:$O$90,$N$2)*M497</f>
        <v>0</v>
      </c>
      <c r="O497" s="12"/>
      <c r="P497" s="10">
        <f>PARAM!$C$53^-A497</f>
        <v>1</v>
      </c>
      <c r="Q497" s="10">
        <f t="shared" si="147"/>
        <v>0.74308573020647406</v>
      </c>
      <c r="R497" s="10">
        <f t="shared" si="146"/>
        <v>0.74308573020647406</v>
      </c>
      <c r="S497" s="10">
        <f>CHOOSE(PARAM!$B$51,R497,0,0,0)*(A497&lt;PARAM!$B$55)</f>
        <v>0</v>
      </c>
      <c r="T497" s="10">
        <f t="shared" si="136"/>
        <v>1.9149674779990189E-3</v>
      </c>
      <c r="U497" s="10">
        <f>T497*P497*(A497&lt;PARAM!$B$55)</f>
        <v>0</v>
      </c>
      <c r="W497">
        <v>494</v>
      </c>
      <c r="X497" s="178">
        <f t="shared" si="145"/>
        <v>72</v>
      </c>
      <c r="Y497" s="178">
        <f t="shared" si="145"/>
        <v>72</v>
      </c>
      <c r="Z497" s="178">
        <f t="shared" si="145"/>
        <v>41</v>
      </c>
      <c r="AA497" s="178">
        <f t="shared" si="145"/>
        <v>41</v>
      </c>
      <c r="AD497" s="17">
        <f>CALC!E521*(A497&lt;PARAM!$B$55)</f>
        <v>0</v>
      </c>
      <c r="AE497">
        <f>IF(A497&lt;ITER!$C$16,1,PARAM!$C$53^-(RATES!A497-ITER!$C$16))*(A497&lt;PARAM!$B$55)</f>
        <v>0</v>
      </c>
    </row>
    <row r="498" spans="1:31" x14ac:dyDescent="0.2">
      <c r="A498" s="9">
        <v>495</v>
      </c>
      <c r="B498" s="178">
        <f t="shared" si="143"/>
        <v>72</v>
      </c>
      <c r="C498" s="178">
        <f t="shared" si="143"/>
        <v>72</v>
      </c>
      <c r="D498" s="2">
        <f>PARAM!$H$38</f>
        <v>1</v>
      </c>
      <c r="E498" s="11">
        <f>PARAM!$G$38</f>
        <v>0</v>
      </c>
      <c r="F498" s="11">
        <f>(VLOOKUP(C498,DEDN!$A$8:$O$902,$F$2)*D498+E498)/1000</f>
        <v>3.049E-2</v>
      </c>
      <c r="G498" s="178">
        <f t="shared" si="144"/>
        <v>41</v>
      </c>
      <c r="H498" s="178">
        <f t="shared" si="144"/>
        <v>41</v>
      </c>
      <c r="I498" s="2">
        <f>PARAM!$H$39</f>
        <v>0</v>
      </c>
      <c r="J498" s="11">
        <f>PARAM!$G$39</f>
        <v>0</v>
      </c>
      <c r="K498" s="11">
        <f>(VLOOKUP(H498,DEDN!$A$8:$O$902,$K$2)*I498+J498)/1000</f>
        <v>0</v>
      </c>
      <c r="L498" s="11">
        <f>MIN(IF(PARAM!$B$43=3,CHOOSE($L$2,F498,K498),F498+K498-F498*K498),1)</f>
        <v>3.049E-2</v>
      </c>
      <c r="M498" s="2">
        <f>PARAM!$I$38</f>
        <v>0</v>
      </c>
      <c r="N498" s="11">
        <f>VLOOKUP(B498,DEDN!$A$8:$O$90,$N$2)*M498</f>
        <v>0</v>
      </c>
      <c r="O498" s="12"/>
      <c r="P498" s="10">
        <f>PARAM!$C$53^-A498</f>
        <v>1</v>
      </c>
      <c r="Q498" s="10">
        <f t="shared" si="147"/>
        <v>0.74117076272847504</v>
      </c>
      <c r="R498" s="10">
        <f t="shared" si="146"/>
        <v>0.74117076272847504</v>
      </c>
      <c r="S498" s="10">
        <f>CHOOSE(PARAM!$B$51,R498,R498,0,0)*(A498&lt;PARAM!$B$55)</f>
        <v>0</v>
      </c>
      <c r="T498" s="10">
        <f t="shared" si="136"/>
        <v>1.9100325151909514E-3</v>
      </c>
      <c r="U498" s="10">
        <f>T498*P498*(A498&lt;PARAM!$B$55)</f>
        <v>0</v>
      </c>
      <c r="W498">
        <v>495</v>
      </c>
      <c r="X498" s="178">
        <f t="shared" si="145"/>
        <v>72</v>
      </c>
      <c r="Y498" s="178">
        <f t="shared" si="145"/>
        <v>72</v>
      </c>
      <c r="Z498" s="178">
        <f t="shared" si="145"/>
        <v>41</v>
      </c>
      <c r="AA498" s="178">
        <f t="shared" si="145"/>
        <v>41</v>
      </c>
      <c r="AD498" s="17">
        <f>CALC!E522*(A498&lt;PARAM!$B$55)</f>
        <v>0</v>
      </c>
      <c r="AE498">
        <f>IF(A498&lt;ITER!$C$16,1,PARAM!$C$53^-(RATES!A498-ITER!$C$16))*(A498&lt;PARAM!$B$55)</f>
        <v>0</v>
      </c>
    </row>
    <row r="499" spans="1:31" x14ac:dyDescent="0.2">
      <c r="A499" s="9">
        <v>496</v>
      </c>
      <c r="B499" s="178">
        <f t="shared" si="143"/>
        <v>72</v>
      </c>
      <c r="C499" s="178">
        <f t="shared" si="143"/>
        <v>72</v>
      </c>
      <c r="D499" s="2">
        <f>PARAM!$H$38</f>
        <v>1</v>
      </c>
      <c r="E499" s="11">
        <f>PARAM!$G$38</f>
        <v>0</v>
      </c>
      <c r="F499" s="11">
        <f>(VLOOKUP(C499,DEDN!$A$8:$O$902,$F$2)*D499+E499)/1000</f>
        <v>3.049E-2</v>
      </c>
      <c r="G499" s="178">
        <f t="shared" si="144"/>
        <v>41</v>
      </c>
      <c r="H499" s="178">
        <f t="shared" si="144"/>
        <v>41</v>
      </c>
      <c r="I499" s="2">
        <f>PARAM!$H$39</f>
        <v>0</v>
      </c>
      <c r="J499" s="11">
        <f>PARAM!$G$39</f>
        <v>0</v>
      </c>
      <c r="K499" s="11">
        <f>(VLOOKUP(H499,DEDN!$A$8:$O$902,$K$2)*I499+J499)/1000</f>
        <v>0</v>
      </c>
      <c r="L499" s="11">
        <f>MIN(IF(PARAM!$B$43=3,CHOOSE($L$2,F499,K499),F499+K499-F499*K499),1)</f>
        <v>3.049E-2</v>
      </c>
      <c r="M499" s="2">
        <f>PARAM!$I$38</f>
        <v>0</v>
      </c>
      <c r="N499" s="11">
        <f>VLOOKUP(B499,DEDN!$A$8:$O$90,$N$2)*M499</f>
        <v>0</v>
      </c>
      <c r="O499" s="12"/>
      <c r="P499" s="10">
        <f>PARAM!$C$53^-A499</f>
        <v>1</v>
      </c>
      <c r="Q499" s="10">
        <f t="shared" si="147"/>
        <v>0.73926073021328409</v>
      </c>
      <c r="R499" s="10">
        <f t="shared" si="146"/>
        <v>0.73926073021328409</v>
      </c>
      <c r="S499" s="10">
        <f>CHOOSE(PARAM!$B$51,R499,0,0,0)*(A499&lt;PARAM!$B$55)</f>
        <v>0</v>
      </c>
      <c r="T499" s="10">
        <f t="shared" si="136"/>
        <v>1.9051102700180511E-3</v>
      </c>
      <c r="U499" s="10">
        <f>T499*P499*(A499&lt;PARAM!$B$55)</f>
        <v>0</v>
      </c>
      <c r="W499">
        <v>496</v>
      </c>
      <c r="X499" s="178">
        <f t="shared" si="145"/>
        <v>72</v>
      </c>
      <c r="Y499" s="178">
        <f t="shared" si="145"/>
        <v>72</v>
      </c>
      <c r="Z499" s="178">
        <f t="shared" si="145"/>
        <v>41</v>
      </c>
      <c r="AA499" s="178">
        <f t="shared" si="145"/>
        <v>41</v>
      </c>
      <c r="AD499" s="17">
        <f>CALC!E523*(A499&lt;PARAM!$B$55)</f>
        <v>0</v>
      </c>
      <c r="AE499">
        <f>IF(A499&lt;ITER!$C$16,1,PARAM!$C$53^-(RATES!A499-ITER!$C$16))*(A499&lt;PARAM!$B$55)</f>
        <v>0</v>
      </c>
    </row>
    <row r="500" spans="1:31" x14ac:dyDescent="0.2">
      <c r="A500" s="9">
        <v>497</v>
      </c>
      <c r="B500" s="178">
        <f t="shared" si="143"/>
        <v>72</v>
      </c>
      <c r="C500" s="178">
        <f t="shared" si="143"/>
        <v>72</v>
      </c>
      <c r="D500" s="2">
        <f>PARAM!$H$38</f>
        <v>1</v>
      </c>
      <c r="E500" s="11">
        <f>PARAM!$G$38</f>
        <v>0</v>
      </c>
      <c r="F500" s="11">
        <f>(VLOOKUP(C500,DEDN!$A$8:$O$902,$F$2)*D500+E500)/1000</f>
        <v>3.049E-2</v>
      </c>
      <c r="G500" s="178">
        <f t="shared" si="144"/>
        <v>41</v>
      </c>
      <c r="H500" s="178">
        <f t="shared" si="144"/>
        <v>41</v>
      </c>
      <c r="I500" s="2">
        <f>PARAM!$H$39</f>
        <v>0</v>
      </c>
      <c r="J500" s="11">
        <f>PARAM!$G$39</f>
        <v>0</v>
      </c>
      <c r="K500" s="11">
        <f>(VLOOKUP(H500,DEDN!$A$8:$O$902,$K$2)*I500+J500)/1000</f>
        <v>0</v>
      </c>
      <c r="L500" s="11">
        <f>MIN(IF(PARAM!$B$43=3,CHOOSE($L$2,F500,K500),F500+K500-F500*K500),1)</f>
        <v>3.049E-2</v>
      </c>
      <c r="M500" s="2">
        <f>PARAM!$I$38</f>
        <v>0</v>
      </c>
      <c r="N500" s="11">
        <f>VLOOKUP(B500,DEDN!$A$8:$O$90,$N$2)*M500</f>
        <v>0</v>
      </c>
      <c r="O500" s="12"/>
      <c r="P500" s="10">
        <f>PARAM!$C$53^-A500</f>
        <v>1</v>
      </c>
      <c r="Q500" s="10">
        <f t="shared" si="147"/>
        <v>0.73735561994326604</v>
      </c>
      <c r="R500" s="10">
        <f t="shared" ref="R500:R515" si="148">P500*Q500</f>
        <v>0.73735561994326604</v>
      </c>
      <c r="S500" s="10">
        <f>CHOOSE(PARAM!$B$51,R500,0,0,0)*(A500&lt;PARAM!$B$55)</f>
        <v>0</v>
      </c>
      <c r="T500" s="10">
        <f t="shared" si="136"/>
        <v>1.9002007097065343E-3</v>
      </c>
      <c r="U500" s="10">
        <f>T500*P500*(A500&lt;PARAM!$B$55)</f>
        <v>0</v>
      </c>
      <c r="W500">
        <v>497</v>
      </c>
      <c r="X500" s="178">
        <f t="shared" si="145"/>
        <v>72</v>
      </c>
      <c r="Y500" s="178">
        <f t="shared" si="145"/>
        <v>72</v>
      </c>
      <c r="Z500" s="178">
        <f t="shared" si="145"/>
        <v>41</v>
      </c>
      <c r="AA500" s="178">
        <f t="shared" si="145"/>
        <v>41</v>
      </c>
      <c r="AD500" s="17">
        <f>CALC!E524*(A500&lt;PARAM!$B$55)</f>
        <v>0</v>
      </c>
      <c r="AE500">
        <f>IF(A500&lt;ITER!$C$16,1,PARAM!$C$53^-(RATES!A500-ITER!$C$16))*(A500&lt;PARAM!$B$55)</f>
        <v>0</v>
      </c>
    </row>
    <row r="501" spans="1:31" x14ac:dyDescent="0.2">
      <c r="A501" s="9">
        <v>498</v>
      </c>
      <c r="B501" s="178">
        <f t="shared" ref="B501:C520" si="149">B489+1</f>
        <v>73</v>
      </c>
      <c r="C501" s="178">
        <f t="shared" si="149"/>
        <v>73</v>
      </c>
      <c r="D501" s="2">
        <f>PARAM!$H$38</f>
        <v>1</v>
      </c>
      <c r="E501" s="11">
        <f>PARAM!$G$38</f>
        <v>0</v>
      </c>
      <c r="F501" s="11">
        <f>(VLOOKUP(C501,DEDN!$A$8:$O$902,$F$2)*D501+E501)/1000</f>
        <v>3.3600000000000005E-2</v>
      </c>
      <c r="G501" s="178">
        <f t="shared" ref="G501:H520" si="150">G489+1</f>
        <v>42</v>
      </c>
      <c r="H501" s="178">
        <f t="shared" si="150"/>
        <v>42</v>
      </c>
      <c r="I501" s="2">
        <f>PARAM!$H$39</f>
        <v>0</v>
      </c>
      <c r="J501" s="11">
        <f>PARAM!$G$39</f>
        <v>0</v>
      </c>
      <c r="K501" s="11">
        <f>(VLOOKUP(H501,DEDN!$A$8:$O$902,$K$2)*I501+J501)/1000</f>
        <v>0</v>
      </c>
      <c r="L501" s="11">
        <f>MIN(IF(PARAM!$B$43=3,CHOOSE($L$2,F501,K501),F501+K501-F501*K501),1)</f>
        <v>3.3600000000000005E-2</v>
      </c>
      <c r="M501" s="2">
        <f>PARAM!$I$38</f>
        <v>0</v>
      </c>
      <c r="N501" s="11">
        <f>VLOOKUP(B501,DEDN!$A$8:$O$90,$N$2)*M501</f>
        <v>0</v>
      </c>
      <c r="O501" s="12"/>
      <c r="P501" s="10">
        <f>PARAM!$C$53^-A501</f>
        <v>1</v>
      </c>
      <c r="Q501" s="10">
        <f t="shared" ref="Q501:Q516" si="151">Q500*(1-L500)^(1/12)</f>
        <v>0.7354554192335595</v>
      </c>
      <c r="R501" s="10">
        <f t="shared" si="148"/>
        <v>0.7354554192335595</v>
      </c>
      <c r="S501" s="10">
        <f>CHOOSE(PARAM!$B$51,R501,R501,R501,0)*(A501&lt;PARAM!$B$55)</f>
        <v>0</v>
      </c>
      <c r="T501" s="10">
        <f t="shared" si="136"/>
        <v>2.0916859107126262E-3</v>
      </c>
      <c r="U501" s="10">
        <f>T501*P501*(A501&lt;PARAM!$B$55)</f>
        <v>0</v>
      </c>
      <c r="W501">
        <v>498</v>
      </c>
      <c r="X501" s="178">
        <f t="shared" ref="X501:AA520" si="152">X489+1</f>
        <v>73</v>
      </c>
      <c r="Y501" s="178">
        <f t="shared" si="152"/>
        <v>73</v>
      </c>
      <c r="Z501" s="178">
        <f t="shared" si="152"/>
        <v>42</v>
      </c>
      <c r="AA501" s="178">
        <f t="shared" si="152"/>
        <v>42</v>
      </c>
      <c r="AD501" s="17">
        <f>CALC!E525*(A501&lt;PARAM!$B$55)</f>
        <v>0</v>
      </c>
      <c r="AE501">
        <f>IF(A501&lt;ITER!$C$16,1,PARAM!$C$53^-(RATES!A501-ITER!$C$16))*(A501&lt;PARAM!$B$55)</f>
        <v>0</v>
      </c>
    </row>
    <row r="502" spans="1:31" x14ac:dyDescent="0.2">
      <c r="A502" s="9">
        <v>499</v>
      </c>
      <c r="B502" s="178">
        <f t="shared" si="149"/>
        <v>73</v>
      </c>
      <c r="C502" s="178">
        <f t="shared" si="149"/>
        <v>73</v>
      </c>
      <c r="D502" s="2">
        <f>PARAM!$H$38</f>
        <v>1</v>
      </c>
      <c r="E502" s="11">
        <f>PARAM!$G$38</f>
        <v>0</v>
      </c>
      <c r="F502" s="11">
        <f>(VLOOKUP(C502,DEDN!$A$8:$O$902,$F$2)*D502+E502)/1000</f>
        <v>3.3600000000000005E-2</v>
      </c>
      <c r="G502" s="178">
        <f t="shared" si="150"/>
        <v>42</v>
      </c>
      <c r="H502" s="178">
        <f t="shared" si="150"/>
        <v>42</v>
      </c>
      <c r="I502" s="2">
        <f>PARAM!$H$39</f>
        <v>0</v>
      </c>
      <c r="J502" s="11">
        <f>PARAM!$G$39</f>
        <v>0</v>
      </c>
      <c r="K502" s="11">
        <f>(VLOOKUP(H502,DEDN!$A$8:$O$902,$K$2)*I502+J502)/1000</f>
        <v>0</v>
      </c>
      <c r="L502" s="11">
        <f>MIN(IF(PARAM!$B$43=3,CHOOSE($L$2,F502,K502),F502+K502-F502*K502),1)</f>
        <v>3.3600000000000005E-2</v>
      </c>
      <c r="M502" s="2">
        <f>PARAM!$I$38</f>
        <v>0</v>
      </c>
      <c r="N502" s="11">
        <f>VLOOKUP(B502,DEDN!$A$8:$O$90,$N$2)*M502</f>
        <v>0</v>
      </c>
      <c r="O502" s="12"/>
      <c r="P502" s="10">
        <f>PARAM!$C$53^-A502</f>
        <v>1</v>
      </c>
      <c r="Q502" s="10">
        <f t="shared" si="151"/>
        <v>0.73336373332284688</v>
      </c>
      <c r="R502" s="10">
        <f t="shared" si="148"/>
        <v>0.73336373332284688</v>
      </c>
      <c r="S502" s="10">
        <f>CHOOSE(PARAM!$B$51,R502,0,0,0)*(A502&lt;PARAM!$B$55)</f>
        <v>0</v>
      </c>
      <c r="T502" s="10">
        <f t="shared" si="136"/>
        <v>2.0857370117927099E-3</v>
      </c>
      <c r="U502" s="10">
        <f>T502*P502*(A502&lt;PARAM!$B$55)</f>
        <v>0</v>
      </c>
      <c r="W502">
        <v>499</v>
      </c>
      <c r="X502" s="178">
        <f t="shared" si="152"/>
        <v>73</v>
      </c>
      <c r="Y502" s="178">
        <f t="shared" si="152"/>
        <v>73</v>
      </c>
      <c r="Z502" s="178">
        <f t="shared" si="152"/>
        <v>42</v>
      </c>
      <c r="AA502" s="178">
        <f t="shared" si="152"/>
        <v>42</v>
      </c>
      <c r="AD502" s="17">
        <f>CALC!E526*(A502&lt;PARAM!$B$55)</f>
        <v>0</v>
      </c>
      <c r="AE502">
        <f>IF(A502&lt;ITER!$C$16,1,PARAM!$C$53^-(RATES!A502-ITER!$C$16))*(A502&lt;PARAM!$B$55)</f>
        <v>0</v>
      </c>
    </row>
    <row r="503" spans="1:31" x14ac:dyDescent="0.2">
      <c r="A503" s="9">
        <v>500</v>
      </c>
      <c r="B503" s="178">
        <f t="shared" si="149"/>
        <v>73</v>
      </c>
      <c r="C503" s="178">
        <f t="shared" si="149"/>
        <v>73</v>
      </c>
      <c r="D503" s="2">
        <f>PARAM!$H$38</f>
        <v>1</v>
      </c>
      <c r="E503" s="11">
        <f>PARAM!$G$38</f>
        <v>0</v>
      </c>
      <c r="F503" s="11">
        <f>(VLOOKUP(C503,DEDN!$A$8:$O$902,$F$2)*D503+E503)/1000</f>
        <v>3.3600000000000005E-2</v>
      </c>
      <c r="G503" s="178">
        <f t="shared" si="150"/>
        <v>42</v>
      </c>
      <c r="H503" s="178">
        <f t="shared" si="150"/>
        <v>42</v>
      </c>
      <c r="I503" s="2">
        <f>PARAM!$H$39</f>
        <v>0</v>
      </c>
      <c r="J503" s="11">
        <f>PARAM!$G$39</f>
        <v>0</v>
      </c>
      <c r="K503" s="11">
        <f>(VLOOKUP(H503,DEDN!$A$8:$O$902,$K$2)*I503+J503)/1000</f>
        <v>0</v>
      </c>
      <c r="L503" s="11">
        <f>MIN(IF(PARAM!$B$43=3,CHOOSE($L$2,F503,K503),F503+K503-F503*K503),1)</f>
        <v>3.3600000000000005E-2</v>
      </c>
      <c r="M503" s="2">
        <f>PARAM!$I$38</f>
        <v>0</v>
      </c>
      <c r="N503" s="11">
        <f>VLOOKUP(B503,DEDN!$A$8:$O$90,$N$2)*M503</f>
        <v>0</v>
      </c>
      <c r="O503" s="12"/>
      <c r="P503" s="10">
        <f>PARAM!$C$53^-A503</f>
        <v>1</v>
      </c>
      <c r="Q503" s="10">
        <f t="shared" si="151"/>
        <v>0.73127799631105417</v>
      </c>
      <c r="R503" s="10">
        <f t="shared" si="148"/>
        <v>0.73127799631105417</v>
      </c>
      <c r="S503" s="10">
        <f>CHOOSE(PARAM!$B$51,R503,0,0,0)*(A503&lt;PARAM!$B$55)</f>
        <v>0</v>
      </c>
      <c r="T503" s="10">
        <f t="shared" si="136"/>
        <v>2.0798050319514871E-3</v>
      </c>
      <c r="U503" s="10">
        <f>T503*P503*(A503&lt;PARAM!$B$55)</f>
        <v>0</v>
      </c>
      <c r="W503">
        <v>500</v>
      </c>
      <c r="X503" s="178">
        <f t="shared" si="152"/>
        <v>73</v>
      </c>
      <c r="Y503" s="178">
        <f t="shared" si="152"/>
        <v>73</v>
      </c>
      <c r="Z503" s="178">
        <f t="shared" si="152"/>
        <v>42</v>
      </c>
      <c r="AA503" s="178">
        <f t="shared" si="152"/>
        <v>42</v>
      </c>
      <c r="AD503" s="17">
        <f>CALC!E527*(A503&lt;PARAM!$B$55)</f>
        <v>0</v>
      </c>
      <c r="AE503">
        <f>IF(A503&lt;ITER!$C$16,1,PARAM!$C$53^-(RATES!A503-ITER!$C$16))*(A503&lt;PARAM!$B$55)</f>
        <v>0</v>
      </c>
    </row>
    <row r="504" spans="1:31" x14ac:dyDescent="0.2">
      <c r="A504" s="9">
        <v>501</v>
      </c>
      <c r="B504" s="178">
        <f t="shared" si="149"/>
        <v>73</v>
      </c>
      <c r="C504" s="178">
        <f t="shared" si="149"/>
        <v>73</v>
      </c>
      <c r="D504" s="2">
        <f>PARAM!$H$38</f>
        <v>1</v>
      </c>
      <c r="E504" s="11">
        <f>PARAM!$G$38</f>
        <v>0</v>
      </c>
      <c r="F504" s="11">
        <f>(VLOOKUP(C504,DEDN!$A$8:$O$902,$F$2)*D504+E504)/1000</f>
        <v>3.3600000000000005E-2</v>
      </c>
      <c r="G504" s="178">
        <f t="shared" si="150"/>
        <v>42</v>
      </c>
      <c r="H504" s="178">
        <f t="shared" si="150"/>
        <v>42</v>
      </c>
      <c r="I504" s="2">
        <f>PARAM!$H$39</f>
        <v>0</v>
      </c>
      <c r="J504" s="11">
        <f>PARAM!$G$39</f>
        <v>0</v>
      </c>
      <c r="K504" s="11">
        <f>(VLOOKUP(H504,DEDN!$A$8:$O$902,$K$2)*I504+J504)/1000</f>
        <v>0</v>
      </c>
      <c r="L504" s="11">
        <f>MIN(IF(PARAM!$B$43=3,CHOOSE($L$2,F504,K504),F504+K504-F504*K504),1)</f>
        <v>3.3600000000000005E-2</v>
      </c>
      <c r="M504" s="2">
        <f>PARAM!$I$38</f>
        <v>0</v>
      </c>
      <c r="N504" s="11">
        <f>VLOOKUP(B504,DEDN!$A$8:$O$90,$N$2)*M504</f>
        <v>0</v>
      </c>
      <c r="O504" s="12"/>
      <c r="P504" s="10">
        <f>PARAM!$C$53^-A504</f>
        <v>1</v>
      </c>
      <c r="Q504" s="10">
        <f t="shared" si="151"/>
        <v>0.72919819127910268</v>
      </c>
      <c r="R504" s="10">
        <f t="shared" si="148"/>
        <v>0.72919819127910268</v>
      </c>
      <c r="S504" s="10">
        <f>CHOOSE(PARAM!$B$51,R504,R504,0,0)*(A504&lt;PARAM!$B$55)</f>
        <v>0</v>
      </c>
      <c r="T504" s="10">
        <f t="shared" si="136"/>
        <v>2.0738899230698937E-3</v>
      </c>
      <c r="U504" s="10">
        <f>T504*P504*(A504&lt;PARAM!$B$55)</f>
        <v>0</v>
      </c>
      <c r="W504">
        <v>501</v>
      </c>
      <c r="X504" s="178">
        <f t="shared" si="152"/>
        <v>73</v>
      </c>
      <c r="Y504" s="178">
        <f t="shared" si="152"/>
        <v>73</v>
      </c>
      <c r="Z504" s="178">
        <f t="shared" si="152"/>
        <v>42</v>
      </c>
      <c r="AA504" s="178">
        <f t="shared" si="152"/>
        <v>42</v>
      </c>
      <c r="AD504" s="17">
        <f>CALC!E528*(A504&lt;PARAM!$B$55)</f>
        <v>0</v>
      </c>
      <c r="AE504">
        <f>IF(A504&lt;ITER!$C$16,1,PARAM!$C$53^-(RATES!A504-ITER!$C$16))*(A504&lt;PARAM!$B$55)</f>
        <v>0</v>
      </c>
    </row>
    <row r="505" spans="1:31" x14ac:dyDescent="0.2">
      <c r="A505" s="9">
        <v>502</v>
      </c>
      <c r="B505" s="178">
        <f t="shared" si="149"/>
        <v>73</v>
      </c>
      <c r="C505" s="178">
        <f t="shared" si="149"/>
        <v>73</v>
      </c>
      <c r="D505" s="2">
        <f>PARAM!$H$38</f>
        <v>1</v>
      </c>
      <c r="E505" s="11">
        <f>PARAM!$G$38</f>
        <v>0</v>
      </c>
      <c r="F505" s="11">
        <f>(VLOOKUP(C505,DEDN!$A$8:$O$902,$F$2)*D505+E505)/1000</f>
        <v>3.3600000000000005E-2</v>
      </c>
      <c r="G505" s="178">
        <f t="shared" si="150"/>
        <v>42</v>
      </c>
      <c r="H505" s="178">
        <f t="shared" si="150"/>
        <v>42</v>
      </c>
      <c r="I505" s="2">
        <f>PARAM!$H$39</f>
        <v>0</v>
      </c>
      <c r="J505" s="11">
        <f>PARAM!$G$39</f>
        <v>0</v>
      </c>
      <c r="K505" s="11">
        <f>(VLOOKUP(H505,DEDN!$A$8:$O$902,$K$2)*I505+J505)/1000</f>
        <v>0</v>
      </c>
      <c r="L505" s="11">
        <f>MIN(IF(PARAM!$B$43=3,CHOOSE($L$2,F505,K505),F505+K505-F505*K505),1)</f>
        <v>3.3600000000000005E-2</v>
      </c>
      <c r="M505" s="2">
        <f>PARAM!$I$38</f>
        <v>0</v>
      </c>
      <c r="N505" s="11">
        <f>VLOOKUP(B505,DEDN!$A$8:$O$90,$N$2)*M505</f>
        <v>0</v>
      </c>
      <c r="O505" s="12"/>
      <c r="P505" s="10">
        <f>PARAM!$C$53^-A505</f>
        <v>1</v>
      </c>
      <c r="Q505" s="10">
        <f t="shared" si="151"/>
        <v>0.72712430135603279</v>
      </c>
      <c r="R505" s="10">
        <f t="shared" si="148"/>
        <v>0.72712430135603279</v>
      </c>
      <c r="S505" s="10">
        <f>CHOOSE(PARAM!$B$51,R505,0,0,0)*(A505&lt;PARAM!$B$55)</f>
        <v>0</v>
      </c>
      <c r="T505" s="10">
        <f t="shared" si="136"/>
        <v>2.0679916371656448E-3</v>
      </c>
      <c r="U505" s="10">
        <f>T505*P505*(A505&lt;PARAM!$B$55)</f>
        <v>0</v>
      </c>
      <c r="W505">
        <v>502</v>
      </c>
      <c r="X505" s="178">
        <f t="shared" si="152"/>
        <v>73</v>
      </c>
      <c r="Y505" s="178">
        <f t="shared" si="152"/>
        <v>73</v>
      </c>
      <c r="Z505" s="178">
        <f t="shared" si="152"/>
        <v>42</v>
      </c>
      <c r="AA505" s="178">
        <f t="shared" si="152"/>
        <v>42</v>
      </c>
      <c r="AD505" s="17">
        <f>CALC!E529*(A505&lt;PARAM!$B$55)</f>
        <v>0</v>
      </c>
      <c r="AE505">
        <f>IF(A505&lt;ITER!$C$16,1,PARAM!$C$53^-(RATES!A505-ITER!$C$16))*(A505&lt;PARAM!$B$55)</f>
        <v>0</v>
      </c>
    </row>
    <row r="506" spans="1:31" x14ac:dyDescent="0.2">
      <c r="A506" s="9">
        <v>503</v>
      </c>
      <c r="B506" s="178">
        <f t="shared" si="149"/>
        <v>73</v>
      </c>
      <c r="C506" s="178">
        <f t="shared" si="149"/>
        <v>73</v>
      </c>
      <c r="D506" s="2">
        <f>PARAM!$H$38</f>
        <v>1</v>
      </c>
      <c r="E506" s="11">
        <f>PARAM!$G$38</f>
        <v>0</v>
      </c>
      <c r="F506" s="11">
        <f>(VLOOKUP(C506,DEDN!$A$8:$O$902,$F$2)*D506+E506)/1000</f>
        <v>3.3600000000000005E-2</v>
      </c>
      <c r="G506" s="178">
        <f t="shared" si="150"/>
        <v>42</v>
      </c>
      <c r="H506" s="178">
        <f t="shared" si="150"/>
        <v>42</v>
      </c>
      <c r="I506" s="2">
        <f>PARAM!$H$39</f>
        <v>0</v>
      </c>
      <c r="J506" s="11">
        <f>PARAM!$G$39</f>
        <v>0</v>
      </c>
      <c r="K506" s="11">
        <f>(VLOOKUP(H506,DEDN!$A$8:$O$902,$K$2)*I506+J506)/1000</f>
        <v>0</v>
      </c>
      <c r="L506" s="11">
        <f>MIN(IF(PARAM!$B$43=3,CHOOSE($L$2,F506,K506),F506+K506-F506*K506),1)</f>
        <v>3.3600000000000005E-2</v>
      </c>
      <c r="M506" s="2">
        <f>PARAM!$I$38</f>
        <v>0</v>
      </c>
      <c r="N506" s="11">
        <f>VLOOKUP(B506,DEDN!$A$8:$O$90,$N$2)*M506</f>
        <v>0</v>
      </c>
      <c r="O506" s="12"/>
      <c r="P506" s="10">
        <f>PARAM!$C$53^-A506</f>
        <v>1</v>
      </c>
      <c r="Q506" s="10">
        <f t="shared" si="151"/>
        <v>0.72505630971886714</v>
      </c>
      <c r="R506" s="10">
        <f t="shared" si="148"/>
        <v>0.72505630971886714</v>
      </c>
      <c r="S506" s="10">
        <f>CHOOSE(PARAM!$B$51,R506,0,0,0)*(A506&lt;PARAM!$B$55)</f>
        <v>0</v>
      </c>
      <c r="T506" s="10">
        <f t="shared" si="136"/>
        <v>2.0621101263931241E-3</v>
      </c>
      <c r="U506" s="10">
        <f>T506*P506*(A506&lt;PARAM!$B$55)</f>
        <v>0</v>
      </c>
      <c r="W506">
        <v>503</v>
      </c>
      <c r="X506" s="178">
        <f t="shared" si="152"/>
        <v>73</v>
      </c>
      <c r="Y506" s="178">
        <f t="shared" si="152"/>
        <v>73</v>
      </c>
      <c r="Z506" s="178">
        <f t="shared" si="152"/>
        <v>42</v>
      </c>
      <c r="AA506" s="178">
        <f t="shared" si="152"/>
        <v>42</v>
      </c>
      <c r="AD506" s="17">
        <f>CALC!E530*(A506&lt;PARAM!$B$55)</f>
        <v>0</v>
      </c>
      <c r="AE506">
        <f>IF(A506&lt;ITER!$C$16,1,PARAM!$C$53^-(RATES!A506-ITER!$C$16))*(A506&lt;PARAM!$B$55)</f>
        <v>0</v>
      </c>
    </row>
    <row r="507" spans="1:31" x14ac:dyDescent="0.2">
      <c r="A507" s="9">
        <v>504</v>
      </c>
      <c r="B507" s="178">
        <f t="shared" si="149"/>
        <v>73</v>
      </c>
      <c r="C507" s="178">
        <f t="shared" si="149"/>
        <v>73</v>
      </c>
      <c r="D507" s="2">
        <f>PARAM!$H$38</f>
        <v>1</v>
      </c>
      <c r="E507" s="11">
        <f>PARAM!$G$38</f>
        <v>0</v>
      </c>
      <c r="F507" s="11">
        <f>(VLOOKUP(C507,DEDN!$A$8:$O$902,$F$2)*D507+E507)/1000</f>
        <v>3.3600000000000005E-2</v>
      </c>
      <c r="G507" s="178">
        <f t="shared" si="150"/>
        <v>42</v>
      </c>
      <c r="H507" s="178">
        <f t="shared" si="150"/>
        <v>42</v>
      </c>
      <c r="I507" s="2">
        <f>PARAM!$H$39</f>
        <v>0</v>
      </c>
      <c r="J507" s="11">
        <f>PARAM!$G$39</f>
        <v>0</v>
      </c>
      <c r="K507" s="11">
        <f>(VLOOKUP(H507,DEDN!$A$8:$O$902,$K$2)*I507+J507)/1000</f>
        <v>0</v>
      </c>
      <c r="L507" s="11">
        <f>MIN(IF(PARAM!$B$43=3,CHOOSE($L$2,F507,K507),F507+K507-F507*K507),1)</f>
        <v>3.3600000000000005E-2</v>
      </c>
      <c r="M507" s="2">
        <f>PARAM!$I$38</f>
        <v>0</v>
      </c>
      <c r="N507" s="11">
        <f>VLOOKUP(B507,DEDN!$A$8:$O$90,$N$2)*M507</f>
        <v>0</v>
      </c>
      <c r="O507" s="12"/>
      <c r="P507" s="10">
        <f>PARAM!$C$53^-A507</f>
        <v>1</v>
      </c>
      <c r="Q507" s="10">
        <f t="shared" si="151"/>
        <v>0.72299419959247402</v>
      </c>
      <c r="R507" s="10">
        <f t="shared" si="148"/>
        <v>0.72299419959247402</v>
      </c>
      <c r="S507" s="10">
        <f>R507*(A507&lt;PARAM!$B$55)</f>
        <v>0</v>
      </c>
      <c r="T507" s="10">
        <f t="shared" si="136"/>
        <v>2.0562453430427174E-3</v>
      </c>
      <c r="U507" s="10">
        <f>T507*P507*(A507&lt;PARAM!$B$55)</f>
        <v>0</v>
      </c>
      <c r="W507">
        <v>504</v>
      </c>
      <c r="X507" s="178">
        <f t="shared" si="152"/>
        <v>73</v>
      </c>
      <c r="Y507" s="178">
        <f t="shared" si="152"/>
        <v>73</v>
      </c>
      <c r="Z507" s="178">
        <f t="shared" si="152"/>
        <v>42</v>
      </c>
      <c r="AA507" s="178">
        <f t="shared" si="152"/>
        <v>42</v>
      </c>
      <c r="AD507" s="17">
        <f>CALC!E531*(A507&lt;PARAM!$B$55)</f>
        <v>0</v>
      </c>
      <c r="AE507">
        <f>IF(A507&lt;ITER!$C$16,1,PARAM!$C$53^-(RATES!A507-ITER!$C$16))*(A507&lt;PARAM!$B$55)</f>
        <v>0</v>
      </c>
    </row>
    <row r="508" spans="1:31" x14ac:dyDescent="0.2">
      <c r="A508" s="9">
        <v>505</v>
      </c>
      <c r="B508" s="178">
        <f t="shared" si="149"/>
        <v>73</v>
      </c>
      <c r="C508" s="178">
        <f t="shared" si="149"/>
        <v>73</v>
      </c>
      <c r="D508" s="2">
        <f>PARAM!$H$38</f>
        <v>1</v>
      </c>
      <c r="E508" s="11">
        <f>PARAM!$G$38</f>
        <v>0</v>
      </c>
      <c r="F508" s="11">
        <f>(VLOOKUP(C508,DEDN!$A$8:$O$902,$F$2)*D508+E508)/1000</f>
        <v>3.3600000000000005E-2</v>
      </c>
      <c r="G508" s="178">
        <f t="shared" si="150"/>
        <v>42</v>
      </c>
      <c r="H508" s="178">
        <f t="shared" si="150"/>
        <v>42</v>
      </c>
      <c r="I508" s="2">
        <f>PARAM!$H$39</f>
        <v>0</v>
      </c>
      <c r="J508" s="11">
        <f>PARAM!$G$39</f>
        <v>0</v>
      </c>
      <c r="K508" s="11">
        <f>(VLOOKUP(H508,DEDN!$A$8:$O$902,$K$2)*I508+J508)/1000</f>
        <v>0</v>
      </c>
      <c r="L508" s="11">
        <f>MIN(IF(PARAM!$B$43=3,CHOOSE($L$2,F508,K508),F508+K508-F508*K508),1)</f>
        <v>3.3600000000000005E-2</v>
      </c>
      <c r="M508" s="2">
        <f>PARAM!$I$38</f>
        <v>0</v>
      </c>
      <c r="N508" s="11">
        <f>VLOOKUP(B508,DEDN!$A$8:$O$90,$N$2)*M508</f>
        <v>0</v>
      </c>
      <c r="O508" s="12"/>
      <c r="P508" s="10">
        <f>PARAM!$C$53^-A508</f>
        <v>1</v>
      </c>
      <c r="Q508" s="10">
        <f t="shared" si="151"/>
        <v>0.7209379542494313</v>
      </c>
      <c r="R508" s="10">
        <f t="shared" si="148"/>
        <v>0.7209379542494313</v>
      </c>
      <c r="S508" s="10">
        <f>CHOOSE(PARAM!$B$51,R508,0,0,0)*(A508&lt;PARAM!$B$55)</f>
        <v>0</v>
      </c>
      <c r="T508" s="10">
        <f t="shared" si="136"/>
        <v>2.0503972395403691E-3</v>
      </c>
      <c r="U508" s="10">
        <f>T508*P508*(A508&lt;PARAM!$B$55)</f>
        <v>0</v>
      </c>
      <c r="W508">
        <v>505</v>
      </c>
      <c r="X508" s="178">
        <f t="shared" si="152"/>
        <v>73</v>
      </c>
      <c r="Y508" s="178">
        <f t="shared" si="152"/>
        <v>73</v>
      </c>
      <c r="Z508" s="178">
        <f t="shared" si="152"/>
        <v>42</v>
      </c>
      <c r="AA508" s="178">
        <f t="shared" si="152"/>
        <v>42</v>
      </c>
      <c r="AD508" s="17">
        <f>CALC!E532*(A508&lt;PARAM!$B$55)</f>
        <v>0</v>
      </c>
      <c r="AE508">
        <f>IF(A508&lt;ITER!$C$16,1,PARAM!$C$53^-(RATES!A508-ITER!$C$16))*(A508&lt;PARAM!$B$55)</f>
        <v>0</v>
      </c>
    </row>
    <row r="509" spans="1:31" x14ac:dyDescent="0.2">
      <c r="A509" s="9">
        <v>506</v>
      </c>
      <c r="B509" s="178">
        <f t="shared" si="149"/>
        <v>73</v>
      </c>
      <c r="C509" s="178">
        <f t="shared" si="149"/>
        <v>73</v>
      </c>
      <c r="D509" s="2">
        <f>PARAM!$H$38</f>
        <v>1</v>
      </c>
      <c r="E509" s="11">
        <f>PARAM!$G$38</f>
        <v>0</v>
      </c>
      <c r="F509" s="11">
        <f>(VLOOKUP(C509,DEDN!$A$8:$O$902,$F$2)*D509+E509)/1000</f>
        <v>3.3600000000000005E-2</v>
      </c>
      <c r="G509" s="178">
        <f t="shared" si="150"/>
        <v>42</v>
      </c>
      <c r="H509" s="178">
        <f t="shared" si="150"/>
        <v>42</v>
      </c>
      <c r="I509" s="2">
        <f>PARAM!$H$39</f>
        <v>0</v>
      </c>
      <c r="J509" s="11">
        <f>PARAM!$G$39</f>
        <v>0</v>
      </c>
      <c r="K509" s="11">
        <f>(VLOOKUP(H509,DEDN!$A$8:$O$902,$K$2)*I509+J509)/1000</f>
        <v>0</v>
      </c>
      <c r="L509" s="11">
        <f>MIN(IF(PARAM!$B$43=3,CHOOSE($L$2,F509,K509),F509+K509-F509*K509),1)</f>
        <v>3.3600000000000005E-2</v>
      </c>
      <c r="M509" s="2">
        <f>PARAM!$I$38</f>
        <v>0</v>
      </c>
      <c r="N509" s="11">
        <f>VLOOKUP(B509,DEDN!$A$8:$O$90,$N$2)*M509</f>
        <v>0</v>
      </c>
      <c r="O509" s="12"/>
      <c r="P509" s="10">
        <f>PARAM!$C$53^-A509</f>
        <v>1</v>
      </c>
      <c r="Q509" s="10">
        <f t="shared" si="151"/>
        <v>0.71888755700989093</v>
      </c>
      <c r="R509" s="10">
        <f t="shared" si="148"/>
        <v>0.71888755700989093</v>
      </c>
      <c r="S509" s="10">
        <f>CHOOSE(PARAM!$B$51,R509,0,0,0)*(A509&lt;PARAM!$B$55)</f>
        <v>0</v>
      </c>
      <c r="T509" s="10">
        <f t="shared" si="136"/>
        <v>2.0445657684475815E-3</v>
      </c>
      <c r="U509" s="10">
        <f>T509*P509*(A509&lt;PARAM!$B$55)</f>
        <v>0</v>
      </c>
      <c r="W509">
        <v>506</v>
      </c>
      <c r="X509" s="178">
        <f t="shared" si="152"/>
        <v>73</v>
      </c>
      <c r="Y509" s="178">
        <f t="shared" si="152"/>
        <v>73</v>
      </c>
      <c r="Z509" s="178">
        <f t="shared" si="152"/>
        <v>42</v>
      </c>
      <c r="AA509" s="178">
        <f t="shared" si="152"/>
        <v>42</v>
      </c>
      <c r="AD509" s="17">
        <f>CALC!E533*(A509&lt;PARAM!$B$55)</f>
        <v>0</v>
      </c>
      <c r="AE509">
        <f>IF(A509&lt;ITER!$C$16,1,PARAM!$C$53^-(RATES!A509-ITER!$C$16))*(A509&lt;PARAM!$B$55)</f>
        <v>0</v>
      </c>
    </row>
    <row r="510" spans="1:31" x14ac:dyDescent="0.2">
      <c r="A510" s="9">
        <v>507</v>
      </c>
      <c r="B510" s="178">
        <f t="shared" si="149"/>
        <v>73</v>
      </c>
      <c r="C510" s="178">
        <f t="shared" si="149"/>
        <v>73</v>
      </c>
      <c r="D510" s="2">
        <f>PARAM!$H$38</f>
        <v>1</v>
      </c>
      <c r="E510" s="11">
        <f>PARAM!$G$38</f>
        <v>0</v>
      </c>
      <c r="F510" s="11">
        <f>(VLOOKUP(C510,DEDN!$A$8:$O$902,$F$2)*D510+E510)/1000</f>
        <v>3.3600000000000005E-2</v>
      </c>
      <c r="G510" s="178">
        <f t="shared" si="150"/>
        <v>42</v>
      </c>
      <c r="H510" s="178">
        <f t="shared" si="150"/>
        <v>42</v>
      </c>
      <c r="I510" s="2">
        <f>PARAM!$H$39</f>
        <v>0</v>
      </c>
      <c r="J510" s="11">
        <f>PARAM!$G$39</f>
        <v>0</v>
      </c>
      <c r="K510" s="11">
        <f>(VLOOKUP(H510,DEDN!$A$8:$O$902,$K$2)*I510+J510)/1000</f>
        <v>0</v>
      </c>
      <c r="L510" s="11">
        <f>MIN(IF(PARAM!$B$43=3,CHOOSE($L$2,F510,K510),F510+K510-F510*K510),1)</f>
        <v>3.3600000000000005E-2</v>
      </c>
      <c r="M510" s="2">
        <f>PARAM!$I$38</f>
        <v>0</v>
      </c>
      <c r="N510" s="11">
        <f>VLOOKUP(B510,DEDN!$A$8:$O$90,$N$2)*M510</f>
        <v>0</v>
      </c>
      <c r="O510" s="12"/>
      <c r="P510" s="10">
        <f>PARAM!$C$53^-A510</f>
        <v>1</v>
      </c>
      <c r="Q510" s="10">
        <f t="shared" si="151"/>
        <v>0.71684299124144335</v>
      </c>
      <c r="R510" s="10">
        <f t="shared" si="148"/>
        <v>0.71684299124144335</v>
      </c>
      <c r="S510" s="10">
        <f>CHOOSE(PARAM!$B$51,R510,R510,0,0)*(A510&lt;PARAM!$B$55)</f>
        <v>0</v>
      </c>
      <c r="T510" s="10">
        <f t="shared" si="136"/>
        <v>2.0387508824605272E-3</v>
      </c>
      <c r="U510" s="10">
        <f>T510*P510*(A510&lt;PARAM!$B$55)</f>
        <v>0</v>
      </c>
      <c r="W510">
        <v>507</v>
      </c>
      <c r="X510" s="178">
        <f t="shared" si="152"/>
        <v>73</v>
      </c>
      <c r="Y510" s="178">
        <f t="shared" si="152"/>
        <v>73</v>
      </c>
      <c r="Z510" s="178">
        <f t="shared" si="152"/>
        <v>42</v>
      </c>
      <c r="AA510" s="178">
        <f t="shared" si="152"/>
        <v>42</v>
      </c>
      <c r="AD510" s="17">
        <f>CALC!E534*(A510&lt;PARAM!$B$55)</f>
        <v>0</v>
      </c>
      <c r="AE510">
        <f>IF(A510&lt;ITER!$C$16,1,PARAM!$C$53^-(RATES!A510-ITER!$C$16))*(A510&lt;PARAM!$B$55)</f>
        <v>0</v>
      </c>
    </row>
    <row r="511" spans="1:31" x14ac:dyDescent="0.2">
      <c r="A511" s="9">
        <v>508</v>
      </c>
      <c r="B511" s="178">
        <f t="shared" si="149"/>
        <v>73</v>
      </c>
      <c r="C511" s="178">
        <f t="shared" si="149"/>
        <v>73</v>
      </c>
      <c r="D511" s="2">
        <f>PARAM!$H$38</f>
        <v>1</v>
      </c>
      <c r="E511" s="11">
        <f>PARAM!$G$38</f>
        <v>0</v>
      </c>
      <c r="F511" s="11">
        <f>(VLOOKUP(C511,DEDN!$A$8:$O$902,$F$2)*D511+E511)/1000</f>
        <v>3.3600000000000005E-2</v>
      </c>
      <c r="G511" s="178">
        <f t="shared" si="150"/>
        <v>42</v>
      </c>
      <c r="H511" s="178">
        <f t="shared" si="150"/>
        <v>42</v>
      </c>
      <c r="I511" s="2">
        <f>PARAM!$H$39</f>
        <v>0</v>
      </c>
      <c r="J511" s="11">
        <f>PARAM!$G$39</f>
        <v>0</v>
      </c>
      <c r="K511" s="11">
        <f>(VLOOKUP(H511,DEDN!$A$8:$O$902,$K$2)*I511+J511)/1000</f>
        <v>0</v>
      </c>
      <c r="L511" s="11">
        <f>MIN(IF(PARAM!$B$43=3,CHOOSE($L$2,F511,K511),F511+K511-F511*K511),1)</f>
        <v>3.3600000000000005E-2</v>
      </c>
      <c r="M511" s="2">
        <f>PARAM!$I$38</f>
        <v>0</v>
      </c>
      <c r="N511" s="11">
        <f>VLOOKUP(B511,DEDN!$A$8:$O$90,$N$2)*M511</f>
        <v>0</v>
      </c>
      <c r="O511" s="12"/>
      <c r="P511" s="10">
        <f>PARAM!$C$53^-A511</f>
        <v>1</v>
      </c>
      <c r="Q511" s="10">
        <f t="shared" si="151"/>
        <v>0.71480424035898282</v>
      </c>
      <c r="R511" s="10">
        <f t="shared" si="148"/>
        <v>0.71480424035898282</v>
      </c>
      <c r="S511" s="10">
        <f>CHOOSE(PARAM!$B$51,R511,0,0,0)*(A511&lt;PARAM!$B$55)</f>
        <v>0</v>
      </c>
      <c r="T511" s="10">
        <f t="shared" si="136"/>
        <v>2.0329525344100485E-3</v>
      </c>
      <c r="U511" s="10">
        <f>T511*P511*(A511&lt;PARAM!$B$55)</f>
        <v>0</v>
      </c>
      <c r="W511">
        <v>508</v>
      </c>
      <c r="X511" s="178">
        <f t="shared" si="152"/>
        <v>73</v>
      </c>
      <c r="Y511" s="178">
        <f t="shared" si="152"/>
        <v>73</v>
      </c>
      <c r="Z511" s="178">
        <f t="shared" si="152"/>
        <v>42</v>
      </c>
      <c r="AA511" s="178">
        <f t="shared" si="152"/>
        <v>42</v>
      </c>
      <c r="AD511" s="17">
        <f>CALC!E535*(A511&lt;PARAM!$B$55)</f>
        <v>0</v>
      </c>
      <c r="AE511">
        <f>IF(A511&lt;ITER!$C$16,1,PARAM!$C$53^-(RATES!A511-ITER!$C$16))*(A511&lt;PARAM!$B$55)</f>
        <v>0</v>
      </c>
    </row>
    <row r="512" spans="1:31" x14ac:dyDescent="0.2">
      <c r="A512" s="9">
        <v>509</v>
      </c>
      <c r="B512" s="178">
        <f t="shared" si="149"/>
        <v>73</v>
      </c>
      <c r="C512" s="178">
        <f t="shared" si="149"/>
        <v>73</v>
      </c>
      <c r="D512" s="2">
        <f>PARAM!$H$38</f>
        <v>1</v>
      </c>
      <c r="E512" s="11">
        <f>PARAM!$G$38</f>
        <v>0</v>
      </c>
      <c r="F512" s="11">
        <f>(VLOOKUP(C512,DEDN!$A$8:$O$902,$F$2)*D512+E512)/1000</f>
        <v>3.3600000000000005E-2</v>
      </c>
      <c r="G512" s="178">
        <f t="shared" si="150"/>
        <v>42</v>
      </c>
      <c r="H512" s="178">
        <f t="shared" si="150"/>
        <v>42</v>
      </c>
      <c r="I512" s="2">
        <f>PARAM!$H$39</f>
        <v>0</v>
      </c>
      <c r="J512" s="11">
        <f>PARAM!$G$39</f>
        <v>0</v>
      </c>
      <c r="K512" s="11">
        <f>(VLOOKUP(H512,DEDN!$A$8:$O$902,$K$2)*I512+J512)/1000</f>
        <v>0</v>
      </c>
      <c r="L512" s="11">
        <f>MIN(IF(PARAM!$B$43=3,CHOOSE($L$2,F512,K512),F512+K512-F512*K512),1)</f>
        <v>3.3600000000000005E-2</v>
      </c>
      <c r="M512" s="2">
        <f>PARAM!$I$38</f>
        <v>0</v>
      </c>
      <c r="N512" s="11">
        <f>VLOOKUP(B512,DEDN!$A$8:$O$90,$N$2)*M512</f>
        <v>0</v>
      </c>
      <c r="O512" s="12"/>
      <c r="P512" s="10">
        <f>PARAM!$C$53^-A512</f>
        <v>1</v>
      </c>
      <c r="Q512" s="10">
        <f t="shared" si="151"/>
        <v>0.71277128782457277</v>
      </c>
      <c r="R512" s="10">
        <f t="shared" si="148"/>
        <v>0.71277128782457277</v>
      </c>
      <c r="S512" s="10">
        <f>CHOOSE(PARAM!$B$51,R512,0,0,0)*(A512&lt;PARAM!$B$55)</f>
        <v>0</v>
      </c>
      <c r="T512" s="10">
        <f t="shared" si="136"/>
        <v>2.0271706772612141E-3</v>
      </c>
      <c r="U512" s="10">
        <f>T512*P512*(A512&lt;PARAM!$B$55)</f>
        <v>0</v>
      </c>
      <c r="W512">
        <v>509</v>
      </c>
      <c r="X512" s="178">
        <f t="shared" si="152"/>
        <v>73</v>
      </c>
      <c r="Y512" s="178">
        <f t="shared" si="152"/>
        <v>73</v>
      </c>
      <c r="Z512" s="178">
        <f t="shared" si="152"/>
        <v>42</v>
      </c>
      <c r="AA512" s="178">
        <f t="shared" si="152"/>
        <v>42</v>
      </c>
      <c r="AD512" s="17">
        <f>CALC!E536*(A512&lt;PARAM!$B$55)</f>
        <v>0</v>
      </c>
      <c r="AE512">
        <f>IF(A512&lt;ITER!$C$16,1,PARAM!$C$53^-(RATES!A512-ITER!$C$16))*(A512&lt;PARAM!$B$55)</f>
        <v>0</v>
      </c>
    </row>
    <row r="513" spans="1:31" x14ac:dyDescent="0.2">
      <c r="A513" s="9">
        <v>510</v>
      </c>
      <c r="B513" s="178">
        <f t="shared" si="149"/>
        <v>74</v>
      </c>
      <c r="C513" s="178">
        <f t="shared" si="149"/>
        <v>74</v>
      </c>
      <c r="D513" s="2">
        <f>PARAM!$H$38</f>
        <v>1</v>
      </c>
      <c r="E513" s="11">
        <f>PARAM!$G$38</f>
        <v>0</v>
      </c>
      <c r="F513" s="11">
        <f>(VLOOKUP(C513,DEDN!$A$8:$O$902,$F$2)*D513+E513)/1000</f>
        <v>3.7010000000000001E-2</v>
      </c>
      <c r="G513" s="178">
        <f t="shared" si="150"/>
        <v>43</v>
      </c>
      <c r="H513" s="178">
        <f t="shared" si="150"/>
        <v>43</v>
      </c>
      <c r="I513" s="2">
        <f>PARAM!$H$39</f>
        <v>0</v>
      </c>
      <c r="J513" s="11">
        <f>PARAM!$G$39</f>
        <v>0</v>
      </c>
      <c r="K513" s="11">
        <f>(VLOOKUP(H513,DEDN!$A$8:$O$902,$K$2)*I513+J513)/1000</f>
        <v>0</v>
      </c>
      <c r="L513" s="11">
        <f>MIN(IF(PARAM!$B$43=3,CHOOSE($L$2,F513,K513),F513+K513-F513*K513),1)</f>
        <v>3.7010000000000001E-2</v>
      </c>
      <c r="M513" s="2">
        <f>PARAM!$I$38</f>
        <v>0</v>
      </c>
      <c r="N513" s="11">
        <f>VLOOKUP(B513,DEDN!$A$8:$O$90,$N$2)*M513</f>
        <v>0</v>
      </c>
      <c r="O513" s="12"/>
      <c r="P513" s="10">
        <f>PARAM!$C$53^-A513</f>
        <v>1</v>
      </c>
      <c r="Q513" s="10">
        <f t="shared" si="151"/>
        <v>0.71074411714731156</v>
      </c>
      <c r="R513" s="10">
        <f t="shared" si="148"/>
        <v>0.71074411714731156</v>
      </c>
      <c r="S513" s="10">
        <f>CHOOSE(PARAM!$B$51,R513,R513,R513,0)*(A513&lt;PARAM!$B$55)</f>
        <v>0</v>
      </c>
      <c r="T513" s="10">
        <f t="shared" si="136"/>
        <v>2.2301405856695045E-3</v>
      </c>
      <c r="U513" s="10">
        <f>T513*P513*(A513&lt;PARAM!$B$55)</f>
        <v>0</v>
      </c>
      <c r="W513">
        <v>510</v>
      </c>
      <c r="X513" s="178">
        <f t="shared" si="152"/>
        <v>74</v>
      </c>
      <c r="Y513" s="178">
        <f t="shared" si="152"/>
        <v>74</v>
      </c>
      <c r="Z513" s="178">
        <f t="shared" si="152"/>
        <v>43</v>
      </c>
      <c r="AA513" s="178">
        <f t="shared" si="152"/>
        <v>43</v>
      </c>
      <c r="AD513" s="17">
        <f>CALC!E537*(A513&lt;PARAM!$B$55)</f>
        <v>0</v>
      </c>
      <c r="AE513">
        <f>IF(A513&lt;ITER!$C$16,1,PARAM!$C$53^-(RATES!A513-ITER!$C$16))*(A513&lt;PARAM!$B$55)</f>
        <v>0</v>
      </c>
    </row>
    <row r="514" spans="1:31" x14ac:dyDescent="0.2">
      <c r="A514" s="9">
        <v>511</v>
      </c>
      <c r="B514" s="178">
        <f t="shared" si="149"/>
        <v>74</v>
      </c>
      <c r="C514" s="178">
        <f t="shared" si="149"/>
        <v>74</v>
      </c>
      <c r="D514" s="2">
        <f>PARAM!$H$38</f>
        <v>1</v>
      </c>
      <c r="E514" s="11">
        <f>PARAM!$G$38</f>
        <v>0</v>
      </c>
      <c r="F514" s="11">
        <f>(VLOOKUP(C514,DEDN!$A$8:$O$902,$F$2)*D514+E514)/1000</f>
        <v>3.7010000000000001E-2</v>
      </c>
      <c r="G514" s="178">
        <f t="shared" si="150"/>
        <v>43</v>
      </c>
      <c r="H514" s="178">
        <f t="shared" si="150"/>
        <v>43</v>
      </c>
      <c r="I514" s="2">
        <f>PARAM!$H$39</f>
        <v>0</v>
      </c>
      <c r="J514" s="11">
        <f>PARAM!$G$39</f>
        <v>0</v>
      </c>
      <c r="K514" s="11">
        <f>(VLOOKUP(H514,DEDN!$A$8:$O$902,$K$2)*I514+J514)/1000</f>
        <v>0</v>
      </c>
      <c r="L514" s="11">
        <f>MIN(IF(PARAM!$B$43=3,CHOOSE($L$2,F514,K514),F514+K514-F514*K514),1)</f>
        <v>3.7010000000000001E-2</v>
      </c>
      <c r="M514" s="2">
        <f>PARAM!$I$38</f>
        <v>0</v>
      </c>
      <c r="N514" s="11">
        <f>VLOOKUP(B514,DEDN!$A$8:$O$90,$N$2)*M514</f>
        <v>0</v>
      </c>
      <c r="O514" s="12"/>
      <c r="P514" s="10">
        <f>PARAM!$C$53^-A514</f>
        <v>1</v>
      </c>
      <c r="Q514" s="10">
        <f t="shared" si="151"/>
        <v>0.70851397656164206</v>
      </c>
      <c r="R514" s="10">
        <f t="shared" si="148"/>
        <v>0.70851397656164206</v>
      </c>
      <c r="S514" s="10">
        <f>CHOOSE(PARAM!$B$51,R514,0,0,0)*(A514&lt;PARAM!$B$55)</f>
        <v>0</v>
      </c>
      <c r="T514" s="10">
        <f t="shared" si="136"/>
        <v>2.2231429519052881E-3</v>
      </c>
      <c r="U514" s="10">
        <f>T514*P514*(A514&lt;PARAM!$B$55)</f>
        <v>0</v>
      </c>
      <c r="W514">
        <v>511</v>
      </c>
      <c r="X514" s="178">
        <f t="shared" si="152"/>
        <v>74</v>
      </c>
      <c r="Y514" s="178">
        <f t="shared" si="152"/>
        <v>74</v>
      </c>
      <c r="Z514" s="178">
        <f t="shared" si="152"/>
        <v>43</v>
      </c>
      <c r="AA514" s="178">
        <f t="shared" si="152"/>
        <v>43</v>
      </c>
      <c r="AD514" s="17">
        <f>CALC!E538*(A514&lt;PARAM!$B$55)</f>
        <v>0</v>
      </c>
      <c r="AE514">
        <f>IF(A514&lt;ITER!$C$16,1,PARAM!$C$53^-(RATES!A514-ITER!$C$16))*(A514&lt;PARAM!$B$55)</f>
        <v>0</v>
      </c>
    </row>
    <row r="515" spans="1:31" x14ac:dyDescent="0.2">
      <c r="A515" s="9">
        <v>512</v>
      </c>
      <c r="B515" s="178">
        <f t="shared" si="149"/>
        <v>74</v>
      </c>
      <c r="C515" s="178">
        <f t="shared" si="149"/>
        <v>74</v>
      </c>
      <c r="D515" s="2">
        <f>PARAM!$H$38</f>
        <v>1</v>
      </c>
      <c r="E515" s="11">
        <f>PARAM!$G$38</f>
        <v>0</v>
      </c>
      <c r="F515" s="11">
        <f>(VLOOKUP(C515,DEDN!$A$8:$O$902,$F$2)*D515+E515)/1000</f>
        <v>3.7010000000000001E-2</v>
      </c>
      <c r="G515" s="178">
        <f t="shared" si="150"/>
        <v>43</v>
      </c>
      <c r="H515" s="178">
        <f t="shared" si="150"/>
        <v>43</v>
      </c>
      <c r="I515" s="2">
        <f>PARAM!$H$39</f>
        <v>0</v>
      </c>
      <c r="J515" s="11">
        <f>PARAM!$G$39</f>
        <v>0</v>
      </c>
      <c r="K515" s="11">
        <f>(VLOOKUP(H515,DEDN!$A$8:$O$902,$K$2)*I515+J515)/1000</f>
        <v>0</v>
      </c>
      <c r="L515" s="11">
        <f>MIN(IF(PARAM!$B$43=3,CHOOSE($L$2,F515,K515),F515+K515-F515*K515),1)</f>
        <v>3.7010000000000001E-2</v>
      </c>
      <c r="M515" s="2">
        <f>PARAM!$I$38</f>
        <v>0</v>
      </c>
      <c r="N515" s="11">
        <f>VLOOKUP(B515,DEDN!$A$8:$O$90,$N$2)*M515</f>
        <v>0</v>
      </c>
      <c r="O515" s="12"/>
      <c r="P515" s="10">
        <f>PARAM!$C$53^-A515</f>
        <v>1</v>
      </c>
      <c r="Q515" s="10">
        <f t="shared" si="151"/>
        <v>0.70629083360973677</v>
      </c>
      <c r="R515" s="10">
        <f t="shared" si="148"/>
        <v>0.70629083360973677</v>
      </c>
      <c r="S515" s="10">
        <f>CHOOSE(PARAM!$B$51,R515,0,0,0)*(A515&lt;PARAM!$B$55)</f>
        <v>0</v>
      </c>
      <c r="T515" s="10">
        <f t="shared" si="136"/>
        <v>2.216167274998182E-3</v>
      </c>
      <c r="U515" s="10">
        <f>T515*P515*(A515&lt;PARAM!$B$55)</f>
        <v>0</v>
      </c>
      <c r="W515">
        <v>512</v>
      </c>
      <c r="X515" s="178">
        <f t="shared" si="152"/>
        <v>74</v>
      </c>
      <c r="Y515" s="178">
        <f t="shared" si="152"/>
        <v>74</v>
      </c>
      <c r="Z515" s="178">
        <f t="shared" si="152"/>
        <v>43</v>
      </c>
      <c r="AA515" s="178">
        <f t="shared" si="152"/>
        <v>43</v>
      </c>
      <c r="AD515" s="17">
        <f>CALC!E539*(A515&lt;PARAM!$B$55)</f>
        <v>0</v>
      </c>
      <c r="AE515">
        <f>IF(A515&lt;ITER!$C$16,1,PARAM!$C$53^-(RATES!A515-ITER!$C$16))*(A515&lt;PARAM!$B$55)</f>
        <v>0</v>
      </c>
    </row>
    <row r="516" spans="1:31" x14ac:dyDescent="0.2">
      <c r="A516" s="9">
        <v>513</v>
      </c>
      <c r="B516" s="178">
        <f t="shared" si="149"/>
        <v>74</v>
      </c>
      <c r="C516" s="178">
        <f t="shared" si="149"/>
        <v>74</v>
      </c>
      <c r="D516" s="2">
        <f>PARAM!$H$38</f>
        <v>1</v>
      </c>
      <c r="E516" s="11">
        <f>PARAM!$G$38</f>
        <v>0</v>
      </c>
      <c r="F516" s="11">
        <f>(VLOOKUP(C516,DEDN!$A$8:$O$902,$F$2)*D516+E516)/1000</f>
        <v>3.7010000000000001E-2</v>
      </c>
      <c r="G516" s="178">
        <f t="shared" si="150"/>
        <v>43</v>
      </c>
      <c r="H516" s="178">
        <f t="shared" si="150"/>
        <v>43</v>
      </c>
      <c r="I516" s="2">
        <f>PARAM!$H$39</f>
        <v>0</v>
      </c>
      <c r="J516" s="11">
        <f>PARAM!$G$39</f>
        <v>0</v>
      </c>
      <c r="K516" s="11">
        <f>(VLOOKUP(H516,DEDN!$A$8:$O$902,$K$2)*I516+J516)/1000</f>
        <v>0</v>
      </c>
      <c r="L516" s="11">
        <f>MIN(IF(PARAM!$B$43=3,CHOOSE($L$2,F516,K516),F516+K516-F516*K516),1)</f>
        <v>3.7010000000000001E-2</v>
      </c>
      <c r="M516" s="2">
        <f>PARAM!$I$38</f>
        <v>0</v>
      </c>
      <c r="N516" s="11">
        <f>VLOOKUP(B516,DEDN!$A$8:$O$90,$N$2)*M516</f>
        <v>0</v>
      </c>
      <c r="O516" s="12"/>
      <c r="P516" s="10">
        <f>PARAM!$C$53^-A516</f>
        <v>1</v>
      </c>
      <c r="Q516" s="10">
        <f t="shared" si="151"/>
        <v>0.70407466633473859</v>
      </c>
      <c r="R516" s="10">
        <f t="shared" ref="R516:R531" si="153">P516*Q516</f>
        <v>0.70407466633473859</v>
      </c>
      <c r="S516" s="10">
        <f>CHOOSE(PARAM!$B$51,R516,R516,0,0)*(A516&lt;PARAM!$B$55)</f>
        <v>0</v>
      </c>
      <c r="T516" s="10">
        <f t="shared" ref="T516:T579" si="154">Q516-Q517</f>
        <v>2.2092134860531853E-3</v>
      </c>
      <c r="U516" s="10">
        <f>T516*P516*(A516&lt;PARAM!$B$55)</f>
        <v>0</v>
      </c>
      <c r="W516">
        <v>513</v>
      </c>
      <c r="X516" s="178">
        <f t="shared" si="152"/>
        <v>74</v>
      </c>
      <c r="Y516" s="178">
        <f t="shared" si="152"/>
        <v>74</v>
      </c>
      <c r="Z516" s="178">
        <f t="shared" si="152"/>
        <v>43</v>
      </c>
      <c r="AA516" s="178">
        <f t="shared" si="152"/>
        <v>43</v>
      </c>
      <c r="AD516" s="17">
        <f>CALC!E540*(A516&lt;PARAM!$B$55)</f>
        <v>0</v>
      </c>
      <c r="AE516">
        <f>IF(A516&lt;ITER!$C$16,1,PARAM!$C$53^-(RATES!A516-ITER!$C$16))*(A516&lt;PARAM!$B$55)</f>
        <v>0</v>
      </c>
    </row>
    <row r="517" spans="1:31" x14ac:dyDescent="0.2">
      <c r="A517" s="9">
        <v>514</v>
      </c>
      <c r="B517" s="178">
        <f t="shared" si="149"/>
        <v>74</v>
      </c>
      <c r="C517" s="178">
        <f t="shared" si="149"/>
        <v>74</v>
      </c>
      <c r="D517" s="2">
        <f>PARAM!$H$38</f>
        <v>1</v>
      </c>
      <c r="E517" s="11">
        <f>PARAM!$G$38</f>
        <v>0</v>
      </c>
      <c r="F517" s="11">
        <f>(VLOOKUP(C517,DEDN!$A$8:$O$902,$F$2)*D517+E517)/1000</f>
        <v>3.7010000000000001E-2</v>
      </c>
      <c r="G517" s="178">
        <f t="shared" si="150"/>
        <v>43</v>
      </c>
      <c r="H517" s="178">
        <f t="shared" si="150"/>
        <v>43</v>
      </c>
      <c r="I517" s="2">
        <f>PARAM!$H$39</f>
        <v>0</v>
      </c>
      <c r="J517" s="11">
        <f>PARAM!$G$39</f>
        <v>0</v>
      </c>
      <c r="K517" s="11">
        <f>(VLOOKUP(H517,DEDN!$A$8:$O$902,$K$2)*I517+J517)/1000</f>
        <v>0</v>
      </c>
      <c r="L517" s="11">
        <f>MIN(IF(PARAM!$B$43=3,CHOOSE($L$2,F517,K517),F517+K517-F517*K517),1)</f>
        <v>3.7010000000000001E-2</v>
      </c>
      <c r="M517" s="2">
        <f>PARAM!$I$38</f>
        <v>0</v>
      </c>
      <c r="N517" s="11">
        <f>VLOOKUP(B517,DEDN!$A$8:$O$90,$N$2)*M517</f>
        <v>0</v>
      </c>
      <c r="O517" s="12"/>
      <c r="P517" s="10">
        <f>PARAM!$C$53^-A517</f>
        <v>1</v>
      </c>
      <c r="Q517" s="10">
        <f t="shared" ref="Q517:Q532" si="155">Q516*(1-L516)^(1/12)</f>
        <v>0.7018654528486854</v>
      </c>
      <c r="R517" s="10">
        <f t="shared" si="153"/>
        <v>0.7018654528486854</v>
      </c>
      <c r="S517" s="10">
        <f>CHOOSE(PARAM!$B$51,R517,0,0,0)*(A517&lt;PARAM!$B$55)</f>
        <v>0</v>
      </c>
      <c r="T517" s="10">
        <f t="shared" si="154"/>
        <v>2.2022815163909026E-3</v>
      </c>
      <c r="U517" s="10">
        <f>T517*P517*(A517&lt;PARAM!$B$55)</f>
        <v>0</v>
      </c>
      <c r="W517">
        <v>514</v>
      </c>
      <c r="X517" s="178">
        <f t="shared" si="152"/>
        <v>74</v>
      </c>
      <c r="Y517" s="178">
        <f t="shared" si="152"/>
        <v>74</v>
      </c>
      <c r="Z517" s="178">
        <f t="shared" si="152"/>
        <v>43</v>
      </c>
      <c r="AA517" s="178">
        <f t="shared" si="152"/>
        <v>43</v>
      </c>
      <c r="AD517" s="17">
        <f>CALC!E541*(A517&lt;PARAM!$B$55)</f>
        <v>0</v>
      </c>
      <c r="AE517">
        <f>IF(A517&lt;ITER!$C$16,1,PARAM!$C$53^-(RATES!A517-ITER!$C$16))*(A517&lt;PARAM!$B$55)</f>
        <v>0</v>
      </c>
    </row>
    <row r="518" spans="1:31" x14ac:dyDescent="0.2">
      <c r="A518" s="9">
        <v>515</v>
      </c>
      <c r="B518" s="178">
        <f t="shared" si="149"/>
        <v>74</v>
      </c>
      <c r="C518" s="178">
        <f t="shared" si="149"/>
        <v>74</v>
      </c>
      <c r="D518" s="2">
        <f>PARAM!$H$38</f>
        <v>1</v>
      </c>
      <c r="E518" s="11">
        <f>PARAM!$G$38</f>
        <v>0</v>
      </c>
      <c r="F518" s="11">
        <f>(VLOOKUP(C518,DEDN!$A$8:$O$902,$F$2)*D518+E518)/1000</f>
        <v>3.7010000000000001E-2</v>
      </c>
      <c r="G518" s="178">
        <f t="shared" si="150"/>
        <v>43</v>
      </c>
      <c r="H518" s="178">
        <f t="shared" si="150"/>
        <v>43</v>
      </c>
      <c r="I518" s="2">
        <f>PARAM!$H$39</f>
        <v>0</v>
      </c>
      <c r="J518" s="11">
        <f>PARAM!$G$39</f>
        <v>0</v>
      </c>
      <c r="K518" s="11">
        <f>(VLOOKUP(H518,DEDN!$A$8:$O$902,$K$2)*I518+J518)/1000</f>
        <v>0</v>
      </c>
      <c r="L518" s="11">
        <f>MIN(IF(PARAM!$B$43=3,CHOOSE($L$2,F518,K518),F518+K518-F518*K518),1)</f>
        <v>3.7010000000000001E-2</v>
      </c>
      <c r="M518" s="2">
        <f>PARAM!$I$38</f>
        <v>0</v>
      </c>
      <c r="N518" s="11">
        <f>VLOOKUP(B518,DEDN!$A$8:$O$90,$N$2)*M518</f>
        <v>0</v>
      </c>
      <c r="O518" s="12"/>
      <c r="P518" s="10">
        <f>PARAM!$C$53^-A518</f>
        <v>1</v>
      </c>
      <c r="Q518" s="10">
        <f t="shared" si="155"/>
        <v>0.6996631713322945</v>
      </c>
      <c r="R518" s="10">
        <f t="shared" si="153"/>
        <v>0.6996631713322945</v>
      </c>
      <c r="S518" s="10">
        <f>CHOOSE(PARAM!$B$51,R518,0,0,0)*(A518&lt;PARAM!$B$55)</f>
        <v>0</v>
      </c>
      <c r="T518" s="10">
        <f t="shared" si="154"/>
        <v>2.1953712975480988E-3</v>
      </c>
      <c r="U518" s="10">
        <f>T518*P518*(A518&lt;PARAM!$B$55)</f>
        <v>0</v>
      </c>
      <c r="W518">
        <v>515</v>
      </c>
      <c r="X518" s="178">
        <f t="shared" si="152"/>
        <v>74</v>
      </c>
      <c r="Y518" s="178">
        <f t="shared" si="152"/>
        <v>74</v>
      </c>
      <c r="Z518" s="178">
        <f t="shared" si="152"/>
        <v>43</v>
      </c>
      <c r="AA518" s="178">
        <f t="shared" si="152"/>
        <v>43</v>
      </c>
      <c r="AD518" s="17">
        <f>CALC!E542*(A518&lt;PARAM!$B$55)</f>
        <v>0</v>
      </c>
      <c r="AE518">
        <f>IF(A518&lt;ITER!$C$16,1,PARAM!$C$53^-(RATES!A518-ITER!$C$16))*(A518&lt;PARAM!$B$55)</f>
        <v>0</v>
      </c>
    </row>
    <row r="519" spans="1:31" x14ac:dyDescent="0.2">
      <c r="A519" s="9">
        <v>516</v>
      </c>
      <c r="B519" s="178">
        <f t="shared" si="149"/>
        <v>74</v>
      </c>
      <c r="C519" s="178">
        <f t="shared" si="149"/>
        <v>74</v>
      </c>
      <c r="D519" s="2">
        <f>PARAM!$H$38</f>
        <v>1</v>
      </c>
      <c r="E519" s="11">
        <f>PARAM!$G$38</f>
        <v>0</v>
      </c>
      <c r="F519" s="11">
        <f>(VLOOKUP(C519,DEDN!$A$8:$O$902,$F$2)*D519+E519)/1000</f>
        <v>3.7010000000000001E-2</v>
      </c>
      <c r="G519" s="178">
        <f t="shared" si="150"/>
        <v>43</v>
      </c>
      <c r="H519" s="178">
        <f t="shared" si="150"/>
        <v>43</v>
      </c>
      <c r="I519" s="2">
        <f>PARAM!$H$39</f>
        <v>0</v>
      </c>
      <c r="J519" s="11">
        <f>PARAM!$G$39</f>
        <v>0</v>
      </c>
      <c r="K519" s="11">
        <f>(VLOOKUP(H519,DEDN!$A$8:$O$902,$K$2)*I519+J519)/1000</f>
        <v>0</v>
      </c>
      <c r="L519" s="11">
        <f>MIN(IF(PARAM!$B$43=3,CHOOSE($L$2,F519,K519),F519+K519-F519*K519),1)</f>
        <v>3.7010000000000001E-2</v>
      </c>
      <c r="M519" s="2">
        <f>PARAM!$I$38</f>
        <v>0</v>
      </c>
      <c r="N519" s="11">
        <f>VLOOKUP(B519,DEDN!$A$8:$O$90,$N$2)*M519</f>
        <v>0</v>
      </c>
      <c r="O519" s="12"/>
      <c r="P519" s="10">
        <f>PARAM!$C$53^-A519</f>
        <v>1</v>
      </c>
      <c r="Q519" s="10">
        <f t="shared" si="155"/>
        <v>0.6974678000347464</v>
      </c>
      <c r="R519" s="10">
        <f t="shared" si="153"/>
        <v>0.6974678000347464</v>
      </c>
      <c r="S519" s="10">
        <f>R519*(A519&lt;PARAM!$B$55)</f>
        <v>0</v>
      </c>
      <c r="T519" s="10">
        <f t="shared" si="154"/>
        <v>2.1884827612758118E-3</v>
      </c>
      <c r="U519" s="10">
        <f>T519*P519*(A519&lt;PARAM!$B$55)</f>
        <v>0</v>
      </c>
      <c r="W519">
        <v>516</v>
      </c>
      <c r="X519" s="178">
        <f t="shared" si="152"/>
        <v>74</v>
      </c>
      <c r="Y519" s="178">
        <f t="shared" si="152"/>
        <v>74</v>
      </c>
      <c r="Z519" s="178">
        <f t="shared" si="152"/>
        <v>43</v>
      </c>
      <c r="AA519" s="178">
        <f t="shared" si="152"/>
        <v>43</v>
      </c>
      <c r="AD519" s="17">
        <f>CALC!E543*(A519&lt;PARAM!$B$55)</f>
        <v>0</v>
      </c>
      <c r="AE519">
        <f>IF(A519&lt;ITER!$C$16,1,PARAM!$C$53^-(RATES!A519-ITER!$C$16))*(A519&lt;PARAM!$B$55)</f>
        <v>0</v>
      </c>
    </row>
    <row r="520" spans="1:31" x14ac:dyDescent="0.2">
      <c r="A520" s="9">
        <v>517</v>
      </c>
      <c r="B520" s="178">
        <f t="shared" si="149"/>
        <v>74</v>
      </c>
      <c r="C520" s="178">
        <f t="shared" si="149"/>
        <v>74</v>
      </c>
      <c r="D520" s="2">
        <f>PARAM!$H$38</f>
        <v>1</v>
      </c>
      <c r="E520" s="11">
        <f>PARAM!$G$38</f>
        <v>0</v>
      </c>
      <c r="F520" s="11">
        <f>(VLOOKUP(C520,DEDN!$A$8:$O$902,$F$2)*D520+E520)/1000</f>
        <v>3.7010000000000001E-2</v>
      </c>
      <c r="G520" s="178">
        <f t="shared" si="150"/>
        <v>43</v>
      </c>
      <c r="H520" s="178">
        <f t="shared" si="150"/>
        <v>43</v>
      </c>
      <c r="I520" s="2">
        <f>PARAM!$H$39</f>
        <v>0</v>
      </c>
      <c r="J520" s="11">
        <f>PARAM!$G$39</f>
        <v>0</v>
      </c>
      <c r="K520" s="11">
        <f>(VLOOKUP(H520,DEDN!$A$8:$O$902,$K$2)*I520+J520)/1000</f>
        <v>0</v>
      </c>
      <c r="L520" s="11">
        <f>MIN(IF(PARAM!$B$43=3,CHOOSE($L$2,F520,K520),F520+K520-F520*K520),1)</f>
        <v>3.7010000000000001E-2</v>
      </c>
      <c r="M520" s="2">
        <f>PARAM!$I$38</f>
        <v>0</v>
      </c>
      <c r="N520" s="11">
        <f>VLOOKUP(B520,DEDN!$A$8:$O$90,$N$2)*M520</f>
        <v>0</v>
      </c>
      <c r="O520" s="12"/>
      <c r="P520" s="10">
        <f>PARAM!$C$53^-A520</f>
        <v>1</v>
      </c>
      <c r="Q520" s="10">
        <f t="shared" si="155"/>
        <v>0.69527931727347059</v>
      </c>
      <c r="R520" s="10">
        <f t="shared" si="153"/>
        <v>0.69527931727347059</v>
      </c>
      <c r="S520" s="10">
        <f>CHOOSE(PARAM!$B$51,R520,0,0,0)*(A520&lt;PARAM!$B$55)</f>
        <v>0</v>
      </c>
      <c r="T520" s="10">
        <f t="shared" si="154"/>
        <v>2.1816158395395746E-3</v>
      </c>
      <c r="U520" s="10">
        <f>T520*P520*(A520&lt;PARAM!$B$55)</f>
        <v>0</v>
      </c>
      <c r="W520">
        <v>517</v>
      </c>
      <c r="X520" s="178">
        <f t="shared" si="152"/>
        <v>74</v>
      </c>
      <c r="Y520" s="178">
        <f t="shared" si="152"/>
        <v>74</v>
      </c>
      <c r="Z520" s="178">
        <f t="shared" si="152"/>
        <v>43</v>
      </c>
      <c r="AA520" s="178">
        <f t="shared" si="152"/>
        <v>43</v>
      </c>
      <c r="AD520" s="17">
        <f>CALC!E544*(A520&lt;PARAM!$B$55)</f>
        <v>0</v>
      </c>
      <c r="AE520">
        <f>IF(A520&lt;ITER!$C$16,1,PARAM!$C$53^-(RATES!A520-ITER!$C$16))*(A520&lt;PARAM!$B$55)</f>
        <v>0</v>
      </c>
    </row>
    <row r="521" spans="1:31" x14ac:dyDescent="0.2">
      <c r="A521" s="9">
        <v>518</v>
      </c>
      <c r="B521" s="178">
        <f t="shared" ref="B521:C540" si="156">B509+1</f>
        <v>74</v>
      </c>
      <c r="C521" s="178">
        <f t="shared" si="156"/>
        <v>74</v>
      </c>
      <c r="D521" s="2">
        <f>PARAM!$H$38</f>
        <v>1</v>
      </c>
      <c r="E521" s="11">
        <f>PARAM!$G$38</f>
        <v>0</v>
      </c>
      <c r="F521" s="11">
        <f>(VLOOKUP(C521,DEDN!$A$8:$O$902,$F$2)*D521+E521)/1000</f>
        <v>3.7010000000000001E-2</v>
      </c>
      <c r="G521" s="178">
        <f t="shared" ref="G521:H540" si="157">G509+1</f>
        <v>43</v>
      </c>
      <c r="H521" s="178">
        <f t="shared" si="157"/>
        <v>43</v>
      </c>
      <c r="I521" s="2">
        <f>PARAM!$H$39</f>
        <v>0</v>
      </c>
      <c r="J521" s="11">
        <f>PARAM!$G$39</f>
        <v>0</v>
      </c>
      <c r="K521" s="11">
        <f>(VLOOKUP(H521,DEDN!$A$8:$O$902,$K$2)*I521+J521)/1000</f>
        <v>0</v>
      </c>
      <c r="L521" s="11">
        <f>MIN(IF(PARAM!$B$43=3,CHOOSE($L$2,F521,K521),F521+K521-F521*K521),1)</f>
        <v>3.7010000000000001E-2</v>
      </c>
      <c r="M521" s="2">
        <f>PARAM!$I$38</f>
        <v>0</v>
      </c>
      <c r="N521" s="11">
        <f>VLOOKUP(B521,DEDN!$A$8:$O$90,$N$2)*M521</f>
        <v>0</v>
      </c>
      <c r="O521" s="12"/>
      <c r="P521" s="10">
        <f>PARAM!$C$53^-A521</f>
        <v>1</v>
      </c>
      <c r="Q521" s="10">
        <f t="shared" si="155"/>
        <v>0.69309770143393101</v>
      </c>
      <c r="R521" s="10">
        <f t="shared" si="153"/>
        <v>0.69309770143393101</v>
      </c>
      <c r="S521" s="10">
        <f>CHOOSE(PARAM!$B$51,R521,0,0,0)*(A521&lt;PARAM!$B$55)</f>
        <v>0</v>
      </c>
      <c r="T521" s="10">
        <f t="shared" si="154"/>
        <v>2.1747704645181942E-3</v>
      </c>
      <c r="U521" s="10">
        <f>T521*P521*(A521&lt;PARAM!$B$55)</f>
        <v>0</v>
      </c>
      <c r="W521">
        <v>518</v>
      </c>
      <c r="X521" s="178">
        <f t="shared" ref="X521:AA540" si="158">X509+1</f>
        <v>74</v>
      </c>
      <c r="Y521" s="178">
        <f t="shared" si="158"/>
        <v>74</v>
      </c>
      <c r="Z521" s="178">
        <f t="shared" si="158"/>
        <v>43</v>
      </c>
      <c r="AA521" s="178">
        <f t="shared" si="158"/>
        <v>43</v>
      </c>
      <c r="AD521" s="17">
        <f>CALC!E545*(A521&lt;PARAM!$B$55)</f>
        <v>0</v>
      </c>
      <c r="AE521">
        <f>IF(A521&lt;ITER!$C$16,1,PARAM!$C$53^-(RATES!A521-ITER!$C$16))*(A521&lt;PARAM!$B$55)</f>
        <v>0</v>
      </c>
    </row>
    <row r="522" spans="1:31" x14ac:dyDescent="0.2">
      <c r="A522" s="9">
        <v>519</v>
      </c>
      <c r="B522" s="178">
        <f t="shared" si="156"/>
        <v>74</v>
      </c>
      <c r="C522" s="178">
        <f t="shared" si="156"/>
        <v>74</v>
      </c>
      <c r="D522" s="2">
        <f>PARAM!$H$38</f>
        <v>1</v>
      </c>
      <c r="E522" s="11">
        <f>PARAM!$G$38</f>
        <v>0</v>
      </c>
      <c r="F522" s="11">
        <f>(VLOOKUP(C522,DEDN!$A$8:$O$902,$F$2)*D522+E522)/1000</f>
        <v>3.7010000000000001E-2</v>
      </c>
      <c r="G522" s="178">
        <f t="shared" si="157"/>
        <v>43</v>
      </c>
      <c r="H522" s="178">
        <f t="shared" si="157"/>
        <v>43</v>
      </c>
      <c r="I522" s="2">
        <f>PARAM!$H$39</f>
        <v>0</v>
      </c>
      <c r="J522" s="11">
        <f>PARAM!$G$39</f>
        <v>0</v>
      </c>
      <c r="K522" s="11">
        <f>(VLOOKUP(H522,DEDN!$A$8:$O$902,$K$2)*I522+J522)/1000</f>
        <v>0</v>
      </c>
      <c r="L522" s="11">
        <f>MIN(IF(PARAM!$B$43=3,CHOOSE($L$2,F522,K522),F522+K522-F522*K522),1)</f>
        <v>3.7010000000000001E-2</v>
      </c>
      <c r="M522" s="2">
        <f>PARAM!$I$38</f>
        <v>0</v>
      </c>
      <c r="N522" s="11">
        <f>VLOOKUP(B522,DEDN!$A$8:$O$90,$N$2)*M522</f>
        <v>0</v>
      </c>
      <c r="O522" s="12"/>
      <c r="P522" s="10">
        <f>PARAM!$C$53^-A522</f>
        <v>1</v>
      </c>
      <c r="Q522" s="10">
        <f t="shared" si="155"/>
        <v>0.69092293096941282</v>
      </c>
      <c r="R522" s="10">
        <f t="shared" si="153"/>
        <v>0.69092293096941282</v>
      </c>
      <c r="S522" s="10">
        <f>CHOOSE(PARAM!$B$51,R522,R522,0,0)*(A522&lt;PARAM!$B$55)</f>
        <v>0</v>
      </c>
      <c r="T522" s="10">
        <f t="shared" si="154"/>
        <v>2.1679465686034183E-3</v>
      </c>
      <c r="U522" s="10">
        <f>T522*P522*(A522&lt;PARAM!$B$55)</f>
        <v>0</v>
      </c>
      <c r="W522">
        <v>519</v>
      </c>
      <c r="X522" s="178">
        <f t="shared" si="158"/>
        <v>74</v>
      </c>
      <c r="Y522" s="178">
        <f t="shared" si="158"/>
        <v>74</v>
      </c>
      <c r="Z522" s="178">
        <f t="shared" si="158"/>
        <v>43</v>
      </c>
      <c r="AA522" s="178">
        <f t="shared" si="158"/>
        <v>43</v>
      </c>
      <c r="AD522" s="17">
        <f>CALC!E546*(A522&lt;PARAM!$B$55)</f>
        <v>0</v>
      </c>
      <c r="AE522">
        <f>IF(A522&lt;ITER!$C$16,1,PARAM!$C$53^-(RATES!A522-ITER!$C$16))*(A522&lt;PARAM!$B$55)</f>
        <v>0</v>
      </c>
    </row>
    <row r="523" spans="1:31" x14ac:dyDescent="0.2">
      <c r="A523" s="9">
        <v>520</v>
      </c>
      <c r="B523" s="178">
        <f t="shared" si="156"/>
        <v>74</v>
      </c>
      <c r="C523" s="178">
        <f t="shared" si="156"/>
        <v>74</v>
      </c>
      <c r="D523" s="2">
        <f>PARAM!$H$38</f>
        <v>1</v>
      </c>
      <c r="E523" s="11">
        <f>PARAM!$G$38</f>
        <v>0</v>
      </c>
      <c r="F523" s="11">
        <f>(VLOOKUP(C523,DEDN!$A$8:$O$902,$F$2)*D523+E523)/1000</f>
        <v>3.7010000000000001E-2</v>
      </c>
      <c r="G523" s="178">
        <f t="shared" si="157"/>
        <v>43</v>
      </c>
      <c r="H523" s="178">
        <f t="shared" si="157"/>
        <v>43</v>
      </c>
      <c r="I523" s="2">
        <f>PARAM!$H$39</f>
        <v>0</v>
      </c>
      <c r="J523" s="11">
        <f>PARAM!$G$39</f>
        <v>0</v>
      </c>
      <c r="K523" s="11">
        <f>(VLOOKUP(H523,DEDN!$A$8:$O$902,$K$2)*I523+J523)/1000</f>
        <v>0</v>
      </c>
      <c r="L523" s="11">
        <f>MIN(IF(PARAM!$B$43=3,CHOOSE($L$2,F523,K523),F523+K523-F523*K523),1)</f>
        <v>3.7010000000000001E-2</v>
      </c>
      <c r="M523" s="2">
        <f>PARAM!$I$38</f>
        <v>0</v>
      </c>
      <c r="N523" s="11">
        <f>VLOOKUP(B523,DEDN!$A$8:$O$90,$N$2)*M523</f>
        <v>0</v>
      </c>
      <c r="O523" s="12"/>
      <c r="P523" s="10">
        <f>PARAM!$C$53^-A523</f>
        <v>1</v>
      </c>
      <c r="Q523" s="10">
        <f t="shared" si="155"/>
        <v>0.6887549844008094</v>
      </c>
      <c r="R523" s="10">
        <f t="shared" si="153"/>
        <v>0.6887549844008094</v>
      </c>
      <c r="S523" s="10">
        <f>CHOOSE(PARAM!$B$51,R523,0,0,0)*(A523&lt;PARAM!$B$55)</f>
        <v>0</v>
      </c>
      <c r="T523" s="10">
        <f t="shared" si="154"/>
        <v>2.161144084399047E-3</v>
      </c>
      <c r="U523" s="10">
        <f>T523*P523*(A523&lt;PARAM!$B$55)</f>
        <v>0</v>
      </c>
      <c r="W523">
        <v>520</v>
      </c>
      <c r="X523" s="178">
        <f t="shared" si="158"/>
        <v>74</v>
      </c>
      <c r="Y523" s="178">
        <f t="shared" si="158"/>
        <v>74</v>
      </c>
      <c r="Z523" s="178">
        <f t="shared" si="158"/>
        <v>43</v>
      </c>
      <c r="AA523" s="178">
        <f t="shared" si="158"/>
        <v>43</v>
      </c>
      <c r="AD523" s="17">
        <f>CALC!E547*(A523&lt;PARAM!$B$55)</f>
        <v>0</v>
      </c>
      <c r="AE523">
        <f>IF(A523&lt;ITER!$C$16,1,PARAM!$C$53^-(RATES!A523-ITER!$C$16))*(A523&lt;PARAM!$B$55)</f>
        <v>0</v>
      </c>
    </row>
    <row r="524" spans="1:31" x14ac:dyDescent="0.2">
      <c r="A524" s="9">
        <v>521</v>
      </c>
      <c r="B524" s="178">
        <f t="shared" si="156"/>
        <v>74</v>
      </c>
      <c r="C524" s="178">
        <f t="shared" si="156"/>
        <v>74</v>
      </c>
      <c r="D524" s="2">
        <f>PARAM!$H$38</f>
        <v>1</v>
      </c>
      <c r="E524" s="11">
        <f>PARAM!$G$38</f>
        <v>0</v>
      </c>
      <c r="F524" s="11">
        <f>(VLOOKUP(C524,DEDN!$A$8:$O$902,$F$2)*D524+E524)/1000</f>
        <v>3.7010000000000001E-2</v>
      </c>
      <c r="G524" s="178">
        <f t="shared" si="157"/>
        <v>43</v>
      </c>
      <c r="H524" s="178">
        <f t="shared" si="157"/>
        <v>43</v>
      </c>
      <c r="I524" s="2">
        <f>PARAM!$H$39</f>
        <v>0</v>
      </c>
      <c r="J524" s="11">
        <f>PARAM!$G$39</f>
        <v>0</v>
      </c>
      <c r="K524" s="11">
        <f>(VLOOKUP(H524,DEDN!$A$8:$O$902,$K$2)*I524+J524)/1000</f>
        <v>0</v>
      </c>
      <c r="L524" s="11">
        <f>MIN(IF(PARAM!$B$43=3,CHOOSE($L$2,F524,K524),F524+K524-F524*K524),1)</f>
        <v>3.7010000000000001E-2</v>
      </c>
      <c r="M524" s="2">
        <f>PARAM!$I$38</f>
        <v>0</v>
      </c>
      <c r="N524" s="11">
        <f>VLOOKUP(B524,DEDN!$A$8:$O$90,$N$2)*M524</f>
        <v>0</v>
      </c>
      <c r="O524" s="12"/>
      <c r="P524" s="10">
        <f>PARAM!$C$53^-A524</f>
        <v>1</v>
      </c>
      <c r="Q524" s="10">
        <f t="shared" si="155"/>
        <v>0.68659384031641035</v>
      </c>
      <c r="R524" s="10">
        <f t="shared" si="153"/>
        <v>0.68659384031641035</v>
      </c>
      <c r="S524" s="10">
        <f>CHOOSE(PARAM!$B$51,R524,0,0,0)*(A524&lt;PARAM!$B$55)</f>
        <v>0</v>
      </c>
      <c r="T524" s="10">
        <f t="shared" si="154"/>
        <v>2.1543629447204893E-3</v>
      </c>
      <c r="U524" s="10">
        <f>T524*P524*(A524&lt;PARAM!$B$55)</f>
        <v>0</v>
      </c>
      <c r="W524">
        <v>521</v>
      </c>
      <c r="X524" s="178">
        <f t="shared" si="158"/>
        <v>74</v>
      </c>
      <c r="Y524" s="178">
        <f t="shared" si="158"/>
        <v>74</v>
      </c>
      <c r="Z524" s="178">
        <f t="shared" si="158"/>
        <v>43</v>
      </c>
      <c r="AA524" s="178">
        <f t="shared" si="158"/>
        <v>43</v>
      </c>
      <c r="AD524" s="17">
        <f>CALC!E548*(A524&lt;PARAM!$B$55)</f>
        <v>0</v>
      </c>
      <c r="AE524">
        <f>IF(A524&lt;ITER!$C$16,1,PARAM!$C$53^-(RATES!A524-ITER!$C$16))*(A524&lt;PARAM!$B$55)</f>
        <v>0</v>
      </c>
    </row>
    <row r="525" spans="1:31" x14ac:dyDescent="0.2">
      <c r="A525" s="9">
        <v>522</v>
      </c>
      <c r="B525" s="178">
        <f t="shared" si="156"/>
        <v>75</v>
      </c>
      <c r="C525" s="178">
        <f t="shared" si="156"/>
        <v>75</v>
      </c>
      <c r="D525" s="2">
        <f>PARAM!$H$38</f>
        <v>1</v>
      </c>
      <c r="E525" s="11">
        <f>PARAM!$G$38</f>
        <v>0</v>
      </c>
      <c r="F525" s="11">
        <f>(VLOOKUP(C525,DEDN!$A$8:$O$902,$F$2)*D525+E525)/1000</f>
        <v>4.0729999999999995E-2</v>
      </c>
      <c r="G525" s="178">
        <f t="shared" si="157"/>
        <v>44</v>
      </c>
      <c r="H525" s="178">
        <f t="shared" si="157"/>
        <v>44</v>
      </c>
      <c r="I525" s="2">
        <f>PARAM!$H$39</f>
        <v>0</v>
      </c>
      <c r="J525" s="11">
        <f>PARAM!$G$39</f>
        <v>0</v>
      </c>
      <c r="K525" s="11">
        <f>(VLOOKUP(H525,DEDN!$A$8:$O$902,$K$2)*I525+J525)/1000</f>
        <v>0</v>
      </c>
      <c r="L525" s="11">
        <f>MIN(IF(PARAM!$B$43=3,CHOOSE($L$2,F525,K525),F525+K525-F525*K525),1)</f>
        <v>4.0729999999999995E-2</v>
      </c>
      <c r="M525" s="2">
        <f>PARAM!$I$38</f>
        <v>0</v>
      </c>
      <c r="N525" s="11">
        <f>VLOOKUP(B525,DEDN!$A$8:$O$90,$N$2)*M525</f>
        <v>0</v>
      </c>
      <c r="O525" s="12"/>
      <c r="P525" s="10">
        <f>PARAM!$C$53^-A525</f>
        <v>1</v>
      </c>
      <c r="Q525" s="10">
        <f t="shared" si="155"/>
        <v>0.68443947737168986</v>
      </c>
      <c r="R525" s="10">
        <f t="shared" si="153"/>
        <v>0.68443947737168986</v>
      </c>
      <c r="S525" s="10">
        <f>CHOOSE(PARAM!$B$51,R525,R525,R525,0)*(A525&lt;PARAM!$B$55)</f>
        <v>0</v>
      </c>
      <c r="T525" s="10">
        <f t="shared" si="154"/>
        <v>2.3676322552074192E-3</v>
      </c>
      <c r="U525" s="10">
        <f>T525*P525*(A525&lt;PARAM!$B$55)</f>
        <v>0</v>
      </c>
      <c r="W525">
        <v>522</v>
      </c>
      <c r="X525" s="178">
        <f t="shared" si="158"/>
        <v>75</v>
      </c>
      <c r="Y525" s="178">
        <f t="shared" si="158"/>
        <v>75</v>
      </c>
      <c r="Z525" s="178">
        <f t="shared" si="158"/>
        <v>44</v>
      </c>
      <c r="AA525" s="178">
        <f t="shared" si="158"/>
        <v>44</v>
      </c>
      <c r="AD525" s="17">
        <f>CALC!E549*(A525&lt;PARAM!$B$55)</f>
        <v>0</v>
      </c>
      <c r="AE525">
        <f>IF(A525&lt;ITER!$C$16,1,PARAM!$C$53^-(RATES!A525-ITER!$C$16))*(A525&lt;PARAM!$B$55)</f>
        <v>0</v>
      </c>
    </row>
    <row r="526" spans="1:31" x14ac:dyDescent="0.2">
      <c r="A526" s="9">
        <v>523</v>
      </c>
      <c r="B526" s="178">
        <f t="shared" si="156"/>
        <v>75</v>
      </c>
      <c r="C526" s="178">
        <f t="shared" si="156"/>
        <v>75</v>
      </c>
      <c r="D526" s="2">
        <f>PARAM!$H$38</f>
        <v>1</v>
      </c>
      <c r="E526" s="11">
        <f>PARAM!$G$38</f>
        <v>0</v>
      </c>
      <c r="F526" s="11">
        <f>(VLOOKUP(C526,DEDN!$A$8:$O$902,$F$2)*D526+E526)/1000</f>
        <v>4.0729999999999995E-2</v>
      </c>
      <c r="G526" s="178">
        <f t="shared" si="157"/>
        <v>44</v>
      </c>
      <c r="H526" s="178">
        <f t="shared" si="157"/>
        <v>44</v>
      </c>
      <c r="I526" s="2">
        <f>PARAM!$H$39</f>
        <v>0</v>
      </c>
      <c r="J526" s="11">
        <f>PARAM!$G$39</f>
        <v>0</v>
      </c>
      <c r="K526" s="11">
        <f>(VLOOKUP(H526,DEDN!$A$8:$O$902,$K$2)*I526+J526)/1000</f>
        <v>0</v>
      </c>
      <c r="L526" s="11">
        <f>MIN(IF(PARAM!$B$43=3,CHOOSE($L$2,F526,K526),F526+K526-F526*K526),1)</f>
        <v>4.0729999999999995E-2</v>
      </c>
      <c r="M526" s="2">
        <f>PARAM!$I$38</f>
        <v>0</v>
      </c>
      <c r="N526" s="11">
        <f>VLOOKUP(B526,DEDN!$A$8:$O$90,$N$2)*M526</f>
        <v>0</v>
      </c>
      <c r="O526" s="12"/>
      <c r="P526" s="10">
        <f>PARAM!$C$53^-A526</f>
        <v>1</v>
      </c>
      <c r="Q526" s="10">
        <f t="shared" si="155"/>
        <v>0.68207184511648244</v>
      </c>
      <c r="R526" s="10">
        <f t="shared" si="153"/>
        <v>0.68207184511648244</v>
      </c>
      <c r="S526" s="10">
        <f>CHOOSE(PARAM!$B$51,R526,0,0,0)*(A526&lt;PARAM!$B$55)</f>
        <v>0</v>
      </c>
      <c r="T526" s="10">
        <f t="shared" si="154"/>
        <v>2.3594420752408585E-3</v>
      </c>
      <c r="U526" s="10">
        <f>T526*P526*(A526&lt;PARAM!$B$55)</f>
        <v>0</v>
      </c>
      <c r="W526">
        <v>523</v>
      </c>
      <c r="X526" s="178">
        <f t="shared" si="158"/>
        <v>75</v>
      </c>
      <c r="Y526" s="178">
        <f t="shared" si="158"/>
        <v>75</v>
      </c>
      <c r="Z526" s="178">
        <f t="shared" si="158"/>
        <v>44</v>
      </c>
      <c r="AA526" s="178">
        <f t="shared" si="158"/>
        <v>44</v>
      </c>
      <c r="AD526" s="17">
        <f>CALC!E550*(A526&lt;PARAM!$B$55)</f>
        <v>0</v>
      </c>
      <c r="AE526">
        <f>IF(A526&lt;ITER!$C$16,1,PARAM!$C$53^-(RATES!A526-ITER!$C$16))*(A526&lt;PARAM!$B$55)</f>
        <v>0</v>
      </c>
    </row>
    <row r="527" spans="1:31" x14ac:dyDescent="0.2">
      <c r="A527" s="9">
        <v>524</v>
      </c>
      <c r="B527" s="178">
        <f t="shared" si="156"/>
        <v>75</v>
      </c>
      <c r="C527" s="178">
        <f t="shared" si="156"/>
        <v>75</v>
      </c>
      <c r="D527" s="2">
        <f>PARAM!$H$38</f>
        <v>1</v>
      </c>
      <c r="E527" s="11">
        <f>PARAM!$G$38</f>
        <v>0</v>
      </c>
      <c r="F527" s="11">
        <f>(VLOOKUP(C527,DEDN!$A$8:$O$902,$F$2)*D527+E527)/1000</f>
        <v>4.0729999999999995E-2</v>
      </c>
      <c r="G527" s="178">
        <f t="shared" si="157"/>
        <v>44</v>
      </c>
      <c r="H527" s="178">
        <f t="shared" si="157"/>
        <v>44</v>
      </c>
      <c r="I527" s="2">
        <f>PARAM!$H$39</f>
        <v>0</v>
      </c>
      <c r="J527" s="11">
        <f>PARAM!$G$39</f>
        <v>0</v>
      </c>
      <c r="K527" s="11">
        <f>(VLOOKUP(H527,DEDN!$A$8:$O$902,$K$2)*I527+J527)/1000</f>
        <v>0</v>
      </c>
      <c r="L527" s="11">
        <f>MIN(IF(PARAM!$B$43=3,CHOOSE($L$2,F527,K527),F527+K527-F527*K527),1)</f>
        <v>4.0729999999999995E-2</v>
      </c>
      <c r="M527" s="2">
        <f>PARAM!$I$38</f>
        <v>0</v>
      </c>
      <c r="N527" s="11">
        <f>VLOOKUP(B527,DEDN!$A$8:$O$90,$N$2)*M527</f>
        <v>0</v>
      </c>
      <c r="O527" s="12"/>
      <c r="P527" s="10">
        <f>PARAM!$C$53^-A527</f>
        <v>1</v>
      </c>
      <c r="Q527" s="10">
        <f t="shared" si="155"/>
        <v>0.67971240304124159</v>
      </c>
      <c r="R527" s="10">
        <f t="shared" si="153"/>
        <v>0.67971240304124159</v>
      </c>
      <c r="S527" s="10">
        <f>CHOOSE(PARAM!$B$51,R527,0,0,0)*(A527&lt;PARAM!$B$55)</f>
        <v>0</v>
      </c>
      <c r="T527" s="10">
        <f t="shared" si="154"/>
        <v>2.351280226974839E-3</v>
      </c>
      <c r="U527" s="10">
        <f>T527*P527*(A527&lt;PARAM!$B$55)</f>
        <v>0</v>
      </c>
      <c r="W527">
        <v>524</v>
      </c>
      <c r="X527" s="178">
        <f t="shared" si="158"/>
        <v>75</v>
      </c>
      <c r="Y527" s="178">
        <f t="shared" si="158"/>
        <v>75</v>
      </c>
      <c r="Z527" s="178">
        <f t="shared" si="158"/>
        <v>44</v>
      </c>
      <c r="AA527" s="178">
        <f t="shared" si="158"/>
        <v>44</v>
      </c>
      <c r="AD527" s="17">
        <f>CALC!E551*(A527&lt;PARAM!$B$55)</f>
        <v>0</v>
      </c>
      <c r="AE527">
        <f>IF(A527&lt;ITER!$C$16,1,PARAM!$C$53^-(RATES!A527-ITER!$C$16))*(A527&lt;PARAM!$B$55)</f>
        <v>0</v>
      </c>
    </row>
    <row r="528" spans="1:31" x14ac:dyDescent="0.2">
      <c r="A528" s="9">
        <v>525</v>
      </c>
      <c r="B528" s="178">
        <f t="shared" si="156"/>
        <v>75</v>
      </c>
      <c r="C528" s="178">
        <f t="shared" si="156"/>
        <v>75</v>
      </c>
      <c r="D528" s="2">
        <f>PARAM!$H$38</f>
        <v>1</v>
      </c>
      <c r="E528" s="11">
        <f>PARAM!$G$38</f>
        <v>0</v>
      </c>
      <c r="F528" s="11">
        <f>(VLOOKUP(C528,DEDN!$A$8:$O$902,$F$2)*D528+E528)/1000</f>
        <v>4.0729999999999995E-2</v>
      </c>
      <c r="G528" s="178">
        <f t="shared" si="157"/>
        <v>44</v>
      </c>
      <c r="H528" s="178">
        <f t="shared" si="157"/>
        <v>44</v>
      </c>
      <c r="I528" s="2">
        <f>PARAM!$H$39</f>
        <v>0</v>
      </c>
      <c r="J528" s="11">
        <f>PARAM!$G$39</f>
        <v>0</v>
      </c>
      <c r="K528" s="11">
        <f>(VLOOKUP(H528,DEDN!$A$8:$O$902,$K$2)*I528+J528)/1000</f>
        <v>0</v>
      </c>
      <c r="L528" s="11">
        <f>MIN(IF(PARAM!$B$43=3,CHOOSE($L$2,F528,K528),F528+K528-F528*K528),1)</f>
        <v>4.0729999999999995E-2</v>
      </c>
      <c r="M528" s="2">
        <f>PARAM!$I$38</f>
        <v>0</v>
      </c>
      <c r="N528" s="11">
        <f>VLOOKUP(B528,DEDN!$A$8:$O$90,$N$2)*M528</f>
        <v>0</v>
      </c>
      <c r="O528" s="12"/>
      <c r="P528" s="10">
        <f>PARAM!$C$53^-A528</f>
        <v>1</v>
      </c>
      <c r="Q528" s="10">
        <f t="shared" si="155"/>
        <v>0.67736112281426675</v>
      </c>
      <c r="R528" s="10">
        <f t="shared" si="153"/>
        <v>0.67736112281426675</v>
      </c>
      <c r="S528" s="10">
        <f>CHOOSE(PARAM!$B$51,R528,R528,0,0)*(A528&lt;PARAM!$B$55)</f>
        <v>0</v>
      </c>
      <c r="T528" s="10">
        <f t="shared" si="154"/>
        <v>2.3431466124033129E-3</v>
      </c>
      <c r="U528" s="10">
        <f>T528*P528*(A528&lt;PARAM!$B$55)</f>
        <v>0</v>
      </c>
      <c r="W528">
        <v>525</v>
      </c>
      <c r="X528" s="178">
        <f t="shared" si="158"/>
        <v>75</v>
      </c>
      <c r="Y528" s="178">
        <f t="shared" si="158"/>
        <v>75</v>
      </c>
      <c r="Z528" s="178">
        <f t="shared" si="158"/>
        <v>44</v>
      </c>
      <c r="AA528" s="178">
        <f t="shared" si="158"/>
        <v>44</v>
      </c>
      <c r="AD528" s="17">
        <f>CALC!E552*(A528&lt;PARAM!$B$55)</f>
        <v>0</v>
      </c>
      <c r="AE528">
        <f>IF(A528&lt;ITER!$C$16,1,PARAM!$C$53^-(RATES!A528-ITER!$C$16))*(A528&lt;PARAM!$B$55)</f>
        <v>0</v>
      </c>
    </row>
    <row r="529" spans="1:31" x14ac:dyDescent="0.2">
      <c r="A529" s="9">
        <v>526</v>
      </c>
      <c r="B529" s="178">
        <f t="shared" si="156"/>
        <v>75</v>
      </c>
      <c r="C529" s="178">
        <f t="shared" si="156"/>
        <v>75</v>
      </c>
      <c r="D529" s="2">
        <f>PARAM!$H$38</f>
        <v>1</v>
      </c>
      <c r="E529" s="11">
        <f>PARAM!$G$38</f>
        <v>0</v>
      </c>
      <c r="F529" s="11">
        <f>(VLOOKUP(C529,DEDN!$A$8:$O$902,$F$2)*D529+E529)/1000</f>
        <v>4.0729999999999995E-2</v>
      </c>
      <c r="G529" s="178">
        <f t="shared" si="157"/>
        <v>44</v>
      </c>
      <c r="H529" s="178">
        <f t="shared" si="157"/>
        <v>44</v>
      </c>
      <c r="I529" s="2">
        <f>PARAM!$H$39</f>
        <v>0</v>
      </c>
      <c r="J529" s="11">
        <f>PARAM!$G$39</f>
        <v>0</v>
      </c>
      <c r="K529" s="11">
        <f>(VLOOKUP(H529,DEDN!$A$8:$O$902,$K$2)*I529+J529)/1000</f>
        <v>0</v>
      </c>
      <c r="L529" s="11">
        <f>MIN(IF(PARAM!$B$43=3,CHOOSE($L$2,F529,K529),F529+K529-F529*K529),1)</f>
        <v>4.0729999999999995E-2</v>
      </c>
      <c r="M529" s="2">
        <f>PARAM!$I$38</f>
        <v>0</v>
      </c>
      <c r="N529" s="11">
        <f>VLOOKUP(B529,DEDN!$A$8:$O$90,$N$2)*M529</f>
        <v>0</v>
      </c>
      <c r="O529" s="12"/>
      <c r="P529" s="10">
        <f>PARAM!$C$53^-A529</f>
        <v>1</v>
      </c>
      <c r="Q529" s="10">
        <f t="shared" si="155"/>
        <v>0.67501797620186343</v>
      </c>
      <c r="R529" s="10">
        <f t="shared" si="153"/>
        <v>0.67501797620186343</v>
      </c>
      <c r="S529" s="10">
        <f>CHOOSE(PARAM!$B$51,R529,0,0,0)*(A529&lt;PARAM!$B$55)</f>
        <v>0</v>
      </c>
      <c r="T529" s="10">
        <f t="shared" si="154"/>
        <v>2.3350411338597388E-3</v>
      </c>
      <c r="U529" s="10">
        <f>T529*P529*(A529&lt;PARAM!$B$55)</f>
        <v>0</v>
      </c>
      <c r="W529">
        <v>526</v>
      </c>
      <c r="X529" s="178">
        <f t="shared" si="158"/>
        <v>75</v>
      </c>
      <c r="Y529" s="178">
        <f t="shared" si="158"/>
        <v>75</v>
      </c>
      <c r="Z529" s="178">
        <f t="shared" si="158"/>
        <v>44</v>
      </c>
      <c r="AA529" s="178">
        <f t="shared" si="158"/>
        <v>44</v>
      </c>
      <c r="AD529" s="17">
        <f>CALC!E553*(A529&lt;PARAM!$B$55)</f>
        <v>0</v>
      </c>
      <c r="AE529">
        <f>IF(A529&lt;ITER!$C$16,1,PARAM!$C$53^-(RATES!A529-ITER!$C$16))*(A529&lt;PARAM!$B$55)</f>
        <v>0</v>
      </c>
    </row>
    <row r="530" spans="1:31" x14ac:dyDescent="0.2">
      <c r="A530" s="9">
        <v>527</v>
      </c>
      <c r="B530" s="178">
        <f t="shared" si="156"/>
        <v>75</v>
      </c>
      <c r="C530" s="178">
        <f t="shared" si="156"/>
        <v>75</v>
      </c>
      <c r="D530" s="2">
        <f>PARAM!$H$38</f>
        <v>1</v>
      </c>
      <c r="E530" s="11">
        <f>PARAM!$G$38</f>
        <v>0</v>
      </c>
      <c r="F530" s="11">
        <f>(VLOOKUP(C530,DEDN!$A$8:$O$902,$F$2)*D530+E530)/1000</f>
        <v>4.0729999999999995E-2</v>
      </c>
      <c r="G530" s="178">
        <f t="shared" si="157"/>
        <v>44</v>
      </c>
      <c r="H530" s="178">
        <f t="shared" si="157"/>
        <v>44</v>
      </c>
      <c r="I530" s="2">
        <f>PARAM!$H$39</f>
        <v>0</v>
      </c>
      <c r="J530" s="11">
        <f>PARAM!$G$39</f>
        <v>0</v>
      </c>
      <c r="K530" s="11">
        <f>(VLOOKUP(H530,DEDN!$A$8:$O$902,$K$2)*I530+J530)/1000</f>
        <v>0</v>
      </c>
      <c r="L530" s="11">
        <f>MIN(IF(PARAM!$B$43=3,CHOOSE($L$2,F530,K530),F530+K530-F530*K530),1)</f>
        <v>4.0729999999999995E-2</v>
      </c>
      <c r="M530" s="2">
        <f>PARAM!$I$38</f>
        <v>0</v>
      </c>
      <c r="N530" s="11">
        <f>VLOOKUP(B530,DEDN!$A$8:$O$90,$N$2)*M530</f>
        <v>0</v>
      </c>
      <c r="O530" s="12"/>
      <c r="P530" s="10">
        <f>PARAM!$C$53^-A530</f>
        <v>1</v>
      </c>
      <c r="Q530" s="10">
        <f t="shared" si="155"/>
        <v>0.6726829350680037</v>
      </c>
      <c r="R530" s="10">
        <f t="shared" si="153"/>
        <v>0.6726829350680037</v>
      </c>
      <c r="S530" s="10">
        <f>CHOOSE(PARAM!$B$51,R530,0,0,0)*(A530&lt;PARAM!$B$55)</f>
        <v>0</v>
      </c>
      <c r="T530" s="10">
        <f t="shared" si="154"/>
        <v>2.3269636940151939E-3</v>
      </c>
      <c r="U530" s="10">
        <f>T530*P530*(A530&lt;PARAM!$B$55)</f>
        <v>0</v>
      </c>
      <c r="W530">
        <v>527</v>
      </c>
      <c r="X530" s="178">
        <f t="shared" si="158"/>
        <v>75</v>
      </c>
      <c r="Y530" s="178">
        <f t="shared" si="158"/>
        <v>75</v>
      </c>
      <c r="Z530" s="178">
        <f t="shared" si="158"/>
        <v>44</v>
      </c>
      <c r="AA530" s="178">
        <f t="shared" si="158"/>
        <v>44</v>
      </c>
      <c r="AD530" s="17">
        <f>CALC!E554*(A530&lt;PARAM!$B$55)</f>
        <v>0</v>
      </c>
      <c r="AE530">
        <f>IF(A530&lt;ITER!$C$16,1,PARAM!$C$53^-(RATES!A530-ITER!$C$16))*(A530&lt;PARAM!$B$55)</f>
        <v>0</v>
      </c>
    </row>
    <row r="531" spans="1:31" x14ac:dyDescent="0.2">
      <c r="A531" s="9">
        <v>528</v>
      </c>
      <c r="B531" s="178">
        <f t="shared" si="156"/>
        <v>75</v>
      </c>
      <c r="C531" s="178">
        <f t="shared" si="156"/>
        <v>75</v>
      </c>
      <c r="D531" s="2">
        <f>PARAM!$H$38</f>
        <v>1</v>
      </c>
      <c r="E531" s="11">
        <f>PARAM!$G$38</f>
        <v>0</v>
      </c>
      <c r="F531" s="11">
        <f>(VLOOKUP(C531,DEDN!$A$8:$O$902,$F$2)*D531+E531)/1000</f>
        <v>4.0729999999999995E-2</v>
      </c>
      <c r="G531" s="178">
        <f t="shared" si="157"/>
        <v>44</v>
      </c>
      <c r="H531" s="178">
        <f t="shared" si="157"/>
        <v>44</v>
      </c>
      <c r="I531" s="2">
        <f>PARAM!$H$39</f>
        <v>0</v>
      </c>
      <c r="J531" s="11">
        <f>PARAM!$G$39</f>
        <v>0</v>
      </c>
      <c r="K531" s="11">
        <f>(VLOOKUP(H531,DEDN!$A$8:$O$902,$K$2)*I531+J531)/1000</f>
        <v>0</v>
      </c>
      <c r="L531" s="11">
        <f>MIN(IF(PARAM!$B$43=3,CHOOSE($L$2,F531,K531),F531+K531-F531*K531),1)</f>
        <v>4.0729999999999995E-2</v>
      </c>
      <c r="M531" s="2">
        <f>PARAM!$I$38</f>
        <v>0</v>
      </c>
      <c r="N531" s="11">
        <f>VLOOKUP(B531,DEDN!$A$8:$O$90,$N$2)*M531</f>
        <v>0</v>
      </c>
      <c r="O531" s="12"/>
      <c r="P531" s="10">
        <f>PARAM!$C$53^-A531</f>
        <v>1</v>
      </c>
      <c r="Q531" s="10">
        <f t="shared" si="155"/>
        <v>0.6703559713739885</v>
      </c>
      <c r="R531" s="10">
        <f t="shared" si="153"/>
        <v>0.6703559713739885</v>
      </c>
      <c r="S531" s="10">
        <f>R531*(A531&lt;PARAM!$B$55)</f>
        <v>0</v>
      </c>
      <c r="T531" s="10">
        <f t="shared" si="154"/>
        <v>2.3189141958771531E-3</v>
      </c>
      <c r="U531" s="10">
        <f>T531*P531*(A531&lt;PARAM!$B$55)</f>
        <v>0</v>
      </c>
      <c r="W531">
        <v>528</v>
      </c>
      <c r="X531" s="178">
        <f t="shared" si="158"/>
        <v>75</v>
      </c>
      <c r="Y531" s="178">
        <f t="shared" si="158"/>
        <v>75</v>
      </c>
      <c r="Z531" s="178">
        <f t="shared" si="158"/>
        <v>44</v>
      </c>
      <c r="AA531" s="178">
        <f t="shared" si="158"/>
        <v>44</v>
      </c>
      <c r="AD531" s="17">
        <f>CALC!E555*(A531&lt;PARAM!$B$55)</f>
        <v>0</v>
      </c>
      <c r="AE531">
        <f>IF(A531&lt;ITER!$C$16,1,PARAM!$C$53^-(RATES!A531-ITER!$C$16))*(A531&lt;PARAM!$B$55)</f>
        <v>0</v>
      </c>
    </row>
    <row r="532" spans="1:31" x14ac:dyDescent="0.2">
      <c r="A532" s="9">
        <v>529</v>
      </c>
      <c r="B532" s="178">
        <f t="shared" si="156"/>
        <v>75</v>
      </c>
      <c r="C532" s="178">
        <f t="shared" si="156"/>
        <v>75</v>
      </c>
      <c r="D532" s="2">
        <f>PARAM!$H$38</f>
        <v>1</v>
      </c>
      <c r="E532" s="11">
        <f>PARAM!$G$38</f>
        <v>0</v>
      </c>
      <c r="F532" s="11">
        <f>(VLOOKUP(C532,DEDN!$A$8:$O$902,$F$2)*D532+E532)/1000</f>
        <v>4.0729999999999995E-2</v>
      </c>
      <c r="G532" s="178">
        <f t="shared" si="157"/>
        <v>44</v>
      </c>
      <c r="H532" s="178">
        <f t="shared" si="157"/>
        <v>44</v>
      </c>
      <c r="I532" s="2">
        <f>PARAM!$H$39</f>
        <v>0</v>
      </c>
      <c r="J532" s="11">
        <f>PARAM!$G$39</f>
        <v>0</v>
      </c>
      <c r="K532" s="11">
        <f>(VLOOKUP(H532,DEDN!$A$8:$O$902,$K$2)*I532+J532)/1000</f>
        <v>0</v>
      </c>
      <c r="L532" s="11">
        <f>MIN(IF(PARAM!$B$43=3,CHOOSE($L$2,F532,K532),F532+K532-F532*K532),1)</f>
        <v>4.0729999999999995E-2</v>
      </c>
      <c r="M532" s="2">
        <f>PARAM!$I$38</f>
        <v>0</v>
      </c>
      <c r="N532" s="11">
        <f>VLOOKUP(B532,DEDN!$A$8:$O$90,$N$2)*M532</f>
        <v>0</v>
      </c>
      <c r="O532" s="12"/>
      <c r="P532" s="10">
        <f>PARAM!$C$53^-A532</f>
        <v>1</v>
      </c>
      <c r="Q532" s="10">
        <f t="shared" si="155"/>
        <v>0.66803705717811135</v>
      </c>
      <c r="R532" s="10">
        <f t="shared" ref="R532:R547" si="159">P532*Q532</f>
        <v>0.66803705717811135</v>
      </c>
      <c r="S532" s="10">
        <f>CHOOSE(PARAM!$B$51,R532,0,0,0)*(A532&lt;PARAM!$B$55)</f>
        <v>0</v>
      </c>
      <c r="T532" s="10">
        <f t="shared" si="154"/>
        <v>2.3108925427891558E-3</v>
      </c>
      <c r="U532" s="10">
        <f>T532*P532*(A532&lt;PARAM!$B$55)</f>
        <v>0</v>
      </c>
      <c r="W532">
        <v>529</v>
      </c>
      <c r="X532" s="178">
        <f t="shared" si="158"/>
        <v>75</v>
      </c>
      <c r="Y532" s="178">
        <f t="shared" si="158"/>
        <v>75</v>
      </c>
      <c r="Z532" s="178">
        <f t="shared" si="158"/>
        <v>44</v>
      </c>
      <c r="AA532" s="178">
        <f t="shared" si="158"/>
        <v>44</v>
      </c>
      <c r="AD532" s="17">
        <f>CALC!E556*(A532&lt;PARAM!$B$55)</f>
        <v>0</v>
      </c>
      <c r="AE532">
        <f>IF(A532&lt;ITER!$C$16,1,PARAM!$C$53^-(RATES!A532-ITER!$C$16))*(A532&lt;PARAM!$B$55)</f>
        <v>0</v>
      </c>
    </row>
    <row r="533" spans="1:31" x14ac:dyDescent="0.2">
      <c r="A533" s="9">
        <v>530</v>
      </c>
      <c r="B533" s="178">
        <f t="shared" si="156"/>
        <v>75</v>
      </c>
      <c r="C533" s="178">
        <f t="shared" si="156"/>
        <v>75</v>
      </c>
      <c r="D533" s="2">
        <f>PARAM!$H$38</f>
        <v>1</v>
      </c>
      <c r="E533" s="11">
        <f>PARAM!$G$38</f>
        <v>0</v>
      </c>
      <c r="F533" s="11">
        <f>(VLOOKUP(C533,DEDN!$A$8:$O$902,$F$2)*D533+E533)/1000</f>
        <v>4.0729999999999995E-2</v>
      </c>
      <c r="G533" s="178">
        <f t="shared" si="157"/>
        <v>44</v>
      </c>
      <c r="H533" s="178">
        <f t="shared" si="157"/>
        <v>44</v>
      </c>
      <c r="I533" s="2">
        <f>PARAM!$H$39</f>
        <v>0</v>
      </c>
      <c r="J533" s="11">
        <f>PARAM!$G$39</f>
        <v>0</v>
      </c>
      <c r="K533" s="11">
        <f>(VLOOKUP(H533,DEDN!$A$8:$O$902,$K$2)*I533+J533)/1000</f>
        <v>0</v>
      </c>
      <c r="L533" s="11">
        <f>MIN(IF(PARAM!$B$43=3,CHOOSE($L$2,F533,K533),F533+K533-F533*K533),1)</f>
        <v>4.0729999999999995E-2</v>
      </c>
      <c r="M533" s="2">
        <f>PARAM!$I$38</f>
        <v>0</v>
      </c>
      <c r="N533" s="11">
        <f>VLOOKUP(B533,DEDN!$A$8:$O$90,$N$2)*M533</f>
        <v>0</v>
      </c>
      <c r="O533" s="12"/>
      <c r="P533" s="10">
        <f>PARAM!$C$53^-A533</f>
        <v>1</v>
      </c>
      <c r="Q533" s="10">
        <f t="shared" ref="Q533:Q548" si="160">Q532*(1-L532)^(1/12)</f>
        <v>0.66572616463532219</v>
      </c>
      <c r="R533" s="10">
        <f t="shared" si="159"/>
        <v>0.66572616463532219</v>
      </c>
      <c r="S533" s="10">
        <f>CHOOSE(PARAM!$B$51,R533,0,0,0)*(A533&lt;PARAM!$B$55)</f>
        <v>0</v>
      </c>
      <c r="T533" s="10">
        <f t="shared" si="154"/>
        <v>2.3028986384286965E-3</v>
      </c>
      <c r="U533" s="10">
        <f>T533*P533*(A533&lt;PARAM!$B$55)</f>
        <v>0</v>
      </c>
      <c r="W533">
        <v>530</v>
      </c>
      <c r="X533" s="178">
        <f t="shared" si="158"/>
        <v>75</v>
      </c>
      <c r="Y533" s="178">
        <f t="shared" si="158"/>
        <v>75</v>
      </c>
      <c r="Z533" s="178">
        <f t="shared" si="158"/>
        <v>44</v>
      </c>
      <c r="AA533" s="178">
        <f t="shared" si="158"/>
        <v>44</v>
      </c>
      <c r="AD533" s="17">
        <f>CALC!E557*(A533&lt;PARAM!$B$55)</f>
        <v>0</v>
      </c>
      <c r="AE533">
        <f>IF(A533&lt;ITER!$C$16,1,PARAM!$C$53^-(RATES!A533-ITER!$C$16))*(A533&lt;PARAM!$B$55)</f>
        <v>0</v>
      </c>
    </row>
    <row r="534" spans="1:31" x14ac:dyDescent="0.2">
      <c r="A534" s="9">
        <v>531</v>
      </c>
      <c r="B534" s="178">
        <f t="shared" si="156"/>
        <v>75</v>
      </c>
      <c r="C534" s="178">
        <f t="shared" si="156"/>
        <v>75</v>
      </c>
      <c r="D534" s="2">
        <f>PARAM!$H$38</f>
        <v>1</v>
      </c>
      <c r="E534" s="11">
        <f>PARAM!$G$38</f>
        <v>0</v>
      </c>
      <c r="F534" s="11">
        <f>(VLOOKUP(C534,DEDN!$A$8:$O$902,$F$2)*D534+E534)/1000</f>
        <v>4.0729999999999995E-2</v>
      </c>
      <c r="G534" s="178">
        <f t="shared" si="157"/>
        <v>44</v>
      </c>
      <c r="H534" s="178">
        <f t="shared" si="157"/>
        <v>44</v>
      </c>
      <c r="I534" s="2">
        <f>PARAM!$H$39</f>
        <v>0</v>
      </c>
      <c r="J534" s="11">
        <f>PARAM!$G$39</f>
        <v>0</v>
      </c>
      <c r="K534" s="11">
        <f>(VLOOKUP(H534,DEDN!$A$8:$O$902,$K$2)*I534+J534)/1000</f>
        <v>0</v>
      </c>
      <c r="L534" s="11">
        <f>MIN(IF(PARAM!$B$43=3,CHOOSE($L$2,F534,K534),F534+K534-F534*K534),1)</f>
        <v>4.0729999999999995E-2</v>
      </c>
      <c r="M534" s="2">
        <f>PARAM!$I$38</f>
        <v>0</v>
      </c>
      <c r="N534" s="11">
        <f>VLOOKUP(B534,DEDN!$A$8:$O$90,$N$2)*M534</f>
        <v>0</v>
      </c>
      <c r="O534" s="12"/>
      <c r="P534" s="10">
        <f>PARAM!$C$53^-A534</f>
        <v>1</v>
      </c>
      <c r="Q534" s="10">
        <f t="shared" si="160"/>
        <v>0.6634232659968935</v>
      </c>
      <c r="R534" s="10">
        <f t="shared" si="159"/>
        <v>0.6634232659968935</v>
      </c>
      <c r="S534" s="10">
        <f>CHOOSE(PARAM!$B$51,R534,R534,0,0)*(A534&lt;PARAM!$B$55)</f>
        <v>0</v>
      </c>
      <c r="T534" s="10">
        <f t="shared" si="154"/>
        <v>2.2949323868066696E-3</v>
      </c>
      <c r="U534" s="10">
        <f>T534*P534*(A534&lt;PARAM!$B$55)</f>
        <v>0</v>
      </c>
      <c r="W534">
        <v>531</v>
      </c>
      <c r="X534" s="178">
        <f t="shared" si="158"/>
        <v>75</v>
      </c>
      <c r="Y534" s="178">
        <f t="shared" si="158"/>
        <v>75</v>
      </c>
      <c r="Z534" s="178">
        <f t="shared" si="158"/>
        <v>44</v>
      </c>
      <c r="AA534" s="178">
        <f t="shared" si="158"/>
        <v>44</v>
      </c>
      <c r="AD534" s="17">
        <f>CALC!E558*(A534&lt;PARAM!$B$55)</f>
        <v>0</v>
      </c>
      <c r="AE534">
        <f>IF(A534&lt;ITER!$C$16,1,PARAM!$C$53^-(RATES!A534-ITER!$C$16))*(A534&lt;PARAM!$B$55)</f>
        <v>0</v>
      </c>
    </row>
    <row r="535" spans="1:31" x14ac:dyDescent="0.2">
      <c r="A535" s="9">
        <v>532</v>
      </c>
      <c r="B535" s="178">
        <f t="shared" si="156"/>
        <v>75</v>
      </c>
      <c r="C535" s="178">
        <f t="shared" si="156"/>
        <v>75</v>
      </c>
      <c r="D535" s="2">
        <f>PARAM!$H$38</f>
        <v>1</v>
      </c>
      <c r="E535" s="11">
        <f>PARAM!$G$38</f>
        <v>0</v>
      </c>
      <c r="F535" s="11">
        <f>(VLOOKUP(C535,DEDN!$A$8:$O$902,$F$2)*D535+E535)/1000</f>
        <v>4.0729999999999995E-2</v>
      </c>
      <c r="G535" s="178">
        <f t="shared" si="157"/>
        <v>44</v>
      </c>
      <c r="H535" s="178">
        <f t="shared" si="157"/>
        <v>44</v>
      </c>
      <c r="I535" s="2">
        <f>PARAM!$H$39</f>
        <v>0</v>
      </c>
      <c r="J535" s="11">
        <f>PARAM!$G$39</f>
        <v>0</v>
      </c>
      <c r="K535" s="11">
        <f>(VLOOKUP(H535,DEDN!$A$8:$O$902,$K$2)*I535+J535)/1000</f>
        <v>0</v>
      </c>
      <c r="L535" s="11">
        <f>MIN(IF(PARAM!$B$43=3,CHOOSE($L$2,F535,K535),F535+K535-F535*K535),1)</f>
        <v>4.0729999999999995E-2</v>
      </c>
      <c r="M535" s="2">
        <f>PARAM!$I$38</f>
        <v>0</v>
      </c>
      <c r="N535" s="11">
        <f>VLOOKUP(B535,DEDN!$A$8:$O$90,$N$2)*M535</f>
        <v>0</v>
      </c>
      <c r="O535" s="12"/>
      <c r="P535" s="10">
        <f>PARAM!$C$53^-A535</f>
        <v>1</v>
      </c>
      <c r="Q535" s="10">
        <f t="shared" si="160"/>
        <v>0.66112833361008683</v>
      </c>
      <c r="R535" s="10">
        <f t="shared" si="159"/>
        <v>0.66112833361008683</v>
      </c>
      <c r="S535" s="10">
        <f>CHOOSE(PARAM!$B$51,R535,0,0,0)*(A535&lt;PARAM!$B$55)</f>
        <v>0</v>
      </c>
      <c r="T535" s="10">
        <f t="shared" si="154"/>
        <v>2.2869936922658152E-3</v>
      </c>
      <c r="U535" s="10">
        <f>T535*P535*(A535&lt;PARAM!$B$55)</f>
        <v>0</v>
      </c>
      <c r="W535">
        <v>532</v>
      </c>
      <c r="X535" s="178">
        <f t="shared" si="158"/>
        <v>75</v>
      </c>
      <c r="Y535" s="178">
        <f t="shared" si="158"/>
        <v>75</v>
      </c>
      <c r="Z535" s="178">
        <f t="shared" si="158"/>
        <v>44</v>
      </c>
      <c r="AA535" s="178">
        <f t="shared" si="158"/>
        <v>44</v>
      </c>
      <c r="AD535" s="17">
        <f>CALC!E559*(A535&lt;PARAM!$B$55)</f>
        <v>0</v>
      </c>
      <c r="AE535">
        <f>IF(A535&lt;ITER!$C$16,1,PARAM!$C$53^-(RATES!A535-ITER!$C$16))*(A535&lt;PARAM!$B$55)</f>
        <v>0</v>
      </c>
    </row>
    <row r="536" spans="1:31" x14ac:dyDescent="0.2">
      <c r="A536" s="9">
        <v>533</v>
      </c>
      <c r="B536" s="178">
        <f t="shared" si="156"/>
        <v>75</v>
      </c>
      <c r="C536" s="178">
        <f t="shared" si="156"/>
        <v>75</v>
      </c>
      <c r="D536" s="2">
        <f>PARAM!$H$38</f>
        <v>1</v>
      </c>
      <c r="E536" s="11">
        <f>PARAM!$G$38</f>
        <v>0</v>
      </c>
      <c r="F536" s="11">
        <f>(VLOOKUP(C536,DEDN!$A$8:$O$902,$F$2)*D536+E536)/1000</f>
        <v>4.0729999999999995E-2</v>
      </c>
      <c r="G536" s="178">
        <f t="shared" si="157"/>
        <v>44</v>
      </c>
      <c r="H536" s="178">
        <f t="shared" si="157"/>
        <v>44</v>
      </c>
      <c r="I536" s="2">
        <f>PARAM!$H$39</f>
        <v>0</v>
      </c>
      <c r="J536" s="11">
        <f>PARAM!$G$39</f>
        <v>0</v>
      </c>
      <c r="K536" s="11">
        <f>(VLOOKUP(H536,DEDN!$A$8:$O$902,$K$2)*I536+J536)/1000</f>
        <v>0</v>
      </c>
      <c r="L536" s="11">
        <f>MIN(IF(PARAM!$B$43=3,CHOOSE($L$2,F536,K536),F536+K536-F536*K536),1)</f>
        <v>4.0729999999999995E-2</v>
      </c>
      <c r="M536" s="2">
        <f>PARAM!$I$38</f>
        <v>0</v>
      </c>
      <c r="N536" s="11">
        <f>VLOOKUP(B536,DEDN!$A$8:$O$90,$N$2)*M536</f>
        <v>0</v>
      </c>
      <c r="O536" s="12"/>
      <c r="P536" s="10">
        <f>PARAM!$C$53^-A536</f>
        <v>1</v>
      </c>
      <c r="Q536" s="10">
        <f t="shared" si="160"/>
        <v>0.65884133991782101</v>
      </c>
      <c r="R536" s="10">
        <f t="shared" si="159"/>
        <v>0.65884133991782101</v>
      </c>
      <c r="S536" s="10">
        <f>CHOOSE(PARAM!$B$51,R536,0,0,0)*(A536&lt;PARAM!$B$55)</f>
        <v>0</v>
      </c>
      <c r="T536" s="10">
        <f t="shared" si="154"/>
        <v>2.2790824594800529E-3</v>
      </c>
      <c r="U536" s="10">
        <f>T536*P536*(A536&lt;PARAM!$B$55)</f>
        <v>0</v>
      </c>
      <c r="W536">
        <v>533</v>
      </c>
      <c r="X536" s="178">
        <f t="shared" si="158"/>
        <v>75</v>
      </c>
      <c r="Y536" s="178">
        <f t="shared" si="158"/>
        <v>75</v>
      </c>
      <c r="Z536" s="178">
        <f t="shared" si="158"/>
        <v>44</v>
      </c>
      <c r="AA536" s="178">
        <f t="shared" si="158"/>
        <v>44</v>
      </c>
      <c r="AD536" s="17">
        <f>CALC!E560*(A536&lt;PARAM!$B$55)</f>
        <v>0</v>
      </c>
      <c r="AE536">
        <f>IF(A536&lt;ITER!$C$16,1,PARAM!$C$53^-(RATES!A536-ITER!$C$16))*(A536&lt;PARAM!$B$55)</f>
        <v>0</v>
      </c>
    </row>
    <row r="537" spans="1:31" x14ac:dyDescent="0.2">
      <c r="A537" s="9">
        <v>534</v>
      </c>
      <c r="B537" s="178">
        <f t="shared" si="156"/>
        <v>76</v>
      </c>
      <c r="C537" s="178">
        <f t="shared" si="156"/>
        <v>76</v>
      </c>
      <c r="D537" s="2">
        <f>PARAM!$H$38</f>
        <v>1</v>
      </c>
      <c r="E537" s="11">
        <f>PARAM!$G$38</f>
        <v>0</v>
      </c>
      <c r="F537" s="11">
        <f>(VLOOKUP(C537,DEDN!$A$8:$O$902,$F$2)*D537+E537)/1000</f>
        <v>4.48E-2</v>
      </c>
      <c r="G537" s="178">
        <f t="shared" si="157"/>
        <v>45</v>
      </c>
      <c r="H537" s="178">
        <f t="shared" si="157"/>
        <v>45</v>
      </c>
      <c r="I537" s="2">
        <f>PARAM!$H$39</f>
        <v>0</v>
      </c>
      <c r="J537" s="11">
        <f>PARAM!$G$39</f>
        <v>0</v>
      </c>
      <c r="K537" s="11">
        <f>(VLOOKUP(H537,DEDN!$A$8:$O$902,$K$2)*I537+J537)/1000</f>
        <v>0</v>
      </c>
      <c r="L537" s="11">
        <f>MIN(IF(PARAM!$B$43=3,CHOOSE($L$2,F537,K537),F537+K537-F537*K537),1)</f>
        <v>4.48E-2</v>
      </c>
      <c r="M537" s="2">
        <f>PARAM!$I$38</f>
        <v>0</v>
      </c>
      <c r="N537" s="11">
        <f>VLOOKUP(B537,DEDN!$A$8:$O$90,$N$2)*M537</f>
        <v>0</v>
      </c>
      <c r="O537" s="12"/>
      <c r="P537" s="10">
        <f>PARAM!$C$53^-A537</f>
        <v>1</v>
      </c>
      <c r="Q537" s="10">
        <f t="shared" si="160"/>
        <v>0.65656225745834096</v>
      </c>
      <c r="R537" s="10">
        <f t="shared" si="159"/>
        <v>0.65656225745834096</v>
      </c>
      <c r="S537" s="10">
        <f>CHOOSE(PARAM!$B$51,R537,R537,R537,0)*(A537&lt;PARAM!$B$55)</f>
        <v>0</v>
      </c>
      <c r="T537" s="10">
        <f t="shared" si="154"/>
        <v>2.5029857117334631E-3</v>
      </c>
      <c r="U537" s="10">
        <f>T537*P537*(A537&lt;PARAM!$B$55)</f>
        <v>0</v>
      </c>
      <c r="W537">
        <v>534</v>
      </c>
      <c r="X537" s="178">
        <f t="shared" si="158"/>
        <v>76</v>
      </c>
      <c r="Y537" s="178">
        <f t="shared" si="158"/>
        <v>76</v>
      </c>
      <c r="Z537" s="178">
        <f t="shared" si="158"/>
        <v>45</v>
      </c>
      <c r="AA537" s="178">
        <f t="shared" si="158"/>
        <v>45</v>
      </c>
      <c r="AD537" s="17">
        <f>CALC!E561*(A537&lt;PARAM!$B$55)</f>
        <v>0</v>
      </c>
      <c r="AE537">
        <f>IF(A537&lt;ITER!$C$16,1,PARAM!$C$53^-(RATES!A537-ITER!$C$16))*(A537&lt;PARAM!$B$55)</f>
        <v>0</v>
      </c>
    </row>
    <row r="538" spans="1:31" x14ac:dyDescent="0.2">
      <c r="A538" s="9">
        <v>535</v>
      </c>
      <c r="B538" s="178">
        <f t="shared" si="156"/>
        <v>76</v>
      </c>
      <c r="C538" s="178">
        <f t="shared" si="156"/>
        <v>76</v>
      </c>
      <c r="D538" s="2">
        <f>PARAM!$H$38</f>
        <v>1</v>
      </c>
      <c r="E538" s="11">
        <f>PARAM!$G$38</f>
        <v>0</v>
      </c>
      <c r="F538" s="11">
        <f>(VLOOKUP(C538,DEDN!$A$8:$O$902,$F$2)*D538+E538)/1000</f>
        <v>4.48E-2</v>
      </c>
      <c r="G538" s="178">
        <f t="shared" si="157"/>
        <v>45</v>
      </c>
      <c r="H538" s="178">
        <f t="shared" si="157"/>
        <v>45</v>
      </c>
      <c r="I538" s="2">
        <f>PARAM!$H$39</f>
        <v>0</v>
      </c>
      <c r="J538" s="11">
        <f>PARAM!$G$39</f>
        <v>0</v>
      </c>
      <c r="K538" s="11">
        <f>(VLOOKUP(H538,DEDN!$A$8:$O$902,$K$2)*I538+J538)/1000</f>
        <v>0</v>
      </c>
      <c r="L538" s="11">
        <f>MIN(IF(PARAM!$B$43=3,CHOOSE($L$2,F538,K538),F538+K538-F538*K538),1)</f>
        <v>4.48E-2</v>
      </c>
      <c r="M538" s="2">
        <f>PARAM!$I$38</f>
        <v>0</v>
      </c>
      <c r="N538" s="11">
        <f>VLOOKUP(B538,DEDN!$A$8:$O$90,$N$2)*M538</f>
        <v>0</v>
      </c>
      <c r="O538" s="12"/>
      <c r="P538" s="10">
        <f>PARAM!$C$53^-A538</f>
        <v>1</v>
      </c>
      <c r="Q538" s="10">
        <f t="shared" si="160"/>
        <v>0.6540592717466075</v>
      </c>
      <c r="R538" s="10">
        <f t="shared" si="159"/>
        <v>0.6540592717466075</v>
      </c>
      <c r="S538" s="10">
        <f>CHOOSE(PARAM!$B$51,R538,0,0,0)*(A538&lt;PARAM!$B$55)</f>
        <v>0</v>
      </c>
      <c r="T538" s="10">
        <f t="shared" si="154"/>
        <v>2.4934436806435256E-3</v>
      </c>
      <c r="U538" s="10">
        <f>T538*P538*(A538&lt;PARAM!$B$55)</f>
        <v>0</v>
      </c>
      <c r="W538">
        <v>535</v>
      </c>
      <c r="X538" s="178">
        <f t="shared" si="158"/>
        <v>76</v>
      </c>
      <c r="Y538" s="178">
        <f t="shared" si="158"/>
        <v>76</v>
      </c>
      <c r="Z538" s="178">
        <f t="shared" si="158"/>
        <v>45</v>
      </c>
      <c r="AA538" s="178">
        <f t="shared" si="158"/>
        <v>45</v>
      </c>
      <c r="AD538" s="17">
        <f>CALC!E562*(A538&lt;PARAM!$B$55)</f>
        <v>0</v>
      </c>
      <c r="AE538">
        <f>IF(A538&lt;ITER!$C$16,1,PARAM!$C$53^-(RATES!A538-ITER!$C$16))*(A538&lt;PARAM!$B$55)</f>
        <v>0</v>
      </c>
    </row>
    <row r="539" spans="1:31" x14ac:dyDescent="0.2">
      <c r="A539" s="9">
        <v>536</v>
      </c>
      <c r="B539" s="178">
        <f t="shared" si="156"/>
        <v>76</v>
      </c>
      <c r="C539" s="178">
        <f t="shared" si="156"/>
        <v>76</v>
      </c>
      <c r="D539" s="2">
        <f>PARAM!$H$38</f>
        <v>1</v>
      </c>
      <c r="E539" s="11">
        <f>PARAM!$G$38</f>
        <v>0</v>
      </c>
      <c r="F539" s="11">
        <f>(VLOOKUP(C539,DEDN!$A$8:$O$902,$F$2)*D539+E539)/1000</f>
        <v>4.48E-2</v>
      </c>
      <c r="G539" s="178">
        <f t="shared" si="157"/>
        <v>45</v>
      </c>
      <c r="H539" s="178">
        <f t="shared" si="157"/>
        <v>45</v>
      </c>
      <c r="I539" s="2">
        <f>PARAM!$H$39</f>
        <v>0</v>
      </c>
      <c r="J539" s="11">
        <f>PARAM!$G$39</f>
        <v>0</v>
      </c>
      <c r="K539" s="11">
        <f>(VLOOKUP(H539,DEDN!$A$8:$O$902,$K$2)*I539+J539)/1000</f>
        <v>0</v>
      </c>
      <c r="L539" s="11">
        <f>MIN(IF(PARAM!$B$43=3,CHOOSE($L$2,F539,K539),F539+K539-F539*K539),1)</f>
        <v>4.48E-2</v>
      </c>
      <c r="M539" s="2">
        <f>PARAM!$I$38</f>
        <v>0</v>
      </c>
      <c r="N539" s="11">
        <f>VLOOKUP(B539,DEDN!$A$8:$O$90,$N$2)*M539</f>
        <v>0</v>
      </c>
      <c r="O539" s="12"/>
      <c r="P539" s="10">
        <f>PARAM!$C$53^-A539</f>
        <v>1</v>
      </c>
      <c r="Q539" s="10">
        <f t="shared" si="160"/>
        <v>0.65156582806596397</v>
      </c>
      <c r="R539" s="10">
        <f t="shared" si="159"/>
        <v>0.65156582806596397</v>
      </c>
      <c r="S539" s="10">
        <f>CHOOSE(PARAM!$B$51,R539,0,0,0)*(A539&lt;PARAM!$B$55)</f>
        <v>0</v>
      </c>
      <c r="T539" s="10">
        <f t="shared" si="154"/>
        <v>2.4839380262523525E-3</v>
      </c>
      <c r="U539" s="10">
        <f>T539*P539*(A539&lt;PARAM!$B$55)</f>
        <v>0</v>
      </c>
      <c r="W539">
        <v>536</v>
      </c>
      <c r="X539" s="178">
        <f t="shared" si="158"/>
        <v>76</v>
      </c>
      <c r="Y539" s="178">
        <f t="shared" si="158"/>
        <v>76</v>
      </c>
      <c r="Z539" s="178">
        <f t="shared" si="158"/>
        <v>45</v>
      </c>
      <c r="AA539" s="178">
        <f t="shared" si="158"/>
        <v>45</v>
      </c>
      <c r="AD539" s="17">
        <f>CALC!E563*(A539&lt;PARAM!$B$55)</f>
        <v>0</v>
      </c>
      <c r="AE539">
        <f>IF(A539&lt;ITER!$C$16,1,PARAM!$C$53^-(RATES!A539-ITER!$C$16))*(A539&lt;PARAM!$B$55)</f>
        <v>0</v>
      </c>
    </row>
    <row r="540" spans="1:31" x14ac:dyDescent="0.2">
      <c r="A540" s="9">
        <v>537</v>
      </c>
      <c r="B540" s="178">
        <f t="shared" si="156"/>
        <v>76</v>
      </c>
      <c r="C540" s="178">
        <f t="shared" si="156"/>
        <v>76</v>
      </c>
      <c r="D540" s="2">
        <f>PARAM!$H$38</f>
        <v>1</v>
      </c>
      <c r="E540" s="11">
        <f>PARAM!$G$38</f>
        <v>0</v>
      </c>
      <c r="F540" s="11">
        <f>(VLOOKUP(C540,DEDN!$A$8:$O$902,$F$2)*D540+E540)/1000</f>
        <v>4.48E-2</v>
      </c>
      <c r="G540" s="178">
        <f t="shared" si="157"/>
        <v>45</v>
      </c>
      <c r="H540" s="178">
        <f t="shared" si="157"/>
        <v>45</v>
      </c>
      <c r="I540" s="2">
        <f>PARAM!$H$39</f>
        <v>0</v>
      </c>
      <c r="J540" s="11">
        <f>PARAM!$G$39</f>
        <v>0</v>
      </c>
      <c r="K540" s="11">
        <f>(VLOOKUP(H540,DEDN!$A$8:$O$902,$K$2)*I540+J540)/1000</f>
        <v>0</v>
      </c>
      <c r="L540" s="11">
        <f>MIN(IF(PARAM!$B$43=3,CHOOSE($L$2,F540,K540),F540+K540-F540*K540),1)</f>
        <v>4.48E-2</v>
      </c>
      <c r="M540" s="2">
        <f>PARAM!$I$38</f>
        <v>0</v>
      </c>
      <c r="N540" s="11">
        <f>VLOOKUP(B540,DEDN!$A$8:$O$90,$N$2)*M540</f>
        <v>0</v>
      </c>
      <c r="O540" s="12"/>
      <c r="P540" s="10">
        <f>PARAM!$C$53^-A540</f>
        <v>1</v>
      </c>
      <c r="Q540" s="10">
        <f t="shared" si="160"/>
        <v>0.64908189003971162</v>
      </c>
      <c r="R540" s="10">
        <f t="shared" si="159"/>
        <v>0.64908189003971162</v>
      </c>
      <c r="S540" s="10">
        <f>CHOOSE(PARAM!$B$51,R540,R540,0,0)*(A540&lt;PARAM!$B$55)</f>
        <v>0</v>
      </c>
      <c r="T540" s="10">
        <f t="shared" si="154"/>
        <v>2.4744686098826518E-3</v>
      </c>
      <c r="U540" s="10">
        <f>T540*P540*(A540&lt;PARAM!$B$55)</f>
        <v>0</v>
      </c>
      <c r="W540">
        <v>537</v>
      </c>
      <c r="X540" s="178">
        <f t="shared" si="158"/>
        <v>76</v>
      </c>
      <c r="Y540" s="178">
        <f t="shared" si="158"/>
        <v>76</v>
      </c>
      <c r="Z540" s="178">
        <f t="shared" si="158"/>
        <v>45</v>
      </c>
      <c r="AA540" s="178">
        <f t="shared" si="158"/>
        <v>45</v>
      </c>
      <c r="AD540" s="17">
        <f>CALC!E564*(A540&lt;PARAM!$B$55)</f>
        <v>0</v>
      </c>
      <c r="AE540">
        <f>IF(A540&lt;ITER!$C$16,1,PARAM!$C$53^-(RATES!A540-ITER!$C$16))*(A540&lt;PARAM!$B$55)</f>
        <v>0</v>
      </c>
    </row>
    <row r="541" spans="1:31" x14ac:dyDescent="0.2">
      <c r="A541" s="9">
        <v>538</v>
      </c>
      <c r="B541" s="178">
        <f t="shared" ref="B541:C560" si="161">B529+1</f>
        <v>76</v>
      </c>
      <c r="C541" s="178">
        <f t="shared" si="161"/>
        <v>76</v>
      </c>
      <c r="D541" s="2">
        <f>PARAM!$H$38</f>
        <v>1</v>
      </c>
      <c r="E541" s="11">
        <f>PARAM!$G$38</f>
        <v>0</v>
      </c>
      <c r="F541" s="11">
        <f>(VLOOKUP(C541,DEDN!$A$8:$O$902,$F$2)*D541+E541)/1000</f>
        <v>4.48E-2</v>
      </c>
      <c r="G541" s="178">
        <f t="shared" ref="G541:H560" si="162">G529+1</f>
        <v>45</v>
      </c>
      <c r="H541" s="178">
        <f t="shared" si="162"/>
        <v>45</v>
      </c>
      <c r="I541" s="2">
        <f>PARAM!$H$39</f>
        <v>0</v>
      </c>
      <c r="J541" s="11">
        <f>PARAM!$G$39</f>
        <v>0</v>
      </c>
      <c r="K541" s="11">
        <f>(VLOOKUP(H541,DEDN!$A$8:$O$902,$K$2)*I541+J541)/1000</f>
        <v>0</v>
      </c>
      <c r="L541" s="11">
        <f>MIN(IF(PARAM!$B$43=3,CHOOSE($L$2,F541,K541),F541+K541-F541*K541),1)</f>
        <v>4.48E-2</v>
      </c>
      <c r="M541" s="2">
        <f>PARAM!$I$38</f>
        <v>0</v>
      </c>
      <c r="N541" s="11">
        <f>VLOOKUP(B541,DEDN!$A$8:$O$90,$N$2)*M541</f>
        <v>0</v>
      </c>
      <c r="O541" s="12"/>
      <c r="P541" s="10">
        <f>PARAM!$C$53^-A541</f>
        <v>1</v>
      </c>
      <c r="Q541" s="10">
        <f t="shared" si="160"/>
        <v>0.64660742142982897</v>
      </c>
      <c r="R541" s="10">
        <f t="shared" si="159"/>
        <v>0.64660742142982897</v>
      </c>
      <c r="S541" s="10">
        <f>CHOOSE(PARAM!$B$51,R541,0,0,0)*(A541&lt;PARAM!$B$55)</f>
        <v>0</v>
      </c>
      <c r="T541" s="10">
        <f t="shared" si="154"/>
        <v>2.4650352933854869E-3</v>
      </c>
      <c r="U541" s="10">
        <f>T541*P541*(A541&lt;PARAM!$B$55)</f>
        <v>0</v>
      </c>
      <c r="W541">
        <v>538</v>
      </c>
      <c r="X541" s="178">
        <f t="shared" ref="X541:AA560" si="163">X529+1</f>
        <v>76</v>
      </c>
      <c r="Y541" s="178">
        <f t="shared" si="163"/>
        <v>76</v>
      </c>
      <c r="Z541" s="178">
        <f t="shared" si="163"/>
        <v>45</v>
      </c>
      <c r="AA541" s="178">
        <f t="shared" si="163"/>
        <v>45</v>
      </c>
      <c r="AD541" s="17">
        <f>CALC!E565*(A541&lt;PARAM!$B$55)</f>
        <v>0</v>
      </c>
      <c r="AE541">
        <f>IF(A541&lt;ITER!$C$16,1,PARAM!$C$53^-(RATES!A541-ITER!$C$16))*(A541&lt;PARAM!$B$55)</f>
        <v>0</v>
      </c>
    </row>
    <row r="542" spans="1:31" x14ac:dyDescent="0.2">
      <c r="A542" s="9">
        <v>539</v>
      </c>
      <c r="B542" s="178">
        <f t="shared" si="161"/>
        <v>76</v>
      </c>
      <c r="C542" s="178">
        <f t="shared" si="161"/>
        <v>76</v>
      </c>
      <c r="D542" s="2">
        <f>PARAM!$H$38</f>
        <v>1</v>
      </c>
      <c r="E542" s="11">
        <f>PARAM!$G$38</f>
        <v>0</v>
      </c>
      <c r="F542" s="11">
        <f>(VLOOKUP(C542,DEDN!$A$8:$O$902,$F$2)*D542+E542)/1000</f>
        <v>4.48E-2</v>
      </c>
      <c r="G542" s="178">
        <f t="shared" si="162"/>
        <v>45</v>
      </c>
      <c r="H542" s="178">
        <f t="shared" si="162"/>
        <v>45</v>
      </c>
      <c r="I542" s="2">
        <f>PARAM!$H$39</f>
        <v>0</v>
      </c>
      <c r="J542" s="11">
        <f>PARAM!$G$39</f>
        <v>0</v>
      </c>
      <c r="K542" s="11">
        <f>(VLOOKUP(H542,DEDN!$A$8:$O$902,$K$2)*I542+J542)/1000</f>
        <v>0</v>
      </c>
      <c r="L542" s="11">
        <f>MIN(IF(PARAM!$B$43=3,CHOOSE($L$2,F542,K542),F542+K542-F542*K542),1)</f>
        <v>4.48E-2</v>
      </c>
      <c r="M542" s="2">
        <f>PARAM!$I$38</f>
        <v>0</v>
      </c>
      <c r="N542" s="11">
        <f>VLOOKUP(B542,DEDN!$A$8:$O$90,$N$2)*M542</f>
        <v>0</v>
      </c>
      <c r="O542" s="12"/>
      <c r="P542" s="10">
        <f>PARAM!$C$53^-A542</f>
        <v>1</v>
      </c>
      <c r="Q542" s="10">
        <f t="shared" si="160"/>
        <v>0.64414238613644348</v>
      </c>
      <c r="R542" s="10">
        <f t="shared" si="159"/>
        <v>0.64414238613644348</v>
      </c>
      <c r="S542" s="10">
        <f>CHOOSE(PARAM!$B$51,R542,0,0,0)*(A542&lt;PARAM!$B$55)</f>
        <v>0</v>
      </c>
      <c r="T542" s="10">
        <f t="shared" si="154"/>
        <v>2.4556379391389438E-3</v>
      </c>
      <c r="U542" s="10">
        <f>T542*P542*(A542&lt;PARAM!$B$55)</f>
        <v>0</v>
      </c>
      <c r="W542">
        <v>539</v>
      </c>
      <c r="X542" s="178">
        <f t="shared" si="163"/>
        <v>76</v>
      </c>
      <c r="Y542" s="178">
        <f t="shared" si="163"/>
        <v>76</v>
      </c>
      <c r="Z542" s="178">
        <f t="shared" si="163"/>
        <v>45</v>
      </c>
      <c r="AA542" s="178">
        <f t="shared" si="163"/>
        <v>45</v>
      </c>
      <c r="AD542" s="17">
        <f>CALC!E566*(A542&lt;PARAM!$B$55)</f>
        <v>0</v>
      </c>
      <c r="AE542">
        <f>IF(A542&lt;ITER!$C$16,1,PARAM!$C$53^-(RATES!A542-ITER!$C$16))*(A542&lt;PARAM!$B$55)</f>
        <v>0</v>
      </c>
    </row>
    <row r="543" spans="1:31" x14ac:dyDescent="0.2">
      <c r="A543" s="9">
        <v>540</v>
      </c>
      <c r="B543" s="178">
        <f t="shared" si="161"/>
        <v>76</v>
      </c>
      <c r="C543" s="178">
        <f t="shared" si="161"/>
        <v>76</v>
      </c>
      <c r="D543" s="2">
        <f>PARAM!$H$38</f>
        <v>1</v>
      </c>
      <c r="E543" s="11">
        <f>PARAM!$G$38</f>
        <v>0</v>
      </c>
      <c r="F543" s="11">
        <f>(VLOOKUP(C543,DEDN!$A$8:$O$902,$F$2)*D543+E543)/1000</f>
        <v>4.48E-2</v>
      </c>
      <c r="G543" s="178">
        <f t="shared" si="162"/>
        <v>45</v>
      </c>
      <c r="H543" s="178">
        <f t="shared" si="162"/>
        <v>45</v>
      </c>
      <c r="I543" s="2">
        <f>PARAM!$H$39</f>
        <v>0</v>
      </c>
      <c r="J543" s="11">
        <f>PARAM!$G$39</f>
        <v>0</v>
      </c>
      <c r="K543" s="11">
        <f>(VLOOKUP(H543,DEDN!$A$8:$O$902,$K$2)*I543+J543)/1000</f>
        <v>0</v>
      </c>
      <c r="L543" s="11">
        <f>MIN(IF(PARAM!$B$43=3,CHOOSE($L$2,F543,K543),F543+K543-F543*K543),1)</f>
        <v>4.48E-2</v>
      </c>
      <c r="M543" s="2">
        <f>PARAM!$I$38</f>
        <v>0</v>
      </c>
      <c r="N543" s="11">
        <f>VLOOKUP(B543,DEDN!$A$8:$O$90,$N$2)*M543</f>
        <v>0</v>
      </c>
      <c r="O543" s="12"/>
      <c r="P543" s="10">
        <f>PARAM!$C$53^-A543</f>
        <v>1</v>
      </c>
      <c r="Q543" s="10">
        <f t="shared" si="160"/>
        <v>0.64168674819730454</v>
      </c>
      <c r="R543" s="10">
        <f t="shared" si="159"/>
        <v>0.64168674819730454</v>
      </c>
      <c r="S543" s="10">
        <f>R543*(A543&lt;PARAM!$B$55)</f>
        <v>0</v>
      </c>
      <c r="T543" s="10">
        <f t="shared" si="154"/>
        <v>2.446276410045467E-3</v>
      </c>
      <c r="U543" s="10">
        <f>T543*P543*(A543&lt;PARAM!$B$55)</f>
        <v>0</v>
      </c>
      <c r="W543">
        <v>540</v>
      </c>
      <c r="X543" s="178">
        <f t="shared" si="163"/>
        <v>76</v>
      </c>
      <c r="Y543" s="178">
        <f t="shared" si="163"/>
        <v>76</v>
      </c>
      <c r="Z543" s="178">
        <f t="shared" si="163"/>
        <v>45</v>
      </c>
      <c r="AA543" s="178">
        <f t="shared" si="163"/>
        <v>45</v>
      </c>
      <c r="AD543" s="17">
        <f>CALC!E567*(A543&lt;PARAM!$B$55)</f>
        <v>0</v>
      </c>
      <c r="AE543">
        <f>IF(A543&lt;ITER!$C$16,1,PARAM!$C$53^-(RATES!A543-ITER!$C$16))*(A543&lt;PARAM!$B$55)</f>
        <v>0</v>
      </c>
    </row>
    <row r="544" spans="1:31" x14ac:dyDescent="0.2">
      <c r="A544" s="9">
        <v>541</v>
      </c>
      <c r="B544" s="178">
        <f t="shared" si="161"/>
        <v>76</v>
      </c>
      <c r="C544" s="178">
        <f t="shared" si="161"/>
        <v>76</v>
      </c>
      <c r="D544" s="2">
        <f>PARAM!$H$38</f>
        <v>1</v>
      </c>
      <c r="E544" s="11">
        <f>PARAM!$G$38</f>
        <v>0</v>
      </c>
      <c r="F544" s="11">
        <f>(VLOOKUP(C544,DEDN!$A$8:$O$902,$F$2)*D544+E544)/1000</f>
        <v>4.48E-2</v>
      </c>
      <c r="G544" s="178">
        <f t="shared" si="162"/>
        <v>45</v>
      </c>
      <c r="H544" s="178">
        <f t="shared" si="162"/>
        <v>45</v>
      </c>
      <c r="I544" s="2">
        <f>PARAM!$H$39</f>
        <v>0</v>
      </c>
      <c r="J544" s="11">
        <f>PARAM!$G$39</f>
        <v>0</v>
      </c>
      <c r="K544" s="11">
        <f>(VLOOKUP(H544,DEDN!$A$8:$O$902,$K$2)*I544+J544)/1000</f>
        <v>0</v>
      </c>
      <c r="L544" s="11">
        <f>MIN(IF(PARAM!$B$43=3,CHOOSE($L$2,F544,K544),F544+K544-F544*K544),1)</f>
        <v>4.48E-2</v>
      </c>
      <c r="M544" s="2">
        <f>PARAM!$I$38</f>
        <v>0</v>
      </c>
      <c r="N544" s="11">
        <f>VLOOKUP(B544,DEDN!$A$8:$O$90,$N$2)*M544</f>
        <v>0</v>
      </c>
      <c r="O544" s="12"/>
      <c r="P544" s="10">
        <f>PARAM!$C$53^-A544</f>
        <v>1</v>
      </c>
      <c r="Q544" s="10">
        <f t="shared" si="160"/>
        <v>0.63924047178725907</v>
      </c>
      <c r="R544" s="10">
        <f t="shared" si="159"/>
        <v>0.63924047178725907</v>
      </c>
      <c r="S544" s="10">
        <f>CHOOSE(PARAM!$B$51,R544,0,0,0)*(A544&lt;PARAM!$B$55)</f>
        <v>0</v>
      </c>
      <c r="T544" s="10">
        <f t="shared" si="154"/>
        <v>2.4369505695304161E-3</v>
      </c>
      <c r="U544" s="10">
        <f>T544*P544*(A544&lt;PARAM!$B$55)</f>
        <v>0</v>
      </c>
      <c r="W544">
        <v>541</v>
      </c>
      <c r="X544" s="178">
        <f t="shared" si="163"/>
        <v>76</v>
      </c>
      <c r="Y544" s="178">
        <f t="shared" si="163"/>
        <v>76</v>
      </c>
      <c r="Z544" s="178">
        <f t="shared" si="163"/>
        <v>45</v>
      </c>
      <c r="AA544" s="178">
        <f t="shared" si="163"/>
        <v>45</v>
      </c>
      <c r="AD544" s="17">
        <f>CALC!E568*(A544&lt;PARAM!$B$55)</f>
        <v>0</v>
      </c>
      <c r="AE544">
        <f>IF(A544&lt;ITER!$C$16,1,PARAM!$C$53^-(RATES!A544-ITER!$C$16))*(A544&lt;PARAM!$B$55)</f>
        <v>0</v>
      </c>
    </row>
    <row r="545" spans="1:31" x14ac:dyDescent="0.2">
      <c r="A545" s="9">
        <v>542</v>
      </c>
      <c r="B545" s="178">
        <f t="shared" si="161"/>
        <v>76</v>
      </c>
      <c r="C545" s="178">
        <f t="shared" si="161"/>
        <v>76</v>
      </c>
      <c r="D545" s="2">
        <f>PARAM!$H$38</f>
        <v>1</v>
      </c>
      <c r="E545" s="11">
        <f>PARAM!$G$38</f>
        <v>0</v>
      </c>
      <c r="F545" s="11">
        <f>(VLOOKUP(C545,DEDN!$A$8:$O$902,$F$2)*D545+E545)/1000</f>
        <v>4.48E-2</v>
      </c>
      <c r="G545" s="178">
        <f t="shared" si="162"/>
        <v>45</v>
      </c>
      <c r="H545" s="178">
        <f t="shared" si="162"/>
        <v>45</v>
      </c>
      <c r="I545" s="2">
        <f>PARAM!$H$39</f>
        <v>0</v>
      </c>
      <c r="J545" s="11">
        <f>PARAM!$G$39</f>
        <v>0</v>
      </c>
      <c r="K545" s="11">
        <f>(VLOOKUP(H545,DEDN!$A$8:$O$902,$K$2)*I545+J545)/1000</f>
        <v>0</v>
      </c>
      <c r="L545" s="11">
        <f>MIN(IF(PARAM!$B$43=3,CHOOSE($L$2,F545,K545),F545+K545-F545*K545),1)</f>
        <v>4.48E-2</v>
      </c>
      <c r="M545" s="2">
        <f>PARAM!$I$38</f>
        <v>0</v>
      </c>
      <c r="N545" s="11">
        <f>VLOOKUP(B545,DEDN!$A$8:$O$90,$N$2)*M545</f>
        <v>0</v>
      </c>
      <c r="O545" s="12"/>
      <c r="P545" s="10">
        <f>PARAM!$C$53^-A545</f>
        <v>1</v>
      </c>
      <c r="Q545" s="10">
        <f t="shared" si="160"/>
        <v>0.63680352121772865</v>
      </c>
      <c r="R545" s="10">
        <f t="shared" si="159"/>
        <v>0.63680352121772865</v>
      </c>
      <c r="S545" s="10">
        <f>CHOOSE(PARAM!$B$51,R545,0,0,0)*(A545&lt;PARAM!$B$55)</f>
        <v>0</v>
      </c>
      <c r="T545" s="10">
        <f t="shared" si="154"/>
        <v>2.4276602815395121E-3</v>
      </c>
      <c r="U545" s="10">
        <f>T545*P545*(A545&lt;PARAM!$B$55)</f>
        <v>0</v>
      </c>
      <c r="W545">
        <v>542</v>
      </c>
      <c r="X545" s="178">
        <f t="shared" si="163"/>
        <v>76</v>
      </c>
      <c r="Y545" s="178">
        <f t="shared" si="163"/>
        <v>76</v>
      </c>
      <c r="Z545" s="178">
        <f t="shared" si="163"/>
        <v>45</v>
      </c>
      <c r="AA545" s="178">
        <f t="shared" si="163"/>
        <v>45</v>
      </c>
      <c r="AD545" s="17">
        <f>CALC!E569*(A545&lt;PARAM!$B$55)</f>
        <v>0</v>
      </c>
      <c r="AE545">
        <f>IF(A545&lt;ITER!$C$16,1,PARAM!$C$53^-(RATES!A545-ITER!$C$16))*(A545&lt;PARAM!$B$55)</f>
        <v>0</v>
      </c>
    </row>
    <row r="546" spans="1:31" x14ac:dyDescent="0.2">
      <c r="A546" s="9">
        <v>543</v>
      </c>
      <c r="B546" s="178">
        <f t="shared" si="161"/>
        <v>76</v>
      </c>
      <c r="C546" s="178">
        <f t="shared" si="161"/>
        <v>76</v>
      </c>
      <c r="D546" s="2">
        <f>PARAM!$H$38</f>
        <v>1</v>
      </c>
      <c r="E546" s="11">
        <f>PARAM!$G$38</f>
        <v>0</v>
      </c>
      <c r="F546" s="11">
        <f>(VLOOKUP(C546,DEDN!$A$8:$O$902,$F$2)*D546+E546)/1000</f>
        <v>4.48E-2</v>
      </c>
      <c r="G546" s="178">
        <f t="shared" si="162"/>
        <v>45</v>
      </c>
      <c r="H546" s="178">
        <f t="shared" si="162"/>
        <v>45</v>
      </c>
      <c r="I546" s="2">
        <f>PARAM!$H$39</f>
        <v>0</v>
      </c>
      <c r="J546" s="11">
        <f>PARAM!$G$39</f>
        <v>0</v>
      </c>
      <c r="K546" s="11">
        <f>(VLOOKUP(H546,DEDN!$A$8:$O$902,$K$2)*I546+J546)/1000</f>
        <v>0</v>
      </c>
      <c r="L546" s="11">
        <f>MIN(IF(PARAM!$B$43=3,CHOOSE($L$2,F546,K546),F546+K546-F546*K546),1)</f>
        <v>4.48E-2</v>
      </c>
      <c r="M546" s="2">
        <f>PARAM!$I$38</f>
        <v>0</v>
      </c>
      <c r="N546" s="11">
        <f>VLOOKUP(B546,DEDN!$A$8:$O$90,$N$2)*M546</f>
        <v>0</v>
      </c>
      <c r="O546" s="12"/>
      <c r="P546" s="10">
        <f>PARAM!$C$53^-A546</f>
        <v>1</v>
      </c>
      <c r="Q546" s="10">
        <f t="shared" si="160"/>
        <v>0.63437586093618914</v>
      </c>
      <c r="R546" s="10">
        <f t="shared" si="159"/>
        <v>0.63437586093618914</v>
      </c>
      <c r="S546" s="10">
        <f>CHOOSE(PARAM!$B$51,R546,R546,0,0)*(A546&lt;PARAM!$B$55)</f>
        <v>0</v>
      </c>
      <c r="T546" s="10">
        <f t="shared" si="154"/>
        <v>2.4184054105373942E-3</v>
      </c>
      <c r="U546" s="10">
        <f>T546*P546*(A546&lt;PARAM!$B$55)</f>
        <v>0</v>
      </c>
      <c r="W546">
        <v>543</v>
      </c>
      <c r="X546" s="178">
        <f t="shared" si="163"/>
        <v>76</v>
      </c>
      <c r="Y546" s="178">
        <f t="shared" si="163"/>
        <v>76</v>
      </c>
      <c r="Z546" s="178">
        <f t="shared" si="163"/>
        <v>45</v>
      </c>
      <c r="AA546" s="178">
        <f t="shared" si="163"/>
        <v>45</v>
      </c>
      <c r="AD546" s="17">
        <f>CALC!E570*(A546&lt;PARAM!$B$55)</f>
        <v>0</v>
      </c>
      <c r="AE546">
        <f>IF(A546&lt;ITER!$C$16,1,PARAM!$C$53^-(RATES!A546-ITER!$C$16))*(A546&lt;PARAM!$B$55)</f>
        <v>0</v>
      </c>
    </row>
    <row r="547" spans="1:31" x14ac:dyDescent="0.2">
      <c r="A547" s="9">
        <v>544</v>
      </c>
      <c r="B547" s="178">
        <f t="shared" si="161"/>
        <v>76</v>
      </c>
      <c r="C547" s="178">
        <f t="shared" si="161"/>
        <v>76</v>
      </c>
      <c r="D547" s="2">
        <f>PARAM!$H$38</f>
        <v>1</v>
      </c>
      <c r="E547" s="11">
        <f>PARAM!$G$38</f>
        <v>0</v>
      </c>
      <c r="F547" s="11">
        <f>(VLOOKUP(C547,DEDN!$A$8:$O$902,$F$2)*D547+E547)/1000</f>
        <v>4.48E-2</v>
      </c>
      <c r="G547" s="178">
        <f t="shared" si="162"/>
        <v>45</v>
      </c>
      <c r="H547" s="178">
        <f t="shared" si="162"/>
        <v>45</v>
      </c>
      <c r="I547" s="2">
        <f>PARAM!$H$39</f>
        <v>0</v>
      </c>
      <c r="J547" s="11">
        <f>PARAM!$G$39</f>
        <v>0</v>
      </c>
      <c r="K547" s="11">
        <f>(VLOOKUP(H547,DEDN!$A$8:$O$902,$K$2)*I547+J547)/1000</f>
        <v>0</v>
      </c>
      <c r="L547" s="11">
        <f>MIN(IF(PARAM!$B$43=3,CHOOSE($L$2,F547,K547),F547+K547-F547*K547),1)</f>
        <v>4.48E-2</v>
      </c>
      <c r="M547" s="2">
        <f>PARAM!$I$38</f>
        <v>0</v>
      </c>
      <c r="N547" s="11">
        <f>VLOOKUP(B547,DEDN!$A$8:$O$90,$N$2)*M547</f>
        <v>0</v>
      </c>
      <c r="O547" s="12"/>
      <c r="P547" s="10">
        <f>PARAM!$C$53^-A547</f>
        <v>1</v>
      </c>
      <c r="Q547" s="10">
        <f t="shared" si="160"/>
        <v>0.63195745552565175</v>
      </c>
      <c r="R547" s="10">
        <f t="shared" si="159"/>
        <v>0.63195745552565175</v>
      </c>
      <c r="S547" s="10">
        <f>CHOOSE(PARAM!$B$51,R547,0,0,0)*(A547&lt;PARAM!$B$55)</f>
        <v>0</v>
      </c>
      <c r="T547" s="10">
        <f t="shared" si="154"/>
        <v>2.4091858215052886E-3</v>
      </c>
      <c r="U547" s="10">
        <f>T547*P547*(A547&lt;PARAM!$B$55)</f>
        <v>0</v>
      </c>
      <c r="W547">
        <v>544</v>
      </c>
      <c r="X547" s="178">
        <f t="shared" si="163"/>
        <v>76</v>
      </c>
      <c r="Y547" s="178">
        <f t="shared" si="163"/>
        <v>76</v>
      </c>
      <c r="Z547" s="178">
        <f t="shared" si="163"/>
        <v>45</v>
      </c>
      <c r="AA547" s="178">
        <f t="shared" si="163"/>
        <v>45</v>
      </c>
      <c r="AD547" s="17">
        <f>CALC!E571*(A547&lt;PARAM!$B$55)</f>
        <v>0</v>
      </c>
      <c r="AE547">
        <f>IF(A547&lt;ITER!$C$16,1,PARAM!$C$53^-(RATES!A547-ITER!$C$16))*(A547&lt;PARAM!$B$55)</f>
        <v>0</v>
      </c>
    </row>
    <row r="548" spans="1:31" x14ac:dyDescent="0.2">
      <c r="A548" s="9">
        <v>545</v>
      </c>
      <c r="B548" s="178">
        <f t="shared" si="161"/>
        <v>76</v>
      </c>
      <c r="C548" s="178">
        <f t="shared" si="161"/>
        <v>76</v>
      </c>
      <c r="D548" s="2">
        <f>PARAM!$H$38</f>
        <v>1</v>
      </c>
      <c r="E548" s="11">
        <f>PARAM!$G$38</f>
        <v>0</v>
      </c>
      <c r="F548" s="11">
        <f>(VLOOKUP(C548,DEDN!$A$8:$O$902,$F$2)*D548+E548)/1000</f>
        <v>4.48E-2</v>
      </c>
      <c r="G548" s="178">
        <f t="shared" si="162"/>
        <v>45</v>
      </c>
      <c r="H548" s="178">
        <f t="shared" si="162"/>
        <v>45</v>
      </c>
      <c r="I548" s="2">
        <f>PARAM!$H$39</f>
        <v>0</v>
      </c>
      <c r="J548" s="11">
        <f>PARAM!$G$39</f>
        <v>0</v>
      </c>
      <c r="K548" s="11">
        <f>(VLOOKUP(H548,DEDN!$A$8:$O$902,$K$2)*I548+J548)/1000</f>
        <v>0</v>
      </c>
      <c r="L548" s="11">
        <f>MIN(IF(PARAM!$B$43=3,CHOOSE($L$2,F548,K548),F548+K548-F548*K548),1)</f>
        <v>4.48E-2</v>
      </c>
      <c r="M548" s="2">
        <f>PARAM!$I$38</f>
        <v>0</v>
      </c>
      <c r="N548" s="11">
        <f>VLOOKUP(B548,DEDN!$A$8:$O$90,$N$2)*M548</f>
        <v>0</v>
      </c>
      <c r="O548" s="12"/>
      <c r="P548" s="10">
        <f>PARAM!$C$53^-A548</f>
        <v>1</v>
      </c>
      <c r="Q548" s="10">
        <f t="shared" si="160"/>
        <v>0.62954826970414646</v>
      </c>
      <c r="R548" s="10">
        <f t="shared" ref="R548:R563" si="164">P548*Q548</f>
        <v>0.62954826970414646</v>
      </c>
      <c r="S548" s="10">
        <f>CHOOSE(PARAM!$B$51,R548,0,0,0)*(A548&lt;PARAM!$B$55)</f>
        <v>0</v>
      </c>
      <c r="T548" s="10">
        <f t="shared" si="154"/>
        <v>2.4000013799392317E-3</v>
      </c>
      <c r="U548" s="10">
        <f>T548*P548*(A548&lt;PARAM!$B$55)</f>
        <v>0</v>
      </c>
      <c r="W548">
        <v>545</v>
      </c>
      <c r="X548" s="178">
        <f t="shared" si="163"/>
        <v>76</v>
      </c>
      <c r="Y548" s="178">
        <f t="shared" si="163"/>
        <v>76</v>
      </c>
      <c r="Z548" s="178">
        <f t="shared" si="163"/>
        <v>45</v>
      </c>
      <c r="AA548" s="178">
        <f t="shared" si="163"/>
        <v>45</v>
      </c>
      <c r="AD548" s="17">
        <f>CALC!E572*(A548&lt;PARAM!$B$55)</f>
        <v>0</v>
      </c>
      <c r="AE548">
        <f>IF(A548&lt;ITER!$C$16,1,PARAM!$C$53^-(RATES!A548-ITER!$C$16))*(A548&lt;PARAM!$B$55)</f>
        <v>0</v>
      </c>
    </row>
    <row r="549" spans="1:31" x14ac:dyDescent="0.2">
      <c r="A549" s="9">
        <v>546</v>
      </c>
      <c r="B549" s="178">
        <f t="shared" si="161"/>
        <v>77</v>
      </c>
      <c r="C549" s="178">
        <f t="shared" si="161"/>
        <v>77</v>
      </c>
      <c r="D549" s="2">
        <f>PARAM!$H$38</f>
        <v>1</v>
      </c>
      <c r="E549" s="11">
        <f>PARAM!$G$38</f>
        <v>0</v>
      </c>
      <c r="F549" s="11">
        <f>(VLOOKUP(C549,DEDN!$A$8:$O$902,$F$2)*D549+E549)/1000</f>
        <v>4.9239999999999999E-2</v>
      </c>
      <c r="G549" s="178">
        <f t="shared" si="162"/>
        <v>46</v>
      </c>
      <c r="H549" s="178">
        <f t="shared" si="162"/>
        <v>46</v>
      </c>
      <c r="I549" s="2">
        <f>PARAM!$H$39</f>
        <v>0</v>
      </c>
      <c r="J549" s="11">
        <f>PARAM!$G$39</f>
        <v>0</v>
      </c>
      <c r="K549" s="11">
        <f>(VLOOKUP(H549,DEDN!$A$8:$O$902,$K$2)*I549+J549)/1000</f>
        <v>0</v>
      </c>
      <c r="L549" s="11">
        <f>MIN(IF(PARAM!$B$43=3,CHOOSE($L$2,F549,K549),F549+K549-F549*K549),1)</f>
        <v>4.9239999999999999E-2</v>
      </c>
      <c r="M549" s="2">
        <f>PARAM!$I$38</f>
        <v>0</v>
      </c>
      <c r="N549" s="11">
        <f>VLOOKUP(B549,DEDN!$A$8:$O$90,$N$2)*M549</f>
        <v>0</v>
      </c>
      <c r="O549" s="12"/>
      <c r="P549" s="10">
        <f>PARAM!$C$53^-A549</f>
        <v>1</v>
      </c>
      <c r="Q549" s="10">
        <f t="shared" ref="Q549:Q564" si="165">Q548*(1-L548)^(1/12)</f>
        <v>0.62714826832420723</v>
      </c>
      <c r="R549" s="10">
        <f t="shared" si="164"/>
        <v>0.62714826832420723</v>
      </c>
      <c r="S549" s="10">
        <f>CHOOSE(PARAM!$B$51,R549,R549,R549,0)*(A549&lt;PARAM!$B$55)</f>
        <v>0</v>
      </c>
      <c r="T549" s="10">
        <f t="shared" si="154"/>
        <v>2.6333709902335301E-3</v>
      </c>
      <c r="U549" s="10">
        <f>T549*P549*(A549&lt;PARAM!$B$55)</f>
        <v>0</v>
      </c>
      <c r="W549">
        <v>546</v>
      </c>
      <c r="X549" s="178">
        <f t="shared" si="163"/>
        <v>77</v>
      </c>
      <c r="Y549" s="178">
        <f t="shared" si="163"/>
        <v>77</v>
      </c>
      <c r="Z549" s="178">
        <f t="shared" si="163"/>
        <v>46</v>
      </c>
      <c r="AA549" s="178">
        <f t="shared" si="163"/>
        <v>46</v>
      </c>
      <c r="AD549" s="17">
        <f>CALC!E573*(A549&lt;PARAM!$B$55)</f>
        <v>0</v>
      </c>
      <c r="AE549">
        <f>IF(A549&lt;ITER!$C$16,1,PARAM!$C$53^-(RATES!A549-ITER!$C$16))*(A549&lt;PARAM!$B$55)</f>
        <v>0</v>
      </c>
    </row>
    <row r="550" spans="1:31" x14ac:dyDescent="0.2">
      <c r="A550" s="9">
        <v>547</v>
      </c>
      <c r="B550" s="178">
        <f t="shared" si="161"/>
        <v>77</v>
      </c>
      <c r="C550" s="178">
        <f t="shared" si="161"/>
        <v>77</v>
      </c>
      <c r="D550" s="2">
        <f>PARAM!$H$38</f>
        <v>1</v>
      </c>
      <c r="E550" s="11">
        <f>PARAM!$G$38</f>
        <v>0</v>
      </c>
      <c r="F550" s="11">
        <f>(VLOOKUP(C550,DEDN!$A$8:$O$902,$F$2)*D550+E550)/1000</f>
        <v>4.9239999999999999E-2</v>
      </c>
      <c r="G550" s="178">
        <f t="shared" si="162"/>
        <v>46</v>
      </c>
      <c r="H550" s="178">
        <f t="shared" si="162"/>
        <v>46</v>
      </c>
      <c r="I550" s="2">
        <f>PARAM!$H$39</f>
        <v>0</v>
      </c>
      <c r="J550" s="11">
        <f>PARAM!$G$39</f>
        <v>0</v>
      </c>
      <c r="K550" s="11">
        <f>(VLOOKUP(H550,DEDN!$A$8:$O$902,$K$2)*I550+J550)/1000</f>
        <v>0</v>
      </c>
      <c r="L550" s="11">
        <f>MIN(IF(PARAM!$B$43=3,CHOOSE($L$2,F550,K550),F550+K550-F550*K550),1)</f>
        <v>4.9239999999999999E-2</v>
      </c>
      <c r="M550" s="2">
        <f>PARAM!$I$38</f>
        <v>0</v>
      </c>
      <c r="N550" s="11">
        <f>VLOOKUP(B550,DEDN!$A$8:$O$90,$N$2)*M550</f>
        <v>0</v>
      </c>
      <c r="O550" s="12"/>
      <c r="P550" s="10">
        <f>PARAM!$C$53^-A550</f>
        <v>1</v>
      </c>
      <c r="Q550" s="10">
        <f t="shared" si="165"/>
        <v>0.6245148973339737</v>
      </c>
      <c r="R550" s="10">
        <f t="shared" si="164"/>
        <v>0.6245148973339737</v>
      </c>
      <c r="S550" s="10">
        <f>CHOOSE(PARAM!$B$51,R550,0,0,0)*(A550&lt;PARAM!$B$55)</f>
        <v>0</v>
      </c>
      <c r="T550" s="10">
        <f t="shared" si="154"/>
        <v>2.6223135686915811E-3</v>
      </c>
      <c r="U550" s="10">
        <f>T550*P550*(A550&lt;PARAM!$B$55)</f>
        <v>0</v>
      </c>
      <c r="W550">
        <v>547</v>
      </c>
      <c r="X550" s="178">
        <f t="shared" si="163"/>
        <v>77</v>
      </c>
      <c r="Y550" s="178">
        <f t="shared" si="163"/>
        <v>77</v>
      </c>
      <c r="Z550" s="178">
        <f t="shared" si="163"/>
        <v>46</v>
      </c>
      <c r="AA550" s="178">
        <f t="shared" si="163"/>
        <v>46</v>
      </c>
      <c r="AD550" s="17">
        <f>CALC!E574*(A550&lt;PARAM!$B$55)</f>
        <v>0</v>
      </c>
      <c r="AE550">
        <f>IF(A550&lt;ITER!$C$16,1,PARAM!$C$53^-(RATES!A550-ITER!$C$16))*(A550&lt;PARAM!$B$55)</f>
        <v>0</v>
      </c>
    </row>
    <row r="551" spans="1:31" x14ac:dyDescent="0.2">
      <c r="A551" s="9">
        <v>548</v>
      </c>
      <c r="B551" s="178">
        <f t="shared" si="161"/>
        <v>77</v>
      </c>
      <c r="C551" s="178">
        <f t="shared" si="161"/>
        <v>77</v>
      </c>
      <c r="D551" s="2">
        <f>PARAM!$H$38</f>
        <v>1</v>
      </c>
      <c r="E551" s="11">
        <f>PARAM!$G$38</f>
        <v>0</v>
      </c>
      <c r="F551" s="11">
        <f>(VLOOKUP(C551,DEDN!$A$8:$O$902,$F$2)*D551+E551)/1000</f>
        <v>4.9239999999999999E-2</v>
      </c>
      <c r="G551" s="178">
        <f t="shared" si="162"/>
        <v>46</v>
      </c>
      <c r="H551" s="178">
        <f t="shared" si="162"/>
        <v>46</v>
      </c>
      <c r="I551" s="2">
        <f>PARAM!$H$39</f>
        <v>0</v>
      </c>
      <c r="J551" s="11">
        <f>PARAM!$G$39</f>
        <v>0</v>
      </c>
      <c r="K551" s="11">
        <f>(VLOOKUP(H551,DEDN!$A$8:$O$902,$K$2)*I551+J551)/1000</f>
        <v>0</v>
      </c>
      <c r="L551" s="11">
        <f>MIN(IF(PARAM!$B$43=3,CHOOSE($L$2,F551,K551),F551+K551-F551*K551),1)</f>
        <v>4.9239999999999999E-2</v>
      </c>
      <c r="M551" s="2">
        <f>PARAM!$I$38</f>
        <v>0</v>
      </c>
      <c r="N551" s="11">
        <f>VLOOKUP(B551,DEDN!$A$8:$O$90,$N$2)*M551</f>
        <v>0</v>
      </c>
      <c r="O551" s="12"/>
      <c r="P551" s="10">
        <f>PARAM!$C$53^-A551</f>
        <v>1</v>
      </c>
      <c r="Q551" s="10">
        <f t="shared" si="165"/>
        <v>0.62189258376528211</v>
      </c>
      <c r="R551" s="10">
        <f t="shared" si="164"/>
        <v>0.62189258376528211</v>
      </c>
      <c r="S551" s="10">
        <f>CHOOSE(PARAM!$B$51,R551,0,0,0)*(A551&lt;PARAM!$B$55)</f>
        <v>0</v>
      </c>
      <c r="T551" s="10">
        <f t="shared" si="154"/>
        <v>2.6113025768290665E-3</v>
      </c>
      <c r="U551" s="10">
        <f>T551*P551*(A551&lt;PARAM!$B$55)</f>
        <v>0</v>
      </c>
      <c r="W551">
        <v>548</v>
      </c>
      <c r="X551" s="178">
        <f t="shared" si="163"/>
        <v>77</v>
      </c>
      <c r="Y551" s="178">
        <f t="shared" si="163"/>
        <v>77</v>
      </c>
      <c r="Z551" s="178">
        <f t="shared" si="163"/>
        <v>46</v>
      </c>
      <c r="AA551" s="178">
        <f t="shared" si="163"/>
        <v>46</v>
      </c>
      <c r="AD551" s="17">
        <f>CALC!E575*(A551&lt;PARAM!$B$55)</f>
        <v>0</v>
      </c>
      <c r="AE551">
        <f>IF(A551&lt;ITER!$C$16,1,PARAM!$C$53^-(RATES!A551-ITER!$C$16))*(A551&lt;PARAM!$B$55)</f>
        <v>0</v>
      </c>
    </row>
    <row r="552" spans="1:31" x14ac:dyDescent="0.2">
      <c r="A552" s="9">
        <v>549</v>
      </c>
      <c r="B552" s="178">
        <f t="shared" si="161"/>
        <v>77</v>
      </c>
      <c r="C552" s="178">
        <f t="shared" si="161"/>
        <v>77</v>
      </c>
      <c r="D552" s="2">
        <f>PARAM!$H$38</f>
        <v>1</v>
      </c>
      <c r="E552" s="11">
        <f>PARAM!$G$38</f>
        <v>0</v>
      </c>
      <c r="F552" s="11">
        <f>(VLOOKUP(C552,DEDN!$A$8:$O$902,$F$2)*D552+E552)/1000</f>
        <v>4.9239999999999999E-2</v>
      </c>
      <c r="G552" s="178">
        <f t="shared" si="162"/>
        <v>46</v>
      </c>
      <c r="H552" s="178">
        <f t="shared" si="162"/>
        <v>46</v>
      </c>
      <c r="I552" s="2">
        <f>PARAM!$H$39</f>
        <v>0</v>
      </c>
      <c r="J552" s="11">
        <f>PARAM!$G$39</f>
        <v>0</v>
      </c>
      <c r="K552" s="11">
        <f>(VLOOKUP(H552,DEDN!$A$8:$O$902,$K$2)*I552+J552)/1000</f>
        <v>0</v>
      </c>
      <c r="L552" s="11">
        <f>MIN(IF(PARAM!$B$43=3,CHOOSE($L$2,F552,K552),F552+K552-F552*K552),1)</f>
        <v>4.9239999999999999E-2</v>
      </c>
      <c r="M552" s="2">
        <f>PARAM!$I$38</f>
        <v>0</v>
      </c>
      <c r="N552" s="11">
        <f>VLOOKUP(B552,DEDN!$A$8:$O$90,$N$2)*M552</f>
        <v>0</v>
      </c>
      <c r="O552" s="12"/>
      <c r="P552" s="10">
        <f>PARAM!$C$53^-A552</f>
        <v>1</v>
      </c>
      <c r="Q552" s="10">
        <f t="shared" si="165"/>
        <v>0.61928128118845305</v>
      </c>
      <c r="R552" s="10">
        <f t="shared" si="164"/>
        <v>0.61928128118845305</v>
      </c>
      <c r="S552" s="10">
        <f>CHOOSE(PARAM!$B$51,R552,R552,0,0)*(A552&lt;PARAM!$B$55)</f>
        <v>0</v>
      </c>
      <c r="T552" s="10">
        <f t="shared" si="154"/>
        <v>2.6003378196897131E-3</v>
      </c>
      <c r="U552" s="10">
        <f>T552*P552*(A552&lt;PARAM!$B$55)</f>
        <v>0</v>
      </c>
      <c r="W552">
        <v>549</v>
      </c>
      <c r="X552" s="178">
        <f t="shared" si="163"/>
        <v>77</v>
      </c>
      <c r="Y552" s="178">
        <f t="shared" si="163"/>
        <v>77</v>
      </c>
      <c r="Z552" s="178">
        <f t="shared" si="163"/>
        <v>46</v>
      </c>
      <c r="AA552" s="178">
        <f t="shared" si="163"/>
        <v>46</v>
      </c>
      <c r="AD552" s="17">
        <f>CALC!E576*(A552&lt;PARAM!$B$55)</f>
        <v>0</v>
      </c>
      <c r="AE552">
        <f>IF(A552&lt;ITER!$C$16,1,PARAM!$C$53^-(RATES!A552-ITER!$C$16))*(A552&lt;PARAM!$B$55)</f>
        <v>0</v>
      </c>
    </row>
    <row r="553" spans="1:31" x14ac:dyDescent="0.2">
      <c r="A553" s="9">
        <v>550</v>
      </c>
      <c r="B553" s="178">
        <f t="shared" si="161"/>
        <v>77</v>
      </c>
      <c r="C553" s="178">
        <f t="shared" si="161"/>
        <v>77</v>
      </c>
      <c r="D553" s="2">
        <f>PARAM!$H$38</f>
        <v>1</v>
      </c>
      <c r="E553" s="11">
        <f>PARAM!$G$38</f>
        <v>0</v>
      </c>
      <c r="F553" s="11">
        <f>(VLOOKUP(C553,DEDN!$A$8:$O$902,$F$2)*D553+E553)/1000</f>
        <v>4.9239999999999999E-2</v>
      </c>
      <c r="G553" s="178">
        <f t="shared" si="162"/>
        <v>46</v>
      </c>
      <c r="H553" s="178">
        <f t="shared" si="162"/>
        <v>46</v>
      </c>
      <c r="I553" s="2">
        <f>PARAM!$H$39</f>
        <v>0</v>
      </c>
      <c r="J553" s="11">
        <f>PARAM!$G$39</f>
        <v>0</v>
      </c>
      <c r="K553" s="11">
        <f>(VLOOKUP(H553,DEDN!$A$8:$O$902,$K$2)*I553+J553)/1000</f>
        <v>0</v>
      </c>
      <c r="L553" s="11">
        <f>MIN(IF(PARAM!$B$43=3,CHOOSE($L$2,F553,K553),F553+K553-F553*K553),1)</f>
        <v>4.9239999999999999E-2</v>
      </c>
      <c r="M553" s="2">
        <f>PARAM!$I$38</f>
        <v>0</v>
      </c>
      <c r="N553" s="11">
        <f>VLOOKUP(B553,DEDN!$A$8:$O$90,$N$2)*M553</f>
        <v>0</v>
      </c>
      <c r="O553" s="12"/>
      <c r="P553" s="10">
        <f>PARAM!$C$53^-A553</f>
        <v>1</v>
      </c>
      <c r="Q553" s="10">
        <f t="shared" si="165"/>
        <v>0.61668094336876333</v>
      </c>
      <c r="R553" s="10">
        <f t="shared" si="164"/>
        <v>0.61668094336876333</v>
      </c>
      <c r="S553" s="10">
        <f>CHOOSE(PARAM!$B$51,R553,0,0,0)*(A553&lt;PARAM!$B$55)</f>
        <v>0</v>
      </c>
      <c r="T553" s="10">
        <f t="shared" si="154"/>
        <v>2.5894191031357039E-3</v>
      </c>
      <c r="U553" s="10">
        <f>T553*P553*(A553&lt;PARAM!$B$55)</f>
        <v>0</v>
      </c>
      <c r="W553">
        <v>550</v>
      </c>
      <c r="X553" s="178">
        <f t="shared" si="163"/>
        <v>77</v>
      </c>
      <c r="Y553" s="178">
        <f t="shared" si="163"/>
        <v>77</v>
      </c>
      <c r="Z553" s="178">
        <f t="shared" si="163"/>
        <v>46</v>
      </c>
      <c r="AA553" s="178">
        <f t="shared" si="163"/>
        <v>46</v>
      </c>
      <c r="AD553" s="17">
        <f>CALC!E577*(A553&lt;PARAM!$B$55)</f>
        <v>0</v>
      </c>
      <c r="AE553">
        <f>IF(A553&lt;ITER!$C$16,1,PARAM!$C$53^-(RATES!A553-ITER!$C$16))*(A553&lt;PARAM!$B$55)</f>
        <v>0</v>
      </c>
    </row>
    <row r="554" spans="1:31" x14ac:dyDescent="0.2">
      <c r="A554" s="9">
        <v>551</v>
      </c>
      <c r="B554" s="178">
        <f t="shared" si="161"/>
        <v>77</v>
      </c>
      <c r="C554" s="178">
        <f t="shared" si="161"/>
        <v>77</v>
      </c>
      <c r="D554" s="2">
        <f>PARAM!$H$38</f>
        <v>1</v>
      </c>
      <c r="E554" s="11">
        <f>PARAM!$G$38</f>
        <v>0</v>
      </c>
      <c r="F554" s="11">
        <f>(VLOOKUP(C554,DEDN!$A$8:$O$902,$F$2)*D554+E554)/1000</f>
        <v>4.9239999999999999E-2</v>
      </c>
      <c r="G554" s="178">
        <f t="shared" si="162"/>
        <v>46</v>
      </c>
      <c r="H554" s="178">
        <f t="shared" si="162"/>
        <v>46</v>
      </c>
      <c r="I554" s="2">
        <f>PARAM!$H$39</f>
        <v>0</v>
      </c>
      <c r="J554" s="11">
        <f>PARAM!$G$39</f>
        <v>0</v>
      </c>
      <c r="K554" s="11">
        <f>(VLOOKUP(H554,DEDN!$A$8:$O$902,$K$2)*I554+J554)/1000</f>
        <v>0</v>
      </c>
      <c r="L554" s="11">
        <f>MIN(IF(PARAM!$B$43=3,CHOOSE($L$2,F554,K554),F554+K554-F554*K554),1)</f>
        <v>4.9239999999999999E-2</v>
      </c>
      <c r="M554" s="2">
        <f>PARAM!$I$38</f>
        <v>0</v>
      </c>
      <c r="N554" s="11">
        <f>VLOOKUP(B554,DEDN!$A$8:$O$90,$N$2)*M554</f>
        <v>0</v>
      </c>
      <c r="O554" s="12"/>
      <c r="P554" s="10">
        <f>PARAM!$C$53^-A554</f>
        <v>1</v>
      </c>
      <c r="Q554" s="10">
        <f t="shared" si="165"/>
        <v>0.61409152426562763</v>
      </c>
      <c r="R554" s="10">
        <f t="shared" si="164"/>
        <v>0.61409152426562763</v>
      </c>
      <c r="S554" s="10">
        <f>CHOOSE(PARAM!$B$51,R554,0,0,0)*(A554&lt;PARAM!$B$55)</f>
        <v>0</v>
      </c>
      <c r="T554" s="10">
        <f t="shared" si="154"/>
        <v>2.5785462338443477E-3</v>
      </c>
      <c r="U554" s="10">
        <f>T554*P554*(A554&lt;PARAM!$B$55)</f>
        <v>0</v>
      </c>
      <c r="W554">
        <v>551</v>
      </c>
      <c r="X554" s="178">
        <f t="shared" si="163"/>
        <v>77</v>
      </c>
      <c r="Y554" s="178">
        <f t="shared" si="163"/>
        <v>77</v>
      </c>
      <c r="Z554" s="178">
        <f t="shared" si="163"/>
        <v>46</v>
      </c>
      <c r="AA554" s="178">
        <f t="shared" si="163"/>
        <v>46</v>
      </c>
      <c r="AD554" s="17">
        <f>CALC!E578*(A554&lt;PARAM!$B$55)</f>
        <v>0</v>
      </c>
      <c r="AE554">
        <f>IF(A554&lt;ITER!$C$16,1,PARAM!$C$53^-(RATES!A554-ITER!$C$16))*(A554&lt;PARAM!$B$55)</f>
        <v>0</v>
      </c>
    </row>
    <row r="555" spans="1:31" x14ac:dyDescent="0.2">
      <c r="A555" s="9">
        <v>552</v>
      </c>
      <c r="B555" s="178">
        <f t="shared" si="161"/>
        <v>77</v>
      </c>
      <c r="C555" s="178">
        <f t="shared" si="161"/>
        <v>77</v>
      </c>
      <c r="D555" s="2">
        <f>PARAM!$H$38</f>
        <v>1</v>
      </c>
      <c r="E555" s="11">
        <f>PARAM!$G$38</f>
        <v>0</v>
      </c>
      <c r="F555" s="11">
        <f>(VLOOKUP(C555,DEDN!$A$8:$O$902,$F$2)*D555+E555)/1000</f>
        <v>4.9239999999999999E-2</v>
      </c>
      <c r="G555" s="178">
        <f t="shared" si="162"/>
        <v>46</v>
      </c>
      <c r="H555" s="178">
        <f t="shared" si="162"/>
        <v>46</v>
      </c>
      <c r="I555" s="2">
        <f>PARAM!$H$39</f>
        <v>0</v>
      </c>
      <c r="J555" s="11">
        <f>PARAM!$G$39</f>
        <v>0</v>
      </c>
      <c r="K555" s="11">
        <f>(VLOOKUP(H555,DEDN!$A$8:$O$902,$K$2)*I555+J555)/1000</f>
        <v>0</v>
      </c>
      <c r="L555" s="11">
        <f>MIN(IF(PARAM!$B$43=3,CHOOSE($L$2,F555,K555),F555+K555-F555*K555),1)</f>
        <v>4.9239999999999999E-2</v>
      </c>
      <c r="M555" s="2">
        <f>PARAM!$I$38</f>
        <v>0</v>
      </c>
      <c r="N555" s="11">
        <f>VLOOKUP(B555,DEDN!$A$8:$O$90,$N$2)*M555</f>
        <v>0</v>
      </c>
      <c r="O555" s="12"/>
      <c r="P555" s="10">
        <f>PARAM!$C$53^-A555</f>
        <v>1</v>
      </c>
      <c r="Q555" s="10">
        <f t="shared" si="165"/>
        <v>0.61151297803178328</v>
      </c>
      <c r="R555" s="10">
        <f t="shared" si="164"/>
        <v>0.61151297803178328</v>
      </c>
      <c r="S555" s="10">
        <f>R555*(A555&lt;PARAM!$B$55)</f>
        <v>0</v>
      </c>
      <c r="T555" s="10">
        <f t="shared" si="154"/>
        <v>2.5677190193049704E-3</v>
      </c>
      <c r="U555" s="10">
        <f>T555*P555*(A555&lt;PARAM!$B$55)</f>
        <v>0</v>
      </c>
      <c r="W555">
        <v>552</v>
      </c>
      <c r="X555" s="178">
        <f t="shared" si="163"/>
        <v>77</v>
      </c>
      <c r="Y555" s="178">
        <f t="shared" si="163"/>
        <v>77</v>
      </c>
      <c r="Z555" s="178">
        <f t="shared" si="163"/>
        <v>46</v>
      </c>
      <c r="AA555" s="178">
        <f t="shared" si="163"/>
        <v>46</v>
      </c>
      <c r="AD555" s="17">
        <f>CALC!E579*(A555&lt;PARAM!$B$55)</f>
        <v>0</v>
      </c>
      <c r="AE555">
        <f>IF(A555&lt;ITER!$C$16,1,PARAM!$C$53^-(RATES!A555-ITER!$C$16))*(A555&lt;PARAM!$B$55)</f>
        <v>0</v>
      </c>
    </row>
    <row r="556" spans="1:31" x14ac:dyDescent="0.2">
      <c r="A556" s="9">
        <v>553</v>
      </c>
      <c r="B556" s="178">
        <f t="shared" si="161"/>
        <v>77</v>
      </c>
      <c r="C556" s="178">
        <f t="shared" si="161"/>
        <v>77</v>
      </c>
      <c r="D556" s="2">
        <f>PARAM!$H$38</f>
        <v>1</v>
      </c>
      <c r="E556" s="11">
        <f>PARAM!$G$38</f>
        <v>0</v>
      </c>
      <c r="F556" s="11">
        <f>(VLOOKUP(C556,DEDN!$A$8:$O$902,$F$2)*D556+E556)/1000</f>
        <v>4.9239999999999999E-2</v>
      </c>
      <c r="G556" s="178">
        <f t="shared" si="162"/>
        <v>46</v>
      </c>
      <c r="H556" s="178">
        <f t="shared" si="162"/>
        <v>46</v>
      </c>
      <c r="I556" s="2">
        <f>PARAM!$H$39</f>
        <v>0</v>
      </c>
      <c r="J556" s="11">
        <f>PARAM!$G$39</f>
        <v>0</v>
      </c>
      <c r="K556" s="11">
        <f>(VLOOKUP(H556,DEDN!$A$8:$O$902,$K$2)*I556+J556)/1000</f>
        <v>0</v>
      </c>
      <c r="L556" s="11">
        <f>MIN(IF(PARAM!$B$43=3,CHOOSE($L$2,F556,K556),F556+K556-F556*K556),1)</f>
        <v>4.9239999999999999E-2</v>
      </c>
      <c r="M556" s="2">
        <f>PARAM!$I$38</f>
        <v>0</v>
      </c>
      <c r="N556" s="11">
        <f>VLOOKUP(B556,DEDN!$A$8:$O$90,$N$2)*M556</f>
        <v>0</v>
      </c>
      <c r="O556" s="12"/>
      <c r="P556" s="10">
        <f>PARAM!$C$53^-A556</f>
        <v>1</v>
      </c>
      <c r="Q556" s="10">
        <f t="shared" si="165"/>
        <v>0.60894525901247831</v>
      </c>
      <c r="R556" s="10">
        <f t="shared" si="164"/>
        <v>0.60894525901247831</v>
      </c>
      <c r="S556" s="10">
        <f>CHOOSE(PARAM!$B$51,R556,0,0,0)*(A556&lt;PARAM!$B$55)</f>
        <v>0</v>
      </c>
      <c r="T556" s="10">
        <f t="shared" si="154"/>
        <v>2.5569372678149183E-3</v>
      </c>
      <c r="U556" s="10">
        <f>T556*P556*(A556&lt;PARAM!$B$55)</f>
        <v>0</v>
      </c>
      <c r="W556">
        <v>553</v>
      </c>
      <c r="X556" s="178">
        <f t="shared" si="163"/>
        <v>77</v>
      </c>
      <c r="Y556" s="178">
        <f t="shared" si="163"/>
        <v>77</v>
      </c>
      <c r="Z556" s="178">
        <f t="shared" si="163"/>
        <v>46</v>
      </c>
      <c r="AA556" s="178">
        <f t="shared" si="163"/>
        <v>46</v>
      </c>
      <c r="AD556" s="17">
        <f>CALC!E580*(A556&lt;PARAM!$B$55)</f>
        <v>0</v>
      </c>
      <c r="AE556">
        <f>IF(A556&lt;ITER!$C$16,1,PARAM!$C$53^-(RATES!A556-ITER!$C$16))*(A556&lt;PARAM!$B$55)</f>
        <v>0</v>
      </c>
    </row>
    <row r="557" spans="1:31" x14ac:dyDescent="0.2">
      <c r="A557" s="9">
        <v>554</v>
      </c>
      <c r="B557" s="178">
        <f t="shared" si="161"/>
        <v>77</v>
      </c>
      <c r="C557" s="178">
        <f t="shared" si="161"/>
        <v>77</v>
      </c>
      <c r="D557" s="2">
        <f>PARAM!$H$38</f>
        <v>1</v>
      </c>
      <c r="E557" s="11">
        <f>PARAM!$G$38</f>
        <v>0</v>
      </c>
      <c r="F557" s="11">
        <f>(VLOOKUP(C557,DEDN!$A$8:$O$902,$F$2)*D557+E557)/1000</f>
        <v>4.9239999999999999E-2</v>
      </c>
      <c r="G557" s="178">
        <f t="shared" si="162"/>
        <v>46</v>
      </c>
      <c r="H557" s="178">
        <f t="shared" si="162"/>
        <v>46</v>
      </c>
      <c r="I557" s="2">
        <f>PARAM!$H$39</f>
        <v>0</v>
      </c>
      <c r="J557" s="11">
        <f>PARAM!$G$39</f>
        <v>0</v>
      </c>
      <c r="K557" s="11">
        <f>(VLOOKUP(H557,DEDN!$A$8:$O$902,$K$2)*I557+J557)/1000</f>
        <v>0</v>
      </c>
      <c r="L557" s="11">
        <f>MIN(IF(PARAM!$B$43=3,CHOOSE($L$2,F557,K557),F557+K557-F557*K557),1)</f>
        <v>4.9239999999999999E-2</v>
      </c>
      <c r="M557" s="2">
        <f>PARAM!$I$38</f>
        <v>0</v>
      </c>
      <c r="N557" s="11">
        <f>VLOOKUP(B557,DEDN!$A$8:$O$90,$N$2)*M557</f>
        <v>0</v>
      </c>
      <c r="O557" s="12"/>
      <c r="P557" s="10">
        <f>PARAM!$C$53^-A557</f>
        <v>1</v>
      </c>
      <c r="Q557" s="10">
        <f t="shared" si="165"/>
        <v>0.60638832174466339</v>
      </c>
      <c r="R557" s="10">
        <f t="shared" si="164"/>
        <v>0.60638832174466339</v>
      </c>
      <c r="S557" s="10">
        <f>CHOOSE(PARAM!$B$51,R557,0,0,0)*(A557&lt;PARAM!$B$55)</f>
        <v>0</v>
      </c>
      <c r="T557" s="10">
        <f t="shared" si="154"/>
        <v>2.5462007884765603E-3</v>
      </c>
      <c r="U557" s="10">
        <f>T557*P557*(A557&lt;PARAM!$B$55)</f>
        <v>0</v>
      </c>
      <c r="W557">
        <v>554</v>
      </c>
      <c r="X557" s="178">
        <f t="shared" si="163"/>
        <v>77</v>
      </c>
      <c r="Y557" s="178">
        <f t="shared" si="163"/>
        <v>77</v>
      </c>
      <c r="Z557" s="178">
        <f t="shared" si="163"/>
        <v>46</v>
      </c>
      <c r="AA557" s="178">
        <f t="shared" si="163"/>
        <v>46</v>
      </c>
      <c r="AD557" s="17">
        <f>CALC!E581*(A557&lt;PARAM!$B$55)</f>
        <v>0</v>
      </c>
      <c r="AE557">
        <f>IF(A557&lt;ITER!$C$16,1,PARAM!$C$53^-(RATES!A557-ITER!$C$16))*(A557&lt;PARAM!$B$55)</f>
        <v>0</v>
      </c>
    </row>
    <row r="558" spans="1:31" x14ac:dyDescent="0.2">
      <c r="A558" s="9">
        <v>555</v>
      </c>
      <c r="B558" s="178">
        <f t="shared" si="161"/>
        <v>77</v>
      </c>
      <c r="C558" s="178">
        <f t="shared" si="161"/>
        <v>77</v>
      </c>
      <c r="D558" s="2">
        <f>PARAM!$H$38</f>
        <v>1</v>
      </c>
      <c r="E558" s="11">
        <f>PARAM!$G$38</f>
        <v>0</v>
      </c>
      <c r="F558" s="11">
        <f>(VLOOKUP(C558,DEDN!$A$8:$O$902,$F$2)*D558+E558)/1000</f>
        <v>4.9239999999999999E-2</v>
      </c>
      <c r="G558" s="178">
        <f t="shared" si="162"/>
        <v>46</v>
      </c>
      <c r="H558" s="178">
        <f t="shared" si="162"/>
        <v>46</v>
      </c>
      <c r="I558" s="2">
        <f>PARAM!$H$39</f>
        <v>0</v>
      </c>
      <c r="J558" s="11">
        <f>PARAM!$G$39</f>
        <v>0</v>
      </c>
      <c r="K558" s="11">
        <f>(VLOOKUP(H558,DEDN!$A$8:$O$902,$K$2)*I558+J558)/1000</f>
        <v>0</v>
      </c>
      <c r="L558" s="11">
        <f>MIN(IF(PARAM!$B$43=3,CHOOSE($L$2,F558,K558),F558+K558-F558*K558),1)</f>
        <v>4.9239999999999999E-2</v>
      </c>
      <c r="M558" s="2">
        <f>PARAM!$I$38</f>
        <v>0</v>
      </c>
      <c r="N558" s="11">
        <f>VLOOKUP(B558,DEDN!$A$8:$O$90,$N$2)*M558</f>
        <v>0</v>
      </c>
      <c r="O558" s="12"/>
      <c r="P558" s="10">
        <f>PARAM!$C$53^-A558</f>
        <v>1</v>
      </c>
      <c r="Q558" s="10">
        <f t="shared" si="165"/>
        <v>0.60384212095618683</v>
      </c>
      <c r="R558" s="10">
        <f t="shared" si="164"/>
        <v>0.60384212095618683</v>
      </c>
      <c r="S558" s="10">
        <f>CHOOSE(PARAM!$B$51,R558,R558,0,0)*(A558&lt;PARAM!$B$55)</f>
        <v>0</v>
      </c>
      <c r="T558" s="10">
        <f t="shared" si="154"/>
        <v>2.5355093911940685E-3</v>
      </c>
      <c r="U558" s="10">
        <f>T558*P558*(A558&lt;PARAM!$B$55)</f>
        <v>0</v>
      </c>
      <c r="W558">
        <v>555</v>
      </c>
      <c r="X558" s="178">
        <f t="shared" si="163"/>
        <v>77</v>
      </c>
      <c r="Y558" s="178">
        <f t="shared" si="163"/>
        <v>77</v>
      </c>
      <c r="Z558" s="178">
        <f t="shared" si="163"/>
        <v>46</v>
      </c>
      <c r="AA558" s="178">
        <f t="shared" si="163"/>
        <v>46</v>
      </c>
      <c r="AD558" s="17">
        <f>CALC!E582*(A558&lt;PARAM!$B$55)</f>
        <v>0</v>
      </c>
      <c r="AE558">
        <f>IF(A558&lt;ITER!$C$16,1,PARAM!$C$53^-(RATES!A558-ITER!$C$16))*(A558&lt;PARAM!$B$55)</f>
        <v>0</v>
      </c>
    </row>
    <row r="559" spans="1:31" x14ac:dyDescent="0.2">
      <c r="A559" s="9">
        <v>556</v>
      </c>
      <c r="B559" s="178">
        <f t="shared" si="161"/>
        <v>77</v>
      </c>
      <c r="C559" s="178">
        <f t="shared" si="161"/>
        <v>77</v>
      </c>
      <c r="D559" s="2">
        <f>PARAM!$H$38</f>
        <v>1</v>
      </c>
      <c r="E559" s="11">
        <f>PARAM!$G$38</f>
        <v>0</v>
      </c>
      <c r="F559" s="11">
        <f>(VLOOKUP(C559,DEDN!$A$8:$O$902,$F$2)*D559+E559)/1000</f>
        <v>4.9239999999999999E-2</v>
      </c>
      <c r="G559" s="178">
        <f t="shared" si="162"/>
        <v>46</v>
      </c>
      <c r="H559" s="178">
        <f t="shared" si="162"/>
        <v>46</v>
      </c>
      <c r="I559" s="2">
        <f>PARAM!$H$39</f>
        <v>0</v>
      </c>
      <c r="J559" s="11">
        <f>PARAM!$G$39</f>
        <v>0</v>
      </c>
      <c r="K559" s="11">
        <f>(VLOOKUP(H559,DEDN!$A$8:$O$902,$K$2)*I559+J559)/1000</f>
        <v>0</v>
      </c>
      <c r="L559" s="11">
        <f>MIN(IF(PARAM!$B$43=3,CHOOSE($L$2,F559,K559),F559+K559-F559*K559),1)</f>
        <v>4.9239999999999999E-2</v>
      </c>
      <c r="M559" s="2">
        <f>PARAM!$I$38</f>
        <v>0</v>
      </c>
      <c r="N559" s="11">
        <f>VLOOKUP(B559,DEDN!$A$8:$O$90,$N$2)*M559</f>
        <v>0</v>
      </c>
      <c r="O559" s="12"/>
      <c r="P559" s="10">
        <f>PARAM!$C$53^-A559</f>
        <v>1</v>
      </c>
      <c r="Q559" s="10">
        <f t="shared" si="165"/>
        <v>0.60130661156499277</v>
      </c>
      <c r="R559" s="10">
        <f t="shared" si="164"/>
        <v>0.60130661156499277</v>
      </c>
      <c r="S559" s="10">
        <f>CHOOSE(PARAM!$B$51,R559,0,0,0)*(A559&lt;PARAM!$B$55)</f>
        <v>0</v>
      </c>
      <c r="T559" s="10">
        <f t="shared" si="154"/>
        <v>2.5248628866696432E-3</v>
      </c>
      <c r="U559" s="10">
        <f>T559*P559*(A559&lt;PARAM!$B$55)</f>
        <v>0</v>
      </c>
      <c r="W559">
        <v>556</v>
      </c>
      <c r="X559" s="178">
        <f t="shared" si="163"/>
        <v>77</v>
      </c>
      <c r="Y559" s="178">
        <f t="shared" si="163"/>
        <v>77</v>
      </c>
      <c r="Z559" s="178">
        <f t="shared" si="163"/>
        <v>46</v>
      </c>
      <c r="AA559" s="178">
        <f t="shared" si="163"/>
        <v>46</v>
      </c>
      <c r="AD559" s="17">
        <f>CALC!E583*(A559&lt;PARAM!$B$55)</f>
        <v>0</v>
      </c>
      <c r="AE559">
        <f>IF(A559&lt;ITER!$C$16,1,PARAM!$C$53^-(RATES!A559-ITER!$C$16))*(A559&lt;PARAM!$B$55)</f>
        <v>0</v>
      </c>
    </row>
    <row r="560" spans="1:31" x14ac:dyDescent="0.2">
      <c r="A560" s="9">
        <v>557</v>
      </c>
      <c r="B560" s="178">
        <f t="shared" si="161"/>
        <v>77</v>
      </c>
      <c r="C560" s="178">
        <f t="shared" si="161"/>
        <v>77</v>
      </c>
      <c r="D560" s="2">
        <f>PARAM!$H$38</f>
        <v>1</v>
      </c>
      <c r="E560" s="11">
        <f>PARAM!$G$38</f>
        <v>0</v>
      </c>
      <c r="F560" s="11">
        <f>(VLOOKUP(C560,DEDN!$A$8:$O$902,$F$2)*D560+E560)/1000</f>
        <v>4.9239999999999999E-2</v>
      </c>
      <c r="G560" s="178">
        <f t="shared" si="162"/>
        <v>46</v>
      </c>
      <c r="H560" s="178">
        <f t="shared" si="162"/>
        <v>46</v>
      </c>
      <c r="I560" s="2">
        <f>PARAM!$H$39</f>
        <v>0</v>
      </c>
      <c r="J560" s="11">
        <f>PARAM!$G$39</f>
        <v>0</v>
      </c>
      <c r="K560" s="11">
        <f>(VLOOKUP(H560,DEDN!$A$8:$O$902,$K$2)*I560+J560)/1000</f>
        <v>0</v>
      </c>
      <c r="L560" s="11">
        <f>MIN(IF(PARAM!$B$43=3,CHOOSE($L$2,F560,K560),F560+K560-F560*K560),1)</f>
        <v>4.9239999999999999E-2</v>
      </c>
      <c r="M560" s="2">
        <f>PARAM!$I$38</f>
        <v>0</v>
      </c>
      <c r="N560" s="11">
        <f>VLOOKUP(B560,DEDN!$A$8:$O$90,$N$2)*M560</f>
        <v>0</v>
      </c>
      <c r="O560" s="12"/>
      <c r="P560" s="10">
        <f>PARAM!$C$53^-A560</f>
        <v>1</v>
      </c>
      <c r="Q560" s="10">
        <f t="shared" si="165"/>
        <v>0.59878174867832312</v>
      </c>
      <c r="R560" s="10">
        <f t="shared" si="164"/>
        <v>0.59878174867832312</v>
      </c>
      <c r="S560" s="10">
        <f>CHOOSE(PARAM!$B$51,R560,0,0,0)*(A560&lt;PARAM!$B$55)</f>
        <v>0</v>
      </c>
      <c r="T560" s="10">
        <f t="shared" si="154"/>
        <v>2.5142610864001824E-3</v>
      </c>
      <c r="U560" s="10">
        <f>T560*P560*(A560&lt;PARAM!$B$55)</f>
        <v>0</v>
      </c>
      <c r="W560">
        <v>557</v>
      </c>
      <c r="X560" s="178">
        <f t="shared" si="163"/>
        <v>77</v>
      </c>
      <c r="Y560" s="178">
        <f t="shared" si="163"/>
        <v>77</v>
      </c>
      <c r="Z560" s="178">
        <f t="shared" si="163"/>
        <v>46</v>
      </c>
      <c r="AA560" s="178">
        <f t="shared" si="163"/>
        <v>46</v>
      </c>
      <c r="AD560" s="17">
        <f>CALC!E584*(A560&lt;PARAM!$B$55)</f>
        <v>0</v>
      </c>
      <c r="AE560">
        <f>IF(A560&lt;ITER!$C$16,1,PARAM!$C$53^-(RATES!A560-ITER!$C$16))*(A560&lt;PARAM!$B$55)</f>
        <v>0</v>
      </c>
    </row>
    <row r="561" spans="1:31" x14ac:dyDescent="0.2">
      <c r="A561" s="9">
        <v>558</v>
      </c>
      <c r="B561" s="178">
        <f t="shared" ref="B561:C580" si="166">B549+1</f>
        <v>78</v>
      </c>
      <c r="C561" s="178">
        <f t="shared" si="166"/>
        <v>78</v>
      </c>
      <c r="D561" s="2">
        <f>PARAM!$H$38</f>
        <v>1</v>
      </c>
      <c r="E561" s="11">
        <f>PARAM!$G$38</f>
        <v>0</v>
      </c>
      <c r="F561" s="11">
        <f>(VLOOKUP(C561,DEDN!$A$8:$O$902,$F$2)*D561+E561)/1000</f>
        <v>5.4100000000000002E-2</v>
      </c>
      <c r="G561" s="178">
        <f t="shared" ref="G561:H580" si="167">G549+1</f>
        <v>47</v>
      </c>
      <c r="H561" s="178">
        <f t="shared" si="167"/>
        <v>47</v>
      </c>
      <c r="I561" s="2">
        <f>PARAM!$H$39</f>
        <v>0</v>
      </c>
      <c r="J561" s="11">
        <f>PARAM!$G$39</f>
        <v>0</v>
      </c>
      <c r="K561" s="11">
        <f>(VLOOKUP(H561,DEDN!$A$8:$O$902,$K$2)*I561+J561)/1000</f>
        <v>0</v>
      </c>
      <c r="L561" s="11">
        <f>MIN(IF(PARAM!$B$43=3,CHOOSE($L$2,F561,K561),F561+K561-F561*K561),1)</f>
        <v>5.4100000000000002E-2</v>
      </c>
      <c r="M561" s="2">
        <f>PARAM!$I$38</f>
        <v>0</v>
      </c>
      <c r="N561" s="11">
        <f>VLOOKUP(B561,DEDN!$A$8:$O$90,$N$2)*M561</f>
        <v>0</v>
      </c>
      <c r="O561" s="12"/>
      <c r="P561" s="10">
        <f>PARAM!$C$53^-A561</f>
        <v>1</v>
      </c>
      <c r="Q561" s="10">
        <f t="shared" si="165"/>
        <v>0.59626748759192294</v>
      </c>
      <c r="R561" s="10">
        <f t="shared" si="164"/>
        <v>0.59626748759192294</v>
      </c>
      <c r="S561" s="10">
        <f>CHOOSE(PARAM!$B$51,R561,R561,R561,0)*(A561&lt;PARAM!$B$55)</f>
        <v>0</v>
      </c>
      <c r="T561" s="10">
        <f t="shared" si="154"/>
        <v>2.7572268553684998E-3</v>
      </c>
      <c r="U561" s="10">
        <f>T561*P561*(A561&lt;PARAM!$B$55)</f>
        <v>0</v>
      </c>
      <c r="W561">
        <v>558</v>
      </c>
      <c r="X561" s="178">
        <f t="shared" ref="X561:AA580" si="168">X549+1</f>
        <v>78</v>
      </c>
      <c r="Y561" s="178">
        <f t="shared" si="168"/>
        <v>78</v>
      </c>
      <c r="Z561" s="178">
        <f t="shared" si="168"/>
        <v>47</v>
      </c>
      <c r="AA561" s="178">
        <f t="shared" si="168"/>
        <v>47</v>
      </c>
      <c r="AD561" s="17">
        <f>CALC!E585*(A561&lt;PARAM!$B$55)</f>
        <v>0</v>
      </c>
      <c r="AE561">
        <f>IF(A561&lt;ITER!$C$16,1,PARAM!$C$53^-(RATES!A561-ITER!$C$16))*(A561&lt;PARAM!$B$55)</f>
        <v>0</v>
      </c>
    </row>
    <row r="562" spans="1:31" x14ac:dyDescent="0.2">
      <c r="A562" s="9">
        <v>559</v>
      </c>
      <c r="B562" s="178">
        <f t="shared" si="166"/>
        <v>78</v>
      </c>
      <c r="C562" s="178">
        <f t="shared" si="166"/>
        <v>78</v>
      </c>
      <c r="D562" s="2">
        <f>PARAM!$H$38</f>
        <v>1</v>
      </c>
      <c r="E562" s="11">
        <f>PARAM!$G$38</f>
        <v>0</v>
      </c>
      <c r="F562" s="11">
        <f>(VLOOKUP(C562,DEDN!$A$8:$O$902,$F$2)*D562+E562)/1000</f>
        <v>5.4100000000000002E-2</v>
      </c>
      <c r="G562" s="178">
        <f t="shared" si="167"/>
        <v>47</v>
      </c>
      <c r="H562" s="178">
        <f t="shared" si="167"/>
        <v>47</v>
      </c>
      <c r="I562" s="2">
        <f>PARAM!$H$39</f>
        <v>0</v>
      </c>
      <c r="J562" s="11">
        <f>PARAM!$G$39</f>
        <v>0</v>
      </c>
      <c r="K562" s="11">
        <f>(VLOOKUP(H562,DEDN!$A$8:$O$902,$K$2)*I562+J562)/1000</f>
        <v>0</v>
      </c>
      <c r="L562" s="11">
        <f>MIN(IF(PARAM!$B$43=3,CHOOSE($L$2,F562,K562),F562+K562-F562*K562),1)</f>
        <v>5.4100000000000002E-2</v>
      </c>
      <c r="M562" s="2">
        <f>PARAM!$I$38</f>
        <v>0</v>
      </c>
      <c r="N562" s="11">
        <f>VLOOKUP(B562,DEDN!$A$8:$O$90,$N$2)*M562</f>
        <v>0</v>
      </c>
      <c r="O562" s="12"/>
      <c r="P562" s="10">
        <f>PARAM!$C$53^-A562</f>
        <v>1</v>
      </c>
      <c r="Q562" s="10">
        <f t="shared" si="165"/>
        <v>0.59351026073655444</v>
      </c>
      <c r="R562" s="10">
        <f t="shared" si="164"/>
        <v>0.59351026073655444</v>
      </c>
      <c r="S562" s="10">
        <f>CHOOSE(PARAM!$B$51,R562,0,0,0)*(A562&lt;PARAM!$B$55)</f>
        <v>0</v>
      </c>
      <c r="T562" s="10">
        <f t="shared" si="154"/>
        <v>2.7444770407464292E-3</v>
      </c>
      <c r="U562" s="10">
        <f>T562*P562*(A562&lt;PARAM!$B$55)</f>
        <v>0</v>
      </c>
      <c r="W562">
        <v>559</v>
      </c>
      <c r="X562" s="178">
        <f t="shared" si="168"/>
        <v>78</v>
      </c>
      <c r="Y562" s="178">
        <f t="shared" si="168"/>
        <v>78</v>
      </c>
      <c r="Z562" s="178">
        <f t="shared" si="168"/>
        <v>47</v>
      </c>
      <c r="AA562" s="178">
        <f t="shared" si="168"/>
        <v>47</v>
      </c>
      <c r="AD562" s="17">
        <f>CALC!E586*(A562&lt;PARAM!$B$55)</f>
        <v>0</v>
      </c>
      <c r="AE562">
        <f>IF(A562&lt;ITER!$C$16,1,PARAM!$C$53^-(RATES!A562-ITER!$C$16))*(A562&lt;PARAM!$B$55)</f>
        <v>0</v>
      </c>
    </row>
    <row r="563" spans="1:31" x14ac:dyDescent="0.2">
      <c r="A563" s="9">
        <v>560</v>
      </c>
      <c r="B563" s="178">
        <f t="shared" si="166"/>
        <v>78</v>
      </c>
      <c r="C563" s="178">
        <f t="shared" si="166"/>
        <v>78</v>
      </c>
      <c r="D563" s="2">
        <f>PARAM!$H$38</f>
        <v>1</v>
      </c>
      <c r="E563" s="11">
        <f>PARAM!$G$38</f>
        <v>0</v>
      </c>
      <c r="F563" s="11">
        <f>(VLOOKUP(C563,DEDN!$A$8:$O$902,$F$2)*D563+E563)/1000</f>
        <v>5.4100000000000002E-2</v>
      </c>
      <c r="G563" s="178">
        <f t="shared" si="167"/>
        <v>47</v>
      </c>
      <c r="H563" s="178">
        <f t="shared" si="167"/>
        <v>47</v>
      </c>
      <c r="I563" s="2">
        <f>PARAM!$H$39</f>
        <v>0</v>
      </c>
      <c r="J563" s="11">
        <f>PARAM!$G$39</f>
        <v>0</v>
      </c>
      <c r="K563" s="11">
        <f>(VLOOKUP(H563,DEDN!$A$8:$O$902,$K$2)*I563+J563)/1000</f>
        <v>0</v>
      </c>
      <c r="L563" s="11">
        <f>MIN(IF(PARAM!$B$43=3,CHOOSE($L$2,F563,K563),F563+K563-F563*K563),1)</f>
        <v>5.4100000000000002E-2</v>
      </c>
      <c r="M563" s="2">
        <f>PARAM!$I$38</f>
        <v>0</v>
      </c>
      <c r="N563" s="11">
        <f>VLOOKUP(B563,DEDN!$A$8:$O$90,$N$2)*M563</f>
        <v>0</v>
      </c>
      <c r="O563" s="12"/>
      <c r="P563" s="10">
        <f>PARAM!$C$53^-A563</f>
        <v>1</v>
      </c>
      <c r="Q563" s="10">
        <f t="shared" si="165"/>
        <v>0.59076578369580801</v>
      </c>
      <c r="R563" s="10">
        <f t="shared" si="164"/>
        <v>0.59076578369580801</v>
      </c>
      <c r="S563" s="10">
        <f>CHOOSE(PARAM!$B$51,R563,0,0,0)*(A563&lt;PARAM!$B$55)</f>
        <v>0</v>
      </c>
      <c r="T563" s="10">
        <f t="shared" si="154"/>
        <v>2.7317861831058776E-3</v>
      </c>
      <c r="U563" s="10">
        <f>T563*P563*(A563&lt;PARAM!$B$55)</f>
        <v>0</v>
      </c>
      <c r="W563">
        <v>560</v>
      </c>
      <c r="X563" s="178">
        <f t="shared" si="168"/>
        <v>78</v>
      </c>
      <c r="Y563" s="178">
        <f t="shared" si="168"/>
        <v>78</v>
      </c>
      <c r="Z563" s="178">
        <f t="shared" si="168"/>
        <v>47</v>
      </c>
      <c r="AA563" s="178">
        <f t="shared" si="168"/>
        <v>47</v>
      </c>
      <c r="AD563" s="17">
        <f>CALC!E587*(A563&lt;PARAM!$B$55)</f>
        <v>0</v>
      </c>
      <c r="AE563">
        <f>IF(A563&lt;ITER!$C$16,1,PARAM!$C$53^-(RATES!A563-ITER!$C$16))*(A563&lt;PARAM!$B$55)</f>
        <v>0</v>
      </c>
    </row>
    <row r="564" spans="1:31" x14ac:dyDescent="0.2">
      <c r="A564" s="9">
        <v>561</v>
      </c>
      <c r="B564" s="178">
        <f t="shared" si="166"/>
        <v>78</v>
      </c>
      <c r="C564" s="178">
        <f t="shared" si="166"/>
        <v>78</v>
      </c>
      <c r="D564" s="2">
        <f>PARAM!$H$38</f>
        <v>1</v>
      </c>
      <c r="E564" s="11">
        <f>PARAM!$G$38</f>
        <v>0</v>
      </c>
      <c r="F564" s="11">
        <f>(VLOOKUP(C564,DEDN!$A$8:$O$902,$F$2)*D564+E564)/1000</f>
        <v>5.4100000000000002E-2</v>
      </c>
      <c r="G564" s="178">
        <f t="shared" si="167"/>
        <v>47</v>
      </c>
      <c r="H564" s="178">
        <f t="shared" si="167"/>
        <v>47</v>
      </c>
      <c r="I564" s="2">
        <f>PARAM!$H$39</f>
        <v>0</v>
      </c>
      <c r="J564" s="11">
        <f>PARAM!$G$39</f>
        <v>0</v>
      </c>
      <c r="K564" s="11">
        <f>(VLOOKUP(H564,DEDN!$A$8:$O$902,$K$2)*I564+J564)/1000</f>
        <v>0</v>
      </c>
      <c r="L564" s="11">
        <f>MIN(IF(PARAM!$B$43=3,CHOOSE($L$2,F564,K564),F564+K564-F564*K564),1)</f>
        <v>5.4100000000000002E-2</v>
      </c>
      <c r="M564" s="2">
        <f>PARAM!$I$38</f>
        <v>0</v>
      </c>
      <c r="N564" s="11">
        <f>VLOOKUP(B564,DEDN!$A$8:$O$90,$N$2)*M564</f>
        <v>0</v>
      </c>
      <c r="O564" s="12"/>
      <c r="P564" s="10">
        <f>PARAM!$C$53^-A564</f>
        <v>1</v>
      </c>
      <c r="Q564" s="10">
        <f t="shared" si="165"/>
        <v>0.58803399751270213</v>
      </c>
      <c r="R564" s="10">
        <f t="shared" ref="R564:R579" si="169">P564*Q564</f>
        <v>0.58803399751270213</v>
      </c>
      <c r="S564" s="10">
        <f>CHOOSE(PARAM!$B$51,R564,R564,0,0)*(A564&lt;PARAM!$B$55)</f>
        <v>0</v>
      </c>
      <c r="T564" s="10">
        <f t="shared" si="154"/>
        <v>2.7191540098213673E-3</v>
      </c>
      <c r="U564" s="10">
        <f>T564*P564*(A564&lt;PARAM!$B$55)</f>
        <v>0</v>
      </c>
      <c r="W564">
        <v>561</v>
      </c>
      <c r="X564" s="178">
        <f t="shared" si="168"/>
        <v>78</v>
      </c>
      <c r="Y564" s="178">
        <f t="shared" si="168"/>
        <v>78</v>
      </c>
      <c r="Z564" s="178">
        <f t="shared" si="168"/>
        <v>47</v>
      </c>
      <c r="AA564" s="178">
        <f t="shared" si="168"/>
        <v>47</v>
      </c>
      <c r="AD564" s="17">
        <f>CALC!E588*(A564&lt;PARAM!$B$55)</f>
        <v>0</v>
      </c>
      <c r="AE564">
        <f>IF(A564&lt;ITER!$C$16,1,PARAM!$C$53^-(RATES!A564-ITER!$C$16))*(A564&lt;PARAM!$B$55)</f>
        <v>0</v>
      </c>
    </row>
    <row r="565" spans="1:31" x14ac:dyDescent="0.2">
      <c r="A565" s="9">
        <v>562</v>
      </c>
      <c r="B565" s="178">
        <f t="shared" si="166"/>
        <v>78</v>
      </c>
      <c r="C565" s="178">
        <f t="shared" si="166"/>
        <v>78</v>
      </c>
      <c r="D565" s="2">
        <f>PARAM!$H$38</f>
        <v>1</v>
      </c>
      <c r="E565" s="11">
        <f>PARAM!$G$38</f>
        <v>0</v>
      </c>
      <c r="F565" s="11">
        <f>(VLOOKUP(C565,DEDN!$A$8:$O$902,$F$2)*D565+E565)/1000</f>
        <v>5.4100000000000002E-2</v>
      </c>
      <c r="G565" s="178">
        <f t="shared" si="167"/>
        <v>47</v>
      </c>
      <c r="H565" s="178">
        <f t="shared" si="167"/>
        <v>47</v>
      </c>
      <c r="I565" s="2">
        <f>PARAM!$H$39</f>
        <v>0</v>
      </c>
      <c r="J565" s="11">
        <f>PARAM!$G$39</f>
        <v>0</v>
      </c>
      <c r="K565" s="11">
        <f>(VLOOKUP(H565,DEDN!$A$8:$O$902,$K$2)*I565+J565)/1000</f>
        <v>0</v>
      </c>
      <c r="L565" s="11">
        <f>MIN(IF(PARAM!$B$43=3,CHOOSE($L$2,F565,K565),F565+K565-F565*K565),1)</f>
        <v>5.4100000000000002E-2</v>
      </c>
      <c r="M565" s="2">
        <f>PARAM!$I$38</f>
        <v>0</v>
      </c>
      <c r="N565" s="11">
        <f>VLOOKUP(B565,DEDN!$A$8:$O$90,$N$2)*M565</f>
        <v>0</v>
      </c>
      <c r="O565" s="12"/>
      <c r="P565" s="10">
        <f>PARAM!$C$53^-A565</f>
        <v>1</v>
      </c>
      <c r="Q565" s="10">
        <f t="shared" ref="Q565:Q580" si="170">Q564*(1-L564)^(1/12)</f>
        <v>0.58531484350288077</v>
      </c>
      <c r="R565" s="10">
        <f t="shared" si="169"/>
        <v>0.58531484350288077</v>
      </c>
      <c r="S565" s="10">
        <f>CHOOSE(PARAM!$B$51,R565,0,0,0)*(A565&lt;PARAM!$B$55)</f>
        <v>0</v>
      </c>
      <c r="T565" s="10">
        <f t="shared" si="154"/>
        <v>2.7065802495279678E-3</v>
      </c>
      <c r="U565" s="10">
        <f>T565*P565*(A565&lt;PARAM!$B$55)</f>
        <v>0</v>
      </c>
      <c r="W565">
        <v>562</v>
      </c>
      <c r="X565" s="178">
        <f t="shared" si="168"/>
        <v>78</v>
      </c>
      <c r="Y565" s="178">
        <f t="shared" si="168"/>
        <v>78</v>
      </c>
      <c r="Z565" s="178">
        <f t="shared" si="168"/>
        <v>47</v>
      </c>
      <c r="AA565" s="178">
        <f t="shared" si="168"/>
        <v>47</v>
      </c>
      <c r="AD565" s="17">
        <f>CALC!E589*(A565&lt;PARAM!$B$55)</f>
        <v>0</v>
      </c>
      <c r="AE565">
        <f>IF(A565&lt;ITER!$C$16,1,PARAM!$C$53^-(RATES!A565-ITER!$C$16))*(A565&lt;PARAM!$B$55)</f>
        <v>0</v>
      </c>
    </row>
    <row r="566" spans="1:31" x14ac:dyDescent="0.2">
      <c r="A566" s="9">
        <v>563</v>
      </c>
      <c r="B566" s="178">
        <f t="shared" si="166"/>
        <v>78</v>
      </c>
      <c r="C566" s="178">
        <f t="shared" si="166"/>
        <v>78</v>
      </c>
      <c r="D566" s="2">
        <f>PARAM!$H$38</f>
        <v>1</v>
      </c>
      <c r="E566" s="11">
        <f>PARAM!$G$38</f>
        <v>0</v>
      </c>
      <c r="F566" s="11">
        <f>(VLOOKUP(C566,DEDN!$A$8:$O$902,$F$2)*D566+E566)/1000</f>
        <v>5.4100000000000002E-2</v>
      </c>
      <c r="G566" s="178">
        <f t="shared" si="167"/>
        <v>47</v>
      </c>
      <c r="H566" s="178">
        <f t="shared" si="167"/>
        <v>47</v>
      </c>
      <c r="I566" s="2">
        <f>PARAM!$H$39</f>
        <v>0</v>
      </c>
      <c r="J566" s="11">
        <f>PARAM!$G$39</f>
        <v>0</v>
      </c>
      <c r="K566" s="11">
        <f>(VLOOKUP(H566,DEDN!$A$8:$O$902,$K$2)*I566+J566)/1000</f>
        <v>0</v>
      </c>
      <c r="L566" s="11">
        <f>MIN(IF(PARAM!$B$43=3,CHOOSE($L$2,F566,K566),F566+K566-F566*K566),1)</f>
        <v>5.4100000000000002E-2</v>
      </c>
      <c r="M566" s="2">
        <f>PARAM!$I$38</f>
        <v>0</v>
      </c>
      <c r="N566" s="11">
        <f>VLOOKUP(B566,DEDN!$A$8:$O$90,$N$2)*M566</f>
        <v>0</v>
      </c>
      <c r="O566" s="12"/>
      <c r="P566" s="10">
        <f>PARAM!$C$53^-A566</f>
        <v>1</v>
      </c>
      <c r="Q566" s="10">
        <f t="shared" si="170"/>
        <v>0.5826082632533528</v>
      </c>
      <c r="R566" s="10">
        <f t="shared" si="169"/>
        <v>0.5826082632533528</v>
      </c>
      <c r="S566" s="10">
        <f>CHOOSE(PARAM!$B$51,R566,0,0,0)*(A566&lt;PARAM!$B$55)</f>
        <v>0</v>
      </c>
      <c r="T566" s="10">
        <f t="shared" si="154"/>
        <v>2.6940646321154116E-3</v>
      </c>
      <c r="U566" s="10">
        <f>T566*P566*(A566&lt;PARAM!$B$55)</f>
        <v>0</v>
      </c>
      <c r="W566">
        <v>563</v>
      </c>
      <c r="X566" s="178">
        <f t="shared" si="168"/>
        <v>78</v>
      </c>
      <c r="Y566" s="178">
        <f t="shared" si="168"/>
        <v>78</v>
      </c>
      <c r="Z566" s="178">
        <f t="shared" si="168"/>
        <v>47</v>
      </c>
      <c r="AA566" s="178">
        <f t="shared" si="168"/>
        <v>47</v>
      </c>
      <c r="AD566" s="17">
        <f>CALC!E590*(A566&lt;PARAM!$B$55)</f>
        <v>0</v>
      </c>
      <c r="AE566">
        <f>IF(A566&lt;ITER!$C$16,1,PARAM!$C$53^-(RATES!A566-ITER!$C$16))*(A566&lt;PARAM!$B$55)</f>
        <v>0</v>
      </c>
    </row>
    <row r="567" spans="1:31" x14ac:dyDescent="0.2">
      <c r="A567" s="9">
        <v>564</v>
      </c>
      <c r="B567" s="178">
        <f t="shared" si="166"/>
        <v>78</v>
      </c>
      <c r="C567" s="178">
        <f t="shared" si="166"/>
        <v>78</v>
      </c>
      <c r="D567" s="2">
        <f>PARAM!$H$38</f>
        <v>1</v>
      </c>
      <c r="E567" s="11">
        <f>PARAM!$G$38</f>
        <v>0</v>
      </c>
      <c r="F567" s="11">
        <f>(VLOOKUP(C567,DEDN!$A$8:$O$902,$F$2)*D567+E567)/1000</f>
        <v>5.4100000000000002E-2</v>
      </c>
      <c r="G567" s="178">
        <f t="shared" si="167"/>
        <v>47</v>
      </c>
      <c r="H567" s="178">
        <f t="shared" si="167"/>
        <v>47</v>
      </c>
      <c r="I567" s="2">
        <f>PARAM!$H$39</f>
        <v>0</v>
      </c>
      <c r="J567" s="11">
        <f>PARAM!$G$39</f>
        <v>0</v>
      </c>
      <c r="K567" s="11">
        <f>(VLOOKUP(H567,DEDN!$A$8:$O$902,$K$2)*I567+J567)/1000</f>
        <v>0</v>
      </c>
      <c r="L567" s="11">
        <f>MIN(IF(PARAM!$B$43=3,CHOOSE($L$2,F567,K567),F567+K567-F567*K567),1)</f>
        <v>5.4100000000000002E-2</v>
      </c>
      <c r="M567" s="2">
        <f>PARAM!$I$38</f>
        <v>0</v>
      </c>
      <c r="N567" s="11">
        <f>VLOOKUP(B567,DEDN!$A$8:$O$90,$N$2)*M567</f>
        <v>0</v>
      </c>
      <c r="O567" s="12"/>
      <c r="P567" s="10">
        <f>PARAM!$C$53^-A567</f>
        <v>1</v>
      </c>
      <c r="Q567" s="10">
        <f t="shared" si="170"/>
        <v>0.57991419862123739</v>
      </c>
      <c r="R567" s="10">
        <f t="shared" si="169"/>
        <v>0.57991419862123739</v>
      </c>
      <c r="S567" s="10">
        <f>R567*(A567&lt;PARAM!$B$55)</f>
        <v>0</v>
      </c>
      <c r="T567" s="10">
        <f t="shared" si="154"/>
        <v>2.6816068887228761E-3</v>
      </c>
      <c r="U567" s="10">
        <f>T567*P567*(A567&lt;PARAM!$B$55)</f>
        <v>0</v>
      </c>
      <c r="W567">
        <v>564</v>
      </c>
      <c r="X567" s="178">
        <f t="shared" si="168"/>
        <v>78</v>
      </c>
      <c r="Y567" s="178">
        <f t="shared" si="168"/>
        <v>78</v>
      </c>
      <c r="Z567" s="178">
        <f t="shared" si="168"/>
        <v>47</v>
      </c>
      <c r="AA567" s="178">
        <f t="shared" si="168"/>
        <v>47</v>
      </c>
      <c r="AD567" s="17">
        <f>CALC!E591*(A567&lt;PARAM!$B$55)</f>
        <v>0</v>
      </c>
      <c r="AE567">
        <f>IF(A567&lt;ITER!$C$16,1,PARAM!$C$53^-(RATES!A567-ITER!$C$16))*(A567&lt;PARAM!$B$55)</f>
        <v>0</v>
      </c>
    </row>
    <row r="568" spans="1:31" x14ac:dyDescent="0.2">
      <c r="A568" s="9">
        <v>565</v>
      </c>
      <c r="B568" s="178">
        <f t="shared" si="166"/>
        <v>78</v>
      </c>
      <c r="C568" s="178">
        <f t="shared" si="166"/>
        <v>78</v>
      </c>
      <c r="D568" s="2">
        <f>PARAM!$H$38</f>
        <v>1</v>
      </c>
      <c r="E568" s="11">
        <f>PARAM!$G$38</f>
        <v>0</v>
      </c>
      <c r="F568" s="11">
        <f>(VLOOKUP(C568,DEDN!$A$8:$O$902,$F$2)*D568+E568)/1000</f>
        <v>5.4100000000000002E-2</v>
      </c>
      <c r="G568" s="178">
        <f t="shared" si="167"/>
        <v>47</v>
      </c>
      <c r="H568" s="178">
        <f t="shared" si="167"/>
        <v>47</v>
      </c>
      <c r="I568" s="2">
        <f>PARAM!$H$39</f>
        <v>0</v>
      </c>
      <c r="J568" s="11">
        <f>PARAM!$G$39</f>
        <v>0</v>
      </c>
      <c r="K568" s="11">
        <f>(VLOOKUP(H568,DEDN!$A$8:$O$902,$K$2)*I568+J568)/1000</f>
        <v>0</v>
      </c>
      <c r="L568" s="11">
        <f>MIN(IF(PARAM!$B$43=3,CHOOSE($L$2,F568,K568),F568+K568-F568*K568),1)</f>
        <v>5.4100000000000002E-2</v>
      </c>
      <c r="M568" s="2">
        <f>PARAM!$I$38</f>
        <v>0</v>
      </c>
      <c r="N568" s="11">
        <f>VLOOKUP(B568,DEDN!$A$8:$O$90,$N$2)*M568</f>
        <v>0</v>
      </c>
      <c r="O568" s="12"/>
      <c r="P568" s="10">
        <f>PARAM!$C$53^-A568</f>
        <v>1</v>
      </c>
      <c r="Q568" s="10">
        <f t="shared" si="170"/>
        <v>0.57723259173251451</v>
      </c>
      <c r="R568" s="10">
        <f t="shared" si="169"/>
        <v>0.57723259173251451</v>
      </c>
      <c r="S568" s="10">
        <f>CHOOSE(PARAM!$B$51,R568,0,0,0)*(A568&lt;PARAM!$B$55)</f>
        <v>0</v>
      </c>
      <c r="T568" s="10">
        <f t="shared" si="154"/>
        <v>2.6692067517323226E-3</v>
      </c>
      <c r="U568" s="10">
        <f>T568*P568*(A568&lt;PARAM!$B$55)</f>
        <v>0</v>
      </c>
      <c r="W568">
        <v>565</v>
      </c>
      <c r="X568" s="178">
        <f t="shared" si="168"/>
        <v>78</v>
      </c>
      <c r="Y568" s="178">
        <f t="shared" si="168"/>
        <v>78</v>
      </c>
      <c r="Z568" s="178">
        <f t="shared" si="168"/>
        <v>47</v>
      </c>
      <c r="AA568" s="178">
        <f t="shared" si="168"/>
        <v>47</v>
      </c>
      <c r="AD568" s="17">
        <f>CALC!E592*(A568&lt;PARAM!$B$55)</f>
        <v>0</v>
      </c>
      <c r="AE568">
        <f>IF(A568&lt;ITER!$C$16,1,PARAM!$C$53^-(RATES!A568-ITER!$C$16))*(A568&lt;PARAM!$B$55)</f>
        <v>0</v>
      </c>
    </row>
    <row r="569" spans="1:31" x14ac:dyDescent="0.2">
      <c r="A569" s="9">
        <v>566</v>
      </c>
      <c r="B569" s="178">
        <f t="shared" si="166"/>
        <v>78</v>
      </c>
      <c r="C569" s="178">
        <f t="shared" si="166"/>
        <v>78</v>
      </c>
      <c r="D569" s="2">
        <f>PARAM!$H$38</f>
        <v>1</v>
      </c>
      <c r="E569" s="11">
        <f>PARAM!$G$38</f>
        <v>0</v>
      </c>
      <c r="F569" s="11">
        <f>(VLOOKUP(C569,DEDN!$A$8:$O$902,$F$2)*D569+E569)/1000</f>
        <v>5.4100000000000002E-2</v>
      </c>
      <c r="G569" s="178">
        <f t="shared" si="167"/>
        <v>47</v>
      </c>
      <c r="H569" s="178">
        <f t="shared" si="167"/>
        <v>47</v>
      </c>
      <c r="I569" s="2">
        <f>PARAM!$H$39</f>
        <v>0</v>
      </c>
      <c r="J569" s="11">
        <f>PARAM!$G$39</f>
        <v>0</v>
      </c>
      <c r="K569" s="11">
        <f>(VLOOKUP(H569,DEDN!$A$8:$O$902,$K$2)*I569+J569)/1000</f>
        <v>0</v>
      </c>
      <c r="L569" s="11">
        <f>MIN(IF(PARAM!$B$43=3,CHOOSE($L$2,F569,K569),F569+K569-F569*K569),1)</f>
        <v>5.4100000000000002E-2</v>
      </c>
      <c r="M569" s="2">
        <f>PARAM!$I$38</f>
        <v>0</v>
      </c>
      <c r="N569" s="11">
        <f>VLOOKUP(B569,DEDN!$A$8:$O$90,$N$2)*M569</f>
        <v>0</v>
      </c>
      <c r="O569" s="12"/>
      <c r="P569" s="10">
        <f>PARAM!$C$53^-A569</f>
        <v>1</v>
      </c>
      <c r="Q569" s="10">
        <f t="shared" si="170"/>
        <v>0.57456338498078219</v>
      </c>
      <c r="R569" s="10">
        <f t="shared" si="169"/>
        <v>0.57456338498078219</v>
      </c>
      <c r="S569" s="10">
        <f>CHOOSE(PARAM!$B$51,R569,0,0,0)*(A569&lt;PARAM!$B$55)</f>
        <v>0</v>
      </c>
      <c r="T569" s="10">
        <f t="shared" si="154"/>
        <v>2.6568639547636108E-3</v>
      </c>
      <c r="U569" s="10">
        <f>T569*P569*(A569&lt;PARAM!$B$55)</f>
        <v>0</v>
      </c>
      <c r="W569">
        <v>566</v>
      </c>
      <c r="X569" s="178">
        <f t="shared" si="168"/>
        <v>78</v>
      </c>
      <c r="Y569" s="178">
        <f t="shared" si="168"/>
        <v>78</v>
      </c>
      <c r="Z569" s="178">
        <f t="shared" si="168"/>
        <v>47</v>
      </c>
      <c r="AA569" s="178">
        <f t="shared" si="168"/>
        <v>47</v>
      </c>
      <c r="AD569" s="17">
        <f>CALC!E593*(A569&lt;PARAM!$B$55)</f>
        <v>0</v>
      </c>
      <c r="AE569">
        <f>IF(A569&lt;ITER!$C$16,1,PARAM!$C$53^-(RATES!A569-ITER!$C$16))*(A569&lt;PARAM!$B$55)</f>
        <v>0</v>
      </c>
    </row>
    <row r="570" spans="1:31" x14ac:dyDescent="0.2">
      <c r="A570" s="9">
        <v>567</v>
      </c>
      <c r="B570" s="178">
        <f t="shared" si="166"/>
        <v>78</v>
      </c>
      <c r="C570" s="178">
        <f t="shared" si="166"/>
        <v>78</v>
      </c>
      <c r="D570" s="2">
        <f>PARAM!$H$38</f>
        <v>1</v>
      </c>
      <c r="E570" s="11">
        <f>PARAM!$G$38</f>
        <v>0</v>
      </c>
      <c r="F570" s="11">
        <f>(VLOOKUP(C570,DEDN!$A$8:$O$902,$F$2)*D570+E570)/1000</f>
        <v>5.4100000000000002E-2</v>
      </c>
      <c r="G570" s="178">
        <f t="shared" si="167"/>
        <v>47</v>
      </c>
      <c r="H570" s="178">
        <f t="shared" si="167"/>
        <v>47</v>
      </c>
      <c r="I570" s="2">
        <f>PARAM!$H$39</f>
        <v>0</v>
      </c>
      <c r="J570" s="11">
        <f>PARAM!$G$39</f>
        <v>0</v>
      </c>
      <c r="K570" s="11">
        <f>(VLOOKUP(H570,DEDN!$A$8:$O$902,$K$2)*I570+J570)/1000</f>
        <v>0</v>
      </c>
      <c r="L570" s="11">
        <f>MIN(IF(PARAM!$B$43=3,CHOOSE($L$2,F570,K570),F570+K570-F570*K570),1)</f>
        <v>5.4100000000000002E-2</v>
      </c>
      <c r="M570" s="2">
        <f>PARAM!$I$38</f>
        <v>0</v>
      </c>
      <c r="N570" s="11">
        <f>VLOOKUP(B570,DEDN!$A$8:$O$90,$N$2)*M570</f>
        <v>0</v>
      </c>
      <c r="O570" s="12"/>
      <c r="P570" s="10">
        <f>PARAM!$C$53^-A570</f>
        <v>1</v>
      </c>
      <c r="Q570" s="10">
        <f t="shared" si="170"/>
        <v>0.57190652102601858</v>
      </c>
      <c r="R570" s="10">
        <f t="shared" si="169"/>
        <v>0.57190652102601858</v>
      </c>
      <c r="S570" s="10">
        <f>CHOOSE(PARAM!$B$51,R570,R570,0,0)*(A570&lt;PARAM!$B$55)</f>
        <v>0</v>
      </c>
      <c r="T570" s="10">
        <f t="shared" si="154"/>
        <v>2.64457823266806E-3</v>
      </c>
      <c r="U570" s="10">
        <f>T570*P570*(A570&lt;PARAM!$B$55)</f>
        <v>0</v>
      </c>
      <c r="W570">
        <v>567</v>
      </c>
      <c r="X570" s="178">
        <f t="shared" si="168"/>
        <v>78</v>
      </c>
      <c r="Y570" s="178">
        <f t="shared" si="168"/>
        <v>78</v>
      </c>
      <c r="Z570" s="178">
        <f t="shared" si="168"/>
        <v>47</v>
      </c>
      <c r="AA570" s="178">
        <f t="shared" si="168"/>
        <v>47</v>
      </c>
      <c r="AD570" s="17">
        <f>CALC!E594*(A570&lt;PARAM!$B$55)</f>
        <v>0</v>
      </c>
      <c r="AE570">
        <f>IF(A570&lt;ITER!$C$16,1,PARAM!$C$53^-(RATES!A570-ITER!$C$16))*(A570&lt;PARAM!$B$55)</f>
        <v>0</v>
      </c>
    </row>
    <row r="571" spans="1:31" x14ac:dyDescent="0.2">
      <c r="A571" s="9">
        <v>568</v>
      </c>
      <c r="B571" s="178">
        <f t="shared" si="166"/>
        <v>78</v>
      </c>
      <c r="C571" s="178">
        <f t="shared" si="166"/>
        <v>78</v>
      </c>
      <c r="D571" s="2">
        <f>PARAM!$H$38</f>
        <v>1</v>
      </c>
      <c r="E571" s="11">
        <f>PARAM!$G$38</f>
        <v>0</v>
      </c>
      <c r="F571" s="11">
        <f>(VLOOKUP(C571,DEDN!$A$8:$O$902,$F$2)*D571+E571)/1000</f>
        <v>5.4100000000000002E-2</v>
      </c>
      <c r="G571" s="178">
        <f t="shared" si="167"/>
        <v>47</v>
      </c>
      <c r="H571" s="178">
        <f t="shared" si="167"/>
        <v>47</v>
      </c>
      <c r="I571" s="2">
        <f>PARAM!$H$39</f>
        <v>0</v>
      </c>
      <c r="J571" s="11">
        <f>PARAM!$G$39</f>
        <v>0</v>
      </c>
      <c r="K571" s="11">
        <f>(VLOOKUP(H571,DEDN!$A$8:$O$902,$K$2)*I571+J571)/1000</f>
        <v>0</v>
      </c>
      <c r="L571" s="11">
        <f>MIN(IF(PARAM!$B$43=3,CHOOSE($L$2,F571,K571),F571+K571-F571*K571),1)</f>
        <v>5.4100000000000002E-2</v>
      </c>
      <c r="M571" s="2">
        <f>PARAM!$I$38</f>
        <v>0</v>
      </c>
      <c r="N571" s="11">
        <f>VLOOKUP(B571,DEDN!$A$8:$O$90,$N$2)*M571</f>
        <v>0</v>
      </c>
      <c r="O571" s="12"/>
      <c r="P571" s="10">
        <f>PARAM!$C$53^-A571</f>
        <v>1</v>
      </c>
      <c r="Q571" s="10">
        <f t="shared" si="170"/>
        <v>0.56926194279335052</v>
      </c>
      <c r="R571" s="10">
        <f t="shared" si="169"/>
        <v>0.56926194279335052</v>
      </c>
      <c r="S571" s="10">
        <f>CHOOSE(PARAM!$B$51,R571,0,0,0)*(A571&lt;PARAM!$B$55)</f>
        <v>0</v>
      </c>
      <c r="T571" s="10">
        <f t="shared" si="154"/>
        <v>2.6323493215233418E-3</v>
      </c>
      <c r="U571" s="10">
        <f>T571*P571*(A571&lt;PARAM!$B$55)</f>
        <v>0</v>
      </c>
      <c r="W571">
        <v>568</v>
      </c>
      <c r="X571" s="178">
        <f t="shared" si="168"/>
        <v>78</v>
      </c>
      <c r="Y571" s="178">
        <f t="shared" si="168"/>
        <v>78</v>
      </c>
      <c r="Z571" s="178">
        <f t="shared" si="168"/>
        <v>47</v>
      </c>
      <c r="AA571" s="178">
        <f t="shared" si="168"/>
        <v>47</v>
      </c>
      <c r="AD571" s="17">
        <f>CALC!E595*(A571&lt;PARAM!$B$55)</f>
        <v>0</v>
      </c>
      <c r="AE571">
        <f>IF(A571&lt;ITER!$C$16,1,PARAM!$C$53^-(RATES!A571-ITER!$C$16))*(A571&lt;PARAM!$B$55)</f>
        <v>0</v>
      </c>
    </row>
    <row r="572" spans="1:31" x14ac:dyDescent="0.2">
      <c r="A572" s="9">
        <v>569</v>
      </c>
      <c r="B572" s="178">
        <f t="shared" si="166"/>
        <v>78</v>
      </c>
      <c r="C572" s="178">
        <f t="shared" si="166"/>
        <v>78</v>
      </c>
      <c r="D572" s="2">
        <f>PARAM!$H$38</f>
        <v>1</v>
      </c>
      <c r="E572" s="11">
        <f>PARAM!$G$38</f>
        <v>0</v>
      </c>
      <c r="F572" s="11">
        <f>(VLOOKUP(C572,DEDN!$A$8:$O$902,$F$2)*D572+E572)/1000</f>
        <v>5.4100000000000002E-2</v>
      </c>
      <c r="G572" s="178">
        <f t="shared" si="167"/>
        <v>47</v>
      </c>
      <c r="H572" s="178">
        <f t="shared" si="167"/>
        <v>47</v>
      </c>
      <c r="I572" s="2">
        <f>PARAM!$H$39</f>
        <v>0</v>
      </c>
      <c r="J572" s="11">
        <f>PARAM!$G$39</f>
        <v>0</v>
      </c>
      <c r="K572" s="11">
        <f>(VLOOKUP(H572,DEDN!$A$8:$O$902,$K$2)*I572+J572)/1000</f>
        <v>0</v>
      </c>
      <c r="L572" s="11">
        <f>MIN(IF(PARAM!$B$43=3,CHOOSE($L$2,F572,K572),F572+K572-F572*K572),1)</f>
        <v>5.4100000000000002E-2</v>
      </c>
      <c r="M572" s="2">
        <f>PARAM!$I$38</f>
        <v>0</v>
      </c>
      <c r="N572" s="11">
        <f>VLOOKUP(B572,DEDN!$A$8:$O$90,$N$2)*M572</f>
        <v>0</v>
      </c>
      <c r="O572" s="12"/>
      <c r="P572" s="10">
        <f>PARAM!$C$53^-A572</f>
        <v>1</v>
      </c>
      <c r="Q572" s="10">
        <f t="shared" si="170"/>
        <v>0.56662959347182718</v>
      </c>
      <c r="R572" s="10">
        <f t="shared" si="169"/>
        <v>0.56662959347182718</v>
      </c>
      <c r="S572" s="10">
        <f>CHOOSE(PARAM!$B$51,R572,0,0,0)*(A572&lt;PARAM!$B$55)</f>
        <v>0</v>
      </c>
      <c r="T572" s="10">
        <f t="shared" si="154"/>
        <v>2.6201769586274848E-3</v>
      </c>
      <c r="U572" s="10">
        <f>T572*P572*(A572&lt;PARAM!$B$55)</f>
        <v>0</v>
      </c>
      <c r="W572">
        <v>569</v>
      </c>
      <c r="X572" s="178">
        <f t="shared" si="168"/>
        <v>78</v>
      </c>
      <c r="Y572" s="178">
        <f t="shared" si="168"/>
        <v>78</v>
      </c>
      <c r="Z572" s="178">
        <f t="shared" si="168"/>
        <v>47</v>
      </c>
      <c r="AA572" s="178">
        <f t="shared" si="168"/>
        <v>47</v>
      </c>
      <c r="AD572" s="17">
        <f>CALC!E596*(A572&lt;PARAM!$B$55)</f>
        <v>0</v>
      </c>
      <c r="AE572">
        <f>IF(A572&lt;ITER!$C$16,1,PARAM!$C$53^-(RATES!A572-ITER!$C$16))*(A572&lt;PARAM!$B$55)</f>
        <v>0</v>
      </c>
    </row>
    <row r="573" spans="1:31" x14ac:dyDescent="0.2">
      <c r="A573" s="9">
        <v>570</v>
      </c>
      <c r="B573" s="178">
        <f t="shared" si="166"/>
        <v>79</v>
      </c>
      <c r="C573" s="178">
        <f t="shared" si="166"/>
        <v>79</v>
      </c>
      <c r="D573" s="2">
        <f>PARAM!$H$38</f>
        <v>1</v>
      </c>
      <c r="E573" s="11">
        <f>PARAM!$G$38</f>
        <v>0</v>
      </c>
      <c r="F573" s="11">
        <f>(VLOOKUP(C573,DEDN!$A$8:$O$902,$F$2)*D573+E573)/1000</f>
        <v>5.9389999999999998E-2</v>
      </c>
      <c r="G573" s="178">
        <f t="shared" si="167"/>
        <v>48</v>
      </c>
      <c r="H573" s="178">
        <f t="shared" si="167"/>
        <v>48</v>
      </c>
      <c r="I573" s="2">
        <f>PARAM!$H$39</f>
        <v>0</v>
      </c>
      <c r="J573" s="11">
        <f>PARAM!$G$39</f>
        <v>0</v>
      </c>
      <c r="K573" s="11">
        <f>(VLOOKUP(H573,DEDN!$A$8:$O$902,$K$2)*I573+J573)/1000</f>
        <v>0</v>
      </c>
      <c r="L573" s="11">
        <f>MIN(IF(PARAM!$B$43=3,CHOOSE($L$2,F573,K573),F573+K573-F573*K573),1)</f>
        <v>5.9389999999999998E-2</v>
      </c>
      <c r="M573" s="2">
        <f>PARAM!$I$38</f>
        <v>0</v>
      </c>
      <c r="N573" s="11">
        <f>VLOOKUP(B573,DEDN!$A$8:$O$90,$N$2)*M573</f>
        <v>0</v>
      </c>
      <c r="O573" s="12"/>
      <c r="P573" s="10">
        <f>PARAM!$C$53^-A573</f>
        <v>1</v>
      </c>
      <c r="Q573" s="10">
        <f t="shared" si="170"/>
        <v>0.56400941651319969</v>
      </c>
      <c r="R573" s="10">
        <f t="shared" si="169"/>
        <v>0.56400941651319969</v>
      </c>
      <c r="S573" s="10">
        <f>CHOOSE(PARAM!$B$51,R573,R573,R573,0)*(A573&lt;PARAM!$B$55)</f>
        <v>0</v>
      </c>
      <c r="T573" s="10">
        <f t="shared" si="154"/>
        <v>2.8703730430226226E-3</v>
      </c>
      <c r="U573" s="10">
        <f>T573*P573*(A573&lt;PARAM!$B$55)</f>
        <v>0</v>
      </c>
      <c r="W573">
        <v>570</v>
      </c>
      <c r="X573" s="178">
        <f t="shared" si="168"/>
        <v>79</v>
      </c>
      <c r="Y573" s="178">
        <f t="shared" si="168"/>
        <v>79</v>
      </c>
      <c r="Z573" s="178">
        <f t="shared" si="168"/>
        <v>48</v>
      </c>
      <c r="AA573" s="178">
        <f t="shared" si="168"/>
        <v>48</v>
      </c>
      <c r="AD573" s="17">
        <f>CALC!E597*(A573&lt;PARAM!$B$55)</f>
        <v>0</v>
      </c>
      <c r="AE573">
        <f>IF(A573&lt;ITER!$C$16,1,PARAM!$C$53^-(RATES!A573-ITER!$C$16))*(A573&lt;PARAM!$B$55)</f>
        <v>0</v>
      </c>
    </row>
    <row r="574" spans="1:31" x14ac:dyDescent="0.2">
      <c r="A574" s="9">
        <v>571</v>
      </c>
      <c r="B574" s="178">
        <f t="shared" si="166"/>
        <v>79</v>
      </c>
      <c r="C574" s="178">
        <f t="shared" si="166"/>
        <v>79</v>
      </c>
      <c r="D574" s="2">
        <f>PARAM!$H$38</f>
        <v>1</v>
      </c>
      <c r="E574" s="11">
        <f>PARAM!$G$38</f>
        <v>0</v>
      </c>
      <c r="F574" s="11">
        <f>(VLOOKUP(C574,DEDN!$A$8:$O$902,$F$2)*D574+E574)/1000</f>
        <v>5.9389999999999998E-2</v>
      </c>
      <c r="G574" s="178">
        <f t="shared" si="167"/>
        <v>48</v>
      </c>
      <c r="H574" s="178">
        <f t="shared" si="167"/>
        <v>48</v>
      </c>
      <c r="I574" s="2">
        <f>PARAM!$H$39</f>
        <v>0</v>
      </c>
      <c r="J574" s="11">
        <f>PARAM!$G$39</f>
        <v>0</v>
      </c>
      <c r="K574" s="11">
        <f>(VLOOKUP(H574,DEDN!$A$8:$O$902,$K$2)*I574+J574)/1000</f>
        <v>0</v>
      </c>
      <c r="L574" s="11">
        <f>MIN(IF(PARAM!$B$43=3,CHOOSE($L$2,F574,K574),F574+K574-F574*K574),1)</f>
        <v>5.9389999999999998E-2</v>
      </c>
      <c r="M574" s="2">
        <f>PARAM!$I$38</f>
        <v>0</v>
      </c>
      <c r="N574" s="11">
        <f>VLOOKUP(B574,DEDN!$A$8:$O$90,$N$2)*M574</f>
        <v>0</v>
      </c>
      <c r="O574" s="12"/>
      <c r="P574" s="10">
        <f>PARAM!$C$53^-A574</f>
        <v>1</v>
      </c>
      <c r="Q574" s="10">
        <f t="shared" si="170"/>
        <v>0.56113904347017707</v>
      </c>
      <c r="R574" s="10">
        <f t="shared" si="169"/>
        <v>0.56113904347017707</v>
      </c>
      <c r="S574" s="10">
        <f>CHOOSE(PARAM!$B$51,R574,0,0,0)*(A574&lt;PARAM!$B$55)</f>
        <v>0</v>
      </c>
      <c r="T574" s="10">
        <f t="shared" si="154"/>
        <v>2.855765057473314E-3</v>
      </c>
      <c r="U574" s="10">
        <f>T574*P574*(A574&lt;PARAM!$B$55)</f>
        <v>0</v>
      </c>
      <c r="W574">
        <v>571</v>
      </c>
      <c r="X574" s="178">
        <f t="shared" si="168"/>
        <v>79</v>
      </c>
      <c r="Y574" s="178">
        <f t="shared" si="168"/>
        <v>79</v>
      </c>
      <c r="Z574" s="178">
        <f t="shared" si="168"/>
        <v>48</v>
      </c>
      <c r="AA574" s="178">
        <f t="shared" si="168"/>
        <v>48</v>
      </c>
      <c r="AD574" s="17">
        <f>CALC!E598*(A574&lt;PARAM!$B$55)</f>
        <v>0</v>
      </c>
      <c r="AE574">
        <f>IF(A574&lt;ITER!$C$16,1,PARAM!$C$53^-(RATES!A574-ITER!$C$16))*(A574&lt;PARAM!$B$55)</f>
        <v>0</v>
      </c>
    </row>
    <row r="575" spans="1:31" x14ac:dyDescent="0.2">
      <c r="A575" s="9">
        <v>572</v>
      </c>
      <c r="B575" s="178">
        <f t="shared" si="166"/>
        <v>79</v>
      </c>
      <c r="C575" s="178">
        <f t="shared" si="166"/>
        <v>79</v>
      </c>
      <c r="D575" s="2">
        <f>PARAM!$H$38</f>
        <v>1</v>
      </c>
      <c r="E575" s="11">
        <f>PARAM!$G$38</f>
        <v>0</v>
      </c>
      <c r="F575" s="11">
        <f>(VLOOKUP(C575,DEDN!$A$8:$O$902,$F$2)*D575+E575)/1000</f>
        <v>5.9389999999999998E-2</v>
      </c>
      <c r="G575" s="178">
        <f t="shared" si="167"/>
        <v>48</v>
      </c>
      <c r="H575" s="178">
        <f t="shared" si="167"/>
        <v>48</v>
      </c>
      <c r="I575" s="2">
        <f>PARAM!$H$39</f>
        <v>0</v>
      </c>
      <c r="J575" s="11">
        <f>PARAM!$G$39</f>
        <v>0</v>
      </c>
      <c r="K575" s="11">
        <f>(VLOOKUP(H575,DEDN!$A$8:$O$902,$K$2)*I575+J575)/1000</f>
        <v>0</v>
      </c>
      <c r="L575" s="11">
        <f>MIN(IF(PARAM!$B$43=3,CHOOSE($L$2,F575,K575),F575+K575-F575*K575),1)</f>
        <v>5.9389999999999998E-2</v>
      </c>
      <c r="M575" s="2">
        <f>PARAM!$I$38</f>
        <v>0</v>
      </c>
      <c r="N575" s="11">
        <f>VLOOKUP(B575,DEDN!$A$8:$O$90,$N$2)*M575</f>
        <v>0</v>
      </c>
      <c r="O575" s="12"/>
      <c r="P575" s="10">
        <f>PARAM!$C$53^-A575</f>
        <v>1</v>
      </c>
      <c r="Q575" s="10">
        <f t="shared" si="170"/>
        <v>0.55828327841270375</v>
      </c>
      <c r="R575" s="10">
        <f t="shared" si="169"/>
        <v>0.55828327841270375</v>
      </c>
      <c r="S575" s="10">
        <f>CHOOSE(PARAM!$B$51,R575,0,0,0)*(A575&lt;PARAM!$B$55)</f>
        <v>0</v>
      </c>
      <c r="T575" s="10">
        <f t="shared" si="154"/>
        <v>2.8412314153066776E-3</v>
      </c>
      <c r="U575" s="10">
        <f>T575*P575*(A575&lt;PARAM!$B$55)</f>
        <v>0</v>
      </c>
      <c r="W575">
        <v>572</v>
      </c>
      <c r="X575" s="178">
        <f t="shared" si="168"/>
        <v>79</v>
      </c>
      <c r="Y575" s="178">
        <f t="shared" si="168"/>
        <v>79</v>
      </c>
      <c r="Z575" s="178">
        <f t="shared" si="168"/>
        <v>48</v>
      </c>
      <c r="AA575" s="178">
        <f t="shared" si="168"/>
        <v>48</v>
      </c>
      <c r="AD575" s="17">
        <f>CALC!E599*(A575&lt;PARAM!$B$55)</f>
        <v>0</v>
      </c>
      <c r="AE575">
        <f>IF(A575&lt;ITER!$C$16,1,PARAM!$C$53^-(RATES!A575-ITER!$C$16))*(A575&lt;PARAM!$B$55)</f>
        <v>0</v>
      </c>
    </row>
    <row r="576" spans="1:31" x14ac:dyDescent="0.2">
      <c r="A576" s="9">
        <v>573</v>
      </c>
      <c r="B576" s="178">
        <f t="shared" si="166"/>
        <v>79</v>
      </c>
      <c r="C576" s="178">
        <f t="shared" si="166"/>
        <v>79</v>
      </c>
      <c r="D576" s="2">
        <f>PARAM!$H$38</f>
        <v>1</v>
      </c>
      <c r="E576" s="11">
        <f>PARAM!$G$38</f>
        <v>0</v>
      </c>
      <c r="F576" s="11">
        <f>(VLOOKUP(C576,DEDN!$A$8:$O$902,$F$2)*D576+E576)/1000</f>
        <v>5.9389999999999998E-2</v>
      </c>
      <c r="G576" s="178">
        <f t="shared" si="167"/>
        <v>48</v>
      </c>
      <c r="H576" s="178">
        <f t="shared" si="167"/>
        <v>48</v>
      </c>
      <c r="I576" s="2">
        <f>PARAM!$H$39</f>
        <v>0</v>
      </c>
      <c r="J576" s="11">
        <f>PARAM!$G$39</f>
        <v>0</v>
      </c>
      <c r="K576" s="11">
        <f>(VLOOKUP(H576,DEDN!$A$8:$O$902,$K$2)*I576+J576)/1000</f>
        <v>0</v>
      </c>
      <c r="L576" s="11">
        <f>MIN(IF(PARAM!$B$43=3,CHOOSE($L$2,F576,K576),F576+K576-F576*K576),1)</f>
        <v>5.9389999999999998E-2</v>
      </c>
      <c r="M576" s="2">
        <f>PARAM!$I$38</f>
        <v>0</v>
      </c>
      <c r="N576" s="11">
        <f>VLOOKUP(B576,DEDN!$A$8:$O$90,$N$2)*M576</f>
        <v>0</v>
      </c>
      <c r="O576" s="12"/>
      <c r="P576" s="10">
        <f>PARAM!$C$53^-A576</f>
        <v>1</v>
      </c>
      <c r="Q576" s="10">
        <f t="shared" si="170"/>
        <v>0.55544204699739708</v>
      </c>
      <c r="R576" s="10">
        <f t="shared" si="169"/>
        <v>0.55544204699739708</v>
      </c>
      <c r="S576" s="10">
        <f>CHOOSE(PARAM!$B$51,R576,R576,0,0)*(A576&lt;PARAM!$B$55)</f>
        <v>0</v>
      </c>
      <c r="T576" s="10">
        <f t="shared" si="154"/>
        <v>2.8267717381723623E-3</v>
      </c>
      <c r="U576" s="10">
        <f>T576*P576*(A576&lt;PARAM!$B$55)</f>
        <v>0</v>
      </c>
      <c r="W576">
        <v>573</v>
      </c>
      <c r="X576" s="178">
        <f t="shared" si="168"/>
        <v>79</v>
      </c>
      <c r="Y576" s="178">
        <f t="shared" si="168"/>
        <v>79</v>
      </c>
      <c r="Z576" s="178">
        <f t="shared" si="168"/>
        <v>48</v>
      </c>
      <c r="AA576" s="178">
        <f t="shared" si="168"/>
        <v>48</v>
      </c>
      <c r="AD576" s="17">
        <f>CALC!E600*(A576&lt;PARAM!$B$55)</f>
        <v>0</v>
      </c>
      <c r="AE576">
        <f>IF(A576&lt;ITER!$C$16,1,PARAM!$C$53^-(RATES!A576-ITER!$C$16))*(A576&lt;PARAM!$B$55)</f>
        <v>0</v>
      </c>
    </row>
    <row r="577" spans="1:31" x14ac:dyDescent="0.2">
      <c r="A577" s="9">
        <v>574</v>
      </c>
      <c r="B577" s="178">
        <f t="shared" si="166"/>
        <v>79</v>
      </c>
      <c r="C577" s="178">
        <f t="shared" si="166"/>
        <v>79</v>
      </c>
      <c r="D577" s="2">
        <f>PARAM!$H$38</f>
        <v>1</v>
      </c>
      <c r="E577" s="11">
        <f>PARAM!$G$38</f>
        <v>0</v>
      </c>
      <c r="F577" s="11">
        <f>(VLOOKUP(C577,DEDN!$A$8:$O$902,$F$2)*D577+E577)/1000</f>
        <v>5.9389999999999998E-2</v>
      </c>
      <c r="G577" s="178">
        <f t="shared" si="167"/>
        <v>48</v>
      </c>
      <c r="H577" s="178">
        <f t="shared" si="167"/>
        <v>48</v>
      </c>
      <c r="I577" s="2">
        <f>PARAM!$H$39</f>
        <v>0</v>
      </c>
      <c r="J577" s="11">
        <f>PARAM!$G$39</f>
        <v>0</v>
      </c>
      <c r="K577" s="11">
        <f>(VLOOKUP(H577,DEDN!$A$8:$O$902,$K$2)*I577+J577)/1000</f>
        <v>0</v>
      </c>
      <c r="L577" s="11">
        <f>MIN(IF(PARAM!$B$43=3,CHOOSE($L$2,F577,K577),F577+K577-F577*K577),1)</f>
        <v>5.9389999999999998E-2</v>
      </c>
      <c r="M577" s="2">
        <f>PARAM!$I$38</f>
        <v>0</v>
      </c>
      <c r="N577" s="11">
        <f>VLOOKUP(B577,DEDN!$A$8:$O$90,$N$2)*M577</f>
        <v>0</v>
      </c>
      <c r="O577" s="12"/>
      <c r="P577" s="10">
        <f>PARAM!$C$53^-A577</f>
        <v>1</v>
      </c>
      <c r="Q577" s="10">
        <f t="shared" si="170"/>
        <v>0.55261527525922471</v>
      </c>
      <c r="R577" s="10">
        <f t="shared" si="169"/>
        <v>0.55261527525922471</v>
      </c>
      <c r="S577" s="10">
        <f>CHOOSE(PARAM!$B$51,R577,0,0,0)*(A577&lt;PARAM!$B$55)</f>
        <v>0</v>
      </c>
      <c r="T577" s="10">
        <f t="shared" si="154"/>
        <v>2.8123856496453659E-3</v>
      </c>
      <c r="U577" s="10">
        <f>T577*P577*(A577&lt;PARAM!$B$55)</f>
        <v>0</v>
      </c>
      <c r="W577">
        <v>574</v>
      </c>
      <c r="X577" s="178">
        <f t="shared" si="168"/>
        <v>79</v>
      </c>
      <c r="Y577" s="178">
        <f t="shared" si="168"/>
        <v>79</v>
      </c>
      <c r="Z577" s="178">
        <f t="shared" si="168"/>
        <v>48</v>
      </c>
      <c r="AA577" s="178">
        <f t="shared" si="168"/>
        <v>48</v>
      </c>
      <c r="AD577" s="17">
        <f>CALC!E601*(A577&lt;PARAM!$B$55)</f>
        <v>0</v>
      </c>
      <c r="AE577">
        <f>IF(A577&lt;ITER!$C$16,1,PARAM!$C$53^-(RATES!A577-ITER!$C$16))*(A577&lt;PARAM!$B$55)</f>
        <v>0</v>
      </c>
    </row>
    <row r="578" spans="1:31" x14ac:dyDescent="0.2">
      <c r="A578" s="9">
        <v>575</v>
      </c>
      <c r="B578" s="178">
        <f t="shared" si="166"/>
        <v>79</v>
      </c>
      <c r="C578" s="178">
        <f t="shared" si="166"/>
        <v>79</v>
      </c>
      <c r="D578" s="2">
        <f>PARAM!$H$38</f>
        <v>1</v>
      </c>
      <c r="E578" s="11">
        <f>PARAM!$G$38</f>
        <v>0</v>
      </c>
      <c r="F578" s="11">
        <f>(VLOOKUP(C578,DEDN!$A$8:$O$902,$F$2)*D578+E578)/1000</f>
        <v>5.9389999999999998E-2</v>
      </c>
      <c r="G578" s="178">
        <f t="shared" si="167"/>
        <v>48</v>
      </c>
      <c r="H578" s="178">
        <f t="shared" si="167"/>
        <v>48</v>
      </c>
      <c r="I578" s="2">
        <f>PARAM!$H$39</f>
        <v>0</v>
      </c>
      <c r="J578" s="11">
        <f>PARAM!$G$39</f>
        <v>0</v>
      </c>
      <c r="K578" s="11">
        <f>(VLOOKUP(H578,DEDN!$A$8:$O$902,$K$2)*I578+J578)/1000</f>
        <v>0</v>
      </c>
      <c r="L578" s="11">
        <f>MIN(IF(PARAM!$B$43=3,CHOOSE($L$2,F578,K578),F578+K578-F578*K578),1)</f>
        <v>5.9389999999999998E-2</v>
      </c>
      <c r="M578" s="2">
        <f>PARAM!$I$38</f>
        <v>0</v>
      </c>
      <c r="N578" s="11">
        <f>VLOOKUP(B578,DEDN!$A$8:$O$90,$N$2)*M578</f>
        <v>0</v>
      </c>
      <c r="O578" s="12"/>
      <c r="P578" s="10">
        <f>PARAM!$C$53^-A578</f>
        <v>1</v>
      </c>
      <c r="Q578" s="10">
        <f t="shared" si="170"/>
        <v>0.54980288960957935</v>
      </c>
      <c r="R578" s="10">
        <f t="shared" si="169"/>
        <v>0.54980288960957935</v>
      </c>
      <c r="S578" s="10">
        <f>CHOOSE(PARAM!$B$51,R578,0,0,0)*(A578&lt;PARAM!$B$55)</f>
        <v>0</v>
      </c>
      <c r="T578" s="10">
        <f t="shared" si="154"/>
        <v>2.7980727752163759E-3</v>
      </c>
      <c r="U578" s="10">
        <f>T578*P578*(A578&lt;PARAM!$B$55)</f>
        <v>0</v>
      </c>
      <c r="W578">
        <v>575</v>
      </c>
      <c r="X578" s="178">
        <f t="shared" si="168"/>
        <v>79</v>
      </c>
      <c r="Y578" s="178">
        <f t="shared" si="168"/>
        <v>79</v>
      </c>
      <c r="Z578" s="178">
        <f t="shared" si="168"/>
        <v>48</v>
      </c>
      <c r="AA578" s="178">
        <f t="shared" si="168"/>
        <v>48</v>
      </c>
      <c r="AD578" s="17">
        <f>CALC!E602*(A578&lt;PARAM!$B$55)</f>
        <v>0</v>
      </c>
      <c r="AE578">
        <f>IF(A578&lt;ITER!$C$16,1,PARAM!$C$53^-(RATES!A578-ITER!$C$16))*(A578&lt;PARAM!$B$55)</f>
        <v>0</v>
      </c>
    </row>
    <row r="579" spans="1:31" x14ac:dyDescent="0.2">
      <c r="A579" s="9">
        <v>576</v>
      </c>
      <c r="B579" s="178">
        <f t="shared" si="166"/>
        <v>79</v>
      </c>
      <c r="C579" s="178">
        <f t="shared" si="166"/>
        <v>79</v>
      </c>
      <c r="D579" s="2">
        <f>PARAM!$H$38</f>
        <v>1</v>
      </c>
      <c r="E579" s="11">
        <f>PARAM!$G$38</f>
        <v>0</v>
      </c>
      <c r="F579" s="11">
        <f>(VLOOKUP(C579,DEDN!$A$8:$O$902,$F$2)*D579+E579)/1000</f>
        <v>5.9389999999999998E-2</v>
      </c>
      <c r="G579" s="178">
        <f t="shared" si="167"/>
        <v>48</v>
      </c>
      <c r="H579" s="178">
        <f t="shared" si="167"/>
        <v>48</v>
      </c>
      <c r="I579" s="2">
        <f>PARAM!$H$39</f>
        <v>0</v>
      </c>
      <c r="J579" s="11">
        <f>PARAM!$G$39</f>
        <v>0</v>
      </c>
      <c r="K579" s="11">
        <f>(VLOOKUP(H579,DEDN!$A$8:$O$902,$K$2)*I579+J579)/1000</f>
        <v>0</v>
      </c>
      <c r="L579" s="11">
        <f>MIN(IF(PARAM!$B$43=3,CHOOSE($L$2,F579,K579),F579+K579-F579*K579),1)</f>
        <v>5.9389999999999998E-2</v>
      </c>
      <c r="M579" s="2">
        <f>PARAM!$I$38</f>
        <v>0</v>
      </c>
      <c r="N579" s="11">
        <f>VLOOKUP(B579,DEDN!$A$8:$O$90,$N$2)*M579</f>
        <v>0</v>
      </c>
      <c r="O579" s="12"/>
      <c r="P579" s="10">
        <f>PARAM!$C$53^-A579</f>
        <v>1</v>
      </c>
      <c r="Q579" s="10">
        <f t="shared" si="170"/>
        <v>0.54700481683436297</v>
      </c>
      <c r="R579" s="10">
        <f t="shared" si="169"/>
        <v>0.54700481683436297</v>
      </c>
      <c r="S579" s="10">
        <f>R579*(A579&lt;PARAM!$B$55)</f>
        <v>0</v>
      </c>
      <c r="T579" s="10">
        <f t="shared" si="154"/>
        <v>2.7838327422821108E-3</v>
      </c>
      <c r="U579" s="10">
        <f>T579*P579*(A579&lt;PARAM!$B$55)</f>
        <v>0</v>
      </c>
      <c r="W579">
        <v>576</v>
      </c>
      <c r="X579" s="178">
        <f t="shared" si="168"/>
        <v>79</v>
      </c>
      <c r="Y579" s="178">
        <f t="shared" si="168"/>
        <v>79</v>
      </c>
      <c r="Z579" s="178">
        <f t="shared" si="168"/>
        <v>48</v>
      </c>
      <c r="AA579" s="178">
        <f t="shared" si="168"/>
        <v>48</v>
      </c>
      <c r="AD579" s="17">
        <f>CALC!E603*(A579&lt;PARAM!$B$55)</f>
        <v>0</v>
      </c>
      <c r="AE579">
        <f>IF(A579&lt;ITER!$C$16,1,PARAM!$C$53^-(RATES!A579-ITER!$C$16))*(A579&lt;PARAM!$B$55)</f>
        <v>0</v>
      </c>
    </row>
    <row r="580" spans="1:31" x14ac:dyDescent="0.2">
      <c r="A580" s="9">
        <v>577</v>
      </c>
      <c r="B580" s="178">
        <f t="shared" si="166"/>
        <v>79</v>
      </c>
      <c r="C580" s="178">
        <f t="shared" si="166"/>
        <v>79</v>
      </c>
      <c r="D580" s="2">
        <f>PARAM!$H$38</f>
        <v>1</v>
      </c>
      <c r="E580" s="11">
        <f>PARAM!$G$38</f>
        <v>0</v>
      </c>
      <c r="F580" s="11">
        <f>(VLOOKUP(C580,DEDN!$A$8:$O$902,$F$2)*D580+E580)/1000</f>
        <v>5.9389999999999998E-2</v>
      </c>
      <c r="G580" s="178">
        <f t="shared" si="167"/>
        <v>48</v>
      </c>
      <c r="H580" s="178">
        <f t="shared" si="167"/>
        <v>48</v>
      </c>
      <c r="I580" s="2">
        <f>PARAM!$H$39</f>
        <v>0</v>
      </c>
      <c r="J580" s="11">
        <f>PARAM!$G$39</f>
        <v>0</v>
      </c>
      <c r="K580" s="11">
        <f>(VLOOKUP(H580,DEDN!$A$8:$O$902,$K$2)*I580+J580)/1000</f>
        <v>0</v>
      </c>
      <c r="L580" s="11">
        <f>MIN(IF(PARAM!$B$43=3,CHOOSE($L$2,F580,K580),F580+K580-F580*K580),1)</f>
        <v>5.9389999999999998E-2</v>
      </c>
      <c r="M580" s="2">
        <f>PARAM!$I$38</f>
        <v>0</v>
      </c>
      <c r="N580" s="11">
        <f>VLOOKUP(B580,DEDN!$A$8:$O$90,$N$2)*M580</f>
        <v>0</v>
      </c>
      <c r="O580" s="12"/>
      <c r="P580" s="10">
        <f>PARAM!$C$53^-A580</f>
        <v>1</v>
      </c>
      <c r="Q580" s="10">
        <f t="shared" si="170"/>
        <v>0.54422098409208086</v>
      </c>
      <c r="R580" s="10">
        <f t="shared" ref="R580:R595" si="171">P580*Q580</f>
        <v>0.54422098409208086</v>
      </c>
      <c r="S580" s="10">
        <f>CHOOSE(PARAM!$B$51,R580,0,0,0)*(A580&lt;PARAM!$B$55)</f>
        <v>0</v>
      </c>
      <c r="T580" s="10">
        <f t="shared" ref="T580:T643" si="172">Q580-Q581</f>
        <v>2.7696651801354388E-3</v>
      </c>
      <c r="U580" s="10">
        <f>T580*P580*(A580&lt;PARAM!$B$55)</f>
        <v>0</v>
      </c>
      <c r="W580">
        <v>577</v>
      </c>
      <c r="X580" s="178">
        <f t="shared" si="168"/>
        <v>79</v>
      </c>
      <c r="Y580" s="178">
        <f t="shared" si="168"/>
        <v>79</v>
      </c>
      <c r="Z580" s="178">
        <f t="shared" si="168"/>
        <v>48</v>
      </c>
      <c r="AA580" s="178">
        <f t="shared" si="168"/>
        <v>48</v>
      </c>
      <c r="AD580" s="17">
        <f>CALC!E604*(A580&lt;PARAM!$B$55)</f>
        <v>0</v>
      </c>
      <c r="AE580">
        <f>IF(A580&lt;ITER!$C$16,1,PARAM!$C$53^-(RATES!A580-ITER!$C$16))*(A580&lt;PARAM!$B$55)</f>
        <v>0</v>
      </c>
    </row>
    <row r="581" spans="1:31" x14ac:dyDescent="0.2">
      <c r="A581" s="9">
        <v>578</v>
      </c>
      <c r="B581" s="178">
        <f t="shared" ref="B581:C600" si="173">B569+1</f>
        <v>79</v>
      </c>
      <c r="C581" s="178">
        <f t="shared" si="173"/>
        <v>79</v>
      </c>
      <c r="D581" s="2">
        <f>PARAM!$H$38</f>
        <v>1</v>
      </c>
      <c r="E581" s="11">
        <f>PARAM!$G$38</f>
        <v>0</v>
      </c>
      <c r="F581" s="11">
        <f>(VLOOKUP(C581,DEDN!$A$8:$O$902,$F$2)*D581+E581)/1000</f>
        <v>5.9389999999999998E-2</v>
      </c>
      <c r="G581" s="178">
        <f t="shared" ref="G581:H600" si="174">G569+1</f>
        <v>48</v>
      </c>
      <c r="H581" s="178">
        <f t="shared" si="174"/>
        <v>48</v>
      </c>
      <c r="I581" s="2">
        <f>PARAM!$H$39</f>
        <v>0</v>
      </c>
      <c r="J581" s="11">
        <f>PARAM!$G$39</f>
        <v>0</v>
      </c>
      <c r="K581" s="11">
        <f>(VLOOKUP(H581,DEDN!$A$8:$O$902,$K$2)*I581+J581)/1000</f>
        <v>0</v>
      </c>
      <c r="L581" s="11">
        <f>MIN(IF(PARAM!$B$43=3,CHOOSE($L$2,F581,K581),F581+K581-F581*K581),1)</f>
        <v>5.9389999999999998E-2</v>
      </c>
      <c r="M581" s="2">
        <f>PARAM!$I$38</f>
        <v>0</v>
      </c>
      <c r="N581" s="11">
        <f>VLOOKUP(B581,DEDN!$A$8:$O$90,$N$2)*M581</f>
        <v>0</v>
      </c>
      <c r="O581" s="12"/>
      <c r="P581" s="10">
        <f>PARAM!$C$53^-A581</f>
        <v>1</v>
      </c>
      <c r="Q581" s="10">
        <f t="shared" ref="Q581:Q596" si="175">Q580*(1-L580)^(1/12)</f>
        <v>0.54145131891194542</v>
      </c>
      <c r="R581" s="10">
        <f t="shared" si="171"/>
        <v>0.54145131891194542</v>
      </c>
      <c r="S581" s="10">
        <f>CHOOSE(PARAM!$B$51,R581,0,0,0)*(A581&lt;PARAM!$B$55)</f>
        <v>0</v>
      </c>
      <c r="T581" s="10">
        <f t="shared" si="172"/>
        <v>2.7555697199560525E-3</v>
      </c>
      <c r="U581" s="10">
        <f>T581*P581*(A581&lt;PARAM!$B$55)</f>
        <v>0</v>
      </c>
      <c r="W581">
        <v>578</v>
      </c>
      <c r="X581" s="178">
        <f t="shared" ref="X581:AA600" si="176">X569+1</f>
        <v>79</v>
      </c>
      <c r="Y581" s="178">
        <f t="shared" si="176"/>
        <v>79</v>
      </c>
      <c r="Z581" s="178">
        <f t="shared" si="176"/>
        <v>48</v>
      </c>
      <c r="AA581" s="178">
        <f t="shared" si="176"/>
        <v>48</v>
      </c>
      <c r="AD581" s="17">
        <f>CALC!E605*(A581&lt;PARAM!$B$55)</f>
        <v>0</v>
      </c>
      <c r="AE581">
        <f>IF(A581&lt;ITER!$C$16,1,PARAM!$C$53^-(RATES!A581-ITER!$C$16))*(A581&lt;PARAM!$B$55)</f>
        <v>0</v>
      </c>
    </row>
    <row r="582" spans="1:31" x14ac:dyDescent="0.2">
      <c r="A582" s="9">
        <v>579</v>
      </c>
      <c r="B582" s="178">
        <f t="shared" si="173"/>
        <v>79</v>
      </c>
      <c r="C582" s="178">
        <f t="shared" si="173"/>
        <v>79</v>
      </c>
      <c r="D582" s="2">
        <f>PARAM!$H$38</f>
        <v>1</v>
      </c>
      <c r="E582" s="11">
        <f>PARAM!$G$38</f>
        <v>0</v>
      </c>
      <c r="F582" s="11">
        <f>(VLOOKUP(C582,DEDN!$A$8:$O$902,$F$2)*D582+E582)/1000</f>
        <v>5.9389999999999998E-2</v>
      </c>
      <c r="G582" s="178">
        <f t="shared" si="174"/>
        <v>48</v>
      </c>
      <c r="H582" s="178">
        <f t="shared" si="174"/>
        <v>48</v>
      </c>
      <c r="I582" s="2">
        <f>PARAM!$H$39</f>
        <v>0</v>
      </c>
      <c r="J582" s="11">
        <f>PARAM!$G$39</f>
        <v>0</v>
      </c>
      <c r="K582" s="11">
        <f>(VLOOKUP(H582,DEDN!$A$8:$O$902,$K$2)*I582+J582)/1000</f>
        <v>0</v>
      </c>
      <c r="L582" s="11">
        <f>MIN(IF(PARAM!$B$43=3,CHOOSE($L$2,F582,K582),F582+K582-F582*K582),1)</f>
        <v>5.9389999999999998E-2</v>
      </c>
      <c r="M582" s="2">
        <f>PARAM!$I$38</f>
        <v>0</v>
      </c>
      <c r="N582" s="11">
        <f>VLOOKUP(B582,DEDN!$A$8:$O$90,$N$2)*M582</f>
        <v>0</v>
      </c>
      <c r="O582" s="12"/>
      <c r="P582" s="10">
        <f>PARAM!$C$53^-A582</f>
        <v>1</v>
      </c>
      <c r="Q582" s="10">
        <f t="shared" si="175"/>
        <v>0.53869574919198937</v>
      </c>
      <c r="R582" s="10">
        <f t="shared" si="171"/>
        <v>0.53869574919198937</v>
      </c>
      <c r="S582" s="10">
        <f>CHOOSE(PARAM!$B$51,R582,R582,0,0)*(A582&lt;PARAM!$B$55)</f>
        <v>0</v>
      </c>
      <c r="T582" s="10">
        <f t="shared" si="172"/>
        <v>2.7415459948005871E-3</v>
      </c>
      <c r="U582" s="10">
        <f>T582*P582*(A582&lt;PARAM!$B$55)</f>
        <v>0</v>
      </c>
      <c r="W582">
        <v>579</v>
      </c>
      <c r="X582" s="178">
        <f t="shared" si="176"/>
        <v>79</v>
      </c>
      <c r="Y582" s="178">
        <f t="shared" si="176"/>
        <v>79</v>
      </c>
      <c r="Z582" s="178">
        <f t="shared" si="176"/>
        <v>48</v>
      </c>
      <c r="AA582" s="178">
        <f t="shared" si="176"/>
        <v>48</v>
      </c>
      <c r="AD582" s="17">
        <f>CALC!E606*(A582&lt;PARAM!$B$55)</f>
        <v>0</v>
      </c>
      <c r="AE582">
        <f>IF(A582&lt;ITER!$C$16,1,PARAM!$C$53^-(RATES!A582-ITER!$C$16))*(A582&lt;PARAM!$B$55)</f>
        <v>0</v>
      </c>
    </row>
    <row r="583" spans="1:31" x14ac:dyDescent="0.2">
      <c r="A583" s="9">
        <v>580</v>
      </c>
      <c r="B583" s="178">
        <f t="shared" si="173"/>
        <v>79</v>
      </c>
      <c r="C583" s="178">
        <f t="shared" si="173"/>
        <v>79</v>
      </c>
      <c r="D583" s="2">
        <f>PARAM!$H$38</f>
        <v>1</v>
      </c>
      <c r="E583" s="11">
        <f>PARAM!$G$38</f>
        <v>0</v>
      </c>
      <c r="F583" s="11">
        <f>(VLOOKUP(C583,DEDN!$A$8:$O$902,$F$2)*D583+E583)/1000</f>
        <v>5.9389999999999998E-2</v>
      </c>
      <c r="G583" s="178">
        <f t="shared" si="174"/>
        <v>48</v>
      </c>
      <c r="H583" s="178">
        <f t="shared" si="174"/>
        <v>48</v>
      </c>
      <c r="I583" s="2">
        <f>PARAM!$H$39</f>
        <v>0</v>
      </c>
      <c r="J583" s="11">
        <f>PARAM!$G$39</f>
        <v>0</v>
      </c>
      <c r="K583" s="11">
        <f>(VLOOKUP(H583,DEDN!$A$8:$O$902,$K$2)*I583+J583)/1000</f>
        <v>0</v>
      </c>
      <c r="L583" s="11">
        <f>MIN(IF(PARAM!$B$43=3,CHOOSE($L$2,F583,K583),F583+K583-F583*K583),1)</f>
        <v>5.9389999999999998E-2</v>
      </c>
      <c r="M583" s="2">
        <f>PARAM!$I$38</f>
        <v>0</v>
      </c>
      <c r="N583" s="11">
        <f>VLOOKUP(B583,DEDN!$A$8:$O$90,$N$2)*M583</f>
        <v>0</v>
      </c>
      <c r="O583" s="12"/>
      <c r="P583" s="10">
        <f>PARAM!$C$53^-A583</f>
        <v>1</v>
      </c>
      <c r="Q583" s="10">
        <f t="shared" si="175"/>
        <v>0.53595420319718878</v>
      </c>
      <c r="R583" s="10">
        <f t="shared" si="171"/>
        <v>0.53595420319718878</v>
      </c>
      <c r="S583" s="10">
        <f>CHOOSE(PARAM!$B$51,R583,0,0,0)*(A583&lt;PARAM!$B$55)</f>
        <v>0</v>
      </c>
      <c r="T583" s="10">
        <f t="shared" si="172"/>
        <v>2.7275936395928513E-3</v>
      </c>
      <c r="U583" s="10">
        <f>T583*P583*(A583&lt;PARAM!$B$55)</f>
        <v>0</v>
      </c>
      <c r="W583">
        <v>580</v>
      </c>
      <c r="X583" s="178">
        <f t="shared" si="176"/>
        <v>79</v>
      </c>
      <c r="Y583" s="178">
        <f t="shared" si="176"/>
        <v>79</v>
      </c>
      <c r="Z583" s="178">
        <f t="shared" si="176"/>
        <v>48</v>
      </c>
      <c r="AA583" s="178">
        <f t="shared" si="176"/>
        <v>48</v>
      </c>
      <c r="AD583" s="17">
        <f>CALC!E607*(A583&lt;PARAM!$B$55)</f>
        <v>0</v>
      </c>
      <c r="AE583">
        <f>IF(A583&lt;ITER!$C$16,1,PARAM!$C$53^-(RATES!A583-ITER!$C$16))*(A583&lt;PARAM!$B$55)</f>
        <v>0</v>
      </c>
    </row>
    <row r="584" spans="1:31" x14ac:dyDescent="0.2">
      <c r="A584" s="9">
        <v>581</v>
      </c>
      <c r="B584" s="178">
        <f t="shared" si="173"/>
        <v>79</v>
      </c>
      <c r="C584" s="178">
        <f t="shared" si="173"/>
        <v>79</v>
      </c>
      <c r="D584" s="2">
        <f>PARAM!$H$38</f>
        <v>1</v>
      </c>
      <c r="E584" s="11">
        <f>PARAM!$G$38</f>
        <v>0</v>
      </c>
      <c r="F584" s="11">
        <f>(VLOOKUP(C584,DEDN!$A$8:$O$902,$F$2)*D584+E584)/1000</f>
        <v>5.9389999999999998E-2</v>
      </c>
      <c r="G584" s="178">
        <f t="shared" si="174"/>
        <v>48</v>
      </c>
      <c r="H584" s="178">
        <f t="shared" si="174"/>
        <v>48</v>
      </c>
      <c r="I584" s="2">
        <f>PARAM!$H$39</f>
        <v>0</v>
      </c>
      <c r="J584" s="11">
        <f>PARAM!$G$39</f>
        <v>0</v>
      </c>
      <c r="K584" s="11">
        <f>(VLOOKUP(H584,DEDN!$A$8:$O$902,$K$2)*I584+J584)/1000</f>
        <v>0</v>
      </c>
      <c r="L584" s="11">
        <f>MIN(IF(PARAM!$B$43=3,CHOOSE($L$2,F584,K584),F584+K584-F584*K584),1)</f>
        <v>5.9389999999999998E-2</v>
      </c>
      <c r="M584" s="2">
        <f>PARAM!$I$38</f>
        <v>0</v>
      </c>
      <c r="N584" s="11">
        <f>VLOOKUP(B584,DEDN!$A$8:$O$90,$N$2)*M584</f>
        <v>0</v>
      </c>
      <c r="O584" s="12"/>
      <c r="P584" s="10">
        <f>PARAM!$C$53^-A584</f>
        <v>1</v>
      </c>
      <c r="Q584" s="10">
        <f t="shared" si="175"/>
        <v>0.53322660955759593</v>
      </c>
      <c r="R584" s="10">
        <f t="shared" si="171"/>
        <v>0.53322660955759593</v>
      </c>
      <c r="S584" s="10">
        <f>CHOOSE(PARAM!$B$51,R584,0,0,0)*(A584&lt;PARAM!$B$55)</f>
        <v>0</v>
      </c>
      <c r="T584" s="10">
        <f t="shared" si="172"/>
        <v>2.7137122911149447E-3</v>
      </c>
      <c r="U584" s="10">
        <f>T584*P584*(A584&lt;PARAM!$B$55)</f>
        <v>0</v>
      </c>
      <c r="W584">
        <v>581</v>
      </c>
      <c r="X584" s="178">
        <f t="shared" si="176"/>
        <v>79</v>
      </c>
      <c r="Y584" s="178">
        <f t="shared" si="176"/>
        <v>79</v>
      </c>
      <c r="Z584" s="178">
        <f t="shared" si="176"/>
        <v>48</v>
      </c>
      <c r="AA584" s="178">
        <f t="shared" si="176"/>
        <v>48</v>
      </c>
      <c r="AD584" s="17">
        <f>CALC!E608*(A584&lt;PARAM!$B$55)</f>
        <v>0</v>
      </c>
      <c r="AE584">
        <f>IF(A584&lt;ITER!$C$16,1,PARAM!$C$53^-(RATES!A584-ITER!$C$16))*(A584&lt;PARAM!$B$55)</f>
        <v>0</v>
      </c>
    </row>
    <row r="585" spans="1:31" x14ac:dyDescent="0.2">
      <c r="A585" s="9">
        <v>582</v>
      </c>
      <c r="B585" s="178">
        <f t="shared" si="173"/>
        <v>80</v>
      </c>
      <c r="C585" s="178">
        <f t="shared" si="173"/>
        <v>80</v>
      </c>
      <c r="D585" s="2">
        <f>PARAM!$H$38</f>
        <v>1</v>
      </c>
      <c r="E585" s="11">
        <f>PARAM!$G$38</f>
        <v>0</v>
      </c>
      <c r="F585" s="11">
        <f>(VLOOKUP(C585,DEDN!$A$8:$O$902,$F$2)*D585+E585)/1000</f>
        <v>6.5159999999999996E-2</v>
      </c>
      <c r="G585" s="178">
        <f t="shared" si="174"/>
        <v>49</v>
      </c>
      <c r="H585" s="178">
        <f t="shared" si="174"/>
        <v>49</v>
      </c>
      <c r="I585" s="2">
        <f>PARAM!$H$39</f>
        <v>0</v>
      </c>
      <c r="J585" s="11">
        <f>PARAM!$G$39</f>
        <v>0</v>
      </c>
      <c r="K585" s="11">
        <f>(VLOOKUP(H585,DEDN!$A$8:$O$902,$K$2)*I585+J585)/1000</f>
        <v>0</v>
      </c>
      <c r="L585" s="11">
        <f>MIN(IF(PARAM!$B$43=3,CHOOSE($L$2,F585,K585),F585+K585-F585*K585),1)</f>
        <v>6.5159999999999996E-2</v>
      </c>
      <c r="M585" s="2">
        <f>PARAM!$I$38</f>
        <v>0</v>
      </c>
      <c r="N585" s="11">
        <f>VLOOKUP(B585,DEDN!$A$8:$O$90,$N$2)*M585</f>
        <v>0</v>
      </c>
      <c r="O585" s="12"/>
      <c r="P585" s="10">
        <f>PARAM!$C$53^-A585</f>
        <v>1</v>
      </c>
      <c r="Q585" s="10">
        <f t="shared" si="175"/>
        <v>0.53051289726648099</v>
      </c>
      <c r="R585" s="10">
        <f t="shared" si="171"/>
        <v>0.53051289726648099</v>
      </c>
      <c r="S585" s="10">
        <f>CHOOSE(PARAM!$B$51,R585,R585,R585,0)*(A585&lt;PARAM!$B$55)</f>
        <v>0</v>
      </c>
      <c r="T585" s="10">
        <f t="shared" si="172"/>
        <v>2.9704775309520315E-3</v>
      </c>
      <c r="U585" s="10">
        <f>T585*P585*(A585&lt;PARAM!$B$55)</f>
        <v>0</v>
      </c>
      <c r="W585">
        <v>582</v>
      </c>
      <c r="X585" s="178">
        <f t="shared" si="176"/>
        <v>80</v>
      </c>
      <c r="Y585" s="178">
        <f t="shared" si="176"/>
        <v>80</v>
      </c>
      <c r="Z585" s="178">
        <f t="shared" si="176"/>
        <v>49</v>
      </c>
      <c r="AA585" s="178">
        <f t="shared" si="176"/>
        <v>49</v>
      </c>
      <c r="AD585" s="17">
        <f>CALC!E609*(A585&lt;PARAM!$B$55)</f>
        <v>0</v>
      </c>
      <c r="AE585">
        <f>IF(A585&lt;ITER!$C$16,1,PARAM!$C$53^-(RATES!A585-ITER!$C$16))*(A585&lt;PARAM!$B$55)</f>
        <v>0</v>
      </c>
    </row>
    <row r="586" spans="1:31" x14ac:dyDescent="0.2">
      <c r="A586" s="9">
        <v>583</v>
      </c>
      <c r="B586" s="178">
        <f t="shared" si="173"/>
        <v>80</v>
      </c>
      <c r="C586" s="178">
        <f t="shared" si="173"/>
        <v>80</v>
      </c>
      <c r="D586" s="2">
        <f>PARAM!$H$38</f>
        <v>1</v>
      </c>
      <c r="E586" s="11">
        <f>PARAM!$G$38</f>
        <v>0</v>
      </c>
      <c r="F586" s="11">
        <f>(VLOOKUP(C586,DEDN!$A$8:$O$902,$F$2)*D586+E586)/1000</f>
        <v>6.5159999999999996E-2</v>
      </c>
      <c r="G586" s="178">
        <f t="shared" si="174"/>
        <v>49</v>
      </c>
      <c r="H586" s="178">
        <f t="shared" si="174"/>
        <v>49</v>
      </c>
      <c r="I586" s="2">
        <f>PARAM!$H$39</f>
        <v>0</v>
      </c>
      <c r="J586" s="11">
        <f>PARAM!$G$39</f>
        <v>0</v>
      </c>
      <c r="K586" s="11">
        <f>(VLOOKUP(H586,DEDN!$A$8:$O$902,$K$2)*I586+J586)/1000</f>
        <v>0</v>
      </c>
      <c r="L586" s="11">
        <f>MIN(IF(PARAM!$B$43=3,CHOOSE($L$2,F586,K586),F586+K586-F586*K586),1)</f>
        <v>6.5159999999999996E-2</v>
      </c>
      <c r="M586" s="2">
        <f>PARAM!$I$38</f>
        <v>0</v>
      </c>
      <c r="N586" s="11">
        <f>VLOOKUP(B586,DEDN!$A$8:$O$90,$N$2)*M586</f>
        <v>0</v>
      </c>
      <c r="O586" s="12"/>
      <c r="P586" s="10">
        <f>PARAM!$C$53^-A586</f>
        <v>1</v>
      </c>
      <c r="Q586" s="10">
        <f t="shared" si="175"/>
        <v>0.52754241973552896</v>
      </c>
      <c r="R586" s="10">
        <f t="shared" si="171"/>
        <v>0.52754241973552896</v>
      </c>
      <c r="S586" s="10">
        <f>CHOOSE(PARAM!$B$51,R586,0,0,0)*(A586&lt;PARAM!$B$55)</f>
        <v>0</v>
      </c>
      <c r="T586" s="10">
        <f t="shared" si="172"/>
        <v>2.9538450667699889E-3</v>
      </c>
      <c r="U586" s="10">
        <f>T586*P586*(A586&lt;PARAM!$B$55)</f>
        <v>0</v>
      </c>
      <c r="W586">
        <v>583</v>
      </c>
      <c r="X586" s="178">
        <f t="shared" si="176"/>
        <v>80</v>
      </c>
      <c r="Y586" s="178">
        <f t="shared" si="176"/>
        <v>80</v>
      </c>
      <c r="Z586" s="178">
        <f t="shared" si="176"/>
        <v>49</v>
      </c>
      <c r="AA586" s="178">
        <f t="shared" si="176"/>
        <v>49</v>
      </c>
      <c r="AD586" s="17">
        <f>CALC!E610*(A586&lt;PARAM!$B$55)</f>
        <v>0</v>
      </c>
      <c r="AE586">
        <f>IF(A586&lt;ITER!$C$16,1,PARAM!$C$53^-(RATES!A586-ITER!$C$16))*(A586&lt;PARAM!$B$55)</f>
        <v>0</v>
      </c>
    </row>
    <row r="587" spans="1:31" x14ac:dyDescent="0.2">
      <c r="A587" s="9">
        <v>584</v>
      </c>
      <c r="B587" s="178">
        <f t="shared" si="173"/>
        <v>80</v>
      </c>
      <c r="C587" s="178">
        <f t="shared" si="173"/>
        <v>80</v>
      </c>
      <c r="D587" s="2">
        <f>PARAM!$H$38</f>
        <v>1</v>
      </c>
      <c r="E587" s="11">
        <f>PARAM!$G$38</f>
        <v>0</v>
      </c>
      <c r="F587" s="11">
        <f>(VLOOKUP(C587,DEDN!$A$8:$O$902,$F$2)*D587+E587)/1000</f>
        <v>6.5159999999999996E-2</v>
      </c>
      <c r="G587" s="178">
        <f t="shared" si="174"/>
        <v>49</v>
      </c>
      <c r="H587" s="178">
        <f t="shared" si="174"/>
        <v>49</v>
      </c>
      <c r="I587" s="2">
        <f>PARAM!$H$39</f>
        <v>0</v>
      </c>
      <c r="J587" s="11">
        <f>PARAM!$G$39</f>
        <v>0</v>
      </c>
      <c r="K587" s="11">
        <f>(VLOOKUP(H587,DEDN!$A$8:$O$902,$K$2)*I587+J587)/1000</f>
        <v>0</v>
      </c>
      <c r="L587" s="11">
        <f>MIN(IF(PARAM!$B$43=3,CHOOSE($L$2,F587,K587),F587+K587-F587*K587),1)</f>
        <v>6.5159999999999996E-2</v>
      </c>
      <c r="M587" s="2">
        <f>PARAM!$I$38</f>
        <v>0</v>
      </c>
      <c r="N587" s="11">
        <f>VLOOKUP(B587,DEDN!$A$8:$O$90,$N$2)*M587</f>
        <v>0</v>
      </c>
      <c r="O587" s="12"/>
      <c r="P587" s="10">
        <f>PARAM!$C$53^-A587</f>
        <v>1</v>
      </c>
      <c r="Q587" s="10">
        <f t="shared" si="175"/>
        <v>0.52458857466875897</v>
      </c>
      <c r="R587" s="10">
        <f t="shared" si="171"/>
        <v>0.52458857466875897</v>
      </c>
      <c r="S587" s="10">
        <f>CHOOSE(PARAM!$B$51,R587,0,0,0)*(A587&lt;PARAM!$B$55)</f>
        <v>0</v>
      </c>
      <c r="T587" s="10">
        <f t="shared" si="172"/>
        <v>2.937305732013118E-3</v>
      </c>
      <c r="U587" s="10">
        <f>T587*P587*(A587&lt;PARAM!$B$55)</f>
        <v>0</v>
      </c>
      <c r="W587">
        <v>584</v>
      </c>
      <c r="X587" s="178">
        <f t="shared" si="176"/>
        <v>80</v>
      </c>
      <c r="Y587" s="178">
        <f t="shared" si="176"/>
        <v>80</v>
      </c>
      <c r="Z587" s="178">
        <f t="shared" si="176"/>
        <v>49</v>
      </c>
      <c r="AA587" s="178">
        <f t="shared" si="176"/>
        <v>49</v>
      </c>
      <c r="AD587" s="17">
        <f>CALC!E611*(A587&lt;PARAM!$B$55)</f>
        <v>0</v>
      </c>
      <c r="AE587">
        <f>IF(A587&lt;ITER!$C$16,1,PARAM!$C$53^-(RATES!A587-ITER!$C$16))*(A587&lt;PARAM!$B$55)</f>
        <v>0</v>
      </c>
    </row>
    <row r="588" spans="1:31" x14ac:dyDescent="0.2">
      <c r="A588" s="9">
        <v>585</v>
      </c>
      <c r="B588" s="178">
        <f t="shared" si="173"/>
        <v>80</v>
      </c>
      <c r="C588" s="178">
        <f t="shared" si="173"/>
        <v>80</v>
      </c>
      <c r="D588" s="2">
        <f>PARAM!$H$38</f>
        <v>1</v>
      </c>
      <c r="E588" s="11">
        <f>PARAM!$G$38</f>
        <v>0</v>
      </c>
      <c r="F588" s="11">
        <f>(VLOOKUP(C588,DEDN!$A$8:$O$902,$F$2)*D588+E588)/1000</f>
        <v>6.5159999999999996E-2</v>
      </c>
      <c r="G588" s="178">
        <f t="shared" si="174"/>
        <v>49</v>
      </c>
      <c r="H588" s="178">
        <f t="shared" si="174"/>
        <v>49</v>
      </c>
      <c r="I588" s="2">
        <f>PARAM!$H$39</f>
        <v>0</v>
      </c>
      <c r="J588" s="11">
        <f>PARAM!$G$39</f>
        <v>0</v>
      </c>
      <c r="K588" s="11">
        <f>(VLOOKUP(H588,DEDN!$A$8:$O$902,$K$2)*I588+J588)/1000</f>
        <v>0</v>
      </c>
      <c r="L588" s="11">
        <f>MIN(IF(PARAM!$B$43=3,CHOOSE($L$2,F588,K588),F588+K588-F588*K588),1)</f>
        <v>6.5159999999999996E-2</v>
      </c>
      <c r="M588" s="2">
        <f>PARAM!$I$38</f>
        <v>0</v>
      </c>
      <c r="N588" s="11">
        <f>VLOOKUP(B588,DEDN!$A$8:$O$90,$N$2)*M588</f>
        <v>0</v>
      </c>
      <c r="O588" s="12"/>
      <c r="P588" s="10">
        <f>PARAM!$C$53^-A588</f>
        <v>1</v>
      </c>
      <c r="Q588" s="10">
        <f t="shared" si="175"/>
        <v>0.52165126893674585</v>
      </c>
      <c r="R588" s="10">
        <f t="shared" si="171"/>
        <v>0.52165126893674585</v>
      </c>
      <c r="S588" s="10">
        <f>CHOOSE(PARAM!$B$51,R588,R588,0,0)*(A588&lt;PARAM!$B$55)</f>
        <v>0</v>
      </c>
      <c r="T588" s="10">
        <f t="shared" si="172"/>
        <v>2.9208590052257621E-3</v>
      </c>
      <c r="U588" s="10">
        <f>T588*P588*(A588&lt;PARAM!$B$55)</f>
        <v>0</v>
      </c>
      <c r="W588">
        <v>585</v>
      </c>
      <c r="X588" s="178">
        <f t="shared" si="176"/>
        <v>80</v>
      </c>
      <c r="Y588" s="178">
        <f t="shared" si="176"/>
        <v>80</v>
      </c>
      <c r="Z588" s="178">
        <f t="shared" si="176"/>
        <v>49</v>
      </c>
      <c r="AA588" s="178">
        <f t="shared" si="176"/>
        <v>49</v>
      </c>
      <c r="AD588" s="17">
        <f>CALC!E612*(A588&lt;PARAM!$B$55)</f>
        <v>0</v>
      </c>
      <c r="AE588">
        <f>IF(A588&lt;ITER!$C$16,1,PARAM!$C$53^-(RATES!A588-ITER!$C$16))*(A588&lt;PARAM!$B$55)</f>
        <v>0</v>
      </c>
    </row>
    <row r="589" spans="1:31" x14ac:dyDescent="0.2">
      <c r="A589" s="9">
        <v>586</v>
      </c>
      <c r="B589" s="178">
        <f t="shared" si="173"/>
        <v>80</v>
      </c>
      <c r="C589" s="178">
        <f t="shared" si="173"/>
        <v>80</v>
      </c>
      <c r="D589" s="2">
        <f>PARAM!$H$38</f>
        <v>1</v>
      </c>
      <c r="E589" s="11">
        <f>PARAM!$G$38</f>
        <v>0</v>
      </c>
      <c r="F589" s="11">
        <f>(VLOOKUP(C589,DEDN!$A$8:$O$902,$F$2)*D589+E589)/1000</f>
        <v>6.5159999999999996E-2</v>
      </c>
      <c r="G589" s="178">
        <f t="shared" si="174"/>
        <v>49</v>
      </c>
      <c r="H589" s="178">
        <f t="shared" si="174"/>
        <v>49</v>
      </c>
      <c r="I589" s="2">
        <f>PARAM!$H$39</f>
        <v>0</v>
      </c>
      <c r="J589" s="11">
        <f>PARAM!$G$39</f>
        <v>0</v>
      </c>
      <c r="K589" s="11">
        <f>(VLOOKUP(H589,DEDN!$A$8:$O$902,$K$2)*I589+J589)/1000</f>
        <v>0</v>
      </c>
      <c r="L589" s="11">
        <f>MIN(IF(PARAM!$B$43=3,CHOOSE($L$2,F589,K589),F589+K589-F589*K589),1)</f>
        <v>6.5159999999999996E-2</v>
      </c>
      <c r="M589" s="2">
        <f>PARAM!$I$38</f>
        <v>0</v>
      </c>
      <c r="N589" s="11">
        <f>VLOOKUP(B589,DEDN!$A$8:$O$90,$N$2)*M589</f>
        <v>0</v>
      </c>
      <c r="O589" s="12"/>
      <c r="P589" s="10">
        <f>PARAM!$C$53^-A589</f>
        <v>1</v>
      </c>
      <c r="Q589" s="10">
        <f t="shared" si="175"/>
        <v>0.51873040993152009</v>
      </c>
      <c r="R589" s="10">
        <f t="shared" si="171"/>
        <v>0.51873040993152009</v>
      </c>
      <c r="S589" s="10">
        <f>CHOOSE(PARAM!$B$51,R589,0,0,0)*(A589&lt;PARAM!$B$55)</f>
        <v>0</v>
      </c>
      <c r="T589" s="10">
        <f t="shared" si="172"/>
        <v>2.9045043678723736E-3</v>
      </c>
      <c r="U589" s="10">
        <f>T589*P589*(A589&lt;PARAM!$B$55)</f>
        <v>0</v>
      </c>
      <c r="W589">
        <v>586</v>
      </c>
      <c r="X589" s="178">
        <f t="shared" si="176"/>
        <v>80</v>
      </c>
      <c r="Y589" s="178">
        <f t="shared" si="176"/>
        <v>80</v>
      </c>
      <c r="Z589" s="178">
        <f t="shared" si="176"/>
        <v>49</v>
      </c>
      <c r="AA589" s="178">
        <f t="shared" si="176"/>
        <v>49</v>
      </c>
      <c r="AD589" s="17">
        <f>CALC!E613*(A589&lt;PARAM!$B$55)</f>
        <v>0</v>
      </c>
      <c r="AE589">
        <f>IF(A589&lt;ITER!$C$16,1,PARAM!$C$53^-(RATES!A589-ITER!$C$16))*(A589&lt;PARAM!$B$55)</f>
        <v>0</v>
      </c>
    </row>
    <row r="590" spans="1:31" x14ac:dyDescent="0.2">
      <c r="A590" s="9">
        <v>587</v>
      </c>
      <c r="B590" s="178">
        <f t="shared" si="173"/>
        <v>80</v>
      </c>
      <c r="C590" s="178">
        <f t="shared" si="173"/>
        <v>80</v>
      </c>
      <c r="D590" s="2">
        <f>PARAM!$H$38</f>
        <v>1</v>
      </c>
      <c r="E590" s="11">
        <f>PARAM!$G$38</f>
        <v>0</v>
      </c>
      <c r="F590" s="11">
        <f>(VLOOKUP(C590,DEDN!$A$8:$O$902,$F$2)*D590+E590)/1000</f>
        <v>6.5159999999999996E-2</v>
      </c>
      <c r="G590" s="178">
        <f t="shared" si="174"/>
        <v>49</v>
      </c>
      <c r="H590" s="178">
        <f t="shared" si="174"/>
        <v>49</v>
      </c>
      <c r="I590" s="2">
        <f>PARAM!$H$39</f>
        <v>0</v>
      </c>
      <c r="J590" s="11">
        <f>PARAM!$G$39</f>
        <v>0</v>
      </c>
      <c r="K590" s="11">
        <f>(VLOOKUP(H590,DEDN!$A$8:$O$902,$K$2)*I590+J590)/1000</f>
        <v>0</v>
      </c>
      <c r="L590" s="11">
        <f>MIN(IF(PARAM!$B$43=3,CHOOSE($L$2,F590,K590),F590+K590-F590*K590),1)</f>
        <v>6.5159999999999996E-2</v>
      </c>
      <c r="M590" s="2">
        <f>PARAM!$I$38</f>
        <v>0</v>
      </c>
      <c r="N590" s="11">
        <f>VLOOKUP(B590,DEDN!$A$8:$O$90,$N$2)*M590</f>
        <v>0</v>
      </c>
      <c r="O590" s="12"/>
      <c r="P590" s="10">
        <f>PARAM!$C$53^-A590</f>
        <v>1</v>
      </c>
      <c r="Q590" s="10">
        <f t="shared" si="175"/>
        <v>0.51582590556364771</v>
      </c>
      <c r="R590" s="10">
        <f t="shared" si="171"/>
        <v>0.51582590556364771</v>
      </c>
      <c r="S590" s="10">
        <f>CHOOSE(PARAM!$B$51,R590,0,0,0)*(A590&lt;PARAM!$B$55)</f>
        <v>0</v>
      </c>
      <c r="T590" s="10">
        <f t="shared" si="172"/>
        <v>2.8882413043205268E-3</v>
      </c>
      <c r="U590" s="10">
        <f>T590*P590*(A590&lt;PARAM!$B$55)</f>
        <v>0</v>
      </c>
      <c r="W590">
        <v>587</v>
      </c>
      <c r="X590" s="178">
        <f t="shared" si="176"/>
        <v>80</v>
      </c>
      <c r="Y590" s="178">
        <f t="shared" si="176"/>
        <v>80</v>
      </c>
      <c r="Z590" s="178">
        <f t="shared" si="176"/>
        <v>49</v>
      </c>
      <c r="AA590" s="178">
        <f t="shared" si="176"/>
        <v>49</v>
      </c>
      <c r="AD590" s="17">
        <f>CALC!E614*(A590&lt;PARAM!$B$55)</f>
        <v>0</v>
      </c>
      <c r="AE590">
        <f>IF(A590&lt;ITER!$C$16,1,PARAM!$C$53^-(RATES!A590-ITER!$C$16))*(A590&lt;PARAM!$B$55)</f>
        <v>0</v>
      </c>
    </row>
    <row r="591" spans="1:31" x14ac:dyDescent="0.2">
      <c r="A591" s="9">
        <v>588</v>
      </c>
      <c r="B591" s="178">
        <f t="shared" si="173"/>
        <v>80</v>
      </c>
      <c r="C591" s="178">
        <f t="shared" si="173"/>
        <v>80</v>
      </c>
      <c r="D591" s="2">
        <f>PARAM!$H$38</f>
        <v>1</v>
      </c>
      <c r="E591" s="11">
        <f>PARAM!$G$38</f>
        <v>0</v>
      </c>
      <c r="F591" s="11">
        <f>(VLOOKUP(C591,DEDN!$A$8:$O$902,$F$2)*D591+E591)/1000</f>
        <v>6.5159999999999996E-2</v>
      </c>
      <c r="G591" s="178">
        <f t="shared" si="174"/>
        <v>49</v>
      </c>
      <c r="H591" s="178">
        <f t="shared" si="174"/>
        <v>49</v>
      </c>
      <c r="I591" s="2">
        <f>PARAM!$H$39</f>
        <v>0</v>
      </c>
      <c r="J591" s="11">
        <f>PARAM!$G$39</f>
        <v>0</v>
      </c>
      <c r="K591" s="11">
        <f>(VLOOKUP(H591,DEDN!$A$8:$O$902,$K$2)*I591+J591)/1000</f>
        <v>0</v>
      </c>
      <c r="L591" s="11">
        <f>MIN(IF(PARAM!$B$43=3,CHOOSE($L$2,F591,K591),F591+K591-F591*K591),1)</f>
        <v>6.5159999999999996E-2</v>
      </c>
      <c r="M591" s="2">
        <f>PARAM!$I$38</f>
        <v>0</v>
      </c>
      <c r="N591" s="11">
        <f>VLOOKUP(B591,DEDN!$A$8:$O$90,$N$2)*M591</f>
        <v>0</v>
      </c>
      <c r="O591" s="12"/>
      <c r="P591" s="10">
        <f>PARAM!$C$53^-A591</f>
        <v>1</v>
      </c>
      <c r="Q591" s="10">
        <f t="shared" si="175"/>
        <v>0.51293766425932719</v>
      </c>
      <c r="R591" s="10">
        <f t="shared" si="171"/>
        <v>0.51293766425932719</v>
      </c>
      <c r="S591" s="10">
        <f>R591*(A591&lt;PARAM!$B$55)</f>
        <v>0</v>
      </c>
      <c r="T591" s="10">
        <f t="shared" si="172"/>
        <v>2.8720693018251531E-3</v>
      </c>
      <c r="U591" s="10">
        <f>T591*P591*(A591&lt;PARAM!$B$55)</f>
        <v>0</v>
      </c>
      <c r="W591">
        <v>588</v>
      </c>
      <c r="X591" s="178">
        <f t="shared" si="176"/>
        <v>80</v>
      </c>
      <c r="Y591" s="178">
        <f t="shared" si="176"/>
        <v>80</v>
      </c>
      <c r="Z591" s="178">
        <f t="shared" si="176"/>
        <v>49</v>
      </c>
      <c r="AA591" s="178">
        <f t="shared" si="176"/>
        <v>49</v>
      </c>
      <c r="AD591" s="17">
        <f>CALC!E615*(A591&lt;PARAM!$B$55)</f>
        <v>0</v>
      </c>
      <c r="AE591">
        <f>IF(A591&lt;ITER!$C$16,1,PARAM!$C$53^-(RATES!A591-ITER!$C$16))*(A591&lt;PARAM!$B$55)</f>
        <v>0</v>
      </c>
    </row>
    <row r="592" spans="1:31" x14ac:dyDescent="0.2">
      <c r="A592" s="9">
        <v>589</v>
      </c>
      <c r="B592" s="178">
        <f t="shared" si="173"/>
        <v>80</v>
      </c>
      <c r="C592" s="178">
        <f t="shared" si="173"/>
        <v>80</v>
      </c>
      <c r="D592" s="2">
        <f>PARAM!$H$38</f>
        <v>1</v>
      </c>
      <c r="E592" s="11">
        <f>PARAM!$G$38</f>
        <v>0</v>
      </c>
      <c r="F592" s="11">
        <f>(VLOOKUP(C592,DEDN!$A$8:$O$902,$F$2)*D592+E592)/1000</f>
        <v>6.5159999999999996E-2</v>
      </c>
      <c r="G592" s="178">
        <f t="shared" si="174"/>
        <v>49</v>
      </c>
      <c r="H592" s="178">
        <f t="shared" si="174"/>
        <v>49</v>
      </c>
      <c r="I592" s="2">
        <f>PARAM!$H$39</f>
        <v>0</v>
      </c>
      <c r="J592" s="11">
        <f>PARAM!$G$39</f>
        <v>0</v>
      </c>
      <c r="K592" s="11">
        <f>(VLOOKUP(H592,DEDN!$A$8:$O$902,$K$2)*I592+J592)/1000</f>
        <v>0</v>
      </c>
      <c r="L592" s="11">
        <f>MIN(IF(PARAM!$B$43=3,CHOOSE($L$2,F592,K592),F592+K592-F592*K592),1)</f>
        <v>6.5159999999999996E-2</v>
      </c>
      <c r="M592" s="2">
        <f>PARAM!$I$38</f>
        <v>0</v>
      </c>
      <c r="N592" s="11">
        <f>VLOOKUP(B592,DEDN!$A$8:$O$90,$N$2)*M592</f>
        <v>0</v>
      </c>
      <c r="O592" s="12"/>
      <c r="P592" s="10">
        <f>PARAM!$C$53^-A592</f>
        <v>1</v>
      </c>
      <c r="Q592" s="10">
        <f t="shared" si="175"/>
        <v>0.51006559495750203</v>
      </c>
      <c r="R592" s="10">
        <f t="shared" si="171"/>
        <v>0.51006559495750203</v>
      </c>
      <c r="S592" s="10">
        <f>CHOOSE(PARAM!$B$51,R592,0,0,0)*(A592&lt;PARAM!$B$55)</f>
        <v>0</v>
      </c>
      <c r="T592" s="10">
        <f t="shared" si="172"/>
        <v>2.8559878505118874E-3</v>
      </c>
      <c r="U592" s="10">
        <f>T592*P592*(A592&lt;PARAM!$B$55)</f>
        <v>0</v>
      </c>
      <c r="W592">
        <v>589</v>
      </c>
      <c r="X592" s="178">
        <f t="shared" si="176"/>
        <v>80</v>
      </c>
      <c r="Y592" s="178">
        <f t="shared" si="176"/>
        <v>80</v>
      </c>
      <c r="Z592" s="178">
        <f t="shared" si="176"/>
        <v>49</v>
      </c>
      <c r="AA592" s="178">
        <f t="shared" si="176"/>
        <v>49</v>
      </c>
      <c r="AD592" s="17">
        <f>CALC!E616*(A592&lt;PARAM!$B$55)</f>
        <v>0</v>
      </c>
      <c r="AE592">
        <f>IF(A592&lt;ITER!$C$16,1,PARAM!$C$53^-(RATES!A592-ITER!$C$16))*(A592&lt;PARAM!$B$55)</f>
        <v>0</v>
      </c>
    </row>
    <row r="593" spans="1:31" x14ac:dyDescent="0.2">
      <c r="A593" s="9">
        <v>590</v>
      </c>
      <c r="B593" s="178">
        <f t="shared" si="173"/>
        <v>80</v>
      </c>
      <c r="C593" s="178">
        <f t="shared" si="173"/>
        <v>80</v>
      </c>
      <c r="D593" s="2">
        <f>PARAM!$H$38</f>
        <v>1</v>
      </c>
      <c r="E593" s="11">
        <f>PARAM!$G$38</f>
        <v>0</v>
      </c>
      <c r="F593" s="11">
        <f>(VLOOKUP(C593,DEDN!$A$8:$O$902,$F$2)*D593+E593)/1000</f>
        <v>6.5159999999999996E-2</v>
      </c>
      <c r="G593" s="178">
        <f t="shared" si="174"/>
        <v>49</v>
      </c>
      <c r="H593" s="178">
        <f t="shared" si="174"/>
        <v>49</v>
      </c>
      <c r="I593" s="2">
        <f>PARAM!$H$39</f>
        <v>0</v>
      </c>
      <c r="J593" s="11">
        <f>PARAM!$G$39</f>
        <v>0</v>
      </c>
      <c r="K593" s="11">
        <f>(VLOOKUP(H593,DEDN!$A$8:$O$902,$K$2)*I593+J593)/1000</f>
        <v>0</v>
      </c>
      <c r="L593" s="11">
        <f>MIN(IF(PARAM!$B$43=3,CHOOSE($L$2,F593,K593),F593+K593-F593*K593),1)</f>
        <v>6.5159999999999996E-2</v>
      </c>
      <c r="M593" s="2">
        <f>PARAM!$I$38</f>
        <v>0</v>
      </c>
      <c r="N593" s="11">
        <f>VLOOKUP(B593,DEDN!$A$8:$O$90,$N$2)*M593</f>
        <v>0</v>
      </c>
      <c r="O593" s="12"/>
      <c r="P593" s="10">
        <f>PARAM!$C$53^-A593</f>
        <v>1</v>
      </c>
      <c r="Q593" s="10">
        <f t="shared" si="175"/>
        <v>0.50720960710699015</v>
      </c>
      <c r="R593" s="10">
        <f t="shared" si="171"/>
        <v>0.50720960710699015</v>
      </c>
      <c r="S593" s="10">
        <f>CHOOSE(PARAM!$B$51,R593,0,0,0)*(A593&lt;PARAM!$B$55)</f>
        <v>0</v>
      </c>
      <c r="T593" s="10">
        <f t="shared" si="172"/>
        <v>2.8399964433617475E-3</v>
      </c>
      <c r="U593" s="10">
        <f>T593*P593*(A593&lt;PARAM!$B$55)</f>
        <v>0</v>
      </c>
      <c r="W593">
        <v>590</v>
      </c>
      <c r="X593" s="178">
        <f t="shared" si="176"/>
        <v>80</v>
      </c>
      <c r="Y593" s="178">
        <f t="shared" si="176"/>
        <v>80</v>
      </c>
      <c r="Z593" s="178">
        <f t="shared" si="176"/>
        <v>49</v>
      </c>
      <c r="AA593" s="178">
        <f t="shared" si="176"/>
        <v>49</v>
      </c>
      <c r="AD593" s="17">
        <f>CALC!E617*(A593&lt;PARAM!$B$55)</f>
        <v>0</v>
      </c>
      <c r="AE593">
        <f>IF(A593&lt;ITER!$C$16,1,PARAM!$C$53^-(RATES!A593-ITER!$C$16))*(A593&lt;PARAM!$B$55)</f>
        <v>0</v>
      </c>
    </row>
    <row r="594" spans="1:31" x14ac:dyDescent="0.2">
      <c r="A594" s="9">
        <v>591</v>
      </c>
      <c r="B594" s="178">
        <f t="shared" si="173"/>
        <v>80</v>
      </c>
      <c r="C594" s="178">
        <f t="shared" si="173"/>
        <v>80</v>
      </c>
      <c r="D594" s="2">
        <f>PARAM!$H$38</f>
        <v>1</v>
      </c>
      <c r="E594" s="11">
        <f>PARAM!$G$38</f>
        <v>0</v>
      </c>
      <c r="F594" s="11">
        <f>(VLOOKUP(C594,DEDN!$A$8:$O$902,$F$2)*D594+E594)/1000</f>
        <v>6.5159999999999996E-2</v>
      </c>
      <c r="G594" s="178">
        <f t="shared" si="174"/>
        <v>49</v>
      </c>
      <c r="H594" s="178">
        <f t="shared" si="174"/>
        <v>49</v>
      </c>
      <c r="I594" s="2">
        <f>PARAM!$H$39</f>
        <v>0</v>
      </c>
      <c r="J594" s="11">
        <f>PARAM!$G$39</f>
        <v>0</v>
      </c>
      <c r="K594" s="11">
        <f>(VLOOKUP(H594,DEDN!$A$8:$O$902,$K$2)*I594+J594)/1000</f>
        <v>0</v>
      </c>
      <c r="L594" s="11">
        <f>MIN(IF(PARAM!$B$43=3,CHOOSE($L$2,F594,K594),F594+K594-F594*K594),1)</f>
        <v>6.5159999999999996E-2</v>
      </c>
      <c r="M594" s="2">
        <f>PARAM!$I$38</f>
        <v>0</v>
      </c>
      <c r="N594" s="11">
        <f>VLOOKUP(B594,DEDN!$A$8:$O$90,$N$2)*M594</f>
        <v>0</v>
      </c>
      <c r="O594" s="12"/>
      <c r="P594" s="10">
        <f>PARAM!$C$53^-A594</f>
        <v>1</v>
      </c>
      <c r="Q594" s="10">
        <f t="shared" si="175"/>
        <v>0.5043696106636284</v>
      </c>
      <c r="R594" s="10">
        <f t="shared" si="171"/>
        <v>0.5043696106636284</v>
      </c>
      <c r="S594" s="10">
        <f>CHOOSE(PARAM!$B$51,R594,R594,0,0)*(A594&lt;PARAM!$B$55)</f>
        <v>0</v>
      </c>
      <c r="T594" s="10">
        <f t="shared" si="172"/>
        <v>2.8240945761942582E-3</v>
      </c>
      <c r="U594" s="10">
        <f>T594*P594*(A594&lt;PARAM!$B$55)</f>
        <v>0</v>
      </c>
      <c r="W594">
        <v>591</v>
      </c>
      <c r="X594" s="178">
        <f t="shared" si="176"/>
        <v>80</v>
      </c>
      <c r="Y594" s="178">
        <f t="shared" si="176"/>
        <v>80</v>
      </c>
      <c r="Z594" s="178">
        <f t="shared" si="176"/>
        <v>49</v>
      </c>
      <c r="AA594" s="178">
        <f t="shared" si="176"/>
        <v>49</v>
      </c>
      <c r="AD594" s="17">
        <f>CALC!E618*(A594&lt;PARAM!$B$55)</f>
        <v>0</v>
      </c>
      <c r="AE594">
        <f>IF(A594&lt;ITER!$C$16,1,PARAM!$C$53^-(RATES!A594-ITER!$C$16))*(A594&lt;PARAM!$B$55)</f>
        <v>0</v>
      </c>
    </row>
    <row r="595" spans="1:31" x14ac:dyDescent="0.2">
      <c r="A595" s="9">
        <v>592</v>
      </c>
      <c r="B595" s="178">
        <f t="shared" si="173"/>
        <v>80</v>
      </c>
      <c r="C595" s="178">
        <f t="shared" si="173"/>
        <v>80</v>
      </c>
      <c r="D595" s="2">
        <f>PARAM!$H$38</f>
        <v>1</v>
      </c>
      <c r="E595" s="11">
        <f>PARAM!$G$38</f>
        <v>0</v>
      </c>
      <c r="F595" s="11">
        <f>(VLOOKUP(C595,DEDN!$A$8:$O$902,$F$2)*D595+E595)/1000</f>
        <v>6.5159999999999996E-2</v>
      </c>
      <c r="G595" s="178">
        <f t="shared" si="174"/>
        <v>49</v>
      </c>
      <c r="H595" s="178">
        <f t="shared" si="174"/>
        <v>49</v>
      </c>
      <c r="I595" s="2">
        <f>PARAM!$H$39</f>
        <v>0</v>
      </c>
      <c r="J595" s="11">
        <f>PARAM!$G$39</f>
        <v>0</v>
      </c>
      <c r="K595" s="11">
        <f>(VLOOKUP(H595,DEDN!$A$8:$O$902,$K$2)*I595+J595)/1000</f>
        <v>0</v>
      </c>
      <c r="L595" s="11">
        <f>MIN(IF(PARAM!$B$43=3,CHOOSE($L$2,F595,K595),F595+K595-F595*K595),1)</f>
        <v>6.5159999999999996E-2</v>
      </c>
      <c r="M595" s="2">
        <f>PARAM!$I$38</f>
        <v>0</v>
      </c>
      <c r="N595" s="11">
        <f>VLOOKUP(B595,DEDN!$A$8:$O$90,$N$2)*M595</f>
        <v>0</v>
      </c>
      <c r="O595" s="12"/>
      <c r="P595" s="10">
        <f>PARAM!$C$53^-A595</f>
        <v>1</v>
      </c>
      <c r="Q595" s="10">
        <f t="shared" si="175"/>
        <v>0.50154551608743414</v>
      </c>
      <c r="R595" s="10">
        <f t="shared" si="171"/>
        <v>0.50154551608743414</v>
      </c>
      <c r="S595" s="10">
        <f>CHOOSE(PARAM!$B$51,R595,0,0,0)*(A595&lt;PARAM!$B$55)</f>
        <v>0</v>
      </c>
      <c r="T595" s="10">
        <f t="shared" si="172"/>
        <v>2.8082817476520749E-3</v>
      </c>
      <c r="U595" s="10">
        <f>T595*P595*(A595&lt;PARAM!$B$55)</f>
        <v>0</v>
      </c>
      <c r="W595">
        <v>592</v>
      </c>
      <c r="X595" s="178">
        <f t="shared" si="176"/>
        <v>80</v>
      </c>
      <c r="Y595" s="178">
        <f t="shared" si="176"/>
        <v>80</v>
      </c>
      <c r="Z595" s="178">
        <f t="shared" si="176"/>
        <v>49</v>
      </c>
      <c r="AA595" s="178">
        <f t="shared" si="176"/>
        <v>49</v>
      </c>
      <c r="AD595" s="17">
        <f>CALC!E619*(A595&lt;PARAM!$B$55)</f>
        <v>0</v>
      </c>
      <c r="AE595">
        <f>IF(A595&lt;ITER!$C$16,1,PARAM!$C$53^-(RATES!A595-ITER!$C$16))*(A595&lt;PARAM!$B$55)</f>
        <v>0</v>
      </c>
    </row>
    <row r="596" spans="1:31" x14ac:dyDescent="0.2">
      <c r="A596" s="9">
        <v>593</v>
      </c>
      <c r="B596" s="178">
        <f t="shared" si="173"/>
        <v>80</v>
      </c>
      <c r="C596" s="178">
        <f t="shared" si="173"/>
        <v>80</v>
      </c>
      <c r="D596" s="2">
        <f>PARAM!$H$38</f>
        <v>1</v>
      </c>
      <c r="E596" s="11">
        <f>PARAM!$G$38</f>
        <v>0</v>
      </c>
      <c r="F596" s="11">
        <f>(VLOOKUP(C596,DEDN!$A$8:$O$902,$F$2)*D596+E596)/1000</f>
        <v>6.5159999999999996E-2</v>
      </c>
      <c r="G596" s="178">
        <f t="shared" si="174"/>
        <v>49</v>
      </c>
      <c r="H596" s="178">
        <f t="shared" si="174"/>
        <v>49</v>
      </c>
      <c r="I596" s="2">
        <f>PARAM!$H$39</f>
        <v>0</v>
      </c>
      <c r="J596" s="11">
        <f>PARAM!$G$39</f>
        <v>0</v>
      </c>
      <c r="K596" s="11">
        <f>(VLOOKUP(H596,DEDN!$A$8:$O$902,$K$2)*I596+J596)/1000</f>
        <v>0</v>
      </c>
      <c r="L596" s="11">
        <f>MIN(IF(PARAM!$B$43=3,CHOOSE($L$2,F596,K596),F596+K596-F596*K596),1)</f>
        <v>6.5159999999999996E-2</v>
      </c>
      <c r="M596" s="2">
        <f>PARAM!$I$38</f>
        <v>0</v>
      </c>
      <c r="N596" s="11">
        <f>VLOOKUP(B596,DEDN!$A$8:$O$90,$N$2)*M596</f>
        <v>0</v>
      </c>
      <c r="O596" s="12"/>
      <c r="P596" s="10">
        <f>PARAM!$C$53^-A596</f>
        <v>1</v>
      </c>
      <c r="Q596" s="10">
        <f t="shared" si="175"/>
        <v>0.49873723433978207</v>
      </c>
      <c r="R596" s="10">
        <f t="shared" ref="R596:R611" si="177">P596*Q596</f>
        <v>0.49873723433978207</v>
      </c>
      <c r="S596" s="10">
        <f>CHOOSE(PARAM!$B$51,R596,0,0,0)*(A596&lt;PARAM!$B$55)</f>
        <v>0</v>
      </c>
      <c r="T596" s="10">
        <f t="shared" si="172"/>
        <v>2.7925574591852742E-3</v>
      </c>
      <c r="U596" s="10">
        <f>T596*P596*(A596&lt;PARAM!$B$55)</f>
        <v>0</v>
      </c>
      <c r="W596">
        <v>593</v>
      </c>
      <c r="X596" s="178">
        <f t="shared" si="176"/>
        <v>80</v>
      </c>
      <c r="Y596" s="178">
        <f t="shared" si="176"/>
        <v>80</v>
      </c>
      <c r="Z596" s="178">
        <f t="shared" si="176"/>
        <v>49</v>
      </c>
      <c r="AA596" s="178">
        <f t="shared" si="176"/>
        <v>49</v>
      </c>
      <c r="AD596" s="17">
        <f>CALC!E620*(A596&lt;PARAM!$B$55)</f>
        <v>0</v>
      </c>
      <c r="AE596">
        <f>IF(A596&lt;ITER!$C$16,1,PARAM!$C$53^-(RATES!A596-ITER!$C$16))*(A596&lt;PARAM!$B$55)</f>
        <v>0</v>
      </c>
    </row>
    <row r="597" spans="1:31" x14ac:dyDescent="0.2">
      <c r="A597" s="9">
        <v>594</v>
      </c>
      <c r="B597" s="178">
        <f t="shared" si="173"/>
        <v>81</v>
      </c>
      <c r="C597" s="178">
        <f t="shared" si="173"/>
        <v>81</v>
      </c>
      <c r="D597" s="2">
        <f>PARAM!$H$38</f>
        <v>1</v>
      </c>
      <c r="E597" s="11">
        <f>PARAM!$G$38</f>
        <v>0</v>
      </c>
      <c r="F597" s="11">
        <f>(VLOOKUP(C597,DEDN!$A$8:$O$902,$F$2)*D597+E597)/1000</f>
        <v>7.1379999999999999E-2</v>
      </c>
      <c r="G597" s="178">
        <f t="shared" si="174"/>
        <v>50</v>
      </c>
      <c r="H597" s="178">
        <f t="shared" si="174"/>
        <v>50</v>
      </c>
      <c r="I597" s="2">
        <f>PARAM!$H$39</f>
        <v>0</v>
      </c>
      <c r="J597" s="11">
        <f>PARAM!$G$39</f>
        <v>0</v>
      </c>
      <c r="K597" s="11">
        <f>(VLOOKUP(H597,DEDN!$A$8:$O$902,$K$2)*I597+J597)/1000</f>
        <v>0</v>
      </c>
      <c r="L597" s="11">
        <f>MIN(IF(PARAM!$B$43=3,CHOOSE($L$2,F597,K597),F597+K597-F597*K597),1)</f>
        <v>7.1379999999999999E-2</v>
      </c>
      <c r="M597" s="2">
        <f>PARAM!$I$38</f>
        <v>0</v>
      </c>
      <c r="N597" s="11">
        <f>VLOOKUP(B597,DEDN!$A$8:$O$90,$N$2)*M597</f>
        <v>0</v>
      </c>
      <c r="O597" s="12"/>
      <c r="P597" s="10">
        <f>PARAM!$C$53^-A597</f>
        <v>1</v>
      </c>
      <c r="Q597" s="10">
        <f t="shared" ref="Q597:Q612" si="178">Q596*(1-L596)^(1/12)</f>
        <v>0.49594467688059679</v>
      </c>
      <c r="R597" s="10">
        <f t="shared" si="177"/>
        <v>0.49594467688059679</v>
      </c>
      <c r="S597" s="10">
        <f>CHOOSE(PARAM!$B$51,R597,R597,R597,0)*(A597&lt;PARAM!$B$55)</f>
        <v>0</v>
      </c>
      <c r="T597" s="10">
        <f t="shared" si="172"/>
        <v>3.0512014731366999E-3</v>
      </c>
      <c r="U597" s="10">
        <f>T597*P597*(A597&lt;PARAM!$B$55)</f>
        <v>0</v>
      </c>
      <c r="W597">
        <v>594</v>
      </c>
      <c r="X597" s="178">
        <f t="shared" si="176"/>
        <v>81</v>
      </c>
      <c r="Y597" s="178">
        <f t="shared" si="176"/>
        <v>81</v>
      </c>
      <c r="Z597" s="178">
        <f t="shared" si="176"/>
        <v>50</v>
      </c>
      <c r="AA597" s="178">
        <f t="shared" si="176"/>
        <v>50</v>
      </c>
      <c r="AD597" s="17">
        <f>CALC!E621*(A597&lt;PARAM!$B$55)</f>
        <v>0</v>
      </c>
      <c r="AE597">
        <f>IF(A597&lt;ITER!$C$16,1,PARAM!$C$53^-(RATES!A597-ITER!$C$16))*(A597&lt;PARAM!$B$55)</f>
        <v>0</v>
      </c>
    </row>
    <row r="598" spans="1:31" x14ac:dyDescent="0.2">
      <c r="A598" s="9">
        <v>595</v>
      </c>
      <c r="B598" s="178">
        <f t="shared" si="173"/>
        <v>81</v>
      </c>
      <c r="C598" s="178">
        <f t="shared" si="173"/>
        <v>81</v>
      </c>
      <c r="D598" s="2">
        <f>PARAM!$H$38</f>
        <v>1</v>
      </c>
      <c r="E598" s="11">
        <f>PARAM!$G$38</f>
        <v>0</v>
      </c>
      <c r="F598" s="11">
        <f>(VLOOKUP(C598,DEDN!$A$8:$O$902,$F$2)*D598+E598)/1000</f>
        <v>7.1379999999999999E-2</v>
      </c>
      <c r="G598" s="178">
        <f t="shared" si="174"/>
        <v>50</v>
      </c>
      <c r="H598" s="178">
        <f t="shared" si="174"/>
        <v>50</v>
      </c>
      <c r="I598" s="2">
        <f>PARAM!$H$39</f>
        <v>0</v>
      </c>
      <c r="J598" s="11">
        <f>PARAM!$G$39</f>
        <v>0</v>
      </c>
      <c r="K598" s="11">
        <f>(VLOOKUP(H598,DEDN!$A$8:$O$902,$K$2)*I598+J598)/1000</f>
        <v>0</v>
      </c>
      <c r="L598" s="11">
        <f>MIN(IF(PARAM!$B$43=3,CHOOSE($L$2,F598,K598),F598+K598-F598*K598),1)</f>
        <v>7.1379999999999999E-2</v>
      </c>
      <c r="M598" s="2">
        <f>PARAM!$I$38</f>
        <v>0</v>
      </c>
      <c r="N598" s="11">
        <f>VLOOKUP(B598,DEDN!$A$8:$O$90,$N$2)*M598</f>
        <v>0</v>
      </c>
      <c r="O598" s="12"/>
      <c r="P598" s="10">
        <f>PARAM!$C$53^-A598</f>
        <v>1</v>
      </c>
      <c r="Q598" s="10">
        <f t="shared" si="178"/>
        <v>0.49289347540746009</v>
      </c>
      <c r="R598" s="10">
        <f t="shared" si="177"/>
        <v>0.49289347540746009</v>
      </c>
      <c r="S598" s="10">
        <f>CHOOSE(PARAM!$B$51,R598,0,0,0)*(A598&lt;PARAM!$B$55)</f>
        <v>0</v>
      </c>
      <c r="T598" s="10">
        <f t="shared" si="172"/>
        <v>3.0324295599301609E-3</v>
      </c>
      <c r="U598" s="10">
        <f>T598*P598*(A598&lt;PARAM!$B$55)</f>
        <v>0</v>
      </c>
      <c r="W598">
        <v>595</v>
      </c>
      <c r="X598" s="178">
        <f t="shared" si="176"/>
        <v>81</v>
      </c>
      <c r="Y598" s="178">
        <f t="shared" si="176"/>
        <v>81</v>
      </c>
      <c r="Z598" s="178">
        <f t="shared" si="176"/>
        <v>50</v>
      </c>
      <c r="AA598" s="178">
        <f t="shared" si="176"/>
        <v>50</v>
      </c>
      <c r="AD598" s="17">
        <f>CALC!E622*(A598&lt;PARAM!$B$55)</f>
        <v>0</v>
      </c>
      <c r="AE598">
        <f>IF(A598&lt;ITER!$C$16,1,PARAM!$C$53^-(RATES!A598-ITER!$C$16))*(A598&lt;PARAM!$B$55)</f>
        <v>0</v>
      </c>
    </row>
    <row r="599" spans="1:31" x14ac:dyDescent="0.2">
      <c r="A599" s="9">
        <v>596</v>
      </c>
      <c r="B599" s="178">
        <f t="shared" si="173"/>
        <v>81</v>
      </c>
      <c r="C599" s="178">
        <f t="shared" si="173"/>
        <v>81</v>
      </c>
      <c r="D599" s="2">
        <f>PARAM!$H$38</f>
        <v>1</v>
      </c>
      <c r="E599" s="11">
        <f>PARAM!$G$38</f>
        <v>0</v>
      </c>
      <c r="F599" s="11">
        <f>(VLOOKUP(C599,DEDN!$A$8:$O$902,$F$2)*D599+E599)/1000</f>
        <v>7.1379999999999999E-2</v>
      </c>
      <c r="G599" s="178">
        <f t="shared" si="174"/>
        <v>50</v>
      </c>
      <c r="H599" s="178">
        <f t="shared" si="174"/>
        <v>50</v>
      </c>
      <c r="I599" s="2">
        <f>PARAM!$H$39</f>
        <v>0</v>
      </c>
      <c r="J599" s="11">
        <f>PARAM!$G$39</f>
        <v>0</v>
      </c>
      <c r="K599" s="11">
        <f>(VLOOKUP(H599,DEDN!$A$8:$O$902,$K$2)*I599+J599)/1000</f>
        <v>0</v>
      </c>
      <c r="L599" s="11">
        <f>MIN(IF(PARAM!$B$43=3,CHOOSE($L$2,F599,K599),F599+K599-F599*K599),1)</f>
        <v>7.1379999999999999E-2</v>
      </c>
      <c r="M599" s="2">
        <f>PARAM!$I$38</f>
        <v>0</v>
      </c>
      <c r="N599" s="11">
        <f>VLOOKUP(B599,DEDN!$A$8:$O$90,$N$2)*M599</f>
        <v>0</v>
      </c>
      <c r="O599" s="12"/>
      <c r="P599" s="10">
        <f>PARAM!$C$53^-A599</f>
        <v>1</v>
      </c>
      <c r="Q599" s="10">
        <f t="shared" si="178"/>
        <v>0.48986104584752993</v>
      </c>
      <c r="R599" s="10">
        <f t="shared" si="177"/>
        <v>0.48986104584752993</v>
      </c>
      <c r="S599" s="10">
        <f>CHOOSE(PARAM!$B$51,R599,0,0,0)*(A599&lt;PARAM!$B$55)</f>
        <v>0</v>
      </c>
      <c r="T599" s="10">
        <f t="shared" si="172"/>
        <v>3.0137731372044674E-3</v>
      </c>
      <c r="U599" s="10">
        <f>T599*P599*(A599&lt;PARAM!$B$55)</f>
        <v>0</v>
      </c>
      <c r="W599">
        <v>596</v>
      </c>
      <c r="X599" s="178">
        <f t="shared" si="176"/>
        <v>81</v>
      </c>
      <c r="Y599" s="178">
        <f t="shared" si="176"/>
        <v>81</v>
      </c>
      <c r="Z599" s="178">
        <f t="shared" si="176"/>
        <v>50</v>
      </c>
      <c r="AA599" s="178">
        <f t="shared" si="176"/>
        <v>50</v>
      </c>
      <c r="AD599" s="17">
        <f>CALC!E623*(A599&lt;PARAM!$B$55)</f>
        <v>0</v>
      </c>
      <c r="AE599">
        <f>IF(A599&lt;ITER!$C$16,1,PARAM!$C$53^-(RATES!A599-ITER!$C$16))*(A599&lt;PARAM!$B$55)</f>
        <v>0</v>
      </c>
    </row>
    <row r="600" spans="1:31" x14ac:dyDescent="0.2">
      <c r="A600" s="9">
        <v>597</v>
      </c>
      <c r="B600" s="178">
        <f t="shared" si="173"/>
        <v>81</v>
      </c>
      <c r="C600" s="178">
        <f t="shared" si="173"/>
        <v>81</v>
      </c>
      <c r="D600" s="2">
        <f>PARAM!$H$38</f>
        <v>1</v>
      </c>
      <c r="E600" s="11">
        <f>PARAM!$G$38</f>
        <v>0</v>
      </c>
      <c r="F600" s="11">
        <f>(VLOOKUP(C600,DEDN!$A$8:$O$902,$F$2)*D600+E600)/1000</f>
        <v>7.1379999999999999E-2</v>
      </c>
      <c r="G600" s="178">
        <f t="shared" si="174"/>
        <v>50</v>
      </c>
      <c r="H600" s="178">
        <f t="shared" si="174"/>
        <v>50</v>
      </c>
      <c r="I600" s="2">
        <f>PARAM!$H$39</f>
        <v>0</v>
      </c>
      <c r="J600" s="11">
        <f>PARAM!$G$39</f>
        <v>0</v>
      </c>
      <c r="K600" s="11">
        <f>(VLOOKUP(H600,DEDN!$A$8:$O$902,$K$2)*I600+J600)/1000</f>
        <v>0</v>
      </c>
      <c r="L600" s="11">
        <f>MIN(IF(PARAM!$B$43=3,CHOOSE($L$2,F600,K600),F600+K600-F600*K600),1)</f>
        <v>7.1379999999999999E-2</v>
      </c>
      <c r="M600" s="2">
        <f>PARAM!$I$38</f>
        <v>0</v>
      </c>
      <c r="N600" s="11">
        <f>VLOOKUP(B600,DEDN!$A$8:$O$90,$N$2)*M600</f>
        <v>0</v>
      </c>
      <c r="O600" s="12"/>
      <c r="P600" s="10">
        <f>PARAM!$C$53^-A600</f>
        <v>1</v>
      </c>
      <c r="Q600" s="10">
        <f t="shared" si="178"/>
        <v>0.48684727271032546</v>
      </c>
      <c r="R600" s="10">
        <f t="shared" si="177"/>
        <v>0.48684727271032546</v>
      </c>
      <c r="S600" s="10">
        <f>CHOOSE(PARAM!$B$51,R600,R600,0,0)*(A600&lt;PARAM!$B$55)</f>
        <v>0</v>
      </c>
      <c r="T600" s="10">
        <f t="shared" si="172"/>
        <v>2.9952314944273195E-3</v>
      </c>
      <c r="U600" s="10">
        <f>T600*P600*(A600&lt;PARAM!$B$55)</f>
        <v>0</v>
      </c>
      <c r="W600">
        <v>597</v>
      </c>
      <c r="X600" s="178">
        <f t="shared" si="176"/>
        <v>81</v>
      </c>
      <c r="Y600" s="178">
        <f t="shared" si="176"/>
        <v>81</v>
      </c>
      <c r="Z600" s="178">
        <f t="shared" si="176"/>
        <v>50</v>
      </c>
      <c r="AA600" s="178">
        <f t="shared" si="176"/>
        <v>50</v>
      </c>
      <c r="AD600" s="17">
        <f>CALC!E624*(A600&lt;PARAM!$B$55)</f>
        <v>0</v>
      </c>
      <c r="AE600">
        <f>IF(A600&lt;ITER!$C$16,1,PARAM!$C$53^-(RATES!A600-ITER!$C$16))*(A600&lt;PARAM!$B$55)</f>
        <v>0</v>
      </c>
    </row>
    <row r="601" spans="1:31" x14ac:dyDescent="0.2">
      <c r="A601" s="9">
        <v>598</v>
      </c>
      <c r="B601" s="178">
        <f t="shared" ref="B601:C620" si="179">B589+1</f>
        <v>81</v>
      </c>
      <c r="C601" s="178">
        <f t="shared" si="179"/>
        <v>81</v>
      </c>
      <c r="D601" s="2">
        <f>PARAM!$H$38</f>
        <v>1</v>
      </c>
      <c r="E601" s="11">
        <f>PARAM!$G$38</f>
        <v>0</v>
      </c>
      <c r="F601" s="11">
        <f>(VLOOKUP(C601,DEDN!$A$8:$O$902,$F$2)*D601+E601)/1000</f>
        <v>7.1379999999999999E-2</v>
      </c>
      <c r="G601" s="178">
        <f t="shared" ref="G601:H620" si="180">G589+1</f>
        <v>50</v>
      </c>
      <c r="H601" s="178">
        <f t="shared" si="180"/>
        <v>50</v>
      </c>
      <c r="I601" s="2">
        <f>PARAM!$H$39</f>
        <v>0</v>
      </c>
      <c r="J601" s="11">
        <f>PARAM!$G$39</f>
        <v>0</v>
      </c>
      <c r="K601" s="11">
        <f>(VLOOKUP(H601,DEDN!$A$8:$O$902,$K$2)*I601+J601)/1000</f>
        <v>0</v>
      </c>
      <c r="L601" s="11">
        <f>MIN(IF(PARAM!$B$43=3,CHOOSE($L$2,F601,K601),F601+K601-F601*K601),1)</f>
        <v>7.1379999999999999E-2</v>
      </c>
      <c r="M601" s="2">
        <f>PARAM!$I$38</f>
        <v>0</v>
      </c>
      <c r="N601" s="11">
        <f>VLOOKUP(B601,DEDN!$A$8:$O$90,$N$2)*M601</f>
        <v>0</v>
      </c>
      <c r="O601" s="12"/>
      <c r="P601" s="10">
        <f>PARAM!$C$53^-A601</f>
        <v>1</v>
      </c>
      <c r="Q601" s="10">
        <f t="shared" si="178"/>
        <v>0.48385204121589814</v>
      </c>
      <c r="R601" s="10">
        <f t="shared" si="177"/>
        <v>0.48385204121589814</v>
      </c>
      <c r="S601" s="10">
        <f>CHOOSE(PARAM!$B$51,R601,0,0,0)*(A601&lt;PARAM!$B$55)</f>
        <v>0</v>
      </c>
      <c r="T601" s="10">
        <f t="shared" si="172"/>
        <v>2.9768039254378098E-3</v>
      </c>
      <c r="U601" s="10">
        <f>T601*P601*(A601&lt;PARAM!$B$55)</f>
        <v>0</v>
      </c>
      <c r="W601">
        <v>598</v>
      </c>
      <c r="X601" s="178">
        <f t="shared" ref="X601:AA620" si="181">X589+1</f>
        <v>81</v>
      </c>
      <c r="Y601" s="178">
        <f t="shared" si="181"/>
        <v>81</v>
      </c>
      <c r="Z601" s="178">
        <f t="shared" si="181"/>
        <v>50</v>
      </c>
      <c r="AA601" s="178">
        <f t="shared" si="181"/>
        <v>50</v>
      </c>
      <c r="AD601" s="17">
        <f>CALC!E625*(A601&lt;PARAM!$B$55)</f>
        <v>0</v>
      </c>
      <c r="AE601">
        <f>IF(A601&lt;ITER!$C$16,1,PARAM!$C$53^-(RATES!A601-ITER!$C$16))*(A601&lt;PARAM!$B$55)</f>
        <v>0</v>
      </c>
    </row>
    <row r="602" spans="1:31" x14ac:dyDescent="0.2">
      <c r="A602" s="9">
        <v>599</v>
      </c>
      <c r="B602" s="178">
        <f t="shared" si="179"/>
        <v>81</v>
      </c>
      <c r="C602" s="178">
        <f t="shared" si="179"/>
        <v>81</v>
      </c>
      <c r="D602" s="2">
        <f>PARAM!$H$38</f>
        <v>1</v>
      </c>
      <c r="E602" s="11">
        <f>PARAM!$G$38</f>
        <v>0</v>
      </c>
      <c r="F602" s="11">
        <f>(VLOOKUP(C602,DEDN!$A$8:$O$902,$F$2)*D602+E602)/1000</f>
        <v>7.1379999999999999E-2</v>
      </c>
      <c r="G602" s="178">
        <f t="shared" si="180"/>
        <v>50</v>
      </c>
      <c r="H602" s="178">
        <f t="shared" si="180"/>
        <v>50</v>
      </c>
      <c r="I602" s="2">
        <f>PARAM!$H$39</f>
        <v>0</v>
      </c>
      <c r="J602" s="11">
        <f>PARAM!$G$39</f>
        <v>0</v>
      </c>
      <c r="K602" s="11">
        <f>(VLOOKUP(H602,DEDN!$A$8:$O$902,$K$2)*I602+J602)/1000</f>
        <v>0</v>
      </c>
      <c r="L602" s="11">
        <f>MIN(IF(PARAM!$B$43=3,CHOOSE($L$2,F602,K602),F602+K602-F602*K602),1)</f>
        <v>7.1379999999999999E-2</v>
      </c>
      <c r="M602" s="2">
        <f>PARAM!$I$38</f>
        <v>0</v>
      </c>
      <c r="N602" s="11">
        <f>VLOOKUP(B602,DEDN!$A$8:$O$90,$N$2)*M602</f>
        <v>0</v>
      </c>
      <c r="O602" s="12"/>
      <c r="P602" s="10">
        <f>PARAM!$C$53^-A602</f>
        <v>1</v>
      </c>
      <c r="Q602" s="10">
        <f t="shared" si="178"/>
        <v>0.48087523729046033</v>
      </c>
      <c r="R602" s="10">
        <f t="shared" si="177"/>
        <v>0.48087523729046033</v>
      </c>
      <c r="S602" s="10">
        <f>CHOOSE(PARAM!$B$51,R602,0,0,0)*(A602&lt;PARAM!$B$55)</f>
        <v>0</v>
      </c>
      <c r="T602" s="10">
        <f t="shared" si="172"/>
        <v>2.958489728419611E-3</v>
      </c>
      <c r="U602" s="10">
        <f>T602*P602*(A602&lt;PARAM!$B$55)</f>
        <v>0</v>
      </c>
      <c r="W602">
        <v>599</v>
      </c>
      <c r="X602" s="178">
        <f t="shared" si="181"/>
        <v>81</v>
      </c>
      <c r="Y602" s="178">
        <f t="shared" si="181"/>
        <v>81</v>
      </c>
      <c r="Z602" s="178">
        <f t="shared" si="181"/>
        <v>50</v>
      </c>
      <c r="AA602" s="178">
        <f t="shared" si="181"/>
        <v>50</v>
      </c>
      <c r="AD602" s="17">
        <f>CALC!E626*(A602&lt;PARAM!$B$55)</f>
        <v>0</v>
      </c>
      <c r="AE602">
        <f>IF(A602&lt;ITER!$C$16,1,PARAM!$C$53^-(RATES!A602-ITER!$C$16))*(A602&lt;PARAM!$B$55)</f>
        <v>0</v>
      </c>
    </row>
    <row r="603" spans="1:31" x14ac:dyDescent="0.2">
      <c r="A603" s="9">
        <v>600</v>
      </c>
      <c r="B603" s="178">
        <f t="shared" si="179"/>
        <v>81</v>
      </c>
      <c r="C603" s="178">
        <f t="shared" si="179"/>
        <v>81</v>
      </c>
      <c r="D603" s="2">
        <f>PARAM!$H$38</f>
        <v>1</v>
      </c>
      <c r="E603" s="11">
        <f>PARAM!$G$38</f>
        <v>0</v>
      </c>
      <c r="F603" s="11">
        <f>(VLOOKUP(C603,DEDN!$A$8:$O$902,$F$2)*D603+E603)/1000</f>
        <v>7.1379999999999999E-2</v>
      </c>
      <c r="G603" s="178">
        <f t="shared" si="180"/>
        <v>50</v>
      </c>
      <c r="H603" s="178">
        <f t="shared" si="180"/>
        <v>50</v>
      </c>
      <c r="I603" s="2">
        <f>PARAM!$H$39</f>
        <v>0</v>
      </c>
      <c r="J603" s="11">
        <f>PARAM!$G$39</f>
        <v>0</v>
      </c>
      <c r="K603" s="11">
        <f>(VLOOKUP(H603,DEDN!$A$8:$O$902,$K$2)*I603+J603)/1000</f>
        <v>0</v>
      </c>
      <c r="L603" s="11">
        <f>MIN(IF(PARAM!$B$43=3,CHOOSE($L$2,F603,K603),F603+K603-F603*K603),1)</f>
        <v>7.1379999999999999E-2</v>
      </c>
      <c r="M603" s="2">
        <f>PARAM!$I$38</f>
        <v>0</v>
      </c>
      <c r="N603" s="11">
        <f>VLOOKUP(B603,DEDN!$A$8:$O$90,$N$2)*M603</f>
        <v>0</v>
      </c>
      <c r="O603" s="12"/>
      <c r="P603" s="10">
        <f>PARAM!$C$53^-A603</f>
        <v>1</v>
      </c>
      <c r="Q603" s="10">
        <f t="shared" si="178"/>
        <v>0.47791674756204072</v>
      </c>
      <c r="R603" s="10">
        <f t="shared" si="177"/>
        <v>0.47791674756204072</v>
      </c>
      <c r="S603" s="10">
        <f>R603*(A603&lt;PARAM!$B$55)</f>
        <v>0</v>
      </c>
      <c r="T603" s="10">
        <f t="shared" si="172"/>
        <v>2.9402882058739976E-3</v>
      </c>
      <c r="U603" s="10">
        <f>T603*P603*(A603&lt;PARAM!$B$55)</f>
        <v>0</v>
      </c>
      <c r="W603">
        <v>600</v>
      </c>
      <c r="X603" s="178">
        <f t="shared" si="181"/>
        <v>81</v>
      </c>
      <c r="Y603" s="178">
        <f t="shared" si="181"/>
        <v>81</v>
      </c>
      <c r="Z603" s="178">
        <f t="shared" si="181"/>
        <v>50</v>
      </c>
      <c r="AA603" s="178">
        <f t="shared" si="181"/>
        <v>50</v>
      </c>
      <c r="AD603" s="17">
        <f>CALC!E627*(A603&lt;PARAM!$B$55)</f>
        <v>0</v>
      </c>
      <c r="AE603">
        <f>IF(A603&lt;ITER!$C$16,1,PARAM!$C$53^-(RATES!A603-ITER!$C$16))*(A603&lt;PARAM!$B$55)</f>
        <v>0</v>
      </c>
    </row>
    <row r="604" spans="1:31" x14ac:dyDescent="0.2">
      <c r="A604" s="9">
        <v>601</v>
      </c>
      <c r="B604" s="178">
        <f t="shared" si="179"/>
        <v>81</v>
      </c>
      <c r="C604" s="178">
        <f t="shared" si="179"/>
        <v>81</v>
      </c>
      <c r="D604" s="2">
        <f>PARAM!$H$38</f>
        <v>1</v>
      </c>
      <c r="E604" s="11">
        <f>PARAM!$G$38</f>
        <v>0</v>
      </c>
      <c r="F604" s="11">
        <f>(VLOOKUP(C604,DEDN!$A$8:$O$902,$F$2)*D604+E604)/1000</f>
        <v>7.1379999999999999E-2</v>
      </c>
      <c r="G604" s="178">
        <f t="shared" si="180"/>
        <v>50</v>
      </c>
      <c r="H604" s="178">
        <f t="shared" si="180"/>
        <v>50</v>
      </c>
      <c r="I604" s="2">
        <f>PARAM!$H$39</f>
        <v>0</v>
      </c>
      <c r="J604" s="11">
        <f>PARAM!$G$39</f>
        <v>0</v>
      </c>
      <c r="K604" s="11">
        <f>(VLOOKUP(H604,DEDN!$A$8:$O$902,$K$2)*I604+J604)/1000</f>
        <v>0</v>
      </c>
      <c r="L604" s="11">
        <f>MIN(IF(PARAM!$B$43=3,CHOOSE($L$2,F604,K604),F604+K604-F604*K604),1)</f>
        <v>7.1379999999999999E-2</v>
      </c>
      <c r="M604" s="2">
        <f>PARAM!$I$38</f>
        <v>0</v>
      </c>
      <c r="N604" s="11">
        <f>VLOOKUP(B604,DEDN!$A$8:$O$90,$N$2)*M604</f>
        <v>0</v>
      </c>
      <c r="O604" s="12"/>
      <c r="P604" s="10">
        <f>PARAM!$C$53^-A604</f>
        <v>1</v>
      </c>
      <c r="Q604" s="10">
        <f t="shared" si="178"/>
        <v>0.47497645935616672</v>
      </c>
      <c r="R604" s="10">
        <f t="shared" si="177"/>
        <v>0.47497645935616672</v>
      </c>
      <c r="S604" s="10">
        <f>CHOOSE(PARAM!$B$51,R604,0,0,0)*(A604&lt;PARAM!$B$55)</f>
        <v>0</v>
      </c>
      <c r="T604" s="10">
        <f t="shared" si="172"/>
        <v>2.9221986645936449E-3</v>
      </c>
      <c r="U604" s="10">
        <f>T604*P604*(A604&lt;PARAM!$B$55)</f>
        <v>0</v>
      </c>
      <c r="W604">
        <v>601</v>
      </c>
      <c r="X604" s="178">
        <f t="shared" si="181"/>
        <v>81</v>
      </c>
      <c r="Y604" s="178">
        <f t="shared" si="181"/>
        <v>81</v>
      </c>
      <c r="Z604" s="178">
        <f t="shared" si="181"/>
        <v>50</v>
      </c>
      <c r="AA604" s="178">
        <f t="shared" si="181"/>
        <v>50</v>
      </c>
      <c r="AD604" s="17">
        <f>CALC!E628*(A604&lt;PARAM!$B$55)</f>
        <v>0</v>
      </c>
      <c r="AE604">
        <f>IF(A604&lt;ITER!$C$16,1,PARAM!$C$53^-(RATES!A604-ITER!$C$16))*(A604&lt;PARAM!$B$55)</f>
        <v>0</v>
      </c>
    </row>
    <row r="605" spans="1:31" x14ac:dyDescent="0.2">
      <c r="A605" s="9">
        <v>602</v>
      </c>
      <c r="B605" s="178">
        <f t="shared" si="179"/>
        <v>81</v>
      </c>
      <c r="C605" s="178">
        <f t="shared" si="179"/>
        <v>81</v>
      </c>
      <c r="D605" s="2">
        <f>PARAM!$H$38</f>
        <v>1</v>
      </c>
      <c r="E605" s="11">
        <f>PARAM!$G$38</f>
        <v>0</v>
      </c>
      <c r="F605" s="11">
        <f>(VLOOKUP(C605,DEDN!$A$8:$O$902,$F$2)*D605+E605)/1000</f>
        <v>7.1379999999999999E-2</v>
      </c>
      <c r="G605" s="178">
        <f t="shared" si="180"/>
        <v>50</v>
      </c>
      <c r="H605" s="178">
        <f t="shared" si="180"/>
        <v>50</v>
      </c>
      <c r="I605" s="2">
        <f>PARAM!$H$39</f>
        <v>0</v>
      </c>
      <c r="J605" s="11">
        <f>PARAM!$G$39</f>
        <v>0</v>
      </c>
      <c r="K605" s="11">
        <f>(VLOOKUP(H605,DEDN!$A$8:$O$902,$K$2)*I605+J605)/1000</f>
        <v>0</v>
      </c>
      <c r="L605" s="11">
        <f>MIN(IF(PARAM!$B$43=3,CHOOSE($L$2,F605,K605),F605+K605-F605*K605),1)</f>
        <v>7.1379999999999999E-2</v>
      </c>
      <c r="M605" s="2">
        <f>PARAM!$I$38</f>
        <v>0</v>
      </c>
      <c r="N605" s="11">
        <f>VLOOKUP(B605,DEDN!$A$8:$O$90,$N$2)*M605</f>
        <v>0</v>
      </c>
      <c r="O605" s="12"/>
      <c r="P605" s="10">
        <f>PARAM!$C$53^-A605</f>
        <v>1</v>
      </c>
      <c r="Q605" s="10">
        <f t="shared" si="178"/>
        <v>0.47205426069157308</v>
      </c>
      <c r="R605" s="10">
        <f t="shared" si="177"/>
        <v>0.47205426069157308</v>
      </c>
      <c r="S605" s="10">
        <f>CHOOSE(PARAM!$B$51,R605,0,0,0)*(A605&lt;PARAM!$B$55)</f>
        <v>0</v>
      </c>
      <c r="T605" s="10">
        <f t="shared" si="172"/>
        <v>2.9042204156359275E-3</v>
      </c>
      <c r="U605" s="10">
        <f>T605*P605*(A605&lt;PARAM!$B$55)</f>
        <v>0</v>
      </c>
      <c r="W605">
        <v>602</v>
      </c>
      <c r="X605" s="178">
        <f t="shared" si="181"/>
        <v>81</v>
      </c>
      <c r="Y605" s="178">
        <f t="shared" si="181"/>
        <v>81</v>
      </c>
      <c r="Z605" s="178">
        <f t="shared" si="181"/>
        <v>50</v>
      </c>
      <c r="AA605" s="178">
        <f t="shared" si="181"/>
        <v>50</v>
      </c>
      <c r="AD605" s="17">
        <f>CALC!E629*(A605&lt;PARAM!$B$55)</f>
        <v>0</v>
      </c>
      <c r="AE605">
        <f>IF(A605&lt;ITER!$C$16,1,PARAM!$C$53^-(RATES!A605-ITER!$C$16))*(A605&lt;PARAM!$B$55)</f>
        <v>0</v>
      </c>
    </row>
    <row r="606" spans="1:31" x14ac:dyDescent="0.2">
      <c r="A606" s="9">
        <v>603</v>
      </c>
      <c r="B606" s="178">
        <f t="shared" si="179"/>
        <v>81</v>
      </c>
      <c r="C606" s="178">
        <f t="shared" si="179"/>
        <v>81</v>
      </c>
      <c r="D606" s="2">
        <f>PARAM!$H$38</f>
        <v>1</v>
      </c>
      <c r="E606" s="11">
        <f>PARAM!$G$38</f>
        <v>0</v>
      </c>
      <c r="F606" s="11">
        <f>(VLOOKUP(C606,DEDN!$A$8:$O$902,$F$2)*D606+E606)/1000</f>
        <v>7.1379999999999999E-2</v>
      </c>
      <c r="G606" s="178">
        <f t="shared" si="180"/>
        <v>50</v>
      </c>
      <c r="H606" s="178">
        <f t="shared" si="180"/>
        <v>50</v>
      </c>
      <c r="I606" s="2">
        <f>PARAM!$H$39</f>
        <v>0</v>
      </c>
      <c r="J606" s="11">
        <f>PARAM!$G$39</f>
        <v>0</v>
      </c>
      <c r="K606" s="11">
        <f>(VLOOKUP(H606,DEDN!$A$8:$O$902,$K$2)*I606+J606)/1000</f>
        <v>0</v>
      </c>
      <c r="L606" s="11">
        <f>MIN(IF(PARAM!$B$43=3,CHOOSE($L$2,F606,K606),F606+K606-F606*K606),1)</f>
        <v>7.1379999999999999E-2</v>
      </c>
      <c r="M606" s="2">
        <f>PARAM!$I$38</f>
        <v>0</v>
      </c>
      <c r="N606" s="11">
        <f>VLOOKUP(B606,DEDN!$A$8:$O$90,$N$2)*M606</f>
        <v>0</v>
      </c>
      <c r="O606" s="12"/>
      <c r="P606" s="10">
        <f>PARAM!$C$53^-A606</f>
        <v>1</v>
      </c>
      <c r="Q606" s="10">
        <f t="shared" si="178"/>
        <v>0.46915004027593715</v>
      </c>
      <c r="R606" s="10">
        <f t="shared" si="177"/>
        <v>0.46915004027593715</v>
      </c>
      <c r="S606" s="10">
        <f>CHOOSE(PARAM!$B$51,R606,R606,0,0)*(A606&lt;PARAM!$B$55)</f>
        <v>0</v>
      </c>
      <c r="T606" s="10">
        <f t="shared" si="172"/>
        <v>2.8863527742968853E-3</v>
      </c>
      <c r="U606" s="10">
        <f>T606*P606*(A606&lt;PARAM!$B$55)</f>
        <v>0</v>
      </c>
      <c r="W606">
        <v>603</v>
      </c>
      <c r="X606" s="178">
        <f t="shared" si="181"/>
        <v>81</v>
      </c>
      <c r="Y606" s="178">
        <f t="shared" si="181"/>
        <v>81</v>
      </c>
      <c r="Z606" s="178">
        <f t="shared" si="181"/>
        <v>50</v>
      </c>
      <c r="AA606" s="178">
        <f t="shared" si="181"/>
        <v>50</v>
      </c>
      <c r="AD606" s="17">
        <f>CALC!E630*(A606&lt;PARAM!$B$55)</f>
        <v>0</v>
      </c>
      <c r="AE606">
        <f>IF(A606&lt;ITER!$C$16,1,PARAM!$C$53^-(RATES!A606-ITER!$C$16))*(A606&lt;PARAM!$B$55)</f>
        <v>0</v>
      </c>
    </row>
    <row r="607" spans="1:31" x14ac:dyDescent="0.2">
      <c r="A607" s="9">
        <v>604</v>
      </c>
      <c r="B607" s="178">
        <f t="shared" si="179"/>
        <v>81</v>
      </c>
      <c r="C607" s="178">
        <f t="shared" si="179"/>
        <v>81</v>
      </c>
      <c r="D607" s="2">
        <f>PARAM!$H$38</f>
        <v>1</v>
      </c>
      <c r="E607" s="11">
        <f>PARAM!$G$38</f>
        <v>0</v>
      </c>
      <c r="F607" s="11">
        <f>(VLOOKUP(C607,DEDN!$A$8:$O$902,$F$2)*D607+E607)/1000</f>
        <v>7.1379999999999999E-2</v>
      </c>
      <c r="G607" s="178">
        <f t="shared" si="180"/>
        <v>50</v>
      </c>
      <c r="H607" s="178">
        <f t="shared" si="180"/>
        <v>50</v>
      </c>
      <c r="I607" s="2">
        <f>PARAM!$H$39</f>
        <v>0</v>
      </c>
      <c r="J607" s="11">
        <f>PARAM!$G$39</f>
        <v>0</v>
      </c>
      <c r="K607" s="11">
        <f>(VLOOKUP(H607,DEDN!$A$8:$O$902,$K$2)*I607+J607)/1000</f>
        <v>0</v>
      </c>
      <c r="L607" s="11">
        <f>MIN(IF(PARAM!$B$43=3,CHOOSE($L$2,F607,K607),F607+K607-F607*K607),1)</f>
        <v>7.1379999999999999E-2</v>
      </c>
      <c r="M607" s="2">
        <f>PARAM!$I$38</f>
        <v>0</v>
      </c>
      <c r="N607" s="11">
        <f>VLOOKUP(B607,DEDN!$A$8:$O$90,$N$2)*M607</f>
        <v>0</v>
      </c>
      <c r="O607" s="12"/>
      <c r="P607" s="10">
        <f>PARAM!$C$53^-A607</f>
        <v>1</v>
      </c>
      <c r="Q607" s="10">
        <f t="shared" si="178"/>
        <v>0.46626368750164027</v>
      </c>
      <c r="R607" s="10">
        <f t="shared" si="177"/>
        <v>0.46626368750164027</v>
      </c>
      <c r="S607" s="10">
        <f>CHOOSE(PARAM!$B$51,R607,0,0,0)*(A607&lt;PARAM!$B$55)</f>
        <v>0</v>
      </c>
      <c r="T607" s="10">
        <f t="shared" si="172"/>
        <v>2.8685950600850774E-3</v>
      </c>
      <c r="U607" s="10">
        <f>T607*P607*(A607&lt;PARAM!$B$55)</f>
        <v>0</v>
      </c>
      <c r="W607">
        <v>604</v>
      </c>
      <c r="X607" s="178">
        <f t="shared" si="181"/>
        <v>81</v>
      </c>
      <c r="Y607" s="178">
        <f t="shared" si="181"/>
        <v>81</v>
      </c>
      <c r="Z607" s="178">
        <f t="shared" si="181"/>
        <v>50</v>
      </c>
      <c r="AA607" s="178">
        <f t="shared" si="181"/>
        <v>50</v>
      </c>
      <c r="AD607" s="17">
        <f>CALC!E631*(A607&lt;PARAM!$B$55)</f>
        <v>0</v>
      </c>
      <c r="AE607">
        <f>IF(A607&lt;ITER!$C$16,1,PARAM!$C$53^-(RATES!A607-ITER!$C$16))*(A607&lt;PARAM!$B$55)</f>
        <v>0</v>
      </c>
    </row>
    <row r="608" spans="1:31" x14ac:dyDescent="0.2">
      <c r="A608" s="9">
        <v>605</v>
      </c>
      <c r="B608" s="178">
        <f t="shared" si="179"/>
        <v>81</v>
      </c>
      <c r="C608" s="178">
        <f t="shared" si="179"/>
        <v>81</v>
      </c>
      <c r="D608" s="2">
        <f>PARAM!$H$38</f>
        <v>1</v>
      </c>
      <c r="E608" s="11">
        <f>PARAM!$G$38</f>
        <v>0</v>
      </c>
      <c r="F608" s="11">
        <f>(VLOOKUP(C608,DEDN!$A$8:$O$902,$F$2)*D608+E608)/1000</f>
        <v>7.1379999999999999E-2</v>
      </c>
      <c r="G608" s="178">
        <f t="shared" si="180"/>
        <v>50</v>
      </c>
      <c r="H608" s="178">
        <f t="shared" si="180"/>
        <v>50</v>
      </c>
      <c r="I608" s="2">
        <f>PARAM!$H$39</f>
        <v>0</v>
      </c>
      <c r="J608" s="11">
        <f>PARAM!$G$39</f>
        <v>0</v>
      </c>
      <c r="K608" s="11">
        <f>(VLOOKUP(H608,DEDN!$A$8:$O$902,$K$2)*I608+J608)/1000</f>
        <v>0</v>
      </c>
      <c r="L608" s="11">
        <f>MIN(IF(PARAM!$B$43=3,CHOOSE($L$2,F608,K608),F608+K608-F608*K608),1)</f>
        <v>7.1379999999999999E-2</v>
      </c>
      <c r="M608" s="2">
        <f>PARAM!$I$38</f>
        <v>0</v>
      </c>
      <c r="N608" s="11">
        <f>VLOOKUP(B608,DEDN!$A$8:$O$90,$N$2)*M608</f>
        <v>0</v>
      </c>
      <c r="O608" s="12"/>
      <c r="P608" s="10">
        <f>PARAM!$C$53^-A608</f>
        <v>1</v>
      </c>
      <c r="Q608" s="10">
        <f t="shared" si="178"/>
        <v>0.46339509244155519</v>
      </c>
      <c r="R608" s="10">
        <f t="shared" si="177"/>
        <v>0.46339509244155519</v>
      </c>
      <c r="S608" s="10">
        <f>CHOOSE(PARAM!$B$51,R608,0,0,0)*(A608&lt;PARAM!$B$55)</f>
        <v>0</v>
      </c>
      <c r="T608" s="10">
        <f t="shared" si="172"/>
        <v>2.8509465966955472E-3</v>
      </c>
      <c r="U608" s="10">
        <f>T608*P608*(A608&lt;PARAM!$B$55)</f>
        <v>0</v>
      </c>
      <c r="W608">
        <v>605</v>
      </c>
      <c r="X608" s="178">
        <f t="shared" si="181"/>
        <v>81</v>
      </c>
      <c r="Y608" s="178">
        <f t="shared" si="181"/>
        <v>81</v>
      </c>
      <c r="Z608" s="178">
        <f t="shared" si="181"/>
        <v>50</v>
      </c>
      <c r="AA608" s="178">
        <f t="shared" si="181"/>
        <v>50</v>
      </c>
      <c r="AD608" s="17">
        <f>CALC!E632*(A608&lt;PARAM!$B$55)</f>
        <v>0</v>
      </c>
      <c r="AE608">
        <f>IF(A608&lt;ITER!$C$16,1,PARAM!$C$53^-(RATES!A608-ITER!$C$16))*(A608&lt;PARAM!$B$55)</f>
        <v>0</v>
      </c>
    </row>
    <row r="609" spans="1:31" x14ac:dyDescent="0.2">
      <c r="A609" s="9">
        <v>606</v>
      </c>
      <c r="B609" s="178">
        <f t="shared" si="179"/>
        <v>82</v>
      </c>
      <c r="C609" s="178">
        <f t="shared" si="179"/>
        <v>82</v>
      </c>
      <c r="D609" s="2">
        <f>PARAM!$H$38</f>
        <v>1</v>
      </c>
      <c r="E609" s="11">
        <f>PARAM!$G$38</f>
        <v>0</v>
      </c>
      <c r="F609" s="11">
        <f>(VLOOKUP(C609,DEDN!$A$8:$O$902,$F$2)*D609+E609)/1000</f>
        <v>7.8090000000000007E-2</v>
      </c>
      <c r="G609" s="178">
        <f t="shared" si="180"/>
        <v>51</v>
      </c>
      <c r="H609" s="178">
        <f t="shared" si="180"/>
        <v>51</v>
      </c>
      <c r="I609" s="2">
        <f>PARAM!$H$39</f>
        <v>0</v>
      </c>
      <c r="J609" s="11">
        <f>PARAM!$G$39</f>
        <v>0</v>
      </c>
      <c r="K609" s="11">
        <f>(VLOOKUP(H609,DEDN!$A$8:$O$902,$K$2)*I609+J609)/1000</f>
        <v>0</v>
      </c>
      <c r="L609" s="11">
        <f>MIN(IF(PARAM!$B$43=3,CHOOSE($L$2,F609,K609),F609+K609-F609*K609),1)</f>
        <v>7.8090000000000007E-2</v>
      </c>
      <c r="M609" s="2">
        <f>PARAM!$I$38</f>
        <v>0</v>
      </c>
      <c r="N609" s="11">
        <f>VLOOKUP(B609,DEDN!$A$8:$O$90,$N$2)*M609</f>
        <v>0</v>
      </c>
      <c r="O609" s="12"/>
      <c r="P609" s="10">
        <f>PARAM!$C$53^-A609</f>
        <v>1</v>
      </c>
      <c r="Q609" s="10">
        <f t="shared" si="178"/>
        <v>0.46054414584485964</v>
      </c>
      <c r="R609" s="10">
        <f t="shared" si="177"/>
        <v>0.46054414584485964</v>
      </c>
      <c r="S609" s="10">
        <f>CHOOSE(PARAM!$B$51,R609,R609,R609,0)*(A609&lt;PARAM!$B$55)</f>
        <v>0</v>
      </c>
      <c r="T609" s="10">
        <f t="shared" si="172"/>
        <v>3.109933317462843E-3</v>
      </c>
      <c r="U609" s="10">
        <f>T609*P609*(A609&lt;PARAM!$B$55)</f>
        <v>0</v>
      </c>
      <c r="W609">
        <v>606</v>
      </c>
      <c r="X609" s="178">
        <f t="shared" si="181"/>
        <v>82</v>
      </c>
      <c r="Y609" s="178">
        <f t="shared" si="181"/>
        <v>82</v>
      </c>
      <c r="Z609" s="178">
        <f t="shared" si="181"/>
        <v>51</v>
      </c>
      <c r="AA609" s="178">
        <f t="shared" si="181"/>
        <v>51</v>
      </c>
      <c r="AD609" s="17">
        <f>CALC!E633*(A609&lt;PARAM!$B$55)</f>
        <v>0</v>
      </c>
      <c r="AE609">
        <f>IF(A609&lt;ITER!$C$16,1,PARAM!$C$53^-(RATES!A609-ITER!$C$16))*(A609&lt;PARAM!$B$55)</f>
        <v>0</v>
      </c>
    </row>
    <row r="610" spans="1:31" x14ac:dyDescent="0.2">
      <c r="A610" s="9">
        <v>607</v>
      </c>
      <c r="B610" s="178">
        <f t="shared" si="179"/>
        <v>82</v>
      </c>
      <c r="C610" s="178">
        <f t="shared" si="179"/>
        <v>82</v>
      </c>
      <c r="D610" s="2">
        <f>PARAM!$H$38</f>
        <v>1</v>
      </c>
      <c r="E610" s="11">
        <f>PARAM!$G$38</f>
        <v>0</v>
      </c>
      <c r="F610" s="11">
        <f>(VLOOKUP(C610,DEDN!$A$8:$O$902,$F$2)*D610+E610)/1000</f>
        <v>7.8090000000000007E-2</v>
      </c>
      <c r="G610" s="178">
        <f t="shared" si="180"/>
        <v>51</v>
      </c>
      <c r="H610" s="178">
        <f t="shared" si="180"/>
        <v>51</v>
      </c>
      <c r="I610" s="2">
        <f>PARAM!$H$39</f>
        <v>0</v>
      </c>
      <c r="J610" s="11">
        <f>PARAM!$G$39</f>
        <v>0</v>
      </c>
      <c r="K610" s="11">
        <f>(VLOOKUP(H610,DEDN!$A$8:$O$902,$K$2)*I610+J610)/1000</f>
        <v>0</v>
      </c>
      <c r="L610" s="11">
        <f>MIN(IF(PARAM!$B$43=3,CHOOSE($L$2,F610,K610),F610+K610-F610*K610),1)</f>
        <v>7.8090000000000007E-2</v>
      </c>
      <c r="M610" s="2">
        <f>PARAM!$I$38</f>
        <v>0</v>
      </c>
      <c r="N610" s="11">
        <f>VLOOKUP(B610,DEDN!$A$8:$O$90,$N$2)*M610</f>
        <v>0</v>
      </c>
      <c r="O610" s="12"/>
      <c r="P610" s="10">
        <f>PARAM!$C$53^-A610</f>
        <v>1</v>
      </c>
      <c r="Q610" s="10">
        <f t="shared" si="178"/>
        <v>0.4574342125273968</v>
      </c>
      <c r="R610" s="10">
        <f t="shared" si="177"/>
        <v>0.4574342125273968</v>
      </c>
      <c r="S610" s="10">
        <f>CHOOSE(PARAM!$B$51,R610,0,0,0)*(A610&lt;PARAM!$B$55)</f>
        <v>0</v>
      </c>
      <c r="T610" s="10">
        <f t="shared" si="172"/>
        <v>3.0889327568730529E-3</v>
      </c>
      <c r="U610" s="10">
        <f>T610*P610*(A610&lt;PARAM!$B$55)</f>
        <v>0</v>
      </c>
      <c r="W610">
        <v>607</v>
      </c>
      <c r="X610" s="178">
        <f t="shared" si="181"/>
        <v>82</v>
      </c>
      <c r="Y610" s="178">
        <f t="shared" si="181"/>
        <v>82</v>
      </c>
      <c r="Z610" s="178">
        <f t="shared" si="181"/>
        <v>51</v>
      </c>
      <c r="AA610" s="178">
        <f t="shared" si="181"/>
        <v>51</v>
      </c>
      <c r="AD610" s="17">
        <f>CALC!E634*(A610&lt;PARAM!$B$55)</f>
        <v>0</v>
      </c>
      <c r="AE610">
        <f>IF(A610&lt;ITER!$C$16,1,PARAM!$C$53^-(RATES!A610-ITER!$C$16))*(A610&lt;PARAM!$B$55)</f>
        <v>0</v>
      </c>
    </row>
    <row r="611" spans="1:31" x14ac:dyDescent="0.2">
      <c r="A611" s="9">
        <v>608</v>
      </c>
      <c r="B611" s="178">
        <f t="shared" si="179"/>
        <v>82</v>
      </c>
      <c r="C611" s="178">
        <f t="shared" si="179"/>
        <v>82</v>
      </c>
      <c r="D611" s="2">
        <f>PARAM!$H$38</f>
        <v>1</v>
      </c>
      <c r="E611" s="11">
        <f>PARAM!$G$38</f>
        <v>0</v>
      </c>
      <c r="F611" s="11">
        <f>(VLOOKUP(C611,DEDN!$A$8:$O$902,$F$2)*D611+E611)/1000</f>
        <v>7.8090000000000007E-2</v>
      </c>
      <c r="G611" s="178">
        <f t="shared" si="180"/>
        <v>51</v>
      </c>
      <c r="H611" s="178">
        <f t="shared" si="180"/>
        <v>51</v>
      </c>
      <c r="I611" s="2">
        <f>PARAM!$H$39</f>
        <v>0</v>
      </c>
      <c r="J611" s="11">
        <f>PARAM!$G$39</f>
        <v>0</v>
      </c>
      <c r="K611" s="11">
        <f>(VLOOKUP(H611,DEDN!$A$8:$O$902,$K$2)*I611+J611)/1000</f>
        <v>0</v>
      </c>
      <c r="L611" s="11">
        <f>MIN(IF(PARAM!$B$43=3,CHOOSE($L$2,F611,K611),F611+K611-F611*K611),1)</f>
        <v>7.8090000000000007E-2</v>
      </c>
      <c r="M611" s="2">
        <f>PARAM!$I$38</f>
        <v>0</v>
      </c>
      <c r="N611" s="11">
        <f>VLOOKUP(B611,DEDN!$A$8:$O$90,$N$2)*M611</f>
        <v>0</v>
      </c>
      <c r="O611" s="12"/>
      <c r="P611" s="10">
        <f>PARAM!$C$53^-A611</f>
        <v>1</v>
      </c>
      <c r="Q611" s="10">
        <f t="shared" si="178"/>
        <v>0.45434527977052375</v>
      </c>
      <c r="R611" s="10">
        <f t="shared" si="177"/>
        <v>0.45434527977052375</v>
      </c>
      <c r="S611" s="10">
        <f>CHOOSE(PARAM!$B$51,R611,0,0,0)*(A611&lt;PARAM!$B$55)</f>
        <v>0</v>
      </c>
      <c r="T611" s="10">
        <f t="shared" si="172"/>
        <v>3.0680740075378354E-3</v>
      </c>
      <c r="U611" s="10">
        <f>T611*P611*(A611&lt;PARAM!$B$55)</f>
        <v>0</v>
      </c>
      <c r="W611">
        <v>608</v>
      </c>
      <c r="X611" s="178">
        <f t="shared" si="181"/>
        <v>82</v>
      </c>
      <c r="Y611" s="178">
        <f t="shared" si="181"/>
        <v>82</v>
      </c>
      <c r="Z611" s="178">
        <f t="shared" si="181"/>
        <v>51</v>
      </c>
      <c r="AA611" s="178">
        <f t="shared" si="181"/>
        <v>51</v>
      </c>
      <c r="AD611" s="17">
        <f>CALC!E635*(A611&lt;PARAM!$B$55)</f>
        <v>0</v>
      </c>
      <c r="AE611">
        <f>IF(A611&lt;ITER!$C$16,1,PARAM!$C$53^-(RATES!A611-ITER!$C$16))*(A611&lt;PARAM!$B$55)</f>
        <v>0</v>
      </c>
    </row>
    <row r="612" spans="1:31" x14ac:dyDescent="0.2">
      <c r="A612" s="9">
        <v>609</v>
      </c>
      <c r="B612" s="178">
        <f t="shared" si="179"/>
        <v>82</v>
      </c>
      <c r="C612" s="178">
        <f t="shared" si="179"/>
        <v>82</v>
      </c>
      <c r="D612" s="2">
        <f>PARAM!$H$38</f>
        <v>1</v>
      </c>
      <c r="E612" s="11">
        <f>PARAM!$G$38</f>
        <v>0</v>
      </c>
      <c r="F612" s="11">
        <f>(VLOOKUP(C612,DEDN!$A$8:$O$902,$F$2)*D612+E612)/1000</f>
        <v>7.8090000000000007E-2</v>
      </c>
      <c r="G612" s="178">
        <f t="shared" si="180"/>
        <v>51</v>
      </c>
      <c r="H612" s="178">
        <f t="shared" si="180"/>
        <v>51</v>
      </c>
      <c r="I612" s="2">
        <f>PARAM!$H$39</f>
        <v>0</v>
      </c>
      <c r="J612" s="11">
        <f>PARAM!$G$39</f>
        <v>0</v>
      </c>
      <c r="K612" s="11">
        <f>(VLOOKUP(H612,DEDN!$A$8:$O$902,$K$2)*I612+J612)/1000</f>
        <v>0</v>
      </c>
      <c r="L612" s="11">
        <f>MIN(IF(PARAM!$B$43=3,CHOOSE($L$2,F612,K612),F612+K612-F612*K612),1)</f>
        <v>7.8090000000000007E-2</v>
      </c>
      <c r="M612" s="2">
        <f>PARAM!$I$38</f>
        <v>0</v>
      </c>
      <c r="N612" s="11">
        <f>VLOOKUP(B612,DEDN!$A$8:$O$90,$N$2)*M612</f>
        <v>0</v>
      </c>
      <c r="O612" s="12"/>
      <c r="P612" s="10">
        <f>PARAM!$C$53^-A612</f>
        <v>1</v>
      </c>
      <c r="Q612" s="10">
        <f t="shared" si="178"/>
        <v>0.45127720576298591</v>
      </c>
      <c r="R612" s="10">
        <f t="shared" ref="R612:R627" si="182">P612*Q612</f>
        <v>0.45127720576298591</v>
      </c>
      <c r="S612" s="10">
        <f>CHOOSE(PARAM!$B$51,R612,R612,0,0)*(A612&lt;PARAM!$B$55)</f>
        <v>0</v>
      </c>
      <c r="T612" s="10">
        <f t="shared" si="172"/>
        <v>3.0473561118429804E-3</v>
      </c>
      <c r="U612" s="10">
        <f>T612*P612*(A612&lt;PARAM!$B$55)</f>
        <v>0</v>
      </c>
      <c r="W612">
        <v>609</v>
      </c>
      <c r="X612" s="178">
        <f t="shared" si="181"/>
        <v>82</v>
      </c>
      <c r="Y612" s="178">
        <f t="shared" si="181"/>
        <v>82</v>
      </c>
      <c r="Z612" s="178">
        <f t="shared" si="181"/>
        <v>51</v>
      </c>
      <c r="AA612" s="178">
        <f t="shared" si="181"/>
        <v>51</v>
      </c>
      <c r="AD612" s="17">
        <f>CALC!E636*(A612&lt;PARAM!$B$55)</f>
        <v>0</v>
      </c>
      <c r="AE612">
        <f>IF(A612&lt;ITER!$C$16,1,PARAM!$C$53^-(RATES!A612-ITER!$C$16))*(A612&lt;PARAM!$B$55)</f>
        <v>0</v>
      </c>
    </row>
    <row r="613" spans="1:31" x14ac:dyDescent="0.2">
      <c r="A613" s="9">
        <v>610</v>
      </c>
      <c r="B613" s="178">
        <f t="shared" si="179"/>
        <v>82</v>
      </c>
      <c r="C613" s="178">
        <f t="shared" si="179"/>
        <v>82</v>
      </c>
      <c r="D613" s="2">
        <f>PARAM!$H$38</f>
        <v>1</v>
      </c>
      <c r="E613" s="11">
        <f>PARAM!$G$38</f>
        <v>0</v>
      </c>
      <c r="F613" s="11">
        <f>(VLOOKUP(C613,DEDN!$A$8:$O$902,$F$2)*D613+E613)/1000</f>
        <v>7.8090000000000007E-2</v>
      </c>
      <c r="G613" s="178">
        <f t="shared" si="180"/>
        <v>51</v>
      </c>
      <c r="H613" s="178">
        <f t="shared" si="180"/>
        <v>51</v>
      </c>
      <c r="I613" s="2">
        <f>PARAM!$H$39</f>
        <v>0</v>
      </c>
      <c r="J613" s="11">
        <f>PARAM!$G$39</f>
        <v>0</v>
      </c>
      <c r="K613" s="11">
        <f>(VLOOKUP(H613,DEDN!$A$8:$O$902,$K$2)*I613+J613)/1000</f>
        <v>0</v>
      </c>
      <c r="L613" s="11">
        <f>MIN(IF(PARAM!$B$43=3,CHOOSE($L$2,F613,K613),F613+K613-F613*K613),1)</f>
        <v>7.8090000000000007E-2</v>
      </c>
      <c r="M613" s="2">
        <f>PARAM!$I$38</f>
        <v>0</v>
      </c>
      <c r="N613" s="11">
        <f>VLOOKUP(B613,DEDN!$A$8:$O$90,$N$2)*M613</f>
        <v>0</v>
      </c>
      <c r="O613" s="12"/>
      <c r="P613" s="10">
        <f>PARAM!$C$53^-A613</f>
        <v>1</v>
      </c>
      <c r="Q613" s="10">
        <f t="shared" ref="Q613:Q628" si="183">Q612*(1-L612)^(1/12)</f>
        <v>0.44822984965114293</v>
      </c>
      <c r="R613" s="10">
        <f t="shared" si="182"/>
        <v>0.44822984965114293</v>
      </c>
      <c r="S613" s="10">
        <f>CHOOSE(PARAM!$B$51,R613,0,0,0)*(A613&lt;PARAM!$B$55)</f>
        <v>0</v>
      </c>
      <c r="T613" s="10">
        <f t="shared" si="172"/>
        <v>3.0267781186409937E-3</v>
      </c>
      <c r="U613" s="10">
        <f>T613*P613*(A613&lt;PARAM!$B$55)</f>
        <v>0</v>
      </c>
      <c r="W613">
        <v>610</v>
      </c>
      <c r="X613" s="178">
        <f t="shared" si="181"/>
        <v>82</v>
      </c>
      <c r="Y613" s="178">
        <f t="shared" si="181"/>
        <v>82</v>
      </c>
      <c r="Z613" s="178">
        <f t="shared" si="181"/>
        <v>51</v>
      </c>
      <c r="AA613" s="178">
        <f t="shared" si="181"/>
        <v>51</v>
      </c>
      <c r="AD613" s="17">
        <f>CALC!E637*(A613&lt;PARAM!$B$55)</f>
        <v>0</v>
      </c>
      <c r="AE613">
        <f>IF(A613&lt;ITER!$C$16,1,PARAM!$C$53^-(RATES!A613-ITER!$C$16))*(A613&lt;PARAM!$B$55)</f>
        <v>0</v>
      </c>
    </row>
    <row r="614" spans="1:31" x14ac:dyDescent="0.2">
      <c r="A614" s="9">
        <v>611</v>
      </c>
      <c r="B614" s="178">
        <f t="shared" si="179"/>
        <v>82</v>
      </c>
      <c r="C614" s="178">
        <f t="shared" si="179"/>
        <v>82</v>
      </c>
      <c r="D614" s="2">
        <f>PARAM!$H$38</f>
        <v>1</v>
      </c>
      <c r="E614" s="11">
        <f>PARAM!$G$38</f>
        <v>0</v>
      </c>
      <c r="F614" s="11">
        <f>(VLOOKUP(C614,DEDN!$A$8:$O$902,$F$2)*D614+E614)/1000</f>
        <v>7.8090000000000007E-2</v>
      </c>
      <c r="G614" s="178">
        <f t="shared" si="180"/>
        <v>51</v>
      </c>
      <c r="H614" s="178">
        <f t="shared" si="180"/>
        <v>51</v>
      </c>
      <c r="I614" s="2">
        <f>PARAM!$H$39</f>
        <v>0</v>
      </c>
      <c r="J614" s="11">
        <f>PARAM!$G$39</f>
        <v>0</v>
      </c>
      <c r="K614" s="11">
        <f>(VLOOKUP(H614,DEDN!$A$8:$O$902,$K$2)*I614+J614)/1000</f>
        <v>0</v>
      </c>
      <c r="L614" s="11">
        <f>MIN(IF(PARAM!$B$43=3,CHOOSE($L$2,F614,K614),F614+K614-F614*K614),1)</f>
        <v>7.8090000000000007E-2</v>
      </c>
      <c r="M614" s="2">
        <f>PARAM!$I$38</f>
        <v>0</v>
      </c>
      <c r="N614" s="11">
        <f>VLOOKUP(B614,DEDN!$A$8:$O$90,$N$2)*M614</f>
        <v>0</v>
      </c>
      <c r="O614" s="12"/>
      <c r="P614" s="10">
        <f>PARAM!$C$53^-A614</f>
        <v>1</v>
      </c>
      <c r="Q614" s="10">
        <f t="shared" si="183"/>
        <v>0.44520307153250194</v>
      </c>
      <c r="R614" s="10">
        <f t="shared" si="182"/>
        <v>0.44520307153250194</v>
      </c>
      <c r="S614" s="10">
        <f>CHOOSE(PARAM!$B$51,R614,0,0,0)*(A614&lt;PARAM!$B$55)</f>
        <v>0</v>
      </c>
      <c r="T614" s="10">
        <f t="shared" si="172"/>
        <v>3.0063390832072434E-3</v>
      </c>
      <c r="U614" s="10">
        <f>T614*P614*(A614&lt;PARAM!$B$55)</f>
        <v>0</v>
      </c>
      <c r="W614">
        <v>611</v>
      </c>
      <c r="X614" s="178">
        <f t="shared" si="181"/>
        <v>82</v>
      </c>
      <c r="Y614" s="178">
        <f t="shared" si="181"/>
        <v>82</v>
      </c>
      <c r="Z614" s="178">
        <f t="shared" si="181"/>
        <v>51</v>
      </c>
      <c r="AA614" s="178">
        <f t="shared" si="181"/>
        <v>51</v>
      </c>
      <c r="AD614" s="17">
        <f>CALC!E638*(A614&lt;PARAM!$B$55)</f>
        <v>0</v>
      </c>
      <c r="AE614">
        <f>IF(A614&lt;ITER!$C$16,1,PARAM!$C$53^-(RATES!A614-ITER!$C$16))*(A614&lt;PARAM!$B$55)</f>
        <v>0</v>
      </c>
    </row>
    <row r="615" spans="1:31" x14ac:dyDescent="0.2">
      <c r="A615" s="9">
        <v>612</v>
      </c>
      <c r="B615" s="178">
        <f t="shared" si="179"/>
        <v>82</v>
      </c>
      <c r="C615" s="178">
        <f t="shared" si="179"/>
        <v>82</v>
      </c>
      <c r="D615" s="2">
        <f>PARAM!$H$38</f>
        <v>1</v>
      </c>
      <c r="E615" s="11">
        <f>PARAM!$G$38</f>
        <v>0</v>
      </c>
      <c r="F615" s="11">
        <f>(VLOOKUP(C615,DEDN!$A$8:$O$902,$F$2)*D615+E615)/1000</f>
        <v>7.8090000000000007E-2</v>
      </c>
      <c r="G615" s="178">
        <f t="shared" si="180"/>
        <v>51</v>
      </c>
      <c r="H615" s="178">
        <f t="shared" si="180"/>
        <v>51</v>
      </c>
      <c r="I615" s="2">
        <f>PARAM!$H$39</f>
        <v>0</v>
      </c>
      <c r="J615" s="11">
        <f>PARAM!$G$39</f>
        <v>0</v>
      </c>
      <c r="K615" s="11">
        <f>(VLOOKUP(H615,DEDN!$A$8:$O$902,$K$2)*I615+J615)/1000</f>
        <v>0</v>
      </c>
      <c r="L615" s="11">
        <f>MIN(IF(PARAM!$B$43=3,CHOOSE($L$2,F615,K615),F615+K615-F615*K615),1)</f>
        <v>7.8090000000000007E-2</v>
      </c>
      <c r="M615" s="2">
        <f>PARAM!$I$38</f>
        <v>0</v>
      </c>
      <c r="N615" s="11">
        <f>VLOOKUP(B615,DEDN!$A$8:$O$90,$N$2)*M615</f>
        <v>0</v>
      </c>
      <c r="O615" s="12"/>
      <c r="P615" s="10">
        <f>PARAM!$C$53^-A615</f>
        <v>1</v>
      </c>
      <c r="Q615" s="10">
        <f t="shared" si="183"/>
        <v>0.44219673244929469</v>
      </c>
      <c r="R615" s="10">
        <f t="shared" si="182"/>
        <v>0.44219673244929469</v>
      </c>
      <c r="S615" s="10">
        <f>R615*(A615&lt;PARAM!$B$55)</f>
        <v>0</v>
      </c>
      <c r="T615" s="10">
        <f t="shared" si="172"/>
        <v>2.9860380671964948E-3</v>
      </c>
      <c r="U615" s="10">
        <f>T615*P615*(A615&lt;PARAM!$B$55)</f>
        <v>0</v>
      </c>
      <c r="W615">
        <v>612</v>
      </c>
      <c r="X615" s="178">
        <f t="shared" si="181"/>
        <v>82</v>
      </c>
      <c r="Y615" s="178">
        <f t="shared" si="181"/>
        <v>82</v>
      </c>
      <c r="Z615" s="178">
        <f t="shared" si="181"/>
        <v>51</v>
      </c>
      <c r="AA615" s="178">
        <f t="shared" si="181"/>
        <v>51</v>
      </c>
      <c r="AD615" s="17">
        <f>CALC!E639*(A615&lt;PARAM!$B$55)</f>
        <v>0</v>
      </c>
      <c r="AE615">
        <f>IF(A615&lt;ITER!$C$16,1,PARAM!$C$53^-(RATES!A615-ITER!$C$16))*(A615&lt;PARAM!$B$55)</f>
        <v>0</v>
      </c>
    </row>
    <row r="616" spans="1:31" x14ac:dyDescent="0.2">
      <c r="A616" s="9">
        <v>613</v>
      </c>
      <c r="B616" s="178">
        <f t="shared" si="179"/>
        <v>82</v>
      </c>
      <c r="C616" s="178">
        <f t="shared" si="179"/>
        <v>82</v>
      </c>
      <c r="D616" s="2">
        <f>PARAM!$H$38</f>
        <v>1</v>
      </c>
      <c r="E616" s="11">
        <f>PARAM!$G$38</f>
        <v>0</v>
      </c>
      <c r="F616" s="11">
        <f>(VLOOKUP(C616,DEDN!$A$8:$O$902,$F$2)*D616+E616)/1000</f>
        <v>7.8090000000000007E-2</v>
      </c>
      <c r="G616" s="178">
        <f t="shared" si="180"/>
        <v>51</v>
      </c>
      <c r="H616" s="178">
        <f t="shared" si="180"/>
        <v>51</v>
      </c>
      <c r="I616" s="2">
        <f>PARAM!$H$39</f>
        <v>0</v>
      </c>
      <c r="J616" s="11">
        <f>PARAM!$G$39</f>
        <v>0</v>
      </c>
      <c r="K616" s="11">
        <f>(VLOOKUP(H616,DEDN!$A$8:$O$902,$K$2)*I616+J616)/1000</f>
        <v>0</v>
      </c>
      <c r="L616" s="11">
        <f>MIN(IF(PARAM!$B$43=3,CHOOSE($L$2,F616,K616),F616+K616-F616*K616),1)</f>
        <v>7.8090000000000007E-2</v>
      </c>
      <c r="M616" s="2">
        <f>PARAM!$I$38</f>
        <v>0</v>
      </c>
      <c r="N616" s="11">
        <f>VLOOKUP(B616,DEDN!$A$8:$O$90,$N$2)*M616</f>
        <v>0</v>
      </c>
      <c r="O616" s="12"/>
      <c r="P616" s="10">
        <f>PARAM!$C$53^-A616</f>
        <v>1</v>
      </c>
      <c r="Q616" s="10">
        <f t="shared" si="183"/>
        <v>0.4392106943820982</v>
      </c>
      <c r="R616" s="10">
        <f t="shared" si="182"/>
        <v>0.4392106943820982</v>
      </c>
      <c r="S616" s="10">
        <f>CHOOSE(PARAM!$B$51,R616,0,0,0)*(A616&lt;PARAM!$B$55)</f>
        <v>0</v>
      </c>
      <c r="T616" s="10">
        <f t="shared" si="172"/>
        <v>2.9658741385999443E-3</v>
      </c>
      <c r="U616" s="10">
        <f>T616*P616*(A616&lt;PARAM!$B$55)</f>
        <v>0</v>
      </c>
      <c r="W616">
        <v>613</v>
      </c>
      <c r="X616" s="178">
        <f t="shared" si="181"/>
        <v>82</v>
      </c>
      <c r="Y616" s="178">
        <f t="shared" si="181"/>
        <v>82</v>
      </c>
      <c r="Z616" s="178">
        <f t="shared" si="181"/>
        <v>51</v>
      </c>
      <c r="AA616" s="178">
        <f t="shared" si="181"/>
        <v>51</v>
      </c>
      <c r="AD616" s="17">
        <f>CALC!E640*(A616&lt;PARAM!$B$55)</f>
        <v>0</v>
      </c>
      <c r="AE616">
        <f>IF(A616&lt;ITER!$C$16,1,PARAM!$C$53^-(RATES!A616-ITER!$C$16))*(A616&lt;PARAM!$B$55)</f>
        <v>0</v>
      </c>
    </row>
    <row r="617" spans="1:31" x14ac:dyDescent="0.2">
      <c r="A617" s="9">
        <v>614</v>
      </c>
      <c r="B617" s="178">
        <f t="shared" si="179"/>
        <v>82</v>
      </c>
      <c r="C617" s="178">
        <f t="shared" si="179"/>
        <v>82</v>
      </c>
      <c r="D617" s="2">
        <f>PARAM!$H$38</f>
        <v>1</v>
      </c>
      <c r="E617" s="11">
        <f>PARAM!$G$38</f>
        <v>0</v>
      </c>
      <c r="F617" s="11">
        <f>(VLOOKUP(C617,DEDN!$A$8:$O$902,$F$2)*D617+E617)/1000</f>
        <v>7.8090000000000007E-2</v>
      </c>
      <c r="G617" s="178">
        <f t="shared" si="180"/>
        <v>51</v>
      </c>
      <c r="H617" s="178">
        <f t="shared" si="180"/>
        <v>51</v>
      </c>
      <c r="I617" s="2">
        <f>PARAM!$H$39</f>
        <v>0</v>
      </c>
      <c r="J617" s="11">
        <f>PARAM!$G$39</f>
        <v>0</v>
      </c>
      <c r="K617" s="11">
        <f>(VLOOKUP(H617,DEDN!$A$8:$O$902,$K$2)*I617+J617)/1000</f>
        <v>0</v>
      </c>
      <c r="L617" s="11">
        <f>MIN(IF(PARAM!$B$43=3,CHOOSE($L$2,F617,K617),F617+K617-F617*K617),1)</f>
        <v>7.8090000000000007E-2</v>
      </c>
      <c r="M617" s="2">
        <f>PARAM!$I$38</f>
        <v>0</v>
      </c>
      <c r="N617" s="11">
        <f>VLOOKUP(B617,DEDN!$A$8:$O$90,$N$2)*M617</f>
        <v>0</v>
      </c>
      <c r="O617" s="12"/>
      <c r="P617" s="10">
        <f>PARAM!$C$53^-A617</f>
        <v>1</v>
      </c>
      <c r="Q617" s="10">
        <f t="shared" si="183"/>
        <v>0.43624482024349825</v>
      </c>
      <c r="R617" s="10">
        <f t="shared" si="182"/>
        <v>0.43624482024349825</v>
      </c>
      <c r="S617" s="10">
        <f>CHOOSE(PARAM!$B$51,R617,0,0,0)*(A617&lt;PARAM!$B$55)</f>
        <v>0</v>
      </c>
      <c r="T617" s="10">
        <f t="shared" si="172"/>
        <v>2.9458463717023653E-3</v>
      </c>
      <c r="U617" s="10">
        <f>T617*P617*(A617&lt;PARAM!$B$55)</f>
        <v>0</v>
      </c>
      <c r="W617">
        <v>614</v>
      </c>
      <c r="X617" s="178">
        <f t="shared" si="181"/>
        <v>82</v>
      </c>
      <c r="Y617" s="178">
        <f t="shared" si="181"/>
        <v>82</v>
      </c>
      <c r="Z617" s="178">
        <f t="shared" si="181"/>
        <v>51</v>
      </c>
      <c r="AA617" s="178">
        <f t="shared" si="181"/>
        <v>51</v>
      </c>
      <c r="AD617" s="17">
        <f>CALC!E641*(A617&lt;PARAM!$B$55)</f>
        <v>0</v>
      </c>
      <c r="AE617">
        <f>IF(A617&lt;ITER!$C$16,1,PARAM!$C$53^-(RATES!A617-ITER!$C$16))*(A617&lt;PARAM!$B$55)</f>
        <v>0</v>
      </c>
    </row>
    <row r="618" spans="1:31" x14ac:dyDescent="0.2">
      <c r="A618" s="9">
        <v>615</v>
      </c>
      <c r="B618" s="178">
        <f t="shared" si="179"/>
        <v>82</v>
      </c>
      <c r="C618" s="178">
        <f t="shared" si="179"/>
        <v>82</v>
      </c>
      <c r="D618" s="2">
        <f>PARAM!$H$38</f>
        <v>1</v>
      </c>
      <c r="E618" s="11">
        <f>PARAM!$G$38</f>
        <v>0</v>
      </c>
      <c r="F618" s="11">
        <f>(VLOOKUP(C618,DEDN!$A$8:$O$902,$F$2)*D618+E618)/1000</f>
        <v>7.8090000000000007E-2</v>
      </c>
      <c r="G618" s="178">
        <f t="shared" si="180"/>
        <v>51</v>
      </c>
      <c r="H618" s="178">
        <f t="shared" si="180"/>
        <v>51</v>
      </c>
      <c r="I618" s="2">
        <f>PARAM!$H$39</f>
        <v>0</v>
      </c>
      <c r="J618" s="11">
        <f>PARAM!$G$39</f>
        <v>0</v>
      </c>
      <c r="K618" s="11">
        <f>(VLOOKUP(H618,DEDN!$A$8:$O$902,$K$2)*I618+J618)/1000</f>
        <v>0</v>
      </c>
      <c r="L618" s="11">
        <f>MIN(IF(PARAM!$B$43=3,CHOOSE($L$2,F618,K618),F618+K618-F618*K618),1)</f>
        <v>7.8090000000000007E-2</v>
      </c>
      <c r="M618" s="2">
        <f>PARAM!$I$38</f>
        <v>0</v>
      </c>
      <c r="N618" s="11">
        <f>VLOOKUP(B618,DEDN!$A$8:$O$90,$N$2)*M618</f>
        <v>0</v>
      </c>
      <c r="O618" s="12"/>
      <c r="P618" s="10">
        <f>PARAM!$C$53^-A618</f>
        <v>1</v>
      </c>
      <c r="Q618" s="10">
        <f t="shared" si="183"/>
        <v>0.43329897387179589</v>
      </c>
      <c r="R618" s="10">
        <f t="shared" si="182"/>
        <v>0.43329897387179589</v>
      </c>
      <c r="S618" s="10">
        <f>CHOOSE(PARAM!$B$51,R618,R618,0,0)*(A618&lt;PARAM!$B$55)</f>
        <v>0</v>
      </c>
      <c r="T618" s="10">
        <f t="shared" si="172"/>
        <v>2.9259538470396418E-3</v>
      </c>
      <c r="U618" s="10">
        <f>T618*P618*(A618&lt;PARAM!$B$55)</f>
        <v>0</v>
      </c>
      <c r="W618">
        <v>615</v>
      </c>
      <c r="X618" s="178">
        <f t="shared" si="181"/>
        <v>82</v>
      </c>
      <c r="Y618" s="178">
        <f t="shared" si="181"/>
        <v>82</v>
      </c>
      <c r="Z618" s="178">
        <f t="shared" si="181"/>
        <v>51</v>
      </c>
      <c r="AA618" s="178">
        <f t="shared" si="181"/>
        <v>51</v>
      </c>
      <c r="AD618" s="17">
        <f>CALC!E642*(A618&lt;PARAM!$B$55)</f>
        <v>0</v>
      </c>
      <c r="AE618">
        <f>IF(A618&lt;ITER!$C$16,1,PARAM!$C$53^-(RATES!A618-ITER!$C$16))*(A618&lt;PARAM!$B$55)</f>
        <v>0</v>
      </c>
    </row>
    <row r="619" spans="1:31" x14ac:dyDescent="0.2">
      <c r="A619" s="9">
        <v>616</v>
      </c>
      <c r="B619" s="178">
        <f t="shared" si="179"/>
        <v>82</v>
      </c>
      <c r="C619" s="178">
        <f t="shared" si="179"/>
        <v>82</v>
      </c>
      <c r="D619" s="2">
        <f>PARAM!$H$38</f>
        <v>1</v>
      </c>
      <c r="E619" s="11">
        <f>PARAM!$G$38</f>
        <v>0</v>
      </c>
      <c r="F619" s="11">
        <f>(VLOOKUP(C619,DEDN!$A$8:$O$902,$F$2)*D619+E619)/1000</f>
        <v>7.8090000000000007E-2</v>
      </c>
      <c r="G619" s="178">
        <f t="shared" si="180"/>
        <v>51</v>
      </c>
      <c r="H619" s="178">
        <f t="shared" si="180"/>
        <v>51</v>
      </c>
      <c r="I619" s="2">
        <f>PARAM!$H$39</f>
        <v>0</v>
      </c>
      <c r="J619" s="11">
        <f>PARAM!$G$39</f>
        <v>0</v>
      </c>
      <c r="K619" s="11">
        <f>(VLOOKUP(H619,DEDN!$A$8:$O$902,$K$2)*I619+J619)/1000</f>
        <v>0</v>
      </c>
      <c r="L619" s="11">
        <f>MIN(IF(PARAM!$B$43=3,CHOOSE($L$2,F619,K619),F619+K619-F619*K619),1)</f>
        <v>7.8090000000000007E-2</v>
      </c>
      <c r="M619" s="2">
        <f>PARAM!$I$38</f>
        <v>0</v>
      </c>
      <c r="N619" s="11">
        <f>VLOOKUP(B619,DEDN!$A$8:$O$90,$N$2)*M619</f>
        <v>0</v>
      </c>
      <c r="O619" s="12"/>
      <c r="P619" s="10">
        <f>PARAM!$C$53^-A619</f>
        <v>1</v>
      </c>
      <c r="Q619" s="10">
        <f t="shared" si="183"/>
        <v>0.43037302002475625</v>
      </c>
      <c r="R619" s="10">
        <f t="shared" si="182"/>
        <v>0.43037302002475625</v>
      </c>
      <c r="S619" s="10">
        <f>CHOOSE(PARAM!$B$51,R619,0,0,0)*(A619&lt;PARAM!$B$55)</f>
        <v>0</v>
      </c>
      <c r="T619" s="10">
        <f t="shared" si="172"/>
        <v>2.9061956513566356E-3</v>
      </c>
      <c r="U619" s="10">
        <f>T619*P619*(A619&lt;PARAM!$B$55)</f>
        <v>0</v>
      </c>
      <c r="W619">
        <v>616</v>
      </c>
      <c r="X619" s="178">
        <f t="shared" si="181"/>
        <v>82</v>
      </c>
      <c r="Y619" s="178">
        <f t="shared" si="181"/>
        <v>82</v>
      </c>
      <c r="Z619" s="178">
        <f t="shared" si="181"/>
        <v>51</v>
      </c>
      <c r="AA619" s="178">
        <f t="shared" si="181"/>
        <v>51</v>
      </c>
      <c r="AD619" s="17">
        <f>CALC!E643*(A619&lt;PARAM!$B$55)</f>
        <v>0</v>
      </c>
      <c r="AE619">
        <f>IF(A619&lt;ITER!$C$16,1,PARAM!$C$53^-(RATES!A619-ITER!$C$16))*(A619&lt;PARAM!$B$55)</f>
        <v>0</v>
      </c>
    </row>
    <row r="620" spans="1:31" x14ac:dyDescent="0.2">
      <c r="A620" s="9">
        <v>617</v>
      </c>
      <c r="B620" s="178">
        <f t="shared" si="179"/>
        <v>82</v>
      </c>
      <c r="C620" s="178">
        <f t="shared" si="179"/>
        <v>82</v>
      </c>
      <c r="D620" s="2">
        <f>PARAM!$H$38</f>
        <v>1</v>
      </c>
      <c r="E620" s="11">
        <f>PARAM!$G$38</f>
        <v>0</v>
      </c>
      <c r="F620" s="11">
        <f>(VLOOKUP(C620,DEDN!$A$8:$O$902,$F$2)*D620+E620)/1000</f>
        <v>7.8090000000000007E-2</v>
      </c>
      <c r="G620" s="178">
        <f t="shared" si="180"/>
        <v>51</v>
      </c>
      <c r="H620" s="178">
        <f t="shared" si="180"/>
        <v>51</v>
      </c>
      <c r="I620" s="2">
        <f>PARAM!$H$39</f>
        <v>0</v>
      </c>
      <c r="J620" s="11">
        <f>PARAM!$G$39</f>
        <v>0</v>
      </c>
      <c r="K620" s="11">
        <f>(VLOOKUP(H620,DEDN!$A$8:$O$902,$K$2)*I620+J620)/1000</f>
        <v>0</v>
      </c>
      <c r="L620" s="11">
        <f>MIN(IF(PARAM!$B$43=3,CHOOSE($L$2,F620,K620),F620+K620-F620*K620),1)</f>
        <v>7.8090000000000007E-2</v>
      </c>
      <c r="M620" s="2">
        <f>PARAM!$I$38</f>
        <v>0</v>
      </c>
      <c r="N620" s="11">
        <f>VLOOKUP(B620,DEDN!$A$8:$O$90,$N$2)*M620</f>
        <v>0</v>
      </c>
      <c r="O620" s="12"/>
      <c r="P620" s="10">
        <f>PARAM!$C$53^-A620</f>
        <v>1</v>
      </c>
      <c r="Q620" s="10">
        <f t="shared" si="183"/>
        <v>0.42746682437339961</v>
      </c>
      <c r="R620" s="10">
        <f t="shared" si="182"/>
        <v>0.42746682437339961</v>
      </c>
      <c r="S620" s="10">
        <f>CHOOSE(PARAM!$B$51,R620,0,0,0)*(A620&lt;PARAM!$B$55)</f>
        <v>0</v>
      </c>
      <c r="T620" s="10">
        <f t="shared" si="172"/>
        <v>2.8865708775651089E-3</v>
      </c>
      <c r="U620" s="10">
        <f>T620*P620*(A620&lt;PARAM!$B$55)</f>
        <v>0</v>
      </c>
      <c r="W620">
        <v>617</v>
      </c>
      <c r="X620" s="178">
        <f t="shared" si="181"/>
        <v>82</v>
      </c>
      <c r="Y620" s="178">
        <f t="shared" si="181"/>
        <v>82</v>
      </c>
      <c r="Z620" s="178">
        <f t="shared" si="181"/>
        <v>51</v>
      </c>
      <c r="AA620" s="178">
        <f t="shared" si="181"/>
        <v>51</v>
      </c>
      <c r="AD620" s="17">
        <f>CALC!E644*(A620&lt;PARAM!$B$55)</f>
        <v>0</v>
      </c>
      <c r="AE620">
        <f>IF(A620&lt;ITER!$C$16,1,PARAM!$C$53^-(RATES!A620-ITER!$C$16))*(A620&lt;PARAM!$B$55)</f>
        <v>0</v>
      </c>
    </row>
    <row r="621" spans="1:31" x14ac:dyDescent="0.2">
      <c r="A621" s="9">
        <v>618</v>
      </c>
      <c r="B621" s="178">
        <f t="shared" ref="B621:C640" si="184">B609+1</f>
        <v>83</v>
      </c>
      <c r="C621" s="178">
        <f t="shared" si="184"/>
        <v>83</v>
      </c>
      <c r="D621" s="2">
        <f>PARAM!$H$38</f>
        <v>1</v>
      </c>
      <c r="E621" s="11">
        <f>PARAM!$G$38</f>
        <v>0</v>
      </c>
      <c r="F621" s="11">
        <f>(VLOOKUP(C621,DEDN!$A$8:$O$902,$F$2)*D621+E621)/1000</f>
        <v>8.5309999999999997E-2</v>
      </c>
      <c r="G621" s="178">
        <f t="shared" ref="G621:H640" si="185">G609+1</f>
        <v>52</v>
      </c>
      <c r="H621" s="178">
        <f t="shared" si="185"/>
        <v>52</v>
      </c>
      <c r="I621" s="2">
        <f>PARAM!$H$39</f>
        <v>0</v>
      </c>
      <c r="J621" s="11">
        <f>PARAM!$G$39</f>
        <v>0</v>
      </c>
      <c r="K621" s="11">
        <f>(VLOOKUP(H621,DEDN!$A$8:$O$902,$K$2)*I621+J621)/1000</f>
        <v>0</v>
      </c>
      <c r="L621" s="11">
        <f>MIN(IF(PARAM!$B$43=3,CHOOSE($L$2,F621,K621),F621+K621-F621*K621),1)</f>
        <v>8.5309999999999997E-2</v>
      </c>
      <c r="M621" s="2">
        <f>PARAM!$I$38</f>
        <v>0</v>
      </c>
      <c r="N621" s="11">
        <f>VLOOKUP(B621,DEDN!$A$8:$O$90,$N$2)*M621</f>
        <v>0</v>
      </c>
      <c r="O621" s="12"/>
      <c r="P621" s="10">
        <f>PARAM!$C$53^-A621</f>
        <v>1</v>
      </c>
      <c r="Q621" s="10">
        <f t="shared" si="183"/>
        <v>0.4245802534958345</v>
      </c>
      <c r="R621" s="10">
        <f t="shared" si="182"/>
        <v>0.4245802534958345</v>
      </c>
      <c r="S621" s="10">
        <f>CHOOSE(PARAM!$B$51,R621,R621,R621,0)*(A621&lt;PARAM!$B$55)</f>
        <v>0</v>
      </c>
      <c r="T621" s="10">
        <f t="shared" si="172"/>
        <v>3.1432944178755862E-3</v>
      </c>
      <c r="U621" s="10">
        <f>T621*P621*(A621&lt;PARAM!$B$55)</f>
        <v>0</v>
      </c>
      <c r="W621">
        <v>618</v>
      </c>
      <c r="X621" s="178">
        <f t="shared" ref="X621:AA640" si="186">X609+1</f>
        <v>83</v>
      </c>
      <c r="Y621" s="178">
        <f t="shared" si="186"/>
        <v>83</v>
      </c>
      <c r="Z621" s="178">
        <f t="shared" si="186"/>
        <v>52</v>
      </c>
      <c r="AA621" s="178">
        <f t="shared" si="186"/>
        <v>52</v>
      </c>
      <c r="AD621" s="17">
        <f>CALC!E645*(A621&lt;PARAM!$B$55)</f>
        <v>0</v>
      </c>
      <c r="AE621">
        <f>IF(A621&lt;ITER!$C$16,1,PARAM!$C$53^-(RATES!A621-ITER!$C$16))*(A621&lt;PARAM!$B$55)</f>
        <v>0</v>
      </c>
    </row>
    <row r="622" spans="1:31" x14ac:dyDescent="0.2">
      <c r="A622" s="9">
        <v>619</v>
      </c>
      <c r="B622" s="178">
        <f t="shared" si="184"/>
        <v>83</v>
      </c>
      <c r="C622" s="178">
        <f t="shared" si="184"/>
        <v>83</v>
      </c>
      <c r="D622" s="2">
        <f>PARAM!$H$38</f>
        <v>1</v>
      </c>
      <c r="E622" s="11">
        <f>PARAM!$G$38</f>
        <v>0</v>
      </c>
      <c r="F622" s="11">
        <f>(VLOOKUP(C622,DEDN!$A$8:$O$902,$F$2)*D622+E622)/1000</f>
        <v>8.5309999999999997E-2</v>
      </c>
      <c r="G622" s="178">
        <f t="shared" si="185"/>
        <v>52</v>
      </c>
      <c r="H622" s="178">
        <f t="shared" si="185"/>
        <v>52</v>
      </c>
      <c r="I622" s="2">
        <f>PARAM!$H$39</f>
        <v>0</v>
      </c>
      <c r="J622" s="11">
        <f>PARAM!$G$39</f>
        <v>0</v>
      </c>
      <c r="K622" s="11">
        <f>(VLOOKUP(H622,DEDN!$A$8:$O$902,$K$2)*I622+J622)/1000</f>
        <v>0</v>
      </c>
      <c r="L622" s="11">
        <f>MIN(IF(PARAM!$B$43=3,CHOOSE($L$2,F622,K622),F622+K622-F622*K622),1)</f>
        <v>8.5309999999999997E-2</v>
      </c>
      <c r="M622" s="2">
        <f>PARAM!$I$38</f>
        <v>0</v>
      </c>
      <c r="N622" s="11">
        <f>VLOOKUP(B622,DEDN!$A$8:$O$90,$N$2)*M622</f>
        <v>0</v>
      </c>
      <c r="O622" s="12"/>
      <c r="P622" s="10">
        <f>PARAM!$C$53^-A622</f>
        <v>1</v>
      </c>
      <c r="Q622" s="10">
        <f t="shared" si="183"/>
        <v>0.42143695907795892</v>
      </c>
      <c r="R622" s="10">
        <f t="shared" si="182"/>
        <v>0.42143695907795892</v>
      </c>
      <c r="S622" s="10">
        <f>CHOOSE(PARAM!$B$51,R622,0,0,0)*(A622&lt;PARAM!$B$55)</f>
        <v>0</v>
      </c>
      <c r="T622" s="10">
        <f t="shared" si="172"/>
        <v>3.1200236705525297E-3</v>
      </c>
      <c r="U622" s="10">
        <f>T622*P622*(A622&lt;PARAM!$B$55)</f>
        <v>0</v>
      </c>
      <c r="W622">
        <v>619</v>
      </c>
      <c r="X622" s="178">
        <f t="shared" si="186"/>
        <v>83</v>
      </c>
      <c r="Y622" s="178">
        <f t="shared" si="186"/>
        <v>83</v>
      </c>
      <c r="Z622" s="178">
        <f t="shared" si="186"/>
        <v>52</v>
      </c>
      <c r="AA622" s="178">
        <f t="shared" si="186"/>
        <v>52</v>
      </c>
      <c r="AD622" s="17">
        <f>CALC!E646*(A622&lt;PARAM!$B$55)</f>
        <v>0</v>
      </c>
      <c r="AE622">
        <f>IF(A622&lt;ITER!$C$16,1,PARAM!$C$53^-(RATES!A622-ITER!$C$16))*(A622&lt;PARAM!$B$55)</f>
        <v>0</v>
      </c>
    </row>
    <row r="623" spans="1:31" x14ac:dyDescent="0.2">
      <c r="A623" s="9">
        <v>620</v>
      </c>
      <c r="B623" s="178">
        <f t="shared" si="184"/>
        <v>83</v>
      </c>
      <c r="C623" s="178">
        <f t="shared" si="184"/>
        <v>83</v>
      </c>
      <c r="D623" s="2">
        <f>PARAM!$H$38</f>
        <v>1</v>
      </c>
      <c r="E623" s="11">
        <f>PARAM!$G$38</f>
        <v>0</v>
      </c>
      <c r="F623" s="11">
        <f>(VLOOKUP(C623,DEDN!$A$8:$O$902,$F$2)*D623+E623)/1000</f>
        <v>8.5309999999999997E-2</v>
      </c>
      <c r="G623" s="178">
        <f t="shared" si="185"/>
        <v>52</v>
      </c>
      <c r="H623" s="178">
        <f t="shared" si="185"/>
        <v>52</v>
      </c>
      <c r="I623" s="2">
        <f>PARAM!$H$39</f>
        <v>0</v>
      </c>
      <c r="J623" s="11">
        <f>PARAM!$G$39</f>
        <v>0</v>
      </c>
      <c r="K623" s="11">
        <f>(VLOOKUP(H623,DEDN!$A$8:$O$902,$K$2)*I623+J623)/1000</f>
        <v>0</v>
      </c>
      <c r="L623" s="11">
        <f>MIN(IF(PARAM!$B$43=3,CHOOSE($L$2,F623,K623),F623+K623-F623*K623),1)</f>
        <v>8.5309999999999997E-2</v>
      </c>
      <c r="M623" s="2">
        <f>PARAM!$I$38</f>
        <v>0</v>
      </c>
      <c r="N623" s="11">
        <f>VLOOKUP(B623,DEDN!$A$8:$O$90,$N$2)*M623</f>
        <v>0</v>
      </c>
      <c r="O623" s="12"/>
      <c r="P623" s="10">
        <f>PARAM!$C$53^-A623</f>
        <v>1</v>
      </c>
      <c r="Q623" s="10">
        <f t="shared" si="183"/>
        <v>0.41831693540740639</v>
      </c>
      <c r="R623" s="10">
        <f t="shared" si="182"/>
        <v>0.41831693540740639</v>
      </c>
      <c r="S623" s="10">
        <f>CHOOSE(PARAM!$B$51,R623,0,0,0)*(A623&lt;PARAM!$B$55)</f>
        <v>0</v>
      </c>
      <c r="T623" s="10">
        <f t="shared" si="172"/>
        <v>3.0969252035217831E-3</v>
      </c>
      <c r="U623" s="10">
        <f>T623*P623*(A623&lt;PARAM!$B$55)</f>
        <v>0</v>
      </c>
      <c r="W623">
        <v>620</v>
      </c>
      <c r="X623" s="178">
        <f t="shared" si="186"/>
        <v>83</v>
      </c>
      <c r="Y623" s="178">
        <f t="shared" si="186"/>
        <v>83</v>
      </c>
      <c r="Z623" s="178">
        <f t="shared" si="186"/>
        <v>52</v>
      </c>
      <c r="AA623" s="178">
        <f t="shared" si="186"/>
        <v>52</v>
      </c>
      <c r="AD623" s="17">
        <f>CALC!E647*(A623&lt;PARAM!$B$55)</f>
        <v>0</v>
      </c>
      <c r="AE623">
        <f>IF(A623&lt;ITER!$C$16,1,PARAM!$C$53^-(RATES!A623-ITER!$C$16))*(A623&lt;PARAM!$B$55)</f>
        <v>0</v>
      </c>
    </row>
    <row r="624" spans="1:31" x14ac:dyDescent="0.2">
      <c r="A624" s="9">
        <v>621</v>
      </c>
      <c r="B624" s="178">
        <f t="shared" si="184"/>
        <v>83</v>
      </c>
      <c r="C624" s="178">
        <f t="shared" si="184"/>
        <v>83</v>
      </c>
      <c r="D624" s="2">
        <f>PARAM!$H$38</f>
        <v>1</v>
      </c>
      <c r="E624" s="11">
        <f>PARAM!$G$38</f>
        <v>0</v>
      </c>
      <c r="F624" s="11">
        <f>(VLOOKUP(C624,DEDN!$A$8:$O$902,$F$2)*D624+E624)/1000</f>
        <v>8.5309999999999997E-2</v>
      </c>
      <c r="G624" s="178">
        <f t="shared" si="185"/>
        <v>52</v>
      </c>
      <c r="H624" s="178">
        <f t="shared" si="185"/>
        <v>52</v>
      </c>
      <c r="I624" s="2">
        <f>PARAM!$H$39</f>
        <v>0</v>
      </c>
      <c r="J624" s="11">
        <f>PARAM!$G$39</f>
        <v>0</v>
      </c>
      <c r="K624" s="11">
        <f>(VLOOKUP(H624,DEDN!$A$8:$O$902,$K$2)*I624+J624)/1000</f>
        <v>0</v>
      </c>
      <c r="L624" s="11">
        <f>MIN(IF(PARAM!$B$43=3,CHOOSE($L$2,F624,K624),F624+K624-F624*K624),1)</f>
        <v>8.5309999999999997E-2</v>
      </c>
      <c r="M624" s="2">
        <f>PARAM!$I$38</f>
        <v>0</v>
      </c>
      <c r="N624" s="11">
        <f>VLOOKUP(B624,DEDN!$A$8:$O$90,$N$2)*M624</f>
        <v>0</v>
      </c>
      <c r="O624" s="12"/>
      <c r="P624" s="10">
        <f>PARAM!$C$53^-A624</f>
        <v>1</v>
      </c>
      <c r="Q624" s="10">
        <f t="shared" si="183"/>
        <v>0.4152200102038846</v>
      </c>
      <c r="R624" s="10">
        <f t="shared" si="182"/>
        <v>0.4152200102038846</v>
      </c>
      <c r="S624" s="10">
        <f>CHOOSE(PARAM!$B$51,R624,R624,0,0)*(A624&lt;PARAM!$B$55)</f>
        <v>0</v>
      </c>
      <c r="T624" s="10">
        <f t="shared" si="172"/>
        <v>3.073997741340817E-3</v>
      </c>
      <c r="U624" s="10">
        <f>T624*P624*(A624&lt;PARAM!$B$55)</f>
        <v>0</v>
      </c>
      <c r="W624">
        <v>621</v>
      </c>
      <c r="X624" s="178">
        <f t="shared" si="186"/>
        <v>83</v>
      </c>
      <c r="Y624" s="178">
        <f t="shared" si="186"/>
        <v>83</v>
      </c>
      <c r="Z624" s="178">
        <f t="shared" si="186"/>
        <v>52</v>
      </c>
      <c r="AA624" s="178">
        <f t="shared" si="186"/>
        <v>52</v>
      </c>
      <c r="AD624" s="17">
        <f>CALC!E648*(A624&lt;PARAM!$B$55)</f>
        <v>0</v>
      </c>
      <c r="AE624">
        <f>IF(A624&lt;ITER!$C$16,1,PARAM!$C$53^-(RATES!A624-ITER!$C$16))*(A624&lt;PARAM!$B$55)</f>
        <v>0</v>
      </c>
    </row>
    <row r="625" spans="1:31" x14ac:dyDescent="0.2">
      <c r="A625" s="9">
        <v>622</v>
      </c>
      <c r="B625" s="178">
        <f t="shared" si="184"/>
        <v>83</v>
      </c>
      <c r="C625" s="178">
        <f t="shared" si="184"/>
        <v>83</v>
      </c>
      <c r="D625" s="2">
        <f>PARAM!$H$38</f>
        <v>1</v>
      </c>
      <c r="E625" s="11">
        <f>PARAM!$G$38</f>
        <v>0</v>
      </c>
      <c r="F625" s="11">
        <f>(VLOOKUP(C625,DEDN!$A$8:$O$902,$F$2)*D625+E625)/1000</f>
        <v>8.5309999999999997E-2</v>
      </c>
      <c r="G625" s="178">
        <f t="shared" si="185"/>
        <v>52</v>
      </c>
      <c r="H625" s="178">
        <f t="shared" si="185"/>
        <v>52</v>
      </c>
      <c r="I625" s="2">
        <f>PARAM!$H$39</f>
        <v>0</v>
      </c>
      <c r="J625" s="11">
        <f>PARAM!$G$39</f>
        <v>0</v>
      </c>
      <c r="K625" s="11">
        <f>(VLOOKUP(H625,DEDN!$A$8:$O$902,$K$2)*I625+J625)/1000</f>
        <v>0</v>
      </c>
      <c r="L625" s="11">
        <f>MIN(IF(PARAM!$B$43=3,CHOOSE($L$2,F625,K625),F625+K625-F625*K625),1)</f>
        <v>8.5309999999999997E-2</v>
      </c>
      <c r="M625" s="2">
        <f>PARAM!$I$38</f>
        <v>0</v>
      </c>
      <c r="N625" s="11">
        <f>VLOOKUP(B625,DEDN!$A$8:$O$90,$N$2)*M625</f>
        <v>0</v>
      </c>
      <c r="O625" s="12"/>
      <c r="P625" s="10">
        <f>PARAM!$C$53^-A625</f>
        <v>1</v>
      </c>
      <c r="Q625" s="10">
        <f t="shared" si="183"/>
        <v>0.41214601246254379</v>
      </c>
      <c r="R625" s="10">
        <f t="shared" si="182"/>
        <v>0.41214601246254379</v>
      </c>
      <c r="S625" s="10">
        <f>CHOOSE(PARAM!$B$51,R625,0,0,0)*(A625&lt;PARAM!$B$55)</f>
        <v>0</v>
      </c>
      <c r="T625" s="10">
        <f t="shared" si="172"/>
        <v>3.0512400180097154E-3</v>
      </c>
      <c r="U625" s="10">
        <f>T625*P625*(A625&lt;PARAM!$B$55)</f>
        <v>0</v>
      </c>
      <c r="W625">
        <v>622</v>
      </c>
      <c r="X625" s="178">
        <f t="shared" si="186"/>
        <v>83</v>
      </c>
      <c r="Y625" s="178">
        <f t="shared" si="186"/>
        <v>83</v>
      </c>
      <c r="Z625" s="178">
        <f t="shared" si="186"/>
        <v>52</v>
      </c>
      <c r="AA625" s="178">
        <f t="shared" si="186"/>
        <v>52</v>
      </c>
      <c r="AD625" s="17">
        <f>CALC!E649*(A625&lt;PARAM!$B$55)</f>
        <v>0</v>
      </c>
      <c r="AE625">
        <f>IF(A625&lt;ITER!$C$16,1,PARAM!$C$53^-(RATES!A625-ITER!$C$16))*(A625&lt;PARAM!$B$55)</f>
        <v>0</v>
      </c>
    </row>
    <row r="626" spans="1:31" x14ac:dyDescent="0.2">
      <c r="A626" s="9">
        <v>623</v>
      </c>
      <c r="B626" s="178">
        <f t="shared" si="184"/>
        <v>83</v>
      </c>
      <c r="C626" s="178">
        <f t="shared" si="184"/>
        <v>83</v>
      </c>
      <c r="D626" s="2">
        <f>PARAM!$H$38</f>
        <v>1</v>
      </c>
      <c r="E626" s="11">
        <f>PARAM!$G$38</f>
        <v>0</v>
      </c>
      <c r="F626" s="11">
        <f>(VLOOKUP(C626,DEDN!$A$8:$O$902,$F$2)*D626+E626)/1000</f>
        <v>8.5309999999999997E-2</v>
      </c>
      <c r="G626" s="178">
        <f t="shared" si="185"/>
        <v>52</v>
      </c>
      <c r="H626" s="178">
        <f t="shared" si="185"/>
        <v>52</v>
      </c>
      <c r="I626" s="2">
        <f>PARAM!$H$39</f>
        <v>0</v>
      </c>
      <c r="J626" s="11">
        <f>PARAM!$G$39</f>
        <v>0</v>
      </c>
      <c r="K626" s="11">
        <f>(VLOOKUP(H626,DEDN!$A$8:$O$902,$K$2)*I626+J626)/1000</f>
        <v>0</v>
      </c>
      <c r="L626" s="11">
        <f>MIN(IF(PARAM!$B$43=3,CHOOSE($L$2,F626,K626),F626+K626-F626*K626),1)</f>
        <v>8.5309999999999997E-2</v>
      </c>
      <c r="M626" s="2">
        <f>PARAM!$I$38</f>
        <v>0</v>
      </c>
      <c r="N626" s="11">
        <f>VLOOKUP(B626,DEDN!$A$8:$O$90,$N$2)*M626</f>
        <v>0</v>
      </c>
      <c r="O626" s="12"/>
      <c r="P626" s="10">
        <f>PARAM!$C$53^-A626</f>
        <v>1</v>
      </c>
      <c r="Q626" s="10">
        <f t="shared" si="183"/>
        <v>0.40909477244453407</v>
      </c>
      <c r="R626" s="10">
        <f t="shared" si="182"/>
        <v>0.40909477244453407</v>
      </c>
      <c r="S626" s="10">
        <f>CHOOSE(PARAM!$B$51,R626,0,0,0)*(A626&lt;PARAM!$B$55)</f>
        <v>0</v>
      </c>
      <c r="T626" s="10">
        <f t="shared" si="172"/>
        <v>3.0286507769010096E-3</v>
      </c>
      <c r="U626" s="10">
        <f>T626*P626*(A626&lt;PARAM!$B$55)</f>
        <v>0</v>
      </c>
      <c r="W626">
        <v>623</v>
      </c>
      <c r="X626" s="178">
        <f t="shared" si="186"/>
        <v>83</v>
      </c>
      <c r="Y626" s="178">
        <f t="shared" si="186"/>
        <v>83</v>
      </c>
      <c r="Z626" s="178">
        <f t="shared" si="186"/>
        <v>52</v>
      </c>
      <c r="AA626" s="178">
        <f t="shared" si="186"/>
        <v>52</v>
      </c>
      <c r="AD626" s="17">
        <f>CALC!E650*(A626&lt;PARAM!$B$55)</f>
        <v>0</v>
      </c>
      <c r="AE626">
        <f>IF(A626&lt;ITER!$C$16,1,PARAM!$C$53^-(RATES!A626-ITER!$C$16))*(A626&lt;PARAM!$B$55)</f>
        <v>0</v>
      </c>
    </row>
    <row r="627" spans="1:31" x14ac:dyDescent="0.2">
      <c r="A627" s="9">
        <v>624</v>
      </c>
      <c r="B627" s="178">
        <f t="shared" si="184"/>
        <v>83</v>
      </c>
      <c r="C627" s="178">
        <f t="shared" si="184"/>
        <v>83</v>
      </c>
      <c r="D627" s="2">
        <f>PARAM!$H$38</f>
        <v>1</v>
      </c>
      <c r="E627" s="11">
        <f>PARAM!$G$38</f>
        <v>0</v>
      </c>
      <c r="F627" s="11">
        <f>(VLOOKUP(C627,DEDN!$A$8:$O$902,$F$2)*D627+E627)/1000</f>
        <v>8.5309999999999997E-2</v>
      </c>
      <c r="G627" s="178">
        <f t="shared" si="185"/>
        <v>52</v>
      </c>
      <c r="H627" s="178">
        <f t="shared" si="185"/>
        <v>52</v>
      </c>
      <c r="I627" s="2">
        <f>PARAM!$H$39</f>
        <v>0</v>
      </c>
      <c r="J627" s="11">
        <f>PARAM!$G$39</f>
        <v>0</v>
      </c>
      <c r="K627" s="11">
        <f>(VLOOKUP(H627,DEDN!$A$8:$O$902,$K$2)*I627+J627)/1000</f>
        <v>0</v>
      </c>
      <c r="L627" s="11">
        <f>MIN(IF(PARAM!$B$43=3,CHOOSE($L$2,F627,K627),F627+K627-F627*K627),1)</f>
        <v>8.5309999999999997E-2</v>
      </c>
      <c r="M627" s="2">
        <f>PARAM!$I$38</f>
        <v>0</v>
      </c>
      <c r="N627" s="11">
        <f>VLOOKUP(B627,DEDN!$A$8:$O$90,$N$2)*M627</f>
        <v>0</v>
      </c>
      <c r="O627" s="12"/>
      <c r="P627" s="10">
        <f>PARAM!$C$53^-A627</f>
        <v>1</v>
      </c>
      <c r="Q627" s="10">
        <f t="shared" si="183"/>
        <v>0.40606612166763306</v>
      </c>
      <c r="R627" s="10">
        <f t="shared" si="182"/>
        <v>0.40606612166763306</v>
      </c>
      <c r="S627" s="10">
        <f>R627*(A627&lt;PARAM!$B$55)</f>
        <v>0</v>
      </c>
      <c r="T627" s="10">
        <f t="shared" si="172"/>
        <v>3.0062287706905111E-3</v>
      </c>
      <c r="U627" s="10">
        <f>T627*P627*(A627&lt;PARAM!$B$55)</f>
        <v>0</v>
      </c>
      <c r="W627">
        <v>624</v>
      </c>
      <c r="X627" s="178">
        <f t="shared" si="186"/>
        <v>83</v>
      </c>
      <c r="Y627" s="178">
        <f t="shared" si="186"/>
        <v>83</v>
      </c>
      <c r="Z627" s="178">
        <f t="shared" si="186"/>
        <v>52</v>
      </c>
      <c r="AA627" s="178">
        <f t="shared" si="186"/>
        <v>52</v>
      </c>
      <c r="AD627" s="17">
        <f>CALC!E651*(A627&lt;PARAM!$B$55)</f>
        <v>0</v>
      </c>
      <c r="AE627">
        <f>IF(A627&lt;ITER!$C$16,1,PARAM!$C$53^-(RATES!A627-ITER!$C$16))*(A627&lt;PARAM!$B$55)</f>
        <v>0</v>
      </c>
    </row>
    <row r="628" spans="1:31" x14ac:dyDescent="0.2">
      <c r="A628" s="9">
        <v>625</v>
      </c>
      <c r="B628" s="178">
        <f t="shared" si="184"/>
        <v>83</v>
      </c>
      <c r="C628" s="178">
        <f t="shared" si="184"/>
        <v>83</v>
      </c>
      <c r="D628" s="2">
        <f>PARAM!$H$38</f>
        <v>1</v>
      </c>
      <c r="E628" s="11">
        <f>PARAM!$G$38</f>
        <v>0</v>
      </c>
      <c r="F628" s="11">
        <f>(VLOOKUP(C628,DEDN!$A$8:$O$902,$F$2)*D628+E628)/1000</f>
        <v>8.5309999999999997E-2</v>
      </c>
      <c r="G628" s="178">
        <f t="shared" si="185"/>
        <v>52</v>
      </c>
      <c r="H628" s="178">
        <f t="shared" si="185"/>
        <v>52</v>
      </c>
      <c r="I628" s="2">
        <f>PARAM!$H$39</f>
        <v>0</v>
      </c>
      <c r="J628" s="11">
        <f>PARAM!$G$39</f>
        <v>0</v>
      </c>
      <c r="K628" s="11">
        <f>(VLOOKUP(H628,DEDN!$A$8:$O$902,$K$2)*I628+J628)/1000</f>
        <v>0</v>
      </c>
      <c r="L628" s="11">
        <f>MIN(IF(PARAM!$B$43=3,CHOOSE($L$2,F628,K628),F628+K628-F628*K628),1)</f>
        <v>8.5309999999999997E-2</v>
      </c>
      <c r="M628" s="2">
        <f>PARAM!$I$38</f>
        <v>0</v>
      </c>
      <c r="N628" s="11">
        <f>VLOOKUP(B628,DEDN!$A$8:$O$90,$N$2)*M628</f>
        <v>0</v>
      </c>
      <c r="O628" s="12"/>
      <c r="P628" s="10">
        <f>PARAM!$C$53^-A628</f>
        <v>1</v>
      </c>
      <c r="Q628" s="10">
        <f t="shared" si="183"/>
        <v>0.40305989289694255</v>
      </c>
      <c r="R628" s="10">
        <f t="shared" ref="R628:R643" si="187">P628*Q628</f>
        <v>0.40305989289694255</v>
      </c>
      <c r="S628" s="10">
        <f>CHOOSE(PARAM!$B$51,R628,0,0,0)*(A628&lt;PARAM!$B$55)</f>
        <v>0</v>
      </c>
      <c r="T628" s="10">
        <f t="shared" si="172"/>
        <v>2.9839727612883671E-3</v>
      </c>
      <c r="U628" s="10">
        <f>T628*P628*(A628&lt;PARAM!$B$55)</f>
        <v>0</v>
      </c>
      <c r="W628">
        <v>625</v>
      </c>
      <c r="X628" s="178">
        <f t="shared" si="186"/>
        <v>83</v>
      </c>
      <c r="Y628" s="178">
        <f t="shared" si="186"/>
        <v>83</v>
      </c>
      <c r="Z628" s="178">
        <f t="shared" si="186"/>
        <v>52</v>
      </c>
      <c r="AA628" s="178">
        <f t="shared" si="186"/>
        <v>52</v>
      </c>
      <c r="AD628" s="17">
        <f>CALC!E652*(A628&lt;PARAM!$B$55)</f>
        <v>0</v>
      </c>
      <c r="AE628">
        <f>IF(A628&lt;ITER!$C$16,1,PARAM!$C$53^-(RATES!A628-ITER!$C$16))*(A628&lt;PARAM!$B$55)</f>
        <v>0</v>
      </c>
    </row>
    <row r="629" spans="1:31" x14ac:dyDescent="0.2">
      <c r="A629" s="9">
        <v>626</v>
      </c>
      <c r="B629" s="178">
        <f t="shared" si="184"/>
        <v>83</v>
      </c>
      <c r="C629" s="178">
        <f t="shared" si="184"/>
        <v>83</v>
      </c>
      <c r="D629" s="2">
        <f>PARAM!$H$38</f>
        <v>1</v>
      </c>
      <c r="E629" s="11">
        <f>PARAM!$G$38</f>
        <v>0</v>
      </c>
      <c r="F629" s="11">
        <f>(VLOOKUP(C629,DEDN!$A$8:$O$902,$F$2)*D629+E629)/1000</f>
        <v>8.5309999999999997E-2</v>
      </c>
      <c r="G629" s="178">
        <f t="shared" si="185"/>
        <v>52</v>
      </c>
      <c r="H629" s="178">
        <f t="shared" si="185"/>
        <v>52</v>
      </c>
      <c r="I629" s="2">
        <f>PARAM!$H$39</f>
        <v>0</v>
      </c>
      <c r="J629" s="11">
        <f>PARAM!$G$39</f>
        <v>0</v>
      </c>
      <c r="K629" s="11">
        <f>(VLOOKUP(H629,DEDN!$A$8:$O$902,$K$2)*I629+J629)/1000</f>
        <v>0</v>
      </c>
      <c r="L629" s="11">
        <f>MIN(IF(PARAM!$B$43=3,CHOOSE($L$2,F629,K629),F629+K629-F629*K629),1)</f>
        <v>8.5309999999999997E-2</v>
      </c>
      <c r="M629" s="2">
        <f>PARAM!$I$38</f>
        <v>0</v>
      </c>
      <c r="N629" s="11">
        <f>VLOOKUP(B629,DEDN!$A$8:$O$90,$N$2)*M629</f>
        <v>0</v>
      </c>
      <c r="O629" s="12"/>
      <c r="P629" s="10">
        <f>PARAM!$C$53^-A629</f>
        <v>1</v>
      </c>
      <c r="Q629" s="10">
        <f t="shared" ref="Q629:Q644" si="188">Q628*(1-L628)^(1/12)</f>
        <v>0.40007592013565418</v>
      </c>
      <c r="R629" s="10">
        <f t="shared" si="187"/>
        <v>0.40007592013565418</v>
      </c>
      <c r="S629" s="10">
        <f>CHOOSE(PARAM!$B$51,R629,0,0,0)*(A629&lt;PARAM!$B$55)</f>
        <v>0</v>
      </c>
      <c r="T629" s="10">
        <f t="shared" si="172"/>
        <v>2.961881519770615E-3</v>
      </c>
      <c r="U629" s="10">
        <f>T629*P629*(A629&lt;PARAM!$B$55)</f>
        <v>0</v>
      </c>
      <c r="W629">
        <v>626</v>
      </c>
      <c r="X629" s="178">
        <f t="shared" si="186"/>
        <v>83</v>
      </c>
      <c r="Y629" s="178">
        <f t="shared" si="186"/>
        <v>83</v>
      </c>
      <c r="Z629" s="178">
        <f t="shared" si="186"/>
        <v>52</v>
      </c>
      <c r="AA629" s="178">
        <f t="shared" si="186"/>
        <v>52</v>
      </c>
      <c r="AD629" s="17">
        <f>CALC!E653*(A629&lt;PARAM!$B$55)</f>
        <v>0</v>
      </c>
      <c r="AE629">
        <f>IF(A629&lt;ITER!$C$16,1,PARAM!$C$53^-(RATES!A629-ITER!$C$16))*(A629&lt;PARAM!$B$55)</f>
        <v>0</v>
      </c>
    </row>
    <row r="630" spans="1:31" x14ac:dyDescent="0.2">
      <c r="A630" s="9">
        <v>627</v>
      </c>
      <c r="B630" s="178">
        <f t="shared" si="184"/>
        <v>83</v>
      </c>
      <c r="C630" s="178">
        <f t="shared" si="184"/>
        <v>83</v>
      </c>
      <c r="D630" s="2">
        <f>PARAM!$H$38</f>
        <v>1</v>
      </c>
      <c r="E630" s="11">
        <f>PARAM!$G$38</f>
        <v>0</v>
      </c>
      <c r="F630" s="11">
        <f>(VLOOKUP(C630,DEDN!$A$8:$O$902,$F$2)*D630+E630)/1000</f>
        <v>8.5309999999999997E-2</v>
      </c>
      <c r="G630" s="178">
        <f t="shared" si="185"/>
        <v>52</v>
      </c>
      <c r="H630" s="178">
        <f t="shared" si="185"/>
        <v>52</v>
      </c>
      <c r="I630" s="2">
        <f>PARAM!$H$39</f>
        <v>0</v>
      </c>
      <c r="J630" s="11">
        <f>PARAM!$G$39</f>
        <v>0</v>
      </c>
      <c r="K630" s="11">
        <f>(VLOOKUP(H630,DEDN!$A$8:$O$902,$K$2)*I630+J630)/1000</f>
        <v>0</v>
      </c>
      <c r="L630" s="11">
        <f>MIN(IF(PARAM!$B$43=3,CHOOSE($L$2,F630,K630),F630+K630-F630*K630),1)</f>
        <v>8.5309999999999997E-2</v>
      </c>
      <c r="M630" s="2">
        <f>PARAM!$I$38</f>
        <v>0</v>
      </c>
      <c r="N630" s="11">
        <f>VLOOKUP(B630,DEDN!$A$8:$O$90,$N$2)*M630</f>
        <v>0</v>
      </c>
      <c r="O630" s="12"/>
      <c r="P630" s="10">
        <f>PARAM!$C$53^-A630</f>
        <v>1</v>
      </c>
      <c r="Q630" s="10">
        <f t="shared" si="188"/>
        <v>0.39711403861588357</v>
      </c>
      <c r="R630" s="10">
        <f t="shared" si="187"/>
        <v>0.39711403861588357</v>
      </c>
      <c r="S630" s="10">
        <f>CHOOSE(PARAM!$B$51,R630,R630,0,0)*(A630&lt;PARAM!$B$55)</f>
        <v>0</v>
      </c>
      <c r="T630" s="10">
        <f t="shared" si="172"/>
        <v>2.9399538263113478E-3</v>
      </c>
      <c r="U630" s="10">
        <f>T630*P630*(A630&lt;PARAM!$B$55)</f>
        <v>0</v>
      </c>
      <c r="W630">
        <v>627</v>
      </c>
      <c r="X630" s="178">
        <f t="shared" si="186"/>
        <v>83</v>
      </c>
      <c r="Y630" s="178">
        <f t="shared" si="186"/>
        <v>83</v>
      </c>
      <c r="Z630" s="178">
        <f t="shared" si="186"/>
        <v>52</v>
      </c>
      <c r="AA630" s="178">
        <f t="shared" si="186"/>
        <v>52</v>
      </c>
      <c r="AD630" s="17">
        <f>CALC!E654*(A630&lt;PARAM!$B$55)</f>
        <v>0</v>
      </c>
      <c r="AE630">
        <f>IF(A630&lt;ITER!$C$16,1,PARAM!$C$53^-(RATES!A630-ITER!$C$16))*(A630&lt;PARAM!$B$55)</f>
        <v>0</v>
      </c>
    </row>
    <row r="631" spans="1:31" x14ac:dyDescent="0.2">
      <c r="A631" s="9">
        <v>628</v>
      </c>
      <c r="B631" s="178">
        <f t="shared" si="184"/>
        <v>83</v>
      </c>
      <c r="C631" s="178">
        <f t="shared" si="184"/>
        <v>83</v>
      </c>
      <c r="D631" s="2">
        <f>PARAM!$H$38</f>
        <v>1</v>
      </c>
      <c r="E631" s="11">
        <f>PARAM!$G$38</f>
        <v>0</v>
      </c>
      <c r="F631" s="11">
        <f>(VLOOKUP(C631,DEDN!$A$8:$O$902,$F$2)*D631+E631)/1000</f>
        <v>8.5309999999999997E-2</v>
      </c>
      <c r="G631" s="178">
        <f t="shared" si="185"/>
        <v>52</v>
      </c>
      <c r="H631" s="178">
        <f t="shared" si="185"/>
        <v>52</v>
      </c>
      <c r="I631" s="2">
        <f>PARAM!$H$39</f>
        <v>0</v>
      </c>
      <c r="J631" s="11">
        <f>PARAM!$G$39</f>
        <v>0</v>
      </c>
      <c r="K631" s="11">
        <f>(VLOOKUP(H631,DEDN!$A$8:$O$902,$K$2)*I631+J631)/1000</f>
        <v>0</v>
      </c>
      <c r="L631" s="11">
        <f>MIN(IF(PARAM!$B$43=3,CHOOSE($L$2,F631,K631),F631+K631-F631*K631),1)</f>
        <v>8.5309999999999997E-2</v>
      </c>
      <c r="M631" s="2">
        <f>PARAM!$I$38</f>
        <v>0</v>
      </c>
      <c r="N631" s="11">
        <f>VLOOKUP(B631,DEDN!$A$8:$O$90,$N$2)*M631</f>
        <v>0</v>
      </c>
      <c r="O631" s="12"/>
      <c r="P631" s="10">
        <f>PARAM!$C$53^-A631</f>
        <v>1</v>
      </c>
      <c r="Q631" s="10">
        <f t="shared" si="188"/>
        <v>0.39417408478957222</v>
      </c>
      <c r="R631" s="10">
        <f t="shared" si="187"/>
        <v>0.39417408478957222</v>
      </c>
      <c r="S631" s="10">
        <f>CHOOSE(PARAM!$B$51,R631,0,0,0)*(A631&lt;PARAM!$B$55)</f>
        <v>0</v>
      </c>
      <c r="T631" s="10">
        <f t="shared" si="172"/>
        <v>2.9181884701155458E-3</v>
      </c>
      <c r="U631" s="10">
        <f>T631*P631*(A631&lt;PARAM!$B$55)</f>
        <v>0</v>
      </c>
      <c r="W631">
        <v>628</v>
      </c>
      <c r="X631" s="178">
        <f t="shared" si="186"/>
        <v>83</v>
      </c>
      <c r="Y631" s="178">
        <f t="shared" si="186"/>
        <v>83</v>
      </c>
      <c r="Z631" s="178">
        <f t="shared" si="186"/>
        <v>52</v>
      </c>
      <c r="AA631" s="178">
        <f t="shared" si="186"/>
        <v>52</v>
      </c>
      <c r="AD631" s="17">
        <f>CALC!E655*(A631&lt;PARAM!$B$55)</f>
        <v>0</v>
      </c>
      <c r="AE631">
        <f>IF(A631&lt;ITER!$C$16,1,PARAM!$C$53^-(RATES!A631-ITER!$C$16))*(A631&lt;PARAM!$B$55)</f>
        <v>0</v>
      </c>
    </row>
    <row r="632" spans="1:31" x14ac:dyDescent="0.2">
      <c r="A632" s="9">
        <v>629</v>
      </c>
      <c r="B632" s="178">
        <f t="shared" si="184"/>
        <v>83</v>
      </c>
      <c r="C632" s="178">
        <f t="shared" si="184"/>
        <v>83</v>
      </c>
      <c r="D632" s="2">
        <f>PARAM!$H$38</f>
        <v>1</v>
      </c>
      <c r="E632" s="11">
        <f>PARAM!$G$38</f>
        <v>0</v>
      </c>
      <c r="F632" s="11">
        <f>(VLOOKUP(C632,DEDN!$A$8:$O$902,$F$2)*D632+E632)/1000</f>
        <v>8.5309999999999997E-2</v>
      </c>
      <c r="G632" s="178">
        <f t="shared" si="185"/>
        <v>52</v>
      </c>
      <c r="H632" s="178">
        <f t="shared" si="185"/>
        <v>52</v>
      </c>
      <c r="I632" s="2">
        <f>PARAM!$H$39</f>
        <v>0</v>
      </c>
      <c r="J632" s="11">
        <f>PARAM!$G$39</f>
        <v>0</v>
      </c>
      <c r="K632" s="11">
        <f>(VLOOKUP(H632,DEDN!$A$8:$O$902,$K$2)*I632+J632)/1000</f>
        <v>0</v>
      </c>
      <c r="L632" s="11">
        <f>MIN(IF(PARAM!$B$43=3,CHOOSE($L$2,F632,K632),F632+K632-F632*K632),1)</f>
        <v>8.5309999999999997E-2</v>
      </c>
      <c r="M632" s="2">
        <f>PARAM!$I$38</f>
        <v>0</v>
      </c>
      <c r="N632" s="11">
        <f>VLOOKUP(B632,DEDN!$A$8:$O$90,$N$2)*M632</f>
        <v>0</v>
      </c>
      <c r="O632" s="12"/>
      <c r="P632" s="10">
        <f>PARAM!$C$53^-A632</f>
        <v>1</v>
      </c>
      <c r="Q632" s="10">
        <f t="shared" si="188"/>
        <v>0.39125589631945668</v>
      </c>
      <c r="R632" s="10">
        <f t="shared" si="187"/>
        <v>0.39125589631945668</v>
      </c>
      <c r="S632" s="10">
        <f>CHOOSE(PARAM!$B$51,R632,0,0,0)*(A632&lt;PARAM!$B$55)</f>
        <v>0</v>
      </c>
      <c r="T632" s="10">
        <f t="shared" si="172"/>
        <v>2.8965842493518523E-3</v>
      </c>
      <c r="U632" s="10">
        <f>T632*P632*(A632&lt;PARAM!$B$55)</f>
        <v>0</v>
      </c>
      <c r="W632">
        <v>629</v>
      </c>
      <c r="X632" s="178">
        <f t="shared" si="186"/>
        <v>83</v>
      </c>
      <c r="Y632" s="178">
        <f t="shared" si="186"/>
        <v>83</v>
      </c>
      <c r="Z632" s="178">
        <f t="shared" si="186"/>
        <v>52</v>
      </c>
      <c r="AA632" s="178">
        <f t="shared" si="186"/>
        <v>52</v>
      </c>
      <c r="AD632" s="17">
        <f>CALC!E656*(A632&lt;PARAM!$B$55)</f>
        <v>0</v>
      </c>
      <c r="AE632">
        <f>IF(A632&lt;ITER!$C$16,1,PARAM!$C$53^-(RATES!A632-ITER!$C$16))*(A632&lt;PARAM!$B$55)</f>
        <v>0</v>
      </c>
    </row>
    <row r="633" spans="1:31" x14ac:dyDescent="0.2">
      <c r="A633" s="9">
        <v>630</v>
      </c>
      <c r="B633" s="178">
        <f t="shared" si="184"/>
        <v>84</v>
      </c>
      <c r="C633" s="178">
        <f t="shared" si="184"/>
        <v>84</v>
      </c>
      <c r="D633" s="2">
        <f>PARAM!$H$38</f>
        <v>1</v>
      </c>
      <c r="E633" s="11">
        <f>PARAM!$G$38</f>
        <v>0</v>
      </c>
      <c r="F633" s="11">
        <f>(VLOOKUP(C633,DEDN!$A$8:$O$902,$F$2)*D633+E633)/1000</f>
        <v>9.3060000000000004E-2</v>
      </c>
      <c r="G633" s="178">
        <f t="shared" si="185"/>
        <v>53</v>
      </c>
      <c r="H633" s="178">
        <f t="shared" si="185"/>
        <v>53</v>
      </c>
      <c r="I633" s="2">
        <f>PARAM!$H$39</f>
        <v>0</v>
      </c>
      <c r="J633" s="11">
        <f>PARAM!$G$39</f>
        <v>0</v>
      </c>
      <c r="K633" s="11">
        <f>(VLOOKUP(H633,DEDN!$A$8:$O$902,$K$2)*I633+J633)/1000</f>
        <v>0</v>
      </c>
      <c r="L633" s="11">
        <f>MIN(IF(PARAM!$B$43=3,CHOOSE($L$2,F633,K633),F633+K633-F633*K633),1)</f>
        <v>9.3060000000000004E-2</v>
      </c>
      <c r="M633" s="2">
        <f>PARAM!$I$38</f>
        <v>0</v>
      </c>
      <c r="N633" s="11">
        <f>VLOOKUP(B633,DEDN!$A$8:$O$90,$N$2)*M633</f>
        <v>0</v>
      </c>
      <c r="O633" s="12"/>
      <c r="P633" s="10">
        <f>PARAM!$C$53^-A633</f>
        <v>1</v>
      </c>
      <c r="Q633" s="10">
        <f>Q632*(1-L632)^(1/12)</f>
        <v>0.38835931207010482</v>
      </c>
      <c r="R633" s="10">
        <f t="shared" si="187"/>
        <v>0.38835931207010482</v>
      </c>
      <c r="S633" s="10">
        <f>CHOOSE(PARAM!$B$51,R633,R633,R633,0)*(A633&lt;PARAM!$B$55)</f>
        <v>0</v>
      </c>
      <c r="T633" s="10">
        <f t="shared" si="172"/>
        <v>3.148380733414391E-3</v>
      </c>
      <c r="U633" s="10">
        <f>T633*P633*(A633&lt;PARAM!$B$55)</f>
        <v>0</v>
      </c>
      <c r="W633">
        <v>630</v>
      </c>
      <c r="X633" s="178">
        <f t="shared" si="186"/>
        <v>84</v>
      </c>
      <c r="Y633" s="178">
        <f t="shared" si="186"/>
        <v>84</v>
      </c>
      <c r="Z633" s="178">
        <f t="shared" si="186"/>
        <v>53</v>
      </c>
      <c r="AA633" s="178">
        <f t="shared" si="186"/>
        <v>53</v>
      </c>
      <c r="AD633" s="17">
        <f>CALC!E657*(A633&lt;PARAM!$B$55)</f>
        <v>0</v>
      </c>
      <c r="AE633">
        <f>IF(A633&lt;ITER!$C$16,1,PARAM!$C$53^-(RATES!A633-ITER!$C$16))*(A633&lt;PARAM!$B$55)</f>
        <v>0</v>
      </c>
    </row>
    <row r="634" spans="1:31" x14ac:dyDescent="0.2">
      <c r="A634" s="9">
        <v>631</v>
      </c>
      <c r="B634" s="178">
        <f t="shared" si="184"/>
        <v>84</v>
      </c>
      <c r="C634" s="178">
        <f t="shared" si="184"/>
        <v>84</v>
      </c>
      <c r="D634" s="2">
        <f>PARAM!$H$38</f>
        <v>1</v>
      </c>
      <c r="E634" s="11">
        <f>PARAM!$G$38</f>
        <v>0</v>
      </c>
      <c r="F634" s="11">
        <f>(VLOOKUP(C634,DEDN!$A$8:$O$902,$F$2)*D634+E634)/1000</f>
        <v>9.3060000000000004E-2</v>
      </c>
      <c r="G634" s="178">
        <f t="shared" si="185"/>
        <v>53</v>
      </c>
      <c r="H634" s="178">
        <f t="shared" si="185"/>
        <v>53</v>
      </c>
      <c r="I634" s="2">
        <f>PARAM!$H$39</f>
        <v>0</v>
      </c>
      <c r="J634" s="11">
        <f>PARAM!$G$39</f>
        <v>0</v>
      </c>
      <c r="K634" s="11">
        <f>(VLOOKUP(H634,DEDN!$A$8:$O$902,$K$2)*I634+J634)/1000</f>
        <v>0</v>
      </c>
      <c r="L634" s="11">
        <f>MIN(IF(PARAM!$B$43=3,CHOOSE($L$2,F634,K634),F634+K634-F634*K634),1)</f>
        <v>9.3060000000000004E-2</v>
      </c>
      <c r="M634" s="2">
        <f>PARAM!$I$38</f>
        <v>0</v>
      </c>
      <c r="N634" s="11">
        <f>VLOOKUP(B634,DEDN!$A$8:$O$90,$N$2)*M634</f>
        <v>0</v>
      </c>
      <c r="O634" s="12"/>
      <c r="P634" s="10">
        <f>PARAM!$C$53^-A634</f>
        <v>1</v>
      </c>
      <c r="Q634" s="10">
        <f t="shared" si="188"/>
        <v>0.38521093133669043</v>
      </c>
      <c r="R634" s="10">
        <f t="shared" si="187"/>
        <v>0.38521093133669043</v>
      </c>
      <c r="S634" s="10">
        <f>CHOOSE(PARAM!$B$51,R634,0,0,0)*(A634&lt;PARAM!$B$55)</f>
        <v>0</v>
      </c>
      <c r="T634" s="10">
        <f t="shared" si="172"/>
        <v>3.1228572016372969E-3</v>
      </c>
      <c r="U634" s="10">
        <f>T634*P634*(A634&lt;PARAM!$B$55)</f>
        <v>0</v>
      </c>
      <c r="W634">
        <v>631</v>
      </c>
      <c r="X634" s="178">
        <f t="shared" si="186"/>
        <v>84</v>
      </c>
      <c r="Y634" s="178">
        <f t="shared" si="186"/>
        <v>84</v>
      </c>
      <c r="Z634" s="178">
        <f t="shared" si="186"/>
        <v>53</v>
      </c>
      <c r="AA634" s="178">
        <f t="shared" si="186"/>
        <v>53</v>
      </c>
      <c r="AD634" s="17">
        <f>CALC!E658*(A634&lt;PARAM!$B$55)</f>
        <v>0</v>
      </c>
      <c r="AE634">
        <f>IF(A634&lt;ITER!$C$16,1,PARAM!$C$53^-(RATES!A634-ITER!$C$16))*(A634&lt;PARAM!$B$55)</f>
        <v>0</v>
      </c>
    </row>
    <row r="635" spans="1:31" x14ac:dyDescent="0.2">
      <c r="A635" s="9">
        <v>632</v>
      </c>
      <c r="B635" s="178">
        <f t="shared" si="184"/>
        <v>84</v>
      </c>
      <c r="C635" s="178">
        <f t="shared" si="184"/>
        <v>84</v>
      </c>
      <c r="D635" s="2">
        <f>PARAM!$H$38</f>
        <v>1</v>
      </c>
      <c r="E635" s="11">
        <f>PARAM!$G$38</f>
        <v>0</v>
      </c>
      <c r="F635" s="11">
        <f>(VLOOKUP(C635,DEDN!$A$8:$O$902,$F$2)*D635+E635)/1000</f>
        <v>9.3060000000000004E-2</v>
      </c>
      <c r="G635" s="178">
        <f t="shared" si="185"/>
        <v>53</v>
      </c>
      <c r="H635" s="178">
        <f t="shared" si="185"/>
        <v>53</v>
      </c>
      <c r="I635" s="2">
        <f>PARAM!$H$39</f>
        <v>0</v>
      </c>
      <c r="J635" s="11">
        <f>PARAM!$G$39</f>
        <v>0</v>
      </c>
      <c r="K635" s="11">
        <f>(VLOOKUP(H635,DEDN!$A$8:$O$902,$K$2)*I635+J635)/1000</f>
        <v>0</v>
      </c>
      <c r="L635" s="11">
        <f>MIN(IF(PARAM!$B$43=3,CHOOSE($L$2,F635,K635),F635+K635-F635*K635),1)</f>
        <v>9.3060000000000004E-2</v>
      </c>
      <c r="M635" s="2">
        <f>PARAM!$I$38</f>
        <v>0</v>
      </c>
      <c r="N635" s="11">
        <f>VLOOKUP(B635,DEDN!$A$8:$O$90,$N$2)*M635</f>
        <v>0</v>
      </c>
      <c r="O635" s="12"/>
      <c r="P635" s="10">
        <f>PARAM!$C$53^-A635</f>
        <v>1</v>
      </c>
      <c r="Q635" s="10">
        <f t="shared" si="188"/>
        <v>0.38208807413505314</v>
      </c>
      <c r="R635" s="10">
        <f t="shared" si="187"/>
        <v>0.38208807413505314</v>
      </c>
      <c r="S635" s="10">
        <f>CHOOSE(PARAM!$B$51,R635,0,0,0)*(A635&lt;PARAM!$B$55)</f>
        <v>0</v>
      </c>
      <c r="T635" s="10">
        <f t="shared" si="172"/>
        <v>3.0975405859640093E-3</v>
      </c>
      <c r="U635" s="10">
        <f>T635*P635*(A635&lt;PARAM!$B$55)</f>
        <v>0</v>
      </c>
      <c r="W635">
        <v>632</v>
      </c>
      <c r="X635" s="178">
        <f t="shared" si="186"/>
        <v>84</v>
      </c>
      <c r="Y635" s="178">
        <f t="shared" si="186"/>
        <v>84</v>
      </c>
      <c r="Z635" s="178">
        <f t="shared" si="186"/>
        <v>53</v>
      </c>
      <c r="AA635" s="178">
        <f t="shared" si="186"/>
        <v>53</v>
      </c>
      <c r="AD635" s="17">
        <f>CALC!E659*(A635&lt;PARAM!$B$55)</f>
        <v>0</v>
      </c>
      <c r="AE635">
        <f>IF(A635&lt;ITER!$C$16,1,PARAM!$C$53^-(RATES!A635-ITER!$C$16))*(A635&lt;PARAM!$B$55)</f>
        <v>0</v>
      </c>
    </row>
    <row r="636" spans="1:31" x14ac:dyDescent="0.2">
      <c r="A636" s="9">
        <v>633</v>
      </c>
      <c r="B636" s="178">
        <f t="shared" si="184"/>
        <v>84</v>
      </c>
      <c r="C636" s="178">
        <f t="shared" si="184"/>
        <v>84</v>
      </c>
      <c r="D636" s="2">
        <f>PARAM!$H$38</f>
        <v>1</v>
      </c>
      <c r="E636" s="11">
        <f>PARAM!$G$38</f>
        <v>0</v>
      </c>
      <c r="F636" s="11">
        <f>(VLOOKUP(C636,DEDN!$A$8:$O$902,$F$2)*D636+E636)/1000</f>
        <v>9.3060000000000004E-2</v>
      </c>
      <c r="G636" s="178">
        <f t="shared" si="185"/>
        <v>53</v>
      </c>
      <c r="H636" s="178">
        <f t="shared" si="185"/>
        <v>53</v>
      </c>
      <c r="I636" s="2">
        <f>PARAM!$H$39</f>
        <v>0</v>
      </c>
      <c r="J636" s="11">
        <f>PARAM!$G$39</f>
        <v>0</v>
      </c>
      <c r="K636" s="11">
        <f>(VLOOKUP(H636,DEDN!$A$8:$O$902,$K$2)*I636+J636)/1000</f>
        <v>0</v>
      </c>
      <c r="L636" s="11">
        <f>MIN(IF(PARAM!$B$43=3,CHOOSE($L$2,F636,K636),F636+K636-F636*K636),1)</f>
        <v>9.3060000000000004E-2</v>
      </c>
      <c r="M636" s="2">
        <f>PARAM!$I$38</f>
        <v>0</v>
      </c>
      <c r="N636" s="11">
        <f>VLOOKUP(B636,DEDN!$A$8:$O$90,$N$2)*M636</f>
        <v>0</v>
      </c>
      <c r="O636" s="12"/>
      <c r="P636" s="10">
        <f>PARAM!$C$53^-A636</f>
        <v>1</v>
      </c>
      <c r="Q636" s="10">
        <f t="shared" si="188"/>
        <v>0.37899053354908913</v>
      </c>
      <c r="R636" s="10">
        <f t="shared" si="187"/>
        <v>0.37899053354908913</v>
      </c>
      <c r="S636" s="10">
        <f>CHOOSE(PARAM!$B$51,R636,R636,0,0)*(A636&lt;PARAM!$B$55)</f>
        <v>0</v>
      </c>
      <c r="T636" s="10">
        <f t="shared" si="172"/>
        <v>3.0724292089511773E-3</v>
      </c>
      <c r="U636" s="10">
        <f>T636*P636*(A636&lt;PARAM!$B$55)</f>
        <v>0</v>
      </c>
      <c r="W636">
        <v>633</v>
      </c>
      <c r="X636" s="178">
        <f t="shared" si="186"/>
        <v>84</v>
      </c>
      <c r="Y636" s="178">
        <f t="shared" si="186"/>
        <v>84</v>
      </c>
      <c r="Z636" s="178">
        <f t="shared" si="186"/>
        <v>53</v>
      </c>
      <c r="AA636" s="178">
        <f t="shared" si="186"/>
        <v>53</v>
      </c>
      <c r="AD636" s="17">
        <f>CALC!E660*(A636&lt;PARAM!$B$55)</f>
        <v>0</v>
      </c>
      <c r="AE636">
        <f>IF(A636&lt;ITER!$C$16,1,PARAM!$C$53^-(RATES!A636-ITER!$C$16))*(A636&lt;PARAM!$B$55)</f>
        <v>0</v>
      </c>
    </row>
    <row r="637" spans="1:31" x14ac:dyDescent="0.2">
      <c r="A637" s="9">
        <v>634</v>
      </c>
      <c r="B637" s="178">
        <f t="shared" si="184"/>
        <v>84</v>
      </c>
      <c r="C637" s="178">
        <f t="shared" si="184"/>
        <v>84</v>
      </c>
      <c r="D637" s="2">
        <f>PARAM!$H$38</f>
        <v>1</v>
      </c>
      <c r="E637" s="11">
        <f>PARAM!$G$38</f>
        <v>0</v>
      </c>
      <c r="F637" s="11">
        <f>(VLOOKUP(C637,DEDN!$A$8:$O$902,$F$2)*D637+E637)/1000</f>
        <v>9.3060000000000004E-2</v>
      </c>
      <c r="G637" s="178">
        <f t="shared" si="185"/>
        <v>53</v>
      </c>
      <c r="H637" s="178">
        <f t="shared" si="185"/>
        <v>53</v>
      </c>
      <c r="I637" s="2">
        <f>PARAM!$H$39</f>
        <v>0</v>
      </c>
      <c r="J637" s="11">
        <f>PARAM!$G$39</f>
        <v>0</v>
      </c>
      <c r="K637" s="11">
        <f>(VLOOKUP(H637,DEDN!$A$8:$O$902,$K$2)*I637+J637)/1000</f>
        <v>0</v>
      </c>
      <c r="L637" s="11">
        <f>MIN(IF(PARAM!$B$43=3,CHOOSE($L$2,F637,K637),F637+K637-F637*K637),1)</f>
        <v>9.3060000000000004E-2</v>
      </c>
      <c r="M637" s="2">
        <f>PARAM!$I$38</f>
        <v>0</v>
      </c>
      <c r="N637" s="11">
        <f>VLOOKUP(B637,DEDN!$A$8:$O$90,$N$2)*M637</f>
        <v>0</v>
      </c>
      <c r="O637" s="12"/>
      <c r="P637" s="10">
        <f>PARAM!$C$53^-A637</f>
        <v>1</v>
      </c>
      <c r="Q637" s="10">
        <f t="shared" si="188"/>
        <v>0.37591810434013795</v>
      </c>
      <c r="R637" s="10">
        <f t="shared" si="187"/>
        <v>0.37591810434013795</v>
      </c>
      <c r="S637" s="10">
        <f>CHOOSE(PARAM!$B$51,R637,0,0,0)*(A637&lt;PARAM!$B$55)</f>
        <v>0</v>
      </c>
      <c r="T637" s="10">
        <f t="shared" si="172"/>
        <v>3.0475214067546275E-3</v>
      </c>
      <c r="U637" s="10">
        <f>T637*P637*(A637&lt;PARAM!$B$55)</f>
        <v>0</v>
      </c>
      <c r="W637">
        <v>634</v>
      </c>
      <c r="X637" s="178">
        <f t="shared" si="186"/>
        <v>84</v>
      </c>
      <c r="Y637" s="178">
        <f t="shared" si="186"/>
        <v>84</v>
      </c>
      <c r="Z637" s="178">
        <f t="shared" si="186"/>
        <v>53</v>
      </c>
      <c r="AA637" s="178">
        <f t="shared" si="186"/>
        <v>53</v>
      </c>
      <c r="AD637" s="17">
        <f>CALC!E661*(A637&lt;PARAM!$B$55)</f>
        <v>0</v>
      </c>
      <c r="AE637">
        <f>IF(A637&lt;ITER!$C$16,1,PARAM!$C$53^-(RATES!A637-ITER!$C$16))*(A637&lt;PARAM!$B$55)</f>
        <v>0</v>
      </c>
    </row>
    <row r="638" spans="1:31" x14ac:dyDescent="0.2">
      <c r="A638" s="9">
        <v>635</v>
      </c>
      <c r="B638" s="178">
        <f t="shared" si="184"/>
        <v>84</v>
      </c>
      <c r="C638" s="178">
        <f t="shared" si="184"/>
        <v>84</v>
      </c>
      <c r="D638" s="2">
        <f>PARAM!$H$38</f>
        <v>1</v>
      </c>
      <c r="E638" s="11">
        <f>PARAM!$G$38</f>
        <v>0</v>
      </c>
      <c r="F638" s="11">
        <f>(VLOOKUP(C638,DEDN!$A$8:$O$902,$F$2)*D638+E638)/1000</f>
        <v>9.3060000000000004E-2</v>
      </c>
      <c r="G638" s="178">
        <f t="shared" si="185"/>
        <v>53</v>
      </c>
      <c r="H638" s="178">
        <f t="shared" si="185"/>
        <v>53</v>
      </c>
      <c r="I638" s="2">
        <f>PARAM!$H$39</f>
        <v>0</v>
      </c>
      <c r="J638" s="11">
        <f>PARAM!$G$39</f>
        <v>0</v>
      </c>
      <c r="K638" s="11">
        <f>(VLOOKUP(H638,DEDN!$A$8:$O$902,$K$2)*I638+J638)/1000</f>
        <v>0</v>
      </c>
      <c r="L638" s="11">
        <f>MIN(IF(PARAM!$B$43=3,CHOOSE($L$2,F638,K638),F638+K638-F638*K638),1)</f>
        <v>9.3060000000000004E-2</v>
      </c>
      <c r="M638" s="2">
        <f>PARAM!$I$38</f>
        <v>0</v>
      </c>
      <c r="N638" s="11">
        <f>VLOOKUP(B638,DEDN!$A$8:$O$90,$N$2)*M638</f>
        <v>0</v>
      </c>
      <c r="O638" s="12"/>
      <c r="P638" s="10">
        <f>PARAM!$C$53^-A638</f>
        <v>1</v>
      </c>
      <c r="Q638" s="10">
        <f t="shared" si="188"/>
        <v>0.37287058293338332</v>
      </c>
      <c r="R638" s="10">
        <f t="shared" si="187"/>
        <v>0.37287058293338332</v>
      </c>
      <c r="S638" s="10">
        <f>CHOOSE(PARAM!$B$51,R638,0,0,0)*(A638&lt;PARAM!$B$55)</f>
        <v>0</v>
      </c>
      <c r="T638" s="10">
        <f t="shared" si="172"/>
        <v>3.0228155290185077E-3</v>
      </c>
      <c r="U638" s="10">
        <f>T638*P638*(A638&lt;PARAM!$B$55)</f>
        <v>0</v>
      </c>
      <c r="W638">
        <v>635</v>
      </c>
      <c r="X638" s="178">
        <f t="shared" si="186"/>
        <v>84</v>
      </c>
      <c r="Y638" s="178">
        <f t="shared" si="186"/>
        <v>84</v>
      </c>
      <c r="Z638" s="178">
        <f t="shared" si="186"/>
        <v>53</v>
      </c>
      <c r="AA638" s="178">
        <f t="shared" si="186"/>
        <v>53</v>
      </c>
      <c r="AD638" s="17">
        <f>CALC!E662*(A638&lt;PARAM!$B$55)</f>
        <v>0</v>
      </c>
      <c r="AE638">
        <f>IF(A638&lt;ITER!$C$16,1,PARAM!$C$53^-(RATES!A638-ITER!$C$16))*(A638&lt;PARAM!$B$55)</f>
        <v>0</v>
      </c>
    </row>
    <row r="639" spans="1:31" x14ac:dyDescent="0.2">
      <c r="A639" s="9">
        <v>636</v>
      </c>
      <c r="B639" s="178">
        <f t="shared" si="184"/>
        <v>84</v>
      </c>
      <c r="C639" s="178">
        <f t="shared" si="184"/>
        <v>84</v>
      </c>
      <c r="D639" s="2">
        <f>PARAM!$H$38</f>
        <v>1</v>
      </c>
      <c r="E639" s="11">
        <f>PARAM!$G$38</f>
        <v>0</v>
      </c>
      <c r="F639" s="11">
        <f>(VLOOKUP(C639,DEDN!$A$8:$O$902,$F$2)*D639+E639)/1000</f>
        <v>9.3060000000000004E-2</v>
      </c>
      <c r="G639" s="178">
        <f t="shared" si="185"/>
        <v>53</v>
      </c>
      <c r="H639" s="178">
        <f t="shared" si="185"/>
        <v>53</v>
      </c>
      <c r="I639" s="2">
        <f>PARAM!$H$39</f>
        <v>0</v>
      </c>
      <c r="J639" s="11">
        <f>PARAM!$G$39</f>
        <v>0</v>
      </c>
      <c r="K639" s="11">
        <f>(VLOOKUP(H639,DEDN!$A$8:$O$902,$K$2)*I639+J639)/1000</f>
        <v>0</v>
      </c>
      <c r="L639" s="11">
        <f>MIN(IF(PARAM!$B$43=3,CHOOSE($L$2,F639,K639),F639+K639-F639*K639),1)</f>
        <v>9.3060000000000004E-2</v>
      </c>
      <c r="M639" s="2">
        <f>PARAM!$I$38</f>
        <v>0</v>
      </c>
      <c r="N639" s="11">
        <f>VLOOKUP(B639,DEDN!$A$8:$O$90,$N$2)*M639</f>
        <v>0</v>
      </c>
      <c r="O639" s="12"/>
      <c r="P639" s="10">
        <f>PARAM!$C$53^-A639</f>
        <v>1</v>
      </c>
      <c r="Q639" s="10">
        <f t="shared" si="188"/>
        <v>0.36984776740436481</v>
      </c>
      <c r="R639" s="10">
        <f t="shared" si="187"/>
        <v>0.36984776740436481</v>
      </c>
      <c r="S639" s="10">
        <f>R639*(A639&lt;PARAM!$B$55)</f>
        <v>0</v>
      </c>
      <c r="T639" s="10">
        <f t="shared" si="172"/>
        <v>2.9983099387662637E-3</v>
      </c>
      <c r="U639" s="10">
        <f>T639*P639*(A639&lt;PARAM!$B$55)</f>
        <v>0</v>
      </c>
      <c r="W639">
        <v>636</v>
      </c>
      <c r="X639" s="178">
        <f t="shared" si="186"/>
        <v>84</v>
      </c>
      <c r="Y639" s="178">
        <f t="shared" si="186"/>
        <v>84</v>
      </c>
      <c r="Z639" s="178">
        <f t="shared" si="186"/>
        <v>53</v>
      </c>
      <c r="AA639" s="178">
        <f t="shared" si="186"/>
        <v>53</v>
      </c>
      <c r="AD639" s="17">
        <f>CALC!E663*(A639&lt;PARAM!$B$55)</f>
        <v>0</v>
      </c>
      <c r="AE639">
        <f>IF(A639&lt;ITER!$C$16,1,PARAM!$C$53^-(RATES!A639-ITER!$C$16))*(A639&lt;PARAM!$B$55)</f>
        <v>0</v>
      </c>
    </row>
    <row r="640" spans="1:31" x14ac:dyDescent="0.2">
      <c r="A640" s="9">
        <v>637</v>
      </c>
      <c r="B640" s="178">
        <f t="shared" si="184"/>
        <v>84</v>
      </c>
      <c r="C640" s="178">
        <f t="shared" si="184"/>
        <v>84</v>
      </c>
      <c r="D640" s="2">
        <f>PARAM!$H$38</f>
        <v>1</v>
      </c>
      <c r="E640" s="11">
        <f>PARAM!$G$38</f>
        <v>0</v>
      </c>
      <c r="F640" s="11">
        <f>(VLOOKUP(C640,DEDN!$A$8:$O$902,$F$2)*D640+E640)/1000</f>
        <v>9.3060000000000004E-2</v>
      </c>
      <c r="G640" s="178">
        <f t="shared" si="185"/>
        <v>53</v>
      </c>
      <c r="H640" s="178">
        <f t="shared" si="185"/>
        <v>53</v>
      </c>
      <c r="I640" s="2">
        <f>PARAM!$H$39</f>
        <v>0</v>
      </c>
      <c r="J640" s="11">
        <f>PARAM!$G$39</f>
        <v>0</v>
      </c>
      <c r="K640" s="11">
        <f>(VLOOKUP(H640,DEDN!$A$8:$O$902,$K$2)*I640+J640)/1000</f>
        <v>0</v>
      </c>
      <c r="L640" s="11">
        <f>MIN(IF(PARAM!$B$43=3,CHOOSE($L$2,F640,K640),F640+K640-F640*K640),1)</f>
        <v>9.3060000000000004E-2</v>
      </c>
      <c r="M640" s="2">
        <f>PARAM!$I$38</f>
        <v>0</v>
      </c>
      <c r="N640" s="11">
        <f>VLOOKUP(B640,DEDN!$A$8:$O$90,$N$2)*M640</f>
        <v>0</v>
      </c>
      <c r="O640" s="12"/>
      <c r="P640" s="10">
        <f>PARAM!$C$53^-A640</f>
        <v>1</v>
      </c>
      <c r="Q640" s="10">
        <f t="shared" si="188"/>
        <v>0.36684945746559855</v>
      </c>
      <c r="R640" s="10">
        <f t="shared" si="187"/>
        <v>0.36684945746559855</v>
      </c>
      <c r="S640" s="10">
        <f>CHOOSE(PARAM!$B$51,R640,0,0,0)*(A640&lt;PARAM!$B$55)</f>
        <v>0</v>
      </c>
      <c r="T640" s="10">
        <f t="shared" si="172"/>
        <v>2.9740030122921701E-3</v>
      </c>
      <c r="U640" s="10">
        <f>T640*P640*(A640&lt;PARAM!$B$55)</f>
        <v>0</v>
      </c>
      <c r="W640">
        <v>637</v>
      </c>
      <c r="X640" s="178">
        <f t="shared" si="186"/>
        <v>84</v>
      </c>
      <c r="Y640" s="178">
        <f t="shared" si="186"/>
        <v>84</v>
      </c>
      <c r="Z640" s="178">
        <f t="shared" si="186"/>
        <v>53</v>
      </c>
      <c r="AA640" s="178">
        <f t="shared" si="186"/>
        <v>53</v>
      </c>
      <c r="AD640" s="17">
        <f>CALC!E664*(A640&lt;PARAM!$B$55)</f>
        <v>0</v>
      </c>
      <c r="AE640">
        <f>IF(A640&lt;ITER!$C$16,1,PARAM!$C$53^-(RATES!A640-ITER!$C$16))*(A640&lt;PARAM!$B$55)</f>
        <v>0</v>
      </c>
    </row>
    <row r="641" spans="1:31" x14ac:dyDescent="0.2">
      <c r="A641" s="9">
        <v>638</v>
      </c>
      <c r="B641" s="178">
        <f t="shared" ref="B641:C660" si="189">B629+1</f>
        <v>84</v>
      </c>
      <c r="C641" s="178">
        <f t="shared" si="189"/>
        <v>84</v>
      </c>
      <c r="D641" s="2">
        <f>PARAM!$H$38</f>
        <v>1</v>
      </c>
      <c r="E641" s="11">
        <f>PARAM!$G$38</f>
        <v>0</v>
      </c>
      <c r="F641" s="11">
        <f>(VLOOKUP(C641,DEDN!$A$8:$O$902,$F$2)*D641+E641)/1000</f>
        <v>9.3060000000000004E-2</v>
      </c>
      <c r="G641" s="178">
        <f t="shared" ref="G641:H660" si="190">G629+1</f>
        <v>53</v>
      </c>
      <c r="H641" s="178">
        <f t="shared" si="190"/>
        <v>53</v>
      </c>
      <c r="I641" s="2">
        <f>PARAM!$H$39</f>
        <v>0</v>
      </c>
      <c r="J641" s="11">
        <f>PARAM!$G$39</f>
        <v>0</v>
      </c>
      <c r="K641" s="11">
        <f>(VLOOKUP(H641,DEDN!$A$8:$O$902,$K$2)*I641+J641)/1000</f>
        <v>0</v>
      </c>
      <c r="L641" s="11">
        <f>MIN(IF(PARAM!$B$43=3,CHOOSE($L$2,F641,K641),F641+K641-F641*K641),1)</f>
        <v>9.3060000000000004E-2</v>
      </c>
      <c r="M641" s="2">
        <f>PARAM!$I$38</f>
        <v>0</v>
      </c>
      <c r="N641" s="11">
        <f>VLOOKUP(B641,DEDN!$A$8:$O$90,$N$2)*M641</f>
        <v>0</v>
      </c>
      <c r="O641" s="12"/>
      <c r="P641" s="10">
        <f>PARAM!$C$53^-A641</f>
        <v>1</v>
      </c>
      <c r="Q641" s="10">
        <f t="shared" si="188"/>
        <v>0.36387545445330638</v>
      </c>
      <c r="R641" s="10">
        <f t="shared" si="187"/>
        <v>0.36387545445330638</v>
      </c>
      <c r="S641" s="10">
        <f>CHOOSE(PARAM!$B$51,R641,0,0,0)*(A641&lt;PARAM!$B$55)</f>
        <v>0</v>
      </c>
      <c r="T641" s="10">
        <f t="shared" si="172"/>
        <v>2.9498931390536387E-3</v>
      </c>
      <c r="U641" s="10">
        <f>T641*P641*(A641&lt;PARAM!$B$55)</f>
        <v>0</v>
      </c>
      <c r="W641">
        <v>638</v>
      </c>
      <c r="X641" s="178">
        <f t="shared" ref="X641:AA660" si="191">X629+1</f>
        <v>84</v>
      </c>
      <c r="Y641" s="178">
        <f t="shared" si="191"/>
        <v>84</v>
      </c>
      <c r="Z641" s="178">
        <f t="shared" si="191"/>
        <v>53</v>
      </c>
      <c r="AA641" s="178">
        <f t="shared" si="191"/>
        <v>53</v>
      </c>
      <c r="AD641" s="17">
        <f>CALC!E665*(A641&lt;PARAM!$B$55)</f>
        <v>0</v>
      </c>
      <c r="AE641">
        <f>IF(A641&lt;ITER!$C$16,1,PARAM!$C$53^-(RATES!A641-ITER!$C$16))*(A641&lt;PARAM!$B$55)</f>
        <v>0</v>
      </c>
    </row>
    <row r="642" spans="1:31" x14ac:dyDescent="0.2">
      <c r="A642" s="9">
        <v>639</v>
      </c>
      <c r="B642" s="178">
        <f t="shared" si="189"/>
        <v>84</v>
      </c>
      <c r="C642" s="178">
        <f t="shared" si="189"/>
        <v>84</v>
      </c>
      <c r="D642" s="2">
        <f>PARAM!$H$38</f>
        <v>1</v>
      </c>
      <c r="E642" s="11">
        <f>PARAM!$G$38</f>
        <v>0</v>
      </c>
      <c r="F642" s="11">
        <f>(VLOOKUP(C642,DEDN!$A$8:$O$902,$F$2)*D642+E642)/1000</f>
        <v>9.3060000000000004E-2</v>
      </c>
      <c r="G642" s="178">
        <f t="shared" si="190"/>
        <v>53</v>
      </c>
      <c r="H642" s="178">
        <f t="shared" si="190"/>
        <v>53</v>
      </c>
      <c r="I642" s="2">
        <f>PARAM!$H$39</f>
        <v>0</v>
      </c>
      <c r="J642" s="11">
        <f>PARAM!$G$39</f>
        <v>0</v>
      </c>
      <c r="K642" s="11">
        <f>(VLOOKUP(H642,DEDN!$A$8:$O$902,$K$2)*I642+J642)/1000</f>
        <v>0</v>
      </c>
      <c r="L642" s="11">
        <f>MIN(IF(PARAM!$B$43=3,CHOOSE($L$2,F642,K642),F642+K642-F642*K642),1)</f>
        <v>9.3060000000000004E-2</v>
      </c>
      <c r="M642" s="2">
        <f>PARAM!$I$38</f>
        <v>0</v>
      </c>
      <c r="N642" s="11">
        <f>VLOOKUP(B642,DEDN!$A$8:$O$90,$N$2)*M642</f>
        <v>0</v>
      </c>
      <c r="O642" s="12"/>
      <c r="P642" s="10">
        <f>PARAM!$C$53^-A642</f>
        <v>1</v>
      </c>
      <c r="Q642" s="10">
        <f t="shared" si="188"/>
        <v>0.36092556131425274</v>
      </c>
      <c r="R642" s="10">
        <f t="shared" si="187"/>
        <v>0.36092556131425274</v>
      </c>
      <c r="S642" s="10">
        <f>CHOOSE(PARAM!$B$51,R642,R642,0,0)*(A642&lt;PARAM!$B$55)</f>
        <v>0</v>
      </c>
      <c r="T642" s="10">
        <f t="shared" si="172"/>
        <v>2.9259787215645261E-3</v>
      </c>
      <c r="U642" s="10">
        <f>T642*P642*(A642&lt;PARAM!$B$55)</f>
        <v>0</v>
      </c>
      <c r="W642">
        <v>639</v>
      </c>
      <c r="X642" s="178">
        <f t="shared" si="191"/>
        <v>84</v>
      </c>
      <c r="Y642" s="178">
        <f t="shared" si="191"/>
        <v>84</v>
      </c>
      <c r="Z642" s="178">
        <f t="shared" si="191"/>
        <v>53</v>
      </c>
      <c r="AA642" s="178">
        <f t="shared" si="191"/>
        <v>53</v>
      </c>
      <c r="AD642" s="17">
        <f>CALC!E666*(A642&lt;PARAM!$B$55)</f>
        <v>0</v>
      </c>
      <c r="AE642">
        <f>IF(A642&lt;ITER!$C$16,1,PARAM!$C$53^-(RATES!A642-ITER!$C$16))*(A642&lt;PARAM!$B$55)</f>
        <v>0</v>
      </c>
    </row>
    <row r="643" spans="1:31" x14ac:dyDescent="0.2">
      <c r="A643" s="9">
        <v>640</v>
      </c>
      <c r="B643" s="178">
        <f t="shared" si="189"/>
        <v>84</v>
      </c>
      <c r="C643" s="178">
        <f t="shared" si="189"/>
        <v>84</v>
      </c>
      <c r="D643" s="2">
        <f>PARAM!$H$38</f>
        <v>1</v>
      </c>
      <c r="E643" s="11">
        <f>PARAM!$G$38</f>
        <v>0</v>
      </c>
      <c r="F643" s="11">
        <f>(VLOOKUP(C643,DEDN!$A$8:$O$902,$F$2)*D643+E643)/1000</f>
        <v>9.3060000000000004E-2</v>
      </c>
      <c r="G643" s="178">
        <f t="shared" si="190"/>
        <v>53</v>
      </c>
      <c r="H643" s="178">
        <f t="shared" si="190"/>
        <v>53</v>
      </c>
      <c r="I643" s="2">
        <f>PARAM!$H$39</f>
        <v>0</v>
      </c>
      <c r="J643" s="11">
        <f>PARAM!$G$39</f>
        <v>0</v>
      </c>
      <c r="K643" s="11">
        <f>(VLOOKUP(H643,DEDN!$A$8:$O$902,$K$2)*I643+J643)/1000</f>
        <v>0</v>
      </c>
      <c r="L643" s="11">
        <f>MIN(IF(PARAM!$B$43=3,CHOOSE($L$2,F643,K643),F643+K643-F643*K643),1)</f>
        <v>9.3060000000000004E-2</v>
      </c>
      <c r="M643" s="2">
        <f>PARAM!$I$38</f>
        <v>0</v>
      </c>
      <c r="N643" s="11">
        <f>VLOOKUP(B643,DEDN!$A$8:$O$90,$N$2)*M643</f>
        <v>0</v>
      </c>
      <c r="O643" s="12"/>
      <c r="P643" s="10">
        <f>PARAM!$C$53^-A643</f>
        <v>1</v>
      </c>
      <c r="Q643" s="10">
        <f t="shared" si="188"/>
        <v>0.35799958259268821</v>
      </c>
      <c r="R643" s="10">
        <f t="shared" si="187"/>
        <v>0.35799958259268821</v>
      </c>
      <c r="S643" s="10">
        <f>CHOOSE(PARAM!$B$51,R643,0,0,0)*(A643&lt;PARAM!$B$55)</f>
        <v>0</v>
      </c>
      <c r="T643" s="10">
        <f t="shared" si="172"/>
        <v>2.9022581752893295E-3</v>
      </c>
      <c r="U643" s="10">
        <f>T643*P643*(A643&lt;PARAM!$B$55)</f>
        <v>0</v>
      </c>
      <c r="W643">
        <v>640</v>
      </c>
      <c r="X643" s="178">
        <f t="shared" si="191"/>
        <v>84</v>
      </c>
      <c r="Y643" s="178">
        <f t="shared" si="191"/>
        <v>84</v>
      </c>
      <c r="Z643" s="178">
        <f t="shared" si="191"/>
        <v>53</v>
      </c>
      <c r="AA643" s="178">
        <f t="shared" si="191"/>
        <v>53</v>
      </c>
      <c r="AD643" s="17">
        <f>CALC!E667*(A643&lt;PARAM!$B$55)</f>
        <v>0</v>
      </c>
      <c r="AE643">
        <f>IF(A643&lt;ITER!$C$16,1,PARAM!$C$53^-(RATES!A643-ITER!$C$16))*(A643&lt;PARAM!$B$55)</f>
        <v>0</v>
      </c>
    </row>
    <row r="644" spans="1:31" x14ac:dyDescent="0.2">
      <c r="A644" s="9">
        <v>641</v>
      </c>
      <c r="B644" s="178">
        <f t="shared" si="189"/>
        <v>84</v>
      </c>
      <c r="C644" s="178">
        <f t="shared" si="189"/>
        <v>84</v>
      </c>
      <c r="D644" s="2">
        <f>PARAM!$H$38</f>
        <v>1</v>
      </c>
      <c r="E644" s="11">
        <f>PARAM!$G$38</f>
        <v>0</v>
      </c>
      <c r="F644" s="11">
        <f>(VLOOKUP(C644,DEDN!$A$8:$O$902,$F$2)*D644+E644)/1000</f>
        <v>9.3060000000000004E-2</v>
      </c>
      <c r="G644" s="178">
        <f t="shared" si="190"/>
        <v>53</v>
      </c>
      <c r="H644" s="178">
        <f t="shared" si="190"/>
        <v>53</v>
      </c>
      <c r="I644" s="2">
        <f>PARAM!$H$39</f>
        <v>0</v>
      </c>
      <c r="J644" s="11">
        <f>PARAM!$G$39</f>
        <v>0</v>
      </c>
      <c r="K644" s="11">
        <f>(VLOOKUP(H644,DEDN!$A$8:$O$902,$K$2)*I644+J644)/1000</f>
        <v>0</v>
      </c>
      <c r="L644" s="11">
        <f>MIN(IF(PARAM!$B$43=3,CHOOSE($L$2,F644,K644),F644+K644-F644*K644),1)</f>
        <v>9.3060000000000004E-2</v>
      </c>
      <c r="M644" s="2">
        <f>PARAM!$I$38</f>
        <v>0</v>
      </c>
      <c r="N644" s="11">
        <f>VLOOKUP(B644,DEDN!$A$8:$O$90,$N$2)*M644</f>
        <v>0</v>
      </c>
      <c r="O644" s="12"/>
      <c r="P644" s="10">
        <f>PARAM!$C$53^-A644</f>
        <v>1</v>
      </c>
      <c r="Q644" s="10">
        <f t="shared" si="188"/>
        <v>0.35509732441739889</v>
      </c>
      <c r="R644" s="10">
        <f t="shared" ref="R644:R659" si="192">P644*Q644</f>
        <v>0.35509732441739889</v>
      </c>
      <c r="S644" s="10">
        <f>CHOOSE(PARAM!$B$51,R644,0,0,0)*(A644&lt;PARAM!$B$55)</f>
        <v>0</v>
      </c>
      <c r="T644" s="10">
        <f t="shared" ref="T644:T707" si="193">Q644-Q645</f>
        <v>2.8787299285382151E-3</v>
      </c>
      <c r="U644" s="10">
        <f>T644*P644*(A644&lt;PARAM!$B$55)</f>
        <v>0</v>
      </c>
      <c r="W644">
        <v>641</v>
      </c>
      <c r="X644" s="178">
        <f t="shared" si="191"/>
        <v>84</v>
      </c>
      <c r="Y644" s="178">
        <f t="shared" si="191"/>
        <v>84</v>
      </c>
      <c r="Z644" s="178">
        <f t="shared" si="191"/>
        <v>53</v>
      </c>
      <c r="AA644" s="178">
        <f t="shared" si="191"/>
        <v>53</v>
      </c>
      <c r="AD644" s="17">
        <f>CALC!E668*(A644&lt;PARAM!$B$55)</f>
        <v>0</v>
      </c>
      <c r="AE644">
        <f>IF(A644&lt;ITER!$C$16,1,PARAM!$C$53^-(RATES!A644-ITER!$C$16))*(A644&lt;PARAM!$B$55)</f>
        <v>0</v>
      </c>
    </row>
    <row r="645" spans="1:31" x14ac:dyDescent="0.2">
      <c r="A645" s="9">
        <v>642</v>
      </c>
      <c r="B645" s="178">
        <f t="shared" si="189"/>
        <v>85</v>
      </c>
      <c r="C645" s="178">
        <f t="shared" si="189"/>
        <v>85</v>
      </c>
      <c r="D645" s="2">
        <f>PARAM!$H$38</f>
        <v>1</v>
      </c>
      <c r="E645" s="11">
        <f>PARAM!$G$38</f>
        <v>0</v>
      </c>
      <c r="F645" s="11">
        <f>(VLOOKUP(C645,DEDN!$A$8:$O$902,$F$2)*D645+E645)/1000</f>
        <v>0.10137</v>
      </c>
      <c r="G645" s="178">
        <f t="shared" si="190"/>
        <v>54</v>
      </c>
      <c r="H645" s="178">
        <f t="shared" si="190"/>
        <v>54</v>
      </c>
      <c r="I645" s="2">
        <f>PARAM!$H$39</f>
        <v>0</v>
      </c>
      <c r="J645" s="11">
        <f>PARAM!$G$39</f>
        <v>0</v>
      </c>
      <c r="K645" s="11">
        <f>(VLOOKUP(H645,DEDN!$A$8:$O$902,$K$2)*I645+J645)/1000</f>
        <v>0</v>
      </c>
      <c r="L645" s="11">
        <f>MIN(IF(PARAM!$B$43=3,CHOOSE($L$2,F645,K645),F645+K645-F645*K645),1)</f>
        <v>0.10137</v>
      </c>
      <c r="M645" s="2">
        <f>PARAM!$I$38</f>
        <v>0</v>
      </c>
      <c r="N645" s="11">
        <f>VLOOKUP(B645,DEDN!$A$8:$O$90,$N$2)*M645</f>
        <v>0</v>
      </c>
      <c r="O645" s="12"/>
      <c r="P645" s="10">
        <f>PARAM!$C$53^-A645</f>
        <v>1</v>
      </c>
      <c r="Q645" s="10">
        <f t="shared" ref="Q645:Q660" si="194">Q644*(1-L644)^(1/12)</f>
        <v>0.35221859448886067</v>
      </c>
      <c r="R645" s="10">
        <f t="shared" si="192"/>
        <v>0.35221859448886067</v>
      </c>
      <c r="S645" s="10">
        <f>CHOOSE(PARAM!$B$51,R645,R645,R645,0)*(A645&lt;PARAM!$B$55)</f>
        <v>0</v>
      </c>
      <c r="T645" s="10">
        <f t="shared" si="193"/>
        <v>3.1232778633549785E-3</v>
      </c>
      <c r="U645" s="10">
        <f>T645*P645*(A645&lt;PARAM!$B$55)</f>
        <v>0</v>
      </c>
      <c r="W645">
        <v>642</v>
      </c>
      <c r="X645" s="178">
        <f t="shared" si="191"/>
        <v>85</v>
      </c>
      <c r="Y645" s="178">
        <f t="shared" si="191"/>
        <v>85</v>
      </c>
      <c r="Z645" s="178">
        <f t="shared" si="191"/>
        <v>54</v>
      </c>
      <c r="AA645" s="178">
        <f t="shared" si="191"/>
        <v>54</v>
      </c>
      <c r="AD645" s="17">
        <f>CALC!E669*(A645&lt;PARAM!$B$55)</f>
        <v>0</v>
      </c>
      <c r="AE645">
        <f>IF(A645&lt;ITER!$C$16,1,PARAM!$C$53^-(RATES!A645-ITER!$C$16))*(A645&lt;PARAM!$B$55)</f>
        <v>0</v>
      </c>
    </row>
    <row r="646" spans="1:31" x14ac:dyDescent="0.2">
      <c r="A646" s="9">
        <v>643</v>
      </c>
      <c r="B646" s="178">
        <f t="shared" si="189"/>
        <v>85</v>
      </c>
      <c r="C646" s="178">
        <f t="shared" si="189"/>
        <v>85</v>
      </c>
      <c r="D646" s="2">
        <f>PARAM!$H$38</f>
        <v>1</v>
      </c>
      <c r="E646" s="11">
        <f>PARAM!$G$38</f>
        <v>0</v>
      </c>
      <c r="F646" s="11">
        <f>(VLOOKUP(C646,DEDN!$A$8:$O$902,$F$2)*D646+E646)/1000</f>
        <v>0.10137</v>
      </c>
      <c r="G646" s="178">
        <f t="shared" si="190"/>
        <v>54</v>
      </c>
      <c r="H646" s="178">
        <f t="shared" si="190"/>
        <v>54</v>
      </c>
      <c r="I646" s="2">
        <f>PARAM!$H$39</f>
        <v>0</v>
      </c>
      <c r="J646" s="11">
        <f>PARAM!$G$39</f>
        <v>0</v>
      </c>
      <c r="K646" s="11">
        <f>(VLOOKUP(H646,DEDN!$A$8:$O$902,$K$2)*I646+J646)/1000</f>
        <v>0</v>
      </c>
      <c r="L646" s="11">
        <f>MIN(IF(PARAM!$B$43=3,CHOOSE($L$2,F646,K646),F646+K646-F646*K646),1)</f>
        <v>0.10137</v>
      </c>
      <c r="M646" s="2">
        <f>PARAM!$I$38</f>
        <v>0</v>
      </c>
      <c r="N646" s="11">
        <f>VLOOKUP(B646,DEDN!$A$8:$O$90,$N$2)*M646</f>
        <v>0</v>
      </c>
      <c r="O646" s="12"/>
      <c r="P646" s="10">
        <f>PARAM!$C$53^-A646</f>
        <v>1</v>
      </c>
      <c r="Q646" s="10">
        <f t="shared" si="194"/>
        <v>0.34909531662550569</v>
      </c>
      <c r="R646" s="10">
        <f t="shared" si="192"/>
        <v>0.34909531662550569</v>
      </c>
      <c r="S646" s="10">
        <f>CHOOSE(PARAM!$B$51,R646,0,0,0)*(A646&lt;PARAM!$B$55)</f>
        <v>0</v>
      </c>
      <c r="T646" s="10">
        <f t="shared" si="193"/>
        <v>3.0955823788906267E-3</v>
      </c>
      <c r="U646" s="10">
        <f>T646*P646*(A646&lt;PARAM!$B$55)</f>
        <v>0</v>
      </c>
      <c r="W646">
        <v>643</v>
      </c>
      <c r="X646" s="178">
        <f t="shared" si="191"/>
        <v>85</v>
      </c>
      <c r="Y646" s="178">
        <f t="shared" si="191"/>
        <v>85</v>
      </c>
      <c r="Z646" s="178">
        <f t="shared" si="191"/>
        <v>54</v>
      </c>
      <c r="AA646" s="178">
        <f t="shared" si="191"/>
        <v>54</v>
      </c>
      <c r="AD646" s="17">
        <f>CALC!E670*(A646&lt;PARAM!$B$55)</f>
        <v>0</v>
      </c>
      <c r="AE646">
        <f>IF(A646&lt;ITER!$C$16,1,PARAM!$C$53^-(RATES!A646-ITER!$C$16))*(A646&lt;PARAM!$B$55)</f>
        <v>0</v>
      </c>
    </row>
    <row r="647" spans="1:31" x14ac:dyDescent="0.2">
      <c r="A647" s="9">
        <v>644</v>
      </c>
      <c r="B647" s="178">
        <f t="shared" si="189"/>
        <v>85</v>
      </c>
      <c r="C647" s="178">
        <f t="shared" si="189"/>
        <v>85</v>
      </c>
      <c r="D647" s="2">
        <f>PARAM!$H$38</f>
        <v>1</v>
      </c>
      <c r="E647" s="11">
        <f>PARAM!$G$38</f>
        <v>0</v>
      </c>
      <c r="F647" s="11">
        <f>(VLOOKUP(C647,DEDN!$A$8:$O$902,$F$2)*D647+E647)/1000</f>
        <v>0.10137</v>
      </c>
      <c r="G647" s="178">
        <f t="shared" si="190"/>
        <v>54</v>
      </c>
      <c r="H647" s="178">
        <f t="shared" si="190"/>
        <v>54</v>
      </c>
      <c r="I647" s="2">
        <f>PARAM!$H$39</f>
        <v>0</v>
      </c>
      <c r="J647" s="11">
        <f>PARAM!$G$39</f>
        <v>0</v>
      </c>
      <c r="K647" s="11">
        <f>(VLOOKUP(H647,DEDN!$A$8:$O$902,$K$2)*I647+J647)/1000</f>
        <v>0</v>
      </c>
      <c r="L647" s="11">
        <f>MIN(IF(PARAM!$B$43=3,CHOOSE($L$2,F647,K647),F647+K647-F647*K647),1)</f>
        <v>0.10137</v>
      </c>
      <c r="M647" s="2">
        <f>PARAM!$I$38</f>
        <v>0</v>
      </c>
      <c r="N647" s="11">
        <f>VLOOKUP(B647,DEDN!$A$8:$O$90,$N$2)*M647</f>
        <v>0</v>
      </c>
      <c r="O647" s="12"/>
      <c r="P647" s="10">
        <f>PARAM!$C$53^-A647</f>
        <v>1</v>
      </c>
      <c r="Q647" s="10">
        <f t="shared" si="194"/>
        <v>0.34599973424661506</v>
      </c>
      <c r="R647" s="10">
        <f t="shared" si="192"/>
        <v>0.34599973424661506</v>
      </c>
      <c r="S647" s="10">
        <f>CHOOSE(PARAM!$B$51,R647,0,0,0)*(A647&lt;PARAM!$B$55)</f>
        <v>0</v>
      </c>
      <c r="T647" s="10">
        <f t="shared" si="193"/>
        <v>3.0681324825209688E-3</v>
      </c>
      <c r="U647" s="10">
        <f>T647*P647*(A647&lt;PARAM!$B$55)</f>
        <v>0</v>
      </c>
      <c r="W647">
        <v>644</v>
      </c>
      <c r="X647" s="178">
        <f t="shared" si="191"/>
        <v>85</v>
      </c>
      <c r="Y647" s="178">
        <f t="shared" si="191"/>
        <v>85</v>
      </c>
      <c r="Z647" s="178">
        <f t="shared" si="191"/>
        <v>54</v>
      </c>
      <c r="AA647" s="178">
        <f t="shared" si="191"/>
        <v>54</v>
      </c>
      <c r="AD647" s="17">
        <f>CALC!E671*(A647&lt;PARAM!$B$55)</f>
        <v>0</v>
      </c>
      <c r="AE647">
        <f>IF(A647&lt;ITER!$C$16,1,PARAM!$C$53^-(RATES!A647-ITER!$C$16))*(A647&lt;PARAM!$B$55)</f>
        <v>0</v>
      </c>
    </row>
    <row r="648" spans="1:31" x14ac:dyDescent="0.2">
      <c r="A648" s="9">
        <v>645</v>
      </c>
      <c r="B648" s="178">
        <f t="shared" si="189"/>
        <v>85</v>
      </c>
      <c r="C648" s="178">
        <f t="shared" si="189"/>
        <v>85</v>
      </c>
      <c r="D648" s="2">
        <f>PARAM!$H$38</f>
        <v>1</v>
      </c>
      <c r="E648" s="11">
        <f>PARAM!$G$38</f>
        <v>0</v>
      </c>
      <c r="F648" s="11">
        <f>(VLOOKUP(C648,DEDN!$A$8:$O$902,$F$2)*D648+E648)/1000</f>
        <v>0.10137</v>
      </c>
      <c r="G648" s="178">
        <f t="shared" si="190"/>
        <v>54</v>
      </c>
      <c r="H648" s="178">
        <f t="shared" si="190"/>
        <v>54</v>
      </c>
      <c r="I648" s="2">
        <f>PARAM!$H$39</f>
        <v>0</v>
      </c>
      <c r="J648" s="11">
        <f>PARAM!$G$39</f>
        <v>0</v>
      </c>
      <c r="K648" s="11">
        <f>(VLOOKUP(H648,DEDN!$A$8:$O$902,$K$2)*I648+J648)/1000</f>
        <v>0</v>
      </c>
      <c r="L648" s="11">
        <f>MIN(IF(PARAM!$B$43=3,CHOOSE($L$2,F648,K648),F648+K648-F648*K648),1)</f>
        <v>0.10137</v>
      </c>
      <c r="M648" s="2">
        <f>PARAM!$I$38</f>
        <v>0</v>
      </c>
      <c r="N648" s="11">
        <f>VLOOKUP(B648,DEDN!$A$8:$O$90,$N$2)*M648</f>
        <v>0</v>
      </c>
      <c r="O648" s="12"/>
      <c r="P648" s="10">
        <f>PARAM!$C$53^-A648</f>
        <v>1</v>
      </c>
      <c r="Q648" s="10">
        <f t="shared" si="194"/>
        <v>0.3429316017640941</v>
      </c>
      <c r="R648" s="10">
        <f t="shared" si="192"/>
        <v>0.3429316017640941</v>
      </c>
      <c r="S648" s="10">
        <f>CHOOSE(PARAM!$B$51,R648,R648,0,0)*(A648&lt;PARAM!$B$55)</f>
        <v>0</v>
      </c>
      <c r="T648" s="10">
        <f t="shared" si="193"/>
        <v>3.0409259965079594E-3</v>
      </c>
      <c r="U648" s="10">
        <f>T648*P648*(A648&lt;PARAM!$B$55)</f>
        <v>0</v>
      </c>
      <c r="W648">
        <v>645</v>
      </c>
      <c r="X648" s="178">
        <f t="shared" si="191"/>
        <v>85</v>
      </c>
      <c r="Y648" s="178">
        <f t="shared" si="191"/>
        <v>85</v>
      </c>
      <c r="Z648" s="178">
        <f t="shared" si="191"/>
        <v>54</v>
      </c>
      <c r="AA648" s="178">
        <f t="shared" si="191"/>
        <v>54</v>
      </c>
      <c r="AD648" s="17">
        <f>CALC!E672*(A648&lt;PARAM!$B$55)</f>
        <v>0</v>
      </c>
      <c r="AE648">
        <f>IF(A648&lt;ITER!$C$16,1,PARAM!$C$53^-(RATES!A648-ITER!$C$16))*(A648&lt;PARAM!$B$55)</f>
        <v>0</v>
      </c>
    </row>
    <row r="649" spans="1:31" x14ac:dyDescent="0.2">
      <c r="A649" s="9">
        <v>646</v>
      </c>
      <c r="B649" s="178">
        <f t="shared" si="189"/>
        <v>85</v>
      </c>
      <c r="C649" s="178">
        <f t="shared" si="189"/>
        <v>85</v>
      </c>
      <c r="D649" s="2">
        <f>PARAM!$H$38</f>
        <v>1</v>
      </c>
      <c r="E649" s="11">
        <f>PARAM!$G$38</f>
        <v>0</v>
      </c>
      <c r="F649" s="11">
        <f>(VLOOKUP(C649,DEDN!$A$8:$O$902,$F$2)*D649+E649)/1000</f>
        <v>0.10137</v>
      </c>
      <c r="G649" s="178">
        <f t="shared" si="190"/>
        <v>54</v>
      </c>
      <c r="H649" s="178">
        <f t="shared" si="190"/>
        <v>54</v>
      </c>
      <c r="I649" s="2">
        <f>PARAM!$H$39</f>
        <v>0</v>
      </c>
      <c r="J649" s="11">
        <f>PARAM!$G$39</f>
        <v>0</v>
      </c>
      <c r="K649" s="11">
        <f>(VLOOKUP(H649,DEDN!$A$8:$O$902,$K$2)*I649+J649)/1000</f>
        <v>0</v>
      </c>
      <c r="L649" s="11">
        <f>MIN(IF(PARAM!$B$43=3,CHOOSE($L$2,F649,K649),F649+K649-F649*K649),1)</f>
        <v>0.10137</v>
      </c>
      <c r="M649" s="2">
        <f>PARAM!$I$38</f>
        <v>0</v>
      </c>
      <c r="N649" s="11">
        <f>VLOOKUP(B649,DEDN!$A$8:$O$90,$N$2)*M649</f>
        <v>0</v>
      </c>
      <c r="O649" s="12"/>
      <c r="P649" s="10">
        <f>PARAM!$C$53^-A649</f>
        <v>1</v>
      </c>
      <c r="Q649" s="10">
        <f t="shared" si="194"/>
        <v>0.33989067576758614</v>
      </c>
      <c r="R649" s="10">
        <f t="shared" si="192"/>
        <v>0.33989067576758614</v>
      </c>
      <c r="S649" s="10">
        <f>CHOOSE(PARAM!$B$51,R649,0,0,0)*(A649&lt;PARAM!$B$55)</f>
        <v>0</v>
      </c>
      <c r="T649" s="10">
        <f t="shared" si="193"/>
        <v>3.0139607624243281E-3</v>
      </c>
      <c r="U649" s="10">
        <f>T649*P649*(A649&lt;PARAM!$B$55)</f>
        <v>0</v>
      </c>
      <c r="W649">
        <v>646</v>
      </c>
      <c r="X649" s="178">
        <f t="shared" si="191"/>
        <v>85</v>
      </c>
      <c r="Y649" s="178">
        <f t="shared" si="191"/>
        <v>85</v>
      </c>
      <c r="Z649" s="178">
        <f t="shared" si="191"/>
        <v>54</v>
      </c>
      <c r="AA649" s="178">
        <f t="shared" si="191"/>
        <v>54</v>
      </c>
      <c r="AD649" s="17">
        <f>CALC!E673*(A649&lt;PARAM!$B$55)</f>
        <v>0</v>
      </c>
      <c r="AE649">
        <f>IF(A649&lt;ITER!$C$16,1,PARAM!$C$53^-(RATES!A649-ITER!$C$16))*(A649&lt;PARAM!$B$55)</f>
        <v>0</v>
      </c>
    </row>
    <row r="650" spans="1:31" x14ac:dyDescent="0.2">
      <c r="A650" s="9">
        <v>647</v>
      </c>
      <c r="B650" s="178">
        <f t="shared" si="189"/>
        <v>85</v>
      </c>
      <c r="C650" s="178">
        <f t="shared" si="189"/>
        <v>85</v>
      </c>
      <c r="D650" s="2">
        <f>PARAM!$H$38</f>
        <v>1</v>
      </c>
      <c r="E650" s="11">
        <f>PARAM!$G$38</f>
        <v>0</v>
      </c>
      <c r="F650" s="11">
        <f>(VLOOKUP(C650,DEDN!$A$8:$O$902,$F$2)*D650+E650)/1000</f>
        <v>0.10137</v>
      </c>
      <c r="G650" s="178">
        <f t="shared" si="190"/>
        <v>54</v>
      </c>
      <c r="H650" s="178">
        <f t="shared" si="190"/>
        <v>54</v>
      </c>
      <c r="I650" s="2">
        <f>PARAM!$H$39</f>
        <v>0</v>
      </c>
      <c r="J650" s="11">
        <f>PARAM!$G$39</f>
        <v>0</v>
      </c>
      <c r="K650" s="11">
        <f>(VLOOKUP(H650,DEDN!$A$8:$O$902,$K$2)*I650+J650)/1000</f>
        <v>0</v>
      </c>
      <c r="L650" s="11">
        <f>MIN(IF(PARAM!$B$43=3,CHOOSE($L$2,F650,K650),F650+K650-F650*K650),1)</f>
        <v>0.10137</v>
      </c>
      <c r="M650" s="2">
        <f>PARAM!$I$38</f>
        <v>0</v>
      </c>
      <c r="N650" s="11">
        <f>VLOOKUP(B650,DEDN!$A$8:$O$90,$N$2)*M650</f>
        <v>0</v>
      </c>
      <c r="O650" s="12"/>
      <c r="P650" s="10">
        <f>PARAM!$C$53^-A650</f>
        <v>1</v>
      </c>
      <c r="Q650" s="10">
        <f t="shared" si="194"/>
        <v>0.33687671500516181</v>
      </c>
      <c r="R650" s="10">
        <f t="shared" si="192"/>
        <v>0.33687671500516181</v>
      </c>
      <c r="S650" s="10">
        <f>CHOOSE(PARAM!$B$51,R650,0,0,0)*(A650&lt;PARAM!$B$55)</f>
        <v>0</v>
      </c>
      <c r="T650" s="10">
        <f t="shared" si="193"/>
        <v>2.9872346409827166E-3</v>
      </c>
      <c r="U650" s="10">
        <f>T650*P650*(A650&lt;PARAM!$B$55)</f>
        <v>0</v>
      </c>
      <c r="W650">
        <v>647</v>
      </c>
      <c r="X650" s="178">
        <f t="shared" si="191"/>
        <v>85</v>
      </c>
      <c r="Y650" s="178">
        <f t="shared" si="191"/>
        <v>85</v>
      </c>
      <c r="Z650" s="178">
        <f t="shared" si="191"/>
        <v>54</v>
      </c>
      <c r="AA650" s="178">
        <f t="shared" si="191"/>
        <v>54</v>
      </c>
      <c r="AD650" s="17">
        <f>CALC!E674*(A650&lt;PARAM!$B$55)</f>
        <v>0</v>
      </c>
      <c r="AE650">
        <f>IF(A650&lt;ITER!$C$16,1,PARAM!$C$53^-(RATES!A650-ITER!$C$16))*(A650&lt;PARAM!$B$55)</f>
        <v>0</v>
      </c>
    </row>
    <row r="651" spans="1:31" x14ac:dyDescent="0.2">
      <c r="A651" s="9">
        <v>648</v>
      </c>
      <c r="B651" s="178">
        <f t="shared" si="189"/>
        <v>85</v>
      </c>
      <c r="C651" s="178">
        <f t="shared" si="189"/>
        <v>85</v>
      </c>
      <c r="D651" s="2">
        <f>PARAM!$H$38</f>
        <v>1</v>
      </c>
      <c r="E651" s="11">
        <f>PARAM!$G$38</f>
        <v>0</v>
      </c>
      <c r="F651" s="11">
        <f>(VLOOKUP(C651,DEDN!$A$8:$O$902,$F$2)*D651+E651)/1000</f>
        <v>0.10137</v>
      </c>
      <c r="G651" s="178">
        <f t="shared" si="190"/>
        <v>54</v>
      </c>
      <c r="H651" s="178">
        <f t="shared" si="190"/>
        <v>54</v>
      </c>
      <c r="I651" s="2">
        <f>PARAM!$H$39</f>
        <v>0</v>
      </c>
      <c r="J651" s="11">
        <f>PARAM!$G$39</f>
        <v>0</v>
      </c>
      <c r="K651" s="11">
        <f>(VLOOKUP(H651,DEDN!$A$8:$O$902,$K$2)*I651+J651)/1000</f>
        <v>0</v>
      </c>
      <c r="L651" s="11">
        <f>MIN(IF(PARAM!$B$43=3,CHOOSE($L$2,F651,K651),F651+K651-F651*K651),1)</f>
        <v>0.10137</v>
      </c>
      <c r="M651" s="2">
        <f>PARAM!$I$38</f>
        <v>0</v>
      </c>
      <c r="N651" s="11">
        <f>VLOOKUP(B651,DEDN!$A$8:$O$90,$N$2)*M651</f>
        <v>0</v>
      </c>
      <c r="O651" s="12"/>
      <c r="P651" s="10">
        <f>PARAM!$C$53^-A651</f>
        <v>1</v>
      </c>
      <c r="Q651" s="10">
        <f t="shared" si="194"/>
        <v>0.33388948036417909</v>
      </c>
      <c r="R651" s="10">
        <f t="shared" si="192"/>
        <v>0.33388948036417909</v>
      </c>
      <c r="S651" s="10">
        <f>R651*(A651&lt;PARAM!$B$55)</f>
        <v>0</v>
      </c>
      <c r="T651" s="10">
        <f t="shared" si="193"/>
        <v>2.9607455118657033E-3</v>
      </c>
      <c r="U651" s="10">
        <f>T651*P651*(A651&lt;PARAM!$B$55)</f>
        <v>0</v>
      </c>
      <c r="W651">
        <v>648</v>
      </c>
      <c r="X651" s="178">
        <f t="shared" si="191"/>
        <v>85</v>
      </c>
      <c r="Y651" s="178">
        <f t="shared" si="191"/>
        <v>85</v>
      </c>
      <c r="Z651" s="178">
        <f t="shared" si="191"/>
        <v>54</v>
      </c>
      <c r="AA651" s="178">
        <f t="shared" si="191"/>
        <v>54</v>
      </c>
      <c r="AD651" s="17">
        <f>CALC!E675*(A651&lt;PARAM!$B$55)</f>
        <v>0</v>
      </c>
      <c r="AE651">
        <f>IF(A651&lt;ITER!$C$16,1,PARAM!$C$53^-(RATES!A651-ITER!$C$16))*(A651&lt;PARAM!$B$55)</f>
        <v>0</v>
      </c>
    </row>
    <row r="652" spans="1:31" x14ac:dyDescent="0.2">
      <c r="A652" s="9">
        <v>649</v>
      </c>
      <c r="B652" s="178">
        <f t="shared" si="189"/>
        <v>85</v>
      </c>
      <c r="C652" s="178">
        <f t="shared" si="189"/>
        <v>85</v>
      </c>
      <c r="D652" s="2">
        <f>PARAM!$H$38</f>
        <v>1</v>
      </c>
      <c r="E652" s="11">
        <f>PARAM!$G$38</f>
        <v>0</v>
      </c>
      <c r="F652" s="11">
        <f>(VLOOKUP(C652,DEDN!$A$8:$O$902,$F$2)*D652+E652)/1000</f>
        <v>0.10137</v>
      </c>
      <c r="G652" s="178">
        <f t="shared" si="190"/>
        <v>54</v>
      </c>
      <c r="H652" s="178">
        <f t="shared" si="190"/>
        <v>54</v>
      </c>
      <c r="I652" s="2">
        <f>PARAM!$H$39</f>
        <v>0</v>
      </c>
      <c r="J652" s="11">
        <f>PARAM!$G$39</f>
        <v>0</v>
      </c>
      <c r="K652" s="11">
        <f>(VLOOKUP(H652,DEDN!$A$8:$O$902,$K$2)*I652+J652)/1000</f>
        <v>0</v>
      </c>
      <c r="L652" s="11">
        <f>MIN(IF(PARAM!$B$43=3,CHOOSE($L$2,F652,K652),F652+K652-F652*K652),1)</f>
        <v>0.10137</v>
      </c>
      <c r="M652" s="2">
        <f>PARAM!$I$38</f>
        <v>0</v>
      </c>
      <c r="N652" s="11">
        <f>VLOOKUP(B652,DEDN!$A$8:$O$90,$N$2)*M652</f>
        <v>0</v>
      </c>
      <c r="O652" s="12"/>
      <c r="P652" s="10">
        <f>PARAM!$C$53^-A652</f>
        <v>1</v>
      </c>
      <c r="Q652" s="10">
        <f t="shared" si="194"/>
        <v>0.33092873485231339</v>
      </c>
      <c r="R652" s="10">
        <f t="shared" si="192"/>
        <v>0.33092873485231339</v>
      </c>
      <c r="S652" s="10">
        <f>CHOOSE(PARAM!$B$51,R652,0,0,0)*(A652&lt;PARAM!$B$55)</f>
        <v>0</v>
      </c>
      <c r="T652" s="10">
        <f t="shared" si="193"/>
        <v>2.93449127355766E-3</v>
      </c>
      <c r="U652" s="10">
        <f>T652*P652*(A652&lt;PARAM!$B$55)</f>
        <v>0</v>
      </c>
      <c r="W652">
        <v>649</v>
      </c>
      <c r="X652" s="178">
        <f t="shared" si="191"/>
        <v>85</v>
      </c>
      <c r="Y652" s="178">
        <f t="shared" si="191"/>
        <v>85</v>
      </c>
      <c r="Z652" s="178">
        <f t="shared" si="191"/>
        <v>54</v>
      </c>
      <c r="AA652" s="178">
        <f t="shared" si="191"/>
        <v>54</v>
      </c>
      <c r="AD652" s="17">
        <f>CALC!E676*(A652&lt;PARAM!$B$55)</f>
        <v>0</v>
      </c>
      <c r="AE652">
        <f>IF(A652&lt;ITER!$C$16,1,PARAM!$C$53^-(RATES!A652-ITER!$C$16))*(A652&lt;PARAM!$B$55)</f>
        <v>0</v>
      </c>
    </row>
    <row r="653" spans="1:31" x14ac:dyDescent="0.2">
      <c r="A653" s="9">
        <v>650</v>
      </c>
      <c r="B653" s="178">
        <f t="shared" si="189"/>
        <v>85</v>
      </c>
      <c r="C653" s="178">
        <f t="shared" si="189"/>
        <v>85</v>
      </c>
      <c r="D653" s="2">
        <f>PARAM!$H$38</f>
        <v>1</v>
      </c>
      <c r="E653" s="11">
        <f>PARAM!$G$38</f>
        <v>0</v>
      </c>
      <c r="F653" s="11">
        <f>(VLOOKUP(C653,DEDN!$A$8:$O$902,$F$2)*D653+E653)/1000</f>
        <v>0.10137</v>
      </c>
      <c r="G653" s="178">
        <f t="shared" si="190"/>
        <v>54</v>
      </c>
      <c r="H653" s="178">
        <f t="shared" si="190"/>
        <v>54</v>
      </c>
      <c r="I653" s="2">
        <f>PARAM!$H$39</f>
        <v>0</v>
      </c>
      <c r="J653" s="11">
        <f>PARAM!$G$39</f>
        <v>0</v>
      </c>
      <c r="K653" s="11">
        <f>(VLOOKUP(H653,DEDN!$A$8:$O$902,$K$2)*I653+J653)/1000</f>
        <v>0</v>
      </c>
      <c r="L653" s="11">
        <f>MIN(IF(PARAM!$B$43=3,CHOOSE($L$2,F653,K653),F653+K653-F653*K653),1)</f>
        <v>0.10137</v>
      </c>
      <c r="M653" s="2">
        <f>PARAM!$I$38</f>
        <v>0</v>
      </c>
      <c r="N653" s="11">
        <f>VLOOKUP(B653,DEDN!$A$8:$O$90,$N$2)*M653</f>
        <v>0</v>
      </c>
      <c r="O653" s="12"/>
      <c r="P653" s="10">
        <f>PARAM!$C$53^-A653</f>
        <v>1</v>
      </c>
      <c r="Q653" s="10">
        <f t="shared" si="194"/>
        <v>0.32799424357875573</v>
      </c>
      <c r="R653" s="10">
        <f t="shared" si="192"/>
        <v>0.32799424357875573</v>
      </c>
      <c r="S653" s="10">
        <f>CHOOSE(PARAM!$B$51,R653,0,0,0)*(A653&lt;PARAM!$B$55)</f>
        <v>0</v>
      </c>
      <c r="T653" s="10">
        <f t="shared" si="193"/>
        <v>2.9084698431779965E-3</v>
      </c>
      <c r="U653" s="10">
        <f>T653*P653*(A653&lt;PARAM!$B$55)</f>
        <v>0</v>
      </c>
      <c r="W653">
        <v>650</v>
      </c>
      <c r="X653" s="178">
        <f t="shared" si="191"/>
        <v>85</v>
      </c>
      <c r="Y653" s="178">
        <f t="shared" si="191"/>
        <v>85</v>
      </c>
      <c r="Z653" s="178">
        <f t="shared" si="191"/>
        <v>54</v>
      </c>
      <c r="AA653" s="178">
        <f t="shared" si="191"/>
        <v>54</v>
      </c>
      <c r="AD653" s="17">
        <f>CALC!E677*(A653&lt;PARAM!$B$55)</f>
        <v>0</v>
      </c>
      <c r="AE653">
        <f>IF(A653&lt;ITER!$C$16,1,PARAM!$C$53^-(RATES!A653-ITER!$C$16))*(A653&lt;PARAM!$B$55)</f>
        <v>0</v>
      </c>
    </row>
    <row r="654" spans="1:31" x14ac:dyDescent="0.2">
      <c r="A654" s="9">
        <v>651</v>
      </c>
      <c r="B654" s="178">
        <f t="shared" si="189"/>
        <v>85</v>
      </c>
      <c r="C654" s="178">
        <f t="shared" si="189"/>
        <v>85</v>
      </c>
      <c r="D654" s="2">
        <f>PARAM!$H$38</f>
        <v>1</v>
      </c>
      <c r="E654" s="11">
        <f>PARAM!$G$38</f>
        <v>0</v>
      </c>
      <c r="F654" s="11">
        <f>(VLOOKUP(C654,DEDN!$A$8:$O$902,$F$2)*D654+E654)/1000</f>
        <v>0.10137</v>
      </c>
      <c r="G654" s="178">
        <f t="shared" si="190"/>
        <v>54</v>
      </c>
      <c r="H654" s="178">
        <f t="shared" si="190"/>
        <v>54</v>
      </c>
      <c r="I654" s="2">
        <f>PARAM!$H$39</f>
        <v>0</v>
      </c>
      <c r="J654" s="11">
        <f>PARAM!$G$39</f>
        <v>0</v>
      </c>
      <c r="K654" s="11">
        <f>(VLOOKUP(H654,DEDN!$A$8:$O$902,$K$2)*I654+J654)/1000</f>
        <v>0</v>
      </c>
      <c r="L654" s="11">
        <f>MIN(IF(PARAM!$B$43=3,CHOOSE($L$2,F654,K654),F654+K654-F654*K654),1)</f>
        <v>0.10137</v>
      </c>
      <c r="M654" s="2">
        <f>PARAM!$I$38</f>
        <v>0</v>
      </c>
      <c r="N654" s="11">
        <f>VLOOKUP(B654,DEDN!$A$8:$O$90,$N$2)*M654</f>
        <v>0</v>
      </c>
      <c r="O654" s="12"/>
      <c r="P654" s="10">
        <f>PARAM!$C$53^-A654</f>
        <v>1</v>
      </c>
      <c r="Q654" s="10">
        <f t="shared" si="194"/>
        <v>0.32508577373557773</v>
      </c>
      <c r="R654" s="10">
        <f t="shared" si="192"/>
        <v>0.32508577373557773</v>
      </c>
      <c r="S654" s="10">
        <f>CHOOSE(PARAM!$B$51,R654,R654,0,0)*(A654&lt;PARAM!$B$55)</f>
        <v>0</v>
      </c>
      <c r="T654" s="10">
        <f t="shared" si="193"/>
        <v>2.8826791563160148E-3</v>
      </c>
      <c r="U654" s="10">
        <f>T654*P654*(A654&lt;PARAM!$B$55)</f>
        <v>0</v>
      </c>
      <c r="W654">
        <v>651</v>
      </c>
      <c r="X654" s="178">
        <f t="shared" si="191"/>
        <v>85</v>
      </c>
      <c r="Y654" s="178">
        <f t="shared" si="191"/>
        <v>85</v>
      </c>
      <c r="Z654" s="178">
        <f t="shared" si="191"/>
        <v>54</v>
      </c>
      <c r="AA654" s="178">
        <f t="shared" si="191"/>
        <v>54</v>
      </c>
      <c r="AD654" s="17">
        <f>CALC!E678*(A654&lt;PARAM!$B$55)</f>
        <v>0</v>
      </c>
      <c r="AE654">
        <f>IF(A654&lt;ITER!$C$16,1,PARAM!$C$53^-(RATES!A654-ITER!$C$16))*(A654&lt;PARAM!$B$55)</f>
        <v>0</v>
      </c>
    </row>
    <row r="655" spans="1:31" x14ac:dyDescent="0.2">
      <c r="A655" s="9">
        <v>652</v>
      </c>
      <c r="B655" s="178">
        <f t="shared" si="189"/>
        <v>85</v>
      </c>
      <c r="C655" s="178">
        <f t="shared" si="189"/>
        <v>85</v>
      </c>
      <c r="D655" s="2">
        <f>PARAM!$H$38</f>
        <v>1</v>
      </c>
      <c r="E655" s="11">
        <f>PARAM!$G$38</f>
        <v>0</v>
      </c>
      <c r="F655" s="11">
        <f>(VLOOKUP(C655,DEDN!$A$8:$O$902,$F$2)*D655+E655)/1000</f>
        <v>0.10137</v>
      </c>
      <c r="G655" s="178">
        <f t="shared" si="190"/>
        <v>54</v>
      </c>
      <c r="H655" s="178">
        <f t="shared" si="190"/>
        <v>54</v>
      </c>
      <c r="I655" s="2">
        <f>PARAM!$H$39</f>
        <v>0</v>
      </c>
      <c r="J655" s="11">
        <f>PARAM!$G$39</f>
        <v>0</v>
      </c>
      <c r="K655" s="11">
        <f>(VLOOKUP(H655,DEDN!$A$8:$O$902,$K$2)*I655+J655)/1000</f>
        <v>0</v>
      </c>
      <c r="L655" s="11">
        <f>MIN(IF(PARAM!$B$43=3,CHOOSE($L$2,F655,K655),F655+K655-F655*K655),1)</f>
        <v>0.10137</v>
      </c>
      <c r="M655" s="2">
        <f>PARAM!$I$38</f>
        <v>0</v>
      </c>
      <c r="N655" s="11">
        <f>VLOOKUP(B655,DEDN!$A$8:$O$90,$N$2)*M655</f>
        <v>0</v>
      </c>
      <c r="O655" s="12"/>
      <c r="P655" s="10">
        <f>PARAM!$C$53^-A655</f>
        <v>1</v>
      </c>
      <c r="Q655" s="10">
        <f t="shared" si="194"/>
        <v>0.32220309457926172</v>
      </c>
      <c r="R655" s="10">
        <f t="shared" si="192"/>
        <v>0.32220309457926172</v>
      </c>
      <c r="S655" s="10">
        <f>CHOOSE(PARAM!$B$51,R655,0,0,0)*(A655&lt;PARAM!$B$55)</f>
        <v>0</v>
      </c>
      <c r="T655" s="10">
        <f t="shared" si="193"/>
        <v>2.8571171668669848E-3</v>
      </c>
      <c r="U655" s="10">
        <f>T655*P655*(A655&lt;PARAM!$B$55)</f>
        <v>0</v>
      </c>
      <c r="W655">
        <v>652</v>
      </c>
      <c r="X655" s="178">
        <f t="shared" si="191"/>
        <v>85</v>
      </c>
      <c r="Y655" s="178">
        <f t="shared" si="191"/>
        <v>85</v>
      </c>
      <c r="Z655" s="178">
        <f t="shared" si="191"/>
        <v>54</v>
      </c>
      <c r="AA655" s="178">
        <f t="shared" si="191"/>
        <v>54</v>
      </c>
      <c r="AD655" s="17">
        <f>CALC!E679*(A655&lt;PARAM!$B$55)</f>
        <v>0</v>
      </c>
      <c r="AE655">
        <f>IF(A655&lt;ITER!$C$16,1,PARAM!$C$53^-(RATES!A655-ITER!$C$16))*(A655&lt;PARAM!$B$55)</f>
        <v>0</v>
      </c>
    </row>
    <row r="656" spans="1:31" x14ac:dyDescent="0.2">
      <c r="A656" s="9">
        <v>653</v>
      </c>
      <c r="B656" s="178">
        <f t="shared" si="189"/>
        <v>85</v>
      </c>
      <c r="C656" s="178">
        <f t="shared" si="189"/>
        <v>85</v>
      </c>
      <c r="D656" s="2">
        <f>PARAM!$H$38</f>
        <v>1</v>
      </c>
      <c r="E656" s="11">
        <f>PARAM!$G$38</f>
        <v>0</v>
      </c>
      <c r="F656" s="11">
        <f>(VLOOKUP(C656,DEDN!$A$8:$O$902,$F$2)*D656+E656)/1000</f>
        <v>0.10137</v>
      </c>
      <c r="G656" s="178">
        <f t="shared" si="190"/>
        <v>54</v>
      </c>
      <c r="H656" s="178">
        <f t="shared" si="190"/>
        <v>54</v>
      </c>
      <c r="I656" s="2">
        <f>PARAM!$H$39</f>
        <v>0</v>
      </c>
      <c r="J656" s="11">
        <f>PARAM!$G$39</f>
        <v>0</v>
      </c>
      <c r="K656" s="11">
        <f>(VLOOKUP(H656,DEDN!$A$8:$O$902,$K$2)*I656+J656)/1000</f>
        <v>0</v>
      </c>
      <c r="L656" s="11">
        <f>MIN(IF(PARAM!$B$43=3,CHOOSE($L$2,F656,K656),F656+K656-F656*K656),1)</f>
        <v>0.10137</v>
      </c>
      <c r="M656" s="2">
        <f>PARAM!$I$38</f>
        <v>0</v>
      </c>
      <c r="N656" s="11">
        <f>VLOOKUP(B656,DEDN!$A$8:$O$90,$N$2)*M656</f>
        <v>0</v>
      </c>
      <c r="O656" s="12"/>
      <c r="P656" s="10">
        <f>PARAM!$C$53^-A656</f>
        <v>1</v>
      </c>
      <c r="Q656" s="10">
        <f t="shared" si="194"/>
        <v>0.31934597741239473</v>
      </c>
      <c r="R656" s="10">
        <f t="shared" si="192"/>
        <v>0.31934597741239473</v>
      </c>
      <c r="S656" s="10">
        <f>CHOOSE(PARAM!$B$51,R656,0,0,0)*(A656&lt;PARAM!$B$55)</f>
        <v>0</v>
      </c>
      <c r="T656" s="10">
        <f t="shared" si="193"/>
        <v>2.8317818468699407E-3</v>
      </c>
      <c r="U656" s="10">
        <f>T656*P656*(A656&lt;PARAM!$B$55)</f>
        <v>0</v>
      </c>
      <c r="W656">
        <v>653</v>
      </c>
      <c r="X656" s="178">
        <f t="shared" si="191"/>
        <v>85</v>
      </c>
      <c r="Y656" s="178">
        <f t="shared" si="191"/>
        <v>85</v>
      </c>
      <c r="Z656" s="178">
        <f t="shared" si="191"/>
        <v>54</v>
      </c>
      <c r="AA656" s="178">
        <f t="shared" si="191"/>
        <v>54</v>
      </c>
      <c r="AD656" s="17">
        <f>CALC!E680*(A656&lt;PARAM!$B$55)</f>
        <v>0</v>
      </c>
      <c r="AE656">
        <f>IF(A656&lt;ITER!$C$16,1,PARAM!$C$53^-(RATES!A656-ITER!$C$16))*(A656&lt;PARAM!$B$55)</f>
        <v>0</v>
      </c>
    </row>
    <row r="657" spans="1:31" x14ac:dyDescent="0.2">
      <c r="A657" s="9">
        <v>654</v>
      </c>
      <c r="B657" s="178">
        <f t="shared" si="189"/>
        <v>86</v>
      </c>
      <c r="C657" s="178">
        <f t="shared" si="189"/>
        <v>86</v>
      </c>
      <c r="D657" s="2">
        <f>PARAM!$H$38</f>
        <v>1</v>
      </c>
      <c r="E657" s="11">
        <f>PARAM!$G$38</f>
        <v>0</v>
      </c>
      <c r="F657" s="11">
        <f>(VLOOKUP(C657,DEDN!$A$8:$O$902,$F$2)*D657+E657)/1000</f>
        <v>0.11026000000000001</v>
      </c>
      <c r="G657" s="178">
        <f t="shared" si="190"/>
        <v>55</v>
      </c>
      <c r="H657" s="178">
        <f t="shared" si="190"/>
        <v>55</v>
      </c>
      <c r="I657" s="2">
        <f>PARAM!$H$39</f>
        <v>0</v>
      </c>
      <c r="J657" s="11">
        <f>PARAM!$G$39</f>
        <v>0</v>
      </c>
      <c r="K657" s="11">
        <f>(VLOOKUP(H657,DEDN!$A$8:$O$902,$K$2)*I657+J657)/1000</f>
        <v>0</v>
      </c>
      <c r="L657" s="11">
        <f>MIN(IF(PARAM!$B$43=3,CHOOSE($L$2,F657,K657),F657+K657-F657*K657),1)</f>
        <v>0.11026000000000001</v>
      </c>
      <c r="M657" s="2">
        <f>PARAM!$I$38</f>
        <v>0</v>
      </c>
      <c r="N657" s="11">
        <f>VLOOKUP(B657,DEDN!$A$8:$O$90,$N$2)*M657</f>
        <v>0</v>
      </c>
      <c r="O657" s="12"/>
      <c r="P657" s="10">
        <f>PARAM!$C$53^-A657</f>
        <v>1</v>
      </c>
      <c r="Q657" s="10">
        <f t="shared" si="194"/>
        <v>0.31651419556552479</v>
      </c>
      <c r="R657" s="10">
        <f t="shared" si="192"/>
        <v>0.31651419556552479</v>
      </c>
      <c r="S657" s="10">
        <f>CHOOSE(PARAM!$B$51,R657,R657,R657,0)*(A657&lt;PARAM!$B$55)</f>
        <v>0</v>
      </c>
      <c r="T657" s="10">
        <f t="shared" si="193"/>
        <v>3.0664727446488849E-3</v>
      </c>
      <c r="U657" s="10">
        <f>T657*P657*(A657&lt;PARAM!$B$55)</f>
        <v>0</v>
      </c>
      <c r="W657">
        <v>654</v>
      </c>
      <c r="X657" s="178">
        <f t="shared" si="191"/>
        <v>86</v>
      </c>
      <c r="Y657" s="178">
        <f t="shared" si="191"/>
        <v>86</v>
      </c>
      <c r="Z657" s="178">
        <f t="shared" si="191"/>
        <v>55</v>
      </c>
      <c r="AA657" s="178">
        <f t="shared" si="191"/>
        <v>55</v>
      </c>
      <c r="AD657" s="17">
        <f>CALC!E681*(A657&lt;PARAM!$B$55)</f>
        <v>0</v>
      </c>
      <c r="AE657">
        <f>IF(A657&lt;ITER!$C$16,1,PARAM!$C$53^-(RATES!A657-ITER!$C$16))*(A657&lt;PARAM!$B$55)</f>
        <v>0</v>
      </c>
    </row>
    <row r="658" spans="1:31" x14ac:dyDescent="0.2">
      <c r="A658" s="9">
        <v>655</v>
      </c>
      <c r="B658" s="178">
        <f t="shared" si="189"/>
        <v>86</v>
      </c>
      <c r="C658" s="178">
        <f t="shared" si="189"/>
        <v>86</v>
      </c>
      <c r="D658" s="2">
        <f>PARAM!$H$38</f>
        <v>1</v>
      </c>
      <c r="E658" s="11">
        <f>PARAM!$G$38</f>
        <v>0</v>
      </c>
      <c r="F658" s="11">
        <f>(VLOOKUP(C658,DEDN!$A$8:$O$902,$F$2)*D658+E658)/1000</f>
        <v>0.11026000000000001</v>
      </c>
      <c r="G658" s="178">
        <f t="shared" si="190"/>
        <v>55</v>
      </c>
      <c r="H658" s="178">
        <f t="shared" si="190"/>
        <v>55</v>
      </c>
      <c r="I658" s="2">
        <f>PARAM!$H$39</f>
        <v>0</v>
      </c>
      <c r="J658" s="11">
        <f>PARAM!$G$39</f>
        <v>0</v>
      </c>
      <c r="K658" s="11">
        <f>(VLOOKUP(H658,DEDN!$A$8:$O$902,$K$2)*I658+J658)/1000</f>
        <v>0</v>
      </c>
      <c r="L658" s="11">
        <f>MIN(IF(PARAM!$B$43=3,CHOOSE($L$2,F658,K658),F658+K658-F658*K658),1)</f>
        <v>0.11026000000000001</v>
      </c>
      <c r="M658" s="2">
        <f>PARAM!$I$38</f>
        <v>0</v>
      </c>
      <c r="N658" s="11">
        <f>VLOOKUP(B658,DEDN!$A$8:$O$90,$N$2)*M658</f>
        <v>0</v>
      </c>
      <c r="O658" s="12"/>
      <c r="P658" s="10">
        <f>PARAM!$C$53^-A658</f>
        <v>1</v>
      </c>
      <c r="Q658" s="10">
        <f t="shared" si="194"/>
        <v>0.31344772282087591</v>
      </c>
      <c r="R658" s="10">
        <f t="shared" si="192"/>
        <v>0.31344772282087591</v>
      </c>
      <c r="S658" s="10">
        <f>CHOOSE(PARAM!$B$51,R658,0,0,0)*(A658&lt;PARAM!$B$55)</f>
        <v>0</v>
      </c>
      <c r="T658" s="10">
        <f t="shared" si="193"/>
        <v>3.0367639504607635E-3</v>
      </c>
      <c r="U658" s="10">
        <f>T658*P658*(A658&lt;PARAM!$B$55)</f>
        <v>0</v>
      </c>
      <c r="W658">
        <v>655</v>
      </c>
      <c r="X658" s="178">
        <f t="shared" si="191"/>
        <v>86</v>
      </c>
      <c r="Y658" s="178">
        <f t="shared" si="191"/>
        <v>86</v>
      </c>
      <c r="Z658" s="178">
        <f t="shared" si="191"/>
        <v>55</v>
      </c>
      <c r="AA658" s="178">
        <f t="shared" si="191"/>
        <v>55</v>
      </c>
      <c r="AD658" s="17">
        <f>CALC!E682*(A658&lt;PARAM!$B$55)</f>
        <v>0</v>
      </c>
      <c r="AE658">
        <f>IF(A658&lt;ITER!$C$16,1,PARAM!$C$53^-(RATES!A658-ITER!$C$16))*(A658&lt;PARAM!$B$55)</f>
        <v>0</v>
      </c>
    </row>
    <row r="659" spans="1:31" x14ac:dyDescent="0.2">
      <c r="A659" s="9">
        <v>656</v>
      </c>
      <c r="B659" s="178">
        <f t="shared" si="189"/>
        <v>86</v>
      </c>
      <c r="C659" s="178">
        <f t="shared" si="189"/>
        <v>86</v>
      </c>
      <c r="D659" s="2">
        <f>PARAM!$H$38</f>
        <v>1</v>
      </c>
      <c r="E659" s="11">
        <f>PARAM!$G$38</f>
        <v>0</v>
      </c>
      <c r="F659" s="11">
        <f>(VLOOKUP(C659,DEDN!$A$8:$O$902,$F$2)*D659+E659)/1000</f>
        <v>0.11026000000000001</v>
      </c>
      <c r="G659" s="178">
        <f t="shared" si="190"/>
        <v>55</v>
      </c>
      <c r="H659" s="178">
        <f t="shared" si="190"/>
        <v>55</v>
      </c>
      <c r="I659" s="2">
        <f>PARAM!$H$39</f>
        <v>0</v>
      </c>
      <c r="J659" s="11">
        <f>PARAM!$G$39</f>
        <v>0</v>
      </c>
      <c r="K659" s="11">
        <f>(VLOOKUP(H659,DEDN!$A$8:$O$902,$K$2)*I659+J659)/1000</f>
        <v>0</v>
      </c>
      <c r="L659" s="11">
        <f>MIN(IF(PARAM!$B$43=3,CHOOSE($L$2,F659,K659),F659+K659-F659*K659),1)</f>
        <v>0.11026000000000001</v>
      </c>
      <c r="M659" s="2">
        <f>PARAM!$I$38</f>
        <v>0</v>
      </c>
      <c r="N659" s="11">
        <f>VLOOKUP(B659,DEDN!$A$8:$O$90,$N$2)*M659</f>
        <v>0</v>
      </c>
      <c r="O659" s="12"/>
      <c r="P659" s="10">
        <f>PARAM!$C$53^-A659</f>
        <v>1</v>
      </c>
      <c r="Q659" s="10">
        <f t="shared" si="194"/>
        <v>0.31041095887041514</v>
      </c>
      <c r="R659" s="10">
        <f t="shared" si="192"/>
        <v>0.31041095887041514</v>
      </c>
      <c r="S659" s="10">
        <f>CHOOSE(PARAM!$B$51,R659,0,0,0)*(A659&lt;PARAM!$B$55)</f>
        <v>0</v>
      </c>
      <c r="T659" s="10">
        <f t="shared" si="193"/>
        <v>3.0073429828817999E-3</v>
      </c>
      <c r="U659" s="10">
        <f>T659*P659*(A659&lt;PARAM!$B$55)</f>
        <v>0</v>
      </c>
      <c r="W659">
        <v>656</v>
      </c>
      <c r="X659" s="178">
        <f t="shared" si="191"/>
        <v>86</v>
      </c>
      <c r="Y659" s="178">
        <f t="shared" si="191"/>
        <v>86</v>
      </c>
      <c r="Z659" s="178">
        <f t="shared" si="191"/>
        <v>55</v>
      </c>
      <c r="AA659" s="178">
        <f t="shared" si="191"/>
        <v>55</v>
      </c>
      <c r="AD659" s="17">
        <f>CALC!E683*(A659&lt;PARAM!$B$55)</f>
        <v>0</v>
      </c>
      <c r="AE659">
        <f>IF(A659&lt;ITER!$C$16,1,PARAM!$C$53^-(RATES!A659-ITER!$C$16))*(A659&lt;PARAM!$B$55)</f>
        <v>0</v>
      </c>
    </row>
    <row r="660" spans="1:31" x14ac:dyDescent="0.2">
      <c r="A660" s="9">
        <v>657</v>
      </c>
      <c r="B660" s="178">
        <f t="shared" si="189"/>
        <v>86</v>
      </c>
      <c r="C660" s="178">
        <f t="shared" si="189"/>
        <v>86</v>
      </c>
      <c r="D660" s="2">
        <f>PARAM!$H$38</f>
        <v>1</v>
      </c>
      <c r="E660" s="11">
        <f>PARAM!$G$38</f>
        <v>0</v>
      </c>
      <c r="F660" s="11">
        <f>(VLOOKUP(C660,DEDN!$A$8:$O$902,$F$2)*D660+E660)/1000</f>
        <v>0.11026000000000001</v>
      </c>
      <c r="G660" s="178">
        <f t="shared" si="190"/>
        <v>55</v>
      </c>
      <c r="H660" s="178">
        <f t="shared" si="190"/>
        <v>55</v>
      </c>
      <c r="I660" s="2">
        <f>PARAM!$H$39</f>
        <v>0</v>
      </c>
      <c r="J660" s="11">
        <f>PARAM!$G$39</f>
        <v>0</v>
      </c>
      <c r="K660" s="11">
        <f>(VLOOKUP(H660,DEDN!$A$8:$O$902,$K$2)*I660+J660)/1000</f>
        <v>0</v>
      </c>
      <c r="L660" s="11">
        <f>MIN(IF(PARAM!$B$43=3,CHOOSE($L$2,F660,K660),F660+K660-F660*K660),1)</f>
        <v>0.11026000000000001</v>
      </c>
      <c r="M660" s="2">
        <f>PARAM!$I$38</f>
        <v>0</v>
      </c>
      <c r="N660" s="11">
        <f>VLOOKUP(B660,DEDN!$A$8:$O$90,$N$2)*M660</f>
        <v>0</v>
      </c>
      <c r="O660" s="12"/>
      <c r="P660" s="10">
        <f>PARAM!$C$53^-A660</f>
        <v>1</v>
      </c>
      <c r="Q660" s="10">
        <f t="shared" si="194"/>
        <v>0.30740361588753334</v>
      </c>
      <c r="R660" s="10">
        <f t="shared" ref="R660:R675" si="195">P660*Q660</f>
        <v>0.30740361588753334</v>
      </c>
      <c r="S660" s="10">
        <f>CHOOSE(PARAM!$B$51,R660,R660,0,0)*(A660&lt;PARAM!$B$55)</f>
        <v>0</v>
      </c>
      <c r="T660" s="10">
        <f t="shared" si="193"/>
        <v>2.978207053372095E-3</v>
      </c>
      <c r="U660" s="10">
        <f>T660*P660*(A660&lt;PARAM!$B$55)</f>
        <v>0</v>
      </c>
      <c r="W660">
        <v>657</v>
      </c>
      <c r="X660" s="178">
        <f t="shared" si="191"/>
        <v>86</v>
      </c>
      <c r="Y660" s="178">
        <f t="shared" si="191"/>
        <v>86</v>
      </c>
      <c r="Z660" s="178">
        <f t="shared" si="191"/>
        <v>55</v>
      </c>
      <c r="AA660" s="178">
        <f t="shared" si="191"/>
        <v>55</v>
      </c>
      <c r="AD660" s="17">
        <f>CALC!E684*(A660&lt;PARAM!$B$55)</f>
        <v>0</v>
      </c>
      <c r="AE660">
        <f>IF(A660&lt;ITER!$C$16,1,PARAM!$C$53^-(RATES!A660-ITER!$C$16))*(A660&lt;PARAM!$B$55)</f>
        <v>0</v>
      </c>
    </row>
    <row r="661" spans="1:31" x14ac:dyDescent="0.2">
      <c r="A661" s="9">
        <v>658</v>
      </c>
      <c r="B661" s="178">
        <f t="shared" ref="B661:C680" si="196">B649+1</f>
        <v>86</v>
      </c>
      <c r="C661" s="178">
        <f t="shared" si="196"/>
        <v>86</v>
      </c>
      <c r="D661" s="2">
        <f>PARAM!$H$38</f>
        <v>1</v>
      </c>
      <c r="E661" s="11">
        <f>PARAM!$G$38</f>
        <v>0</v>
      </c>
      <c r="F661" s="11">
        <f>(VLOOKUP(C661,DEDN!$A$8:$O$902,$F$2)*D661+E661)/1000</f>
        <v>0.11026000000000001</v>
      </c>
      <c r="G661" s="178">
        <f t="shared" ref="G661:H680" si="197">G649+1</f>
        <v>55</v>
      </c>
      <c r="H661" s="178">
        <f t="shared" si="197"/>
        <v>55</v>
      </c>
      <c r="I661" s="2">
        <f>PARAM!$H$39</f>
        <v>0</v>
      </c>
      <c r="J661" s="11">
        <f>PARAM!$G$39</f>
        <v>0</v>
      </c>
      <c r="K661" s="11">
        <f>(VLOOKUP(H661,DEDN!$A$8:$O$902,$K$2)*I661+J661)/1000</f>
        <v>0</v>
      </c>
      <c r="L661" s="11">
        <f>MIN(IF(PARAM!$B$43=3,CHOOSE($L$2,F661,K661),F661+K661-F661*K661),1)</f>
        <v>0.11026000000000001</v>
      </c>
      <c r="M661" s="2">
        <f>PARAM!$I$38</f>
        <v>0</v>
      </c>
      <c r="N661" s="11">
        <f>VLOOKUP(B661,DEDN!$A$8:$O$90,$N$2)*M661</f>
        <v>0</v>
      </c>
      <c r="O661" s="12"/>
      <c r="P661" s="10">
        <f>PARAM!$C$53^-A661</f>
        <v>1</v>
      </c>
      <c r="Q661" s="10">
        <f t="shared" ref="Q661:Q676" si="198">Q660*(1-L660)^(1/12)</f>
        <v>0.30442540883416125</v>
      </c>
      <c r="R661" s="10">
        <f t="shared" si="195"/>
        <v>0.30442540883416125</v>
      </c>
      <c r="S661" s="10">
        <f>CHOOSE(PARAM!$B$51,R661,0,0,0)*(A661&lt;PARAM!$B$55)</f>
        <v>0</v>
      </c>
      <c r="T661" s="10">
        <f t="shared" si="193"/>
        <v>2.9493534004079169E-3</v>
      </c>
      <c r="U661" s="10">
        <f>T661*P661*(A661&lt;PARAM!$B$55)</f>
        <v>0</v>
      </c>
      <c r="W661">
        <v>658</v>
      </c>
      <c r="X661" s="178">
        <f t="shared" ref="X661:AA680" si="199">X649+1</f>
        <v>86</v>
      </c>
      <c r="Y661" s="178">
        <f t="shared" si="199"/>
        <v>86</v>
      </c>
      <c r="Z661" s="178">
        <f t="shared" si="199"/>
        <v>55</v>
      </c>
      <c r="AA661" s="178">
        <f t="shared" si="199"/>
        <v>55</v>
      </c>
      <c r="AD661" s="17">
        <f>CALC!E685*(A661&lt;PARAM!$B$55)</f>
        <v>0</v>
      </c>
      <c r="AE661">
        <f>IF(A661&lt;ITER!$C$16,1,PARAM!$C$53^-(RATES!A661-ITER!$C$16))*(A661&lt;PARAM!$B$55)</f>
        <v>0</v>
      </c>
    </row>
    <row r="662" spans="1:31" x14ac:dyDescent="0.2">
      <c r="A662" s="9">
        <v>659</v>
      </c>
      <c r="B662" s="178">
        <f t="shared" si="196"/>
        <v>86</v>
      </c>
      <c r="C662" s="178">
        <f t="shared" si="196"/>
        <v>86</v>
      </c>
      <c r="D662" s="2">
        <f>PARAM!$H$38</f>
        <v>1</v>
      </c>
      <c r="E662" s="11">
        <f>PARAM!$G$38</f>
        <v>0</v>
      </c>
      <c r="F662" s="11">
        <f>(VLOOKUP(C662,DEDN!$A$8:$O$902,$F$2)*D662+E662)/1000</f>
        <v>0.11026000000000001</v>
      </c>
      <c r="G662" s="178">
        <f t="shared" si="197"/>
        <v>55</v>
      </c>
      <c r="H662" s="178">
        <f t="shared" si="197"/>
        <v>55</v>
      </c>
      <c r="I662" s="2">
        <f>PARAM!$H$39</f>
        <v>0</v>
      </c>
      <c r="J662" s="11">
        <f>PARAM!$G$39</f>
        <v>0</v>
      </c>
      <c r="K662" s="11">
        <f>(VLOOKUP(H662,DEDN!$A$8:$O$902,$K$2)*I662+J662)/1000</f>
        <v>0</v>
      </c>
      <c r="L662" s="11">
        <f>MIN(IF(PARAM!$B$43=3,CHOOSE($L$2,F662,K662),F662+K662-F662*K662),1)</f>
        <v>0.11026000000000001</v>
      </c>
      <c r="M662" s="2">
        <f>PARAM!$I$38</f>
        <v>0</v>
      </c>
      <c r="N662" s="11">
        <f>VLOOKUP(B662,DEDN!$A$8:$O$90,$N$2)*M662</f>
        <v>0</v>
      </c>
      <c r="O662" s="12"/>
      <c r="P662" s="10">
        <f>PARAM!$C$53^-A662</f>
        <v>1</v>
      </c>
      <c r="Q662" s="10">
        <f t="shared" si="198"/>
        <v>0.30147605543375333</v>
      </c>
      <c r="R662" s="10">
        <f t="shared" si="195"/>
        <v>0.30147605543375333</v>
      </c>
      <c r="S662" s="10">
        <f>CHOOSE(PARAM!$B$51,R662,0,0,0)*(A662&lt;PARAM!$B$55)</f>
        <v>0</v>
      </c>
      <c r="T662" s="10">
        <f t="shared" si="193"/>
        <v>2.9207792892198547E-3</v>
      </c>
      <c r="U662" s="10">
        <f>T662*P662*(A662&lt;PARAM!$B$55)</f>
        <v>0</v>
      </c>
      <c r="W662">
        <v>659</v>
      </c>
      <c r="X662" s="178">
        <f t="shared" si="199"/>
        <v>86</v>
      </c>
      <c r="Y662" s="178">
        <f t="shared" si="199"/>
        <v>86</v>
      </c>
      <c r="Z662" s="178">
        <f t="shared" si="199"/>
        <v>55</v>
      </c>
      <c r="AA662" s="178">
        <f t="shared" si="199"/>
        <v>55</v>
      </c>
      <c r="AD662" s="17">
        <f>CALC!E686*(A662&lt;PARAM!$B$55)</f>
        <v>0</v>
      </c>
      <c r="AE662">
        <f>IF(A662&lt;ITER!$C$16,1,PARAM!$C$53^-(RATES!A662-ITER!$C$16))*(A662&lt;PARAM!$B$55)</f>
        <v>0</v>
      </c>
    </row>
    <row r="663" spans="1:31" x14ac:dyDescent="0.2">
      <c r="A663" s="9">
        <v>660</v>
      </c>
      <c r="B663" s="178">
        <f t="shared" si="196"/>
        <v>86</v>
      </c>
      <c r="C663" s="178">
        <f t="shared" si="196"/>
        <v>86</v>
      </c>
      <c r="D663" s="2">
        <f>PARAM!$H$38</f>
        <v>1</v>
      </c>
      <c r="E663" s="11">
        <f>PARAM!$G$38</f>
        <v>0</v>
      </c>
      <c r="F663" s="11">
        <f>(VLOOKUP(C663,DEDN!$A$8:$O$902,$F$2)*D663+E663)/1000</f>
        <v>0.11026000000000001</v>
      </c>
      <c r="G663" s="178">
        <f t="shared" si="197"/>
        <v>55</v>
      </c>
      <c r="H663" s="178">
        <f t="shared" si="197"/>
        <v>55</v>
      </c>
      <c r="I663" s="2">
        <f>PARAM!$H$39</f>
        <v>0</v>
      </c>
      <c r="J663" s="11">
        <f>PARAM!$G$39</f>
        <v>0</v>
      </c>
      <c r="K663" s="11">
        <f>(VLOOKUP(H663,DEDN!$A$8:$O$902,$K$2)*I663+J663)/1000</f>
        <v>0</v>
      </c>
      <c r="L663" s="11">
        <f>MIN(IF(PARAM!$B$43=3,CHOOSE($L$2,F663,K663),F663+K663-F663*K663),1)</f>
        <v>0.11026000000000001</v>
      </c>
      <c r="M663" s="2">
        <f>PARAM!$I$38</f>
        <v>0</v>
      </c>
      <c r="N663" s="11">
        <f>VLOOKUP(B663,DEDN!$A$8:$O$90,$N$2)*M663</f>
        <v>0</v>
      </c>
      <c r="O663" s="12"/>
      <c r="P663" s="10">
        <f>PARAM!$C$53^-A663</f>
        <v>1</v>
      </c>
      <c r="Q663" s="10">
        <f t="shared" si="198"/>
        <v>0.29855527614453348</v>
      </c>
      <c r="R663" s="10">
        <f t="shared" si="195"/>
        <v>0.29855527614453348</v>
      </c>
      <c r="S663" s="10">
        <f>R663*(A663&lt;PARAM!$B$55)</f>
        <v>0</v>
      </c>
      <c r="T663" s="10">
        <f t="shared" si="193"/>
        <v>2.8924820115336924E-3</v>
      </c>
      <c r="U663" s="10">
        <f>T663*P663*(A663&lt;PARAM!$B$55)</f>
        <v>0</v>
      </c>
      <c r="W663">
        <v>660</v>
      </c>
      <c r="X663" s="178">
        <f t="shared" si="199"/>
        <v>86</v>
      </c>
      <c r="Y663" s="178">
        <f t="shared" si="199"/>
        <v>86</v>
      </c>
      <c r="Z663" s="178">
        <f t="shared" si="199"/>
        <v>55</v>
      </c>
      <c r="AA663" s="178">
        <f t="shared" si="199"/>
        <v>55</v>
      </c>
      <c r="AD663" s="17">
        <f>CALC!E687*(A663&lt;PARAM!$B$55)</f>
        <v>0</v>
      </c>
      <c r="AE663">
        <f>IF(A663&lt;ITER!$C$16,1,PARAM!$C$53^-(RATES!A663-ITER!$C$16))*(A663&lt;PARAM!$B$55)</f>
        <v>0</v>
      </c>
    </row>
    <row r="664" spans="1:31" x14ac:dyDescent="0.2">
      <c r="A664" s="9">
        <v>661</v>
      </c>
      <c r="B664" s="178">
        <f t="shared" si="196"/>
        <v>86</v>
      </c>
      <c r="C664" s="178">
        <f t="shared" si="196"/>
        <v>86</v>
      </c>
      <c r="D664" s="2">
        <f>PARAM!$H$38</f>
        <v>1</v>
      </c>
      <c r="E664" s="11">
        <f>PARAM!$G$38</f>
        <v>0</v>
      </c>
      <c r="F664" s="11">
        <f>(VLOOKUP(C664,DEDN!$A$8:$O$902,$F$2)*D664+E664)/1000</f>
        <v>0.11026000000000001</v>
      </c>
      <c r="G664" s="178">
        <f t="shared" si="197"/>
        <v>55</v>
      </c>
      <c r="H664" s="178">
        <f t="shared" si="197"/>
        <v>55</v>
      </c>
      <c r="I664" s="2">
        <f>PARAM!$H$39</f>
        <v>0</v>
      </c>
      <c r="J664" s="11">
        <f>PARAM!$G$39</f>
        <v>0</v>
      </c>
      <c r="K664" s="11">
        <f>(VLOOKUP(H664,DEDN!$A$8:$O$902,$K$2)*I664+J664)/1000</f>
        <v>0</v>
      </c>
      <c r="L664" s="11">
        <f>MIN(IF(PARAM!$B$43=3,CHOOSE($L$2,F664,K664),F664+K664-F664*K664),1)</f>
        <v>0.11026000000000001</v>
      </c>
      <c r="M664" s="2">
        <f>PARAM!$I$38</f>
        <v>0</v>
      </c>
      <c r="N664" s="11">
        <f>VLOOKUP(B664,DEDN!$A$8:$O$90,$N$2)*M664</f>
        <v>0</v>
      </c>
      <c r="O664" s="12"/>
      <c r="P664" s="10">
        <f>PARAM!$C$53^-A664</f>
        <v>1</v>
      </c>
      <c r="Q664" s="10">
        <f t="shared" si="198"/>
        <v>0.29566279413299978</v>
      </c>
      <c r="R664" s="10">
        <f t="shared" si="195"/>
        <v>0.29566279413299978</v>
      </c>
      <c r="S664" s="10">
        <f>CHOOSE(PARAM!$B$51,R664,0,0,0)*(A664&lt;PARAM!$B$55)</f>
        <v>0</v>
      </c>
      <c r="T664" s="10">
        <f t="shared" si="193"/>
        <v>2.8644588853136699E-3</v>
      </c>
      <c r="U664" s="10">
        <f>T664*P664*(A664&lt;PARAM!$B$55)</f>
        <v>0</v>
      </c>
      <c r="W664">
        <v>661</v>
      </c>
      <c r="X664" s="178">
        <f t="shared" si="199"/>
        <v>86</v>
      </c>
      <c r="Y664" s="178">
        <f t="shared" si="199"/>
        <v>86</v>
      </c>
      <c r="Z664" s="178">
        <f t="shared" si="199"/>
        <v>55</v>
      </c>
      <c r="AA664" s="178">
        <f t="shared" si="199"/>
        <v>55</v>
      </c>
      <c r="AD664" s="17">
        <f>CALC!E688*(A664&lt;PARAM!$B$55)</f>
        <v>0</v>
      </c>
      <c r="AE664">
        <f>IF(A664&lt;ITER!$C$16,1,PARAM!$C$53^-(RATES!A664-ITER!$C$16))*(A664&lt;PARAM!$B$55)</f>
        <v>0</v>
      </c>
    </row>
    <row r="665" spans="1:31" x14ac:dyDescent="0.2">
      <c r="A665" s="9">
        <v>662</v>
      </c>
      <c r="B665" s="178">
        <f t="shared" si="196"/>
        <v>86</v>
      </c>
      <c r="C665" s="178">
        <f t="shared" si="196"/>
        <v>86</v>
      </c>
      <c r="D665" s="2">
        <f>PARAM!$H$38</f>
        <v>1</v>
      </c>
      <c r="E665" s="11">
        <f>PARAM!$G$38</f>
        <v>0</v>
      </c>
      <c r="F665" s="11">
        <f>(VLOOKUP(C665,DEDN!$A$8:$O$902,$F$2)*D665+E665)/1000</f>
        <v>0.11026000000000001</v>
      </c>
      <c r="G665" s="178">
        <f t="shared" si="197"/>
        <v>55</v>
      </c>
      <c r="H665" s="178">
        <f t="shared" si="197"/>
        <v>55</v>
      </c>
      <c r="I665" s="2">
        <f>PARAM!$H$39</f>
        <v>0</v>
      </c>
      <c r="J665" s="11">
        <f>PARAM!$G$39</f>
        <v>0</v>
      </c>
      <c r="K665" s="11">
        <f>(VLOOKUP(H665,DEDN!$A$8:$O$902,$K$2)*I665+J665)/1000</f>
        <v>0</v>
      </c>
      <c r="L665" s="11">
        <f>MIN(IF(PARAM!$B$43=3,CHOOSE($L$2,F665,K665),F665+K665-F665*K665),1)</f>
        <v>0.11026000000000001</v>
      </c>
      <c r="M665" s="2">
        <f>PARAM!$I$38</f>
        <v>0</v>
      </c>
      <c r="N665" s="11">
        <f>VLOOKUP(B665,DEDN!$A$8:$O$90,$N$2)*M665</f>
        <v>0</v>
      </c>
      <c r="O665" s="12"/>
      <c r="P665" s="10">
        <f>PARAM!$C$53^-A665</f>
        <v>1</v>
      </c>
      <c r="Q665" s="10">
        <f t="shared" si="198"/>
        <v>0.29279833524768611</v>
      </c>
      <c r="R665" s="10">
        <f t="shared" si="195"/>
        <v>0.29279833524768611</v>
      </c>
      <c r="S665" s="10">
        <f>CHOOSE(PARAM!$B$51,R665,0,0,0)*(A665&lt;PARAM!$B$55)</f>
        <v>0</v>
      </c>
      <c r="T665" s="10">
        <f t="shared" si="193"/>
        <v>2.8367072545083527E-3</v>
      </c>
      <c r="U665" s="10">
        <f>T665*P665*(A665&lt;PARAM!$B$55)</f>
        <v>0</v>
      </c>
      <c r="W665">
        <v>662</v>
      </c>
      <c r="X665" s="178">
        <f t="shared" si="199"/>
        <v>86</v>
      </c>
      <c r="Y665" s="178">
        <f t="shared" si="199"/>
        <v>86</v>
      </c>
      <c r="Z665" s="178">
        <f t="shared" si="199"/>
        <v>55</v>
      </c>
      <c r="AA665" s="178">
        <f t="shared" si="199"/>
        <v>55</v>
      </c>
      <c r="AD665" s="17">
        <f>CALC!E689*(A665&lt;PARAM!$B$55)</f>
        <v>0</v>
      </c>
      <c r="AE665">
        <f>IF(A665&lt;ITER!$C$16,1,PARAM!$C$53^-(RATES!A665-ITER!$C$16))*(A665&lt;PARAM!$B$55)</f>
        <v>0</v>
      </c>
    </row>
    <row r="666" spans="1:31" x14ac:dyDescent="0.2">
      <c r="A666" s="9">
        <v>663</v>
      </c>
      <c r="B666" s="178">
        <f t="shared" si="196"/>
        <v>86</v>
      </c>
      <c r="C666" s="178">
        <f t="shared" si="196"/>
        <v>86</v>
      </c>
      <c r="D666" s="2">
        <f>PARAM!$H$38</f>
        <v>1</v>
      </c>
      <c r="E666" s="11">
        <f>PARAM!$G$38</f>
        <v>0</v>
      </c>
      <c r="F666" s="11">
        <f>(VLOOKUP(C666,DEDN!$A$8:$O$902,$F$2)*D666+E666)/1000</f>
        <v>0.11026000000000001</v>
      </c>
      <c r="G666" s="178">
        <f t="shared" si="197"/>
        <v>55</v>
      </c>
      <c r="H666" s="178">
        <f t="shared" si="197"/>
        <v>55</v>
      </c>
      <c r="I666" s="2">
        <f>PARAM!$H$39</f>
        <v>0</v>
      </c>
      <c r="J666" s="11">
        <f>PARAM!$G$39</f>
        <v>0</v>
      </c>
      <c r="K666" s="11">
        <f>(VLOOKUP(H666,DEDN!$A$8:$O$902,$K$2)*I666+J666)/1000</f>
        <v>0</v>
      </c>
      <c r="L666" s="11">
        <f>MIN(IF(PARAM!$B$43=3,CHOOSE($L$2,F666,K666),F666+K666-F666*K666),1)</f>
        <v>0.11026000000000001</v>
      </c>
      <c r="M666" s="2">
        <f>PARAM!$I$38</f>
        <v>0</v>
      </c>
      <c r="N666" s="11">
        <f>VLOOKUP(B666,DEDN!$A$8:$O$90,$N$2)*M666</f>
        <v>0</v>
      </c>
      <c r="O666" s="12"/>
      <c r="P666" s="10">
        <f>PARAM!$C$53^-A666</f>
        <v>1</v>
      </c>
      <c r="Q666" s="10">
        <f t="shared" si="198"/>
        <v>0.28996162799317776</v>
      </c>
      <c r="R666" s="10">
        <f t="shared" si="195"/>
        <v>0.28996162799317776</v>
      </c>
      <c r="S666" s="10">
        <f>CHOOSE(PARAM!$B$51,R666,R666,0,0)*(A666&lt;PARAM!$B$55)</f>
        <v>0</v>
      </c>
      <c r="T666" s="10">
        <f t="shared" si="193"/>
        <v>2.8092244887987228E-3</v>
      </c>
      <c r="U666" s="10">
        <f>T666*P666*(A666&lt;PARAM!$B$55)</f>
        <v>0</v>
      </c>
      <c r="W666">
        <v>663</v>
      </c>
      <c r="X666" s="178">
        <f t="shared" si="199"/>
        <v>86</v>
      </c>
      <c r="Y666" s="178">
        <f t="shared" si="199"/>
        <v>86</v>
      </c>
      <c r="Z666" s="178">
        <f t="shared" si="199"/>
        <v>55</v>
      </c>
      <c r="AA666" s="178">
        <f t="shared" si="199"/>
        <v>55</v>
      </c>
      <c r="AD666" s="17">
        <f>CALC!E690*(A666&lt;PARAM!$B$55)</f>
        <v>0</v>
      </c>
      <c r="AE666">
        <f>IF(A666&lt;ITER!$C$16,1,PARAM!$C$53^-(RATES!A666-ITER!$C$16))*(A666&lt;PARAM!$B$55)</f>
        <v>0</v>
      </c>
    </row>
    <row r="667" spans="1:31" x14ac:dyDescent="0.2">
      <c r="A667" s="9">
        <v>664</v>
      </c>
      <c r="B667" s="178">
        <f t="shared" si="196"/>
        <v>86</v>
      </c>
      <c r="C667" s="178">
        <f t="shared" si="196"/>
        <v>86</v>
      </c>
      <c r="D667" s="2">
        <f>PARAM!$H$38</f>
        <v>1</v>
      </c>
      <c r="E667" s="11">
        <f>PARAM!$G$38</f>
        <v>0</v>
      </c>
      <c r="F667" s="11">
        <f>(VLOOKUP(C667,DEDN!$A$8:$O$902,$F$2)*D667+E667)/1000</f>
        <v>0.11026000000000001</v>
      </c>
      <c r="G667" s="178">
        <f t="shared" si="197"/>
        <v>55</v>
      </c>
      <c r="H667" s="178">
        <f t="shared" si="197"/>
        <v>55</v>
      </c>
      <c r="I667" s="2">
        <f>PARAM!$H$39</f>
        <v>0</v>
      </c>
      <c r="J667" s="11">
        <f>PARAM!$G$39</f>
        <v>0</v>
      </c>
      <c r="K667" s="11">
        <f>(VLOOKUP(H667,DEDN!$A$8:$O$902,$K$2)*I667+J667)/1000</f>
        <v>0</v>
      </c>
      <c r="L667" s="11">
        <f>MIN(IF(PARAM!$B$43=3,CHOOSE($L$2,F667,K667),F667+K667-F667*K667),1)</f>
        <v>0.11026000000000001</v>
      </c>
      <c r="M667" s="2">
        <f>PARAM!$I$38</f>
        <v>0</v>
      </c>
      <c r="N667" s="11">
        <f>VLOOKUP(B667,DEDN!$A$8:$O$90,$N$2)*M667</f>
        <v>0</v>
      </c>
      <c r="O667" s="12"/>
      <c r="P667" s="10">
        <f>PARAM!$C$53^-A667</f>
        <v>1</v>
      </c>
      <c r="Q667" s="10">
        <f t="shared" si="198"/>
        <v>0.28715240350437904</v>
      </c>
      <c r="R667" s="10">
        <f t="shared" si="195"/>
        <v>0.28715240350437904</v>
      </c>
      <c r="S667" s="10">
        <f>CHOOSE(PARAM!$B$51,R667,0,0,0)*(A667&lt;PARAM!$B$55)</f>
        <v>0</v>
      </c>
      <c r="T667" s="10">
        <f t="shared" si="193"/>
        <v>2.7820079833490996E-3</v>
      </c>
      <c r="U667" s="10">
        <f>T667*P667*(A667&lt;PARAM!$B$55)</f>
        <v>0</v>
      </c>
      <c r="W667">
        <v>664</v>
      </c>
      <c r="X667" s="178">
        <f t="shared" si="199"/>
        <v>86</v>
      </c>
      <c r="Y667" s="178">
        <f t="shared" si="199"/>
        <v>86</v>
      </c>
      <c r="Z667" s="178">
        <f t="shared" si="199"/>
        <v>55</v>
      </c>
      <c r="AA667" s="178">
        <f t="shared" si="199"/>
        <v>55</v>
      </c>
      <c r="AD667" s="17">
        <f>CALC!E691*(A667&lt;PARAM!$B$55)</f>
        <v>0</v>
      </c>
      <c r="AE667">
        <f>IF(A667&lt;ITER!$C$16,1,PARAM!$C$53^-(RATES!A667-ITER!$C$16))*(A667&lt;PARAM!$B$55)</f>
        <v>0</v>
      </c>
    </row>
    <row r="668" spans="1:31" x14ac:dyDescent="0.2">
      <c r="A668" s="9">
        <v>665</v>
      </c>
      <c r="B668" s="178">
        <f t="shared" si="196"/>
        <v>86</v>
      </c>
      <c r="C668" s="178">
        <f t="shared" si="196"/>
        <v>86</v>
      </c>
      <c r="D668" s="2">
        <f>PARAM!$H$38</f>
        <v>1</v>
      </c>
      <c r="E668" s="11">
        <f>PARAM!$G$38</f>
        <v>0</v>
      </c>
      <c r="F668" s="11">
        <f>(VLOOKUP(C668,DEDN!$A$8:$O$902,$F$2)*D668+E668)/1000</f>
        <v>0.11026000000000001</v>
      </c>
      <c r="G668" s="178">
        <f t="shared" si="197"/>
        <v>55</v>
      </c>
      <c r="H668" s="178">
        <f t="shared" si="197"/>
        <v>55</v>
      </c>
      <c r="I668" s="2">
        <f>PARAM!$H$39</f>
        <v>0</v>
      </c>
      <c r="J668" s="11">
        <f>PARAM!$G$39</f>
        <v>0</v>
      </c>
      <c r="K668" s="11">
        <f>(VLOOKUP(H668,DEDN!$A$8:$O$902,$K$2)*I668+J668)/1000</f>
        <v>0</v>
      </c>
      <c r="L668" s="11">
        <f>MIN(IF(PARAM!$B$43=3,CHOOSE($L$2,F668,K668),F668+K668-F668*K668),1)</f>
        <v>0.11026000000000001</v>
      </c>
      <c r="M668" s="2">
        <f>PARAM!$I$38</f>
        <v>0</v>
      </c>
      <c r="N668" s="11">
        <f>VLOOKUP(B668,DEDN!$A$8:$O$90,$N$2)*M668</f>
        <v>0</v>
      </c>
      <c r="O668" s="12"/>
      <c r="P668" s="10">
        <f>PARAM!$C$53^-A668</f>
        <v>1</v>
      </c>
      <c r="Q668" s="10">
        <f t="shared" si="198"/>
        <v>0.28437039552102994</v>
      </c>
      <c r="R668" s="10">
        <f t="shared" si="195"/>
        <v>0.28437039552102994</v>
      </c>
      <c r="S668" s="10">
        <f>CHOOSE(PARAM!$B$51,R668,0,0,0)*(A668&lt;PARAM!$B$55)</f>
        <v>0</v>
      </c>
      <c r="T668" s="10">
        <f t="shared" si="193"/>
        <v>2.7550551585600047E-3</v>
      </c>
      <c r="U668" s="10">
        <f>T668*P668*(A668&lt;PARAM!$B$55)</f>
        <v>0</v>
      </c>
      <c r="W668">
        <v>665</v>
      </c>
      <c r="X668" s="178">
        <f t="shared" si="199"/>
        <v>86</v>
      </c>
      <c r="Y668" s="178">
        <f t="shared" si="199"/>
        <v>86</v>
      </c>
      <c r="Z668" s="178">
        <f t="shared" si="199"/>
        <v>55</v>
      </c>
      <c r="AA668" s="178">
        <f t="shared" si="199"/>
        <v>55</v>
      </c>
      <c r="AD668" s="17">
        <f>CALC!E692*(A668&lt;PARAM!$B$55)</f>
        <v>0</v>
      </c>
      <c r="AE668">
        <f>IF(A668&lt;ITER!$C$16,1,PARAM!$C$53^-(RATES!A668-ITER!$C$16))*(A668&lt;PARAM!$B$55)</f>
        <v>0</v>
      </c>
    </row>
    <row r="669" spans="1:31" x14ac:dyDescent="0.2">
      <c r="A669" s="9">
        <v>666</v>
      </c>
      <c r="B669" s="178">
        <f t="shared" si="196"/>
        <v>87</v>
      </c>
      <c r="C669" s="178">
        <f t="shared" si="196"/>
        <v>87</v>
      </c>
      <c r="D669" s="2">
        <f>PARAM!$H$38</f>
        <v>1</v>
      </c>
      <c r="E669" s="11">
        <f>PARAM!$G$38</f>
        <v>0</v>
      </c>
      <c r="F669" s="11">
        <f>(VLOOKUP(C669,DEDN!$A$8:$O$902,$F$2)*D669+E669)/1000</f>
        <v>0.11974</v>
      </c>
      <c r="G669" s="178">
        <f t="shared" si="197"/>
        <v>56</v>
      </c>
      <c r="H669" s="178">
        <f t="shared" si="197"/>
        <v>56</v>
      </c>
      <c r="I669" s="2">
        <f>PARAM!$H$39</f>
        <v>0</v>
      </c>
      <c r="J669" s="11">
        <f>PARAM!$G$39</f>
        <v>0</v>
      </c>
      <c r="K669" s="11">
        <f>(VLOOKUP(H669,DEDN!$A$8:$O$902,$K$2)*I669+J669)/1000</f>
        <v>0</v>
      </c>
      <c r="L669" s="11">
        <f>MIN(IF(PARAM!$B$43=3,CHOOSE($L$2,F669,K669),F669+K669-F669*K669),1)</f>
        <v>0.11974</v>
      </c>
      <c r="M669" s="2">
        <f>PARAM!$I$38</f>
        <v>0</v>
      </c>
      <c r="N669" s="11">
        <f>VLOOKUP(B669,DEDN!$A$8:$O$90,$N$2)*M669</f>
        <v>0</v>
      </c>
      <c r="O669" s="12"/>
      <c r="P669" s="10">
        <f>PARAM!$C$53^-A669</f>
        <v>1</v>
      </c>
      <c r="Q669" s="10">
        <f t="shared" si="198"/>
        <v>0.28161534036246993</v>
      </c>
      <c r="R669" s="10">
        <f t="shared" si="195"/>
        <v>0.28161534036246993</v>
      </c>
      <c r="S669" s="10">
        <f>CHOOSE(PARAM!$B$51,R669,R669,R669,0)*(A669&lt;PARAM!$B$55)</f>
        <v>0</v>
      </c>
      <c r="T669" s="10">
        <f t="shared" si="193"/>
        <v>2.9772047147813008E-3</v>
      </c>
      <c r="U669" s="10">
        <f>T669*P669*(A669&lt;PARAM!$B$55)</f>
        <v>0</v>
      </c>
      <c r="W669">
        <v>666</v>
      </c>
      <c r="X669" s="178">
        <f t="shared" si="199"/>
        <v>87</v>
      </c>
      <c r="Y669" s="178">
        <f t="shared" si="199"/>
        <v>87</v>
      </c>
      <c r="Z669" s="178">
        <f t="shared" si="199"/>
        <v>56</v>
      </c>
      <c r="AA669" s="178">
        <f t="shared" si="199"/>
        <v>56</v>
      </c>
      <c r="AD669" s="17">
        <f>CALC!E693*(A669&lt;PARAM!$B$55)</f>
        <v>0</v>
      </c>
      <c r="AE669">
        <f>IF(A669&lt;ITER!$C$16,1,PARAM!$C$53^-(RATES!A669-ITER!$C$16))*(A669&lt;PARAM!$B$55)</f>
        <v>0</v>
      </c>
    </row>
    <row r="670" spans="1:31" x14ac:dyDescent="0.2">
      <c r="A670" s="9">
        <v>667</v>
      </c>
      <c r="B670" s="178">
        <f t="shared" si="196"/>
        <v>87</v>
      </c>
      <c r="C670" s="178">
        <f t="shared" si="196"/>
        <v>87</v>
      </c>
      <c r="D670" s="2">
        <f>PARAM!$H$38</f>
        <v>1</v>
      </c>
      <c r="E670" s="11">
        <f>PARAM!$G$38</f>
        <v>0</v>
      </c>
      <c r="F670" s="11">
        <f>(VLOOKUP(C670,DEDN!$A$8:$O$902,$F$2)*D670+E670)/1000</f>
        <v>0.11974</v>
      </c>
      <c r="G670" s="178">
        <f t="shared" si="197"/>
        <v>56</v>
      </c>
      <c r="H670" s="178">
        <f t="shared" si="197"/>
        <v>56</v>
      </c>
      <c r="I670" s="2">
        <f>PARAM!$H$39</f>
        <v>0</v>
      </c>
      <c r="J670" s="11">
        <f>PARAM!$G$39</f>
        <v>0</v>
      </c>
      <c r="K670" s="11">
        <f>(VLOOKUP(H670,DEDN!$A$8:$O$902,$K$2)*I670+J670)/1000</f>
        <v>0</v>
      </c>
      <c r="L670" s="11">
        <f>MIN(IF(PARAM!$B$43=3,CHOOSE($L$2,F670,K670),F670+K670-F670*K670),1)</f>
        <v>0.11974</v>
      </c>
      <c r="M670" s="2">
        <f>PARAM!$I$38</f>
        <v>0</v>
      </c>
      <c r="N670" s="11">
        <f>VLOOKUP(B670,DEDN!$A$8:$O$90,$N$2)*M670</f>
        <v>0</v>
      </c>
      <c r="O670" s="12"/>
      <c r="P670" s="10">
        <f>PARAM!$C$53^-A670</f>
        <v>1</v>
      </c>
      <c r="Q670" s="10">
        <f t="shared" si="198"/>
        <v>0.27863813564768863</v>
      </c>
      <c r="R670" s="10">
        <f t="shared" si="195"/>
        <v>0.27863813564768863</v>
      </c>
      <c r="S670" s="10">
        <f>CHOOSE(PARAM!$B$51,R670,0,0,0)*(A670&lt;PARAM!$B$55)</f>
        <v>0</v>
      </c>
      <c r="T670" s="10">
        <f t="shared" si="193"/>
        <v>2.9457300518516694E-3</v>
      </c>
      <c r="U670" s="10">
        <f>T670*P670*(A670&lt;PARAM!$B$55)</f>
        <v>0</v>
      </c>
      <c r="W670">
        <v>667</v>
      </c>
      <c r="X670" s="178">
        <f t="shared" si="199"/>
        <v>87</v>
      </c>
      <c r="Y670" s="178">
        <f t="shared" si="199"/>
        <v>87</v>
      </c>
      <c r="Z670" s="178">
        <f t="shared" si="199"/>
        <v>56</v>
      </c>
      <c r="AA670" s="178">
        <f t="shared" si="199"/>
        <v>56</v>
      </c>
      <c r="AD670" s="17">
        <f>CALC!E694*(A670&lt;PARAM!$B$55)</f>
        <v>0</v>
      </c>
      <c r="AE670">
        <f>IF(A670&lt;ITER!$C$16,1,PARAM!$C$53^-(RATES!A670-ITER!$C$16))*(A670&lt;PARAM!$B$55)</f>
        <v>0</v>
      </c>
    </row>
    <row r="671" spans="1:31" x14ac:dyDescent="0.2">
      <c r="A671" s="9">
        <v>668</v>
      </c>
      <c r="B671" s="178">
        <f t="shared" si="196"/>
        <v>87</v>
      </c>
      <c r="C671" s="178">
        <f t="shared" si="196"/>
        <v>87</v>
      </c>
      <c r="D671" s="2">
        <f>PARAM!$H$38</f>
        <v>1</v>
      </c>
      <c r="E671" s="11">
        <f>PARAM!$G$38</f>
        <v>0</v>
      </c>
      <c r="F671" s="11">
        <f>(VLOOKUP(C671,DEDN!$A$8:$O$902,$F$2)*D671+E671)/1000</f>
        <v>0.11974</v>
      </c>
      <c r="G671" s="178">
        <f t="shared" si="197"/>
        <v>56</v>
      </c>
      <c r="H671" s="178">
        <f t="shared" si="197"/>
        <v>56</v>
      </c>
      <c r="I671" s="2">
        <f>PARAM!$H$39</f>
        <v>0</v>
      </c>
      <c r="J671" s="11">
        <f>PARAM!$G$39</f>
        <v>0</v>
      </c>
      <c r="K671" s="11">
        <f>(VLOOKUP(H671,DEDN!$A$8:$O$902,$K$2)*I671+J671)/1000</f>
        <v>0</v>
      </c>
      <c r="L671" s="11">
        <f>MIN(IF(PARAM!$B$43=3,CHOOSE($L$2,F671,K671),F671+K671-F671*K671),1)</f>
        <v>0.11974</v>
      </c>
      <c r="M671" s="2">
        <f>PARAM!$I$38</f>
        <v>0</v>
      </c>
      <c r="N671" s="11">
        <f>VLOOKUP(B671,DEDN!$A$8:$O$90,$N$2)*M671</f>
        <v>0</v>
      </c>
      <c r="O671" s="12"/>
      <c r="P671" s="10">
        <f>PARAM!$C$53^-A671</f>
        <v>1</v>
      </c>
      <c r="Q671" s="10">
        <f t="shared" si="198"/>
        <v>0.27569240559583696</v>
      </c>
      <c r="R671" s="10">
        <f t="shared" si="195"/>
        <v>0.27569240559583696</v>
      </c>
      <c r="S671" s="10">
        <f>CHOOSE(PARAM!$B$51,R671,0,0,0)*(A671&lt;PARAM!$B$55)</f>
        <v>0</v>
      </c>
      <c r="T671" s="10">
        <f t="shared" si="193"/>
        <v>2.9145881354079584E-3</v>
      </c>
      <c r="U671" s="10">
        <f>T671*P671*(A671&lt;PARAM!$B$55)</f>
        <v>0</v>
      </c>
      <c r="W671">
        <v>668</v>
      </c>
      <c r="X671" s="178">
        <f t="shared" si="199"/>
        <v>87</v>
      </c>
      <c r="Y671" s="178">
        <f t="shared" si="199"/>
        <v>87</v>
      </c>
      <c r="Z671" s="178">
        <f t="shared" si="199"/>
        <v>56</v>
      </c>
      <c r="AA671" s="178">
        <f t="shared" si="199"/>
        <v>56</v>
      </c>
      <c r="AD671" s="17">
        <f>CALC!E695*(A671&lt;PARAM!$B$55)</f>
        <v>0</v>
      </c>
      <c r="AE671">
        <f>IF(A671&lt;ITER!$C$16,1,PARAM!$C$53^-(RATES!A671-ITER!$C$16))*(A671&lt;PARAM!$B$55)</f>
        <v>0</v>
      </c>
    </row>
    <row r="672" spans="1:31" x14ac:dyDescent="0.2">
      <c r="A672" s="9">
        <v>669</v>
      </c>
      <c r="B672" s="178">
        <f t="shared" si="196"/>
        <v>87</v>
      </c>
      <c r="C672" s="178">
        <f t="shared" si="196"/>
        <v>87</v>
      </c>
      <c r="D672" s="2">
        <f>PARAM!$H$38</f>
        <v>1</v>
      </c>
      <c r="E672" s="11">
        <f>PARAM!$G$38</f>
        <v>0</v>
      </c>
      <c r="F672" s="11">
        <f>(VLOOKUP(C672,DEDN!$A$8:$O$902,$F$2)*D672+E672)/1000</f>
        <v>0.11974</v>
      </c>
      <c r="G672" s="178">
        <f t="shared" si="197"/>
        <v>56</v>
      </c>
      <c r="H672" s="178">
        <f t="shared" si="197"/>
        <v>56</v>
      </c>
      <c r="I672" s="2">
        <f>PARAM!$H$39</f>
        <v>0</v>
      </c>
      <c r="J672" s="11">
        <f>PARAM!$G$39</f>
        <v>0</v>
      </c>
      <c r="K672" s="11">
        <f>(VLOOKUP(H672,DEDN!$A$8:$O$902,$K$2)*I672+J672)/1000</f>
        <v>0</v>
      </c>
      <c r="L672" s="11">
        <f>MIN(IF(PARAM!$B$43=3,CHOOSE($L$2,F672,K672),F672+K672-F672*K672),1)</f>
        <v>0.11974</v>
      </c>
      <c r="M672" s="2">
        <f>PARAM!$I$38</f>
        <v>0</v>
      </c>
      <c r="N672" s="11">
        <f>VLOOKUP(B672,DEDN!$A$8:$O$90,$N$2)*M672</f>
        <v>0</v>
      </c>
      <c r="O672" s="12"/>
      <c r="P672" s="10">
        <f>PARAM!$C$53^-A672</f>
        <v>1</v>
      </c>
      <c r="Q672" s="10">
        <f t="shared" si="198"/>
        <v>0.27277781746042901</v>
      </c>
      <c r="R672" s="10">
        <f t="shared" si="195"/>
        <v>0.27277781746042901</v>
      </c>
      <c r="S672" s="10">
        <f>CHOOSE(PARAM!$B$51,R672,R672,0,0)*(A672&lt;PARAM!$B$55)</f>
        <v>0</v>
      </c>
      <c r="T672" s="10">
        <f t="shared" si="193"/>
        <v>2.8837754476928046E-3</v>
      </c>
      <c r="U672" s="10">
        <f>T672*P672*(A672&lt;PARAM!$B$55)</f>
        <v>0</v>
      </c>
      <c r="W672">
        <v>669</v>
      </c>
      <c r="X672" s="178">
        <f t="shared" si="199"/>
        <v>87</v>
      </c>
      <c r="Y672" s="178">
        <f t="shared" si="199"/>
        <v>87</v>
      </c>
      <c r="Z672" s="178">
        <f t="shared" si="199"/>
        <v>56</v>
      </c>
      <c r="AA672" s="178">
        <f t="shared" si="199"/>
        <v>56</v>
      </c>
      <c r="AD672" s="17">
        <f>CALC!E696*(A672&lt;PARAM!$B$55)</f>
        <v>0</v>
      </c>
      <c r="AE672">
        <f>IF(A672&lt;ITER!$C$16,1,PARAM!$C$53^-(RATES!A672-ITER!$C$16))*(A672&lt;PARAM!$B$55)</f>
        <v>0</v>
      </c>
    </row>
    <row r="673" spans="1:31" x14ac:dyDescent="0.2">
      <c r="A673" s="9">
        <v>670</v>
      </c>
      <c r="B673" s="178">
        <f t="shared" si="196"/>
        <v>87</v>
      </c>
      <c r="C673" s="178">
        <f t="shared" si="196"/>
        <v>87</v>
      </c>
      <c r="D673" s="2">
        <f>PARAM!$H$38</f>
        <v>1</v>
      </c>
      <c r="E673" s="11">
        <f>PARAM!$G$38</f>
        <v>0</v>
      </c>
      <c r="F673" s="11">
        <f>(VLOOKUP(C673,DEDN!$A$8:$O$902,$F$2)*D673+E673)/1000</f>
        <v>0.11974</v>
      </c>
      <c r="G673" s="178">
        <f t="shared" si="197"/>
        <v>56</v>
      </c>
      <c r="H673" s="178">
        <f t="shared" si="197"/>
        <v>56</v>
      </c>
      <c r="I673" s="2">
        <f>PARAM!$H$39</f>
        <v>0</v>
      </c>
      <c r="J673" s="11">
        <f>PARAM!$G$39</f>
        <v>0</v>
      </c>
      <c r="K673" s="11">
        <f>(VLOOKUP(H673,DEDN!$A$8:$O$902,$K$2)*I673+J673)/1000</f>
        <v>0</v>
      </c>
      <c r="L673" s="11">
        <f>MIN(IF(PARAM!$B$43=3,CHOOSE($L$2,F673,K673),F673+K673-F673*K673),1)</f>
        <v>0.11974</v>
      </c>
      <c r="M673" s="2">
        <f>PARAM!$I$38</f>
        <v>0</v>
      </c>
      <c r="N673" s="11">
        <f>VLOOKUP(B673,DEDN!$A$8:$O$90,$N$2)*M673</f>
        <v>0</v>
      </c>
      <c r="O673" s="12"/>
      <c r="P673" s="10">
        <f>PARAM!$C$53^-A673</f>
        <v>1</v>
      </c>
      <c r="Q673" s="10">
        <f t="shared" si="198"/>
        <v>0.2698940420127362</v>
      </c>
      <c r="R673" s="10">
        <f t="shared" si="195"/>
        <v>0.2698940420127362</v>
      </c>
      <c r="S673" s="10">
        <f>CHOOSE(PARAM!$B$51,R673,0,0,0)*(A673&lt;PARAM!$B$55)</f>
        <v>0</v>
      </c>
      <c r="T673" s="10">
        <f t="shared" si="193"/>
        <v>2.8532885081383186E-3</v>
      </c>
      <c r="U673" s="10">
        <f>T673*P673*(A673&lt;PARAM!$B$55)</f>
        <v>0</v>
      </c>
      <c r="W673">
        <v>670</v>
      </c>
      <c r="X673" s="178">
        <f t="shared" si="199"/>
        <v>87</v>
      </c>
      <c r="Y673" s="178">
        <f t="shared" si="199"/>
        <v>87</v>
      </c>
      <c r="Z673" s="178">
        <f t="shared" si="199"/>
        <v>56</v>
      </c>
      <c r="AA673" s="178">
        <f t="shared" si="199"/>
        <v>56</v>
      </c>
      <c r="AD673" s="17">
        <f>CALC!E697*(A673&lt;PARAM!$B$55)</f>
        <v>0</v>
      </c>
      <c r="AE673">
        <f>IF(A673&lt;ITER!$C$16,1,PARAM!$C$53^-(RATES!A673-ITER!$C$16))*(A673&lt;PARAM!$B$55)</f>
        <v>0</v>
      </c>
    </row>
    <row r="674" spans="1:31" x14ac:dyDescent="0.2">
      <c r="A674" s="9">
        <v>671</v>
      </c>
      <c r="B674" s="178">
        <f t="shared" si="196"/>
        <v>87</v>
      </c>
      <c r="C674" s="178">
        <f t="shared" si="196"/>
        <v>87</v>
      </c>
      <c r="D674" s="2">
        <f>PARAM!$H$38</f>
        <v>1</v>
      </c>
      <c r="E674" s="11">
        <f>PARAM!$G$38</f>
        <v>0</v>
      </c>
      <c r="F674" s="11">
        <f>(VLOOKUP(C674,DEDN!$A$8:$O$902,$F$2)*D674+E674)/1000</f>
        <v>0.11974</v>
      </c>
      <c r="G674" s="178">
        <f t="shared" si="197"/>
        <v>56</v>
      </c>
      <c r="H674" s="178">
        <f t="shared" si="197"/>
        <v>56</v>
      </c>
      <c r="I674" s="2">
        <f>PARAM!$H$39</f>
        <v>0</v>
      </c>
      <c r="J674" s="11">
        <f>PARAM!$G$39</f>
        <v>0</v>
      </c>
      <c r="K674" s="11">
        <f>(VLOOKUP(H674,DEDN!$A$8:$O$902,$K$2)*I674+J674)/1000</f>
        <v>0</v>
      </c>
      <c r="L674" s="11">
        <f>MIN(IF(PARAM!$B$43=3,CHOOSE($L$2,F674,K674),F674+K674-F674*K674),1)</f>
        <v>0.11974</v>
      </c>
      <c r="M674" s="2">
        <f>PARAM!$I$38</f>
        <v>0</v>
      </c>
      <c r="N674" s="11">
        <f>VLOOKUP(B674,DEDN!$A$8:$O$90,$N$2)*M674</f>
        <v>0</v>
      </c>
      <c r="O674" s="12"/>
      <c r="P674" s="10">
        <f>PARAM!$C$53^-A674</f>
        <v>1</v>
      </c>
      <c r="Q674" s="10">
        <f t="shared" si="198"/>
        <v>0.26704075350459788</v>
      </c>
      <c r="R674" s="10">
        <f t="shared" si="195"/>
        <v>0.26704075350459788</v>
      </c>
      <c r="S674" s="10">
        <f>CHOOSE(PARAM!$B$51,R674,0,0,0)*(A674&lt;PARAM!$B$55)</f>
        <v>0</v>
      </c>
      <c r="T674" s="10">
        <f t="shared" si="193"/>
        <v>2.8231238729727881E-3</v>
      </c>
      <c r="U674" s="10">
        <f>T674*P674*(A674&lt;PARAM!$B$55)</f>
        <v>0</v>
      </c>
      <c r="W674">
        <v>671</v>
      </c>
      <c r="X674" s="178">
        <f t="shared" si="199"/>
        <v>87</v>
      </c>
      <c r="Y674" s="178">
        <f t="shared" si="199"/>
        <v>87</v>
      </c>
      <c r="Z674" s="178">
        <f t="shared" si="199"/>
        <v>56</v>
      </c>
      <c r="AA674" s="178">
        <f t="shared" si="199"/>
        <v>56</v>
      </c>
      <c r="AD674" s="17">
        <f>CALC!E698*(A674&lt;PARAM!$B$55)</f>
        <v>0</v>
      </c>
      <c r="AE674">
        <f>IF(A674&lt;ITER!$C$16,1,PARAM!$C$53^-(RATES!A674-ITER!$C$16))*(A674&lt;PARAM!$B$55)</f>
        <v>0</v>
      </c>
    </row>
    <row r="675" spans="1:31" x14ac:dyDescent="0.2">
      <c r="A675" s="9">
        <v>672</v>
      </c>
      <c r="B675" s="178">
        <f t="shared" si="196"/>
        <v>87</v>
      </c>
      <c r="C675" s="178">
        <f t="shared" si="196"/>
        <v>87</v>
      </c>
      <c r="D675" s="2">
        <f>PARAM!$H$38</f>
        <v>1</v>
      </c>
      <c r="E675" s="11">
        <f>PARAM!$G$38</f>
        <v>0</v>
      </c>
      <c r="F675" s="11">
        <f>(VLOOKUP(C675,DEDN!$A$8:$O$902,$F$2)*D675+E675)/1000</f>
        <v>0.11974</v>
      </c>
      <c r="G675" s="178">
        <f t="shared" si="197"/>
        <v>56</v>
      </c>
      <c r="H675" s="178">
        <f t="shared" si="197"/>
        <v>56</v>
      </c>
      <c r="I675" s="2">
        <f>PARAM!$H$39</f>
        <v>0</v>
      </c>
      <c r="J675" s="11">
        <f>PARAM!$G$39</f>
        <v>0</v>
      </c>
      <c r="K675" s="11">
        <f>(VLOOKUP(H675,DEDN!$A$8:$O$902,$K$2)*I675+J675)/1000</f>
        <v>0</v>
      </c>
      <c r="L675" s="11">
        <f>MIN(IF(PARAM!$B$43=3,CHOOSE($L$2,F675,K675),F675+K675-F675*K675),1)</f>
        <v>0.11974</v>
      </c>
      <c r="M675" s="2">
        <f>PARAM!$I$38</f>
        <v>0</v>
      </c>
      <c r="N675" s="11">
        <f>VLOOKUP(B675,DEDN!$A$8:$O$90,$N$2)*M675</f>
        <v>0</v>
      </c>
      <c r="O675" s="12"/>
      <c r="P675" s="10">
        <f>PARAM!$C$53^-A675</f>
        <v>1</v>
      </c>
      <c r="Q675" s="10">
        <f t="shared" si="198"/>
        <v>0.26421762963162509</v>
      </c>
      <c r="R675" s="10">
        <f t="shared" si="195"/>
        <v>0.26421762963162509</v>
      </c>
      <c r="S675" s="10">
        <f>R675*(A675&lt;PARAM!$B$55)</f>
        <v>0</v>
      </c>
      <c r="T675" s="10">
        <f t="shared" si="193"/>
        <v>2.7932781348314895E-3</v>
      </c>
      <c r="U675" s="10">
        <f>T675*P675*(A675&lt;PARAM!$B$55)</f>
        <v>0</v>
      </c>
      <c r="W675">
        <v>672</v>
      </c>
      <c r="X675" s="178">
        <f t="shared" si="199"/>
        <v>87</v>
      </c>
      <c r="Y675" s="178">
        <f t="shared" si="199"/>
        <v>87</v>
      </c>
      <c r="Z675" s="178">
        <f t="shared" si="199"/>
        <v>56</v>
      </c>
      <c r="AA675" s="178">
        <f t="shared" si="199"/>
        <v>56</v>
      </c>
      <c r="AD675" s="17">
        <f>CALC!E699*(A675&lt;PARAM!$B$55)</f>
        <v>0</v>
      </c>
      <c r="AE675">
        <f>IF(A675&lt;ITER!$C$16,1,PARAM!$C$53^-(RATES!A675-ITER!$C$16))*(A675&lt;PARAM!$B$55)</f>
        <v>0</v>
      </c>
    </row>
    <row r="676" spans="1:31" x14ac:dyDescent="0.2">
      <c r="A676" s="9">
        <v>673</v>
      </c>
      <c r="B676" s="178">
        <f t="shared" si="196"/>
        <v>87</v>
      </c>
      <c r="C676" s="178">
        <f t="shared" si="196"/>
        <v>87</v>
      </c>
      <c r="D676" s="2">
        <f>PARAM!$H$38</f>
        <v>1</v>
      </c>
      <c r="E676" s="11">
        <f>PARAM!$G$38</f>
        <v>0</v>
      </c>
      <c r="F676" s="11">
        <f>(VLOOKUP(C676,DEDN!$A$8:$O$902,$F$2)*D676+E676)/1000</f>
        <v>0.11974</v>
      </c>
      <c r="G676" s="178">
        <f t="shared" si="197"/>
        <v>56</v>
      </c>
      <c r="H676" s="178">
        <f t="shared" si="197"/>
        <v>56</v>
      </c>
      <c r="I676" s="2">
        <f>PARAM!$H$39</f>
        <v>0</v>
      </c>
      <c r="J676" s="11">
        <f>PARAM!$G$39</f>
        <v>0</v>
      </c>
      <c r="K676" s="11">
        <f>(VLOOKUP(H676,DEDN!$A$8:$O$902,$K$2)*I676+J676)/1000</f>
        <v>0</v>
      </c>
      <c r="L676" s="11">
        <f>MIN(IF(PARAM!$B$43=3,CHOOSE($L$2,F676,K676),F676+K676-F676*K676),1)</f>
        <v>0.11974</v>
      </c>
      <c r="M676" s="2">
        <f>PARAM!$I$38</f>
        <v>0</v>
      </c>
      <c r="N676" s="11">
        <f>VLOOKUP(B676,DEDN!$A$8:$O$90,$N$2)*M676</f>
        <v>0</v>
      </c>
      <c r="O676" s="12"/>
      <c r="P676" s="10">
        <f>PARAM!$C$53^-A676</f>
        <v>1</v>
      </c>
      <c r="Q676" s="10">
        <f t="shared" si="198"/>
        <v>0.26142435149679361</v>
      </c>
      <c r="R676" s="10">
        <f t="shared" ref="R676:R691" si="200">P676*Q676</f>
        <v>0.26142435149679361</v>
      </c>
      <c r="S676" s="10">
        <f>CHOOSE(PARAM!$B$51,R676,0,0,0)*(A676&lt;PARAM!$B$55)</f>
        <v>0</v>
      </c>
      <c r="T676" s="10">
        <f t="shared" si="193"/>
        <v>2.7637479223721617E-3</v>
      </c>
      <c r="U676" s="10">
        <f>T676*P676*(A676&lt;PARAM!$B$55)</f>
        <v>0</v>
      </c>
      <c r="W676">
        <v>673</v>
      </c>
      <c r="X676" s="178">
        <f t="shared" si="199"/>
        <v>87</v>
      </c>
      <c r="Y676" s="178">
        <f t="shared" si="199"/>
        <v>87</v>
      </c>
      <c r="Z676" s="178">
        <f t="shared" si="199"/>
        <v>56</v>
      </c>
      <c r="AA676" s="178">
        <f t="shared" si="199"/>
        <v>56</v>
      </c>
      <c r="AD676" s="17">
        <f>CALC!E700*(A676&lt;PARAM!$B$55)</f>
        <v>0</v>
      </c>
      <c r="AE676">
        <f>IF(A676&lt;ITER!$C$16,1,PARAM!$C$53^-(RATES!A676-ITER!$C$16))*(A676&lt;PARAM!$B$55)</f>
        <v>0</v>
      </c>
    </row>
    <row r="677" spans="1:31" x14ac:dyDescent="0.2">
      <c r="A677" s="9">
        <v>674</v>
      </c>
      <c r="B677" s="178">
        <f t="shared" si="196"/>
        <v>87</v>
      </c>
      <c r="C677" s="178">
        <f t="shared" si="196"/>
        <v>87</v>
      </c>
      <c r="D677" s="2">
        <f>PARAM!$H$38</f>
        <v>1</v>
      </c>
      <c r="E677" s="11">
        <f>PARAM!$G$38</f>
        <v>0</v>
      </c>
      <c r="F677" s="11">
        <f>(VLOOKUP(C677,DEDN!$A$8:$O$902,$F$2)*D677+E677)/1000</f>
        <v>0.11974</v>
      </c>
      <c r="G677" s="178">
        <f t="shared" si="197"/>
        <v>56</v>
      </c>
      <c r="H677" s="178">
        <f t="shared" si="197"/>
        <v>56</v>
      </c>
      <c r="I677" s="2">
        <f>PARAM!$H$39</f>
        <v>0</v>
      </c>
      <c r="J677" s="11">
        <f>PARAM!$G$39</f>
        <v>0</v>
      </c>
      <c r="K677" s="11">
        <f>(VLOOKUP(H677,DEDN!$A$8:$O$902,$K$2)*I677+J677)/1000</f>
        <v>0</v>
      </c>
      <c r="L677" s="11">
        <f>MIN(IF(PARAM!$B$43=3,CHOOSE($L$2,F677,K677),F677+K677-F677*K677),1)</f>
        <v>0.11974</v>
      </c>
      <c r="M677" s="2">
        <f>PARAM!$I$38</f>
        <v>0</v>
      </c>
      <c r="N677" s="11">
        <f>VLOOKUP(B677,DEDN!$A$8:$O$90,$N$2)*M677</f>
        <v>0</v>
      </c>
      <c r="O677" s="12"/>
      <c r="P677" s="10">
        <f>PARAM!$C$53^-A677</f>
        <v>1</v>
      </c>
      <c r="Q677" s="10">
        <f t="shared" ref="Q677:Q692" si="201">Q676*(1-L676)^(1/12)</f>
        <v>0.25866060357442144</v>
      </c>
      <c r="R677" s="10">
        <f t="shared" si="200"/>
        <v>0.25866060357442144</v>
      </c>
      <c r="S677" s="10">
        <f>CHOOSE(PARAM!$B$51,R677,0,0,0)*(A677&lt;PARAM!$B$55)</f>
        <v>0</v>
      </c>
      <c r="T677" s="10">
        <f t="shared" si="193"/>
        <v>2.7345298998938117E-3</v>
      </c>
      <c r="U677" s="10">
        <f>T677*P677*(A677&lt;PARAM!$B$55)</f>
        <v>0</v>
      </c>
      <c r="W677">
        <v>674</v>
      </c>
      <c r="X677" s="178">
        <f t="shared" si="199"/>
        <v>87</v>
      </c>
      <c r="Y677" s="178">
        <f t="shared" si="199"/>
        <v>87</v>
      </c>
      <c r="Z677" s="178">
        <f t="shared" si="199"/>
        <v>56</v>
      </c>
      <c r="AA677" s="178">
        <f t="shared" si="199"/>
        <v>56</v>
      </c>
      <c r="AD677" s="17">
        <f>CALC!E701*(A677&lt;PARAM!$B$55)</f>
        <v>0</v>
      </c>
      <c r="AE677">
        <f>IF(A677&lt;ITER!$C$16,1,PARAM!$C$53^-(RATES!A677-ITER!$C$16))*(A677&lt;PARAM!$B$55)</f>
        <v>0</v>
      </c>
    </row>
    <row r="678" spans="1:31" x14ac:dyDescent="0.2">
      <c r="A678" s="9">
        <v>675</v>
      </c>
      <c r="B678" s="178">
        <f t="shared" si="196"/>
        <v>87</v>
      </c>
      <c r="C678" s="178">
        <f t="shared" si="196"/>
        <v>87</v>
      </c>
      <c r="D678" s="2">
        <f>PARAM!$H$38</f>
        <v>1</v>
      </c>
      <c r="E678" s="11">
        <f>PARAM!$G$38</f>
        <v>0</v>
      </c>
      <c r="F678" s="11">
        <f>(VLOOKUP(C678,DEDN!$A$8:$O$902,$F$2)*D678+E678)/1000</f>
        <v>0.11974</v>
      </c>
      <c r="G678" s="178">
        <f t="shared" si="197"/>
        <v>56</v>
      </c>
      <c r="H678" s="178">
        <f t="shared" si="197"/>
        <v>56</v>
      </c>
      <c r="I678" s="2">
        <f>PARAM!$H$39</f>
        <v>0</v>
      </c>
      <c r="J678" s="11">
        <f>PARAM!$G$39</f>
        <v>0</v>
      </c>
      <c r="K678" s="11">
        <f>(VLOOKUP(H678,DEDN!$A$8:$O$902,$K$2)*I678+J678)/1000</f>
        <v>0</v>
      </c>
      <c r="L678" s="11">
        <f>MIN(IF(PARAM!$B$43=3,CHOOSE($L$2,F678,K678),F678+K678-F678*K678),1)</f>
        <v>0.11974</v>
      </c>
      <c r="M678" s="2">
        <f>PARAM!$I$38</f>
        <v>0</v>
      </c>
      <c r="N678" s="11">
        <f>VLOOKUP(B678,DEDN!$A$8:$O$90,$N$2)*M678</f>
        <v>0</v>
      </c>
      <c r="O678" s="12"/>
      <c r="P678" s="10">
        <f>PARAM!$C$53^-A678</f>
        <v>1</v>
      </c>
      <c r="Q678" s="10">
        <f t="shared" si="201"/>
        <v>0.25592607367452763</v>
      </c>
      <c r="R678" s="10">
        <f t="shared" si="200"/>
        <v>0.25592607367452763</v>
      </c>
      <c r="S678" s="10">
        <f>CHOOSE(PARAM!$B$51,R678,R678,0,0)*(A678&lt;PARAM!$B$55)</f>
        <v>0</v>
      </c>
      <c r="T678" s="10">
        <f t="shared" si="193"/>
        <v>2.7056207669602372E-3</v>
      </c>
      <c r="U678" s="10">
        <f>T678*P678*(A678&lt;PARAM!$B$55)</f>
        <v>0</v>
      </c>
      <c r="W678">
        <v>675</v>
      </c>
      <c r="X678" s="178">
        <f t="shared" si="199"/>
        <v>87</v>
      </c>
      <c r="Y678" s="178">
        <f t="shared" si="199"/>
        <v>87</v>
      </c>
      <c r="Z678" s="178">
        <f t="shared" si="199"/>
        <v>56</v>
      </c>
      <c r="AA678" s="178">
        <f t="shared" si="199"/>
        <v>56</v>
      </c>
      <c r="AD678" s="17">
        <f>CALC!E702*(A678&lt;PARAM!$B$55)</f>
        <v>0</v>
      </c>
      <c r="AE678">
        <f>IF(A678&lt;ITER!$C$16,1,PARAM!$C$53^-(RATES!A678-ITER!$C$16))*(A678&lt;PARAM!$B$55)</f>
        <v>0</v>
      </c>
    </row>
    <row r="679" spans="1:31" x14ac:dyDescent="0.2">
      <c r="A679" s="9">
        <v>676</v>
      </c>
      <c r="B679" s="178">
        <f t="shared" si="196"/>
        <v>87</v>
      </c>
      <c r="C679" s="178">
        <f t="shared" si="196"/>
        <v>87</v>
      </c>
      <c r="D679" s="2">
        <f>PARAM!$H$38</f>
        <v>1</v>
      </c>
      <c r="E679" s="11">
        <f>PARAM!$G$38</f>
        <v>0</v>
      </c>
      <c r="F679" s="11">
        <f>(VLOOKUP(C679,DEDN!$A$8:$O$902,$F$2)*D679+E679)/1000</f>
        <v>0.11974</v>
      </c>
      <c r="G679" s="178">
        <f t="shared" si="197"/>
        <v>56</v>
      </c>
      <c r="H679" s="178">
        <f t="shared" si="197"/>
        <v>56</v>
      </c>
      <c r="I679" s="2">
        <f>PARAM!$H$39</f>
        <v>0</v>
      </c>
      <c r="J679" s="11">
        <f>PARAM!$G$39</f>
        <v>0</v>
      </c>
      <c r="K679" s="11">
        <f>(VLOOKUP(H679,DEDN!$A$8:$O$902,$K$2)*I679+J679)/1000</f>
        <v>0</v>
      </c>
      <c r="L679" s="11">
        <f>MIN(IF(PARAM!$B$43=3,CHOOSE($L$2,F679,K679),F679+K679-F679*K679),1)</f>
        <v>0.11974</v>
      </c>
      <c r="M679" s="2">
        <f>PARAM!$I$38</f>
        <v>0</v>
      </c>
      <c r="N679" s="11">
        <f>VLOOKUP(B679,DEDN!$A$8:$O$90,$N$2)*M679</f>
        <v>0</v>
      </c>
      <c r="O679" s="12"/>
      <c r="P679" s="10">
        <f>PARAM!$C$53^-A679</f>
        <v>1</v>
      </c>
      <c r="Q679" s="10">
        <f t="shared" si="201"/>
        <v>0.25322045290756739</v>
      </c>
      <c r="R679" s="10">
        <f t="shared" si="200"/>
        <v>0.25322045290756739</v>
      </c>
      <c r="S679" s="10">
        <f>CHOOSE(PARAM!$B$51,R679,0,0,0)*(A679&lt;PARAM!$B$55)</f>
        <v>0</v>
      </c>
      <c r="T679" s="10">
        <f t="shared" si="193"/>
        <v>2.6770172580269369E-3</v>
      </c>
      <c r="U679" s="10">
        <f>T679*P679*(A679&lt;PARAM!$B$55)</f>
        <v>0</v>
      </c>
      <c r="W679">
        <v>676</v>
      </c>
      <c r="X679" s="178">
        <f t="shared" si="199"/>
        <v>87</v>
      </c>
      <c r="Y679" s="178">
        <f t="shared" si="199"/>
        <v>87</v>
      </c>
      <c r="Z679" s="178">
        <f t="shared" si="199"/>
        <v>56</v>
      </c>
      <c r="AA679" s="178">
        <f t="shared" si="199"/>
        <v>56</v>
      </c>
      <c r="AD679" s="17">
        <f>CALC!E703*(A679&lt;PARAM!$B$55)</f>
        <v>0</v>
      </c>
      <c r="AE679">
        <f>IF(A679&lt;ITER!$C$16,1,PARAM!$C$53^-(RATES!A679-ITER!$C$16))*(A679&lt;PARAM!$B$55)</f>
        <v>0</v>
      </c>
    </row>
    <row r="680" spans="1:31" x14ac:dyDescent="0.2">
      <c r="A680" s="9">
        <v>677</v>
      </c>
      <c r="B680" s="178">
        <f t="shared" si="196"/>
        <v>87</v>
      </c>
      <c r="C680" s="178">
        <f t="shared" si="196"/>
        <v>87</v>
      </c>
      <c r="D680" s="2">
        <f>PARAM!$H$38</f>
        <v>1</v>
      </c>
      <c r="E680" s="11">
        <f>PARAM!$G$38</f>
        <v>0</v>
      </c>
      <c r="F680" s="11">
        <f>(VLOOKUP(C680,DEDN!$A$8:$O$902,$F$2)*D680+E680)/1000</f>
        <v>0.11974</v>
      </c>
      <c r="G680" s="178">
        <f t="shared" si="197"/>
        <v>56</v>
      </c>
      <c r="H680" s="178">
        <f t="shared" si="197"/>
        <v>56</v>
      </c>
      <c r="I680" s="2">
        <f>PARAM!$H$39</f>
        <v>0</v>
      </c>
      <c r="J680" s="11">
        <f>PARAM!$G$39</f>
        <v>0</v>
      </c>
      <c r="K680" s="11">
        <f>(VLOOKUP(H680,DEDN!$A$8:$O$902,$K$2)*I680+J680)/1000</f>
        <v>0</v>
      </c>
      <c r="L680" s="11">
        <f>MIN(IF(PARAM!$B$43=3,CHOOSE($L$2,F680,K680),F680+K680-F680*K680),1)</f>
        <v>0.11974</v>
      </c>
      <c r="M680" s="2">
        <f>PARAM!$I$38</f>
        <v>0</v>
      </c>
      <c r="N680" s="11">
        <f>VLOOKUP(B680,DEDN!$A$8:$O$90,$N$2)*M680</f>
        <v>0</v>
      </c>
      <c r="O680" s="12"/>
      <c r="P680" s="10">
        <f>PARAM!$C$53^-A680</f>
        <v>1</v>
      </c>
      <c r="Q680" s="10">
        <f t="shared" si="201"/>
        <v>0.25054343564954046</v>
      </c>
      <c r="R680" s="10">
        <f t="shared" si="200"/>
        <v>0.25054343564954046</v>
      </c>
      <c r="S680" s="10">
        <f>CHOOSE(PARAM!$B$51,R680,0,0,0)*(A680&lt;PARAM!$B$55)</f>
        <v>0</v>
      </c>
      <c r="T680" s="10">
        <f t="shared" si="193"/>
        <v>2.6487161420725158E-3</v>
      </c>
      <c r="U680" s="10">
        <f>T680*P680*(A680&lt;PARAM!$B$55)</f>
        <v>0</v>
      </c>
      <c r="W680">
        <v>677</v>
      </c>
      <c r="X680" s="178">
        <f t="shared" si="199"/>
        <v>87</v>
      </c>
      <c r="Y680" s="178">
        <f t="shared" si="199"/>
        <v>87</v>
      </c>
      <c r="Z680" s="178">
        <f t="shared" si="199"/>
        <v>56</v>
      </c>
      <c r="AA680" s="178">
        <f t="shared" si="199"/>
        <v>56</v>
      </c>
      <c r="AD680" s="17">
        <f>CALC!E704*(A680&lt;PARAM!$B$55)</f>
        <v>0</v>
      </c>
      <c r="AE680">
        <f>IF(A680&lt;ITER!$C$16,1,PARAM!$C$53^-(RATES!A680-ITER!$C$16))*(A680&lt;PARAM!$B$55)</f>
        <v>0</v>
      </c>
    </row>
    <row r="681" spans="1:31" x14ac:dyDescent="0.2">
      <c r="A681" s="9">
        <v>678</v>
      </c>
      <c r="B681" s="178">
        <f t="shared" ref="B681:C700" si="202">B669+1</f>
        <v>88</v>
      </c>
      <c r="C681" s="178">
        <f t="shared" si="202"/>
        <v>88</v>
      </c>
      <c r="D681" s="2">
        <f>PARAM!$H$38</f>
        <v>1</v>
      </c>
      <c r="E681" s="11">
        <f>PARAM!$G$38</f>
        <v>0</v>
      </c>
      <c r="F681" s="11">
        <f>(VLOOKUP(C681,DEDN!$A$8:$O$902,$F$2)*D681+E681)/1000</f>
        <v>0.12984999999999999</v>
      </c>
      <c r="G681" s="178">
        <f t="shared" ref="G681:H700" si="203">G669+1</f>
        <v>57</v>
      </c>
      <c r="H681" s="178">
        <f t="shared" si="203"/>
        <v>57</v>
      </c>
      <c r="I681" s="2">
        <f>PARAM!$H$39</f>
        <v>0</v>
      </c>
      <c r="J681" s="11">
        <f>PARAM!$G$39</f>
        <v>0</v>
      </c>
      <c r="K681" s="11">
        <f>(VLOOKUP(H681,DEDN!$A$8:$O$902,$K$2)*I681+J681)/1000</f>
        <v>0</v>
      </c>
      <c r="L681" s="11">
        <f>MIN(IF(PARAM!$B$43=3,CHOOSE($L$2,F681,K681),F681+K681-F681*K681),1)</f>
        <v>0.12984999999999999</v>
      </c>
      <c r="M681" s="2">
        <f>PARAM!$I$38</f>
        <v>0</v>
      </c>
      <c r="N681" s="11">
        <f>VLOOKUP(B681,DEDN!$A$8:$O$90,$N$2)*M681</f>
        <v>0</v>
      </c>
      <c r="O681" s="12"/>
      <c r="P681" s="10">
        <f>PARAM!$C$53^-A681</f>
        <v>1</v>
      </c>
      <c r="Q681" s="10">
        <f t="shared" si="201"/>
        <v>0.24789471950746794</v>
      </c>
      <c r="R681" s="10">
        <f t="shared" si="200"/>
        <v>0.24789471950746794</v>
      </c>
      <c r="S681" s="10">
        <f>CHOOSE(PARAM!$B$51,R681,R681,R681,0)*(A681&lt;PARAM!$B$55)</f>
        <v>0</v>
      </c>
      <c r="T681" s="10">
        <f t="shared" si="193"/>
        <v>2.856711750059554E-3</v>
      </c>
      <c r="U681" s="10">
        <f>T681*P681*(A681&lt;PARAM!$B$55)</f>
        <v>0</v>
      </c>
      <c r="W681">
        <v>678</v>
      </c>
      <c r="X681" s="178">
        <f t="shared" ref="X681:AA700" si="204">X669+1</f>
        <v>88</v>
      </c>
      <c r="Y681" s="178">
        <f t="shared" si="204"/>
        <v>88</v>
      </c>
      <c r="Z681" s="178">
        <f t="shared" si="204"/>
        <v>57</v>
      </c>
      <c r="AA681" s="178">
        <f t="shared" si="204"/>
        <v>57</v>
      </c>
      <c r="AD681" s="17">
        <f>CALC!E705*(A681&lt;PARAM!$B$55)</f>
        <v>0</v>
      </c>
      <c r="AE681">
        <f>IF(A681&lt;ITER!$C$16,1,PARAM!$C$53^-(RATES!A681-ITER!$C$16))*(A681&lt;PARAM!$B$55)</f>
        <v>0</v>
      </c>
    </row>
    <row r="682" spans="1:31" x14ac:dyDescent="0.2">
      <c r="A682" s="9">
        <v>679</v>
      </c>
      <c r="B682" s="178">
        <f t="shared" si="202"/>
        <v>88</v>
      </c>
      <c r="C682" s="178">
        <f t="shared" si="202"/>
        <v>88</v>
      </c>
      <c r="D682" s="2">
        <f>PARAM!$H$38</f>
        <v>1</v>
      </c>
      <c r="E682" s="11">
        <f>PARAM!$G$38</f>
        <v>0</v>
      </c>
      <c r="F682" s="11">
        <f>(VLOOKUP(C682,DEDN!$A$8:$O$902,$F$2)*D682+E682)/1000</f>
        <v>0.12984999999999999</v>
      </c>
      <c r="G682" s="178">
        <f t="shared" si="203"/>
        <v>57</v>
      </c>
      <c r="H682" s="178">
        <f t="shared" si="203"/>
        <v>57</v>
      </c>
      <c r="I682" s="2">
        <f>PARAM!$H$39</f>
        <v>0</v>
      </c>
      <c r="J682" s="11">
        <f>PARAM!$G$39</f>
        <v>0</v>
      </c>
      <c r="K682" s="11">
        <f>(VLOOKUP(H682,DEDN!$A$8:$O$902,$K$2)*I682+J682)/1000</f>
        <v>0</v>
      </c>
      <c r="L682" s="11">
        <f>MIN(IF(PARAM!$B$43=3,CHOOSE($L$2,F682,K682),F682+K682-F682*K682),1)</f>
        <v>0.12984999999999999</v>
      </c>
      <c r="M682" s="2">
        <f>PARAM!$I$38</f>
        <v>0</v>
      </c>
      <c r="N682" s="11">
        <f>VLOOKUP(B682,DEDN!$A$8:$O$90,$N$2)*M682</f>
        <v>0</v>
      </c>
      <c r="O682" s="12"/>
      <c r="P682" s="10">
        <f>PARAM!$C$53^-A682</f>
        <v>1</v>
      </c>
      <c r="Q682" s="10">
        <f t="shared" si="201"/>
        <v>0.24503800775740839</v>
      </c>
      <c r="R682" s="10">
        <f t="shared" si="200"/>
        <v>0.24503800775740839</v>
      </c>
      <c r="S682" s="10">
        <f>CHOOSE(PARAM!$B$51,R682,0,0,0)*(A682&lt;PARAM!$B$55)</f>
        <v>0</v>
      </c>
      <c r="T682" s="10">
        <f t="shared" si="193"/>
        <v>2.8237913149686267E-3</v>
      </c>
      <c r="U682" s="10">
        <f>T682*P682*(A682&lt;PARAM!$B$55)</f>
        <v>0</v>
      </c>
      <c r="W682">
        <v>679</v>
      </c>
      <c r="X682" s="178">
        <f t="shared" si="204"/>
        <v>88</v>
      </c>
      <c r="Y682" s="178">
        <f t="shared" si="204"/>
        <v>88</v>
      </c>
      <c r="Z682" s="178">
        <f t="shared" si="204"/>
        <v>57</v>
      </c>
      <c r="AA682" s="178">
        <f t="shared" si="204"/>
        <v>57</v>
      </c>
      <c r="AD682" s="17">
        <f>CALC!E706*(A682&lt;PARAM!$B$55)</f>
        <v>0</v>
      </c>
      <c r="AE682">
        <f>IF(A682&lt;ITER!$C$16,1,PARAM!$C$53^-(RATES!A682-ITER!$C$16))*(A682&lt;PARAM!$B$55)</f>
        <v>0</v>
      </c>
    </row>
    <row r="683" spans="1:31" x14ac:dyDescent="0.2">
      <c r="A683" s="9">
        <v>680</v>
      </c>
      <c r="B683" s="178">
        <f t="shared" si="202"/>
        <v>88</v>
      </c>
      <c r="C683" s="178">
        <f t="shared" si="202"/>
        <v>88</v>
      </c>
      <c r="D683" s="2">
        <f>PARAM!$H$38</f>
        <v>1</v>
      </c>
      <c r="E683" s="11">
        <f>PARAM!$G$38</f>
        <v>0</v>
      </c>
      <c r="F683" s="11">
        <f>(VLOOKUP(C683,DEDN!$A$8:$O$902,$F$2)*D683+E683)/1000</f>
        <v>0.12984999999999999</v>
      </c>
      <c r="G683" s="178">
        <f t="shared" si="203"/>
        <v>57</v>
      </c>
      <c r="H683" s="178">
        <f t="shared" si="203"/>
        <v>57</v>
      </c>
      <c r="I683" s="2">
        <f>PARAM!$H$39</f>
        <v>0</v>
      </c>
      <c r="J683" s="11">
        <f>PARAM!$G$39</f>
        <v>0</v>
      </c>
      <c r="K683" s="11">
        <f>(VLOOKUP(H683,DEDN!$A$8:$O$902,$K$2)*I683+J683)/1000</f>
        <v>0</v>
      </c>
      <c r="L683" s="11">
        <f>MIN(IF(PARAM!$B$43=3,CHOOSE($L$2,F683,K683),F683+K683-F683*K683),1)</f>
        <v>0.12984999999999999</v>
      </c>
      <c r="M683" s="2">
        <f>PARAM!$I$38</f>
        <v>0</v>
      </c>
      <c r="N683" s="11">
        <f>VLOOKUP(B683,DEDN!$A$8:$O$90,$N$2)*M683</f>
        <v>0</v>
      </c>
      <c r="O683" s="12"/>
      <c r="P683" s="10">
        <f>PARAM!$C$53^-A683</f>
        <v>1</v>
      </c>
      <c r="Q683" s="10">
        <f t="shared" si="201"/>
        <v>0.24221421644243976</v>
      </c>
      <c r="R683" s="10">
        <f t="shared" si="200"/>
        <v>0.24221421644243976</v>
      </c>
      <c r="S683" s="10">
        <f>CHOOSE(PARAM!$B$51,R683,0,0,0)*(A683&lt;PARAM!$B$55)</f>
        <v>0</v>
      </c>
      <c r="T683" s="10">
        <f t="shared" si="193"/>
        <v>2.7912502513864346E-3</v>
      </c>
      <c r="U683" s="10">
        <f>T683*P683*(A683&lt;PARAM!$B$55)</f>
        <v>0</v>
      </c>
      <c r="W683">
        <v>680</v>
      </c>
      <c r="X683" s="178">
        <f t="shared" si="204"/>
        <v>88</v>
      </c>
      <c r="Y683" s="178">
        <f t="shared" si="204"/>
        <v>88</v>
      </c>
      <c r="Z683" s="178">
        <f t="shared" si="204"/>
        <v>57</v>
      </c>
      <c r="AA683" s="178">
        <f t="shared" si="204"/>
        <v>57</v>
      </c>
      <c r="AD683" s="17">
        <f>CALC!E707*(A683&lt;PARAM!$B$55)</f>
        <v>0</v>
      </c>
      <c r="AE683">
        <f>IF(A683&lt;ITER!$C$16,1,PARAM!$C$53^-(RATES!A683-ITER!$C$16))*(A683&lt;PARAM!$B$55)</f>
        <v>0</v>
      </c>
    </row>
    <row r="684" spans="1:31" x14ac:dyDescent="0.2">
      <c r="A684" s="9">
        <v>681</v>
      </c>
      <c r="B684" s="178">
        <f t="shared" si="202"/>
        <v>88</v>
      </c>
      <c r="C684" s="178">
        <f t="shared" si="202"/>
        <v>88</v>
      </c>
      <c r="D684" s="2">
        <f>PARAM!$H$38</f>
        <v>1</v>
      </c>
      <c r="E684" s="11">
        <f>PARAM!$G$38</f>
        <v>0</v>
      </c>
      <c r="F684" s="11">
        <f>(VLOOKUP(C684,DEDN!$A$8:$O$902,$F$2)*D684+E684)/1000</f>
        <v>0.12984999999999999</v>
      </c>
      <c r="G684" s="178">
        <f t="shared" si="203"/>
        <v>57</v>
      </c>
      <c r="H684" s="178">
        <f t="shared" si="203"/>
        <v>57</v>
      </c>
      <c r="I684" s="2">
        <f>PARAM!$H$39</f>
        <v>0</v>
      </c>
      <c r="J684" s="11">
        <f>PARAM!$G$39</f>
        <v>0</v>
      </c>
      <c r="K684" s="11">
        <f>(VLOOKUP(H684,DEDN!$A$8:$O$902,$K$2)*I684+J684)/1000</f>
        <v>0</v>
      </c>
      <c r="L684" s="11">
        <f>MIN(IF(PARAM!$B$43=3,CHOOSE($L$2,F684,K684),F684+K684-F684*K684),1)</f>
        <v>0.12984999999999999</v>
      </c>
      <c r="M684" s="2">
        <f>PARAM!$I$38</f>
        <v>0</v>
      </c>
      <c r="N684" s="11">
        <f>VLOOKUP(B684,DEDN!$A$8:$O$90,$N$2)*M684</f>
        <v>0</v>
      </c>
      <c r="O684" s="12"/>
      <c r="P684" s="10">
        <f>PARAM!$C$53^-A684</f>
        <v>1</v>
      </c>
      <c r="Q684" s="10">
        <f t="shared" si="201"/>
        <v>0.23942296619105333</v>
      </c>
      <c r="R684" s="10">
        <f t="shared" si="200"/>
        <v>0.23942296619105333</v>
      </c>
      <c r="S684" s="10">
        <f>CHOOSE(PARAM!$B$51,R684,R684,0,0)*(A684&lt;PARAM!$B$55)</f>
        <v>0</v>
      </c>
      <c r="T684" s="10">
        <f t="shared" si="193"/>
        <v>2.7590841874769734E-3</v>
      </c>
      <c r="U684" s="10">
        <f>T684*P684*(A684&lt;PARAM!$B$55)</f>
        <v>0</v>
      </c>
      <c r="W684">
        <v>681</v>
      </c>
      <c r="X684" s="178">
        <f t="shared" si="204"/>
        <v>88</v>
      </c>
      <c r="Y684" s="178">
        <f t="shared" si="204"/>
        <v>88</v>
      </c>
      <c r="Z684" s="178">
        <f t="shared" si="204"/>
        <v>57</v>
      </c>
      <c r="AA684" s="178">
        <f t="shared" si="204"/>
        <v>57</v>
      </c>
      <c r="AD684" s="17">
        <f>CALC!E708*(A684&lt;PARAM!$B$55)</f>
        <v>0</v>
      </c>
      <c r="AE684">
        <f>IF(A684&lt;ITER!$C$16,1,PARAM!$C$53^-(RATES!A684-ITER!$C$16))*(A684&lt;PARAM!$B$55)</f>
        <v>0</v>
      </c>
    </row>
    <row r="685" spans="1:31" x14ac:dyDescent="0.2">
      <c r="A685" s="9">
        <v>682</v>
      </c>
      <c r="B685" s="178">
        <f t="shared" si="202"/>
        <v>88</v>
      </c>
      <c r="C685" s="178">
        <f t="shared" si="202"/>
        <v>88</v>
      </c>
      <c r="D685" s="2">
        <f>PARAM!$H$38</f>
        <v>1</v>
      </c>
      <c r="E685" s="11">
        <f>PARAM!$G$38</f>
        <v>0</v>
      </c>
      <c r="F685" s="11">
        <f>(VLOOKUP(C685,DEDN!$A$8:$O$902,$F$2)*D685+E685)/1000</f>
        <v>0.12984999999999999</v>
      </c>
      <c r="G685" s="178">
        <f t="shared" si="203"/>
        <v>57</v>
      </c>
      <c r="H685" s="178">
        <f t="shared" si="203"/>
        <v>57</v>
      </c>
      <c r="I685" s="2">
        <f>PARAM!$H$39</f>
        <v>0</v>
      </c>
      <c r="J685" s="11">
        <f>PARAM!$G$39</f>
        <v>0</v>
      </c>
      <c r="K685" s="11">
        <f>(VLOOKUP(H685,DEDN!$A$8:$O$902,$K$2)*I685+J685)/1000</f>
        <v>0</v>
      </c>
      <c r="L685" s="11">
        <f>MIN(IF(PARAM!$B$43=3,CHOOSE($L$2,F685,K685),F685+K685-F685*K685),1)</f>
        <v>0.12984999999999999</v>
      </c>
      <c r="M685" s="2">
        <f>PARAM!$I$38</f>
        <v>0</v>
      </c>
      <c r="N685" s="11">
        <f>VLOOKUP(B685,DEDN!$A$8:$O$90,$N$2)*M685</f>
        <v>0</v>
      </c>
      <c r="O685" s="12"/>
      <c r="P685" s="10">
        <f>PARAM!$C$53^-A685</f>
        <v>1</v>
      </c>
      <c r="Q685" s="10">
        <f t="shared" si="201"/>
        <v>0.23666388200357635</v>
      </c>
      <c r="R685" s="10">
        <f t="shared" si="200"/>
        <v>0.23666388200357635</v>
      </c>
      <c r="S685" s="10">
        <f>CHOOSE(PARAM!$B$51,R685,0,0,0)*(A685&lt;PARAM!$B$55)</f>
        <v>0</v>
      </c>
      <c r="T685" s="10">
        <f t="shared" si="193"/>
        <v>2.7272888017849106E-3</v>
      </c>
      <c r="U685" s="10">
        <f>T685*P685*(A685&lt;PARAM!$B$55)</f>
        <v>0</v>
      </c>
      <c r="W685">
        <v>682</v>
      </c>
      <c r="X685" s="178">
        <f t="shared" si="204"/>
        <v>88</v>
      </c>
      <c r="Y685" s="178">
        <f t="shared" si="204"/>
        <v>88</v>
      </c>
      <c r="Z685" s="178">
        <f t="shared" si="204"/>
        <v>57</v>
      </c>
      <c r="AA685" s="178">
        <f t="shared" si="204"/>
        <v>57</v>
      </c>
      <c r="AD685" s="17">
        <f>CALC!E709*(A685&lt;PARAM!$B$55)</f>
        <v>0</v>
      </c>
      <c r="AE685">
        <f>IF(A685&lt;ITER!$C$16,1,PARAM!$C$53^-(RATES!A685-ITER!$C$16))*(A685&lt;PARAM!$B$55)</f>
        <v>0</v>
      </c>
    </row>
    <row r="686" spans="1:31" x14ac:dyDescent="0.2">
      <c r="A686" s="9">
        <v>683</v>
      </c>
      <c r="B686" s="178">
        <f t="shared" si="202"/>
        <v>88</v>
      </c>
      <c r="C686" s="178">
        <f t="shared" si="202"/>
        <v>88</v>
      </c>
      <c r="D686" s="2">
        <f>PARAM!$H$38</f>
        <v>1</v>
      </c>
      <c r="E686" s="11">
        <f>PARAM!$G$38</f>
        <v>0</v>
      </c>
      <c r="F686" s="11">
        <f>(VLOOKUP(C686,DEDN!$A$8:$O$902,$F$2)*D686+E686)/1000</f>
        <v>0.12984999999999999</v>
      </c>
      <c r="G686" s="178">
        <f t="shared" si="203"/>
        <v>57</v>
      </c>
      <c r="H686" s="178">
        <f t="shared" si="203"/>
        <v>57</v>
      </c>
      <c r="I686" s="2">
        <f>PARAM!$H$39</f>
        <v>0</v>
      </c>
      <c r="J686" s="11">
        <f>PARAM!$G$39</f>
        <v>0</v>
      </c>
      <c r="K686" s="11">
        <f>(VLOOKUP(H686,DEDN!$A$8:$O$902,$K$2)*I686+J686)/1000</f>
        <v>0</v>
      </c>
      <c r="L686" s="11">
        <f>MIN(IF(PARAM!$B$43=3,CHOOSE($L$2,F686,K686),F686+K686-F686*K686),1)</f>
        <v>0.12984999999999999</v>
      </c>
      <c r="M686" s="2">
        <f>PARAM!$I$38</f>
        <v>0</v>
      </c>
      <c r="N686" s="11">
        <f>VLOOKUP(B686,DEDN!$A$8:$O$90,$N$2)*M686</f>
        <v>0</v>
      </c>
      <c r="O686" s="12"/>
      <c r="P686" s="10">
        <f>PARAM!$C$53^-A686</f>
        <v>1</v>
      </c>
      <c r="Q686" s="10">
        <f t="shared" si="201"/>
        <v>0.23393659320179144</v>
      </c>
      <c r="R686" s="10">
        <f t="shared" si="200"/>
        <v>0.23393659320179144</v>
      </c>
      <c r="S686" s="10">
        <f>CHOOSE(PARAM!$B$51,R686,0,0,0)*(A686&lt;PARAM!$B$55)</f>
        <v>0</v>
      </c>
      <c r="T686" s="10">
        <f t="shared" si="193"/>
        <v>2.6958598226548003E-3</v>
      </c>
      <c r="U686" s="10">
        <f>T686*P686*(A686&lt;PARAM!$B$55)</f>
        <v>0</v>
      </c>
      <c r="W686">
        <v>683</v>
      </c>
      <c r="X686" s="178">
        <f t="shared" si="204"/>
        <v>88</v>
      </c>
      <c r="Y686" s="178">
        <f t="shared" si="204"/>
        <v>88</v>
      </c>
      <c r="Z686" s="178">
        <f t="shared" si="204"/>
        <v>57</v>
      </c>
      <c r="AA686" s="178">
        <f t="shared" si="204"/>
        <v>57</v>
      </c>
      <c r="AD686" s="17">
        <f>CALC!E710*(A686&lt;PARAM!$B$55)</f>
        <v>0</v>
      </c>
      <c r="AE686">
        <f>IF(A686&lt;ITER!$C$16,1,PARAM!$C$53^-(RATES!A686-ITER!$C$16))*(A686&lt;PARAM!$B$55)</f>
        <v>0</v>
      </c>
    </row>
    <row r="687" spans="1:31" x14ac:dyDescent="0.2">
      <c r="A687" s="9">
        <v>684</v>
      </c>
      <c r="B687" s="178">
        <f t="shared" si="202"/>
        <v>88</v>
      </c>
      <c r="C687" s="178">
        <f t="shared" si="202"/>
        <v>88</v>
      </c>
      <c r="D687" s="2">
        <f>PARAM!$H$38</f>
        <v>1</v>
      </c>
      <c r="E687" s="11">
        <f>PARAM!$G$38</f>
        <v>0</v>
      </c>
      <c r="F687" s="11">
        <f>(VLOOKUP(C687,DEDN!$A$8:$O$902,$F$2)*D687+E687)/1000</f>
        <v>0.12984999999999999</v>
      </c>
      <c r="G687" s="178">
        <f t="shared" si="203"/>
        <v>57</v>
      </c>
      <c r="H687" s="178">
        <f t="shared" si="203"/>
        <v>57</v>
      </c>
      <c r="I687" s="2">
        <f>PARAM!$H$39</f>
        <v>0</v>
      </c>
      <c r="J687" s="11">
        <f>PARAM!$G$39</f>
        <v>0</v>
      </c>
      <c r="K687" s="11">
        <f>(VLOOKUP(H687,DEDN!$A$8:$O$902,$K$2)*I687+J687)/1000</f>
        <v>0</v>
      </c>
      <c r="L687" s="11">
        <f>MIN(IF(PARAM!$B$43=3,CHOOSE($L$2,F687,K687),F687+K687-F687*K687),1)</f>
        <v>0.12984999999999999</v>
      </c>
      <c r="M687" s="2">
        <f>PARAM!$I$38</f>
        <v>0</v>
      </c>
      <c r="N687" s="11">
        <f>VLOOKUP(B687,DEDN!$A$8:$O$90,$N$2)*M687</f>
        <v>0</v>
      </c>
      <c r="O687" s="12"/>
      <c r="P687" s="10">
        <f>PARAM!$C$53^-A687</f>
        <v>1</v>
      </c>
      <c r="Q687" s="10">
        <f t="shared" si="201"/>
        <v>0.23124073337913664</v>
      </c>
      <c r="R687" s="10">
        <f t="shared" si="200"/>
        <v>0.23124073337913664</v>
      </c>
      <c r="S687" s="10">
        <f>R687*(A687&lt;PARAM!$B$55)</f>
        <v>0</v>
      </c>
      <c r="T687" s="10">
        <f t="shared" si="193"/>
        <v>2.6647930276573195E-3</v>
      </c>
      <c r="U687" s="10">
        <f>T687*P687*(A687&lt;PARAM!$B$55)</f>
        <v>0</v>
      </c>
      <c r="W687">
        <v>684</v>
      </c>
      <c r="X687" s="178">
        <f t="shared" si="204"/>
        <v>88</v>
      </c>
      <c r="Y687" s="178">
        <f t="shared" si="204"/>
        <v>88</v>
      </c>
      <c r="Z687" s="178">
        <f t="shared" si="204"/>
        <v>57</v>
      </c>
      <c r="AA687" s="178">
        <f t="shared" si="204"/>
        <v>57</v>
      </c>
      <c r="AD687" s="17">
        <f>CALC!E711*(A687&lt;PARAM!$B$55)</f>
        <v>0</v>
      </c>
      <c r="AE687">
        <f>IF(A687&lt;ITER!$C$16,1,PARAM!$C$53^-(RATES!A687-ITER!$C$16))*(A687&lt;PARAM!$B$55)</f>
        <v>0</v>
      </c>
    </row>
    <row r="688" spans="1:31" x14ac:dyDescent="0.2">
      <c r="A688" s="9">
        <v>685</v>
      </c>
      <c r="B688" s="178">
        <f t="shared" si="202"/>
        <v>88</v>
      </c>
      <c r="C688" s="178">
        <f t="shared" si="202"/>
        <v>88</v>
      </c>
      <c r="D688" s="2">
        <f>PARAM!$H$38</f>
        <v>1</v>
      </c>
      <c r="E688" s="11">
        <f>PARAM!$G$38</f>
        <v>0</v>
      </c>
      <c r="F688" s="11">
        <f>(VLOOKUP(C688,DEDN!$A$8:$O$902,$F$2)*D688+E688)/1000</f>
        <v>0.12984999999999999</v>
      </c>
      <c r="G688" s="178">
        <f t="shared" si="203"/>
        <v>57</v>
      </c>
      <c r="H688" s="178">
        <f t="shared" si="203"/>
        <v>57</v>
      </c>
      <c r="I688" s="2">
        <f>PARAM!$H$39</f>
        <v>0</v>
      </c>
      <c r="J688" s="11">
        <f>PARAM!$G$39</f>
        <v>0</v>
      </c>
      <c r="K688" s="11">
        <f>(VLOOKUP(H688,DEDN!$A$8:$O$902,$K$2)*I688+J688)/1000</f>
        <v>0</v>
      </c>
      <c r="L688" s="11">
        <f>MIN(IF(PARAM!$B$43=3,CHOOSE($L$2,F688,K688),F688+K688-F688*K688),1)</f>
        <v>0.12984999999999999</v>
      </c>
      <c r="M688" s="2">
        <f>PARAM!$I$38</f>
        <v>0</v>
      </c>
      <c r="N688" s="11">
        <f>VLOOKUP(B688,DEDN!$A$8:$O$90,$N$2)*M688</f>
        <v>0</v>
      </c>
      <c r="O688" s="12"/>
      <c r="P688" s="10">
        <f>PARAM!$C$53^-A688</f>
        <v>1</v>
      </c>
      <c r="Q688" s="10">
        <f t="shared" si="201"/>
        <v>0.22857594035147932</v>
      </c>
      <c r="R688" s="10">
        <f t="shared" si="200"/>
        <v>0.22857594035147932</v>
      </c>
      <c r="S688" s="10">
        <f>CHOOSE(PARAM!$B$51,R688,0,0,0)*(A688&lt;PARAM!$B$55)</f>
        <v>0</v>
      </c>
      <c r="T688" s="10">
        <f t="shared" si="193"/>
        <v>2.6340842430220279E-3</v>
      </c>
      <c r="U688" s="10">
        <f>T688*P688*(A688&lt;PARAM!$B$55)</f>
        <v>0</v>
      </c>
      <c r="W688">
        <v>685</v>
      </c>
      <c r="X688" s="178">
        <f t="shared" si="204"/>
        <v>88</v>
      </c>
      <c r="Y688" s="178">
        <f t="shared" si="204"/>
        <v>88</v>
      </c>
      <c r="Z688" s="178">
        <f t="shared" si="204"/>
        <v>57</v>
      </c>
      <c r="AA688" s="178">
        <f t="shared" si="204"/>
        <v>57</v>
      </c>
      <c r="AD688" s="17">
        <f>CALC!E712*(A688&lt;PARAM!$B$55)</f>
        <v>0</v>
      </c>
      <c r="AE688">
        <f>IF(A688&lt;ITER!$C$16,1,PARAM!$C$53^-(RATES!A688-ITER!$C$16))*(A688&lt;PARAM!$B$55)</f>
        <v>0</v>
      </c>
    </row>
    <row r="689" spans="1:31" x14ac:dyDescent="0.2">
      <c r="A689" s="9">
        <v>686</v>
      </c>
      <c r="B689" s="178">
        <f t="shared" si="202"/>
        <v>88</v>
      </c>
      <c r="C689" s="178">
        <f t="shared" si="202"/>
        <v>88</v>
      </c>
      <c r="D689" s="2">
        <f>PARAM!$H$38</f>
        <v>1</v>
      </c>
      <c r="E689" s="11">
        <f>PARAM!$G$38</f>
        <v>0</v>
      </c>
      <c r="F689" s="11">
        <f>(VLOOKUP(C689,DEDN!$A$8:$O$902,$F$2)*D689+E689)/1000</f>
        <v>0.12984999999999999</v>
      </c>
      <c r="G689" s="178">
        <f t="shared" si="203"/>
        <v>57</v>
      </c>
      <c r="H689" s="178">
        <f t="shared" si="203"/>
        <v>57</v>
      </c>
      <c r="I689" s="2">
        <f>PARAM!$H$39</f>
        <v>0</v>
      </c>
      <c r="J689" s="11">
        <f>PARAM!$G$39</f>
        <v>0</v>
      </c>
      <c r="K689" s="11">
        <f>(VLOOKUP(H689,DEDN!$A$8:$O$902,$K$2)*I689+J689)/1000</f>
        <v>0</v>
      </c>
      <c r="L689" s="11">
        <f>MIN(IF(PARAM!$B$43=3,CHOOSE($L$2,F689,K689),F689+K689-F689*K689),1)</f>
        <v>0.12984999999999999</v>
      </c>
      <c r="M689" s="2">
        <f>PARAM!$I$38</f>
        <v>0</v>
      </c>
      <c r="N689" s="11">
        <f>VLOOKUP(B689,DEDN!$A$8:$O$90,$N$2)*M689</f>
        <v>0</v>
      </c>
      <c r="O689" s="12"/>
      <c r="P689" s="10">
        <f>PARAM!$C$53^-A689</f>
        <v>1</v>
      </c>
      <c r="Q689" s="10">
        <f t="shared" si="201"/>
        <v>0.2259418561084573</v>
      </c>
      <c r="R689" s="10">
        <f t="shared" si="200"/>
        <v>0.2259418561084573</v>
      </c>
      <c r="S689" s="10">
        <f>CHOOSE(PARAM!$B$51,R689,0,0,0)*(A689&lt;PARAM!$B$55)</f>
        <v>0</v>
      </c>
      <c r="T689" s="10">
        <f t="shared" si="193"/>
        <v>2.6037293430764274E-3</v>
      </c>
      <c r="U689" s="10">
        <f>T689*P689*(A689&lt;PARAM!$B$55)</f>
        <v>0</v>
      </c>
      <c r="W689">
        <v>686</v>
      </c>
      <c r="X689" s="178">
        <f t="shared" si="204"/>
        <v>88</v>
      </c>
      <c r="Y689" s="178">
        <f t="shared" si="204"/>
        <v>88</v>
      </c>
      <c r="Z689" s="178">
        <f t="shared" si="204"/>
        <v>57</v>
      </c>
      <c r="AA689" s="178">
        <f t="shared" si="204"/>
        <v>57</v>
      </c>
      <c r="AD689" s="17">
        <f>CALC!E713*(A689&lt;PARAM!$B$55)</f>
        <v>0</v>
      </c>
      <c r="AE689">
        <f>IF(A689&lt;ITER!$C$16,1,PARAM!$C$53^-(RATES!A689-ITER!$C$16))*(A689&lt;PARAM!$B$55)</f>
        <v>0</v>
      </c>
    </row>
    <row r="690" spans="1:31" x14ac:dyDescent="0.2">
      <c r="A690" s="9">
        <v>687</v>
      </c>
      <c r="B690" s="178">
        <f t="shared" si="202"/>
        <v>88</v>
      </c>
      <c r="C690" s="178">
        <f t="shared" si="202"/>
        <v>88</v>
      </c>
      <c r="D690" s="2">
        <f>PARAM!$H$38</f>
        <v>1</v>
      </c>
      <c r="E690" s="11">
        <f>PARAM!$G$38</f>
        <v>0</v>
      </c>
      <c r="F690" s="11">
        <f>(VLOOKUP(C690,DEDN!$A$8:$O$902,$F$2)*D690+E690)/1000</f>
        <v>0.12984999999999999</v>
      </c>
      <c r="G690" s="178">
        <f t="shared" si="203"/>
        <v>57</v>
      </c>
      <c r="H690" s="178">
        <f t="shared" si="203"/>
        <v>57</v>
      </c>
      <c r="I690" s="2">
        <f>PARAM!$H$39</f>
        <v>0</v>
      </c>
      <c r="J690" s="11">
        <f>PARAM!$G$39</f>
        <v>0</v>
      </c>
      <c r="K690" s="11">
        <f>(VLOOKUP(H690,DEDN!$A$8:$O$902,$K$2)*I690+J690)/1000</f>
        <v>0</v>
      </c>
      <c r="L690" s="11">
        <f>MIN(IF(PARAM!$B$43=3,CHOOSE($L$2,F690,K690),F690+K690-F690*K690),1)</f>
        <v>0.12984999999999999</v>
      </c>
      <c r="M690" s="2">
        <f>PARAM!$I$38</f>
        <v>0</v>
      </c>
      <c r="N690" s="11">
        <f>VLOOKUP(B690,DEDN!$A$8:$O$90,$N$2)*M690</f>
        <v>0</v>
      </c>
      <c r="O690" s="12"/>
      <c r="P690" s="10">
        <f>PARAM!$C$53^-A690</f>
        <v>1</v>
      </c>
      <c r="Q690" s="10">
        <f t="shared" si="201"/>
        <v>0.22333812676538087</v>
      </c>
      <c r="R690" s="10">
        <f t="shared" si="200"/>
        <v>0.22333812676538087</v>
      </c>
      <c r="S690" s="10">
        <f>CHOOSE(PARAM!$B$51,R690,R690,0,0)*(A690&lt;PARAM!$B$55)</f>
        <v>0</v>
      </c>
      <c r="T690" s="10">
        <f t="shared" si="193"/>
        <v>2.573724249691961E-3</v>
      </c>
      <c r="U690" s="10">
        <f>T690*P690*(A690&lt;PARAM!$B$55)</f>
        <v>0</v>
      </c>
      <c r="W690">
        <v>687</v>
      </c>
      <c r="X690" s="178">
        <f t="shared" si="204"/>
        <v>88</v>
      </c>
      <c r="Y690" s="178">
        <f t="shared" si="204"/>
        <v>88</v>
      </c>
      <c r="Z690" s="178">
        <f t="shared" si="204"/>
        <v>57</v>
      </c>
      <c r="AA690" s="178">
        <f t="shared" si="204"/>
        <v>57</v>
      </c>
      <c r="AD690" s="17">
        <f>CALC!E714*(A690&lt;PARAM!$B$55)</f>
        <v>0</v>
      </c>
      <c r="AE690">
        <f>IF(A690&lt;ITER!$C$16,1,PARAM!$C$53^-(RATES!A690-ITER!$C$16))*(A690&lt;PARAM!$B$55)</f>
        <v>0</v>
      </c>
    </row>
    <row r="691" spans="1:31" x14ac:dyDescent="0.2">
      <c r="A691" s="9">
        <v>688</v>
      </c>
      <c r="B691" s="178">
        <f t="shared" si="202"/>
        <v>88</v>
      </c>
      <c r="C691" s="178">
        <f t="shared" si="202"/>
        <v>88</v>
      </c>
      <c r="D691" s="2">
        <f>PARAM!$H$38</f>
        <v>1</v>
      </c>
      <c r="E691" s="11">
        <f>PARAM!$G$38</f>
        <v>0</v>
      </c>
      <c r="F691" s="11">
        <f>(VLOOKUP(C691,DEDN!$A$8:$O$902,$F$2)*D691+E691)/1000</f>
        <v>0.12984999999999999</v>
      </c>
      <c r="G691" s="178">
        <f t="shared" si="203"/>
        <v>57</v>
      </c>
      <c r="H691" s="178">
        <f t="shared" si="203"/>
        <v>57</v>
      </c>
      <c r="I691" s="2">
        <f>PARAM!$H$39</f>
        <v>0</v>
      </c>
      <c r="J691" s="11">
        <f>PARAM!$G$39</f>
        <v>0</v>
      </c>
      <c r="K691" s="11">
        <f>(VLOOKUP(H691,DEDN!$A$8:$O$902,$K$2)*I691+J691)/1000</f>
        <v>0</v>
      </c>
      <c r="L691" s="11">
        <f>MIN(IF(PARAM!$B$43=3,CHOOSE($L$2,F691,K691),F691+K691-F691*K691),1)</f>
        <v>0.12984999999999999</v>
      </c>
      <c r="M691" s="2">
        <f>PARAM!$I$38</f>
        <v>0</v>
      </c>
      <c r="N691" s="11">
        <f>VLOOKUP(B691,DEDN!$A$8:$O$90,$N$2)*M691</f>
        <v>0</v>
      </c>
      <c r="O691" s="12"/>
      <c r="P691" s="10">
        <f>PARAM!$C$53^-A691</f>
        <v>1</v>
      </c>
      <c r="Q691" s="10">
        <f t="shared" si="201"/>
        <v>0.22076440251568891</v>
      </c>
      <c r="R691" s="10">
        <f t="shared" si="200"/>
        <v>0.22076440251568891</v>
      </c>
      <c r="S691" s="10">
        <f>CHOOSE(PARAM!$B$51,R691,0,0,0)*(A691&lt;PARAM!$B$55)</f>
        <v>0</v>
      </c>
      <c r="T691" s="10">
        <f t="shared" si="193"/>
        <v>2.5440649317358677E-3</v>
      </c>
      <c r="U691" s="10">
        <f>T691*P691*(A691&lt;PARAM!$B$55)</f>
        <v>0</v>
      </c>
      <c r="W691">
        <v>688</v>
      </c>
      <c r="X691" s="178">
        <f t="shared" si="204"/>
        <v>88</v>
      </c>
      <c r="Y691" s="178">
        <f t="shared" si="204"/>
        <v>88</v>
      </c>
      <c r="Z691" s="178">
        <f t="shared" si="204"/>
        <v>57</v>
      </c>
      <c r="AA691" s="178">
        <f t="shared" si="204"/>
        <v>57</v>
      </c>
      <c r="AD691" s="17">
        <f>CALC!E715*(A691&lt;PARAM!$B$55)</f>
        <v>0</v>
      </c>
      <c r="AE691">
        <f>IF(A691&lt;ITER!$C$16,1,PARAM!$C$53^-(RATES!A691-ITER!$C$16))*(A691&lt;PARAM!$B$55)</f>
        <v>0</v>
      </c>
    </row>
    <row r="692" spans="1:31" x14ac:dyDescent="0.2">
      <c r="A692" s="9">
        <v>689</v>
      </c>
      <c r="B692" s="178">
        <f t="shared" si="202"/>
        <v>88</v>
      </c>
      <c r="C692" s="178">
        <f t="shared" si="202"/>
        <v>88</v>
      </c>
      <c r="D692" s="2">
        <f>PARAM!$H$38</f>
        <v>1</v>
      </c>
      <c r="E692" s="11">
        <f>PARAM!$G$38</f>
        <v>0</v>
      </c>
      <c r="F692" s="11">
        <f>(VLOOKUP(C692,DEDN!$A$8:$O$902,$F$2)*D692+E692)/1000</f>
        <v>0.12984999999999999</v>
      </c>
      <c r="G692" s="178">
        <f t="shared" si="203"/>
        <v>57</v>
      </c>
      <c r="H692" s="178">
        <f t="shared" si="203"/>
        <v>57</v>
      </c>
      <c r="I692" s="2">
        <f>PARAM!$H$39</f>
        <v>0</v>
      </c>
      <c r="J692" s="11">
        <f>PARAM!$G$39</f>
        <v>0</v>
      </c>
      <c r="K692" s="11">
        <f>(VLOOKUP(H692,DEDN!$A$8:$O$902,$K$2)*I692+J692)/1000</f>
        <v>0</v>
      </c>
      <c r="L692" s="11">
        <f>MIN(IF(PARAM!$B$43=3,CHOOSE($L$2,F692,K692),F692+K692-F692*K692),1)</f>
        <v>0.12984999999999999</v>
      </c>
      <c r="M692" s="2">
        <f>PARAM!$I$38</f>
        <v>0</v>
      </c>
      <c r="N692" s="11">
        <f>VLOOKUP(B692,DEDN!$A$8:$O$90,$N$2)*M692</f>
        <v>0</v>
      </c>
      <c r="O692" s="12"/>
      <c r="P692" s="10">
        <f>PARAM!$C$53^-A692</f>
        <v>1</v>
      </c>
      <c r="Q692" s="10">
        <f t="shared" si="201"/>
        <v>0.21822033758395304</v>
      </c>
      <c r="R692" s="10">
        <f t="shared" ref="R692:R707" si="205">P692*Q692</f>
        <v>0.21822033758395304</v>
      </c>
      <c r="S692" s="10">
        <f>CHOOSE(PARAM!$B$51,R692,0,0,0)*(A692&lt;PARAM!$B$55)</f>
        <v>0</v>
      </c>
      <c r="T692" s="10">
        <f t="shared" si="193"/>
        <v>2.5147474045297824E-3</v>
      </c>
      <c r="U692" s="10">
        <f>T692*P692*(A692&lt;PARAM!$B$55)</f>
        <v>0</v>
      </c>
      <c r="W692">
        <v>689</v>
      </c>
      <c r="X692" s="178">
        <f t="shared" si="204"/>
        <v>88</v>
      </c>
      <c r="Y692" s="178">
        <f t="shared" si="204"/>
        <v>88</v>
      </c>
      <c r="Z692" s="178">
        <f t="shared" si="204"/>
        <v>57</v>
      </c>
      <c r="AA692" s="178">
        <f t="shared" si="204"/>
        <v>57</v>
      </c>
      <c r="AD692" s="17">
        <f>CALC!E716*(A692&lt;PARAM!$B$55)</f>
        <v>0</v>
      </c>
      <c r="AE692">
        <f>IF(A692&lt;ITER!$C$16,1,PARAM!$C$53^-(RATES!A692-ITER!$C$16))*(A692&lt;PARAM!$B$55)</f>
        <v>0</v>
      </c>
    </row>
    <row r="693" spans="1:31" x14ac:dyDescent="0.2">
      <c r="A693" s="9">
        <v>690</v>
      </c>
      <c r="B693" s="178">
        <f t="shared" si="202"/>
        <v>89</v>
      </c>
      <c r="C693" s="178">
        <f t="shared" si="202"/>
        <v>89</v>
      </c>
      <c r="D693" s="2">
        <f>PARAM!$H$38</f>
        <v>1</v>
      </c>
      <c r="E693" s="11">
        <f>PARAM!$G$38</f>
        <v>0</v>
      </c>
      <c r="F693" s="11">
        <f>(VLOOKUP(C693,DEDN!$A$8:$O$902,$F$2)*D693+E693)/1000</f>
        <v>0.14058999999999999</v>
      </c>
      <c r="G693" s="178">
        <f t="shared" si="203"/>
        <v>58</v>
      </c>
      <c r="H693" s="178">
        <f t="shared" si="203"/>
        <v>58</v>
      </c>
      <c r="I693" s="2">
        <f>PARAM!$H$39</f>
        <v>0</v>
      </c>
      <c r="J693" s="11">
        <f>PARAM!$G$39</f>
        <v>0</v>
      </c>
      <c r="K693" s="11">
        <f>(VLOOKUP(H693,DEDN!$A$8:$O$902,$K$2)*I693+J693)/1000</f>
        <v>0</v>
      </c>
      <c r="L693" s="11">
        <f>MIN(IF(PARAM!$B$43=3,CHOOSE($L$2,F693,K693),F693+K693-F693*K693),1)</f>
        <v>0.14058999999999999</v>
      </c>
      <c r="M693" s="2">
        <f>PARAM!$I$38</f>
        <v>0</v>
      </c>
      <c r="N693" s="11">
        <f>VLOOKUP(B693,DEDN!$A$8:$O$90,$N$2)*M693</f>
        <v>0</v>
      </c>
      <c r="O693" s="12"/>
      <c r="P693" s="10">
        <f>PARAM!$C$53^-A693</f>
        <v>1</v>
      </c>
      <c r="Q693" s="10">
        <f t="shared" ref="Q693:Q708" si="206">Q692*(1-L692)^(1/12)</f>
        <v>0.21570559017942326</v>
      </c>
      <c r="R693" s="10">
        <f t="shared" si="205"/>
        <v>0.21570559017942326</v>
      </c>
      <c r="S693" s="10">
        <f>CHOOSE(PARAM!$B$51,R693,R693,R693,0)*(A693&lt;PARAM!$B$55)</f>
        <v>0</v>
      </c>
      <c r="T693" s="10">
        <f t="shared" si="193"/>
        <v>2.7063272650215131E-3</v>
      </c>
      <c r="U693" s="10">
        <f>T693*P693*(A693&lt;PARAM!$B$55)</f>
        <v>0</v>
      </c>
      <c r="W693">
        <v>690</v>
      </c>
      <c r="X693" s="178">
        <f t="shared" si="204"/>
        <v>89</v>
      </c>
      <c r="Y693" s="178">
        <f t="shared" si="204"/>
        <v>89</v>
      </c>
      <c r="Z693" s="178">
        <f t="shared" si="204"/>
        <v>58</v>
      </c>
      <c r="AA693" s="178">
        <f t="shared" si="204"/>
        <v>58</v>
      </c>
      <c r="AD693" s="17">
        <f>CALC!E717*(A693&lt;PARAM!$B$55)</f>
        <v>0</v>
      </c>
      <c r="AE693">
        <f>IF(A693&lt;ITER!$C$16,1,PARAM!$C$53^-(RATES!A693-ITER!$C$16))*(A693&lt;PARAM!$B$55)</f>
        <v>0</v>
      </c>
    </row>
    <row r="694" spans="1:31" x14ac:dyDescent="0.2">
      <c r="A694" s="9">
        <v>691</v>
      </c>
      <c r="B694" s="178">
        <f t="shared" si="202"/>
        <v>89</v>
      </c>
      <c r="C694" s="178">
        <f t="shared" si="202"/>
        <v>89</v>
      </c>
      <c r="D694" s="2">
        <f>PARAM!$H$38</f>
        <v>1</v>
      </c>
      <c r="E694" s="11">
        <f>PARAM!$G$38</f>
        <v>0</v>
      </c>
      <c r="F694" s="11">
        <f>(VLOOKUP(C694,DEDN!$A$8:$O$902,$F$2)*D694+E694)/1000</f>
        <v>0.14058999999999999</v>
      </c>
      <c r="G694" s="178">
        <f t="shared" si="203"/>
        <v>58</v>
      </c>
      <c r="H694" s="178">
        <f t="shared" si="203"/>
        <v>58</v>
      </c>
      <c r="I694" s="2">
        <f>PARAM!$H$39</f>
        <v>0</v>
      </c>
      <c r="J694" s="11">
        <f>PARAM!$G$39</f>
        <v>0</v>
      </c>
      <c r="K694" s="11">
        <f>(VLOOKUP(H694,DEDN!$A$8:$O$902,$K$2)*I694+J694)/1000</f>
        <v>0</v>
      </c>
      <c r="L694" s="11">
        <f>MIN(IF(PARAM!$B$43=3,CHOOSE($L$2,F694,K694),F694+K694-F694*K694),1)</f>
        <v>0.14058999999999999</v>
      </c>
      <c r="M694" s="2">
        <f>PARAM!$I$38</f>
        <v>0</v>
      </c>
      <c r="N694" s="11">
        <f>VLOOKUP(B694,DEDN!$A$8:$O$90,$N$2)*M694</f>
        <v>0</v>
      </c>
      <c r="O694" s="12"/>
      <c r="P694" s="10">
        <f>PARAM!$C$53^-A694</f>
        <v>1</v>
      </c>
      <c r="Q694" s="10">
        <f t="shared" si="206"/>
        <v>0.21299926291440174</v>
      </c>
      <c r="R694" s="10">
        <f t="shared" si="205"/>
        <v>0.21299926291440174</v>
      </c>
      <c r="S694" s="10">
        <f>CHOOSE(PARAM!$B$51,R694,0,0,0)*(A694&lt;PARAM!$B$55)</f>
        <v>0</v>
      </c>
      <c r="T694" s="10">
        <f t="shared" si="193"/>
        <v>2.6723726175814366E-3</v>
      </c>
      <c r="U694" s="10">
        <f>T694*P694*(A694&lt;PARAM!$B$55)</f>
        <v>0</v>
      </c>
      <c r="W694">
        <v>691</v>
      </c>
      <c r="X694" s="178">
        <f t="shared" si="204"/>
        <v>89</v>
      </c>
      <c r="Y694" s="178">
        <f t="shared" si="204"/>
        <v>89</v>
      </c>
      <c r="Z694" s="178">
        <f t="shared" si="204"/>
        <v>58</v>
      </c>
      <c r="AA694" s="178">
        <f t="shared" si="204"/>
        <v>58</v>
      </c>
      <c r="AD694" s="17">
        <f>CALC!E718*(A694&lt;PARAM!$B$55)</f>
        <v>0</v>
      </c>
      <c r="AE694">
        <f>IF(A694&lt;ITER!$C$16,1,PARAM!$C$53^-(RATES!A694-ITER!$C$16))*(A694&lt;PARAM!$B$55)</f>
        <v>0</v>
      </c>
    </row>
    <row r="695" spans="1:31" x14ac:dyDescent="0.2">
      <c r="A695" s="9">
        <v>692</v>
      </c>
      <c r="B695" s="178">
        <f t="shared" si="202"/>
        <v>89</v>
      </c>
      <c r="C695" s="178">
        <f t="shared" si="202"/>
        <v>89</v>
      </c>
      <c r="D695" s="2">
        <f>PARAM!$H$38</f>
        <v>1</v>
      </c>
      <c r="E695" s="11">
        <f>PARAM!$G$38</f>
        <v>0</v>
      </c>
      <c r="F695" s="11">
        <f>(VLOOKUP(C695,DEDN!$A$8:$O$902,$F$2)*D695+E695)/1000</f>
        <v>0.14058999999999999</v>
      </c>
      <c r="G695" s="178">
        <f t="shared" si="203"/>
        <v>58</v>
      </c>
      <c r="H695" s="178">
        <f t="shared" si="203"/>
        <v>58</v>
      </c>
      <c r="I695" s="2">
        <f>PARAM!$H$39</f>
        <v>0</v>
      </c>
      <c r="J695" s="11">
        <f>PARAM!$G$39</f>
        <v>0</v>
      </c>
      <c r="K695" s="11">
        <f>(VLOOKUP(H695,DEDN!$A$8:$O$902,$K$2)*I695+J695)/1000</f>
        <v>0</v>
      </c>
      <c r="L695" s="11">
        <f>MIN(IF(PARAM!$B$43=3,CHOOSE($L$2,F695,K695),F695+K695-F695*K695),1)</f>
        <v>0.14058999999999999</v>
      </c>
      <c r="M695" s="2">
        <f>PARAM!$I$38</f>
        <v>0</v>
      </c>
      <c r="N695" s="11">
        <f>VLOOKUP(B695,DEDN!$A$8:$O$90,$N$2)*M695</f>
        <v>0</v>
      </c>
      <c r="O695" s="12"/>
      <c r="P695" s="10">
        <f>PARAM!$C$53^-A695</f>
        <v>1</v>
      </c>
      <c r="Q695" s="10">
        <f t="shared" si="206"/>
        <v>0.21032689029682031</v>
      </c>
      <c r="R695" s="10">
        <f t="shared" si="205"/>
        <v>0.21032689029682031</v>
      </c>
      <c r="S695" s="10">
        <f>CHOOSE(PARAM!$B$51,R695,0,0,0)*(A695&lt;PARAM!$B$55)</f>
        <v>0</v>
      </c>
      <c r="T695" s="10">
        <f t="shared" si="193"/>
        <v>2.6388439785172135E-3</v>
      </c>
      <c r="U695" s="10">
        <f>T695*P695*(A695&lt;PARAM!$B$55)</f>
        <v>0</v>
      </c>
      <c r="W695">
        <v>692</v>
      </c>
      <c r="X695" s="178">
        <f t="shared" si="204"/>
        <v>89</v>
      </c>
      <c r="Y695" s="178">
        <f t="shared" si="204"/>
        <v>89</v>
      </c>
      <c r="Z695" s="178">
        <f t="shared" si="204"/>
        <v>58</v>
      </c>
      <c r="AA695" s="178">
        <f t="shared" si="204"/>
        <v>58</v>
      </c>
      <c r="AD695" s="17">
        <f>CALC!E719*(A695&lt;PARAM!$B$55)</f>
        <v>0</v>
      </c>
      <c r="AE695">
        <f>IF(A695&lt;ITER!$C$16,1,PARAM!$C$53^-(RATES!A695-ITER!$C$16))*(A695&lt;PARAM!$B$55)</f>
        <v>0</v>
      </c>
    </row>
    <row r="696" spans="1:31" x14ac:dyDescent="0.2">
      <c r="A696" s="9">
        <v>693</v>
      </c>
      <c r="B696" s="178">
        <f t="shared" si="202"/>
        <v>89</v>
      </c>
      <c r="C696" s="178">
        <f t="shared" si="202"/>
        <v>89</v>
      </c>
      <c r="D696" s="2">
        <f>PARAM!$H$38</f>
        <v>1</v>
      </c>
      <c r="E696" s="11">
        <f>PARAM!$G$38</f>
        <v>0</v>
      </c>
      <c r="F696" s="11">
        <f>(VLOOKUP(C696,DEDN!$A$8:$O$902,$F$2)*D696+E696)/1000</f>
        <v>0.14058999999999999</v>
      </c>
      <c r="G696" s="178">
        <f t="shared" si="203"/>
        <v>58</v>
      </c>
      <c r="H696" s="178">
        <f t="shared" si="203"/>
        <v>58</v>
      </c>
      <c r="I696" s="2">
        <f>PARAM!$H$39</f>
        <v>0</v>
      </c>
      <c r="J696" s="11">
        <f>PARAM!$G$39</f>
        <v>0</v>
      </c>
      <c r="K696" s="11">
        <f>(VLOOKUP(H696,DEDN!$A$8:$O$902,$K$2)*I696+J696)/1000</f>
        <v>0</v>
      </c>
      <c r="L696" s="11">
        <f>MIN(IF(PARAM!$B$43=3,CHOOSE($L$2,F696,K696),F696+K696-F696*K696),1)</f>
        <v>0.14058999999999999</v>
      </c>
      <c r="M696" s="2">
        <f>PARAM!$I$38</f>
        <v>0</v>
      </c>
      <c r="N696" s="11">
        <f>VLOOKUP(B696,DEDN!$A$8:$O$90,$N$2)*M696</f>
        <v>0</v>
      </c>
      <c r="O696" s="12"/>
      <c r="P696" s="10">
        <f>PARAM!$C$53^-A696</f>
        <v>1</v>
      </c>
      <c r="Q696" s="10">
        <f t="shared" si="206"/>
        <v>0.20768804631830309</v>
      </c>
      <c r="R696" s="10">
        <f t="shared" si="205"/>
        <v>0.20768804631830309</v>
      </c>
      <c r="S696" s="10">
        <f>CHOOSE(PARAM!$B$51,R696,R696,0,0)*(A696&lt;PARAM!$B$55)</f>
        <v>0</v>
      </c>
      <c r="T696" s="10">
        <f t="shared" si="193"/>
        <v>2.605736002960074E-3</v>
      </c>
      <c r="U696" s="10">
        <f>T696*P696*(A696&lt;PARAM!$B$55)</f>
        <v>0</v>
      </c>
      <c r="W696">
        <v>693</v>
      </c>
      <c r="X696" s="178">
        <f t="shared" si="204"/>
        <v>89</v>
      </c>
      <c r="Y696" s="178">
        <f t="shared" si="204"/>
        <v>89</v>
      </c>
      <c r="Z696" s="178">
        <f t="shared" si="204"/>
        <v>58</v>
      </c>
      <c r="AA696" s="178">
        <f t="shared" si="204"/>
        <v>58</v>
      </c>
      <c r="AD696" s="17">
        <f>CALC!E720*(A696&lt;PARAM!$B$55)</f>
        <v>0</v>
      </c>
      <c r="AE696">
        <f>IF(A696&lt;ITER!$C$16,1,PARAM!$C$53^-(RATES!A696-ITER!$C$16))*(A696&lt;PARAM!$B$55)</f>
        <v>0</v>
      </c>
    </row>
    <row r="697" spans="1:31" x14ac:dyDescent="0.2">
      <c r="A697" s="9">
        <v>694</v>
      </c>
      <c r="B697" s="178">
        <f t="shared" si="202"/>
        <v>89</v>
      </c>
      <c r="C697" s="178">
        <f t="shared" si="202"/>
        <v>89</v>
      </c>
      <c r="D697" s="2">
        <f>PARAM!$H$38</f>
        <v>1</v>
      </c>
      <c r="E697" s="11">
        <f>PARAM!$G$38</f>
        <v>0</v>
      </c>
      <c r="F697" s="11">
        <f>(VLOOKUP(C697,DEDN!$A$8:$O$902,$F$2)*D697+E697)/1000</f>
        <v>0.14058999999999999</v>
      </c>
      <c r="G697" s="178">
        <f t="shared" si="203"/>
        <v>58</v>
      </c>
      <c r="H697" s="178">
        <f t="shared" si="203"/>
        <v>58</v>
      </c>
      <c r="I697" s="2">
        <f>PARAM!$H$39</f>
        <v>0</v>
      </c>
      <c r="J697" s="11">
        <f>PARAM!$G$39</f>
        <v>0</v>
      </c>
      <c r="K697" s="11">
        <f>(VLOOKUP(H697,DEDN!$A$8:$O$902,$K$2)*I697+J697)/1000</f>
        <v>0</v>
      </c>
      <c r="L697" s="11">
        <f>MIN(IF(PARAM!$B$43=3,CHOOSE($L$2,F697,K697),F697+K697-F697*K697),1)</f>
        <v>0.14058999999999999</v>
      </c>
      <c r="M697" s="2">
        <f>PARAM!$I$38</f>
        <v>0</v>
      </c>
      <c r="N697" s="11">
        <f>VLOOKUP(B697,DEDN!$A$8:$O$90,$N$2)*M697</f>
        <v>0</v>
      </c>
      <c r="O697" s="12"/>
      <c r="P697" s="10">
        <f>PARAM!$C$53^-A697</f>
        <v>1</v>
      </c>
      <c r="Q697" s="10">
        <f t="shared" si="206"/>
        <v>0.20508231031534302</v>
      </c>
      <c r="R697" s="10">
        <f t="shared" si="205"/>
        <v>0.20508231031534302</v>
      </c>
      <c r="S697" s="10">
        <f>CHOOSE(PARAM!$B$51,R697,0,0,0)*(A697&lt;PARAM!$B$55)</f>
        <v>0</v>
      </c>
      <c r="T697" s="10">
        <f t="shared" si="193"/>
        <v>2.5730434131000235E-3</v>
      </c>
      <c r="U697" s="10">
        <f>T697*P697*(A697&lt;PARAM!$B$55)</f>
        <v>0</v>
      </c>
      <c r="W697">
        <v>694</v>
      </c>
      <c r="X697" s="178">
        <f t="shared" si="204"/>
        <v>89</v>
      </c>
      <c r="Y697" s="178">
        <f t="shared" si="204"/>
        <v>89</v>
      </c>
      <c r="Z697" s="178">
        <f t="shared" si="204"/>
        <v>58</v>
      </c>
      <c r="AA697" s="178">
        <f t="shared" si="204"/>
        <v>58</v>
      </c>
      <c r="AD697" s="17">
        <f>CALC!E721*(A697&lt;PARAM!$B$55)</f>
        <v>0</v>
      </c>
      <c r="AE697">
        <f>IF(A697&lt;ITER!$C$16,1,PARAM!$C$53^-(RATES!A697-ITER!$C$16))*(A697&lt;PARAM!$B$55)</f>
        <v>0</v>
      </c>
    </row>
    <row r="698" spans="1:31" x14ac:dyDescent="0.2">
      <c r="A698" s="9">
        <v>695</v>
      </c>
      <c r="B698" s="178">
        <f t="shared" si="202"/>
        <v>89</v>
      </c>
      <c r="C698" s="178">
        <f t="shared" si="202"/>
        <v>89</v>
      </c>
      <c r="D698" s="2">
        <f>PARAM!$H$38</f>
        <v>1</v>
      </c>
      <c r="E698" s="11">
        <f>PARAM!$G$38</f>
        <v>0</v>
      </c>
      <c r="F698" s="11">
        <f>(VLOOKUP(C698,DEDN!$A$8:$O$902,$F$2)*D698+E698)/1000</f>
        <v>0.14058999999999999</v>
      </c>
      <c r="G698" s="178">
        <f t="shared" si="203"/>
        <v>58</v>
      </c>
      <c r="H698" s="178">
        <f t="shared" si="203"/>
        <v>58</v>
      </c>
      <c r="I698" s="2">
        <f>PARAM!$H$39</f>
        <v>0</v>
      </c>
      <c r="J698" s="11">
        <f>PARAM!$G$39</f>
        <v>0</v>
      </c>
      <c r="K698" s="11">
        <f>(VLOOKUP(H698,DEDN!$A$8:$O$902,$K$2)*I698+J698)/1000</f>
        <v>0</v>
      </c>
      <c r="L698" s="11">
        <f>MIN(IF(PARAM!$B$43=3,CHOOSE($L$2,F698,K698),F698+K698-F698*K698),1)</f>
        <v>0.14058999999999999</v>
      </c>
      <c r="M698" s="2">
        <f>PARAM!$I$38</f>
        <v>0</v>
      </c>
      <c r="N698" s="11">
        <f>VLOOKUP(B698,DEDN!$A$8:$O$90,$N$2)*M698</f>
        <v>0</v>
      </c>
      <c r="O698" s="12"/>
      <c r="P698" s="10">
        <f>PARAM!$C$53^-A698</f>
        <v>1</v>
      </c>
      <c r="Q698" s="10">
        <f t="shared" si="206"/>
        <v>0.202509266902243</v>
      </c>
      <c r="R698" s="10">
        <f t="shared" si="205"/>
        <v>0.202509266902243</v>
      </c>
      <c r="S698" s="10">
        <f>CHOOSE(PARAM!$B$51,R698,0,0,0)*(A698&lt;PARAM!$B$55)</f>
        <v>0</v>
      </c>
      <c r="T698" s="10">
        <f t="shared" si="193"/>
        <v>2.5407609973445155E-3</v>
      </c>
      <c r="U698" s="10">
        <f>T698*P698*(A698&lt;PARAM!$B$55)</f>
        <v>0</v>
      </c>
      <c r="W698">
        <v>695</v>
      </c>
      <c r="X698" s="178">
        <f t="shared" si="204"/>
        <v>89</v>
      </c>
      <c r="Y698" s="178">
        <f t="shared" si="204"/>
        <v>89</v>
      </c>
      <c r="Z698" s="178">
        <f t="shared" si="204"/>
        <v>58</v>
      </c>
      <c r="AA698" s="178">
        <f t="shared" si="204"/>
        <v>58</v>
      </c>
      <c r="AD698" s="17">
        <f>CALC!E722*(A698&lt;PARAM!$B$55)</f>
        <v>0</v>
      </c>
      <c r="AE698">
        <f>IF(A698&lt;ITER!$C$16,1,PARAM!$C$53^-(RATES!A698-ITER!$C$16))*(A698&lt;PARAM!$B$55)</f>
        <v>0</v>
      </c>
    </row>
    <row r="699" spans="1:31" x14ac:dyDescent="0.2">
      <c r="A699" s="9">
        <v>696</v>
      </c>
      <c r="B699" s="178">
        <f t="shared" si="202"/>
        <v>89</v>
      </c>
      <c r="C699" s="178">
        <f t="shared" si="202"/>
        <v>89</v>
      </c>
      <c r="D699" s="2">
        <f>PARAM!$H$38</f>
        <v>1</v>
      </c>
      <c r="E699" s="11">
        <f>PARAM!$G$38</f>
        <v>0</v>
      </c>
      <c r="F699" s="11">
        <f>(VLOOKUP(C699,DEDN!$A$8:$O$902,$F$2)*D699+E699)/1000</f>
        <v>0.14058999999999999</v>
      </c>
      <c r="G699" s="178">
        <f t="shared" si="203"/>
        <v>58</v>
      </c>
      <c r="H699" s="178">
        <f t="shared" si="203"/>
        <v>58</v>
      </c>
      <c r="I699" s="2">
        <f>PARAM!$H$39</f>
        <v>0</v>
      </c>
      <c r="J699" s="11">
        <f>PARAM!$G$39</f>
        <v>0</v>
      </c>
      <c r="K699" s="11">
        <f>(VLOOKUP(H699,DEDN!$A$8:$O$902,$K$2)*I699+J699)/1000</f>
        <v>0</v>
      </c>
      <c r="L699" s="11">
        <f>MIN(IF(PARAM!$B$43=3,CHOOSE($L$2,F699,K699),F699+K699-F699*K699),1)</f>
        <v>0.14058999999999999</v>
      </c>
      <c r="M699" s="2">
        <f>PARAM!$I$38</f>
        <v>0</v>
      </c>
      <c r="N699" s="11">
        <f>VLOOKUP(B699,DEDN!$A$8:$O$90,$N$2)*M699</f>
        <v>0</v>
      </c>
      <c r="O699" s="12"/>
      <c r="P699" s="10">
        <f>PARAM!$C$53^-A699</f>
        <v>1</v>
      </c>
      <c r="Q699" s="10">
        <f t="shared" si="206"/>
        <v>0.19996850590489848</v>
      </c>
      <c r="R699" s="10">
        <f t="shared" si="205"/>
        <v>0.19996850590489848</v>
      </c>
      <c r="S699" s="10">
        <f>R699*(A699&lt;PARAM!$B$55)</f>
        <v>0</v>
      </c>
      <c r="T699" s="10">
        <f t="shared" si="193"/>
        <v>2.5088836094877831E-3</v>
      </c>
      <c r="U699" s="10">
        <f>T699*P699*(A699&lt;PARAM!$B$55)</f>
        <v>0</v>
      </c>
      <c r="W699">
        <v>696</v>
      </c>
      <c r="X699" s="178">
        <f t="shared" si="204"/>
        <v>89</v>
      </c>
      <c r="Y699" s="178">
        <f t="shared" si="204"/>
        <v>89</v>
      </c>
      <c r="Z699" s="178">
        <f t="shared" si="204"/>
        <v>58</v>
      </c>
      <c r="AA699" s="178">
        <f t="shared" si="204"/>
        <v>58</v>
      </c>
      <c r="AD699" s="17">
        <f>CALC!E723*(A699&lt;PARAM!$B$55)</f>
        <v>0</v>
      </c>
      <c r="AE699">
        <f>IF(A699&lt;ITER!$C$16,1,PARAM!$C$53^-(RATES!A699-ITER!$C$16))*(A699&lt;PARAM!$B$55)</f>
        <v>0</v>
      </c>
    </row>
    <row r="700" spans="1:31" x14ac:dyDescent="0.2">
      <c r="A700" s="9">
        <v>697</v>
      </c>
      <c r="B700" s="178">
        <f t="shared" si="202"/>
        <v>89</v>
      </c>
      <c r="C700" s="178">
        <f t="shared" si="202"/>
        <v>89</v>
      </c>
      <c r="D700" s="2">
        <f>PARAM!$H$38</f>
        <v>1</v>
      </c>
      <c r="E700" s="11">
        <f>PARAM!$G$38</f>
        <v>0</v>
      </c>
      <c r="F700" s="11">
        <f>(VLOOKUP(C700,DEDN!$A$8:$O$902,$F$2)*D700+E700)/1000</f>
        <v>0.14058999999999999</v>
      </c>
      <c r="G700" s="178">
        <f t="shared" si="203"/>
        <v>58</v>
      </c>
      <c r="H700" s="178">
        <f t="shared" si="203"/>
        <v>58</v>
      </c>
      <c r="I700" s="2">
        <f>PARAM!$H$39</f>
        <v>0</v>
      </c>
      <c r="J700" s="11">
        <f>PARAM!$G$39</f>
        <v>0</v>
      </c>
      <c r="K700" s="11">
        <f>(VLOOKUP(H700,DEDN!$A$8:$O$902,$K$2)*I700+J700)/1000</f>
        <v>0</v>
      </c>
      <c r="L700" s="11">
        <f>MIN(IF(PARAM!$B$43=3,CHOOSE($L$2,F700,K700),F700+K700-F700*K700),1)</f>
        <v>0.14058999999999999</v>
      </c>
      <c r="M700" s="2">
        <f>PARAM!$I$38</f>
        <v>0</v>
      </c>
      <c r="N700" s="11">
        <f>VLOOKUP(B700,DEDN!$A$8:$O$90,$N$2)*M700</f>
        <v>0</v>
      </c>
      <c r="O700" s="12"/>
      <c r="P700" s="10">
        <f>PARAM!$C$53^-A700</f>
        <v>1</v>
      </c>
      <c r="Q700" s="10">
        <f t="shared" si="206"/>
        <v>0.1974596222954107</v>
      </c>
      <c r="R700" s="10">
        <f t="shared" si="205"/>
        <v>0.1974596222954107</v>
      </c>
      <c r="S700" s="10">
        <f>CHOOSE(PARAM!$B$51,R700,0,0,0)*(A700&lt;PARAM!$B$55)</f>
        <v>0</v>
      </c>
      <c r="T700" s="10">
        <f t="shared" si="193"/>
        <v>2.4774061678903003E-3</v>
      </c>
      <c r="U700" s="10">
        <f>T700*P700*(A700&lt;PARAM!$B$55)</f>
        <v>0</v>
      </c>
      <c r="W700">
        <v>697</v>
      </c>
      <c r="X700" s="178">
        <f t="shared" si="204"/>
        <v>89</v>
      </c>
      <c r="Y700" s="178">
        <f t="shared" si="204"/>
        <v>89</v>
      </c>
      <c r="Z700" s="178">
        <f t="shared" si="204"/>
        <v>58</v>
      </c>
      <c r="AA700" s="178">
        <f t="shared" si="204"/>
        <v>58</v>
      </c>
      <c r="AD700" s="17">
        <f>CALC!E724*(A700&lt;PARAM!$B$55)</f>
        <v>0</v>
      </c>
      <c r="AE700">
        <f>IF(A700&lt;ITER!$C$16,1,PARAM!$C$53^-(RATES!A700-ITER!$C$16))*(A700&lt;PARAM!$B$55)</f>
        <v>0</v>
      </c>
    </row>
    <row r="701" spans="1:31" x14ac:dyDescent="0.2">
      <c r="A701" s="9">
        <v>698</v>
      </c>
      <c r="B701" s="178">
        <f t="shared" ref="B701:C720" si="207">B689+1</f>
        <v>89</v>
      </c>
      <c r="C701" s="178">
        <f t="shared" si="207"/>
        <v>89</v>
      </c>
      <c r="D701" s="2">
        <f>PARAM!$H$38</f>
        <v>1</v>
      </c>
      <c r="E701" s="11">
        <f>PARAM!$G$38</f>
        <v>0</v>
      </c>
      <c r="F701" s="11">
        <f>(VLOOKUP(C701,DEDN!$A$8:$O$902,$F$2)*D701+E701)/1000</f>
        <v>0.14058999999999999</v>
      </c>
      <c r="G701" s="178">
        <f t="shared" ref="G701:H720" si="208">G689+1</f>
        <v>58</v>
      </c>
      <c r="H701" s="178">
        <f t="shared" si="208"/>
        <v>58</v>
      </c>
      <c r="I701" s="2">
        <f>PARAM!$H$39</f>
        <v>0</v>
      </c>
      <c r="J701" s="11">
        <f>PARAM!$G$39</f>
        <v>0</v>
      </c>
      <c r="K701" s="11">
        <f>(VLOOKUP(H701,DEDN!$A$8:$O$902,$K$2)*I701+J701)/1000</f>
        <v>0</v>
      </c>
      <c r="L701" s="11">
        <f>MIN(IF(PARAM!$B$43=3,CHOOSE($L$2,F701,K701),F701+K701-F701*K701),1)</f>
        <v>0.14058999999999999</v>
      </c>
      <c r="M701" s="2">
        <f>PARAM!$I$38</f>
        <v>0</v>
      </c>
      <c r="N701" s="11">
        <f>VLOOKUP(B701,DEDN!$A$8:$O$90,$N$2)*M701</f>
        <v>0</v>
      </c>
      <c r="O701" s="12"/>
      <c r="P701" s="10">
        <f>PARAM!$C$53^-A701</f>
        <v>1</v>
      </c>
      <c r="Q701" s="10">
        <f t="shared" si="206"/>
        <v>0.1949822161275204</v>
      </c>
      <c r="R701" s="10">
        <f t="shared" si="205"/>
        <v>0.1949822161275204</v>
      </c>
      <c r="S701" s="10">
        <f>CHOOSE(PARAM!$B$51,R701,0,0,0)*(A701&lt;PARAM!$B$55)</f>
        <v>0</v>
      </c>
      <c r="T701" s="10">
        <f t="shared" si="193"/>
        <v>2.4463236546688472E-3</v>
      </c>
      <c r="U701" s="10">
        <f>T701*P701*(A701&lt;PARAM!$B$55)</f>
        <v>0</v>
      </c>
      <c r="W701">
        <v>698</v>
      </c>
      <c r="X701" s="178">
        <f t="shared" ref="X701:AA720" si="209">X689+1</f>
        <v>89</v>
      </c>
      <c r="Y701" s="178">
        <f t="shared" si="209"/>
        <v>89</v>
      </c>
      <c r="Z701" s="178">
        <f t="shared" si="209"/>
        <v>58</v>
      </c>
      <c r="AA701" s="178">
        <f t="shared" si="209"/>
        <v>58</v>
      </c>
      <c r="AD701" s="17">
        <f>CALC!E725*(A701&lt;PARAM!$B$55)</f>
        <v>0</v>
      </c>
      <c r="AE701">
        <f>IF(A701&lt;ITER!$C$16,1,PARAM!$C$53^-(RATES!A701-ITER!$C$16))*(A701&lt;PARAM!$B$55)</f>
        <v>0</v>
      </c>
    </row>
    <row r="702" spans="1:31" x14ac:dyDescent="0.2">
      <c r="A702" s="9">
        <v>699</v>
      </c>
      <c r="B702" s="178">
        <f t="shared" si="207"/>
        <v>89</v>
      </c>
      <c r="C702" s="178">
        <f t="shared" si="207"/>
        <v>89</v>
      </c>
      <c r="D702" s="2">
        <f>PARAM!$H$38</f>
        <v>1</v>
      </c>
      <c r="E702" s="11">
        <f>PARAM!$G$38</f>
        <v>0</v>
      </c>
      <c r="F702" s="11">
        <f>(VLOOKUP(C702,DEDN!$A$8:$O$902,$F$2)*D702+E702)/1000</f>
        <v>0.14058999999999999</v>
      </c>
      <c r="G702" s="178">
        <f t="shared" si="208"/>
        <v>58</v>
      </c>
      <c r="H702" s="178">
        <f t="shared" si="208"/>
        <v>58</v>
      </c>
      <c r="I702" s="2">
        <f>PARAM!$H$39</f>
        <v>0</v>
      </c>
      <c r="J702" s="11">
        <f>PARAM!$G$39</f>
        <v>0</v>
      </c>
      <c r="K702" s="11">
        <f>(VLOOKUP(H702,DEDN!$A$8:$O$902,$K$2)*I702+J702)/1000</f>
        <v>0</v>
      </c>
      <c r="L702" s="11">
        <f>MIN(IF(PARAM!$B$43=3,CHOOSE($L$2,F702,K702),F702+K702-F702*K702),1)</f>
        <v>0.14058999999999999</v>
      </c>
      <c r="M702" s="2">
        <f>PARAM!$I$38</f>
        <v>0</v>
      </c>
      <c r="N702" s="11">
        <f>VLOOKUP(B702,DEDN!$A$8:$O$90,$N$2)*M702</f>
        <v>0</v>
      </c>
      <c r="O702" s="12"/>
      <c r="P702" s="10">
        <f>PARAM!$C$53^-A702</f>
        <v>1</v>
      </c>
      <c r="Q702" s="10">
        <f t="shared" si="206"/>
        <v>0.19253589247285155</v>
      </c>
      <c r="R702" s="10">
        <f t="shared" si="205"/>
        <v>0.19253589247285155</v>
      </c>
      <c r="S702" s="10">
        <f>CHOOSE(PARAM!$B$51,R702,R702,0,0)*(A702&lt;PARAM!$B$55)</f>
        <v>0</v>
      </c>
      <c r="T702" s="10">
        <f t="shared" si="193"/>
        <v>2.4156311148965104E-3</v>
      </c>
      <c r="U702" s="10">
        <f>T702*P702*(A702&lt;PARAM!$B$55)</f>
        <v>0</v>
      </c>
      <c r="W702">
        <v>699</v>
      </c>
      <c r="X702" s="178">
        <f t="shared" si="209"/>
        <v>89</v>
      </c>
      <c r="Y702" s="178">
        <f t="shared" si="209"/>
        <v>89</v>
      </c>
      <c r="Z702" s="178">
        <f t="shared" si="209"/>
        <v>58</v>
      </c>
      <c r="AA702" s="178">
        <f t="shared" si="209"/>
        <v>58</v>
      </c>
      <c r="AD702" s="17">
        <f>CALC!E726*(A702&lt;PARAM!$B$55)</f>
        <v>0</v>
      </c>
      <c r="AE702">
        <f>IF(A702&lt;ITER!$C$16,1,PARAM!$C$53^-(RATES!A702-ITER!$C$16))*(A702&lt;PARAM!$B$55)</f>
        <v>0</v>
      </c>
    </row>
    <row r="703" spans="1:31" x14ac:dyDescent="0.2">
      <c r="A703" s="9">
        <v>700</v>
      </c>
      <c r="B703" s="178">
        <f t="shared" si="207"/>
        <v>89</v>
      </c>
      <c r="C703" s="178">
        <f t="shared" si="207"/>
        <v>89</v>
      </c>
      <c r="D703" s="2">
        <f>PARAM!$H$38</f>
        <v>1</v>
      </c>
      <c r="E703" s="11">
        <f>PARAM!$G$38</f>
        <v>0</v>
      </c>
      <c r="F703" s="11">
        <f>(VLOOKUP(C703,DEDN!$A$8:$O$902,$F$2)*D703+E703)/1000</f>
        <v>0.14058999999999999</v>
      </c>
      <c r="G703" s="178">
        <f t="shared" si="208"/>
        <v>58</v>
      </c>
      <c r="H703" s="178">
        <f t="shared" si="208"/>
        <v>58</v>
      </c>
      <c r="I703" s="2">
        <f>PARAM!$H$39</f>
        <v>0</v>
      </c>
      <c r="J703" s="11">
        <f>PARAM!$G$39</f>
        <v>0</v>
      </c>
      <c r="K703" s="11">
        <f>(VLOOKUP(H703,DEDN!$A$8:$O$902,$K$2)*I703+J703)/1000</f>
        <v>0</v>
      </c>
      <c r="L703" s="11">
        <f>MIN(IF(PARAM!$B$43=3,CHOOSE($L$2,F703,K703),F703+K703-F703*K703),1)</f>
        <v>0.14058999999999999</v>
      </c>
      <c r="M703" s="2">
        <f>PARAM!$I$38</f>
        <v>0</v>
      </c>
      <c r="N703" s="11">
        <f>VLOOKUP(B703,DEDN!$A$8:$O$90,$N$2)*M703</f>
        <v>0</v>
      </c>
      <c r="O703" s="12"/>
      <c r="P703" s="10">
        <f>PARAM!$C$53^-A703</f>
        <v>1</v>
      </c>
      <c r="Q703" s="10">
        <f t="shared" si="206"/>
        <v>0.19012026135795504</v>
      </c>
      <c r="R703" s="10">
        <f t="shared" si="205"/>
        <v>0.19012026135795504</v>
      </c>
      <c r="S703" s="10">
        <f>CHOOSE(PARAM!$B$51,R703,0,0,0)*(A703&lt;PARAM!$B$55)</f>
        <v>0</v>
      </c>
      <c r="T703" s="10">
        <f t="shared" si="193"/>
        <v>2.3853236558128432E-3</v>
      </c>
      <c r="U703" s="10">
        <f>T703*P703*(A703&lt;PARAM!$B$55)</f>
        <v>0</v>
      </c>
      <c r="W703">
        <v>700</v>
      </c>
      <c r="X703" s="178">
        <f t="shared" si="209"/>
        <v>89</v>
      </c>
      <c r="Y703" s="178">
        <f t="shared" si="209"/>
        <v>89</v>
      </c>
      <c r="Z703" s="178">
        <f t="shared" si="209"/>
        <v>58</v>
      </c>
      <c r="AA703" s="178">
        <f t="shared" si="209"/>
        <v>58</v>
      </c>
      <c r="AD703" s="17">
        <f>CALC!E727*(A703&lt;PARAM!$B$55)</f>
        <v>0</v>
      </c>
      <c r="AE703">
        <f>IF(A703&lt;ITER!$C$16,1,PARAM!$C$53^-(RATES!A703-ITER!$C$16))*(A703&lt;PARAM!$B$55)</f>
        <v>0</v>
      </c>
    </row>
    <row r="704" spans="1:31" x14ac:dyDescent="0.2">
      <c r="A704" s="9">
        <v>701</v>
      </c>
      <c r="B704" s="178">
        <f t="shared" si="207"/>
        <v>89</v>
      </c>
      <c r="C704" s="178">
        <f t="shared" si="207"/>
        <v>89</v>
      </c>
      <c r="D704" s="2">
        <f>PARAM!$H$38</f>
        <v>1</v>
      </c>
      <c r="E704" s="11">
        <f>PARAM!$G$38</f>
        <v>0</v>
      </c>
      <c r="F704" s="11">
        <f>(VLOOKUP(C704,DEDN!$A$8:$O$902,$F$2)*D704+E704)/1000</f>
        <v>0.14058999999999999</v>
      </c>
      <c r="G704" s="178">
        <f t="shared" si="208"/>
        <v>58</v>
      </c>
      <c r="H704" s="178">
        <f t="shared" si="208"/>
        <v>58</v>
      </c>
      <c r="I704" s="2">
        <f>PARAM!$H$39</f>
        <v>0</v>
      </c>
      <c r="J704" s="11">
        <f>PARAM!$G$39</f>
        <v>0</v>
      </c>
      <c r="K704" s="11">
        <f>(VLOOKUP(H704,DEDN!$A$8:$O$902,$K$2)*I704+J704)/1000</f>
        <v>0</v>
      </c>
      <c r="L704" s="11">
        <f>MIN(IF(PARAM!$B$43=3,CHOOSE($L$2,F704,K704),F704+K704-F704*K704),1)</f>
        <v>0.14058999999999999</v>
      </c>
      <c r="M704" s="2">
        <f>PARAM!$I$38</f>
        <v>0</v>
      </c>
      <c r="N704" s="11">
        <f>VLOOKUP(B704,DEDN!$A$8:$O$90,$N$2)*M704</f>
        <v>0</v>
      </c>
      <c r="O704" s="12"/>
      <c r="P704" s="10">
        <f>PARAM!$C$53^-A704</f>
        <v>1</v>
      </c>
      <c r="Q704" s="10">
        <f t="shared" si="206"/>
        <v>0.1877349377021422</v>
      </c>
      <c r="R704" s="10">
        <f t="shared" si="205"/>
        <v>0.1877349377021422</v>
      </c>
      <c r="S704" s="10">
        <f>CHOOSE(PARAM!$B$51,R704,0,0,0)*(A704&lt;PARAM!$B$55)</f>
        <v>0</v>
      </c>
      <c r="T704" s="10">
        <f t="shared" si="193"/>
        <v>2.3553964460439336E-3</v>
      </c>
      <c r="U704" s="10">
        <f>T704*P704*(A704&lt;PARAM!$B$55)</f>
        <v>0</v>
      </c>
      <c r="W704">
        <v>701</v>
      </c>
      <c r="X704" s="178">
        <f t="shared" si="209"/>
        <v>89</v>
      </c>
      <c r="Y704" s="178">
        <f t="shared" si="209"/>
        <v>89</v>
      </c>
      <c r="Z704" s="178">
        <f t="shared" si="209"/>
        <v>58</v>
      </c>
      <c r="AA704" s="178">
        <f t="shared" si="209"/>
        <v>58</v>
      </c>
      <c r="AD704" s="17">
        <f>CALC!E728*(A704&lt;PARAM!$B$55)</f>
        <v>0</v>
      </c>
      <c r="AE704">
        <f>IF(A704&lt;ITER!$C$16,1,PARAM!$C$53^-(RATES!A704-ITER!$C$16))*(A704&lt;PARAM!$B$55)</f>
        <v>0</v>
      </c>
    </row>
    <row r="705" spans="1:31" x14ac:dyDescent="0.2">
      <c r="A705" s="9">
        <v>702</v>
      </c>
      <c r="B705" s="178">
        <f t="shared" si="207"/>
        <v>90</v>
      </c>
      <c r="C705" s="178">
        <f t="shared" si="207"/>
        <v>90</v>
      </c>
      <c r="D705" s="2">
        <f>PARAM!$H$38</f>
        <v>1</v>
      </c>
      <c r="E705" s="11">
        <f>PARAM!$G$38</f>
        <v>0</v>
      </c>
      <c r="F705" s="11">
        <f>(VLOOKUP(C705,DEDN!$A$8:$O$902,$F$2)*D705+E705)/1000</f>
        <v>0.15199000000000001</v>
      </c>
      <c r="G705" s="178">
        <f t="shared" si="208"/>
        <v>59</v>
      </c>
      <c r="H705" s="178">
        <f t="shared" si="208"/>
        <v>59</v>
      </c>
      <c r="I705" s="2">
        <f>PARAM!$H$39</f>
        <v>0</v>
      </c>
      <c r="J705" s="11">
        <f>PARAM!$G$39</f>
        <v>0</v>
      </c>
      <c r="K705" s="11">
        <f>(VLOOKUP(H705,DEDN!$A$8:$O$902,$K$2)*I705+J705)/1000</f>
        <v>0</v>
      </c>
      <c r="L705" s="11">
        <f>MIN(IF(PARAM!$B$43=3,CHOOSE($L$2,F705,K705),F705+K705-F705*K705),1)</f>
        <v>0.15199000000000001</v>
      </c>
      <c r="M705" s="2">
        <f>PARAM!$I$38</f>
        <v>0</v>
      </c>
      <c r="N705" s="11">
        <f>VLOOKUP(B705,DEDN!$A$8:$O$90,$N$2)*M705</f>
        <v>0</v>
      </c>
      <c r="O705" s="12"/>
      <c r="P705" s="10">
        <f>PARAM!$C$53^-A705</f>
        <v>1</v>
      </c>
      <c r="Q705" s="10">
        <f t="shared" si="206"/>
        <v>0.18537954125609826</v>
      </c>
      <c r="R705" s="10">
        <f t="shared" si="205"/>
        <v>0.18537954125609826</v>
      </c>
      <c r="S705" s="10">
        <f>CHOOSE(PARAM!$B$51,R705,R705,R705,0)*(A705&lt;PARAM!$B$55)</f>
        <v>0</v>
      </c>
      <c r="T705" s="10">
        <f t="shared" si="193"/>
        <v>2.529434776134265E-3</v>
      </c>
      <c r="U705" s="10">
        <f>T705*P705*(A705&lt;PARAM!$B$55)</f>
        <v>0</v>
      </c>
      <c r="W705">
        <v>702</v>
      </c>
      <c r="X705" s="178">
        <f t="shared" si="209"/>
        <v>90</v>
      </c>
      <c r="Y705" s="178">
        <f t="shared" si="209"/>
        <v>90</v>
      </c>
      <c r="Z705" s="178">
        <f t="shared" si="209"/>
        <v>59</v>
      </c>
      <c r="AA705" s="178">
        <f t="shared" si="209"/>
        <v>59</v>
      </c>
      <c r="AD705" s="17">
        <f>CALC!E729*(A705&lt;PARAM!$B$55)</f>
        <v>0</v>
      </c>
      <c r="AE705">
        <f>IF(A705&lt;ITER!$C$16,1,PARAM!$C$53^-(RATES!A705-ITER!$C$16))*(A705&lt;PARAM!$B$55)</f>
        <v>0</v>
      </c>
    </row>
    <row r="706" spans="1:31" x14ac:dyDescent="0.2">
      <c r="A706" s="9">
        <v>703</v>
      </c>
      <c r="B706" s="178">
        <f t="shared" si="207"/>
        <v>90</v>
      </c>
      <c r="C706" s="178">
        <f t="shared" si="207"/>
        <v>90</v>
      </c>
      <c r="D706" s="2">
        <f>PARAM!$H$38</f>
        <v>1</v>
      </c>
      <c r="E706" s="11">
        <f>PARAM!$G$38</f>
        <v>0</v>
      </c>
      <c r="F706" s="11">
        <f>(VLOOKUP(C706,DEDN!$A$8:$O$902,$F$2)*D706+E706)/1000</f>
        <v>0.15199000000000001</v>
      </c>
      <c r="G706" s="178">
        <f t="shared" si="208"/>
        <v>59</v>
      </c>
      <c r="H706" s="178">
        <f t="shared" si="208"/>
        <v>59</v>
      </c>
      <c r="I706" s="2">
        <f>PARAM!$H$39</f>
        <v>0</v>
      </c>
      <c r="J706" s="11">
        <f>PARAM!$G$39</f>
        <v>0</v>
      </c>
      <c r="K706" s="11">
        <f>(VLOOKUP(H706,DEDN!$A$8:$O$902,$K$2)*I706+J706)/1000</f>
        <v>0</v>
      </c>
      <c r="L706" s="11">
        <f>MIN(IF(PARAM!$B$43=3,CHOOSE($L$2,F706,K706),F706+K706-F706*K706),1)</f>
        <v>0.15199000000000001</v>
      </c>
      <c r="M706" s="2">
        <f>PARAM!$I$38</f>
        <v>0</v>
      </c>
      <c r="N706" s="11">
        <f>VLOOKUP(B706,DEDN!$A$8:$O$90,$N$2)*M706</f>
        <v>0</v>
      </c>
      <c r="O706" s="12"/>
      <c r="P706" s="10">
        <f>PARAM!$C$53^-A706</f>
        <v>1</v>
      </c>
      <c r="Q706" s="10">
        <f t="shared" si="206"/>
        <v>0.182850106479964</v>
      </c>
      <c r="R706" s="10">
        <f t="shared" si="205"/>
        <v>0.182850106479964</v>
      </c>
      <c r="S706" s="10">
        <f>CHOOSE(PARAM!$B$51,R706,0,0,0)*(A706&lt;PARAM!$B$55)</f>
        <v>0</v>
      </c>
      <c r="T706" s="10">
        <f t="shared" si="193"/>
        <v>2.4949215809706438E-3</v>
      </c>
      <c r="U706" s="10">
        <f>T706*P706*(A706&lt;PARAM!$B$55)</f>
        <v>0</v>
      </c>
      <c r="W706">
        <v>703</v>
      </c>
      <c r="X706" s="178">
        <f t="shared" si="209"/>
        <v>90</v>
      </c>
      <c r="Y706" s="178">
        <f t="shared" si="209"/>
        <v>90</v>
      </c>
      <c r="Z706" s="178">
        <f t="shared" si="209"/>
        <v>59</v>
      </c>
      <c r="AA706" s="178">
        <f t="shared" si="209"/>
        <v>59</v>
      </c>
      <c r="AD706" s="17">
        <f>CALC!E730*(A706&lt;PARAM!$B$55)</f>
        <v>0</v>
      </c>
      <c r="AE706">
        <f>IF(A706&lt;ITER!$C$16,1,PARAM!$C$53^-(RATES!A706-ITER!$C$16))*(A706&lt;PARAM!$B$55)</f>
        <v>0</v>
      </c>
    </row>
    <row r="707" spans="1:31" x14ac:dyDescent="0.2">
      <c r="A707" s="9">
        <v>704</v>
      </c>
      <c r="B707" s="178">
        <f t="shared" si="207"/>
        <v>90</v>
      </c>
      <c r="C707" s="178">
        <f t="shared" si="207"/>
        <v>90</v>
      </c>
      <c r="D707" s="2">
        <f>PARAM!$H$38</f>
        <v>1</v>
      </c>
      <c r="E707" s="11">
        <f>PARAM!$G$38</f>
        <v>0</v>
      </c>
      <c r="F707" s="11">
        <f>(VLOOKUP(C707,DEDN!$A$8:$O$902,$F$2)*D707+E707)/1000</f>
        <v>0.15199000000000001</v>
      </c>
      <c r="G707" s="178">
        <f t="shared" si="208"/>
        <v>59</v>
      </c>
      <c r="H707" s="178">
        <f t="shared" si="208"/>
        <v>59</v>
      </c>
      <c r="I707" s="2">
        <f>PARAM!$H$39</f>
        <v>0</v>
      </c>
      <c r="J707" s="11">
        <f>PARAM!$G$39</f>
        <v>0</v>
      </c>
      <c r="K707" s="11">
        <f>(VLOOKUP(H707,DEDN!$A$8:$O$902,$K$2)*I707+J707)/1000</f>
        <v>0</v>
      </c>
      <c r="L707" s="11">
        <f>MIN(IF(PARAM!$B$43=3,CHOOSE($L$2,F707,K707),F707+K707-F707*K707),1)</f>
        <v>0.15199000000000001</v>
      </c>
      <c r="M707" s="2">
        <f>PARAM!$I$38</f>
        <v>0</v>
      </c>
      <c r="N707" s="11">
        <f>VLOOKUP(B707,DEDN!$A$8:$O$90,$N$2)*M707</f>
        <v>0</v>
      </c>
      <c r="O707" s="12"/>
      <c r="P707" s="10">
        <f>PARAM!$C$53^-A707</f>
        <v>1</v>
      </c>
      <c r="Q707" s="10">
        <f t="shared" si="206"/>
        <v>0.18035518489899335</v>
      </c>
      <c r="R707" s="10">
        <f t="shared" si="205"/>
        <v>0.18035518489899335</v>
      </c>
      <c r="S707" s="10">
        <f>CHOOSE(PARAM!$B$51,R707,0,0,0)*(A707&lt;PARAM!$B$55)</f>
        <v>0</v>
      </c>
      <c r="T707" s="10">
        <f t="shared" si="193"/>
        <v>2.4608793054969047E-3</v>
      </c>
      <c r="U707" s="10">
        <f>T707*P707*(A707&lt;PARAM!$B$55)</f>
        <v>0</v>
      </c>
      <c r="W707">
        <v>704</v>
      </c>
      <c r="X707" s="178">
        <f t="shared" si="209"/>
        <v>90</v>
      </c>
      <c r="Y707" s="178">
        <f t="shared" si="209"/>
        <v>90</v>
      </c>
      <c r="Z707" s="178">
        <f t="shared" si="209"/>
        <v>59</v>
      </c>
      <c r="AA707" s="178">
        <f t="shared" si="209"/>
        <v>59</v>
      </c>
      <c r="AD707" s="17">
        <f>CALC!E731*(A707&lt;PARAM!$B$55)</f>
        <v>0</v>
      </c>
      <c r="AE707">
        <f>IF(A707&lt;ITER!$C$16,1,PARAM!$C$53^-(RATES!A707-ITER!$C$16))*(A707&lt;PARAM!$B$55)</f>
        <v>0</v>
      </c>
    </row>
    <row r="708" spans="1:31" x14ac:dyDescent="0.2">
      <c r="A708" s="9">
        <v>705</v>
      </c>
      <c r="B708" s="178">
        <f t="shared" si="207"/>
        <v>90</v>
      </c>
      <c r="C708" s="178">
        <f t="shared" si="207"/>
        <v>90</v>
      </c>
      <c r="D708" s="2">
        <f>PARAM!$H$38</f>
        <v>1</v>
      </c>
      <c r="E708" s="11">
        <f>PARAM!$G$38</f>
        <v>0</v>
      </c>
      <c r="F708" s="11">
        <f>(VLOOKUP(C708,DEDN!$A$8:$O$902,$F$2)*D708+E708)/1000</f>
        <v>0.15199000000000001</v>
      </c>
      <c r="G708" s="178">
        <f t="shared" si="208"/>
        <v>59</v>
      </c>
      <c r="H708" s="178">
        <f t="shared" si="208"/>
        <v>59</v>
      </c>
      <c r="I708" s="2">
        <f>PARAM!$H$39</f>
        <v>0</v>
      </c>
      <c r="J708" s="11">
        <f>PARAM!$G$39</f>
        <v>0</v>
      </c>
      <c r="K708" s="11">
        <f>(VLOOKUP(H708,DEDN!$A$8:$O$902,$K$2)*I708+J708)/1000</f>
        <v>0</v>
      </c>
      <c r="L708" s="11">
        <f>MIN(IF(PARAM!$B$43=3,CHOOSE($L$2,F708,K708),F708+K708-F708*K708),1)</f>
        <v>0.15199000000000001</v>
      </c>
      <c r="M708" s="2">
        <f>PARAM!$I$38</f>
        <v>0</v>
      </c>
      <c r="N708" s="11">
        <f>VLOOKUP(B708,DEDN!$A$8:$O$90,$N$2)*M708</f>
        <v>0</v>
      </c>
      <c r="O708" s="12"/>
      <c r="P708" s="10">
        <f>PARAM!$C$53^-A708</f>
        <v>1</v>
      </c>
      <c r="Q708" s="10">
        <f t="shared" si="206"/>
        <v>0.17789430559349645</v>
      </c>
      <c r="R708" s="10">
        <f t="shared" ref="R708:R723" si="210">P708*Q708</f>
        <v>0.17789430559349645</v>
      </c>
      <c r="S708" s="10">
        <f>CHOOSE(PARAM!$B$51,R708,R708,0,0)*(A708&lt;PARAM!$B$55)</f>
        <v>0</v>
      </c>
      <c r="T708" s="10">
        <f t="shared" ref="T708:T771" si="211">Q708-Q709</f>
        <v>2.4273015241893514E-3</v>
      </c>
      <c r="U708" s="10">
        <f>T708*P708*(A708&lt;PARAM!$B$55)</f>
        <v>0</v>
      </c>
      <c r="W708">
        <v>705</v>
      </c>
      <c r="X708" s="178">
        <f t="shared" si="209"/>
        <v>90</v>
      </c>
      <c r="Y708" s="178">
        <f t="shared" si="209"/>
        <v>90</v>
      </c>
      <c r="Z708" s="178">
        <f t="shared" si="209"/>
        <v>59</v>
      </c>
      <c r="AA708" s="178">
        <f t="shared" si="209"/>
        <v>59</v>
      </c>
      <c r="AD708" s="17">
        <f>CALC!E732*(A708&lt;PARAM!$B$55)</f>
        <v>0</v>
      </c>
      <c r="AE708">
        <f>IF(A708&lt;ITER!$C$16,1,PARAM!$C$53^-(RATES!A708-ITER!$C$16))*(A708&lt;PARAM!$B$55)</f>
        <v>0</v>
      </c>
    </row>
    <row r="709" spans="1:31" x14ac:dyDescent="0.2">
      <c r="A709" s="9">
        <v>706</v>
      </c>
      <c r="B709" s="178">
        <f t="shared" si="207"/>
        <v>90</v>
      </c>
      <c r="C709" s="178">
        <f t="shared" si="207"/>
        <v>90</v>
      </c>
      <c r="D709" s="2">
        <f>PARAM!$H$38</f>
        <v>1</v>
      </c>
      <c r="E709" s="11">
        <f>PARAM!$G$38</f>
        <v>0</v>
      </c>
      <c r="F709" s="11">
        <f>(VLOOKUP(C709,DEDN!$A$8:$O$902,$F$2)*D709+E709)/1000</f>
        <v>0.15199000000000001</v>
      </c>
      <c r="G709" s="178">
        <f t="shared" si="208"/>
        <v>59</v>
      </c>
      <c r="H709" s="178">
        <f t="shared" si="208"/>
        <v>59</v>
      </c>
      <c r="I709" s="2">
        <f>PARAM!$H$39</f>
        <v>0</v>
      </c>
      <c r="J709" s="11">
        <f>PARAM!$G$39</f>
        <v>0</v>
      </c>
      <c r="K709" s="11">
        <f>(VLOOKUP(H709,DEDN!$A$8:$O$902,$K$2)*I709+J709)/1000</f>
        <v>0</v>
      </c>
      <c r="L709" s="11">
        <f>MIN(IF(PARAM!$B$43=3,CHOOSE($L$2,F709,K709),F709+K709-F709*K709),1)</f>
        <v>0.15199000000000001</v>
      </c>
      <c r="M709" s="2">
        <f>PARAM!$I$38</f>
        <v>0</v>
      </c>
      <c r="N709" s="11">
        <f>VLOOKUP(B709,DEDN!$A$8:$O$90,$N$2)*M709</f>
        <v>0</v>
      </c>
      <c r="O709" s="12"/>
      <c r="P709" s="10">
        <f>PARAM!$C$53^-A709</f>
        <v>1</v>
      </c>
      <c r="Q709" s="10">
        <f t="shared" ref="Q709:Q724" si="212">Q708*(1-L708)^(1/12)</f>
        <v>0.1754670040693071</v>
      </c>
      <c r="R709" s="10">
        <f t="shared" si="210"/>
        <v>0.1754670040693071</v>
      </c>
      <c r="S709" s="10">
        <f>CHOOSE(PARAM!$B$51,R709,0,0,0)*(A709&lt;PARAM!$B$55)</f>
        <v>0</v>
      </c>
      <c r="T709" s="10">
        <f t="shared" si="211"/>
        <v>2.3941818991981001E-3</v>
      </c>
      <c r="U709" s="10">
        <f>T709*P709*(A709&lt;PARAM!$B$55)</f>
        <v>0</v>
      </c>
      <c r="W709">
        <v>706</v>
      </c>
      <c r="X709" s="178">
        <f t="shared" si="209"/>
        <v>90</v>
      </c>
      <c r="Y709" s="178">
        <f t="shared" si="209"/>
        <v>90</v>
      </c>
      <c r="Z709" s="178">
        <f t="shared" si="209"/>
        <v>59</v>
      </c>
      <c r="AA709" s="178">
        <f t="shared" si="209"/>
        <v>59</v>
      </c>
      <c r="AD709" s="17">
        <f>CALC!E733*(A709&lt;PARAM!$B$55)</f>
        <v>0</v>
      </c>
      <c r="AE709">
        <f>IF(A709&lt;ITER!$C$16,1,PARAM!$C$53^-(RATES!A709-ITER!$C$16))*(A709&lt;PARAM!$B$55)</f>
        <v>0</v>
      </c>
    </row>
    <row r="710" spans="1:31" x14ac:dyDescent="0.2">
      <c r="A710" s="9">
        <v>707</v>
      </c>
      <c r="B710" s="178">
        <f t="shared" si="207"/>
        <v>90</v>
      </c>
      <c r="C710" s="178">
        <f t="shared" si="207"/>
        <v>90</v>
      </c>
      <c r="D710" s="2">
        <f>PARAM!$H$38</f>
        <v>1</v>
      </c>
      <c r="E710" s="11">
        <f>PARAM!$G$38</f>
        <v>0</v>
      </c>
      <c r="F710" s="11">
        <f>(VLOOKUP(C710,DEDN!$A$8:$O$902,$F$2)*D710+E710)/1000</f>
        <v>0.15199000000000001</v>
      </c>
      <c r="G710" s="178">
        <f t="shared" si="208"/>
        <v>59</v>
      </c>
      <c r="H710" s="178">
        <f t="shared" si="208"/>
        <v>59</v>
      </c>
      <c r="I710" s="2">
        <f>PARAM!$H$39</f>
        <v>0</v>
      </c>
      <c r="J710" s="11">
        <f>PARAM!$G$39</f>
        <v>0</v>
      </c>
      <c r="K710" s="11">
        <f>(VLOOKUP(H710,DEDN!$A$8:$O$902,$K$2)*I710+J710)/1000</f>
        <v>0</v>
      </c>
      <c r="L710" s="11">
        <f>MIN(IF(PARAM!$B$43=3,CHOOSE($L$2,F710,K710),F710+K710-F710*K710),1)</f>
        <v>0.15199000000000001</v>
      </c>
      <c r="M710" s="2">
        <f>PARAM!$I$38</f>
        <v>0</v>
      </c>
      <c r="N710" s="11">
        <f>VLOOKUP(B710,DEDN!$A$8:$O$90,$N$2)*M710</f>
        <v>0</v>
      </c>
      <c r="O710" s="12"/>
      <c r="P710" s="10">
        <f>PARAM!$C$53^-A710</f>
        <v>1</v>
      </c>
      <c r="Q710" s="10">
        <f t="shared" si="212"/>
        <v>0.173072822170109</v>
      </c>
      <c r="R710" s="10">
        <f t="shared" si="210"/>
        <v>0.173072822170109</v>
      </c>
      <c r="S710" s="10">
        <f>CHOOSE(PARAM!$B$51,R710,0,0,0)*(A710&lt;PARAM!$B$55)</f>
        <v>0</v>
      </c>
      <c r="T710" s="10">
        <f t="shared" si="211"/>
        <v>2.3615141791509531E-3</v>
      </c>
      <c r="U710" s="10">
        <f>T710*P710*(A710&lt;PARAM!$B$55)</f>
        <v>0</v>
      </c>
      <c r="W710">
        <v>707</v>
      </c>
      <c r="X710" s="178">
        <f t="shared" si="209"/>
        <v>90</v>
      </c>
      <c r="Y710" s="178">
        <f t="shared" si="209"/>
        <v>90</v>
      </c>
      <c r="Z710" s="178">
        <f t="shared" si="209"/>
        <v>59</v>
      </c>
      <c r="AA710" s="178">
        <f t="shared" si="209"/>
        <v>59</v>
      </c>
      <c r="AD710" s="17">
        <f>CALC!E734*(A710&lt;PARAM!$B$55)</f>
        <v>0</v>
      </c>
      <c r="AE710">
        <f>IF(A710&lt;ITER!$C$16,1,PARAM!$C$53^-(RATES!A710-ITER!$C$16))*(A710&lt;PARAM!$B$55)</f>
        <v>0</v>
      </c>
    </row>
    <row r="711" spans="1:31" x14ac:dyDescent="0.2">
      <c r="A711" s="9">
        <v>708</v>
      </c>
      <c r="B711" s="178">
        <f t="shared" si="207"/>
        <v>90</v>
      </c>
      <c r="C711" s="178">
        <f t="shared" si="207"/>
        <v>90</v>
      </c>
      <c r="D711" s="2">
        <f>PARAM!$H$38</f>
        <v>1</v>
      </c>
      <c r="E711" s="11">
        <f>PARAM!$G$38</f>
        <v>0</v>
      </c>
      <c r="F711" s="11">
        <f>(VLOOKUP(C711,DEDN!$A$8:$O$902,$F$2)*D711+E711)/1000</f>
        <v>0.15199000000000001</v>
      </c>
      <c r="G711" s="178">
        <f t="shared" si="208"/>
        <v>59</v>
      </c>
      <c r="H711" s="178">
        <f t="shared" si="208"/>
        <v>59</v>
      </c>
      <c r="I711" s="2">
        <f>PARAM!$H$39</f>
        <v>0</v>
      </c>
      <c r="J711" s="11">
        <f>PARAM!$G$39</f>
        <v>0</v>
      </c>
      <c r="K711" s="11">
        <f>(VLOOKUP(H711,DEDN!$A$8:$O$902,$K$2)*I711+J711)/1000</f>
        <v>0</v>
      </c>
      <c r="L711" s="11">
        <f>MIN(IF(PARAM!$B$43=3,CHOOSE($L$2,F711,K711),F711+K711-F711*K711),1)</f>
        <v>0.15199000000000001</v>
      </c>
      <c r="M711" s="2">
        <f>PARAM!$I$38</f>
        <v>0</v>
      </c>
      <c r="N711" s="11">
        <f>VLOOKUP(B711,DEDN!$A$8:$O$90,$N$2)*M711</f>
        <v>0</v>
      </c>
      <c r="O711" s="12"/>
      <c r="P711" s="10">
        <f>PARAM!$C$53^-A711</f>
        <v>1</v>
      </c>
      <c r="Q711" s="10">
        <f t="shared" si="212"/>
        <v>0.17071130799095804</v>
      </c>
      <c r="R711" s="10">
        <f t="shared" si="210"/>
        <v>0.17071130799095804</v>
      </c>
      <c r="S711" s="10">
        <f>R711*(A711&lt;PARAM!$B$55)</f>
        <v>0</v>
      </c>
      <c r="T711" s="10">
        <f t="shared" si="211"/>
        <v>2.3292921979732872E-3</v>
      </c>
      <c r="U711" s="10">
        <f>T711*P711*(A711&lt;PARAM!$B$55)</f>
        <v>0</v>
      </c>
      <c r="W711">
        <v>708</v>
      </c>
      <c r="X711" s="178">
        <f t="shared" si="209"/>
        <v>90</v>
      </c>
      <c r="Y711" s="178">
        <f t="shared" si="209"/>
        <v>90</v>
      </c>
      <c r="Z711" s="178">
        <f t="shared" si="209"/>
        <v>59</v>
      </c>
      <c r="AA711" s="178">
        <f t="shared" si="209"/>
        <v>59</v>
      </c>
      <c r="AD711" s="17">
        <f>CALC!E735*(A711&lt;PARAM!$B$55)</f>
        <v>0</v>
      </c>
      <c r="AE711">
        <f>IF(A711&lt;ITER!$C$16,1,PARAM!$C$53^-(RATES!A711-ITER!$C$16))*(A711&lt;PARAM!$B$55)</f>
        <v>0</v>
      </c>
    </row>
    <row r="712" spans="1:31" x14ac:dyDescent="0.2">
      <c r="A712" s="9">
        <v>709</v>
      </c>
      <c r="B712" s="178">
        <f t="shared" si="207"/>
        <v>90</v>
      </c>
      <c r="C712" s="178">
        <f t="shared" si="207"/>
        <v>90</v>
      </c>
      <c r="D712" s="2">
        <f>PARAM!$H$38</f>
        <v>1</v>
      </c>
      <c r="E712" s="11">
        <f>PARAM!$G$38</f>
        <v>0</v>
      </c>
      <c r="F712" s="11">
        <f>(VLOOKUP(C712,DEDN!$A$8:$O$902,$F$2)*D712+E712)/1000</f>
        <v>0.15199000000000001</v>
      </c>
      <c r="G712" s="178">
        <f t="shared" si="208"/>
        <v>59</v>
      </c>
      <c r="H712" s="178">
        <f t="shared" si="208"/>
        <v>59</v>
      </c>
      <c r="I712" s="2">
        <f>PARAM!$H$39</f>
        <v>0</v>
      </c>
      <c r="J712" s="11">
        <f>PARAM!$G$39</f>
        <v>0</v>
      </c>
      <c r="K712" s="11">
        <f>(VLOOKUP(H712,DEDN!$A$8:$O$902,$K$2)*I712+J712)/1000</f>
        <v>0</v>
      </c>
      <c r="L712" s="11">
        <f>MIN(IF(PARAM!$B$43=3,CHOOSE($L$2,F712,K712),F712+K712-F712*K712),1)</f>
        <v>0.15199000000000001</v>
      </c>
      <c r="M712" s="2">
        <f>PARAM!$I$38</f>
        <v>0</v>
      </c>
      <c r="N712" s="11">
        <f>VLOOKUP(B712,DEDN!$A$8:$O$90,$N$2)*M712</f>
        <v>0</v>
      </c>
      <c r="O712" s="12"/>
      <c r="P712" s="10">
        <f>PARAM!$C$53^-A712</f>
        <v>1</v>
      </c>
      <c r="Q712" s="10">
        <f t="shared" si="212"/>
        <v>0.16838201579298476</v>
      </c>
      <c r="R712" s="10">
        <f t="shared" si="210"/>
        <v>0.16838201579298476</v>
      </c>
      <c r="S712" s="10">
        <f>CHOOSE(PARAM!$B$51,R712,0,0,0)*(A712&lt;PARAM!$B$55)</f>
        <v>0</v>
      </c>
      <c r="T712" s="10">
        <f t="shared" si="211"/>
        <v>2.2975098737242905E-3</v>
      </c>
      <c r="U712" s="10">
        <f>T712*P712*(A712&lt;PARAM!$B$55)</f>
        <v>0</v>
      </c>
      <c r="W712">
        <v>709</v>
      </c>
      <c r="X712" s="178">
        <f t="shared" si="209"/>
        <v>90</v>
      </c>
      <c r="Y712" s="178">
        <f t="shared" si="209"/>
        <v>90</v>
      </c>
      <c r="Z712" s="178">
        <f t="shared" si="209"/>
        <v>59</v>
      </c>
      <c r="AA712" s="178">
        <f t="shared" si="209"/>
        <v>59</v>
      </c>
      <c r="AD712" s="17">
        <f>CALC!E736*(A712&lt;PARAM!$B$55)</f>
        <v>0</v>
      </c>
      <c r="AE712">
        <f>IF(A712&lt;ITER!$C$16,1,PARAM!$C$53^-(RATES!A712-ITER!$C$16))*(A712&lt;PARAM!$B$55)</f>
        <v>0</v>
      </c>
    </row>
    <row r="713" spans="1:31" x14ac:dyDescent="0.2">
      <c r="A713" s="9">
        <v>710</v>
      </c>
      <c r="B713" s="178">
        <f t="shared" si="207"/>
        <v>90</v>
      </c>
      <c r="C713" s="178">
        <f t="shared" si="207"/>
        <v>90</v>
      </c>
      <c r="D713" s="2">
        <f>PARAM!$H$38</f>
        <v>1</v>
      </c>
      <c r="E713" s="11">
        <f>PARAM!$G$38</f>
        <v>0</v>
      </c>
      <c r="F713" s="11">
        <f>(VLOOKUP(C713,DEDN!$A$8:$O$902,$F$2)*D713+E713)/1000</f>
        <v>0.15199000000000001</v>
      </c>
      <c r="G713" s="178">
        <f t="shared" si="208"/>
        <v>59</v>
      </c>
      <c r="H713" s="178">
        <f t="shared" si="208"/>
        <v>59</v>
      </c>
      <c r="I713" s="2">
        <f>PARAM!$H$39</f>
        <v>0</v>
      </c>
      <c r="J713" s="11">
        <f>PARAM!$G$39</f>
        <v>0</v>
      </c>
      <c r="K713" s="11">
        <f>(VLOOKUP(H713,DEDN!$A$8:$O$902,$K$2)*I713+J713)/1000</f>
        <v>0</v>
      </c>
      <c r="L713" s="11">
        <f>MIN(IF(PARAM!$B$43=3,CHOOSE($L$2,F713,K713),F713+K713-F713*K713),1)</f>
        <v>0.15199000000000001</v>
      </c>
      <c r="M713" s="2">
        <f>PARAM!$I$38</f>
        <v>0</v>
      </c>
      <c r="N713" s="11">
        <f>VLOOKUP(B713,DEDN!$A$8:$O$90,$N$2)*M713</f>
        <v>0</v>
      </c>
      <c r="O713" s="12"/>
      <c r="P713" s="10">
        <f>PARAM!$C$53^-A713</f>
        <v>1</v>
      </c>
      <c r="Q713" s="10">
        <f t="shared" si="212"/>
        <v>0.16608450591926047</v>
      </c>
      <c r="R713" s="10">
        <f t="shared" si="210"/>
        <v>0.16608450591926047</v>
      </c>
      <c r="S713" s="10">
        <f>CHOOSE(PARAM!$B$51,R713,0,0,0)*(A713&lt;PARAM!$B$55)</f>
        <v>0</v>
      </c>
      <c r="T713" s="10">
        <f t="shared" si="211"/>
        <v>2.2661612074489634E-3</v>
      </c>
      <c r="U713" s="10">
        <f>T713*P713*(A713&lt;PARAM!$B$55)</f>
        <v>0</v>
      </c>
      <c r="W713">
        <v>710</v>
      </c>
      <c r="X713" s="178">
        <f t="shared" si="209"/>
        <v>90</v>
      </c>
      <c r="Y713" s="178">
        <f t="shared" si="209"/>
        <v>90</v>
      </c>
      <c r="Z713" s="178">
        <f t="shared" si="209"/>
        <v>59</v>
      </c>
      <c r="AA713" s="178">
        <f t="shared" si="209"/>
        <v>59</v>
      </c>
      <c r="AD713" s="17">
        <f>CALC!E737*(A713&lt;PARAM!$B$55)</f>
        <v>0</v>
      </c>
      <c r="AE713">
        <f>IF(A713&lt;ITER!$C$16,1,PARAM!$C$53^-(RATES!A713-ITER!$C$16))*(A713&lt;PARAM!$B$55)</f>
        <v>0</v>
      </c>
    </row>
    <row r="714" spans="1:31" x14ac:dyDescent="0.2">
      <c r="A714" s="9">
        <v>711</v>
      </c>
      <c r="B714" s="178">
        <f t="shared" si="207"/>
        <v>90</v>
      </c>
      <c r="C714" s="178">
        <f t="shared" si="207"/>
        <v>90</v>
      </c>
      <c r="D714" s="2">
        <f>PARAM!$H$38</f>
        <v>1</v>
      </c>
      <c r="E714" s="11">
        <f>PARAM!$G$38</f>
        <v>0</v>
      </c>
      <c r="F714" s="11">
        <f>(VLOOKUP(C714,DEDN!$A$8:$O$902,$F$2)*D714+E714)/1000</f>
        <v>0.15199000000000001</v>
      </c>
      <c r="G714" s="178">
        <f t="shared" si="208"/>
        <v>59</v>
      </c>
      <c r="H714" s="178">
        <f t="shared" si="208"/>
        <v>59</v>
      </c>
      <c r="I714" s="2">
        <f>PARAM!$H$39</f>
        <v>0</v>
      </c>
      <c r="J714" s="11">
        <f>PARAM!$G$39</f>
        <v>0</v>
      </c>
      <c r="K714" s="11">
        <f>(VLOOKUP(H714,DEDN!$A$8:$O$902,$K$2)*I714+J714)/1000</f>
        <v>0</v>
      </c>
      <c r="L714" s="11">
        <f>MIN(IF(PARAM!$B$43=3,CHOOSE($L$2,F714,K714),F714+K714-F714*K714),1)</f>
        <v>0.15199000000000001</v>
      </c>
      <c r="M714" s="2">
        <f>PARAM!$I$38</f>
        <v>0</v>
      </c>
      <c r="N714" s="11">
        <f>VLOOKUP(B714,DEDN!$A$8:$O$90,$N$2)*M714</f>
        <v>0</v>
      </c>
      <c r="O714" s="12"/>
      <c r="P714" s="10">
        <f>PARAM!$C$53^-A714</f>
        <v>1</v>
      </c>
      <c r="Q714" s="10">
        <f t="shared" si="212"/>
        <v>0.1638183447118115</v>
      </c>
      <c r="R714" s="10">
        <f t="shared" si="210"/>
        <v>0.1638183447118115</v>
      </c>
      <c r="S714" s="10">
        <f>CHOOSE(PARAM!$B$51,R714,R714,0,0)*(A714&lt;PARAM!$B$55)</f>
        <v>0</v>
      </c>
      <c r="T714" s="10">
        <f t="shared" si="211"/>
        <v>2.2352402820458306E-3</v>
      </c>
      <c r="U714" s="10">
        <f>T714*P714*(A714&lt;PARAM!$B$55)</f>
        <v>0</v>
      </c>
      <c r="W714">
        <v>711</v>
      </c>
      <c r="X714" s="178">
        <f t="shared" si="209"/>
        <v>90</v>
      </c>
      <c r="Y714" s="178">
        <f t="shared" si="209"/>
        <v>90</v>
      </c>
      <c r="Z714" s="178">
        <f t="shared" si="209"/>
        <v>59</v>
      </c>
      <c r="AA714" s="178">
        <f t="shared" si="209"/>
        <v>59</v>
      </c>
      <c r="AD714" s="17">
        <f>CALC!E738*(A714&lt;PARAM!$B$55)</f>
        <v>0</v>
      </c>
      <c r="AE714">
        <f>IF(A714&lt;ITER!$C$16,1,PARAM!$C$53^-(RATES!A714-ITER!$C$16))*(A714&lt;PARAM!$B$55)</f>
        <v>0</v>
      </c>
    </row>
    <row r="715" spans="1:31" x14ac:dyDescent="0.2">
      <c r="A715" s="9">
        <v>712</v>
      </c>
      <c r="B715" s="178">
        <f t="shared" si="207"/>
        <v>90</v>
      </c>
      <c r="C715" s="178">
        <f t="shared" si="207"/>
        <v>90</v>
      </c>
      <c r="D715" s="2">
        <f>PARAM!$H$38</f>
        <v>1</v>
      </c>
      <c r="E715" s="11">
        <f>PARAM!$G$38</f>
        <v>0</v>
      </c>
      <c r="F715" s="11">
        <f>(VLOOKUP(C715,DEDN!$A$8:$O$902,$F$2)*D715+E715)/1000</f>
        <v>0.15199000000000001</v>
      </c>
      <c r="G715" s="178">
        <f t="shared" si="208"/>
        <v>59</v>
      </c>
      <c r="H715" s="178">
        <f t="shared" si="208"/>
        <v>59</v>
      </c>
      <c r="I715" s="2">
        <f>PARAM!$H$39</f>
        <v>0</v>
      </c>
      <c r="J715" s="11">
        <f>PARAM!$G$39</f>
        <v>0</v>
      </c>
      <c r="K715" s="11">
        <f>(VLOOKUP(H715,DEDN!$A$8:$O$902,$K$2)*I715+J715)/1000</f>
        <v>0</v>
      </c>
      <c r="L715" s="11">
        <f>MIN(IF(PARAM!$B$43=3,CHOOSE($L$2,F715,K715),F715+K715-F715*K715),1)</f>
        <v>0.15199000000000001</v>
      </c>
      <c r="M715" s="2">
        <f>PARAM!$I$38</f>
        <v>0</v>
      </c>
      <c r="N715" s="11">
        <f>VLOOKUP(B715,DEDN!$A$8:$O$90,$N$2)*M715</f>
        <v>0</v>
      </c>
      <c r="O715" s="12"/>
      <c r="P715" s="10">
        <f>PARAM!$C$53^-A715</f>
        <v>1</v>
      </c>
      <c r="Q715" s="10">
        <f t="shared" si="212"/>
        <v>0.16158310442976567</v>
      </c>
      <c r="R715" s="10">
        <f t="shared" si="210"/>
        <v>0.16158310442976567</v>
      </c>
      <c r="S715" s="10">
        <f>CHOOSE(PARAM!$B$51,R715,0,0,0)*(A715&lt;PARAM!$B$55)</f>
        <v>0</v>
      </c>
      <c r="T715" s="10">
        <f t="shared" si="211"/>
        <v>2.2047412611500283E-3</v>
      </c>
      <c r="U715" s="10">
        <f>T715*P715*(A715&lt;PARAM!$B$55)</f>
        <v>0</v>
      </c>
      <c r="W715">
        <v>712</v>
      </c>
      <c r="X715" s="178">
        <f t="shared" si="209"/>
        <v>90</v>
      </c>
      <c r="Y715" s="178">
        <f t="shared" si="209"/>
        <v>90</v>
      </c>
      <c r="Z715" s="178">
        <f t="shared" si="209"/>
        <v>59</v>
      </c>
      <c r="AA715" s="178">
        <f t="shared" si="209"/>
        <v>59</v>
      </c>
      <c r="AD715" s="17">
        <f>CALC!E739*(A715&lt;PARAM!$B$55)</f>
        <v>0</v>
      </c>
      <c r="AE715">
        <f>IF(A715&lt;ITER!$C$16,1,PARAM!$C$53^-(RATES!A715-ITER!$C$16))*(A715&lt;PARAM!$B$55)</f>
        <v>0</v>
      </c>
    </row>
    <row r="716" spans="1:31" x14ac:dyDescent="0.2">
      <c r="A716" s="9">
        <v>713</v>
      </c>
      <c r="B716" s="178">
        <f t="shared" si="207"/>
        <v>90</v>
      </c>
      <c r="C716" s="178">
        <f t="shared" si="207"/>
        <v>90</v>
      </c>
      <c r="D716" s="2">
        <f>PARAM!$H$38</f>
        <v>1</v>
      </c>
      <c r="E716" s="11">
        <f>PARAM!$G$38</f>
        <v>0</v>
      </c>
      <c r="F716" s="11">
        <f>(VLOOKUP(C716,DEDN!$A$8:$O$902,$F$2)*D716+E716)/1000</f>
        <v>0.15199000000000001</v>
      </c>
      <c r="G716" s="178">
        <f t="shared" si="208"/>
        <v>59</v>
      </c>
      <c r="H716" s="178">
        <f t="shared" si="208"/>
        <v>59</v>
      </c>
      <c r="I716" s="2">
        <f>PARAM!$H$39</f>
        <v>0</v>
      </c>
      <c r="J716" s="11">
        <f>PARAM!$G$39</f>
        <v>0</v>
      </c>
      <c r="K716" s="11">
        <f>(VLOOKUP(H716,DEDN!$A$8:$O$902,$K$2)*I716+J716)/1000</f>
        <v>0</v>
      </c>
      <c r="L716" s="11">
        <f>MIN(IF(PARAM!$B$43=3,CHOOSE($L$2,F716,K716),F716+K716-F716*K716),1)</f>
        <v>0.15199000000000001</v>
      </c>
      <c r="M716" s="2">
        <f>PARAM!$I$38</f>
        <v>0</v>
      </c>
      <c r="N716" s="11">
        <f>VLOOKUP(B716,DEDN!$A$8:$O$90,$N$2)*M716</f>
        <v>0</v>
      </c>
      <c r="O716" s="12"/>
      <c r="P716" s="10">
        <f>PARAM!$C$53^-A716</f>
        <v>1</v>
      </c>
      <c r="Q716" s="10">
        <f t="shared" si="212"/>
        <v>0.15937836316861564</v>
      </c>
      <c r="R716" s="10">
        <f t="shared" si="210"/>
        <v>0.15937836316861564</v>
      </c>
      <c r="S716" s="10">
        <f>CHOOSE(PARAM!$B$51,R716,0,0,0)*(A716&lt;PARAM!$B$55)</f>
        <v>0</v>
      </c>
      <c r="T716" s="10">
        <f t="shared" si="211"/>
        <v>2.1746583880317694E-3</v>
      </c>
      <c r="U716" s="10">
        <f>T716*P716*(A716&lt;PARAM!$B$55)</f>
        <v>0</v>
      </c>
      <c r="W716">
        <v>713</v>
      </c>
      <c r="X716" s="178">
        <f t="shared" si="209"/>
        <v>90</v>
      </c>
      <c r="Y716" s="178">
        <f t="shared" si="209"/>
        <v>90</v>
      </c>
      <c r="Z716" s="178">
        <f t="shared" si="209"/>
        <v>59</v>
      </c>
      <c r="AA716" s="178">
        <f t="shared" si="209"/>
        <v>59</v>
      </c>
      <c r="AD716" s="17">
        <f>CALC!E740*(A716&lt;PARAM!$B$55)</f>
        <v>0</v>
      </c>
      <c r="AE716">
        <f>IF(A716&lt;ITER!$C$16,1,PARAM!$C$53^-(RATES!A716-ITER!$C$16))*(A716&lt;PARAM!$B$55)</f>
        <v>0</v>
      </c>
    </row>
    <row r="717" spans="1:31" x14ac:dyDescent="0.2">
      <c r="A717" s="9">
        <v>714</v>
      </c>
      <c r="B717" s="178">
        <f t="shared" si="207"/>
        <v>91</v>
      </c>
      <c r="C717" s="178">
        <f t="shared" si="207"/>
        <v>91</v>
      </c>
      <c r="D717" s="2">
        <f>PARAM!$H$38</f>
        <v>1</v>
      </c>
      <c r="E717" s="11">
        <f>PARAM!$G$38</f>
        <v>0</v>
      </c>
      <c r="F717" s="11">
        <f>(VLOOKUP(C717,DEDN!$A$8:$O$902,$F$2)*D717+E717)/1000</f>
        <v>0.16405</v>
      </c>
      <c r="G717" s="178">
        <f t="shared" si="208"/>
        <v>60</v>
      </c>
      <c r="H717" s="178">
        <f t="shared" si="208"/>
        <v>60</v>
      </c>
      <c r="I717" s="2">
        <f>PARAM!$H$39</f>
        <v>0</v>
      </c>
      <c r="J717" s="11">
        <f>PARAM!$G$39</f>
        <v>0</v>
      </c>
      <c r="K717" s="11">
        <f>(VLOOKUP(H717,DEDN!$A$8:$O$902,$K$2)*I717+J717)/1000</f>
        <v>0</v>
      </c>
      <c r="L717" s="11">
        <f>MIN(IF(PARAM!$B$43=3,CHOOSE($L$2,F717,K717),F717+K717-F717*K717),1)</f>
        <v>0.16405</v>
      </c>
      <c r="M717" s="2">
        <f>PARAM!$I$38</f>
        <v>0</v>
      </c>
      <c r="N717" s="11">
        <f>VLOOKUP(B717,DEDN!$A$8:$O$90,$N$2)*M717</f>
        <v>0</v>
      </c>
      <c r="O717" s="12"/>
      <c r="P717" s="10">
        <f>PARAM!$C$53^-A717</f>
        <v>1</v>
      </c>
      <c r="Q717" s="10">
        <f t="shared" si="212"/>
        <v>0.15720370478058387</v>
      </c>
      <c r="R717" s="10">
        <f t="shared" si="210"/>
        <v>0.15720370478058387</v>
      </c>
      <c r="S717" s="10">
        <f>CHOOSE(PARAM!$B$51,R717,R717,R717,0)*(A717&lt;PARAM!$B$55)</f>
        <v>0</v>
      </c>
      <c r="T717" s="10">
        <f t="shared" si="211"/>
        <v>2.3299591520514473E-3</v>
      </c>
      <c r="U717" s="10">
        <f>T717*P717*(A717&lt;PARAM!$B$55)</f>
        <v>0</v>
      </c>
      <c r="W717">
        <v>714</v>
      </c>
      <c r="X717" s="178">
        <f t="shared" si="209"/>
        <v>91</v>
      </c>
      <c r="Y717" s="178">
        <f t="shared" si="209"/>
        <v>91</v>
      </c>
      <c r="Z717" s="178">
        <f t="shared" si="209"/>
        <v>60</v>
      </c>
      <c r="AA717" s="178">
        <f t="shared" si="209"/>
        <v>60</v>
      </c>
      <c r="AD717" s="17">
        <f>CALC!E741*(A717&lt;PARAM!$B$55)</f>
        <v>0</v>
      </c>
      <c r="AE717">
        <f>IF(A717&lt;ITER!$C$16,1,PARAM!$C$53^-(RATES!A717-ITER!$C$16))*(A717&lt;PARAM!$B$55)</f>
        <v>0</v>
      </c>
    </row>
    <row r="718" spans="1:31" x14ac:dyDescent="0.2">
      <c r="A718" s="9">
        <v>715</v>
      </c>
      <c r="B718" s="178">
        <f t="shared" si="207"/>
        <v>91</v>
      </c>
      <c r="C718" s="178">
        <f t="shared" si="207"/>
        <v>91</v>
      </c>
      <c r="D718" s="2">
        <f>PARAM!$H$38</f>
        <v>1</v>
      </c>
      <c r="E718" s="11">
        <f>PARAM!$G$38</f>
        <v>0</v>
      </c>
      <c r="F718" s="11">
        <f>(VLOOKUP(C718,DEDN!$A$8:$O$902,$F$2)*D718+E718)/1000</f>
        <v>0.16405</v>
      </c>
      <c r="G718" s="178">
        <f t="shared" si="208"/>
        <v>60</v>
      </c>
      <c r="H718" s="178">
        <f t="shared" si="208"/>
        <v>60</v>
      </c>
      <c r="I718" s="2">
        <f>PARAM!$H$39</f>
        <v>0</v>
      </c>
      <c r="J718" s="11">
        <f>PARAM!$G$39</f>
        <v>0</v>
      </c>
      <c r="K718" s="11">
        <f>(VLOOKUP(H718,DEDN!$A$8:$O$902,$K$2)*I718+J718)/1000</f>
        <v>0</v>
      </c>
      <c r="L718" s="11">
        <f>MIN(IF(PARAM!$B$43=3,CHOOSE($L$2,F718,K718),F718+K718-F718*K718),1)</f>
        <v>0.16405</v>
      </c>
      <c r="M718" s="2">
        <f>PARAM!$I$38</f>
        <v>0</v>
      </c>
      <c r="N718" s="11">
        <f>VLOOKUP(B718,DEDN!$A$8:$O$90,$N$2)*M718</f>
        <v>0</v>
      </c>
      <c r="O718" s="12"/>
      <c r="P718" s="10">
        <f>PARAM!$C$53^-A718</f>
        <v>1</v>
      </c>
      <c r="Q718" s="10">
        <f t="shared" si="212"/>
        <v>0.15487374562853243</v>
      </c>
      <c r="R718" s="10">
        <f t="shared" si="210"/>
        <v>0.15487374562853243</v>
      </c>
      <c r="S718" s="10">
        <f>CHOOSE(PARAM!$B$51,R718,0,0,0)*(A718&lt;PARAM!$B$55)</f>
        <v>0</v>
      </c>
      <c r="T718" s="10">
        <f t="shared" si="211"/>
        <v>2.2954261894994332E-3</v>
      </c>
      <c r="U718" s="10">
        <f>T718*P718*(A718&lt;PARAM!$B$55)</f>
        <v>0</v>
      </c>
      <c r="W718">
        <v>715</v>
      </c>
      <c r="X718" s="178">
        <f t="shared" si="209"/>
        <v>91</v>
      </c>
      <c r="Y718" s="178">
        <f t="shared" si="209"/>
        <v>91</v>
      </c>
      <c r="Z718" s="178">
        <f t="shared" si="209"/>
        <v>60</v>
      </c>
      <c r="AA718" s="178">
        <f t="shared" si="209"/>
        <v>60</v>
      </c>
      <c r="AD718" s="17">
        <f>CALC!E742*(A718&lt;PARAM!$B$55)</f>
        <v>0</v>
      </c>
      <c r="AE718">
        <f>IF(A718&lt;ITER!$C$16,1,PARAM!$C$53^-(RATES!A718-ITER!$C$16))*(A718&lt;PARAM!$B$55)</f>
        <v>0</v>
      </c>
    </row>
    <row r="719" spans="1:31" x14ac:dyDescent="0.2">
      <c r="A719" s="9">
        <v>716</v>
      </c>
      <c r="B719" s="178">
        <f t="shared" si="207"/>
        <v>91</v>
      </c>
      <c r="C719" s="178">
        <f t="shared" si="207"/>
        <v>91</v>
      </c>
      <c r="D719" s="2">
        <f>PARAM!$H$38</f>
        <v>1</v>
      </c>
      <c r="E719" s="11">
        <f>PARAM!$G$38</f>
        <v>0</v>
      </c>
      <c r="F719" s="11">
        <f>(VLOOKUP(C719,DEDN!$A$8:$O$902,$F$2)*D719+E719)/1000</f>
        <v>0.16405</v>
      </c>
      <c r="G719" s="178">
        <f t="shared" si="208"/>
        <v>60</v>
      </c>
      <c r="H719" s="178">
        <f t="shared" si="208"/>
        <v>60</v>
      </c>
      <c r="I719" s="2">
        <f>PARAM!$H$39</f>
        <v>0</v>
      </c>
      <c r="J719" s="11">
        <f>PARAM!$G$39</f>
        <v>0</v>
      </c>
      <c r="K719" s="11">
        <f>(VLOOKUP(H719,DEDN!$A$8:$O$902,$K$2)*I719+J719)/1000</f>
        <v>0</v>
      </c>
      <c r="L719" s="11">
        <f>MIN(IF(PARAM!$B$43=3,CHOOSE($L$2,F719,K719),F719+K719-F719*K719),1)</f>
        <v>0.16405</v>
      </c>
      <c r="M719" s="2">
        <f>PARAM!$I$38</f>
        <v>0</v>
      </c>
      <c r="N719" s="11">
        <f>VLOOKUP(B719,DEDN!$A$8:$O$90,$N$2)*M719</f>
        <v>0</v>
      </c>
      <c r="O719" s="12"/>
      <c r="P719" s="10">
        <f>PARAM!$C$53^-A719</f>
        <v>1</v>
      </c>
      <c r="Q719" s="10">
        <f t="shared" si="212"/>
        <v>0.15257831943903299</v>
      </c>
      <c r="R719" s="10">
        <f t="shared" si="210"/>
        <v>0.15257831943903299</v>
      </c>
      <c r="S719" s="10">
        <f>CHOOSE(PARAM!$B$51,R719,0,0,0)*(A719&lt;PARAM!$B$55)</f>
        <v>0</v>
      </c>
      <c r="T719" s="10">
        <f t="shared" si="211"/>
        <v>2.2614050494407512E-3</v>
      </c>
      <c r="U719" s="10">
        <f>T719*P719*(A719&lt;PARAM!$B$55)</f>
        <v>0</v>
      </c>
      <c r="W719">
        <v>716</v>
      </c>
      <c r="X719" s="178">
        <f t="shared" si="209"/>
        <v>91</v>
      </c>
      <c r="Y719" s="178">
        <f t="shared" si="209"/>
        <v>91</v>
      </c>
      <c r="Z719" s="178">
        <f t="shared" si="209"/>
        <v>60</v>
      </c>
      <c r="AA719" s="178">
        <f t="shared" si="209"/>
        <v>60</v>
      </c>
      <c r="AD719" s="17">
        <f>CALC!E743*(A719&lt;PARAM!$B$55)</f>
        <v>0</v>
      </c>
      <c r="AE719">
        <f>IF(A719&lt;ITER!$C$16,1,PARAM!$C$53^-(RATES!A719-ITER!$C$16))*(A719&lt;PARAM!$B$55)</f>
        <v>0</v>
      </c>
    </row>
    <row r="720" spans="1:31" x14ac:dyDescent="0.2">
      <c r="A720" s="9">
        <v>717</v>
      </c>
      <c r="B720" s="178">
        <f t="shared" si="207"/>
        <v>91</v>
      </c>
      <c r="C720" s="178">
        <f t="shared" si="207"/>
        <v>91</v>
      </c>
      <c r="D720" s="2">
        <f>PARAM!$H$38</f>
        <v>1</v>
      </c>
      <c r="E720" s="11">
        <f>PARAM!$G$38</f>
        <v>0</v>
      </c>
      <c r="F720" s="11">
        <f>(VLOOKUP(C720,DEDN!$A$8:$O$902,$F$2)*D720+E720)/1000</f>
        <v>0.16405</v>
      </c>
      <c r="G720" s="178">
        <f t="shared" si="208"/>
        <v>60</v>
      </c>
      <c r="H720" s="178">
        <f t="shared" si="208"/>
        <v>60</v>
      </c>
      <c r="I720" s="2">
        <f>PARAM!$H$39</f>
        <v>0</v>
      </c>
      <c r="J720" s="11">
        <f>PARAM!$G$39</f>
        <v>0</v>
      </c>
      <c r="K720" s="11">
        <f>(VLOOKUP(H720,DEDN!$A$8:$O$902,$K$2)*I720+J720)/1000</f>
        <v>0</v>
      </c>
      <c r="L720" s="11">
        <f>MIN(IF(PARAM!$B$43=3,CHOOSE($L$2,F720,K720),F720+K720-F720*K720),1)</f>
        <v>0.16405</v>
      </c>
      <c r="M720" s="2">
        <f>PARAM!$I$38</f>
        <v>0</v>
      </c>
      <c r="N720" s="11">
        <f>VLOOKUP(B720,DEDN!$A$8:$O$90,$N$2)*M720</f>
        <v>0</v>
      </c>
      <c r="O720" s="12"/>
      <c r="P720" s="10">
        <f>PARAM!$C$53^-A720</f>
        <v>1</v>
      </c>
      <c r="Q720" s="10">
        <f t="shared" si="212"/>
        <v>0.15031691438959224</v>
      </c>
      <c r="R720" s="10">
        <f t="shared" si="210"/>
        <v>0.15031691438959224</v>
      </c>
      <c r="S720" s="10">
        <f>CHOOSE(PARAM!$B$51,R720,R720,0,0)*(A720&lt;PARAM!$B$55)</f>
        <v>0</v>
      </c>
      <c r="T720" s="10">
        <f t="shared" si="211"/>
        <v>2.2278881460141009E-3</v>
      </c>
      <c r="U720" s="10">
        <f>T720*P720*(A720&lt;PARAM!$B$55)</f>
        <v>0</v>
      </c>
      <c r="W720">
        <v>717</v>
      </c>
      <c r="X720" s="178">
        <f t="shared" si="209"/>
        <v>91</v>
      </c>
      <c r="Y720" s="178">
        <f t="shared" si="209"/>
        <v>91</v>
      </c>
      <c r="Z720" s="178">
        <f t="shared" si="209"/>
        <v>60</v>
      </c>
      <c r="AA720" s="178">
        <f t="shared" si="209"/>
        <v>60</v>
      </c>
      <c r="AD720" s="17">
        <f>CALC!E744*(A720&lt;PARAM!$B$55)</f>
        <v>0</v>
      </c>
      <c r="AE720">
        <f>IF(A720&lt;ITER!$C$16,1,PARAM!$C$53^-(RATES!A720-ITER!$C$16))*(A720&lt;PARAM!$B$55)</f>
        <v>0</v>
      </c>
    </row>
    <row r="721" spans="1:31" x14ac:dyDescent="0.2">
      <c r="A721" s="9">
        <v>718</v>
      </c>
      <c r="B721" s="178">
        <f t="shared" ref="B721:C740" si="213">B709+1</f>
        <v>91</v>
      </c>
      <c r="C721" s="178">
        <f t="shared" si="213"/>
        <v>91</v>
      </c>
      <c r="D721" s="2">
        <f>PARAM!$H$38</f>
        <v>1</v>
      </c>
      <c r="E721" s="11">
        <f>PARAM!$G$38</f>
        <v>0</v>
      </c>
      <c r="F721" s="11">
        <f>(VLOOKUP(C721,DEDN!$A$8:$O$902,$F$2)*D721+E721)/1000</f>
        <v>0.16405</v>
      </c>
      <c r="G721" s="178">
        <f t="shared" ref="G721:H740" si="214">G709+1</f>
        <v>60</v>
      </c>
      <c r="H721" s="178">
        <f t="shared" si="214"/>
        <v>60</v>
      </c>
      <c r="I721" s="2">
        <f>PARAM!$H$39</f>
        <v>0</v>
      </c>
      <c r="J721" s="11">
        <f>PARAM!$G$39</f>
        <v>0</v>
      </c>
      <c r="K721" s="11">
        <f>(VLOOKUP(H721,DEDN!$A$8:$O$902,$K$2)*I721+J721)/1000</f>
        <v>0</v>
      </c>
      <c r="L721" s="11">
        <f>MIN(IF(PARAM!$B$43=3,CHOOSE($L$2,F721,K721),F721+K721-F721*K721),1)</f>
        <v>0.16405</v>
      </c>
      <c r="M721" s="2">
        <f>PARAM!$I$38</f>
        <v>0</v>
      </c>
      <c r="N721" s="11">
        <f>VLOOKUP(B721,DEDN!$A$8:$O$90,$N$2)*M721</f>
        <v>0</v>
      </c>
      <c r="O721" s="12"/>
      <c r="P721" s="10">
        <f>PARAM!$C$53^-A721</f>
        <v>1</v>
      </c>
      <c r="Q721" s="10">
        <f t="shared" si="212"/>
        <v>0.14808902624357814</v>
      </c>
      <c r="R721" s="10">
        <f t="shared" si="210"/>
        <v>0.14808902624357814</v>
      </c>
      <c r="S721" s="10">
        <f>CHOOSE(PARAM!$B$51,R721,0,0,0)*(A721&lt;PARAM!$B$55)</f>
        <v>0</v>
      </c>
      <c r="T721" s="10">
        <f t="shared" si="211"/>
        <v>2.1948680057903291E-3</v>
      </c>
      <c r="U721" s="10">
        <f>T721*P721*(A721&lt;PARAM!$B$55)</f>
        <v>0</v>
      </c>
      <c r="W721">
        <v>718</v>
      </c>
      <c r="X721" s="178">
        <f t="shared" ref="X721:AA740" si="215">X709+1</f>
        <v>91</v>
      </c>
      <c r="Y721" s="178">
        <f t="shared" si="215"/>
        <v>91</v>
      </c>
      <c r="Z721" s="178">
        <f t="shared" si="215"/>
        <v>60</v>
      </c>
      <c r="AA721" s="178">
        <f t="shared" si="215"/>
        <v>60</v>
      </c>
      <c r="AD721" s="17">
        <f>CALC!E745*(A721&lt;PARAM!$B$55)</f>
        <v>0</v>
      </c>
      <c r="AE721">
        <f>IF(A721&lt;ITER!$C$16,1,PARAM!$C$53^-(RATES!A721-ITER!$C$16))*(A721&lt;PARAM!$B$55)</f>
        <v>0</v>
      </c>
    </row>
    <row r="722" spans="1:31" x14ac:dyDescent="0.2">
      <c r="A722" s="9">
        <v>719</v>
      </c>
      <c r="B722" s="178">
        <f t="shared" si="213"/>
        <v>91</v>
      </c>
      <c r="C722" s="178">
        <f t="shared" si="213"/>
        <v>91</v>
      </c>
      <c r="D722" s="2">
        <f>PARAM!$H$38</f>
        <v>1</v>
      </c>
      <c r="E722" s="11">
        <f>PARAM!$G$38</f>
        <v>0</v>
      </c>
      <c r="F722" s="11">
        <f>(VLOOKUP(C722,DEDN!$A$8:$O$902,$F$2)*D722+E722)/1000</f>
        <v>0.16405</v>
      </c>
      <c r="G722" s="178">
        <f t="shared" si="214"/>
        <v>60</v>
      </c>
      <c r="H722" s="178">
        <f t="shared" si="214"/>
        <v>60</v>
      </c>
      <c r="I722" s="2">
        <f>PARAM!$H$39</f>
        <v>0</v>
      </c>
      <c r="J722" s="11">
        <f>PARAM!$G$39</f>
        <v>0</v>
      </c>
      <c r="K722" s="11">
        <f>(VLOOKUP(H722,DEDN!$A$8:$O$902,$K$2)*I722+J722)/1000</f>
        <v>0</v>
      </c>
      <c r="L722" s="11">
        <f>MIN(IF(PARAM!$B$43=3,CHOOSE($L$2,F722,K722),F722+K722-F722*K722),1)</f>
        <v>0.16405</v>
      </c>
      <c r="M722" s="2">
        <f>PARAM!$I$38</f>
        <v>0</v>
      </c>
      <c r="N722" s="11">
        <f>VLOOKUP(B722,DEDN!$A$8:$O$90,$N$2)*M722</f>
        <v>0</v>
      </c>
      <c r="O722" s="12"/>
      <c r="P722" s="10">
        <f>PARAM!$C$53^-A722</f>
        <v>1</v>
      </c>
      <c r="Q722" s="10">
        <f t="shared" si="212"/>
        <v>0.14589415823778781</v>
      </c>
      <c r="R722" s="10">
        <f t="shared" si="210"/>
        <v>0.14589415823778781</v>
      </c>
      <c r="S722" s="10">
        <f>CHOOSE(PARAM!$B$51,R722,0,0,0)*(A722&lt;PARAM!$B$55)</f>
        <v>0</v>
      </c>
      <c r="T722" s="10">
        <f t="shared" si="211"/>
        <v>2.162337266105957E-3</v>
      </c>
      <c r="U722" s="10">
        <f>T722*P722*(A722&lt;PARAM!$B$55)</f>
        <v>0</v>
      </c>
      <c r="W722">
        <v>719</v>
      </c>
      <c r="X722" s="178">
        <f t="shared" si="215"/>
        <v>91</v>
      </c>
      <c r="Y722" s="178">
        <f t="shared" si="215"/>
        <v>91</v>
      </c>
      <c r="Z722" s="178">
        <f t="shared" si="215"/>
        <v>60</v>
      </c>
      <c r="AA722" s="178">
        <f t="shared" si="215"/>
        <v>60</v>
      </c>
      <c r="AD722" s="17">
        <f>CALC!E746*(A722&lt;PARAM!$B$55)</f>
        <v>0</v>
      </c>
      <c r="AE722">
        <f>IF(A722&lt;ITER!$C$16,1,PARAM!$C$53^-(RATES!A722-ITER!$C$16))*(A722&lt;PARAM!$B$55)</f>
        <v>0</v>
      </c>
    </row>
    <row r="723" spans="1:31" x14ac:dyDescent="0.2">
      <c r="A723" s="9">
        <v>720</v>
      </c>
      <c r="B723" s="178">
        <f t="shared" si="213"/>
        <v>91</v>
      </c>
      <c r="C723" s="178">
        <f t="shared" si="213"/>
        <v>91</v>
      </c>
      <c r="D723" s="2">
        <f>PARAM!$H$38</f>
        <v>1</v>
      </c>
      <c r="E723" s="11">
        <f>PARAM!$G$38</f>
        <v>0</v>
      </c>
      <c r="F723" s="11">
        <f>(VLOOKUP(C723,DEDN!$A$8:$O$902,$F$2)*D723+E723)/1000</f>
        <v>0.16405</v>
      </c>
      <c r="G723" s="178">
        <f t="shared" si="214"/>
        <v>60</v>
      </c>
      <c r="H723" s="178">
        <f t="shared" si="214"/>
        <v>60</v>
      </c>
      <c r="I723" s="2">
        <f>PARAM!$H$39</f>
        <v>0</v>
      </c>
      <c r="J723" s="11">
        <f>PARAM!$G$39</f>
        <v>0</v>
      </c>
      <c r="K723" s="11">
        <f>(VLOOKUP(H723,DEDN!$A$8:$O$902,$K$2)*I723+J723)/1000</f>
        <v>0</v>
      </c>
      <c r="L723" s="11">
        <f>MIN(IF(PARAM!$B$43=3,CHOOSE($L$2,F723,K723),F723+K723-F723*K723),1)</f>
        <v>0.16405</v>
      </c>
      <c r="M723" s="2">
        <f>PARAM!$I$38</f>
        <v>0</v>
      </c>
      <c r="N723" s="11">
        <f>VLOOKUP(B723,DEDN!$A$8:$O$90,$N$2)*M723</f>
        <v>0</v>
      </c>
      <c r="O723" s="12"/>
      <c r="P723" s="10">
        <f>PARAM!$C$53^-A723</f>
        <v>1</v>
      </c>
      <c r="Q723" s="10">
        <f t="shared" si="212"/>
        <v>0.14373182097168186</v>
      </c>
      <c r="R723" s="10">
        <f t="shared" si="210"/>
        <v>0.14373182097168186</v>
      </c>
      <c r="S723" s="10">
        <f>R723*(A723&lt;PARAM!$B$55)</f>
        <v>0</v>
      </c>
      <c r="T723" s="10">
        <f t="shared" si="211"/>
        <v>2.1302886734216042E-3</v>
      </c>
      <c r="U723" s="10">
        <f>T723*P723*(A723&lt;PARAM!$B$55)</f>
        <v>0</v>
      </c>
      <c r="W723">
        <v>720</v>
      </c>
      <c r="X723" s="178">
        <f t="shared" si="215"/>
        <v>91</v>
      </c>
      <c r="Y723" s="178">
        <f t="shared" si="215"/>
        <v>91</v>
      </c>
      <c r="Z723" s="178">
        <f t="shared" si="215"/>
        <v>60</v>
      </c>
      <c r="AA723" s="178">
        <f t="shared" si="215"/>
        <v>60</v>
      </c>
      <c r="AD723" s="17">
        <f>CALC!E747*(A723&lt;PARAM!$B$55)</f>
        <v>0</v>
      </c>
      <c r="AE723">
        <f>IF(A723&lt;ITER!$C$16,1,PARAM!$C$53^-(RATES!A723-ITER!$C$16))*(A723&lt;PARAM!$B$55)</f>
        <v>0</v>
      </c>
    </row>
    <row r="724" spans="1:31" x14ac:dyDescent="0.2">
      <c r="A724" s="9">
        <v>721</v>
      </c>
      <c r="B724" s="178">
        <f t="shared" si="213"/>
        <v>91</v>
      </c>
      <c r="C724" s="178">
        <f t="shared" si="213"/>
        <v>91</v>
      </c>
      <c r="D724" s="2">
        <f>PARAM!$H$38</f>
        <v>1</v>
      </c>
      <c r="E724" s="11">
        <f>PARAM!$G$38</f>
        <v>0</v>
      </c>
      <c r="F724" s="11">
        <f>(VLOOKUP(C724,DEDN!$A$8:$O$902,$F$2)*D724+E724)/1000</f>
        <v>0.16405</v>
      </c>
      <c r="G724" s="178">
        <f t="shared" si="214"/>
        <v>60</v>
      </c>
      <c r="H724" s="178">
        <f t="shared" si="214"/>
        <v>60</v>
      </c>
      <c r="I724" s="2">
        <f>PARAM!$H$39</f>
        <v>0</v>
      </c>
      <c r="J724" s="11">
        <f>PARAM!$G$39</f>
        <v>0</v>
      </c>
      <c r="K724" s="11">
        <f>(VLOOKUP(H724,DEDN!$A$8:$O$902,$K$2)*I724+J724)/1000</f>
        <v>0</v>
      </c>
      <c r="L724" s="11">
        <f>MIN(IF(PARAM!$B$43=3,CHOOSE($L$2,F724,K724),F724+K724-F724*K724),1)</f>
        <v>0.16405</v>
      </c>
      <c r="M724" s="2">
        <f>PARAM!$I$38</f>
        <v>0</v>
      </c>
      <c r="N724" s="11">
        <f>VLOOKUP(B724,DEDN!$A$8:$O$90,$N$2)*M724</f>
        <v>0</v>
      </c>
      <c r="O724" s="12"/>
      <c r="P724" s="10">
        <f>PARAM!$C$53^-A724</f>
        <v>1</v>
      </c>
      <c r="Q724" s="10">
        <f t="shared" si="212"/>
        <v>0.14160153229826025</v>
      </c>
      <c r="R724" s="10">
        <f t="shared" ref="R724:R739" si="216">P724*Q724</f>
        <v>0.14160153229826025</v>
      </c>
      <c r="S724" s="10">
        <f>CHOOSE(PARAM!$B$51,R724,0,0,0)*(A724&lt;PARAM!$B$55)</f>
        <v>0</v>
      </c>
      <c r="T724" s="10">
        <f t="shared" si="211"/>
        <v>2.098715081704533E-3</v>
      </c>
      <c r="U724" s="10">
        <f>T724*P724*(A724&lt;PARAM!$B$55)</f>
        <v>0</v>
      </c>
      <c r="W724">
        <v>721</v>
      </c>
      <c r="X724" s="178">
        <f t="shared" si="215"/>
        <v>91</v>
      </c>
      <c r="Y724" s="178">
        <f t="shared" si="215"/>
        <v>91</v>
      </c>
      <c r="Z724" s="178">
        <f t="shared" si="215"/>
        <v>60</v>
      </c>
      <c r="AA724" s="178">
        <f t="shared" si="215"/>
        <v>60</v>
      </c>
      <c r="AD724" s="17">
        <f>CALC!E748*(A724&lt;PARAM!$B$55)</f>
        <v>0</v>
      </c>
      <c r="AE724">
        <f>IF(A724&lt;ITER!$C$16,1,PARAM!$C$53^-(RATES!A724-ITER!$C$16))*(A724&lt;PARAM!$B$55)</f>
        <v>0</v>
      </c>
    </row>
    <row r="725" spans="1:31" x14ac:dyDescent="0.2">
      <c r="A725" s="9">
        <v>722</v>
      </c>
      <c r="B725" s="178">
        <f t="shared" si="213"/>
        <v>91</v>
      </c>
      <c r="C725" s="178">
        <f t="shared" si="213"/>
        <v>91</v>
      </c>
      <c r="D725" s="2">
        <f>PARAM!$H$38</f>
        <v>1</v>
      </c>
      <c r="E725" s="11">
        <f>PARAM!$G$38</f>
        <v>0</v>
      </c>
      <c r="F725" s="11">
        <f>(VLOOKUP(C725,DEDN!$A$8:$O$902,$F$2)*D725+E725)/1000</f>
        <v>0.16405</v>
      </c>
      <c r="G725" s="178">
        <f t="shared" si="214"/>
        <v>60</v>
      </c>
      <c r="H725" s="178">
        <f t="shared" si="214"/>
        <v>60</v>
      </c>
      <c r="I725" s="2">
        <f>PARAM!$H$39</f>
        <v>0</v>
      </c>
      <c r="J725" s="11">
        <f>PARAM!$G$39</f>
        <v>0</v>
      </c>
      <c r="K725" s="11">
        <f>(VLOOKUP(H725,DEDN!$A$8:$O$902,$K$2)*I725+J725)/1000</f>
        <v>0</v>
      </c>
      <c r="L725" s="11">
        <f>MIN(IF(PARAM!$B$43=3,CHOOSE($L$2,F725,K725),F725+K725-F725*K725),1)</f>
        <v>0.16405</v>
      </c>
      <c r="M725" s="2">
        <f>PARAM!$I$38</f>
        <v>0</v>
      </c>
      <c r="N725" s="11">
        <f>VLOOKUP(B725,DEDN!$A$8:$O$90,$N$2)*M725</f>
        <v>0</v>
      </c>
      <c r="O725" s="12"/>
      <c r="P725" s="10">
        <f>PARAM!$C$53^-A725</f>
        <v>1</v>
      </c>
      <c r="Q725" s="10">
        <f t="shared" ref="Q725:Q740" si="217">Q724*(1-L724)^(1/12)</f>
        <v>0.13950281721655572</v>
      </c>
      <c r="R725" s="10">
        <f t="shared" si="216"/>
        <v>0.13950281721655572</v>
      </c>
      <c r="S725" s="10">
        <f>CHOOSE(PARAM!$B$51,R725,0,0,0)*(A725&lt;PARAM!$B$55)</f>
        <v>0</v>
      </c>
      <c r="T725" s="10">
        <f t="shared" si="211"/>
        <v>2.0676094508353948E-3</v>
      </c>
      <c r="U725" s="10">
        <f>T725*P725*(A725&lt;PARAM!$B$55)</f>
        <v>0</v>
      </c>
      <c r="W725">
        <v>722</v>
      </c>
      <c r="X725" s="178">
        <f t="shared" si="215"/>
        <v>91</v>
      </c>
      <c r="Y725" s="178">
        <f t="shared" si="215"/>
        <v>91</v>
      </c>
      <c r="Z725" s="178">
        <f t="shared" si="215"/>
        <v>60</v>
      </c>
      <c r="AA725" s="178">
        <f t="shared" si="215"/>
        <v>60</v>
      </c>
      <c r="AD725" s="17">
        <f>CALC!E749*(A725&lt;PARAM!$B$55)</f>
        <v>0</v>
      </c>
      <c r="AE725">
        <f>IF(A725&lt;ITER!$C$16,1,PARAM!$C$53^-(RATES!A725-ITER!$C$16))*(A725&lt;PARAM!$B$55)</f>
        <v>0</v>
      </c>
    </row>
    <row r="726" spans="1:31" x14ac:dyDescent="0.2">
      <c r="A726" s="9">
        <v>723</v>
      </c>
      <c r="B726" s="178">
        <f t="shared" si="213"/>
        <v>91</v>
      </c>
      <c r="C726" s="178">
        <f t="shared" si="213"/>
        <v>91</v>
      </c>
      <c r="D726" s="2">
        <f>PARAM!$H$38</f>
        <v>1</v>
      </c>
      <c r="E726" s="11">
        <f>PARAM!$G$38</f>
        <v>0</v>
      </c>
      <c r="F726" s="11">
        <f>(VLOOKUP(C726,DEDN!$A$8:$O$902,$F$2)*D726+E726)/1000</f>
        <v>0.16405</v>
      </c>
      <c r="G726" s="178">
        <f t="shared" si="214"/>
        <v>60</v>
      </c>
      <c r="H726" s="178">
        <f t="shared" si="214"/>
        <v>60</v>
      </c>
      <c r="I726" s="2">
        <f>PARAM!$H$39</f>
        <v>0</v>
      </c>
      <c r="J726" s="11">
        <f>PARAM!$G$39</f>
        <v>0</v>
      </c>
      <c r="K726" s="11">
        <f>(VLOOKUP(H726,DEDN!$A$8:$O$902,$K$2)*I726+J726)/1000</f>
        <v>0</v>
      </c>
      <c r="L726" s="11">
        <f>MIN(IF(PARAM!$B$43=3,CHOOSE($L$2,F726,K726),F726+K726-F726*K726),1)</f>
        <v>0.16405</v>
      </c>
      <c r="M726" s="2">
        <f>PARAM!$I$38</f>
        <v>0</v>
      </c>
      <c r="N726" s="11">
        <f>VLOOKUP(B726,DEDN!$A$8:$O$90,$N$2)*M726</f>
        <v>0</v>
      </c>
      <c r="O726" s="12"/>
      <c r="P726" s="10">
        <f>PARAM!$C$53^-A726</f>
        <v>1</v>
      </c>
      <c r="Q726" s="10">
        <f t="shared" si="217"/>
        <v>0.13743520776572032</v>
      </c>
      <c r="R726" s="10">
        <f t="shared" si="216"/>
        <v>0.13743520776572032</v>
      </c>
      <c r="S726" s="10">
        <f>CHOOSE(PARAM!$B$51,R726,R726,0,0)*(A726&lt;PARAM!$B$55)</f>
        <v>0</v>
      </c>
      <c r="T726" s="10">
        <f t="shared" si="211"/>
        <v>2.0369648450383193E-3</v>
      </c>
      <c r="U726" s="10">
        <f>T726*P726*(A726&lt;PARAM!$B$55)</f>
        <v>0</v>
      </c>
      <c r="W726">
        <v>723</v>
      </c>
      <c r="X726" s="178">
        <f t="shared" si="215"/>
        <v>91</v>
      </c>
      <c r="Y726" s="178">
        <f t="shared" si="215"/>
        <v>91</v>
      </c>
      <c r="Z726" s="178">
        <f t="shared" si="215"/>
        <v>60</v>
      </c>
      <c r="AA726" s="178">
        <f t="shared" si="215"/>
        <v>60</v>
      </c>
      <c r="AD726" s="17">
        <f>CALC!E750*(A726&lt;PARAM!$B$55)</f>
        <v>0</v>
      </c>
      <c r="AE726">
        <f>IF(A726&lt;ITER!$C$16,1,PARAM!$C$53^-(RATES!A726-ITER!$C$16))*(A726&lt;PARAM!$B$55)</f>
        <v>0</v>
      </c>
    </row>
    <row r="727" spans="1:31" x14ac:dyDescent="0.2">
      <c r="A727" s="9">
        <v>724</v>
      </c>
      <c r="B727" s="178">
        <f t="shared" si="213"/>
        <v>91</v>
      </c>
      <c r="C727" s="178">
        <f t="shared" si="213"/>
        <v>91</v>
      </c>
      <c r="D727" s="2">
        <f>PARAM!$H$38</f>
        <v>1</v>
      </c>
      <c r="E727" s="11">
        <f>PARAM!$G$38</f>
        <v>0</v>
      </c>
      <c r="F727" s="11">
        <f>(VLOOKUP(C727,DEDN!$A$8:$O$902,$F$2)*D727+E727)/1000</f>
        <v>0.16405</v>
      </c>
      <c r="G727" s="178">
        <f t="shared" si="214"/>
        <v>60</v>
      </c>
      <c r="H727" s="178">
        <f t="shared" si="214"/>
        <v>60</v>
      </c>
      <c r="I727" s="2">
        <f>PARAM!$H$39</f>
        <v>0</v>
      </c>
      <c r="J727" s="11">
        <f>PARAM!$G$39</f>
        <v>0</v>
      </c>
      <c r="K727" s="11">
        <f>(VLOOKUP(H727,DEDN!$A$8:$O$902,$K$2)*I727+J727)/1000</f>
        <v>0</v>
      </c>
      <c r="L727" s="11">
        <f>MIN(IF(PARAM!$B$43=3,CHOOSE($L$2,F727,K727),F727+K727-F727*K727),1)</f>
        <v>0.16405</v>
      </c>
      <c r="M727" s="2">
        <f>PARAM!$I$38</f>
        <v>0</v>
      </c>
      <c r="N727" s="11">
        <f>VLOOKUP(B727,DEDN!$A$8:$O$90,$N$2)*M727</f>
        <v>0</v>
      </c>
      <c r="O727" s="12"/>
      <c r="P727" s="10">
        <f>PARAM!$C$53^-A727</f>
        <v>1</v>
      </c>
      <c r="Q727" s="10">
        <f t="shared" si="217"/>
        <v>0.135398242920682</v>
      </c>
      <c r="R727" s="10">
        <f t="shared" si="216"/>
        <v>0.135398242920682</v>
      </c>
      <c r="S727" s="10">
        <f>CHOOSE(PARAM!$B$51,R727,0,0,0)*(A727&lt;PARAM!$B$55)</f>
        <v>0</v>
      </c>
      <c r="T727" s="10">
        <f t="shared" si="211"/>
        <v>2.0067744313344849E-3</v>
      </c>
      <c r="U727" s="10">
        <f>T727*P727*(A727&lt;PARAM!$B$55)</f>
        <v>0</v>
      </c>
      <c r="W727">
        <v>724</v>
      </c>
      <c r="X727" s="178">
        <f t="shared" si="215"/>
        <v>91</v>
      </c>
      <c r="Y727" s="178">
        <f t="shared" si="215"/>
        <v>91</v>
      </c>
      <c r="Z727" s="178">
        <f t="shared" si="215"/>
        <v>60</v>
      </c>
      <c r="AA727" s="178">
        <f t="shared" si="215"/>
        <v>60</v>
      </c>
      <c r="AD727" s="17">
        <f>CALC!E751*(A727&lt;PARAM!$B$55)</f>
        <v>0</v>
      </c>
      <c r="AE727">
        <f>IF(A727&lt;ITER!$C$16,1,PARAM!$C$53^-(RATES!A727-ITER!$C$16))*(A727&lt;PARAM!$B$55)</f>
        <v>0</v>
      </c>
    </row>
    <row r="728" spans="1:31" x14ac:dyDescent="0.2">
      <c r="A728" s="9">
        <v>725</v>
      </c>
      <c r="B728" s="178">
        <f t="shared" si="213"/>
        <v>91</v>
      </c>
      <c r="C728" s="178">
        <f t="shared" si="213"/>
        <v>91</v>
      </c>
      <c r="D728" s="2">
        <f>PARAM!$H$38</f>
        <v>1</v>
      </c>
      <c r="E728" s="11">
        <f>PARAM!$G$38</f>
        <v>0</v>
      </c>
      <c r="F728" s="11">
        <f>(VLOOKUP(C728,DEDN!$A$8:$O$902,$F$2)*D728+E728)/1000</f>
        <v>0.16405</v>
      </c>
      <c r="G728" s="178">
        <f t="shared" si="214"/>
        <v>60</v>
      </c>
      <c r="H728" s="178">
        <f t="shared" si="214"/>
        <v>60</v>
      </c>
      <c r="I728" s="2">
        <f>PARAM!$H$39</f>
        <v>0</v>
      </c>
      <c r="J728" s="11">
        <f>PARAM!$G$39</f>
        <v>0</v>
      </c>
      <c r="K728" s="11">
        <f>(VLOOKUP(H728,DEDN!$A$8:$O$902,$K$2)*I728+J728)/1000</f>
        <v>0</v>
      </c>
      <c r="L728" s="11">
        <f>MIN(IF(PARAM!$B$43=3,CHOOSE($L$2,F728,K728),F728+K728-F728*K728),1)</f>
        <v>0.16405</v>
      </c>
      <c r="M728" s="2">
        <f>PARAM!$I$38</f>
        <v>0</v>
      </c>
      <c r="N728" s="11">
        <f>VLOOKUP(B728,DEDN!$A$8:$O$90,$N$2)*M728</f>
        <v>0</v>
      </c>
      <c r="O728" s="12"/>
      <c r="P728" s="10">
        <f>PARAM!$C$53^-A728</f>
        <v>1</v>
      </c>
      <c r="Q728" s="10">
        <f t="shared" si="217"/>
        <v>0.13339146848934752</v>
      </c>
      <c r="R728" s="10">
        <f t="shared" si="216"/>
        <v>0.13339146848934752</v>
      </c>
      <c r="S728" s="10">
        <f>CHOOSE(PARAM!$B$51,R728,0,0,0)*(A728&lt;PARAM!$B$55)</f>
        <v>0</v>
      </c>
      <c r="T728" s="10">
        <f t="shared" si="211"/>
        <v>1.9770314780184761E-3</v>
      </c>
      <c r="U728" s="10">
        <f>T728*P728*(A728&lt;PARAM!$B$55)</f>
        <v>0</v>
      </c>
      <c r="W728">
        <v>725</v>
      </c>
      <c r="X728" s="178">
        <f t="shared" si="215"/>
        <v>91</v>
      </c>
      <c r="Y728" s="178">
        <f t="shared" si="215"/>
        <v>91</v>
      </c>
      <c r="Z728" s="178">
        <f t="shared" si="215"/>
        <v>60</v>
      </c>
      <c r="AA728" s="178">
        <f t="shared" si="215"/>
        <v>60</v>
      </c>
      <c r="AD728" s="17">
        <f>CALC!E752*(A728&lt;PARAM!$B$55)</f>
        <v>0</v>
      </c>
      <c r="AE728">
        <f>IF(A728&lt;ITER!$C$16,1,PARAM!$C$53^-(RATES!A728-ITER!$C$16))*(A728&lt;PARAM!$B$55)</f>
        <v>0</v>
      </c>
    </row>
    <row r="729" spans="1:31" x14ac:dyDescent="0.2">
      <c r="A729" s="9">
        <v>726</v>
      </c>
      <c r="B729" s="178">
        <f t="shared" si="213"/>
        <v>92</v>
      </c>
      <c r="C729" s="178">
        <f t="shared" si="213"/>
        <v>92</v>
      </c>
      <c r="D729" s="2">
        <f>PARAM!$H$38</f>
        <v>1</v>
      </c>
      <c r="E729" s="11">
        <f>PARAM!$G$38</f>
        <v>0</v>
      </c>
      <c r="F729" s="11">
        <f>(VLOOKUP(C729,DEDN!$A$8:$O$902,$F$2)*D729+E729)/1000</f>
        <v>0.17677999999999999</v>
      </c>
      <c r="G729" s="178">
        <f t="shared" si="214"/>
        <v>61</v>
      </c>
      <c r="H729" s="178">
        <f t="shared" si="214"/>
        <v>61</v>
      </c>
      <c r="I729" s="2">
        <f>PARAM!$H$39</f>
        <v>0</v>
      </c>
      <c r="J729" s="11">
        <f>PARAM!$G$39</f>
        <v>0</v>
      </c>
      <c r="K729" s="11">
        <f>(VLOOKUP(H729,DEDN!$A$8:$O$902,$K$2)*I729+J729)/1000</f>
        <v>0</v>
      </c>
      <c r="L729" s="11">
        <f>MIN(IF(PARAM!$B$43=3,CHOOSE($L$2,F729,K729),F729+K729-F729*K729),1)</f>
        <v>0.17677999999999999</v>
      </c>
      <c r="M729" s="2">
        <f>PARAM!$I$38</f>
        <v>0</v>
      </c>
      <c r="N729" s="11">
        <f>VLOOKUP(B729,DEDN!$A$8:$O$90,$N$2)*M729</f>
        <v>0</v>
      </c>
      <c r="O729" s="12"/>
      <c r="P729" s="10">
        <f>PARAM!$C$53^-A729</f>
        <v>1</v>
      </c>
      <c r="Q729" s="10">
        <f t="shared" si="217"/>
        <v>0.13141443701132904</v>
      </c>
      <c r="R729" s="10">
        <f t="shared" si="216"/>
        <v>0.13141443701132904</v>
      </c>
      <c r="S729" s="10">
        <f>CHOOSE(PARAM!$B$51,R729,R729,R729,0)*(A729&lt;PARAM!$B$55)</f>
        <v>0</v>
      </c>
      <c r="T729" s="10">
        <f t="shared" si="211"/>
        <v>2.1131825792432002E-3</v>
      </c>
      <c r="U729" s="10">
        <f>T729*P729*(A729&lt;PARAM!$B$55)</f>
        <v>0</v>
      </c>
      <c r="W729">
        <v>726</v>
      </c>
      <c r="X729" s="178">
        <f t="shared" si="215"/>
        <v>92</v>
      </c>
      <c r="Y729" s="178">
        <f t="shared" si="215"/>
        <v>92</v>
      </c>
      <c r="Z729" s="178">
        <f t="shared" si="215"/>
        <v>61</v>
      </c>
      <c r="AA729" s="178">
        <f t="shared" si="215"/>
        <v>61</v>
      </c>
      <c r="AD729" s="17">
        <f>CALC!E753*(A729&lt;PARAM!$B$55)</f>
        <v>0</v>
      </c>
      <c r="AE729">
        <f>IF(A729&lt;ITER!$C$16,1,PARAM!$C$53^-(RATES!A729-ITER!$C$16))*(A729&lt;PARAM!$B$55)</f>
        <v>0</v>
      </c>
    </row>
    <row r="730" spans="1:31" x14ac:dyDescent="0.2">
      <c r="A730" s="9">
        <v>727</v>
      </c>
      <c r="B730" s="178">
        <f t="shared" si="213"/>
        <v>92</v>
      </c>
      <c r="C730" s="178">
        <f t="shared" si="213"/>
        <v>92</v>
      </c>
      <c r="D730" s="2">
        <f>PARAM!$H$38</f>
        <v>1</v>
      </c>
      <c r="E730" s="11">
        <f>PARAM!$G$38</f>
        <v>0</v>
      </c>
      <c r="F730" s="11">
        <f>(VLOOKUP(C730,DEDN!$A$8:$O$902,$F$2)*D730+E730)/1000</f>
        <v>0.17677999999999999</v>
      </c>
      <c r="G730" s="178">
        <f t="shared" si="214"/>
        <v>61</v>
      </c>
      <c r="H730" s="178">
        <f t="shared" si="214"/>
        <v>61</v>
      </c>
      <c r="I730" s="2">
        <f>PARAM!$H$39</f>
        <v>0</v>
      </c>
      <c r="J730" s="11">
        <f>PARAM!$G$39</f>
        <v>0</v>
      </c>
      <c r="K730" s="11">
        <f>(VLOOKUP(H730,DEDN!$A$8:$O$902,$K$2)*I730+J730)/1000</f>
        <v>0</v>
      </c>
      <c r="L730" s="11">
        <f>MIN(IF(PARAM!$B$43=3,CHOOSE($L$2,F730,K730),F730+K730-F730*K730),1)</f>
        <v>0.17677999999999999</v>
      </c>
      <c r="M730" s="2">
        <f>PARAM!$I$38</f>
        <v>0</v>
      </c>
      <c r="N730" s="11">
        <f>VLOOKUP(B730,DEDN!$A$8:$O$90,$N$2)*M730</f>
        <v>0</v>
      </c>
      <c r="O730" s="12"/>
      <c r="P730" s="10">
        <f>PARAM!$C$53^-A730</f>
        <v>1</v>
      </c>
      <c r="Q730" s="10">
        <f t="shared" si="217"/>
        <v>0.12930125443208584</v>
      </c>
      <c r="R730" s="10">
        <f t="shared" si="216"/>
        <v>0.12930125443208584</v>
      </c>
      <c r="S730" s="10">
        <f>CHOOSE(PARAM!$B$51,R730,0,0,0)*(A730&lt;PARAM!$B$55)</f>
        <v>0</v>
      </c>
      <c r="T730" s="10">
        <f t="shared" si="211"/>
        <v>2.0792019853695387E-3</v>
      </c>
      <c r="U730" s="10">
        <f>T730*P730*(A730&lt;PARAM!$B$55)</f>
        <v>0</v>
      </c>
      <c r="W730">
        <v>727</v>
      </c>
      <c r="X730" s="178">
        <f t="shared" si="215"/>
        <v>92</v>
      </c>
      <c r="Y730" s="178">
        <f t="shared" si="215"/>
        <v>92</v>
      </c>
      <c r="Z730" s="178">
        <f t="shared" si="215"/>
        <v>61</v>
      </c>
      <c r="AA730" s="178">
        <f t="shared" si="215"/>
        <v>61</v>
      </c>
      <c r="AD730" s="17">
        <f>CALC!E754*(A730&lt;PARAM!$B$55)</f>
        <v>0</v>
      </c>
      <c r="AE730">
        <f>IF(A730&lt;ITER!$C$16,1,PARAM!$C$53^-(RATES!A730-ITER!$C$16))*(A730&lt;PARAM!$B$55)</f>
        <v>0</v>
      </c>
    </row>
    <row r="731" spans="1:31" x14ac:dyDescent="0.2">
      <c r="A731" s="9">
        <v>728</v>
      </c>
      <c r="B731" s="178">
        <f t="shared" si="213"/>
        <v>92</v>
      </c>
      <c r="C731" s="178">
        <f t="shared" si="213"/>
        <v>92</v>
      </c>
      <c r="D731" s="2">
        <f>PARAM!$H$38</f>
        <v>1</v>
      </c>
      <c r="E731" s="11">
        <f>PARAM!$G$38</f>
        <v>0</v>
      </c>
      <c r="F731" s="11">
        <f>(VLOOKUP(C731,DEDN!$A$8:$O$902,$F$2)*D731+E731)/1000</f>
        <v>0.17677999999999999</v>
      </c>
      <c r="G731" s="178">
        <f t="shared" si="214"/>
        <v>61</v>
      </c>
      <c r="H731" s="178">
        <f t="shared" si="214"/>
        <v>61</v>
      </c>
      <c r="I731" s="2">
        <f>PARAM!$H$39</f>
        <v>0</v>
      </c>
      <c r="J731" s="11">
        <f>PARAM!$G$39</f>
        <v>0</v>
      </c>
      <c r="K731" s="11">
        <f>(VLOOKUP(H731,DEDN!$A$8:$O$902,$K$2)*I731+J731)/1000</f>
        <v>0</v>
      </c>
      <c r="L731" s="11">
        <f>MIN(IF(PARAM!$B$43=3,CHOOSE($L$2,F731,K731),F731+K731-F731*K731),1)</f>
        <v>0.17677999999999999</v>
      </c>
      <c r="M731" s="2">
        <f>PARAM!$I$38</f>
        <v>0</v>
      </c>
      <c r="N731" s="11">
        <f>VLOOKUP(B731,DEDN!$A$8:$O$90,$N$2)*M731</f>
        <v>0</v>
      </c>
      <c r="O731" s="12"/>
      <c r="P731" s="10">
        <f>PARAM!$C$53^-A731</f>
        <v>1</v>
      </c>
      <c r="Q731" s="10">
        <f t="shared" si="217"/>
        <v>0.1272220524467163</v>
      </c>
      <c r="R731" s="10">
        <f t="shared" si="216"/>
        <v>0.1272220524467163</v>
      </c>
      <c r="S731" s="10">
        <f>CHOOSE(PARAM!$B$51,R731,0,0,0)*(A731&lt;PARAM!$B$55)</f>
        <v>0</v>
      </c>
      <c r="T731" s="10">
        <f t="shared" si="211"/>
        <v>2.0457678093829812E-3</v>
      </c>
      <c r="U731" s="10">
        <f>T731*P731*(A731&lt;PARAM!$B$55)</f>
        <v>0</v>
      </c>
      <c r="W731">
        <v>728</v>
      </c>
      <c r="X731" s="178">
        <f t="shared" si="215"/>
        <v>92</v>
      </c>
      <c r="Y731" s="178">
        <f t="shared" si="215"/>
        <v>92</v>
      </c>
      <c r="Z731" s="178">
        <f t="shared" si="215"/>
        <v>61</v>
      </c>
      <c r="AA731" s="178">
        <f t="shared" si="215"/>
        <v>61</v>
      </c>
      <c r="AD731" s="17">
        <f>CALC!E755*(A731&lt;PARAM!$B$55)</f>
        <v>0</v>
      </c>
      <c r="AE731">
        <f>IF(A731&lt;ITER!$C$16,1,PARAM!$C$53^-(RATES!A731-ITER!$C$16))*(A731&lt;PARAM!$B$55)</f>
        <v>0</v>
      </c>
    </row>
    <row r="732" spans="1:31" x14ac:dyDescent="0.2">
      <c r="A732" s="9">
        <v>729</v>
      </c>
      <c r="B732" s="178">
        <f t="shared" si="213"/>
        <v>92</v>
      </c>
      <c r="C732" s="178">
        <f t="shared" si="213"/>
        <v>92</v>
      </c>
      <c r="D732" s="2">
        <f>PARAM!$H$38</f>
        <v>1</v>
      </c>
      <c r="E732" s="11">
        <f>PARAM!$G$38</f>
        <v>0</v>
      </c>
      <c r="F732" s="11">
        <f>(VLOOKUP(C732,DEDN!$A$8:$O$902,$F$2)*D732+E732)/1000</f>
        <v>0.17677999999999999</v>
      </c>
      <c r="G732" s="178">
        <f t="shared" si="214"/>
        <v>61</v>
      </c>
      <c r="H732" s="178">
        <f t="shared" si="214"/>
        <v>61</v>
      </c>
      <c r="I732" s="2">
        <f>PARAM!$H$39</f>
        <v>0</v>
      </c>
      <c r="J732" s="11">
        <f>PARAM!$G$39</f>
        <v>0</v>
      </c>
      <c r="K732" s="11">
        <f>(VLOOKUP(H732,DEDN!$A$8:$O$902,$K$2)*I732+J732)/1000</f>
        <v>0</v>
      </c>
      <c r="L732" s="11">
        <f>MIN(IF(PARAM!$B$43=3,CHOOSE($L$2,F732,K732),F732+K732-F732*K732),1)</f>
        <v>0.17677999999999999</v>
      </c>
      <c r="M732" s="2">
        <f>PARAM!$I$38</f>
        <v>0</v>
      </c>
      <c r="N732" s="11">
        <f>VLOOKUP(B732,DEDN!$A$8:$O$90,$N$2)*M732</f>
        <v>0</v>
      </c>
      <c r="O732" s="12"/>
      <c r="P732" s="10">
        <f>PARAM!$C$53^-A732</f>
        <v>1</v>
      </c>
      <c r="Q732" s="10">
        <f t="shared" si="217"/>
        <v>0.12517628463733332</v>
      </c>
      <c r="R732" s="10">
        <f t="shared" si="216"/>
        <v>0.12517628463733332</v>
      </c>
      <c r="S732" s="10">
        <f>CHOOSE(PARAM!$B$51,R732,R732,0,0)*(A732&lt;PARAM!$B$55)</f>
        <v>0</v>
      </c>
      <c r="T732" s="10">
        <f t="shared" si="211"/>
        <v>2.0128712647241032E-3</v>
      </c>
      <c r="U732" s="10">
        <f>T732*P732*(A732&lt;PARAM!$B$55)</f>
        <v>0</v>
      </c>
      <c r="W732">
        <v>729</v>
      </c>
      <c r="X732" s="178">
        <f t="shared" si="215"/>
        <v>92</v>
      </c>
      <c r="Y732" s="178">
        <f t="shared" si="215"/>
        <v>92</v>
      </c>
      <c r="Z732" s="178">
        <f t="shared" si="215"/>
        <v>61</v>
      </c>
      <c r="AA732" s="178">
        <f t="shared" si="215"/>
        <v>61</v>
      </c>
      <c r="AD732" s="17">
        <f>CALC!E756*(A732&lt;PARAM!$B$55)</f>
        <v>0</v>
      </c>
      <c r="AE732">
        <f>IF(A732&lt;ITER!$C$16,1,PARAM!$C$53^-(RATES!A732-ITER!$C$16))*(A732&lt;PARAM!$B$55)</f>
        <v>0</v>
      </c>
    </row>
    <row r="733" spans="1:31" x14ac:dyDescent="0.2">
      <c r="A733" s="9">
        <v>730</v>
      </c>
      <c r="B733" s="178">
        <f t="shared" si="213"/>
        <v>92</v>
      </c>
      <c r="C733" s="178">
        <f t="shared" si="213"/>
        <v>92</v>
      </c>
      <c r="D733" s="2">
        <f>PARAM!$H$38</f>
        <v>1</v>
      </c>
      <c r="E733" s="11">
        <f>PARAM!$G$38</f>
        <v>0</v>
      </c>
      <c r="F733" s="11">
        <f>(VLOOKUP(C733,DEDN!$A$8:$O$902,$F$2)*D733+E733)/1000</f>
        <v>0.17677999999999999</v>
      </c>
      <c r="G733" s="178">
        <f t="shared" si="214"/>
        <v>61</v>
      </c>
      <c r="H733" s="178">
        <f t="shared" si="214"/>
        <v>61</v>
      </c>
      <c r="I733" s="2">
        <f>PARAM!$H$39</f>
        <v>0</v>
      </c>
      <c r="J733" s="11">
        <f>PARAM!$G$39</f>
        <v>0</v>
      </c>
      <c r="K733" s="11">
        <f>(VLOOKUP(H733,DEDN!$A$8:$O$902,$K$2)*I733+J733)/1000</f>
        <v>0</v>
      </c>
      <c r="L733" s="11">
        <f>MIN(IF(PARAM!$B$43=3,CHOOSE($L$2,F733,K733),F733+K733-F733*K733),1)</f>
        <v>0.17677999999999999</v>
      </c>
      <c r="M733" s="2">
        <f>PARAM!$I$38</f>
        <v>0</v>
      </c>
      <c r="N733" s="11">
        <f>VLOOKUP(B733,DEDN!$A$8:$O$90,$N$2)*M733</f>
        <v>0</v>
      </c>
      <c r="O733" s="12"/>
      <c r="P733" s="10">
        <f>PARAM!$C$53^-A733</f>
        <v>1</v>
      </c>
      <c r="Q733" s="10">
        <f t="shared" si="217"/>
        <v>0.12316341337260922</v>
      </c>
      <c r="R733" s="10">
        <f t="shared" si="216"/>
        <v>0.12316341337260922</v>
      </c>
      <c r="S733" s="10">
        <f>CHOOSE(PARAM!$B$51,R733,0,0,0)*(A733&lt;PARAM!$B$55)</f>
        <v>0</v>
      </c>
      <c r="T733" s="10">
        <f t="shared" si="211"/>
        <v>1.9805037061239178E-3</v>
      </c>
      <c r="U733" s="10">
        <f>T733*P733*(A733&lt;PARAM!$B$55)</f>
        <v>0</v>
      </c>
      <c r="W733">
        <v>730</v>
      </c>
      <c r="X733" s="178">
        <f t="shared" si="215"/>
        <v>92</v>
      </c>
      <c r="Y733" s="178">
        <f t="shared" si="215"/>
        <v>92</v>
      </c>
      <c r="Z733" s="178">
        <f t="shared" si="215"/>
        <v>61</v>
      </c>
      <c r="AA733" s="178">
        <f t="shared" si="215"/>
        <v>61</v>
      </c>
      <c r="AD733" s="17">
        <f>CALC!E757*(A733&lt;PARAM!$B$55)</f>
        <v>0</v>
      </c>
      <c r="AE733">
        <f>IF(A733&lt;ITER!$C$16,1,PARAM!$C$53^-(RATES!A733-ITER!$C$16))*(A733&lt;PARAM!$B$55)</f>
        <v>0</v>
      </c>
    </row>
    <row r="734" spans="1:31" x14ac:dyDescent="0.2">
      <c r="A734" s="9">
        <v>731</v>
      </c>
      <c r="B734" s="178">
        <f t="shared" si="213"/>
        <v>92</v>
      </c>
      <c r="C734" s="178">
        <f t="shared" si="213"/>
        <v>92</v>
      </c>
      <c r="D734" s="2">
        <f>PARAM!$H$38</f>
        <v>1</v>
      </c>
      <c r="E734" s="11">
        <f>PARAM!$G$38</f>
        <v>0</v>
      </c>
      <c r="F734" s="11">
        <f>(VLOOKUP(C734,DEDN!$A$8:$O$902,$F$2)*D734+E734)/1000</f>
        <v>0.17677999999999999</v>
      </c>
      <c r="G734" s="178">
        <f t="shared" si="214"/>
        <v>61</v>
      </c>
      <c r="H734" s="178">
        <f t="shared" si="214"/>
        <v>61</v>
      </c>
      <c r="I734" s="2">
        <f>PARAM!$H$39</f>
        <v>0</v>
      </c>
      <c r="J734" s="11">
        <f>PARAM!$G$39</f>
        <v>0</v>
      </c>
      <c r="K734" s="11">
        <f>(VLOOKUP(H734,DEDN!$A$8:$O$902,$K$2)*I734+J734)/1000</f>
        <v>0</v>
      </c>
      <c r="L734" s="11">
        <f>MIN(IF(PARAM!$B$43=3,CHOOSE($L$2,F734,K734),F734+K734-F734*K734),1)</f>
        <v>0.17677999999999999</v>
      </c>
      <c r="M734" s="2">
        <f>PARAM!$I$38</f>
        <v>0</v>
      </c>
      <c r="N734" s="11">
        <f>VLOOKUP(B734,DEDN!$A$8:$O$90,$N$2)*M734</f>
        <v>0</v>
      </c>
      <c r="O734" s="12"/>
      <c r="P734" s="10">
        <f>PARAM!$C$53^-A734</f>
        <v>1</v>
      </c>
      <c r="Q734" s="10">
        <f t="shared" si="217"/>
        <v>0.1211829096664853</v>
      </c>
      <c r="R734" s="10">
        <f t="shared" si="216"/>
        <v>0.1211829096664853</v>
      </c>
      <c r="S734" s="10">
        <f>CHOOSE(PARAM!$B$51,R734,0,0,0)*(A734&lt;PARAM!$B$55)</f>
        <v>0</v>
      </c>
      <c r="T734" s="10">
        <f t="shared" si="211"/>
        <v>1.9486566273319156E-3</v>
      </c>
      <c r="U734" s="10">
        <f>T734*P734*(A734&lt;PARAM!$B$55)</f>
        <v>0</v>
      </c>
      <c r="W734">
        <v>731</v>
      </c>
      <c r="X734" s="178">
        <f t="shared" si="215"/>
        <v>92</v>
      </c>
      <c r="Y734" s="178">
        <f t="shared" si="215"/>
        <v>92</v>
      </c>
      <c r="Z734" s="178">
        <f t="shared" si="215"/>
        <v>61</v>
      </c>
      <c r="AA734" s="178">
        <f t="shared" si="215"/>
        <v>61</v>
      </c>
      <c r="AD734" s="17">
        <f>CALC!E758*(A734&lt;PARAM!$B$55)</f>
        <v>0</v>
      </c>
      <c r="AE734">
        <f>IF(A734&lt;ITER!$C$16,1,PARAM!$C$53^-(RATES!A734-ITER!$C$16))*(A734&lt;PARAM!$B$55)</f>
        <v>0</v>
      </c>
    </row>
    <row r="735" spans="1:31" x14ac:dyDescent="0.2">
      <c r="A735" s="9">
        <v>732</v>
      </c>
      <c r="B735" s="178">
        <f t="shared" si="213"/>
        <v>92</v>
      </c>
      <c r="C735" s="178">
        <f t="shared" si="213"/>
        <v>92</v>
      </c>
      <c r="D735" s="2">
        <f>PARAM!$H$38</f>
        <v>1</v>
      </c>
      <c r="E735" s="11">
        <f>PARAM!$G$38</f>
        <v>0</v>
      </c>
      <c r="F735" s="11">
        <f>(VLOOKUP(C735,DEDN!$A$8:$O$902,$F$2)*D735+E735)/1000</f>
        <v>0.17677999999999999</v>
      </c>
      <c r="G735" s="178">
        <f t="shared" si="214"/>
        <v>61</v>
      </c>
      <c r="H735" s="178">
        <f t="shared" si="214"/>
        <v>61</v>
      </c>
      <c r="I735" s="2">
        <f>PARAM!$H$39</f>
        <v>0</v>
      </c>
      <c r="J735" s="11">
        <f>PARAM!$G$39</f>
        <v>0</v>
      </c>
      <c r="K735" s="11">
        <f>(VLOOKUP(H735,DEDN!$A$8:$O$902,$K$2)*I735+J735)/1000</f>
        <v>0</v>
      </c>
      <c r="L735" s="11">
        <f>MIN(IF(PARAM!$B$43=3,CHOOSE($L$2,F735,K735),F735+K735-F735*K735),1)</f>
        <v>0.17677999999999999</v>
      </c>
      <c r="M735" s="2">
        <f>PARAM!$I$38</f>
        <v>0</v>
      </c>
      <c r="N735" s="11">
        <f>VLOOKUP(B735,DEDN!$A$8:$O$90,$N$2)*M735</f>
        <v>0</v>
      </c>
      <c r="O735" s="12"/>
      <c r="P735" s="10">
        <f>PARAM!$C$53^-A735</f>
        <v>1</v>
      </c>
      <c r="Q735" s="10">
        <f t="shared" si="217"/>
        <v>0.11923425303915339</v>
      </c>
      <c r="R735" s="10">
        <f t="shared" si="216"/>
        <v>0.11923425303915339</v>
      </c>
      <c r="S735" s="10">
        <f>R735*(A735&lt;PARAM!$B$55)</f>
        <v>0</v>
      </c>
      <c r="T735" s="10">
        <f t="shared" si="211"/>
        <v>1.917321658880547E-3</v>
      </c>
      <c r="U735" s="10">
        <f>T735*P735*(A735&lt;PARAM!$B$55)</f>
        <v>0</v>
      </c>
      <c r="W735">
        <v>732</v>
      </c>
      <c r="X735" s="178">
        <f t="shared" si="215"/>
        <v>92</v>
      </c>
      <c r="Y735" s="178">
        <f t="shared" si="215"/>
        <v>92</v>
      </c>
      <c r="Z735" s="178">
        <f t="shared" si="215"/>
        <v>61</v>
      </c>
      <c r="AA735" s="178">
        <f t="shared" si="215"/>
        <v>61</v>
      </c>
      <c r="AD735" s="17">
        <f>CALC!E759*(A735&lt;PARAM!$B$55)</f>
        <v>0</v>
      </c>
      <c r="AE735">
        <f>IF(A735&lt;ITER!$C$16,1,PARAM!$C$53^-(RATES!A735-ITER!$C$16))*(A735&lt;PARAM!$B$55)</f>
        <v>0</v>
      </c>
    </row>
    <row r="736" spans="1:31" x14ac:dyDescent="0.2">
      <c r="A736" s="9">
        <v>733</v>
      </c>
      <c r="B736" s="178">
        <f t="shared" si="213"/>
        <v>92</v>
      </c>
      <c r="C736" s="178">
        <f t="shared" si="213"/>
        <v>92</v>
      </c>
      <c r="D736" s="2">
        <f>PARAM!$H$38</f>
        <v>1</v>
      </c>
      <c r="E736" s="11">
        <f>PARAM!$G$38</f>
        <v>0</v>
      </c>
      <c r="F736" s="11">
        <f>(VLOOKUP(C736,DEDN!$A$8:$O$902,$F$2)*D736+E736)/1000</f>
        <v>0.17677999999999999</v>
      </c>
      <c r="G736" s="178">
        <f t="shared" si="214"/>
        <v>61</v>
      </c>
      <c r="H736" s="178">
        <f t="shared" si="214"/>
        <v>61</v>
      </c>
      <c r="I736" s="2">
        <f>PARAM!$H$39</f>
        <v>0</v>
      </c>
      <c r="J736" s="11">
        <f>PARAM!$G$39</f>
        <v>0</v>
      </c>
      <c r="K736" s="11">
        <f>(VLOOKUP(H736,DEDN!$A$8:$O$902,$K$2)*I736+J736)/1000</f>
        <v>0</v>
      </c>
      <c r="L736" s="11">
        <f>MIN(IF(PARAM!$B$43=3,CHOOSE($L$2,F736,K736),F736+K736-F736*K736),1)</f>
        <v>0.17677999999999999</v>
      </c>
      <c r="M736" s="2">
        <f>PARAM!$I$38</f>
        <v>0</v>
      </c>
      <c r="N736" s="11">
        <f>VLOOKUP(B736,DEDN!$A$8:$O$90,$N$2)*M736</f>
        <v>0</v>
      </c>
      <c r="O736" s="12"/>
      <c r="P736" s="10">
        <f>PARAM!$C$53^-A736</f>
        <v>1</v>
      </c>
      <c r="Q736" s="10">
        <f t="shared" si="217"/>
        <v>0.11731693138027284</v>
      </c>
      <c r="R736" s="10">
        <f t="shared" si="216"/>
        <v>0.11731693138027284</v>
      </c>
      <c r="S736" s="10">
        <f>CHOOSE(PARAM!$B$51,R736,0,0,0)*(A736&lt;PARAM!$B$55)</f>
        <v>0</v>
      </c>
      <c r="T736" s="10">
        <f t="shared" si="211"/>
        <v>1.8864905658857734E-3</v>
      </c>
      <c r="U736" s="10">
        <f>T736*P736*(A736&lt;PARAM!$B$55)</f>
        <v>0</v>
      </c>
      <c r="W736">
        <v>733</v>
      </c>
      <c r="X736" s="178">
        <f t="shared" si="215"/>
        <v>92</v>
      </c>
      <c r="Y736" s="178">
        <f t="shared" si="215"/>
        <v>92</v>
      </c>
      <c r="Z736" s="178">
        <f t="shared" si="215"/>
        <v>61</v>
      </c>
      <c r="AA736" s="178">
        <f t="shared" si="215"/>
        <v>61</v>
      </c>
      <c r="AD736" s="17">
        <f>CALC!E760*(A736&lt;PARAM!$B$55)</f>
        <v>0</v>
      </c>
      <c r="AE736">
        <f>IF(A736&lt;ITER!$C$16,1,PARAM!$C$53^-(RATES!A736-ITER!$C$16))*(A736&lt;PARAM!$B$55)</f>
        <v>0</v>
      </c>
    </row>
    <row r="737" spans="1:31" x14ac:dyDescent="0.2">
      <c r="A737" s="9">
        <v>734</v>
      </c>
      <c r="B737" s="178">
        <f t="shared" si="213"/>
        <v>92</v>
      </c>
      <c r="C737" s="178">
        <f t="shared" si="213"/>
        <v>92</v>
      </c>
      <c r="D737" s="2">
        <f>PARAM!$H$38</f>
        <v>1</v>
      </c>
      <c r="E737" s="11">
        <f>PARAM!$G$38</f>
        <v>0</v>
      </c>
      <c r="F737" s="11">
        <f>(VLOOKUP(C737,DEDN!$A$8:$O$902,$F$2)*D737+E737)/1000</f>
        <v>0.17677999999999999</v>
      </c>
      <c r="G737" s="178">
        <f t="shared" si="214"/>
        <v>61</v>
      </c>
      <c r="H737" s="178">
        <f t="shared" si="214"/>
        <v>61</v>
      </c>
      <c r="I737" s="2">
        <f>PARAM!$H$39</f>
        <v>0</v>
      </c>
      <c r="J737" s="11">
        <f>PARAM!$G$39</f>
        <v>0</v>
      </c>
      <c r="K737" s="11">
        <f>(VLOOKUP(H737,DEDN!$A$8:$O$902,$K$2)*I737+J737)/1000</f>
        <v>0</v>
      </c>
      <c r="L737" s="11">
        <f>MIN(IF(PARAM!$B$43=3,CHOOSE($L$2,F737,K737),F737+K737-F737*K737),1)</f>
        <v>0.17677999999999999</v>
      </c>
      <c r="M737" s="2">
        <f>PARAM!$I$38</f>
        <v>0</v>
      </c>
      <c r="N737" s="11">
        <f>VLOOKUP(B737,DEDN!$A$8:$O$90,$N$2)*M737</f>
        <v>0</v>
      </c>
      <c r="O737" s="12"/>
      <c r="P737" s="10">
        <f>PARAM!$C$53^-A737</f>
        <v>1</v>
      </c>
      <c r="Q737" s="10">
        <f t="shared" si="217"/>
        <v>0.11543044081438707</v>
      </c>
      <c r="R737" s="10">
        <f t="shared" si="216"/>
        <v>0.11543044081438707</v>
      </c>
      <c r="S737" s="10">
        <f>CHOOSE(PARAM!$B$51,R737,0,0,0)*(A737&lt;PARAM!$B$55)</f>
        <v>0</v>
      </c>
      <c r="T737" s="10">
        <f t="shared" si="211"/>
        <v>1.8561552458828956E-3</v>
      </c>
      <c r="U737" s="10">
        <f>T737*P737*(A737&lt;PARAM!$B$55)</f>
        <v>0</v>
      </c>
      <c r="W737">
        <v>734</v>
      </c>
      <c r="X737" s="178">
        <f t="shared" si="215"/>
        <v>92</v>
      </c>
      <c r="Y737" s="178">
        <f t="shared" si="215"/>
        <v>92</v>
      </c>
      <c r="Z737" s="178">
        <f t="shared" si="215"/>
        <v>61</v>
      </c>
      <c r="AA737" s="178">
        <f t="shared" si="215"/>
        <v>61</v>
      </c>
      <c r="AD737" s="17">
        <f>CALC!E761*(A737&lt;PARAM!$B$55)</f>
        <v>0</v>
      </c>
      <c r="AE737">
        <f>IF(A737&lt;ITER!$C$16,1,PARAM!$C$53^-(RATES!A737-ITER!$C$16))*(A737&lt;PARAM!$B$55)</f>
        <v>0</v>
      </c>
    </row>
    <row r="738" spans="1:31" x14ac:dyDescent="0.2">
      <c r="A738" s="9">
        <v>735</v>
      </c>
      <c r="B738" s="178">
        <f t="shared" si="213"/>
        <v>92</v>
      </c>
      <c r="C738" s="178">
        <f t="shared" si="213"/>
        <v>92</v>
      </c>
      <c r="D738" s="2">
        <f>PARAM!$H$38</f>
        <v>1</v>
      </c>
      <c r="E738" s="11">
        <f>PARAM!$G$38</f>
        <v>0</v>
      </c>
      <c r="F738" s="11">
        <f>(VLOOKUP(C738,DEDN!$A$8:$O$902,$F$2)*D738+E738)/1000</f>
        <v>0.17677999999999999</v>
      </c>
      <c r="G738" s="178">
        <f t="shared" si="214"/>
        <v>61</v>
      </c>
      <c r="H738" s="178">
        <f t="shared" si="214"/>
        <v>61</v>
      </c>
      <c r="I738" s="2">
        <f>PARAM!$H$39</f>
        <v>0</v>
      </c>
      <c r="J738" s="11">
        <f>PARAM!$G$39</f>
        <v>0</v>
      </c>
      <c r="K738" s="11">
        <f>(VLOOKUP(H738,DEDN!$A$8:$O$902,$K$2)*I738+J738)/1000</f>
        <v>0</v>
      </c>
      <c r="L738" s="11">
        <f>MIN(IF(PARAM!$B$43=3,CHOOSE($L$2,F738,K738),F738+K738-F738*K738),1)</f>
        <v>0.17677999999999999</v>
      </c>
      <c r="M738" s="2">
        <f>PARAM!$I$38</f>
        <v>0</v>
      </c>
      <c r="N738" s="11">
        <f>VLOOKUP(B738,DEDN!$A$8:$O$90,$N$2)*M738</f>
        <v>0</v>
      </c>
      <c r="O738" s="12"/>
      <c r="P738" s="10">
        <f>PARAM!$C$53^-A738</f>
        <v>1</v>
      </c>
      <c r="Q738" s="10">
        <f t="shared" si="217"/>
        <v>0.11357428556850417</v>
      </c>
      <c r="R738" s="10">
        <f t="shared" si="216"/>
        <v>0.11357428556850417</v>
      </c>
      <c r="S738" s="10">
        <f>CHOOSE(PARAM!$B$51,R738,R738,0,0)*(A738&lt;PARAM!$B$55)</f>
        <v>0</v>
      </c>
      <c r="T738" s="10">
        <f t="shared" si="211"/>
        <v>1.8263077266972155E-3</v>
      </c>
      <c r="U738" s="10">
        <f>T738*P738*(A738&lt;PARAM!$B$55)</f>
        <v>0</v>
      </c>
      <c r="W738">
        <v>735</v>
      </c>
      <c r="X738" s="178">
        <f t="shared" si="215"/>
        <v>92</v>
      </c>
      <c r="Y738" s="178">
        <f t="shared" si="215"/>
        <v>92</v>
      </c>
      <c r="Z738" s="178">
        <f t="shared" si="215"/>
        <v>61</v>
      </c>
      <c r="AA738" s="178">
        <f t="shared" si="215"/>
        <v>61</v>
      </c>
      <c r="AD738" s="17">
        <f>CALC!E762*(A738&lt;PARAM!$B$55)</f>
        <v>0</v>
      </c>
      <c r="AE738">
        <f>IF(A738&lt;ITER!$C$16,1,PARAM!$C$53^-(RATES!A738-ITER!$C$16))*(A738&lt;PARAM!$B$55)</f>
        <v>0</v>
      </c>
    </row>
    <row r="739" spans="1:31" x14ac:dyDescent="0.2">
      <c r="A739" s="9">
        <v>736</v>
      </c>
      <c r="B739" s="178">
        <f t="shared" si="213"/>
        <v>92</v>
      </c>
      <c r="C739" s="178">
        <f t="shared" si="213"/>
        <v>92</v>
      </c>
      <c r="D739" s="2">
        <f>PARAM!$H$38</f>
        <v>1</v>
      </c>
      <c r="E739" s="11">
        <f>PARAM!$G$38</f>
        <v>0</v>
      </c>
      <c r="F739" s="11">
        <f>(VLOOKUP(C739,DEDN!$A$8:$O$902,$F$2)*D739+E739)/1000</f>
        <v>0.17677999999999999</v>
      </c>
      <c r="G739" s="178">
        <f t="shared" si="214"/>
        <v>61</v>
      </c>
      <c r="H739" s="178">
        <f t="shared" si="214"/>
        <v>61</v>
      </c>
      <c r="I739" s="2">
        <f>PARAM!$H$39</f>
        <v>0</v>
      </c>
      <c r="J739" s="11">
        <f>PARAM!$G$39</f>
        <v>0</v>
      </c>
      <c r="K739" s="11">
        <f>(VLOOKUP(H739,DEDN!$A$8:$O$902,$K$2)*I739+J739)/1000</f>
        <v>0</v>
      </c>
      <c r="L739" s="11">
        <f>MIN(IF(PARAM!$B$43=3,CHOOSE($L$2,F739,K739),F739+K739-F739*K739),1)</f>
        <v>0.17677999999999999</v>
      </c>
      <c r="M739" s="2">
        <f>PARAM!$I$38</f>
        <v>0</v>
      </c>
      <c r="N739" s="11">
        <f>VLOOKUP(B739,DEDN!$A$8:$O$90,$N$2)*M739</f>
        <v>0</v>
      </c>
      <c r="O739" s="12"/>
      <c r="P739" s="10">
        <f>PARAM!$C$53^-A739</f>
        <v>1</v>
      </c>
      <c r="Q739" s="10">
        <f t="shared" si="217"/>
        <v>0.11174797784180696</v>
      </c>
      <c r="R739" s="10">
        <f t="shared" si="216"/>
        <v>0.11174797784180696</v>
      </c>
      <c r="S739" s="10">
        <f>CHOOSE(PARAM!$B$51,R739,0,0,0)*(A739&lt;PARAM!$B$55)</f>
        <v>0</v>
      </c>
      <c r="T739" s="10">
        <f t="shared" si="211"/>
        <v>1.7969401643489341E-3</v>
      </c>
      <c r="U739" s="10">
        <f>T739*P739*(A739&lt;PARAM!$B$55)</f>
        <v>0</v>
      </c>
      <c r="W739">
        <v>736</v>
      </c>
      <c r="X739" s="178">
        <f t="shared" si="215"/>
        <v>92</v>
      </c>
      <c r="Y739" s="178">
        <f t="shared" si="215"/>
        <v>92</v>
      </c>
      <c r="Z739" s="178">
        <f t="shared" si="215"/>
        <v>61</v>
      </c>
      <c r="AA739" s="178">
        <f t="shared" si="215"/>
        <v>61</v>
      </c>
      <c r="AD739" s="17">
        <f>CALC!E763*(A739&lt;PARAM!$B$55)</f>
        <v>0</v>
      </c>
      <c r="AE739">
        <f>IF(A739&lt;ITER!$C$16,1,PARAM!$C$53^-(RATES!A739-ITER!$C$16))*(A739&lt;PARAM!$B$55)</f>
        <v>0</v>
      </c>
    </row>
    <row r="740" spans="1:31" x14ac:dyDescent="0.2">
      <c r="A740" s="9">
        <v>737</v>
      </c>
      <c r="B740" s="178">
        <f t="shared" si="213"/>
        <v>92</v>
      </c>
      <c r="C740" s="178">
        <f t="shared" si="213"/>
        <v>92</v>
      </c>
      <c r="D740" s="2">
        <f>PARAM!$H$38</f>
        <v>1</v>
      </c>
      <c r="E740" s="11">
        <f>PARAM!$G$38</f>
        <v>0</v>
      </c>
      <c r="F740" s="11">
        <f>(VLOOKUP(C740,DEDN!$A$8:$O$902,$F$2)*D740+E740)/1000</f>
        <v>0.17677999999999999</v>
      </c>
      <c r="G740" s="178">
        <f t="shared" si="214"/>
        <v>61</v>
      </c>
      <c r="H740" s="178">
        <f t="shared" si="214"/>
        <v>61</v>
      </c>
      <c r="I740" s="2">
        <f>PARAM!$H$39</f>
        <v>0</v>
      </c>
      <c r="J740" s="11">
        <f>PARAM!$G$39</f>
        <v>0</v>
      </c>
      <c r="K740" s="11">
        <f>(VLOOKUP(H740,DEDN!$A$8:$O$902,$K$2)*I740+J740)/1000</f>
        <v>0</v>
      </c>
      <c r="L740" s="11">
        <f>MIN(IF(PARAM!$B$43=3,CHOOSE($L$2,F740,K740),F740+K740-F740*K740),1)</f>
        <v>0.17677999999999999</v>
      </c>
      <c r="M740" s="2">
        <f>PARAM!$I$38</f>
        <v>0</v>
      </c>
      <c r="N740" s="11">
        <f>VLOOKUP(B740,DEDN!$A$8:$O$90,$N$2)*M740</f>
        <v>0</v>
      </c>
      <c r="O740" s="12"/>
      <c r="P740" s="10">
        <f>PARAM!$C$53^-A740</f>
        <v>1</v>
      </c>
      <c r="Q740" s="10">
        <f t="shared" si="217"/>
        <v>0.10995103767745802</v>
      </c>
      <c r="R740" s="10">
        <f t="shared" ref="R740:R755" si="218">P740*Q740</f>
        <v>0.10995103767745802</v>
      </c>
      <c r="S740" s="10">
        <f>CHOOSE(PARAM!$B$51,R740,0,0,0)*(A740&lt;PARAM!$B$55)</f>
        <v>0</v>
      </c>
      <c r="T740" s="10">
        <f t="shared" si="211"/>
        <v>1.7680448409917587E-3</v>
      </c>
      <c r="U740" s="10">
        <f>T740*P740*(A740&lt;PARAM!$B$55)</f>
        <v>0</v>
      </c>
      <c r="W740">
        <v>737</v>
      </c>
      <c r="X740" s="178">
        <f t="shared" si="215"/>
        <v>92</v>
      </c>
      <c r="Y740" s="178">
        <f t="shared" si="215"/>
        <v>92</v>
      </c>
      <c r="Z740" s="178">
        <f t="shared" si="215"/>
        <v>61</v>
      </c>
      <c r="AA740" s="178">
        <f t="shared" si="215"/>
        <v>61</v>
      </c>
      <c r="AD740" s="17">
        <f>CALC!E764*(A740&lt;PARAM!$B$55)</f>
        <v>0</v>
      </c>
      <c r="AE740">
        <f>IF(A740&lt;ITER!$C$16,1,PARAM!$C$53^-(RATES!A740-ITER!$C$16))*(A740&lt;PARAM!$B$55)</f>
        <v>0</v>
      </c>
    </row>
    <row r="741" spans="1:31" x14ac:dyDescent="0.2">
      <c r="A741" s="9">
        <v>738</v>
      </c>
      <c r="B741" s="178">
        <f t="shared" ref="B741:C760" si="219">B729+1</f>
        <v>93</v>
      </c>
      <c r="C741" s="178">
        <f t="shared" si="219"/>
        <v>93</v>
      </c>
      <c r="D741" s="2">
        <f>PARAM!$H$38</f>
        <v>1</v>
      </c>
      <c r="E741" s="11">
        <f>PARAM!$G$38</f>
        <v>0</v>
      </c>
      <c r="F741" s="11">
        <f>(VLOOKUP(C741,DEDN!$A$8:$O$902,$F$2)*D741+E741)/1000</f>
        <v>0.19019</v>
      </c>
      <c r="G741" s="178">
        <f t="shared" ref="G741:H760" si="220">G729+1</f>
        <v>62</v>
      </c>
      <c r="H741" s="178">
        <f t="shared" si="220"/>
        <v>62</v>
      </c>
      <c r="I741" s="2">
        <f>PARAM!$H$39</f>
        <v>0</v>
      </c>
      <c r="J741" s="11">
        <f>PARAM!$G$39</f>
        <v>0</v>
      </c>
      <c r="K741" s="11">
        <f>(VLOOKUP(H741,DEDN!$A$8:$O$902,$K$2)*I741+J741)/1000</f>
        <v>0</v>
      </c>
      <c r="L741" s="11">
        <f>MIN(IF(PARAM!$B$43=3,CHOOSE($L$2,F741,K741),F741+K741-F741*K741),1)</f>
        <v>0.19019</v>
      </c>
      <c r="M741" s="2">
        <f>PARAM!$I$38</f>
        <v>0</v>
      </c>
      <c r="N741" s="11">
        <f>VLOOKUP(B741,DEDN!$A$8:$O$90,$N$2)*M741</f>
        <v>0</v>
      </c>
      <c r="O741" s="12"/>
      <c r="P741" s="10">
        <f>PARAM!$C$53^-A741</f>
        <v>1</v>
      </c>
      <c r="Q741" s="10">
        <f t="shared" ref="Q741:Q756" si="221">Q740*(1-L740)^(1/12)</f>
        <v>0.10818299283646626</v>
      </c>
      <c r="R741" s="10">
        <f t="shared" si="218"/>
        <v>0.10818299283646626</v>
      </c>
      <c r="S741" s="10">
        <f>CHOOSE(PARAM!$B$51,R741,R741,R741,0)*(A741&lt;PARAM!$B$55)</f>
        <v>0</v>
      </c>
      <c r="T741" s="10">
        <f t="shared" si="211"/>
        <v>1.8851984863321875E-3</v>
      </c>
      <c r="U741" s="10">
        <f>T741*P741*(A741&lt;PARAM!$B$55)</f>
        <v>0</v>
      </c>
      <c r="W741">
        <v>738</v>
      </c>
      <c r="X741" s="178">
        <f t="shared" ref="X741:AA760" si="222">X729+1</f>
        <v>93</v>
      </c>
      <c r="Y741" s="178">
        <f t="shared" si="222"/>
        <v>93</v>
      </c>
      <c r="Z741" s="178">
        <f t="shared" si="222"/>
        <v>62</v>
      </c>
      <c r="AA741" s="178">
        <f t="shared" si="222"/>
        <v>62</v>
      </c>
      <c r="AD741" s="17">
        <f>CALC!E765*(A741&lt;PARAM!$B$55)</f>
        <v>0</v>
      </c>
      <c r="AE741">
        <f>IF(A741&lt;ITER!$C$16,1,PARAM!$C$53^-(RATES!A741-ITER!$C$16))*(A741&lt;PARAM!$B$55)</f>
        <v>0</v>
      </c>
    </row>
    <row r="742" spans="1:31" x14ac:dyDescent="0.2">
      <c r="A742" s="9">
        <v>739</v>
      </c>
      <c r="B742" s="178">
        <f t="shared" si="219"/>
        <v>93</v>
      </c>
      <c r="C742" s="178">
        <f t="shared" si="219"/>
        <v>93</v>
      </c>
      <c r="D742" s="2">
        <f>PARAM!$H$38</f>
        <v>1</v>
      </c>
      <c r="E742" s="11">
        <f>PARAM!$G$38</f>
        <v>0</v>
      </c>
      <c r="F742" s="11">
        <f>(VLOOKUP(C742,DEDN!$A$8:$O$902,$F$2)*D742+E742)/1000</f>
        <v>0.19019</v>
      </c>
      <c r="G742" s="178">
        <f t="shared" si="220"/>
        <v>62</v>
      </c>
      <c r="H742" s="178">
        <f t="shared" si="220"/>
        <v>62</v>
      </c>
      <c r="I742" s="2">
        <f>PARAM!$H$39</f>
        <v>0</v>
      </c>
      <c r="J742" s="11">
        <f>PARAM!$G$39</f>
        <v>0</v>
      </c>
      <c r="K742" s="11">
        <f>(VLOOKUP(H742,DEDN!$A$8:$O$902,$K$2)*I742+J742)/1000</f>
        <v>0</v>
      </c>
      <c r="L742" s="11">
        <f>MIN(IF(PARAM!$B$43=3,CHOOSE($L$2,F742,K742),F742+K742-F742*K742),1)</f>
        <v>0.19019</v>
      </c>
      <c r="M742" s="2">
        <f>PARAM!$I$38</f>
        <v>0</v>
      </c>
      <c r="N742" s="11">
        <f>VLOOKUP(B742,DEDN!$A$8:$O$90,$N$2)*M742</f>
        <v>0</v>
      </c>
      <c r="O742" s="12"/>
      <c r="P742" s="10">
        <f>PARAM!$C$53^-A742</f>
        <v>1</v>
      </c>
      <c r="Q742" s="10">
        <f t="shared" si="221"/>
        <v>0.10629779435013408</v>
      </c>
      <c r="R742" s="10">
        <f t="shared" si="218"/>
        <v>0.10629779435013408</v>
      </c>
      <c r="S742" s="10">
        <f>CHOOSE(PARAM!$B$51,R742,0,0,0)*(A742&lt;PARAM!$B$55)</f>
        <v>0</v>
      </c>
      <c r="T742" s="10">
        <f t="shared" si="211"/>
        <v>1.8523469887013061E-3</v>
      </c>
      <c r="U742" s="10">
        <f>T742*P742*(A742&lt;PARAM!$B$55)</f>
        <v>0</v>
      </c>
      <c r="W742">
        <v>739</v>
      </c>
      <c r="X742" s="178">
        <f t="shared" si="222"/>
        <v>93</v>
      </c>
      <c r="Y742" s="178">
        <f t="shared" si="222"/>
        <v>93</v>
      </c>
      <c r="Z742" s="178">
        <f t="shared" si="222"/>
        <v>62</v>
      </c>
      <c r="AA742" s="178">
        <f t="shared" si="222"/>
        <v>62</v>
      </c>
      <c r="AD742" s="17">
        <f>CALC!E766*(A742&lt;PARAM!$B$55)</f>
        <v>0</v>
      </c>
      <c r="AE742">
        <f>IF(A742&lt;ITER!$C$16,1,PARAM!$C$53^-(RATES!A742-ITER!$C$16))*(A742&lt;PARAM!$B$55)</f>
        <v>0</v>
      </c>
    </row>
    <row r="743" spans="1:31" x14ac:dyDescent="0.2">
      <c r="A743" s="9">
        <v>740</v>
      </c>
      <c r="B743" s="178">
        <f t="shared" si="219"/>
        <v>93</v>
      </c>
      <c r="C743" s="178">
        <f t="shared" si="219"/>
        <v>93</v>
      </c>
      <c r="D743" s="2">
        <f>PARAM!$H$38</f>
        <v>1</v>
      </c>
      <c r="E743" s="11">
        <f>PARAM!$G$38</f>
        <v>0</v>
      </c>
      <c r="F743" s="11">
        <f>(VLOOKUP(C743,DEDN!$A$8:$O$902,$F$2)*D743+E743)/1000</f>
        <v>0.19019</v>
      </c>
      <c r="G743" s="178">
        <f t="shared" si="220"/>
        <v>62</v>
      </c>
      <c r="H743" s="178">
        <f t="shared" si="220"/>
        <v>62</v>
      </c>
      <c r="I743" s="2">
        <f>PARAM!$H$39</f>
        <v>0</v>
      </c>
      <c r="J743" s="11">
        <f>PARAM!$G$39</f>
        <v>0</v>
      </c>
      <c r="K743" s="11">
        <f>(VLOOKUP(H743,DEDN!$A$8:$O$902,$K$2)*I743+J743)/1000</f>
        <v>0</v>
      </c>
      <c r="L743" s="11">
        <f>MIN(IF(PARAM!$B$43=3,CHOOSE($L$2,F743,K743),F743+K743-F743*K743),1)</f>
        <v>0.19019</v>
      </c>
      <c r="M743" s="2">
        <f>PARAM!$I$38</f>
        <v>0</v>
      </c>
      <c r="N743" s="11">
        <f>VLOOKUP(B743,DEDN!$A$8:$O$90,$N$2)*M743</f>
        <v>0</v>
      </c>
      <c r="O743" s="12"/>
      <c r="P743" s="10">
        <f>PARAM!$C$53^-A743</f>
        <v>1</v>
      </c>
      <c r="Q743" s="10">
        <f t="shared" si="221"/>
        <v>0.10444544736143277</v>
      </c>
      <c r="R743" s="10">
        <f t="shared" si="218"/>
        <v>0.10444544736143277</v>
      </c>
      <c r="S743" s="10">
        <f>CHOOSE(PARAM!$B$51,R743,0,0,0)*(A743&lt;PARAM!$B$55)</f>
        <v>0</v>
      </c>
      <c r="T743" s="10">
        <f t="shared" si="211"/>
        <v>1.8200679617701443E-3</v>
      </c>
      <c r="U743" s="10">
        <f>T743*P743*(A743&lt;PARAM!$B$55)</f>
        <v>0</v>
      </c>
      <c r="W743">
        <v>740</v>
      </c>
      <c r="X743" s="178">
        <f t="shared" si="222"/>
        <v>93</v>
      </c>
      <c r="Y743" s="178">
        <f t="shared" si="222"/>
        <v>93</v>
      </c>
      <c r="Z743" s="178">
        <f t="shared" si="222"/>
        <v>62</v>
      </c>
      <c r="AA743" s="178">
        <f t="shared" si="222"/>
        <v>62</v>
      </c>
      <c r="AD743" s="17">
        <f>CALC!E767*(A743&lt;PARAM!$B$55)</f>
        <v>0</v>
      </c>
      <c r="AE743">
        <f>IF(A743&lt;ITER!$C$16,1,PARAM!$C$53^-(RATES!A743-ITER!$C$16))*(A743&lt;PARAM!$B$55)</f>
        <v>0</v>
      </c>
    </row>
    <row r="744" spans="1:31" x14ac:dyDescent="0.2">
      <c r="A744" s="9">
        <v>741</v>
      </c>
      <c r="B744" s="178">
        <f t="shared" si="219"/>
        <v>93</v>
      </c>
      <c r="C744" s="178">
        <f t="shared" si="219"/>
        <v>93</v>
      </c>
      <c r="D744" s="2">
        <f>PARAM!$H$38</f>
        <v>1</v>
      </c>
      <c r="E744" s="11">
        <f>PARAM!$G$38</f>
        <v>0</v>
      </c>
      <c r="F744" s="11">
        <f>(VLOOKUP(C744,DEDN!$A$8:$O$902,$F$2)*D744+E744)/1000</f>
        <v>0.19019</v>
      </c>
      <c r="G744" s="178">
        <f t="shared" si="220"/>
        <v>62</v>
      </c>
      <c r="H744" s="178">
        <f t="shared" si="220"/>
        <v>62</v>
      </c>
      <c r="I744" s="2">
        <f>PARAM!$H$39</f>
        <v>0</v>
      </c>
      <c r="J744" s="11">
        <f>PARAM!$G$39</f>
        <v>0</v>
      </c>
      <c r="K744" s="11">
        <f>(VLOOKUP(H744,DEDN!$A$8:$O$902,$K$2)*I744+J744)/1000</f>
        <v>0</v>
      </c>
      <c r="L744" s="11">
        <f>MIN(IF(PARAM!$B$43=3,CHOOSE($L$2,F744,K744),F744+K744-F744*K744),1)</f>
        <v>0.19019</v>
      </c>
      <c r="M744" s="2">
        <f>PARAM!$I$38</f>
        <v>0</v>
      </c>
      <c r="N744" s="11">
        <f>VLOOKUP(B744,DEDN!$A$8:$O$90,$N$2)*M744</f>
        <v>0</v>
      </c>
      <c r="O744" s="12"/>
      <c r="P744" s="10">
        <f>PARAM!$C$53^-A744</f>
        <v>1</v>
      </c>
      <c r="Q744" s="10">
        <f t="shared" si="221"/>
        <v>0.10262537939966263</v>
      </c>
      <c r="R744" s="10">
        <f t="shared" si="218"/>
        <v>0.10262537939966263</v>
      </c>
      <c r="S744" s="10">
        <f>CHOOSE(PARAM!$B$51,R744,R744,0,0)*(A744&lt;PARAM!$B$55)</f>
        <v>0</v>
      </c>
      <c r="T744" s="10">
        <f t="shared" si="211"/>
        <v>1.7883514296555408E-3</v>
      </c>
      <c r="U744" s="10">
        <f>T744*P744*(A744&lt;PARAM!$B$55)</f>
        <v>0</v>
      </c>
      <c r="W744">
        <v>741</v>
      </c>
      <c r="X744" s="178">
        <f t="shared" si="222"/>
        <v>93</v>
      </c>
      <c r="Y744" s="178">
        <f t="shared" si="222"/>
        <v>93</v>
      </c>
      <c r="Z744" s="178">
        <f t="shared" si="222"/>
        <v>62</v>
      </c>
      <c r="AA744" s="178">
        <f t="shared" si="222"/>
        <v>62</v>
      </c>
      <c r="AD744" s="17">
        <f>CALC!E768*(A744&lt;PARAM!$B$55)</f>
        <v>0</v>
      </c>
      <c r="AE744">
        <f>IF(A744&lt;ITER!$C$16,1,PARAM!$C$53^-(RATES!A744-ITER!$C$16))*(A744&lt;PARAM!$B$55)</f>
        <v>0</v>
      </c>
    </row>
    <row r="745" spans="1:31" x14ac:dyDescent="0.2">
      <c r="A745" s="9">
        <v>742</v>
      </c>
      <c r="B745" s="178">
        <f t="shared" si="219"/>
        <v>93</v>
      </c>
      <c r="C745" s="178">
        <f t="shared" si="219"/>
        <v>93</v>
      </c>
      <c r="D745" s="2">
        <f>PARAM!$H$38</f>
        <v>1</v>
      </c>
      <c r="E745" s="11">
        <f>PARAM!$G$38</f>
        <v>0</v>
      </c>
      <c r="F745" s="11">
        <f>(VLOOKUP(C745,DEDN!$A$8:$O$902,$F$2)*D745+E745)/1000</f>
        <v>0.19019</v>
      </c>
      <c r="G745" s="178">
        <f t="shared" si="220"/>
        <v>62</v>
      </c>
      <c r="H745" s="178">
        <f t="shared" si="220"/>
        <v>62</v>
      </c>
      <c r="I745" s="2">
        <f>PARAM!$H$39</f>
        <v>0</v>
      </c>
      <c r="J745" s="11">
        <f>PARAM!$G$39</f>
        <v>0</v>
      </c>
      <c r="K745" s="11">
        <f>(VLOOKUP(H745,DEDN!$A$8:$O$902,$K$2)*I745+J745)/1000</f>
        <v>0</v>
      </c>
      <c r="L745" s="11">
        <f>MIN(IF(PARAM!$B$43=3,CHOOSE($L$2,F745,K745),F745+K745-F745*K745),1)</f>
        <v>0.19019</v>
      </c>
      <c r="M745" s="2">
        <f>PARAM!$I$38</f>
        <v>0</v>
      </c>
      <c r="N745" s="11">
        <f>VLOOKUP(B745,DEDN!$A$8:$O$90,$N$2)*M745</f>
        <v>0</v>
      </c>
      <c r="O745" s="12"/>
      <c r="P745" s="10">
        <f>PARAM!$C$53^-A745</f>
        <v>1</v>
      </c>
      <c r="Q745" s="10">
        <f t="shared" si="221"/>
        <v>0.10083702797000708</v>
      </c>
      <c r="R745" s="10">
        <f t="shared" si="218"/>
        <v>0.10083702797000708</v>
      </c>
      <c r="S745" s="10">
        <f>CHOOSE(PARAM!$B$51,R745,0,0,0)*(A745&lt;PARAM!$B$55)</f>
        <v>0</v>
      </c>
      <c r="T745" s="10">
        <f t="shared" si="211"/>
        <v>1.7571875903142492E-3</v>
      </c>
      <c r="U745" s="10">
        <f>T745*P745*(A745&lt;PARAM!$B$55)</f>
        <v>0</v>
      </c>
      <c r="W745">
        <v>742</v>
      </c>
      <c r="X745" s="178">
        <f t="shared" si="222"/>
        <v>93</v>
      </c>
      <c r="Y745" s="178">
        <f t="shared" si="222"/>
        <v>93</v>
      </c>
      <c r="Z745" s="178">
        <f t="shared" si="222"/>
        <v>62</v>
      </c>
      <c r="AA745" s="178">
        <f t="shared" si="222"/>
        <v>62</v>
      </c>
      <c r="AD745" s="17">
        <f>CALC!E769*(A745&lt;PARAM!$B$55)</f>
        <v>0</v>
      </c>
      <c r="AE745">
        <f>IF(A745&lt;ITER!$C$16,1,PARAM!$C$53^-(RATES!A745-ITER!$C$16))*(A745&lt;PARAM!$B$55)</f>
        <v>0</v>
      </c>
    </row>
    <row r="746" spans="1:31" x14ac:dyDescent="0.2">
      <c r="A746" s="9">
        <v>743</v>
      </c>
      <c r="B746" s="178">
        <f t="shared" si="219"/>
        <v>93</v>
      </c>
      <c r="C746" s="178">
        <f t="shared" si="219"/>
        <v>93</v>
      </c>
      <c r="D746" s="2">
        <f>PARAM!$H$38</f>
        <v>1</v>
      </c>
      <c r="E746" s="11">
        <f>PARAM!$G$38</f>
        <v>0</v>
      </c>
      <c r="F746" s="11">
        <f>(VLOOKUP(C746,DEDN!$A$8:$O$902,$F$2)*D746+E746)/1000</f>
        <v>0.19019</v>
      </c>
      <c r="G746" s="178">
        <f t="shared" si="220"/>
        <v>62</v>
      </c>
      <c r="H746" s="178">
        <f t="shared" si="220"/>
        <v>62</v>
      </c>
      <c r="I746" s="2">
        <f>PARAM!$H$39</f>
        <v>0</v>
      </c>
      <c r="J746" s="11">
        <f>PARAM!$G$39</f>
        <v>0</v>
      </c>
      <c r="K746" s="11">
        <f>(VLOOKUP(H746,DEDN!$A$8:$O$902,$K$2)*I746+J746)/1000</f>
        <v>0</v>
      </c>
      <c r="L746" s="11">
        <f>MIN(IF(PARAM!$B$43=3,CHOOSE($L$2,F746,K746),F746+K746-F746*K746),1)</f>
        <v>0.19019</v>
      </c>
      <c r="M746" s="2">
        <f>PARAM!$I$38</f>
        <v>0</v>
      </c>
      <c r="N746" s="11">
        <f>VLOOKUP(B746,DEDN!$A$8:$O$90,$N$2)*M746</f>
        <v>0</v>
      </c>
      <c r="O746" s="12"/>
      <c r="P746" s="10">
        <f>PARAM!$C$53^-A746</f>
        <v>1</v>
      </c>
      <c r="Q746" s="10">
        <f t="shared" si="221"/>
        <v>9.9079840379692835E-2</v>
      </c>
      <c r="R746" s="10">
        <f t="shared" si="218"/>
        <v>9.9079840379692835E-2</v>
      </c>
      <c r="S746" s="10">
        <f>CHOOSE(PARAM!$B$51,R746,0,0,0)*(A746&lt;PARAM!$B$55)</f>
        <v>0</v>
      </c>
      <c r="T746" s="10">
        <f t="shared" si="211"/>
        <v>1.7265668125135275E-3</v>
      </c>
      <c r="U746" s="10">
        <f>T746*P746*(A746&lt;PARAM!$B$55)</f>
        <v>0</v>
      </c>
      <c r="W746">
        <v>743</v>
      </c>
      <c r="X746" s="178">
        <f t="shared" si="222"/>
        <v>93</v>
      </c>
      <c r="Y746" s="178">
        <f t="shared" si="222"/>
        <v>93</v>
      </c>
      <c r="Z746" s="178">
        <f t="shared" si="222"/>
        <v>62</v>
      </c>
      <c r="AA746" s="178">
        <f t="shared" si="222"/>
        <v>62</v>
      </c>
      <c r="AD746" s="17">
        <f>CALC!E770*(A746&lt;PARAM!$B$55)</f>
        <v>0</v>
      </c>
      <c r="AE746">
        <f>IF(A746&lt;ITER!$C$16,1,PARAM!$C$53^-(RATES!A746-ITER!$C$16))*(A746&lt;PARAM!$B$55)</f>
        <v>0</v>
      </c>
    </row>
    <row r="747" spans="1:31" x14ac:dyDescent="0.2">
      <c r="A747" s="9">
        <v>744</v>
      </c>
      <c r="B747" s="178">
        <f t="shared" si="219"/>
        <v>93</v>
      </c>
      <c r="C747" s="178">
        <f t="shared" si="219"/>
        <v>93</v>
      </c>
      <c r="D747" s="2">
        <f>PARAM!$H$38</f>
        <v>1</v>
      </c>
      <c r="E747" s="11">
        <f>PARAM!$G$38</f>
        <v>0</v>
      </c>
      <c r="F747" s="11">
        <f>(VLOOKUP(C747,DEDN!$A$8:$O$902,$F$2)*D747+E747)/1000</f>
        <v>0.19019</v>
      </c>
      <c r="G747" s="178">
        <f t="shared" si="220"/>
        <v>62</v>
      </c>
      <c r="H747" s="178">
        <f t="shared" si="220"/>
        <v>62</v>
      </c>
      <c r="I747" s="2">
        <f>PARAM!$H$39</f>
        <v>0</v>
      </c>
      <c r="J747" s="11">
        <f>PARAM!$G$39</f>
        <v>0</v>
      </c>
      <c r="K747" s="11">
        <f>(VLOOKUP(H747,DEDN!$A$8:$O$902,$K$2)*I747+J747)/1000</f>
        <v>0</v>
      </c>
      <c r="L747" s="11">
        <f>MIN(IF(PARAM!$B$43=3,CHOOSE($L$2,F747,K747),F747+K747-F747*K747),1)</f>
        <v>0.19019</v>
      </c>
      <c r="M747" s="2">
        <f>PARAM!$I$38</f>
        <v>0</v>
      </c>
      <c r="N747" s="11">
        <f>VLOOKUP(B747,DEDN!$A$8:$O$90,$N$2)*M747</f>
        <v>0</v>
      </c>
      <c r="O747" s="12"/>
      <c r="P747" s="10">
        <f>PARAM!$C$53^-A747</f>
        <v>1</v>
      </c>
      <c r="Q747" s="10">
        <f t="shared" si="221"/>
        <v>9.7353273567179308E-2</v>
      </c>
      <c r="R747" s="10">
        <f t="shared" si="218"/>
        <v>9.7353273567179308E-2</v>
      </c>
      <c r="S747" s="10">
        <f>R747*(A747&lt;PARAM!$B$55)</f>
        <v>0</v>
      </c>
      <c r="T747" s="10">
        <f t="shared" si="211"/>
        <v>1.6964796328546861E-3</v>
      </c>
      <c r="U747" s="10">
        <f>T747*P747*(A747&lt;PARAM!$B$55)</f>
        <v>0</v>
      </c>
      <c r="W747">
        <v>744</v>
      </c>
      <c r="X747" s="178">
        <f t="shared" si="222"/>
        <v>93</v>
      </c>
      <c r="Y747" s="178">
        <f t="shared" si="222"/>
        <v>93</v>
      </c>
      <c r="Z747" s="178">
        <f t="shared" si="222"/>
        <v>62</v>
      </c>
      <c r="AA747" s="178">
        <f t="shared" si="222"/>
        <v>62</v>
      </c>
      <c r="AD747" s="17">
        <f>CALC!E771*(A747&lt;PARAM!$B$55)</f>
        <v>0</v>
      </c>
      <c r="AE747">
        <f>IF(A747&lt;ITER!$C$16,1,PARAM!$C$53^-(RATES!A747-ITER!$C$16))*(A747&lt;PARAM!$B$55)</f>
        <v>0</v>
      </c>
    </row>
    <row r="748" spans="1:31" x14ac:dyDescent="0.2">
      <c r="A748" s="9">
        <v>745</v>
      </c>
      <c r="B748" s="178">
        <f t="shared" si="219"/>
        <v>93</v>
      </c>
      <c r="C748" s="178">
        <f t="shared" si="219"/>
        <v>93</v>
      </c>
      <c r="D748" s="2">
        <f>PARAM!$H$38</f>
        <v>1</v>
      </c>
      <c r="E748" s="11">
        <f>PARAM!$G$38</f>
        <v>0</v>
      </c>
      <c r="F748" s="11">
        <f>(VLOOKUP(C748,DEDN!$A$8:$O$902,$F$2)*D748+E748)/1000</f>
        <v>0.19019</v>
      </c>
      <c r="G748" s="178">
        <f t="shared" si="220"/>
        <v>62</v>
      </c>
      <c r="H748" s="178">
        <f t="shared" si="220"/>
        <v>62</v>
      </c>
      <c r="I748" s="2">
        <f>PARAM!$H$39</f>
        <v>0</v>
      </c>
      <c r="J748" s="11">
        <f>PARAM!$G$39</f>
        <v>0</v>
      </c>
      <c r="K748" s="11">
        <f>(VLOOKUP(H748,DEDN!$A$8:$O$902,$K$2)*I748+J748)/1000</f>
        <v>0</v>
      </c>
      <c r="L748" s="11">
        <f>MIN(IF(PARAM!$B$43=3,CHOOSE($L$2,F748,K748),F748+K748-F748*K748),1)</f>
        <v>0.19019</v>
      </c>
      <c r="M748" s="2">
        <f>PARAM!$I$38</f>
        <v>0</v>
      </c>
      <c r="N748" s="11">
        <f>VLOOKUP(B748,DEDN!$A$8:$O$90,$N$2)*M748</f>
        <v>0</v>
      </c>
      <c r="O748" s="12"/>
      <c r="P748" s="10">
        <f>PARAM!$C$53^-A748</f>
        <v>1</v>
      </c>
      <c r="Q748" s="10">
        <f t="shared" si="221"/>
        <v>9.5656793934324622E-2</v>
      </c>
      <c r="R748" s="10">
        <f t="shared" si="218"/>
        <v>9.5656793934324622E-2</v>
      </c>
      <c r="S748" s="10">
        <f>CHOOSE(PARAM!$B$51,R748,0,0,0)*(A748&lt;PARAM!$B$55)</f>
        <v>0</v>
      </c>
      <c r="T748" s="10">
        <f t="shared" si="211"/>
        <v>1.6669167528483436E-3</v>
      </c>
      <c r="U748" s="10">
        <f>T748*P748*(A748&lt;PARAM!$B$55)</f>
        <v>0</v>
      </c>
      <c r="W748">
        <v>745</v>
      </c>
      <c r="X748" s="178">
        <f t="shared" si="222"/>
        <v>93</v>
      </c>
      <c r="Y748" s="178">
        <f t="shared" si="222"/>
        <v>93</v>
      </c>
      <c r="Z748" s="178">
        <f t="shared" si="222"/>
        <v>62</v>
      </c>
      <c r="AA748" s="178">
        <f t="shared" si="222"/>
        <v>62</v>
      </c>
      <c r="AD748" s="17">
        <f>CALC!E772*(A748&lt;PARAM!$B$55)</f>
        <v>0</v>
      </c>
      <c r="AE748">
        <f>IF(A748&lt;ITER!$C$16,1,PARAM!$C$53^-(RATES!A748-ITER!$C$16))*(A748&lt;PARAM!$B$55)</f>
        <v>0</v>
      </c>
    </row>
    <row r="749" spans="1:31" x14ac:dyDescent="0.2">
      <c r="A749" s="9">
        <v>746</v>
      </c>
      <c r="B749" s="178">
        <f t="shared" si="219"/>
        <v>93</v>
      </c>
      <c r="C749" s="178">
        <f t="shared" si="219"/>
        <v>93</v>
      </c>
      <c r="D749" s="2">
        <f>PARAM!$H$38</f>
        <v>1</v>
      </c>
      <c r="E749" s="11">
        <f>PARAM!$G$38</f>
        <v>0</v>
      </c>
      <c r="F749" s="11">
        <f>(VLOOKUP(C749,DEDN!$A$8:$O$902,$F$2)*D749+E749)/1000</f>
        <v>0.19019</v>
      </c>
      <c r="G749" s="178">
        <f t="shared" si="220"/>
        <v>62</v>
      </c>
      <c r="H749" s="178">
        <f t="shared" si="220"/>
        <v>62</v>
      </c>
      <c r="I749" s="2">
        <f>PARAM!$H$39</f>
        <v>0</v>
      </c>
      <c r="J749" s="11">
        <f>PARAM!$G$39</f>
        <v>0</v>
      </c>
      <c r="K749" s="11">
        <f>(VLOOKUP(H749,DEDN!$A$8:$O$902,$K$2)*I749+J749)/1000</f>
        <v>0</v>
      </c>
      <c r="L749" s="11">
        <f>MIN(IF(PARAM!$B$43=3,CHOOSE($L$2,F749,K749),F749+K749-F749*K749),1)</f>
        <v>0.19019</v>
      </c>
      <c r="M749" s="2">
        <f>PARAM!$I$38</f>
        <v>0</v>
      </c>
      <c r="N749" s="11">
        <f>VLOOKUP(B749,DEDN!$A$8:$O$90,$N$2)*M749</f>
        <v>0</v>
      </c>
      <c r="O749" s="12"/>
      <c r="P749" s="10">
        <f>PARAM!$C$53^-A749</f>
        <v>1</v>
      </c>
      <c r="Q749" s="10">
        <f t="shared" si="221"/>
        <v>9.3989877181476278E-2</v>
      </c>
      <c r="R749" s="10">
        <f t="shared" si="218"/>
        <v>9.3989877181476278E-2</v>
      </c>
      <c r="S749" s="10">
        <f>CHOOSE(PARAM!$B$51,R749,0,0,0)*(A749&lt;PARAM!$B$55)</f>
        <v>0</v>
      </c>
      <c r="T749" s="10">
        <f t="shared" si="211"/>
        <v>1.6378690360407538E-3</v>
      </c>
      <c r="U749" s="10">
        <f>T749*P749*(A749&lt;PARAM!$B$55)</f>
        <v>0</v>
      </c>
      <c r="W749">
        <v>746</v>
      </c>
      <c r="X749" s="178">
        <f t="shared" si="222"/>
        <v>93</v>
      </c>
      <c r="Y749" s="178">
        <f t="shared" si="222"/>
        <v>93</v>
      </c>
      <c r="Z749" s="178">
        <f t="shared" si="222"/>
        <v>62</v>
      </c>
      <c r="AA749" s="178">
        <f t="shared" si="222"/>
        <v>62</v>
      </c>
      <c r="AD749" s="17">
        <f>CALC!E773*(A749&lt;PARAM!$B$55)</f>
        <v>0</v>
      </c>
      <c r="AE749">
        <f>IF(A749&lt;ITER!$C$16,1,PARAM!$C$53^-(RATES!A749-ITER!$C$16))*(A749&lt;PARAM!$B$55)</f>
        <v>0</v>
      </c>
    </row>
    <row r="750" spans="1:31" x14ac:dyDescent="0.2">
      <c r="A750" s="9">
        <v>747</v>
      </c>
      <c r="B750" s="178">
        <f t="shared" si="219"/>
        <v>93</v>
      </c>
      <c r="C750" s="178">
        <f t="shared" si="219"/>
        <v>93</v>
      </c>
      <c r="D750" s="2">
        <f>PARAM!$H$38</f>
        <v>1</v>
      </c>
      <c r="E750" s="11">
        <f>PARAM!$G$38</f>
        <v>0</v>
      </c>
      <c r="F750" s="11">
        <f>(VLOOKUP(C750,DEDN!$A$8:$O$902,$F$2)*D750+E750)/1000</f>
        <v>0.19019</v>
      </c>
      <c r="G750" s="178">
        <f t="shared" si="220"/>
        <v>62</v>
      </c>
      <c r="H750" s="178">
        <f t="shared" si="220"/>
        <v>62</v>
      </c>
      <c r="I750" s="2">
        <f>PARAM!$H$39</f>
        <v>0</v>
      </c>
      <c r="J750" s="11">
        <f>PARAM!$G$39</f>
        <v>0</v>
      </c>
      <c r="K750" s="11">
        <f>(VLOOKUP(H750,DEDN!$A$8:$O$902,$K$2)*I750+J750)/1000</f>
        <v>0</v>
      </c>
      <c r="L750" s="11">
        <f>MIN(IF(PARAM!$B$43=3,CHOOSE($L$2,F750,K750),F750+K750-F750*K750),1)</f>
        <v>0.19019</v>
      </c>
      <c r="M750" s="2">
        <f>PARAM!$I$38</f>
        <v>0</v>
      </c>
      <c r="N750" s="11">
        <f>VLOOKUP(B750,DEDN!$A$8:$O$90,$N$2)*M750</f>
        <v>0</v>
      </c>
      <c r="O750" s="12"/>
      <c r="P750" s="10">
        <f>PARAM!$C$53^-A750</f>
        <v>1</v>
      </c>
      <c r="Q750" s="10">
        <f t="shared" si="221"/>
        <v>9.2352008145435524E-2</v>
      </c>
      <c r="R750" s="10">
        <f t="shared" si="218"/>
        <v>9.2352008145435524E-2</v>
      </c>
      <c r="S750" s="10">
        <f>CHOOSE(PARAM!$B$51,R750,R750,0,0)*(A750&lt;PARAM!$B$55)</f>
        <v>0</v>
      </c>
      <c r="T750" s="10">
        <f t="shared" si="211"/>
        <v>1.6093275051901335E-3</v>
      </c>
      <c r="U750" s="10">
        <f>T750*P750*(A750&lt;PARAM!$B$55)</f>
        <v>0</v>
      </c>
      <c r="W750">
        <v>747</v>
      </c>
      <c r="X750" s="178">
        <f t="shared" si="222"/>
        <v>93</v>
      </c>
      <c r="Y750" s="178">
        <f t="shared" si="222"/>
        <v>93</v>
      </c>
      <c r="Z750" s="178">
        <f t="shared" si="222"/>
        <v>62</v>
      </c>
      <c r="AA750" s="178">
        <f t="shared" si="222"/>
        <v>62</v>
      </c>
      <c r="AD750" s="17">
        <f>CALC!E774*(A750&lt;PARAM!$B$55)</f>
        <v>0</v>
      </c>
      <c r="AE750">
        <f>IF(A750&lt;ITER!$C$16,1,PARAM!$C$53^-(RATES!A750-ITER!$C$16))*(A750&lt;PARAM!$B$55)</f>
        <v>0</v>
      </c>
    </row>
    <row r="751" spans="1:31" x14ac:dyDescent="0.2">
      <c r="A751" s="9">
        <v>748</v>
      </c>
      <c r="B751" s="178">
        <f t="shared" si="219"/>
        <v>93</v>
      </c>
      <c r="C751" s="178">
        <f t="shared" si="219"/>
        <v>93</v>
      </c>
      <c r="D751" s="2">
        <f>PARAM!$H$38</f>
        <v>1</v>
      </c>
      <c r="E751" s="11">
        <f>PARAM!$G$38</f>
        <v>0</v>
      </c>
      <c r="F751" s="11">
        <f>(VLOOKUP(C751,DEDN!$A$8:$O$902,$F$2)*D751+E751)/1000</f>
        <v>0.19019</v>
      </c>
      <c r="G751" s="178">
        <f t="shared" si="220"/>
        <v>62</v>
      </c>
      <c r="H751" s="178">
        <f t="shared" si="220"/>
        <v>62</v>
      </c>
      <c r="I751" s="2">
        <f>PARAM!$H$39</f>
        <v>0</v>
      </c>
      <c r="J751" s="11">
        <f>PARAM!$G$39</f>
        <v>0</v>
      </c>
      <c r="K751" s="11">
        <f>(VLOOKUP(H751,DEDN!$A$8:$O$902,$K$2)*I751+J751)/1000</f>
        <v>0</v>
      </c>
      <c r="L751" s="11">
        <f>MIN(IF(PARAM!$B$43=3,CHOOSE($L$2,F751,K751),F751+K751-F751*K751),1)</f>
        <v>0.19019</v>
      </c>
      <c r="M751" s="2">
        <f>PARAM!$I$38</f>
        <v>0</v>
      </c>
      <c r="N751" s="11">
        <f>VLOOKUP(B751,DEDN!$A$8:$O$90,$N$2)*M751</f>
        <v>0</v>
      </c>
      <c r="O751" s="12"/>
      <c r="P751" s="10">
        <f>PARAM!$C$53^-A751</f>
        <v>1</v>
      </c>
      <c r="Q751" s="10">
        <f t="shared" si="221"/>
        <v>9.0742680640245391E-2</v>
      </c>
      <c r="R751" s="10">
        <f t="shared" si="218"/>
        <v>9.0742680640245391E-2</v>
      </c>
      <c r="S751" s="10">
        <f>CHOOSE(PARAM!$B$51,R751,0,0,0)*(A751&lt;PARAM!$B$55)</f>
        <v>0</v>
      </c>
      <c r="T751" s="10">
        <f t="shared" si="211"/>
        <v>1.5812833394922704E-3</v>
      </c>
      <c r="U751" s="10">
        <f>T751*P751*(A751&lt;PARAM!$B$55)</f>
        <v>0</v>
      </c>
      <c r="W751">
        <v>748</v>
      </c>
      <c r="X751" s="178">
        <f t="shared" si="222"/>
        <v>93</v>
      </c>
      <c r="Y751" s="178">
        <f t="shared" si="222"/>
        <v>93</v>
      </c>
      <c r="Z751" s="178">
        <f t="shared" si="222"/>
        <v>62</v>
      </c>
      <c r="AA751" s="178">
        <f t="shared" si="222"/>
        <v>62</v>
      </c>
      <c r="AD751" s="17">
        <f>CALC!E775*(A751&lt;PARAM!$B$55)</f>
        <v>0</v>
      </c>
      <c r="AE751">
        <f>IF(A751&lt;ITER!$C$16,1,PARAM!$C$53^-(RATES!A751-ITER!$C$16))*(A751&lt;PARAM!$B$55)</f>
        <v>0</v>
      </c>
    </row>
    <row r="752" spans="1:31" x14ac:dyDescent="0.2">
      <c r="A752" s="9">
        <v>749</v>
      </c>
      <c r="B752" s="178">
        <f t="shared" si="219"/>
        <v>93</v>
      </c>
      <c r="C752" s="178">
        <f t="shared" si="219"/>
        <v>93</v>
      </c>
      <c r="D752" s="2">
        <f>PARAM!$H$38</f>
        <v>1</v>
      </c>
      <c r="E752" s="11">
        <f>PARAM!$G$38</f>
        <v>0</v>
      </c>
      <c r="F752" s="11">
        <f>(VLOOKUP(C752,DEDN!$A$8:$O$902,$F$2)*D752+E752)/1000</f>
        <v>0.19019</v>
      </c>
      <c r="G752" s="178">
        <f t="shared" si="220"/>
        <v>62</v>
      </c>
      <c r="H752" s="178">
        <f t="shared" si="220"/>
        <v>62</v>
      </c>
      <c r="I752" s="2">
        <f>PARAM!$H$39</f>
        <v>0</v>
      </c>
      <c r="J752" s="11">
        <f>PARAM!$G$39</f>
        <v>0</v>
      </c>
      <c r="K752" s="11">
        <f>(VLOOKUP(H752,DEDN!$A$8:$O$902,$K$2)*I752+J752)/1000</f>
        <v>0</v>
      </c>
      <c r="L752" s="11">
        <f>MIN(IF(PARAM!$B$43=3,CHOOSE($L$2,F752,K752),F752+K752-F752*K752),1)</f>
        <v>0.19019</v>
      </c>
      <c r="M752" s="2">
        <f>PARAM!$I$38</f>
        <v>0</v>
      </c>
      <c r="N752" s="11">
        <f>VLOOKUP(B752,DEDN!$A$8:$O$90,$N$2)*M752</f>
        <v>0</v>
      </c>
      <c r="O752" s="12"/>
      <c r="P752" s="10">
        <f>PARAM!$C$53^-A752</f>
        <v>1</v>
      </c>
      <c r="Q752" s="10">
        <f t="shared" si="221"/>
        <v>8.916139730075312E-2</v>
      </c>
      <c r="R752" s="10">
        <f t="shared" si="218"/>
        <v>8.916139730075312E-2</v>
      </c>
      <c r="S752" s="10">
        <f>CHOOSE(PARAM!$B$51,R752,0,0,0)*(A752&lt;PARAM!$B$55)</f>
        <v>0</v>
      </c>
      <c r="T752" s="10">
        <f t="shared" si="211"/>
        <v>1.553727871854399E-3</v>
      </c>
      <c r="U752" s="10">
        <f>T752*P752*(A752&lt;PARAM!$B$55)</f>
        <v>0</v>
      </c>
      <c r="W752">
        <v>749</v>
      </c>
      <c r="X752" s="178">
        <f t="shared" si="222"/>
        <v>93</v>
      </c>
      <c r="Y752" s="178">
        <f t="shared" si="222"/>
        <v>93</v>
      </c>
      <c r="Z752" s="178">
        <f t="shared" si="222"/>
        <v>62</v>
      </c>
      <c r="AA752" s="178">
        <f t="shared" si="222"/>
        <v>62</v>
      </c>
      <c r="AD752" s="17">
        <f>CALC!E776*(A752&lt;PARAM!$B$55)</f>
        <v>0</v>
      </c>
      <c r="AE752">
        <f>IF(A752&lt;ITER!$C$16,1,PARAM!$C$53^-(RATES!A752-ITER!$C$16))*(A752&lt;PARAM!$B$55)</f>
        <v>0</v>
      </c>
    </row>
    <row r="753" spans="1:31" x14ac:dyDescent="0.2">
      <c r="A753" s="9">
        <v>750</v>
      </c>
      <c r="B753" s="178">
        <f t="shared" si="219"/>
        <v>94</v>
      </c>
      <c r="C753" s="178">
        <f t="shared" si="219"/>
        <v>94</v>
      </c>
      <c r="D753" s="2">
        <f>PARAM!$H$38</f>
        <v>1</v>
      </c>
      <c r="E753" s="11">
        <f>PARAM!$G$38</f>
        <v>0</v>
      </c>
      <c r="F753" s="11">
        <f>(VLOOKUP(C753,DEDN!$A$8:$O$902,$F$2)*D753+E753)/1000</f>
        <v>0.20427000000000001</v>
      </c>
      <c r="G753" s="178">
        <f t="shared" si="220"/>
        <v>63</v>
      </c>
      <c r="H753" s="178">
        <f t="shared" si="220"/>
        <v>63</v>
      </c>
      <c r="I753" s="2">
        <f>PARAM!$H$39</f>
        <v>0</v>
      </c>
      <c r="J753" s="11">
        <f>PARAM!$G$39</f>
        <v>0</v>
      </c>
      <c r="K753" s="11">
        <f>(VLOOKUP(H753,DEDN!$A$8:$O$902,$K$2)*I753+J753)/1000</f>
        <v>0</v>
      </c>
      <c r="L753" s="11">
        <f>MIN(IF(PARAM!$B$43=3,CHOOSE($L$2,F753,K753),F753+K753-F753*K753),1)</f>
        <v>0.20427000000000001</v>
      </c>
      <c r="M753" s="2">
        <f>PARAM!$I$38</f>
        <v>0</v>
      </c>
      <c r="N753" s="11">
        <f>VLOOKUP(B753,DEDN!$A$8:$O$90,$N$2)*M753</f>
        <v>0</v>
      </c>
      <c r="O753" s="12"/>
      <c r="P753" s="10">
        <f>PARAM!$C$53^-A753</f>
        <v>1</v>
      </c>
      <c r="Q753" s="10">
        <f t="shared" si="221"/>
        <v>8.7607669428898721E-2</v>
      </c>
      <c r="R753" s="10">
        <f t="shared" si="218"/>
        <v>8.7607669428898721E-2</v>
      </c>
      <c r="S753" s="10">
        <f>CHOOSE(PARAM!$B$51,R753,R753,R753,0)*(A753&lt;PARAM!$B$55)</f>
        <v>0</v>
      </c>
      <c r="T753" s="10">
        <f t="shared" si="211"/>
        <v>1.6523804230654249E-3</v>
      </c>
      <c r="U753" s="10">
        <f>T753*P753*(A753&lt;PARAM!$B$55)</f>
        <v>0</v>
      </c>
      <c r="W753">
        <v>750</v>
      </c>
      <c r="X753" s="178">
        <f t="shared" si="222"/>
        <v>94</v>
      </c>
      <c r="Y753" s="178">
        <f t="shared" si="222"/>
        <v>94</v>
      </c>
      <c r="Z753" s="178">
        <f t="shared" si="222"/>
        <v>63</v>
      </c>
      <c r="AA753" s="178">
        <f t="shared" si="222"/>
        <v>63</v>
      </c>
      <c r="AD753" s="17">
        <f>CALC!E777*(A753&lt;PARAM!$B$55)</f>
        <v>0</v>
      </c>
      <c r="AE753">
        <f>IF(A753&lt;ITER!$C$16,1,PARAM!$C$53^-(RATES!A753-ITER!$C$16))*(A753&lt;PARAM!$B$55)</f>
        <v>0</v>
      </c>
    </row>
    <row r="754" spans="1:31" x14ac:dyDescent="0.2">
      <c r="A754" s="9">
        <v>751</v>
      </c>
      <c r="B754" s="178">
        <f t="shared" si="219"/>
        <v>94</v>
      </c>
      <c r="C754" s="178">
        <f t="shared" si="219"/>
        <v>94</v>
      </c>
      <c r="D754" s="2">
        <f>PARAM!$H$38</f>
        <v>1</v>
      </c>
      <c r="E754" s="11">
        <f>PARAM!$G$38</f>
        <v>0</v>
      </c>
      <c r="F754" s="11">
        <f>(VLOOKUP(C754,DEDN!$A$8:$O$902,$F$2)*D754+E754)/1000</f>
        <v>0.20427000000000001</v>
      </c>
      <c r="G754" s="178">
        <f t="shared" si="220"/>
        <v>63</v>
      </c>
      <c r="H754" s="178">
        <f t="shared" si="220"/>
        <v>63</v>
      </c>
      <c r="I754" s="2">
        <f>PARAM!$H$39</f>
        <v>0</v>
      </c>
      <c r="J754" s="11">
        <f>PARAM!$G$39</f>
        <v>0</v>
      </c>
      <c r="K754" s="11">
        <f>(VLOOKUP(H754,DEDN!$A$8:$O$902,$K$2)*I754+J754)/1000</f>
        <v>0</v>
      </c>
      <c r="L754" s="11">
        <f>MIN(IF(PARAM!$B$43=3,CHOOSE($L$2,F754,K754),F754+K754-F754*K754),1)</f>
        <v>0.20427000000000001</v>
      </c>
      <c r="M754" s="2">
        <f>PARAM!$I$38</f>
        <v>0</v>
      </c>
      <c r="N754" s="11">
        <f>VLOOKUP(B754,DEDN!$A$8:$O$90,$N$2)*M754</f>
        <v>0</v>
      </c>
      <c r="O754" s="12"/>
      <c r="P754" s="10">
        <f>PARAM!$C$53^-A754</f>
        <v>1</v>
      </c>
      <c r="Q754" s="10">
        <f t="shared" si="221"/>
        <v>8.5955289005833296E-2</v>
      </c>
      <c r="R754" s="10">
        <f t="shared" si="218"/>
        <v>8.5955289005833296E-2</v>
      </c>
      <c r="S754" s="10">
        <f>CHOOSE(PARAM!$B$51,R754,0,0,0)*(A754&lt;PARAM!$B$55)</f>
        <v>0</v>
      </c>
      <c r="T754" s="10">
        <f t="shared" si="211"/>
        <v>1.6212146463665394E-3</v>
      </c>
      <c r="U754" s="10">
        <f>T754*P754*(A754&lt;PARAM!$B$55)</f>
        <v>0</v>
      </c>
      <c r="W754">
        <v>751</v>
      </c>
      <c r="X754" s="178">
        <f t="shared" si="222"/>
        <v>94</v>
      </c>
      <c r="Y754" s="178">
        <f t="shared" si="222"/>
        <v>94</v>
      </c>
      <c r="Z754" s="178">
        <f t="shared" si="222"/>
        <v>63</v>
      </c>
      <c r="AA754" s="178">
        <f t="shared" si="222"/>
        <v>63</v>
      </c>
      <c r="AD754" s="17">
        <f>CALC!E778*(A754&lt;PARAM!$B$55)</f>
        <v>0</v>
      </c>
      <c r="AE754">
        <f>IF(A754&lt;ITER!$C$16,1,PARAM!$C$53^-(RATES!A754-ITER!$C$16))*(A754&lt;PARAM!$B$55)</f>
        <v>0</v>
      </c>
    </row>
    <row r="755" spans="1:31" x14ac:dyDescent="0.2">
      <c r="A755" s="9">
        <v>752</v>
      </c>
      <c r="B755" s="178">
        <f t="shared" si="219"/>
        <v>94</v>
      </c>
      <c r="C755" s="178">
        <f t="shared" si="219"/>
        <v>94</v>
      </c>
      <c r="D755" s="2">
        <f>PARAM!$H$38</f>
        <v>1</v>
      </c>
      <c r="E755" s="11">
        <f>PARAM!$G$38</f>
        <v>0</v>
      </c>
      <c r="F755" s="11">
        <f>(VLOOKUP(C755,DEDN!$A$8:$O$902,$F$2)*D755+E755)/1000</f>
        <v>0.20427000000000001</v>
      </c>
      <c r="G755" s="178">
        <f t="shared" si="220"/>
        <v>63</v>
      </c>
      <c r="H755" s="178">
        <f t="shared" si="220"/>
        <v>63</v>
      </c>
      <c r="I755" s="2">
        <f>PARAM!$H$39</f>
        <v>0</v>
      </c>
      <c r="J755" s="11">
        <f>PARAM!$G$39</f>
        <v>0</v>
      </c>
      <c r="K755" s="11">
        <f>(VLOOKUP(H755,DEDN!$A$8:$O$902,$K$2)*I755+J755)/1000</f>
        <v>0</v>
      </c>
      <c r="L755" s="11">
        <f>MIN(IF(PARAM!$B$43=3,CHOOSE($L$2,F755,K755),F755+K755-F755*K755),1)</f>
        <v>0.20427000000000001</v>
      </c>
      <c r="M755" s="2">
        <f>PARAM!$I$38</f>
        <v>0</v>
      </c>
      <c r="N755" s="11">
        <f>VLOOKUP(B755,DEDN!$A$8:$O$90,$N$2)*M755</f>
        <v>0</v>
      </c>
      <c r="O755" s="12"/>
      <c r="P755" s="10">
        <f>PARAM!$C$53^-A755</f>
        <v>1</v>
      </c>
      <c r="Q755" s="10">
        <f t="shared" si="221"/>
        <v>8.4334074359466757E-2</v>
      </c>
      <c r="R755" s="10">
        <f t="shared" si="218"/>
        <v>8.4334074359466757E-2</v>
      </c>
      <c r="S755" s="10">
        <f>CHOOSE(PARAM!$B$51,R755,0,0,0)*(A755&lt;PARAM!$B$55)</f>
        <v>0</v>
      </c>
      <c r="T755" s="10">
        <f t="shared" si="211"/>
        <v>1.5906366917113612E-3</v>
      </c>
      <c r="U755" s="10">
        <f>T755*P755*(A755&lt;PARAM!$B$55)</f>
        <v>0</v>
      </c>
      <c r="W755">
        <v>752</v>
      </c>
      <c r="X755" s="178">
        <f t="shared" si="222"/>
        <v>94</v>
      </c>
      <c r="Y755" s="178">
        <f t="shared" si="222"/>
        <v>94</v>
      </c>
      <c r="Z755" s="178">
        <f t="shared" si="222"/>
        <v>63</v>
      </c>
      <c r="AA755" s="178">
        <f t="shared" si="222"/>
        <v>63</v>
      </c>
      <c r="AD755" s="17">
        <f>CALC!E779*(A755&lt;PARAM!$B$55)</f>
        <v>0</v>
      </c>
      <c r="AE755">
        <f>IF(A755&lt;ITER!$C$16,1,PARAM!$C$53^-(RATES!A755-ITER!$C$16))*(A755&lt;PARAM!$B$55)</f>
        <v>0</v>
      </c>
    </row>
    <row r="756" spans="1:31" x14ac:dyDescent="0.2">
      <c r="A756" s="9">
        <v>753</v>
      </c>
      <c r="B756" s="178">
        <f t="shared" si="219"/>
        <v>94</v>
      </c>
      <c r="C756" s="178">
        <f t="shared" si="219"/>
        <v>94</v>
      </c>
      <c r="D756" s="2">
        <f>PARAM!$H$38</f>
        <v>1</v>
      </c>
      <c r="E756" s="11">
        <f>PARAM!$G$38</f>
        <v>0</v>
      </c>
      <c r="F756" s="11">
        <f>(VLOOKUP(C756,DEDN!$A$8:$O$902,$F$2)*D756+E756)/1000</f>
        <v>0.20427000000000001</v>
      </c>
      <c r="G756" s="178">
        <f t="shared" si="220"/>
        <v>63</v>
      </c>
      <c r="H756" s="178">
        <f t="shared" si="220"/>
        <v>63</v>
      </c>
      <c r="I756" s="2">
        <f>PARAM!$H$39</f>
        <v>0</v>
      </c>
      <c r="J756" s="11">
        <f>PARAM!$G$39</f>
        <v>0</v>
      </c>
      <c r="K756" s="11">
        <f>(VLOOKUP(H756,DEDN!$A$8:$O$902,$K$2)*I756+J756)/1000</f>
        <v>0</v>
      </c>
      <c r="L756" s="11">
        <f>MIN(IF(PARAM!$B$43=3,CHOOSE($L$2,F756,K756),F756+K756-F756*K756),1)</f>
        <v>0.20427000000000001</v>
      </c>
      <c r="M756" s="2">
        <f>PARAM!$I$38</f>
        <v>0</v>
      </c>
      <c r="N756" s="11">
        <f>VLOOKUP(B756,DEDN!$A$8:$O$90,$N$2)*M756</f>
        <v>0</v>
      </c>
      <c r="O756" s="12"/>
      <c r="P756" s="10">
        <f>PARAM!$C$53^-A756</f>
        <v>1</v>
      </c>
      <c r="Q756" s="10">
        <f t="shared" si="221"/>
        <v>8.2743437667755396E-2</v>
      </c>
      <c r="R756" s="10">
        <f t="shared" ref="R756:R771" si="223">P756*Q756</f>
        <v>8.2743437667755396E-2</v>
      </c>
      <c r="S756" s="10">
        <f>CHOOSE(PARAM!$B$51,R756,R756,0,0)*(A756&lt;PARAM!$B$55)</f>
        <v>0</v>
      </c>
      <c r="T756" s="10">
        <f t="shared" si="211"/>
        <v>1.5606354721066501E-3</v>
      </c>
      <c r="U756" s="10">
        <f>T756*P756*(A756&lt;PARAM!$B$55)</f>
        <v>0</v>
      </c>
      <c r="W756">
        <v>753</v>
      </c>
      <c r="X756" s="178">
        <f t="shared" si="222"/>
        <v>94</v>
      </c>
      <c r="Y756" s="178">
        <f t="shared" si="222"/>
        <v>94</v>
      </c>
      <c r="Z756" s="178">
        <f t="shared" si="222"/>
        <v>63</v>
      </c>
      <c r="AA756" s="178">
        <f t="shared" si="222"/>
        <v>63</v>
      </c>
      <c r="AD756" s="17">
        <f>CALC!E780*(A756&lt;PARAM!$B$55)</f>
        <v>0</v>
      </c>
      <c r="AE756">
        <f>IF(A756&lt;ITER!$C$16,1,PARAM!$C$53^-(RATES!A756-ITER!$C$16))*(A756&lt;PARAM!$B$55)</f>
        <v>0</v>
      </c>
    </row>
    <row r="757" spans="1:31" x14ac:dyDescent="0.2">
      <c r="A757" s="9">
        <v>754</v>
      </c>
      <c r="B757" s="178">
        <f t="shared" si="219"/>
        <v>94</v>
      </c>
      <c r="C757" s="178">
        <f t="shared" si="219"/>
        <v>94</v>
      </c>
      <c r="D757" s="2">
        <f>PARAM!$H$38</f>
        <v>1</v>
      </c>
      <c r="E757" s="11">
        <f>PARAM!$G$38</f>
        <v>0</v>
      </c>
      <c r="F757" s="11">
        <f>(VLOOKUP(C757,DEDN!$A$8:$O$902,$F$2)*D757+E757)/1000</f>
        <v>0.20427000000000001</v>
      </c>
      <c r="G757" s="178">
        <f t="shared" si="220"/>
        <v>63</v>
      </c>
      <c r="H757" s="178">
        <f t="shared" si="220"/>
        <v>63</v>
      </c>
      <c r="I757" s="2">
        <f>PARAM!$H$39</f>
        <v>0</v>
      </c>
      <c r="J757" s="11">
        <f>PARAM!$G$39</f>
        <v>0</v>
      </c>
      <c r="K757" s="11">
        <f>(VLOOKUP(H757,DEDN!$A$8:$O$902,$K$2)*I757+J757)/1000</f>
        <v>0</v>
      </c>
      <c r="L757" s="11">
        <f>MIN(IF(PARAM!$B$43=3,CHOOSE($L$2,F757,K757),F757+K757-F757*K757),1)</f>
        <v>0.20427000000000001</v>
      </c>
      <c r="M757" s="2">
        <f>PARAM!$I$38</f>
        <v>0</v>
      </c>
      <c r="N757" s="11">
        <f>VLOOKUP(B757,DEDN!$A$8:$O$90,$N$2)*M757</f>
        <v>0</v>
      </c>
      <c r="O757" s="12"/>
      <c r="P757" s="10">
        <f>PARAM!$C$53^-A757</f>
        <v>1</v>
      </c>
      <c r="Q757" s="10">
        <f t="shared" ref="Q757:Q772" si="224">Q756*(1-L756)^(1/12)</f>
        <v>8.1182802195648746E-2</v>
      </c>
      <c r="R757" s="10">
        <f t="shared" si="223"/>
        <v>8.1182802195648746E-2</v>
      </c>
      <c r="S757" s="10">
        <f>CHOOSE(PARAM!$B$51,R757,0,0,0)*(A757&lt;PARAM!$B$55)</f>
        <v>0</v>
      </c>
      <c r="T757" s="10">
        <f t="shared" si="211"/>
        <v>1.5312001096725036E-3</v>
      </c>
      <c r="U757" s="10">
        <f>T757*P757*(A757&lt;PARAM!$B$55)</f>
        <v>0</v>
      </c>
      <c r="W757">
        <v>754</v>
      </c>
      <c r="X757" s="178">
        <f t="shared" si="222"/>
        <v>94</v>
      </c>
      <c r="Y757" s="178">
        <f t="shared" si="222"/>
        <v>94</v>
      </c>
      <c r="Z757" s="178">
        <f t="shared" si="222"/>
        <v>63</v>
      </c>
      <c r="AA757" s="178">
        <f t="shared" si="222"/>
        <v>63</v>
      </c>
      <c r="AD757" s="17">
        <f>CALC!E781*(A757&lt;PARAM!$B$55)</f>
        <v>0</v>
      </c>
      <c r="AE757">
        <f>IF(A757&lt;ITER!$C$16,1,PARAM!$C$53^-(RATES!A757-ITER!$C$16))*(A757&lt;PARAM!$B$55)</f>
        <v>0</v>
      </c>
    </row>
    <row r="758" spans="1:31" x14ac:dyDescent="0.2">
      <c r="A758" s="9">
        <v>755</v>
      </c>
      <c r="B758" s="178">
        <f t="shared" si="219"/>
        <v>94</v>
      </c>
      <c r="C758" s="178">
        <f t="shared" si="219"/>
        <v>94</v>
      </c>
      <c r="D758" s="2">
        <f>PARAM!$H$38</f>
        <v>1</v>
      </c>
      <c r="E758" s="11">
        <f>PARAM!$G$38</f>
        <v>0</v>
      </c>
      <c r="F758" s="11">
        <f>(VLOOKUP(C758,DEDN!$A$8:$O$902,$F$2)*D758+E758)/1000</f>
        <v>0.20427000000000001</v>
      </c>
      <c r="G758" s="178">
        <f t="shared" si="220"/>
        <v>63</v>
      </c>
      <c r="H758" s="178">
        <f t="shared" si="220"/>
        <v>63</v>
      </c>
      <c r="I758" s="2">
        <f>PARAM!$H$39</f>
        <v>0</v>
      </c>
      <c r="J758" s="11">
        <f>PARAM!$G$39</f>
        <v>0</v>
      </c>
      <c r="K758" s="11">
        <f>(VLOOKUP(H758,DEDN!$A$8:$O$902,$K$2)*I758+J758)/1000</f>
        <v>0</v>
      </c>
      <c r="L758" s="11">
        <f>MIN(IF(PARAM!$B$43=3,CHOOSE($L$2,F758,K758),F758+K758-F758*K758),1)</f>
        <v>0.20427000000000001</v>
      </c>
      <c r="M758" s="2">
        <f>PARAM!$I$38</f>
        <v>0</v>
      </c>
      <c r="N758" s="11">
        <f>VLOOKUP(B758,DEDN!$A$8:$O$90,$N$2)*M758</f>
        <v>0</v>
      </c>
      <c r="O758" s="12"/>
      <c r="P758" s="10">
        <f>PARAM!$C$53^-A758</f>
        <v>1</v>
      </c>
      <c r="Q758" s="10">
        <f t="shared" si="224"/>
        <v>7.9651602085976242E-2</v>
      </c>
      <c r="R758" s="10">
        <f t="shared" si="223"/>
        <v>7.9651602085976242E-2</v>
      </c>
      <c r="S758" s="10">
        <f>CHOOSE(PARAM!$B$51,R758,0,0,0)*(A758&lt;PARAM!$B$55)</f>
        <v>0</v>
      </c>
      <c r="T758" s="10">
        <f t="shared" si="211"/>
        <v>1.5023199316982205E-3</v>
      </c>
      <c r="U758" s="10">
        <f>T758*P758*(A758&lt;PARAM!$B$55)</f>
        <v>0</v>
      </c>
      <c r="W758">
        <v>755</v>
      </c>
      <c r="X758" s="178">
        <f t="shared" si="222"/>
        <v>94</v>
      </c>
      <c r="Y758" s="178">
        <f t="shared" si="222"/>
        <v>94</v>
      </c>
      <c r="Z758" s="178">
        <f t="shared" si="222"/>
        <v>63</v>
      </c>
      <c r="AA758" s="178">
        <f t="shared" si="222"/>
        <v>63</v>
      </c>
      <c r="AD758" s="17">
        <f>CALC!E782*(A758&lt;PARAM!$B$55)</f>
        <v>0</v>
      </c>
      <c r="AE758">
        <f>IF(A758&lt;ITER!$C$16,1,PARAM!$C$53^-(RATES!A758-ITER!$C$16))*(A758&lt;PARAM!$B$55)</f>
        <v>0</v>
      </c>
    </row>
    <row r="759" spans="1:31" x14ac:dyDescent="0.2">
      <c r="A759" s="9">
        <v>756</v>
      </c>
      <c r="B759" s="178">
        <f t="shared" si="219"/>
        <v>94</v>
      </c>
      <c r="C759" s="178">
        <f t="shared" si="219"/>
        <v>94</v>
      </c>
      <c r="D759" s="2">
        <f>PARAM!$H$38</f>
        <v>1</v>
      </c>
      <c r="E759" s="11">
        <f>PARAM!$G$38</f>
        <v>0</v>
      </c>
      <c r="F759" s="11">
        <f>(VLOOKUP(C759,DEDN!$A$8:$O$902,$F$2)*D759+E759)/1000</f>
        <v>0.20427000000000001</v>
      </c>
      <c r="G759" s="178">
        <f t="shared" si="220"/>
        <v>63</v>
      </c>
      <c r="H759" s="178">
        <f t="shared" si="220"/>
        <v>63</v>
      </c>
      <c r="I759" s="2">
        <f>PARAM!$H$39</f>
        <v>0</v>
      </c>
      <c r="J759" s="11">
        <f>PARAM!$G$39</f>
        <v>0</v>
      </c>
      <c r="K759" s="11">
        <f>(VLOOKUP(H759,DEDN!$A$8:$O$902,$K$2)*I759+J759)/1000</f>
        <v>0</v>
      </c>
      <c r="L759" s="11">
        <f>MIN(IF(PARAM!$B$43=3,CHOOSE($L$2,F759,K759),F759+K759-F759*K759),1)</f>
        <v>0.20427000000000001</v>
      </c>
      <c r="M759" s="2">
        <f>PARAM!$I$38</f>
        <v>0</v>
      </c>
      <c r="N759" s="11">
        <f>VLOOKUP(B759,DEDN!$A$8:$O$90,$N$2)*M759</f>
        <v>0</v>
      </c>
      <c r="O759" s="12"/>
      <c r="P759" s="10">
        <f>PARAM!$C$53^-A759</f>
        <v>1</v>
      </c>
      <c r="Q759" s="10">
        <f t="shared" si="224"/>
        <v>7.8149282154278021E-2</v>
      </c>
      <c r="R759" s="10">
        <f t="shared" si="223"/>
        <v>7.8149282154278021E-2</v>
      </c>
      <c r="S759" s="10">
        <f>R759*(A759&lt;PARAM!$B$55)</f>
        <v>0</v>
      </c>
      <c r="T759" s="10">
        <f t="shared" si="211"/>
        <v>1.4739844667725904E-3</v>
      </c>
      <c r="U759" s="10">
        <f>T759*P759*(A759&lt;PARAM!$B$55)</f>
        <v>0</v>
      </c>
      <c r="W759">
        <v>756</v>
      </c>
      <c r="X759" s="178">
        <f t="shared" si="222"/>
        <v>94</v>
      </c>
      <c r="Y759" s="178">
        <f t="shared" si="222"/>
        <v>94</v>
      </c>
      <c r="Z759" s="178">
        <f t="shared" si="222"/>
        <v>63</v>
      </c>
      <c r="AA759" s="178">
        <f t="shared" si="222"/>
        <v>63</v>
      </c>
      <c r="AD759" s="17">
        <f>CALC!E783*(A759&lt;PARAM!$B$55)</f>
        <v>0</v>
      </c>
      <c r="AE759">
        <f>IF(A759&lt;ITER!$C$16,1,PARAM!$C$53^-(RATES!A759-ITER!$C$16))*(A759&lt;PARAM!$B$55)</f>
        <v>0</v>
      </c>
    </row>
    <row r="760" spans="1:31" x14ac:dyDescent="0.2">
      <c r="A760" s="9">
        <v>757</v>
      </c>
      <c r="B760" s="178">
        <f t="shared" si="219"/>
        <v>94</v>
      </c>
      <c r="C760" s="178">
        <f t="shared" si="219"/>
        <v>94</v>
      </c>
      <c r="D760" s="2">
        <f>PARAM!$H$38</f>
        <v>1</v>
      </c>
      <c r="E760" s="11">
        <f>PARAM!$G$38</f>
        <v>0</v>
      </c>
      <c r="F760" s="11">
        <f>(VLOOKUP(C760,DEDN!$A$8:$O$902,$F$2)*D760+E760)/1000</f>
        <v>0.20427000000000001</v>
      </c>
      <c r="G760" s="178">
        <f t="shared" si="220"/>
        <v>63</v>
      </c>
      <c r="H760" s="178">
        <f t="shared" si="220"/>
        <v>63</v>
      </c>
      <c r="I760" s="2">
        <f>PARAM!$H$39</f>
        <v>0</v>
      </c>
      <c r="J760" s="11">
        <f>PARAM!$G$39</f>
        <v>0</v>
      </c>
      <c r="K760" s="11">
        <f>(VLOOKUP(H760,DEDN!$A$8:$O$902,$K$2)*I760+J760)/1000</f>
        <v>0</v>
      </c>
      <c r="L760" s="11">
        <f>MIN(IF(PARAM!$B$43=3,CHOOSE($L$2,F760,K760),F760+K760-F760*K760),1)</f>
        <v>0.20427000000000001</v>
      </c>
      <c r="M760" s="2">
        <f>PARAM!$I$38</f>
        <v>0</v>
      </c>
      <c r="N760" s="11">
        <f>VLOOKUP(B760,DEDN!$A$8:$O$90,$N$2)*M760</f>
        <v>0</v>
      </c>
      <c r="O760" s="12"/>
      <c r="P760" s="10">
        <f>PARAM!$C$53^-A760</f>
        <v>1</v>
      </c>
      <c r="Q760" s="10">
        <f t="shared" si="224"/>
        <v>7.6675297687505431E-2</v>
      </c>
      <c r="R760" s="10">
        <f t="shared" si="223"/>
        <v>7.6675297687505431E-2</v>
      </c>
      <c r="S760" s="10">
        <f>CHOOSE(PARAM!$B$51,R760,0,0,0)*(A760&lt;PARAM!$B$55)</f>
        <v>0</v>
      </c>
      <c r="T760" s="10">
        <f t="shared" si="211"/>
        <v>1.4461834409871255E-3</v>
      </c>
      <c r="U760" s="10">
        <f>T760*P760*(A760&lt;PARAM!$B$55)</f>
        <v>0</v>
      </c>
      <c r="W760">
        <v>757</v>
      </c>
      <c r="X760" s="178">
        <f t="shared" si="222"/>
        <v>94</v>
      </c>
      <c r="Y760" s="178">
        <f t="shared" si="222"/>
        <v>94</v>
      </c>
      <c r="Z760" s="178">
        <f t="shared" si="222"/>
        <v>63</v>
      </c>
      <c r="AA760" s="178">
        <f t="shared" si="222"/>
        <v>63</v>
      </c>
      <c r="AD760" s="17">
        <f>CALC!E784*(A760&lt;PARAM!$B$55)</f>
        <v>0</v>
      </c>
      <c r="AE760">
        <f>IF(A760&lt;ITER!$C$16,1,PARAM!$C$53^-(RATES!A760-ITER!$C$16))*(A760&lt;PARAM!$B$55)</f>
        <v>0</v>
      </c>
    </row>
    <row r="761" spans="1:31" x14ac:dyDescent="0.2">
      <c r="A761" s="9">
        <v>758</v>
      </c>
      <c r="B761" s="178">
        <f t="shared" ref="B761:C780" si="225">B749+1</f>
        <v>94</v>
      </c>
      <c r="C761" s="178">
        <f t="shared" si="225"/>
        <v>94</v>
      </c>
      <c r="D761" s="2">
        <f>PARAM!$H$38</f>
        <v>1</v>
      </c>
      <c r="E761" s="11">
        <f>PARAM!$G$38</f>
        <v>0</v>
      </c>
      <c r="F761" s="11">
        <f>(VLOOKUP(C761,DEDN!$A$8:$O$902,$F$2)*D761+E761)/1000</f>
        <v>0.20427000000000001</v>
      </c>
      <c r="G761" s="178">
        <f t="shared" ref="G761:H780" si="226">G749+1</f>
        <v>63</v>
      </c>
      <c r="H761" s="178">
        <f t="shared" si="226"/>
        <v>63</v>
      </c>
      <c r="I761" s="2">
        <f>PARAM!$H$39</f>
        <v>0</v>
      </c>
      <c r="J761" s="11">
        <f>PARAM!$G$39</f>
        <v>0</v>
      </c>
      <c r="K761" s="11">
        <f>(VLOOKUP(H761,DEDN!$A$8:$O$902,$K$2)*I761+J761)/1000</f>
        <v>0</v>
      </c>
      <c r="L761" s="11">
        <f>MIN(IF(PARAM!$B$43=3,CHOOSE($L$2,F761,K761),F761+K761-F761*K761),1)</f>
        <v>0.20427000000000001</v>
      </c>
      <c r="M761" s="2">
        <f>PARAM!$I$38</f>
        <v>0</v>
      </c>
      <c r="N761" s="11">
        <f>VLOOKUP(B761,DEDN!$A$8:$O$90,$N$2)*M761</f>
        <v>0</v>
      </c>
      <c r="O761" s="12"/>
      <c r="P761" s="10">
        <f>PARAM!$C$53^-A761</f>
        <v>1</v>
      </c>
      <c r="Q761" s="10">
        <f t="shared" si="224"/>
        <v>7.5229114246518305E-2</v>
      </c>
      <c r="R761" s="10">
        <f t="shared" si="223"/>
        <v>7.5229114246518305E-2</v>
      </c>
      <c r="S761" s="10">
        <f>CHOOSE(PARAM!$B$51,R761,0,0,0)*(A761&lt;PARAM!$B$55)</f>
        <v>0</v>
      </c>
      <c r="T761" s="10">
        <f t="shared" si="211"/>
        <v>1.4189067742109568E-3</v>
      </c>
      <c r="U761" s="10">
        <f>T761*P761*(A761&lt;PARAM!$B$55)</f>
        <v>0</v>
      </c>
      <c r="W761">
        <v>758</v>
      </c>
      <c r="X761" s="178">
        <f t="shared" ref="X761:AA780" si="227">X749+1</f>
        <v>94</v>
      </c>
      <c r="Y761" s="178">
        <f t="shared" si="227"/>
        <v>94</v>
      </c>
      <c r="Z761" s="178">
        <f t="shared" si="227"/>
        <v>63</v>
      </c>
      <c r="AA761" s="178">
        <f t="shared" si="227"/>
        <v>63</v>
      </c>
      <c r="AD761" s="17">
        <f>CALC!E785*(A761&lt;PARAM!$B$55)</f>
        <v>0</v>
      </c>
      <c r="AE761">
        <f>IF(A761&lt;ITER!$C$16,1,PARAM!$C$53^-(RATES!A761-ITER!$C$16))*(A761&lt;PARAM!$B$55)</f>
        <v>0</v>
      </c>
    </row>
    <row r="762" spans="1:31" x14ac:dyDescent="0.2">
      <c r="A762" s="9">
        <v>759</v>
      </c>
      <c r="B762" s="178">
        <f t="shared" si="225"/>
        <v>94</v>
      </c>
      <c r="C762" s="178">
        <f t="shared" si="225"/>
        <v>94</v>
      </c>
      <c r="D762" s="2">
        <f>PARAM!$H$38</f>
        <v>1</v>
      </c>
      <c r="E762" s="11">
        <f>PARAM!$G$38</f>
        <v>0</v>
      </c>
      <c r="F762" s="11">
        <f>(VLOOKUP(C762,DEDN!$A$8:$O$902,$F$2)*D762+E762)/1000</f>
        <v>0.20427000000000001</v>
      </c>
      <c r="G762" s="178">
        <f t="shared" si="226"/>
        <v>63</v>
      </c>
      <c r="H762" s="178">
        <f t="shared" si="226"/>
        <v>63</v>
      </c>
      <c r="I762" s="2">
        <f>PARAM!$H$39</f>
        <v>0</v>
      </c>
      <c r="J762" s="11">
        <f>PARAM!$G$39</f>
        <v>0</v>
      </c>
      <c r="K762" s="11">
        <f>(VLOOKUP(H762,DEDN!$A$8:$O$902,$K$2)*I762+J762)/1000</f>
        <v>0</v>
      </c>
      <c r="L762" s="11">
        <f>MIN(IF(PARAM!$B$43=3,CHOOSE($L$2,F762,K762),F762+K762-F762*K762),1)</f>
        <v>0.20427000000000001</v>
      </c>
      <c r="M762" s="2">
        <f>PARAM!$I$38</f>
        <v>0</v>
      </c>
      <c r="N762" s="11">
        <f>VLOOKUP(B762,DEDN!$A$8:$O$90,$N$2)*M762</f>
        <v>0</v>
      </c>
      <c r="O762" s="12"/>
      <c r="P762" s="10">
        <f>PARAM!$C$53^-A762</f>
        <v>1</v>
      </c>
      <c r="Q762" s="10">
        <f t="shared" si="224"/>
        <v>7.3810207472307349E-2</v>
      </c>
      <c r="R762" s="10">
        <f t="shared" si="223"/>
        <v>7.3810207472307349E-2</v>
      </c>
      <c r="S762" s="10">
        <f>CHOOSE(PARAM!$B$51,R762,R762,0,0)*(A762&lt;PARAM!$B$55)</f>
        <v>0</v>
      </c>
      <c r="T762" s="10">
        <f t="shared" si="211"/>
        <v>1.3921445764359802E-3</v>
      </c>
      <c r="U762" s="10">
        <f>T762*P762*(A762&lt;PARAM!$B$55)</f>
        <v>0</v>
      </c>
      <c r="W762">
        <v>759</v>
      </c>
      <c r="X762" s="178">
        <f t="shared" si="227"/>
        <v>94</v>
      </c>
      <c r="Y762" s="178">
        <f t="shared" si="227"/>
        <v>94</v>
      </c>
      <c r="Z762" s="178">
        <f t="shared" si="227"/>
        <v>63</v>
      </c>
      <c r="AA762" s="178">
        <f t="shared" si="227"/>
        <v>63</v>
      </c>
      <c r="AD762" s="17">
        <f>CALC!E786*(A762&lt;PARAM!$B$55)</f>
        <v>0</v>
      </c>
      <c r="AE762">
        <f>IF(A762&lt;ITER!$C$16,1,PARAM!$C$53^-(RATES!A762-ITER!$C$16))*(A762&lt;PARAM!$B$55)</f>
        <v>0</v>
      </c>
    </row>
    <row r="763" spans="1:31" x14ac:dyDescent="0.2">
      <c r="A763" s="9">
        <v>760</v>
      </c>
      <c r="B763" s="178">
        <f t="shared" si="225"/>
        <v>94</v>
      </c>
      <c r="C763" s="178">
        <f t="shared" si="225"/>
        <v>94</v>
      </c>
      <c r="D763" s="2">
        <f>PARAM!$H$38</f>
        <v>1</v>
      </c>
      <c r="E763" s="11">
        <f>PARAM!$G$38</f>
        <v>0</v>
      </c>
      <c r="F763" s="11">
        <f>(VLOOKUP(C763,DEDN!$A$8:$O$902,$F$2)*D763+E763)/1000</f>
        <v>0.20427000000000001</v>
      </c>
      <c r="G763" s="178">
        <f t="shared" si="226"/>
        <v>63</v>
      </c>
      <c r="H763" s="178">
        <f t="shared" si="226"/>
        <v>63</v>
      </c>
      <c r="I763" s="2">
        <f>PARAM!$H$39</f>
        <v>0</v>
      </c>
      <c r="J763" s="11">
        <f>PARAM!$G$39</f>
        <v>0</v>
      </c>
      <c r="K763" s="11">
        <f>(VLOOKUP(H763,DEDN!$A$8:$O$902,$K$2)*I763+J763)/1000</f>
        <v>0</v>
      </c>
      <c r="L763" s="11">
        <f>MIN(IF(PARAM!$B$43=3,CHOOSE($L$2,F763,K763),F763+K763-F763*K763),1)</f>
        <v>0.20427000000000001</v>
      </c>
      <c r="M763" s="2">
        <f>PARAM!$I$38</f>
        <v>0</v>
      </c>
      <c r="N763" s="11">
        <f>VLOOKUP(B763,DEDN!$A$8:$O$90,$N$2)*M763</f>
        <v>0</v>
      </c>
      <c r="O763" s="12"/>
      <c r="P763" s="10">
        <f>PARAM!$C$53^-A763</f>
        <v>1</v>
      </c>
      <c r="Q763" s="10">
        <f t="shared" si="224"/>
        <v>7.2418062895871368E-2</v>
      </c>
      <c r="R763" s="10">
        <f t="shared" si="223"/>
        <v>7.2418062895871368E-2</v>
      </c>
      <c r="S763" s="10">
        <f>CHOOSE(PARAM!$B$51,R763,0,0,0)*(A763&lt;PARAM!$B$55)</f>
        <v>0</v>
      </c>
      <c r="T763" s="10">
        <f t="shared" si="211"/>
        <v>1.3658871441908915E-3</v>
      </c>
      <c r="U763" s="10">
        <f>T763*P763*(A763&lt;PARAM!$B$55)</f>
        <v>0</v>
      </c>
      <c r="W763">
        <v>760</v>
      </c>
      <c r="X763" s="178">
        <f t="shared" si="227"/>
        <v>94</v>
      </c>
      <c r="Y763" s="178">
        <f t="shared" si="227"/>
        <v>94</v>
      </c>
      <c r="Z763" s="178">
        <f t="shared" si="227"/>
        <v>63</v>
      </c>
      <c r="AA763" s="178">
        <f t="shared" si="227"/>
        <v>63</v>
      </c>
      <c r="AD763" s="17">
        <f>CALC!E787*(A763&lt;PARAM!$B$55)</f>
        <v>0</v>
      </c>
      <c r="AE763">
        <f>IF(A763&lt;ITER!$C$16,1,PARAM!$C$53^-(RATES!A763-ITER!$C$16))*(A763&lt;PARAM!$B$55)</f>
        <v>0</v>
      </c>
    </row>
    <row r="764" spans="1:31" x14ac:dyDescent="0.2">
      <c r="A764" s="9">
        <v>761</v>
      </c>
      <c r="B764" s="178">
        <f t="shared" si="225"/>
        <v>94</v>
      </c>
      <c r="C764" s="178">
        <f t="shared" si="225"/>
        <v>94</v>
      </c>
      <c r="D764" s="2">
        <f>PARAM!$H$38</f>
        <v>1</v>
      </c>
      <c r="E764" s="11">
        <f>PARAM!$G$38</f>
        <v>0</v>
      </c>
      <c r="F764" s="11">
        <f>(VLOOKUP(C764,DEDN!$A$8:$O$902,$F$2)*D764+E764)/1000</f>
        <v>0.20427000000000001</v>
      </c>
      <c r="G764" s="178">
        <f t="shared" si="226"/>
        <v>63</v>
      </c>
      <c r="H764" s="178">
        <f t="shared" si="226"/>
        <v>63</v>
      </c>
      <c r="I764" s="2">
        <f>PARAM!$H$39</f>
        <v>0</v>
      </c>
      <c r="J764" s="11">
        <f>PARAM!$G$39</f>
        <v>0</v>
      </c>
      <c r="K764" s="11">
        <f>(VLOOKUP(H764,DEDN!$A$8:$O$902,$K$2)*I764+J764)/1000</f>
        <v>0</v>
      </c>
      <c r="L764" s="11">
        <f>MIN(IF(PARAM!$B$43=3,CHOOSE($L$2,F764,K764),F764+K764-F764*K764),1)</f>
        <v>0.20427000000000001</v>
      </c>
      <c r="M764" s="2">
        <f>PARAM!$I$38</f>
        <v>0</v>
      </c>
      <c r="N764" s="11">
        <f>VLOOKUP(B764,DEDN!$A$8:$O$90,$N$2)*M764</f>
        <v>0</v>
      </c>
      <c r="O764" s="12"/>
      <c r="P764" s="10">
        <f>PARAM!$C$53^-A764</f>
        <v>1</v>
      </c>
      <c r="Q764" s="10">
        <f t="shared" si="224"/>
        <v>7.1052175751680477E-2</v>
      </c>
      <c r="R764" s="10">
        <f t="shared" si="223"/>
        <v>7.1052175751680477E-2</v>
      </c>
      <c r="S764" s="10">
        <f>CHOOSE(PARAM!$B$51,R764,0,0,0)*(A764&lt;PARAM!$B$55)</f>
        <v>0</v>
      </c>
      <c r="T764" s="10">
        <f t="shared" si="211"/>
        <v>1.3401249570229173E-3</v>
      </c>
      <c r="U764" s="10">
        <f>T764*P764*(A764&lt;PARAM!$B$55)</f>
        <v>0</v>
      </c>
      <c r="W764">
        <v>761</v>
      </c>
      <c r="X764" s="178">
        <f t="shared" si="227"/>
        <v>94</v>
      </c>
      <c r="Y764" s="178">
        <f t="shared" si="227"/>
        <v>94</v>
      </c>
      <c r="Z764" s="178">
        <f t="shared" si="227"/>
        <v>63</v>
      </c>
      <c r="AA764" s="178">
        <f t="shared" si="227"/>
        <v>63</v>
      </c>
      <c r="AD764" s="17">
        <f>CALC!E788*(A764&lt;PARAM!$B$55)</f>
        <v>0</v>
      </c>
      <c r="AE764">
        <f>IF(A764&lt;ITER!$C$16,1,PARAM!$C$53^-(RATES!A764-ITER!$C$16))*(A764&lt;PARAM!$B$55)</f>
        <v>0</v>
      </c>
    </row>
    <row r="765" spans="1:31" x14ac:dyDescent="0.2">
      <c r="A765" s="9">
        <v>762</v>
      </c>
      <c r="B765" s="178">
        <f t="shared" si="225"/>
        <v>95</v>
      </c>
      <c r="C765" s="178">
        <f t="shared" si="225"/>
        <v>95</v>
      </c>
      <c r="D765" s="2">
        <f>PARAM!$H$38</f>
        <v>1</v>
      </c>
      <c r="E765" s="11">
        <f>PARAM!$G$38</f>
        <v>0</v>
      </c>
      <c r="F765" s="11">
        <f>(VLOOKUP(C765,DEDN!$A$8:$O$902,$F$2)*D765+E765)/1000</f>
        <v>0.21903</v>
      </c>
      <c r="G765" s="178">
        <f t="shared" si="226"/>
        <v>64</v>
      </c>
      <c r="H765" s="178">
        <f t="shared" si="226"/>
        <v>64</v>
      </c>
      <c r="I765" s="2">
        <f>PARAM!$H$39</f>
        <v>0</v>
      </c>
      <c r="J765" s="11">
        <f>PARAM!$G$39</f>
        <v>0</v>
      </c>
      <c r="K765" s="11">
        <f>(VLOOKUP(H765,DEDN!$A$8:$O$902,$K$2)*I765+J765)/1000</f>
        <v>0</v>
      </c>
      <c r="L765" s="11">
        <f>MIN(IF(PARAM!$B$43=3,CHOOSE($L$2,F765,K765),F765+K765-F765*K765),1)</f>
        <v>0.21903</v>
      </c>
      <c r="M765" s="2">
        <f>PARAM!$I$38</f>
        <v>0</v>
      </c>
      <c r="N765" s="11">
        <f>VLOOKUP(B765,DEDN!$A$8:$O$90,$N$2)*M765</f>
        <v>0</v>
      </c>
      <c r="O765" s="12"/>
      <c r="P765" s="10">
        <f>PARAM!$C$53^-A765</f>
        <v>1</v>
      </c>
      <c r="Q765" s="10">
        <f t="shared" si="224"/>
        <v>6.971205079465756E-2</v>
      </c>
      <c r="R765" s="10">
        <f t="shared" si="223"/>
        <v>6.971205079465756E-2</v>
      </c>
      <c r="S765" s="10">
        <f>CHOOSE(PARAM!$B$51,R765,R765,R765,0)*(A765&lt;PARAM!$B$55)</f>
        <v>0</v>
      </c>
      <c r="T765" s="10">
        <f t="shared" si="211"/>
        <v>1.4214833121931197E-3</v>
      </c>
      <c r="U765" s="10">
        <f>T765*P765*(A765&lt;PARAM!$B$55)</f>
        <v>0</v>
      </c>
      <c r="W765">
        <v>762</v>
      </c>
      <c r="X765" s="178">
        <f t="shared" si="227"/>
        <v>95</v>
      </c>
      <c r="Y765" s="178">
        <f t="shared" si="227"/>
        <v>95</v>
      </c>
      <c r="Z765" s="178">
        <f t="shared" si="227"/>
        <v>64</v>
      </c>
      <c r="AA765" s="178">
        <f t="shared" si="227"/>
        <v>64</v>
      </c>
      <c r="AD765" s="17">
        <f>CALC!E789*(A765&lt;PARAM!$B$55)</f>
        <v>0</v>
      </c>
      <c r="AE765">
        <f>IF(A765&lt;ITER!$C$16,1,PARAM!$C$53^-(RATES!A765-ITER!$C$16))*(A765&lt;PARAM!$B$55)</f>
        <v>0</v>
      </c>
    </row>
    <row r="766" spans="1:31" x14ac:dyDescent="0.2">
      <c r="A766" s="9">
        <v>763</v>
      </c>
      <c r="B766" s="178">
        <f t="shared" si="225"/>
        <v>95</v>
      </c>
      <c r="C766" s="178">
        <f t="shared" si="225"/>
        <v>95</v>
      </c>
      <c r="D766" s="2">
        <f>PARAM!$H$38</f>
        <v>1</v>
      </c>
      <c r="E766" s="11">
        <f>PARAM!$G$38</f>
        <v>0</v>
      </c>
      <c r="F766" s="11">
        <f>(VLOOKUP(C766,DEDN!$A$8:$O$902,$F$2)*D766+E766)/1000</f>
        <v>0.21903</v>
      </c>
      <c r="G766" s="178">
        <f t="shared" si="226"/>
        <v>64</v>
      </c>
      <c r="H766" s="178">
        <f t="shared" si="226"/>
        <v>64</v>
      </c>
      <c r="I766" s="2">
        <f>PARAM!$H$39</f>
        <v>0</v>
      </c>
      <c r="J766" s="11">
        <f>PARAM!$G$39</f>
        <v>0</v>
      </c>
      <c r="K766" s="11">
        <f>(VLOOKUP(H766,DEDN!$A$8:$O$902,$K$2)*I766+J766)/1000</f>
        <v>0</v>
      </c>
      <c r="L766" s="11">
        <f>MIN(IF(PARAM!$B$43=3,CHOOSE($L$2,F766,K766),F766+K766-F766*K766),1)</f>
        <v>0.21903</v>
      </c>
      <c r="M766" s="2">
        <f>PARAM!$I$38</f>
        <v>0</v>
      </c>
      <c r="N766" s="11">
        <f>VLOOKUP(B766,DEDN!$A$8:$O$90,$N$2)*M766</f>
        <v>0</v>
      </c>
      <c r="O766" s="12"/>
      <c r="P766" s="10">
        <f>PARAM!$C$53^-A766</f>
        <v>1</v>
      </c>
      <c r="Q766" s="10">
        <f t="shared" si="224"/>
        <v>6.829056748246444E-2</v>
      </c>
      <c r="R766" s="10">
        <f t="shared" si="223"/>
        <v>6.829056748246444E-2</v>
      </c>
      <c r="S766" s="10">
        <f>CHOOSE(PARAM!$B$51,R766,0,0,0)*(A766&lt;PARAM!$B$55)</f>
        <v>0</v>
      </c>
      <c r="T766" s="10">
        <f t="shared" si="211"/>
        <v>1.3924981541923037E-3</v>
      </c>
      <c r="U766" s="10">
        <f>T766*P766*(A766&lt;PARAM!$B$55)</f>
        <v>0</v>
      </c>
      <c r="W766">
        <v>763</v>
      </c>
      <c r="X766" s="178">
        <f t="shared" si="227"/>
        <v>95</v>
      </c>
      <c r="Y766" s="178">
        <f t="shared" si="227"/>
        <v>95</v>
      </c>
      <c r="Z766" s="178">
        <f t="shared" si="227"/>
        <v>64</v>
      </c>
      <c r="AA766" s="178">
        <f t="shared" si="227"/>
        <v>64</v>
      </c>
      <c r="AD766" s="17">
        <f>CALC!E790*(A766&lt;PARAM!$B$55)</f>
        <v>0</v>
      </c>
      <c r="AE766">
        <f>IF(A766&lt;ITER!$C$16,1,PARAM!$C$53^-(RATES!A766-ITER!$C$16))*(A766&lt;PARAM!$B$55)</f>
        <v>0</v>
      </c>
    </row>
    <row r="767" spans="1:31" x14ac:dyDescent="0.2">
      <c r="A767" s="9">
        <v>764</v>
      </c>
      <c r="B767" s="178">
        <f t="shared" si="225"/>
        <v>95</v>
      </c>
      <c r="C767" s="178">
        <f t="shared" si="225"/>
        <v>95</v>
      </c>
      <c r="D767" s="2">
        <f>PARAM!$H$38</f>
        <v>1</v>
      </c>
      <c r="E767" s="11">
        <f>PARAM!$G$38</f>
        <v>0</v>
      </c>
      <c r="F767" s="11">
        <f>(VLOOKUP(C767,DEDN!$A$8:$O$902,$F$2)*D767+E767)/1000</f>
        <v>0.21903</v>
      </c>
      <c r="G767" s="178">
        <f t="shared" si="226"/>
        <v>64</v>
      </c>
      <c r="H767" s="178">
        <f t="shared" si="226"/>
        <v>64</v>
      </c>
      <c r="I767" s="2">
        <f>PARAM!$H$39</f>
        <v>0</v>
      </c>
      <c r="J767" s="11">
        <f>PARAM!$G$39</f>
        <v>0</v>
      </c>
      <c r="K767" s="11">
        <f>(VLOOKUP(H767,DEDN!$A$8:$O$902,$K$2)*I767+J767)/1000</f>
        <v>0</v>
      </c>
      <c r="L767" s="11">
        <f>MIN(IF(PARAM!$B$43=3,CHOOSE($L$2,F767,K767),F767+K767-F767*K767),1)</f>
        <v>0.21903</v>
      </c>
      <c r="M767" s="2">
        <f>PARAM!$I$38</f>
        <v>0</v>
      </c>
      <c r="N767" s="11">
        <f>VLOOKUP(B767,DEDN!$A$8:$O$90,$N$2)*M767</f>
        <v>0</v>
      </c>
      <c r="O767" s="12"/>
      <c r="P767" s="10">
        <f>PARAM!$C$53^-A767</f>
        <v>1</v>
      </c>
      <c r="Q767" s="10">
        <f t="shared" si="224"/>
        <v>6.6898069328272136E-2</v>
      </c>
      <c r="R767" s="10">
        <f t="shared" si="223"/>
        <v>6.6898069328272136E-2</v>
      </c>
      <c r="S767" s="10">
        <f>CHOOSE(PARAM!$B$51,R767,0,0,0)*(A767&lt;PARAM!$B$55)</f>
        <v>0</v>
      </c>
      <c r="T767" s="10">
        <f t="shared" si="211"/>
        <v>1.3641040262634824E-3</v>
      </c>
      <c r="U767" s="10">
        <f>T767*P767*(A767&lt;PARAM!$B$55)</f>
        <v>0</v>
      </c>
      <c r="W767">
        <v>764</v>
      </c>
      <c r="X767" s="178">
        <f t="shared" si="227"/>
        <v>95</v>
      </c>
      <c r="Y767" s="178">
        <f t="shared" si="227"/>
        <v>95</v>
      </c>
      <c r="Z767" s="178">
        <f t="shared" si="227"/>
        <v>64</v>
      </c>
      <c r="AA767" s="178">
        <f t="shared" si="227"/>
        <v>64</v>
      </c>
      <c r="AD767" s="17">
        <f>CALC!E791*(A767&lt;PARAM!$B$55)</f>
        <v>0</v>
      </c>
      <c r="AE767">
        <f>IF(A767&lt;ITER!$C$16,1,PARAM!$C$53^-(RATES!A767-ITER!$C$16))*(A767&lt;PARAM!$B$55)</f>
        <v>0</v>
      </c>
    </row>
    <row r="768" spans="1:31" x14ac:dyDescent="0.2">
      <c r="A768" s="9">
        <v>765</v>
      </c>
      <c r="B768" s="178">
        <f t="shared" si="225"/>
        <v>95</v>
      </c>
      <c r="C768" s="178">
        <f t="shared" si="225"/>
        <v>95</v>
      </c>
      <c r="D768" s="2">
        <f>PARAM!$H$38</f>
        <v>1</v>
      </c>
      <c r="E768" s="11">
        <f>PARAM!$G$38</f>
        <v>0</v>
      </c>
      <c r="F768" s="11">
        <f>(VLOOKUP(C768,DEDN!$A$8:$O$902,$F$2)*D768+E768)/1000</f>
        <v>0.21903</v>
      </c>
      <c r="G768" s="178">
        <f t="shared" si="226"/>
        <v>64</v>
      </c>
      <c r="H768" s="178">
        <f t="shared" si="226"/>
        <v>64</v>
      </c>
      <c r="I768" s="2">
        <f>PARAM!$H$39</f>
        <v>0</v>
      </c>
      <c r="J768" s="11">
        <f>PARAM!$G$39</f>
        <v>0</v>
      </c>
      <c r="K768" s="11">
        <f>(VLOOKUP(H768,DEDN!$A$8:$O$902,$K$2)*I768+J768)/1000</f>
        <v>0</v>
      </c>
      <c r="L768" s="11">
        <f>MIN(IF(PARAM!$B$43=3,CHOOSE($L$2,F768,K768),F768+K768-F768*K768),1)</f>
        <v>0.21903</v>
      </c>
      <c r="M768" s="2">
        <f>PARAM!$I$38</f>
        <v>0</v>
      </c>
      <c r="N768" s="11">
        <f>VLOOKUP(B768,DEDN!$A$8:$O$90,$N$2)*M768</f>
        <v>0</v>
      </c>
      <c r="O768" s="12"/>
      <c r="P768" s="10">
        <f>PARAM!$C$53^-A768</f>
        <v>1</v>
      </c>
      <c r="Q768" s="10">
        <f t="shared" si="224"/>
        <v>6.5533965302008654E-2</v>
      </c>
      <c r="R768" s="10">
        <f t="shared" si="223"/>
        <v>6.5533965302008654E-2</v>
      </c>
      <c r="S768" s="10">
        <f>CHOOSE(PARAM!$B$51,R768,R768,0,0)*(A768&lt;PARAM!$B$55)</f>
        <v>0</v>
      </c>
      <c r="T768" s="10">
        <f t="shared" si="211"/>
        <v>1.336288876840605E-3</v>
      </c>
      <c r="U768" s="10">
        <f>T768*P768*(A768&lt;PARAM!$B$55)</f>
        <v>0</v>
      </c>
      <c r="W768">
        <v>765</v>
      </c>
      <c r="X768" s="178">
        <f t="shared" si="227"/>
        <v>95</v>
      </c>
      <c r="Y768" s="178">
        <f t="shared" si="227"/>
        <v>95</v>
      </c>
      <c r="Z768" s="178">
        <f t="shared" si="227"/>
        <v>64</v>
      </c>
      <c r="AA768" s="178">
        <f t="shared" si="227"/>
        <v>64</v>
      </c>
      <c r="AD768" s="17">
        <f>CALC!E792*(A768&lt;PARAM!$B$55)</f>
        <v>0</v>
      </c>
      <c r="AE768">
        <f>IF(A768&lt;ITER!$C$16,1,PARAM!$C$53^-(RATES!A768-ITER!$C$16))*(A768&lt;PARAM!$B$55)</f>
        <v>0</v>
      </c>
    </row>
    <row r="769" spans="1:31" x14ac:dyDescent="0.2">
      <c r="A769" s="9">
        <v>766</v>
      </c>
      <c r="B769" s="178">
        <f t="shared" si="225"/>
        <v>95</v>
      </c>
      <c r="C769" s="178">
        <f t="shared" si="225"/>
        <v>95</v>
      </c>
      <c r="D769" s="2">
        <f>PARAM!$H$38</f>
        <v>1</v>
      </c>
      <c r="E769" s="11">
        <f>PARAM!$G$38</f>
        <v>0</v>
      </c>
      <c r="F769" s="11">
        <f>(VLOOKUP(C769,DEDN!$A$8:$O$902,$F$2)*D769+E769)/1000</f>
        <v>0.21903</v>
      </c>
      <c r="G769" s="178">
        <f t="shared" si="226"/>
        <v>64</v>
      </c>
      <c r="H769" s="178">
        <f t="shared" si="226"/>
        <v>64</v>
      </c>
      <c r="I769" s="2">
        <f>PARAM!$H$39</f>
        <v>0</v>
      </c>
      <c r="J769" s="11">
        <f>PARAM!$G$39</f>
        <v>0</v>
      </c>
      <c r="K769" s="11">
        <f>(VLOOKUP(H769,DEDN!$A$8:$O$902,$K$2)*I769+J769)/1000</f>
        <v>0</v>
      </c>
      <c r="L769" s="11">
        <f>MIN(IF(PARAM!$B$43=3,CHOOSE($L$2,F769,K769),F769+K769-F769*K769),1)</f>
        <v>0.21903</v>
      </c>
      <c r="M769" s="2">
        <f>PARAM!$I$38</f>
        <v>0</v>
      </c>
      <c r="N769" s="11">
        <f>VLOOKUP(B769,DEDN!$A$8:$O$90,$N$2)*M769</f>
        <v>0</v>
      </c>
      <c r="O769" s="12"/>
      <c r="P769" s="10">
        <f>PARAM!$C$53^-A769</f>
        <v>1</v>
      </c>
      <c r="Q769" s="10">
        <f t="shared" si="224"/>
        <v>6.4197676425168049E-2</v>
      </c>
      <c r="R769" s="10">
        <f t="shared" si="223"/>
        <v>6.4197676425168049E-2</v>
      </c>
      <c r="S769" s="10">
        <f>CHOOSE(PARAM!$B$51,R769,0,0,0)*(A769&lt;PARAM!$B$55)</f>
        <v>0</v>
      </c>
      <c r="T769" s="10">
        <f t="shared" si="211"/>
        <v>1.3090409000984793E-3</v>
      </c>
      <c r="U769" s="10">
        <f>T769*P769*(A769&lt;PARAM!$B$55)</f>
        <v>0</v>
      </c>
      <c r="W769">
        <v>766</v>
      </c>
      <c r="X769" s="178">
        <f t="shared" si="227"/>
        <v>95</v>
      </c>
      <c r="Y769" s="178">
        <f t="shared" si="227"/>
        <v>95</v>
      </c>
      <c r="Z769" s="178">
        <f t="shared" si="227"/>
        <v>64</v>
      </c>
      <c r="AA769" s="178">
        <f t="shared" si="227"/>
        <v>64</v>
      </c>
      <c r="AD769" s="17">
        <f>CALC!E793*(A769&lt;PARAM!$B$55)</f>
        <v>0</v>
      </c>
      <c r="AE769">
        <f>IF(A769&lt;ITER!$C$16,1,PARAM!$C$53^-(RATES!A769-ITER!$C$16))*(A769&lt;PARAM!$B$55)</f>
        <v>0</v>
      </c>
    </row>
    <row r="770" spans="1:31" x14ac:dyDescent="0.2">
      <c r="A770" s="9">
        <v>767</v>
      </c>
      <c r="B770" s="178">
        <f t="shared" si="225"/>
        <v>95</v>
      </c>
      <c r="C770" s="178">
        <f t="shared" si="225"/>
        <v>95</v>
      </c>
      <c r="D770" s="2">
        <f>PARAM!$H$38</f>
        <v>1</v>
      </c>
      <c r="E770" s="11">
        <f>PARAM!$G$38</f>
        <v>0</v>
      </c>
      <c r="F770" s="11">
        <f>(VLOOKUP(C770,DEDN!$A$8:$O$902,$F$2)*D770+E770)/1000</f>
        <v>0.21903</v>
      </c>
      <c r="G770" s="178">
        <f t="shared" si="226"/>
        <v>64</v>
      </c>
      <c r="H770" s="178">
        <f t="shared" si="226"/>
        <v>64</v>
      </c>
      <c r="I770" s="2">
        <f>PARAM!$H$39</f>
        <v>0</v>
      </c>
      <c r="J770" s="11">
        <f>PARAM!$G$39</f>
        <v>0</v>
      </c>
      <c r="K770" s="11">
        <f>(VLOOKUP(H770,DEDN!$A$8:$O$902,$K$2)*I770+J770)/1000</f>
        <v>0</v>
      </c>
      <c r="L770" s="11">
        <f>MIN(IF(PARAM!$B$43=3,CHOOSE($L$2,F770,K770),F770+K770-F770*K770),1)</f>
        <v>0.21903</v>
      </c>
      <c r="M770" s="2">
        <f>PARAM!$I$38</f>
        <v>0</v>
      </c>
      <c r="N770" s="11">
        <f>VLOOKUP(B770,DEDN!$A$8:$O$90,$N$2)*M770</f>
        <v>0</v>
      </c>
      <c r="O770" s="12"/>
      <c r="P770" s="10">
        <f>PARAM!$C$53^-A770</f>
        <v>1</v>
      </c>
      <c r="Q770" s="10">
        <f t="shared" si="224"/>
        <v>6.2888635525069569E-2</v>
      </c>
      <c r="R770" s="10">
        <f t="shared" si="223"/>
        <v>6.2888635525069569E-2</v>
      </c>
      <c r="S770" s="10">
        <f>CHOOSE(PARAM!$B$51,R770,0,0,0)*(A770&lt;PARAM!$B$55)</f>
        <v>0</v>
      </c>
      <c r="T770" s="10">
        <f t="shared" si="211"/>
        <v>1.2823485309419805E-3</v>
      </c>
      <c r="U770" s="10">
        <f>T770*P770*(A770&lt;PARAM!$B$55)</f>
        <v>0</v>
      </c>
      <c r="W770">
        <v>767</v>
      </c>
      <c r="X770" s="178">
        <f t="shared" si="227"/>
        <v>95</v>
      </c>
      <c r="Y770" s="178">
        <f t="shared" si="227"/>
        <v>95</v>
      </c>
      <c r="Z770" s="178">
        <f t="shared" si="227"/>
        <v>64</v>
      </c>
      <c r="AA770" s="178">
        <f t="shared" si="227"/>
        <v>64</v>
      </c>
      <c r="AD770" s="17">
        <f>CALC!E794*(A770&lt;PARAM!$B$55)</f>
        <v>0</v>
      </c>
      <c r="AE770">
        <f>IF(A770&lt;ITER!$C$16,1,PARAM!$C$53^-(RATES!A770-ITER!$C$16))*(A770&lt;PARAM!$B$55)</f>
        <v>0</v>
      </c>
    </row>
    <row r="771" spans="1:31" x14ac:dyDescent="0.2">
      <c r="A771" s="9">
        <v>768</v>
      </c>
      <c r="B771" s="178">
        <f t="shared" si="225"/>
        <v>95</v>
      </c>
      <c r="C771" s="178">
        <f t="shared" si="225"/>
        <v>95</v>
      </c>
      <c r="D771" s="2">
        <f>PARAM!$H$38</f>
        <v>1</v>
      </c>
      <c r="E771" s="11">
        <f>PARAM!$G$38</f>
        <v>0</v>
      </c>
      <c r="F771" s="11">
        <f>(VLOOKUP(C771,DEDN!$A$8:$O$902,$F$2)*D771+E771)/1000</f>
        <v>0.21903</v>
      </c>
      <c r="G771" s="178">
        <f t="shared" si="226"/>
        <v>64</v>
      </c>
      <c r="H771" s="178">
        <f t="shared" si="226"/>
        <v>64</v>
      </c>
      <c r="I771" s="2">
        <f>PARAM!$H$39</f>
        <v>0</v>
      </c>
      <c r="J771" s="11">
        <f>PARAM!$G$39</f>
        <v>0</v>
      </c>
      <c r="K771" s="11">
        <f>(VLOOKUP(H771,DEDN!$A$8:$O$902,$K$2)*I771+J771)/1000</f>
        <v>0</v>
      </c>
      <c r="L771" s="11">
        <f>MIN(IF(PARAM!$B$43=3,CHOOSE($L$2,F771,K771),F771+K771-F771*K771),1)</f>
        <v>0.21903</v>
      </c>
      <c r="M771" s="2">
        <f>PARAM!$I$38</f>
        <v>0</v>
      </c>
      <c r="N771" s="11">
        <f>VLOOKUP(B771,DEDN!$A$8:$O$90,$N$2)*M771</f>
        <v>0</v>
      </c>
      <c r="O771" s="12"/>
      <c r="P771" s="10">
        <f>PARAM!$C$53^-A771</f>
        <v>1</v>
      </c>
      <c r="Q771" s="10">
        <f t="shared" si="224"/>
        <v>6.1606286994127589E-2</v>
      </c>
      <c r="R771" s="10">
        <f t="shared" si="223"/>
        <v>6.1606286994127589E-2</v>
      </c>
      <c r="S771" s="10">
        <f>R771*(A771&lt;PARAM!$B$55)</f>
        <v>0</v>
      </c>
      <c r="T771" s="10">
        <f t="shared" si="211"/>
        <v>1.2562004400972701E-3</v>
      </c>
      <c r="U771" s="10">
        <f>T771*P771*(A771&lt;PARAM!$B$55)</f>
        <v>0</v>
      </c>
      <c r="W771">
        <v>768</v>
      </c>
      <c r="X771" s="178">
        <f t="shared" si="227"/>
        <v>95</v>
      </c>
      <c r="Y771" s="178">
        <f t="shared" si="227"/>
        <v>95</v>
      </c>
      <c r="Z771" s="178">
        <f t="shared" si="227"/>
        <v>64</v>
      </c>
      <c r="AA771" s="178">
        <f t="shared" si="227"/>
        <v>64</v>
      </c>
      <c r="AD771" s="17">
        <f>CALC!E795*(A771&lt;PARAM!$B$55)</f>
        <v>0</v>
      </c>
      <c r="AE771">
        <f>IF(A771&lt;ITER!$C$16,1,PARAM!$C$53^-(RATES!A771-ITER!$C$16))*(A771&lt;PARAM!$B$55)</f>
        <v>0</v>
      </c>
    </row>
    <row r="772" spans="1:31" x14ac:dyDescent="0.2">
      <c r="A772" s="9">
        <v>769</v>
      </c>
      <c r="B772" s="178">
        <f t="shared" si="225"/>
        <v>95</v>
      </c>
      <c r="C772" s="178">
        <f t="shared" si="225"/>
        <v>95</v>
      </c>
      <c r="D772" s="2">
        <f>PARAM!$H$38</f>
        <v>1</v>
      </c>
      <c r="E772" s="11">
        <f>PARAM!$G$38</f>
        <v>0</v>
      </c>
      <c r="F772" s="11">
        <f>(VLOOKUP(C772,DEDN!$A$8:$O$902,$F$2)*D772+E772)/1000</f>
        <v>0.21903</v>
      </c>
      <c r="G772" s="178">
        <f t="shared" si="226"/>
        <v>64</v>
      </c>
      <c r="H772" s="178">
        <f t="shared" si="226"/>
        <v>64</v>
      </c>
      <c r="I772" s="2">
        <f>PARAM!$H$39</f>
        <v>0</v>
      </c>
      <c r="J772" s="11">
        <f>PARAM!$G$39</f>
        <v>0</v>
      </c>
      <c r="K772" s="11">
        <f>(VLOOKUP(H772,DEDN!$A$8:$O$902,$K$2)*I772+J772)/1000</f>
        <v>0</v>
      </c>
      <c r="L772" s="11">
        <f>MIN(IF(PARAM!$B$43=3,CHOOSE($L$2,F772,K772),F772+K772-F772*K772),1)</f>
        <v>0.21903</v>
      </c>
      <c r="M772" s="2">
        <f>PARAM!$I$38</f>
        <v>0</v>
      </c>
      <c r="N772" s="11">
        <f>VLOOKUP(B772,DEDN!$A$8:$O$90,$N$2)*M772</f>
        <v>0</v>
      </c>
      <c r="O772" s="12"/>
      <c r="P772" s="10">
        <f>PARAM!$C$53^-A772</f>
        <v>1</v>
      </c>
      <c r="Q772" s="10">
        <f t="shared" si="224"/>
        <v>6.0350086554030319E-2</v>
      </c>
      <c r="R772" s="10">
        <f t="shared" ref="R772:R787" si="228">P772*Q772</f>
        <v>6.0350086554030319E-2</v>
      </c>
      <c r="S772" s="10">
        <f>CHOOSE(PARAM!$B$51,R772,0,0,0)*(A772&lt;PARAM!$B$55)</f>
        <v>0</v>
      </c>
      <c r="T772" s="10">
        <f t="shared" ref="T772:T835" si="229">Q772-Q773</f>
        <v>1.2305855293033297E-3</v>
      </c>
      <c r="U772" s="10">
        <f>T772*P772*(A772&lt;PARAM!$B$55)</f>
        <v>0</v>
      </c>
      <c r="W772">
        <v>769</v>
      </c>
      <c r="X772" s="178">
        <f t="shared" si="227"/>
        <v>95</v>
      </c>
      <c r="Y772" s="178">
        <f t="shared" si="227"/>
        <v>95</v>
      </c>
      <c r="Z772" s="178">
        <f t="shared" si="227"/>
        <v>64</v>
      </c>
      <c r="AA772" s="178">
        <f t="shared" si="227"/>
        <v>64</v>
      </c>
      <c r="AD772" s="17">
        <f>CALC!E796*(A772&lt;PARAM!$B$55)</f>
        <v>0</v>
      </c>
      <c r="AE772">
        <f>IF(A772&lt;ITER!$C$16,1,PARAM!$C$53^-(RATES!A772-ITER!$C$16))*(A772&lt;PARAM!$B$55)</f>
        <v>0</v>
      </c>
    </row>
    <row r="773" spans="1:31" x14ac:dyDescent="0.2">
      <c r="A773" s="9">
        <v>770</v>
      </c>
      <c r="B773" s="178">
        <f t="shared" si="225"/>
        <v>95</v>
      </c>
      <c r="C773" s="178">
        <f t="shared" si="225"/>
        <v>95</v>
      </c>
      <c r="D773" s="2">
        <f>PARAM!$H$38</f>
        <v>1</v>
      </c>
      <c r="E773" s="11">
        <f>PARAM!$G$38</f>
        <v>0</v>
      </c>
      <c r="F773" s="11">
        <f>(VLOOKUP(C773,DEDN!$A$8:$O$902,$F$2)*D773+E773)/1000</f>
        <v>0.21903</v>
      </c>
      <c r="G773" s="178">
        <f t="shared" si="226"/>
        <v>64</v>
      </c>
      <c r="H773" s="178">
        <f t="shared" si="226"/>
        <v>64</v>
      </c>
      <c r="I773" s="2">
        <f>PARAM!$H$39</f>
        <v>0</v>
      </c>
      <c r="J773" s="11">
        <f>PARAM!$G$39</f>
        <v>0</v>
      </c>
      <c r="K773" s="11">
        <f>(VLOOKUP(H773,DEDN!$A$8:$O$902,$K$2)*I773+J773)/1000</f>
        <v>0</v>
      </c>
      <c r="L773" s="11">
        <f>MIN(IF(PARAM!$B$43=3,CHOOSE($L$2,F773,K773),F773+K773-F773*K773),1)</f>
        <v>0.21903</v>
      </c>
      <c r="M773" s="2">
        <f>PARAM!$I$38</f>
        <v>0</v>
      </c>
      <c r="N773" s="11">
        <f>VLOOKUP(B773,DEDN!$A$8:$O$90,$N$2)*M773</f>
        <v>0</v>
      </c>
      <c r="O773" s="12"/>
      <c r="P773" s="10">
        <f>PARAM!$C$53^-A773</f>
        <v>1</v>
      </c>
      <c r="Q773" s="10">
        <f t="shared" ref="Q773:Q788" si="230">Q772*(1-L772)^(1/12)</f>
        <v>5.9119501024726989E-2</v>
      </c>
      <c r="R773" s="10">
        <f t="shared" si="228"/>
        <v>5.9119501024726989E-2</v>
      </c>
      <c r="S773" s="10">
        <f>CHOOSE(PARAM!$B$51,R773,0,0,0)*(A773&lt;PARAM!$B$55)</f>
        <v>0</v>
      </c>
      <c r="T773" s="10">
        <f t="shared" si="229"/>
        <v>1.2054929266013467E-3</v>
      </c>
      <c r="U773" s="10">
        <f>T773*P773*(A773&lt;PARAM!$B$55)</f>
        <v>0</v>
      </c>
      <c r="W773">
        <v>770</v>
      </c>
      <c r="X773" s="178">
        <f t="shared" si="227"/>
        <v>95</v>
      </c>
      <c r="Y773" s="178">
        <f t="shared" si="227"/>
        <v>95</v>
      </c>
      <c r="Z773" s="178">
        <f t="shared" si="227"/>
        <v>64</v>
      </c>
      <c r="AA773" s="178">
        <f t="shared" si="227"/>
        <v>64</v>
      </c>
      <c r="AD773" s="17">
        <f>CALC!E797*(A773&lt;PARAM!$B$55)</f>
        <v>0</v>
      </c>
      <c r="AE773">
        <f>IF(A773&lt;ITER!$C$16,1,PARAM!$C$53^-(RATES!A773-ITER!$C$16))*(A773&lt;PARAM!$B$55)</f>
        <v>0</v>
      </c>
    </row>
    <row r="774" spans="1:31" x14ac:dyDescent="0.2">
      <c r="A774" s="9">
        <v>771</v>
      </c>
      <c r="B774" s="178">
        <f t="shared" si="225"/>
        <v>95</v>
      </c>
      <c r="C774" s="178">
        <f t="shared" si="225"/>
        <v>95</v>
      </c>
      <c r="D774" s="2">
        <f>PARAM!$H$38</f>
        <v>1</v>
      </c>
      <c r="E774" s="11">
        <f>PARAM!$G$38</f>
        <v>0</v>
      </c>
      <c r="F774" s="11">
        <f>(VLOOKUP(C774,DEDN!$A$8:$O$902,$F$2)*D774+E774)/1000</f>
        <v>0.21903</v>
      </c>
      <c r="G774" s="178">
        <f t="shared" si="226"/>
        <v>64</v>
      </c>
      <c r="H774" s="178">
        <f t="shared" si="226"/>
        <v>64</v>
      </c>
      <c r="I774" s="2">
        <f>PARAM!$H$39</f>
        <v>0</v>
      </c>
      <c r="J774" s="11">
        <f>PARAM!$G$39</f>
        <v>0</v>
      </c>
      <c r="K774" s="11">
        <f>(VLOOKUP(H774,DEDN!$A$8:$O$902,$K$2)*I774+J774)/1000</f>
        <v>0</v>
      </c>
      <c r="L774" s="11">
        <f>MIN(IF(PARAM!$B$43=3,CHOOSE($L$2,F774,K774),F774+K774-F774*K774),1)</f>
        <v>0.21903</v>
      </c>
      <c r="M774" s="2">
        <f>PARAM!$I$38</f>
        <v>0</v>
      </c>
      <c r="N774" s="11">
        <f>VLOOKUP(B774,DEDN!$A$8:$O$90,$N$2)*M774</f>
        <v>0</v>
      </c>
      <c r="O774" s="12"/>
      <c r="P774" s="10">
        <f>PARAM!$C$53^-A774</f>
        <v>1</v>
      </c>
      <c r="Q774" s="10">
        <f t="shared" si="230"/>
        <v>5.7914008098125642E-2</v>
      </c>
      <c r="R774" s="10">
        <f t="shared" si="228"/>
        <v>5.7914008098125642E-2</v>
      </c>
      <c r="S774" s="10">
        <f>CHOOSE(PARAM!$B$51,R774,R774,0,0)*(A774&lt;PARAM!$B$55)</f>
        <v>0</v>
      </c>
      <c r="T774" s="10">
        <f t="shared" si="229"/>
        <v>1.1809119817202604E-3</v>
      </c>
      <c r="U774" s="10">
        <f>T774*P774*(A774&lt;PARAM!$B$55)</f>
        <v>0</v>
      </c>
      <c r="W774">
        <v>771</v>
      </c>
      <c r="X774" s="178">
        <f t="shared" si="227"/>
        <v>95</v>
      </c>
      <c r="Y774" s="178">
        <f t="shared" si="227"/>
        <v>95</v>
      </c>
      <c r="Z774" s="178">
        <f t="shared" si="227"/>
        <v>64</v>
      </c>
      <c r="AA774" s="178">
        <f t="shared" si="227"/>
        <v>64</v>
      </c>
      <c r="AD774" s="17">
        <f>CALC!E798*(A774&lt;PARAM!$B$55)</f>
        <v>0</v>
      </c>
      <c r="AE774">
        <f>IF(A774&lt;ITER!$C$16,1,PARAM!$C$53^-(RATES!A774-ITER!$C$16))*(A774&lt;PARAM!$B$55)</f>
        <v>0</v>
      </c>
    </row>
    <row r="775" spans="1:31" x14ac:dyDescent="0.2">
      <c r="A775" s="9">
        <v>772</v>
      </c>
      <c r="B775" s="178">
        <f t="shared" si="225"/>
        <v>95</v>
      </c>
      <c r="C775" s="178">
        <f t="shared" si="225"/>
        <v>95</v>
      </c>
      <c r="D775" s="2">
        <f>PARAM!$H$38</f>
        <v>1</v>
      </c>
      <c r="E775" s="11">
        <f>PARAM!$G$38</f>
        <v>0</v>
      </c>
      <c r="F775" s="11">
        <f>(VLOOKUP(C775,DEDN!$A$8:$O$902,$F$2)*D775+E775)/1000</f>
        <v>0.21903</v>
      </c>
      <c r="G775" s="178">
        <f t="shared" si="226"/>
        <v>64</v>
      </c>
      <c r="H775" s="178">
        <f t="shared" si="226"/>
        <v>64</v>
      </c>
      <c r="I775" s="2">
        <f>PARAM!$H$39</f>
        <v>0</v>
      </c>
      <c r="J775" s="11">
        <f>PARAM!$G$39</f>
        <v>0</v>
      </c>
      <c r="K775" s="11">
        <f>(VLOOKUP(H775,DEDN!$A$8:$O$902,$K$2)*I775+J775)/1000</f>
        <v>0</v>
      </c>
      <c r="L775" s="11">
        <f>MIN(IF(PARAM!$B$43=3,CHOOSE($L$2,F775,K775),F775+K775-F775*K775),1)</f>
        <v>0.21903</v>
      </c>
      <c r="M775" s="2">
        <f>PARAM!$I$38</f>
        <v>0</v>
      </c>
      <c r="N775" s="11">
        <f>VLOOKUP(B775,DEDN!$A$8:$O$90,$N$2)*M775</f>
        <v>0</v>
      </c>
      <c r="O775" s="12"/>
      <c r="P775" s="10">
        <f>PARAM!$C$53^-A775</f>
        <v>1</v>
      </c>
      <c r="Q775" s="10">
        <f t="shared" si="230"/>
        <v>5.6733096116405382E-2</v>
      </c>
      <c r="R775" s="10">
        <f t="shared" si="228"/>
        <v>5.6733096116405382E-2</v>
      </c>
      <c r="S775" s="10">
        <f>CHOOSE(PARAM!$B$51,R775,0,0,0)*(A775&lt;PARAM!$B$55)</f>
        <v>0</v>
      </c>
      <c r="T775" s="10">
        <f t="shared" si="229"/>
        <v>1.1568322615563981E-3</v>
      </c>
      <c r="U775" s="10">
        <f>T775*P775*(A775&lt;PARAM!$B$55)</f>
        <v>0</v>
      </c>
      <c r="W775">
        <v>772</v>
      </c>
      <c r="X775" s="178">
        <f t="shared" si="227"/>
        <v>95</v>
      </c>
      <c r="Y775" s="178">
        <f t="shared" si="227"/>
        <v>95</v>
      </c>
      <c r="Z775" s="178">
        <f t="shared" si="227"/>
        <v>64</v>
      </c>
      <c r="AA775" s="178">
        <f t="shared" si="227"/>
        <v>64</v>
      </c>
      <c r="AD775" s="17">
        <f>CALC!E799*(A775&lt;PARAM!$B$55)</f>
        <v>0</v>
      </c>
      <c r="AE775">
        <f>IF(A775&lt;ITER!$C$16,1,PARAM!$C$53^-(RATES!A775-ITER!$C$16))*(A775&lt;PARAM!$B$55)</f>
        <v>0</v>
      </c>
    </row>
    <row r="776" spans="1:31" x14ac:dyDescent="0.2">
      <c r="A776" s="9">
        <v>773</v>
      </c>
      <c r="B776" s="178">
        <f t="shared" si="225"/>
        <v>95</v>
      </c>
      <c r="C776" s="178">
        <f t="shared" si="225"/>
        <v>95</v>
      </c>
      <c r="D776" s="2">
        <f>PARAM!$H$38</f>
        <v>1</v>
      </c>
      <c r="E776" s="11">
        <f>PARAM!$G$38</f>
        <v>0</v>
      </c>
      <c r="F776" s="11">
        <f>(VLOOKUP(C776,DEDN!$A$8:$O$902,$F$2)*D776+E776)/1000</f>
        <v>0.21903</v>
      </c>
      <c r="G776" s="178">
        <f t="shared" si="226"/>
        <v>64</v>
      </c>
      <c r="H776" s="178">
        <f t="shared" si="226"/>
        <v>64</v>
      </c>
      <c r="I776" s="2">
        <f>PARAM!$H$39</f>
        <v>0</v>
      </c>
      <c r="J776" s="11">
        <f>PARAM!$G$39</f>
        <v>0</v>
      </c>
      <c r="K776" s="11">
        <f>(VLOOKUP(H776,DEDN!$A$8:$O$902,$K$2)*I776+J776)/1000</f>
        <v>0</v>
      </c>
      <c r="L776" s="11">
        <f>MIN(IF(PARAM!$B$43=3,CHOOSE($L$2,F776,K776),F776+K776-F776*K776),1)</f>
        <v>0.21903</v>
      </c>
      <c r="M776" s="2">
        <f>PARAM!$I$38</f>
        <v>0</v>
      </c>
      <c r="N776" s="11">
        <f>VLOOKUP(B776,DEDN!$A$8:$O$90,$N$2)*M776</f>
        <v>0</v>
      </c>
      <c r="O776" s="12"/>
      <c r="P776" s="10">
        <f>PARAM!$C$53^-A776</f>
        <v>1</v>
      </c>
      <c r="Q776" s="10">
        <f t="shared" si="230"/>
        <v>5.5576263854848984E-2</v>
      </c>
      <c r="R776" s="10">
        <f t="shared" si="228"/>
        <v>5.5576263854848984E-2</v>
      </c>
      <c r="S776" s="10">
        <f>CHOOSE(PARAM!$B$51,R776,0,0,0)*(A776&lt;PARAM!$B$55)</f>
        <v>0</v>
      </c>
      <c r="T776" s="10">
        <f t="shared" si="229"/>
        <v>1.1332435457452328E-3</v>
      </c>
      <c r="U776" s="10">
        <f>T776*P776*(A776&lt;PARAM!$B$55)</f>
        <v>0</v>
      </c>
      <c r="W776">
        <v>773</v>
      </c>
      <c r="X776" s="178">
        <f t="shared" si="227"/>
        <v>95</v>
      </c>
      <c r="Y776" s="178">
        <f t="shared" si="227"/>
        <v>95</v>
      </c>
      <c r="Z776" s="178">
        <f t="shared" si="227"/>
        <v>64</v>
      </c>
      <c r="AA776" s="178">
        <f t="shared" si="227"/>
        <v>64</v>
      </c>
      <c r="AD776" s="17">
        <f>CALC!E800*(A776&lt;PARAM!$B$55)</f>
        <v>0</v>
      </c>
      <c r="AE776">
        <f>IF(A776&lt;ITER!$C$16,1,PARAM!$C$53^-(RATES!A776-ITER!$C$16))*(A776&lt;PARAM!$B$55)</f>
        <v>0</v>
      </c>
    </row>
    <row r="777" spans="1:31" x14ac:dyDescent="0.2">
      <c r="A777" s="9">
        <v>774</v>
      </c>
      <c r="B777" s="178">
        <f t="shared" si="225"/>
        <v>96</v>
      </c>
      <c r="C777" s="178">
        <f t="shared" si="225"/>
        <v>96</v>
      </c>
      <c r="D777" s="2">
        <f>PARAM!$H$38</f>
        <v>1</v>
      </c>
      <c r="E777" s="11">
        <f>PARAM!$G$38</f>
        <v>0</v>
      </c>
      <c r="F777" s="11">
        <f>(VLOOKUP(C777,DEDN!$A$8:$O$902,$F$2)*D777+E777)/1000</f>
        <v>0.23444000000000001</v>
      </c>
      <c r="G777" s="178">
        <f t="shared" si="226"/>
        <v>65</v>
      </c>
      <c r="H777" s="178">
        <f t="shared" si="226"/>
        <v>65</v>
      </c>
      <c r="I777" s="2">
        <f>PARAM!$H$39</f>
        <v>0</v>
      </c>
      <c r="J777" s="11">
        <f>PARAM!$G$39</f>
        <v>0</v>
      </c>
      <c r="K777" s="11">
        <f>(VLOOKUP(H777,DEDN!$A$8:$O$902,$K$2)*I777+J777)/1000</f>
        <v>0</v>
      </c>
      <c r="L777" s="11">
        <f>MIN(IF(PARAM!$B$43=3,CHOOSE($L$2,F777,K777),F777+K777-F777*K777),1)</f>
        <v>0.23444000000000001</v>
      </c>
      <c r="M777" s="2">
        <f>PARAM!$I$38</f>
        <v>0</v>
      </c>
      <c r="N777" s="11">
        <f>VLOOKUP(B777,DEDN!$A$8:$O$90,$N$2)*M777</f>
        <v>0</v>
      </c>
      <c r="O777" s="12"/>
      <c r="P777" s="10">
        <f>PARAM!$C$53^-A777</f>
        <v>1</v>
      </c>
      <c r="Q777" s="10">
        <f t="shared" si="230"/>
        <v>5.4443020309103751E-2</v>
      </c>
      <c r="R777" s="10">
        <f t="shared" si="228"/>
        <v>5.4443020309103751E-2</v>
      </c>
      <c r="S777" s="10">
        <f>CHOOSE(PARAM!$B$51,R777,R777,R777,0)*(A777&lt;PARAM!$B$55)</f>
        <v>0</v>
      </c>
      <c r="T777" s="10">
        <f t="shared" si="229"/>
        <v>1.1986355442433066E-3</v>
      </c>
      <c r="U777" s="10">
        <f>T777*P777*(A777&lt;PARAM!$B$55)</f>
        <v>0</v>
      </c>
      <c r="W777">
        <v>774</v>
      </c>
      <c r="X777" s="178">
        <f t="shared" si="227"/>
        <v>96</v>
      </c>
      <c r="Y777" s="178">
        <f t="shared" si="227"/>
        <v>96</v>
      </c>
      <c r="Z777" s="178">
        <f t="shared" si="227"/>
        <v>65</v>
      </c>
      <c r="AA777" s="178">
        <f t="shared" si="227"/>
        <v>65</v>
      </c>
      <c r="AD777" s="17">
        <f>CALC!E801*(A777&lt;PARAM!$B$55)</f>
        <v>0</v>
      </c>
      <c r="AE777">
        <f>IF(A777&lt;ITER!$C$16,1,PARAM!$C$53^-(RATES!A777-ITER!$C$16))*(A777&lt;PARAM!$B$55)</f>
        <v>0</v>
      </c>
    </row>
    <row r="778" spans="1:31" x14ac:dyDescent="0.2">
      <c r="A778" s="9">
        <v>775</v>
      </c>
      <c r="B778" s="178">
        <f t="shared" si="225"/>
        <v>96</v>
      </c>
      <c r="C778" s="178">
        <f t="shared" si="225"/>
        <v>96</v>
      </c>
      <c r="D778" s="2">
        <f>PARAM!$H$38</f>
        <v>1</v>
      </c>
      <c r="E778" s="11">
        <f>PARAM!$G$38</f>
        <v>0</v>
      </c>
      <c r="F778" s="11">
        <f>(VLOOKUP(C778,DEDN!$A$8:$O$902,$F$2)*D778+E778)/1000</f>
        <v>0.23444000000000001</v>
      </c>
      <c r="G778" s="178">
        <f t="shared" si="226"/>
        <v>65</v>
      </c>
      <c r="H778" s="178">
        <f t="shared" si="226"/>
        <v>65</v>
      </c>
      <c r="I778" s="2">
        <f>PARAM!$H$39</f>
        <v>0</v>
      </c>
      <c r="J778" s="11">
        <f>PARAM!$G$39</f>
        <v>0</v>
      </c>
      <c r="K778" s="11">
        <f>(VLOOKUP(H778,DEDN!$A$8:$O$902,$K$2)*I778+J778)/1000</f>
        <v>0</v>
      </c>
      <c r="L778" s="11">
        <f>MIN(IF(PARAM!$B$43=3,CHOOSE($L$2,F778,K778),F778+K778-F778*K778),1)</f>
        <v>0.23444000000000001</v>
      </c>
      <c r="M778" s="2">
        <f>PARAM!$I$38</f>
        <v>0</v>
      </c>
      <c r="N778" s="11">
        <f>VLOOKUP(B778,DEDN!$A$8:$O$90,$N$2)*M778</f>
        <v>0</v>
      </c>
      <c r="O778" s="12"/>
      <c r="P778" s="10">
        <f>PARAM!$C$53^-A778</f>
        <v>1</v>
      </c>
      <c r="Q778" s="10">
        <f t="shared" si="230"/>
        <v>5.3244384764860445E-2</v>
      </c>
      <c r="R778" s="10">
        <f t="shared" si="228"/>
        <v>5.3244384764860445E-2</v>
      </c>
      <c r="S778" s="10">
        <f>CHOOSE(PARAM!$B$51,R778,0,0,0)*(A778&lt;PARAM!$B$55)</f>
        <v>0</v>
      </c>
      <c r="T778" s="10">
        <f t="shared" si="229"/>
        <v>1.1722459876065405E-3</v>
      </c>
      <c r="U778" s="10">
        <f>T778*P778*(A778&lt;PARAM!$B$55)</f>
        <v>0</v>
      </c>
      <c r="W778">
        <v>775</v>
      </c>
      <c r="X778" s="178">
        <f t="shared" si="227"/>
        <v>96</v>
      </c>
      <c r="Y778" s="178">
        <f t="shared" si="227"/>
        <v>96</v>
      </c>
      <c r="Z778" s="178">
        <f t="shared" si="227"/>
        <v>65</v>
      </c>
      <c r="AA778" s="178">
        <f t="shared" si="227"/>
        <v>65</v>
      </c>
      <c r="AD778" s="17">
        <f>CALC!E802*(A778&lt;PARAM!$B$55)</f>
        <v>0</v>
      </c>
      <c r="AE778">
        <f>IF(A778&lt;ITER!$C$16,1,PARAM!$C$53^-(RATES!A778-ITER!$C$16))*(A778&lt;PARAM!$B$55)</f>
        <v>0</v>
      </c>
    </row>
    <row r="779" spans="1:31" x14ac:dyDescent="0.2">
      <c r="A779" s="9">
        <v>776</v>
      </c>
      <c r="B779" s="178">
        <f t="shared" si="225"/>
        <v>96</v>
      </c>
      <c r="C779" s="178">
        <f t="shared" si="225"/>
        <v>96</v>
      </c>
      <c r="D779" s="2">
        <f>PARAM!$H$38</f>
        <v>1</v>
      </c>
      <c r="E779" s="11">
        <f>PARAM!$G$38</f>
        <v>0</v>
      </c>
      <c r="F779" s="11">
        <f>(VLOOKUP(C779,DEDN!$A$8:$O$902,$F$2)*D779+E779)/1000</f>
        <v>0.23444000000000001</v>
      </c>
      <c r="G779" s="178">
        <f t="shared" si="226"/>
        <v>65</v>
      </c>
      <c r="H779" s="178">
        <f t="shared" si="226"/>
        <v>65</v>
      </c>
      <c r="I779" s="2">
        <f>PARAM!$H$39</f>
        <v>0</v>
      </c>
      <c r="J779" s="11">
        <f>PARAM!$G$39</f>
        <v>0</v>
      </c>
      <c r="K779" s="11">
        <f>(VLOOKUP(H779,DEDN!$A$8:$O$902,$K$2)*I779+J779)/1000</f>
        <v>0</v>
      </c>
      <c r="L779" s="11">
        <f>MIN(IF(PARAM!$B$43=3,CHOOSE($L$2,F779,K779),F779+K779-F779*K779),1)</f>
        <v>0.23444000000000001</v>
      </c>
      <c r="M779" s="2">
        <f>PARAM!$I$38</f>
        <v>0</v>
      </c>
      <c r="N779" s="11">
        <f>VLOOKUP(B779,DEDN!$A$8:$O$90,$N$2)*M779</f>
        <v>0</v>
      </c>
      <c r="O779" s="12"/>
      <c r="P779" s="10">
        <f>PARAM!$C$53^-A779</f>
        <v>1</v>
      </c>
      <c r="Q779" s="10">
        <f t="shared" si="230"/>
        <v>5.2072138777253904E-2</v>
      </c>
      <c r="R779" s="10">
        <f t="shared" si="228"/>
        <v>5.2072138777253904E-2</v>
      </c>
      <c r="S779" s="10">
        <f>CHOOSE(PARAM!$B$51,R779,0,0,0)*(A779&lt;PARAM!$B$55)</f>
        <v>0</v>
      </c>
      <c r="T779" s="10">
        <f t="shared" si="229"/>
        <v>1.1464374321780574E-3</v>
      </c>
      <c r="U779" s="10">
        <f>T779*P779*(A779&lt;PARAM!$B$55)</f>
        <v>0</v>
      </c>
      <c r="W779">
        <v>776</v>
      </c>
      <c r="X779" s="178">
        <f t="shared" si="227"/>
        <v>96</v>
      </c>
      <c r="Y779" s="178">
        <f t="shared" si="227"/>
        <v>96</v>
      </c>
      <c r="Z779" s="178">
        <f t="shared" si="227"/>
        <v>65</v>
      </c>
      <c r="AA779" s="178">
        <f t="shared" si="227"/>
        <v>65</v>
      </c>
      <c r="AD779" s="17">
        <f>CALC!E803*(A779&lt;PARAM!$B$55)</f>
        <v>0</v>
      </c>
      <c r="AE779">
        <f>IF(A779&lt;ITER!$C$16,1,PARAM!$C$53^-(RATES!A779-ITER!$C$16))*(A779&lt;PARAM!$B$55)</f>
        <v>0</v>
      </c>
    </row>
    <row r="780" spans="1:31" x14ac:dyDescent="0.2">
      <c r="A780" s="9">
        <v>777</v>
      </c>
      <c r="B780" s="178">
        <f t="shared" si="225"/>
        <v>96</v>
      </c>
      <c r="C780" s="178">
        <f t="shared" si="225"/>
        <v>96</v>
      </c>
      <c r="D780" s="2">
        <f>PARAM!$H$38</f>
        <v>1</v>
      </c>
      <c r="E780" s="11">
        <f>PARAM!$G$38</f>
        <v>0</v>
      </c>
      <c r="F780" s="11">
        <f>(VLOOKUP(C780,DEDN!$A$8:$O$902,$F$2)*D780+E780)/1000</f>
        <v>0.23444000000000001</v>
      </c>
      <c r="G780" s="178">
        <f t="shared" si="226"/>
        <v>65</v>
      </c>
      <c r="H780" s="178">
        <f t="shared" si="226"/>
        <v>65</v>
      </c>
      <c r="I780" s="2">
        <f>PARAM!$H$39</f>
        <v>0</v>
      </c>
      <c r="J780" s="11">
        <f>PARAM!$G$39</f>
        <v>0</v>
      </c>
      <c r="K780" s="11">
        <f>(VLOOKUP(H780,DEDN!$A$8:$O$902,$K$2)*I780+J780)/1000</f>
        <v>0</v>
      </c>
      <c r="L780" s="11">
        <f>MIN(IF(PARAM!$B$43=3,CHOOSE($L$2,F780,K780),F780+K780-F780*K780),1)</f>
        <v>0.23444000000000001</v>
      </c>
      <c r="M780" s="2">
        <f>PARAM!$I$38</f>
        <v>0</v>
      </c>
      <c r="N780" s="11">
        <f>VLOOKUP(B780,DEDN!$A$8:$O$90,$N$2)*M780</f>
        <v>0</v>
      </c>
      <c r="O780" s="12"/>
      <c r="P780" s="10">
        <f>PARAM!$C$53^-A780</f>
        <v>1</v>
      </c>
      <c r="Q780" s="10">
        <f t="shared" si="230"/>
        <v>5.0925701345075847E-2</v>
      </c>
      <c r="R780" s="10">
        <f t="shared" si="228"/>
        <v>5.0925701345075847E-2</v>
      </c>
      <c r="S780" s="10">
        <f>CHOOSE(PARAM!$B$51,R780,R780,0,0)*(A780&lt;PARAM!$B$55)</f>
        <v>0</v>
      </c>
      <c r="T780" s="10">
        <f t="shared" si="229"/>
        <v>1.1211970864430515E-3</v>
      </c>
      <c r="U780" s="10">
        <f>T780*P780*(A780&lt;PARAM!$B$55)</f>
        <v>0</v>
      </c>
      <c r="W780">
        <v>777</v>
      </c>
      <c r="X780" s="178">
        <f t="shared" si="227"/>
        <v>96</v>
      </c>
      <c r="Y780" s="178">
        <f t="shared" si="227"/>
        <v>96</v>
      </c>
      <c r="Z780" s="178">
        <f t="shared" si="227"/>
        <v>65</v>
      </c>
      <c r="AA780" s="178">
        <f t="shared" si="227"/>
        <v>65</v>
      </c>
      <c r="AD780" s="17">
        <f>CALC!E804*(A780&lt;PARAM!$B$55)</f>
        <v>0</v>
      </c>
      <c r="AE780">
        <f>IF(A780&lt;ITER!$C$16,1,PARAM!$C$53^-(RATES!A780-ITER!$C$16))*(A780&lt;PARAM!$B$55)</f>
        <v>0</v>
      </c>
    </row>
    <row r="781" spans="1:31" x14ac:dyDescent="0.2">
      <c r="A781" s="9">
        <v>778</v>
      </c>
      <c r="B781" s="178">
        <f t="shared" ref="B781:C800" si="231">B769+1</f>
        <v>96</v>
      </c>
      <c r="C781" s="178">
        <f t="shared" si="231"/>
        <v>96</v>
      </c>
      <c r="D781" s="2">
        <f>PARAM!$H$38</f>
        <v>1</v>
      </c>
      <c r="E781" s="11">
        <f>PARAM!$G$38</f>
        <v>0</v>
      </c>
      <c r="F781" s="11">
        <f>(VLOOKUP(C781,DEDN!$A$8:$O$902,$F$2)*D781+E781)/1000</f>
        <v>0.23444000000000001</v>
      </c>
      <c r="G781" s="178">
        <f t="shared" ref="G781:H800" si="232">G769+1</f>
        <v>65</v>
      </c>
      <c r="H781" s="178">
        <f t="shared" si="232"/>
        <v>65</v>
      </c>
      <c r="I781" s="2">
        <f>PARAM!$H$39</f>
        <v>0</v>
      </c>
      <c r="J781" s="11">
        <f>PARAM!$G$39</f>
        <v>0</v>
      </c>
      <c r="K781" s="11">
        <f>(VLOOKUP(H781,DEDN!$A$8:$O$902,$K$2)*I781+J781)/1000</f>
        <v>0</v>
      </c>
      <c r="L781" s="11">
        <f>MIN(IF(PARAM!$B$43=3,CHOOSE($L$2,F781,K781),F781+K781-F781*K781),1)</f>
        <v>0.23444000000000001</v>
      </c>
      <c r="M781" s="2">
        <f>PARAM!$I$38</f>
        <v>0</v>
      </c>
      <c r="N781" s="11">
        <f>VLOOKUP(B781,DEDN!$A$8:$O$90,$N$2)*M781</f>
        <v>0</v>
      </c>
      <c r="O781" s="12"/>
      <c r="P781" s="10">
        <f>PARAM!$C$53^-A781</f>
        <v>1</v>
      </c>
      <c r="Q781" s="10">
        <f t="shared" si="230"/>
        <v>4.9804504258632795E-2</v>
      </c>
      <c r="R781" s="10">
        <f t="shared" si="228"/>
        <v>4.9804504258632795E-2</v>
      </c>
      <c r="S781" s="10">
        <f>CHOOSE(PARAM!$B$51,R781,0,0,0)*(A781&lt;PARAM!$B$55)</f>
        <v>0</v>
      </c>
      <c r="T781" s="10">
        <f t="shared" si="229"/>
        <v>1.0965124405089635E-3</v>
      </c>
      <c r="U781" s="10">
        <f>T781*P781*(A781&lt;PARAM!$B$55)</f>
        <v>0</v>
      </c>
      <c r="W781">
        <v>778</v>
      </c>
      <c r="X781" s="178">
        <f t="shared" ref="X781:AA800" si="233">X769+1</f>
        <v>96</v>
      </c>
      <c r="Y781" s="178">
        <f t="shared" si="233"/>
        <v>96</v>
      </c>
      <c r="Z781" s="178">
        <f t="shared" si="233"/>
        <v>65</v>
      </c>
      <c r="AA781" s="178">
        <f t="shared" si="233"/>
        <v>65</v>
      </c>
      <c r="AD781" s="17">
        <f>CALC!E805*(A781&lt;PARAM!$B$55)</f>
        <v>0</v>
      </c>
      <c r="AE781">
        <f>IF(A781&lt;ITER!$C$16,1,PARAM!$C$53^-(RATES!A781-ITER!$C$16))*(A781&lt;PARAM!$B$55)</f>
        <v>0</v>
      </c>
    </row>
    <row r="782" spans="1:31" x14ac:dyDescent="0.2">
      <c r="A782" s="9">
        <v>779</v>
      </c>
      <c r="B782" s="178">
        <f t="shared" si="231"/>
        <v>96</v>
      </c>
      <c r="C782" s="178">
        <f t="shared" si="231"/>
        <v>96</v>
      </c>
      <c r="D782" s="2">
        <f>PARAM!$H$38</f>
        <v>1</v>
      </c>
      <c r="E782" s="11">
        <f>PARAM!$G$38</f>
        <v>0</v>
      </c>
      <c r="F782" s="11">
        <f>(VLOOKUP(C782,DEDN!$A$8:$O$902,$F$2)*D782+E782)/1000</f>
        <v>0.23444000000000001</v>
      </c>
      <c r="G782" s="178">
        <f t="shared" si="232"/>
        <v>65</v>
      </c>
      <c r="H782" s="178">
        <f t="shared" si="232"/>
        <v>65</v>
      </c>
      <c r="I782" s="2">
        <f>PARAM!$H$39</f>
        <v>0</v>
      </c>
      <c r="J782" s="11">
        <f>PARAM!$G$39</f>
        <v>0</v>
      </c>
      <c r="K782" s="11">
        <f>(VLOOKUP(H782,DEDN!$A$8:$O$902,$K$2)*I782+J782)/1000</f>
        <v>0</v>
      </c>
      <c r="L782" s="11">
        <f>MIN(IF(PARAM!$B$43=3,CHOOSE($L$2,F782,K782),F782+K782-F782*K782),1)</f>
        <v>0.23444000000000001</v>
      </c>
      <c r="M782" s="2">
        <f>PARAM!$I$38</f>
        <v>0</v>
      </c>
      <c r="N782" s="11">
        <f>VLOOKUP(B782,DEDN!$A$8:$O$90,$N$2)*M782</f>
        <v>0</v>
      </c>
      <c r="O782" s="12"/>
      <c r="P782" s="10">
        <f>PARAM!$C$53^-A782</f>
        <v>1</v>
      </c>
      <c r="Q782" s="10">
        <f t="shared" si="230"/>
        <v>4.8707991818123832E-2</v>
      </c>
      <c r="R782" s="10">
        <f t="shared" si="228"/>
        <v>4.8707991818123832E-2</v>
      </c>
      <c r="S782" s="10">
        <f>CHOOSE(PARAM!$B$51,R782,0,0,0)*(A782&lt;PARAM!$B$55)</f>
        <v>0</v>
      </c>
      <c r="T782" s="10">
        <f t="shared" si="229"/>
        <v>1.0723712599051485E-3</v>
      </c>
      <c r="U782" s="10">
        <f>T782*P782*(A782&lt;PARAM!$B$55)</f>
        <v>0</v>
      </c>
      <c r="W782">
        <v>779</v>
      </c>
      <c r="X782" s="178">
        <f t="shared" si="233"/>
        <v>96</v>
      </c>
      <c r="Y782" s="178">
        <f t="shared" si="233"/>
        <v>96</v>
      </c>
      <c r="Z782" s="178">
        <f t="shared" si="233"/>
        <v>65</v>
      </c>
      <c r="AA782" s="178">
        <f t="shared" si="233"/>
        <v>65</v>
      </c>
      <c r="AD782" s="17">
        <f>CALC!E806*(A782&lt;PARAM!$B$55)</f>
        <v>0</v>
      </c>
      <c r="AE782">
        <f>IF(A782&lt;ITER!$C$16,1,PARAM!$C$53^-(RATES!A782-ITER!$C$16))*(A782&lt;PARAM!$B$55)</f>
        <v>0</v>
      </c>
    </row>
    <row r="783" spans="1:31" x14ac:dyDescent="0.2">
      <c r="A783" s="9">
        <v>780</v>
      </c>
      <c r="B783" s="178">
        <f t="shared" si="231"/>
        <v>96</v>
      </c>
      <c r="C783" s="178">
        <f t="shared" si="231"/>
        <v>96</v>
      </c>
      <c r="D783" s="2">
        <f>PARAM!$H$38</f>
        <v>1</v>
      </c>
      <c r="E783" s="11">
        <f>PARAM!$G$38</f>
        <v>0</v>
      </c>
      <c r="F783" s="11">
        <f>(VLOOKUP(C783,DEDN!$A$8:$O$902,$F$2)*D783+E783)/1000</f>
        <v>0.23444000000000001</v>
      </c>
      <c r="G783" s="178">
        <f t="shared" si="232"/>
        <v>65</v>
      </c>
      <c r="H783" s="178">
        <f t="shared" si="232"/>
        <v>65</v>
      </c>
      <c r="I783" s="2">
        <f>PARAM!$H$39</f>
        <v>0</v>
      </c>
      <c r="J783" s="11">
        <f>PARAM!$G$39</f>
        <v>0</v>
      </c>
      <c r="K783" s="11">
        <f>(VLOOKUP(H783,DEDN!$A$8:$O$902,$K$2)*I783+J783)/1000</f>
        <v>0</v>
      </c>
      <c r="L783" s="11">
        <f>MIN(IF(PARAM!$B$43=3,CHOOSE($L$2,F783,K783),F783+K783-F783*K783),1)</f>
        <v>0.23444000000000001</v>
      </c>
      <c r="M783" s="2">
        <f>PARAM!$I$38</f>
        <v>0</v>
      </c>
      <c r="N783" s="11">
        <f>VLOOKUP(B783,DEDN!$A$8:$O$90,$N$2)*M783</f>
        <v>0</v>
      </c>
      <c r="O783" s="12"/>
      <c r="P783" s="10">
        <f>PARAM!$C$53^-A783</f>
        <v>1</v>
      </c>
      <c r="Q783" s="10">
        <f t="shared" si="230"/>
        <v>4.7635620558218683E-2</v>
      </c>
      <c r="R783" s="10">
        <f t="shared" si="228"/>
        <v>4.7635620558218683E-2</v>
      </c>
      <c r="S783" s="10">
        <f>R783*(A783&lt;PARAM!$B$55)</f>
        <v>0</v>
      </c>
      <c r="T783" s="10">
        <f t="shared" si="229"/>
        <v>1.0487615795191363E-3</v>
      </c>
      <c r="U783" s="10">
        <f>T783*P783*(A783&lt;PARAM!$B$55)</f>
        <v>0</v>
      </c>
      <c r="W783">
        <v>780</v>
      </c>
      <c r="X783" s="178">
        <f t="shared" si="233"/>
        <v>96</v>
      </c>
      <c r="Y783" s="178">
        <f t="shared" si="233"/>
        <v>96</v>
      </c>
      <c r="Z783" s="178">
        <f t="shared" si="233"/>
        <v>65</v>
      </c>
      <c r="AA783" s="178">
        <f t="shared" si="233"/>
        <v>65</v>
      </c>
      <c r="AD783" s="17">
        <f>CALC!E807*(A783&lt;PARAM!$B$55)</f>
        <v>0</v>
      </c>
      <c r="AE783">
        <f>IF(A783&lt;ITER!$C$16,1,PARAM!$C$53^-(RATES!A783-ITER!$C$16))*(A783&lt;PARAM!$B$55)</f>
        <v>0</v>
      </c>
    </row>
    <row r="784" spans="1:31" x14ac:dyDescent="0.2">
      <c r="A784" s="9">
        <v>781</v>
      </c>
      <c r="B784" s="178">
        <f t="shared" si="231"/>
        <v>96</v>
      </c>
      <c r="C784" s="178">
        <f t="shared" si="231"/>
        <v>96</v>
      </c>
      <c r="D784" s="2">
        <f>PARAM!$H$38</f>
        <v>1</v>
      </c>
      <c r="E784" s="11">
        <f>PARAM!$G$38</f>
        <v>0</v>
      </c>
      <c r="F784" s="11">
        <f>(VLOOKUP(C784,DEDN!$A$8:$O$902,$F$2)*D784+E784)/1000</f>
        <v>0.23444000000000001</v>
      </c>
      <c r="G784" s="178">
        <f t="shared" si="232"/>
        <v>65</v>
      </c>
      <c r="H784" s="178">
        <f t="shared" si="232"/>
        <v>65</v>
      </c>
      <c r="I784" s="2">
        <f>PARAM!$H$39</f>
        <v>0</v>
      </c>
      <c r="J784" s="11">
        <f>PARAM!$G$39</f>
        <v>0</v>
      </c>
      <c r="K784" s="11">
        <f>(VLOOKUP(H784,DEDN!$A$8:$O$902,$K$2)*I784+J784)/1000</f>
        <v>0</v>
      </c>
      <c r="L784" s="11">
        <f>MIN(IF(PARAM!$B$43=3,CHOOSE($L$2,F784,K784),F784+K784-F784*K784),1)</f>
        <v>0.23444000000000001</v>
      </c>
      <c r="M784" s="2">
        <f>PARAM!$I$38</f>
        <v>0</v>
      </c>
      <c r="N784" s="11">
        <f>VLOOKUP(B784,DEDN!$A$8:$O$90,$N$2)*M784</f>
        <v>0</v>
      </c>
      <c r="O784" s="12"/>
      <c r="P784" s="10">
        <f>PARAM!$C$53^-A784</f>
        <v>1</v>
      </c>
      <c r="Q784" s="10">
        <f t="shared" si="230"/>
        <v>4.6586858978699547E-2</v>
      </c>
      <c r="R784" s="10">
        <f t="shared" si="228"/>
        <v>4.6586858978699547E-2</v>
      </c>
      <c r="S784" s="10">
        <f>CHOOSE(PARAM!$B$51,R784,0,0,0)*(A784&lt;PARAM!$B$55)</f>
        <v>0</v>
      </c>
      <c r="T784" s="10">
        <f t="shared" si="229"/>
        <v>1.0256716976663055E-3</v>
      </c>
      <c r="U784" s="10">
        <f>T784*P784*(A784&lt;PARAM!$B$55)</f>
        <v>0</v>
      </c>
      <c r="W784">
        <v>781</v>
      </c>
      <c r="X784" s="178">
        <f t="shared" si="233"/>
        <v>96</v>
      </c>
      <c r="Y784" s="178">
        <f t="shared" si="233"/>
        <v>96</v>
      </c>
      <c r="Z784" s="178">
        <f t="shared" si="233"/>
        <v>65</v>
      </c>
      <c r="AA784" s="178">
        <f t="shared" si="233"/>
        <v>65</v>
      </c>
      <c r="AD784" s="17">
        <f>CALC!E808*(A784&lt;PARAM!$B$55)</f>
        <v>0</v>
      </c>
      <c r="AE784">
        <f>IF(A784&lt;ITER!$C$16,1,PARAM!$C$53^-(RATES!A784-ITER!$C$16))*(A784&lt;PARAM!$B$55)</f>
        <v>0</v>
      </c>
    </row>
    <row r="785" spans="1:31" x14ac:dyDescent="0.2">
      <c r="A785" s="9">
        <v>782</v>
      </c>
      <c r="B785" s="178">
        <f t="shared" si="231"/>
        <v>96</v>
      </c>
      <c r="C785" s="178">
        <f t="shared" si="231"/>
        <v>96</v>
      </c>
      <c r="D785" s="2">
        <f>PARAM!$H$38</f>
        <v>1</v>
      </c>
      <c r="E785" s="11">
        <f>PARAM!$G$38</f>
        <v>0</v>
      </c>
      <c r="F785" s="11">
        <f>(VLOOKUP(C785,DEDN!$A$8:$O$902,$F$2)*D785+E785)/1000</f>
        <v>0.23444000000000001</v>
      </c>
      <c r="G785" s="178">
        <f t="shared" si="232"/>
        <v>65</v>
      </c>
      <c r="H785" s="178">
        <f t="shared" si="232"/>
        <v>65</v>
      </c>
      <c r="I785" s="2">
        <f>PARAM!$H$39</f>
        <v>0</v>
      </c>
      <c r="J785" s="11">
        <f>PARAM!$G$39</f>
        <v>0</v>
      </c>
      <c r="K785" s="11">
        <f>(VLOOKUP(H785,DEDN!$A$8:$O$902,$K$2)*I785+J785)/1000</f>
        <v>0</v>
      </c>
      <c r="L785" s="11">
        <f>MIN(IF(PARAM!$B$43=3,CHOOSE($L$2,F785,K785),F785+K785-F785*K785),1)</f>
        <v>0.23444000000000001</v>
      </c>
      <c r="M785" s="2">
        <f>PARAM!$I$38</f>
        <v>0</v>
      </c>
      <c r="N785" s="11">
        <f>VLOOKUP(B785,DEDN!$A$8:$O$90,$N$2)*M785</f>
        <v>0</v>
      </c>
      <c r="O785" s="12"/>
      <c r="P785" s="10">
        <f>PARAM!$C$53^-A785</f>
        <v>1</v>
      </c>
      <c r="Q785" s="10">
        <f t="shared" si="230"/>
        <v>4.5561187281033241E-2</v>
      </c>
      <c r="R785" s="10">
        <f t="shared" si="228"/>
        <v>4.5561187281033241E-2</v>
      </c>
      <c r="S785" s="10">
        <f>CHOOSE(PARAM!$B$51,R785,0,0,0)*(A785&lt;PARAM!$B$55)</f>
        <v>0</v>
      </c>
      <c r="T785" s="10">
        <f t="shared" si="229"/>
        <v>1.0030901702902106E-3</v>
      </c>
      <c r="U785" s="10">
        <f>T785*P785*(A785&lt;PARAM!$B$55)</f>
        <v>0</v>
      </c>
      <c r="W785">
        <v>782</v>
      </c>
      <c r="X785" s="178">
        <f t="shared" si="233"/>
        <v>96</v>
      </c>
      <c r="Y785" s="178">
        <f t="shared" si="233"/>
        <v>96</v>
      </c>
      <c r="Z785" s="178">
        <f t="shared" si="233"/>
        <v>65</v>
      </c>
      <c r="AA785" s="178">
        <f t="shared" si="233"/>
        <v>65</v>
      </c>
      <c r="AD785" s="17">
        <f>CALC!E809*(A785&lt;PARAM!$B$55)</f>
        <v>0</v>
      </c>
      <c r="AE785">
        <f>IF(A785&lt;ITER!$C$16,1,PARAM!$C$53^-(RATES!A785-ITER!$C$16))*(A785&lt;PARAM!$B$55)</f>
        <v>0</v>
      </c>
    </row>
    <row r="786" spans="1:31" x14ac:dyDescent="0.2">
      <c r="A786" s="9">
        <v>783</v>
      </c>
      <c r="B786" s="178">
        <f t="shared" si="231"/>
        <v>96</v>
      </c>
      <c r="C786" s="178">
        <f t="shared" si="231"/>
        <v>96</v>
      </c>
      <c r="D786" s="2">
        <f>PARAM!$H$38</f>
        <v>1</v>
      </c>
      <c r="E786" s="11">
        <f>PARAM!$G$38</f>
        <v>0</v>
      </c>
      <c r="F786" s="11">
        <f>(VLOOKUP(C786,DEDN!$A$8:$O$902,$F$2)*D786+E786)/1000</f>
        <v>0.23444000000000001</v>
      </c>
      <c r="G786" s="178">
        <f t="shared" si="232"/>
        <v>65</v>
      </c>
      <c r="H786" s="178">
        <f t="shared" si="232"/>
        <v>65</v>
      </c>
      <c r="I786" s="2">
        <f>PARAM!$H$39</f>
        <v>0</v>
      </c>
      <c r="J786" s="11">
        <f>PARAM!$G$39</f>
        <v>0</v>
      </c>
      <c r="K786" s="11">
        <f>(VLOOKUP(H786,DEDN!$A$8:$O$902,$K$2)*I786+J786)/1000</f>
        <v>0</v>
      </c>
      <c r="L786" s="11">
        <f>MIN(IF(PARAM!$B$43=3,CHOOSE($L$2,F786,K786),F786+K786-F786*K786),1)</f>
        <v>0.23444000000000001</v>
      </c>
      <c r="M786" s="2">
        <f>PARAM!$I$38</f>
        <v>0</v>
      </c>
      <c r="N786" s="11">
        <f>VLOOKUP(B786,DEDN!$A$8:$O$90,$N$2)*M786</f>
        <v>0</v>
      </c>
      <c r="O786" s="12"/>
      <c r="P786" s="10">
        <f>PARAM!$C$53^-A786</f>
        <v>1</v>
      </c>
      <c r="Q786" s="10">
        <f t="shared" si="230"/>
        <v>4.4558097110743031E-2</v>
      </c>
      <c r="R786" s="10">
        <f t="shared" si="228"/>
        <v>4.4558097110743031E-2</v>
      </c>
      <c r="S786" s="10">
        <f>CHOOSE(PARAM!$B$51,R786,R786,0,0)*(A786&lt;PARAM!$B$55)</f>
        <v>0</v>
      </c>
      <c r="T786" s="10">
        <f t="shared" si="229"/>
        <v>9.8100580529053572E-4</v>
      </c>
      <c r="U786" s="10">
        <f>T786*P786*(A786&lt;PARAM!$B$55)</f>
        <v>0</v>
      </c>
      <c r="W786">
        <v>783</v>
      </c>
      <c r="X786" s="178">
        <f t="shared" si="233"/>
        <v>96</v>
      </c>
      <c r="Y786" s="178">
        <f t="shared" si="233"/>
        <v>96</v>
      </c>
      <c r="Z786" s="178">
        <f t="shared" si="233"/>
        <v>65</v>
      </c>
      <c r="AA786" s="178">
        <f t="shared" si="233"/>
        <v>65</v>
      </c>
      <c r="AD786" s="17">
        <f>CALC!E810*(A786&lt;PARAM!$B$55)</f>
        <v>0</v>
      </c>
      <c r="AE786">
        <f>IF(A786&lt;ITER!$C$16,1,PARAM!$C$53^-(RATES!A786-ITER!$C$16))*(A786&lt;PARAM!$B$55)</f>
        <v>0</v>
      </c>
    </row>
    <row r="787" spans="1:31" x14ac:dyDescent="0.2">
      <c r="A787" s="9">
        <v>784</v>
      </c>
      <c r="B787" s="178">
        <f t="shared" si="231"/>
        <v>96</v>
      </c>
      <c r="C787" s="178">
        <f t="shared" si="231"/>
        <v>96</v>
      </c>
      <c r="D787" s="2">
        <f>PARAM!$H$38</f>
        <v>1</v>
      </c>
      <c r="E787" s="11">
        <f>PARAM!$G$38</f>
        <v>0</v>
      </c>
      <c r="F787" s="11">
        <f>(VLOOKUP(C787,DEDN!$A$8:$O$902,$F$2)*D787+E787)/1000</f>
        <v>0.23444000000000001</v>
      </c>
      <c r="G787" s="178">
        <f t="shared" si="232"/>
        <v>65</v>
      </c>
      <c r="H787" s="178">
        <f t="shared" si="232"/>
        <v>65</v>
      </c>
      <c r="I787" s="2">
        <f>PARAM!$H$39</f>
        <v>0</v>
      </c>
      <c r="J787" s="11">
        <f>PARAM!$G$39</f>
        <v>0</v>
      </c>
      <c r="K787" s="11">
        <f>(VLOOKUP(H787,DEDN!$A$8:$O$902,$K$2)*I787+J787)/1000</f>
        <v>0</v>
      </c>
      <c r="L787" s="11">
        <f>MIN(IF(PARAM!$B$43=3,CHOOSE($L$2,F787,K787),F787+K787-F787*K787),1)</f>
        <v>0.23444000000000001</v>
      </c>
      <c r="M787" s="2">
        <f>PARAM!$I$38</f>
        <v>0</v>
      </c>
      <c r="N787" s="11">
        <f>VLOOKUP(B787,DEDN!$A$8:$O$90,$N$2)*M787</f>
        <v>0</v>
      </c>
      <c r="O787" s="12"/>
      <c r="P787" s="10">
        <f>PARAM!$C$53^-A787</f>
        <v>1</v>
      </c>
      <c r="Q787" s="10">
        <f t="shared" si="230"/>
        <v>4.3577091305452495E-2</v>
      </c>
      <c r="R787" s="10">
        <f t="shared" si="228"/>
        <v>4.3577091305452495E-2</v>
      </c>
      <c r="S787" s="10">
        <f>CHOOSE(PARAM!$B$51,R787,0,0,0)*(A787&lt;PARAM!$B$55)</f>
        <v>0</v>
      </c>
      <c r="T787" s="10">
        <f t="shared" si="229"/>
        <v>9.5940765697594826E-4</v>
      </c>
      <c r="U787" s="10">
        <f>T787*P787*(A787&lt;PARAM!$B$55)</f>
        <v>0</v>
      </c>
      <c r="W787">
        <v>784</v>
      </c>
      <c r="X787" s="178">
        <f t="shared" si="233"/>
        <v>96</v>
      </c>
      <c r="Y787" s="178">
        <f t="shared" si="233"/>
        <v>96</v>
      </c>
      <c r="Z787" s="178">
        <f t="shared" si="233"/>
        <v>65</v>
      </c>
      <c r="AA787" s="178">
        <f t="shared" si="233"/>
        <v>65</v>
      </c>
      <c r="AD787" s="17">
        <f>CALC!E811*(A787&lt;PARAM!$B$55)</f>
        <v>0</v>
      </c>
      <c r="AE787">
        <f>IF(A787&lt;ITER!$C$16,1,PARAM!$C$53^-(RATES!A787-ITER!$C$16))*(A787&lt;PARAM!$B$55)</f>
        <v>0</v>
      </c>
    </row>
    <row r="788" spans="1:31" x14ac:dyDescent="0.2">
      <c r="A788" s="9">
        <v>785</v>
      </c>
      <c r="B788" s="178">
        <f t="shared" si="231"/>
        <v>96</v>
      </c>
      <c r="C788" s="178">
        <f t="shared" si="231"/>
        <v>96</v>
      </c>
      <c r="D788" s="2">
        <f>PARAM!$H$38</f>
        <v>1</v>
      </c>
      <c r="E788" s="11">
        <f>PARAM!$G$38</f>
        <v>0</v>
      </c>
      <c r="F788" s="11">
        <f>(VLOOKUP(C788,DEDN!$A$8:$O$902,$F$2)*D788+E788)/1000</f>
        <v>0.23444000000000001</v>
      </c>
      <c r="G788" s="178">
        <f t="shared" si="232"/>
        <v>65</v>
      </c>
      <c r="H788" s="178">
        <f t="shared" si="232"/>
        <v>65</v>
      </c>
      <c r="I788" s="2">
        <f>PARAM!$H$39</f>
        <v>0</v>
      </c>
      <c r="J788" s="11">
        <f>PARAM!$G$39</f>
        <v>0</v>
      </c>
      <c r="K788" s="11">
        <f>(VLOOKUP(H788,DEDN!$A$8:$O$902,$K$2)*I788+J788)/1000</f>
        <v>0</v>
      </c>
      <c r="L788" s="11">
        <f>MIN(IF(PARAM!$B$43=3,CHOOSE($L$2,F788,K788),F788+K788-F788*K788),1)</f>
        <v>0.23444000000000001</v>
      </c>
      <c r="M788" s="2">
        <f>PARAM!$I$38</f>
        <v>0</v>
      </c>
      <c r="N788" s="11">
        <f>VLOOKUP(B788,DEDN!$A$8:$O$90,$N$2)*M788</f>
        <v>0</v>
      </c>
      <c r="O788" s="12"/>
      <c r="P788" s="10">
        <f>PARAM!$C$53^-A788</f>
        <v>1</v>
      </c>
      <c r="Q788" s="10">
        <f t="shared" si="230"/>
        <v>4.2617683648476547E-2</v>
      </c>
      <c r="R788" s="10">
        <f t="shared" ref="R788:R803" si="234">P788*Q788</f>
        <v>4.2617683648476547E-2</v>
      </c>
      <c r="S788" s="10">
        <f>CHOOSE(PARAM!$B$51,R788,0,0,0)*(A788&lt;PARAM!$B$55)</f>
        <v>0</v>
      </c>
      <c r="T788" s="10">
        <f t="shared" si="229"/>
        <v>9.3828502063907082E-4</v>
      </c>
      <c r="U788" s="10">
        <f>T788*P788*(A788&lt;PARAM!$B$55)</f>
        <v>0</v>
      </c>
      <c r="W788">
        <v>785</v>
      </c>
      <c r="X788" s="178">
        <f t="shared" si="233"/>
        <v>96</v>
      </c>
      <c r="Y788" s="178">
        <f t="shared" si="233"/>
        <v>96</v>
      </c>
      <c r="Z788" s="178">
        <f t="shared" si="233"/>
        <v>65</v>
      </c>
      <c r="AA788" s="178">
        <f t="shared" si="233"/>
        <v>65</v>
      </c>
      <c r="AD788" s="17">
        <f>CALC!E812*(A788&lt;PARAM!$B$55)</f>
        <v>0</v>
      </c>
      <c r="AE788">
        <f>IF(A788&lt;ITER!$C$16,1,PARAM!$C$53^-(RATES!A788-ITER!$C$16))*(A788&lt;PARAM!$B$55)</f>
        <v>0</v>
      </c>
    </row>
    <row r="789" spans="1:31" x14ac:dyDescent="0.2">
      <c r="A789" s="9">
        <v>786</v>
      </c>
      <c r="B789" s="178">
        <f t="shared" si="231"/>
        <v>97</v>
      </c>
      <c r="C789" s="178">
        <f t="shared" si="231"/>
        <v>97</v>
      </c>
      <c r="D789" s="2">
        <f>PARAM!$H$38</f>
        <v>1</v>
      </c>
      <c r="E789" s="11">
        <f>PARAM!$G$38</f>
        <v>0</v>
      </c>
      <c r="F789" s="11">
        <f>(VLOOKUP(C789,DEDN!$A$8:$O$902,$F$2)*D789+E789)/1000</f>
        <v>0.25048999999999999</v>
      </c>
      <c r="G789" s="178">
        <f t="shared" si="232"/>
        <v>66</v>
      </c>
      <c r="H789" s="178">
        <f t="shared" si="232"/>
        <v>66</v>
      </c>
      <c r="I789" s="2">
        <f>PARAM!$H$39</f>
        <v>0</v>
      </c>
      <c r="J789" s="11">
        <f>PARAM!$G$39</f>
        <v>0</v>
      </c>
      <c r="K789" s="11">
        <f>(VLOOKUP(H789,DEDN!$A$8:$O$902,$K$2)*I789+J789)/1000</f>
        <v>0</v>
      </c>
      <c r="L789" s="11">
        <f>MIN(IF(PARAM!$B$43=3,CHOOSE($L$2,F789,K789),F789+K789-F789*K789),1)</f>
        <v>0.25048999999999999</v>
      </c>
      <c r="M789" s="2">
        <f>PARAM!$I$38</f>
        <v>0</v>
      </c>
      <c r="N789" s="11">
        <f>VLOOKUP(B789,DEDN!$A$8:$O$90,$N$2)*M789</f>
        <v>0</v>
      </c>
      <c r="O789" s="12"/>
      <c r="P789" s="10">
        <f>PARAM!$C$53^-A789</f>
        <v>1</v>
      </c>
      <c r="Q789" s="10">
        <f t="shared" ref="Q789:Q804" si="235">Q788*(1-L788)^(1/12)</f>
        <v>4.1679398627837476E-2</v>
      </c>
      <c r="R789" s="10">
        <f t="shared" si="234"/>
        <v>4.1679398627837476E-2</v>
      </c>
      <c r="S789" s="10">
        <f>CHOOSE(PARAM!$B$51,R789,R789,R789,0)*(A789&lt;PARAM!$B$55)</f>
        <v>0</v>
      </c>
      <c r="T789" s="10">
        <f t="shared" si="229"/>
        <v>9.8953539737647866E-4</v>
      </c>
      <c r="U789" s="10">
        <f>T789*P789*(A789&lt;PARAM!$B$55)</f>
        <v>0</v>
      </c>
      <c r="W789">
        <v>786</v>
      </c>
      <c r="X789" s="178">
        <f t="shared" si="233"/>
        <v>97</v>
      </c>
      <c r="Y789" s="178">
        <f t="shared" si="233"/>
        <v>97</v>
      </c>
      <c r="Z789" s="178">
        <f t="shared" si="233"/>
        <v>66</v>
      </c>
      <c r="AA789" s="178">
        <f t="shared" si="233"/>
        <v>66</v>
      </c>
      <c r="AD789" s="17">
        <f>CALC!E813*(A789&lt;PARAM!$B$55)</f>
        <v>0</v>
      </c>
      <c r="AE789">
        <f>IF(A789&lt;ITER!$C$16,1,PARAM!$C$53^-(RATES!A789-ITER!$C$16))*(A789&lt;PARAM!$B$55)</f>
        <v>0</v>
      </c>
    </row>
    <row r="790" spans="1:31" x14ac:dyDescent="0.2">
      <c r="A790" s="9">
        <v>787</v>
      </c>
      <c r="B790" s="178">
        <f t="shared" si="231"/>
        <v>97</v>
      </c>
      <c r="C790" s="178">
        <f t="shared" si="231"/>
        <v>97</v>
      </c>
      <c r="D790" s="2">
        <f>PARAM!$H$38</f>
        <v>1</v>
      </c>
      <c r="E790" s="11">
        <f>PARAM!$G$38</f>
        <v>0</v>
      </c>
      <c r="F790" s="11">
        <f>(VLOOKUP(C790,DEDN!$A$8:$O$902,$F$2)*D790+E790)/1000</f>
        <v>0.25048999999999999</v>
      </c>
      <c r="G790" s="178">
        <f t="shared" si="232"/>
        <v>66</v>
      </c>
      <c r="H790" s="178">
        <f t="shared" si="232"/>
        <v>66</v>
      </c>
      <c r="I790" s="2">
        <f>PARAM!$H$39</f>
        <v>0</v>
      </c>
      <c r="J790" s="11">
        <f>PARAM!$G$39</f>
        <v>0</v>
      </c>
      <c r="K790" s="11">
        <f>(VLOOKUP(H790,DEDN!$A$8:$O$902,$K$2)*I790+J790)/1000</f>
        <v>0</v>
      </c>
      <c r="L790" s="11">
        <f>MIN(IF(PARAM!$B$43=3,CHOOSE($L$2,F790,K790),F790+K790-F790*K790),1)</f>
        <v>0.25048999999999999</v>
      </c>
      <c r="M790" s="2">
        <f>PARAM!$I$38</f>
        <v>0</v>
      </c>
      <c r="N790" s="11">
        <f>VLOOKUP(B790,DEDN!$A$8:$O$90,$N$2)*M790</f>
        <v>0</v>
      </c>
      <c r="O790" s="12"/>
      <c r="P790" s="10">
        <f>PARAM!$C$53^-A790</f>
        <v>1</v>
      </c>
      <c r="Q790" s="10">
        <f t="shared" si="235"/>
        <v>4.0689863230460997E-2</v>
      </c>
      <c r="R790" s="10">
        <f t="shared" si="234"/>
        <v>4.0689863230460997E-2</v>
      </c>
      <c r="S790" s="10">
        <f>CHOOSE(PARAM!$B$51,R790,0,0,0)*(A790&lt;PARAM!$B$55)</f>
        <v>0</v>
      </c>
      <c r="T790" s="10">
        <f t="shared" si="229"/>
        <v>9.6604224884513229E-4</v>
      </c>
      <c r="U790" s="10">
        <f>T790*P790*(A790&lt;PARAM!$B$55)</f>
        <v>0</v>
      </c>
      <c r="W790">
        <v>787</v>
      </c>
      <c r="X790" s="178">
        <f t="shared" si="233"/>
        <v>97</v>
      </c>
      <c r="Y790" s="178">
        <f t="shared" si="233"/>
        <v>97</v>
      </c>
      <c r="Z790" s="178">
        <f t="shared" si="233"/>
        <v>66</v>
      </c>
      <c r="AA790" s="178">
        <f t="shared" si="233"/>
        <v>66</v>
      </c>
      <c r="AD790" s="17">
        <f>CALC!E814*(A790&lt;PARAM!$B$55)</f>
        <v>0</v>
      </c>
      <c r="AE790">
        <f>IF(A790&lt;ITER!$C$16,1,PARAM!$C$53^-(RATES!A790-ITER!$C$16))*(A790&lt;PARAM!$B$55)</f>
        <v>0</v>
      </c>
    </row>
    <row r="791" spans="1:31" x14ac:dyDescent="0.2">
      <c r="A791" s="9">
        <v>788</v>
      </c>
      <c r="B791" s="178">
        <f t="shared" si="231"/>
        <v>97</v>
      </c>
      <c r="C791" s="178">
        <f t="shared" si="231"/>
        <v>97</v>
      </c>
      <c r="D791" s="2">
        <f>PARAM!$H$38</f>
        <v>1</v>
      </c>
      <c r="E791" s="11">
        <f>PARAM!$G$38</f>
        <v>0</v>
      </c>
      <c r="F791" s="11">
        <f>(VLOOKUP(C791,DEDN!$A$8:$O$902,$F$2)*D791+E791)/1000</f>
        <v>0.25048999999999999</v>
      </c>
      <c r="G791" s="178">
        <f t="shared" si="232"/>
        <v>66</v>
      </c>
      <c r="H791" s="178">
        <f t="shared" si="232"/>
        <v>66</v>
      </c>
      <c r="I791" s="2">
        <f>PARAM!$H$39</f>
        <v>0</v>
      </c>
      <c r="J791" s="11">
        <f>PARAM!$G$39</f>
        <v>0</v>
      </c>
      <c r="K791" s="11">
        <f>(VLOOKUP(H791,DEDN!$A$8:$O$902,$K$2)*I791+J791)/1000</f>
        <v>0</v>
      </c>
      <c r="L791" s="11">
        <f>MIN(IF(PARAM!$B$43=3,CHOOSE($L$2,F791,K791),F791+K791-F791*K791),1)</f>
        <v>0.25048999999999999</v>
      </c>
      <c r="M791" s="2">
        <f>PARAM!$I$38</f>
        <v>0</v>
      </c>
      <c r="N791" s="11">
        <f>VLOOKUP(B791,DEDN!$A$8:$O$90,$N$2)*M791</f>
        <v>0</v>
      </c>
      <c r="O791" s="12"/>
      <c r="P791" s="10">
        <f>PARAM!$C$53^-A791</f>
        <v>1</v>
      </c>
      <c r="Q791" s="10">
        <f t="shared" si="235"/>
        <v>3.9723820981615865E-2</v>
      </c>
      <c r="R791" s="10">
        <f t="shared" si="234"/>
        <v>3.9723820981615865E-2</v>
      </c>
      <c r="S791" s="10">
        <f>CHOOSE(PARAM!$B$51,R791,0,0,0)*(A791&lt;PARAM!$B$55)</f>
        <v>0</v>
      </c>
      <c r="T791" s="10">
        <f t="shared" si="229"/>
        <v>9.4310686512884961E-4</v>
      </c>
      <c r="U791" s="10">
        <f>T791*P791*(A791&lt;PARAM!$B$55)</f>
        <v>0</v>
      </c>
      <c r="W791">
        <v>788</v>
      </c>
      <c r="X791" s="178">
        <f t="shared" si="233"/>
        <v>97</v>
      </c>
      <c r="Y791" s="178">
        <f t="shared" si="233"/>
        <v>97</v>
      </c>
      <c r="Z791" s="178">
        <f t="shared" si="233"/>
        <v>66</v>
      </c>
      <c r="AA791" s="178">
        <f t="shared" si="233"/>
        <v>66</v>
      </c>
      <c r="AD791" s="17">
        <f>CALC!E815*(A791&lt;PARAM!$B$55)</f>
        <v>0</v>
      </c>
      <c r="AE791">
        <f>IF(A791&lt;ITER!$C$16,1,PARAM!$C$53^-(RATES!A791-ITER!$C$16))*(A791&lt;PARAM!$B$55)</f>
        <v>0</v>
      </c>
    </row>
    <row r="792" spans="1:31" x14ac:dyDescent="0.2">
      <c r="A792" s="9">
        <v>789</v>
      </c>
      <c r="B792" s="178">
        <f t="shared" si="231"/>
        <v>97</v>
      </c>
      <c r="C792" s="178">
        <f t="shared" si="231"/>
        <v>97</v>
      </c>
      <c r="D792" s="2">
        <f>PARAM!$H$38</f>
        <v>1</v>
      </c>
      <c r="E792" s="11">
        <f>PARAM!$G$38</f>
        <v>0</v>
      </c>
      <c r="F792" s="11">
        <f>(VLOOKUP(C792,DEDN!$A$8:$O$902,$F$2)*D792+E792)/1000</f>
        <v>0.25048999999999999</v>
      </c>
      <c r="G792" s="178">
        <f t="shared" si="232"/>
        <v>66</v>
      </c>
      <c r="H792" s="178">
        <f t="shared" si="232"/>
        <v>66</v>
      </c>
      <c r="I792" s="2">
        <f>PARAM!$H$39</f>
        <v>0</v>
      </c>
      <c r="J792" s="11">
        <f>PARAM!$G$39</f>
        <v>0</v>
      </c>
      <c r="K792" s="11">
        <f>(VLOOKUP(H792,DEDN!$A$8:$O$902,$K$2)*I792+J792)/1000</f>
        <v>0</v>
      </c>
      <c r="L792" s="11">
        <f>MIN(IF(PARAM!$B$43=3,CHOOSE($L$2,F792,K792),F792+K792-F792*K792),1)</f>
        <v>0.25048999999999999</v>
      </c>
      <c r="M792" s="2">
        <f>PARAM!$I$38</f>
        <v>0</v>
      </c>
      <c r="N792" s="11">
        <f>VLOOKUP(B792,DEDN!$A$8:$O$90,$N$2)*M792</f>
        <v>0</v>
      </c>
      <c r="O792" s="12"/>
      <c r="P792" s="10">
        <f>PARAM!$C$53^-A792</f>
        <v>1</v>
      </c>
      <c r="Q792" s="10">
        <f t="shared" si="235"/>
        <v>3.8780714116487015E-2</v>
      </c>
      <c r="R792" s="10">
        <f t="shared" si="234"/>
        <v>3.8780714116487015E-2</v>
      </c>
      <c r="S792" s="10">
        <f>CHOOSE(PARAM!$B$51,R792,R792,0,0)*(A792&lt;PARAM!$B$55)</f>
        <v>0</v>
      </c>
      <c r="T792" s="10">
        <f t="shared" si="229"/>
        <v>9.207160040013429E-4</v>
      </c>
      <c r="U792" s="10">
        <f>T792*P792*(A792&lt;PARAM!$B$55)</f>
        <v>0</v>
      </c>
      <c r="W792">
        <v>789</v>
      </c>
      <c r="X792" s="178">
        <f t="shared" si="233"/>
        <v>97</v>
      </c>
      <c r="Y792" s="178">
        <f t="shared" si="233"/>
        <v>97</v>
      </c>
      <c r="Z792" s="178">
        <f t="shared" si="233"/>
        <v>66</v>
      </c>
      <c r="AA792" s="178">
        <f t="shared" si="233"/>
        <v>66</v>
      </c>
      <c r="AD792" s="17">
        <f>CALC!E816*(A792&lt;PARAM!$B$55)</f>
        <v>0</v>
      </c>
      <c r="AE792">
        <f>IF(A792&lt;ITER!$C$16,1,PARAM!$C$53^-(RATES!A792-ITER!$C$16))*(A792&lt;PARAM!$B$55)</f>
        <v>0</v>
      </c>
    </row>
    <row r="793" spans="1:31" x14ac:dyDescent="0.2">
      <c r="A793" s="9">
        <v>790</v>
      </c>
      <c r="B793" s="178">
        <f t="shared" si="231"/>
        <v>97</v>
      </c>
      <c r="C793" s="178">
        <f t="shared" si="231"/>
        <v>97</v>
      </c>
      <c r="D793" s="2">
        <f>PARAM!$H$38</f>
        <v>1</v>
      </c>
      <c r="E793" s="11">
        <f>PARAM!$G$38</f>
        <v>0</v>
      </c>
      <c r="F793" s="11">
        <f>(VLOOKUP(C793,DEDN!$A$8:$O$902,$F$2)*D793+E793)/1000</f>
        <v>0.25048999999999999</v>
      </c>
      <c r="G793" s="178">
        <f t="shared" si="232"/>
        <v>66</v>
      </c>
      <c r="H793" s="178">
        <f t="shared" si="232"/>
        <v>66</v>
      </c>
      <c r="I793" s="2">
        <f>PARAM!$H$39</f>
        <v>0</v>
      </c>
      <c r="J793" s="11">
        <f>PARAM!$G$39</f>
        <v>0</v>
      </c>
      <c r="K793" s="11">
        <f>(VLOOKUP(H793,DEDN!$A$8:$O$902,$K$2)*I793+J793)/1000</f>
        <v>0</v>
      </c>
      <c r="L793" s="11">
        <f>MIN(IF(PARAM!$B$43=3,CHOOSE($L$2,F793,K793),F793+K793-F793*K793),1)</f>
        <v>0.25048999999999999</v>
      </c>
      <c r="M793" s="2">
        <f>PARAM!$I$38</f>
        <v>0</v>
      </c>
      <c r="N793" s="11">
        <f>VLOOKUP(B793,DEDN!$A$8:$O$90,$N$2)*M793</f>
        <v>0</v>
      </c>
      <c r="O793" s="12"/>
      <c r="P793" s="10">
        <f>PARAM!$C$53^-A793</f>
        <v>1</v>
      </c>
      <c r="Q793" s="10">
        <f t="shared" si="235"/>
        <v>3.7859998112485672E-2</v>
      </c>
      <c r="R793" s="10">
        <f t="shared" si="234"/>
        <v>3.7859998112485672E-2</v>
      </c>
      <c r="S793" s="10">
        <f>CHOOSE(PARAM!$B$51,R793,0,0,0)*(A793&lt;PARAM!$B$55)</f>
        <v>0</v>
      </c>
      <c r="T793" s="10">
        <f t="shared" si="229"/>
        <v>8.9885673762791357E-4</v>
      </c>
      <c r="U793" s="10">
        <f>T793*P793*(A793&lt;PARAM!$B$55)</f>
        <v>0</v>
      </c>
      <c r="W793">
        <v>790</v>
      </c>
      <c r="X793" s="178">
        <f t="shared" si="233"/>
        <v>97</v>
      </c>
      <c r="Y793" s="178">
        <f t="shared" si="233"/>
        <v>97</v>
      </c>
      <c r="Z793" s="178">
        <f t="shared" si="233"/>
        <v>66</v>
      </c>
      <c r="AA793" s="178">
        <f t="shared" si="233"/>
        <v>66</v>
      </c>
      <c r="AD793" s="17">
        <f>CALC!E817*(A793&lt;PARAM!$B$55)</f>
        <v>0</v>
      </c>
      <c r="AE793">
        <f>IF(A793&lt;ITER!$C$16,1,PARAM!$C$53^-(RATES!A793-ITER!$C$16))*(A793&lt;PARAM!$B$55)</f>
        <v>0</v>
      </c>
    </row>
    <row r="794" spans="1:31" x14ac:dyDescent="0.2">
      <c r="A794" s="9">
        <v>791</v>
      </c>
      <c r="B794" s="178">
        <f t="shared" si="231"/>
        <v>97</v>
      </c>
      <c r="C794" s="178">
        <f t="shared" si="231"/>
        <v>97</v>
      </c>
      <c r="D794" s="2">
        <f>PARAM!$H$38</f>
        <v>1</v>
      </c>
      <c r="E794" s="11">
        <f>PARAM!$G$38</f>
        <v>0</v>
      </c>
      <c r="F794" s="11">
        <f>(VLOOKUP(C794,DEDN!$A$8:$O$902,$F$2)*D794+E794)/1000</f>
        <v>0.25048999999999999</v>
      </c>
      <c r="G794" s="178">
        <f t="shared" si="232"/>
        <v>66</v>
      </c>
      <c r="H794" s="178">
        <f t="shared" si="232"/>
        <v>66</v>
      </c>
      <c r="I794" s="2">
        <f>PARAM!$H$39</f>
        <v>0</v>
      </c>
      <c r="J794" s="11">
        <f>PARAM!$G$39</f>
        <v>0</v>
      </c>
      <c r="K794" s="11">
        <f>(VLOOKUP(H794,DEDN!$A$8:$O$902,$K$2)*I794+J794)/1000</f>
        <v>0</v>
      </c>
      <c r="L794" s="11">
        <f>MIN(IF(PARAM!$B$43=3,CHOOSE($L$2,F794,K794),F794+K794-F794*K794),1)</f>
        <v>0.25048999999999999</v>
      </c>
      <c r="M794" s="2">
        <f>PARAM!$I$38</f>
        <v>0</v>
      </c>
      <c r="N794" s="11">
        <f>VLOOKUP(B794,DEDN!$A$8:$O$90,$N$2)*M794</f>
        <v>0</v>
      </c>
      <c r="O794" s="12"/>
      <c r="P794" s="10">
        <f>PARAM!$C$53^-A794</f>
        <v>1</v>
      </c>
      <c r="Q794" s="10">
        <f t="shared" si="235"/>
        <v>3.6961141374857759E-2</v>
      </c>
      <c r="R794" s="10">
        <f t="shared" si="234"/>
        <v>3.6961141374857759E-2</v>
      </c>
      <c r="S794" s="10">
        <f>CHOOSE(PARAM!$B$51,R794,0,0,0)*(A794&lt;PARAM!$B$55)</f>
        <v>0</v>
      </c>
      <c r="T794" s="10">
        <f t="shared" si="229"/>
        <v>8.7751644510125626E-4</v>
      </c>
      <c r="U794" s="10">
        <f>T794*P794*(A794&lt;PARAM!$B$55)</f>
        <v>0</v>
      </c>
      <c r="W794">
        <v>791</v>
      </c>
      <c r="X794" s="178">
        <f t="shared" si="233"/>
        <v>97</v>
      </c>
      <c r="Y794" s="178">
        <f t="shared" si="233"/>
        <v>97</v>
      </c>
      <c r="Z794" s="178">
        <f t="shared" si="233"/>
        <v>66</v>
      </c>
      <c r="AA794" s="178">
        <f t="shared" si="233"/>
        <v>66</v>
      </c>
      <c r="AD794" s="17">
        <f>CALC!E818*(A794&lt;PARAM!$B$55)</f>
        <v>0</v>
      </c>
      <c r="AE794">
        <f>IF(A794&lt;ITER!$C$16,1,PARAM!$C$53^-(RATES!A794-ITER!$C$16))*(A794&lt;PARAM!$B$55)</f>
        <v>0</v>
      </c>
    </row>
    <row r="795" spans="1:31" x14ac:dyDescent="0.2">
      <c r="A795" s="9">
        <v>792</v>
      </c>
      <c r="B795" s="178">
        <f t="shared" si="231"/>
        <v>97</v>
      </c>
      <c r="C795" s="178">
        <f t="shared" si="231"/>
        <v>97</v>
      </c>
      <c r="D795" s="2">
        <f>PARAM!$H$38</f>
        <v>1</v>
      </c>
      <c r="E795" s="11">
        <f>PARAM!$G$38</f>
        <v>0</v>
      </c>
      <c r="F795" s="11">
        <f>(VLOOKUP(C795,DEDN!$A$8:$O$902,$F$2)*D795+E795)/1000</f>
        <v>0.25048999999999999</v>
      </c>
      <c r="G795" s="178">
        <f t="shared" si="232"/>
        <v>66</v>
      </c>
      <c r="H795" s="178">
        <f t="shared" si="232"/>
        <v>66</v>
      </c>
      <c r="I795" s="2">
        <f>PARAM!$H$39</f>
        <v>0</v>
      </c>
      <c r="J795" s="11">
        <f>PARAM!$G$39</f>
        <v>0</v>
      </c>
      <c r="K795" s="11">
        <f>(VLOOKUP(H795,DEDN!$A$8:$O$902,$K$2)*I795+J795)/1000</f>
        <v>0</v>
      </c>
      <c r="L795" s="11">
        <f>MIN(IF(PARAM!$B$43=3,CHOOSE($L$2,F795,K795),F795+K795-F795*K795),1)</f>
        <v>0.25048999999999999</v>
      </c>
      <c r="M795" s="2">
        <f>PARAM!$I$38</f>
        <v>0</v>
      </c>
      <c r="N795" s="11">
        <f>VLOOKUP(B795,DEDN!$A$8:$O$90,$N$2)*M795</f>
        <v>0</v>
      </c>
      <c r="O795" s="12"/>
      <c r="P795" s="10">
        <f>PARAM!$C$53^-A795</f>
        <v>1</v>
      </c>
      <c r="Q795" s="10">
        <f t="shared" si="235"/>
        <v>3.6083624929756503E-2</v>
      </c>
      <c r="R795" s="10">
        <f t="shared" si="234"/>
        <v>3.6083624929756503E-2</v>
      </c>
      <c r="S795" s="10">
        <f>R795*(A795&lt;PARAM!$B$55)</f>
        <v>0</v>
      </c>
      <c r="T795" s="10">
        <f t="shared" si="229"/>
        <v>8.566828051545447E-4</v>
      </c>
      <c r="U795" s="10">
        <f>T795*P795*(A795&lt;PARAM!$B$55)</f>
        <v>0</v>
      </c>
      <c r="W795">
        <v>792</v>
      </c>
      <c r="X795" s="178">
        <f t="shared" si="233"/>
        <v>97</v>
      </c>
      <c r="Y795" s="178">
        <f t="shared" si="233"/>
        <v>97</v>
      </c>
      <c r="Z795" s="178">
        <f t="shared" si="233"/>
        <v>66</v>
      </c>
      <c r="AA795" s="178">
        <f t="shared" si="233"/>
        <v>66</v>
      </c>
      <c r="AD795" s="17">
        <f>CALC!E819*(A795&lt;PARAM!$B$55)</f>
        <v>0</v>
      </c>
      <c r="AE795">
        <f>IF(A795&lt;ITER!$C$16,1,PARAM!$C$53^-(RATES!A795-ITER!$C$16))*(A795&lt;PARAM!$B$55)</f>
        <v>0</v>
      </c>
    </row>
    <row r="796" spans="1:31" x14ac:dyDescent="0.2">
      <c r="A796" s="9">
        <v>793</v>
      </c>
      <c r="B796" s="178">
        <f t="shared" si="231"/>
        <v>97</v>
      </c>
      <c r="C796" s="178">
        <f t="shared" si="231"/>
        <v>97</v>
      </c>
      <c r="D796" s="2">
        <f>PARAM!$H$38</f>
        <v>1</v>
      </c>
      <c r="E796" s="11">
        <f>PARAM!$G$38</f>
        <v>0</v>
      </c>
      <c r="F796" s="11">
        <f>(VLOOKUP(C796,DEDN!$A$8:$O$902,$F$2)*D796+E796)/1000</f>
        <v>0.25048999999999999</v>
      </c>
      <c r="G796" s="178">
        <f t="shared" si="232"/>
        <v>66</v>
      </c>
      <c r="H796" s="178">
        <f t="shared" si="232"/>
        <v>66</v>
      </c>
      <c r="I796" s="2">
        <f>PARAM!$H$39</f>
        <v>0</v>
      </c>
      <c r="J796" s="11">
        <f>PARAM!$G$39</f>
        <v>0</v>
      </c>
      <c r="K796" s="11">
        <f>(VLOOKUP(H796,DEDN!$A$8:$O$902,$K$2)*I796+J796)/1000</f>
        <v>0</v>
      </c>
      <c r="L796" s="11">
        <f>MIN(IF(PARAM!$B$43=3,CHOOSE($L$2,F796,K796),F796+K796-F796*K796),1)</f>
        <v>0.25048999999999999</v>
      </c>
      <c r="M796" s="2">
        <f>PARAM!$I$38</f>
        <v>0</v>
      </c>
      <c r="N796" s="11">
        <f>VLOOKUP(B796,DEDN!$A$8:$O$90,$N$2)*M796</f>
        <v>0</v>
      </c>
      <c r="O796" s="12"/>
      <c r="P796" s="10">
        <f>PARAM!$C$53^-A796</f>
        <v>1</v>
      </c>
      <c r="Q796" s="10">
        <f t="shared" si="235"/>
        <v>3.5226942124601958E-2</v>
      </c>
      <c r="R796" s="10">
        <f t="shared" si="234"/>
        <v>3.5226942124601958E-2</v>
      </c>
      <c r="S796" s="10">
        <f>CHOOSE(PARAM!$B$51,R796,0,0,0)*(A796&lt;PARAM!$B$55)</f>
        <v>0</v>
      </c>
      <c r="T796" s="10">
        <f t="shared" si="229"/>
        <v>8.3634378904749035E-4</v>
      </c>
      <c r="U796" s="10">
        <f>T796*P796*(A796&lt;PARAM!$B$55)</f>
        <v>0</v>
      </c>
      <c r="W796">
        <v>793</v>
      </c>
      <c r="X796" s="178">
        <f t="shared" si="233"/>
        <v>97</v>
      </c>
      <c r="Y796" s="178">
        <f t="shared" si="233"/>
        <v>97</v>
      </c>
      <c r="Z796" s="178">
        <f t="shared" si="233"/>
        <v>66</v>
      </c>
      <c r="AA796" s="178">
        <f t="shared" si="233"/>
        <v>66</v>
      </c>
      <c r="AD796" s="17">
        <f>CALC!E820*(A796&lt;PARAM!$B$55)</f>
        <v>0</v>
      </c>
      <c r="AE796">
        <f>IF(A796&lt;ITER!$C$16,1,PARAM!$C$53^-(RATES!A796-ITER!$C$16))*(A796&lt;PARAM!$B$55)</f>
        <v>0</v>
      </c>
    </row>
    <row r="797" spans="1:31" x14ac:dyDescent="0.2">
      <c r="A797" s="9">
        <v>794</v>
      </c>
      <c r="B797" s="178">
        <f t="shared" si="231"/>
        <v>97</v>
      </c>
      <c r="C797" s="178">
        <f t="shared" si="231"/>
        <v>97</v>
      </c>
      <c r="D797" s="2">
        <f>PARAM!$H$38</f>
        <v>1</v>
      </c>
      <c r="E797" s="11">
        <f>PARAM!$G$38</f>
        <v>0</v>
      </c>
      <c r="F797" s="11">
        <f>(VLOOKUP(C797,DEDN!$A$8:$O$902,$F$2)*D797+E797)/1000</f>
        <v>0.25048999999999999</v>
      </c>
      <c r="G797" s="178">
        <f t="shared" si="232"/>
        <v>66</v>
      </c>
      <c r="H797" s="178">
        <f t="shared" si="232"/>
        <v>66</v>
      </c>
      <c r="I797" s="2">
        <f>PARAM!$H$39</f>
        <v>0</v>
      </c>
      <c r="J797" s="11">
        <f>PARAM!$G$39</f>
        <v>0</v>
      </c>
      <c r="K797" s="11">
        <f>(VLOOKUP(H797,DEDN!$A$8:$O$902,$K$2)*I797+J797)/1000</f>
        <v>0</v>
      </c>
      <c r="L797" s="11">
        <f>MIN(IF(PARAM!$B$43=3,CHOOSE($L$2,F797,K797),F797+K797-F797*K797),1)</f>
        <v>0.25048999999999999</v>
      </c>
      <c r="M797" s="2">
        <f>PARAM!$I$38</f>
        <v>0</v>
      </c>
      <c r="N797" s="11">
        <f>VLOOKUP(B797,DEDN!$A$8:$O$90,$N$2)*M797</f>
        <v>0</v>
      </c>
      <c r="O797" s="12"/>
      <c r="P797" s="10">
        <f>PARAM!$C$53^-A797</f>
        <v>1</v>
      </c>
      <c r="Q797" s="10">
        <f t="shared" si="235"/>
        <v>3.4390598335554468E-2</v>
      </c>
      <c r="R797" s="10">
        <f t="shared" si="234"/>
        <v>3.4390598335554468E-2</v>
      </c>
      <c r="S797" s="10">
        <f>CHOOSE(PARAM!$B$51,R797,0,0,0)*(A797&lt;PARAM!$B$55)</f>
        <v>0</v>
      </c>
      <c r="T797" s="10">
        <f t="shared" si="229"/>
        <v>8.1648765362125203E-4</v>
      </c>
      <c r="U797" s="10">
        <f>T797*P797*(A797&lt;PARAM!$B$55)</f>
        <v>0</v>
      </c>
      <c r="W797">
        <v>794</v>
      </c>
      <c r="X797" s="178">
        <f t="shared" si="233"/>
        <v>97</v>
      </c>
      <c r="Y797" s="178">
        <f t="shared" si="233"/>
        <v>97</v>
      </c>
      <c r="Z797" s="178">
        <f t="shared" si="233"/>
        <v>66</v>
      </c>
      <c r="AA797" s="178">
        <f t="shared" si="233"/>
        <v>66</v>
      </c>
      <c r="AD797" s="17">
        <f>CALC!E821*(A797&lt;PARAM!$B$55)</f>
        <v>0</v>
      </c>
      <c r="AE797">
        <f>IF(A797&lt;ITER!$C$16,1,PARAM!$C$53^-(RATES!A797-ITER!$C$16))*(A797&lt;PARAM!$B$55)</f>
        <v>0</v>
      </c>
    </row>
    <row r="798" spans="1:31" x14ac:dyDescent="0.2">
      <c r="A798" s="9">
        <v>795</v>
      </c>
      <c r="B798" s="178">
        <f t="shared" si="231"/>
        <v>97</v>
      </c>
      <c r="C798" s="178">
        <f t="shared" si="231"/>
        <v>97</v>
      </c>
      <c r="D798" s="2">
        <f>PARAM!$H$38</f>
        <v>1</v>
      </c>
      <c r="E798" s="11">
        <f>PARAM!$G$38</f>
        <v>0</v>
      </c>
      <c r="F798" s="11">
        <f>(VLOOKUP(C798,DEDN!$A$8:$O$902,$F$2)*D798+E798)/1000</f>
        <v>0.25048999999999999</v>
      </c>
      <c r="G798" s="178">
        <f t="shared" si="232"/>
        <v>66</v>
      </c>
      <c r="H798" s="178">
        <f t="shared" si="232"/>
        <v>66</v>
      </c>
      <c r="I798" s="2">
        <f>PARAM!$H$39</f>
        <v>0</v>
      </c>
      <c r="J798" s="11">
        <f>PARAM!$G$39</f>
        <v>0</v>
      </c>
      <c r="K798" s="11">
        <f>(VLOOKUP(H798,DEDN!$A$8:$O$902,$K$2)*I798+J798)/1000</f>
        <v>0</v>
      </c>
      <c r="L798" s="11">
        <f>MIN(IF(PARAM!$B$43=3,CHOOSE($L$2,F798,K798),F798+K798-F798*K798),1)</f>
        <v>0.25048999999999999</v>
      </c>
      <c r="M798" s="2">
        <f>PARAM!$I$38</f>
        <v>0</v>
      </c>
      <c r="N798" s="11">
        <f>VLOOKUP(B798,DEDN!$A$8:$O$90,$N$2)*M798</f>
        <v>0</v>
      </c>
      <c r="O798" s="12"/>
      <c r="P798" s="10">
        <f>PARAM!$C$53^-A798</f>
        <v>1</v>
      </c>
      <c r="Q798" s="10">
        <f t="shared" si="235"/>
        <v>3.3574110681933216E-2</v>
      </c>
      <c r="R798" s="10">
        <f t="shared" si="234"/>
        <v>3.3574110681933216E-2</v>
      </c>
      <c r="S798" s="10">
        <f>CHOOSE(PARAM!$B$51,R798,R798,0,0)*(A798&lt;PARAM!$B$55)</f>
        <v>0</v>
      </c>
      <c r="T798" s="10">
        <f t="shared" si="229"/>
        <v>7.971029345183317E-4</v>
      </c>
      <c r="U798" s="10">
        <f>T798*P798*(A798&lt;PARAM!$B$55)</f>
        <v>0</v>
      </c>
      <c r="W798">
        <v>795</v>
      </c>
      <c r="X798" s="178">
        <f t="shared" si="233"/>
        <v>97</v>
      </c>
      <c r="Y798" s="178">
        <f t="shared" si="233"/>
        <v>97</v>
      </c>
      <c r="Z798" s="178">
        <f t="shared" si="233"/>
        <v>66</v>
      </c>
      <c r="AA798" s="178">
        <f t="shared" si="233"/>
        <v>66</v>
      </c>
      <c r="AD798" s="17">
        <f>CALC!E822*(A798&lt;PARAM!$B$55)</f>
        <v>0</v>
      </c>
      <c r="AE798">
        <f>IF(A798&lt;ITER!$C$16,1,PARAM!$C$53^-(RATES!A798-ITER!$C$16))*(A798&lt;PARAM!$B$55)</f>
        <v>0</v>
      </c>
    </row>
    <row r="799" spans="1:31" x14ac:dyDescent="0.2">
      <c r="A799" s="9">
        <v>796</v>
      </c>
      <c r="B799" s="178">
        <f t="shared" si="231"/>
        <v>97</v>
      </c>
      <c r="C799" s="178">
        <f t="shared" si="231"/>
        <v>97</v>
      </c>
      <c r="D799" s="2">
        <f>PARAM!$H$38</f>
        <v>1</v>
      </c>
      <c r="E799" s="11">
        <f>PARAM!$G$38</f>
        <v>0</v>
      </c>
      <c r="F799" s="11">
        <f>(VLOOKUP(C799,DEDN!$A$8:$O$902,$F$2)*D799+E799)/1000</f>
        <v>0.25048999999999999</v>
      </c>
      <c r="G799" s="178">
        <f t="shared" si="232"/>
        <v>66</v>
      </c>
      <c r="H799" s="178">
        <f t="shared" si="232"/>
        <v>66</v>
      </c>
      <c r="I799" s="2">
        <f>PARAM!$H$39</f>
        <v>0</v>
      </c>
      <c r="J799" s="11">
        <f>PARAM!$G$39</f>
        <v>0</v>
      </c>
      <c r="K799" s="11">
        <f>(VLOOKUP(H799,DEDN!$A$8:$O$902,$K$2)*I799+J799)/1000</f>
        <v>0</v>
      </c>
      <c r="L799" s="11">
        <f>MIN(IF(PARAM!$B$43=3,CHOOSE($L$2,F799,K799),F799+K799-F799*K799),1)</f>
        <v>0.25048999999999999</v>
      </c>
      <c r="M799" s="2">
        <f>PARAM!$I$38</f>
        <v>0</v>
      </c>
      <c r="N799" s="11">
        <f>VLOOKUP(B799,DEDN!$A$8:$O$90,$N$2)*M799</f>
        <v>0</v>
      </c>
      <c r="O799" s="12"/>
      <c r="P799" s="10">
        <f>PARAM!$C$53^-A799</f>
        <v>1</v>
      </c>
      <c r="Q799" s="10">
        <f t="shared" si="235"/>
        <v>3.2777007747414884E-2</v>
      </c>
      <c r="R799" s="10">
        <f t="shared" si="234"/>
        <v>3.2777007747414884E-2</v>
      </c>
      <c r="S799" s="10">
        <f>CHOOSE(PARAM!$B$51,R799,0,0,0)*(A799&lt;PARAM!$B$55)</f>
        <v>0</v>
      </c>
      <c r="T799" s="10">
        <f t="shared" si="229"/>
        <v>7.7817843956336924E-4</v>
      </c>
      <c r="U799" s="10">
        <f>T799*P799*(A799&lt;PARAM!$B$55)</f>
        <v>0</v>
      </c>
      <c r="W799">
        <v>796</v>
      </c>
      <c r="X799" s="178">
        <f t="shared" si="233"/>
        <v>97</v>
      </c>
      <c r="Y799" s="178">
        <f t="shared" si="233"/>
        <v>97</v>
      </c>
      <c r="Z799" s="178">
        <f t="shared" si="233"/>
        <v>66</v>
      </c>
      <c r="AA799" s="178">
        <f t="shared" si="233"/>
        <v>66</v>
      </c>
      <c r="AD799" s="17">
        <f>CALC!E823*(A799&lt;PARAM!$B$55)</f>
        <v>0</v>
      </c>
      <c r="AE799">
        <f>IF(A799&lt;ITER!$C$16,1,PARAM!$C$53^-(RATES!A799-ITER!$C$16))*(A799&lt;PARAM!$B$55)</f>
        <v>0</v>
      </c>
    </row>
    <row r="800" spans="1:31" x14ac:dyDescent="0.2">
      <c r="A800" s="9">
        <v>797</v>
      </c>
      <c r="B800" s="178">
        <f t="shared" si="231"/>
        <v>97</v>
      </c>
      <c r="C800" s="178">
        <f t="shared" si="231"/>
        <v>97</v>
      </c>
      <c r="D800" s="2">
        <f>PARAM!$H$38</f>
        <v>1</v>
      </c>
      <c r="E800" s="11">
        <f>PARAM!$G$38</f>
        <v>0</v>
      </c>
      <c r="F800" s="11">
        <f>(VLOOKUP(C800,DEDN!$A$8:$O$902,$F$2)*D800+E800)/1000</f>
        <v>0.25048999999999999</v>
      </c>
      <c r="G800" s="178">
        <f t="shared" si="232"/>
        <v>66</v>
      </c>
      <c r="H800" s="178">
        <f t="shared" si="232"/>
        <v>66</v>
      </c>
      <c r="I800" s="2">
        <f>PARAM!$H$39</f>
        <v>0</v>
      </c>
      <c r="J800" s="11">
        <f>PARAM!$G$39</f>
        <v>0</v>
      </c>
      <c r="K800" s="11">
        <f>(VLOOKUP(H800,DEDN!$A$8:$O$902,$K$2)*I800+J800)/1000</f>
        <v>0</v>
      </c>
      <c r="L800" s="11">
        <f>MIN(IF(PARAM!$B$43=3,CHOOSE($L$2,F800,K800),F800+K800-F800*K800),1)</f>
        <v>0.25048999999999999</v>
      </c>
      <c r="M800" s="2">
        <f>PARAM!$I$38</f>
        <v>0</v>
      </c>
      <c r="N800" s="11">
        <f>VLOOKUP(B800,DEDN!$A$8:$O$90,$N$2)*M800</f>
        <v>0</v>
      </c>
      <c r="O800" s="12"/>
      <c r="P800" s="10">
        <f>PARAM!$C$53^-A800</f>
        <v>1</v>
      </c>
      <c r="Q800" s="10">
        <f t="shared" si="235"/>
        <v>3.1998829307851515E-2</v>
      </c>
      <c r="R800" s="10">
        <f t="shared" si="234"/>
        <v>3.1998829307851515E-2</v>
      </c>
      <c r="S800" s="10">
        <f>CHOOSE(PARAM!$B$51,R800,0,0,0)*(A800&lt;PARAM!$B$55)</f>
        <v>0</v>
      </c>
      <c r="T800" s="10">
        <f t="shared" si="229"/>
        <v>7.5970324230107203E-4</v>
      </c>
      <c r="U800" s="10">
        <f>T800*P800*(A800&lt;PARAM!$B$55)</f>
        <v>0</v>
      </c>
      <c r="W800">
        <v>797</v>
      </c>
      <c r="X800" s="178">
        <f t="shared" si="233"/>
        <v>97</v>
      </c>
      <c r="Y800" s="178">
        <f t="shared" si="233"/>
        <v>97</v>
      </c>
      <c r="Z800" s="178">
        <f t="shared" si="233"/>
        <v>66</v>
      </c>
      <c r="AA800" s="178">
        <f t="shared" si="233"/>
        <v>66</v>
      </c>
      <c r="AD800" s="17">
        <f>CALC!E824*(A800&lt;PARAM!$B$55)</f>
        <v>0</v>
      </c>
      <c r="AE800">
        <f>IF(A800&lt;ITER!$C$16,1,PARAM!$C$53^-(RATES!A800-ITER!$C$16))*(A800&lt;PARAM!$B$55)</f>
        <v>0</v>
      </c>
    </row>
    <row r="801" spans="1:31" x14ac:dyDescent="0.2">
      <c r="A801" s="9">
        <v>798</v>
      </c>
      <c r="B801" s="178">
        <f t="shared" ref="B801:C820" si="236">B789+1</f>
        <v>98</v>
      </c>
      <c r="C801" s="178">
        <f t="shared" si="236"/>
        <v>98</v>
      </c>
      <c r="D801" s="2">
        <f>PARAM!$H$38</f>
        <v>1</v>
      </c>
      <c r="E801" s="11">
        <f>PARAM!$G$38</f>
        <v>0</v>
      </c>
      <c r="F801" s="11">
        <f>(VLOOKUP(C801,DEDN!$A$8:$O$902,$F$2)*D801+E801)/1000</f>
        <v>0.26716000000000001</v>
      </c>
      <c r="G801" s="178">
        <f t="shared" ref="G801:H820" si="237">G789+1</f>
        <v>67</v>
      </c>
      <c r="H801" s="178">
        <f t="shared" si="237"/>
        <v>67</v>
      </c>
      <c r="I801" s="2">
        <f>PARAM!$H$39</f>
        <v>0</v>
      </c>
      <c r="J801" s="11">
        <f>PARAM!$G$39</f>
        <v>0</v>
      </c>
      <c r="K801" s="11">
        <f>(VLOOKUP(H801,DEDN!$A$8:$O$902,$K$2)*I801+J801)/1000</f>
        <v>0</v>
      </c>
      <c r="L801" s="11">
        <f>MIN(IF(PARAM!$B$43=3,CHOOSE($L$2,F801,K801),F801+K801-F801*K801),1)</f>
        <v>0.26716000000000001</v>
      </c>
      <c r="M801" s="2">
        <f>PARAM!$I$38</f>
        <v>0</v>
      </c>
      <c r="N801" s="11">
        <f>VLOOKUP(B801,DEDN!$A$8:$O$90,$N$2)*M801</f>
        <v>0</v>
      </c>
      <c r="O801" s="12"/>
      <c r="P801" s="10">
        <f>PARAM!$C$53^-A801</f>
        <v>1</v>
      </c>
      <c r="Q801" s="10">
        <f t="shared" si="235"/>
        <v>3.1239126065550443E-2</v>
      </c>
      <c r="R801" s="10">
        <f t="shared" si="234"/>
        <v>3.1239126065550443E-2</v>
      </c>
      <c r="S801" s="10">
        <f>CHOOSE(PARAM!$B$51,R801,R801,R801,0)*(A801&lt;PARAM!$B$55)</f>
        <v>0</v>
      </c>
      <c r="T801" s="10">
        <f t="shared" si="229"/>
        <v>7.9877620944323116E-4</v>
      </c>
      <c r="U801" s="10">
        <f>T801*P801*(A801&lt;PARAM!$B$55)</f>
        <v>0</v>
      </c>
      <c r="W801">
        <v>798</v>
      </c>
      <c r="X801" s="178">
        <f t="shared" ref="X801:AA820" si="238">X789+1</f>
        <v>98</v>
      </c>
      <c r="Y801" s="178">
        <f t="shared" si="238"/>
        <v>98</v>
      </c>
      <c r="Z801" s="178">
        <f t="shared" si="238"/>
        <v>67</v>
      </c>
      <c r="AA801" s="178">
        <f t="shared" si="238"/>
        <v>67</v>
      </c>
      <c r="AD801" s="17">
        <f>CALC!E825*(A801&lt;PARAM!$B$55)</f>
        <v>0</v>
      </c>
      <c r="AE801">
        <f>IF(A801&lt;ITER!$C$16,1,PARAM!$C$53^-(RATES!A801-ITER!$C$16))*(A801&lt;PARAM!$B$55)</f>
        <v>0</v>
      </c>
    </row>
    <row r="802" spans="1:31" x14ac:dyDescent="0.2">
      <c r="A802" s="9">
        <v>799</v>
      </c>
      <c r="B802" s="178">
        <f t="shared" si="236"/>
        <v>98</v>
      </c>
      <c r="C802" s="178">
        <f t="shared" si="236"/>
        <v>98</v>
      </c>
      <c r="D802" s="2">
        <f>PARAM!$H$38</f>
        <v>1</v>
      </c>
      <c r="E802" s="11">
        <f>PARAM!$G$38</f>
        <v>0</v>
      </c>
      <c r="F802" s="11">
        <f>(VLOOKUP(C802,DEDN!$A$8:$O$902,$F$2)*D802+E802)/1000</f>
        <v>0.26716000000000001</v>
      </c>
      <c r="G802" s="178">
        <f t="shared" si="237"/>
        <v>67</v>
      </c>
      <c r="H802" s="178">
        <f t="shared" si="237"/>
        <v>67</v>
      </c>
      <c r="I802" s="2">
        <f>PARAM!$H$39</f>
        <v>0</v>
      </c>
      <c r="J802" s="11">
        <f>PARAM!$G$39</f>
        <v>0</v>
      </c>
      <c r="K802" s="11">
        <f>(VLOOKUP(H802,DEDN!$A$8:$O$902,$K$2)*I802+J802)/1000</f>
        <v>0</v>
      </c>
      <c r="L802" s="11">
        <f>MIN(IF(PARAM!$B$43=3,CHOOSE($L$2,F802,K802),F802+K802-F802*K802),1)</f>
        <v>0.26716000000000001</v>
      </c>
      <c r="M802" s="2">
        <f>PARAM!$I$38</f>
        <v>0</v>
      </c>
      <c r="N802" s="11">
        <f>VLOOKUP(B802,DEDN!$A$8:$O$90,$N$2)*M802</f>
        <v>0</v>
      </c>
      <c r="O802" s="12"/>
      <c r="P802" s="10">
        <f>PARAM!$C$53^-A802</f>
        <v>1</v>
      </c>
      <c r="Q802" s="10">
        <f t="shared" si="235"/>
        <v>3.0440349856107211E-2</v>
      </c>
      <c r="R802" s="10">
        <f t="shared" si="234"/>
        <v>3.0440349856107211E-2</v>
      </c>
      <c r="S802" s="10">
        <f>CHOOSE(PARAM!$B$51,R802,0,0,0)*(A802&lt;PARAM!$B$55)</f>
        <v>0</v>
      </c>
      <c r="T802" s="10">
        <f t="shared" si="229"/>
        <v>7.7835171256602359E-4</v>
      </c>
      <c r="U802" s="10">
        <f>T802*P802*(A802&lt;PARAM!$B$55)</f>
        <v>0</v>
      </c>
      <c r="W802">
        <v>799</v>
      </c>
      <c r="X802" s="178">
        <f t="shared" si="238"/>
        <v>98</v>
      </c>
      <c r="Y802" s="178">
        <f t="shared" si="238"/>
        <v>98</v>
      </c>
      <c r="Z802" s="178">
        <f t="shared" si="238"/>
        <v>67</v>
      </c>
      <c r="AA802" s="178">
        <f t="shared" si="238"/>
        <v>67</v>
      </c>
      <c r="AD802" s="17">
        <f>CALC!E826*(A802&lt;PARAM!$B$55)</f>
        <v>0</v>
      </c>
      <c r="AE802">
        <f>IF(A802&lt;ITER!$C$16,1,PARAM!$C$53^-(RATES!A802-ITER!$C$16))*(A802&lt;PARAM!$B$55)</f>
        <v>0</v>
      </c>
    </row>
    <row r="803" spans="1:31" x14ac:dyDescent="0.2">
      <c r="A803" s="9">
        <v>800</v>
      </c>
      <c r="B803" s="178">
        <f t="shared" si="236"/>
        <v>98</v>
      </c>
      <c r="C803" s="178">
        <f t="shared" si="236"/>
        <v>98</v>
      </c>
      <c r="D803" s="2">
        <f>PARAM!$H$38</f>
        <v>1</v>
      </c>
      <c r="E803" s="11">
        <f>PARAM!$G$38</f>
        <v>0</v>
      </c>
      <c r="F803" s="11">
        <f>(VLOOKUP(C803,DEDN!$A$8:$O$902,$F$2)*D803+E803)/1000</f>
        <v>0.26716000000000001</v>
      </c>
      <c r="G803" s="178">
        <f t="shared" si="237"/>
        <v>67</v>
      </c>
      <c r="H803" s="178">
        <f t="shared" si="237"/>
        <v>67</v>
      </c>
      <c r="I803" s="2">
        <f>PARAM!$H$39</f>
        <v>0</v>
      </c>
      <c r="J803" s="11">
        <f>PARAM!$G$39</f>
        <v>0</v>
      </c>
      <c r="K803" s="11">
        <f>(VLOOKUP(H803,DEDN!$A$8:$O$902,$K$2)*I803+J803)/1000</f>
        <v>0</v>
      </c>
      <c r="L803" s="11">
        <f>MIN(IF(PARAM!$B$43=3,CHOOSE($L$2,F803,K803),F803+K803-F803*K803),1)</f>
        <v>0.26716000000000001</v>
      </c>
      <c r="M803" s="2">
        <f>PARAM!$I$38</f>
        <v>0</v>
      </c>
      <c r="N803" s="11">
        <f>VLOOKUP(B803,DEDN!$A$8:$O$90,$N$2)*M803</f>
        <v>0</v>
      </c>
      <c r="O803" s="12"/>
      <c r="P803" s="10">
        <f>PARAM!$C$53^-A803</f>
        <v>1</v>
      </c>
      <c r="Q803" s="10">
        <f t="shared" si="235"/>
        <v>2.9661998143541188E-2</v>
      </c>
      <c r="R803" s="10">
        <f t="shared" si="234"/>
        <v>2.9661998143541188E-2</v>
      </c>
      <c r="S803" s="10">
        <f>CHOOSE(PARAM!$B$51,R803,0,0,0)*(A803&lt;PARAM!$B$55)</f>
        <v>0</v>
      </c>
      <c r="T803" s="10">
        <f t="shared" si="229"/>
        <v>7.5844946468391419E-4</v>
      </c>
      <c r="U803" s="10">
        <f>T803*P803*(A803&lt;PARAM!$B$55)</f>
        <v>0</v>
      </c>
      <c r="W803">
        <v>800</v>
      </c>
      <c r="X803" s="178">
        <f t="shared" si="238"/>
        <v>98</v>
      </c>
      <c r="Y803" s="178">
        <f t="shared" si="238"/>
        <v>98</v>
      </c>
      <c r="Z803" s="178">
        <f t="shared" si="238"/>
        <v>67</v>
      </c>
      <c r="AA803" s="178">
        <f t="shared" si="238"/>
        <v>67</v>
      </c>
      <c r="AD803" s="17">
        <f>CALC!E827*(A803&lt;PARAM!$B$55)</f>
        <v>0</v>
      </c>
      <c r="AE803">
        <f>IF(A803&lt;ITER!$C$16,1,PARAM!$C$53^-(RATES!A803-ITER!$C$16))*(A803&lt;PARAM!$B$55)</f>
        <v>0</v>
      </c>
    </row>
    <row r="804" spans="1:31" x14ac:dyDescent="0.2">
      <c r="A804" s="9">
        <v>801</v>
      </c>
      <c r="B804" s="178">
        <f t="shared" si="236"/>
        <v>98</v>
      </c>
      <c r="C804" s="178">
        <f t="shared" si="236"/>
        <v>98</v>
      </c>
      <c r="D804" s="2">
        <f>PARAM!$H$38</f>
        <v>1</v>
      </c>
      <c r="E804" s="11">
        <f>PARAM!$G$38</f>
        <v>0</v>
      </c>
      <c r="F804" s="11">
        <f>(VLOOKUP(C804,DEDN!$A$8:$O$902,$F$2)*D804+E804)/1000</f>
        <v>0.26716000000000001</v>
      </c>
      <c r="G804" s="178">
        <f t="shared" si="237"/>
        <v>67</v>
      </c>
      <c r="H804" s="178">
        <f t="shared" si="237"/>
        <v>67</v>
      </c>
      <c r="I804" s="2">
        <f>PARAM!$H$39</f>
        <v>0</v>
      </c>
      <c r="J804" s="11">
        <f>PARAM!$G$39</f>
        <v>0</v>
      </c>
      <c r="K804" s="11">
        <f>(VLOOKUP(H804,DEDN!$A$8:$O$902,$K$2)*I804+J804)/1000</f>
        <v>0</v>
      </c>
      <c r="L804" s="11">
        <f>MIN(IF(PARAM!$B$43=3,CHOOSE($L$2,F804,K804),F804+K804-F804*K804),1)</f>
        <v>0.26716000000000001</v>
      </c>
      <c r="M804" s="2">
        <f>PARAM!$I$38</f>
        <v>0</v>
      </c>
      <c r="N804" s="11">
        <f>VLOOKUP(B804,DEDN!$A$8:$O$90,$N$2)*M804</f>
        <v>0</v>
      </c>
      <c r="O804" s="12"/>
      <c r="P804" s="10">
        <f>PARAM!$C$53^-A804</f>
        <v>1</v>
      </c>
      <c r="Q804" s="10">
        <f t="shared" si="235"/>
        <v>2.8903548678857274E-2</v>
      </c>
      <c r="R804" s="10">
        <f t="shared" ref="R804:R819" si="239">P804*Q804</f>
        <v>2.8903548678857274E-2</v>
      </c>
      <c r="S804" s="10">
        <f>CHOOSE(PARAM!$B$51,R804,R804,0,0)*(A804&lt;PARAM!$B$55)</f>
        <v>0</v>
      </c>
      <c r="T804" s="10">
        <f t="shared" si="229"/>
        <v>7.3905611202791308E-4</v>
      </c>
      <c r="U804" s="10">
        <f>T804*P804*(A804&lt;PARAM!$B$55)</f>
        <v>0</v>
      </c>
      <c r="W804">
        <v>801</v>
      </c>
      <c r="X804" s="178">
        <f t="shared" si="238"/>
        <v>98</v>
      </c>
      <c r="Y804" s="178">
        <f t="shared" si="238"/>
        <v>98</v>
      </c>
      <c r="Z804" s="178">
        <f t="shared" si="238"/>
        <v>67</v>
      </c>
      <c r="AA804" s="178">
        <f t="shared" si="238"/>
        <v>67</v>
      </c>
      <c r="AD804" s="17">
        <f>CALC!E828*(A804&lt;PARAM!$B$55)</f>
        <v>0</v>
      </c>
      <c r="AE804">
        <f>IF(A804&lt;ITER!$C$16,1,PARAM!$C$53^-(RATES!A804-ITER!$C$16))*(A804&lt;PARAM!$B$55)</f>
        <v>0</v>
      </c>
    </row>
    <row r="805" spans="1:31" x14ac:dyDescent="0.2">
      <c r="A805" s="9">
        <v>802</v>
      </c>
      <c r="B805" s="178">
        <f t="shared" si="236"/>
        <v>98</v>
      </c>
      <c r="C805" s="178">
        <f t="shared" si="236"/>
        <v>98</v>
      </c>
      <c r="D805" s="2">
        <f>PARAM!$H$38</f>
        <v>1</v>
      </c>
      <c r="E805" s="11">
        <f>PARAM!$G$38</f>
        <v>0</v>
      </c>
      <c r="F805" s="11">
        <f>(VLOOKUP(C805,DEDN!$A$8:$O$902,$F$2)*D805+E805)/1000</f>
        <v>0.26716000000000001</v>
      </c>
      <c r="G805" s="178">
        <f t="shared" si="237"/>
        <v>67</v>
      </c>
      <c r="H805" s="178">
        <f t="shared" si="237"/>
        <v>67</v>
      </c>
      <c r="I805" s="2">
        <f>PARAM!$H$39</f>
        <v>0</v>
      </c>
      <c r="J805" s="11">
        <f>PARAM!$G$39</f>
        <v>0</v>
      </c>
      <c r="K805" s="11">
        <f>(VLOOKUP(H805,DEDN!$A$8:$O$902,$K$2)*I805+J805)/1000</f>
        <v>0</v>
      </c>
      <c r="L805" s="11">
        <f>MIN(IF(PARAM!$B$43=3,CHOOSE($L$2,F805,K805),F805+K805-F805*K805),1)</f>
        <v>0.26716000000000001</v>
      </c>
      <c r="M805" s="2">
        <f>PARAM!$I$38</f>
        <v>0</v>
      </c>
      <c r="N805" s="11">
        <f>VLOOKUP(B805,DEDN!$A$8:$O$90,$N$2)*M805</f>
        <v>0</v>
      </c>
      <c r="O805" s="12"/>
      <c r="P805" s="10">
        <f>PARAM!$C$53^-A805</f>
        <v>1</v>
      </c>
      <c r="Q805" s="10">
        <f t="shared" ref="Q805:Q820" si="240">Q804*(1-L804)^(1/12)</f>
        <v>2.8164492566829361E-2</v>
      </c>
      <c r="R805" s="10">
        <f t="shared" si="239"/>
        <v>2.8164492566829361E-2</v>
      </c>
      <c r="S805" s="10">
        <f>CHOOSE(PARAM!$B$51,R805,0,0,0)*(A805&lt;PARAM!$B$55)</f>
        <v>0</v>
      </c>
      <c r="T805" s="10">
        <f t="shared" si="229"/>
        <v>7.2015864228138979E-4</v>
      </c>
      <c r="U805" s="10">
        <f>T805*P805*(A805&lt;PARAM!$B$55)</f>
        <v>0</v>
      </c>
      <c r="W805">
        <v>802</v>
      </c>
      <c r="X805" s="178">
        <f t="shared" si="238"/>
        <v>98</v>
      </c>
      <c r="Y805" s="178">
        <f t="shared" si="238"/>
        <v>98</v>
      </c>
      <c r="Z805" s="178">
        <f t="shared" si="238"/>
        <v>67</v>
      </c>
      <c r="AA805" s="178">
        <f t="shared" si="238"/>
        <v>67</v>
      </c>
      <c r="AD805" s="17">
        <f>CALC!E829*(A805&lt;PARAM!$B$55)</f>
        <v>0</v>
      </c>
      <c r="AE805">
        <f>IF(A805&lt;ITER!$C$16,1,PARAM!$C$53^-(RATES!A805-ITER!$C$16))*(A805&lt;PARAM!$B$55)</f>
        <v>0</v>
      </c>
    </row>
    <row r="806" spans="1:31" x14ac:dyDescent="0.2">
      <c r="A806" s="9">
        <v>803</v>
      </c>
      <c r="B806" s="178">
        <f t="shared" si="236"/>
        <v>98</v>
      </c>
      <c r="C806" s="178">
        <f t="shared" si="236"/>
        <v>98</v>
      </c>
      <c r="D806" s="2">
        <f>PARAM!$H$38</f>
        <v>1</v>
      </c>
      <c r="E806" s="11">
        <f>PARAM!$G$38</f>
        <v>0</v>
      </c>
      <c r="F806" s="11">
        <f>(VLOOKUP(C806,DEDN!$A$8:$O$902,$F$2)*D806+E806)/1000</f>
        <v>0.26716000000000001</v>
      </c>
      <c r="G806" s="178">
        <f t="shared" si="237"/>
        <v>67</v>
      </c>
      <c r="H806" s="178">
        <f t="shared" si="237"/>
        <v>67</v>
      </c>
      <c r="I806" s="2">
        <f>PARAM!$H$39</f>
        <v>0</v>
      </c>
      <c r="J806" s="11">
        <f>PARAM!$G$39</f>
        <v>0</v>
      </c>
      <c r="K806" s="11">
        <f>(VLOOKUP(H806,DEDN!$A$8:$O$902,$K$2)*I806+J806)/1000</f>
        <v>0</v>
      </c>
      <c r="L806" s="11">
        <f>MIN(IF(PARAM!$B$43=3,CHOOSE($L$2,F806,K806),F806+K806-F806*K806),1)</f>
        <v>0.26716000000000001</v>
      </c>
      <c r="M806" s="2">
        <f>PARAM!$I$38</f>
        <v>0</v>
      </c>
      <c r="N806" s="11">
        <f>VLOOKUP(B806,DEDN!$A$8:$O$90,$N$2)*M806</f>
        <v>0</v>
      </c>
      <c r="O806" s="12"/>
      <c r="P806" s="10">
        <f>PARAM!$C$53^-A806</f>
        <v>1</v>
      </c>
      <c r="Q806" s="10">
        <f t="shared" si="240"/>
        <v>2.7444333924547971E-2</v>
      </c>
      <c r="R806" s="10">
        <f t="shared" si="239"/>
        <v>2.7444333924547971E-2</v>
      </c>
      <c r="S806" s="10">
        <f>CHOOSE(PARAM!$B$51,R806,0,0,0)*(A806&lt;PARAM!$B$55)</f>
        <v>0</v>
      </c>
      <c r="T806" s="10">
        <f t="shared" si="229"/>
        <v>7.0174437584921701E-4</v>
      </c>
      <c r="U806" s="10">
        <f>T806*P806*(A806&lt;PARAM!$B$55)</f>
        <v>0</v>
      </c>
      <c r="W806">
        <v>803</v>
      </c>
      <c r="X806" s="178">
        <f t="shared" si="238"/>
        <v>98</v>
      </c>
      <c r="Y806" s="178">
        <f t="shared" si="238"/>
        <v>98</v>
      </c>
      <c r="Z806" s="178">
        <f t="shared" si="238"/>
        <v>67</v>
      </c>
      <c r="AA806" s="178">
        <f t="shared" si="238"/>
        <v>67</v>
      </c>
      <c r="AD806" s="17">
        <f>CALC!E830*(A806&lt;PARAM!$B$55)</f>
        <v>0</v>
      </c>
      <c r="AE806">
        <f>IF(A806&lt;ITER!$C$16,1,PARAM!$C$53^-(RATES!A806-ITER!$C$16))*(A806&lt;PARAM!$B$55)</f>
        <v>0</v>
      </c>
    </row>
    <row r="807" spans="1:31" x14ac:dyDescent="0.2">
      <c r="A807" s="9">
        <v>804</v>
      </c>
      <c r="B807" s="178">
        <f t="shared" si="236"/>
        <v>98</v>
      </c>
      <c r="C807" s="178">
        <f t="shared" si="236"/>
        <v>98</v>
      </c>
      <c r="D807" s="2">
        <f>PARAM!$H$38</f>
        <v>1</v>
      </c>
      <c r="E807" s="11">
        <f>PARAM!$G$38</f>
        <v>0</v>
      </c>
      <c r="F807" s="11">
        <f>(VLOOKUP(C807,DEDN!$A$8:$O$902,$F$2)*D807+E807)/1000</f>
        <v>0.26716000000000001</v>
      </c>
      <c r="G807" s="178">
        <f t="shared" si="237"/>
        <v>67</v>
      </c>
      <c r="H807" s="178">
        <f t="shared" si="237"/>
        <v>67</v>
      </c>
      <c r="I807" s="2">
        <f>PARAM!$H$39</f>
        <v>0</v>
      </c>
      <c r="J807" s="11">
        <f>PARAM!$G$39</f>
        <v>0</v>
      </c>
      <c r="K807" s="11">
        <f>(VLOOKUP(H807,DEDN!$A$8:$O$902,$K$2)*I807+J807)/1000</f>
        <v>0</v>
      </c>
      <c r="L807" s="11">
        <f>MIN(IF(PARAM!$B$43=3,CHOOSE($L$2,F807,K807),F807+K807-F807*K807),1)</f>
        <v>0.26716000000000001</v>
      </c>
      <c r="M807" s="2">
        <f>PARAM!$I$38</f>
        <v>0</v>
      </c>
      <c r="N807" s="11">
        <f>VLOOKUP(B807,DEDN!$A$8:$O$90,$N$2)*M807</f>
        <v>0</v>
      </c>
      <c r="O807" s="12"/>
      <c r="P807" s="10">
        <f>PARAM!$C$53^-A807</f>
        <v>1</v>
      </c>
      <c r="Q807" s="10">
        <f t="shared" si="240"/>
        <v>2.6742589548698754E-2</v>
      </c>
      <c r="R807" s="10">
        <f t="shared" si="239"/>
        <v>2.6742589548698754E-2</v>
      </c>
      <c r="S807" s="10">
        <f>R807*(A807&lt;PARAM!$B$55)</f>
        <v>0</v>
      </c>
      <c r="T807" s="10">
        <f t="shared" si="229"/>
        <v>6.8380095735016272E-4</v>
      </c>
      <c r="U807" s="10">
        <f>T807*P807*(A807&lt;PARAM!$B$55)</f>
        <v>0</v>
      </c>
      <c r="W807">
        <v>804</v>
      </c>
      <c r="X807" s="178">
        <f t="shared" si="238"/>
        <v>98</v>
      </c>
      <c r="Y807" s="178">
        <f t="shared" si="238"/>
        <v>98</v>
      </c>
      <c r="Z807" s="178">
        <f t="shared" si="238"/>
        <v>67</v>
      </c>
      <c r="AA807" s="178">
        <f t="shared" si="238"/>
        <v>67</v>
      </c>
      <c r="AD807" s="17">
        <f>CALC!E831*(A807&lt;PARAM!$B$55)</f>
        <v>0</v>
      </c>
      <c r="AE807">
        <f>IF(A807&lt;ITER!$C$16,1,PARAM!$C$53^-(RATES!A807-ITER!$C$16))*(A807&lt;PARAM!$B$55)</f>
        <v>0</v>
      </c>
    </row>
    <row r="808" spans="1:31" x14ac:dyDescent="0.2">
      <c r="A808" s="9">
        <v>805</v>
      </c>
      <c r="B808" s="178">
        <f t="shared" si="236"/>
        <v>98</v>
      </c>
      <c r="C808" s="178">
        <f t="shared" si="236"/>
        <v>98</v>
      </c>
      <c r="D808" s="2">
        <f>PARAM!$H$38</f>
        <v>1</v>
      </c>
      <c r="E808" s="11">
        <f>PARAM!$G$38</f>
        <v>0</v>
      </c>
      <c r="F808" s="11">
        <f>(VLOOKUP(C808,DEDN!$A$8:$O$902,$F$2)*D808+E808)/1000</f>
        <v>0.26716000000000001</v>
      </c>
      <c r="G808" s="178">
        <f t="shared" si="237"/>
        <v>67</v>
      </c>
      <c r="H808" s="178">
        <f t="shared" si="237"/>
        <v>67</v>
      </c>
      <c r="I808" s="2">
        <f>PARAM!$H$39</f>
        <v>0</v>
      </c>
      <c r="J808" s="11">
        <f>PARAM!$G$39</f>
        <v>0</v>
      </c>
      <c r="K808" s="11">
        <f>(VLOOKUP(H808,DEDN!$A$8:$O$902,$K$2)*I808+J808)/1000</f>
        <v>0</v>
      </c>
      <c r="L808" s="11">
        <f>MIN(IF(PARAM!$B$43=3,CHOOSE($L$2,F808,K808),F808+K808-F808*K808),1)</f>
        <v>0.26716000000000001</v>
      </c>
      <c r="M808" s="2">
        <f>PARAM!$I$38</f>
        <v>0</v>
      </c>
      <c r="N808" s="11">
        <f>VLOOKUP(B808,DEDN!$A$8:$O$90,$N$2)*M808</f>
        <v>0</v>
      </c>
      <c r="O808" s="12"/>
      <c r="P808" s="10">
        <f>PARAM!$C$53^-A808</f>
        <v>1</v>
      </c>
      <c r="Q808" s="10">
        <f t="shared" si="240"/>
        <v>2.6058788591348591E-2</v>
      </c>
      <c r="R808" s="10">
        <f t="shared" si="239"/>
        <v>2.6058788591348591E-2</v>
      </c>
      <c r="S808" s="10">
        <f>CHOOSE(PARAM!$B$51,R808,0,0,0)*(A808&lt;PARAM!$B$55)</f>
        <v>0</v>
      </c>
      <c r="T808" s="10">
        <f t="shared" si="229"/>
        <v>6.6631634732683062E-4</v>
      </c>
      <c r="U808" s="10">
        <f>T808*P808*(A808&lt;PARAM!$B$55)</f>
        <v>0</v>
      </c>
      <c r="W808">
        <v>805</v>
      </c>
      <c r="X808" s="178">
        <f t="shared" si="238"/>
        <v>98</v>
      </c>
      <c r="Y808" s="178">
        <f t="shared" si="238"/>
        <v>98</v>
      </c>
      <c r="Z808" s="178">
        <f t="shared" si="238"/>
        <v>67</v>
      </c>
      <c r="AA808" s="178">
        <f t="shared" si="238"/>
        <v>67</v>
      </c>
      <c r="AD808" s="17">
        <f>CALC!E832*(A808&lt;PARAM!$B$55)</f>
        <v>0</v>
      </c>
      <c r="AE808">
        <f>IF(A808&lt;ITER!$C$16,1,PARAM!$C$53^-(RATES!A808-ITER!$C$16))*(A808&lt;PARAM!$B$55)</f>
        <v>0</v>
      </c>
    </row>
    <row r="809" spans="1:31" x14ac:dyDescent="0.2">
      <c r="A809" s="9">
        <v>806</v>
      </c>
      <c r="B809" s="178">
        <f t="shared" si="236"/>
        <v>98</v>
      </c>
      <c r="C809" s="178">
        <f t="shared" si="236"/>
        <v>98</v>
      </c>
      <c r="D809" s="2">
        <f>PARAM!$H$38</f>
        <v>1</v>
      </c>
      <c r="E809" s="11">
        <f>PARAM!$G$38</f>
        <v>0</v>
      </c>
      <c r="F809" s="11">
        <f>(VLOOKUP(C809,DEDN!$A$8:$O$902,$F$2)*D809+E809)/1000</f>
        <v>0.26716000000000001</v>
      </c>
      <c r="G809" s="178">
        <f t="shared" si="237"/>
        <v>67</v>
      </c>
      <c r="H809" s="178">
        <f t="shared" si="237"/>
        <v>67</v>
      </c>
      <c r="I809" s="2">
        <f>PARAM!$H$39</f>
        <v>0</v>
      </c>
      <c r="J809" s="11">
        <f>PARAM!$G$39</f>
        <v>0</v>
      </c>
      <c r="K809" s="11">
        <f>(VLOOKUP(H809,DEDN!$A$8:$O$902,$K$2)*I809+J809)/1000</f>
        <v>0</v>
      </c>
      <c r="L809" s="11">
        <f>MIN(IF(PARAM!$B$43=3,CHOOSE($L$2,F809,K809),F809+K809-F809*K809),1)</f>
        <v>0.26716000000000001</v>
      </c>
      <c r="M809" s="2">
        <f>PARAM!$I$38</f>
        <v>0</v>
      </c>
      <c r="N809" s="11">
        <f>VLOOKUP(B809,DEDN!$A$8:$O$90,$N$2)*M809</f>
        <v>0</v>
      </c>
      <c r="O809" s="12"/>
      <c r="P809" s="10">
        <f>PARAM!$C$53^-A809</f>
        <v>1</v>
      </c>
      <c r="Q809" s="10">
        <f t="shared" si="240"/>
        <v>2.539247224402176E-2</v>
      </c>
      <c r="R809" s="10">
        <f t="shared" si="239"/>
        <v>2.539247224402176E-2</v>
      </c>
      <c r="S809" s="10">
        <f>CHOOSE(PARAM!$B$51,R809,0,0,0)*(A809&lt;PARAM!$B$55)</f>
        <v>0</v>
      </c>
      <c r="T809" s="10">
        <f t="shared" si="229"/>
        <v>6.4927881416758024E-4</v>
      </c>
      <c r="U809" s="10">
        <f>T809*P809*(A809&lt;PARAM!$B$55)</f>
        <v>0</v>
      </c>
      <c r="W809">
        <v>806</v>
      </c>
      <c r="X809" s="178">
        <f t="shared" si="238"/>
        <v>98</v>
      </c>
      <c r="Y809" s="178">
        <f t="shared" si="238"/>
        <v>98</v>
      </c>
      <c r="Z809" s="178">
        <f t="shared" si="238"/>
        <v>67</v>
      </c>
      <c r="AA809" s="178">
        <f t="shared" si="238"/>
        <v>67</v>
      </c>
      <c r="AD809" s="17">
        <f>CALC!E833*(A809&lt;PARAM!$B$55)</f>
        <v>0</v>
      </c>
      <c r="AE809">
        <f>IF(A809&lt;ITER!$C$16,1,PARAM!$C$53^-(RATES!A809-ITER!$C$16))*(A809&lt;PARAM!$B$55)</f>
        <v>0</v>
      </c>
    </row>
    <row r="810" spans="1:31" x14ac:dyDescent="0.2">
      <c r="A810" s="9">
        <v>807</v>
      </c>
      <c r="B810" s="178">
        <f t="shared" si="236"/>
        <v>98</v>
      </c>
      <c r="C810" s="178">
        <f t="shared" si="236"/>
        <v>98</v>
      </c>
      <c r="D810" s="2">
        <f>PARAM!$H$38</f>
        <v>1</v>
      </c>
      <c r="E810" s="11">
        <f>PARAM!$G$38</f>
        <v>0</v>
      </c>
      <c r="F810" s="11">
        <f>(VLOOKUP(C810,DEDN!$A$8:$O$902,$F$2)*D810+E810)/1000</f>
        <v>0.26716000000000001</v>
      </c>
      <c r="G810" s="178">
        <f t="shared" si="237"/>
        <v>67</v>
      </c>
      <c r="H810" s="178">
        <f t="shared" si="237"/>
        <v>67</v>
      </c>
      <c r="I810" s="2">
        <f>PARAM!$H$39</f>
        <v>0</v>
      </c>
      <c r="J810" s="11">
        <f>PARAM!$G$39</f>
        <v>0</v>
      </c>
      <c r="K810" s="11">
        <f>(VLOOKUP(H810,DEDN!$A$8:$O$902,$K$2)*I810+J810)/1000</f>
        <v>0</v>
      </c>
      <c r="L810" s="11">
        <f>MIN(IF(PARAM!$B$43=3,CHOOSE($L$2,F810,K810),F810+K810-F810*K810),1)</f>
        <v>0.26716000000000001</v>
      </c>
      <c r="M810" s="2">
        <f>PARAM!$I$38</f>
        <v>0</v>
      </c>
      <c r="N810" s="11">
        <f>VLOOKUP(B810,DEDN!$A$8:$O$90,$N$2)*M810</f>
        <v>0</v>
      </c>
      <c r="O810" s="12"/>
      <c r="P810" s="10">
        <f>PARAM!$C$53^-A810</f>
        <v>1</v>
      </c>
      <c r="Q810" s="10">
        <f t="shared" si="240"/>
        <v>2.474319342985418E-2</v>
      </c>
      <c r="R810" s="10">
        <f t="shared" si="239"/>
        <v>2.474319342985418E-2</v>
      </c>
      <c r="S810" s="10">
        <f>CHOOSE(PARAM!$B$51,R810,R810,0,0)*(A810&lt;PARAM!$B$55)</f>
        <v>0</v>
      </c>
      <c r="T810" s="10">
        <f t="shared" si="229"/>
        <v>6.3267692623498323E-4</v>
      </c>
      <c r="U810" s="10">
        <f>T810*P810*(A810&lt;PARAM!$B$55)</f>
        <v>0</v>
      </c>
      <c r="W810">
        <v>807</v>
      </c>
      <c r="X810" s="178">
        <f t="shared" si="238"/>
        <v>98</v>
      </c>
      <c r="Y810" s="178">
        <f t="shared" si="238"/>
        <v>98</v>
      </c>
      <c r="Z810" s="178">
        <f t="shared" si="238"/>
        <v>67</v>
      </c>
      <c r="AA810" s="178">
        <f t="shared" si="238"/>
        <v>67</v>
      </c>
      <c r="AD810" s="17">
        <f>CALC!E834*(A810&lt;PARAM!$B$55)</f>
        <v>0</v>
      </c>
      <c r="AE810">
        <f>IF(A810&lt;ITER!$C$16,1,PARAM!$C$53^-(RATES!A810-ITER!$C$16))*(A810&lt;PARAM!$B$55)</f>
        <v>0</v>
      </c>
    </row>
    <row r="811" spans="1:31" x14ac:dyDescent="0.2">
      <c r="A811" s="9">
        <v>808</v>
      </c>
      <c r="B811" s="178">
        <f t="shared" si="236"/>
        <v>98</v>
      </c>
      <c r="C811" s="178">
        <f t="shared" si="236"/>
        <v>98</v>
      </c>
      <c r="D811" s="2">
        <f>PARAM!$H$38</f>
        <v>1</v>
      </c>
      <c r="E811" s="11">
        <f>PARAM!$G$38</f>
        <v>0</v>
      </c>
      <c r="F811" s="11">
        <f>(VLOOKUP(C811,DEDN!$A$8:$O$902,$F$2)*D811+E811)/1000</f>
        <v>0.26716000000000001</v>
      </c>
      <c r="G811" s="178">
        <f t="shared" si="237"/>
        <v>67</v>
      </c>
      <c r="H811" s="178">
        <f t="shared" si="237"/>
        <v>67</v>
      </c>
      <c r="I811" s="2">
        <f>PARAM!$H$39</f>
        <v>0</v>
      </c>
      <c r="J811" s="11">
        <f>PARAM!$G$39</f>
        <v>0</v>
      </c>
      <c r="K811" s="11">
        <f>(VLOOKUP(H811,DEDN!$A$8:$O$902,$K$2)*I811+J811)/1000</f>
        <v>0</v>
      </c>
      <c r="L811" s="11">
        <f>MIN(IF(PARAM!$B$43=3,CHOOSE($L$2,F811,K811),F811+K811-F811*K811),1)</f>
        <v>0.26716000000000001</v>
      </c>
      <c r="M811" s="2">
        <f>PARAM!$I$38</f>
        <v>0</v>
      </c>
      <c r="N811" s="11">
        <f>VLOOKUP(B811,DEDN!$A$8:$O$90,$N$2)*M811</f>
        <v>0</v>
      </c>
      <c r="O811" s="12"/>
      <c r="P811" s="10">
        <f>PARAM!$C$53^-A811</f>
        <v>1</v>
      </c>
      <c r="Q811" s="10">
        <f t="shared" si="240"/>
        <v>2.4110516503619197E-2</v>
      </c>
      <c r="R811" s="10">
        <f t="shared" si="239"/>
        <v>2.4110516503619197E-2</v>
      </c>
      <c r="S811" s="10">
        <f>CHOOSE(PARAM!$B$51,R811,0,0,0)*(A811&lt;PARAM!$B$55)</f>
        <v>0</v>
      </c>
      <c r="T811" s="10">
        <f t="shared" si="229"/>
        <v>6.1649954419555619E-4</v>
      </c>
      <c r="U811" s="10">
        <f>T811*P811*(A811&lt;PARAM!$B$55)</f>
        <v>0</v>
      </c>
      <c r="W811">
        <v>808</v>
      </c>
      <c r="X811" s="178">
        <f t="shared" si="238"/>
        <v>98</v>
      </c>
      <c r="Y811" s="178">
        <f t="shared" si="238"/>
        <v>98</v>
      </c>
      <c r="Z811" s="178">
        <f t="shared" si="238"/>
        <v>67</v>
      </c>
      <c r="AA811" s="178">
        <f t="shared" si="238"/>
        <v>67</v>
      </c>
      <c r="AD811" s="17">
        <f>CALC!E835*(A811&lt;PARAM!$B$55)</f>
        <v>0</v>
      </c>
      <c r="AE811">
        <f>IF(A811&lt;ITER!$C$16,1,PARAM!$C$53^-(RATES!A811-ITER!$C$16))*(A811&lt;PARAM!$B$55)</f>
        <v>0</v>
      </c>
    </row>
    <row r="812" spans="1:31" x14ac:dyDescent="0.2">
      <c r="A812" s="9">
        <v>809</v>
      </c>
      <c r="B812" s="178">
        <f t="shared" si="236"/>
        <v>98</v>
      </c>
      <c r="C812" s="178">
        <f t="shared" si="236"/>
        <v>98</v>
      </c>
      <c r="D812" s="2">
        <f>PARAM!$H$38</f>
        <v>1</v>
      </c>
      <c r="E812" s="11">
        <f>PARAM!$G$38</f>
        <v>0</v>
      </c>
      <c r="F812" s="11">
        <f>(VLOOKUP(C812,DEDN!$A$8:$O$902,$F$2)*D812+E812)/1000</f>
        <v>0.26716000000000001</v>
      </c>
      <c r="G812" s="178">
        <f t="shared" si="237"/>
        <v>67</v>
      </c>
      <c r="H812" s="178">
        <f t="shared" si="237"/>
        <v>67</v>
      </c>
      <c r="I812" s="2">
        <f>PARAM!$H$39</f>
        <v>0</v>
      </c>
      <c r="J812" s="11">
        <f>PARAM!$G$39</f>
        <v>0</v>
      </c>
      <c r="K812" s="11">
        <f>(VLOOKUP(H812,DEDN!$A$8:$O$902,$K$2)*I812+J812)/1000</f>
        <v>0</v>
      </c>
      <c r="L812" s="11">
        <f>MIN(IF(PARAM!$B$43=3,CHOOSE($L$2,F812,K812),F812+K812-F812*K812),1)</f>
        <v>0.26716000000000001</v>
      </c>
      <c r="M812" s="2">
        <f>PARAM!$I$38</f>
        <v>0</v>
      </c>
      <c r="N812" s="11">
        <f>VLOOKUP(B812,DEDN!$A$8:$O$90,$N$2)*M812</f>
        <v>0</v>
      </c>
      <c r="O812" s="12"/>
      <c r="P812" s="10">
        <f>PARAM!$C$53^-A812</f>
        <v>1</v>
      </c>
      <c r="Q812" s="10">
        <f t="shared" si="240"/>
        <v>2.3494016959423641E-2</v>
      </c>
      <c r="R812" s="10">
        <f t="shared" si="239"/>
        <v>2.3494016959423641E-2</v>
      </c>
      <c r="S812" s="10">
        <f>CHOOSE(PARAM!$B$51,R812,0,0,0)*(A812&lt;PARAM!$B$55)</f>
        <v>0</v>
      </c>
      <c r="T812" s="10">
        <f t="shared" si="229"/>
        <v>6.0073581354564559E-4</v>
      </c>
      <c r="U812" s="10">
        <f>T812*P812*(A812&lt;PARAM!$B$55)</f>
        <v>0</v>
      </c>
      <c r="W812">
        <v>809</v>
      </c>
      <c r="X812" s="178">
        <f t="shared" si="238"/>
        <v>98</v>
      </c>
      <c r="Y812" s="178">
        <f t="shared" si="238"/>
        <v>98</v>
      </c>
      <c r="Z812" s="178">
        <f t="shared" si="238"/>
        <v>67</v>
      </c>
      <c r="AA812" s="178">
        <f t="shared" si="238"/>
        <v>67</v>
      </c>
      <c r="AD812" s="17">
        <f>CALC!E836*(A812&lt;PARAM!$B$55)</f>
        <v>0</v>
      </c>
      <c r="AE812">
        <f>IF(A812&lt;ITER!$C$16,1,PARAM!$C$53^-(RATES!A812-ITER!$C$16))*(A812&lt;PARAM!$B$55)</f>
        <v>0</v>
      </c>
    </row>
    <row r="813" spans="1:31" x14ac:dyDescent="0.2">
      <c r="A813" s="9">
        <v>810</v>
      </c>
      <c r="B813" s="178">
        <f t="shared" si="236"/>
        <v>99</v>
      </c>
      <c r="C813" s="178">
        <f t="shared" si="236"/>
        <v>99</v>
      </c>
      <c r="D813" s="2">
        <f>PARAM!$H$38</f>
        <v>1</v>
      </c>
      <c r="E813" s="11">
        <f>PARAM!$G$38</f>
        <v>0</v>
      </c>
      <c r="F813" s="11">
        <f>(VLOOKUP(C813,DEDN!$A$8:$O$902,$F$2)*D813+E813)/1000</f>
        <v>0.28441000000000005</v>
      </c>
      <c r="G813" s="178">
        <f t="shared" si="237"/>
        <v>68</v>
      </c>
      <c r="H813" s="178">
        <f t="shared" si="237"/>
        <v>68</v>
      </c>
      <c r="I813" s="2">
        <f>PARAM!$H$39</f>
        <v>0</v>
      </c>
      <c r="J813" s="11">
        <f>PARAM!$G$39</f>
        <v>0</v>
      </c>
      <c r="K813" s="11">
        <f>(VLOOKUP(H813,DEDN!$A$8:$O$902,$K$2)*I813+J813)/1000</f>
        <v>0</v>
      </c>
      <c r="L813" s="11">
        <f>MIN(IF(PARAM!$B$43=3,CHOOSE($L$2,F813,K813),F813+K813-F813*K813),1)</f>
        <v>0.28441000000000005</v>
      </c>
      <c r="M813" s="2">
        <f>PARAM!$I$38</f>
        <v>0</v>
      </c>
      <c r="N813" s="11">
        <f>VLOOKUP(B813,DEDN!$A$8:$O$90,$N$2)*M813</f>
        <v>0</v>
      </c>
      <c r="O813" s="12"/>
      <c r="P813" s="10">
        <f>PARAM!$C$53^-A813</f>
        <v>1</v>
      </c>
      <c r="Q813" s="10">
        <f t="shared" si="240"/>
        <v>2.2893281145877995E-2</v>
      </c>
      <c r="R813" s="10">
        <f t="shared" si="239"/>
        <v>2.2893281145877995E-2</v>
      </c>
      <c r="S813" s="10">
        <f>CHOOSE(PARAM!$B$51,R813,R813,R813,0)*(A813&lt;PARAM!$B$55)</f>
        <v>0</v>
      </c>
      <c r="T813" s="10">
        <f t="shared" si="229"/>
        <v>6.2961246738219359E-4</v>
      </c>
      <c r="U813" s="10">
        <f>T813*P813*(A813&lt;PARAM!$B$55)</f>
        <v>0</v>
      </c>
      <c r="W813">
        <v>810</v>
      </c>
      <c r="X813" s="178">
        <f t="shared" si="238"/>
        <v>99</v>
      </c>
      <c r="Y813" s="178">
        <f t="shared" si="238"/>
        <v>99</v>
      </c>
      <c r="Z813" s="178">
        <f t="shared" si="238"/>
        <v>68</v>
      </c>
      <c r="AA813" s="178">
        <f t="shared" si="238"/>
        <v>68</v>
      </c>
      <c r="AD813" s="17">
        <f>CALC!E837*(A813&lt;PARAM!$B$55)</f>
        <v>0</v>
      </c>
      <c r="AE813">
        <f>IF(A813&lt;ITER!$C$16,1,PARAM!$C$53^-(RATES!A813-ITER!$C$16))*(A813&lt;PARAM!$B$55)</f>
        <v>0</v>
      </c>
    </row>
    <row r="814" spans="1:31" x14ac:dyDescent="0.2">
      <c r="A814" s="9">
        <v>811</v>
      </c>
      <c r="B814" s="178">
        <f t="shared" si="236"/>
        <v>99</v>
      </c>
      <c r="C814" s="178">
        <f t="shared" si="236"/>
        <v>99</v>
      </c>
      <c r="D814" s="2">
        <f>PARAM!$H$38</f>
        <v>1</v>
      </c>
      <c r="E814" s="11">
        <f>PARAM!$G$38</f>
        <v>0</v>
      </c>
      <c r="F814" s="11">
        <f>(VLOOKUP(C814,DEDN!$A$8:$O$902,$F$2)*D814+E814)/1000</f>
        <v>0.28441000000000005</v>
      </c>
      <c r="G814" s="178">
        <f t="shared" si="237"/>
        <v>68</v>
      </c>
      <c r="H814" s="178">
        <f t="shared" si="237"/>
        <v>68</v>
      </c>
      <c r="I814" s="2">
        <f>PARAM!$H$39</f>
        <v>0</v>
      </c>
      <c r="J814" s="11">
        <f>PARAM!$G$39</f>
        <v>0</v>
      </c>
      <c r="K814" s="11">
        <f>(VLOOKUP(H814,DEDN!$A$8:$O$902,$K$2)*I814+J814)/1000</f>
        <v>0</v>
      </c>
      <c r="L814" s="11">
        <f>MIN(IF(PARAM!$B$43=3,CHOOSE($L$2,F814,K814),F814+K814-F814*K814),1)</f>
        <v>0.28441000000000005</v>
      </c>
      <c r="M814" s="2">
        <f>PARAM!$I$38</f>
        <v>0</v>
      </c>
      <c r="N814" s="11">
        <f>VLOOKUP(B814,DEDN!$A$8:$O$90,$N$2)*M814</f>
        <v>0</v>
      </c>
      <c r="O814" s="12"/>
      <c r="P814" s="10">
        <f>PARAM!$C$53^-A814</f>
        <v>1</v>
      </c>
      <c r="Q814" s="10">
        <f t="shared" si="240"/>
        <v>2.2263668678495802E-2</v>
      </c>
      <c r="R814" s="10">
        <f t="shared" si="239"/>
        <v>2.2263668678495802E-2</v>
      </c>
      <c r="S814" s="10">
        <f>CHOOSE(PARAM!$B$51,R814,0,0,0)*(A814&lt;PARAM!$B$55)</f>
        <v>0</v>
      </c>
      <c r="T814" s="10">
        <f t="shared" si="229"/>
        <v>6.1229682544527986E-4</v>
      </c>
      <c r="U814" s="10">
        <f>T814*P814*(A814&lt;PARAM!$B$55)</f>
        <v>0</v>
      </c>
      <c r="W814">
        <v>811</v>
      </c>
      <c r="X814" s="178">
        <f t="shared" si="238"/>
        <v>99</v>
      </c>
      <c r="Y814" s="178">
        <f t="shared" si="238"/>
        <v>99</v>
      </c>
      <c r="Z814" s="178">
        <f t="shared" si="238"/>
        <v>68</v>
      </c>
      <c r="AA814" s="178">
        <f t="shared" si="238"/>
        <v>68</v>
      </c>
      <c r="AD814" s="17">
        <f>CALC!E838*(A814&lt;PARAM!$B$55)</f>
        <v>0</v>
      </c>
      <c r="AE814">
        <f>IF(A814&lt;ITER!$C$16,1,PARAM!$C$53^-(RATES!A814-ITER!$C$16))*(A814&lt;PARAM!$B$55)</f>
        <v>0</v>
      </c>
    </row>
    <row r="815" spans="1:31" x14ac:dyDescent="0.2">
      <c r="A815" s="9">
        <v>812</v>
      </c>
      <c r="B815" s="178">
        <f t="shared" si="236"/>
        <v>99</v>
      </c>
      <c r="C815" s="178">
        <f t="shared" si="236"/>
        <v>99</v>
      </c>
      <c r="D815" s="2">
        <f>PARAM!$H$38</f>
        <v>1</v>
      </c>
      <c r="E815" s="11">
        <f>PARAM!$G$38</f>
        <v>0</v>
      </c>
      <c r="F815" s="11">
        <f>(VLOOKUP(C815,DEDN!$A$8:$O$902,$F$2)*D815+E815)/1000</f>
        <v>0.28441000000000005</v>
      </c>
      <c r="G815" s="178">
        <f t="shared" si="237"/>
        <v>68</v>
      </c>
      <c r="H815" s="178">
        <f t="shared" si="237"/>
        <v>68</v>
      </c>
      <c r="I815" s="2">
        <f>PARAM!$H$39</f>
        <v>0</v>
      </c>
      <c r="J815" s="11">
        <f>PARAM!$G$39</f>
        <v>0</v>
      </c>
      <c r="K815" s="11">
        <f>(VLOOKUP(H815,DEDN!$A$8:$O$902,$K$2)*I815+J815)/1000</f>
        <v>0</v>
      </c>
      <c r="L815" s="11">
        <f>MIN(IF(PARAM!$B$43=3,CHOOSE($L$2,F815,K815),F815+K815-F815*K815),1)</f>
        <v>0.28441000000000005</v>
      </c>
      <c r="M815" s="2">
        <f>PARAM!$I$38</f>
        <v>0</v>
      </c>
      <c r="N815" s="11">
        <f>VLOOKUP(B815,DEDN!$A$8:$O$90,$N$2)*M815</f>
        <v>0</v>
      </c>
      <c r="O815" s="12"/>
      <c r="P815" s="10">
        <f>PARAM!$C$53^-A815</f>
        <v>1</v>
      </c>
      <c r="Q815" s="10">
        <f t="shared" si="240"/>
        <v>2.1651371853050522E-2</v>
      </c>
      <c r="R815" s="10">
        <f t="shared" si="239"/>
        <v>2.1651371853050522E-2</v>
      </c>
      <c r="S815" s="10">
        <f>CHOOSE(PARAM!$B$51,R815,0,0,0)*(A815&lt;PARAM!$B$55)</f>
        <v>0</v>
      </c>
      <c r="T815" s="10">
        <f t="shared" si="229"/>
        <v>5.9545739938911962E-4</v>
      </c>
      <c r="U815" s="10">
        <f>T815*P815*(A815&lt;PARAM!$B$55)</f>
        <v>0</v>
      </c>
      <c r="W815">
        <v>812</v>
      </c>
      <c r="X815" s="178">
        <f t="shared" si="238"/>
        <v>99</v>
      </c>
      <c r="Y815" s="178">
        <f t="shared" si="238"/>
        <v>99</v>
      </c>
      <c r="Z815" s="178">
        <f t="shared" si="238"/>
        <v>68</v>
      </c>
      <c r="AA815" s="178">
        <f t="shared" si="238"/>
        <v>68</v>
      </c>
      <c r="AD815" s="17">
        <f>CALC!E839*(A815&lt;PARAM!$B$55)</f>
        <v>0</v>
      </c>
      <c r="AE815">
        <f>IF(A815&lt;ITER!$C$16,1,PARAM!$C$53^-(RATES!A815-ITER!$C$16))*(A815&lt;PARAM!$B$55)</f>
        <v>0</v>
      </c>
    </row>
    <row r="816" spans="1:31" x14ac:dyDescent="0.2">
      <c r="A816" s="9">
        <v>813</v>
      </c>
      <c r="B816" s="178">
        <f t="shared" si="236"/>
        <v>99</v>
      </c>
      <c r="C816" s="178">
        <f t="shared" si="236"/>
        <v>99</v>
      </c>
      <c r="D816" s="2">
        <f>PARAM!$H$38</f>
        <v>1</v>
      </c>
      <c r="E816" s="11">
        <f>PARAM!$G$38</f>
        <v>0</v>
      </c>
      <c r="F816" s="11">
        <f>(VLOOKUP(C816,DEDN!$A$8:$O$902,$F$2)*D816+E816)/1000</f>
        <v>0.28441000000000005</v>
      </c>
      <c r="G816" s="178">
        <f t="shared" si="237"/>
        <v>68</v>
      </c>
      <c r="H816" s="178">
        <f t="shared" si="237"/>
        <v>68</v>
      </c>
      <c r="I816" s="2">
        <f>PARAM!$H$39</f>
        <v>0</v>
      </c>
      <c r="J816" s="11">
        <f>PARAM!$G$39</f>
        <v>0</v>
      </c>
      <c r="K816" s="11">
        <f>(VLOOKUP(H816,DEDN!$A$8:$O$902,$K$2)*I816+J816)/1000</f>
        <v>0</v>
      </c>
      <c r="L816" s="11">
        <f>MIN(IF(PARAM!$B$43=3,CHOOSE($L$2,F816,K816),F816+K816-F816*K816),1)</f>
        <v>0.28441000000000005</v>
      </c>
      <c r="M816" s="2">
        <f>PARAM!$I$38</f>
        <v>0</v>
      </c>
      <c r="N816" s="11">
        <f>VLOOKUP(B816,DEDN!$A$8:$O$90,$N$2)*M816</f>
        <v>0</v>
      </c>
      <c r="O816" s="12"/>
      <c r="P816" s="10">
        <f>PARAM!$C$53^-A816</f>
        <v>1</v>
      </c>
      <c r="Q816" s="10">
        <f t="shared" si="240"/>
        <v>2.1055914453661402E-2</v>
      </c>
      <c r="R816" s="10">
        <f t="shared" si="239"/>
        <v>2.1055914453661402E-2</v>
      </c>
      <c r="S816" s="10">
        <f>CHOOSE(PARAM!$B$51,R816,R816,0,0)*(A816&lt;PARAM!$B$55)</f>
        <v>0</v>
      </c>
      <c r="T816" s="10">
        <f t="shared" si="229"/>
        <v>5.7908109229441382E-4</v>
      </c>
      <c r="U816" s="10">
        <f>T816*P816*(A816&lt;PARAM!$B$55)</f>
        <v>0</v>
      </c>
      <c r="W816">
        <v>813</v>
      </c>
      <c r="X816" s="178">
        <f t="shared" si="238"/>
        <v>99</v>
      </c>
      <c r="Y816" s="178">
        <f t="shared" si="238"/>
        <v>99</v>
      </c>
      <c r="Z816" s="178">
        <f t="shared" si="238"/>
        <v>68</v>
      </c>
      <c r="AA816" s="178">
        <f t="shared" si="238"/>
        <v>68</v>
      </c>
      <c r="AD816" s="17">
        <f>CALC!E840*(A816&lt;PARAM!$B$55)</f>
        <v>0</v>
      </c>
      <c r="AE816">
        <f>IF(A816&lt;ITER!$C$16,1,PARAM!$C$53^-(RATES!A816-ITER!$C$16))*(A816&lt;PARAM!$B$55)</f>
        <v>0</v>
      </c>
    </row>
    <row r="817" spans="1:31" x14ac:dyDescent="0.2">
      <c r="A817" s="9">
        <v>814</v>
      </c>
      <c r="B817" s="178">
        <f t="shared" si="236"/>
        <v>99</v>
      </c>
      <c r="C817" s="178">
        <f t="shared" si="236"/>
        <v>99</v>
      </c>
      <c r="D817" s="2">
        <f>PARAM!$H$38</f>
        <v>1</v>
      </c>
      <c r="E817" s="11">
        <f>PARAM!$G$38</f>
        <v>0</v>
      </c>
      <c r="F817" s="11">
        <f>(VLOOKUP(C817,DEDN!$A$8:$O$902,$F$2)*D817+E817)/1000</f>
        <v>0.28441000000000005</v>
      </c>
      <c r="G817" s="178">
        <f t="shared" si="237"/>
        <v>68</v>
      </c>
      <c r="H817" s="178">
        <f t="shared" si="237"/>
        <v>68</v>
      </c>
      <c r="I817" s="2">
        <f>PARAM!$H$39</f>
        <v>0</v>
      </c>
      <c r="J817" s="11">
        <f>PARAM!$G$39</f>
        <v>0</v>
      </c>
      <c r="K817" s="11">
        <f>(VLOOKUP(H817,DEDN!$A$8:$O$902,$K$2)*I817+J817)/1000</f>
        <v>0</v>
      </c>
      <c r="L817" s="11">
        <f>MIN(IF(PARAM!$B$43=3,CHOOSE($L$2,F817,K817),F817+K817-F817*K817),1)</f>
        <v>0.28441000000000005</v>
      </c>
      <c r="M817" s="2">
        <f>PARAM!$I$38</f>
        <v>0</v>
      </c>
      <c r="N817" s="11">
        <f>VLOOKUP(B817,DEDN!$A$8:$O$90,$N$2)*M817</f>
        <v>0</v>
      </c>
      <c r="O817" s="12"/>
      <c r="P817" s="10">
        <f>PARAM!$C$53^-A817</f>
        <v>1</v>
      </c>
      <c r="Q817" s="10">
        <f t="shared" si="240"/>
        <v>2.0476833361366988E-2</v>
      </c>
      <c r="R817" s="10">
        <f t="shared" si="239"/>
        <v>2.0476833361366988E-2</v>
      </c>
      <c r="S817" s="10">
        <f>CHOOSE(PARAM!$B$51,R817,0,0,0)*(A817&lt;PARAM!$B$55)</f>
        <v>0</v>
      </c>
      <c r="T817" s="10">
        <f t="shared" si="229"/>
        <v>5.6315516743416297E-4</v>
      </c>
      <c r="U817" s="10">
        <f>T817*P817*(A817&lt;PARAM!$B$55)</f>
        <v>0</v>
      </c>
      <c r="W817">
        <v>814</v>
      </c>
      <c r="X817" s="178">
        <f t="shared" si="238"/>
        <v>99</v>
      </c>
      <c r="Y817" s="178">
        <f t="shared" si="238"/>
        <v>99</v>
      </c>
      <c r="Z817" s="178">
        <f t="shared" si="238"/>
        <v>68</v>
      </c>
      <c r="AA817" s="178">
        <f t="shared" si="238"/>
        <v>68</v>
      </c>
      <c r="AD817" s="17">
        <f>CALC!E841*(A817&lt;PARAM!$B$55)</f>
        <v>0</v>
      </c>
      <c r="AE817">
        <f>IF(A817&lt;ITER!$C$16,1,PARAM!$C$53^-(RATES!A817-ITER!$C$16))*(A817&lt;PARAM!$B$55)</f>
        <v>0</v>
      </c>
    </row>
    <row r="818" spans="1:31" x14ac:dyDescent="0.2">
      <c r="A818" s="9">
        <v>815</v>
      </c>
      <c r="B818" s="178">
        <f t="shared" si="236"/>
        <v>99</v>
      </c>
      <c r="C818" s="178">
        <f t="shared" si="236"/>
        <v>99</v>
      </c>
      <c r="D818" s="2">
        <f>PARAM!$H$38</f>
        <v>1</v>
      </c>
      <c r="E818" s="11">
        <f>PARAM!$G$38</f>
        <v>0</v>
      </c>
      <c r="F818" s="11">
        <f>(VLOOKUP(C818,DEDN!$A$8:$O$902,$F$2)*D818+E818)/1000</f>
        <v>0.28441000000000005</v>
      </c>
      <c r="G818" s="178">
        <f t="shared" si="237"/>
        <v>68</v>
      </c>
      <c r="H818" s="178">
        <f t="shared" si="237"/>
        <v>68</v>
      </c>
      <c r="I818" s="2">
        <f>PARAM!$H$39</f>
        <v>0</v>
      </c>
      <c r="J818" s="11">
        <f>PARAM!$G$39</f>
        <v>0</v>
      </c>
      <c r="K818" s="11">
        <f>(VLOOKUP(H818,DEDN!$A$8:$O$902,$K$2)*I818+J818)/1000</f>
        <v>0</v>
      </c>
      <c r="L818" s="11">
        <f>MIN(IF(PARAM!$B$43=3,CHOOSE($L$2,F818,K818),F818+K818-F818*K818),1)</f>
        <v>0.28441000000000005</v>
      </c>
      <c r="M818" s="2">
        <f>PARAM!$I$38</f>
        <v>0</v>
      </c>
      <c r="N818" s="11">
        <f>VLOOKUP(B818,DEDN!$A$8:$O$90,$N$2)*M818</f>
        <v>0</v>
      </c>
      <c r="O818" s="12"/>
      <c r="P818" s="10">
        <f>PARAM!$C$53^-A818</f>
        <v>1</v>
      </c>
      <c r="Q818" s="10">
        <f t="shared" si="240"/>
        <v>1.9913678193932825E-2</v>
      </c>
      <c r="R818" s="10">
        <f t="shared" si="239"/>
        <v>1.9913678193932825E-2</v>
      </c>
      <c r="S818" s="10">
        <f>CHOOSE(PARAM!$B$51,R818,0,0,0)*(A818&lt;PARAM!$B$55)</f>
        <v>0</v>
      </c>
      <c r="T818" s="10">
        <f t="shared" si="229"/>
        <v>5.4766723836764328E-4</v>
      </c>
      <c r="U818" s="10">
        <f>T818*P818*(A818&lt;PARAM!$B$55)</f>
        <v>0</v>
      </c>
      <c r="W818">
        <v>815</v>
      </c>
      <c r="X818" s="178">
        <f t="shared" si="238"/>
        <v>99</v>
      </c>
      <c r="Y818" s="178">
        <f t="shared" si="238"/>
        <v>99</v>
      </c>
      <c r="Z818" s="178">
        <f t="shared" si="238"/>
        <v>68</v>
      </c>
      <c r="AA818" s="178">
        <f t="shared" si="238"/>
        <v>68</v>
      </c>
      <c r="AD818" s="17">
        <f>CALC!E842*(A818&lt;PARAM!$B$55)</f>
        <v>0</v>
      </c>
      <c r="AE818">
        <f>IF(A818&lt;ITER!$C$16,1,PARAM!$C$53^-(RATES!A818-ITER!$C$16))*(A818&lt;PARAM!$B$55)</f>
        <v>0</v>
      </c>
    </row>
    <row r="819" spans="1:31" x14ac:dyDescent="0.2">
      <c r="A819" s="9">
        <v>816</v>
      </c>
      <c r="B819" s="178">
        <f t="shared" si="236"/>
        <v>99</v>
      </c>
      <c r="C819" s="178">
        <f t="shared" si="236"/>
        <v>99</v>
      </c>
      <c r="D819" s="2">
        <f>PARAM!$H$38</f>
        <v>1</v>
      </c>
      <c r="E819" s="11">
        <f>PARAM!$G$38</f>
        <v>0</v>
      </c>
      <c r="F819" s="11">
        <f>(VLOOKUP(C819,DEDN!$A$8:$O$902,$F$2)*D819+E819)/1000</f>
        <v>0.28441000000000005</v>
      </c>
      <c r="G819" s="178">
        <f t="shared" si="237"/>
        <v>68</v>
      </c>
      <c r="H819" s="178">
        <f t="shared" si="237"/>
        <v>68</v>
      </c>
      <c r="I819" s="2">
        <f>PARAM!$H$39</f>
        <v>0</v>
      </c>
      <c r="J819" s="11">
        <f>PARAM!$G$39</f>
        <v>0</v>
      </c>
      <c r="K819" s="11">
        <f>(VLOOKUP(H819,DEDN!$A$8:$O$902,$K$2)*I819+J819)/1000</f>
        <v>0</v>
      </c>
      <c r="L819" s="11">
        <f>MIN(IF(PARAM!$B$43=3,CHOOSE($L$2,F819,K819),F819+K819-F819*K819),1)</f>
        <v>0.28441000000000005</v>
      </c>
      <c r="M819" s="2">
        <f>PARAM!$I$38</f>
        <v>0</v>
      </c>
      <c r="N819" s="11">
        <f>VLOOKUP(B819,DEDN!$A$8:$O$90,$N$2)*M819</f>
        <v>0</v>
      </c>
      <c r="O819" s="12"/>
      <c r="P819" s="10">
        <f>PARAM!$C$53^-A819</f>
        <v>1</v>
      </c>
      <c r="Q819" s="10">
        <f t="shared" si="240"/>
        <v>1.9366010955565182E-2</v>
      </c>
      <c r="R819" s="10">
        <f t="shared" si="239"/>
        <v>1.9366010955565182E-2</v>
      </c>
      <c r="S819" s="10">
        <f>R819*(A819&lt;PARAM!$B$55)</f>
        <v>0</v>
      </c>
      <c r="T819" s="10">
        <f t="shared" si="229"/>
        <v>5.3260525930680716E-4</v>
      </c>
      <c r="U819" s="10">
        <f>T819*P819*(A819&lt;PARAM!$B$55)</f>
        <v>0</v>
      </c>
      <c r="W819">
        <v>816</v>
      </c>
      <c r="X819" s="178">
        <f t="shared" si="238"/>
        <v>99</v>
      </c>
      <c r="Y819" s="178">
        <f t="shared" si="238"/>
        <v>99</v>
      </c>
      <c r="Z819" s="178">
        <f t="shared" si="238"/>
        <v>68</v>
      </c>
      <c r="AA819" s="178">
        <f t="shared" si="238"/>
        <v>68</v>
      </c>
      <c r="AD819" s="17">
        <f>CALC!E843*(A819&lt;PARAM!$B$55)</f>
        <v>0</v>
      </c>
      <c r="AE819">
        <f>IF(A819&lt;ITER!$C$16,1,PARAM!$C$53^-(RATES!A819-ITER!$C$16))*(A819&lt;PARAM!$B$55)</f>
        <v>0</v>
      </c>
    </row>
    <row r="820" spans="1:31" x14ac:dyDescent="0.2">
      <c r="A820" s="9">
        <v>817</v>
      </c>
      <c r="B820" s="178">
        <f t="shared" si="236"/>
        <v>99</v>
      </c>
      <c r="C820" s="178">
        <f t="shared" si="236"/>
        <v>99</v>
      </c>
      <c r="D820" s="2">
        <f>PARAM!$H$38</f>
        <v>1</v>
      </c>
      <c r="E820" s="11">
        <f>PARAM!$G$38</f>
        <v>0</v>
      </c>
      <c r="F820" s="11">
        <f>(VLOOKUP(C820,DEDN!$A$8:$O$902,$F$2)*D820+E820)/1000</f>
        <v>0.28441000000000005</v>
      </c>
      <c r="G820" s="178">
        <f t="shared" si="237"/>
        <v>68</v>
      </c>
      <c r="H820" s="178">
        <f t="shared" si="237"/>
        <v>68</v>
      </c>
      <c r="I820" s="2">
        <f>PARAM!$H$39</f>
        <v>0</v>
      </c>
      <c r="J820" s="11">
        <f>PARAM!$G$39</f>
        <v>0</v>
      </c>
      <c r="K820" s="11">
        <f>(VLOOKUP(H820,DEDN!$A$8:$O$902,$K$2)*I820+J820)/1000</f>
        <v>0</v>
      </c>
      <c r="L820" s="11">
        <f>MIN(IF(PARAM!$B$43=3,CHOOSE($L$2,F820,K820),F820+K820-F820*K820),1)</f>
        <v>0.28441000000000005</v>
      </c>
      <c r="M820" s="2">
        <f>PARAM!$I$38</f>
        <v>0</v>
      </c>
      <c r="N820" s="11">
        <f>VLOOKUP(B820,DEDN!$A$8:$O$90,$N$2)*M820</f>
        <v>0</v>
      </c>
      <c r="O820" s="12"/>
      <c r="P820" s="10">
        <f>PARAM!$C$53^-A820</f>
        <v>1</v>
      </c>
      <c r="Q820" s="10">
        <f t="shared" si="240"/>
        <v>1.8833405696258375E-2</v>
      </c>
      <c r="R820" s="10">
        <f t="shared" ref="R820:R835" si="241">P820*Q820</f>
        <v>1.8833405696258375E-2</v>
      </c>
      <c r="S820" s="10">
        <f>CHOOSE(PARAM!$B$51,R820,0,0,0)*(A820&lt;PARAM!$B$55)</f>
        <v>0</v>
      </c>
      <c r="T820" s="10">
        <f t="shared" si="229"/>
        <v>5.1795751574763155E-4</v>
      </c>
      <c r="U820" s="10">
        <f>T820*P820*(A820&lt;PARAM!$B$55)</f>
        <v>0</v>
      </c>
      <c r="W820">
        <v>817</v>
      </c>
      <c r="X820" s="178">
        <f t="shared" si="238"/>
        <v>99</v>
      </c>
      <c r="Y820" s="178">
        <f t="shared" si="238"/>
        <v>99</v>
      </c>
      <c r="Z820" s="178">
        <f t="shared" si="238"/>
        <v>68</v>
      </c>
      <c r="AA820" s="178">
        <f t="shared" si="238"/>
        <v>68</v>
      </c>
      <c r="AD820" s="17">
        <f>CALC!E844*(A820&lt;PARAM!$B$55)</f>
        <v>0</v>
      </c>
      <c r="AE820">
        <f>IF(A820&lt;ITER!$C$16,1,PARAM!$C$53^-(RATES!A820-ITER!$C$16))*(A820&lt;PARAM!$B$55)</f>
        <v>0</v>
      </c>
    </row>
    <row r="821" spans="1:31" x14ac:dyDescent="0.2">
      <c r="A821" s="9">
        <v>818</v>
      </c>
      <c r="B821" s="178">
        <f t="shared" ref="B821:C840" si="242">B809+1</f>
        <v>99</v>
      </c>
      <c r="C821" s="178">
        <f t="shared" si="242"/>
        <v>99</v>
      </c>
      <c r="D821" s="2">
        <f>PARAM!$H$38</f>
        <v>1</v>
      </c>
      <c r="E821" s="11">
        <f>PARAM!$G$38</f>
        <v>0</v>
      </c>
      <c r="F821" s="11">
        <f>(VLOOKUP(C821,DEDN!$A$8:$O$902,$F$2)*D821+E821)/1000</f>
        <v>0.28441000000000005</v>
      </c>
      <c r="G821" s="178">
        <f t="shared" ref="G821:H840" si="243">G809+1</f>
        <v>68</v>
      </c>
      <c r="H821" s="178">
        <f t="shared" si="243"/>
        <v>68</v>
      </c>
      <c r="I821" s="2">
        <f>PARAM!$H$39</f>
        <v>0</v>
      </c>
      <c r="J821" s="11">
        <f>PARAM!$G$39</f>
        <v>0</v>
      </c>
      <c r="K821" s="11">
        <f>(VLOOKUP(H821,DEDN!$A$8:$O$902,$K$2)*I821+J821)/1000</f>
        <v>0</v>
      </c>
      <c r="L821" s="11">
        <f>MIN(IF(PARAM!$B$43=3,CHOOSE($L$2,F821,K821),F821+K821-F821*K821),1)</f>
        <v>0.28441000000000005</v>
      </c>
      <c r="M821" s="2">
        <f>PARAM!$I$38</f>
        <v>0</v>
      </c>
      <c r="N821" s="11">
        <f>VLOOKUP(B821,DEDN!$A$8:$O$90,$N$2)*M821</f>
        <v>0</v>
      </c>
      <c r="O821" s="12"/>
      <c r="P821" s="10">
        <f>PARAM!$C$53^-A821</f>
        <v>1</v>
      </c>
      <c r="Q821" s="10">
        <f t="shared" ref="Q821:Q836" si="244">Q820*(1-L820)^(1/12)</f>
        <v>1.8315448180510743E-2</v>
      </c>
      <c r="R821" s="10">
        <f t="shared" si="241"/>
        <v>1.8315448180510743E-2</v>
      </c>
      <c r="S821" s="10">
        <f>CHOOSE(PARAM!$B$51,R821,0,0,0)*(A821&lt;PARAM!$B$55)</f>
        <v>0</v>
      </c>
      <c r="T821" s="10">
        <f t="shared" si="229"/>
        <v>5.0371261535913162E-4</v>
      </c>
      <c r="U821" s="10">
        <f>T821*P821*(A821&lt;PARAM!$B$55)</f>
        <v>0</v>
      </c>
      <c r="W821">
        <v>818</v>
      </c>
      <c r="X821" s="178">
        <f t="shared" ref="X821:AA840" si="245">X809+1</f>
        <v>99</v>
      </c>
      <c r="Y821" s="178">
        <f t="shared" si="245"/>
        <v>99</v>
      </c>
      <c r="Z821" s="178">
        <f t="shared" si="245"/>
        <v>68</v>
      </c>
      <c r="AA821" s="178">
        <f t="shared" si="245"/>
        <v>68</v>
      </c>
      <c r="AD821" s="17">
        <f>CALC!E845*(A821&lt;PARAM!$B$55)</f>
        <v>0</v>
      </c>
      <c r="AE821">
        <f>IF(A821&lt;ITER!$C$16,1,PARAM!$C$53^-(RATES!A821-ITER!$C$16))*(A821&lt;PARAM!$B$55)</f>
        <v>0</v>
      </c>
    </row>
    <row r="822" spans="1:31" x14ac:dyDescent="0.2">
      <c r="A822" s="9">
        <v>819</v>
      </c>
      <c r="B822" s="178">
        <f t="shared" si="242"/>
        <v>99</v>
      </c>
      <c r="C822" s="178">
        <f t="shared" si="242"/>
        <v>99</v>
      </c>
      <c r="D822" s="2">
        <f>PARAM!$H$38</f>
        <v>1</v>
      </c>
      <c r="E822" s="11">
        <f>PARAM!$G$38</f>
        <v>0</v>
      </c>
      <c r="F822" s="11">
        <f>(VLOOKUP(C822,DEDN!$A$8:$O$902,$F$2)*D822+E822)/1000</f>
        <v>0.28441000000000005</v>
      </c>
      <c r="G822" s="178">
        <f t="shared" si="243"/>
        <v>68</v>
      </c>
      <c r="H822" s="178">
        <f t="shared" si="243"/>
        <v>68</v>
      </c>
      <c r="I822" s="2">
        <f>PARAM!$H$39</f>
        <v>0</v>
      </c>
      <c r="J822" s="11">
        <f>PARAM!$G$39</f>
        <v>0</v>
      </c>
      <c r="K822" s="11">
        <f>(VLOOKUP(H822,DEDN!$A$8:$O$902,$K$2)*I822+J822)/1000</f>
        <v>0</v>
      </c>
      <c r="L822" s="11">
        <f>MIN(IF(PARAM!$B$43=3,CHOOSE($L$2,F822,K822),F822+K822-F822*K822),1)</f>
        <v>0.28441000000000005</v>
      </c>
      <c r="M822" s="2">
        <f>PARAM!$I$38</f>
        <v>0</v>
      </c>
      <c r="N822" s="11">
        <f>VLOOKUP(B822,DEDN!$A$8:$O$90,$N$2)*M822</f>
        <v>0</v>
      </c>
      <c r="O822" s="12"/>
      <c r="P822" s="10">
        <f>PARAM!$C$53^-A822</f>
        <v>1</v>
      </c>
      <c r="Q822" s="10">
        <f t="shared" si="244"/>
        <v>1.7811735565151612E-2</v>
      </c>
      <c r="R822" s="10">
        <f t="shared" si="241"/>
        <v>1.7811735565151612E-2</v>
      </c>
      <c r="S822" s="10">
        <f>CHOOSE(PARAM!$B$51,R822,R822,0,0)*(A822&lt;PARAM!$B$55)</f>
        <v>0</v>
      </c>
      <c r="T822" s="10">
        <f t="shared" si="229"/>
        <v>4.8985947912291716E-4</v>
      </c>
      <c r="U822" s="10">
        <f>T822*P822*(A822&lt;PARAM!$B$55)</f>
        <v>0</v>
      </c>
      <c r="W822">
        <v>819</v>
      </c>
      <c r="X822" s="178">
        <f t="shared" si="245"/>
        <v>99</v>
      </c>
      <c r="Y822" s="178">
        <f t="shared" si="245"/>
        <v>99</v>
      </c>
      <c r="Z822" s="178">
        <f t="shared" si="245"/>
        <v>68</v>
      </c>
      <c r="AA822" s="178">
        <f t="shared" si="245"/>
        <v>68</v>
      </c>
      <c r="AD822" s="17">
        <f>CALC!E846*(A822&lt;PARAM!$B$55)</f>
        <v>0</v>
      </c>
      <c r="AE822">
        <f>IF(A822&lt;ITER!$C$16,1,PARAM!$C$53^-(RATES!A822-ITER!$C$16))*(A822&lt;PARAM!$B$55)</f>
        <v>0</v>
      </c>
    </row>
    <row r="823" spans="1:31" x14ac:dyDescent="0.2">
      <c r="A823" s="9">
        <v>820</v>
      </c>
      <c r="B823" s="178">
        <f t="shared" si="242"/>
        <v>99</v>
      </c>
      <c r="C823" s="178">
        <f t="shared" si="242"/>
        <v>99</v>
      </c>
      <c r="D823" s="2">
        <f>PARAM!$H$38</f>
        <v>1</v>
      </c>
      <c r="E823" s="11">
        <f>PARAM!$G$38</f>
        <v>0</v>
      </c>
      <c r="F823" s="11">
        <f>(VLOOKUP(C823,DEDN!$A$8:$O$902,$F$2)*D823+E823)/1000</f>
        <v>0.28441000000000005</v>
      </c>
      <c r="G823" s="178">
        <f t="shared" si="243"/>
        <v>68</v>
      </c>
      <c r="H823" s="178">
        <f t="shared" si="243"/>
        <v>68</v>
      </c>
      <c r="I823" s="2">
        <f>PARAM!$H$39</f>
        <v>0</v>
      </c>
      <c r="J823" s="11">
        <f>PARAM!$G$39</f>
        <v>0</v>
      </c>
      <c r="K823" s="11">
        <f>(VLOOKUP(H823,DEDN!$A$8:$O$902,$K$2)*I823+J823)/1000</f>
        <v>0</v>
      </c>
      <c r="L823" s="11">
        <f>MIN(IF(PARAM!$B$43=3,CHOOSE($L$2,F823,K823),F823+K823-F823*K823),1)</f>
        <v>0.28441000000000005</v>
      </c>
      <c r="M823" s="2">
        <f>PARAM!$I$38</f>
        <v>0</v>
      </c>
      <c r="N823" s="11">
        <f>VLOOKUP(B823,DEDN!$A$8:$O$90,$N$2)*M823</f>
        <v>0</v>
      </c>
      <c r="O823" s="12"/>
      <c r="P823" s="10">
        <f>PARAM!$C$53^-A823</f>
        <v>1</v>
      </c>
      <c r="Q823" s="10">
        <f t="shared" si="244"/>
        <v>1.7321876086028695E-2</v>
      </c>
      <c r="R823" s="10">
        <f t="shared" si="241"/>
        <v>1.7321876086028695E-2</v>
      </c>
      <c r="S823" s="10">
        <f>CHOOSE(PARAM!$B$51,R823,0,0,0)*(A823&lt;PARAM!$B$55)</f>
        <v>0</v>
      </c>
      <c r="T823" s="10">
        <f t="shared" si="229"/>
        <v>4.7638733271647415E-4</v>
      </c>
      <c r="U823" s="10">
        <f>T823*P823*(A823&lt;PARAM!$B$55)</f>
        <v>0</v>
      </c>
      <c r="W823">
        <v>820</v>
      </c>
      <c r="X823" s="178">
        <f t="shared" si="245"/>
        <v>99</v>
      </c>
      <c r="Y823" s="178">
        <f t="shared" si="245"/>
        <v>99</v>
      </c>
      <c r="Z823" s="178">
        <f t="shared" si="245"/>
        <v>68</v>
      </c>
      <c r="AA823" s="178">
        <f t="shared" si="245"/>
        <v>68</v>
      </c>
      <c r="AD823" s="17">
        <f>CALC!E847*(A823&lt;PARAM!$B$55)</f>
        <v>0</v>
      </c>
      <c r="AE823">
        <f>IF(A823&lt;ITER!$C$16,1,PARAM!$C$53^-(RATES!A823-ITER!$C$16))*(A823&lt;PARAM!$B$55)</f>
        <v>0</v>
      </c>
    </row>
    <row r="824" spans="1:31" x14ac:dyDescent="0.2">
      <c r="A824" s="9">
        <v>821</v>
      </c>
      <c r="B824" s="178">
        <f t="shared" si="242"/>
        <v>99</v>
      </c>
      <c r="C824" s="178">
        <f t="shared" si="242"/>
        <v>99</v>
      </c>
      <c r="D824" s="2">
        <f>PARAM!$H$38</f>
        <v>1</v>
      </c>
      <c r="E824" s="11">
        <f>PARAM!$G$38</f>
        <v>0</v>
      </c>
      <c r="F824" s="11">
        <f>(VLOOKUP(C824,DEDN!$A$8:$O$902,$F$2)*D824+E824)/1000</f>
        <v>0.28441000000000005</v>
      </c>
      <c r="G824" s="178">
        <f t="shared" si="243"/>
        <v>68</v>
      </c>
      <c r="H824" s="178">
        <f t="shared" si="243"/>
        <v>68</v>
      </c>
      <c r="I824" s="2">
        <f>PARAM!$H$39</f>
        <v>0</v>
      </c>
      <c r="J824" s="11">
        <f>PARAM!$G$39</f>
        <v>0</v>
      </c>
      <c r="K824" s="11">
        <f>(VLOOKUP(H824,DEDN!$A$8:$O$902,$K$2)*I824+J824)/1000</f>
        <v>0</v>
      </c>
      <c r="L824" s="11">
        <f>MIN(IF(PARAM!$B$43=3,CHOOSE($L$2,F824,K824),F824+K824-F824*K824),1)</f>
        <v>0.28441000000000005</v>
      </c>
      <c r="M824" s="2">
        <f>PARAM!$I$38</f>
        <v>0</v>
      </c>
      <c r="N824" s="11">
        <f>VLOOKUP(B824,DEDN!$A$8:$O$90,$N$2)*M824</f>
        <v>0</v>
      </c>
      <c r="O824" s="12"/>
      <c r="P824" s="10">
        <f>PARAM!$C$53^-A824</f>
        <v>1</v>
      </c>
      <c r="Q824" s="10">
        <f t="shared" si="244"/>
        <v>1.684548875331222E-2</v>
      </c>
      <c r="R824" s="10">
        <f t="shared" si="241"/>
        <v>1.684548875331222E-2</v>
      </c>
      <c r="S824" s="10">
        <f>CHOOSE(PARAM!$B$51,R824,0,0,0)*(A824&lt;PARAM!$B$55)</f>
        <v>0</v>
      </c>
      <c r="T824" s="10">
        <f t="shared" si="229"/>
        <v>4.6328569813338175E-4</v>
      </c>
      <c r="U824" s="10">
        <f>T824*P824*(A824&lt;PARAM!$B$55)</f>
        <v>0</v>
      </c>
      <c r="W824">
        <v>821</v>
      </c>
      <c r="X824" s="178">
        <f t="shared" si="245"/>
        <v>99</v>
      </c>
      <c r="Y824" s="178">
        <f t="shared" si="245"/>
        <v>99</v>
      </c>
      <c r="Z824" s="178">
        <f t="shared" si="245"/>
        <v>68</v>
      </c>
      <c r="AA824" s="178">
        <f t="shared" si="245"/>
        <v>68</v>
      </c>
      <c r="AD824" s="17">
        <f>CALC!E848*(A824&lt;PARAM!$B$55)</f>
        <v>0</v>
      </c>
      <c r="AE824">
        <f>IF(A824&lt;ITER!$C$16,1,PARAM!$C$53^-(RATES!A824-ITER!$C$16))*(A824&lt;PARAM!$B$55)</f>
        <v>0</v>
      </c>
    </row>
    <row r="825" spans="1:31" x14ac:dyDescent="0.2">
      <c r="A825" s="9">
        <v>822</v>
      </c>
      <c r="B825" s="178">
        <f t="shared" si="242"/>
        <v>100</v>
      </c>
      <c r="C825" s="178">
        <f t="shared" si="242"/>
        <v>100</v>
      </c>
      <c r="D825" s="2">
        <f>PARAM!$H$38</f>
        <v>1</v>
      </c>
      <c r="E825" s="11">
        <f>PARAM!$G$38</f>
        <v>0</v>
      </c>
      <c r="F825" s="11">
        <f>(VLOOKUP(C825,DEDN!$A$8:$O$902,$F$2)*D825+E825)/1000</f>
        <v>0.28441000000000005</v>
      </c>
      <c r="G825" s="178">
        <f t="shared" si="243"/>
        <v>69</v>
      </c>
      <c r="H825" s="178">
        <f t="shared" si="243"/>
        <v>69</v>
      </c>
      <c r="I825" s="2">
        <f>PARAM!$H$39</f>
        <v>0</v>
      </c>
      <c r="J825" s="11">
        <f>PARAM!$G$39</f>
        <v>0</v>
      </c>
      <c r="K825" s="11">
        <f>(VLOOKUP(H825,DEDN!$A$8:$O$902,$K$2)*I825+J825)/1000</f>
        <v>0</v>
      </c>
      <c r="L825" s="11">
        <f>MIN(IF(PARAM!$B$43=3,CHOOSE($L$2,F825,K825),F825+K825-F825*K825),1)</f>
        <v>0.28441000000000005</v>
      </c>
      <c r="M825" s="2">
        <f>PARAM!$I$38</f>
        <v>0</v>
      </c>
      <c r="N825" s="11">
        <f>VLOOKUP(B825,DEDN!$A$8:$O$90,$N$2)*M825</f>
        <v>0</v>
      </c>
      <c r="O825" s="12"/>
      <c r="P825" s="10">
        <f>PARAM!$C$53^-A825</f>
        <v>1</v>
      </c>
      <c r="Q825" s="10">
        <f t="shared" si="244"/>
        <v>1.6382203055178839E-2</v>
      </c>
      <c r="R825" s="10">
        <f t="shared" si="241"/>
        <v>1.6382203055178839E-2</v>
      </c>
      <c r="S825" s="10">
        <f>CHOOSE(PARAM!$B$51,R825,R825,R825,0)*(A825&lt;PARAM!$B$55)</f>
        <v>0</v>
      </c>
      <c r="T825" s="10">
        <f t="shared" si="229"/>
        <v>4.5054438553402201E-4</v>
      </c>
      <c r="U825" s="10">
        <f>T825*P825*(A825&lt;PARAM!$B$55)</f>
        <v>0</v>
      </c>
      <c r="W825">
        <v>822</v>
      </c>
      <c r="X825" s="178">
        <f t="shared" si="245"/>
        <v>100</v>
      </c>
      <c r="Y825" s="178">
        <f t="shared" si="245"/>
        <v>100</v>
      </c>
      <c r="Z825" s="178">
        <f t="shared" si="245"/>
        <v>69</v>
      </c>
      <c r="AA825" s="178">
        <f t="shared" si="245"/>
        <v>69</v>
      </c>
      <c r="AD825" s="17">
        <f>CALC!E849*(A825&lt;PARAM!$B$55)</f>
        <v>0</v>
      </c>
      <c r="AE825">
        <f>IF(A825&lt;ITER!$C$16,1,PARAM!$C$53^-(RATES!A825-ITER!$C$16))*(A825&lt;PARAM!$B$55)</f>
        <v>0</v>
      </c>
    </row>
    <row r="826" spans="1:31" x14ac:dyDescent="0.2">
      <c r="A826" s="9">
        <v>823</v>
      </c>
      <c r="B826" s="178">
        <f t="shared" si="242"/>
        <v>100</v>
      </c>
      <c r="C826" s="178">
        <f t="shared" si="242"/>
        <v>100</v>
      </c>
      <c r="D826" s="2">
        <f>PARAM!$H$38</f>
        <v>1</v>
      </c>
      <c r="E826" s="11">
        <f>PARAM!$G$38</f>
        <v>0</v>
      </c>
      <c r="F826" s="11">
        <f>(VLOOKUP(C826,DEDN!$A$8:$O$902,$F$2)*D826+E826)/1000</f>
        <v>0.28441000000000005</v>
      </c>
      <c r="G826" s="178">
        <f t="shared" si="243"/>
        <v>69</v>
      </c>
      <c r="H826" s="178">
        <f t="shared" si="243"/>
        <v>69</v>
      </c>
      <c r="I826" s="2">
        <f>PARAM!$H$39</f>
        <v>0</v>
      </c>
      <c r="J826" s="11">
        <f>PARAM!$G$39</f>
        <v>0</v>
      </c>
      <c r="K826" s="11">
        <f>(VLOOKUP(H826,DEDN!$A$8:$O$902,$K$2)*I826+J826)/1000</f>
        <v>0</v>
      </c>
      <c r="L826" s="11">
        <f>MIN(IF(PARAM!$B$43=3,CHOOSE($L$2,F826,K826),F826+K826-F826*K826),1)</f>
        <v>0.28441000000000005</v>
      </c>
      <c r="M826" s="2">
        <f>PARAM!$I$38</f>
        <v>0</v>
      </c>
      <c r="N826" s="11">
        <f>VLOOKUP(B826,DEDN!$A$8:$O$90,$N$2)*M826</f>
        <v>0</v>
      </c>
      <c r="O826" s="12"/>
      <c r="P826" s="10">
        <f>PARAM!$C$53^-A826</f>
        <v>1</v>
      </c>
      <c r="Q826" s="10">
        <f t="shared" si="244"/>
        <v>1.5931658669644817E-2</v>
      </c>
      <c r="R826" s="10">
        <f t="shared" si="241"/>
        <v>1.5931658669644817E-2</v>
      </c>
      <c r="S826" s="10">
        <f>CHOOSE(PARAM!$B$51,R826,0,0,0)*(A826&lt;PARAM!$B$55)</f>
        <v>0</v>
      </c>
      <c r="T826" s="10">
        <f t="shared" si="229"/>
        <v>4.381534853203882E-4</v>
      </c>
      <c r="U826" s="10">
        <f>T826*P826*(A826&lt;PARAM!$B$55)</f>
        <v>0</v>
      </c>
      <c r="W826">
        <v>823</v>
      </c>
      <c r="X826" s="178">
        <f t="shared" si="245"/>
        <v>100</v>
      </c>
      <c r="Y826" s="178">
        <f t="shared" si="245"/>
        <v>100</v>
      </c>
      <c r="Z826" s="178">
        <f t="shared" si="245"/>
        <v>69</v>
      </c>
      <c r="AA826" s="178">
        <f t="shared" si="245"/>
        <v>69</v>
      </c>
      <c r="AD826" s="17">
        <f>CALC!E850*(A826&lt;PARAM!$B$55)</f>
        <v>0</v>
      </c>
      <c r="AE826">
        <f>IF(A826&lt;ITER!$C$16,1,PARAM!$C$53^-(RATES!A826-ITER!$C$16))*(A826&lt;PARAM!$B$55)</f>
        <v>0</v>
      </c>
    </row>
    <row r="827" spans="1:31" x14ac:dyDescent="0.2">
      <c r="A827" s="9">
        <v>824</v>
      </c>
      <c r="B827" s="178">
        <f t="shared" si="242"/>
        <v>100</v>
      </c>
      <c r="C827" s="178">
        <f t="shared" si="242"/>
        <v>100</v>
      </c>
      <c r="D827" s="2">
        <f>PARAM!$H$38</f>
        <v>1</v>
      </c>
      <c r="E827" s="11">
        <f>PARAM!$G$38</f>
        <v>0</v>
      </c>
      <c r="F827" s="11">
        <f>(VLOOKUP(C827,DEDN!$A$8:$O$902,$F$2)*D827+E827)/1000</f>
        <v>0.28441000000000005</v>
      </c>
      <c r="G827" s="178">
        <f t="shared" si="243"/>
        <v>69</v>
      </c>
      <c r="H827" s="178">
        <f t="shared" si="243"/>
        <v>69</v>
      </c>
      <c r="I827" s="2">
        <f>PARAM!$H$39</f>
        <v>0</v>
      </c>
      <c r="J827" s="11">
        <f>PARAM!$G$39</f>
        <v>0</v>
      </c>
      <c r="K827" s="11">
        <f>(VLOOKUP(H827,DEDN!$A$8:$O$902,$K$2)*I827+J827)/1000</f>
        <v>0</v>
      </c>
      <c r="L827" s="11">
        <f>MIN(IF(PARAM!$B$43=3,CHOOSE($L$2,F827,K827),F827+K827-F827*K827),1)</f>
        <v>0.28441000000000005</v>
      </c>
      <c r="M827" s="2">
        <f>PARAM!$I$38</f>
        <v>0</v>
      </c>
      <c r="N827" s="11">
        <f>VLOOKUP(B827,DEDN!$A$8:$O$90,$N$2)*M827</f>
        <v>0</v>
      </c>
      <c r="O827" s="12"/>
      <c r="P827" s="10">
        <f>PARAM!$C$53^-A827</f>
        <v>1</v>
      </c>
      <c r="Q827" s="10">
        <f t="shared" si="244"/>
        <v>1.5493505184324428E-2</v>
      </c>
      <c r="R827" s="10">
        <f t="shared" si="241"/>
        <v>1.5493505184324428E-2</v>
      </c>
      <c r="S827" s="10">
        <f>CHOOSE(PARAM!$B$51,R827,0,0,0)*(A827&lt;PARAM!$B$55)</f>
        <v>0</v>
      </c>
      <c r="T827" s="10">
        <f t="shared" si="229"/>
        <v>4.2610336042886096E-4</v>
      </c>
      <c r="U827" s="10">
        <f>T827*P827*(A827&lt;PARAM!$B$55)</f>
        <v>0</v>
      </c>
      <c r="W827">
        <v>824</v>
      </c>
      <c r="X827" s="178">
        <f t="shared" si="245"/>
        <v>100</v>
      </c>
      <c r="Y827" s="178">
        <f t="shared" si="245"/>
        <v>100</v>
      </c>
      <c r="Z827" s="178">
        <f t="shared" si="245"/>
        <v>69</v>
      </c>
      <c r="AA827" s="178">
        <f t="shared" si="245"/>
        <v>69</v>
      </c>
      <c r="AD827" s="17">
        <f>CALC!E851*(A827&lt;PARAM!$B$55)</f>
        <v>0</v>
      </c>
      <c r="AE827">
        <f>IF(A827&lt;ITER!$C$16,1,PARAM!$C$53^-(RATES!A827-ITER!$C$16))*(A827&lt;PARAM!$B$55)</f>
        <v>0</v>
      </c>
    </row>
    <row r="828" spans="1:31" x14ac:dyDescent="0.2">
      <c r="A828" s="9">
        <v>825</v>
      </c>
      <c r="B828" s="178">
        <f t="shared" si="242"/>
        <v>100</v>
      </c>
      <c r="C828" s="178">
        <f t="shared" si="242"/>
        <v>100</v>
      </c>
      <c r="D828" s="2">
        <f>PARAM!$H$38</f>
        <v>1</v>
      </c>
      <c r="E828" s="11">
        <f>PARAM!$G$38</f>
        <v>0</v>
      </c>
      <c r="F828" s="11">
        <f>(VLOOKUP(C828,DEDN!$A$8:$O$902,$F$2)*D828+E828)/1000</f>
        <v>0.28441000000000005</v>
      </c>
      <c r="G828" s="178">
        <f t="shared" si="243"/>
        <v>69</v>
      </c>
      <c r="H828" s="178">
        <f t="shared" si="243"/>
        <v>69</v>
      </c>
      <c r="I828" s="2">
        <f>PARAM!$H$39</f>
        <v>0</v>
      </c>
      <c r="J828" s="11">
        <f>PARAM!$G$39</f>
        <v>0</v>
      </c>
      <c r="K828" s="11">
        <f>(VLOOKUP(H828,DEDN!$A$8:$O$902,$K$2)*I828+J828)/1000</f>
        <v>0</v>
      </c>
      <c r="L828" s="11">
        <f>MIN(IF(PARAM!$B$43=3,CHOOSE($L$2,F828,K828),F828+K828-F828*K828),1)</f>
        <v>0.28441000000000005</v>
      </c>
      <c r="M828" s="2">
        <f>PARAM!$I$38</f>
        <v>0</v>
      </c>
      <c r="N828" s="11">
        <f>VLOOKUP(B828,DEDN!$A$8:$O$90,$N$2)*M828</f>
        <v>0</v>
      </c>
      <c r="O828" s="12"/>
      <c r="P828" s="10">
        <f>PARAM!$C$53^-A828</f>
        <v>1</v>
      </c>
      <c r="Q828" s="10">
        <f t="shared" si="244"/>
        <v>1.5067401823895567E-2</v>
      </c>
      <c r="R828" s="10">
        <f t="shared" si="241"/>
        <v>1.5067401823895567E-2</v>
      </c>
      <c r="S828" s="10">
        <f>CHOOSE(PARAM!$B$51,R828,R828,0,0)*(A828&lt;PARAM!$B$55)</f>
        <v>0</v>
      </c>
      <c r="T828" s="10">
        <f t="shared" si="229"/>
        <v>4.1438463883495917E-4</v>
      </c>
      <c r="U828" s="10">
        <f>T828*P828*(A828&lt;PARAM!$B$55)</f>
        <v>0</v>
      </c>
      <c r="W828">
        <v>825</v>
      </c>
      <c r="X828" s="178">
        <f t="shared" si="245"/>
        <v>100</v>
      </c>
      <c r="Y828" s="178">
        <f t="shared" si="245"/>
        <v>100</v>
      </c>
      <c r="Z828" s="178">
        <f t="shared" si="245"/>
        <v>69</v>
      </c>
      <c r="AA828" s="178">
        <f t="shared" si="245"/>
        <v>69</v>
      </c>
      <c r="AD828" s="17">
        <f>CALC!E852*(A828&lt;PARAM!$B$55)</f>
        <v>0</v>
      </c>
      <c r="AE828">
        <f>IF(A828&lt;ITER!$C$16,1,PARAM!$C$53^-(RATES!A828-ITER!$C$16))*(A828&lt;PARAM!$B$55)</f>
        <v>0</v>
      </c>
    </row>
    <row r="829" spans="1:31" x14ac:dyDescent="0.2">
      <c r="A829" s="9">
        <v>826</v>
      </c>
      <c r="B829" s="178">
        <f t="shared" si="242"/>
        <v>100</v>
      </c>
      <c r="C829" s="178">
        <f t="shared" si="242"/>
        <v>100</v>
      </c>
      <c r="D829" s="2">
        <f>PARAM!$H$38</f>
        <v>1</v>
      </c>
      <c r="E829" s="11">
        <f>PARAM!$G$38</f>
        <v>0</v>
      </c>
      <c r="F829" s="11">
        <f>(VLOOKUP(C829,DEDN!$A$8:$O$902,$F$2)*D829+E829)/1000</f>
        <v>0.28441000000000005</v>
      </c>
      <c r="G829" s="178">
        <f t="shared" si="243"/>
        <v>69</v>
      </c>
      <c r="H829" s="178">
        <f t="shared" si="243"/>
        <v>69</v>
      </c>
      <c r="I829" s="2">
        <f>PARAM!$H$39</f>
        <v>0</v>
      </c>
      <c r="J829" s="11">
        <f>PARAM!$G$39</f>
        <v>0</v>
      </c>
      <c r="K829" s="11">
        <f>(VLOOKUP(H829,DEDN!$A$8:$O$902,$K$2)*I829+J829)/1000</f>
        <v>0</v>
      </c>
      <c r="L829" s="11">
        <f>MIN(IF(PARAM!$B$43=3,CHOOSE($L$2,F829,K829),F829+K829-F829*K829),1)</f>
        <v>0.28441000000000005</v>
      </c>
      <c r="M829" s="2">
        <f>PARAM!$I$38</f>
        <v>0</v>
      </c>
      <c r="N829" s="11">
        <f>VLOOKUP(B829,DEDN!$A$8:$O$90,$N$2)*M829</f>
        <v>0</v>
      </c>
      <c r="O829" s="12"/>
      <c r="P829" s="10">
        <f>PARAM!$C$53^-A829</f>
        <v>1</v>
      </c>
      <c r="Q829" s="10">
        <f t="shared" si="244"/>
        <v>1.4653017185060608E-2</v>
      </c>
      <c r="R829" s="10">
        <f t="shared" si="241"/>
        <v>1.4653017185060608E-2</v>
      </c>
      <c r="S829" s="10">
        <f>CHOOSE(PARAM!$B$51,R829,0,0,0)*(A829&lt;PARAM!$B$55)</f>
        <v>0</v>
      </c>
      <c r="T829" s="10">
        <f t="shared" si="229"/>
        <v>4.0298820626421226E-4</v>
      </c>
      <c r="U829" s="10">
        <f>T829*P829*(A829&lt;PARAM!$B$55)</f>
        <v>0</v>
      </c>
      <c r="W829">
        <v>826</v>
      </c>
      <c r="X829" s="178">
        <f t="shared" si="245"/>
        <v>100</v>
      </c>
      <c r="Y829" s="178">
        <f t="shared" si="245"/>
        <v>100</v>
      </c>
      <c r="Z829" s="178">
        <f t="shared" si="245"/>
        <v>69</v>
      </c>
      <c r="AA829" s="178">
        <f t="shared" si="245"/>
        <v>69</v>
      </c>
      <c r="AD829" s="17">
        <f>CALC!E853*(A829&lt;PARAM!$B$55)</f>
        <v>0</v>
      </c>
      <c r="AE829">
        <f>IF(A829&lt;ITER!$C$16,1,PARAM!$C$53^-(RATES!A829-ITER!$C$16))*(A829&lt;PARAM!$B$55)</f>
        <v>0</v>
      </c>
    </row>
    <row r="830" spans="1:31" x14ac:dyDescent="0.2">
      <c r="A830" s="9">
        <v>827</v>
      </c>
      <c r="B830" s="178">
        <f t="shared" si="242"/>
        <v>100</v>
      </c>
      <c r="C830" s="178">
        <f t="shared" si="242"/>
        <v>100</v>
      </c>
      <c r="D830" s="2">
        <f>PARAM!$H$38</f>
        <v>1</v>
      </c>
      <c r="E830" s="11">
        <f>PARAM!$G$38</f>
        <v>0</v>
      </c>
      <c r="F830" s="11">
        <f>(VLOOKUP(C830,DEDN!$A$8:$O$902,$F$2)*D830+E830)/1000</f>
        <v>0.28441000000000005</v>
      </c>
      <c r="G830" s="178">
        <f t="shared" si="243"/>
        <v>69</v>
      </c>
      <c r="H830" s="178">
        <f t="shared" si="243"/>
        <v>69</v>
      </c>
      <c r="I830" s="2">
        <f>PARAM!$H$39</f>
        <v>0</v>
      </c>
      <c r="J830" s="11">
        <f>PARAM!$G$39</f>
        <v>0</v>
      </c>
      <c r="K830" s="11">
        <f>(VLOOKUP(H830,DEDN!$A$8:$O$902,$K$2)*I830+J830)/1000</f>
        <v>0</v>
      </c>
      <c r="L830" s="11">
        <f>MIN(IF(PARAM!$B$43=3,CHOOSE($L$2,F830,K830),F830+K830-F830*K830),1)</f>
        <v>0.28441000000000005</v>
      </c>
      <c r="M830" s="2">
        <f>PARAM!$I$38</f>
        <v>0</v>
      </c>
      <c r="N830" s="11">
        <f>VLOOKUP(B830,DEDN!$A$8:$O$90,$N$2)*M830</f>
        <v>0</v>
      </c>
      <c r="O830" s="12"/>
      <c r="P830" s="10">
        <f>PARAM!$C$53^-A830</f>
        <v>1</v>
      </c>
      <c r="Q830" s="10">
        <f t="shared" si="244"/>
        <v>1.4250028978796396E-2</v>
      </c>
      <c r="R830" s="10">
        <f t="shared" si="241"/>
        <v>1.4250028978796396E-2</v>
      </c>
      <c r="S830" s="10">
        <f>CHOOSE(PARAM!$B$51,R830,0,0,0)*(A830&lt;PARAM!$B$55)</f>
        <v>0</v>
      </c>
      <c r="T830" s="10">
        <f t="shared" si="229"/>
        <v>3.9190519910350073E-4</v>
      </c>
      <c r="U830" s="10">
        <f>T830*P830*(A830&lt;PARAM!$B$55)</f>
        <v>0</v>
      </c>
      <c r="W830">
        <v>827</v>
      </c>
      <c r="X830" s="178">
        <f t="shared" si="245"/>
        <v>100</v>
      </c>
      <c r="Y830" s="178">
        <f t="shared" si="245"/>
        <v>100</v>
      </c>
      <c r="Z830" s="178">
        <f t="shared" si="245"/>
        <v>69</v>
      </c>
      <c r="AA830" s="178">
        <f t="shared" si="245"/>
        <v>69</v>
      </c>
      <c r="AD830" s="17">
        <f>CALC!E854*(A830&lt;PARAM!$B$55)</f>
        <v>0</v>
      </c>
      <c r="AE830">
        <f>IF(A830&lt;ITER!$C$16,1,PARAM!$C$53^-(RATES!A830-ITER!$C$16))*(A830&lt;PARAM!$B$55)</f>
        <v>0</v>
      </c>
    </row>
    <row r="831" spans="1:31" x14ac:dyDescent="0.2">
      <c r="A831" s="9">
        <v>828</v>
      </c>
      <c r="B831" s="178">
        <f t="shared" si="242"/>
        <v>100</v>
      </c>
      <c r="C831" s="178">
        <f t="shared" si="242"/>
        <v>100</v>
      </c>
      <c r="D831" s="2">
        <f>PARAM!$H$38</f>
        <v>1</v>
      </c>
      <c r="E831" s="11">
        <f>PARAM!$G$38</f>
        <v>0</v>
      </c>
      <c r="F831" s="11">
        <f>(VLOOKUP(C831,DEDN!$A$8:$O$902,$F$2)*D831+E831)/1000</f>
        <v>0.28441000000000005</v>
      </c>
      <c r="G831" s="178">
        <f t="shared" si="243"/>
        <v>69</v>
      </c>
      <c r="H831" s="178">
        <f t="shared" si="243"/>
        <v>69</v>
      </c>
      <c r="I831" s="2">
        <f>PARAM!$H$39</f>
        <v>0</v>
      </c>
      <c r="J831" s="11">
        <f>PARAM!$G$39</f>
        <v>0</v>
      </c>
      <c r="K831" s="11">
        <f>(VLOOKUP(H831,DEDN!$A$8:$O$902,$K$2)*I831+J831)/1000</f>
        <v>0</v>
      </c>
      <c r="L831" s="11">
        <f>MIN(IF(PARAM!$B$43=3,CHOOSE($L$2,F831,K831),F831+K831-F831*K831),1)</f>
        <v>0.28441000000000005</v>
      </c>
      <c r="M831" s="2">
        <f>PARAM!$I$38</f>
        <v>0</v>
      </c>
      <c r="N831" s="11">
        <f>VLOOKUP(B831,DEDN!$A$8:$O$90,$N$2)*M831</f>
        <v>0</v>
      </c>
      <c r="O831" s="12"/>
      <c r="P831" s="10">
        <f>PARAM!$C$53^-A831</f>
        <v>1</v>
      </c>
      <c r="Q831" s="10">
        <f t="shared" si="244"/>
        <v>1.3858123779692895E-2</v>
      </c>
      <c r="R831" s="10">
        <f t="shared" si="241"/>
        <v>1.3858123779692895E-2</v>
      </c>
      <c r="S831" s="10">
        <f>R831*(A831&lt;PARAM!$B$55)</f>
        <v>0</v>
      </c>
      <c r="T831" s="10">
        <f t="shared" si="229"/>
        <v>3.8112699750735696E-4</v>
      </c>
      <c r="U831" s="10">
        <f>T831*P831*(A831&lt;PARAM!$B$55)</f>
        <v>0</v>
      </c>
      <c r="W831">
        <v>828</v>
      </c>
      <c r="X831" s="178">
        <f t="shared" si="245"/>
        <v>100</v>
      </c>
      <c r="Y831" s="178">
        <f t="shared" si="245"/>
        <v>100</v>
      </c>
      <c r="Z831" s="178">
        <f t="shared" si="245"/>
        <v>69</v>
      </c>
      <c r="AA831" s="178">
        <f t="shared" si="245"/>
        <v>69</v>
      </c>
      <c r="AD831" s="17">
        <f>CALC!E855*(A831&lt;PARAM!$B$55)</f>
        <v>0</v>
      </c>
      <c r="AE831">
        <f>IF(A831&lt;ITER!$C$16,1,PARAM!$C$53^-(RATES!A831-ITER!$C$16))*(A831&lt;PARAM!$B$55)</f>
        <v>0</v>
      </c>
    </row>
    <row r="832" spans="1:31" x14ac:dyDescent="0.2">
      <c r="A832" s="9">
        <v>829</v>
      </c>
      <c r="B832" s="178">
        <f t="shared" si="242"/>
        <v>100</v>
      </c>
      <c r="C832" s="178">
        <f t="shared" si="242"/>
        <v>100</v>
      </c>
      <c r="D832" s="2">
        <f>PARAM!$H$38</f>
        <v>1</v>
      </c>
      <c r="E832" s="11">
        <f>PARAM!$G$38</f>
        <v>0</v>
      </c>
      <c r="F832" s="11">
        <f>(VLOOKUP(C832,DEDN!$A$8:$O$902,$F$2)*D832+E832)/1000</f>
        <v>0.28441000000000005</v>
      </c>
      <c r="G832" s="178">
        <f t="shared" si="243"/>
        <v>69</v>
      </c>
      <c r="H832" s="178">
        <f t="shared" si="243"/>
        <v>69</v>
      </c>
      <c r="I832" s="2">
        <f>PARAM!$H$39</f>
        <v>0</v>
      </c>
      <c r="J832" s="11">
        <f>PARAM!$G$39</f>
        <v>0</v>
      </c>
      <c r="K832" s="11">
        <f>(VLOOKUP(H832,DEDN!$A$8:$O$902,$K$2)*I832+J832)/1000</f>
        <v>0</v>
      </c>
      <c r="L832" s="11">
        <f>MIN(IF(PARAM!$B$43=3,CHOOSE($L$2,F832,K832),F832+K832-F832*K832),1)</f>
        <v>0.28441000000000005</v>
      </c>
      <c r="M832" s="2">
        <f>PARAM!$I$38</f>
        <v>0</v>
      </c>
      <c r="N832" s="11">
        <f>VLOOKUP(B832,DEDN!$A$8:$O$90,$N$2)*M832</f>
        <v>0</v>
      </c>
      <c r="O832" s="12"/>
      <c r="P832" s="10">
        <f>PARAM!$C$53^-A832</f>
        <v>1</v>
      </c>
      <c r="Q832" s="10">
        <f t="shared" si="244"/>
        <v>1.3476996782185538E-2</v>
      </c>
      <c r="R832" s="10">
        <f t="shared" si="241"/>
        <v>1.3476996782185538E-2</v>
      </c>
      <c r="S832" s="10">
        <f>CHOOSE(PARAM!$B$51,R832,0,0,0)*(A832&lt;PARAM!$B$55)</f>
        <v>0</v>
      </c>
      <c r="T832" s="10">
        <f t="shared" si="229"/>
        <v>3.706452186938488E-4</v>
      </c>
      <c r="U832" s="10">
        <f>T832*P832*(A832&lt;PARAM!$B$55)</f>
        <v>0</v>
      </c>
      <c r="W832">
        <v>829</v>
      </c>
      <c r="X832" s="178">
        <f t="shared" si="245"/>
        <v>100</v>
      </c>
      <c r="Y832" s="178">
        <f t="shared" si="245"/>
        <v>100</v>
      </c>
      <c r="Z832" s="178">
        <f t="shared" si="245"/>
        <v>69</v>
      </c>
      <c r="AA832" s="178">
        <f t="shared" si="245"/>
        <v>69</v>
      </c>
      <c r="AD832" s="17">
        <f>CALC!E856*(A832&lt;PARAM!$B$55)</f>
        <v>0</v>
      </c>
      <c r="AE832">
        <f>IF(A832&lt;ITER!$C$16,1,PARAM!$C$53^-(RATES!A832-ITER!$C$16))*(A832&lt;PARAM!$B$55)</f>
        <v>0</v>
      </c>
    </row>
    <row r="833" spans="1:31" x14ac:dyDescent="0.2">
      <c r="A833" s="9">
        <v>830</v>
      </c>
      <c r="B833" s="178">
        <f t="shared" si="242"/>
        <v>100</v>
      </c>
      <c r="C833" s="178">
        <f t="shared" si="242"/>
        <v>100</v>
      </c>
      <c r="D833" s="2">
        <f>PARAM!$H$38</f>
        <v>1</v>
      </c>
      <c r="E833" s="11">
        <f>PARAM!$G$38</f>
        <v>0</v>
      </c>
      <c r="F833" s="11">
        <f>(VLOOKUP(C833,DEDN!$A$8:$O$902,$F$2)*D833+E833)/1000</f>
        <v>0.28441000000000005</v>
      </c>
      <c r="G833" s="178">
        <f t="shared" si="243"/>
        <v>69</v>
      </c>
      <c r="H833" s="178">
        <f t="shared" si="243"/>
        <v>69</v>
      </c>
      <c r="I833" s="2">
        <f>PARAM!$H$39</f>
        <v>0</v>
      </c>
      <c r="J833" s="11">
        <f>PARAM!$G$39</f>
        <v>0</v>
      </c>
      <c r="K833" s="11">
        <f>(VLOOKUP(H833,DEDN!$A$8:$O$902,$K$2)*I833+J833)/1000</f>
        <v>0</v>
      </c>
      <c r="L833" s="11">
        <f>MIN(IF(PARAM!$B$43=3,CHOOSE($L$2,F833,K833),F833+K833-F833*K833),1)</f>
        <v>0.28441000000000005</v>
      </c>
      <c r="M833" s="2">
        <f>PARAM!$I$38</f>
        <v>0</v>
      </c>
      <c r="N833" s="11">
        <f>VLOOKUP(B833,DEDN!$A$8:$O$90,$N$2)*M833</f>
        <v>0</v>
      </c>
      <c r="O833" s="12"/>
      <c r="P833" s="10">
        <f>PARAM!$C$53^-A833</f>
        <v>1</v>
      </c>
      <c r="Q833" s="10">
        <f t="shared" si="244"/>
        <v>1.310635156349169E-2</v>
      </c>
      <c r="R833" s="10">
        <f t="shared" si="241"/>
        <v>1.310635156349169E-2</v>
      </c>
      <c r="S833" s="10">
        <f>CHOOSE(PARAM!$B$51,R833,0,0,0)*(A833&lt;PARAM!$B$55)</f>
        <v>0</v>
      </c>
      <c r="T833" s="10">
        <f t="shared" si="229"/>
        <v>3.6045171042483996E-4</v>
      </c>
      <c r="U833" s="10">
        <f>T833*P833*(A833&lt;PARAM!$B$55)</f>
        <v>0</v>
      </c>
      <c r="W833">
        <v>830</v>
      </c>
      <c r="X833" s="178">
        <f t="shared" si="245"/>
        <v>100</v>
      </c>
      <c r="Y833" s="178">
        <f t="shared" si="245"/>
        <v>100</v>
      </c>
      <c r="Z833" s="178">
        <f t="shared" si="245"/>
        <v>69</v>
      </c>
      <c r="AA833" s="178">
        <f t="shared" si="245"/>
        <v>69</v>
      </c>
      <c r="AD833" s="17">
        <f>CALC!E857*(A833&lt;PARAM!$B$55)</f>
        <v>0</v>
      </c>
      <c r="AE833">
        <f>IF(A833&lt;ITER!$C$16,1,PARAM!$C$53^-(RATES!A833-ITER!$C$16))*(A833&lt;PARAM!$B$55)</f>
        <v>0</v>
      </c>
    </row>
    <row r="834" spans="1:31" x14ac:dyDescent="0.2">
      <c r="A834" s="9">
        <v>831</v>
      </c>
      <c r="B834" s="178">
        <f t="shared" si="242"/>
        <v>100</v>
      </c>
      <c r="C834" s="178">
        <f t="shared" si="242"/>
        <v>100</v>
      </c>
      <c r="D834" s="2">
        <f>PARAM!$H$38</f>
        <v>1</v>
      </c>
      <c r="E834" s="11">
        <f>PARAM!$G$38</f>
        <v>0</v>
      </c>
      <c r="F834" s="11">
        <f>(VLOOKUP(C834,DEDN!$A$8:$O$902,$F$2)*D834+E834)/1000</f>
        <v>0.28441000000000005</v>
      </c>
      <c r="G834" s="178">
        <f t="shared" si="243"/>
        <v>69</v>
      </c>
      <c r="H834" s="178">
        <f t="shared" si="243"/>
        <v>69</v>
      </c>
      <c r="I834" s="2">
        <f>PARAM!$H$39</f>
        <v>0</v>
      </c>
      <c r="J834" s="11">
        <f>PARAM!$G$39</f>
        <v>0</v>
      </c>
      <c r="K834" s="11">
        <f>(VLOOKUP(H834,DEDN!$A$8:$O$902,$K$2)*I834+J834)/1000</f>
        <v>0</v>
      </c>
      <c r="L834" s="11">
        <f>MIN(IF(PARAM!$B$43=3,CHOOSE($L$2,F834,K834),F834+K834-F834*K834),1)</f>
        <v>0.28441000000000005</v>
      </c>
      <c r="M834" s="2">
        <f>PARAM!$I$38</f>
        <v>0</v>
      </c>
      <c r="N834" s="11">
        <f>VLOOKUP(B834,DEDN!$A$8:$O$90,$N$2)*M834</f>
        <v>0</v>
      </c>
      <c r="O834" s="12"/>
      <c r="P834" s="10">
        <f>PARAM!$C$53^-A834</f>
        <v>1</v>
      </c>
      <c r="Q834" s="10">
        <f t="shared" si="244"/>
        <v>1.274589985306685E-2</v>
      </c>
      <c r="R834" s="10">
        <f t="shared" si="241"/>
        <v>1.274589985306685E-2</v>
      </c>
      <c r="S834" s="10">
        <f>CHOOSE(PARAM!$B$51,R834,R834,0,0)*(A834&lt;PARAM!$B$55)</f>
        <v>0</v>
      </c>
      <c r="T834" s="10">
        <f t="shared" si="229"/>
        <v>3.5053854466556705E-4</v>
      </c>
      <c r="U834" s="10">
        <f>T834*P834*(A834&lt;PARAM!$B$55)</f>
        <v>0</v>
      </c>
      <c r="W834">
        <v>831</v>
      </c>
      <c r="X834" s="178">
        <f t="shared" si="245"/>
        <v>100</v>
      </c>
      <c r="Y834" s="178">
        <f t="shared" si="245"/>
        <v>100</v>
      </c>
      <c r="Z834" s="178">
        <f t="shared" si="245"/>
        <v>69</v>
      </c>
      <c r="AA834" s="178">
        <f t="shared" si="245"/>
        <v>69</v>
      </c>
      <c r="AD834" s="17">
        <f>CALC!E858*(A834&lt;PARAM!$B$55)</f>
        <v>0</v>
      </c>
      <c r="AE834">
        <f>IF(A834&lt;ITER!$C$16,1,PARAM!$C$53^-(RATES!A834-ITER!$C$16))*(A834&lt;PARAM!$B$55)</f>
        <v>0</v>
      </c>
    </row>
    <row r="835" spans="1:31" x14ac:dyDescent="0.2">
      <c r="A835" s="9">
        <v>832</v>
      </c>
      <c r="B835" s="178">
        <f t="shared" si="242"/>
        <v>100</v>
      </c>
      <c r="C835" s="178">
        <f t="shared" si="242"/>
        <v>100</v>
      </c>
      <c r="D835" s="2">
        <f>PARAM!$H$38</f>
        <v>1</v>
      </c>
      <c r="E835" s="11">
        <f>PARAM!$G$38</f>
        <v>0</v>
      </c>
      <c r="F835" s="11">
        <f>(VLOOKUP(C835,DEDN!$A$8:$O$902,$F$2)*D835+E835)/1000</f>
        <v>0.28441000000000005</v>
      </c>
      <c r="G835" s="178">
        <f t="shared" si="243"/>
        <v>69</v>
      </c>
      <c r="H835" s="178">
        <f t="shared" si="243"/>
        <v>69</v>
      </c>
      <c r="I835" s="2">
        <f>PARAM!$H$39</f>
        <v>0</v>
      </c>
      <c r="J835" s="11">
        <f>PARAM!$G$39</f>
        <v>0</v>
      </c>
      <c r="K835" s="11">
        <f>(VLOOKUP(H835,DEDN!$A$8:$O$902,$K$2)*I835+J835)/1000</f>
        <v>0</v>
      </c>
      <c r="L835" s="11">
        <f>MIN(IF(PARAM!$B$43=3,CHOOSE($L$2,F835,K835),F835+K835-F835*K835),1)</f>
        <v>0.28441000000000005</v>
      </c>
      <c r="M835" s="2">
        <f>PARAM!$I$38</f>
        <v>0</v>
      </c>
      <c r="N835" s="11">
        <f>VLOOKUP(B835,DEDN!$A$8:$O$90,$N$2)*M835</f>
        <v>0</v>
      </c>
      <c r="O835" s="12"/>
      <c r="P835" s="10">
        <f>PARAM!$C$53^-A835</f>
        <v>1</v>
      </c>
      <c r="Q835" s="10">
        <f t="shared" si="244"/>
        <v>1.2395361308401283E-2</v>
      </c>
      <c r="R835" s="10">
        <f t="shared" si="241"/>
        <v>1.2395361308401283E-2</v>
      </c>
      <c r="S835" s="10">
        <f>CHOOSE(PARAM!$B$51,R835,0,0,0)*(A835&lt;PARAM!$B$55)</f>
        <v>0</v>
      </c>
      <c r="T835" s="10">
        <f t="shared" si="229"/>
        <v>3.4089801141858056E-4</v>
      </c>
      <c r="U835" s="10">
        <f>T835*P835*(A835&lt;PARAM!$B$55)</f>
        <v>0</v>
      </c>
      <c r="W835">
        <v>832</v>
      </c>
      <c r="X835" s="178">
        <f t="shared" si="245"/>
        <v>100</v>
      </c>
      <c r="Y835" s="178">
        <f t="shared" si="245"/>
        <v>100</v>
      </c>
      <c r="Z835" s="178">
        <f t="shared" si="245"/>
        <v>69</v>
      </c>
      <c r="AA835" s="178">
        <f t="shared" si="245"/>
        <v>69</v>
      </c>
      <c r="AD835" s="17">
        <f>CALC!E859*(A835&lt;PARAM!$B$55)</f>
        <v>0</v>
      </c>
      <c r="AE835">
        <f>IF(A835&lt;ITER!$C$16,1,PARAM!$C$53^-(RATES!A835-ITER!$C$16))*(A835&lt;PARAM!$B$55)</f>
        <v>0</v>
      </c>
    </row>
    <row r="836" spans="1:31" x14ac:dyDescent="0.2">
      <c r="A836" s="9">
        <v>833</v>
      </c>
      <c r="B836" s="178">
        <f t="shared" si="242"/>
        <v>100</v>
      </c>
      <c r="C836" s="178">
        <f t="shared" si="242"/>
        <v>100</v>
      </c>
      <c r="D836" s="2">
        <f>PARAM!$H$38</f>
        <v>1</v>
      </c>
      <c r="E836" s="11">
        <f>PARAM!$G$38</f>
        <v>0</v>
      </c>
      <c r="F836" s="11">
        <f>(VLOOKUP(C836,DEDN!$A$8:$O$902,$F$2)*D836+E836)/1000</f>
        <v>0.28441000000000005</v>
      </c>
      <c r="G836" s="178">
        <f t="shared" si="243"/>
        <v>69</v>
      </c>
      <c r="H836" s="178">
        <f t="shared" si="243"/>
        <v>69</v>
      </c>
      <c r="I836" s="2">
        <f>PARAM!$H$39</f>
        <v>0</v>
      </c>
      <c r="J836" s="11">
        <f>PARAM!$G$39</f>
        <v>0</v>
      </c>
      <c r="K836" s="11">
        <f>(VLOOKUP(H836,DEDN!$A$8:$O$902,$K$2)*I836+J836)/1000</f>
        <v>0</v>
      </c>
      <c r="L836" s="11">
        <f>MIN(IF(PARAM!$B$43=3,CHOOSE($L$2,F836,K836),F836+K836-F836*K836),1)</f>
        <v>0.28441000000000005</v>
      </c>
      <c r="M836" s="2">
        <f>PARAM!$I$38</f>
        <v>0</v>
      </c>
      <c r="N836" s="11">
        <f>VLOOKUP(B836,DEDN!$A$8:$O$90,$N$2)*M836</f>
        <v>0</v>
      </c>
      <c r="O836" s="12"/>
      <c r="P836" s="10">
        <f>PARAM!$C$53^-A836</f>
        <v>1</v>
      </c>
      <c r="Q836" s="10">
        <f t="shared" si="244"/>
        <v>1.2054463296982702E-2</v>
      </c>
      <c r="R836" s="10">
        <f t="shared" ref="R836:R851" si="246">P836*Q836</f>
        <v>1.2054463296982702E-2</v>
      </c>
      <c r="S836" s="10">
        <f>CHOOSE(PARAM!$B$51,R836,0,0,0)*(A836&lt;PARAM!$B$55)</f>
        <v>0</v>
      </c>
      <c r="T836" s="10">
        <f t="shared" ref="T836:T899" si="247">Q836-Q837</f>
        <v>3.3152261272726725E-4</v>
      </c>
      <c r="U836" s="10">
        <f>T836*P836*(A836&lt;PARAM!$B$55)</f>
        <v>0</v>
      </c>
      <c r="W836">
        <v>833</v>
      </c>
      <c r="X836" s="178">
        <f t="shared" si="245"/>
        <v>100</v>
      </c>
      <c r="Y836" s="178">
        <f t="shared" si="245"/>
        <v>100</v>
      </c>
      <c r="Z836" s="178">
        <f t="shared" si="245"/>
        <v>69</v>
      </c>
      <c r="AA836" s="178">
        <f t="shared" si="245"/>
        <v>69</v>
      </c>
      <c r="AD836" s="17">
        <f>CALC!E860*(A836&lt;PARAM!$B$55)</f>
        <v>0</v>
      </c>
      <c r="AE836">
        <f>IF(A836&lt;ITER!$C$16,1,PARAM!$C$53^-(RATES!A836-ITER!$C$16))*(A836&lt;PARAM!$B$55)</f>
        <v>0</v>
      </c>
    </row>
    <row r="837" spans="1:31" x14ac:dyDescent="0.2">
      <c r="A837" s="9">
        <v>834</v>
      </c>
      <c r="B837" s="178">
        <f t="shared" si="242"/>
        <v>101</v>
      </c>
      <c r="C837" s="178">
        <f t="shared" si="242"/>
        <v>101</v>
      </c>
      <c r="D837" s="2">
        <f>PARAM!$H$38</f>
        <v>1</v>
      </c>
      <c r="E837" s="11">
        <f>PARAM!$G$38</f>
        <v>0</v>
      </c>
      <c r="F837" s="11">
        <f>(VLOOKUP(C837,DEDN!$A$8:$O$902,$F$2)*D837+E837)/1000</f>
        <v>0.28441000000000005</v>
      </c>
      <c r="G837" s="178">
        <f t="shared" si="243"/>
        <v>70</v>
      </c>
      <c r="H837" s="178">
        <f t="shared" si="243"/>
        <v>70</v>
      </c>
      <c r="I837" s="2">
        <f>PARAM!$H$39</f>
        <v>0</v>
      </c>
      <c r="J837" s="11">
        <f>PARAM!$G$39</f>
        <v>0</v>
      </c>
      <c r="K837" s="11">
        <f>(VLOOKUP(H837,DEDN!$A$8:$O$902,$K$2)*I837+J837)/1000</f>
        <v>0</v>
      </c>
      <c r="L837" s="11">
        <f>MIN(IF(PARAM!$B$43=3,CHOOSE($L$2,F837,K837),F837+K837-F837*K837),1)</f>
        <v>0.28441000000000005</v>
      </c>
      <c r="M837" s="2">
        <f>PARAM!$I$38</f>
        <v>0</v>
      </c>
      <c r="N837" s="11">
        <f>VLOOKUP(B837,DEDN!$A$8:$O$90,$N$2)*M837</f>
        <v>0</v>
      </c>
      <c r="O837" s="12"/>
      <c r="P837" s="10">
        <f>PARAM!$C$53^-A837</f>
        <v>1</v>
      </c>
      <c r="Q837" s="10">
        <f t="shared" ref="Q837:Q852" si="248">Q836*(1-L836)^(1/12)</f>
        <v>1.1722940684255435E-2</v>
      </c>
      <c r="R837" s="10">
        <f t="shared" si="246"/>
        <v>1.1722940684255435E-2</v>
      </c>
      <c r="S837" s="10">
        <f>CHOOSE(PARAM!$B$51,R837,R837,R837,0)*(A837&lt;PARAM!$B$55)</f>
        <v>0</v>
      </c>
      <c r="T837" s="10">
        <f t="shared" si="247"/>
        <v>3.2240505684429273E-4</v>
      </c>
      <c r="U837" s="10">
        <f>T837*P837*(A837&lt;PARAM!$B$55)</f>
        <v>0</v>
      </c>
      <c r="W837">
        <v>834</v>
      </c>
      <c r="X837" s="178">
        <f t="shared" si="245"/>
        <v>101</v>
      </c>
      <c r="Y837" s="178">
        <f t="shared" si="245"/>
        <v>101</v>
      </c>
      <c r="Z837" s="178">
        <f t="shared" si="245"/>
        <v>70</v>
      </c>
      <c r="AA837" s="178">
        <f t="shared" si="245"/>
        <v>70</v>
      </c>
      <c r="AD837" s="17">
        <f>CALC!E861*(A837&lt;PARAM!$B$55)</f>
        <v>0</v>
      </c>
      <c r="AE837">
        <f>IF(A837&lt;ITER!$C$16,1,PARAM!$C$53^-(RATES!A837-ITER!$C$16))*(A837&lt;PARAM!$B$55)</f>
        <v>0</v>
      </c>
    </row>
    <row r="838" spans="1:31" x14ac:dyDescent="0.2">
      <c r="A838" s="9">
        <v>835</v>
      </c>
      <c r="B838" s="178">
        <f t="shared" si="242"/>
        <v>101</v>
      </c>
      <c r="C838" s="178">
        <f t="shared" si="242"/>
        <v>101</v>
      </c>
      <c r="D838" s="2">
        <f>PARAM!$H$38</f>
        <v>1</v>
      </c>
      <c r="E838" s="11">
        <f>PARAM!$G$38</f>
        <v>0</v>
      </c>
      <c r="F838" s="11">
        <f>(VLOOKUP(C838,DEDN!$A$8:$O$902,$F$2)*D838+E838)/1000</f>
        <v>0.28441000000000005</v>
      </c>
      <c r="G838" s="178">
        <f t="shared" si="243"/>
        <v>70</v>
      </c>
      <c r="H838" s="178">
        <f t="shared" si="243"/>
        <v>70</v>
      </c>
      <c r="I838" s="2">
        <f>PARAM!$H$39</f>
        <v>0</v>
      </c>
      <c r="J838" s="11">
        <f>PARAM!$G$39</f>
        <v>0</v>
      </c>
      <c r="K838" s="11">
        <f>(VLOOKUP(H838,DEDN!$A$8:$O$902,$K$2)*I838+J838)/1000</f>
        <v>0</v>
      </c>
      <c r="L838" s="11">
        <f>MIN(IF(PARAM!$B$43=3,CHOOSE($L$2,F838,K838),F838+K838-F838*K838),1)</f>
        <v>0.28441000000000005</v>
      </c>
      <c r="M838" s="2">
        <f>PARAM!$I$38</f>
        <v>0</v>
      </c>
      <c r="N838" s="11">
        <f>VLOOKUP(B838,DEDN!$A$8:$O$90,$N$2)*M838</f>
        <v>0</v>
      </c>
      <c r="O838" s="12"/>
      <c r="P838" s="10">
        <f>PARAM!$C$53^-A838</f>
        <v>1</v>
      </c>
      <c r="Q838" s="10">
        <f t="shared" si="248"/>
        <v>1.1400535627411142E-2</v>
      </c>
      <c r="R838" s="10">
        <f t="shared" si="246"/>
        <v>1.1400535627411142E-2</v>
      </c>
      <c r="S838" s="10">
        <f>CHOOSE(PARAM!$B$51,R838,0,0,0)*(A838&lt;PARAM!$B$55)</f>
        <v>0</v>
      </c>
      <c r="T838" s="10">
        <f t="shared" si="247"/>
        <v>3.1353825256041738E-4</v>
      </c>
      <c r="U838" s="10">
        <f>T838*P838*(A838&lt;PARAM!$B$55)</f>
        <v>0</v>
      </c>
      <c r="W838">
        <v>835</v>
      </c>
      <c r="X838" s="178">
        <f t="shared" si="245"/>
        <v>101</v>
      </c>
      <c r="Y838" s="178">
        <f t="shared" si="245"/>
        <v>101</v>
      </c>
      <c r="Z838" s="178">
        <f t="shared" si="245"/>
        <v>70</v>
      </c>
      <c r="AA838" s="178">
        <f t="shared" si="245"/>
        <v>70</v>
      </c>
      <c r="AD838" s="17">
        <f>CALC!E862*(A838&lt;PARAM!$B$55)</f>
        <v>0</v>
      </c>
      <c r="AE838">
        <f>IF(A838&lt;ITER!$C$16,1,PARAM!$C$53^-(RATES!A838-ITER!$C$16))*(A838&lt;PARAM!$B$55)</f>
        <v>0</v>
      </c>
    </row>
    <row r="839" spans="1:31" x14ac:dyDescent="0.2">
      <c r="A839" s="9">
        <v>836</v>
      </c>
      <c r="B839" s="178">
        <f t="shared" si="242"/>
        <v>101</v>
      </c>
      <c r="C839" s="178">
        <f t="shared" si="242"/>
        <v>101</v>
      </c>
      <c r="D839" s="2">
        <f>PARAM!$H$38</f>
        <v>1</v>
      </c>
      <c r="E839" s="11">
        <f>PARAM!$G$38</f>
        <v>0</v>
      </c>
      <c r="F839" s="11">
        <f>(VLOOKUP(C839,DEDN!$A$8:$O$902,$F$2)*D839+E839)/1000</f>
        <v>0.28441000000000005</v>
      </c>
      <c r="G839" s="178">
        <f t="shared" si="243"/>
        <v>70</v>
      </c>
      <c r="H839" s="178">
        <f t="shared" si="243"/>
        <v>70</v>
      </c>
      <c r="I839" s="2">
        <f>PARAM!$H$39</f>
        <v>0</v>
      </c>
      <c r="J839" s="11">
        <f>PARAM!$G$39</f>
        <v>0</v>
      </c>
      <c r="K839" s="11">
        <f>(VLOOKUP(H839,DEDN!$A$8:$O$902,$K$2)*I839+J839)/1000</f>
        <v>0</v>
      </c>
      <c r="L839" s="11">
        <f>MIN(IF(PARAM!$B$43=3,CHOOSE($L$2,F839,K839),F839+K839-F839*K839),1)</f>
        <v>0.28441000000000005</v>
      </c>
      <c r="M839" s="2">
        <f>PARAM!$I$38</f>
        <v>0</v>
      </c>
      <c r="N839" s="11">
        <f>VLOOKUP(B839,DEDN!$A$8:$O$90,$N$2)*M839</f>
        <v>0</v>
      </c>
      <c r="O839" s="12"/>
      <c r="P839" s="10">
        <f>PARAM!$C$53^-A839</f>
        <v>1</v>
      </c>
      <c r="Q839" s="10">
        <f t="shared" si="248"/>
        <v>1.1086997374850725E-2</v>
      </c>
      <c r="R839" s="10">
        <f t="shared" si="246"/>
        <v>1.1086997374850725E-2</v>
      </c>
      <c r="S839" s="10">
        <f>CHOOSE(PARAM!$B$51,R839,0,0,0)*(A839&lt;PARAM!$B$55)</f>
        <v>0</v>
      </c>
      <c r="T839" s="10">
        <f t="shared" si="247"/>
        <v>3.0491530368928835E-4</v>
      </c>
      <c r="U839" s="10">
        <f>T839*P839*(A839&lt;PARAM!$B$55)</f>
        <v>0</v>
      </c>
      <c r="W839">
        <v>836</v>
      </c>
      <c r="X839" s="178">
        <f t="shared" si="245"/>
        <v>101</v>
      </c>
      <c r="Y839" s="178">
        <f t="shared" si="245"/>
        <v>101</v>
      </c>
      <c r="Z839" s="178">
        <f t="shared" si="245"/>
        <v>70</v>
      </c>
      <c r="AA839" s="178">
        <f t="shared" si="245"/>
        <v>70</v>
      </c>
      <c r="AD839" s="17">
        <f>CALC!E863*(A839&lt;PARAM!$B$55)</f>
        <v>0</v>
      </c>
      <c r="AE839">
        <f>IF(A839&lt;ITER!$C$16,1,PARAM!$C$53^-(RATES!A839-ITER!$C$16))*(A839&lt;PARAM!$B$55)</f>
        <v>0</v>
      </c>
    </row>
    <row r="840" spans="1:31" x14ac:dyDescent="0.2">
      <c r="A840" s="9">
        <v>837</v>
      </c>
      <c r="B840" s="178">
        <f t="shared" si="242"/>
        <v>101</v>
      </c>
      <c r="C840" s="178">
        <f t="shared" si="242"/>
        <v>101</v>
      </c>
      <c r="D840" s="2">
        <f>PARAM!$H$38</f>
        <v>1</v>
      </c>
      <c r="E840" s="11">
        <f>PARAM!$G$38</f>
        <v>0</v>
      </c>
      <c r="F840" s="11">
        <f>(VLOOKUP(C840,DEDN!$A$8:$O$902,$F$2)*D840+E840)/1000</f>
        <v>0.28441000000000005</v>
      </c>
      <c r="G840" s="178">
        <f t="shared" si="243"/>
        <v>70</v>
      </c>
      <c r="H840" s="178">
        <f t="shared" si="243"/>
        <v>70</v>
      </c>
      <c r="I840" s="2">
        <f>PARAM!$H$39</f>
        <v>0</v>
      </c>
      <c r="J840" s="11">
        <f>PARAM!$G$39</f>
        <v>0</v>
      </c>
      <c r="K840" s="11">
        <f>(VLOOKUP(H840,DEDN!$A$8:$O$902,$K$2)*I840+J840)/1000</f>
        <v>0</v>
      </c>
      <c r="L840" s="11">
        <f>MIN(IF(PARAM!$B$43=3,CHOOSE($L$2,F840,K840),F840+K840-F840*K840),1)</f>
        <v>0.28441000000000005</v>
      </c>
      <c r="M840" s="2">
        <f>PARAM!$I$38</f>
        <v>0</v>
      </c>
      <c r="N840" s="11">
        <f>VLOOKUP(B840,DEDN!$A$8:$O$90,$N$2)*M840</f>
        <v>0</v>
      </c>
      <c r="O840" s="12"/>
      <c r="P840" s="10">
        <f>PARAM!$C$53^-A840</f>
        <v>1</v>
      </c>
      <c r="Q840" s="10">
        <f t="shared" si="248"/>
        <v>1.0782082071161436E-2</v>
      </c>
      <c r="R840" s="10">
        <f t="shared" si="246"/>
        <v>1.0782082071161436E-2</v>
      </c>
      <c r="S840" s="10">
        <f>CHOOSE(PARAM!$B$51,R840,R840,0,0)*(A840&lt;PARAM!$B$55)</f>
        <v>0</v>
      </c>
      <c r="T840" s="10">
        <f t="shared" si="247"/>
        <v>2.9652950370390868E-4</v>
      </c>
      <c r="U840" s="10">
        <f>T840*P840*(A840&lt;PARAM!$B$55)</f>
        <v>0</v>
      </c>
      <c r="W840">
        <v>837</v>
      </c>
      <c r="X840" s="178">
        <f t="shared" si="245"/>
        <v>101</v>
      </c>
      <c r="Y840" s="178">
        <f t="shared" si="245"/>
        <v>101</v>
      </c>
      <c r="Z840" s="178">
        <f t="shared" si="245"/>
        <v>70</v>
      </c>
      <c r="AA840" s="178">
        <f t="shared" si="245"/>
        <v>70</v>
      </c>
      <c r="AD840" s="17">
        <f>CALC!E864*(A840&lt;PARAM!$B$55)</f>
        <v>0</v>
      </c>
      <c r="AE840">
        <f>IF(A840&lt;ITER!$C$16,1,PARAM!$C$53^-(RATES!A840-ITER!$C$16))*(A840&lt;PARAM!$B$55)</f>
        <v>0</v>
      </c>
    </row>
    <row r="841" spans="1:31" x14ac:dyDescent="0.2">
      <c r="A841" s="9">
        <v>838</v>
      </c>
      <c r="B841" s="178">
        <f t="shared" ref="B841:C860" si="249">B829+1</f>
        <v>101</v>
      </c>
      <c r="C841" s="178">
        <f t="shared" si="249"/>
        <v>101</v>
      </c>
      <c r="D841" s="2">
        <f>PARAM!$H$38</f>
        <v>1</v>
      </c>
      <c r="E841" s="11">
        <f>PARAM!$G$38</f>
        <v>0</v>
      </c>
      <c r="F841" s="11">
        <f>(VLOOKUP(C841,DEDN!$A$8:$O$902,$F$2)*D841+E841)/1000</f>
        <v>0.28441000000000005</v>
      </c>
      <c r="G841" s="178">
        <f t="shared" ref="G841:H860" si="250">G829+1</f>
        <v>70</v>
      </c>
      <c r="H841" s="178">
        <f t="shared" si="250"/>
        <v>70</v>
      </c>
      <c r="I841" s="2">
        <f>PARAM!$H$39</f>
        <v>0</v>
      </c>
      <c r="J841" s="11">
        <f>PARAM!$G$39</f>
        <v>0</v>
      </c>
      <c r="K841" s="11">
        <f>(VLOOKUP(H841,DEDN!$A$8:$O$902,$K$2)*I841+J841)/1000</f>
        <v>0</v>
      </c>
      <c r="L841" s="11">
        <f>MIN(IF(PARAM!$B$43=3,CHOOSE($L$2,F841,K841),F841+K841-F841*K841),1)</f>
        <v>0.28441000000000005</v>
      </c>
      <c r="M841" s="2">
        <f>PARAM!$I$38</f>
        <v>0</v>
      </c>
      <c r="N841" s="11">
        <f>VLOOKUP(B841,DEDN!$A$8:$O$90,$N$2)*M841</f>
        <v>0</v>
      </c>
      <c r="O841" s="12"/>
      <c r="P841" s="10">
        <f>PARAM!$C$53^-A841</f>
        <v>1</v>
      </c>
      <c r="Q841" s="10">
        <f t="shared" si="248"/>
        <v>1.0485552567457528E-2</v>
      </c>
      <c r="R841" s="10">
        <f t="shared" si="246"/>
        <v>1.0485552567457528E-2</v>
      </c>
      <c r="S841" s="10">
        <f>CHOOSE(PARAM!$B$51,R841,0,0,0)*(A841&lt;PARAM!$B$55)</f>
        <v>0</v>
      </c>
      <c r="T841" s="10">
        <f t="shared" si="247"/>
        <v>2.8837433052060837E-4</v>
      </c>
      <c r="U841" s="10">
        <f>T841*P841*(A841&lt;PARAM!$B$55)</f>
        <v>0</v>
      </c>
      <c r="W841">
        <v>838</v>
      </c>
      <c r="X841" s="178">
        <f t="shared" ref="X841:AA860" si="251">X829+1</f>
        <v>101</v>
      </c>
      <c r="Y841" s="178">
        <f t="shared" si="251"/>
        <v>101</v>
      </c>
      <c r="Z841" s="178">
        <f t="shared" si="251"/>
        <v>70</v>
      </c>
      <c r="AA841" s="178">
        <f t="shared" si="251"/>
        <v>70</v>
      </c>
      <c r="AD841" s="17">
        <f>CALC!E865*(A841&lt;PARAM!$B$55)</f>
        <v>0</v>
      </c>
      <c r="AE841">
        <f>IF(A841&lt;ITER!$C$16,1,PARAM!$C$53^-(RATES!A841-ITER!$C$16))*(A841&lt;PARAM!$B$55)</f>
        <v>0</v>
      </c>
    </row>
    <row r="842" spans="1:31" x14ac:dyDescent="0.2">
      <c r="A842" s="9">
        <v>839</v>
      </c>
      <c r="B842" s="178">
        <f t="shared" si="249"/>
        <v>101</v>
      </c>
      <c r="C842" s="178">
        <f t="shared" si="249"/>
        <v>101</v>
      </c>
      <c r="D842" s="2">
        <f>PARAM!$H$38</f>
        <v>1</v>
      </c>
      <c r="E842" s="11">
        <f>PARAM!$G$38</f>
        <v>0</v>
      </c>
      <c r="F842" s="11">
        <f>(VLOOKUP(C842,DEDN!$A$8:$O$902,$F$2)*D842+E842)/1000</f>
        <v>0.28441000000000005</v>
      </c>
      <c r="G842" s="178">
        <f t="shared" si="250"/>
        <v>70</v>
      </c>
      <c r="H842" s="178">
        <f t="shared" si="250"/>
        <v>70</v>
      </c>
      <c r="I842" s="2">
        <f>PARAM!$H$39</f>
        <v>0</v>
      </c>
      <c r="J842" s="11">
        <f>PARAM!$G$39</f>
        <v>0</v>
      </c>
      <c r="K842" s="11">
        <f>(VLOOKUP(H842,DEDN!$A$8:$O$902,$K$2)*I842+J842)/1000</f>
        <v>0</v>
      </c>
      <c r="L842" s="11">
        <f>MIN(IF(PARAM!$B$43=3,CHOOSE($L$2,F842,K842),F842+K842-F842*K842),1)</f>
        <v>0.28441000000000005</v>
      </c>
      <c r="M842" s="2">
        <f>PARAM!$I$38</f>
        <v>0</v>
      </c>
      <c r="N842" s="11">
        <f>VLOOKUP(B842,DEDN!$A$8:$O$90,$N$2)*M842</f>
        <v>0</v>
      </c>
      <c r="O842" s="12"/>
      <c r="P842" s="10">
        <f>PARAM!$C$53^-A842</f>
        <v>1</v>
      </c>
      <c r="Q842" s="10">
        <f t="shared" si="248"/>
        <v>1.0197178236936919E-2</v>
      </c>
      <c r="R842" s="10">
        <f t="shared" si="246"/>
        <v>1.0197178236936919E-2</v>
      </c>
      <c r="S842" s="10">
        <f>CHOOSE(PARAM!$B$51,R842,0,0,0)*(A842&lt;PARAM!$B$55)</f>
        <v>0</v>
      </c>
      <c r="T842" s="10">
        <f t="shared" si="247"/>
        <v>2.8044344142647525E-4</v>
      </c>
      <c r="U842" s="10">
        <f>T842*P842*(A842&lt;PARAM!$B$55)</f>
        <v>0</v>
      </c>
      <c r="W842">
        <v>839</v>
      </c>
      <c r="X842" s="178">
        <f t="shared" si="251"/>
        <v>101</v>
      </c>
      <c r="Y842" s="178">
        <f t="shared" si="251"/>
        <v>101</v>
      </c>
      <c r="Z842" s="178">
        <f t="shared" si="251"/>
        <v>70</v>
      </c>
      <c r="AA842" s="178">
        <f t="shared" si="251"/>
        <v>70</v>
      </c>
      <c r="AD842" s="17">
        <f>CALC!E866*(A842&lt;PARAM!$B$55)</f>
        <v>0</v>
      </c>
      <c r="AE842">
        <f>IF(A842&lt;ITER!$C$16,1,PARAM!$C$53^-(RATES!A842-ITER!$C$16))*(A842&lt;PARAM!$B$55)</f>
        <v>0</v>
      </c>
    </row>
    <row r="843" spans="1:31" x14ac:dyDescent="0.2">
      <c r="A843" s="9">
        <v>840</v>
      </c>
      <c r="B843" s="178">
        <f t="shared" si="249"/>
        <v>101</v>
      </c>
      <c r="C843" s="178">
        <f t="shared" si="249"/>
        <v>101</v>
      </c>
      <c r="D843" s="2">
        <f>PARAM!$H$38</f>
        <v>1</v>
      </c>
      <c r="E843" s="11">
        <f>PARAM!$G$38</f>
        <v>0</v>
      </c>
      <c r="F843" s="11">
        <f>(VLOOKUP(C843,DEDN!$A$8:$O$902,$F$2)*D843+E843)/1000</f>
        <v>0.28441000000000005</v>
      </c>
      <c r="G843" s="178">
        <f t="shared" si="250"/>
        <v>70</v>
      </c>
      <c r="H843" s="178">
        <f t="shared" si="250"/>
        <v>70</v>
      </c>
      <c r="I843" s="2">
        <f>PARAM!$H$39</f>
        <v>0</v>
      </c>
      <c r="J843" s="11">
        <f>PARAM!$G$39</f>
        <v>0</v>
      </c>
      <c r="K843" s="11">
        <f>(VLOOKUP(H843,DEDN!$A$8:$O$902,$K$2)*I843+J843)/1000</f>
        <v>0</v>
      </c>
      <c r="L843" s="11">
        <f>MIN(IF(PARAM!$B$43=3,CHOOSE($L$2,F843,K843),F843+K843-F843*K843),1)</f>
        <v>0.28441000000000005</v>
      </c>
      <c r="M843" s="2">
        <f>PARAM!$I$38</f>
        <v>0</v>
      </c>
      <c r="N843" s="11">
        <f>VLOOKUP(B843,DEDN!$A$8:$O$90,$N$2)*M843</f>
        <v>0</v>
      </c>
      <c r="O843" s="12"/>
      <c r="P843" s="10">
        <f>PARAM!$C$53^-A843</f>
        <v>1</v>
      </c>
      <c r="Q843" s="10">
        <f t="shared" si="248"/>
        <v>9.9167347955104439E-3</v>
      </c>
      <c r="R843" s="10">
        <f t="shared" si="246"/>
        <v>9.9167347955104439E-3</v>
      </c>
      <c r="S843" s="10">
        <f>R843*(A843&lt;PARAM!$B$55)</f>
        <v>0</v>
      </c>
      <c r="T843" s="10">
        <f t="shared" si="247"/>
        <v>2.7273066814629057E-4</v>
      </c>
      <c r="U843" s="10">
        <f>T843*P843*(A843&lt;PARAM!$B$55)</f>
        <v>0</v>
      </c>
      <c r="W843">
        <v>840</v>
      </c>
      <c r="X843" s="178">
        <f t="shared" si="251"/>
        <v>101</v>
      </c>
      <c r="Y843" s="178">
        <f t="shared" si="251"/>
        <v>101</v>
      </c>
      <c r="Z843" s="178">
        <f t="shared" si="251"/>
        <v>70</v>
      </c>
      <c r="AA843" s="178">
        <f t="shared" si="251"/>
        <v>70</v>
      </c>
      <c r="AD843" s="17">
        <f>CALC!E867*(A843&lt;PARAM!$B$55)</f>
        <v>0</v>
      </c>
      <c r="AE843">
        <f>IF(A843&lt;ITER!$C$16,1,PARAM!$C$53^-(RATES!A843-ITER!$C$16))*(A843&lt;PARAM!$B$55)</f>
        <v>0</v>
      </c>
    </row>
    <row r="844" spans="1:31" x14ac:dyDescent="0.2">
      <c r="A844" s="9">
        <v>841</v>
      </c>
      <c r="B844" s="178">
        <f t="shared" si="249"/>
        <v>101</v>
      </c>
      <c r="C844" s="178">
        <f t="shared" si="249"/>
        <v>101</v>
      </c>
      <c r="D844" s="2">
        <f>PARAM!$H$38</f>
        <v>1</v>
      </c>
      <c r="E844" s="11">
        <f>PARAM!$G$38</f>
        <v>0</v>
      </c>
      <c r="F844" s="11">
        <f>(VLOOKUP(C844,DEDN!$A$8:$O$902,$F$2)*D844+E844)/1000</f>
        <v>0.28441000000000005</v>
      </c>
      <c r="G844" s="178">
        <f t="shared" si="250"/>
        <v>70</v>
      </c>
      <c r="H844" s="178">
        <f t="shared" si="250"/>
        <v>70</v>
      </c>
      <c r="I844" s="2">
        <f>PARAM!$H$39</f>
        <v>0</v>
      </c>
      <c r="J844" s="11">
        <f>PARAM!$G$39</f>
        <v>0</v>
      </c>
      <c r="K844" s="11">
        <f>(VLOOKUP(H844,DEDN!$A$8:$O$902,$K$2)*I844+J844)/1000</f>
        <v>0</v>
      </c>
      <c r="L844" s="11">
        <f>MIN(IF(PARAM!$B$43=3,CHOOSE($L$2,F844,K844),F844+K844-F844*K844),1)</f>
        <v>0.28441000000000005</v>
      </c>
      <c r="M844" s="2">
        <f>PARAM!$I$38</f>
        <v>0</v>
      </c>
      <c r="N844" s="11">
        <f>VLOOKUP(B844,DEDN!$A$8:$O$90,$N$2)*M844</f>
        <v>0</v>
      </c>
      <c r="O844" s="12"/>
      <c r="P844" s="10">
        <f>PARAM!$C$53^-A844</f>
        <v>1</v>
      </c>
      <c r="Q844" s="10">
        <f t="shared" si="248"/>
        <v>9.6440041273641534E-3</v>
      </c>
      <c r="R844" s="10">
        <f t="shared" si="246"/>
        <v>9.6440041273641534E-3</v>
      </c>
      <c r="S844" s="10">
        <f>CHOOSE(PARAM!$B$51,R844,0,0,0)*(A844&lt;PARAM!$B$55)</f>
        <v>0</v>
      </c>
      <c r="T844" s="10">
        <f t="shared" si="247"/>
        <v>2.652300120451305E-4</v>
      </c>
      <c r="U844" s="10">
        <f>T844*P844*(A844&lt;PARAM!$B$55)</f>
        <v>0</v>
      </c>
      <c r="W844">
        <v>841</v>
      </c>
      <c r="X844" s="178">
        <f t="shared" si="251"/>
        <v>101</v>
      </c>
      <c r="Y844" s="178">
        <f t="shared" si="251"/>
        <v>101</v>
      </c>
      <c r="Z844" s="178">
        <f t="shared" si="251"/>
        <v>70</v>
      </c>
      <c r="AA844" s="178">
        <f t="shared" si="251"/>
        <v>70</v>
      </c>
      <c r="AD844" s="17">
        <f>CALC!E868*(A844&lt;PARAM!$B$55)</f>
        <v>0</v>
      </c>
      <c r="AE844">
        <f>IF(A844&lt;ITER!$C$16,1,PARAM!$C$53^-(RATES!A844-ITER!$C$16))*(A844&lt;PARAM!$B$55)</f>
        <v>0</v>
      </c>
    </row>
    <row r="845" spans="1:31" x14ac:dyDescent="0.2">
      <c r="A845" s="9">
        <v>842</v>
      </c>
      <c r="B845" s="178">
        <f t="shared" si="249"/>
        <v>101</v>
      </c>
      <c r="C845" s="178">
        <f t="shared" si="249"/>
        <v>101</v>
      </c>
      <c r="D845" s="2">
        <f>PARAM!$H$38</f>
        <v>1</v>
      </c>
      <c r="E845" s="11">
        <f>PARAM!$G$38</f>
        <v>0</v>
      </c>
      <c r="F845" s="11">
        <f>(VLOOKUP(C845,DEDN!$A$8:$O$902,$F$2)*D845+E845)/1000</f>
        <v>0.28441000000000005</v>
      </c>
      <c r="G845" s="178">
        <f t="shared" si="250"/>
        <v>70</v>
      </c>
      <c r="H845" s="178">
        <f t="shared" si="250"/>
        <v>70</v>
      </c>
      <c r="I845" s="2">
        <f>PARAM!$H$39</f>
        <v>0</v>
      </c>
      <c r="J845" s="11">
        <f>PARAM!$G$39</f>
        <v>0</v>
      </c>
      <c r="K845" s="11">
        <f>(VLOOKUP(H845,DEDN!$A$8:$O$902,$K$2)*I845+J845)/1000</f>
        <v>0</v>
      </c>
      <c r="L845" s="11">
        <f>MIN(IF(PARAM!$B$43=3,CHOOSE($L$2,F845,K845),F845+K845-F845*K845),1)</f>
        <v>0.28441000000000005</v>
      </c>
      <c r="M845" s="2">
        <f>PARAM!$I$38</f>
        <v>0</v>
      </c>
      <c r="N845" s="11">
        <f>VLOOKUP(B845,DEDN!$A$8:$O$90,$N$2)*M845</f>
        <v>0</v>
      </c>
      <c r="O845" s="12"/>
      <c r="P845" s="10">
        <f>PARAM!$C$53^-A845</f>
        <v>1</v>
      </c>
      <c r="Q845" s="10">
        <f t="shared" si="248"/>
        <v>9.3787741153190229E-3</v>
      </c>
      <c r="R845" s="10">
        <f t="shared" si="246"/>
        <v>9.3787741153190229E-3</v>
      </c>
      <c r="S845" s="10">
        <f>CHOOSE(PARAM!$B$51,R845,0,0,0)*(A845&lt;PARAM!$B$55)</f>
        <v>0</v>
      </c>
      <c r="T845" s="10">
        <f t="shared" si="247"/>
        <v>2.5793563946291051E-4</v>
      </c>
      <c r="U845" s="10">
        <f>T845*P845*(A845&lt;PARAM!$B$55)</f>
        <v>0</v>
      </c>
      <c r="W845">
        <v>842</v>
      </c>
      <c r="X845" s="178">
        <f t="shared" si="251"/>
        <v>101</v>
      </c>
      <c r="Y845" s="178">
        <f t="shared" si="251"/>
        <v>101</v>
      </c>
      <c r="Z845" s="178">
        <f t="shared" si="251"/>
        <v>70</v>
      </c>
      <c r="AA845" s="178">
        <f t="shared" si="251"/>
        <v>70</v>
      </c>
      <c r="AD845" s="17">
        <f>CALC!E869*(A845&lt;PARAM!$B$55)</f>
        <v>0</v>
      </c>
      <c r="AE845">
        <f>IF(A845&lt;ITER!$C$16,1,PARAM!$C$53^-(RATES!A845-ITER!$C$16))*(A845&lt;PARAM!$B$55)</f>
        <v>0</v>
      </c>
    </row>
    <row r="846" spans="1:31" x14ac:dyDescent="0.2">
      <c r="A846" s="9">
        <v>843</v>
      </c>
      <c r="B846" s="178">
        <f t="shared" si="249"/>
        <v>101</v>
      </c>
      <c r="C846" s="178">
        <f t="shared" si="249"/>
        <v>101</v>
      </c>
      <c r="D846" s="2">
        <f>PARAM!$H$38</f>
        <v>1</v>
      </c>
      <c r="E846" s="11">
        <f>PARAM!$G$38</f>
        <v>0</v>
      </c>
      <c r="F846" s="11">
        <f>(VLOOKUP(C846,DEDN!$A$8:$O$902,$F$2)*D846+E846)/1000</f>
        <v>0.28441000000000005</v>
      </c>
      <c r="G846" s="178">
        <f t="shared" si="250"/>
        <v>70</v>
      </c>
      <c r="H846" s="178">
        <f t="shared" si="250"/>
        <v>70</v>
      </c>
      <c r="I846" s="2">
        <f>PARAM!$H$39</f>
        <v>0</v>
      </c>
      <c r="J846" s="11">
        <f>PARAM!$G$39</f>
        <v>0</v>
      </c>
      <c r="K846" s="11">
        <f>(VLOOKUP(H846,DEDN!$A$8:$O$902,$K$2)*I846+J846)/1000</f>
        <v>0</v>
      </c>
      <c r="L846" s="11">
        <f>MIN(IF(PARAM!$B$43=3,CHOOSE($L$2,F846,K846),F846+K846-F846*K846),1)</f>
        <v>0.28441000000000005</v>
      </c>
      <c r="M846" s="2">
        <f>PARAM!$I$38</f>
        <v>0</v>
      </c>
      <c r="N846" s="11">
        <f>VLOOKUP(B846,DEDN!$A$8:$O$90,$N$2)*M846</f>
        <v>0</v>
      </c>
      <c r="O846" s="12"/>
      <c r="P846" s="10">
        <f>PARAM!$C$53^-A846</f>
        <v>1</v>
      </c>
      <c r="Q846" s="10">
        <f t="shared" si="248"/>
        <v>9.1208384758561124E-3</v>
      </c>
      <c r="R846" s="10">
        <f t="shared" si="246"/>
        <v>9.1208384758561124E-3</v>
      </c>
      <c r="S846" s="10">
        <f>CHOOSE(PARAM!$B$51,R846,R846,0,0)*(A846&lt;PARAM!$B$55)</f>
        <v>0</v>
      </c>
      <c r="T846" s="10">
        <f t="shared" si="247"/>
        <v>2.5084187717723354E-4</v>
      </c>
      <c r="U846" s="10">
        <f>T846*P846*(A846&lt;PARAM!$B$55)</f>
        <v>0</v>
      </c>
      <c r="W846">
        <v>843</v>
      </c>
      <c r="X846" s="178">
        <f t="shared" si="251"/>
        <v>101</v>
      </c>
      <c r="Y846" s="178">
        <f t="shared" si="251"/>
        <v>101</v>
      </c>
      <c r="Z846" s="178">
        <f t="shared" si="251"/>
        <v>70</v>
      </c>
      <c r="AA846" s="178">
        <f t="shared" si="251"/>
        <v>70</v>
      </c>
      <c r="AD846" s="17">
        <f>CALC!E870*(A846&lt;PARAM!$B$55)</f>
        <v>0</v>
      </c>
      <c r="AE846">
        <f>IF(A846&lt;ITER!$C$16,1,PARAM!$C$53^-(RATES!A846-ITER!$C$16))*(A846&lt;PARAM!$B$55)</f>
        <v>0</v>
      </c>
    </row>
    <row r="847" spans="1:31" x14ac:dyDescent="0.2">
      <c r="A847" s="9">
        <v>844</v>
      </c>
      <c r="B847" s="178">
        <f t="shared" si="249"/>
        <v>101</v>
      </c>
      <c r="C847" s="178">
        <f t="shared" si="249"/>
        <v>101</v>
      </c>
      <c r="D847" s="2">
        <f>PARAM!$H$38</f>
        <v>1</v>
      </c>
      <c r="E847" s="11">
        <f>PARAM!$G$38</f>
        <v>0</v>
      </c>
      <c r="F847" s="11">
        <f>(VLOOKUP(C847,DEDN!$A$8:$O$902,$F$2)*D847+E847)/1000</f>
        <v>0.28441000000000005</v>
      </c>
      <c r="G847" s="178">
        <f t="shared" si="250"/>
        <v>70</v>
      </c>
      <c r="H847" s="178">
        <f t="shared" si="250"/>
        <v>70</v>
      </c>
      <c r="I847" s="2">
        <f>PARAM!$H$39</f>
        <v>0</v>
      </c>
      <c r="J847" s="11">
        <f>PARAM!$G$39</f>
        <v>0</v>
      </c>
      <c r="K847" s="11">
        <f>(VLOOKUP(H847,DEDN!$A$8:$O$902,$K$2)*I847+J847)/1000</f>
        <v>0</v>
      </c>
      <c r="L847" s="11">
        <f>MIN(IF(PARAM!$B$43=3,CHOOSE($L$2,F847,K847),F847+K847-F847*K847),1)</f>
        <v>0.28441000000000005</v>
      </c>
      <c r="M847" s="2">
        <f>PARAM!$I$38</f>
        <v>0</v>
      </c>
      <c r="N847" s="11">
        <f>VLOOKUP(B847,DEDN!$A$8:$O$90,$N$2)*M847</f>
        <v>0</v>
      </c>
      <c r="O847" s="12"/>
      <c r="P847" s="10">
        <f>PARAM!$C$53^-A847</f>
        <v>1</v>
      </c>
      <c r="Q847" s="10">
        <f t="shared" si="248"/>
        <v>8.8699965986788788E-3</v>
      </c>
      <c r="R847" s="10">
        <f t="shared" si="246"/>
        <v>8.8699965986788788E-3</v>
      </c>
      <c r="S847" s="10">
        <f>CHOOSE(PARAM!$B$51,R847,0,0,0)*(A847&lt;PARAM!$B$55)</f>
        <v>0</v>
      </c>
      <c r="T847" s="10">
        <f t="shared" si="247"/>
        <v>2.4394320799102191E-4</v>
      </c>
      <c r="U847" s="10">
        <f>T847*P847*(A847&lt;PARAM!$B$55)</f>
        <v>0</v>
      </c>
      <c r="W847">
        <v>844</v>
      </c>
      <c r="X847" s="178">
        <f t="shared" si="251"/>
        <v>101</v>
      </c>
      <c r="Y847" s="178">
        <f t="shared" si="251"/>
        <v>101</v>
      </c>
      <c r="Z847" s="178">
        <f t="shared" si="251"/>
        <v>70</v>
      </c>
      <c r="AA847" s="178">
        <f t="shared" si="251"/>
        <v>70</v>
      </c>
      <c r="AD847" s="17">
        <f>CALC!E871*(A847&lt;PARAM!$B$55)</f>
        <v>0</v>
      </c>
      <c r="AE847">
        <f>IF(A847&lt;ITER!$C$16,1,PARAM!$C$53^-(RATES!A847-ITER!$C$16))*(A847&lt;PARAM!$B$55)</f>
        <v>0</v>
      </c>
    </row>
    <row r="848" spans="1:31" x14ac:dyDescent="0.2">
      <c r="A848" s="9">
        <v>845</v>
      </c>
      <c r="B848" s="178">
        <f t="shared" si="249"/>
        <v>101</v>
      </c>
      <c r="C848" s="178">
        <f t="shared" si="249"/>
        <v>101</v>
      </c>
      <c r="D848" s="2">
        <f>PARAM!$H$38</f>
        <v>1</v>
      </c>
      <c r="E848" s="11">
        <f>PARAM!$G$38</f>
        <v>0</v>
      </c>
      <c r="F848" s="11">
        <f>(VLOOKUP(C848,DEDN!$A$8:$O$902,$F$2)*D848+E848)/1000</f>
        <v>0.28441000000000005</v>
      </c>
      <c r="G848" s="178">
        <f t="shared" si="250"/>
        <v>70</v>
      </c>
      <c r="H848" s="178">
        <f t="shared" si="250"/>
        <v>70</v>
      </c>
      <c r="I848" s="2">
        <f>PARAM!$H$39</f>
        <v>0</v>
      </c>
      <c r="J848" s="11">
        <f>PARAM!$G$39</f>
        <v>0</v>
      </c>
      <c r="K848" s="11">
        <f>(VLOOKUP(H848,DEDN!$A$8:$O$902,$K$2)*I848+J848)/1000</f>
        <v>0</v>
      </c>
      <c r="L848" s="11">
        <f>MIN(IF(PARAM!$B$43=3,CHOOSE($L$2,F848,K848),F848+K848-F848*K848),1)</f>
        <v>0.28441000000000005</v>
      </c>
      <c r="M848" s="2">
        <f>PARAM!$I$38</f>
        <v>0</v>
      </c>
      <c r="N848" s="11">
        <f>VLOOKUP(B848,DEDN!$A$8:$O$90,$N$2)*M848</f>
        <v>0</v>
      </c>
      <c r="O848" s="12"/>
      <c r="P848" s="10">
        <f>PARAM!$C$53^-A848</f>
        <v>1</v>
      </c>
      <c r="Q848" s="10">
        <f t="shared" si="248"/>
        <v>8.6260533906878569E-3</v>
      </c>
      <c r="R848" s="10">
        <f t="shared" si="246"/>
        <v>8.6260533906878569E-3</v>
      </c>
      <c r="S848" s="10">
        <f>CHOOSE(PARAM!$B$51,R848,0,0,0)*(A848&lt;PARAM!$B$55)</f>
        <v>0</v>
      </c>
      <c r="T848" s="10">
        <f t="shared" si="247"/>
        <v>2.3723426644150537E-4</v>
      </c>
      <c r="U848" s="10">
        <f>T848*P848*(A848&lt;PARAM!$B$55)</f>
        <v>0</v>
      </c>
      <c r="W848">
        <v>845</v>
      </c>
      <c r="X848" s="178">
        <f t="shared" si="251"/>
        <v>101</v>
      </c>
      <c r="Y848" s="178">
        <f t="shared" si="251"/>
        <v>101</v>
      </c>
      <c r="Z848" s="178">
        <f t="shared" si="251"/>
        <v>70</v>
      </c>
      <c r="AA848" s="178">
        <f t="shared" si="251"/>
        <v>70</v>
      </c>
      <c r="AD848" s="17">
        <f>CALC!E872*(A848&lt;PARAM!$B$55)</f>
        <v>0</v>
      </c>
      <c r="AE848">
        <f>IF(A848&lt;ITER!$C$16,1,PARAM!$C$53^-(RATES!A848-ITER!$C$16))*(A848&lt;PARAM!$B$55)</f>
        <v>0</v>
      </c>
    </row>
    <row r="849" spans="1:31" x14ac:dyDescent="0.2">
      <c r="A849" s="9">
        <v>846</v>
      </c>
      <c r="B849" s="178">
        <f t="shared" si="249"/>
        <v>102</v>
      </c>
      <c r="C849" s="178">
        <f t="shared" si="249"/>
        <v>102</v>
      </c>
      <c r="D849" s="2">
        <f>PARAM!$H$38</f>
        <v>1</v>
      </c>
      <c r="E849" s="11">
        <f>PARAM!$G$38</f>
        <v>0</v>
      </c>
      <c r="F849" s="11">
        <f>(VLOOKUP(C849,DEDN!$A$8:$O$902,$F$2)*D849+E849)/1000</f>
        <v>0.28441000000000005</v>
      </c>
      <c r="G849" s="178">
        <f t="shared" si="250"/>
        <v>71</v>
      </c>
      <c r="H849" s="178">
        <f t="shared" si="250"/>
        <v>71</v>
      </c>
      <c r="I849" s="2">
        <f>PARAM!$H$39</f>
        <v>0</v>
      </c>
      <c r="J849" s="11">
        <f>PARAM!$G$39</f>
        <v>0</v>
      </c>
      <c r="K849" s="11">
        <f>(VLOOKUP(H849,DEDN!$A$8:$O$902,$K$2)*I849+J849)/1000</f>
        <v>0</v>
      </c>
      <c r="L849" s="11">
        <f>MIN(IF(PARAM!$B$43=3,CHOOSE($L$2,F849,K849),F849+K849-F849*K849),1)</f>
        <v>0.28441000000000005</v>
      </c>
      <c r="M849" s="2">
        <f>PARAM!$I$38</f>
        <v>0</v>
      </c>
      <c r="N849" s="11">
        <f>VLOOKUP(B849,DEDN!$A$8:$O$90,$N$2)*M849</f>
        <v>0</v>
      </c>
      <c r="O849" s="12"/>
      <c r="P849" s="10">
        <f>PARAM!$C$53^-A849</f>
        <v>1</v>
      </c>
      <c r="Q849" s="10">
        <f t="shared" si="248"/>
        <v>8.3888191242463515E-3</v>
      </c>
      <c r="R849" s="10">
        <f t="shared" si="246"/>
        <v>8.3888191242463515E-3</v>
      </c>
      <c r="S849" s="10">
        <f>CHOOSE(PARAM!$B$51,R849,R849,R849,0)*(A849&lt;PARAM!$B$55)</f>
        <v>0</v>
      </c>
      <c r="T849" s="10">
        <f t="shared" si="247"/>
        <v>2.3070983462720671E-4</v>
      </c>
      <c r="U849" s="10">
        <f>T849*P849*(A849&lt;PARAM!$B$55)</f>
        <v>0</v>
      </c>
      <c r="W849">
        <v>846</v>
      </c>
      <c r="X849" s="178">
        <f t="shared" si="251"/>
        <v>102</v>
      </c>
      <c r="Y849" s="178">
        <f t="shared" si="251"/>
        <v>102</v>
      </c>
      <c r="Z849" s="178">
        <f t="shared" si="251"/>
        <v>71</v>
      </c>
      <c r="AA849" s="178">
        <f t="shared" si="251"/>
        <v>71</v>
      </c>
      <c r="AD849" s="17">
        <f>CALC!E873*(A849&lt;PARAM!$B$55)</f>
        <v>0</v>
      </c>
      <c r="AE849">
        <f>IF(A849&lt;ITER!$C$16,1,PARAM!$C$53^-(RATES!A849-ITER!$C$16))*(A849&lt;PARAM!$B$55)</f>
        <v>0</v>
      </c>
    </row>
    <row r="850" spans="1:31" x14ac:dyDescent="0.2">
      <c r="A850" s="9">
        <v>847</v>
      </c>
      <c r="B850" s="178">
        <f t="shared" si="249"/>
        <v>102</v>
      </c>
      <c r="C850" s="178">
        <f t="shared" si="249"/>
        <v>102</v>
      </c>
      <c r="D850" s="2">
        <f>PARAM!$H$38</f>
        <v>1</v>
      </c>
      <c r="E850" s="11">
        <f>PARAM!$G$38</f>
        <v>0</v>
      </c>
      <c r="F850" s="11">
        <f>(VLOOKUP(C850,DEDN!$A$8:$O$902,$F$2)*D850+E850)/1000</f>
        <v>0.28441000000000005</v>
      </c>
      <c r="G850" s="178">
        <f t="shared" si="250"/>
        <v>71</v>
      </c>
      <c r="H850" s="178">
        <f t="shared" si="250"/>
        <v>71</v>
      </c>
      <c r="I850" s="2">
        <f>PARAM!$H$39</f>
        <v>0</v>
      </c>
      <c r="J850" s="11">
        <f>PARAM!$G$39</f>
        <v>0</v>
      </c>
      <c r="K850" s="11">
        <f>(VLOOKUP(H850,DEDN!$A$8:$O$902,$K$2)*I850+J850)/1000</f>
        <v>0</v>
      </c>
      <c r="L850" s="11">
        <f>MIN(IF(PARAM!$B$43=3,CHOOSE($L$2,F850,K850),F850+K850-F850*K850),1)</f>
        <v>0.28441000000000005</v>
      </c>
      <c r="M850" s="2">
        <f>PARAM!$I$38</f>
        <v>0</v>
      </c>
      <c r="N850" s="11">
        <f>VLOOKUP(B850,DEDN!$A$8:$O$90,$N$2)*M850</f>
        <v>0</v>
      </c>
      <c r="O850" s="12"/>
      <c r="P850" s="10">
        <f>PARAM!$C$53^-A850</f>
        <v>1</v>
      </c>
      <c r="Q850" s="10">
        <f t="shared" si="248"/>
        <v>8.1581092896191448E-3</v>
      </c>
      <c r="R850" s="10">
        <f t="shared" si="246"/>
        <v>8.1581092896191448E-3</v>
      </c>
      <c r="S850" s="10">
        <f>CHOOSE(PARAM!$B$51,R850,0,0,0)*(A850&lt;PARAM!$B$55)</f>
        <v>0</v>
      </c>
      <c r="T850" s="10">
        <f t="shared" si="247"/>
        <v>2.2436483814970883E-4</v>
      </c>
      <c r="U850" s="10">
        <f>T850*P850*(A850&lt;PARAM!$B$55)</f>
        <v>0</v>
      </c>
      <c r="W850">
        <v>847</v>
      </c>
      <c r="X850" s="178">
        <f t="shared" si="251"/>
        <v>102</v>
      </c>
      <c r="Y850" s="178">
        <f t="shared" si="251"/>
        <v>102</v>
      </c>
      <c r="Z850" s="178">
        <f t="shared" si="251"/>
        <v>71</v>
      </c>
      <c r="AA850" s="178">
        <f t="shared" si="251"/>
        <v>71</v>
      </c>
      <c r="AD850" s="17">
        <f>CALC!E874*(A850&lt;PARAM!$B$55)</f>
        <v>0</v>
      </c>
      <c r="AE850">
        <f>IF(A850&lt;ITER!$C$16,1,PARAM!$C$53^-(RATES!A850-ITER!$C$16))*(A850&lt;PARAM!$B$55)</f>
        <v>0</v>
      </c>
    </row>
    <row r="851" spans="1:31" x14ac:dyDescent="0.2">
      <c r="A851" s="9">
        <v>848</v>
      </c>
      <c r="B851" s="178">
        <f t="shared" si="249"/>
        <v>102</v>
      </c>
      <c r="C851" s="178">
        <f t="shared" si="249"/>
        <v>102</v>
      </c>
      <c r="D851" s="2">
        <f>PARAM!$H$38</f>
        <v>1</v>
      </c>
      <c r="E851" s="11">
        <f>PARAM!$G$38</f>
        <v>0</v>
      </c>
      <c r="F851" s="11">
        <f>(VLOOKUP(C851,DEDN!$A$8:$O$902,$F$2)*D851+E851)/1000</f>
        <v>0.28441000000000005</v>
      </c>
      <c r="G851" s="178">
        <f t="shared" si="250"/>
        <v>71</v>
      </c>
      <c r="H851" s="178">
        <f t="shared" si="250"/>
        <v>71</v>
      </c>
      <c r="I851" s="2">
        <f>PARAM!$H$39</f>
        <v>0</v>
      </c>
      <c r="J851" s="11">
        <f>PARAM!$G$39</f>
        <v>0</v>
      </c>
      <c r="K851" s="11">
        <f>(VLOOKUP(H851,DEDN!$A$8:$O$902,$K$2)*I851+J851)/1000</f>
        <v>0</v>
      </c>
      <c r="L851" s="11">
        <f>MIN(IF(PARAM!$B$43=3,CHOOSE($L$2,F851,K851),F851+K851-F851*K851),1)</f>
        <v>0.28441000000000005</v>
      </c>
      <c r="M851" s="2">
        <f>PARAM!$I$38</f>
        <v>0</v>
      </c>
      <c r="N851" s="11">
        <f>VLOOKUP(B851,DEDN!$A$8:$O$90,$N$2)*M851</f>
        <v>0</v>
      </c>
      <c r="O851" s="12"/>
      <c r="P851" s="10">
        <f>PARAM!$C$53^-A851</f>
        <v>1</v>
      </c>
      <c r="Q851" s="10">
        <f t="shared" si="248"/>
        <v>7.933744451469436E-3</v>
      </c>
      <c r="R851" s="10">
        <f t="shared" si="246"/>
        <v>7.933744451469436E-3</v>
      </c>
      <c r="S851" s="10">
        <f>CHOOSE(PARAM!$B$51,R851,0,0,0)*(A851&lt;PARAM!$B$55)</f>
        <v>0</v>
      </c>
      <c r="T851" s="10">
        <f t="shared" si="247"/>
        <v>2.1819434216701836E-4</v>
      </c>
      <c r="U851" s="10">
        <f>T851*P851*(A851&lt;PARAM!$B$55)</f>
        <v>0</v>
      </c>
      <c r="W851">
        <v>848</v>
      </c>
      <c r="X851" s="178">
        <f t="shared" si="251"/>
        <v>102</v>
      </c>
      <c r="Y851" s="178">
        <f t="shared" si="251"/>
        <v>102</v>
      </c>
      <c r="Z851" s="178">
        <f t="shared" si="251"/>
        <v>71</v>
      </c>
      <c r="AA851" s="178">
        <f t="shared" si="251"/>
        <v>71</v>
      </c>
      <c r="AD851" s="17">
        <f>CALC!E875*(A851&lt;PARAM!$B$55)</f>
        <v>0</v>
      </c>
      <c r="AE851">
        <f>IF(A851&lt;ITER!$C$16,1,PARAM!$C$53^-(RATES!A851-ITER!$C$16))*(A851&lt;PARAM!$B$55)</f>
        <v>0</v>
      </c>
    </row>
    <row r="852" spans="1:31" x14ac:dyDescent="0.2">
      <c r="A852" s="9">
        <v>849</v>
      </c>
      <c r="B852" s="178">
        <f t="shared" si="249"/>
        <v>102</v>
      </c>
      <c r="C852" s="178">
        <f t="shared" si="249"/>
        <v>102</v>
      </c>
      <c r="D852" s="2">
        <f>PARAM!$H$38</f>
        <v>1</v>
      </c>
      <c r="E852" s="11">
        <f>PARAM!$G$38</f>
        <v>0</v>
      </c>
      <c r="F852" s="11">
        <f>(VLOOKUP(C852,DEDN!$A$8:$O$902,$F$2)*D852+E852)/1000</f>
        <v>0.28441000000000005</v>
      </c>
      <c r="G852" s="178">
        <f t="shared" si="250"/>
        <v>71</v>
      </c>
      <c r="H852" s="178">
        <f t="shared" si="250"/>
        <v>71</v>
      </c>
      <c r="I852" s="2">
        <f>PARAM!$H$39</f>
        <v>0</v>
      </c>
      <c r="J852" s="11">
        <f>PARAM!$G$39</f>
        <v>0</v>
      </c>
      <c r="K852" s="11">
        <f>(VLOOKUP(H852,DEDN!$A$8:$O$902,$K$2)*I852+J852)/1000</f>
        <v>0</v>
      </c>
      <c r="L852" s="11">
        <f>MIN(IF(PARAM!$B$43=3,CHOOSE($L$2,F852,K852),F852+K852-F852*K852),1)</f>
        <v>0.28441000000000005</v>
      </c>
      <c r="M852" s="2">
        <f>PARAM!$I$38</f>
        <v>0</v>
      </c>
      <c r="N852" s="11">
        <f>VLOOKUP(B852,DEDN!$A$8:$O$90,$N$2)*M852</f>
        <v>0</v>
      </c>
      <c r="O852" s="12"/>
      <c r="P852" s="10">
        <f>PARAM!$C$53^-A852</f>
        <v>1</v>
      </c>
      <c r="Q852" s="10">
        <f t="shared" si="248"/>
        <v>7.7155501093024177E-3</v>
      </c>
      <c r="R852" s="10">
        <f t="shared" ref="R852:R867" si="252">P852*Q852</f>
        <v>7.7155501093024177E-3</v>
      </c>
      <c r="S852" s="10">
        <f>CHOOSE(PARAM!$B$51,R852,R852,0,0)*(A852&lt;PARAM!$B$55)</f>
        <v>0</v>
      </c>
      <c r="T852" s="10">
        <f t="shared" si="247"/>
        <v>2.121935475554804E-4</v>
      </c>
      <c r="U852" s="10">
        <f>T852*P852*(A852&lt;PARAM!$B$55)</f>
        <v>0</v>
      </c>
      <c r="W852">
        <v>849</v>
      </c>
      <c r="X852" s="178">
        <f t="shared" si="251"/>
        <v>102</v>
      </c>
      <c r="Y852" s="178">
        <f t="shared" si="251"/>
        <v>102</v>
      </c>
      <c r="Z852" s="178">
        <f t="shared" si="251"/>
        <v>71</v>
      </c>
      <c r="AA852" s="178">
        <f t="shared" si="251"/>
        <v>71</v>
      </c>
      <c r="AD852" s="17">
        <f>CALC!E876*(A852&lt;PARAM!$B$55)</f>
        <v>0</v>
      </c>
      <c r="AE852">
        <f>IF(A852&lt;ITER!$C$16,1,PARAM!$C$53^-(RATES!A852-ITER!$C$16))*(A852&lt;PARAM!$B$55)</f>
        <v>0</v>
      </c>
    </row>
    <row r="853" spans="1:31" x14ac:dyDescent="0.2">
      <c r="A853" s="9">
        <v>850</v>
      </c>
      <c r="B853" s="178">
        <f t="shared" si="249"/>
        <v>102</v>
      </c>
      <c r="C853" s="178">
        <f t="shared" si="249"/>
        <v>102</v>
      </c>
      <c r="D853" s="2">
        <f>PARAM!$H$38</f>
        <v>1</v>
      </c>
      <c r="E853" s="11">
        <f>PARAM!$G$38</f>
        <v>0</v>
      </c>
      <c r="F853" s="11">
        <f>(VLOOKUP(C853,DEDN!$A$8:$O$902,$F$2)*D853+E853)/1000</f>
        <v>0.28441000000000005</v>
      </c>
      <c r="G853" s="178">
        <f t="shared" si="250"/>
        <v>71</v>
      </c>
      <c r="H853" s="178">
        <f t="shared" si="250"/>
        <v>71</v>
      </c>
      <c r="I853" s="2">
        <f>PARAM!$H$39</f>
        <v>0</v>
      </c>
      <c r="J853" s="11">
        <f>PARAM!$G$39</f>
        <v>0</v>
      </c>
      <c r="K853" s="11">
        <f>(VLOOKUP(H853,DEDN!$A$8:$O$902,$K$2)*I853+J853)/1000</f>
        <v>0</v>
      </c>
      <c r="L853" s="11">
        <f>MIN(IF(PARAM!$B$43=3,CHOOSE($L$2,F853,K853),F853+K853-F853*K853),1)</f>
        <v>0.28441000000000005</v>
      </c>
      <c r="M853" s="2">
        <f>PARAM!$I$38</f>
        <v>0</v>
      </c>
      <c r="N853" s="11">
        <f>VLOOKUP(B853,DEDN!$A$8:$O$90,$N$2)*M853</f>
        <v>0</v>
      </c>
      <c r="O853" s="12"/>
      <c r="P853" s="10">
        <f>PARAM!$C$53^-A853</f>
        <v>1</v>
      </c>
      <c r="Q853" s="10">
        <f t="shared" ref="Q853:Q868" si="253">Q852*(1-L852)^(1/12)</f>
        <v>7.5033565617469372E-3</v>
      </c>
      <c r="R853" s="10">
        <f t="shared" si="252"/>
        <v>7.5033565617469372E-3</v>
      </c>
      <c r="S853" s="10">
        <f>CHOOSE(PARAM!$B$51,R853,0,0,0)*(A853&lt;PARAM!$B$55)</f>
        <v>0</v>
      </c>
      <c r="T853" s="10">
        <f t="shared" si="247"/>
        <v>2.0635778717724169E-4</v>
      </c>
      <c r="U853" s="10">
        <f>T853*P853*(A853&lt;PARAM!$B$55)</f>
        <v>0</v>
      </c>
      <c r="W853">
        <v>850</v>
      </c>
      <c r="X853" s="178">
        <f t="shared" si="251"/>
        <v>102</v>
      </c>
      <c r="Y853" s="178">
        <f t="shared" si="251"/>
        <v>102</v>
      </c>
      <c r="Z853" s="178">
        <f t="shared" si="251"/>
        <v>71</v>
      </c>
      <c r="AA853" s="178">
        <f t="shared" si="251"/>
        <v>71</v>
      </c>
      <c r="AD853" s="17">
        <f>CALC!E877*(A853&lt;PARAM!$B$55)</f>
        <v>0</v>
      </c>
      <c r="AE853">
        <f>IF(A853&lt;ITER!$C$16,1,PARAM!$C$53^-(RATES!A853-ITER!$C$16))*(A853&lt;PARAM!$B$55)</f>
        <v>0</v>
      </c>
    </row>
    <row r="854" spans="1:31" x14ac:dyDescent="0.2">
      <c r="A854" s="9">
        <v>851</v>
      </c>
      <c r="B854" s="178">
        <f t="shared" si="249"/>
        <v>102</v>
      </c>
      <c r="C854" s="178">
        <f t="shared" si="249"/>
        <v>102</v>
      </c>
      <c r="D854" s="2">
        <f>PARAM!$H$38</f>
        <v>1</v>
      </c>
      <c r="E854" s="11">
        <f>PARAM!$G$38</f>
        <v>0</v>
      </c>
      <c r="F854" s="11">
        <f>(VLOOKUP(C854,DEDN!$A$8:$O$902,$F$2)*D854+E854)/1000</f>
        <v>0.28441000000000005</v>
      </c>
      <c r="G854" s="178">
        <f t="shared" si="250"/>
        <v>71</v>
      </c>
      <c r="H854" s="178">
        <f t="shared" si="250"/>
        <v>71</v>
      </c>
      <c r="I854" s="2">
        <f>PARAM!$H$39</f>
        <v>0</v>
      </c>
      <c r="J854" s="11">
        <f>PARAM!$G$39</f>
        <v>0</v>
      </c>
      <c r="K854" s="11">
        <f>(VLOOKUP(H854,DEDN!$A$8:$O$902,$K$2)*I854+J854)/1000</f>
        <v>0</v>
      </c>
      <c r="L854" s="11">
        <f>MIN(IF(PARAM!$B$43=3,CHOOSE($L$2,F854,K854),F854+K854-F854*K854),1)</f>
        <v>0.28441000000000005</v>
      </c>
      <c r="M854" s="2">
        <f>PARAM!$I$38</f>
        <v>0</v>
      </c>
      <c r="N854" s="11">
        <f>VLOOKUP(B854,DEDN!$A$8:$O$90,$N$2)*M854</f>
        <v>0</v>
      </c>
      <c r="O854" s="12"/>
      <c r="P854" s="10">
        <f>PARAM!$C$53^-A854</f>
        <v>1</v>
      </c>
      <c r="Q854" s="10">
        <f t="shared" si="253"/>
        <v>7.2969987745696956E-3</v>
      </c>
      <c r="R854" s="10">
        <f t="shared" si="252"/>
        <v>7.2969987745696956E-3</v>
      </c>
      <c r="S854" s="10">
        <f>CHOOSE(PARAM!$B$51,R854,0,0,0)*(A854&lt;PARAM!$B$55)</f>
        <v>0</v>
      </c>
      <c r="T854" s="10">
        <f t="shared" si="247"/>
        <v>2.0068252225037119E-4</v>
      </c>
      <c r="U854" s="10">
        <f>T854*P854*(A854&lt;PARAM!$B$55)</f>
        <v>0</v>
      </c>
      <c r="W854">
        <v>851</v>
      </c>
      <c r="X854" s="178">
        <f t="shared" si="251"/>
        <v>102</v>
      </c>
      <c r="Y854" s="178">
        <f t="shared" si="251"/>
        <v>102</v>
      </c>
      <c r="Z854" s="178">
        <f t="shared" si="251"/>
        <v>71</v>
      </c>
      <c r="AA854" s="178">
        <f t="shared" si="251"/>
        <v>71</v>
      </c>
      <c r="AD854" s="17">
        <f>CALC!E878*(A854&lt;PARAM!$B$55)</f>
        <v>0</v>
      </c>
      <c r="AE854">
        <f>IF(A854&lt;ITER!$C$16,1,PARAM!$C$53^-(RATES!A854-ITER!$C$16))*(A854&lt;PARAM!$B$55)</f>
        <v>0</v>
      </c>
    </row>
    <row r="855" spans="1:31" x14ac:dyDescent="0.2">
      <c r="A855" s="9">
        <v>852</v>
      </c>
      <c r="B855" s="178">
        <f t="shared" si="249"/>
        <v>102</v>
      </c>
      <c r="C855" s="178">
        <f t="shared" si="249"/>
        <v>102</v>
      </c>
      <c r="D855" s="2">
        <f>PARAM!$H$38</f>
        <v>1</v>
      </c>
      <c r="E855" s="11">
        <f>PARAM!$G$38</f>
        <v>0</v>
      </c>
      <c r="F855" s="11">
        <f>(VLOOKUP(C855,DEDN!$A$8:$O$902,$F$2)*D855+E855)/1000</f>
        <v>0.28441000000000005</v>
      </c>
      <c r="G855" s="178">
        <f t="shared" si="250"/>
        <v>71</v>
      </c>
      <c r="H855" s="178">
        <f t="shared" si="250"/>
        <v>71</v>
      </c>
      <c r="I855" s="2">
        <f>PARAM!$H$39</f>
        <v>0</v>
      </c>
      <c r="J855" s="11">
        <f>PARAM!$G$39</f>
        <v>0</v>
      </c>
      <c r="K855" s="11">
        <f>(VLOOKUP(H855,DEDN!$A$8:$O$902,$K$2)*I855+J855)/1000</f>
        <v>0</v>
      </c>
      <c r="L855" s="11">
        <f>MIN(IF(PARAM!$B$43=3,CHOOSE($L$2,F855,K855),F855+K855-F855*K855),1)</f>
        <v>0.28441000000000005</v>
      </c>
      <c r="M855" s="2">
        <f>PARAM!$I$38</f>
        <v>0</v>
      </c>
      <c r="N855" s="11">
        <f>VLOOKUP(B855,DEDN!$A$8:$O$90,$N$2)*M855</f>
        <v>0</v>
      </c>
      <c r="O855" s="12"/>
      <c r="P855" s="10">
        <f>PARAM!$C$53^-A855</f>
        <v>1</v>
      </c>
      <c r="Q855" s="10">
        <f t="shared" si="253"/>
        <v>7.0963162523193244E-3</v>
      </c>
      <c r="R855" s="10">
        <f t="shared" si="252"/>
        <v>7.0963162523193244E-3</v>
      </c>
      <c r="S855" s="10">
        <f>R855*(A855&lt;PARAM!$B$55)</f>
        <v>0</v>
      </c>
      <c r="T855" s="10">
        <f t="shared" si="247"/>
        <v>1.9516333881880368E-4</v>
      </c>
      <c r="U855" s="10">
        <f>T855*P855*(A855&lt;PARAM!$B$55)</f>
        <v>0</v>
      </c>
      <c r="W855">
        <v>852</v>
      </c>
      <c r="X855" s="178">
        <f t="shared" si="251"/>
        <v>102</v>
      </c>
      <c r="Y855" s="178">
        <f t="shared" si="251"/>
        <v>102</v>
      </c>
      <c r="Z855" s="178">
        <f t="shared" si="251"/>
        <v>71</v>
      </c>
      <c r="AA855" s="178">
        <f t="shared" si="251"/>
        <v>71</v>
      </c>
      <c r="AD855" s="17">
        <f>CALC!E879*(A855&lt;PARAM!$B$55)</f>
        <v>0</v>
      </c>
      <c r="AE855">
        <f>IF(A855&lt;ITER!$C$16,1,PARAM!$C$53^-(RATES!A855-ITER!$C$16))*(A855&lt;PARAM!$B$55)</f>
        <v>0</v>
      </c>
    </row>
    <row r="856" spans="1:31" x14ac:dyDescent="0.2">
      <c r="A856" s="9">
        <v>853</v>
      </c>
      <c r="B856" s="178">
        <f t="shared" si="249"/>
        <v>102</v>
      </c>
      <c r="C856" s="178">
        <f t="shared" si="249"/>
        <v>102</v>
      </c>
      <c r="D856" s="2">
        <f>PARAM!$H$38</f>
        <v>1</v>
      </c>
      <c r="E856" s="11">
        <f>PARAM!$G$38</f>
        <v>0</v>
      </c>
      <c r="F856" s="11">
        <f>(VLOOKUP(C856,DEDN!$A$8:$O$902,$F$2)*D856+E856)/1000</f>
        <v>0.28441000000000005</v>
      </c>
      <c r="G856" s="178">
        <f t="shared" si="250"/>
        <v>71</v>
      </c>
      <c r="H856" s="178">
        <f t="shared" si="250"/>
        <v>71</v>
      </c>
      <c r="I856" s="2">
        <f>PARAM!$H$39</f>
        <v>0</v>
      </c>
      <c r="J856" s="11">
        <f>PARAM!$G$39</f>
        <v>0</v>
      </c>
      <c r="K856" s="11">
        <f>(VLOOKUP(H856,DEDN!$A$8:$O$902,$K$2)*I856+J856)/1000</f>
        <v>0</v>
      </c>
      <c r="L856" s="11">
        <f>MIN(IF(PARAM!$B$43=3,CHOOSE($L$2,F856,K856),F856+K856-F856*K856),1)</f>
        <v>0.28441000000000005</v>
      </c>
      <c r="M856" s="2">
        <f>PARAM!$I$38</f>
        <v>0</v>
      </c>
      <c r="N856" s="11">
        <f>VLOOKUP(B856,DEDN!$A$8:$O$90,$N$2)*M856</f>
        <v>0</v>
      </c>
      <c r="O856" s="12"/>
      <c r="P856" s="10">
        <f>PARAM!$C$53^-A856</f>
        <v>1</v>
      </c>
      <c r="Q856" s="10">
        <f t="shared" si="253"/>
        <v>6.9011529135005207E-3</v>
      </c>
      <c r="R856" s="10">
        <f t="shared" si="252"/>
        <v>6.9011529135005207E-3</v>
      </c>
      <c r="S856" s="10">
        <f>CHOOSE(PARAM!$B$51,R856,0,0,0)*(A856&lt;PARAM!$B$55)</f>
        <v>0</v>
      </c>
      <c r="T856" s="10">
        <f t="shared" si="247"/>
        <v>1.8979594431937571E-4</v>
      </c>
      <c r="U856" s="10">
        <f>T856*P856*(A856&lt;PARAM!$B$55)</f>
        <v>0</v>
      </c>
      <c r="W856">
        <v>853</v>
      </c>
      <c r="X856" s="178">
        <f t="shared" si="251"/>
        <v>102</v>
      </c>
      <c r="Y856" s="178">
        <f t="shared" si="251"/>
        <v>102</v>
      </c>
      <c r="Z856" s="178">
        <f t="shared" si="251"/>
        <v>71</v>
      </c>
      <c r="AA856" s="178">
        <f t="shared" si="251"/>
        <v>71</v>
      </c>
      <c r="AD856" s="17">
        <f>CALC!E880*(A856&lt;PARAM!$B$55)</f>
        <v>0</v>
      </c>
      <c r="AE856">
        <f>IF(A856&lt;ITER!$C$16,1,PARAM!$C$53^-(RATES!A856-ITER!$C$16))*(A856&lt;PARAM!$B$55)</f>
        <v>0</v>
      </c>
    </row>
    <row r="857" spans="1:31" x14ac:dyDescent="0.2">
      <c r="A857" s="9">
        <v>854</v>
      </c>
      <c r="B857" s="178">
        <f t="shared" si="249"/>
        <v>102</v>
      </c>
      <c r="C857" s="178">
        <f t="shared" si="249"/>
        <v>102</v>
      </c>
      <c r="D857" s="2">
        <f>PARAM!$H$38</f>
        <v>1</v>
      </c>
      <c r="E857" s="11">
        <f>PARAM!$G$38</f>
        <v>0</v>
      </c>
      <c r="F857" s="11">
        <f>(VLOOKUP(C857,DEDN!$A$8:$O$902,$F$2)*D857+E857)/1000</f>
        <v>0.28441000000000005</v>
      </c>
      <c r="G857" s="178">
        <f t="shared" si="250"/>
        <v>71</v>
      </c>
      <c r="H857" s="178">
        <f t="shared" si="250"/>
        <v>71</v>
      </c>
      <c r="I857" s="2">
        <f>PARAM!$H$39</f>
        <v>0</v>
      </c>
      <c r="J857" s="11">
        <f>PARAM!$G$39</f>
        <v>0</v>
      </c>
      <c r="K857" s="11">
        <f>(VLOOKUP(H857,DEDN!$A$8:$O$902,$K$2)*I857+J857)/1000</f>
        <v>0</v>
      </c>
      <c r="L857" s="11">
        <f>MIN(IF(PARAM!$B$43=3,CHOOSE($L$2,F857,K857),F857+K857-F857*K857),1)</f>
        <v>0.28441000000000005</v>
      </c>
      <c r="M857" s="2">
        <f>PARAM!$I$38</f>
        <v>0</v>
      </c>
      <c r="N857" s="11">
        <f>VLOOKUP(B857,DEDN!$A$8:$O$90,$N$2)*M857</f>
        <v>0</v>
      </c>
      <c r="O857" s="12"/>
      <c r="P857" s="10">
        <f>PARAM!$C$53^-A857</f>
        <v>1</v>
      </c>
      <c r="Q857" s="10">
        <f t="shared" si="253"/>
        <v>6.711356969181145E-3</v>
      </c>
      <c r="R857" s="10">
        <f t="shared" si="252"/>
        <v>6.711356969181145E-3</v>
      </c>
      <c r="S857" s="10">
        <f>CHOOSE(PARAM!$B$51,R857,0,0,0)*(A857&lt;PARAM!$B$55)</f>
        <v>0</v>
      </c>
      <c r="T857" s="10">
        <f t="shared" si="247"/>
        <v>1.8457616424326449E-4</v>
      </c>
      <c r="U857" s="10">
        <f>T857*P857*(A857&lt;PARAM!$B$55)</f>
        <v>0</v>
      </c>
      <c r="W857">
        <v>854</v>
      </c>
      <c r="X857" s="178">
        <f t="shared" si="251"/>
        <v>102</v>
      </c>
      <c r="Y857" s="178">
        <f t="shared" si="251"/>
        <v>102</v>
      </c>
      <c r="Z857" s="178">
        <f t="shared" si="251"/>
        <v>71</v>
      </c>
      <c r="AA857" s="178">
        <f t="shared" si="251"/>
        <v>71</v>
      </c>
      <c r="AD857" s="17">
        <f>CALC!E881*(A857&lt;PARAM!$B$55)</f>
        <v>0</v>
      </c>
      <c r="AE857">
        <f>IF(A857&lt;ITER!$C$16,1,PARAM!$C$53^-(RATES!A857-ITER!$C$16))*(A857&lt;PARAM!$B$55)</f>
        <v>0</v>
      </c>
    </row>
    <row r="858" spans="1:31" x14ac:dyDescent="0.2">
      <c r="A858" s="9">
        <v>855</v>
      </c>
      <c r="B858" s="178">
        <f t="shared" si="249"/>
        <v>102</v>
      </c>
      <c r="C858" s="178">
        <f t="shared" si="249"/>
        <v>102</v>
      </c>
      <c r="D858" s="2">
        <f>PARAM!$H$38</f>
        <v>1</v>
      </c>
      <c r="E858" s="11">
        <f>PARAM!$G$38</f>
        <v>0</v>
      </c>
      <c r="F858" s="11">
        <f>(VLOOKUP(C858,DEDN!$A$8:$O$902,$F$2)*D858+E858)/1000</f>
        <v>0.28441000000000005</v>
      </c>
      <c r="G858" s="178">
        <f t="shared" si="250"/>
        <v>71</v>
      </c>
      <c r="H858" s="178">
        <f t="shared" si="250"/>
        <v>71</v>
      </c>
      <c r="I858" s="2">
        <f>PARAM!$H$39</f>
        <v>0</v>
      </c>
      <c r="J858" s="11">
        <f>PARAM!$G$39</f>
        <v>0</v>
      </c>
      <c r="K858" s="11">
        <f>(VLOOKUP(H858,DEDN!$A$8:$O$902,$K$2)*I858+J858)/1000</f>
        <v>0</v>
      </c>
      <c r="L858" s="11">
        <f>MIN(IF(PARAM!$B$43=3,CHOOSE($L$2,F858,K858),F858+K858-F858*K858),1)</f>
        <v>0.28441000000000005</v>
      </c>
      <c r="M858" s="2">
        <f>PARAM!$I$38</f>
        <v>0</v>
      </c>
      <c r="N858" s="11">
        <f>VLOOKUP(B858,DEDN!$A$8:$O$90,$N$2)*M858</f>
        <v>0</v>
      </c>
      <c r="O858" s="12"/>
      <c r="P858" s="10">
        <f>PARAM!$C$53^-A858</f>
        <v>1</v>
      </c>
      <c r="Q858" s="10">
        <f t="shared" si="253"/>
        <v>6.5267808049378805E-3</v>
      </c>
      <c r="R858" s="10">
        <f t="shared" si="252"/>
        <v>6.5267808049378805E-3</v>
      </c>
      <c r="S858" s="10">
        <f>CHOOSE(PARAM!$B$51,R858,R858,0,0)*(A858&lt;PARAM!$B$55)</f>
        <v>0</v>
      </c>
      <c r="T858" s="10">
        <f t="shared" si="247"/>
        <v>1.7949993888925677E-4</v>
      </c>
      <c r="U858" s="10">
        <f>T858*P858*(A858&lt;PARAM!$B$55)</f>
        <v>0</v>
      </c>
      <c r="W858">
        <v>855</v>
      </c>
      <c r="X858" s="178">
        <f t="shared" si="251"/>
        <v>102</v>
      </c>
      <c r="Y858" s="178">
        <f t="shared" si="251"/>
        <v>102</v>
      </c>
      <c r="Z858" s="178">
        <f t="shared" si="251"/>
        <v>71</v>
      </c>
      <c r="AA858" s="178">
        <f t="shared" si="251"/>
        <v>71</v>
      </c>
      <c r="AD858" s="17">
        <f>CALC!E882*(A858&lt;PARAM!$B$55)</f>
        <v>0</v>
      </c>
      <c r="AE858">
        <f>IF(A858&lt;ITER!$C$16,1,PARAM!$C$53^-(RATES!A858-ITER!$C$16))*(A858&lt;PARAM!$B$55)</f>
        <v>0</v>
      </c>
    </row>
    <row r="859" spans="1:31" x14ac:dyDescent="0.2">
      <c r="A859" s="9">
        <v>856</v>
      </c>
      <c r="B859" s="178">
        <f t="shared" si="249"/>
        <v>102</v>
      </c>
      <c r="C859" s="178">
        <f t="shared" si="249"/>
        <v>102</v>
      </c>
      <c r="D859" s="2">
        <f>PARAM!$H$38</f>
        <v>1</v>
      </c>
      <c r="E859" s="11">
        <f>PARAM!$G$38</f>
        <v>0</v>
      </c>
      <c r="F859" s="11">
        <f>(VLOOKUP(C859,DEDN!$A$8:$O$902,$F$2)*D859+E859)/1000</f>
        <v>0.28441000000000005</v>
      </c>
      <c r="G859" s="178">
        <f t="shared" si="250"/>
        <v>71</v>
      </c>
      <c r="H859" s="178">
        <f t="shared" si="250"/>
        <v>71</v>
      </c>
      <c r="I859" s="2">
        <f>PARAM!$H$39</f>
        <v>0</v>
      </c>
      <c r="J859" s="11">
        <f>PARAM!$G$39</f>
        <v>0</v>
      </c>
      <c r="K859" s="11">
        <f>(VLOOKUP(H859,DEDN!$A$8:$O$902,$K$2)*I859+J859)/1000</f>
        <v>0</v>
      </c>
      <c r="L859" s="11">
        <f>MIN(IF(PARAM!$B$43=3,CHOOSE($L$2,F859,K859),F859+K859-F859*K859),1)</f>
        <v>0.28441000000000005</v>
      </c>
      <c r="M859" s="2">
        <f>PARAM!$I$38</f>
        <v>0</v>
      </c>
      <c r="N859" s="11">
        <f>VLOOKUP(B859,DEDN!$A$8:$O$90,$N$2)*M859</f>
        <v>0</v>
      </c>
      <c r="O859" s="12"/>
      <c r="P859" s="10">
        <f>PARAM!$C$53^-A859</f>
        <v>1</v>
      </c>
      <c r="Q859" s="10">
        <f t="shared" si="253"/>
        <v>6.3472808660486237E-3</v>
      </c>
      <c r="R859" s="10">
        <f t="shared" si="252"/>
        <v>6.3472808660486237E-3</v>
      </c>
      <c r="S859" s="10">
        <f>CHOOSE(PARAM!$B$51,R859,0,0,0)*(A859&lt;PARAM!$B$55)</f>
        <v>0</v>
      </c>
      <c r="T859" s="10">
        <f t="shared" si="247"/>
        <v>1.7456332020629548E-4</v>
      </c>
      <c r="U859" s="10">
        <f>T859*P859*(A859&lt;PARAM!$B$55)</f>
        <v>0</v>
      </c>
      <c r="W859">
        <v>856</v>
      </c>
      <c r="X859" s="178">
        <f t="shared" si="251"/>
        <v>102</v>
      </c>
      <c r="Y859" s="178">
        <f t="shared" si="251"/>
        <v>102</v>
      </c>
      <c r="Z859" s="178">
        <f t="shared" si="251"/>
        <v>71</v>
      </c>
      <c r="AA859" s="178">
        <f t="shared" si="251"/>
        <v>71</v>
      </c>
      <c r="AD859" s="17">
        <f>CALC!E883*(A859&lt;PARAM!$B$55)</f>
        <v>0</v>
      </c>
      <c r="AE859">
        <f>IF(A859&lt;ITER!$C$16,1,PARAM!$C$53^-(RATES!A859-ITER!$C$16))*(A859&lt;PARAM!$B$55)</f>
        <v>0</v>
      </c>
    </row>
    <row r="860" spans="1:31" x14ac:dyDescent="0.2">
      <c r="A860" s="9">
        <v>857</v>
      </c>
      <c r="B860" s="178">
        <f t="shared" si="249"/>
        <v>102</v>
      </c>
      <c r="C860" s="178">
        <f t="shared" si="249"/>
        <v>102</v>
      </c>
      <c r="D860" s="2">
        <f>PARAM!$H$38</f>
        <v>1</v>
      </c>
      <c r="E860" s="11">
        <f>PARAM!$G$38</f>
        <v>0</v>
      </c>
      <c r="F860" s="11">
        <f>(VLOOKUP(C860,DEDN!$A$8:$O$902,$F$2)*D860+E860)/1000</f>
        <v>0.28441000000000005</v>
      </c>
      <c r="G860" s="178">
        <f t="shared" si="250"/>
        <v>71</v>
      </c>
      <c r="H860" s="178">
        <f t="shared" si="250"/>
        <v>71</v>
      </c>
      <c r="I860" s="2">
        <f>PARAM!$H$39</f>
        <v>0</v>
      </c>
      <c r="J860" s="11">
        <f>PARAM!$G$39</f>
        <v>0</v>
      </c>
      <c r="K860" s="11">
        <f>(VLOOKUP(H860,DEDN!$A$8:$O$902,$K$2)*I860+J860)/1000</f>
        <v>0</v>
      </c>
      <c r="L860" s="11">
        <f>MIN(IF(PARAM!$B$43=3,CHOOSE($L$2,F860,K860),F860+K860-F860*K860),1)</f>
        <v>0.28441000000000005</v>
      </c>
      <c r="M860" s="2">
        <f>PARAM!$I$38</f>
        <v>0</v>
      </c>
      <c r="N860" s="11">
        <f>VLOOKUP(B860,DEDN!$A$8:$O$90,$N$2)*M860</f>
        <v>0</v>
      </c>
      <c r="O860" s="12"/>
      <c r="P860" s="10">
        <f>PARAM!$C$53^-A860</f>
        <v>1</v>
      </c>
      <c r="Q860" s="10">
        <f t="shared" si="253"/>
        <v>6.1727175458423282E-3</v>
      </c>
      <c r="R860" s="10">
        <f t="shared" si="252"/>
        <v>6.1727175458423282E-3</v>
      </c>
      <c r="S860" s="10">
        <f>CHOOSE(PARAM!$B$51,R860,0,0,0)*(A860&lt;PARAM!$B$55)</f>
        <v>0</v>
      </c>
      <c r="T860" s="10">
        <f t="shared" si="247"/>
        <v>1.6976246872287687E-4</v>
      </c>
      <c r="U860" s="10">
        <f>T860*P860*(A860&lt;PARAM!$B$55)</f>
        <v>0</v>
      </c>
      <c r="W860">
        <v>857</v>
      </c>
      <c r="X860" s="178">
        <f t="shared" si="251"/>
        <v>102</v>
      </c>
      <c r="Y860" s="178">
        <f t="shared" si="251"/>
        <v>102</v>
      </c>
      <c r="Z860" s="178">
        <f t="shared" si="251"/>
        <v>71</v>
      </c>
      <c r="AA860" s="178">
        <f t="shared" si="251"/>
        <v>71</v>
      </c>
      <c r="AD860" s="17">
        <f>CALC!E884*(A860&lt;PARAM!$B$55)</f>
        <v>0</v>
      </c>
      <c r="AE860">
        <f>IF(A860&lt;ITER!$C$16,1,PARAM!$C$53^-(RATES!A860-ITER!$C$16))*(A860&lt;PARAM!$B$55)</f>
        <v>0</v>
      </c>
    </row>
    <row r="861" spans="1:31" x14ac:dyDescent="0.2">
      <c r="A861" s="9">
        <v>858</v>
      </c>
      <c r="B861" s="178">
        <f t="shared" ref="B861:C880" si="254">B849+1</f>
        <v>103</v>
      </c>
      <c r="C861" s="178">
        <f t="shared" si="254"/>
        <v>103</v>
      </c>
      <c r="D861" s="2">
        <f>PARAM!$H$38</f>
        <v>1</v>
      </c>
      <c r="E861" s="11">
        <f>PARAM!$G$38</f>
        <v>0</v>
      </c>
      <c r="F861" s="11">
        <f>(VLOOKUP(C861,DEDN!$A$8:$O$902,$F$2)*D861+E861)/1000</f>
        <v>0.28441000000000005</v>
      </c>
      <c r="G861" s="178">
        <f t="shared" ref="G861:H880" si="255">G849+1</f>
        <v>72</v>
      </c>
      <c r="H861" s="178">
        <f t="shared" si="255"/>
        <v>72</v>
      </c>
      <c r="I861" s="2">
        <f>PARAM!$H$39</f>
        <v>0</v>
      </c>
      <c r="J861" s="11">
        <f>PARAM!$G$39</f>
        <v>0</v>
      </c>
      <c r="K861" s="11">
        <f>(VLOOKUP(H861,DEDN!$A$8:$O$902,$K$2)*I861+J861)/1000</f>
        <v>0</v>
      </c>
      <c r="L861" s="11">
        <f>MIN(IF(PARAM!$B$43=3,CHOOSE($L$2,F861,K861),F861+K861-F861*K861),1)</f>
        <v>0.28441000000000005</v>
      </c>
      <c r="M861" s="2">
        <f>PARAM!$I$38</f>
        <v>0</v>
      </c>
      <c r="N861" s="11">
        <f>VLOOKUP(B861,DEDN!$A$8:$O$90,$N$2)*M861</f>
        <v>0</v>
      </c>
      <c r="O861" s="12"/>
      <c r="P861" s="10">
        <f>PARAM!$C$53^-A861</f>
        <v>1</v>
      </c>
      <c r="Q861" s="10">
        <f t="shared" si="253"/>
        <v>6.0029550771194514E-3</v>
      </c>
      <c r="R861" s="10">
        <f t="shared" si="252"/>
        <v>6.0029550771194514E-3</v>
      </c>
      <c r="S861" s="10">
        <f>CHOOSE(PARAM!$B$51,R861,R861,R861,0)*(A861&lt;PARAM!$B$55)</f>
        <v>0</v>
      </c>
      <c r="T861" s="10">
        <f t="shared" si="247"/>
        <v>1.6509365056088365E-4</v>
      </c>
      <c r="U861" s="10">
        <f>T861*P861*(A861&lt;PARAM!$B$55)</f>
        <v>0</v>
      </c>
      <c r="W861">
        <v>858</v>
      </c>
      <c r="X861" s="178">
        <f t="shared" ref="X861:AA880" si="256">X849+1</f>
        <v>103</v>
      </c>
      <c r="Y861" s="178">
        <f t="shared" si="256"/>
        <v>103</v>
      </c>
      <c r="Z861" s="178">
        <f t="shared" si="256"/>
        <v>72</v>
      </c>
      <c r="AA861" s="178">
        <f t="shared" si="256"/>
        <v>72</v>
      </c>
      <c r="AD861" s="17">
        <f>CALC!E885*(A861&lt;PARAM!$B$55)</f>
        <v>0</v>
      </c>
      <c r="AE861">
        <f>IF(A861&lt;ITER!$C$16,1,PARAM!$C$53^-(RATES!A861-ITER!$C$16))*(A861&lt;PARAM!$B$55)</f>
        <v>0</v>
      </c>
    </row>
    <row r="862" spans="1:31" x14ac:dyDescent="0.2">
      <c r="A862" s="9">
        <v>859</v>
      </c>
      <c r="B862" s="178">
        <f t="shared" si="254"/>
        <v>103</v>
      </c>
      <c r="C862" s="178">
        <f t="shared" si="254"/>
        <v>103</v>
      </c>
      <c r="D862" s="2">
        <f>PARAM!$H$38</f>
        <v>1</v>
      </c>
      <c r="E862" s="11">
        <f>PARAM!$G$38</f>
        <v>0</v>
      </c>
      <c r="F862" s="11">
        <f>(VLOOKUP(C862,DEDN!$A$8:$O$902,$F$2)*D862+E862)/1000</f>
        <v>0.28441000000000005</v>
      </c>
      <c r="G862" s="178">
        <f t="shared" si="255"/>
        <v>72</v>
      </c>
      <c r="H862" s="178">
        <f t="shared" si="255"/>
        <v>72</v>
      </c>
      <c r="I862" s="2">
        <f>PARAM!$H$39</f>
        <v>0</v>
      </c>
      <c r="J862" s="11">
        <f>PARAM!$G$39</f>
        <v>0</v>
      </c>
      <c r="K862" s="11">
        <f>(VLOOKUP(H862,DEDN!$A$8:$O$902,$K$2)*I862+J862)/1000</f>
        <v>0</v>
      </c>
      <c r="L862" s="11">
        <f>MIN(IF(PARAM!$B$43=3,CHOOSE($L$2,F862,K862),F862+K862-F862*K862),1)</f>
        <v>0.28441000000000005</v>
      </c>
      <c r="M862" s="2">
        <f>PARAM!$I$38</f>
        <v>0</v>
      </c>
      <c r="N862" s="11">
        <f>VLOOKUP(B862,DEDN!$A$8:$O$90,$N$2)*M862</f>
        <v>0</v>
      </c>
      <c r="O862" s="12"/>
      <c r="P862" s="10">
        <f>PARAM!$C$53^-A862</f>
        <v>1</v>
      </c>
      <c r="Q862" s="10">
        <f t="shared" si="253"/>
        <v>5.8378614265585677E-3</v>
      </c>
      <c r="R862" s="10">
        <f t="shared" si="252"/>
        <v>5.8378614265585677E-3</v>
      </c>
      <c r="S862" s="10">
        <f>CHOOSE(PARAM!$B$51,R862,0,0,0)*(A862&lt;PARAM!$B$55)</f>
        <v>0</v>
      </c>
      <c r="T862" s="10">
        <f t="shared" si="247"/>
        <v>1.6055323453155034E-4</v>
      </c>
      <c r="U862" s="10">
        <f>T862*P862*(A862&lt;PARAM!$B$55)</f>
        <v>0</v>
      </c>
      <c r="W862">
        <v>859</v>
      </c>
      <c r="X862" s="178">
        <f t="shared" si="256"/>
        <v>103</v>
      </c>
      <c r="Y862" s="178">
        <f t="shared" si="256"/>
        <v>103</v>
      </c>
      <c r="Z862" s="178">
        <f t="shared" si="256"/>
        <v>72</v>
      </c>
      <c r="AA862" s="178">
        <f t="shared" si="256"/>
        <v>72</v>
      </c>
      <c r="AD862" s="17">
        <f>CALC!E886*(A862&lt;PARAM!$B$55)</f>
        <v>0</v>
      </c>
      <c r="AE862">
        <f>IF(A862&lt;ITER!$C$16,1,PARAM!$C$53^-(RATES!A862-ITER!$C$16))*(A862&lt;PARAM!$B$55)</f>
        <v>0</v>
      </c>
    </row>
    <row r="863" spans="1:31" x14ac:dyDescent="0.2">
      <c r="A863" s="9">
        <v>860</v>
      </c>
      <c r="B863" s="178">
        <f t="shared" si="254"/>
        <v>103</v>
      </c>
      <c r="C863" s="178">
        <f t="shared" si="254"/>
        <v>103</v>
      </c>
      <c r="D863" s="2">
        <f>PARAM!$H$38</f>
        <v>1</v>
      </c>
      <c r="E863" s="11">
        <f>PARAM!$G$38</f>
        <v>0</v>
      </c>
      <c r="F863" s="11">
        <f>(VLOOKUP(C863,DEDN!$A$8:$O$902,$F$2)*D863+E863)/1000</f>
        <v>0.28441000000000005</v>
      </c>
      <c r="G863" s="178">
        <f t="shared" si="255"/>
        <v>72</v>
      </c>
      <c r="H863" s="178">
        <f t="shared" si="255"/>
        <v>72</v>
      </c>
      <c r="I863" s="2">
        <f>PARAM!$H$39</f>
        <v>0</v>
      </c>
      <c r="J863" s="11">
        <f>PARAM!$G$39</f>
        <v>0</v>
      </c>
      <c r="K863" s="11">
        <f>(VLOOKUP(H863,DEDN!$A$8:$O$902,$K$2)*I863+J863)/1000</f>
        <v>0</v>
      </c>
      <c r="L863" s="11">
        <f>MIN(IF(PARAM!$B$43=3,CHOOSE($L$2,F863,K863),F863+K863-F863*K863),1)</f>
        <v>0.28441000000000005</v>
      </c>
      <c r="M863" s="2">
        <f>PARAM!$I$38</f>
        <v>0</v>
      </c>
      <c r="N863" s="11">
        <f>VLOOKUP(B863,DEDN!$A$8:$O$90,$N$2)*M863</f>
        <v>0</v>
      </c>
      <c r="O863" s="12"/>
      <c r="P863" s="10">
        <f>PARAM!$C$53^-A863</f>
        <v>1</v>
      </c>
      <c r="Q863" s="10">
        <f t="shared" si="253"/>
        <v>5.6773081920270174E-3</v>
      </c>
      <c r="R863" s="10">
        <f t="shared" si="252"/>
        <v>5.6773081920270174E-3</v>
      </c>
      <c r="S863" s="10">
        <f>CHOOSE(PARAM!$B$51,R863,0,0,0)*(A863&lt;PARAM!$B$55)</f>
        <v>0</v>
      </c>
      <c r="T863" s="10">
        <f t="shared" si="247"/>
        <v>1.5613768931129705E-4</v>
      </c>
      <c r="U863" s="10">
        <f>T863*P863*(A863&lt;PARAM!$B$55)</f>
        <v>0</v>
      </c>
      <c r="W863">
        <v>860</v>
      </c>
      <c r="X863" s="178">
        <f t="shared" si="256"/>
        <v>103</v>
      </c>
      <c r="Y863" s="178">
        <f t="shared" si="256"/>
        <v>103</v>
      </c>
      <c r="Z863" s="178">
        <f t="shared" si="256"/>
        <v>72</v>
      </c>
      <c r="AA863" s="178">
        <f t="shared" si="256"/>
        <v>72</v>
      </c>
      <c r="AD863" s="17">
        <f>CALC!E887*(A863&lt;PARAM!$B$55)</f>
        <v>0</v>
      </c>
      <c r="AE863">
        <f>IF(A863&lt;ITER!$C$16,1,PARAM!$C$53^-(RATES!A863-ITER!$C$16))*(A863&lt;PARAM!$B$55)</f>
        <v>0</v>
      </c>
    </row>
    <row r="864" spans="1:31" x14ac:dyDescent="0.2">
      <c r="A864" s="9">
        <v>861</v>
      </c>
      <c r="B864" s="178">
        <f t="shared" si="254"/>
        <v>103</v>
      </c>
      <c r="C864" s="178">
        <f t="shared" si="254"/>
        <v>103</v>
      </c>
      <c r="D864" s="2">
        <f>PARAM!$H$38</f>
        <v>1</v>
      </c>
      <c r="E864" s="11">
        <f>PARAM!$G$38</f>
        <v>0</v>
      </c>
      <c r="F864" s="11">
        <f>(VLOOKUP(C864,DEDN!$A$8:$O$902,$F$2)*D864+E864)/1000</f>
        <v>0.28441000000000005</v>
      </c>
      <c r="G864" s="178">
        <f t="shared" si="255"/>
        <v>72</v>
      </c>
      <c r="H864" s="178">
        <f t="shared" si="255"/>
        <v>72</v>
      </c>
      <c r="I864" s="2">
        <f>PARAM!$H$39</f>
        <v>0</v>
      </c>
      <c r="J864" s="11">
        <f>PARAM!$G$39</f>
        <v>0</v>
      </c>
      <c r="K864" s="11">
        <f>(VLOOKUP(H864,DEDN!$A$8:$O$902,$K$2)*I864+J864)/1000</f>
        <v>0</v>
      </c>
      <c r="L864" s="11">
        <f>MIN(IF(PARAM!$B$43=3,CHOOSE($L$2,F864,K864),F864+K864-F864*K864),1)</f>
        <v>0.28441000000000005</v>
      </c>
      <c r="M864" s="2">
        <f>PARAM!$I$38</f>
        <v>0</v>
      </c>
      <c r="N864" s="11">
        <f>VLOOKUP(B864,DEDN!$A$8:$O$90,$N$2)*M864</f>
        <v>0</v>
      </c>
      <c r="O864" s="12"/>
      <c r="P864" s="10">
        <f>PARAM!$C$53^-A864</f>
        <v>1</v>
      </c>
      <c r="Q864" s="10">
        <f t="shared" si="253"/>
        <v>5.5211705027157203E-3</v>
      </c>
      <c r="R864" s="10">
        <f t="shared" si="252"/>
        <v>5.5211705027157203E-3</v>
      </c>
      <c r="S864" s="10">
        <f>CHOOSE(PARAM!$B$51,R864,R864,0,0)*(A864&lt;PARAM!$B$55)</f>
        <v>0</v>
      </c>
      <c r="T864" s="10">
        <f t="shared" si="247"/>
        <v>1.5184358069522588E-4</v>
      </c>
      <c r="U864" s="10">
        <f>T864*P864*(A864&lt;PARAM!$B$55)</f>
        <v>0</v>
      </c>
      <c r="W864">
        <v>861</v>
      </c>
      <c r="X864" s="178">
        <f t="shared" si="256"/>
        <v>103</v>
      </c>
      <c r="Y864" s="178">
        <f t="shared" si="256"/>
        <v>103</v>
      </c>
      <c r="Z864" s="178">
        <f t="shared" si="256"/>
        <v>72</v>
      </c>
      <c r="AA864" s="178">
        <f t="shared" si="256"/>
        <v>72</v>
      </c>
      <c r="AD864" s="17">
        <f>CALC!E888*(A864&lt;PARAM!$B$55)</f>
        <v>0</v>
      </c>
      <c r="AE864">
        <f>IF(A864&lt;ITER!$C$16,1,PARAM!$C$53^-(RATES!A864-ITER!$C$16))*(A864&lt;PARAM!$B$55)</f>
        <v>0</v>
      </c>
    </row>
    <row r="865" spans="1:31" x14ac:dyDescent="0.2">
      <c r="A865" s="9">
        <v>862</v>
      </c>
      <c r="B865" s="178">
        <f t="shared" si="254"/>
        <v>103</v>
      </c>
      <c r="C865" s="178">
        <f t="shared" si="254"/>
        <v>103</v>
      </c>
      <c r="D865" s="2">
        <f>PARAM!$H$38</f>
        <v>1</v>
      </c>
      <c r="E865" s="11">
        <f>PARAM!$G$38</f>
        <v>0</v>
      </c>
      <c r="F865" s="11">
        <f>(VLOOKUP(C865,DEDN!$A$8:$O$902,$F$2)*D865+E865)/1000</f>
        <v>0.28441000000000005</v>
      </c>
      <c r="G865" s="178">
        <f t="shared" si="255"/>
        <v>72</v>
      </c>
      <c r="H865" s="178">
        <f t="shared" si="255"/>
        <v>72</v>
      </c>
      <c r="I865" s="2">
        <f>PARAM!$H$39</f>
        <v>0</v>
      </c>
      <c r="J865" s="11">
        <f>PARAM!$G$39</f>
        <v>0</v>
      </c>
      <c r="K865" s="11">
        <f>(VLOOKUP(H865,DEDN!$A$8:$O$902,$K$2)*I865+J865)/1000</f>
        <v>0</v>
      </c>
      <c r="L865" s="11">
        <f>MIN(IF(PARAM!$B$43=3,CHOOSE($L$2,F865,K865),F865+K865-F865*K865),1)</f>
        <v>0.28441000000000005</v>
      </c>
      <c r="M865" s="2">
        <f>PARAM!$I$38</f>
        <v>0</v>
      </c>
      <c r="N865" s="11">
        <f>VLOOKUP(B865,DEDN!$A$8:$O$90,$N$2)*M865</f>
        <v>0</v>
      </c>
      <c r="O865" s="12"/>
      <c r="P865" s="10">
        <f>PARAM!$C$53^-A865</f>
        <v>1</v>
      </c>
      <c r="Q865" s="10">
        <f t="shared" si="253"/>
        <v>5.3693269220204945E-3</v>
      </c>
      <c r="R865" s="10">
        <f t="shared" si="252"/>
        <v>5.3693269220204945E-3</v>
      </c>
      <c r="S865" s="10">
        <f>CHOOSE(PARAM!$B$51,R865,0,0,0)*(A865&lt;PARAM!$B$55)</f>
        <v>0</v>
      </c>
      <c r="T865" s="10">
        <f t="shared" si="247"/>
        <v>1.4766756892616289E-4</v>
      </c>
      <c r="U865" s="10">
        <f>T865*P865*(A865&lt;PARAM!$B$55)</f>
        <v>0</v>
      </c>
      <c r="W865">
        <v>862</v>
      </c>
      <c r="X865" s="178">
        <f t="shared" si="256"/>
        <v>103</v>
      </c>
      <c r="Y865" s="178">
        <f t="shared" si="256"/>
        <v>103</v>
      </c>
      <c r="Z865" s="178">
        <f t="shared" si="256"/>
        <v>72</v>
      </c>
      <c r="AA865" s="178">
        <f t="shared" si="256"/>
        <v>72</v>
      </c>
      <c r="AD865" s="17">
        <f>CALC!E889*(A865&lt;PARAM!$B$55)</f>
        <v>0</v>
      </c>
      <c r="AE865">
        <f>IF(A865&lt;ITER!$C$16,1,PARAM!$C$53^-(RATES!A865-ITER!$C$16))*(A865&lt;PARAM!$B$55)</f>
        <v>0</v>
      </c>
    </row>
    <row r="866" spans="1:31" x14ac:dyDescent="0.2">
      <c r="A866" s="9">
        <v>863</v>
      </c>
      <c r="B866" s="178">
        <f t="shared" si="254"/>
        <v>103</v>
      </c>
      <c r="C866" s="178">
        <f t="shared" si="254"/>
        <v>103</v>
      </c>
      <c r="D866" s="2">
        <f>PARAM!$H$38</f>
        <v>1</v>
      </c>
      <c r="E866" s="11">
        <f>PARAM!$G$38</f>
        <v>0</v>
      </c>
      <c r="F866" s="11">
        <f>(VLOOKUP(C866,DEDN!$A$8:$O$902,$F$2)*D866+E866)/1000</f>
        <v>0.28441000000000005</v>
      </c>
      <c r="G866" s="178">
        <f t="shared" si="255"/>
        <v>72</v>
      </c>
      <c r="H866" s="178">
        <f t="shared" si="255"/>
        <v>72</v>
      </c>
      <c r="I866" s="2">
        <f>PARAM!$H$39</f>
        <v>0</v>
      </c>
      <c r="J866" s="11">
        <f>PARAM!$G$39</f>
        <v>0</v>
      </c>
      <c r="K866" s="11">
        <f>(VLOOKUP(H866,DEDN!$A$8:$O$902,$K$2)*I866+J866)/1000</f>
        <v>0</v>
      </c>
      <c r="L866" s="11">
        <f>MIN(IF(PARAM!$B$43=3,CHOOSE($L$2,F866,K866),F866+K866-F866*K866),1)</f>
        <v>0.28441000000000005</v>
      </c>
      <c r="M866" s="2">
        <f>PARAM!$I$38</f>
        <v>0</v>
      </c>
      <c r="N866" s="11">
        <f>VLOOKUP(B866,DEDN!$A$8:$O$90,$N$2)*M866</f>
        <v>0</v>
      </c>
      <c r="O866" s="12"/>
      <c r="P866" s="10">
        <f>PARAM!$C$53^-A866</f>
        <v>1</v>
      </c>
      <c r="Q866" s="10">
        <f t="shared" si="253"/>
        <v>5.2216593530943316E-3</v>
      </c>
      <c r="R866" s="10">
        <f t="shared" si="252"/>
        <v>5.2216593530943316E-3</v>
      </c>
      <c r="S866" s="10">
        <f>CHOOSE(PARAM!$B$51,R866,0,0,0)*(A866&lt;PARAM!$B$55)</f>
        <v>0</v>
      </c>
      <c r="T866" s="10">
        <f t="shared" si="247"/>
        <v>1.4360640609714301E-4</v>
      </c>
      <c r="U866" s="10">
        <f>T866*P866*(A866&lt;PARAM!$B$55)</f>
        <v>0</v>
      </c>
      <c r="W866">
        <v>863</v>
      </c>
      <c r="X866" s="178">
        <f t="shared" si="256"/>
        <v>103</v>
      </c>
      <c r="Y866" s="178">
        <f t="shared" si="256"/>
        <v>103</v>
      </c>
      <c r="Z866" s="178">
        <f t="shared" si="256"/>
        <v>72</v>
      </c>
      <c r="AA866" s="178">
        <f t="shared" si="256"/>
        <v>72</v>
      </c>
      <c r="AD866" s="17">
        <f>CALC!E890*(A866&lt;PARAM!$B$55)</f>
        <v>0</v>
      </c>
      <c r="AE866">
        <f>IF(A866&lt;ITER!$C$16,1,PARAM!$C$53^-(RATES!A866-ITER!$C$16))*(A866&lt;PARAM!$B$55)</f>
        <v>0</v>
      </c>
    </row>
    <row r="867" spans="1:31" x14ac:dyDescent="0.2">
      <c r="A867" s="9">
        <v>864</v>
      </c>
      <c r="B867" s="178">
        <f t="shared" si="254"/>
        <v>103</v>
      </c>
      <c r="C867" s="178">
        <f t="shared" si="254"/>
        <v>103</v>
      </c>
      <c r="D867" s="2">
        <f>PARAM!$H$38</f>
        <v>1</v>
      </c>
      <c r="E867" s="11">
        <f>PARAM!$G$38</f>
        <v>0</v>
      </c>
      <c r="F867" s="11">
        <f>(VLOOKUP(C867,DEDN!$A$8:$O$902,$F$2)*D867+E867)/1000</f>
        <v>0.28441000000000005</v>
      </c>
      <c r="G867" s="178">
        <f t="shared" si="255"/>
        <v>72</v>
      </c>
      <c r="H867" s="178">
        <f t="shared" si="255"/>
        <v>72</v>
      </c>
      <c r="I867" s="2">
        <f>PARAM!$H$39</f>
        <v>0</v>
      </c>
      <c r="J867" s="11">
        <f>PARAM!$G$39</f>
        <v>0</v>
      </c>
      <c r="K867" s="11">
        <f>(VLOOKUP(H867,DEDN!$A$8:$O$902,$K$2)*I867+J867)/1000</f>
        <v>0</v>
      </c>
      <c r="L867" s="11">
        <f>MIN(IF(PARAM!$B$43=3,CHOOSE($L$2,F867,K867),F867+K867-F867*K867),1)</f>
        <v>0.28441000000000005</v>
      </c>
      <c r="M867" s="2">
        <f>PARAM!$I$38</f>
        <v>0</v>
      </c>
      <c r="N867" s="11">
        <f>VLOOKUP(B867,DEDN!$A$8:$O$90,$N$2)*M867</f>
        <v>0</v>
      </c>
      <c r="O867" s="12"/>
      <c r="P867" s="10">
        <f>PARAM!$C$53^-A867</f>
        <v>1</v>
      </c>
      <c r="Q867" s="10">
        <f t="shared" si="253"/>
        <v>5.0780529469971886E-3</v>
      </c>
      <c r="R867" s="10">
        <f t="shared" si="252"/>
        <v>5.0780529469971886E-3</v>
      </c>
      <c r="S867" s="10">
        <f>R867*(A867&lt;PARAM!$B$55)</f>
        <v>0</v>
      </c>
      <c r="T867" s="10">
        <f t="shared" si="247"/>
        <v>1.3965693362534819E-4</v>
      </c>
      <c r="U867" s="10">
        <f>T867*P867*(A867&lt;PARAM!$B$55)</f>
        <v>0</v>
      </c>
      <c r="W867">
        <v>864</v>
      </c>
      <c r="X867" s="178">
        <f t="shared" si="256"/>
        <v>103</v>
      </c>
      <c r="Y867" s="178">
        <f t="shared" si="256"/>
        <v>103</v>
      </c>
      <c r="Z867" s="178">
        <f t="shared" si="256"/>
        <v>72</v>
      </c>
      <c r="AA867" s="178">
        <f t="shared" si="256"/>
        <v>72</v>
      </c>
      <c r="AD867" s="17">
        <f>CALC!E891*(A867&lt;PARAM!$B$55)</f>
        <v>0</v>
      </c>
      <c r="AE867">
        <f>IF(A867&lt;ITER!$C$16,1,PARAM!$C$53^-(RATES!A867-ITER!$C$16))*(A867&lt;PARAM!$B$55)</f>
        <v>0</v>
      </c>
    </row>
    <row r="868" spans="1:31" x14ac:dyDescent="0.2">
      <c r="A868" s="9">
        <v>865</v>
      </c>
      <c r="B868" s="178">
        <f t="shared" si="254"/>
        <v>103</v>
      </c>
      <c r="C868" s="178">
        <f t="shared" si="254"/>
        <v>103</v>
      </c>
      <c r="D868" s="2">
        <f>PARAM!$H$38</f>
        <v>1</v>
      </c>
      <c r="E868" s="11">
        <f>PARAM!$G$38</f>
        <v>0</v>
      </c>
      <c r="F868" s="11">
        <f>(VLOOKUP(C868,DEDN!$A$8:$O$902,$F$2)*D868+E868)/1000</f>
        <v>0.28441000000000005</v>
      </c>
      <c r="G868" s="178">
        <f t="shared" si="255"/>
        <v>72</v>
      </c>
      <c r="H868" s="178">
        <f t="shared" si="255"/>
        <v>72</v>
      </c>
      <c r="I868" s="2">
        <f>PARAM!$H$39</f>
        <v>0</v>
      </c>
      <c r="J868" s="11">
        <f>PARAM!$G$39</f>
        <v>0</v>
      </c>
      <c r="K868" s="11">
        <f>(VLOOKUP(H868,DEDN!$A$8:$O$902,$K$2)*I868+J868)/1000</f>
        <v>0</v>
      </c>
      <c r="L868" s="11">
        <f>MIN(IF(PARAM!$B$43=3,CHOOSE($L$2,F868,K868),F868+K868-F868*K868),1)</f>
        <v>0.28441000000000005</v>
      </c>
      <c r="M868" s="2">
        <f>PARAM!$I$38</f>
        <v>0</v>
      </c>
      <c r="N868" s="11">
        <f>VLOOKUP(B868,DEDN!$A$8:$O$90,$N$2)*M868</f>
        <v>0</v>
      </c>
      <c r="O868" s="12"/>
      <c r="P868" s="10">
        <f>PARAM!$C$53^-A868</f>
        <v>1</v>
      </c>
      <c r="Q868" s="10">
        <f t="shared" si="253"/>
        <v>4.9383960133718404E-3</v>
      </c>
      <c r="R868" s="10">
        <f t="shared" ref="R868:R883" si="257">P868*Q868</f>
        <v>4.9383960133718404E-3</v>
      </c>
      <c r="S868" s="10">
        <f>CHOOSE(PARAM!$B$51,R868,0,0,0)*(A868&lt;PARAM!$B$55)</f>
        <v>0</v>
      </c>
      <c r="T868" s="10">
        <f t="shared" si="247"/>
        <v>1.3581607979550221E-4</v>
      </c>
      <c r="U868" s="10">
        <f>T868*P868*(A868&lt;PARAM!$B$55)</f>
        <v>0</v>
      </c>
      <c r="W868">
        <v>865</v>
      </c>
      <c r="X868" s="178">
        <f t="shared" si="256"/>
        <v>103</v>
      </c>
      <c r="Y868" s="178">
        <f t="shared" si="256"/>
        <v>103</v>
      </c>
      <c r="Z868" s="178">
        <f t="shared" si="256"/>
        <v>72</v>
      </c>
      <c r="AA868" s="178">
        <f t="shared" si="256"/>
        <v>72</v>
      </c>
      <c r="AD868" s="17">
        <f>CALC!E892*(A868&lt;PARAM!$B$55)</f>
        <v>0</v>
      </c>
      <c r="AE868">
        <f>IF(A868&lt;ITER!$C$16,1,PARAM!$C$53^-(RATES!A868-ITER!$C$16))*(A868&lt;PARAM!$B$55)</f>
        <v>0</v>
      </c>
    </row>
    <row r="869" spans="1:31" x14ac:dyDescent="0.2">
      <c r="A869" s="9">
        <v>866</v>
      </c>
      <c r="B869" s="178">
        <f t="shared" si="254"/>
        <v>103</v>
      </c>
      <c r="C869" s="178">
        <f t="shared" si="254"/>
        <v>103</v>
      </c>
      <c r="D869" s="2">
        <f>PARAM!$H$38</f>
        <v>1</v>
      </c>
      <c r="E869" s="11">
        <f>PARAM!$G$38</f>
        <v>0</v>
      </c>
      <c r="F869" s="11">
        <f>(VLOOKUP(C869,DEDN!$A$8:$O$902,$F$2)*D869+E869)/1000</f>
        <v>0.28441000000000005</v>
      </c>
      <c r="G869" s="178">
        <f t="shared" si="255"/>
        <v>72</v>
      </c>
      <c r="H869" s="178">
        <f t="shared" si="255"/>
        <v>72</v>
      </c>
      <c r="I869" s="2">
        <f>PARAM!$H$39</f>
        <v>0</v>
      </c>
      <c r="J869" s="11">
        <f>PARAM!$G$39</f>
        <v>0</v>
      </c>
      <c r="K869" s="11">
        <f>(VLOOKUP(H869,DEDN!$A$8:$O$902,$K$2)*I869+J869)/1000</f>
        <v>0</v>
      </c>
      <c r="L869" s="11">
        <f>MIN(IF(PARAM!$B$43=3,CHOOSE($L$2,F869,K869),F869+K869-F869*K869),1)</f>
        <v>0.28441000000000005</v>
      </c>
      <c r="M869" s="2">
        <f>PARAM!$I$38</f>
        <v>0</v>
      </c>
      <c r="N869" s="11">
        <f>VLOOKUP(B869,DEDN!$A$8:$O$90,$N$2)*M869</f>
        <v>0</v>
      </c>
      <c r="O869" s="12"/>
      <c r="P869" s="10">
        <f>PARAM!$C$53^-A869</f>
        <v>1</v>
      </c>
      <c r="Q869" s="10">
        <f t="shared" ref="Q869:Q884" si="258">Q868*(1-L868)^(1/12)</f>
        <v>4.8025799335763382E-3</v>
      </c>
      <c r="R869" s="10">
        <f t="shared" si="257"/>
        <v>4.8025799335763382E-3</v>
      </c>
      <c r="S869" s="10">
        <f>CHOOSE(PARAM!$B$51,R869,0,0,0)*(A869&lt;PARAM!$B$55)</f>
        <v>0</v>
      </c>
      <c r="T869" s="10">
        <f t="shared" si="247"/>
        <v>1.3208085737083809E-4</v>
      </c>
      <c r="U869" s="10">
        <f>T869*P869*(A869&lt;PARAM!$B$55)</f>
        <v>0</v>
      </c>
      <c r="W869">
        <v>866</v>
      </c>
      <c r="X869" s="178">
        <f t="shared" si="256"/>
        <v>103</v>
      </c>
      <c r="Y869" s="178">
        <f t="shared" si="256"/>
        <v>103</v>
      </c>
      <c r="Z869" s="178">
        <f t="shared" si="256"/>
        <v>72</v>
      </c>
      <c r="AA869" s="178">
        <f t="shared" si="256"/>
        <v>72</v>
      </c>
      <c r="AD869" s="17">
        <f>CALC!E893*(A869&lt;PARAM!$B$55)</f>
        <v>0</v>
      </c>
      <c r="AE869">
        <f>IF(A869&lt;ITER!$C$16,1,PARAM!$C$53^-(RATES!A869-ITER!$C$16))*(A869&lt;PARAM!$B$55)</f>
        <v>0</v>
      </c>
    </row>
    <row r="870" spans="1:31" x14ac:dyDescent="0.2">
      <c r="A870" s="9">
        <v>867</v>
      </c>
      <c r="B870" s="178">
        <f t="shared" si="254"/>
        <v>103</v>
      </c>
      <c r="C870" s="178">
        <f t="shared" si="254"/>
        <v>103</v>
      </c>
      <c r="D870" s="2">
        <f>PARAM!$H$38</f>
        <v>1</v>
      </c>
      <c r="E870" s="11">
        <f>PARAM!$G$38</f>
        <v>0</v>
      </c>
      <c r="F870" s="11">
        <f>(VLOOKUP(C870,DEDN!$A$8:$O$902,$F$2)*D870+E870)/1000</f>
        <v>0.28441000000000005</v>
      </c>
      <c r="G870" s="178">
        <f t="shared" si="255"/>
        <v>72</v>
      </c>
      <c r="H870" s="178">
        <f t="shared" si="255"/>
        <v>72</v>
      </c>
      <c r="I870" s="2">
        <f>PARAM!$H$39</f>
        <v>0</v>
      </c>
      <c r="J870" s="11">
        <f>PARAM!$G$39</f>
        <v>0</v>
      </c>
      <c r="K870" s="11">
        <f>(VLOOKUP(H870,DEDN!$A$8:$O$902,$K$2)*I870+J870)/1000</f>
        <v>0</v>
      </c>
      <c r="L870" s="11">
        <f>MIN(IF(PARAM!$B$43=3,CHOOSE($L$2,F870,K870),F870+K870-F870*K870),1)</f>
        <v>0.28441000000000005</v>
      </c>
      <c r="M870" s="2">
        <f>PARAM!$I$38</f>
        <v>0</v>
      </c>
      <c r="N870" s="11">
        <f>VLOOKUP(B870,DEDN!$A$8:$O$90,$N$2)*M870</f>
        <v>0</v>
      </c>
      <c r="O870" s="12"/>
      <c r="P870" s="10">
        <f>PARAM!$C$53^-A870</f>
        <v>1</v>
      </c>
      <c r="Q870" s="10">
        <f t="shared" si="258"/>
        <v>4.6704990762055001E-3</v>
      </c>
      <c r="R870" s="10">
        <f t="shared" si="257"/>
        <v>4.6704990762055001E-3</v>
      </c>
      <c r="S870" s="10">
        <f>CHOOSE(PARAM!$B$51,R870,R870,0,0)*(A870&lt;PARAM!$B$55)</f>
        <v>0</v>
      </c>
      <c r="T870" s="10">
        <f t="shared" si="247"/>
        <v>1.2844836126976299E-4</v>
      </c>
      <c r="U870" s="10">
        <f>T870*P870*(A870&lt;PARAM!$B$55)</f>
        <v>0</v>
      </c>
      <c r="W870">
        <v>867</v>
      </c>
      <c r="X870" s="178">
        <f t="shared" si="256"/>
        <v>103</v>
      </c>
      <c r="Y870" s="178">
        <f t="shared" si="256"/>
        <v>103</v>
      </c>
      <c r="Z870" s="178">
        <f t="shared" si="256"/>
        <v>72</v>
      </c>
      <c r="AA870" s="178">
        <f t="shared" si="256"/>
        <v>72</v>
      </c>
      <c r="AD870" s="17">
        <f>CALC!E894*(A870&lt;PARAM!$B$55)</f>
        <v>0</v>
      </c>
      <c r="AE870">
        <f>IF(A870&lt;ITER!$C$16,1,PARAM!$C$53^-(RATES!A870-ITER!$C$16))*(A870&lt;PARAM!$B$55)</f>
        <v>0</v>
      </c>
    </row>
    <row r="871" spans="1:31" x14ac:dyDescent="0.2">
      <c r="A871" s="9">
        <v>868</v>
      </c>
      <c r="B871" s="178">
        <f t="shared" si="254"/>
        <v>103</v>
      </c>
      <c r="C871" s="178">
        <f t="shared" si="254"/>
        <v>103</v>
      </c>
      <c r="D871" s="2">
        <f>PARAM!$H$38</f>
        <v>1</v>
      </c>
      <c r="E871" s="11">
        <f>PARAM!$G$38</f>
        <v>0</v>
      </c>
      <c r="F871" s="11">
        <f>(VLOOKUP(C871,DEDN!$A$8:$O$902,$F$2)*D871+E871)/1000</f>
        <v>0.28441000000000005</v>
      </c>
      <c r="G871" s="178">
        <f t="shared" si="255"/>
        <v>72</v>
      </c>
      <c r="H871" s="178">
        <f t="shared" si="255"/>
        <v>72</v>
      </c>
      <c r="I871" s="2">
        <f>PARAM!$H$39</f>
        <v>0</v>
      </c>
      <c r="J871" s="11">
        <f>PARAM!$G$39</f>
        <v>0</v>
      </c>
      <c r="K871" s="11">
        <f>(VLOOKUP(H871,DEDN!$A$8:$O$902,$K$2)*I871+J871)/1000</f>
        <v>0</v>
      </c>
      <c r="L871" s="11">
        <f>MIN(IF(PARAM!$B$43=3,CHOOSE($L$2,F871,K871),F871+K871-F871*K871),1)</f>
        <v>0.28441000000000005</v>
      </c>
      <c r="M871" s="2">
        <f>PARAM!$I$38</f>
        <v>0</v>
      </c>
      <c r="N871" s="11">
        <f>VLOOKUP(B871,DEDN!$A$8:$O$90,$N$2)*M871</f>
        <v>0</v>
      </c>
      <c r="O871" s="12"/>
      <c r="P871" s="10">
        <f>PARAM!$C$53^-A871</f>
        <v>1</v>
      </c>
      <c r="Q871" s="10">
        <f t="shared" si="258"/>
        <v>4.5420507149357371E-3</v>
      </c>
      <c r="R871" s="10">
        <f t="shared" si="257"/>
        <v>4.5420507149357371E-3</v>
      </c>
      <c r="S871" s="10">
        <f>CHOOSE(PARAM!$B$51,R871,0,0,0)*(A871&lt;PARAM!$B$55)</f>
        <v>0</v>
      </c>
      <c r="T871" s="10">
        <f t="shared" si="247"/>
        <v>1.2491576630642345E-4</v>
      </c>
      <c r="U871" s="10">
        <f>T871*P871*(A871&lt;PARAM!$B$55)</f>
        <v>0</v>
      </c>
      <c r="W871">
        <v>868</v>
      </c>
      <c r="X871" s="178">
        <f t="shared" si="256"/>
        <v>103</v>
      </c>
      <c r="Y871" s="178">
        <f t="shared" si="256"/>
        <v>103</v>
      </c>
      <c r="Z871" s="178">
        <f t="shared" si="256"/>
        <v>72</v>
      </c>
      <c r="AA871" s="178">
        <f t="shared" si="256"/>
        <v>72</v>
      </c>
      <c r="AD871" s="17">
        <f>CALC!E895*(A871&lt;PARAM!$B$55)</f>
        <v>0</v>
      </c>
      <c r="AE871">
        <f>IF(A871&lt;ITER!$C$16,1,PARAM!$C$53^-(RATES!A871-ITER!$C$16))*(A871&lt;PARAM!$B$55)</f>
        <v>0</v>
      </c>
    </row>
    <row r="872" spans="1:31" x14ac:dyDescent="0.2">
      <c r="A872" s="9">
        <v>869</v>
      </c>
      <c r="B872" s="178">
        <f t="shared" si="254"/>
        <v>103</v>
      </c>
      <c r="C872" s="178">
        <f t="shared" si="254"/>
        <v>103</v>
      </c>
      <c r="D872" s="2">
        <f>PARAM!$H$38</f>
        <v>1</v>
      </c>
      <c r="E872" s="11">
        <f>PARAM!$G$38</f>
        <v>0</v>
      </c>
      <c r="F872" s="11">
        <f>(VLOOKUP(C872,DEDN!$A$8:$O$902,$F$2)*D872+E872)/1000</f>
        <v>0.28441000000000005</v>
      </c>
      <c r="G872" s="178">
        <f t="shared" si="255"/>
        <v>72</v>
      </c>
      <c r="H872" s="178">
        <f t="shared" si="255"/>
        <v>72</v>
      </c>
      <c r="I872" s="2">
        <f>PARAM!$H$39</f>
        <v>0</v>
      </c>
      <c r="J872" s="11">
        <f>PARAM!$G$39</f>
        <v>0</v>
      </c>
      <c r="K872" s="11">
        <f>(VLOOKUP(H872,DEDN!$A$8:$O$902,$K$2)*I872+J872)/1000</f>
        <v>0</v>
      </c>
      <c r="L872" s="11">
        <f>MIN(IF(PARAM!$B$43=3,CHOOSE($L$2,F872,K872),F872+K872-F872*K872),1)</f>
        <v>0.28441000000000005</v>
      </c>
      <c r="M872" s="2">
        <f>PARAM!$I$38</f>
        <v>0</v>
      </c>
      <c r="N872" s="11">
        <f>VLOOKUP(B872,DEDN!$A$8:$O$90,$N$2)*M872</f>
        <v>0</v>
      </c>
      <c r="O872" s="12"/>
      <c r="P872" s="10">
        <f>PARAM!$C$53^-A872</f>
        <v>1</v>
      </c>
      <c r="Q872" s="10">
        <f t="shared" si="258"/>
        <v>4.4171349486293136E-3</v>
      </c>
      <c r="R872" s="10">
        <f t="shared" si="257"/>
        <v>4.4171349486293136E-3</v>
      </c>
      <c r="S872" s="10">
        <f>CHOOSE(PARAM!$B$51,R872,0,0,0)*(A872&lt;PARAM!$B$55)</f>
        <v>0</v>
      </c>
      <c r="T872" s="10">
        <f t="shared" si="247"/>
        <v>1.2148032499340392E-4</v>
      </c>
      <c r="U872" s="10">
        <f>T872*P872*(A872&lt;PARAM!$B$55)</f>
        <v>0</v>
      </c>
      <c r="W872">
        <v>869</v>
      </c>
      <c r="X872" s="178">
        <f t="shared" si="256"/>
        <v>103</v>
      </c>
      <c r="Y872" s="178">
        <f t="shared" si="256"/>
        <v>103</v>
      </c>
      <c r="Z872" s="178">
        <f t="shared" si="256"/>
        <v>72</v>
      </c>
      <c r="AA872" s="178">
        <f t="shared" si="256"/>
        <v>72</v>
      </c>
      <c r="AD872" s="17">
        <f>CALC!E896*(A872&lt;PARAM!$B$55)</f>
        <v>0</v>
      </c>
      <c r="AE872">
        <f>IF(A872&lt;ITER!$C$16,1,PARAM!$C$53^-(RATES!A872-ITER!$C$16))*(A872&lt;PARAM!$B$55)</f>
        <v>0</v>
      </c>
    </row>
    <row r="873" spans="1:31" x14ac:dyDescent="0.2">
      <c r="A873" s="9">
        <v>870</v>
      </c>
      <c r="B873" s="178">
        <f t="shared" si="254"/>
        <v>104</v>
      </c>
      <c r="C873" s="178">
        <f t="shared" si="254"/>
        <v>104</v>
      </c>
      <c r="D873" s="2">
        <f>PARAM!$H$38</f>
        <v>1</v>
      </c>
      <c r="E873" s="11">
        <f>PARAM!$G$38</f>
        <v>0</v>
      </c>
      <c r="F873" s="11">
        <f>(VLOOKUP(C873,DEDN!$A$8:$O$902,$F$2)*D873+E873)/1000</f>
        <v>0.28441000000000005</v>
      </c>
      <c r="G873" s="178">
        <f t="shared" si="255"/>
        <v>73</v>
      </c>
      <c r="H873" s="178">
        <f t="shared" si="255"/>
        <v>73</v>
      </c>
      <c r="I873" s="2">
        <f>PARAM!$H$39</f>
        <v>0</v>
      </c>
      <c r="J873" s="11">
        <f>PARAM!$G$39</f>
        <v>0</v>
      </c>
      <c r="K873" s="11">
        <f>(VLOOKUP(H873,DEDN!$A$8:$O$902,$K$2)*I873+J873)/1000</f>
        <v>0</v>
      </c>
      <c r="L873" s="11">
        <f>MIN(IF(PARAM!$B$43=3,CHOOSE($L$2,F873,K873),F873+K873-F873*K873),1)</f>
        <v>0.28441000000000005</v>
      </c>
      <c r="M873" s="2">
        <f>PARAM!$I$38</f>
        <v>0</v>
      </c>
      <c r="N873" s="11">
        <f>VLOOKUP(B873,DEDN!$A$8:$O$90,$N$2)*M873</f>
        <v>0</v>
      </c>
      <c r="O873" s="12"/>
      <c r="P873" s="10">
        <f>PARAM!$C$53^-A873</f>
        <v>1</v>
      </c>
      <c r="Q873" s="10">
        <f t="shared" si="258"/>
        <v>4.2956546236359097E-3</v>
      </c>
      <c r="R873" s="10">
        <f t="shared" si="257"/>
        <v>4.2956546236359097E-3</v>
      </c>
      <c r="S873" s="10">
        <f>CHOOSE(PARAM!$B$51,R873,R873,R873,0)*(A873&lt;PARAM!$B$55)</f>
        <v>0</v>
      </c>
      <c r="T873" s="10">
        <f t="shared" si="247"/>
        <v>1.1813936540486236E-4</v>
      </c>
      <c r="U873" s="10">
        <f>T873*P873*(A873&lt;PARAM!$B$55)</f>
        <v>0</v>
      </c>
      <c r="W873">
        <v>870</v>
      </c>
      <c r="X873" s="178">
        <f t="shared" si="256"/>
        <v>104</v>
      </c>
      <c r="Y873" s="178">
        <f t="shared" si="256"/>
        <v>104</v>
      </c>
      <c r="Z873" s="178">
        <f t="shared" si="256"/>
        <v>73</v>
      </c>
      <c r="AA873" s="178">
        <f t="shared" si="256"/>
        <v>73</v>
      </c>
      <c r="AD873" s="17">
        <f>CALC!E897*(A873&lt;PARAM!$B$55)</f>
        <v>0</v>
      </c>
      <c r="AE873">
        <f>IF(A873&lt;ITER!$C$16,1,PARAM!$C$53^-(RATES!A873-ITER!$C$16))*(A873&lt;PARAM!$B$55)</f>
        <v>0</v>
      </c>
    </row>
    <row r="874" spans="1:31" x14ac:dyDescent="0.2">
      <c r="A874" s="9">
        <v>871</v>
      </c>
      <c r="B874" s="178">
        <f t="shared" si="254"/>
        <v>104</v>
      </c>
      <c r="C874" s="178">
        <f t="shared" si="254"/>
        <v>104</v>
      </c>
      <c r="D874" s="2">
        <f>PARAM!$H$38</f>
        <v>1</v>
      </c>
      <c r="E874" s="11">
        <f>PARAM!$G$38</f>
        <v>0</v>
      </c>
      <c r="F874" s="11">
        <f>(VLOOKUP(C874,DEDN!$A$8:$O$902,$F$2)*D874+E874)/1000</f>
        <v>0.28441000000000005</v>
      </c>
      <c r="G874" s="178">
        <f t="shared" si="255"/>
        <v>73</v>
      </c>
      <c r="H874" s="178">
        <f t="shared" si="255"/>
        <v>73</v>
      </c>
      <c r="I874" s="2">
        <f>PARAM!$H$39</f>
        <v>0</v>
      </c>
      <c r="J874" s="11">
        <f>PARAM!$G$39</f>
        <v>0</v>
      </c>
      <c r="K874" s="11">
        <f>(VLOOKUP(H874,DEDN!$A$8:$O$902,$K$2)*I874+J874)/1000</f>
        <v>0</v>
      </c>
      <c r="L874" s="11">
        <f>MIN(IF(PARAM!$B$43=3,CHOOSE($L$2,F874,K874),F874+K874-F874*K874),1)</f>
        <v>0.28441000000000005</v>
      </c>
      <c r="M874" s="2">
        <f>PARAM!$I$38</f>
        <v>0</v>
      </c>
      <c r="N874" s="11">
        <f>VLOOKUP(B874,DEDN!$A$8:$O$90,$N$2)*M874</f>
        <v>0</v>
      </c>
      <c r="O874" s="12"/>
      <c r="P874" s="10">
        <f>PARAM!$C$53^-A874</f>
        <v>1</v>
      </c>
      <c r="Q874" s="10">
        <f t="shared" si="258"/>
        <v>4.1775152582310474E-3</v>
      </c>
      <c r="R874" s="10">
        <f t="shared" si="257"/>
        <v>4.1775152582310474E-3</v>
      </c>
      <c r="S874" s="10">
        <f>CHOOSE(PARAM!$B$51,R874,0,0,0)*(A874&lt;PARAM!$B$55)</f>
        <v>0</v>
      </c>
      <c r="T874" s="10">
        <f t="shared" si="247"/>
        <v>1.1489028909843213E-4</v>
      </c>
      <c r="U874" s="10">
        <f>T874*P874*(A874&lt;PARAM!$B$55)</f>
        <v>0</v>
      </c>
      <c r="W874">
        <v>871</v>
      </c>
      <c r="X874" s="178">
        <f t="shared" si="256"/>
        <v>104</v>
      </c>
      <c r="Y874" s="178">
        <f t="shared" si="256"/>
        <v>104</v>
      </c>
      <c r="Z874" s="178">
        <f t="shared" si="256"/>
        <v>73</v>
      </c>
      <c r="AA874" s="178">
        <f t="shared" si="256"/>
        <v>73</v>
      </c>
      <c r="AD874" s="17">
        <f>CALC!E898*(A874&lt;PARAM!$B$55)</f>
        <v>0</v>
      </c>
      <c r="AE874">
        <f>IF(A874&lt;ITER!$C$16,1,PARAM!$C$53^-(RATES!A874-ITER!$C$16))*(A874&lt;PARAM!$B$55)</f>
        <v>0</v>
      </c>
    </row>
    <row r="875" spans="1:31" x14ac:dyDescent="0.2">
      <c r="A875" s="9">
        <v>872</v>
      </c>
      <c r="B875" s="178">
        <f t="shared" si="254"/>
        <v>104</v>
      </c>
      <c r="C875" s="178">
        <f t="shared" si="254"/>
        <v>104</v>
      </c>
      <c r="D875" s="2">
        <f>PARAM!$H$38</f>
        <v>1</v>
      </c>
      <c r="E875" s="11">
        <f>PARAM!$G$38</f>
        <v>0</v>
      </c>
      <c r="F875" s="11">
        <f>(VLOOKUP(C875,DEDN!$A$8:$O$902,$F$2)*D875+E875)/1000</f>
        <v>0.28441000000000005</v>
      </c>
      <c r="G875" s="178">
        <f t="shared" si="255"/>
        <v>73</v>
      </c>
      <c r="H875" s="178">
        <f t="shared" si="255"/>
        <v>73</v>
      </c>
      <c r="I875" s="2">
        <f>PARAM!$H$39</f>
        <v>0</v>
      </c>
      <c r="J875" s="11">
        <f>PARAM!$G$39</f>
        <v>0</v>
      </c>
      <c r="K875" s="11">
        <f>(VLOOKUP(H875,DEDN!$A$8:$O$902,$K$2)*I875+J875)/1000</f>
        <v>0</v>
      </c>
      <c r="L875" s="11">
        <f>MIN(IF(PARAM!$B$43=3,CHOOSE($L$2,F875,K875),F875+K875-F875*K875),1)</f>
        <v>0.28441000000000005</v>
      </c>
      <c r="M875" s="2">
        <f>PARAM!$I$38</f>
        <v>0</v>
      </c>
      <c r="N875" s="11">
        <f>VLOOKUP(B875,DEDN!$A$8:$O$90,$N$2)*M875</f>
        <v>0</v>
      </c>
      <c r="O875" s="12"/>
      <c r="P875" s="10">
        <f>PARAM!$C$53^-A875</f>
        <v>1</v>
      </c>
      <c r="Q875" s="10">
        <f t="shared" si="258"/>
        <v>4.0626249691326152E-3</v>
      </c>
      <c r="R875" s="10">
        <f t="shared" si="257"/>
        <v>4.0626249691326152E-3</v>
      </c>
      <c r="S875" s="10">
        <f>CHOOSE(PARAM!$B$51,R875,0,0,0)*(A875&lt;PARAM!$B$55)</f>
        <v>0</v>
      </c>
      <c r="T875" s="10">
        <f t="shared" si="247"/>
        <v>1.1173056909427083E-4</v>
      </c>
      <c r="U875" s="10">
        <f>T875*P875*(A875&lt;PARAM!$B$55)</f>
        <v>0</v>
      </c>
      <c r="W875">
        <v>872</v>
      </c>
      <c r="X875" s="178">
        <f t="shared" si="256"/>
        <v>104</v>
      </c>
      <c r="Y875" s="178">
        <f t="shared" si="256"/>
        <v>104</v>
      </c>
      <c r="Z875" s="178">
        <f t="shared" si="256"/>
        <v>73</v>
      </c>
      <c r="AA875" s="178">
        <f t="shared" si="256"/>
        <v>73</v>
      </c>
      <c r="AD875" s="17">
        <f>CALC!E899*(A875&lt;PARAM!$B$55)</f>
        <v>0</v>
      </c>
      <c r="AE875">
        <f>IF(A875&lt;ITER!$C$16,1,PARAM!$C$53^-(RATES!A875-ITER!$C$16))*(A875&lt;PARAM!$B$55)</f>
        <v>0</v>
      </c>
    </row>
    <row r="876" spans="1:31" x14ac:dyDescent="0.2">
      <c r="A876" s="9">
        <v>873</v>
      </c>
      <c r="B876" s="178">
        <f t="shared" si="254"/>
        <v>104</v>
      </c>
      <c r="C876" s="178">
        <f t="shared" si="254"/>
        <v>104</v>
      </c>
      <c r="D876" s="2">
        <f>PARAM!$H$38</f>
        <v>1</v>
      </c>
      <c r="E876" s="11">
        <f>PARAM!$G$38</f>
        <v>0</v>
      </c>
      <c r="F876" s="11">
        <f>(VLOOKUP(C876,DEDN!$A$8:$O$902,$F$2)*D876+E876)/1000</f>
        <v>0.28441000000000005</v>
      </c>
      <c r="G876" s="178">
        <f t="shared" si="255"/>
        <v>73</v>
      </c>
      <c r="H876" s="178">
        <f t="shared" si="255"/>
        <v>73</v>
      </c>
      <c r="I876" s="2">
        <f>PARAM!$H$39</f>
        <v>0</v>
      </c>
      <c r="J876" s="11">
        <f>PARAM!$G$39</f>
        <v>0</v>
      </c>
      <c r="K876" s="11">
        <f>(VLOOKUP(H876,DEDN!$A$8:$O$902,$K$2)*I876+J876)/1000</f>
        <v>0</v>
      </c>
      <c r="L876" s="11">
        <f>MIN(IF(PARAM!$B$43=3,CHOOSE($L$2,F876,K876),F876+K876-F876*K876),1)</f>
        <v>0.28441000000000005</v>
      </c>
      <c r="M876" s="2">
        <f>PARAM!$I$38</f>
        <v>0</v>
      </c>
      <c r="N876" s="11">
        <f>VLOOKUP(B876,DEDN!$A$8:$O$90,$N$2)*M876</f>
        <v>0</v>
      </c>
      <c r="O876" s="12"/>
      <c r="P876" s="10">
        <f>PARAM!$C$53^-A876</f>
        <v>1</v>
      </c>
      <c r="Q876" s="10">
        <f t="shared" si="258"/>
        <v>3.9508944000383444E-3</v>
      </c>
      <c r="R876" s="10">
        <f t="shared" si="257"/>
        <v>3.9508944000383444E-3</v>
      </c>
      <c r="S876" s="10">
        <f>CHOOSE(PARAM!$B$51,R876,R876,0,0)*(A876&lt;PARAM!$B$55)</f>
        <v>0</v>
      </c>
      <c r="T876" s="10">
        <f t="shared" si="247"/>
        <v>1.0865774790969713E-4</v>
      </c>
      <c r="U876" s="10">
        <f>T876*P876*(A876&lt;PARAM!$B$55)</f>
        <v>0</v>
      </c>
      <c r="W876">
        <v>873</v>
      </c>
      <c r="X876" s="178">
        <f t="shared" si="256"/>
        <v>104</v>
      </c>
      <c r="Y876" s="178">
        <f t="shared" si="256"/>
        <v>104</v>
      </c>
      <c r="Z876" s="178">
        <f t="shared" si="256"/>
        <v>73</v>
      </c>
      <c r="AA876" s="178">
        <f t="shared" si="256"/>
        <v>73</v>
      </c>
      <c r="AD876" s="17">
        <f>CALC!E900*(A876&lt;PARAM!$B$55)</f>
        <v>0</v>
      </c>
      <c r="AE876">
        <f>IF(A876&lt;ITER!$C$16,1,PARAM!$C$53^-(RATES!A876-ITER!$C$16))*(A876&lt;PARAM!$B$55)</f>
        <v>0</v>
      </c>
    </row>
    <row r="877" spans="1:31" x14ac:dyDescent="0.2">
      <c r="A877" s="9">
        <v>874</v>
      </c>
      <c r="B877" s="178">
        <f t="shared" si="254"/>
        <v>104</v>
      </c>
      <c r="C877" s="178">
        <f t="shared" si="254"/>
        <v>104</v>
      </c>
      <c r="D877" s="2">
        <f>PARAM!$H$38</f>
        <v>1</v>
      </c>
      <c r="E877" s="11">
        <f>PARAM!$G$38</f>
        <v>0</v>
      </c>
      <c r="F877" s="11">
        <f>(VLOOKUP(C877,DEDN!$A$8:$O$902,$F$2)*D877+E877)/1000</f>
        <v>0.28441000000000005</v>
      </c>
      <c r="G877" s="178">
        <f t="shared" si="255"/>
        <v>73</v>
      </c>
      <c r="H877" s="178">
        <f t="shared" si="255"/>
        <v>73</v>
      </c>
      <c r="I877" s="2">
        <f>PARAM!$H$39</f>
        <v>0</v>
      </c>
      <c r="J877" s="11">
        <f>PARAM!$G$39</f>
        <v>0</v>
      </c>
      <c r="K877" s="11">
        <f>(VLOOKUP(H877,DEDN!$A$8:$O$902,$K$2)*I877+J877)/1000</f>
        <v>0</v>
      </c>
      <c r="L877" s="11">
        <f>MIN(IF(PARAM!$B$43=3,CHOOSE($L$2,F877,K877),F877+K877-F877*K877),1)</f>
        <v>0.28441000000000005</v>
      </c>
      <c r="M877" s="2">
        <f>PARAM!$I$38</f>
        <v>0</v>
      </c>
      <c r="N877" s="11">
        <f>VLOOKUP(B877,DEDN!$A$8:$O$90,$N$2)*M877</f>
        <v>0</v>
      </c>
      <c r="O877" s="12"/>
      <c r="P877" s="10">
        <f>PARAM!$C$53^-A877</f>
        <v>1</v>
      </c>
      <c r="Q877" s="10">
        <f t="shared" si="258"/>
        <v>3.8422366521286473E-3</v>
      </c>
      <c r="R877" s="10">
        <f t="shared" si="257"/>
        <v>3.8422366521286473E-3</v>
      </c>
      <c r="S877" s="10">
        <f>CHOOSE(PARAM!$B$51,R877,0,0,0)*(A877&lt;PARAM!$B$55)</f>
        <v>0</v>
      </c>
      <c r="T877" s="10">
        <f t="shared" si="247"/>
        <v>1.0566943564787289E-4</v>
      </c>
      <c r="U877" s="10">
        <f>T877*P877*(A877&lt;PARAM!$B$55)</f>
        <v>0</v>
      </c>
      <c r="W877">
        <v>874</v>
      </c>
      <c r="X877" s="178">
        <f t="shared" si="256"/>
        <v>104</v>
      </c>
      <c r="Y877" s="178">
        <f t="shared" si="256"/>
        <v>104</v>
      </c>
      <c r="Z877" s="178">
        <f t="shared" si="256"/>
        <v>73</v>
      </c>
      <c r="AA877" s="178">
        <f t="shared" si="256"/>
        <v>73</v>
      </c>
      <c r="AD877" s="17">
        <f>CALC!E901*(A877&lt;PARAM!$B$55)</f>
        <v>0</v>
      </c>
      <c r="AE877">
        <f>IF(A877&lt;ITER!$C$16,1,PARAM!$C$53^-(RATES!A877-ITER!$C$16))*(A877&lt;PARAM!$B$55)</f>
        <v>0</v>
      </c>
    </row>
    <row r="878" spans="1:31" x14ac:dyDescent="0.2">
      <c r="A878" s="9">
        <v>875</v>
      </c>
      <c r="B878" s="178">
        <f t="shared" si="254"/>
        <v>104</v>
      </c>
      <c r="C878" s="178">
        <f t="shared" si="254"/>
        <v>104</v>
      </c>
      <c r="D878" s="2">
        <f>PARAM!$H$38</f>
        <v>1</v>
      </c>
      <c r="E878" s="11">
        <f>PARAM!$G$38</f>
        <v>0</v>
      </c>
      <c r="F878" s="11">
        <f>(VLOOKUP(C878,DEDN!$A$8:$O$902,$F$2)*D878+E878)/1000</f>
        <v>0.28441000000000005</v>
      </c>
      <c r="G878" s="178">
        <f t="shared" si="255"/>
        <v>73</v>
      </c>
      <c r="H878" s="178">
        <f t="shared" si="255"/>
        <v>73</v>
      </c>
      <c r="I878" s="2">
        <f>PARAM!$H$39</f>
        <v>0</v>
      </c>
      <c r="J878" s="11">
        <f>PARAM!$G$39</f>
        <v>0</v>
      </c>
      <c r="K878" s="11">
        <f>(VLOOKUP(H878,DEDN!$A$8:$O$902,$K$2)*I878+J878)/1000</f>
        <v>0</v>
      </c>
      <c r="L878" s="11">
        <f>MIN(IF(PARAM!$B$43=3,CHOOSE($L$2,F878,K878),F878+K878-F878*K878),1)</f>
        <v>0.28441000000000005</v>
      </c>
      <c r="M878" s="2">
        <f>PARAM!$I$38</f>
        <v>0</v>
      </c>
      <c r="N878" s="11">
        <f>VLOOKUP(B878,DEDN!$A$8:$O$90,$N$2)*M878</f>
        <v>0</v>
      </c>
      <c r="O878" s="12"/>
      <c r="P878" s="10">
        <f>PARAM!$C$53^-A878</f>
        <v>1</v>
      </c>
      <c r="Q878" s="10">
        <f t="shared" si="258"/>
        <v>3.7365672164807744E-3</v>
      </c>
      <c r="R878" s="10">
        <f t="shared" si="257"/>
        <v>3.7365672164807744E-3</v>
      </c>
      <c r="S878" s="10">
        <f>CHOOSE(PARAM!$B$51,R878,0,0,0)*(A878&lt;PARAM!$B$55)</f>
        <v>0</v>
      </c>
      <c r="T878" s="10">
        <f t="shared" si="247"/>
        <v>1.0276330813905471E-4</v>
      </c>
      <c r="U878" s="10">
        <f>T878*P878*(A878&lt;PARAM!$B$55)</f>
        <v>0</v>
      </c>
      <c r="W878">
        <v>875</v>
      </c>
      <c r="X878" s="178">
        <f t="shared" si="256"/>
        <v>104</v>
      </c>
      <c r="Y878" s="178">
        <f t="shared" si="256"/>
        <v>104</v>
      </c>
      <c r="Z878" s="178">
        <f t="shared" si="256"/>
        <v>73</v>
      </c>
      <c r="AA878" s="178">
        <f t="shared" si="256"/>
        <v>73</v>
      </c>
      <c r="AD878" s="17">
        <f>CALC!E902*(A878&lt;PARAM!$B$55)</f>
        <v>0</v>
      </c>
      <c r="AE878">
        <f>IF(A878&lt;ITER!$C$16,1,PARAM!$C$53^-(RATES!A878-ITER!$C$16))*(A878&lt;PARAM!$B$55)</f>
        <v>0</v>
      </c>
    </row>
    <row r="879" spans="1:31" x14ac:dyDescent="0.2">
      <c r="A879" s="9">
        <v>876</v>
      </c>
      <c r="B879" s="178">
        <f t="shared" si="254"/>
        <v>104</v>
      </c>
      <c r="C879" s="178">
        <f t="shared" si="254"/>
        <v>104</v>
      </c>
      <c r="D879" s="2">
        <f>PARAM!$H$38</f>
        <v>1</v>
      </c>
      <c r="E879" s="11">
        <f>PARAM!$G$38</f>
        <v>0</v>
      </c>
      <c r="F879" s="11">
        <f>(VLOOKUP(C879,DEDN!$A$8:$O$902,$F$2)*D879+E879)/1000</f>
        <v>0.28441000000000005</v>
      </c>
      <c r="G879" s="178">
        <f t="shared" si="255"/>
        <v>73</v>
      </c>
      <c r="H879" s="178">
        <f t="shared" si="255"/>
        <v>73</v>
      </c>
      <c r="I879" s="2">
        <f>PARAM!$H$39</f>
        <v>0</v>
      </c>
      <c r="J879" s="11">
        <f>PARAM!$G$39</f>
        <v>0</v>
      </c>
      <c r="K879" s="11">
        <f>(VLOOKUP(H879,DEDN!$A$8:$O$902,$K$2)*I879+J879)/1000</f>
        <v>0</v>
      </c>
      <c r="L879" s="11">
        <f>MIN(IF(PARAM!$B$43=3,CHOOSE($L$2,F879,K879),F879+K879-F879*K879),1)</f>
        <v>0.28441000000000005</v>
      </c>
      <c r="M879" s="2">
        <f>PARAM!$I$38</f>
        <v>0</v>
      </c>
      <c r="N879" s="11">
        <f>VLOOKUP(B879,DEDN!$A$8:$O$90,$N$2)*M879</f>
        <v>0</v>
      </c>
      <c r="O879" s="12"/>
      <c r="P879" s="10">
        <f>PARAM!$C$53^-A879</f>
        <v>1</v>
      </c>
      <c r="Q879" s="10">
        <f t="shared" si="258"/>
        <v>3.6338039083417197E-3</v>
      </c>
      <c r="R879" s="10">
        <f t="shared" si="257"/>
        <v>3.6338039083417197E-3</v>
      </c>
      <c r="S879" s="10">
        <f>R879*(A879&lt;PARAM!$B$55)</f>
        <v>0</v>
      </c>
      <c r="T879" s="10">
        <f t="shared" si="247"/>
        <v>9.9937105132962695E-5</v>
      </c>
      <c r="U879" s="10">
        <f>T879*P879*(A879&lt;PARAM!$B$55)</f>
        <v>0</v>
      </c>
      <c r="W879">
        <v>876</v>
      </c>
      <c r="X879" s="178">
        <f t="shared" si="256"/>
        <v>104</v>
      </c>
      <c r="Y879" s="178">
        <f t="shared" si="256"/>
        <v>104</v>
      </c>
      <c r="Z879" s="178">
        <f t="shared" si="256"/>
        <v>73</v>
      </c>
      <c r="AA879" s="178">
        <f t="shared" si="256"/>
        <v>73</v>
      </c>
      <c r="AD879" s="17">
        <f>CALC!E903*(A879&lt;PARAM!$B$55)</f>
        <v>0</v>
      </c>
      <c r="AE879">
        <f>IF(A879&lt;ITER!$C$16,1,PARAM!$C$53^-(RATES!A879-ITER!$C$16))*(A879&lt;PARAM!$B$55)</f>
        <v>0</v>
      </c>
    </row>
    <row r="880" spans="1:31" x14ac:dyDescent="0.2">
      <c r="A880" s="9">
        <v>877</v>
      </c>
      <c r="B880" s="178">
        <f t="shared" si="254"/>
        <v>104</v>
      </c>
      <c r="C880" s="178">
        <f t="shared" si="254"/>
        <v>104</v>
      </c>
      <c r="D880" s="2">
        <f>PARAM!$H$38</f>
        <v>1</v>
      </c>
      <c r="E880" s="11">
        <f>PARAM!$G$38</f>
        <v>0</v>
      </c>
      <c r="F880" s="11">
        <f>(VLOOKUP(C880,DEDN!$A$8:$O$902,$F$2)*D880+E880)/1000</f>
        <v>0.28441000000000005</v>
      </c>
      <c r="G880" s="178">
        <f t="shared" si="255"/>
        <v>73</v>
      </c>
      <c r="H880" s="178">
        <f t="shared" si="255"/>
        <v>73</v>
      </c>
      <c r="I880" s="2">
        <f>PARAM!$H$39</f>
        <v>0</v>
      </c>
      <c r="J880" s="11">
        <f>PARAM!$G$39</f>
        <v>0</v>
      </c>
      <c r="K880" s="11">
        <f>(VLOOKUP(H880,DEDN!$A$8:$O$902,$K$2)*I880+J880)/1000</f>
        <v>0</v>
      </c>
      <c r="L880" s="11">
        <f>MIN(IF(PARAM!$B$43=3,CHOOSE($L$2,F880,K880),F880+K880-F880*K880),1)</f>
        <v>0.28441000000000005</v>
      </c>
      <c r="M880" s="2">
        <f>PARAM!$I$38</f>
        <v>0</v>
      </c>
      <c r="N880" s="11">
        <f>VLOOKUP(B880,DEDN!$A$8:$O$90,$N$2)*M880</f>
        <v>0</v>
      </c>
      <c r="O880" s="12"/>
      <c r="P880" s="10">
        <f>PARAM!$C$53^-A880</f>
        <v>1</v>
      </c>
      <c r="Q880" s="10">
        <f t="shared" si="258"/>
        <v>3.533866803208757E-3</v>
      </c>
      <c r="R880" s="10">
        <f t="shared" si="257"/>
        <v>3.533866803208757E-3</v>
      </c>
      <c r="S880" s="10">
        <f>CHOOSE(PARAM!$B$51,R880,0,0,0)*(A880&lt;PARAM!$B$55)</f>
        <v>0</v>
      </c>
      <c r="T880" s="10">
        <f t="shared" si="247"/>
        <v>9.7188628540863242E-5</v>
      </c>
      <c r="U880" s="10">
        <f>T880*P880*(A880&lt;PARAM!$B$55)</f>
        <v>0</v>
      </c>
      <c r="W880">
        <v>877</v>
      </c>
      <c r="X880" s="178">
        <f t="shared" si="256"/>
        <v>104</v>
      </c>
      <c r="Y880" s="178">
        <f t="shared" si="256"/>
        <v>104</v>
      </c>
      <c r="Z880" s="178">
        <f t="shared" si="256"/>
        <v>73</v>
      </c>
      <c r="AA880" s="178">
        <f t="shared" si="256"/>
        <v>73</v>
      </c>
      <c r="AD880" s="17">
        <f>CALC!E904*(A880&lt;PARAM!$B$55)</f>
        <v>0</v>
      </c>
      <c r="AE880">
        <f>IF(A880&lt;ITER!$C$16,1,PARAM!$C$53^-(RATES!A880-ITER!$C$16))*(A880&lt;PARAM!$B$55)</f>
        <v>0</v>
      </c>
    </row>
    <row r="881" spans="1:31" x14ac:dyDescent="0.2">
      <c r="A881" s="9">
        <v>878</v>
      </c>
      <c r="B881" s="178">
        <f t="shared" ref="B881:C900" si="259">B869+1</f>
        <v>104</v>
      </c>
      <c r="C881" s="178">
        <f t="shared" si="259"/>
        <v>104</v>
      </c>
      <c r="D881" s="2">
        <f>PARAM!$H$38</f>
        <v>1</v>
      </c>
      <c r="E881" s="11">
        <f>PARAM!$G$38</f>
        <v>0</v>
      </c>
      <c r="F881" s="11">
        <f>(VLOOKUP(C881,DEDN!$A$8:$O$902,$F$2)*D881+E881)/1000</f>
        <v>0.28441000000000005</v>
      </c>
      <c r="G881" s="178">
        <f t="shared" ref="G881:H900" si="260">G869+1</f>
        <v>73</v>
      </c>
      <c r="H881" s="178">
        <f t="shared" si="260"/>
        <v>73</v>
      </c>
      <c r="I881" s="2">
        <f>PARAM!$H$39</f>
        <v>0</v>
      </c>
      <c r="J881" s="11">
        <f>PARAM!$G$39</f>
        <v>0</v>
      </c>
      <c r="K881" s="11">
        <f>(VLOOKUP(H881,DEDN!$A$8:$O$902,$K$2)*I881+J881)/1000</f>
        <v>0</v>
      </c>
      <c r="L881" s="11">
        <f>MIN(IF(PARAM!$B$43=3,CHOOSE($L$2,F881,K881),F881+K881-F881*K881),1)</f>
        <v>0.28441000000000005</v>
      </c>
      <c r="M881" s="2">
        <f>PARAM!$I$38</f>
        <v>0</v>
      </c>
      <c r="N881" s="11">
        <f>VLOOKUP(B881,DEDN!$A$8:$O$90,$N$2)*M881</f>
        <v>0</v>
      </c>
      <c r="O881" s="12"/>
      <c r="P881" s="10">
        <f>PARAM!$C$53^-A881</f>
        <v>1</v>
      </c>
      <c r="Q881" s="10">
        <f t="shared" si="258"/>
        <v>3.4366781746678937E-3</v>
      </c>
      <c r="R881" s="10">
        <f t="shared" si="257"/>
        <v>3.4366781746678937E-3</v>
      </c>
      <c r="S881" s="10">
        <f>CHOOSE(PARAM!$B$51,R881,0,0,0)*(A881&lt;PARAM!$B$55)</f>
        <v>0</v>
      </c>
      <c r="T881" s="10">
        <f t="shared" si="247"/>
        <v>9.451574072599821E-5</v>
      </c>
      <c r="U881" s="10">
        <f>T881*P881*(A881&lt;PARAM!$B$55)</f>
        <v>0</v>
      </c>
      <c r="W881">
        <v>878</v>
      </c>
      <c r="X881" s="178">
        <f t="shared" ref="X881:AA900" si="261">X869+1</f>
        <v>104</v>
      </c>
      <c r="Y881" s="178">
        <f t="shared" si="261"/>
        <v>104</v>
      </c>
      <c r="Z881" s="178">
        <f t="shared" si="261"/>
        <v>73</v>
      </c>
      <c r="AA881" s="178">
        <f t="shared" si="261"/>
        <v>73</v>
      </c>
      <c r="AD881" s="17">
        <f>CALC!E905*(A881&lt;PARAM!$B$55)</f>
        <v>0</v>
      </c>
      <c r="AE881">
        <f>IF(A881&lt;ITER!$C$16,1,PARAM!$C$53^-(RATES!A881-ITER!$C$16))*(A881&lt;PARAM!$B$55)</f>
        <v>0</v>
      </c>
    </row>
    <row r="882" spans="1:31" x14ac:dyDescent="0.2">
      <c r="A882" s="9">
        <v>879</v>
      </c>
      <c r="B882" s="178">
        <f t="shared" si="259"/>
        <v>104</v>
      </c>
      <c r="C882" s="178">
        <f t="shared" si="259"/>
        <v>104</v>
      </c>
      <c r="D882" s="2">
        <f>PARAM!$H$38</f>
        <v>1</v>
      </c>
      <c r="E882" s="11">
        <f>PARAM!$G$38</f>
        <v>0</v>
      </c>
      <c r="F882" s="11">
        <f>(VLOOKUP(C882,DEDN!$A$8:$O$902,$F$2)*D882+E882)/1000</f>
        <v>0.28441000000000005</v>
      </c>
      <c r="G882" s="178">
        <f t="shared" si="260"/>
        <v>73</v>
      </c>
      <c r="H882" s="178">
        <f t="shared" si="260"/>
        <v>73</v>
      </c>
      <c r="I882" s="2">
        <f>PARAM!$H$39</f>
        <v>0</v>
      </c>
      <c r="J882" s="11">
        <f>PARAM!$G$39</f>
        <v>0</v>
      </c>
      <c r="K882" s="11">
        <f>(VLOOKUP(H882,DEDN!$A$8:$O$902,$K$2)*I882+J882)/1000</f>
        <v>0</v>
      </c>
      <c r="L882" s="11">
        <f>MIN(IF(PARAM!$B$43=3,CHOOSE($L$2,F882,K882),F882+K882-F882*K882),1)</f>
        <v>0.28441000000000005</v>
      </c>
      <c r="M882" s="2">
        <f>PARAM!$I$38</f>
        <v>0</v>
      </c>
      <c r="N882" s="11">
        <f>VLOOKUP(B882,DEDN!$A$8:$O$90,$N$2)*M882</f>
        <v>0</v>
      </c>
      <c r="O882" s="12"/>
      <c r="P882" s="10">
        <f>PARAM!$C$53^-A882</f>
        <v>1</v>
      </c>
      <c r="Q882" s="10">
        <f t="shared" si="258"/>
        <v>3.3421624339418955E-3</v>
      </c>
      <c r="R882" s="10">
        <f t="shared" si="257"/>
        <v>3.3421624339418955E-3</v>
      </c>
      <c r="S882" s="10">
        <f>CHOOSE(PARAM!$B$51,R882,R882,0,0)*(A882&lt;PARAM!$B$55)</f>
        <v>0</v>
      </c>
      <c r="T882" s="10">
        <f t="shared" si="247"/>
        <v>9.1916362841029838E-5</v>
      </c>
      <c r="U882" s="10">
        <f>T882*P882*(A882&lt;PARAM!$B$55)</f>
        <v>0</v>
      </c>
      <c r="W882">
        <v>879</v>
      </c>
      <c r="X882" s="178">
        <f t="shared" si="261"/>
        <v>104</v>
      </c>
      <c r="Y882" s="178">
        <f t="shared" si="261"/>
        <v>104</v>
      </c>
      <c r="Z882" s="178">
        <f t="shared" si="261"/>
        <v>73</v>
      </c>
      <c r="AA882" s="178">
        <f t="shared" si="261"/>
        <v>73</v>
      </c>
      <c r="AD882" s="17">
        <f>CALC!E906*(A882&lt;PARAM!$B$55)</f>
        <v>0</v>
      </c>
      <c r="AE882">
        <f>IF(A882&lt;ITER!$C$16,1,PARAM!$C$53^-(RATES!A882-ITER!$C$16))*(A882&lt;PARAM!$B$55)</f>
        <v>0</v>
      </c>
    </row>
    <row r="883" spans="1:31" x14ac:dyDescent="0.2">
      <c r="A883" s="9">
        <v>880</v>
      </c>
      <c r="B883" s="178">
        <f t="shared" si="259"/>
        <v>104</v>
      </c>
      <c r="C883" s="178">
        <f t="shared" si="259"/>
        <v>104</v>
      </c>
      <c r="D883" s="2">
        <f>PARAM!$H$38</f>
        <v>1</v>
      </c>
      <c r="E883" s="11">
        <f>PARAM!$G$38</f>
        <v>0</v>
      </c>
      <c r="F883" s="11">
        <f>(VLOOKUP(C883,DEDN!$A$8:$O$902,$F$2)*D883+E883)/1000</f>
        <v>0.28441000000000005</v>
      </c>
      <c r="G883" s="178">
        <f t="shared" si="260"/>
        <v>73</v>
      </c>
      <c r="H883" s="178">
        <f t="shared" si="260"/>
        <v>73</v>
      </c>
      <c r="I883" s="2">
        <f>PARAM!$H$39</f>
        <v>0</v>
      </c>
      <c r="J883" s="11">
        <f>PARAM!$G$39</f>
        <v>0</v>
      </c>
      <c r="K883" s="11">
        <f>(VLOOKUP(H883,DEDN!$A$8:$O$902,$K$2)*I883+J883)/1000</f>
        <v>0</v>
      </c>
      <c r="L883" s="11">
        <f>MIN(IF(PARAM!$B$43=3,CHOOSE($L$2,F883,K883),F883+K883-F883*K883),1)</f>
        <v>0.28441000000000005</v>
      </c>
      <c r="M883" s="2">
        <f>PARAM!$I$38</f>
        <v>0</v>
      </c>
      <c r="N883" s="11">
        <f>VLOOKUP(B883,DEDN!$A$8:$O$90,$N$2)*M883</f>
        <v>0</v>
      </c>
      <c r="O883" s="12"/>
      <c r="P883" s="10">
        <f>PARAM!$C$53^-A883</f>
        <v>1</v>
      </c>
      <c r="Q883" s="10">
        <f t="shared" si="258"/>
        <v>3.2502460711008657E-3</v>
      </c>
      <c r="R883" s="10">
        <f t="shared" si="257"/>
        <v>3.2502460711008657E-3</v>
      </c>
      <c r="S883" s="10">
        <f>CHOOSE(PARAM!$B$51,R883,0,0,0)*(A883&lt;PARAM!$B$55)</f>
        <v>0</v>
      </c>
      <c r="T883" s="10">
        <f t="shared" si="247"/>
        <v>8.9388473211213411E-5</v>
      </c>
      <c r="U883" s="10">
        <f>T883*P883*(A883&lt;PARAM!$B$55)</f>
        <v>0</v>
      </c>
      <c r="W883">
        <v>880</v>
      </c>
      <c r="X883" s="178">
        <f t="shared" si="261"/>
        <v>104</v>
      </c>
      <c r="Y883" s="178">
        <f t="shared" si="261"/>
        <v>104</v>
      </c>
      <c r="Z883" s="178">
        <f t="shared" si="261"/>
        <v>73</v>
      </c>
      <c r="AA883" s="178">
        <f t="shared" si="261"/>
        <v>73</v>
      </c>
      <c r="AD883" s="17">
        <f>CALC!E907*(A883&lt;PARAM!$B$55)</f>
        <v>0</v>
      </c>
      <c r="AE883">
        <f>IF(A883&lt;ITER!$C$16,1,PARAM!$C$53^-(RATES!A883-ITER!$C$16))*(A883&lt;PARAM!$B$55)</f>
        <v>0</v>
      </c>
    </row>
    <row r="884" spans="1:31" x14ac:dyDescent="0.2">
      <c r="A884" s="9">
        <v>881</v>
      </c>
      <c r="B884" s="178">
        <f t="shared" si="259"/>
        <v>104</v>
      </c>
      <c r="C884" s="178">
        <f t="shared" si="259"/>
        <v>104</v>
      </c>
      <c r="D884" s="2">
        <f>PARAM!$H$38</f>
        <v>1</v>
      </c>
      <c r="E884" s="11">
        <f>PARAM!$G$38</f>
        <v>0</v>
      </c>
      <c r="F884" s="11">
        <f>(VLOOKUP(C884,DEDN!$A$8:$O$902,$F$2)*D884+E884)/1000</f>
        <v>0.28441000000000005</v>
      </c>
      <c r="G884" s="178">
        <f t="shared" si="260"/>
        <v>73</v>
      </c>
      <c r="H884" s="178">
        <f t="shared" si="260"/>
        <v>73</v>
      </c>
      <c r="I884" s="2">
        <f>PARAM!$H$39</f>
        <v>0</v>
      </c>
      <c r="J884" s="11">
        <f>PARAM!$G$39</f>
        <v>0</v>
      </c>
      <c r="K884" s="11">
        <f>(VLOOKUP(H884,DEDN!$A$8:$O$902,$K$2)*I884+J884)/1000</f>
        <v>0</v>
      </c>
      <c r="L884" s="11">
        <f>MIN(IF(PARAM!$B$43=3,CHOOSE($L$2,F884,K884),F884+K884-F884*K884),1)</f>
        <v>0.28441000000000005</v>
      </c>
      <c r="M884" s="2">
        <f>PARAM!$I$38</f>
        <v>0</v>
      </c>
      <c r="N884" s="11">
        <f>VLOOKUP(B884,DEDN!$A$8:$O$90,$N$2)*M884</f>
        <v>0</v>
      </c>
      <c r="O884" s="12"/>
      <c r="P884" s="10">
        <f>PARAM!$C$53^-A884</f>
        <v>1</v>
      </c>
      <c r="Q884" s="10">
        <f t="shared" si="258"/>
        <v>3.1608575978896523E-3</v>
      </c>
      <c r="R884" s="10">
        <f t="shared" ref="R884:R899" si="262">P884*Q884</f>
        <v>3.1608575978896523E-3</v>
      </c>
      <c r="S884" s="10">
        <f>CHOOSE(PARAM!$B$51,R884,0,0,0)*(A884&lt;PARAM!$B$55)</f>
        <v>0</v>
      </c>
      <c r="T884" s="10">
        <f t="shared" si="247"/>
        <v>8.6930105762029596E-5</v>
      </c>
      <c r="U884" s="10">
        <f>T884*P884*(A884&lt;PARAM!$B$55)</f>
        <v>0</v>
      </c>
      <c r="W884">
        <v>881</v>
      </c>
      <c r="X884" s="178">
        <f t="shared" si="261"/>
        <v>104</v>
      </c>
      <c r="Y884" s="178">
        <f t="shared" si="261"/>
        <v>104</v>
      </c>
      <c r="Z884" s="178">
        <f t="shared" si="261"/>
        <v>73</v>
      </c>
      <c r="AA884" s="178">
        <f t="shared" si="261"/>
        <v>73</v>
      </c>
      <c r="AD884" s="17">
        <f>CALC!E908*(A884&lt;PARAM!$B$55)</f>
        <v>0</v>
      </c>
      <c r="AE884">
        <f>IF(A884&lt;ITER!$C$16,1,PARAM!$C$53^-(RATES!A884-ITER!$C$16))*(A884&lt;PARAM!$B$55)</f>
        <v>0</v>
      </c>
    </row>
    <row r="885" spans="1:31" x14ac:dyDescent="0.2">
      <c r="A885" s="9">
        <v>882</v>
      </c>
      <c r="B885" s="178">
        <f t="shared" si="259"/>
        <v>105</v>
      </c>
      <c r="C885" s="178">
        <f t="shared" si="259"/>
        <v>105</v>
      </c>
      <c r="D885" s="2">
        <f>PARAM!$H$38</f>
        <v>1</v>
      </c>
      <c r="E885" s="11">
        <f>PARAM!$G$38</f>
        <v>0</v>
      </c>
      <c r="F885" s="11">
        <f>(VLOOKUP(C885,DEDN!$A$8:$O$902,$F$2)*D885+E885)/1000</f>
        <v>0.28441000000000005</v>
      </c>
      <c r="G885" s="178">
        <f t="shared" si="260"/>
        <v>74</v>
      </c>
      <c r="H885" s="178">
        <f t="shared" si="260"/>
        <v>74</v>
      </c>
      <c r="I885" s="2">
        <f>PARAM!$H$39</f>
        <v>0</v>
      </c>
      <c r="J885" s="11">
        <f>PARAM!$G$39</f>
        <v>0</v>
      </c>
      <c r="K885" s="11">
        <f>(VLOOKUP(H885,DEDN!$A$8:$O$902,$K$2)*I885+J885)/1000</f>
        <v>0</v>
      </c>
      <c r="L885" s="11">
        <f>MIN(IF(PARAM!$B$43=3,CHOOSE($L$2,F885,K885),F885+K885-F885*K885),1)</f>
        <v>0.28441000000000005</v>
      </c>
      <c r="M885" s="2">
        <f>PARAM!$I$38</f>
        <v>0</v>
      </c>
      <c r="N885" s="11">
        <f>VLOOKUP(B885,DEDN!$A$8:$O$90,$N$2)*M885</f>
        <v>0</v>
      </c>
      <c r="O885" s="12"/>
      <c r="P885" s="10">
        <f>PARAM!$C$53^-A885</f>
        <v>1</v>
      </c>
      <c r="Q885" s="10">
        <f t="shared" ref="Q885:Q900" si="263">Q884*(1-L884)^(1/12)</f>
        <v>3.0739274921276227E-3</v>
      </c>
      <c r="R885" s="10">
        <f t="shared" si="262"/>
        <v>3.0739274921276227E-3</v>
      </c>
      <c r="S885" s="10">
        <f>CHOOSE(PARAM!$B$51,R885,R885,R885,0)*(A885&lt;PARAM!$B$55)</f>
        <v>0</v>
      </c>
      <c r="T885" s="10">
        <f t="shared" si="247"/>
        <v>8.4539348490065593E-5</v>
      </c>
      <c r="U885" s="10">
        <f>T885*P885*(A885&lt;PARAM!$B$55)</f>
        <v>0</v>
      </c>
      <c r="W885">
        <v>882</v>
      </c>
      <c r="X885" s="178">
        <f t="shared" si="261"/>
        <v>105</v>
      </c>
      <c r="Y885" s="178">
        <f t="shared" si="261"/>
        <v>105</v>
      </c>
      <c r="Z885" s="178">
        <f t="shared" si="261"/>
        <v>74</v>
      </c>
      <c r="AA885" s="178">
        <f t="shared" si="261"/>
        <v>74</v>
      </c>
      <c r="AD885" s="17">
        <f>CALC!E909*(A885&lt;PARAM!$B$55)</f>
        <v>0</v>
      </c>
      <c r="AE885">
        <f>IF(A885&lt;ITER!$C$16,1,PARAM!$C$53^-(RATES!A885-ITER!$C$16))*(A885&lt;PARAM!$B$55)</f>
        <v>0</v>
      </c>
    </row>
    <row r="886" spans="1:31" x14ac:dyDescent="0.2">
      <c r="A886" s="9">
        <v>883</v>
      </c>
      <c r="B886" s="178">
        <f t="shared" si="259"/>
        <v>105</v>
      </c>
      <c r="C886" s="178">
        <f t="shared" si="259"/>
        <v>105</v>
      </c>
      <c r="D886" s="2">
        <f>PARAM!$H$38</f>
        <v>1</v>
      </c>
      <c r="E886" s="11">
        <f>PARAM!$G$38</f>
        <v>0</v>
      </c>
      <c r="F886" s="11">
        <f>(VLOOKUP(C886,DEDN!$A$8:$O$902,$F$2)*D886+E886)/1000</f>
        <v>0.28441000000000005</v>
      </c>
      <c r="G886" s="178">
        <f t="shared" si="260"/>
        <v>74</v>
      </c>
      <c r="H886" s="178">
        <f t="shared" si="260"/>
        <v>74</v>
      </c>
      <c r="I886" s="2">
        <f>PARAM!$H$39</f>
        <v>0</v>
      </c>
      <c r="J886" s="11">
        <f>PARAM!$G$39</f>
        <v>0</v>
      </c>
      <c r="K886" s="11">
        <f>(VLOOKUP(H886,DEDN!$A$8:$O$902,$K$2)*I886+J886)/1000</f>
        <v>0</v>
      </c>
      <c r="L886" s="11">
        <f>MIN(IF(PARAM!$B$43=3,CHOOSE($L$2,F886,K886),F886+K886-F886*K886),1)</f>
        <v>0.28441000000000005</v>
      </c>
      <c r="M886" s="2">
        <f>PARAM!$I$38</f>
        <v>0</v>
      </c>
      <c r="N886" s="11">
        <f>VLOOKUP(B886,DEDN!$A$8:$O$90,$N$2)*M886</f>
        <v>0</v>
      </c>
      <c r="O886" s="12"/>
      <c r="P886" s="10">
        <f>PARAM!$C$53^-A886</f>
        <v>1</v>
      </c>
      <c r="Q886" s="10">
        <f t="shared" si="263"/>
        <v>2.9893881436375571E-3</v>
      </c>
      <c r="R886" s="10">
        <f t="shared" si="262"/>
        <v>2.9893881436375571E-3</v>
      </c>
      <c r="S886" s="10">
        <f>CHOOSE(PARAM!$B$51,R886,0,0,0)*(A886&lt;PARAM!$B$55)</f>
        <v>0</v>
      </c>
      <c r="T886" s="10">
        <f t="shared" si="247"/>
        <v>8.2214341975947285E-5</v>
      </c>
      <c r="U886" s="10">
        <f>T886*P886*(A886&lt;PARAM!$B$55)</f>
        <v>0</v>
      </c>
      <c r="W886">
        <v>883</v>
      </c>
      <c r="X886" s="178">
        <f t="shared" si="261"/>
        <v>105</v>
      </c>
      <c r="Y886" s="178">
        <f t="shared" si="261"/>
        <v>105</v>
      </c>
      <c r="Z886" s="178">
        <f t="shared" si="261"/>
        <v>74</v>
      </c>
      <c r="AA886" s="178">
        <f t="shared" si="261"/>
        <v>74</v>
      </c>
      <c r="AD886" s="17">
        <f>CALC!E910*(A886&lt;PARAM!$B$55)</f>
        <v>0</v>
      </c>
      <c r="AE886">
        <f>IF(A886&lt;ITER!$C$16,1,PARAM!$C$53^-(RATES!A886-ITER!$C$16))*(A886&lt;PARAM!$B$55)</f>
        <v>0</v>
      </c>
    </row>
    <row r="887" spans="1:31" x14ac:dyDescent="0.2">
      <c r="A887" s="9">
        <v>884</v>
      </c>
      <c r="B887" s="178">
        <f t="shared" si="259"/>
        <v>105</v>
      </c>
      <c r="C887" s="178">
        <f t="shared" si="259"/>
        <v>105</v>
      </c>
      <c r="D887" s="2">
        <f>PARAM!$H$38</f>
        <v>1</v>
      </c>
      <c r="E887" s="11">
        <f>PARAM!$G$38</f>
        <v>0</v>
      </c>
      <c r="F887" s="11">
        <f>(VLOOKUP(C887,DEDN!$A$8:$O$902,$F$2)*D887+E887)/1000</f>
        <v>0.28441000000000005</v>
      </c>
      <c r="G887" s="178">
        <f t="shared" si="260"/>
        <v>74</v>
      </c>
      <c r="H887" s="178">
        <f t="shared" si="260"/>
        <v>74</v>
      </c>
      <c r="I887" s="2">
        <f>PARAM!$H$39</f>
        <v>0</v>
      </c>
      <c r="J887" s="11">
        <f>PARAM!$G$39</f>
        <v>0</v>
      </c>
      <c r="K887" s="11">
        <f>(VLOOKUP(H887,DEDN!$A$8:$O$902,$K$2)*I887+J887)/1000</f>
        <v>0</v>
      </c>
      <c r="L887" s="11">
        <f>MIN(IF(PARAM!$B$43=3,CHOOSE($L$2,F887,K887),F887+K887-F887*K887),1)</f>
        <v>0.28441000000000005</v>
      </c>
      <c r="M887" s="2">
        <f>PARAM!$I$38</f>
        <v>0</v>
      </c>
      <c r="N887" s="11">
        <f>VLOOKUP(B887,DEDN!$A$8:$O$90,$N$2)*M887</f>
        <v>0</v>
      </c>
      <c r="O887" s="12"/>
      <c r="P887" s="10">
        <f>PARAM!$C$53^-A887</f>
        <v>1</v>
      </c>
      <c r="Q887" s="10">
        <f t="shared" si="263"/>
        <v>2.9071738016616098E-3</v>
      </c>
      <c r="R887" s="10">
        <f t="shared" si="262"/>
        <v>2.9071738016616098E-3</v>
      </c>
      <c r="S887" s="10">
        <f>CHOOSE(PARAM!$B$51,R887,0,0,0)*(A887&lt;PARAM!$B$55)</f>
        <v>0</v>
      </c>
      <c r="T887" s="10">
        <f t="shared" si="247"/>
        <v>7.9953277938169236E-5</v>
      </c>
      <c r="U887" s="10">
        <f>T887*P887*(A887&lt;PARAM!$B$55)</f>
        <v>0</v>
      </c>
      <c r="W887">
        <v>884</v>
      </c>
      <c r="X887" s="178">
        <f t="shared" si="261"/>
        <v>105</v>
      </c>
      <c r="Y887" s="178">
        <f t="shared" si="261"/>
        <v>105</v>
      </c>
      <c r="Z887" s="178">
        <f t="shared" si="261"/>
        <v>74</v>
      </c>
      <c r="AA887" s="178">
        <f t="shared" si="261"/>
        <v>74</v>
      </c>
      <c r="AD887" s="17">
        <f>CALC!E911*(A887&lt;PARAM!$B$55)</f>
        <v>0</v>
      </c>
      <c r="AE887">
        <f>IF(A887&lt;ITER!$C$16,1,PARAM!$C$53^-(RATES!A887-ITER!$C$16))*(A887&lt;PARAM!$B$55)</f>
        <v>0</v>
      </c>
    </row>
    <row r="888" spans="1:31" x14ac:dyDescent="0.2">
      <c r="A888" s="9">
        <v>885</v>
      </c>
      <c r="B888" s="178">
        <f t="shared" si="259"/>
        <v>105</v>
      </c>
      <c r="C888" s="178">
        <f t="shared" si="259"/>
        <v>105</v>
      </c>
      <c r="D888" s="2">
        <f>PARAM!$H$38</f>
        <v>1</v>
      </c>
      <c r="E888" s="11">
        <f>PARAM!$G$38</f>
        <v>0</v>
      </c>
      <c r="F888" s="11">
        <f>(VLOOKUP(C888,DEDN!$A$8:$O$902,$F$2)*D888+E888)/1000</f>
        <v>0.28441000000000005</v>
      </c>
      <c r="G888" s="178">
        <f t="shared" si="260"/>
        <v>74</v>
      </c>
      <c r="H888" s="178">
        <f t="shared" si="260"/>
        <v>74</v>
      </c>
      <c r="I888" s="2">
        <f>PARAM!$H$39</f>
        <v>0</v>
      </c>
      <c r="J888" s="11">
        <f>PARAM!$G$39</f>
        <v>0</v>
      </c>
      <c r="K888" s="11">
        <f>(VLOOKUP(H888,DEDN!$A$8:$O$902,$K$2)*I888+J888)/1000</f>
        <v>0</v>
      </c>
      <c r="L888" s="11">
        <f>MIN(IF(PARAM!$B$43=3,CHOOSE($L$2,F888,K888),F888+K888-F888*K888),1)</f>
        <v>0.28441000000000005</v>
      </c>
      <c r="M888" s="2">
        <f>PARAM!$I$38</f>
        <v>0</v>
      </c>
      <c r="N888" s="11">
        <f>VLOOKUP(B888,DEDN!$A$8:$O$90,$N$2)*M888</f>
        <v>0</v>
      </c>
      <c r="O888" s="12"/>
      <c r="P888" s="10">
        <f>PARAM!$C$53^-A888</f>
        <v>1</v>
      </c>
      <c r="Q888" s="10">
        <f t="shared" si="263"/>
        <v>2.8272205237234406E-3</v>
      </c>
      <c r="R888" s="10">
        <f t="shared" si="262"/>
        <v>2.8272205237234406E-3</v>
      </c>
      <c r="S888" s="10">
        <f>CHOOSE(PARAM!$B$51,R888,R888,0,0)*(A888&lt;PARAM!$B$55)</f>
        <v>0</v>
      </c>
      <c r="T888" s="10">
        <f t="shared" si="247"/>
        <v>7.7754397826700159E-5</v>
      </c>
      <c r="U888" s="10">
        <f>T888*P888*(A888&lt;PARAM!$B$55)</f>
        <v>0</v>
      </c>
      <c r="W888">
        <v>885</v>
      </c>
      <c r="X888" s="178">
        <f t="shared" si="261"/>
        <v>105</v>
      </c>
      <c r="Y888" s="178">
        <f t="shared" si="261"/>
        <v>105</v>
      </c>
      <c r="Z888" s="178">
        <f t="shared" si="261"/>
        <v>74</v>
      </c>
      <c r="AA888" s="178">
        <f t="shared" si="261"/>
        <v>74</v>
      </c>
      <c r="AD888" s="17">
        <f>CALC!E912*(A888&lt;PARAM!$B$55)</f>
        <v>0</v>
      </c>
      <c r="AE888">
        <f>IF(A888&lt;ITER!$C$16,1,PARAM!$C$53^-(RATES!A888-ITER!$C$16))*(A888&lt;PARAM!$B$55)</f>
        <v>0</v>
      </c>
    </row>
    <row r="889" spans="1:31" x14ac:dyDescent="0.2">
      <c r="A889" s="9">
        <v>886</v>
      </c>
      <c r="B889" s="178">
        <f t="shared" si="259"/>
        <v>105</v>
      </c>
      <c r="C889" s="178">
        <f t="shared" si="259"/>
        <v>105</v>
      </c>
      <c r="D889" s="2">
        <f>PARAM!$H$38</f>
        <v>1</v>
      </c>
      <c r="E889" s="11">
        <f>PARAM!$G$38</f>
        <v>0</v>
      </c>
      <c r="F889" s="11">
        <f>(VLOOKUP(C889,DEDN!$A$8:$O$902,$F$2)*D889+E889)/1000</f>
        <v>0.28441000000000005</v>
      </c>
      <c r="G889" s="178">
        <f t="shared" si="260"/>
        <v>74</v>
      </c>
      <c r="H889" s="178">
        <f t="shared" si="260"/>
        <v>74</v>
      </c>
      <c r="I889" s="2">
        <f>PARAM!$H$39</f>
        <v>0</v>
      </c>
      <c r="J889" s="11">
        <f>PARAM!$G$39</f>
        <v>0</v>
      </c>
      <c r="K889" s="11">
        <f>(VLOOKUP(H889,DEDN!$A$8:$O$902,$K$2)*I889+J889)/1000</f>
        <v>0</v>
      </c>
      <c r="L889" s="11">
        <f>MIN(IF(PARAM!$B$43=3,CHOOSE($L$2,F889,K889),F889+K889-F889*K889),1)</f>
        <v>0.28441000000000005</v>
      </c>
      <c r="M889" s="2">
        <f>PARAM!$I$38</f>
        <v>0</v>
      </c>
      <c r="N889" s="11">
        <f>VLOOKUP(B889,DEDN!$A$8:$O$90,$N$2)*M889</f>
        <v>0</v>
      </c>
      <c r="O889" s="12"/>
      <c r="P889" s="10">
        <f>PARAM!$C$53^-A889</f>
        <v>1</v>
      </c>
      <c r="Q889" s="10">
        <f t="shared" si="263"/>
        <v>2.7494661258967404E-3</v>
      </c>
      <c r="R889" s="10">
        <f t="shared" si="262"/>
        <v>2.7494661258967404E-3</v>
      </c>
      <c r="S889" s="10">
        <f>CHOOSE(PARAM!$B$51,R889,0,0,0)*(A889&lt;PARAM!$B$55)</f>
        <v>0</v>
      </c>
      <c r="T889" s="10">
        <f t="shared" si="247"/>
        <v>7.5615991455261437E-5</v>
      </c>
      <c r="U889" s="10">
        <f>T889*P889*(A889&lt;PARAM!$B$55)</f>
        <v>0</v>
      </c>
      <c r="W889">
        <v>886</v>
      </c>
      <c r="X889" s="178">
        <f t="shared" si="261"/>
        <v>105</v>
      </c>
      <c r="Y889" s="178">
        <f t="shared" si="261"/>
        <v>105</v>
      </c>
      <c r="Z889" s="178">
        <f t="shared" si="261"/>
        <v>74</v>
      </c>
      <c r="AA889" s="178">
        <f t="shared" si="261"/>
        <v>74</v>
      </c>
      <c r="AD889" s="17">
        <f>CALC!E913*(A889&lt;PARAM!$B$55)</f>
        <v>0</v>
      </c>
      <c r="AE889">
        <f>IF(A889&lt;ITER!$C$16,1,PARAM!$C$53^-(RATES!A889-ITER!$C$16))*(A889&lt;PARAM!$B$55)</f>
        <v>0</v>
      </c>
    </row>
    <row r="890" spans="1:31" x14ac:dyDescent="0.2">
      <c r="A890" s="9">
        <v>887</v>
      </c>
      <c r="B890" s="178">
        <f t="shared" si="259"/>
        <v>105</v>
      </c>
      <c r="C890" s="178">
        <f t="shared" si="259"/>
        <v>105</v>
      </c>
      <c r="D890" s="2">
        <f>PARAM!$H$38</f>
        <v>1</v>
      </c>
      <c r="E890" s="11">
        <f>PARAM!$G$38</f>
        <v>0</v>
      </c>
      <c r="F890" s="11">
        <f>(VLOOKUP(C890,DEDN!$A$8:$O$902,$F$2)*D890+E890)/1000</f>
        <v>0.28441000000000005</v>
      </c>
      <c r="G890" s="178">
        <f t="shared" si="260"/>
        <v>74</v>
      </c>
      <c r="H890" s="178">
        <f t="shared" si="260"/>
        <v>74</v>
      </c>
      <c r="I890" s="2">
        <f>PARAM!$H$39</f>
        <v>0</v>
      </c>
      <c r="J890" s="11">
        <f>PARAM!$G$39</f>
        <v>0</v>
      </c>
      <c r="K890" s="11">
        <f>(VLOOKUP(H890,DEDN!$A$8:$O$902,$K$2)*I890+J890)/1000</f>
        <v>0</v>
      </c>
      <c r="L890" s="11">
        <f>MIN(IF(PARAM!$B$43=3,CHOOSE($L$2,F890,K890),F890+K890-F890*K890),1)</f>
        <v>0.28441000000000005</v>
      </c>
      <c r="M890" s="2">
        <f>PARAM!$I$38</f>
        <v>0</v>
      </c>
      <c r="N890" s="11">
        <f>VLOOKUP(B890,DEDN!$A$8:$O$90,$N$2)*M890</f>
        <v>0</v>
      </c>
      <c r="O890" s="12"/>
      <c r="P890" s="10">
        <f>PARAM!$C$53^-A890</f>
        <v>1</v>
      </c>
      <c r="Q890" s="10">
        <f t="shared" si="263"/>
        <v>2.673850134441479E-3</v>
      </c>
      <c r="R890" s="10">
        <f t="shared" si="262"/>
        <v>2.673850134441479E-3</v>
      </c>
      <c r="S890" s="10">
        <f>CHOOSE(PARAM!$B$51,R890,0,0,0)*(A890&lt;PARAM!$B$55)</f>
        <v>0</v>
      </c>
      <c r="T890" s="10">
        <f t="shared" si="247"/>
        <v>7.3536395671226166E-5</v>
      </c>
      <c r="U890" s="10">
        <f>T890*P890*(A890&lt;PARAM!$B$55)</f>
        <v>0</v>
      </c>
      <c r="W890">
        <v>887</v>
      </c>
      <c r="X890" s="178">
        <f t="shared" si="261"/>
        <v>105</v>
      </c>
      <c r="Y890" s="178">
        <f t="shared" si="261"/>
        <v>105</v>
      </c>
      <c r="Z890" s="178">
        <f t="shared" si="261"/>
        <v>74</v>
      </c>
      <c r="AA890" s="178">
        <f t="shared" si="261"/>
        <v>74</v>
      </c>
      <c r="AD890" s="17">
        <f>CALC!E914*(A890&lt;PARAM!$B$55)</f>
        <v>0</v>
      </c>
      <c r="AE890">
        <f>IF(A890&lt;ITER!$C$16,1,PARAM!$C$53^-(RATES!A890-ITER!$C$16))*(A890&lt;PARAM!$B$55)</f>
        <v>0</v>
      </c>
    </row>
    <row r="891" spans="1:31" x14ac:dyDescent="0.2">
      <c r="A891" s="9">
        <v>888</v>
      </c>
      <c r="B891" s="178">
        <f t="shared" si="259"/>
        <v>105</v>
      </c>
      <c r="C891" s="178">
        <f t="shared" si="259"/>
        <v>105</v>
      </c>
      <c r="D891" s="2">
        <f>PARAM!$H$38</f>
        <v>1</v>
      </c>
      <c r="E891" s="11">
        <f>PARAM!$G$38</f>
        <v>0</v>
      </c>
      <c r="F891" s="11">
        <f>(VLOOKUP(C891,DEDN!$A$8:$O$902,$F$2)*D891+E891)/1000</f>
        <v>0.28441000000000005</v>
      </c>
      <c r="G891" s="178">
        <f t="shared" si="260"/>
        <v>74</v>
      </c>
      <c r="H891" s="178">
        <f t="shared" si="260"/>
        <v>74</v>
      </c>
      <c r="I891" s="2">
        <f>PARAM!$H$39</f>
        <v>0</v>
      </c>
      <c r="J891" s="11">
        <f>PARAM!$G$39</f>
        <v>0</v>
      </c>
      <c r="K891" s="11">
        <f>(VLOOKUP(H891,DEDN!$A$8:$O$902,$K$2)*I891+J891)/1000</f>
        <v>0</v>
      </c>
      <c r="L891" s="11">
        <f>MIN(IF(PARAM!$B$43=3,CHOOSE($L$2,F891,K891),F891+K891-F891*K891),1)</f>
        <v>0.28441000000000005</v>
      </c>
      <c r="M891" s="2">
        <f>PARAM!$I$38</f>
        <v>0</v>
      </c>
      <c r="N891" s="11">
        <f>VLOOKUP(B891,DEDN!$A$8:$O$90,$N$2)*M891</f>
        <v>0</v>
      </c>
      <c r="O891" s="12"/>
      <c r="P891" s="10">
        <f>PARAM!$C$53^-A891</f>
        <v>1</v>
      </c>
      <c r="Q891" s="10">
        <f t="shared" si="263"/>
        <v>2.6003137387702528E-3</v>
      </c>
      <c r="R891" s="10">
        <f t="shared" si="262"/>
        <v>2.6003137387702528E-3</v>
      </c>
      <c r="S891" s="10">
        <f>R891*(A891&lt;PARAM!$B$55)</f>
        <v>0</v>
      </c>
      <c r="T891" s="10">
        <f t="shared" si="247"/>
        <v>7.1513993062097009E-5</v>
      </c>
      <c r="U891" s="10">
        <f>T891*P891*(A891&lt;PARAM!$B$55)</f>
        <v>0</v>
      </c>
      <c r="W891">
        <v>888</v>
      </c>
      <c r="X891" s="178">
        <f t="shared" si="261"/>
        <v>105</v>
      </c>
      <c r="Y891" s="178">
        <f t="shared" si="261"/>
        <v>105</v>
      </c>
      <c r="Z891" s="178">
        <f t="shared" si="261"/>
        <v>74</v>
      </c>
      <c r="AA891" s="178">
        <f t="shared" si="261"/>
        <v>74</v>
      </c>
      <c r="AD891" s="17">
        <f>CALC!E915*(A891&lt;PARAM!$B$55)</f>
        <v>0</v>
      </c>
      <c r="AE891">
        <f>IF(A891&lt;ITER!$C$16,1,PARAM!$C$53^-(RATES!A891-ITER!$C$16))*(A891&lt;PARAM!$B$55)</f>
        <v>0</v>
      </c>
    </row>
    <row r="892" spans="1:31" x14ac:dyDescent="0.2">
      <c r="A892" s="9">
        <v>889</v>
      </c>
      <c r="B892" s="178">
        <f t="shared" si="259"/>
        <v>105</v>
      </c>
      <c r="C892" s="178">
        <f t="shared" si="259"/>
        <v>105</v>
      </c>
      <c r="D892" s="2">
        <f>PARAM!$H$38</f>
        <v>1</v>
      </c>
      <c r="E892" s="11">
        <f>PARAM!$G$38</f>
        <v>0</v>
      </c>
      <c r="F892" s="11">
        <f>(VLOOKUP(C892,DEDN!$A$8:$O$902,$F$2)*D892+E892)/1000</f>
        <v>0.28441000000000005</v>
      </c>
      <c r="G892" s="178">
        <f t="shared" si="260"/>
        <v>74</v>
      </c>
      <c r="H892" s="178">
        <f t="shared" si="260"/>
        <v>74</v>
      </c>
      <c r="I892" s="2">
        <f>PARAM!$H$39</f>
        <v>0</v>
      </c>
      <c r="J892" s="11">
        <f>PARAM!$G$39</f>
        <v>0</v>
      </c>
      <c r="K892" s="11">
        <f>(VLOOKUP(H892,DEDN!$A$8:$O$902,$K$2)*I892+J892)/1000</f>
        <v>0</v>
      </c>
      <c r="L892" s="11">
        <f>MIN(IF(PARAM!$B$43=3,CHOOSE($L$2,F892,K892),F892+K892-F892*K892),1)</f>
        <v>0.28441000000000005</v>
      </c>
      <c r="M892" s="2">
        <f>PARAM!$I$38</f>
        <v>0</v>
      </c>
      <c r="N892" s="11">
        <f>VLOOKUP(B892,DEDN!$A$8:$O$90,$N$2)*M892</f>
        <v>0</v>
      </c>
      <c r="O892" s="12"/>
      <c r="P892" s="10">
        <f>PARAM!$C$53^-A892</f>
        <v>1</v>
      </c>
      <c r="Q892" s="10">
        <f t="shared" si="263"/>
        <v>2.5287997457081558E-3</v>
      </c>
      <c r="R892" s="10">
        <f t="shared" si="262"/>
        <v>2.5287997457081558E-3</v>
      </c>
      <c r="S892" s="10">
        <f>CHOOSE(PARAM!$B$51,R892,0,0,0)*(A892&lt;PARAM!$B$55)</f>
        <v>0</v>
      </c>
      <c r="T892" s="10">
        <f t="shared" si="247"/>
        <v>6.9547210697556289E-5</v>
      </c>
      <c r="U892" s="10">
        <f>T892*P892*(A892&lt;PARAM!$B$55)</f>
        <v>0</v>
      </c>
      <c r="W892">
        <v>889</v>
      </c>
      <c r="X892" s="178">
        <f t="shared" si="261"/>
        <v>105</v>
      </c>
      <c r="Y892" s="178">
        <f t="shared" si="261"/>
        <v>105</v>
      </c>
      <c r="Z892" s="178">
        <f t="shared" si="261"/>
        <v>74</v>
      </c>
      <c r="AA892" s="178">
        <f t="shared" si="261"/>
        <v>74</v>
      </c>
      <c r="AD892" s="17">
        <f>CALC!E916*(A892&lt;PARAM!$B$55)</f>
        <v>0</v>
      </c>
      <c r="AE892">
        <f>IF(A892&lt;ITER!$C$16,1,PARAM!$C$53^-(RATES!A892-ITER!$C$16))*(A892&lt;PARAM!$B$55)</f>
        <v>0</v>
      </c>
    </row>
    <row r="893" spans="1:31" x14ac:dyDescent="0.2">
      <c r="A893" s="9">
        <v>890</v>
      </c>
      <c r="B893" s="178">
        <f t="shared" si="259"/>
        <v>105</v>
      </c>
      <c r="C893" s="178">
        <f t="shared" si="259"/>
        <v>105</v>
      </c>
      <c r="D893" s="2">
        <f>PARAM!$H$38</f>
        <v>1</v>
      </c>
      <c r="E893" s="11">
        <f>PARAM!$G$38</f>
        <v>0</v>
      </c>
      <c r="F893" s="11">
        <f>(VLOOKUP(C893,DEDN!$A$8:$O$902,$F$2)*D893+E893)/1000</f>
        <v>0.28441000000000005</v>
      </c>
      <c r="G893" s="178">
        <f t="shared" si="260"/>
        <v>74</v>
      </c>
      <c r="H893" s="178">
        <f t="shared" si="260"/>
        <v>74</v>
      </c>
      <c r="I893" s="2">
        <f>PARAM!$H$39</f>
        <v>0</v>
      </c>
      <c r="J893" s="11">
        <f>PARAM!$G$39</f>
        <v>0</v>
      </c>
      <c r="K893" s="11">
        <f>(VLOOKUP(H893,DEDN!$A$8:$O$902,$K$2)*I893+J893)/1000</f>
        <v>0</v>
      </c>
      <c r="L893" s="11">
        <f>MIN(IF(PARAM!$B$43=3,CHOOSE($L$2,F893,K893),F893+K893-F893*K893),1)</f>
        <v>0.28441000000000005</v>
      </c>
      <c r="M893" s="2">
        <f>PARAM!$I$38</f>
        <v>0</v>
      </c>
      <c r="N893" s="11">
        <f>VLOOKUP(B893,DEDN!$A$8:$O$90,$N$2)*M893</f>
        <v>0</v>
      </c>
      <c r="O893" s="12"/>
      <c r="P893" s="10">
        <f>PARAM!$C$53^-A893</f>
        <v>1</v>
      </c>
      <c r="Q893" s="10">
        <f t="shared" si="263"/>
        <v>2.4592525350105995E-3</v>
      </c>
      <c r="R893" s="10">
        <f t="shared" si="262"/>
        <v>2.4592525350105995E-3</v>
      </c>
      <c r="S893" s="10">
        <f>CHOOSE(PARAM!$B$51,R893,0,0,0)*(A893&lt;PARAM!$B$55)</f>
        <v>0</v>
      </c>
      <c r="T893" s="10">
        <f t="shared" si="247"/>
        <v>6.763451890611687E-5</v>
      </c>
      <c r="U893" s="10">
        <f>T893*P893*(A893&lt;PARAM!$B$55)</f>
        <v>0</v>
      </c>
      <c r="W893">
        <v>890</v>
      </c>
      <c r="X893" s="178">
        <f t="shared" si="261"/>
        <v>105</v>
      </c>
      <c r="Y893" s="178">
        <f t="shared" si="261"/>
        <v>105</v>
      </c>
      <c r="Z893" s="178">
        <f t="shared" si="261"/>
        <v>74</v>
      </c>
      <c r="AA893" s="178">
        <f t="shared" si="261"/>
        <v>74</v>
      </c>
      <c r="AD893" s="17">
        <f>CALC!E917*(A893&lt;PARAM!$B$55)</f>
        <v>0</v>
      </c>
      <c r="AE893">
        <f>IF(A893&lt;ITER!$C$16,1,PARAM!$C$53^-(RATES!A893-ITER!$C$16))*(A893&lt;PARAM!$B$55)</f>
        <v>0</v>
      </c>
    </row>
    <row r="894" spans="1:31" x14ac:dyDescent="0.2">
      <c r="A894" s="9">
        <v>891</v>
      </c>
      <c r="B894" s="178">
        <f t="shared" si="259"/>
        <v>105</v>
      </c>
      <c r="C894" s="178">
        <f t="shared" si="259"/>
        <v>105</v>
      </c>
      <c r="D894" s="2">
        <f>PARAM!$H$38</f>
        <v>1</v>
      </c>
      <c r="E894" s="11">
        <f>PARAM!$G$38</f>
        <v>0</v>
      </c>
      <c r="F894" s="11">
        <f>(VLOOKUP(C894,DEDN!$A$8:$O$902,$F$2)*D894+E894)/1000</f>
        <v>0.28441000000000005</v>
      </c>
      <c r="G894" s="178">
        <f t="shared" si="260"/>
        <v>74</v>
      </c>
      <c r="H894" s="178">
        <f t="shared" si="260"/>
        <v>74</v>
      </c>
      <c r="I894" s="2">
        <f>PARAM!$H$39</f>
        <v>0</v>
      </c>
      <c r="J894" s="11">
        <f>PARAM!$G$39</f>
        <v>0</v>
      </c>
      <c r="K894" s="11">
        <f>(VLOOKUP(H894,DEDN!$A$8:$O$902,$K$2)*I894+J894)/1000</f>
        <v>0</v>
      </c>
      <c r="L894" s="11">
        <f>MIN(IF(PARAM!$B$43=3,CHOOSE($L$2,F894,K894),F894+K894-F894*K894),1)</f>
        <v>0.28441000000000005</v>
      </c>
      <c r="M894" s="2">
        <f>PARAM!$I$38</f>
        <v>0</v>
      </c>
      <c r="N894" s="11">
        <f>VLOOKUP(B894,DEDN!$A$8:$O$90,$N$2)*M894</f>
        <v>0</v>
      </c>
      <c r="O894" s="12"/>
      <c r="P894" s="10">
        <f>PARAM!$C$53^-A894</f>
        <v>1</v>
      </c>
      <c r="Q894" s="10">
        <f t="shared" si="263"/>
        <v>2.3916180161044826E-3</v>
      </c>
      <c r="R894" s="10">
        <f t="shared" si="262"/>
        <v>2.3916180161044826E-3</v>
      </c>
      <c r="S894" s="10">
        <f>CHOOSE(PARAM!$B$51,R894,R894,0,0)*(A894&lt;PARAM!$B$55)</f>
        <v>0</v>
      </c>
      <c r="T894" s="10">
        <f t="shared" si="247"/>
        <v>6.5774430085412811E-5</v>
      </c>
      <c r="U894" s="10">
        <f>T894*P894*(A894&lt;PARAM!$B$55)</f>
        <v>0</v>
      </c>
      <c r="W894">
        <v>891</v>
      </c>
      <c r="X894" s="178">
        <f t="shared" si="261"/>
        <v>105</v>
      </c>
      <c r="Y894" s="178">
        <f t="shared" si="261"/>
        <v>105</v>
      </c>
      <c r="Z894" s="178">
        <f t="shared" si="261"/>
        <v>74</v>
      </c>
      <c r="AA894" s="178">
        <f t="shared" si="261"/>
        <v>74</v>
      </c>
      <c r="AD894" s="17">
        <f>CALC!E918*(A894&lt;PARAM!$B$55)</f>
        <v>0</v>
      </c>
      <c r="AE894">
        <f>IF(A894&lt;ITER!$C$16,1,PARAM!$C$53^-(RATES!A894-ITER!$C$16))*(A894&lt;PARAM!$B$55)</f>
        <v>0</v>
      </c>
    </row>
    <row r="895" spans="1:31" x14ac:dyDescent="0.2">
      <c r="A895" s="9">
        <v>892</v>
      </c>
      <c r="B895" s="178">
        <f t="shared" si="259"/>
        <v>105</v>
      </c>
      <c r="C895" s="178">
        <f t="shared" si="259"/>
        <v>105</v>
      </c>
      <c r="D895" s="2">
        <f>PARAM!$H$38</f>
        <v>1</v>
      </c>
      <c r="E895" s="11">
        <f>PARAM!$G$38</f>
        <v>0</v>
      </c>
      <c r="F895" s="11">
        <f>(VLOOKUP(C895,DEDN!$A$8:$O$902,$F$2)*D895+E895)/1000</f>
        <v>0.28441000000000005</v>
      </c>
      <c r="G895" s="178">
        <f t="shared" si="260"/>
        <v>74</v>
      </c>
      <c r="H895" s="178">
        <f t="shared" si="260"/>
        <v>74</v>
      </c>
      <c r="I895" s="2">
        <f>PARAM!$H$39</f>
        <v>0</v>
      </c>
      <c r="J895" s="11">
        <f>PARAM!$G$39</f>
        <v>0</v>
      </c>
      <c r="K895" s="11">
        <f>(VLOOKUP(H895,DEDN!$A$8:$O$902,$K$2)*I895+J895)/1000</f>
        <v>0</v>
      </c>
      <c r="L895" s="11">
        <f>MIN(IF(PARAM!$B$43=3,CHOOSE($L$2,F895,K895),F895+K895-F895*K895),1)</f>
        <v>0.28441000000000005</v>
      </c>
      <c r="M895" s="2">
        <f>PARAM!$I$38</f>
        <v>0</v>
      </c>
      <c r="N895" s="11">
        <f>VLOOKUP(B895,DEDN!$A$8:$O$90,$N$2)*M895</f>
        <v>0</v>
      </c>
      <c r="O895" s="12"/>
      <c r="P895" s="10">
        <f>PARAM!$C$53^-A895</f>
        <v>1</v>
      </c>
      <c r="Q895" s="10">
        <f t="shared" si="263"/>
        <v>2.3258435860190698E-3</v>
      </c>
      <c r="R895" s="10">
        <f t="shared" si="262"/>
        <v>2.3258435860190698E-3</v>
      </c>
      <c r="S895" s="10">
        <f>CHOOSE(PARAM!$B$51,R895,0,0,0)*(A895&lt;PARAM!$B$55)</f>
        <v>0</v>
      </c>
      <c r="T895" s="10">
        <f t="shared" si="247"/>
        <v>6.3965497545212524E-5</v>
      </c>
      <c r="U895" s="10">
        <f>T895*P895*(A895&lt;PARAM!$B$55)</f>
        <v>0</v>
      </c>
      <c r="W895">
        <v>892</v>
      </c>
      <c r="X895" s="178">
        <f t="shared" si="261"/>
        <v>105</v>
      </c>
      <c r="Y895" s="178">
        <f t="shared" si="261"/>
        <v>105</v>
      </c>
      <c r="Z895" s="178">
        <f t="shared" si="261"/>
        <v>74</v>
      </c>
      <c r="AA895" s="178">
        <f t="shared" si="261"/>
        <v>74</v>
      </c>
      <c r="AD895" s="17">
        <f>CALC!E919*(A895&lt;PARAM!$B$55)</f>
        <v>0</v>
      </c>
      <c r="AE895">
        <f>IF(A895&lt;ITER!$C$16,1,PARAM!$C$53^-(RATES!A895-ITER!$C$16))*(A895&lt;PARAM!$B$55)</f>
        <v>0</v>
      </c>
    </row>
    <row r="896" spans="1:31" x14ac:dyDescent="0.2">
      <c r="A896" s="9">
        <v>893</v>
      </c>
      <c r="B896" s="178">
        <f t="shared" si="259"/>
        <v>105</v>
      </c>
      <c r="C896" s="178">
        <f t="shared" si="259"/>
        <v>105</v>
      </c>
      <c r="D896" s="2">
        <f>PARAM!$H$38</f>
        <v>1</v>
      </c>
      <c r="E896" s="11">
        <f>PARAM!$G$38</f>
        <v>0</v>
      </c>
      <c r="F896" s="11">
        <f>(VLOOKUP(C896,DEDN!$A$8:$O$902,$F$2)*D896+E896)/1000</f>
        <v>0.28441000000000005</v>
      </c>
      <c r="G896" s="178">
        <f t="shared" si="260"/>
        <v>74</v>
      </c>
      <c r="H896" s="178">
        <f t="shared" si="260"/>
        <v>74</v>
      </c>
      <c r="I896" s="2">
        <f>PARAM!$H$39</f>
        <v>0</v>
      </c>
      <c r="J896" s="11">
        <f>PARAM!$G$39</f>
        <v>0</v>
      </c>
      <c r="K896" s="11">
        <f>(VLOOKUP(H896,DEDN!$A$8:$O$902,$K$2)*I896+J896)/1000</f>
        <v>0</v>
      </c>
      <c r="L896" s="11">
        <f>MIN(IF(PARAM!$B$43=3,CHOOSE($L$2,F896,K896),F896+K896-F896*K896),1)</f>
        <v>0.28441000000000005</v>
      </c>
      <c r="M896" s="2">
        <f>PARAM!$I$38</f>
        <v>0</v>
      </c>
      <c r="N896" s="11">
        <f>VLOOKUP(B896,DEDN!$A$8:$O$90,$N$2)*M896</f>
        <v>0</v>
      </c>
      <c r="O896" s="12"/>
      <c r="P896" s="10">
        <f>PARAM!$C$53^-A896</f>
        <v>1</v>
      </c>
      <c r="Q896" s="10">
        <f t="shared" si="263"/>
        <v>2.2618780884738573E-3</v>
      </c>
      <c r="R896" s="10">
        <f t="shared" si="262"/>
        <v>2.2618780884738573E-3</v>
      </c>
      <c r="S896" s="10">
        <f>CHOOSE(PARAM!$B$51,R896,0,0,0)*(A896&lt;PARAM!$B$55)</f>
        <v>0</v>
      </c>
      <c r="T896" s="10">
        <f t="shared" si="247"/>
        <v>6.2206314382250681E-5</v>
      </c>
      <c r="U896" s="10">
        <f>T896*P896*(A896&lt;PARAM!$B$55)</f>
        <v>0</v>
      </c>
      <c r="W896">
        <v>893</v>
      </c>
      <c r="X896" s="178">
        <f t="shared" si="261"/>
        <v>105</v>
      </c>
      <c r="Y896" s="178">
        <f t="shared" si="261"/>
        <v>105</v>
      </c>
      <c r="Z896" s="178">
        <f t="shared" si="261"/>
        <v>74</v>
      </c>
      <c r="AA896" s="178">
        <f t="shared" si="261"/>
        <v>74</v>
      </c>
      <c r="AD896" s="17">
        <f>CALC!E920*(A896&lt;PARAM!$B$55)</f>
        <v>0</v>
      </c>
      <c r="AE896">
        <f>IF(A896&lt;ITER!$C$16,1,PARAM!$C$53^-(RATES!A896-ITER!$C$16))*(A896&lt;PARAM!$B$55)</f>
        <v>0</v>
      </c>
    </row>
    <row r="897" spans="1:31" x14ac:dyDescent="0.2">
      <c r="A897" s="9">
        <v>894</v>
      </c>
      <c r="B897" s="178">
        <f t="shared" si="259"/>
        <v>106</v>
      </c>
      <c r="C897" s="178">
        <f t="shared" si="259"/>
        <v>106</v>
      </c>
      <c r="D897" s="2">
        <f>PARAM!$H$38</f>
        <v>1</v>
      </c>
      <c r="E897" s="11">
        <f>PARAM!$G$38</f>
        <v>0</v>
      </c>
      <c r="F897" s="11">
        <f>(VLOOKUP(C897,DEDN!$A$8:$O$902,$F$2)*D897+E897)/1000</f>
        <v>0.28441000000000005</v>
      </c>
      <c r="G897" s="178">
        <f t="shared" si="260"/>
        <v>75</v>
      </c>
      <c r="H897" s="178">
        <f t="shared" si="260"/>
        <v>75</v>
      </c>
      <c r="I897" s="2">
        <f>PARAM!$H$39</f>
        <v>0</v>
      </c>
      <c r="J897" s="11">
        <f>PARAM!$G$39</f>
        <v>0</v>
      </c>
      <c r="K897" s="11">
        <f>(VLOOKUP(H897,DEDN!$A$8:$O$902,$K$2)*I897+J897)/1000</f>
        <v>0</v>
      </c>
      <c r="L897" s="11">
        <f>MIN(IF(PARAM!$B$43=3,CHOOSE($L$2,F897,K897),F897+K897-F897*K897),1)</f>
        <v>0.28441000000000005</v>
      </c>
      <c r="M897" s="2">
        <f>PARAM!$I$38</f>
        <v>0</v>
      </c>
      <c r="N897" s="11">
        <f>VLOOKUP(B897,DEDN!$A$8:$O$90,$N$2)*M897</f>
        <v>0</v>
      </c>
      <c r="O897" s="12"/>
      <c r="P897" s="10">
        <f>PARAM!$C$53^-A897</f>
        <v>1</v>
      </c>
      <c r="Q897" s="10">
        <f t="shared" si="263"/>
        <v>2.1996717740916066E-3</v>
      </c>
      <c r="R897" s="10">
        <f t="shared" si="262"/>
        <v>2.1996717740916066E-3</v>
      </c>
      <c r="S897" s="10">
        <f>CHOOSE(PARAM!$B$51,R897,R897,R897,0)*(A897&lt;PARAM!$B$55)</f>
        <v>0</v>
      </c>
      <c r="T897" s="10">
        <f t="shared" si="247"/>
        <v>6.0495512386006273E-5</v>
      </c>
      <c r="U897" s="10">
        <f>T897*P897*(A897&lt;PARAM!$B$55)</f>
        <v>0</v>
      </c>
      <c r="W897">
        <v>894</v>
      </c>
      <c r="X897" s="178">
        <f t="shared" si="261"/>
        <v>106</v>
      </c>
      <c r="Y897" s="178">
        <f t="shared" si="261"/>
        <v>106</v>
      </c>
      <c r="Z897" s="178">
        <f t="shared" si="261"/>
        <v>75</v>
      </c>
      <c r="AA897" s="178">
        <f t="shared" si="261"/>
        <v>75</v>
      </c>
      <c r="AD897" s="17">
        <f>CALC!E921*(A897&lt;PARAM!$B$55)</f>
        <v>0</v>
      </c>
      <c r="AE897">
        <f>IF(A897&lt;ITER!$C$16,1,PARAM!$C$53^-(RATES!A897-ITER!$C$16))*(A897&lt;PARAM!$B$55)</f>
        <v>0</v>
      </c>
    </row>
    <row r="898" spans="1:31" x14ac:dyDescent="0.2">
      <c r="A898" s="9">
        <v>895</v>
      </c>
      <c r="B898" s="178">
        <f t="shared" si="259"/>
        <v>106</v>
      </c>
      <c r="C898" s="178">
        <f t="shared" si="259"/>
        <v>106</v>
      </c>
      <c r="D898" s="2">
        <f>PARAM!$H$38</f>
        <v>1</v>
      </c>
      <c r="E898" s="11">
        <f>PARAM!$G$38</f>
        <v>0</v>
      </c>
      <c r="F898" s="11">
        <f>(VLOOKUP(C898,DEDN!$A$8:$O$902,$F$2)*D898+E898)/1000</f>
        <v>0.28441000000000005</v>
      </c>
      <c r="G898" s="178">
        <f t="shared" si="260"/>
        <v>75</v>
      </c>
      <c r="H898" s="178">
        <f t="shared" si="260"/>
        <v>75</v>
      </c>
      <c r="I898" s="2">
        <f>PARAM!$H$39</f>
        <v>0</v>
      </c>
      <c r="J898" s="11">
        <f>PARAM!$G$39</f>
        <v>0</v>
      </c>
      <c r="K898" s="11">
        <f>(VLOOKUP(H898,DEDN!$A$8:$O$902,$K$2)*I898+J898)/1000</f>
        <v>0</v>
      </c>
      <c r="L898" s="11">
        <f>MIN(IF(PARAM!$B$43=3,CHOOSE($L$2,F898,K898),F898+K898-F898*K898),1)</f>
        <v>0.28441000000000005</v>
      </c>
      <c r="M898" s="2">
        <f>PARAM!$I$38</f>
        <v>0</v>
      </c>
      <c r="N898" s="11">
        <f>VLOOKUP(B898,DEDN!$A$8:$O$90,$N$2)*M898</f>
        <v>0</v>
      </c>
      <c r="O898" s="12"/>
      <c r="P898" s="10">
        <f>PARAM!$C$53^-A898</f>
        <v>1</v>
      </c>
      <c r="Q898" s="10">
        <f t="shared" si="263"/>
        <v>2.1391762617056003E-3</v>
      </c>
      <c r="R898" s="10">
        <f t="shared" si="262"/>
        <v>2.1391762617056003E-3</v>
      </c>
      <c r="S898" s="10">
        <f>CHOOSE(PARAM!$B$51,R898,0,0,0)*(A898&lt;PARAM!$B$55)</f>
        <v>0</v>
      </c>
      <c r="T898" s="10">
        <f t="shared" si="247"/>
        <v>5.8831760974568156E-5</v>
      </c>
      <c r="U898" s="10">
        <f>T898*P898*(A898&lt;PARAM!$B$55)</f>
        <v>0</v>
      </c>
      <c r="W898">
        <v>895</v>
      </c>
      <c r="X898" s="178">
        <f t="shared" si="261"/>
        <v>106</v>
      </c>
      <c r="Y898" s="178">
        <f t="shared" si="261"/>
        <v>106</v>
      </c>
      <c r="Z898" s="178">
        <f t="shared" si="261"/>
        <v>75</v>
      </c>
      <c r="AA898" s="178">
        <f t="shared" si="261"/>
        <v>75</v>
      </c>
      <c r="AD898" s="17">
        <f>CALC!E922*(A898&lt;PARAM!$B$55)</f>
        <v>0</v>
      </c>
      <c r="AE898">
        <f>IF(A898&lt;ITER!$C$16,1,PARAM!$C$53^-(RATES!A898-ITER!$C$16))*(A898&lt;PARAM!$B$55)</f>
        <v>0</v>
      </c>
    </row>
    <row r="899" spans="1:31" x14ac:dyDescent="0.2">
      <c r="A899" s="9">
        <v>896</v>
      </c>
      <c r="B899" s="178">
        <f t="shared" si="259"/>
        <v>106</v>
      </c>
      <c r="C899" s="178">
        <f t="shared" si="259"/>
        <v>106</v>
      </c>
      <c r="D899" s="2">
        <f>PARAM!$H$38</f>
        <v>1</v>
      </c>
      <c r="E899" s="11">
        <f>PARAM!$G$38</f>
        <v>0</v>
      </c>
      <c r="F899" s="11">
        <f>(VLOOKUP(C899,DEDN!$A$8:$O$902,$F$2)*D899+E899)/1000</f>
        <v>0.28441000000000005</v>
      </c>
      <c r="G899" s="178">
        <f t="shared" si="260"/>
        <v>75</v>
      </c>
      <c r="H899" s="178">
        <f t="shared" si="260"/>
        <v>75</v>
      </c>
      <c r="I899" s="2">
        <f>PARAM!$H$39</f>
        <v>0</v>
      </c>
      <c r="J899" s="11">
        <f>PARAM!$G$39</f>
        <v>0</v>
      </c>
      <c r="K899" s="11">
        <f>(VLOOKUP(H899,DEDN!$A$8:$O$902,$K$2)*I899+J899)/1000</f>
        <v>0</v>
      </c>
      <c r="L899" s="11">
        <f>MIN(IF(PARAM!$B$43=3,CHOOSE($L$2,F899,K899),F899+K899-F899*K899),1)</f>
        <v>0.28441000000000005</v>
      </c>
      <c r="M899" s="2">
        <f>PARAM!$I$38</f>
        <v>0</v>
      </c>
      <c r="N899" s="11">
        <f>VLOOKUP(B899,DEDN!$A$8:$O$90,$N$2)*M899</f>
        <v>0</v>
      </c>
      <c r="O899" s="12"/>
      <c r="P899" s="10">
        <f>PARAM!$C$53^-A899</f>
        <v>1</v>
      </c>
      <c r="Q899" s="10">
        <f t="shared" si="263"/>
        <v>2.0803445007310322E-3</v>
      </c>
      <c r="R899" s="10">
        <f t="shared" si="262"/>
        <v>2.0803445007310322E-3</v>
      </c>
      <c r="S899" s="10">
        <f>CHOOSE(PARAM!$B$51,R899,0,0,0)*(A899&lt;PARAM!$B$55)</f>
        <v>0</v>
      </c>
      <c r="T899" s="10">
        <f t="shared" si="247"/>
        <v>5.7213766159774481E-5</v>
      </c>
      <c r="U899" s="10">
        <f>T899*P899*(A899&lt;PARAM!$B$55)</f>
        <v>0</v>
      </c>
      <c r="W899">
        <v>896</v>
      </c>
      <c r="X899" s="178">
        <f t="shared" si="261"/>
        <v>106</v>
      </c>
      <c r="Y899" s="178">
        <f t="shared" si="261"/>
        <v>106</v>
      </c>
      <c r="Z899" s="178">
        <f t="shared" si="261"/>
        <v>75</v>
      </c>
      <c r="AA899" s="178">
        <f t="shared" si="261"/>
        <v>75</v>
      </c>
      <c r="AD899" s="17">
        <f>CALC!E923*(A899&lt;PARAM!$B$55)</f>
        <v>0</v>
      </c>
      <c r="AE899">
        <f>IF(A899&lt;ITER!$C$16,1,PARAM!$C$53^-(RATES!A899-ITER!$C$16))*(A899&lt;PARAM!$B$55)</f>
        <v>0</v>
      </c>
    </row>
    <row r="900" spans="1:31" x14ac:dyDescent="0.2">
      <c r="A900" s="9">
        <v>897</v>
      </c>
      <c r="B900" s="178">
        <f t="shared" si="259"/>
        <v>106</v>
      </c>
      <c r="C900" s="178">
        <f t="shared" si="259"/>
        <v>106</v>
      </c>
      <c r="D900" s="2">
        <f>PARAM!$H$38</f>
        <v>1</v>
      </c>
      <c r="E900" s="11">
        <f>PARAM!$G$38</f>
        <v>0</v>
      </c>
      <c r="F900" s="11">
        <f>(VLOOKUP(C900,DEDN!$A$8:$O$902,$F$2)*D900+E900)/1000</f>
        <v>0.28441000000000005</v>
      </c>
      <c r="G900" s="178">
        <f t="shared" si="260"/>
        <v>75</v>
      </c>
      <c r="H900" s="178">
        <f t="shared" si="260"/>
        <v>75</v>
      </c>
      <c r="I900" s="2">
        <f>PARAM!$H$39</f>
        <v>0</v>
      </c>
      <c r="J900" s="11">
        <f>PARAM!$G$39</f>
        <v>0</v>
      </c>
      <c r="K900" s="11">
        <f>(VLOOKUP(H900,DEDN!$A$8:$O$902,$K$2)*I900+J900)/1000</f>
        <v>0</v>
      </c>
      <c r="L900" s="11">
        <f>MIN(IF(PARAM!$B$43=3,CHOOSE($L$2,F900,K900),F900+K900-F900*K900),1)</f>
        <v>0.28441000000000005</v>
      </c>
      <c r="M900" s="2">
        <f>PARAM!$I$38</f>
        <v>0</v>
      </c>
      <c r="N900" s="11">
        <f>VLOOKUP(B900,DEDN!$A$8:$O$90,$N$2)*M900</f>
        <v>0</v>
      </c>
      <c r="O900" s="12"/>
      <c r="P900" s="10">
        <f>PARAM!$C$53^-A900</f>
        <v>1</v>
      </c>
      <c r="Q900" s="10">
        <f t="shared" si="263"/>
        <v>2.0231307345712577E-3</v>
      </c>
      <c r="R900" s="10">
        <f t="shared" ref="R900:R915" si="264">P900*Q900</f>
        <v>2.0231307345712577E-3</v>
      </c>
      <c r="S900" s="10">
        <f>CHOOSE(PARAM!$B$51,R900,R900,0,0)*(A900&lt;PARAM!$B$55)</f>
        <v>0</v>
      </c>
      <c r="T900" s="10">
        <f t="shared" ref="T900:T963" si="265">Q900-Q901</f>
        <v>5.5640269540808539E-5</v>
      </c>
      <c r="U900" s="10">
        <f>T900*P900*(A900&lt;PARAM!$B$55)</f>
        <v>0</v>
      </c>
      <c r="W900">
        <v>897</v>
      </c>
      <c r="X900" s="178">
        <f t="shared" si="261"/>
        <v>106</v>
      </c>
      <c r="Y900" s="178">
        <f t="shared" si="261"/>
        <v>106</v>
      </c>
      <c r="Z900" s="178">
        <f t="shared" si="261"/>
        <v>75</v>
      </c>
      <c r="AA900" s="178">
        <f t="shared" si="261"/>
        <v>75</v>
      </c>
      <c r="AD900" s="17">
        <f>CALC!E924*(A900&lt;PARAM!$B$55)</f>
        <v>0</v>
      </c>
      <c r="AE900">
        <f>IF(A900&lt;ITER!$C$16,1,PARAM!$C$53^-(RATES!A900-ITER!$C$16))*(A900&lt;PARAM!$B$55)</f>
        <v>0</v>
      </c>
    </row>
    <row r="901" spans="1:31" x14ac:dyDescent="0.2">
      <c r="A901" s="9">
        <v>898</v>
      </c>
      <c r="B901" s="178">
        <f t="shared" ref="B901:C920" si="266">B889+1</f>
        <v>106</v>
      </c>
      <c r="C901" s="178">
        <f t="shared" si="266"/>
        <v>106</v>
      </c>
      <c r="D901" s="2">
        <f>PARAM!$H$38</f>
        <v>1</v>
      </c>
      <c r="E901" s="11">
        <f>PARAM!$G$38</f>
        <v>0</v>
      </c>
      <c r="F901" s="11">
        <f>(VLOOKUP(C901,DEDN!$A$8:$O$902,$F$2)*D901+E901)/1000</f>
        <v>0.28441000000000005</v>
      </c>
      <c r="G901" s="178">
        <f t="shared" ref="G901:H920" si="267">G889+1</f>
        <v>75</v>
      </c>
      <c r="H901" s="178">
        <f t="shared" si="267"/>
        <v>75</v>
      </c>
      <c r="I901" s="2">
        <f>PARAM!$H$39</f>
        <v>0</v>
      </c>
      <c r="J901" s="11">
        <f>PARAM!$G$39</f>
        <v>0</v>
      </c>
      <c r="K901" s="11">
        <f>(VLOOKUP(H901,DEDN!$A$8:$O$902,$K$2)*I901+J901)/1000</f>
        <v>0</v>
      </c>
      <c r="L901" s="11">
        <f>MIN(IF(PARAM!$B$43=3,CHOOSE($L$2,F901,K901),F901+K901-F901*K901),1)</f>
        <v>0.28441000000000005</v>
      </c>
      <c r="M901" s="2">
        <f>PARAM!$I$38</f>
        <v>0</v>
      </c>
      <c r="N901" s="11">
        <f>VLOOKUP(B901,DEDN!$A$8:$O$90,$N$2)*M901</f>
        <v>0</v>
      </c>
      <c r="O901" s="12"/>
      <c r="P901" s="10">
        <f>PARAM!$C$53^-A901</f>
        <v>1</v>
      </c>
      <c r="Q901" s="10">
        <f t="shared" ref="Q901:Q916" si="268">Q900*(1-L900)^(1/12)</f>
        <v>1.9674904650304492E-3</v>
      </c>
      <c r="R901" s="10">
        <f t="shared" si="264"/>
        <v>1.9674904650304492E-3</v>
      </c>
      <c r="S901" s="10">
        <f>CHOOSE(PARAM!$B$51,R901,0,0,0)*(A901&lt;PARAM!$B$55)</f>
        <v>0</v>
      </c>
      <c r="T901" s="10">
        <f t="shared" si="265"/>
        <v>5.4110047325470374E-5</v>
      </c>
      <c r="U901" s="10">
        <f>T901*P901*(A901&lt;PARAM!$B$55)</f>
        <v>0</v>
      </c>
      <c r="W901">
        <v>898</v>
      </c>
      <c r="X901" s="178">
        <f t="shared" ref="X901:AA920" si="269">X889+1</f>
        <v>106</v>
      </c>
      <c r="Y901" s="178">
        <f t="shared" si="269"/>
        <v>106</v>
      </c>
      <c r="Z901" s="178">
        <f t="shared" si="269"/>
        <v>75</v>
      </c>
      <c r="AA901" s="178">
        <f t="shared" si="269"/>
        <v>75</v>
      </c>
      <c r="AD901" s="17">
        <f>CALC!E925*(A901&lt;PARAM!$B$55)</f>
        <v>0</v>
      </c>
      <c r="AE901">
        <f>IF(A901&lt;ITER!$C$16,1,PARAM!$C$53^-(RATES!A901-ITER!$C$16))*(A901&lt;PARAM!$B$55)</f>
        <v>0</v>
      </c>
    </row>
    <row r="902" spans="1:31" x14ac:dyDescent="0.2">
      <c r="A902" s="9">
        <v>899</v>
      </c>
      <c r="B902" s="178">
        <f t="shared" si="266"/>
        <v>106</v>
      </c>
      <c r="C902" s="178">
        <f t="shared" si="266"/>
        <v>106</v>
      </c>
      <c r="D902" s="2">
        <f>PARAM!$H$38</f>
        <v>1</v>
      </c>
      <c r="E902" s="11">
        <f>PARAM!$G$38</f>
        <v>0</v>
      </c>
      <c r="F902" s="11">
        <f>(VLOOKUP(C902,DEDN!$A$8:$O$902,$F$2)*D902+E902)/1000</f>
        <v>0.28441000000000005</v>
      </c>
      <c r="G902" s="178">
        <f t="shared" si="267"/>
        <v>75</v>
      </c>
      <c r="H902" s="178">
        <f t="shared" si="267"/>
        <v>75</v>
      </c>
      <c r="I902" s="2">
        <f>PARAM!$H$39</f>
        <v>0</v>
      </c>
      <c r="J902" s="11">
        <f>PARAM!$G$39</f>
        <v>0</v>
      </c>
      <c r="K902" s="11">
        <f>(VLOOKUP(H902,DEDN!$A$8:$O$902,$K$2)*I902+J902)/1000</f>
        <v>0</v>
      </c>
      <c r="L902" s="11">
        <f>MIN(IF(PARAM!$B$43=3,CHOOSE($L$2,F902,K902),F902+K902-F902*K902),1)</f>
        <v>0.28441000000000005</v>
      </c>
      <c r="M902" s="2">
        <f>PARAM!$I$38</f>
        <v>0</v>
      </c>
      <c r="N902" s="11">
        <f>VLOOKUP(B902,DEDN!$A$8:$O$90,$N$2)*M902</f>
        <v>0</v>
      </c>
      <c r="O902" s="12"/>
      <c r="P902" s="10">
        <f>PARAM!$C$53^-A902</f>
        <v>1</v>
      </c>
      <c r="Q902" s="10">
        <f t="shared" si="268"/>
        <v>1.9133804177049788E-3</v>
      </c>
      <c r="R902" s="10">
        <f t="shared" si="264"/>
        <v>1.9133804177049788E-3</v>
      </c>
      <c r="S902" s="10">
        <f>CHOOSE(PARAM!$B$51,R902,0,0,0)*(A902&lt;PARAM!$B$55)</f>
        <v>0</v>
      </c>
      <c r="T902" s="10">
        <f t="shared" si="265"/>
        <v>5.2621909378372826E-5</v>
      </c>
      <c r="U902" s="10">
        <f>T902*P902*(A902&lt;PARAM!$B$55)</f>
        <v>0</v>
      </c>
      <c r="W902">
        <v>899</v>
      </c>
      <c r="X902" s="178">
        <f t="shared" si="269"/>
        <v>106</v>
      </c>
      <c r="Y902" s="178">
        <f t="shared" si="269"/>
        <v>106</v>
      </c>
      <c r="Z902" s="178">
        <f t="shared" si="269"/>
        <v>75</v>
      </c>
      <c r="AA902" s="178">
        <f t="shared" si="269"/>
        <v>75</v>
      </c>
      <c r="AD902" s="17">
        <f>CALC!E926*(A902&lt;PARAM!$B$55)</f>
        <v>0</v>
      </c>
      <c r="AE902">
        <f>IF(A902&lt;ITER!$C$16,1,PARAM!$C$53^-(RATES!A902-ITER!$C$16))*(A902&lt;PARAM!$B$55)</f>
        <v>0</v>
      </c>
    </row>
    <row r="903" spans="1:31" x14ac:dyDescent="0.2">
      <c r="A903" s="9">
        <v>900</v>
      </c>
      <c r="B903" s="178">
        <f t="shared" si="266"/>
        <v>106</v>
      </c>
      <c r="C903" s="178">
        <f t="shared" si="266"/>
        <v>106</v>
      </c>
      <c r="D903" s="2">
        <f>PARAM!$H$38</f>
        <v>1</v>
      </c>
      <c r="E903" s="11">
        <f>PARAM!$G$38</f>
        <v>0</v>
      </c>
      <c r="F903" s="11">
        <f>(VLOOKUP(C903,DEDN!$A$8:$O$902,$F$2)*D903+E903)/1000</f>
        <v>0.28441000000000005</v>
      </c>
      <c r="G903" s="178">
        <f t="shared" si="267"/>
        <v>75</v>
      </c>
      <c r="H903" s="178">
        <f t="shared" si="267"/>
        <v>75</v>
      </c>
      <c r="I903" s="2">
        <f>PARAM!$H$39</f>
        <v>0</v>
      </c>
      <c r="J903" s="11">
        <f>PARAM!$G$39</f>
        <v>0</v>
      </c>
      <c r="K903" s="11">
        <f>(VLOOKUP(H903,DEDN!$A$8:$O$902,$K$2)*I903+J903)/1000</f>
        <v>0</v>
      </c>
      <c r="L903" s="11">
        <f>MIN(IF(PARAM!$B$43=3,CHOOSE($L$2,F903,K903),F903+K903-F903*K903),1)</f>
        <v>0.28441000000000005</v>
      </c>
      <c r="M903" s="2">
        <f>PARAM!$I$38</f>
        <v>0</v>
      </c>
      <c r="N903" s="11">
        <f>VLOOKUP(B903,DEDN!$A$8:$O$90,$N$2)*M903</f>
        <v>0</v>
      </c>
      <c r="O903" s="12"/>
      <c r="P903" s="10">
        <f>PARAM!$C$53^-A903</f>
        <v>1</v>
      </c>
      <c r="Q903" s="10">
        <f t="shared" si="268"/>
        <v>1.860758508326606E-3</v>
      </c>
      <c r="R903" s="10">
        <f t="shared" si="264"/>
        <v>1.860758508326606E-3</v>
      </c>
      <c r="S903" s="10">
        <f>R903*(A903&lt;PARAM!$B$55)</f>
        <v>0</v>
      </c>
      <c r="T903" s="10">
        <f t="shared" si="265"/>
        <v>5.1174698295305878E-5</v>
      </c>
      <c r="U903" s="10">
        <f>T903*P903*(A903&lt;PARAM!$B$55)</f>
        <v>0</v>
      </c>
      <c r="W903">
        <v>900</v>
      </c>
      <c r="X903" s="178">
        <f t="shared" si="269"/>
        <v>106</v>
      </c>
      <c r="Y903" s="178">
        <f t="shared" si="269"/>
        <v>106</v>
      </c>
      <c r="Z903" s="178">
        <f t="shared" si="269"/>
        <v>75</v>
      </c>
      <c r="AA903" s="178">
        <f t="shared" si="269"/>
        <v>75</v>
      </c>
      <c r="AD903" s="17">
        <f>CALC!E927*(A903&lt;PARAM!$B$55)</f>
        <v>0</v>
      </c>
      <c r="AE903">
        <f>IF(A903&lt;ITER!$C$16,1,PARAM!$C$53^-(RATES!A903-ITER!$C$16))*(A903&lt;PARAM!$B$55)</f>
        <v>0</v>
      </c>
    </row>
    <row r="904" spans="1:31" x14ac:dyDescent="0.2">
      <c r="A904" s="9">
        <v>901</v>
      </c>
      <c r="B904" s="178">
        <f t="shared" si="266"/>
        <v>106</v>
      </c>
      <c r="C904" s="178">
        <f t="shared" si="266"/>
        <v>106</v>
      </c>
      <c r="D904" s="2">
        <f>PARAM!$H$38</f>
        <v>1</v>
      </c>
      <c r="E904" s="11">
        <f>PARAM!$G$38</f>
        <v>0</v>
      </c>
      <c r="F904" s="11">
        <f>(VLOOKUP(C904,DEDN!$A$8:$O$902,$F$2)*D904+E904)/1000</f>
        <v>0.28441000000000005</v>
      </c>
      <c r="G904" s="178">
        <f t="shared" si="267"/>
        <v>75</v>
      </c>
      <c r="H904" s="178">
        <f t="shared" si="267"/>
        <v>75</v>
      </c>
      <c r="I904" s="2">
        <f>PARAM!$H$39</f>
        <v>0</v>
      </c>
      <c r="J904" s="11">
        <f>PARAM!$G$39</f>
        <v>0</v>
      </c>
      <c r="K904" s="11">
        <f>(VLOOKUP(H904,DEDN!$A$8:$O$902,$K$2)*I904+J904)/1000</f>
        <v>0</v>
      </c>
      <c r="L904" s="11">
        <f>MIN(IF(PARAM!$B$43=3,CHOOSE($L$2,F904,K904),F904+K904-F904*K904),1)</f>
        <v>0.28441000000000005</v>
      </c>
      <c r="M904" s="2">
        <f>PARAM!$I$38</f>
        <v>0</v>
      </c>
      <c r="N904" s="11">
        <f>VLOOKUP(B904,DEDN!$A$8:$O$90,$N$2)*M904</f>
        <v>0</v>
      </c>
      <c r="P904" s="10">
        <f>PARAM!$C$53^-A904</f>
        <v>1</v>
      </c>
      <c r="Q904" s="10">
        <f t="shared" si="268"/>
        <v>1.8095838100313001E-3</v>
      </c>
      <c r="R904" s="10">
        <f t="shared" si="264"/>
        <v>1.8095838100313001E-3</v>
      </c>
      <c r="S904" s="10">
        <f>CHOOSE(PARAM!$B$51,R904,0,0,0)*(A904&lt;PARAM!$B$55)</f>
        <v>0</v>
      </c>
      <c r="T904" s="10">
        <f t="shared" si="265"/>
        <v>4.9767288503064361E-5</v>
      </c>
      <c r="U904" s="10">
        <f>T904*P904*(A904&lt;PARAM!$B$55)</f>
        <v>0</v>
      </c>
      <c r="W904">
        <v>901</v>
      </c>
      <c r="X904" s="178">
        <f t="shared" si="269"/>
        <v>106</v>
      </c>
      <c r="Y904" s="178">
        <f t="shared" si="269"/>
        <v>106</v>
      </c>
      <c r="Z904" s="178">
        <f t="shared" si="269"/>
        <v>75</v>
      </c>
      <c r="AA904" s="178">
        <f t="shared" si="269"/>
        <v>75</v>
      </c>
      <c r="AD904" s="17">
        <f>CALC!E928*(A904&lt;PARAM!$B$55)</f>
        <v>0</v>
      </c>
      <c r="AE904">
        <f>IF(A904&lt;ITER!$C$16,1,PARAM!$C$53^-(RATES!A904-ITER!$C$16))*(A904&lt;PARAM!$B$55)</f>
        <v>0</v>
      </c>
    </row>
    <row r="905" spans="1:31" x14ac:dyDescent="0.2">
      <c r="A905" s="9">
        <v>902</v>
      </c>
      <c r="B905" s="178">
        <f t="shared" si="266"/>
        <v>106</v>
      </c>
      <c r="C905" s="178">
        <f t="shared" si="266"/>
        <v>106</v>
      </c>
      <c r="D905" s="2">
        <f>PARAM!$H$38</f>
        <v>1</v>
      </c>
      <c r="E905" s="11">
        <f>PARAM!$G$38</f>
        <v>0</v>
      </c>
      <c r="F905" s="11">
        <f>(VLOOKUP(C905,DEDN!$A$8:$O$902,$F$2)*D905+E905)/1000</f>
        <v>0.28441000000000005</v>
      </c>
      <c r="G905" s="178">
        <f t="shared" si="267"/>
        <v>75</v>
      </c>
      <c r="H905" s="178">
        <f t="shared" si="267"/>
        <v>75</v>
      </c>
      <c r="I905" s="2">
        <f>PARAM!$H$39</f>
        <v>0</v>
      </c>
      <c r="J905" s="11">
        <f>PARAM!$G$39</f>
        <v>0</v>
      </c>
      <c r="K905" s="11">
        <f>(VLOOKUP(H905,DEDN!$A$8:$O$902,$K$2)*I905+J905)/1000</f>
        <v>0</v>
      </c>
      <c r="L905" s="11">
        <f>MIN(IF(PARAM!$B$43=3,CHOOSE($L$2,F905,K905),F905+K905-F905*K905),1)</f>
        <v>0.28441000000000005</v>
      </c>
      <c r="M905" s="2">
        <f>PARAM!$I$38</f>
        <v>0</v>
      </c>
      <c r="N905" s="11">
        <f>VLOOKUP(B905,DEDN!$A$8:$O$90,$N$2)*M905</f>
        <v>0</v>
      </c>
      <c r="P905" s="10">
        <f>PARAM!$C$53^-A905</f>
        <v>1</v>
      </c>
      <c r="Q905" s="10">
        <f t="shared" si="268"/>
        <v>1.7598165215282357E-3</v>
      </c>
      <c r="R905" s="10">
        <f t="shared" si="264"/>
        <v>1.7598165215282357E-3</v>
      </c>
      <c r="S905" s="10">
        <f>CHOOSE(PARAM!$B$51,R905,0,0,0)*(A905&lt;PARAM!$B$55)</f>
        <v>0</v>
      </c>
      <c r="T905" s="10">
        <f t="shared" si="265"/>
        <v>4.8398585384028204E-5</v>
      </c>
      <c r="U905" s="10">
        <f>T905*P905*(A905&lt;PARAM!$B$55)</f>
        <v>0</v>
      </c>
      <c r="W905">
        <v>902</v>
      </c>
      <c r="X905" s="178">
        <f t="shared" si="269"/>
        <v>106</v>
      </c>
      <c r="Y905" s="178">
        <f t="shared" si="269"/>
        <v>106</v>
      </c>
      <c r="Z905" s="178">
        <f t="shared" si="269"/>
        <v>75</v>
      </c>
      <c r="AA905" s="178">
        <f t="shared" si="269"/>
        <v>75</v>
      </c>
      <c r="AD905" s="17">
        <f>CALC!E929*(A905&lt;PARAM!$B$55)</f>
        <v>0</v>
      </c>
      <c r="AE905">
        <f>IF(A905&lt;ITER!$C$16,1,PARAM!$C$53^-(RATES!A905-ITER!$C$16))*(A905&lt;PARAM!$B$55)</f>
        <v>0</v>
      </c>
    </row>
    <row r="906" spans="1:31" x14ac:dyDescent="0.2">
      <c r="A906" s="9">
        <v>903</v>
      </c>
      <c r="B906" s="178">
        <f t="shared" si="266"/>
        <v>106</v>
      </c>
      <c r="C906" s="178">
        <f t="shared" si="266"/>
        <v>106</v>
      </c>
      <c r="D906" s="2">
        <f>PARAM!$H$38</f>
        <v>1</v>
      </c>
      <c r="E906" s="11">
        <f>PARAM!$G$38</f>
        <v>0</v>
      </c>
      <c r="F906" s="11">
        <f>(VLOOKUP(C906,DEDN!$A$8:$O$902,$F$2)*D906+E906)/1000</f>
        <v>0.28441000000000005</v>
      </c>
      <c r="G906" s="178">
        <f t="shared" si="267"/>
        <v>75</v>
      </c>
      <c r="H906" s="178">
        <f t="shared" si="267"/>
        <v>75</v>
      </c>
      <c r="I906" s="2">
        <f>PARAM!$H$39</f>
        <v>0</v>
      </c>
      <c r="J906" s="11">
        <f>PARAM!$G$39</f>
        <v>0</v>
      </c>
      <c r="K906" s="11">
        <f>(VLOOKUP(H906,DEDN!$A$8:$O$902,$K$2)*I906+J906)/1000</f>
        <v>0</v>
      </c>
      <c r="L906" s="11">
        <f>MIN(IF(PARAM!$B$43=3,CHOOSE($L$2,F906,K906),F906+K906-F906*K906),1)</f>
        <v>0.28441000000000005</v>
      </c>
      <c r="M906" s="2">
        <f>PARAM!$I$38</f>
        <v>0</v>
      </c>
      <c r="N906" s="11">
        <f>VLOOKUP(B906,DEDN!$A$8:$O$90,$N$2)*M906</f>
        <v>0</v>
      </c>
      <c r="P906" s="10">
        <f>PARAM!$C$53^-A906</f>
        <v>1</v>
      </c>
      <c r="Q906" s="10">
        <f t="shared" si="268"/>
        <v>1.7114179361442075E-3</v>
      </c>
      <c r="R906" s="10">
        <f t="shared" si="264"/>
        <v>1.7114179361442075E-3</v>
      </c>
      <c r="S906" s="10">
        <f>CHOOSE(PARAM!$B$51,R906,R906,0,0)*(A906&lt;PARAM!$B$55)</f>
        <v>0</v>
      </c>
      <c r="T906" s="10">
        <f t="shared" si="265"/>
        <v>4.7067524424820439E-5</v>
      </c>
      <c r="U906" s="10">
        <f>T906*P906*(A906&lt;PARAM!$B$55)</f>
        <v>0</v>
      </c>
      <c r="W906">
        <v>903</v>
      </c>
      <c r="X906" s="178">
        <f t="shared" si="269"/>
        <v>106</v>
      </c>
      <c r="Y906" s="178">
        <f t="shared" si="269"/>
        <v>106</v>
      </c>
      <c r="Z906" s="178">
        <f t="shared" si="269"/>
        <v>75</v>
      </c>
      <c r="AA906" s="178">
        <f t="shared" si="269"/>
        <v>75</v>
      </c>
      <c r="AD906" s="17">
        <f>CALC!E930*(A906&lt;PARAM!$B$55)</f>
        <v>0</v>
      </c>
      <c r="AE906">
        <f>IF(A906&lt;ITER!$C$16,1,PARAM!$C$53^-(RATES!A906-ITER!$C$16))*(A906&lt;PARAM!$B$55)</f>
        <v>0</v>
      </c>
    </row>
    <row r="907" spans="1:31" x14ac:dyDescent="0.2">
      <c r="A907" s="9">
        <v>904</v>
      </c>
      <c r="B907" s="178">
        <f t="shared" si="266"/>
        <v>106</v>
      </c>
      <c r="C907" s="178">
        <f t="shared" si="266"/>
        <v>106</v>
      </c>
      <c r="D907" s="2">
        <f>PARAM!$H$38</f>
        <v>1</v>
      </c>
      <c r="E907" s="11">
        <f>PARAM!$G$38</f>
        <v>0</v>
      </c>
      <c r="F907" s="11">
        <f>(VLOOKUP(C907,DEDN!$A$8:$O$902,$F$2)*D907+E907)/1000</f>
        <v>0.28441000000000005</v>
      </c>
      <c r="G907" s="178">
        <f t="shared" si="267"/>
        <v>75</v>
      </c>
      <c r="H907" s="178">
        <f t="shared" si="267"/>
        <v>75</v>
      </c>
      <c r="I907" s="2">
        <f>PARAM!$H$39</f>
        <v>0</v>
      </c>
      <c r="J907" s="11">
        <f>PARAM!$G$39</f>
        <v>0</v>
      </c>
      <c r="K907" s="11">
        <f>(VLOOKUP(H907,DEDN!$A$8:$O$902,$K$2)*I907+J907)/1000</f>
        <v>0</v>
      </c>
      <c r="L907" s="11">
        <f>MIN(IF(PARAM!$B$43=3,CHOOSE($L$2,F907,K907),F907+K907-F907*K907),1)</f>
        <v>0.28441000000000005</v>
      </c>
      <c r="M907" s="2">
        <f>PARAM!$I$38</f>
        <v>0</v>
      </c>
      <c r="N907" s="11">
        <f>VLOOKUP(B907,DEDN!$A$8:$O$90,$N$2)*M907</f>
        <v>0</v>
      </c>
      <c r="P907" s="10">
        <f>PARAM!$C$53^-A907</f>
        <v>1</v>
      </c>
      <c r="Q907" s="10">
        <f t="shared" si="268"/>
        <v>1.6643504117193871E-3</v>
      </c>
      <c r="R907" s="10">
        <f t="shared" si="264"/>
        <v>1.6643504117193871E-3</v>
      </c>
      <c r="S907" s="10">
        <f>CHOOSE(PARAM!$B$51,R907,0,0,0)*(A907&lt;PARAM!$B$55)</f>
        <v>0</v>
      </c>
      <c r="T907" s="10">
        <f t="shared" si="265"/>
        <v>4.577307038837854E-5</v>
      </c>
      <c r="U907" s="10">
        <f>T907*P907*(A907&lt;PARAM!$B$55)</f>
        <v>0</v>
      </c>
      <c r="W907">
        <v>904</v>
      </c>
      <c r="X907" s="178">
        <f t="shared" si="269"/>
        <v>106</v>
      </c>
      <c r="Y907" s="178">
        <f t="shared" si="269"/>
        <v>106</v>
      </c>
      <c r="Z907" s="178">
        <f t="shared" si="269"/>
        <v>75</v>
      </c>
      <c r="AA907" s="178">
        <f t="shared" si="269"/>
        <v>75</v>
      </c>
      <c r="AD907" s="17">
        <f>CALC!E931*(A907&lt;PARAM!$B$55)</f>
        <v>0</v>
      </c>
      <c r="AE907">
        <f>IF(A907&lt;ITER!$C$16,1,PARAM!$C$53^-(RATES!A907-ITER!$C$16))*(A907&lt;PARAM!$B$55)</f>
        <v>0</v>
      </c>
    </row>
    <row r="908" spans="1:31" x14ac:dyDescent="0.2">
      <c r="A908" s="9">
        <v>905</v>
      </c>
      <c r="B908" s="178">
        <f t="shared" si="266"/>
        <v>106</v>
      </c>
      <c r="C908" s="178">
        <f t="shared" si="266"/>
        <v>106</v>
      </c>
      <c r="D908" s="2">
        <f>PARAM!$H$38</f>
        <v>1</v>
      </c>
      <c r="E908" s="11">
        <f>PARAM!$G$38</f>
        <v>0</v>
      </c>
      <c r="F908" s="11">
        <f>(VLOOKUP(C908,DEDN!$A$8:$O$902,$F$2)*D908+E908)/1000</f>
        <v>0.28441000000000005</v>
      </c>
      <c r="G908" s="178">
        <f t="shared" si="267"/>
        <v>75</v>
      </c>
      <c r="H908" s="178">
        <f t="shared" si="267"/>
        <v>75</v>
      </c>
      <c r="I908" s="2">
        <f>PARAM!$H$39</f>
        <v>0</v>
      </c>
      <c r="J908" s="11">
        <f>PARAM!$G$39</f>
        <v>0</v>
      </c>
      <c r="K908" s="11">
        <f>(VLOOKUP(H908,DEDN!$A$8:$O$902,$K$2)*I908+J908)/1000</f>
        <v>0</v>
      </c>
      <c r="L908" s="11">
        <f>MIN(IF(PARAM!$B$43=3,CHOOSE($L$2,F908,K908),F908+K908-F908*K908),1)</f>
        <v>0.28441000000000005</v>
      </c>
      <c r="M908" s="2">
        <f>PARAM!$I$38</f>
        <v>0</v>
      </c>
      <c r="N908" s="11">
        <f>VLOOKUP(B908,DEDN!$A$8:$O$90,$N$2)*M908</f>
        <v>0</v>
      </c>
      <c r="P908" s="10">
        <f>PARAM!$C$53^-A908</f>
        <v>1</v>
      </c>
      <c r="Q908" s="10">
        <f t="shared" si="268"/>
        <v>1.6185773413310085E-3</v>
      </c>
      <c r="R908" s="10">
        <f t="shared" si="264"/>
        <v>1.6185773413310085E-3</v>
      </c>
      <c r="S908" s="10">
        <f>CHOOSE(PARAM!$B$51,R908,0,0,0)*(A908&lt;PARAM!$B$55)</f>
        <v>0</v>
      </c>
      <c r="T908" s="10">
        <f t="shared" si="265"/>
        <v>4.4514216508794889E-5</v>
      </c>
      <c r="U908" s="10">
        <f>T908*P908*(A908&lt;PARAM!$B$55)</f>
        <v>0</v>
      </c>
      <c r="W908">
        <v>905</v>
      </c>
      <c r="X908" s="178">
        <f t="shared" si="269"/>
        <v>106</v>
      </c>
      <c r="Y908" s="178">
        <f t="shared" si="269"/>
        <v>106</v>
      </c>
      <c r="Z908" s="178">
        <f t="shared" si="269"/>
        <v>75</v>
      </c>
      <c r="AA908" s="178">
        <f t="shared" si="269"/>
        <v>75</v>
      </c>
      <c r="AD908" s="17">
        <f>CALC!E932*(A908&lt;PARAM!$B$55)</f>
        <v>0</v>
      </c>
      <c r="AE908">
        <f>IF(A908&lt;ITER!$C$16,1,PARAM!$C$53^-(RATES!A908-ITER!$C$16))*(A908&lt;PARAM!$B$55)</f>
        <v>0</v>
      </c>
    </row>
    <row r="909" spans="1:31" x14ac:dyDescent="0.2">
      <c r="A909" s="9">
        <v>906</v>
      </c>
      <c r="B909" s="178">
        <f t="shared" si="266"/>
        <v>107</v>
      </c>
      <c r="C909" s="178">
        <f t="shared" si="266"/>
        <v>107</v>
      </c>
      <c r="D909" s="2">
        <f>PARAM!$H$38</f>
        <v>1</v>
      </c>
      <c r="E909" s="11">
        <f>PARAM!$G$38</f>
        <v>0</v>
      </c>
      <c r="F909" s="11">
        <f>(VLOOKUP(C909,DEDN!$A$8:$O$902,$F$2)*D909+E909)/1000</f>
        <v>0.28441000000000005</v>
      </c>
      <c r="G909" s="178">
        <f t="shared" si="267"/>
        <v>76</v>
      </c>
      <c r="H909" s="178">
        <f t="shared" si="267"/>
        <v>76</v>
      </c>
      <c r="I909" s="2">
        <f>PARAM!$H$39</f>
        <v>0</v>
      </c>
      <c r="J909" s="11">
        <f>PARAM!$G$39</f>
        <v>0</v>
      </c>
      <c r="K909" s="11">
        <f>(VLOOKUP(H909,DEDN!$A$8:$O$902,$K$2)*I909+J909)/1000</f>
        <v>0</v>
      </c>
      <c r="L909" s="11">
        <f>MIN(IF(PARAM!$B$43=3,CHOOSE($L$2,F909,K909),F909+K909-F909*K909),1)</f>
        <v>0.28441000000000005</v>
      </c>
      <c r="M909" s="2">
        <f>PARAM!$I$38</f>
        <v>0</v>
      </c>
      <c r="N909" s="11">
        <f>VLOOKUP(B909,DEDN!$A$8:$O$90,$N$2)*M909</f>
        <v>0</v>
      </c>
      <c r="P909" s="10">
        <f>PARAM!$C$53^-A909</f>
        <v>1</v>
      </c>
      <c r="Q909" s="10">
        <f t="shared" si="268"/>
        <v>1.5740631248222137E-3</v>
      </c>
      <c r="R909" s="10">
        <f t="shared" si="264"/>
        <v>1.5740631248222137E-3</v>
      </c>
      <c r="S909" s="10">
        <f>CHOOSE(PARAM!$B$51,R909,R909,R909,0)*(A909&lt;PARAM!$B$55)</f>
        <v>0</v>
      </c>
      <c r="T909" s="10">
        <f t="shared" si="265"/>
        <v>4.3289983708302057E-5</v>
      </c>
      <c r="U909" s="10">
        <f>T909*P909*(A909&lt;PARAM!$B$55)</f>
        <v>0</v>
      </c>
      <c r="W909">
        <v>906</v>
      </c>
      <c r="X909" s="178">
        <f t="shared" si="269"/>
        <v>107</v>
      </c>
      <c r="Y909" s="178">
        <f t="shared" si="269"/>
        <v>107</v>
      </c>
      <c r="Z909" s="178">
        <f t="shared" si="269"/>
        <v>76</v>
      </c>
      <c r="AA909" s="178">
        <f t="shared" si="269"/>
        <v>76</v>
      </c>
      <c r="AD909" s="17">
        <f>CALC!E933*(A909&lt;PARAM!$B$55)</f>
        <v>0</v>
      </c>
      <c r="AE909">
        <f>IF(A909&lt;ITER!$C$16,1,PARAM!$C$53^-(RATES!A909-ITER!$C$16))*(A909&lt;PARAM!$B$55)</f>
        <v>0</v>
      </c>
    </row>
    <row r="910" spans="1:31" x14ac:dyDescent="0.2">
      <c r="A910" s="9">
        <v>907</v>
      </c>
      <c r="B910" s="178">
        <f t="shared" si="266"/>
        <v>107</v>
      </c>
      <c r="C910" s="178">
        <f t="shared" si="266"/>
        <v>107</v>
      </c>
      <c r="D910" s="2">
        <f>PARAM!$H$38</f>
        <v>1</v>
      </c>
      <c r="E910" s="11">
        <f>PARAM!$G$38</f>
        <v>0</v>
      </c>
      <c r="F910" s="11">
        <f>(VLOOKUP(C910,DEDN!$A$8:$O$902,$F$2)*D910+E910)/1000</f>
        <v>0.28441000000000005</v>
      </c>
      <c r="G910" s="178">
        <f t="shared" si="267"/>
        <v>76</v>
      </c>
      <c r="H910" s="178">
        <f t="shared" si="267"/>
        <v>76</v>
      </c>
      <c r="I910" s="2">
        <f>PARAM!$H$39</f>
        <v>0</v>
      </c>
      <c r="J910" s="11">
        <f>PARAM!$G$39</f>
        <v>0</v>
      </c>
      <c r="K910" s="11">
        <f>(VLOOKUP(H910,DEDN!$A$8:$O$902,$K$2)*I910+J910)/1000</f>
        <v>0</v>
      </c>
      <c r="L910" s="11">
        <f>MIN(IF(PARAM!$B$43=3,CHOOSE($L$2,F910,K910),F910+K910-F910*K910),1)</f>
        <v>0.28441000000000005</v>
      </c>
      <c r="M910" s="2">
        <f>PARAM!$I$38</f>
        <v>0</v>
      </c>
      <c r="N910" s="11">
        <f>VLOOKUP(B910,DEDN!$A$8:$O$90,$N$2)*M910</f>
        <v>0</v>
      </c>
      <c r="P910" s="10">
        <f>PARAM!$C$53^-A910</f>
        <v>1</v>
      </c>
      <c r="Q910" s="10">
        <f t="shared" si="268"/>
        <v>1.5307731411139116E-3</v>
      </c>
      <c r="R910" s="10">
        <f t="shared" si="264"/>
        <v>1.5307731411139116E-3</v>
      </c>
      <c r="S910" s="10">
        <f>CHOOSE(PARAM!$B$51,R910,0,0,0)*(A910&lt;PARAM!$B$55)</f>
        <v>0</v>
      </c>
      <c r="T910" s="10">
        <f t="shared" si="265"/>
        <v>4.2099419835791218E-5</v>
      </c>
      <c r="U910" s="10">
        <f>T910*P910*(A910&lt;PARAM!$B$55)</f>
        <v>0</v>
      </c>
      <c r="W910">
        <v>907</v>
      </c>
      <c r="X910" s="178">
        <f t="shared" si="269"/>
        <v>107</v>
      </c>
      <c r="Y910" s="178">
        <f t="shared" si="269"/>
        <v>107</v>
      </c>
      <c r="Z910" s="178">
        <f t="shared" si="269"/>
        <v>76</v>
      </c>
      <c r="AA910" s="178">
        <f t="shared" si="269"/>
        <v>76</v>
      </c>
      <c r="AD910" s="17">
        <f>CALC!E934*(A910&lt;PARAM!$B$55)</f>
        <v>0</v>
      </c>
      <c r="AE910">
        <f>IF(A910&lt;ITER!$C$16,1,PARAM!$C$53^-(RATES!A910-ITER!$C$16))*(A910&lt;PARAM!$B$55)</f>
        <v>0</v>
      </c>
    </row>
    <row r="911" spans="1:31" x14ac:dyDescent="0.2">
      <c r="A911" s="9">
        <v>908</v>
      </c>
      <c r="B911" s="178">
        <f t="shared" si="266"/>
        <v>107</v>
      </c>
      <c r="C911" s="178">
        <f t="shared" si="266"/>
        <v>107</v>
      </c>
      <c r="D911" s="2">
        <f>PARAM!$H$38</f>
        <v>1</v>
      </c>
      <c r="E911" s="11">
        <f>PARAM!$G$38</f>
        <v>0</v>
      </c>
      <c r="F911" s="11">
        <f>(VLOOKUP(C911,DEDN!$A$8:$O$902,$F$2)*D911+E911)/1000</f>
        <v>0.28441000000000005</v>
      </c>
      <c r="G911" s="178">
        <f t="shared" si="267"/>
        <v>76</v>
      </c>
      <c r="H911" s="178">
        <f t="shared" si="267"/>
        <v>76</v>
      </c>
      <c r="I911" s="2">
        <f>PARAM!$H$39</f>
        <v>0</v>
      </c>
      <c r="J911" s="11">
        <f>PARAM!$G$39</f>
        <v>0</v>
      </c>
      <c r="K911" s="11">
        <f>(VLOOKUP(H911,DEDN!$A$8:$O$902,$K$2)*I911+J911)/1000</f>
        <v>0</v>
      </c>
      <c r="L911" s="11">
        <f>MIN(IF(PARAM!$B$43=3,CHOOSE($L$2,F911,K911),F911+K911-F911*K911),1)</f>
        <v>0.28441000000000005</v>
      </c>
      <c r="M911" s="2">
        <f>PARAM!$I$38</f>
        <v>0</v>
      </c>
      <c r="N911" s="11">
        <f>VLOOKUP(B911,DEDN!$A$8:$O$90,$N$2)*M911</f>
        <v>0</v>
      </c>
      <c r="P911" s="10">
        <f>PARAM!$C$53^-A911</f>
        <v>1</v>
      </c>
      <c r="Q911" s="10">
        <f t="shared" si="268"/>
        <v>1.4886737212781204E-3</v>
      </c>
      <c r="R911" s="10">
        <f t="shared" si="264"/>
        <v>1.4886737212781204E-3</v>
      </c>
      <c r="S911" s="10">
        <f>CHOOSE(PARAM!$B$51,R911,0,0,0)*(A911&lt;PARAM!$B$55)</f>
        <v>0</v>
      </c>
      <c r="T911" s="10">
        <f t="shared" si="265"/>
        <v>4.0941598926273227E-5</v>
      </c>
      <c r="U911" s="10">
        <f>T911*P911*(A911&lt;PARAM!$B$55)</f>
        <v>0</v>
      </c>
      <c r="W911">
        <v>908</v>
      </c>
      <c r="X911" s="178">
        <f t="shared" si="269"/>
        <v>107</v>
      </c>
      <c r="Y911" s="178">
        <f t="shared" si="269"/>
        <v>107</v>
      </c>
      <c r="Z911" s="178">
        <f t="shared" si="269"/>
        <v>76</v>
      </c>
      <c r="AA911" s="178">
        <f t="shared" si="269"/>
        <v>76</v>
      </c>
      <c r="AD911" s="17">
        <f>CALC!E935*(A911&lt;PARAM!$B$55)</f>
        <v>0</v>
      </c>
      <c r="AE911">
        <f>IF(A911&lt;ITER!$C$16,1,PARAM!$C$53^-(RATES!A911-ITER!$C$16))*(A911&lt;PARAM!$B$55)</f>
        <v>0</v>
      </c>
    </row>
    <row r="912" spans="1:31" x14ac:dyDescent="0.2">
      <c r="A912" s="9">
        <v>909</v>
      </c>
      <c r="B912" s="178">
        <f t="shared" si="266"/>
        <v>107</v>
      </c>
      <c r="C912" s="178">
        <f t="shared" si="266"/>
        <v>107</v>
      </c>
      <c r="D912" s="2">
        <f>PARAM!$H$38</f>
        <v>1</v>
      </c>
      <c r="E912" s="11">
        <f>PARAM!$G$38</f>
        <v>0</v>
      </c>
      <c r="F912" s="11">
        <f>(VLOOKUP(C912,DEDN!$A$8:$O$902,$F$2)*D912+E912)/1000</f>
        <v>0.28441000000000005</v>
      </c>
      <c r="G912" s="178">
        <f t="shared" si="267"/>
        <v>76</v>
      </c>
      <c r="H912" s="178">
        <f t="shared" si="267"/>
        <v>76</v>
      </c>
      <c r="I912" s="2">
        <f>PARAM!$H$39</f>
        <v>0</v>
      </c>
      <c r="J912" s="11">
        <f>PARAM!$G$39</f>
        <v>0</v>
      </c>
      <c r="K912" s="11">
        <f>(VLOOKUP(H912,DEDN!$A$8:$O$902,$K$2)*I912+J912)/1000</f>
        <v>0</v>
      </c>
      <c r="L912" s="11">
        <f>MIN(IF(PARAM!$B$43=3,CHOOSE($L$2,F912,K912),F912+K912-F912*K912),1)</f>
        <v>0.28441000000000005</v>
      </c>
      <c r="M912" s="2">
        <f>PARAM!$I$38</f>
        <v>0</v>
      </c>
      <c r="N912" s="11">
        <f>VLOOKUP(B912,DEDN!$A$8:$O$90,$N$2)*M912</f>
        <v>0</v>
      </c>
      <c r="P912" s="10">
        <f>PARAM!$C$53^-A912</f>
        <v>1</v>
      </c>
      <c r="Q912" s="10">
        <f t="shared" si="268"/>
        <v>1.4477321223518472E-3</v>
      </c>
      <c r="R912" s="10">
        <f t="shared" si="264"/>
        <v>1.4477321223518472E-3</v>
      </c>
      <c r="S912" s="10">
        <f>CHOOSE(PARAM!$B$51,R912,R912,0,0)*(A912&lt;PARAM!$B$55)</f>
        <v>0</v>
      </c>
      <c r="T912" s="10">
        <f t="shared" si="265"/>
        <v>3.9815620480707081E-5</v>
      </c>
      <c r="U912" s="10">
        <f>T912*P912*(A912&lt;PARAM!$B$55)</f>
        <v>0</v>
      </c>
      <c r="W912">
        <v>909</v>
      </c>
      <c r="X912" s="178">
        <f t="shared" si="269"/>
        <v>107</v>
      </c>
      <c r="Y912" s="178">
        <f t="shared" si="269"/>
        <v>107</v>
      </c>
      <c r="Z912" s="178">
        <f t="shared" si="269"/>
        <v>76</v>
      </c>
      <c r="AA912" s="178">
        <f t="shared" si="269"/>
        <v>76</v>
      </c>
      <c r="AD912" s="17">
        <f>CALC!E936*(A912&lt;PARAM!$B$55)</f>
        <v>0</v>
      </c>
      <c r="AE912">
        <f>IF(A912&lt;ITER!$C$16,1,PARAM!$C$53^-(RATES!A912-ITER!$C$16))*(A912&lt;PARAM!$B$55)</f>
        <v>0</v>
      </c>
    </row>
    <row r="913" spans="1:31" x14ac:dyDescent="0.2">
      <c r="A913" s="9">
        <v>910</v>
      </c>
      <c r="B913" s="178">
        <f t="shared" si="266"/>
        <v>107</v>
      </c>
      <c r="C913" s="178">
        <f t="shared" si="266"/>
        <v>107</v>
      </c>
      <c r="D913" s="2">
        <f>PARAM!$H$38</f>
        <v>1</v>
      </c>
      <c r="E913" s="11">
        <f>PARAM!$G$38</f>
        <v>0</v>
      </c>
      <c r="F913" s="11">
        <f>(VLOOKUP(C913,DEDN!$A$8:$O$902,$F$2)*D913+E913)/1000</f>
        <v>0.28441000000000005</v>
      </c>
      <c r="G913" s="178">
        <f t="shared" si="267"/>
        <v>76</v>
      </c>
      <c r="H913" s="178">
        <f t="shared" si="267"/>
        <v>76</v>
      </c>
      <c r="I913" s="2">
        <f>PARAM!$H$39</f>
        <v>0</v>
      </c>
      <c r="J913" s="11">
        <f>PARAM!$G$39</f>
        <v>0</v>
      </c>
      <c r="K913" s="11">
        <f>(VLOOKUP(H913,DEDN!$A$8:$O$902,$K$2)*I913+J913)/1000</f>
        <v>0</v>
      </c>
      <c r="L913" s="11">
        <f>MIN(IF(PARAM!$B$43=3,CHOOSE($L$2,F913,K913),F913+K913-F913*K913),1)</f>
        <v>0.28441000000000005</v>
      </c>
      <c r="M913" s="2">
        <f>PARAM!$I$38</f>
        <v>0</v>
      </c>
      <c r="N913" s="11">
        <f>VLOOKUP(B913,DEDN!$A$8:$O$90,$N$2)*M913</f>
        <v>0</v>
      </c>
      <c r="P913" s="10">
        <f>PARAM!$C$53^-A913</f>
        <v>1</v>
      </c>
      <c r="Q913" s="10">
        <f t="shared" si="268"/>
        <v>1.4079165018711401E-3</v>
      </c>
      <c r="R913" s="10">
        <f t="shared" si="264"/>
        <v>1.4079165018711401E-3</v>
      </c>
      <c r="S913" s="10">
        <f>CHOOSE(PARAM!$B$51,R913,0,0,0)*(A913&lt;PARAM!$B$55)</f>
        <v>0</v>
      </c>
      <c r="T913" s="10">
        <f t="shared" si="265"/>
        <v>3.8720608765633506E-5</v>
      </c>
      <c r="U913" s="10">
        <f>T913*P913*(A913&lt;PARAM!$B$55)</f>
        <v>0</v>
      </c>
      <c r="W913">
        <v>910</v>
      </c>
      <c r="X913" s="178">
        <f t="shared" si="269"/>
        <v>107</v>
      </c>
      <c r="Y913" s="178">
        <f t="shared" si="269"/>
        <v>107</v>
      </c>
      <c r="Z913" s="178">
        <f t="shared" si="269"/>
        <v>76</v>
      </c>
      <c r="AA913" s="178">
        <f t="shared" si="269"/>
        <v>76</v>
      </c>
      <c r="AD913" s="17">
        <f>CALC!E937*(A913&lt;PARAM!$B$55)</f>
        <v>0</v>
      </c>
      <c r="AE913">
        <f>IF(A913&lt;ITER!$C$16,1,PARAM!$C$53^-(RATES!A913-ITER!$C$16))*(A913&lt;PARAM!$B$55)</f>
        <v>0</v>
      </c>
    </row>
    <row r="914" spans="1:31" x14ac:dyDescent="0.2">
      <c r="A914" s="9">
        <v>911</v>
      </c>
      <c r="B914" s="178">
        <f t="shared" si="266"/>
        <v>107</v>
      </c>
      <c r="C914" s="178">
        <f t="shared" si="266"/>
        <v>107</v>
      </c>
      <c r="D914" s="2">
        <f>PARAM!$H$38</f>
        <v>1</v>
      </c>
      <c r="E914" s="11">
        <f>PARAM!$G$38</f>
        <v>0</v>
      </c>
      <c r="F914" s="11">
        <f>(VLOOKUP(C914,DEDN!$A$8:$O$902,$F$2)*D914+E914)/1000</f>
        <v>0.28441000000000005</v>
      </c>
      <c r="G914" s="178">
        <f t="shared" si="267"/>
        <v>76</v>
      </c>
      <c r="H914" s="178">
        <f t="shared" si="267"/>
        <v>76</v>
      </c>
      <c r="I914" s="2">
        <f>PARAM!$H$39</f>
        <v>0</v>
      </c>
      <c r="J914" s="11">
        <f>PARAM!$G$39</f>
        <v>0</v>
      </c>
      <c r="K914" s="11">
        <f>(VLOOKUP(H914,DEDN!$A$8:$O$902,$K$2)*I914+J914)/1000</f>
        <v>0</v>
      </c>
      <c r="L914" s="11">
        <f>MIN(IF(PARAM!$B$43=3,CHOOSE($L$2,F914,K914),F914+K914-F914*K914),1)</f>
        <v>0.28441000000000005</v>
      </c>
      <c r="M914" s="2">
        <f>PARAM!$I$38</f>
        <v>0</v>
      </c>
      <c r="N914" s="11">
        <f>VLOOKUP(B914,DEDN!$A$8:$O$90,$N$2)*M914</f>
        <v>0</v>
      </c>
      <c r="P914" s="10">
        <f>PARAM!$C$53^-A914</f>
        <v>1</v>
      </c>
      <c r="Q914" s="10">
        <f t="shared" si="268"/>
        <v>1.3691958931055066E-3</v>
      </c>
      <c r="R914" s="10">
        <f t="shared" si="264"/>
        <v>1.3691958931055066E-3</v>
      </c>
      <c r="S914" s="10">
        <f>CHOOSE(PARAM!$B$51,R914,0,0,0)*(A914&lt;PARAM!$B$55)</f>
        <v>0</v>
      </c>
      <c r="T914" s="10">
        <f t="shared" si="265"/>
        <v>3.765571213206983E-5</v>
      </c>
      <c r="U914" s="10">
        <f>T914*P914*(A914&lt;PARAM!$B$55)</f>
        <v>0</v>
      </c>
      <c r="W914">
        <v>911</v>
      </c>
      <c r="X914" s="178">
        <f t="shared" si="269"/>
        <v>107</v>
      </c>
      <c r="Y914" s="178">
        <f t="shared" si="269"/>
        <v>107</v>
      </c>
      <c r="Z914" s="178">
        <f t="shared" si="269"/>
        <v>76</v>
      </c>
      <c r="AA914" s="178">
        <f t="shared" si="269"/>
        <v>76</v>
      </c>
      <c r="AD914" s="17">
        <f>CALC!E938*(A914&lt;PARAM!$B$55)</f>
        <v>0</v>
      </c>
      <c r="AE914">
        <f>IF(A914&lt;ITER!$C$16,1,PARAM!$C$53^-(RATES!A914-ITER!$C$16))*(A914&lt;PARAM!$B$55)</f>
        <v>0</v>
      </c>
    </row>
    <row r="915" spans="1:31" x14ac:dyDescent="0.2">
      <c r="A915" s="9">
        <v>912</v>
      </c>
      <c r="B915" s="178">
        <f t="shared" si="266"/>
        <v>107</v>
      </c>
      <c r="C915" s="178">
        <f t="shared" si="266"/>
        <v>107</v>
      </c>
      <c r="D915" s="2">
        <f>PARAM!$H$38</f>
        <v>1</v>
      </c>
      <c r="E915" s="11">
        <f>PARAM!$G$38</f>
        <v>0</v>
      </c>
      <c r="F915" s="11">
        <f>(VLOOKUP(C915,DEDN!$A$8:$O$902,$F$2)*D915+E915)/1000</f>
        <v>0.28441000000000005</v>
      </c>
      <c r="G915" s="178">
        <f t="shared" si="267"/>
        <v>76</v>
      </c>
      <c r="H915" s="178">
        <f t="shared" si="267"/>
        <v>76</v>
      </c>
      <c r="I915" s="2">
        <f>PARAM!$H$39</f>
        <v>0</v>
      </c>
      <c r="J915" s="11">
        <f>PARAM!$G$39</f>
        <v>0</v>
      </c>
      <c r="K915" s="11">
        <f>(VLOOKUP(H915,DEDN!$A$8:$O$902,$K$2)*I915+J915)/1000</f>
        <v>0</v>
      </c>
      <c r="L915" s="11">
        <f>MIN(IF(PARAM!$B$43=3,CHOOSE($L$2,F915,K915),F915+K915-F915*K915),1)</f>
        <v>0.28441000000000005</v>
      </c>
      <c r="M915" s="2">
        <f>PARAM!$I$38</f>
        <v>0</v>
      </c>
      <c r="N915" s="11">
        <f>VLOOKUP(B915,DEDN!$A$8:$O$90,$N$2)*M915</f>
        <v>0</v>
      </c>
      <c r="P915" s="10">
        <f>PARAM!$C$53^-A915</f>
        <v>1</v>
      </c>
      <c r="Q915" s="10">
        <f t="shared" si="268"/>
        <v>1.3315401809734367E-3</v>
      </c>
      <c r="R915" s="10">
        <f t="shared" si="264"/>
        <v>1.3315401809734367E-3</v>
      </c>
      <c r="S915" s="10">
        <f>R915*(A915&lt;PARAM!$B$55)</f>
        <v>0</v>
      </c>
      <c r="T915" s="10">
        <f t="shared" si="265"/>
        <v>3.662010235313813E-5</v>
      </c>
      <c r="U915" s="10">
        <f>T915*P915*(A915&lt;PARAM!$B$55)</f>
        <v>0</v>
      </c>
      <c r="W915">
        <v>912</v>
      </c>
      <c r="X915" s="178">
        <f t="shared" si="269"/>
        <v>107</v>
      </c>
      <c r="Y915" s="178">
        <f t="shared" si="269"/>
        <v>107</v>
      </c>
      <c r="Z915" s="178">
        <f t="shared" si="269"/>
        <v>76</v>
      </c>
      <c r="AA915" s="178">
        <f t="shared" si="269"/>
        <v>76</v>
      </c>
      <c r="AD915" s="17">
        <f>CALC!E939*(A915&lt;PARAM!$B$55)</f>
        <v>0</v>
      </c>
      <c r="AE915">
        <f>IF(A915&lt;ITER!$C$16,1,PARAM!$C$53^-(RATES!A915-ITER!$C$16))*(A915&lt;PARAM!$B$55)</f>
        <v>0</v>
      </c>
    </row>
    <row r="916" spans="1:31" x14ac:dyDescent="0.2">
      <c r="A916" s="9">
        <v>913</v>
      </c>
      <c r="B916" s="178">
        <f t="shared" si="266"/>
        <v>107</v>
      </c>
      <c r="C916" s="178">
        <f t="shared" si="266"/>
        <v>107</v>
      </c>
      <c r="D916" s="2">
        <f>PARAM!$H$38</f>
        <v>1</v>
      </c>
      <c r="E916" s="11">
        <f>PARAM!$G$38</f>
        <v>0</v>
      </c>
      <c r="F916" s="11">
        <f>(VLOOKUP(C916,DEDN!$A$8:$O$902,$F$2)*D916+E916)/1000</f>
        <v>0.28441000000000005</v>
      </c>
      <c r="G916" s="178">
        <f t="shared" si="267"/>
        <v>76</v>
      </c>
      <c r="H916" s="178">
        <f t="shared" si="267"/>
        <v>76</v>
      </c>
      <c r="I916" s="2">
        <f>PARAM!$H$39</f>
        <v>0</v>
      </c>
      <c r="J916" s="11">
        <f>PARAM!$G$39</f>
        <v>0</v>
      </c>
      <c r="K916" s="11">
        <f>(VLOOKUP(H916,DEDN!$A$8:$O$902,$K$2)*I916+J916)/1000</f>
        <v>0</v>
      </c>
      <c r="L916" s="11">
        <f>MIN(IF(PARAM!$B$43=3,CHOOSE($L$2,F916,K916),F916+K916-F916*K916),1)</f>
        <v>0.28441000000000005</v>
      </c>
      <c r="M916" s="2">
        <f>PARAM!$I$38</f>
        <v>0</v>
      </c>
      <c r="N916" s="11">
        <f>VLOOKUP(B916,DEDN!$A$8:$O$90,$N$2)*M916</f>
        <v>0</v>
      </c>
      <c r="P916" s="10">
        <f>PARAM!$C$53^-A916</f>
        <v>1</v>
      </c>
      <c r="Q916" s="10">
        <f t="shared" si="268"/>
        <v>1.2949200786202986E-3</v>
      </c>
      <c r="R916" s="10">
        <f t="shared" ref="R916:R931" si="270">P916*Q916</f>
        <v>1.2949200786202986E-3</v>
      </c>
      <c r="S916" s="10">
        <f>CHOOSE(PARAM!$B$51,R916,0,0,0)*(A916&lt;PARAM!$B$55)</f>
        <v>0</v>
      </c>
      <c r="T916" s="10">
        <f t="shared" si="265"/>
        <v>3.561297397990798E-5</v>
      </c>
      <c r="U916" s="10">
        <f>T916*P916*(A916&lt;PARAM!$B$55)</f>
        <v>0</v>
      </c>
      <c r="W916">
        <v>913</v>
      </c>
      <c r="X916" s="178">
        <f t="shared" si="269"/>
        <v>107</v>
      </c>
      <c r="Y916" s="178">
        <f t="shared" si="269"/>
        <v>107</v>
      </c>
      <c r="Z916" s="178">
        <f t="shared" si="269"/>
        <v>76</v>
      </c>
      <c r="AA916" s="178">
        <f t="shared" si="269"/>
        <v>76</v>
      </c>
      <c r="AD916" s="17">
        <f>CALC!E940*(A916&lt;PARAM!$B$55)</f>
        <v>0</v>
      </c>
      <c r="AE916">
        <f>IF(A916&lt;ITER!$C$16,1,PARAM!$C$53^-(RATES!A916-ITER!$C$16))*(A916&lt;PARAM!$B$55)</f>
        <v>0</v>
      </c>
    </row>
    <row r="917" spans="1:31" x14ac:dyDescent="0.2">
      <c r="A917" s="9">
        <v>914</v>
      </c>
      <c r="B917" s="178">
        <f t="shared" si="266"/>
        <v>107</v>
      </c>
      <c r="C917" s="178">
        <f t="shared" si="266"/>
        <v>107</v>
      </c>
      <c r="D917" s="2">
        <f>PARAM!$H$38</f>
        <v>1</v>
      </c>
      <c r="E917" s="11">
        <f>PARAM!$G$38</f>
        <v>0</v>
      </c>
      <c r="F917" s="11">
        <f>(VLOOKUP(C917,DEDN!$A$8:$O$902,$F$2)*D917+E917)/1000</f>
        <v>0.28441000000000005</v>
      </c>
      <c r="G917" s="178">
        <f t="shared" si="267"/>
        <v>76</v>
      </c>
      <c r="H917" s="178">
        <f t="shared" si="267"/>
        <v>76</v>
      </c>
      <c r="I917" s="2">
        <f>PARAM!$H$39</f>
        <v>0</v>
      </c>
      <c r="J917" s="11">
        <f>PARAM!$G$39</f>
        <v>0</v>
      </c>
      <c r="K917" s="11">
        <f>(VLOOKUP(H917,DEDN!$A$8:$O$902,$K$2)*I917+J917)/1000</f>
        <v>0</v>
      </c>
      <c r="L917" s="11">
        <f>MIN(IF(PARAM!$B$43=3,CHOOSE($L$2,F917,K917),F917+K917-F917*K917),1)</f>
        <v>0.28441000000000005</v>
      </c>
      <c r="M917" s="2">
        <f>PARAM!$I$38</f>
        <v>0</v>
      </c>
      <c r="N917" s="11">
        <f>VLOOKUP(B917,DEDN!$A$8:$O$90,$N$2)*M917</f>
        <v>0</v>
      </c>
      <c r="P917" s="10">
        <f>PARAM!$C$53^-A917</f>
        <v>1</v>
      </c>
      <c r="Q917" s="10">
        <f t="shared" ref="Q917:Q932" si="271">Q916*(1-L916)^(1/12)</f>
        <v>1.2593071046403906E-3</v>
      </c>
      <c r="R917" s="10">
        <f t="shared" si="270"/>
        <v>1.2593071046403906E-3</v>
      </c>
      <c r="S917" s="10">
        <f>CHOOSE(PARAM!$B$51,R917,0,0,0)*(A917&lt;PARAM!$B$55)</f>
        <v>0</v>
      </c>
      <c r="T917" s="10">
        <f t="shared" si="265"/>
        <v>3.4633543714956798E-5</v>
      </c>
      <c r="U917" s="10">
        <f>T917*P917*(A917&lt;PARAM!$B$55)</f>
        <v>0</v>
      </c>
      <c r="W917">
        <v>914</v>
      </c>
      <c r="X917" s="178">
        <f t="shared" si="269"/>
        <v>107</v>
      </c>
      <c r="Y917" s="178">
        <f t="shared" si="269"/>
        <v>107</v>
      </c>
      <c r="Z917" s="178">
        <f t="shared" si="269"/>
        <v>76</v>
      </c>
      <c r="AA917" s="178">
        <f t="shared" si="269"/>
        <v>76</v>
      </c>
      <c r="AD917" s="17">
        <f>CALC!E941*(A917&lt;PARAM!$B$55)</f>
        <v>0</v>
      </c>
      <c r="AE917">
        <f>IF(A917&lt;ITER!$C$16,1,PARAM!$C$53^-(RATES!A917-ITER!$C$16))*(A917&lt;PARAM!$B$55)</f>
        <v>0</v>
      </c>
    </row>
    <row r="918" spans="1:31" x14ac:dyDescent="0.2">
      <c r="A918" s="9">
        <v>915</v>
      </c>
      <c r="B918" s="178">
        <f t="shared" si="266"/>
        <v>107</v>
      </c>
      <c r="C918" s="178">
        <f t="shared" si="266"/>
        <v>107</v>
      </c>
      <c r="D918" s="2">
        <f>PARAM!$H$38</f>
        <v>1</v>
      </c>
      <c r="E918" s="11">
        <f>PARAM!$G$38</f>
        <v>0</v>
      </c>
      <c r="F918" s="11">
        <f>(VLOOKUP(C918,DEDN!$A$8:$O$902,$F$2)*D918+E918)/1000</f>
        <v>0.28441000000000005</v>
      </c>
      <c r="G918" s="178">
        <f t="shared" si="267"/>
        <v>76</v>
      </c>
      <c r="H918" s="178">
        <f t="shared" si="267"/>
        <v>76</v>
      </c>
      <c r="I918" s="2">
        <f>PARAM!$H$39</f>
        <v>0</v>
      </c>
      <c r="J918" s="11">
        <f>PARAM!$G$39</f>
        <v>0</v>
      </c>
      <c r="K918" s="11">
        <f>(VLOOKUP(H918,DEDN!$A$8:$O$902,$K$2)*I918+J918)/1000</f>
        <v>0</v>
      </c>
      <c r="L918" s="11">
        <f>MIN(IF(PARAM!$B$43=3,CHOOSE($L$2,F918,K918),F918+K918-F918*K918),1)</f>
        <v>0.28441000000000005</v>
      </c>
      <c r="M918" s="2">
        <f>PARAM!$I$38</f>
        <v>0</v>
      </c>
      <c r="N918" s="11">
        <f>VLOOKUP(B918,DEDN!$A$8:$O$90,$N$2)*M918</f>
        <v>0</v>
      </c>
      <c r="P918" s="10">
        <f>PARAM!$C$53^-A918</f>
        <v>1</v>
      </c>
      <c r="Q918" s="10">
        <f t="shared" si="271"/>
        <v>1.2246735609254338E-3</v>
      </c>
      <c r="R918" s="10">
        <f t="shared" si="270"/>
        <v>1.2246735609254338E-3</v>
      </c>
      <c r="S918" s="10">
        <f>CHOOSE(PARAM!$B$51,R918,R918,0,0)*(A918&lt;PARAM!$B$55)</f>
        <v>0</v>
      </c>
      <c r="T918" s="10">
        <f t="shared" si="265"/>
        <v>3.368104980315729E-5</v>
      </c>
      <c r="U918" s="10">
        <f>T918*P918*(A918&lt;PARAM!$B$55)</f>
        <v>0</v>
      </c>
      <c r="W918">
        <v>915</v>
      </c>
      <c r="X918" s="178">
        <f t="shared" si="269"/>
        <v>107</v>
      </c>
      <c r="Y918" s="178">
        <f t="shared" si="269"/>
        <v>107</v>
      </c>
      <c r="Z918" s="178">
        <f t="shared" si="269"/>
        <v>76</v>
      </c>
      <c r="AA918" s="178">
        <f t="shared" si="269"/>
        <v>76</v>
      </c>
      <c r="AD918" s="17">
        <f>CALC!E942*(A918&lt;PARAM!$B$55)</f>
        <v>0</v>
      </c>
      <c r="AE918">
        <f>IF(A918&lt;ITER!$C$16,1,PARAM!$C$53^-(RATES!A918-ITER!$C$16))*(A918&lt;PARAM!$B$55)</f>
        <v>0</v>
      </c>
    </row>
    <row r="919" spans="1:31" x14ac:dyDescent="0.2">
      <c r="A919" s="9">
        <v>916</v>
      </c>
      <c r="B919" s="178">
        <f t="shared" si="266"/>
        <v>107</v>
      </c>
      <c r="C919" s="178">
        <f t="shared" si="266"/>
        <v>107</v>
      </c>
      <c r="D919" s="2">
        <f>PARAM!$H$38</f>
        <v>1</v>
      </c>
      <c r="E919" s="11">
        <f>PARAM!$G$38</f>
        <v>0</v>
      </c>
      <c r="F919" s="11">
        <f>(VLOOKUP(C919,DEDN!$A$8:$O$902,$F$2)*D919+E919)/1000</f>
        <v>0.28441000000000005</v>
      </c>
      <c r="G919" s="178">
        <f t="shared" si="267"/>
        <v>76</v>
      </c>
      <c r="H919" s="178">
        <f t="shared" si="267"/>
        <v>76</v>
      </c>
      <c r="I919" s="2">
        <f>PARAM!$H$39</f>
        <v>0</v>
      </c>
      <c r="J919" s="11">
        <f>PARAM!$G$39</f>
        <v>0</v>
      </c>
      <c r="K919" s="11">
        <f>(VLOOKUP(H919,DEDN!$A$8:$O$902,$K$2)*I919+J919)/1000</f>
        <v>0</v>
      </c>
      <c r="L919" s="11">
        <f>MIN(IF(PARAM!$B$43=3,CHOOSE($L$2,F919,K919),F919+K919-F919*K919),1)</f>
        <v>0.28441000000000005</v>
      </c>
      <c r="M919" s="2">
        <f>PARAM!$I$38</f>
        <v>0</v>
      </c>
      <c r="N919" s="11">
        <f>VLOOKUP(B919,DEDN!$A$8:$O$90,$N$2)*M919</f>
        <v>0</v>
      </c>
      <c r="P919" s="10">
        <f>PARAM!$C$53^-A919</f>
        <v>1</v>
      </c>
      <c r="Q919" s="10">
        <f t="shared" si="271"/>
        <v>1.1909925111222765E-3</v>
      </c>
      <c r="R919" s="10">
        <f t="shared" si="270"/>
        <v>1.1909925111222765E-3</v>
      </c>
      <c r="S919" s="10">
        <f>CHOOSE(PARAM!$B$51,R919,0,0,0)*(A919&lt;PARAM!$B$55)</f>
        <v>0</v>
      </c>
      <c r="T919" s="10">
        <f t="shared" si="265"/>
        <v>3.2754751439219732E-5</v>
      </c>
      <c r="U919" s="10">
        <f>T919*P919*(A919&lt;PARAM!$B$55)</f>
        <v>0</v>
      </c>
      <c r="W919">
        <v>916</v>
      </c>
      <c r="X919" s="178">
        <f t="shared" si="269"/>
        <v>107</v>
      </c>
      <c r="Y919" s="178">
        <f t="shared" si="269"/>
        <v>107</v>
      </c>
      <c r="Z919" s="178">
        <f t="shared" si="269"/>
        <v>76</v>
      </c>
      <c r="AA919" s="178">
        <f t="shared" si="269"/>
        <v>76</v>
      </c>
      <c r="AD919" s="17">
        <f>CALC!E943*(A919&lt;PARAM!$B$55)</f>
        <v>0</v>
      </c>
      <c r="AE919">
        <f>IF(A919&lt;ITER!$C$16,1,PARAM!$C$53^-(RATES!A919-ITER!$C$16))*(A919&lt;PARAM!$B$55)</f>
        <v>0</v>
      </c>
    </row>
    <row r="920" spans="1:31" x14ac:dyDescent="0.2">
      <c r="A920" s="9">
        <v>917</v>
      </c>
      <c r="B920" s="178">
        <f t="shared" si="266"/>
        <v>107</v>
      </c>
      <c r="C920" s="178">
        <f t="shared" si="266"/>
        <v>107</v>
      </c>
      <c r="D920" s="2">
        <f>PARAM!$H$38</f>
        <v>1</v>
      </c>
      <c r="E920" s="11">
        <f>PARAM!$G$38</f>
        <v>0</v>
      </c>
      <c r="F920" s="11">
        <f>(VLOOKUP(C920,DEDN!$A$8:$O$902,$F$2)*D920+E920)/1000</f>
        <v>0.28441000000000005</v>
      </c>
      <c r="G920" s="178">
        <f t="shared" si="267"/>
        <v>76</v>
      </c>
      <c r="H920" s="178">
        <f t="shared" si="267"/>
        <v>76</v>
      </c>
      <c r="I920" s="2">
        <f>PARAM!$H$39</f>
        <v>0</v>
      </c>
      <c r="J920" s="11">
        <f>PARAM!$G$39</f>
        <v>0</v>
      </c>
      <c r="K920" s="11">
        <f>(VLOOKUP(H920,DEDN!$A$8:$O$902,$K$2)*I920+J920)/1000</f>
        <v>0</v>
      </c>
      <c r="L920" s="11">
        <f>MIN(IF(PARAM!$B$43=3,CHOOSE($L$2,F920,K920),F920+K920-F920*K920),1)</f>
        <v>0.28441000000000005</v>
      </c>
      <c r="M920" s="2">
        <f>PARAM!$I$38</f>
        <v>0</v>
      </c>
      <c r="N920" s="11">
        <f>VLOOKUP(B920,DEDN!$A$8:$O$90,$N$2)*M920</f>
        <v>0</v>
      </c>
      <c r="P920" s="10">
        <f>PARAM!$C$53^-A920</f>
        <v>1</v>
      </c>
      <c r="Q920" s="10">
        <f t="shared" si="271"/>
        <v>1.1582377596830568E-3</v>
      </c>
      <c r="R920" s="10">
        <f t="shared" si="270"/>
        <v>1.1582377596830568E-3</v>
      </c>
      <c r="S920" s="10">
        <f>CHOOSE(PARAM!$B$51,R920,0,0,0)*(A920&lt;PARAM!$B$55)</f>
        <v>0</v>
      </c>
      <c r="T920" s="10">
        <f t="shared" si="265"/>
        <v>3.1853928191528501E-5</v>
      </c>
      <c r="U920" s="10">
        <f>T920*P920*(A920&lt;PARAM!$B$55)</f>
        <v>0</v>
      </c>
      <c r="W920">
        <v>917</v>
      </c>
      <c r="X920" s="178">
        <f t="shared" si="269"/>
        <v>107</v>
      </c>
      <c r="Y920" s="178">
        <f t="shared" si="269"/>
        <v>107</v>
      </c>
      <c r="Z920" s="178">
        <f t="shared" si="269"/>
        <v>76</v>
      </c>
      <c r="AA920" s="178">
        <f t="shared" si="269"/>
        <v>76</v>
      </c>
      <c r="AD920" s="17">
        <f>CALC!E944*(A920&lt;PARAM!$B$55)</f>
        <v>0</v>
      </c>
      <c r="AE920">
        <f>IF(A920&lt;ITER!$C$16,1,PARAM!$C$53^-(RATES!A920-ITER!$C$16))*(A920&lt;PARAM!$B$55)</f>
        <v>0</v>
      </c>
    </row>
    <row r="921" spans="1:31" x14ac:dyDescent="0.2">
      <c r="A921" s="9">
        <v>918</v>
      </c>
      <c r="B921" s="178">
        <f t="shared" ref="B921:C940" si="272">B909+1</f>
        <v>108</v>
      </c>
      <c r="C921" s="178">
        <f t="shared" si="272"/>
        <v>108</v>
      </c>
      <c r="D921" s="2">
        <f>PARAM!$H$38</f>
        <v>1</v>
      </c>
      <c r="E921" s="11">
        <f>PARAM!$G$38</f>
        <v>0</v>
      </c>
      <c r="F921" s="11">
        <f>(VLOOKUP(C921,DEDN!$A$8:$O$902,$F$2)*D921+E921)/1000</f>
        <v>0.28441000000000005</v>
      </c>
      <c r="G921" s="178">
        <f t="shared" ref="G921:H940" si="273">G909+1</f>
        <v>77</v>
      </c>
      <c r="H921" s="178">
        <f t="shared" si="273"/>
        <v>77</v>
      </c>
      <c r="I921" s="2">
        <f>PARAM!$H$39</f>
        <v>0</v>
      </c>
      <c r="J921" s="11">
        <f>PARAM!$G$39</f>
        <v>0</v>
      </c>
      <c r="K921" s="11">
        <f>(VLOOKUP(H921,DEDN!$A$8:$O$902,$K$2)*I921+J921)/1000</f>
        <v>0</v>
      </c>
      <c r="L921" s="11">
        <f>MIN(IF(PARAM!$B$43=3,CHOOSE($L$2,F921,K921),F921+K921-F921*K921),1)</f>
        <v>0.28441000000000005</v>
      </c>
      <c r="M921" s="2">
        <f>PARAM!$I$38</f>
        <v>0</v>
      </c>
      <c r="N921" s="11">
        <f>VLOOKUP(B921,DEDN!$A$8:$O$90,$N$2)*M921</f>
        <v>0</v>
      </c>
      <c r="P921" s="10">
        <f>PARAM!$C$53^-A921</f>
        <v>1</v>
      </c>
      <c r="Q921" s="10">
        <f t="shared" si="271"/>
        <v>1.1263838314915283E-3</v>
      </c>
      <c r="R921" s="10">
        <f t="shared" si="270"/>
        <v>1.1263838314915283E-3</v>
      </c>
      <c r="S921" s="10">
        <f>CHOOSE(PARAM!$B$51,R921,R921,R921,0)*(A921&lt;PARAM!$B$55)</f>
        <v>0</v>
      </c>
      <c r="T921" s="10">
        <f t="shared" si="265"/>
        <v>3.097787944182401E-5</v>
      </c>
      <c r="U921" s="10">
        <f>T921*P921*(A921&lt;PARAM!$B$55)</f>
        <v>0</v>
      </c>
      <c r="W921">
        <v>918</v>
      </c>
      <c r="X921" s="178">
        <f t="shared" ref="X921:AA940" si="274">X909+1</f>
        <v>108</v>
      </c>
      <c r="Y921" s="178">
        <f t="shared" si="274"/>
        <v>108</v>
      </c>
      <c r="Z921" s="178">
        <f t="shared" si="274"/>
        <v>77</v>
      </c>
      <c r="AA921" s="178">
        <f t="shared" si="274"/>
        <v>77</v>
      </c>
      <c r="AD921" s="17">
        <f>CALC!E945*(A921&lt;PARAM!$B$55)</f>
        <v>0</v>
      </c>
      <c r="AE921">
        <f>IF(A921&lt;ITER!$C$16,1,PARAM!$C$53^-(RATES!A921-ITER!$C$16))*(A921&lt;PARAM!$B$55)</f>
        <v>0</v>
      </c>
    </row>
    <row r="922" spans="1:31" x14ac:dyDescent="0.2">
      <c r="A922" s="9">
        <v>919</v>
      </c>
      <c r="B922" s="178">
        <f t="shared" si="272"/>
        <v>108</v>
      </c>
      <c r="C922" s="178">
        <f t="shared" si="272"/>
        <v>108</v>
      </c>
      <c r="D922" s="2">
        <f>PARAM!$H$38</f>
        <v>1</v>
      </c>
      <c r="E922" s="11">
        <f>PARAM!$G$38</f>
        <v>0</v>
      </c>
      <c r="F922" s="11">
        <f>(VLOOKUP(C922,DEDN!$A$8:$O$902,$F$2)*D922+E922)/1000</f>
        <v>0.28441000000000005</v>
      </c>
      <c r="G922" s="178">
        <f t="shared" si="273"/>
        <v>77</v>
      </c>
      <c r="H922" s="178">
        <f t="shared" si="273"/>
        <v>77</v>
      </c>
      <c r="I922" s="2">
        <f>PARAM!$H$39</f>
        <v>0</v>
      </c>
      <c r="J922" s="11">
        <f>PARAM!$G$39</f>
        <v>0</v>
      </c>
      <c r="K922" s="11">
        <f>(VLOOKUP(H922,DEDN!$A$8:$O$902,$K$2)*I922+J922)/1000</f>
        <v>0</v>
      </c>
      <c r="L922" s="11">
        <f>MIN(IF(PARAM!$B$43=3,CHOOSE($L$2,F922,K922),F922+K922-F922*K922),1)</f>
        <v>0.28441000000000005</v>
      </c>
      <c r="M922" s="2">
        <f>PARAM!$I$38</f>
        <v>0</v>
      </c>
      <c r="N922" s="11">
        <f>VLOOKUP(B922,DEDN!$A$8:$O$90,$N$2)*M922</f>
        <v>0</v>
      </c>
      <c r="P922" s="10">
        <f>PARAM!$C$53^-A922</f>
        <v>1</v>
      </c>
      <c r="Q922" s="10">
        <f t="shared" si="271"/>
        <v>1.0954059520497043E-3</v>
      </c>
      <c r="R922" s="10">
        <f t="shared" si="270"/>
        <v>1.0954059520497043E-3</v>
      </c>
      <c r="S922" s="10">
        <f>CHOOSE(PARAM!$B$51,R922,0,0,0)*(A922&lt;PARAM!$B$55)</f>
        <v>0</v>
      </c>
      <c r="T922" s="10">
        <f t="shared" si="265"/>
        <v>3.0125923840293748E-5</v>
      </c>
      <c r="U922" s="10">
        <f>T922*P922*(A922&lt;PARAM!$B$55)</f>
        <v>0</v>
      </c>
      <c r="W922">
        <v>919</v>
      </c>
      <c r="X922" s="178">
        <f t="shared" si="274"/>
        <v>108</v>
      </c>
      <c r="Y922" s="178">
        <f t="shared" si="274"/>
        <v>108</v>
      </c>
      <c r="Z922" s="178">
        <f t="shared" si="274"/>
        <v>77</v>
      </c>
      <c r="AA922" s="178">
        <f t="shared" si="274"/>
        <v>77</v>
      </c>
      <c r="AD922" s="17">
        <f>CALC!E946*(A922&lt;PARAM!$B$55)</f>
        <v>0</v>
      </c>
      <c r="AE922">
        <f>IF(A922&lt;ITER!$C$16,1,PARAM!$C$53^-(RATES!A922-ITER!$C$16))*(A922&lt;PARAM!$B$55)</f>
        <v>0</v>
      </c>
    </row>
    <row r="923" spans="1:31" x14ac:dyDescent="0.2">
      <c r="A923" s="9">
        <v>920</v>
      </c>
      <c r="B923" s="178">
        <f t="shared" si="272"/>
        <v>108</v>
      </c>
      <c r="C923" s="178">
        <f t="shared" si="272"/>
        <v>108</v>
      </c>
      <c r="D923" s="2">
        <f>PARAM!$H$38</f>
        <v>1</v>
      </c>
      <c r="E923" s="11">
        <f>PARAM!$G$38</f>
        <v>0</v>
      </c>
      <c r="F923" s="11">
        <f>(VLOOKUP(C923,DEDN!$A$8:$O$902,$F$2)*D923+E923)/1000</f>
        <v>0.28441000000000005</v>
      </c>
      <c r="G923" s="178">
        <f t="shared" si="273"/>
        <v>77</v>
      </c>
      <c r="H923" s="178">
        <f t="shared" si="273"/>
        <v>77</v>
      </c>
      <c r="I923" s="2">
        <f>PARAM!$H$39</f>
        <v>0</v>
      </c>
      <c r="J923" s="11">
        <f>PARAM!$G$39</f>
        <v>0</v>
      </c>
      <c r="K923" s="11">
        <f>(VLOOKUP(H923,DEDN!$A$8:$O$902,$K$2)*I923+J923)/1000</f>
        <v>0</v>
      </c>
      <c r="L923" s="11">
        <f>MIN(IF(PARAM!$B$43=3,CHOOSE($L$2,F923,K923),F923+K923-F923*K923),1)</f>
        <v>0.28441000000000005</v>
      </c>
      <c r="M923" s="2">
        <f>PARAM!$I$38</f>
        <v>0</v>
      </c>
      <c r="N923" s="11">
        <f>VLOOKUP(B923,DEDN!$A$8:$O$90,$N$2)*M923</f>
        <v>0</v>
      </c>
      <c r="P923" s="10">
        <f>PARAM!$C$53^-A923</f>
        <v>1</v>
      </c>
      <c r="Q923" s="10">
        <f t="shared" si="271"/>
        <v>1.0652800282094105E-3</v>
      </c>
      <c r="R923" s="10">
        <f t="shared" si="270"/>
        <v>1.0652800282094105E-3</v>
      </c>
      <c r="S923" s="10">
        <f>CHOOSE(PARAM!$B$51,R923,0,0,0)*(A923&lt;PARAM!$B$55)</f>
        <v>0</v>
      </c>
      <c r="T923" s="10">
        <f t="shared" si="265"/>
        <v>2.9297398775651783E-5</v>
      </c>
      <c r="U923" s="10">
        <f>T923*P923*(A923&lt;PARAM!$B$55)</f>
        <v>0</v>
      </c>
      <c r="W923">
        <v>920</v>
      </c>
      <c r="X923" s="178">
        <f t="shared" si="274"/>
        <v>108</v>
      </c>
      <c r="Y923" s="178">
        <f t="shared" si="274"/>
        <v>108</v>
      </c>
      <c r="Z923" s="178">
        <f t="shared" si="274"/>
        <v>77</v>
      </c>
      <c r="AA923" s="178">
        <f t="shared" si="274"/>
        <v>77</v>
      </c>
      <c r="AD923" s="17">
        <f>CALC!E947*(A923&lt;PARAM!$B$55)</f>
        <v>0</v>
      </c>
      <c r="AE923">
        <f>IF(A923&lt;ITER!$C$16,1,PARAM!$C$53^-(RATES!A923-ITER!$C$16))*(A923&lt;PARAM!$B$55)</f>
        <v>0</v>
      </c>
    </row>
    <row r="924" spans="1:31" x14ac:dyDescent="0.2">
      <c r="A924" s="9">
        <v>921</v>
      </c>
      <c r="B924" s="178">
        <f t="shared" si="272"/>
        <v>108</v>
      </c>
      <c r="C924" s="178">
        <f t="shared" si="272"/>
        <v>108</v>
      </c>
      <c r="D924" s="2">
        <f>PARAM!$H$38</f>
        <v>1</v>
      </c>
      <c r="E924" s="11">
        <f>PARAM!$G$38</f>
        <v>0</v>
      </c>
      <c r="F924" s="11">
        <f>(VLOOKUP(C924,DEDN!$A$8:$O$902,$F$2)*D924+E924)/1000</f>
        <v>0.28441000000000005</v>
      </c>
      <c r="G924" s="178">
        <f t="shared" si="273"/>
        <v>77</v>
      </c>
      <c r="H924" s="178">
        <f t="shared" si="273"/>
        <v>77</v>
      </c>
      <c r="I924" s="2">
        <f>PARAM!$H$39</f>
        <v>0</v>
      </c>
      <c r="J924" s="11">
        <f>PARAM!$G$39</f>
        <v>0</v>
      </c>
      <c r="K924" s="11">
        <f>(VLOOKUP(H924,DEDN!$A$8:$O$902,$K$2)*I924+J924)/1000</f>
        <v>0</v>
      </c>
      <c r="L924" s="11">
        <f>MIN(IF(PARAM!$B$43=3,CHOOSE($L$2,F924,K924),F924+K924-F924*K924),1)</f>
        <v>0.28441000000000005</v>
      </c>
      <c r="M924" s="2">
        <f>PARAM!$I$38</f>
        <v>0</v>
      </c>
      <c r="N924" s="11">
        <f>VLOOKUP(B924,DEDN!$A$8:$O$90,$N$2)*M924</f>
        <v>0</v>
      </c>
      <c r="P924" s="10">
        <f>PARAM!$C$53^-A924</f>
        <v>1</v>
      </c>
      <c r="Q924" s="10">
        <f t="shared" si="271"/>
        <v>1.0359826294337588E-3</v>
      </c>
      <c r="R924" s="10">
        <f t="shared" si="270"/>
        <v>1.0359826294337588E-3</v>
      </c>
      <c r="S924" s="10">
        <f>CHOOSE(PARAM!$B$51,R924,R924,0,0)*(A924&lt;PARAM!$B$55)</f>
        <v>0</v>
      </c>
      <c r="T924" s="10">
        <f t="shared" si="265"/>
        <v>2.8491659859789268E-5</v>
      </c>
      <c r="U924" s="10">
        <f>T924*P924*(A924&lt;PARAM!$B$55)</f>
        <v>0</v>
      </c>
      <c r="W924">
        <v>921</v>
      </c>
      <c r="X924" s="178">
        <f t="shared" si="274"/>
        <v>108</v>
      </c>
      <c r="Y924" s="178">
        <f t="shared" si="274"/>
        <v>108</v>
      </c>
      <c r="Z924" s="178">
        <f t="shared" si="274"/>
        <v>77</v>
      </c>
      <c r="AA924" s="178">
        <f t="shared" si="274"/>
        <v>77</v>
      </c>
      <c r="AD924" s="17">
        <f>CALC!E948*(A924&lt;PARAM!$B$55)</f>
        <v>0</v>
      </c>
      <c r="AE924">
        <f>IF(A924&lt;ITER!$C$16,1,PARAM!$C$53^-(RATES!A924-ITER!$C$16))*(A924&lt;PARAM!$B$55)</f>
        <v>0</v>
      </c>
    </row>
    <row r="925" spans="1:31" x14ac:dyDescent="0.2">
      <c r="A925" s="9">
        <v>922</v>
      </c>
      <c r="B925" s="178">
        <f t="shared" si="272"/>
        <v>108</v>
      </c>
      <c r="C925" s="178">
        <f t="shared" si="272"/>
        <v>108</v>
      </c>
      <c r="D925" s="2">
        <f>PARAM!$H$38</f>
        <v>1</v>
      </c>
      <c r="E925" s="11">
        <f>PARAM!$G$38</f>
        <v>0</v>
      </c>
      <c r="F925" s="11">
        <f>(VLOOKUP(C925,DEDN!$A$8:$O$902,$F$2)*D925+E925)/1000</f>
        <v>0.28441000000000005</v>
      </c>
      <c r="G925" s="178">
        <f t="shared" si="273"/>
        <v>77</v>
      </c>
      <c r="H925" s="178">
        <f t="shared" si="273"/>
        <v>77</v>
      </c>
      <c r="I925" s="2">
        <f>PARAM!$H$39</f>
        <v>0</v>
      </c>
      <c r="J925" s="11">
        <f>PARAM!$G$39</f>
        <v>0</v>
      </c>
      <c r="K925" s="11">
        <f>(VLOOKUP(H925,DEDN!$A$8:$O$902,$K$2)*I925+J925)/1000</f>
        <v>0</v>
      </c>
      <c r="L925" s="11">
        <f>MIN(IF(PARAM!$B$43=3,CHOOSE($L$2,F925,K925),F925+K925-F925*K925),1)</f>
        <v>0.28441000000000005</v>
      </c>
      <c r="M925" s="2">
        <f>PARAM!$I$38</f>
        <v>0</v>
      </c>
      <c r="N925" s="11">
        <f>VLOOKUP(B925,DEDN!$A$8:$O$90,$N$2)*M925</f>
        <v>0</v>
      </c>
      <c r="P925" s="10">
        <f>PARAM!$C$53^-A925</f>
        <v>1</v>
      </c>
      <c r="Q925" s="10">
        <f t="shared" si="271"/>
        <v>1.0074909695739695E-3</v>
      </c>
      <c r="R925" s="10">
        <f t="shared" si="270"/>
        <v>1.0074909695739695E-3</v>
      </c>
      <c r="S925" s="10">
        <f>CHOOSE(PARAM!$B$51,R925,0,0,0)*(A925&lt;PARAM!$B$55)</f>
        <v>0</v>
      </c>
      <c r="T925" s="10">
        <f t="shared" si="265"/>
        <v>2.7708080426599611E-5</v>
      </c>
      <c r="U925" s="10">
        <f>T925*P925*(A925&lt;PARAM!$B$55)</f>
        <v>0</v>
      </c>
      <c r="W925">
        <v>922</v>
      </c>
      <c r="X925" s="178">
        <f t="shared" si="274"/>
        <v>108</v>
      </c>
      <c r="Y925" s="178">
        <f t="shared" si="274"/>
        <v>108</v>
      </c>
      <c r="Z925" s="178">
        <f t="shared" si="274"/>
        <v>77</v>
      </c>
      <c r="AA925" s="178">
        <f t="shared" si="274"/>
        <v>77</v>
      </c>
      <c r="AD925" s="17">
        <f>CALC!E949*(A925&lt;PARAM!$B$55)</f>
        <v>0</v>
      </c>
      <c r="AE925">
        <f>IF(A925&lt;ITER!$C$16,1,PARAM!$C$53^-(RATES!A925-ITER!$C$16))*(A925&lt;PARAM!$B$55)</f>
        <v>0</v>
      </c>
    </row>
    <row r="926" spans="1:31" x14ac:dyDescent="0.2">
      <c r="A926" s="9">
        <v>923</v>
      </c>
      <c r="B926" s="178">
        <f t="shared" si="272"/>
        <v>108</v>
      </c>
      <c r="C926" s="178">
        <f t="shared" si="272"/>
        <v>108</v>
      </c>
      <c r="D926" s="2">
        <f>PARAM!$H$38</f>
        <v>1</v>
      </c>
      <c r="E926" s="11">
        <f>PARAM!$G$38</f>
        <v>0</v>
      </c>
      <c r="F926" s="11">
        <f>(VLOOKUP(C926,DEDN!$A$8:$O$902,$F$2)*D926+E926)/1000</f>
        <v>0.28441000000000005</v>
      </c>
      <c r="G926" s="178">
        <f t="shared" si="273"/>
        <v>77</v>
      </c>
      <c r="H926" s="178">
        <f t="shared" si="273"/>
        <v>77</v>
      </c>
      <c r="I926" s="2">
        <f>PARAM!$H$39</f>
        <v>0</v>
      </c>
      <c r="J926" s="11">
        <f>PARAM!$G$39</f>
        <v>0</v>
      </c>
      <c r="K926" s="11">
        <f>(VLOOKUP(H926,DEDN!$A$8:$O$902,$K$2)*I926+J926)/1000</f>
        <v>0</v>
      </c>
      <c r="L926" s="11">
        <f>MIN(IF(PARAM!$B$43=3,CHOOSE($L$2,F926,K926),F926+K926-F926*K926),1)</f>
        <v>0.28441000000000005</v>
      </c>
      <c r="M926" s="2">
        <f>PARAM!$I$38</f>
        <v>0</v>
      </c>
      <c r="N926" s="11">
        <f>VLOOKUP(B926,DEDN!$A$8:$O$90,$N$2)*M926</f>
        <v>0</v>
      </c>
      <c r="P926" s="10">
        <f>PARAM!$C$53^-A926</f>
        <v>1</v>
      </c>
      <c r="Q926" s="10">
        <f t="shared" si="271"/>
        <v>9.7978288914736989E-4</v>
      </c>
      <c r="R926" s="10">
        <f t="shared" si="270"/>
        <v>9.7978288914736989E-4</v>
      </c>
      <c r="S926" s="10">
        <f>CHOOSE(PARAM!$B$51,R926,0,0,0)*(A926&lt;PARAM!$B$55)</f>
        <v>0</v>
      </c>
      <c r="T926" s="10">
        <f t="shared" si="265"/>
        <v>2.694605104458785E-5</v>
      </c>
      <c r="U926" s="10">
        <f>T926*P926*(A926&lt;PARAM!$B$55)</f>
        <v>0</v>
      </c>
      <c r="W926">
        <v>923</v>
      </c>
      <c r="X926" s="178">
        <f t="shared" si="274"/>
        <v>108</v>
      </c>
      <c r="Y926" s="178">
        <f t="shared" si="274"/>
        <v>108</v>
      </c>
      <c r="Z926" s="178">
        <f t="shared" si="274"/>
        <v>77</v>
      </c>
      <c r="AA926" s="178">
        <f t="shared" si="274"/>
        <v>77</v>
      </c>
      <c r="AD926" s="17">
        <f>CALC!E950*(A926&lt;PARAM!$B$55)</f>
        <v>0</v>
      </c>
      <c r="AE926">
        <f>IF(A926&lt;ITER!$C$16,1,PARAM!$C$53^-(RATES!A926-ITER!$C$16))*(A926&lt;PARAM!$B$55)</f>
        <v>0</v>
      </c>
    </row>
    <row r="927" spans="1:31" x14ac:dyDescent="0.2">
      <c r="A927" s="9">
        <v>924</v>
      </c>
      <c r="B927" s="178">
        <f t="shared" si="272"/>
        <v>108</v>
      </c>
      <c r="C927" s="178">
        <f t="shared" si="272"/>
        <v>108</v>
      </c>
      <c r="D927" s="2">
        <f>PARAM!$H$38</f>
        <v>1</v>
      </c>
      <c r="E927" s="11">
        <f>PARAM!$G$38</f>
        <v>0</v>
      </c>
      <c r="F927" s="11">
        <f>(VLOOKUP(C927,DEDN!$A$8:$O$902,$F$2)*D927+E927)/1000</f>
        <v>0.28441000000000005</v>
      </c>
      <c r="G927" s="178">
        <f t="shared" si="273"/>
        <v>77</v>
      </c>
      <c r="H927" s="178">
        <f t="shared" si="273"/>
        <v>77</v>
      </c>
      <c r="I927" s="2">
        <f>PARAM!$H$39</f>
        <v>0</v>
      </c>
      <c r="J927" s="11">
        <f>PARAM!$G$39</f>
        <v>0</v>
      </c>
      <c r="K927" s="11">
        <f>(VLOOKUP(H927,DEDN!$A$8:$O$902,$K$2)*I927+J927)/1000</f>
        <v>0</v>
      </c>
      <c r="L927" s="11">
        <f>MIN(IF(PARAM!$B$43=3,CHOOSE($L$2,F927,K927),F927+K927-F927*K927),1)</f>
        <v>0.28441000000000005</v>
      </c>
      <c r="M927" s="2">
        <f>PARAM!$I$38</f>
        <v>0</v>
      </c>
      <c r="N927" s="11">
        <f>VLOOKUP(B927,DEDN!$A$8:$O$90,$N$2)*M927</f>
        <v>0</v>
      </c>
      <c r="P927" s="10">
        <f>PARAM!$C$53^-A927</f>
        <v>1</v>
      </c>
      <c r="Q927" s="10">
        <f t="shared" si="271"/>
        <v>9.5283683810278204E-4</v>
      </c>
      <c r="R927" s="10">
        <f t="shared" si="270"/>
        <v>9.5283683810278204E-4</v>
      </c>
      <c r="S927" s="10">
        <f>R927*(A927&lt;PARAM!$B$55)</f>
        <v>0</v>
      </c>
      <c r="T927" s="10">
        <f t="shared" si="265"/>
        <v>2.620497904288208E-5</v>
      </c>
      <c r="U927" s="10">
        <f>T927*P927*(A927&lt;PARAM!$B$55)</f>
        <v>0</v>
      </c>
      <c r="W927">
        <v>924</v>
      </c>
      <c r="X927" s="178">
        <f t="shared" si="274"/>
        <v>108</v>
      </c>
      <c r="Y927" s="178">
        <f t="shared" si="274"/>
        <v>108</v>
      </c>
      <c r="Z927" s="178">
        <f t="shared" si="274"/>
        <v>77</v>
      </c>
      <c r="AA927" s="178">
        <f t="shared" si="274"/>
        <v>77</v>
      </c>
      <c r="AD927" s="17">
        <f>CALC!E951*(A927&lt;PARAM!$B$55)</f>
        <v>0</v>
      </c>
      <c r="AE927">
        <f>IF(A927&lt;ITER!$C$16,1,PARAM!$C$53^-(RATES!A927-ITER!$C$16))*(A927&lt;PARAM!$B$55)</f>
        <v>0</v>
      </c>
    </row>
    <row r="928" spans="1:31" x14ac:dyDescent="0.2">
      <c r="A928" s="9">
        <v>925</v>
      </c>
      <c r="B928" s="178">
        <f t="shared" si="272"/>
        <v>108</v>
      </c>
      <c r="C928" s="178">
        <f t="shared" si="272"/>
        <v>108</v>
      </c>
      <c r="D928" s="2">
        <f>PARAM!$H$38</f>
        <v>1</v>
      </c>
      <c r="E928" s="11">
        <f>PARAM!$G$38</f>
        <v>0</v>
      </c>
      <c r="F928" s="11">
        <f>(VLOOKUP(C928,DEDN!$A$8:$O$902,$F$2)*D928+E928)/1000</f>
        <v>0.28441000000000005</v>
      </c>
      <c r="G928" s="178">
        <f t="shared" si="273"/>
        <v>77</v>
      </c>
      <c r="H928" s="178">
        <f t="shared" si="273"/>
        <v>77</v>
      </c>
      <c r="I928" s="2">
        <f>PARAM!$H$39</f>
        <v>0</v>
      </c>
      <c r="J928" s="11">
        <f>PARAM!$G$39</f>
        <v>0</v>
      </c>
      <c r="K928" s="11">
        <f>(VLOOKUP(H928,DEDN!$A$8:$O$902,$K$2)*I928+J928)/1000</f>
        <v>0</v>
      </c>
      <c r="L928" s="11">
        <f>MIN(IF(PARAM!$B$43=3,CHOOSE($L$2,F928,K928),F928+K928-F928*K928),1)</f>
        <v>0.28441000000000005</v>
      </c>
      <c r="M928" s="2">
        <f>PARAM!$I$38</f>
        <v>0</v>
      </c>
      <c r="N928" s="11">
        <f>VLOOKUP(B928,DEDN!$A$8:$O$90,$N$2)*M928</f>
        <v>0</v>
      </c>
      <c r="P928" s="10">
        <f>PARAM!$C$53^-A928</f>
        <v>1</v>
      </c>
      <c r="Q928" s="10">
        <f t="shared" si="271"/>
        <v>9.2663185905989996E-4</v>
      </c>
      <c r="R928" s="10">
        <f t="shared" si="270"/>
        <v>9.2663185905989996E-4</v>
      </c>
      <c r="S928" s="10">
        <f>CHOOSE(PARAM!$B$51,R928,0,0,0)*(A928&lt;PARAM!$B$55)</f>
        <v>0</v>
      </c>
      <c r="T928" s="10">
        <f t="shared" si="265"/>
        <v>2.5484288050282291E-5</v>
      </c>
      <c r="U928" s="10">
        <f>T928*P928*(A928&lt;PARAM!$B$55)</f>
        <v>0</v>
      </c>
      <c r="W928">
        <v>925</v>
      </c>
      <c r="X928" s="178">
        <f t="shared" si="274"/>
        <v>108</v>
      </c>
      <c r="Y928" s="178">
        <f t="shared" si="274"/>
        <v>108</v>
      </c>
      <c r="Z928" s="178">
        <f t="shared" si="274"/>
        <v>77</v>
      </c>
      <c r="AA928" s="178">
        <f t="shared" si="274"/>
        <v>77</v>
      </c>
      <c r="AD928" s="17">
        <f>CALC!E952*(A928&lt;PARAM!$B$55)</f>
        <v>0</v>
      </c>
      <c r="AE928">
        <f>IF(A928&lt;ITER!$C$16,1,PARAM!$C$53^-(RATES!A928-ITER!$C$16))*(A928&lt;PARAM!$B$55)</f>
        <v>0</v>
      </c>
    </row>
    <row r="929" spans="1:31" x14ac:dyDescent="0.2">
      <c r="A929" s="9">
        <v>926</v>
      </c>
      <c r="B929" s="178">
        <f t="shared" si="272"/>
        <v>108</v>
      </c>
      <c r="C929" s="178">
        <f t="shared" si="272"/>
        <v>108</v>
      </c>
      <c r="D929" s="2">
        <f>PARAM!$H$38</f>
        <v>1</v>
      </c>
      <c r="E929" s="11">
        <f>PARAM!$G$38</f>
        <v>0</v>
      </c>
      <c r="F929" s="11">
        <f>(VLOOKUP(C929,DEDN!$A$8:$O$902,$F$2)*D929+E929)/1000</f>
        <v>0.28441000000000005</v>
      </c>
      <c r="G929" s="178">
        <f t="shared" si="273"/>
        <v>77</v>
      </c>
      <c r="H929" s="178">
        <f t="shared" si="273"/>
        <v>77</v>
      </c>
      <c r="I929" s="2">
        <f>PARAM!$H$39</f>
        <v>0</v>
      </c>
      <c r="J929" s="11">
        <f>PARAM!$G$39</f>
        <v>0</v>
      </c>
      <c r="K929" s="11">
        <f>(VLOOKUP(H929,DEDN!$A$8:$O$902,$K$2)*I929+J929)/1000</f>
        <v>0</v>
      </c>
      <c r="L929" s="11">
        <f>MIN(IF(PARAM!$B$43=3,CHOOSE($L$2,F929,K929),F929+K929-F929*K929),1)</f>
        <v>0.28441000000000005</v>
      </c>
      <c r="M929" s="2">
        <f>PARAM!$I$38</f>
        <v>0</v>
      </c>
      <c r="N929" s="11">
        <f>VLOOKUP(B929,DEDN!$A$8:$O$90,$N$2)*M929</f>
        <v>0</v>
      </c>
      <c r="P929" s="10">
        <f>PARAM!$C$53^-A929</f>
        <v>1</v>
      </c>
      <c r="Q929" s="10">
        <f t="shared" si="271"/>
        <v>9.0114757100961766E-4</v>
      </c>
      <c r="R929" s="10">
        <f t="shared" si="270"/>
        <v>9.0114757100961766E-4</v>
      </c>
      <c r="S929" s="10">
        <f>CHOOSE(PARAM!$B$51,R929,0,0,0)*(A929&lt;PARAM!$B$55)</f>
        <v>0</v>
      </c>
      <c r="T929" s="10">
        <f t="shared" si="265"/>
        <v>2.4783417546985929E-5</v>
      </c>
      <c r="U929" s="10">
        <f>T929*P929*(A929&lt;PARAM!$B$55)</f>
        <v>0</v>
      </c>
      <c r="W929">
        <v>926</v>
      </c>
      <c r="X929" s="178">
        <f t="shared" si="274"/>
        <v>108</v>
      </c>
      <c r="Y929" s="178">
        <f t="shared" si="274"/>
        <v>108</v>
      </c>
      <c r="Z929" s="178">
        <f t="shared" si="274"/>
        <v>77</v>
      </c>
      <c r="AA929" s="178">
        <f t="shared" si="274"/>
        <v>77</v>
      </c>
      <c r="AD929" s="17">
        <f>CALC!E953*(A929&lt;PARAM!$B$55)</f>
        <v>0</v>
      </c>
      <c r="AE929">
        <f>IF(A929&lt;ITER!$C$16,1,PARAM!$C$53^-(RATES!A929-ITER!$C$16))*(A929&lt;PARAM!$B$55)</f>
        <v>0</v>
      </c>
    </row>
    <row r="930" spans="1:31" x14ac:dyDescent="0.2">
      <c r="A930" s="9">
        <v>927</v>
      </c>
      <c r="B930" s="178">
        <f t="shared" si="272"/>
        <v>108</v>
      </c>
      <c r="C930" s="178">
        <f t="shared" si="272"/>
        <v>108</v>
      </c>
      <c r="D930" s="2">
        <f>PARAM!$H$38</f>
        <v>1</v>
      </c>
      <c r="E930" s="11">
        <f>PARAM!$G$38</f>
        <v>0</v>
      </c>
      <c r="F930" s="11">
        <f>(VLOOKUP(C930,DEDN!$A$8:$O$902,$F$2)*D930+E930)/1000</f>
        <v>0.28441000000000005</v>
      </c>
      <c r="G930" s="178">
        <f t="shared" si="273"/>
        <v>77</v>
      </c>
      <c r="H930" s="178">
        <f t="shared" si="273"/>
        <v>77</v>
      </c>
      <c r="I930" s="2">
        <f>PARAM!$H$39</f>
        <v>0</v>
      </c>
      <c r="J930" s="11">
        <f>PARAM!$G$39</f>
        <v>0</v>
      </c>
      <c r="K930" s="11">
        <f>(VLOOKUP(H930,DEDN!$A$8:$O$902,$K$2)*I930+J930)/1000</f>
        <v>0</v>
      </c>
      <c r="L930" s="11">
        <f>MIN(IF(PARAM!$B$43=3,CHOOSE($L$2,F930,K930),F930+K930-F930*K930),1)</f>
        <v>0.28441000000000005</v>
      </c>
      <c r="M930" s="2">
        <f>PARAM!$I$38</f>
        <v>0</v>
      </c>
      <c r="N930" s="11">
        <f>VLOOKUP(B930,DEDN!$A$8:$O$90,$N$2)*M930</f>
        <v>0</v>
      </c>
      <c r="P930" s="10">
        <f>PARAM!$C$53^-A930</f>
        <v>1</v>
      </c>
      <c r="Q930" s="10">
        <f t="shared" si="271"/>
        <v>8.7636415346263174E-4</v>
      </c>
      <c r="R930" s="10">
        <f t="shared" si="270"/>
        <v>8.7636415346263174E-4</v>
      </c>
      <c r="S930" s="10">
        <f>CHOOSE(PARAM!$B$51,R930,R930,0,0)*(A930&lt;PARAM!$B$55)</f>
        <v>0</v>
      </c>
      <c r="T930" s="10">
        <f t="shared" si="265"/>
        <v>2.4101822428641362E-5</v>
      </c>
      <c r="U930" s="10">
        <f>T930*P930*(A930&lt;PARAM!$B$55)</f>
        <v>0</v>
      </c>
      <c r="W930">
        <v>927</v>
      </c>
      <c r="X930" s="178">
        <f t="shared" si="274"/>
        <v>108</v>
      </c>
      <c r="Y930" s="178">
        <f t="shared" si="274"/>
        <v>108</v>
      </c>
      <c r="Z930" s="178">
        <f t="shared" si="274"/>
        <v>77</v>
      </c>
      <c r="AA930" s="178">
        <f t="shared" si="274"/>
        <v>77</v>
      </c>
      <c r="AD930" s="17">
        <f>CALC!E954*(A930&lt;PARAM!$B$55)</f>
        <v>0</v>
      </c>
      <c r="AE930">
        <f>IF(A930&lt;ITER!$C$16,1,PARAM!$C$53^-(RATES!A930-ITER!$C$16))*(A930&lt;PARAM!$B$55)</f>
        <v>0</v>
      </c>
    </row>
    <row r="931" spans="1:31" x14ac:dyDescent="0.2">
      <c r="A931" s="9">
        <v>928</v>
      </c>
      <c r="B931" s="178">
        <f t="shared" si="272"/>
        <v>108</v>
      </c>
      <c r="C931" s="178">
        <f t="shared" si="272"/>
        <v>108</v>
      </c>
      <c r="D931" s="2">
        <f>PARAM!$H$38</f>
        <v>1</v>
      </c>
      <c r="E931" s="11">
        <f>PARAM!$G$38</f>
        <v>0</v>
      </c>
      <c r="F931" s="11">
        <f>(VLOOKUP(C931,DEDN!$A$8:$O$902,$F$2)*D931+E931)/1000</f>
        <v>0.28441000000000005</v>
      </c>
      <c r="G931" s="178">
        <f t="shared" si="273"/>
        <v>77</v>
      </c>
      <c r="H931" s="178">
        <f t="shared" si="273"/>
        <v>77</v>
      </c>
      <c r="I931" s="2">
        <f>PARAM!$H$39</f>
        <v>0</v>
      </c>
      <c r="J931" s="11">
        <f>PARAM!$G$39</f>
        <v>0</v>
      </c>
      <c r="K931" s="11">
        <f>(VLOOKUP(H931,DEDN!$A$8:$O$902,$K$2)*I931+J931)/1000</f>
        <v>0</v>
      </c>
      <c r="L931" s="11">
        <f>MIN(IF(PARAM!$B$43=3,CHOOSE($L$2,F931,K931),F931+K931-F931*K931),1)</f>
        <v>0.28441000000000005</v>
      </c>
      <c r="M931" s="2">
        <f>PARAM!$I$38</f>
        <v>0</v>
      </c>
      <c r="N931" s="11">
        <f>VLOOKUP(B931,DEDN!$A$8:$O$90,$N$2)*M931</f>
        <v>0</v>
      </c>
      <c r="P931" s="10">
        <f>PARAM!$C$53^-A931</f>
        <v>1</v>
      </c>
      <c r="Q931" s="10">
        <f t="shared" si="271"/>
        <v>8.5226233103399037E-4</v>
      </c>
      <c r="R931" s="10">
        <f t="shared" si="270"/>
        <v>8.5226233103399037E-4</v>
      </c>
      <c r="S931" s="10">
        <f>CHOOSE(PARAM!$B$51,R931,0,0,0)*(A931&lt;PARAM!$B$55)</f>
        <v>0</v>
      </c>
      <c r="T931" s="10">
        <f t="shared" si="265"/>
        <v>2.3438972582391334E-5</v>
      </c>
      <c r="U931" s="10">
        <f>T931*P931*(A931&lt;PARAM!$B$55)</f>
        <v>0</v>
      </c>
      <c r="W931">
        <v>928</v>
      </c>
      <c r="X931" s="178">
        <f t="shared" si="274"/>
        <v>108</v>
      </c>
      <c r="Y931" s="178">
        <f t="shared" si="274"/>
        <v>108</v>
      </c>
      <c r="Z931" s="178">
        <f t="shared" si="274"/>
        <v>77</v>
      </c>
      <c r="AA931" s="178">
        <f t="shared" si="274"/>
        <v>77</v>
      </c>
      <c r="AD931" s="17">
        <f>CALC!E955*(A931&lt;PARAM!$B$55)</f>
        <v>0</v>
      </c>
      <c r="AE931">
        <f>IF(A931&lt;ITER!$C$16,1,PARAM!$C$53^-(RATES!A931-ITER!$C$16))*(A931&lt;PARAM!$B$55)</f>
        <v>0</v>
      </c>
    </row>
    <row r="932" spans="1:31" x14ac:dyDescent="0.2">
      <c r="A932" s="9">
        <v>929</v>
      </c>
      <c r="B932" s="178">
        <f t="shared" si="272"/>
        <v>108</v>
      </c>
      <c r="C932" s="178">
        <f t="shared" si="272"/>
        <v>108</v>
      </c>
      <c r="D932" s="2">
        <f>PARAM!$H$38</f>
        <v>1</v>
      </c>
      <c r="E932" s="11">
        <f>PARAM!$G$38</f>
        <v>0</v>
      </c>
      <c r="F932" s="11">
        <f>(VLOOKUP(C932,DEDN!$A$8:$O$902,$F$2)*D932+E932)/1000</f>
        <v>0.28441000000000005</v>
      </c>
      <c r="G932" s="178">
        <f t="shared" si="273"/>
        <v>77</v>
      </c>
      <c r="H932" s="178">
        <f t="shared" si="273"/>
        <v>77</v>
      </c>
      <c r="I932" s="2">
        <f>PARAM!$H$39</f>
        <v>0</v>
      </c>
      <c r="J932" s="11">
        <f>PARAM!$G$39</f>
        <v>0</v>
      </c>
      <c r="K932" s="11">
        <f>(VLOOKUP(H932,DEDN!$A$8:$O$902,$K$2)*I932+J932)/1000</f>
        <v>0</v>
      </c>
      <c r="L932" s="11">
        <f>MIN(IF(PARAM!$B$43=3,CHOOSE($L$2,F932,K932),F932+K932-F932*K932),1)</f>
        <v>0.28441000000000005</v>
      </c>
      <c r="M932" s="2">
        <f>PARAM!$I$38</f>
        <v>0</v>
      </c>
      <c r="N932" s="11">
        <f>VLOOKUP(B932,DEDN!$A$8:$O$90,$N$2)*M932</f>
        <v>0</v>
      </c>
      <c r="P932" s="10">
        <f>PARAM!$C$53^-A932</f>
        <v>1</v>
      </c>
      <c r="Q932" s="10">
        <f t="shared" si="271"/>
        <v>8.2882335845159904E-4</v>
      </c>
      <c r="R932" s="10">
        <f t="shared" ref="R932:R947" si="275">P932*Q932</f>
        <v>8.2882335845159904E-4</v>
      </c>
      <c r="S932" s="10">
        <f>CHOOSE(PARAM!$B$51,R932,0,0,0)*(A932&lt;PARAM!$B$55)</f>
        <v>0</v>
      </c>
      <c r="T932" s="10">
        <f t="shared" si="265"/>
        <v>2.279435247457592E-5</v>
      </c>
      <c r="U932" s="10">
        <f>T932*P932*(A932&lt;PARAM!$B$55)</f>
        <v>0</v>
      </c>
      <c r="W932">
        <v>929</v>
      </c>
      <c r="X932" s="178">
        <f t="shared" si="274"/>
        <v>108</v>
      </c>
      <c r="Y932" s="178">
        <f t="shared" si="274"/>
        <v>108</v>
      </c>
      <c r="Z932" s="178">
        <f t="shared" si="274"/>
        <v>77</v>
      </c>
      <c r="AA932" s="178">
        <f t="shared" si="274"/>
        <v>77</v>
      </c>
      <c r="AD932" s="17">
        <f>CALC!E956*(A932&lt;PARAM!$B$55)</f>
        <v>0</v>
      </c>
      <c r="AE932">
        <f>IF(A932&lt;ITER!$C$16,1,PARAM!$C$53^-(RATES!A932-ITER!$C$16))*(A932&lt;PARAM!$B$55)</f>
        <v>0</v>
      </c>
    </row>
    <row r="933" spans="1:31" x14ac:dyDescent="0.2">
      <c r="A933" s="9">
        <v>930</v>
      </c>
      <c r="B933" s="178">
        <f t="shared" si="272"/>
        <v>109</v>
      </c>
      <c r="C933" s="178">
        <f t="shared" si="272"/>
        <v>109</v>
      </c>
      <c r="D933" s="2">
        <f>PARAM!$H$38</f>
        <v>1</v>
      </c>
      <c r="E933" s="11">
        <f>PARAM!$G$38</f>
        <v>0</v>
      </c>
      <c r="F933" s="11">
        <f>(VLOOKUP(C933,DEDN!$A$8:$O$902,$F$2)*D933+E933)/1000</f>
        <v>0.28441000000000005</v>
      </c>
      <c r="G933" s="178">
        <f t="shared" si="273"/>
        <v>78</v>
      </c>
      <c r="H933" s="178">
        <f t="shared" si="273"/>
        <v>78</v>
      </c>
      <c r="I933" s="2">
        <f>PARAM!$H$39</f>
        <v>0</v>
      </c>
      <c r="J933" s="11">
        <f>PARAM!$G$39</f>
        <v>0</v>
      </c>
      <c r="K933" s="11">
        <f>(VLOOKUP(H933,DEDN!$A$8:$O$902,$K$2)*I933+J933)/1000</f>
        <v>0</v>
      </c>
      <c r="L933" s="11">
        <f>MIN(IF(PARAM!$B$43=3,CHOOSE($L$2,F933,K933),F933+K933-F933*K933),1)</f>
        <v>0.28441000000000005</v>
      </c>
      <c r="M933" s="2">
        <f>PARAM!$I$38</f>
        <v>0</v>
      </c>
      <c r="N933" s="11">
        <f>VLOOKUP(B933,DEDN!$A$8:$O$90,$N$2)*M933</f>
        <v>0</v>
      </c>
      <c r="P933" s="10">
        <f>PARAM!$C$53^-A933</f>
        <v>1</v>
      </c>
      <c r="Q933" s="10">
        <f t="shared" ref="Q933:Q948" si="276">Q932*(1-L932)^(1/12)</f>
        <v>8.0602900597702312E-4</v>
      </c>
      <c r="R933" s="10">
        <f t="shared" si="275"/>
        <v>8.0602900597702312E-4</v>
      </c>
      <c r="S933" s="10">
        <f>CHOOSE(PARAM!$B$51,R933,R933,R933,0)*(A933&lt;PARAM!$B$55)</f>
        <v>0</v>
      </c>
      <c r="T933" s="10">
        <f t="shared" si="265"/>
        <v>2.2167460749774833E-5</v>
      </c>
      <c r="U933" s="10">
        <f>T933*P933*(A933&lt;PARAM!$B$55)</f>
        <v>0</v>
      </c>
      <c r="W933">
        <v>930</v>
      </c>
      <c r="X933" s="178">
        <f t="shared" si="274"/>
        <v>109</v>
      </c>
      <c r="Y933" s="178">
        <f t="shared" si="274"/>
        <v>109</v>
      </c>
      <c r="Z933" s="178">
        <f t="shared" si="274"/>
        <v>78</v>
      </c>
      <c r="AA933" s="178">
        <f t="shared" si="274"/>
        <v>78</v>
      </c>
      <c r="AD933" s="17">
        <f>CALC!E957*(A933&lt;PARAM!$B$55)</f>
        <v>0</v>
      </c>
      <c r="AE933">
        <f>IF(A933&lt;ITER!$C$16,1,PARAM!$C$53^-(RATES!A933-ITER!$C$16))*(A933&lt;PARAM!$B$55)</f>
        <v>0</v>
      </c>
    </row>
    <row r="934" spans="1:31" x14ac:dyDescent="0.2">
      <c r="A934" s="9">
        <v>931</v>
      </c>
      <c r="B934" s="178">
        <f t="shared" si="272"/>
        <v>109</v>
      </c>
      <c r="C934" s="178">
        <f t="shared" si="272"/>
        <v>109</v>
      </c>
      <c r="D934" s="2">
        <f>PARAM!$H$38</f>
        <v>1</v>
      </c>
      <c r="E934" s="11">
        <f>PARAM!$G$38</f>
        <v>0</v>
      </c>
      <c r="F934" s="11">
        <f>(VLOOKUP(C934,DEDN!$A$8:$O$902,$F$2)*D934+E934)/1000</f>
        <v>0.28441000000000005</v>
      </c>
      <c r="G934" s="178">
        <f t="shared" si="273"/>
        <v>78</v>
      </c>
      <c r="H934" s="178">
        <f t="shared" si="273"/>
        <v>78</v>
      </c>
      <c r="I934" s="2">
        <f>PARAM!$H$39</f>
        <v>0</v>
      </c>
      <c r="J934" s="11">
        <f>PARAM!$G$39</f>
        <v>0</v>
      </c>
      <c r="K934" s="11">
        <f>(VLOOKUP(H934,DEDN!$A$8:$O$902,$K$2)*I934+J934)/1000</f>
        <v>0</v>
      </c>
      <c r="L934" s="11">
        <f>MIN(IF(PARAM!$B$43=3,CHOOSE($L$2,F934,K934),F934+K934-F934*K934),1)</f>
        <v>0.28441000000000005</v>
      </c>
      <c r="M934" s="2">
        <f>PARAM!$I$38</f>
        <v>0</v>
      </c>
      <c r="N934" s="11">
        <f>VLOOKUP(B934,DEDN!$A$8:$O$90,$N$2)*M934</f>
        <v>0</v>
      </c>
      <c r="P934" s="10">
        <f>PARAM!$C$53^-A934</f>
        <v>1</v>
      </c>
      <c r="Q934" s="10">
        <f t="shared" si="276"/>
        <v>7.8386154522724829E-4</v>
      </c>
      <c r="R934" s="10">
        <f t="shared" si="275"/>
        <v>7.8386154522724829E-4</v>
      </c>
      <c r="S934" s="10">
        <f>CHOOSE(PARAM!$B$51,R934,0,0,0)*(A934&lt;PARAM!$B$55)</f>
        <v>0</v>
      </c>
      <c r="T934" s="10">
        <f t="shared" si="265"/>
        <v>2.1557809840875848E-5</v>
      </c>
      <c r="U934" s="10">
        <f>T934*P934*(A934&lt;PARAM!$B$55)</f>
        <v>0</v>
      </c>
      <c r="W934">
        <v>931</v>
      </c>
      <c r="X934" s="178">
        <f t="shared" si="274"/>
        <v>109</v>
      </c>
      <c r="Y934" s="178">
        <f t="shared" si="274"/>
        <v>109</v>
      </c>
      <c r="Z934" s="178">
        <f t="shared" si="274"/>
        <v>78</v>
      </c>
      <c r="AA934" s="178">
        <f t="shared" si="274"/>
        <v>78</v>
      </c>
      <c r="AD934" s="17">
        <f>CALC!E958*(A934&lt;PARAM!$B$55)</f>
        <v>0</v>
      </c>
      <c r="AE934">
        <f>IF(A934&lt;ITER!$C$16,1,PARAM!$C$53^-(RATES!A934-ITER!$C$16))*(A934&lt;PARAM!$B$55)</f>
        <v>0</v>
      </c>
    </row>
    <row r="935" spans="1:31" x14ac:dyDescent="0.2">
      <c r="A935" s="9">
        <v>932</v>
      </c>
      <c r="B935" s="178">
        <f t="shared" si="272"/>
        <v>109</v>
      </c>
      <c r="C935" s="178">
        <f t="shared" si="272"/>
        <v>109</v>
      </c>
      <c r="D935" s="2">
        <f>PARAM!$H$38</f>
        <v>1</v>
      </c>
      <c r="E935" s="11">
        <f>PARAM!$G$38</f>
        <v>0</v>
      </c>
      <c r="F935" s="11">
        <f>(VLOOKUP(C935,DEDN!$A$8:$O$902,$F$2)*D935+E935)/1000</f>
        <v>0.28441000000000005</v>
      </c>
      <c r="G935" s="178">
        <f t="shared" si="273"/>
        <v>78</v>
      </c>
      <c r="H935" s="178">
        <f t="shared" si="273"/>
        <v>78</v>
      </c>
      <c r="I935" s="2">
        <f>PARAM!$H$39</f>
        <v>0</v>
      </c>
      <c r="J935" s="11">
        <f>PARAM!$G$39</f>
        <v>0</v>
      </c>
      <c r="K935" s="11">
        <f>(VLOOKUP(H935,DEDN!$A$8:$O$902,$K$2)*I935+J935)/1000</f>
        <v>0</v>
      </c>
      <c r="L935" s="11">
        <f>MIN(IF(PARAM!$B$43=3,CHOOSE($L$2,F935,K935),F935+K935-F935*K935),1)</f>
        <v>0.28441000000000005</v>
      </c>
      <c r="M935" s="2">
        <f>PARAM!$I$38</f>
        <v>0</v>
      </c>
      <c r="N935" s="11">
        <f>VLOOKUP(B935,DEDN!$A$8:$O$90,$N$2)*M935</f>
        <v>0</v>
      </c>
      <c r="P935" s="10">
        <f>PARAM!$C$53^-A935</f>
        <v>1</v>
      </c>
      <c r="Q935" s="10">
        <f t="shared" si="276"/>
        <v>7.6230373538637244E-4</v>
      </c>
      <c r="R935" s="10">
        <f t="shared" si="275"/>
        <v>7.6230373538637244E-4</v>
      </c>
      <c r="S935" s="10">
        <f>CHOOSE(PARAM!$B$51,R935,0,0,0)*(A935&lt;PARAM!$B$55)</f>
        <v>0</v>
      </c>
      <c r="T935" s="10">
        <f t="shared" si="265"/>
        <v>2.0964925589868691E-5</v>
      </c>
      <c r="U935" s="10">
        <f>T935*P935*(A935&lt;PARAM!$B$55)</f>
        <v>0</v>
      </c>
      <c r="W935">
        <v>932</v>
      </c>
      <c r="X935" s="178">
        <f t="shared" si="274"/>
        <v>109</v>
      </c>
      <c r="Y935" s="178">
        <f t="shared" si="274"/>
        <v>109</v>
      </c>
      <c r="Z935" s="178">
        <f t="shared" si="274"/>
        <v>78</v>
      </c>
      <c r="AA935" s="178">
        <f t="shared" si="274"/>
        <v>78</v>
      </c>
      <c r="AD935" s="17">
        <f>CALC!E959*(A935&lt;PARAM!$B$55)</f>
        <v>0</v>
      </c>
      <c r="AE935">
        <f>IF(A935&lt;ITER!$C$16,1,PARAM!$C$53^-(RATES!A935-ITER!$C$16))*(A935&lt;PARAM!$B$55)</f>
        <v>0</v>
      </c>
    </row>
    <row r="936" spans="1:31" x14ac:dyDescent="0.2">
      <c r="A936" s="9">
        <v>933</v>
      </c>
      <c r="B936" s="178">
        <f t="shared" si="272"/>
        <v>109</v>
      </c>
      <c r="C936" s="178">
        <f t="shared" si="272"/>
        <v>109</v>
      </c>
      <c r="D936" s="2">
        <f>PARAM!$H$38</f>
        <v>1</v>
      </c>
      <c r="E936" s="11">
        <f>PARAM!$G$38</f>
        <v>0</v>
      </c>
      <c r="F936" s="11">
        <f>(VLOOKUP(C936,DEDN!$A$8:$O$902,$F$2)*D936+E936)/1000</f>
        <v>0.28441000000000005</v>
      </c>
      <c r="G936" s="178">
        <f t="shared" si="273"/>
        <v>78</v>
      </c>
      <c r="H936" s="178">
        <f t="shared" si="273"/>
        <v>78</v>
      </c>
      <c r="I936" s="2">
        <f>PARAM!$H$39</f>
        <v>0</v>
      </c>
      <c r="J936" s="11">
        <f>PARAM!$G$39</f>
        <v>0</v>
      </c>
      <c r="K936" s="11">
        <f>(VLOOKUP(H936,DEDN!$A$8:$O$902,$K$2)*I936+J936)/1000</f>
        <v>0</v>
      </c>
      <c r="L936" s="11">
        <f>MIN(IF(PARAM!$B$43=3,CHOOSE($L$2,F936,K936),F936+K936-F936*K936),1)</f>
        <v>0.28441000000000005</v>
      </c>
      <c r="M936" s="2">
        <f>PARAM!$I$38</f>
        <v>0</v>
      </c>
      <c r="N936" s="11">
        <f>VLOOKUP(B936,DEDN!$A$8:$O$90,$N$2)*M936</f>
        <v>0</v>
      </c>
      <c r="P936" s="10">
        <f>PARAM!$C$53^-A936</f>
        <v>1</v>
      </c>
      <c r="Q936" s="10">
        <f t="shared" si="276"/>
        <v>7.4133880979650375E-4</v>
      </c>
      <c r="R936" s="10">
        <f t="shared" si="275"/>
        <v>7.4133880979650375E-4</v>
      </c>
      <c r="S936" s="10">
        <f>CHOOSE(PARAM!$B$51,R936,R936,0,0)*(A936&lt;PARAM!$B$55)</f>
        <v>0</v>
      </c>
      <c r="T936" s="10">
        <f t="shared" si="265"/>
        <v>2.0388346879066576E-5</v>
      </c>
      <c r="U936" s="10">
        <f>T936*P936*(A936&lt;PARAM!$B$55)</f>
        <v>0</v>
      </c>
      <c r="W936">
        <v>933</v>
      </c>
      <c r="X936" s="178">
        <f t="shared" si="274"/>
        <v>109</v>
      </c>
      <c r="Y936" s="178">
        <f t="shared" si="274"/>
        <v>109</v>
      </c>
      <c r="Z936" s="178">
        <f t="shared" si="274"/>
        <v>78</v>
      </c>
      <c r="AA936" s="178">
        <f t="shared" si="274"/>
        <v>78</v>
      </c>
      <c r="AD936" s="17">
        <f>CALC!E960*(A936&lt;PARAM!$B$55)</f>
        <v>0</v>
      </c>
      <c r="AE936">
        <f>IF(A936&lt;ITER!$C$16,1,PARAM!$C$53^-(RATES!A936-ITER!$C$16))*(A936&lt;PARAM!$B$55)</f>
        <v>0</v>
      </c>
    </row>
    <row r="937" spans="1:31" x14ac:dyDescent="0.2">
      <c r="A937" s="9">
        <v>934</v>
      </c>
      <c r="B937" s="178">
        <f t="shared" si="272"/>
        <v>109</v>
      </c>
      <c r="C937" s="178">
        <f t="shared" si="272"/>
        <v>109</v>
      </c>
      <c r="D937" s="2">
        <f>PARAM!$H$38</f>
        <v>1</v>
      </c>
      <c r="E937" s="11">
        <f>PARAM!$G$38</f>
        <v>0</v>
      </c>
      <c r="F937" s="11">
        <f>(VLOOKUP(C937,DEDN!$A$8:$O$902,$F$2)*D937+E937)/1000</f>
        <v>0.28441000000000005</v>
      </c>
      <c r="G937" s="178">
        <f t="shared" si="273"/>
        <v>78</v>
      </c>
      <c r="H937" s="178">
        <f t="shared" si="273"/>
        <v>78</v>
      </c>
      <c r="I937" s="2">
        <f>PARAM!$H$39</f>
        <v>0</v>
      </c>
      <c r="J937" s="11">
        <f>PARAM!$G$39</f>
        <v>0</v>
      </c>
      <c r="K937" s="11">
        <f>(VLOOKUP(H937,DEDN!$A$8:$O$902,$K$2)*I937+J937)/1000</f>
        <v>0</v>
      </c>
      <c r="L937" s="11">
        <f>MIN(IF(PARAM!$B$43=3,CHOOSE($L$2,F937,K937),F937+K937-F937*K937),1)</f>
        <v>0.28441000000000005</v>
      </c>
      <c r="M937" s="2">
        <f>PARAM!$I$38</f>
        <v>0</v>
      </c>
      <c r="N937" s="11">
        <f>VLOOKUP(B937,DEDN!$A$8:$O$90,$N$2)*M937</f>
        <v>0</v>
      </c>
      <c r="P937" s="10">
        <f>PARAM!$C$53^-A937</f>
        <v>1</v>
      </c>
      <c r="Q937" s="10">
        <f t="shared" si="276"/>
        <v>7.2095046291743717E-4</v>
      </c>
      <c r="R937" s="10">
        <f t="shared" si="275"/>
        <v>7.2095046291743717E-4</v>
      </c>
      <c r="S937" s="10">
        <f>CHOOSE(PARAM!$B$51,R937,0,0,0)*(A937&lt;PARAM!$B$55)</f>
        <v>0</v>
      </c>
      <c r="T937" s="10">
        <f t="shared" si="265"/>
        <v>1.982762527247045E-5</v>
      </c>
      <c r="U937" s="10">
        <f>T937*P937*(A937&lt;PARAM!$B$55)</f>
        <v>0</v>
      </c>
      <c r="W937">
        <v>934</v>
      </c>
      <c r="X937" s="178">
        <f t="shared" si="274"/>
        <v>109</v>
      </c>
      <c r="Y937" s="178">
        <f t="shared" si="274"/>
        <v>109</v>
      </c>
      <c r="Z937" s="178">
        <f t="shared" si="274"/>
        <v>78</v>
      </c>
      <c r="AA937" s="178">
        <f t="shared" si="274"/>
        <v>78</v>
      </c>
      <c r="AD937" s="17">
        <f>CALC!E961*(A937&lt;PARAM!$B$55)</f>
        <v>0</v>
      </c>
      <c r="AE937">
        <f>IF(A937&lt;ITER!$C$16,1,PARAM!$C$53^-(RATES!A937-ITER!$C$16))*(A937&lt;PARAM!$B$55)</f>
        <v>0</v>
      </c>
    </row>
    <row r="938" spans="1:31" x14ac:dyDescent="0.2">
      <c r="A938" s="9">
        <v>935</v>
      </c>
      <c r="B938" s="178">
        <f t="shared" si="272"/>
        <v>109</v>
      </c>
      <c r="C938" s="178">
        <f t="shared" si="272"/>
        <v>109</v>
      </c>
      <c r="D938" s="2">
        <f>PARAM!$H$38</f>
        <v>1</v>
      </c>
      <c r="E938" s="11">
        <f>PARAM!$G$38</f>
        <v>0</v>
      </c>
      <c r="F938" s="11">
        <f>(VLOOKUP(C938,DEDN!$A$8:$O$902,$F$2)*D938+E938)/1000</f>
        <v>0.28441000000000005</v>
      </c>
      <c r="G938" s="178">
        <f t="shared" si="273"/>
        <v>78</v>
      </c>
      <c r="H938" s="178">
        <f t="shared" si="273"/>
        <v>78</v>
      </c>
      <c r="I938" s="2">
        <f>PARAM!$H$39</f>
        <v>0</v>
      </c>
      <c r="J938" s="11">
        <f>PARAM!$G$39</f>
        <v>0</v>
      </c>
      <c r="K938" s="11">
        <f>(VLOOKUP(H938,DEDN!$A$8:$O$902,$K$2)*I938+J938)/1000</f>
        <v>0</v>
      </c>
      <c r="L938" s="11">
        <f>MIN(IF(PARAM!$B$43=3,CHOOSE($L$2,F938,K938),F938+K938-F938*K938),1)</f>
        <v>0.28441000000000005</v>
      </c>
      <c r="M938" s="2">
        <f>PARAM!$I$38</f>
        <v>0</v>
      </c>
      <c r="N938" s="11">
        <f>VLOOKUP(B938,DEDN!$A$8:$O$90,$N$2)*M938</f>
        <v>0</v>
      </c>
      <c r="P938" s="10">
        <f>PARAM!$C$53^-A938</f>
        <v>1</v>
      </c>
      <c r="Q938" s="10">
        <f t="shared" si="276"/>
        <v>7.0112283764496672E-4</v>
      </c>
      <c r="R938" s="10">
        <f t="shared" si="275"/>
        <v>7.0112283764496672E-4</v>
      </c>
      <c r="S938" s="10">
        <f>CHOOSE(PARAM!$B$51,R938,0,0,0)*(A938&lt;PARAM!$B$55)</f>
        <v>0</v>
      </c>
      <c r="T938" s="10">
        <f t="shared" si="265"/>
        <v>1.9282324666996652E-5</v>
      </c>
      <c r="U938" s="10">
        <f>T938*P938*(A938&lt;PARAM!$B$55)</f>
        <v>0</v>
      </c>
      <c r="W938">
        <v>935</v>
      </c>
      <c r="X938" s="178">
        <f t="shared" si="274"/>
        <v>109</v>
      </c>
      <c r="Y938" s="178">
        <f t="shared" si="274"/>
        <v>109</v>
      </c>
      <c r="Z938" s="178">
        <f t="shared" si="274"/>
        <v>78</v>
      </c>
      <c r="AA938" s="178">
        <f t="shared" si="274"/>
        <v>78</v>
      </c>
      <c r="AD938" s="17">
        <f>CALC!E962*(A938&lt;PARAM!$B$55)</f>
        <v>0</v>
      </c>
      <c r="AE938">
        <f>IF(A938&lt;ITER!$C$16,1,PARAM!$C$53^-(RATES!A938-ITER!$C$16))*(A938&lt;PARAM!$B$55)</f>
        <v>0</v>
      </c>
    </row>
    <row r="939" spans="1:31" x14ac:dyDescent="0.2">
      <c r="A939" s="9">
        <v>936</v>
      </c>
      <c r="B939" s="178">
        <f t="shared" si="272"/>
        <v>109</v>
      </c>
      <c r="C939" s="178">
        <f t="shared" si="272"/>
        <v>109</v>
      </c>
      <c r="D939" s="2">
        <f>PARAM!$H$38</f>
        <v>1</v>
      </c>
      <c r="E939" s="11">
        <f>PARAM!$G$38</f>
        <v>0</v>
      </c>
      <c r="F939" s="11">
        <f>(VLOOKUP(C939,DEDN!$A$8:$O$902,$F$2)*D939+E939)/1000</f>
        <v>0.28441000000000005</v>
      </c>
      <c r="G939" s="178">
        <f t="shared" si="273"/>
        <v>78</v>
      </c>
      <c r="H939" s="178">
        <f t="shared" si="273"/>
        <v>78</v>
      </c>
      <c r="I939" s="2">
        <f>PARAM!$H$39</f>
        <v>0</v>
      </c>
      <c r="J939" s="11">
        <f>PARAM!$G$39</f>
        <v>0</v>
      </c>
      <c r="K939" s="11">
        <f>(VLOOKUP(H939,DEDN!$A$8:$O$902,$K$2)*I939+J939)/1000</f>
        <v>0</v>
      </c>
      <c r="L939" s="11">
        <f>MIN(IF(PARAM!$B$43=3,CHOOSE($L$2,F939,K939),F939+K939-F939*K939),1)</f>
        <v>0.28441000000000005</v>
      </c>
      <c r="M939" s="2">
        <f>PARAM!$I$38</f>
        <v>0</v>
      </c>
      <c r="N939" s="11">
        <f>VLOOKUP(B939,DEDN!$A$8:$O$90,$N$2)*M939</f>
        <v>0</v>
      </c>
      <c r="P939" s="10">
        <f>PARAM!$C$53^-A939</f>
        <v>1</v>
      </c>
      <c r="Q939" s="10">
        <f t="shared" si="276"/>
        <v>6.8184051297797007E-4</v>
      </c>
      <c r="R939" s="10">
        <f t="shared" si="275"/>
        <v>6.8184051297797007E-4</v>
      </c>
      <c r="S939" s="10">
        <f>R939*(A939&lt;PARAM!$B$55)</f>
        <v>0</v>
      </c>
      <c r="T939" s="10">
        <f t="shared" si="265"/>
        <v>1.8752020953295982E-5</v>
      </c>
      <c r="U939" s="10">
        <f>T939*P939*(A939&lt;PARAM!$B$55)</f>
        <v>0</v>
      </c>
      <c r="W939">
        <v>936</v>
      </c>
      <c r="X939" s="178">
        <f t="shared" si="274"/>
        <v>109</v>
      </c>
      <c r="Y939" s="178">
        <f t="shared" si="274"/>
        <v>109</v>
      </c>
      <c r="Z939" s="178">
        <f t="shared" si="274"/>
        <v>78</v>
      </c>
      <c r="AA939" s="178">
        <f t="shared" si="274"/>
        <v>78</v>
      </c>
      <c r="AD939" s="17">
        <f>CALC!E963*(A939&lt;PARAM!$B$55)</f>
        <v>0</v>
      </c>
      <c r="AE939">
        <f>IF(A939&lt;ITER!$C$16,1,PARAM!$C$53^-(RATES!A939-ITER!$C$16))*(A939&lt;PARAM!$B$55)</f>
        <v>0</v>
      </c>
    </row>
    <row r="940" spans="1:31" x14ac:dyDescent="0.2">
      <c r="A940" s="9">
        <v>937</v>
      </c>
      <c r="B940" s="178">
        <f t="shared" si="272"/>
        <v>109</v>
      </c>
      <c r="C940" s="178">
        <f t="shared" si="272"/>
        <v>109</v>
      </c>
      <c r="D940" s="2">
        <f>PARAM!$H$38</f>
        <v>1</v>
      </c>
      <c r="E940" s="11">
        <f>PARAM!$G$38</f>
        <v>0</v>
      </c>
      <c r="F940" s="11">
        <f>(VLOOKUP(C940,DEDN!$A$8:$O$902,$F$2)*D940+E940)/1000</f>
        <v>0.28441000000000005</v>
      </c>
      <c r="G940" s="178">
        <f t="shared" si="273"/>
        <v>78</v>
      </c>
      <c r="H940" s="178">
        <f t="shared" si="273"/>
        <v>78</v>
      </c>
      <c r="I940" s="2">
        <f>PARAM!$H$39</f>
        <v>0</v>
      </c>
      <c r="J940" s="11">
        <f>PARAM!$G$39</f>
        <v>0</v>
      </c>
      <c r="K940" s="11">
        <f>(VLOOKUP(H940,DEDN!$A$8:$O$902,$K$2)*I940+J940)/1000</f>
        <v>0</v>
      </c>
      <c r="L940" s="11">
        <f>MIN(IF(PARAM!$B$43=3,CHOOSE($L$2,F940,K940),F940+K940-F940*K940),1)</f>
        <v>0.28441000000000005</v>
      </c>
      <c r="M940" s="2">
        <f>PARAM!$I$38</f>
        <v>0</v>
      </c>
      <c r="N940" s="11">
        <f>VLOOKUP(B940,DEDN!$A$8:$O$90,$N$2)*M940</f>
        <v>0</v>
      </c>
      <c r="P940" s="10">
        <f>PARAM!$C$53^-A940</f>
        <v>1</v>
      </c>
      <c r="Q940" s="10">
        <f t="shared" si="276"/>
        <v>6.6308849202467409E-4</v>
      </c>
      <c r="R940" s="10">
        <f t="shared" si="275"/>
        <v>6.6308849202467409E-4</v>
      </c>
      <c r="S940" s="10">
        <f>CHOOSE(PARAM!$B$51,R940,0,0,0)*(A940&lt;PARAM!$B$55)</f>
        <v>0</v>
      </c>
      <c r="T940" s="10">
        <f t="shared" si="265"/>
        <v>1.8236301685901554E-5</v>
      </c>
      <c r="U940" s="10">
        <f>T940*P940*(A940&lt;PARAM!$B$55)</f>
        <v>0</v>
      </c>
      <c r="W940">
        <v>937</v>
      </c>
      <c r="X940" s="178">
        <f t="shared" si="274"/>
        <v>109</v>
      </c>
      <c r="Y940" s="178">
        <f t="shared" si="274"/>
        <v>109</v>
      </c>
      <c r="Z940" s="178">
        <f t="shared" si="274"/>
        <v>78</v>
      </c>
      <c r="AA940" s="178">
        <f t="shared" si="274"/>
        <v>78</v>
      </c>
      <c r="AD940" s="17">
        <f>CALC!E964*(A940&lt;PARAM!$B$55)</f>
        <v>0</v>
      </c>
      <c r="AE940">
        <f>IF(A940&lt;ITER!$C$16,1,PARAM!$C$53^-(RATES!A940-ITER!$C$16))*(A940&lt;PARAM!$B$55)</f>
        <v>0</v>
      </c>
    </row>
    <row r="941" spans="1:31" x14ac:dyDescent="0.2">
      <c r="A941" s="9">
        <v>938</v>
      </c>
      <c r="B941" s="178">
        <f t="shared" ref="B941:C960" si="277">B929+1</f>
        <v>109</v>
      </c>
      <c r="C941" s="178">
        <f t="shared" si="277"/>
        <v>109</v>
      </c>
      <c r="D941" s="2">
        <f>PARAM!$H$38</f>
        <v>1</v>
      </c>
      <c r="E941" s="11">
        <f>PARAM!$G$38</f>
        <v>0</v>
      </c>
      <c r="F941" s="11">
        <f>(VLOOKUP(C941,DEDN!$A$8:$O$902,$F$2)*D941+E941)/1000</f>
        <v>0.28441000000000005</v>
      </c>
      <c r="G941" s="178">
        <f t="shared" ref="G941:H960" si="278">G929+1</f>
        <v>78</v>
      </c>
      <c r="H941" s="178">
        <f t="shared" si="278"/>
        <v>78</v>
      </c>
      <c r="I941" s="2">
        <f>PARAM!$H$39</f>
        <v>0</v>
      </c>
      <c r="J941" s="11">
        <f>PARAM!$G$39</f>
        <v>0</v>
      </c>
      <c r="K941" s="11">
        <f>(VLOOKUP(H941,DEDN!$A$8:$O$902,$K$2)*I941+J941)/1000</f>
        <v>0</v>
      </c>
      <c r="L941" s="11">
        <f>MIN(IF(PARAM!$B$43=3,CHOOSE($L$2,F941,K941),F941+K941-F941*K941),1)</f>
        <v>0.28441000000000005</v>
      </c>
      <c r="M941" s="2">
        <f>PARAM!$I$38</f>
        <v>0</v>
      </c>
      <c r="N941" s="11">
        <f>VLOOKUP(B941,DEDN!$A$8:$O$90,$N$2)*M941</f>
        <v>0</v>
      </c>
      <c r="P941" s="10">
        <f>PARAM!$C$53^-A941</f>
        <v>1</v>
      </c>
      <c r="Q941" s="10">
        <f t="shared" si="276"/>
        <v>6.4485219033877253E-4</v>
      </c>
      <c r="R941" s="10">
        <f t="shared" si="275"/>
        <v>6.4485219033877253E-4</v>
      </c>
      <c r="S941" s="10">
        <f>CHOOSE(PARAM!$B$51,R941,0,0,0)*(A941&lt;PARAM!$B$55)</f>
        <v>0</v>
      </c>
      <c r="T941" s="10">
        <f t="shared" si="265"/>
        <v>1.7734765762447637E-5</v>
      </c>
      <c r="U941" s="10">
        <f>T941*P941*(A941&lt;PARAM!$B$55)</f>
        <v>0</v>
      </c>
      <c r="W941">
        <v>938</v>
      </c>
      <c r="X941" s="178">
        <f t="shared" ref="X941:AA960" si="279">X929+1</f>
        <v>109</v>
      </c>
      <c r="Y941" s="178">
        <f t="shared" si="279"/>
        <v>109</v>
      </c>
      <c r="Z941" s="178">
        <f t="shared" si="279"/>
        <v>78</v>
      </c>
      <c r="AA941" s="178">
        <f t="shared" si="279"/>
        <v>78</v>
      </c>
      <c r="AD941" s="17">
        <f>CALC!E965*(A941&lt;PARAM!$B$55)</f>
        <v>0</v>
      </c>
      <c r="AE941">
        <f>IF(A941&lt;ITER!$C$16,1,PARAM!$C$53^-(RATES!A941-ITER!$C$16))*(A941&lt;PARAM!$B$55)</f>
        <v>0</v>
      </c>
    </row>
    <row r="942" spans="1:31" x14ac:dyDescent="0.2">
      <c r="A942" s="9">
        <v>939</v>
      </c>
      <c r="B942" s="178">
        <f t="shared" si="277"/>
        <v>109</v>
      </c>
      <c r="C942" s="178">
        <f t="shared" si="277"/>
        <v>109</v>
      </c>
      <c r="D942" s="2">
        <f>PARAM!$H$38</f>
        <v>1</v>
      </c>
      <c r="E942" s="11">
        <f>PARAM!$G$38</f>
        <v>0</v>
      </c>
      <c r="F942" s="11">
        <f>(VLOOKUP(C942,DEDN!$A$8:$O$902,$F$2)*D942+E942)/1000</f>
        <v>0.28441000000000005</v>
      </c>
      <c r="G942" s="178">
        <f t="shared" si="278"/>
        <v>78</v>
      </c>
      <c r="H942" s="178">
        <f t="shared" si="278"/>
        <v>78</v>
      </c>
      <c r="I942" s="2">
        <f>PARAM!$H$39</f>
        <v>0</v>
      </c>
      <c r="J942" s="11">
        <f>PARAM!$G$39</f>
        <v>0</v>
      </c>
      <c r="K942" s="11">
        <f>(VLOOKUP(H942,DEDN!$A$8:$O$902,$K$2)*I942+J942)/1000</f>
        <v>0</v>
      </c>
      <c r="L942" s="11">
        <f>MIN(IF(PARAM!$B$43=3,CHOOSE($L$2,F942,K942),F942+K942-F942*K942),1)</f>
        <v>0.28441000000000005</v>
      </c>
      <c r="M942" s="2">
        <f>PARAM!$I$38</f>
        <v>0</v>
      </c>
      <c r="N942" s="11">
        <f>VLOOKUP(B942,DEDN!$A$8:$O$90,$N$2)*M942</f>
        <v>0</v>
      </c>
      <c r="P942" s="10">
        <f>PARAM!$C$53^-A942</f>
        <v>1</v>
      </c>
      <c r="Q942" s="10">
        <f t="shared" si="276"/>
        <v>6.271174245763249E-4</v>
      </c>
      <c r="R942" s="10">
        <f t="shared" si="275"/>
        <v>6.271174245763249E-4</v>
      </c>
      <c r="S942" s="10">
        <f>CHOOSE(PARAM!$B$51,R942,R942,0,0)*(A942&lt;PARAM!$B$55)</f>
        <v>0</v>
      </c>
      <c r="T942" s="10">
        <f t="shared" si="265"/>
        <v>1.7247023111711512E-5</v>
      </c>
      <c r="U942" s="10">
        <f>T942*P942*(A942&lt;PARAM!$B$55)</f>
        <v>0</v>
      </c>
      <c r="W942">
        <v>939</v>
      </c>
      <c r="X942" s="178">
        <f t="shared" si="279"/>
        <v>109</v>
      </c>
      <c r="Y942" s="178">
        <f t="shared" si="279"/>
        <v>109</v>
      </c>
      <c r="Z942" s="178">
        <f t="shared" si="279"/>
        <v>78</v>
      </c>
      <c r="AA942" s="178">
        <f t="shared" si="279"/>
        <v>78</v>
      </c>
      <c r="AD942" s="17">
        <f>CALC!E966*(A942&lt;PARAM!$B$55)</f>
        <v>0</v>
      </c>
      <c r="AE942">
        <f>IF(A942&lt;ITER!$C$16,1,PARAM!$C$53^-(RATES!A942-ITER!$C$16))*(A942&lt;PARAM!$B$55)</f>
        <v>0</v>
      </c>
    </row>
    <row r="943" spans="1:31" x14ac:dyDescent="0.2">
      <c r="A943" s="9">
        <v>940</v>
      </c>
      <c r="B943" s="178">
        <f t="shared" si="277"/>
        <v>109</v>
      </c>
      <c r="C943" s="178">
        <f t="shared" si="277"/>
        <v>109</v>
      </c>
      <c r="D943" s="2">
        <f>PARAM!$H$38</f>
        <v>1</v>
      </c>
      <c r="E943" s="11">
        <f>PARAM!$G$38</f>
        <v>0</v>
      </c>
      <c r="F943" s="11">
        <f>(VLOOKUP(C943,DEDN!$A$8:$O$902,$F$2)*D943+E943)/1000</f>
        <v>0.28441000000000005</v>
      </c>
      <c r="G943" s="178">
        <f t="shared" si="278"/>
        <v>78</v>
      </c>
      <c r="H943" s="178">
        <f t="shared" si="278"/>
        <v>78</v>
      </c>
      <c r="I943" s="2">
        <f>PARAM!$H$39</f>
        <v>0</v>
      </c>
      <c r="J943" s="11">
        <f>PARAM!$G$39</f>
        <v>0</v>
      </c>
      <c r="K943" s="11">
        <f>(VLOOKUP(H943,DEDN!$A$8:$O$902,$K$2)*I943+J943)/1000</f>
        <v>0</v>
      </c>
      <c r="L943" s="11">
        <f>MIN(IF(PARAM!$B$43=3,CHOOSE($L$2,F943,K943),F943+K943-F943*K943),1)</f>
        <v>0.28441000000000005</v>
      </c>
      <c r="M943" s="2">
        <f>PARAM!$I$38</f>
        <v>0</v>
      </c>
      <c r="N943" s="11">
        <f>VLOOKUP(B943,DEDN!$A$8:$O$90,$N$2)*M943</f>
        <v>0</v>
      </c>
      <c r="P943" s="10">
        <f>PARAM!$C$53^-A943</f>
        <v>1</v>
      </c>
      <c r="Q943" s="10">
        <f t="shared" si="276"/>
        <v>6.0987040146461338E-4</v>
      </c>
      <c r="R943" s="10">
        <f t="shared" si="275"/>
        <v>6.0987040146461338E-4</v>
      </c>
      <c r="S943" s="10">
        <f>CHOOSE(PARAM!$B$51,R943,0,0,0)*(A943&lt;PARAM!$B$55)</f>
        <v>0</v>
      </c>
      <c r="T943" s="10">
        <f t="shared" si="265"/>
        <v>1.6772694390233432E-5</v>
      </c>
      <c r="U943" s="10">
        <f>T943*P943*(A943&lt;PARAM!$B$55)</f>
        <v>0</v>
      </c>
      <c r="W943">
        <v>940</v>
      </c>
      <c r="X943" s="178">
        <f t="shared" si="279"/>
        <v>109</v>
      </c>
      <c r="Y943" s="178">
        <f t="shared" si="279"/>
        <v>109</v>
      </c>
      <c r="Z943" s="178">
        <f t="shared" si="279"/>
        <v>78</v>
      </c>
      <c r="AA943" s="178">
        <f t="shared" si="279"/>
        <v>78</v>
      </c>
      <c r="AD943" s="17">
        <f>CALC!E967*(A943&lt;PARAM!$B$55)</f>
        <v>0</v>
      </c>
      <c r="AE943">
        <f>IF(A943&lt;ITER!$C$16,1,PARAM!$C$53^-(RATES!A943-ITER!$C$16))*(A943&lt;PARAM!$B$55)</f>
        <v>0</v>
      </c>
    </row>
    <row r="944" spans="1:31" x14ac:dyDescent="0.2">
      <c r="A944" s="9">
        <v>941</v>
      </c>
      <c r="B944" s="178">
        <f t="shared" si="277"/>
        <v>109</v>
      </c>
      <c r="C944" s="178">
        <f t="shared" si="277"/>
        <v>109</v>
      </c>
      <c r="D944" s="2">
        <f>PARAM!$H$38</f>
        <v>1</v>
      </c>
      <c r="E944" s="11">
        <f>PARAM!$G$38</f>
        <v>0</v>
      </c>
      <c r="F944" s="11">
        <f>(VLOOKUP(C944,DEDN!$A$8:$O$902,$F$2)*D944+E944)/1000</f>
        <v>0.28441000000000005</v>
      </c>
      <c r="G944" s="178">
        <f t="shared" si="278"/>
        <v>78</v>
      </c>
      <c r="H944" s="178">
        <f t="shared" si="278"/>
        <v>78</v>
      </c>
      <c r="I944" s="2">
        <f>PARAM!$H$39</f>
        <v>0</v>
      </c>
      <c r="J944" s="11">
        <f>PARAM!$G$39</f>
        <v>0</v>
      </c>
      <c r="K944" s="11">
        <f>(VLOOKUP(H944,DEDN!$A$8:$O$902,$K$2)*I944+J944)/1000</f>
        <v>0</v>
      </c>
      <c r="L944" s="11">
        <f>MIN(IF(PARAM!$B$43=3,CHOOSE($L$2,F944,K944),F944+K944-F944*K944),1)</f>
        <v>0.28441000000000005</v>
      </c>
      <c r="M944" s="2">
        <f>PARAM!$I$38</f>
        <v>0</v>
      </c>
      <c r="N944" s="11">
        <f>VLOOKUP(B944,DEDN!$A$8:$O$90,$N$2)*M944</f>
        <v>0</v>
      </c>
      <c r="P944" s="10">
        <f>PARAM!$C$53^-A944</f>
        <v>1</v>
      </c>
      <c r="Q944" s="10">
        <f t="shared" si="276"/>
        <v>5.9309770707437995E-4</v>
      </c>
      <c r="R944" s="10">
        <f t="shared" si="275"/>
        <v>5.9309770707437995E-4</v>
      </c>
      <c r="S944" s="10">
        <f>CHOOSE(PARAM!$B$51,R944,0,0,0)*(A944&lt;PARAM!$B$55)</f>
        <v>0</v>
      </c>
      <c r="T944" s="10">
        <f t="shared" si="265"/>
        <v>1.631141068728179E-5</v>
      </c>
      <c r="U944" s="10">
        <f>T944*P944*(A944&lt;PARAM!$B$55)</f>
        <v>0</v>
      </c>
      <c r="W944">
        <v>941</v>
      </c>
      <c r="X944" s="178">
        <f t="shared" si="279"/>
        <v>109</v>
      </c>
      <c r="Y944" s="178">
        <f t="shared" si="279"/>
        <v>109</v>
      </c>
      <c r="Z944" s="178">
        <f t="shared" si="279"/>
        <v>78</v>
      </c>
      <c r="AA944" s="178">
        <f t="shared" si="279"/>
        <v>78</v>
      </c>
      <c r="AD944" s="17">
        <f>CALC!E968*(A944&lt;PARAM!$B$55)</f>
        <v>0</v>
      </c>
      <c r="AE944">
        <f>IF(A944&lt;ITER!$C$16,1,PARAM!$C$53^-(RATES!A944-ITER!$C$16))*(A944&lt;PARAM!$B$55)</f>
        <v>0</v>
      </c>
    </row>
    <row r="945" spans="1:31" x14ac:dyDescent="0.2">
      <c r="A945" s="9">
        <v>942</v>
      </c>
      <c r="B945" s="178">
        <f t="shared" si="277"/>
        <v>110</v>
      </c>
      <c r="C945" s="178">
        <f t="shared" si="277"/>
        <v>110</v>
      </c>
      <c r="D945" s="2">
        <f>PARAM!$H$38</f>
        <v>1</v>
      </c>
      <c r="E945" s="11">
        <f>PARAM!$G$38</f>
        <v>0</v>
      </c>
      <c r="F945" s="11">
        <f>(VLOOKUP(C945,DEDN!$A$8:$O$902,$F$2)*D945+E945)/1000</f>
        <v>0.28441000000000005</v>
      </c>
      <c r="G945" s="178">
        <f t="shared" si="278"/>
        <v>79</v>
      </c>
      <c r="H945" s="178">
        <f t="shared" si="278"/>
        <v>79</v>
      </c>
      <c r="I945" s="2">
        <f>PARAM!$H$39</f>
        <v>0</v>
      </c>
      <c r="J945" s="11">
        <f>PARAM!$G$39</f>
        <v>0</v>
      </c>
      <c r="K945" s="11">
        <f>(VLOOKUP(H945,DEDN!$A$8:$O$902,$K$2)*I945+J945)/1000</f>
        <v>0</v>
      </c>
      <c r="L945" s="11">
        <f>MIN(IF(PARAM!$B$43=3,CHOOSE($L$2,F945,K945),F945+K945-F945*K945),1)</f>
        <v>0.28441000000000005</v>
      </c>
      <c r="M945" s="2">
        <f>PARAM!$I$38</f>
        <v>0</v>
      </c>
      <c r="N945" s="11">
        <f>VLOOKUP(B945,DEDN!$A$8:$O$90,$N$2)*M945</f>
        <v>0</v>
      </c>
      <c r="P945" s="10">
        <f>PARAM!$C$53^-A945</f>
        <v>1</v>
      </c>
      <c r="Q945" s="10">
        <f t="shared" si="276"/>
        <v>5.7678629638709816E-4</v>
      </c>
      <c r="R945" s="10">
        <f t="shared" si="275"/>
        <v>5.7678629638709816E-4</v>
      </c>
      <c r="S945" s="10">
        <f>CHOOSE(PARAM!$B$51,R945,R945,R945,0)*(A945&lt;PARAM!$B$55)</f>
        <v>0</v>
      </c>
      <c r="T945" s="10">
        <f t="shared" si="265"/>
        <v>1.5862813237931374E-5</v>
      </c>
      <c r="U945" s="10">
        <f>T945*P945*(A945&lt;PARAM!$B$55)</f>
        <v>0</v>
      </c>
      <c r="W945">
        <v>942</v>
      </c>
      <c r="X945" s="178">
        <f t="shared" si="279"/>
        <v>110</v>
      </c>
      <c r="Y945" s="178">
        <f t="shared" si="279"/>
        <v>110</v>
      </c>
      <c r="Z945" s="178">
        <f t="shared" si="279"/>
        <v>79</v>
      </c>
      <c r="AA945" s="178">
        <f t="shared" si="279"/>
        <v>79</v>
      </c>
      <c r="AD945" s="17">
        <f>CALC!E969*(A945&lt;PARAM!$B$55)</f>
        <v>0</v>
      </c>
      <c r="AE945">
        <f>IF(A945&lt;ITER!$C$16,1,PARAM!$C$53^-(RATES!A945-ITER!$C$16))*(A945&lt;PARAM!$B$55)</f>
        <v>0</v>
      </c>
    </row>
    <row r="946" spans="1:31" x14ac:dyDescent="0.2">
      <c r="A946" s="9">
        <v>943</v>
      </c>
      <c r="B946" s="178">
        <f t="shared" si="277"/>
        <v>110</v>
      </c>
      <c r="C946" s="178">
        <f t="shared" si="277"/>
        <v>110</v>
      </c>
      <c r="D946" s="2">
        <f>PARAM!$H$38</f>
        <v>1</v>
      </c>
      <c r="E946" s="11">
        <f>PARAM!$G$38</f>
        <v>0</v>
      </c>
      <c r="F946" s="11">
        <f>(VLOOKUP(C946,DEDN!$A$8:$O$902,$F$2)*D946+E946)/1000</f>
        <v>0.28441000000000005</v>
      </c>
      <c r="G946" s="178">
        <f t="shared" si="278"/>
        <v>79</v>
      </c>
      <c r="H946" s="178">
        <f t="shared" si="278"/>
        <v>79</v>
      </c>
      <c r="I946" s="2">
        <f>PARAM!$H$39</f>
        <v>0</v>
      </c>
      <c r="J946" s="11">
        <f>PARAM!$G$39</f>
        <v>0</v>
      </c>
      <c r="K946" s="11">
        <f>(VLOOKUP(H946,DEDN!$A$8:$O$902,$K$2)*I946+J946)/1000</f>
        <v>0</v>
      </c>
      <c r="L946" s="11">
        <f>MIN(IF(PARAM!$B$43=3,CHOOSE($L$2,F946,K946),F946+K946-F946*K946),1)</f>
        <v>0.28441000000000005</v>
      </c>
      <c r="M946" s="2">
        <f>PARAM!$I$38</f>
        <v>0</v>
      </c>
      <c r="N946" s="11">
        <f>VLOOKUP(B946,DEDN!$A$8:$O$90,$N$2)*M946</f>
        <v>0</v>
      </c>
      <c r="P946" s="10">
        <f>PARAM!$C$53^-A946</f>
        <v>1</v>
      </c>
      <c r="Q946" s="10">
        <f t="shared" si="276"/>
        <v>5.6092348314916679E-4</v>
      </c>
      <c r="R946" s="10">
        <f t="shared" si="275"/>
        <v>5.6092348314916679E-4</v>
      </c>
      <c r="S946" s="10">
        <f>CHOOSE(PARAM!$B$51,R946,0,0,0)*(A946&lt;PARAM!$B$55)</f>
        <v>0</v>
      </c>
      <c r="T946" s="10">
        <f t="shared" si="265"/>
        <v>1.5426553144032339E-5</v>
      </c>
      <c r="U946" s="10">
        <f>T946*P946*(A946&lt;PARAM!$B$55)</f>
        <v>0</v>
      </c>
      <c r="W946">
        <v>943</v>
      </c>
      <c r="X946" s="178">
        <f t="shared" si="279"/>
        <v>110</v>
      </c>
      <c r="Y946" s="178">
        <f t="shared" si="279"/>
        <v>110</v>
      </c>
      <c r="Z946" s="178">
        <f t="shared" si="279"/>
        <v>79</v>
      </c>
      <c r="AA946" s="178">
        <f t="shared" si="279"/>
        <v>79</v>
      </c>
      <c r="AD946" s="17">
        <f>CALC!E970*(A946&lt;PARAM!$B$55)</f>
        <v>0</v>
      </c>
      <c r="AE946">
        <f>IF(A946&lt;ITER!$C$16,1,PARAM!$C$53^-(RATES!A946-ITER!$C$16))*(A946&lt;PARAM!$B$55)</f>
        <v>0</v>
      </c>
    </row>
    <row r="947" spans="1:31" x14ac:dyDescent="0.2">
      <c r="A947" s="9">
        <v>944</v>
      </c>
      <c r="B947" s="178">
        <f t="shared" si="277"/>
        <v>110</v>
      </c>
      <c r="C947" s="178">
        <f t="shared" si="277"/>
        <v>110</v>
      </c>
      <c r="D947" s="2">
        <f>PARAM!$H$38</f>
        <v>1</v>
      </c>
      <c r="E947" s="11">
        <f>PARAM!$G$38</f>
        <v>0</v>
      </c>
      <c r="F947" s="11">
        <f>(VLOOKUP(C947,DEDN!$A$8:$O$902,$F$2)*D947+E947)/1000</f>
        <v>0.28441000000000005</v>
      </c>
      <c r="G947" s="178">
        <f t="shared" si="278"/>
        <v>79</v>
      </c>
      <c r="H947" s="178">
        <f t="shared" si="278"/>
        <v>79</v>
      </c>
      <c r="I947" s="2">
        <f>PARAM!$H$39</f>
        <v>0</v>
      </c>
      <c r="J947" s="11">
        <f>PARAM!$G$39</f>
        <v>0</v>
      </c>
      <c r="K947" s="11">
        <f>(VLOOKUP(H947,DEDN!$A$8:$O$902,$K$2)*I947+J947)/1000</f>
        <v>0</v>
      </c>
      <c r="L947" s="11">
        <f>MIN(IF(PARAM!$B$43=3,CHOOSE($L$2,F947,K947),F947+K947-F947*K947),1)</f>
        <v>0.28441000000000005</v>
      </c>
      <c r="M947" s="2">
        <f>PARAM!$I$38</f>
        <v>0</v>
      </c>
      <c r="N947" s="11">
        <f>VLOOKUP(B947,DEDN!$A$8:$O$90,$N$2)*M947</f>
        <v>0</v>
      </c>
      <c r="P947" s="10">
        <f>PARAM!$C$53^-A947</f>
        <v>1</v>
      </c>
      <c r="Q947" s="10">
        <f t="shared" si="276"/>
        <v>5.4549693000513445E-4</v>
      </c>
      <c r="R947" s="10">
        <f t="shared" si="275"/>
        <v>5.4549693000513445E-4</v>
      </c>
      <c r="S947" s="10">
        <f>CHOOSE(PARAM!$B$51,R947,0,0,0)*(A947&lt;PARAM!$B$55)</f>
        <v>0</v>
      </c>
      <c r="T947" s="10">
        <f t="shared" si="265"/>
        <v>1.5002291102854132E-5</v>
      </c>
      <c r="U947" s="10">
        <f>T947*P947*(A947&lt;PARAM!$B$55)</f>
        <v>0</v>
      </c>
      <c r="W947">
        <v>944</v>
      </c>
      <c r="X947" s="178">
        <f t="shared" si="279"/>
        <v>110</v>
      </c>
      <c r="Y947" s="178">
        <f t="shared" si="279"/>
        <v>110</v>
      </c>
      <c r="Z947" s="178">
        <f t="shared" si="279"/>
        <v>79</v>
      </c>
      <c r="AA947" s="178">
        <f t="shared" si="279"/>
        <v>79</v>
      </c>
      <c r="AD947" s="17">
        <f>CALC!E971*(A947&lt;PARAM!$B$55)</f>
        <v>0</v>
      </c>
      <c r="AE947">
        <f>IF(A947&lt;ITER!$C$16,1,PARAM!$C$53^-(RATES!A947-ITER!$C$16))*(A947&lt;PARAM!$B$55)</f>
        <v>0</v>
      </c>
    </row>
    <row r="948" spans="1:31" x14ac:dyDescent="0.2">
      <c r="A948" s="9">
        <v>945</v>
      </c>
      <c r="B948" s="178">
        <f t="shared" si="277"/>
        <v>110</v>
      </c>
      <c r="C948" s="178">
        <f t="shared" si="277"/>
        <v>110</v>
      </c>
      <c r="D948" s="2">
        <f>PARAM!$H$38</f>
        <v>1</v>
      </c>
      <c r="E948" s="11">
        <f>PARAM!$G$38</f>
        <v>0</v>
      </c>
      <c r="F948" s="11">
        <f>(VLOOKUP(C948,DEDN!$A$8:$O$902,$F$2)*D948+E948)/1000</f>
        <v>0.28441000000000005</v>
      </c>
      <c r="G948" s="178">
        <f t="shared" si="278"/>
        <v>79</v>
      </c>
      <c r="H948" s="178">
        <f t="shared" si="278"/>
        <v>79</v>
      </c>
      <c r="I948" s="2">
        <f>PARAM!$H$39</f>
        <v>0</v>
      </c>
      <c r="J948" s="11">
        <f>PARAM!$G$39</f>
        <v>0</v>
      </c>
      <c r="K948" s="11">
        <f>(VLOOKUP(H948,DEDN!$A$8:$O$902,$K$2)*I948+J948)/1000</f>
        <v>0</v>
      </c>
      <c r="L948" s="11">
        <f>MIN(IF(PARAM!$B$43=3,CHOOSE($L$2,F948,K948),F948+K948-F948*K948),1)</f>
        <v>0.28441000000000005</v>
      </c>
      <c r="M948" s="2">
        <f>PARAM!$I$38</f>
        <v>0</v>
      </c>
      <c r="N948" s="11">
        <f>VLOOKUP(B948,DEDN!$A$8:$O$90,$N$2)*M948</f>
        <v>0</v>
      </c>
      <c r="P948" s="10">
        <f>PARAM!$C$53^-A948</f>
        <v>1</v>
      </c>
      <c r="Q948" s="10">
        <f t="shared" si="276"/>
        <v>5.3049463890228032E-4</v>
      </c>
      <c r="R948" s="10">
        <f t="shared" ref="R948:R963" si="280">P948*Q948</f>
        <v>5.3049463890228032E-4</v>
      </c>
      <c r="S948" s="10">
        <f>CHOOSE(PARAM!$B$51,R948,R948,0,0)*(A948&lt;PARAM!$B$55)</f>
        <v>0</v>
      </c>
      <c r="T948" s="10">
        <f t="shared" si="265"/>
        <v>1.458969714319123E-5</v>
      </c>
      <c r="U948" s="10">
        <f>T948*P948*(A948&lt;PARAM!$B$55)</f>
        <v>0</v>
      </c>
      <c r="W948">
        <v>945</v>
      </c>
      <c r="X948" s="178">
        <f t="shared" si="279"/>
        <v>110</v>
      </c>
      <c r="Y948" s="178">
        <f t="shared" si="279"/>
        <v>110</v>
      </c>
      <c r="Z948" s="178">
        <f t="shared" si="279"/>
        <v>79</v>
      </c>
      <c r="AA948" s="178">
        <f t="shared" si="279"/>
        <v>79</v>
      </c>
      <c r="AD948" s="17">
        <f>CALC!E972*(A948&lt;PARAM!$B$55)</f>
        <v>0</v>
      </c>
      <c r="AE948">
        <f>IF(A948&lt;ITER!$C$16,1,PARAM!$C$53^-(RATES!A948-ITER!$C$16))*(A948&lt;PARAM!$B$55)</f>
        <v>0</v>
      </c>
    </row>
    <row r="949" spans="1:31" x14ac:dyDescent="0.2">
      <c r="A949" s="9">
        <v>946</v>
      </c>
      <c r="B949" s="178">
        <f t="shared" si="277"/>
        <v>110</v>
      </c>
      <c r="C949" s="178">
        <f t="shared" si="277"/>
        <v>110</v>
      </c>
      <c r="D949" s="2">
        <f>PARAM!$H$38</f>
        <v>1</v>
      </c>
      <c r="E949" s="11">
        <f>PARAM!$G$38</f>
        <v>0</v>
      </c>
      <c r="F949" s="11">
        <f>(VLOOKUP(C949,DEDN!$A$8:$O$902,$F$2)*D949+E949)/1000</f>
        <v>0.28441000000000005</v>
      </c>
      <c r="G949" s="178">
        <f t="shared" si="278"/>
        <v>79</v>
      </c>
      <c r="H949" s="178">
        <f t="shared" si="278"/>
        <v>79</v>
      </c>
      <c r="I949" s="2">
        <f>PARAM!$H$39</f>
        <v>0</v>
      </c>
      <c r="J949" s="11">
        <f>PARAM!$G$39</f>
        <v>0</v>
      </c>
      <c r="K949" s="11">
        <f>(VLOOKUP(H949,DEDN!$A$8:$O$902,$K$2)*I949+J949)/1000</f>
        <v>0</v>
      </c>
      <c r="L949" s="11">
        <f>MIN(IF(PARAM!$B$43=3,CHOOSE($L$2,F949,K949),F949+K949-F949*K949),1)</f>
        <v>0.28441000000000005</v>
      </c>
      <c r="M949" s="2">
        <f>PARAM!$I$38</f>
        <v>0</v>
      </c>
      <c r="N949" s="11">
        <f>VLOOKUP(B949,DEDN!$A$8:$O$90,$N$2)*M949</f>
        <v>0</v>
      </c>
      <c r="P949" s="10">
        <f>PARAM!$C$53^-A949</f>
        <v>1</v>
      </c>
      <c r="Q949" s="10">
        <f t="shared" ref="Q949:Q964" si="281">Q948*(1-L948)^(1/12)</f>
        <v>5.1590494175908909E-4</v>
      </c>
      <c r="R949" s="10">
        <f t="shared" si="280"/>
        <v>5.1590494175908909E-4</v>
      </c>
      <c r="S949" s="10">
        <f>CHOOSE(PARAM!$B$51,R949,0,0,0)*(A949&lt;PARAM!$B$55)</f>
        <v>0</v>
      </c>
      <c r="T949" s="10">
        <f t="shared" si="265"/>
        <v>1.4188450368727169E-5</v>
      </c>
      <c r="U949" s="10">
        <f>T949*P949*(A949&lt;PARAM!$B$55)</f>
        <v>0</v>
      </c>
      <c r="W949">
        <v>946</v>
      </c>
      <c r="X949" s="178">
        <f t="shared" si="279"/>
        <v>110</v>
      </c>
      <c r="Y949" s="178">
        <f t="shared" si="279"/>
        <v>110</v>
      </c>
      <c r="Z949" s="178">
        <f t="shared" si="279"/>
        <v>79</v>
      </c>
      <c r="AA949" s="178">
        <f t="shared" si="279"/>
        <v>79</v>
      </c>
      <c r="AD949" s="17">
        <f>CALC!E973*(A949&lt;PARAM!$B$55)</f>
        <v>0</v>
      </c>
      <c r="AE949">
        <f>IF(A949&lt;ITER!$C$16,1,PARAM!$C$53^-(RATES!A949-ITER!$C$16))*(A949&lt;PARAM!$B$55)</f>
        <v>0</v>
      </c>
    </row>
    <row r="950" spans="1:31" x14ac:dyDescent="0.2">
      <c r="A950" s="9">
        <v>947</v>
      </c>
      <c r="B950" s="178">
        <f t="shared" si="277"/>
        <v>110</v>
      </c>
      <c r="C950" s="178">
        <f t="shared" si="277"/>
        <v>110</v>
      </c>
      <c r="D950" s="2">
        <f>PARAM!$H$38</f>
        <v>1</v>
      </c>
      <c r="E950" s="11">
        <f>PARAM!$G$38</f>
        <v>0</v>
      </c>
      <c r="F950" s="11">
        <f>(VLOOKUP(C950,DEDN!$A$8:$O$902,$F$2)*D950+E950)/1000</f>
        <v>0.28441000000000005</v>
      </c>
      <c r="G950" s="178">
        <f t="shared" si="278"/>
        <v>79</v>
      </c>
      <c r="H950" s="178">
        <f t="shared" si="278"/>
        <v>79</v>
      </c>
      <c r="I950" s="2">
        <f>PARAM!$H$39</f>
        <v>0</v>
      </c>
      <c r="J950" s="11">
        <f>PARAM!$G$39</f>
        <v>0</v>
      </c>
      <c r="K950" s="11">
        <f>(VLOOKUP(H950,DEDN!$A$8:$O$902,$K$2)*I950+J950)/1000</f>
        <v>0</v>
      </c>
      <c r="L950" s="11">
        <f>MIN(IF(PARAM!$B$43=3,CHOOSE($L$2,F950,K950),F950+K950-F950*K950),1)</f>
        <v>0.28441000000000005</v>
      </c>
      <c r="M950" s="2">
        <f>PARAM!$I$38</f>
        <v>0</v>
      </c>
      <c r="N950" s="11">
        <f>VLOOKUP(B950,DEDN!$A$8:$O$90,$N$2)*M950</f>
        <v>0</v>
      </c>
      <c r="P950" s="10">
        <f>PARAM!$C$53^-A950</f>
        <v>1</v>
      </c>
      <c r="Q950" s="10">
        <f t="shared" si="281"/>
        <v>5.0171649139036192E-4</v>
      </c>
      <c r="R950" s="10">
        <f t="shared" si="280"/>
        <v>5.0171649139036192E-4</v>
      </c>
      <c r="S950" s="10">
        <f>CHOOSE(PARAM!$B$51,R950,0,0,0)*(A950&lt;PARAM!$B$55)</f>
        <v>0</v>
      </c>
      <c r="T950" s="10">
        <f t="shared" si="265"/>
        <v>1.3798238708456138E-5</v>
      </c>
      <c r="U950" s="10">
        <f>T950*P950*(A950&lt;PARAM!$B$55)</f>
        <v>0</v>
      </c>
      <c r="W950">
        <v>947</v>
      </c>
      <c r="X950" s="178">
        <f t="shared" si="279"/>
        <v>110</v>
      </c>
      <c r="Y950" s="178">
        <f t="shared" si="279"/>
        <v>110</v>
      </c>
      <c r="Z950" s="178">
        <f t="shared" si="279"/>
        <v>79</v>
      </c>
      <c r="AA950" s="178">
        <f t="shared" si="279"/>
        <v>79</v>
      </c>
      <c r="AD950" s="17">
        <f>CALC!E974*(A950&lt;PARAM!$B$55)</f>
        <v>0</v>
      </c>
      <c r="AE950">
        <f>IF(A950&lt;ITER!$C$16,1,PARAM!$C$53^-(RATES!A950-ITER!$C$16))*(A950&lt;PARAM!$B$55)</f>
        <v>0</v>
      </c>
    </row>
    <row r="951" spans="1:31" x14ac:dyDescent="0.2">
      <c r="A951" s="9">
        <v>948</v>
      </c>
      <c r="B951" s="178">
        <f t="shared" si="277"/>
        <v>110</v>
      </c>
      <c r="C951" s="178">
        <f t="shared" si="277"/>
        <v>110</v>
      </c>
      <c r="D951" s="2">
        <f>PARAM!$H$38</f>
        <v>1</v>
      </c>
      <c r="E951" s="11">
        <f>PARAM!$G$38</f>
        <v>0</v>
      </c>
      <c r="F951" s="11">
        <f>(VLOOKUP(C951,DEDN!$A$8:$O$902,$F$2)*D951+E951)/1000</f>
        <v>0.28441000000000005</v>
      </c>
      <c r="G951" s="178">
        <f t="shared" si="278"/>
        <v>79</v>
      </c>
      <c r="H951" s="178">
        <f t="shared" si="278"/>
        <v>79</v>
      </c>
      <c r="I951" s="2">
        <f>PARAM!$H$39</f>
        <v>0</v>
      </c>
      <c r="J951" s="11">
        <f>PARAM!$G$39</f>
        <v>0</v>
      </c>
      <c r="K951" s="11">
        <f>(VLOOKUP(H951,DEDN!$A$8:$O$902,$K$2)*I951+J951)/1000</f>
        <v>0</v>
      </c>
      <c r="L951" s="11">
        <f>MIN(IF(PARAM!$B$43=3,CHOOSE($L$2,F951,K951),F951+K951-F951*K951),1)</f>
        <v>0.28441000000000005</v>
      </c>
      <c r="M951" s="2">
        <f>PARAM!$I$38</f>
        <v>0</v>
      </c>
      <c r="N951" s="11">
        <f>VLOOKUP(B951,DEDN!$A$8:$O$90,$N$2)*M951</f>
        <v>0</v>
      </c>
      <c r="P951" s="10">
        <f>PARAM!$C$53^-A951</f>
        <v>1</v>
      </c>
      <c r="Q951" s="10">
        <f t="shared" si="281"/>
        <v>4.8791825268190578E-4</v>
      </c>
      <c r="R951" s="10">
        <f t="shared" si="280"/>
        <v>4.8791825268190578E-4</v>
      </c>
      <c r="S951" s="10">
        <f>R951*(A951&lt;PARAM!$B$55)</f>
        <v>0</v>
      </c>
      <c r="T951" s="10">
        <f t="shared" si="265"/>
        <v>1.3418758673969093E-5</v>
      </c>
      <c r="U951" s="10">
        <f>T951*P951*(A951&lt;PARAM!$B$55)</f>
        <v>0</v>
      </c>
      <c r="W951">
        <v>948</v>
      </c>
      <c r="X951" s="178">
        <f t="shared" si="279"/>
        <v>110</v>
      </c>
      <c r="Y951" s="178">
        <f t="shared" si="279"/>
        <v>110</v>
      </c>
      <c r="Z951" s="178">
        <f t="shared" si="279"/>
        <v>79</v>
      </c>
      <c r="AA951" s="178">
        <f t="shared" si="279"/>
        <v>79</v>
      </c>
      <c r="AD951" s="17">
        <f>CALC!E975*(A951&lt;PARAM!$B$55)</f>
        <v>0</v>
      </c>
      <c r="AE951">
        <f>IF(A951&lt;ITER!$C$16,1,PARAM!$C$53^-(RATES!A951-ITER!$C$16))*(A951&lt;PARAM!$B$55)</f>
        <v>0</v>
      </c>
    </row>
    <row r="952" spans="1:31" x14ac:dyDescent="0.2">
      <c r="A952" s="9">
        <v>949</v>
      </c>
      <c r="B952" s="178">
        <f t="shared" si="277"/>
        <v>110</v>
      </c>
      <c r="C952" s="178">
        <f t="shared" si="277"/>
        <v>110</v>
      </c>
      <c r="D952" s="2">
        <f>PARAM!$H$38</f>
        <v>1</v>
      </c>
      <c r="E952" s="11">
        <f>PARAM!$G$38</f>
        <v>0</v>
      </c>
      <c r="F952" s="11">
        <f>(VLOOKUP(C952,DEDN!$A$8:$O$902,$F$2)*D952+E952)/1000</f>
        <v>0.28441000000000005</v>
      </c>
      <c r="G952" s="178">
        <f t="shared" si="278"/>
        <v>79</v>
      </c>
      <c r="H952" s="178">
        <f t="shared" si="278"/>
        <v>79</v>
      </c>
      <c r="I952" s="2">
        <f>PARAM!$H$39</f>
        <v>0</v>
      </c>
      <c r="J952" s="11">
        <f>PARAM!$G$39</f>
        <v>0</v>
      </c>
      <c r="K952" s="11">
        <f>(VLOOKUP(H952,DEDN!$A$8:$O$902,$K$2)*I952+J952)/1000</f>
        <v>0</v>
      </c>
      <c r="L952" s="11">
        <f>MIN(IF(PARAM!$B$43=3,CHOOSE($L$2,F952,K952),F952+K952-F952*K952),1)</f>
        <v>0.28441000000000005</v>
      </c>
      <c r="M952" s="2">
        <f>PARAM!$I$38</f>
        <v>0</v>
      </c>
      <c r="N952" s="11">
        <f>VLOOKUP(B952,DEDN!$A$8:$O$90,$N$2)*M952</f>
        <v>0</v>
      </c>
      <c r="P952" s="10">
        <f>PARAM!$C$53^-A952</f>
        <v>1</v>
      </c>
      <c r="Q952" s="10">
        <f t="shared" si="281"/>
        <v>4.7449949400793669E-4</v>
      </c>
      <c r="R952" s="10">
        <f t="shared" si="280"/>
        <v>4.7449949400793669E-4</v>
      </c>
      <c r="S952" s="10">
        <f>CHOOSE(PARAM!$B$51,R952,0,0,0)*(A952&lt;PARAM!$B$55)</f>
        <v>0</v>
      </c>
      <c r="T952" s="10">
        <f t="shared" si="265"/>
        <v>1.3049715123414265E-5</v>
      </c>
      <c r="U952" s="10">
        <f>T952*P952*(A952&lt;PARAM!$B$55)</f>
        <v>0</v>
      </c>
      <c r="W952">
        <v>949</v>
      </c>
      <c r="X952" s="178">
        <f t="shared" si="279"/>
        <v>110</v>
      </c>
      <c r="Y952" s="178">
        <f t="shared" si="279"/>
        <v>110</v>
      </c>
      <c r="Z952" s="178">
        <f t="shared" si="279"/>
        <v>79</v>
      </c>
      <c r="AA952" s="178">
        <f t="shared" si="279"/>
        <v>79</v>
      </c>
      <c r="AD952" s="17">
        <f>CALC!E976*(A952&lt;PARAM!$B$55)</f>
        <v>0</v>
      </c>
      <c r="AE952">
        <f>IF(A952&lt;ITER!$C$16,1,PARAM!$C$53^-(RATES!A952-ITER!$C$16))*(A952&lt;PARAM!$B$55)</f>
        <v>0</v>
      </c>
    </row>
    <row r="953" spans="1:31" x14ac:dyDescent="0.2">
      <c r="A953" s="9">
        <v>950</v>
      </c>
      <c r="B953" s="178">
        <f t="shared" si="277"/>
        <v>110</v>
      </c>
      <c r="C953" s="178">
        <f t="shared" si="277"/>
        <v>110</v>
      </c>
      <c r="D953" s="2">
        <f>PARAM!$H$38</f>
        <v>1</v>
      </c>
      <c r="E953" s="11">
        <f>PARAM!$G$38</f>
        <v>0</v>
      </c>
      <c r="F953" s="11">
        <f>(VLOOKUP(C953,DEDN!$A$8:$O$902,$F$2)*D953+E953)/1000</f>
        <v>0.28441000000000005</v>
      </c>
      <c r="G953" s="178">
        <f t="shared" si="278"/>
        <v>79</v>
      </c>
      <c r="H953" s="178">
        <f t="shared" si="278"/>
        <v>79</v>
      </c>
      <c r="I953" s="2">
        <f>PARAM!$H$39</f>
        <v>0</v>
      </c>
      <c r="J953" s="11">
        <f>PARAM!$G$39</f>
        <v>0</v>
      </c>
      <c r="K953" s="11">
        <f>(VLOOKUP(H953,DEDN!$A$8:$O$902,$K$2)*I953+J953)/1000</f>
        <v>0</v>
      </c>
      <c r="L953" s="11">
        <f>MIN(IF(PARAM!$B$43=3,CHOOSE($L$2,F953,K953),F953+K953-F953*K953),1)</f>
        <v>0.28441000000000005</v>
      </c>
      <c r="M953" s="2">
        <f>PARAM!$I$38</f>
        <v>0</v>
      </c>
      <c r="N953" s="11">
        <f>VLOOKUP(B953,DEDN!$A$8:$O$90,$N$2)*M953</f>
        <v>0</v>
      </c>
      <c r="P953" s="10">
        <f>PARAM!$C$53^-A953</f>
        <v>1</v>
      </c>
      <c r="Q953" s="10">
        <f t="shared" si="281"/>
        <v>4.6144977888452242E-4</v>
      </c>
      <c r="R953" s="10">
        <f t="shared" si="280"/>
        <v>4.6144977888452242E-4</v>
      </c>
      <c r="S953" s="10">
        <f>CHOOSE(PARAM!$B$51,R953,0,0,0)*(A953&lt;PARAM!$B$55)</f>
        <v>0</v>
      </c>
      <c r="T953" s="10">
        <f t="shared" si="265"/>
        <v>1.2690821031949935E-5</v>
      </c>
      <c r="U953" s="10">
        <f>T953*P953*(A953&lt;PARAM!$B$55)</f>
        <v>0</v>
      </c>
      <c r="W953">
        <v>950</v>
      </c>
      <c r="X953" s="178">
        <f t="shared" si="279"/>
        <v>110</v>
      </c>
      <c r="Y953" s="178">
        <f t="shared" si="279"/>
        <v>110</v>
      </c>
      <c r="Z953" s="178">
        <f t="shared" si="279"/>
        <v>79</v>
      </c>
      <c r="AA953" s="178">
        <f t="shared" si="279"/>
        <v>79</v>
      </c>
      <c r="AD953" s="17">
        <f>CALC!E977*(A953&lt;PARAM!$B$55)</f>
        <v>0</v>
      </c>
      <c r="AE953">
        <f>IF(A953&lt;ITER!$C$16,1,PARAM!$C$53^-(RATES!A953-ITER!$C$16))*(A953&lt;PARAM!$B$55)</f>
        <v>0</v>
      </c>
    </row>
    <row r="954" spans="1:31" x14ac:dyDescent="0.2">
      <c r="A954" s="9">
        <v>951</v>
      </c>
      <c r="B954" s="178">
        <f t="shared" si="277"/>
        <v>110</v>
      </c>
      <c r="C954" s="178">
        <f t="shared" si="277"/>
        <v>110</v>
      </c>
      <c r="D954" s="2">
        <f>PARAM!$H$38</f>
        <v>1</v>
      </c>
      <c r="E954" s="11">
        <f>PARAM!$G$38</f>
        <v>0</v>
      </c>
      <c r="F954" s="11">
        <f>(VLOOKUP(C954,DEDN!$A$8:$O$902,$F$2)*D954+E954)/1000</f>
        <v>0.28441000000000005</v>
      </c>
      <c r="G954" s="178">
        <f t="shared" si="278"/>
        <v>79</v>
      </c>
      <c r="H954" s="178">
        <f t="shared" si="278"/>
        <v>79</v>
      </c>
      <c r="I954" s="2">
        <f>PARAM!$H$39</f>
        <v>0</v>
      </c>
      <c r="J954" s="11">
        <f>PARAM!$G$39</f>
        <v>0</v>
      </c>
      <c r="K954" s="11">
        <f>(VLOOKUP(H954,DEDN!$A$8:$O$902,$K$2)*I954+J954)/1000</f>
        <v>0</v>
      </c>
      <c r="L954" s="11">
        <f>MIN(IF(PARAM!$B$43=3,CHOOSE($L$2,F954,K954),F954+K954-F954*K954),1)</f>
        <v>0.28441000000000005</v>
      </c>
      <c r="M954" s="2">
        <f>PARAM!$I$38</f>
        <v>0</v>
      </c>
      <c r="N954" s="11">
        <f>VLOOKUP(B954,DEDN!$A$8:$O$90,$N$2)*M954</f>
        <v>0</v>
      </c>
      <c r="P954" s="10">
        <f>PARAM!$C$53^-A954</f>
        <v>1</v>
      </c>
      <c r="Q954" s="10">
        <f t="shared" si="281"/>
        <v>4.4875895785257249E-4</v>
      </c>
      <c r="R954" s="10">
        <f t="shared" si="280"/>
        <v>4.4875895785257249E-4</v>
      </c>
      <c r="S954" s="10">
        <f>CHOOSE(PARAM!$B$51,R954,R954,0,0)*(A954&lt;PARAM!$B$55)</f>
        <v>0</v>
      </c>
      <c r="T954" s="10">
        <f t="shared" si="265"/>
        <v>1.2341797268509589E-5</v>
      </c>
      <c r="U954" s="10">
        <f>T954*P954*(A954&lt;PARAM!$B$55)</f>
        <v>0</v>
      </c>
      <c r="W954">
        <v>951</v>
      </c>
      <c r="X954" s="178">
        <f t="shared" si="279"/>
        <v>110</v>
      </c>
      <c r="Y954" s="178">
        <f t="shared" si="279"/>
        <v>110</v>
      </c>
      <c r="Z954" s="178">
        <f t="shared" si="279"/>
        <v>79</v>
      </c>
      <c r="AA954" s="178">
        <f t="shared" si="279"/>
        <v>79</v>
      </c>
      <c r="AD954" s="17">
        <f>CALC!E978*(A954&lt;PARAM!$B$55)</f>
        <v>0</v>
      </c>
      <c r="AE954">
        <f>IF(A954&lt;ITER!$C$16,1,PARAM!$C$53^-(RATES!A954-ITER!$C$16))*(A954&lt;PARAM!$B$55)</f>
        <v>0</v>
      </c>
    </row>
    <row r="955" spans="1:31" x14ac:dyDescent="0.2">
      <c r="A955" s="9">
        <v>952</v>
      </c>
      <c r="B955" s="178">
        <f t="shared" si="277"/>
        <v>110</v>
      </c>
      <c r="C955" s="178">
        <f t="shared" si="277"/>
        <v>110</v>
      </c>
      <c r="D955" s="2">
        <f>PARAM!$H$38</f>
        <v>1</v>
      </c>
      <c r="E955" s="11">
        <f>PARAM!$G$38</f>
        <v>0</v>
      </c>
      <c r="F955" s="11">
        <f>(VLOOKUP(C955,DEDN!$A$8:$O$902,$F$2)*D955+E955)/1000</f>
        <v>0.28441000000000005</v>
      </c>
      <c r="G955" s="178">
        <f t="shared" si="278"/>
        <v>79</v>
      </c>
      <c r="H955" s="178">
        <f t="shared" si="278"/>
        <v>79</v>
      </c>
      <c r="I955" s="2">
        <f>PARAM!$H$39</f>
        <v>0</v>
      </c>
      <c r="J955" s="11">
        <f>PARAM!$G$39</f>
        <v>0</v>
      </c>
      <c r="K955" s="11">
        <f>(VLOOKUP(H955,DEDN!$A$8:$O$902,$K$2)*I955+J955)/1000</f>
        <v>0</v>
      </c>
      <c r="L955" s="11">
        <f>MIN(IF(PARAM!$B$43=3,CHOOSE($L$2,F955,K955),F955+K955-F955*K955),1)</f>
        <v>0.28441000000000005</v>
      </c>
      <c r="M955" s="2">
        <f>PARAM!$I$38</f>
        <v>0</v>
      </c>
      <c r="N955" s="11">
        <f>VLOOKUP(B955,DEDN!$A$8:$O$90,$N$2)*M955</f>
        <v>0</v>
      </c>
      <c r="P955" s="10">
        <f>PARAM!$C$53^-A955</f>
        <v>1</v>
      </c>
      <c r="Q955" s="10">
        <f t="shared" si="281"/>
        <v>4.364171605840629E-4</v>
      </c>
      <c r="R955" s="10">
        <f t="shared" si="280"/>
        <v>4.364171605840629E-4</v>
      </c>
      <c r="S955" s="10">
        <f>CHOOSE(PARAM!$B$51,R955,0,0,0)*(A955&lt;PARAM!$B$55)</f>
        <v>0</v>
      </c>
      <c r="T955" s="10">
        <f t="shared" si="265"/>
        <v>1.2002372378707132E-5</v>
      </c>
      <c r="U955" s="10">
        <f>T955*P955*(A955&lt;PARAM!$B$55)</f>
        <v>0</v>
      </c>
      <c r="W955">
        <v>952</v>
      </c>
      <c r="X955" s="178">
        <f t="shared" si="279"/>
        <v>110</v>
      </c>
      <c r="Y955" s="178">
        <f t="shared" si="279"/>
        <v>110</v>
      </c>
      <c r="Z955" s="178">
        <f t="shared" si="279"/>
        <v>79</v>
      </c>
      <c r="AA955" s="178">
        <f t="shared" si="279"/>
        <v>79</v>
      </c>
      <c r="AD955" s="17">
        <f>CALC!E979*(A955&lt;PARAM!$B$55)</f>
        <v>0</v>
      </c>
      <c r="AE955">
        <f>IF(A955&lt;ITER!$C$16,1,PARAM!$C$53^-(RATES!A955-ITER!$C$16))*(A955&lt;PARAM!$B$55)</f>
        <v>0</v>
      </c>
    </row>
    <row r="956" spans="1:31" x14ac:dyDescent="0.2">
      <c r="A956" s="9">
        <v>953</v>
      </c>
      <c r="B956" s="178">
        <f t="shared" si="277"/>
        <v>110</v>
      </c>
      <c r="C956" s="178">
        <f t="shared" si="277"/>
        <v>110</v>
      </c>
      <c r="D956" s="2">
        <f>PARAM!$H$38</f>
        <v>1</v>
      </c>
      <c r="E956" s="11">
        <f>PARAM!$G$38</f>
        <v>0</v>
      </c>
      <c r="F956" s="11">
        <f>(VLOOKUP(C956,DEDN!$A$8:$O$902,$F$2)*D956+E956)/1000</f>
        <v>0.28441000000000005</v>
      </c>
      <c r="G956" s="178">
        <f t="shared" si="278"/>
        <v>79</v>
      </c>
      <c r="H956" s="178">
        <f t="shared" si="278"/>
        <v>79</v>
      </c>
      <c r="I956" s="2">
        <f>PARAM!$H$39</f>
        <v>0</v>
      </c>
      <c r="J956" s="11">
        <f>PARAM!$G$39</f>
        <v>0</v>
      </c>
      <c r="K956" s="11">
        <f>(VLOOKUP(H956,DEDN!$A$8:$O$902,$K$2)*I956+J956)/1000</f>
        <v>0</v>
      </c>
      <c r="L956" s="11">
        <f>MIN(IF(PARAM!$B$43=3,CHOOSE($L$2,F956,K956),F956+K956-F956*K956),1)</f>
        <v>0.28441000000000005</v>
      </c>
      <c r="M956" s="2">
        <f>PARAM!$I$38</f>
        <v>0</v>
      </c>
      <c r="N956" s="11">
        <f>VLOOKUP(B956,DEDN!$A$8:$O$90,$N$2)*M956</f>
        <v>0</v>
      </c>
      <c r="P956" s="10">
        <f>PARAM!$C$53^-A956</f>
        <v>1</v>
      </c>
      <c r="Q956" s="10">
        <f t="shared" si="281"/>
        <v>4.2441478820535577E-4</v>
      </c>
      <c r="R956" s="10">
        <f t="shared" si="280"/>
        <v>4.2441478820535577E-4</v>
      </c>
      <c r="S956" s="10">
        <f>CHOOSE(PARAM!$B$51,R956,0,0,0)*(A956&lt;PARAM!$B$55)</f>
        <v>0</v>
      </c>
      <c r="T956" s="10">
        <f t="shared" si="265"/>
        <v>1.1672282373711984E-5</v>
      </c>
      <c r="U956" s="10">
        <f>T956*P956*(A956&lt;PARAM!$B$55)</f>
        <v>0</v>
      </c>
      <c r="W956">
        <v>953</v>
      </c>
      <c r="X956" s="178">
        <f t="shared" si="279"/>
        <v>110</v>
      </c>
      <c r="Y956" s="178">
        <f t="shared" si="279"/>
        <v>110</v>
      </c>
      <c r="Z956" s="178">
        <f t="shared" si="279"/>
        <v>79</v>
      </c>
      <c r="AA956" s="178">
        <f t="shared" si="279"/>
        <v>79</v>
      </c>
      <c r="AD956" s="17">
        <f>CALC!E980*(A956&lt;PARAM!$B$55)</f>
        <v>0</v>
      </c>
      <c r="AE956">
        <f>IF(A956&lt;ITER!$C$16,1,PARAM!$C$53^-(RATES!A956-ITER!$C$16))*(A956&lt;PARAM!$B$55)</f>
        <v>0</v>
      </c>
    </row>
    <row r="957" spans="1:31" x14ac:dyDescent="0.2">
      <c r="A957" s="9">
        <v>954</v>
      </c>
      <c r="B957" s="178">
        <f t="shared" si="277"/>
        <v>111</v>
      </c>
      <c r="C957" s="178">
        <f t="shared" si="277"/>
        <v>111</v>
      </c>
      <c r="D957" s="2">
        <f>PARAM!$H$38</f>
        <v>1</v>
      </c>
      <c r="E957" s="11">
        <f>PARAM!$G$38</f>
        <v>0</v>
      </c>
      <c r="F957" s="11">
        <f>(VLOOKUP(C957,DEDN!$A$8:$O$902,$F$2)*D957+E957)/1000</f>
        <v>0.28441000000000005</v>
      </c>
      <c r="G957" s="178">
        <f t="shared" si="278"/>
        <v>80</v>
      </c>
      <c r="H957" s="178">
        <f t="shared" si="278"/>
        <v>80</v>
      </c>
      <c r="I957" s="2">
        <f>PARAM!$H$39</f>
        <v>0</v>
      </c>
      <c r="J957" s="11">
        <f>PARAM!$G$39</f>
        <v>0</v>
      </c>
      <c r="K957" s="11">
        <f>(VLOOKUP(H957,DEDN!$A$8:$O$902,$K$2)*I957+J957)/1000</f>
        <v>0</v>
      </c>
      <c r="L957" s="11">
        <f>MIN(IF(PARAM!$B$43=3,CHOOSE($L$2,F957,K957),F957+K957-F957*K957),1)</f>
        <v>0.28441000000000005</v>
      </c>
      <c r="M957" s="2">
        <f>PARAM!$I$38</f>
        <v>0</v>
      </c>
      <c r="N957" s="11">
        <f>VLOOKUP(B957,DEDN!$A$8:$O$90,$N$2)*M957</f>
        <v>0</v>
      </c>
      <c r="P957" s="10">
        <f>PARAM!$C$53^-A957</f>
        <v>1</v>
      </c>
      <c r="Q957" s="10">
        <f t="shared" si="281"/>
        <v>4.1274250583164378E-4</v>
      </c>
      <c r="R957" s="10">
        <f t="shared" si="280"/>
        <v>4.1274250583164378E-4</v>
      </c>
      <c r="S957" s="10">
        <f>CHOOSE(PARAM!$B$51,R957,R957,R957,0)*(A957&lt;PARAM!$B$55)</f>
        <v>0</v>
      </c>
      <c r="T957" s="10">
        <f t="shared" si="265"/>
        <v>1.135127052493128E-5</v>
      </c>
      <c r="U957" s="10">
        <f>T957*P957*(A957&lt;PARAM!$B$55)</f>
        <v>0</v>
      </c>
      <c r="W957">
        <v>954</v>
      </c>
      <c r="X957" s="178">
        <f t="shared" si="279"/>
        <v>111</v>
      </c>
      <c r="Y957" s="178">
        <f t="shared" si="279"/>
        <v>111</v>
      </c>
      <c r="Z957" s="178">
        <f t="shared" si="279"/>
        <v>80</v>
      </c>
      <c r="AA957" s="178">
        <f t="shared" si="279"/>
        <v>80</v>
      </c>
      <c r="AD957" s="17">
        <f>CALC!E981*(A957&lt;PARAM!$B$55)</f>
        <v>0</v>
      </c>
      <c r="AE957">
        <f>IF(A957&lt;ITER!$C$16,1,PARAM!$C$53^-(RATES!A957-ITER!$C$16))*(A957&lt;PARAM!$B$55)</f>
        <v>0</v>
      </c>
    </row>
    <row r="958" spans="1:31" x14ac:dyDescent="0.2">
      <c r="A958" s="9">
        <v>955</v>
      </c>
      <c r="B958" s="178">
        <f t="shared" si="277"/>
        <v>111</v>
      </c>
      <c r="C958" s="178">
        <f t="shared" si="277"/>
        <v>111</v>
      </c>
      <c r="D958" s="2">
        <f>PARAM!$H$38</f>
        <v>1</v>
      </c>
      <c r="E958" s="11">
        <f>PARAM!$G$38</f>
        <v>0</v>
      </c>
      <c r="F958" s="11">
        <f>(VLOOKUP(C958,DEDN!$A$8:$O$902,$F$2)*D958+E958)/1000</f>
        <v>0.28441000000000005</v>
      </c>
      <c r="G958" s="178">
        <f t="shared" si="278"/>
        <v>80</v>
      </c>
      <c r="H958" s="178">
        <f t="shared" si="278"/>
        <v>80</v>
      </c>
      <c r="I958" s="2">
        <f>PARAM!$H$39</f>
        <v>0</v>
      </c>
      <c r="J958" s="11">
        <f>PARAM!$G$39</f>
        <v>0</v>
      </c>
      <c r="K958" s="11">
        <f>(VLOOKUP(H958,DEDN!$A$8:$O$902,$K$2)*I958+J958)/1000</f>
        <v>0</v>
      </c>
      <c r="L958" s="11">
        <f>MIN(IF(PARAM!$B$43=3,CHOOSE($L$2,F958,K958),F958+K958-F958*K958),1)</f>
        <v>0.28441000000000005</v>
      </c>
      <c r="M958" s="2">
        <f>PARAM!$I$38</f>
        <v>0</v>
      </c>
      <c r="N958" s="11">
        <f>VLOOKUP(B958,DEDN!$A$8:$O$90,$N$2)*M958</f>
        <v>0</v>
      </c>
      <c r="P958" s="10">
        <f>PARAM!$C$53^-A958</f>
        <v>1</v>
      </c>
      <c r="Q958" s="10">
        <f t="shared" si="281"/>
        <v>4.013912353067125E-4</v>
      </c>
      <c r="R958" s="10">
        <f t="shared" si="280"/>
        <v>4.013912353067125E-4</v>
      </c>
      <c r="S958" s="10">
        <f>CHOOSE(PARAM!$B$51,R958,0,0,0)*(A958&lt;PARAM!$B$55)</f>
        <v>0</v>
      </c>
      <c r="T958" s="10">
        <f t="shared" si="265"/>
        <v>1.1039087164338099E-5</v>
      </c>
      <c r="U958" s="10">
        <f>T958*P958*(A958&lt;PARAM!$B$55)</f>
        <v>0</v>
      </c>
      <c r="W958">
        <v>955</v>
      </c>
      <c r="X958" s="178">
        <f t="shared" si="279"/>
        <v>111</v>
      </c>
      <c r="Y958" s="178">
        <f t="shared" si="279"/>
        <v>111</v>
      </c>
      <c r="Z958" s="178">
        <f t="shared" si="279"/>
        <v>80</v>
      </c>
      <c r="AA958" s="178">
        <f t="shared" si="279"/>
        <v>80</v>
      </c>
      <c r="AD958" s="17">
        <f>CALC!E982*(A958&lt;PARAM!$B$55)</f>
        <v>0</v>
      </c>
      <c r="AE958">
        <f>IF(A958&lt;ITER!$C$16,1,PARAM!$C$53^-(RATES!A958-ITER!$C$16))*(A958&lt;PARAM!$B$55)</f>
        <v>0</v>
      </c>
    </row>
    <row r="959" spans="1:31" x14ac:dyDescent="0.2">
      <c r="A959" s="9">
        <v>956</v>
      </c>
      <c r="B959" s="178">
        <f t="shared" si="277"/>
        <v>111</v>
      </c>
      <c r="C959" s="178">
        <f t="shared" si="277"/>
        <v>111</v>
      </c>
      <c r="D959" s="2">
        <f>PARAM!$H$38</f>
        <v>1</v>
      </c>
      <c r="E959" s="11">
        <f>PARAM!$G$38</f>
        <v>0</v>
      </c>
      <c r="F959" s="11">
        <f>(VLOOKUP(C959,DEDN!$A$8:$O$902,$F$2)*D959+E959)/1000</f>
        <v>0.28441000000000005</v>
      </c>
      <c r="G959" s="178">
        <f t="shared" si="278"/>
        <v>80</v>
      </c>
      <c r="H959" s="178">
        <f t="shared" si="278"/>
        <v>80</v>
      </c>
      <c r="I959" s="2">
        <f>PARAM!$H$39</f>
        <v>0</v>
      </c>
      <c r="J959" s="11">
        <f>PARAM!$G$39</f>
        <v>0</v>
      </c>
      <c r="K959" s="11">
        <f>(VLOOKUP(H959,DEDN!$A$8:$O$902,$K$2)*I959+J959)/1000</f>
        <v>0</v>
      </c>
      <c r="L959" s="11">
        <f>MIN(IF(PARAM!$B$43=3,CHOOSE($L$2,F959,K959),F959+K959-F959*K959),1)</f>
        <v>0.28441000000000005</v>
      </c>
      <c r="M959" s="2">
        <f>PARAM!$I$38</f>
        <v>0</v>
      </c>
      <c r="N959" s="11">
        <f>VLOOKUP(B959,DEDN!$A$8:$O$90,$N$2)*M959</f>
        <v>0</v>
      </c>
      <c r="P959" s="10">
        <f>PARAM!$C$53^-A959</f>
        <v>1</v>
      </c>
      <c r="Q959" s="10">
        <f t="shared" si="281"/>
        <v>3.903521481423744E-4</v>
      </c>
      <c r="R959" s="10">
        <f t="shared" si="280"/>
        <v>3.903521481423744E-4</v>
      </c>
      <c r="S959" s="10">
        <f>CHOOSE(PARAM!$B$51,R959,0,0,0)*(A959&lt;PARAM!$B$55)</f>
        <v>0</v>
      </c>
      <c r="T959" s="10">
        <f t="shared" si="265"/>
        <v>1.0735489490291397E-5</v>
      </c>
      <c r="U959" s="10">
        <f>T959*P959*(A959&lt;PARAM!$B$55)</f>
        <v>0</v>
      </c>
      <c r="W959">
        <v>956</v>
      </c>
      <c r="X959" s="178">
        <f t="shared" si="279"/>
        <v>111</v>
      </c>
      <c r="Y959" s="178">
        <f t="shared" si="279"/>
        <v>111</v>
      </c>
      <c r="Z959" s="178">
        <f t="shared" si="279"/>
        <v>80</v>
      </c>
      <c r="AA959" s="178">
        <f t="shared" si="279"/>
        <v>80</v>
      </c>
      <c r="AD959" s="17">
        <f>CALC!E983*(A959&lt;PARAM!$B$55)</f>
        <v>0</v>
      </c>
      <c r="AE959">
        <f>IF(A959&lt;ITER!$C$16,1,PARAM!$C$53^-(RATES!A959-ITER!$C$16))*(A959&lt;PARAM!$B$55)</f>
        <v>0</v>
      </c>
    </row>
    <row r="960" spans="1:31" x14ac:dyDescent="0.2">
      <c r="A960" s="9">
        <v>957</v>
      </c>
      <c r="B960" s="178">
        <f t="shared" si="277"/>
        <v>111</v>
      </c>
      <c r="C960" s="178">
        <f t="shared" si="277"/>
        <v>111</v>
      </c>
      <c r="D960" s="2">
        <f>PARAM!$H$38</f>
        <v>1</v>
      </c>
      <c r="E960" s="11">
        <f>PARAM!$G$38</f>
        <v>0</v>
      </c>
      <c r="F960" s="11">
        <f>(VLOOKUP(C960,DEDN!$A$8:$O$902,$F$2)*D960+E960)/1000</f>
        <v>0.28441000000000005</v>
      </c>
      <c r="G960" s="178">
        <f t="shared" si="278"/>
        <v>80</v>
      </c>
      <c r="H960" s="178">
        <f t="shared" si="278"/>
        <v>80</v>
      </c>
      <c r="I960" s="2">
        <f>PARAM!$H$39</f>
        <v>0</v>
      </c>
      <c r="J960" s="11">
        <f>PARAM!$G$39</f>
        <v>0</v>
      </c>
      <c r="K960" s="11">
        <f>(VLOOKUP(H960,DEDN!$A$8:$O$902,$K$2)*I960+J960)/1000</f>
        <v>0</v>
      </c>
      <c r="L960" s="11">
        <f>MIN(IF(PARAM!$B$43=3,CHOOSE($L$2,F960,K960),F960+K960-F960*K960),1)</f>
        <v>0.28441000000000005</v>
      </c>
      <c r="M960" s="2">
        <f>PARAM!$I$38</f>
        <v>0</v>
      </c>
      <c r="N960" s="11">
        <f>VLOOKUP(B960,DEDN!$A$8:$O$90,$N$2)*M960</f>
        <v>0</v>
      </c>
      <c r="P960" s="10">
        <f>PARAM!$C$53^-A960</f>
        <v>1</v>
      </c>
      <c r="Q960" s="10">
        <f t="shared" si="281"/>
        <v>3.7961665865208301E-4</v>
      </c>
      <c r="R960" s="10">
        <f t="shared" si="280"/>
        <v>3.7961665865208301E-4</v>
      </c>
      <c r="S960" s="10">
        <f>CHOOSE(PARAM!$B$51,R960,R960,0,0)*(A960&lt;PARAM!$B$55)</f>
        <v>0</v>
      </c>
      <c r="T960" s="10">
        <f t="shared" si="265"/>
        <v>1.0440241378696234E-5</v>
      </c>
      <c r="U960" s="10">
        <f>T960*P960*(A960&lt;PARAM!$B$55)</f>
        <v>0</v>
      </c>
      <c r="W960">
        <v>957</v>
      </c>
      <c r="X960" s="178">
        <f t="shared" si="279"/>
        <v>111</v>
      </c>
      <c r="Y960" s="178">
        <f t="shared" si="279"/>
        <v>111</v>
      </c>
      <c r="Z960" s="178">
        <f t="shared" si="279"/>
        <v>80</v>
      </c>
      <c r="AA960" s="178">
        <f t="shared" si="279"/>
        <v>80</v>
      </c>
      <c r="AD960" s="17">
        <f>CALC!E984*(A960&lt;PARAM!$B$55)</f>
        <v>0</v>
      </c>
      <c r="AE960">
        <f>IF(A960&lt;ITER!$C$16,1,PARAM!$C$53^-(RATES!A960-ITER!$C$16))*(A960&lt;PARAM!$B$55)</f>
        <v>0</v>
      </c>
    </row>
    <row r="961" spans="1:31" x14ac:dyDescent="0.2">
      <c r="A961" s="9">
        <v>958</v>
      </c>
      <c r="B961" s="178">
        <f t="shared" ref="B961:C980" si="282">B949+1</f>
        <v>111</v>
      </c>
      <c r="C961" s="178">
        <f t="shared" si="282"/>
        <v>111</v>
      </c>
      <c r="D961" s="2">
        <f>PARAM!$H$38</f>
        <v>1</v>
      </c>
      <c r="E961" s="11">
        <f>PARAM!$G$38</f>
        <v>0</v>
      </c>
      <c r="F961" s="11">
        <f>(VLOOKUP(C961,DEDN!$A$8:$O$902,$F$2)*D961+E961)/1000</f>
        <v>0.28441000000000005</v>
      </c>
      <c r="G961" s="178">
        <f t="shared" ref="G961:H980" si="283">G949+1</f>
        <v>80</v>
      </c>
      <c r="H961" s="178">
        <f t="shared" si="283"/>
        <v>80</v>
      </c>
      <c r="I961" s="2">
        <f>PARAM!$H$39</f>
        <v>0</v>
      </c>
      <c r="J961" s="11">
        <f>PARAM!$G$39</f>
        <v>0</v>
      </c>
      <c r="K961" s="11">
        <f>(VLOOKUP(H961,DEDN!$A$8:$O$902,$K$2)*I961+J961)/1000</f>
        <v>0</v>
      </c>
      <c r="L961" s="11">
        <f>MIN(IF(PARAM!$B$43=3,CHOOSE($L$2,F961,K961),F961+K961-F961*K961),1)</f>
        <v>0.28441000000000005</v>
      </c>
      <c r="M961" s="2">
        <f>PARAM!$I$38</f>
        <v>0</v>
      </c>
      <c r="N961" s="11">
        <f>VLOOKUP(B961,DEDN!$A$8:$O$90,$N$2)*M961</f>
        <v>0</v>
      </c>
      <c r="P961" s="10">
        <f>PARAM!$C$53^-A961</f>
        <v>1</v>
      </c>
      <c r="Q961" s="10">
        <f t="shared" si="281"/>
        <v>3.6917641727338677E-4</v>
      </c>
      <c r="R961" s="10">
        <f t="shared" si="280"/>
        <v>3.6917641727338677E-4</v>
      </c>
      <c r="S961" s="10">
        <f>CHOOSE(PARAM!$B$51,R961,0,0,0)*(A961&lt;PARAM!$B$55)</f>
        <v>0</v>
      </c>
      <c r="T961" s="10">
        <f t="shared" si="265"/>
        <v>1.0153113199357436E-5</v>
      </c>
      <c r="U961" s="10">
        <f>T961*P961*(A961&lt;PARAM!$B$55)</f>
        <v>0</v>
      </c>
      <c r="W961">
        <v>958</v>
      </c>
      <c r="X961" s="178">
        <f t="shared" ref="X961:AA980" si="284">X949+1</f>
        <v>111</v>
      </c>
      <c r="Y961" s="178">
        <f t="shared" si="284"/>
        <v>111</v>
      </c>
      <c r="Z961" s="178">
        <f t="shared" si="284"/>
        <v>80</v>
      </c>
      <c r="AA961" s="178">
        <f t="shared" si="284"/>
        <v>80</v>
      </c>
      <c r="AD961" s="17">
        <f>CALC!E985*(A961&lt;PARAM!$B$55)</f>
        <v>0</v>
      </c>
      <c r="AE961">
        <f>IF(A961&lt;ITER!$C$16,1,PARAM!$C$53^-(RATES!A961-ITER!$C$16))*(A961&lt;PARAM!$B$55)</f>
        <v>0</v>
      </c>
    </row>
    <row r="962" spans="1:31" x14ac:dyDescent="0.2">
      <c r="A962" s="9">
        <v>959</v>
      </c>
      <c r="B962" s="178">
        <f t="shared" si="282"/>
        <v>111</v>
      </c>
      <c r="C962" s="178">
        <f t="shared" si="282"/>
        <v>111</v>
      </c>
      <c r="D962" s="2">
        <f>PARAM!$H$38</f>
        <v>1</v>
      </c>
      <c r="E962" s="11">
        <f>PARAM!$G$38</f>
        <v>0</v>
      </c>
      <c r="F962" s="11">
        <f>(VLOOKUP(C962,DEDN!$A$8:$O$902,$F$2)*D962+E962)/1000</f>
        <v>0.28441000000000005</v>
      </c>
      <c r="G962" s="178">
        <f t="shared" si="283"/>
        <v>80</v>
      </c>
      <c r="H962" s="178">
        <f t="shared" si="283"/>
        <v>80</v>
      </c>
      <c r="I962" s="2">
        <f>PARAM!$H$39</f>
        <v>0</v>
      </c>
      <c r="J962" s="11">
        <f>PARAM!$G$39</f>
        <v>0</v>
      </c>
      <c r="K962" s="11">
        <f>(VLOOKUP(H962,DEDN!$A$8:$O$902,$K$2)*I962+J962)/1000</f>
        <v>0</v>
      </c>
      <c r="L962" s="11">
        <f>MIN(IF(PARAM!$B$43=3,CHOOSE($L$2,F962,K962),F962+K962-F962*K962),1)</f>
        <v>0.28441000000000005</v>
      </c>
      <c r="M962" s="2">
        <f>PARAM!$I$38</f>
        <v>0</v>
      </c>
      <c r="N962" s="11">
        <f>VLOOKUP(B962,DEDN!$A$8:$O$90,$N$2)*M962</f>
        <v>0</v>
      </c>
      <c r="P962" s="10">
        <f>PARAM!$C$53^-A962</f>
        <v>1</v>
      </c>
      <c r="Q962" s="10">
        <f t="shared" si="281"/>
        <v>3.5902330407402934E-4</v>
      </c>
      <c r="R962" s="10">
        <f t="shared" si="280"/>
        <v>3.5902330407402934E-4</v>
      </c>
      <c r="S962" s="10">
        <f>CHOOSE(PARAM!$B$51,R962,0,0,0)*(A962&lt;PARAM!$B$55)</f>
        <v>0</v>
      </c>
      <c r="T962" s="10">
        <f t="shared" si="265"/>
        <v>9.8738816373841157E-6</v>
      </c>
      <c r="U962" s="10">
        <f>T962*P962*(A962&lt;PARAM!$B$55)</f>
        <v>0</v>
      </c>
      <c r="W962">
        <v>959</v>
      </c>
      <c r="X962" s="178">
        <f t="shared" si="284"/>
        <v>111</v>
      </c>
      <c r="Y962" s="178">
        <f t="shared" si="284"/>
        <v>111</v>
      </c>
      <c r="Z962" s="178">
        <f t="shared" si="284"/>
        <v>80</v>
      </c>
      <c r="AA962" s="178">
        <f t="shared" si="284"/>
        <v>80</v>
      </c>
      <c r="AD962" s="17">
        <f>CALC!E986*(A962&lt;PARAM!$B$55)</f>
        <v>0</v>
      </c>
      <c r="AE962">
        <f>IF(A962&lt;ITER!$C$16,1,PARAM!$C$53^-(RATES!A962-ITER!$C$16))*(A962&lt;PARAM!$B$55)</f>
        <v>0</v>
      </c>
    </row>
    <row r="963" spans="1:31" x14ac:dyDescent="0.2">
      <c r="A963" s="9">
        <v>960</v>
      </c>
      <c r="B963" s="178">
        <f t="shared" si="282"/>
        <v>111</v>
      </c>
      <c r="C963" s="178">
        <f t="shared" si="282"/>
        <v>111</v>
      </c>
      <c r="D963" s="2">
        <f>PARAM!$H$38</f>
        <v>1</v>
      </c>
      <c r="E963" s="11">
        <f>PARAM!$G$38</f>
        <v>0</v>
      </c>
      <c r="F963" s="11">
        <f>(VLOOKUP(C963,DEDN!$A$8:$O$902,$F$2)*D963+E963)/1000</f>
        <v>0.28441000000000005</v>
      </c>
      <c r="G963" s="178">
        <f t="shared" si="283"/>
        <v>80</v>
      </c>
      <c r="H963" s="178">
        <f t="shared" si="283"/>
        <v>80</v>
      </c>
      <c r="I963" s="2">
        <f>PARAM!$H$39</f>
        <v>0</v>
      </c>
      <c r="J963" s="11">
        <f>PARAM!$G$39</f>
        <v>0</v>
      </c>
      <c r="K963" s="11">
        <f>(VLOOKUP(H963,DEDN!$A$8:$O$902,$K$2)*I963+J963)/1000</f>
        <v>0</v>
      </c>
      <c r="L963" s="11">
        <f>MIN(IF(PARAM!$B$43=3,CHOOSE($L$2,F963,K963),F963+K963-F963*K963),1)</f>
        <v>0.28441000000000005</v>
      </c>
      <c r="M963" s="2">
        <f>PARAM!$I$38</f>
        <v>0</v>
      </c>
      <c r="N963" s="11">
        <f>VLOOKUP(B963,DEDN!$A$8:$O$90,$N$2)*M963</f>
        <v>0</v>
      </c>
      <c r="P963" s="10">
        <f>PARAM!$C$53^-A963</f>
        <v>1</v>
      </c>
      <c r="Q963" s="10">
        <f t="shared" si="281"/>
        <v>3.4914942243664522E-4</v>
      </c>
      <c r="R963" s="10">
        <f t="shared" si="280"/>
        <v>3.4914942243664522E-4</v>
      </c>
      <c r="S963" s="10">
        <f>R963*(A963&lt;PARAM!$B$55)</f>
        <v>0</v>
      </c>
      <c r="T963" s="10">
        <f t="shared" si="265"/>
        <v>9.6023295195055342E-6</v>
      </c>
      <c r="U963" s="10">
        <f>T963*P963*(A963&lt;PARAM!$B$55)</f>
        <v>0</v>
      </c>
      <c r="W963">
        <v>960</v>
      </c>
      <c r="X963" s="178">
        <f t="shared" si="284"/>
        <v>111</v>
      </c>
      <c r="Y963" s="178">
        <f t="shared" si="284"/>
        <v>111</v>
      </c>
      <c r="Z963" s="178">
        <f t="shared" si="284"/>
        <v>80</v>
      </c>
      <c r="AA963" s="178">
        <f t="shared" si="284"/>
        <v>80</v>
      </c>
      <c r="AD963" s="17">
        <f>CALC!E987*(A963&lt;PARAM!$B$55)</f>
        <v>0</v>
      </c>
      <c r="AE963">
        <f>IF(A963&lt;ITER!$C$16,1,PARAM!$C$53^-(RATES!A963-ITER!$C$16))*(A963&lt;PARAM!$B$55)</f>
        <v>0</v>
      </c>
    </row>
    <row r="964" spans="1:31" x14ac:dyDescent="0.2">
      <c r="A964" s="9">
        <v>961</v>
      </c>
      <c r="B964" s="178">
        <f t="shared" si="282"/>
        <v>111</v>
      </c>
      <c r="C964" s="178">
        <f t="shared" si="282"/>
        <v>111</v>
      </c>
      <c r="D964" s="2">
        <f>PARAM!$H$38</f>
        <v>1</v>
      </c>
      <c r="E964" s="11">
        <f>PARAM!$G$38</f>
        <v>0</v>
      </c>
      <c r="F964" s="11">
        <f>(VLOOKUP(C964,DEDN!$A$8:$O$902,$F$2)*D964+E964)/1000</f>
        <v>0.28441000000000005</v>
      </c>
      <c r="G964" s="178">
        <f t="shared" si="283"/>
        <v>80</v>
      </c>
      <c r="H964" s="178">
        <f t="shared" si="283"/>
        <v>80</v>
      </c>
      <c r="I964" s="2">
        <f>PARAM!$H$39</f>
        <v>0</v>
      </c>
      <c r="J964" s="11">
        <f>PARAM!$G$39</f>
        <v>0</v>
      </c>
      <c r="K964" s="11">
        <f>(VLOOKUP(H964,DEDN!$A$8:$O$902,$K$2)*I964+J964)/1000</f>
        <v>0</v>
      </c>
      <c r="L964" s="11">
        <f>MIN(IF(PARAM!$B$43=3,CHOOSE($L$2,F964,K964),F964+K964-F964*K964),1)</f>
        <v>0.28441000000000005</v>
      </c>
      <c r="M964" s="2">
        <f>PARAM!$I$38</f>
        <v>0</v>
      </c>
      <c r="N964" s="11">
        <f>VLOOKUP(B964,DEDN!$A$8:$O$90,$N$2)*M964</f>
        <v>0</v>
      </c>
      <c r="P964" s="10">
        <f>PARAM!$C$53^-A964</f>
        <v>1</v>
      </c>
      <c r="Q964" s="10">
        <f t="shared" si="281"/>
        <v>3.3954709291713969E-4</v>
      </c>
      <c r="R964" s="10">
        <f t="shared" ref="R964:R979" si="285">P964*Q964</f>
        <v>3.3954709291713969E-4</v>
      </c>
      <c r="S964" s="10">
        <f>CHOOSE(PARAM!$B$51,R964,0,0,0)*(A964&lt;PARAM!$B$55)</f>
        <v>0</v>
      </c>
      <c r="T964" s="10">
        <f t="shared" ref="T964:T1003" si="286">Q964-Q965</f>
        <v>9.3382456451640517E-6</v>
      </c>
      <c r="U964" s="10">
        <f>T964*P964*(A964&lt;PARAM!$B$55)</f>
        <v>0</v>
      </c>
      <c r="W964">
        <v>961</v>
      </c>
      <c r="X964" s="178">
        <f t="shared" si="284"/>
        <v>111</v>
      </c>
      <c r="Y964" s="178">
        <f t="shared" si="284"/>
        <v>111</v>
      </c>
      <c r="Z964" s="178">
        <f t="shared" si="284"/>
        <v>80</v>
      </c>
      <c r="AA964" s="178">
        <f t="shared" si="284"/>
        <v>80</v>
      </c>
      <c r="AD964" s="17">
        <f>CALC!E988*(A964&lt;PARAM!$B$55)</f>
        <v>0</v>
      </c>
      <c r="AE964">
        <f>IF(A964&lt;ITER!$C$16,1,PARAM!$C$53^-(RATES!A964-ITER!$C$16))*(A964&lt;PARAM!$B$55)</f>
        <v>0</v>
      </c>
    </row>
    <row r="965" spans="1:31" x14ac:dyDescent="0.2">
      <c r="A965" s="9">
        <v>962</v>
      </c>
      <c r="B965" s="178">
        <f t="shared" si="282"/>
        <v>111</v>
      </c>
      <c r="C965" s="178">
        <f t="shared" si="282"/>
        <v>111</v>
      </c>
      <c r="D965" s="2">
        <f>PARAM!$H$38</f>
        <v>1</v>
      </c>
      <c r="E965" s="11">
        <f>PARAM!$G$38</f>
        <v>0</v>
      </c>
      <c r="F965" s="11">
        <f>(VLOOKUP(C965,DEDN!$A$8:$O$902,$F$2)*D965+E965)/1000</f>
        <v>0.28441000000000005</v>
      </c>
      <c r="G965" s="178">
        <f t="shared" si="283"/>
        <v>80</v>
      </c>
      <c r="H965" s="178">
        <f t="shared" si="283"/>
        <v>80</v>
      </c>
      <c r="I965" s="2">
        <f>PARAM!$H$39</f>
        <v>0</v>
      </c>
      <c r="J965" s="11">
        <f>PARAM!$G$39</f>
        <v>0</v>
      </c>
      <c r="K965" s="11">
        <f>(VLOOKUP(H965,DEDN!$A$8:$O$902,$K$2)*I965+J965)/1000</f>
        <v>0</v>
      </c>
      <c r="L965" s="11">
        <f>MIN(IF(PARAM!$B$43=3,CHOOSE($L$2,F965,K965),F965+K965-F965*K965),1)</f>
        <v>0.28441000000000005</v>
      </c>
      <c r="M965" s="2">
        <f>PARAM!$I$38</f>
        <v>0</v>
      </c>
      <c r="N965" s="11">
        <f>VLOOKUP(B965,DEDN!$A$8:$O$90,$N$2)*M965</f>
        <v>0</v>
      </c>
      <c r="P965" s="10">
        <f>PARAM!$C$53^-A965</f>
        <v>1</v>
      </c>
      <c r="Q965" s="10">
        <f t="shared" ref="Q965:Q980" si="287">Q964*(1-L964)^(1/12)</f>
        <v>3.3020884727197564E-4</v>
      </c>
      <c r="R965" s="10">
        <f t="shared" si="285"/>
        <v>3.3020884727197564E-4</v>
      </c>
      <c r="S965" s="10">
        <f>CHOOSE(PARAM!$B$51,R965,0,0,0)*(A965&lt;PARAM!$B$55)</f>
        <v>0</v>
      </c>
      <c r="T965" s="10">
        <f t="shared" si="286"/>
        <v>9.0814246222530796E-6</v>
      </c>
      <c r="U965" s="10">
        <f>T965*P965*(A965&lt;PARAM!$B$55)</f>
        <v>0</v>
      </c>
      <c r="W965">
        <v>962</v>
      </c>
      <c r="X965" s="178">
        <f t="shared" si="284"/>
        <v>111</v>
      </c>
      <c r="Y965" s="178">
        <f t="shared" si="284"/>
        <v>111</v>
      </c>
      <c r="Z965" s="178">
        <f t="shared" si="284"/>
        <v>80</v>
      </c>
      <c r="AA965" s="178">
        <f t="shared" si="284"/>
        <v>80</v>
      </c>
      <c r="AD965" s="17">
        <f>CALC!E989*(A965&lt;PARAM!$B$55)</f>
        <v>0</v>
      </c>
      <c r="AE965">
        <f>IF(A965&lt;ITER!$C$16,1,PARAM!$C$53^-(RATES!A965-ITER!$C$16))*(A965&lt;PARAM!$B$55)</f>
        <v>0</v>
      </c>
    </row>
    <row r="966" spans="1:31" x14ac:dyDescent="0.2">
      <c r="A966" s="9">
        <v>963</v>
      </c>
      <c r="B966" s="178">
        <f t="shared" si="282"/>
        <v>111</v>
      </c>
      <c r="C966" s="178">
        <f t="shared" si="282"/>
        <v>111</v>
      </c>
      <c r="D966" s="2">
        <f>PARAM!$H$38</f>
        <v>1</v>
      </c>
      <c r="E966" s="11">
        <f>PARAM!$G$38</f>
        <v>0</v>
      </c>
      <c r="F966" s="11">
        <f>(VLOOKUP(C966,DEDN!$A$8:$O$902,$F$2)*D966+E966)/1000</f>
        <v>0.28441000000000005</v>
      </c>
      <c r="G966" s="178">
        <f t="shared" si="283"/>
        <v>80</v>
      </c>
      <c r="H966" s="178">
        <f t="shared" si="283"/>
        <v>80</v>
      </c>
      <c r="I966" s="2">
        <f>PARAM!$H$39</f>
        <v>0</v>
      </c>
      <c r="J966" s="11">
        <f>PARAM!$G$39</f>
        <v>0</v>
      </c>
      <c r="K966" s="11">
        <f>(VLOOKUP(H966,DEDN!$A$8:$O$902,$K$2)*I966+J966)/1000</f>
        <v>0</v>
      </c>
      <c r="L966" s="11">
        <f>MIN(IF(PARAM!$B$43=3,CHOOSE($L$2,F966,K966),F966+K966-F966*K966),1)</f>
        <v>0.28441000000000005</v>
      </c>
      <c r="M966" s="2">
        <f>PARAM!$I$38</f>
        <v>0</v>
      </c>
      <c r="N966" s="11">
        <f>VLOOKUP(B966,DEDN!$A$8:$O$90,$N$2)*M966</f>
        <v>0</v>
      </c>
      <c r="P966" s="10">
        <f>PARAM!$C$53^-A966</f>
        <v>1</v>
      </c>
      <c r="Q966" s="10">
        <f t="shared" si="287"/>
        <v>3.2112742264972256E-4</v>
      </c>
      <c r="R966" s="10">
        <f t="shared" si="285"/>
        <v>3.2112742264972256E-4</v>
      </c>
      <c r="S966" s="10">
        <f>CHOOSE(PARAM!$B$51,R966,R966,0,0)*(A966&lt;PARAM!$B$55)</f>
        <v>0</v>
      </c>
      <c r="T966" s="10">
        <f t="shared" si="286"/>
        <v>8.831666707372792E-6</v>
      </c>
      <c r="U966" s="10">
        <f>T966*P966*(A966&lt;PARAM!$B$55)</f>
        <v>0</v>
      </c>
      <c r="W966">
        <v>963</v>
      </c>
      <c r="X966" s="178">
        <f t="shared" si="284"/>
        <v>111</v>
      </c>
      <c r="Y966" s="178">
        <f t="shared" si="284"/>
        <v>111</v>
      </c>
      <c r="Z966" s="178">
        <f t="shared" si="284"/>
        <v>80</v>
      </c>
      <c r="AA966" s="178">
        <f t="shared" si="284"/>
        <v>80</v>
      </c>
      <c r="AD966" s="17">
        <f>CALC!E990*(A966&lt;PARAM!$B$55)</f>
        <v>0</v>
      </c>
      <c r="AE966">
        <f>IF(A966&lt;ITER!$C$16,1,PARAM!$C$53^-(RATES!A966-ITER!$C$16))*(A966&lt;PARAM!$B$55)</f>
        <v>0</v>
      </c>
    </row>
    <row r="967" spans="1:31" x14ac:dyDescent="0.2">
      <c r="A967" s="9">
        <v>964</v>
      </c>
      <c r="B967" s="178">
        <f t="shared" si="282"/>
        <v>111</v>
      </c>
      <c r="C967" s="178">
        <f t="shared" si="282"/>
        <v>111</v>
      </c>
      <c r="D967" s="2">
        <f>PARAM!$H$38</f>
        <v>1</v>
      </c>
      <c r="E967" s="11">
        <f>PARAM!$G$38</f>
        <v>0</v>
      </c>
      <c r="F967" s="11">
        <f>(VLOOKUP(C967,DEDN!$A$8:$O$902,$F$2)*D967+E967)/1000</f>
        <v>0.28441000000000005</v>
      </c>
      <c r="G967" s="178">
        <f t="shared" si="283"/>
        <v>80</v>
      </c>
      <c r="H967" s="178">
        <f t="shared" si="283"/>
        <v>80</v>
      </c>
      <c r="I967" s="2">
        <f>PARAM!$H$39</f>
        <v>0</v>
      </c>
      <c r="J967" s="11">
        <f>PARAM!$G$39</f>
        <v>0</v>
      </c>
      <c r="K967" s="11">
        <f>(VLOOKUP(H967,DEDN!$A$8:$O$902,$K$2)*I967+J967)/1000</f>
        <v>0</v>
      </c>
      <c r="L967" s="11">
        <f>MIN(IF(PARAM!$B$43=3,CHOOSE($L$2,F967,K967),F967+K967-F967*K967),1)</f>
        <v>0.28441000000000005</v>
      </c>
      <c r="M967" s="2">
        <f>PARAM!$I$38</f>
        <v>0</v>
      </c>
      <c r="N967" s="11">
        <f>VLOOKUP(B967,DEDN!$A$8:$O$90,$N$2)*M967</f>
        <v>0</v>
      </c>
      <c r="P967" s="10">
        <f>PARAM!$C$53^-A967</f>
        <v>1</v>
      </c>
      <c r="Q967" s="10">
        <f t="shared" si="287"/>
        <v>3.1229575594234976E-4</v>
      </c>
      <c r="R967" s="10">
        <f t="shared" si="285"/>
        <v>3.1229575594234976E-4</v>
      </c>
      <c r="S967" s="10">
        <f>CHOOSE(PARAM!$B$51,R967,0,0,0)*(A967&lt;PARAM!$B$55)</f>
        <v>0</v>
      </c>
      <c r="T967" s="10">
        <f t="shared" si="286"/>
        <v>8.5887776504790249E-6</v>
      </c>
      <c r="U967" s="10">
        <f>T967*P967*(A967&lt;PARAM!$B$55)</f>
        <v>0</v>
      </c>
      <c r="W967">
        <v>964</v>
      </c>
      <c r="X967" s="178">
        <f t="shared" si="284"/>
        <v>111</v>
      </c>
      <c r="Y967" s="178">
        <f t="shared" si="284"/>
        <v>111</v>
      </c>
      <c r="Z967" s="178">
        <f t="shared" si="284"/>
        <v>80</v>
      </c>
      <c r="AA967" s="178">
        <f t="shared" si="284"/>
        <v>80</v>
      </c>
      <c r="AD967" s="17">
        <f>CALC!E991*(A967&lt;PARAM!$B$55)</f>
        <v>0</v>
      </c>
      <c r="AE967">
        <f>IF(A967&lt;ITER!$C$16,1,PARAM!$C$53^-(RATES!A967-ITER!$C$16))*(A967&lt;PARAM!$B$55)</f>
        <v>0</v>
      </c>
    </row>
    <row r="968" spans="1:31" x14ac:dyDescent="0.2">
      <c r="A968" s="9">
        <v>965</v>
      </c>
      <c r="B968" s="178">
        <f t="shared" si="282"/>
        <v>111</v>
      </c>
      <c r="C968" s="178">
        <f t="shared" si="282"/>
        <v>111</v>
      </c>
      <c r="D968" s="2">
        <f>PARAM!$H$38</f>
        <v>1</v>
      </c>
      <c r="E968" s="11">
        <f>PARAM!$G$38</f>
        <v>0</v>
      </c>
      <c r="F968" s="11">
        <f>(VLOOKUP(C968,DEDN!$A$8:$O$902,$F$2)*D968+E968)/1000</f>
        <v>0.28441000000000005</v>
      </c>
      <c r="G968" s="178">
        <f t="shared" si="283"/>
        <v>80</v>
      </c>
      <c r="H968" s="178">
        <f t="shared" si="283"/>
        <v>80</v>
      </c>
      <c r="I968" s="2">
        <f>PARAM!$H$39</f>
        <v>0</v>
      </c>
      <c r="J968" s="11">
        <f>PARAM!$G$39</f>
        <v>0</v>
      </c>
      <c r="K968" s="11">
        <f>(VLOOKUP(H968,DEDN!$A$8:$O$902,$K$2)*I968+J968)/1000</f>
        <v>0</v>
      </c>
      <c r="L968" s="11">
        <f>MIN(IF(PARAM!$B$43=3,CHOOSE($L$2,F968,K968),F968+K968-F968*K968),1)</f>
        <v>0.28441000000000005</v>
      </c>
      <c r="M968" s="2">
        <f>PARAM!$I$38</f>
        <v>0</v>
      </c>
      <c r="N968" s="11">
        <f>VLOOKUP(B968,DEDN!$A$8:$O$90,$N$2)*M968</f>
        <v>0</v>
      </c>
      <c r="P968" s="10">
        <f>PARAM!$C$53^-A968</f>
        <v>1</v>
      </c>
      <c r="Q968" s="10">
        <f t="shared" si="287"/>
        <v>3.0370697829187074E-4</v>
      </c>
      <c r="R968" s="10">
        <f t="shared" si="285"/>
        <v>3.0370697829187074E-4</v>
      </c>
      <c r="S968" s="10">
        <f>CHOOSE(PARAM!$B$51,R968,0,0,0)*(A968&lt;PARAM!$B$55)</f>
        <v>0</v>
      </c>
      <c r="T968" s="10">
        <f t="shared" si="286"/>
        <v>8.3525685438045824E-6</v>
      </c>
      <c r="U968" s="10">
        <f>T968*P968*(A968&lt;PARAM!$B$55)</f>
        <v>0</v>
      </c>
      <c r="W968">
        <v>965</v>
      </c>
      <c r="X968" s="178">
        <f t="shared" si="284"/>
        <v>111</v>
      </c>
      <c r="Y968" s="178">
        <f t="shared" si="284"/>
        <v>111</v>
      </c>
      <c r="Z968" s="178">
        <f t="shared" si="284"/>
        <v>80</v>
      </c>
      <c r="AA968" s="178">
        <f t="shared" si="284"/>
        <v>80</v>
      </c>
      <c r="AD968" s="17">
        <f>CALC!E992*(A968&lt;PARAM!$B$55)</f>
        <v>0</v>
      </c>
      <c r="AE968">
        <f>IF(A968&lt;ITER!$C$16,1,PARAM!$C$53^-(RATES!A968-ITER!$C$16))*(A968&lt;PARAM!$B$55)</f>
        <v>0</v>
      </c>
    </row>
    <row r="969" spans="1:31" x14ac:dyDescent="0.2">
      <c r="A969" s="9">
        <v>966</v>
      </c>
      <c r="B969" s="178">
        <f t="shared" si="282"/>
        <v>112</v>
      </c>
      <c r="C969" s="178">
        <f t="shared" si="282"/>
        <v>112</v>
      </c>
      <c r="D969" s="2">
        <f>PARAM!$H$38</f>
        <v>1</v>
      </c>
      <c r="E969" s="11">
        <f>PARAM!$G$38</f>
        <v>0</v>
      </c>
      <c r="F969" s="11">
        <f>(VLOOKUP(C969,DEDN!$A$8:$O$902,$F$2)*D969+E969)/1000</f>
        <v>0.28441000000000005</v>
      </c>
      <c r="G969" s="178">
        <f t="shared" si="283"/>
        <v>81</v>
      </c>
      <c r="H969" s="178">
        <f t="shared" si="283"/>
        <v>81</v>
      </c>
      <c r="I969" s="2">
        <f>PARAM!$H$39</f>
        <v>0</v>
      </c>
      <c r="J969" s="11">
        <f>PARAM!$G$39</f>
        <v>0</v>
      </c>
      <c r="K969" s="11">
        <f>(VLOOKUP(H969,DEDN!$A$8:$O$902,$K$2)*I969+J969)/1000</f>
        <v>0</v>
      </c>
      <c r="L969" s="11">
        <f>MIN(IF(PARAM!$B$43=3,CHOOSE($L$2,F969,K969),F969+K969-F969*K969),1)</f>
        <v>0.28441000000000005</v>
      </c>
      <c r="M969" s="2">
        <f>PARAM!$I$38</f>
        <v>0</v>
      </c>
      <c r="N969" s="11">
        <f>VLOOKUP(B969,DEDN!$A$8:$O$90,$N$2)*M969</f>
        <v>0</v>
      </c>
      <c r="P969" s="10">
        <f>PARAM!$C$53^-A969</f>
        <v>1</v>
      </c>
      <c r="Q969" s="10">
        <f t="shared" si="287"/>
        <v>2.9535440974806616E-4</v>
      </c>
      <c r="R969" s="10">
        <f t="shared" si="285"/>
        <v>2.9535440974806616E-4</v>
      </c>
      <c r="S969" s="10">
        <f>CHOOSE(PARAM!$B$51,R969,R969,R969,0)*(A969&lt;PARAM!$B$55)</f>
        <v>0</v>
      </c>
      <c r="T969" s="10">
        <f t="shared" si="286"/>
        <v>8.1228556749355849E-6</v>
      </c>
      <c r="U969" s="10">
        <f>T969*P969*(A969&lt;PARAM!$B$55)</f>
        <v>0</v>
      </c>
      <c r="W969">
        <v>966</v>
      </c>
      <c r="X969" s="178">
        <f t="shared" si="284"/>
        <v>112</v>
      </c>
      <c r="Y969" s="178">
        <f t="shared" si="284"/>
        <v>112</v>
      </c>
      <c r="Z969" s="178">
        <f t="shared" si="284"/>
        <v>81</v>
      </c>
      <c r="AA969" s="178">
        <f t="shared" si="284"/>
        <v>81</v>
      </c>
      <c r="AD969" s="17">
        <f>CALC!E993*(A969&lt;PARAM!$B$55)</f>
        <v>0</v>
      </c>
      <c r="AE969">
        <f>IF(A969&lt;ITER!$C$16,1,PARAM!$C$53^-(RATES!A969-ITER!$C$16))*(A969&lt;PARAM!$B$55)</f>
        <v>0</v>
      </c>
    </row>
    <row r="970" spans="1:31" x14ac:dyDescent="0.2">
      <c r="A970" s="9">
        <v>967</v>
      </c>
      <c r="B970" s="178">
        <f t="shared" si="282"/>
        <v>112</v>
      </c>
      <c r="C970" s="178">
        <f t="shared" si="282"/>
        <v>112</v>
      </c>
      <c r="D970" s="2">
        <f>PARAM!$H$38</f>
        <v>1</v>
      </c>
      <c r="E970" s="11">
        <f>PARAM!$G$38</f>
        <v>0</v>
      </c>
      <c r="F970" s="11">
        <f>(VLOOKUP(C970,DEDN!$A$8:$O$902,$F$2)*D970+E970)/1000</f>
        <v>0.28441000000000005</v>
      </c>
      <c r="G970" s="178">
        <f t="shared" si="283"/>
        <v>81</v>
      </c>
      <c r="H970" s="178">
        <f t="shared" si="283"/>
        <v>81</v>
      </c>
      <c r="I970" s="2">
        <f>PARAM!$H$39</f>
        <v>0</v>
      </c>
      <c r="J970" s="11">
        <f>PARAM!$G$39</f>
        <v>0</v>
      </c>
      <c r="K970" s="11">
        <f>(VLOOKUP(H970,DEDN!$A$8:$O$902,$K$2)*I970+J970)/1000</f>
        <v>0</v>
      </c>
      <c r="L970" s="11">
        <f>MIN(IF(PARAM!$B$43=3,CHOOSE($L$2,F970,K970),F970+K970-F970*K970),1)</f>
        <v>0.28441000000000005</v>
      </c>
      <c r="M970" s="2">
        <f>PARAM!$I$38</f>
        <v>0</v>
      </c>
      <c r="N970" s="11">
        <f>VLOOKUP(B970,DEDN!$A$8:$O$90,$N$2)*M970</f>
        <v>0</v>
      </c>
      <c r="P970" s="10">
        <f>PARAM!$C$53^-A970</f>
        <v>1</v>
      </c>
      <c r="Q970" s="10">
        <f t="shared" si="287"/>
        <v>2.8723155407313057E-4</v>
      </c>
      <c r="R970" s="10">
        <f t="shared" si="285"/>
        <v>2.8723155407313057E-4</v>
      </c>
      <c r="S970" s="10">
        <f>CHOOSE(PARAM!$B$51,R970,0,0,0)*(A970&lt;PARAM!$B$55)</f>
        <v>0</v>
      </c>
      <c r="T970" s="10">
        <f t="shared" si="286"/>
        <v>7.8994603839286932E-6</v>
      </c>
      <c r="U970" s="10">
        <f>T970*P970*(A970&lt;PARAM!$B$55)</f>
        <v>0</v>
      </c>
      <c r="W970">
        <v>967</v>
      </c>
      <c r="X970" s="178">
        <f t="shared" si="284"/>
        <v>112</v>
      </c>
      <c r="Y970" s="178">
        <f t="shared" si="284"/>
        <v>112</v>
      </c>
      <c r="Z970" s="178">
        <f t="shared" si="284"/>
        <v>81</v>
      </c>
      <c r="AA970" s="178">
        <f t="shared" si="284"/>
        <v>81</v>
      </c>
      <c r="AD970" s="17">
        <f>CALC!E994*(A970&lt;PARAM!$B$55)</f>
        <v>0</v>
      </c>
      <c r="AE970">
        <f>IF(A970&lt;ITER!$C$16,1,PARAM!$C$53^-(RATES!A970-ITER!$C$16))*(A970&lt;PARAM!$B$55)</f>
        <v>0</v>
      </c>
    </row>
    <row r="971" spans="1:31" x14ac:dyDescent="0.2">
      <c r="A971" s="9">
        <v>968</v>
      </c>
      <c r="B971" s="178">
        <f t="shared" si="282"/>
        <v>112</v>
      </c>
      <c r="C971" s="178">
        <f t="shared" si="282"/>
        <v>112</v>
      </c>
      <c r="D971" s="2">
        <f>PARAM!$H$38</f>
        <v>1</v>
      </c>
      <c r="E971" s="11">
        <f>PARAM!$G$38</f>
        <v>0</v>
      </c>
      <c r="F971" s="11">
        <f>(VLOOKUP(C971,DEDN!$A$8:$O$902,$F$2)*D971+E971)/1000</f>
        <v>0.28441000000000005</v>
      </c>
      <c r="G971" s="178">
        <f t="shared" si="283"/>
        <v>81</v>
      </c>
      <c r="H971" s="178">
        <f t="shared" si="283"/>
        <v>81</v>
      </c>
      <c r="I971" s="2">
        <f>PARAM!$H$39</f>
        <v>0</v>
      </c>
      <c r="J971" s="11">
        <f>PARAM!$G$39</f>
        <v>0</v>
      </c>
      <c r="K971" s="11">
        <f>(VLOOKUP(H971,DEDN!$A$8:$O$902,$K$2)*I971+J971)/1000</f>
        <v>0</v>
      </c>
      <c r="L971" s="11">
        <f>MIN(IF(PARAM!$B$43=3,CHOOSE($L$2,F971,K971),F971+K971-F971*K971),1)</f>
        <v>0.28441000000000005</v>
      </c>
      <c r="M971" s="2">
        <f>PARAM!$I$38</f>
        <v>0</v>
      </c>
      <c r="N971" s="11">
        <f>VLOOKUP(B971,DEDN!$A$8:$O$90,$N$2)*M971</f>
        <v>0</v>
      </c>
      <c r="P971" s="10">
        <f>PARAM!$C$53^-A971</f>
        <v>1</v>
      </c>
      <c r="Q971" s="10">
        <f t="shared" si="287"/>
        <v>2.7933209368920188E-4</v>
      </c>
      <c r="R971" s="10">
        <f t="shared" si="285"/>
        <v>2.7933209368920188E-4</v>
      </c>
      <c r="S971" s="10">
        <f>CHOOSE(PARAM!$B$51,R971,0,0,0)*(A971&lt;PARAM!$B$55)</f>
        <v>0</v>
      </c>
      <c r="T971" s="10">
        <f t="shared" si="286"/>
        <v>7.6822089243576441E-6</v>
      </c>
      <c r="U971" s="10">
        <f>T971*P971*(A971&lt;PARAM!$B$55)</f>
        <v>0</v>
      </c>
      <c r="W971">
        <v>968</v>
      </c>
      <c r="X971" s="178">
        <f t="shared" si="284"/>
        <v>112</v>
      </c>
      <c r="Y971" s="178">
        <f t="shared" si="284"/>
        <v>112</v>
      </c>
      <c r="Z971" s="178">
        <f t="shared" si="284"/>
        <v>81</v>
      </c>
      <c r="AA971" s="178">
        <f t="shared" si="284"/>
        <v>81</v>
      </c>
      <c r="AD971" s="17">
        <f>CALC!E995*(A971&lt;PARAM!$B$55)</f>
        <v>0</v>
      </c>
      <c r="AE971">
        <f>IF(A971&lt;ITER!$C$16,1,PARAM!$C$53^-(RATES!A971-ITER!$C$16))*(A971&lt;PARAM!$B$55)</f>
        <v>0</v>
      </c>
    </row>
    <row r="972" spans="1:31" x14ac:dyDescent="0.2">
      <c r="A972" s="9">
        <v>969</v>
      </c>
      <c r="B972" s="178">
        <f t="shared" si="282"/>
        <v>112</v>
      </c>
      <c r="C972" s="178">
        <f t="shared" si="282"/>
        <v>112</v>
      </c>
      <c r="D972" s="2">
        <f>PARAM!$H$38</f>
        <v>1</v>
      </c>
      <c r="E972" s="11">
        <f>PARAM!$G$38</f>
        <v>0</v>
      </c>
      <c r="F972" s="11">
        <f>(VLOOKUP(C972,DEDN!$A$8:$O$902,$F$2)*D972+E972)/1000</f>
        <v>0.28441000000000005</v>
      </c>
      <c r="G972" s="178">
        <f t="shared" si="283"/>
        <v>81</v>
      </c>
      <c r="H972" s="178">
        <f t="shared" si="283"/>
        <v>81</v>
      </c>
      <c r="I972" s="2">
        <f>PARAM!$H$39</f>
        <v>0</v>
      </c>
      <c r="J972" s="11">
        <f>PARAM!$G$39</f>
        <v>0</v>
      </c>
      <c r="K972" s="11">
        <f>(VLOOKUP(H972,DEDN!$A$8:$O$902,$K$2)*I972+J972)/1000</f>
        <v>0</v>
      </c>
      <c r="L972" s="11">
        <f>MIN(IF(PARAM!$B$43=3,CHOOSE($L$2,F972,K972),F972+K972-F972*K972),1)</f>
        <v>0.28441000000000005</v>
      </c>
      <c r="M972" s="2">
        <f>PARAM!$I$38</f>
        <v>0</v>
      </c>
      <c r="N972" s="11">
        <f>VLOOKUP(B972,DEDN!$A$8:$O$90,$N$2)*M972</f>
        <v>0</v>
      </c>
      <c r="P972" s="10">
        <f>PARAM!$C$53^-A972</f>
        <v>1</v>
      </c>
      <c r="Q972" s="10">
        <f t="shared" si="287"/>
        <v>2.7164988476484423E-4</v>
      </c>
      <c r="R972" s="10">
        <f t="shared" si="285"/>
        <v>2.7164988476484423E-4</v>
      </c>
      <c r="S972" s="10">
        <f>CHOOSE(PARAM!$B$51,R972,R972,0,0)*(A972&lt;PARAM!$B$55)</f>
        <v>0</v>
      </c>
      <c r="T972" s="10">
        <f t="shared" si="286"/>
        <v>7.4709323281812188E-6</v>
      </c>
      <c r="U972" s="10">
        <f>T972*P972*(A972&lt;PARAM!$B$55)</f>
        <v>0</v>
      </c>
      <c r="W972">
        <v>969</v>
      </c>
      <c r="X972" s="178">
        <f t="shared" si="284"/>
        <v>112</v>
      </c>
      <c r="Y972" s="178">
        <f t="shared" si="284"/>
        <v>112</v>
      </c>
      <c r="Z972" s="178">
        <f t="shared" si="284"/>
        <v>81</v>
      </c>
      <c r="AA972" s="178">
        <f t="shared" si="284"/>
        <v>81</v>
      </c>
      <c r="AD972" s="17">
        <f>CALC!E996*(A972&lt;PARAM!$B$55)</f>
        <v>0</v>
      </c>
      <c r="AE972">
        <f>IF(A972&lt;ITER!$C$16,1,PARAM!$C$53^-(RATES!A972-ITER!$C$16))*(A972&lt;PARAM!$B$55)</f>
        <v>0</v>
      </c>
    </row>
    <row r="973" spans="1:31" x14ac:dyDescent="0.2">
      <c r="A973" s="9">
        <v>970</v>
      </c>
      <c r="B973" s="178">
        <f t="shared" si="282"/>
        <v>112</v>
      </c>
      <c r="C973" s="178">
        <f t="shared" si="282"/>
        <v>112</v>
      </c>
      <c r="D973" s="2">
        <f>PARAM!$H$38</f>
        <v>1</v>
      </c>
      <c r="E973" s="11">
        <f>PARAM!$G$38</f>
        <v>0</v>
      </c>
      <c r="F973" s="11">
        <f>(VLOOKUP(C973,DEDN!$A$8:$O$902,$F$2)*D973+E973)/1000</f>
        <v>0.28441000000000005</v>
      </c>
      <c r="G973" s="178">
        <f t="shared" si="283"/>
        <v>81</v>
      </c>
      <c r="H973" s="178">
        <f t="shared" si="283"/>
        <v>81</v>
      </c>
      <c r="I973" s="2">
        <f>PARAM!$H$39</f>
        <v>0</v>
      </c>
      <c r="J973" s="11">
        <f>PARAM!$G$39</f>
        <v>0</v>
      </c>
      <c r="K973" s="11">
        <f>(VLOOKUP(H973,DEDN!$A$8:$O$902,$K$2)*I973+J973)/1000</f>
        <v>0</v>
      </c>
      <c r="L973" s="11">
        <f>MIN(IF(PARAM!$B$43=3,CHOOSE($L$2,F973,K973),F973+K973-F973*K973),1)</f>
        <v>0.28441000000000005</v>
      </c>
      <c r="M973" s="2">
        <f>PARAM!$I$38</f>
        <v>0</v>
      </c>
      <c r="N973" s="11">
        <f>VLOOKUP(B973,DEDN!$A$8:$O$90,$N$2)*M973</f>
        <v>0</v>
      </c>
      <c r="P973" s="10">
        <f>PARAM!$C$53^-A973</f>
        <v>1</v>
      </c>
      <c r="Q973" s="10">
        <f t="shared" si="287"/>
        <v>2.6417895243666302E-4</v>
      </c>
      <c r="R973" s="10">
        <f t="shared" si="285"/>
        <v>2.6417895243666302E-4</v>
      </c>
      <c r="S973" s="10">
        <f>CHOOSE(PARAM!$B$51,R973,0,0,0)*(A973&lt;PARAM!$B$55)</f>
        <v>0</v>
      </c>
      <c r="T973" s="10">
        <f t="shared" si="286"/>
        <v>7.2654662743281816E-6</v>
      </c>
      <c r="U973" s="10">
        <f>T973*P973*(A973&lt;PARAM!$B$55)</f>
        <v>0</v>
      </c>
      <c r="W973">
        <v>970</v>
      </c>
      <c r="X973" s="178">
        <f t="shared" si="284"/>
        <v>112</v>
      </c>
      <c r="Y973" s="178">
        <f t="shared" si="284"/>
        <v>112</v>
      </c>
      <c r="Z973" s="178">
        <f t="shared" si="284"/>
        <v>81</v>
      </c>
      <c r="AA973" s="178">
        <f t="shared" si="284"/>
        <v>81</v>
      </c>
      <c r="AD973" s="17">
        <f>CALC!E997*(A973&lt;PARAM!$B$55)</f>
        <v>0</v>
      </c>
      <c r="AE973">
        <f>IF(A973&lt;ITER!$C$16,1,PARAM!$C$53^-(RATES!A973-ITER!$C$16))*(A973&lt;PARAM!$B$55)</f>
        <v>0</v>
      </c>
    </row>
    <row r="974" spans="1:31" x14ac:dyDescent="0.2">
      <c r="A974" s="9">
        <v>971</v>
      </c>
      <c r="B974" s="178">
        <f t="shared" si="282"/>
        <v>112</v>
      </c>
      <c r="C974" s="178">
        <f t="shared" si="282"/>
        <v>112</v>
      </c>
      <c r="D974" s="2">
        <f>PARAM!$H$38</f>
        <v>1</v>
      </c>
      <c r="E974" s="11">
        <f>PARAM!$G$38</f>
        <v>0</v>
      </c>
      <c r="F974" s="11">
        <f>(VLOOKUP(C974,DEDN!$A$8:$O$902,$F$2)*D974+E974)/1000</f>
        <v>0.28441000000000005</v>
      </c>
      <c r="G974" s="178">
        <f t="shared" si="283"/>
        <v>81</v>
      </c>
      <c r="H974" s="178">
        <f t="shared" si="283"/>
        <v>81</v>
      </c>
      <c r="I974" s="2">
        <f>PARAM!$H$39</f>
        <v>0</v>
      </c>
      <c r="J974" s="11">
        <f>PARAM!$G$39</f>
        <v>0</v>
      </c>
      <c r="K974" s="11">
        <f>(VLOOKUP(H974,DEDN!$A$8:$O$902,$K$2)*I974+J974)/1000</f>
        <v>0</v>
      </c>
      <c r="L974" s="11">
        <f>MIN(IF(PARAM!$B$43=3,CHOOSE($L$2,F974,K974),F974+K974-F974*K974),1)</f>
        <v>0.28441000000000005</v>
      </c>
      <c r="M974" s="2">
        <f>PARAM!$I$38</f>
        <v>0</v>
      </c>
      <c r="N974" s="11">
        <f>VLOOKUP(B974,DEDN!$A$8:$O$90,$N$2)*M974</f>
        <v>0</v>
      </c>
      <c r="P974" s="10">
        <f>PARAM!$C$53^-A974</f>
        <v>1</v>
      </c>
      <c r="Q974" s="10">
        <f t="shared" si="287"/>
        <v>2.5691348616233483E-4</v>
      </c>
      <c r="R974" s="10">
        <f t="shared" si="285"/>
        <v>2.5691348616233483E-4</v>
      </c>
      <c r="S974" s="10">
        <f>CHOOSE(PARAM!$B$51,R974,0,0,0)*(A974&lt;PARAM!$B$55)</f>
        <v>0</v>
      </c>
      <c r="T974" s="10">
        <f t="shared" si="286"/>
        <v>7.0656509608957026E-6</v>
      </c>
      <c r="U974" s="10">
        <f>T974*P974*(A974&lt;PARAM!$B$55)</f>
        <v>0</v>
      </c>
      <c r="W974">
        <v>971</v>
      </c>
      <c r="X974" s="178">
        <f t="shared" si="284"/>
        <v>112</v>
      </c>
      <c r="Y974" s="178">
        <f t="shared" si="284"/>
        <v>112</v>
      </c>
      <c r="Z974" s="178">
        <f t="shared" si="284"/>
        <v>81</v>
      </c>
      <c r="AA974" s="178">
        <f t="shared" si="284"/>
        <v>81</v>
      </c>
      <c r="AD974" s="17">
        <f>CALC!E998*(A974&lt;PARAM!$B$55)</f>
        <v>0</v>
      </c>
      <c r="AE974">
        <f>IF(A974&lt;ITER!$C$16,1,PARAM!$C$53^-(RATES!A974-ITER!$C$16))*(A974&lt;PARAM!$B$55)</f>
        <v>0</v>
      </c>
    </row>
    <row r="975" spans="1:31" x14ac:dyDescent="0.2">
      <c r="A975" s="9">
        <v>972</v>
      </c>
      <c r="B975" s="178">
        <f t="shared" si="282"/>
        <v>112</v>
      </c>
      <c r="C975" s="178">
        <f t="shared" si="282"/>
        <v>112</v>
      </c>
      <c r="D975" s="2">
        <f>PARAM!$H$38</f>
        <v>1</v>
      </c>
      <c r="E975" s="11">
        <f>PARAM!$G$38</f>
        <v>0</v>
      </c>
      <c r="F975" s="11">
        <f>(VLOOKUP(C975,DEDN!$A$8:$O$902,$F$2)*D975+E975)/1000</f>
        <v>0.28441000000000005</v>
      </c>
      <c r="G975" s="178">
        <f t="shared" si="283"/>
        <v>81</v>
      </c>
      <c r="H975" s="178">
        <f t="shared" si="283"/>
        <v>81</v>
      </c>
      <c r="I975" s="2">
        <f>PARAM!$H$39</f>
        <v>0</v>
      </c>
      <c r="J975" s="11">
        <f>PARAM!$G$39</f>
        <v>0</v>
      </c>
      <c r="K975" s="11">
        <f>(VLOOKUP(H975,DEDN!$A$8:$O$902,$K$2)*I975+J975)/1000</f>
        <v>0</v>
      </c>
      <c r="L975" s="11">
        <f>MIN(IF(PARAM!$B$43=3,CHOOSE($L$2,F975,K975),F975+K975-F975*K975),1)</f>
        <v>0.28441000000000005</v>
      </c>
      <c r="M975" s="2">
        <f>PARAM!$I$38</f>
        <v>0</v>
      </c>
      <c r="N975" s="11">
        <f>VLOOKUP(B975,DEDN!$A$8:$O$90,$N$2)*M975</f>
        <v>0</v>
      </c>
      <c r="P975" s="10">
        <f>PARAM!$C$53^-A975</f>
        <v>1</v>
      </c>
      <c r="Q975" s="10">
        <f t="shared" si="287"/>
        <v>2.4984783520143913E-4</v>
      </c>
      <c r="R975" s="10">
        <f t="shared" si="285"/>
        <v>2.4984783520143913E-4</v>
      </c>
      <c r="S975" s="10">
        <f>R975*(A975&lt;PARAM!$B$55)</f>
        <v>0</v>
      </c>
      <c r="T975" s="10">
        <f t="shared" si="286"/>
        <v>6.8713309808629791E-6</v>
      </c>
      <c r="U975" s="10">
        <f>T975*P975*(A975&lt;PARAM!$B$55)</f>
        <v>0</v>
      </c>
      <c r="W975">
        <v>972</v>
      </c>
      <c r="X975" s="178">
        <f t="shared" si="284"/>
        <v>112</v>
      </c>
      <c r="Y975" s="178">
        <f t="shared" si="284"/>
        <v>112</v>
      </c>
      <c r="Z975" s="178">
        <f t="shared" si="284"/>
        <v>81</v>
      </c>
      <c r="AA975" s="178">
        <f t="shared" si="284"/>
        <v>81</v>
      </c>
      <c r="AD975" s="17">
        <f>CALC!E999*(A975&lt;PARAM!$B$55)</f>
        <v>0</v>
      </c>
      <c r="AE975">
        <f>IF(A975&lt;ITER!$C$16,1,PARAM!$C$53^-(RATES!A975-ITER!$C$16))*(A975&lt;PARAM!$B$55)</f>
        <v>0</v>
      </c>
    </row>
    <row r="976" spans="1:31" x14ac:dyDescent="0.2">
      <c r="A976" s="9">
        <v>973</v>
      </c>
      <c r="B976" s="178">
        <f t="shared" si="282"/>
        <v>112</v>
      </c>
      <c r="C976" s="178">
        <f t="shared" si="282"/>
        <v>112</v>
      </c>
      <c r="D976" s="2">
        <f>PARAM!$H$38</f>
        <v>1</v>
      </c>
      <c r="E976" s="11">
        <f>PARAM!$G$38</f>
        <v>0</v>
      </c>
      <c r="F976" s="11">
        <f>(VLOOKUP(C976,DEDN!$A$8:$O$902,$F$2)*D976+E976)/1000</f>
        <v>0.28441000000000005</v>
      </c>
      <c r="G976" s="178">
        <f t="shared" si="283"/>
        <v>81</v>
      </c>
      <c r="H976" s="178">
        <f t="shared" si="283"/>
        <v>81</v>
      </c>
      <c r="I976" s="2">
        <f>PARAM!$H$39</f>
        <v>0</v>
      </c>
      <c r="J976" s="11">
        <f>PARAM!$G$39</f>
        <v>0</v>
      </c>
      <c r="K976" s="11">
        <f>(VLOOKUP(H976,DEDN!$A$8:$O$902,$K$2)*I976+J976)/1000</f>
        <v>0</v>
      </c>
      <c r="L976" s="11">
        <f>MIN(IF(PARAM!$B$43=3,CHOOSE($L$2,F976,K976),F976+K976-F976*K976),1)</f>
        <v>0.28441000000000005</v>
      </c>
      <c r="M976" s="2">
        <f>PARAM!$I$38</f>
        <v>0</v>
      </c>
      <c r="N976" s="11">
        <f>VLOOKUP(B976,DEDN!$A$8:$O$90,$N$2)*M976</f>
        <v>0</v>
      </c>
      <c r="P976" s="10">
        <f>PARAM!$C$53^-A976</f>
        <v>1</v>
      </c>
      <c r="Q976" s="10">
        <f t="shared" si="287"/>
        <v>2.4297650422057615E-4</v>
      </c>
      <c r="R976" s="10">
        <f t="shared" si="285"/>
        <v>2.4297650422057615E-4</v>
      </c>
      <c r="S976" s="10">
        <f>CHOOSE(PARAM!$B$51,R976,0,0,0)*(A976&lt;PARAM!$B$55)</f>
        <v>0</v>
      </c>
      <c r="T976" s="10">
        <f t="shared" si="286"/>
        <v>6.6823552012229418E-6</v>
      </c>
      <c r="U976" s="10">
        <f>T976*P976*(A976&lt;PARAM!$B$55)</f>
        <v>0</v>
      </c>
      <c r="W976">
        <v>973</v>
      </c>
      <c r="X976" s="178">
        <f t="shared" si="284"/>
        <v>112</v>
      </c>
      <c r="Y976" s="178">
        <f t="shared" si="284"/>
        <v>112</v>
      </c>
      <c r="Z976" s="178">
        <f t="shared" si="284"/>
        <v>81</v>
      </c>
      <c r="AA976" s="178">
        <f t="shared" si="284"/>
        <v>81</v>
      </c>
      <c r="AD976" s="17">
        <f>CALC!E1000*(A976&lt;PARAM!$B$55)</f>
        <v>0</v>
      </c>
      <c r="AE976">
        <f>IF(A976&lt;ITER!$C$16,1,PARAM!$C$53^-(RATES!A976-ITER!$C$16))*(A976&lt;PARAM!$B$55)</f>
        <v>0</v>
      </c>
    </row>
    <row r="977" spans="1:31" x14ac:dyDescent="0.2">
      <c r="A977" s="9">
        <v>974</v>
      </c>
      <c r="B977" s="178">
        <f t="shared" si="282"/>
        <v>112</v>
      </c>
      <c r="C977" s="178">
        <f t="shared" si="282"/>
        <v>112</v>
      </c>
      <c r="D977" s="2">
        <f>PARAM!$H$38</f>
        <v>1</v>
      </c>
      <c r="E977" s="11">
        <f>PARAM!$G$38</f>
        <v>0</v>
      </c>
      <c r="F977" s="11">
        <f>(VLOOKUP(C977,DEDN!$A$8:$O$902,$F$2)*D977+E977)/1000</f>
        <v>0.28441000000000005</v>
      </c>
      <c r="G977" s="178">
        <f t="shared" si="283"/>
        <v>81</v>
      </c>
      <c r="H977" s="178">
        <f t="shared" si="283"/>
        <v>81</v>
      </c>
      <c r="I977" s="2">
        <f>PARAM!$H$39</f>
        <v>0</v>
      </c>
      <c r="J977" s="11">
        <f>PARAM!$G$39</f>
        <v>0</v>
      </c>
      <c r="K977" s="11">
        <f>(VLOOKUP(H977,DEDN!$A$8:$O$902,$K$2)*I977+J977)/1000</f>
        <v>0</v>
      </c>
      <c r="L977" s="11">
        <f>MIN(IF(PARAM!$B$43=3,CHOOSE($L$2,F977,K977),F977+K977-F977*K977),1)</f>
        <v>0.28441000000000005</v>
      </c>
      <c r="M977" s="2">
        <f>PARAM!$I$38</f>
        <v>0</v>
      </c>
      <c r="N977" s="11">
        <f>VLOOKUP(B977,DEDN!$A$8:$O$90,$N$2)*M977</f>
        <v>0</v>
      </c>
      <c r="P977" s="10">
        <f>PARAM!$C$53^-A977</f>
        <v>1</v>
      </c>
      <c r="Q977" s="10">
        <f t="shared" si="287"/>
        <v>2.3629414901935321E-4</v>
      </c>
      <c r="R977" s="10">
        <f t="shared" si="285"/>
        <v>2.3629414901935321E-4</v>
      </c>
      <c r="S977" s="10">
        <f>CHOOSE(PARAM!$B$51,R977,0,0,0)*(A977&lt;PARAM!$B$55)</f>
        <v>0</v>
      </c>
      <c r="T977" s="10">
        <f t="shared" si="286"/>
        <v>6.4985766454380691E-6</v>
      </c>
      <c r="U977" s="10">
        <f>T977*P977*(A977&lt;PARAM!$B$55)</f>
        <v>0</v>
      </c>
      <c r="W977">
        <v>974</v>
      </c>
      <c r="X977" s="178">
        <f t="shared" si="284"/>
        <v>112</v>
      </c>
      <c r="Y977" s="178">
        <f t="shared" si="284"/>
        <v>112</v>
      </c>
      <c r="Z977" s="178">
        <f t="shared" si="284"/>
        <v>81</v>
      </c>
      <c r="AA977" s="178">
        <f t="shared" si="284"/>
        <v>81</v>
      </c>
      <c r="AD977" s="17">
        <f>CALC!E1001*(A977&lt;PARAM!$B$55)</f>
        <v>0</v>
      </c>
      <c r="AE977">
        <f>IF(A977&lt;ITER!$C$16,1,PARAM!$C$53^-(RATES!A977-ITER!$C$16))*(A977&lt;PARAM!$B$55)</f>
        <v>0</v>
      </c>
    </row>
    <row r="978" spans="1:31" x14ac:dyDescent="0.2">
      <c r="A978" s="9">
        <v>975</v>
      </c>
      <c r="B978" s="178">
        <f t="shared" si="282"/>
        <v>112</v>
      </c>
      <c r="C978" s="178">
        <f t="shared" si="282"/>
        <v>112</v>
      </c>
      <c r="D978" s="2">
        <f>PARAM!$H$38</f>
        <v>1</v>
      </c>
      <c r="E978" s="11">
        <f>PARAM!$G$38</f>
        <v>0</v>
      </c>
      <c r="F978" s="11">
        <f>(VLOOKUP(C978,DEDN!$A$8:$O$902,$F$2)*D978+E978)/1000</f>
        <v>0.28441000000000005</v>
      </c>
      <c r="G978" s="178">
        <f t="shared" si="283"/>
        <v>81</v>
      </c>
      <c r="H978" s="178">
        <f t="shared" si="283"/>
        <v>81</v>
      </c>
      <c r="I978" s="2">
        <f>PARAM!$H$39</f>
        <v>0</v>
      </c>
      <c r="J978" s="11">
        <f>PARAM!$G$39</f>
        <v>0</v>
      </c>
      <c r="K978" s="11">
        <f>(VLOOKUP(H978,DEDN!$A$8:$O$902,$K$2)*I978+J978)/1000</f>
        <v>0</v>
      </c>
      <c r="L978" s="11">
        <f>MIN(IF(PARAM!$B$43=3,CHOOSE($L$2,F978,K978),F978+K978-F978*K978),1)</f>
        <v>0.28441000000000005</v>
      </c>
      <c r="M978" s="2">
        <f>PARAM!$I$38</f>
        <v>0</v>
      </c>
      <c r="N978" s="11">
        <f>VLOOKUP(B978,DEDN!$A$8:$O$90,$N$2)*M978</f>
        <v>0</v>
      </c>
      <c r="P978" s="10">
        <f>PARAM!$C$53^-A978</f>
        <v>1</v>
      </c>
      <c r="Q978" s="10">
        <f t="shared" si="287"/>
        <v>2.2979557237391514E-4</v>
      </c>
      <c r="R978" s="10">
        <f t="shared" si="285"/>
        <v>2.2979557237391514E-4</v>
      </c>
      <c r="S978" s="10">
        <f>CHOOSE(PARAM!$B$51,R978,R978,0,0)*(A978&lt;PARAM!$B$55)</f>
        <v>0</v>
      </c>
      <c r="T978" s="10">
        <f t="shared" si="286"/>
        <v>6.3198523791289137E-6</v>
      </c>
      <c r="U978" s="10">
        <f>T978*P978*(A978&lt;PARAM!$B$55)</f>
        <v>0</v>
      </c>
      <c r="W978">
        <v>975</v>
      </c>
      <c r="X978" s="178">
        <f t="shared" si="284"/>
        <v>112</v>
      </c>
      <c r="Y978" s="178">
        <f t="shared" si="284"/>
        <v>112</v>
      </c>
      <c r="Z978" s="178">
        <f t="shared" si="284"/>
        <v>81</v>
      </c>
      <c r="AA978" s="178">
        <f t="shared" si="284"/>
        <v>81</v>
      </c>
      <c r="AD978" s="17">
        <f>CALC!E1002*(A978&lt;PARAM!$B$55)</f>
        <v>0</v>
      </c>
      <c r="AE978">
        <f>IF(A978&lt;ITER!$C$16,1,PARAM!$C$53^-(RATES!A978-ITER!$C$16))*(A978&lt;PARAM!$B$55)</f>
        <v>0</v>
      </c>
    </row>
    <row r="979" spans="1:31" x14ac:dyDescent="0.2">
      <c r="A979" s="9">
        <v>976</v>
      </c>
      <c r="B979" s="178">
        <f t="shared" si="282"/>
        <v>112</v>
      </c>
      <c r="C979" s="178">
        <f t="shared" si="282"/>
        <v>112</v>
      </c>
      <c r="D979" s="2">
        <f>PARAM!$H$38</f>
        <v>1</v>
      </c>
      <c r="E979" s="11">
        <f>PARAM!$G$38</f>
        <v>0</v>
      </c>
      <c r="F979" s="11">
        <f>(VLOOKUP(C979,DEDN!$A$8:$O$902,$F$2)*D979+E979)/1000</f>
        <v>0.28441000000000005</v>
      </c>
      <c r="G979" s="178">
        <f t="shared" si="283"/>
        <v>81</v>
      </c>
      <c r="H979" s="178">
        <f t="shared" si="283"/>
        <v>81</v>
      </c>
      <c r="I979" s="2">
        <f>PARAM!$H$39</f>
        <v>0</v>
      </c>
      <c r="J979" s="11">
        <f>PARAM!$G$39</f>
        <v>0</v>
      </c>
      <c r="K979" s="11">
        <f>(VLOOKUP(H979,DEDN!$A$8:$O$902,$K$2)*I979+J979)/1000</f>
        <v>0</v>
      </c>
      <c r="L979" s="11">
        <f>MIN(IF(PARAM!$B$43=3,CHOOSE($L$2,F979,K979),F979+K979-F979*K979),1)</f>
        <v>0.28441000000000005</v>
      </c>
      <c r="M979" s="2">
        <f>PARAM!$I$38</f>
        <v>0</v>
      </c>
      <c r="N979" s="11">
        <f>VLOOKUP(B979,DEDN!$A$8:$O$90,$N$2)*M979</f>
        <v>0</v>
      </c>
      <c r="P979" s="10">
        <f>PARAM!$C$53^-A979</f>
        <v>1</v>
      </c>
      <c r="Q979" s="10">
        <f t="shared" si="287"/>
        <v>2.2347571999478623E-4</v>
      </c>
      <c r="R979" s="10">
        <f t="shared" si="285"/>
        <v>2.2347571999478623E-4</v>
      </c>
      <c r="S979" s="10">
        <f>CHOOSE(PARAM!$B$51,R979,0,0,0)*(A979&lt;PARAM!$B$55)</f>
        <v>0</v>
      </c>
      <c r="T979" s="10">
        <f t="shared" si="286"/>
        <v>6.1460433989063E-6</v>
      </c>
      <c r="U979" s="10">
        <f>T979*P979*(A979&lt;PARAM!$B$55)</f>
        <v>0</v>
      </c>
      <c r="W979">
        <v>976</v>
      </c>
      <c r="X979" s="178">
        <f t="shared" si="284"/>
        <v>112</v>
      </c>
      <c r="Y979" s="178">
        <f t="shared" si="284"/>
        <v>112</v>
      </c>
      <c r="Z979" s="178">
        <f t="shared" si="284"/>
        <v>81</v>
      </c>
      <c r="AA979" s="178">
        <f t="shared" si="284"/>
        <v>81</v>
      </c>
      <c r="AD979" s="17">
        <f>CALC!E1003*(A979&lt;PARAM!$B$55)</f>
        <v>0</v>
      </c>
      <c r="AE979">
        <f>IF(A979&lt;ITER!$C$16,1,PARAM!$C$53^-(RATES!A979-ITER!$C$16))*(A979&lt;PARAM!$B$55)</f>
        <v>0</v>
      </c>
    </row>
    <row r="980" spans="1:31" x14ac:dyDescent="0.2">
      <c r="A980" s="9">
        <v>977</v>
      </c>
      <c r="B980" s="178">
        <f t="shared" si="282"/>
        <v>112</v>
      </c>
      <c r="C980" s="178">
        <f t="shared" si="282"/>
        <v>112</v>
      </c>
      <c r="D980" s="2">
        <f>PARAM!$H$38</f>
        <v>1</v>
      </c>
      <c r="E980" s="11">
        <f>PARAM!$G$38</f>
        <v>0</v>
      </c>
      <c r="F980" s="11">
        <f>(VLOOKUP(C980,DEDN!$A$8:$O$902,$F$2)*D980+E980)/1000</f>
        <v>0.28441000000000005</v>
      </c>
      <c r="G980" s="178">
        <f t="shared" si="283"/>
        <v>81</v>
      </c>
      <c r="H980" s="178">
        <f t="shared" si="283"/>
        <v>81</v>
      </c>
      <c r="I980" s="2">
        <f>PARAM!$H$39</f>
        <v>0</v>
      </c>
      <c r="J980" s="11">
        <f>PARAM!$G$39</f>
        <v>0</v>
      </c>
      <c r="K980" s="11">
        <f>(VLOOKUP(H980,DEDN!$A$8:$O$902,$K$2)*I980+J980)/1000</f>
        <v>0</v>
      </c>
      <c r="L980" s="11">
        <f>MIN(IF(PARAM!$B$43=3,CHOOSE($L$2,F980,K980),F980+K980-F980*K980),1)</f>
        <v>0.28441000000000005</v>
      </c>
      <c r="M980" s="2">
        <f>PARAM!$I$38</f>
        <v>0</v>
      </c>
      <c r="N980" s="11">
        <f>VLOOKUP(B980,DEDN!$A$8:$O$90,$N$2)*M980</f>
        <v>0</v>
      </c>
      <c r="P980" s="10">
        <f>PARAM!$C$53^-A980</f>
        <v>1</v>
      </c>
      <c r="Q980" s="10">
        <f t="shared" si="287"/>
        <v>2.1732967659587993E-4</v>
      </c>
      <c r="R980" s="10">
        <f t="shared" ref="R980:R995" si="288">P980*Q980</f>
        <v>2.1732967659587993E-4</v>
      </c>
      <c r="S980" s="10">
        <f>CHOOSE(PARAM!$B$51,R980,0,0,0)*(A980&lt;PARAM!$B$55)</f>
        <v>0</v>
      </c>
      <c r="T980" s="10">
        <f t="shared" si="286"/>
        <v>5.9770145242611075E-6</v>
      </c>
      <c r="U980" s="10">
        <f>T980*P980*(A980&lt;PARAM!$B$55)</f>
        <v>0</v>
      </c>
      <c r="W980">
        <v>977</v>
      </c>
      <c r="X980" s="178">
        <f t="shared" si="284"/>
        <v>112</v>
      </c>
      <c r="Y980" s="178">
        <f t="shared" si="284"/>
        <v>112</v>
      </c>
      <c r="Z980" s="178">
        <f t="shared" si="284"/>
        <v>81</v>
      </c>
      <c r="AA980" s="178">
        <f t="shared" si="284"/>
        <v>81</v>
      </c>
      <c r="AD980" s="17">
        <f>CALC!E1004*(A980&lt;PARAM!$B$55)</f>
        <v>0</v>
      </c>
      <c r="AE980">
        <f>IF(A980&lt;ITER!$C$16,1,PARAM!$C$53^-(RATES!A980-ITER!$C$16))*(A980&lt;PARAM!$B$55)</f>
        <v>0</v>
      </c>
    </row>
    <row r="981" spans="1:31" x14ac:dyDescent="0.2">
      <c r="A981" s="9">
        <v>978</v>
      </c>
      <c r="B981" s="178">
        <f t="shared" ref="B981:C1000" si="289">B969+1</f>
        <v>113</v>
      </c>
      <c r="C981" s="178">
        <f t="shared" si="289"/>
        <v>113</v>
      </c>
      <c r="D981" s="2">
        <f>PARAM!$H$38</f>
        <v>1</v>
      </c>
      <c r="E981" s="11">
        <f>PARAM!$G$38</f>
        <v>0</v>
      </c>
      <c r="F981" s="11">
        <f>(VLOOKUP(C981,DEDN!$A$8:$O$902,$F$2)*D981+E981)/1000</f>
        <v>0.28441000000000005</v>
      </c>
      <c r="G981" s="178">
        <f t="shared" ref="G981:H1000" si="290">G969+1</f>
        <v>82</v>
      </c>
      <c r="H981" s="178">
        <f t="shared" si="290"/>
        <v>82</v>
      </c>
      <c r="I981" s="2">
        <f>PARAM!$H$39</f>
        <v>0</v>
      </c>
      <c r="J981" s="11">
        <f>PARAM!$G$39</f>
        <v>0</v>
      </c>
      <c r="K981" s="11">
        <f>(VLOOKUP(H981,DEDN!$A$8:$O$902,$K$2)*I981+J981)/1000</f>
        <v>0</v>
      </c>
      <c r="L981" s="11">
        <f>MIN(IF(PARAM!$B$43=3,CHOOSE($L$2,F981,K981),F981+K981-F981*K981),1)</f>
        <v>0.28441000000000005</v>
      </c>
      <c r="M981" s="2">
        <f>PARAM!$I$38</f>
        <v>0</v>
      </c>
      <c r="N981" s="11">
        <f>VLOOKUP(B981,DEDN!$A$8:$O$90,$N$2)*M981</f>
        <v>0</v>
      </c>
      <c r="P981" s="10">
        <f>PARAM!$C$53^-A981</f>
        <v>1</v>
      </c>
      <c r="Q981" s="10">
        <f t="shared" ref="Q981:Q996" si="291">Q980*(1-L980)^(1/12)</f>
        <v>2.1135266207161882E-4</v>
      </c>
      <c r="R981" s="10">
        <f t="shared" si="288"/>
        <v>2.1135266207161882E-4</v>
      </c>
      <c r="S981" s="10">
        <f>CHOOSE(PARAM!$B$51,R981,R981,R981,0)*(A981&lt;PARAM!$B$55)</f>
        <v>0</v>
      </c>
      <c r="T981" s="10">
        <f t="shared" si="286"/>
        <v>5.8126342924271802E-6</v>
      </c>
      <c r="U981" s="10">
        <f>T981*P981*(A981&lt;PARAM!$B$55)</f>
        <v>0</v>
      </c>
      <c r="W981">
        <v>978</v>
      </c>
      <c r="X981" s="178">
        <f t="shared" ref="X981:AA1000" si="292">X969+1</f>
        <v>113</v>
      </c>
      <c r="Y981" s="178">
        <f t="shared" si="292"/>
        <v>113</v>
      </c>
      <c r="Z981" s="178">
        <f t="shared" si="292"/>
        <v>82</v>
      </c>
      <c r="AA981" s="178">
        <f t="shared" si="292"/>
        <v>82</v>
      </c>
      <c r="AD981" s="17">
        <f>CALC!E1005*(A981&lt;PARAM!$B$55)</f>
        <v>0</v>
      </c>
      <c r="AE981">
        <f>IF(A981&lt;ITER!$C$16,1,PARAM!$C$53^-(RATES!A981-ITER!$C$16))*(A981&lt;PARAM!$B$55)</f>
        <v>0</v>
      </c>
    </row>
    <row r="982" spans="1:31" x14ac:dyDescent="0.2">
      <c r="A982" s="9">
        <v>979</v>
      </c>
      <c r="B982" s="178">
        <f t="shared" si="289"/>
        <v>113</v>
      </c>
      <c r="C982" s="178">
        <f t="shared" si="289"/>
        <v>113</v>
      </c>
      <c r="D982" s="2">
        <f>PARAM!$H$38</f>
        <v>1</v>
      </c>
      <c r="E982" s="11">
        <f>PARAM!$G$38</f>
        <v>0</v>
      </c>
      <c r="F982" s="11">
        <f>(VLOOKUP(C982,DEDN!$A$8:$O$902,$F$2)*D982+E982)/1000</f>
        <v>0.28441000000000005</v>
      </c>
      <c r="G982" s="178">
        <f t="shared" si="290"/>
        <v>82</v>
      </c>
      <c r="H982" s="178">
        <f t="shared" si="290"/>
        <v>82</v>
      </c>
      <c r="I982" s="2">
        <f>PARAM!$H$39</f>
        <v>0</v>
      </c>
      <c r="J982" s="11">
        <f>PARAM!$G$39</f>
        <v>0</v>
      </c>
      <c r="K982" s="11">
        <f>(VLOOKUP(H982,DEDN!$A$8:$O$902,$K$2)*I982+J982)/1000</f>
        <v>0</v>
      </c>
      <c r="L982" s="11">
        <f>MIN(IF(PARAM!$B$43=3,CHOOSE($L$2,F982,K982),F982+K982-F982*K982),1)</f>
        <v>0.28441000000000005</v>
      </c>
      <c r="M982" s="2">
        <f>PARAM!$I$38</f>
        <v>0</v>
      </c>
      <c r="N982" s="11">
        <f>VLOOKUP(B982,DEDN!$A$8:$O$90,$N$2)*M982</f>
        <v>0</v>
      </c>
      <c r="P982" s="10">
        <f>PARAM!$C$53^-A982</f>
        <v>1</v>
      </c>
      <c r="Q982" s="10">
        <f t="shared" si="291"/>
        <v>2.0554002777919164E-4</v>
      </c>
      <c r="R982" s="10">
        <f t="shared" si="288"/>
        <v>2.0554002777919164E-4</v>
      </c>
      <c r="S982" s="10">
        <f>CHOOSE(PARAM!$B$51,R982,0,0,0)*(A982&lt;PARAM!$B$55)</f>
        <v>0</v>
      </c>
      <c r="T982" s="10">
        <f t="shared" si="286"/>
        <v>5.6527748561355597E-6</v>
      </c>
      <c r="U982" s="10">
        <f>T982*P982*(A982&lt;PARAM!$B$55)</f>
        <v>0</v>
      </c>
      <c r="W982">
        <v>979</v>
      </c>
      <c r="X982" s="178">
        <f t="shared" si="292"/>
        <v>113</v>
      </c>
      <c r="Y982" s="178">
        <f t="shared" si="292"/>
        <v>113</v>
      </c>
      <c r="Z982" s="178">
        <f t="shared" si="292"/>
        <v>82</v>
      </c>
      <c r="AA982" s="178">
        <f t="shared" si="292"/>
        <v>82</v>
      </c>
      <c r="AD982" s="17">
        <f>CALC!E1006*(A982&lt;PARAM!$B$55)</f>
        <v>0</v>
      </c>
      <c r="AE982">
        <f>IF(A982&lt;ITER!$C$16,1,PARAM!$C$53^-(RATES!A982-ITER!$C$16))*(A982&lt;PARAM!$B$55)</f>
        <v>0</v>
      </c>
    </row>
    <row r="983" spans="1:31" x14ac:dyDescent="0.2">
      <c r="A983" s="9">
        <v>980</v>
      </c>
      <c r="B983" s="178">
        <f t="shared" si="289"/>
        <v>113</v>
      </c>
      <c r="C983" s="178">
        <f t="shared" si="289"/>
        <v>113</v>
      </c>
      <c r="D983" s="2">
        <f>PARAM!$H$38</f>
        <v>1</v>
      </c>
      <c r="E983" s="11">
        <f>PARAM!$G$38</f>
        <v>0</v>
      </c>
      <c r="F983" s="11">
        <f>(VLOOKUP(C983,DEDN!$A$8:$O$902,$F$2)*D983+E983)/1000</f>
        <v>0.28441000000000005</v>
      </c>
      <c r="G983" s="178">
        <f t="shared" si="290"/>
        <v>82</v>
      </c>
      <c r="H983" s="178">
        <f t="shared" si="290"/>
        <v>82</v>
      </c>
      <c r="I983" s="2">
        <f>PARAM!$H$39</f>
        <v>0</v>
      </c>
      <c r="J983" s="11">
        <f>PARAM!$G$39</f>
        <v>0</v>
      </c>
      <c r="K983" s="11">
        <f>(VLOOKUP(H983,DEDN!$A$8:$O$902,$K$2)*I983+J983)/1000</f>
        <v>0</v>
      </c>
      <c r="L983" s="11">
        <f>MIN(IF(PARAM!$B$43=3,CHOOSE($L$2,F983,K983),F983+K983-F983*K983),1)</f>
        <v>0.28441000000000005</v>
      </c>
      <c r="M983" s="2">
        <f>PARAM!$I$38</f>
        <v>0</v>
      </c>
      <c r="N983" s="11">
        <f>VLOOKUP(B983,DEDN!$A$8:$O$90,$N$2)*M983</f>
        <v>0</v>
      </c>
      <c r="P983" s="10">
        <f>PARAM!$C$53^-A983</f>
        <v>1</v>
      </c>
      <c r="Q983" s="10">
        <f t="shared" si="291"/>
        <v>1.9988725292305608E-4</v>
      </c>
      <c r="R983" s="10">
        <f t="shared" si="288"/>
        <v>1.9988725292305608E-4</v>
      </c>
      <c r="S983" s="10">
        <f>CHOOSE(PARAM!$B$51,R983,0,0,0)*(A983&lt;PARAM!$B$55)</f>
        <v>0</v>
      </c>
      <c r="T983" s="10">
        <f t="shared" si="286"/>
        <v>5.497311884181084E-6</v>
      </c>
      <c r="U983" s="10">
        <f>T983*P983*(A983&lt;PARAM!$B$55)</f>
        <v>0</v>
      </c>
      <c r="W983">
        <v>980</v>
      </c>
      <c r="X983" s="178">
        <f t="shared" si="292"/>
        <v>113</v>
      </c>
      <c r="Y983" s="178">
        <f t="shared" si="292"/>
        <v>113</v>
      </c>
      <c r="Z983" s="178">
        <f t="shared" si="292"/>
        <v>82</v>
      </c>
      <c r="AA983" s="178">
        <f t="shared" si="292"/>
        <v>82</v>
      </c>
      <c r="AD983" s="17">
        <f>CALC!E1007*(A983&lt;PARAM!$B$55)</f>
        <v>0</v>
      </c>
      <c r="AE983">
        <f>IF(A983&lt;ITER!$C$16,1,PARAM!$C$53^-(RATES!A983-ITER!$C$16))*(A983&lt;PARAM!$B$55)</f>
        <v>0</v>
      </c>
    </row>
    <row r="984" spans="1:31" x14ac:dyDescent="0.2">
      <c r="A984" s="9">
        <v>981</v>
      </c>
      <c r="B984" s="178">
        <f t="shared" si="289"/>
        <v>113</v>
      </c>
      <c r="C984" s="178">
        <f t="shared" si="289"/>
        <v>113</v>
      </c>
      <c r="D984" s="2">
        <f>PARAM!$H$38</f>
        <v>1</v>
      </c>
      <c r="E984" s="11">
        <f>PARAM!$G$38</f>
        <v>0</v>
      </c>
      <c r="F984" s="11">
        <f>(VLOOKUP(C984,DEDN!$A$8:$O$902,$F$2)*D984+E984)/1000</f>
        <v>0.28441000000000005</v>
      </c>
      <c r="G984" s="178">
        <f t="shared" si="290"/>
        <v>82</v>
      </c>
      <c r="H984" s="178">
        <f t="shared" si="290"/>
        <v>82</v>
      </c>
      <c r="I984" s="2">
        <f>PARAM!$H$39</f>
        <v>0</v>
      </c>
      <c r="J984" s="11">
        <f>PARAM!$G$39</f>
        <v>0</v>
      </c>
      <c r="K984" s="11">
        <f>(VLOOKUP(H984,DEDN!$A$8:$O$902,$K$2)*I984+J984)/1000</f>
        <v>0</v>
      </c>
      <c r="L984" s="11">
        <f>MIN(IF(PARAM!$B$43=3,CHOOSE($L$2,F984,K984),F984+K984-F984*K984),1)</f>
        <v>0.28441000000000005</v>
      </c>
      <c r="M984" s="2">
        <f>PARAM!$I$38</f>
        <v>0</v>
      </c>
      <c r="N984" s="11">
        <f>VLOOKUP(B984,DEDN!$A$8:$O$90,$N$2)*M984</f>
        <v>0</v>
      </c>
      <c r="P984" s="10">
        <f>PARAM!$C$53^-A984</f>
        <v>1</v>
      </c>
      <c r="Q984" s="10">
        <f t="shared" si="291"/>
        <v>1.94389941038875E-4</v>
      </c>
      <c r="R984" s="10">
        <f t="shared" si="288"/>
        <v>1.94389941038875E-4</v>
      </c>
      <c r="S984" s="10">
        <f>CHOOSE(PARAM!$B$51,R984,R984,0,0)*(A984&lt;PARAM!$B$55)</f>
        <v>0</v>
      </c>
      <c r="T984" s="10">
        <f t="shared" si="286"/>
        <v>5.3461244647232088E-6</v>
      </c>
      <c r="U984" s="10">
        <f>T984*P984*(A984&lt;PARAM!$B$55)</f>
        <v>0</v>
      </c>
      <c r="W984">
        <v>981</v>
      </c>
      <c r="X984" s="178">
        <f t="shared" si="292"/>
        <v>113</v>
      </c>
      <c r="Y984" s="178">
        <f t="shared" si="292"/>
        <v>113</v>
      </c>
      <c r="Z984" s="178">
        <f t="shared" si="292"/>
        <v>82</v>
      </c>
      <c r="AA984" s="178">
        <f t="shared" si="292"/>
        <v>82</v>
      </c>
      <c r="AD984" s="17">
        <f>CALC!E1008*(A984&lt;PARAM!$B$55)</f>
        <v>0</v>
      </c>
      <c r="AE984">
        <f>IF(A984&lt;ITER!$C$16,1,PARAM!$C$53^-(RATES!A984-ITER!$C$16))*(A984&lt;PARAM!$B$55)</f>
        <v>0</v>
      </c>
    </row>
    <row r="985" spans="1:31" x14ac:dyDescent="0.2">
      <c r="A985" s="9">
        <v>982</v>
      </c>
      <c r="B985" s="178">
        <f t="shared" si="289"/>
        <v>113</v>
      </c>
      <c r="C985" s="178">
        <f t="shared" si="289"/>
        <v>113</v>
      </c>
      <c r="D985" s="2">
        <f>PARAM!$H$38</f>
        <v>1</v>
      </c>
      <c r="E985" s="11">
        <f>PARAM!$G$38</f>
        <v>0</v>
      </c>
      <c r="F985" s="11">
        <f>(VLOOKUP(C985,DEDN!$A$8:$O$902,$F$2)*D985+E985)/1000</f>
        <v>0.28441000000000005</v>
      </c>
      <c r="G985" s="178">
        <f t="shared" si="290"/>
        <v>82</v>
      </c>
      <c r="H985" s="178">
        <f t="shared" si="290"/>
        <v>82</v>
      </c>
      <c r="I985" s="2">
        <f>PARAM!$H$39</f>
        <v>0</v>
      </c>
      <c r="J985" s="11">
        <f>PARAM!$G$39</f>
        <v>0</v>
      </c>
      <c r="K985" s="11">
        <f>(VLOOKUP(H985,DEDN!$A$8:$O$902,$K$2)*I985+J985)/1000</f>
        <v>0</v>
      </c>
      <c r="L985" s="11">
        <f>MIN(IF(PARAM!$B$43=3,CHOOSE($L$2,F985,K985),F985+K985-F985*K985),1)</f>
        <v>0.28441000000000005</v>
      </c>
      <c r="M985" s="2">
        <f>PARAM!$I$38</f>
        <v>0</v>
      </c>
      <c r="N985" s="11">
        <f>VLOOKUP(B985,DEDN!$A$8:$O$90,$N$2)*M985</f>
        <v>0</v>
      </c>
      <c r="P985" s="10">
        <f>PARAM!$C$53^-A985</f>
        <v>1</v>
      </c>
      <c r="Q985" s="10">
        <f t="shared" si="291"/>
        <v>1.8904381657415179E-4</v>
      </c>
      <c r="R985" s="10">
        <f t="shared" si="288"/>
        <v>1.8904381657415179E-4</v>
      </c>
      <c r="S985" s="10">
        <f>CHOOSE(PARAM!$B$51,R985,0,0,0)*(A985&lt;PARAM!$B$55)</f>
        <v>0</v>
      </c>
      <c r="T985" s="10">
        <f t="shared" si="286"/>
        <v>5.1990950112465126E-6</v>
      </c>
      <c r="U985" s="10">
        <f>T985*P985*(A985&lt;PARAM!$B$55)</f>
        <v>0</v>
      </c>
      <c r="W985">
        <v>982</v>
      </c>
      <c r="X985" s="178">
        <f t="shared" si="292"/>
        <v>113</v>
      </c>
      <c r="Y985" s="178">
        <f t="shared" si="292"/>
        <v>113</v>
      </c>
      <c r="Z985" s="178">
        <f t="shared" si="292"/>
        <v>82</v>
      </c>
      <c r="AA985" s="178">
        <f t="shared" si="292"/>
        <v>82</v>
      </c>
      <c r="AD985" s="17">
        <f>CALC!E1009*(A985&lt;PARAM!$B$55)</f>
        <v>0</v>
      </c>
      <c r="AE985">
        <f>IF(A985&lt;ITER!$C$16,1,PARAM!$C$53^-(RATES!A985-ITER!$C$16))*(A985&lt;PARAM!$B$55)</f>
        <v>0</v>
      </c>
    </row>
    <row r="986" spans="1:31" x14ac:dyDescent="0.2">
      <c r="A986" s="9">
        <v>983</v>
      </c>
      <c r="B986" s="178">
        <f t="shared" si="289"/>
        <v>113</v>
      </c>
      <c r="C986" s="178">
        <f t="shared" si="289"/>
        <v>113</v>
      </c>
      <c r="D986" s="2">
        <f>PARAM!$H$38</f>
        <v>1</v>
      </c>
      <c r="E986" s="11">
        <f>PARAM!$G$38</f>
        <v>0</v>
      </c>
      <c r="F986" s="11">
        <f>(VLOOKUP(C986,DEDN!$A$8:$O$902,$F$2)*D986+E986)/1000</f>
        <v>0.28441000000000005</v>
      </c>
      <c r="G986" s="178">
        <f t="shared" si="290"/>
        <v>82</v>
      </c>
      <c r="H986" s="178">
        <f t="shared" si="290"/>
        <v>82</v>
      </c>
      <c r="I986" s="2">
        <f>PARAM!$H$39</f>
        <v>0</v>
      </c>
      <c r="J986" s="11">
        <f>PARAM!$G$39</f>
        <v>0</v>
      </c>
      <c r="K986" s="11">
        <f>(VLOOKUP(H986,DEDN!$A$8:$O$902,$K$2)*I986+J986)/1000</f>
        <v>0</v>
      </c>
      <c r="L986" s="11">
        <f>MIN(IF(PARAM!$B$43=3,CHOOSE($L$2,F986,K986),F986+K986-F986*K986),1)</f>
        <v>0.28441000000000005</v>
      </c>
      <c r="M986" s="2">
        <f>PARAM!$I$38</f>
        <v>0</v>
      </c>
      <c r="N986" s="11">
        <f>VLOOKUP(B986,DEDN!$A$8:$O$90,$N$2)*M986</f>
        <v>0</v>
      </c>
      <c r="P986" s="10">
        <f>PARAM!$C$53^-A986</f>
        <v>1</v>
      </c>
      <c r="Q986" s="10">
        <f t="shared" si="291"/>
        <v>1.8384472156290528E-4</v>
      </c>
      <c r="R986" s="10">
        <f t="shared" si="288"/>
        <v>1.8384472156290528E-4</v>
      </c>
      <c r="S986" s="10">
        <f>CHOOSE(PARAM!$B$51,R986,0,0,0)*(A986&lt;PARAM!$B$55)</f>
        <v>0</v>
      </c>
      <c r="T986" s="10">
        <f t="shared" si="286"/>
        <v>5.0561091711073759E-6</v>
      </c>
      <c r="U986" s="10">
        <f>T986*P986*(A986&lt;PARAM!$B$55)</f>
        <v>0</v>
      </c>
      <c r="W986">
        <v>983</v>
      </c>
      <c r="X986" s="178">
        <f t="shared" si="292"/>
        <v>113</v>
      </c>
      <c r="Y986" s="178">
        <f t="shared" si="292"/>
        <v>113</v>
      </c>
      <c r="Z986" s="178">
        <f t="shared" si="292"/>
        <v>82</v>
      </c>
      <c r="AA986" s="178">
        <f t="shared" si="292"/>
        <v>82</v>
      </c>
      <c r="AD986" s="17">
        <f>CALC!E1010*(A986&lt;PARAM!$B$55)</f>
        <v>0</v>
      </c>
      <c r="AE986">
        <f>IF(A986&lt;ITER!$C$16,1,PARAM!$C$53^-(RATES!A986-ITER!$C$16))*(A986&lt;PARAM!$B$55)</f>
        <v>0</v>
      </c>
    </row>
    <row r="987" spans="1:31" x14ac:dyDescent="0.2">
      <c r="A987" s="9">
        <v>984</v>
      </c>
      <c r="B987" s="178">
        <f t="shared" si="289"/>
        <v>113</v>
      </c>
      <c r="C987" s="178">
        <f t="shared" si="289"/>
        <v>113</v>
      </c>
      <c r="D987" s="2">
        <f>PARAM!$H$38</f>
        <v>1</v>
      </c>
      <c r="E987" s="11">
        <f>PARAM!$G$38</f>
        <v>0</v>
      </c>
      <c r="F987" s="11">
        <f>(VLOOKUP(C987,DEDN!$A$8:$O$902,$F$2)*D987+E987)/1000</f>
        <v>0.28441000000000005</v>
      </c>
      <c r="G987" s="178">
        <f t="shared" si="290"/>
        <v>82</v>
      </c>
      <c r="H987" s="178">
        <f t="shared" si="290"/>
        <v>82</v>
      </c>
      <c r="I987" s="2">
        <f>PARAM!$H$39</f>
        <v>0</v>
      </c>
      <c r="J987" s="11">
        <f>PARAM!$G$39</f>
        <v>0</v>
      </c>
      <c r="K987" s="11">
        <f>(VLOOKUP(H987,DEDN!$A$8:$O$902,$K$2)*I987+J987)/1000</f>
        <v>0</v>
      </c>
      <c r="L987" s="11">
        <f>MIN(IF(PARAM!$B$43=3,CHOOSE($L$2,F987,K987),F987+K987-F987*K987),1)</f>
        <v>0.28441000000000005</v>
      </c>
      <c r="M987" s="2">
        <f>PARAM!$I$38</f>
        <v>0</v>
      </c>
      <c r="N987" s="11">
        <f>VLOOKUP(B987,DEDN!$A$8:$O$90,$N$2)*M987</f>
        <v>0</v>
      </c>
      <c r="P987" s="10">
        <f>PARAM!$C$53^-A987</f>
        <v>1</v>
      </c>
      <c r="Q987" s="10">
        <f t="shared" si="291"/>
        <v>1.787886123917979E-4</v>
      </c>
      <c r="R987" s="10">
        <f t="shared" si="288"/>
        <v>1.787886123917979E-4</v>
      </c>
      <c r="S987" s="10">
        <f>R987*(A987&lt;PARAM!$B$55)</f>
        <v>0</v>
      </c>
      <c r="T987" s="10">
        <f t="shared" si="286"/>
        <v>4.9170557365957389E-6</v>
      </c>
      <c r="U987" s="10">
        <f>T987*P987*(A987&lt;PARAM!$B$55)</f>
        <v>0</v>
      </c>
      <c r="W987">
        <v>984</v>
      </c>
      <c r="X987" s="178">
        <f t="shared" si="292"/>
        <v>113</v>
      </c>
      <c r="Y987" s="178">
        <f t="shared" si="292"/>
        <v>113</v>
      </c>
      <c r="Z987" s="178">
        <f t="shared" si="292"/>
        <v>82</v>
      </c>
      <c r="AA987" s="178">
        <f t="shared" si="292"/>
        <v>82</v>
      </c>
      <c r="AD987" s="17">
        <f>CALC!E1011*(A987&lt;PARAM!$B$55)</f>
        <v>0</v>
      </c>
      <c r="AE987">
        <f>IF(A987&lt;ITER!$C$16,1,PARAM!$C$53^-(RATES!A987-ITER!$C$16))*(A987&lt;PARAM!$B$55)</f>
        <v>0</v>
      </c>
    </row>
    <row r="988" spans="1:31" x14ac:dyDescent="0.2">
      <c r="A988" s="9">
        <v>985</v>
      </c>
      <c r="B988" s="178">
        <f t="shared" si="289"/>
        <v>113</v>
      </c>
      <c r="C988" s="178">
        <f t="shared" si="289"/>
        <v>113</v>
      </c>
      <c r="D988" s="2">
        <f>PARAM!$H$38</f>
        <v>1</v>
      </c>
      <c r="E988" s="11">
        <f>PARAM!$G$38</f>
        <v>0</v>
      </c>
      <c r="F988" s="11">
        <f>(VLOOKUP(C988,DEDN!$A$8:$O$902,$F$2)*D988+E988)/1000</f>
        <v>0.28441000000000005</v>
      </c>
      <c r="G988" s="178">
        <f t="shared" si="290"/>
        <v>82</v>
      </c>
      <c r="H988" s="178">
        <f t="shared" si="290"/>
        <v>82</v>
      </c>
      <c r="I988" s="2">
        <f>PARAM!$H$39</f>
        <v>0</v>
      </c>
      <c r="J988" s="11">
        <f>PARAM!$G$39</f>
        <v>0</v>
      </c>
      <c r="K988" s="11">
        <f>(VLOOKUP(H988,DEDN!$A$8:$O$902,$K$2)*I988+J988)/1000</f>
        <v>0</v>
      </c>
      <c r="L988" s="11">
        <f>MIN(IF(PARAM!$B$43=3,CHOOSE($L$2,F988,K988),F988+K988-F988*K988),1)</f>
        <v>0.28441000000000005</v>
      </c>
      <c r="M988" s="2">
        <f>PARAM!$I$38</f>
        <v>0</v>
      </c>
      <c r="N988" s="11">
        <f>VLOOKUP(B988,DEDN!$A$8:$O$90,$N$2)*M988</f>
        <v>0</v>
      </c>
      <c r="P988" s="10">
        <f>PARAM!$C$53^-A988</f>
        <v>1</v>
      </c>
      <c r="Q988" s="10">
        <f t="shared" si="291"/>
        <v>1.7387155665520216E-4</v>
      </c>
      <c r="R988" s="10">
        <f t="shared" si="288"/>
        <v>1.7387155665520216E-4</v>
      </c>
      <c r="S988" s="10">
        <f>CHOOSE(PARAM!$B$51,R988,0,0,0)*(A988&lt;PARAM!$B$55)</f>
        <v>0</v>
      </c>
      <c r="T988" s="10">
        <f t="shared" si="286"/>
        <v>4.7818265584431165E-6</v>
      </c>
      <c r="U988" s="10">
        <f>T988*P988*(A988&lt;PARAM!$B$55)</f>
        <v>0</v>
      </c>
      <c r="W988">
        <v>985</v>
      </c>
      <c r="X988" s="178">
        <f t="shared" si="292"/>
        <v>113</v>
      </c>
      <c r="Y988" s="178">
        <f t="shared" si="292"/>
        <v>113</v>
      </c>
      <c r="Z988" s="178">
        <f t="shared" si="292"/>
        <v>82</v>
      </c>
      <c r="AA988" s="178">
        <f t="shared" si="292"/>
        <v>82</v>
      </c>
      <c r="AD988" s="17">
        <f>CALC!E1012*(A988&lt;PARAM!$B$55)</f>
        <v>0</v>
      </c>
      <c r="AE988">
        <f>IF(A988&lt;ITER!$C$16,1,PARAM!$C$53^-(RATES!A988-ITER!$C$16))*(A988&lt;PARAM!$B$55)</f>
        <v>0</v>
      </c>
    </row>
    <row r="989" spans="1:31" x14ac:dyDescent="0.2">
      <c r="A989" s="9">
        <v>986</v>
      </c>
      <c r="B989" s="178">
        <f t="shared" si="289"/>
        <v>113</v>
      </c>
      <c r="C989" s="178">
        <f t="shared" si="289"/>
        <v>113</v>
      </c>
      <c r="D989" s="2">
        <f>PARAM!$H$38</f>
        <v>1</v>
      </c>
      <c r="E989" s="11">
        <f>PARAM!$G$38</f>
        <v>0</v>
      </c>
      <c r="F989" s="11">
        <f>(VLOOKUP(C989,DEDN!$A$8:$O$902,$F$2)*D989+E989)/1000</f>
        <v>0.28441000000000005</v>
      </c>
      <c r="G989" s="178">
        <f t="shared" si="290"/>
        <v>82</v>
      </c>
      <c r="H989" s="178">
        <f t="shared" si="290"/>
        <v>82</v>
      </c>
      <c r="I989" s="2">
        <f>PARAM!$H$39</f>
        <v>0</v>
      </c>
      <c r="J989" s="11">
        <f>PARAM!$G$39</f>
        <v>0</v>
      </c>
      <c r="K989" s="11">
        <f>(VLOOKUP(H989,DEDN!$A$8:$O$902,$K$2)*I989+J989)/1000</f>
        <v>0</v>
      </c>
      <c r="L989" s="11">
        <f>MIN(IF(PARAM!$B$43=3,CHOOSE($L$2,F989,K989),F989+K989-F989*K989),1)</f>
        <v>0.28441000000000005</v>
      </c>
      <c r="M989" s="2">
        <f>PARAM!$I$38</f>
        <v>0</v>
      </c>
      <c r="N989" s="11">
        <f>VLOOKUP(B989,DEDN!$A$8:$O$90,$N$2)*M989</f>
        <v>0</v>
      </c>
      <c r="P989" s="10">
        <f>PARAM!$C$53^-A989</f>
        <v>1</v>
      </c>
      <c r="Q989" s="10">
        <f t="shared" si="291"/>
        <v>1.6908973009675904E-4</v>
      </c>
      <c r="R989" s="10">
        <f t="shared" si="288"/>
        <v>1.6908973009675904E-4</v>
      </c>
      <c r="S989" s="10">
        <f>CHOOSE(PARAM!$B$51,R989,0,0,0)*(A989&lt;PARAM!$B$55)</f>
        <v>0</v>
      </c>
      <c r="T989" s="10">
        <f t="shared" si="286"/>
        <v>4.6503164617090289E-6</v>
      </c>
      <c r="U989" s="10">
        <f>T989*P989*(A989&lt;PARAM!$B$55)</f>
        <v>0</v>
      </c>
      <c r="W989">
        <v>986</v>
      </c>
      <c r="X989" s="178">
        <f t="shared" si="292"/>
        <v>113</v>
      </c>
      <c r="Y989" s="178">
        <f t="shared" si="292"/>
        <v>113</v>
      </c>
      <c r="Z989" s="178">
        <f t="shared" si="292"/>
        <v>82</v>
      </c>
      <c r="AA989" s="178">
        <f t="shared" si="292"/>
        <v>82</v>
      </c>
      <c r="AD989" s="17">
        <f>CALC!E1013*(A989&lt;PARAM!$B$55)</f>
        <v>0</v>
      </c>
      <c r="AE989">
        <f>IF(A989&lt;ITER!$C$16,1,PARAM!$C$53^-(RATES!A989-ITER!$C$16))*(A989&lt;PARAM!$B$55)</f>
        <v>0</v>
      </c>
    </row>
    <row r="990" spans="1:31" x14ac:dyDescent="0.2">
      <c r="A990" s="9">
        <v>987</v>
      </c>
      <c r="B990" s="178">
        <f t="shared" si="289"/>
        <v>113</v>
      </c>
      <c r="C990" s="178">
        <f t="shared" si="289"/>
        <v>113</v>
      </c>
      <c r="D990" s="2">
        <f>PARAM!$H$38</f>
        <v>1</v>
      </c>
      <c r="E990" s="11">
        <f>PARAM!$G$38</f>
        <v>0</v>
      </c>
      <c r="F990" s="11">
        <f>(VLOOKUP(C990,DEDN!$A$8:$O$902,$F$2)*D990+E990)/1000</f>
        <v>0.28441000000000005</v>
      </c>
      <c r="G990" s="178">
        <f t="shared" si="290"/>
        <v>82</v>
      </c>
      <c r="H990" s="178">
        <f t="shared" si="290"/>
        <v>82</v>
      </c>
      <c r="I990" s="2">
        <f>PARAM!$H$39</f>
        <v>0</v>
      </c>
      <c r="J990" s="11">
        <f>PARAM!$G$39</f>
        <v>0</v>
      </c>
      <c r="K990" s="11">
        <f>(VLOOKUP(H990,DEDN!$A$8:$O$902,$K$2)*I990+J990)/1000</f>
        <v>0</v>
      </c>
      <c r="L990" s="11">
        <f>MIN(IF(PARAM!$B$43=3,CHOOSE($L$2,F990,K990),F990+K990-F990*K990),1)</f>
        <v>0.28441000000000005</v>
      </c>
      <c r="M990" s="2">
        <f>PARAM!$I$38</f>
        <v>0</v>
      </c>
      <c r="N990" s="11">
        <f>VLOOKUP(B990,DEDN!$A$8:$O$90,$N$2)*M990</f>
        <v>0</v>
      </c>
      <c r="P990" s="10">
        <f>PARAM!$C$53^-A990</f>
        <v>1</v>
      </c>
      <c r="Q990" s="10">
        <f t="shared" si="291"/>
        <v>1.6443941363505001E-4</v>
      </c>
      <c r="R990" s="10">
        <f t="shared" si="288"/>
        <v>1.6443941363505001E-4</v>
      </c>
      <c r="S990" s="10">
        <f>CHOOSE(PARAM!$B$51,R990,R990,0,0)*(A990&lt;PARAM!$B$55)</f>
        <v>0</v>
      </c>
      <c r="T990" s="10">
        <f t="shared" si="286"/>
        <v>4.5224231639808476E-6</v>
      </c>
      <c r="U990" s="10">
        <f>T990*P990*(A990&lt;PARAM!$B$55)</f>
        <v>0</v>
      </c>
      <c r="W990">
        <v>987</v>
      </c>
      <c r="X990" s="178">
        <f t="shared" si="292"/>
        <v>113</v>
      </c>
      <c r="Y990" s="178">
        <f t="shared" si="292"/>
        <v>113</v>
      </c>
      <c r="Z990" s="178">
        <f t="shared" si="292"/>
        <v>82</v>
      </c>
      <c r="AA990" s="178">
        <f t="shared" si="292"/>
        <v>82</v>
      </c>
      <c r="AD990" s="17">
        <f>CALC!E1014*(A990&lt;PARAM!$B$55)</f>
        <v>0</v>
      </c>
      <c r="AE990">
        <f>IF(A990&lt;ITER!$C$16,1,PARAM!$C$53^-(RATES!A990-ITER!$C$16))*(A990&lt;PARAM!$B$55)</f>
        <v>0</v>
      </c>
    </row>
    <row r="991" spans="1:31" x14ac:dyDescent="0.2">
      <c r="A991" s="9">
        <v>988</v>
      </c>
      <c r="B991" s="178">
        <f t="shared" si="289"/>
        <v>113</v>
      </c>
      <c r="C991" s="178">
        <f t="shared" si="289"/>
        <v>113</v>
      </c>
      <c r="D991" s="2">
        <f>PARAM!$H$38</f>
        <v>1</v>
      </c>
      <c r="E991" s="11">
        <f>PARAM!$G$38</f>
        <v>0</v>
      </c>
      <c r="F991" s="11">
        <f>(VLOOKUP(C991,DEDN!$A$8:$O$902,$F$2)*D991+E991)/1000</f>
        <v>0.28441000000000005</v>
      </c>
      <c r="G991" s="178">
        <f t="shared" si="290"/>
        <v>82</v>
      </c>
      <c r="H991" s="178">
        <f t="shared" si="290"/>
        <v>82</v>
      </c>
      <c r="I991" s="2">
        <f>PARAM!$H$39</f>
        <v>0</v>
      </c>
      <c r="J991" s="11">
        <f>PARAM!$G$39</f>
        <v>0</v>
      </c>
      <c r="K991" s="11">
        <f>(VLOOKUP(H991,DEDN!$A$8:$O$902,$K$2)*I991+J991)/1000</f>
        <v>0</v>
      </c>
      <c r="L991" s="11">
        <f>MIN(IF(PARAM!$B$43=3,CHOOSE($L$2,F991,K991),F991+K991-F991*K991),1)</f>
        <v>0.28441000000000005</v>
      </c>
      <c r="M991" s="2">
        <f>PARAM!$I$38</f>
        <v>0</v>
      </c>
      <c r="N991" s="11">
        <f>VLOOKUP(B991,DEDN!$A$8:$O$90,$N$2)*M991</f>
        <v>0</v>
      </c>
      <c r="P991" s="10">
        <f>PARAM!$C$53^-A991</f>
        <v>1</v>
      </c>
      <c r="Q991" s="10">
        <f t="shared" si="291"/>
        <v>1.5991699047106917E-4</v>
      </c>
      <c r="R991" s="10">
        <f t="shared" si="288"/>
        <v>1.5991699047106917E-4</v>
      </c>
      <c r="S991" s="10">
        <f>CHOOSE(PARAM!$B$51,R991,0,0,0)*(A991&lt;PARAM!$B$55)</f>
        <v>0</v>
      </c>
      <c r="T991" s="10">
        <f t="shared" si="286"/>
        <v>4.3980471958233612E-6</v>
      </c>
      <c r="U991" s="10">
        <f>T991*P991*(A991&lt;PARAM!$B$55)</f>
        <v>0</v>
      </c>
      <c r="W991">
        <v>988</v>
      </c>
      <c r="X991" s="178">
        <f t="shared" si="292"/>
        <v>113</v>
      </c>
      <c r="Y991" s="178">
        <f t="shared" si="292"/>
        <v>113</v>
      </c>
      <c r="Z991" s="178">
        <f t="shared" si="292"/>
        <v>82</v>
      </c>
      <c r="AA991" s="178">
        <f t="shared" si="292"/>
        <v>82</v>
      </c>
      <c r="AD991" s="17">
        <f>CALC!E1015*(A991&lt;PARAM!$B$55)</f>
        <v>0</v>
      </c>
      <c r="AE991">
        <f>IF(A991&lt;ITER!$C$16,1,PARAM!$C$53^-(RATES!A991-ITER!$C$16))*(A991&lt;PARAM!$B$55)</f>
        <v>0</v>
      </c>
    </row>
    <row r="992" spans="1:31" x14ac:dyDescent="0.2">
      <c r="A992" s="9">
        <v>989</v>
      </c>
      <c r="B992" s="178">
        <f t="shared" si="289"/>
        <v>113</v>
      </c>
      <c r="C992" s="178">
        <f t="shared" si="289"/>
        <v>113</v>
      </c>
      <c r="D992" s="2">
        <f>PARAM!$H$38</f>
        <v>1</v>
      </c>
      <c r="E992" s="11">
        <f>PARAM!$G$38</f>
        <v>0</v>
      </c>
      <c r="F992" s="11">
        <f>(VLOOKUP(C992,DEDN!$A$8:$O$902,$F$2)*D992+E992)/1000</f>
        <v>0.28441000000000005</v>
      </c>
      <c r="G992" s="178">
        <f t="shared" si="290"/>
        <v>82</v>
      </c>
      <c r="H992" s="178">
        <f t="shared" si="290"/>
        <v>82</v>
      </c>
      <c r="I992" s="2">
        <f>PARAM!$H$39</f>
        <v>0</v>
      </c>
      <c r="J992" s="11">
        <f>PARAM!$G$39</f>
        <v>0</v>
      </c>
      <c r="K992" s="11">
        <f>(VLOOKUP(H992,DEDN!$A$8:$O$902,$K$2)*I992+J992)/1000</f>
        <v>0</v>
      </c>
      <c r="L992" s="11">
        <f>MIN(IF(PARAM!$B$43=3,CHOOSE($L$2,F992,K992),F992+K992-F992*K992),1)</f>
        <v>0.28441000000000005</v>
      </c>
      <c r="M992" s="2">
        <f>PARAM!$I$38</f>
        <v>0</v>
      </c>
      <c r="N992" s="11">
        <f>VLOOKUP(B992,DEDN!$A$8:$O$90,$N$2)*M992</f>
        <v>0</v>
      </c>
      <c r="P992" s="10">
        <f>PARAM!$C$53^-A992</f>
        <v>1</v>
      </c>
      <c r="Q992" s="10">
        <f t="shared" si="291"/>
        <v>1.5551894327524581E-4</v>
      </c>
      <c r="R992" s="10">
        <f t="shared" si="288"/>
        <v>1.5551894327524581E-4</v>
      </c>
      <c r="S992" s="10">
        <f>CHOOSE(PARAM!$B$51,R992,0,0,0)*(A992&lt;PARAM!$B$55)</f>
        <v>0</v>
      </c>
      <c r="T992" s="10">
        <f t="shared" si="286"/>
        <v>4.2770918234160175E-6</v>
      </c>
      <c r="U992" s="10">
        <f>T992*P992*(A992&lt;PARAM!$B$55)</f>
        <v>0</v>
      </c>
      <c r="W992">
        <v>989</v>
      </c>
      <c r="X992" s="178">
        <f t="shared" si="292"/>
        <v>113</v>
      </c>
      <c r="Y992" s="178">
        <f t="shared" si="292"/>
        <v>113</v>
      </c>
      <c r="Z992" s="178">
        <f t="shared" si="292"/>
        <v>82</v>
      </c>
      <c r="AA992" s="178">
        <f t="shared" si="292"/>
        <v>82</v>
      </c>
      <c r="AD992" s="17">
        <f>CALC!E1016*(A992&lt;PARAM!$B$55)</f>
        <v>0</v>
      </c>
      <c r="AE992">
        <f>IF(A992&lt;ITER!$C$16,1,PARAM!$C$53^-(RATES!A992-ITER!$C$16))*(A992&lt;PARAM!$B$55)</f>
        <v>0</v>
      </c>
    </row>
    <row r="993" spans="1:31" x14ac:dyDescent="0.2">
      <c r="A993" s="9">
        <v>990</v>
      </c>
      <c r="B993" s="178">
        <f t="shared" si="289"/>
        <v>114</v>
      </c>
      <c r="C993" s="178">
        <f t="shared" si="289"/>
        <v>114</v>
      </c>
      <c r="D993" s="2">
        <f>PARAM!$H$38</f>
        <v>1</v>
      </c>
      <c r="E993" s="11">
        <f>PARAM!$G$38</f>
        <v>0</v>
      </c>
      <c r="F993" s="11">
        <f>(VLOOKUP(C993,DEDN!$A$8:$O$902,$F$2)*D993+E993)/1000</f>
        <v>0.28441000000000005</v>
      </c>
      <c r="G993" s="178">
        <f t="shared" si="290"/>
        <v>83</v>
      </c>
      <c r="H993" s="178">
        <f t="shared" si="290"/>
        <v>83</v>
      </c>
      <c r="I993" s="2">
        <f>PARAM!$H$39</f>
        <v>0</v>
      </c>
      <c r="J993" s="11">
        <f>PARAM!$G$39</f>
        <v>0</v>
      </c>
      <c r="K993" s="11">
        <f>(VLOOKUP(H993,DEDN!$A$8:$O$902,$K$2)*I993+J993)/1000</f>
        <v>0</v>
      </c>
      <c r="L993" s="11">
        <f>MIN(IF(PARAM!$B$43=3,CHOOSE($L$2,F993,K993),F993+K993-F993*K993),1)</f>
        <v>0.28441000000000005</v>
      </c>
      <c r="M993" s="2">
        <f>PARAM!$I$38</f>
        <v>0</v>
      </c>
      <c r="N993" s="11">
        <f>VLOOKUP(B993,DEDN!$A$8:$O$90,$N$2)*M993</f>
        <v>0</v>
      </c>
      <c r="P993" s="10">
        <f>PARAM!$C$53^-A993</f>
        <v>1</v>
      </c>
      <c r="Q993" s="10">
        <f t="shared" si="291"/>
        <v>1.5124185145182979E-4</v>
      </c>
      <c r="R993" s="10">
        <f t="shared" si="288"/>
        <v>1.5124185145182979E-4</v>
      </c>
      <c r="S993" s="10">
        <f>CHOOSE(PARAM!$B$51,R993,R993,R993,0)*(A993&lt;PARAM!$B$55)</f>
        <v>0</v>
      </c>
      <c r="T993" s="10">
        <f t="shared" si="286"/>
        <v>4.159462973317966E-6</v>
      </c>
      <c r="U993" s="10">
        <f>T993*P993*(A993&lt;PARAM!$B$55)</f>
        <v>0</v>
      </c>
      <c r="W993">
        <v>990</v>
      </c>
      <c r="X993" s="178">
        <f t="shared" si="292"/>
        <v>114</v>
      </c>
      <c r="Y993" s="178">
        <f t="shared" si="292"/>
        <v>114</v>
      </c>
      <c r="Z993" s="178">
        <f t="shared" si="292"/>
        <v>83</v>
      </c>
      <c r="AA993" s="178">
        <f t="shared" si="292"/>
        <v>83</v>
      </c>
      <c r="AD993" s="17">
        <f>CALC!E1017*(A993&lt;PARAM!$B$55)</f>
        <v>0</v>
      </c>
      <c r="AE993">
        <f>IF(A993&lt;ITER!$C$16,1,PARAM!$C$53^-(RATES!A993-ITER!$C$16))*(A993&lt;PARAM!$B$55)</f>
        <v>0</v>
      </c>
    </row>
    <row r="994" spans="1:31" x14ac:dyDescent="0.2">
      <c r="A994" s="9">
        <v>991</v>
      </c>
      <c r="B994" s="178">
        <f t="shared" si="289"/>
        <v>114</v>
      </c>
      <c r="C994" s="178">
        <f t="shared" si="289"/>
        <v>114</v>
      </c>
      <c r="D994" s="2">
        <f>PARAM!$H$38</f>
        <v>1</v>
      </c>
      <c r="E994" s="11">
        <f>PARAM!$G$38</f>
        <v>0</v>
      </c>
      <c r="F994" s="11">
        <f>(VLOOKUP(C994,DEDN!$A$8:$O$902,$F$2)*D994+E994)/1000</f>
        <v>0.28441000000000005</v>
      </c>
      <c r="G994" s="178">
        <f t="shared" si="290"/>
        <v>83</v>
      </c>
      <c r="H994" s="178">
        <f t="shared" si="290"/>
        <v>83</v>
      </c>
      <c r="I994" s="2">
        <f>PARAM!$H$39</f>
        <v>0</v>
      </c>
      <c r="J994" s="11">
        <f>PARAM!$G$39</f>
        <v>0</v>
      </c>
      <c r="K994" s="11">
        <f>(VLOOKUP(H994,DEDN!$A$8:$O$902,$K$2)*I994+J994)/1000</f>
        <v>0</v>
      </c>
      <c r="L994" s="11">
        <f>MIN(IF(PARAM!$B$43=3,CHOOSE($L$2,F994,K994),F994+K994-F994*K994),1)</f>
        <v>0.28441000000000005</v>
      </c>
      <c r="M994" s="2">
        <f>PARAM!$I$38</f>
        <v>0</v>
      </c>
      <c r="N994" s="11">
        <f>VLOOKUP(B994,DEDN!$A$8:$O$90,$N$2)*M994</f>
        <v>0</v>
      </c>
      <c r="P994" s="10">
        <f>PARAM!$C$53^-A994</f>
        <v>1</v>
      </c>
      <c r="Q994" s="10">
        <f t="shared" si="291"/>
        <v>1.4708238847851182E-4</v>
      </c>
      <c r="R994" s="10">
        <f t="shared" si="288"/>
        <v>1.4708238847851182E-4</v>
      </c>
      <c r="S994" s="10">
        <f>CHOOSE(PARAM!$B$51,R994,0,0,0)*(A994&lt;PARAM!$B$55)</f>
        <v>0</v>
      </c>
      <c r="T994" s="10">
        <f t="shared" si="286"/>
        <v>4.0450691593020571E-6</v>
      </c>
      <c r="U994" s="10">
        <f>T994*P994*(A994&lt;PARAM!$B$55)</f>
        <v>0</v>
      </c>
      <c r="W994">
        <v>991</v>
      </c>
      <c r="X994" s="178">
        <f t="shared" si="292"/>
        <v>114</v>
      </c>
      <c r="Y994" s="178">
        <f t="shared" si="292"/>
        <v>114</v>
      </c>
      <c r="Z994" s="178">
        <f t="shared" si="292"/>
        <v>83</v>
      </c>
      <c r="AA994" s="178">
        <f t="shared" si="292"/>
        <v>83</v>
      </c>
      <c r="AD994" s="17">
        <f>CALC!E1018*(A994&lt;PARAM!$B$55)</f>
        <v>0</v>
      </c>
      <c r="AE994">
        <f>IF(A994&lt;ITER!$C$16,1,PARAM!$C$53^-(RATES!A994-ITER!$C$16))*(A994&lt;PARAM!$B$55)</f>
        <v>0</v>
      </c>
    </row>
    <row r="995" spans="1:31" x14ac:dyDescent="0.2">
      <c r="A995" s="9">
        <v>992</v>
      </c>
      <c r="B995" s="178">
        <f t="shared" si="289"/>
        <v>114</v>
      </c>
      <c r="C995" s="178">
        <f t="shared" si="289"/>
        <v>114</v>
      </c>
      <c r="D995" s="2">
        <f>PARAM!$H$38</f>
        <v>1</v>
      </c>
      <c r="E995" s="11">
        <f>PARAM!$G$38</f>
        <v>0</v>
      </c>
      <c r="F995" s="11">
        <f>(VLOOKUP(C995,DEDN!$A$8:$O$902,$F$2)*D995+E995)/1000</f>
        <v>0.28441000000000005</v>
      </c>
      <c r="G995" s="178">
        <f t="shared" si="290"/>
        <v>83</v>
      </c>
      <c r="H995" s="178">
        <f t="shared" si="290"/>
        <v>83</v>
      </c>
      <c r="I995" s="2">
        <f>PARAM!$H$39</f>
        <v>0</v>
      </c>
      <c r="J995" s="11">
        <f>PARAM!$G$39</f>
        <v>0</v>
      </c>
      <c r="K995" s="11">
        <f>(VLOOKUP(H995,DEDN!$A$8:$O$902,$K$2)*I995+J995)/1000</f>
        <v>0</v>
      </c>
      <c r="L995" s="11">
        <f>MIN(IF(PARAM!$B$43=3,CHOOSE($L$2,F995,K995),F995+K995-F995*K995),1)</f>
        <v>0.28441000000000005</v>
      </c>
      <c r="M995" s="2">
        <f>PARAM!$I$38</f>
        <v>0</v>
      </c>
      <c r="N995" s="11">
        <f>VLOOKUP(B995,DEDN!$A$8:$O$90,$N$2)*M995</f>
        <v>0</v>
      </c>
      <c r="P995" s="10">
        <f>PARAM!$C$53^-A995</f>
        <v>1</v>
      </c>
      <c r="Q995" s="10">
        <f t="shared" si="291"/>
        <v>1.4303731931920977E-4</v>
      </c>
      <c r="R995" s="10">
        <f t="shared" si="288"/>
        <v>1.4303731931920977E-4</v>
      </c>
      <c r="S995" s="10">
        <f>CHOOSE(PARAM!$B$51,R995,0,0,0)*(A995&lt;PARAM!$B$55)</f>
        <v>0</v>
      </c>
      <c r="T995" s="10">
        <f t="shared" si="286"/>
        <v>3.9338214112011468E-6</v>
      </c>
      <c r="U995" s="10">
        <f>T995*P995*(A995&lt;PARAM!$B$55)</f>
        <v>0</v>
      </c>
      <c r="W995">
        <v>992</v>
      </c>
      <c r="X995" s="178">
        <f t="shared" si="292"/>
        <v>114</v>
      </c>
      <c r="Y995" s="178">
        <f t="shared" si="292"/>
        <v>114</v>
      </c>
      <c r="Z995" s="178">
        <f t="shared" si="292"/>
        <v>83</v>
      </c>
      <c r="AA995" s="178">
        <f t="shared" si="292"/>
        <v>83</v>
      </c>
      <c r="AD995" s="17">
        <f>CALC!E1019*(A995&lt;PARAM!$B$55)</f>
        <v>0</v>
      </c>
      <c r="AE995">
        <f>IF(A995&lt;ITER!$C$16,1,PARAM!$C$53^-(RATES!A995-ITER!$C$16))*(A995&lt;PARAM!$B$55)</f>
        <v>0</v>
      </c>
    </row>
    <row r="996" spans="1:31" x14ac:dyDescent="0.2">
      <c r="A996" s="9">
        <v>993</v>
      </c>
      <c r="B996" s="178">
        <f t="shared" si="289"/>
        <v>114</v>
      </c>
      <c r="C996" s="178">
        <f t="shared" si="289"/>
        <v>114</v>
      </c>
      <c r="D996" s="2">
        <f>PARAM!$H$38</f>
        <v>1</v>
      </c>
      <c r="E996" s="11">
        <f>PARAM!$G$38</f>
        <v>0</v>
      </c>
      <c r="F996" s="11">
        <f>(VLOOKUP(C996,DEDN!$A$8:$O$902,$F$2)*D996+E996)/1000</f>
        <v>0.28441000000000005</v>
      </c>
      <c r="G996" s="178">
        <f t="shared" si="290"/>
        <v>83</v>
      </c>
      <c r="H996" s="178">
        <f t="shared" si="290"/>
        <v>83</v>
      </c>
      <c r="I996" s="2">
        <f>PARAM!$H$39</f>
        <v>0</v>
      </c>
      <c r="J996" s="11">
        <f>PARAM!$G$39</f>
        <v>0</v>
      </c>
      <c r="K996" s="11">
        <f>(VLOOKUP(H996,DEDN!$A$8:$O$902,$K$2)*I996+J996)/1000</f>
        <v>0</v>
      </c>
      <c r="L996" s="11">
        <f>MIN(IF(PARAM!$B$43=3,CHOOSE($L$2,F996,K996),F996+K996-F996*K996),1)</f>
        <v>0.28441000000000005</v>
      </c>
      <c r="M996" s="2">
        <f>PARAM!$I$38</f>
        <v>0</v>
      </c>
      <c r="N996" s="11">
        <f>VLOOKUP(B996,DEDN!$A$8:$O$90,$N$2)*M996</f>
        <v>0</v>
      </c>
      <c r="P996" s="10">
        <f>PARAM!$C$53^-A996</f>
        <v>1</v>
      </c>
      <c r="Q996" s="10">
        <f t="shared" si="291"/>
        <v>1.3910349790800862E-4</v>
      </c>
      <c r="R996" s="10">
        <f t="shared" ref="R996:R1003" si="293">P996*Q996</f>
        <v>1.3910349790800862E-4</v>
      </c>
      <c r="S996" s="10">
        <f>CHOOSE(PARAM!$B$51,R996,R996,0,0)*(A996&lt;PARAM!$B$55)</f>
        <v>0</v>
      </c>
      <c r="T996" s="10">
        <f t="shared" si="286"/>
        <v>3.8256332057112785E-6</v>
      </c>
      <c r="U996" s="10">
        <f>T996*P996*(A996&lt;PARAM!$B$55)</f>
        <v>0</v>
      </c>
      <c r="W996">
        <v>993</v>
      </c>
      <c r="X996" s="178">
        <f t="shared" si="292"/>
        <v>114</v>
      </c>
      <c r="Y996" s="178">
        <f t="shared" si="292"/>
        <v>114</v>
      </c>
      <c r="Z996" s="178">
        <f t="shared" si="292"/>
        <v>83</v>
      </c>
      <c r="AA996" s="178">
        <f t="shared" si="292"/>
        <v>83</v>
      </c>
      <c r="AD996" s="17">
        <f>CALC!E1020*(A996&lt;PARAM!$B$55)</f>
        <v>0</v>
      </c>
      <c r="AE996">
        <f>IF(A996&lt;ITER!$C$16,1,PARAM!$C$53^-(RATES!A996-ITER!$C$16))*(A996&lt;PARAM!$B$55)</f>
        <v>0</v>
      </c>
    </row>
    <row r="997" spans="1:31" x14ac:dyDescent="0.2">
      <c r="A997" s="9">
        <v>994</v>
      </c>
      <c r="B997" s="178">
        <f t="shared" si="289"/>
        <v>114</v>
      </c>
      <c r="C997" s="178">
        <f t="shared" si="289"/>
        <v>114</v>
      </c>
      <c r="D997" s="2">
        <f>PARAM!$H$38</f>
        <v>1</v>
      </c>
      <c r="E997" s="11">
        <f>PARAM!$G$38</f>
        <v>0</v>
      </c>
      <c r="F997" s="11">
        <f>(VLOOKUP(C997,DEDN!$A$8:$O$902,$F$2)*D997+E997)/1000</f>
        <v>0.28441000000000005</v>
      </c>
      <c r="G997" s="178">
        <f t="shared" si="290"/>
        <v>83</v>
      </c>
      <c r="H997" s="178">
        <f t="shared" si="290"/>
        <v>83</v>
      </c>
      <c r="I997" s="2">
        <f>PARAM!$H$39</f>
        <v>0</v>
      </c>
      <c r="J997" s="11">
        <f>PARAM!$G$39</f>
        <v>0</v>
      </c>
      <c r="K997" s="11">
        <f>(VLOOKUP(H997,DEDN!$A$8:$O$902,$K$2)*I997+J997)/1000</f>
        <v>0</v>
      </c>
      <c r="L997" s="11">
        <f>MIN(IF(PARAM!$B$43=3,CHOOSE($L$2,F997,K997),F997+K997-F997*K997),1)</f>
        <v>0.28441000000000005</v>
      </c>
      <c r="M997" s="2">
        <f>PARAM!$I$38</f>
        <v>0</v>
      </c>
      <c r="N997" s="11">
        <f>VLOOKUP(B997,DEDN!$A$8:$O$90,$N$2)*M997</f>
        <v>0</v>
      </c>
      <c r="P997" s="10">
        <f>PARAM!$C$53^-A997</f>
        <v>1</v>
      </c>
      <c r="Q997" s="10">
        <f t="shared" ref="Q997:Q1003" si="294">Q996*(1-L996)^(1/12)</f>
        <v>1.3527786470229734E-4</v>
      </c>
      <c r="R997" s="10">
        <f t="shared" si="293"/>
        <v>1.3527786470229734E-4</v>
      </c>
      <c r="S997" s="10">
        <f>CHOOSE(PARAM!$B$51,R997,0,0,0)*(A997&lt;PARAM!$B$55)</f>
        <v>0</v>
      </c>
      <c r="T997" s="10">
        <f t="shared" si="286"/>
        <v>3.7204203990979102E-6</v>
      </c>
      <c r="U997" s="10">
        <f>T997*P997*(A997&lt;PARAM!$B$55)</f>
        <v>0</v>
      </c>
      <c r="W997">
        <v>994</v>
      </c>
      <c r="X997" s="178">
        <f t="shared" si="292"/>
        <v>114</v>
      </c>
      <c r="Y997" s="178">
        <f t="shared" si="292"/>
        <v>114</v>
      </c>
      <c r="Z997" s="178">
        <f t="shared" si="292"/>
        <v>83</v>
      </c>
      <c r="AA997" s="178">
        <f t="shared" si="292"/>
        <v>83</v>
      </c>
      <c r="AD997" s="17">
        <f>CALC!E1021*(A997&lt;PARAM!$B$55)</f>
        <v>0</v>
      </c>
      <c r="AE997">
        <f>IF(A997&lt;ITER!$C$16,1,PARAM!$C$53^-(RATES!A997-ITER!$C$16))*(A997&lt;PARAM!$B$55)</f>
        <v>0</v>
      </c>
    </row>
    <row r="998" spans="1:31" x14ac:dyDescent="0.2">
      <c r="A998" s="9">
        <v>995</v>
      </c>
      <c r="B998" s="178">
        <f t="shared" si="289"/>
        <v>114</v>
      </c>
      <c r="C998" s="178">
        <f t="shared" si="289"/>
        <v>114</v>
      </c>
      <c r="D998" s="2">
        <f>PARAM!$H$38</f>
        <v>1</v>
      </c>
      <c r="E998" s="11">
        <f>PARAM!$G$38</f>
        <v>0</v>
      </c>
      <c r="F998" s="11">
        <f>(VLOOKUP(C998,DEDN!$A$8:$O$902,$F$2)*D998+E998)/1000</f>
        <v>0.28441000000000005</v>
      </c>
      <c r="G998" s="178">
        <f t="shared" si="290"/>
        <v>83</v>
      </c>
      <c r="H998" s="178">
        <f t="shared" si="290"/>
        <v>83</v>
      </c>
      <c r="I998" s="2">
        <f>PARAM!$H$39</f>
        <v>0</v>
      </c>
      <c r="J998" s="11">
        <f>PARAM!$G$39</f>
        <v>0</v>
      </c>
      <c r="K998" s="11">
        <f>(VLOOKUP(H998,DEDN!$A$8:$O$902,$K$2)*I998+J998)/1000</f>
        <v>0</v>
      </c>
      <c r="L998" s="11">
        <f>MIN(IF(PARAM!$B$43=3,CHOOSE($L$2,F998,K998),F998+K998-F998*K998),1)</f>
        <v>0.28441000000000005</v>
      </c>
      <c r="M998" s="2">
        <f>PARAM!$I$38</f>
        <v>0</v>
      </c>
      <c r="N998" s="11">
        <f>VLOOKUP(B998,DEDN!$A$8:$O$90,$N$2)*M998</f>
        <v>0</v>
      </c>
      <c r="P998" s="10">
        <f>PARAM!$C$53^-A998</f>
        <v>1</v>
      </c>
      <c r="Q998" s="10">
        <f t="shared" si="294"/>
        <v>1.3155744430319943E-4</v>
      </c>
      <c r="R998" s="10">
        <f t="shared" si="293"/>
        <v>1.3155744430319943E-4</v>
      </c>
      <c r="S998" s="10">
        <f>CHOOSE(PARAM!$B$51,R998,0,0,0)*(A998&lt;PARAM!$B$55)</f>
        <v>0</v>
      </c>
      <c r="T998" s="10">
        <f t="shared" si="286"/>
        <v>3.6181011617527129E-6</v>
      </c>
      <c r="U998" s="10">
        <f>T998*P998*(A998&lt;PARAM!$B$55)</f>
        <v>0</v>
      </c>
      <c r="W998">
        <v>995</v>
      </c>
      <c r="X998" s="178">
        <f t="shared" si="292"/>
        <v>114</v>
      </c>
      <c r="Y998" s="178">
        <f t="shared" si="292"/>
        <v>114</v>
      </c>
      <c r="Z998" s="178">
        <f t="shared" si="292"/>
        <v>83</v>
      </c>
      <c r="AA998" s="178">
        <f t="shared" si="292"/>
        <v>83</v>
      </c>
      <c r="AD998" s="17">
        <f>CALC!E1022*(A998&lt;PARAM!$B$55)</f>
        <v>0</v>
      </c>
      <c r="AE998">
        <f>IF(A998&lt;ITER!$C$16,1,PARAM!$C$53^-(RATES!A998-ITER!$C$16))*(A998&lt;PARAM!$B$55)</f>
        <v>0</v>
      </c>
    </row>
    <row r="999" spans="1:31" x14ac:dyDescent="0.2">
      <c r="A999" s="9">
        <v>996</v>
      </c>
      <c r="B999" s="178">
        <f t="shared" si="289"/>
        <v>114</v>
      </c>
      <c r="C999" s="178">
        <f t="shared" si="289"/>
        <v>114</v>
      </c>
      <c r="D999" s="2">
        <f>PARAM!$H$38</f>
        <v>1</v>
      </c>
      <c r="E999" s="11">
        <f>PARAM!$G$38</f>
        <v>0</v>
      </c>
      <c r="F999" s="11">
        <f>(VLOOKUP(C999,DEDN!$A$8:$O$902,$F$2)*D999+E999)/1000</f>
        <v>0.28441000000000005</v>
      </c>
      <c r="G999" s="178">
        <f t="shared" si="290"/>
        <v>83</v>
      </c>
      <c r="H999" s="178">
        <f t="shared" si="290"/>
        <v>83</v>
      </c>
      <c r="I999" s="2">
        <f>PARAM!$H$39</f>
        <v>0</v>
      </c>
      <c r="J999" s="11">
        <f>PARAM!$G$39</f>
        <v>0</v>
      </c>
      <c r="K999" s="11">
        <f>(VLOOKUP(H999,DEDN!$A$8:$O$902,$K$2)*I999+J999)/1000</f>
        <v>0</v>
      </c>
      <c r="L999" s="11">
        <f>MIN(IF(PARAM!$B$43=3,CHOOSE($L$2,F999,K999),F999+K999-F999*K999),1)</f>
        <v>0.28441000000000005</v>
      </c>
      <c r="M999" s="2">
        <f>PARAM!$I$38</f>
        <v>0</v>
      </c>
      <c r="N999" s="11">
        <f>VLOOKUP(B999,DEDN!$A$8:$O$90,$N$2)*M999</f>
        <v>0</v>
      </c>
      <c r="P999" s="10">
        <f>PARAM!$C$53^-A999</f>
        <v>1</v>
      </c>
      <c r="Q999" s="10">
        <f t="shared" si="294"/>
        <v>1.2793934314144672E-4</v>
      </c>
      <c r="R999" s="10">
        <f t="shared" si="293"/>
        <v>1.2793934314144672E-4</v>
      </c>
      <c r="S999" s="10">
        <f>R999*(A999&lt;PARAM!$B$55)</f>
        <v>0</v>
      </c>
      <c r="T999" s="10">
        <f t="shared" si="286"/>
        <v>3.5185959145505501E-6</v>
      </c>
      <c r="U999" s="10">
        <f>T999*P999*(A999&lt;PARAM!$B$55)</f>
        <v>0</v>
      </c>
      <c r="W999">
        <v>996</v>
      </c>
      <c r="X999" s="178">
        <f t="shared" si="292"/>
        <v>114</v>
      </c>
      <c r="Y999" s="178">
        <f t="shared" si="292"/>
        <v>114</v>
      </c>
      <c r="Z999" s="178">
        <f t="shared" si="292"/>
        <v>83</v>
      </c>
      <c r="AA999" s="178">
        <f t="shared" si="292"/>
        <v>83</v>
      </c>
      <c r="AD999" s="17">
        <f>CALC!E1023*(A999&lt;PARAM!$B$55)</f>
        <v>0</v>
      </c>
      <c r="AE999">
        <f>IF(A999&lt;ITER!$C$16,1,PARAM!$C$53^-(RATES!A999-ITER!$C$16))*(A999&lt;PARAM!$B$55)</f>
        <v>0</v>
      </c>
    </row>
    <row r="1000" spans="1:31" x14ac:dyDescent="0.2">
      <c r="A1000" s="9">
        <v>997</v>
      </c>
      <c r="B1000" s="178">
        <f t="shared" si="289"/>
        <v>114</v>
      </c>
      <c r="C1000" s="178">
        <f t="shared" si="289"/>
        <v>114</v>
      </c>
      <c r="D1000" s="2">
        <f>PARAM!$H$38</f>
        <v>1</v>
      </c>
      <c r="E1000" s="11">
        <f>PARAM!$G$38</f>
        <v>0</v>
      </c>
      <c r="F1000" s="11">
        <f>(VLOOKUP(C1000,DEDN!$A$8:$O$902,$F$2)*D1000+E1000)/1000</f>
        <v>0.28441000000000005</v>
      </c>
      <c r="G1000" s="178">
        <f t="shared" si="290"/>
        <v>83</v>
      </c>
      <c r="H1000" s="178">
        <f t="shared" si="290"/>
        <v>83</v>
      </c>
      <c r="I1000" s="2">
        <f>PARAM!$H$39</f>
        <v>0</v>
      </c>
      <c r="J1000" s="11">
        <f>PARAM!$G$39</f>
        <v>0</v>
      </c>
      <c r="K1000" s="11">
        <f>(VLOOKUP(H1000,DEDN!$A$8:$O$902,$K$2)*I1000+J1000)/1000</f>
        <v>0</v>
      </c>
      <c r="L1000" s="11">
        <f>MIN(IF(PARAM!$B$43=3,CHOOSE($L$2,F1000,K1000),F1000+K1000-F1000*K1000),1)</f>
        <v>0.28441000000000005</v>
      </c>
      <c r="M1000" s="2">
        <f>PARAM!$I$38</f>
        <v>0</v>
      </c>
      <c r="N1000" s="11">
        <f>VLOOKUP(B1000,DEDN!$A$8:$O$90,$N$2)*M1000</f>
        <v>0</v>
      </c>
      <c r="P1000" s="10">
        <f>PARAM!$C$53^-A1000</f>
        <v>1</v>
      </c>
      <c r="Q1000" s="10">
        <f t="shared" si="294"/>
        <v>1.2442074722689617E-4</v>
      </c>
      <c r="R1000" s="10">
        <f t="shared" si="293"/>
        <v>1.2442074722689617E-4</v>
      </c>
      <c r="S1000" s="10">
        <f>CHOOSE(PARAM!$B$51,R1000,0,0,0)*(A1000&lt;PARAM!$B$55)</f>
        <v>0</v>
      </c>
      <c r="T1000" s="10">
        <f t="shared" si="286"/>
        <v>3.4218272669563201E-6</v>
      </c>
      <c r="U1000" s="10">
        <f>T1000*P1000*(A1000&lt;PARAM!$B$55)</f>
        <v>0</v>
      </c>
      <c r="W1000">
        <v>997</v>
      </c>
      <c r="X1000" s="178">
        <f t="shared" si="292"/>
        <v>114</v>
      </c>
      <c r="Y1000" s="178">
        <f t="shared" si="292"/>
        <v>114</v>
      </c>
      <c r="Z1000" s="178">
        <f t="shared" si="292"/>
        <v>83</v>
      </c>
      <c r="AA1000" s="178">
        <f t="shared" si="292"/>
        <v>83</v>
      </c>
      <c r="AD1000" s="17">
        <f>CALC!E1024*(A1000&lt;PARAM!$B$55)</f>
        <v>0</v>
      </c>
      <c r="AE1000">
        <f>IF(A1000&lt;ITER!$C$16,1,PARAM!$C$53^-(RATES!A1000-ITER!$C$16))*(A1000&lt;PARAM!$B$55)</f>
        <v>0</v>
      </c>
    </row>
    <row r="1001" spans="1:31" x14ac:dyDescent="0.2">
      <c r="A1001" s="9">
        <v>998</v>
      </c>
      <c r="B1001" s="178">
        <f t="shared" ref="B1001:C1003" si="295">B989+1</f>
        <v>114</v>
      </c>
      <c r="C1001" s="178">
        <f t="shared" si="295"/>
        <v>114</v>
      </c>
      <c r="D1001" s="2">
        <f>PARAM!$H$38</f>
        <v>1</v>
      </c>
      <c r="E1001" s="11">
        <f>PARAM!$G$38</f>
        <v>0</v>
      </c>
      <c r="F1001" s="11">
        <f>(VLOOKUP(C1001,DEDN!$A$8:$O$902,$F$2)*D1001+E1001)/1000</f>
        <v>0.28441000000000005</v>
      </c>
      <c r="G1001" s="178">
        <f t="shared" ref="G1001:H1003" si="296">G989+1</f>
        <v>83</v>
      </c>
      <c r="H1001" s="178">
        <f t="shared" si="296"/>
        <v>83</v>
      </c>
      <c r="I1001" s="2">
        <f>PARAM!$H$39</f>
        <v>0</v>
      </c>
      <c r="J1001" s="11">
        <f>PARAM!$G$39</f>
        <v>0</v>
      </c>
      <c r="K1001" s="11">
        <f>(VLOOKUP(H1001,DEDN!$A$8:$O$902,$K$2)*I1001+J1001)/1000</f>
        <v>0</v>
      </c>
      <c r="L1001" s="11">
        <f>MIN(IF(PARAM!$B$43=3,CHOOSE($L$2,F1001,K1001),F1001+K1001-F1001*K1001),1)</f>
        <v>0.28441000000000005</v>
      </c>
      <c r="M1001" s="2">
        <f>PARAM!$I$38</f>
        <v>0</v>
      </c>
      <c r="N1001" s="11">
        <f>VLOOKUP(B1001,DEDN!$A$8:$O$90,$N$2)*M1001</f>
        <v>0</v>
      </c>
      <c r="P1001" s="10">
        <f>PARAM!$C$53^-A1001</f>
        <v>1</v>
      </c>
      <c r="Q1001" s="10">
        <f t="shared" si="294"/>
        <v>1.2099891995993985E-4</v>
      </c>
      <c r="R1001" s="10">
        <f t="shared" si="293"/>
        <v>1.2099891995993985E-4</v>
      </c>
      <c r="S1001" s="10">
        <f>CHOOSE(PARAM!$B$51,R1001,0,0,0)*(A1001&lt;PARAM!$B$55)</f>
        <v>0</v>
      </c>
      <c r="T1001" s="10">
        <f t="shared" si="286"/>
        <v>3.3277199568343744E-6</v>
      </c>
      <c r="U1001" s="10">
        <f>T1001*P1001*(A1001&lt;PARAM!$B$55)</f>
        <v>0</v>
      </c>
      <c r="W1001">
        <v>998</v>
      </c>
      <c r="X1001" s="178">
        <f t="shared" ref="X1001:AA1003" si="297">X989+1</f>
        <v>114</v>
      </c>
      <c r="Y1001" s="178">
        <f t="shared" si="297"/>
        <v>114</v>
      </c>
      <c r="Z1001" s="178">
        <f t="shared" si="297"/>
        <v>83</v>
      </c>
      <c r="AA1001" s="178">
        <f t="shared" si="297"/>
        <v>83</v>
      </c>
      <c r="AD1001" s="17">
        <f>CALC!E1025*(A1001&lt;PARAM!$B$55)</f>
        <v>0</v>
      </c>
      <c r="AE1001">
        <f>IF(A1001&lt;ITER!$C$16,1,PARAM!$C$53^-(RATES!A1001-ITER!$C$16))*(A1001&lt;PARAM!$B$55)</f>
        <v>0</v>
      </c>
    </row>
    <row r="1002" spans="1:31" x14ac:dyDescent="0.2">
      <c r="A1002" s="9">
        <v>999</v>
      </c>
      <c r="B1002" s="178">
        <f t="shared" si="295"/>
        <v>114</v>
      </c>
      <c r="C1002" s="178">
        <f t="shared" si="295"/>
        <v>114</v>
      </c>
      <c r="D1002" s="2">
        <f>PARAM!$H$38</f>
        <v>1</v>
      </c>
      <c r="E1002" s="11">
        <f>PARAM!$G$38</f>
        <v>0</v>
      </c>
      <c r="F1002" s="11">
        <f>(VLOOKUP(C1002,DEDN!$A$8:$O$902,$F$2)*D1002+E1002)/1000</f>
        <v>0.28441000000000005</v>
      </c>
      <c r="G1002" s="178">
        <f t="shared" si="296"/>
        <v>83</v>
      </c>
      <c r="H1002" s="178">
        <f t="shared" si="296"/>
        <v>83</v>
      </c>
      <c r="I1002" s="2">
        <f>PARAM!$H$39</f>
        <v>0</v>
      </c>
      <c r="J1002" s="11">
        <f>PARAM!$G$39</f>
        <v>0</v>
      </c>
      <c r="K1002" s="11">
        <f>(VLOOKUP(H1002,DEDN!$A$8:$O$902,$K$2)*I1002+J1002)/1000</f>
        <v>0</v>
      </c>
      <c r="L1002" s="11">
        <f>MIN(IF(PARAM!$B$43=3,CHOOSE($L$2,F1002,K1002),F1002+K1002-F1002*K1002),1)</f>
        <v>0.28441000000000005</v>
      </c>
      <c r="M1002" s="2">
        <f>PARAM!$I$38</f>
        <v>0</v>
      </c>
      <c r="N1002" s="11">
        <f>VLOOKUP(B1002,DEDN!$A$8:$O$90,$N$2)*M1002</f>
        <v>0</v>
      </c>
      <c r="P1002" s="10">
        <f>PARAM!$C$53^-A1002</f>
        <v>1</v>
      </c>
      <c r="Q1002" s="10">
        <f t="shared" si="294"/>
        <v>1.1767120000310547E-4</v>
      </c>
      <c r="R1002" s="10">
        <f t="shared" si="293"/>
        <v>1.1767120000310547E-4</v>
      </c>
      <c r="S1002" s="10">
        <f>CHOOSE(PARAM!$B$51,R1002,R1002,0,0)*(A1002&lt;PARAM!$B$55)</f>
        <v>0</v>
      </c>
      <c r="T1002" s="10">
        <f t="shared" si="286"/>
        <v>3.2362007919130656E-6</v>
      </c>
      <c r="U1002" s="10">
        <f>T1002*P1002*(A1002&lt;PARAM!$B$55)</f>
        <v>0</v>
      </c>
      <c r="W1002">
        <v>999</v>
      </c>
      <c r="X1002" s="178">
        <f t="shared" si="297"/>
        <v>114</v>
      </c>
      <c r="Y1002" s="178">
        <f t="shared" si="297"/>
        <v>114</v>
      </c>
      <c r="Z1002" s="178">
        <f t="shared" si="297"/>
        <v>83</v>
      </c>
      <c r="AA1002" s="178">
        <f t="shared" si="297"/>
        <v>83</v>
      </c>
      <c r="AD1002" s="17">
        <f>CALC!E1026*(A1002&lt;PARAM!$B$55)</f>
        <v>0</v>
      </c>
      <c r="AE1002">
        <f>IF(A1002&lt;ITER!$C$16,1,PARAM!$C$53^-(RATES!A1002-ITER!$C$16))*(A1002&lt;PARAM!$B$55)</f>
        <v>0</v>
      </c>
    </row>
    <row r="1003" spans="1:31" x14ac:dyDescent="0.2">
      <c r="A1003" s="9">
        <v>1000</v>
      </c>
      <c r="B1003" s="178">
        <f t="shared" si="295"/>
        <v>114</v>
      </c>
      <c r="C1003" s="178">
        <f t="shared" si="295"/>
        <v>114</v>
      </c>
      <c r="D1003" s="2">
        <f>PARAM!$H$38</f>
        <v>1</v>
      </c>
      <c r="E1003" s="11">
        <f>PARAM!$G$38</f>
        <v>0</v>
      </c>
      <c r="F1003" s="11">
        <f>(VLOOKUP(C1003,DEDN!$A$8:$O$902,$F$2)*D1003+E1003)/1000</f>
        <v>0.28441000000000005</v>
      </c>
      <c r="G1003" s="178">
        <f t="shared" si="296"/>
        <v>83</v>
      </c>
      <c r="H1003" s="178">
        <f t="shared" si="296"/>
        <v>83</v>
      </c>
      <c r="I1003" s="2">
        <f>PARAM!$H$39</f>
        <v>0</v>
      </c>
      <c r="J1003" s="11">
        <f>PARAM!$G$39</f>
        <v>0</v>
      </c>
      <c r="K1003" s="11">
        <f>(VLOOKUP(H1003,DEDN!$A$8:$O$902,$K$2)*I1003+J1003)/1000</f>
        <v>0</v>
      </c>
      <c r="L1003" s="11">
        <f>MIN(IF(PARAM!$B$43=3,CHOOSE($L$2,F1003,K1003),F1003+K1003-F1003*K1003),1)</f>
        <v>0.28441000000000005</v>
      </c>
      <c r="M1003" s="2">
        <f>PARAM!$I$38</f>
        <v>0</v>
      </c>
      <c r="N1003" s="11">
        <f>VLOOKUP(B1003,DEDN!$A$8:$O$90,$N$2)*M1003</f>
        <v>0</v>
      </c>
      <c r="P1003" s="10">
        <f>PARAM!$C$53^-A1003</f>
        <v>1</v>
      </c>
      <c r="Q1003" s="10">
        <f t="shared" si="294"/>
        <v>1.1443499921119241E-4</v>
      </c>
      <c r="R1003" s="10">
        <f t="shared" si="293"/>
        <v>1.1443499921119241E-4</v>
      </c>
      <c r="S1003" s="10">
        <f>CHOOSE(PARAM!$B$51,R1003,0,0,0)*(A1003&lt;PARAM!$B$55)</f>
        <v>0</v>
      </c>
      <c r="T1003" s="10">
        <f t="shared" si="286"/>
        <v>1.1443499921119241E-4</v>
      </c>
      <c r="U1003" s="10">
        <f>T1003*P1003*(A1003&lt;PARAM!$B$55)</f>
        <v>0</v>
      </c>
      <c r="W1003">
        <v>1000</v>
      </c>
      <c r="X1003" s="178">
        <f t="shared" si="297"/>
        <v>114</v>
      </c>
      <c r="Y1003" s="178">
        <f t="shared" si="297"/>
        <v>114</v>
      </c>
      <c r="Z1003" s="178">
        <f t="shared" si="297"/>
        <v>83</v>
      </c>
      <c r="AA1003" s="178">
        <f t="shared" si="297"/>
        <v>83</v>
      </c>
      <c r="AD1003" s="17">
        <f>CALC!E1027*(A1003&lt;PARAM!$B$55)</f>
        <v>0</v>
      </c>
      <c r="AE1003">
        <f>IF(A1003&lt;ITER!$C$16,1,PARAM!$C$53^-(RATES!A1003-ITER!$C$16))*(A1003&lt;PARAM!$B$55)</f>
        <v>0</v>
      </c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CO1046"/>
  <sheetViews>
    <sheetView showGridLines="0" topLeftCell="G1" workbookViewId="0">
      <selection activeCell="H23" sqref="H23"/>
    </sheetView>
  </sheetViews>
  <sheetFormatPr defaultRowHeight="12.75" x14ac:dyDescent="0.2"/>
  <cols>
    <col min="2" max="2" width="10.7109375" style="14" customWidth="1"/>
    <col min="3" max="3" width="12.28515625" bestFit="1" customWidth="1"/>
    <col min="4" max="4" width="10.7109375" customWidth="1"/>
    <col min="5" max="5" width="12.28515625" bestFit="1" customWidth="1"/>
    <col min="6" max="6" width="11.28515625" style="14" bestFit="1" customWidth="1"/>
    <col min="7" max="7" width="10.7109375" style="14" customWidth="1"/>
    <col min="8" max="8" width="15.140625" bestFit="1" customWidth="1"/>
    <col min="9" max="11" width="10.7109375" customWidth="1"/>
    <col min="12" max="13" width="12.28515625" bestFit="1" customWidth="1"/>
    <col min="14" max="25" width="10.7109375" customWidth="1"/>
    <col min="26" max="26" width="12.28515625" customWidth="1"/>
    <col min="27" max="41" width="10.7109375" customWidth="1"/>
    <col min="42" max="42" width="12.28515625" customWidth="1"/>
    <col min="43" max="45" width="10.7109375" customWidth="1"/>
    <col min="46" max="46" width="12.85546875" customWidth="1"/>
    <col min="47" max="49" width="10.7109375" customWidth="1"/>
    <col min="50" max="50" width="12.28515625" customWidth="1"/>
    <col min="51" max="82" width="10.7109375" customWidth="1"/>
    <col min="83" max="83" width="2.7109375" customWidth="1"/>
    <col min="84" max="91" width="10.7109375" customWidth="1"/>
    <col min="93" max="93" width="10.7109375" customWidth="1"/>
  </cols>
  <sheetData>
    <row r="1" spans="1:92" x14ac:dyDescent="0.2">
      <c r="B1" s="31"/>
      <c r="C1" s="77" t="s">
        <v>154</v>
      </c>
      <c r="D1" s="79">
        <f>PARAM!B55</f>
        <v>120</v>
      </c>
      <c r="E1" s="77" t="s">
        <v>155</v>
      </c>
      <c r="F1" s="78">
        <f>PARAM!C53</f>
        <v>1</v>
      </c>
      <c r="G1" s="21" t="s">
        <v>156</v>
      </c>
      <c r="H1" s="21" t="s">
        <v>15</v>
      </c>
      <c r="I1" s="21" t="s">
        <v>157</v>
      </c>
      <c r="J1" s="21" t="s">
        <v>0</v>
      </c>
      <c r="K1" s="21" t="s">
        <v>158</v>
      </c>
      <c r="L1" s="66" t="s">
        <v>159</v>
      </c>
      <c r="M1" s="67" t="s">
        <v>160</v>
      </c>
      <c r="N1" s="67"/>
      <c r="O1" s="111"/>
      <c r="P1" s="21" t="s">
        <v>156</v>
      </c>
      <c r="Q1" s="21" t="s">
        <v>15</v>
      </c>
      <c r="R1" s="21" t="s">
        <v>157</v>
      </c>
      <c r="S1" s="21" t="s">
        <v>0</v>
      </c>
      <c r="T1" s="108" t="s">
        <v>158</v>
      </c>
      <c r="U1" s="110"/>
      <c r="V1" s="110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4"/>
      <c r="CC1" s="64"/>
      <c r="CD1" s="64"/>
      <c r="CE1" s="64"/>
      <c r="CG1" s="64"/>
      <c r="CH1" s="64"/>
      <c r="CI1" s="64"/>
      <c r="CJ1" s="64"/>
      <c r="CK1" s="64"/>
      <c r="CL1" s="64"/>
      <c r="CM1" s="64"/>
      <c r="CN1" s="64"/>
    </row>
    <row r="2" spans="1:92" x14ac:dyDescent="0.2">
      <c r="B2" s="33"/>
      <c r="C2" s="34" t="s">
        <v>161</v>
      </c>
      <c r="D2" s="34"/>
      <c r="E2" s="34"/>
      <c r="F2" s="35"/>
      <c r="G2" s="30" t="s">
        <v>162</v>
      </c>
      <c r="H2" s="30" t="s">
        <v>42</v>
      </c>
      <c r="I2" s="30" t="s">
        <v>163</v>
      </c>
      <c r="J2" s="30" t="s">
        <v>164</v>
      </c>
      <c r="K2" s="30" t="s">
        <v>165</v>
      </c>
      <c r="L2" s="68" t="s">
        <v>166</v>
      </c>
      <c r="M2" s="69" t="s">
        <v>166</v>
      </c>
      <c r="N2" s="69"/>
      <c r="O2" s="112"/>
      <c r="P2" s="30" t="s">
        <v>162</v>
      </c>
      <c r="Q2" s="30" t="s">
        <v>42</v>
      </c>
      <c r="R2" s="30" t="s">
        <v>163</v>
      </c>
      <c r="S2" s="30" t="s">
        <v>164</v>
      </c>
      <c r="T2" s="40" t="s">
        <v>165</v>
      </c>
      <c r="U2" s="110"/>
      <c r="V2" s="110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G2" s="64"/>
      <c r="CH2" s="64"/>
      <c r="CI2" s="64"/>
      <c r="CJ2" s="64"/>
      <c r="CK2" s="64"/>
      <c r="CL2" s="64"/>
      <c r="CM2" s="64"/>
      <c r="CN2" s="64"/>
    </row>
    <row r="3" spans="1:92" x14ac:dyDescent="0.2">
      <c r="A3">
        <v>1</v>
      </c>
      <c r="B3" s="31" t="s">
        <v>167</v>
      </c>
      <c r="C3" s="37"/>
      <c r="D3" s="37"/>
      <c r="E3" s="37"/>
      <c r="F3" s="38"/>
      <c r="G3" s="70">
        <f>ITER!C13</f>
        <v>50000</v>
      </c>
      <c r="H3" s="64">
        <f>ITER!C14</f>
        <v>20.081305947392778</v>
      </c>
      <c r="I3" s="71">
        <f>HLOOKUP(H3/CHOOSE(PARAM!$B$51,1,3,6,10),PARAM!$C$3:$H$6,4)</f>
        <v>0.9</v>
      </c>
      <c r="J3" s="15">
        <f>IF(PARAM!$B$54=2,-ReviewValue+PARAM!$B$14*MAX((H3-ReviewPrem),0)*PARAM!$D$51+MIN(MAX((G3-ReviewSumAss),0)*HLOOKUP(MAX((G3-ReviewSumAss),0),PARAM!$C$17:$H$21,PARAM!$B$16+2),PARAM!$C$22),(PARAM!$C$10+PARAM!$B$14*H3*PARAM!$D$51+MIN(G3*HLOOKUP(G3,PARAM!$C$17:$H$21,1+PARAM!$B$16),PARAM!$C$22)))</f>
        <v>1267.7805370949707</v>
      </c>
      <c r="K3" s="20">
        <f>VLOOKUP($D$1-1,Guess,4*A3+1)</f>
        <v>-189.81416773883765</v>
      </c>
      <c r="L3" s="20">
        <f t="shared" ref="L3:L22" si="0">IF(K3&lt;0,K3,"")</f>
        <v>-189.81416773883765</v>
      </c>
      <c r="M3" s="19" t="str">
        <f t="shared" ref="M3:M12" si="1">IF(K3&gt;0,K3,"")</f>
        <v/>
      </c>
      <c r="N3" s="19"/>
      <c r="O3" s="113" t="s">
        <v>238</v>
      </c>
      <c r="P3" s="70">
        <f>G3</f>
        <v>50000</v>
      </c>
      <c r="Q3" s="107">
        <f>INDEX(PARAM!C3:H3,MATCH(MAX(I3:I22),PARAM!C6:H6))*CHOOSE(PARAM!$B$51,1,3,6,10)</f>
        <v>0</v>
      </c>
      <c r="R3" s="71">
        <f>HLOOKUP(MAX(Q3-0.01,0)/CHOOSE(PARAM!$B$51,1,3,6,10),PARAM!$C$3:$H$6,4)</f>
        <v>0.9</v>
      </c>
      <c r="S3" s="15">
        <f>IF(PARAM!$B$54=2,-ReviewValue+PARAM!$B$14*(Q3-ReviewPrem)*PARAM!$D$51+MIN(MAX((P3-ReviewSumAss),0)*HLOOKUP(MAX((P3-ReviewSumAss),0),PARAM!$C$17:$H$21,PARAM!$B$16+2),PARAM!$C$22),(PARAM!$C$10+PARAM!$B$14*Q3*PARAM!$D$51+MIN(P3*HLOOKUP(P3,PARAM!$C$17:$H$21,1+PARAM!$B$16),PARAM!$C$22)))</f>
        <v>1075</v>
      </c>
      <c r="T3" s="19">
        <f>VLOOKUP($D$1-1,$B$27:$CM$1027,86)</f>
        <v>-2013.9999999999986</v>
      </c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  <c r="BM3" s="64"/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G3" s="64"/>
      <c r="CH3" s="64"/>
      <c r="CI3" s="64"/>
      <c r="CJ3" s="64"/>
      <c r="CK3" s="64"/>
      <c r="CL3" s="64"/>
      <c r="CM3" s="64"/>
      <c r="CN3" s="64"/>
    </row>
    <row r="4" spans="1:92" x14ac:dyDescent="0.2">
      <c r="A4">
        <v>2</v>
      </c>
      <c r="B4" s="33" t="s">
        <v>168</v>
      </c>
      <c r="C4" s="166"/>
      <c r="D4" s="166"/>
      <c r="E4" s="166"/>
      <c r="F4" s="167"/>
      <c r="G4" s="70">
        <f>IF(ITER!$C$2=2,G3*IF(K3&gt;0,1+ITER!C15,1-ITER!C15),G3)</f>
        <v>50000</v>
      </c>
      <c r="H4" s="64">
        <f>ITER!C20</f>
        <v>22.035289406060361</v>
      </c>
      <c r="I4" s="71">
        <f>HLOOKUP(H4/CHOOSE(PARAM!$B$51,1,3,6,10),PARAM!$C$3:$H$6,4)</f>
        <v>0.9</v>
      </c>
      <c r="J4" s="15">
        <f>IF(PARAM!$B$54=2,-ReviewValue+PARAM!$B$14*MAX((H4-ReviewPrem),0)*PARAM!$D$51+MIN(MAX((G4-ReviewSumAss),0)*HLOOKUP(MAX((G4-ReviewSumAss),0),PARAM!$C$17:$H$21,PARAM!$B$16+2),PARAM!$C$22),(PARAM!$C$10+PARAM!$B$14*H4*PARAM!$D$51+MIN(G4*HLOOKUP(G4,PARAM!$C$17:$H$21,1+PARAM!$B$16),PARAM!$C$22)))</f>
        <v>1286.5387782981795</v>
      </c>
      <c r="K4" s="20">
        <f t="shared" ref="K4:K22" si="2">VLOOKUP($D$1-1,Guess,4*A4+1)</f>
        <v>-12.31431035347657</v>
      </c>
      <c r="L4" s="20">
        <f t="shared" si="0"/>
        <v>-12.31431035347657</v>
      </c>
      <c r="M4" s="19" t="str">
        <f t="shared" si="1"/>
        <v/>
      </c>
      <c r="N4" s="19"/>
      <c r="O4" s="114" t="s">
        <v>239</v>
      </c>
      <c r="P4" s="72">
        <f>P3</f>
        <v>50000</v>
      </c>
      <c r="Q4" s="109">
        <f>Q3</f>
        <v>0</v>
      </c>
      <c r="R4" s="73">
        <f>HLOOKUP(Q4/CHOOSE(PARAM!$B$51,1,3,6,10),PARAM!$C$3:$H$6,4)</f>
        <v>0.9</v>
      </c>
      <c r="S4" s="18">
        <f>IF(PARAM!$B$54=2,-ReviewValue+PARAM!$B$14*(Q4-ReviewPrem)*PARAM!$D$51+MIN(MAX((P4-ReviewSumAss),0)*HLOOKUP(MAX((P4-ReviewSumAss),0),PARAM!$C$17:$H$21,PARAM!$B$16+2),PARAM!$C$22),(PARAM!$C$10+PARAM!$B$14*Q4*PARAM!$D$51+MIN(P4*HLOOKUP(P4,PARAM!$C$17:$H$21,1+PARAM!$B$16),PARAM!$C$22)))</f>
        <v>1075</v>
      </c>
      <c r="T4" s="23">
        <f>VLOOKUP($D$1-1,$B$27:$CM$1027,90)</f>
        <v>-2013.9999999999986</v>
      </c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G4" s="64"/>
      <c r="CH4" s="64"/>
      <c r="CI4" s="64"/>
      <c r="CJ4" s="64"/>
      <c r="CK4" s="64"/>
      <c r="CL4" s="64"/>
      <c r="CM4" s="64"/>
      <c r="CN4" s="64"/>
    </row>
    <row r="5" spans="1:92" x14ac:dyDescent="0.2">
      <c r="A5">
        <v>3</v>
      </c>
      <c r="B5" s="87" t="s">
        <v>169</v>
      </c>
      <c r="C5" s="170">
        <f>IF(ITER!$C$2=2,MAX(G3:G4),MIN(H3:H4))</f>
        <v>20.081305947392778</v>
      </c>
      <c r="D5" s="171">
        <f>MIN(K3:K4)</f>
        <v>-189.81416773883765</v>
      </c>
      <c r="E5" s="168">
        <f>IF(ITER!$C$2=2,MIN(G3:G4),MAX(H3:H4))</f>
        <v>22.035289406060361</v>
      </c>
      <c r="F5" s="169">
        <f>MAX(K3:K4)</f>
        <v>-12.31431035347657</v>
      </c>
      <c r="G5" s="70">
        <f>IF(ITER!$C$2=2,IF(ROUND(K4,2)=0,G4,(F5/(F5-D5))*C5-(D5/(F5-D5))*E5),G3)</f>
        <v>50000</v>
      </c>
      <c r="H5" s="64">
        <f>IF(ITER!$C$2=2,H3,IF(ROUND(K4,2)=0,H4,(F5/(F5-D5))*C5-(D5/(F5-D5))*E5))</f>
        <v>22.170849845882874</v>
      </c>
      <c r="I5" s="71">
        <f>HLOOKUP(H5/CHOOSE(PARAM!$B$51,1,3,6,10),PARAM!$C$3:$H$6,4)</f>
        <v>0.9</v>
      </c>
      <c r="J5" s="15">
        <f>IF(PARAM!$B$54=2,-ReviewValue+PARAM!$B$14*MAX((H5-ReviewPrem),0)*PARAM!$D$51+MIN(MAX((G5-ReviewSumAss),0)*HLOOKUP(MAX((G5-ReviewSumAss),0),PARAM!$C$17:$H$21,PARAM!$B$16+2),PARAM!$C$22),(PARAM!$C$10+PARAM!$B$14*H5*PARAM!$D$51+MIN(G5*HLOOKUP(G5,PARAM!$C$17:$H$21,1+PARAM!$B$16),PARAM!$C$22)))</f>
        <v>1287.8401585204756</v>
      </c>
      <c r="K5" s="20">
        <f t="shared" si="2"/>
        <v>3.6486369481281145E-12</v>
      </c>
      <c r="L5" s="20" t="str">
        <f t="shared" si="0"/>
        <v/>
      </c>
      <c r="M5" s="19">
        <f t="shared" si="1"/>
        <v>3.6486369481281145E-12</v>
      </c>
      <c r="N5" s="20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G5" s="64"/>
      <c r="CH5" s="64"/>
      <c r="CI5" s="64"/>
      <c r="CJ5" s="64"/>
      <c r="CK5" s="64"/>
      <c r="CL5" s="64"/>
      <c r="CM5" s="64"/>
      <c r="CN5" s="64"/>
    </row>
    <row r="6" spans="1:92" x14ac:dyDescent="0.2">
      <c r="A6">
        <v>4</v>
      </c>
      <c r="B6" s="87" t="s">
        <v>170</v>
      </c>
      <c r="C6" s="172">
        <f>INDEX(IF(ITER!$C$2=2,$G$3:G5,$H$3:H5),MATCH(D6,$K$3:K5,0))</f>
        <v>22.035289406060361</v>
      </c>
      <c r="D6" s="20">
        <f>IF(OR(MAX($K$3:K5)&lt;0,MIN($K$3:K5)&gt;0),K4,MAX($L$3:L5))</f>
        <v>-12.31431035347657</v>
      </c>
      <c r="E6" s="15">
        <f>INDEX(IF(ITER!$C$2=2,$G$3:G5,$H$3:H5),MATCH(F6,$K$3:K5,0))</f>
        <v>22.170849845882874</v>
      </c>
      <c r="F6" s="19">
        <f>IF(OR(MAX($K$3:K5)&lt;0,MIN($K$3:K5)&gt;0),K5,MIN($M$3:M5))</f>
        <v>3.6486369481281145E-12</v>
      </c>
      <c r="G6" s="70">
        <f>IF(ITER!$C$2=2,IF(ROUND(K5,2)=0,G5,(F6/(F6-D6))*C6-(D6/(F6-D6))*E6),G4)</f>
        <v>50000</v>
      </c>
      <c r="H6" s="64">
        <f>IF(ITER!$C$2=2,H4,IF(ROUND(K5,2)=0,H5,(F6/(F6-D6))*C6-(D6/(F6-D6))*E6))</f>
        <v>22.170849845882874</v>
      </c>
      <c r="I6" s="71">
        <f>HLOOKUP(H6/CHOOSE(PARAM!$B$51,1,3,6,10),PARAM!$C$3:$H$6,4)</f>
        <v>0.9</v>
      </c>
      <c r="J6" s="15">
        <f>IF(PARAM!$B$54=2,-ReviewValue+PARAM!$B$14*MAX((H6-ReviewPrem),0)*PARAM!$D$51+MIN(MAX((G6-ReviewSumAss),0)*HLOOKUP(MAX((G6-ReviewSumAss),0),PARAM!$C$17:$H$21,PARAM!$B$16+2),PARAM!$C$22),(PARAM!$C$10+PARAM!$B$14*H6*PARAM!$D$51+MIN(G6*HLOOKUP(G6,PARAM!$C$17:$H$21,1+PARAM!$B$16),PARAM!$C$22)))</f>
        <v>1287.8401585204756</v>
      </c>
      <c r="K6" s="20">
        <f t="shared" si="2"/>
        <v>3.6486369481281145E-12</v>
      </c>
      <c r="L6" s="20" t="str">
        <f t="shared" si="0"/>
        <v/>
      </c>
      <c r="M6" s="19">
        <f t="shared" si="1"/>
        <v>3.6486369481281145E-12</v>
      </c>
      <c r="N6" s="20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5"/>
      <c r="CA6" s="65"/>
      <c r="CB6" s="65"/>
      <c r="CC6" s="65"/>
      <c r="CD6" s="65"/>
      <c r="CE6" s="65"/>
      <c r="CG6" s="65"/>
      <c r="CH6" s="65"/>
      <c r="CI6" s="65"/>
      <c r="CJ6" s="65"/>
      <c r="CK6" s="65"/>
      <c r="CL6" s="65"/>
      <c r="CM6" s="65"/>
      <c r="CN6" s="65"/>
    </row>
    <row r="7" spans="1:92" x14ac:dyDescent="0.2">
      <c r="A7">
        <v>5</v>
      </c>
      <c r="B7" s="87" t="s">
        <v>171</v>
      </c>
      <c r="C7" s="172">
        <f>INDEX(IF(ITER!$C$2=2,$G$3:G6,$H$3:H6),MATCH(D7,$K$3:K6,0))</f>
        <v>22.035289406060361</v>
      </c>
      <c r="D7" s="20">
        <f>IF(OR(MAX($K$3:K6)&lt;0,MIN($K$3:K6)&gt;0),K5,MAX($L$3:L6))</f>
        <v>-12.31431035347657</v>
      </c>
      <c r="E7" s="15">
        <f>INDEX(IF(ITER!$C$2=2,$G$3:G6,$H$3:H6),MATCH(F7,$K$3:K6,0))</f>
        <v>22.170849845882874</v>
      </c>
      <c r="F7" s="19">
        <f>IF(OR(MAX($K$3:K6)&lt;0,MIN($K$3:K6)&gt;0),K6,MIN($M$3:M6))</f>
        <v>3.6486369481281145E-12</v>
      </c>
      <c r="G7" s="70">
        <f>IF(ITER!$C$2=2,IF(ROUND(K6,2)=0,G6,(F7/(F7-D7))*C7-(D7/(F7-D7))*E7),G5)</f>
        <v>50000</v>
      </c>
      <c r="H7" s="64">
        <f>IF(ITER!$C$2=2,H5,IF(ROUND(K6,2)=0,H6,(F7/(F7-D7))*C7-(D7/(F7-D7))*E7))</f>
        <v>22.170849845882874</v>
      </c>
      <c r="I7" s="71">
        <f>HLOOKUP(H7/CHOOSE(PARAM!$B$51,1,3,6,10),PARAM!$C$3:$H$6,4)</f>
        <v>0.9</v>
      </c>
      <c r="J7" s="15">
        <f>IF(PARAM!$B$54=2,-ReviewValue+PARAM!$B$14*MAX((H7-ReviewPrem),0)*PARAM!$D$51+MIN(MAX((G7-ReviewSumAss),0)*HLOOKUP(MAX((G7-ReviewSumAss),0),PARAM!$C$17:$H$21,PARAM!$B$16+2),PARAM!$C$22),(PARAM!$C$10+PARAM!$B$14*H7*PARAM!$D$51+MIN(G7*HLOOKUP(G7,PARAM!$C$17:$H$21,1+PARAM!$B$16),PARAM!$C$22)))</f>
        <v>1287.8401585204756</v>
      </c>
      <c r="K7" s="20">
        <f t="shared" si="2"/>
        <v>3.6486369481281145E-12</v>
      </c>
      <c r="L7" s="20" t="str">
        <f t="shared" si="0"/>
        <v/>
      </c>
      <c r="M7" s="19">
        <f t="shared" si="1"/>
        <v>3.6486369481281145E-12</v>
      </c>
      <c r="N7" s="20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G7" s="13"/>
      <c r="CH7" s="13"/>
      <c r="CI7" s="13"/>
      <c r="CJ7" s="13"/>
      <c r="CK7" s="13"/>
      <c r="CL7" s="13"/>
      <c r="CM7" s="13"/>
      <c r="CN7" s="13"/>
    </row>
    <row r="8" spans="1:92" x14ac:dyDescent="0.2">
      <c r="A8">
        <v>6</v>
      </c>
      <c r="B8" s="87" t="s">
        <v>172</v>
      </c>
      <c r="C8" s="172">
        <f>INDEX(IF(ITER!$C$2=2,$G$3:G7,$H$3:H7),MATCH(D8,$K$3:K7,0))</f>
        <v>22.035289406060361</v>
      </c>
      <c r="D8" s="20">
        <f>IF(OR(MAX($K$3:K7)&lt;0,MIN($K$3:K7)&gt;0),K6,MAX($L$3:L7))</f>
        <v>-12.31431035347657</v>
      </c>
      <c r="E8" s="15">
        <f>INDEX(IF(ITER!$C$2=2,$G$3:G7,$H$3:H7),MATCH(F8,$K$3:K7,0))</f>
        <v>22.170849845882874</v>
      </c>
      <c r="F8" s="19">
        <f>IF(OR(MAX($K$3:K7)&lt;0,MIN($K$3:K7)&gt;0),K7,MIN($M$3:M7))</f>
        <v>3.6486369481281145E-12</v>
      </c>
      <c r="G8" s="70">
        <f>IF(ITER!$C$2=2,IF(ROUND(K7,2)=0,G7,(F8/(F8-D8))*C8-(D8/(F8-D8))*E8),G6)</f>
        <v>50000</v>
      </c>
      <c r="H8" s="64">
        <f>IF(ITER!$C$2=2,H6,IF(ROUND(K7,2)=0,H7,(F8/(F8-D8))*C8-(D8/(F8-D8))*E8))</f>
        <v>22.170849845882874</v>
      </c>
      <c r="I8" s="71">
        <f>HLOOKUP(H8/CHOOSE(PARAM!$B$51,1,3,6,10),PARAM!$C$3:$H$6,4)</f>
        <v>0.9</v>
      </c>
      <c r="J8" s="15">
        <f>IF(PARAM!$B$54=2,-ReviewValue+PARAM!$B$14*MAX((H8-ReviewPrem),0)*PARAM!$D$51+MIN(MAX((G8-ReviewSumAss),0)*HLOOKUP(MAX((G8-ReviewSumAss),0),PARAM!$C$17:$H$21,PARAM!$B$16+2),PARAM!$C$22),(PARAM!$C$10+PARAM!$B$14*H8*PARAM!$D$51+MIN(G8*HLOOKUP(G8,PARAM!$C$17:$H$21,1+PARAM!$B$16),PARAM!$C$22)))</f>
        <v>1287.8401585204756</v>
      </c>
      <c r="K8" s="20">
        <f t="shared" si="2"/>
        <v>3.6486369481281145E-12</v>
      </c>
      <c r="L8" s="20" t="str">
        <f t="shared" si="0"/>
        <v/>
      </c>
      <c r="M8" s="19">
        <f t="shared" si="1"/>
        <v>3.6486369481281145E-12</v>
      </c>
      <c r="N8" s="20"/>
      <c r="O8" s="13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5"/>
      <c r="CA8" s="65"/>
      <c r="CB8" s="65"/>
      <c r="CC8" s="65"/>
      <c r="CD8" s="65"/>
      <c r="CE8" s="65"/>
      <c r="CG8" s="65"/>
      <c r="CH8" s="65"/>
      <c r="CI8" s="65"/>
      <c r="CJ8" s="65"/>
      <c r="CK8" s="65"/>
      <c r="CL8" s="65"/>
      <c r="CM8" s="65"/>
      <c r="CN8" s="65"/>
    </row>
    <row r="9" spans="1:92" x14ac:dyDescent="0.2">
      <c r="A9">
        <v>7</v>
      </c>
      <c r="B9" s="87" t="s">
        <v>173</v>
      </c>
      <c r="C9" s="172">
        <f>INDEX(IF(ITER!$C$2=2,$G$3:G8,$H$3:H8),MATCH(D9,$K$3:K8,0))</f>
        <v>22.035289406060361</v>
      </c>
      <c r="D9" s="20">
        <f>IF(OR(MAX($K$3:K8)&lt;0,MIN($K$3:K8)&gt;0),K7,MAX($L$3:L8))</f>
        <v>-12.31431035347657</v>
      </c>
      <c r="E9" s="15">
        <f>INDEX(IF(ITER!$C$2=2,$G$3:G8,$H$3:H8),MATCH(F9,$K$3:K8,0))</f>
        <v>22.170849845882874</v>
      </c>
      <c r="F9" s="19">
        <f>IF(OR(MAX($K$3:K8)&lt;0,MIN($K$3:K8)&gt;0),K8,MIN($M$3:M8))</f>
        <v>3.6486369481281145E-12</v>
      </c>
      <c r="G9" s="70">
        <f>IF(ITER!$C$2=2,IF(ROUND(K8,2)=0,G8,(F9/(F9-D9))*C9-(D9/(F9-D9))*E9),G7)</f>
        <v>50000</v>
      </c>
      <c r="H9" s="64">
        <f>IF(ITER!$C$2=2,H7,IF(ROUND(K8,2)=0,H8,(F9/(F9-D9))*C9-(D9/(F9-D9))*E9))</f>
        <v>22.170849845882874</v>
      </c>
      <c r="I9" s="71">
        <f>HLOOKUP(H9/CHOOSE(PARAM!$B$51,1,3,6,10),PARAM!$C$3:$H$6,4)</f>
        <v>0.9</v>
      </c>
      <c r="J9" s="15">
        <f>IF(PARAM!$B$54=2,-ReviewValue+PARAM!$B$14*MAX((H9-ReviewPrem),0)*PARAM!$D$51+MIN(MAX((G9-ReviewSumAss),0)*HLOOKUP(MAX((G9-ReviewSumAss),0),PARAM!$C$17:$H$21,PARAM!$B$16+2),PARAM!$C$22),(PARAM!$C$10+PARAM!$B$14*H9*PARAM!$D$51+MIN(G9*HLOOKUP(G9,PARAM!$C$17:$H$21,1+PARAM!$B$16),PARAM!$C$22)))</f>
        <v>1287.8401585204756</v>
      </c>
      <c r="K9" s="20">
        <f t="shared" si="2"/>
        <v>3.6486369481281145E-12</v>
      </c>
      <c r="L9" s="20" t="str">
        <f t="shared" si="0"/>
        <v/>
      </c>
      <c r="M9" s="19">
        <f t="shared" si="1"/>
        <v>3.6486369481281145E-12</v>
      </c>
      <c r="N9" s="20"/>
      <c r="O9" s="13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G9" s="65"/>
      <c r="CH9" s="65"/>
      <c r="CI9" s="65"/>
      <c r="CJ9" s="65"/>
      <c r="CK9" s="65"/>
      <c r="CL9" s="65"/>
      <c r="CM9" s="65"/>
      <c r="CN9" s="65"/>
    </row>
    <row r="10" spans="1:92" x14ac:dyDescent="0.2">
      <c r="A10">
        <v>8</v>
      </c>
      <c r="B10" s="87" t="s">
        <v>174</v>
      </c>
      <c r="C10" s="172">
        <f>INDEX(IF(ITER!$C$2=2,$G$3:G9,$H$3:H9),MATCH(D10,$K$3:K9,0))</f>
        <v>22.035289406060361</v>
      </c>
      <c r="D10" s="20">
        <f>IF(OR(MAX($K$3:K9)&lt;0,MIN($K$3:K9)&gt;0),K8,MAX($L$3:L9))</f>
        <v>-12.31431035347657</v>
      </c>
      <c r="E10" s="15">
        <f>INDEX(IF(ITER!$C$2=2,$G$3:G9,$H$3:H9),MATCH(F10,$K$3:K9,0))</f>
        <v>22.170849845882874</v>
      </c>
      <c r="F10" s="19">
        <f>IF(OR(MAX($K$3:K9)&lt;0,MIN($K$3:K9)&gt;0),K9,MIN($M$3:M9))</f>
        <v>3.6486369481281145E-12</v>
      </c>
      <c r="G10" s="70">
        <f>IF(ITER!$C$2=2,IF(ROUND(K9,2)=0,G9,(F10/(F10-D10))*C10-(D10/(F10-D10))*E10),G8)</f>
        <v>50000</v>
      </c>
      <c r="H10" s="64">
        <f>IF(ITER!$C$2=2,H8,IF(ROUND(K9,2)=0,H9,(F10/(F10-D10))*C10-(D10/(F10-D10))*E10))</f>
        <v>22.170849845882874</v>
      </c>
      <c r="I10" s="71">
        <f>HLOOKUP(H10/CHOOSE(PARAM!$B$51,1,3,6,10),PARAM!$C$3:$H$6,4)</f>
        <v>0.9</v>
      </c>
      <c r="J10" s="15">
        <f>IF(PARAM!$B$54=2,-ReviewValue+PARAM!$B$14*MAX((H10-ReviewPrem),0)*PARAM!$D$51+MIN(MAX((G10-ReviewSumAss),0)*HLOOKUP(MAX((G10-ReviewSumAss),0),PARAM!$C$17:$H$21,PARAM!$B$16+2),PARAM!$C$22),(PARAM!$C$10+PARAM!$B$14*H10*PARAM!$D$51+MIN(G10*HLOOKUP(G10,PARAM!$C$17:$H$21,1+PARAM!$B$16),PARAM!$C$22)))</f>
        <v>1287.8401585204756</v>
      </c>
      <c r="K10" s="20">
        <f t="shared" si="2"/>
        <v>3.6486369481281145E-12</v>
      </c>
      <c r="L10" s="20" t="str">
        <f t="shared" si="0"/>
        <v/>
      </c>
      <c r="M10" s="19">
        <f t="shared" si="1"/>
        <v>3.6486369481281145E-12</v>
      </c>
      <c r="N10" s="20"/>
      <c r="O10" s="13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G10" s="65"/>
      <c r="CH10" s="65"/>
      <c r="CI10" s="65"/>
      <c r="CJ10" s="65"/>
      <c r="CK10" s="65"/>
      <c r="CL10" s="65"/>
      <c r="CM10" s="65"/>
      <c r="CN10" s="65"/>
    </row>
    <row r="11" spans="1:92" x14ac:dyDescent="0.2">
      <c r="A11">
        <v>9</v>
      </c>
      <c r="B11" s="87" t="s">
        <v>175</v>
      </c>
      <c r="C11" s="172">
        <f>INDEX(IF(ITER!$C$2=2,$G$3:G10,$H$3:H10),MATCH(D11,$K$3:K10,0))</f>
        <v>22.035289406060361</v>
      </c>
      <c r="D11" s="20">
        <f>IF(OR(MAX($K$3:K10)&lt;0,MIN($K$3:K10)&gt;0),K9,MAX($L$3:L10))</f>
        <v>-12.31431035347657</v>
      </c>
      <c r="E11" s="15">
        <f>INDEX(IF(ITER!$C$2=2,$G$3:G10,$H$3:H10),MATCH(F11,$K$3:K10,0))</f>
        <v>22.170849845882874</v>
      </c>
      <c r="F11" s="19">
        <f>IF(OR(MAX($K$3:K10)&lt;0,MIN($K$3:K10)&gt;0),K10,MIN($M$3:M10))</f>
        <v>3.6486369481281145E-12</v>
      </c>
      <c r="G11" s="70">
        <f>IF(ITER!$C$2=2,IF(ROUND(K10,2)=0,G10,(F11/(F11-D11))*C11-(D11/(F11-D11))*E11),G9)</f>
        <v>50000</v>
      </c>
      <c r="H11" s="64">
        <f>IF(ITER!$C$2=2,H9,IF(ROUND(K10,2)=0,H10,(F11/(F11-D11))*C11-(D11/(F11-D11))*E11))</f>
        <v>22.170849845882874</v>
      </c>
      <c r="I11" s="71">
        <f>HLOOKUP(H11/CHOOSE(PARAM!$B$51,1,3,6,10),PARAM!$C$3:$H$6,4)</f>
        <v>0.9</v>
      </c>
      <c r="J11" s="15">
        <f>IF(PARAM!$B$54=2,-ReviewValue+PARAM!$B$14*MAX((H11-ReviewPrem),0)*PARAM!$D$51+MIN(MAX((G11-ReviewSumAss),0)*HLOOKUP(MAX((G11-ReviewSumAss),0),PARAM!$C$17:$H$21,PARAM!$B$16+2),PARAM!$C$22),(PARAM!$C$10+PARAM!$B$14*H11*PARAM!$D$51+MIN(G11*HLOOKUP(G11,PARAM!$C$17:$H$21,1+PARAM!$B$16),PARAM!$C$22)))</f>
        <v>1287.8401585204756</v>
      </c>
      <c r="K11" s="20">
        <f t="shared" si="2"/>
        <v>3.6486369481281145E-12</v>
      </c>
      <c r="L11" s="20" t="str">
        <f t="shared" si="0"/>
        <v/>
      </c>
      <c r="M11" s="19">
        <f t="shared" si="1"/>
        <v>3.6486369481281145E-12</v>
      </c>
      <c r="N11" s="20"/>
      <c r="O11" s="13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G11" s="15"/>
      <c r="CH11" s="15"/>
      <c r="CI11" s="15"/>
      <c r="CJ11" s="15"/>
      <c r="CK11" s="15"/>
      <c r="CL11" s="15"/>
      <c r="CM11" s="15"/>
      <c r="CN11" s="15"/>
    </row>
    <row r="12" spans="1:92" x14ac:dyDescent="0.2">
      <c r="A12">
        <v>10</v>
      </c>
      <c r="B12" s="87" t="s">
        <v>176</v>
      </c>
      <c r="C12" s="172">
        <f>INDEX(IF(ITER!$C$2=2,$G$3:G11,$H$3:H11),MATCH(D12,$K$3:K11,0))</f>
        <v>22.035289406060361</v>
      </c>
      <c r="D12" s="20">
        <f>IF(OR(MAX($K$3:K11)&lt;0,MIN($K$3:K11)&gt;0),K10,MAX($L$3:L11))</f>
        <v>-12.31431035347657</v>
      </c>
      <c r="E12" s="15">
        <f>INDEX(IF(ITER!$C$2=2,$G$3:G11,$H$3:H11),MATCH(F12,$K$3:K11,0))</f>
        <v>22.170849845882874</v>
      </c>
      <c r="F12" s="19">
        <f>IF(OR(MAX($K$3:K11)&lt;0,MIN($K$3:K11)&gt;0),K11,MIN($M$3:M11))</f>
        <v>3.6486369481281145E-12</v>
      </c>
      <c r="G12" s="70">
        <f>IF(ITER!$C$2=2,IF(ROUND(K11,2)=0,G11,(F12/(F12-D12))*C12-(D12/(F12-D12))*E12),G10)</f>
        <v>50000</v>
      </c>
      <c r="H12" s="64">
        <f>IF(ITER!$C$2=2,H10,IF(ROUND(K11,2)=0,H11,(F12/(F12-D12))*C12-(D12/(F12-D12))*E12))</f>
        <v>22.170849845882874</v>
      </c>
      <c r="I12" s="71">
        <f>HLOOKUP(H12/CHOOSE(PARAM!$B$51,1,3,6,10),PARAM!$C$3:$H$6,4)</f>
        <v>0.9</v>
      </c>
      <c r="J12" s="15">
        <f>IF(PARAM!$B$54=2,-ReviewValue+PARAM!$B$14*MAX((H12-ReviewPrem),0)*PARAM!$D$51+MIN(MAX((G12-ReviewSumAss),0)*HLOOKUP(MAX((G12-ReviewSumAss),0),PARAM!$C$17:$H$21,PARAM!$B$16+2),PARAM!$C$22),(PARAM!$C$10+PARAM!$B$14*H12*PARAM!$D$51+MIN(G12*HLOOKUP(G12,PARAM!$C$17:$H$21,1+PARAM!$B$16),PARAM!$C$22)))</f>
        <v>1287.8401585204756</v>
      </c>
      <c r="K12" s="20">
        <f t="shared" si="2"/>
        <v>3.6486369481281145E-12</v>
      </c>
      <c r="L12" s="20" t="str">
        <f t="shared" si="0"/>
        <v/>
      </c>
      <c r="M12" s="19">
        <f t="shared" si="1"/>
        <v>3.6486369481281145E-12</v>
      </c>
      <c r="N12" s="20"/>
      <c r="O12" s="13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G12" s="15"/>
      <c r="CH12" s="15"/>
      <c r="CI12" s="15"/>
      <c r="CJ12" s="15"/>
      <c r="CK12" s="15"/>
      <c r="CL12" s="15"/>
      <c r="CM12" s="15"/>
      <c r="CN12" s="15"/>
    </row>
    <row r="13" spans="1:92" x14ac:dyDescent="0.2">
      <c r="A13">
        <v>11</v>
      </c>
      <c r="B13" s="87" t="s">
        <v>248</v>
      </c>
      <c r="C13" s="172">
        <f>INDEX(IF(ITER!$C$2=2,$G$3:G12,$H$3:H12),MATCH(D13,$K$3:K12,0))</f>
        <v>22.035289406060361</v>
      </c>
      <c r="D13" s="20">
        <f>IF(OR(MAX($K$3:K12)&lt;0,MIN($K$3:K12)&gt;0),K11,MAX($L$3:L12))</f>
        <v>-12.31431035347657</v>
      </c>
      <c r="E13" s="15">
        <f>INDEX(IF(ITER!$C$2=2,$G$3:G12,$H$3:H12),MATCH(F13,$K$3:K12,0))</f>
        <v>22.170849845882874</v>
      </c>
      <c r="F13" s="19">
        <f>IF(OR(MAX($K$3:K12)&lt;0,MIN($K$3:K12)&gt;0),K12,MIN($M$3:M12))</f>
        <v>3.6486369481281145E-12</v>
      </c>
      <c r="G13" s="70">
        <f>IF(ITER!$C$2=2,IF(ROUND(K12,2)=0,G12,(F13/(F13-D13))*C13-(D13/(F13-D13))*E13),G11)</f>
        <v>50000</v>
      </c>
      <c r="H13" s="64">
        <f>IF(ITER!$C$2=2,H11,IF(ROUND(K12,2)=0,H12,(F13/(F13-D13))*C13-(D13/(F13-D13))*E13))</f>
        <v>22.170849845882874</v>
      </c>
      <c r="I13" s="71">
        <f>HLOOKUP(H13/CHOOSE(PARAM!$B$51,1,3,6,10),PARAM!$C$3:$H$6,4)</f>
        <v>0.9</v>
      </c>
      <c r="J13" s="15">
        <f>IF(PARAM!$B$54=2,-ReviewValue+PARAM!$B$14*MAX((H13-ReviewPrem),0)*PARAM!$D$51+MIN(MAX((G13-ReviewSumAss),0)*HLOOKUP(MAX((G13-ReviewSumAss),0),PARAM!$C$17:$H$21,PARAM!$B$16+2),PARAM!$C$22),(PARAM!$C$10+PARAM!$B$14*H13*PARAM!$D$51+MIN(G13*HLOOKUP(G13,PARAM!$C$17:$H$21,1+PARAM!$B$16),PARAM!$C$22)))</f>
        <v>1287.8401585204756</v>
      </c>
      <c r="K13" s="20">
        <f t="shared" si="2"/>
        <v>3.6486369481281145E-12</v>
      </c>
      <c r="L13" s="20" t="str">
        <f t="shared" si="0"/>
        <v/>
      </c>
      <c r="M13" s="19">
        <f t="shared" ref="M13:M22" si="3">IF(K13&gt;0,K13,"")</f>
        <v>3.6486369481281145E-12</v>
      </c>
      <c r="N13" s="20"/>
      <c r="O13" s="13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G13" s="15"/>
      <c r="CH13" s="15"/>
      <c r="CI13" s="15"/>
      <c r="CJ13" s="15"/>
      <c r="CK13" s="15"/>
      <c r="CL13" s="15"/>
      <c r="CM13" s="15"/>
      <c r="CN13" s="15"/>
    </row>
    <row r="14" spans="1:92" x14ac:dyDescent="0.2">
      <c r="A14">
        <v>12</v>
      </c>
      <c r="B14" s="87" t="s">
        <v>249</v>
      </c>
      <c r="C14" s="172">
        <f>INDEX(IF(ITER!$C$2=2,$G$3:G13,$H$3:H13),MATCH(D14,$K$3:K13,0))</f>
        <v>22.035289406060361</v>
      </c>
      <c r="D14" s="20">
        <f>IF(OR(MAX($K$3:K13)&lt;0,MIN($K$3:K13)&gt;0),K12,MAX($L$3:L13))</f>
        <v>-12.31431035347657</v>
      </c>
      <c r="E14" s="15">
        <f>INDEX(IF(ITER!$C$2=2,$G$3:G13,$H$3:H13),MATCH(F14,$K$3:K13,0))</f>
        <v>22.170849845882874</v>
      </c>
      <c r="F14" s="19">
        <f>IF(OR(MAX($K$3:K13)&lt;0,MIN($K$3:K13)&gt;0),K13,MIN($M$3:M13))</f>
        <v>3.6486369481281145E-12</v>
      </c>
      <c r="G14" s="70">
        <f>IF(ITER!$C$2=2,IF(ROUND(K13,2)=0,G13,(F14/(F14-D14))*C14-(D14/(F14-D14))*E14),G12)</f>
        <v>50000</v>
      </c>
      <c r="H14" s="64">
        <f>IF(ITER!$C$2=2,H12,IF(ROUND(K13,2)=0,H13,(F14/(F14-D14))*C14-(D14/(F14-D14))*E14))</f>
        <v>22.170849845882874</v>
      </c>
      <c r="I14" s="71">
        <f>HLOOKUP(H14/CHOOSE(PARAM!$B$51,1,3,6,10),PARAM!$C$3:$H$6,4)</f>
        <v>0.9</v>
      </c>
      <c r="J14" s="15">
        <f>IF(PARAM!$B$54=2,-ReviewValue+PARAM!$B$14*MAX((H14-ReviewPrem),0)*PARAM!$D$51+MIN(MAX((G14-ReviewSumAss),0)*HLOOKUP(MAX((G14-ReviewSumAss),0),PARAM!$C$17:$H$21,PARAM!$B$16+2),PARAM!$C$22),(PARAM!$C$10+PARAM!$B$14*H14*PARAM!$D$51+MIN(G14*HLOOKUP(G14,PARAM!$C$17:$H$21,1+PARAM!$B$16),PARAM!$C$22)))</f>
        <v>1287.8401585204756</v>
      </c>
      <c r="K14" s="20">
        <f t="shared" si="2"/>
        <v>3.6486369481281145E-12</v>
      </c>
      <c r="L14" s="20" t="str">
        <f t="shared" si="0"/>
        <v/>
      </c>
      <c r="M14" s="19">
        <f t="shared" si="3"/>
        <v>3.6486369481281145E-12</v>
      </c>
      <c r="N14" s="20"/>
      <c r="O14" s="1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G14" s="15"/>
      <c r="CH14" s="15"/>
      <c r="CI14" s="15"/>
      <c r="CJ14" s="15"/>
      <c r="CK14" s="15"/>
      <c r="CL14" s="15"/>
      <c r="CM14" s="15"/>
      <c r="CN14" s="15"/>
    </row>
    <row r="15" spans="1:92" x14ac:dyDescent="0.2">
      <c r="A15">
        <v>13</v>
      </c>
      <c r="B15" s="87" t="s">
        <v>250</v>
      </c>
      <c r="C15" s="172">
        <f>INDEX(IF(ITER!$C$2=2,$G$3:G14,$H$3:H14),MATCH(D15,$K$3:K14,0))</f>
        <v>22.035289406060361</v>
      </c>
      <c r="D15" s="20">
        <f>IF(OR(MAX($K$3:K14)&lt;0,MIN($K$3:K14)&gt;0),K13,MAX($L$3:L14))</f>
        <v>-12.31431035347657</v>
      </c>
      <c r="E15" s="15">
        <f>INDEX(IF(ITER!$C$2=2,$G$3:G14,$H$3:H14),MATCH(F15,$K$3:K14,0))</f>
        <v>22.170849845882874</v>
      </c>
      <c r="F15" s="19">
        <f>IF(OR(MAX($K$3:K14)&lt;0,MIN($K$3:K14)&gt;0),K14,MIN($M$3:M14))</f>
        <v>3.6486369481281145E-12</v>
      </c>
      <c r="G15" s="70">
        <f>IF(ITER!$C$2=2,IF(ROUND(K14,2)=0,G14,(F15/(F15-D15))*C15-(D15/(F15-D15))*E15),G13)</f>
        <v>50000</v>
      </c>
      <c r="H15" s="64">
        <f>IF(ITER!$C$2=2,H13,IF(ROUND(K14,2)=0,H14,(F15/(F15-D15))*C15-(D15/(F15-D15))*E15))</f>
        <v>22.170849845882874</v>
      </c>
      <c r="I15" s="71">
        <f>HLOOKUP(H15/CHOOSE(PARAM!$B$51,1,3,6,10),PARAM!$C$3:$H$6,4)</f>
        <v>0.9</v>
      </c>
      <c r="J15" s="15">
        <f>IF(PARAM!$B$54=2,-ReviewValue+PARAM!$B$14*MAX((H15-ReviewPrem),0)*PARAM!$D$51+MIN(MAX((G15-ReviewSumAss),0)*HLOOKUP(MAX((G15-ReviewSumAss),0),PARAM!$C$17:$H$21,PARAM!$B$16+2),PARAM!$C$22),(PARAM!$C$10+PARAM!$B$14*H15*PARAM!$D$51+MIN(G15*HLOOKUP(G15,PARAM!$C$17:$H$21,1+PARAM!$B$16),PARAM!$C$22)))</f>
        <v>1287.8401585204756</v>
      </c>
      <c r="K15" s="20">
        <f t="shared" si="2"/>
        <v>3.6486369481281145E-12</v>
      </c>
      <c r="L15" s="20" t="str">
        <f t="shared" si="0"/>
        <v/>
      </c>
      <c r="M15" s="19">
        <f t="shared" si="3"/>
        <v>3.6486369481281145E-12</v>
      </c>
      <c r="N15" s="20"/>
      <c r="O15" s="1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G15" s="15"/>
      <c r="CH15" s="15"/>
      <c r="CI15" s="15"/>
      <c r="CJ15" s="15"/>
      <c r="CK15" s="15"/>
      <c r="CL15" s="15"/>
      <c r="CM15" s="15"/>
      <c r="CN15" s="15"/>
    </row>
    <row r="16" spans="1:92" x14ac:dyDescent="0.2">
      <c r="A16">
        <v>14</v>
      </c>
      <c r="B16" s="87" t="s">
        <v>251</v>
      </c>
      <c r="C16" s="172">
        <f>INDEX(IF(ITER!$C$2=2,$G$3:G15,$H$3:H15),MATCH(D16,$K$3:K15,0))</f>
        <v>22.035289406060361</v>
      </c>
      <c r="D16" s="20">
        <f>IF(OR(MAX($K$3:K15)&lt;0,MIN($K$3:K15)&gt;0),K14,MAX($L$3:L15))</f>
        <v>-12.31431035347657</v>
      </c>
      <c r="E16" s="15">
        <f>INDEX(IF(ITER!$C$2=2,$G$3:G15,$H$3:H15),MATCH(F16,$K$3:K15,0))</f>
        <v>22.170849845882874</v>
      </c>
      <c r="F16" s="19">
        <f>IF(OR(MAX($K$3:K15)&lt;0,MIN($K$3:K15)&gt;0),K15,MIN($M$3:M15))</f>
        <v>3.6486369481281145E-12</v>
      </c>
      <c r="G16" s="70">
        <f>IF(ITER!$C$2=2,IF(ROUND(K15,2)=0,G15,(F16/(F16-D16))*C16-(D16/(F16-D16))*E16),G14)</f>
        <v>50000</v>
      </c>
      <c r="H16" s="64">
        <f>IF(ITER!$C$2=2,H14,IF(ROUND(K15,2)=0,H15,(F16/(F16-D16))*C16-(D16/(F16-D16))*E16))</f>
        <v>22.170849845882874</v>
      </c>
      <c r="I16" s="71">
        <f>HLOOKUP(H16/CHOOSE(PARAM!$B$51,1,3,6,10),PARAM!$C$3:$H$6,4)</f>
        <v>0.9</v>
      </c>
      <c r="J16" s="15">
        <f>IF(PARAM!$B$54=2,-ReviewValue+PARAM!$B$14*MAX((H16-ReviewPrem),0)*PARAM!$D$51+MIN(MAX((G16-ReviewSumAss),0)*HLOOKUP(MAX((G16-ReviewSumAss),0),PARAM!$C$17:$H$21,PARAM!$B$16+2),PARAM!$C$22),(PARAM!$C$10+PARAM!$B$14*H16*PARAM!$D$51+MIN(G16*HLOOKUP(G16,PARAM!$C$17:$H$21,1+PARAM!$B$16),PARAM!$C$22)))</f>
        <v>1287.8401585204756</v>
      </c>
      <c r="K16" s="20">
        <f t="shared" si="2"/>
        <v>3.6486369481281145E-12</v>
      </c>
      <c r="L16" s="20" t="str">
        <f t="shared" si="0"/>
        <v/>
      </c>
      <c r="M16" s="19">
        <f t="shared" si="3"/>
        <v>3.6486369481281145E-12</v>
      </c>
      <c r="N16" s="20"/>
      <c r="O16" s="13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G16" s="15"/>
      <c r="CH16" s="15"/>
      <c r="CI16" s="15"/>
      <c r="CJ16" s="15"/>
      <c r="CK16" s="15"/>
      <c r="CL16" s="15"/>
      <c r="CM16" s="15"/>
      <c r="CN16" s="15"/>
    </row>
    <row r="17" spans="1:93" x14ac:dyDescent="0.2">
      <c r="A17">
        <v>15</v>
      </c>
      <c r="B17" s="87" t="s">
        <v>252</v>
      </c>
      <c r="C17" s="172">
        <f>INDEX(IF(ITER!$C$2=2,$G$3:G16,$H$3:H16),MATCH(D17,$K$3:K16,0))</f>
        <v>22.035289406060361</v>
      </c>
      <c r="D17" s="20">
        <f>IF(OR(MAX($K$3:K16)&lt;0,MIN($K$3:K16)&gt;0),K15,MAX($L$3:L16))</f>
        <v>-12.31431035347657</v>
      </c>
      <c r="E17" s="15">
        <f>INDEX(IF(ITER!$C$2=2,$G$3:G16,$H$3:H16),MATCH(F17,$K$3:K16,0))</f>
        <v>22.170849845882874</v>
      </c>
      <c r="F17" s="19">
        <f>IF(OR(MAX($K$3:K16)&lt;0,MIN($K$3:K16)&gt;0),K16,MIN($M$3:M16))</f>
        <v>3.6486369481281145E-12</v>
      </c>
      <c r="G17" s="70">
        <f>IF(ITER!$C$2=2,IF(ROUND(K16,2)=0,G16,(F17/(F17-D17))*C17-(D17/(F17-D17))*E17),G15)</f>
        <v>50000</v>
      </c>
      <c r="H17" s="64">
        <f>IF(ITER!$C$2=2,H15,IF(ROUND(K16,2)=0,H16,(F17/(F17-D17))*C17-(D17/(F17-D17))*E17))</f>
        <v>22.170849845882874</v>
      </c>
      <c r="I17" s="71">
        <f>HLOOKUP(H17/CHOOSE(PARAM!$B$51,1,3,6,10),PARAM!$C$3:$H$6,4)</f>
        <v>0.9</v>
      </c>
      <c r="J17" s="15">
        <f>IF(PARAM!$B$54=2,-ReviewValue+PARAM!$B$14*MAX((H17-ReviewPrem),0)*PARAM!$D$51+MIN(MAX((G17-ReviewSumAss),0)*HLOOKUP(MAX((G17-ReviewSumAss),0),PARAM!$C$17:$H$21,PARAM!$B$16+2),PARAM!$C$22),(PARAM!$C$10+PARAM!$B$14*H17*PARAM!$D$51+MIN(G17*HLOOKUP(G17,PARAM!$C$17:$H$21,1+PARAM!$B$16),PARAM!$C$22)))</f>
        <v>1287.8401585204756</v>
      </c>
      <c r="K17" s="20">
        <f t="shared" si="2"/>
        <v>3.6486369481281145E-12</v>
      </c>
      <c r="L17" s="20" t="str">
        <f t="shared" si="0"/>
        <v/>
      </c>
      <c r="M17" s="19">
        <f t="shared" si="3"/>
        <v>3.6486369481281145E-12</v>
      </c>
      <c r="N17" s="20"/>
      <c r="O17" s="13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G17" s="15"/>
      <c r="CH17" s="15"/>
      <c r="CI17" s="15"/>
      <c r="CJ17" s="15"/>
      <c r="CK17" s="15"/>
      <c r="CL17" s="15"/>
      <c r="CM17" s="15"/>
      <c r="CN17" s="15"/>
    </row>
    <row r="18" spans="1:93" x14ac:dyDescent="0.2">
      <c r="A18">
        <v>16</v>
      </c>
      <c r="B18" s="87" t="s">
        <v>253</v>
      </c>
      <c r="C18" s="172">
        <f>INDEX(IF(ITER!$C$2=2,$G$3:G17,$H$3:H17),MATCH(D18,$K$3:K17,0))</f>
        <v>22.035289406060361</v>
      </c>
      <c r="D18" s="20">
        <f>IF(OR(MAX($K$3:K17)&lt;0,MIN($K$3:K17)&gt;0),K16,MAX($L$3:L17))</f>
        <v>-12.31431035347657</v>
      </c>
      <c r="E18" s="15">
        <f>INDEX(IF(ITER!$C$2=2,$G$3:G17,$H$3:H17),MATCH(F18,$K$3:K17,0))</f>
        <v>22.170849845882874</v>
      </c>
      <c r="F18" s="19">
        <f>IF(OR(MAX($K$3:K17)&lt;0,MIN($K$3:K17)&gt;0),K17,MIN($M$3:M17))</f>
        <v>3.6486369481281145E-12</v>
      </c>
      <c r="G18" s="70">
        <f>IF(ITER!$C$2=2,IF(ROUND(K17,2)=0,G17,(F18/(F18-D18))*C18-(D18/(F18-D18))*E18),G16)</f>
        <v>50000</v>
      </c>
      <c r="H18" s="64">
        <f>IF(ITER!$C$2=2,H16,IF(ROUND(K17,2)=0,H17,(F18/(F18-D18))*C18-(D18/(F18-D18))*E18))</f>
        <v>22.170849845882874</v>
      </c>
      <c r="I18" s="71">
        <f>HLOOKUP(H18/CHOOSE(PARAM!$B$51,1,3,6,10),PARAM!$C$3:$H$6,4)</f>
        <v>0.9</v>
      </c>
      <c r="J18" s="15">
        <f>IF(PARAM!$B$54=2,-ReviewValue+PARAM!$B$14*MAX((H18-ReviewPrem),0)*PARAM!$D$51+MIN(MAX((G18-ReviewSumAss),0)*HLOOKUP(MAX((G18-ReviewSumAss),0),PARAM!$C$17:$H$21,PARAM!$B$16+2),PARAM!$C$22),(PARAM!$C$10+PARAM!$B$14*H18*PARAM!$D$51+MIN(G18*HLOOKUP(G18,PARAM!$C$17:$H$21,1+PARAM!$B$16),PARAM!$C$22)))</f>
        <v>1287.8401585204756</v>
      </c>
      <c r="K18" s="20">
        <f t="shared" si="2"/>
        <v>3.6486369481281145E-12</v>
      </c>
      <c r="L18" s="20" t="str">
        <f t="shared" si="0"/>
        <v/>
      </c>
      <c r="M18" s="19">
        <f t="shared" si="3"/>
        <v>3.6486369481281145E-12</v>
      </c>
      <c r="N18" s="20"/>
      <c r="O18" s="13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G18" s="15"/>
      <c r="CH18" s="15"/>
      <c r="CI18" s="15"/>
      <c r="CJ18" s="15"/>
      <c r="CK18" s="15"/>
      <c r="CL18" s="15"/>
      <c r="CM18" s="15"/>
      <c r="CN18" s="15"/>
    </row>
    <row r="19" spans="1:93" x14ac:dyDescent="0.2">
      <c r="A19">
        <v>17</v>
      </c>
      <c r="B19" s="87" t="s">
        <v>254</v>
      </c>
      <c r="C19" s="172">
        <f>INDEX(IF(ITER!$C$2=2,$G$3:G18,$H$3:H18),MATCH(D19,$K$3:K18,0))</f>
        <v>22.035289406060361</v>
      </c>
      <c r="D19" s="20">
        <f>IF(OR(MAX($K$3:K18)&lt;0,MIN($K$3:K18)&gt;0),K17,MAX($L$3:L18))</f>
        <v>-12.31431035347657</v>
      </c>
      <c r="E19" s="15">
        <f>INDEX(IF(ITER!$C$2=2,$G$3:G18,$H$3:H18),MATCH(F19,$K$3:K18,0))</f>
        <v>22.170849845882874</v>
      </c>
      <c r="F19" s="19">
        <f>IF(OR(MAX($K$3:K18)&lt;0,MIN($K$3:K18)&gt;0),K18,MIN($M$3:M18))</f>
        <v>3.6486369481281145E-12</v>
      </c>
      <c r="G19" s="70">
        <f>IF(ITER!$C$2=2,IF(ROUND(K18,2)=0,G18,(F19/(F19-D19))*C19-(D19/(F19-D19))*E19),G17)</f>
        <v>50000</v>
      </c>
      <c r="H19" s="64">
        <f>IF(ITER!$C$2=2,H17,IF(ROUND(K18,2)=0,H18,(F19/(F19-D19))*C19-(D19/(F19-D19))*E19))</f>
        <v>22.170849845882874</v>
      </c>
      <c r="I19" s="71">
        <f>HLOOKUP(H19/CHOOSE(PARAM!$B$51,1,3,6,10),PARAM!$C$3:$H$6,4)</f>
        <v>0.9</v>
      </c>
      <c r="J19" s="15">
        <f>IF(PARAM!$B$54=2,-ReviewValue+PARAM!$B$14*MAX((H19-ReviewPrem),0)*PARAM!$D$51+MIN(MAX((G19-ReviewSumAss),0)*HLOOKUP(MAX((G19-ReviewSumAss),0),PARAM!$C$17:$H$21,PARAM!$B$16+2),PARAM!$C$22),(PARAM!$C$10+PARAM!$B$14*H19*PARAM!$D$51+MIN(G19*HLOOKUP(G19,PARAM!$C$17:$H$21,1+PARAM!$B$16),PARAM!$C$22)))</f>
        <v>1287.8401585204756</v>
      </c>
      <c r="K19" s="20">
        <f t="shared" si="2"/>
        <v>3.6486369481281145E-12</v>
      </c>
      <c r="L19" s="20" t="str">
        <f t="shared" si="0"/>
        <v/>
      </c>
      <c r="M19" s="19">
        <f t="shared" si="3"/>
        <v>3.6486369481281145E-12</v>
      </c>
      <c r="N19" s="20"/>
      <c r="O19" s="13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G19" s="15"/>
      <c r="CH19" s="15"/>
      <c r="CI19" s="15"/>
      <c r="CJ19" s="15"/>
      <c r="CK19" s="15"/>
      <c r="CL19" s="15"/>
      <c r="CM19" s="15"/>
      <c r="CN19" s="15"/>
    </row>
    <row r="20" spans="1:93" x14ac:dyDescent="0.2">
      <c r="A20">
        <v>18</v>
      </c>
      <c r="B20" s="87" t="s">
        <v>255</v>
      </c>
      <c r="C20" s="172">
        <f>INDEX(IF(ITER!$C$2=2,$G$3:G19,$H$3:H19),MATCH(D20,$K$3:K19,0))</f>
        <v>22.035289406060361</v>
      </c>
      <c r="D20" s="20">
        <f>IF(OR(MAX($K$3:K19)&lt;0,MIN($K$3:K19)&gt;0),K18,MAX($L$3:L19))</f>
        <v>-12.31431035347657</v>
      </c>
      <c r="E20" s="15">
        <f>INDEX(IF(ITER!$C$2=2,$G$3:G19,$H$3:H19),MATCH(F20,$K$3:K19,0))</f>
        <v>22.170849845882874</v>
      </c>
      <c r="F20" s="19">
        <f>IF(OR(MAX($K$3:K19)&lt;0,MIN($K$3:K19)&gt;0),K19,MIN($M$3:M19))</f>
        <v>3.6486369481281145E-12</v>
      </c>
      <c r="G20" s="70">
        <f>IF(ITER!$C$2=2,IF(ROUND(K19,2)=0,G19,(F20/(F20-D20))*C20-(D20/(F20-D20))*E20),G18)</f>
        <v>50000</v>
      </c>
      <c r="H20" s="64">
        <f>IF(ITER!$C$2=2,H18,IF(ROUND(K19,2)=0,H19,(F20/(F20-D20))*C20-(D20/(F20-D20))*E20))</f>
        <v>22.170849845882874</v>
      </c>
      <c r="I20" s="71">
        <f>HLOOKUP(H20/CHOOSE(PARAM!$B$51,1,3,6,10),PARAM!$C$3:$H$6,4)</f>
        <v>0.9</v>
      </c>
      <c r="J20" s="15">
        <f>IF(PARAM!$B$54=2,-ReviewValue+PARAM!$B$14*MAX((H20-ReviewPrem),0)*PARAM!$D$51+MIN(MAX((G20-ReviewSumAss),0)*HLOOKUP(MAX((G20-ReviewSumAss),0),PARAM!$C$17:$H$21,PARAM!$B$16+2),PARAM!$C$22),(PARAM!$C$10+PARAM!$B$14*H20*PARAM!$D$51+MIN(G20*HLOOKUP(G20,PARAM!$C$17:$H$21,1+PARAM!$B$16),PARAM!$C$22)))</f>
        <v>1287.8401585204756</v>
      </c>
      <c r="K20" s="20">
        <f t="shared" si="2"/>
        <v>3.6486369481281145E-12</v>
      </c>
      <c r="L20" s="20" t="str">
        <f t="shared" si="0"/>
        <v/>
      </c>
      <c r="M20" s="19">
        <f t="shared" si="3"/>
        <v>3.6486369481281145E-12</v>
      </c>
      <c r="N20" s="20"/>
      <c r="O20" s="13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G20" s="15"/>
      <c r="CH20" s="15"/>
      <c r="CI20" s="15"/>
      <c r="CJ20" s="15"/>
      <c r="CK20" s="15"/>
      <c r="CL20" s="15"/>
      <c r="CM20" s="15"/>
      <c r="CN20" s="15"/>
    </row>
    <row r="21" spans="1:93" x14ac:dyDescent="0.2">
      <c r="A21">
        <v>19</v>
      </c>
      <c r="B21" s="87" t="s">
        <v>256</v>
      </c>
      <c r="C21" s="172">
        <f>INDEX(IF(ITER!$C$2=2,$G$3:G20,$H$3:H20),MATCH(D21,$K$3:K20,0))</f>
        <v>22.035289406060361</v>
      </c>
      <c r="D21" s="20">
        <f>IF(OR(MAX($K$3:K20)&lt;0,MIN($K$3:K20)&gt;0),K19,MAX($L$3:L20))</f>
        <v>-12.31431035347657</v>
      </c>
      <c r="E21" s="15">
        <f>INDEX(IF(ITER!$C$2=2,$G$3:G20,$H$3:H20),MATCH(F21,$K$3:K20,0))</f>
        <v>22.170849845882874</v>
      </c>
      <c r="F21" s="19">
        <f>IF(OR(MAX($K$3:K20)&lt;0,MIN($K$3:K20)&gt;0),K20,MIN($M$3:M20))</f>
        <v>3.6486369481281145E-12</v>
      </c>
      <c r="G21" s="70">
        <f>IF(ITER!$C$2=2,IF(ROUND(K20,2)=0,G20,(F21/(F21-D21))*C21-(D21/(F21-D21))*E21),G19)</f>
        <v>50000</v>
      </c>
      <c r="H21" s="64">
        <f>IF(ITER!$C$2=2,H19,IF(ROUND(K20,2)=0,H20,(F21/(F21-D21))*C21-(D21/(F21-D21))*E21))</f>
        <v>22.170849845882874</v>
      </c>
      <c r="I21" s="71">
        <f>HLOOKUP(H21/CHOOSE(PARAM!$B$51,1,3,6,10),PARAM!$C$3:$H$6,4)</f>
        <v>0.9</v>
      </c>
      <c r="J21" s="15">
        <f>IF(PARAM!$B$54=2,-ReviewValue+PARAM!$B$14*MAX((H21-ReviewPrem),0)*PARAM!$D$51+MIN(MAX((G21-ReviewSumAss),0)*HLOOKUP(MAX((G21-ReviewSumAss),0),PARAM!$C$17:$H$21,PARAM!$B$16+2),PARAM!$C$22),(PARAM!$C$10+PARAM!$B$14*H21*PARAM!$D$51+MIN(G21*HLOOKUP(G21,PARAM!$C$17:$H$21,1+PARAM!$B$16),PARAM!$C$22)))</f>
        <v>1287.8401585204756</v>
      </c>
      <c r="K21" s="20">
        <f t="shared" si="2"/>
        <v>3.6486369481281145E-12</v>
      </c>
      <c r="L21" s="20" t="str">
        <f t="shared" si="0"/>
        <v/>
      </c>
      <c r="M21" s="19">
        <f t="shared" si="3"/>
        <v>3.6486369481281145E-12</v>
      </c>
      <c r="N21" s="20"/>
      <c r="O21" s="13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G21" s="15"/>
      <c r="CH21" s="15"/>
      <c r="CI21" s="15"/>
      <c r="CJ21" s="15"/>
      <c r="CK21" s="15"/>
      <c r="CL21" s="15"/>
      <c r="CM21" s="15"/>
      <c r="CN21" s="15"/>
    </row>
    <row r="22" spans="1:93" x14ac:dyDescent="0.2">
      <c r="A22">
        <v>20</v>
      </c>
      <c r="B22" s="92" t="s">
        <v>257</v>
      </c>
      <c r="C22" s="173">
        <f>INDEX(IF(ITER!$C$2=2,$G$3:G21,$H$3:H21),MATCH(D22,$K$3:K21,0))</f>
        <v>22.035289406060361</v>
      </c>
      <c r="D22" s="22">
        <f>IF(OR(MAX($K$3:K21)&lt;0,MIN($K$3:K21)&gt;0),K20,MAX($L$3:L21))</f>
        <v>-12.31431035347657</v>
      </c>
      <c r="E22" s="18">
        <f>INDEX(IF(ITER!$C$2=2,$G$3:G21,$H$3:H21),MATCH(F22,$K$3:K21,0))</f>
        <v>22.170849845882874</v>
      </c>
      <c r="F22" s="23">
        <f>IF(OR(MAX($K$3:K21)&lt;0,MIN($K$3:K21)&gt;0),K21,MIN($M$3:M21))</f>
        <v>3.6486369481281145E-12</v>
      </c>
      <c r="G22" s="72">
        <f>IF(ITER!$C$2=2,IF(ROUND(K21,2)=0,G21,(F22/(F22-D22))*C22-(D22/(F22-D22))*E22),G20)</f>
        <v>50000</v>
      </c>
      <c r="H22" s="64">
        <f>IF(ITER!$C$2=2,H20,IF(ROUND(K21,2)=0,H21,(F22/(F22-D22))*C22-(D22/(F22-D22))*E22))</f>
        <v>22.170849845882874</v>
      </c>
      <c r="I22" s="71">
        <f>HLOOKUP(H22/CHOOSE(PARAM!$B$51,1,3,6,10),PARAM!$C$3:$H$6,4)</f>
        <v>0.9</v>
      </c>
      <c r="J22" s="15">
        <f>IF(PARAM!$B$54=2,-ReviewValue+PARAM!$B$14*MAX((H22-ReviewPrem),0)*PARAM!$D$51+MIN(MAX((G22-ReviewSumAss),0)*HLOOKUP(MAX((G22-ReviewSumAss),0),PARAM!$C$17:$H$21,PARAM!$B$16+2),PARAM!$C$22),(PARAM!$C$10+PARAM!$B$14*H22*PARAM!$D$51+MIN(G22*HLOOKUP(G22,PARAM!$C$17:$H$21,1+PARAM!$B$16),PARAM!$C$22)))</f>
        <v>1287.8401585204756</v>
      </c>
      <c r="K22" s="22">
        <f t="shared" si="2"/>
        <v>3.6486369481281145E-12</v>
      </c>
      <c r="L22" s="22" t="str">
        <f t="shared" si="0"/>
        <v/>
      </c>
      <c r="M22" s="23">
        <f t="shared" si="3"/>
        <v>3.6486369481281145E-12</v>
      </c>
      <c r="N22" s="20"/>
      <c r="O22" s="13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G22" s="15"/>
      <c r="CH22" s="15"/>
      <c r="CI22" s="15"/>
      <c r="CJ22" s="15"/>
      <c r="CK22" s="15"/>
      <c r="CL22" s="15"/>
      <c r="CM22" s="15"/>
      <c r="CN22" s="15"/>
    </row>
    <row r="23" spans="1:93" x14ac:dyDescent="0.2">
      <c r="B23" s="32" t="s">
        <v>177</v>
      </c>
      <c r="C23" s="28"/>
      <c r="D23" s="28"/>
      <c r="E23" s="28"/>
      <c r="F23" s="29"/>
      <c r="G23" s="74">
        <f>G22</f>
        <v>50000</v>
      </c>
      <c r="H23" s="174">
        <f>H22</f>
        <v>22.170849845882874</v>
      </c>
      <c r="I23" s="271">
        <f>MIN(IF(ITER!C2=1,M23/L23,L23/M23)-1,0.5)</f>
        <v>6.1519700206538186E-3</v>
      </c>
      <c r="J23" s="179" t="s">
        <v>178</v>
      </c>
      <c r="K23" s="272"/>
      <c r="L23" s="164">
        <f>IF(MIN(K3:K22)&lt;0,INDEX(G3:H22,MATCH(MAX(L3:L22),K3:K22,0),IF(ITER!C2=2,1,2)),1)</f>
        <v>22.035289406060361</v>
      </c>
      <c r="M23" s="165">
        <f>IF(MAX(K3:K22)&gt;0,INDEX(G3:H22,MATCH(MIN(M3:M22),K3:K22,0),IF(ITER!C2=2,1,2)),1)</f>
        <v>22.170849845882874</v>
      </c>
      <c r="N23" s="20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G23" s="15"/>
      <c r="CH23" s="15"/>
      <c r="CI23" s="15"/>
      <c r="CJ23" s="15"/>
      <c r="CK23" s="15"/>
      <c r="CL23" s="15"/>
      <c r="CM23" s="15"/>
      <c r="CN23" s="15"/>
    </row>
    <row r="24" spans="1:93" x14ac:dyDescent="0.2">
      <c r="B24" s="14">
        <v>1</v>
      </c>
      <c r="C24" s="14">
        <v>2</v>
      </c>
      <c r="D24" s="14">
        <v>3</v>
      </c>
      <c r="E24" s="14">
        <v>4</v>
      </c>
      <c r="F24" s="14">
        <v>5</v>
      </c>
      <c r="G24" s="14">
        <v>6</v>
      </c>
      <c r="H24" s="14">
        <v>7</v>
      </c>
      <c r="I24" s="14">
        <v>8</v>
      </c>
      <c r="J24" s="14">
        <v>9</v>
      </c>
      <c r="K24" s="14">
        <v>10</v>
      </c>
      <c r="L24" s="14">
        <v>11</v>
      </c>
      <c r="M24" s="14">
        <v>12</v>
      </c>
      <c r="N24" s="14">
        <v>13</v>
      </c>
      <c r="O24" s="14">
        <v>14</v>
      </c>
      <c r="P24" s="14">
        <v>15</v>
      </c>
      <c r="Q24" s="14">
        <v>16</v>
      </c>
      <c r="R24" s="14">
        <v>17</v>
      </c>
      <c r="S24" s="14">
        <v>18</v>
      </c>
      <c r="T24" s="14">
        <v>19</v>
      </c>
      <c r="U24" s="14">
        <v>20</v>
      </c>
      <c r="V24" s="14">
        <v>21</v>
      </c>
      <c r="W24" s="14">
        <v>22</v>
      </c>
      <c r="X24" s="14">
        <v>23</v>
      </c>
      <c r="Y24" s="14">
        <v>24</v>
      </c>
      <c r="Z24" s="14">
        <v>25</v>
      </c>
      <c r="AA24" s="14">
        <v>26</v>
      </c>
      <c r="AB24" s="14">
        <v>27</v>
      </c>
      <c r="AC24" s="14">
        <v>28</v>
      </c>
      <c r="AD24" s="14">
        <v>29</v>
      </c>
      <c r="AE24" s="14">
        <v>30</v>
      </c>
      <c r="AF24" s="14">
        <v>31</v>
      </c>
      <c r="AG24" s="14">
        <v>32</v>
      </c>
      <c r="AH24" s="14">
        <v>33</v>
      </c>
      <c r="AI24" s="14">
        <v>34</v>
      </c>
      <c r="AJ24" s="14">
        <v>35</v>
      </c>
      <c r="AK24" s="14">
        <v>36</v>
      </c>
      <c r="AL24" s="14">
        <v>37</v>
      </c>
      <c r="AM24" s="14">
        <v>38</v>
      </c>
      <c r="AN24" s="14">
        <v>39</v>
      </c>
      <c r="AO24" s="14">
        <v>40</v>
      </c>
      <c r="AP24" s="14">
        <v>41</v>
      </c>
      <c r="AQ24" s="14">
        <v>42</v>
      </c>
      <c r="AR24" s="14">
        <v>43</v>
      </c>
      <c r="AS24" s="14">
        <v>44</v>
      </c>
      <c r="AT24" s="14">
        <v>45</v>
      </c>
      <c r="AU24" s="14">
        <v>46</v>
      </c>
      <c r="AV24" s="14">
        <v>47</v>
      </c>
      <c r="AW24" s="14">
        <v>48</v>
      </c>
      <c r="AX24" s="14">
        <v>49</v>
      </c>
      <c r="AY24" s="14">
        <v>50</v>
      </c>
      <c r="AZ24" s="14">
        <v>51</v>
      </c>
      <c r="BA24" s="14">
        <v>52</v>
      </c>
      <c r="BB24" s="14">
        <v>53</v>
      </c>
      <c r="BC24" s="14">
        <v>54</v>
      </c>
      <c r="BD24" s="14">
        <v>55</v>
      </c>
      <c r="BE24" s="14">
        <v>56</v>
      </c>
      <c r="BF24" s="14">
        <v>57</v>
      </c>
      <c r="BG24" s="14">
        <v>58</v>
      </c>
      <c r="BH24" s="14">
        <v>59</v>
      </c>
      <c r="BI24" s="14">
        <v>60</v>
      </c>
      <c r="BJ24" s="14">
        <v>61</v>
      </c>
      <c r="BK24" s="14">
        <v>62</v>
      </c>
      <c r="BL24" s="14">
        <v>63</v>
      </c>
      <c r="BM24" s="14">
        <v>64</v>
      </c>
      <c r="BN24" s="14">
        <v>65</v>
      </c>
      <c r="BO24" s="14">
        <v>66</v>
      </c>
      <c r="BP24" s="14">
        <v>67</v>
      </c>
      <c r="BQ24" s="14">
        <v>68</v>
      </c>
      <c r="BR24" s="14">
        <v>69</v>
      </c>
      <c r="BS24" s="14">
        <v>70</v>
      </c>
      <c r="BT24" s="14">
        <v>71</v>
      </c>
      <c r="BU24" s="14">
        <v>72</v>
      </c>
      <c r="BV24" s="14">
        <v>73</v>
      </c>
      <c r="BW24" s="14">
        <v>74</v>
      </c>
      <c r="BX24" s="14">
        <v>75</v>
      </c>
      <c r="BY24" s="14">
        <v>76</v>
      </c>
      <c r="BZ24" s="14">
        <v>77</v>
      </c>
      <c r="CA24" s="14">
        <v>78</v>
      </c>
      <c r="CB24" s="14">
        <v>79</v>
      </c>
      <c r="CC24" s="14">
        <v>80</v>
      </c>
      <c r="CD24" s="14">
        <v>81</v>
      </c>
      <c r="CE24" s="14">
        <v>82</v>
      </c>
      <c r="CF24" s="14">
        <v>83</v>
      </c>
      <c r="CG24" s="14">
        <v>84</v>
      </c>
      <c r="CH24" s="14">
        <v>85</v>
      </c>
      <c r="CI24" s="14">
        <v>86</v>
      </c>
      <c r="CJ24" s="14">
        <v>87</v>
      </c>
      <c r="CK24" s="14">
        <v>88</v>
      </c>
      <c r="CL24" s="14">
        <v>89</v>
      </c>
      <c r="CM24" s="14">
        <v>90</v>
      </c>
    </row>
    <row r="25" spans="1:93" x14ac:dyDescent="0.2">
      <c r="B25" s="36"/>
      <c r="C25" s="349" t="s">
        <v>167</v>
      </c>
      <c r="D25" s="350"/>
      <c r="E25" s="350"/>
      <c r="F25" s="27">
        <f>MATCH(C25,$B$3:$B$22,0)+2</f>
        <v>3</v>
      </c>
      <c r="G25" s="349" t="s">
        <v>168</v>
      </c>
      <c r="H25" s="350"/>
      <c r="I25" s="350"/>
      <c r="J25" s="27">
        <f>MATCH(G25,$B$3:$B$22,0)+2</f>
        <v>4</v>
      </c>
      <c r="K25" s="349" t="s">
        <v>169</v>
      </c>
      <c r="L25" s="350"/>
      <c r="M25" s="350"/>
      <c r="N25" s="27">
        <f>MATCH(K25,$B$3:$B$22,0)+2</f>
        <v>5</v>
      </c>
      <c r="O25" s="349" t="s">
        <v>170</v>
      </c>
      <c r="P25" s="350"/>
      <c r="Q25" s="350"/>
      <c r="R25" s="27">
        <f>MATCH(O25,$B$3:$B$22,0)+2</f>
        <v>6</v>
      </c>
      <c r="S25" s="349" t="s">
        <v>171</v>
      </c>
      <c r="T25" s="350"/>
      <c r="U25" s="350"/>
      <c r="V25" s="27">
        <f>MATCH(S25,$B$3:$B$22,0)+2</f>
        <v>7</v>
      </c>
      <c r="W25" s="349" t="s">
        <v>172</v>
      </c>
      <c r="X25" s="350"/>
      <c r="Y25" s="350"/>
      <c r="Z25" s="27">
        <f>MATCH(W25,$B$3:$B$22,0)+2</f>
        <v>8</v>
      </c>
      <c r="AA25" s="349" t="s">
        <v>173</v>
      </c>
      <c r="AB25" s="350"/>
      <c r="AC25" s="350"/>
      <c r="AD25" s="27">
        <f>MATCH(AA25,$B$3:$B$22,0)+2</f>
        <v>9</v>
      </c>
      <c r="AE25" s="349" t="s">
        <v>174</v>
      </c>
      <c r="AF25" s="350"/>
      <c r="AG25" s="350"/>
      <c r="AH25" s="27">
        <f>MATCH(AE25,$B$3:$B$22,0)+2</f>
        <v>10</v>
      </c>
      <c r="AI25" s="349" t="s">
        <v>175</v>
      </c>
      <c r="AJ25" s="350"/>
      <c r="AK25" s="350"/>
      <c r="AL25" s="27">
        <f>MATCH(AI25,$B$3:$B$22,0)+2</f>
        <v>11</v>
      </c>
      <c r="AM25" s="349" t="s">
        <v>176</v>
      </c>
      <c r="AN25" s="350"/>
      <c r="AO25" s="350"/>
      <c r="AP25" s="27">
        <f>MATCH(AM25,$B$3:$B$22,0)+2</f>
        <v>12</v>
      </c>
      <c r="AQ25" s="349" t="s">
        <v>248</v>
      </c>
      <c r="AR25" s="350"/>
      <c r="AS25" s="350"/>
      <c r="AT25" s="27">
        <f>MATCH(AQ25,$B$3:$B$22,0)+2</f>
        <v>13</v>
      </c>
      <c r="AU25" s="349" t="s">
        <v>249</v>
      </c>
      <c r="AV25" s="350"/>
      <c r="AW25" s="350"/>
      <c r="AX25" s="27">
        <f>MATCH(AU25,$B$3:$B$22,0)+2</f>
        <v>14</v>
      </c>
      <c r="AY25" s="349" t="s">
        <v>250</v>
      </c>
      <c r="AZ25" s="350"/>
      <c r="BA25" s="350"/>
      <c r="BB25" s="27">
        <f>MATCH(AY25,$B$3:$B$22,0)+2</f>
        <v>15</v>
      </c>
      <c r="BC25" s="349" t="s">
        <v>251</v>
      </c>
      <c r="BD25" s="350"/>
      <c r="BE25" s="350"/>
      <c r="BF25" s="27">
        <f>MATCH(BC25,$B$3:$B$22,0)+2</f>
        <v>16</v>
      </c>
      <c r="BG25" s="349" t="s">
        <v>252</v>
      </c>
      <c r="BH25" s="350"/>
      <c r="BI25" s="350"/>
      <c r="BJ25" s="27">
        <f>MATCH(BG25,$B$3:$B$22,0)+2</f>
        <v>17</v>
      </c>
      <c r="BK25" s="349" t="s">
        <v>253</v>
      </c>
      <c r="BL25" s="350"/>
      <c r="BM25" s="350"/>
      <c r="BN25" s="27">
        <f>MATCH(BK25,$B$3:$B$22,0)+2</f>
        <v>18</v>
      </c>
      <c r="BO25" s="349" t="s">
        <v>254</v>
      </c>
      <c r="BP25" s="350"/>
      <c r="BQ25" s="350"/>
      <c r="BR25" s="27">
        <f>MATCH(BO25,$B$3:$B$22,0)+2</f>
        <v>19</v>
      </c>
      <c r="BS25" s="349" t="s">
        <v>255</v>
      </c>
      <c r="BT25" s="350"/>
      <c r="BU25" s="350"/>
      <c r="BV25" s="27">
        <f>MATCH(BS25,$B$3:$B$22,0)+2</f>
        <v>20</v>
      </c>
      <c r="BW25" s="349" t="s">
        <v>256</v>
      </c>
      <c r="BX25" s="350"/>
      <c r="BY25" s="350"/>
      <c r="BZ25" s="27">
        <f>MATCH(BW25,$B$3:$B$22,0)+2</f>
        <v>21</v>
      </c>
      <c r="CA25" s="349" t="s">
        <v>257</v>
      </c>
      <c r="CB25" s="350"/>
      <c r="CC25" s="350"/>
      <c r="CD25" s="27">
        <f>MATCH(CA25,$B$3:$B$22,0)+2</f>
        <v>22</v>
      </c>
      <c r="CE25" s="31"/>
      <c r="CF25" s="26" t="s">
        <v>238</v>
      </c>
      <c r="CG25" s="26"/>
      <c r="CH25" s="26"/>
      <c r="CI25" s="27"/>
      <c r="CJ25" s="26" t="s">
        <v>239</v>
      </c>
      <c r="CK25" s="26"/>
      <c r="CL25" s="26"/>
      <c r="CM25" s="27"/>
    </row>
    <row r="26" spans="1:93" x14ac:dyDescent="0.2">
      <c r="B26" s="39" t="s">
        <v>138</v>
      </c>
      <c r="C26" s="30" t="s">
        <v>15</v>
      </c>
      <c r="D26" s="30" t="s">
        <v>179</v>
      </c>
      <c r="E26" s="30" t="s">
        <v>180</v>
      </c>
      <c r="F26" s="40" t="s">
        <v>181</v>
      </c>
      <c r="G26" s="30" t="s">
        <v>15</v>
      </c>
      <c r="H26" s="30" t="s">
        <v>179</v>
      </c>
      <c r="I26" s="30" t="s">
        <v>180</v>
      </c>
      <c r="J26" s="40" t="s">
        <v>181</v>
      </c>
      <c r="K26" s="30" t="s">
        <v>15</v>
      </c>
      <c r="L26" s="30" t="s">
        <v>179</v>
      </c>
      <c r="M26" s="30" t="s">
        <v>180</v>
      </c>
      <c r="N26" s="40" t="s">
        <v>181</v>
      </c>
      <c r="O26" s="30" t="s">
        <v>15</v>
      </c>
      <c r="P26" s="30" t="s">
        <v>179</v>
      </c>
      <c r="Q26" s="30" t="s">
        <v>180</v>
      </c>
      <c r="R26" s="40" t="s">
        <v>181</v>
      </c>
      <c r="S26" s="30" t="s">
        <v>15</v>
      </c>
      <c r="T26" s="30" t="s">
        <v>179</v>
      </c>
      <c r="U26" s="30" t="s">
        <v>180</v>
      </c>
      <c r="V26" s="40" t="s">
        <v>181</v>
      </c>
      <c r="W26" s="30" t="s">
        <v>15</v>
      </c>
      <c r="X26" s="30" t="s">
        <v>179</v>
      </c>
      <c r="Y26" s="30" t="s">
        <v>180</v>
      </c>
      <c r="Z26" s="40" t="s">
        <v>181</v>
      </c>
      <c r="AA26" s="30" t="s">
        <v>15</v>
      </c>
      <c r="AB26" s="30" t="s">
        <v>179</v>
      </c>
      <c r="AC26" s="30" t="s">
        <v>180</v>
      </c>
      <c r="AD26" s="40" t="s">
        <v>181</v>
      </c>
      <c r="AE26" s="30" t="s">
        <v>15</v>
      </c>
      <c r="AF26" s="30" t="s">
        <v>179</v>
      </c>
      <c r="AG26" s="30" t="s">
        <v>180</v>
      </c>
      <c r="AH26" s="40" t="s">
        <v>181</v>
      </c>
      <c r="AI26" s="30" t="s">
        <v>15</v>
      </c>
      <c r="AJ26" s="30" t="s">
        <v>179</v>
      </c>
      <c r="AK26" s="30" t="s">
        <v>180</v>
      </c>
      <c r="AL26" s="40" t="s">
        <v>181</v>
      </c>
      <c r="AM26" s="30" t="s">
        <v>15</v>
      </c>
      <c r="AN26" s="30" t="s">
        <v>179</v>
      </c>
      <c r="AO26" s="30" t="s">
        <v>180</v>
      </c>
      <c r="AP26" s="40" t="s">
        <v>181</v>
      </c>
      <c r="AQ26" s="30" t="s">
        <v>15</v>
      </c>
      <c r="AR26" s="30" t="s">
        <v>179</v>
      </c>
      <c r="AS26" s="30" t="s">
        <v>180</v>
      </c>
      <c r="AT26" s="40" t="s">
        <v>181</v>
      </c>
      <c r="AU26" s="30" t="s">
        <v>15</v>
      </c>
      <c r="AV26" s="30" t="s">
        <v>179</v>
      </c>
      <c r="AW26" s="30" t="s">
        <v>180</v>
      </c>
      <c r="AX26" s="40" t="s">
        <v>181</v>
      </c>
      <c r="AY26" s="30" t="s">
        <v>15</v>
      </c>
      <c r="AZ26" s="30" t="s">
        <v>179</v>
      </c>
      <c r="BA26" s="30" t="s">
        <v>180</v>
      </c>
      <c r="BB26" s="40" t="s">
        <v>181</v>
      </c>
      <c r="BC26" s="30" t="s">
        <v>15</v>
      </c>
      <c r="BD26" s="30" t="s">
        <v>179</v>
      </c>
      <c r="BE26" s="30" t="s">
        <v>180</v>
      </c>
      <c r="BF26" s="40" t="s">
        <v>181</v>
      </c>
      <c r="BG26" s="30" t="s">
        <v>15</v>
      </c>
      <c r="BH26" s="30" t="s">
        <v>179</v>
      </c>
      <c r="BI26" s="30" t="s">
        <v>180</v>
      </c>
      <c r="BJ26" s="40" t="s">
        <v>181</v>
      </c>
      <c r="BK26" s="30" t="s">
        <v>15</v>
      </c>
      <c r="BL26" s="30" t="s">
        <v>179</v>
      </c>
      <c r="BM26" s="30" t="s">
        <v>180</v>
      </c>
      <c r="BN26" s="40" t="s">
        <v>181</v>
      </c>
      <c r="BO26" s="30" t="s">
        <v>15</v>
      </c>
      <c r="BP26" s="30" t="s">
        <v>179</v>
      </c>
      <c r="BQ26" s="30" t="s">
        <v>180</v>
      </c>
      <c r="BR26" s="40" t="s">
        <v>181</v>
      </c>
      <c r="BS26" s="30" t="s">
        <v>15</v>
      </c>
      <c r="BT26" s="30" t="s">
        <v>179</v>
      </c>
      <c r="BU26" s="30" t="s">
        <v>180</v>
      </c>
      <c r="BV26" s="40" t="s">
        <v>181</v>
      </c>
      <c r="BW26" s="30" t="s">
        <v>15</v>
      </c>
      <c r="BX26" s="30" t="s">
        <v>179</v>
      </c>
      <c r="BY26" s="30" t="s">
        <v>180</v>
      </c>
      <c r="BZ26" s="40" t="s">
        <v>181</v>
      </c>
      <c r="CA26" s="30" t="s">
        <v>15</v>
      </c>
      <c r="CB26" s="30" t="s">
        <v>179</v>
      </c>
      <c r="CC26" s="30" t="s">
        <v>180</v>
      </c>
      <c r="CD26" s="40" t="s">
        <v>181</v>
      </c>
      <c r="CE26" s="33"/>
      <c r="CF26" s="30" t="s">
        <v>15</v>
      </c>
      <c r="CG26" s="30" t="s">
        <v>179</v>
      </c>
      <c r="CH26" s="30" t="s">
        <v>180</v>
      </c>
      <c r="CI26" s="40" t="s">
        <v>181</v>
      </c>
      <c r="CJ26" s="30" t="s">
        <v>15</v>
      </c>
      <c r="CK26" s="30" t="s">
        <v>179</v>
      </c>
      <c r="CL26" s="30" t="s">
        <v>180</v>
      </c>
      <c r="CM26" s="40" t="s">
        <v>181</v>
      </c>
    </row>
    <row r="27" spans="1:93" x14ac:dyDescent="0.2">
      <c r="A27" t="b">
        <f>F27&gt;0</f>
        <v>0</v>
      </c>
      <c r="B27" s="33">
        <v>0</v>
      </c>
      <c r="C27" s="15">
        <f>$H$3*$CE27</f>
        <v>20.081305947392778</v>
      </c>
      <c r="D27" s="75">
        <f>C27*(1-PARAM!$C$27)*$I$3+(MOD($B27,60)=PARAM!$B$56)*($B27&gt;(60-PARAM!$B$56))*HLOOKUP(($B27+PARAM!$B$56)/12,Loyalty,2)*$F$1*MAX(F26,0)</f>
        <v>16.808053077967756</v>
      </c>
      <c r="E27" s="75">
        <f>PARAM!$C$26+$G$3*RATES!$L3/12+$H$3*(PARAM!$D$51/12)*RATES!$N3/100</f>
        <v>7</v>
      </c>
      <c r="F27" s="16">
        <f>D27-E27-J3</f>
        <v>-1257.9724840170029</v>
      </c>
      <c r="G27" s="15">
        <f>$H$4*$CE27</f>
        <v>22.035289406060361</v>
      </c>
      <c r="H27" s="75">
        <f>G27*(1-PARAM!$C$27)*$I$4+(MOD($B27,60)=PARAM!$B$56)*($B27&gt;(60-PARAM!$B$56))*HLOOKUP(($B27+PARAM!$B$56)/12,Loyalty,2)*$F$1*MAX(J26,0)</f>
        <v>18.443537232872522</v>
      </c>
      <c r="I27" s="75">
        <f>PARAM!$C$26+$G$3*RATES!$L3/12+$H$3*(PARAM!$D$51/12)*RATES!$N3/100</f>
        <v>7</v>
      </c>
      <c r="J27" s="16">
        <f>H27-I27-J4</f>
        <v>-1275.0952410653069</v>
      </c>
      <c r="K27" s="15">
        <f>$H$5*$CE27</f>
        <v>22.170849845882874</v>
      </c>
      <c r="L27" s="75">
        <f>K27*(1-PARAM!$C$27)*$I$5+(MOD($B27,60)=PARAM!$B$56)*($B27&gt;(60-PARAM!$B$56))*HLOOKUP(($B27+PARAM!$B$56)/12,Loyalty,2)*$F$1*MAX(N26,0)</f>
        <v>18.557001321003963</v>
      </c>
      <c r="M27" s="75">
        <f>PARAM!$C$26+$G$5*RATES!$L3/12+$H$5*(PARAM!$D$51/12)*RATES!$N3/100</f>
        <v>7</v>
      </c>
      <c r="N27" s="16">
        <f>L27-M27-J5</f>
        <v>-1276.2831571994716</v>
      </c>
      <c r="O27" s="15">
        <f>$H$6*$CE27</f>
        <v>22.170849845882874</v>
      </c>
      <c r="P27" s="75">
        <f>O27*(1-PARAM!$C$27)*$I$6+(MOD($B27,60)=PARAM!$B$56)*($B27&gt;(60-PARAM!$B$56))*HLOOKUP(($B27+PARAM!$B$56)/12,Loyalty,2)*$F$1*MAX(R26,0)</f>
        <v>18.557001321003963</v>
      </c>
      <c r="Q27" s="75">
        <f>PARAM!$C$26+$G$6*RATES!$L3/12+$H$6*(PARAM!$D$51/12)*RATES!$N3/100</f>
        <v>7</v>
      </c>
      <c r="R27" s="16">
        <f>P27-Q27-J6</f>
        <v>-1276.2831571994716</v>
      </c>
      <c r="S27" s="15">
        <f t="shared" ref="S27:S90" si="4">$H$7*$CE27</f>
        <v>22.170849845882874</v>
      </c>
      <c r="T27" s="75">
        <f>S27*(1-PARAM!$C$27)*$I$7+(MOD($B27,60)=PARAM!$B$56)*($B27&gt;(60-PARAM!$B$56))*HLOOKUP(($B27+PARAM!$B$56)/12,Loyalty,2)*$F$1*MAX(V26,0)</f>
        <v>18.557001321003963</v>
      </c>
      <c r="U27" s="75">
        <f>PARAM!$C$26+$G$7*RATES!$L3/12+$H$7*(PARAM!$D$51/12)*RATES!$N3/100</f>
        <v>7</v>
      </c>
      <c r="V27" s="16">
        <f>T27-U27-J7</f>
        <v>-1276.2831571994716</v>
      </c>
      <c r="W27" s="15">
        <f t="shared" ref="W27:W90" si="5">$H$8*$CE27</f>
        <v>22.170849845882874</v>
      </c>
      <c r="X27" s="75">
        <f>W27*(1-PARAM!$C$27)*$I$8+(MOD($B27,60)=PARAM!$B$56)*($B27&gt;(60-PARAM!$B$56))*HLOOKUP(($B27+PARAM!$B$56)/12,Loyalty,2)*$F$1*MAX(Z26,0)</f>
        <v>18.557001321003963</v>
      </c>
      <c r="Y27" s="75">
        <f>PARAM!$C$26+$G$8*RATES!$L3/12+$H$8*(PARAM!$D$51/12)*RATES!$N3/100</f>
        <v>7</v>
      </c>
      <c r="Z27" s="16">
        <f>X27-Y27-$J$8</f>
        <v>-1276.2831571994716</v>
      </c>
      <c r="AA27" s="15">
        <f t="shared" ref="AA27:AA90" si="6">$H$9*$CE27</f>
        <v>22.170849845882874</v>
      </c>
      <c r="AB27" s="75">
        <f>AA27*(1-PARAM!$C$27)*$I$9+(MOD($B27,60)=PARAM!$B$56)*($B27&gt;(60-PARAM!$B$56))*HLOOKUP(($B27+PARAM!$B$56)/12,Loyalty,2)*$F$1*MAX(AD26,0)</f>
        <v>18.557001321003963</v>
      </c>
      <c r="AC27" s="75">
        <f>PARAM!$C$26+$G$9*RATES!$L3/12+$H$9*(PARAM!$D$51/12)*RATES!$N3/100</f>
        <v>7</v>
      </c>
      <c r="AD27" s="16">
        <f>AB27-AC27-$J$9</f>
        <v>-1276.2831571994716</v>
      </c>
      <c r="AE27" s="15">
        <f t="shared" ref="AE27:AE90" si="7">$H$10*$CE27</f>
        <v>22.170849845882874</v>
      </c>
      <c r="AF27" s="75">
        <f>AE27*(1-PARAM!$C$27)*$I$10+(MOD($B27,60)=PARAM!$B$56)*($B27&gt;(60-PARAM!$B$56))*HLOOKUP(($B27+PARAM!$B$56)/12,Loyalty,2)*$F$1*MAX(AH26,0)</f>
        <v>18.557001321003963</v>
      </c>
      <c r="AG27" s="75">
        <f>PARAM!$C$26+$G$10*RATES!$L3/12+$H$10*(PARAM!$D$51/12)*RATES!$N3/100</f>
        <v>7</v>
      </c>
      <c r="AH27" s="16">
        <f>AF27-AG27-$J$10</f>
        <v>-1276.2831571994716</v>
      </c>
      <c r="AI27" s="15">
        <f t="shared" ref="AI27:AI90" si="8">$H$11*$CE27</f>
        <v>22.170849845882874</v>
      </c>
      <c r="AJ27" s="75">
        <f>AI27*(1-PARAM!$C$27)*$I$11+(MOD($B27,60)=PARAM!$B$56)*($B27&gt;(60-PARAM!$B$56))*HLOOKUP(($B27+PARAM!$B$56)/12,Loyalty,2)*$F$1*MAX(AL26,0)</f>
        <v>18.557001321003963</v>
      </c>
      <c r="AK27" s="75">
        <f>PARAM!$C$26+$G$11*RATES!$L3/12+$H$11*(PARAM!$D$51/12)*RATES!$N3/100</f>
        <v>7</v>
      </c>
      <c r="AL27" s="16">
        <f>AJ27-AK27-$J$11</f>
        <v>-1276.2831571994716</v>
      </c>
      <c r="AM27" s="15">
        <f t="shared" ref="AM27:AM90" si="9">$H$12*$CE27</f>
        <v>22.170849845882874</v>
      </c>
      <c r="AN27" s="75">
        <f>AM27*(1-PARAM!$C$27)*$I$12+(MOD($B27,60)=PARAM!$B$56)*($B27&gt;(60-PARAM!$B$56))*HLOOKUP(($B27+PARAM!$B$56)/12,Loyalty,2)*$F$1*MAX(AP26,0)</f>
        <v>18.557001321003963</v>
      </c>
      <c r="AO27" s="75">
        <f>PARAM!$C$26+$G$12*RATES!$L3/12+$H$12*(PARAM!$D$51/12)*RATES!$N3/100</f>
        <v>7</v>
      </c>
      <c r="AP27" s="16">
        <f>AN27-AO27-$J$12</f>
        <v>-1276.2831571994716</v>
      </c>
      <c r="AQ27" s="15">
        <f t="shared" ref="AQ27:AQ90" si="10">$H$13*$CE27</f>
        <v>22.170849845882874</v>
      </c>
      <c r="AR27" s="75">
        <f>AQ27*(1-PARAM!$C$27)*$I$13+(MOD($B27,60)=PARAM!$B$56)*($B27&gt;(60-PARAM!$B$56))*HLOOKUP(($B27+PARAM!$B$56)/12,Loyalty,2)*$F$1*MAX(AT26,0)</f>
        <v>18.557001321003963</v>
      </c>
      <c r="AS27" s="75">
        <f>PARAM!$C$26+$G$13*RATES!$L3/12+$H$13*(PARAM!$D$51/12)*RATES!$N3/100</f>
        <v>7</v>
      </c>
      <c r="AT27" s="16">
        <f>AR27-AS27-$J$13</f>
        <v>-1276.2831571994716</v>
      </c>
      <c r="AU27" s="15">
        <f t="shared" ref="AU27:AU90" si="11">$H$14*$CE27</f>
        <v>22.170849845882874</v>
      </c>
      <c r="AV27" s="75">
        <f>AU27*(1-PARAM!$C$27)*$I$14+(MOD($B27,60)=PARAM!$B$56)*($B27&gt;(60-PARAM!$B$56))*HLOOKUP(($B27+PARAM!$B$56)/12,Loyalty,2)*$F$1*MAX(AX26,0)</f>
        <v>18.557001321003963</v>
      </c>
      <c r="AW27" s="75">
        <f>PARAM!$C$26+$G$14*RATES!$L3/12+$H$14*(PARAM!$D$51/12)*RATES!$N3/100</f>
        <v>7</v>
      </c>
      <c r="AX27" s="16">
        <f>AV27-AW27-$J$14</f>
        <v>-1276.2831571994716</v>
      </c>
      <c r="AY27" s="15">
        <f t="shared" ref="AY27:AY90" si="12">$H$15*$CE27</f>
        <v>22.170849845882874</v>
      </c>
      <c r="AZ27" s="75">
        <f>AY27*(1-PARAM!$C$27)*$I$15+(MOD($B27,60)=PARAM!$B$56)*($B27&gt;(60-PARAM!$B$56))*HLOOKUP(($B27+PARAM!$B$56)/12,Loyalty,2)*$F$1*MAX(BB26,0)</f>
        <v>18.557001321003963</v>
      </c>
      <c r="BA27" s="75">
        <f>PARAM!$C$26+$G$15*RATES!$L3/12+$H$15*(PARAM!$D$51/12)*RATES!$N3/100</f>
        <v>7</v>
      </c>
      <c r="BB27" s="16">
        <f>AZ27-BA27-$J$15</f>
        <v>-1276.2831571994716</v>
      </c>
      <c r="BC27" s="15">
        <f t="shared" ref="BC27:BC90" si="13">$H$16*$CE27</f>
        <v>22.170849845882874</v>
      </c>
      <c r="BD27" s="75">
        <f>BC27*(1-PARAM!$C$27)*$I$16+(MOD($B27,60)=PARAM!$B$56)*($B27&gt;(60-PARAM!$B$56))*HLOOKUP(($B27+PARAM!$B$56)/12,Loyalty,2)*$F$1*MAX(BF26,0)</f>
        <v>18.557001321003963</v>
      </c>
      <c r="BE27" s="75">
        <f>PARAM!$C$26+$G$16*RATES!$L3/12+$H$16*(PARAM!$D$51/12)*RATES!$N3/100</f>
        <v>7</v>
      </c>
      <c r="BF27" s="16">
        <f>BD27-BE27-$J$16</f>
        <v>-1276.2831571994716</v>
      </c>
      <c r="BG27" s="15">
        <f t="shared" ref="BG27:BG90" si="14">$H$17*$CE27</f>
        <v>22.170849845882874</v>
      </c>
      <c r="BH27" s="75">
        <f>BG27*(1-PARAM!$C$27)*$I$17+(MOD($B27,60)=PARAM!$B$56)*($B27&gt;(60-PARAM!$B$56))*HLOOKUP(($B27+PARAM!$B$56)/12,Loyalty,2)*$F$1*MAX(BJ26,0)</f>
        <v>18.557001321003963</v>
      </c>
      <c r="BI27" s="75">
        <f>PARAM!$C$26+$G$17*RATES!$L3/12+$H$17*(PARAM!$D$51/12)*RATES!$N3/100</f>
        <v>7</v>
      </c>
      <c r="BJ27" s="16">
        <f>BH27-BI27-$J$17</f>
        <v>-1276.2831571994716</v>
      </c>
      <c r="BK27" s="15">
        <f t="shared" ref="BK27:BK90" si="15">$H$18*$CE27</f>
        <v>22.170849845882874</v>
      </c>
      <c r="BL27" s="75">
        <f>BK27*(1-PARAM!$C$27)*$I$18+(MOD($B27,60)=PARAM!$B$56)*($B27&gt;(60-PARAM!$B$56))*HLOOKUP(($B27+PARAM!$B$56)/12,Loyalty,2)*$F$1*MAX(BN26,0)</f>
        <v>18.557001321003963</v>
      </c>
      <c r="BM27" s="75">
        <f>PARAM!$C$26+$G$18*RATES!$L3/12+$H$18*(PARAM!$D$51/12)*RATES!$N3/100</f>
        <v>7</v>
      </c>
      <c r="BN27" s="16">
        <f>BL27-BM27-$J$18</f>
        <v>-1276.2831571994716</v>
      </c>
      <c r="BO27" s="15">
        <f t="shared" ref="BO27:BO90" si="16">$H$19*$CE27</f>
        <v>22.170849845882874</v>
      </c>
      <c r="BP27" s="75">
        <f>BO27*(1-PARAM!$C$27)*$I$19+(MOD($B27,60)=PARAM!$B$56)*($B27&gt;(60-PARAM!$B$56))*HLOOKUP(($B27+PARAM!$B$56)/12,Loyalty,2)*$F$1*MAX(BR26,0)</f>
        <v>18.557001321003963</v>
      </c>
      <c r="BQ27" s="75">
        <f>PARAM!$C$26+$G$19*RATES!$L3/12+$H$19*(PARAM!$D$51/12)*RATES!$N3/100</f>
        <v>7</v>
      </c>
      <c r="BR27" s="16">
        <f>BP27-BQ27-$J$19</f>
        <v>-1276.2831571994716</v>
      </c>
      <c r="BS27" s="15">
        <f t="shared" ref="BS27:BS90" si="17">$H$20*$CE27</f>
        <v>22.170849845882874</v>
      </c>
      <c r="BT27" s="75">
        <f>BS27*(1-PARAM!$C$27)*$I$20+(MOD($B27,60)=PARAM!$B$56)*($B27&gt;(60-PARAM!$B$56))*HLOOKUP(($B27+PARAM!$B$56)/12,Loyalty,2)*$F$1*MAX(BV26,0)</f>
        <v>18.557001321003963</v>
      </c>
      <c r="BU27" s="75">
        <f>PARAM!$C$26+$G$20*RATES!$L3/12+$H$20*(PARAM!$D$51/12)*RATES!$N3/100</f>
        <v>7</v>
      </c>
      <c r="BV27" s="16">
        <f>BT27-BU27-$J$20</f>
        <v>-1276.2831571994716</v>
      </c>
      <c r="BW27" s="15">
        <f t="shared" ref="BW27:BW90" si="18">$H$21*$CE27</f>
        <v>22.170849845882874</v>
      </c>
      <c r="BX27" s="75">
        <f>BW27*(1-PARAM!$C$27)*$I$21+(MOD($B27,60)=PARAM!$B$56)*($B27&gt;(60-PARAM!$B$56))*HLOOKUP(($B27+PARAM!$B$56)/12,Loyalty,2)*$F$1*MAX(BZ26,0)</f>
        <v>18.557001321003963</v>
      </c>
      <c r="BY27" s="75">
        <f>PARAM!$C$26+$G$21*RATES!$L3/12+$H$21*(PARAM!$D$51/12)*RATES!$N3/100</f>
        <v>7</v>
      </c>
      <c r="BZ27" s="16">
        <f>BX27-BY27-$J$21</f>
        <v>-1276.2831571994716</v>
      </c>
      <c r="CA27" s="15">
        <f t="shared" ref="CA27:CA90" si="19">$H$22*$CE27</f>
        <v>22.170849845882874</v>
      </c>
      <c r="CB27" s="75">
        <f>CA27*(1-PARAM!$C$27)*$I$22+(MOD($B27,60)=PARAM!$B$56)*($B27&gt;(60-PARAM!$B$56))*HLOOKUP(($B27+PARAM!$B$56)/12,Loyalty,2)*$F$1*MAX(CD26,0)</f>
        <v>18.557001321003963</v>
      </c>
      <c r="CC27" s="75">
        <f>PARAM!$C$26+$G$22*RATES!$L3/12+$H$22*(PARAM!$D$51/12)*RATES!$N3/100</f>
        <v>7</v>
      </c>
      <c r="CD27" s="16">
        <f>CB27-CC27-$J$22</f>
        <v>-1276.2831571994716</v>
      </c>
      <c r="CE27" s="33">
        <f>IF(0=MOD(B27,12/PARAM!$D$51),1,0)</f>
        <v>1</v>
      </c>
      <c r="CF27" s="15">
        <f t="shared" ref="CF27:CF90" si="20">$Q$3*CE27</f>
        <v>0</v>
      </c>
      <c r="CG27" s="75">
        <f>CF27*(1-PARAM!$C$27)*$R$3</f>
        <v>0</v>
      </c>
      <c r="CH27" s="75">
        <f>PARAM!$C$26+$P$3*RATES!$L3/12+$Q$3*(PARAM!$D$51/12)*RATES!$N3/100</f>
        <v>7</v>
      </c>
      <c r="CI27" s="16">
        <f>CG27-CH27-S3</f>
        <v>-1082</v>
      </c>
      <c r="CJ27" s="15">
        <f>$Q$4*CE27</f>
        <v>0</v>
      </c>
      <c r="CK27" s="75">
        <f>CJ27*(1-PARAM!$C$27)*$R$4</f>
        <v>0</v>
      </c>
      <c r="CL27" s="75">
        <f>PARAM!$C$26+$P$4*RATES!$L3/12+$Q$4*(PARAM!$D$51/12)*RATES!$N3/100</f>
        <v>7</v>
      </c>
      <c r="CM27" s="16">
        <f>CK27-CL27-S4</f>
        <v>-1082</v>
      </c>
      <c r="CO27" s="176"/>
    </row>
    <row r="28" spans="1:93" x14ac:dyDescent="0.2">
      <c r="A28" t="b">
        <f t="shared" ref="A28:A91" si="21">F28&gt;0</f>
        <v>0</v>
      </c>
      <c r="B28" s="33">
        <v>1</v>
      </c>
      <c r="C28" s="15">
        <f>$H$3*$CE28</f>
        <v>20.081305947392778</v>
      </c>
      <c r="D28" s="75">
        <f>C28*(1-PARAM!$C$27)*$I$3+(MOD($B28,60)=PARAM!$B$56)*($B28&gt;(60-PARAM!$B$56))*HLOOKUP(($B28+PARAM!$B$56)/12,Loyalty,2)*$F$1*MAX(F27,0)</f>
        <v>16.808053077967756</v>
      </c>
      <c r="E28" s="75">
        <f>PARAM!$C$26+MAX($G$3-CHOOSE(PARAM!$B$44,MAX(0,F27*$F$1),0),0)*RATES!$L4/12+$H$3*(PARAM!$D$51/12)*RATES!$N4/100</f>
        <v>7</v>
      </c>
      <c r="F28" s="16">
        <f t="shared" ref="F28:F91" si="22">IF(F27&gt;0,F27*$F$1,F27)+D28-E28</f>
        <v>-1248.1644309390351</v>
      </c>
      <c r="G28" s="15">
        <f t="shared" ref="G28:G91" si="23">$H$4*$CE28</f>
        <v>22.035289406060361</v>
      </c>
      <c r="H28" s="75">
        <f>G28*(1-PARAM!$C$27)*$I$4+(MOD($B28,60)=PARAM!$B$56)*($B28&gt;(60-PARAM!$B$56))*HLOOKUP(($B28+PARAM!$B$56)/12,Loyalty,2)*$F$1*MAX(J27,0)</f>
        <v>18.443537232872522</v>
      </c>
      <c r="I28" s="75">
        <f>PARAM!$C$26+MAX($G$4-CHOOSE(PARAM!$B$44,MAX(0,J27*$F$1),0),0)*RATES!$L4/12+$H$4*(PARAM!$D$51/12)*RATES!$N4/100</f>
        <v>7</v>
      </c>
      <c r="J28" s="16">
        <f t="shared" ref="J28:J91" si="24">IF(J27&gt;0,J27*$F$1,J27)+H28-I28</f>
        <v>-1263.6517038324344</v>
      </c>
      <c r="K28" s="15">
        <f t="shared" ref="K28:K91" si="25">$H$5*$CE28</f>
        <v>22.170849845882874</v>
      </c>
      <c r="L28" s="75">
        <f>K28*(1-PARAM!$C$27)*$I$5+(MOD($B28,60)=PARAM!$B$56)*($B28&gt;(60-PARAM!$B$56))*HLOOKUP(($B28+PARAM!$B$56)/12,Loyalty,2)*$F$1*MAX(N27,0)</f>
        <v>18.557001321003963</v>
      </c>
      <c r="M28" s="75">
        <f>PARAM!$C$26+MAX($G$5-CHOOSE(PARAM!$B$44,MAX(0,N27*$F$1),0),0)*RATES!$L4/12+$H$5*(PARAM!$D$51/12)*RATES!$N4/100</f>
        <v>7</v>
      </c>
      <c r="N28" s="16">
        <f t="shared" ref="N28:N91" si="26">IF(N27&gt;0,N27*$F$1,N27)+L28-M28</f>
        <v>-1264.7261558784676</v>
      </c>
      <c r="O28" s="15">
        <f t="shared" ref="O28:O91" si="27">$H$6*$CE28</f>
        <v>22.170849845882874</v>
      </c>
      <c r="P28" s="75">
        <f>O28*(1-PARAM!$C$27)*$I$6+(MOD($B28,60)=PARAM!$B$56)*($B28&gt;(60-PARAM!$B$56))*HLOOKUP(($B28+PARAM!$B$56)/12,Loyalty,2)*$F$1*MAX(R27,0)</f>
        <v>18.557001321003963</v>
      </c>
      <c r="Q28" s="75">
        <f>PARAM!$C$26+MAX($G$6-CHOOSE(PARAM!$B$44,MAX(0,R27*$F$1),0),0)*RATES!$L4/12+$H$6*(PARAM!$D$51/12)*RATES!$N4/100</f>
        <v>7</v>
      </c>
      <c r="R28" s="16">
        <f t="shared" ref="R28:R91" si="28">IF(R27&gt;0,R27*$F$1,R27)+P28-Q28</f>
        <v>-1264.7261558784676</v>
      </c>
      <c r="S28" s="15">
        <f t="shared" si="4"/>
        <v>22.170849845882874</v>
      </c>
      <c r="T28" s="75">
        <f>S28*(1-PARAM!$C$27)*$I$7+(MOD($B28,60)=PARAM!$B$56)*($B28&gt;(60-PARAM!$B$56))*HLOOKUP(($B28+PARAM!$B$56)/12,Loyalty,2)*$F$1*MAX(V27,0)</f>
        <v>18.557001321003963</v>
      </c>
      <c r="U28" s="75">
        <f>PARAM!$C$26+MAX($G$7-CHOOSE(PARAM!$B$44,MAX(0,V27*$F$1),0),0)*RATES!$L4/12+$H$7*(PARAM!$D$51/12)*RATES!$N4/100</f>
        <v>7</v>
      </c>
      <c r="V28" s="16">
        <f t="shared" ref="V28:V91" si="29">IF(V27&gt;0,V27*$F$1,V27)+T28-U28</f>
        <v>-1264.7261558784676</v>
      </c>
      <c r="W28" s="15">
        <f t="shared" si="5"/>
        <v>22.170849845882874</v>
      </c>
      <c r="X28" s="75">
        <f>W28*(1-PARAM!$C$27)*$I$8+(MOD($B28,60)=PARAM!$B$56)*($B28&gt;(60-PARAM!$B$56))*HLOOKUP(($B28+PARAM!$B$56)/12,Loyalty,2)*$F$1*MAX(Z27,0)</f>
        <v>18.557001321003963</v>
      </c>
      <c r="Y28" s="75">
        <f>PARAM!$C$26+MAX($G$8-CHOOSE(PARAM!$B$44,MAX(0,Z27*$F$1),0),0)*RATES!$L4/12+$H$8*(PARAM!$D$51/12)*RATES!$N4/100</f>
        <v>7</v>
      </c>
      <c r="Z28" s="16">
        <f t="shared" ref="Z28:Z91" si="30">IF(Z27&gt;0,Z27*$F$1,Z27)+X28-Y28</f>
        <v>-1264.7261558784676</v>
      </c>
      <c r="AA28" s="15">
        <f t="shared" si="6"/>
        <v>22.170849845882874</v>
      </c>
      <c r="AB28" s="75">
        <f>AA28*(1-PARAM!$C$27)*$I$9+(MOD($B28,60)=PARAM!$B$56)*($B28&gt;(60-PARAM!$B$56))*HLOOKUP(($B28+PARAM!$B$56)/12,Loyalty,2)*$F$1*MAX(AD27,0)</f>
        <v>18.557001321003963</v>
      </c>
      <c r="AC28" s="75">
        <f>PARAM!$C$26+MAX($G$9-CHOOSE(PARAM!$B$44,MAX(0,AD27*$F$1),0),0)*RATES!$L4/12+$H$9*(PARAM!$D$51/12)*RATES!$N4/100</f>
        <v>7</v>
      </c>
      <c r="AD28" s="16">
        <f t="shared" ref="AD28:AD91" si="31">IF(AD27&gt;0,AD27*$F$1,AD27)+AB28-AC28</f>
        <v>-1264.7261558784676</v>
      </c>
      <c r="AE28" s="15">
        <f t="shared" si="7"/>
        <v>22.170849845882874</v>
      </c>
      <c r="AF28" s="75">
        <f>AE28*(1-PARAM!$C$27)*$I$10+(MOD($B28,60)=PARAM!$B$56)*($B28&gt;(60-PARAM!$B$56))*HLOOKUP(($B28+PARAM!$B$56)/12,Loyalty,2)*$F$1*MAX(AH27,0)</f>
        <v>18.557001321003963</v>
      </c>
      <c r="AG28" s="75">
        <f>PARAM!$C$26+MAX($G$10-CHOOSE(PARAM!$B$44,MAX(0,AH27*$F$1),0),0)*RATES!$L4/12+$H$10*(PARAM!$D$51/12)*RATES!$N4/100</f>
        <v>7</v>
      </c>
      <c r="AH28" s="16">
        <f t="shared" ref="AH28:AH91" si="32">IF(AH27&gt;0,AH27*$F$1,AH27)+AF28-AG28</f>
        <v>-1264.7261558784676</v>
      </c>
      <c r="AI28" s="15">
        <f t="shared" si="8"/>
        <v>22.170849845882874</v>
      </c>
      <c r="AJ28" s="75">
        <f>AI28*(1-PARAM!$C$27)*$I$11+(MOD($B28,60)=PARAM!$B$56)*($B28&gt;(60-PARAM!$B$56))*HLOOKUP(($B28+PARAM!$B$56)/12,Loyalty,2)*$F$1*MAX(AL27,0)</f>
        <v>18.557001321003963</v>
      </c>
      <c r="AK28" s="75">
        <f>PARAM!$C$26+MAX($G$11-CHOOSE(PARAM!$B$44,MAX(0,AL27*$F$1),0),0)*RATES!$L4/12+$H$11*(PARAM!$D$51/12)*RATES!$N4/100</f>
        <v>7</v>
      </c>
      <c r="AL28" s="16">
        <f t="shared" ref="AL28:AL91" si="33">IF(AL27&gt;0,AL27*$F$1,AL27)+AJ28-AK28</f>
        <v>-1264.7261558784676</v>
      </c>
      <c r="AM28" s="15">
        <f t="shared" si="9"/>
        <v>22.170849845882874</v>
      </c>
      <c r="AN28" s="75">
        <f>AM28*(1-PARAM!$C$27)*$I$12+(MOD($B28,60)=PARAM!$B$56)*($B28&gt;(60-PARAM!$B$56))*HLOOKUP(($B28+PARAM!$B$56)/12,Loyalty,2)*$F$1*MAX(AP27,0)</f>
        <v>18.557001321003963</v>
      </c>
      <c r="AO28" s="75">
        <f>PARAM!$C$26+MAX($G$12-CHOOSE(PARAM!$B$44,MAX(0,AP27*$F$1),0),0)*RATES!$L4/12+$H$12*(PARAM!$D$51/12)*RATES!$N4/100</f>
        <v>7</v>
      </c>
      <c r="AP28" s="16">
        <f t="shared" ref="AP28:AP91" si="34">IF(AP27&gt;0,AP27*$F$1,AP27)+AN28-AO28</f>
        <v>-1264.7261558784676</v>
      </c>
      <c r="AQ28" s="15">
        <f t="shared" si="10"/>
        <v>22.170849845882874</v>
      </c>
      <c r="AR28" s="75">
        <f>AQ28*(1-PARAM!$C$27)*$I$13+(MOD($B28,60)=PARAM!$B$56)*($B28&gt;(60-PARAM!$B$56))*HLOOKUP(($B28+PARAM!$B$56)/12,Loyalty,2)*$F$1*MAX(AT27,0)</f>
        <v>18.557001321003963</v>
      </c>
      <c r="AS28" s="75">
        <f>PARAM!$C$26+MAX($G$13-CHOOSE(PARAM!$B$44,MAX(0,AT27*$F$1),0),0)*RATES!$L4/12+$H$13*(PARAM!$D$51/12)*RATES!$N4/100</f>
        <v>7</v>
      </c>
      <c r="AT28" s="16">
        <f t="shared" ref="AT28:AT91" si="35">IF(AT27&gt;0,AT27*$F$1,AT27)+AR28-AS28</f>
        <v>-1264.7261558784676</v>
      </c>
      <c r="AU28" s="15">
        <f t="shared" si="11"/>
        <v>22.170849845882874</v>
      </c>
      <c r="AV28" s="75">
        <f>AU28*(1-PARAM!$C$27)*$I$14+(MOD($B28,60)=PARAM!$B$56)*($B28&gt;(60-PARAM!$B$56))*HLOOKUP(($B28+PARAM!$B$56)/12,Loyalty,2)*$F$1*MAX(AX27,0)</f>
        <v>18.557001321003963</v>
      </c>
      <c r="AW28" s="75">
        <f>PARAM!$C$26+MAX($G$14-CHOOSE(PARAM!$B$44,MAX(0,AX27*$F$1),0),0)*RATES!$L4/12+$H$14*(PARAM!$D$51/12)*RATES!$N4/100</f>
        <v>7</v>
      </c>
      <c r="AX28" s="16">
        <f t="shared" ref="AX28:AX91" si="36">IF(AX27&gt;0,AX27*$F$1,AX27)+AV28-AW28</f>
        <v>-1264.7261558784676</v>
      </c>
      <c r="AY28" s="15">
        <f t="shared" si="12"/>
        <v>22.170849845882874</v>
      </c>
      <c r="AZ28" s="75">
        <f>AY28*(1-PARAM!$C$27)*$I$15+(MOD($B28,60)=PARAM!$B$56)*($B28&gt;(60-PARAM!$B$56))*HLOOKUP(($B28+PARAM!$B$56)/12,Loyalty,2)*$F$1*MAX(BB27,0)</f>
        <v>18.557001321003963</v>
      </c>
      <c r="BA28" s="75">
        <f>PARAM!$C$26+MAX($G$15-CHOOSE(PARAM!$B$44,MAX(0,BB27*$F$1),0),0)*RATES!$L4/12+$H$15*(PARAM!$D$51/12)*RATES!$N4/100</f>
        <v>7</v>
      </c>
      <c r="BB28" s="16">
        <f t="shared" ref="BB28:BB91" si="37">IF(BB27&gt;0,BB27*$F$1,BB27)+AZ28-BA28</f>
        <v>-1264.7261558784676</v>
      </c>
      <c r="BC28" s="15">
        <f t="shared" si="13"/>
        <v>22.170849845882874</v>
      </c>
      <c r="BD28" s="75">
        <f>BC28*(1-PARAM!$C$27)*$I$16+(MOD($B28,60)=PARAM!$B$56)*($B28&gt;(60-PARAM!$B$56))*HLOOKUP(($B28+PARAM!$B$56)/12,Loyalty,2)*$F$1*MAX(BF27,0)</f>
        <v>18.557001321003963</v>
      </c>
      <c r="BE28" s="75">
        <f>PARAM!$C$26+MAX($G$16-CHOOSE(PARAM!$B$44,MAX(0,BF27*$F$1),0),0)*RATES!$L4/12+$H$16*(PARAM!$D$51/12)*RATES!$N4/100</f>
        <v>7</v>
      </c>
      <c r="BF28" s="16">
        <f t="shared" ref="BF28:BF91" si="38">IF(BF27&gt;0,BF27*$F$1,BF27)+BD28-BE28</f>
        <v>-1264.7261558784676</v>
      </c>
      <c r="BG28" s="15">
        <f t="shared" si="14"/>
        <v>22.170849845882874</v>
      </c>
      <c r="BH28" s="75">
        <f>BG28*(1-PARAM!$C$27)*$I$17+(MOD($B28,60)=PARAM!$B$56)*($B28&gt;(60-PARAM!$B$56))*HLOOKUP(($B28+PARAM!$B$56)/12,Loyalty,2)*$F$1*MAX(BJ27,0)</f>
        <v>18.557001321003963</v>
      </c>
      <c r="BI28" s="75">
        <f>PARAM!$C$26+MAX($G$17-CHOOSE(PARAM!$B$44,MAX(0,BJ27*$F$1),0),0)*RATES!$L4/12+$H$17*(PARAM!$D$51/12)*RATES!$N4/100</f>
        <v>7</v>
      </c>
      <c r="BJ28" s="16">
        <f t="shared" ref="BJ28:BJ91" si="39">IF(BJ27&gt;0,BJ27*$F$1,BJ27)+BH28-BI28</f>
        <v>-1264.7261558784676</v>
      </c>
      <c r="BK28" s="15">
        <f t="shared" si="15"/>
        <v>22.170849845882874</v>
      </c>
      <c r="BL28" s="75">
        <f>BK28*(1-PARAM!$C$27)*$I$18+(MOD($B28,60)=PARAM!$B$56)*($B28&gt;(60-PARAM!$B$56))*HLOOKUP(($B28+PARAM!$B$56)/12,Loyalty,2)*$F$1*MAX(BN27,0)</f>
        <v>18.557001321003963</v>
      </c>
      <c r="BM28" s="75">
        <f>PARAM!$C$26+MAX($G$18-CHOOSE(PARAM!$B$44,MAX(0,BN27*$F$1),0),0)*RATES!$L4/12+$H$18*(PARAM!$D$51/12)*RATES!$N4/100</f>
        <v>7</v>
      </c>
      <c r="BN28" s="16">
        <f t="shared" ref="BN28:BN91" si="40">IF(BN27&gt;0,BN27*$F$1,BN27)+BL28-BM28</f>
        <v>-1264.7261558784676</v>
      </c>
      <c r="BO28" s="15">
        <f t="shared" si="16"/>
        <v>22.170849845882874</v>
      </c>
      <c r="BP28" s="75">
        <f>BO28*(1-PARAM!$C$27)*$I$19+(MOD($B28,60)=PARAM!$B$56)*($B28&gt;(60-PARAM!$B$56))*HLOOKUP(($B28+PARAM!$B$56)/12,Loyalty,2)*$F$1*MAX(BR27,0)</f>
        <v>18.557001321003963</v>
      </c>
      <c r="BQ28" s="75">
        <f>PARAM!$C$26+MAX($G$19-CHOOSE(PARAM!$B$44,MAX(0,BR27*$F$1),0),0)*RATES!$L4/12+$H$19*(PARAM!$D$51/12)*RATES!$N4/100</f>
        <v>7</v>
      </c>
      <c r="BR28" s="16">
        <f t="shared" ref="BR28:BR91" si="41">IF(BR27&gt;0,BR27*$F$1,BR27)+BP28-BQ28</f>
        <v>-1264.7261558784676</v>
      </c>
      <c r="BS28" s="15">
        <f t="shared" si="17"/>
        <v>22.170849845882874</v>
      </c>
      <c r="BT28" s="75">
        <f>BS28*(1-PARAM!$C$27)*$I$20+(MOD($B28,60)=PARAM!$B$56)*($B28&gt;(60-PARAM!$B$56))*HLOOKUP(($B28+PARAM!$B$56)/12,Loyalty,2)*$F$1*MAX(BV27,0)</f>
        <v>18.557001321003963</v>
      </c>
      <c r="BU28" s="75">
        <f>PARAM!$C$26+MAX($G$20-CHOOSE(PARAM!$B$44,MAX(0,BV27*$F$1),0),0)*RATES!$L4/12+$H$20*(PARAM!$D$51/12)*RATES!$N4/100</f>
        <v>7</v>
      </c>
      <c r="BV28" s="16">
        <f t="shared" ref="BV28:BV91" si="42">IF(BV27&gt;0,BV27*$F$1,BV27)+BT28-BU28</f>
        <v>-1264.7261558784676</v>
      </c>
      <c r="BW28" s="15">
        <f t="shared" si="18"/>
        <v>22.170849845882874</v>
      </c>
      <c r="BX28" s="75">
        <f>BW28*(1-PARAM!$C$27)*$I$21+(MOD($B28,60)=PARAM!$B$56)*($B28&gt;(60-PARAM!$B$56))*HLOOKUP(($B28+PARAM!$B$56)/12,Loyalty,2)*$F$1*MAX(BZ27,0)</f>
        <v>18.557001321003963</v>
      </c>
      <c r="BY28" s="75">
        <f>PARAM!$C$26+MAX($G$21-CHOOSE(PARAM!$B$44,MAX(0,BZ27*$F$1),0),0)*RATES!$L4/12+$H$21*(PARAM!$D$51/12)*RATES!$N4/100</f>
        <v>7</v>
      </c>
      <c r="BZ28" s="16">
        <f t="shared" ref="BZ28:BZ91" si="43">IF(BZ27&gt;0,BZ27*$F$1,BZ27)+BX28-BY28</f>
        <v>-1264.7261558784676</v>
      </c>
      <c r="CA28" s="15">
        <f t="shared" si="19"/>
        <v>22.170849845882874</v>
      </c>
      <c r="CB28" s="75">
        <f>CA28*(1-PARAM!$C$27)*$I$22+(MOD($B28,60)=PARAM!$B$56)*($B28&gt;(60-PARAM!$B$56))*HLOOKUP(($B28+PARAM!$B$56)/12,Loyalty,2)*$F$1*MAX(CD27,0)</f>
        <v>18.557001321003963</v>
      </c>
      <c r="CC28" s="75">
        <f>PARAM!$C$26+MAX($G$22-CHOOSE(PARAM!$B$44,MAX(0,CD27*$F$1),0),0)*RATES!$L4/12+$H$22*(PARAM!$D$51/12)*RATES!$N4/100</f>
        <v>7</v>
      </c>
      <c r="CD28" s="16">
        <f t="shared" ref="CD28:CD91" si="44">IF(CD27&gt;0,CD27*$F$1,CD27)+CB28-CC28</f>
        <v>-1264.7261558784676</v>
      </c>
      <c r="CE28" s="33">
        <f>IF(0=MOD(B28,12/PARAM!$D$51),1,0)</f>
        <v>1</v>
      </c>
      <c r="CF28" s="15">
        <f t="shared" si="20"/>
        <v>0</v>
      </c>
      <c r="CG28" s="75">
        <f>CF28*(1-PARAM!$C$27)*$R$3+(MOD($B28/12,5)=0)*($B28&gt;60)*HLOOKUP($B28/12,Loyalty,2)*$F$1*MAX(CI27,0)</f>
        <v>0</v>
      </c>
      <c r="CH28" s="75">
        <f>PARAM!$C$26+MAX($P$3-CHOOSE(PARAM!$B$44,MAX(0,CI27*$F$1),0),0)*RATES!$L4/12+$Q$3*(PARAM!$D$51/12)*RATES!$N4/100</f>
        <v>7</v>
      </c>
      <c r="CI28" s="16">
        <f>IF(CI27&gt;0,CI27*PARAM!$C$53,CI27)+CG28-CH28</f>
        <v>-1089</v>
      </c>
      <c r="CJ28" s="15">
        <f t="shared" ref="CJ28:CJ91" si="45">$Q$4*CE28</f>
        <v>0</v>
      </c>
      <c r="CK28" s="75">
        <f>CJ28*(1-PARAM!$C$27)*$R$4+(MOD($B28/12,5)=0)*($B28&gt;60)*HLOOKUP($B28/12,Loyalty,2)*$F$1*MAX(CM27,0)</f>
        <v>0</v>
      </c>
      <c r="CL28" s="75">
        <f>PARAM!$C$26+MAX($P$4-CHOOSE(PARAM!$B$44,MAX(0,CM27*$F$1),0),0)*RATES!$L4/12+$Q$4*(PARAM!$D$51/12)*RATES!$N4/100</f>
        <v>7</v>
      </c>
      <c r="CM28" s="16">
        <f>IF(CM27&gt;0,CM27*PARAM!$C$53,CM27)+CK28-CL28</f>
        <v>-1089</v>
      </c>
      <c r="CO28" s="176"/>
    </row>
    <row r="29" spans="1:93" x14ac:dyDescent="0.2">
      <c r="A29" t="b">
        <f t="shared" si="21"/>
        <v>0</v>
      </c>
      <c r="B29" s="33">
        <v>2</v>
      </c>
      <c r="C29" s="15">
        <f>$H$3*$CE29</f>
        <v>20.081305947392778</v>
      </c>
      <c r="D29" s="75">
        <f>C29*(1-PARAM!$C$27)*$I$3+(MOD($B29,60)=PARAM!$B$56)*($B29&gt;(60-PARAM!$B$56))*HLOOKUP(($B29+PARAM!$B$56)/12,Loyalty,2)*$F$1*MAX(F28,0)</f>
        <v>16.808053077967756</v>
      </c>
      <c r="E29" s="75">
        <f>PARAM!$C$26+MAX($G$3-CHOOSE(PARAM!$B$44,MAX(0,F28*$F$1),0),0)*RATES!$L5/12+$H$3*(PARAM!$D$51/12)*RATES!$N5/100</f>
        <v>7</v>
      </c>
      <c r="F29" s="16">
        <f t="shared" si="22"/>
        <v>-1238.3563778610674</v>
      </c>
      <c r="G29" s="15">
        <f t="shared" si="23"/>
        <v>22.035289406060361</v>
      </c>
      <c r="H29" s="75">
        <f>G29*(1-PARAM!$C$27)*$I$4+(MOD($B29,60)=PARAM!$B$56)*($B29&gt;(60-PARAM!$B$56))*HLOOKUP(($B29+PARAM!$B$56)/12,Loyalty,2)*$F$1*MAX(J28,0)</f>
        <v>18.443537232872522</v>
      </c>
      <c r="I29" s="75">
        <f>PARAM!$C$26+MAX($G$4-CHOOSE(PARAM!$B$44,MAX(0,J28*$F$1),0),0)*RATES!$L5/12+$H$4*(PARAM!$D$51/12)*RATES!$N5/100</f>
        <v>7</v>
      </c>
      <c r="J29" s="16">
        <f t="shared" si="24"/>
        <v>-1252.2081665995618</v>
      </c>
      <c r="K29" s="15">
        <f t="shared" si="25"/>
        <v>22.170849845882874</v>
      </c>
      <c r="L29" s="75">
        <f>K29*(1-PARAM!$C$27)*$I$5+(MOD($B29,60)=PARAM!$B$56)*($B29&gt;(60-PARAM!$B$56))*HLOOKUP(($B29+PARAM!$B$56)/12,Loyalty,2)*$F$1*MAX(N28,0)</f>
        <v>18.557001321003963</v>
      </c>
      <c r="M29" s="75">
        <f>PARAM!$C$26+MAX($G$5-CHOOSE(PARAM!$B$44,MAX(0,N28*$F$1),0),0)*RATES!$L5/12+$H$5*(PARAM!$D$51/12)*RATES!$N5/100</f>
        <v>7</v>
      </c>
      <c r="N29" s="16">
        <f t="shared" si="26"/>
        <v>-1253.1691545574636</v>
      </c>
      <c r="O29" s="15">
        <f t="shared" si="27"/>
        <v>22.170849845882874</v>
      </c>
      <c r="P29" s="75">
        <f>O29*(1-PARAM!$C$27)*$I$6+(MOD($B29,60)=PARAM!$B$56)*($B29&gt;(60-PARAM!$B$56))*HLOOKUP(($B29+PARAM!$B$56)/12,Loyalty,2)*$F$1*MAX(R28,0)</f>
        <v>18.557001321003963</v>
      </c>
      <c r="Q29" s="75">
        <f>PARAM!$C$26+MAX($G$6-CHOOSE(PARAM!$B$44,MAX(0,R28*$F$1),0),0)*RATES!$L5/12+$H$6*(PARAM!$D$51/12)*RATES!$N5/100</f>
        <v>7</v>
      </c>
      <c r="R29" s="16">
        <f t="shared" si="28"/>
        <v>-1253.1691545574636</v>
      </c>
      <c r="S29" s="15">
        <f t="shared" si="4"/>
        <v>22.170849845882874</v>
      </c>
      <c r="T29" s="75">
        <f>S29*(1-PARAM!$C$27)*$I$7+(MOD($B29,60)=PARAM!$B$56)*($B29&gt;(60-PARAM!$B$56))*HLOOKUP(($B29+PARAM!$B$56)/12,Loyalty,2)*$F$1*MAX(V28,0)</f>
        <v>18.557001321003963</v>
      </c>
      <c r="U29" s="75">
        <f>PARAM!$C$26+MAX($G$7-CHOOSE(PARAM!$B$44,MAX(0,V28*$F$1),0),0)*RATES!$L5/12+$H$7*(PARAM!$D$51/12)*RATES!$N5/100</f>
        <v>7</v>
      </c>
      <c r="V29" s="16">
        <f t="shared" si="29"/>
        <v>-1253.1691545574636</v>
      </c>
      <c r="W29" s="15">
        <f t="shared" si="5"/>
        <v>22.170849845882874</v>
      </c>
      <c r="X29" s="75">
        <f>W29*(1-PARAM!$C$27)*$I$8+(MOD($B29,60)=PARAM!$B$56)*($B29&gt;(60-PARAM!$B$56))*HLOOKUP(($B29+PARAM!$B$56)/12,Loyalty,2)*$F$1*MAX(Z28,0)</f>
        <v>18.557001321003963</v>
      </c>
      <c r="Y29" s="75">
        <f>PARAM!$C$26+MAX($G$8-CHOOSE(PARAM!$B$44,MAX(0,Z28*$F$1),0),0)*RATES!$L5/12+$H$8*(PARAM!$D$51/12)*RATES!$N5/100</f>
        <v>7</v>
      </c>
      <c r="Z29" s="16">
        <f t="shared" si="30"/>
        <v>-1253.1691545574636</v>
      </c>
      <c r="AA29" s="15">
        <f t="shared" si="6"/>
        <v>22.170849845882874</v>
      </c>
      <c r="AB29" s="75">
        <f>AA29*(1-PARAM!$C$27)*$I$9+(MOD($B29,60)=PARAM!$B$56)*($B29&gt;(60-PARAM!$B$56))*HLOOKUP(($B29+PARAM!$B$56)/12,Loyalty,2)*$F$1*MAX(AD28,0)</f>
        <v>18.557001321003963</v>
      </c>
      <c r="AC29" s="75">
        <f>PARAM!$C$26+MAX($G$9-CHOOSE(PARAM!$B$44,MAX(0,AD28*$F$1),0),0)*RATES!$L5/12+$H$9*(PARAM!$D$51/12)*RATES!$N5/100</f>
        <v>7</v>
      </c>
      <c r="AD29" s="16">
        <f t="shared" si="31"/>
        <v>-1253.1691545574636</v>
      </c>
      <c r="AE29" s="15">
        <f t="shared" si="7"/>
        <v>22.170849845882874</v>
      </c>
      <c r="AF29" s="75">
        <f>AE29*(1-PARAM!$C$27)*$I$10+(MOD($B29,60)=PARAM!$B$56)*($B29&gt;(60-PARAM!$B$56))*HLOOKUP(($B29+PARAM!$B$56)/12,Loyalty,2)*$F$1*MAX(AH28,0)</f>
        <v>18.557001321003963</v>
      </c>
      <c r="AG29" s="75">
        <f>PARAM!$C$26+MAX($G$10-CHOOSE(PARAM!$B$44,MAX(0,AH28*$F$1),0),0)*RATES!$L5/12+$H$10*(PARAM!$D$51/12)*RATES!$N5/100</f>
        <v>7</v>
      </c>
      <c r="AH29" s="16">
        <f t="shared" si="32"/>
        <v>-1253.1691545574636</v>
      </c>
      <c r="AI29" s="15">
        <f t="shared" si="8"/>
        <v>22.170849845882874</v>
      </c>
      <c r="AJ29" s="75">
        <f>AI29*(1-PARAM!$C$27)*$I$11+(MOD($B29,60)=PARAM!$B$56)*($B29&gt;(60-PARAM!$B$56))*HLOOKUP(($B29+PARAM!$B$56)/12,Loyalty,2)*$F$1*MAX(AL28,0)</f>
        <v>18.557001321003963</v>
      </c>
      <c r="AK29" s="75">
        <f>PARAM!$C$26+MAX($G$11-CHOOSE(PARAM!$B$44,MAX(0,AL28*$F$1),0),0)*RATES!$L5/12+$H$11*(PARAM!$D$51/12)*RATES!$N5/100</f>
        <v>7</v>
      </c>
      <c r="AL29" s="16">
        <f t="shared" si="33"/>
        <v>-1253.1691545574636</v>
      </c>
      <c r="AM29" s="15">
        <f t="shared" si="9"/>
        <v>22.170849845882874</v>
      </c>
      <c r="AN29" s="75">
        <f>AM29*(1-PARAM!$C$27)*$I$12+(MOD($B29,60)=PARAM!$B$56)*($B29&gt;(60-PARAM!$B$56))*HLOOKUP(($B29+PARAM!$B$56)/12,Loyalty,2)*$F$1*MAX(AP28,0)</f>
        <v>18.557001321003963</v>
      </c>
      <c r="AO29" s="75">
        <f>PARAM!$C$26+MAX($G$12-CHOOSE(PARAM!$B$44,MAX(0,AP28*$F$1),0),0)*RATES!$L5/12+$H$12*(PARAM!$D$51/12)*RATES!$N5/100</f>
        <v>7</v>
      </c>
      <c r="AP29" s="16">
        <f t="shared" si="34"/>
        <v>-1253.1691545574636</v>
      </c>
      <c r="AQ29" s="15">
        <f t="shared" si="10"/>
        <v>22.170849845882874</v>
      </c>
      <c r="AR29" s="75">
        <f>AQ29*(1-PARAM!$C$27)*$I$13+(MOD($B29,60)=PARAM!$B$56)*($B29&gt;(60-PARAM!$B$56))*HLOOKUP(($B29+PARAM!$B$56)/12,Loyalty,2)*$F$1*MAX(AT28,0)</f>
        <v>18.557001321003963</v>
      </c>
      <c r="AS29" s="75">
        <f>PARAM!$C$26+MAX($G$13-CHOOSE(PARAM!$B$44,MAX(0,AT28*$F$1),0),0)*RATES!$L5/12+$H$13*(PARAM!$D$51/12)*RATES!$N5/100</f>
        <v>7</v>
      </c>
      <c r="AT29" s="16">
        <f t="shared" si="35"/>
        <v>-1253.1691545574636</v>
      </c>
      <c r="AU29" s="15">
        <f t="shared" si="11"/>
        <v>22.170849845882874</v>
      </c>
      <c r="AV29" s="75">
        <f>AU29*(1-PARAM!$C$27)*$I$14+(MOD($B29,60)=PARAM!$B$56)*($B29&gt;(60-PARAM!$B$56))*HLOOKUP(($B29+PARAM!$B$56)/12,Loyalty,2)*$F$1*MAX(AX28,0)</f>
        <v>18.557001321003963</v>
      </c>
      <c r="AW29" s="75">
        <f>PARAM!$C$26+MAX($G$14-CHOOSE(PARAM!$B$44,MAX(0,AX28*$F$1),0),0)*RATES!$L5/12+$H$14*(PARAM!$D$51/12)*RATES!$N5/100</f>
        <v>7</v>
      </c>
      <c r="AX29" s="16">
        <f t="shared" si="36"/>
        <v>-1253.1691545574636</v>
      </c>
      <c r="AY29" s="15">
        <f t="shared" si="12"/>
        <v>22.170849845882874</v>
      </c>
      <c r="AZ29" s="75">
        <f>AY29*(1-PARAM!$C$27)*$I$15+(MOD($B29,60)=PARAM!$B$56)*($B29&gt;(60-PARAM!$B$56))*HLOOKUP(($B29+PARAM!$B$56)/12,Loyalty,2)*$F$1*MAX(BB28,0)</f>
        <v>18.557001321003963</v>
      </c>
      <c r="BA29" s="75">
        <f>PARAM!$C$26+MAX($G$15-CHOOSE(PARAM!$B$44,MAX(0,BB28*$F$1),0),0)*RATES!$L5/12+$H$15*(PARAM!$D$51/12)*RATES!$N5/100</f>
        <v>7</v>
      </c>
      <c r="BB29" s="16">
        <f t="shared" si="37"/>
        <v>-1253.1691545574636</v>
      </c>
      <c r="BC29" s="15">
        <f t="shared" si="13"/>
        <v>22.170849845882874</v>
      </c>
      <c r="BD29" s="75">
        <f>BC29*(1-PARAM!$C$27)*$I$16+(MOD($B29,60)=PARAM!$B$56)*($B29&gt;(60-PARAM!$B$56))*HLOOKUP(($B29+PARAM!$B$56)/12,Loyalty,2)*$F$1*MAX(BF28,0)</f>
        <v>18.557001321003963</v>
      </c>
      <c r="BE29" s="75">
        <f>PARAM!$C$26+MAX($G$16-CHOOSE(PARAM!$B$44,MAX(0,BF28*$F$1),0),0)*RATES!$L5/12+$H$16*(PARAM!$D$51/12)*RATES!$N5/100</f>
        <v>7</v>
      </c>
      <c r="BF29" s="16">
        <f t="shared" si="38"/>
        <v>-1253.1691545574636</v>
      </c>
      <c r="BG29" s="15">
        <f t="shared" si="14"/>
        <v>22.170849845882874</v>
      </c>
      <c r="BH29" s="75">
        <f>BG29*(1-PARAM!$C$27)*$I$17+(MOD($B29,60)=PARAM!$B$56)*($B29&gt;(60-PARAM!$B$56))*HLOOKUP(($B29+PARAM!$B$56)/12,Loyalty,2)*$F$1*MAX(BJ28,0)</f>
        <v>18.557001321003963</v>
      </c>
      <c r="BI29" s="75">
        <f>PARAM!$C$26+MAX($G$17-CHOOSE(PARAM!$B$44,MAX(0,BJ28*$F$1),0),0)*RATES!$L5/12+$H$17*(PARAM!$D$51/12)*RATES!$N5/100</f>
        <v>7</v>
      </c>
      <c r="BJ29" s="16">
        <f t="shared" si="39"/>
        <v>-1253.1691545574636</v>
      </c>
      <c r="BK29" s="15">
        <f t="shared" si="15"/>
        <v>22.170849845882874</v>
      </c>
      <c r="BL29" s="75">
        <f>BK29*(1-PARAM!$C$27)*$I$18+(MOD($B29,60)=PARAM!$B$56)*($B29&gt;(60-PARAM!$B$56))*HLOOKUP(($B29+PARAM!$B$56)/12,Loyalty,2)*$F$1*MAX(BN28,0)</f>
        <v>18.557001321003963</v>
      </c>
      <c r="BM29" s="75">
        <f>PARAM!$C$26+MAX($G$18-CHOOSE(PARAM!$B$44,MAX(0,BN28*$F$1),0),0)*RATES!$L5/12+$H$18*(PARAM!$D$51/12)*RATES!$N5/100</f>
        <v>7</v>
      </c>
      <c r="BN29" s="16">
        <f t="shared" si="40"/>
        <v>-1253.1691545574636</v>
      </c>
      <c r="BO29" s="15">
        <f t="shared" si="16"/>
        <v>22.170849845882874</v>
      </c>
      <c r="BP29" s="75">
        <f>BO29*(1-PARAM!$C$27)*$I$19+(MOD($B29,60)=PARAM!$B$56)*($B29&gt;(60-PARAM!$B$56))*HLOOKUP(($B29+PARAM!$B$56)/12,Loyalty,2)*$F$1*MAX(BR28,0)</f>
        <v>18.557001321003963</v>
      </c>
      <c r="BQ29" s="75">
        <f>PARAM!$C$26+MAX($G$19-CHOOSE(PARAM!$B$44,MAX(0,BR28*$F$1),0),0)*RATES!$L5/12+$H$19*(PARAM!$D$51/12)*RATES!$N5/100</f>
        <v>7</v>
      </c>
      <c r="BR29" s="16">
        <f t="shared" si="41"/>
        <v>-1253.1691545574636</v>
      </c>
      <c r="BS29" s="15">
        <f t="shared" si="17"/>
        <v>22.170849845882874</v>
      </c>
      <c r="BT29" s="75">
        <f>BS29*(1-PARAM!$C$27)*$I$20+(MOD($B29,60)=PARAM!$B$56)*($B29&gt;(60-PARAM!$B$56))*HLOOKUP(($B29+PARAM!$B$56)/12,Loyalty,2)*$F$1*MAX(BV28,0)</f>
        <v>18.557001321003963</v>
      </c>
      <c r="BU29" s="75">
        <f>PARAM!$C$26+MAX($G$20-CHOOSE(PARAM!$B$44,MAX(0,BV28*$F$1),0),0)*RATES!$L5/12+$H$20*(PARAM!$D$51/12)*RATES!$N5/100</f>
        <v>7</v>
      </c>
      <c r="BV29" s="16">
        <f t="shared" si="42"/>
        <v>-1253.1691545574636</v>
      </c>
      <c r="BW29" s="15">
        <f t="shared" si="18"/>
        <v>22.170849845882874</v>
      </c>
      <c r="BX29" s="75">
        <f>BW29*(1-PARAM!$C$27)*$I$21+(MOD($B29,60)=PARAM!$B$56)*($B29&gt;(60-PARAM!$B$56))*HLOOKUP(($B29+PARAM!$B$56)/12,Loyalty,2)*$F$1*MAX(BZ28,0)</f>
        <v>18.557001321003963</v>
      </c>
      <c r="BY29" s="75">
        <f>PARAM!$C$26+MAX($G$21-CHOOSE(PARAM!$B$44,MAX(0,BZ28*$F$1),0),0)*RATES!$L5/12+$H$21*(PARAM!$D$51/12)*RATES!$N5/100</f>
        <v>7</v>
      </c>
      <c r="BZ29" s="16">
        <f t="shared" si="43"/>
        <v>-1253.1691545574636</v>
      </c>
      <c r="CA29" s="15">
        <f t="shared" si="19"/>
        <v>22.170849845882874</v>
      </c>
      <c r="CB29" s="75">
        <f>CA29*(1-PARAM!$C$27)*$I$22+(MOD($B29,60)=PARAM!$B$56)*($B29&gt;(60-PARAM!$B$56))*HLOOKUP(($B29+PARAM!$B$56)/12,Loyalty,2)*$F$1*MAX(CD28,0)</f>
        <v>18.557001321003963</v>
      </c>
      <c r="CC29" s="75">
        <f>PARAM!$C$26+MAX($G$22-CHOOSE(PARAM!$B$44,MAX(0,CD28*$F$1),0),0)*RATES!$L5/12+$H$22*(PARAM!$D$51/12)*RATES!$N5/100</f>
        <v>7</v>
      </c>
      <c r="CD29" s="16">
        <f t="shared" si="44"/>
        <v>-1253.1691545574636</v>
      </c>
      <c r="CE29" s="33">
        <f>IF(0=MOD(B29,12/PARAM!$D$51),1,0)</f>
        <v>1</v>
      </c>
      <c r="CF29" s="15">
        <f t="shared" si="20"/>
        <v>0</v>
      </c>
      <c r="CG29" s="75">
        <f>CF29*(1-PARAM!$C$27)*$R$3+(MOD($B29/12,5)=0)*($B29&gt;60)*HLOOKUP($B29/12,Loyalty,2)*$F$1*MAX(CI28,0)</f>
        <v>0</v>
      </c>
      <c r="CH29" s="75">
        <f>PARAM!$C$26+MAX($P$3-CHOOSE(PARAM!$B$44,MAX(0,CI28*$F$1),0),0)*RATES!$L5/12+$Q$3*(PARAM!$D$51/12)*RATES!$N5/100</f>
        <v>7</v>
      </c>
      <c r="CI29" s="16">
        <f>IF(CI28&gt;0,CI28*PARAM!$C$53,CI28)+CG29-CH29</f>
        <v>-1096</v>
      </c>
      <c r="CJ29" s="15">
        <f t="shared" si="45"/>
        <v>0</v>
      </c>
      <c r="CK29" s="75">
        <f>CJ29*(1-PARAM!$C$27)*$R$4+(MOD($B29/12,5)=0)*($B29&gt;60)*HLOOKUP($B29/12,Loyalty,2)*$F$1*MAX(CM28,0)</f>
        <v>0</v>
      </c>
      <c r="CL29" s="75">
        <f>PARAM!$C$26+MAX($P$4-CHOOSE(PARAM!$B$44,MAX(0,CM28*$F$1),0),0)*RATES!$L5/12+$Q$4*(PARAM!$D$51/12)*RATES!$N5/100</f>
        <v>7</v>
      </c>
      <c r="CM29" s="16">
        <f>IF(CM28&gt;0,CM28*PARAM!$C$53,CM28)+CK29-CL29</f>
        <v>-1096</v>
      </c>
      <c r="CO29" s="176"/>
    </row>
    <row r="30" spans="1:93" x14ac:dyDescent="0.2">
      <c r="A30" t="b">
        <f t="shared" si="21"/>
        <v>0</v>
      </c>
      <c r="B30" s="33">
        <v>3</v>
      </c>
      <c r="C30" s="15">
        <f t="shared" ref="C30:C91" si="46">$H$3*$CE30</f>
        <v>20.081305947392778</v>
      </c>
      <c r="D30" s="75">
        <f>C30*(1-PARAM!$C$27)*$I$3+(MOD($B30,60)=PARAM!$B$56)*($B30&gt;(60-PARAM!$B$56))*HLOOKUP(($B30+PARAM!$B$56)/12,Loyalty,2)*$F$1*MAX(F29,0)</f>
        <v>16.808053077967756</v>
      </c>
      <c r="E30" s="75">
        <f>PARAM!$C$26+MAX($G$3-CHOOSE(PARAM!$B$44,MAX(0,F29*$F$1),0),0)*RATES!$L6/12+$H$3*(PARAM!$D$51/12)*RATES!$N6/100</f>
        <v>7</v>
      </c>
      <c r="F30" s="16">
        <f t="shared" si="22"/>
        <v>-1228.5483247830996</v>
      </c>
      <c r="G30" s="15">
        <f t="shared" si="23"/>
        <v>22.035289406060361</v>
      </c>
      <c r="H30" s="75">
        <f>G30*(1-PARAM!$C$27)*$I$4+(MOD($B30,60)=PARAM!$B$56)*($B30&gt;(60-PARAM!$B$56))*HLOOKUP(($B30+PARAM!$B$56)/12,Loyalty,2)*$F$1*MAX(J29,0)</f>
        <v>18.443537232872522</v>
      </c>
      <c r="I30" s="75">
        <f>PARAM!$C$26+MAX($G$4-CHOOSE(PARAM!$B$44,MAX(0,J29*$F$1),0),0)*RATES!$L6/12+$H$4*(PARAM!$D$51/12)*RATES!$N6/100</f>
        <v>7</v>
      </c>
      <c r="J30" s="16">
        <f t="shared" si="24"/>
        <v>-1240.7646293666892</v>
      </c>
      <c r="K30" s="15">
        <f t="shared" si="25"/>
        <v>22.170849845882874</v>
      </c>
      <c r="L30" s="75">
        <f>K30*(1-PARAM!$C$27)*$I$5+(MOD($B30,60)=PARAM!$B$56)*($B30&gt;(60-PARAM!$B$56))*HLOOKUP(($B30+PARAM!$B$56)/12,Loyalty,2)*$F$1*MAX(N29,0)</f>
        <v>18.557001321003963</v>
      </c>
      <c r="M30" s="75">
        <f>PARAM!$C$26+MAX($G$5-CHOOSE(PARAM!$B$44,MAX(0,N29*$F$1),0),0)*RATES!$L6/12+$H$5*(PARAM!$D$51/12)*RATES!$N6/100</f>
        <v>7</v>
      </c>
      <c r="N30" s="16">
        <f t="shared" si="26"/>
        <v>-1241.6121532364596</v>
      </c>
      <c r="O30" s="15">
        <f t="shared" si="27"/>
        <v>22.170849845882874</v>
      </c>
      <c r="P30" s="75">
        <f>O30*(1-PARAM!$C$27)*$I$6+(MOD($B30,60)=PARAM!$B$56)*($B30&gt;(60-PARAM!$B$56))*HLOOKUP(($B30+PARAM!$B$56)/12,Loyalty,2)*$F$1*MAX(R29,0)</f>
        <v>18.557001321003963</v>
      </c>
      <c r="Q30" s="75">
        <f>PARAM!$C$26+MAX($G$6-CHOOSE(PARAM!$B$44,MAX(0,R29*$F$1),0),0)*RATES!$L6/12+$H$6*(PARAM!$D$51/12)*RATES!$N6/100</f>
        <v>7</v>
      </c>
      <c r="R30" s="16">
        <f t="shared" si="28"/>
        <v>-1241.6121532364596</v>
      </c>
      <c r="S30" s="15">
        <f t="shared" si="4"/>
        <v>22.170849845882874</v>
      </c>
      <c r="T30" s="75">
        <f>S30*(1-PARAM!$C$27)*$I$7+(MOD($B30,60)=PARAM!$B$56)*($B30&gt;(60-PARAM!$B$56))*HLOOKUP(($B30+PARAM!$B$56)/12,Loyalty,2)*$F$1*MAX(V29,0)</f>
        <v>18.557001321003963</v>
      </c>
      <c r="U30" s="75">
        <f>PARAM!$C$26+MAX($G$7-CHOOSE(PARAM!$B$44,MAX(0,V29*$F$1),0),0)*RATES!$L6/12+$H$7*(PARAM!$D$51/12)*RATES!$N6/100</f>
        <v>7</v>
      </c>
      <c r="V30" s="16">
        <f t="shared" si="29"/>
        <v>-1241.6121532364596</v>
      </c>
      <c r="W30" s="15">
        <f t="shared" si="5"/>
        <v>22.170849845882874</v>
      </c>
      <c r="X30" s="75">
        <f>W30*(1-PARAM!$C$27)*$I$8+(MOD($B30,60)=PARAM!$B$56)*($B30&gt;(60-PARAM!$B$56))*HLOOKUP(($B30+PARAM!$B$56)/12,Loyalty,2)*$F$1*MAX(Z29,0)</f>
        <v>18.557001321003963</v>
      </c>
      <c r="Y30" s="75">
        <f>PARAM!$C$26+MAX($G$8-CHOOSE(PARAM!$B$44,MAX(0,Z29*$F$1),0),0)*RATES!$L6/12+$H$8*(PARAM!$D$51/12)*RATES!$N6/100</f>
        <v>7</v>
      </c>
      <c r="Z30" s="16">
        <f t="shared" si="30"/>
        <v>-1241.6121532364596</v>
      </c>
      <c r="AA30" s="15">
        <f t="shared" si="6"/>
        <v>22.170849845882874</v>
      </c>
      <c r="AB30" s="75">
        <f>AA30*(1-PARAM!$C$27)*$I$9+(MOD($B30,60)=PARAM!$B$56)*($B30&gt;(60-PARAM!$B$56))*HLOOKUP(($B30+PARAM!$B$56)/12,Loyalty,2)*$F$1*MAX(AD29,0)</f>
        <v>18.557001321003963</v>
      </c>
      <c r="AC30" s="75">
        <f>PARAM!$C$26+MAX($G$9-CHOOSE(PARAM!$B$44,MAX(0,AD29*$F$1),0),0)*RATES!$L6/12+$H$9*(PARAM!$D$51/12)*RATES!$N6/100</f>
        <v>7</v>
      </c>
      <c r="AD30" s="16">
        <f t="shared" si="31"/>
        <v>-1241.6121532364596</v>
      </c>
      <c r="AE30" s="15">
        <f t="shared" si="7"/>
        <v>22.170849845882874</v>
      </c>
      <c r="AF30" s="75">
        <f>AE30*(1-PARAM!$C$27)*$I$10+(MOD($B30,60)=PARAM!$B$56)*($B30&gt;(60-PARAM!$B$56))*HLOOKUP(($B30+PARAM!$B$56)/12,Loyalty,2)*$F$1*MAX(AH29,0)</f>
        <v>18.557001321003963</v>
      </c>
      <c r="AG30" s="75">
        <f>PARAM!$C$26+MAX($G$10-CHOOSE(PARAM!$B$44,MAX(0,AH29*$F$1),0),0)*RATES!$L6/12+$H$10*(PARAM!$D$51/12)*RATES!$N6/100</f>
        <v>7</v>
      </c>
      <c r="AH30" s="16">
        <f t="shared" si="32"/>
        <v>-1241.6121532364596</v>
      </c>
      <c r="AI30" s="15">
        <f t="shared" si="8"/>
        <v>22.170849845882874</v>
      </c>
      <c r="AJ30" s="75">
        <f>AI30*(1-PARAM!$C$27)*$I$11+(MOD($B30,60)=PARAM!$B$56)*($B30&gt;(60-PARAM!$B$56))*HLOOKUP(($B30+PARAM!$B$56)/12,Loyalty,2)*$F$1*MAX(AL29,0)</f>
        <v>18.557001321003963</v>
      </c>
      <c r="AK30" s="75">
        <f>PARAM!$C$26+MAX($G$11-CHOOSE(PARAM!$B$44,MAX(0,AL29*$F$1),0),0)*RATES!$L6/12+$H$11*(PARAM!$D$51/12)*RATES!$N6/100</f>
        <v>7</v>
      </c>
      <c r="AL30" s="16">
        <f t="shared" si="33"/>
        <v>-1241.6121532364596</v>
      </c>
      <c r="AM30" s="15">
        <f t="shared" si="9"/>
        <v>22.170849845882874</v>
      </c>
      <c r="AN30" s="75">
        <f>AM30*(1-PARAM!$C$27)*$I$12+(MOD($B30,60)=PARAM!$B$56)*($B30&gt;(60-PARAM!$B$56))*HLOOKUP(($B30+PARAM!$B$56)/12,Loyalty,2)*$F$1*MAX(AP29,0)</f>
        <v>18.557001321003963</v>
      </c>
      <c r="AO30" s="75">
        <f>PARAM!$C$26+MAX($G$12-CHOOSE(PARAM!$B$44,MAX(0,AP29*$F$1),0),0)*RATES!$L6/12+$H$12*(PARAM!$D$51/12)*RATES!$N6/100</f>
        <v>7</v>
      </c>
      <c r="AP30" s="16">
        <f t="shared" si="34"/>
        <v>-1241.6121532364596</v>
      </c>
      <c r="AQ30" s="15">
        <f t="shared" si="10"/>
        <v>22.170849845882874</v>
      </c>
      <c r="AR30" s="75">
        <f>AQ30*(1-PARAM!$C$27)*$I$13+(MOD($B30,60)=PARAM!$B$56)*($B30&gt;(60-PARAM!$B$56))*HLOOKUP(($B30+PARAM!$B$56)/12,Loyalty,2)*$F$1*MAX(AT29,0)</f>
        <v>18.557001321003963</v>
      </c>
      <c r="AS30" s="75">
        <f>PARAM!$C$26+MAX($G$13-CHOOSE(PARAM!$B$44,MAX(0,AT29*$F$1),0),0)*RATES!$L6/12+$H$13*(PARAM!$D$51/12)*RATES!$N6/100</f>
        <v>7</v>
      </c>
      <c r="AT30" s="16">
        <f t="shared" si="35"/>
        <v>-1241.6121532364596</v>
      </c>
      <c r="AU30" s="15">
        <f t="shared" si="11"/>
        <v>22.170849845882874</v>
      </c>
      <c r="AV30" s="75">
        <f>AU30*(1-PARAM!$C$27)*$I$14+(MOD($B30,60)=PARAM!$B$56)*($B30&gt;(60-PARAM!$B$56))*HLOOKUP(($B30+PARAM!$B$56)/12,Loyalty,2)*$F$1*MAX(AX29,0)</f>
        <v>18.557001321003963</v>
      </c>
      <c r="AW30" s="75">
        <f>PARAM!$C$26+MAX($G$14-CHOOSE(PARAM!$B$44,MAX(0,AX29*$F$1),0),0)*RATES!$L6/12+$H$14*(PARAM!$D$51/12)*RATES!$N6/100</f>
        <v>7</v>
      </c>
      <c r="AX30" s="16">
        <f t="shared" si="36"/>
        <v>-1241.6121532364596</v>
      </c>
      <c r="AY30" s="15">
        <f t="shared" si="12"/>
        <v>22.170849845882874</v>
      </c>
      <c r="AZ30" s="75">
        <f>AY30*(1-PARAM!$C$27)*$I$15+(MOD($B30,60)=PARAM!$B$56)*($B30&gt;(60-PARAM!$B$56))*HLOOKUP(($B30+PARAM!$B$56)/12,Loyalty,2)*$F$1*MAX(BB29,0)</f>
        <v>18.557001321003963</v>
      </c>
      <c r="BA30" s="75">
        <f>PARAM!$C$26+MAX($G$15-CHOOSE(PARAM!$B$44,MAX(0,BB29*$F$1),0),0)*RATES!$L6/12+$H$15*(PARAM!$D$51/12)*RATES!$N6/100</f>
        <v>7</v>
      </c>
      <c r="BB30" s="16">
        <f t="shared" si="37"/>
        <v>-1241.6121532364596</v>
      </c>
      <c r="BC30" s="15">
        <f t="shared" si="13"/>
        <v>22.170849845882874</v>
      </c>
      <c r="BD30" s="75">
        <f>BC30*(1-PARAM!$C$27)*$I$16+(MOD($B30,60)=PARAM!$B$56)*($B30&gt;(60-PARAM!$B$56))*HLOOKUP(($B30+PARAM!$B$56)/12,Loyalty,2)*$F$1*MAX(BF29,0)</f>
        <v>18.557001321003963</v>
      </c>
      <c r="BE30" s="75">
        <f>PARAM!$C$26+MAX($G$16-CHOOSE(PARAM!$B$44,MAX(0,BF29*$F$1),0),0)*RATES!$L6/12+$H$16*(PARAM!$D$51/12)*RATES!$N6/100</f>
        <v>7</v>
      </c>
      <c r="BF30" s="16">
        <f t="shared" si="38"/>
        <v>-1241.6121532364596</v>
      </c>
      <c r="BG30" s="15">
        <f t="shared" si="14"/>
        <v>22.170849845882874</v>
      </c>
      <c r="BH30" s="75">
        <f>BG30*(1-PARAM!$C$27)*$I$17+(MOD($B30,60)=PARAM!$B$56)*($B30&gt;(60-PARAM!$B$56))*HLOOKUP(($B30+PARAM!$B$56)/12,Loyalty,2)*$F$1*MAX(BJ29,0)</f>
        <v>18.557001321003963</v>
      </c>
      <c r="BI30" s="75">
        <f>PARAM!$C$26+MAX($G$17-CHOOSE(PARAM!$B$44,MAX(0,BJ29*$F$1),0),0)*RATES!$L6/12+$H$17*(PARAM!$D$51/12)*RATES!$N6/100</f>
        <v>7</v>
      </c>
      <c r="BJ30" s="16">
        <f t="shared" si="39"/>
        <v>-1241.6121532364596</v>
      </c>
      <c r="BK30" s="15">
        <f t="shared" si="15"/>
        <v>22.170849845882874</v>
      </c>
      <c r="BL30" s="75">
        <f>BK30*(1-PARAM!$C$27)*$I$18+(MOD($B30,60)=PARAM!$B$56)*($B30&gt;(60-PARAM!$B$56))*HLOOKUP(($B30+PARAM!$B$56)/12,Loyalty,2)*$F$1*MAX(BN29,0)</f>
        <v>18.557001321003963</v>
      </c>
      <c r="BM30" s="75">
        <f>PARAM!$C$26+MAX($G$18-CHOOSE(PARAM!$B$44,MAX(0,BN29*$F$1),0),0)*RATES!$L6/12+$H$18*(PARAM!$D$51/12)*RATES!$N6/100</f>
        <v>7</v>
      </c>
      <c r="BN30" s="16">
        <f t="shared" si="40"/>
        <v>-1241.6121532364596</v>
      </c>
      <c r="BO30" s="15">
        <f t="shared" si="16"/>
        <v>22.170849845882874</v>
      </c>
      <c r="BP30" s="75">
        <f>BO30*(1-PARAM!$C$27)*$I$19+(MOD($B30,60)=PARAM!$B$56)*($B30&gt;(60-PARAM!$B$56))*HLOOKUP(($B30+PARAM!$B$56)/12,Loyalty,2)*$F$1*MAX(BR29,0)</f>
        <v>18.557001321003963</v>
      </c>
      <c r="BQ30" s="75">
        <f>PARAM!$C$26+MAX($G$19-CHOOSE(PARAM!$B$44,MAX(0,BR29*$F$1),0),0)*RATES!$L6/12+$H$19*(PARAM!$D$51/12)*RATES!$N6/100</f>
        <v>7</v>
      </c>
      <c r="BR30" s="16">
        <f t="shared" si="41"/>
        <v>-1241.6121532364596</v>
      </c>
      <c r="BS30" s="15">
        <f t="shared" si="17"/>
        <v>22.170849845882874</v>
      </c>
      <c r="BT30" s="75">
        <f>BS30*(1-PARAM!$C$27)*$I$20+(MOD($B30,60)=PARAM!$B$56)*($B30&gt;(60-PARAM!$B$56))*HLOOKUP(($B30+PARAM!$B$56)/12,Loyalty,2)*$F$1*MAX(BV29,0)</f>
        <v>18.557001321003963</v>
      </c>
      <c r="BU30" s="75">
        <f>PARAM!$C$26+MAX($G$20-CHOOSE(PARAM!$B$44,MAX(0,BV29*$F$1),0),0)*RATES!$L6/12+$H$20*(PARAM!$D$51/12)*RATES!$N6/100</f>
        <v>7</v>
      </c>
      <c r="BV30" s="16">
        <f t="shared" si="42"/>
        <v>-1241.6121532364596</v>
      </c>
      <c r="BW30" s="15">
        <f t="shared" si="18"/>
        <v>22.170849845882874</v>
      </c>
      <c r="BX30" s="75">
        <f>BW30*(1-PARAM!$C$27)*$I$21+(MOD($B30,60)=PARAM!$B$56)*($B30&gt;(60-PARAM!$B$56))*HLOOKUP(($B30+PARAM!$B$56)/12,Loyalty,2)*$F$1*MAX(BZ29,0)</f>
        <v>18.557001321003963</v>
      </c>
      <c r="BY30" s="75">
        <f>PARAM!$C$26+MAX($G$21-CHOOSE(PARAM!$B$44,MAX(0,BZ29*$F$1),0),0)*RATES!$L6/12+$H$21*(PARAM!$D$51/12)*RATES!$N6/100</f>
        <v>7</v>
      </c>
      <c r="BZ30" s="16">
        <f t="shared" si="43"/>
        <v>-1241.6121532364596</v>
      </c>
      <c r="CA30" s="15">
        <f t="shared" si="19"/>
        <v>22.170849845882874</v>
      </c>
      <c r="CB30" s="75">
        <f>CA30*(1-PARAM!$C$27)*$I$22+(MOD($B30,60)=PARAM!$B$56)*($B30&gt;(60-PARAM!$B$56))*HLOOKUP(($B30+PARAM!$B$56)/12,Loyalty,2)*$F$1*MAX(CD29,0)</f>
        <v>18.557001321003963</v>
      </c>
      <c r="CC30" s="75">
        <f>PARAM!$C$26+MAX($G$22-CHOOSE(PARAM!$B$44,MAX(0,CD29*$F$1),0),0)*RATES!$L6/12+$H$22*(PARAM!$D$51/12)*RATES!$N6/100</f>
        <v>7</v>
      </c>
      <c r="CD30" s="16">
        <f t="shared" si="44"/>
        <v>-1241.6121532364596</v>
      </c>
      <c r="CE30" s="33">
        <f>IF(0=MOD(B30,12/PARAM!$D$51),1,0)</f>
        <v>1</v>
      </c>
      <c r="CF30" s="15">
        <f t="shared" si="20"/>
        <v>0</v>
      </c>
      <c r="CG30" s="75">
        <f>CF30*(1-PARAM!$C$27)*$R$3+(MOD($B30/12,5)=0)*($B30&gt;60)*HLOOKUP($B30/12,Loyalty,2)*$F$1*MAX(CI29,0)</f>
        <v>0</v>
      </c>
      <c r="CH30" s="75">
        <f>PARAM!$C$26+MAX($P$3-CHOOSE(PARAM!$B$44,MAX(0,CI29*$F$1),0),0)*RATES!$L6/12+$Q$3*(PARAM!$D$51/12)*RATES!$N6/100</f>
        <v>7</v>
      </c>
      <c r="CI30" s="16">
        <f>IF(CI29&gt;0,CI29*PARAM!$C$53,CI29)+CG30-CH30</f>
        <v>-1103</v>
      </c>
      <c r="CJ30" s="15">
        <f t="shared" si="45"/>
        <v>0</v>
      </c>
      <c r="CK30" s="75">
        <f>CJ30*(1-PARAM!$C$27)*$R$4+(MOD($B30/12,5)=0)*($B30&gt;60)*HLOOKUP($B30/12,Loyalty,2)*$F$1*MAX(CM29,0)</f>
        <v>0</v>
      </c>
      <c r="CL30" s="75">
        <f>PARAM!$C$26+MAX($P$4-CHOOSE(PARAM!$B$44,MAX(0,CM29*$F$1),0),0)*RATES!$L6/12+$Q$4*(PARAM!$D$51/12)*RATES!$N6/100</f>
        <v>7</v>
      </c>
      <c r="CM30" s="16">
        <f>IF(CM29&gt;0,CM29*PARAM!$C$53,CM29)+CK30-CL30</f>
        <v>-1103</v>
      </c>
      <c r="CO30" s="176"/>
    </row>
    <row r="31" spans="1:93" x14ac:dyDescent="0.2">
      <c r="A31" t="b">
        <f t="shared" si="21"/>
        <v>0</v>
      </c>
      <c r="B31" s="33">
        <v>4</v>
      </c>
      <c r="C31" s="15">
        <f t="shared" si="46"/>
        <v>20.081305947392778</v>
      </c>
      <c r="D31" s="75">
        <f>C31*(1-PARAM!$C$27)*$I$3+(MOD($B31,60)=PARAM!$B$56)*($B31&gt;(60-PARAM!$B$56))*HLOOKUP(($B31+PARAM!$B$56)/12,Loyalty,2)*$F$1*MAX(F30,0)</f>
        <v>16.808053077967756</v>
      </c>
      <c r="E31" s="75">
        <f>PARAM!$C$26+MAX($G$3-CHOOSE(PARAM!$B$44,MAX(0,F30*$F$1),0),0)*RATES!$L7/12+$H$3*(PARAM!$D$51/12)*RATES!$N7/100</f>
        <v>7</v>
      </c>
      <c r="F31" s="16">
        <f t="shared" si="22"/>
        <v>-1218.7402717051318</v>
      </c>
      <c r="G31" s="15">
        <f t="shared" si="23"/>
        <v>22.035289406060361</v>
      </c>
      <c r="H31" s="75">
        <f>G31*(1-PARAM!$C$27)*$I$4+(MOD($B31,60)=PARAM!$B$56)*($B31&gt;(60-PARAM!$B$56))*HLOOKUP(($B31+PARAM!$B$56)/12,Loyalty,2)*$F$1*MAX(J30,0)</f>
        <v>18.443537232872522</v>
      </c>
      <c r="I31" s="75">
        <f>PARAM!$C$26+MAX($G$4-CHOOSE(PARAM!$B$44,MAX(0,J30*$F$1),0),0)*RATES!$L7/12+$H$4*(PARAM!$D$51/12)*RATES!$N7/100</f>
        <v>7</v>
      </c>
      <c r="J31" s="16">
        <f t="shared" si="24"/>
        <v>-1229.3210921338166</v>
      </c>
      <c r="K31" s="15">
        <f t="shared" si="25"/>
        <v>22.170849845882874</v>
      </c>
      <c r="L31" s="75">
        <f>K31*(1-PARAM!$C$27)*$I$5+(MOD($B31,60)=PARAM!$B$56)*($B31&gt;(60-PARAM!$B$56))*HLOOKUP(($B31+PARAM!$B$56)/12,Loyalty,2)*$F$1*MAX(N30,0)</f>
        <v>18.557001321003963</v>
      </c>
      <c r="M31" s="75">
        <f>PARAM!$C$26+MAX($G$5-CHOOSE(PARAM!$B$44,MAX(0,N30*$F$1),0),0)*RATES!$L7/12+$H$5*(PARAM!$D$51/12)*RATES!$N7/100</f>
        <v>7</v>
      </c>
      <c r="N31" s="16">
        <f t="shared" si="26"/>
        <v>-1230.0551519154556</v>
      </c>
      <c r="O31" s="15">
        <f t="shared" si="27"/>
        <v>22.170849845882874</v>
      </c>
      <c r="P31" s="75">
        <f>O31*(1-PARAM!$C$27)*$I$6+(MOD($B31,60)=PARAM!$B$56)*($B31&gt;(60-PARAM!$B$56))*HLOOKUP(($B31+PARAM!$B$56)/12,Loyalty,2)*$F$1*MAX(R30,0)</f>
        <v>18.557001321003963</v>
      </c>
      <c r="Q31" s="75">
        <f>PARAM!$C$26+MAX($G$6-CHOOSE(PARAM!$B$44,MAX(0,R30*$F$1),0),0)*RATES!$L7/12+$H$6*(PARAM!$D$51/12)*RATES!$N7/100</f>
        <v>7</v>
      </c>
      <c r="R31" s="16">
        <f t="shared" si="28"/>
        <v>-1230.0551519154556</v>
      </c>
      <c r="S31" s="15">
        <f t="shared" si="4"/>
        <v>22.170849845882874</v>
      </c>
      <c r="T31" s="75">
        <f>S31*(1-PARAM!$C$27)*$I$7+(MOD($B31,60)=PARAM!$B$56)*($B31&gt;(60-PARAM!$B$56))*HLOOKUP(($B31+PARAM!$B$56)/12,Loyalty,2)*$F$1*MAX(V30,0)</f>
        <v>18.557001321003963</v>
      </c>
      <c r="U31" s="75">
        <f>PARAM!$C$26+MAX($G$7-CHOOSE(PARAM!$B$44,MAX(0,V30*$F$1),0),0)*RATES!$L7/12+$H$7*(PARAM!$D$51/12)*RATES!$N7/100</f>
        <v>7</v>
      </c>
      <c r="V31" s="16">
        <f t="shared" si="29"/>
        <v>-1230.0551519154556</v>
      </c>
      <c r="W31" s="15">
        <f t="shared" si="5"/>
        <v>22.170849845882874</v>
      </c>
      <c r="X31" s="75">
        <f>W31*(1-PARAM!$C$27)*$I$8+(MOD($B31,60)=PARAM!$B$56)*($B31&gt;(60-PARAM!$B$56))*HLOOKUP(($B31+PARAM!$B$56)/12,Loyalty,2)*$F$1*MAX(Z30,0)</f>
        <v>18.557001321003963</v>
      </c>
      <c r="Y31" s="75">
        <f>PARAM!$C$26+MAX($G$8-CHOOSE(PARAM!$B$44,MAX(0,Z30*$F$1),0),0)*RATES!$L7/12+$H$8*(PARAM!$D$51/12)*RATES!$N7/100</f>
        <v>7</v>
      </c>
      <c r="Z31" s="16">
        <f t="shared" si="30"/>
        <v>-1230.0551519154556</v>
      </c>
      <c r="AA31" s="15">
        <f t="shared" si="6"/>
        <v>22.170849845882874</v>
      </c>
      <c r="AB31" s="75">
        <f>AA31*(1-PARAM!$C$27)*$I$9+(MOD($B31,60)=PARAM!$B$56)*($B31&gt;(60-PARAM!$B$56))*HLOOKUP(($B31+PARAM!$B$56)/12,Loyalty,2)*$F$1*MAX(AD30,0)</f>
        <v>18.557001321003963</v>
      </c>
      <c r="AC31" s="75">
        <f>PARAM!$C$26+MAX($G$9-CHOOSE(PARAM!$B$44,MAX(0,AD30*$F$1),0),0)*RATES!$L7/12+$H$9*(PARAM!$D$51/12)*RATES!$N7/100</f>
        <v>7</v>
      </c>
      <c r="AD31" s="16">
        <f t="shared" si="31"/>
        <v>-1230.0551519154556</v>
      </c>
      <c r="AE31" s="15">
        <f t="shared" si="7"/>
        <v>22.170849845882874</v>
      </c>
      <c r="AF31" s="75">
        <f>AE31*(1-PARAM!$C$27)*$I$10+(MOD($B31,60)=PARAM!$B$56)*($B31&gt;(60-PARAM!$B$56))*HLOOKUP(($B31+PARAM!$B$56)/12,Loyalty,2)*$F$1*MAX(AH30,0)</f>
        <v>18.557001321003963</v>
      </c>
      <c r="AG31" s="75">
        <f>PARAM!$C$26+MAX($G$10-CHOOSE(PARAM!$B$44,MAX(0,AH30*$F$1),0),0)*RATES!$L7/12+$H$10*(PARAM!$D$51/12)*RATES!$N7/100</f>
        <v>7</v>
      </c>
      <c r="AH31" s="16">
        <f t="shared" si="32"/>
        <v>-1230.0551519154556</v>
      </c>
      <c r="AI31" s="15">
        <f t="shared" si="8"/>
        <v>22.170849845882874</v>
      </c>
      <c r="AJ31" s="75">
        <f>AI31*(1-PARAM!$C$27)*$I$11+(MOD($B31,60)=PARAM!$B$56)*($B31&gt;(60-PARAM!$B$56))*HLOOKUP(($B31+PARAM!$B$56)/12,Loyalty,2)*$F$1*MAX(AL30,0)</f>
        <v>18.557001321003963</v>
      </c>
      <c r="AK31" s="75">
        <f>PARAM!$C$26+MAX($G$11-CHOOSE(PARAM!$B$44,MAX(0,AL30*$F$1),0),0)*RATES!$L7/12+$H$11*(PARAM!$D$51/12)*RATES!$N7/100</f>
        <v>7</v>
      </c>
      <c r="AL31" s="16">
        <f t="shared" si="33"/>
        <v>-1230.0551519154556</v>
      </c>
      <c r="AM31" s="15">
        <f t="shared" si="9"/>
        <v>22.170849845882874</v>
      </c>
      <c r="AN31" s="75">
        <f>AM31*(1-PARAM!$C$27)*$I$12+(MOD($B31,60)=PARAM!$B$56)*($B31&gt;(60-PARAM!$B$56))*HLOOKUP(($B31+PARAM!$B$56)/12,Loyalty,2)*$F$1*MAX(AP30,0)</f>
        <v>18.557001321003963</v>
      </c>
      <c r="AO31" s="75">
        <f>PARAM!$C$26+MAX($G$12-CHOOSE(PARAM!$B$44,MAX(0,AP30*$F$1),0),0)*RATES!$L7/12+$H$12*(PARAM!$D$51/12)*RATES!$N7/100</f>
        <v>7</v>
      </c>
      <c r="AP31" s="16">
        <f t="shared" si="34"/>
        <v>-1230.0551519154556</v>
      </c>
      <c r="AQ31" s="15">
        <f t="shared" si="10"/>
        <v>22.170849845882874</v>
      </c>
      <c r="AR31" s="75">
        <f>AQ31*(1-PARAM!$C$27)*$I$13+(MOD($B31,60)=PARAM!$B$56)*($B31&gt;(60-PARAM!$B$56))*HLOOKUP(($B31+PARAM!$B$56)/12,Loyalty,2)*$F$1*MAX(AT30,0)</f>
        <v>18.557001321003963</v>
      </c>
      <c r="AS31" s="75">
        <f>PARAM!$C$26+MAX($G$13-CHOOSE(PARAM!$B$44,MAX(0,AT30*$F$1),0),0)*RATES!$L7/12+$H$13*(PARAM!$D$51/12)*RATES!$N7/100</f>
        <v>7</v>
      </c>
      <c r="AT31" s="16">
        <f t="shared" si="35"/>
        <v>-1230.0551519154556</v>
      </c>
      <c r="AU31" s="15">
        <f t="shared" si="11"/>
        <v>22.170849845882874</v>
      </c>
      <c r="AV31" s="75">
        <f>AU31*(1-PARAM!$C$27)*$I$14+(MOD($B31,60)=PARAM!$B$56)*($B31&gt;(60-PARAM!$B$56))*HLOOKUP(($B31+PARAM!$B$56)/12,Loyalty,2)*$F$1*MAX(AX30,0)</f>
        <v>18.557001321003963</v>
      </c>
      <c r="AW31" s="75">
        <f>PARAM!$C$26+MAX($G$14-CHOOSE(PARAM!$B$44,MAX(0,AX30*$F$1),0),0)*RATES!$L7/12+$H$14*(PARAM!$D$51/12)*RATES!$N7/100</f>
        <v>7</v>
      </c>
      <c r="AX31" s="16">
        <f t="shared" si="36"/>
        <v>-1230.0551519154556</v>
      </c>
      <c r="AY31" s="15">
        <f t="shared" si="12"/>
        <v>22.170849845882874</v>
      </c>
      <c r="AZ31" s="75">
        <f>AY31*(1-PARAM!$C$27)*$I$15+(MOD($B31,60)=PARAM!$B$56)*($B31&gt;(60-PARAM!$B$56))*HLOOKUP(($B31+PARAM!$B$56)/12,Loyalty,2)*$F$1*MAX(BB30,0)</f>
        <v>18.557001321003963</v>
      </c>
      <c r="BA31" s="75">
        <f>PARAM!$C$26+MAX($G$15-CHOOSE(PARAM!$B$44,MAX(0,BB30*$F$1),0),0)*RATES!$L7/12+$H$15*(PARAM!$D$51/12)*RATES!$N7/100</f>
        <v>7</v>
      </c>
      <c r="BB31" s="16">
        <f t="shared" si="37"/>
        <v>-1230.0551519154556</v>
      </c>
      <c r="BC31" s="15">
        <f t="shared" si="13"/>
        <v>22.170849845882874</v>
      </c>
      <c r="BD31" s="75">
        <f>BC31*(1-PARAM!$C$27)*$I$16+(MOD($B31,60)=PARAM!$B$56)*($B31&gt;(60-PARAM!$B$56))*HLOOKUP(($B31+PARAM!$B$56)/12,Loyalty,2)*$F$1*MAX(BF30,0)</f>
        <v>18.557001321003963</v>
      </c>
      <c r="BE31" s="75">
        <f>PARAM!$C$26+MAX($G$16-CHOOSE(PARAM!$B$44,MAX(0,BF30*$F$1),0),0)*RATES!$L7/12+$H$16*(PARAM!$D$51/12)*RATES!$N7/100</f>
        <v>7</v>
      </c>
      <c r="BF31" s="16">
        <f t="shared" si="38"/>
        <v>-1230.0551519154556</v>
      </c>
      <c r="BG31" s="15">
        <f t="shared" si="14"/>
        <v>22.170849845882874</v>
      </c>
      <c r="BH31" s="75">
        <f>BG31*(1-PARAM!$C$27)*$I$17+(MOD($B31,60)=PARAM!$B$56)*($B31&gt;(60-PARAM!$B$56))*HLOOKUP(($B31+PARAM!$B$56)/12,Loyalty,2)*$F$1*MAX(BJ30,0)</f>
        <v>18.557001321003963</v>
      </c>
      <c r="BI31" s="75">
        <f>PARAM!$C$26+MAX($G$17-CHOOSE(PARAM!$B$44,MAX(0,BJ30*$F$1),0),0)*RATES!$L7/12+$H$17*(PARAM!$D$51/12)*RATES!$N7/100</f>
        <v>7</v>
      </c>
      <c r="BJ31" s="16">
        <f t="shared" si="39"/>
        <v>-1230.0551519154556</v>
      </c>
      <c r="BK31" s="15">
        <f t="shared" si="15"/>
        <v>22.170849845882874</v>
      </c>
      <c r="BL31" s="75">
        <f>BK31*(1-PARAM!$C$27)*$I$18+(MOD($B31,60)=PARAM!$B$56)*($B31&gt;(60-PARAM!$B$56))*HLOOKUP(($B31+PARAM!$B$56)/12,Loyalty,2)*$F$1*MAX(BN30,0)</f>
        <v>18.557001321003963</v>
      </c>
      <c r="BM31" s="75">
        <f>PARAM!$C$26+MAX($G$18-CHOOSE(PARAM!$B$44,MAX(0,BN30*$F$1),0),0)*RATES!$L7/12+$H$18*(PARAM!$D$51/12)*RATES!$N7/100</f>
        <v>7</v>
      </c>
      <c r="BN31" s="16">
        <f t="shared" si="40"/>
        <v>-1230.0551519154556</v>
      </c>
      <c r="BO31" s="15">
        <f t="shared" si="16"/>
        <v>22.170849845882874</v>
      </c>
      <c r="BP31" s="75">
        <f>BO31*(1-PARAM!$C$27)*$I$19+(MOD($B31,60)=PARAM!$B$56)*($B31&gt;(60-PARAM!$B$56))*HLOOKUP(($B31+PARAM!$B$56)/12,Loyalty,2)*$F$1*MAX(BR30,0)</f>
        <v>18.557001321003963</v>
      </c>
      <c r="BQ31" s="75">
        <f>PARAM!$C$26+MAX($G$19-CHOOSE(PARAM!$B$44,MAX(0,BR30*$F$1),0),0)*RATES!$L7/12+$H$19*(PARAM!$D$51/12)*RATES!$N7/100</f>
        <v>7</v>
      </c>
      <c r="BR31" s="16">
        <f t="shared" si="41"/>
        <v>-1230.0551519154556</v>
      </c>
      <c r="BS31" s="15">
        <f t="shared" si="17"/>
        <v>22.170849845882874</v>
      </c>
      <c r="BT31" s="75">
        <f>BS31*(1-PARAM!$C$27)*$I$20+(MOD($B31,60)=PARAM!$B$56)*($B31&gt;(60-PARAM!$B$56))*HLOOKUP(($B31+PARAM!$B$56)/12,Loyalty,2)*$F$1*MAX(BV30,0)</f>
        <v>18.557001321003963</v>
      </c>
      <c r="BU31" s="75">
        <f>PARAM!$C$26+MAX($G$20-CHOOSE(PARAM!$B$44,MAX(0,BV30*$F$1),0),0)*RATES!$L7/12+$H$20*(PARAM!$D$51/12)*RATES!$N7/100</f>
        <v>7</v>
      </c>
      <c r="BV31" s="16">
        <f t="shared" si="42"/>
        <v>-1230.0551519154556</v>
      </c>
      <c r="BW31" s="15">
        <f t="shared" si="18"/>
        <v>22.170849845882874</v>
      </c>
      <c r="BX31" s="75">
        <f>BW31*(1-PARAM!$C$27)*$I$21+(MOD($B31,60)=PARAM!$B$56)*($B31&gt;(60-PARAM!$B$56))*HLOOKUP(($B31+PARAM!$B$56)/12,Loyalty,2)*$F$1*MAX(BZ30,0)</f>
        <v>18.557001321003963</v>
      </c>
      <c r="BY31" s="75">
        <f>PARAM!$C$26+MAX($G$21-CHOOSE(PARAM!$B$44,MAX(0,BZ30*$F$1),0),0)*RATES!$L7/12+$H$21*(PARAM!$D$51/12)*RATES!$N7/100</f>
        <v>7</v>
      </c>
      <c r="BZ31" s="16">
        <f t="shared" si="43"/>
        <v>-1230.0551519154556</v>
      </c>
      <c r="CA31" s="15">
        <f t="shared" si="19"/>
        <v>22.170849845882874</v>
      </c>
      <c r="CB31" s="75">
        <f>CA31*(1-PARAM!$C$27)*$I$22+(MOD($B31,60)=PARAM!$B$56)*($B31&gt;(60-PARAM!$B$56))*HLOOKUP(($B31+PARAM!$B$56)/12,Loyalty,2)*$F$1*MAX(CD30,0)</f>
        <v>18.557001321003963</v>
      </c>
      <c r="CC31" s="75">
        <f>PARAM!$C$26+MAX($G$22-CHOOSE(PARAM!$B$44,MAX(0,CD30*$F$1),0),0)*RATES!$L7/12+$H$22*(PARAM!$D$51/12)*RATES!$N7/100</f>
        <v>7</v>
      </c>
      <c r="CD31" s="16">
        <f t="shared" si="44"/>
        <v>-1230.0551519154556</v>
      </c>
      <c r="CE31" s="33">
        <f>IF(0=MOD(B31,12/PARAM!$D$51),1,0)</f>
        <v>1</v>
      </c>
      <c r="CF31" s="15">
        <f t="shared" si="20"/>
        <v>0</v>
      </c>
      <c r="CG31" s="75">
        <f>CF31*(1-PARAM!$C$27)*$R$3+(MOD($B31/12,5)=0)*($B31&gt;60)*HLOOKUP($B31/12,Loyalty,2)*$F$1*MAX(CI30,0)</f>
        <v>0</v>
      </c>
      <c r="CH31" s="75">
        <f>PARAM!$C$26+MAX($P$3-CHOOSE(PARAM!$B$44,MAX(0,CI30*$F$1),0),0)*RATES!$L7/12+$Q$3*(PARAM!$D$51/12)*RATES!$N7/100</f>
        <v>7</v>
      </c>
      <c r="CI31" s="16">
        <f>IF(CI30&gt;0,CI30*PARAM!$C$53,CI30)+CG31-CH31</f>
        <v>-1110</v>
      </c>
      <c r="CJ31" s="15">
        <f t="shared" si="45"/>
        <v>0</v>
      </c>
      <c r="CK31" s="75">
        <f>CJ31*(1-PARAM!$C$27)*$R$4+(MOD($B31/12,5)=0)*($B31&gt;60)*HLOOKUP($B31/12,Loyalty,2)*$F$1*MAX(CM30,0)</f>
        <v>0</v>
      </c>
      <c r="CL31" s="75">
        <f>PARAM!$C$26+MAX($P$4-CHOOSE(PARAM!$B$44,MAX(0,CM30*$F$1),0),0)*RATES!$L7/12+$Q$4*(PARAM!$D$51/12)*RATES!$N7/100</f>
        <v>7</v>
      </c>
      <c r="CM31" s="16">
        <f>IF(CM30&gt;0,CM30*PARAM!$C$53,CM30)+CK31-CL31</f>
        <v>-1110</v>
      </c>
      <c r="CO31" s="176"/>
    </row>
    <row r="32" spans="1:93" x14ac:dyDescent="0.2">
      <c r="A32" t="b">
        <f t="shared" si="21"/>
        <v>0</v>
      </c>
      <c r="B32" s="33">
        <v>5</v>
      </c>
      <c r="C32" s="15">
        <f t="shared" si="46"/>
        <v>20.081305947392778</v>
      </c>
      <c r="D32" s="75">
        <f>C32*(1-PARAM!$C$27)*$I$3+(MOD($B32,60)=PARAM!$B$56)*($B32&gt;(60-PARAM!$B$56))*HLOOKUP(($B32+PARAM!$B$56)/12,Loyalty,2)*$F$1*MAX(F31,0)</f>
        <v>16.808053077967756</v>
      </c>
      <c r="E32" s="75">
        <f>PARAM!$C$26+MAX($G$3-CHOOSE(PARAM!$B$44,MAX(0,F31*$F$1),0),0)*RATES!$L8/12+$H$3*(PARAM!$D$51/12)*RATES!$N8/100</f>
        <v>7</v>
      </c>
      <c r="F32" s="16">
        <f t="shared" si="22"/>
        <v>-1208.932218627164</v>
      </c>
      <c r="G32" s="15">
        <f t="shared" si="23"/>
        <v>22.035289406060361</v>
      </c>
      <c r="H32" s="75">
        <f>G32*(1-PARAM!$C$27)*$I$4+(MOD($B32,60)=PARAM!$B$56)*($B32&gt;(60-PARAM!$B$56))*HLOOKUP(($B32+PARAM!$B$56)/12,Loyalty,2)*$F$1*MAX(J31,0)</f>
        <v>18.443537232872522</v>
      </c>
      <c r="I32" s="75">
        <f>PARAM!$C$26+MAX($G$4-CHOOSE(PARAM!$B$44,MAX(0,J31*$F$1),0),0)*RATES!$L8/12+$H$4*(PARAM!$D$51/12)*RATES!$N8/100</f>
        <v>7</v>
      </c>
      <c r="J32" s="16">
        <f t="shared" si="24"/>
        <v>-1217.877554900944</v>
      </c>
      <c r="K32" s="15">
        <f t="shared" si="25"/>
        <v>22.170849845882874</v>
      </c>
      <c r="L32" s="75">
        <f>K32*(1-PARAM!$C$27)*$I$5+(MOD($B32,60)=PARAM!$B$56)*($B32&gt;(60-PARAM!$B$56))*HLOOKUP(($B32+PARAM!$B$56)/12,Loyalty,2)*$F$1*MAX(N31,0)</f>
        <v>18.557001321003963</v>
      </c>
      <c r="M32" s="75">
        <f>PARAM!$C$26+MAX($G$5-CHOOSE(PARAM!$B$44,MAX(0,N31*$F$1),0),0)*RATES!$L8/12+$H$5*(PARAM!$D$51/12)*RATES!$N8/100</f>
        <v>7</v>
      </c>
      <c r="N32" s="16">
        <f t="shared" si="26"/>
        <v>-1218.4981505944515</v>
      </c>
      <c r="O32" s="15">
        <f t="shared" si="27"/>
        <v>22.170849845882874</v>
      </c>
      <c r="P32" s="75">
        <f>O32*(1-PARAM!$C$27)*$I$6+(MOD($B32,60)=PARAM!$B$56)*($B32&gt;(60-PARAM!$B$56))*HLOOKUP(($B32+PARAM!$B$56)/12,Loyalty,2)*$F$1*MAX(R31,0)</f>
        <v>18.557001321003963</v>
      </c>
      <c r="Q32" s="75">
        <f>PARAM!$C$26+MAX($G$6-CHOOSE(PARAM!$B$44,MAX(0,R31*$F$1),0),0)*RATES!$L8/12+$H$6*(PARAM!$D$51/12)*RATES!$N8/100</f>
        <v>7</v>
      </c>
      <c r="R32" s="16">
        <f t="shared" si="28"/>
        <v>-1218.4981505944515</v>
      </c>
      <c r="S32" s="15">
        <f t="shared" si="4"/>
        <v>22.170849845882874</v>
      </c>
      <c r="T32" s="75">
        <f>S32*(1-PARAM!$C$27)*$I$7+(MOD($B32,60)=PARAM!$B$56)*($B32&gt;(60-PARAM!$B$56))*HLOOKUP(($B32+PARAM!$B$56)/12,Loyalty,2)*$F$1*MAX(V31,0)</f>
        <v>18.557001321003963</v>
      </c>
      <c r="U32" s="75">
        <f>PARAM!$C$26+MAX($G$7-CHOOSE(PARAM!$B$44,MAX(0,V31*$F$1),0),0)*RATES!$L8/12+$H$7*(PARAM!$D$51/12)*RATES!$N8/100</f>
        <v>7</v>
      </c>
      <c r="V32" s="16">
        <f t="shared" si="29"/>
        <v>-1218.4981505944515</v>
      </c>
      <c r="W32" s="15">
        <f t="shared" si="5"/>
        <v>22.170849845882874</v>
      </c>
      <c r="X32" s="75">
        <f>W32*(1-PARAM!$C$27)*$I$8+(MOD($B32,60)=PARAM!$B$56)*($B32&gt;(60-PARAM!$B$56))*HLOOKUP(($B32+PARAM!$B$56)/12,Loyalty,2)*$F$1*MAX(Z31,0)</f>
        <v>18.557001321003963</v>
      </c>
      <c r="Y32" s="75">
        <f>PARAM!$C$26+MAX($G$8-CHOOSE(PARAM!$B$44,MAX(0,Z31*$F$1),0),0)*RATES!$L8/12+$H$8*(PARAM!$D$51/12)*RATES!$N8/100</f>
        <v>7</v>
      </c>
      <c r="Z32" s="16">
        <f t="shared" si="30"/>
        <v>-1218.4981505944515</v>
      </c>
      <c r="AA32" s="15">
        <f t="shared" si="6"/>
        <v>22.170849845882874</v>
      </c>
      <c r="AB32" s="75">
        <f>AA32*(1-PARAM!$C$27)*$I$9+(MOD($B32,60)=PARAM!$B$56)*($B32&gt;(60-PARAM!$B$56))*HLOOKUP(($B32+PARAM!$B$56)/12,Loyalty,2)*$F$1*MAX(AD31,0)</f>
        <v>18.557001321003963</v>
      </c>
      <c r="AC32" s="75">
        <f>PARAM!$C$26+MAX($G$9-CHOOSE(PARAM!$B$44,MAX(0,AD31*$F$1),0),0)*RATES!$L8/12+$H$9*(PARAM!$D$51/12)*RATES!$N8/100</f>
        <v>7</v>
      </c>
      <c r="AD32" s="16">
        <f t="shared" si="31"/>
        <v>-1218.4981505944515</v>
      </c>
      <c r="AE32" s="15">
        <f t="shared" si="7"/>
        <v>22.170849845882874</v>
      </c>
      <c r="AF32" s="75">
        <f>AE32*(1-PARAM!$C$27)*$I$10+(MOD($B32,60)=PARAM!$B$56)*($B32&gt;(60-PARAM!$B$56))*HLOOKUP(($B32+PARAM!$B$56)/12,Loyalty,2)*$F$1*MAX(AH31,0)</f>
        <v>18.557001321003963</v>
      </c>
      <c r="AG32" s="75">
        <f>PARAM!$C$26+MAX($G$10-CHOOSE(PARAM!$B$44,MAX(0,AH31*$F$1),0),0)*RATES!$L8/12+$H$10*(PARAM!$D$51/12)*RATES!$N8/100</f>
        <v>7</v>
      </c>
      <c r="AH32" s="16">
        <f t="shared" si="32"/>
        <v>-1218.4981505944515</v>
      </c>
      <c r="AI32" s="15">
        <f t="shared" si="8"/>
        <v>22.170849845882874</v>
      </c>
      <c r="AJ32" s="75">
        <f>AI32*(1-PARAM!$C$27)*$I$11+(MOD($B32,60)=PARAM!$B$56)*($B32&gt;(60-PARAM!$B$56))*HLOOKUP(($B32+PARAM!$B$56)/12,Loyalty,2)*$F$1*MAX(AL31,0)</f>
        <v>18.557001321003963</v>
      </c>
      <c r="AK32" s="75">
        <f>PARAM!$C$26+MAX($G$11-CHOOSE(PARAM!$B$44,MAX(0,AL31*$F$1),0),0)*RATES!$L8/12+$H$11*(PARAM!$D$51/12)*RATES!$N8/100</f>
        <v>7</v>
      </c>
      <c r="AL32" s="16">
        <f t="shared" si="33"/>
        <v>-1218.4981505944515</v>
      </c>
      <c r="AM32" s="15">
        <f t="shared" si="9"/>
        <v>22.170849845882874</v>
      </c>
      <c r="AN32" s="75">
        <f>AM32*(1-PARAM!$C$27)*$I$12+(MOD($B32,60)=PARAM!$B$56)*($B32&gt;(60-PARAM!$B$56))*HLOOKUP(($B32+PARAM!$B$56)/12,Loyalty,2)*$F$1*MAX(AP31,0)</f>
        <v>18.557001321003963</v>
      </c>
      <c r="AO32" s="75">
        <f>PARAM!$C$26+MAX($G$12-CHOOSE(PARAM!$B$44,MAX(0,AP31*$F$1),0),0)*RATES!$L8/12+$H$12*(PARAM!$D$51/12)*RATES!$N8/100</f>
        <v>7</v>
      </c>
      <c r="AP32" s="16">
        <f t="shared" si="34"/>
        <v>-1218.4981505944515</v>
      </c>
      <c r="AQ32" s="15">
        <f t="shared" si="10"/>
        <v>22.170849845882874</v>
      </c>
      <c r="AR32" s="75">
        <f>AQ32*(1-PARAM!$C$27)*$I$13+(MOD($B32,60)=PARAM!$B$56)*($B32&gt;(60-PARAM!$B$56))*HLOOKUP(($B32+PARAM!$B$56)/12,Loyalty,2)*$F$1*MAX(AT31,0)</f>
        <v>18.557001321003963</v>
      </c>
      <c r="AS32" s="75">
        <f>PARAM!$C$26+MAX($G$13-CHOOSE(PARAM!$B$44,MAX(0,AT31*$F$1),0),0)*RATES!$L8/12+$H$13*(PARAM!$D$51/12)*RATES!$N8/100</f>
        <v>7</v>
      </c>
      <c r="AT32" s="16">
        <f t="shared" si="35"/>
        <v>-1218.4981505944515</v>
      </c>
      <c r="AU32" s="15">
        <f t="shared" si="11"/>
        <v>22.170849845882874</v>
      </c>
      <c r="AV32" s="75">
        <f>AU32*(1-PARAM!$C$27)*$I$14+(MOD($B32,60)=PARAM!$B$56)*($B32&gt;(60-PARAM!$B$56))*HLOOKUP(($B32+PARAM!$B$56)/12,Loyalty,2)*$F$1*MAX(AX31,0)</f>
        <v>18.557001321003963</v>
      </c>
      <c r="AW32" s="75">
        <f>PARAM!$C$26+MAX($G$14-CHOOSE(PARAM!$B$44,MAX(0,AX31*$F$1),0),0)*RATES!$L8/12+$H$14*(PARAM!$D$51/12)*RATES!$N8/100</f>
        <v>7</v>
      </c>
      <c r="AX32" s="16">
        <f t="shared" si="36"/>
        <v>-1218.4981505944515</v>
      </c>
      <c r="AY32" s="15">
        <f t="shared" si="12"/>
        <v>22.170849845882874</v>
      </c>
      <c r="AZ32" s="75">
        <f>AY32*(1-PARAM!$C$27)*$I$15+(MOD($B32,60)=PARAM!$B$56)*($B32&gt;(60-PARAM!$B$56))*HLOOKUP(($B32+PARAM!$B$56)/12,Loyalty,2)*$F$1*MAX(BB31,0)</f>
        <v>18.557001321003963</v>
      </c>
      <c r="BA32" s="75">
        <f>PARAM!$C$26+MAX($G$15-CHOOSE(PARAM!$B$44,MAX(0,BB31*$F$1),0),0)*RATES!$L8/12+$H$15*(PARAM!$D$51/12)*RATES!$N8/100</f>
        <v>7</v>
      </c>
      <c r="BB32" s="16">
        <f t="shared" si="37"/>
        <v>-1218.4981505944515</v>
      </c>
      <c r="BC32" s="15">
        <f t="shared" si="13"/>
        <v>22.170849845882874</v>
      </c>
      <c r="BD32" s="75">
        <f>BC32*(1-PARAM!$C$27)*$I$16+(MOD($B32,60)=PARAM!$B$56)*($B32&gt;(60-PARAM!$B$56))*HLOOKUP(($B32+PARAM!$B$56)/12,Loyalty,2)*$F$1*MAX(BF31,0)</f>
        <v>18.557001321003963</v>
      </c>
      <c r="BE32" s="75">
        <f>PARAM!$C$26+MAX($G$16-CHOOSE(PARAM!$B$44,MAX(0,BF31*$F$1),0),0)*RATES!$L8/12+$H$16*(PARAM!$D$51/12)*RATES!$N8/100</f>
        <v>7</v>
      </c>
      <c r="BF32" s="16">
        <f t="shared" si="38"/>
        <v>-1218.4981505944515</v>
      </c>
      <c r="BG32" s="15">
        <f t="shared" si="14"/>
        <v>22.170849845882874</v>
      </c>
      <c r="BH32" s="75">
        <f>BG32*(1-PARAM!$C$27)*$I$17+(MOD($B32,60)=PARAM!$B$56)*($B32&gt;(60-PARAM!$B$56))*HLOOKUP(($B32+PARAM!$B$56)/12,Loyalty,2)*$F$1*MAX(BJ31,0)</f>
        <v>18.557001321003963</v>
      </c>
      <c r="BI32" s="75">
        <f>PARAM!$C$26+MAX($G$17-CHOOSE(PARAM!$B$44,MAX(0,BJ31*$F$1),0),0)*RATES!$L8/12+$H$17*(PARAM!$D$51/12)*RATES!$N8/100</f>
        <v>7</v>
      </c>
      <c r="BJ32" s="16">
        <f t="shared" si="39"/>
        <v>-1218.4981505944515</v>
      </c>
      <c r="BK32" s="15">
        <f t="shared" si="15"/>
        <v>22.170849845882874</v>
      </c>
      <c r="BL32" s="75">
        <f>BK32*(1-PARAM!$C$27)*$I$18+(MOD($B32,60)=PARAM!$B$56)*($B32&gt;(60-PARAM!$B$56))*HLOOKUP(($B32+PARAM!$B$56)/12,Loyalty,2)*$F$1*MAX(BN31,0)</f>
        <v>18.557001321003963</v>
      </c>
      <c r="BM32" s="75">
        <f>PARAM!$C$26+MAX($G$18-CHOOSE(PARAM!$B$44,MAX(0,BN31*$F$1),0),0)*RATES!$L8/12+$H$18*(PARAM!$D$51/12)*RATES!$N8/100</f>
        <v>7</v>
      </c>
      <c r="BN32" s="16">
        <f t="shared" si="40"/>
        <v>-1218.4981505944515</v>
      </c>
      <c r="BO32" s="15">
        <f t="shared" si="16"/>
        <v>22.170849845882874</v>
      </c>
      <c r="BP32" s="75">
        <f>BO32*(1-PARAM!$C$27)*$I$19+(MOD($B32,60)=PARAM!$B$56)*($B32&gt;(60-PARAM!$B$56))*HLOOKUP(($B32+PARAM!$B$56)/12,Loyalty,2)*$F$1*MAX(BR31,0)</f>
        <v>18.557001321003963</v>
      </c>
      <c r="BQ32" s="75">
        <f>PARAM!$C$26+MAX($G$19-CHOOSE(PARAM!$B$44,MAX(0,BR31*$F$1),0),0)*RATES!$L8/12+$H$19*(PARAM!$D$51/12)*RATES!$N8/100</f>
        <v>7</v>
      </c>
      <c r="BR32" s="16">
        <f t="shared" si="41"/>
        <v>-1218.4981505944515</v>
      </c>
      <c r="BS32" s="15">
        <f t="shared" si="17"/>
        <v>22.170849845882874</v>
      </c>
      <c r="BT32" s="75">
        <f>BS32*(1-PARAM!$C$27)*$I$20+(MOD($B32,60)=PARAM!$B$56)*($B32&gt;(60-PARAM!$B$56))*HLOOKUP(($B32+PARAM!$B$56)/12,Loyalty,2)*$F$1*MAX(BV31,0)</f>
        <v>18.557001321003963</v>
      </c>
      <c r="BU32" s="75">
        <f>PARAM!$C$26+MAX($G$20-CHOOSE(PARAM!$B$44,MAX(0,BV31*$F$1),0),0)*RATES!$L8/12+$H$20*(PARAM!$D$51/12)*RATES!$N8/100</f>
        <v>7</v>
      </c>
      <c r="BV32" s="16">
        <f t="shared" si="42"/>
        <v>-1218.4981505944515</v>
      </c>
      <c r="BW32" s="15">
        <f t="shared" si="18"/>
        <v>22.170849845882874</v>
      </c>
      <c r="BX32" s="75">
        <f>BW32*(1-PARAM!$C$27)*$I$21+(MOD($B32,60)=PARAM!$B$56)*($B32&gt;(60-PARAM!$B$56))*HLOOKUP(($B32+PARAM!$B$56)/12,Loyalty,2)*$F$1*MAX(BZ31,0)</f>
        <v>18.557001321003963</v>
      </c>
      <c r="BY32" s="75">
        <f>PARAM!$C$26+MAX($G$21-CHOOSE(PARAM!$B$44,MAX(0,BZ31*$F$1),0),0)*RATES!$L8/12+$H$21*(PARAM!$D$51/12)*RATES!$N8/100</f>
        <v>7</v>
      </c>
      <c r="BZ32" s="16">
        <f t="shared" si="43"/>
        <v>-1218.4981505944515</v>
      </c>
      <c r="CA32" s="15">
        <f t="shared" si="19"/>
        <v>22.170849845882874</v>
      </c>
      <c r="CB32" s="75">
        <f>CA32*(1-PARAM!$C$27)*$I$22+(MOD($B32,60)=PARAM!$B$56)*($B32&gt;(60-PARAM!$B$56))*HLOOKUP(($B32+PARAM!$B$56)/12,Loyalty,2)*$F$1*MAX(CD31,0)</f>
        <v>18.557001321003963</v>
      </c>
      <c r="CC32" s="75">
        <f>PARAM!$C$26+MAX($G$22-CHOOSE(PARAM!$B$44,MAX(0,CD31*$F$1),0),0)*RATES!$L8/12+$H$22*(PARAM!$D$51/12)*RATES!$N8/100</f>
        <v>7</v>
      </c>
      <c r="CD32" s="16">
        <f t="shared" si="44"/>
        <v>-1218.4981505944515</v>
      </c>
      <c r="CE32" s="33">
        <f>IF(0=MOD(B32,12/PARAM!$D$51),1,0)</f>
        <v>1</v>
      </c>
      <c r="CF32" s="15">
        <f t="shared" si="20"/>
        <v>0</v>
      </c>
      <c r="CG32" s="75">
        <f>CF32*(1-PARAM!$C$27)*$R$3+(MOD($B32/12,5)=0)*($B32&gt;60)*HLOOKUP($B32/12,Loyalty,2)*$F$1*MAX(CI31,0)</f>
        <v>0</v>
      </c>
      <c r="CH32" s="75">
        <f>PARAM!$C$26+MAX($P$3-CHOOSE(PARAM!$B$44,MAX(0,CI31*$F$1),0),0)*RATES!$L8/12+$Q$3*(PARAM!$D$51/12)*RATES!$N8/100</f>
        <v>7</v>
      </c>
      <c r="CI32" s="16">
        <f>IF(CI31&gt;0,CI31*PARAM!$C$53,CI31)+CG32-CH32</f>
        <v>-1117</v>
      </c>
      <c r="CJ32" s="15">
        <f t="shared" si="45"/>
        <v>0</v>
      </c>
      <c r="CK32" s="75">
        <f>CJ32*(1-PARAM!$C$27)*$R$4+(MOD($B32/12,5)=0)*($B32&gt;60)*HLOOKUP($B32/12,Loyalty,2)*$F$1*MAX(CM31,0)</f>
        <v>0</v>
      </c>
      <c r="CL32" s="75">
        <f>PARAM!$C$26+MAX($P$4-CHOOSE(PARAM!$B$44,MAX(0,CM31*$F$1),0),0)*RATES!$L8/12+$Q$4*(PARAM!$D$51/12)*RATES!$N8/100</f>
        <v>7</v>
      </c>
      <c r="CM32" s="16">
        <f>IF(CM31&gt;0,CM31*PARAM!$C$53,CM31)+CK32-CL32</f>
        <v>-1117</v>
      </c>
      <c r="CO32" s="176"/>
    </row>
    <row r="33" spans="1:93" x14ac:dyDescent="0.2">
      <c r="A33" t="b">
        <f t="shared" si="21"/>
        <v>0</v>
      </c>
      <c r="B33" s="33">
        <v>6</v>
      </c>
      <c r="C33" s="15">
        <f t="shared" si="46"/>
        <v>20.081305947392778</v>
      </c>
      <c r="D33" s="75">
        <f>C33*(1-PARAM!$C$27)*$I$3+(MOD($B33,60)=PARAM!$B$56)*($B33&gt;(60-PARAM!$B$56))*HLOOKUP(($B33+PARAM!$B$56)/12,Loyalty,2)*$F$1*MAX(F32,0)</f>
        <v>16.808053077967756</v>
      </c>
      <c r="E33" s="75">
        <f>PARAM!$C$26+MAX($G$3-CHOOSE(PARAM!$B$44,MAX(0,F32*$F$1),0),0)*RATES!$L9/12+$H$3*(PARAM!$D$51/12)*RATES!$N9/100</f>
        <v>7.0833333333333339</v>
      </c>
      <c r="F33" s="16">
        <f t="shared" si="22"/>
        <v>-1199.2074988825295</v>
      </c>
      <c r="G33" s="15">
        <f t="shared" si="23"/>
        <v>22.035289406060361</v>
      </c>
      <c r="H33" s="75">
        <f>G33*(1-PARAM!$C$27)*$I$4+(MOD($B33,60)=PARAM!$B$56)*($B33&gt;(60-PARAM!$B$56))*HLOOKUP(($B33+PARAM!$B$56)/12,Loyalty,2)*$F$1*MAX(J32,0)</f>
        <v>18.443537232872522</v>
      </c>
      <c r="I33" s="75">
        <f>PARAM!$C$26+MAX($G$4-CHOOSE(PARAM!$B$44,MAX(0,J32*$F$1),0),0)*RATES!$L9/12+$H$4*(PARAM!$D$51/12)*RATES!$N9/100</f>
        <v>7.0833333333333339</v>
      </c>
      <c r="J33" s="16">
        <f t="shared" si="24"/>
        <v>-1206.5173510014047</v>
      </c>
      <c r="K33" s="15">
        <f t="shared" si="25"/>
        <v>22.170849845882874</v>
      </c>
      <c r="L33" s="75">
        <f>K33*(1-PARAM!$C$27)*$I$5+(MOD($B33,60)=PARAM!$B$56)*($B33&gt;(60-PARAM!$B$56))*HLOOKUP(($B33+PARAM!$B$56)/12,Loyalty,2)*$F$1*MAX(N32,0)</f>
        <v>18.557001321003963</v>
      </c>
      <c r="M33" s="75">
        <f>PARAM!$C$26+MAX($G$5-CHOOSE(PARAM!$B$44,MAX(0,N32*$F$1),0),0)*RATES!$L9/12+$H$5*(PARAM!$D$51/12)*RATES!$N9/100</f>
        <v>7.0833333333333339</v>
      </c>
      <c r="N33" s="16">
        <f t="shared" si="26"/>
        <v>-1207.0244826067808</v>
      </c>
      <c r="O33" s="15">
        <f t="shared" si="27"/>
        <v>22.170849845882874</v>
      </c>
      <c r="P33" s="75">
        <f>O33*(1-PARAM!$C$27)*$I$6+(MOD($B33,60)=PARAM!$B$56)*($B33&gt;(60-PARAM!$B$56))*HLOOKUP(($B33+PARAM!$B$56)/12,Loyalty,2)*$F$1*MAX(R32,0)</f>
        <v>18.557001321003963</v>
      </c>
      <c r="Q33" s="75">
        <f>PARAM!$C$26+MAX($G$6-CHOOSE(PARAM!$B$44,MAX(0,R32*$F$1),0),0)*RATES!$L9/12+$H$6*(PARAM!$D$51/12)*RATES!$N9/100</f>
        <v>7.0833333333333339</v>
      </c>
      <c r="R33" s="16">
        <f t="shared" si="28"/>
        <v>-1207.0244826067808</v>
      </c>
      <c r="S33" s="15">
        <f t="shared" si="4"/>
        <v>22.170849845882874</v>
      </c>
      <c r="T33" s="75">
        <f>S33*(1-PARAM!$C$27)*$I$7+(MOD($B33,60)=PARAM!$B$56)*($B33&gt;(60-PARAM!$B$56))*HLOOKUP(($B33+PARAM!$B$56)/12,Loyalty,2)*$F$1*MAX(V32,0)</f>
        <v>18.557001321003963</v>
      </c>
      <c r="U33" s="75">
        <f>PARAM!$C$26+MAX($G$7-CHOOSE(PARAM!$B$44,MAX(0,V32*$F$1),0),0)*RATES!$L9/12+$H$7*(PARAM!$D$51/12)*RATES!$N9/100</f>
        <v>7.0833333333333339</v>
      </c>
      <c r="V33" s="16">
        <f t="shared" si="29"/>
        <v>-1207.0244826067808</v>
      </c>
      <c r="W33" s="15">
        <f t="shared" si="5"/>
        <v>22.170849845882874</v>
      </c>
      <c r="X33" s="75">
        <f>W33*(1-PARAM!$C$27)*$I$8+(MOD($B33,60)=PARAM!$B$56)*($B33&gt;(60-PARAM!$B$56))*HLOOKUP(($B33+PARAM!$B$56)/12,Loyalty,2)*$F$1*MAX(Z32,0)</f>
        <v>18.557001321003963</v>
      </c>
      <c r="Y33" s="75">
        <f>PARAM!$C$26+MAX($G$8-CHOOSE(PARAM!$B$44,MAX(0,Z32*$F$1),0),0)*RATES!$L9/12+$H$8*(PARAM!$D$51/12)*RATES!$N9/100</f>
        <v>7.0833333333333339</v>
      </c>
      <c r="Z33" s="16">
        <f t="shared" si="30"/>
        <v>-1207.0244826067808</v>
      </c>
      <c r="AA33" s="15">
        <f t="shared" si="6"/>
        <v>22.170849845882874</v>
      </c>
      <c r="AB33" s="75">
        <f>AA33*(1-PARAM!$C$27)*$I$9+(MOD($B33,60)=PARAM!$B$56)*($B33&gt;(60-PARAM!$B$56))*HLOOKUP(($B33+PARAM!$B$56)/12,Loyalty,2)*$F$1*MAX(AD32,0)</f>
        <v>18.557001321003963</v>
      </c>
      <c r="AC33" s="75">
        <f>PARAM!$C$26+MAX($G$9-CHOOSE(PARAM!$B$44,MAX(0,AD32*$F$1),0),0)*RATES!$L9/12+$H$9*(PARAM!$D$51/12)*RATES!$N9/100</f>
        <v>7.0833333333333339</v>
      </c>
      <c r="AD33" s="16">
        <f t="shared" si="31"/>
        <v>-1207.0244826067808</v>
      </c>
      <c r="AE33" s="15">
        <f t="shared" si="7"/>
        <v>22.170849845882874</v>
      </c>
      <c r="AF33" s="75">
        <f>AE33*(1-PARAM!$C$27)*$I$10+(MOD($B33,60)=PARAM!$B$56)*($B33&gt;(60-PARAM!$B$56))*HLOOKUP(($B33+PARAM!$B$56)/12,Loyalty,2)*$F$1*MAX(AH32,0)</f>
        <v>18.557001321003963</v>
      </c>
      <c r="AG33" s="75">
        <f>PARAM!$C$26+MAX($G$10-CHOOSE(PARAM!$B$44,MAX(0,AH32*$F$1),0),0)*RATES!$L9/12+$H$10*(PARAM!$D$51/12)*RATES!$N9/100</f>
        <v>7.0833333333333339</v>
      </c>
      <c r="AH33" s="16">
        <f t="shared" si="32"/>
        <v>-1207.0244826067808</v>
      </c>
      <c r="AI33" s="15">
        <f t="shared" si="8"/>
        <v>22.170849845882874</v>
      </c>
      <c r="AJ33" s="75">
        <f>AI33*(1-PARAM!$C$27)*$I$11+(MOD($B33,60)=PARAM!$B$56)*($B33&gt;(60-PARAM!$B$56))*HLOOKUP(($B33+PARAM!$B$56)/12,Loyalty,2)*$F$1*MAX(AL32,0)</f>
        <v>18.557001321003963</v>
      </c>
      <c r="AK33" s="75">
        <f>PARAM!$C$26+MAX($G$11-CHOOSE(PARAM!$B$44,MAX(0,AL32*$F$1),0),0)*RATES!$L9/12+$H$11*(PARAM!$D$51/12)*RATES!$N9/100</f>
        <v>7.0833333333333339</v>
      </c>
      <c r="AL33" s="16">
        <f t="shared" si="33"/>
        <v>-1207.0244826067808</v>
      </c>
      <c r="AM33" s="15">
        <f t="shared" si="9"/>
        <v>22.170849845882874</v>
      </c>
      <c r="AN33" s="75">
        <f>AM33*(1-PARAM!$C$27)*$I$12+(MOD($B33,60)=PARAM!$B$56)*($B33&gt;(60-PARAM!$B$56))*HLOOKUP(($B33+PARAM!$B$56)/12,Loyalty,2)*$F$1*MAX(AP32,0)</f>
        <v>18.557001321003963</v>
      </c>
      <c r="AO33" s="75">
        <f>PARAM!$C$26+MAX($G$12-CHOOSE(PARAM!$B$44,MAX(0,AP32*$F$1),0),0)*RATES!$L9/12+$H$12*(PARAM!$D$51/12)*RATES!$N9/100</f>
        <v>7.0833333333333339</v>
      </c>
      <c r="AP33" s="16">
        <f t="shared" si="34"/>
        <v>-1207.0244826067808</v>
      </c>
      <c r="AQ33" s="15">
        <f t="shared" si="10"/>
        <v>22.170849845882874</v>
      </c>
      <c r="AR33" s="75">
        <f>AQ33*(1-PARAM!$C$27)*$I$13+(MOD($B33,60)=PARAM!$B$56)*($B33&gt;(60-PARAM!$B$56))*HLOOKUP(($B33+PARAM!$B$56)/12,Loyalty,2)*$F$1*MAX(AT32,0)</f>
        <v>18.557001321003963</v>
      </c>
      <c r="AS33" s="75">
        <f>PARAM!$C$26+MAX($G$13-CHOOSE(PARAM!$B$44,MAX(0,AT32*$F$1),0),0)*RATES!$L9/12+$H$13*(PARAM!$D$51/12)*RATES!$N9/100</f>
        <v>7.0833333333333339</v>
      </c>
      <c r="AT33" s="16">
        <f t="shared" si="35"/>
        <v>-1207.0244826067808</v>
      </c>
      <c r="AU33" s="15">
        <f t="shared" si="11"/>
        <v>22.170849845882874</v>
      </c>
      <c r="AV33" s="75">
        <f>AU33*(1-PARAM!$C$27)*$I$14+(MOD($B33,60)=PARAM!$B$56)*($B33&gt;(60-PARAM!$B$56))*HLOOKUP(($B33+PARAM!$B$56)/12,Loyalty,2)*$F$1*MAX(AX32,0)</f>
        <v>18.557001321003963</v>
      </c>
      <c r="AW33" s="75">
        <f>PARAM!$C$26+MAX($G$14-CHOOSE(PARAM!$B$44,MAX(0,AX32*$F$1),0),0)*RATES!$L9/12+$H$14*(PARAM!$D$51/12)*RATES!$N9/100</f>
        <v>7.0833333333333339</v>
      </c>
      <c r="AX33" s="16">
        <f t="shared" si="36"/>
        <v>-1207.0244826067808</v>
      </c>
      <c r="AY33" s="15">
        <f t="shared" si="12"/>
        <v>22.170849845882874</v>
      </c>
      <c r="AZ33" s="75">
        <f>AY33*(1-PARAM!$C$27)*$I$15+(MOD($B33,60)=PARAM!$B$56)*($B33&gt;(60-PARAM!$B$56))*HLOOKUP(($B33+PARAM!$B$56)/12,Loyalty,2)*$F$1*MAX(BB32,0)</f>
        <v>18.557001321003963</v>
      </c>
      <c r="BA33" s="75">
        <f>PARAM!$C$26+MAX($G$15-CHOOSE(PARAM!$B$44,MAX(0,BB32*$F$1),0),0)*RATES!$L9/12+$H$15*(PARAM!$D$51/12)*RATES!$N9/100</f>
        <v>7.0833333333333339</v>
      </c>
      <c r="BB33" s="16">
        <f t="shared" si="37"/>
        <v>-1207.0244826067808</v>
      </c>
      <c r="BC33" s="15">
        <f t="shared" si="13"/>
        <v>22.170849845882874</v>
      </c>
      <c r="BD33" s="75">
        <f>BC33*(1-PARAM!$C$27)*$I$16+(MOD($B33,60)=PARAM!$B$56)*($B33&gt;(60-PARAM!$B$56))*HLOOKUP(($B33+PARAM!$B$56)/12,Loyalty,2)*$F$1*MAX(BF32,0)</f>
        <v>18.557001321003963</v>
      </c>
      <c r="BE33" s="75">
        <f>PARAM!$C$26+MAX($G$16-CHOOSE(PARAM!$B$44,MAX(0,BF32*$F$1),0),0)*RATES!$L9/12+$H$16*(PARAM!$D$51/12)*RATES!$N9/100</f>
        <v>7.0833333333333339</v>
      </c>
      <c r="BF33" s="16">
        <f t="shared" si="38"/>
        <v>-1207.0244826067808</v>
      </c>
      <c r="BG33" s="15">
        <f t="shared" si="14"/>
        <v>22.170849845882874</v>
      </c>
      <c r="BH33" s="75">
        <f>BG33*(1-PARAM!$C$27)*$I$17+(MOD($B33,60)=PARAM!$B$56)*($B33&gt;(60-PARAM!$B$56))*HLOOKUP(($B33+PARAM!$B$56)/12,Loyalty,2)*$F$1*MAX(BJ32,0)</f>
        <v>18.557001321003963</v>
      </c>
      <c r="BI33" s="75">
        <f>PARAM!$C$26+MAX($G$17-CHOOSE(PARAM!$B$44,MAX(0,BJ32*$F$1),0),0)*RATES!$L9/12+$H$17*(PARAM!$D$51/12)*RATES!$N9/100</f>
        <v>7.0833333333333339</v>
      </c>
      <c r="BJ33" s="16">
        <f t="shared" si="39"/>
        <v>-1207.0244826067808</v>
      </c>
      <c r="BK33" s="15">
        <f t="shared" si="15"/>
        <v>22.170849845882874</v>
      </c>
      <c r="BL33" s="75">
        <f>BK33*(1-PARAM!$C$27)*$I$18+(MOD($B33,60)=PARAM!$B$56)*($B33&gt;(60-PARAM!$B$56))*HLOOKUP(($B33+PARAM!$B$56)/12,Loyalty,2)*$F$1*MAX(BN32,0)</f>
        <v>18.557001321003963</v>
      </c>
      <c r="BM33" s="75">
        <f>PARAM!$C$26+MAX($G$18-CHOOSE(PARAM!$B$44,MAX(0,BN32*$F$1),0),0)*RATES!$L9/12+$H$18*(PARAM!$D$51/12)*RATES!$N9/100</f>
        <v>7.0833333333333339</v>
      </c>
      <c r="BN33" s="16">
        <f t="shared" si="40"/>
        <v>-1207.0244826067808</v>
      </c>
      <c r="BO33" s="15">
        <f t="shared" si="16"/>
        <v>22.170849845882874</v>
      </c>
      <c r="BP33" s="75">
        <f>BO33*(1-PARAM!$C$27)*$I$19+(MOD($B33,60)=PARAM!$B$56)*($B33&gt;(60-PARAM!$B$56))*HLOOKUP(($B33+PARAM!$B$56)/12,Loyalty,2)*$F$1*MAX(BR32,0)</f>
        <v>18.557001321003963</v>
      </c>
      <c r="BQ33" s="75">
        <f>PARAM!$C$26+MAX($G$19-CHOOSE(PARAM!$B$44,MAX(0,BR32*$F$1),0),0)*RATES!$L9/12+$H$19*(PARAM!$D$51/12)*RATES!$N9/100</f>
        <v>7.0833333333333339</v>
      </c>
      <c r="BR33" s="16">
        <f t="shared" si="41"/>
        <v>-1207.0244826067808</v>
      </c>
      <c r="BS33" s="15">
        <f t="shared" si="17"/>
        <v>22.170849845882874</v>
      </c>
      <c r="BT33" s="75">
        <f>BS33*(1-PARAM!$C$27)*$I$20+(MOD($B33,60)=PARAM!$B$56)*($B33&gt;(60-PARAM!$B$56))*HLOOKUP(($B33+PARAM!$B$56)/12,Loyalty,2)*$F$1*MAX(BV32,0)</f>
        <v>18.557001321003963</v>
      </c>
      <c r="BU33" s="75">
        <f>PARAM!$C$26+MAX($G$20-CHOOSE(PARAM!$B$44,MAX(0,BV32*$F$1),0),0)*RATES!$L9/12+$H$20*(PARAM!$D$51/12)*RATES!$N9/100</f>
        <v>7.0833333333333339</v>
      </c>
      <c r="BV33" s="16">
        <f t="shared" si="42"/>
        <v>-1207.0244826067808</v>
      </c>
      <c r="BW33" s="15">
        <f t="shared" si="18"/>
        <v>22.170849845882874</v>
      </c>
      <c r="BX33" s="75">
        <f>BW33*(1-PARAM!$C$27)*$I$21+(MOD($B33,60)=PARAM!$B$56)*($B33&gt;(60-PARAM!$B$56))*HLOOKUP(($B33+PARAM!$B$56)/12,Loyalty,2)*$F$1*MAX(BZ32,0)</f>
        <v>18.557001321003963</v>
      </c>
      <c r="BY33" s="75">
        <f>PARAM!$C$26+MAX($G$21-CHOOSE(PARAM!$B$44,MAX(0,BZ32*$F$1),0),0)*RATES!$L9/12+$H$21*(PARAM!$D$51/12)*RATES!$N9/100</f>
        <v>7.0833333333333339</v>
      </c>
      <c r="BZ33" s="16">
        <f t="shared" si="43"/>
        <v>-1207.0244826067808</v>
      </c>
      <c r="CA33" s="15">
        <f t="shared" si="19"/>
        <v>22.170849845882874</v>
      </c>
      <c r="CB33" s="75">
        <f>CA33*(1-PARAM!$C$27)*$I$22+(MOD($B33,60)=PARAM!$B$56)*($B33&gt;(60-PARAM!$B$56))*HLOOKUP(($B33+PARAM!$B$56)/12,Loyalty,2)*$F$1*MAX(CD32,0)</f>
        <v>18.557001321003963</v>
      </c>
      <c r="CC33" s="75">
        <f>PARAM!$C$26+MAX($G$22-CHOOSE(PARAM!$B$44,MAX(0,CD32*$F$1),0),0)*RATES!$L9/12+$H$22*(PARAM!$D$51/12)*RATES!$N9/100</f>
        <v>7.0833333333333339</v>
      </c>
      <c r="CD33" s="16">
        <f t="shared" si="44"/>
        <v>-1207.0244826067808</v>
      </c>
      <c r="CE33" s="33">
        <f>IF(0=MOD(B33,12/PARAM!$D$51),1,0)</f>
        <v>1</v>
      </c>
      <c r="CF33" s="15">
        <f t="shared" si="20"/>
        <v>0</v>
      </c>
      <c r="CG33" s="75">
        <f>CF33*(1-PARAM!$C$27)*$R$3+(MOD($B33/12,5)=0)*($B33&gt;60)*HLOOKUP($B33/12,Loyalty,2)*$F$1*MAX(CI32,0)</f>
        <v>0</v>
      </c>
      <c r="CH33" s="75">
        <f>PARAM!$C$26+MAX($P$3-CHOOSE(PARAM!$B$44,MAX(0,CI32*$F$1),0),0)*RATES!$L9/12+$Q$3*(PARAM!$D$51/12)*RATES!$N9/100</f>
        <v>7.0833333333333339</v>
      </c>
      <c r="CI33" s="16">
        <f>IF(CI32&gt;0,CI32*PARAM!$C$53,CI32)+CG33-CH33</f>
        <v>-1124.0833333333333</v>
      </c>
      <c r="CJ33" s="15">
        <f t="shared" si="45"/>
        <v>0</v>
      </c>
      <c r="CK33" s="75">
        <f>CJ33*(1-PARAM!$C$27)*$R$4+(MOD($B33/12,5)=0)*($B33&gt;60)*HLOOKUP($B33/12,Loyalty,2)*$F$1*MAX(CM32,0)</f>
        <v>0</v>
      </c>
      <c r="CL33" s="75">
        <f>PARAM!$C$26+MAX($P$4-CHOOSE(PARAM!$B$44,MAX(0,CM32*$F$1),0),0)*RATES!$L9/12+$Q$4*(PARAM!$D$51/12)*RATES!$N9/100</f>
        <v>7.0833333333333339</v>
      </c>
      <c r="CM33" s="16">
        <f>IF(CM32&gt;0,CM32*PARAM!$C$53,CM32)+CK33-CL33</f>
        <v>-1124.0833333333333</v>
      </c>
      <c r="CO33" s="176"/>
    </row>
    <row r="34" spans="1:93" x14ac:dyDescent="0.2">
      <c r="A34" t="b">
        <f t="shared" si="21"/>
        <v>0</v>
      </c>
      <c r="B34" s="33">
        <v>7</v>
      </c>
      <c r="C34" s="15">
        <f t="shared" si="46"/>
        <v>20.081305947392778</v>
      </c>
      <c r="D34" s="75">
        <f>C34*(1-PARAM!$C$27)*$I$3+(MOD($B34,60)=PARAM!$B$56)*($B34&gt;(60-PARAM!$B$56))*HLOOKUP(($B34+PARAM!$B$56)/12,Loyalty,2)*$F$1*MAX(F33,0)</f>
        <v>16.808053077967756</v>
      </c>
      <c r="E34" s="75">
        <f>PARAM!$C$26+MAX($G$3-CHOOSE(PARAM!$B$44,MAX(0,F33*$F$1),0),0)*RATES!$L10/12+$H$3*(PARAM!$D$51/12)*RATES!$N10/100</f>
        <v>7.0833333333333339</v>
      </c>
      <c r="F34" s="16">
        <f t="shared" si="22"/>
        <v>-1189.482779137895</v>
      </c>
      <c r="G34" s="15">
        <f t="shared" si="23"/>
        <v>22.035289406060361</v>
      </c>
      <c r="H34" s="75">
        <f>G34*(1-PARAM!$C$27)*$I$4+(MOD($B34,60)=PARAM!$B$56)*($B34&gt;(60-PARAM!$B$56))*HLOOKUP(($B34+PARAM!$B$56)/12,Loyalty,2)*$F$1*MAX(J33,0)</f>
        <v>18.443537232872522</v>
      </c>
      <c r="I34" s="75">
        <f>PARAM!$C$26+MAX($G$4-CHOOSE(PARAM!$B$44,MAX(0,J33*$F$1),0),0)*RATES!$L10/12+$H$4*(PARAM!$D$51/12)*RATES!$N10/100</f>
        <v>7.0833333333333339</v>
      </c>
      <c r="J34" s="16">
        <f t="shared" si="24"/>
        <v>-1195.1571471018653</v>
      </c>
      <c r="K34" s="15">
        <f t="shared" si="25"/>
        <v>22.170849845882874</v>
      </c>
      <c r="L34" s="75">
        <f>K34*(1-PARAM!$C$27)*$I$5+(MOD($B34,60)=PARAM!$B$56)*($B34&gt;(60-PARAM!$B$56))*HLOOKUP(($B34+PARAM!$B$56)/12,Loyalty,2)*$F$1*MAX(N33,0)</f>
        <v>18.557001321003963</v>
      </c>
      <c r="M34" s="75">
        <f>PARAM!$C$26+MAX($G$5-CHOOSE(PARAM!$B$44,MAX(0,N33*$F$1),0),0)*RATES!$L10/12+$H$5*(PARAM!$D$51/12)*RATES!$N10/100</f>
        <v>7.0833333333333339</v>
      </c>
      <c r="N34" s="16">
        <f t="shared" si="26"/>
        <v>-1195.55081461911</v>
      </c>
      <c r="O34" s="15">
        <f t="shared" si="27"/>
        <v>22.170849845882874</v>
      </c>
      <c r="P34" s="75">
        <f>O34*(1-PARAM!$C$27)*$I$6+(MOD($B34,60)=PARAM!$B$56)*($B34&gt;(60-PARAM!$B$56))*HLOOKUP(($B34+PARAM!$B$56)/12,Loyalty,2)*$F$1*MAX(R33,0)</f>
        <v>18.557001321003963</v>
      </c>
      <c r="Q34" s="75">
        <f>PARAM!$C$26+MAX($G$6-CHOOSE(PARAM!$B$44,MAX(0,R33*$F$1),0),0)*RATES!$L10/12+$H$6*(PARAM!$D$51/12)*RATES!$N10/100</f>
        <v>7.0833333333333339</v>
      </c>
      <c r="R34" s="16">
        <f t="shared" si="28"/>
        <v>-1195.55081461911</v>
      </c>
      <c r="S34" s="15">
        <f t="shared" si="4"/>
        <v>22.170849845882874</v>
      </c>
      <c r="T34" s="75">
        <f>S34*(1-PARAM!$C$27)*$I$7+(MOD($B34,60)=PARAM!$B$56)*($B34&gt;(60-PARAM!$B$56))*HLOOKUP(($B34+PARAM!$B$56)/12,Loyalty,2)*$F$1*MAX(V33,0)</f>
        <v>18.557001321003963</v>
      </c>
      <c r="U34" s="75">
        <f>PARAM!$C$26+MAX($G$7-CHOOSE(PARAM!$B$44,MAX(0,V33*$F$1),0),0)*RATES!$L10/12+$H$7*(PARAM!$D$51/12)*RATES!$N10/100</f>
        <v>7.0833333333333339</v>
      </c>
      <c r="V34" s="16">
        <f t="shared" si="29"/>
        <v>-1195.55081461911</v>
      </c>
      <c r="W34" s="15">
        <f t="shared" si="5"/>
        <v>22.170849845882874</v>
      </c>
      <c r="X34" s="75">
        <f>W34*(1-PARAM!$C$27)*$I$8+(MOD($B34,60)=PARAM!$B$56)*($B34&gt;(60-PARAM!$B$56))*HLOOKUP(($B34+PARAM!$B$56)/12,Loyalty,2)*$F$1*MAX(Z33,0)</f>
        <v>18.557001321003963</v>
      </c>
      <c r="Y34" s="75">
        <f>PARAM!$C$26+MAX($G$8-CHOOSE(PARAM!$B$44,MAX(0,Z33*$F$1),0),0)*RATES!$L10/12+$H$8*(PARAM!$D$51/12)*RATES!$N10/100</f>
        <v>7.0833333333333339</v>
      </c>
      <c r="Z34" s="16">
        <f t="shared" si="30"/>
        <v>-1195.55081461911</v>
      </c>
      <c r="AA34" s="15">
        <f t="shared" si="6"/>
        <v>22.170849845882874</v>
      </c>
      <c r="AB34" s="75">
        <f>AA34*(1-PARAM!$C$27)*$I$9+(MOD($B34,60)=PARAM!$B$56)*($B34&gt;(60-PARAM!$B$56))*HLOOKUP(($B34+PARAM!$B$56)/12,Loyalty,2)*$F$1*MAX(AD33,0)</f>
        <v>18.557001321003963</v>
      </c>
      <c r="AC34" s="75">
        <f>PARAM!$C$26+MAX($G$9-CHOOSE(PARAM!$B$44,MAX(0,AD33*$F$1),0),0)*RATES!$L10/12+$H$9*(PARAM!$D$51/12)*RATES!$N10/100</f>
        <v>7.0833333333333339</v>
      </c>
      <c r="AD34" s="16">
        <f t="shared" si="31"/>
        <v>-1195.55081461911</v>
      </c>
      <c r="AE34" s="15">
        <f t="shared" si="7"/>
        <v>22.170849845882874</v>
      </c>
      <c r="AF34" s="75">
        <f>AE34*(1-PARAM!$C$27)*$I$10+(MOD($B34,60)=PARAM!$B$56)*($B34&gt;(60-PARAM!$B$56))*HLOOKUP(($B34+PARAM!$B$56)/12,Loyalty,2)*$F$1*MAX(AH33,0)</f>
        <v>18.557001321003963</v>
      </c>
      <c r="AG34" s="75">
        <f>PARAM!$C$26+MAX($G$10-CHOOSE(PARAM!$B$44,MAX(0,AH33*$F$1),0),0)*RATES!$L10/12+$H$10*(PARAM!$D$51/12)*RATES!$N10/100</f>
        <v>7.0833333333333339</v>
      </c>
      <c r="AH34" s="16">
        <f t="shared" si="32"/>
        <v>-1195.55081461911</v>
      </c>
      <c r="AI34" s="15">
        <f t="shared" si="8"/>
        <v>22.170849845882874</v>
      </c>
      <c r="AJ34" s="75">
        <f>AI34*(1-PARAM!$C$27)*$I$11+(MOD($B34,60)=PARAM!$B$56)*($B34&gt;(60-PARAM!$B$56))*HLOOKUP(($B34+PARAM!$B$56)/12,Loyalty,2)*$F$1*MAX(AL33,0)</f>
        <v>18.557001321003963</v>
      </c>
      <c r="AK34" s="75">
        <f>PARAM!$C$26+MAX($G$11-CHOOSE(PARAM!$B$44,MAX(0,AL33*$F$1),0),0)*RATES!$L10/12+$H$11*(PARAM!$D$51/12)*RATES!$N10/100</f>
        <v>7.0833333333333339</v>
      </c>
      <c r="AL34" s="16">
        <f t="shared" si="33"/>
        <v>-1195.55081461911</v>
      </c>
      <c r="AM34" s="15">
        <f t="shared" si="9"/>
        <v>22.170849845882874</v>
      </c>
      <c r="AN34" s="75">
        <f>AM34*(1-PARAM!$C$27)*$I$12+(MOD($B34,60)=PARAM!$B$56)*($B34&gt;(60-PARAM!$B$56))*HLOOKUP(($B34+PARAM!$B$56)/12,Loyalty,2)*$F$1*MAX(AP33,0)</f>
        <v>18.557001321003963</v>
      </c>
      <c r="AO34" s="75">
        <f>PARAM!$C$26+MAX($G$12-CHOOSE(PARAM!$B$44,MAX(0,AP33*$F$1),0),0)*RATES!$L10/12+$H$12*(PARAM!$D$51/12)*RATES!$N10/100</f>
        <v>7.0833333333333339</v>
      </c>
      <c r="AP34" s="16">
        <f t="shared" si="34"/>
        <v>-1195.55081461911</v>
      </c>
      <c r="AQ34" s="15">
        <f t="shared" si="10"/>
        <v>22.170849845882874</v>
      </c>
      <c r="AR34" s="75">
        <f>AQ34*(1-PARAM!$C$27)*$I$13+(MOD($B34,60)=PARAM!$B$56)*($B34&gt;(60-PARAM!$B$56))*HLOOKUP(($B34+PARAM!$B$56)/12,Loyalty,2)*$F$1*MAX(AT33,0)</f>
        <v>18.557001321003963</v>
      </c>
      <c r="AS34" s="75">
        <f>PARAM!$C$26+MAX($G$13-CHOOSE(PARAM!$B$44,MAX(0,AT33*$F$1),0),0)*RATES!$L10/12+$H$13*(PARAM!$D$51/12)*RATES!$N10/100</f>
        <v>7.0833333333333339</v>
      </c>
      <c r="AT34" s="16">
        <f t="shared" si="35"/>
        <v>-1195.55081461911</v>
      </c>
      <c r="AU34" s="15">
        <f t="shared" si="11"/>
        <v>22.170849845882874</v>
      </c>
      <c r="AV34" s="75">
        <f>AU34*(1-PARAM!$C$27)*$I$14+(MOD($B34,60)=PARAM!$B$56)*($B34&gt;(60-PARAM!$B$56))*HLOOKUP(($B34+PARAM!$B$56)/12,Loyalty,2)*$F$1*MAX(AX33,0)</f>
        <v>18.557001321003963</v>
      </c>
      <c r="AW34" s="75">
        <f>PARAM!$C$26+MAX($G$14-CHOOSE(PARAM!$B$44,MAX(0,AX33*$F$1),0),0)*RATES!$L10/12+$H$14*(PARAM!$D$51/12)*RATES!$N10/100</f>
        <v>7.0833333333333339</v>
      </c>
      <c r="AX34" s="16">
        <f t="shared" si="36"/>
        <v>-1195.55081461911</v>
      </c>
      <c r="AY34" s="15">
        <f t="shared" si="12"/>
        <v>22.170849845882874</v>
      </c>
      <c r="AZ34" s="75">
        <f>AY34*(1-PARAM!$C$27)*$I$15+(MOD($B34,60)=PARAM!$B$56)*($B34&gt;(60-PARAM!$B$56))*HLOOKUP(($B34+PARAM!$B$56)/12,Loyalty,2)*$F$1*MAX(BB33,0)</f>
        <v>18.557001321003963</v>
      </c>
      <c r="BA34" s="75">
        <f>PARAM!$C$26+MAX($G$15-CHOOSE(PARAM!$B$44,MAX(0,BB33*$F$1),0),0)*RATES!$L10/12+$H$15*(PARAM!$D$51/12)*RATES!$N10/100</f>
        <v>7.0833333333333339</v>
      </c>
      <c r="BB34" s="16">
        <f t="shared" si="37"/>
        <v>-1195.55081461911</v>
      </c>
      <c r="BC34" s="15">
        <f t="shared" si="13"/>
        <v>22.170849845882874</v>
      </c>
      <c r="BD34" s="75">
        <f>BC34*(1-PARAM!$C$27)*$I$16+(MOD($B34,60)=PARAM!$B$56)*($B34&gt;(60-PARAM!$B$56))*HLOOKUP(($B34+PARAM!$B$56)/12,Loyalty,2)*$F$1*MAX(BF33,0)</f>
        <v>18.557001321003963</v>
      </c>
      <c r="BE34" s="75">
        <f>PARAM!$C$26+MAX($G$16-CHOOSE(PARAM!$B$44,MAX(0,BF33*$F$1),0),0)*RATES!$L10/12+$H$16*(PARAM!$D$51/12)*RATES!$N10/100</f>
        <v>7.0833333333333339</v>
      </c>
      <c r="BF34" s="16">
        <f t="shared" si="38"/>
        <v>-1195.55081461911</v>
      </c>
      <c r="BG34" s="15">
        <f t="shared" si="14"/>
        <v>22.170849845882874</v>
      </c>
      <c r="BH34" s="75">
        <f>BG34*(1-PARAM!$C$27)*$I$17+(MOD($B34,60)=PARAM!$B$56)*($B34&gt;(60-PARAM!$B$56))*HLOOKUP(($B34+PARAM!$B$56)/12,Loyalty,2)*$F$1*MAX(BJ33,0)</f>
        <v>18.557001321003963</v>
      </c>
      <c r="BI34" s="75">
        <f>PARAM!$C$26+MAX($G$17-CHOOSE(PARAM!$B$44,MAX(0,BJ33*$F$1),0),0)*RATES!$L10/12+$H$17*(PARAM!$D$51/12)*RATES!$N10/100</f>
        <v>7.0833333333333339</v>
      </c>
      <c r="BJ34" s="16">
        <f t="shared" si="39"/>
        <v>-1195.55081461911</v>
      </c>
      <c r="BK34" s="15">
        <f t="shared" si="15"/>
        <v>22.170849845882874</v>
      </c>
      <c r="BL34" s="75">
        <f>BK34*(1-PARAM!$C$27)*$I$18+(MOD($B34,60)=PARAM!$B$56)*($B34&gt;(60-PARAM!$B$56))*HLOOKUP(($B34+PARAM!$B$56)/12,Loyalty,2)*$F$1*MAX(BN33,0)</f>
        <v>18.557001321003963</v>
      </c>
      <c r="BM34" s="75">
        <f>PARAM!$C$26+MAX($G$18-CHOOSE(PARAM!$B$44,MAX(0,BN33*$F$1),0),0)*RATES!$L10/12+$H$18*(PARAM!$D$51/12)*RATES!$N10/100</f>
        <v>7.0833333333333339</v>
      </c>
      <c r="BN34" s="16">
        <f t="shared" si="40"/>
        <v>-1195.55081461911</v>
      </c>
      <c r="BO34" s="15">
        <f t="shared" si="16"/>
        <v>22.170849845882874</v>
      </c>
      <c r="BP34" s="75">
        <f>BO34*(1-PARAM!$C$27)*$I$19+(MOD($B34,60)=PARAM!$B$56)*($B34&gt;(60-PARAM!$B$56))*HLOOKUP(($B34+PARAM!$B$56)/12,Loyalty,2)*$F$1*MAX(BR33,0)</f>
        <v>18.557001321003963</v>
      </c>
      <c r="BQ34" s="75">
        <f>PARAM!$C$26+MAX($G$19-CHOOSE(PARAM!$B$44,MAX(0,BR33*$F$1),0),0)*RATES!$L10/12+$H$19*(PARAM!$D$51/12)*RATES!$N10/100</f>
        <v>7.0833333333333339</v>
      </c>
      <c r="BR34" s="16">
        <f t="shared" si="41"/>
        <v>-1195.55081461911</v>
      </c>
      <c r="BS34" s="15">
        <f t="shared" si="17"/>
        <v>22.170849845882874</v>
      </c>
      <c r="BT34" s="75">
        <f>BS34*(1-PARAM!$C$27)*$I$20+(MOD($B34,60)=PARAM!$B$56)*($B34&gt;(60-PARAM!$B$56))*HLOOKUP(($B34+PARAM!$B$56)/12,Loyalty,2)*$F$1*MAX(BV33,0)</f>
        <v>18.557001321003963</v>
      </c>
      <c r="BU34" s="75">
        <f>PARAM!$C$26+MAX($G$20-CHOOSE(PARAM!$B$44,MAX(0,BV33*$F$1),0),0)*RATES!$L10/12+$H$20*(PARAM!$D$51/12)*RATES!$N10/100</f>
        <v>7.0833333333333339</v>
      </c>
      <c r="BV34" s="16">
        <f t="shared" si="42"/>
        <v>-1195.55081461911</v>
      </c>
      <c r="BW34" s="15">
        <f t="shared" si="18"/>
        <v>22.170849845882874</v>
      </c>
      <c r="BX34" s="75">
        <f>BW34*(1-PARAM!$C$27)*$I$21+(MOD($B34,60)=PARAM!$B$56)*($B34&gt;(60-PARAM!$B$56))*HLOOKUP(($B34+PARAM!$B$56)/12,Loyalty,2)*$F$1*MAX(BZ33,0)</f>
        <v>18.557001321003963</v>
      </c>
      <c r="BY34" s="75">
        <f>PARAM!$C$26+MAX($G$21-CHOOSE(PARAM!$B$44,MAX(0,BZ33*$F$1),0),0)*RATES!$L10/12+$H$21*(PARAM!$D$51/12)*RATES!$N10/100</f>
        <v>7.0833333333333339</v>
      </c>
      <c r="BZ34" s="16">
        <f t="shared" si="43"/>
        <v>-1195.55081461911</v>
      </c>
      <c r="CA34" s="15">
        <f t="shared" si="19"/>
        <v>22.170849845882874</v>
      </c>
      <c r="CB34" s="75">
        <f>CA34*(1-PARAM!$C$27)*$I$22+(MOD($B34,60)=PARAM!$B$56)*($B34&gt;(60-PARAM!$B$56))*HLOOKUP(($B34+PARAM!$B$56)/12,Loyalty,2)*$F$1*MAX(CD33,0)</f>
        <v>18.557001321003963</v>
      </c>
      <c r="CC34" s="75">
        <f>PARAM!$C$26+MAX($G$22-CHOOSE(PARAM!$B$44,MAX(0,CD33*$F$1),0),0)*RATES!$L10/12+$H$22*(PARAM!$D$51/12)*RATES!$N10/100</f>
        <v>7.0833333333333339</v>
      </c>
      <c r="CD34" s="16">
        <f t="shared" si="44"/>
        <v>-1195.55081461911</v>
      </c>
      <c r="CE34" s="33">
        <f>IF(0=MOD(B34,12/PARAM!$D$51),1,0)</f>
        <v>1</v>
      </c>
      <c r="CF34" s="15">
        <f t="shared" si="20"/>
        <v>0</v>
      </c>
      <c r="CG34" s="75">
        <f>CF34*(1-PARAM!$C$27)*$R$3+(MOD($B34/12,5)=0)*($B34&gt;60)*HLOOKUP($B34/12,Loyalty,2)*$F$1*MAX(CI33,0)</f>
        <v>0</v>
      </c>
      <c r="CH34" s="75">
        <f>PARAM!$C$26+MAX($P$3-CHOOSE(PARAM!$B$44,MAX(0,CI33*$F$1),0),0)*RATES!$L10/12+$Q$3*(PARAM!$D$51/12)*RATES!$N10/100</f>
        <v>7.0833333333333339</v>
      </c>
      <c r="CI34" s="16">
        <f>IF(CI33&gt;0,CI33*PARAM!$C$53,CI33)+CG34-CH34</f>
        <v>-1131.1666666666665</v>
      </c>
      <c r="CJ34" s="15">
        <f t="shared" si="45"/>
        <v>0</v>
      </c>
      <c r="CK34" s="75">
        <f>CJ34*(1-PARAM!$C$27)*$R$4+(MOD($B34/12,5)=0)*($B34&gt;60)*HLOOKUP($B34/12,Loyalty,2)*$F$1*MAX(CM33,0)</f>
        <v>0</v>
      </c>
      <c r="CL34" s="75">
        <f>PARAM!$C$26+MAX($P$4-CHOOSE(PARAM!$B$44,MAX(0,CM33*$F$1),0),0)*RATES!$L10/12+$Q$4*(PARAM!$D$51/12)*RATES!$N10/100</f>
        <v>7.0833333333333339</v>
      </c>
      <c r="CM34" s="16">
        <f>IF(CM33&gt;0,CM33*PARAM!$C$53,CM33)+CK34-CL34</f>
        <v>-1131.1666666666665</v>
      </c>
      <c r="CO34" s="176"/>
    </row>
    <row r="35" spans="1:93" x14ac:dyDescent="0.2">
      <c r="A35" t="b">
        <f t="shared" si="21"/>
        <v>0</v>
      </c>
      <c r="B35" s="33">
        <v>8</v>
      </c>
      <c r="C35" s="15">
        <f t="shared" si="46"/>
        <v>20.081305947392778</v>
      </c>
      <c r="D35" s="75">
        <f>C35*(1-PARAM!$C$27)*$I$3+(MOD($B35,60)=PARAM!$B$56)*($B35&gt;(60-PARAM!$B$56))*HLOOKUP(($B35+PARAM!$B$56)/12,Loyalty,2)*$F$1*MAX(F34,0)</f>
        <v>16.808053077967756</v>
      </c>
      <c r="E35" s="75">
        <f>PARAM!$C$26+MAX($G$3-CHOOSE(PARAM!$B$44,MAX(0,F34*$F$1),0),0)*RATES!$L11/12+$H$3*(PARAM!$D$51/12)*RATES!$N11/100</f>
        <v>7.0833333333333339</v>
      </c>
      <c r="F35" s="16">
        <f t="shared" si="22"/>
        <v>-1179.7580593932605</v>
      </c>
      <c r="G35" s="15">
        <f t="shared" si="23"/>
        <v>22.035289406060361</v>
      </c>
      <c r="H35" s="75">
        <f>G35*(1-PARAM!$C$27)*$I$4+(MOD($B35,60)=PARAM!$B$56)*($B35&gt;(60-PARAM!$B$56))*HLOOKUP(($B35+PARAM!$B$56)/12,Loyalty,2)*$F$1*MAX(J34,0)</f>
        <v>18.443537232872522</v>
      </c>
      <c r="I35" s="75">
        <f>PARAM!$C$26+MAX($G$4-CHOOSE(PARAM!$B$44,MAX(0,J34*$F$1),0),0)*RATES!$L11/12+$H$4*(PARAM!$D$51/12)*RATES!$N11/100</f>
        <v>7.0833333333333339</v>
      </c>
      <c r="J35" s="16">
        <f t="shared" si="24"/>
        <v>-1183.796943202326</v>
      </c>
      <c r="K35" s="15">
        <f t="shared" si="25"/>
        <v>22.170849845882874</v>
      </c>
      <c r="L35" s="75">
        <f>K35*(1-PARAM!$C$27)*$I$5+(MOD($B35,60)=PARAM!$B$56)*($B35&gt;(60-PARAM!$B$56))*HLOOKUP(($B35+PARAM!$B$56)/12,Loyalty,2)*$F$1*MAX(N34,0)</f>
        <v>18.557001321003963</v>
      </c>
      <c r="M35" s="75">
        <f>PARAM!$C$26+MAX($G$5-CHOOSE(PARAM!$B$44,MAX(0,N34*$F$1),0),0)*RATES!$L11/12+$H$5*(PARAM!$D$51/12)*RATES!$N11/100</f>
        <v>7.0833333333333339</v>
      </c>
      <c r="N35" s="16">
        <f t="shared" si="26"/>
        <v>-1184.0771466314393</v>
      </c>
      <c r="O35" s="15">
        <f t="shared" si="27"/>
        <v>22.170849845882874</v>
      </c>
      <c r="P35" s="75">
        <f>O35*(1-PARAM!$C$27)*$I$6+(MOD($B35,60)=PARAM!$B$56)*($B35&gt;(60-PARAM!$B$56))*HLOOKUP(($B35+PARAM!$B$56)/12,Loyalty,2)*$F$1*MAX(R34,0)</f>
        <v>18.557001321003963</v>
      </c>
      <c r="Q35" s="75">
        <f>PARAM!$C$26+MAX($G$6-CHOOSE(PARAM!$B$44,MAX(0,R34*$F$1),0),0)*RATES!$L11/12+$H$6*(PARAM!$D$51/12)*RATES!$N11/100</f>
        <v>7.0833333333333339</v>
      </c>
      <c r="R35" s="16">
        <f t="shared" si="28"/>
        <v>-1184.0771466314393</v>
      </c>
      <c r="S35" s="15">
        <f t="shared" si="4"/>
        <v>22.170849845882874</v>
      </c>
      <c r="T35" s="75">
        <f>S35*(1-PARAM!$C$27)*$I$7+(MOD($B35,60)=PARAM!$B$56)*($B35&gt;(60-PARAM!$B$56))*HLOOKUP(($B35+PARAM!$B$56)/12,Loyalty,2)*$F$1*MAX(V34,0)</f>
        <v>18.557001321003963</v>
      </c>
      <c r="U35" s="75">
        <f>PARAM!$C$26+MAX($G$7-CHOOSE(PARAM!$B$44,MAX(0,V34*$F$1),0),0)*RATES!$L11/12+$H$7*(PARAM!$D$51/12)*RATES!$N11/100</f>
        <v>7.0833333333333339</v>
      </c>
      <c r="V35" s="16">
        <f t="shared" si="29"/>
        <v>-1184.0771466314393</v>
      </c>
      <c r="W35" s="15">
        <f t="shared" si="5"/>
        <v>22.170849845882874</v>
      </c>
      <c r="X35" s="75">
        <f>W35*(1-PARAM!$C$27)*$I$8+(MOD($B35,60)=PARAM!$B$56)*($B35&gt;(60-PARAM!$B$56))*HLOOKUP(($B35+PARAM!$B$56)/12,Loyalty,2)*$F$1*MAX(Z34,0)</f>
        <v>18.557001321003963</v>
      </c>
      <c r="Y35" s="75">
        <f>PARAM!$C$26+MAX($G$8-CHOOSE(PARAM!$B$44,MAX(0,Z34*$F$1),0),0)*RATES!$L11/12+$H$8*(PARAM!$D$51/12)*RATES!$N11/100</f>
        <v>7.0833333333333339</v>
      </c>
      <c r="Z35" s="16">
        <f t="shared" si="30"/>
        <v>-1184.0771466314393</v>
      </c>
      <c r="AA35" s="15">
        <f t="shared" si="6"/>
        <v>22.170849845882874</v>
      </c>
      <c r="AB35" s="75">
        <f>AA35*(1-PARAM!$C$27)*$I$9+(MOD($B35,60)=PARAM!$B$56)*($B35&gt;(60-PARAM!$B$56))*HLOOKUP(($B35+PARAM!$B$56)/12,Loyalty,2)*$F$1*MAX(AD34,0)</f>
        <v>18.557001321003963</v>
      </c>
      <c r="AC35" s="75">
        <f>PARAM!$C$26+MAX($G$9-CHOOSE(PARAM!$B$44,MAX(0,AD34*$F$1),0),0)*RATES!$L11/12+$H$9*(PARAM!$D$51/12)*RATES!$N11/100</f>
        <v>7.0833333333333339</v>
      </c>
      <c r="AD35" s="16">
        <f t="shared" si="31"/>
        <v>-1184.0771466314393</v>
      </c>
      <c r="AE35" s="15">
        <f t="shared" si="7"/>
        <v>22.170849845882874</v>
      </c>
      <c r="AF35" s="75">
        <f>AE35*(1-PARAM!$C$27)*$I$10+(MOD($B35,60)=PARAM!$B$56)*($B35&gt;(60-PARAM!$B$56))*HLOOKUP(($B35+PARAM!$B$56)/12,Loyalty,2)*$F$1*MAX(AH34,0)</f>
        <v>18.557001321003963</v>
      </c>
      <c r="AG35" s="75">
        <f>PARAM!$C$26+MAX($G$10-CHOOSE(PARAM!$B$44,MAX(0,AH34*$F$1),0),0)*RATES!$L11/12+$H$10*(PARAM!$D$51/12)*RATES!$N11/100</f>
        <v>7.0833333333333339</v>
      </c>
      <c r="AH35" s="16">
        <f t="shared" si="32"/>
        <v>-1184.0771466314393</v>
      </c>
      <c r="AI35" s="15">
        <f t="shared" si="8"/>
        <v>22.170849845882874</v>
      </c>
      <c r="AJ35" s="75">
        <f>AI35*(1-PARAM!$C$27)*$I$11+(MOD($B35,60)=PARAM!$B$56)*($B35&gt;(60-PARAM!$B$56))*HLOOKUP(($B35+PARAM!$B$56)/12,Loyalty,2)*$F$1*MAX(AL34,0)</f>
        <v>18.557001321003963</v>
      </c>
      <c r="AK35" s="75">
        <f>PARAM!$C$26+MAX($G$11-CHOOSE(PARAM!$B$44,MAX(0,AL34*$F$1),0),0)*RATES!$L11/12+$H$11*(PARAM!$D$51/12)*RATES!$N11/100</f>
        <v>7.0833333333333339</v>
      </c>
      <c r="AL35" s="16">
        <f t="shared" si="33"/>
        <v>-1184.0771466314393</v>
      </c>
      <c r="AM35" s="15">
        <f t="shared" si="9"/>
        <v>22.170849845882874</v>
      </c>
      <c r="AN35" s="75">
        <f>AM35*(1-PARAM!$C$27)*$I$12+(MOD($B35,60)=PARAM!$B$56)*($B35&gt;(60-PARAM!$B$56))*HLOOKUP(($B35+PARAM!$B$56)/12,Loyalty,2)*$F$1*MAX(AP34,0)</f>
        <v>18.557001321003963</v>
      </c>
      <c r="AO35" s="75">
        <f>PARAM!$C$26+MAX($G$12-CHOOSE(PARAM!$B$44,MAX(0,AP34*$F$1),0),0)*RATES!$L11/12+$H$12*(PARAM!$D$51/12)*RATES!$N11/100</f>
        <v>7.0833333333333339</v>
      </c>
      <c r="AP35" s="16">
        <f t="shared" si="34"/>
        <v>-1184.0771466314393</v>
      </c>
      <c r="AQ35" s="15">
        <f t="shared" si="10"/>
        <v>22.170849845882874</v>
      </c>
      <c r="AR35" s="75">
        <f>AQ35*(1-PARAM!$C$27)*$I$13+(MOD($B35,60)=PARAM!$B$56)*($B35&gt;(60-PARAM!$B$56))*HLOOKUP(($B35+PARAM!$B$56)/12,Loyalty,2)*$F$1*MAX(AT34,0)</f>
        <v>18.557001321003963</v>
      </c>
      <c r="AS35" s="75">
        <f>PARAM!$C$26+MAX($G$13-CHOOSE(PARAM!$B$44,MAX(0,AT34*$F$1),0),0)*RATES!$L11/12+$H$13*(PARAM!$D$51/12)*RATES!$N11/100</f>
        <v>7.0833333333333339</v>
      </c>
      <c r="AT35" s="16">
        <f t="shared" si="35"/>
        <v>-1184.0771466314393</v>
      </c>
      <c r="AU35" s="15">
        <f t="shared" si="11"/>
        <v>22.170849845882874</v>
      </c>
      <c r="AV35" s="75">
        <f>AU35*(1-PARAM!$C$27)*$I$14+(MOD($B35,60)=PARAM!$B$56)*($B35&gt;(60-PARAM!$B$56))*HLOOKUP(($B35+PARAM!$B$56)/12,Loyalty,2)*$F$1*MAX(AX34,0)</f>
        <v>18.557001321003963</v>
      </c>
      <c r="AW35" s="75">
        <f>PARAM!$C$26+MAX($G$14-CHOOSE(PARAM!$B$44,MAX(0,AX34*$F$1),0),0)*RATES!$L11/12+$H$14*(PARAM!$D$51/12)*RATES!$N11/100</f>
        <v>7.0833333333333339</v>
      </c>
      <c r="AX35" s="16">
        <f t="shared" si="36"/>
        <v>-1184.0771466314393</v>
      </c>
      <c r="AY35" s="15">
        <f t="shared" si="12"/>
        <v>22.170849845882874</v>
      </c>
      <c r="AZ35" s="75">
        <f>AY35*(1-PARAM!$C$27)*$I$15+(MOD($B35,60)=PARAM!$B$56)*($B35&gt;(60-PARAM!$B$56))*HLOOKUP(($B35+PARAM!$B$56)/12,Loyalty,2)*$F$1*MAX(BB34,0)</f>
        <v>18.557001321003963</v>
      </c>
      <c r="BA35" s="75">
        <f>PARAM!$C$26+MAX($G$15-CHOOSE(PARAM!$B$44,MAX(0,BB34*$F$1),0),0)*RATES!$L11/12+$H$15*(PARAM!$D$51/12)*RATES!$N11/100</f>
        <v>7.0833333333333339</v>
      </c>
      <c r="BB35" s="16">
        <f t="shared" si="37"/>
        <v>-1184.0771466314393</v>
      </c>
      <c r="BC35" s="15">
        <f t="shared" si="13"/>
        <v>22.170849845882874</v>
      </c>
      <c r="BD35" s="75">
        <f>BC35*(1-PARAM!$C$27)*$I$16+(MOD($B35,60)=PARAM!$B$56)*($B35&gt;(60-PARAM!$B$56))*HLOOKUP(($B35+PARAM!$B$56)/12,Loyalty,2)*$F$1*MAX(BF34,0)</f>
        <v>18.557001321003963</v>
      </c>
      <c r="BE35" s="75">
        <f>PARAM!$C$26+MAX($G$16-CHOOSE(PARAM!$B$44,MAX(0,BF34*$F$1),0),0)*RATES!$L11/12+$H$16*(PARAM!$D$51/12)*RATES!$N11/100</f>
        <v>7.0833333333333339</v>
      </c>
      <c r="BF35" s="16">
        <f t="shared" si="38"/>
        <v>-1184.0771466314393</v>
      </c>
      <c r="BG35" s="15">
        <f t="shared" si="14"/>
        <v>22.170849845882874</v>
      </c>
      <c r="BH35" s="75">
        <f>BG35*(1-PARAM!$C$27)*$I$17+(MOD($B35,60)=PARAM!$B$56)*($B35&gt;(60-PARAM!$B$56))*HLOOKUP(($B35+PARAM!$B$56)/12,Loyalty,2)*$F$1*MAX(BJ34,0)</f>
        <v>18.557001321003963</v>
      </c>
      <c r="BI35" s="75">
        <f>PARAM!$C$26+MAX($G$17-CHOOSE(PARAM!$B$44,MAX(0,BJ34*$F$1),0),0)*RATES!$L11/12+$H$17*(PARAM!$D$51/12)*RATES!$N11/100</f>
        <v>7.0833333333333339</v>
      </c>
      <c r="BJ35" s="16">
        <f t="shared" si="39"/>
        <v>-1184.0771466314393</v>
      </c>
      <c r="BK35" s="15">
        <f t="shared" si="15"/>
        <v>22.170849845882874</v>
      </c>
      <c r="BL35" s="75">
        <f>BK35*(1-PARAM!$C$27)*$I$18+(MOD($B35,60)=PARAM!$B$56)*($B35&gt;(60-PARAM!$B$56))*HLOOKUP(($B35+PARAM!$B$56)/12,Loyalty,2)*$F$1*MAX(BN34,0)</f>
        <v>18.557001321003963</v>
      </c>
      <c r="BM35" s="75">
        <f>PARAM!$C$26+MAX($G$18-CHOOSE(PARAM!$B$44,MAX(0,BN34*$F$1),0),0)*RATES!$L11/12+$H$18*(PARAM!$D$51/12)*RATES!$N11/100</f>
        <v>7.0833333333333339</v>
      </c>
      <c r="BN35" s="16">
        <f t="shared" si="40"/>
        <v>-1184.0771466314393</v>
      </c>
      <c r="BO35" s="15">
        <f t="shared" si="16"/>
        <v>22.170849845882874</v>
      </c>
      <c r="BP35" s="75">
        <f>BO35*(1-PARAM!$C$27)*$I$19+(MOD($B35,60)=PARAM!$B$56)*($B35&gt;(60-PARAM!$B$56))*HLOOKUP(($B35+PARAM!$B$56)/12,Loyalty,2)*$F$1*MAX(BR34,0)</f>
        <v>18.557001321003963</v>
      </c>
      <c r="BQ35" s="75">
        <f>PARAM!$C$26+MAX($G$19-CHOOSE(PARAM!$B$44,MAX(0,BR34*$F$1),0),0)*RATES!$L11/12+$H$19*(PARAM!$D$51/12)*RATES!$N11/100</f>
        <v>7.0833333333333339</v>
      </c>
      <c r="BR35" s="16">
        <f t="shared" si="41"/>
        <v>-1184.0771466314393</v>
      </c>
      <c r="BS35" s="15">
        <f t="shared" si="17"/>
        <v>22.170849845882874</v>
      </c>
      <c r="BT35" s="75">
        <f>BS35*(1-PARAM!$C$27)*$I$20+(MOD($B35,60)=PARAM!$B$56)*($B35&gt;(60-PARAM!$B$56))*HLOOKUP(($B35+PARAM!$B$56)/12,Loyalty,2)*$F$1*MAX(BV34,0)</f>
        <v>18.557001321003963</v>
      </c>
      <c r="BU35" s="75">
        <f>PARAM!$C$26+MAX($G$20-CHOOSE(PARAM!$B$44,MAX(0,BV34*$F$1),0),0)*RATES!$L11/12+$H$20*(PARAM!$D$51/12)*RATES!$N11/100</f>
        <v>7.0833333333333339</v>
      </c>
      <c r="BV35" s="16">
        <f t="shared" si="42"/>
        <v>-1184.0771466314393</v>
      </c>
      <c r="BW35" s="15">
        <f t="shared" si="18"/>
        <v>22.170849845882874</v>
      </c>
      <c r="BX35" s="75">
        <f>BW35*(1-PARAM!$C$27)*$I$21+(MOD($B35,60)=PARAM!$B$56)*($B35&gt;(60-PARAM!$B$56))*HLOOKUP(($B35+PARAM!$B$56)/12,Loyalty,2)*$F$1*MAX(BZ34,0)</f>
        <v>18.557001321003963</v>
      </c>
      <c r="BY35" s="75">
        <f>PARAM!$C$26+MAX($G$21-CHOOSE(PARAM!$B$44,MAX(0,BZ34*$F$1),0),0)*RATES!$L11/12+$H$21*(PARAM!$D$51/12)*RATES!$N11/100</f>
        <v>7.0833333333333339</v>
      </c>
      <c r="BZ35" s="16">
        <f t="shared" si="43"/>
        <v>-1184.0771466314393</v>
      </c>
      <c r="CA35" s="15">
        <f t="shared" si="19"/>
        <v>22.170849845882874</v>
      </c>
      <c r="CB35" s="75">
        <f>CA35*(1-PARAM!$C$27)*$I$22+(MOD($B35,60)=PARAM!$B$56)*($B35&gt;(60-PARAM!$B$56))*HLOOKUP(($B35+PARAM!$B$56)/12,Loyalty,2)*$F$1*MAX(CD34,0)</f>
        <v>18.557001321003963</v>
      </c>
      <c r="CC35" s="75">
        <f>PARAM!$C$26+MAX($G$22-CHOOSE(PARAM!$B$44,MAX(0,CD34*$F$1),0),0)*RATES!$L11/12+$H$22*(PARAM!$D$51/12)*RATES!$N11/100</f>
        <v>7.0833333333333339</v>
      </c>
      <c r="CD35" s="16">
        <f t="shared" si="44"/>
        <v>-1184.0771466314393</v>
      </c>
      <c r="CE35" s="33">
        <f>IF(0=MOD(B35,12/PARAM!$D$51),1,0)</f>
        <v>1</v>
      </c>
      <c r="CF35" s="15">
        <f t="shared" si="20"/>
        <v>0</v>
      </c>
      <c r="CG35" s="75">
        <f>CF35*(1-PARAM!$C$27)*$R$3+(MOD($B35/12,5)=0)*($B35&gt;60)*HLOOKUP($B35/12,Loyalty,2)*$F$1*MAX(CI34,0)</f>
        <v>0</v>
      </c>
      <c r="CH35" s="75">
        <f>PARAM!$C$26+MAX($P$3-CHOOSE(PARAM!$B$44,MAX(0,CI34*$F$1),0),0)*RATES!$L11/12+$Q$3*(PARAM!$D$51/12)*RATES!$N11/100</f>
        <v>7.0833333333333339</v>
      </c>
      <c r="CI35" s="16">
        <f>IF(CI34&gt;0,CI34*PARAM!$C$53,CI34)+CG35-CH35</f>
        <v>-1138.2499999999998</v>
      </c>
      <c r="CJ35" s="15">
        <f t="shared" si="45"/>
        <v>0</v>
      </c>
      <c r="CK35" s="75">
        <f>CJ35*(1-PARAM!$C$27)*$R$4+(MOD($B35/12,5)=0)*($B35&gt;60)*HLOOKUP($B35/12,Loyalty,2)*$F$1*MAX(CM34,0)</f>
        <v>0</v>
      </c>
      <c r="CL35" s="75">
        <f>PARAM!$C$26+MAX($P$4-CHOOSE(PARAM!$B$44,MAX(0,CM34*$F$1),0),0)*RATES!$L11/12+$Q$4*(PARAM!$D$51/12)*RATES!$N11/100</f>
        <v>7.0833333333333339</v>
      </c>
      <c r="CM35" s="16">
        <f>IF(CM34&gt;0,CM34*PARAM!$C$53,CM34)+CK35-CL35</f>
        <v>-1138.2499999999998</v>
      </c>
      <c r="CO35" s="176"/>
    </row>
    <row r="36" spans="1:93" x14ac:dyDescent="0.2">
      <c r="A36" t="b">
        <f t="shared" si="21"/>
        <v>0</v>
      </c>
      <c r="B36" s="33">
        <v>9</v>
      </c>
      <c r="C36" s="15">
        <f t="shared" si="46"/>
        <v>20.081305947392778</v>
      </c>
      <c r="D36" s="75">
        <f>C36*(1-PARAM!$C$27)*$I$3+(MOD($B36,60)=PARAM!$B$56)*($B36&gt;(60-PARAM!$B$56))*HLOOKUP(($B36+PARAM!$B$56)/12,Loyalty,2)*$F$1*MAX(F35,0)</f>
        <v>16.808053077967756</v>
      </c>
      <c r="E36" s="75">
        <f>PARAM!$C$26+MAX($G$3-CHOOSE(PARAM!$B$44,MAX(0,F35*$F$1),0),0)*RATES!$L12/12+$H$3*(PARAM!$D$51/12)*RATES!$N12/100</f>
        <v>7.0833333333333339</v>
      </c>
      <c r="F36" s="16">
        <f t="shared" si="22"/>
        <v>-1170.033339648626</v>
      </c>
      <c r="G36" s="15">
        <f t="shared" si="23"/>
        <v>22.035289406060361</v>
      </c>
      <c r="H36" s="75">
        <f>G36*(1-PARAM!$C$27)*$I$4+(MOD($B36,60)=PARAM!$B$56)*($B36&gt;(60-PARAM!$B$56))*HLOOKUP(($B36+PARAM!$B$56)/12,Loyalty,2)*$F$1*MAX(J35,0)</f>
        <v>18.443537232872522</v>
      </c>
      <c r="I36" s="75">
        <f>PARAM!$C$26+MAX($G$4-CHOOSE(PARAM!$B$44,MAX(0,J35*$F$1),0),0)*RATES!$L12/12+$H$4*(PARAM!$D$51/12)*RATES!$N12/100</f>
        <v>7.0833333333333339</v>
      </c>
      <c r="J36" s="16">
        <f t="shared" si="24"/>
        <v>-1172.4367393027867</v>
      </c>
      <c r="K36" s="15">
        <f t="shared" si="25"/>
        <v>22.170849845882874</v>
      </c>
      <c r="L36" s="75">
        <f>K36*(1-PARAM!$C$27)*$I$5+(MOD($B36,60)=PARAM!$B$56)*($B36&gt;(60-PARAM!$B$56))*HLOOKUP(($B36+PARAM!$B$56)/12,Loyalty,2)*$F$1*MAX(N35,0)</f>
        <v>18.557001321003963</v>
      </c>
      <c r="M36" s="75">
        <f>PARAM!$C$26+MAX($G$5-CHOOSE(PARAM!$B$44,MAX(0,N35*$F$1),0),0)*RATES!$L12/12+$H$5*(PARAM!$D$51/12)*RATES!$N12/100</f>
        <v>7.0833333333333339</v>
      </c>
      <c r="N36" s="16">
        <f t="shared" si="26"/>
        <v>-1172.6034786437685</v>
      </c>
      <c r="O36" s="15">
        <f t="shared" si="27"/>
        <v>22.170849845882874</v>
      </c>
      <c r="P36" s="75">
        <f>O36*(1-PARAM!$C$27)*$I$6+(MOD($B36,60)=PARAM!$B$56)*($B36&gt;(60-PARAM!$B$56))*HLOOKUP(($B36+PARAM!$B$56)/12,Loyalty,2)*$F$1*MAX(R35,0)</f>
        <v>18.557001321003963</v>
      </c>
      <c r="Q36" s="75">
        <f>PARAM!$C$26+MAX($G$6-CHOOSE(PARAM!$B$44,MAX(0,R35*$F$1),0),0)*RATES!$L12/12+$H$6*(PARAM!$D$51/12)*RATES!$N12/100</f>
        <v>7.0833333333333339</v>
      </c>
      <c r="R36" s="16">
        <f t="shared" si="28"/>
        <v>-1172.6034786437685</v>
      </c>
      <c r="S36" s="15">
        <f t="shared" si="4"/>
        <v>22.170849845882874</v>
      </c>
      <c r="T36" s="75">
        <f>S36*(1-PARAM!$C$27)*$I$7+(MOD($B36,60)=PARAM!$B$56)*($B36&gt;(60-PARAM!$B$56))*HLOOKUP(($B36+PARAM!$B$56)/12,Loyalty,2)*$F$1*MAX(V35,0)</f>
        <v>18.557001321003963</v>
      </c>
      <c r="U36" s="75">
        <f>PARAM!$C$26+MAX($G$7-CHOOSE(PARAM!$B$44,MAX(0,V35*$F$1),0),0)*RATES!$L12/12+$H$7*(PARAM!$D$51/12)*RATES!$N12/100</f>
        <v>7.0833333333333339</v>
      </c>
      <c r="V36" s="16">
        <f t="shared" si="29"/>
        <v>-1172.6034786437685</v>
      </c>
      <c r="W36" s="15">
        <f t="shared" si="5"/>
        <v>22.170849845882874</v>
      </c>
      <c r="X36" s="75">
        <f>W36*(1-PARAM!$C$27)*$I$8+(MOD($B36,60)=PARAM!$B$56)*($B36&gt;(60-PARAM!$B$56))*HLOOKUP(($B36+PARAM!$B$56)/12,Loyalty,2)*$F$1*MAX(Z35,0)</f>
        <v>18.557001321003963</v>
      </c>
      <c r="Y36" s="75">
        <f>PARAM!$C$26+MAX($G$8-CHOOSE(PARAM!$B$44,MAX(0,Z35*$F$1),0),0)*RATES!$L12/12+$H$8*(PARAM!$D$51/12)*RATES!$N12/100</f>
        <v>7.0833333333333339</v>
      </c>
      <c r="Z36" s="16">
        <f t="shared" si="30"/>
        <v>-1172.6034786437685</v>
      </c>
      <c r="AA36" s="15">
        <f t="shared" si="6"/>
        <v>22.170849845882874</v>
      </c>
      <c r="AB36" s="75">
        <f>AA36*(1-PARAM!$C$27)*$I$9+(MOD($B36,60)=PARAM!$B$56)*($B36&gt;(60-PARAM!$B$56))*HLOOKUP(($B36+PARAM!$B$56)/12,Loyalty,2)*$F$1*MAX(AD35,0)</f>
        <v>18.557001321003963</v>
      </c>
      <c r="AC36" s="75">
        <f>PARAM!$C$26+MAX($G$9-CHOOSE(PARAM!$B$44,MAX(0,AD35*$F$1),0),0)*RATES!$L12/12+$H$9*(PARAM!$D$51/12)*RATES!$N12/100</f>
        <v>7.0833333333333339</v>
      </c>
      <c r="AD36" s="16">
        <f t="shared" si="31"/>
        <v>-1172.6034786437685</v>
      </c>
      <c r="AE36" s="15">
        <f t="shared" si="7"/>
        <v>22.170849845882874</v>
      </c>
      <c r="AF36" s="75">
        <f>AE36*(1-PARAM!$C$27)*$I$10+(MOD($B36,60)=PARAM!$B$56)*($B36&gt;(60-PARAM!$B$56))*HLOOKUP(($B36+PARAM!$B$56)/12,Loyalty,2)*$F$1*MAX(AH35,0)</f>
        <v>18.557001321003963</v>
      </c>
      <c r="AG36" s="75">
        <f>PARAM!$C$26+MAX($G$10-CHOOSE(PARAM!$B$44,MAX(0,AH35*$F$1),0),0)*RATES!$L12/12+$H$10*(PARAM!$D$51/12)*RATES!$N12/100</f>
        <v>7.0833333333333339</v>
      </c>
      <c r="AH36" s="16">
        <f t="shared" si="32"/>
        <v>-1172.6034786437685</v>
      </c>
      <c r="AI36" s="15">
        <f t="shared" si="8"/>
        <v>22.170849845882874</v>
      </c>
      <c r="AJ36" s="75">
        <f>AI36*(1-PARAM!$C$27)*$I$11+(MOD($B36,60)=PARAM!$B$56)*($B36&gt;(60-PARAM!$B$56))*HLOOKUP(($B36+PARAM!$B$56)/12,Loyalty,2)*$F$1*MAX(AL35,0)</f>
        <v>18.557001321003963</v>
      </c>
      <c r="AK36" s="75">
        <f>PARAM!$C$26+MAX($G$11-CHOOSE(PARAM!$B$44,MAX(0,AL35*$F$1),0),0)*RATES!$L12/12+$H$11*(PARAM!$D$51/12)*RATES!$N12/100</f>
        <v>7.0833333333333339</v>
      </c>
      <c r="AL36" s="16">
        <f t="shared" si="33"/>
        <v>-1172.6034786437685</v>
      </c>
      <c r="AM36" s="15">
        <f t="shared" si="9"/>
        <v>22.170849845882874</v>
      </c>
      <c r="AN36" s="75">
        <f>AM36*(1-PARAM!$C$27)*$I$12+(MOD($B36,60)=PARAM!$B$56)*($B36&gt;(60-PARAM!$B$56))*HLOOKUP(($B36+PARAM!$B$56)/12,Loyalty,2)*$F$1*MAX(AP35,0)</f>
        <v>18.557001321003963</v>
      </c>
      <c r="AO36" s="75">
        <f>PARAM!$C$26+MAX($G$12-CHOOSE(PARAM!$B$44,MAX(0,AP35*$F$1),0),0)*RATES!$L12/12+$H$12*(PARAM!$D$51/12)*RATES!$N12/100</f>
        <v>7.0833333333333339</v>
      </c>
      <c r="AP36" s="16">
        <f t="shared" si="34"/>
        <v>-1172.6034786437685</v>
      </c>
      <c r="AQ36" s="15">
        <f t="shared" si="10"/>
        <v>22.170849845882874</v>
      </c>
      <c r="AR36" s="75">
        <f>AQ36*(1-PARAM!$C$27)*$I$13+(MOD($B36,60)=PARAM!$B$56)*($B36&gt;(60-PARAM!$B$56))*HLOOKUP(($B36+PARAM!$B$56)/12,Loyalty,2)*$F$1*MAX(AT35,0)</f>
        <v>18.557001321003963</v>
      </c>
      <c r="AS36" s="75">
        <f>PARAM!$C$26+MAX($G$13-CHOOSE(PARAM!$B$44,MAX(0,AT35*$F$1),0),0)*RATES!$L12/12+$H$13*(PARAM!$D$51/12)*RATES!$N12/100</f>
        <v>7.0833333333333339</v>
      </c>
      <c r="AT36" s="16">
        <f t="shared" si="35"/>
        <v>-1172.6034786437685</v>
      </c>
      <c r="AU36" s="15">
        <f t="shared" si="11"/>
        <v>22.170849845882874</v>
      </c>
      <c r="AV36" s="75">
        <f>AU36*(1-PARAM!$C$27)*$I$14+(MOD($B36,60)=PARAM!$B$56)*($B36&gt;(60-PARAM!$B$56))*HLOOKUP(($B36+PARAM!$B$56)/12,Loyalty,2)*$F$1*MAX(AX35,0)</f>
        <v>18.557001321003963</v>
      </c>
      <c r="AW36" s="75">
        <f>PARAM!$C$26+MAX($G$14-CHOOSE(PARAM!$B$44,MAX(0,AX35*$F$1),0),0)*RATES!$L12/12+$H$14*(PARAM!$D$51/12)*RATES!$N12/100</f>
        <v>7.0833333333333339</v>
      </c>
      <c r="AX36" s="16">
        <f t="shared" si="36"/>
        <v>-1172.6034786437685</v>
      </c>
      <c r="AY36" s="15">
        <f t="shared" si="12"/>
        <v>22.170849845882874</v>
      </c>
      <c r="AZ36" s="75">
        <f>AY36*(1-PARAM!$C$27)*$I$15+(MOD($B36,60)=PARAM!$B$56)*($B36&gt;(60-PARAM!$B$56))*HLOOKUP(($B36+PARAM!$B$56)/12,Loyalty,2)*$F$1*MAX(BB35,0)</f>
        <v>18.557001321003963</v>
      </c>
      <c r="BA36" s="75">
        <f>PARAM!$C$26+MAX($G$15-CHOOSE(PARAM!$B$44,MAX(0,BB35*$F$1),0),0)*RATES!$L12/12+$H$15*(PARAM!$D$51/12)*RATES!$N12/100</f>
        <v>7.0833333333333339</v>
      </c>
      <c r="BB36" s="16">
        <f t="shared" si="37"/>
        <v>-1172.6034786437685</v>
      </c>
      <c r="BC36" s="15">
        <f t="shared" si="13"/>
        <v>22.170849845882874</v>
      </c>
      <c r="BD36" s="75">
        <f>BC36*(1-PARAM!$C$27)*$I$16+(MOD($B36,60)=PARAM!$B$56)*($B36&gt;(60-PARAM!$B$56))*HLOOKUP(($B36+PARAM!$B$56)/12,Loyalty,2)*$F$1*MAX(BF35,0)</f>
        <v>18.557001321003963</v>
      </c>
      <c r="BE36" s="75">
        <f>PARAM!$C$26+MAX($G$16-CHOOSE(PARAM!$B$44,MAX(0,BF35*$F$1),0),0)*RATES!$L12/12+$H$16*(PARAM!$D$51/12)*RATES!$N12/100</f>
        <v>7.0833333333333339</v>
      </c>
      <c r="BF36" s="16">
        <f t="shared" si="38"/>
        <v>-1172.6034786437685</v>
      </c>
      <c r="BG36" s="15">
        <f t="shared" si="14"/>
        <v>22.170849845882874</v>
      </c>
      <c r="BH36" s="75">
        <f>BG36*(1-PARAM!$C$27)*$I$17+(MOD($B36,60)=PARAM!$B$56)*($B36&gt;(60-PARAM!$B$56))*HLOOKUP(($B36+PARAM!$B$56)/12,Loyalty,2)*$F$1*MAX(BJ35,0)</f>
        <v>18.557001321003963</v>
      </c>
      <c r="BI36" s="75">
        <f>PARAM!$C$26+MAX($G$17-CHOOSE(PARAM!$B$44,MAX(0,BJ35*$F$1),0),0)*RATES!$L12/12+$H$17*(PARAM!$D$51/12)*RATES!$N12/100</f>
        <v>7.0833333333333339</v>
      </c>
      <c r="BJ36" s="16">
        <f t="shared" si="39"/>
        <v>-1172.6034786437685</v>
      </c>
      <c r="BK36" s="15">
        <f t="shared" si="15"/>
        <v>22.170849845882874</v>
      </c>
      <c r="BL36" s="75">
        <f>BK36*(1-PARAM!$C$27)*$I$18+(MOD($B36,60)=PARAM!$B$56)*($B36&gt;(60-PARAM!$B$56))*HLOOKUP(($B36+PARAM!$B$56)/12,Loyalty,2)*$F$1*MAX(BN35,0)</f>
        <v>18.557001321003963</v>
      </c>
      <c r="BM36" s="75">
        <f>PARAM!$C$26+MAX($G$18-CHOOSE(PARAM!$B$44,MAX(0,BN35*$F$1),0),0)*RATES!$L12/12+$H$18*(PARAM!$D$51/12)*RATES!$N12/100</f>
        <v>7.0833333333333339</v>
      </c>
      <c r="BN36" s="16">
        <f t="shared" si="40"/>
        <v>-1172.6034786437685</v>
      </c>
      <c r="BO36" s="15">
        <f t="shared" si="16"/>
        <v>22.170849845882874</v>
      </c>
      <c r="BP36" s="75">
        <f>BO36*(1-PARAM!$C$27)*$I$19+(MOD($B36,60)=PARAM!$B$56)*($B36&gt;(60-PARAM!$B$56))*HLOOKUP(($B36+PARAM!$B$56)/12,Loyalty,2)*$F$1*MAX(BR35,0)</f>
        <v>18.557001321003963</v>
      </c>
      <c r="BQ36" s="75">
        <f>PARAM!$C$26+MAX($G$19-CHOOSE(PARAM!$B$44,MAX(0,BR35*$F$1),0),0)*RATES!$L12/12+$H$19*(PARAM!$D$51/12)*RATES!$N12/100</f>
        <v>7.0833333333333339</v>
      </c>
      <c r="BR36" s="16">
        <f t="shared" si="41"/>
        <v>-1172.6034786437685</v>
      </c>
      <c r="BS36" s="15">
        <f t="shared" si="17"/>
        <v>22.170849845882874</v>
      </c>
      <c r="BT36" s="75">
        <f>BS36*(1-PARAM!$C$27)*$I$20+(MOD($B36,60)=PARAM!$B$56)*($B36&gt;(60-PARAM!$B$56))*HLOOKUP(($B36+PARAM!$B$56)/12,Loyalty,2)*$F$1*MAX(BV35,0)</f>
        <v>18.557001321003963</v>
      </c>
      <c r="BU36" s="75">
        <f>PARAM!$C$26+MAX($G$20-CHOOSE(PARAM!$B$44,MAX(0,BV35*$F$1),0),0)*RATES!$L12/12+$H$20*(PARAM!$D$51/12)*RATES!$N12/100</f>
        <v>7.0833333333333339</v>
      </c>
      <c r="BV36" s="16">
        <f t="shared" si="42"/>
        <v>-1172.6034786437685</v>
      </c>
      <c r="BW36" s="15">
        <f t="shared" si="18"/>
        <v>22.170849845882874</v>
      </c>
      <c r="BX36" s="75">
        <f>BW36*(1-PARAM!$C$27)*$I$21+(MOD($B36,60)=PARAM!$B$56)*($B36&gt;(60-PARAM!$B$56))*HLOOKUP(($B36+PARAM!$B$56)/12,Loyalty,2)*$F$1*MAX(BZ35,0)</f>
        <v>18.557001321003963</v>
      </c>
      <c r="BY36" s="75">
        <f>PARAM!$C$26+MAX($G$21-CHOOSE(PARAM!$B$44,MAX(0,BZ35*$F$1),0),0)*RATES!$L12/12+$H$21*(PARAM!$D$51/12)*RATES!$N12/100</f>
        <v>7.0833333333333339</v>
      </c>
      <c r="BZ36" s="16">
        <f t="shared" si="43"/>
        <v>-1172.6034786437685</v>
      </c>
      <c r="CA36" s="15">
        <f t="shared" si="19"/>
        <v>22.170849845882874</v>
      </c>
      <c r="CB36" s="75">
        <f>CA36*(1-PARAM!$C$27)*$I$22+(MOD($B36,60)=PARAM!$B$56)*($B36&gt;(60-PARAM!$B$56))*HLOOKUP(($B36+PARAM!$B$56)/12,Loyalty,2)*$F$1*MAX(CD35,0)</f>
        <v>18.557001321003963</v>
      </c>
      <c r="CC36" s="75">
        <f>PARAM!$C$26+MAX($G$22-CHOOSE(PARAM!$B$44,MAX(0,CD35*$F$1),0),0)*RATES!$L12/12+$H$22*(PARAM!$D$51/12)*RATES!$N12/100</f>
        <v>7.0833333333333339</v>
      </c>
      <c r="CD36" s="16">
        <f t="shared" si="44"/>
        <v>-1172.6034786437685</v>
      </c>
      <c r="CE36" s="33">
        <f>IF(0=MOD(B36,12/PARAM!$D$51),1,0)</f>
        <v>1</v>
      </c>
      <c r="CF36" s="15">
        <f t="shared" si="20"/>
        <v>0</v>
      </c>
      <c r="CG36" s="75">
        <f>CF36*(1-PARAM!$C$27)*$R$3+(MOD($B36/12,5)=0)*($B36&gt;60)*HLOOKUP($B36/12,Loyalty,2)*$F$1*MAX(CI35,0)</f>
        <v>0</v>
      </c>
      <c r="CH36" s="75">
        <f>PARAM!$C$26+MAX($P$3-CHOOSE(PARAM!$B$44,MAX(0,CI35*$F$1),0),0)*RATES!$L12/12+$Q$3*(PARAM!$D$51/12)*RATES!$N12/100</f>
        <v>7.0833333333333339</v>
      </c>
      <c r="CI36" s="16">
        <f>IF(CI35&gt;0,CI35*PARAM!$C$53,CI35)+CG36-CH36</f>
        <v>-1145.333333333333</v>
      </c>
      <c r="CJ36" s="15">
        <f t="shared" si="45"/>
        <v>0</v>
      </c>
      <c r="CK36" s="75">
        <f>CJ36*(1-PARAM!$C$27)*$R$4+(MOD($B36/12,5)=0)*($B36&gt;60)*HLOOKUP($B36/12,Loyalty,2)*$F$1*MAX(CM35,0)</f>
        <v>0</v>
      </c>
      <c r="CL36" s="75">
        <f>PARAM!$C$26+MAX($P$4-CHOOSE(PARAM!$B$44,MAX(0,CM35*$F$1),0),0)*RATES!$L12/12+$Q$4*(PARAM!$D$51/12)*RATES!$N12/100</f>
        <v>7.0833333333333339</v>
      </c>
      <c r="CM36" s="16">
        <f>IF(CM35&gt;0,CM35*PARAM!$C$53,CM35)+CK36-CL36</f>
        <v>-1145.333333333333</v>
      </c>
      <c r="CO36" s="176"/>
    </row>
    <row r="37" spans="1:93" x14ac:dyDescent="0.2">
      <c r="A37" t="b">
        <f t="shared" si="21"/>
        <v>0</v>
      </c>
      <c r="B37" s="33">
        <v>10</v>
      </c>
      <c r="C37" s="15">
        <f t="shared" si="46"/>
        <v>20.081305947392778</v>
      </c>
      <c r="D37" s="75">
        <f>C37*(1-PARAM!$C$27)*$I$3+(MOD($B37,60)=PARAM!$B$56)*($B37&gt;(60-PARAM!$B$56))*HLOOKUP(($B37+PARAM!$B$56)/12,Loyalty,2)*$F$1*MAX(F36,0)</f>
        <v>16.808053077967756</v>
      </c>
      <c r="E37" s="75">
        <f>PARAM!$C$26+MAX($G$3-CHOOSE(PARAM!$B$44,MAX(0,F36*$F$1),0),0)*RATES!$L13/12+$H$3*(PARAM!$D$51/12)*RATES!$N13/100</f>
        <v>7.0833333333333339</v>
      </c>
      <c r="F37" s="16">
        <f t="shared" si="22"/>
        <v>-1160.3086199039915</v>
      </c>
      <c r="G37" s="15">
        <f t="shared" si="23"/>
        <v>22.035289406060361</v>
      </c>
      <c r="H37" s="75">
        <f>G37*(1-PARAM!$C$27)*$I$4+(MOD($B37,60)=PARAM!$B$56)*($B37&gt;(60-PARAM!$B$56))*HLOOKUP(($B37+PARAM!$B$56)/12,Loyalty,2)*$F$1*MAX(J36,0)</f>
        <v>18.443537232872522</v>
      </c>
      <c r="I37" s="75">
        <f>PARAM!$C$26+MAX($G$4-CHOOSE(PARAM!$B$44,MAX(0,J36*$F$1),0),0)*RATES!$L13/12+$H$4*(PARAM!$D$51/12)*RATES!$N13/100</f>
        <v>7.0833333333333339</v>
      </c>
      <c r="J37" s="16">
        <f t="shared" si="24"/>
        <v>-1161.0765354032474</v>
      </c>
      <c r="K37" s="15">
        <f t="shared" si="25"/>
        <v>22.170849845882874</v>
      </c>
      <c r="L37" s="75">
        <f>K37*(1-PARAM!$C$27)*$I$5+(MOD($B37,60)=PARAM!$B$56)*($B37&gt;(60-PARAM!$B$56))*HLOOKUP(($B37+PARAM!$B$56)/12,Loyalty,2)*$F$1*MAX(N36,0)</f>
        <v>18.557001321003963</v>
      </c>
      <c r="M37" s="75">
        <f>PARAM!$C$26+MAX($G$5-CHOOSE(PARAM!$B$44,MAX(0,N36*$F$1),0),0)*RATES!$L13/12+$H$5*(PARAM!$D$51/12)*RATES!$N13/100</f>
        <v>7.0833333333333339</v>
      </c>
      <c r="N37" s="16">
        <f t="shared" si="26"/>
        <v>-1161.1298106560978</v>
      </c>
      <c r="O37" s="15">
        <f t="shared" si="27"/>
        <v>22.170849845882874</v>
      </c>
      <c r="P37" s="75">
        <f>O37*(1-PARAM!$C$27)*$I$6+(MOD($B37,60)=PARAM!$B$56)*($B37&gt;(60-PARAM!$B$56))*HLOOKUP(($B37+PARAM!$B$56)/12,Loyalty,2)*$F$1*MAX(R36,0)</f>
        <v>18.557001321003963</v>
      </c>
      <c r="Q37" s="75">
        <f>PARAM!$C$26+MAX($G$6-CHOOSE(PARAM!$B$44,MAX(0,R36*$F$1),0),0)*RATES!$L13/12+$H$6*(PARAM!$D$51/12)*RATES!$N13/100</f>
        <v>7.0833333333333339</v>
      </c>
      <c r="R37" s="16">
        <f t="shared" si="28"/>
        <v>-1161.1298106560978</v>
      </c>
      <c r="S37" s="15">
        <f t="shared" si="4"/>
        <v>22.170849845882874</v>
      </c>
      <c r="T37" s="75">
        <f>S37*(1-PARAM!$C$27)*$I$7+(MOD($B37,60)=PARAM!$B$56)*($B37&gt;(60-PARAM!$B$56))*HLOOKUP(($B37+PARAM!$B$56)/12,Loyalty,2)*$F$1*MAX(V36,0)</f>
        <v>18.557001321003963</v>
      </c>
      <c r="U37" s="75">
        <f>PARAM!$C$26+MAX($G$7-CHOOSE(PARAM!$B$44,MAX(0,V36*$F$1),0),0)*RATES!$L13/12+$H$7*(PARAM!$D$51/12)*RATES!$N13/100</f>
        <v>7.0833333333333339</v>
      </c>
      <c r="V37" s="16">
        <f t="shared" si="29"/>
        <v>-1161.1298106560978</v>
      </c>
      <c r="W37" s="15">
        <f t="shared" si="5"/>
        <v>22.170849845882874</v>
      </c>
      <c r="X37" s="75">
        <f>W37*(1-PARAM!$C$27)*$I$8+(MOD($B37,60)=PARAM!$B$56)*($B37&gt;(60-PARAM!$B$56))*HLOOKUP(($B37+PARAM!$B$56)/12,Loyalty,2)*$F$1*MAX(Z36,0)</f>
        <v>18.557001321003963</v>
      </c>
      <c r="Y37" s="75">
        <f>PARAM!$C$26+MAX($G$8-CHOOSE(PARAM!$B$44,MAX(0,Z36*$F$1),0),0)*RATES!$L13/12+$H$8*(PARAM!$D$51/12)*RATES!$N13/100</f>
        <v>7.0833333333333339</v>
      </c>
      <c r="Z37" s="16">
        <f t="shared" si="30"/>
        <v>-1161.1298106560978</v>
      </c>
      <c r="AA37" s="15">
        <f t="shared" si="6"/>
        <v>22.170849845882874</v>
      </c>
      <c r="AB37" s="75">
        <f>AA37*(1-PARAM!$C$27)*$I$9+(MOD($B37,60)=PARAM!$B$56)*($B37&gt;(60-PARAM!$B$56))*HLOOKUP(($B37+PARAM!$B$56)/12,Loyalty,2)*$F$1*MAX(AD36,0)</f>
        <v>18.557001321003963</v>
      </c>
      <c r="AC37" s="75">
        <f>PARAM!$C$26+MAX($G$9-CHOOSE(PARAM!$B$44,MAX(0,AD36*$F$1),0),0)*RATES!$L13/12+$H$9*(PARAM!$D$51/12)*RATES!$N13/100</f>
        <v>7.0833333333333339</v>
      </c>
      <c r="AD37" s="16">
        <f t="shared" si="31"/>
        <v>-1161.1298106560978</v>
      </c>
      <c r="AE37" s="15">
        <f t="shared" si="7"/>
        <v>22.170849845882874</v>
      </c>
      <c r="AF37" s="75">
        <f>AE37*(1-PARAM!$C$27)*$I$10+(MOD($B37,60)=PARAM!$B$56)*($B37&gt;(60-PARAM!$B$56))*HLOOKUP(($B37+PARAM!$B$56)/12,Loyalty,2)*$F$1*MAX(AH36,0)</f>
        <v>18.557001321003963</v>
      </c>
      <c r="AG37" s="75">
        <f>PARAM!$C$26+MAX($G$10-CHOOSE(PARAM!$B$44,MAX(0,AH36*$F$1),0),0)*RATES!$L13/12+$H$10*(PARAM!$D$51/12)*RATES!$N13/100</f>
        <v>7.0833333333333339</v>
      </c>
      <c r="AH37" s="16">
        <f t="shared" si="32"/>
        <v>-1161.1298106560978</v>
      </c>
      <c r="AI37" s="15">
        <f t="shared" si="8"/>
        <v>22.170849845882874</v>
      </c>
      <c r="AJ37" s="75">
        <f>AI37*(1-PARAM!$C$27)*$I$11+(MOD($B37,60)=PARAM!$B$56)*($B37&gt;(60-PARAM!$B$56))*HLOOKUP(($B37+PARAM!$B$56)/12,Loyalty,2)*$F$1*MAX(AL36,0)</f>
        <v>18.557001321003963</v>
      </c>
      <c r="AK37" s="75">
        <f>PARAM!$C$26+MAX($G$11-CHOOSE(PARAM!$B$44,MAX(0,AL36*$F$1),0),0)*RATES!$L13/12+$H$11*(PARAM!$D$51/12)*RATES!$N13/100</f>
        <v>7.0833333333333339</v>
      </c>
      <c r="AL37" s="16">
        <f t="shared" si="33"/>
        <v>-1161.1298106560978</v>
      </c>
      <c r="AM37" s="15">
        <f t="shared" si="9"/>
        <v>22.170849845882874</v>
      </c>
      <c r="AN37" s="75">
        <f>AM37*(1-PARAM!$C$27)*$I$12+(MOD($B37,60)=PARAM!$B$56)*($B37&gt;(60-PARAM!$B$56))*HLOOKUP(($B37+PARAM!$B$56)/12,Loyalty,2)*$F$1*MAX(AP36,0)</f>
        <v>18.557001321003963</v>
      </c>
      <c r="AO37" s="75">
        <f>PARAM!$C$26+MAX($G$12-CHOOSE(PARAM!$B$44,MAX(0,AP36*$F$1),0),0)*RATES!$L13/12+$H$12*(PARAM!$D$51/12)*RATES!$N13/100</f>
        <v>7.0833333333333339</v>
      </c>
      <c r="AP37" s="16">
        <f t="shared" si="34"/>
        <v>-1161.1298106560978</v>
      </c>
      <c r="AQ37" s="15">
        <f t="shared" si="10"/>
        <v>22.170849845882874</v>
      </c>
      <c r="AR37" s="75">
        <f>AQ37*(1-PARAM!$C$27)*$I$13+(MOD($B37,60)=PARAM!$B$56)*($B37&gt;(60-PARAM!$B$56))*HLOOKUP(($B37+PARAM!$B$56)/12,Loyalty,2)*$F$1*MAX(AT36,0)</f>
        <v>18.557001321003963</v>
      </c>
      <c r="AS37" s="75">
        <f>PARAM!$C$26+MAX($G$13-CHOOSE(PARAM!$B$44,MAX(0,AT36*$F$1),0),0)*RATES!$L13/12+$H$13*(PARAM!$D$51/12)*RATES!$N13/100</f>
        <v>7.0833333333333339</v>
      </c>
      <c r="AT37" s="16">
        <f t="shared" si="35"/>
        <v>-1161.1298106560978</v>
      </c>
      <c r="AU37" s="15">
        <f t="shared" si="11"/>
        <v>22.170849845882874</v>
      </c>
      <c r="AV37" s="75">
        <f>AU37*(1-PARAM!$C$27)*$I$14+(MOD($B37,60)=PARAM!$B$56)*($B37&gt;(60-PARAM!$B$56))*HLOOKUP(($B37+PARAM!$B$56)/12,Loyalty,2)*$F$1*MAX(AX36,0)</f>
        <v>18.557001321003963</v>
      </c>
      <c r="AW37" s="75">
        <f>PARAM!$C$26+MAX($G$14-CHOOSE(PARAM!$B$44,MAX(0,AX36*$F$1),0),0)*RATES!$L13/12+$H$14*(PARAM!$D$51/12)*RATES!$N13/100</f>
        <v>7.0833333333333339</v>
      </c>
      <c r="AX37" s="16">
        <f t="shared" si="36"/>
        <v>-1161.1298106560978</v>
      </c>
      <c r="AY37" s="15">
        <f t="shared" si="12"/>
        <v>22.170849845882874</v>
      </c>
      <c r="AZ37" s="75">
        <f>AY37*(1-PARAM!$C$27)*$I$15+(MOD($B37,60)=PARAM!$B$56)*($B37&gt;(60-PARAM!$B$56))*HLOOKUP(($B37+PARAM!$B$56)/12,Loyalty,2)*$F$1*MAX(BB36,0)</f>
        <v>18.557001321003963</v>
      </c>
      <c r="BA37" s="75">
        <f>PARAM!$C$26+MAX($G$15-CHOOSE(PARAM!$B$44,MAX(0,BB36*$F$1),0),0)*RATES!$L13/12+$H$15*(PARAM!$D$51/12)*RATES!$N13/100</f>
        <v>7.0833333333333339</v>
      </c>
      <c r="BB37" s="16">
        <f t="shared" si="37"/>
        <v>-1161.1298106560978</v>
      </c>
      <c r="BC37" s="15">
        <f t="shared" si="13"/>
        <v>22.170849845882874</v>
      </c>
      <c r="BD37" s="75">
        <f>BC37*(1-PARAM!$C$27)*$I$16+(MOD($B37,60)=PARAM!$B$56)*($B37&gt;(60-PARAM!$B$56))*HLOOKUP(($B37+PARAM!$B$56)/12,Loyalty,2)*$F$1*MAX(BF36,0)</f>
        <v>18.557001321003963</v>
      </c>
      <c r="BE37" s="75">
        <f>PARAM!$C$26+MAX($G$16-CHOOSE(PARAM!$B$44,MAX(0,BF36*$F$1),0),0)*RATES!$L13/12+$H$16*(PARAM!$D$51/12)*RATES!$N13/100</f>
        <v>7.0833333333333339</v>
      </c>
      <c r="BF37" s="16">
        <f t="shared" si="38"/>
        <v>-1161.1298106560978</v>
      </c>
      <c r="BG37" s="15">
        <f t="shared" si="14"/>
        <v>22.170849845882874</v>
      </c>
      <c r="BH37" s="75">
        <f>BG37*(1-PARAM!$C$27)*$I$17+(MOD($B37,60)=PARAM!$B$56)*($B37&gt;(60-PARAM!$B$56))*HLOOKUP(($B37+PARAM!$B$56)/12,Loyalty,2)*$F$1*MAX(BJ36,0)</f>
        <v>18.557001321003963</v>
      </c>
      <c r="BI37" s="75">
        <f>PARAM!$C$26+MAX($G$17-CHOOSE(PARAM!$B$44,MAX(0,BJ36*$F$1),0),0)*RATES!$L13/12+$H$17*(PARAM!$D$51/12)*RATES!$N13/100</f>
        <v>7.0833333333333339</v>
      </c>
      <c r="BJ37" s="16">
        <f t="shared" si="39"/>
        <v>-1161.1298106560978</v>
      </c>
      <c r="BK37" s="15">
        <f t="shared" si="15"/>
        <v>22.170849845882874</v>
      </c>
      <c r="BL37" s="75">
        <f>BK37*(1-PARAM!$C$27)*$I$18+(MOD($B37,60)=PARAM!$B$56)*($B37&gt;(60-PARAM!$B$56))*HLOOKUP(($B37+PARAM!$B$56)/12,Loyalty,2)*$F$1*MAX(BN36,0)</f>
        <v>18.557001321003963</v>
      </c>
      <c r="BM37" s="75">
        <f>PARAM!$C$26+MAX($G$18-CHOOSE(PARAM!$B$44,MAX(0,BN36*$F$1),0),0)*RATES!$L13/12+$H$18*(PARAM!$D$51/12)*RATES!$N13/100</f>
        <v>7.0833333333333339</v>
      </c>
      <c r="BN37" s="16">
        <f t="shared" si="40"/>
        <v>-1161.1298106560978</v>
      </c>
      <c r="BO37" s="15">
        <f t="shared" si="16"/>
        <v>22.170849845882874</v>
      </c>
      <c r="BP37" s="75">
        <f>BO37*(1-PARAM!$C$27)*$I$19+(MOD($B37,60)=PARAM!$B$56)*($B37&gt;(60-PARAM!$B$56))*HLOOKUP(($B37+PARAM!$B$56)/12,Loyalty,2)*$F$1*MAX(BR36,0)</f>
        <v>18.557001321003963</v>
      </c>
      <c r="BQ37" s="75">
        <f>PARAM!$C$26+MAX($G$19-CHOOSE(PARAM!$B$44,MAX(0,BR36*$F$1),0),0)*RATES!$L13/12+$H$19*(PARAM!$D$51/12)*RATES!$N13/100</f>
        <v>7.0833333333333339</v>
      </c>
      <c r="BR37" s="16">
        <f t="shared" si="41"/>
        <v>-1161.1298106560978</v>
      </c>
      <c r="BS37" s="15">
        <f t="shared" si="17"/>
        <v>22.170849845882874</v>
      </c>
      <c r="BT37" s="75">
        <f>BS37*(1-PARAM!$C$27)*$I$20+(MOD($B37,60)=PARAM!$B$56)*($B37&gt;(60-PARAM!$B$56))*HLOOKUP(($B37+PARAM!$B$56)/12,Loyalty,2)*$F$1*MAX(BV36,0)</f>
        <v>18.557001321003963</v>
      </c>
      <c r="BU37" s="75">
        <f>PARAM!$C$26+MAX($G$20-CHOOSE(PARAM!$B$44,MAX(0,BV36*$F$1),0),0)*RATES!$L13/12+$H$20*(PARAM!$D$51/12)*RATES!$N13/100</f>
        <v>7.0833333333333339</v>
      </c>
      <c r="BV37" s="16">
        <f t="shared" si="42"/>
        <v>-1161.1298106560978</v>
      </c>
      <c r="BW37" s="15">
        <f t="shared" si="18"/>
        <v>22.170849845882874</v>
      </c>
      <c r="BX37" s="75">
        <f>BW37*(1-PARAM!$C$27)*$I$21+(MOD($B37,60)=PARAM!$B$56)*($B37&gt;(60-PARAM!$B$56))*HLOOKUP(($B37+PARAM!$B$56)/12,Loyalty,2)*$F$1*MAX(BZ36,0)</f>
        <v>18.557001321003963</v>
      </c>
      <c r="BY37" s="75">
        <f>PARAM!$C$26+MAX($G$21-CHOOSE(PARAM!$B$44,MAX(0,BZ36*$F$1),0),0)*RATES!$L13/12+$H$21*(PARAM!$D$51/12)*RATES!$N13/100</f>
        <v>7.0833333333333339</v>
      </c>
      <c r="BZ37" s="16">
        <f t="shared" si="43"/>
        <v>-1161.1298106560978</v>
      </c>
      <c r="CA37" s="15">
        <f t="shared" si="19"/>
        <v>22.170849845882874</v>
      </c>
      <c r="CB37" s="75">
        <f>CA37*(1-PARAM!$C$27)*$I$22+(MOD($B37,60)=PARAM!$B$56)*($B37&gt;(60-PARAM!$B$56))*HLOOKUP(($B37+PARAM!$B$56)/12,Loyalty,2)*$F$1*MAX(CD36,0)</f>
        <v>18.557001321003963</v>
      </c>
      <c r="CC37" s="75">
        <f>PARAM!$C$26+MAX($G$22-CHOOSE(PARAM!$B$44,MAX(0,CD36*$F$1),0),0)*RATES!$L13/12+$H$22*(PARAM!$D$51/12)*RATES!$N13/100</f>
        <v>7.0833333333333339</v>
      </c>
      <c r="CD37" s="16">
        <f t="shared" si="44"/>
        <v>-1161.1298106560978</v>
      </c>
      <c r="CE37" s="33">
        <f>IF(0=MOD(B37,12/PARAM!$D$51),1,0)</f>
        <v>1</v>
      </c>
      <c r="CF37" s="15">
        <f t="shared" si="20"/>
        <v>0</v>
      </c>
      <c r="CG37" s="75">
        <f>CF37*(1-PARAM!$C$27)*$R$3+(MOD($B37/12,5)=0)*($B37&gt;60)*HLOOKUP($B37/12,Loyalty,2)*$F$1*MAX(CI36,0)</f>
        <v>0</v>
      </c>
      <c r="CH37" s="75">
        <f>PARAM!$C$26+MAX($P$3-CHOOSE(PARAM!$B$44,MAX(0,CI36*$F$1),0),0)*RATES!$L13/12+$Q$3*(PARAM!$D$51/12)*RATES!$N13/100</f>
        <v>7.0833333333333339</v>
      </c>
      <c r="CI37" s="16">
        <f>IF(CI36&gt;0,CI36*PARAM!$C$53,CI36)+CG37-CH37</f>
        <v>-1152.4166666666663</v>
      </c>
      <c r="CJ37" s="15">
        <f t="shared" si="45"/>
        <v>0</v>
      </c>
      <c r="CK37" s="75">
        <f>CJ37*(1-PARAM!$C$27)*$R$4+(MOD($B37/12,5)=0)*($B37&gt;60)*HLOOKUP($B37/12,Loyalty,2)*$F$1*MAX(CM36,0)</f>
        <v>0</v>
      </c>
      <c r="CL37" s="75">
        <f>PARAM!$C$26+MAX($P$4-CHOOSE(PARAM!$B$44,MAX(0,CM36*$F$1),0),0)*RATES!$L13/12+$Q$4*(PARAM!$D$51/12)*RATES!$N13/100</f>
        <v>7.0833333333333339</v>
      </c>
      <c r="CM37" s="16">
        <f>IF(CM36&gt;0,CM36*PARAM!$C$53,CM36)+CK37-CL37</f>
        <v>-1152.4166666666663</v>
      </c>
      <c r="CO37" s="176"/>
    </row>
    <row r="38" spans="1:93" x14ac:dyDescent="0.2">
      <c r="A38" t="b">
        <f t="shared" si="21"/>
        <v>0</v>
      </c>
      <c r="B38" s="33">
        <v>11</v>
      </c>
      <c r="C38" s="15">
        <f t="shared" si="46"/>
        <v>20.081305947392778</v>
      </c>
      <c r="D38" s="75">
        <f>C38*(1-PARAM!$C$27)*$I$3+(MOD($B38,60)=PARAM!$B$56)*($B38&gt;(60-PARAM!$B$56))*HLOOKUP(($B38+PARAM!$B$56)/12,Loyalty,2)*$F$1*MAX(F37,0)</f>
        <v>16.808053077967756</v>
      </c>
      <c r="E38" s="75">
        <f>PARAM!$C$26+MAX($G$3-CHOOSE(PARAM!$B$44,MAX(0,F37*$F$1),0),0)*RATES!$L14/12+$H$3*(PARAM!$D$51/12)*RATES!$N14/100</f>
        <v>7.0833333333333339</v>
      </c>
      <c r="F38" s="16">
        <f t="shared" si="22"/>
        <v>-1150.583900159357</v>
      </c>
      <c r="G38" s="15">
        <f t="shared" si="23"/>
        <v>22.035289406060361</v>
      </c>
      <c r="H38" s="75">
        <f>G38*(1-PARAM!$C$27)*$I$4+(MOD($B38,60)=PARAM!$B$56)*($B38&gt;(60-PARAM!$B$56))*HLOOKUP(($B38+PARAM!$B$56)/12,Loyalty,2)*$F$1*MAX(J37,0)</f>
        <v>18.443537232872522</v>
      </c>
      <c r="I38" s="75">
        <f>PARAM!$C$26+MAX($G$4-CHOOSE(PARAM!$B$44,MAX(0,J37*$F$1),0),0)*RATES!$L14/12+$H$4*(PARAM!$D$51/12)*RATES!$N14/100</f>
        <v>7.0833333333333339</v>
      </c>
      <c r="J38" s="16">
        <f t="shared" si="24"/>
        <v>-1149.716331503708</v>
      </c>
      <c r="K38" s="15">
        <f t="shared" si="25"/>
        <v>22.170849845882874</v>
      </c>
      <c r="L38" s="75">
        <f>K38*(1-PARAM!$C$27)*$I$5+(MOD($B38,60)=PARAM!$B$56)*($B38&gt;(60-PARAM!$B$56))*HLOOKUP(($B38+PARAM!$B$56)/12,Loyalty,2)*$F$1*MAX(N37,0)</f>
        <v>18.557001321003963</v>
      </c>
      <c r="M38" s="75">
        <f>PARAM!$C$26+MAX($G$5-CHOOSE(PARAM!$B$44,MAX(0,N37*$F$1),0),0)*RATES!$L14/12+$H$5*(PARAM!$D$51/12)*RATES!$N14/100</f>
        <v>7.0833333333333339</v>
      </c>
      <c r="N38" s="16">
        <f t="shared" si="26"/>
        <v>-1149.656142668427</v>
      </c>
      <c r="O38" s="15">
        <f t="shared" si="27"/>
        <v>22.170849845882874</v>
      </c>
      <c r="P38" s="75">
        <f>O38*(1-PARAM!$C$27)*$I$6+(MOD($B38,60)=PARAM!$B$56)*($B38&gt;(60-PARAM!$B$56))*HLOOKUP(($B38+PARAM!$B$56)/12,Loyalty,2)*$F$1*MAX(R37,0)</f>
        <v>18.557001321003963</v>
      </c>
      <c r="Q38" s="75">
        <f>PARAM!$C$26+MAX($G$6-CHOOSE(PARAM!$B$44,MAX(0,R37*$F$1),0),0)*RATES!$L14/12+$H$6*(PARAM!$D$51/12)*RATES!$N14/100</f>
        <v>7.0833333333333339</v>
      </c>
      <c r="R38" s="16">
        <f t="shared" si="28"/>
        <v>-1149.656142668427</v>
      </c>
      <c r="S38" s="15">
        <f t="shared" si="4"/>
        <v>22.170849845882874</v>
      </c>
      <c r="T38" s="75">
        <f>S38*(1-PARAM!$C$27)*$I$7+(MOD($B38,60)=PARAM!$B$56)*($B38&gt;(60-PARAM!$B$56))*HLOOKUP(($B38+PARAM!$B$56)/12,Loyalty,2)*$F$1*MAX(V37,0)</f>
        <v>18.557001321003963</v>
      </c>
      <c r="U38" s="75">
        <f>PARAM!$C$26+MAX($G$7-CHOOSE(PARAM!$B$44,MAX(0,V37*$F$1),0),0)*RATES!$L14/12+$H$7*(PARAM!$D$51/12)*RATES!$N14/100</f>
        <v>7.0833333333333339</v>
      </c>
      <c r="V38" s="16">
        <f t="shared" si="29"/>
        <v>-1149.656142668427</v>
      </c>
      <c r="W38" s="15">
        <f t="shared" si="5"/>
        <v>22.170849845882874</v>
      </c>
      <c r="X38" s="75">
        <f>W38*(1-PARAM!$C$27)*$I$8+(MOD($B38,60)=PARAM!$B$56)*($B38&gt;(60-PARAM!$B$56))*HLOOKUP(($B38+PARAM!$B$56)/12,Loyalty,2)*$F$1*MAX(Z37,0)</f>
        <v>18.557001321003963</v>
      </c>
      <c r="Y38" s="75">
        <f>PARAM!$C$26+MAX($G$8-CHOOSE(PARAM!$B$44,MAX(0,Z37*$F$1),0),0)*RATES!$L14/12+$H$8*(PARAM!$D$51/12)*RATES!$N14/100</f>
        <v>7.0833333333333339</v>
      </c>
      <c r="Z38" s="16">
        <f t="shared" si="30"/>
        <v>-1149.656142668427</v>
      </c>
      <c r="AA38" s="15">
        <f t="shared" si="6"/>
        <v>22.170849845882874</v>
      </c>
      <c r="AB38" s="75">
        <f>AA38*(1-PARAM!$C$27)*$I$9+(MOD($B38,60)=PARAM!$B$56)*($B38&gt;(60-PARAM!$B$56))*HLOOKUP(($B38+PARAM!$B$56)/12,Loyalty,2)*$F$1*MAX(AD37,0)</f>
        <v>18.557001321003963</v>
      </c>
      <c r="AC38" s="75">
        <f>PARAM!$C$26+MAX($G$9-CHOOSE(PARAM!$B$44,MAX(0,AD37*$F$1),0),0)*RATES!$L14/12+$H$9*(PARAM!$D$51/12)*RATES!$N14/100</f>
        <v>7.0833333333333339</v>
      </c>
      <c r="AD38" s="16">
        <f t="shared" si="31"/>
        <v>-1149.656142668427</v>
      </c>
      <c r="AE38" s="15">
        <f t="shared" si="7"/>
        <v>22.170849845882874</v>
      </c>
      <c r="AF38" s="75">
        <f>AE38*(1-PARAM!$C$27)*$I$10+(MOD($B38,60)=PARAM!$B$56)*($B38&gt;(60-PARAM!$B$56))*HLOOKUP(($B38+PARAM!$B$56)/12,Loyalty,2)*$F$1*MAX(AH37,0)</f>
        <v>18.557001321003963</v>
      </c>
      <c r="AG38" s="75">
        <f>PARAM!$C$26+MAX($G$10-CHOOSE(PARAM!$B$44,MAX(0,AH37*$F$1),0),0)*RATES!$L14/12+$H$10*(PARAM!$D$51/12)*RATES!$N14/100</f>
        <v>7.0833333333333339</v>
      </c>
      <c r="AH38" s="16">
        <f t="shared" si="32"/>
        <v>-1149.656142668427</v>
      </c>
      <c r="AI38" s="15">
        <f t="shared" si="8"/>
        <v>22.170849845882874</v>
      </c>
      <c r="AJ38" s="75">
        <f>AI38*(1-PARAM!$C$27)*$I$11+(MOD($B38,60)=PARAM!$B$56)*($B38&gt;(60-PARAM!$B$56))*HLOOKUP(($B38+PARAM!$B$56)/12,Loyalty,2)*$F$1*MAX(AL37,0)</f>
        <v>18.557001321003963</v>
      </c>
      <c r="AK38" s="75">
        <f>PARAM!$C$26+MAX($G$11-CHOOSE(PARAM!$B$44,MAX(0,AL37*$F$1),0),0)*RATES!$L14/12+$H$11*(PARAM!$D$51/12)*RATES!$N14/100</f>
        <v>7.0833333333333339</v>
      </c>
      <c r="AL38" s="16">
        <f t="shared" si="33"/>
        <v>-1149.656142668427</v>
      </c>
      <c r="AM38" s="15">
        <f t="shared" si="9"/>
        <v>22.170849845882874</v>
      </c>
      <c r="AN38" s="75">
        <f>AM38*(1-PARAM!$C$27)*$I$12+(MOD($B38,60)=PARAM!$B$56)*($B38&gt;(60-PARAM!$B$56))*HLOOKUP(($B38+PARAM!$B$56)/12,Loyalty,2)*$F$1*MAX(AP37,0)</f>
        <v>18.557001321003963</v>
      </c>
      <c r="AO38" s="75">
        <f>PARAM!$C$26+MAX($G$12-CHOOSE(PARAM!$B$44,MAX(0,AP37*$F$1),0),0)*RATES!$L14/12+$H$12*(PARAM!$D$51/12)*RATES!$N14/100</f>
        <v>7.0833333333333339</v>
      </c>
      <c r="AP38" s="16">
        <f t="shared" si="34"/>
        <v>-1149.656142668427</v>
      </c>
      <c r="AQ38" s="15">
        <f t="shared" si="10"/>
        <v>22.170849845882874</v>
      </c>
      <c r="AR38" s="75">
        <f>AQ38*(1-PARAM!$C$27)*$I$13+(MOD($B38,60)=PARAM!$B$56)*($B38&gt;(60-PARAM!$B$56))*HLOOKUP(($B38+PARAM!$B$56)/12,Loyalty,2)*$F$1*MAX(AT37,0)</f>
        <v>18.557001321003963</v>
      </c>
      <c r="AS38" s="75">
        <f>PARAM!$C$26+MAX($G$13-CHOOSE(PARAM!$B$44,MAX(0,AT37*$F$1),0),0)*RATES!$L14/12+$H$13*(PARAM!$D$51/12)*RATES!$N14/100</f>
        <v>7.0833333333333339</v>
      </c>
      <c r="AT38" s="16">
        <f t="shared" si="35"/>
        <v>-1149.656142668427</v>
      </c>
      <c r="AU38" s="15">
        <f t="shared" si="11"/>
        <v>22.170849845882874</v>
      </c>
      <c r="AV38" s="75">
        <f>AU38*(1-PARAM!$C$27)*$I$14+(MOD($B38,60)=PARAM!$B$56)*($B38&gt;(60-PARAM!$B$56))*HLOOKUP(($B38+PARAM!$B$56)/12,Loyalty,2)*$F$1*MAX(AX37,0)</f>
        <v>18.557001321003963</v>
      </c>
      <c r="AW38" s="75">
        <f>PARAM!$C$26+MAX($G$14-CHOOSE(PARAM!$B$44,MAX(0,AX37*$F$1),0),0)*RATES!$L14/12+$H$14*(PARAM!$D$51/12)*RATES!$N14/100</f>
        <v>7.0833333333333339</v>
      </c>
      <c r="AX38" s="16">
        <f t="shared" si="36"/>
        <v>-1149.656142668427</v>
      </c>
      <c r="AY38" s="15">
        <f t="shared" si="12"/>
        <v>22.170849845882874</v>
      </c>
      <c r="AZ38" s="75">
        <f>AY38*(1-PARAM!$C$27)*$I$15+(MOD($B38,60)=PARAM!$B$56)*($B38&gt;(60-PARAM!$B$56))*HLOOKUP(($B38+PARAM!$B$56)/12,Loyalty,2)*$F$1*MAX(BB37,0)</f>
        <v>18.557001321003963</v>
      </c>
      <c r="BA38" s="75">
        <f>PARAM!$C$26+MAX($G$15-CHOOSE(PARAM!$B$44,MAX(0,BB37*$F$1),0),0)*RATES!$L14/12+$H$15*(PARAM!$D$51/12)*RATES!$N14/100</f>
        <v>7.0833333333333339</v>
      </c>
      <c r="BB38" s="16">
        <f t="shared" si="37"/>
        <v>-1149.656142668427</v>
      </c>
      <c r="BC38" s="15">
        <f t="shared" si="13"/>
        <v>22.170849845882874</v>
      </c>
      <c r="BD38" s="75">
        <f>BC38*(1-PARAM!$C$27)*$I$16+(MOD($B38,60)=PARAM!$B$56)*($B38&gt;(60-PARAM!$B$56))*HLOOKUP(($B38+PARAM!$B$56)/12,Loyalty,2)*$F$1*MAX(BF37,0)</f>
        <v>18.557001321003963</v>
      </c>
      <c r="BE38" s="75">
        <f>PARAM!$C$26+MAX($G$16-CHOOSE(PARAM!$B$44,MAX(0,BF37*$F$1),0),0)*RATES!$L14/12+$H$16*(PARAM!$D$51/12)*RATES!$N14/100</f>
        <v>7.0833333333333339</v>
      </c>
      <c r="BF38" s="16">
        <f t="shared" si="38"/>
        <v>-1149.656142668427</v>
      </c>
      <c r="BG38" s="15">
        <f t="shared" si="14"/>
        <v>22.170849845882874</v>
      </c>
      <c r="BH38" s="75">
        <f>BG38*(1-PARAM!$C$27)*$I$17+(MOD($B38,60)=PARAM!$B$56)*($B38&gt;(60-PARAM!$B$56))*HLOOKUP(($B38+PARAM!$B$56)/12,Loyalty,2)*$F$1*MAX(BJ37,0)</f>
        <v>18.557001321003963</v>
      </c>
      <c r="BI38" s="75">
        <f>PARAM!$C$26+MAX($G$17-CHOOSE(PARAM!$B$44,MAX(0,BJ37*$F$1),0),0)*RATES!$L14/12+$H$17*(PARAM!$D$51/12)*RATES!$N14/100</f>
        <v>7.0833333333333339</v>
      </c>
      <c r="BJ38" s="16">
        <f t="shared" si="39"/>
        <v>-1149.656142668427</v>
      </c>
      <c r="BK38" s="15">
        <f t="shared" si="15"/>
        <v>22.170849845882874</v>
      </c>
      <c r="BL38" s="75">
        <f>BK38*(1-PARAM!$C$27)*$I$18+(MOD($B38,60)=PARAM!$B$56)*($B38&gt;(60-PARAM!$B$56))*HLOOKUP(($B38+PARAM!$B$56)/12,Loyalty,2)*$F$1*MAX(BN37,0)</f>
        <v>18.557001321003963</v>
      </c>
      <c r="BM38" s="75">
        <f>PARAM!$C$26+MAX($G$18-CHOOSE(PARAM!$B$44,MAX(0,BN37*$F$1),0),0)*RATES!$L14/12+$H$18*(PARAM!$D$51/12)*RATES!$N14/100</f>
        <v>7.0833333333333339</v>
      </c>
      <c r="BN38" s="16">
        <f t="shared" si="40"/>
        <v>-1149.656142668427</v>
      </c>
      <c r="BO38" s="15">
        <f t="shared" si="16"/>
        <v>22.170849845882874</v>
      </c>
      <c r="BP38" s="75">
        <f>BO38*(1-PARAM!$C$27)*$I$19+(MOD($B38,60)=PARAM!$B$56)*($B38&gt;(60-PARAM!$B$56))*HLOOKUP(($B38+PARAM!$B$56)/12,Loyalty,2)*$F$1*MAX(BR37,0)</f>
        <v>18.557001321003963</v>
      </c>
      <c r="BQ38" s="75">
        <f>PARAM!$C$26+MAX($G$19-CHOOSE(PARAM!$B$44,MAX(0,BR37*$F$1),0),0)*RATES!$L14/12+$H$19*(PARAM!$D$51/12)*RATES!$N14/100</f>
        <v>7.0833333333333339</v>
      </c>
      <c r="BR38" s="16">
        <f t="shared" si="41"/>
        <v>-1149.656142668427</v>
      </c>
      <c r="BS38" s="15">
        <f t="shared" si="17"/>
        <v>22.170849845882874</v>
      </c>
      <c r="BT38" s="75">
        <f>BS38*(1-PARAM!$C$27)*$I$20+(MOD($B38,60)=PARAM!$B$56)*($B38&gt;(60-PARAM!$B$56))*HLOOKUP(($B38+PARAM!$B$56)/12,Loyalty,2)*$F$1*MAX(BV37,0)</f>
        <v>18.557001321003963</v>
      </c>
      <c r="BU38" s="75">
        <f>PARAM!$C$26+MAX($G$20-CHOOSE(PARAM!$B$44,MAX(0,BV37*$F$1),0),0)*RATES!$L14/12+$H$20*(PARAM!$D$51/12)*RATES!$N14/100</f>
        <v>7.0833333333333339</v>
      </c>
      <c r="BV38" s="16">
        <f t="shared" si="42"/>
        <v>-1149.656142668427</v>
      </c>
      <c r="BW38" s="15">
        <f t="shared" si="18"/>
        <v>22.170849845882874</v>
      </c>
      <c r="BX38" s="75">
        <f>BW38*(1-PARAM!$C$27)*$I$21+(MOD($B38,60)=PARAM!$B$56)*($B38&gt;(60-PARAM!$B$56))*HLOOKUP(($B38+PARAM!$B$56)/12,Loyalty,2)*$F$1*MAX(BZ37,0)</f>
        <v>18.557001321003963</v>
      </c>
      <c r="BY38" s="75">
        <f>PARAM!$C$26+MAX($G$21-CHOOSE(PARAM!$B$44,MAX(0,BZ37*$F$1),0),0)*RATES!$L14/12+$H$21*(PARAM!$D$51/12)*RATES!$N14/100</f>
        <v>7.0833333333333339</v>
      </c>
      <c r="BZ38" s="16">
        <f t="shared" si="43"/>
        <v>-1149.656142668427</v>
      </c>
      <c r="CA38" s="15">
        <f t="shared" si="19"/>
        <v>22.170849845882874</v>
      </c>
      <c r="CB38" s="75">
        <f>CA38*(1-PARAM!$C$27)*$I$22+(MOD($B38,60)=PARAM!$B$56)*($B38&gt;(60-PARAM!$B$56))*HLOOKUP(($B38+PARAM!$B$56)/12,Loyalty,2)*$F$1*MAX(CD37,0)</f>
        <v>18.557001321003963</v>
      </c>
      <c r="CC38" s="75">
        <f>PARAM!$C$26+MAX($G$22-CHOOSE(PARAM!$B$44,MAX(0,CD37*$F$1),0),0)*RATES!$L14/12+$H$22*(PARAM!$D$51/12)*RATES!$N14/100</f>
        <v>7.0833333333333339</v>
      </c>
      <c r="CD38" s="16">
        <f t="shared" si="44"/>
        <v>-1149.656142668427</v>
      </c>
      <c r="CE38" s="33">
        <f>IF(0=MOD(B38,12/PARAM!$D$51),1,0)</f>
        <v>1</v>
      </c>
      <c r="CF38" s="15">
        <f t="shared" si="20"/>
        <v>0</v>
      </c>
      <c r="CG38" s="75">
        <f>CF38*(1-PARAM!$C$27)*$R$3+(MOD($B38/12,5)=0)*($B38&gt;60)*HLOOKUP($B38/12,Loyalty,2)*$F$1*MAX(CI37,0)</f>
        <v>0</v>
      </c>
      <c r="CH38" s="75">
        <f>PARAM!$C$26+MAX($P$3-CHOOSE(PARAM!$B$44,MAX(0,CI37*$F$1),0),0)*RATES!$L14/12+$Q$3*(PARAM!$D$51/12)*RATES!$N14/100</f>
        <v>7.0833333333333339</v>
      </c>
      <c r="CI38" s="16">
        <f>IF(CI37&gt;0,CI37*PARAM!$C$53,CI37)+CG38-CH38</f>
        <v>-1159.4999999999995</v>
      </c>
      <c r="CJ38" s="15">
        <f t="shared" si="45"/>
        <v>0</v>
      </c>
      <c r="CK38" s="75">
        <f>CJ38*(1-PARAM!$C$27)*$R$4+(MOD($B38/12,5)=0)*($B38&gt;60)*HLOOKUP($B38/12,Loyalty,2)*$F$1*MAX(CM37,0)</f>
        <v>0</v>
      </c>
      <c r="CL38" s="75">
        <f>PARAM!$C$26+MAX($P$4-CHOOSE(PARAM!$B$44,MAX(0,CM37*$F$1),0),0)*RATES!$L14/12+$Q$4*(PARAM!$D$51/12)*RATES!$N14/100</f>
        <v>7.0833333333333339</v>
      </c>
      <c r="CM38" s="16">
        <f>IF(CM37&gt;0,CM37*PARAM!$C$53,CM37)+CK38-CL38</f>
        <v>-1159.4999999999995</v>
      </c>
      <c r="CO38" s="176"/>
    </row>
    <row r="39" spans="1:93" x14ac:dyDescent="0.2">
      <c r="A39" t="b">
        <f t="shared" si="21"/>
        <v>0</v>
      </c>
      <c r="B39" s="33">
        <v>12</v>
      </c>
      <c r="C39" s="15">
        <f t="shared" si="46"/>
        <v>20.081305947392778</v>
      </c>
      <c r="D39" s="75">
        <f>C39*(1-PARAM!$C$27)*$I$3+(MOD($B39,60)=PARAM!$B$56)*($B39&gt;(60-PARAM!$B$56))*HLOOKUP(($B39+PARAM!$B$56)/12,Loyalty,2)*$F$1*MAX(F38,0)</f>
        <v>16.808053077967756</v>
      </c>
      <c r="E39" s="75">
        <f>PARAM!$C$26+MAX($G$3-CHOOSE(PARAM!$B$44,MAX(0,F38*$F$1),0),0)*RATES!$L15/12+$H$3*(PARAM!$D$51/12)*RATES!$N15/100</f>
        <v>7.0833333333333339</v>
      </c>
      <c r="F39" s="16">
        <f t="shared" si="22"/>
        <v>-1140.8591804147225</v>
      </c>
      <c r="G39" s="15">
        <f t="shared" si="23"/>
        <v>22.035289406060361</v>
      </c>
      <c r="H39" s="75">
        <f>G39*(1-PARAM!$C$27)*$I$4+(MOD($B39,60)=PARAM!$B$56)*($B39&gt;(60-PARAM!$B$56))*HLOOKUP(($B39+PARAM!$B$56)/12,Loyalty,2)*$F$1*MAX(J38,0)</f>
        <v>18.443537232872522</v>
      </c>
      <c r="I39" s="75">
        <f>PARAM!$C$26+MAX($G$4-CHOOSE(PARAM!$B$44,MAX(0,J38*$F$1),0),0)*RATES!$L15/12+$H$4*(PARAM!$D$51/12)*RATES!$N15/100</f>
        <v>7.0833333333333339</v>
      </c>
      <c r="J39" s="16">
        <f t="shared" si="24"/>
        <v>-1138.3561276041687</v>
      </c>
      <c r="K39" s="15">
        <f t="shared" si="25"/>
        <v>22.170849845882874</v>
      </c>
      <c r="L39" s="75">
        <f>K39*(1-PARAM!$C$27)*$I$5+(MOD($B39,60)=PARAM!$B$56)*($B39&gt;(60-PARAM!$B$56))*HLOOKUP(($B39+PARAM!$B$56)/12,Loyalty,2)*$F$1*MAX(N38,0)</f>
        <v>18.557001321003963</v>
      </c>
      <c r="M39" s="75">
        <f>PARAM!$C$26+MAX($G$5-CHOOSE(PARAM!$B$44,MAX(0,N38*$F$1),0),0)*RATES!$L15/12+$H$5*(PARAM!$D$51/12)*RATES!$N15/100</f>
        <v>7.0833333333333339</v>
      </c>
      <c r="N39" s="16">
        <f t="shared" si="26"/>
        <v>-1138.1824746807563</v>
      </c>
      <c r="O39" s="15">
        <f t="shared" si="27"/>
        <v>22.170849845882874</v>
      </c>
      <c r="P39" s="75">
        <f>O39*(1-PARAM!$C$27)*$I$6+(MOD($B39,60)=PARAM!$B$56)*($B39&gt;(60-PARAM!$B$56))*HLOOKUP(($B39+PARAM!$B$56)/12,Loyalty,2)*$F$1*MAX(R38,0)</f>
        <v>18.557001321003963</v>
      </c>
      <c r="Q39" s="75">
        <f>PARAM!$C$26+MAX($G$6-CHOOSE(PARAM!$B$44,MAX(0,R38*$F$1),0),0)*RATES!$L15/12+$H$6*(PARAM!$D$51/12)*RATES!$N15/100</f>
        <v>7.0833333333333339</v>
      </c>
      <c r="R39" s="16">
        <f t="shared" si="28"/>
        <v>-1138.1824746807563</v>
      </c>
      <c r="S39" s="15">
        <f t="shared" si="4"/>
        <v>22.170849845882874</v>
      </c>
      <c r="T39" s="75">
        <f>S39*(1-PARAM!$C$27)*$I$7+(MOD($B39,60)=PARAM!$B$56)*($B39&gt;(60-PARAM!$B$56))*HLOOKUP(($B39+PARAM!$B$56)/12,Loyalty,2)*$F$1*MAX(V38,0)</f>
        <v>18.557001321003963</v>
      </c>
      <c r="U39" s="75">
        <f>PARAM!$C$26+MAX($G$7-CHOOSE(PARAM!$B$44,MAX(0,V38*$F$1),0),0)*RATES!$L15/12+$H$7*(PARAM!$D$51/12)*RATES!$N15/100</f>
        <v>7.0833333333333339</v>
      </c>
      <c r="V39" s="16">
        <f t="shared" si="29"/>
        <v>-1138.1824746807563</v>
      </c>
      <c r="W39" s="15">
        <f t="shared" si="5"/>
        <v>22.170849845882874</v>
      </c>
      <c r="X39" s="75">
        <f>W39*(1-PARAM!$C$27)*$I$8+(MOD($B39,60)=PARAM!$B$56)*($B39&gt;(60-PARAM!$B$56))*HLOOKUP(($B39+PARAM!$B$56)/12,Loyalty,2)*$F$1*MAX(Z38,0)</f>
        <v>18.557001321003963</v>
      </c>
      <c r="Y39" s="75">
        <f>PARAM!$C$26+MAX($G$8-CHOOSE(PARAM!$B$44,MAX(0,Z38*$F$1),0),0)*RATES!$L15/12+$H$8*(PARAM!$D$51/12)*RATES!$N15/100</f>
        <v>7.0833333333333339</v>
      </c>
      <c r="Z39" s="16">
        <f t="shared" si="30"/>
        <v>-1138.1824746807563</v>
      </c>
      <c r="AA39" s="15">
        <f t="shared" si="6"/>
        <v>22.170849845882874</v>
      </c>
      <c r="AB39" s="75">
        <f>AA39*(1-PARAM!$C$27)*$I$9+(MOD($B39,60)=PARAM!$B$56)*($B39&gt;(60-PARAM!$B$56))*HLOOKUP(($B39+PARAM!$B$56)/12,Loyalty,2)*$F$1*MAX(AD38,0)</f>
        <v>18.557001321003963</v>
      </c>
      <c r="AC39" s="75">
        <f>PARAM!$C$26+MAX($G$9-CHOOSE(PARAM!$B$44,MAX(0,AD38*$F$1),0),0)*RATES!$L15/12+$H$9*(PARAM!$D$51/12)*RATES!$N15/100</f>
        <v>7.0833333333333339</v>
      </c>
      <c r="AD39" s="16">
        <f t="shared" si="31"/>
        <v>-1138.1824746807563</v>
      </c>
      <c r="AE39" s="15">
        <f t="shared" si="7"/>
        <v>22.170849845882874</v>
      </c>
      <c r="AF39" s="75">
        <f>AE39*(1-PARAM!$C$27)*$I$10+(MOD($B39,60)=PARAM!$B$56)*($B39&gt;(60-PARAM!$B$56))*HLOOKUP(($B39+PARAM!$B$56)/12,Loyalty,2)*$F$1*MAX(AH38,0)</f>
        <v>18.557001321003963</v>
      </c>
      <c r="AG39" s="75">
        <f>PARAM!$C$26+MAX($G$10-CHOOSE(PARAM!$B$44,MAX(0,AH38*$F$1),0),0)*RATES!$L15/12+$H$10*(PARAM!$D$51/12)*RATES!$N15/100</f>
        <v>7.0833333333333339</v>
      </c>
      <c r="AH39" s="16">
        <f t="shared" si="32"/>
        <v>-1138.1824746807563</v>
      </c>
      <c r="AI39" s="15">
        <f t="shared" si="8"/>
        <v>22.170849845882874</v>
      </c>
      <c r="AJ39" s="75">
        <f>AI39*(1-PARAM!$C$27)*$I$11+(MOD($B39,60)=PARAM!$B$56)*($B39&gt;(60-PARAM!$B$56))*HLOOKUP(($B39+PARAM!$B$56)/12,Loyalty,2)*$F$1*MAX(AL38,0)</f>
        <v>18.557001321003963</v>
      </c>
      <c r="AK39" s="75">
        <f>PARAM!$C$26+MAX($G$11-CHOOSE(PARAM!$B$44,MAX(0,AL38*$F$1),0),0)*RATES!$L15/12+$H$11*(PARAM!$D$51/12)*RATES!$N15/100</f>
        <v>7.0833333333333339</v>
      </c>
      <c r="AL39" s="16">
        <f t="shared" si="33"/>
        <v>-1138.1824746807563</v>
      </c>
      <c r="AM39" s="15">
        <f t="shared" si="9"/>
        <v>22.170849845882874</v>
      </c>
      <c r="AN39" s="75">
        <f>AM39*(1-PARAM!$C$27)*$I$12+(MOD($B39,60)=PARAM!$B$56)*($B39&gt;(60-PARAM!$B$56))*HLOOKUP(($B39+PARAM!$B$56)/12,Loyalty,2)*$F$1*MAX(AP38,0)</f>
        <v>18.557001321003963</v>
      </c>
      <c r="AO39" s="75">
        <f>PARAM!$C$26+MAX($G$12-CHOOSE(PARAM!$B$44,MAX(0,AP38*$F$1),0),0)*RATES!$L15/12+$H$12*(PARAM!$D$51/12)*RATES!$N15/100</f>
        <v>7.0833333333333339</v>
      </c>
      <c r="AP39" s="16">
        <f t="shared" si="34"/>
        <v>-1138.1824746807563</v>
      </c>
      <c r="AQ39" s="15">
        <f t="shared" si="10"/>
        <v>22.170849845882874</v>
      </c>
      <c r="AR39" s="75">
        <f>AQ39*(1-PARAM!$C$27)*$I$13+(MOD($B39,60)=PARAM!$B$56)*($B39&gt;(60-PARAM!$B$56))*HLOOKUP(($B39+PARAM!$B$56)/12,Loyalty,2)*$F$1*MAX(AT38,0)</f>
        <v>18.557001321003963</v>
      </c>
      <c r="AS39" s="75">
        <f>PARAM!$C$26+MAX($G$13-CHOOSE(PARAM!$B$44,MAX(0,AT38*$F$1),0),0)*RATES!$L15/12+$H$13*(PARAM!$D$51/12)*RATES!$N15/100</f>
        <v>7.0833333333333339</v>
      </c>
      <c r="AT39" s="16">
        <f t="shared" si="35"/>
        <v>-1138.1824746807563</v>
      </c>
      <c r="AU39" s="15">
        <f t="shared" si="11"/>
        <v>22.170849845882874</v>
      </c>
      <c r="AV39" s="75">
        <f>AU39*(1-PARAM!$C$27)*$I$14+(MOD($B39,60)=PARAM!$B$56)*($B39&gt;(60-PARAM!$B$56))*HLOOKUP(($B39+PARAM!$B$56)/12,Loyalty,2)*$F$1*MAX(AX38,0)</f>
        <v>18.557001321003963</v>
      </c>
      <c r="AW39" s="75">
        <f>PARAM!$C$26+MAX($G$14-CHOOSE(PARAM!$B$44,MAX(0,AX38*$F$1),0),0)*RATES!$L15/12+$H$14*(PARAM!$D$51/12)*RATES!$N15/100</f>
        <v>7.0833333333333339</v>
      </c>
      <c r="AX39" s="16">
        <f t="shared" si="36"/>
        <v>-1138.1824746807563</v>
      </c>
      <c r="AY39" s="15">
        <f t="shared" si="12"/>
        <v>22.170849845882874</v>
      </c>
      <c r="AZ39" s="75">
        <f>AY39*(1-PARAM!$C$27)*$I$15+(MOD($B39,60)=PARAM!$B$56)*($B39&gt;(60-PARAM!$B$56))*HLOOKUP(($B39+PARAM!$B$56)/12,Loyalty,2)*$F$1*MAX(BB38,0)</f>
        <v>18.557001321003963</v>
      </c>
      <c r="BA39" s="75">
        <f>PARAM!$C$26+MAX($G$15-CHOOSE(PARAM!$B$44,MAX(0,BB38*$F$1),0),0)*RATES!$L15/12+$H$15*(PARAM!$D$51/12)*RATES!$N15/100</f>
        <v>7.0833333333333339</v>
      </c>
      <c r="BB39" s="16">
        <f t="shared" si="37"/>
        <v>-1138.1824746807563</v>
      </c>
      <c r="BC39" s="15">
        <f t="shared" si="13"/>
        <v>22.170849845882874</v>
      </c>
      <c r="BD39" s="75">
        <f>BC39*(1-PARAM!$C$27)*$I$16+(MOD($B39,60)=PARAM!$B$56)*($B39&gt;(60-PARAM!$B$56))*HLOOKUP(($B39+PARAM!$B$56)/12,Loyalty,2)*$F$1*MAX(BF38,0)</f>
        <v>18.557001321003963</v>
      </c>
      <c r="BE39" s="75">
        <f>PARAM!$C$26+MAX($G$16-CHOOSE(PARAM!$B$44,MAX(0,BF38*$F$1),0),0)*RATES!$L15/12+$H$16*(PARAM!$D$51/12)*RATES!$N15/100</f>
        <v>7.0833333333333339</v>
      </c>
      <c r="BF39" s="16">
        <f t="shared" si="38"/>
        <v>-1138.1824746807563</v>
      </c>
      <c r="BG39" s="15">
        <f t="shared" si="14"/>
        <v>22.170849845882874</v>
      </c>
      <c r="BH39" s="75">
        <f>BG39*(1-PARAM!$C$27)*$I$17+(MOD($B39,60)=PARAM!$B$56)*($B39&gt;(60-PARAM!$B$56))*HLOOKUP(($B39+PARAM!$B$56)/12,Loyalty,2)*$F$1*MAX(BJ38,0)</f>
        <v>18.557001321003963</v>
      </c>
      <c r="BI39" s="75">
        <f>PARAM!$C$26+MAX($G$17-CHOOSE(PARAM!$B$44,MAX(0,BJ38*$F$1),0),0)*RATES!$L15/12+$H$17*(PARAM!$D$51/12)*RATES!$N15/100</f>
        <v>7.0833333333333339</v>
      </c>
      <c r="BJ39" s="16">
        <f t="shared" si="39"/>
        <v>-1138.1824746807563</v>
      </c>
      <c r="BK39" s="15">
        <f t="shared" si="15"/>
        <v>22.170849845882874</v>
      </c>
      <c r="BL39" s="75">
        <f>BK39*(1-PARAM!$C$27)*$I$18+(MOD($B39,60)=PARAM!$B$56)*($B39&gt;(60-PARAM!$B$56))*HLOOKUP(($B39+PARAM!$B$56)/12,Loyalty,2)*$F$1*MAX(BN38,0)</f>
        <v>18.557001321003963</v>
      </c>
      <c r="BM39" s="75">
        <f>PARAM!$C$26+MAX($G$18-CHOOSE(PARAM!$B$44,MAX(0,BN38*$F$1),0),0)*RATES!$L15/12+$H$18*(PARAM!$D$51/12)*RATES!$N15/100</f>
        <v>7.0833333333333339</v>
      </c>
      <c r="BN39" s="16">
        <f t="shared" si="40"/>
        <v>-1138.1824746807563</v>
      </c>
      <c r="BO39" s="15">
        <f t="shared" si="16"/>
        <v>22.170849845882874</v>
      </c>
      <c r="BP39" s="75">
        <f>BO39*(1-PARAM!$C$27)*$I$19+(MOD($B39,60)=PARAM!$B$56)*($B39&gt;(60-PARAM!$B$56))*HLOOKUP(($B39+PARAM!$B$56)/12,Loyalty,2)*$F$1*MAX(BR38,0)</f>
        <v>18.557001321003963</v>
      </c>
      <c r="BQ39" s="75">
        <f>PARAM!$C$26+MAX($G$19-CHOOSE(PARAM!$B$44,MAX(0,BR38*$F$1),0),0)*RATES!$L15/12+$H$19*(PARAM!$D$51/12)*RATES!$N15/100</f>
        <v>7.0833333333333339</v>
      </c>
      <c r="BR39" s="16">
        <f t="shared" si="41"/>
        <v>-1138.1824746807563</v>
      </c>
      <c r="BS39" s="15">
        <f t="shared" si="17"/>
        <v>22.170849845882874</v>
      </c>
      <c r="BT39" s="75">
        <f>BS39*(1-PARAM!$C$27)*$I$20+(MOD($B39,60)=PARAM!$B$56)*($B39&gt;(60-PARAM!$B$56))*HLOOKUP(($B39+PARAM!$B$56)/12,Loyalty,2)*$F$1*MAX(BV38,0)</f>
        <v>18.557001321003963</v>
      </c>
      <c r="BU39" s="75">
        <f>PARAM!$C$26+MAX($G$20-CHOOSE(PARAM!$B$44,MAX(0,BV38*$F$1),0),0)*RATES!$L15/12+$H$20*(PARAM!$D$51/12)*RATES!$N15/100</f>
        <v>7.0833333333333339</v>
      </c>
      <c r="BV39" s="16">
        <f t="shared" si="42"/>
        <v>-1138.1824746807563</v>
      </c>
      <c r="BW39" s="15">
        <f t="shared" si="18"/>
        <v>22.170849845882874</v>
      </c>
      <c r="BX39" s="75">
        <f>BW39*(1-PARAM!$C$27)*$I$21+(MOD($B39,60)=PARAM!$B$56)*($B39&gt;(60-PARAM!$B$56))*HLOOKUP(($B39+PARAM!$B$56)/12,Loyalty,2)*$F$1*MAX(BZ38,0)</f>
        <v>18.557001321003963</v>
      </c>
      <c r="BY39" s="75">
        <f>PARAM!$C$26+MAX($G$21-CHOOSE(PARAM!$B$44,MAX(0,BZ38*$F$1),0),0)*RATES!$L15/12+$H$21*(PARAM!$D$51/12)*RATES!$N15/100</f>
        <v>7.0833333333333339</v>
      </c>
      <c r="BZ39" s="16">
        <f t="shared" si="43"/>
        <v>-1138.1824746807563</v>
      </c>
      <c r="CA39" s="15">
        <f t="shared" si="19"/>
        <v>22.170849845882874</v>
      </c>
      <c r="CB39" s="75">
        <f>CA39*(1-PARAM!$C$27)*$I$22+(MOD($B39,60)=PARAM!$B$56)*($B39&gt;(60-PARAM!$B$56))*HLOOKUP(($B39+PARAM!$B$56)/12,Loyalty,2)*$F$1*MAX(CD38,0)</f>
        <v>18.557001321003963</v>
      </c>
      <c r="CC39" s="75">
        <f>PARAM!$C$26+MAX($G$22-CHOOSE(PARAM!$B$44,MAX(0,CD38*$F$1),0),0)*RATES!$L15/12+$H$22*(PARAM!$D$51/12)*RATES!$N15/100</f>
        <v>7.0833333333333339</v>
      </c>
      <c r="CD39" s="16">
        <f t="shared" si="44"/>
        <v>-1138.1824746807563</v>
      </c>
      <c r="CE39" s="33">
        <f>IF(0=MOD(B39,12/PARAM!$D$51),1,0)</f>
        <v>1</v>
      </c>
      <c r="CF39" s="15">
        <f t="shared" si="20"/>
        <v>0</v>
      </c>
      <c r="CG39" s="75">
        <f>CF39*(1-PARAM!$C$27)*$R$3+(MOD($B39/12,5)=0)*($B39&gt;60)*HLOOKUP($B39/12,Loyalty,2)*$F$1*MAX(CI38,0)</f>
        <v>0</v>
      </c>
      <c r="CH39" s="75">
        <f>PARAM!$C$26+MAX($P$3-CHOOSE(PARAM!$B$44,MAX(0,CI38*$F$1),0),0)*RATES!$L15/12+$Q$3*(PARAM!$D$51/12)*RATES!$N15/100</f>
        <v>7.0833333333333339</v>
      </c>
      <c r="CI39" s="16">
        <f>IF(CI38&gt;0,CI38*PARAM!$C$53,CI38)+CG39-CH39</f>
        <v>-1166.5833333333328</v>
      </c>
      <c r="CJ39" s="15">
        <f t="shared" si="45"/>
        <v>0</v>
      </c>
      <c r="CK39" s="75">
        <f>CJ39*(1-PARAM!$C$27)*$R$4+(MOD($B39/12,5)=0)*($B39&gt;60)*HLOOKUP($B39/12,Loyalty,2)*$F$1*MAX(CM38,0)</f>
        <v>0</v>
      </c>
      <c r="CL39" s="75">
        <f>PARAM!$C$26+MAX($P$4-CHOOSE(PARAM!$B$44,MAX(0,CM38*$F$1),0),0)*RATES!$L15/12+$Q$4*(PARAM!$D$51/12)*RATES!$N15/100</f>
        <v>7.0833333333333339</v>
      </c>
      <c r="CM39" s="16">
        <f>IF(CM38&gt;0,CM38*PARAM!$C$53,CM38)+CK39-CL39</f>
        <v>-1166.5833333333328</v>
      </c>
      <c r="CO39" s="176"/>
    </row>
    <row r="40" spans="1:93" x14ac:dyDescent="0.2">
      <c r="A40" t="b">
        <f t="shared" si="21"/>
        <v>0</v>
      </c>
      <c r="B40" s="33">
        <v>13</v>
      </c>
      <c r="C40" s="15">
        <f t="shared" si="46"/>
        <v>20.081305947392778</v>
      </c>
      <c r="D40" s="75">
        <f>C40*(1-PARAM!$C$27)*$I$3+(MOD($B40,60)=PARAM!$B$56)*($B40&gt;(60-PARAM!$B$56))*HLOOKUP(($B40+PARAM!$B$56)/12,Loyalty,2)*$F$1*MAX(F39,0)</f>
        <v>16.808053077967756</v>
      </c>
      <c r="E40" s="75">
        <f>PARAM!$C$26+MAX($G$3-CHOOSE(PARAM!$B$44,MAX(0,F39*$F$1),0),0)*RATES!$L16/12+$H$3*(PARAM!$D$51/12)*RATES!$N16/100</f>
        <v>7.0833333333333339</v>
      </c>
      <c r="F40" s="16">
        <f t="shared" si="22"/>
        <v>-1131.1344606700879</v>
      </c>
      <c r="G40" s="15">
        <f t="shared" si="23"/>
        <v>22.035289406060361</v>
      </c>
      <c r="H40" s="75">
        <f>G40*(1-PARAM!$C$27)*$I$4+(MOD($B40,60)=PARAM!$B$56)*($B40&gt;(60-PARAM!$B$56))*HLOOKUP(($B40+PARAM!$B$56)/12,Loyalty,2)*$F$1*MAX(J39,0)</f>
        <v>18.443537232872522</v>
      </c>
      <c r="I40" s="75">
        <f>PARAM!$C$26+MAX($G$4-CHOOSE(PARAM!$B$44,MAX(0,J39*$F$1),0),0)*RATES!$L16/12+$H$4*(PARAM!$D$51/12)*RATES!$N16/100</f>
        <v>7.0833333333333339</v>
      </c>
      <c r="J40" s="16">
        <f t="shared" si="24"/>
        <v>-1126.9959237046294</v>
      </c>
      <c r="K40" s="15">
        <f t="shared" si="25"/>
        <v>22.170849845882874</v>
      </c>
      <c r="L40" s="75">
        <f>K40*(1-PARAM!$C$27)*$I$5+(MOD($B40,60)=PARAM!$B$56)*($B40&gt;(60-PARAM!$B$56))*HLOOKUP(($B40+PARAM!$B$56)/12,Loyalty,2)*$F$1*MAX(N39,0)</f>
        <v>18.557001321003963</v>
      </c>
      <c r="M40" s="75">
        <f>PARAM!$C$26+MAX($G$5-CHOOSE(PARAM!$B$44,MAX(0,N39*$F$1),0),0)*RATES!$L16/12+$H$5*(PARAM!$D$51/12)*RATES!$N16/100</f>
        <v>7.0833333333333339</v>
      </c>
      <c r="N40" s="16">
        <f t="shared" si="26"/>
        <v>-1126.7088066930855</v>
      </c>
      <c r="O40" s="15">
        <f t="shared" si="27"/>
        <v>22.170849845882874</v>
      </c>
      <c r="P40" s="75">
        <f>O40*(1-PARAM!$C$27)*$I$6+(MOD($B40,60)=PARAM!$B$56)*($B40&gt;(60-PARAM!$B$56))*HLOOKUP(($B40+PARAM!$B$56)/12,Loyalty,2)*$F$1*MAX(R39,0)</f>
        <v>18.557001321003963</v>
      </c>
      <c r="Q40" s="75">
        <f>PARAM!$C$26+MAX($G$6-CHOOSE(PARAM!$B$44,MAX(0,R39*$F$1),0),0)*RATES!$L16/12+$H$6*(PARAM!$D$51/12)*RATES!$N16/100</f>
        <v>7.0833333333333339</v>
      </c>
      <c r="R40" s="16">
        <f t="shared" si="28"/>
        <v>-1126.7088066930855</v>
      </c>
      <c r="S40" s="15">
        <f t="shared" si="4"/>
        <v>22.170849845882874</v>
      </c>
      <c r="T40" s="75">
        <f>S40*(1-PARAM!$C$27)*$I$7+(MOD($B40,60)=PARAM!$B$56)*($B40&gt;(60-PARAM!$B$56))*HLOOKUP(($B40+PARAM!$B$56)/12,Loyalty,2)*$F$1*MAX(V39,0)</f>
        <v>18.557001321003963</v>
      </c>
      <c r="U40" s="75">
        <f>PARAM!$C$26+MAX($G$7-CHOOSE(PARAM!$B$44,MAX(0,V39*$F$1),0),0)*RATES!$L16/12+$H$7*(PARAM!$D$51/12)*RATES!$N16/100</f>
        <v>7.0833333333333339</v>
      </c>
      <c r="V40" s="16">
        <f t="shared" si="29"/>
        <v>-1126.7088066930855</v>
      </c>
      <c r="W40" s="15">
        <f t="shared" si="5"/>
        <v>22.170849845882874</v>
      </c>
      <c r="X40" s="75">
        <f>W40*(1-PARAM!$C$27)*$I$8+(MOD($B40,60)=PARAM!$B$56)*($B40&gt;(60-PARAM!$B$56))*HLOOKUP(($B40+PARAM!$B$56)/12,Loyalty,2)*$F$1*MAX(Z39,0)</f>
        <v>18.557001321003963</v>
      </c>
      <c r="Y40" s="75">
        <f>PARAM!$C$26+MAX($G$8-CHOOSE(PARAM!$B$44,MAX(0,Z39*$F$1),0),0)*RATES!$L16/12+$H$8*(PARAM!$D$51/12)*RATES!$N16/100</f>
        <v>7.0833333333333339</v>
      </c>
      <c r="Z40" s="16">
        <f t="shared" si="30"/>
        <v>-1126.7088066930855</v>
      </c>
      <c r="AA40" s="15">
        <f t="shared" si="6"/>
        <v>22.170849845882874</v>
      </c>
      <c r="AB40" s="75">
        <f>AA40*(1-PARAM!$C$27)*$I$9+(MOD($B40,60)=PARAM!$B$56)*($B40&gt;(60-PARAM!$B$56))*HLOOKUP(($B40+PARAM!$B$56)/12,Loyalty,2)*$F$1*MAX(AD39,0)</f>
        <v>18.557001321003963</v>
      </c>
      <c r="AC40" s="75">
        <f>PARAM!$C$26+MAX($G$9-CHOOSE(PARAM!$B$44,MAX(0,AD39*$F$1),0),0)*RATES!$L16/12+$H$9*(PARAM!$D$51/12)*RATES!$N16/100</f>
        <v>7.0833333333333339</v>
      </c>
      <c r="AD40" s="16">
        <f t="shared" si="31"/>
        <v>-1126.7088066930855</v>
      </c>
      <c r="AE40" s="15">
        <f t="shared" si="7"/>
        <v>22.170849845882874</v>
      </c>
      <c r="AF40" s="75">
        <f>AE40*(1-PARAM!$C$27)*$I$10+(MOD($B40,60)=PARAM!$B$56)*($B40&gt;(60-PARAM!$B$56))*HLOOKUP(($B40+PARAM!$B$56)/12,Loyalty,2)*$F$1*MAX(AH39,0)</f>
        <v>18.557001321003963</v>
      </c>
      <c r="AG40" s="75">
        <f>PARAM!$C$26+MAX($G$10-CHOOSE(PARAM!$B$44,MAX(0,AH39*$F$1),0),0)*RATES!$L16/12+$H$10*(PARAM!$D$51/12)*RATES!$N16/100</f>
        <v>7.0833333333333339</v>
      </c>
      <c r="AH40" s="16">
        <f t="shared" si="32"/>
        <v>-1126.7088066930855</v>
      </c>
      <c r="AI40" s="15">
        <f t="shared" si="8"/>
        <v>22.170849845882874</v>
      </c>
      <c r="AJ40" s="75">
        <f>AI40*(1-PARAM!$C$27)*$I$11+(MOD($B40,60)=PARAM!$B$56)*($B40&gt;(60-PARAM!$B$56))*HLOOKUP(($B40+PARAM!$B$56)/12,Loyalty,2)*$F$1*MAX(AL39,0)</f>
        <v>18.557001321003963</v>
      </c>
      <c r="AK40" s="75">
        <f>PARAM!$C$26+MAX($G$11-CHOOSE(PARAM!$B$44,MAX(0,AL39*$F$1),0),0)*RATES!$L16/12+$H$11*(PARAM!$D$51/12)*RATES!$N16/100</f>
        <v>7.0833333333333339</v>
      </c>
      <c r="AL40" s="16">
        <f t="shared" si="33"/>
        <v>-1126.7088066930855</v>
      </c>
      <c r="AM40" s="15">
        <f t="shared" si="9"/>
        <v>22.170849845882874</v>
      </c>
      <c r="AN40" s="75">
        <f>AM40*(1-PARAM!$C$27)*$I$12+(MOD($B40,60)=PARAM!$B$56)*($B40&gt;(60-PARAM!$B$56))*HLOOKUP(($B40+PARAM!$B$56)/12,Loyalty,2)*$F$1*MAX(AP39,0)</f>
        <v>18.557001321003963</v>
      </c>
      <c r="AO40" s="75">
        <f>PARAM!$C$26+MAX($G$12-CHOOSE(PARAM!$B$44,MAX(0,AP39*$F$1),0),0)*RATES!$L16/12+$H$12*(PARAM!$D$51/12)*RATES!$N16/100</f>
        <v>7.0833333333333339</v>
      </c>
      <c r="AP40" s="16">
        <f t="shared" si="34"/>
        <v>-1126.7088066930855</v>
      </c>
      <c r="AQ40" s="15">
        <f t="shared" si="10"/>
        <v>22.170849845882874</v>
      </c>
      <c r="AR40" s="75">
        <f>AQ40*(1-PARAM!$C$27)*$I$13+(MOD($B40,60)=PARAM!$B$56)*($B40&gt;(60-PARAM!$B$56))*HLOOKUP(($B40+PARAM!$B$56)/12,Loyalty,2)*$F$1*MAX(AT39,0)</f>
        <v>18.557001321003963</v>
      </c>
      <c r="AS40" s="75">
        <f>PARAM!$C$26+MAX($G$13-CHOOSE(PARAM!$B$44,MAX(0,AT39*$F$1),0),0)*RATES!$L16/12+$H$13*(PARAM!$D$51/12)*RATES!$N16/100</f>
        <v>7.0833333333333339</v>
      </c>
      <c r="AT40" s="16">
        <f t="shared" si="35"/>
        <v>-1126.7088066930855</v>
      </c>
      <c r="AU40" s="15">
        <f t="shared" si="11"/>
        <v>22.170849845882874</v>
      </c>
      <c r="AV40" s="75">
        <f>AU40*(1-PARAM!$C$27)*$I$14+(MOD($B40,60)=PARAM!$B$56)*($B40&gt;(60-PARAM!$B$56))*HLOOKUP(($B40+PARAM!$B$56)/12,Loyalty,2)*$F$1*MAX(AX39,0)</f>
        <v>18.557001321003963</v>
      </c>
      <c r="AW40" s="75">
        <f>PARAM!$C$26+MAX($G$14-CHOOSE(PARAM!$B$44,MAX(0,AX39*$F$1),0),0)*RATES!$L16/12+$H$14*(PARAM!$D$51/12)*RATES!$N16/100</f>
        <v>7.0833333333333339</v>
      </c>
      <c r="AX40" s="16">
        <f t="shared" si="36"/>
        <v>-1126.7088066930855</v>
      </c>
      <c r="AY40" s="15">
        <f t="shared" si="12"/>
        <v>22.170849845882874</v>
      </c>
      <c r="AZ40" s="75">
        <f>AY40*(1-PARAM!$C$27)*$I$15+(MOD($B40,60)=PARAM!$B$56)*($B40&gt;(60-PARAM!$B$56))*HLOOKUP(($B40+PARAM!$B$56)/12,Loyalty,2)*$F$1*MAX(BB39,0)</f>
        <v>18.557001321003963</v>
      </c>
      <c r="BA40" s="75">
        <f>PARAM!$C$26+MAX($G$15-CHOOSE(PARAM!$B$44,MAX(0,BB39*$F$1),0),0)*RATES!$L16/12+$H$15*(PARAM!$D$51/12)*RATES!$N16/100</f>
        <v>7.0833333333333339</v>
      </c>
      <c r="BB40" s="16">
        <f t="shared" si="37"/>
        <v>-1126.7088066930855</v>
      </c>
      <c r="BC40" s="15">
        <f t="shared" si="13"/>
        <v>22.170849845882874</v>
      </c>
      <c r="BD40" s="75">
        <f>BC40*(1-PARAM!$C$27)*$I$16+(MOD($B40,60)=PARAM!$B$56)*($B40&gt;(60-PARAM!$B$56))*HLOOKUP(($B40+PARAM!$B$56)/12,Loyalty,2)*$F$1*MAX(BF39,0)</f>
        <v>18.557001321003963</v>
      </c>
      <c r="BE40" s="75">
        <f>PARAM!$C$26+MAX($G$16-CHOOSE(PARAM!$B$44,MAX(0,BF39*$F$1),0),0)*RATES!$L16/12+$H$16*(PARAM!$D$51/12)*RATES!$N16/100</f>
        <v>7.0833333333333339</v>
      </c>
      <c r="BF40" s="16">
        <f t="shared" si="38"/>
        <v>-1126.7088066930855</v>
      </c>
      <c r="BG40" s="15">
        <f t="shared" si="14"/>
        <v>22.170849845882874</v>
      </c>
      <c r="BH40" s="75">
        <f>BG40*(1-PARAM!$C$27)*$I$17+(MOD($B40,60)=PARAM!$B$56)*($B40&gt;(60-PARAM!$B$56))*HLOOKUP(($B40+PARAM!$B$56)/12,Loyalty,2)*$F$1*MAX(BJ39,0)</f>
        <v>18.557001321003963</v>
      </c>
      <c r="BI40" s="75">
        <f>PARAM!$C$26+MAX($G$17-CHOOSE(PARAM!$B$44,MAX(0,BJ39*$F$1),0),0)*RATES!$L16/12+$H$17*(PARAM!$D$51/12)*RATES!$N16/100</f>
        <v>7.0833333333333339</v>
      </c>
      <c r="BJ40" s="16">
        <f t="shared" si="39"/>
        <v>-1126.7088066930855</v>
      </c>
      <c r="BK40" s="15">
        <f t="shared" si="15"/>
        <v>22.170849845882874</v>
      </c>
      <c r="BL40" s="75">
        <f>BK40*(1-PARAM!$C$27)*$I$18+(MOD($B40,60)=PARAM!$B$56)*($B40&gt;(60-PARAM!$B$56))*HLOOKUP(($B40+PARAM!$B$56)/12,Loyalty,2)*$F$1*MAX(BN39,0)</f>
        <v>18.557001321003963</v>
      </c>
      <c r="BM40" s="75">
        <f>PARAM!$C$26+MAX($G$18-CHOOSE(PARAM!$B$44,MAX(0,BN39*$F$1),0),0)*RATES!$L16/12+$H$18*(PARAM!$D$51/12)*RATES!$N16/100</f>
        <v>7.0833333333333339</v>
      </c>
      <c r="BN40" s="16">
        <f t="shared" si="40"/>
        <v>-1126.7088066930855</v>
      </c>
      <c r="BO40" s="15">
        <f t="shared" si="16"/>
        <v>22.170849845882874</v>
      </c>
      <c r="BP40" s="75">
        <f>BO40*(1-PARAM!$C$27)*$I$19+(MOD($B40,60)=PARAM!$B$56)*($B40&gt;(60-PARAM!$B$56))*HLOOKUP(($B40+PARAM!$B$56)/12,Loyalty,2)*$F$1*MAX(BR39,0)</f>
        <v>18.557001321003963</v>
      </c>
      <c r="BQ40" s="75">
        <f>PARAM!$C$26+MAX($G$19-CHOOSE(PARAM!$B$44,MAX(0,BR39*$F$1),0),0)*RATES!$L16/12+$H$19*(PARAM!$D$51/12)*RATES!$N16/100</f>
        <v>7.0833333333333339</v>
      </c>
      <c r="BR40" s="16">
        <f t="shared" si="41"/>
        <v>-1126.7088066930855</v>
      </c>
      <c r="BS40" s="15">
        <f t="shared" si="17"/>
        <v>22.170849845882874</v>
      </c>
      <c r="BT40" s="75">
        <f>BS40*(1-PARAM!$C$27)*$I$20+(MOD($B40,60)=PARAM!$B$56)*($B40&gt;(60-PARAM!$B$56))*HLOOKUP(($B40+PARAM!$B$56)/12,Loyalty,2)*$F$1*MAX(BV39,0)</f>
        <v>18.557001321003963</v>
      </c>
      <c r="BU40" s="75">
        <f>PARAM!$C$26+MAX($G$20-CHOOSE(PARAM!$B$44,MAX(0,BV39*$F$1),0),0)*RATES!$L16/12+$H$20*(PARAM!$D$51/12)*RATES!$N16/100</f>
        <v>7.0833333333333339</v>
      </c>
      <c r="BV40" s="16">
        <f t="shared" si="42"/>
        <v>-1126.7088066930855</v>
      </c>
      <c r="BW40" s="15">
        <f t="shared" si="18"/>
        <v>22.170849845882874</v>
      </c>
      <c r="BX40" s="75">
        <f>BW40*(1-PARAM!$C$27)*$I$21+(MOD($B40,60)=PARAM!$B$56)*($B40&gt;(60-PARAM!$B$56))*HLOOKUP(($B40+PARAM!$B$56)/12,Loyalty,2)*$F$1*MAX(BZ39,0)</f>
        <v>18.557001321003963</v>
      </c>
      <c r="BY40" s="75">
        <f>PARAM!$C$26+MAX($G$21-CHOOSE(PARAM!$B$44,MAX(0,BZ39*$F$1),0),0)*RATES!$L16/12+$H$21*(PARAM!$D$51/12)*RATES!$N16/100</f>
        <v>7.0833333333333339</v>
      </c>
      <c r="BZ40" s="16">
        <f t="shared" si="43"/>
        <v>-1126.7088066930855</v>
      </c>
      <c r="CA40" s="15">
        <f t="shared" si="19"/>
        <v>22.170849845882874</v>
      </c>
      <c r="CB40" s="75">
        <f>CA40*(1-PARAM!$C$27)*$I$22+(MOD($B40,60)=PARAM!$B$56)*($B40&gt;(60-PARAM!$B$56))*HLOOKUP(($B40+PARAM!$B$56)/12,Loyalty,2)*$F$1*MAX(CD39,0)</f>
        <v>18.557001321003963</v>
      </c>
      <c r="CC40" s="75">
        <f>PARAM!$C$26+MAX($G$22-CHOOSE(PARAM!$B$44,MAX(0,CD39*$F$1),0),0)*RATES!$L16/12+$H$22*(PARAM!$D$51/12)*RATES!$N16/100</f>
        <v>7.0833333333333339</v>
      </c>
      <c r="CD40" s="16">
        <f t="shared" si="44"/>
        <v>-1126.7088066930855</v>
      </c>
      <c r="CE40" s="33">
        <f>IF(0=MOD(B40,12/PARAM!$D$51),1,0)</f>
        <v>1</v>
      </c>
      <c r="CF40" s="15">
        <f t="shared" si="20"/>
        <v>0</v>
      </c>
      <c r="CG40" s="75">
        <f>CF40*(1-PARAM!$C$27)*$R$3+(MOD($B40/12,5)=0)*($B40&gt;60)*HLOOKUP($B40/12,Loyalty,2)*$F$1*MAX(CI39,0)</f>
        <v>0</v>
      </c>
      <c r="CH40" s="75">
        <f>PARAM!$C$26+MAX($P$3-CHOOSE(PARAM!$B$44,MAX(0,CI39*$F$1),0),0)*RATES!$L16/12+$Q$3*(PARAM!$D$51/12)*RATES!$N16/100</f>
        <v>7.0833333333333339</v>
      </c>
      <c r="CI40" s="16">
        <f>IF(CI39&gt;0,CI39*PARAM!$C$53,CI39)+CG40-CH40</f>
        <v>-1173.6666666666661</v>
      </c>
      <c r="CJ40" s="15">
        <f t="shared" si="45"/>
        <v>0</v>
      </c>
      <c r="CK40" s="75">
        <f>CJ40*(1-PARAM!$C$27)*$R$4+(MOD($B40/12,5)=0)*($B40&gt;60)*HLOOKUP($B40/12,Loyalty,2)*$F$1*MAX(CM39,0)</f>
        <v>0</v>
      </c>
      <c r="CL40" s="75">
        <f>PARAM!$C$26+MAX($P$4-CHOOSE(PARAM!$B$44,MAX(0,CM39*$F$1),0),0)*RATES!$L16/12+$Q$4*(PARAM!$D$51/12)*RATES!$N16/100</f>
        <v>7.0833333333333339</v>
      </c>
      <c r="CM40" s="16">
        <f>IF(CM39&gt;0,CM39*PARAM!$C$53,CM39)+CK40-CL40</f>
        <v>-1173.6666666666661</v>
      </c>
      <c r="CO40" s="176"/>
    </row>
    <row r="41" spans="1:93" x14ac:dyDescent="0.2">
      <c r="A41" t="b">
        <f t="shared" si="21"/>
        <v>0</v>
      </c>
      <c r="B41" s="33">
        <v>14</v>
      </c>
      <c r="C41" s="15">
        <f t="shared" si="46"/>
        <v>20.081305947392778</v>
      </c>
      <c r="D41" s="75">
        <f>C41*(1-PARAM!$C$27)*$I$3+(MOD($B41,60)=PARAM!$B$56)*($B41&gt;(60-PARAM!$B$56))*HLOOKUP(($B41+PARAM!$B$56)/12,Loyalty,2)*$F$1*MAX(F40,0)</f>
        <v>16.808053077967756</v>
      </c>
      <c r="E41" s="75">
        <f>PARAM!$C$26+MAX($G$3-CHOOSE(PARAM!$B$44,MAX(0,F40*$F$1),0),0)*RATES!$L17/12+$H$3*(PARAM!$D$51/12)*RATES!$N17/100</f>
        <v>7.0833333333333339</v>
      </c>
      <c r="F41" s="16">
        <f t="shared" si="22"/>
        <v>-1121.4097409254534</v>
      </c>
      <c r="G41" s="15">
        <f t="shared" si="23"/>
        <v>22.035289406060361</v>
      </c>
      <c r="H41" s="75">
        <f>G41*(1-PARAM!$C$27)*$I$4+(MOD($B41,60)=PARAM!$B$56)*($B41&gt;(60-PARAM!$B$56))*HLOOKUP(($B41+PARAM!$B$56)/12,Loyalty,2)*$F$1*MAX(J40,0)</f>
        <v>18.443537232872522</v>
      </c>
      <c r="I41" s="75">
        <f>PARAM!$C$26+MAX($G$4-CHOOSE(PARAM!$B$44,MAX(0,J40*$F$1),0),0)*RATES!$L17/12+$H$4*(PARAM!$D$51/12)*RATES!$N17/100</f>
        <v>7.0833333333333339</v>
      </c>
      <c r="J41" s="16">
        <f t="shared" si="24"/>
        <v>-1115.63571980509</v>
      </c>
      <c r="K41" s="15">
        <f t="shared" si="25"/>
        <v>22.170849845882874</v>
      </c>
      <c r="L41" s="75">
        <f>K41*(1-PARAM!$C$27)*$I$5+(MOD($B41,60)=PARAM!$B$56)*($B41&gt;(60-PARAM!$B$56))*HLOOKUP(($B41+PARAM!$B$56)/12,Loyalty,2)*$F$1*MAX(N40,0)</f>
        <v>18.557001321003963</v>
      </c>
      <c r="M41" s="75">
        <f>PARAM!$C$26+MAX($G$5-CHOOSE(PARAM!$B$44,MAX(0,N40*$F$1),0),0)*RATES!$L17/12+$H$5*(PARAM!$D$51/12)*RATES!$N17/100</f>
        <v>7.0833333333333339</v>
      </c>
      <c r="N41" s="16">
        <f t="shared" si="26"/>
        <v>-1115.2351387054148</v>
      </c>
      <c r="O41" s="15">
        <f t="shared" si="27"/>
        <v>22.170849845882874</v>
      </c>
      <c r="P41" s="75">
        <f>O41*(1-PARAM!$C$27)*$I$6+(MOD($B41,60)=PARAM!$B$56)*($B41&gt;(60-PARAM!$B$56))*HLOOKUP(($B41+PARAM!$B$56)/12,Loyalty,2)*$F$1*MAX(R40,0)</f>
        <v>18.557001321003963</v>
      </c>
      <c r="Q41" s="75">
        <f>PARAM!$C$26+MAX($G$6-CHOOSE(PARAM!$B$44,MAX(0,R40*$F$1),0),0)*RATES!$L17/12+$H$6*(PARAM!$D$51/12)*RATES!$N17/100</f>
        <v>7.0833333333333339</v>
      </c>
      <c r="R41" s="16">
        <f t="shared" si="28"/>
        <v>-1115.2351387054148</v>
      </c>
      <c r="S41" s="15">
        <f t="shared" si="4"/>
        <v>22.170849845882874</v>
      </c>
      <c r="T41" s="75">
        <f>S41*(1-PARAM!$C$27)*$I$7+(MOD($B41,60)=PARAM!$B$56)*($B41&gt;(60-PARAM!$B$56))*HLOOKUP(($B41+PARAM!$B$56)/12,Loyalty,2)*$F$1*MAX(V40,0)</f>
        <v>18.557001321003963</v>
      </c>
      <c r="U41" s="75">
        <f>PARAM!$C$26+MAX($G$7-CHOOSE(PARAM!$B$44,MAX(0,V40*$F$1),0),0)*RATES!$L17/12+$H$7*(PARAM!$D$51/12)*RATES!$N17/100</f>
        <v>7.0833333333333339</v>
      </c>
      <c r="V41" s="16">
        <f t="shared" si="29"/>
        <v>-1115.2351387054148</v>
      </c>
      <c r="W41" s="15">
        <f t="shared" si="5"/>
        <v>22.170849845882874</v>
      </c>
      <c r="X41" s="75">
        <f>W41*(1-PARAM!$C$27)*$I$8+(MOD($B41,60)=PARAM!$B$56)*($B41&gt;(60-PARAM!$B$56))*HLOOKUP(($B41+PARAM!$B$56)/12,Loyalty,2)*$F$1*MAX(Z40,0)</f>
        <v>18.557001321003963</v>
      </c>
      <c r="Y41" s="75">
        <f>PARAM!$C$26+MAX($G$8-CHOOSE(PARAM!$B$44,MAX(0,Z40*$F$1),0),0)*RATES!$L17/12+$H$8*(PARAM!$D$51/12)*RATES!$N17/100</f>
        <v>7.0833333333333339</v>
      </c>
      <c r="Z41" s="16">
        <f t="shared" si="30"/>
        <v>-1115.2351387054148</v>
      </c>
      <c r="AA41" s="15">
        <f t="shared" si="6"/>
        <v>22.170849845882874</v>
      </c>
      <c r="AB41" s="75">
        <f>AA41*(1-PARAM!$C$27)*$I$9+(MOD($B41,60)=PARAM!$B$56)*($B41&gt;(60-PARAM!$B$56))*HLOOKUP(($B41+PARAM!$B$56)/12,Loyalty,2)*$F$1*MAX(AD40,0)</f>
        <v>18.557001321003963</v>
      </c>
      <c r="AC41" s="75">
        <f>PARAM!$C$26+MAX($G$9-CHOOSE(PARAM!$B$44,MAX(0,AD40*$F$1),0),0)*RATES!$L17/12+$H$9*(PARAM!$D$51/12)*RATES!$N17/100</f>
        <v>7.0833333333333339</v>
      </c>
      <c r="AD41" s="16">
        <f t="shared" si="31"/>
        <v>-1115.2351387054148</v>
      </c>
      <c r="AE41" s="15">
        <f t="shared" si="7"/>
        <v>22.170849845882874</v>
      </c>
      <c r="AF41" s="75">
        <f>AE41*(1-PARAM!$C$27)*$I$10+(MOD($B41,60)=PARAM!$B$56)*($B41&gt;(60-PARAM!$B$56))*HLOOKUP(($B41+PARAM!$B$56)/12,Loyalty,2)*$F$1*MAX(AH40,0)</f>
        <v>18.557001321003963</v>
      </c>
      <c r="AG41" s="75">
        <f>PARAM!$C$26+MAX($G$10-CHOOSE(PARAM!$B$44,MAX(0,AH40*$F$1),0),0)*RATES!$L17/12+$H$10*(PARAM!$D$51/12)*RATES!$N17/100</f>
        <v>7.0833333333333339</v>
      </c>
      <c r="AH41" s="16">
        <f t="shared" si="32"/>
        <v>-1115.2351387054148</v>
      </c>
      <c r="AI41" s="15">
        <f t="shared" si="8"/>
        <v>22.170849845882874</v>
      </c>
      <c r="AJ41" s="75">
        <f>AI41*(1-PARAM!$C$27)*$I$11+(MOD($B41,60)=PARAM!$B$56)*($B41&gt;(60-PARAM!$B$56))*HLOOKUP(($B41+PARAM!$B$56)/12,Loyalty,2)*$F$1*MAX(AL40,0)</f>
        <v>18.557001321003963</v>
      </c>
      <c r="AK41" s="75">
        <f>PARAM!$C$26+MAX($G$11-CHOOSE(PARAM!$B$44,MAX(0,AL40*$F$1),0),0)*RATES!$L17/12+$H$11*(PARAM!$D$51/12)*RATES!$N17/100</f>
        <v>7.0833333333333339</v>
      </c>
      <c r="AL41" s="16">
        <f t="shared" si="33"/>
        <v>-1115.2351387054148</v>
      </c>
      <c r="AM41" s="15">
        <f t="shared" si="9"/>
        <v>22.170849845882874</v>
      </c>
      <c r="AN41" s="75">
        <f>AM41*(1-PARAM!$C$27)*$I$12+(MOD($B41,60)=PARAM!$B$56)*($B41&gt;(60-PARAM!$B$56))*HLOOKUP(($B41+PARAM!$B$56)/12,Loyalty,2)*$F$1*MAX(AP40,0)</f>
        <v>18.557001321003963</v>
      </c>
      <c r="AO41" s="75">
        <f>PARAM!$C$26+MAX($G$12-CHOOSE(PARAM!$B$44,MAX(0,AP40*$F$1),0),0)*RATES!$L17/12+$H$12*(PARAM!$D$51/12)*RATES!$N17/100</f>
        <v>7.0833333333333339</v>
      </c>
      <c r="AP41" s="16">
        <f t="shared" si="34"/>
        <v>-1115.2351387054148</v>
      </c>
      <c r="AQ41" s="15">
        <f t="shared" si="10"/>
        <v>22.170849845882874</v>
      </c>
      <c r="AR41" s="75">
        <f>AQ41*(1-PARAM!$C$27)*$I$13+(MOD($B41,60)=PARAM!$B$56)*($B41&gt;(60-PARAM!$B$56))*HLOOKUP(($B41+PARAM!$B$56)/12,Loyalty,2)*$F$1*MAX(AT40,0)</f>
        <v>18.557001321003963</v>
      </c>
      <c r="AS41" s="75">
        <f>PARAM!$C$26+MAX($G$13-CHOOSE(PARAM!$B$44,MAX(0,AT40*$F$1),0),0)*RATES!$L17/12+$H$13*(PARAM!$D$51/12)*RATES!$N17/100</f>
        <v>7.0833333333333339</v>
      </c>
      <c r="AT41" s="16">
        <f t="shared" si="35"/>
        <v>-1115.2351387054148</v>
      </c>
      <c r="AU41" s="15">
        <f t="shared" si="11"/>
        <v>22.170849845882874</v>
      </c>
      <c r="AV41" s="75">
        <f>AU41*(1-PARAM!$C$27)*$I$14+(MOD($B41,60)=PARAM!$B$56)*($B41&gt;(60-PARAM!$B$56))*HLOOKUP(($B41+PARAM!$B$56)/12,Loyalty,2)*$F$1*MAX(AX40,0)</f>
        <v>18.557001321003963</v>
      </c>
      <c r="AW41" s="75">
        <f>PARAM!$C$26+MAX($G$14-CHOOSE(PARAM!$B$44,MAX(0,AX40*$F$1),0),0)*RATES!$L17/12+$H$14*(PARAM!$D$51/12)*RATES!$N17/100</f>
        <v>7.0833333333333339</v>
      </c>
      <c r="AX41" s="16">
        <f t="shared" si="36"/>
        <v>-1115.2351387054148</v>
      </c>
      <c r="AY41" s="15">
        <f t="shared" si="12"/>
        <v>22.170849845882874</v>
      </c>
      <c r="AZ41" s="75">
        <f>AY41*(1-PARAM!$C$27)*$I$15+(MOD($B41,60)=PARAM!$B$56)*($B41&gt;(60-PARAM!$B$56))*HLOOKUP(($B41+PARAM!$B$56)/12,Loyalty,2)*$F$1*MAX(BB40,0)</f>
        <v>18.557001321003963</v>
      </c>
      <c r="BA41" s="75">
        <f>PARAM!$C$26+MAX($G$15-CHOOSE(PARAM!$B$44,MAX(0,BB40*$F$1),0),0)*RATES!$L17/12+$H$15*(PARAM!$D$51/12)*RATES!$N17/100</f>
        <v>7.0833333333333339</v>
      </c>
      <c r="BB41" s="16">
        <f t="shared" si="37"/>
        <v>-1115.2351387054148</v>
      </c>
      <c r="BC41" s="15">
        <f t="shared" si="13"/>
        <v>22.170849845882874</v>
      </c>
      <c r="BD41" s="75">
        <f>BC41*(1-PARAM!$C$27)*$I$16+(MOD($B41,60)=PARAM!$B$56)*($B41&gt;(60-PARAM!$B$56))*HLOOKUP(($B41+PARAM!$B$56)/12,Loyalty,2)*$F$1*MAX(BF40,0)</f>
        <v>18.557001321003963</v>
      </c>
      <c r="BE41" s="75">
        <f>PARAM!$C$26+MAX($G$16-CHOOSE(PARAM!$B$44,MAX(0,BF40*$F$1),0),0)*RATES!$L17/12+$H$16*(PARAM!$D$51/12)*RATES!$N17/100</f>
        <v>7.0833333333333339</v>
      </c>
      <c r="BF41" s="16">
        <f t="shared" si="38"/>
        <v>-1115.2351387054148</v>
      </c>
      <c r="BG41" s="15">
        <f t="shared" si="14"/>
        <v>22.170849845882874</v>
      </c>
      <c r="BH41" s="75">
        <f>BG41*(1-PARAM!$C$27)*$I$17+(MOD($B41,60)=PARAM!$B$56)*($B41&gt;(60-PARAM!$B$56))*HLOOKUP(($B41+PARAM!$B$56)/12,Loyalty,2)*$F$1*MAX(BJ40,0)</f>
        <v>18.557001321003963</v>
      </c>
      <c r="BI41" s="75">
        <f>PARAM!$C$26+MAX($G$17-CHOOSE(PARAM!$B$44,MAX(0,BJ40*$F$1),0),0)*RATES!$L17/12+$H$17*(PARAM!$D$51/12)*RATES!$N17/100</f>
        <v>7.0833333333333339</v>
      </c>
      <c r="BJ41" s="16">
        <f t="shared" si="39"/>
        <v>-1115.2351387054148</v>
      </c>
      <c r="BK41" s="15">
        <f t="shared" si="15"/>
        <v>22.170849845882874</v>
      </c>
      <c r="BL41" s="75">
        <f>BK41*(1-PARAM!$C$27)*$I$18+(MOD($B41,60)=PARAM!$B$56)*($B41&gt;(60-PARAM!$B$56))*HLOOKUP(($B41+PARAM!$B$56)/12,Loyalty,2)*$F$1*MAX(BN40,0)</f>
        <v>18.557001321003963</v>
      </c>
      <c r="BM41" s="75">
        <f>PARAM!$C$26+MAX($G$18-CHOOSE(PARAM!$B$44,MAX(0,BN40*$F$1),0),0)*RATES!$L17/12+$H$18*(PARAM!$D$51/12)*RATES!$N17/100</f>
        <v>7.0833333333333339</v>
      </c>
      <c r="BN41" s="16">
        <f t="shared" si="40"/>
        <v>-1115.2351387054148</v>
      </c>
      <c r="BO41" s="15">
        <f t="shared" si="16"/>
        <v>22.170849845882874</v>
      </c>
      <c r="BP41" s="75">
        <f>BO41*(1-PARAM!$C$27)*$I$19+(MOD($B41,60)=PARAM!$B$56)*($B41&gt;(60-PARAM!$B$56))*HLOOKUP(($B41+PARAM!$B$56)/12,Loyalty,2)*$F$1*MAX(BR40,0)</f>
        <v>18.557001321003963</v>
      </c>
      <c r="BQ41" s="75">
        <f>PARAM!$C$26+MAX($G$19-CHOOSE(PARAM!$B$44,MAX(0,BR40*$F$1),0),0)*RATES!$L17/12+$H$19*(PARAM!$D$51/12)*RATES!$N17/100</f>
        <v>7.0833333333333339</v>
      </c>
      <c r="BR41" s="16">
        <f t="shared" si="41"/>
        <v>-1115.2351387054148</v>
      </c>
      <c r="BS41" s="15">
        <f t="shared" si="17"/>
        <v>22.170849845882874</v>
      </c>
      <c r="BT41" s="75">
        <f>BS41*(1-PARAM!$C$27)*$I$20+(MOD($B41,60)=PARAM!$B$56)*($B41&gt;(60-PARAM!$B$56))*HLOOKUP(($B41+PARAM!$B$56)/12,Loyalty,2)*$F$1*MAX(BV40,0)</f>
        <v>18.557001321003963</v>
      </c>
      <c r="BU41" s="75">
        <f>PARAM!$C$26+MAX($G$20-CHOOSE(PARAM!$B$44,MAX(0,BV40*$F$1),0),0)*RATES!$L17/12+$H$20*(PARAM!$D$51/12)*RATES!$N17/100</f>
        <v>7.0833333333333339</v>
      </c>
      <c r="BV41" s="16">
        <f t="shared" si="42"/>
        <v>-1115.2351387054148</v>
      </c>
      <c r="BW41" s="15">
        <f t="shared" si="18"/>
        <v>22.170849845882874</v>
      </c>
      <c r="BX41" s="75">
        <f>BW41*(1-PARAM!$C$27)*$I$21+(MOD($B41,60)=PARAM!$B$56)*($B41&gt;(60-PARAM!$B$56))*HLOOKUP(($B41+PARAM!$B$56)/12,Loyalty,2)*$F$1*MAX(BZ40,0)</f>
        <v>18.557001321003963</v>
      </c>
      <c r="BY41" s="75">
        <f>PARAM!$C$26+MAX($G$21-CHOOSE(PARAM!$B$44,MAX(0,BZ40*$F$1),0),0)*RATES!$L17/12+$H$21*(PARAM!$D$51/12)*RATES!$N17/100</f>
        <v>7.0833333333333339</v>
      </c>
      <c r="BZ41" s="16">
        <f t="shared" si="43"/>
        <v>-1115.2351387054148</v>
      </c>
      <c r="CA41" s="15">
        <f t="shared" si="19"/>
        <v>22.170849845882874</v>
      </c>
      <c r="CB41" s="75">
        <f>CA41*(1-PARAM!$C$27)*$I$22+(MOD($B41,60)=PARAM!$B$56)*($B41&gt;(60-PARAM!$B$56))*HLOOKUP(($B41+PARAM!$B$56)/12,Loyalty,2)*$F$1*MAX(CD40,0)</f>
        <v>18.557001321003963</v>
      </c>
      <c r="CC41" s="75">
        <f>PARAM!$C$26+MAX($G$22-CHOOSE(PARAM!$B$44,MAX(0,CD40*$F$1),0),0)*RATES!$L17/12+$H$22*(PARAM!$D$51/12)*RATES!$N17/100</f>
        <v>7.0833333333333339</v>
      </c>
      <c r="CD41" s="16">
        <f t="shared" si="44"/>
        <v>-1115.2351387054148</v>
      </c>
      <c r="CE41" s="33">
        <f>IF(0=MOD(B41,12/PARAM!$D$51),1,0)</f>
        <v>1</v>
      </c>
      <c r="CF41" s="15">
        <f t="shared" si="20"/>
        <v>0</v>
      </c>
      <c r="CG41" s="75">
        <f>CF41*(1-PARAM!$C$27)*$R$3+(MOD($B41/12,5)=0)*($B41&gt;60)*HLOOKUP($B41/12,Loyalty,2)*$F$1*MAX(CI40,0)</f>
        <v>0</v>
      </c>
      <c r="CH41" s="75">
        <f>PARAM!$C$26+MAX($P$3-CHOOSE(PARAM!$B$44,MAX(0,CI40*$F$1),0),0)*RATES!$L17/12+$Q$3*(PARAM!$D$51/12)*RATES!$N17/100</f>
        <v>7.0833333333333339</v>
      </c>
      <c r="CI41" s="16">
        <f>IF(CI40&gt;0,CI40*PARAM!$C$53,CI40)+CG41-CH41</f>
        <v>-1180.7499999999993</v>
      </c>
      <c r="CJ41" s="15">
        <f t="shared" si="45"/>
        <v>0</v>
      </c>
      <c r="CK41" s="75">
        <f>CJ41*(1-PARAM!$C$27)*$R$4+(MOD($B41/12,5)=0)*($B41&gt;60)*HLOOKUP($B41/12,Loyalty,2)*$F$1*MAX(CM40,0)</f>
        <v>0</v>
      </c>
      <c r="CL41" s="75">
        <f>PARAM!$C$26+MAX($P$4-CHOOSE(PARAM!$B$44,MAX(0,CM40*$F$1),0),0)*RATES!$L17/12+$Q$4*(PARAM!$D$51/12)*RATES!$N17/100</f>
        <v>7.0833333333333339</v>
      </c>
      <c r="CM41" s="16">
        <f>IF(CM40&gt;0,CM40*PARAM!$C$53,CM40)+CK41-CL41</f>
        <v>-1180.7499999999993</v>
      </c>
      <c r="CO41" s="176"/>
    </row>
    <row r="42" spans="1:93" x14ac:dyDescent="0.2">
      <c r="A42" t="b">
        <f t="shared" si="21"/>
        <v>0</v>
      </c>
      <c r="B42" s="33">
        <v>15</v>
      </c>
      <c r="C42" s="15">
        <f t="shared" si="46"/>
        <v>20.081305947392778</v>
      </c>
      <c r="D42" s="75">
        <f>C42*(1-PARAM!$C$27)*$I$3+(MOD($B42,60)=PARAM!$B$56)*($B42&gt;(60-PARAM!$B$56))*HLOOKUP(($B42+PARAM!$B$56)/12,Loyalty,2)*$F$1*MAX(F41,0)</f>
        <v>16.808053077967756</v>
      </c>
      <c r="E42" s="75">
        <f>PARAM!$C$26+MAX($G$3-CHOOSE(PARAM!$B$44,MAX(0,F41*$F$1),0),0)*RATES!$L18/12+$H$3*(PARAM!$D$51/12)*RATES!$N18/100</f>
        <v>7.0833333333333339</v>
      </c>
      <c r="F42" s="16">
        <f t="shared" si="22"/>
        <v>-1111.6850211808189</v>
      </c>
      <c r="G42" s="15">
        <f t="shared" si="23"/>
        <v>22.035289406060361</v>
      </c>
      <c r="H42" s="75">
        <f>G42*(1-PARAM!$C$27)*$I$4+(MOD($B42,60)=PARAM!$B$56)*($B42&gt;(60-PARAM!$B$56))*HLOOKUP(($B42+PARAM!$B$56)/12,Loyalty,2)*$F$1*MAX(J41,0)</f>
        <v>18.443537232872522</v>
      </c>
      <c r="I42" s="75">
        <f>PARAM!$C$26+MAX($G$4-CHOOSE(PARAM!$B$44,MAX(0,J41*$F$1),0),0)*RATES!$L18/12+$H$4*(PARAM!$D$51/12)*RATES!$N18/100</f>
        <v>7.0833333333333339</v>
      </c>
      <c r="J42" s="16">
        <f t="shared" si="24"/>
        <v>-1104.2755159055507</v>
      </c>
      <c r="K42" s="15">
        <f t="shared" si="25"/>
        <v>22.170849845882874</v>
      </c>
      <c r="L42" s="75">
        <f>K42*(1-PARAM!$C$27)*$I$5+(MOD($B42,60)=PARAM!$B$56)*($B42&gt;(60-PARAM!$B$56))*HLOOKUP(($B42+PARAM!$B$56)/12,Loyalty,2)*$F$1*MAX(N41,0)</f>
        <v>18.557001321003963</v>
      </c>
      <c r="M42" s="75">
        <f>PARAM!$C$26+MAX($G$5-CHOOSE(PARAM!$B$44,MAX(0,N41*$F$1),0),0)*RATES!$L18/12+$H$5*(PARAM!$D$51/12)*RATES!$N18/100</f>
        <v>7.0833333333333339</v>
      </c>
      <c r="N42" s="16">
        <f t="shared" si="26"/>
        <v>-1103.761470717744</v>
      </c>
      <c r="O42" s="15">
        <f t="shared" si="27"/>
        <v>22.170849845882874</v>
      </c>
      <c r="P42" s="75">
        <f>O42*(1-PARAM!$C$27)*$I$6+(MOD($B42,60)=PARAM!$B$56)*($B42&gt;(60-PARAM!$B$56))*HLOOKUP(($B42+PARAM!$B$56)/12,Loyalty,2)*$F$1*MAX(R41,0)</f>
        <v>18.557001321003963</v>
      </c>
      <c r="Q42" s="75">
        <f>PARAM!$C$26+MAX($G$6-CHOOSE(PARAM!$B$44,MAX(0,R41*$F$1),0),0)*RATES!$L18/12+$H$6*(PARAM!$D$51/12)*RATES!$N18/100</f>
        <v>7.0833333333333339</v>
      </c>
      <c r="R42" s="16">
        <f t="shared" si="28"/>
        <v>-1103.761470717744</v>
      </c>
      <c r="S42" s="15">
        <f t="shared" si="4"/>
        <v>22.170849845882874</v>
      </c>
      <c r="T42" s="75">
        <f>S42*(1-PARAM!$C$27)*$I$7+(MOD($B42,60)=PARAM!$B$56)*($B42&gt;(60-PARAM!$B$56))*HLOOKUP(($B42+PARAM!$B$56)/12,Loyalty,2)*$F$1*MAX(V41,0)</f>
        <v>18.557001321003963</v>
      </c>
      <c r="U42" s="75">
        <f>PARAM!$C$26+MAX($G$7-CHOOSE(PARAM!$B$44,MAX(0,V41*$F$1),0),0)*RATES!$L18/12+$H$7*(PARAM!$D$51/12)*RATES!$N18/100</f>
        <v>7.0833333333333339</v>
      </c>
      <c r="V42" s="16">
        <f t="shared" si="29"/>
        <v>-1103.761470717744</v>
      </c>
      <c r="W42" s="15">
        <f t="shared" si="5"/>
        <v>22.170849845882874</v>
      </c>
      <c r="X42" s="75">
        <f>W42*(1-PARAM!$C$27)*$I$8+(MOD($B42,60)=PARAM!$B$56)*($B42&gt;(60-PARAM!$B$56))*HLOOKUP(($B42+PARAM!$B$56)/12,Loyalty,2)*$F$1*MAX(Z41,0)</f>
        <v>18.557001321003963</v>
      </c>
      <c r="Y42" s="75">
        <f>PARAM!$C$26+MAX($G$8-CHOOSE(PARAM!$B$44,MAX(0,Z41*$F$1),0),0)*RATES!$L18/12+$H$8*(PARAM!$D$51/12)*RATES!$N18/100</f>
        <v>7.0833333333333339</v>
      </c>
      <c r="Z42" s="16">
        <f t="shared" si="30"/>
        <v>-1103.761470717744</v>
      </c>
      <c r="AA42" s="15">
        <f t="shared" si="6"/>
        <v>22.170849845882874</v>
      </c>
      <c r="AB42" s="75">
        <f>AA42*(1-PARAM!$C$27)*$I$9+(MOD($B42,60)=PARAM!$B$56)*($B42&gt;(60-PARAM!$B$56))*HLOOKUP(($B42+PARAM!$B$56)/12,Loyalty,2)*$F$1*MAX(AD41,0)</f>
        <v>18.557001321003963</v>
      </c>
      <c r="AC42" s="75">
        <f>PARAM!$C$26+MAX($G$9-CHOOSE(PARAM!$B$44,MAX(0,AD41*$F$1),0),0)*RATES!$L18/12+$H$9*(PARAM!$D$51/12)*RATES!$N18/100</f>
        <v>7.0833333333333339</v>
      </c>
      <c r="AD42" s="16">
        <f t="shared" si="31"/>
        <v>-1103.761470717744</v>
      </c>
      <c r="AE42" s="15">
        <f t="shared" si="7"/>
        <v>22.170849845882874</v>
      </c>
      <c r="AF42" s="75">
        <f>AE42*(1-PARAM!$C$27)*$I$10+(MOD($B42,60)=PARAM!$B$56)*($B42&gt;(60-PARAM!$B$56))*HLOOKUP(($B42+PARAM!$B$56)/12,Loyalty,2)*$F$1*MAX(AH41,0)</f>
        <v>18.557001321003963</v>
      </c>
      <c r="AG42" s="75">
        <f>PARAM!$C$26+MAX($G$10-CHOOSE(PARAM!$B$44,MAX(0,AH41*$F$1),0),0)*RATES!$L18/12+$H$10*(PARAM!$D$51/12)*RATES!$N18/100</f>
        <v>7.0833333333333339</v>
      </c>
      <c r="AH42" s="16">
        <f t="shared" si="32"/>
        <v>-1103.761470717744</v>
      </c>
      <c r="AI42" s="15">
        <f t="shared" si="8"/>
        <v>22.170849845882874</v>
      </c>
      <c r="AJ42" s="75">
        <f>AI42*(1-PARAM!$C$27)*$I$11+(MOD($B42,60)=PARAM!$B$56)*($B42&gt;(60-PARAM!$B$56))*HLOOKUP(($B42+PARAM!$B$56)/12,Loyalty,2)*$F$1*MAX(AL41,0)</f>
        <v>18.557001321003963</v>
      </c>
      <c r="AK42" s="75">
        <f>PARAM!$C$26+MAX($G$11-CHOOSE(PARAM!$B$44,MAX(0,AL41*$F$1),0),0)*RATES!$L18/12+$H$11*(PARAM!$D$51/12)*RATES!$N18/100</f>
        <v>7.0833333333333339</v>
      </c>
      <c r="AL42" s="16">
        <f t="shared" si="33"/>
        <v>-1103.761470717744</v>
      </c>
      <c r="AM42" s="15">
        <f t="shared" si="9"/>
        <v>22.170849845882874</v>
      </c>
      <c r="AN42" s="75">
        <f>AM42*(1-PARAM!$C$27)*$I$12+(MOD($B42,60)=PARAM!$B$56)*($B42&gt;(60-PARAM!$B$56))*HLOOKUP(($B42+PARAM!$B$56)/12,Loyalty,2)*$F$1*MAX(AP41,0)</f>
        <v>18.557001321003963</v>
      </c>
      <c r="AO42" s="75">
        <f>PARAM!$C$26+MAX($G$12-CHOOSE(PARAM!$B$44,MAX(0,AP41*$F$1),0),0)*RATES!$L18/12+$H$12*(PARAM!$D$51/12)*RATES!$N18/100</f>
        <v>7.0833333333333339</v>
      </c>
      <c r="AP42" s="16">
        <f t="shared" si="34"/>
        <v>-1103.761470717744</v>
      </c>
      <c r="AQ42" s="15">
        <f t="shared" si="10"/>
        <v>22.170849845882874</v>
      </c>
      <c r="AR42" s="75">
        <f>AQ42*(1-PARAM!$C$27)*$I$13+(MOD($B42,60)=PARAM!$B$56)*($B42&gt;(60-PARAM!$B$56))*HLOOKUP(($B42+PARAM!$B$56)/12,Loyalty,2)*$F$1*MAX(AT41,0)</f>
        <v>18.557001321003963</v>
      </c>
      <c r="AS42" s="75">
        <f>PARAM!$C$26+MAX($G$13-CHOOSE(PARAM!$B$44,MAX(0,AT41*$F$1),0),0)*RATES!$L18/12+$H$13*(PARAM!$D$51/12)*RATES!$N18/100</f>
        <v>7.0833333333333339</v>
      </c>
      <c r="AT42" s="16">
        <f t="shared" si="35"/>
        <v>-1103.761470717744</v>
      </c>
      <c r="AU42" s="15">
        <f t="shared" si="11"/>
        <v>22.170849845882874</v>
      </c>
      <c r="AV42" s="75">
        <f>AU42*(1-PARAM!$C$27)*$I$14+(MOD($B42,60)=PARAM!$B$56)*($B42&gt;(60-PARAM!$B$56))*HLOOKUP(($B42+PARAM!$B$56)/12,Loyalty,2)*$F$1*MAX(AX41,0)</f>
        <v>18.557001321003963</v>
      </c>
      <c r="AW42" s="75">
        <f>PARAM!$C$26+MAX($G$14-CHOOSE(PARAM!$B$44,MAX(0,AX41*$F$1),0),0)*RATES!$L18/12+$H$14*(PARAM!$D$51/12)*RATES!$N18/100</f>
        <v>7.0833333333333339</v>
      </c>
      <c r="AX42" s="16">
        <f t="shared" si="36"/>
        <v>-1103.761470717744</v>
      </c>
      <c r="AY42" s="15">
        <f t="shared" si="12"/>
        <v>22.170849845882874</v>
      </c>
      <c r="AZ42" s="75">
        <f>AY42*(1-PARAM!$C$27)*$I$15+(MOD($B42,60)=PARAM!$B$56)*($B42&gt;(60-PARAM!$B$56))*HLOOKUP(($B42+PARAM!$B$56)/12,Loyalty,2)*$F$1*MAX(BB41,0)</f>
        <v>18.557001321003963</v>
      </c>
      <c r="BA42" s="75">
        <f>PARAM!$C$26+MAX($G$15-CHOOSE(PARAM!$B$44,MAX(0,BB41*$F$1),0),0)*RATES!$L18/12+$H$15*(PARAM!$D$51/12)*RATES!$N18/100</f>
        <v>7.0833333333333339</v>
      </c>
      <c r="BB42" s="16">
        <f t="shared" si="37"/>
        <v>-1103.761470717744</v>
      </c>
      <c r="BC42" s="15">
        <f t="shared" si="13"/>
        <v>22.170849845882874</v>
      </c>
      <c r="BD42" s="75">
        <f>BC42*(1-PARAM!$C$27)*$I$16+(MOD($B42,60)=PARAM!$B$56)*($B42&gt;(60-PARAM!$B$56))*HLOOKUP(($B42+PARAM!$B$56)/12,Loyalty,2)*$F$1*MAX(BF41,0)</f>
        <v>18.557001321003963</v>
      </c>
      <c r="BE42" s="75">
        <f>PARAM!$C$26+MAX($G$16-CHOOSE(PARAM!$B$44,MAX(0,BF41*$F$1),0),0)*RATES!$L18/12+$H$16*(PARAM!$D$51/12)*RATES!$N18/100</f>
        <v>7.0833333333333339</v>
      </c>
      <c r="BF42" s="16">
        <f t="shared" si="38"/>
        <v>-1103.761470717744</v>
      </c>
      <c r="BG42" s="15">
        <f t="shared" si="14"/>
        <v>22.170849845882874</v>
      </c>
      <c r="BH42" s="75">
        <f>BG42*(1-PARAM!$C$27)*$I$17+(MOD($B42,60)=PARAM!$B$56)*($B42&gt;(60-PARAM!$B$56))*HLOOKUP(($B42+PARAM!$B$56)/12,Loyalty,2)*$F$1*MAX(BJ41,0)</f>
        <v>18.557001321003963</v>
      </c>
      <c r="BI42" s="75">
        <f>PARAM!$C$26+MAX($G$17-CHOOSE(PARAM!$B$44,MAX(0,BJ41*$F$1),0),0)*RATES!$L18/12+$H$17*(PARAM!$D$51/12)*RATES!$N18/100</f>
        <v>7.0833333333333339</v>
      </c>
      <c r="BJ42" s="16">
        <f t="shared" si="39"/>
        <v>-1103.761470717744</v>
      </c>
      <c r="BK42" s="15">
        <f t="shared" si="15"/>
        <v>22.170849845882874</v>
      </c>
      <c r="BL42" s="75">
        <f>BK42*(1-PARAM!$C$27)*$I$18+(MOD($B42,60)=PARAM!$B$56)*($B42&gt;(60-PARAM!$B$56))*HLOOKUP(($B42+PARAM!$B$56)/12,Loyalty,2)*$F$1*MAX(BN41,0)</f>
        <v>18.557001321003963</v>
      </c>
      <c r="BM42" s="75">
        <f>PARAM!$C$26+MAX($G$18-CHOOSE(PARAM!$B$44,MAX(0,BN41*$F$1),0),0)*RATES!$L18/12+$H$18*(PARAM!$D$51/12)*RATES!$N18/100</f>
        <v>7.0833333333333339</v>
      </c>
      <c r="BN42" s="16">
        <f t="shared" si="40"/>
        <v>-1103.761470717744</v>
      </c>
      <c r="BO42" s="15">
        <f t="shared" si="16"/>
        <v>22.170849845882874</v>
      </c>
      <c r="BP42" s="75">
        <f>BO42*(1-PARAM!$C$27)*$I$19+(MOD($B42,60)=PARAM!$B$56)*($B42&gt;(60-PARAM!$B$56))*HLOOKUP(($B42+PARAM!$B$56)/12,Loyalty,2)*$F$1*MAX(BR41,0)</f>
        <v>18.557001321003963</v>
      </c>
      <c r="BQ42" s="75">
        <f>PARAM!$C$26+MAX($G$19-CHOOSE(PARAM!$B$44,MAX(0,BR41*$F$1),0),0)*RATES!$L18/12+$H$19*(PARAM!$D$51/12)*RATES!$N18/100</f>
        <v>7.0833333333333339</v>
      </c>
      <c r="BR42" s="16">
        <f t="shared" si="41"/>
        <v>-1103.761470717744</v>
      </c>
      <c r="BS42" s="15">
        <f t="shared" si="17"/>
        <v>22.170849845882874</v>
      </c>
      <c r="BT42" s="75">
        <f>BS42*(1-PARAM!$C$27)*$I$20+(MOD($B42,60)=PARAM!$B$56)*($B42&gt;(60-PARAM!$B$56))*HLOOKUP(($B42+PARAM!$B$56)/12,Loyalty,2)*$F$1*MAX(BV41,0)</f>
        <v>18.557001321003963</v>
      </c>
      <c r="BU42" s="75">
        <f>PARAM!$C$26+MAX($G$20-CHOOSE(PARAM!$B$44,MAX(0,BV41*$F$1),0),0)*RATES!$L18/12+$H$20*(PARAM!$D$51/12)*RATES!$N18/100</f>
        <v>7.0833333333333339</v>
      </c>
      <c r="BV42" s="16">
        <f t="shared" si="42"/>
        <v>-1103.761470717744</v>
      </c>
      <c r="BW42" s="15">
        <f t="shared" si="18"/>
        <v>22.170849845882874</v>
      </c>
      <c r="BX42" s="75">
        <f>BW42*(1-PARAM!$C$27)*$I$21+(MOD($B42,60)=PARAM!$B$56)*($B42&gt;(60-PARAM!$B$56))*HLOOKUP(($B42+PARAM!$B$56)/12,Loyalty,2)*$F$1*MAX(BZ41,0)</f>
        <v>18.557001321003963</v>
      </c>
      <c r="BY42" s="75">
        <f>PARAM!$C$26+MAX($G$21-CHOOSE(PARAM!$B$44,MAX(0,BZ41*$F$1),0),0)*RATES!$L18/12+$H$21*(PARAM!$D$51/12)*RATES!$N18/100</f>
        <v>7.0833333333333339</v>
      </c>
      <c r="BZ42" s="16">
        <f t="shared" si="43"/>
        <v>-1103.761470717744</v>
      </c>
      <c r="CA42" s="15">
        <f t="shared" si="19"/>
        <v>22.170849845882874</v>
      </c>
      <c r="CB42" s="75">
        <f>CA42*(1-PARAM!$C$27)*$I$22+(MOD($B42,60)=PARAM!$B$56)*($B42&gt;(60-PARAM!$B$56))*HLOOKUP(($B42+PARAM!$B$56)/12,Loyalty,2)*$F$1*MAX(CD41,0)</f>
        <v>18.557001321003963</v>
      </c>
      <c r="CC42" s="75">
        <f>PARAM!$C$26+MAX($G$22-CHOOSE(PARAM!$B$44,MAX(0,CD41*$F$1),0),0)*RATES!$L18/12+$H$22*(PARAM!$D$51/12)*RATES!$N18/100</f>
        <v>7.0833333333333339</v>
      </c>
      <c r="CD42" s="16">
        <f t="shared" si="44"/>
        <v>-1103.761470717744</v>
      </c>
      <c r="CE42" s="33">
        <f>IF(0=MOD(B42,12/PARAM!$D$51),1,0)</f>
        <v>1</v>
      </c>
      <c r="CF42" s="15">
        <f t="shared" si="20"/>
        <v>0</v>
      </c>
      <c r="CG42" s="75">
        <f>CF42*(1-PARAM!$C$27)*$R$3+(MOD($B42/12,5)=0)*($B42&gt;60)*HLOOKUP($B42/12,Loyalty,2)*$F$1*MAX(CI41,0)</f>
        <v>0</v>
      </c>
      <c r="CH42" s="75">
        <f>PARAM!$C$26+MAX($P$3-CHOOSE(PARAM!$B$44,MAX(0,CI41*$F$1),0),0)*RATES!$L18/12+$Q$3*(PARAM!$D$51/12)*RATES!$N18/100</f>
        <v>7.0833333333333339</v>
      </c>
      <c r="CI42" s="16">
        <f>IF(CI41&gt;0,CI41*PARAM!$C$53,CI41)+CG42-CH42</f>
        <v>-1187.8333333333326</v>
      </c>
      <c r="CJ42" s="15">
        <f t="shared" si="45"/>
        <v>0</v>
      </c>
      <c r="CK42" s="75">
        <f>CJ42*(1-PARAM!$C$27)*$R$4+(MOD($B42/12,5)=0)*($B42&gt;60)*HLOOKUP($B42/12,Loyalty,2)*$F$1*MAX(CM41,0)</f>
        <v>0</v>
      </c>
      <c r="CL42" s="75">
        <f>PARAM!$C$26+MAX($P$4-CHOOSE(PARAM!$B$44,MAX(0,CM41*$F$1),0),0)*RATES!$L18/12+$Q$4*(PARAM!$D$51/12)*RATES!$N18/100</f>
        <v>7.0833333333333339</v>
      </c>
      <c r="CM42" s="16">
        <f>IF(CM41&gt;0,CM41*PARAM!$C$53,CM41)+CK42-CL42</f>
        <v>-1187.8333333333326</v>
      </c>
      <c r="CO42" s="176"/>
    </row>
    <row r="43" spans="1:93" x14ac:dyDescent="0.2">
      <c r="A43" t="b">
        <f t="shared" si="21"/>
        <v>0</v>
      </c>
      <c r="B43" s="33">
        <v>16</v>
      </c>
      <c r="C43" s="15">
        <f t="shared" si="46"/>
        <v>20.081305947392778</v>
      </c>
      <c r="D43" s="75">
        <f>C43*(1-PARAM!$C$27)*$I$3+(MOD($B43,60)=PARAM!$B$56)*($B43&gt;(60-PARAM!$B$56))*HLOOKUP(($B43+PARAM!$B$56)/12,Loyalty,2)*$F$1*MAX(F42,0)</f>
        <v>16.808053077967756</v>
      </c>
      <c r="E43" s="75">
        <f>PARAM!$C$26+MAX($G$3-CHOOSE(PARAM!$B$44,MAX(0,F42*$F$1),0),0)*RATES!$L19/12+$H$3*(PARAM!$D$51/12)*RATES!$N19/100</f>
        <v>7.0833333333333339</v>
      </c>
      <c r="F43" s="16">
        <f t="shared" si="22"/>
        <v>-1101.9603014361844</v>
      </c>
      <c r="G43" s="15">
        <f t="shared" si="23"/>
        <v>22.035289406060361</v>
      </c>
      <c r="H43" s="75">
        <f>G43*(1-PARAM!$C$27)*$I$4+(MOD($B43,60)=PARAM!$B$56)*($B43&gt;(60-PARAM!$B$56))*HLOOKUP(($B43+PARAM!$B$56)/12,Loyalty,2)*$F$1*MAX(J42,0)</f>
        <v>18.443537232872522</v>
      </c>
      <c r="I43" s="75">
        <f>PARAM!$C$26+MAX($G$4-CHOOSE(PARAM!$B$44,MAX(0,J42*$F$1),0),0)*RATES!$L19/12+$H$4*(PARAM!$D$51/12)*RATES!$N19/100</f>
        <v>7.0833333333333339</v>
      </c>
      <c r="J43" s="16">
        <f t="shared" si="24"/>
        <v>-1092.9153120060114</v>
      </c>
      <c r="K43" s="15">
        <f t="shared" si="25"/>
        <v>22.170849845882874</v>
      </c>
      <c r="L43" s="75">
        <f>K43*(1-PARAM!$C$27)*$I$5+(MOD($B43,60)=PARAM!$B$56)*($B43&gt;(60-PARAM!$B$56))*HLOOKUP(($B43+PARAM!$B$56)/12,Loyalty,2)*$F$1*MAX(N42,0)</f>
        <v>18.557001321003963</v>
      </c>
      <c r="M43" s="75">
        <f>PARAM!$C$26+MAX($G$5-CHOOSE(PARAM!$B$44,MAX(0,N42*$F$1),0),0)*RATES!$L19/12+$H$5*(PARAM!$D$51/12)*RATES!$N19/100</f>
        <v>7.0833333333333339</v>
      </c>
      <c r="N43" s="16">
        <f t="shared" si="26"/>
        <v>-1092.2878027300733</v>
      </c>
      <c r="O43" s="15">
        <f t="shared" si="27"/>
        <v>22.170849845882874</v>
      </c>
      <c r="P43" s="75">
        <f>O43*(1-PARAM!$C$27)*$I$6+(MOD($B43,60)=PARAM!$B$56)*($B43&gt;(60-PARAM!$B$56))*HLOOKUP(($B43+PARAM!$B$56)/12,Loyalty,2)*$F$1*MAX(R42,0)</f>
        <v>18.557001321003963</v>
      </c>
      <c r="Q43" s="75">
        <f>PARAM!$C$26+MAX($G$6-CHOOSE(PARAM!$B$44,MAX(0,R42*$F$1),0),0)*RATES!$L19/12+$H$6*(PARAM!$D$51/12)*RATES!$N19/100</f>
        <v>7.0833333333333339</v>
      </c>
      <c r="R43" s="16">
        <f t="shared" si="28"/>
        <v>-1092.2878027300733</v>
      </c>
      <c r="S43" s="15">
        <f t="shared" si="4"/>
        <v>22.170849845882874</v>
      </c>
      <c r="T43" s="75">
        <f>S43*(1-PARAM!$C$27)*$I$7+(MOD($B43,60)=PARAM!$B$56)*($B43&gt;(60-PARAM!$B$56))*HLOOKUP(($B43+PARAM!$B$56)/12,Loyalty,2)*$F$1*MAX(V42,0)</f>
        <v>18.557001321003963</v>
      </c>
      <c r="U43" s="75">
        <f>PARAM!$C$26+MAX($G$7-CHOOSE(PARAM!$B$44,MAX(0,V42*$F$1),0),0)*RATES!$L19/12+$H$7*(PARAM!$D$51/12)*RATES!$N19/100</f>
        <v>7.0833333333333339</v>
      </c>
      <c r="V43" s="16">
        <f t="shared" si="29"/>
        <v>-1092.2878027300733</v>
      </c>
      <c r="W43" s="15">
        <f t="shared" si="5"/>
        <v>22.170849845882874</v>
      </c>
      <c r="X43" s="75">
        <f>W43*(1-PARAM!$C$27)*$I$8+(MOD($B43,60)=PARAM!$B$56)*($B43&gt;(60-PARAM!$B$56))*HLOOKUP(($B43+PARAM!$B$56)/12,Loyalty,2)*$F$1*MAX(Z42,0)</f>
        <v>18.557001321003963</v>
      </c>
      <c r="Y43" s="75">
        <f>PARAM!$C$26+MAX($G$8-CHOOSE(PARAM!$B$44,MAX(0,Z42*$F$1),0),0)*RATES!$L19/12+$H$8*(PARAM!$D$51/12)*RATES!$N19/100</f>
        <v>7.0833333333333339</v>
      </c>
      <c r="Z43" s="16">
        <f t="shared" si="30"/>
        <v>-1092.2878027300733</v>
      </c>
      <c r="AA43" s="15">
        <f t="shared" si="6"/>
        <v>22.170849845882874</v>
      </c>
      <c r="AB43" s="75">
        <f>AA43*(1-PARAM!$C$27)*$I$9+(MOD($B43,60)=PARAM!$B$56)*($B43&gt;(60-PARAM!$B$56))*HLOOKUP(($B43+PARAM!$B$56)/12,Loyalty,2)*$F$1*MAX(AD42,0)</f>
        <v>18.557001321003963</v>
      </c>
      <c r="AC43" s="75">
        <f>PARAM!$C$26+MAX($G$9-CHOOSE(PARAM!$B$44,MAX(0,AD42*$F$1),0),0)*RATES!$L19/12+$H$9*(PARAM!$D$51/12)*RATES!$N19/100</f>
        <v>7.0833333333333339</v>
      </c>
      <c r="AD43" s="16">
        <f t="shared" si="31"/>
        <v>-1092.2878027300733</v>
      </c>
      <c r="AE43" s="15">
        <f t="shared" si="7"/>
        <v>22.170849845882874</v>
      </c>
      <c r="AF43" s="75">
        <f>AE43*(1-PARAM!$C$27)*$I$10+(MOD($B43,60)=PARAM!$B$56)*($B43&gt;(60-PARAM!$B$56))*HLOOKUP(($B43+PARAM!$B$56)/12,Loyalty,2)*$F$1*MAX(AH42,0)</f>
        <v>18.557001321003963</v>
      </c>
      <c r="AG43" s="75">
        <f>PARAM!$C$26+MAX($G$10-CHOOSE(PARAM!$B$44,MAX(0,AH42*$F$1),0),0)*RATES!$L19/12+$H$10*(PARAM!$D$51/12)*RATES!$N19/100</f>
        <v>7.0833333333333339</v>
      </c>
      <c r="AH43" s="16">
        <f t="shared" si="32"/>
        <v>-1092.2878027300733</v>
      </c>
      <c r="AI43" s="15">
        <f t="shared" si="8"/>
        <v>22.170849845882874</v>
      </c>
      <c r="AJ43" s="75">
        <f>AI43*(1-PARAM!$C$27)*$I$11+(MOD($B43,60)=PARAM!$B$56)*($B43&gt;(60-PARAM!$B$56))*HLOOKUP(($B43+PARAM!$B$56)/12,Loyalty,2)*$F$1*MAX(AL42,0)</f>
        <v>18.557001321003963</v>
      </c>
      <c r="AK43" s="75">
        <f>PARAM!$C$26+MAX($G$11-CHOOSE(PARAM!$B$44,MAX(0,AL42*$F$1),0),0)*RATES!$L19/12+$H$11*(PARAM!$D$51/12)*RATES!$N19/100</f>
        <v>7.0833333333333339</v>
      </c>
      <c r="AL43" s="16">
        <f t="shared" si="33"/>
        <v>-1092.2878027300733</v>
      </c>
      <c r="AM43" s="15">
        <f t="shared" si="9"/>
        <v>22.170849845882874</v>
      </c>
      <c r="AN43" s="75">
        <f>AM43*(1-PARAM!$C$27)*$I$12+(MOD($B43,60)=PARAM!$B$56)*($B43&gt;(60-PARAM!$B$56))*HLOOKUP(($B43+PARAM!$B$56)/12,Loyalty,2)*$F$1*MAX(AP42,0)</f>
        <v>18.557001321003963</v>
      </c>
      <c r="AO43" s="75">
        <f>PARAM!$C$26+MAX($G$12-CHOOSE(PARAM!$B$44,MAX(0,AP42*$F$1),0),0)*RATES!$L19/12+$H$12*(PARAM!$D$51/12)*RATES!$N19/100</f>
        <v>7.0833333333333339</v>
      </c>
      <c r="AP43" s="16">
        <f t="shared" si="34"/>
        <v>-1092.2878027300733</v>
      </c>
      <c r="AQ43" s="15">
        <f t="shared" si="10"/>
        <v>22.170849845882874</v>
      </c>
      <c r="AR43" s="75">
        <f>AQ43*(1-PARAM!$C$27)*$I$13+(MOD($B43,60)=PARAM!$B$56)*($B43&gt;(60-PARAM!$B$56))*HLOOKUP(($B43+PARAM!$B$56)/12,Loyalty,2)*$F$1*MAX(AT42,0)</f>
        <v>18.557001321003963</v>
      </c>
      <c r="AS43" s="75">
        <f>PARAM!$C$26+MAX($G$13-CHOOSE(PARAM!$B$44,MAX(0,AT42*$F$1),0),0)*RATES!$L19/12+$H$13*(PARAM!$D$51/12)*RATES!$N19/100</f>
        <v>7.0833333333333339</v>
      </c>
      <c r="AT43" s="16">
        <f t="shared" si="35"/>
        <v>-1092.2878027300733</v>
      </c>
      <c r="AU43" s="15">
        <f t="shared" si="11"/>
        <v>22.170849845882874</v>
      </c>
      <c r="AV43" s="75">
        <f>AU43*(1-PARAM!$C$27)*$I$14+(MOD($B43,60)=PARAM!$B$56)*($B43&gt;(60-PARAM!$B$56))*HLOOKUP(($B43+PARAM!$B$56)/12,Loyalty,2)*$F$1*MAX(AX42,0)</f>
        <v>18.557001321003963</v>
      </c>
      <c r="AW43" s="75">
        <f>PARAM!$C$26+MAX($G$14-CHOOSE(PARAM!$B$44,MAX(0,AX42*$F$1),0),0)*RATES!$L19/12+$H$14*(PARAM!$D$51/12)*RATES!$N19/100</f>
        <v>7.0833333333333339</v>
      </c>
      <c r="AX43" s="16">
        <f t="shared" si="36"/>
        <v>-1092.2878027300733</v>
      </c>
      <c r="AY43" s="15">
        <f t="shared" si="12"/>
        <v>22.170849845882874</v>
      </c>
      <c r="AZ43" s="75">
        <f>AY43*(1-PARAM!$C$27)*$I$15+(MOD($B43,60)=PARAM!$B$56)*($B43&gt;(60-PARAM!$B$56))*HLOOKUP(($B43+PARAM!$B$56)/12,Loyalty,2)*$F$1*MAX(BB42,0)</f>
        <v>18.557001321003963</v>
      </c>
      <c r="BA43" s="75">
        <f>PARAM!$C$26+MAX($G$15-CHOOSE(PARAM!$B$44,MAX(0,BB42*$F$1),0),0)*RATES!$L19/12+$H$15*(PARAM!$D$51/12)*RATES!$N19/100</f>
        <v>7.0833333333333339</v>
      </c>
      <c r="BB43" s="16">
        <f t="shared" si="37"/>
        <v>-1092.2878027300733</v>
      </c>
      <c r="BC43" s="15">
        <f t="shared" si="13"/>
        <v>22.170849845882874</v>
      </c>
      <c r="BD43" s="75">
        <f>BC43*(1-PARAM!$C$27)*$I$16+(MOD($B43,60)=PARAM!$B$56)*($B43&gt;(60-PARAM!$B$56))*HLOOKUP(($B43+PARAM!$B$56)/12,Loyalty,2)*$F$1*MAX(BF42,0)</f>
        <v>18.557001321003963</v>
      </c>
      <c r="BE43" s="75">
        <f>PARAM!$C$26+MAX($G$16-CHOOSE(PARAM!$B$44,MAX(0,BF42*$F$1),0),0)*RATES!$L19/12+$H$16*(PARAM!$D$51/12)*RATES!$N19/100</f>
        <v>7.0833333333333339</v>
      </c>
      <c r="BF43" s="16">
        <f t="shared" si="38"/>
        <v>-1092.2878027300733</v>
      </c>
      <c r="BG43" s="15">
        <f t="shared" si="14"/>
        <v>22.170849845882874</v>
      </c>
      <c r="BH43" s="75">
        <f>BG43*(1-PARAM!$C$27)*$I$17+(MOD($B43,60)=PARAM!$B$56)*($B43&gt;(60-PARAM!$B$56))*HLOOKUP(($B43+PARAM!$B$56)/12,Loyalty,2)*$F$1*MAX(BJ42,0)</f>
        <v>18.557001321003963</v>
      </c>
      <c r="BI43" s="75">
        <f>PARAM!$C$26+MAX($G$17-CHOOSE(PARAM!$B$44,MAX(0,BJ42*$F$1),0),0)*RATES!$L19/12+$H$17*(PARAM!$D$51/12)*RATES!$N19/100</f>
        <v>7.0833333333333339</v>
      </c>
      <c r="BJ43" s="16">
        <f t="shared" si="39"/>
        <v>-1092.2878027300733</v>
      </c>
      <c r="BK43" s="15">
        <f t="shared" si="15"/>
        <v>22.170849845882874</v>
      </c>
      <c r="BL43" s="75">
        <f>BK43*(1-PARAM!$C$27)*$I$18+(MOD($B43,60)=PARAM!$B$56)*($B43&gt;(60-PARAM!$B$56))*HLOOKUP(($B43+PARAM!$B$56)/12,Loyalty,2)*$F$1*MAX(BN42,0)</f>
        <v>18.557001321003963</v>
      </c>
      <c r="BM43" s="75">
        <f>PARAM!$C$26+MAX($G$18-CHOOSE(PARAM!$B$44,MAX(0,BN42*$F$1),0),0)*RATES!$L19/12+$H$18*(PARAM!$D$51/12)*RATES!$N19/100</f>
        <v>7.0833333333333339</v>
      </c>
      <c r="BN43" s="16">
        <f t="shared" si="40"/>
        <v>-1092.2878027300733</v>
      </c>
      <c r="BO43" s="15">
        <f t="shared" si="16"/>
        <v>22.170849845882874</v>
      </c>
      <c r="BP43" s="75">
        <f>BO43*(1-PARAM!$C$27)*$I$19+(MOD($B43,60)=PARAM!$B$56)*($B43&gt;(60-PARAM!$B$56))*HLOOKUP(($B43+PARAM!$B$56)/12,Loyalty,2)*$F$1*MAX(BR42,0)</f>
        <v>18.557001321003963</v>
      </c>
      <c r="BQ43" s="75">
        <f>PARAM!$C$26+MAX($G$19-CHOOSE(PARAM!$B$44,MAX(0,BR42*$F$1),0),0)*RATES!$L19/12+$H$19*(PARAM!$D$51/12)*RATES!$N19/100</f>
        <v>7.0833333333333339</v>
      </c>
      <c r="BR43" s="16">
        <f t="shared" si="41"/>
        <v>-1092.2878027300733</v>
      </c>
      <c r="BS43" s="15">
        <f t="shared" si="17"/>
        <v>22.170849845882874</v>
      </c>
      <c r="BT43" s="75">
        <f>BS43*(1-PARAM!$C$27)*$I$20+(MOD($B43,60)=PARAM!$B$56)*($B43&gt;(60-PARAM!$B$56))*HLOOKUP(($B43+PARAM!$B$56)/12,Loyalty,2)*$F$1*MAX(BV42,0)</f>
        <v>18.557001321003963</v>
      </c>
      <c r="BU43" s="75">
        <f>PARAM!$C$26+MAX($G$20-CHOOSE(PARAM!$B$44,MAX(0,BV42*$F$1),0),0)*RATES!$L19/12+$H$20*(PARAM!$D$51/12)*RATES!$N19/100</f>
        <v>7.0833333333333339</v>
      </c>
      <c r="BV43" s="16">
        <f t="shared" si="42"/>
        <v>-1092.2878027300733</v>
      </c>
      <c r="BW43" s="15">
        <f t="shared" si="18"/>
        <v>22.170849845882874</v>
      </c>
      <c r="BX43" s="75">
        <f>BW43*(1-PARAM!$C$27)*$I$21+(MOD($B43,60)=PARAM!$B$56)*($B43&gt;(60-PARAM!$B$56))*HLOOKUP(($B43+PARAM!$B$56)/12,Loyalty,2)*$F$1*MAX(BZ42,0)</f>
        <v>18.557001321003963</v>
      </c>
      <c r="BY43" s="75">
        <f>PARAM!$C$26+MAX($G$21-CHOOSE(PARAM!$B$44,MAX(0,BZ42*$F$1),0),0)*RATES!$L19/12+$H$21*(PARAM!$D$51/12)*RATES!$N19/100</f>
        <v>7.0833333333333339</v>
      </c>
      <c r="BZ43" s="16">
        <f t="shared" si="43"/>
        <v>-1092.2878027300733</v>
      </c>
      <c r="CA43" s="15">
        <f t="shared" si="19"/>
        <v>22.170849845882874</v>
      </c>
      <c r="CB43" s="75">
        <f>CA43*(1-PARAM!$C$27)*$I$22+(MOD($B43,60)=PARAM!$B$56)*($B43&gt;(60-PARAM!$B$56))*HLOOKUP(($B43+PARAM!$B$56)/12,Loyalty,2)*$F$1*MAX(CD42,0)</f>
        <v>18.557001321003963</v>
      </c>
      <c r="CC43" s="75">
        <f>PARAM!$C$26+MAX($G$22-CHOOSE(PARAM!$B$44,MAX(0,CD42*$F$1),0),0)*RATES!$L19/12+$H$22*(PARAM!$D$51/12)*RATES!$N19/100</f>
        <v>7.0833333333333339</v>
      </c>
      <c r="CD43" s="16">
        <f t="shared" si="44"/>
        <v>-1092.2878027300733</v>
      </c>
      <c r="CE43" s="33">
        <f>IF(0=MOD(B43,12/PARAM!$D$51),1,0)</f>
        <v>1</v>
      </c>
      <c r="CF43" s="15">
        <f t="shared" si="20"/>
        <v>0</v>
      </c>
      <c r="CG43" s="75">
        <f>CF43*(1-PARAM!$C$27)*$R$3+(MOD($B43/12,5)=0)*($B43&gt;60)*HLOOKUP($B43/12,Loyalty,2)*$F$1*MAX(CI42,0)</f>
        <v>0</v>
      </c>
      <c r="CH43" s="75">
        <f>PARAM!$C$26+MAX($P$3-CHOOSE(PARAM!$B$44,MAX(0,CI42*$F$1),0),0)*RATES!$L19/12+$Q$3*(PARAM!$D$51/12)*RATES!$N19/100</f>
        <v>7.0833333333333339</v>
      </c>
      <c r="CI43" s="16">
        <f>IF(CI42&gt;0,CI42*PARAM!$C$53,CI42)+CG43-CH43</f>
        <v>-1194.9166666666658</v>
      </c>
      <c r="CJ43" s="15">
        <f t="shared" si="45"/>
        <v>0</v>
      </c>
      <c r="CK43" s="75">
        <f>CJ43*(1-PARAM!$C$27)*$R$4+(MOD($B43/12,5)=0)*($B43&gt;60)*HLOOKUP($B43/12,Loyalty,2)*$F$1*MAX(CM42,0)</f>
        <v>0</v>
      </c>
      <c r="CL43" s="75">
        <f>PARAM!$C$26+MAX($P$4-CHOOSE(PARAM!$B$44,MAX(0,CM42*$F$1),0),0)*RATES!$L19/12+$Q$4*(PARAM!$D$51/12)*RATES!$N19/100</f>
        <v>7.0833333333333339</v>
      </c>
      <c r="CM43" s="16">
        <f>IF(CM42&gt;0,CM42*PARAM!$C$53,CM42)+CK43-CL43</f>
        <v>-1194.9166666666658</v>
      </c>
      <c r="CO43" s="176"/>
    </row>
    <row r="44" spans="1:93" x14ac:dyDescent="0.2">
      <c r="A44" t="b">
        <f t="shared" si="21"/>
        <v>0</v>
      </c>
      <c r="B44" s="33">
        <v>17</v>
      </c>
      <c r="C44" s="15">
        <f t="shared" si="46"/>
        <v>20.081305947392778</v>
      </c>
      <c r="D44" s="75">
        <f>C44*(1-PARAM!$C$27)*$I$3+(MOD($B44,60)=PARAM!$B$56)*($B44&gt;(60-PARAM!$B$56))*HLOOKUP(($B44+PARAM!$B$56)/12,Loyalty,2)*$F$1*MAX(F43,0)</f>
        <v>16.808053077967756</v>
      </c>
      <c r="E44" s="75">
        <f>PARAM!$C$26+MAX($G$3-CHOOSE(PARAM!$B$44,MAX(0,F43*$F$1),0),0)*RATES!$L20/12+$H$3*(PARAM!$D$51/12)*RATES!$N20/100</f>
        <v>7.0833333333333339</v>
      </c>
      <c r="F44" s="16">
        <f t="shared" si="22"/>
        <v>-1092.2355816915499</v>
      </c>
      <c r="G44" s="15">
        <f t="shared" si="23"/>
        <v>22.035289406060361</v>
      </c>
      <c r="H44" s="75">
        <f>G44*(1-PARAM!$C$27)*$I$4+(MOD($B44,60)=PARAM!$B$56)*($B44&gt;(60-PARAM!$B$56))*HLOOKUP(($B44+PARAM!$B$56)/12,Loyalty,2)*$F$1*MAX(J43,0)</f>
        <v>18.443537232872522</v>
      </c>
      <c r="I44" s="75">
        <f>PARAM!$C$26+MAX($G$4-CHOOSE(PARAM!$B$44,MAX(0,J43*$F$1),0),0)*RATES!$L20/12+$H$4*(PARAM!$D$51/12)*RATES!$N20/100</f>
        <v>7.0833333333333339</v>
      </c>
      <c r="J44" s="16">
        <f t="shared" si="24"/>
        <v>-1081.5551081064721</v>
      </c>
      <c r="K44" s="15">
        <f t="shared" si="25"/>
        <v>22.170849845882874</v>
      </c>
      <c r="L44" s="75">
        <f>K44*(1-PARAM!$C$27)*$I$5+(MOD($B44,60)=PARAM!$B$56)*($B44&gt;(60-PARAM!$B$56))*HLOOKUP(($B44+PARAM!$B$56)/12,Loyalty,2)*$F$1*MAX(N43,0)</f>
        <v>18.557001321003963</v>
      </c>
      <c r="M44" s="75">
        <f>PARAM!$C$26+MAX($G$5-CHOOSE(PARAM!$B$44,MAX(0,N43*$F$1),0),0)*RATES!$L20/12+$H$5*(PARAM!$D$51/12)*RATES!$N20/100</f>
        <v>7.0833333333333339</v>
      </c>
      <c r="N44" s="16">
        <f t="shared" si="26"/>
        <v>-1080.8141347424025</v>
      </c>
      <c r="O44" s="15">
        <f t="shared" si="27"/>
        <v>22.170849845882874</v>
      </c>
      <c r="P44" s="75">
        <f>O44*(1-PARAM!$C$27)*$I$6+(MOD($B44,60)=PARAM!$B$56)*($B44&gt;(60-PARAM!$B$56))*HLOOKUP(($B44+PARAM!$B$56)/12,Loyalty,2)*$F$1*MAX(R43,0)</f>
        <v>18.557001321003963</v>
      </c>
      <c r="Q44" s="75">
        <f>PARAM!$C$26+MAX($G$6-CHOOSE(PARAM!$B$44,MAX(0,R43*$F$1),0),0)*RATES!$L20/12+$H$6*(PARAM!$D$51/12)*RATES!$N20/100</f>
        <v>7.0833333333333339</v>
      </c>
      <c r="R44" s="16">
        <f t="shared" si="28"/>
        <v>-1080.8141347424025</v>
      </c>
      <c r="S44" s="15">
        <f t="shared" si="4"/>
        <v>22.170849845882874</v>
      </c>
      <c r="T44" s="75">
        <f>S44*(1-PARAM!$C$27)*$I$7+(MOD($B44,60)=PARAM!$B$56)*($B44&gt;(60-PARAM!$B$56))*HLOOKUP(($B44+PARAM!$B$56)/12,Loyalty,2)*$F$1*MAX(V43,0)</f>
        <v>18.557001321003963</v>
      </c>
      <c r="U44" s="75">
        <f>PARAM!$C$26+MAX($G$7-CHOOSE(PARAM!$B$44,MAX(0,V43*$F$1),0),0)*RATES!$L20/12+$H$7*(PARAM!$D$51/12)*RATES!$N20/100</f>
        <v>7.0833333333333339</v>
      </c>
      <c r="V44" s="16">
        <f t="shared" si="29"/>
        <v>-1080.8141347424025</v>
      </c>
      <c r="W44" s="15">
        <f t="shared" si="5"/>
        <v>22.170849845882874</v>
      </c>
      <c r="X44" s="75">
        <f>W44*(1-PARAM!$C$27)*$I$8+(MOD($B44,60)=PARAM!$B$56)*($B44&gt;(60-PARAM!$B$56))*HLOOKUP(($B44+PARAM!$B$56)/12,Loyalty,2)*$F$1*MAX(Z43,0)</f>
        <v>18.557001321003963</v>
      </c>
      <c r="Y44" s="75">
        <f>PARAM!$C$26+MAX($G$8-CHOOSE(PARAM!$B$44,MAX(0,Z43*$F$1),0),0)*RATES!$L20/12+$H$8*(PARAM!$D$51/12)*RATES!$N20/100</f>
        <v>7.0833333333333339</v>
      </c>
      <c r="Z44" s="16">
        <f t="shared" si="30"/>
        <v>-1080.8141347424025</v>
      </c>
      <c r="AA44" s="15">
        <f t="shared" si="6"/>
        <v>22.170849845882874</v>
      </c>
      <c r="AB44" s="75">
        <f>AA44*(1-PARAM!$C$27)*$I$9+(MOD($B44,60)=PARAM!$B$56)*($B44&gt;(60-PARAM!$B$56))*HLOOKUP(($B44+PARAM!$B$56)/12,Loyalty,2)*$F$1*MAX(AD43,0)</f>
        <v>18.557001321003963</v>
      </c>
      <c r="AC44" s="75">
        <f>PARAM!$C$26+MAX($G$9-CHOOSE(PARAM!$B$44,MAX(0,AD43*$F$1),0),0)*RATES!$L20/12+$H$9*(PARAM!$D$51/12)*RATES!$N20/100</f>
        <v>7.0833333333333339</v>
      </c>
      <c r="AD44" s="16">
        <f t="shared" si="31"/>
        <v>-1080.8141347424025</v>
      </c>
      <c r="AE44" s="15">
        <f t="shared" si="7"/>
        <v>22.170849845882874</v>
      </c>
      <c r="AF44" s="75">
        <f>AE44*(1-PARAM!$C$27)*$I$10+(MOD($B44,60)=PARAM!$B$56)*($B44&gt;(60-PARAM!$B$56))*HLOOKUP(($B44+PARAM!$B$56)/12,Loyalty,2)*$F$1*MAX(AH43,0)</f>
        <v>18.557001321003963</v>
      </c>
      <c r="AG44" s="75">
        <f>PARAM!$C$26+MAX($G$10-CHOOSE(PARAM!$B$44,MAX(0,AH43*$F$1),0),0)*RATES!$L20/12+$H$10*(PARAM!$D$51/12)*RATES!$N20/100</f>
        <v>7.0833333333333339</v>
      </c>
      <c r="AH44" s="16">
        <f t="shared" si="32"/>
        <v>-1080.8141347424025</v>
      </c>
      <c r="AI44" s="15">
        <f t="shared" si="8"/>
        <v>22.170849845882874</v>
      </c>
      <c r="AJ44" s="75">
        <f>AI44*(1-PARAM!$C$27)*$I$11+(MOD($B44,60)=PARAM!$B$56)*($B44&gt;(60-PARAM!$B$56))*HLOOKUP(($B44+PARAM!$B$56)/12,Loyalty,2)*$F$1*MAX(AL43,0)</f>
        <v>18.557001321003963</v>
      </c>
      <c r="AK44" s="75">
        <f>PARAM!$C$26+MAX($G$11-CHOOSE(PARAM!$B$44,MAX(0,AL43*$F$1),0),0)*RATES!$L20/12+$H$11*(PARAM!$D$51/12)*RATES!$N20/100</f>
        <v>7.0833333333333339</v>
      </c>
      <c r="AL44" s="16">
        <f t="shared" si="33"/>
        <v>-1080.8141347424025</v>
      </c>
      <c r="AM44" s="15">
        <f t="shared" si="9"/>
        <v>22.170849845882874</v>
      </c>
      <c r="AN44" s="75">
        <f>AM44*(1-PARAM!$C$27)*$I$12+(MOD($B44,60)=PARAM!$B$56)*($B44&gt;(60-PARAM!$B$56))*HLOOKUP(($B44+PARAM!$B$56)/12,Loyalty,2)*$F$1*MAX(AP43,0)</f>
        <v>18.557001321003963</v>
      </c>
      <c r="AO44" s="75">
        <f>PARAM!$C$26+MAX($G$12-CHOOSE(PARAM!$B$44,MAX(0,AP43*$F$1),0),0)*RATES!$L20/12+$H$12*(PARAM!$D$51/12)*RATES!$N20/100</f>
        <v>7.0833333333333339</v>
      </c>
      <c r="AP44" s="16">
        <f t="shared" si="34"/>
        <v>-1080.8141347424025</v>
      </c>
      <c r="AQ44" s="15">
        <f t="shared" si="10"/>
        <v>22.170849845882874</v>
      </c>
      <c r="AR44" s="75">
        <f>AQ44*(1-PARAM!$C$27)*$I$13+(MOD($B44,60)=PARAM!$B$56)*($B44&gt;(60-PARAM!$B$56))*HLOOKUP(($B44+PARAM!$B$56)/12,Loyalty,2)*$F$1*MAX(AT43,0)</f>
        <v>18.557001321003963</v>
      </c>
      <c r="AS44" s="75">
        <f>PARAM!$C$26+MAX($G$13-CHOOSE(PARAM!$B$44,MAX(0,AT43*$F$1),0),0)*RATES!$L20/12+$H$13*(PARAM!$D$51/12)*RATES!$N20/100</f>
        <v>7.0833333333333339</v>
      </c>
      <c r="AT44" s="16">
        <f t="shared" si="35"/>
        <v>-1080.8141347424025</v>
      </c>
      <c r="AU44" s="15">
        <f t="shared" si="11"/>
        <v>22.170849845882874</v>
      </c>
      <c r="AV44" s="75">
        <f>AU44*(1-PARAM!$C$27)*$I$14+(MOD($B44,60)=PARAM!$B$56)*($B44&gt;(60-PARAM!$B$56))*HLOOKUP(($B44+PARAM!$B$56)/12,Loyalty,2)*$F$1*MAX(AX43,0)</f>
        <v>18.557001321003963</v>
      </c>
      <c r="AW44" s="75">
        <f>PARAM!$C$26+MAX($G$14-CHOOSE(PARAM!$B$44,MAX(0,AX43*$F$1),0),0)*RATES!$L20/12+$H$14*(PARAM!$D$51/12)*RATES!$N20/100</f>
        <v>7.0833333333333339</v>
      </c>
      <c r="AX44" s="16">
        <f t="shared" si="36"/>
        <v>-1080.8141347424025</v>
      </c>
      <c r="AY44" s="15">
        <f t="shared" si="12"/>
        <v>22.170849845882874</v>
      </c>
      <c r="AZ44" s="75">
        <f>AY44*(1-PARAM!$C$27)*$I$15+(MOD($B44,60)=PARAM!$B$56)*($B44&gt;(60-PARAM!$B$56))*HLOOKUP(($B44+PARAM!$B$56)/12,Loyalty,2)*$F$1*MAX(BB43,0)</f>
        <v>18.557001321003963</v>
      </c>
      <c r="BA44" s="75">
        <f>PARAM!$C$26+MAX($G$15-CHOOSE(PARAM!$B$44,MAX(0,BB43*$F$1),0),0)*RATES!$L20/12+$H$15*(PARAM!$D$51/12)*RATES!$N20/100</f>
        <v>7.0833333333333339</v>
      </c>
      <c r="BB44" s="16">
        <f t="shared" si="37"/>
        <v>-1080.8141347424025</v>
      </c>
      <c r="BC44" s="15">
        <f t="shared" si="13"/>
        <v>22.170849845882874</v>
      </c>
      <c r="BD44" s="75">
        <f>BC44*(1-PARAM!$C$27)*$I$16+(MOD($B44,60)=PARAM!$B$56)*($B44&gt;(60-PARAM!$B$56))*HLOOKUP(($B44+PARAM!$B$56)/12,Loyalty,2)*$F$1*MAX(BF43,0)</f>
        <v>18.557001321003963</v>
      </c>
      <c r="BE44" s="75">
        <f>PARAM!$C$26+MAX($G$16-CHOOSE(PARAM!$B$44,MAX(0,BF43*$F$1),0),0)*RATES!$L20/12+$H$16*(PARAM!$D$51/12)*RATES!$N20/100</f>
        <v>7.0833333333333339</v>
      </c>
      <c r="BF44" s="16">
        <f t="shared" si="38"/>
        <v>-1080.8141347424025</v>
      </c>
      <c r="BG44" s="15">
        <f t="shared" si="14"/>
        <v>22.170849845882874</v>
      </c>
      <c r="BH44" s="75">
        <f>BG44*(1-PARAM!$C$27)*$I$17+(MOD($B44,60)=PARAM!$B$56)*($B44&gt;(60-PARAM!$B$56))*HLOOKUP(($B44+PARAM!$B$56)/12,Loyalty,2)*$F$1*MAX(BJ43,0)</f>
        <v>18.557001321003963</v>
      </c>
      <c r="BI44" s="75">
        <f>PARAM!$C$26+MAX($G$17-CHOOSE(PARAM!$B$44,MAX(0,BJ43*$F$1),0),0)*RATES!$L20/12+$H$17*(PARAM!$D$51/12)*RATES!$N20/100</f>
        <v>7.0833333333333339</v>
      </c>
      <c r="BJ44" s="16">
        <f t="shared" si="39"/>
        <v>-1080.8141347424025</v>
      </c>
      <c r="BK44" s="15">
        <f t="shared" si="15"/>
        <v>22.170849845882874</v>
      </c>
      <c r="BL44" s="75">
        <f>BK44*(1-PARAM!$C$27)*$I$18+(MOD($B44,60)=PARAM!$B$56)*($B44&gt;(60-PARAM!$B$56))*HLOOKUP(($B44+PARAM!$B$56)/12,Loyalty,2)*$F$1*MAX(BN43,0)</f>
        <v>18.557001321003963</v>
      </c>
      <c r="BM44" s="75">
        <f>PARAM!$C$26+MAX($G$18-CHOOSE(PARAM!$B$44,MAX(0,BN43*$F$1),0),0)*RATES!$L20/12+$H$18*(PARAM!$D$51/12)*RATES!$N20/100</f>
        <v>7.0833333333333339</v>
      </c>
      <c r="BN44" s="16">
        <f t="shared" si="40"/>
        <v>-1080.8141347424025</v>
      </c>
      <c r="BO44" s="15">
        <f t="shared" si="16"/>
        <v>22.170849845882874</v>
      </c>
      <c r="BP44" s="75">
        <f>BO44*(1-PARAM!$C$27)*$I$19+(MOD($B44,60)=PARAM!$B$56)*($B44&gt;(60-PARAM!$B$56))*HLOOKUP(($B44+PARAM!$B$56)/12,Loyalty,2)*$F$1*MAX(BR43,0)</f>
        <v>18.557001321003963</v>
      </c>
      <c r="BQ44" s="75">
        <f>PARAM!$C$26+MAX($G$19-CHOOSE(PARAM!$B$44,MAX(0,BR43*$F$1),0),0)*RATES!$L20/12+$H$19*(PARAM!$D$51/12)*RATES!$N20/100</f>
        <v>7.0833333333333339</v>
      </c>
      <c r="BR44" s="16">
        <f t="shared" si="41"/>
        <v>-1080.8141347424025</v>
      </c>
      <c r="BS44" s="15">
        <f t="shared" si="17"/>
        <v>22.170849845882874</v>
      </c>
      <c r="BT44" s="75">
        <f>BS44*(1-PARAM!$C$27)*$I$20+(MOD($B44,60)=PARAM!$B$56)*($B44&gt;(60-PARAM!$B$56))*HLOOKUP(($B44+PARAM!$B$56)/12,Loyalty,2)*$F$1*MAX(BV43,0)</f>
        <v>18.557001321003963</v>
      </c>
      <c r="BU44" s="75">
        <f>PARAM!$C$26+MAX($G$20-CHOOSE(PARAM!$B$44,MAX(0,BV43*$F$1),0),0)*RATES!$L20/12+$H$20*(PARAM!$D$51/12)*RATES!$N20/100</f>
        <v>7.0833333333333339</v>
      </c>
      <c r="BV44" s="16">
        <f t="shared" si="42"/>
        <v>-1080.8141347424025</v>
      </c>
      <c r="BW44" s="15">
        <f t="shared" si="18"/>
        <v>22.170849845882874</v>
      </c>
      <c r="BX44" s="75">
        <f>BW44*(1-PARAM!$C$27)*$I$21+(MOD($B44,60)=PARAM!$B$56)*($B44&gt;(60-PARAM!$B$56))*HLOOKUP(($B44+PARAM!$B$56)/12,Loyalty,2)*$F$1*MAX(BZ43,0)</f>
        <v>18.557001321003963</v>
      </c>
      <c r="BY44" s="75">
        <f>PARAM!$C$26+MAX($G$21-CHOOSE(PARAM!$B$44,MAX(0,BZ43*$F$1),0),0)*RATES!$L20/12+$H$21*(PARAM!$D$51/12)*RATES!$N20/100</f>
        <v>7.0833333333333339</v>
      </c>
      <c r="BZ44" s="16">
        <f t="shared" si="43"/>
        <v>-1080.8141347424025</v>
      </c>
      <c r="CA44" s="15">
        <f t="shared" si="19"/>
        <v>22.170849845882874</v>
      </c>
      <c r="CB44" s="75">
        <f>CA44*(1-PARAM!$C$27)*$I$22+(MOD($B44,60)=PARAM!$B$56)*($B44&gt;(60-PARAM!$B$56))*HLOOKUP(($B44+PARAM!$B$56)/12,Loyalty,2)*$F$1*MAX(CD43,0)</f>
        <v>18.557001321003963</v>
      </c>
      <c r="CC44" s="75">
        <f>PARAM!$C$26+MAX($G$22-CHOOSE(PARAM!$B$44,MAX(0,CD43*$F$1),0),0)*RATES!$L20/12+$H$22*(PARAM!$D$51/12)*RATES!$N20/100</f>
        <v>7.0833333333333339</v>
      </c>
      <c r="CD44" s="16">
        <f t="shared" si="44"/>
        <v>-1080.8141347424025</v>
      </c>
      <c r="CE44" s="33">
        <f>IF(0=MOD(B44,12/PARAM!$D$51),1,0)</f>
        <v>1</v>
      </c>
      <c r="CF44" s="15">
        <f t="shared" si="20"/>
        <v>0</v>
      </c>
      <c r="CG44" s="75">
        <f>CF44*(1-PARAM!$C$27)*$R$3+(MOD($B44/12,5)=0)*($B44&gt;60)*HLOOKUP($B44/12,Loyalty,2)*$F$1*MAX(CI43,0)</f>
        <v>0</v>
      </c>
      <c r="CH44" s="75">
        <f>PARAM!$C$26+MAX($P$3-CHOOSE(PARAM!$B$44,MAX(0,CI43*$F$1),0),0)*RATES!$L20/12+$Q$3*(PARAM!$D$51/12)*RATES!$N20/100</f>
        <v>7.0833333333333339</v>
      </c>
      <c r="CI44" s="16">
        <f>IF(CI43&gt;0,CI43*PARAM!$C$53,CI43)+CG44-CH44</f>
        <v>-1201.9999999999991</v>
      </c>
      <c r="CJ44" s="15">
        <f t="shared" si="45"/>
        <v>0</v>
      </c>
      <c r="CK44" s="75">
        <f>CJ44*(1-PARAM!$C$27)*$R$4+(MOD($B44/12,5)=0)*($B44&gt;60)*HLOOKUP($B44/12,Loyalty,2)*$F$1*MAX(CM43,0)</f>
        <v>0</v>
      </c>
      <c r="CL44" s="75">
        <f>PARAM!$C$26+MAX($P$4-CHOOSE(PARAM!$B$44,MAX(0,CM43*$F$1),0),0)*RATES!$L20/12+$Q$4*(PARAM!$D$51/12)*RATES!$N20/100</f>
        <v>7.0833333333333339</v>
      </c>
      <c r="CM44" s="16">
        <f>IF(CM43&gt;0,CM43*PARAM!$C$53,CM43)+CK44-CL44</f>
        <v>-1201.9999999999991</v>
      </c>
      <c r="CO44" s="176"/>
    </row>
    <row r="45" spans="1:93" x14ac:dyDescent="0.2">
      <c r="A45" t="b">
        <f t="shared" si="21"/>
        <v>0</v>
      </c>
      <c r="B45" s="33">
        <v>18</v>
      </c>
      <c r="C45" s="15">
        <f t="shared" si="46"/>
        <v>20.081305947392778</v>
      </c>
      <c r="D45" s="75">
        <f>C45*(1-PARAM!$C$27)*$I$3+(MOD($B45,60)=PARAM!$B$56)*($B45&gt;(60-PARAM!$B$56))*HLOOKUP(($B45+PARAM!$B$56)/12,Loyalty,2)*$F$1*MAX(F44,0)</f>
        <v>16.808053077967756</v>
      </c>
      <c r="E45" s="75">
        <f>PARAM!$C$26+MAX($G$3-CHOOSE(PARAM!$B$44,MAX(0,F44*$F$1),0),0)*RATES!$L21/12+$H$3*(PARAM!$D$51/12)*RATES!$N21/100</f>
        <v>7.166666666666667</v>
      </c>
      <c r="F45" s="16">
        <f t="shared" si="22"/>
        <v>-1082.5941952802489</v>
      </c>
      <c r="G45" s="15">
        <f t="shared" si="23"/>
        <v>22.035289406060361</v>
      </c>
      <c r="H45" s="75">
        <f>G45*(1-PARAM!$C$27)*$I$4+(MOD($B45,60)=PARAM!$B$56)*($B45&gt;(60-PARAM!$B$56))*HLOOKUP(($B45+PARAM!$B$56)/12,Loyalty,2)*$F$1*MAX(J44,0)</f>
        <v>18.443537232872522</v>
      </c>
      <c r="I45" s="75">
        <f>PARAM!$C$26+MAX($G$4-CHOOSE(PARAM!$B$44,MAX(0,J44*$F$1),0),0)*RATES!$L21/12+$H$4*(PARAM!$D$51/12)*RATES!$N21/100</f>
        <v>7.166666666666667</v>
      </c>
      <c r="J45" s="16">
        <f t="shared" si="24"/>
        <v>-1070.2782375402662</v>
      </c>
      <c r="K45" s="15">
        <f t="shared" si="25"/>
        <v>22.170849845882874</v>
      </c>
      <c r="L45" s="75">
        <f>K45*(1-PARAM!$C$27)*$I$5+(MOD($B45,60)=PARAM!$B$56)*($B45&gt;(60-PARAM!$B$56))*HLOOKUP(($B45+PARAM!$B$56)/12,Loyalty,2)*$F$1*MAX(N44,0)</f>
        <v>18.557001321003963</v>
      </c>
      <c r="M45" s="75">
        <f>PARAM!$C$26+MAX($G$5-CHOOSE(PARAM!$B$44,MAX(0,N44*$F$1),0),0)*RATES!$L21/12+$H$5*(PARAM!$D$51/12)*RATES!$N21/100</f>
        <v>7.166666666666667</v>
      </c>
      <c r="N45" s="16">
        <f t="shared" si="26"/>
        <v>-1069.4238000880653</v>
      </c>
      <c r="O45" s="15">
        <f t="shared" si="27"/>
        <v>22.170849845882874</v>
      </c>
      <c r="P45" s="75">
        <f>O45*(1-PARAM!$C$27)*$I$6+(MOD($B45,60)=PARAM!$B$56)*($B45&gt;(60-PARAM!$B$56))*HLOOKUP(($B45+PARAM!$B$56)/12,Loyalty,2)*$F$1*MAX(R44,0)</f>
        <v>18.557001321003963</v>
      </c>
      <c r="Q45" s="75">
        <f>PARAM!$C$26+MAX($G$6-CHOOSE(PARAM!$B$44,MAX(0,R44*$F$1),0),0)*RATES!$L21/12+$H$6*(PARAM!$D$51/12)*RATES!$N21/100</f>
        <v>7.166666666666667</v>
      </c>
      <c r="R45" s="16">
        <f t="shared" si="28"/>
        <v>-1069.4238000880653</v>
      </c>
      <c r="S45" s="15">
        <f t="shared" si="4"/>
        <v>22.170849845882874</v>
      </c>
      <c r="T45" s="75">
        <f>S45*(1-PARAM!$C$27)*$I$7+(MOD($B45,60)=PARAM!$B$56)*($B45&gt;(60-PARAM!$B$56))*HLOOKUP(($B45+PARAM!$B$56)/12,Loyalty,2)*$F$1*MAX(V44,0)</f>
        <v>18.557001321003963</v>
      </c>
      <c r="U45" s="75">
        <f>PARAM!$C$26+MAX($G$7-CHOOSE(PARAM!$B$44,MAX(0,V44*$F$1),0),0)*RATES!$L21/12+$H$7*(PARAM!$D$51/12)*RATES!$N21/100</f>
        <v>7.166666666666667</v>
      </c>
      <c r="V45" s="16">
        <f t="shared" si="29"/>
        <v>-1069.4238000880653</v>
      </c>
      <c r="W45" s="15">
        <f t="shared" si="5"/>
        <v>22.170849845882874</v>
      </c>
      <c r="X45" s="75">
        <f>W45*(1-PARAM!$C$27)*$I$8+(MOD($B45,60)=PARAM!$B$56)*($B45&gt;(60-PARAM!$B$56))*HLOOKUP(($B45+PARAM!$B$56)/12,Loyalty,2)*$F$1*MAX(Z44,0)</f>
        <v>18.557001321003963</v>
      </c>
      <c r="Y45" s="75">
        <f>PARAM!$C$26+MAX($G$8-CHOOSE(PARAM!$B$44,MAX(0,Z44*$F$1),0),0)*RATES!$L21/12+$H$8*(PARAM!$D$51/12)*RATES!$N21/100</f>
        <v>7.166666666666667</v>
      </c>
      <c r="Z45" s="16">
        <f t="shared" si="30"/>
        <v>-1069.4238000880653</v>
      </c>
      <c r="AA45" s="15">
        <f t="shared" si="6"/>
        <v>22.170849845882874</v>
      </c>
      <c r="AB45" s="75">
        <f>AA45*(1-PARAM!$C$27)*$I$9+(MOD($B45,60)=PARAM!$B$56)*($B45&gt;(60-PARAM!$B$56))*HLOOKUP(($B45+PARAM!$B$56)/12,Loyalty,2)*$F$1*MAX(AD44,0)</f>
        <v>18.557001321003963</v>
      </c>
      <c r="AC45" s="75">
        <f>PARAM!$C$26+MAX($G$9-CHOOSE(PARAM!$B$44,MAX(0,AD44*$F$1),0),0)*RATES!$L21/12+$H$9*(PARAM!$D$51/12)*RATES!$N21/100</f>
        <v>7.166666666666667</v>
      </c>
      <c r="AD45" s="16">
        <f t="shared" si="31"/>
        <v>-1069.4238000880653</v>
      </c>
      <c r="AE45" s="15">
        <f t="shared" si="7"/>
        <v>22.170849845882874</v>
      </c>
      <c r="AF45" s="75">
        <f>AE45*(1-PARAM!$C$27)*$I$10+(MOD($B45,60)=PARAM!$B$56)*($B45&gt;(60-PARAM!$B$56))*HLOOKUP(($B45+PARAM!$B$56)/12,Loyalty,2)*$F$1*MAX(AH44,0)</f>
        <v>18.557001321003963</v>
      </c>
      <c r="AG45" s="75">
        <f>PARAM!$C$26+MAX($G$10-CHOOSE(PARAM!$B$44,MAX(0,AH44*$F$1),0),0)*RATES!$L21/12+$H$10*(PARAM!$D$51/12)*RATES!$N21/100</f>
        <v>7.166666666666667</v>
      </c>
      <c r="AH45" s="16">
        <f t="shared" si="32"/>
        <v>-1069.4238000880653</v>
      </c>
      <c r="AI45" s="15">
        <f t="shared" si="8"/>
        <v>22.170849845882874</v>
      </c>
      <c r="AJ45" s="75">
        <f>AI45*(1-PARAM!$C$27)*$I$11+(MOD($B45,60)=PARAM!$B$56)*($B45&gt;(60-PARAM!$B$56))*HLOOKUP(($B45+PARAM!$B$56)/12,Loyalty,2)*$F$1*MAX(AL44,0)</f>
        <v>18.557001321003963</v>
      </c>
      <c r="AK45" s="75">
        <f>PARAM!$C$26+MAX($G$11-CHOOSE(PARAM!$B$44,MAX(0,AL44*$F$1),0),0)*RATES!$L21/12+$H$11*(PARAM!$D$51/12)*RATES!$N21/100</f>
        <v>7.166666666666667</v>
      </c>
      <c r="AL45" s="16">
        <f t="shared" si="33"/>
        <v>-1069.4238000880653</v>
      </c>
      <c r="AM45" s="15">
        <f t="shared" si="9"/>
        <v>22.170849845882874</v>
      </c>
      <c r="AN45" s="75">
        <f>AM45*(1-PARAM!$C$27)*$I$12+(MOD($B45,60)=PARAM!$B$56)*($B45&gt;(60-PARAM!$B$56))*HLOOKUP(($B45+PARAM!$B$56)/12,Loyalty,2)*$F$1*MAX(AP44,0)</f>
        <v>18.557001321003963</v>
      </c>
      <c r="AO45" s="75">
        <f>PARAM!$C$26+MAX($G$12-CHOOSE(PARAM!$B$44,MAX(0,AP44*$F$1),0),0)*RATES!$L21/12+$H$12*(PARAM!$D$51/12)*RATES!$N21/100</f>
        <v>7.166666666666667</v>
      </c>
      <c r="AP45" s="16">
        <f t="shared" si="34"/>
        <v>-1069.4238000880653</v>
      </c>
      <c r="AQ45" s="15">
        <f t="shared" si="10"/>
        <v>22.170849845882874</v>
      </c>
      <c r="AR45" s="75">
        <f>AQ45*(1-PARAM!$C$27)*$I$13+(MOD($B45,60)=PARAM!$B$56)*($B45&gt;(60-PARAM!$B$56))*HLOOKUP(($B45+PARAM!$B$56)/12,Loyalty,2)*$F$1*MAX(AT44,0)</f>
        <v>18.557001321003963</v>
      </c>
      <c r="AS45" s="75">
        <f>PARAM!$C$26+MAX($G$13-CHOOSE(PARAM!$B$44,MAX(0,AT44*$F$1),0),0)*RATES!$L21/12+$H$13*(PARAM!$D$51/12)*RATES!$N21/100</f>
        <v>7.166666666666667</v>
      </c>
      <c r="AT45" s="16">
        <f t="shared" si="35"/>
        <v>-1069.4238000880653</v>
      </c>
      <c r="AU45" s="15">
        <f t="shared" si="11"/>
        <v>22.170849845882874</v>
      </c>
      <c r="AV45" s="75">
        <f>AU45*(1-PARAM!$C$27)*$I$14+(MOD($B45,60)=PARAM!$B$56)*($B45&gt;(60-PARAM!$B$56))*HLOOKUP(($B45+PARAM!$B$56)/12,Loyalty,2)*$F$1*MAX(AX44,0)</f>
        <v>18.557001321003963</v>
      </c>
      <c r="AW45" s="75">
        <f>PARAM!$C$26+MAX($G$14-CHOOSE(PARAM!$B$44,MAX(0,AX44*$F$1),0),0)*RATES!$L21/12+$H$14*(PARAM!$D$51/12)*RATES!$N21/100</f>
        <v>7.166666666666667</v>
      </c>
      <c r="AX45" s="16">
        <f t="shared" si="36"/>
        <v>-1069.4238000880653</v>
      </c>
      <c r="AY45" s="15">
        <f t="shared" si="12"/>
        <v>22.170849845882874</v>
      </c>
      <c r="AZ45" s="75">
        <f>AY45*(1-PARAM!$C$27)*$I$15+(MOD($B45,60)=PARAM!$B$56)*($B45&gt;(60-PARAM!$B$56))*HLOOKUP(($B45+PARAM!$B$56)/12,Loyalty,2)*$F$1*MAX(BB44,0)</f>
        <v>18.557001321003963</v>
      </c>
      <c r="BA45" s="75">
        <f>PARAM!$C$26+MAX($G$15-CHOOSE(PARAM!$B$44,MAX(0,BB44*$F$1),0),0)*RATES!$L21/12+$H$15*(PARAM!$D$51/12)*RATES!$N21/100</f>
        <v>7.166666666666667</v>
      </c>
      <c r="BB45" s="16">
        <f t="shared" si="37"/>
        <v>-1069.4238000880653</v>
      </c>
      <c r="BC45" s="15">
        <f t="shared" si="13"/>
        <v>22.170849845882874</v>
      </c>
      <c r="BD45" s="75">
        <f>BC45*(1-PARAM!$C$27)*$I$16+(MOD($B45,60)=PARAM!$B$56)*($B45&gt;(60-PARAM!$B$56))*HLOOKUP(($B45+PARAM!$B$56)/12,Loyalty,2)*$F$1*MAX(BF44,0)</f>
        <v>18.557001321003963</v>
      </c>
      <c r="BE45" s="75">
        <f>PARAM!$C$26+MAX($G$16-CHOOSE(PARAM!$B$44,MAX(0,BF44*$F$1),0),0)*RATES!$L21/12+$H$16*(PARAM!$D$51/12)*RATES!$N21/100</f>
        <v>7.166666666666667</v>
      </c>
      <c r="BF45" s="16">
        <f t="shared" si="38"/>
        <v>-1069.4238000880653</v>
      </c>
      <c r="BG45" s="15">
        <f t="shared" si="14"/>
        <v>22.170849845882874</v>
      </c>
      <c r="BH45" s="75">
        <f>BG45*(1-PARAM!$C$27)*$I$17+(MOD($B45,60)=PARAM!$B$56)*($B45&gt;(60-PARAM!$B$56))*HLOOKUP(($B45+PARAM!$B$56)/12,Loyalty,2)*$F$1*MAX(BJ44,0)</f>
        <v>18.557001321003963</v>
      </c>
      <c r="BI45" s="75">
        <f>PARAM!$C$26+MAX($G$17-CHOOSE(PARAM!$B$44,MAX(0,BJ44*$F$1),0),0)*RATES!$L21/12+$H$17*(PARAM!$D$51/12)*RATES!$N21/100</f>
        <v>7.166666666666667</v>
      </c>
      <c r="BJ45" s="16">
        <f t="shared" si="39"/>
        <v>-1069.4238000880653</v>
      </c>
      <c r="BK45" s="15">
        <f t="shared" si="15"/>
        <v>22.170849845882874</v>
      </c>
      <c r="BL45" s="75">
        <f>BK45*(1-PARAM!$C$27)*$I$18+(MOD($B45,60)=PARAM!$B$56)*($B45&gt;(60-PARAM!$B$56))*HLOOKUP(($B45+PARAM!$B$56)/12,Loyalty,2)*$F$1*MAX(BN44,0)</f>
        <v>18.557001321003963</v>
      </c>
      <c r="BM45" s="75">
        <f>PARAM!$C$26+MAX($G$18-CHOOSE(PARAM!$B$44,MAX(0,BN44*$F$1),0),0)*RATES!$L21/12+$H$18*(PARAM!$D$51/12)*RATES!$N21/100</f>
        <v>7.166666666666667</v>
      </c>
      <c r="BN45" s="16">
        <f t="shared" si="40"/>
        <v>-1069.4238000880653</v>
      </c>
      <c r="BO45" s="15">
        <f t="shared" si="16"/>
        <v>22.170849845882874</v>
      </c>
      <c r="BP45" s="75">
        <f>BO45*(1-PARAM!$C$27)*$I$19+(MOD($B45,60)=PARAM!$B$56)*($B45&gt;(60-PARAM!$B$56))*HLOOKUP(($B45+PARAM!$B$56)/12,Loyalty,2)*$F$1*MAX(BR44,0)</f>
        <v>18.557001321003963</v>
      </c>
      <c r="BQ45" s="75">
        <f>PARAM!$C$26+MAX($G$19-CHOOSE(PARAM!$B$44,MAX(0,BR44*$F$1),0),0)*RATES!$L21/12+$H$19*(PARAM!$D$51/12)*RATES!$N21/100</f>
        <v>7.166666666666667</v>
      </c>
      <c r="BR45" s="16">
        <f t="shared" si="41"/>
        <v>-1069.4238000880653</v>
      </c>
      <c r="BS45" s="15">
        <f t="shared" si="17"/>
        <v>22.170849845882874</v>
      </c>
      <c r="BT45" s="75">
        <f>BS45*(1-PARAM!$C$27)*$I$20+(MOD($B45,60)=PARAM!$B$56)*($B45&gt;(60-PARAM!$B$56))*HLOOKUP(($B45+PARAM!$B$56)/12,Loyalty,2)*$F$1*MAX(BV44,0)</f>
        <v>18.557001321003963</v>
      </c>
      <c r="BU45" s="75">
        <f>PARAM!$C$26+MAX($G$20-CHOOSE(PARAM!$B$44,MAX(0,BV44*$F$1),0),0)*RATES!$L21/12+$H$20*(PARAM!$D$51/12)*RATES!$N21/100</f>
        <v>7.166666666666667</v>
      </c>
      <c r="BV45" s="16">
        <f t="shared" si="42"/>
        <v>-1069.4238000880653</v>
      </c>
      <c r="BW45" s="15">
        <f t="shared" si="18"/>
        <v>22.170849845882874</v>
      </c>
      <c r="BX45" s="75">
        <f>BW45*(1-PARAM!$C$27)*$I$21+(MOD($B45,60)=PARAM!$B$56)*($B45&gt;(60-PARAM!$B$56))*HLOOKUP(($B45+PARAM!$B$56)/12,Loyalty,2)*$F$1*MAX(BZ44,0)</f>
        <v>18.557001321003963</v>
      </c>
      <c r="BY45" s="75">
        <f>PARAM!$C$26+MAX($G$21-CHOOSE(PARAM!$B$44,MAX(0,BZ44*$F$1),0),0)*RATES!$L21/12+$H$21*(PARAM!$D$51/12)*RATES!$N21/100</f>
        <v>7.166666666666667</v>
      </c>
      <c r="BZ45" s="16">
        <f t="shared" si="43"/>
        <v>-1069.4238000880653</v>
      </c>
      <c r="CA45" s="15">
        <f t="shared" si="19"/>
        <v>22.170849845882874</v>
      </c>
      <c r="CB45" s="75">
        <f>CA45*(1-PARAM!$C$27)*$I$22+(MOD($B45,60)=PARAM!$B$56)*($B45&gt;(60-PARAM!$B$56))*HLOOKUP(($B45+PARAM!$B$56)/12,Loyalty,2)*$F$1*MAX(CD44,0)</f>
        <v>18.557001321003963</v>
      </c>
      <c r="CC45" s="75">
        <f>PARAM!$C$26+MAX($G$22-CHOOSE(PARAM!$B$44,MAX(0,CD44*$F$1),0),0)*RATES!$L21/12+$H$22*(PARAM!$D$51/12)*RATES!$N21/100</f>
        <v>7.166666666666667</v>
      </c>
      <c r="CD45" s="16">
        <f t="shared" si="44"/>
        <v>-1069.4238000880653</v>
      </c>
      <c r="CE45" s="33">
        <f>IF(0=MOD(B45,12/PARAM!$D$51),1,0)</f>
        <v>1</v>
      </c>
      <c r="CF45" s="15">
        <f t="shared" si="20"/>
        <v>0</v>
      </c>
      <c r="CG45" s="75">
        <f>CF45*(1-PARAM!$C$27)*$R$3+(MOD($B45/12,5)=0)*($B45&gt;60)*HLOOKUP($B45/12,Loyalty,2)*$F$1*MAX(CI44,0)</f>
        <v>0</v>
      </c>
      <c r="CH45" s="75">
        <f>PARAM!$C$26+MAX($P$3-CHOOSE(PARAM!$B$44,MAX(0,CI44*$F$1),0),0)*RATES!$L21/12+$Q$3*(PARAM!$D$51/12)*RATES!$N21/100</f>
        <v>7.166666666666667</v>
      </c>
      <c r="CI45" s="16">
        <f>IF(CI44&gt;0,CI44*PARAM!$C$53,CI44)+CG45-CH45</f>
        <v>-1209.1666666666658</v>
      </c>
      <c r="CJ45" s="15">
        <f t="shared" si="45"/>
        <v>0</v>
      </c>
      <c r="CK45" s="75">
        <f>CJ45*(1-PARAM!$C$27)*$R$4+(MOD($B45/12,5)=0)*($B45&gt;60)*HLOOKUP($B45/12,Loyalty,2)*$F$1*MAX(CM44,0)</f>
        <v>0</v>
      </c>
      <c r="CL45" s="75">
        <f>PARAM!$C$26+MAX($P$4-CHOOSE(PARAM!$B$44,MAX(0,CM44*$F$1),0),0)*RATES!$L21/12+$Q$4*(PARAM!$D$51/12)*RATES!$N21/100</f>
        <v>7.166666666666667</v>
      </c>
      <c r="CM45" s="16">
        <f>IF(CM44&gt;0,CM44*PARAM!$C$53,CM44)+CK45-CL45</f>
        <v>-1209.1666666666658</v>
      </c>
      <c r="CO45" s="176"/>
    </row>
    <row r="46" spans="1:93" x14ac:dyDescent="0.2">
      <c r="A46" t="b">
        <f t="shared" si="21"/>
        <v>0</v>
      </c>
      <c r="B46" s="33">
        <v>19</v>
      </c>
      <c r="C46" s="15">
        <f t="shared" si="46"/>
        <v>20.081305947392778</v>
      </c>
      <c r="D46" s="75">
        <f>C46*(1-PARAM!$C$27)*$I$3+(MOD($B46,60)=PARAM!$B$56)*($B46&gt;(60-PARAM!$B$56))*HLOOKUP(($B46+PARAM!$B$56)/12,Loyalty,2)*$F$1*MAX(F45,0)</f>
        <v>16.808053077967756</v>
      </c>
      <c r="E46" s="75">
        <f>PARAM!$C$26+MAX($G$3-CHOOSE(PARAM!$B$44,MAX(0,F45*$F$1),0),0)*RATES!$L22/12+$H$3*(PARAM!$D$51/12)*RATES!$N22/100</f>
        <v>7.166666666666667</v>
      </c>
      <c r="F46" s="16">
        <f t="shared" si="22"/>
        <v>-1072.9528088689478</v>
      </c>
      <c r="G46" s="15">
        <f t="shared" si="23"/>
        <v>22.035289406060361</v>
      </c>
      <c r="H46" s="75">
        <f>G46*(1-PARAM!$C$27)*$I$4+(MOD($B46,60)=PARAM!$B$56)*($B46&gt;(60-PARAM!$B$56))*HLOOKUP(($B46+PARAM!$B$56)/12,Loyalty,2)*$F$1*MAX(J45,0)</f>
        <v>18.443537232872522</v>
      </c>
      <c r="I46" s="75">
        <f>PARAM!$C$26+MAX($G$4-CHOOSE(PARAM!$B$44,MAX(0,J45*$F$1),0),0)*RATES!$L22/12+$H$4*(PARAM!$D$51/12)*RATES!$N22/100</f>
        <v>7.166666666666667</v>
      </c>
      <c r="J46" s="16">
        <f t="shared" si="24"/>
        <v>-1059.0013669740604</v>
      </c>
      <c r="K46" s="15">
        <f t="shared" si="25"/>
        <v>22.170849845882874</v>
      </c>
      <c r="L46" s="75">
        <f>K46*(1-PARAM!$C$27)*$I$5+(MOD($B46,60)=PARAM!$B$56)*($B46&gt;(60-PARAM!$B$56))*HLOOKUP(($B46+PARAM!$B$56)/12,Loyalty,2)*$F$1*MAX(N45,0)</f>
        <v>18.557001321003963</v>
      </c>
      <c r="M46" s="75">
        <f>PARAM!$C$26+MAX($G$5-CHOOSE(PARAM!$B$44,MAX(0,N45*$F$1),0),0)*RATES!$L22/12+$H$5*(PARAM!$D$51/12)*RATES!$N22/100</f>
        <v>7.166666666666667</v>
      </c>
      <c r="N46" s="16">
        <f t="shared" si="26"/>
        <v>-1058.033465433728</v>
      </c>
      <c r="O46" s="15">
        <f t="shared" si="27"/>
        <v>22.170849845882874</v>
      </c>
      <c r="P46" s="75">
        <f>O46*(1-PARAM!$C$27)*$I$6+(MOD($B46,60)=PARAM!$B$56)*($B46&gt;(60-PARAM!$B$56))*HLOOKUP(($B46+PARAM!$B$56)/12,Loyalty,2)*$F$1*MAX(R45,0)</f>
        <v>18.557001321003963</v>
      </c>
      <c r="Q46" s="75">
        <f>PARAM!$C$26+MAX($G$6-CHOOSE(PARAM!$B$44,MAX(0,R45*$F$1),0),0)*RATES!$L22/12+$H$6*(PARAM!$D$51/12)*RATES!$N22/100</f>
        <v>7.166666666666667</v>
      </c>
      <c r="R46" s="16">
        <f t="shared" si="28"/>
        <v>-1058.033465433728</v>
      </c>
      <c r="S46" s="15">
        <f t="shared" si="4"/>
        <v>22.170849845882874</v>
      </c>
      <c r="T46" s="75">
        <f>S46*(1-PARAM!$C$27)*$I$7+(MOD($B46,60)=PARAM!$B$56)*($B46&gt;(60-PARAM!$B$56))*HLOOKUP(($B46+PARAM!$B$56)/12,Loyalty,2)*$F$1*MAX(V45,0)</f>
        <v>18.557001321003963</v>
      </c>
      <c r="U46" s="75">
        <f>PARAM!$C$26+MAX($G$7-CHOOSE(PARAM!$B$44,MAX(0,V45*$F$1),0),0)*RATES!$L22/12+$H$7*(PARAM!$D$51/12)*RATES!$N22/100</f>
        <v>7.166666666666667</v>
      </c>
      <c r="V46" s="16">
        <f t="shared" si="29"/>
        <v>-1058.033465433728</v>
      </c>
      <c r="W46" s="15">
        <f t="shared" si="5"/>
        <v>22.170849845882874</v>
      </c>
      <c r="X46" s="75">
        <f>W46*(1-PARAM!$C$27)*$I$8+(MOD($B46,60)=PARAM!$B$56)*($B46&gt;(60-PARAM!$B$56))*HLOOKUP(($B46+PARAM!$B$56)/12,Loyalty,2)*$F$1*MAX(Z45,0)</f>
        <v>18.557001321003963</v>
      </c>
      <c r="Y46" s="75">
        <f>PARAM!$C$26+MAX($G$8-CHOOSE(PARAM!$B$44,MAX(0,Z45*$F$1),0),0)*RATES!$L22/12+$H$8*(PARAM!$D$51/12)*RATES!$N22/100</f>
        <v>7.166666666666667</v>
      </c>
      <c r="Z46" s="16">
        <f t="shared" si="30"/>
        <v>-1058.033465433728</v>
      </c>
      <c r="AA46" s="15">
        <f t="shared" si="6"/>
        <v>22.170849845882874</v>
      </c>
      <c r="AB46" s="75">
        <f>AA46*(1-PARAM!$C$27)*$I$9+(MOD($B46,60)=PARAM!$B$56)*($B46&gt;(60-PARAM!$B$56))*HLOOKUP(($B46+PARAM!$B$56)/12,Loyalty,2)*$F$1*MAX(AD45,0)</f>
        <v>18.557001321003963</v>
      </c>
      <c r="AC46" s="75">
        <f>PARAM!$C$26+MAX($G$9-CHOOSE(PARAM!$B$44,MAX(0,AD45*$F$1),0),0)*RATES!$L22/12+$H$9*(PARAM!$D$51/12)*RATES!$N22/100</f>
        <v>7.166666666666667</v>
      </c>
      <c r="AD46" s="16">
        <f t="shared" si="31"/>
        <v>-1058.033465433728</v>
      </c>
      <c r="AE46" s="15">
        <f t="shared" si="7"/>
        <v>22.170849845882874</v>
      </c>
      <c r="AF46" s="75">
        <f>AE46*(1-PARAM!$C$27)*$I$10+(MOD($B46,60)=PARAM!$B$56)*($B46&gt;(60-PARAM!$B$56))*HLOOKUP(($B46+PARAM!$B$56)/12,Loyalty,2)*$F$1*MAX(AH45,0)</f>
        <v>18.557001321003963</v>
      </c>
      <c r="AG46" s="75">
        <f>PARAM!$C$26+MAX($G$10-CHOOSE(PARAM!$B$44,MAX(0,AH45*$F$1),0),0)*RATES!$L22/12+$H$10*(PARAM!$D$51/12)*RATES!$N22/100</f>
        <v>7.166666666666667</v>
      </c>
      <c r="AH46" s="16">
        <f t="shared" si="32"/>
        <v>-1058.033465433728</v>
      </c>
      <c r="AI46" s="15">
        <f t="shared" si="8"/>
        <v>22.170849845882874</v>
      </c>
      <c r="AJ46" s="75">
        <f>AI46*(1-PARAM!$C$27)*$I$11+(MOD($B46,60)=PARAM!$B$56)*($B46&gt;(60-PARAM!$B$56))*HLOOKUP(($B46+PARAM!$B$56)/12,Loyalty,2)*$F$1*MAX(AL45,0)</f>
        <v>18.557001321003963</v>
      </c>
      <c r="AK46" s="75">
        <f>PARAM!$C$26+MAX($G$11-CHOOSE(PARAM!$B$44,MAX(0,AL45*$F$1),0),0)*RATES!$L22/12+$H$11*(PARAM!$D$51/12)*RATES!$N22/100</f>
        <v>7.166666666666667</v>
      </c>
      <c r="AL46" s="16">
        <f t="shared" si="33"/>
        <v>-1058.033465433728</v>
      </c>
      <c r="AM46" s="15">
        <f t="shared" si="9"/>
        <v>22.170849845882874</v>
      </c>
      <c r="AN46" s="75">
        <f>AM46*(1-PARAM!$C$27)*$I$12+(MOD($B46,60)=PARAM!$B$56)*($B46&gt;(60-PARAM!$B$56))*HLOOKUP(($B46+PARAM!$B$56)/12,Loyalty,2)*$F$1*MAX(AP45,0)</f>
        <v>18.557001321003963</v>
      </c>
      <c r="AO46" s="75">
        <f>PARAM!$C$26+MAX($G$12-CHOOSE(PARAM!$B$44,MAX(0,AP45*$F$1),0),0)*RATES!$L22/12+$H$12*(PARAM!$D$51/12)*RATES!$N22/100</f>
        <v>7.166666666666667</v>
      </c>
      <c r="AP46" s="16">
        <f t="shared" si="34"/>
        <v>-1058.033465433728</v>
      </c>
      <c r="AQ46" s="15">
        <f t="shared" si="10"/>
        <v>22.170849845882874</v>
      </c>
      <c r="AR46" s="75">
        <f>AQ46*(1-PARAM!$C$27)*$I$13+(MOD($B46,60)=PARAM!$B$56)*($B46&gt;(60-PARAM!$B$56))*HLOOKUP(($B46+PARAM!$B$56)/12,Loyalty,2)*$F$1*MAX(AT45,0)</f>
        <v>18.557001321003963</v>
      </c>
      <c r="AS46" s="75">
        <f>PARAM!$C$26+MAX($G$13-CHOOSE(PARAM!$B$44,MAX(0,AT45*$F$1),0),0)*RATES!$L22/12+$H$13*(PARAM!$D$51/12)*RATES!$N22/100</f>
        <v>7.166666666666667</v>
      </c>
      <c r="AT46" s="16">
        <f t="shared" si="35"/>
        <v>-1058.033465433728</v>
      </c>
      <c r="AU46" s="15">
        <f t="shared" si="11"/>
        <v>22.170849845882874</v>
      </c>
      <c r="AV46" s="75">
        <f>AU46*(1-PARAM!$C$27)*$I$14+(MOD($B46,60)=PARAM!$B$56)*($B46&gt;(60-PARAM!$B$56))*HLOOKUP(($B46+PARAM!$B$56)/12,Loyalty,2)*$F$1*MAX(AX45,0)</f>
        <v>18.557001321003963</v>
      </c>
      <c r="AW46" s="75">
        <f>PARAM!$C$26+MAX($G$14-CHOOSE(PARAM!$B$44,MAX(0,AX45*$F$1),0),0)*RATES!$L22/12+$H$14*(PARAM!$D$51/12)*RATES!$N22/100</f>
        <v>7.166666666666667</v>
      </c>
      <c r="AX46" s="16">
        <f t="shared" si="36"/>
        <v>-1058.033465433728</v>
      </c>
      <c r="AY46" s="15">
        <f t="shared" si="12"/>
        <v>22.170849845882874</v>
      </c>
      <c r="AZ46" s="75">
        <f>AY46*(1-PARAM!$C$27)*$I$15+(MOD($B46,60)=PARAM!$B$56)*($B46&gt;(60-PARAM!$B$56))*HLOOKUP(($B46+PARAM!$B$56)/12,Loyalty,2)*$F$1*MAX(BB45,0)</f>
        <v>18.557001321003963</v>
      </c>
      <c r="BA46" s="75">
        <f>PARAM!$C$26+MAX($G$15-CHOOSE(PARAM!$B$44,MAX(0,BB45*$F$1),0),0)*RATES!$L22/12+$H$15*(PARAM!$D$51/12)*RATES!$N22/100</f>
        <v>7.166666666666667</v>
      </c>
      <c r="BB46" s="16">
        <f t="shared" si="37"/>
        <v>-1058.033465433728</v>
      </c>
      <c r="BC46" s="15">
        <f t="shared" si="13"/>
        <v>22.170849845882874</v>
      </c>
      <c r="BD46" s="75">
        <f>BC46*(1-PARAM!$C$27)*$I$16+(MOD($B46,60)=PARAM!$B$56)*($B46&gt;(60-PARAM!$B$56))*HLOOKUP(($B46+PARAM!$B$56)/12,Loyalty,2)*$F$1*MAX(BF45,0)</f>
        <v>18.557001321003963</v>
      </c>
      <c r="BE46" s="75">
        <f>PARAM!$C$26+MAX($G$16-CHOOSE(PARAM!$B$44,MAX(0,BF45*$F$1),0),0)*RATES!$L22/12+$H$16*(PARAM!$D$51/12)*RATES!$N22/100</f>
        <v>7.166666666666667</v>
      </c>
      <c r="BF46" s="16">
        <f t="shared" si="38"/>
        <v>-1058.033465433728</v>
      </c>
      <c r="BG46" s="15">
        <f t="shared" si="14"/>
        <v>22.170849845882874</v>
      </c>
      <c r="BH46" s="75">
        <f>BG46*(1-PARAM!$C$27)*$I$17+(MOD($B46,60)=PARAM!$B$56)*($B46&gt;(60-PARAM!$B$56))*HLOOKUP(($B46+PARAM!$B$56)/12,Loyalty,2)*$F$1*MAX(BJ45,0)</f>
        <v>18.557001321003963</v>
      </c>
      <c r="BI46" s="75">
        <f>PARAM!$C$26+MAX($G$17-CHOOSE(PARAM!$B$44,MAX(0,BJ45*$F$1),0),0)*RATES!$L22/12+$H$17*(PARAM!$D$51/12)*RATES!$N22/100</f>
        <v>7.166666666666667</v>
      </c>
      <c r="BJ46" s="16">
        <f t="shared" si="39"/>
        <v>-1058.033465433728</v>
      </c>
      <c r="BK46" s="15">
        <f t="shared" si="15"/>
        <v>22.170849845882874</v>
      </c>
      <c r="BL46" s="75">
        <f>BK46*(1-PARAM!$C$27)*$I$18+(MOD($B46,60)=PARAM!$B$56)*($B46&gt;(60-PARAM!$B$56))*HLOOKUP(($B46+PARAM!$B$56)/12,Loyalty,2)*$F$1*MAX(BN45,0)</f>
        <v>18.557001321003963</v>
      </c>
      <c r="BM46" s="75">
        <f>PARAM!$C$26+MAX($G$18-CHOOSE(PARAM!$B$44,MAX(0,BN45*$F$1),0),0)*RATES!$L22/12+$H$18*(PARAM!$D$51/12)*RATES!$N22/100</f>
        <v>7.166666666666667</v>
      </c>
      <c r="BN46" s="16">
        <f t="shared" si="40"/>
        <v>-1058.033465433728</v>
      </c>
      <c r="BO46" s="15">
        <f t="shared" si="16"/>
        <v>22.170849845882874</v>
      </c>
      <c r="BP46" s="75">
        <f>BO46*(1-PARAM!$C$27)*$I$19+(MOD($B46,60)=PARAM!$B$56)*($B46&gt;(60-PARAM!$B$56))*HLOOKUP(($B46+PARAM!$B$56)/12,Loyalty,2)*$F$1*MAX(BR45,0)</f>
        <v>18.557001321003963</v>
      </c>
      <c r="BQ46" s="75">
        <f>PARAM!$C$26+MAX($G$19-CHOOSE(PARAM!$B$44,MAX(0,BR45*$F$1),0),0)*RATES!$L22/12+$H$19*(PARAM!$D$51/12)*RATES!$N22/100</f>
        <v>7.166666666666667</v>
      </c>
      <c r="BR46" s="16">
        <f t="shared" si="41"/>
        <v>-1058.033465433728</v>
      </c>
      <c r="BS46" s="15">
        <f t="shared" si="17"/>
        <v>22.170849845882874</v>
      </c>
      <c r="BT46" s="75">
        <f>BS46*(1-PARAM!$C$27)*$I$20+(MOD($B46,60)=PARAM!$B$56)*($B46&gt;(60-PARAM!$B$56))*HLOOKUP(($B46+PARAM!$B$56)/12,Loyalty,2)*$F$1*MAX(BV45,0)</f>
        <v>18.557001321003963</v>
      </c>
      <c r="BU46" s="75">
        <f>PARAM!$C$26+MAX($G$20-CHOOSE(PARAM!$B$44,MAX(0,BV45*$F$1),0),0)*RATES!$L22/12+$H$20*(PARAM!$D$51/12)*RATES!$N22/100</f>
        <v>7.166666666666667</v>
      </c>
      <c r="BV46" s="16">
        <f t="shared" si="42"/>
        <v>-1058.033465433728</v>
      </c>
      <c r="BW46" s="15">
        <f t="shared" si="18"/>
        <v>22.170849845882874</v>
      </c>
      <c r="BX46" s="75">
        <f>BW46*(1-PARAM!$C$27)*$I$21+(MOD($B46,60)=PARAM!$B$56)*($B46&gt;(60-PARAM!$B$56))*HLOOKUP(($B46+PARAM!$B$56)/12,Loyalty,2)*$F$1*MAX(BZ45,0)</f>
        <v>18.557001321003963</v>
      </c>
      <c r="BY46" s="75">
        <f>PARAM!$C$26+MAX($G$21-CHOOSE(PARAM!$B$44,MAX(0,BZ45*$F$1),0),0)*RATES!$L22/12+$H$21*(PARAM!$D$51/12)*RATES!$N22/100</f>
        <v>7.166666666666667</v>
      </c>
      <c r="BZ46" s="16">
        <f t="shared" si="43"/>
        <v>-1058.033465433728</v>
      </c>
      <c r="CA46" s="15">
        <f t="shared" si="19"/>
        <v>22.170849845882874</v>
      </c>
      <c r="CB46" s="75">
        <f>CA46*(1-PARAM!$C$27)*$I$22+(MOD($B46,60)=PARAM!$B$56)*($B46&gt;(60-PARAM!$B$56))*HLOOKUP(($B46+PARAM!$B$56)/12,Loyalty,2)*$F$1*MAX(CD45,0)</f>
        <v>18.557001321003963</v>
      </c>
      <c r="CC46" s="75">
        <f>PARAM!$C$26+MAX($G$22-CHOOSE(PARAM!$B$44,MAX(0,CD45*$F$1),0),0)*RATES!$L22/12+$H$22*(PARAM!$D$51/12)*RATES!$N22/100</f>
        <v>7.166666666666667</v>
      </c>
      <c r="CD46" s="16">
        <f t="shared" si="44"/>
        <v>-1058.033465433728</v>
      </c>
      <c r="CE46" s="33">
        <f>IF(0=MOD(B46,12/PARAM!$D$51),1,0)</f>
        <v>1</v>
      </c>
      <c r="CF46" s="15">
        <f t="shared" si="20"/>
        <v>0</v>
      </c>
      <c r="CG46" s="75">
        <f>CF46*(1-PARAM!$C$27)*$R$3+(MOD($B46/12,5)=0)*($B46&gt;60)*HLOOKUP($B46/12,Loyalty,2)*$F$1*MAX(CI45,0)</f>
        <v>0</v>
      </c>
      <c r="CH46" s="75">
        <f>PARAM!$C$26+MAX($P$3-CHOOSE(PARAM!$B$44,MAX(0,CI45*$F$1),0),0)*RATES!$L22/12+$Q$3*(PARAM!$D$51/12)*RATES!$N22/100</f>
        <v>7.166666666666667</v>
      </c>
      <c r="CI46" s="16">
        <f>IF(CI45&gt;0,CI45*PARAM!$C$53,CI45)+CG46-CH46</f>
        <v>-1216.3333333333326</v>
      </c>
      <c r="CJ46" s="15">
        <f t="shared" si="45"/>
        <v>0</v>
      </c>
      <c r="CK46" s="75">
        <f>CJ46*(1-PARAM!$C$27)*$R$4+(MOD($B46/12,5)=0)*($B46&gt;60)*HLOOKUP($B46/12,Loyalty,2)*$F$1*MAX(CM45,0)</f>
        <v>0</v>
      </c>
      <c r="CL46" s="75">
        <f>PARAM!$C$26+MAX($P$4-CHOOSE(PARAM!$B$44,MAX(0,CM45*$F$1),0),0)*RATES!$L22/12+$Q$4*(PARAM!$D$51/12)*RATES!$N22/100</f>
        <v>7.166666666666667</v>
      </c>
      <c r="CM46" s="16">
        <f>IF(CM45&gt;0,CM45*PARAM!$C$53,CM45)+CK46-CL46</f>
        <v>-1216.3333333333326</v>
      </c>
      <c r="CO46" s="176"/>
    </row>
    <row r="47" spans="1:93" x14ac:dyDescent="0.2">
      <c r="A47" t="b">
        <f t="shared" si="21"/>
        <v>0</v>
      </c>
      <c r="B47" s="33">
        <v>20</v>
      </c>
      <c r="C47" s="15">
        <f t="shared" si="46"/>
        <v>20.081305947392778</v>
      </c>
      <c r="D47" s="75">
        <f>C47*(1-PARAM!$C$27)*$I$3+(MOD($B47,60)=PARAM!$B$56)*($B47&gt;(60-PARAM!$B$56))*HLOOKUP(($B47+PARAM!$B$56)/12,Loyalty,2)*$F$1*MAX(F46,0)</f>
        <v>16.808053077967756</v>
      </c>
      <c r="E47" s="75">
        <f>PARAM!$C$26+MAX($G$3-CHOOSE(PARAM!$B$44,MAX(0,F46*$F$1),0),0)*RATES!$L23/12+$H$3*(PARAM!$D$51/12)*RATES!$N23/100</f>
        <v>7.166666666666667</v>
      </c>
      <c r="F47" s="16">
        <f t="shared" si="22"/>
        <v>-1063.3114224576468</v>
      </c>
      <c r="G47" s="15">
        <f t="shared" si="23"/>
        <v>22.035289406060361</v>
      </c>
      <c r="H47" s="75">
        <f>G47*(1-PARAM!$C$27)*$I$4+(MOD($B47,60)=PARAM!$B$56)*($B47&gt;(60-PARAM!$B$56))*HLOOKUP(($B47+PARAM!$B$56)/12,Loyalty,2)*$F$1*MAX(J46,0)</f>
        <v>18.443537232872522</v>
      </c>
      <c r="I47" s="75">
        <f>PARAM!$C$26+MAX($G$4-CHOOSE(PARAM!$B$44,MAX(0,J46*$F$1),0),0)*RATES!$L23/12+$H$4*(PARAM!$D$51/12)*RATES!$N23/100</f>
        <v>7.166666666666667</v>
      </c>
      <c r="J47" s="16">
        <f t="shared" si="24"/>
        <v>-1047.7244964078545</v>
      </c>
      <c r="K47" s="15">
        <f t="shared" si="25"/>
        <v>22.170849845882874</v>
      </c>
      <c r="L47" s="75">
        <f>K47*(1-PARAM!$C$27)*$I$5+(MOD($B47,60)=PARAM!$B$56)*($B47&gt;(60-PARAM!$B$56))*HLOOKUP(($B47+PARAM!$B$56)/12,Loyalty,2)*$F$1*MAX(N46,0)</f>
        <v>18.557001321003963</v>
      </c>
      <c r="M47" s="75">
        <f>PARAM!$C$26+MAX($G$5-CHOOSE(PARAM!$B$44,MAX(0,N46*$F$1),0),0)*RATES!$L23/12+$H$5*(PARAM!$D$51/12)*RATES!$N23/100</f>
        <v>7.166666666666667</v>
      </c>
      <c r="N47" s="16">
        <f t="shared" si="26"/>
        <v>-1046.6431307793907</v>
      </c>
      <c r="O47" s="15">
        <f t="shared" si="27"/>
        <v>22.170849845882874</v>
      </c>
      <c r="P47" s="75">
        <f>O47*(1-PARAM!$C$27)*$I$6+(MOD($B47,60)=PARAM!$B$56)*($B47&gt;(60-PARAM!$B$56))*HLOOKUP(($B47+PARAM!$B$56)/12,Loyalty,2)*$F$1*MAX(R46,0)</f>
        <v>18.557001321003963</v>
      </c>
      <c r="Q47" s="75">
        <f>PARAM!$C$26+MAX($G$6-CHOOSE(PARAM!$B$44,MAX(0,R46*$F$1),0),0)*RATES!$L23/12+$H$6*(PARAM!$D$51/12)*RATES!$N23/100</f>
        <v>7.166666666666667</v>
      </c>
      <c r="R47" s="16">
        <f t="shared" si="28"/>
        <v>-1046.6431307793907</v>
      </c>
      <c r="S47" s="15">
        <f t="shared" si="4"/>
        <v>22.170849845882874</v>
      </c>
      <c r="T47" s="75">
        <f>S47*(1-PARAM!$C$27)*$I$7+(MOD($B47,60)=PARAM!$B$56)*($B47&gt;(60-PARAM!$B$56))*HLOOKUP(($B47+PARAM!$B$56)/12,Loyalty,2)*$F$1*MAX(V46,0)</f>
        <v>18.557001321003963</v>
      </c>
      <c r="U47" s="75">
        <f>PARAM!$C$26+MAX($G$7-CHOOSE(PARAM!$B$44,MAX(0,V46*$F$1),0),0)*RATES!$L23/12+$H$7*(PARAM!$D$51/12)*RATES!$N23/100</f>
        <v>7.166666666666667</v>
      </c>
      <c r="V47" s="16">
        <f t="shared" si="29"/>
        <v>-1046.6431307793907</v>
      </c>
      <c r="W47" s="15">
        <f t="shared" si="5"/>
        <v>22.170849845882874</v>
      </c>
      <c r="X47" s="75">
        <f>W47*(1-PARAM!$C$27)*$I$8+(MOD($B47,60)=PARAM!$B$56)*($B47&gt;(60-PARAM!$B$56))*HLOOKUP(($B47+PARAM!$B$56)/12,Loyalty,2)*$F$1*MAX(Z46,0)</f>
        <v>18.557001321003963</v>
      </c>
      <c r="Y47" s="75">
        <f>PARAM!$C$26+MAX($G$8-CHOOSE(PARAM!$B$44,MAX(0,Z46*$F$1),0),0)*RATES!$L23/12+$H$8*(PARAM!$D$51/12)*RATES!$N23/100</f>
        <v>7.166666666666667</v>
      </c>
      <c r="Z47" s="16">
        <f t="shared" si="30"/>
        <v>-1046.6431307793907</v>
      </c>
      <c r="AA47" s="15">
        <f t="shared" si="6"/>
        <v>22.170849845882874</v>
      </c>
      <c r="AB47" s="75">
        <f>AA47*(1-PARAM!$C$27)*$I$9+(MOD($B47,60)=PARAM!$B$56)*($B47&gt;(60-PARAM!$B$56))*HLOOKUP(($B47+PARAM!$B$56)/12,Loyalty,2)*$F$1*MAX(AD46,0)</f>
        <v>18.557001321003963</v>
      </c>
      <c r="AC47" s="75">
        <f>PARAM!$C$26+MAX($G$9-CHOOSE(PARAM!$B$44,MAX(0,AD46*$F$1),0),0)*RATES!$L23/12+$H$9*(PARAM!$D$51/12)*RATES!$N23/100</f>
        <v>7.166666666666667</v>
      </c>
      <c r="AD47" s="16">
        <f t="shared" si="31"/>
        <v>-1046.6431307793907</v>
      </c>
      <c r="AE47" s="15">
        <f t="shared" si="7"/>
        <v>22.170849845882874</v>
      </c>
      <c r="AF47" s="75">
        <f>AE47*(1-PARAM!$C$27)*$I$10+(MOD($B47,60)=PARAM!$B$56)*($B47&gt;(60-PARAM!$B$56))*HLOOKUP(($B47+PARAM!$B$56)/12,Loyalty,2)*$F$1*MAX(AH46,0)</f>
        <v>18.557001321003963</v>
      </c>
      <c r="AG47" s="75">
        <f>PARAM!$C$26+MAX($G$10-CHOOSE(PARAM!$B$44,MAX(0,AH46*$F$1),0),0)*RATES!$L23/12+$H$10*(PARAM!$D$51/12)*RATES!$N23/100</f>
        <v>7.166666666666667</v>
      </c>
      <c r="AH47" s="16">
        <f t="shared" si="32"/>
        <v>-1046.6431307793907</v>
      </c>
      <c r="AI47" s="15">
        <f t="shared" si="8"/>
        <v>22.170849845882874</v>
      </c>
      <c r="AJ47" s="75">
        <f>AI47*(1-PARAM!$C$27)*$I$11+(MOD($B47,60)=PARAM!$B$56)*($B47&gt;(60-PARAM!$B$56))*HLOOKUP(($B47+PARAM!$B$56)/12,Loyalty,2)*$F$1*MAX(AL46,0)</f>
        <v>18.557001321003963</v>
      </c>
      <c r="AK47" s="75">
        <f>PARAM!$C$26+MAX($G$11-CHOOSE(PARAM!$B$44,MAX(0,AL46*$F$1),0),0)*RATES!$L23/12+$H$11*(PARAM!$D$51/12)*RATES!$N23/100</f>
        <v>7.166666666666667</v>
      </c>
      <c r="AL47" s="16">
        <f t="shared" si="33"/>
        <v>-1046.6431307793907</v>
      </c>
      <c r="AM47" s="15">
        <f t="shared" si="9"/>
        <v>22.170849845882874</v>
      </c>
      <c r="AN47" s="75">
        <f>AM47*(1-PARAM!$C$27)*$I$12+(MOD($B47,60)=PARAM!$B$56)*($B47&gt;(60-PARAM!$B$56))*HLOOKUP(($B47+PARAM!$B$56)/12,Loyalty,2)*$F$1*MAX(AP46,0)</f>
        <v>18.557001321003963</v>
      </c>
      <c r="AO47" s="75">
        <f>PARAM!$C$26+MAX($G$12-CHOOSE(PARAM!$B$44,MAX(0,AP46*$F$1),0),0)*RATES!$L23/12+$H$12*(PARAM!$D$51/12)*RATES!$N23/100</f>
        <v>7.166666666666667</v>
      </c>
      <c r="AP47" s="16">
        <f t="shared" si="34"/>
        <v>-1046.6431307793907</v>
      </c>
      <c r="AQ47" s="15">
        <f t="shared" si="10"/>
        <v>22.170849845882874</v>
      </c>
      <c r="AR47" s="75">
        <f>AQ47*(1-PARAM!$C$27)*$I$13+(MOD($B47,60)=PARAM!$B$56)*($B47&gt;(60-PARAM!$B$56))*HLOOKUP(($B47+PARAM!$B$56)/12,Loyalty,2)*$F$1*MAX(AT46,0)</f>
        <v>18.557001321003963</v>
      </c>
      <c r="AS47" s="75">
        <f>PARAM!$C$26+MAX($G$13-CHOOSE(PARAM!$B$44,MAX(0,AT46*$F$1),0),0)*RATES!$L23/12+$H$13*(PARAM!$D$51/12)*RATES!$N23/100</f>
        <v>7.166666666666667</v>
      </c>
      <c r="AT47" s="16">
        <f t="shared" si="35"/>
        <v>-1046.6431307793907</v>
      </c>
      <c r="AU47" s="15">
        <f t="shared" si="11"/>
        <v>22.170849845882874</v>
      </c>
      <c r="AV47" s="75">
        <f>AU47*(1-PARAM!$C$27)*$I$14+(MOD($B47,60)=PARAM!$B$56)*($B47&gt;(60-PARAM!$B$56))*HLOOKUP(($B47+PARAM!$B$56)/12,Loyalty,2)*$F$1*MAX(AX46,0)</f>
        <v>18.557001321003963</v>
      </c>
      <c r="AW47" s="75">
        <f>PARAM!$C$26+MAX($G$14-CHOOSE(PARAM!$B$44,MAX(0,AX46*$F$1),0),0)*RATES!$L23/12+$H$14*(PARAM!$D$51/12)*RATES!$N23/100</f>
        <v>7.166666666666667</v>
      </c>
      <c r="AX47" s="16">
        <f t="shared" si="36"/>
        <v>-1046.6431307793907</v>
      </c>
      <c r="AY47" s="15">
        <f t="shared" si="12"/>
        <v>22.170849845882874</v>
      </c>
      <c r="AZ47" s="75">
        <f>AY47*(1-PARAM!$C$27)*$I$15+(MOD($B47,60)=PARAM!$B$56)*($B47&gt;(60-PARAM!$B$56))*HLOOKUP(($B47+PARAM!$B$56)/12,Loyalty,2)*$F$1*MAX(BB46,0)</f>
        <v>18.557001321003963</v>
      </c>
      <c r="BA47" s="75">
        <f>PARAM!$C$26+MAX($G$15-CHOOSE(PARAM!$B$44,MAX(0,BB46*$F$1),0),0)*RATES!$L23/12+$H$15*(PARAM!$D$51/12)*RATES!$N23/100</f>
        <v>7.166666666666667</v>
      </c>
      <c r="BB47" s="16">
        <f t="shared" si="37"/>
        <v>-1046.6431307793907</v>
      </c>
      <c r="BC47" s="15">
        <f t="shared" si="13"/>
        <v>22.170849845882874</v>
      </c>
      <c r="BD47" s="75">
        <f>BC47*(1-PARAM!$C$27)*$I$16+(MOD($B47,60)=PARAM!$B$56)*($B47&gt;(60-PARAM!$B$56))*HLOOKUP(($B47+PARAM!$B$56)/12,Loyalty,2)*$F$1*MAX(BF46,0)</f>
        <v>18.557001321003963</v>
      </c>
      <c r="BE47" s="75">
        <f>PARAM!$C$26+MAX($G$16-CHOOSE(PARAM!$B$44,MAX(0,BF46*$F$1),0),0)*RATES!$L23/12+$H$16*(PARAM!$D$51/12)*RATES!$N23/100</f>
        <v>7.166666666666667</v>
      </c>
      <c r="BF47" s="16">
        <f t="shared" si="38"/>
        <v>-1046.6431307793907</v>
      </c>
      <c r="BG47" s="15">
        <f t="shared" si="14"/>
        <v>22.170849845882874</v>
      </c>
      <c r="BH47" s="75">
        <f>BG47*(1-PARAM!$C$27)*$I$17+(MOD($B47,60)=PARAM!$B$56)*($B47&gt;(60-PARAM!$B$56))*HLOOKUP(($B47+PARAM!$B$56)/12,Loyalty,2)*$F$1*MAX(BJ46,0)</f>
        <v>18.557001321003963</v>
      </c>
      <c r="BI47" s="75">
        <f>PARAM!$C$26+MAX($G$17-CHOOSE(PARAM!$B$44,MAX(0,BJ46*$F$1),0),0)*RATES!$L23/12+$H$17*(PARAM!$D$51/12)*RATES!$N23/100</f>
        <v>7.166666666666667</v>
      </c>
      <c r="BJ47" s="16">
        <f t="shared" si="39"/>
        <v>-1046.6431307793907</v>
      </c>
      <c r="BK47" s="15">
        <f t="shared" si="15"/>
        <v>22.170849845882874</v>
      </c>
      <c r="BL47" s="75">
        <f>BK47*(1-PARAM!$C$27)*$I$18+(MOD($B47,60)=PARAM!$B$56)*($B47&gt;(60-PARAM!$B$56))*HLOOKUP(($B47+PARAM!$B$56)/12,Loyalty,2)*$F$1*MAX(BN46,0)</f>
        <v>18.557001321003963</v>
      </c>
      <c r="BM47" s="75">
        <f>PARAM!$C$26+MAX($G$18-CHOOSE(PARAM!$B$44,MAX(0,BN46*$F$1),0),0)*RATES!$L23/12+$H$18*(PARAM!$D$51/12)*RATES!$N23/100</f>
        <v>7.166666666666667</v>
      </c>
      <c r="BN47" s="16">
        <f t="shared" si="40"/>
        <v>-1046.6431307793907</v>
      </c>
      <c r="BO47" s="15">
        <f t="shared" si="16"/>
        <v>22.170849845882874</v>
      </c>
      <c r="BP47" s="75">
        <f>BO47*(1-PARAM!$C$27)*$I$19+(MOD($B47,60)=PARAM!$B$56)*($B47&gt;(60-PARAM!$B$56))*HLOOKUP(($B47+PARAM!$B$56)/12,Loyalty,2)*$F$1*MAX(BR46,0)</f>
        <v>18.557001321003963</v>
      </c>
      <c r="BQ47" s="75">
        <f>PARAM!$C$26+MAX($G$19-CHOOSE(PARAM!$B$44,MAX(0,BR46*$F$1),0),0)*RATES!$L23/12+$H$19*(PARAM!$D$51/12)*RATES!$N23/100</f>
        <v>7.166666666666667</v>
      </c>
      <c r="BR47" s="16">
        <f t="shared" si="41"/>
        <v>-1046.6431307793907</v>
      </c>
      <c r="BS47" s="15">
        <f t="shared" si="17"/>
        <v>22.170849845882874</v>
      </c>
      <c r="BT47" s="75">
        <f>BS47*(1-PARAM!$C$27)*$I$20+(MOD($B47,60)=PARAM!$B$56)*($B47&gt;(60-PARAM!$B$56))*HLOOKUP(($B47+PARAM!$B$56)/12,Loyalty,2)*$F$1*MAX(BV46,0)</f>
        <v>18.557001321003963</v>
      </c>
      <c r="BU47" s="75">
        <f>PARAM!$C$26+MAX($G$20-CHOOSE(PARAM!$B$44,MAX(0,BV46*$F$1),0),0)*RATES!$L23/12+$H$20*(PARAM!$D$51/12)*RATES!$N23/100</f>
        <v>7.166666666666667</v>
      </c>
      <c r="BV47" s="16">
        <f t="shared" si="42"/>
        <v>-1046.6431307793907</v>
      </c>
      <c r="BW47" s="15">
        <f t="shared" si="18"/>
        <v>22.170849845882874</v>
      </c>
      <c r="BX47" s="75">
        <f>BW47*(1-PARAM!$C$27)*$I$21+(MOD($B47,60)=PARAM!$B$56)*($B47&gt;(60-PARAM!$B$56))*HLOOKUP(($B47+PARAM!$B$56)/12,Loyalty,2)*$F$1*MAX(BZ46,0)</f>
        <v>18.557001321003963</v>
      </c>
      <c r="BY47" s="75">
        <f>PARAM!$C$26+MAX($G$21-CHOOSE(PARAM!$B$44,MAX(0,BZ46*$F$1),0),0)*RATES!$L23/12+$H$21*(PARAM!$D$51/12)*RATES!$N23/100</f>
        <v>7.166666666666667</v>
      </c>
      <c r="BZ47" s="16">
        <f t="shared" si="43"/>
        <v>-1046.6431307793907</v>
      </c>
      <c r="CA47" s="15">
        <f t="shared" si="19"/>
        <v>22.170849845882874</v>
      </c>
      <c r="CB47" s="75">
        <f>CA47*(1-PARAM!$C$27)*$I$22+(MOD($B47,60)=PARAM!$B$56)*($B47&gt;(60-PARAM!$B$56))*HLOOKUP(($B47+PARAM!$B$56)/12,Loyalty,2)*$F$1*MAX(CD46,0)</f>
        <v>18.557001321003963</v>
      </c>
      <c r="CC47" s="75">
        <f>PARAM!$C$26+MAX($G$22-CHOOSE(PARAM!$B$44,MAX(0,CD46*$F$1),0),0)*RATES!$L23/12+$H$22*(PARAM!$D$51/12)*RATES!$N23/100</f>
        <v>7.166666666666667</v>
      </c>
      <c r="CD47" s="16">
        <f t="shared" si="44"/>
        <v>-1046.6431307793907</v>
      </c>
      <c r="CE47" s="33">
        <f>IF(0=MOD(B47,12/PARAM!$D$51),1,0)</f>
        <v>1</v>
      </c>
      <c r="CF47" s="15">
        <f t="shared" si="20"/>
        <v>0</v>
      </c>
      <c r="CG47" s="75">
        <f>CF47*(1-PARAM!$C$27)*$R$3+(MOD($B47/12,5)=0)*($B47&gt;60)*HLOOKUP($B47/12,Loyalty,2)*$F$1*MAX(CI46,0)</f>
        <v>0</v>
      </c>
      <c r="CH47" s="75">
        <f>PARAM!$C$26+MAX($P$3-CHOOSE(PARAM!$B$44,MAX(0,CI46*$F$1),0),0)*RATES!$L23/12+$Q$3*(PARAM!$D$51/12)*RATES!$N23/100</f>
        <v>7.166666666666667</v>
      </c>
      <c r="CI47" s="16">
        <f>IF(CI46&gt;0,CI46*PARAM!$C$53,CI46)+CG47-CH47</f>
        <v>-1223.4999999999993</v>
      </c>
      <c r="CJ47" s="15">
        <f t="shared" si="45"/>
        <v>0</v>
      </c>
      <c r="CK47" s="75">
        <f>CJ47*(1-PARAM!$C$27)*$R$4+(MOD($B47/12,5)=0)*($B47&gt;60)*HLOOKUP($B47/12,Loyalty,2)*$F$1*MAX(CM46,0)</f>
        <v>0</v>
      </c>
      <c r="CL47" s="75">
        <f>PARAM!$C$26+MAX($P$4-CHOOSE(PARAM!$B$44,MAX(0,CM46*$F$1),0),0)*RATES!$L23/12+$Q$4*(PARAM!$D$51/12)*RATES!$N23/100</f>
        <v>7.166666666666667</v>
      </c>
      <c r="CM47" s="16">
        <f>IF(CM46&gt;0,CM46*PARAM!$C$53,CM46)+CK47-CL47</f>
        <v>-1223.4999999999993</v>
      </c>
      <c r="CO47" s="176"/>
    </row>
    <row r="48" spans="1:93" x14ac:dyDescent="0.2">
      <c r="A48" t="b">
        <f t="shared" si="21"/>
        <v>0</v>
      </c>
      <c r="B48" s="33">
        <v>21</v>
      </c>
      <c r="C48" s="15">
        <f t="shared" si="46"/>
        <v>20.081305947392778</v>
      </c>
      <c r="D48" s="75">
        <f>C48*(1-PARAM!$C$27)*$I$3+(MOD($B48,60)=PARAM!$B$56)*($B48&gt;(60-PARAM!$B$56))*HLOOKUP(($B48+PARAM!$B$56)/12,Loyalty,2)*$F$1*MAX(F47,0)</f>
        <v>16.808053077967756</v>
      </c>
      <c r="E48" s="75">
        <f>PARAM!$C$26+MAX($G$3-CHOOSE(PARAM!$B$44,MAX(0,F47*$F$1),0),0)*RATES!$L24/12+$H$3*(PARAM!$D$51/12)*RATES!$N24/100</f>
        <v>7.166666666666667</v>
      </c>
      <c r="F48" s="16">
        <f t="shared" si="22"/>
        <v>-1053.6700360463458</v>
      </c>
      <c r="G48" s="15">
        <f t="shared" si="23"/>
        <v>22.035289406060361</v>
      </c>
      <c r="H48" s="75">
        <f>G48*(1-PARAM!$C$27)*$I$4+(MOD($B48,60)=PARAM!$B$56)*($B48&gt;(60-PARAM!$B$56))*HLOOKUP(($B48+PARAM!$B$56)/12,Loyalty,2)*$F$1*MAX(J47,0)</f>
        <v>18.443537232872522</v>
      </c>
      <c r="I48" s="75">
        <f>PARAM!$C$26+MAX($G$4-CHOOSE(PARAM!$B$44,MAX(0,J47*$F$1),0),0)*RATES!$L24/12+$H$4*(PARAM!$D$51/12)*RATES!$N24/100</f>
        <v>7.166666666666667</v>
      </c>
      <c r="J48" s="16">
        <f t="shared" si="24"/>
        <v>-1036.4476258416487</v>
      </c>
      <c r="K48" s="15">
        <f t="shared" si="25"/>
        <v>22.170849845882874</v>
      </c>
      <c r="L48" s="75">
        <f>K48*(1-PARAM!$C$27)*$I$5+(MOD($B48,60)=PARAM!$B$56)*($B48&gt;(60-PARAM!$B$56))*HLOOKUP(($B48+PARAM!$B$56)/12,Loyalty,2)*$F$1*MAX(N47,0)</f>
        <v>18.557001321003963</v>
      </c>
      <c r="M48" s="75">
        <f>PARAM!$C$26+MAX($G$5-CHOOSE(PARAM!$B$44,MAX(0,N47*$F$1),0),0)*RATES!$L24/12+$H$5*(PARAM!$D$51/12)*RATES!$N24/100</f>
        <v>7.166666666666667</v>
      </c>
      <c r="N48" s="16">
        <f t="shared" si="26"/>
        <v>-1035.2527961250535</v>
      </c>
      <c r="O48" s="15">
        <f t="shared" si="27"/>
        <v>22.170849845882874</v>
      </c>
      <c r="P48" s="75">
        <f>O48*(1-PARAM!$C$27)*$I$6+(MOD($B48,60)=PARAM!$B$56)*($B48&gt;(60-PARAM!$B$56))*HLOOKUP(($B48+PARAM!$B$56)/12,Loyalty,2)*$F$1*MAX(R47,0)</f>
        <v>18.557001321003963</v>
      </c>
      <c r="Q48" s="75">
        <f>PARAM!$C$26+MAX($G$6-CHOOSE(PARAM!$B$44,MAX(0,R47*$F$1),0),0)*RATES!$L24/12+$H$6*(PARAM!$D$51/12)*RATES!$N24/100</f>
        <v>7.166666666666667</v>
      </c>
      <c r="R48" s="16">
        <f t="shared" si="28"/>
        <v>-1035.2527961250535</v>
      </c>
      <c r="S48" s="15">
        <f t="shared" si="4"/>
        <v>22.170849845882874</v>
      </c>
      <c r="T48" s="75">
        <f>S48*(1-PARAM!$C$27)*$I$7+(MOD($B48,60)=PARAM!$B$56)*($B48&gt;(60-PARAM!$B$56))*HLOOKUP(($B48+PARAM!$B$56)/12,Loyalty,2)*$F$1*MAX(V47,0)</f>
        <v>18.557001321003963</v>
      </c>
      <c r="U48" s="75">
        <f>PARAM!$C$26+MAX($G$7-CHOOSE(PARAM!$B$44,MAX(0,V47*$F$1),0),0)*RATES!$L24/12+$H$7*(PARAM!$D$51/12)*RATES!$N24/100</f>
        <v>7.166666666666667</v>
      </c>
      <c r="V48" s="16">
        <f t="shared" si="29"/>
        <v>-1035.2527961250535</v>
      </c>
      <c r="W48" s="15">
        <f t="shared" si="5"/>
        <v>22.170849845882874</v>
      </c>
      <c r="X48" s="75">
        <f>W48*(1-PARAM!$C$27)*$I$8+(MOD($B48,60)=PARAM!$B$56)*($B48&gt;(60-PARAM!$B$56))*HLOOKUP(($B48+PARAM!$B$56)/12,Loyalty,2)*$F$1*MAX(Z47,0)</f>
        <v>18.557001321003963</v>
      </c>
      <c r="Y48" s="75">
        <f>PARAM!$C$26+MAX($G$8-CHOOSE(PARAM!$B$44,MAX(0,Z47*$F$1),0),0)*RATES!$L24/12+$H$8*(PARAM!$D$51/12)*RATES!$N24/100</f>
        <v>7.166666666666667</v>
      </c>
      <c r="Z48" s="16">
        <f t="shared" si="30"/>
        <v>-1035.2527961250535</v>
      </c>
      <c r="AA48" s="15">
        <f t="shared" si="6"/>
        <v>22.170849845882874</v>
      </c>
      <c r="AB48" s="75">
        <f>AA48*(1-PARAM!$C$27)*$I$9+(MOD($B48,60)=PARAM!$B$56)*($B48&gt;(60-PARAM!$B$56))*HLOOKUP(($B48+PARAM!$B$56)/12,Loyalty,2)*$F$1*MAX(AD47,0)</f>
        <v>18.557001321003963</v>
      </c>
      <c r="AC48" s="75">
        <f>PARAM!$C$26+MAX($G$9-CHOOSE(PARAM!$B$44,MAX(0,AD47*$F$1),0),0)*RATES!$L24/12+$H$9*(PARAM!$D$51/12)*RATES!$N24/100</f>
        <v>7.166666666666667</v>
      </c>
      <c r="AD48" s="16">
        <f t="shared" si="31"/>
        <v>-1035.2527961250535</v>
      </c>
      <c r="AE48" s="15">
        <f t="shared" si="7"/>
        <v>22.170849845882874</v>
      </c>
      <c r="AF48" s="75">
        <f>AE48*(1-PARAM!$C$27)*$I$10+(MOD($B48,60)=PARAM!$B$56)*($B48&gt;(60-PARAM!$B$56))*HLOOKUP(($B48+PARAM!$B$56)/12,Loyalty,2)*$F$1*MAX(AH47,0)</f>
        <v>18.557001321003963</v>
      </c>
      <c r="AG48" s="75">
        <f>PARAM!$C$26+MAX($G$10-CHOOSE(PARAM!$B$44,MAX(0,AH47*$F$1),0),0)*RATES!$L24/12+$H$10*(PARAM!$D$51/12)*RATES!$N24/100</f>
        <v>7.166666666666667</v>
      </c>
      <c r="AH48" s="16">
        <f t="shared" si="32"/>
        <v>-1035.2527961250535</v>
      </c>
      <c r="AI48" s="15">
        <f t="shared" si="8"/>
        <v>22.170849845882874</v>
      </c>
      <c r="AJ48" s="75">
        <f>AI48*(1-PARAM!$C$27)*$I$11+(MOD($B48,60)=PARAM!$B$56)*($B48&gt;(60-PARAM!$B$56))*HLOOKUP(($B48+PARAM!$B$56)/12,Loyalty,2)*$F$1*MAX(AL47,0)</f>
        <v>18.557001321003963</v>
      </c>
      <c r="AK48" s="75">
        <f>PARAM!$C$26+MAX($G$11-CHOOSE(PARAM!$B$44,MAX(0,AL47*$F$1),0),0)*RATES!$L24/12+$H$11*(PARAM!$D$51/12)*RATES!$N24/100</f>
        <v>7.166666666666667</v>
      </c>
      <c r="AL48" s="16">
        <f t="shared" si="33"/>
        <v>-1035.2527961250535</v>
      </c>
      <c r="AM48" s="15">
        <f t="shared" si="9"/>
        <v>22.170849845882874</v>
      </c>
      <c r="AN48" s="75">
        <f>AM48*(1-PARAM!$C$27)*$I$12+(MOD($B48,60)=PARAM!$B$56)*($B48&gt;(60-PARAM!$B$56))*HLOOKUP(($B48+PARAM!$B$56)/12,Loyalty,2)*$F$1*MAX(AP47,0)</f>
        <v>18.557001321003963</v>
      </c>
      <c r="AO48" s="75">
        <f>PARAM!$C$26+MAX($G$12-CHOOSE(PARAM!$B$44,MAX(0,AP47*$F$1),0),0)*RATES!$L24/12+$H$12*(PARAM!$D$51/12)*RATES!$N24/100</f>
        <v>7.166666666666667</v>
      </c>
      <c r="AP48" s="16">
        <f t="shared" si="34"/>
        <v>-1035.2527961250535</v>
      </c>
      <c r="AQ48" s="15">
        <f t="shared" si="10"/>
        <v>22.170849845882874</v>
      </c>
      <c r="AR48" s="75">
        <f>AQ48*(1-PARAM!$C$27)*$I$13+(MOD($B48,60)=PARAM!$B$56)*($B48&gt;(60-PARAM!$B$56))*HLOOKUP(($B48+PARAM!$B$56)/12,Loyalty,2)*$F$1*MAX(AT47,0)</f>
        <v>18.557001321003963</v>
      </c>
      <c r="AS48" s="75">
        <f>PARAM!$C$26+MAX($G$13-CHOOSE(PARAM!$B$44,MAX(0,AT47*$F$1),0),0)*RATES!$L24/12+$H$13*(PARAM!$D$51/12)*RATES!$N24/100</f>
        <v>7.166666666666667</v>
      </c>
      <c r="AT48" s="16">
        <f t="shared" si="35"/>
        <v>-1035.2527961250535</v>
      </c>
      <c r="AU48" s="15">
        <f t="shared" si="11"/>
        <v>22.170849845882874</v>
      </c>
      <c r="AV48" s="75">
        <f>AU48*(1-PARAM!$C$27)*$I$14+(MOD($B48,60)=PARAM!$B$56)*($B48&gt;(60-PARAM!$B$56))*HLOOKUP(($B48+PARAM!$B$56)/12,Loyalty,2)*$F$1*MAX(AX47,0)</f>
        <v>18.557001321003963</v>
      </c>
      <c r="AW48" s="75">
        <f>PARAM!$C$26+MAX($G$14-CHOOSE(PARAM!$B$44,MAX(0,AX47*$F$1),0),0)*RATES!$L24/12+$H$14*(PARAM!$D$51/12)*RATES!$N24/100</f>
        <v>7.166666666666667</v>
      </c>
      <c r="AX48" s="16">
        <f t="shared" si="36"/>
        <v>-1035.2527961250535</v>
      </c>
      <c r="AY48" s="15">
        <f t="shared" si="12"/>
        <v>22.170849845882874</v>
      </c>
      <c r="AZ48" s="75">
        <f>AY48*(1-PARAM!$C$27)*$I$15+(MOD($B48,60)=PARAM!$B$56)*($B48&gt;(60-PARAM!$B$56))*HLOOKUP(($B48+PARAM!$B$56)/12,Loyalty,2)*$F$1*MAX(BB47,0)</f>
        <v>18.557001321003963</v>
      </c>
      <c r="BA48" s="75">
        <f>PARAM!$C$26+MAX($G$15-CHOOSE(PARAM!$B$44,MAX(0,BB47*$F$1),0),0)*RATES!$L24/12+$H$15*(PARAM!$D$51/12)*RATES!$N24/100</f>
        <v>7.166666666666667</v>
      </c>
      <c r="BB48" s="16">
        <f t="shared" si="37"/>
        <v>-1035.2527961250535</v>
      </c>
      <c r="BC48" s="15">
        <f t="shared" si="13"/>
        <v>22.170849845882874</v>
      </c>
      <c r="BD48" s="75">
        <f>BC48*(1-PARAM!$C$27)*$I$16+(MOD($B48,60)=PARAM!$B$56)*($B48&gt;(60-PARAM!$B$56))*HLOOKUP(($B48+PARAM!$B$56)/12,Loyalty,2)*$F$1*MAX(BF47,0)</f>
        <v>18.557001321003963</v>
      </c>
      <c r="BE48" s="75">
        <f>PARAM!$C$26+MAX($G$16-CHOOSE(PARAM!$B$44,MAX(0,BF47*$F$1),0),0)*RATES!$L24/12+$H$16*(PARAM!$D$51/12)*RATES!$N24/100</f>
        <v>7.166666666666667</v>
      </c>
      <c r="BF48" s="16">
        <f t="shared" si="38"/>
        <v>-1035.2527961250535</v>
      </c>
      <c r="BG48" s="15">
        <f t="shared" si="14"/>
        <v>22.170849845882874</v>
      </c>
      <c r="BH48" s="75">
        <f>BG48*(1-PARAM!$C$27)*$I$17+(MOD($B48,60)=PARAM!$B$56)*($B48&gt;(60-PARAM!$B$56))*HLOOKUP(($B48+PARAM!$B$56)/12,Loyalty,2)*$F$1*MAX(BJ47,0)</f>
        <v>18.557001321003963</v>
      </c>
      <c r="BI48" s="75">
        <f>PARAM!$C$26+MAX($G$17-CHOOSE(PARAM!$B$44,MAX(0,BJ47*$F$1),0),0)*RATES!$L24/12+$H$17*(PARAM!$D$51/12)*RATES!$N24/100</f>
        <v>7.166666666666667</v>
      </c>
      <c r="BJ48" s="16">
        <f t="shared" si="39"/>
        <v>-1035.2527961250535</v>
      </c>
      <c r="BK48" s="15">
        <f t="shared" si="15"/>
        <v>22.170849845882874</v>
      </c>
      <c r="BL48" s="75">
        <f>BK48*(1-PARAM!$C$27)*$I$18+(MOD($B48,60)=PARAM!$B$56)*($B48&gt;(60-PARAM!$B$56))*HLOOKUP(($B48+PARAM!$B$56)/12,Loyalty,2)*$F$1*MAX(BN47,0)</f>
        <v>18.557001321003963</v>
      </c>
      <c r="BM48" s="75">
        <f>PARAM!$C$26+MAX($G$18-CHOOSE(PARAM!$B$44,MAX(0,BN47*$F$1),0),0)*RATES!$L24/12+$H$18*(PARAM!$D$51/12)*RATES!$N24/100</f>
        <v>7.166666666666667</v>
      </c>
      <c r="BN48" s="16">
        <f t="shared" si="40"/>
        <v>-1035.2527961250535</v>
      </c>
      <c r="BO48" s="15">
        <f t="shared" si="16"/>
        <v>22.170849845882874</v>
      </c>
      <c r="BP48" s="75">
        <f>BO48*(1-PARAM!$C$27)*$I$19+(MOD($B48,60)=PARAM!$B$56)*($B48&gt;(60-PARAM!$B$56))*HLOOKUP(($B48+PARAM!$B$56)/12,Loyalty,2)*$F$1*MAX(BR47,0)</f>
        <v>18.557001321003963</v>
      </c>
      <c r="BQ48" s="75">
        <f>PARAM!$C$26+MAX($G$19-CHOOSE(PARAM!$B$44,MAX(0,BR47*$F$1),0),0)*RATES!$L24/12+$H$19*(PARAM!$D$51/12)*RATES!$N24/100</f>
        <v>7.166666666666667</v>
      </c>
      <c r="BR48" s="16">
        <f t="shared" si="41"/>
        <v>-1035.2527961250535</v>
      </c>
      <c r="BS48" s="15">
        <f t="shared" si="17"/>
        <v>22.170849845882874</v>
      </c>
      <c r="BT48" s="75">
        <f>BS48*(1-PARAM!$C$27)*$I$20+(MOD($B48,60)=PARAM!$B$56)*($B48&gt;(60-PARAM!$B$56))*HLOOKUP(($B48+PARAM!$B$56)/12,Loyalty,2)*$F$1*MAX(BV47,0)</f>
        <v>18.557001321003963</v>
      </c>
      <c r="BU48" s="75">
        <f>PARAM!$C$26+MAX($G$20-CHOOSE(PARAM!$B$44,MAX(0,BV47*$F$1),0),0)*RATES!$L24/12+$H$20*(PARAM!$D$51/12)*RATES!$N24/100</f>
        <v>7.166666666666667</v>
      </c>
      <c r="BV48" s="16">
        <f t="shared" si="42"/>
        <v>-1035.2527961250535</v>
      </c>
      <c r="BW48" s="15">
        <f t="shared" si="18"/>
        <v>22.170849845882874</v>
      </c>
      <c r="BX48" s="75">
        <f>BW48*(1-PARAM!$C$27)*$I$21+(MOD($B48,60)=PARAM!$B$56)*($B48&gt;(60-PARAM!$B$56))*HLOOKUP(($B48+PARAM!$B$56)/12,Loyalty,2)*$F$1*MAX(BZ47,0)</f>
        <v>18.557001321003963</v>
      </c>
      <c r="BY48" s="75">
        <f>PARAM!$C$26+MAX($G$21-CHOOSE(PARAM!$B$44,MAX(0,BZ47*$F$1),0),0)*RATES!$L24/12+$H$21*(PARAM!$D$51/12)*RATES!$N24/100</f>
        <v>7.166666666666667</v>
      </c>
      <c r="BZ48" s="16">
        <f t="shared" si="43"/>
        <v>-1035.2527961250535</v>
      </c>
      <c r="CA48" s="15">
        <f t="shared" si="19"/>
        <v>22.170849845882874</v>
      </c>
      <c r="CB48" s="75">
        <f>CA48*(1-PARAM!$C$27)*$I$22+(MOD($B48,60)=PARAM!$B$56)*($B48&gt;(60-PARAM!$B$56))*HLOOKUP(($B48+PARAM!$B$56)/12,Loyalty,2)*$F$1*MAX(CD47,0)</f>
        <v>18.557001321003963</v>
      </c>
      <c r="CC48" s="75">
        <f>PARAM!$C$26+MAX($G$22-CHOOSE(PARAM!$B$44,MAX(0,CD47*$F$1),0),0)*RATES!$L24/12+$H$22*(PARAM!$D$51/12)*RATES!$N24/100</f>
        <v>7.166666666666667</v>
      </c>
      <c r="CD48" s="16">
        <f t="shared" si="44"/>
        <v>-1035.2527961250535</v>
      </c>
      <c r="CE48" s="33">
        <f>IF(0=MOD(B48,12/PARAM!$D$51),1,0)</f>
        <v>1</v>
      </c>
      <c r="CF48" s="15">
        <f t="shared" si="20"/>
        <v>0</v>
      </c>
      <c r="CG48" s="75">
        <f>CF48*(1-PARAM!$C$27)*$R$3+(MOD($B48/12,5)=0)*($B48&gt;60)*HLOOKUP($B48/12,Loyalty,2)*$F$1*MAX(CI47,0)</f>
        <v>0</v>
      </c>
      <c r="CH48" s="75">
        <f>PARAM!$C$26+MAX($P$3-CHOOSE(PARAM!$B$44,MAX(0,CI47*$F$1),0),0)*RATES!$L24/12+$Q$3*(PARAM!$D$51/12)*RATES!$N24/100</f>
        <v>7.166666666666667</v>
      </c>
      <c r="CI48" s="16">
        <f>IF(CI47&gt;0,CI47*PARAM!$C$53,CI47)+CG48-CH48</f>
        <v>-1230.6666666666661</v>
      </c>
      <c r="CJ48" s="15">
        <f t="shared" si="45"/>
        <v>0</v>
      </c>
      <c r="CK48" s="75">
        <f>CJ48*(1-PARAM!$C$27)*$R$4+(MOD($B48/12,5)=0)*($B48&gt;60)*HLOOKUP($B48/12,Loyalty,2)*$F$1*MAX(CM47,0)</f>
        <v>0</v>
      </c>
      <c r="CL48" s="75">
        <f>PARAM!$C$26+MAX($P$4-CHOOSE(PARAM!$B$44,MAX(0,CM47*$F$1),0),0)*RATES!$L24/12+$Q$4*(PARAM!$D$51/12)*RATES!$N24/100</f>
        <v>7.166666666666667</v>
      </c>
      <c r="CM48" s="16">
        <f>IF(CM47&gt;0,CM47*PARAM!$C$53,CM47)+CK48-CL48</f>
        <v>-1230.6666666666661</v>
      </c>
      <c r="CO48" s="176"/>
    </row>
    <row r="49" spans="1:93" x14ac:dyDescent="0.2">
      <c r="A49" t="b">
        <f t="shared" si="21"/>
        <v>0</v>
      </c>
      <c r="B49" s="33">
        <v>22</v>
      </c>
      <c r="C49" s="15">
        <f t="shared" si="46"/>
        <v>20.081305947392778</v>
      </c>
      <c r="D49" s="75">
        <f>C49*(1-PARAM!$C$27)*$I$3+(MOD($B49,60)=PARAM!$B$56)*($B49&gt;(60-PARAM!$B$56))*HLOOKUP(($B49+PARAM!$B$56)/12,Loyalty,2)*$F$1*MAX(F48,0)</f>
        <v>16.808053077967756</v>
      </c>
      <c r="E49" s="75">
        <f>PARAM!$C$26+MAX($G$3-CHOOSE(PARAM!$B$44,MAX(0,F48*$F$1),0),0)*RATES!$L25/12+$H$3*(PARAM!$D$51/12)*RATES!$N25/100</f>
        <v>7.166666666666667</v>
      </c>
      <c r="F49" s="16">
        <f t="shared" si="22"/>
        <v>-1044.0286496350448</v>
      </c>
      <c r="G49" s="15">
        <f t="shared" si="23"/>
        <v>22.035289406060361</v>
      </c>
      <c r="H49" s="75">
        <f>G49*(1-PARAM!$C$27)*$I$4+(MOD($B49,60)=PARAM!$B$56)*($B49&gt;(60-PARAM!$B$56))*HLOOKUP(($B49+PARAM!$B$56)/12,Loyalty,2)*$F$1*MAX(J48,0)</f>
        <v>18.443537232872522</v>
      </c>
      <c r="I49" s="75">
        <f>PARAM!$C$26+MAX($G$4-CHOOSE(PARAM!$B$44,MAX(0,J48*$F$1),0),0)*RATES!$L25/12+$H$4*(PARAM!$D$51/12)*RATES!$N25/100</f>
        <v>7.166666666666667</v>
      </c>
      <c r="J49" s="16">
        <f t="shared" si="24"/>
        <v>-1025.1707552754428</v>
      </c>
      <c r="K49" s="15">
        <f t="shared" si="25"/>
        <v>22.170849845882874</v>
      </c>
      <c r="L49" s="75">
        <f>K49*(1-PARAM!$C$27)*$I$5+(MOD($B49,60)=PARAM!$B$56)*($B49&gt;(60-PARAM!$B$56))*HLOOKUP(($B49+PARAM!$B$56)/12,Loyalty,2)*$F$1*MAX(N48,0)</f>
        <v>18.557001321003963</v>
      </c>
      <c r="M49" s="75">
        <f>PARAM!$C$26+MAX($G$5-CHOOSE(PARAM!$B$44,MAX(0,N48*$F$1),0),0)*RATES!$L25/12+$H$5*(PARAM!$D$51/12)*RATES!$N25/100</f>
        <v>7.166666666666667</v>
      </c>
      <c r="N49" s="16">
        <f t="shared" si="26"/>
        <v>-1023.8624614707161</v>
      </c>
      <c r="O49" s="15">
        <f t="shared" si="27"/>
        <v>22.170849845882874</v>
      </c>
      <c r="P49" s="75">
        <f>O49*(1-PARAM!$C$27)*$I$6+(MOD($B49,60)=PARAM!$B$56)*($B49&gt;(60-PARAM!$B$56))*HLOOKUP(($B49+PARAM!$B$56)/12,Loyalty,2)*$F$1*MAX(R48,0)</f>
        <v>18.557001321003963</v>
      </c>
      <c r="Q49" s="75">
        <f>PARAM!$C$26+MAX($G$6-CHOOSE(PARAM!$B$44,MAX(0,R48*$F$1),0),0)*RATES!$L25/12+$H$6*(PARAM!$D$51/12)*RATES!$N25/100</f>
        <v>7.166666666666667</v>
      </c>
      <c r="R49" s="16">
        <f t="shared" si="28"/>
        <v>-1023.8624614707161</v>
      </c>
      <c r="S49" s="15">
        <f t="shared" si="4"/>
        <v>22.170849845882874</v>
      </c>
      <c r="T49" s="75">
        <f>S49*(1-PARAM!$C$27)*$I$7+(MOD($B49,60)=PARAM!$B$56)*($B49&gt;(60-PARAM!$B$56))*HLOOKUP(($B49+PARAM!$B$56)/12,Loyalty,2)*$F$1*MAX(V48,0)</f>
        <v>18.557001321003963</v>
      </c>
      <c r="U49" s="75">
        <f>PARAM!$C$26+MAX($G$7-CHOOSE(PARAM!$B$44,MAX(0,V48*$F$1),0),0)*RATES!$L25/12+$H$7*(PARAM!$D$51/12)*RATES!$N25/100</f>
        <v>7.166666666666667</v>
      </c>
      <c r="V49" s="16">
        <f t="shared" si="29"/>
        <v>-1023.8624614707161</v>
      </c>
      <c r="W49" s="15">
        <f t="shared" si="5"/>
        <v>22.170849845882874</v>
      </c>
      <c r="X49" s="75">
        <f>W49*(1-PARAM!$C$27)*$I$8+(MOD($B49,60)=PARAM!$B$56)*($B49&gt;(60-PARAM!$B$56))*HLOOKUP(($B49+PARAM!$B$56)/12,Loyalty,2)*$F$1*MAX(Z48,0)</f>
        <v>18.557001321003963</v>
      </c>
      <c r="Y49" s="75">
        <f>PARAM!$C$26+MAX($G$8-CHOOSE(PARAM!$B$44,MAX(0,Z48*$F$1),0),0)*RATES!$L25/12+$H$8*(PARAM!$D$51/12)*RATES!$N25/100</f>
        <v>7.166666666666667</v>
      </c>
      <c r="Z49" s="16">
        <f t="shared" si="30"/>
        <v>-1023.8624614707161</v>
      </c>
      <c r="AA49" s="15">
        <f t="shared" si="6"/>
        <v>22.170849845882874</v>
      </c>
      <c r="AB49" s="75">
        <f>AA49*(1-PARAM!$C$27)*$I$9+(MOD($B49,60)=PARAM!$B$56)*($B49&gt;(60-PARAM!$B$56))*HLOOKUP(($B49+PARAM!$B$56)/12,Loyalty,2)*$F$1*MAX(AD48,0)</f>
        <v>18.557001321003963</v>
      </c>
      <c r="AC49" s="75">
        <f>PARAM!$C$26+MAX($G$9-CHOOSE(PARAM!$B$44,MAX(0,AD48*$F$1),0),0)*RATES!$L25/12+$H$9*(PARAM!$D$51/12)*RATES!$N25/100</f>
        <v>7.166666666666667</v>
      </c>
      <c r="AD49" s="16">
        <f t="shared" si="31"/>
        <v>-1023.8624614707161</v>
      </c>
      <c r="AE49" s="15">
        <f t="shared" si="7"/>
        <v>22.170849845882874</v>
      </c>
      <c r="AF49" s="75">
        <f>AE49*(1-PARAM!$C$27)*$I$10+(MOD($B49,60)=PARAM!$B$56)*($B49&gt;(60-PARAM!$B$56))*HLOOKUP(($B49+PARAM!$B$56)/12,Loyalty,2)*$F$1*MAX(AH48,0)</f>
        <v>18.557001321003963</v>
      </c>
      <c r="AG49" s="75">
        <f>PARAM!$C$26+MAX($G$10-CHOOSE(PARAM!$B$44,MAX(0,AH48*$F$1),0),0)*RATES!$L25/12+$H$10*(PARAM!$D$51/12)*RATES!$N25/100</f>
        <v>7.166666666666667</v>
      </c>
      <c r="AH49" s="16">
        <f t="shared" si="32"/>
        <v>-1023.8624614707161</v>
      </c>
      <c r="AI49" s="15">
        <f t="shared" si="8"/>
        <v>22.170849845882874</v>
      </c>
      <c r="AJ49" s="75">
        <f>AI49*(1-PARAM!$C$27)*$I$11+(MOD($B49,60)=PARAM!$B$56)*($B49&gt;(60-PARAM!$B$56))*HLOOKUP(($B49+PARAM!$B$56)/12,Loyalty,2)*$F$1*MAX(AL48,0)</f>
        <v>18.557001321003963</v>
      </c>
      <c r="AK49" s="75">
        <f>PARAM!$C$26+MAX($G$11-CHOOSE(PARAM!$B$44,MAX(0,AL48*$F$1),0),0)*RATES!$L25/12+$H$11*(PARAM!$D$51/12)*RATES!$N25/100</f>
        <v>7.166666666666667</v>
      </c>
      <c r="AL49" s="16">
        <f t="shared" si="33"/>
        <v>-1023.8624614707161</v>
      </c>
      <c r="AM49" s="15">
        <f t="shared" si="9"/>
        <v>22.170849845882874</v>
      </c>
      <c r="AN49" s="75">
        <f>AM49*(1-PARAM!$C$27)*$I$12+(MOD($B49,60)=PARAM!$B$56)*($B49&gt;(60-PARAM!$B$56))*HLOOKUP(($B49+PARAM!$B$56)/12,Loyalty,2)*$F$1*MAX(AP48,0)</f>
        <v>18.557001321003963</v>
      </c>
      <c r="AO49" s="75">
        <f>PARAM!$C$26+MAX($G$12-CHOOSE(PARAM!$B$44,MAX(0,AP48*$F$1),0),0)*RATES!$L25/12+$H$12*(PARAM!$D$51/12)*RATES!$N25/100</f>
        <v>7.166666666666667</v>
      </c>
      <c r="AP49" s="16">
        <f t="shared" si="34"/>
        <v>-1023.8624614707161</v>
      </c>
      <c r="AQ49" s="15">
        <f t="shared" si="10"/>
        <v>22.170849845882874</v>
      </c>
      <c r="AR49" s="75">
        <f>AQ49*(1-PARAM!$C$27)*$I$13+(MOD($B49,60)=PARAM!$B$56)*($B49&gt;(60-PARAM!$B$56))*HLOOKUP(($B49+PARAM!$B$56)/12,Loyalty,2)*$F$1*MAX(AT48,0)</f>
        <v>18.557001321003963</v>
      </c>
      <c r="AS49" s="75">
        <f>PARAM!$C$26+MAX($G$13-CHOOSE(PARAM!$B$44,MAX(0,AT48*$F$1),0),0)*RATES!$L25/12+$H$13*(PARAM!$D$51/12)*RATES!$N25/100</f>
        <v>7.166666666666667</v>
      </c>
      <c r="AT49" s="16">
        <f t="shared" si="35"/>
        <v>-1023.8624614707161</v>
      </c>
      <c r="AU49" s="15">
        <f t="shared" si="11"/>
        <v>22.170849845882874</v>
      </c>
      <c r="AV49" s="75">
        <f>AU49*(1-PARAM!$C$27)*$I$14+(MOD($B49,60)=PARAM!$B$56)*($B49&gt;(60-PARAM!$B$56))*HLOOKUP(($B49+PARAM!$B$56)/12,Loyalty,2)*$F$1*MAX(AX48,0)</f>
        <v>18.557001321003963</v>
      </c>
      <c r="AW49" s="75">
        <f>PARAM!$C$26+MAX($G$14-CHOOSE(PARAM!$B$44,MAX(0,AX48*$F$1),0),0)*RATES!$L25/12+$H$14*(PARAM!$D$51/12)*RATES!$N25/100</f>
        <v>7.166666666666667</v>
      </c>
      <c r="AX49" s="16">
        <f t="shared" si="36"/>
        <v>-1023.8624614707161</v>
      </c>
      <c r="AY49" s="15">
        <f t="shared" si="12"/>
        <v>22.170849845882874</v>
      </c>
      <c r="AZ49" s="75">
        <f>AY49*(1-PARAM!$C$27)*$I$15+(MOD($B49,60)=PARAM!$B$56)*($B49&gt;(60-PARAM!$B$56))*HLOOKUP(($B49+PARAM!$B$56)/12,Loyalty,2)*$F$1*MAX(BB48,0)</f>
        <v>18.557001321003963</v>
      </c>
      <c r="BA49" s="75">
        <f>PARAM!$C$26+MAX($G$15-CHOOSE(PARAM!$B$44,MAX(0,BB48*$F$1),0),0)*RATES!$L25/12+$H$15*(PARAM!$D$51/12)*RATES!$N25/100</f>
        <v>7.166666666666667</v>
      </c>
      <c r="BB49" s="16">
        <f t="shared" si="37"/>
        <v>-1023.8624614707161</v>
      </c>
      <c r="BC49" s="15">
        <f t="shared" si="13"/>
        <v>22.170849845882874</v>
      </c>
      <c r="BD49" s="75">
        <f>BC49*(1-PARAM!$C$27)*$I$16+(MOD($B49,60)=PARAM!$B$56)*($B49&gt;(60-PARAM!$B$56))*HLOOKUP(($B49+PARAM!$B$56)/12,Loyalty,2)*$F$1*MAX(BF48,0)</f>
        <v>18.557001321003963</v>
      </c>
      <c r="BE49" s="75">
        <f>PARAM!$C$26+MAX($G$16-CHOOSE(PARAM!$B$44,MAX(0,BF48*$F$1),0),0)*RATES!$L25/12+$H$16*(PARAM!$D$51/12)*RATES!$N25/100</f>
        <v>7.166666666666667</v>
      </c>
      <c r="BF49" s="16">
        <f t="shared" si="38"/>
        <v>-1023.8624614707161</v>
      </c>
      <c r="BG49" s="15">
        <f t="shared" si="14"/>
        <v>22.170849845882874</v>
      </c>
      <c r="BH49" s="75">
        <f>BG49*(1-PARAM!$C$27)*$I$17+(MOD($B49,60)=PARAM!$B$56)*($B49&gt;(60-PARAM!$B$56))*HLOOKUP(($B49+PARAM!$B$56)/12,Loyalty,2)*$F$1*MAX(BJ48,0)</f>
        <v>18.557001321003963</v>
      </c>
      <c r="BI49" s="75">
        <f>PARAM!$C$26+MAX($G$17-CHOOSE(PARAM!$B$44,MAX(0,BJ48*$F$1),0),0)*RATES!$L25/12+$H$17*(PARAM!$D$51/12)*RATES!$N25/100</f>
        <v>7.166666666666667</v>
      </c>
      <c r="BJ49" s="16">
        <f t="shared" si="39"/>
        <v>-1023.8624614707161</v>
      </c>
      <c r="BK49" s="15">
        <f t="shared" si="15"/>
        <v>22.170849845882874</v>
      </c>
      <c r="BL49" s="75">
        <f>BK49*(1-PARAM!$C$27)*$I$18+(MOD($B49,60)=PARAM!$B$56)*($B49&gt;(60-PARAM!$B$56))*HLOOKUP(($B49+PARAM!$B$56)/12,Loyalty,2)*$F$1*MAX(BN48,0)</f>
        <v>18.557001321003963</v>
      </c>
      <c r="BM49" s="75">
        <f>PARAM!$C$26+MAX($G$18-CHOOSE(PARAM!$B$44,MAX(0,BN48*$F$1),0),0)*RATES!$L25/12+$H$18*(PARAM!$D$51/12)*RATES!$N25/100</f>
        <v>7.166666666666667</v>
      </c>
      <c r="BN49" s="16">
        <f t="shared" si="40"/>
        <v>-1023.8624614707161</v>
      </c>
      <c r="BO49" s="15">
        <f t="shared" si="16"/>
        <v>22.170849845882874</v>
      </c>
      <c r="BP49" s="75">
        <f>BO49*(1-PARAM!$C$27)*$I$19+(MOD($B49,60)=PARAM!$B$56)*($B49&gt;(60-PARAM!$B$56))*HLOOKUP(($B49+PARAM!$B$56)/12,Loyalty,2)*$F$1*MAX(BR48,0)</f>
        <v>18.557001321003963</v>
      </c>
      <c r="BQ49" s="75">
        <f>PARAM!$C$26+MAX($G$19-CHOOSE(PARAM!$B$44,MAX(0,BR48*$F$1),0),0)*RATES!$L25/12+$H$19*(PARAM!$D$51/12)*RATES!$N25/100</f>
        <v>7.166666666666667</v>
      </c>
      <c r="BR49" s="16">
        <f t="shared" si="41"/>
        <v>-1023.8624614707161</v>
      </c>
      <c r="BS49" s="15">
        <f t="shared" si="17"/>
        <v>22.170849845882874</v>
      </c>
      <c r="BT49" s="75">
        <f>BS49*(1-PARAM!$C$27)*$I$20+(MOD($B49,60)=PARAM!$B$56)*($B49&gt;(60-PARAM!$B$56))*HLOOKUP(($B49+PARAM!$B$56)/12,Loyalty,2)*$F$1*MAX(BV48,0)</f>
        <v>18.557001321003963</v>
      </c>
      <c r="BU49" s="75">
        <f>PARAM!$C$26+MAX($G$20-CHOOSE(PARAM!$B$44,MAX(0,BV48*$F$1),0),0)*RATES!$L25/12+$H$20*(PARAM!$D$51/12)*RATES!$N25/100</f>
        <v>7.166666666666667</v>
      </c>
      <c r="BV49" s="16">
        <f t="shared" si="42"/>
        <v>-1023.8624614707161</v>
      </c>
      <c r="BW49" s="15">
        <f t="shared" si="18"/>
        <v>22.170849845882874</v>
      </c>
      <c r="BX49" s="75">
        <f>BW49*(1-PARAM!$C$27)*$I$21+(MOD($B49,60)=PARAM!$B$56)*($B49&gt;(60-PARAM!$B$56))*HLOOKUP(($B49+PARAM!$B$56)/12,Loyalty,2)*$F$1*MAX(BZ48,0)</f>
        <v>18.557001321003963</v>
      </c>
      <c r="BY49" s="75">
        <f>PARAM!$C$26+MAX($G$21-CHOOSE(PARAM!$B$44,MAX(0,BZ48*$F$1),0),0)*RATES!$L25/12+$H$21*(PARAM!$D$51/12)*RATES!$N25/100</f>
        <v>7.166666666666667</v>
      </c>
      <c r="BZ49" s="16">
        <f t="shared" si="43"/>
        <v>-1023.8624614707161</v>
      </c>
      <c r="CA49" s="15">
        <f t="shared" si="19"/>
        <v>22.170849845882874</v>
      </c>
      <c r="CB49" s="75">
        <f>CA49*(1-PARAM!$C$27)*$I$22+(MOD($B49,60)=PARAM!$B$56)*($B49&gt;(60-PARAM!$B$56))*HLOOKUP(($B49+PARAM!$B$56)/12,Loyalty,2)*$F$1*MAX(CD48,0)</f>
        <v>18.557001321003963</v>
      </c>
      <c r="CC49" s="75">
        <f>PARAM!$C$26+MAX($G$22-CHOOSE(PARAM!$B$44,MAX(0,CD48*$F$1),0),0)*RATES!$L25/12+$H$22*(PARAM!$D$51/12)*RATES!$N25/100</f>
        <v>7.166666666666667</v>
      </c>
      <c r="CD49" s="16">
        <f t="shared" si="44"/>
        <v>-1023.8624614707161</v>
      </c>
      <c r="CE49" s="33">
        <f>IF(0=MOD(B49,12/PARAM!$D$51),1,0)</f>
        <v>1</v>
      </c>
      <c r="CF49" s="15">
        <f t="shared" si="20"/>
        <v>0</v>
      </c>
      <c r="CG49" s="75">
        <f>CF49*(1-PARAM!$C$27)*$R$3+(MOD($B49/12,5)=0)*($B49&gt;60)*HLOOKUP($B49/12,Loyalty,2)*$F$1*MAX(CI48,0)</f>
        <v>0</v>
      </c>
      <c r="CH49" s="75">
        <f>PARAM!$C$26+MAX($P$3-CHOOSE(PARAM!$B$44,MAX(0,CI48*$F$1),0),0)*RATES!$L25/12+$Q$3*(PARAM!$D$51/12)*RATES!$N25/100</f>
        <v>7.166666666666667</v>
      </c>
      <c r="CI49" s="16">
        <f>IF(CI48&gt;0,CI48*PARAM!$C$53,CI48)+CG49-CH49</f>
        <v>-1237.8333333333328</v>
      </c>
      <c r="CJ49" s="15">
        <f t="shared" si="45"/>
        <v>0</v>
      </c>
      <c r="CK49" s="75">
        <f>CJ49*(1-PARAM!$C$27)*$R$4+(MOD($B49/12,5)=0)*($B49&gt;60)*HLOOKUP($B49/12,Loyalty,2)*$F$1*MAX(CM48,0)</f>
        <v>0</v>
      </c>
      <c r="CL49" s="75">
        <f>PARAM!$C$26+MAX($P$4-CHOOSE(PARAM!$B$44,MAX(0,CM48*$F$1),0),0)*RATES!$L25/12+$Q$4*(PARAM!$D$51/12)*RATES!$N25/100</f>
        <v>7.166666666666667</v>
      </c>
      <c r="CM49" s="16">
        <f>IF(CM48&gt;0,CM48*PARAM!$C$53,CM48)+CK49-CL49</f>
        <v>-1237.8333333333328</v>
      </c>
      <c r="CO49" s="176"/>
    </row>
    <row r="50" spans="1:93" x14ac:dyDescent="0.2">
      <c r="A50" t="b">
        <f t="shared" si="21"/>
        <v>0</v>
      </c>
      <c r="B50" s="33">
        <v>23</v>
      </c>
      <c r="C50" s="15">
        <f t="shared" si="46"/>
        <v>20.081305947392778</v>
      </c>
      <c r="D50" s="75">
        <f>C50*(1-PARAM!$C$27)*$I$3+(MOD($B50,60)=PARAM!$B$56)*($B50&gt;(60-PARAM!$B$56))*HLOOKUP(($B50+PARAM!$B$56)/12,Loyalty,2)*$F$1*MAX(F49,0)</f>
        <v>16.808053077967756</v>
      </c>
      <c r="E50" s="75">
        <f>PARAM!$C$26+MAX($G$3-CHOOSE(PARAM!$B$44,MAX(0,F49*$F$1),0),0)*RATES!$L26/12+$H$3*(PARAM!$D$51/12)*RATES!$N26/100</f>
        <v>7.166666666666667</v>
      </c>
      <c r="F50" s="16">
        <f t="shared" si="22"/>
        <v>-1034.3872632237437</v>
      </c>
      <c r="G50" s="15">
        <f t="shared" si="23"/>
        <v>22.035289406060361</v>
      </c>
      <c r="H50" s="75">
        <f>G50*(1-PARAM!$C$27)*$I$4+(MOD($B50,60)=PARAM!$B$56)*($B50&gt;(60-PARAM!$B$56))*HLOOKUP(($B50+PARAM!$B$56)/12,Loyalty,2)*$F$1*MAX(J49,0)</f>
        <v>18.443537232872522</v>
      </c>
      <c r="I50" s="75">
        <f>PARAM!$C$26+MAX($G$4-CHOOSE(PARAM!$B$44,MAX(0,J49*$F$1),0),0)*RATES!$L26/12+$H$4*(PARAM!$D$51/12)*RATES!$N26/100</f>
        <v>7.166666666666667</v>
      </c>
      <c r="J50" s="16">
        <f t="shared" si="24"/>
        <v>-1013.893884709237</v>
      </c>
      <c r="K50" s="15">
        <f t="shared" si="25"/>
        <v>22.170849845882874</v>
      </c>
      <c r="L50" s="75">
        <f>K50*(1-PARAM!$C$27)*$I$5+(MOD($B50,60)=PARAM!$B$56)*($B50&gt;(60-PARAM!$B$56))*HLOOKUP(($B50+PARAM!$B$56)/12,Loyalty,2)*$F$1*MAX(N49,0)</f>
        <v>18.557001321003963</v>
      </c>
      <c r="M50" s="75">
        <f>PARAM!$C$26+MAX($G$5-CHOOSE(PARAM!$B$44,MAX(0,N49*$F$1),0),0)*RATES!$L26/12+$H$5*(PARAM!$D$51/12)*RATES!$N26/100</f>
        <v>7.166666666666667</v>
      </c>
      <c r="N50" s="16">
        <f t="shared" si="26"/>
        <v>-1012.4721268163787</v>
      </c>
      <c r="O50" s="15">
        <f t="shared" si="27"/>
        <v>22.170849845882874</v>
      </c>
      <c r="P50" s="75">
        <f>O50*(1-PARAM!$C$27)*$I$6+(MOD($B50,60)=PARAM!$B$56)*($B50&gt;(60-PARAM!$B$56))*HLOOKUP(($B50+PARAM!$B$56)/12,Loyalty,2)*$F$1*MAX(R49,0)</f>
        <v>18.557001321003963</v>
      </c>
      <c r="Q50" s="75">
        <f>PARAM!$C$26+MAX($G$6-CHOOSE(PARAM!$B$44,MAX(0,R49*$F$1),0),0)*RATES!$L26/12+$H$6*(PARAM!$D$51/12)*RATES!$N26/100</f>
        <v>7.166666666666667</v>
      </c>
      <c r="R50" s="16">
        <f t="shared" si="28"/>
        <v>-1012.4721268163787</v>
      </c>
      <c r="S50" s="15">
        <f t="shared" si="4"/>
        <v>22.170849845882874</v>
      </c>
      <c r="T50" s="75">
        <f>S50*(1-PARAM!$C$27)*$I$7+(MOD($B50,60)=PARAM!$B$56)*($B50&gt;(60-PARAM!$B$56))*HLOOKUP(($B50+PARAM!$B$56)/12,Loyalty,2)*$F$1*MAX(V49,0)</f>
        <v>18.557001321003963</v>
      </c>
      <c r="U50" s="75">
        <f>PARAM!$C$26+MAX($G$7-CHOOSE(PARAM!$B$44,MAX(0,V49*$F$1),0),0)*RATES!$L26/12+$H$7*(PARAM!$D$51/12)*RATES!$N26/100</f>
        <v>7.166666666666667</v>
      </c>
      <c r="V50" s="16">
        <f t="shared" si="29"/>
        <v>-1012.4721268163787</v>
      </c>
      <c r="W50" s="15">
        <f t="shared" si="5"/>
        <v>22.170849845882874</v>
      </c>
      <c r="X50" s="75">
        <f>W50*(1-PARAM!$C$27)*$I$8+(MOD($B50,60)=PARAM!$B$56)*($B50&gt;(60-PARAM!$B$56))*HLOOKUP(($B50+PARAM!$B$56)/12,Loyalty,2)*$F$1*MAX(Z49,0)</f>
        <v>18.557001321003963</v>
      </c>
      <c r="Y50" s="75">
        <f>PARAM!$C$26+MAX($G$8-CHOOSE(PARAM!$B$44,MAX(0,Z49*$F$1),0),0)*RATES!$L26/12+$H$8*(PARAM!$D$51/12)*RATES!$N26/100</f>
        <v>7.166666666666667</v>
      </c>
      <c r="Z50" s="16">
        <f t="shared" si="30"/>
        <v>-1012.4721268163787</v>
      </c>
      <c r="AA50" s="15">
        <f t="shared" si="6"/>
        <v>22.170849845882874</v>
      </c>
      <c r="AB50" s="75">
        <f>AA50*(1-PARAM!$C$27)*$I$9+(MOD($B50,60)=PARAM!$B$56)*($B50&gt;(60-PARAM!$B$56))*HLOOKUP(($B50+PARAM!$B$56)/12,Loyalty,2)*$F$1*MAX(AD49,0)</f>
        <v>18.557001321003963</v>
      </c>
      <c r="AC50" s="75">
        <f>PARAM!$C$26+MAX($G$9-CHOOSE(PARAM!$B$44,MAX(0,AD49*$F$1),0),0)*RATES!$L26/12+$H$9*(PARAM!$D$51/12)*RATES!$N26/100</f>
        <v>7.166666666666667</v>
      </c>
      <c r="AD50" s="16">
        <f t="shared" si="31"/>
        <v>-1012.4721268163787</v>
      </c>
      <c r="AE50" s="15">
        <f t="shared" si="7"/>
        <v>22.170849845882874</v>
      </c>
      <c r="AF50" s="75">
        <f>AE50*(1-PARAM!$C$27)*$I$10+(MOD($B50,60)=PARAM!$B$56)*($B50&gt;(60-PARAM!$B$56))*HLOOKUP(($B50+PARAM!$B$56)/12,Loyalty,2)*$F$1*MAX(AH49,0)</f>
        <v>18.557001321003963</v>
      </c>
      <c r="AG50" s="75">
        <f>PARAM!$C$26+MAX($G$10-CHOOSE(PARAM!$B$44,MAX(0,AH49*$F$1),0),0)*RATES!$L26/12+$H$10*(PARAM!$D$51/12)*RATES!$N26/100</f>
        <v>7.166666666666667</v>
      </c>
      <c r="AH50" s="16">
        <f t="shared" si="32"/>
        <v>-1012.4721268163787</v>
      </c>
      <c r="AI50" s="15">
        <f t="shared" si="8"/>
        <v>22.170849845882874</v>
      </c>
      <c r="AJ50" s="75">
        <f>AI50*(1-PARAM!$C$27)*$I$11+(MOD($B50,60)=PARAM!$B$56)*($B50&gt;(60-PARAM!$B$56))*HLOOKUP(($B50+PARAM!$B$56)/12,Loyalty,2)*$F$1*MAX(AL49,0)</f>
        <v>18.557001321003963</v>
      </c>
      <c r="AK50" s="75">
        <f>PARAM!$C$26+MAX($G$11-CHOOSE(PARAM!$B$44,MAX(0,AL49*$F$1),0),0)*RATES!$L26/12+$H$11*(PARAM!$D$51/12)*RATES!$N26/100</f>
        <v>7.166666666666667</v>
      </c>
      <c r="AL50" s="16">
        <f t="shared" si="33"/>
        <v>-1012.4721268163787</v>
      </c>
      <c r="AM50" s="15">
        <f t="shared" si="9"/>
        <v>22.170849845882874</v>
      </c>
      <c r="AN50" s="75">
        <f>AM50*(1-PARAM!$C$27)*$I$12+(MOD($B50,60)=PARAM!$B$56)*($B50&gt;(60-PARAM!$B$56))*HLOOKUP(($B50+PARAM!$B$56)/12,Loyalty,2)*$F$1*MAX(AP49,0)</f>
        <v>18.557001321003963</v>
      </c>
      <c r="AO50" s="75">
        <f>PARAM!$C$26+MAX($G$12-CHOOSE(PARAM!$B$44,MAX(0,AP49*$F$1),0),0)*RATES!$L26/12+$H$12*(PARAM!$D$51/12)*RATES!$N26/100</f>
        <v>7.166666666666667</v>
      </c>
      <c r="AP50" s="16">
        <f t="shared" si="34"/>
        <v>-1012.4721268163787</v>
      </c>
      <c r="AQ50" s="15">
        <f t="shared" si="10"/>
        <v>22.170849845882874</v>
      </c>
      <c r="AR50" s="75">
        <f>AQ50*(1-PARAM!$C$27)*$I$13+(MOD($B50,60)=PARAM!$B$56)*($B50&gt;(60-PARAM!$B$56))*HLOOKUP(($B50+PARAM!$B$56)/12,Loyalty,2)*$F$1*MAX(AT49,0)</f>
        <v>18.557001321003963</v>
      </c>
      <c r="AS50" s="75">
        <f>PARAM!$C$26+MAX($G$13-CHOOSE(PARAM!$B$44,MAX(0,AT49*$F$1),0),0)*RATES!$L26/12+$H$13*(PARAM!$D$51/12)*RATES!$N26/100</f>
        <v>7.166666666666667</v>
      </c>
      <c r="AT50" s="16">
        <f t="shared" si="35"/>
        <v>-1012.4721268163787</v>
      </c>
      <c r="AU50" s="15">
        <f t="shared" si="11"/>
        <v>22.170849845882874</v>
      </c>
      <c r="AV50" s="75">
        <f>AU50*(1-PARAM!$C$27)*$I$14+(MOD($B50,60)=PARAM!$B$56)*($B50&gt;(60-PARAM!$B$56))*HLOOKUP(($B50+PARAM!$B$56)/12,Loyalty,2)*$F$1*MAX(AX49,0)</f>
        <v>18.557001321003963</v>
      </c>
      <c r="AW50" s="75">
        <f>PARAM!$C$26+MAX($G$14-CHOOSE(PARAM!$B$44,MAX(0,AX49*$F$1),0),0)*RATES!$L26/12+$H$14*(PARAM!$D$51/12)*RATES!$N26/100</f>
        <v>7.166666666666667</v>
      </c>
      <c r="AX50" s="16">
        <f t="shared" si="36"/>
        <v>-1012.4721268163787</v>
      </c>
      <c r="AY50" s="15">
        <f t="shared" si="12"/>
        <v>22.170849845882874</v>
      </c>
      <c r="AZ50" s="75">
        <f>AY50*(1-PARAM!$C$27)*$I$15+(MOD($B50,60)=PARAM!$B$56)*($B50&gt;(60-PARAM!$B$56))*HLOOKUP(($B50+PARAM!$B$56)/12,Loyalty,2)*$F$1*MAX(BB49,0)</f>
        <v>18.557001321003963</v>
      </c>
      <c r="BA50" s="75">
        <f>PARAM!$C$26+MAX($G$15-CHOOSE(PARAM!$B$44,MAX(0,BB49*$F$1),0),0)*RATES!$L26/12+$H$15*(PARAM!$D$51/12)*RATES!$N26/100</f>
        <v>7.166666666666667</v>
      </c>
      <c r="BB50" s="16">
        <f t="shared" si="37"/>
        <v>-1012.4721268163787</v>
      </c>
      <c r="BC50" s="15">
        <f t="shared" si="13"/>
        <v>22.170849845882874</v>
      </c>
      <c r="BD50" s="75">
        <f>BC50*(1-PARAM!$C$27)*$I$16+(MOD($B50,60)=PARAM!$B$56)*($B50&gt;(60-PARAM!$B$56))*HLOOKUP(($B50+PARAM!$B$56)/12,Loyalty,2)*$F$1*MAX(BF49,0)</f>
        <v>18.557001321003963</v>
      </c>
      <c r="BE50" s="75">
        <f>PARAM!$C$26+MAX($G$16-CHOOSE(PARAM!$B$44,MAX(0,BF49*$F$1),0),0)*RATES!$L26/12+$H$16*(PARAM!$D$51/12)*RATES!$N26/100</f>
        <v>7.166666666666667</v>
      </c>
      <c r="BF50" s="16">
        <f t="shared" si="38"/>
        <v>-1012.4721268163787</v>
      </c>
      <c r="BG50" s="15">
        <f t="shared" si="14"/>
        <v>22.170849845882874</v>
      </c>
      <c r="BH50" s="75">
        <f>BG50*(1-PARAM!$C$27)*$I$17+(MOD($B50,60)=PARAM!$B$56)*($B50&gt;(60-PARAM!$B$56))*HLOOKUP(($B50+PARAM!$B$56)/12,Loyalty,2)*$F$1*MAX(BJ49,0)</f>
        <v>18.557001321003963</v>
      </c>
      <c r="BI50" s="75">
        <f>PARAM!$C$26+MAX($G$17-CHOOSE(PARAM!$B$44,MAX(0,BJ49*$F$1),0),0)*RATES!$L26/12+$H$17*(PARAM!$D$51/12)*RATES!$N26/100</f>
        <v>7.166666666666667</v>
      </c>
      <c r="BJ50" s="16">
        <f t="shared" si="39"/>
        <v>-1012.4721268163787</v>
      </c>
      <c r="BK50" s="15">
        <f t="shared" si="15"/>
        <v>22.170849845882874</v>
      </c>
      <c r="BL50" s="75">
        <f>BK50*(1-PARAM!$C$27)*$I$18+(MOD($B50,60)=PARAM!$B$56)*($B50&gt;(60-PARAM!$B$56))*HLOOKUP(($B50+PARAM!$B$56)/12,Loyalty,2)*$F$1*MAX(BN49,0)</f>
        <v>18.557001321003963</v>
      </c>
      <c r="BM50" s="75">
        <f>PARAM!$C$26+MAX($G$18-CHOOSE(PARAM!$B$44,MAX(0,BN49*$F$1),0),0)*RATES!$L26/12+$H$18*(PARAM!$D$51/12)*RATES!$N26/100</f>
        <v>7.166666666666667</v>
      </c>
      <c r="BN50" s="16">
        <f t="shared" si="40"/>
        <v>-1012.4721268163787</v>
      </c>
      <c r="BO50" s="15">
        <f t="shared" si="16"/>
        <v>22.170849845882874</v>
      </c>
      <c r="BP50" s="75">
        <f>BO50*(1-PARAM!$C$27)*$I$19+(MOD($B50,60)=PARAM!$B$56)*($B50&gt;(60-PARAM!$B$56))*HLOOKUP(($B50+PARAM!$B$56)/12,Loyalty,2)*$F$1*MAX(BR49,0)</f>
        <v>18.557001321003963</v>
      </c>
      <c r="BQ50" s="75">
        <f>PARAM!$C$26+MAX($G$19-CHOOSE(PARAM!$B$44,MAX(0,BR49*$F$1),0),0)*RATES!$L26/12+$H$19*(PARAM!$D$51/12)*RATES!$N26/100</f>
        <v>7.166666666666667</v>
      </c>
      <c r="BR50" s="16">
        <f t="shared" si="41"/>
        <v>-1012.4721268163787</v>
      </c>
      <c r="BS50" s="15">
        <f t="shared" si="17"/>
        <v>22.170849845882874</v>
      </c>
      <c r="BT50" s="75">
        <f>BS50*(1-PARAM!$C$27)*$I$20+(MOD($B50,60)=PARAM!$B$56)*($B50&gt;(60-PARAM!$B$56))*HLOOKUP(($B50+PARAM!$B$56)/12,Loyalty,2)*$F$1*MAX(BV49,0)</f>
        <v>18.557001321003963</v>
      </c>
      <c r="BU50" s="75">
        <f>PARAM!$C$26+MAX($G$20-CHOOSE(PARAM!$B$44,MAX(0,BV49*$F$1),0),0)*RATES!$L26/12+$H$20*(PARAM!$D$51/12)*RATES!$N26/100</f>
        <v>7.166666666666667</v>
      </c>
      <c r="BV50" s="16">
        <f t="shared" si="42"/>
        <v>-1012.4721268163787</v>
      </c>
      <c r="BW50" s="15">
        <f t="shared" si="18"/>
        <v>22.170849845882874</v>
      </c>
      <c r="BX50" s="75">
        <f>BW50*(1-PARAM!$C$27)*$I$21+(MOD($B50,60)=PARAM!$B$56)*($B50&gt;(60-PARAM!$B$56))*HLOOKUP(($B50+PARAM!$B$56)/12,Loyalty,2)*$F$1*MAX(BZ49,0)</f>
        <v>18.557001321003963</v>
      </c>
      <c r="BY50" s="75">
        <f>PARAM!$C$26+MAX($G$21-CHOOSE(PARAM!$B$44,MAX(0,BZ49*$F$1),0),0)*RATES!$L26/12+$H$21*(PARAM!$D$51/12)*RATES!$N26/100</f>
        <v>7.166666666666667</v>
      </c>
      <c r="BZ50" s="16">
        <f t="shared" si="43"/>
        <v>-1012.4721268163787</v>
      </c>
      <c r="CA50" s="15">
        <f t="shared" si="19"/>
        <v>22.170849845882874</v>
      </c>
      <c r="CB50" s="75">
        <f>CA50*(1-PARAM!$C$27)*$I$22+(MOD($B50,60)=PARAM!$B$56)*($B50&gt;(60-PARAM!$B$56))*HLOOKUP(($B50+PARAM!$B$56)/12,Loyalty,2)*$F$1*MAX(CD49,0)</f>
        <v>18.557001321003963</v>
      </c>
      <c r="CC50" s="75">
        <f>PARAM!$C$26+MAX($G$22-CHOOSE(PARAM!$B$44,MAX(0,CD49*$F$1),0),0)*RATES!$L26/12+$H$22*(PARAM!$D$51/12)*RATES!$N26/100</f>
        <v>7.166666666666667</v>
      </c>
      <c r="CD50" s="16">
        <f t="shared" si="44"/>
        <v>-1012.4721268163787</v>
      </c>
      <c r="CE50" s="33">
        <f>IF(0=MOD(B50,12/PARAM!$D$51),1,0)</f>
        <v>1</v>
      </c>
      <c r="CF50" s="15">
        <f t="shared" si="20"/>
        <v>0</v>
      </c>
      <c r="CG50" s="75">
        <f>CF50*(1-PARAM!$C$27)*$R$3+(MOD($B50/12,5)=0)*($B50&gt;60)*HLOOKUP($B50/12,Loyalty,2)*$F$1*MAX(CI49,0)</f>
        <v>0</v>
      </c>
      <c r="CH50" s="75">
        <f>PARAM!$C$26+MAX($P$3-CHOOSE(PARAM!$B$44,MAX(0,CI49*$F$1),0),0)*RATES!$L26/12+$Q$3*(PARAM!$D$51/12)*RATES!$N26/100</f>
        <v>7.166666666666667</v>
      </c>
      <c r="CI50" s="16">
        <f>IF(CI49&gt;0,CI49*PARAM!$C$53,CI49)+CG50-CH50</f>
        <v>-1244.9999999999995</v>
      </c>
      <c r="CJ50" s="15">
        <f t="shared" si="45"/>
        <v>0</v>
      </c>
      <c r="CK50" s="75">
        <f>CJ50*(1-PARAM!$C$27)*$R$4+(MOD($B50/12,5)=0)*($B50&gt;60)*HLOOKUP($B50/12,Loyalty,2)*$F$1*MAX(CM49,0)</f>
        <v>0</v>
      </c>
      <c r="CL50" s="75">
        <f>PARAM!$C$26+MAX($P$4-CHOOSE(PARAM!$B$44,MAX(0,CM49*$F$1),0),0)*RATES!$L26/12+$Q$4*(PARAM!$D$51/12)*RATES!$N26/100</f>
        <v>7.166666666666667</v>
      </c>
      <c r="CM50" s="16">
        <f>IF(CM49&gt;0,CM49*PARAM!$C$53,CM49)+CK50-CL50</f>
        <v>-1244.9999999999995</v>
      </c>
      <c r="CO50" s="176"/>
    </row>
    <row r="51" spans="1:93" x14ac:dyDescent="0.2">
      <c r="A51" t="b">
        <f t="shared" si="21"/>
        <v>0</v>
      </c>
      <c r="B51" s="33">
        <v>24</v>
      </c>
      <c r="C51" s="15">
        <f t="shared" si="46"/>
        <v>20.081305947392778</v>
      </c>
      <c r="D51" s="75">
        <f>C51*(1-PARAM!$C$27)*$I$3+(MOD($B51,60)=PARAM!$B$56)*($B51&gt;(60-PARAM!$B$56))*HLOOKUP(($B51+PARAM!$B$56)/12,Loyalty,2)*$F$1*MAX(F50,0)</f>
        <v>16.808053077967756</v>
      </c>
      <c r="E51" s="75">
        <f>PARAM!$C$26+MAX($G$3-CHOOSE(PARAM!$B$44,MAX(0,F50*$F$1),0),0)*RATES!$L27/12+$H$3*(PARAM!$D$51/12)*RATES!$N27/100</f>
        <v>7.166666666666667</v>
      </c>
      <c r="F51" s="16">
        <f t="shared" si="22"/>
        <v>-1024.7458768124427</v>
      </c>
      <c r="G51" s="15">
        <f t="shared" si="23"/>
        <v>22.035289406060361</v>
      </c>
      <c r="H51" s="75">
        <f>G51*(1-PARAM!$C$27)*$I$4+(MOD($B51,60)=PARAM!$B$56)*($B51&gt;(60-PARAM!$B$56))*HLOOKUP(($B51+PARAM!$B$56)/12,Loyalty,2)*$F$1*MAX(J50,0)</f>
        <v>18.443537232872522</v>
      </c>
      <c r="I51" s="75">
        <f>PARAM!$C$26+MAX($G$4-CHOOSE(PARAM!$B$44,MAX(0,J50*$F$1),0),0)*RATES!$L27/12+$H$4*(PARAM!$D$51/12)*RATES!$N27/100</f>
        <v>7.166666666666667</v>
      </c>
      <c r="J51" s="16">
        <f t="shared" si="24"/>
        <v>-1002.6170141430312</v>
      </c>
      <c r="K51" s="15">
        <f t="shared" si="25"/>
        <v>22.170849845882874</v>
      </c>
      <c r="L51" s="75">
        <f>K51*(1-PARAM!$C$27)*$I$5+(MOD($B51,60)=PARAM!$B$56)*($B51&gt;(60-PARAM!$B$56))*HLOOKUP(($B51+PARAM!$B$56)/12,Loyalty,2)*$F$1*MAX(N50,0)</f>
        <v>18.557001321003963</v>
      </c>
      <c r="M51" s="75">
        <f>PARAM!$C$26+MAX($G$5-CHOOSE(PARAM!$B$44,MAX(0,N50*$F$1),0),0)*RATES!$L27/12+$H$5*(PARAM!$D$51/12)*RATES!$N27/100</f>
        <v>7.166666666666667</v>
      </c>
      <c r="N51" s="16">
        <f t="shared" si="26"/>
        <v>-1001.0817921620413</v>
      </c>
      <c r="O51" s="15">
        <f t="shared" si="27"/>
        <v>22.170849845882874</v>
      </c>
      <c r="P51" s="75">
        <f>O51*(1-PARAM!$C$27)*$I$6+(MOD($B51,60)=PARAM!$B$56)*($B51&gt;(60-PARAM!$B$56))*HLOOKUP(($B51+PARAM!$B$56)/12,Loyalty,2)*$F$1*MAX(R50,0)</f>
        <v>18.557001321003963</v>
      </c>
      <c r="Q51" s="75">
        <f>PARAM!$C$26+MAX($G$6-CHOOSE(PARAM!$B$44,MAX(0,R50*$F$1),0),0)*RATES!$L27/12+$H$6*(PARAM!$D$51/12)*RATES!$N27/100</f>
        <v>7.166666666666667</v>
      </c>
      <c r="R51" s="16">
        <f t="shared" si="28"/>
        <v>-1001.0817921620413</v>
      </c>
      <c r="S51" s="15">
        <f t="shared" si="4"/>
        <v>22.170849845882874</v>
      </c>
      <c r="T51" s="75">
        <f>S51*(1-PARAM!$C$27)*$I$7+(MOD($B51,60)=PARAM!$B$56)*($B51&gt;(60-PARAM!$B$56))*HLOOKUP(($B51+PARAM!$B$56)/12,Loyalty,2)*$F$1*MAX(V50,0)</f>
        <v>18.557001321003963</v>
      </c>
      <c r="U51" s="75">
        <f>PARAM!$C$26+MAX($G$7-CHOOSE(PARAM!$B$44,MAX(0,V50*$F$1),0),0)*RATES!$L27/12+$H$7*(PARAM!$D$51/12)*RATES!$N27/100</f>
        <v>7.166666666666667</v>
      </c>
      <c r="V51" s="16">
        <f t="shared" si="29"/>
        <v>-1001.0817921620413</v>
      </c>
      <c r="W51" s="15">
        <f t="shared" si="5"/>
        <v>22.170849845882874</v>
      </c>
      <c r="X51" s="75">
        <f>W51*(1-PARAM!$C$27)*$I$8+(MOD($B51,60)=PARAM!$B$56)*($B51&gt;(60-PARAM!$B$56))*HLOOKUP(($B51+PARAM!$B$56)/12,Loyalty,2)*$F$1*MAX(Z50,0)</f>
        <v>18.557001321003963</v>
      </c>
      <c r="Y51" s="75">
        <f>PARAM!$C$26+MAX($G$8-CHOOSE(PARAM!$B$44,MAX(0,Z50*$F$1),0),0)*RATES!$L27/12+$H$8*(PARAM!$D$51/12)*RATES!$N27/100</f>
        <v>7.166666666666667</v>
      </c>
      <c r="Z51" s="16">
        <f t="shared" si="30"/>
        <v>-1001.0817921620413</v>
      </c>
      <c r="AA51" s="15">
        <f t="shared" si="6"/>
        <v>22.170849845882874</v>
      </c>
      <c r="AB51" s="75">
        <f>AA51*(1-PARAM!$C$27)*$I$9+(MOD($B51,60)=PARAM!$B$56)*($B51&gt;(60-PARAM!$B$56))*HLOOKUP(($B51+PARAM!$B$56)/12,Loyalty,2)*$F$1*MAX(AD50,0)</f>
        <v>18.557001321003963</v>
      </c>
      <c r="AC51" s="75">
        <f>PARAM!$C$26+MAX($G$9-CHOOSE(PARAM!$B$44,MAX(0,AD50*$F$1),0),0)*RATES!$L27/12+$H$9*(PARAM!$D$51/12)*RATES!$N27/100</f>
        <v>7.166666666666667</v>
      </c>
      <c r="AD51" s="16">
        <f t="shared" si="31"/>
        <v>-1001.0817921620413</v>
      </c>
      <c r="AE51" s="15">
        <f t="shared" si="7"/>
        <v>22.170849845882874</v>
      </c>
      <c r="AF51" s="75">
        <f>AE51*(1-PARAM!$C$27)*$I$10+(MOD($B51,60)=PARAM!$B$56)*($B51&gt;(60-PARAM!$B$56))*HLOOKUP(($B51+PARAM!$B$56)/12,Loyalty,2)*$F$1*MAX(AH50,0)</f>
        <v>18.557001321003963</v>
      </c>
      <c r="AG51" s="75">
        <f>PARAM!$C$26+MAX($G$10-CHOOSE(PARAM!$B$44,MAX(0,AH50*$F$1),0),0)*RATES!$L27/12+$H$10*(PARAM!$D$51/12)*RATES!$N27/100</f>
        <v>7.166666666666667</v>
      </c>
      <c r="AH51" s="16">
        <f t="shared" si="32"/>
        <v>-1001.0817921620413</v>
      </c>
      <c r="AI51" s="15">
        <f t="shared" si="8"/>
        <v>22.170849845882874</v>
      </c>
      <c r="AJ51" s="75">
        <f>AI51*(1-PARAM!$C$27)*$I$11+(MOD($B51,60)=PARAM!$B$56)*($B51&gt;(60-PARAM!$B$56))*HLOOKUP(($B51+PARAM!$B$56)/12,Loyalty,2)*$F$1*MAX(AL50,0)</f>
        <v>18.557001321003963</v>
      </c>
      <c r="AK51" s="75">
        <f>PARAM!$C$26+MAX($G$11-CHOOSE(PARAM!$B$44,MAX(0,AL50*$F$1),0),0)*RATES!$L27/12+$H$11*(PARAM!$D$51/12)*RATES!$N27/100</f>
        <v>7.166666666666667</v>
      </c>
      <c r="AL51" s="16">
        <f t="shared" si="33"/>
        <v>-1001.0817921620413</v>
      </c>
      <c r="AM51" s="15">
        <f t="shared" si="9"/>
        <v>22.170849845882874</v>
      </c>
      <c r="AN51" s="75">
        <f>AM51*(1-PARAM!$C$27)*$I$12+(MOD($B51,60)=PARAM!$B$56)*($B51&gt;(60-PARAM!$B$56))*HLOOKUP(($B51+PARAM!$B$56)/12,Loyalty,2)*$F$1*MAX(AP50,0)</f>
        <v>18.557001321003963</v>
      </c>
      <c r="AO51" s="75">
        <f>PARAM!$C$26+MAX($G$12-CHOOSE(PARAM!$B$44,MAX(0,AP50*$F$1),0),0)*RATES!$L27/12+$H$12*(PARAM!$D$51/12)*RATES!$N27/100</f>
        <v>7.166666666666667</v>
      </c>
      <c r="AP51" s="16">
        <f t="shared" si="34"/>
        <v>-1001.0817921620413</v>
      </c>
      <c r="AQ51" s="15">
        <f t="shared" si="10"/>
        <v>22.170849845882874</v>
      </c>
      <c r="AR51" s="75">
        <f>AQ51*(1-PARAM!$C$27)*$I$13+(MOD($B51,60)=PARAM!$B$56)*($B51&gt;(60-PARAM!$B$56))*HLOOKUP(($B51+PARAM!$B$56)/12,Loyalty,2)*$F$1*MAX(AT50,0)</f>
        <v>18.557001321003963</v>
      </c>
      <c r="AS51" s="75">
        <f>PARAM!$C$26+MAX($G$13-CHOOSE(PARAM!$B$44,MAX(0,AT50*$F$1),0),0)*RATES!$L27/12+$H$13*(PARAM!$D$51/12)*RATES!$N27/100</f>
        <v>7.166666666666667</v>
      </c>
      <c r="AT51" s="16">
        <f t="shared" si="35"/>
        <v>-1001.0817921620413</v>
      </c>
      <c r="AU51" s="15">
        <f t="shared" si="11"/>
        <v>22.170849845882874</v>
      </c>
      <c r="AV51" s="75">
        <f>AU51*(1-PARAM!$C$27)*$I$14+(MOD($B51,60)=PARAM!$B$56)*($B51&gt;(60-PARAM!$B$56))*HLOOKUP(($B51+PARAM!$B$56)/12,Loyalty,2)*$F$1*MAX(AX50,0)</f>
        <v>18.557001321003963</v>
      </c>
      <c r="AW51" s="75">
        <f>PARAM!$C$26+MAX($G$14-CHOOSE(PARAM!$B$44,MAX(0,AX50*$F$1),0),0)*RATES!$L27/12+$H$14*(PARAM!$D$51/12)*RATES!$N27/100</f>
        <v>7.166666666666667</v>
      </c>
      <c r="AX51" s="16">
        <f t="shared" si="36"/>
        <v>-1001.0817921620413</v>
      </c>
      <c r="AY51" s="15">
        <f t="shared" si="12"/>
        <v>22.170849845882874</v>
      </c>
      <c r="AZ51" s="75">
        <f>AY51*(1-PARAM!$C$27)*$I$15+(MOD($B51,60)=PARAM!$B$56)*($B51&gt;(60-PARAM!$B$56))*HLOOKUP(($B51+PARAM!$B$56)/12,Loyalty,2)*$F$1*MAX(BB50,0)</f>
        <v>18.557001321003963</v>
      </c>
      <c r="BA51" s="75">
        <f>PARAM!$C$26+MAX($G$15-CHOOSE(PARAM!$B$44,MAX(0,BB50*$F$1),0),0)*RATES!$L27/12+$H$15*(PARAM!$D$51/12)*RATES!$N27/100</f>
        <v>7.166666666666667</v>
      </c>
      <c r="BB51" s="16">
        <f t="shared" si="37"/>
        <v>-1001.0817921620413</v>
      </c>
      <c r="BC51" s="15">
        <f t="shared" si="13"/>
        <v>22.170849845882874</v>
      </c>
      <c r="BD51" s="75">
        <f>BC51*(1-PARAM!$C$27)*$I$16+(MOD($B51,60)=PARAM!$B$56)*($B51&gt;(60-PARAM!$B$56))*HLOOKUP(($B51+PARAM!$B$56)/12,Loyalty,2)*$F$1*MAX(BF50,0)</f>
        <v>18.557001321003963</v>
      </c>
      <c r="BE51" s="75">
        <f>PARAM!$C$26+MAX($G$16-CHOOSE(PARAM!$B$44,MAX(0,BF50*$F$1),0),0)*RATES!$L27/12+$H$16*(PARAM!$D$51/12)*RATES!$N27/100</f>
        <v>7.166666666666667</v>
      </c>
      <c r="BF51" s="16">
        <f t="shared" si="38"/>
        <v>-1001.0817921620413</v>
      </c>
      <c r="BG51" s="15">
        <f t="shared" si="14"/>
        <v>22.170849845882874</v>
      </c>
      <c r="BH51" s="75">
        <f>BG51*(1-PARAM!$C$27)*$I$17+(MOD($B51,60)=PARAM!$B$56)*($B51&gt;(60-PARAM!$B$56))*HLOOKUP(($B51+PARAM!$B$56)/12,Loyalty,2)*$F$1*MAX(BJ50,0)</f>
        <v>18.557001321003963</v>
      </c>
      <c r="BI51" s="75">
        <f>PARAM!$C$26+MAX($G$17-CHOOSE(PARAM!$B$44,MAX(0,BJ50*$F$1),0),0)*RATES!$L27/12+$H$17*(PARAM!$D$51/12)*RATES!$N27/100</f>
        <v>7.166666666666667</v>
      </c>
      <c r="BJ51" s="16">
        <f t="shared" si="39"/>
        <v>-1001.0817921620413</v>
      </c>
      <c r="BK51" s="15">
        <f t="shared" si="15"/>
        <v>22.170849845882874</v>
      </c>
      <c r="BL51" s="75">
        <f>BK51*(1-PARAM!$C$27)*$I$18+(MOD($B51,60)=PARAM!$B$56)*($B51&gt;(60-PARAM!$B$56))*HLOOKUP(($B51+PARAM!$B$56)/12,Loyalty,2)*$F$1*MAX(BN50,0)</f>
        <v>18.557001321003963</v>
      </c>
      <c r="BM51" s="75">
        <f>PARAM!$C$26+MAX($G$18-CHOOSE(PARAM!$B$44,MAX(0,BN50*$F$1),0),0)*RATES!$L27/12+$H$18*(PARAM!$D$51/12)*RATES!$N27/100</f>
        <v>7.166666666666667</v>
      </c>
      <c r="BN51" s="16">
        <f t="shared" si="40"/>
        <v>-1001.0817921620413</v>
      </c>
      <c r="BO51" s="15">
        <f t="shared" si="16"/>
        <v>22.170849845882874</v>
      </c>
      <c r="BP51" s="75">
        <f>BO51*(1-PARAM!$C$27)*$I$19+(MOD($B51,60)=PARAM!$B$56)*($B51&gt;(60-PARAM!$B$56))*HLOOKUP(($B51+PARAM!$B$56)/12,Loyalty,2)*$F$1*MAX(BR50,0)</f>
        <v>18.557001321003963</v>
      </c>
      <c r="BQ51" s="75">
        <f>PARAM!$C$26+MAX($G$19-CHOOSE(PARAM!$B$44,MAX(0,BR50*$F$1),0),0)*RATES!$L27/12+$H$19*(PARAM!$D$51/12)*RATES!$N27/100</f>
        <v>7.166666666666667</v>
      </c>
      <c r="BR51" s="16">
        <f t="shared" si="41"/>
        <v>-1001.0817921620413</v>
      </c>
      <c r="BS51" s="15">
        <f t="shared" si="17"/>
        <v>22.170849845882874</v>
      </c>
      <c r="BT51" s="75">
        <f>BS51*(1-PARAM!$C$27)*$I$20+(MOD($B51,60)=PARAM!$B$56)*($B51&gt;(60-PARAM!$B$56))*HLOOKUP(($B51+PARAM!$B$56)/12,Loyalty,2)*$F$1*MAX(BV50,0)</f>
        <v>18.557001321003963</v>
      </c>
      <c r="BU51" s="75">
        <f>PARAM!$C$26+MAX($G$20-CHOOSE(PARAM!$B$44,MAX(0,BV50*$F$1),0),0)*RATES!$L27/12+$H$20*(PARAM!$D$51/12)*RATES!$N27/100</f>
        <v>7.166666666666667</v>
      </c>
      <c r="BV51" s="16">
        <f t="shared" si="42"/>
        <v>-1001.0817921620413</v>
      </c>
      <c r="BW51" s="15">
        <f t="shared" si="18"/>
        <v>22.170849845882874</v>
      </c>
      <c r="BX51" s="75">
        <f>BW51*(1-PARAM!$C$27)*$I$21+(MOD($B51,60)=PARAM!$B$56)*($B51&gt;(60-PARAM!$B$56))*HLOOKUP(($B51+PARAM!$B$56)/12,Loyalty,2)*$F$1*MAX(BZ50,0)</f>
        <v>18.557001321003963</v>
      </c>
      <c r="BY51" s="75">
        <f>PARAM!$C$26+MAX($G$21-CHOOSE(PARAM!$B$44,MAX(0,BZ50*$F$1),0),0)*RATES!$L27/12+$H$21*(PARAM!$D$51/12)*RATES!$N27/100</f>
        <v>7.166666666666667</v>
      </c>
      <c r="BZ51" s="16">
        <f t="shared" si="43"/>
        <v>-1001.0817921620413</v>
      </c>
      <c r="CA51" s="15">
        <f t="shared" si="19"/>
        <v>22.170849845882874</v>
      </c>
      <c r="CB51" s="75">
        <f>CA51*(1-PARAM!$C$27)*$I$22+(MOD($B51,60)=PARAM!$B$56)*($B51&gt;(60-PARAM!$B$56))*HLOOKUP(($B51+PARAM!$B$56)/12,Loyalty,2)*$F$1*MAX(CD50,0)</f>
        <v>18.557001321003963</v>
      </c>
      <c r="CC51" s="75">
        <f>PARAM!$C$26+MAX($G$22-CHOOSE(PARAM!$B$44,MAX(0,CD50*$F$1),0),0)*RATES!$L27/12+$H$22*(PARAM!$D$51/12)*RATES!$N27/100</f>
        <v>7.166666666666667</v>
      </c>
      <c r="CD51" s="16">
        <f t="shared" si="44"/>
        <v>-1001.0817921620413</v>
      </c>
      <c r="CE51" s="33">
        <f>IF(0=MOD(B51,12/PARAM!$D$51),1,0)</f>
        <v>1</v>
      </c>
      <c r="CF51" s="15">
        <f t="shared" si="20"/>
        <v>0</v>
      </c>
      <c r="CG51" s="75">
        <f>CF51*(1-PARAM!$C$27)*$R$3+(MOD($B51/12,5)=0)*($B51&gt;60)*HLOOKUP($B51/12,Loyalty,2)*$F$1*MAX(CI50,0)</f>
        <v>0</v>
      </c>
      <c r="CH51" s="75">
        <f>PARAM!$C$26+MAX($P$3-CHOOSE(PARAM!$B$44,MAX(0,CI50*$F$1),0),0)*RATES!$L27/12+$Q$3*(PARAM!$D$51/12)*RATES!$N27/100</f>
        <v>7.166666666666667</v>
      </c>
      <c r="CI51" s="16">
        <f>IF(CI50&gt;0,CI50*PARAM!$C$53,CI50)+CG51-CH51</f>
        <v>-1252.1666666666663</v>
      </c>
      <c r="CJ51" s="15">
        <f t="shared" si="45"/>
        <v>0</v>
      </c>
      <c r="CK51" s="75">
        <f>CJ51*(1-PARAM!$C$27)*$R$4+(MOD($B51/12,5)=0)*($B51&gt;60)*HLOOKUP($B51/12,Loyalty,2)*$F$1*MAX(CM50,0)</f>
        <v>0</v>
      </c>
      <c r="CL51" s="75">
        <f>PARAM!$C$26+MAX($P$4-CHOOSE(PARAM!$B$44,MAX(0,CM50*$F$1),0),0)*RATES!$L27/12+$Q$4*(PARAM!$D$51/12)*RATES!$N27/100</f>
        <v>7.166666666666667</v>
      </c>
      <c r="CM51" s="16">
        <f>IF(CM50&gt;0,CM50*PARAM!$C$53,CM50)+CK51-CL51</f>
        <v>-1252.1666666666663</v>
      </c>
      <c r="CO51" s="176"/>
    </row>
    <row r="52" spans="1:93" x14ac:dyDescent="0.2">
      <c r="A52" t="b">
        <f t="shared" si="21"/>
        <v>0</v>
      </c>
      <c r="B52" s="33">
        <v>25</v>
      </c>
      <c r="C52" s="15">
        <f t="shared" si="46"/>
        <v>20.081305947392778</v>
      </c>
      <c r="D52" s="75">
        <f>C52*(1-PARAM!$C$27)*$I$3+(MOD($B52,60)=PARAM!$B$56)*($B52&gt;(60-PARAM!$B$56))*HLOOKUP(($B52+PARAM!$B$56)/12,Loyalty,2)*$F$1*MAX(F51,0)</f>
        <v>16.808053077967756</v>
      </c>
      <c r="E52" s="75">
        <f>PARAM!$C$26+MAX($G$3-CHOOSE(PARAM!$B$44,MAX(0,F51*$F$1),0),0)*RATES!$L28/12+$H$3*(PARAM!$D$51/12)*RATES!$N28/100</f>
        <v>7.166666666666667</v>
      </c>
      <c r="F52" s="16">
        <f t="shared" si="22"/>
        <v>-1015.1044904011416</v>
      </c>
      <c r="G52" s="15">
        <f t="shared" si="23"/>
        <v>22.035289406060361</v>
      </c>
      <c r="H52" s="75">
        <f>G52*(1-PARAM!$C$27)*$I$4+(MOD($B52,60)=PARAM!$B$56)*($B52&gt;(60-PARAM!$B$56))*HLOOKUP(($B52+PARAM!$B$56)/12,Loyalty,2)*$F$1*MAX(J51,0)</f>
        <v>18.443537232872522</v>
      </c>
      <c r="I52" s="75">
        <f>PARAM!$C$26+MAX($G$4-CHOOSE(PARAM!$B$44,MAX(0,J51*$F$1),0),0)*RATES!$L28/12+$H$4*(PARAM!$D$51/12)*RATES!$N28/100</f>
        <v>7.166666666666667</v>
      </c>
      <c r="J52" s="16">
        <f t="shared" si="24"/>
        <v>-991.34014357682531</v>
      </c>
      <c r="K52" s="15">
        <f t="shared" si="25"/>
        <v>22.170849845882874</v>
      </c>
      <c r="L52" s="75">
        <f>K52*(1-PARAM!$C$27)*$I$5+(MOD($B52,60)=PARAM!$B$56)*($B52&gt;(60-PARAM!$B$56))*HLOOKUP(($B52+PARAM!$B$56)/12,Loyalty,2)*$F$1*MAX(N51,0)</f>
        <v>18.557001321003963</v>
      </c>
      <c r="M52" s="75">
        <f>PARAM!$C$26+MAX($G$5-CHOOSE(PARAM!$B$44,MAX(0,N51*$F$1),0),0)*RATES!$L28/12+$H$5*(PARAM!$D$51/12)*RATES!$N28/100</f>
        <v>7.166666666666667</v>
      </c>
      <c r="N52" s="16">
        <f t="shared" si="26"/>
        <v>-989.69145750770394</v>
      </c>
      <c r="O52" s="15">
        <f t="shared" si="27"/>
        <v>22.170849845882874</v>
      </c>
      <c r="P52" s="75">
        <f>O52*(1-PARAM!$C$27)*$I$6+(MOD($B52,60)=PARAM!$B$56)*($B52&gt;(60-PARAM!$B$56))*HLOOKUP(($B52+PARAM!$B$56)/12,Loyalty,2)*$F$1*MAX(R51,0)</f>
        <v>18.557001321003963</v>
      </c>
      <c r="Q52" s="75">
        <f>PARAM!$C$26+MAX($G$6-CHOOSE(PARAM!$B$44,MAX(0,R51*$F$1),0),0)*RATES!$L28/12+$H$6*(PARAM!$D$51/12)*RATES!$N28/100</f>
        <v>7.166666666666667</v>
      </c>
      <c r="R52" s="16">
        <f t="shared" si="28"/>
        <v>-989.69145750770394</v>
      </c>
      <c r="S52" s="15">
        <f t="shared" si="4"/>
        <v>22.170849845882874</v>
      </c>
      <c r="T52" s="75">
        <f>S52*(1-PARAM!$C$27)*$I$7+(MOD($B52,60)=PARAM!$B$56)*($B52&gt;(60-PARAM!$B$56))*HLOOKUP(($B52+PARAM!$B$56)/12,Loyalty,2)*$F$1*MAX(V51,0)</f>
        <v>18.557001321003963</v>
      </c>
      <c r="U52" s="75">
        <f>PARAM!$C$26+MAX($G$7-CHOOSE(PARAM!$B$44,MAX(0,V51*$F$1),0),0)*RATES!$L28/12+$H$7*(PARAM!$D$51/12)*RATES!$N28/100</f>
        <v>7.166666666666667</v>
      </c>
      <c r="V52" s="16">
        <f t="shared" si="29"/>
        <v>-989.69145750770394</v>
      </c>
      <c r="W52" s="15">
        <f t="shared" si="5"/>
        <v>22.170849845882874</v>
      </c>
      <c r="X52" s="75">
        <f>W52*(1-PARAM!$C$27)*$I$8+(MOD($B52,60)=PARAM!$B$56)*($B52&gt;(60-PARAM!$B$56))*HLOOKUP(($B52+PARAM!$B$56)/12,Loyalty,2)*$F$1*MAX(Z51,0)</f>
        <v>18.557001321003963</v>
      </c>
      <c r="Y52" s="75">
        <f>PARAM!$C$26+MAX($G$8-CHOOSE(PARAM!$B$44,MAX(0,Z51*$F$1),0),0)*RATES!$L28/12+$H$8*(PARAM!$D$51/12)*RATES!$N28/100</f>
        <v>7.166666666666667</v>
      </c>
      <c r="Z52" s="16">
        <f t="shared" si="30"/>
        <v>-989.69145750770394</v>
      </c>
      <c r="AA52" s="15">
        <f t="shared" si="6"/>
        <v>22.170849845882874</v>
      </c>
      <c r="AB52" s="75">
        <f>AA52*(1-PARAM!$C$27)*$I$9+(MOD($B52,60)=PARAM!$B$56)*($B52&gt;(60-PARAM!$B$56))*HLOOKUP(($B52+PARAM!$B$56)/12,Loyalty,2)*$F$1*MAX(AD51,0)</f>
        <v>18.557001321003963</v>
      </c>
      <c r="AC52" s="75">
        <f>PARAM!$C$26+MAX($G$9-CHOOSE(PARAM!$B$44,MAX(0,AD51*$F$1),0),0)*RATES!$L28/12+$H$9*(PARAM!$D$51/12)*RATES!$N28/100</f>
        <v>7.166666666666667</v>
      </c>
      <c r="AD52" s="16">
        <f t="shared" si="31"/>
        <v>-989.69145750770394</v>
      </c>
      <c r="AE52" s="15">
        <f t="shared" si="7"/>
        <v>22.170849845882874</v>
      </c>
      <c r="AF52" s="75">
        <f>AE52*(1-PARAM!$C$27)*$I$10+(MOD($B52,60)=PARAM!$B$56)*($B52&gt;(60-PARAM!$B$56))*HLOOKUP(($B52+PARAM!$B$56)/12,Loyalty,2)*$F$1*MAX(AH51,0)</f>
        <v>18.557001321003963</v>
      </c>
      <c r="AG52" s="75">
        <f>PARAM!$C$26+MAX($G$10-CHOOSE(PARAM!$B$44,MAX(0,AH51*$F$1),0),0)*RATES!$L28/12+$H$10*(PARAM!$D$51/12)*RATES!$N28/100</f>
        <v>7.166666666666667</v>
      </c>
      <c r="AH52" s="16">
        <f t="shared" si="32"/>
        <v>-989.69145750770394</v>
      </c>
      <c r="AI52" s="15">
        <f t="shared" si="8"/>
        <v>22.170849845882874</v>
      </c>
      <c r="AJ52" s="75">
        <f>AI52*(1-PARAM!$C$27)*$I$11+(MOD($B52,60)=PARAM!$B$56)*($B52&gt;(60-PARAM!$B$56))*HLOOKUP(($B52+PARAM!$B$56)/12,Loyalty,2)*$F$1*MAX(AL51,0)</f>
        <v>18.557001321003963</v>
      </c>
      <c r="AK52" s="75">
        <f>PARAM!$C$26+MAX($G$11-CHOOSE(PARAM!$B$44,MAX(0,AL51*$F$1),0),0)*RATES!$L28/12+$H$11*(PARAM!$D$51/12)*RATES!$N28/100</f>
        <v>7.166666666666667</v>
      </c>
      <c r="AL52" s="16">
        <f t="shared" si="33"/>
        <v>-989.69145750770394</v>
      </c>
      <c r="AM52" s="15">
        <f t="shared" si="9"/>
        <v>22.170849845882874</v>
      </c>
      <c r="AN52" s="75">
        <f>AM52*(1-PARAM!$C$27)*$I$12+(MOD($B52,60)=PARAM!$B$56)*($B52&gt;(60-PARAM!$B$56))*HLOOKUP(($B52+PARAM!$B$56)/12,Loyalty,2)*$F$1*MAX(AP51,0)</f>
        <v>18.557001321003963</v>
      </c>
      <c r="AO52" s="75">
        <f>PARAM!$C$26+MAX($G$12-CHOOSE(PARAM!$B$44,MAX(0,AP51*$F$1),0),0)*RATES!$L28/12+$H$12*(PARAM!$D$51/12)*RATES!$N28/100</f>
        <v>7.166666666666667</v>
      </c>
      <c r="AP52" s="16">
        <f t="shared" si="34"/>
        <v>-989.69145750770394</v>
      </c>
      <c r="AQ52" s="15">
        <f t="shared" si="10"/>
        <v>22.170849845882874</v>
      </c>
      <c r="AR52" s="75">
        <f>AQ52*(1-PARAM!$C$27)*$I$13+(MOD($B52,60)=PARAM!$B$56)*($B52&gt;(60-PARAM!$B$56))*HLOOKUP(($B52+PARAM!$B$56)/12,Loyalty,2)*$F$1*MAX(AT51,0)</f>
        <v>18.557001321003963</v>
      </c>
      <c r="AS52" s="75">
        <f>PARAM!$C$26+MAX($G$13-CHOOSE(PARAM!$B$44,MAX(0,AT51*$F$1),0),0)*RATES!$L28/12+$H$13*(PARAM!$D$51/12)*RATES!$N28/100</f>
        <v>7.166666666666667</v>
      </c>
      <c r="AT52" s="16">
        <f t="shared" si="35"/>
        <v>-989.69145750770394</v>
      </c>
      <c r="AU52" s="15">
        <f t="shared" si="11"/>
        <v>22.170849845882874</v>
      </c>
      <c r="AV52" s="75">
        <f>AU52*(1-PARAM!$C$27)*$I$14+(MOD($B52,60)=PARAM!$B$56)*($B52&gt;(60-PARAM!$B$56))*HLOOKUP(($B52+PARAM!$B$56)/12,Loyalty,2)*$F$1*MAX(AX51,0)</f>
        <v>18.557001321003963</v>
      </c>
      <c r="AW52" s="75">
        <f>PARAM!$C$26+MAX($G$14-CHOOSE(PARAM!$B$44,MAX(0,AX51*$F$1),0),0)*RATES!$L28/12+$H$14*(PARAM!$D$51/12)*RATES!$N28/100</f>
        <v>7.166666666666667</v>
      </c>
      <c r="AX52" s="16">
        <f t="shared" si="36"/>
        <v>-989.69145750770394</v>
      </c>
      <c r="AY52" s="15">
        <f t="shared" si="12"/>
        <v>22.170849845882874</v>
      </c>
      <c r="AZ52" s="75">
        <f>AY52*(1-PARAM!$C$27)*$I$15+(MOD($B52,60)=PARAM!$B$56)*($B52&gt;(60-PARAM!$B$56))*HLOOKUP(($B52+PARAM!$B$56)/12,Loyalty,2)*$F$1*MAX(BB51,0)</f>
        <v>18.557001321003963</v>
      </c>
      <c r="BA52" s="75">
        <f>PARAM!$C$26+MAX($G$15-CHOOSE(PARAM!$B$44,MAX(0,BB51*$F$1),0),0)*RATES!$L28/12+$H$15*(PARAM!$D$51/12)*RATES!$N28/100</f>
        <v>7.166666666666667</v>
      </c>
      <c r="BB52" s="16">
        <f t="shared" si="37"/>
        <v>-989.69145750770394</v>
      </c>
      <c r="BC52" s="15">
        <f t="shared" si="13"/>
        <v>22.170849845882874</v>
      </c>
      <c r="BD52" s="75">
        <f>BC52*(1-PARAM!$C$27)*$I$16+(MOD($B52,60)=PARAM!$B$56)*($B52&gt;(60-PARAM!$B$56))*HLOOKUP(($B52+PARAM!$B$56)/12,Loyalty,2)*$F$1*MAX(BF51,0)</f>
        <v>18.557001321003963</v>
      </c>
      <c r="BE52" s="75">
        <f>PARAM!$C$26+MAX($G$16-CHOOSE(PARAM!$B$44,MAX(0,BF51*$F$1),0),0)*RATES!$L28/12+$H$16*(PARAM!$D$51/12)*RATES!$N28/100</f>
        <v>7.166666666666667</v>
      </c>
      <c r="BF52" s="16">
        <f t="shared" si="38"/>
        <v>-989.69145750770394</v>
      </c>
      <c r="BG52" s="15">
        <f t="shared" si="14"/>
        <v>22.170849845882874</v>
      </c>
      <c r="BH52" s="75">
        <f>BG52*(1-PARAM!$C$27)*$I$17+(MOD($B52,60)=PARAM!$B$56)*($B52&gt;(60-PARAM!$B$56))*HLOOKUP(($B52+PARAM!$B$56)/12,Loyalty,2)*$F$1*MAX(BJ51,0)</f>
        <v>18.557001321003963</v>
      </c>
      <c r="BI52" s="75">
        <f>PARAM!$C$26+MAX($G$17-CHOOSE(PARAM!$B$44,MAX(0,BJ51*$F$1),0),0)*RATES!$L28/12+$H$17*(PARAM!$D$51/12)*RATES!$N28/100</f>
        <v>7.166666666666667</v>
      </c>
      <c r="BJ52" s="16">
        <f t="shared" si="39"/>
        <v>-989.69145750770394</v>
      </c>
      <c r="BK52" s="15">
        <f t="shared" si="15"/>
        <v>22.170849845882874</v>
      </c>
      <c r="BL52" s="75">
        <f>BK52*(1-PARAM!$C$27)*$I$18+(MOD($B52,60)=PARAM!$B$56)*($B52&gt;(60-PARAM!$B$56))*HLOOKUP(($B52+PARAM!$B$56)/12,Loyalty,2)*$F$1*MAX(BN51,0)</f>
        <v>18.557001321003963</v>
      </c>
      <c r="BM52" s="75">
        <f>PARAM!$C$26+MAX($G$18-CHOOSE(PARAM!$B$44,MAX(0,BN51*$F$1),0),0)*RATES!$L28/12+$H$18*(PARAM!$D$51/12)*RATES!$N28/100</f>
        <v>7.166666666666667</v>
      </c>
      <c r="BN52" s="16">
        <f t="shared" si="40"/>
        <v>-989.69145750770394</v>
      </c>
      <c r="BO52" s="15">
        <f t="shared" si="16"/>
        <v>22.170849845882874</v>
      </c>
      <c r="BP52" s="75">
        <f>BO52*(1-PARAM!$C$27)*$I$19+(MOD($B52,60)=PARAM!$B$56)*($B52&gt;(60-PARAM!$B$56))*HLOOKUP(($B52+PARAM!$B$56)/12,Loyalty,2)*$F$1*MAX(BR51,0)</f>
        <v>18.557001321003963</v>
      </c>
      <c r="BQ52" s="75">
        <f>PARAM!$C$26+MAX($G$19-CHOOSE(PARAM!$B$44,MAX(0,BR51*$F$1),0),0)*RATES!$L28/12+$H$19*(PARAM!$D$51/12)*RATES!$N28/100</f>
        <v>7.166666666666667</v>
      </c>
      <c r="BR52" s="16">
        <f t="shared" si="41"/>
        <v>-989.69145750770394</v>
      </c>
      <c r="BS52" s="15">
        <f t="shared" si="17"/>
        <v>22.170849845882874</v>
      </c>
      <c r="BT52" s="75">
        <f>BS52*(1-PARAM!$C$27)*$I$20+(MOD($B52,60)=PARAM!$B$56)*($B52&gt;(60-PARAM!$B$56))*HLOOKUP(($B52+PARAM!$B$56)/12,Loyalty,2)*$F$1*MAX(BV51,0)</f>
        <v>18.557001321003963</v>
      </c>
      <c r="BU52" s="75">
        <f>PARAM!$C$26+MAX($G$20-CHOOSE(PARAM!$B$44,MAX(0,BV51*$F$1),0),0)*RATES!$L28/12+$H$20*(PARAM!$D$51/12)*RATES!$N28/100</f>
        <v>7.166666666666667</v>
      </c>
      <c r="BV52" s="16">
        <f t="shared" si="42"/>
        <v>-989.69145750770394</v>
      </c>
      <c r="BW52" s="15">
        <f t="shared" si="18"/>
        <v>22.170849845882874</v>
      </c>
      <c r="BX52" s="75">
        <f>BW52*(1-PARAM!$C$27)*$I$21+(MOD($B52,60)=PARAM!$B$56)*($B52&gt;(60-PARAM!$B$56))*HLOOKUP(($B52+PARAM!$B$56)/12,Loyalty,2)*$F$1*MAX(BZ51,0)</f>
        <v>18.557001321003963</v>
      </c>
      <c r="BY52" s="75">
        <f>PARAM!$C$26+MAX($G$21-CHOOSE(PARAM!$B$44,MAX(0,BZ51*$F$1),0),0)*RATES!$L28/12+$H$21*(PARAM!$D$51/12)*RATES!$N28/100</f>
        <v>7.166666666666667</v>
      </c>
      <c r="BZ52" s="16">
        <f t="shared" si="43"/>
        <v>-989.69145750770394</v>
      </c>
      <c r="CA52" s="15">
        <f t="shared" si="19"/>
        <v>22.170849845882874</v>
      </c>
      <c r="CB52" s="75">
        <f>CA52*(1-PARAM!$C$27)*$I$22+(MOD($B52,60)=PARAM!$B$56)*($B52&gt;(60-PARAM!$B$56))*HLOOKUP(($B52+PARAM!$B$56)/12,Loyalty,2)*$F$1*MAX(CD51,0)</f>
        <v>18.557001321003963</v>
      </c>
      <c r="CC52" s="75">
        <f>PARAM!$C$26+MAX($G$22-CHOOSE(PARAM!$B$44,MAX(0,CD51*$F$1),0),0)*RATES!$L28/12+$H$22*(PARAM!$D$51/12)*RATES!$N28/100</f>
        <v>7.166666666666667</v>
      </c>
      <c r="CD52" s="16">
        <f t="shared" si="44"/>
        <v>-989.69145750770394</v>
      </c>
      <c r="CE52" s="33">
        <f>IF(0=MOD(B52,12/PARAM!$D$51),1,0)</f>
        <v>1</v>
      </c>
      <c r="CF52" s="15">
        <f t="shared" si="20"/>
        <v>0</v>
      </c>
      <c r="CG52" s="75">
        <f>CF52*(1-PARAM!$C$27)*$R$3+(MOD($B52/12,5)=0)*($B52&gt;60)*HLOOKUP($B52/12,Loyalty,2)*$F$1*MAX(CI51,0)</f>
        <v>0</v>
      </c>
      <c r="CH52" s="75">
        <f>PARAM!$C$26+MAX($P$3-CHOOSE(PARAM!$B$44,MAX(0,CI51*$F$1),0),0)*RATES!$L28/12+$Q$3*(PARAM!$D$51/12)*RATES!$N28/100</f>
        <v>7.166666666666667</v>
      </c>
      <c r="CI52" s="16">
        <f>IF(CI51&gt;0,CI51*PARAM!$C$53,CI51)+CG52-CH52</f>
        <v>-1259.333333333333</v>
      </c>
      <c r="CJ52" s="15">
        <f t="shared" si="45"/>
        <v>0</v>
      </c>
      <c r="CK52" s="75">
        <f>CJ52*(1-PARAM!$C$27)*$R$4+(MOD($B52/12,5)=0)*($B52&gt;60)*HLOOKUP($B52/12,Loyalty,2)*$F$1*MAX(CM51,0)</f>
        <v>0</v>
      </c>
      <c r="CL52" s="75">
        <f>PARAM!$C$26+MAX($P$4-CHOOSE(PARAM!$B$44,MAX(0,CM51*$F$1),0),0)*RATES!$L28/12+$Q$4*(PARAM!$D$51/12)*RATES!$N28/100</f>
        <v>7.166666666666667</v>
      </c>
      <c r="CM52" s="16">
        <f>IF(CM51&gt;0,CM51*PARAM!$C$53,CM51)+CK52-CL52</f>
        <v>-1259.333333333333</v>
      </c>
      <c r="CO52" s="176"/>
    </row>
    <row r="53" spans="1:93" x14ac:dyDescent="0.2">
      <c r="A53" t="b">
        <f t="shared" si="21"/>
        <v>0</v>
      </c>
      <c r="B53" s="33">
        <v>26</v>
      </c>
      <c r="C53" s="15">
        <f t="shared" si="46"/>
        <v>20.081305947392778</v>
      </c>
      <c r="D53" s="75">
        <f>C53*(1-PARAM!$C$27)*$I$3+(MOD($B53,60)=PARAM!$B$56)*($B53&gt;(60-PARAM!$B$56))*HLOOKUP(($B53+PARAM!$B$56)/12,Loyalty,2)*$F$1*MAX(F52,0)</f>
        <v>16.808053077967756</v>
      </c>
      <c r="E53" s="75">
        <f>PARAM!$C$26+MAX($G$3-CHOOSE(PARAM!$B$44,MAX(0,F52*$F$1),0),0)*RATES!$L29/12+$H$3*(PARAM!$D$51/12)*RATES!$N29/100</f>
        <v>7.166666666666667</v>
      </c>
      <c r="F53" s="16">
        <f t="shared" si="22"/>
        <v>-1005.4631039898404</v>
      </c>
      <c r="G53" s="15">
        <f t="shared" si="23"/>
        <v>22.035289406060361</v>
      </c>
      <c r="H53" s="75">
        <f>G53*(1-PARAM!$C$27)*$I$4+(MOD($B53,60)=PARAM!$B$56)*($B53&gt;(60-PARAM!$B$56))*HLOOKUP(($B53+PARAM!$B$56)/12,Loyalty,2)*$F$1*MAX(J52,0)</f>
        <v>18.443537232872522</v>
      </c>
      <c r="I53" s="75">
        <f>PARAM!$C$26+MAX($G$4-CHOOSE(PARAM!$B$44,MAX(0,J52*$F$1),0),0)*RATES!$L29/12+$H$4*(PARAM!$D$51/12)*RATES!$N29/100</f>
        <v>7.166666666666667</v>
      </c>
      <c r="J53" s="16">
        <f t="shared" si="24"/>
        <v>-980.06327301061947</v>
      </c>
      <c r="K53" s="15">
        <f t="shared" si="25"/>
        <v>22.170849845882874</v>
      </c>
      <c r="L53" s="75">
        <f>K53*(1-PARAM!$C$27)*$I$5+(MOD($B53,60)=PARAM!$B$56)*($B53&gt;(60-PARAM!$B$56))*HLOOKUP(($B53+PARAM!$B$56)/12,Loyalty,2)*$F$1*MAX(N52,0)</f>
        <v>18.557001321003963</v>
      </c>
      <c r="M53" s="75">
        <f>PARAM!$C$26+MAX($G$5-CHOOSE(PARAM!$B$44,MAX(0,N52*$F$1),0),0)*RATES!$L29/12+$H$5*(PARAM!$D$51/12)*RATES!$N29/100</f>
        <v>7.166666666666667</v>
      </c>
      <c r="N53" s="16">
        <f t="shared" si="26"/>
        <v>-978.30112285336656</v>
      </c>
      <c r="O53" s="15">
        <f t="shared" si="27"/>
        <v>22.170849845882874</v>
      </c>
      <c r="P53" s="75">
        <f>O53*(1-PARAM!$C$27)*$I$6+(MOD($B53,60)=PARAM!$B$56)*($B53&gt;(60-PARAM!$B$56))*HLOOKUP(($B53+PARAM!$B$56)/12,Loyalty,2)*$F$1*MAX(R52,0)</f>
        <v>18.557001321003963</v>
      </c>
      <c r="Q53" s="75">
        <f>PARAM!$C$26+MAX($G$6-CHOOSE(PARAM!$B$44,MAX(0,R52*$F$1),0),0)*RATES!$L29/12+$H$6*(PARAM!$D$51/12)*RATES!$N29/100</f>
        <v>7.166666666666667</v>
      </c>
      <c r="R53" s="16">
        <f t="shared" si="28"/>
        <v>-978.30112285336656</v>
      </c>
      <c r="S53" s="15">
        <f t="shared" si="4"/>
        <v>22.170849845882874</v>
      </c>
      <c r="T53" s="75">
        <f>S53*(1-PARAM!$C$27)*$I$7+(MOD($B53,60)=PARAM!$B$56)*($B53&gt;(60-PARAM!$B$56))*HLOOKUP(($B53+PARAM!$B$56)/12,Loyalty,2)*$F$1*MAX(V52,0)</f>
        <v>18.557001321003963</v>
      </c>
      <c r="U53" s="75">
        <f>PARAM!$C$26+MAX($G$7-CHOOSE(PARAM!$B$44,MAX(0,V52*$F$1),0),0)*RATES!$L29/12+$H$7*(PARAM!$D$51/12)*RATES!$N29/100</f>
        <v>7.166666666666667</v>
      </c>
      <c r="V53" s="16">
        <f t="shared" si="29"/>
        <v>-978.30112285336656</v>
      </c>
      <c r="W53" s="15">
        <f t="shared" si="5"/>
        <v>22.170849845882874</v>
      </c>
      <c r="X53" s="75">
        <f>W53*(1-PARAM!$C$27)*$I$8+(MOD($B53,60)=PARAM!$B$56)*($B53&gt;(60-PARAM!$B$56))*HLOOKUP(($B53+PARAM!$B$56)/12,Loyalty,2)*$F$1*MAX(Z52,0)</f>
        <v>18.557001321003963</v>
      </c>
      <c r="Y53" s="75">
        <f>PARAM!$C$26+MAX($G$8-CHOOSE(PARAM!$B$44,MAX(0,Z52*$F$1),0),0)*RATES!$L29/12+$H$8*(PARAM!$D$51/12)*RATES!$N29/100</f>
        <v>7.166666666666667</v>
      </c>
      <c r="Z53" s="16">
        <f t="shared" si="30"/>
        <v>-978.30112285336656</v>
      </c>
      <c r="AA53" s="15">
        <f t="shared" si="6"/>
        <v>22.170849845882874</v>
      </c>
      <c r="AB53" s="75">
        <f>AA53*(1-PARAM!$C$27)*$I$9+(MOD($B53,60)=PARAM!$B$56)*($B53&gt;(60-PARAM!$B$56))*HLOOKUP(($B53+PARAM!$B$56)/12,Loyalty,2)*$F$1*MAX(AD52,0)</f>
        <v>18.557001321003963</v>
      </c>
      <c r="AC53" s="75">
        <f>PARAM!$C$26+MAX($G$9-CHOOSE(PARAM!$B$44,MAX(0,AD52*$F$1),0),0)*RATES!$L29/12+$H$9*(PARAM!$D$51/12)*RATES!$N29/100</f>
        <v>7.166666666666667</v>
      </c>
      <c r="AD53" s="16">
        <f t="shared" si="31"/>
        <v>-978.30112285336656</v>
      </c>
      <c r="AE53" s="15">
        <f t="shared" si="7"/>
        <v>22.170849845882874</v>
      </c>
      <c r="AF53" s="75">
        <f>AE53*(1-PARAM!$C$27)*$I$10+(MOD($B53,60)=PARAM!$B$56)*($B53&gt;(60-PARAM!$B$56))*HLOOKUP(($B53+PARAM!$B$56)/12,Loyalty,2)*$F$1*MAX(AH52,0)</f>
        <v>18.557001321003963</v>
      </c>
      <c r="AG53" s="75">
        <f>PARAM!$C$26+MAX($G$10-CHOOSE(PARAM!$B$44,MAX(0,AH52*$F$1),0),0)*RATES!$L29/12+$H$10*(PARAM!$D$51/12)*RATES!$N29/100</f>
        <v>7.166666666666667</v>
      </c>
      <c r="AH53" s="16">
        <f t="shared" si="32"/>
        <v>-978.30112285336656</v>
      </c>
      <c r="AI53" s="15">
        <f t="shared" si="8"/>
        <v>22.170849845882874</v>
      </c>
      <c r="AJ53" s="75">
        <f>AI53*(1-PARAM!$C$27)*$I$11+(MOD($B53,60)=PARAM!$B$56)*($B53&gt;(60-PARAM!$B$56))*HLOOKUP(($B53+PARAM!$B$56)/12,Loyalty,2)*$F$1*MAX(AL52,0)</f>
        <v>18.557001321003963</v>
      </c>
      <c r="AK53" s="75">
        <f>PARAM!$C$26+MAX($G$11-CHOOSE(PARAM!$B$44,MAX(0,AL52*$F$1),0),0)*RATES!$L29/12+$H$11*(PARAM!$D$51/12)*RATES!$N29/100</f>
        <v>7.166666666666667</v>
      </c>
      <c r="AL53" s="16">
        <f t="shared" si="33"/>
        <v>-978.30112285336656</v>
      </c>
      <c r="AM53" s="15">
        <f t="shared" si="9"/>
        <v>22.170849845882874</v>
      </c>
      <c r="AN53" s="75">
        <f>AM53*(1-PARAM!$C$27)*$I$12+(MOD($B53,60)=PARAM!$B$56)*($B53&gt;(60-PARAM!$B$56))*HLOOKUP(($B53+PARAM!$B$56)/12,Loyalty,2)*$F$1*MAX(AP52,0)</f>
        <v>18.557001321003963</v>
      </c>
      <c r="AO53" s="75">
        <f>PARAM!$C$26+MAX($G$12-CHOOSE(PARAM!$B$44,MAX(0,AP52*$F$1),0),0)*RATES!$L29/12+$H$12*(PARAM!$D$51/12)*RATES!$N29/100</f>
        <v>7.166666666666667</v>
      </c>
      <c r="AP53" s="16">
        <f t="shared" si="34"/>
        <v>-978.30112285336656</v>
      </c>
      <c r="AQ53" s="15">
        <f t="shared" si="10"/>
        <v>22.170849845882874</v>
      </c>
      <c r="AR53" s="75">
        <f>AQ53*(1-PARAM!$C$27)*$I$13+(MOD($B53,60)=PARAM!$B$56)*($B53&gt;(60-PARAM!$B$56))*HLOOKUP(($B53+PARAM!$B$56)/12,Loyalty,2)*$F$1*MAX(AT52,0)</f>
        <v>18.557001321003963</v>
      </c>
      <c r="AS53" s="75">
        <f>PARAM!$C$26+MAX($G$13-CHOOSE(PARAM!$B$44,MAX(0,AT52*$F$1),0),0)*RATES!$L29/12+$H$13*(PARAM!$D$51/12)*RATES!$N29/100</f>
        <v>7.166666666666667</v>
      </c>
      <c r="AT53" s="16">
        <f t="shared" si="35"/>
        <v>-978.30112285336656</v>
      </c>
      <c r="AU53" s="15">
        <f t="shared" si="11"/>
        <v>22.170849845882874</v>
      </c>
      <c r="AV53" s="75">
        <f>AU53*(1-PARAM!$C$27)*$I$14+(MOD($B53,60)=PARAM!$B$56)*($B53&gt;(60-PARAM!$B$56))*HLOOKUP(($B53+PARAM!$B$56)/12,Loyalty,2)*$F$1*MAX(AX52,0)</f>
        <v>18.557001321003963</v>
      </c>
      <c r="AW53" s="75">
        <f>PARAM!$C$26+MAX($G$14-CHOOSE(PARAM!$B$44,MAX(0,AX52*$F$1),0),0)*RATES!$L29/12+$H$14*(PARAM!$D$51/12)*RATES!$N29/100</f>
        <v>7.166666666666667</v>
      </c>
      <c r="AX53" s="16">
        <f t="shared" si="36"/>
        <v>-978.30112285336656</v>
      </c>
      <c r="AY53" s="15">
        <f t="shared" si="12"/>
        <v>22.170849845882874</v>
      </c>
      <c r="AZ53" s="75">
        <f>AY53*(1-PARAM!$C$27)*$I$15+(MOD($B53,60)=PARAM!$B$56)*($B53&gt;(60-PARAM!$B$56))*HLOOKUP(($B53+PARAM!$B$56)/12,Loyalty,2)*$F$1*MAX(BB52,0)</f>
        <v>18.557001321003963</v>
      </c>
      <c r="BA53" s="75">
        <f>PARAM!$C$26+MAX($G$15-CHOOSE(PARAM!$B$44,MAX(0,BB52*$F$1),0),0)*RATES!$L29/12+$H$15*(PARAM!$D$51/12)*RATES!$N29/100</f>
        <v>7.166666666666667</v>
      </c>
      <c r="BB53" s="16">
        <f t="shared" si="37"/>
        <v>-978.30112285336656</v>
      </c>
      <c r="BC53" s="15">
        <f t="shared" si="13"/>
        <v>22.170849845882874</v>
      </c>
      <c r="BD53" s="75">
        <f>BC53*(1-PARAM!$C$27)*$I$16+(MOD($B53,60)=PARAM!$B$56)*($B53&gt;(60-PARAM!$B$56))*HLOOKUP(($B53+PARAM!$B$56)/12,Loyalty,2)*$F$1*MAX(BF52,0)</f>
        <v>18.557001321003963</v>
      </c>
      <c r="BE53" s="75">
        <f>PARAM!$C$26+MAX($G$16-CHOOSE(PARAM!$B$44,MAX(0,BF52*$F$1),0),0)*RATES!$L29/12+$H$16*(PARAM!$D$51/12)*RATES!$N29/100</f>
        <v>7.166666666666667</v>
      </c>
      <c r="BF53" s="16">
        <f t="shared" si="38"/>
        <v>-978.30112285336656</v>
      </c>
      <c r="BG53" s="15">
        <f t="shared" si="14"/>
        <v>22.170849845882874</v>
      </c>
      <c r="BH53" s="75">
        <f>BG53*(1-PARAM!$C$27)*$I$17+(MOD($B53,60)=PARAM!$B$56)*($B53&gt;(60-PARAM!$B$56))*HLOOKUP(($B53+PARAM!$B$56)/12,Loyalty,2)*$F$1*MAX(BJ52,0)</f>
        <v>18.557001321003963</v>
      </c>
      <c r="BI53" s="75">
        <f>PARAM!$C$26+MAX($G$17-CHOOSE(PARAM!$B$44,MAX(0,BJ52*$F$1),0),0)*RATES!$L29/12+$H$17*(PARAM!$D$51/12)*RATES!$N29/100</f>
        <v>7.166666666666667</v>
      </c>
      <c r="BJ53" s="16">
        <f t="shared" si="39"/>
        <v>-978.30112285336656</v>
      </c>
      <c r="BK53" s="15">
        <f t="shared" si="15"/>
        <v>22.170849845882874</v>
      </c>
      <c r="BL53" s="75">
        <f>BK53*(1-PARAM!$C$27)*$I$18+(MOD($B53,60)=PARAM!$B$56)*($B53&gt;(60-PARAM!$B$56))*HLOOKUP(($B53+PARAM!$B$56)/12,Loyalty,2)*$F$1*MAX(BN52,0)</f>
        <v>18.557001321003963</v>
      </c>
      <c r="BM53" s="75">
        <f>PARAM!$C$26+MAX($G$18-CHOOSE(PARAM!$B$44,MAX(0,BN52*$F$1),0),0)*RATES!$L29/12+$H$18*(PARAM!$D$51/12)*RATES!$N29/100</f>
        <v>7.166666666666667</v>
      </c>
      <c r="BN53" s="16">
        <f t="shared" si="40"/>
        <v>-978.30112285336656</v>
      </c>
      <c r="BO53" s="15">
        <f t="shared" si="16"/>
        <v>22.170849845882874</v>
      </c>
      <c r="BP53" s="75">
        <f>BO53*(1-PARAM!$C$27)*$I$19+(MOD($B53,60)=PARAM!$B$56)*($B53&gt;(60-PARAM!$B$56))*HLOOKUP(($B53+PARAM!$B$56)/12,Loyalty,2)*$F$1*MAX(BR52,0)</f>
        <v>18.557001321003963</v>
      </c>
      <c r="BQ53" s="75">
        <f>PARAM!$C$26+MAX($G$19-CHOOSE(PARAM!$B$44,MAX(0,BR52*$F$1),0),0)*RATES!$L29/12+$H$19*(PARAM!$D$51/12)*RATES!$N29/100</f>
        <v>7.166666666666667</v>
      </c>
      <c r="BR53" s="16">
        <f t="shared" si="41"/>
        <v>-978.30112285336656</v>
      </c>
      <c r="BS53" s="15">
        <f t="shared" si="17"/>
        <v>22.170849845882874</v>
      </c>
      <c r="BT53" s="75">
        <f>BS53*(1-PARAM!$C$27)*$I$20+(MOD($B53,60)=PARAM!$B$56)*($B53&gt;(60-PARAM!$B$56))*HLOOKUP(($B53+PARAM!$B$56)/12,Loyalty,2)*$F$1*MAX(BV52,0)</f>
        <v>18.557001321003963</v>
      </c>
      <c r="BU53" s="75">
        <f>PARAM!$C$26+MAX($G$20-CHOOSE(PARAM!$B$44,MAX(0,BV52*$F$1),0),0)*RATES!$L29/12+$H$20*(PARAM!$D$51/12)*RATES!$N29/100</f>
        <v>7.166666666666667</v>
      </c>
      <c r="BV53" s="16">
        <f t="shared" si="42"/>
        <v>-978.30112285336656</v>
      </c>
      <c r="BW53" s="15">
        <f t="shared" si="18"/>
        <v>22.170849845882874</v>
      </c>
      <c r="BX53" s="75">
        <f>BW53*(1-PARAM!$C$27)*$I$21+(MOD($B53,60)=PARAM!$B$56)*($B53&gt;(60-PARAM!$B$56))*HLOOKUP(($B53+PARAM!$B$56)/12,Loyalty,2)*$F$1*MAX(BZ52,0)</f>
        <v>18.557001321003963</v>
      </c>
      <c r="BY53" s="75">
        <f>PARAM!$C$26+MAX($G$21-CHOOSE(PARAM!$B$44,MAX(0,BZ52*$F$1),0),0)*RATES!$L29/12+$H$21*(PARAM!$D$51/12)*RATES!$N29/100</f>
        <v>7.166666666666667</v>
      </c>
      <c r="BZ53" s="16">
        <f t="shared" si="43"/>
        <v>-978.30112285336656</v>
      </c>
      <c r="CA53" s="15">
        <f t="shared" si="19"/>
        <v>22.170849845882874</v>
      </c>
      <c r="CB53" s="75">
        <f>CA53*(1-PARAM!$C$27)*$I$22+(MOD($B53,60)=PARAM!$B$56)*($B53&gt;(60-PARAM!$B$56))*HLOOKUP(($B53+PARAM!$B$56)/12,Loyalty,2)*$F$1*MAX(CD52,0)</f>
        <v>18.557001321003963</v>
      </c>
      <c r="CC53" s="75">
        <f>PARAM!$C$26+MAX($G$22-CHOOSE(PARAM!$B$44,MAX(0,CD52*$F$1),0),0)*RATES!$L29/12+$H$22*(PARAM!$D$51/12)*RATES!$N29/100</f>
        <v>7.166666666666667</v>
      </c>
      <c r="CD53" s="16">
        <f t="shared" si="44"/>
        <v>-978.30112285336656</v>
      </c>
      <c r="CE53" s="33">
        <f>IF(0=MOD(B53,12/PARAM!$D$51),1,0)</f>
        <v>1</v>
      </c>
      <c r="CF53" s="15">
        <f t="shared" si="20"/>
        <v>0</v>
      </c>
      <c r="CG53" s="75">
        <f>CF53*(1-PARAM!$C$27)*$R$3+(MOD($B53/12,5)=0)*($B53&gt;60)*HLOOKUP($B53/12,Loyalty,2)*$F$1*MAX(CI52,0)</f>
        <v>0</v>
      </c>
      <c r="CH53" s="75">
        <f>PARAM!$C$26+MAX($P$3-CHOOSE(PARAM!$B$44,MAX(0,CI52*$F$1),0),0)*RATES!$L29/12+$Q$3*(PARAM!$D$51/12)*RATES!$N29/100</f>
        <v>7.166666666666667</v>
      </c>
      <c r="CI53" s="16">
        <f>IF(CI52&gt;0,CI52*PARAM!$C$53,CI52)+CG53-CH53</f>
        <v>-1266.4999999999998</v>
      </c>
      <c r="CJ53" s="15">
        <f t="shared" si="45"/>
        <v>0</v>
      </c>
      <c r="CK53" s="75">
        <f>CJ53*(1-PARAM!$C$27)*$R$4+(MOD($B53/12,5)=0)*($B53&gt;60)*HLOOKUP($B53/12,Loyalty,2)*$F$1*MAX(CM52,0)</f>
        <v>0</v>
      </c>
      <c r="CL53" s="75">
        <f>PARAM!$C$26+MAX($P$4-CHOOSE(PARAM!$B$44,MAX(0,CM52*$F$1),0),0)*RATES!$L29/12+$Q$4*(PARAM!$D$51/12)*RATES!$N29/100</f>
        <v>7.166666666666667</v>
      </c>
      <c r="CM53" s="16">
        <f>IF(CM52&gt;0,CM52*PARAM!$C$53,CM52)+CK53-CL53</f>
        <v>-1266.4999999999998</v>
      </c>
      <c r="CO53" s="176"/>
    </row>
    <row r="54" spans="1:93" x14ac:dyDescent="0.2">
      <c r="A54" t="b">
        <f t="shared" si="21"/>
        <v>0</v>
      </c>
      <c r="B54" s="33">
        <v>27</v>
      </c>
      <c r="C54" s="15">
        <f t="shared" si="46"/>
        <v>20.081305947392778</v>
      </c>
      <c r="D54" s="75">
        <f>C54*(1-PARAM!$C$27)*$I$3+(MOD($B54,60)=PARAM!$B$56)*($B54&gt;(60-PARAM!$B$56))*HLOOKUP(($B54+PARAM!$B$56)/12,Loyalty,2)*$F$1*MAX(F53,0)</f>
        <v>16.808053077967756</v>
      </c>
      <c r="E54" s="75">
        <f>PARAM!$C$26+MAX($G$3-CHOOSE(PARAM!$B$44,MAX(0,F53*$F$1),0),0)*RATES!$L30/12+$H$3*(PARAM!$D$51/12)*RATES!$N30/100</f>
        <v>7.166666666666667</v>
      </c>
      <c r="F54" s="16">
        <f t="shared" si="22"/>
        <v>-995.82171757853928</v>
      </c>
      <c r="G54" s="15">
        <f t="shared" si="23"/>
        <v>22.035289406060361</v>
      </c>
      <c r="H54" s="75">
        <f>G54*(1-PARAM!$C$27)*$I$4+(MOD($B54,60)=PARAM!$B$56)*($B54&gt;(60-PARAM!$B$56))*HLOOKUP(($B54+PARAM!$B$56)/12,Loyalty,2)*$F$1*MAX(J53,0)</f>
        <v>18.443537232872522</v>
      </c>
      <c r="I54" s="75">
        <f>PARAM!$C$26+MAX($G$4-CHOOSE(PARAM!$B$44,MAX(0,J53*$F$1),0),0)*RATES!$L30/12+$H$4*(PARAM!$D$51/12)*RATES!$N30/100</f>
        <v>7.166666666666667</v>
      </c>
      <c r="J54" s="16">
        <f t="shared" si="24"/>
        <v>-968.78640244441362</v>
      </c>
      <c r="K54" s="15">
        <f t="shared" si="25"/>
        <v>22.170849845882874</v>
      </c>
      <c r="L54" s="75">
        <f>K54*(1-PARAM!$C$27)*$I$5+(MOD($B54,60)=PARAM!$B$56)*($B54&gt;(60-PARAM!$B$56))*HLOOKUP(($B54+PARAM!$B$56)/12,Loyalty,2)*$F$1*MAX(N53,0)</f>
        <v>18.557001321003963</v>
      </c>
      <c r="M54" s="75">
        <f>PARAM!$C$26+MAX($G$5-CHOOSE(PARAM!$B$44,MAX(0,N53*$F$1),0),0)*RATES!$L30/12+$H$5*(PARAM!$D$51/12)*RATES!$N30/100</f>
        <v>7.166666666666667</v>
      </c>
      <c r="N54" s="16">
        <f t="shared" si="26"/>
        <v>-966.91078819902918</v>
      </c>
      <c r="O54" s="15">
        <f t="shared" si="27"/>
        <v>22.170849845882874</v>
      </c>
      <c r="P54" s="75">
        <f>O54*(1-PARAM!$C$27)*$I$6+(MOD($B54,60)=PARAM!$B$56)*($B54&gt;(60-PARAM!$B$56))*HLOOKUP(($B54+PARAM!$B$56)/12,Loyalty,2)*$F$1*MAX(R53,0)</f>
        <v>18.557001321003963</v>
      </c>
      <c r="Q54" s="75">
        <f>PARAM!$C$26+MAX($G$6-CHOOSE(PARAM!$B$44,MAX(0,R53*$F$1),0),0)*RATES!$L30/12+$H$6*(PARAM!$D$51/12)*RATES!$N30/100</f>
        <v>7.166666666666667</v>
      </c>
      <c r="R54" s="16">
        <f t="shared" si="28"/>
        <v>-966.91078819902918</v>
      </c>
      <c r="S54" s="15">
        <f t="shared" si="4"/>
        <v>22.170849845882874</v>
      </c>
      <c r="T54" s="75">
        <f>S54*(1-PARAM!$C$27)*$I$7+(MOD($B54,60)=PARAM!$B$56)*($B54&gt;(60-PARAM!$B$56))*HLOOKUP(($B54+PARAM!$B$56)/12,Loyalty,2)*$F$1*MAX(V53,0)</f>
        <v>18.557001321003963</v>
      </c>
      <c r="U54" s="75">
        <f>PARAM!$C$26+MAX($G$7-CHOOSE(PARAM!$B$44,MAX(0,V53*$F$1),0),0)*RATES!$L30/12+$H$7*(PARAM!$D$51/12)*RATES!$N30/100</f>
        <v>7.166666666666667</v>
      </c>
      <c r="V54" s="16">
        <f t="shared" si="29"/>
        <v>-966.91078819902918</v>
      </c>
      <c r="W54" s="15">
        <f t="shared" si="5"/>
        <v>22.170849845882874</v>
      </c>
      <c r="X54" s="75">
        <f>W54*(1-PARAM!$C$27)*$I$8+(MOD($B54,60)=PARAM!$B$56)*($B54&gt;(60-PARAM!$B$56))*HLOOKUP(($B54+PARAM!$B$56)/12,Loyalty,2)*$F$1*MAX(Z53,0)</f>
        <v>18.557001321003963</v>
      </c>
      <c r="Y54" s="75">
        <f>PARAM!$C$26+MAX($G$8-CHOOSE(PARAM!$B$44,MAX(0,Z53*$F$1),0),0)*RATES!$L30/12+$H$8*(PARAM!$D$51/12)*RATES!$N30/100</f>
        <v>7.166666666666667</v>
      </c>
      <c r="Z54" s="16">
        <f t="shared" si="30"/>
        <v>-966.91078819902918</v>
      </c>
      <c r="AA54" s="15">
        <f t="shared" si="6"/>
        <v>22.170849845882874</v>
      </c>
      <c r="AB54" s="75">
        <f>AA54*(1-PARAM!$C$27)*$I$9+(MOD($B54,60)=PARAM!$B$56)*($B54&gt;(60-PARAM!$B$56))*HLOOKUP(($B54+PARAM!$B$56)/12,Loyalty,2)*$F$1*MAX(AD53,0)</f>
        <v>18.557001321003963</v>
      </c>
      <c r="AC54" s="75">
        <f>PARAM!$C$26+MAX($G$9-CHOOSE(PARAM!$B$44,MAX(0,AD53*$F$1),0),0)*RATES!$L30/12+$H$9*(PARAM!$D$51/12)*RATES!$N30/100</f>
        <v>7.166666666666667</v>
      </c>
      <c r="AD54" s="16">
        <f t="shared" si="31"/>
        <v>-966.91078819902918</v>
      </c>
      <c r="AE54" s="15">
        <f t="shared" si="7"/>
        <v>22.170849845882874</v>
      </c>
      <c r="AF54" s="75">
        <f>AE54*(1-PARAM!$C$27)*$I$10+(MOD($B54,60)=PARAM!$B$56)*($B54&gt;(60-PARAM!$B$56))*HLOOKUP(($B54+PARAM!$B$56)/12,Loyalty,2)*$F$1*MAX(AH53,0)</f>
        <v>18.557001321003963</v>
      </c>
      <c r="AG54" s="75">
        <f>PARAM!$C$26+MAX($G$10-CHOOSE(PARAM!$B$44,MAX(0,AH53*$F$1),0),0)*RATES!$L30/12+$H$10*(PARAM!$D$51/12)*RATES!$N30/100</f>
        <v>7.166666666666667</v>
      </c>
      <c r="AH54" s="16">
        <f t="shared" si="32"/>
        <v>-966.91078819902918</v>
      </c>
      <c r="AI54" s="15">
        <f t="shared" si="8"/>
        <v>22.170849845882874</v>
      </c>
      <c r="AJ54" s="75">
        <f>AI54*(1-PARAM!$C$27)*$I$11+(MOD($B54,60)=PARAM!$B$56)*($B54&gt;(60-PARAM!$B$56))*HLOOKUP(($B54+PARAM!$B$56)/12,Loyalty,2)*$F$1*MAX(AL53,0)</f>
        <v>18.557001321003963</v>
      </c>
      <c r="AK54" s="75">
        <f>PARAM!$C$26+MAX($G$11-CHOOSE(PARAM!$B$44,MAX(0,AL53*$F$1),0),0)*RATES!$L30/12+$H$11*(PARAM!$D$51/12)*RATES!$N30/100</f>
        <v>7.166666666666667</v>
      </c>
      <c r="AL54" s="16">
        <f t="shared" si="33"/>
        <v>-966.91078819902918</v>
      </c>
      <c r="AM54" s="15">
        <f t="shared" si="9"/>
        <v>22.170849845882874</v>
      </c>
      <c r="AN54" s="75">
        <f>AM54*(1-PARAM!$C$27)*$I$12+(MOD($B54,60)=PARAM!$B$56)*($B54&gt;(60-PARAM!$B$56))*HLOOKUP(($B54+PARAM!$B$56)/12,Loyalty,2)*$F$1*MAX(AP53,0)</f>
        <v>18.557001321003963</v>
      </c>
      <c r="AO54" s="75">
        <f>PARAM!$C$26+MAX($G$12-CHOOSE(PARAM!$B$44,MAX(0,AP53*$F$1),0),0)*RATES!$L30/12+$H$12*(PARAM!$D$51/12)*RATES!$N30/100</f>
        <v>7.166666666666667</v>
      </c>
      <c r="AP54" s="16">
        <f t="shared" si="34"/>
        <v>-966.91078819902918</v>
      </c>
      <c r="AQ54" s="15">
        <f t="shared" si="10"/>
        <v>22.170849845882874</v>
      </c>
      <c r="AR54" s="75">
        <f>AQ54*(1-PARAM!$C$27)*$I$13+(MOD($B54,60)=PARAM!$B$56)*($B54&gt;(60-PARAM!$B$56))*HLOOKUP(($B54+PARAM!$B$56)/12,Loyalty,2)*$F$1*MAX(AT53,0)</f>
        <v>18.557001321003963</v>
      </c>
      <c r="AS54" s="75">
        <f>PARAM!$C$26+MAX($G$13-CHOOSE(PARAM!$B$44,MAX(0,AT53*$F$1),0),0)*RATES!$L30/12+$H$13*(PARAM!$D$51/12)*RATES!$N30/100</f>
        <v>7.166666666666667</v>
      </c>
      <c r="AT54" s="16">
        <f t="shared" si="35"/>
        <v>-966.91078819902918</v>
      </c>
      <c r="AU54" s="15">
        <f t="shared" si="11"/>
        <v>22.170849845882874</v>
      </c>
      <c r="AV54" s="75">
        <f>AU54*(1-PARAM!$C$27)*$I$14+(MOD($B54,60)=PARAM!$B$56)*($B54&gt;(60-PARAM!$B$56))*HLOOKUP(($B54+PARAM!$B$56)/12,Loyalty,2)*$F$1*MAX(AX53,0)</f>
        <v>18.557001321003963</v>
      </c>
      <c r="AW54" s="75">
        <f>PARAM!$C$26+MAX($G$14-CHOOSE(PARAM!$B$44,MAX(0,AX53*$F$1),0),0)*RATES!$L30/12+$H$14*(PARAM!$D$51/12)*RATES!$N30/100</f>
        <v>7.166666666666667</v>
      </c>
      <c r="AX54" s="16">
        <f t="shared" si="36"/>
        <v>-966.91078819902918</v>
      </c>
      <c r="AY54" s="15">
        <f t="shared" si="12"/>
        <v>22.170849845882874</v>
      </c>
      <c r="AZ54" s="75">
        <f>AY54*(1-PARAM!$C$27)*$I$15+(MOD($B54,60)=PARAM!$B$56)*($B54&gt;(60-PARAM!$B$56))*HLOOKUP(($B54+PARAM!$B$56)/12,Loyalty,2)*$F$1*MAX(BB53,0)</f>
        <v>18.557001321003963</v>
      </c>
      <c r="BA54" s="75">
        <f>PARAM!$C$26+MAX($G$15-CHOOSE(PARAM!$B$44,MAX(0,BB53*$F$1),0),0)*RATES!$L30/12+$H$15*(PARAM!$D$51/12)*RATES!$N30/100</f>
        <v>7.166666666666667</v>
      </c>
      <c r="BB54" s="16">
        <f t="shared" si="37"/>
        <v>-966.91078819902918</v>
      </c>
      <c r="BC54" s="15">
        <f t="shared" si="13"/>
        <v>22.170849845882874</v>
      </c>
      <c r="BD54" s="75">
        <f>BC54*(1-PARAM!$C$27)*$I$16+(MOD($B54,60)=PARAM!$B$56)*($B54&gt;(60-PARAM!$B$56))*HLOOKUP(($B54+PARAM!$B$56)/12,Loyalty,2)*$F$1*MAX(BF53,0)</f>
        <v>18.557001321003963</v>
      </c>
      <c r="BE54" s="75">
        <f>PARAM!$C$26+MAX($G$16-CHOOSE(PARAM!$B$44,MAX(0,BF53*$F$1),0),0)*RATES!$L30/12+$H$16*(PARAM!$D$51/12)*RATES!$N30/100</f>
        <v>7.166666666666667</v>
      </c>
      <c r="BF54" s="16">
        <f t="shared" si="38"/>
        <v>-966.91078819902918</v>
      </c>
      <c r="BG54" s="15">
        <f t="shared" si="14"/>
        <v>22.170849845882874</v>
      </c>
      <c r="BH54" s="75">
        <f>BG54*(1-PARAM!$C$27)*$I$17+(MOD($B54,60)=PARAM!$B$56)*($B54&gt;(60-PARAM!$B$56))*HLOOKUP(($B54+PARAM!$B$56)/12,Loyalty,2)*$F$1*MAX(BJ53,0)</f>
        <v>18.557001321003963</v>
      </c>
      <c r="BI54" s="75">
        <f>PARAM!$C$26+MAX($G$17-CHOOSE(PARAM!$B$44,MAX(0,BJ53*$F$1),0),0)*RATES!$L30/12+$H$17*(PARAM!$D$51/12)*RATES!$N30/100</f>
        <v>7.166666666666667</v>
      </c>
      <c r="BJ54" s="16">
        <f t="shared" si="39"/>
        <v>-966.91078819902918</v>
      </c>
      <c r="BK54" s="15">
        <f t="shared" si="15"/>
        <v>22.170849845882874</v>
      </c>
      <c r="BL54" s="75">
        <f>BK54*(1-PARAM!$C$27)*$I$18+(MOD($B54,60)=PARAM!$B$56)*($B54&gt;(60-PARAM!$B$56))*HLOOKUP(($B54+PARAM!$B$56)/12,Loyalty,2)*$F$1*MAX(BN53,0)</f>
        <v>18.557001321003963</v>
      </c>
      <c r="BM54" s="75">
        <f>PARAM!$C$26+MAX($G$18-CHOOSE(PARAM!$B$44,MAX(0,BN53*$F$1),0),0)*RATES!$L30/12+$H$18*(PARAM!$D$51/12)*RATES!$N30/100</f>
        <v>7.166666666666667</v>
      </c>
      <c r="BN54" s="16">
        <f t="shared" si="40"/>
        <v>-966.91078819902918</v>
      </c>
      <c r="BO54" s="15">
        <f t="shared" si="16"/>
        <v>22.170849845882874</v>
      </c>
      <c r="BP54" s="75">
        <f>BO54*(1-PARAM!$C$27)*$I$19+(MOD($B54,60)=PARAM!$B$56)*($B54&gt;(60-PARAM!$B$56))*HLOOKUP(($B54+PARAM!$B$56)/12,Loyalty,2)*$F$1*MAX(BR53,0)</f>
        <v>18.557001321003963</v>
      </c>
      <c r="BQ54" s="75">
        <f>PARAM!$C$26+MAX($G$19-CHOOSE(PARAM!$B$44,MAX(0,BR53*$F$1),0),0)*RATES!$L30/12+$H$19*(PARAM!$D$51/12)*RATES!$N30/100</f>
        <v>7.166666666666667</v>
      </c>
      <c r="BR54" s="16">
        <f t="shared" si="41"/>
        <v>-966.91078819902918</v>
      </c>
      <c r="BS54" s="15">
        <f t="shared" si="17"/>
        <v>22.170849845882874</v>
      </c>
      <c r="BT54" s="75">
        <f>BS54*(1-PARAM!$C$27)*$I$20+(MOD($B54,60)=PARAM!$B$56)*($B54&gt;(60-PARAM!$B$56))*HLOOKUP(($B54+PARAM!$B$56)/12,Loyalty,2)*$F$1*MAX(BV53,0)</f>
        <v>18.557001321003963</v>
      </c>
      <c r="BU54" s="75">
        <f>PARAM!$C$26+MAX($G$20-CHOOSE(PARAM!$B$44,MAX(0,BV53*$F$1),0),0)*RATES!$L30/12+$H$20*(PARAM!$D$51/12)*RATES!$N30/100</f>
        <v>7.166666666666667</v>
      </c>
      <c r="BV54" s="16">
        <f t="shared" si="42"/>
        <v>-966.91078819902918</v>
      </c>
      <c r="BW54" s="15">
        <f t="shared" si="18"/>
        <v>22.170849845882874</v>
      </c>
      <c r="BX54" s="75">
        <f>BW54*(1-PARAM!$C$27)*$I$21+(MOD($B54,60)=PARAM!$B$56)*($B54&gt;(60-PARAM!$B$56))*HLOOKUP(($B54+PARAM!$B$56)/12,Loyalty,2)*$F$1*MAX(BZ53,0)</f>
        <v>18.557001321003963</v>
      </c>
      <c r="BY54" s="75">
        <f>PARAM!$C$26+MAX($G$21-CHOOSE(PARAM!$B$44,MAX(0,BZ53*$F$1),0),0)*RATES!$L30/12+$H$21*(PARAM!$D$51/12)*RATES!$N30/100</f>
        <v>7.166666666666667</v>
      </c>
      <c r="BZ54" s="16">
        <f t="shared" si="43"/>
        <v>-966.91078819902918</v>
      </c>
      <c r="CA54" s="15">
        <f t="shared" si="19"/>
        <v>22.170849845882874</v>
      </c>
      <c r="CB54" s="75">
        <f>CA54*(1-PARAM!$C$27)*$I$22+(MOD($B54,60)=PARAM!$B$56)*($B54&gt;(60-PARAM!$B$56))*HLOOKUP(($B54+PARAM!$B$56)/12,Loyalty,2)*$F$1*MAX(CD53,0)</f>
        <v>18.557001321003963</v>
      </c>
      <c r="CC54" s="75">
        <f>PARAM!$C$26+MAX($G$22-CHOOSE(PARAM!$B$44,MAX(0,CD53*$F$1),0),0)*RATES!$L30/12+$H$22*(PARAM!$D$51/12)*RATES!$N30/100</f>
        <v>7.166666666666667</v>
      </c>
      <c r="CD54" s="16">
        <f t="shared" si="44"/>
        <v>-966.91078819902918</v>
      </c>
      <c r="CE54" s="33">
        <f>IF(0=MOD(B54,12/PARAM!$D$51),1,0)</f>
        <v>1</v>
      </c>
      <c r="CF54" s="15">
        <f t="shared" si="20"/>
        <v>0</v>
      </c>
      <c r="CG54" s="75">
        <f>CF54*(1-PARAM!$C$27)*$R$3+(MOD($B54/12,5)=0)*($B54&gt;60)*HLOOKUP($B54/12,Loyalty,2)*$F$1*MAX(CI53,0)</f>
        <v>0</v>
      </c>
      <c r="CH54" s="75">
        <f>PARAM!$C$26+MAX($P$3-CHOOSE(PARAM!$B$44,MAX(0,CI53*$F$1),0),0)*RATES!$L30/12+$Q$3*(PARAM!$D$51/12)*RATES!$N30/100</f>
        <v>7.166666666666667</v>
      </c>
      <c r="CI54" s="16">
        <f>IF(CI53&gt;0,CI53*PARAM!$C$53,CI53)+CG54-CH54</f>
        <v>-1273.6666666666665</v>
      </c>
      <c r="CJ54" s="15">
        <f t="shared" si="45"/>
        <v>0</v>
      </c>
      <c r="CK54" s="75">
        <f>CJ54*(1-PARAM!$C$27)*$R$4+(MOD($B54/12,5)=0)*($B54&gt;60)*HLOOKUP($B54/12,Loyalty,2)*$F$1*MAX(CM53,0)</f>
        <v>0</v>
      </c>
      <c r="CL54" s="75">
        <f>PARAM!$C$26+MAX($P$4-CHOOSE(PARAM!$B$44,MAX(0,CM53*$F$1),0),0)*RATES!$L30/12+$Q$4*(PARAM!$D$51/12)*RATES!$N30/100</f>
        <v>7.166666666666667</v>
      </c>
      <c r="CM54" s="16">
        <f>IF(CM53&gt;0,CM53*PARAM!$C$53,CM53)+CK54-CL54</f>
        <v>-1273.6666666666665</v>
      </c>
      <c r="CO54" s="176"/>
    </row>
    <row r="55" spans="1:93" x14ac:dyDescent="0.2">
      <c r="A55" t="b">
        <f t="shared" si="21"/>
        <v>0</v>
      </c>
      <c r="B55" s="33">
        <v>28</v>
      </c>
      <c r="C55" s="15">
        <f t="shared" si="46"/>
        <v>20.081305947392778</v>
      </c>
      <c r="D55" s="75">
        <f>C55*(1-PARAM!$C$27)*$I$3+(MOD($B55,60)=PARAM!$B$56)*($B55&gt;(60-PARAM!$B$56))*HLOOKUP(($B55+PARAM!$B$56)/12,Loyalty,2)*$F$1*MAX(F54,0)</f>
        <v>16.808053077967756</v>
      </c>
      <c r="E55" s="75">
        <f>PARAM!$C$26+MAX($G$3-CHOOSE(PARAM!$B$44,MAX(0,F54*$F$1),0),0)*RATES!$L31/12+$H$3*(PARAM!$D$51/12)*RATES!$N31/100</f>
        <v>7.166666666666667</v>
      </c>
      <c r="F55" s="16">
        <f t="shared" si="22"/>
        <v>-986.18033116723814</v>
      </c>
      <c r="G55" s="15">
        <f t="shared" si="23"/>
        <v>22.035289406060361</v>
      </c>
      <c r="H55" s="75">
        <f>G55*(1-PARAM!$C$27)*$I$4+(MOD($B55,60)=PARAM!$B$56)*($B55&gt;(60-PARAM!$B$56))*HLOOKUP(($B55+PARAM!$B$56)/12,Loyalty,2)*$F$1*MAX(J54,0)</f>
        <v>18.443537232872522</v>
      </c>
      <c r="I55" s="75">
        <f>PARAM!$C$26+MAX($G$4-CHOOSE(PARAM!$B$44,MAX(0,J54*$F$1),0),0)*RATES!$L31/12+$H$4*(PARAM!$D$51/12)*RATES!$N31/100</f>
        <v>7.166666666666667</v>
      </c>
      <c r="J55" s="16">
        <f t="shared" si="24"/>
        <v>-957.50953187820778</v>
      </c>
      <c r="K55" s="15">
        <f t="shared" si="25"/>
        <v>22.170849845882874</v>
      </c>
      <c r="L55" s="75">
        <f>K55*(1-PARAM!$C$27)*$I$5+(MOD($B55,60)=PARAM!$B$56)*($B55&gt;(60-PARAM!$B$56))*HLOOKUP(($B55+PARAM!$B$56)/12,Loyalty,2)*$F$1*MAX(N54,0)</f>
        <v>18.557001321003963</v>
      </c>
      <c r="M55" s="75">
        <f>PARAM!$C$26+MAX($G$5-CHOOSE(PARAM!$B$44,MAX(0,N54*$F$1),0),0)*RATES!$L31/12+$H$5*(PARAM!$D$51/12)*RATES!$N31/100</f>
        <v>7.166666666666667</v>
      </c>
      <c r="N55" s="16">
        <f t="shared" si="26"/>
        <v>-955.5204535446918</v>
      </c>
      <c r="O55" s="15">
        <f t="shared" si="27"/>
        <v>22.170849845882874</v>
      </c>
      <c r="P55" s="75">
        <f>O55*(1-PARAM!$C$27)*$I$6+(MOD($B55,60)=PARAM!$B$56)*($B55&gt;(60-PARAM!$B$56))*HLOOKUP(($B55+PARAM!$B$56)/12,Loyalty,2)*$F$1*MAX(R54,0)</f>
        <v>18.557001321003963</v>
      </c>
      <c r="Q55" s="75">
        <f>PARAM!$C$26+MAX($G$6-CHOOSE(PARAM!$B$44,MAX(0,R54*$F$1),0),0)*RATES!$L31/12+$H$6*(PARAM!$D$51/12)*RATES!$N31/100</f>
        <v>7.166666666666667</v>
      </c>
      <c r="R55" s="16">
        <f t="shared" si="28"/>
        <v>-955.5204535446918</v>
      </c>
      <c r="S55" s="15">
        <f t="shared" si="4"/>
        <v>22.170849845882874</v>
      </c>
      <c r="T55" s="75">
        <f>S55*(1-PARAM!$C$27)*$I$7+(MOD($B55,60)=PARAM!$B$56)*($B55&gt;(60-PARAM!$B$56))*HLOOKUP(($B55+PARAM!$B$56)/12,Loyalty,2)*$F$1*MAX(V54,0)</f>
        <v>18.557001321003963</v>
      </c>
      <c r="U55" s="75">
        <f>PARAM!$C$26+MAX($G$7-CHOOSE(PARAM!$B$44,MAX(0,V54*$F$1),0),0)*RATES!$L31/12+$H$7*(PARAM!$D$51/12)*RATES!$N31/100</f>
        <v>7.166666666666667</v>
      </c>
      <c r="V55" s="16">
        <f t="shared" si="29"/>
        <v>-955.5204535446918</v>
      </c>
      <c r="W55" s="15">
        <f t="shared" si="5"/>
        <v>22.170849845882874</v>
      </c>
      <c r="X55" s="75">
        <f>W55*(1-PARAM!$C$27)*$I$8+(MOD($B55,60)=PARAM!$B$56)*($B55&gt;(60-PARAM!$B$56))*HLOOKUP(($B55+PARAM!$B$56)/12,Loyalty,2)*$F$1*MAX(Z54,0)</f>
        <v>18.557001321003963</v>
      </c>
      <c r="Y55" s="75">
        <f>PARAM!$C$26+MAX($G$8-CHOOSE(PARAM!$B$44,MAX(0,Z54*$F$1),0),0)*RATES!$L31/12+$H$8*(PARAM!$D$51/12)*RATES!$N31/100</f>
        <v>7.166666666666667</v>
      </c>
      <c r="Z55" s="16">
        <f t="shared" si="30"/>
        <v>-955.5204535446918</v>
      </c>
      <c r="AA55" s="15">
        <f t="shared" si="6"/>
        <v>22.170849845882874</v>
      </c>
      <c r="AB55" s="75">
        <f>AA55*(1-PARAM!$C$27)*$I$9+(MOD($B55,60)=PARAM!$B$56)*($B55&gt;(60-PARAM!$B$56))*HLOOKUP(($B55+PARAM!$B$56)/12,Loyalty,2)*$F$1*MAX(AD54,0)</f>
        <v>18.557001321003963</v>
      </c>
      <c r="AC55" s="75">
        <f>PARAM!$C$26+MAX($G$9-CHOOSE(PARAM!$B$44,MAX(0,AD54*$F$1),0),0)*RATES!$L31/12+$H$9*(PARAM!$D$51/12)*RATES!$N31/100</f>
        <v>7.166666666666667</v>
      </c>
      <c r="AD55" s="16">
        <f t="shared" si="31"/>
        <v>-955.5204535446918</v>
      </c>
      <c r="AE55" s="15">
        <f t="shared" si="7"/>
        <v>22.170849845882874</v>
      </c>
      <c r="AF55" s="75">
        <f>AE55*(1-PARAM!$C$27)*$I$10+(MOD($B55,60)=PARAM!$B$56)*($B55&gt;(60-PARAM!$B$56))*HLOOKUP(($B55+PARAM!$B$56)/12,Loyalty,2)*$F$1*MAX(AH54,0)</f>
        <v>18.557001321003963</v>
      </c>
      <c r="AG55" s="75">
        <f>PARAM!$C$26+MAX($G$10-CHOOSE(PARAM!$B$44,MAX(0,AH54*$F$1),0),0)*RATES!$L31/12+$H$10*(PARAM!$D$51/12)*RATES!$N31/100</f>
        <v>7.166666666666667</v>
      </c>
      <c r="AH55" s="16">
        <f t="shared" si="32"/>
        <v>-955.5204535446918</v>
      </c>
      <c r="AI55" s="15">
        <f t="shared" si="8"/>
        <v>22.170849845882874</v>
      </c>
      <c r="AJ55" s="75">
        <f>AI55*(1-PARAM!$C$27)*$I$11+(MOD($B55,60)=PARAM!$B$56)*($B55&gt;(60-PARAM!$B$56))*HLOOKUP(($B55+PARAM!$B$56)/12,Loyalty,2)*$F$1*MAX(AL54,0)</f>
        <v>18.557001321003963</v>
      </c>
      <c r="AK55" s="75">
        <f>PARAM!$C$26+MAX($G$11-CHOOSE(PARAM!$B$44,MAX(0,AL54*$F$1),0),0)*RATES!$L31/12+$H$11*(PARAM!$D$51/12)*RATES!$N31/100</f>
        <v>7.166666666666667</v>
      </c>
      <c r="AL55" s="16">
        <f t="shared" si="33"/>
        <v>-955.5204535446918</v>
      </c>
      <c r="AM55" s="15">
        <f t="shared" si="9"/>
        <v>22.170849845882874</v>
      </c>
      <c r="AN55" s="75">
        <f>AM55*(1-PARAM!$C$27)*$I$12+(MOD($B55,60)=PARAM!$B$56)*($B55&gt;(60-PARAM!$B$56))*HLOOKUP(($B55+PARAM!$B$56)/12,Loyalty,2)*$F$1*MAX(AP54,0)</f>
        <v>18.557001321003963</v>
      </c>
      <c r="AO55" s="75">
        <f>PARAM!$C$26+MAX($G$12-CHOOSE(PARAM!$B$44,MAX(0,AP54*$F$1),0),0)*RATES!$L31/12+$H$12*(PARAM!$D$51/12)*RATES!$N31/100</f>
        <v>7.166666666666667</v>
      </c>
      <c r="AP55" s="16">
        <f t="shared" si="34"/>
        <v>-955.5204535446918</v>
      </c>
      <c r="AQ55" s="15">
        <f t="shared" si="10"/>
        <v>22.170849845882874</v>
      </c>
      <c r="AR55" s="75">
        <f>AQ55*(1-PARAM!$C$27)*$I$13+(MOD($B55,60)=PARAM!$B$56)*($B55&gt;(60-PARAM!$B$56))*HLOOKUP(($B55+PARAM!$B$56)/12,Loyalty,2)*$F$1*MAX(AT54,0)</f>
        <v>18.557001321003963</v>
      </c>
      <c r="AS55" s="75">
        <f>PARAM!$C$26+MAX($G$13-CHOOSE(PARAM!$B$44,MAX(0,AT54*$F$1),0),0)*RATES!$L31/12+$H$13*(PARAM!$D$51/12)*RATES!$N31/100</f>
        <v>7.166666666666667</v>
      </c>
      <c r="AT55" s="16">
        <f t="shared" si="35"/>
        <v>-955.5204535446918</v>
      </c>
      <c r="AU55" s="15">
        <f t="shared" si="11"/>
        <v>22.170849845882874</v>
      </c>
      <c r="AV55" s="75">
        <f>AU55*(1-PARAM!$C$27)*$I$14+(MOD($B55,60)=PARAM!$B$56)*($B55&gt;(60-PARAM!$B$56))*HLOOKUP(($B55+PARAM!$B$56)/12,Loyalty,2)*$F$1*MAX(AX54,0)</f>
        <v>18.557001321003963</v>
      </c>
      <c r="AW55" s="75">
        <f>PARAM!$C$26+MAX($G$14-CHOOSE(PARAM!$B$44,MAX(0,AX54*$F$1),0),0)*RATES!$L31/12+$H$14*(PARAM!$D$51/12)*RATES!$N31/100</f>
        <v>7.166666666666667</v>
      </c>
      <c r="AX55" s="16">
        <f t="shared" si="36"/>
        <v>-955.5204535446918</v>
      </c>
      <c r="AY55" s="15">
        <f t="shared" si="12"/>
        <v>22.170849845882874</v>
      </c>
      <c r="AZ55" s="75">
        <f>AY55*(1-PARAM!$C$27)*$I$15+(MOD($B55,60)=PARAM!$B$56)*($B55&gt;(60-PARAM!$B$56))*HLOOKUP(($B55+PARAM!$B$56)/12,Loyalty,2)*$F$1*MAX(BB54,0)</f>
        <v>18.557001321003963</v>
      </c>
      <c r="BA55" s="75">
        <f>PARAM!$C$26+MAX($G$15-CHOOSE(PARAM!$B$44,MAX(0,BB54*$F$1),0),0)*RATES!$L31/12+$H$15*(PARAM!$D$51/12)*RATES!$N31/100</f>
        <v>7.166666666666667</v>
      </c>
      <c r="BB55" s="16">
        <f t="shared" si="37"/>
        <v>-955.5204535446918</v>
      </c>
      <c r="BC55" s="15">
        <f t="shared" si="13"/>
        <v>22.170849845882874</v>
      </c>
      <c r="BD55" s="75">
        <f>BC55*(1-PARAM!$C$27)*$I$16+(MOD($B55,60)=PARAM!$B$56)*($B55&gt;(60-PARAM!$B$56))*HLOOKUP(($B55+PARAM!$B$56)/12,Loyalty,2)*$F$1*MAX(BF54,0)</f>
        <v>18.557001321003963</v>
      </c>
      <c r="BE55" s="75">
        <f>PARAM!$C$26+MAX($G$16-CHOOSE(PARAM!$B$44,MAX(0,BF54*$F$1),0),0)*RATES!$L31/12+$H$16*(PARAM!$D$51/12)*RATES!$N31/100</f>
        <v>7.166666666666667</v>
      </c>
      <c r="BF55" s="16">
        <f t="shared" si="38"/>
        <v>-955.5204535446918</v>
      </c>
      <c r="BG55" s="15">
        <f t="shared" si="14"/>
        <v>22.170849845882874</v>
      </c>
      <c r="BH55" s="75">
        <f>BG55*(1-PARAM!$C$27)*$I$17+(MOD($B55,60)=PARAM!$B$56)*($B55&gt;(60-PARAM!$B$56))*HLOOKUP(($B55+PARAM!$B$56)/12,Loyalty,2)*$F$1*MAX(BJ54,0)</f>
        <v>18.557001321003963</v>
      </c>
      <c r="BI55" s="75">
        <f>PARAM!$C$26+MAX($G$17-CHOOSE(PARAM!$B$44,MAX(0,BJ54*$F$1),0),0)*RATES!$L31/12+$H$17*(PARAM!$D$51/12)*RATES!$N31/100</f>
        <v>7.166666666666667</v>
      </c>
      <c r="BJ55" s="16">
        <f t="shared" si="39"/>
        <v>-955.5204535446918</v>
      </c>
      <c r="BK55" s="15">
        <f t="shared" si="15"/>
        <v>22.170849845882874</v>
      </c>
      <c r="BL55" s="75">
        <f>BK55*(1-PARAM!$C$27)*$I$18+(MOD($B55,60)=PARAM!$B$56)*($B55&gt;(60-PARAM!$B$56))*HLOOKUP(($B55+PARAM!$B$56)/12,Loyalty,2)*$F$1*MAX(BN54,0)</f>
        <v>18.557001321003963</v>
      </c>
      <c r="BM55" s="75">
        <f>PARAM!$C$26+MAX($G$18-CHOOSE(PARAM!$B$44,MAX(0,BN54*$F$1),0),0)*RATES!$L31/12+$H$18*(PARAM!$D$51/12)*RATES!$N31/100</f>
        <v>7.166666666666667</v>
      </c>
      <c r="BN55" s="16">
        <f t="shared" si="40"/>
        <v>-955.5204535446918</v>
      </c>
      <c r="BO55" s="15">
        <f t="shared" si="16"/>
        <v>22.170849845882874</v>
      </c>
      <c r="BP55" s="75">
        <f>BO55*(1-PARAM!$C$27)*$I$19+(MOD($B55,60)=PARAM!$B$56)*($B55&gt;(60-PARAM!$B$56))*HLOOKUP(($B55+PARAM!$B$56)/12,Loyalty,2)*$F$1*MAX(BR54,0)</f>
        <v>18.557001321003963</v>
      </c>
      <c r="BQ55" s="75">
        <f>PARAM!$C$26+MAX($G$19-CHOOSE(PARAM!$B$44,MAX(0,BR54*$F$1),0),0)*RATES!$L31/12+$H$19*(PARAM!$D$51/12)*RATES!$N31/100</f>
        <v>7.166666666666667</v>
      </c>
      <c r="BR55" s="16">
        <f t="shared" si="41"/>
        <v>-955.5204535446918</v>
      </c>
      <c r="BS55" s="15">
        <f t="shared" si="17"/>
        <v>22.170849845882874</v>
      </c>
      <c r="BT55" s="75">
        <f>BS55*(1-PARAM!$C$27)*$I$20+(MOD($B55,60)=PARAM!$B$56)*($B55&gt;(60-PARAM!$B$56))*HLOOKUP(($B55+PARAM!$B$56)/12,Loyalty,2)*$F$1*MAX(BV54,0)</f>
        <v>18.557001321003963</v>
      </c>
      <c r="BU55" s="75">
        <f>PARAM!$C$26+MAX($G$20-CHOOSE(PARAM!$B$44,MAX(0,BV54*$F$1),0),0)*RATES!$L31/12+$H$20*(PARAM!$D$51/12)*RATES!$N31/100</f>
        <v>7.166666666666667</v>
      </c>
      <c r="BV55" s="16">
        <f t="shared" si="42"/>
        <v>-955.5204535446918</v>
      </c>
      <c r="BW55" s="15">
        <f t="shared" si="18"/>
        <v>22.170849845882874</v>
      </c>
      <c r="BX55" s="75">
        <f>BW55*(1-PARAM!$C$27)*$I$21+(MOD($B55,60)=PARAM!$B$56)*($B55&gt;(60-PARAM!$B$56))*HLOOKUP(($B55+PARAM!$B$56)/12,Loyalty,2)*$F$1*MAX(BZ54,0)</f>
        <v>18.557001321003963</v>
      </c>
      <c r="BY55" s="75">
        <f>PARAM!$C$26+MAX($G$21-CHOOSE(PARAM!$B$44,MAX(0,BZ54*$F$1),0),0)*RATES!$L31/12+$H$21*(PARAM!$D$51/12)*RATES!$N31/100</f>
        <v>7.166666666666667</v>
      </c>
      <c r="BZ55" s="16">
        <f t="shared" si="43"/>
        <v>-955.5204535446918</v>
      </c>
      <c r="CA55" s="15">
        <f t="shared" si="19"/>
        <v>22.170849845882874</v>
      </c>
      <c r="CB55" s="75">
        <f>CA55*(1-PARAM!$C$27)*$I$22+(MOD($B55,60)=PARAM!$B$56)*($B55&gt;(60-PARAM!$B$56))*HLOOKUP(($B55+PARAM!$B$56)/12,Loyalty,2)*$F$1*MAX(CD54,0)</f>
        <v>18.557001321003963</v>
      </c>
      <c r="CC55" s="75">
        <f>PARAM!$C$26+MAX($G$22-CHOOSE(PARAM!$B$44,MAX(0,CD54*$F$1),0),0)*RATES!$L31/12+$H$22*(PARAM!$D$51/12)*RATES!$N31/100</f>
        <v>7.166666666666667</v>
      </c>
      <c r="CD55" s="16">
        <f t="shared" si="44"/>
        <v>-955.5204535446918</v>
      </c>
      <c r="CE55" s="33">
        <f>IF(0=MOD(B55,12/PARAM!$D$51),1,0)</f>
        <v>1</v>
      </c>
      <c r="CF55" s="15">
        <f t="shared" si="20"/>
        <v>0</v>
      </c>
      <c r="CG55" s="75">
        <f>CF55*(1-PARAM!$C$27)*$R$3+(MOD($B55/12,5)=0)*($B55&gt;60)*HLOOKUP($B55/12,Loyalty,2)*$F$1*MAX(CI54,0)</f>
        <v>0</v>
      </c>
      <c r="CH55" s="75">
        <f>PARAM!$C$26+MAX($P$3-CHOOSE(PARAM!$B$44,MAX(0,CI54*$F$1),0),0)*RATES!$L31/12+$Q$3*(PARAM!$D$51/12)*RATES!$N31/100</f>
        <v>7.166666666666667</v>
      </c>
      <c r="CI55" s="16">
        <f>IF(CI54&gt;0,CI54*PARAM!$C$53,CI54)+CG55-CH55</f>
        <v>-1280.8333333333333</v>
      </c>
      <c r="CJ55" s="15">
        <f t="shared" si="45"/>
        <v>0</v>
      </c>
      <c r="CK55" s="75">
        <f>CJ55*(1-PARAM!$C$27)*$R$4+(MOD($B55/12,5)=0)*($B55&gt;60)*HLOOKUP($B55/12,Loyalty,2)*$F$1*MAX(CM54,0)</f>
        <v>0</v>
      </c>
      <c r="CL55" s="75">
        <f>PARAM!$C$26+MAX($P$4-CHOOSE(PARAM!$B$44,MAX(0,CM54*$F$1),0),0)*RATES!$L31/12+$Q$4*(PARAM!$D$51/12)*RATES!$N31/100</f>
        <v>7.166666666666667</v>
      </c>
      <c r="CM55" s="16">
        <f>IF(CM54&gt;0,CM54*PARAM!$C$53,CM54)+CK55-CL55</f>
        <v>-1280.8333333333333</v>
      </c>
      <c r="CO55" s="176"/>
    </row>
    <row r="56" spans="1:93" x14ac:dyDescent="0.2">
      <c r="A56" t="b">
        <f t="shared" si="21"/>
        <v>0</v>
      </c>
      <c r="B56" s="33">
        <v>29</v>
      </c>
      <c r="C56" s="15">
        <f t="shared" si="46"/>
        <v>20.081305947392778</v>
      </c>
      <c r="D56" s="75">
        <f>C56*(1-PARAM!$C$27)*$I$3+(MOD($B56,60)=PARAM!$B$56)*($B56&gt;(60-PARAM!$B$56))*HLOOKUP(($B56+PARAM!$B$56)/12,Loyalty,2)*$F$1*MAX(F55,0)</f>
        <v>16.808053077967756</v>
      </c>
      <c r="E56" s="75">
        <f>PARAM!$C$26+MAX($G$3-CHOOSE(PARAM!$B$44,MAX(0,F55*$F$1),0),0)*RATES!$L32/12+$H$3*(PARAM!$D$51/12)*RATES!$N32/100</f>
        <v>7.166666666666667</v>
      </c>
      <c r="F56" s="16">
        <f t="shared" si="22"/>
        <v>-976.538944755937</v>
      </c>
      <c r="G56" s="15">
        <f t="shared" si="23"/>
        <v>22.035289406060361</v>
      </c>
      <c r="H56" s="75">
        <f>G56*(1-PARAM!$C$27)*$I$4+(MOD($B56,60)=PARAM!$B$56)*($B56&gt;(60-PARAM!$B$56))*HLOOKUP(($B56+PARAM!$B$56)/12,Loyalty,2)*$F$1*MAX(J55,0)</f>
        <v>18.443537232872522</v>
      </c>
      <c r="I56" s="75">
        <f>PARAM!$C$26+MAX($G$4-CHOOSE(PARAM!$B$44,MAX(0,J55*$F$1),0),0)*RATES!$L32/12+$H$4*(PARAM!$D$51/12)*RATES!$N32/100</f>
        <v>7.166666666666667</v>
      </c>
      <c r="J56" s="16">
        <f t="shared" si="24"/>
        <v>-946.23266131200194</v>
      </c>
      <c r="K56" s="15">
        <f t="shared" si="25"/>
        <v>22.170849845882874</v>
      </c>
      <c r="L56" s="75">
        <f>K56*(1-PARAM!$C$27)*$I$5+(MOD($B56,60)=PARAM!$B$56)*($B56&gt;(60-PARAM!$B$56))*HLOOKUP(($B56+PARAM!$B$56)/12,Loyalty,2)*$F$1*MAX(N55,0)</f>
        <v>18.557001321003963</v>
      </c>
      <c r="M56" s="75">
        <f>PARAM!$C$26+MAX($G$5-CHOOSE(PARAM!$B$44,MAX(0,N55*$F$1),0),0)*RATES!$L32/12+$H$5*(PARAM!$D$51/12)*RATES!$N32/100</f>
        <v>7.166666666666667</v>
      </c>
      <c r="N56" s="16">
        <f t="shared" si="26"/>
        <v>-944.13011889035442</v>
      </c>
      <c r="O56" s="15">
        <f t="shared" si="27"/>
        <v>22.170849845882874</v>
      </c>
      <c r="P56" s="75">
        <f>O56*(1-PARAM!$C$27)*$I$6+(MOD($B56,60)=PARAM!$B$56)*($B56&gt;(60-PARAM!$B$56))*HLOOKUP(($B56+PARAM!$B$56)/12,Loyalty,2)*$F$1*MAX(R55,0)</f>
        <v>18.557001321003963</v>
      </c>
      <c r="Q56" s="75">
        <f>PARAM!$C$26+MAX($G$6-CHOOSE(PARAM!$B$44,MAX(0,R55*$F$1),0),0)*RATES!$L32/12+$H$6*(PARAM!$D$51/12)*RATES!$N32/100</f>
        <v>7.166666666666667</v>
      </c>
      <c r="R56" s="16">
        <f t="shared" si="28"/>
        <v>-944.13011889035442</v>
      </c>
      <c r="S56" s="15">
        <f t="shared" si="4"/>
        <v>22.170849845882874</v>
      </c>
      <c r="T56" s="75">
        <f>S56*(1-PARAM!$C$27)*$I$7+(MOD($B56,60)=PARAM!$B$56)*($B56&gt;(60-PARAM!$B$56))*HLOOKUP(($B56+PARAM!$B$56)/12,Loyalty,2)*$F$1*MAX(V55,0)</f>
        <v>18.557001321003963</v>
      </c>
      <c r="U56" s="75">
        <f>PARAM!$C$26+MAX($G$7-CHOOSE(PARAM!$B$44,MAX(0,V55*$F$1),0),0)*RATES!$L32/12+$H$7*(PARAM!$D$51/12)*RATES!$N32/100</f>
        <v>7.166666666666667</v>
      </c>
      <c r="V56" s="16">
        <f t="shared" si="29"/>
        <v>-944.13011889035442</v>
      </c>
      <c r="W56" s="15">
        <f t="shared" si="5"/>
        <v>22.170849845882874</v>
      </c>
      <c r="X56" s="75">
        <f>W56*(1-PARAM!$C$27)*$I$8+(MOD($B56,60)=PARAM!$B$56)*($B56&gt;(60-PARAM!$B$56))*HLOOKUP(($B56+PARAM!$B$56)/12,Loyalty,2)*$F$1*MAX(Z55,0)</f>
        <v>18.557001321003963</v>
      </c>
      <c r="Y56" s="75">
        <f>PARAM!$C$26+MAX($G$8-CHOOSE(PARAM!$B$44,MAX(0,Z55*$F$1),0),0)*RATES!$L32/12+$H$8*(PARAM!$D$51/12)*RATES!$N32/100</f>
        <v>7.166666666666667</v>
      </c>
      <c r="Z56" s="16">
        <f t="shared" si="30"/>
        <v>-944.13011889035442</v>
      </c>
      <c r="AA56" s="15">
        <f t="shared" si="6"/>
        <v>22.170849845882874</v>
      </c>
      <c r="AB56" s="75">
        <f>AA56*(1-PARAM!$C$27)*$I$9+(MOD($B56,60)=PARAM!$B$56)*($B56&gt;(60-PARAM!$B$56))*HLOOKUP(($B56+PARAM!$B$56)/12,Loyalty,2)*$F$1*MAX(AD55,0)</f>
        <v>18.557001321003963</v>
      </c>
      <c r="AC56" s="75">
        <f>PARAM!$C$26+MAX($G$9-CHOOSE(PARAM!$B$44,MAX(0,AD55*$F$1),0),0)*RATES!$L32/12+$H$9*(PARAM!$D$51/12)*RATES!$N32/100</f>
        <v>7.166666666666667</v>
      </c>
      <c r="AD56" s="16">
        <f t="shared" si="31"/>
        <v>-944.13011889035442</v>
      </c>
      <c r="AE56" s="15">
        <f t="shared" si="7"/>
        <v>22.170849845882874</v>
      </c>
      <c r="AF56" s="75">
        <f>AE56*(1-PARAM!$C$27)*$I$10+(MOD($B56,60)=PARAM!$B$56)*($B56&gt;(60-PARAM!$B$56))*HLOOKUP(($B56+PARAM!$B$56)/12,Loyalty,2)*$F$1*MAX(AH55,0)</f>
        <v>18.557001321003963</v>
      </c>
      <c r="AG56" s="75">
        <f>PARAM!$C$26+MAX($G$10-CHOOSE(PARAM!$B$44,MAX(0,AH55*$F$1),0),0)*RATES!$L32/12+$H$10*(PARAM!$D$51/12)*RATES!$N32/100</f>
        <v>7.166666666666667</v>
      </c>
      <c r="AH56" s="16">
        <f t="shared" si="32"/>
        <v>-944.13011889035442</v>
      </c>
      <c r="AI56" s="15">
        <f t="shared" si="8"/>
        <v>22.170849845882874</v>
      </c>
      <c r="AJ56" s="75">
        <f>AI56*(1-PARAM!$C$27)*$I$11+(MOD($B56,60)=PARAM!$B$56)*($B56&gt;(60-PARAM!$B$56))*HLOOKUP(($B56+PARAM!$B$56)/12,Loyalty,2)*$F$1*MAX(AL55,0)</f>
        <v>18.557001321003963</v>
      </c>
      <c r="AK56" s="75">
        <f>PARAM!$C$26+MAX($G$11-CHOOSE(PARAM!$B$44,MAX(0,AL55*$F$1),0),0)*RATES!$L32/12+$H$11*(PARAM!$D$51/12)*RATES!$N32/100</f>
        <v>7.166666666666667</v>
      </c>
      <c r="AL56" s="16">
        <f t="shared" si="33"/>
        <v>-944.13011889035442</v>
      </c>
      <c r="AM56" s="15">
        <f t="shared" si="9"/>
        <v>22.170849845882874</v>
      </c>
      <c r="AN56" s="75">
        <f>AM56*(1-PARAM!$C$27)*$I$12+(MOD($B56,60)=PARAM!$B$56)*($B56&gt;(60-PARAM!$B$56))*HLOOKUP(($B56+PARAM!$B$56)/12,Loyalty,2)*$F$1*MAX(AP55,0)</f>
        <v>18.557001321003963</v>
      </c>
      <c r="AO56" s="75">
        <f>PARAM!$C$26+MAX($G$12-CHOOSE(PARAM!$B$44,MAX(0,AP55*$F$1),0),0)*RATES!$L32/12+$H$12*(PARAM!$D$51/12)*RATES!$N32/100</f>
        <v>7.166666666666667</v>
      </c>
      <c r="AP56" s="16">
        <f t="shared" si="34"/>
        <v>-944.13011889035442</v>
      </c>
      <c r="AQ56" s="15">
        <f t="shared" si="10"/>
        <v>22.170849845882874</v>
      </c>
      <c r="AR56" s="75">
        <f>AQ56*(1-PARAM!$C$27)*$I$13+(MOD($B56,60)=PARAM!$B$56)*($B56&gt;(60-PARAM!$B$56))*HLOOKUP(($B56+PARAM!$B$56)/12,Loyalty,2)*$F$1*MAX(AT55,0)</f>
        <v>18.557001321003963</v>
      </c>
      <c r="AS56" s="75">
        <f>PARAM!$C$26+MAX($G$13-CHOOSE(PARAM!$B$44,MAX(0,AT55*$F$1),0),0)*RATES!$L32/12+$H$13*(PARAM!$D$51/12)*RATES!$N32/100</f>
        <v>7.166666666666667</v>
      </c>
      <c r="AT56" s="16">
        <f t="shared" si="35"/>
        <v>-944.13011889035442</v>
      </c>
      <c r="AU56" s="15">
        <f t="shared" si="11"/>
        <v>22.170849845882874</v>
      </c>
      <c r="AV56" s="75">
        <f>AU56*(1-PARAM!$C$27)*$I$14+(MOD($B56,60)=PARAM!$B$56)*($B56&gt;(60-PARAM!$B$56))*HLOOKUP(($B56+PARAM!$B$56)/12,Loyalty,2)*$F$1*MAX(AX55,0)</f>
        <v>18.557001321003963</v>
      </c>
      <c r="AW56" s="75">
        <f>PARAM!$C$26+MAX($G$14-CHOOSE(PARAM!$B$44,MAX(0,AX55*$F$1),0),0)*RATES!$L32/12+$H$14*(PARAM!$D$51/12)*RATES!$N32/100</f>
        <v>7.166666666666667</v>
      </c>
      <c r="AX56" s="16">
        <f t="shared" si="36"/>
        <v>-944.13011889035442</v>
      </c>
      <c r="AY56" s="15">
        <f t="shared" si="12"/>
        <v>22.170849845882874</v>
      </c>
      <c r="AZ56" s="75">
        <f>AY56*(1-PARAM!$C$27)*$I$15+(MOD($B56,60)=PARAM!$B$56)*($B56&gt;(60-PARAM!$B$56))*HLOOKUP(($B56+PARAM!$B$56)/12,Loyalty,2)*$F$1*MAX(BB55,0)</f>
        <v>18.557001321003963</v>
      </c>
      <c r="BA56" s="75">
        <f>PARAM!$C$26+MAX($G$15-CHOOSE(PARAM!$B$44,MAX(0,BB55*$F$1),0),0)*RATES!$L32/12+$H$15*(PARAM!$D$51/12)*RATES!$N32/100</f>
        <v>7.166666666666667</v>
      </c>
      <c r="BB56" s="16">
        <f t="shared" si="37"/>
        <v>-944.13011889035442</v>
      </c>
      <c r="BC56" s="15">
        <f t="shared" si="13"/>
        <v>22.170849845882874</v>
      </c>
      <c r="BD56" s="75">
        <f>BC56*(1-PARAM!$C$27)*$I$16+(MOD($B56,60)=PARAM!$B$56)*($B56&gt;(60-PARAM!$B$56))*HLOOKUP(($B56+PARAM!$B$56)/12,Loyalty,2)*$F$1*MAX(BF55,0)</f>
        <v>18.557001321003963</v>
      </c>
      <c r="BE56" s="75">
        <f>PARAM!$C$26+MAX($G$16-CHOOSE(PARAM!$B$44,MAX(0,BF55*$F$1),0),0)*RATES!$L32/12+$H$16*(PARAM!$D$51/12)*RATES!$N32/100</f>
        <v>7.166666666666667</v>
      </c>
      <c r="BF56" s="16">
        <f t="shared" si="38"/>
        <v>-944.13011889035442</v>
      </c>
      <c r="BG56" s="15">
        <f t="shared" si="14"/>
        <v>22.170849845882874</v>
      </c>
      <c r="BH56" s="75">
        <f>BG56*(1-PARAM!$C$27)*$I$17+(MOD($B56,60)=PARAM!$B$56)*($B56&gt;(60-PARAM!$B$56))*HLOOKUP(($B56+PARAM!$B$56)/12,Loyalty,2)*$F$1*MAX(BJ55,0)</f>
        <v>18.557001321003963</v>
      </c>
      <c r="BI56" s="75">
        <f>PARAM!$C$26+MAX($G$17-CHOOSE(PARAM!$B$44,MAX(0,BJ55*$F$1),0),0)*RATES!$L32/12+$H$17*(PARAM!$D$51/12)*RATES!$N32/100</f>
        <v>7.166666666666667</v>
      </c>
      <c r="BJ56" s="16">
        <f t="shared" si="39"/>
        <v>-944.13011889035442</v>
      </c>
      <c r="BK56" s="15">
        <f t="shared" si="15"/>
        <v>22.170849845882874</v>
      </c>
      <c r="BL56" s="75">
        <f>BK56*(1-PARAM!$C$27)*$I$18+(MOD($B56,60)=PARAM!$B$56)*($B56&gt;(60-PARAM!$B$56))*HLOOKUP(($B56+PARAM!$B$56)/12,Loyalty,2)*$F$1*MAX(BN55,0)</f>
        <v>18.557001321003963</v>
      </c>
      <c r="BM56" s="75">
        <f>PARAM!$C$26+MAX($G$18-CHOOSE(PARAM!$B$44,MAX(0,BN55*$F$1),0),0)*RATES!$L32/12+$H$18*(PARAM!$D$51/12)*RATES!$N32/100</f>
        <v>7.166666666666667</v>
      </c>
      <c r="BN56" s="16">
        <f t="shared" si="40"/>
        <v>-944.13011889035442</v>
      </c>
      <c r="BO56" s="15">
        <f t="shared" si="16"/>
        <v>22.170849845882874</v>
      </c>
      <c r="BP56" s="75">
        <f>BO56*(1-PARAM!$C$27)*$I$19+(MOD($B56,60)=PARAM!$B$56)*($B56&gt;(60-PARAM!$B$56))*HLOOKUP(($B56+PARAM!$B$56)/12,Loyalty,2)*$F$1*MAX(BR55,0)</f>
        <v>18.557001321003963</v>
      </c>
      <c r="BQ56" s="75">
        <f>PARAM!$C$26+MAX($G$19-CHOOSE(PARAM!$B$44,MAX(0,BR55*$F$1),0),0)*RATES!$L32/12+$H$19*(PARAM!$D$51/12)*RATES!$N32/100</f>
        <v>7.166666666666667</v>
      </c>
      <c r="BR56" s="16">
        <f t="shared" si="41"/>
        <v>-944.13011889035442</v>
      </c>
      <c r="BS56" s="15">
        <f t="shared" si="17"/>
        <v>22.170849845882874</v>
      </c>
      <c r="BT56" s="75">
        <f>BS56*(1-PARAM!$C$27)*$I$20+(MOD($B56,60)=PARAM!$B$56)*($B56&gt;(60-PARAM!$B$56))*HLOOKUP(($B56+PARAM!$B$56)/12,Loyalty,2)*$F$1*MAX(BV55,0)</f>
        <v>18.557001321003963</v>
      </c>
      <c r="BU56" s="75">
        <f>PARAM!$C$26+MAX($G$20-CHOOSE(PARAM!$B$44,MAX(0,BV55*$F$1),0),0)*RATES!$L32/12+$H$20*(PARAM!$D$51/12)*RATES!$N32/100</f>
        <v>7.166666666666667</v>
      </c>
      <c r="BV56" s="16">
        <f t="shared" si="42"/>
        <v>-944.13011889035442</v>
      </c>
      <c r="BW56" s="15">
        <f t="shared" si="18"/>
        <v>22.170849845882874</v>
      </c>
      <c r="BX56" s="75">
        <f>BW56*(1-PARAM!$C$27)*$I$21+(MOD($B56,60)=PARAM!$B$56)*($B56&gt;(60-PARAM!$B$56))*HLOOKUP(($B56+PARAM!$B$56)/12,Loyalty,2)*$F$1*MAX(BZ55,0)</f>
        <v>18.557001321003963</v>
      </c>
      <c r="BY56" s="75">
        <f>PARAM!$C$26+MAX($G$21-CHOOSE(PARAM!$B$44,MAX(0,BZ55*$F$1),0),0)*RATES!$L32/12+$H$21*(PARAM!$D$51/12)*RATES!$N32/100</f>
        <v>7.166666666666667</v>
      </c>
      <c r="BZ56" s="16">
        <f t="shared" si="43"/>
        <v>-944.13011889035442</v>
      </c>
      <c r="CA56" s="15">
        <f t="shared" si="19"/>
        <v>22.170849845882874</v>
      </c>
      <c r="CB56" s="75">
        <f>CA56*(1-PARAM!$C$27)*$I$22+(MOD($B56,60)=PARAM!$B$56)*($B56&gt;(60-PARAM!$B$56))*HLOOKUP(($B56+PARAM!$B$56)/12,Loyalty,2)*$F$1*MAX(CD55,0)</f>
        <v>18.557001321003963</v>
      </c>
      <c r="CC56" s="75">
        <f>PARAM!$C$26+MAX($G$22-CHOOSE(PARAM!$B$44,MAX(0,CD55*$F$1),0),0)*RATES!$L32/12+$H$22*(PARAM!$D$51/12)*RATES!$N32/100</f>
        <v>7.166666666666667</v>
      </c>
      <c r="CD56" s="16">
        <f t="shared" si="44"/>
        <v>-944.13011889035442</v>
      </c>
      <c r="CE56" s="33">
        <f>IF(0=MOD(B56,12/PARAM!$D$51),1,0)</f>
        <v>1</v>
      </c>
      <c r="CF56" s="15">
        <f t="shared" si="20"/>
        <v>0</v>
      </c>
      <c r="CG56" s="75">
        <f>CF56*(1-PARAM!$C$27)*$R$3+(MOD($B56/12,5)=0)*($B56&gt;60)*HLOOKUP($B56/12,Loyalty,2)*$F$1*MAX(CI55,0)</f>
        <v>0</v>
      </c>
      <c r="CH56" s="75">
        <f>PARAM!$C$26+MAX($P$3-CHOOSE(PARAM!$B$44,MAX(0,CI55*$F$1),0),0)*RATES!$L32/12+$Q$3*(PARAM!$D$51/12)*RATES!$N32/100</f>
        <v>7.166666666666667</v>
      </c>
      <c r="CI56" s="16">
        <f>IF(CI55&gt;0,CI55*PARAM!$C$53,CI55)+CG56-CH56</f>
        <v>-1288</v>
      </c>
      <c r="CJ56" s="15">
        <f t="shared" si="45"/>
        <v>0</v>
      </c>
      <c r="CK56" s="75">
        <f>CJ56*(1-PARAM!$C$27)*$R$4+(MOD($B56/12,5)=0)*($B56&gt;60)*HLOOKUP($B56/12,Loyalty,2)*$F$1*MAX(CM55,0)</f>
        <v>0</v>
      </c>
      <c r="CL56" s="75">
        <f>PARAM!$C$26+MAX($P$4-CHOOSE(PARAM!$B$44,MAX(0,CM55*$F$1),0),0)*RATES!$L32/12+$Q$4*(PARAM!$D$51/12)*RATES!$N32/100</f>
        <v>7.166666666666667</v>
      </c>
      <c r="CM56" s="16">
        <f>IF(CM55&gt;0,CM55*PARAM!$C$53,CM55)+CK56-CL56</f>
        <v>-1288</v>
      </c>
      <c r="CO56" s="176"/>
    </row>
    <row r="57" spans="1:93" x14ac:dyDescent="0.2">
      <c r="A57" t="b">
        <f t="shared" si="21"/>
        <v>0</v>
      </c>
      <c r="B57" s="33">
        <v>30</v>
      </c>
      <c r="C57" s="15">
        <f t="shared" si="46"/>
        <v>20.081305947392778</v>
      </c>
      <c r="D57" s="75">
        <f>C57*(1-PARAM!$C$27)*$I$3+(MOD($B57,60)=PARAM!$B$56)*($B57&gt;(60-PARAM!$B$56))*HLOOKUP(($B57+PARAM!$B$56)/12,Loyalty,2)*$F$1*MAX(F56,0)</f>
        <v>16.808053077967756</v>
      </c>
      <c r="E57" s="75">
        <f>PARAM!$C$26+MAX($G$3-CHOOSE(PARAM!$B$44,MAX(0,F56*$F$1),0),0)*RATES!$L33/12+$H$3*(PARAM!$D$51/12)*RATES!$N33/100</f>
        <v>7.3333333333333339</v>
      </c>
      <c r="F57" s="16">
        <f t="shared" si="22"/>
        <v>-967.0642250113026</v>
      </c>
      <c r="G57" s="15">
        <f t="shared" si="23"/>
        <v>22.035289406060361</v>
      </c>
      <c r="H57" s="75">
        <f>G57*(1-PARAM!$C$27)*$I$4+(MOD($B57,60)=PARAM!$B$56)*($B57&gt;(60-PARAM!$B$56))*HLOOKUP(($B57+PARAM!$B$56)/12,Loyalty,2)*$F$1*MAX(J56,0)</f>
        <v>18.443537232872522</v>
      </c>
      <c r="I57" s="75">
        <f>PARAM!$C$26+MAX($G$4-CHOOSE(PARAM!$B$44,MAX(0,J56*$F$1),0),0)*RATES!$L33/12+$H$4*(PARAM!$D$51/12)*RATES!$N33/100</f>
        <v>7.3333333333333339</v>
      </c>
      <c r="J57" s="16">
        <f t="shared" si="24"/>
        <v>-935.12245741246284</v>
      </c>
      <c r="K57" s="15">
        <f t="shared" si="25"/>
        <v>22.170849845882874</v>
      </c>
      <c r="L57" s="75">
        <f>K57*(1-PARAM!$C$27)*$I$5+(MOD($B57,60)=PARAM!$B$56)*($B57&gt;(60-PARAM!$B$56))*HLOOKUP(($B57+PARAM!$B$56)/12,Loyalty,2)*$F$1*MAX(N56,0)</f>
        <v>18.557001321003963</v>
      </c>
      <c r="M57" s="75">
        <f>PARAM!$C$26+MAX($G$5-CHOOSE(PARAM!$B$44,MAX(0,N56*$F$1),0),0)*RATES!$L33/12+$H$5*(PARAM!$D$51/12)*RATES!$N33/100</f>
        <v>7.3333333333333339</v>
      </c>
      <c r="N57" s="16">
        <f t="shared" si="26"/>
        <v>-932.90645090268379</v>
      </c>
      <c r="O57" s="15">
        <f t="shared" si="27"/>
        <v>22.170849845882874</v>
      </c>
      <c r="P57" s="75">
        <f>O57*(1-PARAM!$C$27)*$I$6+(MOD($B57,60)=PARAM!$B$56)*($B57&gt;(60-PARAM!$B$56))*HLOOKUP(($B57+PARAM!$B$56)/12,Loyalty,2)*$F$1*MAX(R56,0)</f>
        <v>18.557001321003963</v>
      </c>
      <c r="Q57" s="75">
        <f>PARAM!$C$26+MAX($G$6-CHOOSE(PARAM!$B$44,MAX(0,R56*$F$1),0),0)*RATES!$L33/12+$H$6*(PARAM!$D$51/12)*RATES!$N33/100</f>
        <v>7.3333333333333339</v>
      </c>
      <c r="R57" s="16">
        <f t="shared" si="28"/>
        <v>-932.90645090268379</v>
      </c>
      <c r="S57" s="15">
        <f t="shared" si="4"/>
        <v>22.170849845882874</v>
      </c>
      <c r="T57" s="75">
        <f>S57*(1-PARAM!$C$27)*$I$7+(MOD($B57,60)=PARAM!$B$56)*($B57&gt;(60-PARAM!$B$56))*HLOOKUP(($B57+PARAM!$B$56)/12,Loyalty,2)*$F$1*MAX(V56,0)</f>
        <v>18.557001321003963</v>
      </c>
      <c r="U57" s="75">
        <f>PARAM!$C$26+MAX($G$7-CHOOSE(PARAM!$B$44,MAX(0,V56*$F$1),0),0)*RATES!$L33/12+$H$7*(PARAM!$D$51/12)*RATES!$N33/100</f>
        <v>7.3333333333333339</v>
      </c>
      <c r="V57" s="16">
        <f t="shared" si="29"/>
        <v>-932.90645090268379</v>
      </c>
      <c r="W57" s="15">
        <f t="shared" si="5"/>
        <v>22.170849845882874</v>
      </c>
      <c r="X57" s="75">
        <f>W57*(1-PARAM!$C$27)*$I$8+(MOD($B57,60)=PARAM!$B$56)*($B57&gt;(60-PARAM!$B$56))*HLOOKUP(($B57+PARAM!$B$56)/12,Loyalty,2)*$F$1*MAX(Z56,0)</f>
        <v>18.557001321003963</v>
      </c>
      <c r="Y57" s="75">
        <f>PARAM!$C$26+MAX($G$8-CHOOSE(PARAM!$B$44,MAX(0,Z56*$F$1),0),0)*RATES!$L33/12+$H$8*(PARAM!$D$51/12)*RATES!$N33/100</f>
        <v>7.3333333333333339</v>
      </c>
      <c r="Z57" s="16">
        <f t="shared" si="30"/>
        <v>-932.90645090268379</v>
      </c>
      <c r="AA57" s="15">
        <f t="shared" si="6"/>
        <v>22.170849845882874</v>
      </c>
      <c r="AB57" s="75">
        <f>AA57*(1-PARAM!$C$27)*$I$9+(MOD($B57,60)=PARAM!$B$56)*($B57&gt;(60-PARAM!$B$56))*HLOOKUP(($B57+PARAM!$B$56)/12,Loyalty,2)*$F$1*MAX(AD56,0)</f>
        <v>18.557001321003963</v>
      </c>
      <c r="AC57" s="75">
        <f>PARAM!$C$26+MAX($G$9-CHOOSE(PARAM!$B$44,MAX(0,AD56*$F$1),0),0)*RATES!$L33/12+$H$9*(PARAM!$D$51/12)*RATES!$N33/100</f>
        <v>7.3333333333333339</v>
      </c>
      <c r="AD57" s="16">
        <f t="shared" si="31"/>
        <v>-932.90645090268379</v>
      </c>
      <c r="AE57" s="15">
        <f t="shared" si="7"/>
        <v>22.170849845882874</v>
      </c>
      <c r="AF57" s="75">
        <f>AE57*(1-PARAM!$C$27)*$I$10+(MOD($B57,60)=PARAM!$B$56)*($B57&gt;(60-PARAM!$B$56))*HLOOKUP(($B57+PARAM!$B$56)/12,Loyalty,2)*$F$1*MAX(AH56,0)</f>
        <v>18.557001321003963</v>
      </c>
      <c r="AG57" s="75">
        <f>PARAM!$C$26+MAX($G$10-CHOOSE(PARAM!$B$44,MAX(0,AH56*$F$1),0),0)*RATES!$L33/12+$H$10*(PARAM!$D$51/12)*RATES!$N33/100</f>
        <v>7.3333333333333339</v>
      </c>
      <c r="AH57" s="16">
        <f t="shared" si="32"/>
        <v>-932.90645090268379</v>
      </c>
      <c r="AI57" s="15">
        <f t="shared" si="8"/>
        <v>22.170849845882874</v>
      </c>
      <c r="AJ57" s="75">
        <f>AI57*(1-PARAM!$C$27)*$I$11+(MOD($B57,60)=PARAM!$B$56)*($B57&gt;(60-PARAM!$B$56))*HLOOKUP(($B57+PARAM!$B$56)/12,Loyalty,2)*$F$1*MAX(AL56,0)</f>
        <v>18.557001321003963</v>
      </c>
      <c r="AK57" s="75">
        <f>PARAM!$C$26+MAX($G$11-CHOOSE(PARAM!$B$44,MAX(0,AL56*$F$1),0),0)*RATES!$L33/12+$H$11*(PARAM!$D$51/12)*RATES!$N33/100</f>
        <v>7.3333333333333339</v>
      </c>
      <c r="AL57" s="16">
        <f t="shared" si="33"/>
        <v>-932.90645090268379</v>
      </c>
      <c r="AM57" s="15">
        <f t="shared" si="9"/>
        <v>22.170849845882874</v>
      </c>
      <c r="AN57" s="75">
        <f>AM57*(1-PARAM!$C$27)*$I$12+(MOD($B57,60)=PARAM!$B$56)*($B57&gt;(60-PARAM!$B$56))*HLOOKUP(($B57+PARAM!$B$56)/12,Loyalty,2)*$F$1*MAX(AP56,0)</f>
        <v>18.557001321003963</v>
      </c>
      <c r="AO57" s="75">
        <f>PARAM!$C$26+MAX($G$12-CHOOSE(PARAM!$B$44,MAX(0,AP56*$F$1),0),0)*RATES!$L33/12+$H$12*(PARAM!$D$51/12)*RATES!$N33/100</f>
        <v>7.3333333333333339</v>
      </c>
      <c r="AP57" s="16">
        <f t="shared" si="34"/>
        <v>-932.90645090268379</v>
      </c>
      <c r="AQ57" s="15">
        <f t="shared" si="10"/>
        <v>22.170849845882874</v>
      </c>
      <c r="AR57" s="75">
        <f>AQ57*(1-PARAM!$C$27)*$I$13+(MOD($B57,60)=PARAM!$B$56)*($B57&gt;(60-PARAM!$B$56))*HLOOKUP(($B57+PARAM!$B$56)/12,Loyalty,2)*$F$1*MAX(AT56,0)</f>
        <v>18.557001321003963</v>
      </c>
      <c r="AS57" s="75">
        <f>PARAM!$C$26+MAX($G$13-CHOOSE(PARAM!$B$44,MAX(0,AT56*$F$1),0),0)*RATES!$L33/12+$H$13*(PARAM!$D$51/12)*RATES!$N33/100</f>
        <v>7.3333333333333339</v>
      </c>
      <c r="AT57" s="16">
        <f t="shared" si="35"/>
        <v>-932.90645090268379</v>
      </c>
      <c r="AU57" s="15">
        <f t="shared" si="11"/>
        <v>22.170849845882874</v>
      </c>
      <c r="AV57" s="75">
        <f>AU57*(1-PARAM!$C$27)*$I$14+(MOD($B57,60)=PARAM!$B$56)*($B57&gt;(60-PARAM!$B$56))*HLOOKUP(($B57+PARAM!$B$56)/12,Loyalty,2)*$F$1*MAX(AX56,0)</f>
        <v>18.557001321003963</v>
      </c>
      <c r="AW57" s="75">
        <f>PARAM!$C$26+MAX($G$14-CHOOSE(PARAM!$B$44,MAX(0,AX56*$F$1),0),0)*RATES!$L33/12+$H$14*(PARAM!$D$51/12)*RATES!$N33/100</f>
        <v>7.3333333333333339</v>
      </c>
      <c r="AX57" s="16">
        <f t="shared" si="36"/>
        <v>-932.90645090268379</v>
      </c>
      <c r="AY57" s="15">
        <f t="shared" si="12"/>
        <v>22.170849845882874</v>
      </c>
      <c r="AZ57" s="75">
        <f>AY57*(1-PARAM!$C$27)*$I$15+(MOD($B57,60)=PARAM!$B$56)*($B57&gt;(60-PARAM!$B$56))*HLOOKUP(($B57+PARAM!$B$56)/12,Loyalty,2)*$F$1*MAX(BB56,0)</f>
        <v>18.557001321003963</v>
      </c>
      <c r="BA57" s="75">
        <f>PARAM!$C$26+MAX($G$15-CHOOSE(PARAM!$B$44,MAX(0,BB56*$F$1),0),0)*RATES!$L33/12+$H$15*(PARAM!$D$51/12)*RATES!$N33/100</f>
        <v>7.3333333333333339</v>
      </c>
      <c r="BB57" s="16">
        <f t="shared" si="37"/>
        <v>-932.90645090268379</v>
      </c>
      <c r="BC57" s="15">
        <f t="shared" si="13"/>
        <v>22.170849845882874</v>
      </c>
      <c r="BD57" s="75">
        <f>BC57*(1-PARAM!$C$27)*$I$16+(MOD($B57,60)=PARAM!$B$56)*($B57&gt;(60-PARAM!$B$56))*HLOOKUP(($B57+PARAM!$B$56)/12,Loyalty,2)*$F$1*MAX(BF56,0)</f>
        <v>18.557001321003963</v>
      </c>
      <c r="BE57" s="75">
        <f>PARAM!$C$26+MAX($G$16-CHOOSE(PARAM!$B$44,MAX(0,BF56*$F$1),0),0)*RATES!$L33/12+$H$16*(PARAM!$D$51/12)*RATES!$N33/100</f>
        <v>7.3333333333333339</v>
      </c>
      <c r="BF57" s="16">
        <f t="shared" si="38"/>
        <v>-932.90645090268379</v>
      </c>
      <c r="BG57" s="15">
        <f t="shared" si="14"/>
        <v>22.170849845882874</v>
      </c>
      <c r="BH57" s="75">
        <f>BG57*(1-PARAM!$C$27)*$I$17+(MOD($B57,60)=PARAM!$B$56)*($B57&gt;(60-PARAM!$B$56))*HLOOKUP(($B57+PARAM!$B$56)/12,Loyalty,2)*$F$1*MAX(BJ56,0)</f>
        <v>18.557001321003963</v>
      </c>
      <c r="BI57" s="75">
        <f>PARAM!$C$26+MAX($G$17-CHOOSE(PARAM!$B$44,MAX(0,BJ56*$F$1),0),0)*RATES!$L33/12+$H$17*(PARAM!$D$51/12)*RATES!$N33/100</f>
        <v>7.3333333333333339</v>
      </c>
      <c r="BJ57" s="16">
        <f t="shared" si="39"/>
        <v>-932.90645090268379</v>
      </c>
      <c r="BK57" s="15">
        <f t="shared" si="15"/>
        <v>22.170849845882874</v>
      </c>
      <c r="BL57" s="75">
        <f>BK57*(1-PARAM!$C$27)*$I$18+(MOD($B57,60)=PARAM!$B$56)*($B57&gt;(60-PARAM!$B$56))*HLOOKUP(($B57+PARAM!$B$56)/12,Loyalty,2)*$F$1*MAX(BN56,0)</f>
        <v>18.557001321003963</v>
      </c>
      <c r="BM57" s="75">
        <f>PARAM!$C$26+MAX($G$18-CHOOSE(PARAM!$B$44,MAX(0,BN56*$F$1),0),0)*RATES!$L33/12+$H$18*(PARAM!$D$51/12)*RATES!$N33/100</f>
        <v>7.3333333333333339</v>
      </c>
      <c r="BN57" s="16">
        <f t="shared" si="40"/>
        <v>-932.90645090268379</v>
      </c>
      <c r="BO57" s="15">
        <f t="shared" si="16"/>
        <v>22.170849845882874</v>
      </c>
      <c r="BP57" s="75">
        <f>BO57*(1-PARAM!$C$27)*$I$19+(MOD($B57,60)=PARAM!$B$56)*($B57&gt;(60-PARAM!$B$56))*HLOOKUP(($B57+PARAM!$B$56)/12,Loyalty,2)*$F$1*MAX(BR56,0)</f>
        <v>18.557001321003963</v>
      </c>
      <c r="BQ57" s="75">
        <f>PARAM!$C$26+MAX($G$19-CHOOSE(PARAM!$B$44,MAX(0,BR56*$F$1),0),0)*RATES!$L33/12+$H$19*(PARAM!$D$51/12)*RATES!$N33/100</f>
        <v>7.3333333333333339</v>
      </c>
      <c r="BR57" s="16">
        <f t="shared" si="41"/>
        <v>-932.90645090268379</v>
      </c>
      <c r="BS57" s="15">
        <f t="shared" si="17"/>
        <v>22.170849845882874</v>
      </c>
      <c r="BT57" s="75">
        <f>BS57*(1-PARAM!$C$27)*$I$20+(MOD($B57,60)=PARAM!$B$56)*($B57&gt;(60-PARAM!$B$56))*HLOOKUP(($B57+PARAM!$B$56)/12,Loyalty,2)*$F$1*MAX(BV56,0)</f>
        <v>18.557001321003963</v>
      </c>
      <c r="BU57" s="75">
        <f>PARAM!$C$26+MAX($G$20-CHOOSE(PARAM!$B$44,MAX(0,BV56*$F$1),0),0)*RATES!$L33/12+$H$20*(PARAM!$D$51/12)*RATES!$N33/100</f>
        <v>7.3333333333333339</v>
      </c>
      <c r="BV57" s="16">
        <f t="shared" si="42"/>
        <v>-932.90645090268379</v>
      </c>
      <c r="BW57" s="15">
        <f t="shared" si="18"/>
        <v>22.170849845882874</v>
      </c>
      <c r="BX57" s="75">
        <f>BW57*(1-PARAM!$C$27)*$I$21+(MOD($B57,60)=PARAM!$B$56)*($B57&gt;(60-PARAM!$B$56))*HLOOKUP(($B57+PARAM!$B$56)/12,Loyalty,2)*$F$1*MAX(BZ56,0)</f>
        <v>18.557001321003963</v>
      </c>
      <c r="BY57" s="75">
        <f>PARAM!$C$26+MAX($G$21-CHOOSE(PARAM!$B$44,MAX(0,BZ56*$F$1),0),0)*RATES!$L33/12+$H$21*(PARAM!$D$51/12)*RATES!$N33/100</f>
        <v>7.3333333333333339</v>
      </c>
      <c r="BZ57" s="16">
        <f t="shared" si="43"/>
        <v>-932.90645090268379</v>
      </c>
      <c r="CA57" s="15">
        <f t="shared" si="19"/>
        <v>22.170849845882874</v>
      </c>
      <c r="CB57" s="75">
        <f>CA57*(1-PARAM!$C$27)*$I$22+(MOD($B57,60)=PARAM!$B$56)*($B57&gt;(60-PARAM!$B$56))*HLOOKUP(($B57+PARAM!$B$56)/12,Loyalty,2)*$F$1*MAX(CD56,0)</f>
        <v>18.557001321003963</v>
      </c>
      <c r="CC57" s="75">
        <f>PARAM!$C$26+MAX($G$22-CHOOSE(PARAM!$B$44,MAX(0,CD56*$F$1),0),0)*RATES!$L33/12+$H$22*(PARAM!$D$51/12)*RATES!$N33/100</f>
        <v>7.3333333333333339</v>
      </c>
      <c r="CD57" s="16">
        <f t="shared" si="44"/>
        <v>-932.90645090268379</v>
      </c>
      <c r="CE57" s="33">
        <f>IF(0=MOD(B57,12/PARAM!$D$51),1,0)</f>
        <v>1</v>
      </c>
      <c r="CF57" s="15">
        <f t="shared" si="20"/>
        <v>0</v>
      </c>
      <c r="CG57" s="75">
        <f>CF57*(1-PARAM!$C$27)*$R$3+(MOD($B57/12,5)=0)*($B57&gt;60)*HLOOKUP($B57/12,Loyalty,2)*$F$1*MAX(CI56,0)</f>
        <v>0</v>
      </c>
      <c r="CH57" s="75">
        <f>PARAM!$C$26+MAX($P$3-CHOOSE(PARAM!$B$44,MAX(0,CI56*$F$1),0),0)*RATES!$L33/12+$Q$3*(PARAM!$D$51/12)*RATES!$N33/100</f>
        <v>7.3333333333333339</v>
      </c>
      <c r="CI57" s="16">
        <f>IF(CI56&gt;0,CI56*PARAM!$C$53,CI56)+CG57-CH57</f>
        <v>-1295.3333333333333</v>
      </c>
      <c r="CJ57" s="15">
        <f t="shared" si="45"/>
        <v>0</v>
      </c>
      <c r="CK57" s="75">
        <f>CJ57*(1-PARAM!$C$27)*$R$4+(MOD($B57/12,5)=0)*($B57&gt;60)*HLOOKUP($B57/12,Loyalty,2)*$F$1*MAX(CM56,0)</f>
        <v>0</v>
      </c>
      <c r="CL57" s="75">
        <f>PARAM!$C$26+MAX($P$4-CHOOSE(PARAM!$B$44,MAX(0,CM56*$F$1),0),0)*RATES!$L33/12+$Q$4*(PARAM!$D$51/12)*RATES!$N33/100</f>
        <v>7.3333333333333339</v>
      </c>
      <c r="CM57" s="16">
        <f>IF(CM56&gt;0,CM56*PARAM!$C$53,CM56)+CK57-CL57</f>
        <v>-1295.3333333333333</v>
      </c>
      <c r="CO57" s="176"/>
    </row>
    <row r="58" spans="1:93" x14ac:dyDescent="0.2">
      <c r="A58" t="b">
        <f t="shared" si="21"/>
        <v>0</v>
      </c>
      <c r="B58" s="33">
        <v>31</v>
      </c>
      <c r="C58" s="15">
        <f t="shared" si="46"/>
        <v>20.081305947392778</v>
      </c>
      <c r="D58" s="75">
        <f>C58*(1-PARAM!$C$27)*$I$3+(MOD($B58,60)=PARAM!$B$56)*($B58&gt;(60-PARAM!$B$56))*HLOOKUP(($B58+PARAM!$B$56)/12,Loyalty,2)*$F$1*MAX(F57,0)</f>
        <v>16.808053077967756</v>
      </c>
      <c r="E58" s="75">
        <f>PARAM!$C$26+MAX($G$3-CHOOSE(PARAM!$B$44,MAX(0,F57*$F$1),0),0)*RATES!$L34/12+$H$3*(PARAM!$D$51/12)*RATES!$N34/100</f>
        <v>7.3333333333333339</v>
      </c>
      <c r="F58" s="16">
        <f t="shared" si="22"/>
        <v>-957.5895052666682</v>
      </c>
      <c r="G58" s="15">
        <f t="shared" si="23"/>
        <v>22.035289406060361</v>
      </c>
      <c r="H58" s="75">
        <f>G58*(1-PARAM!$C$27)*$I$4+(MOD($B58,60)=PARAM!$B$56)*($B58&gt;(60-PARAM!$B$56))*HLOOKUP(($B58+PARAM!$B$56)/12,Loyalty,2)*$F$1*MAX(J57,0)</f>
        <v>18.443537232872522</v>
      </c>
      <c r="I58" s="75">
        <f>PARAM!$C$26+MAX($G$4-CHOOSE(PARAM!$B$44,MAX(0,J57*$F$1),0),0)*RATES!$L34/12+$H$4*(PARAM!$D$51/12)*RATES!$N34/100</f>
        <v>7.3333333333333339</v>
      </c>
      <c r="J58" s="16">
        <f t="shared" si="24"/>
        <v>-924.01225351292373</v>
      </c>
      <c r="K58" s="15">
        <f t="shared" si="25"/>
        <v>22.170849845882874</v>
      </c>
      <c r="L58" s="75">
        <f>K58*(1-PARAM!$C$27)*$I$5+(MOD($B58,60)=PARAM!$B$56)*($B58&gt;(60-PARAM!$B$56))*HLOOKUP(($B58+PARAM!$B$56)/12,Loyalty,2)*$F$1*MAX(N57,0)</f>
        <v>18.557001321003963</v>
      </c>
      <c r="M58" s="75">
        <f>PARAM!$C$26+MAX($G$5-CHOOSE(PARAM!$B$44,MAX(0,N57*$F$1),0),0)*RATES!$L34/12+$H$5*(PARAM!$D$51/12)*RATES!$N34/100</f>
        <v>7.3333333333333339</v>
      </c>
      <c r="N58" s="16">
        <f t="shared" si="26"/>
        <v>-921.68278291501315</v>
      </c>
      <c r="O58" s="15">
        <f t="shared" si="27"/>
        <v>22.170849845882874</v>
      </c>
      <c r="P58" s="75">
        <f>O58*(1-PARAM!$C$27)*$I$6+(MOD($B58,60)=PARAM!$B$56)*($B58&gt;(60-PARAM!$B$56))*HLOOKUP(($B58+PARAM!$B$56)/12,Loyalty,2)*$F$1*MAX(R57,0)</f>
        <v>18.557001321003963</v>
      </c>
      <c r="Q58" s="75">
        <f>PARAM!$C$26+MAX($G$6-CHOOSE(PARAM!$B$44,MAX(0,R57*$F$1),0),0)*RATES!$L34/12+$H$6*(PARAM!$D$51/12)*RATES!$N34/100</f>
        <v>7.3333333333333339</v>
      </c>
      <c r="R58" s="16">
        <f t="shared" si="28"/>
        <v>-921.68278291501315</v>
      </c>
      <c r="S58" s="15">
        <f t="shared" si="4"/>
        <v>22.170849845882874</v>
      </c>
      <c r="T58" s="75">
        <f>S58*(1-PARAM!$C$27)*$I$7+(MOD($B58,60)=PARAM!$B$56)*($B58&gt;(60-PARAM!$B$56))*HLOOKUP(($B58+PARAM!$B$56)/12,Loyalty,2)*$F$1*MAX(V57,0)</f>
        <v>18.557001321003963</v>
      </c>
      <c r="U58" s="75">
        <f>PARAM!$C$26+MAX($G$7-CHOOSE(PARAM!$B$44,MAX(0,V57*$F$1),0),0)*RATES!$L34/12+$H$7*(PARAM!$D$51/12)*RATES!$N34/100</f>
        <v>7.3333333333333339</v>
      </c>
      <c r="V58" s="16">
        <f t="shared" si="29"/>
        <v>-921.68278291501315</v>
      </c>
      <c r="W58" s="15">
        <f t="shared" si="5"/>
        <v>22.170849845882874</v>
      </c>
      <c r="X58" s="75">
        <f>W58*(1-PARAM!$C$27)*$I$8+(MOD($B58,60)=PARAM!$B$56)*($B58&gt;(60-PARAM!$B$56))*HLOOKUP(($B58+PARAM!$B$56)/12,Loyalty,2)*$F$1*MAX(Z57,0)</f>
        <v>18.557001321003963</v>
      </c>
      <c r="Y58" s="75">
        <f>PARAM!$C$26+MAX($G$8-CHOOSE(PARAM!$B$44,MAX(0,Z57*$F$1),0),0)*RATES!$L34/12+$H$8*(PARAM!$D$51/12)*RATES!$N34/100</f>
        <v>7.3333333333333339</v>
      </c>
      <c r="Z58" s="16">
        <f t="shared" si="30"/>
        <v>-921.68278291501315</v>
      </c>
      <c r="AA58" s="15">
        <f t="shared" si="6"/>
        <v>22.170849845882874</v>
      </c>
      <c r="AB58" s="75">
        <f>AA58*(1-PARAM!$C$27)*$I$9+(MOD($B58,60)=PARAM!$B$56)*($B58&gt;(60-PARAM!$B$56))*HLOOKUP(($B58+PARAM!$B$56)/12,Loyalty,2)*$F$1*MAX(AD57,0)</f>
        <v>18.557001321003963</v>
      </c>
      <c r="AC58" s="75">
        <f>PARAM!$C$26+MAX($G$9-CHOOSE(PARAM!$B$44,MAX(0,AD57*$F$1),0),0)*RATES!$L34/12+$H$9*(PARAM!$D$51/12)*RATES!$N34/100</f>
        <v>7.3333333333333339</v>
      </c>
      <c r="AD58" s="16">
        <f t="shared" si="31"/>
        <v>-921.68278291501315</v>
      </c>
      <c r="AE58" s="15">
        <f t="shared" si="7"/>
        <v>22.170849845882874</v>
      </c>
      <c r="AF58" s="75">
        <f>AE58*(1-PARAM!$C$27)*$I$10+(MOD($B58,60)=PARAM!$B$56)*($B58&gt;(60-PARAM!$B$56))*HLOOKUP(($B58+PARAM!$B$56)/12,Loyalty,2)*$F$1*MAX(AH57,0)</f>
        <v>18.557001321003963</v>
      </c>
      <c r="AG58" s="75">
        <f>PARAM!$C$26+MAX($G$10-CHOOSE(PARAM!$B$44,MAX(0,AH57*$F$1),0),0)*RATES!$L34/12+$H$10*(PARAM!$D$51/12)*RATES!$N34/100</f>
        <v>7.3333333333333339</v>
      </c>
      <c r="AH58" s="16">
        <f t="shared" si="32"/>
        <v>-921.68278291501315</v>
      </c>
      <c r="AI58" s="15">
        <f t="shared" si="8"/>
        <v>22.170849845882874</v>
      </c>
      <c r="AJ58" s="75">
        <f>AI58*(1-PARAM!$C$27)*$I$11+(MOD($B58,60)=PARAM!$B$56)*($B58&gt;(60-PARAM!$B$56))*HLOOKUP(($B58+PARAM!$B$56)/12,Loyalty,2)*$F$1*MAX(AL57,0)</f>
        <v>18.557001321003963</v>
      </c>
      <c r="AK58" s="75">
        <f>PARAM!$C$26+MAX($G$11-CHOOSE(PARAM!$B$44,MAX(0,AL57*$F$1),0),0)*RATES!$L34/12+$H$11*(PARAM!$D$51/12)*RATES!$N34/100</f>
        <v>7.3333333333333339</v>
      </c>
      <c r="AL58" s="16">
        <f t="shared" si="33"/>
        <v>-921.68278291501315</v>
      </c>
      <c r="AM58" s="15">
        <f t="shared" si="9"/>
        <v>22.170849845882874</v>
      </c>
      <c r="AN58" s="75">
        <f>AM58*(1-PARAM!$C$27)*$I$12+(MOD($B58,60)=PARAM!$B$56)*($B58&gt;(60-PARAM!$B$56))*HLOOKUP(($B58+PARAM!$B$56)/12,Loyalty,2)*$F$1*MAX(AP57,0)</f>
        <v>18.557001321003963</v>
      </c>
      <c r="AO58" s="75">
        <f>PARAM!$C$26+MAX($G$12-CHOOSE(PARAM!$B$44,MAX(0,AP57*$F$1),0),0)*RATES!$L34/12+$H$12*(PARAM!$D$51/12)*RATES!$N34/100</f>
        <v>7.3333333333333339</v>
      </c>
      <c r="AP58" s="16">
        <f t="shared" si="34"/>
        <v>-921.68278291501315</v>
      </c>
      <c r="AQ58" s="15">
        <f t="shared" si="10"/>
        <v>22.170849845882874</v>
      </c>
      <c r="AR58" s="75">
        <f>AQ58*(1-PARAM!$C$27)*$I$13+(MOD($B58,60)=PARAM!$B$56)*($B58&gt;(60-PARAM!$B$56))*HLOOKUP(($B58+PARAM!$B$56)/12,Loyalty,2)*$F$1*MAX(AT57,0)</f>
        <v>18.557001321003963</v>
      </c>
      <c r="AS58" s="75">
        <f>PARAM!$C$26+MAX($G$13-CHOOSE(PARAM!$B$44,MAX(0,AT57*$F$1),0),0)*RATES!$L34/12+$H$13*(PARAM!$D$51/12)*RATES!$N34/100</f>
        <v>7.3333333333333339</v>
      </c>
      <c r="AT58" s="16">
        <f t="shared" si="35"/>
        <v>-921.68278291501315</v>
      </c>
      <c r="AU58" s="15">
        <f t="shared" si="11"/>
        <v>22.170849845882874</v>
      </c>
      <c r="AV58" s="75">
        <f>AU58*(1-PARAM!$C$27)*$I$14+(MOD($B58,60)=PARAM!$B$56)*($B58&gt;(60-PARAM!$B$56))*HLOOKUP(($B58+PARAM!$B$56)/12,Loyalty,2)*$F$1*MAX(AX57,0)</f>
        <v>18.557001321003963</v>
      </c>
      <c r="AW58" s="75">
        <f>PARAM!$C$26+MAX($G$14-CHOOSE(PARAM!$B$44,MAX(0,AX57*$F$1),0),0)*RATES!$L34/12+$H$14*(PARAM!$D$51/12)*RATES!$N34/100</f>
        <v>7.3333333333333339</v>
      </c>
      <c r="AX58" s="16">
        <f t="shared" si="36"/>
        <v>-921.68278291501315</v>
      </c>
      <c r="AY58" s="15">
        <f t="shared" si="12"/>
        <v>22.170849845882874</v>
      </c>
      <c r="AZ58" s="75">
        <f>AY58*(1-PARAM!$C$27)*$I$15+(MOD($B58,60)=PARAM!$B$56)*($B58&gt;(60-PARAM!$B$56))*HLOOKUP(($B58+PARAM!$B$56)/12,Loyalty,2)*$F$1*MAX(BB57,0)</f>
        <v>18.557001321003963</v>
      </c>
      <c r="BA58" s="75">
        <f>PARAM!$C$26+MAX($G$15-CHOOSE(PARAM!$B$44,MAX(0,BB57*$F$1),0),0)*RATES!$L34/12+$H$15*(PARAM!$D$51/12)*RATES!$N34/100</f>
        <v>7.3333333333333339</v>
      </c>
      <c r="BB58" s="16">
        <f t="shared" si="37"/>
        <v>-921.68278291501315</v>
      </c>
      <c r="BC58" s="15">
        <f t="shared" si="13"/>
        <v>22.170849845882874</v>
      </c>
      <c r="BD58" s="75">
        <f>BC58*(1-PARAM!$C$27)*$I$16+(MOD($B58,60)=PARAM!$B$56)*($B58&gt;(60-PARAM!$B$56))*HLOOKUP(($B58+PARAM!$B$56)/12,Loyalty,2)*$F$1*MAX(BF57,0)</f>
        <v>18.557001321003963</v>
      </c>
      <c r="BE58" s="75">
        <f>PARAM!$C$26+MAX($G$16-CHOOSE(PARAM!$B$44,MAX(0,BF57*$F$1),0),0)*RATES!$L34/12+$H$16*(PARAM!$D$51/12)*RATES!$N34/100</f>
        <v>7.3333333333333339</v>
      </c>
      <c r="BF58" s="16">
        <f t="shared" si="38"/>
        <v>-921.68278291501315</v>
      </c>
      <c r="BG58" s="15">
        <f t="shared" si="14"/>
        <v>22.170849845882874</v>
      </c>
      <c r="BH58" s="75">
        <f>BG58*(1-PARAM!$C$27)*$I$17+(MOD($B58,60)=PARAM!$B$56)*($B58&gt;(60-PARAM!$B$56))*HLOOKUP(($B58+PARAM!$B$56)/12,Loyalty,2)*$F$1*MAX(BJ57,0)</f>
        <v>18.557001321003963</v>
      </c>
      <c r="BI58" s="75">
        <f>PARAM!$C$26+MAX($G$17-CHOOSE(PARAM!$B$44,MAX(0,BJ57*$F$1),0),0)*RATES!$L34/12+$H$17*(PARAM!$D$51/12)*RATES!$N34/100</f>
        <v>7.3333333333333339</v>
      </c>
      <c r="BJ58" s="16">
        <f t="shared" si="39"/>
        <v>-921.68278291501315</v>
      </c>
      <c r="BK58" s="15">
        <f t="shared" si="15"/>
        <v>22.170849845882874</v>
      </c>
      <c r="BL58" s="75">
        <f>BK58*(1-PARAM!$C$27)*$I$18+(MOD($B58,60)=PARAM!$B$56)*($B58&gt;(60-PARAM!$B$56))*HLOOKUP(($B58+PARAM!$B$56)/12,Loyalty,2)*$F$1*MAX(BN57,0)</f>
        <v>18.557001321003963</v>
      </c>
      <c r="BM58" s="75">
        <f>PARAM!$C$26+MAX($G$18-CHOOSE(PARAM!$B$44,MAX(0,BN57*$F$1),0),0)*RATES!$L34/12+$H$18*(PARAM!$D$51/12)*RATES!$N34/100</f>
        <v>7.3333333333333339</v>
      </c>
      <c r="BN58" s="16">
        <f t="shared" si="40"/>
        <v>-921.68278291501315</v>
      </c>
      <c r="BO58" s="15">
        <f t="shared" si="16"/>
        <v>22.170849845882874</v>
      </c>
      <c r="BP58" s="75">
        <f>BO58*(1-PARAM!$C$27)*$I$19+(MOD($B58,60)=PARAM!$B$56)*($B58&gt;(60-PARAM!$B$56))*HLOOKUP(($B58+PARAM!$B$56)/12,Loyalty,2)*$F$1*MAX(BR57,0)</f>
        <v>18.557001321003963</v>
      </c>
      <c r="BQ58" s="75">
        <f>PARAM!$C$26+MAX($G$19-CHOOSE(PARAM!$B$44,MAX(0,BR57*$F$1),0),0)*RATES!$L34/12+$H$19*(PARAM!$D$51/12)*RATES!$N34/100</f>
        <v>7.3333333333333339</v>
      </c>
      <c r="BR58" s="16">
        <f t="shared" si="41"/>
        <v>-921.68278291501315</v>
      </c>
      <c r="BS58" s="15">
        <f t="shared" si="17"/>
        <v>22.170849845882874</v>
      </c>
      <c r="BT58" s="75">
        <f>BS58*(1-PARAM!$C$27)*$I$20+(MOD($B58,60)=PARAM!$B$56)*($B58&gt;(60-PARAM!$B$56))*HLOOKUP(($B58+PARAM!$B$56)/12,Loyalty,2)*$F$1*MAX(BV57,0)</f>
        <v>18.557001321003963</v>
      </c>
      <c r="BU58" s="75">
        <f>PARAM!$C$26+MAX($G$20-CHOOSE(PARAM!$B$44,MAX(0,BV57*$F$1),0),0)*RATES!$L34/12+$H$20*(PARAM!$D$51/12)*RATES!$N34/100</f>
        <v>7.3333333333333339</v>
      </c>
      <c r="BV58" s="16">
        <f t="shared" si="42"/>
        <v>-921.68278291501315</v>
      </c>
      <c r="BW58" s="15">
        <f t="shared" si="18"/>
        <v>22.170849845882874</v>
      </c>
      <c r="BX58" s="75">
        <f>BW58*(1-PARAM!$C$27)*$I$21+(MOD($B58,60)=PARAM!$B$56)*($B58&gt;(60-PARAM!$B$56))*HLOOKUP(($B58+PARAM!$B$56)/12,Loyalty,2)*$F$1*MAX(BZ57,0)</f>
        <v>18.557001321003963</v>
      </c>
      <c r="BY58" s="75">
        <f>PARAM!$C$26+MAX($G$21-CHOOSE(PARAM!$B$44,MAX(0,BZ57*$F$1),0),0)*RATES!$L34/12+$H$21*(PARAM!$D$51/12)*RATES!$N34/100</f>
        <v>7.3333333333333339</v>
      </c>
      <c r="BZ58" s="16">
        <f t="shared" si="43"/>
        <v>-921.68278291501315</v>
      </c>
      <c r="CA58" s="15">
        <f t="shared" si="19"/>
        <v>22.170849845882874</v>
      </c>
      <c r="CB58" s="75">
        <f>CA58*(1-PARAM!$C$27)*$I$22+(MOD($B58,60)=PARAM!$B$56)*($B58&gt;(60-PARAM!$B$56))*HLOOKUP(($B58+PARAM!$B$56)/12,Loyalty,2)*$F$1*MAX(CD57,0)</f>
        <v>18.557001321003963</v>
      </c>
      <c r="CC58" s="75">
        <f>PARAM!$C$26+MAX($G$22-CHOOSE(PARAM!$B$44,MAX(0,CD57*$F$1),0),0)*RATES!$L34/12+$H$22*(PARAM!$D$51/12)*RATES!$N34/100</f>
        <v>7.3333333333333339</v>
      </c>
      <c r="CD58" s="16">
        <f t="shared" si="44"/>
        <v>-921.68278291501315</v>
      </c>
      <c r="CE58" s="33">
        <f>IF(0=MOD(B58,12/PARAM!$D$51),1,0)</f>
        <v>1</v>
      </c>
      <c r="CF58" s="15">
        <f t="shared" si="20"/>
        <v>0</v>
      </c>
      <c r="CG58" s="75">
        <f>CF58*(1-PARAM!$C$27)*$R$3+(MOD($B58/12,5)=0)*($B58&gt;60)*HLOOKUP($B58/12,Loyalty,2)*$F$1*MAX(CI57,0)</f>
        <v>0</v>
      </c>
      <c r="CH58" s="75">
        <f>PARAM!$C$26+MAX($P$3-CHOOSE(PARAM!$B$44,MAX(0,CI57*$F$1),0),0)*RATES!$L34/12+$Q$3*(PARAM!$D$51/12)*RATES!$N34/100</f>
        <v>7.3333333333333339</v>
      </c>
      <c r="CI58" s="16">
        <f>IF(CI57&gt;0,CI57*PARAM!$C$53,CI57)+CG58-CH58</f>
        <v>-1302.6666666666665</v>
      </c>
      <c r="CJ58" s="15">
        <f t="shared" si="45"/>
        <v>0</v>
      </c>
      <c r="CK58" s="75">
        <f>CJ58*(1-PARAM!$C$27)*$R$4+(MOD($B58/12,5)=0)*($B58&gt;60)*HLOOKUP($B58/12,Loyalty,2)*$F$1*MAX(CM57,0)</f>
        <v>0</v>
      </c>
      <c r="CL58" s="75">
        <f>PARAM!$C$26+MAX($P$4-CHOOSE(PARAM!$B$44,MAX(0,CM57*$F$1),0),0)*RATES!$L34/12+$Q$4*(PARAM!$D$51/12)*RATES!$N34/100</f>
        <v>7.3333333333333339</v>
      </c>
      <c r="CM58" s="16">
        <f>IF(CM57&gt;0,CM57*PARAM!$C$53,CM57)+CK58-CL58</f>
        <v>-1302.6666666666665</v>
      </c>
      <c r="CO58" s="176"/>
    </row>
    <row r="59" spans="1:93" x14ac:dyDescent="0.2">
      <c r="A59" t="b">
        <f t="shared" si="21"/>
        <v>0</v>
      </c>
      <c r="B59" s="33">
        <v>32</v>
      </c>
      <c r="C59" s="15">
        <f t="shared" si="46"/>
        <v>20.081305947392778</v>
      </c>
      <c r="D59" s="75">
        <f>C59*(1-PARAM!$C$27)*$I$3+(MOD($B59,60)=PARAM!$B$56)*($B59&gt;(60-PARAM!$B$56))*HLOOKUP(($B59+PARAM!$B$56)/12,Loyalty,2)*$F$1*MAX(F58,0)</f>
        <v>16.808053077967756</v>
      </c>
      <c r="E59" s="75">
        <f>PARAM!$C$26+MAX($G$3-CHOOSE(PARAM!$B$44,MAX(0,F58*$F$1),0),0)*RATES!$L35/12+$H$3*(PARAM!$D$51/12)*RATES!$N35/100</f>
        <v>7.3333333333333339</v>
      </c>
      <c r="F59" s="16">
        <f t="shared" si="22"/>
        <v>-948.1147855220338</v>
      </c>
      <c r="G59" s="15">
        <f t="shared" si="23"/>
        <v>22.035289406060361</v>
      </c>
      <c r="H59" s="75">
        <f>G59*(1-PARAM!$C$27)*$I$4+(MOD($B59,60)=PARAM!$B$56)*($B59&gt;(60-PARAM!$B$56))*HLOOKUP(($B59+PARAM!$B$56)/12,Loyalty,2)*$F$1*MAX(J58,0)</f>
        <v>18.443537232872522</v>
      </c>
      <c r="I59" s="75">
        <f>PARAM!$C$26+MAX($G$4-CHOOSE(PARAM!$B$44,MAX(0,J58*$F$1),0),0)*RATES!$L35/12+$H$4*(PARAM!$D$51/12)*RATES!$N35/100</f>
        <v>7.3333333333333339</v>
      </c>
      <c r="J59" s="16">
        <f t="shared" si="24"/>
        <v>-912.90204961338463</v>
      </c>
      <c r="K59" s="15">
        <f t="shared" si="25"/>
        <v>22.170849845882874</v>
      </c>
      <c r="L59" s="75">
        <f>K59*(1-PARAM!$C$27)*$I$5+(MOD($B59,60)=PARAM!$B$56)*($B59&gt;(60-PARAM!$B$56))*HLOOKUP(($B59+PARAM!$B$56)/12,Loyalty,2)*$F$1*MAX(N58,0)</f>
        <v>18.557001321003963</v>
      </c>
      <c r="M59" s="75">
        <f>PARAM!$C$26+MAX($G$5-CHOOSE(PARAM!$B$44,MAX(0,N58*$F$1),0),0)*RATES!$L35/12+$H$5*(PARAM!$D$51/12)*RATES!$N35/100</f>
        <v>7.3333333333333339</v>
      </c>
      <c r="N59" s="16">
        <f t="shared" si="26"/>
        <v>-910.45911492734251</v>
      </c>
      <c r="O59" s="15">
        <f t="shared" si="27"/>
        <v>22.170849845882874</v>
      </c>
      <c r="P59" s="75">
        <f>O59*(1-PARAM!$C$27)*$I$6+(MOD($B59,60)=PARAM!$B$56)*($B59&gt;(60-PARAM!$B$56))*HLOOKUP(($B59+PARAM!$B$56)/12,Loyalty,2)*$F$1*MAX(R58,0)</f>
        <v>18.557001321003963</v>
      </c>
      <c r="Q59" s="75">
        <f>PARAM!$C$26+MAX($G$6-CHOOSE(PARAM!$B$44,MAX(0,R58*$F$1),0),0)*RATES!$L35/12+$H$6*(PARAM!$D$51/12)*RATES!$N35/100</f>
        <v>7.3333333333333339</v>
      </c>
      <c r="R59" s="16">
        <f t="shared" si="28"/>
        <v>-910.45911492734251</v>
      </c>
      <c r="S59" s="15">
        <f t="shared" si="4"/>
        <v>22.170849845882874</v>
      </c>
      <c r="T59" s="75">
        <f>S59*(1-PARAM!$C$27)*$I$7+(MOD($B59,60)=PARAM!$B$56)*($B59&gt;(60-PARAM!$B$56))*HLOOKUP(($B59+PARAM!$B$56)/12,Loyalty,2)*$F$1*MAX(V58,0)</f>
        <v>18.557001321003963</v>
      </c>
      <c r="U59" s="75">
        <f>PARAM!$C$26+MAX($G$7-CHOOSE(PARAM!$B$44,MAX(0,V58*$F$1),0),0)*RATES!$L35/12+$H$7*(PARAM!$D$51/12)*RATES!$N35/100</f>
        <v>7.3333333333333339</v>
      </c>
      <c r="V59" s="16">
        <f t="shared" si="29"/>
        <v>-910.45911492734251</v>
      </c>
      <c r="W59" s="15">
        <f t="shared" si="5"/>
        <v>22.170849845882874</v>
      </c>
      <c r="X59" s="75">
        <f>W59*(1-PARAM!$C$27)*$I$8+(MOD($B59,60)=PARAM!$B$56)*($B59&gt;(60-PARAM!$B$56))*HLOOKUP(($B59+PARAM!$B$56)/12,Loyalty,2)*$F$1*MAX(Z58,0)</f>
        <v>18.557001321003963</v>
      </c>
      <c r="Y59" s="75">
        <f>PARAM!$C$26+MAX($G$8-CHOOSE(PARAM!$B$44,MAX(0,Z58*$F$1),0),0)*RATES!$L35/12+$H$8*(PARAM!$D$51/12)*RATES!$N35/100</f>
        <v>7.3333333333333339</v>
      </c>
      <c r="Z59" s="16">
        <f t="shared" si="30"/>
        <v>-910.45911492734251</v>
      </c>
      <c r="AA59" s="15">
        <f t="shared" si="6"/>
        <v>22.170849845882874</v>
      </c>
      <c r="AB59" s="75">
        <f>AA59*(1-PARAM!$C$27)*$I$9+(MOD($B59,60)=PARAM!$B$56)*($B59&gt;(60-PARAM!$B$56))*HLOOKUP(($B59+PARAM!$B$56)/12,Loyalty,2)*$F$1*MAX(AD58,0)</f>
        <v>18.557001321003963</v>
      </c>
      <c r="AC59" s="75">
        <f>PARAM!$C$26+MAX($G$9-CHOOSE(PARAM!$B$44,MAX(0,AD58*$F$1),0),0)*RATES!$L35/12+$H$9*(PARAM!$D$51/12)*RATES!$N35/100</f>
        <v>7.3333333333333339</v>
      </c>
      <c r="AD59" s="16">
        <f t="shared" si="31"/>
        <v>-910.45911492734251</v>
      </c>
      <c r="AE59" s="15">
        <f t="shared" si="7"/>
        <v>22.170849845882874</v>
      </c>
      <c r="AF59" s="75">
        <f>AE59*(1-PARAM!$C$27)*$I$10+(MOD($B59,60)=PARAM!$B$56)*($B59&gt;(60-PARAM!$B$56))*HLOOKUP(($B59+PARAM!$B$56)/12,Loyalty,2)*$F$1*MAX(AH58,0)</f>
        <v>18.557001321003963</v>
      </c>
      <c r="AG59" s="75">
        <f>PARAM!$C$26+MAX($G$10-CHOOSE(PARAM!$B$44,MAX(0,AH58*$F$1),0),0)*RATES!$L35/12+$H$10*(PARAM!$D$51/12)*RATES!$N35/100</f>
        <v>7.3333333333333339</v>
      </c>
      <c r="AH59" s="16">
        <f t="shared" si="32"/>
        <v>-910.45911492734251</v>
      </c>
      <c r="AI59" s="15">
        <f t="shared" si="8"/>
        <v>22.170849845882874</v>
      </c>
      <c r="AJ59" s="75">
        <f>AI59*(1-PARAM!$C$27)*$I$11+(MOD($B59,60)=PARAM!$B$56)*($B59&gt;(60-PARAM!$B$56))*HLOOKUP(($B59+PARAM!$B$56)/12,Loyalty,2)*$F$1*MAX(AL58,0)</f>
        <v>18.557001321003963</v>
      </c>
      <c r="AK59" s="75">
        <f>PARAM!$C$26+MAX($G$11-CHOOSE(PARAM!$B$44,MAX(0,AL58*$F$1),0),0)*RATES!$L35/12+$H$11*(PARAM!$D$51/12)*RATES!$N35/100</f>
        <v>7.3333333333333339</v>
      </c>
      <c r="AL59" s="16">
        <f t="shared" si="33"/>
        <v>-910.45911492734251</v>
      </c>
      <c r="AM59" s="15">
        <f t="shared" si="9"/>
        <v>22.170849845882874</v>
      </c>
      <c r="AN59" s="75">
        <f>AM59*(1-PARAM!$C$27)*$I$12+(MOD($B59,60)=PARAM!$B$56)*($B59&gt;(60-PARAM!$B$56))*HLOOKUP(($B59+PARAM!$B$56)/12,Loyalty,2)*$F$1*MAX(AP58,0)</f>
        <v>18.557001321003963</v>
      </c>
      <c r="AO59" s="75">
        <f>PARAM!$C$26+MAX($G$12-CHOOSE(PARAM!$B$44,MAX(0,AP58*$F$1),0),0)*RATES!$L35/12+$H$12*(PARAM!$D$51/12)*RATES!$N35/100</f>
        <v>7.3333333333333339</v>
      </c>
      <c r="AP59" s="16">
        <f t="shared" si="34"/>
        <v>-910.45911492734251</v>
      </c>
      <c r="AQ59" s="15">
        <f t="shared" si="10"/>
        <v>22.170849845882874</v>
      </c>
      <c r="AR59" s="75">
        <f>AQ59*(1-PARAM!$C$27)*$I$13+(MOD($B59,60)=PARAM!$B$56)*($B59&gt;(60-PARAM!$B$56))*HLOOKUP(($B59+PARAM!$B$56)/12,Loyalty,2)*$F$1*MAX(AT58,0)</f>
        <v>18.557001321003963</v>
      </c>
      <c r="AS59" s="75">
        <f>PARAM!$C$26+MAX($G$13-CHOOSE(PARAM!$B$44,MAX(0,AT58*$F$1),0),0)*RATES!$L35/12+$H$13*(PARAM!$D$51/12)*RATES!$N35/100</f>
        <v>7.3333333333333339</v>
      </c>
      <c r="AT59" s="16">
        <f t="shared" si="35"/>
        <v>-910.45911492734251</v>
      </c>
      <c r="AU59" s="15">
        <f t="shared" si="11"/>
        <v>22.170849845882874</v>
      </c>
      <c r="AV59" s="75">
        <f>AU59*(1-PARAM!$C$27)*$I$14+(MOD($B59,60)=PARAM!$B$56)*($B59&gt;(60-PARAM!$B$56))*HLOOKUP(($B59+PARAM!$B$56)/12,Loyalty,2)*$F$1*MAX(AX58,0)</f>
        <v>18.557001321003963</v>
      </c>
      <c r="AW59" s="75">
        <f>PARAM!$C$26+MAX($G$14-CHOOSE(PARAM!$B$44,MAX(0,AX58*$F$1),0),0)*RATES!$L35/12+$H$14*(PARAM!$D$51/12)*RATES!$N35/100</f>
        <v>7.3333333333333339</v>
      </c>
      <c r="AX59" s="16">
        <f t="shared" si="36"/>
        <v>-910.45911492734251</v>
      </c>
      <c r="AY59" s="15">
        <f t="shared" si="12"/>
        <v>22.170849845882874</v>
      </c>
      <c r="AZ59" s="75">
        <f>AY59*(1-PARAM!$C$27)*$I$15+(MOD($B59,60)=PARAM!$B$56)*($B59&gt;(60-PARAM!$B$56))*HLOOKUP(($B59+PARAM!$B$56)/12,Loyalty,2)*$F$1*MAX(BB58,0)</f>
        <v>18.557001321003963</v>
      </c>
      <c r="BA59" s="75">
        <f>PARAM!$C$26+MAX($G$15-CHOOSE(PARAM!$B$44,MAX(0,BB58*$F$1),0),0)*RATES!$L35/12+$H$15*(PARAM!$D$51/12)*RATES!$N35/100</f>
        <v>7.3333333333333339</v>
      </c>
      <c r="BB59" s="16">
        <f t="shared" si="37"/>
        <v>-910.45911492734251</v>
      </c>
      <c r="BC59" s="15">
        <f t="shared" si="13"/>
        <v>22.170849845882874</v>
      </c>
      <c r="BD59" s="75">
        <f>BC59*(1-PARAM!$C$27)*$I$16+(MOD($B59,60)=PARAM!$B$56)*($B59&gt;(60-PARAM!$B$56))*HLOOKUP(($B59+PARAM!$B$56)/12,Loyalty,2)*$F$1*MAX(BF58,0)</f>
        <v>18.557001321003963</v>
      </c>
      <c r="BE59" s="75">
        <f>PARAM!$C$26+MAX($G$16-CHOOSE(PARAM!$B$44,MAX(0,BF58*$F$1),0),0)*RATES!$L35/12+$H$16*(PARAM!$D$51/12)*RATES!$N35/100</f>
        <v>7.3333333333333339</v>
      </c>
      <c r="BF59" s="16">
        <f t="shared" si="38"/>
        <v>-910.45911492734251</v>
      </c>
      <c r="BG59" s="15">
        <f t="shared" si="14"/>
        <v>22.170849845882874</v>
      </c>
      <c r="BH59" s="75">
        <f>BG59*(1-PARAM!$C$27)*$I$17+(MOD($B59,60)=PARAM!$B$56)*($B59&gt;(60-PARAM!$B$56))*HLOOKUP(($B59+PARAM!$B$56)/12,Loyalty,2)*$F$1*MAX(BJ58,0)</f>
        <v>18.557001321003963</v>
      </c>
      <c r="BI59" s="75">
        <f>PARAM!$C$26+MAX($G$17-CHOOSE(PARAM!$B$44,MAX(0,BJ58*$F$1),0),0)*RATES!$L35/12+$H$17*(PARAM!$D$51/12)*RATES!$N35/100</f>
        <v>7.3333333333333339</v>
      </c>
      <c r="BJ59" s="16">
        <f t="shared" si="39"/>
        <v>-910.45911492734251</v>
      </c>
      <c r="BK59" s="15">
        <f t="shared" si="15"/>
        <v>22.170849845882874</v>
      </c>
      <c r="BL59" s="75">
        <f>BK59*(1-PARAM!$C$27)*$I$18+(MOD($B59,60)=PARAM!$B$56)*($B59&gt;(60-PARAM!$B$56))*HLOOKUP(($B59+PARAM!$B$56)/12,Loyalty,2)*$F$1*MAX(BN58,0)</f>
        <v>18.557001321003963</v>
      </c>
      <c r="BM59" s="75">
        <f>PARAM!$C$26+MAX($G$18-CHOOSE(PARAM!$B$44,MAX(0,BN58*$F$1),0),0)*RATES!$L35/12+$H$18*(PARAM!$D$51/12)*RATES!$N35/100</f>
        <v>7.3333333333333339</v>
      </c>
      <c r="BN59" s="16">
        <f t="shared" si="40"/>
        <v>-910.45911492734251</v>
      </c>
      <c r="BO59" s="15">
        <f t="shared" si="16"/>
        <v>22.170849845882874</v>
      </c>
      <c r="BP59" s="75">
        <f>BO59*(1-PARAM!$C$27)*$I$19+(MOD($B59,60)=PARAM!$B$56)*($B59&gt;(60-PARAM!$B$56))*HLOOKUP(($B59+PARAM!$B$56)/12,Loyalty,2)*$F$1*MAX(BR58,0)</f>
        <v>18.557001321003963</v>
      </c>
      <c r="BQ59" s="75">
        <f>PARAM!$C$26+MAX($G$19-CHOOSE(PARAM!$B$44,MAX(0,BR58*$F$1),0),0)*RATES!$L35/12+$H$19*(PARAM!$D$51/12)*RATES!$N35/100</f>
        <v>7.3333333333333339</v>
      </c>
      <c r="BR59" s="16">
        <f t="shared" si="41"/>
        <v>-910.45911492734251</v>
      </c>
      <c r="BS59" s="15">
        <f t="shared" si="17"/>
        <v>22.170849845882874</v>
      </c>
      <c r="BT59" s="75">
        <f>BS59*(1-PARAM!$C$27)*$I$20+(MOD($B59,60)=PARAM!$B$56)*($B59&gt;(60-PARAM!$B$56))*HLOOKUP(($B59+PARAM!$B$56)/12,Loyalty,2)*$F$1*MAX(BV58,0)</f>
        <v>18.557001321003963</v>
      </c>
      <c r="BU59" s="75">
        <f>PARAM!$C$26+MAX($G$20-CHOOSE(PARAM!$B$44,MAX(0,BV58*$F$1),0),0)*RATES!$L35/12+$H$20*(PARAM!$D$51/12)*RATES!$N35/100</f>
        <v>7.3333333333333339</v>
      </c>
      <c r="BV59" s="16">
        <f t="shared" si="42"/>
        <v>-910.45911492734251</v>
      </c>
      <c r="BW59" s="15">
        <f t="shared" si="18"/>
        <v>22.170849845882874</v>
      </c>
      <c r="BX59" s="75">
        <f>BW59*(1-PARAM!$C$27)*$I$21+(MOD($B59,60)=PARAM!$B$56)*($B59&gt;(60-PARAM!$B$56))*HLOOKUP(($B59+PARAM!$B$56)/12,Loyalty,2)*$F$1*MAX(BZ58,0)</f>
        <v>18.557001321003963</v>
      </c>
      <c r="BY59" s="75">
        <f>PARAM!$C$26+MAX($G$21-CHOOSE(PARAM!$B$44,MAX(0,BZ58*$F$1),0),0)*RATES!$L35/12+$H$21*(PARAM!$D$51/12)*RATES!$N35/100</f>
        <v>7.3333333333333339</v>
      </c>
      <c r="BZ59" s="16">
        <f t="shared" si="43"/>
        <v>-910.45911492734251</v>
      </c>
      <c r="CA59" s="15">
        <f t="shared" si="19"/>
        <v>22.170849845882874</v>
      </c>
      <c r="CB59" s="75">
        <f>CA59*(1-PARAM!$C$27)*$I$22+(MOD($B59,60)=PARAM!$B$56)*($B59&gt;(60-PARAM!$B$56))*HLOOKUP(($B59+PARAM!$B$56)/12,Loyalty,2)*$F$1*MAX(CD58,0)</f>
        <v>18.557001321003963</v>
      </c>
      <c r="CC59" s="75">
        <f>PARAM!$C$26+MAX($G$22-CHOOSE(PARAM!$B$44,MAX(0,CD58*$F$1),0),0)*RATES!$L35/12+$H$22*(PARAM!$D$51/12)*RATES!$N35/100</f>
        <v>7.3333333333333339</v>
      </c>
      <c r="CD59" s="16">
        <f t="shared" si="44"/>
        <v>-910.45911492734251</v>
      </c>
      <c r="CE59" s="33">
        <f>IF(0=MOD(B59,12/PARAM!$D$51),1,0)</f>
        <v>1</v>
      </c>
      <c r="CF59" s="15">
        <f t="shared" si="20"/>
        <v>0</v>
      </c>
      <c r="CG59" s="75">
        <f>CF59*(1-PARAM!$C$27)*$R$3+(MOD($B59/12,5)=0)*($B59&gt;60)*HLOOKUP($B59/12,Loyalty,2)*$F$1*MAX(CI58,0)</f>
        <v>0</v>
      </c>
      <c r="CH59" s="75">
        <f>PARAM!$C$26+MAX($P$3-CHOOSE(PARAM!$B$44,MAX(0,CI58*$F$1),0),0)*RATES!$L35/12+$Q$3*(PARAM!$D$51/12)*RATES!$N35/100</f>
        <v>7.3333333333333339</v>
      </c>
      <c r="CI59" s="16">
        <f>IF(CI58&gt;0,CI58*PARAM!$C$53,CI58)+CG59-CH59</f>
        <v>-1309.9999999999998</v>
      </c>
      <c r="CJ59" s="15">
        <f t="shared" si="45"/>
        <v>0</v>
      </c>
      <c r="CK59" s="75">
        <f>CJ59*(1-PARAM!$C$27)*$R$4+(MOD($B59/12,5)=0)*($B59&gt;60)*HLOOKUP($B59/12,Loyalty,2)*$F$1*MAX(CM58,0)</f>
        <v>0</v>
      </c>
      <c r="CL59" s="75">
        <f>PARAM!$C$26+MAX($P$4-CHOOSE(PARAM!$B$44,MAX(0,CM58*$F$1),0),0)*RATES!$L35/12+$Q$4*(PARAM!$D$51/12)*RATES!$N35/100</f>
        <v>7.3333333333333339</v>
      </c>
      <c r="CM59" s="16">
        <f>IF(CM58&gt;0,CM58*PARAM!$C$53,CM58)+CK59-CL59</f>
        <v>-1309.9999999999998</v>
      </c>
      <c r="CO59" s="176"/>
    </row>
    <row r="60" spans="1:93" x14ac:dyDescent="0.2">
      <c r="A60" t="b">
        <f t="shared" si="21"/>
        <v>0</v>
      </c>
      <c r="B60" s="33">
        <v>33</v>
      </c>
      <c r="C60" s="15">
        <f t="shared" si="46"/>
        <v>20.081305947392778</v>
      </c>
      <c r="D60" s="75">
        <f>C60*(1-PARAM!$C$27)*$I$3+(MOD($B60,60)=PARAM!$B$56)*($B60&gt;(60-PARAM!$B$56))*HLOOKUP(($B60+PARAM!$B$56)/12,Loyalty,2)*$F$1*MAX(F59,0)</f>
        <v>16.808053077967756</v>
      </c>
      <c r="E60" s="75">
        <f>PARAM!$C$26+MAX($G$3-CHOOSE(PARAM!$B$44,MAX(0,F59*$F$1),0),0)*RATES!$L36/12+$H$3*(PARAM!$D$51/12)*RATES!$N36/100</f>
        <v>7.3333333333333339</v>
      </c>
      <c r="F60" s="16">
        <f t="shared" si="22"/>
        <v>-938.6400657773994</v>
      </c>
      <c r="G60" s="15">
        <f t="shared" si="23"/>
        <v>22.035289406060361</v>
      </c>
      <c r="H60" s="75">
        <f>G60*(1-PARAM!$C$27)*$I$4+(MOD($B60,60)=PARAM!$B$56)*($B60&gt;(60-PARAM!$B$56))*HLOOKUP(($B60+PARAM!$B$56)/12,Loyalty,2)*$F$1*MAX(J59,0)</f>
        <v>18.443537232872522</v>
      </c>
      <c r="I60" s="75">
        <f>PARAM!$C$26+MAX($G$4-CHOOSE(PARAM!$B$44,MAX(0,J59*$F$1),0),0)*RATES!$L36/12+$H$4*(PARAM!$D$51/12)*RATES!$N36/100</f>
        <v>7.3333333333333339</v>
      </c>
      <c r="J60" s="16">
        <f t="shared" si="24"/>
        <v>-901.79184571384553</v>
      </c>
      <c r="K60" s="15">
        <f t="shared" si="25"/>
        <v>22.170849845882874</v>
      </c>
      <c r="L60" s="75">
        <f>K60*(1-PARAM!$C$27)*$I$5+(MOD($B60,60)=PARAM!$B$56)*($B60&gt;(60-PARAM!$B$56))*HLOOKUP(($B60+PARAM!$B$56)/12,Loyalty,2)*$F$1*MAX(N59,0)</f>
        <v>18.557001321003963</v>
      </c>
      <c r="M60" s="75">
        <f>PARAM!$C$26+MAX($G$5-CHOOSE(PARAM!$B$44,MAX(0,N59*$F$1),0),0)*RATES!$L36/12+$H$5*(PARAM!$D$51/12)*RATES!$N36/100</f>
        <v>7.3333333333333339</v>
      </c>
      <c r="N60" s="16">
        <f t="shared" si="26"/>
        <v>-899.23544693967187</v>
      </c>
      <c r="O60" s="15">
        <f t="shared" si="27"/>
        <v>22.170849845882874</v>
      </c>
      <c r="P60" s="75">
        <f>O60*(1-PARAM!$C$27)*$I$6+(MOD($B60,60)=PARAM!$B$56)*($B60&gt;(60-PARAM!$B$56))*HLOOKUP(($B60+PARAM!$B$56)/12,Loyalty,2)*$F$1*MAX(R59,0)</f>
        <v>18.557001321003963</v>
      </c>
      <c r="Q60" s="75">
        <f>PARAM!$C$26+MAX($G$6-CHOOSE(PARAM!$B$44,MAX(0,R59*$F$1),0),0)*RATES!$L36/12+$H$6*(PARAM!$D$51/12)*RATES!$N36/100</f>
        <v>7.3333333333333339</v>
      </c>
      <c r="R60" s="16">
        <f t="shared" si="28"/>
        <v>-899.23544693967187</v>
      </c>
      <c r="S60" s="15">
        <f t="shared" si="4"/>
        <v>22.170849845882874</v>
      </c>
      <c r="T60" s="75">
        <f>S60*(1-PARAM!$C$27)*$I$7+(MOD($B60,60)=PARAM!$B$56)*($B60&gt;(60-PARAM!$B$56))*HLOOKUP(($B60+PARAM!$B$56)/12,Loyalty,2)*$F$1*MAX(V59,0)</f>
        <v>18.557001321003963</v>
      </c>
      <c r="U60" s="75">
        <f>PARAM!$C$26+MAX($G$7-CHOOSE(PARAM!$B$44,MAX(0,V59*$F$1),0),0)*RATES!$L36/12+$H$7*(PARAM!$D$51/12)*RATES!$N36/100</f>
        <v>7.3333333333333339</v>
      </c>
      <c r="V60" s="16">
        <f t="shared" si="29"/>
        <v>-899.23544693967187</v>
      </c>
      <c r="W60" s="15">
        <f t="shared" si="5"/>
        <v>22.170849845882874</v>
      </c>
      <c r="X60" s="75">
        <f>W60*(1-PARAM!$C$27)*$I$8+(MOD($B60,60)=PARAM!$B$56)*($B60&gt;(60-PARAM!$B$56))*HLOOKUP(($B60+PARAM!$B$56)/12,Loyalty,2)*$F$1*MAX(Z59,0)</f>
        <v>18.557001321003963</v>
      </c>
      <c r="Y60" s="75">
        <f>PARAM!$C$26+MAX($G$8-CHOOSE(PARAM!$B$44,MAX(0,Z59*$F$1),0),0)*RATES!$L36/12+$H$8*(PARAM!$D$51/12)*RATES!$N36/100</f>
        <v>7.3333333333333339</v>
      </c>
      <c r="Z60" s="16">
        <f t="shared" si="30"/>
        <v>-899.23544693967187</v>
      </c>
      <c r="AA60" s="15">
        <f t="shared" si="6"/>
        <v>22.170849845882874</v>
      </c>
      <c r="AB60" s="75">
        <f>AA60*(1-PARAM!$C$27)*$I$9+(MOD($B60,60)=PARAM!$B$56)*($B60&gt;(60-PARAM!$B$56))*HLOOKUP(($B60+PARAM!$B$56)/12,Loyalty,2)*$F$1*MAX(AD59,0)</f>
        <v>18.557001321003963</v>
      </c>
      <c r="AC60" s="75">
        <f>PARAM!$C$26+MAX($G$9-CHOOSE(PARAM!$B$44,MAX(0,AD59*$F$1),0),0)*RATES!$L36/12+$H$9*(PARAM!$D$51/12)*RATES!$N36/100</f>
        <v>7.3333333333333339</v>
      </c>
      <c r="AD60" s="16">
        <f t="shared" si="31"/>
        <v>-899.23544693967187</v>
      </c>
      <c r="AE60" s="15">
        <f t="shared" si="7"/>
        <v>22.170849845882874</v>
      </c>
      <c r="AF60" s="75">
        <f>AE60*(1-PARAM!$C$27)*$I$10+(MOD($B60,60)=PARAM!$B$56)*($B60&gt;(60-PARAM!$B$56))*HLOOKUP(($B60+PARAM!$B$56)/12,Loyalty,2)*$F$1*MAX(AH59,0)</f>
        <v>18.557001321003963</v>
      </c>
      <c r="AG60" s="75">
        <f>PARAM!$C$26+MAX($G$10-CHOOSE(PARAM!$B$44,MAX(0,AH59*$F$1),0),0)*RATES!$L36/12+$H$10*(PARAM!$D$51/12)*RATES!$N36/100</f>
        <v>7.3333333333333339</v>
      </c>
      <c r="AH60" s="16">
        <f t="shared" si="32"/>
        <v>-899.23544693967187</v>
      </c>
      <c r="AI60" s="15">
        <f t="shared" si="8"/>
        <v>22.170849845882874</v>
      </c>
      <c r="AJ60" s="75">
        <f>AI60*(1-PARAM!$C$27)*$I$11+(MOD($B60,60)=PARAM!$B$56)*($B60&gt;(60-PARAM!$B$56))*HLOOKUP(($B60+PARAM!$B$56)/12,Loyalty,2)*$F$1*MAX(AL59,0)</f>
        <v>18.557001321003963</v>
      </c>
      <c r="AK60" s="75">
        <f>PARAM!$C$26+MAX($G$11-CHOOSE(PARAM!$B$44,MAX(0,AL59*$F$1),0),0)*RATES!$L36/12+$H$11*(PARAM!$D$51/12)*RATES!$N36/100</f>
        <v>7.3333333333333339</v>
      </c>
      <c r="AL60" s="16">
        <f t="shared" si="33"/>
        <v>-899.23544693967187</v>
      </c>
      <c r="AM60" s="15">
        <f t="shared" si="9"/>
        <v>22.170849845882874</v>
      </c>
      <c r="AN60" s="75">
        <f>AM60*(1-PARAM!$C$27)*$I$12+(MOD($B60,60)=PARAM!$B$56)*($B60&gt;(60-PARAM!$B$56))*HLOOKUP(($B60+PARAM!$B$56)/12,Loyalty,2)*$F$1*MAX(AP59,0)</f>
        <v>18.557001321003963</v>
      </c>
      <c r="AO60" s="75">
        <f>PARAM!$C$26+MAX($G$12-CHOOSE(PARAM!$B$44,MAX(0,AP59*$F$1),0),0)*RATES!$L36/12+$H$12*(PARAM!$D$51/12)*RATES!$N36/100</f>
        <v>7.3333333333333339</v>
      </c>
      <c r="AP60" s="16">
        <f t="shared" si="34"/>
        <v>-899.23544693967187</v>
      </c>
      <c r="AQ60" s="15">
        <f t="shared" si="10"/>
        <v>22.170849845882874</v>
      </c>
      <c r="AR60" s="75">
        <f>AQ60*(1-PARAM!$C$27)*$I$13+(MOD($B60,60)=PARAM!$B$56)*($B60&gt;(60-PARAM!$B$56))*HLOOKUP(($B60+PARAM!$B$56)/12,Loyalty,2)*$F$1*MAX(AT59,0)</f>
        <v>18.557001321003963</v>
      </c>
      <c r="AS60" s="75">
        <f>PARAM!$C$26+MAX($G$13-CHOOSE(PARAM!$B$44,MAX(0,AT59*$F$1),0),0)*RATES!$L36/12+$H$13*(PARAM!$D$51/12)*RATES!$N36/100</f>
        <v>7.3333333333333339</v>
      </c>
      <c r="AT60" s="16">
        <f t="shared" si="35"/>
        <v>-899.23544693967187</v>
      </c>
      <c r="AU60" s="15">
        <f t="shared" si="11"/>
        <v>22.170849845882874</v>
      </c>
      <c r="AV60" s="75">
        <f>AU60*(1-PARAM!$C$27)*$I$14+(MOD($B60,60)=PARAM!$B$56)*($B60&gt;(60-PARAM!$B$56))*HLOOKUP(($B60+PARAM!$B$56)/12,Loyalty,2)*$F$1*MAX(AX59,0)</f>
        <v>18.557001321003963</v>
      </c>
      <c r="AW60" s="75">
        <f>PARAM!$C$26+MAX($G$14-CHOOSE(PARAM!$B$44,MAX(0,AX59*$F$1),0),0)*RATES!$L36/12+$H$14*(PARAM!$D$51/12)*RATES!$N36/100</f>
        <v>7.3333333333333339</v>
      </c>
      <c r="AX60" s="16">
        <f t="shared" si="36"/>
        <v>-899.23544693967187</v>
      </c>
      <c r="AY60" s="15">
        <f t="shared" si="12"/>
        <v>22.170849845882874</v>
      </c>
      <c r="AZ60" s="75">
        <f>AY60*(1-PARAM!$C$27)*$I$15+(MOD($B60,60)=PARAM!$B$56)*($B60&gt;(60-PARAM!$B$56))*HLOOKUP(($B60+PARAM!$B$56)/12,Loyalty,2)*$F$1*MAX(BB59,0)</f>
        <v>18.557001321003963</v>
      </c>
      <c r="BA60" s="75">
        <f>PARAM!$C$26+MAX($G$15-CHOOSE(PARAM!$B$44,MAX(0,BB59*$F$1),0),0)*RATES!$L36/12+$H$15*(PARAM!$D$51/12)*RATES!$N36/100</f>
        <v>7.3333333333333339</v>
      </c>
      <c r="BB60" s="16">
        <f t="shared" si="37"/>
        <v>-899.23544693967187</v>
      </c>
      <c r="BC60" s="15">
        <f t="shared" si="13"/>
        <v>22.170849845882874</v>
      </c>
      <c r="BD60" s="75">
        <f>BC60*(1-PARAM!$C$27)*$I$16+(MOD($B60,60)=PARAM!$B$56)*($B60&gt;(60-PARAM!$B$56))*HLOOKUP(($B60+PARAM!$B$56)/12,Loyalty,2)*$F$1*MAX(BF59,0)</f>
        <v>18.557001321003963</v>
      </c>
      <c r="BE60" s="75">
        <f>PARAM!$C$26+MAX($G$16-CHOOSE(PARAM!$B$44,MAX(0,BF59*$F$1),0),0)*RATES!$L36/12+$H$16*(PARAM!$D$51/12)*RATES!$N36/100</f>
        <v>7.3333333333333339</v>
      </c>
      <c r="BF60" s="16">
        <f t="shared" si="38"/>
        <v>-899.23544693967187</v>
      </c>
      <c r="BG60" s="15">
        <f t="shared" si="14"/>
        <v>22.170849845882874</v>
      </c>
      <c r="BH60" s="75">
        <f>BG60*(1-PARAM!$C$27)*$I$17+(MOD($B60,60)=PARAM!$B$56)*($B60&gt;(60-PARAM!$B$56))*HLOOKUP(($B60+PARAM!$B$56)/12,Loyalty,2)*$F$1*MAX(BJ59,0)</f>
        <v>18.557001321003963</v>
      </c>
      <c r="BI60" s="75">
        <f>PARAM!$C$26+MAX($G$17-CHOOSE(PARAM!$B$44,MAX(0,BJ59*$F$1),0),0)*RATES!$L36/12+$H$17*(PARAM!$D$51/12)*RATES!$N36/100</f>
        <v>7.3333333333333339</v>
      </c>
      <c r="BJ60" s="16">
        <f t="shared" si="39"/>
        <v>-899.23544693967187</v>
      </c>
      <c r="BK60" s="15">
        <f t="shared" si="15"/>
        <v>22.170849845882874</v>
      </c>
      <c r="BL60" s="75">
        <f>BK60*(1-PARAM!$C$27)*$I$18+(MOD($B60,60)=PARAM!$B$56)*($B60&gt;(60-PARAM!$B$56))*HLOOKUP(($B60+PARAM!$B$56)/12,Loyalty,2)*$F$1*MAX(BN59,0)</f>
        <v>18.557001321003963</v>
      </c>
      <c r="BM60" s="75">
        <f>PARAM!$C$26+MAX($G$18-CHOOSE(PARAM!$B$44,MAX(0,BN59*$F$1),0),0)*RATES!$L36/12+$H$18*(PARAM!$D$51/12)*RATES!$N36/100</f>
        <v>7.3333333333333339</v>
      </c>
      <c r="BN60" s="16">
        <f t="shared" si="40"/>
        <v>-899.23544693967187</v>
      </c>
      <c r="BO60" s="15">
        <f t="shared" si="16"/>
        <v>22.170849845882874</v>
      </c>
      <c r="BP60" s="75">
        <f>BO60*(1-PARAM!$C$27)*$I$19+(MOD($B60,60)=PARAM!$B$56)*($B60&gt;(60-PARAM!$B$56))*HLOOKUP(($B60+PARAM!$B$56)/12,Loyalty,2)*$F$1*MAX(BR59,0)</f>
        <v>18.557001321003963</v>
      </c>
      <c r="BQ60" s="75">
        <f>PARAM!$C$26+MAX($G$19-CHOOSE(PARAM!$B$44,MAX(0,BR59*$F$1),0),0)*RATES!$L36/12+$H$19*(PARAM!$D$51/12)*RATES!$N36/100</f>
        <v>7.3333333333333339</v>
      </c>
      <c r="BR60" s="16">
        <f t="shared" si="41"/>
        <v>-899.23544693967187</v>
      </c>
      <c r="BS60" s="15">
        <f t="shared" si="17"/>
        <v>22.170849845882874</v>
      </c>
      <c r="BT60" s="75">
        <f>BS60*(1-PARAM!$C$27)*$I$20+(MOD($B60,60)=PARAM!$B$56)*($B60&gt;(60-PARAM!$B$56))*HLOOKUP(($B60+PARAM!$B$56)/12,Loyalty,2)*$F$1*MAX(BV59,0)</f>
        <v>18.557001321003963</v>
      </c>
      <c r="BU60" s="75">
        <f>PARAM!$C$26+MAX($G$20-CHOOSE(PARAM!$B$44,MAX(0,BV59*$F$1),0),0)*RATES!$L36/12+$H$20*(PARAM!$D$51/12)*RATES!$N36/100</f>
        <v>7.3333333333333339</v>
      </c>
      <c r="BV60" s="16">
        <f t="shared" si="42"/>
        <v>-899.23544693967187</v>
      </c>
      <c r="BW60" s="15">
        <f t="shared" si="18"/>
        <v>22.170849845882874</v>
      </c>
      <c r="BX60" s="75">
        <f>BW60*(1-PARAM!$C$27)*$I$21+(MOD($B60,60)=PARAM!$B$56)*($B60&gt;(60-PARAM!$B$56))*HLOOKUP(($B60+PARAM!$B$56)/12,Loyalty,2)*$F$1*MAX(BZ59,0)</f>
        <v>18.557001321003963</v>
      </c>
      <c r="BY60" s="75">
        <f>PARAM!$C$26+MAX($G$21-CHOOSE(PARAM!$B$44,MAX(0,BZ59*$F$1),0),0)*RATES!$L36/12+$H$21*(PARAM!$D$51/12)*RATES!$N36/100</f>
        <v>7.3333333333333339</v>
      </c>
      <c r="BZ60" s="16">
        <f t="shared" si="43"/>
        <v>-899.23544693967187</v>
      </c>
      <c r="CA60" s="15">
        <f t="shared" si="19"/>
        <v>22.170849845882874</v>
      </c>
      <c r="CB60" s="75">
        <f>CA60*(1-PARAM!$C$27)*$I$22+(MOD($B60,60)=PARAM!$B$56)*($B60&gt;(60-PARAM!$B$56))*HLOOKUP(($B60+PARAM!$B$56)/12,Loyalty,2)*$F$1*MAX(CD59,0)</f>
        <v>18.557001321003963</v>
      </c>
      <c r="CC60" s="75">
        <f>PARAM!$C$26+MAX($G$22-CHOOSE(PARAM!$B$44,MAX(0,CD59*$F$1),0),0)*RATES!$L36/12+$H$22*(PARAM!$D$51/12)*RATES!$N36/100</f>
        <v>7.3333333333333339</v>
      </c>
      <c r="CD60" s="16">
        <f t="shared" si="44"/>
        <v>-899.23544693967187</v>
      </c>
      <c r="CE60" s="33">
        <f>IF(0=MOD(B60,12/PARAM!$D$51),1,0)</f>
        <v>1</v>
      </c>
      <c r="CF60" s="15">
        <f t="shared" si="20"/>
        <v>0</v>
      </c>
      <c r="CG60" s="75">
        <f>CF60*(1-PARAM!$C$27)*$R$3+(MOD($B60/12,5)=0)*($B60&gt;60)*HLOOKUP($B60/12,Loyalty,2)*$F$1*MAX(CI59,0)</f>
        <v>0</v>
      </c>
      <c r="CH60" s="75">
        <f>PARAM!$C$26+MAX($P$3-CHOOSE(PARAM!$B$44,MAX(0,CI59*$F$1),0),0)*RATES!$L36/12+$Q$3*(PARAM!$D$51/12)*RATES!$N36/100</f>
        <v>7.3333333333333339</v>
      </c>
      <c r="CI60" s="16">
        <f>IF(CI59&gt;0,CI59*PARAM!$C$53,CI59)+CG60-CH60</f>
        <v>-1317.333333333333</v>
      </c>
      <c r="CJ60" s="15">
        <f t="shared" si="45"/>
        <v>0</v>
      </c>
      <c r="CK60" s="75">
        <f>CJ60*(1-PARAM!$C$27)*$R$4+(MOD($B60/12,5)=0)*($B60&gt;60)*HLOOKUP($B60/12,Loyalty,2)*$F$1*MAX(CM59,0)</f>
        <v>0</v>
      </c>
      <c r="CL60" s="75">
        <f>PARAM!$C$26+MAX($P$4-CHOOSE(PARAM!$B$44,MAX(0,CM59*$F$1),0),0)*RATES!$L36/12+$Q$4*(PARAM!$D$51/12)*RATES!$N36/100</f>
        <v>7.3333333333333339</v>
      </c>
      <c r="CM60" s="16">
        <f>IF(CM59&gt;0,CM59*PARAM!$C$53,CM59)+CK60-CL60</f>
        <v>-1317.333333333333</v>
      </c>
      <c r="CO60" s="176"/>
    </row>
    <row r="61" spans="1:93" x14ac:dyDescent="0.2">
      <c r="A61" t="b">
        <f t="shared" si="21"/>
        <v>0</v>
      </c>
      <c r="B61" s="33">
        <v>34</v>
      </c>
      <c r="C61" s="15">
        <f t="shared" si="46"/>
        <v>20.081305947392778</v>
      </c>
      <c r="D61" s="75">
        <f>C61*(1-PARAM!$C$27)*$I$3+(MOD($B61,60)=PARAM!$B$56)*($B61&gt;(60-PARAM!$B$56))*HLOOKUP(($B61+PARAM!$B$56)/12,Loyalty,2)*$F$1*MAX(F60,0)</f>
        <v>16.808053077967756</v>
      </c>
      <c r="E61" s="75">
        <f>PARAM!$C$26+MAX($G$3-CHOOSE(PARAM!$B$44,MAX(0,F60*$F$1),0),0)*RATES!$L37/12+$H$3*(PARAM!$D$51/12)*RATES!$N37/100</f>
        <v>7.3333333333333339</v>
      </c>
      <c r="F61" s="16">
        <f t="shared" si="22"/>
        <v>-929.165346032765</v>
      </c>
      <c r="G61" s="15">
        <f t="shared" si="23"/>
        <v>22.035289406060361</v>
      </c>
      <c r="H61" s="75">
        <f>G61*(1-PARAM!$C$27)*$I$4+(MOD($B61,60)=PARAM!$B$56)*($B61&gt;(60-PARAM!$B$56))*HLOOKUP(($B61+PARAM!$B$56)/12,Loyalty,2)*$F$1*MAX(J60,0)</f>
        <v>18.443537232872522</v>
      </c>
      <c r="I61" s="75">
        <f>PARAM!$C$26+MAX($G$4-CHOOSE(PARAM!$B$44,MAX(0,J60*$F$1),0),0)*RATES!$L37/12+$H$4*(PARAM!$D$51/12)*RATES!$N37/100</f>
        <v>7.3333333333333339</v>
      </c>
      <c r="J61" s="16">
        <f t="shared" si="24"/>
        <v>-890.68164181430643</v>
      </c>
      <c r="K61" s="15">
        <f t="shared" si="25"/>
        <v>22.170849845882874</v>
      </c>
      <c r="L61" s="75">
        <f>K61*(1-PARAM!$C$27)*$I$5+(MOD($B61,60)=PARAM!$B$56)*($B61&gt;(60-PARAM!$B$56))*HLOOKUP(($B61+PARAM!$B$56)/12,Loyalty,2)*$F$1*MAX(N60,0)</f>
        <v>18.557001321003963</v>
      </c>
      <c r="M61" s="75">
        <f>PARAM!$C$26+MAX($G$5-CHOOSE(PARAM!$B$44,MAX(0,N60*$F$1),0),0)*RATES!$L37/12+$H$5*(PARAM!$D$51/12)*RATES!$N37/100</f>
        <v>7.3333333333333339</v>
      </c>
      <c r="N61" s="16">
        <f t="shared" si="26"/>
        <v>-888.01177895200124</v>
      </c>
      <c r="O61" s="15">
        <f t="shared" si="27"/>
        <v>22.170849845882874</v>
      </c>
      <c r="P61" s="75">
        <f>O61*(1-PARAM!$C$27)*$I$6+(MOD($B61,60)=PARAM!$B$56)*($B61&gt;(60-PARAM!$B$56))*HLOOKUP(($B61+PARAM!$B$56)/12,Loyalty,2)*$F$1*MAX(R60,0)</f>
        <v>18.557001321003963</v>
      </c>
      <c r="Q61" s="75">
        <f>PARAM!$C$26+MAX($G$6-CHOOSE(PARAM!$B$44,MAX(0,R60*$F$1),0),0)*RATES!$L37/12+$H$6*(PARAM!$D$51/12)*RATES!$N37/100</f>
        <v>7.3333333333333339</v>
      </c>
      <c r="R61" s="16">
        <f t="shared" si="28"/>
        <v>-888.01177895200124</v>
      </c>
      <c r="S61" s="15">
        <f t="shared" si="4"/>
        <v>22.170849845882874</v>
      </c>
      <c r="T61" s="75">
        <f>S61*(1-PARAM!$C$27)*$I$7+(MOD($B61,60)=PARAM!$B$56)*($B61&gt;(60-PARAM!$B$56))*HLOOKUP(($B61+PARAM!$B$56)/12,Loyalty,2)*$F$1*MAX(V60,0)</f>
        <v>18.557001321003963</v>
      </c>
      <c r="U61" s="75">
        <f>PARAM!$C$26+MAX($G$7-CHOOSE(PARAM!$B$44,MAX(0,V60*$F$1),0),0)*RATES!$L37/12+$H$7*(PARAM!$D$51/12)*RATES!$N37/100</f>
        <v>7.3333333333333339</v>
      </c>
      <c r="V61" s="16">
        <f t="shared" si="29"/>
        <v>-888.01177895200124</v>
      </c>
      <c r="W61" s="15">
        <f t="shared" si="5"/>
        <v>22.170849845882874</v>
      </c>
      <c r="X61" s="75">
        <f>W61*(1-PARAM!$C$27)*$I$8+(MOD($B61,60)=PARAM!$B$56)*($B61&gt;(60-PARAM!$B$56))*HLOOKUP(($B61+PARAM!$B$56)/12,Loyalty,2)*$F$1*MAX(Z60,0)</f>
        <v>18.557001321003963</v>
      </c>
      <c r="Y61" s="75">
        <f>PARAM!$C$26+MAX($G$8-CHOOSE(PARAM!$B$44,MAX(0,Z60*$F$1),0),0)*RATES!$L37/12+$H$8*(PARAM!$D$51/12)*RATES!$N37/100</f>
        <v>7.3333333333333339</v>
      </c>
      <c r="Z61" s="16">
        <f t="shared" si="30"/>
        <v>-888.01177895200124</v>
      </c>
      <c r="AA61" s="15">
        <f t="shared" si="6"/>
        <v>22.170849845882874</v>
      </c>
      <c r="AB61" s="75">
        <f>AA61*(1-PARAM!$C$27)*$I$9+(MOD($B61,60)=PARAM!$B$56)*($B61&gt;(60-PARAM!$B$56))*HLOOKUP(($B61+PARAM!$B$56)/12,Loyalty,2)*$F$1*MAX(AD60,0)</f>
        <v>18.557001321003963</v>
      </c>
      <c r="AC61" s="75">
        <f>PARAM!$C$26+MAX($G$9-CHOOSE(PARAM!$B$44,MAX(0,AD60*$F$1),0),0)*RATES!$L37/12+$H$9*(PARAM!$D$51/12)*RATES!$N37/100</f>
        <v>7.3333333333333339</v>
      </c>
      <c r="AD61" s="16">
        <f t="shared" si="31"/>
        <v>-888.01177895200124</v>
      </c>
      <c r="AE61" s="15">
        <f t="shared" si="7"/>
        <v>22.170849845882874</v>
      </c>
      <c r="AF61" s="75">
        <f>AE61*(1-PARAM!$C$27)*$I$10+(MOD($B61,60)=PARAM!$B$56)*($B61&gt;(60-PARAM!$B$56))*HLOOKUP(($B61+PARAM!$B$56)/12,Loyalty,2)*$F$1*MAX(AH60,0)</f>
        <v>18.557001321003963</v>
      </c>
      <c r="AG61" s="75">
        <f>PARAM!$C$26+MAX($G$10-CHOOSE(PARAM!$B$44,MAX(0,AH60*$F$1),0),0)*RATES!$L37/12+$H$10*(PARAM!$D$51/12)*RATES!$N37/100</f>
        <v>7.3333333333333339</v>
      </c>
      <c r="AH61" s="16">
        <f t="shared" si="32"/>
        <v>-888.01177895200124</v>
      </c>
      <c r="AI61" s="15">
        <f t="shared" si="8"/>
        <v>22.170849845882874</v>
      </c>
      <c r="AJ61" s="75">
        <f>AI61*(1-PARAM!$C$27)*$I$11+(MOD($B61,60)=PARAM!$B$56)*($B61&gt;(60-PARAM!$B$56))*HLOOKUP(($B61+PARAM!$B$56)/12,Loyalty,2)*$F$1*MAX(AL60,0)</f>
        <v>18.557001321003963</v>
      </c>
      <c r="AK61" s="75">
        <f>PARAM!$C$26+MAX($G$11-CHOOSE(PARAM!$B$44,MAX(0,AL60*$F$1),0),0)*RATES!$L37/12+$H$11*(PARAM!$D$51/12)*RATES!$N37/100</f>
        <v>7.3333333333333339</v>
      </c>
      <c r="AL61" s="16">
        <f t="shared" si="33"/>
        <v>-888.01177895200124</v>
      </c>
      <c r="AM61" s="15">
        <f t="shared" si="9"/>
        <v>22.170849845882874</v>
      </c>
      <c r="AN61" s="75">
        <f>AM61*(1-PARAM!$C$27)*$I$12+(MOD($B61,60)=PARAM!$B$56)*($B61&gt;(60-PARAM!$B$56))*HLOOKUP(($B61+PARAM!$B$56)/12,Loyalty,2)*$F$1*MAX(AP60,0)</f>
        <v>18.557001321003963</v>
      </c>
      <c r="AO61" s="75">
        <f>PARAM!$C$26+MAX($G$12-CHOOSE(PARAM!$B$44,MAX(0,AP60*$F$1),0),0)*RATES!$L37/12+$H$12*(PARAM!$D$51/12)*RATES!$N37/100</f>
        <v>7.3333333333333339</v>
      </c>
      <c r="AP61" s="16">
        <f t="shared" si="34"/>
        <v>-888.01177895200124</v>
      </c>
      <c r="AQ61" s="15">
        <f t="shared" si="10"/>
        <v>22.170849845882874</v>
      </c>
      <c r="AR61" s="75">
        <f>AQ61*(1-PARAM!$C$27)*$I$13+(MOD($B61,60)=PARAM!$B$56)*($B61&gt;(60-PARAM!$B$56))*HLOOKUP(($B61+PARAM!$B$56)/12,Loyalty,2)*$F$1*MAX(AT60,0)</f>
        <v>18.557001321003963</v>
      </c>
      <c r="AS61" s="75">
        <f>PARAM!$C$26+MAX($G$13-CHOOSE(PARAM!$B$44,MAX(0,AT60*$F$1),0),0)*RATES!$L37/12+$H$13*(PARAM!$D$51/12)*RATES!$N37/100</f>
        <v>7.3333333333333339</v>
      </c>
      <c r="AT61" s="16">
        <f t="shared" si="35"/>
        <v>-888.01177895200124</v>
      </c>
      <c r="AU61" s="15">
        <f t="shared" si="11"/>
        <v>22.170849845882874</v>
      </c>
      <c r="AV61" s="75">
        <f>AU61*(1-PARAM!$C$27)*$I$14+(MOD($B61,60)=PARAM!$B$56)*($B61&gt;(60-PARAM!$B$56))*HLOOKUP(($B61+PARAM!$B$56)/12,Loyalty,2)*$F$1*MAX(AX60,0)</f>
        <v>18.557001321003963</v>
      </c>
      <c r="AW61" s="75">
        <f>PARAM!$C$26+MAX($G$14-CHOOSE(PARAM!$B$44,MAX(0,AX60*$F$1),0),0)*RATES!$L37/12+$H$14*(PARAM!$D$51/12)*RATES!$N37/100</f>
        <v>7.3333333333333339</v>
      </c>
      <c r="AX61" s="16">
        <f t="shared" si="36"/>
        <v>-888.01177895200124</v>
      </c>
      <c r="AY61" s="15">
        <f t="shared" si="12"/>
        <v>22.170849845882874</v>
      </c>
      <c r="AZ61" s="75">
        <f>AY61*(1-PARAM!$C$27)*$I$15+(MOD($B61,60)=PARAM!$B$56)*($B61&gt;(60-PARAM!$B$56))*HLOOKUP(($B61+PARAM!$B$56)/12,Loyalty,2)*$F$1*MAX(BB60,0)</f>
        <v>18.557001321003963</v>
      </c>
      <c r="BA61" s="75">
        <f>PARAM!$C$26+MAX($G$15-CHOOSE(PARAM!$B$44,MAX(0,BB60*$F$1),0),0)*RATES!$L37/12+$H$15*(PARAM!$D$51/12)*RATES!$N37/100</f>
        <v>7.3333333333333339</v>
      </c>
      <c r="BB61" s="16">
        <f t="shared" si="37"/>
        <v>-888.01177895200124</v>
      </c>
      <c r="BC61" s="15">
        <f t="shared" si="13"/>
        <v>22.170849845882874</v>
      </c>
      <c r="BD61" s="75">
        <f>BC61*(1-PARAM!$C$27)*$I$16+(MOD($B61,60)=PARAM!$B$56)*($B61&gt;(60-PARAM!$B$56))*HLOOKUP(($B61+PARAM!$B$56)/12,Loyalty,2)*$F$1*MAX(BF60,0)</f>
        <v>18.557001321003963</v>
      </c>
      <c r="BE61" s="75">
        <f>PARAM!$C$26+MAX($G$16-CHOOSE(PARAM!$B$44,MAX(0,BF60*$F$1),0),0)*RATES!$L37/12+$H$16*(PARAM!$D$51/12)*RATES!$N37/100</f>
        <v>7.3333333333333339</v>
      </c>
      <c r="BF61" s="16">
        <f t="shared" si="38"/>
        <v>-888.01177895200124</v>
      </c>
      <c r="BG61" s="15">
        <f t="shared" si="14"/>
        <v>22.170849845882874</v>
      </c>
      <c r="BH61" s="75">
        <f>BG61*(1-PARAM!$C$27)*$I$17+(MOD($B61,60)=PARAM!$B$56)*($B61&gt;(60-PARAM!$B$56))*HLOOKUP(($B61+PARAM!$B$56)/12,Loyalty,2)*$F$1*MAX(BJ60,0)</f>
        <v>18.557001321003963</v>
      </c>
      <c r="BI61" s="75">
        <f>PARAM!$C$26+MAX($G$17-CHOOSE(PARAM!$B$44,MAX(0,BJ60*$F$1),0),0)*RATES!$L37/12+$H$17*(PARAM!$D$51/12)*RATES!$N37/100</f>
        <v>7.3333333333333339</v>
      </c>
      <c r="BJ61" s="16">
        <f t="shared" si="39"/>
        <v>-888.01177895200124</v>
      </c>
      <c r="BK61" s="15">
        <f t="shared" si="15"/>
        <v>22.170849845882874</v>
      </c>
      <c r="BL61" s="75">
        <f>BK61*(1-PARAM!$C$27)*$I$18+(MOD($B61,60)=PARAM!$B$56)*($B61&gt;(60-PARAM!$B$56))*HLOOKUP(($B61+PARAM!$B$56)/12,Loyalty,2)*$F$1*MAX(BN60,0)</f>
        <v>18.557001321003963</v>
      </c>
      <c r="BM61" s="75">
        <f>PARAM!$C$26+MAX($G$18-CHOOSE(PARAM!$B$44,MAX(0,BN60*$F$1),0),0)*RATES!$L37/12+$H$18*(PARAM!$D$51/12)*RATES!$N37/100</f>
        <v>7.3333333333333339</v>
      </c>
      <c r="BN61" s="16">
        <f t="shared" si="40"/>
        <v>-888.01177895200124</v>
      </c>
      <c r="BO61" s="15">
        <f t="shared" si="16"/>
        <v>22.170849845882874</v>
      </c>
      <c r="BP61" s="75">
        <f>BO61*(1-PARAM!$C$27)*$I$19+(MOD($B61,60)=PARAM!$B$56)*($B61&gt;(60-PARAM!$B$56))*HLOOKUP(($B61+PARAM!$B$56)/12,Loyalty,2)*$F$1*MAX(BR60,0)</f>
        <v>18.557001321003963</v>
      </c>
      <c r="BQ61" s="75">
        <f>PARAM!$C$26+MAX($G$19-CHOOSE(PARAM!$B$44,MAX(0,BR60*$F$1),0),0)*RATES!$L37/12+$H$19*(PARAM!$D$51/12)*RATES!$N37/100</f>
        <v>7.3333333333333339</v>
      </c>
      <c r="BR61" s="16">
        <f t="shared" si="41"/>
        <v>-888.01177895200124</v>
      </c>
      <c r="BS61" s="15">
        <f t="shared" si="17"/>
        <v>22.170849845882874</v>
      </c>
      <c r="BT61" s="75">
        <f>BS61*(1-PARAM!$C$27)*$I$20+(MOD($B61,60)=PARAM!$B$56)*($B61&gt;(60-PARAM!$B$56))*HLOOKUP(($B61+PARAM!$B$56)/12,Loyalty,2)*$F$1*MAX(BV60,0)</f>
        <v>18.557001321003963</v>
      </c>
      <c r="BU61" s="75">
        <f>PARAM!$C$26+MAX($G$20-CHOOSE(PARAM!$B$44,MAX(0,BV60*$F$1),0),0)*RATES!$L37/12+$H$20*(PARAM!$D$51/12)*RATES!$N37/100</f>
        <v>7.3333333333333339</v>
      </c>
      <c r="BV61" s="16">
        <f t="shared" si="42"/>
        <v>-888.01177895200124</v>
      </c>
      <c r="BW61" s="15">
        <f t="shared" si="18"/>
        <v>22.170849845882874</v>
      </c>
      <c r="BX61" s="75">
        <f>BW61*(1-PARAM!$C$27)*$I$21+(MOD($B61,60)=PARAM!$B$56)*($B61&gt;(60-PARAM!$B$56))*HLOOKUP(($B61+PARAM!$B$56)/12,Loyalty,2)*$F$1*MAX(BZ60,0)</f>
        <v>18.557001321003963</v>
      </c>
      <c r="BY61" s="75">
        <f>PARAM!$C$26+MAX($G$21-CHOOSE(PARAM!$B$44,MAX(0,BZ60*$F$1),0),0)*RATES!$L37/12+$H$21*(PARAM!$D$51/12)*RATES!$N37/100</f>
        <v>7.3333333333333339</v>
      </c>
      <c r="BZ61" s="16">
        <f t="shared" si="43"/>
        <v>-888.01177895200124</v>
      </c>
      <c r="CA61" s="15">
        <f t="shared" si="19"/>
        <v>22.170849845882874</v>
      </c>
      <c r="CB61" s="75">
        <f>CA61*(1-PARAM!$C$27)*$I$22+(MOD($B61,60)=PARAM!$B$56)*($B61&gt;(60-PARAM!$B$56))*HLOOKUP(($B61+PARAM!$B$56)/12,Loyalty,2)*$F$1*MAX(CD60,0)</f>
        <v>18.557001321003963</v>
      </c>
      <c r="CC61" s="75">
        <f>PARAM!$C$26+MAX($G$22-CHOOSE(PARAM!$B$44,MAX(0,CD60*$F$1),0),0)*RATES!$L37/12+$H$22*(PARAM!$D$51/12)*RATES!$N37/100</f>
        <v>7.3333333333333339</v>
      </c>
      <c r="CD61" s="16">
        <f t="shared" si="44"/>
        <v>-888.01177895200124</v>
      </c>
      <c r="CE61" s="33">
        <f>IF(0=MOD(B61,12/PARAM!$D$51),1,0)</f>
        <v>1</v>
      </c>
      <c r="CF61" s="15">
        <f t="shared" si="20"/>
        <v>0</v>
      </c>
      <c r="CG61" s="75">
        <f>CF61*(1-PARAM!$C$27)*$R$3+(MOD($B61/12,5)=0)*($B61&gt;60)*HLOOKUP($B61/12,Loyalty,2)*$F$1*MAX(CI60,0)</f>
        <v>0</v>
      </c>
      <c r="CH61" s="75">
        <f>PARAM!$C$26+MAX($P$3-CHOOSE(PARAM!$B$44,MAX(0,CI60*$F$1),0),0)*RATES!$L37/12+$Q$3*(PARAM!$D$51/12)*RATES!$N37/100</f>
        <v>7.3333333333333339</v>
      </c>
      <c r="CI61" s="16">
        <f>IF(CI60&gt;0,CI60*PARAM!$C$53,CI60)+CG61-CH61</f>
        <v>-1324.6666666666663</v>
      </c>
      <c r="CJ61" s="15">
        <f t="shared" si="45"/>
        <v>0</v>
      </c>
      <c r="CK61" s="75">
        <f>CJ61*(1-PARAM!$C$27)*$R$4+(MOD($B61/12,5)=0)*($B61&gt;60)*HLOOKUP($B61/12,Loyalty,2)*$F$1*MAX(CM60,0)</f>
        <v>0</v>
      </c>
      <c r="CL61" s="75">
        <f>PARAM!$C$26+MAX($P$4-CHOOSE(PARAM!$B$44,MAX(0,CM60*$F$1),0),0)*RATES!$L37/12+$Q$4*(PARAM!$D$51/12)*RATES!$N37/100</f>
        <v>7.3333333333333339</v>
      </c>
      <c r="CM61" s="16">
        <f>IF(CM60&gt;0,CM60*PARAM!$C$53,CM60)+CK61-CL61</f>
        <v>-1324.6666666666663</v>
      </c>
      <c r="CO61" s="176"/>
    </row>
    <row r="62" spans="1:93" x14ac:dyDescent="0.2">
      <c r="A62" t="b">
        <f t="shared" si="21"/>
        <v>0</v>
      </c>
      <c r="B62" s="33">
        <v>35</v>
      </c>
      <c r="C62" s="15">
        <f t="shared" si="46"/>
        <v>20.081305947392778</v>
      </c>
      <c r="D62" s="75">
        <f>C62*(1-PARAM!$C$27)*$I$3+(MOD($B62,60)=PARAM!$B$56)*($B62&gt;(60-PARAM!$B$56))*HLOOKUP(($B62+PARAM!$B$56)/12,Loyalty,2)*$F$1*MAX(F61,0)</f>
        <v>16.808053077967756</v>
      </c>
      <c r="E62" s="75">
        <f>PARAM!$C$26+MAX($G$3-CHOOSE(PARAM!$B$44,MAX(0,F61*$F$1),0),0)*RATES!$L38/12+$H$3*(PARAM!$D$51/12)*RATES!$N38/100</f>
        <v>7.3333333333333339</v>
      </c>
      <c r="F62" s="16">
        <f t="shared" si="22"/>
        <v>-919.6906262881306</v>
      </c>
      <c r="G62" s="15">
        <f t="shared" si="23"/>
        <v>22.035289406060361</v>
      </c>
      <c r="H62" s="75">
        <f>G62*(1-PARAM!$C$27)*$I$4+(MOD($B62,60)=PARAM!$B$56)*($B62&gt;(60-PARAM!$B$56))*HLOOKUP(($B62+PARAM!$B$56)/12,Loyalty,2)*$F$1*MAX(J61,0)</f>
        <v>18.443537232872522</v>
      </c>
      <c r="I62" s="75">
        <f>PARAM!$C$26+MAX($G$4-CHOOSE(PARAM!$B$44,MAX(0,J61*$F$1),0),0)*RATES!$L38/12+$H$4*(PARAM!$D$51/12)*RATES!$N38/100</f>
        <v>7.3333333333333339</v>
      </c>
      <c r="J62" s="16">
        <f t="shared" si="24"/>
        <v>-879.57143791476733</v>
      </c>
      <c r="K62" s="15">
        <f t="shared" si="25"/>
        <v>22.170849845882874</v>
      </c>
      <c r="L62" s="75">
        <f>K62*(1-PARAM!$C$27)*$I$5+(MOD($B62,60)=PARAM!$B$56)*($B62&gt;(60-PARAM!$B$56))*HLOOKUP(($B62+PARAM!$B$56)/12,Loyalty,2)*$F$1*MAX(N61,0)</f>
        <v>18.557001321003963</v>
      </c>
      <c r="M62" s="75">
        <f>PARAM!$C$26+MAX($G$5-CHOOSE(PARAM!$B$44,MAX(0,N61*$F$1),0),0)*RATES!$L38/12+$H$5*(PARAM!$D$51/12)*RATES!$N38/100</f>
        <v>7.3333333333333339</v>
      </c>
      <c r="N62" s="16">
        <f t="shared" si="26"/>
        <v>-876.7881109643306</v>
      </c>
      <c r="O62" s="15">
        <f t="shared" si="27"/>
        <v>22.170849845882874</v>
      </c>
      <c r="P62" s="75">
        <f>O62*(1-PARAM!$C$27)*$I$6+(MOD($B62,60)=PARAM!$B$56)*($B62&gt;(60-PARAM!$B$56))*HLOOKUP(($B62+PARAM!$B$56)/12,Loyalty,2)*$F$1*MAX(R61,0)</f>
        <v>18.557001321003963</v>
      </c>
      <c r="Q62" s="75">
        <f>PARAM!$C$26+MAX($G$6-CHOOSE(PARAM!$B$44,MAX(0,R61*$F$1),0),0)*RATES!$L38/12+$H$6*(PARAM!$D$51/12)*RATES!$N38/100</f>
        <v>7.3333333333333339</v>
      </c>
      <c r="R62" s="16">
        <f t="shared" si="28"/>
        <v>-876.7881109643306</v>
      </c>
      <c r="S62" s="15">
        <f t="shared" si="4"/>
        <v>22.170849845882874</v>
      </c>
      <c r="T62" s="75">
        <f>S62*(1-PARAM!$C$27)*$I$7+(MOD($B62,60)=PARAM!$B$56)*($B62&gt;(60-PARAM!$B$56))*HLOOKUP(($B62+PARAM!$B$56)/12,Loyalty,2)*$F$1*MAX(V61,0)</f>
        <v>18.557001321003963</v>
      </c>
      <c r="U62" s="75">
        <f>PARAM!$C$26+MAX($G$7-CHOOSE(PARAM!$B$44,MAX(0,V61*$F$1),0),0)*RATES!$L38/12+$H$7*(PARAM!$D$51/12)*RATES!$N38/100</f>
        <v>7.3333333333333339</v>
      </c>
      <c r="V62" s="16">
        <f t="shared" si="29"/>
        <v>-876.7881109643306</v>
      </c>
      <c r="W62" s="15">
        <f t="shared" si="5"/>
        <v>22.170849845882874</v>
      </c>
      <c r="X62" s="75">
        <f>W62*(1-PARAM!$C$27)*$I$8+(MOD($B62,60)=PARAM!$B$56)*($B62&gt;(60-PARAM!$B$56))*HLOOKUP(($B62+PARAM!$B$56)/12,Loyalty,2)*$F$1*MAX(Z61,0)</f>
        <v>18.557001321003963</v>
      </c>
      <c r="Y62" s="75">
        <f>PARAM!$C$26+MAX($G$8-CHOOSE(PARAM!$B$44,MAX(0,Z61*$F$1),0),0)*RATES!$L38/12+$H$8*(PARAM!$D$51/12)*RATES!$N38/100</f>
        <v>7.3333333333333339</v>
      </c>
      <c r="Z62" s="16">
        <f t="shared" si="30"/>
        <v>-876.7881109643306</v>
      </c>
      <c r="AA62" s="15">
        <f t="shared" si="6"/>
        <v>22.170849845882874</v>
      </c>
      <c r="AB62" s="75">
        <f>AA62*(1-PARAM!$C$27)*$I$9+(MOD($B62,60)=PARAM!$B$56)*($B62&gt;(60-PARAM!$B$56))*HLOOKUP(($B62+PARAM!$B$56)/12,Loyalty,2)*$F$1*MAX(AD61,0)</f>
        <v>18.557001321003963</v>
      </c>
      <c r="AC62" s="75">
        <f>PARAM!$C$26+MAX($G$9-CHOOSE(PARAM!$B$44,MAX(0,AD61*$F$1),0),0)*RATES!$L38/12+$H$9*(PARAM!$D$51/12)*RATES!$N38/100</f>
        <v>7.3333333333333339</v>
      </c>
      <c r="AD62" s="16">
        <f t="shared" si="31"/>
        <v>-876.7881109643306</v>
      </c>
      <c r="AE62" s="15">
        <f t="shared" si="7"/>
        <v>22.170849845882874</v>
      </c>
      <c r="AF62" s="75">
        <f>AE62*(1-PARAM!$C$27)*$I$10+(MOD($B62,60)=PARAM!$B$56)*($B62&gt;(60-PARAM!$B$56))*HLOOKUP(($B62+PARAM!$B$56)/12,Loyalty,2)*$F$1*MAX(AH61,0)</f>
        <v>18.557001321003963</v>
      </c>
      <c r="AG62" s="75">
        <f>PARAM!$C$26+MAX($G$10-CHOOSE(PARAM!$B$44,MAX(0,AH61*$F$1),0),0)*RATES!$L38/12+$H$10*(PARAM!$D$51/12)*RATES!$N38/100</f>
        <v>7.3333333333333339</v>
      </c>
      <c r="AH62" s="16">
        <f t="shared" si="32"/>
        <v>-876.7881109643306</v>
      </c>
      <c r="AI62" s="15">
        <f t="shared" si="8"/>
        <v>22.170849845882874</v>
      </c>
      <c r="AJ62" s="75">
        <f>AI62*(1-PARAM!$C$27)*$I$11+(MOD($B62,60)=PARAM!$B$56)*($B62&gt;(60-PARAM!$B$56))*HLOOKUP(($B62+PARAM!$B$56)/12,Loyalty,2)*$F$1*MAX(AL61,0)</f>
        <v>18.557001321003963</v>
      </c>
      <c r="AK62" s="75">
        <f>PARAM!$C$26+MAX($G$11-CHOOSE(PARAM!$B$44,MAX(0,AL61*$F$1),0),0)*RATES!$L38/12+$H$11*(PARAM!$D$51/12)*RATES!$N38/100</f>
        <v>7.3333333333333339</v>
      </c>
      <c r="AL62" s="16">
        <f t="shared" si="33"/>
        <v>-876.7881109643306</v>
      </c>
      <c r="AM62" s="15">
        <f t="shared" si="9"/>
        <v>22.170849845882874</v>
      </c>
      <c r="AN62" s="75">
        <f>AM62*(1-PARAM!$C$27)*$I$12+(MOD($B62,60)=PARAM!$B$56)*($B62&gt;(60-PARAM!$B$56))*HLOOKUP(($B62+PARAM!$B$56)/12,Loyalty,2)*$F$1*MAX(AP61,0)</f>
        <v>18.557001321003963</v>
      </c>
      <c r="AO62" s="75">
        <f>PARAM!$C$26+MAX($G$12-CHOOSE(PARAM!$B$44,MAX(0,AP61*$F$1),0),0)*RATES!$L38/12+$H$12*(PARAM!$D$51/12)*RATES!$N38/100</f>
        <v>7.3333333333333339</v>
      </c>
      <c r="AP62" s="16">
        <f t="shared" si="34"/>
        <v>-876.7881109643306</v>
      </c>
      <c r="AQ62" s="15">
        <f t="shared" si="10"/>
        <v>22.170849845882874</v>
      </c>
      <c r="AR62" s="75">
        <f>AQ62*(1-PARAM!$C$27)*$I$13+(MOD($B62,60)=PARAM!$B$56)*($B62&gt;(60-PARAM!$B$56))*HLOOKUP(($B62+PARAM!$B$56)/12,Loyalty,2)*$F$1*MAX(AT61,0)</f>
        <v>18.557001321003963</v>
      </c>
      <c r="AS62" s="75">
        <f>PARAM!$C$26+MAX($G$13-CHOOSE(PARAM!$B$44,MAX(0,AT61*$F$1),0),0)*RATES!$L38/12+$H$13*(PARAM!$D$51/12)*RATES!$N38/100</f>
        <v>7.3333333333333339</v>
      </c>
      <c r="AT62" s="16">
        <f t="shared" si="35"/>
        <v>-876.7881109643306</v>
      </c>
      <c r="AU62" s="15">
        <f t="shared" si="11"/>
        <v>22.170849845882874</v>
      </c>
      <c r="AV62" s="75">
        <f>AU62*(1-PARAM!$C$27)*$I$14+(MOD($B62,60)=PARAM!$B$56)*($B62&gt;(60-PARAM!$B$56))*HLOOKUP(($B62+PARAM!$B$56)/12,Loyalty,2)*$F$1*MAX(AX61,0)</f>
        <v>18.557001321003963</v>
      </c>
      <c r="AW62" s="75">
        <f>PARAM!$C$26+MAX($G$14-CHOOSE(PARAM!$B$44,MAX(0,AX61*$F$1),0),0)*RATES!$L38/12+$H$14*(PARAM!$D$51/12)*RATES!$N38/100</f>
        <v>7.3333333333333339</v>
      </c>
      <c r="AX62" s="16">
        <f t="shared" si="36"/>
        <v>-876.7881109643306</v>
      </c>
      <c r="AY62" s="15">
        <f t="shared" si="12"/>
        <v>22.170849845882874</v>
      </c>
      <c r="AZ62" s="75">
        <f>AY62*(1-PARAM!$C$27)*$I$15+(MOD($B62,60)=PARAM!$B$56)*($B62&gt;(60-PARAM!$B$56))*HLOOKUP(($B62+PARAM!$B$56)/12,Loyalty,2)*$F$1*MAX(BB61,0)</f>
        <v>18.557001321003963</v>
      </c>
      <c r="BA62" s="75">
        <f>PARAM!$C$26+MAX($G$15-CHOOSE(PARAM!$B$44,MAX(0,BB61*$F$1),0),0)*RATES!$L38/12+$H$15*(PARAM!$D$51/12)*RATES!$N38/100</f>
        <v>7.3333333333333339</v>
      </c>
      <c r="BB62" s="16">
        <f t="shared" si="37"/>
        <v>-876.7881109643306</v>
      </c>
      <c r="BC62" s="15">
        <f t="shared" si="13"/>
        <v>22.170849845882874</v>
      </c>
      <c r="BD62" s="75">
        <f>BC62*(1-PARAM!$C$27)*$I$16+(MOD($B62,60)=PARAM!$B$56)*($B62&gt;(60-PARAM!$B$56))*HLOOKUP(($B62+PARAM!$B$56)/12,Loyalty,2)*$F$1*MAX(BF61,0)</f>
        <v>18.557001321003963</v>
      </c>
      <c r="BE62" s="75">
        <f>PARAM!$C$26+MAX($G$16-CHOOSE(PARAM!$B$44,MAX(0,BF61*$F$1),0),0)*RATES!$L38/12+$H$16*(PARAM!$D$51/12)*RATES!$N38/100</f>
        <v>7.3333333333333339</v>
      </c>
      <c r="BF62" s="16">
        <f t="shared" si="38"/>
        <v>-876.7881109643306</v>
      </c>
      <c r="BG62" s="15">
        <f t="shared" si="14"/>
        <v>22.170849845882874</v>
      </c>
      <c r="BH62" s="75">
        <f>BG62*(1-PARAM!$C$27)*$I$17+(MOD($B62,60)=PARAM!$B$56)*($B62&gt;(60-PARAM!$B$56))*HLOOKUP(($B62+PARAM!$B$56)/12,Loyalty,2)*$F$1*MAX(BJ61,0)</f>
        <v>18.557001321003963</v>
      </c>
      <c r="BI62" s="75">
        <f>PARAM!$C$26+MAX($G$17-CHOOSE(PARAM!$B$44,MAX(0,BJ61*$F$1),0),0)*RATES!$L38/12+$H$17*(PARAM!$D$51/12)*RATES!$N38/100</f>
        <v>7.3333333333333339</v>
      </c>
      <c r="BJ62" s="16">
        <f t="shared" si="39"/>
        <v>-876.7881109643306</v>
      </c>
      <c r="BK62" s="15">
        <f t="shared" si="15"/>
        <v>22.170849845882874</v>
      </c>
      <c r="BL62" s="75">
        <f>BK62*(1-PARAM!$C$27)*$I$18+(MOD($B62,60)=PARAM!$B$56)*($B62&gt;(60-PARAM!$B$56))*HLOOKUP(($B62+PARAM!$B$56)/12,Loyalty,2)*$F$1*MAX(BN61,0)</f>
        <v>18.557001321003963</v>
      </c>
      <c r="BM62" s="75">
        <f>PARAM!$C$26+MAX($G$18-CHOOSE(PARAM!$B$44,MAX(0,BN61*$F$1),0),0)*RATES!$L38/12+$H$18*(PARAM!$D$51/12)*RATES!$N38/100</f>
        <v>7.3333333333333339</v>
      </c>
      <c r="BN62" s="16">
        <f t="shared" si="40"/>
        <v>-876.7881109643306</v>
      </c>
      <c r="BO62" s="15">
        <f t="shared" si="16"/>
        <v>22.170849845882874</v>
      </c>
      <c r="BP62" s="75">
        <f>BO62*(1-PARAM!$C$27)*$I$19+(MOD($B62,60)=PARAM!$B$56)*($B62&gt;(60-PARAM!$B$56))*HLOOKUP(($B62+PARAM!$B$56)/12,Loyalty,2)*$F$1*MAX(BR61,0)</f>
        <v>18.557001321003963</v>
      </c>
      <c r="BQ62" s="75">
        <f>PARAM!$C$26+MAX($G$19-CHOOSE(PARAM!$B$44,MAX(0,BR61*$F$1),0),0)*RATES!$L38/12+$H$19*(PARAM!$D$51/12)*RATES!$N38/100</f>
        <v>7.3333333333333339</v>
      </c>
      <c r="BR62" s="16">
        <f t="shared" si="41"/>
        <v>-876.7881109643306</v>
      </c>
      <c r="BS62" s="15">
        <f t="shared" si="17"/>
        <v>22.170849845882874</v>
      </c>
      <c r="BT62" s="75">
        <f>BS62*(1-PARAM!$C$27)*$I$20+(MOD($B62,60)=PARAM!$B$56)*($B62&gt;(60-PARAM!$B$56))*HLOOKUP(($B62+PARAM!$B$56)/12,Loyalty,2)*$F$1*MAX(BV61,0)</f>
        <v>18.557001321003963</v>
      </c>
      <c r="BU62" s="75">
        <f>PARAM!$C$26+MAX($G$20-CHOOSE(PARAM!$B$44,MAX(0,BV61*$F$1),0),0)*RATES!$L38/12+$H$20*(PARAM!$D$51/12)*RATES!$N38/100</f>
        <v>7.3333333333333339</v>
      </c>
      <c r="BV62" s="16">
        <f t="shared" si="42"/>
        <v>-876.7881109643306</v>
      </c>
      <c r="BW62" s="15">
        <f t="shared" si="18"/>
        <v>22.170849845882874</v>
      </c>
      <c r="BX62" s="75">
        <f>BW62*(1-PARAM!$C$27)*$I$21+(MOD($B62,60)=PARAM!$B$56)*($B62&gt;(60-PARAM!$B$56))*HLOOKUP(($B62+PARAM!$B$56)/12,Loyalty,2)*$F$1*MAX(BZ61,0)</f>
        <v>18.557001321003963</v>
      </c>
      <c r="BY62" s="75">
        <f>PARAM!$C$26+MAX($G$21-CHOOSE(PARAM!$B$44,MAX(0,BZ61*$F$1),0),0)*RATES!$L38/12+$H$21*(PARAM!$D$51/12)*RATES!$N38/100</f>
        <v>7.3333333333333339</v>
      </c>
      <c r="BZ62" s="16">
        <f t="shared" si="43"/>
        <v>-876.7881109643306</v>
      </c>
      <c r="CA62" s="15">
        <f t="shared" si="19"/>
        <v>22.170849845882874</v>
      </c>
      <c r="CB62" s="75">
        <f>CA62*(1-PARAM!$C$27)*$I$22+(MOD($B62,60)=PARAM!$B$56)*($B62&gt;(60-PARAM!$B$56))*HLOOKUP(($B62+PARAM!$B$56)/12,Loyalty,2)*$F$1*MAX(CD61,0)</f>
        <v>18.557001321003963</v>
      </c>
      <c r="CC62" s="75">
        <f>PARAM!$C$26+MAX($G$22-CHOOSE(PARAM!$B$44,MAX(0,CD61*$F$1),0),0)*RATES!$L38/12+$H$22*(PARAM!$D$51/12)*RATES!$N38/100</f>
        <v>7.3333333333333339</v>
      </c>
      <c r="CD62" s="16">
        <f t="shared" si="44"/>
        <v>-876.7881109643306</v>
      </c>
      <c r="CE62" s="33">
        <f>IF(0=MOD(B62,12/PARAM!$D$51),1,0)</f>
        <v>1</v>
      </c>
      <c r="CF62" s="15">
        <f t="shared" si="20"/>
        <v>0</v>
      </c>
      <c r="CG62" s="75">
        <f>CF62*(1-PARAM!$C$27)*$R$3+(MOD($B62/12,5)=0)*($B62&gt;60)*HLOOKUP($B62/12,Loyalty,2)*$F$1*MAX(CI61,0)</f>
        <v>0</v>
      </c>
      <c r="CH62" s="75">
        <f>PARAM!$C$26+MAX($P$3-CHOOSE(PARAM!$B$44,MAX(0,CI61*$F$1),0),0)*RATES!$L38/12+$Q$3*(PARAM!$D$51/12)*RATES!$N38/100</f>
        <v>7.3333333333333339</v>
      </c>
      <c r="CI62" s="16">
        <f>IF(CI61&gt;0,CI61*PARAM!$C$53,CI61)+CG62-CH62</f>
        <v>-1331.9999999999995</v>
      </c>
      <c r="CJ62" s="15">
        <f t="shared" si="45"/>
        <v>0</v>
      </c>
      <c r="CK62" s="75">
        <f>CJ62*(1-PARAM!$C$27)*$R$4+(MOD($B62/12,5)=0)*($B62&gt;60)*HLOOKUP($B62/12,Loyalty,2)*$F$1*MAX(CM61,0)</f>
        <v>0</v>
      </c>
      <c r="CL62" s="75">
        <f>PARAM!$C$26+MAX($P$4-CHOOSE(PARAM!$B$44,MAX(0,CM61*$F$1),0),0)*RATES!$L38/12+$Q$4*(PARAM!$D$51/12)*RATES!$N38/100</f>
        <v>7.3333333333333339</v>
      </c>
      <c r="CM62" s="16">
        <f>IF(CM61&gt;0,CM61*PARAM!$C$53,CM61)+CK62-CL62</f>
        <v>-1331.9999999999995</v>
      </c>
      <c r="CO62" s="176"/>
    </row>
    <row r="63" spans="1:93" x14ac:dyDescent="0.2">
      <c r="A63" t="b">
        <f t="shared" si="21"/>
        <v>0</v>
      </c>
      <c r="B63" s="33">
        <v>36</v>
      </c>
      <c r="C63" s="15">
        <f t="shared" si="46"/>
        <v>20.081305947392778</v>
      </c>
      <c r="D63" s="75">
        <f>C63*(1-PARAM!$C$27)*$I$3+(MOD($B63,60)=PARAM!$B$56)*($B63&gt;(60-PARAM!$B$56))*HLOOKUP(($B63+PARAM!$B$56)/12,Loyalty,2)*$F$1*MAX(F62,0)</f>
        <v>16.808053077967756</v>
      </c>
      <c r="E63" s="75">
        <f>PARAM!$C$26+MAX($G$3-CHOOSE(PARAM!$B$44,MAX(0,F62*$F$1),0),0)*RATES!$L39/12+$H$3*(PARAM!$D$51/12)*RATES!$N39/100</f>
        <v>7.3333333333333339</v>
      </c>
      <c r="F63" s="16">
        <f t="shared" si="22"/>
        <v>-910.2159065434962</v>
      </c>
      <c r="G63" s="15">
        <f t="shared" si="23"/>
        <v>22.035289406060361</v>
      </c>
      <c r="H63" s="75">
        <f>G63*(1-PARAM!$C$27)*$I$4+(MOD($B63,60)=PARAM!$B$56)*($B63&gt;(60-PARAM!$B$56))*HLOOKUP(($B63+PARAM!$B$56)/12,Loyalty,2)*$F$1*MAX(J62,0)</f>
        <v>18.443537232872522</v>
      </c>
      <c r="I63" s="75">
        <f>PARAM!$C$26+MAX($G$4-CHOOSE(PARAM!$B$44,MAX(0,J62*$F$1),0),0)*RATES!$L39/12+$H$4*(PARAM!$D$51/12)*RATES!$N39/100</f>
        <v>7.3333333333333339</v>
      </c>
      <c r="J63" s="16">
        <f t="shared" si="24"/>
        <v>-868.46123401522823</v>
      </c>
      <c r="K63" s="15">
        <f t="shared" si="25"/>
        <v>22.170849845882874</v>
      </c>
      <c r="L63" s="75">
        <f>K63*(1-PARAM!$C$27)*$I$5+(MOD($B63,60)=PARAM!$B$56)*($B63&gt;(60-PARAM!$B$56))*HLOOKUP(($B63+PARAM!$B$56)/12,Loyalty,2)*$F$1*MAX(N62,0)</f>
        <v>18.557001321003963</v>
      </c>
      <c r="M63" s="75">
        <f>PARAM!$C$26+MAX($G$5-CHOOSE(PARAM!$B$44,MAX(0,N62*$F$1),0),0)*RATES!$L39/12+$H$5*(PARAM!$D$51/12)*RATES!$N39/100</f>
        <v>7.3333333333333339</v>
      </c>
      <c r="N63" s="16">
        <f t="shared" si="26"/>
        <v>-865.56444297665996</v>
      </c>
      <c r="O63" s="15">
        <f t="shared" si="27"/>
        <v>22.170849845882874</v>
      </c>
      <c r="P63" s="75">
        <f>O63*(1-PARAM!$C$27)*$I$6+(MOD($B63,60)=PARAM!$B$56)*($B63&gt;(60-PARAM!$B$56))*HLOOKUP(($B63+PARAM!$B$56)/12,Loyalty,2)*$F$1*MAX(R62,0)</f>
        <v>18.557001321003963</v>
      </c>
      <c r="Q63" s="75">
        <f>PARAM!$C$26+MAX($G$6-CHOOSE(PARAM!$B$44,MAX(0,R62*$F$1),0),0)*RATES!$L39/12+$H$6*(PARAM!$D$51/12)*RATES!$N39/100</f>
        <v>7.3333333333333339</v>
      </c>
      <c r="R63" s="16">
        <f t="shared" si="28"/>
        <v>-865.56444297665996</v>
      </c>
      <c r="S63" s="15">
        <f t="shared" si="4"/>
        <v>22.170849845882874</v>
      </c>
      <c r="T63" s="75">
        <f>S63*(1-PARAM!$C$27)*$I$7+(MOD($B63,60)=PARAM!$B$56)*($B63&gt;(60-PARAM!$B$56))*HLOOKUP(($B63+PARAM!$B$56)/12,Loyalty,2)*$F$1*MAX(V62,0)</f>
        <v>18.557001321003963</v>
      </c>
      <c r="U63" s="75">
        <f>PARAM!$C$26+MAX($G$7-CHOOSE(PARAM!$B$44,MAX(0,V62*$F$1),0),0)*RATES!$L39/12+$H$7*(PARAM!$D$51/12)*RATES!$N39/100</f>
        <v>7.3333333333333339</v>
      </c>
      <c r="V63" s="16">
        <f t="shared" si="29"/>
        <v>-865.56444297665996</v>
      </c>
      <c r="W63" s="15">
        <f t="shared" si="5"/>
        <v>22.170849845882874</v>
      </c>
      <c r="X63" s="75">
        <f>W63*(1-PARAM!$C$27)*$I$8+(MOD($B63,60)=PARAM!$B$56)*($B63&gt;(60-PARAM!$B$56))*HLOOKUP(($B63+PARAM!$B$56)/12,Loyalty,2)*$F$1*MAX(Z62,0)</f>
        <v>18.557001321003963</v>
      </c>
      <c r="Y63" s="75">
        <f>PARAM!$C$26+MAX($G$8-CHOOSE(PARAM!$B$44,MAX(0,Z62*$F$1),0),0)*RATES!$L39/12+$H$8*(PARAM!$D$51/12)*RATES!$N39/100</f>
        <v>7.3333333333333339</v>
      </c>
      <c r="Z63" s="16">
        <f t="shared" si="30"/>
        <v>-865.56444297665996</v>
      </c>
      <c r="AA63" s="15">
        <f t="shared" si="6"/>
        <v>22.170849845882874</v>
      </c>
      <c r="AB63" s="75">
        <f>AA63*(1-PARAM!$C$27)*$I$9+(MOD($B63,60)=PARAM!$B$56)*($B63&gt;(60-PARAM!$B$56))*HLOOKUP(($B63+PARAM!$B$56)/12,Loyalty,2)*$F$1*MAX(AD62,0)</f>
        <v>18.557001321003963</v>
      </c>
      <c r="AC63" s="75">
        <f>PARAM!$C$26+MAX($G$9-CHOOSE(PARAM!$B$44,MAX(0,AD62*$F$1),0),0)*RATES!$L39/12+$H$9*(PARAM!$D$51/12)*RATES!$N39/100</f>
        <v>7.3333333333333339</v>
      </c>
      <c r="AD63" s="16">
        <f t="shared" si="31"/>
        <v>-865.56444297665996</v>
      </c>
      <c r="AE63" s="15">
        <f t="shared" si="7"/>
        <v>22.170849845882874</v>
      </c>
      <c r="AF63" s="75">
        <f>AE63*(1-PARAM!$C$27)*$I$10+(MOD($B63,60)=PARAM!$B$56)*($B63&gt;(60-PARAM!$B$56))*HLOOKUP(($B63+PARAM!$B$56)/12,Loyalty,2)*$F$1*MAX(AH62,0)</f>
        <v>18.557001321003963</v>
      </c>
      <c r="AG63" s="75">
        <f>PARAM!$C$26+MAX($G$10-CHOOSE(PARAM!$B$44,MAX(0,AH62*$F$1),0),0)*RATES!$L39/12+$H$10*(PARAM!$D$51/12)*RATES!$N39/100</f>
        <v>7.3333333333333339</v>
      </c>
      <c r="AH63" s="16">
        <f t="shared" si="32"/>
        <v>-865.56444297665996</v>
      </c>
      <c r="AI63" s="15">
        <f t="shared" si="8"/>
        <v>22.170849845882874</v>
      </c>
      <c r="AJ63" s="75">
        <f>AI63*(1-PARAM!$C$27)*$I$11+(MOD($B63,60)=PARAM!$B$56)*($B63&gt;(60-PARAM!$B$56))*HLOOKUP(($B63+PARAM!$B$56)/12,Loyalty,2)*$F$1*MAX(AL62,0)</f>
        <v>18.557001321003963</v>
      </c>
      <c r="AK63" s="75">
        <f>PARAM!$C$26+MAX($G$11-CHOOSE(PARAM!$B$44,MAX(0,AL62*$F$1),0),0)*RATES!$L39/12+$H$11*(PARAM!$D$51/12)*RATES!$N39/100</f>
        <v>7.3333333333333339</v>
      </c>
      <c r="AL63" s="16">
        <f t="shared" si="33"/>
        <v>-865.56444297665996</v>
      </c>
      <c r="AM63" s="15">
        <f t="shared" si="9"/>
        <v>22.170849845882874</v>
      </c>
      <c r="AN63" s="75">
        <f>AM63*(1-PARAM!$C$27)*$I$12+(MOD($B63,60)=PARAM!$B$56)*($B63&gt;(60-PARAM!$B$56))*HLOOKUP(($B63+PARAM!$B$56)/12,Loyalty,2)*$F$1*MAX(AP62,0)</f>
        <v>18.557001321003963</v>
      </c>
      <c r="AO63" s="75">
        <f>PARAM!$C$26+MAX($G$12-CHOOSE(PARAM!$B$44,MAX(0,AP62*$F$1),0),0)*RATES!$L39/12+$H$12*(PARAM!$D$51/12)*RATES!$N39/100</f>
        <v>7.3333333333333339</v>
      </c>
      <c r="AP63" s="16">
        <f t="shared" si="34"/>
        <v>-865.56444297665996</v>
      </c>
      <c r="AQ63" s="15">
        <f t="shared" si="10"/>
        <v>22.170849845882874</v>
      </c>
      <c r="AR63" s="75">
        <f>AQ63*(1-PARAM!$C$27)*$I$13+(MOD($B63,60)=PARAM!$B$56)*($B63&gt;(60-PARAM!$B$56))*HLOOKUP(($B63+PARAM!$B$56)/12,Loyalty,2)*$F$1*MAX(AT62,0)</f>
        <v>18.557001321003963</v>
      </c>
      <c r="AS63" s="75">
        <f>PARAM!$C$26+MAX($G$13-CHOOSE(PARAM!$B$44,MAX(0,AT62*$F$1),0),0)*RATES!$L39/12+$H$13*(PARAM!$D$51/12)*RATES!$N39/100</f>
        <v>7.3333333333333339</v>
      </c>
      <c r="AT63" s="16">
        <f t="shared" si="35"/>
        <v>-865.56444297665996</v>
      </c>
      <c r="AU63" s="15">
        <f t="shared" si="11"/>
        <v>22.170849845882874</v>
      </c>
      <c r="AV63" s="75">
        <f>AU63*(1-PARAM!$C$27)*$I$14+(MOD($B63,60)=PARAM!$B$56)*($B63&gt;(60-PARAM!$B$56))*HLOOKUP(($B63+PARAM!$B$56)/12,Loyalty,2)*$F$1*MAX(AX62,0)</f>
        <v>18.557001321003963</v>
      </c>
      <c r="AW63" s="75">
        <f>PARAM!$C$26+MAX($G$14-CHOOSE(PARAM!$B$44,MAX(0,AX62*$F$1),0),0)*RATES!$L39/12+$H$14*(PARAM!$D$51/12)*RATES!$N39/100</f>
        <v>7.3333333333333339</v>
      </c>
      <c r="AX63" s="16">
        <f t="shared" si="36"/>
        <v>-865.56444297665996</v>
      </c>
      <c r="AY63" s="15">
        <f t="shared" si="12"/>
        <v>22.170849845882874</v>
      </c>
      <c r="AZ63" s="75">
        <f>AY63*(1-PARAM!$C$27)*$I$15+(MOD($B63,60)=PARAM!$B$56)*($B63&gt;(60-PARAM!$B$56))*HLOOKUP(($B63+PARAM!$B$56)/12,Loyalty,2)*$F$1*MAX(BB62,0)</f>
        <v>18.557001321003963</v>
      </c>
      <c r="BA63" s="75">
        <f>PARAM!$C$26+MAX($G$15-CHOOSE(PARAM!$B$44,MAX(0,BB62*$F$1),0),0)*RATES!$L39/12+$H$15*(PARAM!$D$51/12)*RATES!$N39/100</f>
        <v>7.3333333333333339</v>
      </c>
      <c r="BB63" s="16">
        <f t="shared" si="37"/>
        <v>-865.56444297665996</v>
      </c>
      <c r="BC63" s="15">
        <f t="shared" si="13"/>
        <v>22.170849845882874</v>
      </c>
      <c r="BD63" s="75">
        <f>BC63*(1-PARAM!$C$27)*$I$16+(MOD($B63,60)=PARAM!$B$56)*($B63&gt;(60-PARAM!$B$56))*HLOOKUP(($B63+PARAM!$B$56)/12,Loyalty,2)*$F$1*MAX(BF62,0)</f>
        <v>18.557001321003963</v>
      </c>
      <c r="BE63" s="75">
        <f>PARAM!$C$26+MAX($G$16-CHOOSE(PARAM!$B$44,MAX(0,BF62*$F$1),0),0)*RATES!$L39/12+$H$16*(PARAM!$D$51/12)*RATES!$N39/100</f>
        <v>7.3333333333333339</v>
      </c>
      <c r="BF63" s="16">
        <f t="shared" si="38"/>
        <v>-865.56444297665996</v>
      </c>
      <c r="BG63" s="15">
        <f t="shared" si="14"/>
        <v>22.170849845882874</v>
      </c>
      <c r="BH63" s="75">
        <f>BG63*(1-PARAM!$C$27)*$I$17+(MOD($B63,60)=PARAM!$B$56)*($B63&gt;(60-PARAM!$B$56))*HLOOKUP(($B63+PARAM!$B$56)/12,Loyalty,2)*$F$1*MAX(BJ62,0)</f>
        <v>18.557001321003963</v>
      </c>
      <c r="BI63" s="75">
        <f>PARAM!$C$26+MAX($G$17-CHOOSE(PARAM!$B$44,MAX(0,BJ62*$F$1),0),0)*RATES!$L39/12+$H$17*(PARAM!$D$51/12)*RATES!$N39/100</f>
        <v>7.3333333333333339</v>
      </c>
      <c r="BJ63" s="16">
        <f t="shared" si="39"/>
        <v>-865.56444297665996</v>
      </c>
      <c r="BK63" s="15">
        <f t="shared" si="15"/>
        <v>22.170849845882874</v>
      </c>
      <c r="BL63" s="75">
        <f>BK63*(1-PARAM!$C$27)*$I$18+(MOD($B63,60)=PARAM!$B$56)*($B63&gt;(60-PARAM!$B$56))*HLOOKUP(($B63+PARAM!$B$56)/12,Loyalty,2)*$F$1*MAX(BN62,0)</f>
        <v>18.557001321003963</v>
      </c>
      <c r="BM63" s="75">
        <f>PARAM!$C$26+MAX($G$18-CHOOSE(PARAM!$B$44,MAX(0,BN62*$F$1),0),0)*RATES!$L39/12+$H$18*(PARAM!$D$51/12)*RATES!$N39/100</f>
        <v>7.3333333333333339</v>
      </c>
      <c r="BN63" s="16">
        <f t="shared" si="40"/>
        <v>-865.56444297665996</v>
      </c>
      <c r="BO63" s="15">
        <f t="shared" si="16"/>
        <v>22.170849845882874</v>
      </c>
      <c r="BP63" s="75">
        <f>BO63*(1-PARAM!$C$27)*$I$19+(MOD($B63,60)=PARAM!$B$56)*($B63&gt;(60-PARAM!$B$56))*HLOOKUP(($B63+PARAM!$B$56)/12,Loyalty,2)*$F$1*MAX(BR62,0)</f>
        <v>18.557001321003963</v>
      </c>
      <c r="BQ63" s="75">
        <f>PARAM!$C$26+MAX($G$19-CHOOSE(PARAM!$B$44,MAX(0,BR62*$F$1),0),0)*RATES!$L39/12+$H$19*(PARAM!$D$51/12)*RATES!$N39/100</f>
        <v>7.3333333333333339</v>
      </c>
      <c r="BR63" s="16">
        <f t="shared" si="41"/>
        <v>-865.56444297665996</v>
      </c>
      <c r="BS63" s="15">
        <f t="shared" si="17"/>
        <v>22.170849845882874</v>
      </c>
      <c r="BT63" s="75">
        <f>BS63*(1-PARAM!$C$27)*$I$20+(MOD($B63,60)=PARAM!$B$56)*($B63&gt;(60-PARAM!$B$56))*HLOOKUP(($B63+PARAM!$B$56)/12,Loyalty,2)*$F$1*MAX(BV62,0)</f>
        <v>18.557001321003963</v>
      </c>
      <c r="BU63" s="75">
        <f>PARAM!$C$26+MAX($G$20-CHOOSE(PARAM!$B$44,MAX(0,BV62*$F$1),0),0)*RATES!$L39/12+$H$20*(PARAM!$D$51/12)*RATES!$N39/100</f>
        <v>7.3333333333333339</v>
      </c>
      <c r="BV63" s="16">
        <f t="shared" si="42"/>
        <v>-865.56444297665996</v>
      </c>
      <c r="BW63" s="15">
        <f t="shared" si="18"/>
        <v>22.170849845882874</v>
      </c>
      <c r="BX63" s="75">
        <f>BW63*(1-PARAM!$C$27)*$I$21+(MOD($B63,60)=PARAM!$B$56)*($B63&gt;(60-PARAM!$B$56))*HLOOKUP(($B63+PARAM!$B$56)/12,Loyalty,2)*$F$1*MAX(BZ62,0)</f>
        <v>18.557001321003963</v>
      </c>
      <c r="BY63" s="75">
        <f>PARAM!$C$26+MAX($G$21-CHOOSE(PARAM!$B$44,MAX(0,BZ62*$F$1),0),0)*RATES!$L39/12+$H$21*(PARAM!$D$51/12)*RATES!$N39/100</f>
        <v>7.3333333333333339</v>
      </c>
      <c r="BZ63" s="16">
        <f t="shared" si="43"/>
        <v>-865.56444297665996</v>
      </c>
      <c r="CA63" s="15">
        <f t="shared" si="19"/>
        <v>22.170849845882874</v>
      </c>
      <c r="CB63" s="75">
        <f>CA63*(1-PARAM!$C$27)*$I$22+(MOD($B63,60)=PARAM!$B$56)*($B63&gt;(60-PARAM!$B$56))*HLOOKUP(($B63+PARAM!$B$56)/12,Loyalty,2)*$F$1*MAX(CD62,0)</f>
        <v>18.557001321003963</v>
      </c>
      <c r="CC63" s="75">
        <f>PARAM!$C$26+MAX($G$22-CHOOSE(PARAM!$B$44,MAX(0,CD62*$F$1),0),0)*RATES!$L39/12+$H$22*(PARAM!$D$51/12)*RATES!$N39/100</f>
        <v>7.3333333333333339</v>
      </c>
      <c r="CD63" s="16">
        <f t="shared" si="44"/>
        <v>-865.56444297665996</v>
      </c>
      <c r="CE63" s="33">
        <f>IF(0=MOD(B63,12/PARAM!$D$51),1,0)</f>
        <v>1</v>
      </c>
      <c r="CF63" s="15">
        <f t="shared" si="20"/>
        <v>0</v>
      </c>
      <c r="CG63" s="75">
        <f>CF63*(1-PARAM!$C$27)*$R$3+(MOD($B63/12,5)=0)*($B63&gt;60)*HLOOKUP($B63/12,Loyalty,2)*$F$1*MAX(CI62,0)</f>
        <v>0</v>
      </c>
      <c r="CH63" s="75">
        <f>PARAM!$C$26+MAX($P$3-CHOOSE(PARAM!$B$44,MAX(0,CI62*$F$1),0),0)*RATES!$L39/12+$Q$3*(PARAM!$D$51/12)*RATES!$N39/100</f>
        <v>7.3333333333333339</v>
      </c>
      <c r="CI63" s="16">
        <f>IF(CI62&gt;0,CI62*PARAM!$C$53,CI62)+CG63-CH63</f>
        <v>-1339.3333333333328</v>
      </c>
      <c r="CJ63" s="15">
        <f t="shared" si="45"/>
        <v>0</v>
      </c>
      <c r="CK63" s="75">
        <f>CJ63*(1-PARAM!$C$27)*$R$4+(MOD($B63/12,5)=0)*($B63&gt;60)*HLOOKUP($B63/12,Loyalty,2)*$F$1*MAX(CM62,0)</f>
        <v>0</v>
      </c>
      <c r="CL63" s="75">
        <f>PARAM!$C$26+MAX($P$4-CHOOSE(PARAM!$B$44,MAX(0,CM62*$F$1),0),0)*RATES!$L39/12+$Q$4*(PARAM!$D$51/12)*RATES!$N39/100</f>
        <v>7.3333333333333339</v>
      </c>
      <c r="CM63" s="16">
        <f>IF(CM62&gt;0,CM62*PARAM!$C$53,CM62)+CK63-CL63</f>
        <v>-1339.3333333333328</v>
      </c>
      <c r="CO63" s="176"/>
    </row>
    <row r="64" spans="1:93" x14ac:dyDescent="0.2">
      <c r="A64" t="b">
        <f t="shared" si="21"/>
        <v>0</v>
      </c>
      <c r="B64" s="33">
        <v>37</v>
      </c>
      <c r="C64" s="15">
        <f t="shared" si="46"/>
        <v>20.081305947392778</v>
      </c>
      <c r="D64" s="75">
        <f>C64*(1-PARAM!$C$27)*$I$3+(MOD($B64,60)=PARAM!$B$56)*($B64&gt;(60-PARAM!$B$56))*HLOOKUP(($B64+PARAM!$B$56)/12,Loyalty,2)*$F$1*MAX(F63,0)</f>
        <v>16.808053077967756</v>
      </c>
      <c r="E64" s="75">
        <f>PARAM!$C$26+MAX($G$3-CHOOSE(PARAM!$B$44,MAX(0,F63*$F$1),0),0)*RATES!$L40/12+$H$3*(PARAM!$D$51/12)*RATES!$N40/100</f>
        <v>7.3333333333333339</v>
      </c>
      <c r="F64" s="16">
        <f t="shared" si="22"/>
        <v>-900.7411867988618</v>
      </c>
      <c r="G64" s="15">
        <f t="shared" si="23"/>
        <v>22.035289406060361</v>
      </c>
      <c r="H64" s="75">
        <f>G64*(1-PARAM!$C$27)*$I$4+(MOD($B64,60)=PARAM!$B$56)*($B64&gt;(60-PARAM!$B$56))*HLOOKUP(($B64+PARAM!$B$56)/12,Loyalty,2)*$F$1*MAX(J63,0)</f>
        <v>18.443537232872522</v>
      </c>
      <c r="I64" s="75">
        <f>PARAM!$C$26+MAX($G$4-CHOOSE(PARAM!$B$44,MAX(0,J63*$F$1),0),0)*RATES!$L40/12+$H$4*(PARAM!$D$51/12)*RATES!$N40/100</f>
        <v>7.3333333333333339</v>
      </c>
      <c r="J64" s="16">
        <f t="shared" si="24"/>
        <v>-857.35103011568913</v>
      </c>
      <c r="K64" s="15">
        <f t="shared" si="25"/>
        <v>22.170849845882874</v>
      </c>
      <c r="L64" s="75">
        <f>K64*(1-PARAM!$C$27)*$I$5+(MOD($B64,60)=PARAM!$B$56)*($B64&gt;(60-PARAM!$B$56))*HLOOKUP(($B64+PARAM!$B$56)/12,Loyalty,2)*$F$1*MAX(N63,0)</f>
        <v>18.557001321003963</v>
      </c>
      <c r="M64" s="75">
        <f>PARAM!$C$26+MAX($G$5-CHOOSE(PARAM!$B$44,MAX(0,N63*$F$1),0),0)*RATES!$L40/12+$H$5*(PARAM!$D$51/12)*RATES!$N40/100</f>
        <v>7.3333333333333339</v>
      </c>
      <c r="N64" s="16">
        <f t="shared" si="26"/>
        <v>-854.34077498898932</v>
      </c>
      <c r="O64" s="15">
        <f t="shared" si="27"/>
        <v>22.170849845882874</v>
      </c>
      <c r="P64" s="75">
        <f>O64*(1-PARAM!$C$27)*$I$6+(MOD($B64,60)=PARAM!$B$56)*($B64&gt;(60-PARAM!$B$56))*HLOOKUP(($B64+PARAM!$B$56)/12,Loyalty,2)*$F$1*MAX(R63,0)</f>
        <v>18.557001321003963</v>
      </c>
      <c r="Q64" s="75">
        <f>PARAM!$C$26+MAX($G$6-CHOOSE(PARAM!$B$44,MAX(0,R63*$F$1),0),0)*RATES!$L40/12+$H$6*(PARAM!$D$51/12)*RATES!$N40/100</f>
        <v>7.3333333333333339</v>
      </c>
      <c r="R64" s="16">
        <f t="shared" si="28"/>
        <v>-854.34077498898932</v>
      </c>
      <c r="S64" s="15">
        <f t="shared" si="4"/>
        <v>22.170849845882874</v>
      </c>
      <c r="T64" s="75">
        <f>S64*(1-PARAM!$C$27)*$I$7+(MOD($B64,60)=PARAM!$B$56)*($B64&gt;(60-PARAM!$B$56))*HLOOKUP(($B64+PARAM!$B$56)/12,Loyalty,2)*$F$1*MAX(V63,0)</f>
        <v>18.557001321003963</v>
      </c>
      <c r="U64" s="75">
        <f>PARAM!$C$26+MAX($G$7-CHOOSE(PARAM!$B$44,MAX(0,V63*$F$1),0),0)*RATES!$L40/12+$H$7*(PARAM!$D$51/12)*RATES!$N40/100</f>
        <v>7.3333333333333339</v>
      </c>
      <c r="V64" s="16">
        <f t="shared" si="29"/>
        <v>-854.34077498898932</v>
      </c>
      <c r="W64" s="15">
        <f t="shared" si="5"/>
        <v>22.170849845882874</v>
      </c>
      <c r="X64" s="75">
        <f>W64*(1-PARAM!$C$27)*$I$8+(MOD($B64,60)=PARAM!$B$56)*($B64&gt;(60-PARAM!$B$56))*HLOOKUP(($B64+PARAM!$B$56)/12,Loyalty,2)*$F$1*MAX(Z63,0)</f>
        <v>18.557001321003963</v>
      </c>
      <c r="Y64" s="75">
        <f>PARAM!$C$26+MAX($G$8-CHOOSE(PARAM!$B$44,MAX(0,Z63*$F$1),0),0)*RATES!$L40/12+$H$8*(PARAM!$D$51/12)*RATES!$N40/100</f>
        <v>7.3333333333333339</v>
      </c>
      <c r="Z64" s="16">
        <f t="shared" si="30"/>
        <v>-854.34077498898932</v>
      </c>
      <c r="AA64" s="15">
        <f t="shared" si="6"/>
        <v>22.170849845882874</v>
      </c>
      <c r="AB64" s="75">
        <f>AA64*(1-PARAM!$C$27)*$I$9+(MOD($B64,60)=PARAM!$B$56)*($B64&gt;(60-PARAM!$B$56))*HLOOKUP(($B64+PARAM!$B$56)/12,Loyalty,2)*$F$1*MAX(AD63,0)</f>
        <v>18.557001321003963</v>
      </c>
      <c r="AC64" s="75">
        <f>PARAM!$C$26+MAX($G$9-CHOOSE(PARAM!$B$44,MAX(0,AD63*$F$1),0),0)*RATES!$L40/12+$H$9*(PARAM!$D$51/12)*RATES!$N40/100</f>
        <v>7.3333333333333339</v>
      </c>
      <c r="AD64" s="16">
        <f t="shared" si="31"/>
        <v>-854.34077498898932</v>
      </c>
      <c r="AE64" s="15">
        <f t="shared" si="7"/>
        <v>22.170849845882874</v>
      </c>
      <c r="AF64" s="75">
        <f>AE64*(1-PARAM!$C$27)*$I$10+(MOD($B64,60)=PARAM!$B$56)*($B64&gt;(60-PARAM!$B$56))*HLOOKUP(($B64+PARAM!$B$56)/12,Loyalty,2)*$F$1*MAX(AH63,0)</f>
        <v>18.557001321003963</v>
      </c>
      <c r="AG64" s="75">
        <f>PARAM!$C$26+MAX($G$10-CHOOSE(PARAM!$B$44,MAX(0,AH63*$F$1),0),0)*RATES!$L40/12+$H$10*(PARAM!$D$51/12)*RATES!$N40/100</f>
        <v>7.3333333333333339</v>
      </c>
      <c r="AH64" s="16">
        <f t="shared" si="32"/>
        <v>-854.34077498898932</v>
      </c>
      <c r="AI64" s="15">
        <f t="shared" si="8"/>
        <v>22.170849845882874</v>
      </c>
      <c r="AJ64" s="75">
        <f>AI64*(1-PARAM!$C$27)*$I$11+(MOD($B64,60)=PARAM!$B$56)*($B64&gt;(60-PARAM!$B$56))*HLOOKUP(($B64+PARAM!$B$56)/12,Loyalty,2)*$F$1*MAX(AL63,0)</f>
        <v>18.557001321003963</v>
      </c>
      <c r="AK64" s="75">
        <f>PARAM!$C$26+MAX($G$11-CHOOSE(PARAM!$B$44,MAX(0,AL63*$F$1),0),0)*RATES!$L40/12+$H$11*(PARAM!$D$51/12)*RATES!$N40/100</f>
        <v>7.3333333333333339</v>
      </c>
      <c r="AL64" s="16">
        <f t="shared" si="33"/>
        <v>-854.34077498898932</v>
      </c>
      <c r="AM64" s="15">
        <f t="shared" si="9"/>
        <v>22.170849845882874</v>
      </c>
      <c r="AN64" s="75">
        <f>AM64*(1-PARAM!$C$27)*$I$12+(MOD($B64,60)=PARAM!$B$56)*($B64&gt;(60-PARAM!$B$56))*HLOOKUP(($B64+PARAM!$B$56)/12,Loyalty,2)*$F$1*MAX(AP63,0)</f>
        <v>18.557001321003963</v>
      </c>
      <c r="AO64" s="75">
        <f>PARAM!$C$26+MAX($G$12-CHOOSE(PARAM!$B$44,MAX(0,AP63*$F$1),0),0)*RATES!$L40/12+$H$12*(PARAM!$D$51/12)*RATES!$N40/100</f>
        <v>7.3333333333333339</v>
      </c>
      <c r="AP64" s="16">
        <f t="shared" si="34"/>
        <v>-854.34077498898932</v>
      </c>
      <c r="AQ64" s="15">
        <f t="shared" si="10"/>
        <v>22.170849845882874</v>
      </c>
      <c r="AR64" s="75">
        <f>AQ64*(1-PARAM!$C$27)*$I$13+(MOD($B64,60)=PARAM!$B$56)*($B64&gt;(60-PARAM!$B$56))*HLOOKUP(($B64+PARAM!$B$56)/12,Loyalty,2)*$F$1*MAX(AT63,0)</f>
        <v>18.557001321003963</v>
      </c>
      <c r="AS64" s="75">
        <f>PARAM!$C$26+MAX($G$13-CHOOSE(PARAM!$B$44,MAX(0,AT63*$F$1),0),0)*RATES!$L40/12+$H$13*(PARAM!$D$51/12)*RATES!$N40/100</f>
        <v>7.3333333333333339</v>
      </c>
      <c r="AT64" s="16">
        <f t="shared" si="35"/>
        <v>-854.34077498898932</v>
      </c>
      <c r="AU64" s="15">
        <f t="shared" si="11"/>
        <v>22.170849845882874</v>
      </c>
      <c r="AV64" s="75">
        <f>AU64*(1-PARAM!$C$27)*$I$14+(MOD($B64,60)=PARAM!$B$56)*($B64&gt;(60-PARAM!$B$56))*HLOOKUP(($B64+PARAM!$B$56)/12,Loyalty,2)*$F$1*MAX(AX63,0)</f>
        <v>18.557001321003963</v>
      </c>
      <c r="AW64" s="75">
        <f>PARAM!$C$26+MAX($G$14-CHOOSE(PARAM!$B$44,MAX(0,AX63*$F$1),0),0)*RATES!$L40/12+$H$14*(PARAM!$D$51/12)*RATES!$N40/100</f>
        <v>7.3333333333333339</v>
      </c>
      <c r="AX64" s="16">
        <f t="shared" si="36"/>
        <v>-854.34077498898932</v>
      </c>
      <c r="AY64" s="15">
        <f t="shared" si="12"/>
        <v>22.170849845882874</v>
      </c>
      <c r="AZ64" s="75">
        <f>AY64*(1-PARAM!$C$27)*$I$15+(MOD($B64,60)=PARAM!$B$56)*($B64&gt;(60-PARAM!$B$56))*HLOOKUP(($B64+PARAM!$B$56)/12,Loyalty,2)*$F$1*MAX(BB63,0)</f>
        <v>18.557001321003963</v>
      </c>
      <c r="BA64" s="75">
        <f>PARAM!$C$26+MAX($G$15-CHOOSE(PARAM!$B$44,MAX(0,BB63*$F$1),0),0)*RATES!$L40/12+$H$15*(PARAM!$D$51/12)*RATES!$N40/100</f>
        <v>7.3333333333333339</v>
      </c>
      <c r="BB64" s="16">
        <f t="shared" si="37"/>
        <v>-854.34077498898932</v>
      </c>
      <c r="BC64" s="15">
        <f t="shared" si="13"/>
        <v>22.170849845882874</v>
      </c>
      <c r="BD64" s="75">
        <f>BC64*(1-PARAM!$C$27)*$I$16+(MOD($B64,60)=PARAM!$B$56)*($B64&gt;(60-PARAM!$B$56))*HLOOKUP(($B64+PARAM!$B$56)/12,Loyalty,2)*$F$1*MAX(BF63,0)</f>
        <v>18.557001321003963</v>
      </c>
      <c r="BE64" s="75">
        <f>PARAM!$C$26+MAX($G$16-CHOOSE(PARAM!$B$44,MAX(0,BF63*$F$1),0),0)*RATES!$L40/12+$H$16*(PARAM!$D$51/12)*RATES!$N40/100</f>
        <v>7.3333333333333339</v>
      </c>
      <c r="BF64" s="16">
        <f t="shared" si="38"/>
        <v>-854.34077498898932</v>
      </c>
      <c r="BG64" s="15">
        <f t="shared" si="14"/>
        <v>22.170849845882874</v>
      </c>
      <c r="BH64" s="75">
        <f>BG64*(1-PARAM!$C$27)*$I$17+(MOD($B64,60)=PARAM!$B$56)*($B64&gt;(60-PARAM!$B$56))*HLOOKUP(($B64+PARAM!$B$56)/12,Loyalty,2)*$F$1*MAX(BJ63,0)</f>
        <v>18.557001321003963</v>
      </c>
      <c r="BI64" s="75">
        <f>PARAM!$C$26+MAX($G$17-CHOOSE(PARAM!$B$44,MAX(0,BJ63*$F$1),0),0)*RATES!$L40/12+$H$17*(PARAM!$D$51/12)*RATES!$N40/100</f>
        <v>7.3333333333333339</v>
      </c>
      <c r="BJ64" s="16">
        <f t="shared" si="39"/>
        <v>-854.34077498898932</v>
      </c>
      <c r="BK64" s="15">
        <f t="shared" si="15"/>
        <v>22.170849845882874</v>
      </c>
      <c r="BL64" s="75">
        <f>BK64*(1-PARAM!$C$27)*$I$18+(MOD($B64,60)=PARAM!$B$56)*($B64&gt;(60-PARAM!$B$56))*HLOOKUP(($B64+PARAM!$B$56)/12,Loyalty,2)*$F$1*MAX(BN63,0)</f>
        <v>18.557001321003963</v>
      </c>
      <c r="BM64" s="75">
        <f>PARAM!$C$26+MAX($G$18-CHOOSE(PARAM!$B$44,MAX(0,BN63*$F$1),0),0)*RATES!$L40/12+$H$18*(PARAM!$D$51/12)*RATES!$N40/100</f>
        <v>7.3333333333333339</v>
      </c>
      <c r="BN64" s="16">
        <f t="shared" si="40"/>
        <v>-854.34077498898932</v>
      </c>
      <c r="BO64" s="15">
        <f t="shared" si="16"/>
        <v>22.170849845882874</v>
      </c>
      <c r="BP64" s="75">
        <f>BO64*(1-PARAM!$C$27)*$I$19+(MOD($B64,60)=PARAM!$B$56)*($B64&gt;(60-PARAM!$B$56))*HLOOKUP(($B64+PARAM!$B$56)/12,Loyalty,2)*$F$1*MAX(BR63,0)</f>
        <v>18.557001321003963</v>
      </c>
      <c r="BQ64" s="75">
        <f>PARAM!$C$26+MAX($G$19-CHOOSE(PARAM!$B$44,MAX(0,BR63*$F$1),0),0)*RATES!$L40/12+$H$19*(PARAM!$D$51/12)*RATES!$N40/100</f>
        <v>7.3333333333333339</v>
      </c>
      <c r="BR64" s="16">
        <f t="shared" si="41"/>
        <v>-854.34077498898932</v>
      </c>
      <c r="BS64" s="15">
        <f t="shared" si="17"/>
        <v>22.170849845882874</v>
      </c>
      <c r="BT64" s="75">
        <f>BS64*(1-PARAM!$C$27)*$I$20+(MOD($B64,60)=PARAM!$B$56)*($B64&gt;(60-PARAM!$B$56))*HLOOKUP(($B64+PARAM!$B$56)/12,Loyalty,2)*$F$1*MAX(BV63,0)</f>
        <v>18.557001321003963</v>
      </c>
      <c r="BU64" s="75">
        <f>PARAM!$C$26+MAX($G$20-CHOOSE(PARAM!$B$44,MAX(0,BV63*$F$1),0),0)*RATES!$L40/12+$H$20*(PARAM!$D$51/12)*RATES!$N40/100</f>
        <v>7.3333333333333339</v>
      </c>
      <c r="BV64" s="16">
        <f t="shared" si="42"/>
        <v>-854.34077498898932</v>
      </c>
      <c r="BW64" s="15">
        <f t="shared" si="18"/>
        <v>22.170849845882874</v>
      </c>
      <c r="BX64" s="75">
        <f>BW64*(1-PARAM!$C$27)*$I$21+(MOD($B64,60)=PARAM!$B$56)*($B64&gt;(60-PARAM!$B$56))*HLOOKUP(($B64+PARAM!$B$56)/12,Loyalty,2)*$F$1*MAX(BZ63,0)</f>
        <v>18.557001321003963</v>
      </c>
      <c r="BY64" s="75">
        <f>PARAM!$C$26+MAX($G$21-CHOOSE(PARAM!$B$44,MAX(0,BZ63*$F$1),0),0)*RATES!$L40/12+$H$21*(PARAM!$D$51/12)*RATES!$N40/100</f>
        <v>7.3333333333333339</v>
      </c>
      <c r="BZ64" s="16">
        <f t="shared" si="43"/>
        <v>-854.34077498898932</v>
      </c>
      <c r="CA64" s="15">
        <f t="shared" si="19"/>
        <v>22.170849845882874</v>
      </c>
      <c r="CB64" s="75">
        <f>CA64*(1-PARAM!$C$27)*$I$22+(MOD($B64,60)=PARAM!$B$56)*($B64&gt;(60-PARAM!$B$56))*HLOOKUP(($B64+PARAM!$B$56)/12,Loyalty,2)*$F$1*MAX(CD63,0)</f>
        <v>18.557001321003963</v>
      </c>
      <c r="CC64" s="75">
        <f>PARAM!$C$26+MAX($G$22-CHOOSE(PARAM!$B$44,MAX(0,CD63*$F$1),0),0)*RATES!$L40/12+$H$22*(PARAM!$D$51/12)*RATES!$N40/100</f>
        <v>7.3333333333333339</v>
      </c>
      <c r="CD64" s="16">
        <f t="shared" si="44"/>
        <v>-854.34077498898932</v>
      </c>
      <c r="CE64" s="33">
        <f>IF(0=MOD(B64,12/PARAM!$D$51),1,0)</f>
        <v>1</v>
      </c>
      <c r="CF64" s="15">
        <f t="shared" si="20"/>
        <v>0</v>
      </c>
      <c r="CG64" s="75">
        <f>CF64*(1-PARAM!$C$27)*$R$3+(MOD($B64/12,5)=0)*($B64&gt;60)*HLOOKUP($B64/12,Loyalty,2)*$F$1*MAX(CI63,0)</f>
        <v>0</v>
      </c>
      <c r="CH64" s="75">
        <f>PARAM!$C$26+MAX($P$3-CHOOSE(PARAM!$B$44,MAX(0,CI63*$F$1),0),0)*RATES!$L40/12+$Q$3*(PARAM!$D$51/12)*RATES!$N40/100</f>
        <v>7.3333333333333339</v>
      </c>
      <c r="CI64" s="16">
        <f>IF(CI63&gt;0,CI63*PARAM!$C$53,CI63)+CG64-CH64</f>
        <v>-1346.6666666666661</v>
      </c>
      <c r="CJ64" s="15">
        <f t="shared" si="45"/>
        <v>0</v>
      </c>
      <c r="CK64" s="75">
        <f>CJ64*(1-PARAM!$C$27)*$R$4+(MOD($B64/12,5)=0)*($B64&gt;60)*HLOOKUP($B64/12,Loyalty,2)*$F$1*MAX(CM63,0)</f>
        <v>0</v>
      </c>
      <c r="CL64" s="75">
        <f>PARAM!$C$26+MAX($P$4-CHOOSE(PARAM!$B$44,MAX(0,CM63*$F$1),0),0)*RATES!$L40/12+$Q$4*(PARAM!$D$51/12)*RATES!$N40/100</f>
        <v>7.3333333333333339</v>
      </c>
      <c r="CM64" s="16">
        <f>IF(CM63&gt;0,CM63*PARAM!$C$53,CM63)+CK64-CL64</f>
        <v>-1346.6666666666661</v>
      </c>
      <c r="CO64" s="176"/>
    </row>
    <row r="65" spans="1:93" x14ac:dyDescent="0.2">
      <c r="A65" t="b">
        <f t="shared" si="21"/>
        <v>0</v>
      </c>
      <c r="B65" s="33">
        <v>38</v>
      </c>
      <c r="C65" s="15">
        <f t="shared" si="46"/>
        <v>20.081305947392778</v>
      </c>
      <c r="D65" s="75">
        <f>C65*(1-PARAM!$C$27)*$I$3+(MOD($B65,60)=PARAM!$B$56)*($B65&gt;(60-PARAM!$B$56))*HLOOKUP(($B65+PARAM!$B$56)/12,Loyalty,2)*$F$1*MAX(F64,0)</f>
        <v>16.808053077967756</v>
      </c>
      <c r="E65" s="75">
        <f>PARAM!$C$26+MAX($G$3-CHOOSE(PARAM!$B$44,MAX(0,F64*$F$1),0),0)*RATES!$L41/12+$H$3*(PARAM!$D$51/12)*RATES!$N41/100</f>
        <v>7.3333333333333339</v>
      </c>
      <c r="F65" s="16">
        <f t="shared" si="22"/>
        <v>-891.26646705422741</v>
      </c>
      <c r="G65" s="15">
        <f t="shared" si="23"/>
        <v>22.035289406060361</v>
      </c>
      <c r="H65" s="75">
        <f>G65*(1-PARAM!$C$27)*$I$4+(MOD($B65,60)=PARAM!$B$56)*($B65&gt;(60-PARAM!$B$56))*HLOOKUP(($B65+PARAM!$B$56)/12,Loyalty,2)*$F$1*MAX(J64,0)</f>
        <v>18.443537232872522</v>
      </c>
      <c r="I65" s="75">
        <f>PARAM!$C$26+MAX($G$4-CHOOSE(PARAM!$B$44,MAX(0,J64*$F$1),0),0)*RATES!$L41/12+$H$4*(PARAM!$D$51/12)*RATES!$N41/100</f>
        <v>7.3333333333333339</v>
      </c>
      <c r="J65" s="16">
        <f t="shared" si="24"/>
        <v>-846.24082621615003</v>
      </c>
      <c r="K65" s="15">
        <f t="shared" si="25"/>
        <v>22.170849845882874</v>
      </c>
      <c r="L65" s="75">
        <f>K65*(1-PARAM!$C$27)*$I$5+(MOD($B65,60)=PARAM!$B$56)*($B65&gt;(60-PARAM!$B$56))*HLOOKUP(($B65+PARAM!$B$56)/12,Loyalty,2)*$F$1*MAX(N64,0)</f>
        <v>18.557001321003963</v>
      </c>
      <c r="M65" s="75">
        <f>PARAM!$C$26+MAX($G$5-CHOOSE(PARAM!$B$44,MAX(0,N64*$F$1),0),0)*RATES!$L41/12+$H$5*(PARAM!$D$51/12)*RATES!$N41/100</f>
        <v>7.3333333333333339</v>
      </c>
      <c r="N65" s="16">
        <f t="shared" si="26"/>
        <v>-843.11710700131869</v>
      </c>
      <c r="O65" s="15">
        <f t="shared" si="27"/>
        <v>22.170849845882874</v>
      </c>
      <c r="P65" s="75">
        <f>O65*(1-PARAM!$C$27)*$I$6+(MOD($B65,60)=PARAM!$B$56)*($B65&gt;(60-PARAM!$B$56))*HLOOKUP(($B65+PARAM!$B$56)/12,Loyalty,2)*$F$1*MAX(R64,0)</f>
        <v>18.557001321003963</v>
      </c>
      <c r="Q65" s="75">
        <f>PARAM!$C$26+MAX($G$6-CHOOSE(PARAM!$B$44,MAX(0,R64*$F$1),0),0)*RATES!$L41/12+$H$6*(PARAM!$D$51/12)*RATES!$N41/100</f>
        <v>7.3333333333333339</v>
      </c>
      <c r="R65" s="16">
        <f t="shared" si="28"/>
        <v>-843.11710700131869</v>
      </c>
      <c r="S65" s="15">
        <f t="shared" si="4"/>
        <v>22.170849845882874</v>
      </c>
      <c r="T65" s="75">
        <f>S65*(1-PARAM!$C$27)*$I$7+(MOD($B65,60)=PARAM!$B$56)*($B65&gt;(60-PARAM!$B$56))*HLOOKUP(($B65+PARAM!$B$56)/12,Loyalty,2)*$F$1*MAX(V64,0)</f>
        <v>18.557001321003963</v>
      </c>
      <c r="U65" s="75">
        <f>PARAM!$C$26+MAX($G$7-CHOOSE(PARAM!$B$44,MAX(0,V64*$F$1),0),0)*RATES!$L41/12+$H$7*(PARAM!$D$51/12)*RATES!$N41/100</f>
        <v>7.3333333333333339</v>
      </c>
      <c r="V65" s="16">
        <f t="shared" si="29"/>
        <v>-843.11710700131869</v>
      </c>
      <c r="W65" s="15">
        <f t="shared" si="5"/>
        <v>22.170849845882874</v>
      </c>
      <c r="X65" s="75">
        <f>W65*(1-PARAM!$C$27)*$I$8+(MOD($B65,60)=PARAM!$B$56)*($B65&gt;(60-PARAM!$B$56))*HLOOKUP(($B65+PARAM!$B$56)/12,Loyalty,2)*$F$1*MAX(Z64,0)</f>
        <v>18.557001321003963</v>
      </c>
      <c r="Y65" s="75">
        <f>PARAM!$C$26+MAX($G$8-CHOOSE(PARAM!$B$44,MAX(0,Z64*$F$1),0),0)*RATES!$L41/12+$H$8*(PARAM!$D$51/12)*RATES!$N41/100</f>
        <v>7.3333333333333339</v>
      </c>
      <c r="Z65" s="16">
        <f t="shared" si="30"/>
        <v>-843.11710700131869</v>
      </c>
      <c r="AA65" s="15">
        <f t="shared" si="6"/>
        <v>22.170849845882874</v>
      </c>
      <c r="AB65" s="75">
        <f>AA65*(1-PARAM!$C$27)*$I$9+(MOD($B65,60)=PARAM!$B$56)*($B65&gt;(60-PARAM!$B$56))*HLOOKUP(($B65+PARAM!$B$56)/12,Loyalty,2)*$F$1*MAX(AD64,0)</f>
        <v>18.557001321003963</v>
      </c>
      <c r="AC65" s="75">
        <f>PARAM!$C$26+MAX($G$9-CHOOSE(PARAM!$B$44,MAX(0,AD64*$F$1),0),0)*RATES!$L41/12+$H$9*(PARAM!$D$51/12)*RATES!$N41/100</f>
        <v>7.3333333333333339</v>
      </c>
      <c r="AD65" s="16">
        <f t="shared" si="31"/>
        <v>-843.11710700131869</v>
      </c>
      <c r="AE65" s="15">
        <f t="shared" si="7"/>
        <v>22.170849845882874</v>
      </c>
      <c r="AF65" s="75">
        <f>AE65*(1-PARAM!$C$27)*$I$10+(MOD($B65,60)=PARAM!$B$56)*($B65&gt;(60-PARAM!$B$56))*HLOOKUP(($B65+PARAM!$B$56)/12,Loyalty,2)*$F$1*MAX(AH64,0)</f>
        <v>18.557001321003963</v>
      </c>
      <c r="AG65" s="75">
        <f>PARAM!$C$26+MAX($G$10-CHOOSE(PARAM!$B$44,MAX(0,AH64*$F$1),0),0)*RATES!$L41/12+$H$10*(PARAM!$D$51/12)*RATES!$N41/100</f>
        <v>7.3333333333333339</v>
      </c>
      <c r="AH65" s="16">
        <f t="shared" si="32"/>
        <v>-843.11710700131869</v>
      </c>
      <c r="AI65" s="15">
        <f t="shared" si="8"/>
        <v>22.170849845882874</v>
      </c>
      <c r="AJ65" s="75">
        <f>AI65*(1-PARAM!$C$27)*$I$11+(MOD($B65,60)=PARAM!$B$56)*($B65&gt;(60-PARAM!$B$56))*HLOOKUP(($B65+PARAM!$B$56)/12,Loyalty,2)*$F$1*MAX(AL64,0)</f>
        <v>18.557001321003963</v>
      </c>
      <c r="AK65" s="75">
        <f>PARAM!$C$26+MAX($G$11-CHOOSE(PARAM!$B$44,MAX(0,AL64*$F$1),0),0)*RATES!$L41/12+$H$11*(PARAM!$D$51/12)*RATES!$N41/100</f>
        <v>7.3333333333333339</v>
      </c>
      <c r="AL65" s="16">
        <f t="shared" si="33"/>
        <v>-843.11710700131869</v>
      </c>
      <c r="AM65" s="15">
        <f t="shared" si="9"/>
        <v>22.170849845882874</v>
      </c>
      <c r="AN65" s="75">
        <f>AM65*(1-PARAM!$C$27)*$I$12+(MOD($B65,60)=PARAM!$B$56)*($B65&gt;(60-PARAM!$B$56))*HLOOKUP(($B65+PARAM!$B$56)/12,Loyalty,2)*$F$1*MAX(AP64,0)</f>
        <v>18.557001321003963</v>
      </c>
      <c r="AO65" s="75">
        <f>PARAM!$C$26+MAX($G$12-CHOOSE(PARAM!$B$44,MAX(0,AP64*$F$1),0),0)*RATES!$L41/12+$H$12*(PARAM!$D$51/12)*RATES!$N41/100</f>
        <v>7.3333333333333339</v>
      </c>
      <c r="AP65" s="16">
        <f t="shared" si="34"/>
        <v>-843.11710700131869</v>
      </c>
      <c r="AQ65" s="15">
        <f t="shared" si="10"/>
        <v>22.170849845882874</v>
      </c>
      <c r="AR65" s="75">
        <f>AQ65*(1-PARAM!$C$27)*$I$13+(MOD($B65,60)=PARAM!$B$56)*($B65&gt;(60-PARAM!$B$56))*HLOOKUP(($B65+PARAM!$B$56)/12,Loyalty,2)*$F$1*MAX(AT64,0)</f>
        <v>18.557001321003963</v>
      </c>
      <c r="AS65" s="75">
        <f>PARAM!$C$26+MAX($G$13-CHOOSE(PARAM!$B$44,MAX(0,AT64*$F$1),0),0)*RATES!$L41/12+$H$13*(PARAM!$D$51/12)*RATES!$N41/100</f>
        <v>7.3333333333333339</v>
      </c>
      <c r="AT65" s="16">
        <f t="shared" si="35"/>
        <v>-843.11710700131869</v>
      </c>
      <c r="AU65" s="15">
        <f t="shared" si="11"/>
        <v>22.170849845882874</v>
      </c>
      <c r="AV65" s="75">
        <f>AU65*(1-PARAM!$C$27)*$I$14+(MOD($B65,60)=PARAM!$B$56)*($B65&gt;(60-PARAM!$B$56))*HLOOKUP(($B65+PARAM!$B$56)/12,Loyalty,2)*$F$1*MAX(AX64,0)</f>
        <v>18.557001321003963</v>
      </c>
      <c r="AW65" s="75">
        <f>PARAM!$C$26+MAX($G$14-CHOOSE(PARAM!$B$44,MAX(0,AX64*$F$1),0),0)*RATES!$L41/12+$H$14*(PARAM!$D$51/12)*RATES!$N41/100</f>
        <v>7.3333333333333339</v>
      </c>
      <c r="AX65" s="16">
        <f t="shared" si="36"/>
        <v>-843.11710700131869</v>
      </c>
      <c r="AY65" s="15">
        <f t="shared" si="12"/>
        <v>22.170849845882874</v>
      </c>
      <c r="AZ65" s="75">
        <f>AY65*(1-PARAM!$C$27)*$I$15+(MOD($B65,60)=PARAM!$B$56)*($B65&gt;(60-PARAM!$B$56))*HLOOKUP(($B65+PARAM!$B$56)/12,Loyalty,2)*$F$1*MAX(BB64,0)</f>
        <v>18.557001321003963</v>
      </c>
      <c r="BA65" s="75">
        <f>PARAM!$C$26+MAX($G$15-CHOOSE(PARAM!$B$44,MAX(0,BB64*$F$1),0),0)*RATES!$L41/12+$H$15*(PARAM!$D$51/12)*RATES!$N41/100</f>
        <v>7.3333333333333339</v>
      </c>
      <c r="BB65" s="16">
        <f t="shared" si="37"/>
        <v>-843.11710700131869</v>
      </c>
      <c r="BC65" s="15">
        <f t="shared" si="13"/>
        <v>22.170849845882874</v>
      </c>
      <c r="BD65" s="75">
        <f>BC65*(1-PARAM!$C$27)*$I$16+(MOD($B65,60)=PARAM!$B$56)*($B65&gt;(60-PARAM!$B$56))*HLOOKUP(($B65+PARAM!$B$56)/12,Loyalty,2)*$F$1*MAX(BF64,0)</f>
        <v>18.557001321003963</v>
      </c>
      <c r="BE65" s="75">
        <f>PARAM!$C$26+MAX($G$16-CHOOSE(PARAM!$B$44,MAX(0,BF64*$F$1),0),0)*RATES!$L41/12+$H$16*(PARAM!$D$51/12)*RATES!$N41/100</f>
        <v>7.3333333333333339</v>
      </c>
      <c r="BF65" s="16">
        <f t="shared" si="38"/>
        <v>-843.11710700131869</v>
      </c>
      <c r="BG65" s="15">
        <f t="shared" si="14"/>
        <v>22.170849845882874</v>
      </c>
      <c r="BH65" s="75">
        <f>BG65*(1-PARAM!$C$27)*$I$17+(MOD($B65,60)=PARAM!$B$56)*($B65&gt;(60-PARAM!$B$56))*HLOOKUP(($B65+PARAM!$B$56)/12,Loyalty,2)*$F$1*MAX(BJ64,0)</f>
        <v>18.557001321003963</v>
      </c>
      <c r="BI65" s="75">
        <f>PARAM!$C$26+MAX($G$17-CHOOSE(PARAM!$B$44,MAX(0,BJ64*$F$1),0),0)*RATES!$L41/12+$H$17*(PARAM!$D$51/12)*RATES!$N41/100</f>
        <v>7.3333333333333339</v>
      </c>
      <c r="BJ65" s="16">
        <f t="shared" si="39"/>
        <v>-843.11710700131869</v>
      </c>
      <c r="BK65" s="15">
        <f t="shared" si="15"/>
        <v>22.170849845882874</v>
      </c>
      <c r="BL65" s="75">
        <f>BK65*(1-PARAM!$C$27)*$I$18+(MOD($B65,60)=PARAM!$B$56)*($B65&gt;(60-PARAM!$B$56))*HLOOKUP(($B65+PARAM!$B$56)/12,Loyalty,2)*$F$1*MAX(BN64,0)</f>
        <v>18.557001321003963</v>
      </c>
      <c r="BM65" s="75">
        <f>PARAM!$C$26+MAX($G$18-CHOOSE(PARAM!$B$44,MAX(0,BN64*$F$1),0),0)*RATES!$L41/12+$H$18*(PARAM!$D$51/12)*RATES!$N41/100</f>
        <v>7.3333333333333339</v>
      </c>
      <c r="BN65" s="16">
        <f t="shared" si="40"/>
        <v>-843.11710700131869</v>
      </c>
      <c r="BO65" s="15">
        <f t="shared" si="16"/>
        <v>22.170849845882874</v>
      </c>
      <c r="BP65" s="75">
        <f>BO65*(1-PARAM!$C$27)*$I$19+(MOD($B65,60)=PARAM!$B$56)*($B65&gt;(60-PARAM!$B$56))*HLOOKUP(($B65+PARAM!$B$56)/12,Loyalty,2)*$F$1*MAX(BR64,0)</f>
        <v>18.557001321003963</v>
      </c>
      <c r="BQ65" s="75">
        <f>PARAM!$C$26+MAX($G$19-CHOOSE(PARAM!$B$44,MAX(0,BR64*$F$1),0),0)*RATES!$L41/12+$H$19*(PARAM!$D$51/12)*RATES!$N41/100</f>
        <v>7.3333333333333339</v>
      </c>
      <c r="BR65" s="16">
        <f t="shared" si="41"/>
        <v>-843.11710700131869</v>
      </c>
      <c r="BS65" s="15">
        <f t="shared" si="17"/>
        <v>22.170849845882874</v>
      </c>
      <c r="BT65" s="75">
        <f>BS65*(1-PARAM!$C$27)*$I$20+(MOD($B65,60)=PARAM!$B$56)*($B65&gt;(60-PARAM!$B$56))*HLOOKUP(($B65+PARAM!$B$56)/12,Loyalty,2)*$F$1*MAX(BV64,0)</f>
        <v>18.557001321003963</v>
      </c>
      <c r="BU65" s="75">
        <f>PARAM!$C$26+MAX($G$20-CHOOSE(PARAM!$B$44,MAX(0,BV64*$F$1),0),0)*RATES!$L41/12+$H$20*(PARAM!$D$51/12)*RATES!$N41/100</f>
        <v>7.3333333333333339</v>
      </c>
      <c r="BV65" s="16">
        <f t="shared" si="42"/>
        <v>-843.11710700131869</v>
      </c>
      <c r="BW65" s="15">
        <f t="shared" si="18"/>
        <v>22.170849845882874</v>
      </c>
      <c r="BX65" s="75">
        <f>BW65*(1-PARAM!$C$27)*$I$21+(MOD($B65,60)=PARAM!$B$56)*($B65&gt;(60-PARAM!$B$56))*HLOOKUP(($B65+PARAM!$B$56)/12,Loyalty,2)*$F$1*MAX(BZ64,0)</f>
        <v>18.557001321003963</v>
      </c>
      <c r="BY65" s="75">
        <f>PARAM!$C$26+MAX($G$21-CHOOSE(PARAM!$B$44,MAX(0,BZ64*$F$1),0),0)*RATES!$L41/12+$H$21*(PARAM!$D$51/12)*RATES!$N41/100</f>
        <v>7.3333333333333339</v>
      </c>
      <c r="BZ65" s="16">
        <f t="shared" si="43"/>
        <v>-843.11710700131869</v>
      </c>
      <c r="CA65" s="15">
        <f t="shared" si="19"/>
        <v>22.170849845882874</v>
      </c>
      <c r="CB65" s="75">
        <f>CA65*(1-PARAM!$C$27)*$I$22+(MOD($B65,60)=PARAM!$B$56)*($B65&gt;(60-PARAM!$B$56))*HLOOKUP(($B65+PARAM!$B$56)/12,Loyalty,2)*$F$1*MAX(CD64,0)</f>
        <v>18.557001321003963</v>
      </c>
      <c r="CC65" s="75">
        <f>PARAM!$C$26+MAX($G$22-CHOOSE(PARAM!$B$44,MAX(0,CD64*$F$1),0),0)*RATES!$L41/12+$H$22*(PARAM!$D$51/12)*RATES!$N41/100</f>
        <v>7.3333333333333339</v>
      </c>
      <c r="CD65" s="16">
        <f t="shared" si="44"/>
        <v>-843.11710700131869</v>
      </c>
      <c r="CE65" s="33">
        <f>IF(0=MOD(B65,12/PARAM!$D$51),1,0)</f>
        <v>1</v>
      </c>
      <c r="CF65" s="15">
        <f t="shared" si="20"/>
        <v>0</v>
      </c>
      <c r="CG65" s="75">
        <f>CF65*(1-PARAM!$C$27)*$R$3+(MOD($B65/12,5)=0)*($B65&gt;60)*HLOOKUP($B65/12,Loyalty,2)*$F$1*MAX(CI64,0)</f>
        <v>0</v>
      </c>
      <c r="CH65" s="75">
        <f>PARAM!$C$26+MAX($P$3-CHOOSE(PARAM!$B$44,MAX(0,CI64*$F$1),0),0)*RATES!$L41/12+$Q$3*(PARAM!$D$51/12)*RATES!$N41/100</f>
        <v>7.3333333333333339</v>
      </c>
      <c r="CI65" s="16">
        <f>IF(CI64&gt;0,CI64*PARAM!$C$53,CI64)+CG65-CH65</f>
        <v>-1353.9999999999993</v>
      </c>
      <c r="CJ65" s="15">
        <f t="shared" si="45"/>
        <v>0</v>
      </c>
      <c r="CK65" s="75">
        <f>CJ65*(1-PARAM!$C$27)*$R$4+(MOD($B65/12,5)=0)*($B65&gt;60)*HLOOKUP($B65/12,Loyalty,2)*$F$1*MAX(CM64,0)</f>
        <v>0</v>
      </c>
      <c r="CL65" s="75">
        <f>PARAM!$C$26+MAX($P$4-CHOOSE(PARAM!$B$44,MAX(0,CM64*$F$1),0),0)*RATES!$L41/12+$Q$4*(PARAM!$D$51/12)*RATES!$N41/100</f>
        <v>7.3333333333333339</v>
      </c>
      <c r="CM65" s="16">
        <f>IF(CM64&gt;0,CM64*PARAM!$C$53,CM64)+CK65-CL65</f>
        <v>-1353.9999999999993</v>
      </c>
      <c r="CO65" s="176"/>
    </row>
    <row r="66" spans="1:93" x14ac:dyDescent="0.2">
      <c r="A66" t="b">
        <f t="shared" si="21"/>
        <v>0</v>
      </c>
      <c r="B66" s="33">
        <v>39</v>
      </c>
      <c r="C66" s="15">
        <f t="shared" si="46"/>
        <v>20.081305947392778</v>
      </c>
      <c r="D66" s="75">
        <f>C66*(1-PARAM!$C$27)*$I$3+(MOD($B66,60)=PARAM!$B$56)*($B66&gt;(60-PARAM!$B$56))*HLOOKUP(($B66+PARAM!$B$56)/12,Loyalty,2)*$F$1*MAX(F65,0)</f>
        <v>16.808053077967756</v>
      </c>
      <c r="E66" s="75">
        <f>PARAM!$C$26+MAX($G$3-CHOOSE(PARAM!$B$44,MAX(0,F65*$F$1),0),0)*RATES!$L42/12+$H$3*(PARAM!$D$51/12)*RATES!$N42/100</f>
        <v>7.3333333333333339</v>
      </c>
      <c r="F66" s="16">
        <f t="shared" si="22"/>
        <v>-881.79174730959301</v>
      </c>
      <c r="G66" s="15">
        <f t="shared" si="23"/>
        <v>22.035289406060361</v>
      </c>
      <c r="H66" s="75">
        <f>G66*(1-PARAM!$C$27)*$I$4+(MOD($B66,60)=PARAM!$B$56)*($B66&gt;(60-PARAM!$B$56))*HLOOKUP(($B66+PARAM!$B$56)/12,Loyalty,2)*$F$1*MAX(J65,0)</f>
        <v>18.443537232872522</v>
      </c>
      <c r="I66" s="75">
        <f>PARAM!$C$26+MAX($G$4-CHOOSE(PARAM!$B$44,MAX(0,J65*$F$1),0),0)*RATES!$L42/12+$H$4*(PARAM!$D$51/12)*RATES!$N42/100</f>
        <v>7.3333333333333339</v>
      </c>
      <c r="J66" s="16">
        <f t="shared" si="24"/>
        <v>-835.13062231661092</v>
      </c>
      <c r="K66" s="15">
        <f t="shared" si="25"/>
        <v>22.170849845882874</v>
      </c>
      <c r="L66" s="75">
        <f>K66*(1-PARAM!$C$27)*$I$5+(MOD($B66,60)=PARAM!$B$56)*($B66&gt;(60-PARAM!$B$56))*HLOOKUP(($B66+PARAM!$B$56)/12,Loyalty,2)*$F$1*MAX(N65,0)</f>
        <v>18.557001321003963</v>
      </c>
      <c r="M66" s="75">
        <f>PARAM!$C$26+MAX($G$5-CHOOSE(PARAM!$B$44,MAX(0,N65*$F$1),0),0)*RATES!$L42/12+$H$5*(PARAM!$D$51/12)*RATES!$N42/100</f>
        <v>7.3333333333333339</v>
      </c>
      <c r="N66" s="16">
        <f t="shared" si="26"/>
        <v>-831.89343901364805</v>
      </c>
      <c r="O66" s="15">
        <f t="shared" si="27"/>
        <v>22.170849845882874</v>
      </c>
      <c r="P66" s="75">
        <f>O66*(1-PARAM!$C$27)*$I$6+(MOD($B66,60)=PARAM!$B$56)*($B66&gt;(60-PARAM!$B$56))*HLOOKUP(($B66+PARAM!$B$56)/12,Loyalty,2)*$F$1*MAX(R65,0)</f>
        <v>18.557001321003963</v>
      </c>
      <c r="Q66" s="75">
        <f>PARAM!$C$26+MAX($G$6-CHOOSE(PARAM!$B$44,MAX(0,R65*$F$1),0),0)*RATES!$L42/12+$H$6*(PARAM!$D$51/12)*RATES!$N42/100</f>
        <v>7.3333333333333339</v>
      </c>
      <c r="R66" s="16">
        <f t="shared" si="28"/>
        <v>-831.89343901364805</v>
      </c>
      <c r="S66" s="15">
        <f t="shared" si="4"/>
        <v>22.170849845882874</v>
      </c>
      <c r="T66" s="75">
        <f>S66*(1-PARAM!$C$27)*$I$7+(MOD($B66,60)=PARAM!$B$56)*($B66&gt;(60-PARAM!$B$56))*HLOOKUP(($B66+PARAM!$B$56)/12,Loyalty,2)*$F$1*MAX(V65,0)</f>
        <v>18.557001321003963</v>
      </c>
      <c r="U66" s="75">
        <f>PARAM!$C$26+MAX($G$7-CHOOSE(PARAM!$B$44,MAX(0,V65*$F$1),0),0)*RATES!$L42/12+$H$7*(PARAM!$D$51/12)*RATES!$N42/100</f>
        <v>7.3333333333333339</v>
      </c>
      <c r="V66" s="16">
        <f t="shared" si="29"/>
        <v>-831.89343901364805</v>
      </c>
      <c r="W66" s="15">
        <f t="shared" si="5"/>
        <v>22.170849845882874</v>
      </c>
      <c r="X66" s="75">
        <f>W66*(1-PARAM!$C$27)*$I$8+(MOD($B66,60)=PARAM!$B$56)*($B66&gt;(60-PARAM!$B$56))*HLOOKUP(($B66+PARAM!$B$56)/12,Loyalty,2)*$F$1*MAX(Z65,0)</f>
        <v>18.557001321003963</v>
      </c>
      <c r="Y66" s="75">
        <f>PARAM!$C$26+MAX($G$8-CHOOSE(PARAM!$B$44,MAX(0,Z65*$F$1),0),0)*RATES!$L42/12+$H$8*(PARAM!$D$51/12)*RATES!$N42/100</f>
        <v>7.3333333333333339</v>
      </c>
      <c r="Z66" s="16">
        <f t="shared" si="30"/>
        <v>-831.89343901364805</v>
      </c>
      <c r="AA66" s="15">
        <f t="shared" si="6"/>
        <v>22.170849845882874</v>
      </c>
      <c r="AB66" s="75">
        <f>AA66*(1-PARAM!$C$27)*$I$9+(MOD($B66,60)=PARAM!$B$56)*($B66&gt;(60-PARAM!$B$56))*HLOOKUP(($B66+PARAM!$B$56)/12,Loyalty,2)*$F$1*MAX(AD65,0)</f>
        <v>18.557001321003963</v>
      </c>
      <c r="AC66" s="75">
        <f>PARAM!$C$26+MAX($G$9-CHOOSE(PARAM!$B$44,MAX(0,AD65*$F$1),0),0)*RATES!$L42/12+$H$9*(PARAM!$D$51/12)*RATES!$N42/100</f>
        <v>7.3333333333333339</v>
      </c>
      <c r="AD66" s="16">
        <f t="shared" si="31"/>
        <v>-831.89343901364805</v>
      </c>
      <c r="AE66" s="15">
        <f t="shared" si="7"/>
        <v>22.170849845882874</v>
      </c>
      <c r="AF66" s="75">
        <f>AE66*(1-PARAM!$C$27)*$I$10+(MOD($B66,60)=PARAM!$B$56)*($B66&gt;(60-PARAM!$B$56))*HLOOKUP(($B66+PARAM!$B$56)/12,Loyalty,2)*$F$1*MAX(AH65,0)</f>
        <v>18.557001321003963</v>
      </c>
      <c r="AG66" s="75">
        <f>PARAM!$C$26+MAX($G$10-CHOOSE(PARAM!$B$44,MAX(0,AH65*$F$1),0),0)*RATES!$L42/12+$H$10*(PARAM!$D$51/12)*RATES!$N42/100</f>
        <v>7.3333333333333339</v>
      </c>
      <c r="AH66" s="16">
        <f t="shared" si="32"/>
        <v>-831.89343901364805</v>
      </c>
      <c r="AI66" s="15">
        <f t="shared" si="8"/>
        <v>22.170849845882874</v>
      </c>
      <c r="AJ66" s="75">
        <f>AI66*(1-PARAM!$C$27)*$I$11+(MOD($B66,60)=PARAM!$B$56)*($B66&gt;(60-PARAM!$B$56))*HLOOKUP(($B66+PARAM!$B$56)/12,Loyalty,2)*$F$1*MAX(AL65,0)</f>
        <v>18.557001321003963</v>
      </c>
      <c r="AK66" s="75">
        <f>PARAM!$C$26+MAX($G$11-CHOOSE(PARAM!$B$44,MAX(0,AL65*$F$1),0),0)*RATES!$L42/12+$H$11*(PARAM!$D$51/12)*RATES!$N42/100</f>
        <v>7.3333333333333339</v>
      </c>
      <c r="AL66" s="16">
        <f t="shared" si="33"/>
        <v>-831.89343901364805</v>
      </c>
      <c r="AM66" s="15">
        <f t="shared" si="9"/>
        <v>22.170849845882874</v>
      </c>
      <c r="AN66" s="75">
        <f>AM66*(1-PARAM!$C$27)*$I$12+(MOD($B66,60)=PARAM!$B$56)*($B66&gt;(60-PARAM!$B$56))*HLOOKUP(($B66+PARAM!$B$56)/12,Loyalty,2)*$F$1*MAX(AP65,0)</f>
        <v>18.557001321003963</v>
      </c>
      <c r="AO66" s="75">
        <f>PARAM!$C$26+MAX($G$12-CHOOSE(PARAM!$B$44,MAX(0,AP65*$F$1),0),0)*RATES!$L42/12+$H$12*(PARAM!$D$51/12)*RATES!$N42/100</f>
        <v>7.3333333333333339</v>
      </c>
      <c r="AP66" s="16">
        <f t="shared" si="34"/>
        <v>-831.89343901364805</v>
      </c>
      <c r="AQ66" s="15">
        <f t="shared" si="10"/>
        <v>22.170849845882874</v>
      </c>
      <c r="AR66" s="75">
        <f>AQ66*(1-PARAM!$C$27)*$I$13+(MOD($B66,60)=PARAM!$B$56)*($B66&gt;(60-PARAM!$B$56))*HLOOKUP(($B66+PARAM!$B$56)/12,Loyalty,2)*$F$1*MAX(AT65,0)</f>
        <v>18.557001321003963</v>
      </c>
      <c r="AS66" s="75">
        <f>PARAM!$C$26+MAX($G$13-CHOOSE(PARAM!$B$44,MAX(0,AT65*$F$1),0),0)*RATES!$L42/12+$H$13*(PARAM!$D$51/12)*RATES!$N42/100</f>
        <v>7.3333333333333339</v>
      </c>
      <c r="AT66" s="16">
        <f t="shared" si="35"/>
        <v>-831.89343901364805</v>
      </c>
      <c r="AU66" s="15">
        <f t="shared" si="11"/>
        <v>22.170849845882874</v>
      </c>
      <c r="AV66" s="75">
        <f>AU66*(1-PARAM!$C$27)*$I$14+(MOD($B66,60)=PARAM!$B$56)*($B66&gt;(60-PARAM!$B$56))*HLOOKUP(($B66+PARAM!$B$56)/12,Loyalty,2)*$F$1*MAX(AX65,0)</f>
        <v>18.557001321003963</v>
      </c>
      <c r="AW66" s="75">
        <f>PARAM!$C$26+MAX($G$14-CHOOSE(PARAM!$B$44,MAX(0,AX65*$F$1),0),0)*RATES!$L42/12+$H$14*(PARAM!$D$51/12)*RATES!$N42/100</f>
        <v>7.3333333333333339</v>
      </c>
      <c r="AX66" s="16">
        <f t="shared" si="36"/>
        <v>-831.89343901364805</v>
      </c>
      <c r="AY66" s="15">
        <f t="shared" si="12"/>
        <v>22.170849845882874</v>
      </c>
      <c r="AZ66" s="75">
        <f>AY66*(1-PARAM!$C$27)*$I$15+(MOD($B66,60)=PARAM!$B$56)*($B66&gt;(60-PARAM!$B$56))*HLOOKUP(($B66+PARAM!$B$56)/12,Loyalty,2)*$F$1*MAX(BB65,0)</f>
        <v>18.557001321003963</v>
      </c>
      <c r="BA66" s="75">
        <f>PARAM!$C$26+MAX($G$15-CHOOSE(PARAM!$B$44,MAX(0,BB65*$F$1),0),0)*RATES!$L42/12+$H$15*(PARAM!$D$51/12)*RATES!$N42/100</f>
        <v>7.3333333333333339</v>
      </c>
      <c r="BB66" s="16">
        <f t="shared" si="37"/>
        <v>-831.89343901364805</v>
      </c>
      <c r="BC66" s="15">
        <f t="shared" si="13"/>
        <v>22.170849845882874</v>
      </c>
      <c r="BD66" s="75">
        <f>BC66*(1-PARAM!$C$27)*$I$16+(MOD($B66,60)=PARAM!$B$56)*($B66&gt;(60-PARAM!$B$56))*HLOOKUP(($B66+PARAM!$B$56)/12,Loyalty,2)*$F$1*MAX(BF65,0)</f>
        <v>18.557001321003963</v>
      </c>
      <c r="BE66" s="75">
        <f>PARAM!$C$26+MAX($G$16-CHOOSE(PARAM!$B$44,MAX(0,BF65*$F$1),0),0)*RATES!$L42/12+$H$16*(PARAM!$D$51/12)*RATES!$N42/100</f>
        <v>7.3333333333333339</v>
      </c>
      <c r="BF66" s="16">
        <f t="shared" si="38"/>
        <v>-831.89343901364805</v>
      </c>
      <c r="BG66" s="15">
        <f t="shared" si="14"/>
        <v>22.170849845882874</v>
      </c>
      <c r="BH66" s="75">
        <f>BG66*(1-PARAM!$C$27)*$I$17+(MOD($B66,60)=PARAM!$B$56)*($B66&gt;(60-PARAM!$B$56))*HLOOKUP(($B66+PARAM!$B$56)/12,Loyalty,2)*$F$1*MAX(BJ65,0)</f>
        <v>18.557001321003963</v>
      </c>
      <c r="BI66" s="75">
        <f>PARAM!$C$26+MAX($G$17-CHOOSE(PARAM!$B$44,MAX(0,BJ65*$F$1),0),0)*RATES!$L42/12+$H$17*(PARAM!$D$51/12)*RATES!$N42/100</f>
        <v>7.3333333333333339</v>
      </c>
      <c r="BJ66" s="16">
        <f t="shared" si="39"/>
        <v>-831.89343901364805</v>
      </c>
      <c r="BK66" s="15">
        <f t="shared" si="15"/>
        <v>22.170849845882874</v>
      </c>
      <c r="BL66" s="75">
        <f>BK66*(1-PARAM!$C$27)*$I$18+(MOD($B66,60)=PARAM!$B$56)*($B66&gt;(60-PARAM!$B$56))*HLOOKUP(($B66+PARAM!$B$56)/12,Loyalty,2)*$F$1*MAX(BN65,0)</f>
        <v>18.557001321003963</v>
      </c>
      <c r="BM66" s="75">
        <f>PARAM!$C$26+MAX($G$18-CHOOSE(PARAM!$B$44,MAX(0,BN65*$F$1),0),0)*RATES!$L42/12+$H$18*(PARAM!$D$51/12)*RATES!$N42/100</f>
        <v>7.3333333333333339</v>
      </c>
      <c r="BN66" s="16">
        <f t="shared" si="40"/>
        <v>-831.89343901364805</v>
      </c>
      <c r="BO66" s="15">
        <f t="shared" si="16"/>
        <v>22.170849845882874</v>
      </c>
      <c r="BP66" s="75">
        <f>BO66*(1-PARAM!$C$27)*$I$19+(MOD($B66,60)=PARAM!$B$56)*($B66&gt;(60-PARAM!$B$56))*HLOOKUP(($B66+PARAM!$B$56)/12,Loyalty,2)*$F$1*MAX(BR65,0)</f>
        <v>18.557001321003963</v>
      </c>
      <c r="BQ66" s="75">
        <f>PARAM!$C$26+MAX($G$19-CHOOSE(PARAM!$B$44,MAX(0,BR65*$F$1),0),0)*RATES!$L42/12+$H$19*(PARAM!$D$51/12)*RATES!$N42/100</f>
        <v>7.3333333333333339</v>
      </c>
      <c r="BR66" s="16">
        <f t="shared" si="41"/>
        <v>-831.89343901364805</v>
      </c>
      <c r="BS66" s="15">
        <f t="shared" si="17"/>
        <v>22.170849845882874</v>
      </c>
      <c r="BT66" s="75">
        <f>BS66*(1-PARAM!$C$27)*$I$20+(MOD($B66,60)=PARAM!$B$56)*($B66&gt;(60-PARAM!$B$56))*HLOOKUP(($B66+PARAM!$B$56)/12,Loyalty,2)*$F$1*MAX(BV65,0)</f>
        <v>18.557001321003963</v>
      </c>
      <c r="BU66" s="75">
        <f>PARAM!$C$26+MAX($G$20-CHOOSE(PARAM!$B$44,MAX(0,BV65*$F$1),0),0)*RATES!$L42/12+$H$20*(PARAM!$D$51/12)*RATES!$N42/100</f>
        <v>7.3333333333333339</v>
      </c>
      <c r="BV66" s="16">
        <f t="shared" si="42"/>
        <v>-831.89343901364805</v>
      </c>
      <c r="BW66" s="15">
        <f t="shared" si="18"/>
        <v>22.170849845882874</v>
      </c>
      <c r="BX66" s="75">
        <f>BW66*(1-PARAM!$C$27)*$I$21+(MOD($B66,60)=PARAM!$B$56)*($B66&gt;(60-PARAM!$B$56))*HLOOKUP(($B66+PARAM!$B$56)/12,Loyalty,2)*$F$1*MAX(BZ65,0)</f>
        <v>18.557001321003963</v>
      </c>
      <c r="BY66" s="75">
        <f>PARAM!$C$26+MAX($G$21-CHOOSE(PARAM!$B$44,MAX(0,BZ65*$F$1),0),0)*RATES!$L42/12+$H$21*(PARAM!$D$51/12)*RATES!$N42/100</f>
        <v>7.3333333333333339</v>
      </c>
      <c r="BZ66" s="16">
        <f t="shared" si="43"/>
        <v>-831.89343901364805</v>
      </c>
      <c r="CA66" s="15">
        <f t="shared" si="19"/>
        <v>22.170849845882874</v>
      </c>
      <c r="CB66" s="75">
        <f>CA66*(1-PARAM!$C$27)*$I$22+(MOD($B66,60)=PARAM!$B$56)*($B66&gt;(60-PARAM!$B$56))*HLOOKUP(($B66+PARAM!$B$56)/12,Loyalty,2)*$F$1*MAX(CD65,0)</f>
        <v>18.557001321003963</v>
      </c>
      <c r="CC66" s="75">
        <f>PARAM!$C$26+MAX($G$22-CHOOSE(PARAM!$B$44,MAX(0,CD65*$F$1),0),0)*RATES!$L42/12+$H$22*(PARAM!$D$51/12)*RATES!$N42/100</f>
        <v>7.3333333333333339</v>
      </c>
      <c r="CD66" s="16">
        <f t="shared" si="44"/>
        <v>-831.89343901364805</v>
      </c>
      <c r="CE66" s="33">
        <f>IF(0=MOD(B66,12/PARAM!$D$51),1,0)</f>
        <v>1</v>
      </c>
      <c r="CF66" s="15">
        <f t="shared" si="20"/>
        <v>0</v>
      </c>
      <c r="CG66" s="75">
        <f>CF66*(1-PARAM!$C$27)*$R$3+(MOD($B66/12,5)=0)*($B66&gt;60)*HLOOKUP($B66/12,Loyalty,2)*$F$1*MAX(CI65,0)</f>
        <v>0</v>
      </c>
      <c r="CH66" s="75">
        <f>PARAM!$C$26+MAX($P$3-CHOOSE(PARAM!$B$44,MAX(0,CI65*$F$1),0),0)*RATES!$L42/12+$Q$3*(PARAM!$D$51/12)*RATES!$N42/100</f>
        <v>7.3333333333333339</v>
      </c>
      <c r="CI66" s="16">
        <f>IF(CI65&gt;0,CI65*PARAM!$C$53,CI65)+CG66-CH66</f>
        <v>-1361.3333333333326</v>
      </c>
      <c r="CJ66" s="15">
        <f t="shared" si="45"/>
        <v>0</v>
      </c>
      <c r="CK66" s="75">
        <f>CJ66*(1-PARAM!$C$27)*$R$4+(MOD($B66/12,5)=0)*($B66&gt;60)*HLOOKUP($B66/12,Loyalty,2)*$F$1*MAX(CM65,0)</f>
        <v>0</v>
      </c>
      <c r="CL66" s="75">
        <f>PARAM!$C$26+MAX($P$4-CHOOSE(PARAM!$B$44,MAX(0,CM65*$F$1),0),0)*RATES!$L42/12+$Q$4*(PARAM!$D$51/12)*RATES!$N42/100</f>
        <v>7.3333333333333339</v>
      </c>
      <c r="CM66" s="16">
        <f>IF(CM65&gt;0,CM65*PARAM!$C$53,CM65)+CK66-CL66</f>
        <v>-1361.3333333333326</v>
      </c>
      <c r="CO66" s="176"/>
    </row>
    <row r="67" spans="1:93" x14ac:dyDescent="0.2">
      <c r="A67" t="b">
        <f t="shared" si="21"/>
        <v>0</v>
      </c>
      <c r="B67" s="33">
        <v>40</v>
      </c>
      <c r="C67" s="15">
        <f t="shared" si="46"/>
        <v>20.081305947392778</v>
      </c>
      <c r="D67" s="75">
        <f>C67*(1-PARAM!$C$27)*$I$3+(MOD($B67,60)=PARAM!$B$56)*($B67&gt;(60-PARAM!$B$56))*HLOOKUP(($B67+PARAM!$B$56)/12,Loyalty,2)*$F$1*MAX(F66,0)</f>
        <v>16.808053077967756</v>
      </c>
      <c r="E67" s="75">
        <f>PARAM!$C$26+MAX($G$3-CHOOSE(PARAM!$B$44,MAX(0,F66*$F$1),0),0)*RATES!$L43/12+$H$3*(PARAM!$D$51/12)*RATES!$N43/100</f>
        <v>7.3333333333333339</v>
      </c>
      <c r="F67" s="16">
        <f t="shared" si="22"/>
        <v>-872.31702756495861</v>
      </c>
      <c r="G67" s="15">
        <f t="shared" si="23"/>
        <v>22.035289406060361</v>
      </c>
      <c r="H67" s="75">
        <f>G67*(1-PARAM!$C$27)*$I$4+(MOD($B67,60)=PARAM!$B$56)*($B67&gt;(60-PARAM!$B$56))*HLOOKUP(($B67+PARAM!$B$56)/12,Loyalty,2)*$F$1*MAX(J66,0)</f>
        <v>18.443537232872522</v>
      </c>
      <c r="I67" s="75">
        <f>PARAM!$C$26+MAX($G$4-CHOOSE(PARAM!$B$44,MAX(0,J66*$F$1),0),0)*RATES!$L43/12+$H$4*(PARAM!$D$51/12)*RATES!$N43/100</f>
        <v>7.3333333333333339</v>
      </c>
      <c r="J67" s="16">
        <f t="shared" si="24"/>
        <v>-824.02041841707182</v>
      </c>
      <c r="K67" s="15">
        <f t="shared" si="25"/>
        <v>22.170849845882874</v>
      </c>
      <c r="L67" s="75">
        <f>K67*(1-PARAM!$C$27)*$I$5+(MOD($B67,60)=PARAM!$B$56)*($B67&gt;(60-PARAM!$B$56))*HLOOKUP(($B67+PARAM!$B$56)/12,Loyalty,2)*$F$1*MAX(N66,0)</f>
        <v>18.557001321003963</v>
      </c>
      <c r="M67" s="75">
        <f>PARAM!$C$26+MAX($G$5-CHOOSE(PARAM!$B$44,MAX(0,N66*$F$1),0),0)*RATES!$L43/12+$H$5*(PARAM!$D$51/12)*RATES!$N43/100</f>
        <v>7.3333333333333339</v>
      </c>
      <c r="N67" s="16">
        <f t="shared" si="26"/>
        <v>-820.66977102597741</v>
      </c>
      <c r="O67" s="15">
        <f t="shared" si="27"/>
        <v>22.170849845882874</v>
      </c>
      <c r="P67" s="75">
        <f>O67*(1-PARAM!$C$27)*$I$6+(MOD($B67,60)=PARAM!$B$56)*($B67&gt;(60-PARAM!$B$56))*HLOOKUP(($B67+PARAM!$B$56)/12,Loyalty,2)*$F$1*MAX(R66,0)</f>
        <v>18.557001321003963</v>
      </c>
      <c r="Q67" s="75">
        <f>PARAM!$C$26+MAX($G$6-CHOOSE(PARAM!$B$44,MAX(0,R66*$F$1),0),0)*RATES!$L43/12+$H$6*(PARAM!$D$51/12)*RATES!$N43/100</f>
        <v>7.3333333333333339</v>
      </c>
      <c r="R67" s="16">
        <f t="shared" si="28"/>
        <v>-820.66977102597741</v>
      </c>
      <c r="S67" s="15">
        <f t="shared" si="4"/>
        <v>22.170849845882874</v>
      </c>
      <c r="T67" s="75">
        <f>S67*(1-PARAM!$C$27)*$I$7+(MOD($B67,60)=PARAM!$B$56)*($B67&gt;(60-PARAM!$B$56))*HLOOKUP(($B67+PARAM!$B$56)/12,Loyalty,2)*$F$1*MAX(V66,0)</f>
        <v>18.557001321003963</v>
      </c>
      <c r="U67" s="75">
        <f>PARAM!$C$26+MAX($G$7-CHOOSE(PARAM!$B$44,MAX(0,V66*$F$1),0),0)*RATES!$L43/12+$H$7*(PARAM!$D$51/12)*RATES!$N43/100</f>
        <v>7.3333333333333339</v>
      </c>
      <c r="V67" s="16">
        <f t="shared" si="29"/>
        <v>-820.66977102597741</v>
      </c>
      <c r="W67" s="15">
        <f t="shared" si="5"/>
        <v>22.170849845882874</v>
      </c>
      <c r="X67" s="75">
        <f>W67*(1-PARAM!$C$27)*$I$8+(MOD($B67,60)=PARAM!$B$56)*($B67&gt;(60-PARAM!$B$56))*HLOOKUP(($B67+PARAM!$B$56)/12,Loyalty,2)*$F$1*MAX(Z66,0)</f>
        <v>18.557001321003963</v>
      </c>
      <c r="Y67" s="75">
        <f>PARAM!$C$26+MAX($G$8-CHOOSE(PARAM!$B$44,MAX(0,Z66*$F$1),0),0)*RATES!$L43/12+$H$8*(PARAM!$D$51/12)*RATES!$N43/100</f>
        <v>7.3333333333333339</v>
      </c>
      <c r="Z67" s="16">
        <f t="shared" si="30"/>
        <v>-820.66977102597741</v>
      </c>
      <c r="AA67" s="15">
        <f t="shared" si="6"/>
        <v>22.170849845882874</v>
      </c>
      <c r="AB67" s="75">
        <f>AA67*(1-PARAM!$C$27)*$I$9+(MOD($B67,60)=PARAM!$B$56)*($B67&gt;(60-PARAM!$B$56))*HLOOKUP(($B67+PARAM!$B$56)/12,Loyalty,2)*$F$1*MAX(AD66,0)</f>
        <v>18.557001321003963</v>
      </c>
      <c r="AC67" s="75">
        <f>PARAM!$C$26+MAX($G$9-CHOOSE(PARAM!$B$44,MAX(0,AD66*$F$1),0),0)*RATES!$L43/12+$H$9*(PARAM!$D$51/12)*RATES!$N43/100</f>
        <v>7.3333333333333339</v>
      </c>
      <c r="AD67" s="16">
        <f t="shared" si="31"/>
        <v>-820.66977102597741</v>
      </c>
      <c r="AE67" s="15">
        <f t="shared" si="7"/>
        <v>22.170849845882874</v>
      </c>
      <c r="AF67" s="75">
        <f>AE67*(1-PARAM!$C$27)*$I$10+(MOD($B67,60)=PARAM!$B$56)*($B67&gt;(60-PARAM!$B$56))*HLOOKUP(($B67+PARAM!$B$56)/12,Loyalty,2)*$F$1*MAX(AH66,0)</f>
        <v>18.557001321003963</v>
      </c>
      <c r="AG67" s="75">
        <f>PARAM!$C$26+MAX($G$10-CHOOSE(PARAM!$B$44,MAX(0,AH66*$F$1),0),0)*RATES!$L43/12+$H$10*(PARAM!$D$51/12)*RATES!$N43/100</f>
        <v>7.3333333333333339</v>
      </c>
      <c r="AH67" s="16">
        <f t="shared" si="32"/>
        <v>-820.66977102597741</v>
      </c>
      <c r="AI67" s="15">
        <f t="shared" si="8"/>
        <v>22.170849845882874</v>
      </c>
      <c r="AJ67" s="75">
        <f>AI67*(1-PARAM!$C$27)*$I$11+(MOD($B67,60)=PARAM!$B$56)*($B67&gt;(60-PARAM!$B$56))*HLOOKUP(($B67+PARAM!$B$56)/12,Loyalty,2)*$F$1*MAX(AL66,0)</f>
        <v>18.557001321003963</v>
      </c>
      <c r="AK67" s="75">
        <f>PARAM!$C$26+MAX($G$11-CHOOSE(PARAM!$B$44,MAX(0,AL66*$F$1),0),0)*RATES!$L43/12+$H$11*(PARAM!$D$51/12)*RATES!$N43/100</f>
        <v>7.3333333333333339</v>
      </c>
      <c r="AL67" s="16">
        <f t="shared" si="33"/>
        <v>-820.66977102597741</v>
      </c>
      <c r="AM67" s="15">
        <f t="shared" si="9"/>
        <v>22.170849845882874</v>
      </c>
      <c r="AN67" s="75">
        <f>AM67*(1-PARAM!$C$27)*$I$12+(MOD($B67,60)=PARAM!$B$56)*($B67&gt;(60-PARAM!$B$56))*HLOOKUP(($B67+PARAM!$B$56)/12,Loyalty,2)*$F$1*MAX(AP66,0)</f>
        <v>18.557001321003963</v>
      </c>
      <c r="AO67" s="75">
        <f>PARAM!$C$26+MAX($G$12-CHOOSE(PARAM!$B$44,MAX(0,AP66*$F$1),0),0)*RATES!$L43/12+$H$12*(PARAM!$D$51/12)*RATES!$N43/100</f>
        <v>7.3333333333333339</v>
      </c>
      <c r="AP67" s="16">
        <f t="shared" si="34"/>
        <v>-820.66977102597741</v>
      </c>
      <c r="AQ67" s="15">
        <f t="shared" si="10"/>
        <v>22.170849845882874</v>
      </c>
      <c r="AR67" s="75">
        <f>AQ67*(1-PARAM!$C$27)*$I$13+(MOD($B67,60)=PARAM!$B$56)*($B67&gt;(60-PARAM!$B$56))*HLOOKUP(($B67+PARAM!$B$56)/12,Loyalty,2)*$F$1*MAX(AT66,0)</f>
        <v>18.557001321003963</v>
      </c>
      <c r="AS67" s="75">
        <f>PARAM!$C$26+MAX($G$13-CHOOSE(PARAM!$B$44,MAX(0,AT66*$F$1),0),0)*RATES!$L43/12+$H$13*(PARAM!$D$51/12)*RATES!$N43/100</f>
        <v>7.3333333333333339</v>
      </c>
      <c r="AT67" s="16">
        <f t="shared" si="35"/>
        <v>-820.66977102597741</v>
      </c>
      <c r="AU67" s="15">
        <f t="shared" si="11"/>
        <v>22.170849845882874</v>
      </c>
      <c r="AV67" s="75">
        <f>AU67*(1-PARAM!$C$27)*$I$14+(MOD($B67,60)=PARAM!$B$56)*($B67&gt;(60-PARAM!$B$56))*HLOOKUP(($B67+PARAM!$B$56)/12,Loyalty,2)*$F$1*MAX(AX66,0)</f>
        <v>18.557001321003963</v>
      </c>
      <c r="AW67" s="75">
        <f>PARAM!$C$26+MAX($G$14-CHOOSE(PARAM!$B$44,MAX(0,AX66*$F$1),0),0)*RATES!$L43/12+$H$14*(PARAM!$D$51/12)*RATES!$N43/100</f>
        <v>7.3333333333333339</v>
      </c>
      <c r="AX67" s="16">
        <f t="shared" si="36"/>
        <v>-820.66977102597741</v>
      </c>
      <c r="AY67" s="15">
        <f t="shared" si="12"/>
        <v>22.170849845882874</v>
      </c>
      <c r="AZ67" s="75">
        <f>AY67*(1-PARAM!$C$27)*$I$15+(MOD($B67,60)=PARAM!$B$56)*($B67&gt;(60-PARAM!$B$56))*HLOOKUP(($B67+PARAM!$B$56)/12,Loyalty,2)*$F$1*MAX(BB66,0)</f>
        <v>18.557001321003963</v>
      </c>
      <c r="BA67" s="75">
        <f>PARAM!$C$26+MAX($G$15-CHOOSE(PARAM!$B$44,MAX(0,BB66*$F$1),0),0)*RATES!$L43/12+$H$15*(PARAM!$D$51/12)*RATES!$N43/100</f>
        <v>7.3333333333333339</v>
      </c>
      <c r="BB67" s="16">
        <f t="shared" si="37"/>
        <v>-820.66977102597741</v>
      </c>
      <c r="BC67" s="15">
        <f t="shared" si="13"/>
        <v>22.170849845882874</v>
      </c>
      <c r="BD67" s="75">
        <f>BC67*(1-PARAM!$C$27)*$I$16+(MOD($B67,60)=PARAM!$B$56)*($B67&gt;(60-PARAM!$B$56))*HLOOKUP(($B67+PARAM!$B$56)/12,Loyalty,2)*$F$1*MAX(BF66,0)</f>
        <v>18.557001321003963</v>
      </c>
      <c r="BE67" s="75">
        <f>PARAM!$C$26+MAX($G$16-CHOOSE(PARAM!$B$44,MAX(0,BF66*$F$1),0),0)*RATES!$L43/12+$H$16*(PARAM!$D$51/12)*RATES!$N43/100</f>
        <v>7.3333333333333339</v>
      </c>
      <c r="BF67" s="16">
        <f t="shared" si="38"/>
        <v>-820.66977102597741</v>
      </c>
      <c r="BG67" s="15">
        <f t="shared" si="14"/>
        <v>22.170849845882874</v>
      </c>
      <c r="BH67" s="75">
        <f>BG67*(1-PARAM!$C$27)*$I$17+(MOD($B67,60)=PARAM!$B$56)*($B67&gt;(60-PARAM!$B$56))*HLOOKUP(($B67+PARAM!$B$56)/12,Loyalty,2)*$F$1*MAX(BJ66,0)</f>
        <v>18.557001321003963</v>
      </c>
      <c r="BI67" s="75">
        <f>PARAM!$C$26+MAX($G$17-CHOOSE(PARAM!$B$44,MAX(0,BJ66*$F$1),0),0)*RATES!$L43/12+$H$17*(PARAM!$D$51/12)*RATES!$N43/100</f>
        <v>7.3333333333333339</v>
      </c>
      <c r="BJ67" s="16">
        <f t="shared" si="39"/>
        <v>-820.66977102597741</v>
      </c>
      <c r="BK67" s="15">
        <f t="shared" si="15"/>
        <v>22.170849845882874</v>
      </c>
      <c r="BL67" s="75">
        <f>BK67*(1-PARAM!$C$27)*$I$18+(MOD($B67,60)=PARAM!$B$56)*($B67&gt;(60-PARAM!$B$56))*HLOOKUP(($B67+PARAM!$B$56)/12,Loyalty,2)*$F$1*MAX(BN66,0)</f>
        <v>18.557001321003963</v>
      </c>
      <c r="BM67" s="75">
        <f>PARAM!$C$26+MAX($G$18-CHOOSE(PARAM!$B$44,MAX(0,BN66*$F$1),0),0)*RATES!$L43/12+$H$18*(PARAM!$D$51/12)*RATES!$N43/100</f>
        <v>7.3333333333333339</v>
      </c>
      <c r="BN67" s="16">
        <f t="shared" si="40"/>
        <v>-820.66977102597741</v>
      </c>
      <c r="BO67" s="15">
        <f t="shared" si="16"/>
        <v>22.170849845882874</v>
      </c>
      <c r="BP67" s="75">
        <f>BO67*(1-PARAM!$C$27)*$I$19+(MOD($B67,60)=PARAM!$B$56)*($B67&gt;(60-PARAM!$B$56))*HLOOKUP(($B67+PARAM!$B$56)/12,Loyalty,2)*$F$1*MAX(BR66,0)</f>
        <v>18.557001321003963</v>
      </c>
      <c r="BQ67" s="75">
        <f>PARAM!$C$26+MAX($G$19-CHOOSE(PARAM!$B$44,MAX(0,BR66*$F$1),0),0)*RATES!$L43/12+$H$19*(PARAM!$D$51/12)*RATES!$N43/100</f>
        <v>7.3333333333333339</v>
      </c>
      <c r="BR67" s="16">
        <f t="shared" si="41"/>
        <v>-820.66977102597741</v>
      </c>
      <c r="BS67" s="15">
        <f t="shared" si="17"/>
        <v>22.170849845882874</v>
      </c>
      <c r="BT67" s="75">
        <f>BS67*(1-PARAM!$C$27)*$I$20+(MOD($B67,60)=PARAM!$B$56)*($B67&gt;(60-PARAM!$B$56))*HLOOKUP(($B67+PARAM!$B$56)/12,Loyalty,2)*$F$1*MAX(BV66,0)</f>
        <v>18.557001321003963</v>
      </c>
      <c r="BU67" s="75">
        <f>PARAM!$C$26+MAX($G$20-CHOOSE(PARAM!$B$44,MAX(0,BV66*$F$1),0),0)*RATES!$L43/12+$H$20*(PARAM!$D$51/12)*RATES!$N43/100</f>
        <v>7.3333333333333339</v>
      </c>
      <c r="BV67" s="16">
        <f t="shared" si="42"/>
        <v>-820.66977102597741</v>
      </c>
      <c r="BW67" s="15">
        <f t="shared" si="18"/>
        <v>22.170849845882874</v>
      </c>
      <c r="BX67" s="75">
        <f>BW67*(1-PARAM!$C$27)*$I$21+(MOD($B67,60)=PARAM!$B$56)*($B67&gt;(60-PARAM!$B$56))*HLOOKUP(($B67+PARAM!$B$56)/12,Loyalty,2)*$F$1*MAX(BZ66,0)</f>
        <v>18.557001321003963</v>
      </c>
      <c r="BY67" s="75">
        <f>PARAM!$C$26+MAX($G$21-CHOOSE(PARAM!$B$44,MAX(0,BZ66*$F$1),0),0)*RATES!$L43/12+$H$21*(PARAM!$D$51/12)*RATES!$N43/100</f>
        <v>7.3333333333333339</v>
      </c>
      <c r="BZ67" s="16">
        <f t="shared" si="43"/>
        <v>-820.66977102597741</v>
      </c>
      <c r="CA67" s="15">
        <f t="shared" si="19"/>
        <v>22.170849845882874</v>
      </c>
      <c r="CB67" s="75">
        <f>CA67*(1-PARAM!$C$27)*$I$22+(MOD($B67,60)=PARAM!$B$56)*($B67&gt;(60-PARAM!$B$56))*HLOOKUP(($B67+PARAM!$B$56)/12,Loyalty,2)*$F$1*MAX(CD66,0)</f>
        <v>18.557001321003963</v>
      </c>
      <c r="CC67" s="75">
        <f>PARAM!$C$26+MAX($G$22-CHOOSE(PARAM!$B$44,MAX(0,CD66*$F$1),0),0)*RATES!$L43/12+$H$22*(PARAM!$D$51/12)*RATES!$N43/100</f>
        <v>7.3333333333333339</v>
      </c>
      <c r="CD67" s="16">
        <f t="shared" si="44"/>
        <v>-820.66977102597741</v>
      </c>
      <c r="CE67" s="33">
        <f>IF(0=MOD(B67,12/PARAM!$D$51),1,0)</f>
        <v>1</v>
      </c>
      <c r="CF67" s="15">
        <f t="shared" si="20"/>
        <v>0</v>
      </c>
      <c r="CG67" s="75">
        <f>CF67*(1-PARAM!$C$27)*$R$3+(MOD($B67/12,5)=0)*($B67&gt;60)*HLOOKUP($B67/12,Loyalty,2)*$F$1*MAX(CI66,0)</f>
        <v>0</v>
      </c>
      <c r="CH67" s="75">
        <f>PARAM!$C$26+MAX($P$3-CHOOSE(PARAM!$B$44,MAX(0,CI66*$F$1),0),0)*RATES!$L43/12+$Q$3*(PARAM!$D$51/12)*RATES!$N43/100</f>
        <v>7.3333333333333339</v>
      </c>
      <c r="CI67" s="16">
        <f>IF(CI66&gt;0,CI66*PARAM!$C$53,CI66)+CG67-CH67</f>
        <v>-1368.6666666666658</v>
      </c>
      <c r="CJ67" s="15">
        <f t="shared" si="45"/>
        <v>0</v>
      </c>
      <c r="CK67" s="75">
        <f>CJ67*(1-PARAM!$C$27)*$R$4+(MOD($B67/12,5)=0)*($B67&gt;60)*HLOOKUP($B67/12,Loyalty,2)*$F$1*MAX(CM66,0)</f>
        <v>0</v>
      </c>
      <c r="CL67" s="75">
        <f>PARAM!$C$26+MAX($P$4-CHOOSE(PARAM!$B$44,MAX(0,CM66*$F$1),0),0)*RATES!$L43/12+$Q$4*(PARAM!$D$51/12)*RATES!$N43/100</f>
        <v>7.3333333333333339</v>
      </c>
      <c r="CM67" s="16">
        <f>IF(CM66&gt;0,CM66*PARAM!$C$53,CM66)+CK67-CL67</f>
        <v>-1368.6666666666658</v>
      </c>
      <c r="CO67" s="176"/>
    </row>
    <row r="68" spans="1:93" x14ac:dyDescent="0.2">
      <c r="A68" t="b">
        <f t="shared" si="21"/>
        <v>0</v>
      </c>
      <c r="B68" s="33">
        <v>41</v>
      </c>
      <c r="C68" s="15">
        <f t="shared" si="46"/>
        <v>20.081305947392778</v>
      </c>
      <c r="D68" s="75">
        <f>C68*(1-PARAM!$C$27)*$I$3+(MOD($B68,60)=PARAM!$B$56)*($B68&gt;(60-PARAM!$B$56))*HLOOKUP(($B68+PARAM!$B$56)/12,Loyalty,2)*$F$1*MAX(F67,0)</f>
        <v>16.808053077967756</v>
      </c>
      <c r="E68" s="75">
        <f>PARAM!$C$26+MAX($G$3-CHOOSE(PARAM!$B$44,MAX(0,F67*$F$1),0),0)*RATES!$L44/12+$H$3*(PARAM!$D$51/12)*RATES!$N44/100</f>
        <v>7.3333333333333339</v>
      </c>
      <c r="F68" s="16">
        <f t="shared" si="22"/>
        <v>-862.84230782032421</v>
      </c>
      <c r="G68" s="15">
        <f t="shared" si="23"/>
        <v>22.035289406060361</v>
      </c>
      <c r="H68" s="75">
        <f>G68*(1-PARAM!$C$27)*$I$4+(MOD($B68,60)=PARAM!$B$56)*($B68&gt;(60-PARAM!$B$56))*HLOOKUP(($B68+PARAM!$B$56)/12,Loyalty,2)*$F$1*MAX(J67,0)</f>
        <v>18.443537232872522</v>
      </c>
      <c r="I68" s="75">
        <f>PARAM!$C$26+MAX($G$4-CHOOSE(PARAM!$B$44,MAX(0,J67*$F$1),0),0)*RATES!$L44/12+$H$4*(PARAM!$D$51/12)*RATES!$N44/100</f>
        <v>7.3333333333333339</v>
      </c>
      <c r="J68" s="16">
        <f t="shared" si="24"/>
        <v>-812.91021451753272</v>
      </c>
      <c r="K68" s="15">
        <f t="shared" si="25"/>
        <v>22.170849845882874</v>
      </c>
      <c r="L68" s="75">
        <f>K68*(1-PARAM!$C$27)*$I$5+(MOD($B68,60)=PARAM!$B$56)*($B68&gt;(60-PARAM!$B$56))*HLOOKUP(($B68+PARAM!$B$56)/12,Loyalty,2)*$F$1*MAX(N67,0)</f>
        <v>18.557001321003963</v>
      </c>
      <c r="M68" s="75">
        <f>PARAM!$C$26+MAX($G$5-CHOOSE(PARAM!$B$44,MAX(0,N67*$F$1),0),0)*RATES!$L44/12+$H$5*(PARAM!$D$51/12)*RATES!$N44/100</f>
        <v>7.3333333333333339</v>
      </c>
      <c r="N68" s="16">
        <f t="shared" si="26"/>
        <v>-809.44610303830677</v>
      </c>
      <c r="O68" s="15">
        <f t="shared" si="27"/>
        <v>22.170849845882874</v>
      </c>
      <c r="P68" s="75">
        <f>O68*(1-PARAM!$C$27)*$I$6+(MOD($B68,60)=PARAM!$B$56)*($B68&gt;(60-PARAM!$B$56))*HLOOKUP(($B68+PARAM!$B$56)/12,Loyalty,2)*$F$1*MAX(R67,0)</f>
        <v>18.557001321003963</v>
      </c>
      <c r="Q68" s="75">
        <f>PARAM!$C$26+MAX($G$6-CHOOSE(PARAM!$B$44,MAX(0,R67*$F$1),0),0)*RATES!$L44/12+$H$6*(PARAM!$D$51/12)*RATES!$N44/100</f>
        <v>7.3333333333333339</v>
      </c>
      <c r="R68" s="16">
        <f t="shared" si="28"/>
        <v>-809.44610303830677</v>
      </c>
      <c r="S68" s="15">
        <f t="shared" si="4"/>
        <v>22.170849845882874</v>
      </c>
      <c r="T68" s="75">
        <f>S68*(1-PARAM!$C$27)*$I$7+(MOD($B68,60)=PARAM!$B$56)*($B68&gt;(60-PARAM!$B$56))*HLOOKUP(($B68+PARAM!$B$56)/12,Loyalty,2)*$F$1*MAX(V67,0)</f>
        <v>18.557001321003963</v>
      </c>
      <c r="U68" s="75">
        <f>PARAM!$C$26+MAX($G$7-CHOOSE(PARAM!$B$44,MAX(0,V67*$F$1),0),0)*RATES!$L44/12+$H$7*(PARAM!$D$51/12)*RATES!$N44/100</f>
        <v>7.3333333333333339</v>
      </c>
      <c r="V68" s="16">
        <f t="shared" si="29"/>
        <v>-809.44610303830677</v>
      </c>
      <c r="W68" s="15">
        <f t="shared" si="5"/>
        <v>22.170849845882874</v>
      </c>
      <c r="X68" s="75">
        <f>W68*(1-PARAM!$C$27)*$I$8+(MOD($B68,60)=PARAM!$B$56)*($B68&gt;(60-PARAM!$B$56))*HLOOKUP(($B68+PARAM!$B$56)/12,Loyalty,2)*$F$1*MAX(Z67,0)</f>
        <v>18.557001321003963</v>
      </c>
      <c r="Y68" s="75">
        <f>PARAM!$C$26+MAX($G$8-CHOOSE(PARAM!$B$44,MAX(0,Z67*$F$1),0),0)*RATES!$L44/12+$H$8*(PARAM!$D$51/12)*RATES!$N44/100</f>
        <v>7.3333333333333339</v>
      </c>
      <c r="Z68" s="16">
        <f t="shared" si="30"/>
        <v>-809.44610303830677</v>
      </c>
      <c r="AA68" s="15">
        <f t="shared" si="6"/>
        <v>22.170849845882874</v>
      </c>
      <c r="AB68" s="75">
        <f>AA68*(1-PARAM!$C$27)*$I$9+(MOD($B68,60)=PARAM!$B$56)*($B68&gt;(60-PARAM!$B$56))*HLOOKUP(($B68+PARAM!$B$56)/12,Loyalty,2)*$F$1*MAX(AD67,0)</f>
        <v>18.557001321003963</v>
      </c>
      <c r="AC68" s="75">
        <f>PARAM!$C$26+MAX($G$9-CHOOSE(PARAM!$B$44,MAX(0,AD67*$F$1),0),0)*RATES!$L44/12+$H$9*(PARAM!$D$51/12)*RATES!$N44/100</f>
        <v>7.3333333333333339</v>
      </c>
      <c r="AD68" s="16">
        <f t="shared" si="31"/>
        <v>-809.44610303830677</v>
      </c>
      <c r="AE68" s="15">
        <f t="shared" si="7"/>
        <v>22.170849845882874</v>
      </c>
      <c r="AF68" s="75">
        <f>AE68*(1-PARAM!$C$27)*$I$10+(MOD($B68,60)=PARAM!$B$56)*($B68&gt;(60-PARAM!$B$56))*HLOOKUP(($B68+PARAM!$B$56)/12,Loyalty,2)*$F$1*MAX(AH67,0)</f>
        <v>18.557001321003963</v>
      </c>
      <c r="AG68" s="75">
        <f>PARAM!$C$26+MAX($G$10-CHOOSE(PARAM!$B$44,MAX(0,AH67*$F$1),0),0)*RATES!$L44/12+$H$10*(PARAM!$D$51/12)*RATES!$N44/100</f>
        <v>7.3333333333333339</v>
      </c>
      <c r="AH68" s="16">
        <f t="shared" si="32"/>
        <v>-809.44610303830677</v>
      </c>
      <c r="AI68" s="15">
        <f t="shared" si="8"/>
        <v>22.170849845882874</v>
      </c>
      <c r="AJ68" s="75">
        <f>AI68*(1-PARAM!$C$27)*$I$11+(MOD($B68,60)=PARAM!$B$56)*($B68&gt;(60-PARAM!$B$56))*HLOOKUP(($B68+PARAM!$B$56)/12,Loyalty,2)*$F$1*MAX(AL67,0)</f>
        <v>18.557001321003963</v>
      </c>
      <c r="AK68" s="75">
        <f>PARAM!$C$26+MAX($G$11-CHOOSE(PARAM!$B$44,MAX(0,AL67*$F$1),0),0)*RATES!$L44/12+$H$11*(PARAM!$D$51/12)*RATES!$N44/100</f>
        <v>7.3333333333333339</v>
      </c>
      <c r="AL68" s="16">
        <f t="shared" si="33"/>
        <v>-809.44610303830677</v>
      </c>
      <c r="AM68" s="15">
        <f t="shared" si="9"/>
        <v>22.170849845882874</v>
      </c>
      <c r="AN68" s="75">
        <f>AM68*(1-PARAM!$C$27)*$I$12+(MOD($B68,60)=PARAM!$B$56)*($B68&gt;(60-PARAM!$B$56))*HLOOKUP(($B68+PARAM!$B$56)/12,Loyalty,2)*$F$1*MAX(AP67,0)</f>
        <v>18.557001321003963</v>
      </c>
      <c r="AO68" s="75">
        <f>PARAM!$C$26+MAX($G$12-CHOOSE(PARAM!$B$44,MAX(0,AP67*$F$1),0),0)*RATES!$L44/12+$H$12*(PARAM!$D$51/12)*RATES!$N44/100</f>
        <v>7.3333333333333339</v>
      </c>
      <c r="AP68" s="16">
        <f t="shared" si="34"/>
        <v>-809.44610303830677</v>
      </c>
      <c r="AQ68" s="15">
        <f t="shared" si="10"/>
        <v>22.170849845882874</v>
      </c>
      <c r="AR68" s="75">
        <f>AQ68*(1-PARAM!$C$27)*$I$13+(MOD($B68,60)=PARAM!$B$56)*($B68&gt;(60-PARAM!$B$56))*HLOOKUP(($B68+PARAM!$B$56)/12,Loyalty,2)*$F$1*MAX(AT67,0)</f>
        <v>18.557001321003963</v>
      </c>
      <c r="AS68" s="75">
        <f>PARAM!$C$26+MAX($G$13-CHOOSE(PARAM!$B$44,MAX(0,AT67*$F$1),0),0)*RATES!$L44/12+$H$13*(PARAM!$D$51/12)*RATES!$N44/100</f>
        <v>7.3333333333333339</v>
      </c>
      <c r="AT68" s="16">
        <f t="shared" si="35"/>
        <v>-809.44610303830677</v>
      </c>
      <c r="AU68" s="15">
        <f t="shared" si="11"/>
        <v>22.170849845882874</v>
      </c>
      <c r="AV68" s="75">
        <f>AU68*(1-PARAM!$C$27)*$I$14+(MOD($B68,60)=PARAM!$B$56)*($B68&gt;(60-PARAM!$B$56))*HLOOKUP(($B68+PARAM!$B$56)/12,Loyalty,2)*$F$1*MAX(AX67,0)</f>
        <v>18.557001321003963</v>
      </c>
      <c r="AW68" s="75">
        <f>PARAM!$C$26+MAX($G$14-CHOOSE(PARAM!$B$44,MAX(0,AX67*$F$1),0),0)*RATES!$L44/12+$H$14*(PARAM!$D$51/12)*RATES!$N44/100</f>
        <v>7.3333333333333339</v>
      </c>
      <c r="AX68" s="16">
        <f t="shared" si="36"/>
        <v>-809.44610303830677</v>
      </c>
      <c r="AY68" s="15">
        <f t="shared" si="12"/>
        <v>22.170849845882874</v>
      </c>
      <c r="AZ68" s="75">
        <f>AY68*(1-PARAM!$C$27)*$I$15+(MOD($B68,60)=PARAM!$B$56)*($B68&gt;(60-PARAM!$B$56))*HLOOKUP(($B68+PARAM!$B$56)/12,Loyalty,2)*$F$1*MAX(BB67,0)</f>
        <v>18.557001321003963</v>
      </c>
      <c r="BA68" s="75">
        <f>PARAM!$C$26+MAX($G$15-CHOOSE(PARAM!$B$44,MAX(0,BB67*$F$1),0),0)*RATES!$L44/12+$H$15*(PARAM!$D$51/12)*RATES!$N44/100</f>
        <v>7.3333333333333339</v>
      </c>
      <c r="BB68" s="16">
        <f t="shared" si="37"/>
        <v>-809.44610303830677</v>
      </c>
      <c r="BC68" s="15">
        <f t="shared" si="13"/>
        <v>22.170849845882874</v>
      </c>
      <c r="BD68" s="75">
        <f>BC68*(1-PARAM!$C$27)*$I$16+(MOD($B68,60)=PARAM!$B$56)*($B68&gt;(60-PARAM!$B$56))*HLOOKUP(($B68+PARAM!$B$56)/12,Loyalty,2)*$F$1*MAX(BF67,0)</f>
        <v>18.557001321003963</v>
      </c>
      <c r="BE68" s="75">
        <f>PARAM!$C$26+MAX($G$16-CHOOSE(PARAM!$B$44,MAX(0,BF67*$F$1),0),0)*RATES!$L44/12+$H$16*(PARAM!$D$51/12)*RATES!$N44/100</f>
        <v>7.3333333333333339</v>
      </c>
      <c r="BF68" s="16">
        <f t="shared" si="38"/>
        <v>-809.44610303830677</v>
      </c>
      <c r="BG68" s="15">
        <f t="shared" si="14"/>
        <v>22.170849845882874</v>
      </c>
      <c r="BH68" s="75">
        <f>BG68*(1-PARAM!$C$27)*$I$17+(MOD($B68,60)=PARAM!$B$56)*($B68&gt;(60-PARAM!$B$56))*HLOOKUP(($B68+PARAM!$B$56)/12,Loyalty,2)*$F$1*MAX(BJ67,0)</f>
        <v>18.557001321003963</v>
      </c>
      <c r="BI68" s="75">
        <f>PARAM!$C$26+MAX($G$17-CHOOSE(PARAM!$B$44,MAX(0,BJ67*$F$1),0),0)*RATES!$L44/12+$H$17*(PARAM!$D$51/12)*RATES!$N44/100</f>
        <v>7.3333333333333339</v>
      </c>
      <c r="BJ68" s="16">
        <f t="shared" si="39"/>
        <v>-809.44610303830677</v>
      </c>
      <c r="BK68" s="15">
        <f t="shared" si="15"/>
        <v>22.170849845882874</v>
      </c>
      <c r="BL68" s="75">
        <f>BK68*(1-PARAM!$C$27)*$I$18+(MOD($B68,60)=PARAM!$B$56)*($B68&gt;(60-PARAM!$B$56))*HLOOKUP(($B68+PARAM!$B$56)/12,Loyalty,2)*$F$1*MAX(BN67,0)</f>
        <v>18.557001321003963</v>
      </c>
      <c r="BM68" s="75">
        <f>PARAM!$C$26+MAX($G$18-CHOOSE(PARAM!$B$44,MAX(0,BN67*$F$1),0),0)*RATES!$L44/12+$H$18*(PARAM!$D$51/12)*RATES!$N44/100</f>
        <v>7.3333333333333339</v>
      </c>
      <c r="BN68" s="16">
        <f t="shared" si="40"/>
        <v>-809.44610303830677</v>
      </c>
      <c r="BO68" s="15">
        <f t="shared" si="16"/>
        <v>22.170849845882874</v>
      </c>
      <c r="BP68" s="75">
        <f>BO68*(1-PARAM!$C$27)*$I$19+(MOD($B68,60)=PARAM!$B$56)*($B68&gt;(60-PARAM!$B$56))*HLOOKUP(($B68+PARAM!$B$56)/12,Loyalty,2)*$F$1*MAX(BR67,0)</f>
        <v>18.557001321003963</v>
      </c>
      <c r="BQ68" s="75">
        <f>PARAM!$C$26+MAX($G$19-CHOOSE(PARAM!$B$44,MAX(0,BR67*$F$1),0),0)*RATES!$L44/12+$H$19*(PARAM!$D$51/12)*RATES!$N44/100</f>
        <v>7.3333333333333339</v>
      </c>
      <c r="BR68" s="16">
        <f t="shared" si="41"/>
        <v>-809.44610303830677</v>
      </c>
      <c r="BS68" s="15">
        <f t="shared" si="17"/>
        <v>22.170849845882874</v>
      </c>
      <c r="BT68" s="75">
        <f>BS68*(1-PARAM!$C$27)*$I$20+(MOD($B68,60)=PARAM!$B$56)*($B68&gt;(60-PARAM!$B$56))*HLOOKUP(($B68+PARAM!$B$56)/12,Loyalty,2)*$F$1*MAX(BV67,0)</f>
        <v>18.557001321003963</v>
      </c>
      <c r="BU68" s="75">
        <f>PARAM!$C$26+MAX($G$20-CHOOSE(PARAM!$B$44,MAX(0,BV67*$F$1),0),0)*RATES!$L44/12+$H$20*(PARAM!$D$51/12)*RATES!$N44/100</f>
        <v>7.3333333333333339</v>
      </c>
      <c r="BV68" s="16">
        <f t="shared" si="42"/>
        <v>-809.44610303830677</v>
      </c>
      <c r="BW68" s="15">
        <f t="shared" si="18"/>
        <v>22.170849845882874</v>
      </c>
      <c r="BX68" s="75">
        <f>BW68*(1-PARAM!$C$27)*$I$21+(MOD($B68,60)=PARAM!$B$56)*($B68&gt;(60-PARAM!$B$56))*HLOOKUP(($B68+PARAM!$B$56)/12,Loyalty,2)*$F$1*MAX(BZ67,0)</f>
        <v>18.557001321003963</v>
      </c>
      <c r="BY68" s="75">
        <f>PARAM!$C$26+MAX($G$21-CHOOSE(PARAM!$B$44,MAX(0,BZ67*$F$1),0),0)*RATES!$L44/12+$H$21*(PARAM!$D$51/12)*RATES!$N44/100</f>
        <v>7.3333333333333339</v>
      </c>
      <c r="BZ68" s="16">
        <f t="shared" si="43"/>
        <v>-809.44610303830677</v>
      </c>
      <c r="CA68" s="15">
        <f t="shared" si="19"/>
        <v>22.170849845882874</v>
      </c>
      <c r="CB68" s="75">
        <f>CA68*(1-PARAM!$C$27)*$I$22+(MOD($B68,60)=PARAM!$B$56)*($B68&gt;(60-PARAM!$B$56))*HLOOKUP(($B68+PARAM!$B$56)/12,Loyalty,2)*$F$1*MAX(CD67,0)</f>
        <v>18.557001321003963</v>
      </c>
      <c r="CC68" s="75">
        <f>PARAM!$C$26+MAX($G$22-CHOOSE(PARAM!$B$44,MAX(0,CD67*$F$1),0),0)*RATES!$L44/12+$H$22*(PARAM!$D$51/12)*RATES!$N44/100</f>
        <v>7.3333333333333339</v>
      </c>
      <c r="CD68" s="16">
        <f t="shared" si="44"/>
        <v>-809.44610303830677</v>
      </c>
      <c r="CE68" s="33">
        <f>IF(0=MOD(B68,12/PARAM!$D$51),1,0)</f>
        <v>1</v>
      </c>
      <c r="CF68" s="15">
        <f t="shared" si="20"/>
        <v>0</v>
      </c>
      <c r="CG68" s="75">
        <f>CF68*(1-PARAM!$C$27)*$R$3+(MOD($B68/12,5)=0)*($B68&gt;60)*HLOOKUP($B68/12,Loyalty,2)*$F$1*MAX(CI67,0)</f>
        <v>0</v>
      </c>
      <c r="CH68" s="75">
        <f>PARAM!$C$26+MAX($P$3-CHOOSE(PARAM!$B$44,MAX(0,CI67*$F$1),0),0)*RATES!$L44/12+$Q$3*(PARAM!$D$51/12)*RATES!$N44/100</f>
        <v>7.3333333333333339</v>
      </c>
      <c r="CI68" s="16">
        <f>IF(CI67&gt;0,CI67*PARAM!$C$53,CI67)+CG68-CH68</f>
        <v>-1375.9999999999991</v>
      </c>
      <c r="CJ68" s="15">
        <f t="shared" si="45"/>
        <v>0</v>
      </c>
      <c r="CK68" s="75">
        <f>CJ68*(1-PARAM!$C$27)*$R$4+(MOD($B68/12,5)=0)*($B68&gt;60)*HLOOKUP($B68/12,Loyalty,2)*$F$1*MAX(CM67,0)</f>
        <v>0</v>
      </c>
      <c r="CL68" s="75">
        <f>PARAM!$C$26+MAX($P$4-CHOOSE(PARAM!$B$44,MAX(0,CM67*$F$1),0),0)*RATES!$L44/12+$Q$4*(PARAM!$D$51/12)*RATES!$N44/100</f>
        <v>7.3333333333333339</v>
      </c>
      <c r="CM68" s="16">
        <f>IF(CM67&gt;0,CM67*PARAM!$C$53,CM67)+CK68-CL68</f>
        <v>-1375.9999999999991</v>
      </c>
      <c r="CO68" s="176"/>
    </row>
    <row r="69" spans="1:93" x14ac:dyDescent="0.2">
      <c r="A69" t="b">
        <f t="shared" si="21"/>
        <v>0</v>
      </c>
      <c r="B69" s="33">
        <v>42</v>
      </c>
      <c r="C69" s="15">
        <f t="shared" si="46"/>
        <v>20.081305947392778</v>
      </c>
      <c r="D69" s="75">
        <f>C69*(1-PARAM!$C$27)*$I$3+(MOD($B69,60)=PARAM!$B$56)*($B69&gt;(60-PARAM!$B$56))*HLOOKUP(($B69+PARAM!$B$56)/12,Loyalty,2)*$F$1*MAX(F68,0)</f>
        <v>16.808053077967756</v>
      </c>
      <c r="E69" s="75">
        <f>PARAM!$C$26+MAX($G$3-CHOOSE(PARAM!$B$44,MAX(0,F68*$F$1),0),0)*RATES!$L45/12+$H$3*(PARAM!$D$51/12)*RATES!$N45/100</f>
        <v>7.5</v>
      </c>
      <c r="F69" s="16">
        <f t="shared" si="22"/>
        <v>-853.53425474235644</v>
      </c>
      <c r="G69" s="15">
        <f t="shared" si="23"/>
        <v>22.035289406060361</v>
      </c>
      <c r="H69" s="75">
        <f>G69*(1-PARAM!$C$27)*$I$4+(MOD($B69,60)=PARAM!$B$56)*($B69&gt;(60-PARAM!$B$56))*HLOOKUP(($B69+PARAM!$B$56)/12,Loyalty,2)*$F$1*MAX(J68,0)</f>
        <v>18.443537232872522</v>
      </c>
      <c r="I69" s="75">
        <f>PARAM!$C$26+MAX($G$4-CHOOSE(PARAM!$B$44,MAX(0,J68*$F$1),0),0)*RATES!$L45/12+$H$4*(PARAM!$D$51/12)*RATES!$N45/100</f>
        <v>7.5</v>
      </c>
      <c r="J69" s="16">
        <f t="shared" si="24"/>
        <v>-801.96667728466025</v>
      </c>
      <c r="K69" s="15">
        <f t="shared" si="25"/>
        <v>22.170849845882874</v>
      </c>
      <c r="L69" s="75">
        <f>K69*(1-PARAM!$C$27)*$I$5+(MOD($B69,60)=PARAM!$B$56)*($B69&gt;(60-PARAM!$B$56))*HLOOKUP(($B69+PARAM!$B$56)/12,Loyalty,2)*$F$1*MAX(N68,0)</f>
        <v>18.557001321003963</v>
      </c>
      <c r="M69" s="75">
        <f>PARAM!$C$26+MAX($G$5-CHOOSE(PARAM!$B$44,MAX(0,N68*$F$1),0),0)*RATES!$L45/12+$H$5*(PARAM!$D$51/12)*RATES!$N45/100</f>
        <v>7.5</v>
      </c>
      <c r="N69" s="16">
        <f t="shared" si="26"/>
        <v>-798.38910171730276</v>
      </c>
      <c r="O69" s="15">
        <f t="shared" si="27"/>
        <v>22.170849845882874</v>
      </c>
      <c r="P69" s="75">
        <f>O69*(1-PARAM!$C$27)*$I$6+(MOD($B69,60)=PARAM!$B$56)*($B69&gt;(60-PARAM!$B$56))*HLOOKUP(($B69+PARAM!$B$56)/12,Loyalty,2)*$F$1*MAX(R68,0)</f>
        <v>18.557001321003963</v>
      </c>
      <c r="Q69" s="75">
        <f>PARAM!$C$26+MAX($G$6-CHOOSE(PARAM!$B$44,MAX(0,R68*$F$1),0),0)*RATES!$L45/12+$H$6*(PARAM!$D$51/12)*RATES!$N45/100</f>
        <v>7.5</v>
      </c>
      <c r="R69" s="16">
        <f t="shared" si="28"/>
        <v>-798.38910171730276</v>
      </c>
      <c r="S69" s="15">
        <f t="shared" si="4"/>
        <v>22.170849845882874</v>
      </c>
      <c r="T69" s="75">
        <f>S69*(1-PARAM!$C$27)*$I$7+(MOD($B69,60)=PARAM!$B$56)*($B69&gt;(60-PARAM!$B$56))*HLOOKUP(($B69+PARAM!$B$56)/12,Loyalty,2)*$F$1*MAX(V68,0)</f>
        <v>18.557001321003963</v>
      </c>
      <c r="U69" s="75">
        <f>PARAM!$C$26+MAX($G$7-CHOOSE(PARAM!$B$44,MAX(0,V68*$F$1),0),0)*RATES!$L45/12+$H$7*(PARAM!$D$51/12)*RATES!$N45/100</f>
        <v>7.5</v>
      </c>
      <c r="V69" s="16">
        <f t="shared" si="29"/>
        <v>-798.38910171730276</v>
      </c>
      <c r="W69" s="15">
        <f t="shared" si="5"/>
        <v>22.170849845882874</v>
      </c>
      <c r="X69" s="75">
        <f>W69*(1-PARAM!$C$27)*$I$8+(MOD($B69,60)=PARAM!$B$56)*($B69&gt;(60-PARAM!$B$56))*HLOOKUP(($B69+PARAM!$B$56)/12,Loyalty,2)*$F$1*MAX(Z68,0)</f>
        <v>18.557001321003963</v>
      </c>
      <c r="Y69" s="75">
        <f>PARAM!$C$26+MAX($G$8-CHOOSE(PARAM!$B$44,MAX(0,Z68*$F$1),0),0)*RATES!$L45/12+$H$8*(PARAM!$D$51/12)*RATES!$N45/100</f>
        <v>7.5</v>
      </c>
      <c r="Z69" s="16">
        <f t="shared" si="30"/>
        <v>-798.38910171730276</v>
      </c>
      <c r="AA69" s="15">
        <f t="shared" si="6"/>
        <v>22.170849845882874</v>
      </c>
      <c r="AB69" s="75">
        <f>AA69*(1-PARAM!$C$27)*$I$9+(MOD($B69,60)=PARAM!$B$56)*($B69&gt;(60-PARAM!$B$56))*HLOOKUP(($B69+PARAM!$B$56)/12,Loyalty,2)*$F$1*MAX(AD68,0)</f>
        <v>18.557001321003963</v>
      </c>
      <c r="AC69" s="75">
        <f>PARAM!$C$26+MAX($G$9-CHOOSE(PARAM!$B$44,MAX(0,AD68*$F$1),0),0)*RATES!$L45/12+$H$9*(PARAM!$D$51/12)*RATES!$N45/100</f>
        <v>7.5</v>
      </c>
      <c r="AD69" s="16">
        <f t="shared" si="31"/>
        <v>-798.38910171730276</v>
      </c>
      <c r="AE69" s="15">
        <f t="shared" si="7"/>
        <v>22.170849845882874</v>
      </c>
      <c r="AF69" s="75">
        <f>AE69*(1-PARAM!$C$27)*$I$10+(MOD($B69,60)=PARAM!$B$56)*($B69&gt;(60-PARAM!$B$56))*HLOOKUP(($B69+PARAM!$B$56)/12,Loyalty,2)*$F$1*MAX(AH68,0)</f>
        <v>18.557001321003963</v>
      </c>
      <c r="AG69" s="75">
        <f>PARAM!$C$26+MAX($G$10-CHOOSE(PARAM!$B$44,MAX(0,AH68*$F$1),0),0)*RATES!$L45/12+$H$10*(PARAM!$D$51/12)*RATES!$N45/100</f>
        <v>7.5</v>
      </c>
      <c r="AH69" s="16">
        <f t="shared" si="32"/>
        <v>-798.38910171730276</v>
      </c>
      <c r="AI69" s="15">
        <f t="shared" si="8"/>
        <v>22.170849845882874</v>
      </c>
      <c r="AJ69" s="75">
        <f>AI69*(1-PARAM!$C$27)*$I$11+(MOD($B69,60)=PARAM!$B$56)*($B69&gt;(60-PARAM!$B$56))*HLOOKUP(($B69+PARAM!$B$56)/12,Loyalty,2)*$F$1*MAX(AL68,0)</f>
        <v>18.557001321003963</v>
      </c>
      <c r="AK69" s="75">
        <f>PARAM!$C$26+MAX($G$11-CHOOSE(PARAM!$B$44,MAX(0,AL68*$F$1),0),0)*RATES!$L45/12+$H$11*(PARAM!$D$51/12)*RATES!$N45/100</f>
        <v>7.5</v>
      </c>
      <c r="AL69" s="16">
        <f t="shared" si="33"/>
        <v>-798.38910171730276</v>
      </c>
      <c r="AM69" s="15">
        <f t="shared" si="9"/>
        <v>22.170849845882874</v>
      </c>
      <c r="AN69" s="75">
        <f>AM69*(1-PARAM!$C$27)*$I$12+(MOD($B69,60)=PARAM!$B$56)*($B69&gt;(60-PARAM!$B$56))*HLOOKUP(($B69+PARAM!$B$56)/12,Loyalty,2)*$F$1*MAX(AP68,0)</f>
        <v>18.557001321003963</v>
      </c>
      <c r="AO69" s="75">
        <f>PARAM!$C$26+MAX($G$12-CHOOSE(PARAM!$B$44,MAX(0,AP68*$F$1),0),0)*RATES!$L45/12+$H$12*(PARAM!$D$51/12)*RATES!$N45/100</f>
        <v>7.5</v>
      </c>
      <c r="AP69" s="16">
        <f t="shared" si="34"/>
        <v>-798.38910171730276</v>
      </c>
      <c r="AQ69" s="15">
        <f t="shared" si="10"/>
        <v>22.170849845882874</v>
      </c>
      <c r="AR69" s="75">
        <f>AQ69*(1-PARAM!$C$27)*$I$13+(MOD($B69,60)=PARAM!$B$56)*($B69&gt;(60-PARAM!$B$56))*HLOOKUP(($B69+PARAM!$B$56)/12,Loyalty,2)*$F$1*MAX(AT68,0)</f>
        <v>18.557001321003963</v>
      </c>
      <c r="AS69" s="75">
        <f>PARAM!$C$26+MAX($G$13-CHOOSE(PARAM!$B$44,MAX(0,AT68*$F$1),0),0)*RATES!$L45/12+$H$13*(PARAM!$D$51/12)*RATES!$N45/100</f>
        <v>7.5</v>
      </c>
      <c r="AT69" s="16">
        <f t="shared" si="35"/>
        <v>-798.38910171730276</v>
      </c>
      <c r="AU69" s="15">
        <f t="shared" si="11"/>
        <v>22.170849845882874</v>
      </c>
      <c r="AV69" s="75">
        <f>AU69*(1-PARAM!$C$27)*$I$14+(MOD($B69,60)=PARAM!$B$56)*($B69&gt;(60-PARAM!$B$56))*HLOOKUP(($B69+PARAM!$B$56)/12,Loyalty,2)*$F$1*MAX(AX68,0)</f>
        <v>18.557001321003963</v>
      </c>
      <c r="AW69" s="75">
        <f>PARAM!$C$26+MAX($G$14-CHOOSE(PARAM!$B$44,MAX(0,AX68*$F$1),0),0)*RATES!$L45/12+$H$14*(PARAM!$D$51/12)*RATES!$N45/100</f>
        <v>7.5</v>
      </c>
      <c r="AX69" s="16">
        <f t="shared" si="36"/>
        <v>-798.38910171730276</v>
      </c>
      <c r="AY69" s="15">
        <f t="shared" si="12"/>
        <v>22.170849845882874</v>
      </c>
      <c r="AZ69" s="75">
        <f>AY69*(1-PARAM!$C$27)*$I$15+(MOD($B69,60)=PARAM!$B$56)*($B69&gt;(60-PARAM!$B$56))*HLOOKUP(($B69+PARAM!$B$56)/12,Loyalty,2)*$F$1*MAX(BB68,0)</f>
        <v>18.557001321003963</v>
      </c>
      <c r="BA69" s="75">
        <f>PARAM!$C$26+MAX($G$15-CHOOSE(PARAM!$B$44,MAX(0,BB68*$F$1),0),0)*RATES!$L45/12+$H$15*(PARAM!$D$51/12)*RATES!$N45/100</f>
        <v>7.5</v>
      </c>
      <c r="BB69" s="16">
        <f t="shared" si="37"/>
        <v>-798.38910171730276</v>
      </c>
      <c r="BC69" s="15">
        <f t="shared" si="13"/>
        <v>22.170849845882874</v>
      </c>
      <c r="BD69" s="75">
        <f>BC69*(1-PARAM!$C$27)*$I$16+(MOD($B69,60)=PARAM!$B$56)*($B69&gt;(60-PARAM!$B$56))*HLOOKUP(($B69+PARAM!$B$56)/12,Loyalty,2)*$F$1*MAX(BF68,0)</f>
        <v>18.557001321003963</v>
      </c>
      <c r="BE69" s="75">
        <f>PARAM!$C$26+MAX($G$16-CHOOSE(PARAM!$B$44,MAX(0,BF68*$F$1),0),0)*RATES!$L45/12+$H$16*(PARAM!$D$51/12)*RATES!$N45/100</f>
        <v>7.5</v>
      </c>
      <c r="BF69" s="16">
        <f t="shared" si="38"/>
        <v>-798.38910171730276</v>
      </c>
      <c r="BG69" s="15">
        <f t="shared" si="14"/>
        <v>22.170849845882874</v>
      </c>
      <c r="BH69" s="75">
        <f>BG69*(1-PARAM!$C$27)*$I$17+(MOD($B69,60)=PARAM!$B$56)*($B69&gt;(60-PARAM!$B$56))*HLOOKUP(($B69+PARAM!$B$56)/12,Loyalty,2)*$F$1*MAX(BJ68,0)</f>
        <v>18.557001321003963</v>
      </c>
      <c r="BI69" s="75">
        <f>PARAM!$C$26+MAX($G$17-CHOOSE(PARAM!$B$44,MAX(0,BJ68*$F$1),0),0)*RATES!$L45/12+$H$17*(PARAM!$D$51/12)*RATES!$N45/100</f>
        <v>7.5</v>
      </c>
      <c r="BJ69" s="16">
        <f t="shared" si="39"/>
        <v>-798.38910171730276</v>
      </c>
      <c r="BK69" s="15">
        <f t="shared" si="15"/>
        <v>22.170849845882874</v>
      </c>
      <c r="BL69" s="75">
        <f>BK69*(1-PARAM!$C$27)*$I$18+(MOD($B69,60)=PARAM!$B$56)*($B69&gt;(60-PARAM!$B$56))*HLOOKUP(($B69+PARAM!$B$56)/12,Loyalty,2)*$F$1*MAX(BN68,0)</f>
        <v>18.557001321003963</v>
      </c>
      <c r="BM69" s="75">
        <f>PARAM!$C$26+MAX($G$18-CHOOSE(PARAM!$B$44,MAX(0,BN68*$F$1),0),0)*RATES!$L45/12+$H$18*(PARAM!$D$51/12)*RATES!$N45/100</f>
        <v>7.5</v>
      </c>
      <c r="BN69" s="16">
        <f t="shared" si="40"/>
        <v>-798.38910171730276</v>
      </c>
      <c r="BO69" s="15">
        <f t="shared" si="16"/>
        <v>22.170849845882874</v>
      </c>
      <c r="BP69" s="75">
        <f>BO69*(1-PARAM!$C$27)*$I$19+(MOD($B69,60)=PARAM!$B$56)*($B69&gt;(60-PARAM!$B$56))*HLOOKUP(($B69+PARAM!$B$56)/12,Loyalty,2)*$F$1*MAX(BR68,0)</f>
        <v>18.557001321003963</v>
      </c>
      <c r="BQ69" s="75">
        <f>PARAM!$C$26+MAX($G$19-CHOOSE(PARAM!$B$44,MAX(0,BR68*$F$1),0),0)*RATES!$L45/12+$H$19*(PARAM!$D$51/12)*RATES!$N45/100</f>
        <v>7.5</v>
      </c>
      <c r="BR69" s="16">
        <f t="shared" si="41"/>
        <v>-798.38910171730276</v>
      </c>
      <c r="BS69" s="15">
        <f t="shared" si="17"/>
        <v>22.170849845882874</v>
      </c>
      <c r="BT69" s="75">
        <f>BS69*(1-PARAM!$C$27)*$I$20+(MOD($B69,60)=PARAM!$B$56)*($B69&gt;(60-PARAM!$B$56))*HLOOKUP(($B69+PARAM!$B$56)/12,Loyalty,2)*$F$1*MAX(BV68,0)</f>
        <v>18.557001321003963</v>
      </c>
      <c r="BU69" s="75">
        <f>PARAM!$C$26+MAX($G$20-CHOOSE(PARAM!$B$44,MAX(0,BV68*$F$1),0),0)*RATES!$L45/12+$H$20*(PARAM!$D$51/12)*RATES!$N45/100</f>
        <v>7.5</v>
      </c>
      <c r="BV69" s="16">
        <f t="shared" si="42"/>
        <v>-798.38910171730276</v>
      </c>
      <c r="BW69" s="15">
        <f t="shared" si="18"/>
        <v>22.170849845882874</v>
      </c>
      <c r="BX69" s="75">
        <f>BW69*(1-PARAM!$C$27)*$I$21+(MOD($B69,60)=PARAM!$B$56)*($B69&gt;(60-PARAM!$B$56))*HLOOKUP(($B69+PARAM!$B$56)/12,Loyalty,2)*$F$1*MAX(BZ68,0)</f>
        <v>18.557001321003963</v>
      </c>
      <c r="BY69" s="75">
        <f>PARAM!$C$26+MAX($G$21-CHOOSE(PARAM!$B$44,MAX(0,BZ68*$F$1),0),0)*RATES!$L45/12+$H$21*(PARAM!$D$51/12)*RATES!$N45/100</f>
        <v>7.5</v>
      </c>
      <c r="BZ69" s="16">
        <f t="shared" si="43"/>
        <v>-798.38910171730276</v>
      </c>
      <c r="CA69" s="15">
        <f t="shared" si="19"/>
        <v>22.170849845882874</v>
      </c>
      <c r="CB69" s="75">
        <f>CA69*(1-PARAM!$C$27)*$I$22+(MOD($B69,60)=PARAM!$B$56)*($B69&gt;(60-PARAM!$B$56))*HLOOKUP(($B69+PARAM!$B$56)/12,Loyalty,2)*$F$1*MAX(CD68,0)</f>
        <v>18.557001321003963</v>
      </c>
      <c r="CC69" s="75">
        <f>PARAM!$C$26+MAX($G$22-CHOOSE(PARAM!$B$44,MAX(0,CD68*$F$1),0),0)*RATES!$L45/12+$H$22*(PARAM!$D$51/12)*RATES!$N45/100</f>
        <v>7.5</v>
      </c>
      <c r="CD69" s="16">
        <f t="shared" si="44"/>
        <v>-798.38910171730276</v>
      </c>
      <c r="CE69" s="33">
        <f>IF(0=MOD(B69,12/PARAM!$D$51),1,0)</f>
        <v>1</v>
      </c>
      <c r="CF69" s="15">
        <f t="shared" si="20"/>
        <v>0</v>
      </c>
      <c r="CG69" s="75">
        <f>CF69*(1-PARAM!$C$27)*$R$3+(MOD($B69/12,5)=0)*($B69&gt;60)*HLOOKUP($B69/12,Loyalty,2)*$F$1*MAX(CI68,0)</f>
        <v>0</v>
      </c>
      <c r="CH69" s="75">
        <f>PARAM!$C$26+MAX($P$3-CHOOSE(PARAM!$B$44,MAX(0,CI68*$F$1),0),0)*RATES!$L45/12+$Q$3*(PARAM!$D$51/12)*RATES!$N45/100</f>
        <v>7.5</v>
      </c>
      <c r="CI69" s="16">
        <f>IF(CI68&gt;0,CI68*PARAM!$C$53,CI68)+CG69-CH69</f>
        <v>-1383.4999999999991</v>
      </c>
      <c r="CJ69" s="15">
        <f t="shared" si="45"/>
        <v>0</v>
      </c>
      <c r="CK69" s="75">
        <f>CJ69*(1-PARAM!$C$27)*$R$4+(MOD($B69/12,5)=0)*($B69&gt;60)*HLOOKUP($B69/12,Loyalty,2)*$F$1*MAX(CM68,0)</f>
        <v>0</v>
      </c>
      <c r="CL69" s="75">
        <f>PARAM!$C$26+MAX($P$4-CHOOSE(PARAM!$B$44,MAX(0,CM68*$F$1),0),0)*RATES!$L45/12+$Q$4*(PARAM!$D$51/12)*RATES!$N45/100</f>
        <v>7.5</v>
      </c>
      <c r="CM69" s="16">
        <f>IF(CM68&gt;0,CM68*PARAM!$C$53,CM68)+CK69-CL69</f>
        <v>-1383.4999999999991</v>
      </c>
      <c r="CO69" s="176"/>
    </row>
    <row r="70" spans="1:93" x14ac:dyDescent="0.2">
      <c r="A70" t="b">
        <f t="shared" si="21"/>
        <v>0</v>
      </c>
      <c r="B70" s="33">
        <v>43</v>
      </c>
      <c r="C70" s="15">
        <f t="shared" si="46"/>
        <v>20.081305947392778</v>
      </c>
      <c r="D70" s="75">
        <f>C70*(1-PARAM!$C$27)*$I$3+(MOD($B70,60)=PARAM!$B$56)*($B70&gt;(60-PARAM!$B$56))*HLOOKUP(($B70+PARAM!$B$56)/12,Loyalty,2)*$F$1*MAX(F69,0)</f>
        <v>16.808053077967756</v>
      </c>
      <c r="E70" s="75">
        <f>PARAM!$C$26+MAX($G$3-CHOOSE(PARAM!$B$44,MAX(0,F69*$F$1),0),0)*RATES!$L46/12+$H$3*(PARAM!$D$51/12)*RATES!$N46/100</f>
        <v>7.5</v>
      </c>
      <c r="F70" s="16">
        <f t="shared" si="22"/>
        <v>-844.22620166438867</v>
      </c>
      <c r="G70" s="15">
        <f t="shared" si="23"/>
        <v>22.035289406060361</v>
      </c>
      <c r="H70" s="75">
        <f>G70*(1-PARAM!$C$27)*$I$4+(MOD($B70,60)=PARAM!$B$56)*($B70&gt;(60-PARAM!$B$56))*HLOOKUP(($B70+PARAM!$B$56)/12,Loyalty,2)*$F$1*MAX(J69,0)</f>
        <v>18.443537232872522</v>
      </c>
      <c r="I70" s="75">
        <f>PARAM!$C$26+MAX($G$4-CHOOSE(PARAM!$B$44,MAX(0,J69*$F$1),0),0)*RATES!$L46/12+$H$4*(PARAM!$D$51/12)*RATES!$N46/100</f>
        <v>7.5</v>
      </c>
      <c r="J70" s="16">
        <f t="shared" si="24"/>
        <v>-791.02314005178778</v>
      </c>
      <c r="K70" s="15">
        <f t="shared" si="25"/>
        <v>22.170849845882874</v>
      </c>
      <c r="L70" s="75">
        <f>K70*(1-PARAM!$C$27)*$I$5+(MOD($B70,60)=PARAM!$B$56)*($B70&gt;(60-PARAM!$B$56))*HLOOKUP(($B70+PARAM!$B$56)/12,Loyalty,2)*$F$1*MAX(N69,0)</f>
        <v>18.557001321003963</v>
      </c>
      <c r="M70" s="75">
        <f>PARAM!$C$26+MAX($G$5-CHOOSE(PARAM!$B$44,MAX(0,N69*$F$1),0),0)*RATES!$L46/12+$H$5*(PARAM!$D$51/12)*RATES!$N46/100</f>
        <v>7.5</v>
      </c>
      <c r="N70" s="16">
        <f t="shared" si="26"/>
        <v>-787.33210039629876</v>
      </c>
      <c r="O70" s="15">
        <f t="shared" si="27"/>
        <v>22.170849845882874</v>
      </c>
      <c r="P70" s="75">
        <f>O70*(1-PARAM!$C$27)*$I$6+(MOD($B70,60)=PARAM!$B$56)*($B70&gt;(60-PARAM!$B$56))*HLOOKUP(($B70+PARAM!$B$56)/12,Loyalty,2)*$F$1*MAX(R69,0)</f>
        <v>18.557001321003963</v>
      </c>
      <c r="Q70" s="75">
        <f>PARAM!$C$26+MAX($G$6-CHOOSE(PARAM!$B$44,MAX(0,R69*$F$1),0),0)*RATES!$L46/12+$H$6*(PARAM!$D$51/12)*RATES!$N46/100</f>
        <v>7.5</v>
      </c>
      <c r="R70" s="16">
        <f t="shared" si="28"/>
        <v>-787.33210039629876</v>
      </c>
      <c r="S70" s="15">
        <f t="shared" si="4"/>
        <v>22.170849845882874</v>
      </c>
      <c r="T70" s="75">
        <f>S70*(1-PARAM!$C$27)*$I$7+(MOD($B70,60)=PARAM!$B$56)*($B70&gt;(60-PARAM!$B$56))*HLOOKUP(($B70+PARAM!$B$56)/12,Loyalty,2)*$F$1*MAX(V69,0)</f>
        <v>18.557001321003963</v>
      </c>
      <c r="U70" s="75">
        <f>PARAM!$C$26+MAX($G$7-CHOOSE(PARAM!$B$44,MAX(0,V69*$F$1),0),0)*RATES!$L46/12+$H$7*(PARAM!$D$51/12)*RATES!$N46/100</f>
        <v>7.5</v>
      </c>
      <c r="V70" s="16">
        <f t="shared" si="29"/>
        <v>-787.33210039629876</v>
      </c>
      <c r="W70" s="15">
        <f t="shared" si="5"/>
        <v>22.170849845882874</v>
      </c>
      <c r="X70" s="75">
        <f>W70*(1-PARAM!$C$27)*$I$8+(MOD($B70,60)=PARAM!$B$56)*($B70&gt;(60-PARAM!$B$56))*HLOOKUP(($B70+PARAM!$B$56)/12,Loyalty,2)*$F$1*MAX(Z69,0)</f>
        <v>18.557001321003963</v>
      </c>
      <c r="Y70" s="75">
        <f>PARAM!$C$26+MAX($G$8-CHOOSE(PARAM!$B$44,MAX(0,Z69*$F$1),0),0)*RATES!$L46/12+$H$8*(PARAM!$D$51/12)*RATES!$N46/100</f>
        <v>7.5</v>
      </c>
      <c r="Z70" s="16">
        <f t="shared" si="30"/>
        <v>-787.33210039629876</v>
      </c>
      <c r="AA70" s="15">
        <f t="shared" si="6"/>
        <v>22.170849845882874</v>
      </c>
      <c r="AB70" s="75">
        <f>AA70*(1-PARAM!$C$27)*$I$9+(MOD($B70,60)=PARAM!$B$56)*($B70&gt;(60-PARAM!$B$56))*HLOOKUP(($B70+PARAM!$B$56)/12,Loyalty,2)*$F$1*MAX(AD69,0)</f>
        <v>18.557001321003963</v>
      </c>
      <c r="AC70" s="75">
        <f>PARAM!$C$26+MAX($G$9-CHOOSE(PARAM!$B$44,MAX(0,AD69*$F$1),0),0)*RATES!$L46/12+$H$9*(PARAM!$D$51/12)*RATES!$N46/100</f>
        <v>7.5</v>
      </c>
      <c r="AD70" s="16">
        <f t="shared" si="31"/>
        <v>-787.33210039629876</v>
      </c>
      <c r="AE70" s="15">
        <f t="shared" si="7"/>
        <v>22.170849845882874</v>
      </c>
      <c r="AF70" s="75">
        <f>AE70*(1-PARAM!$C$27)*$I$10+(MOD($B70,60)=PARAM!$B$56)*($B70&gt;(60-PARAM!$B$56))*HLOOKUP(($B70+PARAM!$B$56)/12,Loyalty,2)*$F$1*MAX(AH69,0)</f>
        <v>18.557001321003963</v>
      </c>
      <c r="AG70" s="75">
        <f>PARAM!$C$26+MAX($G$10-CHOOSE(PARAM!$B$44,MAX(0,AH69*$F$1),0),0)*RATES!$L46/12+$H$10*(PARAM!$D$51/12)*RATES!$N46/100</f>
        <v>7.5</v>
      </c>
      <c r="AH70" s="16">
        <f t="shared" si="32"/>
        <v>-787.33210039629876</v>
      </c>
      <c r="AI70" s="15">
        <f t="shared" si="8"/>
        <v>22.170849845882874</v>
      </c>
      <c r="AJ70" s="75">
        <f>AI70*(1-PARAM!$C$27)*$I$11+(MOD($B70,60)=PARAM!$B$56)*($B70&gt;(60-PARAM!$B$56))*HLOOKUP(($B70+PARAM!$B$56)/12,Loyalty,2)*$F$1*MAX(AL69,0)</f>
        <v>18.557001321003963</v>
      </c>
      <c r="AK70" s="75">
        <f>PARAM!$C$26+MAX($G$11-CHOOSE(PARAM!$B$44,MAX(0,AL69*$F$1),0),0)*RATES!$L46/12+$H$11*(PARAM!$D$51/12)*RATES!$N46/100</f>
        <v>7.5</v>
      </c>
      <c r="AL70" s="16">
        <f t="shared" si="33"/>
        <v>-787.33210039629876</v>
      </c>
      <c r="AM70" s="15">
        <f t="shared" si="9"/>
        <v>22.170849845882874</v>
      </c>
      <c r="AN70" s="75">
        <f>AM70*(1-PARAM!$C$27)*$I$12+(MOD($B70,60)=PARAM!$B$56)*($B70&gt;(60-PARAM!$B$56))*HLOOKUP(($B70+PARAM!$B$56)/12,Loyalty,2)*$F$1*MAX(AP69,0)</f>
        <v>18.557001321003963</v>
      </c>
      <c r="AO70" s="75">
        <f>PARAM!$C$26+MAX($G$12-CHOOSE(PARAM!$B$44,MAX(0,AP69*$F$1),0),0)*RATES!$L46/12+$H$12*(PARAM!$D$51/12)*RATES!$N46/100</f>
        <v>7.5</v>
      </c>
      <c r="AP70" s="16">
        <f t="shared" si="34"/>
        <v>-787.33210039629876</v>
      </c>
      <c r="AQ70" s="15">
        <f t="shared" si="10"/>
        <v>22.170849845882874</v>
      </c>
      <c r="AR70" s="75">
        <f>AQ70*(1-PARAM!$C$27)*$I$13+(MOD($B70,60)=PARAM!$B$56)*($B70&gt;(60-PARAM!$B$56))*HLOOKUP(($B70+PARAM!$B$56)/12,Loyalty,2)*$F$1*MAX(AT69,0)</f>
        <v>18.557001321003963</v>
      </c>
      <c r="AS70" s="75">
        <f>PARAM!$C$26+MAX($G$13-CHOOSE(PARAM!$B$44,MAX(0,AT69*$F$1),0),0)*RATES!$L46/12+$H$13*(PARAM!$D$51/12)*RATES!$N46/100</f>
        <v>7.5</v>
      </c>
      <c r="AT70" s="16">
        <f t="shared" si="35"/>
        <v>-787.33210039629876</v>
      </c>
      <c r="AU70" s="15">
        <f t="shared" si="11"/>
        <v>22.170849845882874</v>
      </c>
      <c r="AV70" s="75">
        <f>AU70*(1-PARAM!$C$27)*$I$14+(MOD($B70,60)=PARAM!$B$56)*($B70&gt;(60-PARAM!$B$56))*HLOOKUP(($B70+PARAM!$B$56)/12,Loyalty,2)*$F$1*MAX(AX69,0)</f>
        <v>18.557001321003963</v>
      </c>
      <c r="AW70" s="75">
        <f>PARAM!$C$26+MAX($G$14-CHOOSE(PARAM!$B$44,MAX(0,AX69*$F$1),0),0)*RATES!$L46/12+$H$14*(PARAM!$D$51/12)*RATES!$N46/100</f>
        <v>7.5</v>
      </c>
      <c r="AX70" s="16">
        <f t="shared" si="36"/>
        <v>-787.33210039629876</v>
      </c>
      <c r="AY70" s="15">
        <f t="shared" si="12"/>
        <v>22.170849845882874</v>
      </c>
      <c r="AZ70" s="75">
        <f>AY70*(1-PARAM!$C$27)*$I$15+(MOD($B70,60)=PARAM!$B$56)*($B70&gt;(60-PARAM!$B$56))*HLOOKUP(($B70+PARAM!$B$56)/12,Loyalty,2)*$F$1*MAX(BB69,0)</f>
        <v>18.557001321003963</v>
      </c>
      <c r="BA70" s="75">
        <f>PARAM!$C$26+MAX($G$15-CHOOSE(PARAM!$B$44,MAX(0,BB69*$F$1),0),0)*RATES!$L46/12+$H$15*(PARAM!$D$51/12)*RATES!$N46/100</f>
        <v>7.5</v>
      </c>
      <c r="BB70" s="16">
        <f t="shared" si="37"/>
        <v>-787.33210039629876</v>
      </c>
      <c r="BC70" s="15">
        <f t="shared" si="13"/>
        <v>22.170849845882874</v>
      </c>
      <c r="BD70" s="75">
        <f>BC70*(1-PARAM!$C$27)*$I$16+(MOD($B70,60)=PARAM!$B$56)*($B70&gt;(60-PARAM!$B$56))*HLOOKUP(($B70+PARAM!$B$56)/12,Loyalty,2)*$F$1*MAX(BF69,0)</f>
        <v>18.557001321003963</v>
      </c>
      <c r="BE70" s="75">
        <f>PARAM!$C$26+MAX($G$16-CHOOSE(PARAM!$B$44,MAX(0,BF69*$F$1),0),0)*RATES!$L46/12+$H$16*(PARAM!$D$51/12)*RATES!$N46/100</f>
        <v>7.5</v>
      </c>
      <c r="BF70" s="16">
        <f t="shared" si="38"/>
        <v>-787.33210039629876</v>
      </c>
      <c r="BG70" s="15">
        <f t="shared" si="14"/>
        <v>22.170849845882874</v>
      </c>
      <c r="BH70" s="75">
        <f>BG70*(1-PARAM!$C$27)*$I$17+(MOD($B70,60)=PARAM!$B$56)*($B70&gt;(60-PARAM!$B$56))*HLOOKUP(($B70+PARAM!$B$56)/12,Loyalty,2)*$F$1*MAX(BJ69,0)</f>
        <v>18.557001321003963</v>
      </c>
      <c r="BI70" s="75">
        <f>PARAM!$C$26+MAX($G$17-CHOOSE(PARAM!$B$44,MAX(0,BJ69*$F$1),0),0)*RATES!$L46/12+$H$17*(PARAM!$D$51/12)*RATES!$N46/100</f>
        <v>7.5</v>
      </c>
      <c r="BJ70" s="16">
        <f t="shared" si="39"/>
        <v>-787.33210039629876</v>
      </c>
      <c r="BK70" s="15">
        <f t="shared" si="15"/>
        <v>22.170849845882874</v>
      </c>
      <c r="BL70" s="75">
        <f>BK70*(1-PARAM!$C$27)*$I$18+(MOD($B70,60)=PARAM!$B$56)*($B70&gt;(60-PARAM!$B$56))*HLOOKUP(($B70+PARAM!$B$56)/12,Loyalty,2)*$F$1*MAX(BN69,0)</f>
        <v>18.557001321003963</v>
      </c>
      <c r="BM70" s="75">
        <f>PARAM!$C$26+MAX($G$18-CHOOSE(PARAM!$B$44,MAX(0,BN69*$F$1),0),0)*RATES!$L46/12+$H$18*(PARAM!$D$51/12)*RATES!$N46/100</f>
        <v>7.5</v>
      </c>
      <c r="BN70" s="16">
        <f t="shared" si="40"/>
        <v>-787.33210039629876</v>
      </c>
      <c r="BO70" s="15">
        <f t="shared" si="16"/>
        <v>22.170849845882874</v>
      </c>
      <c r="BP70" s="75">
        <f>BO70*(1-PARAM!$C$27)*$I$19+(MOD($B70,60)=PARAM!$B$56)*($B70&gt;(60-PARAM!$B$56))*HLOOKUP(($B70+PARAM!$B$56)/12,Loyalty,2)*$F$1*MAX(BR69,0)</f>
        <v>18.557001321003963</v>
      </c>
      <c r="BQ70" s="75">
        <f>PARAM!$C$26+MAX($G$19-CHOOSE(PARAM!$B$44,MAX(0,BR69*$F$1),0),0)*RATES!$L46/12+$H$19*(PARAM!$D$51/12)*RATES!$N46/100</f>
        <v>7.5</v>
      </c>
      <c r="BR70" s="16">
        <f t="shared" si="41"/>
        <v>-787.33210039629876</v>
      </c>
      <c r="BS70" s="15">
        <f t="shared" si="17"/>
        <v>22.170849845882874</v>
      </c>
      <c r="BT70" s="75">
        <f>BS70*(1-PARAM!$C$27)*$I$20+(MOD($B70,60)=PARAM!$B$56)*($B70&gt;(60-PARAM!$B$56))*HLOOKUP(($B70+PARAM!$B$56)/12,Loyalty,2)*$F$1*MAX(BV69,0)</f>
        <v>18.557001321003963</v>
      </c>
      <c r="BU70" s="75">
        <f>PARAM!$C$26+MAX($G$20-CHOOSE(PARAM!$B$44,MAX(0,BV69*$F$1),0),0)*RATES!$L46/12+$H$20*(PARAM!$D$51/12)*RATES!$N46/100</f>
        <v>7.5</v>
      </c>
      <c r="BV70" s="16">
        <f t="shared" si="42"/>
        <v>-787.33210039629876</v>
      </c>
      <c r="BW70" s="15">
        <f t="shared" si="18"/>
        <v>22.170849845882874</v>
      </c>
      <c r="BX70" s="75">
        <f>BW70*(1-PARAM!$C$27)*$I$21+(MOD($B70,60)=PARAM!$B$56)*($B70&gt;(60-PARAM!$B$56))*HLOOKUP(($B70+PARAM!$B$56)/12,Loyalty,2)*$F$1*MAX(BZ69,0)</f>
        <v>18.557001321003963</v>
      </c>
      <c r="BY70" s="75">
        <f>PARAM!$C$26+MAX($G$21-CHOOSE(PARAM!$B$44,MAX(0,BZ69*$F$1),0),0)*RATES!$L46/12+$H$21*(PARAM!$D$51/12)*RATES!$N46/100</f>
        <v>7.5</v>
      </c>
      <c r="BZ70" s="16">
        <f t="shared" si="43"/>
        <v>-787.33210039629876</v>
      </c>
      <c r="CA70" s="15">
        <f t="shared" si="19"/>
        <v>22.170849845882874</v>
      </c>
      <c r="CB70" s="75">
        <f>CA70*(1-PARAM!$C$27)*$I$22+(MOD($B70,60)=PARAM!$B$56)*($B70&gt;(60-PARAM!$B$56))*HLOOKUP(($B70+PARAM!$B$56)/12,Loyalty,2)*$F$1*MAX(CD69,0)</f>
        <v>18.557001321003963</v>
      </c>
      <c r="CC70" s="75">
        <f>PARAM!$C$26+MAX($G$22-CHOOSE(PARAM!$B$44,MAX(0,CD69*$F$1),0),0)*RATES!$L46/12+$H$22*(PARAM!$D$51/12)*RATES!$N46/100</f>
        <v>7.5</v>
      </c>
      <c r="CD70" s="16">
        <f t="shared" si="44"/>
        <v>-787.33210039629876</v>
      </c>
      <c r="CE70" s="33">
        <f>IF(0=MOD(B70,12/PARAM!$D$51),1,0)</f>
        <v>1</v>
      </c>
      <c r="CF70" s="15">
        <f t="shared" si="20"/>
        <v>0</v>
      </c>
      <c r="CG70" s="75">
        <f>CF70*(1-PARAM!$C$27)*$R$3+(MOD($B70/12,5)=0)*($B70&gt;60)*HLOOKUP($B70/12,Loyalty,2)*$F$1*MAX(CI69,0)</f>
        <v>0</v>
      </c>
      <c r="CH70" s="75">
        <f>PARAM!$C$26+MAX($P$3-CHOOSE(PARAM!$B$44,MAX(0,CI69*$F$1),0),0)*RATES!$L46/12+$Q$3*(PARAM!$D$51/12)*RATES!$N46/100</f>
        <v>7.5</v>
      </c>
      <c r="CI70" s="16">
        <f>IF(CI69&gt;0,CI69*PARAM!$C$53,CI69)+CG70-CH70</f>
        <v>-1390.9999999999991</v>
      </c>
      <c r="CJ70" s="15">
        <f t="shared" si="45"/>
        <v>0</v>
      </c>
      <c r="CK70" s="75">
        <f>CJ70*(1-PARAM!$C$27)*$R$4+(MOD($B70/12,5)=0)*($B70&gt;60)*HLOOKUP($B70/12,Loyalty,2)*$F$1*MAX(CM69,0)</f>
        <v>0</v>
      </c>
      <c r="CL70" s="75">
        <f>PARAM!$C$26+MAX($P$4-CHOOSE(PARAM!$B$44,MAX(0,CM69*$F$1),0),0)*RATES!$L46/12+$Q$4*(PARAM!$D$51/12)*RATES!$N46/100</f>
        <v>7.5</v>
      </c>
      <c r="CM70" s="16">
        <f>IF(CM69&gt;0,CM69*PARAM!$C$53,CM69)+CK70-CL70</f>
        <v>-1390.9999999999991</v>
      </c>
      <c r="CO70" s="176"/>
    </row>
    <row r="71" spans="1:93" x14ac:dyDescent="0.2">
      <c r="A71" t="b">
        <f t="shared" si="21"/>
        <v>0</v>
      </c>
      <c r="B71" s="33">
        <v>44</v>
      </c>
      <c r="C71" s="15">
        <f t="shared" si="46"/>
        <v>20.081305947392778</v>
      </c>
      <c r="D71" s="75">
        <f>C71*(1-PARAM!$C$27)*$I$3+(MOD($B71,60)=PARAM!$B$56)*($B71&gt;(60-PARAM!$B$56))*HLOOKUP(($B71+PARAM!$B$56)/12,Loyalty,2)*$F$1*MAX(F70,0)</f>
        <v>16.808053077967756</v>
      </c>
      <c r="E71" s="75">
        <f>PARAM!$C$26+MAX($G$3-CHOOSE(PARAM!$B$44,MAX(0,F70*$F$1),0),0)*RATES!$L47/12+$H$3*(PARAM!$D$51/12)*RATES!$N47/100</f>
        <v>7.5</v>
      </c>
      <c r="F71" s="16">
        <f t="shared" si="22"/>
        <v>-834.9181485864209</v>
      </c>
      <c r="G71" s="15">
        <f t="shared" si="23"/>
        <v>22.035289406060361</v>
      </c>
      <c r="H71" s="75">
        <f>G71*(1-PARAM!$C$27)*$I$4+(MOD($B71,60)=PARAM!$B$56)*($B71&gt;(60-PARAM!$B$56))*HLOOKUP(($B71+PARAM!$B$56)/12,Loyalty,2)*$F$1*MAX(J70,0)</f>
        <v>18.443537232872522</v>
      </c>
      <c r="I71" s="75">
        <f>PARAM!$C$26+MAX($G$4-CHOOSE(PARAM!$B$44,MAX(0,J70*$F$1),0),0)*RATES!$L47/12+$H$4*(PARAM!$D$51/12)*RATES!$N47/100</f>
        <v>7.5</v>
      </c>
      <c r="J71" s="16">
        <f t="shared" si="24"/>
        <v>-780.0796028189153</v>
      </c>
      <c r="K71" s="15">
        <f t="shared" si="25"/>
        <v>22.170849845882874</v>
      </c>
      <c r="L71" s="75">
        <f>K71*(1-PARAM!$C$27)*$I$5+(MOD($B71,60)=PARAM!$B$56)*($B71&gt;(60-PARAM!$B$56))*HLOOKUP(($B71+PARAM!$B$56)/12,Loyalty,2)*$F$1*MAX(N70,0)</f>
        <v>18.557001321003963</v>
      </c>
      <c r="M71" s="75">
        <f>PARAM!$C$26+MAX($G$5-CHOOSE(PARAM!$B$44,MAX(0,N70*$F$1),0),0)*RATES!$L47/12+$H$5*(PARAM!$D$51/12)*RATES!$N47/100</f>
        <v>7.5</v>
      </c>
      <c r="N71" s="16">
        <f t="shared" si="26"/>
        <v>-776.27509907529475</v>
      </c>
      <c r="O71" s="15">
        <f t="shared" si="27"/>
        <v>22.170849845882874</v>
      </c>
      <c r="P71" s="75">
        <f>O71*(1-PARAM!$C$27)*$I$6+(MOD($B71,60)=PARAM!$B$56)*($B71&gt;(60-PARAM!$B$56))*HLOOKUP(($B71+PARAM!$B$56)/12,Loyalty,2)*$F$1*MAX(R70,0)</f>
        <v>18.557001321003963</v>
      </c>
      <c r="Q71" s="75">
        <f>PARAM!$C$26+MAX($G$6-CHOOSE(PARAM!$B$44,MAX(0,R70*$F$1),0),0)*RATES!$L47/12+$H$6*(PARAM!$D$51/12)*RATES!$N47/100</f>
        <v>7.5</v>
      </c>
      <c r="R71" s="16">
        <f t="shared" si="28"/>
        <v>-776.27509907529475</v>
      </c>
      <c r="S71" s="15">
        <f t="shared" si="4"/>
        <v>22.170849845882874</v>
      </c>
      <c r="T71" s="75">
        <f>S71*(1-PARAM!$C$27)*$I$7+(MOD($B71,60)=PARAM!$B$56)*($B71&gt;(60-PARAM!$B$56))*HLOOKUP(($B71+PARAM!$B$56)/12,Loyalty,2)*$F$1*MAX(V70,0)</f>
        <v>18.557001321003963</v>
      </c>
      <c r="U71" s="75">
        <f>PARAM!$C$26+MAX($G$7-CHOOSE(PARAM!$B$44,MAX(0,V70*$F$1),0),0)*RATES!$L47/12+$H$7*(PARAM!$D$51/12)*RATES!$N47/100</f>
        <v>7.5</v>
      </c>
      <c r="V71" s="16">
        <f t="shared" si="29"/>
        <v>-776.27509907529475</v>
      </c>
      <c r="W71" s="15">
        <f t="shared" si="5"/>
        <v>22.170849845882874</v>
      </c>
      <c r="X71" s="75">
        <f>W71*(1-PARAM!$C$27)*$I$8+(MOD($B71,60)=PARAM!$B$56)*($B71&gt;(60-PARAM!$B$56))*HLOOKUP(($B71+PARAM!$B$56)/12,Loyalty,2)*$F$1*MAX(Z70,0)</f>
        <v>18.557001321003963</v>
      </c>
      <c r="Y71" s="75">
        <f>PARAM!$C$26+MAX($G$8-CHOOSE(PARAM!$B$44,MAX(0,Z70*$F$1),0),0)*RATES!$L47/12+$H$8*(PARAM!$D$51/12)*RATES!$N47/100</f>
        <v>7.5</v>
      </c>
      <c r="Z71" s="16">
        <f t="shared" si="30"/>
        <v>-776.27509907529475</v>
      </c>
      <c r="AA71" s="15">
        <f t="shared" si="6"/>
        <v>22.170849845882874</v>
      </c>
      <c r="AB71" s="75">
        <f>AA71*(1-PARAM!$C$27)*$I$9+(MOD($B71,60)=PARAM!$B$56)*($B71&gt;(60-PARAM!$B$56))*HLOOKUP(($B71+PARAM!$B$56)/12,Loyalty,2)*$F$1*MAX(AD70,0)</f>
        <v>18.557001321003963</v>
      </c>
      <c r="AC71" s="75">
        <f>PARAM!$C$26+MAX($G$9-CHOOSE(PARAM!$B$44,MAX(0,AD70*$F$1),0),0)*RATES!$L47/12+$H$9*(PARAM!$D$51/12)*RATES!$N47/100</f>
        <v>7.5</v>
      </c>
      <c r="AD71" s="16">
        <f t="shared" si="31"/>
        <v>-776.27509907529475</v>
      </c>
      <c r="AE71" s="15">
        <f t="shared" si="7"/>
        <v>22.170849845882874</v>
      </c>
      <c r="AF71" s="75">
        <f>AE71*(1-PARAM!$C$27)*$I$10+(MOD($B71,60)=PARAM!$B$56)*($B71&gt;(60-PARAM!$B$56))*HLOOKUP(($B71+PARAM!$B$56)/12,Loyalty,2)*$F$1*MAX(AH70,0)</f>
        <v>18.557001321003963</v>
      </c>
      <c r="AG71" s="75">
        <f>PARAM!$C$26+MAX($G$10-CHOOSE(PARAM!$B$44,MAX(0,AH70*$F$1),0),0)*RATES!$L47/12+$H$10*(PARAM!$D$51/12)*RATES!$N47/100</f>
        <v>7.5</v>
      </c>
      <c r="AH71" s="16">
        <f t="shared" si="32"/>
        <v>-776.27509907529475</v>
      </c>
      <c r="AI71" s="15">
        <f t="shared" si="8"/>
        <v>22.170849845882874</v>
      </c>
      <c r="AJ71" s="75">
        <f>AI71*(1-PARAM!$C$27)*$I$11+(MOD($B71,60)=PARAM!$B$56)*($B71&gt;(60-PARAM!$B$56))*HLOOKUP(($B71+PARAM!$B$56)/12,Loyalty,2)*$F$1*MAX(AL70,0)</f>
        <v>18.557001321003963</v>
      </c>
      <c r="AK71" s="75">
        <f>PARAM!$C$26+MAX($G$11-CHOOSE(PARAM!$B$44,MAX(0,AL70*$F$1),0),0)*RATES!$L47/12+$H$11*(PARAM!$D$51/12)*RATES!$N47/100</f>
        <v>7.5</v>
      </c>
      <c r="AL71" s="16">
        <f t="shared" si="33"/>
        <v>-776.27509907529475</v>
      </c>
      <c r="AM71" s="15">
        <f t="shared" si="9"/>
        <v>22.170849845882874</v>
      </c>
      <c r="AN71" s="75">
        <f>AM71*(1-PARAM!$C$27)*$I$12+(MOD($B71,60)=PARAM!$B$56)*($B71&gt;(60-PARAM!$B$56))*HLOOKUP(($B71+PARAM!$B$56)/12,Loyalty,2)*$F$1*MAX(AP70,0)</f>
        <v>18.557001321003963</v>
      </c>
      <c r="AO71" s="75">
        <f>PARAM!$C$26+MAX($G$12-CHOOSE(PARAM!$B$44,MAX(0,AP70*$F$1),0),0)*RATES!$L47/12+$H$12*(PARAM!$D$51/12)*RATES!$N47/100</f>
        <v>7.5</v>
      </c>
      <c r="AP71" s="16">
        <f t="shared" si="34"/>
        <v>-776.27509907529475</v>
      </c>
      <c r="AQ71" s="15">
        <f t="shared" si="10"/>
        <v>22.170849845882874</v>
      </c>
      <c r="AR71" s="75">
        <f>AQ71*(1-PARAM!$C$27)*$I$13+(MOD($B71,60)=PARAM!$B$56)*($B71&gt;(60-PARAM!$B$56))*HLOOKUP(($B71+PARAM!$B$56)/12,Loyalty,2)*$F$1*MAX(AT70,0)</f>
        <v>18.557001321003963</v>
      </c>
      <c r="AS71" s="75">
        <f>PARAM!$C$26+MAX($G$13-CHOOSE(PARAM!$B$44,MAX(0,AT70*$F$1),0),0)*RATES!$L47/12+$H$13*(PARAM!$D$51/12)*RATES!$N47/100</f>
        <v>7.5</v>
      </c>
      <c r="AT71" s="16">
        <f t="shared" si="35"/>
        <v>-776.27509907529475</v>
      </c>
      <c r="AU71" s="15">
        <f t="shared" si="11"/>
        <v>22.170849845882874</v>
      </c>
      <c r="AV71" s="75">
        <f>AU71*(1-PARAM!$C$27)*$I$14+(MOD($B71,60)=PARAM!$B$56)*($B71&gt;(60-PARAM!$B$56))*HLOOKUP(($B71+PARAM!$B$56)/12,Loyalty,2)*$F$1*MAX(AX70,0)</f>
        <v>18.557001321003963</v>
      </c>
      <c r="AW71" s="75">
        <f>PARAM!$C$26+MAX($G$14-CHOOSE(PARAM!$B$44,MAX(0,AX70*$F$1),0),0)*RATES!$L47/12+$H$14*(PARAM!$D$51/12)*RATES!$N47/100</f>
        <v>7.5</v>
      </c>
      <c r="AX71" s="16">
        <f t="shared" si="36"/>
        <v>-776.27509907529475</v>
      </c>
      <c r="AY71" s="15">
        <f t="shared" si="12"/>
        <v>22.170849845882874</v>
      </c>
      <c r="AZ71" s="75">
        <f>AY71*(1-PARAM!$C$27)*$I$15+(MOD($B71,60)=PARAM!$B$56)*($B71&gt;(60-PARAM!$B$56))*HLOOKUP(($B71+PARAM!$B$56)/12,Loyalty,2)*$F$1*MAX(BB70,0)</f>
        <v>18.557001321003963</v>
      </c>
      <c r="BA71" s="75">
        <f>PARAM!$C$26+MAX($G$15-CHOOSE(PARAM!$B$44,MAX(0,BB70*$F$1),0),0)*RATES!$L47/12+$H$15*(PARAM!$D$51/12)*RATES!$N47/100</f>
        <v>7.5</v>
      </c>
      <c r="BB71" s="16">
        <f t="shared" si="37"/>
        <v>-776.27509907529475</v>
      </c>
      <c r="BC71" s="15">
        <f t="shared" si="13"/>
        <v>22.170849845882874</v>
      </c>
      <c r="BD71" s="75">
        <f>BC71*(1-PARAM!$C$27)*$I$16+(MOD($B71,60)=PARAM!$B$56)*($B71&gt;(60-PARAM!$B$56))*HLOOKUP(($B71+PARAM!$B$56)/12,Loyalty,2)*$F$1*MAX(BF70,0)</f>
        <v>18.557001321003963</v>
      </c>
      <c r="BE71" s="75">
        <f>PARAM!$C$26+MAX($G$16-CHOOSE(PARAM!$B$44,MAX(0,BF70*$F$1),0),0)*RATES!$L47/12+$H$16*(PARAM!$D$51/12)*RATES!$N47/100</f>
        <v>7.5</v>
      </c>
      <c r="BF71" s="16">
        <f t="shared" si="38"/>
        <v>-776.27509907529475</v>
      </c>
      <c r="BG71" s="15">
        <f t="shared" si="14"/>
        <v>22.170849845882874</v>
      </c>
      <c r="BH71" s="75">
        <f>BG71*(1-PARAM!$C$27)*$I$17+(MOD($B71,60)=PARAM!$B$56)*($B71&gt;(60-PARAM!$B$56))*HLOOKUP(($B71+PARAM!$B$56)/12,Loyalty,2)*$F$1*MAX(BJ70,0)</f>
        <v>18.557001321003963</v>
      </c>
      <c r="BI71" s="75">
        <f>PARAM!$C$26+MAX($G$17-CHOOSE(PARAM!$B$44,MAX(0,BJ70*$F$1),0),0)*RATES!$L47/12+$H$17*(PARAM!$D$51/12)*RATES!$N47/100</f>
        <v>7.5</v>
      </c>
      <c r="BJ71" s="16">
        <f t="shared" si="39"/>
        <v>-776.27509907529475</v>
      </c>
      <c r="BK71" s="15">
        <f t="shared" si="15"/>
        <v>22.170849845882874</v>
      </c>
      <c r="BL71" s="75">
        <f>BK71*(1-PARAM!$C$27)*$I$18+(MOD($B71,60)=PARAM!$B$56)*($B71&gt;(60-PARAM!$B$56))*HLOOKUP(($B71+PARAM!$B$56)/12,Loyalty,2)*$F$1*MAX(BN70,0)</f>
        <v>18.557001321003963</v>
      </c>
      <c r="BM71" s="75">
        <f>PARAM!$C$26+MAX($G$18-CHOOSE(PARAM!$B$44,MAX(0,BN70*$F$1),0),0)*RATES!$L47/12+$H$18*(PARAM!$D$51/12)*RATES!$N47/100</f>
        <v>7.5</v>
      </c>
      <c r="BN71" s="16">
        <f t="shared" si="40"/>
        <v>-776.27509907529475</v>
      </c>
      <c r="BO71" s="15">
        <f t="shared" si="16"/>
        <v>22.170849845882874</v>
      </c>
      <c r="BP71" s="75">
        <f>BO71*(1-PARAM!$C$27)*$I$19+(MOD($B71,60)=PARAM!$B$56)*($B71&gt;(60-PARAM!$B$56))*HLOOKUP(($B71+PARAM!$B$56)/12,Loyalty,2)*$F$1*MAX(BR70,0)</f>
        <v>18.557001321003963</v>
      </c>
      <c r="BQ71" s="75">
        <f>PARAM!$C$26+MAX($G$19-CHOOSE(PARAM!$B$44,MAX(0,BR70*$F$1),0),0)*RATES!$L47/12+$H$19*(PARAM!$D$51/12)*RATES!$N47/100</f>
        <v>7.5</v>
      </c>
      <c r="BR71" s="16">
        <f t="shared" si="41"/>
        <v>-776.27509907529475</v>
      </c>
      <c r="BS71" s="15">
        <f t="shared" si="17"/>
        <v>22.170849845882874</v>
      </c>
      <c r="BT71" s="75">
        <f>BS71*(1-PARAM!$C$27)*$I$20+(MOD($B71,60)=PARAM!$B$56)*($B71&gt;(60-PARAM!$B$56))*HLOOKUP(($B71+PARAM!$B$56)/12,Loyalty,2)*$F$1*MAX(BV70,0)</f>
        <v>18.557001321003963</v>
      </c>
      <c r="BU71" s="75">
        <f>PARAM!$C$26+MAX($G$20-CHOOSE(PARAM!$B$44,MAX(0,BV70*$F$1),0),0)*RATES!$L47/12+$H$20*(PARAM!$D$51/12)*RATES!$N47/100</f>
        <v>7.5</v>
      </c>
      <c r="BV71" s="16">
        <f t="shared" si="42"/>
        <v>-776.27509907529475</v>
      </c>
      <c r="BW71" s="15">
        <f t="shared" si="18"/>
        <v>22.170849845882874</v>
      </c>
      <c r="BX71" s="75">
        <f>BW71*(1-PARAM!$C$27)*$I$21+(MOD($B71,60)=PARAM!$B$56)*($B71&gt;(60-PARAM!$B$56))*HLOOKUP(($B71+PARAM!$B$56)/12,Loyalty,2)*$F$1*MAX(BZ70,0)</f>
        <v>18.557001321003963</v>
      </c>
      <c r="BY71" s="75">
        <f>PARAM!$C$26+MAX($G$21-CHOOSE(PARAM!$B$44,MAX(0,BZ70*$F$1),0),0)*RATES!$L47/12+$H$21*(PARAM!$D$51/12)*RATES!$N47/100</f>
        <v>7.5</v>
      </c>
      <c r="BZ71" s="16">
        <f t="shared" si="43"/>
        <v>-776.27509907529475</v>
      </c>
      <c r="CA71" s="15">
        <f t="shared" si="19"/>
        <v>22.170849845882874</v>
      </c>
      <c r="CB71" s="75">
        <f>CA71*(1-PARAM!$C$27)*$I$22+(MOD($B71,60)=PARAM!$B$56)*($B71&gt;(60-PARAM!$B$56))*HLOOKUP(($B71+PARAM!$B$56)/12,Loyalty,2)*$F$1*MAX(CD70,0)</f>
        <v>18.557001321003963</v>
      </c>
      <c r="CC71" s="75">
        <f>PARAM!$C$26+MAX($G$22-CHOOSE(PARAM!$B$44,MAX(0,CD70*$F$1),0),0)*RATES!$L47/12+$H$22*(PARAM!$D$51/12)*RATES!$N47/100</f>
        <v>7.5</v>
      </c>
      <c r="CD71" s="16">
        <f t="shared" si="44"/>
        <v>-776.27509907529475</v>
      </c>
      <c r="CE71" s="33">
        <f>IF(0=MOD(B71,12/PARAM!$D$51),1,0)</f>
        <v>1</v>
      </c>
      <c r="CF71" s="15">
        <f t="shared" si="20"/>
        <v>0</v>
      </c>
      <c r="CG71" s="75">
        <f>CF71*(1-PARAM!$C$27)*$R$3+(MOD($B71/12,5)=0)*($B71&gt;60)*HLOOKUP($B71/12,Loyalty,2)*$F$1*MAX(CI70,0)</f>
        <v>0</v>
      </c>
      <c r="CH71" s="75">
        <f>PARAM!$C$26+MAX($P$3-CHOOSE(PARAM!$B$44,MAX(0,CI70*$F$1),0),0)*RATES!$L47/12+$Q$3*(PARAM!$D$51/12)*RATES!$N47/100</f>
        <v>7.5</v>
      </c>
      <c r="CI71" s="16">
        <f>IF(CI70&gt;0,CI70*PARAM!$C$53,CI70)+CG71-CH71</f>
        <v>-1398.4999999999991</v>
      </c>
      <c r="CJ71" s="15">
        <f t="shared" si="45"/>
        <v>0</v>
      </c>
      <c r="CK71" s="75">
        <f>CJ71*(1-PARAM!$C$27)*$R$4+(MOD($B71/12,5)=0)*($B71&gt;60)*HLOOKUP($B71/12,Loyalty,2)*$F$1*MAX(CM70,0)</f>
        <v>0</v>
      </c>
      <c r="CL71" s="75">
        <f>PARAM!$C$26+MAX($P$4-CHOOSE(PARAM!$B$44,MAX(0,CM70*$F$1),0),0)*RATES!$L47/12+$Q$4*(PARAM!$D$51/12)*RATES!$N47/100</f>
        <v>7.5</v>
      </c>
      <c r="CM71" s="16">
        <f>IF(CM70&gt;0,CM70*PARAM!$C$53,CM70)+CK71-CL71</f>
        <v>-1398.4999999999991</v>
      </c>
      <c r="CO71" s="176"/>
    </row>
    <row r="72" spans="1:93" x14ac:dyDescent="0.2">
      <c r="A72" t="b">
        <f t="shared" si="21"/>
        <v>0</v>
      </c>
      <c r="B72" s="33">
        <v>45</v>
      </c>
      <c r="C72" s="15">
        <f t="shared" si="46"/>
        <v>20.081305947392778</v>
      </c>
      <c r="D72" s="75">
        <f>C72*(1-PARAM!$C$27)*$I$3+(MOD($B72,60)=PARAM!$B$56)*($B72&gt;(60-PARAM!$B$56))*HLOOKUP(($B72+PARAM!$B$56)/12,Loyalty,2)*$F$1*MAX(F71,0)</f>
        <v>16.808053077967756</v>
      </c>
      <c r="E72" s="75">
        <f>PARAM!$C$26+MAX($G$3-CHOOSE(PARAM!$B$44,MAX(0,F71*$F$1),0),0)*RATES!$L48/12+$H$3*(PARAM!$D$51/12)*RATES!$N48/100</f>
        <v>7.5</v>
      </c>
      <c r="F72" s="16">
        <f t="shared" si="22"/>
        <v>-825.61009550845313</v>
      </c>
      <c r="G72" s="15">
        <f t="shared" si="23"/>
        <v>22.035289406060361</v>
      </c>
      <c r="H72" s="75">
        <f>G72*(1-PARAM!$C$27)*$I$4+(MOD($B72,60)=PARAM!$B$56)*($B72&gt;(60-PARAM!$B$56))*HLOOKUP(($B72+PARAM!$B$56)/12,Loyalty,2)*$F$1*MAX(J71,0)</f>
        <v>18.443537232872522</v>
      </c>
      <c r="I72" s="75">
        <f>PARAM!$C$26+MAX($G$4-CHOOSE(PARAM!$B$44,MAX(0,J71*$F$1),0),0)*RATES!$L48/12+$H$4*(PARAM!$D$51/12)*RATES!$N48/100</f>
        <v>7.5</v>
      </c>
      <c r="J72" s="16">
        <f t="shared" si="24"/>
        <v>-769.13606558604283</v>
      </c>
      <c r="K72" s="15">
        <f t="shared" si="25"/>
        <v>22.170849845882874</v>
      </c>
      <c r="L72" s="75">
        <f>K72*(1-PARAM!$C$27)*$I$5+(MOD($B72,60)=PARAM!$B$56)*($B72&gt;(60-PARAM!$B$56))*HLOOKUP(($B72+PARAM!$B$56)/12,Loyalty,2)*$F$1*MAX(N71,0)</f>
        <v>18.557001321003963</v>
      </c>
      <c r="M72" s="75">
        <f>PARAM!$C$26+MAX($G$5-CHOOSE(PARAM!$B$44,MAX(0,N71*$F$1),0),0)*RATES!$L48/12+$H$5*(PARAM!$D$51/12)*RATES!$N48/100</f>
        <v>7.5</v>
      </c>
      <c r="N72" s="16">
        <f t="shared" si="26"/>
        <v>-765.21809775429074</v>
      </c>
      <c r="O72" s="15">
        <f t="shared" si="27"/>
        <v>22.170849845882874</v>
      </c>
      <c r="P72" s="75">
        <f>O72*(1-PARAM!$C$27)*$I$6+(MOD($B72,60)=PARAM!$B$56)*($B72&gt;(60-PARAM!$B$56))*HLOOKUP(($B72+PARAM!$B$56)/12,Loyalty,2)*$F$1*MAX(R71,0)</f>
        <v>18.557001321003963</v>
      </c>
      <c r="Q72" s="75">
        <f>PARAM!$C$26+MAX($G$6-CHOOSE(PARAM!$B$44,MAX(0,R71*$F$1),0),0)*RATES!$L48/12+$H$6*(PARAM!$D$51/12)*RATES!$N48/100</f>
        <v>7.5</v>
      </c>
      <c r="R72" s="16">
        <f t="shared" si="28"/>
        <v>-765.21809775429074</v>
      </c>
      <c r="S72" s="15">
        <f t="shared" si="4"/>
        <v>22.170849845882874</v>
      </c>
      <c r="T72" s="75">
        <f>S72*(1-PARAM!$C$27)*$I$7+(MOD($B72,60)=PARAM!$B$56)*($B72&gt;(60-PARAM!$B$56))*HLOOKUP(($B72+PARAM!$B$56)/12,Loyalty,2)*$F$1*MAX(V71,0)</f>
        <v>18.557001321003963</v>
      </c>
      <c r="U72" s="75">
        <f>PARAM!$C$26+MAX($G$7-CHOOSE(PARAM!$B$44,MAX(0,V71*$F$1),0),0)*RATES!$L48/12+$H$7*(PARAM!$D$51/12)*RATES!$N48/100</f>
        <v>7.5</v>
      </c>
      <c r="V72" s="16">
        <f t="shared" si="29"/>
        <v>-765.21809775429074</v>
      </c>
      <c r="W72" s="15">
        <f t="shared" si="5"/>
        <v>22.170849845882874</v>
      </c>
      <c r="X72" s="75">
        <f>W72*(1-PARAM!$C$27)*$I$8+(MOD($B72,60)=PARAM!$B$56)*($B72&gt;(60-PARAM!$B$56))*HLOOKUP(($B72+PARAM!$B$56)/12,Loyalty,2)*$F$1*MAX(Z71,0)</f>
        <v>18.557001321003963</v>
      </c>
      <c r="Y72" s="75">
        <f>PARAM!$C$26+MAX($G$8-CHOOSE(PARAM!$B$44,MAX(0,Z71*$F$1),0),0)*RATES!$L48/12+$H$8*(PARAM!$D$51/12)*RATES!$N48/100</f>
        <v>7.5</v>
      </c>
      <c r="Z72" s="16">
        <f t="shared" si="30"/>
        <v>-765.21809775429074</v>
      </c>
      <c r="AA72" s="15">
        <f t="shared" si="6"/>
        <v>22.170849845882874</v>
      </c>
      <c r="AB72" s="75">
        <f>AA72*(1-PARAM!$C$27)*$I$9+(MOD($B72,60)=PARAM!$B$56)*($B72&gt;(60-PARAM!$B$56))*HLOOKUP(($B72+PARAM!$B$56)/12,Loyalty,2)*$F$1*MAX(AD71,0)</f>
        <v>18.557001321003963</v>
      </c>
      <c r="AC72" s="75">
        <f>PARAM!$C$26+MAX($G$9-CHOOSE(PARAM!$B$44,MAX(0,AD71*$F$1),0),0)*RATES!$L48/12+$H$9*(PARAM!$D$51/12)*RATES!$N48/100</f>
        <v>7.5</v>
      </c>
      <c r="AD72" s="16">
        <f t="shared" si="31"/>
        <v>-765.21809775429074</v>
      </c>
      <c r="AE72" s="15">
        <f t="shared" si="7"/>
        <v>22.170849845882874</v>
      </c>
      <c r="AF72" s="75">
        <f>AE72*(1-PARAM!$C$27)*$I$10+(MOD($B72,60)=PARAM!$B$56)*($B72&gt;(60-PARAM!$B$56))*HLOOKUP(($B72+PARAM!$B$56)/12,Loyalty,2)*$F$1*MAX(AH71,0)</f>
        <v>18.557001321003963</v>
      </c>
      <c r="AG72" s="75">
        <f>PARAM!$C$26+MAX($G$10-CHOOSE(PARAM!$B$44,MAX(0,AH71*$F$1),0),0)*RATES!$L48/12+$H$10*(PARAM!$D$51/12)*RATES!$N48/100</f>
        <v>7.5</v>
      </c>
      <c r="AH72" s="16">
        <f t="shared" si="32"/>
        <v>-765.21809775429074</v>
      </c>
      <c r="AI72" s="15">
        <f t="shared" si="8"/>
        <v>22.170849845882874</v>
      </c>
      <c r="AJ72" s="75">
        <f>AI72*(1-PARAM!$C$27)*$I$11+(MOD($B72,60)=PARAM!$B$56)*($B72&gt;(60-PARAM!$B$56))*HLOOKUP(($B72+PARAM!$B$56)/12,Loyalty,2)*$F$1*MAX(AL71,0)</f>
        <v>18.557001321003963</v>
      </c>
      <c r="AK72" s="75">
        <f>PARAM!$C$26+MAX($G$11-CHOOSE(PARAM!$B$44,MAX(0,AL71*$F$1),0),0)*RATES!$L48/12+$H$11*(PARAM!$D$51/12)*RATES!$N48/100</f>
        <v>7.5</v>
      </c>
      <c r="AL72" s="16">
        <f t="shared" si="33"/>
        <v>-765.21809775429074</v>
      </c>
      <c r="AM72" s="15">
        <f t="shared" si="9"/>
        <v>22.170849845882874</v>
      </c>
      <c r="AN72" s="75">
        <f>AM72*(1-PARAM!$C$27)*$I$12+(MOD($B72,60)=PARAM!$B$56)*($B72&gt;(60-PARAM!$B$56))*HLOOKUP(($B72+PARAM!$B$56)/12,Loyalty,2)*$F$1*MAX(AP71,0)</f>
        <v>18.557001321003963</v>
      </c>
      <c r="AO72" s="75">
        <f>PARAM!$C$26+MAX($G$12-CHOOSE(PARAM!$B$44,MAX(0,AP71*$F$1),0),0)*RATES!$L48/12+$H$12*(PARAM!$D$51/12)*RATES!$N48/100</f>
        <v>7.5</v>
      </c>
      <c r="AP72" s="16">
        <f t="shared" si="34"/>
        <v>-765.21809775429074</v>
      </c>
      <c r="AQ72" s="15">
        <f t="shared" si="10"/>
        <v>22.170849845882874</v>
      </c>
      <c r="AR72" s="75">
        <f>AQ72*(1-PARAM!$C$27)*$I$13+(MOD($B72,60)=PARAM!$B$56)*($B72&gt;(60-PARAM!$B$56))*HLOOKUP(($B72+PARAM!$B$56)/12,Loyalty,2)*$F$1*MAX(AT71,0)</f>
        <v>18.557001321003963</v>
      </c>
      <c r="AS72" s="75">
        <f>PARAM!$C$26+MAX($G$13-CHOOSE(PARAM!$B$44,MAX(0,AT71*$F$1),0),0)*RATES!$L48/12+$H$13*(PARAM!$D$51/12)*RATES!$N48/100</f>
        <v>7.5</v>
      </c>
      <c r="AT72" s="16">
        <f t="shared" si="35"/>
        <v>-765.21809775429074</v>
      </c>
      <c r="AU72" s="15">
        <f t="shared" si="11"/>
        <v>22.170849845882874</v>
      </c>
      <c r="AV72" s="75">
        <f>AU72*(1-PARAM!$C$27)*$I$14+(MOD($B72,60)=PARAM!$B$56)*($B72&gt;(60-PARAM!$B$56))*HLOOKUP(($B72+PARAM!$B$56)/12,Loyalty,2)*$F$1*MAX(AX71,0)</f>
        <v>18.557001321003963</v>
      </c>
      <c r="AW72" s="75">
        <f>PARAM!$C$26+MAX($G$14-CHOOSE(PARAM!$B$44,MAX(0,AX71*$F$1),0),0)*RATES!$L48/12+$H$14*(PARAM!$D$51/12)*RATES!$N48/100</f>
        <v>7.5</v>
      </c>
      <c r="AX72" s="16">
        <f t="shared" si="36"/>
        <v>-765.21809775429074</v>
      </c>
      <c r="AY72" s="15">
        <f t="shared" si="12"/>
        <v>22.170849845882874</v>
      </c>
      <c r="AZ72" s="75">
        <f>AY72*(1-PARAM!$C$27)*$I$15+(MOD($B72,60)=PARAM!$B$56)*($B72&gt;(60-PARAM!$B$56))*HLOOKUP(($B72+PARAM!$B$56)/12,Loyalty,2)*$F$1*MAX(BB71,0)</f>
        <v>18.557001321003963</v>
      </c>
      <c r="BA72" s="75">
        <f>PARAM!$C$26+MAX($G$15-CHOOSE(PARAM!$B$44,MAX(0,BB71*$F$1),0),0)*RATES!$L48/12+$H$15*(PARAM!$D$51/12)*RATES!$N48/100</f>
        <v>7.5</v>
      </c>
      <c r="BB72" s="16">
        <f t="shared" si="37"/>
        <v>-765.21809775429074</v>
      </c>
      <c r="BC72" s="15">
        <f t="shared" si="13"/>
        <v>22.170849845882874</v>
      </c>
      <c r="BD72" s="75">
        <f>BC72*(1-PARAM!$C$27)*$I$16+(MOD($B72,60)=PARAM!$B$56)*($B72&gt;(60-PARAM!$B$56))*HLOOKUP(($B72+PARAM!$B$56)/12,Loyalty,2)*$F$1*MAX(BF71,0)</f>
        <v>18.557001321003963</v>
      </c>
      <c r="BE72" s="75">
        <f>PARAM!$C$26+MAX($G$16-CHOOSE(PARAM!$B$44,MAX(0,BF71*$F$1),0),0)*RATES!$L48/12+$H$16*(PARAM!$D$51/12)*RATES!$N48/100</f>
        <v>7.5</v>
      </c>
      <c r="BF72" s="16">
        <f t="shared" si="38"/>
        <v>-765.21809775429074</v>
      </c>
      <c r="BG72" s="15">
        <f t="shared" si="14"/>
        <v>22.170849845882874</v>
      </c>
      <c r="BH72" s="75">
        <f>BG72*(1-PARAM!$C$27)*$I$17+(MOD($B72,60)=PARAM!$B$56)*($B72&gt;(60-PARAM!$B$56))*HLOOKUP(($B72+PARAM!$B$56)/12,Loyalty,2)*$F$1*MAX(BJ71,0)</f>
        <v>18.557001321003963</v>
      </c>
      <c r="BI72" s="75">
        <f>PARAM!$C$26+MAX($G$17-CHOOSE(PARAM!$B$44,MAX(0,BJ71*$F$1),0),0)*RATES!$L48/12+$H$17*(PARAM!$D$51/12)*RATES!$N48/100</f>
        <v>7.5</v>
      </c>
      <c r="BJ72" s="16">
        <f t="shared" si="39"/>
        <v>-765.21809775429074</v>
      </c>
      <c r="BK72" s="15">
        <f t="shared" si="15"/>
        <v>22.170849845882874</v>
      </c>
      <c r="BL72" s="75">
        <f>BK72*(1-PARAM!$C$27)*$I$18+(MOD($B72,60)=PARAM!$B$56)*($B72&gt;(60-PARAM!$B$56))*HLOOKUP(($B72+PARAM!$B$56)/12,Loyalty,2)*$F$1*MAX(BN71,0)</f>
        <v>18.557001321003963</v>
      </c>
      <c r="BM72" s="75">
        <f>PARAM!$C$26+MAX($G$18-CHOOSE(PARAM!$B$44,MAX(0,BN71*$F$1),0),0)*RATES!$L48/12+$H$18*(PARAM!$D$51/12)*RATES!$N48/100</f>
        <v>7.5</v>
      </c>
      <c r="BN72" s="16">
        <f t="shared" si="40"/>
        <v>-765.21809775429074</v>
      </c>
      <c r="BO72" s="15">
        <f t="shared" si="16"/>
        <v>22.170849845882874</v>
      </c>
      <c r="BP72" s="75">
        <f>BO72*(1-PARAM!$C$27)*$I$19+(MOD($B72,60)=PARAM!$B$56)*($B72&gt;(60-PARAM!$B$56))*HLOOKUP(($B72+PARAM!$B$56)/12,Loyalty,2)*$F$1*MAX(BR71,0)</f>
        <v>18.557001321003963</v>
      </c>
      <c r="BQ72" s="75">
        <f>PARAM!$C$26+MAX($G$19-CHOOSE(PARAM!$B$44,MAX(0,BR71*$F$1),0),0)*RATES!$L48/12+$H$19*(PARAM!$D$51/12)*RATES!$N48/100</f>
        <v>7.5</v>
      </c>
      <c r="BR72" s="16">
        <f t="shared" si="41"/>
        <v>-765.21809775429074</v>
      </c>
      <c r="BS72" s="15">
        <f t="shared" si="17"/>
        <v>22.170849845882874</v>
      </c>
      <c r="BT72" s="75">
        <f>BS72*(1-PARAM!$C$27)*$I$20+(MOD($B72,60)=PARAM!$B$56)*($B72&gt;(60-PARAM!$B$56))*HLOOKUP(($B72+PARAM!$B$56)/12,Loyalty,2)*$F$1*MAX(BV71,0)</f>
        <v>18.557001321003963</v>
      </c>
      <c r="BU72" s="75">
        <f>PARAM!$C$26+MAX($G$20-CHOOSE(PARAM!$B$44,MAX(0,BV71*$F$1),0),0)*RATES!$L48/12+$H$20*(PARAM!$D$51/12)*RATES!$N48/100</f>
        <v>7.5</v>
      </c>
      <c r="BV72" s="16">
        <f t="shared" si="42"/>
        <v>-765.21809775429074</v>
      </c>
      <c r="BW72" s="15">
        <f t="shared" si="18"/>
        <v>22.170849845882874</v>
      </c>
      <c r="BX72" s="75">
        <f>BW72*(1-PARAM!$C$27)*$I$21+(MOD($B72,60)=PARAM!$B$56)*($B72&gt;(60-PARAM!$B$56))*HLOOKUP(($B72+PARAM!$B$56)/12,Loyalty,2)*$F$1*MAX(BZ71,0)</f>
        <v>18.557001321003963</v>
      </c>
      <c r="BY72" s="75">
        <f>PARAM!$C$26+MAX($G$21-CHOOSE(PARAM!$B$44,MAX(0,BZ71*$F$1),0),0)*RATES!$L48/12+$H$21*(PARAM!$D$51/12)*RATES!$N48/100</f>
        <v>7.5</v>
      </c>
      <c r="BZ72" s="16">
        <f t="shared" si="43"/>
        <v>-765.21809775429074</v>
      </c>
      <c r="CA72" s="15">
        <f t="shared" si="19"/>
        <v>22.170849845882874</v>
      </c>
      <c r="CB72" s="75">
        <f>CA72*(1-PARAM!$C$27)*$I$22+(MOD($B72,60)=PARAM!$B$56)*($B72&gt;(60-PARAM!$B$56))*HLOOKUP(($B72+PARAM!$B$56)/12,Loyalty,2)*$F$1*MAX(CD71,0)</f>
        <v>18.557001321003963</v>
      </c>
      <c r="CC72" s="75">
        <f>PARAM!$C$26+MAX($G$22-CHOOSE(PARAM!$B$44,MAX(0,CD71*$F$1),0),0)*RATES!$L48/12+$H$22*(PARAM!$D$51/12)*RATES!$N48/100</f>
        <v>7.5</v>
      </c>
      <c r="CD72" s="16">
        <f t="shared" si="44"/>
        <v>-765.21809775429074</v>
      </c>
      <c r="CE72" s="33">
        <f>IF(0=MOD(B72,12/PARAM!$D$51),1,0)</f>
        <v>1</v>
      </c>
      <c r="CF72" s="15">
        <f t="shared" si="20"/>
        <v>0</v>
      </c>
      <c r="CG72" s="75">
        <f>CF72*(1-PARAM!$C$27)*$R$3+(MOD($B72/12,5)=0)*($B72&gt;60)*HLOOKUP($B72/12,Loyalty,2)*$F$1*MAX(CI71,0)</f>
        <v>0</v>
      </c>
      <c r="CH72" s="75">
        <f>PARAM!$C$26+MAX($P$3-CHOOSE(PARAM!$B$44,MAX(0,CI71*$F$1),0),0)*RATES!$L48/12+$Q$3*(PARAM!$D$51/12)*RATES!$N48/100</f>
        <v>7.5</v>
      </c>
      <c r="CI72" s="16">
        <f>IF(CI71&gt;0,CI71*PARAM!$C$53,CI71)+CG72-CH72</f>
        <v>-1405.9999999999991</v>
      </c>
      <c r="CJ72" s="15">
        <f t="shared" si="45"/>
        <v>0</v>
      </c>
      <c r="CK72" s="75">
        <f>CJ72*(1-PARAM!$C$27)*$R$4+(MOD($B72/12,5)=0)*($B72&gt;60)*HLOOKUP($B72/12,Loyalty,2)*$F$1*MAX(CM71,0)</f>
        <v>0</v>
      </c>
      <c r="CL72" s="75">
        <f>PARAM!$C$26+MAX($P$4-CHOOSE(PARAM!$B$44,MAX(0,CM71*$F$1),0),0)*RATES!$L48/12+$Q$4*(PARAM!$D$51/12)*RATES!$N48/100</f>
        <v>7.5</v>
      </c>
      <c r="CM72" s="16">
        <f>IF(CM71&gt;0,CM71*PARAM!$C$53,CM71)+CK72-CL72</f>
        <v>-1405.9999999999991</v>
      </c>
      <c r="CO72" s="176"/>
    </row>
    <row r="73" spans="1:93" x14ac:dyDescent="0.2">
      <c r="A73" t="b">
        <f t="shared" si="21"/>
        <v>0</v>
      </c>
      <c r="B73" s="33">
        <v>46</v>
      </c>
      <c r="C73" s="15">
        <f t="shared" si="46"/>
        <v>20.081305947392778</v>
      </c>
      <c r="D73" s="75">
        <f>C73*(1-PARAM!$C$27)*$I$3+(MOD($B73,60)=PARAM!$B$56)*($B73&gt;(60-PARAM!$B$56))*HLOOKUP(($B73+PARAM!$B$56)/12,Loyalty,2)*$F$1*MAX(F72,0)</f>
        <v>16.808053077967756</v>
      </c>
      <c r="E73" s="75">
        <f>PARAM!$C$26+MAX($G$3-CHOOSE(PARAM!$B$44,MAX(0,F72*$F$1),0),0)*RATES!$L49/12+$H$3*(PARAM!$D$51/12)*RATES!$N49/100</f>
        <v>7.5</v>
      </c>
      <c r="F73" s="16">
        <f t="shared" si="22"/>
        <v>-816.30204243048536</v>
      </c>
      <c r="G73" s="15">
        <f t="shared" si="23"/>
        <v>22.035289406060361</v>
      </c>
      <c r="H73" s="75">
        <f>G73*(1-PARAM!$C$27)*$I$4+(MOD($B73,60)=PARAM!$B$56)*($B73&gt;(60-PARAM!$B$56))*HLOOKUP(($B73+PARAM!$B$56)/12,Loyalty,2)*$F$1*MAX(J72,0)</f>
        <v>18.443537232872522</v>
      </c>
      <c r="I73" s="75">
        <f>PARAM!$C$26+MAX($G$4-CHOOSE(PARAM!$B$44,MAX(0,J72*$F$1),0),0)*RATES!$L49/12+$H$4*(PARAM!$D$51/12)*RATES!$N49/100</f>
        <v>7.5</v>
      </c>
      <c r="J73" s="16">
        <f t="shared" si="24"/>
        <v>-758.19252835317036</v>
      </c>
      <c r="K73" s="15">
        <f t="shared" si="25"/>
        <v>22.170849845882874</v>
      </c>
      <c r="L73" s="75">
        <f>K73*(1-PARAM!$C$27)*$I$5+(MOD($B73,60)=PARAM!$B$56)*($B73&gt;(60-PARAM!$B$56))*HLOOKUP(($B73+PARAM!$B$56)/12,Loyalty,2)*$F$1*MAX(N72,0)</f>
        <v>18.557001321003963</v>
      </c>
      <c r="M73" s="75">
        <f>PARAM!$C$26+MAX($G$5-CHOOSE(PARAM!$B$44,MAX(0,N72*$F$1),0),0)*RATES!$L49/12+$H$5*(PARAM!$D$51/12)*RATES!$N49/100</f>
        <v>7.5</v>
      </c>
      <c r="N73" s="16">
        <f t="shared" si="26"/>
        <v>-754.16109643328673</v>
      </c>
      <c r="O73" s="15">
        <f t="shared" si="27"/>
        <v>22.170849845882874</v>
      </c>
      <c r="P73" s="75">
        <f>O73*(1-PARAM!$C$27)*$I$6+(MOD($B73,60)=PARAM!$B$56)*($B73&gt;(60-PARAM!$B$56))*HLOOKUP(($B73+PARAM!$B$56)/12,Loyalty,2)*$F$1*MAX(R72,0)</f>
        <v>18.557001321003963</v>
      </c>
      <c r="Q73" s="75">
        <f>PARAM!$C$26+MAX($G$6-CHOOSE(PARAM!$B$44,MAX(0,R72*$F$1),0),0)*RATES!$L49/12+$H$6*(PARAM!$D$51/12)*RATES!$N49/100</f>
        <v>7.5</v>
      </c>
      <c r="R73" s="16">
        <f t="shared" si="28"/>
        <v>-754.16109643328673</v>
      </c>
      <c r="S73" s="15">
        <f t="shared" si="4"/>
        <v>22.170849845882874</v>
      </c>
      <c r="T73" s="75">
        <f>S73*(1-PARAM!$C$27)*$I$7+(MOD($B73,60)=PARAM!$B$56)*($B73&gt;(60-PARAM!$B$56))*HLOOKUP(($B73+PARAM!$B$56)/12,Loyalty,2)*$F$1*MAX(V72,0)</f>
        <v>18.557001321003963</v>
      </c>
      <c r="U73" s="75">
        <f>PARAM!$C$26+MAX($G$7-CHOOSE(PARAM!$B$44,MAX(0,V72*$F$1),0),0)*RATES!$L49/12+$H$7*(PARAM!$D$51/12)*RATES!$N49/100</f>
        <v>7.5</v>
      </c>
      <c r="V73" s="16">
        <f t="shared" si="29"/>
        <v>-754.16109643328673</v>
      </c>
      <c r="W73" s="15">
        <f t="shared" si="5"/>
        <v>22.170849845882874</v>
      </c>
      <c r="X73" s="75">
        <f>W73*(1-PARAM!$C$27)*$I$8+(MOD($B73,60)=PARAM!$B$56)*($B73&gt;(60-PARAM!$B$56))*HLOOKUP(($B73+PARAM!$B$56)/12,Loyalty,2)*$F$1*MAX(Z72,0)</f>
        <v>18.557001321003963</v>
      </c>
      <c r="Y73" s="75">
        <f>PARAM!$C$26+MAX($G$8-CHOOSE(PARAM!$B$44,MAX(0,Z72*$F$1),0),0)*RATES!$L49/12+$H$8*(PARAM!$D$51/12)*RATES!$N49/100</f>
        <v>7.5</v>
      </c>
      <c r="Z73" s="16">
        <f t="shared" si="30"/>
        <v>-754.16109643328673</v>
      </c>
      <c r="AA73" s="15">
        <f t="shared" si="6"/>
        <v>22.170849845882874</v>
      </c>
      <c r="AB73" s="75">
        <f>AA73*(1-PARAM!$C$27)*$I$9+(MOD($B73,60)=PARAM!$B$56)*($B73&gt;(60-PARAM!$B$56))*HLOOKUP(($B73+PARAM!$B$56)/12,Loyalty,2)*$F$1*MAX(AD72,0)</f>
        <v>18.557001321003963</v>
      </c>
      <c r="AC73" s="75">
        <f>PARAM!$C$26+MAX($G$9-CHOOSE(PARAM!$B$44,MAX(0,AD72*$F$1),0),0)*RATES!$L49/12+$H$9*(PARAM!$D$51/12)*RATES!$N49/100</f>
        <v>7.5</v>
      </c>
      <c r="AD73" s="16">
        <f t="shared" si="31"/>
        <v>-754.16109643328673</v>
      </c>
      <c r="AE73" s="15">
        <f t="shared" si="7"/>
        <v>22.170849845882874</v>
      </c>
      <c r="AF73" s="75">
        <f>AE73*(1-PARAM!$C$27)*$I$10+(MOD($B73,60)=PARAM!$B$56)*($B73&gt;(60-PARAM!$B$56))*HLOOKUP(($B73+PARAM!$B$56)/12,Loyalty,2)*$F$1*MAX(AH72,0)</f>
        <v>18.557001321003963</v>
      </c>
      <c r="AG73" s="75">
        <f>PARAM!$C$26+MAX($G$10-CHOOSE(PARAM!$B$44,MAX(0,AH72*$F$1),0),0)*RATES!$L49/12+$H$10*(PARAM!$D$51/12)*RATES!$N49/100</f>
        <v>7.5</v>
      </c>
      <c r="AH73" s="16">
        <f t="shared" si="32"/>
        <v>-754.16109643328673</v>
      </c>
      <c r="AI73" s="15">
        <f t="shared" si="8"/>
        <v>22.170849845882874</v>
      </c>
      <c r="AJ73" s="75">
        <f>AI73*(1-PARAM!$C$27)*$I$11+(MOD($B73,60)=PARAM!$B$56)*($B73&gt;(60-PARAM!$B$56))*HLOOKUP(($B73+PARAM!$B$56)/12,Loyalty,2)*$F$1*MAX(AL72,0)</f>
        <v>18.557001321003963</v>
      </c>
      <c r="AK73" s="75">
        <f>PARAM!$C$26+MAX($G$11-CHOOSE(PARAM!$B$44,MAX(0,AL72*$F$1),0),0)*RATES!$L49/12+$H$11*(PARAM!$D$51/12)*RATES!$N49/100</f>
        <v>7.5</v>
      </c>
      <c r="AL73" s="16">
        <f t="shared" si="33"/>
        <v>-754.16109643328673</v>
      </c>
      <c r="AM73" s="15">
        <f t="shared" si="9"/>
        <v>22.170849845882874</v>
      </c>
      <c r="AN73" s="75">
        <f>AM73*(1-PARAM!$C$27)*$I$12+(MOD($B73,60)=PARAM!$B$56)*($B73&gt;(60-PARAM!$B$56))*HLOOKUP(($B73+PARAM!$B$56)/12,Loyalty,2)*$F$1*MAX(AP72,0)</f>
        <v>18.557001321003963</v>
      </c>
      <c r="AO73" s="75">
        <f>PARAM!$C$26+MAX($G$12-CHOOSE(PARAM!$B$44,MAX(0,AP72*$F$1),0),0)*RATES!$L49/12+$H$12*(PARAM!$D$51/12)*RATES!$N49/100</f>
        <v>7.5</v>
      </c>
      <c r="AP73" s="16">
        <f t="shared" si="34"/>
        <v>-754.16109643328673</v>
      </c>
      <c r="AQ73" s="15">
        <f t="shared" si="10"/>
        <v>22.170849845882874</v>
      </c>
      <c r="AR73" s="75">
        <f>AQ73*(1-PARAM!$C$27)*$I$13+(MOD($B73,60)=PARAM!$B$56)*($B73&gt;(60-PARAM!$B$56))*HLOOKUP(($B73+PARAM!$B$56)/12,Loyalty,2)*$F$1*MAX(AT72,0)</f>
        <v>18.557001321003963</v>
      </c>
      <c r="AS73" s="75">
        <f>PARAM!$C$26+MAX($G$13-CHOOSE(PARAM!$B$44,MAX(0,AT72*$F$1),0),0)*RATES!$L49/12+$H$13*(PARAM!$D$51/12)*RATES!$N49/100</f>
        <v>7.5</v>
      </c>
      <c r="AT73" s="16">
        <f t="shared" si="35"/>
        <v>-754.16109643328673</v>
      </c>
      <c r="AU73" s="15">
        <f t="shared" si="11"/>
        <v>22.170849845882874</v>
      </c>
      <c r="AV73" s="75">
        <f>AU73*(1-PARAM!$C$27)*$I$14+(MOD($B73,60)=PARAM!$B$56)*($B73&gt;(60-PARAM!$B$56))*HLOOKUP(($B73+PARAM!$B$56)/12,Loyalty,2)*$F$1*MAX(AX72,0)</f>
        <v>18.557001321003963</v>
      </c>
      <c r="AW73" s="75">
        <f>PARAM!$C$26+MAX($G$14-CHOOSE(PARAM!$B$44,MAX(0,AX72*$F$1),0),0)*RATES!$L49/12+$H$14*(PARAM!$D$51/12)*RATES!$N49/100</f>
        <v>7.5</v>
      </c>
      <c r="AX73" s="16">
        <f t="shared" si="36"/>
        <v>-754.16109643328673</v>
      </c>
      <c r="AY73" s="15">
        <f t="shared" si="12"/>
        <v>22.170849845882874</v>
      </c>
      <c r="AZ73" s="75">
        <f>AY73*(1-PARAM!$C$27)*$I$15+(MOD($B73,60)=PARAM!$B$56)*($B73&gt;(60-PARAM!$B$56))*HLOOKUP(($B73+PARAM!$B$56)/12,Loyalty,2)*$F$1*MAX(BB72,0)</f>
        <v>18.557001321003963</v>
      </c>
      <c r="BA73" s="75">
        <f>PARAM!$C$26+MAX($G$15-CHOOSE(PARAM!$B$44,MAX(0,BB72*$F$1),0),0)*RATES!$L49/12+$H$15*(PARAM!$D$51/12)*RATES!$N49/100</f>
        <v>7.5</v>
      </c>
      <c r="BB73" s="16">
        <f t="shared" si="37"/>
        <v>-754.16109643328673</v>
      </c>
      <c r="BC73" s="15">
        <f t="shared" si="13"/>
        <v>22.170849845882874</v>
      </c>
      <c r="BD73" s="75">
        <f>BC73*(1-PARAM!$C$27)*$I$16+(MOD($B73,60)=PARAM!$B$56)*($B73&gt;(60-PARAM!$B$56))*HLOOKUP(($B73+PARAM!$B$56)/12,Loyalty,2)*$F$1*MAX(BF72,0)</f>
        <v>18.557001321003963</v>
      </c>
      <c r="BE73" s="75">
        <f>PARAM!$C$26+MAX($G$16-CHOOSE(PARAM!$B$44,MAX(0,BF72*$F$1),0),0)*RATES!$L49/12+$H$16*(PARAM!$D$51/12)*RATES!$N49/100</f>
        <v>7.5</v>
      </c>
      <c r="BF73" s="16">
        <f t="shared" si="38"/>
        <v>-754.16109643328673</v>
      </c>
      <c r="BG73" s="15">
        <f t="shared" si="14"/>
        <v>22.170849845882874</v>
      </c>
      <c r="BH73" s="75">
        <f>BG73*(1-PARAM!$C$27)*$I$17+(MOD($B73,60)=PARAM!$B$56)*($B73&gt;(60-PARAM!$B$56))*HLOOKUP(($B73+PARAM!$B$56)/12,Loyalty,2)*$F$1*MAX(BJ72,0)</f>
        <v>18.557001321003963</v>
      </c>
      <c r="BI73" s="75">
        <f>PARAM!$C$26+MAX($G$17-CHOOSE(PARAM!$B$44,MAX(0,BJ72*$F$1),0),0)*RATES!$L49/12+$H$17*(PARAM!$D$51/12)*RATES!$N49/100</f>
        <v>7.5</v>
      </c>
      <c r="BJ73" s="16">
        <f t="shared" si="39"/>
        <v>-754.16109643328673</v>
      </c>
      <c r="BK73" s="15">
        <f t="shared" si="15"/>
        <v>22.170849845882874</v>
      </c>
      <c r="BL73" s="75">
        <f>BK73*(1-PARAM!$C$27)*$I$18+(MOD($B73,60)=PARAM!$B$56)*($B73&gt;(60-PARAM!$B$56))*HLOOKUP(($B73+PARAM!$B$56)/12,Loyalty,2)*$F$1*MAX(BN72,0)</f>
        <v>18.557001321003963</v>
      </c>
      <c r="BM73" s="75">
        <f>PARAM!$C$26+MAX($G$18-CHOOSE(PARAM!$B$44,MAX(0,BN72*$F$1),0),0)*RATES!$L49/12+$H$18*(PARAM!$D$51/12)*RATES!$N49/100</f>
        <v>7.5</v>
      </c>
      <c r="BN73" s="16">
        <f t="shared" si="40"/>
        <v>-754.16109643328673</v>
      </c>
      <c r="BO73" s="15">
        <f t="shared" si="16"/>
        <v>22.170849845882874</v>
      </c>
      <c r="BP73" s="75">
        <f>BO73*(1-PARAM!$C$27)*$I$19+(MOD($B73,60)=PARAM!$B$56)*($B73&gt;(60-PARAM!$B$56))*HLOOKUP(($B73+PARAM!$B$56)/12,Loyalty,2)*$F$1*MAX(BR72,0)</f>
        <v>18.557001321003963</v>
      </c>
      <c r="BQ73" s="75">
        <f>PARAM!$C$26+MAX($G$19-CHOOSE(PARAM!$B$44,MAX(0,BR72*$F$1),0),0)*RATES!$L49/12+$H$19*(PARAM!$D$51/12)*RATES!$N49/100</f>
        <v>7.5</v>
      </c>
      <c r="BR73" s="16">
        <f t="shared" si="41"/>
        <v>-754.16109643328673</v>
      </c>
      <c r="BS73" s="15">
        <f t="shared" si="17"/>
        <v>22.170849845882874</v>
      </c>
      <c r="BT73" s="75">
        <f>BS73*(1-PARAM!$C$27)*$I$20+(MOD($B73,60)=PARAM!$B$56)*($B73&gt;(60-PARAM!$B$56))*HLOOKUP(($B73+PARAM!$B$56)/12,Loyalty,2)*$F$1*MAX(BV72,0)</f>
        <v>18.557001321003963</v>
      </c>
      <c r="BU73" s="75">
        <f>PARAM!$C$26+MAX($G$20-CHOOSE(PARAM!$B$44,MAX(0,BV72*$F$1),0),0)*RATES!$L49/12+$H$20*(PARAM!$D$51/12)*RATES!$N49/100</f>
        <v>7.5</v>
      </c>
      <c r="BV73" s="16">
        <f t="shared" si="42"/>
        <v>-754.16109643328673</v>
      </c>
      <c r="BW73" s="15">
        <f t="shared" si="18"/>
        <v>22.170849845882874</v>
      </c>
      <c r="BX73" s="75">
        <f>BW73*(1-PARAM!$C$27)*$I$21+(MOD($B73,60)=PARAM!$B$56)*($B73&gt;(60-PARAM!$B$56))*HLOOKUP(($B73+PARAM!$B$56)/12,Loyalty,2)*$F$1*MAX(BZ72,0)</f>
        <v>18.557001321003963</v>
      </c>
      <c r="BY73" s="75">
        <f>PARAM!$C$26+MAX($G$21-CHOOSE(PARAM!$B$44,MAX(0,BZ72*$F$1),0),0)*RATES!$L49/12+$H$21*(PARAM!$D$51/12)*RATES!$N49/100</f>
        <v>7.5</v>
      </c>
      <c r="BZ73" s="16">
        <f t="shared" si="43"/>
        <v>-754.16109643328673</v>
      </c>
      <c r="CA73" s="15">
        <f t="shared" si="19"/>
        <v>22.170849845882874</v>
      </c>
      <c r="CB73" s="75">
        <f>CA73*(1-PARAM!$C$27)*$I$22+(MOD($B73,60)=PARAM!$B$56)*($B73&gt;(60-PARAM!$B$56))*HLOOKUP(($B73+PARAM!$B$56)/12,Loyalty,2)*$F$1*MAX(CD72,0)</f>
        <v>18.557001321003963</v>
      </c>
      <c r="CC73" s="75">
        <f>PARAM!$C$26+MAX($G$22-CHOOSE(PARAM!$B$44,MAX(0,CD72*$F$1),0),0)*RATES!$L49/12+$H$22*(PARAM!$D$51/12)*RATES!$N49/100</f>
        <v>7.5</v>
      </c>
      <c r="CD73" s="16">
        <f t="shared" si="44"/>
        <v>-754.16109643328673</v>
      </c>
      <c r="CE73" s="33">
        <f>IF(0=MOD(B73,12/PARAM!$D$51),1,0)</f>
        <v>1</v>
      </c>
      <c r="CF73" s="15">
        <f t="shared" si="20"/>
        <v>0</v>
      </c>
      <c r="CG73" s="75">
        <f>CF73*(1-PARAM!$C$27)*$R$3+(MOD($B73/12,5)=0)*($B73&gt;60)*HLOOKUP($B73/12,Loyalty,2)*$F$1*MAX(CI72,0)</f>
        <v>0</v>
      </c>
      <c r="CH73" s="75">
        <f>PARAM!$C$26+MAX($P$3-CHOOSE(PARAM!$B$44,MAX(0,CI72*$F$1),0),0)*RATES!$L49/12+$Q$3*(PARAM!$D$51/12)*RATES!$N49/100</f>
        <v>7.5</v>
      </c>
      <c r="CI73" s="16">
        <f>IF(CI72&gt;0,CI72*PARAM!$C$53,CI72)+CG73-CH73</f>
        <v>-1413.4999999999991</v>
      </c>
      <c r="CJ73" s="15">
        <f t="shared" si="45"/>
        <v>0</v>
      </c>
      <c r="CK73" s="75">
        <f>CJ73*(1-PARAM!$C$27)*$R$4+(MOD($B73/12,5)=0)*($B73&gt;60)*HLOOKUP($B73/12,Loyalty,2)*$F$1*MAX(CM72,0)</f>
        <v>0</v>
      </c>
      <c r="CL73" s="75">
        <f>PARAM!$C$26+MAX($P$4-CHOOSE(PARAM!$B$44,MAX(0,CM72*$F$1),0),0)*RATES!$L49/12+$Q$4*(PARAM!$D$51/12)*RATES!$N49/100</f>
        <v>7.5</v>
      </c>
      <c r="CM73" s="16">
        <f>IF(CM72&gt;0,CM72*PARAM!$C$53,CM72)+CK73-CL73</f>
        <v>-1413.4999999999991</v>
      </c>
      <c r="CO73" s="176"/>
    </row>
    <row r="74" spans="1:93" x14ac:dyDescent="0.2">
      <c r="A74" t="b">
        <f t="shared" si="21"/>
        <v>0</v>
      </c>
      <c r="B74" s="33">
        <v>47</v>
      </c>
      <c r="C74" s="15">
        <f t="shared" si="46"/>
        <v>20.081305947392778</v>
      </c>
      <c r="D74" s="75">
        <f>C74*(1-PARAM!$C$27)*$I$3+(MOD($B74,60)=PARAM!$B$56)*($B74&gt;(60-PARAM!$B$56))*HLOOKUP(($B74+PARAM!$B$56)/12,Loyalty,2)*$F$1*MAX(F73,0)</f>
        <v>16.808053077967756</v>
      </c>
      <c r="E74" s="75">
        <f>PARAM!$C$26+MAX($G$3-CHOOSE(PARAM!$B$44,MAX(0,F73*$F$1),0),0)*RATES!$L50/12+$H$3*(PARAM!$D$51/12)*RATES!$N50/100</f>
        <v>7.5</v>
      </c>
      <c r="F74" s="16">
        <f t="shared" si="22"/>
        <v>-806.99398935251759</v>
      </c>
      <c r="G74" s="15">
        <f t="shared" si="23"/>
        <v>22.035289406060361</v>
      </c>
      <c r="H74" s="75">
        <f>G74*(1-PARAM!$C$27)*$I$4+(MOD($B74,60)=PARAM!$B$56)*($B74&gt;(60-PARAM!$B$56))*HLOOKUP(($B74+PARAM!$B$56)/12,Loyalty,2)*$F$1*MAX(J73,0)</f>
        <v>18.443537232872522</v>
      </c>
      <c r="I74" s="75">
        <f>PARAM!$C$26+MAX($G$4-CHOOSE(PARAM!$B$44,MAX(0,J73*$F$1),0),0)*RATES!$L50/12+$H$4*(PARAM!$D$51/12)*RATES!$N50/100</f>
        <v>7.5</v>
      </c>
      <c r="J74" s="16">
        <f t="shared" si="24"/>
        <v>-747.24899112029789</v>
      </c>
      <c r="K74" s="15">
        <f t="shared" si="25"/>
        <v>22.170849845882874</v>
      </c>
      <c r="L74" s="75">
        <f>K74*(1-PARAM!$C$27)*$I$5+(MOD($B74,60)=PARAM!$B$56)*($B74&gt;(60-PARAM!$B$56))*HLOOKUP(($B74+PARAM!$B$56)/12,Loyalty,2)*$F$1*MAX(N73,0)</f>
        <v>18.557001321003963</v>
      </c>
      <c r="M74" s="75">
        <f>PARAM!$C$26+MAX($G$5-CHOOSE(PARAM!$B$44,MAX(0,N73*$F$1),0),0)*RATES!$L50/12+$H$5*(PARAM!$D$51/12)*RATES!$N50/100</f>
        <v>7.5</v>
      </c>
      <c r="N74" s="16">
        <f t="shared" si="26"/>
        <v>-743.10409511228272</v>
      </c>
      <c r="O74" s="15">
        <f t="shared" si="27"/>
        <v>22.170849845882874</v>
      </c>
      <c r="P74" s="75">
        <f>O74*(1-PARAM!$C$27)*$I$6+(MOD($B74,60)=PARAM!$B$56)*($B74&gt;(60-PARAM!$B$56))*HLOOKUP(($B74+PARAM!$B$56)/12,Loyalty,2)*$F$1*MAX(R73,0)</f>
        <v>18.557001321003963</v>
      </c>
      <c r="Q74" s="75">
        <f>PARAM!$C$26+MAX($G$6-CHOOSE(PARAM!$B$44,MAX(0,R73*$F$1),0),0)*RATES!$L50/12+$H$6*(PARAM!$D$51/12)*RATES!$N50/100</f>
        <v>7.5</v>
      </c>
      <c r="R74" s="16">
        <f t="shared" si="28"/>
        <v>-743.10409511228272</v>
      </c>
      <c r="S74" s="15">
        <f t="shared" si="4"/>
        <v>22.170849845882874</v>
      </c>
      <c r="T74" s="75">
        <f>S74*(1-PARAM!$C$27)*$I$7+(MOD($B74,60)=PARAM!$B$56)*($B74&gt;(60-PARAM!$B$56))*HLOOKUP(($B74+PARAM!$B$56)/12,Loyalty,2)*$F$1*MAX(V73,0)</f>
        <v>18.557001321003963</v>
      </c>
      <c r="U74" s="75">
        <f>PARAM!$C$26+MAX($G$7-CHOOSE(PARAM!$B$44,MAX(0,V73*$F$1),0),0)*RATES!$L50/12+$H$7*(PARAM!$D$51/12)*RATES!$N50/100</f>
        <v>7.5</v>
      </c>
      <c r="V74" s="16">
        <f t="shared" si="29"/>
        <v>-743.10409511228272</v>
      </c>
      <c r="W74" s="15">
        <f t="shared" si="5"/>
        <v>22.170849845882874</v>
      </c>
      <c r="X74" s="75">
        <f>W74*(1-PARAM!$C$27)*$I$8+(MOD($B74,60)=PARAM!$B$56)*($B74&gt;(60-PARAM!$B$56))*HLOOKUP(($B74+PARAM!$B$56)/12,Loyalty,2)*$F$1*MAX(Z73,0)</f>
        <v>18.557001321003963</v>
      </c>
      <c r="Y74" s="75">
        <f>PARAM!$C$26+MAX($G$8-CHOOSE(PARAM!$B$44,MAX(0,Z73*$F$1),0),0)*RATES!$L50/12+$H$8*(PARAM!$D$51/12)*RATES!$N50/100</f>
        <v>7.5</v>
      </c>
      <c r="Z74" s="16">
        <f t="shared" si="30"/>
        <v>-743.10409511228272</v>
      </c>
      <c r="AA74" s="15">
        <f t="shared" si="6"/>
        <v>22.170849845882874</v>
      </c>
      <c r="AB74" s="75">
        <f>AA74*(1-PARAM!$C$27)*$I$9+(MOD($B74,60)=PARAM!$B$56)*($B74&gt;(60-PARAM!$B$56))*HLOOKUP(($B74+PARAM!$B$56)/12,Loyalty,2)*$F$1*MAX(AD73,0)</f>
        <v>18.557001321003963</v>
      </c>
      <c r="AC74" s="75">
        <f>PARAM!$C$26+MAX($G$9-CHOOSE(PARAM!$B$44,MAX(0,AD73*$F$1),0),0)*RATES!$L50/12+$H$9*(PARAM!$D$51/12)*RATES!$N50/100</f>
        <v>7.5</v>
      </c>
      <c r="AD74" s="16">
        <f t="shared" si="31"/>
        <v>-743.10409511228272</v>
      </c>
      <c r="AE74" s="15">
        <f t="shared" si="7"/>
        <v>22.170849845882874</v>
      </c>
      <c r="AF74" s="75">
        <f>AE74*(1-PARAM!$C$27)*$I$10+(MOD($B74,60)=PARAM!$B$56)*($B74&gt;(60-PARAM!$B$56))*HLOOKUP(($B74+PARAM!$B$56)/12,Loyalty,2)*$F$1*MAX(AH73,0)</f>
        <v>18.557001321003963</v>
      </c>
      <c r="AG74" s="75">
        <f>PARAM!$C$26+MAX($G$10-CHOOSE(PARAM!$B$44,MAX(0,AH73*$F$1),0),0)*RATES!$L50/12+$H$10*(PARAM!$D$51/12)*RATES!$N50/100</f>
        <v>7.5</v>
      </c>
      <c r="AH74" s="16">
        <f t="shared" si="32"/>
        <v>-743.10409511228272</v>
      </c>
      <c r="AI74" s="15">
        <f t="shared" si="8"/>
        <v>22.170849845882874</v>
      </c>
      <c r="AJ74" s="75">
        <f>AI74*(1-PARAM!$C$27)*$I$11+(MOD($B74,60)=PARAM!$B$56)*($B74&gt;(60-PARAM!$B$56))*HLOOKUP(($B74+PARAM!$B$56)/12,Loyalty,2)*$F$1*MAX(AL73,0)</f>
        <v>18.557001321003963</v>
      </c>
      <c r="AK74" s="75">
        <f>PARAM!$C$26+MAX($G$11-CHOOSE(PARAM!$B$44,MAX(0,AL73*$F$1),0),0)*RATES!$L50/12+$H$11*(PARAM!$D$51/12)*RATES!$N50/100</f>
        <v>7.5</v>
      </c>
      <c r="AL74" s="16">
        <f t="shared" si="33"/>
        <v>-743.10409511228272</v>
      </c>
      <c r="AM74" s="15">
        <f t="shared" si="9"/>
        <v>22.170849845882874</v>
      </c>
      <c r="AN74" s="75">
        <f>AM74*(1-PARAM!$C$27)*$I$12+(MOD($B74,60)=PARAM!$B$56)*($B74&gt;(60-PARAM!$B$56))*HLOOKUP(($B74+PARAM!$B$56)/12,Loyalty,2)*$F$1*MAX(AP73,0)</f>
        <v>18.557001321003963</v>
      </c>
      <c r="AO74" s="75">
        <f>PARAM!$C$26+MAX($G$12-CHOOSE(PARAM!$B$44,MAX(0,AP73*$F$1),0),0)*RATES!$L50/12+$H$12*(PARAM!$D$51/12)*RATES!$N50/100</f>
        <v>7.5</v>
      </c>
      <c r="AP74" s="16">
        <f t="shared" si="34"/>
        <v>-743.10409511228272</v>
      </c>
      <c r="AQ74" s="15">
        <f t="shared" si="10"/>
        <v>22.170849845882874</v>
      </c>
      <c r="AR74" s="75">
        <f>AQ74*(1-PARAM!$C$27)*$I$13+(MOD($B74,60)=PARAM!$B$56)*($B74&gt;(60-PARAM!$B$56))*HLOOKUP(($B74+PARAM!$B$56)/12,Loyalty,2)*$F$1*MAX(AT73,0)</f>
        <v>18.557001321003963</v>
      </c>
      <c r="AS74" s="75">
        <f>PARAM!$C$26+MAX($G$13-CHOOSE(PARAM!$B$44,MAX(0,AT73*$F$1),0),0)*RATES!$L50/12+$H$13*(PARAM!$D$51/12)*RATES!$N50/100</f>
        <v>7.5</v>
      </c>
      <c r="AT74" s="16">
        <f t="shared" si="35"/>
        <v>-743.10409511228272</v>
      </c>
      <c r="AU74" s="15">
        <f t="shared" si="11"/>
        <v>22.170849845882874</v>
      </c>
      <c r="AV74" s="75">
        <f>AU74*(1-PARAM!$C$27)*$I$14+(MOD($B74,60)=PARAM!$B$56)*($B74&gt;(60-PARAM!$B$56))*HLOOKUP(($B74+PARAM!$B$56)/12,Loyalty,2)*$F$1*MAX(AX73,0)</f>
        <v>18.557001321003963</v>
      </c>
      <c r="AW74" s="75">
        <f>PARAM!$C$26+MAX($G$14-CHOOSE(PARAM!$B$44,MAX(0,AX73*$F$1),0),0)*RATES!$L50/12+$H$14*(PARAM!$D$51/12)*RATES!$N50/100</f>
        <v>7.5</v>
      </c>
      <c r="AX74" s="16">
        <f t="shared" si="36"/>
        <v>-743.10409511228272</v>
      </c>
      <c r="AY74" s="15">
        <f t="shared" si="12"/>
        <v>22.170849845882874</v>
      </c>
      <c r="AZ74" s="75">
        <f>AY74*(1-PARAM!$C$27)*$I$15+(MOD($B74,60)=PARAM!$B$56)*($B74&gt;(60-PARAM!$B$56))*HLOOKUP(($B74+PARAM!$B$56)/12,Loyalty,2)*$F$1*MAX(BB73,0)</f>
        <v>18.557001321003963</v>
      </c>
      <c r="BA74" s="75">
        <f>PARAM!$C$26+MAX($G$15-CHOOSE(PARAM!$B$44,MAX(0,BB73*$F$1),0),0)*RATES!$L50/12+$H$15*(PARAM!$D$51/12)*RATES!$N50/100</f>
        <v>7.5</v>
      </c>
      <c r="BB74" s="16">
        <f t="shared" si="37"/>
        <v>-743.10409511228272</v>
      </c>
      <c r="BC74" s="15">
        <f t="shared" si="13"/>
        <v>22.170849845882874</v>
      </c>
      <c r="BD74" s="75">
        <f>BC74*(1-PARAM!$C$27)*$I$16+(MOD($B74,60)=PARAM!$B$56)*($B74&gt;(60-PARAM!$B$56))*HLOOKUP(($B74+PARAM!$B$56)/12,Loyalty,2)*$F$1*MAX(BF73,0)</f>
        <v>18.557001321003963</v>
      </c>
      <c r="BE74" s="75">
        <f>PARAM!$C$26+MAX($G$16-CHOOSE(PARAM!$B$44,MAX(0,BF73*$F$1),0),0)*RATES!$L50/12+$H$16*(PARAM!$D$51/12)*RATES!$N50/100</f>
        <v>7.5</v>
      </c>
      <c r="BF74" s="16">
        <f t="shared" si="38"/>
        <v>-743.10409511228272</v>
      </c>
      <c r="BG74" s="15">
        <f t="shared" si="14"/>
        <v>22.170849845882874</v>
      </c>
      <c r="BH74" s="75">
        <f>BG74*(1-PARAM!$C$27)*$I$17+(MOD($B74,60)=PARAM!$B$56)*($B74&gt;(60-PARAM!$B$56))*HLOOKUP(($B74+PARAM!$B$56)/12,Loyalty,2)*$F$1*MAX(BJ73,0)</f>
        <v>18.557001321003963</v>
      </c>
      <c r="BI74" s="75">
        <f>PARAM!$C$26+MAX($G$17-CHOOSE(PARAM!$B$44,MAX(0,BJ73*$F$1),0),0)*RATES!$L50/12+$H$17*(PARAM!$D$51/12)*RATES!$N50/100</f>
        <v>7.5</v>
      </c>
      <c r="BJ74" s="16">
        <f t="shared" si="39"/>
        <v>-743.10409511228272</v>
      </c>
      <c r="BK74" s="15">
        <f t="shared" si="15"/>
        <v>22.170849845882874</v>
      </c>
      <c r="BL74" s="75">
        <f>BK74*(1-PARAM!$C$27)*$I$18+(MOD($B74,60)=PARAM!$B$56)*($B74&gt;(60-PARAM!$B$56))*HLOOKUP(($B74+PARAM!$B$56)/12,Loyalty,2)*$F$1*MAX(BN73,0)</f>
        <v>18.557001321003963</v>
      </c>
      <c r="BM74" s="75">
        <f>PARAM!$C$26+MAX($G$18-CHOOSE(PARAM!$B$44,MAX(0,BN73*$F$1),0),0)*RATES!$L50/12+$H$18*(PARAM!$D$51/12)*RATES!$N50/100</f>
        <v>7.5</v>
      </c>
      <c r="BN74" s="16">
        <f t="shared" si="40"/>
        <v>-743.10409511228272</v>
      </c>
      <c r="BO74" s="15">
        <f t="shared" si="16"/>
        <v>22.170849845882874</v>
      </c>
      <c r="BP74" s="75">
        <f>BO74*(1-PARAM!$C$27)*$I$19+(MOD($B74,60)=PARAM!$B$56)*($B74&gt;(60-PARAM!$B$56))*HLOOKUP(($B74+PARAM!$B$56)/12,Loyalty,2)*$F$1*MAX(BR73,0)</f>
        <v>18.557001321003963</v>
      </c>
      <c r="BQ74" s="75">
        <f>PARAM!$C$26+MAX($G$19-CHOOSE(PARAM!$B$44,MAX(0,BR73*$F$1),0),0)*RATES!$L50/12+$H$19*(PARAM!$D$51/12)*RATES!$N50/100</f>
        <v>7.5</v>
      </c>
      <c r="BR74" s="16">
        <f t="shared" si="41"/>
        <v>-743.10409511228272</v>
      </c>
      <c r="BS74" s="15">
        <f t="shared" si="17"/>
        <v>22.170849845882874</v>
      </c>
      <c r="BT74" s="75">
        <f>BS74*(1-PARAM!$C$27)*$I$20+(MOD($B74,60)=PARAM!$B$56)*($B74&gt;(60-PARAM!$B$56))*HLOOKUP(($B74+PARAM!$B$56)/12,Loyalty,2)*$F$1*MAX(BV73,0)</f>
        <v>18.557001321003963</v>
      </c>
      <c r="BU74" s="75">
        <f>PARAM!$C$26+MAX($G$20-CHOOSE(PARAM!$B$44,MAX(0,BV73*$F$1),0),0)*RATES!$L50/12+$H$20*(PARAM!$D$51/12)*RATES!$N50/100</f>
        <v>7.5</v>
      </c>
      <c r="BV74" s="16">
        <f t="shared" si="42"/>
        <v>-743.10409511228272</v>
      </c>
      <c r="BW74" s="15">
        <f t="shared" si="18"/>
        <v>22.170849845882874</v>
      </c>
      <c r="BX74" s="75">
        <f>BW74*(1-PARAM!$C$27)*$I$21+(MOD($B74,60)=PARAM!$B$56)*($B74&gt;(60-PARAM!$B$56))*HLOOKUP(($B74+PARAM!$B$56)/12,Loyalty,2)*$F$1*MAX(BZ73,0)</f>
        <v>18.557001321003963</v>
      </c>
      <c r="BY74" s="75">
        <f>PARAM!$C$26+MAX($G$21-CHOOSE(PARAM!$B$44,MAX(0,BZ73*$F$1),0),0)*RATES!$L50/12+$H$21*(PARAM!$D$51/12)*RATES!$N50/100</f>
        <v>7.5</v>
      </c>
      <c r="BZ74" s="16">
        <f t="shared" si="43"/>
        <v>-743.10409511228272</v>
      </c>
      <c r="CA74" s="15">
        <f t="shared" si="19"/>
        <v>22.170849845882874</v>
      </c>
      <c r="CB74" s="75">
        <f>CA74*(1-PARAM!$C$27)*$I$22+(MOD($B74,60)=PARAM!$B$56)*($B74&gt;(60-PARAM!$B$56))*HLOOKUP(($B74+PARAM!$B$56)/12,Loyalty,2)*$F$1*MAX(CD73,0)</f>
        <v>18.557001321003963</v>
      </c>
      <c r="CC74" s="75">
        <f>PARAM!$C$26+MAX($G$22-CHOOSE(PARAM!$B$44,MAX(0,CD73*$F$1),0),0)*RATES!$L50/12+$H$22*(PARAM!$D$51/12)*RATES!$N50/100</f>
        <v>7.5</v>
      </c>
      <c r="CD74" s="16">
        <f t="shared" si="44"/>
        <v>-743.10409511228272</v>
      </c>
      <c r="CE74" s="33">
        <f>IF(0=MOD(B74,12/PARAM!$D$51),1,0)</f>
        <v>1</v>
      </c>
      <c r="CF74" s="15">
        <f t="shared" si="20"/>
        <v>0</v>
      </c>
      <c r="CG74" s="75">
        <f>CF74*(1-PARAM!$C$27)*$R$3+(MOD($B74/12,5)=0)*($B74&gt;60)*HLOOKUP($B74/12,Loyalty,2)*$F$1*MAX(CI73,0)</f>
        <v>0</v>
      </c>
      <c r="CH74" s="75">
        <f>PARAM!$C$26+MAX($P$3-CHOOSE(PARAM!$B$44,MAX(0,CI73*$F$1),0),0)*RATES!$L50/12+$Q$3*(PARAM!$D$51/12)*RATES!$N50/100</f>
        <v>7.5</v>
      </c>
      <c r="CI74" s="16">
        <f>IF(CI73&gt;0,CI73*PARAM!$C$53,CI73)+CG74-CH74</f>
        <v>-1420.9999999999991</v>
      </c>
      <c r="CJ74" s="15">
        <f t="shared" si="45"/>
        <v>0</v>
      </c>
      <c r="CK74" s="75">
        <f>CJ74*(1-PARAM!$C$27)*$R$4+(MOD($B74/12,5)=0)*($B74&gt;60)*HLOOKUP($B74/12,Loyalty,2)*$F$1*MAX(CM73,0)</f>
        <v>0</v>
      </c>
      <c r="CL74" s="75">
        <f>PARAM!$C$26+MAX($P$4-CHOOSE(PARAM!$B$44,MAX(0,CM73*$F$1),0),0)*RATES!$L50/12+$Q$4*(PARAM!$D$51/12)*RATES!$N50/100</f>
        <v>7.5</v>
      </c>
      <c r="CM74" s="16">
        <f>IF(CM73&gt;0,CM73*PARAM!$C$53,CM73)+CK74-CL74</f>
        <v>-1420.9999999999991</v>
      </c>
      <c r="CO74" s="176"/>
    </row>
    <row r="75" spans="1:93" x14ac:dyDescent="0.2">
      <c r="A75" t="b">
        <f t="shared" si="21"/>
        <v>0</v>
      </c>
      <c r="B75" s="33">
        <v>48</v>
      </c>
      <c r="C75" s="15">
        <f t="shared" si="46"/>
        <v>20.081305947392778</v>
      </c>
      <c r="D75" s="75">
        <f>C75*(1-PARAM!$C$27)*$I$3+(MOD($B75,60)=PARAM!$B$56)*($B75&gt;(60-PARAM!$B$56))*HLOOKUP(($B75+PARAM!$B$56)/12,Loyalty,2)*$F$1*MAX(F74,0)</f>
        <v>16.808053077967756</v>
      </c>
      <c r="E75" s="75">
        <f>PARAM!$C$26+MAX($G$3-CHOOSE(PARAM!$B$44,MAX(0,F74*$F$1),0),0)*RATES!$L51/12+$H$3*(PARAM!$D$51/12)*RATES!$N51/100</f>
        <v>7.5</v>
      </c>
      <c r="F75" s="16">
        <f t="shared" si="22"/>
        <v>-797.68593627454982</v>
      </c>
      <c r="G75" s="15">
        <f t="shared" si="23"/>
        <v>22.035289406060361</v>
      </c>
      <c r="H75" s="75">
        <f>G75*(1-PARAM!$C$27)*$I$4+(MOD($B75,60)=PARAM!$B$56)*($B75&gt;(60-PARAM!$B$56))*HLOOKUP(($B75+PARAM!$B$56)/12,Loyalty,2)*$F$1*MAX(J74,0)</f>
        <v>18.443537232872522</v>
      </c>
      <c r="I75" s="75">
        <f>PARAM!$C$26+MAX($G$4-CHOOSE(PARAM!$B$44,MAX(0,J74*$F$1),0),0)*RATES!$L51/12+$H$4*(PARAM!$D$51/12)*RATES!$N51/100</f>
        <v>7.5</v>
      </c>
      <c r="J75" s="16">
        <f t="shared" si="24"/>
        <v>-736.30545388742541</v>
      </c>
      <c r="K75" s="15">
        <f t="shared" si="25"/>
        <v>22.170849845882874</v>
      </c>
      <c r="L75" s="75">
        <f>K75*(1-PARAM!$C$27)*$I$5+(MOD($B75,60)=PARAM!$B$56)*($B75&gt;(60-PARAM!$B$56))*HLOOKUP(($B75+PARAM!$B$56)/12,Loyalty,2)*$F$1*MAX(N74,0)</f>
        <v>18.557001321003963</v>
      </c>
      <c r="M75" s="75">
        <f>PARAM!$C$26+MAX($G$5-CHOOSE(PARAM!$B$44,MAX(0,N74*$F$1),0),0)*RATES!$L51/12+$H$5*(PARAM!$D$51/12)*RATES!$N51/100</f>
        <v>7.5</v>
      </c>
      <c r="N75" s="16">
        <f t="shared" si="26"/>
        <v>-732.04709379127871</v>
      </c>
      <c r="O75" s="15">
        <f t="shared" si="27"/>
        <v>22.170849845882874</v>
      </c>
      <c r="P75" s="75">
        <f>O75*(1-PARAM!$C$27)*$I$6+(MOD($B75,60)=PARAM!$B$56)*($B75&gt;(60-PARAM!$B$56))*HLOOKUP(($B75+PARAM!$B$56)/12,Loyalty,2)*$F$1*MAX(R74,0)</f>
        <v>18.557001321003963</v>
      </c>
      <c r="Q75" s="75">
        <f>PARAM!$C$26+MAX($G$6-CHOOSE(PARAM!$B$44,MAX(0,R74*$F$1),0),0)*RATES!$L51/12+$H$6*(PARAM!$D$51/12)*RATES!$N51/100</f>
        <v>7.5</v>
      </c>
      <c r="R75" s="16">
        <f t="shared" si="28"/>
        <v>-732.04709379127871</v>
      </c>
      <c r="S75" s="15">
        <f t="shared" si="4"/>
        <v>22.170849845882874</v>
      </c>
      <c r="T75" s="75">
        <f>S75*(1-PARAM!$C$27)*$I$7+(MOD($B75,60)=PARAM!$B$56)*($B75&gt;(60-PARAM!$B$56))*HLOOKUP(($B75+PARAM!$B$56)/12,Loyalty,2)*$F$1*MAX(V74,0)</f>
        <v>18.557001321003963</v>
      </c>
      <c r="U75" s="75">
        <f>PARAM!$C$26+MAX($G$7-CHOOSE(PARAM!$B$44,MAX(0,V74*$F$1),0),0)*RATES!$L51/12+$H$7*(PARAM!$D$51/12)*RATES!$N51/100</f>
        <v>7.5</v>
      </c>
      <c r="V75" s="16">
        <f t="shared" si="29"/>
        <v>-732.04709379127871</v>
      </c>
      <c r="W75" s="15">
        <f t="shared" si="5"/>
        <v>22.170849845882874</v>
      </c>
      <c r="X75" s="75">
        <f>W75*(1-PARAM!$C$27)*$I$8+(MOD($B75,60)=PARAM!$B$56)*($B75&gt;(60-PARAM!$B$56))*HLOOKUP(($B75+PARAM!$B$56)/12,Loyalty,2)*$F$1*MAX(Z74,0)</f>
        <v>18.557001321003963</v>
      </c>
      <c r="Y75" s="75">
        <f>PARAM!$C$26+MAX($G$8-CHOOSE(PARAM!$B$44,MAX(0,Z74*$F$1),0),0)*RATES!$L51/12+$H$8*(PARAM!$D$51/12)*RATES!$N51/100</f>
        <v>7.5</v>
      </c>
      <c r="Z75" s="16">
        <f t="shared" si="30"/>
        <v>-732.04709379127871</v>
      </c>
      <c r="AA75" s="15">
        <f t="shared" si="6"/>
        <v>22.170849845882874</v>
      </c>
      <c r="AB75" s="75">
        <f>AA75*(1-PARAM!$C$27)*$I$9+(MOD($B75,60)=PARAM!$B$56)*($B75&gt;(60-PARAM!$B$56))*HLOOKUP(($B75+PARAM!$B$56)/12,Loyalty,2)*$F$1*MAX(AD74,0)</f>
        <v>18.557001321003963</v>
      </c>
      <c r="AC75" s="75">
        <f>PARAM!$C$26+MAX($G$9-CHOOSE(PARAM!$B$44,MAX(0,AD74*$F$1),0),0)*RATES!$L51/12+$H$9*(PARAM!$D$51/12)*RATES!$N51/100</f>
        <v>7.5</v>
      </c>
      <c r="AD75" s="16">
        <f t="shared" si="31"/>
        <v>-732.04709379127871</v>
      </c>
      <c r="AE75" s="15">
        <f t="shared" si="7"/>
        <v>22.170849845882874</v>
      </c>
      <c r="AF75" s="75">
        <f>AE75*(1-PARAM!$C$27)*$I$10+(MOD($B75,60)=PARAM!$B$56)*($B75&gt;(60-PARAM!$B$56))*HLOOKUP(($B75+PARAM!$B$56)/12,Loyalty,2)*$F$1*MAX(AH74,0)</f>
        <v>18.557001321003963</v>
      </c>
      <c r="AG75" s="75">
        <f>PARAM!$C$26+MAX($G$10-CHOOSE(PARAM!$B$44,MAX(0,AH74*$F$1),0),0)*RATES!$L51/12+$H$10*(PARAM!$D$51/12)*RATES!$N51/100</f>
        <v>7.5</v>
      </c>
      <c r="AH75" s="16">
        <f t="shared" si="32"/>
        <v>-732.04709379127871</v>
      </c>
      <c r="AI75" s="15">
        <f t="shared" si="8"/>
        <v>22.170849845882874</v>
      </c>
      <c r="AJ75" s="75">
        <f>AI75*(1-PARAM!$C$27)*$I$11+(MOD($B75,60)=PARAM!$B$56)*($B75&gt;(60-PARAM!$B$56))*HLOOKUP(($B75+PARAM!$B$56)/12,Loyalty,2)*$F$1*MAX(AL74,0)</f>
        <v>18.557001321003963</v>
      </c>
      <c r="AK75" s="75">
        <f>PARAM!$C$26+MAX($G$11-CHOOSE(PARAM!$B$44,MAX(0,AL74*$F$1),0),0)*RATES!$L51/12+$H$11*(PARAM!$D$51/12)*RATES!$N51/100</f>
        <v>7.5</v>
      </c>
      <c r="AL75" s="16">
        <f t="shared" si="33"/>
        <v>-732.04709379127871</v>
      </c>
      <c r="AM75" s="15">
        <f t="shared" si="9"/>
        <v>22.170849845882874</v>
      </c>
      <c r="AN75" s="75">
        <f>AM75*(1-PARAM!$C$27)*$I$12+(MOD($B75,60)=PARAM!$B$56)*($B75&gt;(60-PARAM!$B$56))*HLOOKUP(($B75+PARAM!$B$56)/12,Loyalty,2)*$F$1*MAX(AP74,0)</f>
        <v>18.557001321003963</v>
      </c>
      <c r="AO75" s="75">
        <f>PARAM!$C$26+MAX($G$12-CHOOSE(PARAM!$B$44,MAX(0,AP74*$F$1),0),0)*RATES!$L51/12+$H$12*(PARAM!$D$51/12)*RATES!$N51/100</f>
        <v>7.5</v>
      </c>
      <c r="AP75" s="16">
        <f t="shared" si="34"/>
        <v>-732.04709379127871</v>
      </c>
      <c r="AQ75" s="15">
        <f t="shared" si="10"/>
        <v>22.170849845882874</v>
      </c>
      <c r="AR75" s="75">
        <f>AQ75*(1-PARAM!$C$27)*$I$13+(MOD($B75,60)=PARAM!$B$56)*($B75&gt;(60-PARAM!$B$56))*HLOOKUP(($B75+PARAM!$B$56)/12,Loyalty,2)*$F$1*MAX(AT74,0)</f>
        <v>18.557001321003963</v>
      </c>
      <c r="AS75" s="75">
        <f>PARAM!$C$26+MAX($G$13-CHOOSE(PARAM!$B$44,MAX(0,AT74*$F$1),0),0)*RATES!$L51/12+$H$13*(PARAM!$D$51/12)*RATES!$N51/100</f>
        <v>7.5</v>
      </c>
      <c r="AT75" s="16">
        <f t="shared" si="35"/>
        <v>-732.04709379127871</v>
      </c>
      <c r="AU75" s="15">
        <f t="shared" si="11"/>
        <v>22.170849845882874</v>
      </c>
      <c r="AV75" s="75">
        <f>AU75*(1-PARAM!$C$27)*$I$14+(MOD($B75,60)=PARAM!$B$56)*($B75&gt;(60-PARAM!$B$56))*HLOOKUP(($B75+PARAM!$B$56)/12,Loyalty,2)*$F$1*MAX(AX74,0)</f>
        <v>18.557001321003963</v>
      </c>
      <c r="AW75" s="75">
        <f>PARAM!$C$26+MAX($G$14-CHOOSE(PARAM!$B$44,MAX(0,AX74*$F$1),0),0)*RATES!$L51/12+$H$14*(PARAM!$D$51/12)*RATES!$N51/100</f>
        <v>7.5</v>
      </c>
      <c r="AX75" s="16">
        <f t="shared" si="36"/>
        <v>-732.04709379127871</v>
      </c>
      <c r="AY75" s="15">
        <f t="shared" si="12"/>
        <v>22.170849845882874</v>
      </c>
      <c r="AZ75" s="75">
        <f>AY75*(1-PARAM!$C$27)*$I$15+(MOD($B75,60)=PARAM!$B$56)*($B75&gt;(60-PARAM!$B$56))*HLOOKUP(($B75+PARAM!$B$56)/12,Loyalty,2)*$F$1*MAX(BB74,0)</f>
        <v>18.557001321003963</v>
      </c>
      <c r="BA75" s="75">
        <f>PARAM!$C$26+MAX($G$15-CHOOSE(PARAM!$B$44,MAX(0,BB74*$F$1),0),0)*RATES!$L51/12+$H$15*(PARAM!$D$51/12)*RATES!$N51/100</f>
        <v>7.5</v>
      </c>
      <c r="BB75" s="16">
        <f t="shared" si="37"/>
        <v>-732.04709379127871</v>
      </c>
      <c r="BC75" s="15">
        <f t="shared" si="13"/>
        <v>22.170849845882874</v>
      </c>
      <c r="BD75" s="75">
        <f>BC75*(1-PARAM!$C$27)*$I$16+(MOD($B75,60)=PARAM!$B$56)*($B75&gt;(60-PARAM!$B$56))*HLOOKUP(($B75+PARAM!$B$56)/12,Loyalty,2)*$F$1*MAX(BF74,0)</f>
        <v>18.557001321003963</v>
      </c>
      <c r="BE75" s="75">
        <f>PARAM!$C$26+MAX($G$16-CHOOSE(PARAM!$B$44,MAX(0,BF74*$F$1),0),0)*RATES!$L51/12+$H$16*(PARAM!$D$51/12)*RATES!$N51/100</f>
        <v>7.5</v>
      </c>
      <c r="BF75" s="16">
        <f t="shared" si="38"/>
        <v>-732.04709379127871</v>
      </c>
      <c r="BG75" s="15">
        <f t="shared" si="14"/>
        <v>22.170849845882874</v>
      </c>
      <c r="BH75" s="75">
        <f>BG75*(1-PARAM!$C$27)*$I$17+(MOD($B75,60)=PARAM!$B$56)*($B75&gt;(60-PARAM!$B$56))*HLOOKUP(($B75+PARAM!$B$56)/12,Loyalty,2)*$F$1*MAX(BJ74,0)</f>
        <v>18.557001321003963</v>
      </c>
      <c r="BI75" s="75">
        <f>PARAM!$C$26+MAX($G$17-CHOOSE(PARAM!$B$44,MAX(0,BJ74*$F$1),0),0)*RATES!$L51/12+$H$17*(PARAM!$D$51/12)*RATES!$N51/100</f>
        <v>7.5</v>
      </c>
      <c r="BJ75" s="16">
        <f t="shared" si="39"/>
        <v>-732.04709379127871</v>
      </c>
      <c r="BK75" s="15">
        <f t="shared" si="15"/>
        <v>22.170849845882874</v>
      </c>
      <c r="BL75" s="75">
        <f>BK75*(1-PARAM!$C$27)*$I$18+(MOD($B75,60)=PARAM!$B$56)*($B75&gt;(60-PARAM!$B$56))*HLOOKUP(($B75+PARAM!$B$56)/12,Loyalty,2)*$F$1*MAX(BN74,0)</f>
        <v>18.557001321003963</v>
      </c>
      <c r="BM75" s="75">
        <f>PARAM!$C$26+MAX($G$18-CHOOSE(PARAM!$B$44,MAX(0,BN74*$F$1),0),0)*RATES!$L51/12+$H$18*(PARAM!$D$51/12)*RATES!$N51/100</f>
        <v>7.5</v>
      </c>
      <c r="BN75" s="16">
        <f t="shared" si="40"/>
        <v>-732.04709379127871</v>
      </c>
      <c r="BO75" s="15">
        <f t="shared" si="16"/>
        <v>22.170849845882874</v>
      </c>
      <c r="BP75" s="75">
        <f>BO75*(1-PARAM!$C$27)*$I$19+(MOD($B75,60)=PARAM!$B$56)*($B75&gt;(60-PARAM!$B$56))*HLOOKUP(($B75+PARAM!$B$56)/12,Loyalty,2)*$F$1*MAX(BR74,0)</f>
        <v>18.557001321003963</v>
      </c>
      <c r="BQ75" s="75">
        <f>PARAM!$C$26+MAX($G$19-CHOOSE(PARAM!$B$44,MAX(0,BR74*$F$1),0),0)*RATES!$L51/12+$H$19*(PARAM!$D$51/12)*RATES!$N51/100</f>
        <v>7.5</v>
      </c>
      <c r="BR75" s="16">
        <f t="shared" si="41"/>
        <v>-732.04709379127871</v>
      </c>
      <c r="BS75" s="15">
        <f t="shared" si="17"/>
        <v>22.170849845882874</v>
      </c>
      <c r="BT75" s="75">
        <f>BS75*(1-PARAM!$C$27)*$I$20+(MOD($B75,60)=PARAM!$B$56)*($B75&gt;(60-PARAM!$B$56))*HLOOKUP(($B75+PARAM!$B$56)/12,Loyalty,2)*$F$1*MAX(BV74,0)</f>
        <v>18.557001321003963</v>
      </c>
      <c r="BU75" s="75">
        <f>PARAM!$C$26+MAX($G$20-CHOOSE(PARAM!$B$44,MAX(0,BV74*$F$1),0),0)*RATES!$L51/12+$H$20*(PARAM!$D$51/12)*RATES!$N51/100</f>
        <v>7.5</v>
      </c>
      <c r="BV75" s="16">
        <f t="shared" si="42"/>
        <v>-732.04709379127871</v>
      </c>
      <c r="BW75" s="15">
        <f t="shared" si="18"/>
        <v>22.170849845882874</v>
      </c>
      <c r="BX75" s="75">
        <f>BW75*(1-PARAM!$C$27)*$I$21+(MOD($B75,60)=PARAM!$B$56)*($B75&gt;(60-PARAM!$B$56))*HLOOKUP(($B75+PARAM!$B$56)/12,Loyalty,2)*$F$1*MAX(BZ74,0)</f>
        <v>18.557001321003963</v>
      </c>
      <c r="BY75" s="75">
        <f>PARAM!$C$26+MAX($G$21-CHOOSE(PARAM!$B$44,MAX(0,BZ74*$F$1),0),0)*RATES!$L51/12+$H$21*(PARAM!$D$51/12)*RATES!$N51/100</f>
        <v>7.5</v>
      </c>
      <c r="BZ75" s="16">
        <f t="shared" si="43"/>
        <v>-732.04709379127871</v>
      </c>
      <c r="CA75" s="15">
        <f t="shared" si="19"/>
        <v>22.170849845882874</v>
      </c>
      <c r="CB75" s="75">
        <f>CA75*(1-PARAM!$C$27)*$I$22+(MOD($B75,60)=PARAM!$B$56)*($B75&gt;(60-PARAM!$B$56))*HLOOKUP(($B75+PARAM!$B$56)/12,Loyalty,2)*$F$1*MAX(CD74,0)</f>
        <v>18.557001321003963</v>
      </c>
      <c r="CC75" s="75">
        <f>PARAM!$C$26+MAX($G$22-CHOOSE(PARAM!$B$44,MAX(0,CD74*$F$1),0),0)*RATES!$L51/12+$H$22*(PARAM!$D$51/12)*RATES!$N51/100</f>
        <v>7.5</v>
      </c>
      <c r="CD75" s="16">
        <f t="shared" si="44"/>
        <v>-732.04709379127871</v>
      </c>
      <c r="CE75" s="33">
        <f>IF(0=MOD(B75,12/PARAM!$D$51),1,0)</f>
        <v>1</v>
      </c>
      <c r="CF75" s="15">
        <f t="shared" si="20"/>
        <v>0</v>
      </c>
      <c r="CG75" s="75">
        <f>CF75*(1-PARAM!$C$27)*$R$3+(MOD($B75/12,5)=0)*($B75&gt;60)*HLOOKUP($B75/12,Loyalty,2)*$F$1*MAX(CI74,0)</f>
        <v>0</v>
      </c>
      <c r="CH75" s="75">
        <f>PARAM!$C$26+MAX($P$3-CHOOSE(PARAM!$B$44,MAX(0,CI74*$F$1),0),0)*RATES!$L51/12+$Q$3*(PARAM!$D$51/12)*RATES!$N51/100</f>
        <v>7.5</v>
      </c>
      <c r="CI75" s="16">
        <f>IF(CI74&gt;0,CI74*PARAM!$C$53,CI74)+CG75-CH75</f>
        <v>-1428.4999999999991</v>
      </c>
      <c r="CJ75" s="15">
        <f t="shared" si="45"/>
        <v>0</v>
      </c>
      <c r="CK75" s="75">
        <f>CJ75*(1-PARAM!$C$27)*$R$4+(MOD($B75/12,5)=0)*($B75&gt;60)*HLOOKUP($B75/12,Loyalty,2)*$F$1*MAX(CM74,0)</f>
        <v>0</v>
      </c>
      <c r="CL75" s="75">
        <f>PARAM!$C$26+MAX($P$4-CHOOSE(PARAM!$B$44,MAX(0,CM74*$F$1),0),0)*RATES!$L51/12+$Q$4*(PARAM!$D$51/12)*RATES!$N51/100</f>
        <v>7.5</v>
      </c>
      <c r="CM75" s="16">
        <f>IF(CM74&gt;0,CM74*PARAM!$C$53,CM74)+CK75-CL75</f>
        <v>-1428.4999999999991</v>
      </c>
      <c r="CO75" s="176"/>
    </row>
    <row r="76" spans="1:93" x14ac:dyDescent="0.2">
      <c r="A76" t="b">
        <f t="shared" si="21"/>
        <v>0</v>
      </c>
      <c r="B76" s="33">
        <v>49</v>
      </c>
      <c r="C76" s="15">
        <f t="shared" si="46"/>
        <v>20.081305947392778</v>
      </c>
      <c r="D76" s="75">
        <f>C76*(1-PARAM!$C$27)*$I$3+(MOD($B76,60)=PARAM!$B$56)*($B76&gt;(60-PARAM!$B$56))*HLOOKUP(($B76+PARAM!$B$56)/12,Loyalty,2)*$F$1*MAX(F75,0)</f>
        <v>16.808053077967756</v>
      </c>
      <c r="E76" s="75">
        <f>PARAM!$C$26+MAX($G$3-CHOOSE(PARAM!$B$44,MAX(0,F75*$F$1),0),0)*RATES!$L52/12+$H$3*(PARAM!$D$51/12)*RATES!$N52/100</f>
        <v>7.5</v>
      </c>
      <c r="F76" s="16">
        <f t="shared" si="22"/>
        <v>-788.37788319658205</v>
      </c>
      <c r="G76" s="15">
        <f t="shared" si="23"/>
        <v>22.035289406060361</v>
      </c>
      <c r="H76" s="75">
        <f>G76*(1-PARAM!$C$27)*$I$4+(MOD($B76,60)=PARAM!$B$56)*($B76&gt;(60-PARAM!$B$56))*HLOOKUP(($B76+PARAM!$B$56)/12,Loyalty,2)*$F$1*MAX(J75,0)</f>
        <v>18.443537232872522</v>
      </c>
      <c r="I76" s="75">
        <f>PARAM!$C$26+MAX($G$4-CHOOSE(PARAM!$B$44,MAX(0,J75*$F$1),0),0)*RATES!$L52/12+$H$4*(PARAM!$D$51/12)*RATES!$N52/100</f>
        <v>7.5</v>
      </c>
      <c r="J76" s="16">
        <f t="shared" si="24"/>
        <v>-725.36191665455294</v>
      </c>
      <c r="K76" s="15">
        <f t="shared" si="25"/>
        <v>22.170849845882874</v>
      </c>
      <c r="L76" s="75">
        <f>K76*(1-PARAM!$C$27)*$I$5+(MOD($B76,60)=PARAM!$B$56)*($B76&gt;(60-PARAM!$B$56))*HLOOKUP(($B76+PARAM!$B$56)/12,Loyalty,2)*$F$1*MAX(N75,0)</f>
        <v>18.557001321003963</v>
      </c>
      <c r="M76" s="75">
        <f>PARAM!$C$26+MAX($G$5-CHOOSE(PARAM!$B$44,MAX(0,N75*$F$1),0),0)*RATES!$L52/12+$H$5*(PARAM!$D$51/12)*RATES!$N52/100</f>
        <v>7.5</v>
      </c>
      <c r="N76" s="16">
        <f t="shared" si="26"/>
        <v>-720.9900924702747</v>
      </c>
      <c r="O76" s="15">
        <f t="shared" si="27"/>
        <v>22.170849845882874</v>
      </c>
      <c r="P76" s="75">
        <f>O76*(1-PARAM!$C$27)*$I$6+(MOD($B76,60)=PARAM!$B$56)*($B76&gt;(60-PARAM!$B$56))*HLOOKUP(($B76+PARAM!$B$56)/12,Loyalty,2)*$F$1*MAX(R75,0)</f>
        <v>18.557001321003963</v>
      </c>
      <c r="Q76" s="75">
        <f>PARAM!$C$26+MAX($G$6-CHOOSE(PARAM!$B$44,MAX(0,R75*$F$1),0),0)*RATES!$L52/12+$H$6*(PARAM!$D$51/12)*RATES!$N52/100</f>
        <v>7.5</v>
      </c>
      <c r="R76" s="16">
        <f t="shared" si="28"/>
        <v>-720.9900924702747</v>
      </c>
      <c r="S76" s="15">
        <f t="shared" si="4"/>
        <v>22.170849845882874</v>
      </c>
      <c r="T76" s="75">
        <f>S76*(1-PARAM!$C$27)*$I$7+(MOD($B76,60)=PARAM!$B$56)*($B76&gt;(60-PARAM!$B$56))*HLOOKUP(($B76+PARAM!$B$56)/12,Loyalty,2)*$F$1*MAX(V75,0)</f>
        <v>18.557001321003963</v>
      </c>
      <c r="U76" s="75">
        <f>PARAM!$C$26+MAX($G$7-CHOOSE(PARAM!$B$44,MAX(0,V75*$F$1),0),0)*RATES!$L52/12+$H$7*(PARAM!$D$51/12)*RATES!$N52/100</f>
        <v>7.5</v>
      </c>
      <c r="V76" s="16">
        <f t="shared" si="29"/>
        <v>-720.9900924702747</v>
      </c>
      <c r="W76" s="15">
        <f t="shared" si="5"/>
        <v>22.170849845882874</v>
      </c>
      <c r="X76" s="75">
        <f>W76*(1-PARAM!$C$27)*$I$8+(MOD($B76,60)=PARAM!$B$56)*($B76&gt;(60-PARAM!$B$56))*HLOOKUP(($B76+PARAM!$B$56)/12,Loyalty,2)*$F$1*MAX(Z75,0)</f>
        <v>18.557001321003963</v>
      </c>
      <c r="Y76" s="75">
        <f>PARAM!$C$26+MAX($G$8-CHOOSE(PARAM!$B$44,MAX(0,Z75*$F$1),0),0)*RATES!$L52/12+$H$8*(PARAM!$D$51/12)*RATES!$N52/100</f>
        <v>7.5</v>
      </c>
      <c r="Z76" s="16">
        <f t="shared" si="30"/>
        <v>-720.9900924702747</v>
      </c>
      <c r="AA76" s="15">
        <f t="shared" si="6"/>
        <v>22.170849845882874</v>
      </c>
      <c r="AB76" s="75">
        <f>AA76*(1-PARAM!$C$27)*$I$9+(MOD($B76,60)=PARAM!$B$56)*($B76&gt;(60-PARAM!$B$56))*HLOOKUP(($B76+PARAM!$B$56)/12,Loyalty,2)*$F$1*MAX(AD75,0)</f>
        <v>18.557001321003963</v>
      </c>
      <c r="AC76" s="75">
        <f>PARAM!$C$26+MAX($G$9-CHOOSE(PARAM!$B$44,MAX(0,AD75*$F$1),0),0)*RATES!$L52/12+$H$9*(PARAM!$D$51/12)*RATES!$N52/100</f>
        <v>7.5</v>
      </c>
      <c r="AD76" s="16">
        <f t="shared" si="31"/>
        <v>-720.9900924702747</v>
      </c>
      <c r="AE76" s="15">
        <f t="shared" si="7"/>
        <v>22.170849845882874</v>
      </c>
      <c r="AF76" s="75">
        <f>AE76*(1-PARAM!$C$27)*$I$10+(MOD($B76,60)=PARAM!$B$56)*($B76&gt;(60-PARAM!$B$56))*HLOOKUP(($B76+PARAM!$B$56)/12,Loyalty,2)*$F$1*MAX(AH75,0)</f>
        <v>18.557001321003963</v>
      </c>
      <c r="AG76" s="75">
        <f>PARAM!$C$26+MAX($G$10-CHOOSE(PARAM!$B$44,MAX(0,AH75*$F$1),0),0)*RATES!$L52/12+$H$10*(PARAM!$D$51/12)*RATES!$N52/100</f>
        <v>7.5</v>
      </c>
      <c r="AH76" s="16">
        <f t="shared" si="32"/>
        <v>-720.9900924702747</v>
      </c>
      <c r="AI76" s="15">
        <f t="shared" si="8"/>
        <v>22.170849845882874</v>
      </c>
      <c r="AJ76" s="75">
        <f>AI76*(1-PARAM!$C$27)*$I$11+(MOD($B76,60)=PARAM!$B$56)*($B76&gt;(60-PARAM!$B$56))*HLOOKUP(($B76+PARAM!$B$56)/12,Loyalty,2)*$F$1*MAX(AL75,0)</f>
        <v>18.557001321003963</v>
      </c>
      <c r="AK76" s="75">
        <f>PARAM!$C$26+MAX($G$11-CHOOSE(PARAM!$B$44,MAX(0,AL75*$F$1),0),0)*RATES!$L52/12+$H$11*(PARAM!$D$51/12)*RATES!$N52/100</f>
        <v>7.5</v>
      </c>
      <c r="AL76" s="16">
        <f t="shared" si="33"/>
        <v>-720.9900924702747</v>
      </c>
      <c r="AM76" s="15">
        <f t="shared" si="9"/>
        <v>22.170849845882874</v>
      </c>
      <c r="AN76" s="75">
        <f>AM76*(1-PARAM!$C$27)*$I$12+(MOD($B76,60)=PARAM!$B$56)*($B76&gt;(60-PARAM!$B$56))*HLOOKUP(($B76+PARAM!$B$56)/12,Loyalty,2)*$F$1*MAX(AP75,0)</f>
        <v>18.557001321003963</v>
      </c>
      <c r="AO76" s="75">
        <f>PARAM!$C$26+MAX($G$12-CHOOSE(PARAM!$B$44,MAX(0,AP75*$F$1),0),0)*RATES!$L52/12+$H$12*(PARAM!$D$51/12)*RATES!$N52/100</f>
        <v>7.5</v>
      </c>
      <c r="AP76" s="16">
        <f t="shared" si="34"/>
        <v>-720.9900924702747</v>
      </c>
      <c r="AQ76" s="15">
        <f t="shared" si="10"/>
        <v>22.170849845882874</v>
      </c>
      <c r="AR76" s="75">
        <f>AQ76*(1-PARAM!$C$27)*$I$13+(MOD($B76,60)=PARAM!$B$56)*($B76&gt;(60-PARAM!$B$56))*HLOOKUP(($B76+PARAM!$B$56)/12,Loyalty,2)*$F$1*MAX(AT75,0)</f>
        <v>18.557001321003963</v>
      </c>
      <c r="AS76" s="75">
        <f>PARAM!$C$26+MAX($G$13-CHOOSE(PARAM!$B$44,MAX(0,AT75*$F$1),0),0)*RATES!$L52/12+$H$13*(PARAM!$D$51/12)*RATES!$N52/100</f>
        <v>7.5</v>
      </c>
      <c r="AT76" s="16">
        <f t="shared" si="35"/>
        <v>-720.9900924702747</v>
      </c>
      <c r="AU76" s="15">
        <f t="shared" si="11"/>
        <v>22.170849845882874</v>
      </c>
      <c r="AV76" s="75">
        <f>AU76*(1-PARAM!$C$27)*$I$14+(MOD($B76,60)=PARAM!$B$56)*($B76&gt;(60-PARAM!$B$56))*HLOOKUP(($B76+PARAM!$B$56)/12,Loyalty,2)*$F$1*MAX(AX75,0)</f>
        <v>18.557001321003963</v>
      </c>
      <c r="AW76" s="75">
        <f>PARAM!$C$26+MAX($G$14-CHOOSE(PARAM!$B$44,MAX(0,AX75*$F$1),0),0)*RATES!$L52/12+$H$14*(PARAM!$D$51/12)*RATES!$N52/100</f>
        <v>7.5</v>
      </c>
      <c r="AX76" s="16">
        <f t="shared" si="36"/>
        <v>-720.9900924702747</v>
      </c>
      <c r="AY76" s="15">
        <f t="shared" si="12"/>
        <v>22.170849845882874</v>
      </c>
      <c r="AZ76" s="75">
        <f>AY76*(1-PARAM!$C$27)*$I$15+(MOD($B76,60)=PARAM!$B$56)*($B76&gt;(60-PARAM!$B$56))*HLOOKUP(($B76+PARAM!$B$56)/12,Loyalty,2)*$F$1*MAX(BB75,0)</f>
        <v>18.557001321003963</v>
      </c>
      <c r="BA76" s="75">
        <f>PARAM!$C$26+MAX($G$15-CHOOSE(PARAM!$B$44,MAX(0,BB75*$F$1),0),0)*RATES!$L52/12+$H$15*(PARAM!$D$51/12)*RATES!$N52/100</f>
        <v>7.5</v>
      </c>
      <c r="BB76" s="16">
        <f t="shared" si="37"/>
        <v>-720.9900924702747</v>
      </c>
      <c r="BC76" s="15">
        <f t="shared" si="13"/>
        <v>22.170849845882874</v>
      </c>
      <c r="BD76" s="75">
        <f>BC76*(1-PARAM!$C$27)*$I$16+(MOD($B76,60)=PARAM!$B$56)*($B76&gt;(60-PARAM!$B$56))*HLOOKUP(($B76+PARAM!$B$56)/12,Loyalty,2)*$F$1*MAX(BF75,0)</f>
        <v>18.557001321003963</v>
      </c>
      <c r="BE76" s="75">
        <f>PARAM!$C$26+MAX($G$16-CHOOSE(PARAM!$B$44,MAX(0,BF75*$F$1),0),0)*RATES!$L52/12+$H$16*(PARAM!$D$51/12)*RATES!$N52/100</f>
        <v>7.5</v>
      </c>
      <c r="BF76" s="16">
        <f t="shared" si="38"/>
        <v>-720.9900924702747</v>
      </c>
      <c r="BG76" s="15">
        <f t="shared" si="14"/>
        <v>22.170849845882874</v>
      </c>
      <c r="BH76" s="75">
        <f>BG76*(1-PARAM!$C$27)*$I$17+(MOD($B76,60)=PARAM!$B$56)*($B76&gt;(60-PARAM!$B$56))*HLOOKUP(($B76+PARAM!$B$56)/12,Loyalty,2)*$F$1*MAX(BJ75,0)</f>
        <v>18.557001321003963</v>
      </c>
      <c r="BI76" s="75">
        <f>PARAM!$C$26+MAX($G$17-CHOOSE(PARAM!$B$44,MAX(0,BJ75*$F$1),0),0)*RATES!$L52/12+$H$17*(PARAM!$D$51/12)*RATES!$N52/100</f>
        <v>7.5</v>
      </c>
      <c r="BJ76" s="16">
        <f t="shared" si="39"/>
        <v>-720.9900924702747</v>
      </c>
      <c r="BK76" s="15">
        <f t="shared" si="15"/>
        <v>22.170849845882874</v>
      </c>
      <c r="BL76" s="75">
        <f>BK76*(1-PARAM!$C$27)*$I$18+(MOD($B76,60)=PARAM!$B$56)*($B76&gt;(60-PARAM!$B$56))*HLOOKUP(($B76+PARAM!$B$56)/12,Loyalty,2)*$F$1*MAX(BN75,0)</f>
        <v>18.557001321003963</v>
      </c>
      <c r="BM76" s="75">
        <f>PARAM!$C$26+MAX($G$18-CHOOSE(PARAM!$B$44,MAX(0,BN75*$F$1),0),0)*RATES!$L52/12+$H$18*(PARAM!$D$51/12)*RATES!$N52/100</f>
        <v>7.5</v>
      </c>
      <c r="BN76" s="16">
        <f t="shared" si="40"/>
        <v>-720.9900924702747</v>
      </c>
      <c r="BO76" s="15">
        <f t="shared" si="16"/>
        <v>22.170849845882874</v>
      </c>
      <c r="BP76" s="75">
        <f>BO76*(1-PARAM!$C$27)*$I$19+(MOD($B76,60)=PARAM!$B$56)*($B76&gt;(60-PARAM!$B$56))*HLOOKUP(($B76+PARAM!$B$56)/12,Loyalty,2)*$F$1*MAX(BR75,0)</f>
        <v>18.557001321003963</v>
      </c>
      <c r="BQ76" s="75">
        <f>PARAM!$C$26+MAX($G$19-CHOOSE(PARAM!$B$44,MAX(0,BR75*$F$1),0),0)*RATES!$L52/12+$H$19*(PARAM!$D$51/12)*RATES!$N52/100</f>
        <v>7.5</v>
      </c>
      <c r="BR76" s="16">
        <f t="shared" si="41"/>
        <v>-720.9900924702747</v>
      </c>
      <c r="BS76" s="15">
        <f t="shared" si="17"/>
        <v>22.170849845882874</v>
      </c>
      <c r="BT76" s="75">
        <f>BS76*(1-PARAM!$C$27)*$I$20+(MOD($B76,60)=PARAM!$B$56)*($B76&gt;(60-PARAM!$B$56))*HLOOKUP(($B76+PARAM!$B$56)/12,Loyalty,2)*$F$1*MAX(BV75,0)</f>
        <v>18.557001321003963</v>
      </c>
      <c r="BU76" s="75">
        <f>PARAM!$C$26+MAX($G$20-CHOOSE(PARAM!$B$44,MAX(0,BV75*$F$1),0),0)*RATES!$L52/12+$H$20*(PARAM!$D$51/12)*RATES!$N52/100</f>
        <v>7.5</v>
      </c>
      <c r="BV76" s="16">
        <f t="shared" si="42"/>
        <v>-720.9900924702747</v>
      </c>
      <c r="BW76" s="15">
        <f t="shared" si="18"/>
        <v>22.170849845882874</v>
      </c>
      <c r="BX76" s="75">
        <f>BW76*(1-PARAM!$C$27)*$I$21+(MOD($B76,60)=PARAM!$B$56)*($B76&gt;(60-PARAM!$B$56))*HLOOKUP(($B76+PARAM!$B$56)/12,Loyalty,2)*$F$1*MAX(BZ75,0)</f>
        <v>18.557001321003963</v>
      </c>
      <c r="BY76" s="75">
        <f>PARAM!$C$26+MAX($G$21-CHOOSE(PARAM!$B$44,MAX(0,BZ75*$F$1),0),0)*RATES!$L52/12+$H$21*(PARAM!$D$51/12)*RATES!$N52/100</f>
        <v>7.5</v>
      </c>
      <c r="BZ76" s="16">
        <f t="shared" si="43"/>
        <v>-720.9900924702747</v>
      </c>
      <c r="CA76" s="15">
        <f t="shared" si="19"/>
        <v>22.170849845882874</v>
      </c>
      <c r="CB76" s="75">
        <f>CA76*(1-PARAM!$C$27)*$I$22+(MOD($B76,60)=PARAM!$B$56)*($B76&gt;(60-PARAM!$B$56))*HLOOKUP(($B76+PARAM!$B$56)/12,Loyalty,2)*$F$1*MAX(CD75,0)</f>
        <v>18.557001321003963</v>
      </c>
      <c r="CC76" s="75">
        <f>PARAM!$C$26+MAX($G$22-CHOOSE(PARAM!$B$44,MAX(0,CD75*$F$1),0),0)*RATES!$L52/12+$H$22*(PARAM!$D$51/12)*RATES!$N52/100</f>
        <v>7.5</v>
      </c>
      <c r="CD76" s="16">
        <f t="shared" si="44"/>
        <v>-720.9900924702747</v>
      </c>
      <c r="CE76" s="33">
        <f>IF(0=MOD(B76,12/PARAM!$D$51),1,0)</f>
        <v>1</v>
      </c>
      <c r="CF76" s="15">
        <f t="shared" si="20"/>
        <v>0</v>
      </c>
      <c r="CG76" s="75">
        <f>CF76*(1-PARAM!$C$27)*$R$3+(MOD($B76/12,5)=0)*($B76&gt;60)*HLOOKUP($B76/12,Loyalty,2)*$F$1*MAX(CI75,0)</f>
        <v>0</v>
      </c>
      <c r="CH76" s="75">
        <f>PARAM!$C$26+MAX($P$3-CHOOSE(PARAM!$B$44,MAX(0,CI75*$F$1),0),0)*RATES!$L52/12+$Q$3*(PARAM!$D$51/12)*RATES!$N52/100</f>
        <v>7.5</v>
      </c>
      <c r="CI76" s="16">
        <f>IF(CI75&gt;0,CI75*PARAM!$C$53,CI75)+CG76-CH76</f>
        <v>-1435.9999999999991</v>
      </c>
      <c r="CJ76" s="15">
        <f t="shared" si="45"/>
        <v>0</v>
      </c>
      <c r="CK76" s="75">
        <f>CJ76*(1-PARAM!$C$27)*$R$4+(MOD($B76/12,5)=0)*($B76&gt;60)*HLOOKUP($B76/12,Loyalty,2)*$F$1*MAX(CM75,0)</f>
        <v>0</v>
      </c>
      <c r="CL76" s="75">
        <f>PARAM!$C$26+MAX($P$4-CHOOSE(PARAM!$B$44,MAX(0,CM75*$F$1),0),0)*RATES!$L52/12+$Q$4*(PARAM!$D$51/12)*RATES!$N52/100</f>
        <v>7.5</v>
      </c>
      <c r="CM76" s="16">
        <f>IF(CM75&gt;0,CM75*PARAM!$C$53,CM75)+CK76-CL76</f>
        <v>-1435.9999999999991</v>
      </c>
      <c r="CO76" s="176"/>
    </row>
    <row r="77" spans="1:93" x14ac:dyDescent="0.2">
      <c r="A77" t="b">
        <f t="shared" si="21"/>
        <v>0</v>
      </c>
      <c r="B77" s="33">
        <v>50</v>
      </c>
      <c r="C77" s="15">
        <f t="shared" si="46"/>
        <v>20.081305947392778</v>
      </c>
      <c r="D77" s="75">
        <f>C77*(1-PARAM!$C$27)*$I$3+(MOD($B77,60)=PARAM!$B$56)*($B77&gt;(60-PARAM!$B$56))*HLOOKUP(($B77+PARAM!$B$56)/12,Loyalty,2)*$F$1*MAX(F76,0)</f>
        <v>16.808053077967756</v>
      </c>
      <c r="E77" s="75">
        <f>PARAM!$C$26+MAX($G$3-CHOOSE(PARAM!$B$44,MAX(0,F76*$F$1),0),0)*RATES!$L53/12+$H$3*(PARAM!$D$51/12)*RATES!$N53/100</f>
        <v>7.5</v>
      </c>
      <c r="F77" s="16">
        <f t="shared" si="22"/>
        <v>-779.06983011861428</v>
      </c>
      <c r="G77" s="15">
        <f t="shared" si="23"/>
        <v>22.035289406060361</v>
      </c>
      <c r="H77" s="75">
        <f>G77*(1-PARAM!$C$27)*$I$4+(MOD($B77,60)=PARAM!$B$56)*($B77&gt;(60-PARAM!$B$56))*HLOOKUP(($B77+PARAM!$B$56)/12,Loyalty,2)*$F$1*MAX(J76,0)</f>
        <v>18.443537232872522</v>
      </c>
      <c r="I77" s="75">
        <f>PARAM!$C$26+MAX($G$4-CHOOSE(PARAM!$B$44,MAX(0,J76*$F$1),0),0)*RATES!$L53/12+$H$4*(PARAM!$D$51/12)*RATES!$N53/100</f>
        <v>7.5</v>
      </c>
      <c r="J77" s="16">
        <f t="shared" si="24"/>
        <v>-714.41837942168047</v>
      </c>
      <c r="K77" s="15">
        <f t="shared" si="25"/>
        <v>22.170849845882874</v>
      </c>
      <c r="L77" s="75">
        <f>K77*(1-PARAM!$C$27)*$I$5+(MOD($B77,60)=PARAM!$B$56)*($B77&gt;(60-PARAM!$B$56))*HLOOKUP(($B77+PARAM!$B$56)/12,Loyalty,2)*$F$1*MAX(N76,0)</f>
        <v>18.557001321003963</v>
      </c>
      <c r="M77" s="75">
        <f>PARAM!$C$26+MAX($G$5-CHOOSE(PARAM!$B$44,MAX(0,N76*$F$1),0),0)*RATES!$L53/12+$H$5*(PARAM!$D$51/12)*RATES!$N53/100</f>
        <v>7.5</v>
      </c>
      <c r="N77" s="16">
        <f t="shared" si="26"/>
        <v>-709.93309114927069</v>
      </c>
      <c r="O77" s="15">
        <f t="shared" si="27"/>
        <v>22.170849845882874</v>
      </c>
      <c r="P77" s="75">
        <f>O77*(1-PARAM!$C$27)*$I$6+(MOD($B77,60)=PARAM!$B$56)*($B77&gt;(60-PARAM!$B$56))*HLOOKUP(($B77+PARAM!$B$56)/12,Loyalty,2)*$F$1*MAX(R76,0)</f>
        <v>18.557001321003963</v>
      </c>
      <c r="Q77" s="75">
        <f>PARAM!$C$26+MAX($G$6-CHOOSE(PARAM!$B$44,MAX(0,R76*$F$1),0),0)*RATES!$L53/12+$H$6*(PARAM!$D$51/12)*RATES!$N53/100</f>
        <v>7.5</v>
      </c>
      <c r="R77" s="16">
        <f t="shared" si="28"/>
        <v>-709.93309114927069</v>
      </c>
      <c r="S77" s="15">
        <f t="shared" si="4"/>
        <v>22.170849845882874</v>
      </c>
      <c r="T77" s="75">
        <f>S77*(1-PARAM!$C$27)*$I$7+(MOD($B77,60)=PARAM!$B$56)*($B77&gt;(60-PARAM!$B$56))*HLOOKUP(($B77+PARAM!$B$56)/12,Loyalty,2)*$F$1*MAX(V76,0)</f>
        <v>18.557001321003963</v>
      </c>
      <c r="U77" s="75">
        <f>PARAM!$C$26+MAX($G$7-CHOOSE(PARAM!$B$44,MAX(0,V76*$F$1),0),0)*RATES!$L53/12+$H$7*(PARAM!$D$51/12)*RATES!$N53/100</f>
        <v>7.5</v>
      </c>
      <c r="V77" s="16">
        <f t="shared" si="29"/>
        <v>-709.93309114927069</v>
      </c>
      <c r="W77" s="15">
        <f t="shared" si="5"/>
        <v>22.170849845882874</v>
      </c>
      <c r="X77" s="75">
        <f>W77*(1-PARAM!$C$27)*$I$8+(MOD($B77,60)=PARAM!$B$56)*($B77&gt;(60-PARAM!$B$56))*HLOOKUP(($B77+PARAM!$B$56)/12,Loyalty,2)*$F$1*MAX(Z76,0)</f>
        <v>18.557001321003963</v>
      </c>
      <c r="Y77" s="75">
        <f>PARAM!$C$26+MAX($G$8-CHOOSE(PARAM!$B$44,MAX(0,Z76*$F$1),0),0)*RATES!$L53/12+$H$8*(PARAM!$D$51/12)*RATES!$N53/100</f>
        <v>7.5</v>
      </c>
      <c r="Z77" s="16">
        <f t="shared" si="30"/>
        <v>-709.93309114927069</v>
      </c>
      <c r="AA77" s="15">
        <f t="shared" si="6"/>
        <v>22.170849845882874</v>
      </c>
      <c r="AB77" s="75">
        <f>AA77*(1-PARAM!$C$27)*$I$9+(MOD($B77,60)=PARAM!$B$56)*($B77&gt;(60-PARAM!$B$56))*HLOOKUP(($B77+PARAM!$B$56)/12,Loyalty,2)*$F$1*MAX(AD76,0)</f>
        <v>18.557001321003963</v>
      </c>
      <c r="AC77" s="75">
        <f>PARAM!$C$26+MAX($G$9-CHOOSE(PARAM!$B$44,MAX(0,AD76*$F$1),0),0)*RATES!$L53/12+$H$9*(PARAM!$D$51/12)*RATES!$N53/100</f>
        <v>7.5</v>
      </c>
      <c r="AD77" s="16">
        <f t="shared" si="31"/>
        <v>-709.93309114927069</v>
      </c>
      <c r="AE77" s="15">
        <f t="shared" si="7"/>
        <v>22.170849845882874</v>
      </c>
      <c r="AF77" s="75">
        <f>AE77*(1-PARAM!$C$27)*$I$10+(MOD($B77,60)=PARAM!$B$56)*($B77&gt;(60-PARAM!$B$56))*HLOOKUP(($B77+PARAM!$B$56)/12,Loyalty,2)*$F$1*MAX(AH76,0)</f>
        <v>18.557001321003963</v>
      </c>
      <c r="AG77" s="75">
        <f>PARAM!$C$26+MAX($G$10-CHOOSE(PARAM!$B$44,MAX(0,AH76*$F$1),0),0)*RATES!$L53/12+$H$10*(PARAM!$D$51/12)*RATES!$N53/100</f>
        <v>7.5</v>
      </c>
      <c r="AH77" s="16">
        <f t="shared" si="32"/>
        <v>-709.93309114927069</v>
      </c>
      <c r="AI77" s="15">
        <f t="shared" si="8"/>
        <v>22.170849845882874</v>
      </c>
      <c r="AJ77" s="75">
        <f>AI77*(1-PARAM!$C$27)*$I$11+(MOD($B77,60)=PARAM!$B$56)*($B77&gt;(60-PARAM!$B$56))*HLOOKUP(($B77+PARAM!$B$56)/12,Loyalty,2)*$F$1*MAX(AL76,0)</f>
        <v>18.557001321003963</v>
      </c>
      <c r="AK77" s="75">
        <f>PARAM!$C$26+MAX($G$11-CHOOSE(PARAM!$B$44,MAX(0,AL76*$F$1),0),0)*RATES!$L53/12+$H$11*(PARAM!$D$51/12)*RATES!$N53/100</f>
        <v>7.5</v>
      </c>
      <c r="AL77" s="16">
        <f t="shared" si="33"/>
        <v>-709.93309114927069</v>
      </c>
      <c r="AM77" s="15">
        <f t="shared" si="9"/>
        <v>22.170849845882874</v>
      </c>
      <c r="AN77" s="75">
        <f>AM77*(1-PARAM!$C$27)*$I$12+(MOD($B77,60)=PARAM!$B$56)*($B77&gt;(60-PARAM!$B$56))*HLOOKUP(($B77+PARAM!$B$56)/12,Loyalty,2)*$F$1*MAX(AP76,0)</f>
        <v>18.557001321003963</v>
      </c>
      <c r="AO77" s="75">
        <f>PARAM!$C$26+MAX($G$12-CHOOSE(PARAM!$B$44,MAX(0,AP76*$F$1),0),0)*RATES!$L53/12+$H$12*(PARAM!$D$51/12)*RATES!$N53/100</f>
        <v>7.5</v>
      </c>
      <c r="AP77" s="16">
        <f t="shared" si="34"/>
        <v>-709.93309114927069</v>
      </c>
      <c r="AQ77" s="15">
        <f t="shared" si="10"/>
        <v>22.170849845882874</v>
      </c>
      <c r="AR77" s="75">
        <f>AQ77*(1-PARAM!$C$27)*$I$13+(MOD($B77,60)=PARAM!$B$56)*($B77&gt;(60-PARAM!$B$56))*HLOOKUP(($B77+PARAM!$B$56)/12,Loyalty,2)*$F$1*MAX(AT76,0)</f>
        <v>18.557001321003963</v>
      </c>
      <c r="AS77" s="75">
        <f>PARAM!$C$26+MAX($G$13-CHOOSE(PARAM!$B$44,MAX(0,AT76*$F$1),0),0)*RATES!$L53/12+$H$13*(PARAM!$D$51/12)*RATES!$N53/100</f>
        <v>7.5</v>
      </c>
      <c r="AT77" s="16">
        <f t="shared" si="35"/>
        <v>-709.93309114927069</v>
      </c>
      <c r="AU77" s="15">
        <f t="shared" si="11"/>
        <v>22.170849845882874</v>
      </c>
      <c r="AV77" s="75">
        <f>AU77*(1-PARAM!$C$27)*$I$14+(MOD($B77,60)=PARAM!$B$56)*($B77&gt;(60-PARAM!$B$56))*HLOOKUP(($B77+PARAM!$B$56)/12,Loyalty,2)*$F$1*MAX(AX76,0)</f>
        <v>18.557001321003963</v>
      </c>
      <c r="AW77" s="75">
        <f>PARAM!$C$26+MAX($G$14-CHOOSE(PARAM!$B$44,MAX(0,AX76*$F$1),0),0)*RATES!$L53/12+$H$14*(PARAM!$D$51/12)*RATES!$N53/100</f>
        <v>7.5</v>
      </c>
      <c r="AX77" s="16">
        <f t="shared" si="36"/>
        <v>-709.93309114927069</v>
      </c>
      <c r="AY77" s="15">
        <f t="shared" si="12"/>
        <v>22.170849845882874</v>
      </c>
      <c r="AZ77" s="75">
        <f>AY77*(1-PARAM!$C$27)*$I$15+(MOD($B77,60)=PARAM!$B$56)*($B77&gt;(60-PARAM!$B$56))*HLOOKUP(($B77+PARAM!$B$56)/12,Loyalty,2)*$F$1*MAX(BB76,0)</f>
        <v>18.557001321003963</v>
      </c>
      <c r="BA77" s="75">
        <f>PARAM!$C$26+MAX($G$15-CHOOSE(PARAM!$B$44,MAX(0,BB76*$F$1),0),0)*RATES!$L53/12+$H$15*(PARAM!$D$51/12)*RATES!$N53/100</f>
        <v>7.5</v>
      </c>
      <c r="BB77" s="16">
        <f t="shared" si="37"/>
        <v>-709.93309114927069</v>
      </c>
      <c r="BC77" s="15">
        <f t="shared" si="13"/>
        <v>22.170849845882874</v>
      </c>
      <c r="BD77" s="75">
        <f>BC77*(1-PARAM!$C$27)*$I$16+(MOD($B77,60)=PARAM!$B$56)*($B77&gt;(60-PARAM!$B$56))*HLOOKUP(($B77+PARAM!$B$56)/12,Loyalty,2)*$F$1*MAX(BF76,0)</f>
        <v>18.557001321003963</v>
      </c>
      <c r="BE77" s="75">
        <f>PARAM!$C$26+MAX($G$16-CHOOSE(PARAM!$B$44,MAX(0,BF76*$F$1),0),0)*RATES!$L53/12+$H$16*(PARAM!$D$51/12)*RATES!$N53/100</f>
        <v>7.5</v>
      </c>
      <c r="BF77" s="16">
        <f t="shared" si="38"/>
        <v>-709.93309114927069</v>
      </c>
      <c r="BG77" s="15">
        <f t="shared" si="14"/>
        <v>22.170849845882874</v>
      </c>
      <c r="BH77" s="75">
        <f>BG77*(1-PARAM!$C$27)*$I$17+(MOD($B77,60)=PARAM!$B$56)*($B77&gt;(60-PARAM!$B$56))*HLOOKUP(($B77+PARAM!$B$56)/12,Loyalty,2)*$F$1*MAX(BJ76,0)</f>
        <v>18.557001321003963</v>
      </c>
      <c r="BI77" s="75">
        <f>PARAM!$C$26+MAX($G$17-CHOOSE(PARAM!$B$44,MAX(0,BJ76*$F$1),0),0)*RATES!$L53/12+$H$17*(PARAM!$D$51/12)*RATES!$N53/100</f>
        <v>7.5</v>
      </c>
      <c r="BJ77" s="16">
        <f t="shared" si="39"/>
        <v>-709.93309114927069</v>
      </c>
      <c r="BK77" s="15">
        <f t="shared" si="15"/>
        <v>22.170849845882874</v>
      </c>
      <c r="BL77" s="75">
        <f>BK77*(1-PARAM!$C$27)*$I$18+(MOD($B77,60)=PARAM!$B$56)*($B77&gt;(60-PARAM!$B$56))*HLOOKUP(($B77+PARAM!$B$56)/12,Loyalty,2)*$F$1*MAX(BN76,0)</f>
        <v>18.557001321003963</v>
      </c>
      <c r="BM77" s="75">
        <f>PARAM!$C$26+MAX($G$18-CHOOSE(PARAM!$B$44,MAX(0,BN76*$F$1),0),0)*RATES!$L53/12+$H$18*(PARAM!$D$51/12)*RATES!$N53/100</f>
        <v>7.5</v>
      </c>
      <c r="BN77" s="16">
        <f t="shared" si="40"/>
        <v>-709.93309114927069</v>
      </c>
      <c r="BO77" s="15">
        <f t="shared" si="16"/>
        <v>22.170849845882874</v>
      </c>
      <c r="BP77" s="75">
        <f>BO77*(1-PARAM!$C$27)*$I$19+(MOD($B77,60)=PARAM!$B$56)*($B77&gt;(60-PARAM!$B$56))*HLOOKUP(($B77+PARAM!$B$56)/12,Loyalty,2)*$F$1*MAX(BR76,0)</f>
        <v>18.557001321003963</v>
      </c>
      <c r="BQ77" s="75">
        <f>PARAM!$C$26+MAX($G$19-CHOOSE(PARAM!$B$44,MAX(0,BR76*$F$1),0),0)*RATES!$L53/12+$H$19*(PARAM!$D$51/12)*RATES!$N53/100</f>
        <v>7.5</v>
      </c>
      <c r="BR77" s="16">
        <f t="shared" si="41"/>
        <v>-709.93309114927069</v>
      </c>
      <c r="BS77" s="15">
        <f t="shared" si="17"/>
        <v>22.170849845882874</v>
      </c>
      <c r="BT77" s="75">
        <f>BS77*(1-PARAM!$C$27)*$I$20+(MOD($B77,60)=PARAM!$B$56)*($B77&gt;(60-PARAM!$B$56))*HLOOKUP(($B77+PARAM!$B$56)/12,Loyalty,2)*$F$1*MAX(BV76,0)</f>
        <v>18.557001321003963</v>
      </c>
      <c r="BU77" s="75">
        <f>PARAM!$C$26+MAX($G$20-CHOOSE(PARAM!$B$44,MAX(0,BV76*$F$1),0),0)*RATES!$L53/12+$H$20*(PARAM!$D$51/12)*RATES!$N53/100</f>
        <v>7.5</v>
      </c>
      <c r="BV77" s="16">
        <f t="shared" si="42"/>
        <v>-709.93309114927069</v>
      </c>
      <c r="BW77" s="15">
        <f t="shared" si="18"/>
        <v>22.170849845882874</v>
      </c>
      <c r="BX77" s="75">
        <f>BW77*(1-PARAM!$C$27)*$I$21+(MOD($B77,60)=PARAM!$B$56)*($B77&gt;(60-PARAM!$B$56))*HLOOKUP(($B77+PARAM!$B$56)/12,Loyalty,2)*$F$1*MAX(BZ76,0)</f>
        <v>18.557001321003963</v>
      </c>
      <c r="BY77" s="75">
        <f>PARAM!$C$26+MAX($G$21-CHOOSE(PARAM!$B$44,MAX(0,BZ76*$F$1),0),0)*RATES!$L53/12+$H$21*(PARAM!$D$51/12)*RATES!$N53/100</f>
        <v>7.5</v>
      </c>
      <c r="BZ77" s="16">
        <f t="shared" si="43"/>
        <v>-709.93309114927069</v>
      </c>
      <c r="CA77" s="15">
        <f t="shared" si="19"/>
        <v>22.170849845882874</v>
      </c>
      <c r="CB77" s="75">
        <f>CA77*(1-PARAM!$C$27)*$I$22+(MOD($B77,60)=PARAM!$B$56)*($B77&gt;(60-PARAM!$B$56))*HLOOKUP(($B77+PARAM!$B$56)/12,Loyalty,2)*$F$1*MAX(CD76,0)</f>
        <v>18.557001321003963</v>
      </c>
      <c r="CC77" s="75">
        <f>PARAM!$C$26+MAX($G$22-CHOOSE(PARAM!$B$44,MAX(0,CD76*$F$1),0),0)*RATES!$L53/12+$H$22*(PARAM!$D$51/12)*RATES!$N53/100</f>
        <v>7.5</v>
      </c>
      <c r="CD77" s="16">
        <f t="shared" si="44"/>
        <v>-709.93309114927069</v>
      </c>
      <c r="CE77" s="33">
        <f>IF(0=MOD(B77,12/PARAM!$D$51),1,0)</f>
        <v>1</v>
      </c>
      <c r="CF77" s="15">
        <f t="shared" si="20"/>
        <v>0</v>
      </c>
      <c r="CG77" s="75">
        <f>CF77*(1-PARAM!$C$27)*$R$3+(MOD($B77/12,5)=0)*($B77&gt;60)*HLOOKUP($B77/12,Loyalty,2)*$F$1*MAX(CI76,0)</f>
        <v>0</v>
      </c>
      <c r="CH77" s="75">
        <f>PARAM!$C$26+MAX($P$3-CHOOSE(PARAM!$B$44,MAX(0,CI76*$F$1),0),0)*RATES!$L53/12+$Q$3*(PARAM!$D$51/12)*RATES!$N53/100</f>
        <v>7.5</v>
      </c>
      <c r="CI77" s="16">
        <f>IF(CI76&gt;0,CI76*PARAM!$C$53,CI76)+CG77-CH77</f>
        <v>-1443.4999999999991</v>
      </c>
      <c r="CJ77" s="15">
        <f t="shared" si="45"/>
        <v>0</v>
      </c>
      <c r="CK77" s="75">
        <f>CJ77*(1-PARAM!$C$27)*$R$4+(MOD($B77/12,5)=0)*($B77&gt;60)*HLOOKUP($B77/12,Loyalty,2)*$F$1*MAX(CM76,0)</f>
        <v>0</v>
      </c>
      <c r="CL77" s="75">
        <f>PARAM!$C$26+MAX($P$4-CHOOSE(PARAM!$B$44,MAX(0,CM76*$F$1),0),0)*RATES!$L53/12+$Q$4*(PARAM!$D$51/12)*RATES!$N53/100</f>
        <v>7.5</v>
      </c>
      <c r="CM77" s="16">
        <f>IF(CM76&gt;0,CM76*PARAM!$C$53,CM76)+CK77-CL77</f>
        <v>-1443.4999999999991</v>
      </c>
      <c r="CO77" s="176"/>
    </row>
    <row r="78" spans="1:93" x14ac:dyDescent="0.2">
      <c r="A78" t="b">
        <f t="shared" si="21"/>
        <v>0</v>
      </c>
      <c r="B78" s="33">
        <v>51</v>
      </c>
      <c r="C78" s="15">
        <f t="shared" si="46"/>
        <v>20.081305947392778</v>
      </c>
      <c r="D78" s="75">
        <f>C78*(1-PARAM!$C$27)*$I$3+(MOD($B78,60)=PARAM!$B$56)*($B78&gt;(60-PARAM!$B$56))*HLOOKUP(($B78+PARAM!$B$56)/12,Loyalty,2)*$F$1*MAX(F77,0)</f>
        <v>16.808053077967756</v>
      </c>
      <c r="E78" s="75">
        <f>PARAM!$C$26+MAX($G$3-CHOOSE(PARAM!$B$44,MAX(0,F77*$F$1),0),0)*RATES!$L54/12+$H$3*(PARAM!$D$51/12)*RATES!$N54/100</f>
        <v>7.5</v>
      </c>
      <c r="F78" s="16">
        <f t="shared" si="22"/>
        <v>-769.76177704064651</v>
      </c>
      <c r="G78" s="15">
        <f t="shared" si="23"/>
        <v>22.035289406060361</v>
      </c>
      <c r="H78" s="75">
        <f>G78*(1-PARAM!$C$27)*$I$4+(MOD($B78,60)=PARAM!$B$56)*($B78&gt;(60-PARAM!$B$56))*HLOOKUP(($B78+PARAM!$B$56)/12,Loyalty,2)*$F$1*MAX(J77,0)</f>
        <v>18.443537232872522</v>
      </c>
      <c r="I78" s="75">
        <f>PARAM!$C$26+MAX($G$4-CHOOSE(PARAM!$B$44,MAX(0,J77*$F$1),0),0)*RATES!$L54/12+$H$4*(PARAM!$D$51/12)*RATES!$N54/100</f>
        <v>7.5</v>
      </c>
      <c r="J78" s="16">
        <f t="shared" si="24"/>
        <v>-703.474842188808</v>
      </c>
      <c r="K78" s="15">
        <f t="shared" si="25"/>
        <v>22.170849845882874</v>
      </c>
      <c r="L78" s="75">
        <f>K78*(1-PARAM!$C$27)*$I$5+(MOD($B78,60)=PARAM!$B$56)*($B78&gt;(60-PARAM!$B$56))*HLOOKUP(($B78+PARAM!$B$56)/12,Loyalty,2)*$F$1*MAX(N77,0)</f>
        <v>18.557001321003963</v>
      </c>
      <c r="M78" s="75">
        <f>PARAM!$C$26+MAX($G$5-CHOOSE(PARAM!$B$44,MAX(0,N77*$F$1),0),0)*RATES!$L54/12+$H$5*(PARAM!$D$51/12)*RATES!$N54/100</f>
        <v>7.5</v>
      </c>
      <c r="N78" s="16">
        <f t="shared" si="26"/>
        <v>-698.87608982826669</v>
      </c>
      <c r="O78" s="15">
        <f t="shared" si="27"/>
        <v>22.170849845882874</v>
      </c>
      <c r="P78" s="75">
        <f>O78*(1-PARAM!$C$27)*$I$6+(MOD($B78,60)=PARAM!$B$56)*($B78&gt;(60-PARAM!$B$56))*HLOOKUP(($B78+PARAM!$B$56)/12,Loyalty,2)*$F$1*MAX(R77,0)</f>
        <v>18.557001321003963</v>
      </c>
      <c r="Q78" s="75">
        <f>PARAM!$C$26+MAX($G$6-CHOOSE(PARAM!$B$44,MAX(0,R77*$F$1),0),0)*RATES!$L54/12+$H$6*(PARAM!$D$51/12)*RATES!$N54/100</f>
        <v>7.5</v>
      </c>
      <c r="R78" s="16">
        <f t="shared" si="28"/>
        <v>-698.87608982826669</v>
      </c>
      <c r="S78" s="15">
        <f t="shared" si="4"/>
        <v>22.170849845882874</v>
      </c>
      <c r="T78" s="75">
        <f>S78*(1-PARAM!$C$27)*$I$7+(MOD($B78,60)=PARAM!$B$56)*($B78&gt;(60-PARAM!$B$56))*HLOOKUP(($B78+PARAM!$B$56)/12,Loyalty,2)*$F$1*MAX(V77,0)</f>
        <v>18.557001321003963</v>
      </c>
      <c r="U78" s="75">
        <f>PARAM!$C$26+MAX($G$7-CHOOSE(PARAM!$B$44,MAX(0,V77*$F$1),0),0)*RATES!$L54/12+$H$7*(PARAM!$D$51/12)*RATES!$N54/100</f>
        <v>7.5</v>
      </c>
      <c r="V78" s="16">
        <f t="shared" si="29"/>
        <v>-698.87608982826669</v>
      </c>
      <c r="W78" s="15">
        <f t="shared" si="5"/>
        <v>22.170849845882874</v>
      </c>
      <c r="X78" s="75">
        <f>W78*(1-PARAM!$C$27)*$I$8+(MOD($B78,60)=PARAM!$B$56)*($B78&gt;(60-PARAM!$B$56))*HLOOKUP(($B78+PARAM!$B$56)/12,Loyalty,2)*$F$1*MAX(Z77,0)</f>
        <v>18.557001321003963</v>
      </c>
      <c r="Y78" s="75">
        <f>PARAM!$C$26+MAX($G$8-CHOOSE(PARAM!$B$44,MAX(0,Z77*$F$1),0),0)*RATES!$L54/12+$H$8*(PARAM!$D$51/12)*RATES!$N54/100</f>
        <v>7.5</v>
      </c>
      <c r="Z78" s="16">
        <f t="shared" si="30"/>
        <v>-698.87608982826669</v>
      </c>
      <c r="AA78" s="15">
        <f t="shared" si="6"/>
        <v>22.170849845882874</v>
      </c>
      <c r="AB78" s="75">
        <f>AA78*(1-PARAM!$C$27)*$I$9+(MOD($B78,60)=PARAM!$B$56)*($B78&gt;(60-PARAM!$B$56))*HLOOKUP(($B78+PARAM!$B$56)/12,Loyalty,2)*$F$1*MAX(AD77,0)</f>
        <v>18.557001321003963</v>
      </c>
      <c r="AC78" s="75">
        <f>PARAM!$C$26+MAX($G$9-CHOOSE(PARAM!$B$44,MAX(0,AD77*$F$1),0),0)*RATES!$L54/12+$H$9*(PARAM!$D$51/12)*RATES!$N54/100</f>
        <v>7.5</v>
      </c>
      <c r="AD78" s="16">
        <f t="shared" si="31"/>
        <v>-698.87608982826669</v>
      </c>
      <c r="AE78" s="15">
        <f t="shared" si="7"/>
        <v>22.170849845882874</v>
      </c>
      <c r="AF78" s="75">
        <f>AE78*(1-PARAM!$C$27)*$I$10+(MOD($B78,60)=PARAM!$B$56)*($B78&gt;(60-PARAM!$B$56))*HLOOKUP(($B78+PARAM!$B$56)/12,Loyalty,2)*$F$1*MAX(AH77,0)</f>
        <v>18.557001321003963</v>
      </c>
      <c r="AG78" s="75">
        <f>PARAM!$C$26+MAX($G$10-CHOOSE(PARAM!$B$44,MAX(0,AH77*$F$1),0),0)*RATES!$L54/12+$H$10*(PARAM!$D$51/12)*RATES!$N54/100</f>
        <v>7.5</v>
      </c>
      <c r="AH78" s="16">
        <f t="shared" si="32"/>
        <v>-698.87608982826669</v>
      </c>
      <c r="AI78" s="15">
        <f t="shared" si="8"/>
        <v>22.170849845882874</v>
      </c>
      <c r="AJ78" s="75">
        <f>AI78*(1-PARAM!$C$27)*$I$11+(MOD($B78,60)=PARAM!$B$56)*($B78&gt;(60-PARAM!$B$56))*HLOOKUP(($B78+PARAM!$B$56)/12,Loyalty,2)*$F$1*MAX(AL77,0)</f>
        <v>18.557001321003963</v>
      </c>
      <c r="AK78" s="75">
        <f>PARAM!$C$26+MAX($G$11-CHOOSE(PARAM!$B$44,MAX(0,AL77*$F$1),0),0)*RATES!$L54/12+$H$11*(PARAM!$D$51/12)*RATES!$N54/100</f>
        <v>7.5</v>
      </c>
      <c r="AL78" s="16">
        <f t="shared" si="33"/>
        <v>-698.87608982826669</v>
      </c>
      <c r="AM78" s="15">
        <f t="shared" si="9"/>
        <v>22.170849845882874</v>
      </c>
      <c r="AN78" s="75">
        <f>AM78*(1-PARAM!$C$27)*$I$12+(MOD($B78,60)=PARAM!$B$56)*($B78&gt;(60-PARAM!$B$56))*HLOOKUP(($B78+PARAM!$B$56)/12,Loyalty,2)*$F$1*MAX(AP77,0)</f>
        <v>18.557001321003963</v>
      </c>
      <c r="AO78" s="75">
        <f>PARAM!$C$26+MAX($G$12-CHOOSE(PARAM!$B$44,MAX(0,AP77*$F$1),0),0)*RATES!$L54/12+$H$12*(PARAM!$D$51/12)*RATES!$N54/100</f>
        <v>7.5</v>
      </c>
      <c r="AP78" s="16">
        <f t="shared" si="34"/>
        <v>-698.87608982826669</v>
      </c>
      <c r="AQ78" s="15">
        <f t="shared" si="10"/>
        <v>22.170849845882874</v>
      </c>
      <c r="AR78" s="75">
        <f>AQ78*(1-PARAM!$C$27)*$I$13+(MOD($B78,60)=PARAM!$B$56)*($B78&gt;(60-PARAM!$B$56))*HLOOKUP(($B78+PARAM!$B$56)/12,Loyalty,2)*$F$1*MAX(AT77,0)</f>
        <v>18.557001321003963</v>
      </c>
      <c r="AS78" s="75">
        <f>PARAM!$C$26+MAX($G$13-CHOOSE(PARAM!$B$44,MAX(0,AT77*$F$1),0),0)*RATES!$L54/12+$H$13*(PARAM!$D$51/12)*RATES!$N54/100</f>
        <v>7.5</v>
      </c>
      <c r="AT78" s="16">
        <f t="shared" si="35"/>
        <v>-698.87608982826669</v>
      </c>
      <c r="AU78" s="15">
        <f t="shared" si="11"/>
        <v>22.170849845882874</v>
      </c>
      <c r="AV78" s="75">
        <f>AU78*(1-PARAM!$C$27)*$I$14+(MOD($B78,60)=PARAM!$B$56)*($B78&gt;(60-PARAM!$B$56))*HLOOKUP(($B78+PARAM!$B$56)/12,Loyalty,2)*$F$1*MAX(AX77,0)</f>
        <v>18.557001321003963</v>
      </c>
      <c r="AW78" s="75">
        <f>PARAM!$C$26+MAX($G$14-CHOOSE(PARAM!$B$44,MAX(0,AX77*$F$1),0),0)*RATES!$L54/12+$H$14*(PARAM!$D$51/12)*RATES!$N54/100</f>
        <v>7.5</v>
      </c>
      <c r="AX78" s="16">
        <f t="shared" si="36"/>
        <v>-698.87608982826669</v>
      </c>
      <c r="AY78" s="15">
        <f t="shared" si="12"/>
        <v>22.170849845882874</v>
      </c>
      <c r="AZ78" s="75">
        <f>AY78*(1-PARAM!$C$27)*$I$15+(MOD($B78,60)=PARAM!$B$56)*($B78&gt;(60-PARAM!$B$56))*HLOOKUP(($B78+PARAM!$B$56)/12,Loyalty,2)*$F$1*MAX(BB77,0)</f>
        <v>18.557001321003963</v>
      </c>
      <c r="BA78" s="75">
        <f>PARAM!$C$26+MAX($G$15-CHOOSE(PARAM!$B$44,MAX(0,BB77*$F$1),0),0)*RATES!$L54/12+$H$15*(PARAM!$D$51/12)*RATES!$N54/100</f>
        <v>7.5</v>
      </c>
      <c r="BB78" s="16">
        <f t="shared" si="37"/>
        <v>-698.87608982826669</v>
      </c>
      <c r="BC78" s="15">
        <f t="shared" si="13"/>
        <v>22.170849845882874</v>
      </c>
      <c r="BD78" s="75">
        <f>BC78*(1-PARAM!$C$27)*$I$16+(MOD($B78,60)=PARAM!$B$56)*($B78&gt;(60-PARAM!$B$56))*HLOOKUP(($B78+PARAM!$B$56)/12,Loyalty,2)*$F$1*MAX(BF77,0)</f>
        <v>18.557001321003963</v>
      </c>
      <c r="BE78" s="75">
        <f>PARAM!$C$26+MAX($G$16-CHOOSE(PARAM!$B$44,MAX(0,BF77*$F$1),0),0)*RATES!$L54/12+$H$16*(PARAM!$D$51/12)*RATES!$N54/100</f>
        <v>7.5</v>
      </c>
      <c r="BF78" s="16">
        <f t="shared" si="38"/>
        <v>-698.87608982826669</v>
      </c>
      <c r="BG78" s="15">
        <f t="shared" si="14"/>
        <v>22.170849845882874</v>
      </c>
      <c r="BH78" s="75">
        <f>BG78*(1-PARAM!$C$27)*$I$17+(MOD($B78,60)=PARAM!$B$56)*($B78&gt;(60-PARAM!$B$56))*HLOOKUP(($B78+PARAM!$B$56)/12,Loyalty,2)*$F$1*MAX(BJ77,0)</f>
        <v>18.557001321003963</v>
      </c>
      <c r="BI78" s="75">
        <f>PARAM!$C$26+MAX($G$17-CHOOSE(PARAM!$B$44,MAX(0,BJ77*$F$1),0),0)*RATES!$L54/12+$H$17*(PARAM!$D$51/12)*RATES!$N54/100</f>
        <v>7.5</v>
      </c>
      <c r="BJ78" s="16">
        <f t="shared" si="39"/>
        <v>-698.87608982826669</v>
      </c>
      <c r="BK78" s="15">
        <f t="shared" si="15"/>
        <v>22.170849845882874</v>
      </c>
      <c r="BL78" s="75">
        <f>BK78*(1-PARAM!$C$27)*$I$18+(MOD($B78,60)=PARAM!$B$56)*($B78&gt;(60-PARAM!$B$56))*HLOOKUP(($B78+PARAM!$B$56)/12,Loyalty,2)*$F$1*MAX(BN77,0)</f>
        <v>18.557001321003963</v>
      </c>
      <c r="BM78" s="75">
        <f>PARAM!$C$26+MAX($G$18-CHOOSE(PARAM!$B$44,MAX(0,BN77*$F$1),0),0)*RATES!$L54/12+$H$18*(PARAM!$D$51/12)*RATES!$N54/100</f>
        <v>7.5</v>
      </c>
      <c r="BN78" s="16">
        <f t="shared" si="40"/>
        <v>-698.87608982826669</v>
      </c>
      <c r="BO78" s="15">
        <f t="shared" si="16"/>
        <v>22.170849845882874</v>
      </c>
      <c r="BP78" s="75">
        <f>BO78*(1-PARAM!$C$27)*$I$19+(MOD($B78,60)=PARAM!$B$56)*($B78&gt;(60-PARAM!$B$56))*HLOOKUP(($B78+PARAM!$B$56)/12,Loyalty,2)*$F$1*MAX(BR77,0)</f>
        <v>18.557001321003963</v>
      </c>
      <c r="BQ78" s="75">
        <f>PARAM!$C$26+MAX($G$19-CHOOSE(PARAM!$B$44,MAX(0,BR77*$F$1),0),0)*RATES!$L54/12+$H$19*(PARAM!$D$51/12)*RATES!$N54/100</f>
        <v>7.5</v>
      </c>
      <c r="BR78" s="16">
        <f t="shared" si="41"/>
        <v>-698.87608982826669</v>
      </c>
      <c r="BS78" s="15">
        <f t="shared" si="17"/>
        <v>22.170849845882874</v>
      </c>
      <c r="BT78" s="75">
        <f>BS78*(1-PARAM!$C$27)*$I$20+(MOD($B78,60)=PARAM!$B$56)*($B78&gt;(60-PARAM!$B$56))*HLOOKUP(($B78+PARAM!$B$56)/12,Loyalty,2)*$F$1*MAX(BV77,0)</f>
        <v>18.557001321003963</v>
      </c>
      <c r="BU78" s="75">
        <f>PARAM!$C$26+MAX($G$20-CHOOSE(PARAM!$B$44,MAX(0,BV77*$F$1),0),0)*RATES!$L54/12+$H$20*(PARAM!$D$51/12)*RATES!$N54/100</f>
        <v>7.5</v>
      </c>
      <c r="BV78" s="16">
        <f t="shared" si="42"/>
        <v>-698.87608982826669</v>
      </c>
      <c r="BW78" s="15">
        <f t="shared" si="18"/>
        <v>22.170849845882874</v>
      </c>
      <c r="BX78" s="75">
        <f>BW78*(1-PARAM!$C$27)*$I$21+(MOD($B78,60)=PARAM!$B$56)*($B78&gt;(60-PARAM!$B$56))*HLOOKUP(($B78+PARAM!$B$56)/12,Loyalty,2)*$F$1*MAX(BZ77,0)</f>
        <v>18.557001321003963</v>
      </c>
      <c r="BY78" s="75">
        <f>PARAM!$C$26+MAX($G$21-CHOOSE(PARAM!$B$44,MAX(0,BZ77*$F$1),0),0)*RATES!$L54/12+$H$21*(PARAM!$D$51/12)*RATES!$N54/100</f>
        <v>7.5</v>
      </c>
      <c r="BZ78" s="16">
        <f t="shared" si="43"/>
        <v>-698.87608982826669</v>
      </c>
      <c r="CA78" s="15">
        <f t="shared" si="19"/>
        <v>22.170849845882874</v>
      </c>
      <c r="CB78" s="75">
        <f>CA78*(1-PARAM!$C$27)*$I$22+(MOD($B78,60)=PARAM!$B$56)*($B78&gt;(60-PARAM!$B$56))*HLOOKUP(($B78+PARAM!$B$56)/12,Loyalty,2)*$F$1*MAX(CD77,0)</f>
        <v>18.557001321003963</v>
      </c>
      <c r="CC78" s="75">
        <f>PARAM!$C$26+MAX($G$22-CHOOSE(PARAM!$B$44,MAX(0,CD77*$F$1),0),0)*RATES!$L54/12+$H$22*(PARAM!$D$51/12)*RATES!$N54/100</f>
        <v>7.5</v>
      </c>
      <c r="CD78" s="16">
        <f t="shared" si="44"/>
        <v>-698.87608982826669</v>
      </c>
      <c r="CE78" s="33">
        <f>IF(0=MOD(B78,12/PARAM!$D$51),1,0)</f>
        <v>1</v>
      </c>
      <c r="CF78" s="15">
        <f t="shared" si="20"/>
        <v>0</v>
      </c>
      <c r="CG78" s="75">
        <f>CF78*(1-PARAM!$C$27)*$R$3+(MOD($B78/12,5)=0)*($B78&gt;60)*HLOOKUP($B78/12,Loyalty,2)*$F$1*MAX(CI77,0)</f>
        <v>0</v>
      </c>
      <c r="CH78" s="75">
        <f>PARAM!$C$26+MAX($P$3-CHOOSE(PARAM!$B$44,MAX(0,CI77*$F$1),0),0)*RATES!$L54/12+$Q$3*(PARAM!$D$51/12)*RATES!$N54/100</f>
        <v>7.5</v>
      </c>
      <c r="CI78" s="16">
        <f>IF(CI77&gt;0,CI77*PARAM!$C$53,CI77)+CG78-CH78</f>
        <v>-1450.9999999999991</v>
      </c>
      <c r="CJ78" s="15">
        <f t="shared" si="45"/>
        <v>0</v>
      </c>
      <c r="CK78" s="75">
        <f>CJ78*(1-PARAM!$C$27)*$R$4+(MOD($B78/12,5)=0)*($B78&gt;60)*HLOOKUP($B78/12,Loyalty,2)*$F$1*MAX(CM77,0)</f>
        <v>0</v>
      </c>
      <c r="CL78" s="75">
        <f>PARAM!$C$26+MAX($P$4-CHOOSE(PARAM!$B$44,MAX(0,CM77*$F$1),0),0)*RATES!$L54/12+$Q$4*(PARAM!$D$51/12)*RATES!$N54/100</f>
        <v>7.5</v>
      </c>
      <c r="CM78" s="16">
        <f>IF(CM77&gt;0,CM77*PARAM!$C$53,CM77)+CK78-CL78</f>
        <v>-1450.9999999999991</v>
      </c>
      <c r="CO78" s="176"/>
    </row>
    <row r="79" spans="1:93" x14ac:dyDescent="0.2">
      <c r="A79" t="b">
        <f t="shared" si="21"/>
        <v>0</v>
      </c>
      <c r="B79" s="33">
        <v>52</v>
      </c>
      <c r="C79" s="15">
        <f t="shared" si="46"/>
        <v>20.081305947392778</v>
      </c>
      <c r="D79" s="75">
        <f>C79*(1-PARAM!$C$27)*$I$3+(MOD($B79,60)=PARAM!$B$56)*($B79&gt;(60-PARAM!$B$56))*HLOOKUP(($B79+PARAM!$B$56)/12,Loyalty,2)*$F$1*MAX(F78,0)</f>
        <v>16.808053077967756</v>
      </c>
      <c r="E79" s="75">
        <f>PARAM!$C$26+MAX($G$3-CHOOSE(PARAM!$B$44,MAX(0,F78*$F$1),0),0)*RATES!$L55/12+$H$3*(PARAM!$D$51/12)*RATES!$N55/100</f>
        <v>7.5</v>
      </c>
      <c r="F79" s="16">
        <f t="shared" si="22"/>
        <v>-760.45372396267874</v>
      </c>
      <c r="G79" s="15">
        <f t="shared" si="23"/>
        <v>22.035289406060361</v>
      </c>
      <c r="H79" s="75">
        <f>G79*(1-PARAM!$C$27)*$I$4+(MOD($B79,60)=PARAM!$B$56)*($B79&gt;(60-PARAM!$B$56))*HLOOKUP(($B79+PARAM!$B$56)/12,Loyalty,2)*$F$1*MAX(J78,0)</f>
        <v>18.443537232872522</v>
      </c>
      <c r="I79" s="75">
        <f>PARAM!$C$26+MAX($G$4-CHOOSE(PARAM!$B$44,MAX(0,J78*$F$1),0),0)*RATES!$L55/12+$H$4*(PARAM!$D$51/12)*RATES!$N55/100</f>
        <v>7.5</v>
      </c>
      <c r="J79" s="16">
        <f t="shared" si="24"/>
        <v>-692.53130495593552</v>
      </c>
      <c r="K79" s="15">
        <f t="shared" si="25"/>
        <v>22.170849845882874</v>
      </c>
      <c r="L79" s="75">
        <f>K79*(1-PARAM!$C$27)*$I$5+(MOD($B79,60)=PARAM!$B$56)*($B79&gt;(60-PARAM!$B$56))*HLOOKUP(($B79+PARAM!$B$56)/12,Loyalty,2)*$F$1*MAX(N78,0)</f>
        <v>18.557001321003963</v>
      </c>
      <c r="M79" s="75">
        <f>PARAM!$C$26+MAX($G$5-CHOOSE(PARAM!$B$44,MAX(0,N78*$F$1),0),0)*RATES!$L55/12+$H$5*(PARAM!$D$51/12)*RATES!$N55/100</f>
        <v>7.5</v>
      </c>
      <c r="N79" s="16">
        <f t="shared" si="26"/>
        <v>-687.81908850726268</v>
      </c>
      <c r="O79" s="15">
        <f t="shared" si="27"/>
        <v>22.170849845882874</v>
      </c>
      <c r="P79" s="75">
        <f>O79*(1-PARAM!$C$27)*$I$6+(MOD($B79,60)=PARAM!$B$56)*($B79&gt;(60-PARAM!$B$56))*HLOOKUP(($B79+PARAM!$B$56)/12,Loyalty,2)*$F$1*MAX(R78,0)</f>
        <v>18.557001321003963</v>
      </c>
      <c r="Q79" s="75">
        <f>PARAM!$C$26+MAX($G$6-CHOOSE(PARAM!$B$44,MAX(0,R78*$F$1),0),0)*RATES!$L55/12+$H$6*(PARAM!$D$51/12)*RATES!$N55/100</f>
        <v>7.5</v>
      </c>
      <c r="R79" s="16">
        <f t="shared" si="28"/>
        <v>-687.81908850726268</v>
      </c>
      <c r="S79" s="15">
        <f t="shared" si="4"/>
        <v>22.170849845882874</v>
      </c>
      <c r="T79" s="75">
        <f>S79*(1-PARAM!$C$27)*$I$7+(MOD($B79,60)=PARAM!$B$56)*($B79&gt;(60-PARAM!$B$56))*HLOOKUP(($B79+PARAM!$B$56)/12,Loyalty,2)*$F$1*MAX(V78,0)</f>
        <v>18.557001321003963</v>
      </c>
      <c r="U79" s="75">
        <f>PARAM!$C$26+MAX($G$7-CHOOSE(PARAM!$B$44,MAX(0,V78*$F$1),0),0)*RATES!$L55/12+$H$7*(PARAM!$D$51/12)*RATES!$N55/100</f>
        <v>7.5</v>
      </c>
      <c r="V79" s="16">
        <f t="shared" si="29"/>
        <v>-687.81908850726268</v>
      </c>
      <c r="W79" s="15">
        <f t="shared" si="5"/>
        <v>22.170849845882874</v>
      </c>
      <c r="X79" s="75">
        <f>W79*(1-PARAM!$C$27)*$I$8+(MOD($B79,60)=PARAM!$B$56)*($B79&gt;(60-PARAM!$B$56))*HLOOKUP(($B79+PARAM!$B$56)/12,Loyalty,2)*$F$1*MAX(Z78,0)</f>
        <v>18.557001321003963</v>
      </c>
      <c r="Y79" s="75">
        <f>PARAM!$C$26+MAX($G$8-CHOOSE(PARAM!$B$44,MAX(0,Z78*$F$1),0),0)*RATES!$L55/12+$H$8*(PARAM!$D$51/12)*RATES!$N55/100</f>
        <v>7.5</v>
      </c>
      <c r="Z79" s="16">
        <f t="shared" si="30"/>
        <v>-687.81908850726268</v>
      </c>
      <c r="AA79" s="15">
        <f t="shared" si="6"/>
        <v>22.170849845882874</v>
      </c>
      <c r="AB79" s="75">
        <f>AA79*(1-PARAM!$C$27)*$I$9+(MOD($B79,60)=PARAM!$B$56)*($B79&gt;(60-PARAM!$B$56))*HLOOKUP(($B79+PARAM!$B$56)/12,Loyalty,2)*$F$1*MAX(AD78,0)</f>
        <v>18.557001321003963</v>
      </c>
      <c r="AC79" s="75">
        <f>PARAM!$C$26+MAX($G$9-CHOOSE(PARAM!$B$44,MAX(0,AD78*$F$1),0),0)*RATES!$L55/12+$H$9*(PARAM!$D$51/12)*RATES!$N55/100</f>
        <v>7.5</v>
      </c>
      <c r="AD79" s="16">
        <f t="shared" si="31"/>
        <v>-687.81908850726268</v>
      </c>
      <c r="AE79" s="15">
        <f t="shared" si="7"/>
        <v>22.170849845882874</v>
      </c>
      <c r="AF79" s="75">
        <f>AE79*(1-PARAM!$C$27)*$I$10+(MOD($B79,60)=PARAM!$B$56)*($B79&gt;(60-PARAM!$B$56))*HLOOKUP(($B79+PARAM!$B$56)/12,Loyalty,2)*$F$1*MAX(AH78,0)</f>
        <v>18.557001321003963</v>
      </c>
      <c r="AG79" s="75">
        <f>PARAM!$C$26+MAX($G$10-CHOOSE(PARAM!$B$44,MAX(0,AH78*$F$1),0),0)*RATES!$L55/12+$H$10*(PARAM!$D$51/12)*RATES!$N55/100</f>
        <v>7.5</v>
      </c>
      <c r="AH79" s="16">
        <f t="shared" si="32"/>
        <v>-687.81908850726268</v>
      </c>
      <c r="AI79" s="15">
        <f t="shared" si="8"/>
        <v>22.170849845882874</v>
      </c>
      <c r="AJ79" s="75">
        <f>AI79*(1-PARAM!$C$27)*$I$11+(MOD($B79,60)=PARAM!$B$56)*($B79&gt;(60-PARAM!$B$56))*HLOOKUP(($B79+PARAM!$B$56)/12,Loyalty,2)*$F$1*MAX(AL78,0)</f>
        <v>18.557001321003963</v>
      </c>
      <c r="AK79" s="75">
        <f>PARAM!$C$26+MAX($G$11-CHOOSE(PARAM!$B$44,MAX(0,AL78*$F$1),0),0)*RATES!$L55/12+$H$11*(PARAM!$D$51/12)*RATES!$N55/100</f>
        <v>7.5</v>
      </c>
      <c r="AL79" s="16">
        <f t="shared" si="33"/>
        <v>-687.81908850726268</v>
      </c>
      <c r="AM79" s="15">
        <f t="shared" si="9"/>
        <v>22.170849845882874</v>
      </c>
      <c r="AN79" s="75">
        <f>AM79*(1-PARAM!$C$27)*$I$12+(MOD($B79,60)=PARAM!$B$56)*($B79&gt;(60-PARAM!$B$56))*HLOOKUP(($B79+PARAM!$B$56)/12,Loyalty,2)*$F$1*MAX(AP78,0)</f>
        <v>18.557001321003963</v>
      </c>
      <c r="AO79" s="75">
        <f>PARAM!$C$26+MAX($G$12-CHOOSE(PARAM!$B$44,MAX(0,AP78*$F$1),0),0)*RATES!$L55/12+$H$12*(PARAM!$D$51/12)*RATES!$N55/100</f>
        <v>7.5</v>
      </c>
      <c r="AP79" s="16">
        <f t="shared" si="34"/>
        <v>-687.81908850726268</v>
      </c>
      <c r="AQ79" s="15">
        <f t="shared" si="10"/>
        <v>22.170849845882874</v>
      </c>
      <c r="AR79" s="75">
        <f>AQ79*(1-PARAM!$C$27)*$I$13+(MOD($B79,60)=PARAM!$B$56)*($B79&gt;(60-PARAM!$B$56))*HLOOKUP(($B79+PARAM!$B$56)/12,Loyalty,2)*$F$1*MAX(AT78,0)</f>
        <v>18.557001321003963</v>
      </c>
      <c r="AS79" s="75">
        <f>PARAM!$C$26+MAX($G$13-CHOOSE(PARAM!$B$44,MAX(0,AT78*$F$1),0),0)*RATES!$L55/12+$H$13*(PARAM!$D$51/12)*RATES!$N55/100</f>
        <v>7.5</v>
      </c>
      <c r="AT79" s="16">
        <f t="shared" si="35"/>
        <v>-687.81908850726268</v>
      </c>
      <c r="AU79" s="15">
        <f t="shared" si="11"/>
        <v>22.170849845882874</v>
      </c>
      <c r="AV79" s="75">
        <f>AU79*(1-PARAM!$C$27)*$I$14+(MOD($B79,60)=PARAM!$B$56)*($B79&gt;(60-PARAM!$B$56))*HLOOKUP(($B79+PARAM!$B$56)/12,Loyalty,2)*$F$1*MAX(AX78,0)</f>
        <v>18.557001321003963</v>
      </c>
      <c r="AW79" s="75">
        <f>PARAM!$C$26+MAX($G$14-CHOOSE(PARAM!$B$44,MAX(0,AX78*$F$1),0),0)*RATES!$L55/12+$H$14*(PARAM!$D$51/12)*RATES!$N55/100</f>
        <v>7.5</v>
      </c>
      <c r="AX79" s="16">
        <f t="shared" si="36"/>
        <v>-687.81908850726268</v>
      </c>
      <c r="AY79" s="15">
        <f t="shared" si="12"/>
        <v>22.170849845882874</v>
      </c>
      <c r="AZ79" s="75">
        <f>AY79*(1-PARAM!$C$27)*$I$15+(MOD($B79,60)=PARAM!$B$56)*($B79&gt;(60-PARAM!$B$56))*HLOOKUP(($B79+PARAM!$B$56)/12,Loyalty,2)*$F$1*MAX(BB78,0)</f>
        <v>18.557001321003963</v>
      </c>
      <c r="BA79" s="75">
        <f>PARAM!$C$26+MAX($G$15-CHOOSE(PARAM!$B$44,MAX(0,BB78*$F$1),0),0)*RATES!$L55/12+$H$15*(PARAM!$D$51/12)*RATES!$N55/100</f>
        <v>7.5</v>
      </c>
      <c r="BB79" s="16">
        <f t="shared" si="37"/>
        <v>-687.81908850726268</v>
      </c>
      <c r="BC79" s="15">
        <f t="shared" si="13"/>
        <v>22.170849845882874</v>
      </c>
      <c r="BD79" s="75">
        <f>BC79*(1-PARAM!$C$27)*$I$16+(MOD($B79,60)=PARAM!$B$56)*($B79&gt;(60-PARAM!$B$56))*HLOOKUP(($B79+PARAM!$B$56)/12,Loyalty,2)*$F$1*MAX(BF78,0)</f>
        <v>18.557001321003963</v>
      </c>
      <c r="BE79" s="75">
        <f>PARAM!$C$26+MAX($G$16-CHOOSE(PARAM!$B$44,MAX(0,BF78*$F$1),0),0)*RATES!$L55/12+$H$16*(PARAM!$D$51/12)*RATES!$N55/100</f>
        <v>7.5</v>
      </c>
      <c r="BF79" s="16">
        <f t="shared" si="38"/>
        <v>-687.81908850726268</v>
      </c>
      <c r="BG79" s="15">
        <f t="shared" si="14"/>
        <v>22.170849845882874</v>
      </c>
      <c r="BH79" s="75">
        <f>BG79*(1-PARAM!$C$27)*$I$17+(MOD($B79,60)=PARAM!$B$56)*($B79&gt;(60-PARAM!$B$56))*HLOOKUP(($B79+PARAM!$B$56)/12,Loyalty,2)*$F$1*MAX(BJ78,0)</f>
        <v>18.557001321003963</v>
      </c>
      <c r="BI79" s="75">
        <f>PARAM!$C$26+MAX($G$17-CHOOSE(PARAM!$B$44,MAX(0,BJ78*$F$1),0),0)*RATES!$L55/12+$H$17*(PARAM!$D$51/12)*RATES!$N55/100</f>
        <v>7.5</v>
      </c>
      <c r="BJ79" s="16">
        <f t="shared" si="39"/>
        <v>-687.81908850726268</v>
      </c>
      <c r="BK79" s="15">
        <f t="shared" si="15"/>
        <v>22.170849845882874</v>
      </c>
      <c r="BL79" s="75">
        <f>BK79*(1-PARAM!$C$27)*$I$18+(MOD($B79,60)=PARAM!$B$56)*($B79&gt;(60-PARAM!$B$56))*HLOOKUP(($B79+PARAM!$B$56)/12,Loyalty,2)*$F$1*MAX(BN78,0)</f>
        <v>18.557001321003963</v>
      </c>
      <c r="BM79" s="75">
        <f>PARAM!$C$26+MAX($G$18-CHOOSE(PARAM!$B$44,MAX(0,BN78*$F$1),0),0)*RATES!$L55/12+$H$18*(PARAM!$D$51/12)*RATES!$N55/100</f>
        <v>7.5</v>
      </c>
      <c r="BN79" s="16">
        <f t="shared" si="40"/>
        <v>-687.81908850726268</v>
      </c>
      <c r="BO79" s="15">
        <f t="shared" si="16"/>
        <v>22.170849845882874</v>
      </c>
      <c r="BP79" s="75">
        <f>BO79*(1-PARAM!$C$27)*$I$19+(MOD($B79,60)=PARAM!$B$56)*($B79&gt;(60-PARAM!$B$56))*HLOOKUP(($B79+PARAM!$B$56)/12,Loyalty,2)*$F$1*MAX(BR78,0)</f>
        <v>18.557001321003963</v>
      </c>
      <c r="BQ79" s="75">
        <f>PARAM!$C$26+MAX($G$19-CHOOSE(PARAM!$B$44,MAX(0,BR78*$F$1),0),0)*RATES!$L55/12+$H$19*(PARAM!$D$51/12)*RATES!$N55/100</f>
        <v>7.5</v>
      </c>
      <c r="BR79" s="16">
        <f t="shared" si="41"/>
        <v>-687.81908850726268</v>
      </c>
      <c r="BS79" s="15">
        <f t="shared" si="17"/>
        <v>22.170849845882874</v>
      </c>
      <c r="BT79" s="75">
        <f>BS79*(1-PARAM!$C$27)*$I$20+(MOD($B79,60)=PARAM!$B$56)*($B79&gt;(60-PARAM!$B$56))*HLOOKUP(($B79+PARAM!$B$56)/12,Loyalty,2)*$F$1*MAX(BV78,0)</f>
        <v>18.557001321003963</v>
      </c>
      <c r="BU79" s="75">
        <f>PARAM!$C$26+MAX($G$20-CHOOSE(PARAM!$B$44,MAX(0,BV78*$F$1),0),0)*RATES!$L55/12+$H$20*(PARAM!$D$51/12)*RATES!$N55/100</f>
        <v>7.5</v>
      </c>
      <c r="BV79" s="16">
        <f t="shared" si="42"/>
        <v>-687.81908850726268</v>
      </c>
      <c r="BW79" s="15">
        <f t="shared" si="18"/>
        <v>22.170849845882874</v>
      </c>
      <c r="BX79" s="75">
        <f>BW79*(1-PARAM!$C$27)*$I$21+(MOD($B79,60)=PARAM!$B$56)*($B79&gt;(60-PARAM!$B$56))*HLOOKUP(($B79+PARAM!$B$56)/12,Loyalty,2)*$F$1*MAX(BZ78,0)</f>
        <v>18.557001321003963</v>
      </c>
      <c r="BY79" s="75">
        <f>PARAM!$C$26+MAX($G$21-CHOOSE(PARAM!$B$44,MAX(0,BZ78*$F$1),0),0)*RATES!$L55/12+$H$21*(PARAM!$D$51/12)*RATES!$N55/100</f>
        <v>7.5</v>
      </c>
      <c r="BZ79" s="16">
        <f t="shared" si="43"/>
        <v>-687.81908850726268</v>
      </c>
      <c r="CA79" s="15">
        <f t="shared" si="19"/>
        <v>22.170849845882874</v>
      </c>
      <c r="CB79" s="75">
        <f>CA79*(1-PARAM!$C$27)*$I$22+(MOD($B79,60)=PARAM!$B$56)*($B79&gt;(60-PARAM!$B$56))*HLOOKUP(($B79+PARAM!$B$56)/12,Loyalty,2)*$F$1*MAX(CD78,0)</f>
        <v>18.557001321003963</v>
      </c>
      <c r="CC79" s="75">
        <f>PARAM!$C$26+MAX($G$22-CHOOSE(PARAM!$B$44,MAX(0,CD78*$F$1),0),0)*RATES!$L55/12+$H$22*(PARAM!$D$51/12)*RATES!$N55/100</f>
        <v>7.5</v>
      </c>
      <c r="CD79" s="16">
        <f t="shared" si="44"/>
        <v>-687.81908850726268</v>
      </c>
      <c r="CE79" s="33">
        <f>IF(0=MOD(B79,12/PARAM!$D$51),1,0)</f>
        <v>1</v>
      </c>
      <c r="CF79" s="15">
        <f t="shared" si="20"/>
        <v>0</v>
      </c>
      <c r="CG79" s="75">
        <f>CF79*(1-PARAM!$C$27)*$R$3+(MOD($B79/12,5)=0)*($B79&gt;60)*HLOOKUP($B79/12,Loyalty,2)*$F$1*MAX(CI78,0)</f>
        <v>0</v>
      </c>
      <c r="CH79" s="75">
        <f>PARAM!$C$26+MAX($P$3-CHOOSE(PARAM!$B$44,MAX(0,CI78*$F$1),0),0)*RATES!$L55/12+$Q$3*(PARAM!$D$51/12)*RATES!$N55/100</f>
        <v>7.5</v>
      </c>
      <c r="CI79" s="16">
        <f>IF(CI78&gt;0,CI78*PARAM!$C$53,CI78)+CG79-CH79</f>
        <v>-1458.4999999999991</v>
      </c>
      <c r="CJ79" s="15">
        <f t="shared" si="45"/>
        <v>0</v>
      </c>
      <c r="CK79" s="75">
        <f>CJ79*(1-PARAM!$C$27)*$R$4+(MOD($B79/12,5)=0)*($B79&gt;60)*HLOOKUP($B79/12,Loyalty,2)*$F$1*MAX(CM78,0)</f>
        <v>0</v>
      </c>
      <c r="CL79" s="75">
        <f>PARAM!$C$26+MAX($P$4-CHOOSE(PARAM!$B$44,MAX(0,CM78*$F$1),0),0)*RATES!$L55/12+$Q$4*(PARAM!$D$51/12)*RATES!$N55/100</f>
        <v>7.5</v>
      </c>
      <c r="CM79" s="16">
        <f>IF(CM78&gt;0,CM78*PARAM!$C$53,CM78)+CK79-CL79</f>
        <v>-1458.4999999999991</v>
      </c>
      <c r="CO79" s="176"/>
    </row>
    <row r="80" spans="1:93" x14ac:dyDescent="0.2">
      <c r="A80" t="b">
        <f t="shared" si="21"/>
        <v>0</v>
      </c>
      <c r="B80" s="33">
        <v>53</v>
      </c>
      <c r="C80" s="15">
        <f t="shared" si="46"/>
        <v>20.081305947392778</v>
      </c>
      <c r="D80" s="75">
        <f>C80*(1-PARAM!$C$27)*$I$3+(MOD($B80,60)=PARAM!$B$56)*($B80&gt;(60-PARAM!$B$56))*HLOOKUP(($B80+PARAM!$B$56)/12,Loyalty,2)*$F$1*MAX(F79,0)</f>
        <v>16.808053077967756</v>
      </c>
      <c r="E80" s="75">
        <f>PARAM!$C$26+MAX($G$3-CHOOSE(PARAM!$B$44,MAX(0,F79*$F$1),0),0)*RATES!$L56/12+$H$3*(PARAM!$D$51/12)*RATES!$N56/100</f>
        <v>7.5</v>
      </c>
      <c r="F80" s="16">
        <f t="shared" si="22"/>
        <v>-751.14567088471097</v>
      </c>
      <c r="G80" s="15">
        <f t="shared" si="23"/>
        <v>22.035289406060361</v>
      </c>
      <c r="H80" s="75">
        <f>G80*(1-PARAM!$C$27)*$I$4+(MOD($B80,60)=PARAM!$B$56)*($B80&gt;(60-PARAM!$B$56))*HLOOKUP(($B80+PARAM!$B$56)/12,Loyalty,2)*$F$1*MAX(J79,0)</f>
        <v>18.443537232872522</v>
      </c>
      <c r="I80" s="75">
        <f>PARAM!$C$26+MAX($G$4-CHOOSE(PARAM!$B$44,MAX(0,J79*$F$1),0),0)*RATES!$L56/12+$H$4*(PARAM!$D$51/12)*RATES!$N56/100</f>
        <v>7.5</v>
      </c>
      <c r="J80" s="16">
        <f t="shared" si="24"/>
        <v>-681.58776772306305</v>
      </c>
      <c r="K80" s="15">
        <f t="shared" si="25"/>
        <v>22.170849845882874</v>
      </c>
      <c r="L80" s="75">
        <f>K80*(1-PARAM!$C$27)*$I$5+(MOD($B80,60)=PARAM!$B$56)*($B80&gt;(60-PARAM!$B$56))*HLOOKUP(($B80+PARAM!$B$56)/12,Loyalty,2)*$F$1*MAX(N79,0)</f>
        <v>18.557001321003963</v>
      </c>
      <c r="M80" s="75">
        <f>PARAM!$C$26+MAX($G$5-CHOOSE(PARAM!$B$44,MAX(0,N79*$F$1),0),0)*RATES!$L56/12+$H$5*(PARAM!$D$51/12)*RATES!$N56/100</f>
        <v>7.5</v>
      </c>
      <c r="N80" s="16">
        <f t="shared" si="26"/>
        <v>-676.76208718625867</v>
      </c>
      <c r="O80" s="15">
        <f t="shared" si="27"/>
        <v>22.170849845882874</v>
      </c>
      <c r="P80" s="75">
        <f>O80*(1-PARAM!$C$27)*$I$6+(MOD($B80,60)=PARAM!$B$56)*($B80&gt;(60-PARAM!$B$56))*HLOOKUP(($B80+PARAM!$B$56)/12,Loyalty,2)*$F$1*MAX(R79,0)</f>
        <v>18.557001321003963</v>
      </c>
      <c r="Q80" s="75">
        <f>PARAM!$C$26+MAX($G$6-CHOOSE(PARAM!$B$44,MAX(0,R79*$F$1),0),0)*RATES!$L56/12+$H$6*(PARAM!$D$51/12)*RATES!$N56/100</f>
        <v>7.5</v>
      </c>
      <c r="R80" s="16">
        <f t="shared" si="28"/>
        <v>-676.76208718625867</v>
      </c>
      <c r="S80" s="15">
        <f t="shared" si="4"/>
        <v>22.170849845882874</v>
      </c>
      <c r="T80" s="75">
        <f>S80*(1-PARAM!$C$27)*$I$7+(MOD($B80,60)=PARAM!$B$56)*($B80&gt;(60-PARAM!$B$56))*HLOOKUP(($B80+PARAM!$B$56)/12,Loyalty,2)*$F$1*MAX(V79,0)</f>
        <v>18.557001321003963</v>
      </c>
      <c r="U80" s="75">
        <f>PARAM!$C$26+MAX($G$7-CHOOSE(PARAM!$B$44,MAX(0,V79*$F$1),0),0)*RATES!$L56/12+$H$7*(PARAM!$D$51/12)*RATES!$N56/100</f>
        <v>7.5</v>
      </c>
      <c r="V80" s="16">
        <f t="shared" si="29"/>
        <v>-676.76208718625867</v>
      </c>
      <c r="W80" s="15">
        <f t="shared" si="5"/>
        <v>22.170849845882874</v>
      </c>
      <c r="X80" s="75">
        <f>W80*(1-PARAM!$C$27)*$I$8+(MOD($B80,60)=PARAM!$B$56)*($B80&gt;(60-PARAM!$B$56))*HLOOKUP(($B80+PARAM!$B$56)/12,Loyalty,2)*$F$1*MAX(Z79,0)</f>
        <v>18.557001321003963</v>
      </c>
      <c r="Y80" s="75">
        <f>PARAM!$C$26+MAX($G$8-CHOOSE(PARAM!$B$44,MAX(0,Z79*$F$1),0),0)*RATES!$L56/12+$H$8*(PARAM!$D$51/12)*RATES!$N56/100</f>
        <v>7.5</v>
      </c>
      <c r="Z80" s="16">
        <f t="shared" si="30"/>
        <v>-676.76208718625867</v>
      </c>
      <c r="AA80" s="15">
        <f t="shared" si="6"/>
        <v>22.170849845882874</v>
      </c>
      <c r="AB80" s="75">
        <f>AA80*(1-PARAM!$C$27)*$I$9+(MOD($B80,60)=PARAM!$B$56)*($B80&gt;(60-PARAM!$B$56))*HLOOKUP(($B80+PARAM!$B$56)/12,Loyalty,2)*$F$1*MAX(AD79,0)</f>
        <v>18.557001321003963</v>
      </c>
      <c r="AC80" s="75">
        <f>PARAM!$C$26+MAX($G$9-CHOOSE(PARAM!$B$44,MAX(0,AD79*$F$1),0),0)*RATES!$L56/12+$H$9*(PARAM!$D$51/12)*RATES!$N56/100</f>
        <v>7.5</v>
      </c>
      <c r="AD80" s="16">
        <f t="shared" si="31"/>
        <v>-676.76208718625867</v>
      </c>
      <c r="AE80" s="15">
        <f t="shared" si="7"/>
        <v>22.170849845882874</v>
      </c>
      <c r="AF80" s="75">
        <f>AE80*(1-PARAM!$C$27)*$I$10+(MOD($B80,60)=PARAM!$B$56)*($B80&gt;(60-PARAM!$B$56))*HLOOKUP(($B80+PARAM!$B$56)/12,Loyalty,2)*$F$1*MAX(AH79,0)</f>
        <v>18.557001321003963</v>
      </c>
      <c r="AG80" s="75">
        <f>PARAM!$C$26+MAX($G$10-CHOOSE(PARAM!$B$44,MAX(0,AH79*$F$1),0),0)*RATES!$L56/12+$H$10*(PARAM!$D$51/12)*RATES!$N56/100</f>
        <v>7.5</v>
      </c>
      <c r="AH80" s="16">
        <f t="shared" si="32"/>
        <v>-676.76208718625867</v>
      </c>
      <c r="AI80" s="15">
        <f t="shared" si="8"/>
        <v>22.170849845882874</v>
      </c>
      <c r="AJ80" s="75">
        <f>AI80*(1-PARAM!$C$27)*$I$11+(MOD($B80,60)=PARAM!$B$56)*($B80&gt;(60-PARAM!$B$56))*HLOOKUP(($B80+PARAM!$B$56)/12,Loyalty,2)*$F$1*MAX(AL79,0)</f>
        <v>18.557001321003963</v>
      </c>
      <c r="AK80" s="75">
        <f>PARAM!$C$26+MAX($G$11-CHOOSE(PARAM!$B$44,MAX(0,AL79*$F$1),0),0)*RATES!$L56/12+$H$11*(PARAM!$D$51/12)*RATES!$N56/100</f>
        <v>7.5</v>
      </c>
      <c r="AL80" s="16">
        <f t="shared" si="33"/>
        <v>-676.76208718625867</v>
      </c>
      <c r="AM80" s="15">
        <f t="shared" si="9"/>
        <v>22.170849845882874</v>
      </c>
      <c r="AN80" s="75">
        <f>AM80*(1-PARAM!$C$27)*$I$12+(MOD($B80,60)=PARAM!$B$56)*($B80&gt;(60-PARAM!$B$56))*HLOOKUP(($B80+PARAM!$B$56)/12,Loyalty,2)*$F$1*MAX(AP79,0)</f>
        <v>18.557001321003963</v>
      </c>
      <c r="AO80" s="75">
        <f>PARAM!$C$26+MAX($G$12-CHOOSE(PARAM!$B$44,MAX(0,AP79*$F$1),0),0)*RATES!$L56/12+$H$12*(PARAM!$D$51/12)*RATES!$N56/100</f>
        <v>7.5</v>
      </c>
      <c r="AP80" s="16">
        <f t="shared" si="34"/>
        <v>-676.76208718625867</v>
      </c>
      <c r="AQ80" s="15">
        <f t="shared" si="10"/>
        <v>22.170849845882874</v>
      </c>
      <c r="AR80" s="75">
        <f>AQ80*(1-PARAM!$C$27)*$I$13+(MOD($B80,60)=PARAM!$B$56)*($B80&gt;(60-PARAM!$B$56))*HLOOKUP(($B80+PARAM!$B$56)/12,Loyalty,2)*$F$1*MAX(AT79,0)</f>
        <v>18.557001321003963</v>
      </c>
      <c r="AS80" s="75">
        <f>PARAM!$C$26+MAX($G$13-CHOOSE(PARAM!$B$44,MAX(0,AT79*$F$1),0),0)*RATES!$L56/12+$H$13*(PARAM!$D$51/12)*RATES!$N56/100</f>
        <v>7.5</v>
      </c>
      <c r="AT80" s="16">
        <f t="shared" si="35"/>
        <v>-676.76208718625867</v>
      </c>
      <c r="AU80" s="15">
        <f t="shared" si="11"/>
        <v>22.170849845882874</v>
      </c>
      <c r="AV80" s="75">
        <f>AU80*(1-PARAM!$C$27)*$I$14+(MOD($B80,60)=PARAM!$B$56)*($B80&gt;(60-PARAM!$B$56))*HLOOKUP(($B80+PARAM!$B$56)/12,Loyalty,2)*$F$1*MAX(AX79,0)</f>
        <v>18.557001321003963</v>
      </c>
      <c r="AW80" s="75">
        <f>PARAM!$C$26+MAX($G$14-CHOOSE(PARAM!$B$44,MAX(0,AX79*$F$1),0),0)*RATES!$L56/12+$H$14*(PARAM!$D$51/12)*RATES!$N56/100</f>
        <v>7.5</v>
      </c>
      <c r="AX80" s="16">
        <f t="shared" si="36"/>
        <v>-676.76208718625867</v>
      </c>
      <c r="AY80" s="15">
        <f t="shared" si="12"/>
        <v>22.170849845882874</v>
      </c>
      <c r="AZ80" s="75">
        <f>AY80*(1-PARAM!$C$27)*$I$15+(MOD($B80,60)=PARAM!$B$56)*($B80&gt;(60-PARAM!$B$56))*HLOOKUP(($B80+PARAM!$B$56)/12,Loyalty,2)*$F$1*MAX(BB79,0)</f>
        <v>18.557001321003963</v>
      </c>
      <c r="BA80" s="75">
        <f>PARAM!$C$26+MAX($G$15-CHOOSE(PARAM!$B$44,MAX(0,BB79*$F$1),0),0)*RATES!$L56/12+$H$15*(PARAM!$D$51/12)*RATES!$N56/100</f>
        <v>7.5</v>
      </c>
      <c r="BB80" s="16">
        <f t="shared" si="37"/>
        <v>-676.76208718625867</v>
      </c>
      <c r="BC80" s="15">
        <f t="shared" si="13"/>
        <v>22.170849845882874</v>
      </c>
      <c r="BD80" s="75">
        <f>BC80*(1-PARAM!$C$27)*$I$16+(MOD($B80,60)=PARAM!$B$56)*($B80&gt;(60-PARAM!$B$56))*HLOOKUP(($B80+PARAM!$B$56)/12,Loyalty,2)*$F$1*MAX(BF79,0)</f>
        <v>18.557001321003963</v>
      </c>
      <c r="BE80" s="75">
        <f>PARAM!$C$26+MAX($G$16-CHOOSE(PARAM!$B$44,MAX(0,BF79*$F$1),0),0)*RATES!$L56/12+$H$16*(PARAM!$D$51/12)*RATES!$N56/100</f>
        <v>7.5</v>
      </c>
      <c r="BF80" s="16">
        <f t="shared" si="38"/>
        <v>-676.76208718625867</v>
      </c>
      <c r="BG80" s="15">
        <f t="shared" si="14"/>
        <v>22.170849845882874</v>
      </c>
      <c r="BH80" s="75">
        <f>BG80*(1-PARAM!$C$27)*$I$17+(MOD($B80,60)=PARAM!$B$56)*($B80&gt;(60-PARAM!$B$56))*HLOOKUP(($B80+PARAM!$B$56)/12,Loyalty,2)*$F$1*MAX(BJ79,0)</f>
        <v>18.557001321003963</v>
      </c>
      <c r="BI80" s="75">
        <f>PARAM!$C$26+MAX($G$17-CHOOSE(PARAM!$B$44,MAX(0,BJ79*$F$1),0),0)*RATES!$L56/12+$H$17*(PARAM!$D$51/12)*RATES!$N56/100</f>
        <v>7.5</v>
      </c>
      <c r="BJ80" s="16">
        <f t="shared" si="39"/>
        <v>-676.76208718625867</v>
      </c>
      <c r="BK80" s="15">
        <f t="shared" si="15"/>
        <v>22.170849845882874</v>
      </c>
      <c r="BL80" s="75">
        <f>BK80*(1-PARAM!$C$27)*$I$18+(MOD($B80,60)=PARAM!$B$56)*($B80&gt;(60-PARAM!$B$56))*HLOOKUP(($B80+PARAM!$B$56)/12,Loyalty,2)*$F$1*MAX(BN79,0)</f>
        <v>18.557001321003963</v>
      </c>
      <c r="BM80" s="75">
        <f>PARAM!$C$26+MAX($G$18-CHOOSE(PARAM!$B$44,MAX(0,BN79*$F$1),0),0)*RATES!$L56/12+$H$18*(PARAM!$D$51/12)*RATES!$N56/100</f>
        <v>7.5</v>
      </c>
      <c r="BN80" s="16">
        <f t="shared" si="40"/>
        <v>-676.76208718625867</v>
      </c>
      <c r="BO80" s="15">
        <f t="shared" si="16"/>
        <v>22.170849845882874</v>
      </c>
      <c r="BP80" s="75">
        <f>BO80*(1-PARAM!$C$27)*$I$19+(MOD($B80,60)=PARAM!$B$56)*($B80&gt;(60-PARAM!$B$56))*HLOOKUP(($B80+PARAM!$B$56)/12,Loyalty,2)*$F$1*MAX(BR79,0)</f>
        <v>18.557001321003963</v>
      </c>
      <c r="BQ80" s="75">
        <f>PARAM!$C$26+MAX($G$19-CHOOSE(PARAM!$B$44,MAX(0,BR79*$F$1),0),0)*RATES!$L56/12+$H$19*(PARAM!$D$51/12)*RATES!$N56/100</f>
        <v>7.5</v>
      </c>
      <c r="BR80" s="16">
        <f t="shared" si="41"/>
        <v>-676.76208718625867</v>
      </c>
      <c r="BS80" s="15">
        <f t="shared" si="17"/>
        <v>22.170849845882874</v>
      </c>
      <c r="BT80" s="75">
        <f>BS80*(1-PARAM!$C$27)*$I$20+(MOD($B80,60)=PARAM!$B$56)*($B80&gt;(60-PARAM!$B$56))*HLOOKUP(($B80+PARAM!$B$56)/12,Loyalty,2)*$F$1*MAX(BV79,0)</f>
        <v>18.557001321003963</v>
      </c>
      <c r="BU80" s="75">
        <f>PARAM!$C$26+MAX($G$20-CHOOSE(PARAM!$B$44,MAX(0,BV79*$F$1),0),0)*RATES!$L56/12+$H$20*(PARAM!$D$51/12)*RATES!$N56/100</f>
        <v>7.5</v>
      </c>
      <c r="BV80" s="16">
        <f t="shared" si="42"/>
        <v>-676.76208718625867</v>
      </c>
      <c r="BW80" s="15">
        <f t="shared" si="18"/>
        <v>22.170849845882874</v>
      </c>
      <c r="BX80" s="75">
        <f>BW80*(1-PARAM!$C$27)*$I$21+(MOD($B80,60)=PARAM!$B$56)*($B80&gt;(60-PARAM!$B$56))*HLOOKUP(($B80+PARAM!$B$56)/12,Loyalty,2)*$F$1*MAX(BZ79,0)</f>
        <v>18.557001321003963</v>
      </c>
      <c r="BY80" s="75">
        <f>PARAM!$C$26+MAX($G$21-CHOOSE(PARAM!$B$44,MAX(0,BZ79*$F$1),0),0)*RATES!$L56/12+$H$21*(PARAM!$D$51/12)*RATES!$N56/100</f>
        <v>7.5</v>
      </c>
      <c r="BZ80" s="16">
        <f t="shared" si="43"/>
        <v>-676.76208718625867</v>
      </c>
      <c r="CA80" s="15">
        <f t="shared" si="19"/>
        <v>22.170849845882874</v>
      </c>
      <c r="CB80" s="75">
        <f>CA80*(1-PARAM!$C$27)*$I$22+(MOD($B80,60)=PARAM!$B$56)*($B80&gt;(60-PARAM!$B$56))*HLOOKUP(($B80+PARAM!$B$56)/12,Loyalty,2)*$F$1*MAX(CD79,0)</f>
        <v>18.557001321003963</v>
      </c>
      <c r="CC80" s="75">
        <f>PARAM!$C$26+MAX($G$22-CHOOSE(PARAM!$B$44,MAX(0,CD79*$F$1),0),0)*RATES!$L56/12+$H$22*(PARAM!$D$51/12)*RATES!$N56/100</f>
        <v>7.5</v>
      </c>
      <c r="CD80" s="16">
        <f t="shared" si="44"/>
        <v>-676.76208718625867</v>
      </c>
      <c r="CE80" s="33">
        <f>IF(0=MOD(B80,12/PARAM!$D$51),1,0)</f>
        <v>1</v>
      </c>
      <c r="CF80" s="15">
        <f t="shared" si="20"/>
        <v>0</v>
      </c>
      <c r="CG80" s="75">
        <f>CF80*(1-PARAM!$C$27)*$R$3+(MOD($B80/12,5)=0)*($B80&gt;60)*HLOOKUP($B80/12,Loyalty,2)*$F$1*MAX(CI79,0)</f>
        <v>0</v>
      </c>
      <c r="CH80" s="75">
        <f>PARAM!$C$26+MAX($P$3-CHOOSE(PARAM!$B$44,MAX(0,CI79*$F$1),0),0)*RATES!$L56/12+$Q$3*(PARAM!$D$51/12)*RATES!$N56/100</f>
        <v>7.5</v>
      </c>
      <c r="CI80" s="16">
        <f>IF(CI79&gt;0,CI79*PARAM!$C$53,CI79)+CG80-CH80</f>
        <v>-1465.9999999999991</v>
      </c>
      <c r="CJ80" s="15">
        <f t="shared" si="45"/>
        <v>0</v>
      </c>
      <c r="CK80" s="75">
        <f>CJ80*(1-PARAM!$C$27)*$R$4+(MOD($B80/12,5)=0)*($B80&gt;60)*HLOOKUP($B80/12,Loyalty,2)*$F$1*MAX(CM79,0)</f>
        <v>0</v>
      </c>
      <c r="CL80" s="75">
        <f>PARAM!$C$26+MAX($P$4-CHOOSE(PARAM!$B$44,MAX(0,CM79*$F$1),0),0)*RATES!$L56/12+$Q$4*(PARAM!$D$51/12)*RATES!$N56/100</f>
        <v>7.5</v>
      </c>
      <c r="CM80" s="16">
        <f>IF(CM79&gt;0,CM79*PARAM!$C$53,CM79)+CK80-CL80</f>
        <v>-1465.9999999999991</v>
      </c>
      <c r="CO80" s="176"/>
    </row>
    <row r="81" spans="1:93" x14ac:dyDescent="0.2">
      <c r="A81" t="b">
        <f t="shared" si="21"/>
        <v>0</v>
      </c>
      <c r="B81" s="33">
        <v>54</v>
      </c>
      <c r="C81" s="15">
        <f t="shared" si="46"/>
        <v>20.081305947392778</v>
      </c>
      <c r="D81" s="75">
        <f>C81*(1-PARAM!$C$27)*$I$3+(MOD($B81,60)=PARAM!$B$56)*($B81&gt;(60-PARAM!$B$56))*HLOOKUP(($B81+PARAM!$B$56)/12,Loyalty,2)*$F$1*MAX(F80,0)</f>
        <v>16.808053077967756</v>
      </c>
      <c r="E81" s="75">
        <f>PARAM!$C$26+MAX($G$3-CHOOSE(PARAM!$B$44,MAX(0,F80*$F$1),0),0)*RATES!$L57/12+$H$3*(PARAM!$D$51/12)*RATES!$N57/100</f>
        <v>7.6666666666666661</v>
      </c>
      <c r="F81" s="16">
        <f t="shared" si="22"/>
        <v>-742.00428447340983</v>
      </c>
      <c r="G81" s="15">
        <f t="shared" si="23"/>
        <v>22.035289406060361</v>
      </c>
      <c r="H81" s="75">
        <f>G81*(1-PARAM!$C$27)*$I$4+(MOD($B81,60)=PARAM!$B$56)*($B81&gt;(60-PARAM!$B$56))*HLOOKUP(($B81+PARAM!$B$56)/12,Loyalty,2)*$F$1*MAX(J80,0)</f>
        <v>18.443537232872522</v>
      </c>
      <c r="I81" s="75">
        <f>PARAM!$C$26+MAX($G$4-CHOOSE(PARAM!$B$44,MAX(0,J80*$F$1),0),0)*RATES!$L57/12+$H$4*(PARAM!$D$51/12)*RATES!$N57/100</f>
        <v>7.6666666666666661</v>
      </c>
      <c r="J81" s="16">
        <f t="shared" si="24"/>
        <v>-670.81089715685721</v>
      </c>
      <c r="K81" s="15">
        <f t="shared" si="25"/>
        <v>22.170849845882874</v>
      </c>
      <c r="L81" s="75">
        <f>K81*(1-PARAM!$C$27)*$I$5+(MOD($B81,60)=PARAM!$B$56)*($B81&gt;(60-PARAM!$B$56))*HLOOKUP(($B81+PARAM!$B$56)/12,Loyalty,2)*$F$1*MAX(N80,0)</f>
        <v>18.557001321003963</v>
      </c>
      <c r="M81" s="75">
        <f>PARAM!$C$26+MAX($G$5-CHOOSE(PARAM!$B$44,MAX(0,N80*$F$1),0),0)*RATES!$L57/12+$H$5*(PARAM!$D$51/12)*RATES!$N57/100</f>
        <v>7.6666666666666661</v>
      </c>
      <c r="N81" s="16">
        <f t="shared" si="26"/>
        <v>-665.87175253192129</v>
      </c>
      <c r="O81" s="15">
        <f t="shared" si="27"/>
        <v>22.170849845882874</v>
      </c>
      <c r="P81" s="75">
        <f>O81*(1-PARAM!$C$27)*$I$6+(MOD($B81,60)=PARAM!$B$56)*($B81&gt;(60-PARAM!$B$56))*HLOOKUP(($B81+PARAM!$B$56)/12,Loyalty,2)*$F$1*MAX(R80,0)</f>
        <v>18.557001321003963</v>
      </c>
      <c r="Q81" s="75">
        <f>PARAM!$C$26+MAX($G$6-CHOOSE(PARAM!$B$44,MAX(0,R80*$F$1),0),0)*RATES!$L57/12+$H$6*(PARAM!$D$51/12)*RATES!$N57/100</f>
        <v>7.6666666666666661</v>
      </c>
      <c r="R81" s="16">
        <f t="shared" si="28"/>
        <v>-665.87175253192129</v>
      </c>
      <c r="S81" s="15">
        <f t="shared" si="4"/>
        <v>22.170849845882874</v>
      </c>
      <c r="T81" s="75">
        <f>S81*(1-PARAM!$C$27)*$I$7+(MOD($B81,60)=PARAM!$B$56)*($B81&gt;(60-PARAM!$B$56))*HLOOKUP(($B81+PARAM!$B$56)/12,Loyalty,2)*$F$1*MAX(V80,0)</f>
        <v>18.557001321003963</v>
      </c>
      <c r="U81" s="75">
        <f>PARAM!$C$26+MAX($G$7-CHOOSE(PARAM!$B$44,MAX(0,V80*$F$1),0),0)*RATES!$L57/12+$H$7*(PARAM!$D$51/12)*RATES!$N57/100</f>
        <v>7.6666666666666661</v>
      </c>
      <c r="V81" s="16">
        <f t="shared" si="29"/>
        <v>-665.87175253192129</v>
      </c>
      <c r="W81" s="15">
        <f t="shared" si="5"/>
        <v>22.170849845882874</v>
      </c>
      <c r="X81" s="75">
        <f>W81*(1-PARAM!$C$27)*$I$8+(MOD($B81,60)=PARAM!$B$56)*($B81&gt;(60-PARAM!$B$56))*HLOOKUP(($B81+PARAM!$B$56)/12,Loyalty,2)*$F$1*MAX(Z80,0)</f>
        <v>18.557001321003963</v>
      </c>
      <c r="Y81" s="75">
        <f>PARAM!$C$26+MAX($G$8-CHOOSE(PARAM!$B$44,MAX(0,Z80*$F$1),0),0)*RATES!$L57/12+$H$8*(PARAM!$D$51/12)*RATES!$N57/100</f>
        <v>7.6666666666666661</v>
      </c>
      <c r="Z81" s="16">
        <f t="shared" si="30"/>
        <v>-665.87175253192129</v>
      </c>
      <c r="AA81" s="15">
        <f t="shared" si="6"/>
        <v>22.170849845882874</v>
      </c>
      <c r="AB81" s="75">
        <f>AA81*(1-PARAM!$C$27)*$I$9+(MOD($B81,60)=PARAM!$B$56)*($B81&gt;(60-PARAM!$B$56))*HLOOKUP(($B81+PARAM!$B$56)/12,Loyalty,2)*$F$1*MAX(AD80,0)</f>
        <v>18.557001321003963</v>
      </c>
      <c r="AC81" s="75">
        <f>PARAM!$C$26+MAX($G$9-CHOOSE(PARAM!$B$44,MAX(0,AD80*$F$1),0),0)*RATES!$L57/12+$H$9*(PARAM!$D$51/12)*RATES!$N57/100</f>
        <v>7.6666666666666661</v>
      </c>
      <c r="AD81" s="16">
        <f t="shared" si="31"/>
        <v>-665.87175253192129</v>
      </c>
      <c r="AE81" s="15">
        <f t="shared" si="7"/>
        <v>22.170849845882874</v>
      </c>
      <c r="AF81" s="75">
        <f>AE81*(1-PARAM!$C$27)*$I$10+(MOD($B81,60)=PARAM!$B$56)*($B81&gt;(60-PARAM!$B$56))*HLOOKUP(($B81+PARAM!$B$56)/12,Loyalty,2)*$F$1*MAX(AH80,0)</f>
        <v>18.557001321003963</v>
      </c>
      <c r="AG81" s="75">
        <f>PARAM!$C$26+MAX($G$10-CHOOSE(PARAM!$B$44,MAX(0,AH80*$F$1),0),0)*RATES!$L57/12+$H$10*(PARAM!$D$51/12)*RATES!$N57/100</f>
        <v>7.6666666666666661</v>
      </c>
      <c r="AH81" s="16">
        <f t="shared" si="32"/>
        <v>-665.87175253192129</v>
      </c>
      <c r="AI81" s="15">
        <f t="shared" si="8"/>
        <v>22.170849845882874</v>
      </c>
      <c r="AJ81" s="75">
        <f>AI81*(1-PARAM!$C$27)*$I$11+(MOD($B81,60)=PARAM!$B$56)*($B81&gt;(60-PARAM!$B$56))*HLOOKUP(($B81+PARAM!$B$56)/12,Loyalty,2)*$F$1*MAX(AL80,0)</f>
        <v>18.557001321003963</v>
      </c>
      <c r="AK81" s="75">
        <f>PARAM!$C$26+MAX($G$11-CHOOSE(PARAM!$B$44,MAX(0,AL80*$F$1),0),0)*RATES!$L57/12+$H$11*(PARAM!$D$51/12)*RATES!$N57/100</f>
        <v>7.6666666666666661</v>
      </c>
      <c r="AL81" s="16">
        <f t="shared" si="33"/>
        <v>-665.87175253192129</v>
      </c>
      <c r="AM81" s="15">
        <f t="shared" si="9"/>
        <v>22.170849845882874</v>
      </c>
      <c r="AN81" s="75">
        <f>AM81*(1-PARAM!$C$27)*$I$12+(MOD($B81,60)=PARAM!$B$56)*($B81&gt;(60-PARAM!$B$56))*HLOOKUP(($B81+PARAM!$B$56)/12,Loyalty,2)*$F$1*MAX(AP80,0)</f>
        <v>18.557001321003963</v>
      </c>
      <c r="AO81" s="75">
        <f>PARAM!$C$26+MAX($G$12-CHOOSE(PARAM!$B$44,MAX(0,AP80*$F$1),0),0)*RATES!$L57/12+$H$12*(PARAM!$D$51/12)*RATES!$N57/100</f>
        <v>7.6666666666666661</v>
      </c>
      <c r="AP81" s="16">
        <f t="shared" si="34"/>
        <v>-665.87175253192129</v>
      </c>
      <c r="AQ81" s="15">
        <f t="shared" si="10"/>
        <v>22.170849845882874</v>
      </c>
      <c r="AR81" s="75">
        <f>AQ81*(1-PARAM!$C$27)*$I$13+(MOD($B81,60)=PARAM!$B$56)*($B81&gt;(60-PARAM!$B$56))*HLOOKUP(($B81+PARAM!$B$56)/12,Loyalty,2)*$F$1*MAX(AT80,0)</f>
        <v>18.557001321003963</v>
      </c>
      <c r="AS81" s="75">
        <f>PARAM!$C$26+MAX($G$13-CHOOSE(PARAM!$B$44,MAX(0,AT80*$F$1),0),0)*RATES!$L57/12+$H$13*(PARAM!$D$51/12)*RATES!$N57/100</f>
        <v>7.6666666666666661</v>
      </c>
      <c r="AT81" s="16">
        <f t="shared" si="35"/>
        <v>-665.87175253192129</v>
      </c>
      <c r="AU81" s="15">
        <f t="shared" si="11"/>
        <v>22.170849845882874</v>
      </c>
      <c r="AV81" s="75">
        <f>AU81*(1-PARAM!$C$27)*$I$14+(MOD($B81,60)=PARAM!$B$56)*($B81&gt;(60-PARAM!$B$56))*HLOOKUP(($B81+PARAM!$B$56)/12,Loyalty,2)*$F$1*MAX(AX80,0)</f>
        <v>18.557001321003963</v>
      </c>
      <c r="AW81" s="75">
        <f>PARAM!$C$26+MAX($G$14-CHOOSE(PARAM!$B$44,MAX(0,AX80*$F$1),0),0)*RATES!$L57/12+$H$14*(PARAM!$D$51/12)*RATES!$N57/100</f>
        <v>7.6666666666666661</v>
      </c>
      <c r="AX81" s="16">
        <f t="shared" si="36"/>
        <v>-665.87175253192129</v>
      </c>
      <c r="AY81" s="15">
        <f t="shared" si="12"/>
        <v>22.170849845882874</v>
      </c>
      <c r="AZ81" s="75">
        <f>AY81*(1-PARAM!$C$27)*$I$15+(MOD($B81,60)=PARAM!$B$56)*($B81&gt;(60-PARAM!$B$56))*HLOOKUP(($B81+PARAM!$B$56)/12,Loyalty,2)*$F$1*MAX(BB80,0)</f>
        <v>18.557001321003963</v>
      </c>
      <c r="BA81" s="75">
        <f>PARAM!$C$26+MAX($G$15-CHOOSE(PARAM!$B$44,MAX(0,BB80*$F$1),0),0)*RATES!$L57/12+$H$15*(PARAM!$D$51/12)*RATES!$N57/100</f>
        <v>7.6666666666666661</v>
      </c>
      <c r="BB81" s="16">
        <f t="shared" si="37"/>
        <v>-665.87175253192129</v>
      </c>
      <c r="BC81" s="15">
        <f t="shared" si="13"/>
        <v>22.170849845882874</v>
      </c>
      <c r="BD81" s="75">
        <f>BC81*(1-PARAM!$C$27)*$I$16+(MOD($B81,60)=PARAM!$B$56)*($B81&gt;(60-PARAM!$B$56))*HLOOKUP(($B81+PARAM!$B$56)/12,Loyalty,2)*$F$1*MAX(BF80,0)</f>
        <v>18.557001321003963</v>
      </c>
      <c r="BE81" s="75">
        <f>PARAM!$C$26+MAX($G$16-CHOOSE(PARAM!$B$44,MAX(0,BF80*$F$1),0),0)*RATES!$L57/12+$H$16*(PARAM!$D$51/12)*RATES!$N57/100</f>
        <v>7.6666666666666661</v>
      </c>
      <c r="BF81" s="16">
        <f t="shared" si="38"/>
        <v>-665.87175253192129</v>
      </c>
      <c r="BG81" s="15">
        <f t="shared" si="14"/>
        <v>22.170849845882874</v>
      </c>
      <c r="BH81" s="75">
        <f>BG81*(1-PARAM!$C$27)*$I$17+(MOD($B81,60)=PARAM!$B$56)*($B81&gt;(60-PARAM!$B$56))*HLOOKUP(($B81+PARAM!$B$56)/12,Loyalty,2)*$F$1*MAX(BJ80,0)</f>
        <v>18.557001321003963</v>
      </c>
      <c r="BI81" s="75">
        <f>PARAM!$C$26+MAX($G$17-CHOOSE(PARAM!$B$44,MAX(0,BJ80*$F$1),0),0)*RATES!$L57/12+$H$17*(PARAM!$D$51/12)*RATES!$N57/100</f>
        <v>7.6666666666666661</v>
      </c>
      <c r="BJ81" s="16">
        <f t="shared" si="39"/>
        <v>-665.87175253192129</v>
      </c>
      <c r="BK81" s="15">
        <f t="shared" si="15"/>
        <v>22.170849845882874</v>
      </c>
      <c r="BL81" s="75">
        <f>BK81*(1-PARAM!$C$27)*$I$18+(MOD($B81,60)=PARAM!$B$56)*($B81&gt;(60-PARAM!$B$56))*HLOOKUP(($B81+PARAM!$B$56)/12,Loyalty,2)*$F$1*MAX(BN80,0)</f>
        <v>18.557001321003963</v>
      </c>
      <c r="BM81" s="75">
        <f>PARAM!$C$26+MAX($G$18-CHOOSE(PARAM!$B$44,MAX(0,BN80*$F$1),0),0)*RATES!$L57/12+$H$18*(PARAM!$D$51/12)*RATES!$N57/100</f>
        <v>7.6666666666666661</v>
      </c>
      <c r="BN81" s="16">
        <f t="shared" si="40"/>
        <v>-665.87175253192129</v>
      </c>
      <c r="BO81" s="15">
        <f t="shared" si="16"/>
        <v>22.170849845882874</v>
      </c>
      <c r="BP81" s="75">
        <f>BO81*(1-PARAM!$C$27)*$I$19+(MOD($B81,60)=PARAM!$B$56)*($B81&gt;(60-PARAM!$B$56))*HLOOKUP(($B81+PARAM!$B$56)/12,Loyalty,2)*$F$1*MAX(BR80,0)</f>
        <v>18.557001321003963</v>
      </c>
      <c r="BQ81" s="75">
        <f>PARAM!$C$26+MAX($G$19-CHOOSE(PARAM!$B$44,MAX(0,BR80*$F$1),0),0)*RATES!$L57/12+$H$19*(PARAM!$D$51/12)*RATES!$N57/100</f>
        <v>7.6666666666666661</v>
      </c>
      <c r="BR81" s="16">
        <f t="shared" si="41"/>
        <v>-665.87175253192129</v>
      </c>
      <c r="BS81" s="15">
        <f t="shared" si="17"/>
        <v>22.170849845882874</v>
      </c>
      <c r="BT81" s="75">
        <f>BS81*(1-PARAM!$C$27)*$I$20+(MOD($B81,60)=PARAM!$B$56)*($B81&gt;(60-PARAM!$B$56))*HLOOKUP(($B81+PARAM!$B$56)/12,Loyalty,2)*$F$1*MAX(BV80,0)</f>
        <v>18.557001321003963</v>
      </c>
      <c r="BU81" s="75">
        <f>PARAM!$C$26+MAX($G$20-CHOOSE(PARAM!$B$44,MAX(0,BV80*$F$1),0),0)*RATES!$L57/12+$H$20*(PARAM!$D$51/12)*RATES!$N57/100</f>
        <v>7.6666666666666661</v>
      </c>
      <c r="BV81" s="16">
        <f t="shared" si="42"/>
        <v>-665.87175253192129</v>
      </c>
      <c r="BW81" s="15">
        <f t="shared" si="18"/>
        <v>22.170849845882874</v>
      </c>
      <c r="BX81" s="75">
        <f>BW81*(1-PARAM!$C$27)*$I$21+(MOD($B81,60)=PARAM!$B$56)*($B81&gt;(60-PARAM!$B$56))*HLOOKUP(($B81+PARAM!$B$56)/12,Loyalty,2)*$F$1*MAX(BZ80,0)</f>
        <v>18.557001321003963</v>
      </c>
      <c r="BY81" s="75">
        <f>PARAM!$C$26+MAX($G$21-CHOOSE(PARAM!$B$44,MAX(0,BZ80*$F$1),0),0)*RATES!$L57/12+$H$21*(PARAM!$D$51/12)*RATES!$N57/100</f>
        <v>7.6666666666666661</v>
      </c>
      <c r="BZ81" s="16">
        <f t="shared" si="43"/>
        <v>-665.87175253192129</v>
      </c>
      <c r="CA81" s="15">
        <f t="shared" si="19"/>
        <v>22.170849845882874</v>
      </c>
      <c r="CB81" s="75">
        <f>CA81*(1-PARAM!$C$27)*$I$22+(MOD($B81,60)=PARAM!$B$56)*($B81&gt;(60-PARAM!$B$56))*HLOOKUP(($B81+PARAM!$B$56)/12,Loyalty,2)*$F$1*MAX(CD80,0)</f>
        <v>18.557001321003963</v>
      </c>
      <c r="CC81" s="75">
        <f>PARAM!$C$26+MAX($G$22-CHOOSE(PARAM!$B$44,MAX(0,CD80*$F$1),0),0)*RATES!$L57/12+$H$22*(PARAM!$D$51/12)*RATES!$N57/100</f>
        <v>7.6666666666666661</v>
      </c>
      <c r="CD81" s="16">
        <f t="shared" si="44"/>
        <v>-665.87175253192129</v>
      </c>
      <c r="CE81" s="33">
        <f>IF(0=MOD(B81,12/PARAM!$D$51),1,0)</f>
        <v>1</v>
      </c>
      <c r="CF81" s="15">
        <f t="shared" si="20"/>
        <v>0</v>
      </c>
      <c r="CG81" s="75">
        <f>CF81*(1-PARAM!$C$27)*$R$3+(MOD($B81/12,5)=0)*($B81&gt;60)*HLOOKUP($B81/12,Loyalty,2)*$F$1*MAX(CI80,0)</f>
        <v>0</v>
      </c>
      <c r="CH81" s="75">
        <f>PARAM!$C$26+MAX($P$3-CHOOSE(PARAM!$B$44,MAX(0,CI80*$F$1),0),0)*RATES!$L57/12+$Q$3*(PARAM!$D$51/12)*RATES!$N57/100</f>
        <v>7.6666666666666661</v>
      </c>
      <c r="CI81" s="16">
        <f>IF(CI80&gt;0,CI80*PARAM!$C$53,CI80)+CG81-CH81</f>
        <v>-1473.6666666666658</v>
      </c>
      <c r="CJ81" s="15">
        <f t="shared" si="45"/>
        <v>0</v>
      </c>
      <c r="CK81" s="75">
        <f>CJ81*(1-PARAM!$C$27)*$R$4+(MOD($B81/12,5)=0)*($B81&gt;60)*HLOOKUP($B81/12,Loyalty,2)*$F$1*MAX(CM80,0)</f>
        <v>0</v>
      </c>
      <c r="CL81" s="75">
        <f>PARAM!$C$26+MAX($P$4-CHOOSE(PARAM!$B$44,MAX(0,CM80*$F$1),0),0)*RATES!$L57/12+$Q$4*(PARAM!$D$51/12)*RATES!$N57/100</f>
        <v>7.6666666666666661</v>
      </c>
      <c r="CM81" s="16">
        <f>IF(CM80&gt;0,CM80*PARAM!$C$53,CM80)+CK81-CL81</f>
        <v>-1473.6666666666658</v>
      </c>
      <c r="CO81" s="176"/>
    </row>
    <row r="82" spans="1:93" x14ac:dyDescent="0.2">
      <c r="A82" t="b">
        <f t="shared" si="21"/>
        <v>0</v>
      </c>
      <c r="B82" s="33">
        <v>55</v>
      </c>
      <c r="C82" s="15">
        <f t="shared" si="46"/>
        <v>20.081305947392778</v>
      </c>
      <c r="D82" s="75">
        <f>C82*(1-PARAM!$C$27)*$I$3+(MOD($B82,60)=PARAM!$B$56)*($B82&gt;(60-PARAM!$B$56))*HLOOKUP(($B82+PARAM!$B$56)/12,Loyalty,2)*$F$1*MAX(F81,0)</f>
        <v>16.808053077967756</v>
      </c>
      <c r="E82" s="75">
        <f>PARAM!$C$26+MAX($G$3-CHOOSE(PARAM!$B$44,MAX(0,F81*$F$1),0),0)*RATES!$L58/12+$H$3*(PARAM!$D$51/12)*RATES!$N58/100</f>
        <v>7.6666666666666661</v>
      </c>
      <c r="F82" s="16">
        <f t="shared" si="22"/>
        <v>-732.86289806210868</v>
      </c>
      <c r="G82" s="15">
        <f t="shared" si="23"/>
        <v>22.035289406060361</v>
      </c>
      <c r="H82" s="75">
        <f>G82*(1-PARAM!$C$27)*$I$4+(MOD($B82,60)=PARAM!$B$56)*($B82&gt;(60-PARAM!$B$56))*HLOOKUP(($B82+PARAM!$B$56)/12,Loyalty,2)*$F$1*MAX(J81,0)</f>
        <v>18.443537232872522</v>
      </c>
      <c r="I82" s="75">
        <f>PARAM!$C$26+MAX($G$4-CHOOSE(PARAM!$B$44,MAX(0,J81*$F$1),0),0)*RATES!$L58/12+$H$4*(PARAM!$D$51/12)*RATES!$N58/100</f>
        <v>7.6666666666666661</v>
      </c>
      <c r="J82" s="16">
        <f t="shared" si="24"/>
        <v>-660.03402659065137</v>
      </c>
      <c r="K82" s="15">
        <f t="shared" si="25"/>
        <v>22.170849845882874</v>
      </c>
      <c r="L82" s="75">
        <f>K82*(1-PARAM!$C$27)*$I$5+(MOD($B82,60)=PARAM!$B$56)*($B82&gt;(60-PARAM!$B$56))*HLOOKUP(($B82+PARAM!$B$56)/12,Loyalty,2)*$F$1*MAX(N81,0)</f>
        <v>18.557001321003963</v>
      </c>
      <c r="M82" s="75">
        <f>PARAM!$C$26+MAX($G$5-CHOOSE(PARAM!$B$44,MAX(0,N81*$F$1),0),0)*RATES!$L58/12+$H$5*(PARAM!$D$51/12)*RATES!$N58/100</f>
        <v>7.6666666666666661</v>
      </c>
      <c r="N82" s="16">
        <f t="shared" si="26"/>
        <v>-654.98141787758391</v>
      </c>
      <c r="O82" s="15">
        <f t="shared" si="27"/>
        <v>22.170849845882874</v>
      </c>
      <c r="P82" s="75">
        <f>O82*(1-PARAM!$C$27)*$I$6+(MOD($B82,60)=PARAM!$B$56)*($B82&gt;(60-PARAM!$B$56))*HLOOKUP(($B82+PARAM!$B$56)/12,Loyalty,2)*$F$1*MAX(R81,0)</f>
        <v>18.557001321003963</v>
      </c>
      <c r="Q82" s="75">
        <f>PARAM!$C$26+MAX($G$6-CHOOSE(PARAM!$B$44,MAX(0,R81*$F$1),0),0)*RATES!$L58/12+$H$6*(PARAM!$D$51/12)*RATES!$N58/100</f>
        <v>7.6666666666666661</v>
      </c>
      <c r="R82" s="16">
        <f t="shared" si="28"/>
        <v>-654.98141787758391</v>
      </c>
      <c r="S82" s="15">
        <f t="shared" si="4"/>
        <v>22.170849845882874</v>
      </c>
      <c r="T82" s="75">
        <f>S82*(1-PARAM!$C$27)*$I$7+(MOD($B82,60)=PARAM!$B$56)*($B82&gt;(60-PARAM!$B$56))*HLOOKUP(($B82+PARAM!$B$56)/12,Loyalty,2)*$F$1*MAX(V81,0)</f>
        <v>18.557001321003963</v>
      </c>
      <c r="U82" s="75">
        <f>PARAM!$C$26+MAX($G$7-CHOOSE(PARAM!$B$44,MAX(0,V81*$F$1),0),0)*RATES!$L58/12+$H$7*(PARAM!$D$51/12)*RATES!$N58/100</f>
        <v>7.6666666666666661</v>
      </c>
      <c r="V82" s="16">
        <f t="shared" si="29"/>
        <v>-654.98141787758391</v>
      </c>
      <c r="W82" s="15">
        <f t="shared" si="5"/>
        <v>22.170849845882874</v>
      </c>
      <c r="X82" s="75">
        <f>W82*(1-PARAM!$C$27)*$I$8+(MOD($B82,60)=PARAM!$B$56)*($B82&gt;(60-PARAM!$B$56))*HLOOKUP(($B82+PARAM!$B$56)/12,Loyalty,2)*$F$1*MAX(Z81,0)</f>
        <v>18.557001321003963</v>
      </c>
      <c r="Y82" s="75">
        <f>PARAM!$C$26+MAX($G$8-CHOOSE(PARAM!$B$44,MAX(0,Z81*$F$1),0),0)*RATES!$L58/12+$H$8*(PARAM!$D$51/12)*RATES!$N58/100</f>
        <v>7.6666666666666661</v>
      </c>
      <c r="Z82" s="16">
        <f t="shared" si="30"/>
        <v>-654.98141787758391</v>
      </c>
      <c r="AA82" s="15">
        <f t="shared" si="6"/>
        <v>22.170849845882874</v>
      </c>
      <c r="AB82" s="75">
        <f>AA82*(1-PARAM!$C$27)*$I$9+(MOD($B82,60)=PARAM!$B$56)*($B82&gt;(60-PARAM!$B$56))*HLOOKUP(($B82+PARAM!$B$56)/12,Loyalty,2)*$F$1*MAX(AD81,0)</f>
        <v>18.557001321003963</v>
      </c>
      <c r="AC82" s="75">
        <f>PARAM!$C$26+MAX($G$9-CHOOSE(PARAM!$B$44,MAX(0,AD81*$F$1),0),0)*RATES!$L58/12+$H$9*(PARAM!$D$51/12)*RATES!$N58/100</f>
        <v>7.6666666666666661</v>
      </c>
      <c r="AD82" s="16">
        <f t="shared" si="31"/>
        <v>-654.98141787758391</v>
      </c>
      <c r="AE82" s="15">
        <f t="shared" si="7"/>
        <v>22.170849845882874</v>
      </c>
      <c r="AF82" s="75">
        <f>AE82*(1-PARAM!$C$27)*$I$10+(MOD($B82,60)=PARAM!$B$56)*($B82&gt;(60-PARAM!$B$56))*HLOOKUP(($B82+PARAM!$B$56)/12,Loyalty,2)*$F$1*MAX(AH81,0)</f>
        <v>18.557001321003963</v>
      </c>
      <c r="AG82" s="75">
        <f>PARAM!$C$26+MAX($G$10-CHOOSE(PARAM!$B$44,MAX(0,AH81*$F$1),0),0)*RATES!$L58/12+$H$10*(PARAM!$D$51/12)*RATES!$N58/100</f>
        <v>7.6666666666666661</v>
      </c>
      <c r="AH82" s="16">
        <f t="shared" si="32"/>
        <v>-654.98141787758391</v>
      </c>
      <c r="AI82" s="15">
        <f t="shared" si="8"/>
        <v>22.170849845882874</v>
      </c>
      <c r="AJ82" s="75">
        <f>AI82*(1-PARAM!$C$27)*$I$11+(MOD($B82,60)=PARAM!$B$56)*($B82&gt;(60-PARAM!$B$56))*HLOOKUP(($B82+PARAM!$B$56)/12,Loyalty,2)*$F$1*MAX(AL81,0)</f>
        <v>18.557001321003963</v>
      </c>
      <c r="AK82" s="75">
        <f>PARAM!$C$26+MAX($G$11-CHOOSE(PARAM!$B$44,MAX(0,AL81*$F$1),0),0)*RATES!$L58/12+$H$11*(PARAM!$D$51/12)*RATES!$N58/100</f>
        <v>7.6666666666666661</v>
      </c>
      <c r="AL82" s="16">
        <f t="shared" si="33"/>
        <v>-654.98141787758391</v>
      </c>
      <c r="AM82" s="15">
        <f t="shared" si="9"/>
        <v>22.170849845882874</v>
      </c>
      <c r="AN82" s="75">
        <f>AM82*(1-PARAM!$C$27)*$I$12+(MOD($B82,60)=PARAM!$B$56)*($B82&gt;(60-PARAM!$B$56))*HLOOKUP(($B82+PARAM!$B$56)/12,Loyalty,2)*$F$1*MAX(AP81,0)</f>
        <v>18.557001321003963</v>
      </c>
      <c r="AO82" s="75">
        <f>PARAM!$C$26+MAX($G$12-CHOOSE(PARAM!$B$44,MAX(0,AP81*$F$1),0),0)*RATES!$L58/12+$H$12*(PARAM!$D$51/12)*RATES!$N58/100</f>
        <v>7.6666666666666661</v>
      </c>
      <c r="AP82" s="16">
        <f t="shared" si="34"/>
        <v>-654.98141787758391</v>
      </c>
      <c r="AQ82" s="15">
        <f t="shared" si="10"/>
        <v>22.170849845882874</v>
      </c>
      <c r="AR82" s="75">
        <f>AQ82*(1-PARAM!$C$27)*$I$13+(MOD($B82,60)=PARAM!$B$56)*($B82&gt;(60-PARAM!$B$56))*HLOOKUP(($B82+PARAM!$B$56)/12,Loyalty,2)*$F$1*MAX(AT81,0)</f>
        <v>18.557001321003963</v>
      </c>
      <c r="AS82" s="75">
        <f>PARAM!$C$26+MAX($G$13-CHOOSE(PARAM!$B$44,MAX(0,AT81*$F$1),0),0)*RATES!$L58/12+$H$13*(PARAM!$D$51/12)*RATES!$N58/100</f>
        <v>7.6666666666666661</v>
      </c>
      <c r="AT82" s="16">
        <f t="shared" si="35"/>
        <v>-654.98141787758391</v>
      </c>
      <c r="AU82" s="15">
        <f t="shared" si="11"/>
        <v>22.170849845882874</v>
      </c>
      <c r="AV82" s="75">
        <f>AU82*(1-PARAM!$C$27)*$I$14+(MOD($B82,60)=PARAM!$B$56)*($B82&gt;(60-PARAM!$B$56))*HLOOKUP(($B82+PARAM!$B$56)/12,Loyalty,2)*$F$1*MAX(AX81,0)</f>
        <v>18.557001321003963</v>
      </c>
      <c r="AW82" s="75">
        <f>PARAM!$C$26+MAX($G$14-CHOOSE(PARAM!$B$44,MAX(0,AX81*$F$1),0),0)*RATES!$L58/12+$H$14*(PARAM!$D$51/12)*RATES!$N58/100</f>
        <v>7.6666666666666661</v>
      </c>
      <c r="AX82" s="16">
        <f t="shared" si="36"/>
        <v>-654.98141787758391</v>
      </c>
      <c r="AY82" s="15">
        <f t="shared" si="12"/>
        <v>22.170849845882874</v>
      </c>
      <c r="AZ82" s="75">
        <f>AY82*(1-PARAM!$C$27)*$I$15+(MOD($B82,60)=PARAM!$B$56)*($B82&gt;(60-PARAM!$B$56))*HLOOKUP(($B82+PARAM!$B$56)/12,Loyalty,2)*$F$1*MAX(BB81,0)</f>
        <v>18.557001321003963</v>
      </c>
      <c r="BA82" s="75">
        <f>PARAM!$C$26+MAX($G$15-CHOOSE(PARAM!$B$44,MAX(0,BB81*$F$1),0),0)*RATES!$L58/12+$H$15*(PARAM!$D$51/12)*RATES!$N58/100</f>
        <v>7.6666666666666661</v>
      </c>
      <c r="BB82" s="16">
        <f t="shared" si="37"/>
        <v>-654.98141787758391</v>
      </c>
      <c r="BC82" s="15">
        <f t="shared" si="13"/>
        <v>22.170849845882874</v>
      </c>
      <c r="BD82" s="75">
        <f>BC82*(1-PARAM!$C$27)*$I$16+(MOD($B82,60)=PARAM!$B$56)*($B82&gt;(60-PARAM!$B$56))*HLOOKUP(($B82+PARAM!$B$56)/12,Loyalty,2)*$F$1*MAX(BF81,0)</f>
        <v>18.557001321003963</v>
      </c>
      <c r="BE82" s="75">
        <f>PARAM!$C$26+MAX($G$16-CHOOSE(PARAM!$B$44,MAX(0,BF81*$F$1),0),0)*RATES!$L58/12+$H$16*(PARAM!$D$51/12)*RATES!$N58/100</f>
        <v>7.6666666666666661</v>
      </c>
      <c r="BF82" s="16">
        <f t="shared" si="38"/>
        <v>-654.98141787758391</v>
      </c>
      <c r="BG82" s="15">
        <f t="shared" si="14"/>
        <v>22.170849845882874</v>
      </c>
      <c r="BH82" s="75">
        <f>BG82*(1-PARAM!$C$27)*$I$17+(MOD($B82,60)=PARAM!$B$56)*($B82&gt;(60-PARAM!$B$56))*HLOOKUP(($B82+PARAM!$B$56)/12,Loyalty,2)*$F$1*MAX(BJ81,0)</f>
        <v>18.557001321003963</v>
      </c>
      <c r="BI82" s="75">
        <f>PARAM!$C$26+MAX($G$17-CHOOSE(PARAM!$B$44,MAX(0,BJ81*$F$1),0),0)*RATES!$L58/12+$H$17*(PARAM!$D$51/12)*RATES!$N58/100</f>
        <v>7.6666666666666661</v>
      </c>
      <c r="BJ82" s="16">
        <f t="shared" si="39"/>
        <v>-654.98141787758391</v>
      </c>
      <c r="BK82" s="15">
        <f t="shared" si="15"/>
        <v>22.170849845882874</v>
      </c>
      <c r="BL82" s="75">
        <f>BK82*(1-PARAM!$C$27)*$I$18+(MOD($B82,60)=PARAM!$B$56)*($B82&gt;(60-PARAM!$B$56))*HLOOKUP(($B82+PARAM!$B$56)/12,Loyalty,2)*$F$1*MAX(BN81,0)</f>
        <v>18.557001321003963</v>
      </c>
      <c r="BM82" s="75">
        <f>PARAM!$C$26+MAX($G$18-CHOOSE(PARAM!$B$44,MAX(0,BN81*$F$1),0),0)*RATES!$L58/12+$H$18*(PARAM!$D$51/12)*RATES!$N58/100</f>
        <v>7.6666666666666661</v>
      </c>
      <c r="BN82" s="16">
        <f t="shared" si="40"/>
        <v>-654.98141787758391</v>
      </c>
      <c r="BO82" s="15">
        <f t="shared" si="16"/>
        <v>22.170849845882874</v>
      </c>
      <c r="BP82" s="75">
        <f>BO82*(1-PARAM!$C$27)*$I$19+(MOD($B82,60)=PARAM!$B$56)*($B82&gt;(60-PARAM!$B$56))*HLOOKUP(($B82+PARAM!$B$56)/12,Loyalty,2)*$F$1*MAX(BR81,0)</f>
        <v>18.557001321003963</v>
      </c>
      <c r="BQ82" s="75">
        <f>PARAM!$C$26+MAX($G$19-CHOOSE(PARAM!$B$44,MAX(0,BR81*$F$1),0),0)*RATES!$L58/12+$H$19*(PARAM!$D$51/12)*RATES!$N58/100</f>
        <v>7.6666666666666661</v>
      </c>
      <c r="BR82" s="16">
        <f t="shared" si="41"/>
        <v>-654.98141787758391</v>
      </c>
      <c r="BS82" s="15">
        <f t="shared" si="17"/>
        <v>22.170849845882874</v>
      </c>
      <c r="BT82" s="75">
        <f>BS82*(1-PARAM!$C$27)*$I$20+(MOD($B82,60)=PARAM!$B$56)*($B82&gt;(60-PARAM!$B$56))*HLOOKUP(($B82+PARAM!$B$56)/12,Loyalty,2)*$F$1*MAX(BV81,0)</f>
        <v>18.557001321003963</v>
      </c>
      <c r="BU82" s="75">
        <f>PARAM!$C$26+MAX($G$20-CHOOSE(PARAM!$B$44,MAX(0,BV81*$F$1),0),0)*RATES!$L58/12+$H$20*(PARAM!$D$51/12)*RATES!$N58/100</f>
        <v>7.6666666666666661</v>
      </c>
      <c r="BV82" s="16">
        <f t="shared" si="42"/>
        <v>-654.98141787758391</v>
      </c>
      <c r="BW82" s="15">
        <f t="shared" si="18"/>
        <v>22.170849845882874</v>
      </c>
      <c r="BX82" s="75">
        <f>BW82*(1-PARAM!$C$27)*$I$21+(MOD($B82,60)=PARAM!$B$56)*($B82&gt;(60-PARAM!$B$56))*HLOOKUP(($B82+PARAM!$B$56)/12,Loyalty,2)*$F$1*MAX(BZ81,0)</f>
        <v>18.557001321003963</v>
      </c>
      <c r="BY82" s="75">
        <f>PARAM!$C$26+MAX($G$21-CHOOSE(PARAM!$B$44,MAX(0,BZ81*$F$1),0),0)*RATES!$L58/12+$H$21*(PARAM!$D$51/12)*RATES!$N58/100</f>
        <v>7.6666666666666661</v>
      </c>
      <c r="BZ82" s="16">
        <f t="shared" si="43"/>
        <v>-654.98141787758391</v>
      </c>
      <c r="CA82" s="15">
        <f t="shared" si="19"/>
        <v>22.170849845882874</v>
      </c>
      <c r="CB82" s="75">
        <f>CA82*(1-PARAM!$C$27)*$I$22+(MOD($B82,60)=PARAM!$B$56)*($B82&gt;(60-PARAM!$B$56))*HLOOKUP(($B82+PARAM!$B$56)/12,Loyalty,2)*$F$1*MAX(CD81,0)</f>
        <v>18.557001321003963</v>
      </c>
      <c r="CC82" s="75">
        <f>PARAM!$C$26+MAX($G$22-CHOOSE(PARAM!$B$44,MAX(0,CD81*$F$1),0),0)*RATES!$L58/12+$H$22*(PARAM!$D$51/12)*RATES!$N58/100</f>
        <v>7.6666666666666661</v>
      </c>
      <c r="CD82" s="16">
        <f t="shared" si="44"/>
        <v>-654.98141787758391</v>
      </c>
      <c r="CE82" s="33">
        <f>IF(0=MOD(B82,12/PARAM!$D$51),1,0)</f>
        <v>1</v>
      </c>
      <c r="CF82" s="15">
        <f t="shared" si="20"/>
        <v>0</v>
      </c>
      <c r="CG82" s="75">
        <f>CF82*(1-PARAM!$C$27)*$R$3+(MOD($B82/12,5)=0)*($B82&gt;60)*HLOOKUP($B82/12,Loyalty,2)*$F$1*MAX(CI81,0)</f>
        <v>0</v>
      </c>
      <c r="CH82" s="75">
        <f>PARAM!$C$26+MAX($P$3-CHOOSE(PARAM!$B$44,MAX(0,CI81*$F$1),0),0)*RATES!$L58/12+$Q$3*(PARAM!$D$51/12)*RATES!$N58/100</f>
        <v>7.6666666666666661</v>
      </c>
      <c r="CI82" s="16">
        <f>IF(CI81&gt;0,CI81*PARAM!$C$53,CI81)+CG82-CH82</f>
        <v>-1481.3333333333326</v>
      </c>
      <c r="CJ82" s="15">
        <f t="shared" si="45"/>
        <v>0</v>
      </c>
      <c r="CK82" s="75">
        <f>CJ82*(1-PARAM!$C$27)*$R$4+(MOD($B82/12,5)=0)*($B82&gt;60)*HLOOKUP($B82/12,Loyalty,2)*$F$1*MAX(CM81,0)</f>
        <v>0</v>
      </c>
      <c r="CL82" s="75">
        <f>PARAM!$C$26+MAX($P$4-CHOOSE(PARAM!$B$44,MAX(0,CM81*$F$1),0),0)*RATES!$L58/12+$Q$4*(PARAM!$D$51/12)*RATES!$N58/100</f>
        <v>7.6666666666666661</v>
      </c>
      <c r="CM82" s="16">
        <f>IF(CM81&gt;0,CM81*PARAM!$C$53,CM81)+CK82-CL82</f>
        <v>-1481.3333333333326</v>
      </c>
      <c r="CO82" s="176"/>
    </row>
    <row r="83" spans="1:93" x14ac:dyDescent="0.2">
      <c r="A83" t="b">
        <f t="shared" si="21"/>
        <v>0</v>
      </c>
      <c r="B83" s="33">
        <v>56</v>
      </c>
      <c r="C83" s="15">
        <f t="shared" si="46"/>
        <v>20.081305947392778</v>
      </c>
      <c r="D83" s="75">
        <f>C83*(1-PARAM!$C$27)*$I$3+(MOD($B83,60)=PARAM!$B$56)*($B83&gt;(60-PARAM!$B$56))*HLOOKUP(($B83+PARAM!$B$56)/12,Loyalty,2)*$F$1*MAX(F82,0)</f>
        <v>16.808053077967756</v>
      </c>
      <c r="E83" s="75">
        <f>PARAM!$C$26+MAX($G$3-CHOOSE(PARAM!$B$44,MAX(0,F82*$F$1),0),0)*RATES!$L59/12+$H$3*(PARAM!$D$51/12)*RATES!$N59/100</f>
        <v>7.6666666666666661</v>
      </c>
      <c r="F83" s="16">
        <f t="shared" si="22"/>
        <v>-723.72151165080754</v>
      </c>
      <c r="G83" s="15">
        <f t="shared" si="23"/>
        <v>22.035289406060361</v>
      </c>
      <c r="H83" s="75">
        <f>G83*(1-PARAM!$C$27)*$I$4+(MOD($B83,60)=PARAM!$B$56)*($B83&gt;(60-PARAM!$B$56))*HLOOKUP(($B83+PARAM!$B$56)/12,Loyalty,2)*$F$1*MAX(J82,0)</f>
        <v>18.443537232872522</v>
      </c>
      <c r="I83" s="75">
        <f>PARAM!$C$26+MAX($G$4-CHOOSE(PARAM!$B$44,MAX(0,J82*$F$1),0),0)*RATES!$L59/12+$H$4*(PARAM!$D$51/12)*RATES!$N59/100</f>
        <v>7.6666666666666661</v>
      </c>
      <c r="J83" s="16">
        <f t="shared" si="24"/>
        <v>-649.25715602444552</v>
      </c>
      <c r="K83" s="15">
        <f t="shared" si="25"/>
        <v>22.170849845882874</v>
      </c>
      <c r="L83" s="75">
        <f>K83*(1-PARAM!$C$27)*$I$5+(MOD($B83,60)=PARAM!$B$56)*($B83&gt;(60-PARAM!$B$56))*HLOOKUP(($B83+PARAM!$B$56)/12,Loyalty,2)*$F$1*MAX(N82,0)</f>
        <v>18.557001321003963</v>
      </c>
      <c r="M83" s="75">
        <f>PARAM!$C$26+MAX($G$5-CHOOSE(PARAM!$B$44,MAX(0,N82*$F$1),0),0)*RATES!$L59/12+$H$5*(PARAM!$D$51/12)*RATES!$N59/100</f>
        <v>7.6666666666666661</v>
      </c>
      <c r="N83" s="16">
        <f t="shared" si="26"/>
        <v>-644.09108322324653</v>
      </c>
      <c r="O83" s="15">
        <f t="shared" si="27"/>
        <v>22.170849845882874</v>
      </c>
      <c r="P83" s="75">
        <f>O83*(1-PARAM!$C$27)*$I$6+(MOD($B83,60)=PARAM!$B$56)*($B83&gt;(60-PARAM!$B$56))*HLOOKUP(($B83+PARAM!$B$56)/12,Loyalty,2)*$F$1*MAX(R82,0)</f>
        <v>18.557001321003963</v>
      </c>
      <c r="Q83" s="75">
        <f>PARAM!$C$26+MAX($G$6-CHOOSE(PARAM!$B$44,MAX(0,R82*$F$1),0),0)*RATES!$L59/12+$H$6*(PARAM!$D$51/12)*RATES!$N59/100</f>
        <v>7.6666666666666661</v>
      </c>
      <c r="R83" s="16">
        <f t="shared" si="28"/>
        <v>-644.09108322324653</v>
      </c>
      <c r="S83" s="15">
        <f t="shared" si="4"/>
        <v>22.170849845882874</v>
      </c>
      <c r="T83" s="75">
        <f>S83*(1-PARAM!$C$27)*$I$7+(MOD($B83,60)=PARAM!$B$56)*($B83&gt;(60-PARAM!$B$56))*HLOOKUP(($B83+PARAM!$B$56)/12,Loyalty,2)*$F$1*MAX(V82,0)</f>
        <v>18.557001321003963</v>
      </c>
      <c r="U83" s="75">
        <f>PARAM!$C$26+MAX($G$7-CHOOSE(PARAM!$B$44,MAX(0,V82*$F$1),0),0)*RATES!$L59/12+$H$7*(PARAM!$D$51/12)*RATES!$N59/100</f>
        <v>7.6666666666666661</v>
      </c>
      <c r="V83" s="16">
        <f t="shared" si="29"/>
        <v>-644.09108322324653</v>
      </c>
      <c r="W83" s="15">
        <f t="shared" si="5"/>
        <v>22.170849845882874</v>
      </c>
      <c r="X83" s="75">
        <f>W83*(1-PARAM!$C$27)*$I$8+(MOD($B83,60)=PARAM!$B$56)*($B83&gt;(60-PARAM!$B$56))*HLOOKUP(($B83+PARAM!$B$56)/12,Loyalty,2)*$F$1*MAX(Z82,0)</f>
        <v>18.557001321003963</v>
      </c>
      <c r="Y83" s="75">
        <f>PARAM!$C$26+MAX($G$8-CHOOSE(PARAM!$B$44,MAX(0,Z82*$F$1),0),0)*RATES!$L59/12+$H$8*(PARAM!$D$51/12)*RATES!$N59/100</f>
        <v>7.6666666666666661</v>
      </c>
      <c r="Z83" s="16">
        <f t="shared" si="30"/>
        <v>-644.09108322324653</v>
      </c>
      <c r="AA83" s="15">
        <f t="shared" si="6"/>
        <v>22.170849845882874</v>
      </c>
      <c r="AB83" s="75">
        <f>AA83*(1-PARAM!$C$27)*$I$9+(MOD($B83,60)=PARAM!$B$56)*($B83&gt;(60-PARAM!$B$56))*HLOOKUP(($B83+PARAM!$B$56)/12,Loyalty,2)*$F$1*MAX(AD82,0)</f>
        <v>18.557001321003963</v>
      </c>
      <c r="AC83" s="75">
        <f>PARAM!$C$26+MAX($G$9-CHOOSE(PARAM!$B$44,MAX(0,AD82*$F$1),0),0)*RATES!$L59/12+$H$9*(PARAM!$D$51/12)*RATES!$N59/100</f>
        <v>7.6666666666666661</v>
      </c>
      <c r="AD83" s="16">
        <f t="shared" si="31"/>
        <v>-644.09108322324653</v>
      </c>
      <c r="AE83" s="15">
        <f t="shared" si="7"/>
        <v>22.170849845882874</v>
      </c>
      <c r="AF83" s="75">
        <f>AE83*(1-PARAM!$C$27)*$I$10+(MOD($B83,60)=PARAM!$B$56)*($B83&gt;(60-PARAM!$B$56))*HLOOKUP(($B83+PARAM!$B$56)/12,Loyalty,2)*$F$1*MAX(AH82,0)</f>
        <v>18.557001321003963</v>
      </c>
      <c r="AG83" s="75">
        <f>PARAM!$C$26+MAX($G$10-CHOOSE(PARAM!$B$44,MAX(0,AH82*$F$1),0),0)*RATES!$L59/12+$H$10*(PARAM!$D$51/12)*RATES!$N59/100</f>
        <v>7.6666666666666661</v>
      </c>
      <c r="AH83" s="16">
        <f t="shared" si="32"/>
        <v>-644.09108322324653</v>
      </c>
      <c r="AI83" s="15">
        <f t="shared" si="8"/>
        <v>22.170849845882874</v>
      </c>
      <c r="AJ83" s="75">
        <f>AI83*(1-PARAM!$C$27)*$I$11+(MOD($B83,60)=PARAM!$B$56)*($B83&gt;(60-PARAM!$B$56))*HLOOKUP(($B83+PARAM!$B$56)/12,Loyalty,2)*$F$1*MAX(AL82,0)</f>
        <v>18.557001321003963</v>
      </c>
      <c r="AK83" s="75">
        <f>PARAM!$C$26+MAX($G$11-CHOOSE(PARAM!$B$44,MAX(0,AL82*$F$1),0),0)*RATES!$L59/12+$H$11*(PARAM!$D$51/12)*RATES!$N59/100</f>
        <v>7.6666666666666661</v>
      </c>
      <c r="AL83" s="16">
        <f t="shared" si="33"/>
        <v>-644.09108322324653</v>
      </c>
      <c r="AM83" s="15">
        <f t="shared" si="9"/>
        <v>22.170849845882874</v>
      </c>
      <c r="AN83" s="75">
        <f>AM83*(1-PARAM!$C$27)*$I$12+(MOD($B83,60)=PARAM!$B$56)*($B83&gt;(60-PARAM!$B$56))*HLOOKUP(($B83+PARAM!$B$56)/12,Loyalty,2)*$F$1*MAX(AP82,0)</f>
        <v>18.557001321003963</v>
      </c>
      <c r="AO83" s="75">
        <f>PARAM!$C$26+MAX($G$12-CHOOSE(PARAM!$B$44,MAX(0,AP82*$F$1),0),0)*RATES!$L59/12+$H$12*(PARAM!$D$51/12)*RATES!$N59/100</f>
        <v>7.6666666666666661</v>
      </c>
      <c r="AP83" s="16">
        <f t="shared" si="34"/>
        <v>-644.09108322324653</v>
      </c>
      <c r="AQ83" s="15">
        <f t="shared" si="10"/>
        <v>22.170849845882874</v>
      </c>
      <c r="AR83" s="75">
        <f>AQ83*(1-PARAM!$C$27)*$I$13+(MOD($B83,60)=PARAM!$B$56)*($B83&gt;(60-PARAM!$B$56))*HLOOKUP(($B83+PARAM!$B$56)/12,Loyalty,2)*$F$1*MAX(AT82,0)</f>
        <v>18.557001321003963</v>
      </c>
      <c r="AS83" s="75">
        <f>PARAM!$C$26+MAX($G$13-CHOOSE(PARAM!$B$44,MAX(0,AT82*$F$1),0),0)*RATES!$L59/12+$H$13*(PARAM!$D$51/12)*RATES!$N59/100</f>
        <v>7.6666666666666661</v>
      </c>
      <c r="AT83" s="16">
        <f t="shared" si="35"/>
        <v>-644.09108322324653</v>
      </c>
      <c r="AU83" s="15">
        <f t="shared" si="11"/>
        <v>22.170849845882874</v>
      </c>
      <c r="AV83" s="75">
        <f>AU83*(1-PARAM!$C$27)*$I$14+(MOD($B83,60)=PARAM!$B$56)*($B83&gt;(60-PARAM!$B$56))*HLOOKUP(($B83+PARAM!$B$56)/12,Loyalty,2)*$F$1*MAX(AX82,0)</f>
        <v>18.557001321003963</v>
      </c>
      <c r="AW83" s="75">
        <f>PARAM!$C$26+MAX($G$14-CHOOSE(PARAM!$B$44,MAX(0,AX82*$F$1),0),0)*RATES!$L59/12+$H$14*(PARAM!$D$51/12)*RATES!$N59/100</f>
        <v>7.6666666666666661</v>
      </c>
      <c r="AX83" s="16">
        <f t="shared" si="36"/>
        <v>-644.09108322324653</v>
      </c>
      <c r="AY83" s="15">
        <f t="shared" si="12"/>
        <v>22.170849845882874</v>
      </c>
      <c r="AZ83" s="75">
        <f>AY83*(1-PARAM!$C$27)*$I$15+(MOD($B83,60)=PARAM!$B$56)*($B83&gt;(60-PARAM!$B$56))*HLOOKUP(($B83+PARAM!$B$56)/12,Loyalty,2)*$F$1*MAX(BB82,0)</f>
        <v>18.557001321003963</v>
      </c>
      <c r="BA83" s="75">
        <f>PARAM!$C$26+MAX($G$15-CHOOSE(PARAM!$B$44,MAX(0,BB82*$F$1),0),0)*RATES!$L59/12+$H$15*(PARAM!$D$51/12)*RATES!$N59/100</f>
        <v>7.6666666666666661</v>
      </c>
      <c r="BB83" s="16">
        <f t="shared" si="37"/>
        <v>-644.09108322324653</v>
      </c>
      <c r="BC83" s="15">
        <f t="shared" si="13"/>
        <v>22.170849845882874</v>
      </c>
      <c r="BD83" s="75">
        <f>BC83*(1-PARAM!$C$27)*$I$16+(MOD($B83,60)=PARAM!$B$56)*($B83&gt;(60-PARAM!$B$56))*HLOOKUP(($B83+PARAM!$B$56)/12,Loyalty,2)*$F$1*MAX(BF82,0)</f>
        <v>18.557001321003963</v>
      </c>
      <c r="BE83" s="75">
        <f>PARAM!$C$26+MAX($G$16-CHOOSE(PARAM!$B$44,MAX(0,BF82*$F$1),0),0)*RATES!$L59/12+$H$16*(PARAM!$D$51/12)*RATES!$N59/100</f>
        <v>7.6666666666666661</v>
      </c>
      <c r="BF83" s="16">
        <f t="shared" si="38"/>
        <v>-644.09108322324653</v>
      </c>
      <c r="BG83" s="15">
        <f t="shared" si="14"/>
        <v>22.170849845882874</v>
      </c>
      <c r="BH83" s="75">
        <f>BG83*(1-PARAM!$C$27)*$I$17+(MOD($B83,60)=PARAM!$B$56)*($B83&gt;(60-PARAM!$B$56))*HLOOKUP(($B83+PARAM!$B$56)/12,Loyalty,2)*$F$1*MAX(BJ82,0)</f>
        <v>18.557001321003963</v>
      </c>
      <c r="BI83" s="75">
        <f>PARAM!$C$26+MAX($G$17-CHOOSE(PARAM!$B$44,MAX(0,BJ82*$F$1),0),0)*RATES!$L59/12+$H$17*(PARAM!$D$51/12)*RATES!$N59/100</f>
        <v>7.6666666666666661</v>
      </c>
      <c r="BJ83" s="16">
        <f t="shared" si="39"/>
        <v>-644.09108322324653</v>
      </c>
      <c r="BK83" s="15">
        <f t="shared" si="15"/>
        <v>22.170849845882874</v>
      </c>
      <c r="BL83" s="75">
        <f>BK83*(1-PARAM!$C$27)*$I$18+(MOD($B83,60)=PARAM!$B$56)*($B83&gt;(60-PARAM!$B$56))*HLOOKUP(($B83+PARAM!$B$56)/12,Loyalty,2)*$F$1*MAX(BN82,0)</f>
        <v>18.557001321003963</v>
      </c>
      <c r="BM83" s="75">
        <f>PARAM!$C$26+MAX($G$18-CHOOSE(PARAM!$B$44,MAX(0,BN82*$F$1),0),0)*RATES!$L59/12+$H$18*(PARAM!$D$51/12)*RATES!$N59/100</f>
        <v>7.6666666666666661</v>
      </c>
      <c r="BN83" s="16">
        <f t="shared" si="40"/>
        <v>-644.09108322324653</v>
      </c>
      <c r="BO83" s="15">
        <f t="shared" si="16"/>
        <v>22.170849845882874</v>
      </c>
      <c r="BP83" s="75">
        <f>BO83*(1-PARAM!$C$27)*$I$19+(MOD($B83,60)=PARAM!$B$56)*($B83&gt;(60-PARAM!$B$56))*HLOOKUP(($B83+PARAM!$B$56)/12,Loyalty,2)*$F$1*MAX(BR82,0)</f>
        <v>18.557001321003963</v>
      </c>
      <c r="BQ83" s="75">
        <f>PARAM!$C$26+MAX($G$19-CHOOSE(PARAM!$B$44,MAX(0,BR82*$F$1),0),0)*RATES!$L59/12+$H$19*(PARAM!$D$51/12)*RATES!$N59/100</f>
        <v>7.6666666666666661</v>
      </c>
      <c r="BR83" s="16">
        <f t="shared" si="41"/>
        <v>-644.09108322324653</v>
      </c>
      <c r="BS83" s="15">
        <f t="shared" si="17"/>
        <v>22.170849845882874</v>
      </c>
      <c r="BT83" s="75">
        <f>BS83*(1-PARAM!$C$27)*$I$20+(MOD($B83,60)=PARAM!$B$56)*($B83&gt;(60-PARAM!$B$56))*HLOOKUP(($B83+PARAM!$B$56)/12,Loyalty,2)*$F$1*MAX(BV82,0)</f>
        <v>18.557001321003963</v>
      </c>
      <c r="BU83" s="75">
        <f>PARAM!$C$26+MAX($G$20-CHOOSE(PARAM!$B$44,MAX(0,BV82*$F$1),0),0)*RATES!$L59/12+$H$20*(PARAM!$D$51/12)*RATES!$N59/100</f>
        <v>7.6666666666666661</v>
      </c>
      <c r="BV83" s="16">
        <f t="shared" si="42"/>
        <v>-644.09108322324653</v>
      </c>
      <c r="BW83" s="15">
        <f t="shared" si="18"/>
        <v>22.170849845882874</v>
      </c>
      <c r="BX83" s="75">
        <f>BW83*(1-PARAM!$C$27)*$I$21+(MOD($B83,60)=PARAM!$B$56)*($B83&gt;(60-PARAM!$B$56))*HLOOKUP(($B83+PARAM!$B$56)/12,Loyalty,2)*$F$1*MAX(BZ82,0)</f>
        <v>18.557001321003963</v>
      </c>
      <c r="BY83" s="75">
        <f>PARAM!$C$26+MAX($G$21-CHOOSE(PARAM!$B$44,MAX(0,BZ82*$F$1),0),0)*RATES!$L59/12+$H$21*(PARAM!$D$51/12)*RATES!$N59/100</f>
        <v>7.6666666666666661</v>
      </c>
      <c r="BZ83" s="16">
        <f t="shared" si="43"/>
        <v>-644.09108322324653</v>
      </c>
      <c r="CA83" s="15">
        <f t="shared" si="19"/>
        <v>22.170849845882874</v>
      </c>
      <c r="CB83" s="75">
        <f>CA83*(1-PARAM!$C$27)*$I$22+(MOD($B83,60)=PARAM!$B$56)*($B83&gt;(60-PARAM!$B$56))*HLOOKUP(($B83+PARAM!$B$56)/12,Loyalty,2)*$F$1*MAX(CD82,0)</f>
        <v>18.557001321003963</v>
      </c>
      <c r="CC83" s="75">
        <f>PARAM!$C$26+MAX($G$22-CHOOSE(PARAM!$B$44,MAX(0,CD82*$F$1),0),0)*RATES!$L59/12+$H$22*(PARAM!$D$51/12)*RATES!$N59/100</f>
        <v>7.6666666666666661</v>
      </c>
      <c r="CD83" s="16">
        <f t="shared" si="44"/>
        <v>-644.09108322324653</v>
      </c>
      <c r="CE83" s="33">
        <f>IF(0=MOD(B83,12/PARAM!$D$51),1,0)</f>
        <v>1</v>
      </c>
      <c r="CF83" s="15">
        <f t="shared" si="20"/>
        <v>0</v>
      </c>
      <c r="CG83" s="75">
        <f>CF83*(1-PARAM!$C$27)*$R$3+(MOD($B83/12,5)=0)*($B83&gt;60)*HLOOKUP($B83/12,Loyalty,2)*$F$1*MAX(CI82,0)</f>
        <v>0</v>
      </c>
      <c r="CH83" s="75">
        <f>PARAM!$C$26+MAX($P$3-CHOOSE(PARAM!$B$44,MAX(0,CI82*$F$1),0),0)*RATES!$L59/12+$Q$3*(PARAM!$D$51/12)*RATES!$N59/100</f>
        <v>7.6666666666666661</v>
      </c>
      <c r="CI83" s="16">
        <f>IF(CI82&gt;0,CI82*PARAM!$C$53,CI82)+CG83-CH83</f>
        <v>-1488.9999999999993</v>
      </c>
      <c r="CJ83" s="15">
        <f t="shared" si="45"/>
        <v>0</v>
      </c>
      <c r="CK83" s="75">
        <f>CJ83*(1-PARAM!$C$27)*$R$4+(MOD($B83/12,5)=0)*($B83&gt;60)*HLOOKUP($B83/12,Loyalty,2)*$F$1*MAX(CM82,0)</f>
        <v>0</v>
      </c>
      <c r="CL83" s="75">
        <f>PARAM!$C$26+MAX($P$4-CHOOSE(PARAM!$B$44,MAX(0,CM82*$F$1),0),0)*RATES!$L59/12+$Q$4*(PARAM!$D$51/12)*RATES!$N59/100</f>
        <v>7.6666666666666661</v>
      </c>
      <c r="CM83" s="16">
        <f>IF(CM82&gt;0,CM82*PARAM!$C$53,CM82)+CK83-CL83</f>
        <v>-1488.9999999999993</v>
      </c>
      <c r="CO83" s="176"/>
    </row>
    <row r="84" spans="1:93" x14ac:dyDescent="0.2">
      <c r="A84" t="b">
        <f t="shared" si="21"/>
        <v>0</v>
      </c>
      <c r="B84" s="33">
        <v>57</v>
      </c>
      <c r="C84" s="15">
        <f t="shared" si="46"/>
        <v>20.081305947392778</v>
      </c>
      <c r="D84" s="75">
        <f>C84*(1-PARAM!$C$27)*$I$3+(MOD($B84,60)=PARAM!$B$56)*($B84&gt;(60-PARAM!$B$56))*HLOOKUP(($B84+PARAM!$B$56)/12,Loyalty,2)*$F$1*MAX(F83,0)</f>
        <v>16.808053077967756</v>
      </c>
      <c r="E84" s="75">
        <f>PARAM!$C$26+MAX($G$3-CHOOSE(PARAM!$B$44,MAX(0,F83*$F$1),0),0)*RATES!$L60/12+$H$3*(PARAM!$D$51/12)*RATES!$N60/100</f>
        <v>7.6666666666666661</v>
      </c>
      <c r="F84" s="16">
        <f t="shared" si="22"/>
        <v>-714.5801252395064</v>
      </c>
      <c r="G84" s="15">
        <f t="shared" si="23"/>
        <v>22.035289406060361</v>
      </c>
      <c r="H84" s="75">
        <f>G84*(1-PARAM!$C$27)*$I$4+(MOD($B84,60)=PARAM!$B$56)*($B84&gt;(60-PARAM!$B$56))*HLOOKUP(($B84+PARAM!$B$56)/12,Loyalty,2)*$F$1*MAX(J83,0)</f>
        <v>18.443537232872522</v>
      </c>
      <c r="I84" s="75">
        <f>PARAM!$C$26+MAX($G$4-CHOOSE(PARAM!$B$44,MAX(0,J83*$F$1),0),0)*RATES!$L60/12+$H$4*(PARAM!$D$51/12)*RATES!$N60/100</f>
        <v>7.6666666666666661</v>
      </c>
      <c r="J84" s="16">
        <f t="shared" si="24"/>
        <v>-638.48028545823968</v>
      </c>
      <c r="K84" s="15">
        <f t="shared" si="25"/>
        <v>22.170849845882874</v>
      </c>
      <c r="L84" s="75">
        <f>K84*(1-PARAM!$C$27)*$I$5+(MOD($B84,60)=PARAM!$B$56)*($B84&gt;(60-PARAM!$B$56))*HLOOKUP(($B84+PARAM!$B$56)/12,Loyalty,2)*$F$1*MAX(N83,0)</f>
        <v>18.557001321003963</v>
      </c>
      <c r="M84" s="75">
        <f>PARAM!$C$26+MAX($G$5-CHOOSE(PARAM!$B$44,MAX(0,N83*$F$1),0),0)*RATES!$L60/12+$H$5*(PARAM!$D$51/12)*RATES!$N60/100</f>
        <v>7.6666666666666661</v>
      </c>
      <c r="N84" s="16">
        <f t="shared" si="26"/>
        <v>-633.20074856890915</v>
      </c>
      <c r="O84" s="15">
        <f t="shared" si="27"/>
        <v>22.170849845882874</v>
      </c>
      <c r="P84" s="75">
        <f>O84*(1-PARAM!$C$27)*$I$6+(MOD($B84,60)=PARAM!$B$56)*($B84&gt;(60-PARAM!$B$56))*HLOOKUP(($B84+PARAM!$B$56)/12,Loyalty,2)*$F$1*MAX(R83,0)</f>
        <v>18.557001321003963</v>
      </c>
      <c r="Q84" s="75">
        <f>PARAM!$C$26+MAX($G$6-CHOOSE(PARAM!$B$44,MAX(0,R83*$F$1),0),0)*RATES!$L60/12+$H$6*(PARAM!$D$51/12)*RATES!$N60/100</f>
        <v>7.6666666666666661</v>
      </c>
      <c r="R84" s="16">
        <f t="shared" si="28"/>
        <v>-633.20074856890915</v>
      </c>
      <c r="S84" s="15">
        <f t="shared" si="4"/>
        <v>22.170849845882874</v>
      </c>
      <c r="T84" s="75">
        <f>S84*(1-PARAM!$C$27)*$I$7+(MOD($B84,60)=PARAM!$B$56)*($B84&gt;(60-PARAM!$B$56))*HLOOKUP(($B84+PARAM!$B$56)/12,Loyalty,2)*$F$1*MAX(V83,0)</f>
        <v>18.557001321003963</v>
      </c>
      <c r="U84" s="75">
        <f>PARAM!$C$26+MAX($G$7-CHOOSE(PARAM!$B$44,MAX(0,V83*$F$1),0),0)*RATES!$L60/12+$H$7*(PARAM!$D$51/12)*RATES!$N60/100</f>
        <v>7.6666666666666661</v>
      </c>
      <c r="V84" s="16">
        <f t="shared" si="29"/>
        <v>-633.20074856890915</v>
      </c>
      <c r="W84" s="15">
        <f t="shared" si="5"/>
        <v>22.170849845882874</v>
      </c>
      <c r="X84" s="75">
        <f>W84*(1-PARAM!$C$27)*$I$8+(MOD($B84,60)=PARAM!$B$56)*($B84&gt;(60-PARAM!$B$56))*HLOOKUP(($B84+PARAM!$B$56)/12,Loyalty,2)*$F$1*MAX(Z83,0)</f>
        <v>18.557001321003963</v>
      </c>
      <c r="Y84" s="75">
        <f>PARAM!$C$26+MAX($G$8-CHOOSE(PARAM!$B$44,MAX(0,Z83*$F$1),0),0)*RATES!$L60/12+$H$8*(PARAM!$D$51/12)*RATES!$N60/100</f>
        <v>7.6666666666666661</v>
      </c>
      <c r="Z84" s="16">
        <f t="shared" si="30"/>
        <v>-633.20074856890915</v>
      </c>
      <c r="AA84" s="15">
        <f t="shared" si="6"/>
        <v>22.170849845882874</v>
      </c>
      <c r="AB84" s="75">
        <f>AA84*(1-PARAM!$C$27)*$I$9+(MOD($B84,60)=PARAM!$B$56)*($B84&gt;(60-PARAM!$B$56))*HLOOKUP(($B84+PARAM!$B$56)/12,Loyalty,2)*$F$1*MAX(AD83,0)</f>
        <v>18.557001321003963</v>
      </c>
      <c r="AC84" s="75">
        <f>PARAM!$C$26+MAX($G$9-CHOOSE(PARAM!$B$44,MAX(0,AD83*$F$1),0),0)*RATES!$L60/12+$H$9*(PARAM!$D$51/12)*RATES!$N60/100</f>
        <v>7.6666666666666661</v>
      </c>
      <c r="AD84" s="16">
        <f t="shared" si="31"/>
        <v>-633.20074856890915</v>
      </c>
      <c r="AE84" s="15">
        <f t="shared" si="7"/>
        <v>22.170849845882874</v>
      </c>
      <c r="AF84" s="75">
        <f>AE84*(1-PARAM!$C$27)*$I$10+(MOD($B84,60)=PARAM!$B$56)*($B84&gt;(60-PARAM!$B$56))*HLOOKUP(($B84+PARAM!$B$56)/12,Loyalty,2)*$F$1*MAX(AH83,0)</f>
        <v>18.557001321003963</v>
      </c>
      <c r="AG84" s="75">
        <f>PARAM!$C$26+MAX($G$10-CHOOSE(PARAM!$B$44,MAX(0,AH83*$F$1),0),0)*RATES!$L60/12+$H$10*(PARAM!$D$51/12)*RATES!$N60/100</f>
        <v>7.6666666666666661</v>
      </c>
      <c r="AH84" s="16">
        <f t="shared" si="32"/>
        <v>-633.20074856890915</v>
      </c>
      <c r="AI84" s="15">
        <f t="shared" si="8"/>
        <v>22.170849845882874</v>
      </c>
      <c r="AJ84" s="75">
        <f>AI84*(1-PARAM!$C$27)*$I$11+(MOD($B84,60)=PARAM!$B$56)*($B84&gt;(60-PARAM!$B$56))*HLOOKUP(($B84+PARAM!$B$56)/12,Loyalty,2)*$F$1*MAX(AL83,0)</f>
        <v>18.557001321003963</v>
      </c>
      <c r="AK84" s="75">
        <f>PARAM!$C$26+MAX($G$11-CHOOSE(PARAM!$B$44,MAX(0,AL83*$F$1),0),0)*RATES!$L60/12+$H$11*(PARAM!$D$51/12)*RATES!$N60/100</f>
        <v>7.6666666666666661</v>
      </c>
      <c r="AL84" s="16">
        <f t="shared" si="33"/>
        <v>-633.20074856890915</v>
      </c>
      <c r="AM84" s="15">
        <f t="shared" si="9"/>
        <v>22.170849845882874</v>
      </c>
      <c r="AN84" s="75">
        <f>AM84*(1-PARAM!$C$27)*$I$12+(MOD($B84,60)=PARAM!$B$56)*($B84&gt;(60-PARAM!$B$56))*HLOOKUP(($B84+PARAM!$B$56)/12,Loyalty,2)*$F$1*MAX(AP83,0)</f>
        <v>18.557001321003963</v>
      </c>
      <c r="AO84" s="75">
        <f>PARAM!$C$26+MAX($G$12-CHOOSE(PARAM!$B$44,MAX(0,AP83*$F$1),0),0)*RATES!$L60/12+$H$12*(PARAM!$D$51/12)*RATES!$N60/100</f>
        <v>7.6666666666666661</v>
      </c>
      <c r="AP84" s="16">
        <f t="shared" si="34"/>
        <v>-633.20074856890915</v>
      </c>
      <c r="AQ84" s="15">
        <f t="shared" si="10"/>
        <v>22.170849845882874</v>
      </c>
      <c r="AR84" s="75">
        <f>AQ84*(1-PARAM!$C$27)*$I$13+(MOD($B84,60)=PARAM!$B$56)*($B84&gt;(60-PARAM!$B$56))*HLOOKUP(($B84+PARAM!$B$56)/12,Loyalty,2)*$F$1*MAX(AT83,0)</f>
        <v>18.557001321003963</v>
      </c>
      <c r="AS84" s="75">
        <f>PARAM!$C$26+MAX($G$13-CHOOSE(PARAM!$B$44,MAX(0,AT83*$F$1),0),0)*RATES!$L60/12+$H$13*(PARAM!$D$51/12)*RATES!$N60/100</f>
        <v>7.6666666666666661</v>
      </c>
      <c r="AT84" s="16">
        <f t="shared" si="35"/>
        <v>-633.20074856890915</v>
      </c>
      <c r="AU84" s="15">
        <f t="shared" si="11"/>
        <v>22.170849845882874</v>
      </c>
      <c r="AV84" s="75">
        <f>AU84*(1-PARAM!$C$27)*$I$14+(MOD($B84,60)=PARAM!$B$56)*($B84&gt;(60-PARAM!$B$56))*HLOOKUP(($B84+PARAM!$B$56)/12,Loyalty,2)*$F$1*MAX(AX83,0)</f>
        <v>18.557001321003963</v>
      </c>
      <c r="AW84" s="75">
        <f>PARAM!$C$26+MAX($G$14-CHOOSE(PARAM!$B$44,MAX(0,AX83*$F$1),0),0)*RATES!$L60/12+$H$14*(PARAM!$D$51/12)*RATES!$N60/100</f>
        <v>7.6666666666666661</v>
      </c>
      <c r="AX84" s="16">
        <f t="shared" si="36"/>
        <v>-633.20074856890915</v>
      </c>
      <c r="AY84" s="15">
        <f t="shared" si="12"/>
        <v>22.170849845882874</v>
      </c>
      <c r="AZ84" s="75">
        <f>AY84*(1-PARAM!$C$27)*$I$15+(MOD($B84,60)=PARAM!$B$56)*($B84&gt;(60-PARAM!$B$56))*HLOOKUP(($B84+PARAM!$B$56)/12,Loyalty,2)*$F$1*MAX(BB83,0)</f>
        <v>18.557001321003963</v>
      </c>
      <c r="BA84" s="75">
        <f>PARAM!$C$26+MAX($G$15-CHOOSE(PARAM!$B$44,MAX(0,BB83*$F$1),0),0)*RATES!$L60/12+$H$15*(PARAM!$D$51/12)*RATES!$N60/100</f>
        <v>7.6666666666666661</v>
      </c>
      <c r="BB84" s="16">
        <f t="shared" si="37"/>
        <v>-633.20074856890915</v>
      </c>
      <c r="BC84" s="15">
        <f t="shared" si="13"/>
        <v>22.170849845882874</v>
      </c>
      <c r="BD84" s="75">
        <f>BC84*(1-PARAM!$C$27)*$I$16+(MOD($B84,60)=PARAM!$B$56)*($B84&gt;(60-PARAM!$B$56))*HLOOKUP(($B84+PARAM!$B$56)/12,Loyalty,2)*$F$1*MAX(BF83,0)</f>
        <v>18.557001321003963</v>
      </c>
      <c r="BE84" s="75">
        <f>PARAM!$C$26+MAX($G$16-CHOOSE(PARAM!$B$44,MAX(0,BF83*$F$1),0),0)*RATES!$L60/12+$H$16*(PARAM!$D$51/12)*RATES!$N60/100</f>
        <v>7.6666666666666661</v>
      </c>
      <c r="BF84" s="16">
        <f t="shared" si="38"/>
        <v>-633.20074856890915</v>
      </c>
      <c r="BG84" s="15">
        <f t="shared" si="14"/>
        <v>22.170849845882874</v>
      </c>
      <c r="BH84" s="75">
        <f>BG84*(1-PARAM!$C$27)*$I$17+(MOD($B84,60)=PARAM!$B$56)*($B84&gt;(60-PARAM!$B$56))*HLOOKUP(($B84+PARAM!$B$56)/12,Loyalty,2)*$F$1*MAX(BJ83,0)</f>
        <v>18.557001321003963</v>
      </c>
      <c r="BI84" s="75">
        <f>PARAM!$C$26+MAX($G$17-CHOOSE(PARAM!$B$44,MAX(0,BJ83*$F$1),0),0)*RATES!$L60/12+$H$17*(PARAM!$D$51/12)*RATES!$N60/100</f>
        <v>7.6666666666666661</v>
      </c>
      <c r="BJ84" s="16">
        <f t="shared" si="39"/>
        <v>-633.20074856890915</v>
      </c>
      <c r="BK84" s="15">
        <f t="shared" si="15"/>
        <v>22.170849845882874</v>
      </c>
      <c r="BL84" s="75">
        <f>BK84*(1-PARAM!$C$27)*$I$18+(MOD($B84,60)=PARAM!$B$56)*($B84&gt;(60-PARAM!$B$56))*HLOOKUP(($B84+PARAM!$B$56)/12,Loyalty,2)*$F$1*MAX(BN83,0)</f>
        <v>18.557001321003963</v>
      </c>
      <c r="BM84" s="75">
        <f>PARAM!$C$26+MAX($G$18-CHOOSE(PARAM!$B$44,MAX(0,BN83*$F$1),0),0)*RATES!$L60/12+$H$18*(PARAM!$D$51/12)*RATES!$N60/100</f>
        <v>7.6666666666666661</v>
      </c>
      <c r="BN84" s="16">
        <f t="shared" si="40"/>
        <v>-633.20074856890915</v>
      </c>
      <c r="BO84" s="15">
        <f t="shared" si="16"/>
        <v>22.170849845882874</v>
      </c>
      <c r="BP84" s="75">
        <f>BO84*(1-PARAM!$C$27)*$I$19+(MOD($B84,60)=PARAM!$B$56)*($B84&gt;(60-PARAM!$B$56))*HLOOKUP(($B84+PARAM!$B$56)/12,Loyalty,2)*$F$1*MAX(BR83,0)</f>
        <v>18.557001321003963</v>
      </c>
      <c r="BQ84" s="75">
        <f>PARAM!$C$26+MAX($G$19-CHOOSE(PARAM!$B$44,MAX(0,BR83*$F$1),0),0)*RATES!$L60/12+$H$19*(PARAM!$D$51/12)*RATES!$N60/100</f>
        <v>7.6666666666666661</v>
      </c>
      <c r="BR84" s="16">
        <f t="shared" si="41"/>
        <v>-633.20074856890915</v>
      </c>
      <c r="BS84" s="15">
        <f t="shared" si="17"/>
        <v>22.170849845882874</v>
      </c>
      <c r="BT84" s="75">
        <f>BS84*(1-PARAM!$C$27)*$I$20+(MOD($B84,60)=PARAM!$B$56)*($B84&gt;(60-PARAM!$B$56))*HLOOKUP(($B84+PARAM!$B$56)/12,Loyalty,2)*$F$1*MAX(BV83,0)</f>
        <v>18.557001321003963</v>
      </c>
      <c r="BU84" s="75">
        <f>PARAM!$C$26+MAX($G$20-CHOOSE(PARAM!$B$44,MAX(0,BV83*$F$1),0),0)*RATES!$L60/12+$H$20*(PARAM!$D$51/12)*RATES!$N60/100</f>
        <v>7.6666666666666661</v>
      </c>
      <c r="BV84" s="16">
        <f t="shared" si="42"/>
        <v>-633.20074856890915</v>
      </c>
      <c r="BW84" s="15">
        <f t="shared" si="18"/>
        <v>22.170849845882874</v>
      </c>
      <c r="BX84" s="75">
        <f>BW84*(1-PARAM!$C$27)*$I$21+(MOD($B84,60)=PARAM!$B$56)*($B84&gt;(60-PARAM!$B$56))*HLOOKUP(($B84+PARAM!$B$56)/12,Loyalty,2)*$F$1*MAX(BZ83,0)</f>
        <v>18.557001321003963</v>
      </c>
      <c r="BY84" s="75">
        <f>PARAM!$C$26+MAX($G$21-CHOOSE(PARAM!$B$44,MAX(0,BZ83*$F$1),0),0)*RATES!$L60/12+$H$21*(PARAM!$D$51/12)*RATES!$N60/100</f>
        <v>7.6666666666666661</v>
      </c>
      <c r="BZ84" s="16">
        <f t="shared" si="43"/>
        <v>-633.20074856890915</v>
      </c>
      <c r="CA84" s="15">
        <f t="shared" si="19"/>
        <v>22.170849845882874</v>
      </c>
      <c r="CB84" s="75">
        <f>CA84*(1-PARAM!$C$27)*$I$22+(MOD($B84,60)=PARAM!$B$56)*($B84&gt;(60-PARAM!$B$56))*HLOOKUP(($B84+PARAM!$B$56)/12,Loyalty,2)*$F$1*MAX(CD83,0)</f>
        <v>18.557001321003963</v>
      </c>
      <c r="CC84" s="75">
        <f>PARAM!$C$26+MAX($G$22-CHOOSE(PARAM!$B$44,MAX(0,CD83*$F$1),0),0)*RATES!$L60/12+$H$22*(PARAM!$D$51/12)*RATES!$N60/100</f>
        <v>7.6666666666666661</v>
      </c>
      <c r="CD84" s="16">
        <f t="shared" si="44"/>
        <v>-633.20074856890915</v>
      </c>
      <c r="CE84" s="33">
        <f>IF(0=MOD(B84,12/PARAM!$D$51),1,0)</f>
        <v>1</v>
      </c>
      <c r="CF84" s="15">
        <f t="shared" si="20"/>
        <v>0</v>
      </c>
      <c r="CG84" s="75">
        <f>CF84*(1-PARAM!$C$27)*$R$3+(MOD($B84/12,5)=0)*($B84&gt;60)*HLOOKUP($B84/12,Loyalty,2)*$F$1*MAX(CI83,0)</f>
        <v>0</v>
      </c>
      <c r="CH84" s="75">
        <f>PARAM!$C$26+MAX($P$3-CHOOSE(PARAM!$B$44,MAX(0,CI83*$F$1),0),0)*RATES!$L60/12+$Q$3*(PARAM!$D$51/12)*RATES!$N60/100</f>
        <v>7.6666666666666661</v>
      </c>
      <c r="CI84" s="16">
        <f>IF(CI83&gt;0,CI83*PARAM!$C$53,CI83)+CG84-CH84</f>
        <v>-1496.6666666666661</v>
      </c>
      <c r="CJ84" s="15">
        <f t="shared" si="45"/>
        <v>0</v>
      </c>
      <c r="CK84" s="75">
        <f>CJ84*(1-PARAM!$C$27)*$R$4+(MOD($B84/12,5)=0)*($B84&gt;60)*HLOOKUP($B84/12,Loyalty,2)*$F$1*MAX(CM83,0)</f>
        <v>0</v>
      </c>
      <c r="CL84" s="75">
        <f>PARAM!$C$26+MAX($P$4-CHOOSE(PARAM!$B$44,MAX(0,CM83*$F$1),0),0)*RATES!$L60/12+$Q$4*(PARAM!$D$51/12)*RATES!$N60/100</f>
        <v>7.6666666666666661</v>
      </c>
      <c r="CM84" s="16">
        <f>IF(CM83&gt;0,CM83*PARAM!$C$53,CM83)+CK84-CL84</f>
        <v>-1496.6666666666661</v>
      </c>
      <c r="CO84" s="176"/>
    </row>
    <row r="85" spans="1:93" x14ac:dyDescent="0.2">
      <c r="A85" t="b">
        <f t="shared" si="21"/>
        <v>0</v>
      </c>
      <c r="B85" s="33">
        <v>58</v>
      </c>
      <c r="C85" s="15">
        <f t="shared" si="46"/>
        <v>20.081305947392778</v>
      </c>
      <c r="D85" s="75">
        <f>C85*(1-PARAM!$C$27)*$I$3+(MOD($B85,60)=PARAM!$B$56)*($B85&gt;(60-PARAM!$B$56))*HLOOKUP(($B85+PARAM!$B$56)/12,Loyalty,2)*$F$1*MAX(F84,0)</f>
        <v>16.808053077967756</v>
      </c>
      <c r="E85" s="75">
        <f>PARAM!$C$26+MAX($G$3-CHOOSE(PARAM!$B$44,MAX(0,F84*$F$1),0),0)*RATES!$L61/12+$H$3*(PARAM!$D$51/12)*RATES!$N61/100</f>
        <v>7.6666666666666661</v>
      </c>
      <c r="F85" s="16">
        <f t="shared" si="22"/>
        <v>-705.43873882820526</v>
      </c>
      <c r="G85" s="15">
        <f t="shared" si="23"/>
        <v>22.035289406060361</v>
      </c>
      <c r="H85" s="75">
        <f>G85*(1-PARAM!$C$27)*$I$4+(MOD($B85,60)=PARAM!$B$56)*($B85&gt;(60-PARAM!$B$56))*HLOOKUP(($B85+PARAM!$B$56)/12,Loyalty,2)*$F$1*MAX(J84,0)</f>
        <v>18.443537232872522</v>
      </c>
      <c r="I85" s="75">
        <f>PARAM!$C$26+MAX($G$4-CHOOSE(PARAM!$B$44,MAX(0,J84*$F$1),0),0)*RATES!$L61/12+$H$4*(PARAM!$D$51/12)*RATES!$N61/100</f>
        <v>7.6666666666666661</v>
      </c>
      <c r="J85" s="16">
        <f t="shared" si="24"/>
        <v>-627.70341489203383</v>
      </c>
      <c r="K85" s="15">
        <f t="shared" si="25"/>
        <v>22.170849845882874</v>
      </c>
      <c r="L85" s="75">
        <f>K85*(1-PARAM!$C$27)*$I$5+(MOD($B85,60)=PARAM!$B$56)*($B85&gt;(60-PARAM!$B$56))*HLOOKUP(($B85+PARAM!$B$56)/12,Loyalty,2)*$F$1*MAX(N84,0)</f>
        <v>18.557001321003963</v>
      </c>
      <c r="M85" s="75">
        <f>PARAM!$C$26+MAX($G$5-CHOOSE(PARAM!$B$44,MAX(0,N84*$F$1),0),0)*RATES!$L61/12+$H$5*(PARAM!$D$51/12)*RATES!$N61/100</f>
        <v>7.6666666666666661</v>
      </c>
      <c r="N85" s="16">
        <f t="shared" si="26"/>
        <v>-622.31041391457177</v>
      </c>
      <c r="O85" s="15">
        <f t="shared" si="27"/>
        <v>22.170849845882874</v>
      </c>
      <c r="P85" s="75">
        <f>O85*(1-PARAM!$C$27)*$I$6+(MOD($B85,60)=PARAM!$B$56)*($B85&gt;(60-PARAM!$B$56))*HLOOKUP(($B85+PARAM!$B$56)/12,Loyalty,2)*$F$1*MAX(R84,0)</f>
        <v>18.557001321003963</v>
      </c>
      <c r="Q85" s="75">
        <f>PARAM!$C$26+MAX($G$6-CHOOSE(PARAM!$B$44,MAX(0,R84*$F$1),0),0)*RATES!$L61/12+$H$6*(PARAM!$D$51/12)*RATES!$N61/100</f>
        <v>7.6666666666666661</v>
      </c>
      <c r="R85" s="16">
        <f t="shared" si="28"/>
        <v>-622.31041391457177</v>
      </c>
      <c r="S85" s="15">
        <f t="shared" si="4"/>
        <v>22.170849845882874</v>
      </c>
      <c r="T85" s="75">
        <f>S85*(1-PARAM!$C$27)*$I$7+(MOD($B85,60)=PARAM!$B$56)*($B85&gt;(60-PARAM!$B$56))*HLOOKUP(($B85+PARAM!$B$56)/12,Loyalty,2)*$F$1*MAX(V84,0)</f>
        <v>18.557001321003963</v>
      </c>
      <c r="U85" s="75">
        <f>PARAM!$C$26+MAX($G$7-CHOOSE(PARAM!$B$44,MAX(0,V84*$F$1),0),0)*RATES!$L61/12+$H$7*(PARAM!$D$51/12)*RATES!$N61/100</f>
        <v>7.6666666666666661</v>
      </c>
      <c r="V85" s="16">
        <f t="shared" si="29"/>
        <v>-622.31041391457177</v>
      </c>
      <c r="W85" s="15">
        <f t="shared" si="5"/>
        <v>22.170849845882874</v>
      </c>
      <c r="X85" s="75">
        <f>W85*(1-PARAM!$C$27)*$I$8+(MOD($B85,60)=PARAM!$B$56)*($B85&gt;(60-PARAM!$B$56))*HLOOKUP(($B85+PARAM!$B$56)/12,Loyalty,2)*$F$1*MAX(Z84,0)</f>
        <v>18.557001321003963</v>
      </c>
      <c r="Y85" s="75">
        <f>PARAM!$C$26+MAX($G$8-CHOOSE(PARAM!$B$44,MAX(0,Z84*$F$1),0),0)*RATES!$L61/12+$H$8*(PARAM!$D$51/12)*RATES!$N61/100</f>
        <v>7.6666666666666661</v>
      </c>
      <c r="Z85" s="16">
        <f t="shared" si="30"/>
        <v>-622.31041391457177</v>
      </c>
      <c r="AA85" s="15">
        <f t="shared" si="6"/>
        <v>22.170849845882874</v>
      </c>
      <c r="AB85" s="75">
        <f>AA85*(1-PARAM!$C$27)*$I$9+(MOD($B85,60)=PARAM!$B$56)*($B85&gt;(60-PARAM!$B$56))*HLOOKUP(($B85+PARAM!$B$56)/12,Loyalty,2)*$F$1*MAX(AD84,0)</f>
        <v>18.557001321003963</v>
      </c>
      <c r="AC85" s="75">
        <f>PARAM!$C$26+MAX($G$9-CHOOSE(PARAM!$B$44,MAX(0,AD84*$F$1),0),0)*RATES!$L61/12+$H$9*(PARAM!$D$51/12)*RATES!$N61/100</f>
        <v>7.6666666666666661</v>
      </c>
      <c r="AD85" s="16">
        <f t="shared" si="31"/>
        <v>-622.31041391457177</v>
      </c>
      <c r="AE85" s="15">
        <f t="shared" si="7"/>
        <v>22.170849845882874</v>
      </c>
      <c r="AF85" s="75">
        <f>AE85*(1-PARAM!$C$27)*$I$10+(MOD($B85,60)=PARAM!$B$56)*($B85&gt;(60-PARAM!$B$56))*HLOOKUP(($B85+PARAM!$B$56)/12,Loyalty,2)*$F$1*MAX(AH84,0)</f>
        <v>18.557001321003963</v>
      </c>
      <c r="AG85" s="75">
        <f>PARAM!$C$26+MAX($G$10-CHOOSE(PARAM!$B$44,MAX(0,AH84*$F$1),0),0)*RATES!$L61/12+$H$10*(PARAM!$D$51/12)*RATES!$N61/100</f>
        <v>7.6666666666666661</v>
      </c>
      <c r="AH85" s="16">
        <f t="shared" si="32"/>
        <v>-622.31041391457177</v>
      </c>
      <c r="AI85" s="15">
        <f t="shared" si="8"/>
        <v>22.170849845882874</v>
      </c>
      <c r="AJ85" s="75">
        <f>AI85*(1-PARAM!$C$27)*$I$11+(MOD($B85,60)=PARAM!$B$56)*($B85&gt;(60-PARAM!$B$56))*HLOOKUP(($B85+PARAM!$B$56)/12,Loyalty,2)*$F$1*MAX(AL84,0)</f>
        <v>18.557001321003963</v>
      </c>
      <c r="AK85" s="75">
        <f>PARAM!$C$26+MAX($G$11-CHOOSE(PARAM!$B$44,MAX(0,AL84*$F$1),0),0)*RATES!$L61/12+$H$11*(PARAM!$D$51/12)*RATES!$N61/100</f>
        <v>7.6666666666666661</v>
      </c>
      <c r="AL85" s="16">
        <f t="shared" si="33"/>
        <v>-622.31041391457177</v>
      </c>
      <c r="AM85" s="15">
        <f t="shared" si="9"/>
        <v>22.170849845882874</v>
      </c>
      <c r="AN85" s="75">
        <f>AM85*(1-PARAM!$C$27)*$I$12+(MOD($B85,60)=PARAM!$B$56)*($B85&gt;(60-PARAM!$B$56))*HLOOKUP(($B85+PARAM!$B$56)/12,Loyalty,2)*$F$1*MAX(AP84,0)</f>
        <v>18.557001321003963</v>
      </c>
      <c r="AO85" s="75">
        <f>PARAM!$C$26+MAX($G$12-CHOOSE(PARAM!$B$44,MAX(0,AP84*$F$1),0),0)*RATES!$L61/12+$H$12*(PARAM!$D$51/12)*RATES!$N61/100</f>
        <v>7.6666666666666661</v>
      </c>
      <c r="AP85" s="16">
        <f t="shared" si="34"/>
        <v>-622.31041391457177</v>
      </c>
      <c r="AQ85" s="15">
        <f t="shared" si="10"/>
        <v>22.170849845882874</v>
      </c>
      <c r="AR85" s="75">
        <f>AQ85*(1-PARAM!$C$27)*$I$13+(MOD($B85,60)=PARAM!$B$56)*($B85&gt;(60-PARAM!$B$56))*HLOOKUP(($B85+PARAM!$B$56)/12,Loyalty,2)*$F$1*MAX(AT84,0)</f>
        <v>18.557001321003963</v>
      </c>
      <c r="AS85" s="75">
        <f>PARAM!$C$26+MAX($G$13-CHOOSE(PARAM!$B$44,MAX(0,AT84*$F$1),0),0)*RATES!$L61/12+$H$13*(PARAM!$D$51/12)*RATES!$N61/100</f>
        <v>7.6666666666666661</v>
      </c>
      <c r="AT85" s="16">
        <f t="shared" si="35"/>
        <v>-622.31041391457177</v>
      </c>
      <c r="AU85" s="15">
        <f t="shared" si="11"/>
        <v>22.170849845882874</v>
      </c>
      <c r="AV85" s="75">
        <f>AU85*(1-PARAM!$C$27)*$I$14+(MOD($B85,60)=PARAM!$B$56)*($B85&gt;(60-PARAM!$B$56))*HLOOKUP(($B85+PARAM!$B$56)/12,Loyalty,2)*$F$1*MAX(AX84,0)</f>
        <v>18.557001321003963</v>
      </c>
      <c r="AW85" s="75">
        <f>PARAM!$C$26+MAX($G$14-CHOOSE(PARAM!$B$44,MAX(0,AX84*$F$1),0),0)*RATES!$L61/12+$H$14*(PARAM!$D$51/12)*RATES!$N61/100</f>
        <v>7.6666666666666661</v>
      </c>
      <c r="AX85" s="16">
        <f t="shared" si="36"/>
        <v>-622.31041391457177</v>
      </c>
      <c r="AY85" s="15">
        <f t="shared" si="12"/>
        <v>22.170849845882874</v>
      </c>
      <c r="AZ85" s="75">
        <f>AY85*(1-PARAM!$C$27)*$I$15+(MOD($B85,60)=PARAM!$B$56)*($B85&gt;(60-PARAM!$B$56))*HLOOKUP(($B85+PARAM!$B$56)/12,Loyalty,2)*$F$1*MAX(BB84,0)</f>
        <v>18.557001321003963</v>
      </c>
      <c r="BA85" s="75">
        <f>PARAM!$C$26+MAX($G$15-CHOOSE(PARAM!$B$44,MAX(0,BB84*$F$1),0),0)*RATES!$L61/12+$H$15*(PARAM!$D$51/12)*RATES!$N61/100</f>
        <v>7.6666666666666661</v>
      </c>
      <c r="BB85" s="16">
        <f t="shared" si="37"/>
        <v>-622.31041391457177</v>
      </c>
      <c r="BC85" s="15">
        <f t="shared" si="13"/>
        <v>22.170849845882874</v>
      </c>
      <c r="BD85" s="75">
        <f>BC85*(1-PARAM!$C$27)*$I$16+(MOD($B85,60)=PARAM!$B$56)*($B85&gt;(60-PARAM!$B$56))*HLOOKUP(($B85+PARAM!$B$56)/12,Loyalty,2)*$F$1*MAX(BF84,0)</f>
        <v>18.557001321003963</v>
      </c>
      <c r="BE85" s="75">
        <f>PARAM!$C$26+MAX($G$16-CHOOSE(PARAM!$B$44,MAX(0,BF84*$F$1),0),0)*RATES!$L61/12+$H$16*(PARAM!$D$51/12)*RATES!$N61/100</f>
        <v>7.6666666666666661</v>
      </c>
      <c r="BF85" s="16">
        <f t="shared" si="38"/>
        <v>-622.31041391457177</v>
      </c>
      <c r="BG85" s="15">
        <f t="shared" si="14"/>
        <v>22.170849845882874</v>
      </c>
      <c r="BH85" s="75">
        <f>BG85*(1-PARAM!$C$27)*$I$17+(MOD($B85,60)=PARAM!$B$56)*($B85&gt;(60-PARAM!$B$56))*HLOOKUP(($B85+PARAM!$B$56)/12,Loyalty,2)*$F$1*MAX(BJ84,0)</f>
        <v>18.557001321003963</v>
      </c>
      <c r="BI85" s="75">
        <f>PARAM!$C$26+MAX($G$17-CHOOSE(PARAM!$B$44,MAX(0,BJ84*$F$1),0),0)*RATES!$L61/12+$H$17*(PARAM!$D$51/12)*RATES!$N61/100</f>
        <v>7.6666666666666661</v>
      </c>
      <c r="BJ85" s="16">
        <f t="shared" si="39"/>
        <v>-622.31041391457177</v>
      </c>
      <c r="BK85" s="15">
        <f t="shared" si="15"/>
        <v>22.170849845882874</v>
      </c>
      <c r="BL85" s="75">
        <f>BK85*(1-PARAM!$C$27)*$I$18+(MOD($B85,60)=PARAM!$B$56)*($B85&gt;(60-PARAM!$B$56))*HLOOKUP(($B85+PARAM!$B$56)/12,Loyalty,2)*$F$1*MAX(BN84,0)</f>
        <v>18.557001321003963</v>
      </c>
      <c r="BM85" s="75">
        <f>PARAM!$C$26+MAX($G$18-CHOOSE(PARAM!$B$44,MAX(0,BN84*$F$1),0),0)*RATES!$L61/12+$H$18*(PARAM!$D$51/12)*RATES!$N61/100</f>
        <v>7.6666666666666661</v>
      </c>
      <c r="BN85" s="16">
        <f t="shared" si="40"/>
        <v>-622.31041391457177</v>
      </c>
      <c r="BO85" s="15">
        <f t="shared" si="16"/>
        <v>22.170849845882874</v>
      </c>
      <c r="BP85" s="75">
        <f>BO85*(1-PARAM!$C$27)*$I$19+(MOD($B85,60)=PARAM!$B$56)*($B85&gt;(60-PARAM!$B$56))*HLOOKUP(($B85+PARAM!$B$56)/12,Loyalty,2)*$F$1*MAX(BR84,0)</f>
        <v>18.557001321003963</v>
      </c>
      <c r="BQ85" s="75">
        <f>PARAM!$C$26+MAX($G$19-CHOOSE(PARAM!$B$44,MAX(0,BR84*$F$1),0),0)*RATES!$L61/12+$H$19*(PARAM!$D$51/12)*RATES!$N61/100</f>
        <v>7.6666666666666661</v>
      </c>
      <c r="BR85" s="16">
        <f t="shared" si="41"/>
        <v>-622.31041391457177</v>
      </c>
      <c r="BS85" s="15">
        <f t="shared" si="17"/>
        <v>22.170849845882874</v>
      </c>
      <c r="BT85" s="75">
        <f>BS85*(1-PARAM!$C$27)*$I$20+(MOD($B85,60)=PARAM!$B$56)*($B85&gt;(60-PARAM!$B$56))*HLOOKUP(($B85+PARAM!$B$56)/12,Loyalty,2)*$F$1*MAX(BV84,0)</f>
        <v>18.557001321003963</v>
      </c>
      <c r="BU85" s="75">
        <f>PARAM!$C$26+MAX($G$20-CHOOSE(PARAM!$B$44,MAX(0,BV84*$F$1),0),0)*RATES!$L61/12+$H$20*(PARAM!$D$51/12)*RATES!$N61/100</f>
        <v>7.6666666666666661</v>
      </c>
      <c r="BV85" s="16">
        <f t="shared" si="42"/>
        <v>-622.31041391457177</v>
      </c>
      <c r="BW85" s="15">
        <f t="shared" si="18"/>
        <v>22.170849845882874</v>
      </c>
      <c r="BX85" s="75">
        <f>BW85*(1-PARAM!$C$27)*$I$21+(MOD($B85,60)=PARAM!$B$56)*($B85&gt;(60-PARAM!$B$56))*HLOOKUP(($B85+PARAM!$B$56)/12,Loyalty,2)*$F$1*MAX(BZ84,0)</f>
        <v>18.557001321003963</v>
      </c>
      <c r="BY85" s="75">
        <f>PARAM!$C$26+MAX($G$21-CHOOSE(PARAM!$B$44,MAX(0,BZ84*$F$1),0),0)*RATES!$L61/12+$H$21*(PARAM!$D$51/12)*RATES!$N61/100</f>
        <v>7.6666666666666661</v>
      </c>
      <c r="BZ85" s="16">
        <f t="shared" si="43"/>
        <v>-622.31041391457177</v>
      </c>
      <c r="CA85" s="15">
        <f t="shared" si="19"/>
        <v>22.170849845882874</v>
      </c>
      <c r="CB85" s="75">
        <f>CA85*(1-PARAM!$C$27)*$I$22+(MOD($B85,60)=PARAM!$B$56)*($B85&gt;(60-PARAM!$B$56))*HLOOKUP(($B85+PARAM!$B$56)/12,Loyalty,2)*$F$1*MAX(CD84,0)</f>
        <v>18.557001321003963</v>
      </c>
      <c r="CC85" s="75">
        <f>PARAM!$C$26+MAX($G$22-CHOOSE(PARAM!$B$44,MAX(0,CD84*$F$1),0),0)*RATES!$L61/12+$H$22*(PARAM!$D$51/12)*RATES!$N61/100</f>
        <v>7.6666666666666661</v>
      </c>
      <c r="CD85" s="16">
        <f t="shared" si="44"/>
        <v>-622.31041391457177</v>
      </c>
      <c r="CE85" s="33">
        <f>IF(0=MOD(B85,12/PARAM!$D$51),1,0)</f>
        <v>1</v>
      </c>
      <c r="CF85" s="15">
        <f t="shared" si="20"/>
        <v>0</v>
      </c>
      <c r="CG85" s="75">
        <f>CF85*(1-PARAM!$C$27)*$R$3+(MOD($B85/12,5)=0)*($B85&gt;60)*HLOOKUP($B85/12,Loyalty,2)*$F$1*MAX(CI84,0)</f>
        <v>0</v>
      </c>
      <c r="CH85" s="75">
        <f>PARAM!$C$26+MAX($P$3-CHOOSE(PARAM!$B$44,MAX(0,CI84*$F$1),0),0)*RATES!$L61/12+$Q$3*(PARAM!$D$51/12)*RATES!$N61/100</f>
        <v>7.6666666666666661</v>
      </c>
      <c r="CI85" s="16">
        <f>IF(CI84&gt;0,CI84*PARAM!$C$53,CI84)+CG85-CH85</f>
        <v>-1504.3333333333328</v>
      </c>
      <c r="CJ85" s="15">
        <f t="shared" si="45"/>
        <v>0</v>
      </c>
      <c r="CK85" s="75">
        <f>CJ85*(1-PARAM!$C$27)*$R$4+(MOD($B85/12,5)=0)*($B85&gt;60)*HLOOKUP($B85/12,Loyalty,2)*$F$1*MAX(CM84,0)</f>
        <v>0</v>
      </c>
      <c r="CL85" s="75">
        <f>PARAM!$C$26+MAX($P$4-CHOOSE(PARAM!$B$44,MAX(0,CM84*$F$1),0),0)*RATES!$L61/12+$Q$4*(PARAM!$D$51/12)*RATES!$N61/100</f>
        <v>7.6666666666666661</v>
      </c>
      <c r="CM85" s="16">
        <f>IF(CM84&gt;0,CM84*PARAM!$C$53,CM84)+CK85-CL85</f>
        <v>-1504.3333333333328</v>
      </c>
      <c r="CO85" s="176"/>
    </row>
    <row r="86" spans="1:93" x14ac:dyDescent="0.2">
      <c r="A86" t="b">
        <f t="shared" si="21"/>
        <v>0</v>
      </c>
      <c r="B86" s="33">
        <v>59</v>
      </c>
      <c r="C86" s="15">
        <f t="shared" si="46"/>
        <v>20.081305947392778</v>
      </c>
      <c r="D86" s="75">
        <f>C86*(1-PARAM!$C$27)*$I$3+(MOD($B86,60)=PARAM!$B$56)*($B86&gt;(60-PARAM!$B$56))*HLOOKUP(($B86+PARAM!$B$56)/12,Loyalty,2)*$F$1*MAX(F85,0)</f>
        <v>16.808053077967756</v>
      </c>
      <c r="E86" s="75">
        <f>PARAM!$C$26+MAX($G$3-CHOOSE(PARAM!$B$44,MAX(0,F85*$F$1),0),0)*RATES!$L62/12+$H$3*(PARAM!$D$51/12)*RATES!$N62/100</f>
        <v>7.6666666666666661</v>
      </c>
      <c r="F86" s="16">
        <f t="shared" si="22"/>
        <v>-696.29735241690412</v>
      </c>
      <c r="G86" s="15">
        <f t="shared" si="23"/>
        <v>22.035289406060361</v>
      </c>
      <c r="H86" s="75">
        <f>G86*(1-PARAM!$C$27)*$I$4+(MOD($B86,60)=PARAM!$B$56)*($B86&gt;(60-PARAM!$B$56))*HLOOKUP(($B86+PARAM!$B$56)/12,Loyalty,2)*$F$1*MAX(J85,0)</f>
        <v>18.443537232872522</v>
      </c>
      <c r="I86" s="75">
        <f>PARAM!$C$26+MAX($G$4-CHOOSE(PARAM!$B$44,MAX(0,J85*$F$1),0),0)*RATES!$L62/12+$H$4*(PARAM!$D$51/12)*RATES!$N62/100</f>
        <v>7.6666666666666661</v>
      </c>
      <c r="J86" s="16">
        <f t="shared" si="24"/>
        <v>-616.92654432582799</v>
      </c>
      <c r="K86" s="15">
        <f t="shared" si="25"/>
        <v>22.170849845882874</v>
      </c>
      <c r="L86" s="75">
        <f>K86*(1-PARAM!$C$27)*$I$5+(MOD($B86,60)=PARAM!$B$56)*($B86&gt;(60-PARAM!$B$56))*HLOOKUP(($B86+PARAM!$B$56)/12,Loyalty,2)*$F$1*MAX(N85,0)</f>
        <v>18.557001321003963</v>
      </c>
      <c r="M86" s="75">
        <f>PARAM!$C$26+MAX($G$5-CHOOSE(PARAM!$B$44,MAX(0,N85*$F$1),0),0)*RATES!$L62/12+$H$5*(PARAM!$D$51/12)*RATES!$N62/100</f>
        <v>7.6666666666666661</v>
      </c>
      <c r="N86" s="16">
        <f t="shared" si="26"/>
        <v>-611.42007926023439</v>
      </c>
      <c r="O86" s="15">
        <f t="shared" si="27"/>
        <v>22.170849845882874</v>
      </c>
      <c r="P86" s="75">
        <f>O86*(1-PARAM!$C$27)*$I$6+(MOD($B86,60)=PARAM!$B$56)*($B86&gt;(60-PARAM!$B$56))*HLOOKUP(($B86+PARAM!$B$56)/12,Loyalty,2)*$F$1*MAX(R85,0)</f>
        <v>18.557001321003963</v>
      </c>
      <c r="Q86" s="75">
        <f>PARAM!$C$26+MAX($G$6-CHOOSE(PARAM!$B$44,MAX(0,R85*$F$1),0),0)*RATES!$L62/12+$H$6*(PARAM!$D$51/12)*RATES!$N62/100</f>
        <v>7.6666666666666661</v>
      </c>
      <c r="R86" s="16">
        <f t="shared" si="28"/>
        <v>-611.42007926023439</v>
      </c>
      <c r="S86" s="15">
        <f t="shared" si="4"/>
        <v>22.170849845882874</v>
      </c>
      <c r="T86" s="75">
        <f>S86*(1-PARAM!$C$27)*$I$7+(MOD($B86,60)=PARAM!$B$56)*($B86&gt;(60-PARAM!$B$56))*HLOOKUP(($B86+PARAM!$B$56)/12,Loyalty,2)*$F$1*MAX(V85,0)</f>
        <v>18.557001321003963</v>
      </c>
      <c r="U86" s="75">
        <f>PARAM!$C$26+MAX($G$7-CHOOSE(PARAM!$B$44,MAX(0,V85*$F$1),0),0)*RATES!$L62/12+$H$7*(PARAM!$D$51/12)*RATES!$N62/100</f>
        <v>7.6666666666666661</v>
      </c>
      <c r="V86" s="16">
        <f t="shared" si="29"/>
        <v>-611.42007926023439</v>
      </c>
      <c r="W86" s="15">
        <f t="shared" si="5"/>
        <v>22.170849845882874</v>
      </c>
      <c r="X86" s="75">
        <f>W86*(1-PARAM!$C$27)*$I$8+(MOD($B86,60)=PARAM!$B$56)*($B86&gt;(60-PARAM!$B$56))*HLOOKUP(($B86+PARAM!$B$56)/12,Loyalty,2)*$F$1*MAX(Z85,0)</f>
        <v>18.557001321003963</v>
      </c>
      <c r="Y86" s="75">
        <f>PARAM!$C$26+MAX($G$8-CHOOSE(PARAM!$B$44,MAX(0,Z85*$F$1),0),0)*RATES!$L62/12+$H$8*(PARAM!$D$51/12)*RATES!$N62/100</f>
        <v>7.6666666666666661</v>
      </c>
      <c r="Z86" s="16">
        <f t="shared" si="30"/>
        <v>-611.42007926023439</v>
      </c>
      <c r="AA86" s="15">
        <f t="shared" si="6"/>
        <v>22.170849845882874</v>
      </c>
      <c r="AB86" s="75">
        <f>AA86*(1-PARAM!$C$27)*$I$9+(MOD($B86,60)=PARAM!$B$56)*($B86&gt;(60-PARAM!$B$56))*HLOOKUP(($B86+PARAM!$B$56)/12,Loyalty,2)*$F$1*MAX(AD85,0)</f>
        <v>18.557001321003963</v>
      </c>
      <c r="AC86" s="75">
        <f>PARAM!$C$26+MAX($G$9-CHOOSE(PARAM!$B$44,MAX(0,AD85*$F$1),0),0)*RATES!$L62/12+$H$9*(PARAM!$D$51/12)*RATES!$N62/100</f>
        <v>7.6666666666666661</v>
      </c>
      <c r="AD86" s="16">
        <f t="shared" si="31"/>
        <v>-611.42007926023439</v>
      </c>
      <c r="AE86" s="15">
        <f t="shared" si="7"/>
        <v>22.170849845882874</v>
      </c>
      <c r="AF86" s="75">
        <f>AE86*(1-PARAM!$C$27)*$I$10+(MOD($B86,60)=PARAM!$B$56)*($B86&gt;(60-PARAM!$B$56))*HLOOKUP(($B86+PARAM!$B$56)/12,Loyalty,2)*$F$1*MAX(AH85,0)</f>
        <v>18.557001321003963</v>
      </c>
      <c r="AG86" s="75">
        <f>PARAM!$C$26+MAX($G$10-CHOOSE(PARAM!$B$44,MAX(0,AH85*$F$1),0),0)*RATES!$L62/12+$H$10*(PARAM!$D$51/12)*RATES!$N62/100</f>
        <v>7.6666666666666661</v>
      </c>
      <c r="AH86" s="16">
        <f t="shared" si="32"/>
        <v>-611.42007926023439</v>
      </c>
      <c r="AI86" s="15">
        <f t="shared" si="8"/>
        <v>22.170849845882874</v>
      </c>
      <c r="AJ86" s="75">
        <f>AI86*(1-PARAM!$C$27)*$I$11+(MOD($B86,60)=PARAM!$B$56)*($B86&gt;(60-PARAM!$B$56))*HLOOKUP(($B86+PARAM!$B$56)/12,Loyalty,2)*$F$1*MAX(AL85,0)</f>
        <v>18.557001321003963</v>
      </c>
      <c r="AK86" s="75">
        <f>PARAM!$C$26+MAX($G$11-CHOOSE(PARAM!$B$44,MAX(0,AL85*$F$1),0),0)*RATES!$L62/12+$H$11*(PARAM!$D$51/12)*RATES!$N62/100</f>
        <v>7.6666666666666661</v>
      </c>
      <c r="AL86" s="16">
        <f t="shared" si="33"/>
        <v>-611.42007926023439</v>
      </c>
      <c r="AM86" s="15">
        <f t="shared" si="9"/>
        <v>22.170849845882874</v>
      </c>
      <c r="AN86" s="75">
        <f>AM86*(1-PARAM!$C$27)*$I$12+(MOD($B86,60)=PARAM!$B$56)*($B86&gt;(60-PARAM!$B$56))*HLOOKUP(($B86+PARAM!$B$56)/12,Loyalty,2)*$F$1*MAX(AP85,0)</f>
        <v>18.557001321003963</v>
      </c>
      <c r="AO86" s="75">
        <f>PARAM!$C$26+MAX($G$12-CHOOSE(PARAM!$B$44,MAX(0,AP85*$F$1),0),0)*RATES!$L62/12+$H$12*(PARAM!$D$51/12)*RATES!$N62/100</f>
        <v>7.6666666666666661</v>
      </c>
      <c r="AP86" s="16">
        <f t="shared" si="34"/>
        <v>-611.42007926023439</v>
      </c>
      <c r="AQ86" s="15">
        <f t="shared" si="10"/>
        <v>22.170849845882874</v>
      </c>
      <c r="AR86" s="75">
        <f>AQ86*(1-PARAM!$C$27)*$I$13+(MOD($B86,60)=PARAM!$B$56)*($B86&gt;(60-PARAM!$B$56))*HLOOKUP(($B86+PARAM!$B$56)/12,Loyalty,2)*$F$1*MAX(AT85,0)</f>
        <v>18.557001321003963</v>
      </c>
      <c r="AS86" s="75">
        <f>PARAM!$C$26+MAX($G$13-CHOOSE(PARAM!$B$44,MAX(0,AT85*$F$1),0),0)*RATES!$L62/12+$H$13*(PARAM!$D$51/12)*RATES!$N62/100</f>
        <v>7.6666666666666661</v>
      </c>
      <c r="AT86" s="16">
        <f t="shared" si="35"/>
        <v>-611.42007926023439</v>
      </c>
      <c r="AU86" s="15">
        <f t="shared" si="11"/>
        <v>22.170849845882874</v>
      </c>
      <c r="AV86" s="75">
        <f>AU86*(1-PARAM!$C$27)*$I$14+(MOD($B86,60)=PARAM!$B$56)*($B86&gt;(60-PARAM!$B$56))*HLOOKUP(($B86+PARAM!$B$56)/12,Loyalty,2)*$F$1*MAX(AX85,0)</f>
        <v>18.557001321003963</v>
      </c>
      <c r="AW86" s="75">
        <f>PARAM!$C$26+MAX($G$14-CHOOSE(PARAM!$B$44,MAX(0,AX85*$F$1),0),0)*RATES!$L62/12+$H$14*(PARAM!$D$51/12)*RATES!$N62/100</f>
        <v>7.6666666666666661</v>
      </c>
      <c r="AX86" s="16">
        <f t="shared" si="36"/>
        <v>-611.42007926023439</v>
      </c>
      <c r="AY86" s="15">
        <f t="shared" si="12"/>
        <v>22.170849845882874</v>
      </c>
      <c r="AZ86" s="75">
        <f>AY86*(1-PARAM!$C$27)*$I$15+(MOD($B86,60)=PARAM!$B$56)*($B86&gt;(60-PARAM!$B$56))*HLOOKUP(($B86+PARAM!$B$56)/12,Loyalty,2)*$F$1*MAX(BB85,0)</f>
        <v>18.557001321003963</v>
      </c>
      <c r="BA86" s="75">
        <f>PARAM!$C$26+MAX($G$15-CHOOSE(PARAM!$B$44,MAX(0,BB85*$F$1),0),0)*RATES!$L62/12+$H$15*(PARAM!$D$51/12)*RATES!$N62/100</f>
        <v>7.6666666666666661</v>
      </c>
      <c r="BB86" s="16">
        <f t="shared" si="37"/>
        <v>-611.42007926023439</v>
      </c>
      <c r="BC86" s="15">
        <f t="shared" si="13"/>
        <v>22.170849845882874</v>
      </c>
      <c r="BD86" s="75">
        <f>BC86*(1-PARAM!$C$27)*$I$16+(MOD($B86,60)=PARAM!$B$56)*($B86&gt;(60-PARAM!$B$56))*HLOOKUP(($B86+PARAM!$B$56)/12,Loyalty,2)*$F$1*MAX(BF85,0)</f>
        <v>18.557001321003963</v>
      </c>
      <c r="BE86" s="75">
        <f>PARAM!$C$26+MAX($G$16-CHOOSE(PARAM!$B$44,MAX(0,BF85*$F$1),0),0)*RATES!$L62/12+$H$16*(PARAM!$D$51/12)*RATES!$N62/100</f>
        <v>7.6666666666666661</v>
      </c>
      <c r="BF86" s="16">
        <f t="shared" si="38"/>
        <v>-611.42007926023439</v>
      </c>
      <c r="BG86" s="15">
        <f t="shared" si="14"/>
        <v>22.170849845882874</v>
      </c>
      <c r="BH86" s="75">
        <f>BG86*(1-PARAM!$C$27)*$I$17+(MOD($B86,60)=PARAM!$B$56)*($B86&gt;(60-PARAM!$B$56))*HLOOKUP(($B86+PARAM!$B$56)/12,Loyalty,2)*$F$1*MAX(BJ85,0)</f>
        <v>18.557001321003963</v>
      </c>
      <c r="BI86" s="75">
        <f>PARAM!$C$26+MAX($G$17-CHOOSE(PARAM!$B$44,MAX(0,BJ85*$F$1),0),0)*RATES!$L62/12+$H$17*(PARAM!$D$51/12)*RATES!$N62/100</f>
        <v>7.6666666666666661</v>
      </c>
      <c r="BJ86" s="16">
        <f t="shared" si="39"/>
        <v>-611.42007926023439</v>
      </c>
      <c r="BK86" s="15">
        <f t="shared" si="15"/>
        <v>22.170849845882874</v>
      </c>
      <c r="BL86" s="75">
        <f>BK86*(1-PARAM!$C$27)*$I$18+(MOD($B86,60)=PARAM!$B$56)*($B86&gt;(60-PARAM!$B$56))*HLOOKUP(($B86+PARAM!$B$56)/12,Loyalty,2)*$F$1*MAX(BN85,0)</f>
        <v>18.557001321003963</v>
      </c>
      <c r="BM86" s="75">
        <f>PARAM!$C$26+MAX($G$18-CHOOSE(PARAM!$B$44,MAX(0,BN85*$F$1),0),0)*RATES!$L62/12+$H$18*(PARAM!$D$51/12)*RATES!$N62/100</f>
        <v>7.6666666666666661</v>
      </c>
      <c r="BN86" s="16">
        <f t="shared" si="40"/>
        <v>-611.42007926023439</v>
      </c>
      <c r="BO86" s="15">
        <f t="shared" si="16"/>
        <v>22.170849845882874</v>
      </c>
      <c r="BP86" s="75">
        <f>BO86*(1-PARAM!$C$27)*$I$19+(MOD($B86,60)=PARAM!$B$56)*($B86&gt;(60-PARAM!$B$56))*HLOOKUP(($B86+PARAM!$B$56)/12,Loyalty,2)*$F$1*MAX(BR85,0)</f>
        <v>18.557001321003963</v>
      </c>
      <c r="BQ86" s="75">
        <f>PARAM!$C$26+MAX($G$19-CHOOSE(PARAM!$B$44,MAX(0,BR85*$F$1),0),0)*RATES!$L62/12+$H$19*(PARAM!$D$51/12)*RATES!$N62/100</f>
        <v>7.6666666666666661</v>
      </c>
      <c r="BR86" s="16">
        <f t="shared" si="41"/>
        <v>-611.42007926023439</v>
      </c>
      <c r="BS86" s="15">
        <f t="shared" si="17"/>
        <v>22.170849845882874</v>
      </c>
      <c r="BT86" s="75">
        <f>BS86*(1-PARAM!$C$27)*$I$20+(MOD($B86,60)=PARAM!$B$56)*($B86&gt;(60-PARAM!$B$56))*HLOOKUP(($B86+PARAM!$B$56)/12,Loyalty,2)*$F$1*MAX(BV85,0)</f>
        <v>18.557001321003963</v>
      </c>
      <c r="BU86" s="75">
        <f>PARAM!$C$26+MAX($G$20-CHOOSE(PARAM!$B$44,MAX(0,BV85*$F$1),0),0)*RATES!$L62/12+$H$20*(PARAM!$D$51/12)*RATES!$N62/100</f>
        <v>7.6666666666666661</v>
      </c>
      <c r="BV86" s="16">
        <f t="shared" si="42"/>
        <v>-611.42007926023439</v>
      </c>
      <c r="BW86" s="15">
        <f t="shared" si="18"/>
        <v>22.170849845882874</v>
      </c>
      <c r="BX86" s="75">
        <f>BW86*(1-PARAM!$C$27)*$I$21+(MOD($B86,60)=PARAM!$B$56)*($B86&gt;(60-PARAM!$B$56))*HLOOKUP(($B86+PARAM!$B$56)/12,Loyalty,2)*$F$1*MAX(BZ85,0)</f>
        <v>18.557001321003963</v>
      </c>
      <c r="BY86" s="75">
        <f>PARAM!$C$26+MAX($G$21-CHOOSE(PARAM!$B$44,MAX(0,BZ85*$F$1),0),0)*RATES!$L62/12+$H$21*(PARAM!$D$51/12)*RATES!$N62/100</f>
        <v>7.6666666666666661</v>
      </c>
      <c r="BZ86" s="16">
        <f t="shared" si="43"/>
        <v>-611.42007926023439</v>
      </c>
      <c r="CA86" s="15">
        <f t="shared" si="19"/>
        <v>22.170849845882874</v>
      </c>
      <c r="CB86" s="75">
        <f>CA86*(1-PARAM!$C$27)*$I$22+(MOD($B86,60)=PARAM!$B$56)*($B86&gt;(60-PARAM!$B$56))*HLOOKUP(($B86+PARAM!$B$56)/12,Loyalty,2)*$F$1*MAX(CD85,0)</f>
        <v>18.557001321003963</v>
      </c>
      <c r="CC86" s="75">
        <f>PARAM!$C$26+MAX($G$22-CHOOSE(PARAM!$B$44,MAX(0,CD85*$F$1),0),0)*RATES!$L62/12+$H$22*(PARAM!$D$51/12)*RATES!$N62/100</f>
        <v>7.6666666666666661</v>
      </c>
      <c r="CD86" s="16">
        <f t="shared" si="44"/>
        <v>-611.42007926023439</v>
      </c>
      <c r="CE86" s="33">
        <f>IF(0=MOD(B86,12/PARAM!$D$51),1,0)</f>
        <v>1</v>
      </c>
      <c r="CF86" s="15">
        <f t="shared" si="20"/>
        <v>0</v>
      </c>
      <c r="CG86" s="75">
        <f>CF86*(1-PARAM!$C$27)*$R$3+(MOD($B86/12,5)=0)*($B86&gt;60)*HLOOKUP($B86/12,Loyalty,2)*$F$1*MAX(CI85,0)</f>
        <v>0</v>
      </c>
      <c r="CH86" s="75">
        <f>PARAM!$C$26+MAX($P$3-CHOOSE(PARAM!$B$44,MAX(0,CI85*$F$1),0),0)*RATES!$L62/12+$Q$3*(PARAM!$D$51/12)*RATES!$N62/100</f>
        <v>7.6666666666666661</v>
      </c>
      <c r="CI86" s="16">
        <f>IF(CI85&gt;0,CI85*PARAM!$C$53,CI85)+CG86-CH86</f>
        <v>-1511.9999999999995</v>
      </c>
      <c r="CJ86" s="15">
        <f t="shared" si="45"/>
        <v>0</v>
      </c>
      <c r="CK86" s="75">
        <f>CJ86*(1-PARAM!$C$27)*$R$4+(MOD($B86/12,5)=0)*($B86&gt;60)*HLOOKUP($B86/12,Loyalty,2)*$F$1*MAX(CM85,0)</f>
        <v>0</v>
      </c>
      <c r="CL86" s="75">
        <f>PARAM!$C$26+MAX($P$4-CHOOSE(PARAM!$B$44,MAX(0,CM85*$F$1),0),0)*RATES!$L62/12+$Q$4*(PARAM!$D$51/12)*RATES!$N62/100</f>
        <v>7.6666666666666661</v>
      </c>
      <c r="CM86" s="16">
        <f>IF(CM85&gt;0,CM85*PARAM!$C$53,CM85)+CK86-CL86</f>
        <v>-1511.9999999999995</v>
      </c>
      <c r="CO86" s="176"/>
    </row>
    <row r="87" spans="1:93" x14ac:dyDescent="0.2">
      <c r="A87" t="b">
        <f t="shared" si="21"/>
        <v>0</v>
      </c>
      <c r="B87" s="33">
        <v>60</v>
      </c>
      <c r="C87" s="15">
        <f t="shared" si="46"/>
        <v>20.081305947392778</v>
      </c>
      <c r="D87" s="75">
        <f>C87*(1-PARAM!$C$27)*$I$3+(MOD($B87,60)=PARAM!$B$56)*($B87&gt;(60-PARAM!$B$56))*HLOOKUP(($B87+PARAM!$B$56)/12,Loyalty,2)*$F$1*MAX(F86,0)</f>
        <v>16.808053077967756</v>
      </c>
      <c r="E87" s="75">
        <f>PARAM!$C$26+MAX($G$3-CHOOSE(PARAM!$B$44,MAX(0,F86*$F$1),0),0)*RATES!$L63/12+$H$3*(PARAM!$D$51/12)*RATES!$N63/100</f>
        <v>7.6666666666666661</v>
      </c>
      <c r="F87" s="16">
        <f t="shared" si="22"/>
        <v>-687.15596600560298</v>
      </c>
      <c r="G87" s="15">
        <f t="shared" si="23"/>
        <v>22.035289406060361</v>
      </c>
      <c r="H87" s="75">
        <f>G87*(1-PARAM!$C$27)*$I$4+(MOD($B87,60)=PARAM!$B$56)*($B87&gt;(60-PARAM!$B$56))*HLOOKUP(($B87+PARAM!$B$56)/12,Loyalty,2)*$F$1*MAX(J86,0)</f>
        <v>18.443537232872522</v>
      </c>
      <c r="I87" s="75">
        <f>PARAM!$C$26+MAX($G$4-CHOOSE(PARAM!$B$44,MAX(0,J86*$F$1),0),0)*RATES!$L63/12+$H$4*(PARAM!$D$51/12)*RATES!$N63/100</f>
        <v>7.6666666666666661</v>
      </c>
      <c r="J87" s="16">
        <f t="shared" si="24"/>
        <v>-606.14967375962215</v>
      </c>
      <c r="K87" s="15">
        <f t="shared" si="25"/>
        <v>22.170849845882874</v>
      </c>
      <c r="L87" s="75">
        <f>K87*(1-PARAM!$C$27)*$I$5+(MOD($B87,60)=PARAM!$B$56)*($B87&gt;(60-PARAM!$B$56))*HLOOKUP(($B87+PARAM!$B$56)/12,Loyalty,2)*$F$1*MAX(N86,0)</f>
        <v>18.557001321003963</v>
      </c>
      <c r="M87" s="75">
        <f>PARAM!$C$26+MAX($G$5-CHOOSE(PARAM!$B$44,MAX(0,N86*$F$1),0),0)*RATES!$L63/12+$H$5*(PARAM!$D$51/12)*RATES!$N63/100</f>
        <v>7.6666666666666661</v>
      </c>
      <c r="N87" s="16">
        <f t="shared" si="26"/>
        <v>-600.52974460589701</v>
      </c>
      <c r="O87" s="15">
        <f t="shared" si="27"/>
        <v>22.170849845882874</v>
      </c>
      <c r="P87" s="75">
        <f>O87*(1-PARAM!$C$27)*$I$6+(MOD($B87,60)=PARAM!$B$56)*($B87&gt;(60-PARAM!$B$56))*HLOOKUP(($B87+PARAM!$B$56)/12,Loyalty,2)*$F$1*MAX(R86,0)</f>
        <v>18.557001321003963</v>
      </c>
      <c r="Q87" s="75">
        <f>PARAM!$C$26+MAX($G$6-CHOOSE(PARAM!$B$44,MAX(0,R86*$F$1),0),0)*RATES!$L63/12+$H$6*(PARAM!$D$51/12)*RATES!$N63/100</f>
        <v>7.6666666666666661</v>
      </c>
      <c r="R87" s="16">
        <f t="shared" si="28"/>
        <v>-600.52974460589701</v>
      </c>
      <c r="S87" s="15">
        <f t="shared" si="4"/>
        <v>22.170849845882874</v>
      </c>
      <c r="T87" s="75">
        <f>S87*(1-PARAM!$C$27)*$I$7+(MOD($B87,60)=PARAM!$B$56)*($B87&gt;(60-PARAM!$B$56))*HLOOKUP(($B87+PARAM!$B$56)/12,Loyalty,2)*$F$1*MAX(V86,0)</f>
        <v>18.557001321003963</v>
      </c>
      <c r="U87" s="75">
        <f>PARAM!$C$26+MAX($G$7-CHOOSE(PARAM!$B$44,MAX(0,V86*$F$1),0),0)*RATES!$L63/12+$H$7*(PARAM!$D$51/12)*RATES!$N63/100</f>
        <v>7.6666666666666661</v>
      </c>
      <c r="V87" s="16">
        <f t="shared" si="29"/>
        <v>-600.52974460589701</v>
      </c>
      <c r="W87" s="15">
        <f t="shared" si="5"/>
        <v>22.170849845882874</v>
      </c>
      <c r="X87" s="75">
        <f>W87*(1-PARAM!$C$27)*$I$8+(MOD($B87,60)=PARAM!$B$56)*($B87&gt;(60-PARAM!$B$56))*HLOOKUP(($B87+PARAM!$B$56)/12,Loyalty,2)*$F$1*MAX(Z86,0)</f>
        <v>18.557001321003963</v>
      </c>
      <c r="Y87" s="75">
        <f>PARAM!$C$26+MAX($G$8-CHOOSE(PARAM!$B$44,MAX(0,Z86*$F$1),0),0)*RATES!$L63/12+$H$8*(PARAM!$D$51/12)*RATES!$N63/100</f>
        <v>7.6666666666666661</v>
      </c>
      <c r="Z87" s="16">
        <f t="shared" si="30"/>
        <v>-600.52974460589701</v>
      </c>
      <c r="AA87" s="15">
        <f t="shared" si="6"/>
        <v>22.170849845882874</v>
      </c>
      <c r="AB87" s="75">
        <f>AA87*(1-PARAM!$C$27)*$I$9+(MOD($B87,60)=PARAM!$B$56)*($B87&gt;(60-PARAM!$B$56))*HLOOKUP(($B87+PARAM!$B$56)/12,Loyalty,2)*$F$1*MAX(AD86,0)</f>
        <v>18.557001321003963</v>
      </c>
      <c r="AC87" s="75">
        <f>PARAM!$C$26+MAX($G$9-CHOOSE(PARAM!$B$44,MAX(0,AD86*$F$1),0),0)*RATES!$L63/12+$H$9*(PARAM!$D$51/12)*RATES!$N63/100</f>
        <v>7.6666666666666661</v>
      </c>
      <c r="AD87" s="16">
        <f t="shared" si="31"/>
        <v>-600.52974460589701</v>
      </c>
      <c r="AE87" s="15">
        <f t="shared" si="7"/>
        <v>22.170849845882874</v>
      </c>
      <c r="AF87" s="75">
        <f>AE87*(1-PARAM!$C$27)*$I$10+(MOD($B87,60)=PARAM!$B$56)*($B87&gt;(60-PARAM!$B$56))*HLOOKUP(($B87+PARAM!$B$56)/12,Loyalty,2)*$F$1*MAX(AH86,0)</f>
        <v>18.557001321003963</v>
      </c>
      <c r="AG87" s="75">
        <f>PARAM!$C$26+MAX($G$10-CHOOSE(PARAM!$B$44,MAX(0,AH86*$F$1),0),0)*RATES!$L63/12+$H$10*(PARAM!$D$51/12)*RATES!$N63/100</f>
        <v>7.6666666666666661</v>
      </c>
      <c r="AH87" s="16">
        <f t="shared" si="32"/>
        <v>-600.52974460589701</v>
      </c>
      <c r="AI87" s="15">
        <f t="shared" si="8"/>
        <v>22.170849845882874</v>
      </c>
      <c r="AJ87" s="75">
        <f>AI87*(1-PARAM!$C$27)*$I$11+(MOD($B87,60)=PARAM!$B$56)*($B87&gt;(60-PARAM!$B$56))*HLOOKUP(($B87+PARAM!$B$56)/12,Loyalty,2)*$F$1*MAX(AL86,0)</f>
        <v>18.557001321003963</v>
      </c>
      <c r="AK87" s="75">
        <f>PARAM!$C$26+MAX($G$11-CHOOSE(PARAM!$B$44,MAX(0,AL86*$F$1),0),0)*RATES!$L63/12+$H$11*(PARAM!$D$51/12)*RATES!$N63/100</f>
        <v>7.6666666666666661</v>
      </c>
      <c r="AL87" s="16">
        <f t="shared" si="33"/>
        <v>-600.52974460589701</v>
      </c>
      <c r="AM87" s="15">
        <f t="shared" si="9"/>
        <v>22.170849845882874</v>
      </c>
      <c r="AN87" s="75">
        <f>AM87*(1-PARAM!$C$27)*$I$12+(MOD($B87,60)=PARAM!$B$56)*($B87&gt;(60-PARAM!$B$56))*HLOOKUP(($B87+PARAM!$B$56)/12,Loyalty,2)*$F$1*MAX(AP86,0)</f>
        <v>18.557001321003963</v>
      </c>
      <c r="AO87" s="75">
        <f>PARAM!$C$26+MAX($G$12-CHOOSE(PARAM!$B$44,MAX(0,AP86*$F$1),0),0)*RATES!$L63/12+$H$12*(PARAM!$D$51/12)*RATES!$N63/100</f>
        <v>7.6666666666666661</v>
      </c>
      <c r="AP87" s="16">
        <f t="shared" si="34"/>
        <v>-600.52974460589701</v>
      </c>
      <c r="AQ87" s="15">
        <f t="shared" si="10"/>
        <v>22.170849845882874</v>
      </c>
      <c r="AR87" s="75">
        <f>AQ87*(1-PARAM!$C$27)*$I$13+(MOD($B87,60)=PARAM!$B$56)*($B87&gt;(60-PARAM!$B$56))*HLOOKUP(($B87+PARAM!$B$56)/12,Loyalty,2)*$F$1*MAX(AT86,0)</f>
        <v>18.557001321003963</v>
      </c>
      <c r="AS87" s="75">
        <f>PARAM!$C$26+MAX($G$13-CHOOSE(PARAM!$B$44,MAX(0,AT86*$F$1),0),0)*RATES!$L63/12+$H$13*(PARAM!$D$51/12)*RATES!$N63/100</f>
        <v>7.6666666666666661</v>
      </c>
      <c r="AT87" s="16">
        <f t="shared" si="35"/>
        <v>-600.52974460589701</v>
      </c>
      <c r="AU87" s="15">
        <f t="shared" si="11"/>
        <v>22.170849845882874</v>
      </c>
      <c r="AV87" s="75">
        <f>AU87*(1-PARAM!$C$27)*$I$14+(MOD($B87,60)=PARAM!$B$56)*($B87&gt;(60-PARAM!$B$56))*HLOOKUP(($B87+PARAM!$B$56)/12,Loyalty,2)*$F$1*MAX(AX86,0)</f>
        <v>18.557001321003963</v>
      </c>
      <c r="AW87" s="75">
        <f>PARAM!$C$26+MAX($G$14-CHOOSE(PARAM!$B$44,MAX(0,AX86*$F$1),0),0)*RATES!$L63/12+$H$14*(PARAM!$D$51/12)*RATES!$N63/100</f>
        <v>7.6666666666666661</v>
      </c>
      <c r="AX87" s="16">
        <f t="shared" si="36"/>
        <v>-600.52974460589701</v>
      </c>
      <c r="AY87" s="15">
        <f t="shared" si="12"/>
        <v>22.170849845882874</v>
      </c>
      <c r="AZ87" s="75">
        <f>AY87*(1-PARAM!$C$27)*$I$15+(MOD($B87,60)=PARAM!$B$56)*($B87&gt;(60-PARAM!$B$56))*HLOOKUP(($B87+PARAM!$B$56)/12,Loyalty,2)*$F$1*MAX(BB86,0)</f>
        <v>18.557001321003963</v>
      </c>
      <c r="BA87" s="75">
        <f>PARAM!$C$26+MAX($G$15-CHOOSE(PARAM!$B$44,MAX(0,BB86*$F$1),0),0)*RATES!$L63/12+$H$15*(PARAM!$D$51/12)*RATES!$N63/100</f>
        <v>7.6666666666666661</v>
      </c>
      <c r="BB87" s="16">
        <f t="shared" si="37"/>
        <v>-600.52974460589701</v>
      </c>
      <c r="BC87" s="15">
        <f t="shared" si="13"/>
        <v>22.170849845882874</v>
      </c>
      <c r="BD87" s="75">
        <f>BC87*(1-PARAM!$C$27)*$I$16+(MOD($B87,60)=PARAM!$B$56)*($B87&gt;(60-PARAM!$B$56))*HLOOKUP(($B87+PARAM!$B$56)/12,Loyalty,2)*$F$1*MAX(BF86,0)</f>
        <v>18.557001321003963</v>
      </c>
      <c r="BE87" s="75">
        <f>PARAM!$C$26+MAX($G$16-CHOOSE(PARAM!$B$44,MAX(0,BF86*$F$1),0),0)*RATES!$L63/12+$H$16*(PARAM!$D$51/12)*RATES!$N63/100</f>
        <v>7.6666666666666661</v>
      </c>
      <c r="BF87" s="16">
        <f t="shared" si="38"/>
        <v>-600.52974460589701</v>
      </c>
      <c r="BG87" s="15">
        <f t="shared" si="14"/>
        <v>22.170849845882874</v>
      </c>
      <c r="BH87" s="75">
        <f>BG87*(1-PARAM!$C$27)*$I$17+(MOD($B87,60)=PARAM!$B$56)*($B87&gt;(60-PARAM!$B$56))*HLOOKUP(($B87+PARAM!$B$56)/12,Loyalty,2)*$F$1*MAX(BJ86,0)</f>
        <v>18.557001321003963</v>
      </c>
      <c r="BI87" s="75">
        <f>PARAM!$C$26+MAX($G$17-CHOOSE(PARAM!$B$44,MAX(0,BJ86*$F$1),0),0)*RATES!$L63/12+$H$17*(PARAM!$D$51/12)*RATES!$N63/100</f>
        <v>7.6666666666666661</v>
      </c>
      <c r="BJ87" s="16">
        <f t="shared" si="39"/>
        <v>-600.52974460589701</v>
      </c>
      <c r="BK87" s="15">
        <f t="shared" si="15"/>
        <v>22.170849845882874</v>
      </c>
      <c r="BL87" s="75">
        <f>BK87*(1-PARAM!$C$27)*$I$18+(MOD($B87,60)=PARAM!$B$56)*($B87&gt;(60-PARAM!$B$56))*HLOOKUP(($B87+PARAM!$B$56)/12,Loyalty,2)*$F$1*MAX(BN86,0)</f>
        <v>18.557001321003963</v>
      </c>
      <c r="BM87" s="75">
        <f>PARAM!$C$26+MAX($G$18-CHOOSE(PARAM!$B$44,MAX(0,BN86*$F$1),0),0)*RATES!$L63/12+$H$18*(PARAM!$D$51/12)*RATES!$N63/100</f>
        <v>7.6666666666666661</v>
      </c>
      <c r="BN87" s="16">
        <f t="shared" si="40"/>
        <v>-600.52974460589701</v>
      </c>
      <c r="BO87" s="15">
        <f t="shared" si="16"/>
        <v>22.170849845882874</v>
      </c>
      <c r="BP87" s="75">
        <f>BO87*(1-PARAM!$C$27)*$I$19+(MOD($B87,60)=PARAM!$B$56)*($B87&gt;(60-PARAM!$B$56))*HLOOKUP(($B87+PARAM!$B$56)/12,Loyalty,2)*$F$1*MAX(BR86,0)</f>
        <v>18.557001321003963</v>
      </c>
      <c r="BQ87" s="75">
        <f>PARAM!$C$26+MAX($G$19-CHOOSE(PARAM!$B$44,MAX(0,BR86*$F$1),0),0)*RATES!$L63/12+$H$19*(PARAM!$D$51/12)*RATES!$N63/100</f>
        <v>7.6666666666666661</v>
      </c>
      <c r="BR87" s="16">
        <f t="shared" si="41"/>
        <v>-600.52974460589701</v>
      </c>
      <c r="BS87" s="15">
        <f t="shared" si="17"/>
        <v>22.170849845882874</v>
      </c>
      <c r="BT87" s="75">
        <f>BS87*(1-PARAM!$C$27)*$I$20+(MOD($B87,60)=PARAM!$B$56)*($B87&gt;(60-PARAM!$B$56))*HLOOKUP(($B87+PARAM!$B$56)/12,Loyalty,2)*$F$1*MAX(BV86,0)</f>
        <v>18.557001321003963</v>
      </c>
      <c r="BU87" s="75">
        <f>PARAM!$C$26+MAX($G$20-CHOOSE(PARAM!$B$44,MAX(0,BV86*$F$1),0),0)*RATES!$L63/12+$H$20*(PARAM!$D$51/12)*RATES!$N63/100</f>
        <v>7.6666666666666661</v>
      </c>
      <c r="BV87" s="16">
        <f t="shared" si="42"/>
        <v>-600.52974460589701</v>
      </c>
      <c r="BW87" s="15">
        <f t="shared" si="18"/>
        <v>22.170849845882874</v>
      </c>
      <c r="BX87" s="75">
        <f>BW87*(1-PARAM!$C$27)*$I$21+(MOD($B87,60)=PARAM!$B$56)*($B87&gt;(60-PARAM!$B$56))*HLOOKUP(($B87+PARAM!$B$56)/12,Loyalty,2)*$F$1*MAX(BZ86,0)</f>
        <v>18.557001321003963</v>
      </c>
      <c r="BY87" s="75">
        <f>PARAM!$C$26+MAX($G$21-CHOOSE(PARAM!$B$44,MAX(0,BZ86*$F$1),0),0)*RATES!$L63/12+$H$21*(PARAM!$D$51/12)*RATES!$N63/100</f>
        <v>7.6666666666666661</v>
      </c>
      <c r="BZ87" s="16">
        <f t="shared" si="43"/>
        <v>-600.52974460589701</v>
      </c>
      <c r="CA87" s="15">
        <f t="shared" si="19"/>
        <v>22.170849845882874</v>
      </c>
      <c r="CB87" s="75">
        <f>CA87*(1-PARAM!$C$27)*$I$22+(MOD($B87,60)=PARAM!$B$56)*($B87&gt;(60-PARAM!$B$56))*HLOOKUP(($B87+PARAM!$B$56)/12,Loyalty,2)*$F$1*MAX(CD86,0)</f>
        <v>18.557001321003963</v>
      </c>
      <c r="CC87" s="75">
        <f>PARAM!$C$26+MAX($G$22-CHOOSE(PARAM!$B$44,MAX(0,CD86*$F$1),0),0)*RATES!$L63/12+$H$22*(PARAM!$D$51/12)*RATES!$N63/100</f>
        <v>7.6666666666666661</v>
      </c>
      <c r="CD87" s="16">
        <f t="shared" si="44"/>
        <v>-600.52974460589701</v>
      </c>
      <c r="CE87" s="33">
        <f>IF(0=MOD(B87,12/PARAM!$D$51),1,0)</f>
        <v>1</v>
      </c>
      <c r="CF87" s="15">
        <f t="shared" si="20"/>
        <v>0</v>
      </c>
      <c r="CG87" s="75">
        <f>CF87*(1-PARAM!$C$27)*$R$3+(MOD($B87/12,5)=0)*($B87&gt;60)*HLOOKUP($B87/12,Loyalty,2)*$F$1*MAX(CI86,0)</f>
        <v>0</v>
      </c>
      <c r="CH87" s="75">
        <f>PARAM!$C$26+MAX($P$3-CHOOSE(PARAM!$B$44,MAX(0,CI86*$F$1),0),0)*RATES!$L63/12+$Q$3*(PARAM!$D$51/12)*RATES!$N63/100</f>
        <v>7.6666666666666661</v>
      </c>
      <c r="CI87" s="16">
        <f>IF(CI86&gt;0,CI86*PARAM!$C$53,CI86)+CG87-CH87</f>
        <v>-1519.6666666666663</v>
      </c>
      <c r="CJ87" s="15">
        <f t="shared" si="45"/>
        <v>0</v>
      </c>
      <c r="CK87" s="75">
        <f>CJ87*(1-PARAM!$C$27)*$R$4+(MOD($B87/12,5)=0)*($B87&gt;60)*HLOOKUP($B87/12,Loyalty,2)*$F$1*MAX(CM86,0)</f>
        <v>0</v>
      </c>
      <c r="CL87" s="75">
        <f>PARAM!$C$26+MAX($P$4-CHOOSE(PARAM!$B$44,MAX(0,CM86*$F$1),0),0)*RATES!$L63/12+$Q$4*(PARAM!$D$51/12)*RATES!$N63/100</f>
        <v>7.6666666666666661</v>
      </c>
      <c r="CM87" s="16">
        <f>IF(CM86&gt;0,CM86*PARAM!$C$53,CM86)+CK87-CL87</f>
        <v>-1519.6666666666663</v>
      </c>
      <c r="CO87" s="176"/>
    </row>
    <row r="88" spans="1:93" x14ac:dyDescent="0.2">
      <c r="A88" t="b">
        <f t="shared" si="21"/>
        <v>0</v>
      </c>
      <c r="B88" s="33">
        <v>61</v>
      </c>
      <c r="C88" s="15">
        <f t="shared" si="46"/>
        <v>20.081305947392778</v>
      </c>
      <c r="D88" s="75">
        <f>C88*(1-PARAM!$C$27)*$I$3+(MOD($B88,60)=PARAM!$B$56)*($B88&gt;(60-PARAM!$B$56))*HLOOKUP(($B88+PARAM!$B$56)/12,Loyalty,2)*$F$1*MAX(F87,0)</f>
        <v>16.808053077967756</v>
      </c>
      <c r="E88" s="75">
        <f>PARAM!$C$26+MAX($G$3-CHOOSE(PARAM!$B$44,MAX(0,F87*$F$1),0),0)*RATES!$L64/12+$H$3*(PARAM!$D$51/12)*RATES!$N64/100</f>
        <v>7.6666666666666661</v>
      </c>
      <c r="F88" s="16">
        <f t="shared" si="22"/>
        <v>-678.01457959430184</v>
      </c>
      <c r="G88" s="15">
        <f t="shared" si="23"/>
        <v>22.035289406060361</v>
      </c>
      <c r="H88" s="75">
        <f>G88*(1-PARAM!$C$27)*$I$4+(MOD($B88,60)=PARAM!$B$56)*($B88&gt;(60-PARAM!$B$56))*HLOOKUP(($B88+PARAM!$B$56)/12,Loyalty,2)*$F$1*MAX(J87,0)</f>
        <v>18.443537232872522</v>
      </c>
      <c r="I88" s="75">
        <f>PARAM!$C$26+MAX($G$4-CHOOSE(PARAM!$B$44,MAX(0,J87*$F$1),0),0)*RATES!$L64/12+$H$4*(PARAM!$D$51/12)*RATES!$N64/100</f>
        <v>7.6666666666666661</v>
      </c>
      <c r="J88" s="16">
        <f t="shared" si="24"/>
        <v>-595.3728031934163</v>
      </c>
      <c r="K88" s="15">
        <f t="shared" si="25"/>
        <v>22.170849845882874</v>
      </c>
      <c r="L88" s="75">
        <f>K88*(1-PARAM!$C$27)*$I$5+(MOD($B88,60)=PARAM!$B$56)*($B88&gt;(60-PARAM!$B$56))*HLOOKUP(($B88+PARAM!$B$56)/12,Loyalty,2)*$F$1*MAX(N87,0)</f>
        <v>18.557001321003963</v>
      </c>
      <c r="M88" s="75">
        <f>PARAM!$C$26+MAX($G$5-CHOOSE(PARAM!$B$44,MAX(0,N87*$F$1),0),0)*RATES!$L64/12+$H$5*(PARAM!$D$51/12)*RATES!$N64/100</f>
        <v>7.6666666666666661</v>
      </c>
      <c r="N88" s="16">
        <f t="shared" si="26"/>
        <v>-589.63940995155963</v>
      </c>
      <c r="O88" s="15">
        <f t="shared" si="27"/>
        <v>22.170849845882874</v>
      </c>
      <c r="P88" s="75">
        <f>O88*(1-PARAM!$C$27)*$I$6+(MOD($B88,60)=PARAM!$B$56)*($B88&gt;(60-PARAM!$B$56))*HLOOKUP(($B88+PARAM!$B$56)/12,Loyalty,2)*$F$1*MAX(R87,0)</f>
        <v>18.557001321003963</v>
      </c>
      <c r="Q88" s="75">
        <f>PARAM!$C$26+MAX($G$6-CHOOSE(PARAM!$B$44,MAX(0,R87*$F$1),0),0)*RATES!$L64/12+$H$6*(PARAM!$D$51/12)*RATES!$N64/100</f>
        <v>7.6666666666666661</v>
      </c>
      <c r="R88" s="16">
        <f t="shared" si="28"/>
        <v>-589.63940995155963</v>
      </c>
      <c r="S88" s="15">
        <f t="shared" si="4"/>
        <v>22.170849845882874</v>
      </c>
      <c r="T88" s="75">
        <f>S88*(1-PARAM!$C$27)*$I$7+(MOD($B88,60)=PARAM!$B$56)*($B88&gt;(60-PARAM!$B$56))*HLOOKUP(($B88+PARAM!$B$56)/12,Loyalty,2)*$F$1*MAX(V87,0)</f>
        <v>18.557001321003963</v>
      </c>
      <c r="U88" s="75">
        <f>PARAM!$C$26+MAX($G$7-CHOOSE(PARAM!$B$44,MAX(0,V87*$F$1),0),0)*RATES!$L64/12+$H$7*(PARAM!$D$51/12)*RATES!$N64/100</f>
        <v>7.6666666666666661</v>
      </c>
      <c r="V88" s="16">
        <f t="shared" si="29"/>
        <v>-589.63940995155963</v>
      </c>
      <c r="W88" s="15">
        <f t="shared" si="5"/>
        <v>22.170849845882874</v>
      </c>
      <c r="X88" s="75">
        <f>W88*(1-PARAM!$C$27)*$I$8+(MOD($B88,60)=PARAM!$B$56)*($B88&gt;(60-PARAM!$B$56))*HLOOKUP(($B88+PARAM!$B$56)/12,Loyalty,2)*$F$1*MAX(Z87,0)</f>
        <v>18.557001321003963</v>
      </c>
      <c r="Y88" s="75">
        <f>PARAM!$C$26+MAX($G$8-CHOOSE(PARAM!$B$44,MAX(0,Z87*$F$1),0),0)*RATES!$L64/12+$H$8*(PARAM!$D$51/12)*RATES!$N64/100</f>
        <v>7.6666666666666661</v>
      </c>
      <c r="Z88" s="16">
        <f t="shared" si="30"/>
        <v>-589.63940995155963</v>
      </c>
      <c r="AA88" s="15">
        <f t="shared" si="6"/>
        <v>22.170849845882874</v>
      </c>
      <c r="AB88" s="75">
        <f>AA88*(1-PARAM!$C$27)*$I$9+(MOD($B88,60)=PARAM!$B$56)*($B88&gt;(60-PARAM!$B$56))*HLOOKUP(($B88+PARAM!$B$56)/12,Loyalty,2)*$F$1*MAX(AD87,0)</f>
        <v>18.557001321003963</v>
      </c>
      <c r="AC88" s="75">
        <f>PARAM!$C$26+MAX($G$9-CHOOSE(PARAM!$B$44,MAX(0,AD87*$F$1),0),0)*RATES!$L64/12+$H$9*(PARAM!$D$51/12)*RATES!$N64/100</f>
        <v>7.6666666666666661</v>
      </c>
      <c r="AD88" s="16">
        <f t="shared" si="31"/>
        <v>-589.63940995155963</v>
      </c>
      <c r="AE88" s="15">
        <f t="shared" si="7"/>
        <v>22.170849845882874</v>
      </c>
      <c r="AF88" s="75">
        <f>AE88*(1-PARAM!$C$27)*$I$10+(MOD($B88,60)=PARAM!$B$56)*($B88&gt;(60-PARAM!$B$56))*HLOOKUP(($B88+PARAM!$B$56)/12,Loyalty,2)*$F$1*MAX(AH87,0)</f>
        <v>18.557001321003963</v>
      </c>
      <c r="AG88" s="75">
        <f>PARAM!$C$26+MAX($G$10-CHOOSE(PARAM!$B$44,MAX(0,AH87*$F$1),0),0)*RATES!$L64/12+$H$10*(PARAM!$D$51/12)*RATES!$N64/100</f>
        <v>7.6666666666666661</v>
      </c>
      <c r="AH88" s="16">
        <f t="shared" si="32"/>
        <v>-589.63940995155963</v>
      </c>
      <c r="AI88" s="15">
        <f t="shared" si="8"/>
        <v>22.170849845882874</v>
      </c>
      <c r="AJ88" s="75">
        <f>AI88*(1-PARAM!$C$27)*$I$11+(MOD($B88,60)=PARAM!$B$56)*($B88&gt;(60-PARAM!$B$56))*HLOOKUP(($B88+PARAM!$B$56)/12,Loyalty,2)*$F$1*MAX(AL87,0)</f>
        <v>18.557001321003963</v>
      </c>
      <c r="AK88" s="75">
        <f>PARAM!$C$26+MAX($G$11-CHOOSE(PARAM!$B$44,MAX(0,AL87*$F$1),0),0)*RATES!$L64/12+$H$11*(PARAM!$D$51/12)*RATES!$N64/100</f>
        <v>7.6666666666666661</v>
      </c>
      <c r="AL88" s="16">
        <f t="shared" si="33"/>
        <v>-589.63940995155963</v>
      </c>
      <c r="AM88" s="15">
        <f t="shared" si="9"/>
        <v>22.170849845882874</v>
      </c>
      <c r="AN88" s="75">
        <f>AM88*(1-PARAM!$C$27)*$I$12+(MOD($B88,60)=PARAM!$B$56)*($B88&gt;(60-PARAM!$B$56))*HLOOKUP(($B88+PARAM!$B$56)/12,Loyalty,2)*$F$1*MAX(AP87,0)</f>
        <v>18.557001321003963</v>
      </c>
      <c r="AO88" s="75">
        <f>PARAM!$C$26+MAX($G$12-CHOOSE(PARAM!$B$44,MAX(0,AP87*$F$1),0),0)*RATES!$L64/12+$H$12*(PARAM!$D$51/12)*RATES!$N64/100</f>
        <v>7.6666666666666661</v>
      </c>
      <c r="AP88" s="16">
        <f t="shared" si="34"/>
        <v>-589.63940995155963</v>
      </c>
      <c r="AQ88" s="15">
        <f t="shared" si="10"/>
        <v>22.170849845882874</v>
      </c>
      <c r="AR88" s="75">
        <f>AQ88*(1-PARAM!$C$27)*$I$13+(MOD($B88,60)=PARAM!$B$56)*($B88&gt;(60-PARAM!$B$56))*HLOOKUP(($B88+PARAM!$B$56)/12,Loyalty,2)*$F$1*MAX(AT87,0)</f>
        <v>18.557001321003963</v>
      </c>
      <c r="AS88" s="75">
        <f>PARAM!$C$26+MAX($G$13-CHOOSE(PARAM!$B$44,MAX(0,AT87*$F$1),0),0)*RATES!$L64/12+$H$13*(PARAM!$D$51/12)*RATES!$N64/100</f>
        <v>7.6666666666666661</v>
      </c>
      <c r="AT88" s="16">
        <f t="shared" si="35"/>
        <v>-589.63940995155963</v>
      </c>
      <c r="AU88" s="15">
        <f t="shared" si="11"/>
        <v>22.170849845882874</v>
      </c>
      <c r="AV88" s="75">
        <f>AU88*(1-PARAM!$C$27)*$I$14+(MOD($B88,60)=PARAM!$B$56)*($B88&gt;(60-PARAM!$B$56))*HLOOKUP(($B88+PARAM!$B$56)/12,Loyalty,2)*$F$1*MAX(AX87,0)</f>
        <v>18.557001321003963</v>
      </c>
      <c r="AW88" s="75">
        <f>PARAM!$C$26+MAX($G$14-CHOOSE(PARAM!$B$44,MAX(0,AX87*$F$1),0),0)*RATES!$L64/12+$H$14*(PARAM!$D$51/12)*RATES!$N64/100</f>
        <v>7.6666666666666661</v>
      </c>
      <c r="AX88" s="16">
        <f t="shared" si="36"/>
        <v>-589.63940995155963</v>
      </c>
      <c r="AY88" s="15">
        <f t="shared" si="12"/>
        <v>22.170849845882874</v>
      </c>
      <c r="AZ88" s="75">
        <f>AY88*(1-PARAM!$C$27)*$I$15+(MOD($B88,60)=PARAM!$B$56)*($B88&gt;(60-PARAM!$B$56))*HLOOKUP(($B88+PARAM!$B$56)/12,Loyalty,2)*$F$1*MAX(BB87,0)</f>
        <v>18.557001321003963</v>
      </c>
      <c r="BA88" s="75">
        <f>PARAM!$C$26+MAX($G$15-CHOOSE(PARAM!$B$44,MAX(0,BB87*$F$1),0),0)*RATES!$L64/12+$H$15*(PARAM!$D$51/12)*RATES!$N64/100</f>
        <v>7.6666666666666661</v>
      </c>
      <c r="BB88" s="16">
        <f t="shared" si="37"/>
        <v>-589.63940995155963</v>
      </c>
      <c r="BC88" s="15">
        <f t="shared" si="13"/>
        <v>22.170849845882874</v>
      </c>
      <c r="BD88" s="75">
        <f>BC88*(1-PARAM!$C$27)*$I$16+(MOD($B88,60)=PARAM!$B$56)*($B88&gt;(60-PARAM!$B$56))*HLOOKUP(($B88+PARAM!$B$56)/12,Loyalty,2)*$F$1*MAX(BF87,0)</f>
        <v>18.557001321003963</v>
      </c>
      <c r="BE88" s="75">
        <f>PARAM!$C$26+MAX($G$16-CHOOSE(PARAM!$B$44,MAX(0,BF87*$F$1),0),0)*RATES!$L64/12+$H$16*(PARAM!$D$51/12)*RATES!$N64/100</f>
        <v>7.6666666666666661</v>
      </c>
      <c r="BF88" s="16">
        <f t="shared" si="38"/>
        <v>-589.63940995155963</v>
      </c>
      <c r="BG88" s="15">
        <f t="shared" si="14"/>
        <v>22.170849845882874</v>
      </c>
      <c r="BH88" s="75">
        <f>BG88*(1-PARAM!$C$27)*$I$17+(MOD($B88,60)=PARAM!$B$56)*($B88&gt;(60-PARAM!$B$56))*HLOOKUP(($B88+PARAM!$B$56)/12,Loyalty,2)*$F$1*MAX(BJ87,0)</f>
        <v>18.557001321003963</v>
      </c>
      <c r="BI88" s="75">
        <f>PARAM!$C$26+MAX($G$17-CHOOSE(PARAM!$B$44,MAX(0,BJ87*$F$1),0),0)*RATES!$L64/12+$H$17*(PARAM!$D$51/12)*RATES!$N64/100</f>
        <v>7.6666666666666661</v>
      </c>
      <c r="BJ88" s="16">
        <f t="shared" si="39"/>
        <v>-589.63940995155963</v>
      </c>
      <c r="BK88" s="15">
        <f t="shared" si="15"/>
        <v>22.170849845882874</v>
      </c>
      <c r="BL88" s="75">
        <f>BK88*(1-PARAM!$C$27)*$I$18+(MOD($B88,60)=PARAM!$B$56)*($B88&gt;(60-PARAM!$B$56))*HLOOKUP(($B88+PARAM!$B$56)/12,Loyalty,2)*$F$1*MAX(BN87,0)</f>
        <v>18.557001321003963</v>
      </c>
      <c r="BM88" s="75">
        <f>PARAM!$C$26+MAX($G$18-CHOOSE(PARAM!$B$44,MAX(0,BN87*$F$1),0),0)*RATES!$L64/12+$H$18*(PARAM!$D$51/12)*RATES!$N64/100</f>
        <v>7.6666666666666661</v>
      </c>
      <c r="BN88" s="16">
        <f t="shared" si="40"/>
        <v>-589.63940995155963</v>
      </c>
      <c r="BO88" s="15">
        <f t="shared" si="16"/>
        <v>22.170849845882874</v>
      </c>
      <c r="BP88" s="75">
        <f>BO88*(1-PARAM!$C$27)*$I$19+(MOD($B88,60)=PARAM!$B$56)*($B88&gt;(60-PARAM!$B$56))*HLOOKUP(($B88+PARAM!$B$56)/12,Loyalty,2)*$F$1*MAX(BR87,0)</f>
        <v>18.557001321003963</v>
      </c>
      <c r="BQ88" s="75">
        <f>PARAM!$C$26+MAX($G$19-CHOOSE(PARAM!$B$44,MAX(0,BR87*$F$1),0),0)*RATES!$L64/12+$H$19*(PARAM!$D$51/12)*RATES!$N64/100</f>
        <v>7.6666666666666661</v>
      </c>
      <c r="BR88" s="16">
        <f t="shared" si="41"/>
        <v>-589.63940995155963</v>
      </c>
      <c r="BS88" s="15">
        <f t="shared" si="17"/>
        <v>22.170849845882874</v>
      </c>
      <c r="BT88" s="75">
        <f>BS88*(1-PARAM!$C$27)*$I$20+(MOD($B88,60)=PARAM!$B$56)*($B88&gt;(60-PARAM!$B$56))*HLOOKUP(($B88+PARAM!$B$56)/12,Loyalty,2)*$F$1*MAX(BV87,0)</f>
        <v>18.557001321003963</v>
      </c>
      <c r="BU88" s="75">
        <f>PARAM!$C$26+MAX($G$20-CHOOSE(PARAM!$B$44,MAX(0,BV87*$F$1),0),0)*RATES!$L64/12+$H$20*(PARAM!$D$51/12)*RATES!$N64/100</f>
        <v>7.6666666666666661</v>
      </c>
      <c r="BV88" s="16">
        <f t="shared" si="42"/>
        <v>-589.63940995155963</v>
      </c>
      <c r="BW88" s="15">
        <f t="shared" si="18"/>
        <v>22.170849845882874</v>
      </c>
      <c r="BX88" s="75">
        <f>BW88*(1-PARAM!$C$27)*$I$21+(MOD($B88,60)=PARAM!$B$56)*($B88&gt;(60-PARAM!$B$56))*HLOOKUP(($B88+PARAM!$B$56)/12,Loyalty,2)*$F$1*MAX(BZ87,0)</f>
        <v>18.557001321003963</v>
      </c>
      <c r="BY88" s="75">
        <f>PARAM!$C$26+MAX($G$21-CHOOSE(PARAM!$B$44,MAX(0,BZ87*$F$1),0),0)*RATES!$L64/12+$H$21*(PARAM!$D$51/12)*RATES!$N64/100</f>
        <v>7.6666666666666661</v>
      </c>
      <c r="BZ88" s="16">
        <f t="shared" si="43"/>
        <v>-589.63940995155963</v>
      </c>
      <c r="CA88" s="15">
        <f t="shared" si="19"/>
        <v>22.170849845882874</v>
      </c>
      <c r="CB88" s="75">
        <f>CA88*(1-PARAM!$C$27)*$I$22+(MOD($B88,60)=PARAM!$B$56)*($B88&gt;(60-PARAM!$B$56))*HLOOKUP(($B88+PARAM!$B$56)/12,Loyalty,2)*$F$1*MAX(CD87,0)</f>
        <v>18.557001321003963</v>
      </c>
      <c r="CC88" s="75">
        <f>PARAM!$C$26+MAX($G$22-CHOOSE(PARAM!$B$44,MAX(0,CD87*$F$1),0),0)*RATES!$L64/12+$H$22*(PARAM!$D$51/12)*RATES!$N64/100</f>
        <v>7.6666666666666661</v>
      </c>
      <c r="CD88" s="16">
        <f t="shared" si="44"/>
        <v>-589.63940995155963</v>
      </c>
      <c r="CE88" s="33">
        <f>IF(0=MOD(B88,12/PARAM!$D$51),1,0)</f>
        <v>1</v>
      </c>
      <c r="CF88" s="15">
        <f t="shared" si="20"/>
        <v>0</v>
      </c>
      <c r="CG88" s="75">
        <f>CF88*(1-PARAM!$C$27)*$R$3+(MOD($B88/12,5)=0)*($B88&gt;60)*HLOOKUP($B88/12,Loyalty,2)*$F$1*MAX(CI87,0)</f>
        <v>0</v>
      </c>
      <c r="CH88" s="75">
        <f>PARAM!$C$26+MAX($P$3-CHOOSE(PARAM!$B$44,MAX(0,CI87*$F$1),0),0)*RATES!$L64/12+$Q$3*(PARAM!$D$51/12)*RATES!$N64/100</f>
        <v>7.6666666666666661</v>
      </c>
      <c r="CI88" s="16">
        <f>IF(CI87&gt;0,CI87*PARAM!$C$53,CI87)+CG88-CH88</f>
        <v>-1527.333333333333</v>
      </c>
      <c r="CJ88" s="15">
        <f t="shared" si="45"/>
        <v>0</v>
      </c>
      <c r="CK88" s="75">
        <f>CJ88*(1-PARAM!$C$27)*$R$4+(MOD($B88/12,5)=0)*($B88&gt;60)*HLOOKUP($B88/12,Loyalty,2)*$F$1*MAX(CM87,0)</f>
        <v>0</v>
      </c>
      <c r="CL88" s="75">
        <f>PARAM!$C$26+MAX($P$4-CHOOSE(PARAM!$B$44,MAX(0,CM87*$F$1),0),0)*RATES!$L64/12+$Q$4*(PARAM!$D$51/12)*RATES!$N64/100</f>
        <v>7.6666666666666661</v>
      </c>
      <c r="CM88" s="16">
        <f>IF(CM87&gt;0,CM87*PARAM!$C$53,CM87)+CK88-CL88</f>
        <v>-1527.333333333333</v>
      </c>
      <c r="CO88" s="176"/>
    </row>
    <row r="89" spans="1:93" x14ac:dyDescent="0.2">
      <c r="A89" t="b">
        <f t="shared" si="21"/>
        <v>0</v>
      </c>
      <c r="B89" s="33">
        <v>62</v>
      </c>
      <c r="C89" s="15">
        <f t="shared" si="46"/>
        <v>20.081305947392778</v>
      </c>
      <c r="D89" s="75">
        <f>C89*(1-PARAM!$C$27)*$I$3+(MOD($B89,60)=PARAM!$B$56)*($B89&gt;(60-PARAM!$B$56))*HLOOKUP(($B89+PARAM!$B$56)/12,Loyalty,2)*$F$1*MAX(F88,0)</f>
        <v>16.808053077967756</v>
      </c>
      <c r="E89" s="75">
        <f>PARAM!$C$26+MAX($G$3-CHOOSE(PARAM!$B$44,MAX(0,F88*$F$1),0),0)*RATES!$L65/12+$H$3*(PARAM!$D$51/12)*RATES!$N65/100</f>
        <v>7.6666666666666661</v>
      </c>
      <c r="F89" s="16">
        <f t="shared" si="22"/>
        <v>-668.87319318300069</v>
      </c>
      <c r="G89" s="15">
        <f t="shared" si="23"/>
        <v>22.035289406060361</v>
      </c>
      <c r="H89" s="75">
        <f>G89*(1-PARAM!$C$27)*$I$4+(MOD($B89,60)=PARAM!$B$56)*($B89&gt;(60-PARAM!$B$56))*HLOOKUP(($B89+PARAM!$B$56)/12,Loyalty,2)*$F$1*MAX(J88,0)</f>
        <v>18.443537232872522</v>
      </c>
      <c r="I89" s="75">
        <f>PARAM!$C$26+MAX($G$4-CHOOSE(PARAM!$B$44,MAX(0,J88*$F$1),0),0)*RATES!$L65/12+$H$4*(PARAM!$D$51/12)*RATES!$N65/100</f>
        <v>7.6666666666666661</v>
      </c>
      <c r="J89" s="16">
        <f t="shared" si="24"/>
        <v>-584.59593262721046</v>
      </c>
      <c r="K89" s="15">
        <f t="shared" si="25"/>
        <v>22.170849845882874</v>
      </c>
      <c r="L89" s="75">
        <f>K89*(1-PARAM!$C$27)*$I$5+(MOD($B89,60)=PARAM!$B$56)*($B89&gt;(60-PARAM!$B$56))*HLOOKUP(($B89+PARAM!$B$56)/12,Loyalty,2)*$F$1*MAX(N88,0)</f>
        <v>18.557001321003963</v>
      </c>
      <c r="M89" s="75">
        <f>PARAM!$C$26+MAX($G$5-CHOOSE(PARAM!$B$44,MAX(0,N88*$F$1),0),0)*RATES!$L65/12+$H$5*(PARAM!$D$51/12)*RATES!$N65/100</f>
        <v>7.6666666666666661</v>
      </c>
      <c r="N89" s="16">
        <f t="shared" si="26"/>
        <v>-578.74907529722225</v>
      </c>
      <c r="O89" s="15">
        <f t="shared" si="27"/>
        <v>22.170849845882874</v>
      </c>
      <c r="P89" s="75">
        <f>O89*(1-PARAM!$C$27)*$I$6+(MOD($B89,60)=PARAM!$B$56)*($B89&gt;(60-PARAM!$B$56))*HLOOKUP(($B89+PARAM!$B$56)/12,Loyalty,2)*$F$1*MAX(R88,0)</f>
        <v>18.557001321003963</v>
      </c>
      <c r="Q89" s="75">
        <f>PARAM!$C$26+MAX($G$6-CHOOSE(PARAM!$B$44,MAX(0,R88*$F$1),0),0)*RATES!$L65/12+$H$6*(PARAM!$D$51/12)*RATES!$N65/100</f>
        <v>7.6666666666666661</v>
      </c>
      <c r="R89" s="16">
        <f t="shared" si="28"/>
        <v>-578.74907529722225</v>
      </c>
      <c r="S89" s="15">
        <f t="shared" si="4"/>
        <v>22.170849845882874</v>
      </c>
      <c r="T89" s="75">
        <f>S89*(1-PARAM!$C$27)*$I$7+(MOD($B89,60)=PARAM!$B$56)*($B89&gt;(60-PARAM!$B$56))*HLOOKUP(($B89+PARAM!$B$56)/12,Loyalty,2)*$F$1*MAX(V88,0)</f>
        <v>18.557001321003963</v>
      </c>
      <c r="U89" s="75">
        <f>PARAM!$C$26+MAX($G$7-CHOOSE(PARAM!$B$44,MAX(0,V88*$F$1),0),0)*RATES!$L65/12+$H$7*(PARAM!$D$51/12)*RATES!$N65/100</f>
        <v>7.6666666666666661</v>
      </c>
      <c r="V89" s="16">
        <f t="shared" si="29"/>
        <v>-578.74907529722225</v>
      </c>
      <c r="W89" s="15">
        <f t="shared" si="5"/>
        <v>22.170849845882874</v>
      </c>
      <c r="X89" s="75">
        <f>W89*(1-PARAM!$C$27)*$I$8+(MOD($B89,60)=PARAM!$B$56)*($B89&gt;(60-PARAM!$B$56))*HLOOKUP(($B89+PARAM!$B$56)/12,Loyalty,2)*$F$1*MAX(Z88,0)</f>
        <v>18.557001321003963</v>
      </c>
      <c r="Y89" s="75">
        <f>PARAM!$C$26+MAX($G$8-CHOOSE(PARAM!$B$44,MAX(0,Z88*$F$1),0),0)*RATES!$L65/12+$H$8*(PARAM!$D$51/12)*RATES!$N65/100</f>
        <v>7.6666666666666661</v>
      </c>
      <c r="Z89" s="16">
        <f t="shared" si="30"/>
        <v>-578.74907529722225</v>
      </c>
      <c r="AA89" s="15">
        <f t="shared" si="6"/>
        <v>22.170849845882874</v>
      </c>
      <c r="AB89" s="75">
        <f>AA89*(1-PARAM!$C$27)*$I$9+(MOD($B89,60)=PARAM!$B$56)*($B89&gt;(60-PARAM!$B$56))*HLOOKUP(($B89+PARAM!$B$56)/12,Loyalty,2)*$F$1*MAX(AD88,0)</f>
        <v>18.557001321003963</v>
      </c>
      <c r="AC89" s="75">
        <f>PARAM!$C$26+MAX($G$9-CHOOSE(PARAM!$B$44,MAX(0,AD88*$F$1),0),0)*RATES!$L65/12+$H$9*(PARAM!$D$51/12)*RATES!$N65/100</f>
        <v>7.6666666666666661</v>
      </c>
      <c r="AD89" s="16">
        <f t="shared" si="31"/>
        <v>-578.74907529722225</v>
      </c>
      <c r="AE89" s="15">
        <f t="shared" si="7"/>
        <v>22.170849845882874</v>
      </c>
      <c r="AF89" s="75">
        <f>AE89*(1-PARAM!$C$27)*$I$10+(MOD($B89,60)=PARAM!$B$56)*($B89&gt;(60-PARAM!$B$56))*HLOOKUP(($B89+PARAM!$B$56)/12,Loyalty,2)*$F$1*MAX(AH88,0)</f>
        <v>18.557001321003963</v>
      </c>
      <c r="AG89" s="75">
        <f>PARAM!$C$26+MAX($G$10-CHOOSE(PARAM!$B$44,MAX(0,AH88*$F$1),0),0)*RATES!$L65/12+$H$10*(PARAM!$D$51/12)*RATES!$N65/100</f>
        <v>7.6666666666666661</v>
      </c>
      <c r="AH89" s="16">
        <f t="shared" si="32"/>
        <v>-578.74907529722225</v>
      </c>
      <c r="AI89" s="15">
        <f t="shared" si="8"/>
        <v>22.170849845882874</v>
      </c>
      <c r="AJ89" s="75">
        <f>AI89*(1-PARAM!$C$27)*$I$11+(MOD($B89,60)=PARAM!$B$56)*($B89&gt;(60-PARAM!$B$56))*HLOOKUP(($B89+PARAM!$B$56)/12,Loyalty,2)*$F$1*MAX(AL88,0)</f>
        <v>18.557001321003963</v>
      </c>
      <c r="AK89" s="75">
        <f>PARAM!$C$26+MAX($G$11-CHOOSE(PARAM!$B$44,MAX(0,AL88*$F$1),0),0)*RATES!$L65/12+$H$11*(PARAM!$D$51/12)*RATES!$N65/100</f>
        <v>7.6666666666666661</v>
      </c>
      <c r="AL89" s="16">
        <f t="shared" si="33"/>
        <v>-578.74907529722225</v>
      </c>
      <c r="AM89" s="15">
        <f t="shared" si="9"/>
        <v>22.170849845882874</v>
      </c>
      <c r="AN89" s="75">
        <f>AM89*(1-PARAM!$C$27)*$I$12+(MOD($B89,60)=PARAM!$B$56)*($B89&gt;(60-PARAM!$B$56))*HLOOKUP(($B89+PARAM!$B$56)/12,Loyalty,2)*$F$1*MAX(AP88,0)</f>
        <v>18.557001321003963</v>
      </c>
      <c r="AO89" s="75">
        <f>PARAM!$C$26+MAX($G$12-CHOOSE(PARAM!$B$44,MAX(0,AP88*$F$1),0),0)*RATES!$L65/12+$H$12*(PARAM!$D$51/12)*RATES!$N65/100</f>
        <v>7.6666666666666661</v>
      </c>
      <c r="AP89" s="16">
        <f t="shared" si="34"/>
        <v>-578.74907529722225</v>
      </c>
      <c r="AQ89" s="15">
        <f t="shared" si="10"/>
        <v>22.170849845882874</v>
      </c>
      <c r="AR89" s="75">
        <f>AQ89*(1-PARAM!$C$27)*$I$13+(MOD($B89,60)=PARAM!$B$56)*($B89&gt;(60-PARAM!$B$56))*HLOOKUP(($B89+PARAM!$B$56)/12,Loyalty,2)*$F$1*MAX(AT88,0)</f>
        <v>18.557001321003963</v>
      </c>
      <c r="AS89" s="75">
        <f>PARAM!$C$26+MAX($G$13-CHOOSE(PARAM!$B$44,MAX(0,AT88*$F$1),0),0)*RATES!$L65/12+$H$13*(PARAM!$D$51/12)*RATES!$N65/100</f>
        <v>7.6666666666666661</v>
      </c>
      <c r="AT89" s="16">
        <f t="shared" si="35"/>
        <v>-578.74907529722225</v>
      </c>
      <c r="AU89" s="15">
        <f t="shared" si="11"/>
        <v>22.170849845882874</v>
      </c>
      <c r="AV89" s="75">
        <f>AU89*(1-PARAM!$C$27)*$I$14+(MOD($B89,60)=PARAM!$B$56)*($B89&gt;(60-PARAM!$B$56))*HLOOKUP(($B89+PARAM!$B$56)/12,Loyalty,2)*$F$1*MAX(AX88,0)</f>
        <v>18.557001321003963</v>
      </c>
      <c r="AW89" s="75">
        <f>PARAM!$C$26+MAX($G$14-CHOOSE(PARAM!$B$44,MAX(0,AX88*$F$1),0),0)*RATES!$L65/12+$H$14*(PARAM!$D$51/12)*RATES!$N65/100</f>
        <v>7.6666666666666661</v>
      </c>
      <c r="AX89" s="16">
        <f t="shared" si="36"/>
        <v>-578.74907529722225</v>
      </c>
      <c r="AY89" s="15">
        <f t="shared" si="12"/>
        <v>22.170849845882874</v>
      </c>
      <c r="AZ89" s="75">
        <f>AY89*(1-PARAM!$C$27)*$I$15+(MOD($B89,60)=PARAM!$B$56)*($B89&gt;(60-PARAM!$B$56))*HLOOKUP(($B89+PARAM!$B$56)/12,Loyalty,2)*$F$1*MAX(BB88,0)</f>
        <v>18.557001321003963</v>
      </c>
      <c r="BA89" s="75">
        <f>PARAM!$C$26+MAX($G$15-CHOOSE(PARAM!$B$44,MAX(0,BB88*$F$1),0),0)*RATES!$L65/12+$H$15*(PARAM!$D$51/12)*RATES!$N65/100</f>
        <v>7.6666666666666661</v>
      </c>
      <c r="BB89" s="16">
        <f t="shared" si="37"/>
        <v>-578.74907529722225</v>
      </c>
      <c r="BC89" s="15">
        <f t="shared" si="13"/>
        <v>22.170849845882874</v>
      </c>
      <c r="BD89" s="75">
        <f>BC89*(1-PARAM!$C$27)*$I$16+(MOD($B89,60)=PARAM!$B$56)*($B89&gt;(60-PARAM!$B$56))*HLOOKUP(($B89+PARAM!$B$56)/12,Loyalty,2)*$F$1*MAX(BF88,0)</f>
        <v>18.557001321003963</v>
      </c>
      <c r="BE89" s="75">
        <f>PARAM!$C$26+MAX($G$16-CHOOSE(PARAM!$B$44,MAX(0,BF88*$F$1),0),0)*RATES!$L65/12+$H$16*(PARAM!$D$51/12)*RATES!$N65/100</f>
        <v>7.6666666666666661</v>
      </c>
      <c r="BF89" s="16">
        <f t="shared" si="38"/>
        <v>-578.74907529722225</v>
      </c>
      <c r="BG89" s="15">
        <f t="shared" si="14"/>
        <v>22.170849845882874</v>
      </c>
      <c r="BH89" s="75">
        <f>BG89*(1-PARAM!$C$27)*$I$17+(MOD($B89,60)=PARAM!$B$56)*($B89&gt;(60-PARAM!$B$56))*HLOOKUP(($B89+PARAM!$B$56)/12,Loyalty,2)*$F$1*MAX(BJ88,0)</f>
        <v>18.557001321003963</v>
      </c>
      <c r="BI89" s="75">
        <f>PARAM!$C$26+MAX($G$17-CHOOSE(PARAM!$B$44,MAX(0,BJ88*$F$1),0),0)*RATES!$L65/12+$H$17*(PARAM!$D$51/12)*RATES!$N65/100</f>
        <v>7.6666666666666661</v>
      </c>
      <c r="BJ89" s="16">
        <f t="shared" si="39"/>
        <v>-578.74907529722225</v>
      </c>
      <c r="BK89" s="15">
        <f t="shared" si="15"/>
        <v>22.170849845882874</v>
      </c>
      <c r="BL89" s="75">
        <f>BK89*(1-PARAM!$C$27)*$I$18+(MOD($B89,60)=PARAM!$B$56)*($B89&gt;(60-PARAM!$B$56))*HLOOKUP(($B89+PARAM!$B$56)/12,Loyalty,2)*$F$1*MAX(BN88,0)</f>
        <v>18.557001321003963</v>
      </c>
      <c r="BM89" s="75">
        <f>PARAM!$C$26+MAX($G$18-CHOOSE(PARAM!$B$44,MAX(0,BN88*$F$1),0),0)*RATES!$L65/12+$H$18*(PARAM!$D$51/12)*RATES!$N65/100</f>
        <v>7.6666666666666661</v>
      </c>
      <c r="BN89" s="16">
        <f t="shared" si="40"/>
        <v>-578.74907529722225</v>
      </c>
      <c r="BO89" s="15">
        <f t="shared" si="16"/>
        <v>22.170849845882874</v>
      </c>
      <c r="BP89" s="75">
        <f>BO89*(1-PARAM!$C$27)*$I$19+(MOD($B89,60)=PARAM!$B$56)*($B89&gt;(60-PARAM!$B$56))*HLOOKUP(($B89+PARAM!$B$56)/12,Loyalty,2)*$F$1*MAX(BR88,0)</f>
        <v>18.557001321003963</v>
      </c>
      <c r="BQ89" s="75">
        <f>PARAM!$C$26+MAX($G$19-CHOOSE(PARAM!$B$44,MAX(0,BR88*$F$1),0),0)*RATES!$L65/12+$H$19*(PARAM!$D$51/12)*RATES!$N65/100</f>
        <v>7.6666666666666661</v>
      </c>
      <c r="BR89" s="16">
        <f t="shared" si="41"/>
        <v>-578.74907529722225</v>
      </c>
      <c r="BS89" s="15">
        <f t="shared" si="17"/>
        <v>22.170849845882874</v>
      </c>
      <c r="BT89" s="75">
        <f>BS89*(1-PARAM!$C$27)*$I$20+(MOD($B89,60)=PARAM!$B$56)*($B89&gt;(60-PARAM!$B$56))*HLOOKUP(($B89+PARAM!$B$56)/12,Loyalty,2)*$F$1*MAX(BV88,0)</f>
        <v>18.557001321003963</v>
      </c>
      <c r="BU89" s="75">
        <f>PARAM!$C$26+MAX($G$20-CHOOSE(PARAM!$B$44,MAX(0,BV88*$F$1),0),0)*RATES!$L65/12+$H$20*(PARAM!$D$51/12)*RATES!$N65/100</f>
        <v>7.6666666666666661</v>
      </c>
      <c r="BV89" s="16">
        <f t="shared" si="42"/>
        <v>-578.74907529722225</v>
      </c>
      <c r="BW89" s="15">
        <f t="shared" si="18"/>
        <v>22.170849845882874</v>
      </c>
      <c r="BX89" s="75">
        <f>BW89*(1-PARAM!$C$27)*$I$21+(MOD($B89,60)=PARAM!$B$56)*($B89&gt;(60-PARAM!$B$56))*HLOOKUP(($B89+PARAM!$B$56)/12,Loyalty,2)*$F$1*MAX(BZ88,0)</f>
        <v>18.557001321003963</v>
      </c>
      <c r="BY89" s="75">
        <f>PARAM!$C$26+MAX($G$21-CHOOSE(PARAM!$B$44,MAX(0,BZ88*$F$1),0),0)*RATES!$L65/12+$H$21*(PARAM!$D$51/12)*RATES!$N65/100</f>
        <v>7.6666666666666661</v>
      </c>
      <c r="BZ89" s="16">
        <f t="shared" si="43"/>
        <v>-578.74907529722225</v>
      </c>
      <c r="CA89" s="15">
        <f t="shared" si="19"/>
        <v>22.170849845882874</v>
      </c>
      <c r="CB89" s="75">
        <f>CA89*(1-PARAM!$C$27)*$I$22+(MOD($B89,60)=PARAM!$B$56)*($B89&gt;(60-PARAM!$B$56))*HLOOKUP(($B89+PARAM!$B$56)/12,Loyalty,2)*$F$1*MAX(CD88,0)</f>
        <v>18.557001321003963</v>
      </c>
      <c r="CC89" s="75">
        <f>PARAM!$C$26+MAX($G$22-CHOOSE(PARAM!$B$44,MAX(0,CD88*$F$1),0),0)*RATES!$L65/12+$H$22*(PARAM!$D$51/12)*RATES!$N65/100</f>
        <v>7.6666666666666661</v>
      </c>
      <c r="CD89" s="16">
        <f t="shared" si="44"/>
        <v>-578.74907529722225</v>
      </c>
      <c r="CE89" s="33">
        <f>IF(0=MOD(B89,12/PARAM!$D$51),1,0)</f>
        <v>1</v>
      </c>
      <c r="CF89" s="15">
        <f t="shared" si="20"/>
        <v>0</v>
      </c>
      <c r="CG89" s="75">
        <f>CF89*(1-PARAM!$C$27)*$R$3+(MOD($B89/12,5)=0)*($B89&gt;60)*HLOOKUP($B89/12,Loyalty,2)*$F$1*MAX(CI88,0)</f>
        <v>0</v>
      </c>
      <c r="CH89" s="75">
        <f>PARAM!$C$26+MAX($P$3-CHOOSE(PARAM!$B$44,MAX(0,CI88*$F$1),0),0)*RATES!$L65/12+$Q$3*(PARAM!$D$51/12)*RATES!$N65/100</f>
        <v>7.6666666666666661</v>
      </c>
      <c r="CI89" s="16">
        <f>IF(CI88&gt;0,CI88*PARAM!$C$53,CI88)+CG89-CH89</f>
        <v>-1534.9999999999998</v>
      </c>
      <c r="CJ89" s="15">
        <f t="shared" si="45"/>
        <v>0</v>
      </c>
      <c r="CK89" s="75">
        <f>CJ89*(1-PARAM!$C$27)*$R$4+(MOD($B89/12,5)=0)*($B89&gt;60)*HLOOKUP($B89/12,Loyalty,2)*$F$1*MAX(CM88,0)</f>
        <v>0</v>
      </c>
      <c r="CL89" s="75">
        <f>PARAM!$C$26+MAX($P$4-CHOOSE(PARAM!$B$44,MAX(0,CM88*$F$1),0),0)*RATES!$L65/12+$Q$4*(PARAM!$D$51/12)*RATES!$N65/100</f>
        <v>7.6666666666666661</v>
      </c>
      <c r="CM89" s="16">
        <f>IF(CM88&gt;0,CM88*PARAM!$C$53,CM88)+CK89-CL89</f>
        <v>-1534.9999999999998</v>
      </c>
      <c r="CO89" s="176"/>
    </row>
    <row r="90" spans="1:93" x14ac:dyDescent="0.2">
      <c r="A90" t="b">
        <f t="shared" si="21"/>
        <v>0</v>
      </c>
      <c r="B90" s="33">
        <v>63</v>
      </c>
      <c r="C90" s="15">
        <f t="shared" si="46"/>
        <v>20.081305947392778</v>
      </c>
      <c r="D90" s="75">
        <f>C90*(1-PARAM!$C$27)*$I$3+(MOD($B90,60)=PARAM!$B$56)*($B90&gt;(60-PARAM!$B$56))*HLOOKUP(($B90+PARAM!$B$56)/12,Loyalty,2)*$F$1*MAX(F89,0)</f>
        <v>16.808053077967756</v>
      </c>
      <c r="E90" s="75">
        <f>PARAM!$C$26+MAX($G$3-CHOOSE(PARAM!$B$44,MAX(0,F89*$F$1),0),0)*RATES!$L66/12+$H$3*(PARAM!$D$51/12)*RATES!$N66/100</f>
        <v>7.6666666666666661</v>
      </c>
      <c r="F90" s="16">
        <f t="shared" si="22"/>
        <v>-659.73180677169955</v>
      </c>
      <c r="G90" s="15">
        <f t="shared" si="23"/>
        <v>22.035289406060361</v>
      </c>
      <c r="H90" s="75">
        <f>G90*(1-PARAM!$C$27)*$I$4+(MOD($B90,60)=PARAM!$B$56)*($B90&gt;(60-PARAM!$B$56))*HLOOKUP(($B90+PARAM!$B$56)/12,Loyalty,2)*$F$1*MAX(J89,0)</f>
        <v>18.443537232872522</v>
      </c>
      <c r="I90" s="75">
        <f>PARAM!$C$26+MAX($G$4-CHOOSE(PARAM!$B$44,MAX(0,J89*$F$1),0),0)*RATES!$L66/12+$H$4*(PARAM!$D$51/12)*RATES!$N66/100</f>
        <v>7.6666666666666661</v>
      </c>
      <c r="J90" s="16">
        <f t="shared" si="24"/>
        <v>-573.81906206100462</v>
      </c>
      <c r="K90" s="15">
        <f t="shared" si="25"/>
        <v>22.170849845882874</v>
      </c>
      <c r="L90" s="75">
        <f>K90*(1-PARAM!$C$27)*$I$5+(MOD($B90,60)=PARAM!$B$56)*($B90&gt;(60-PARAM!$B$56))*HLOOKUP(($B90+PARAM!$B$56)/12,Loyalty,2)*$F$1*MAX(N89,0)</f>
        <v>18.557001321003963</v>
      </c>
      <c r="M90" s="75">
        <f>PARAM!$C$26+MAX($G$5-CHOOSE(PARAM!$B$44,MAX(0,N89*$F$1),0),0)*RATES!$L66/12+$H$5*(PARAM!$D$51/12)*RATES!$N66/100</f>
        <v>7.6666666666666661</v>
      </c>
      <c r="N90" s="16">
        <f t="shared" si="26"/>
        <v>-567.85874064288487</v>
      </c>
      <c r="O90" s="15">
        <f t="shared" si="27"/>
        <v>22.170849845882874</v>
      </c>
      <c r="P90" s="75">
        <f>O90*(1-PARAM!$C$27)*$I$6+(MOD($B90,60)=PARAM!$B$56)*($B90&gt;(60-PARAM!$B$56))*HLOOKUP(($B90+PARAM!$B$56)/12,Loyalty,2)*$F$1*MAX(R89,0)</f>
        <v>18.557001321003963</v>
      </c>
      <c r="Q90" s="75">
        <f>PARAM!$C$26+MAX($G$6-CHOOSE(PARAM!$B$44,MAX(0,R89*$F$1),0),0)*RATES!$L66/12+$H$6*(PARAM!$D$51/12)*RATES!$N66/100</f>
        <v>7.6666666666666661</v>
      </c>
      <c r="R90" s="16">
        <f t="shared" si="28"/>
        <v>-567.85874064288487</v>
      </c>
      <c r="S90" s="15">
        <f t="shared" si="4"/>
        <v>22.170849845882874</v>
      </c>
      <c r="T90" s="75">
        <f>S90*(1-PARAM!$C$27)*$I$7+(MOD($B90,60)=PARAM!$B$56)*($B90&gt;(60-PARAM!$B$56))*HLOOKUP(($B90+PARAM!$B$56)/12,Loyalty,2)*$F$1*MAX(V89,0)</f>
        <v>18.557001321003963</v>
      </c>
      <c r="U90" s="75">
        <f>PARAM!$C$26+MAX($G$7-CHOOSE(PARAM!$B$44,MAX(0,V89*$F$1),0),0)*RATES!$L66/12+$H$7*(PARAM!$D$51/12)*RATES!$N66/100</f>
        <v>7.6666666666666661</v>
      </c>
      <c r="V90" s="16">
        <f t="shared" si="29"/>
        <v>-567.85874064288487</v>
      </c>
      <c r="W90" s="15">
        <f t="shared" si="5"/>
        <v>22.170849845882874</v>
      </c>
      <c r="X90" s="75">
        <f>W90*(1-PARAM!$C$27)*$I$8+(MOD($B90,60)=PARAM!$B$56)*($B90&gt;(60-PARAM!$B$56))*HLOOKUP(($B90+PARAM!$B$56)/12,Loyalty,2)*$F$1*MAX(Z89,0)</f>
        <v>18.557001321003963</v>
      </c>
      <c r="Y90" s="75">
        <f>PARAM!$C$26+MAX($G$8-CHOOSE(PARAM!$B$44,MAX(0,Z89*$F$1),0),0)*RATES!$L66/12+$H$8*(PARAM!$D$51/12)*RATES!$N66/100</f>
        <v>7.6666666666666661</v>
      </c>
      <c r="Z90" s="16">
        <f t="shared" si="30"/>
        <v>-567.85874064288487</v>
      </c>
      <c r="AA90" s="15">
        <f t="shared" si="6"/>
        <v>22.170849845882874</v>
      </c>
      <c r="AB90" s="75">
        <f>AA90*(1-PARAM!$C$27)*$I$9+(MOD($B90,60)=PARAM!$B$56)*($B90&gt;(60-PARAM!$B$56))*HLOOKUP(($B90+PARAM!$B$56)/12,Loyalty,2)*$F$1*MAX(AD89,0)</f>
        <v>18.557001321003963</v>
      </c>
      <c r="AC90" s="75">
        <f>PARAM!$C$26+MAX($G$9-CHOOSE(PARAM!$B$44,MAX(0,AD89*$F$1),0),0)*RATES!$L66/12+$H$9*(PARAM!$D$51/12)*RATES!$N66/100</f>
        <v>7.6666666666666661</v>
      </c>
      <c r="AD90" s="16">
        <f t="shared" si="31"/>
        <v>-567.85874064288487</v>
      </c>
      <c r="AE90" s="15">
        <f t="shared" si="7"/>
        <v>22.170849845882874</v>
      </c>
      <c r="AF90" s="75">
        <f>AE90*(1-PARAM!$C$27)*$I$10+(MOD($B90,60)=PARAM!$B$56)*($B90&gt;(60-PARAM!$B$56))*HLOOKUP(($B90+PARAM!$B$56)/12,Loyalty,2)*$F$1*MAX(AH89,0)</f>
        <v>18.557001321003963</v>
      </c>
      <c r="AG90" s="75">
        <f>PARAM!$C$26+MAX($G$10-CHOOSE(PARAM!$B$44,MAX(0,AH89*$F$1),0),0)*RATES!$L66/12+$H$10*(PARAM!$D$51/12)*RATES!$N66/100</f>
        <v>7.6666666666666661</v>
      </c>
      <c r="AH90" s="16">
        <f t="shared" si="32"/>
        <v>-567.85874064288487</v>
      </c>
      <c r="AI90" s="15">
        <f t="shared" si="8"/>
        <v>22.170849845882874</v>
      </c>
      <c r="AJ90" s="75">
        <f>AI90*(1-PARAM!$C$27)*$I$11+(MOD($B90,60)=PARAM!$B$56)*($B90&gt;(60-PARAM!$B$56))*HLOOKUP(($B90+PARAM!$B$56)/12,Loyalty,2)*$F$1*MAX(AL89,0)</f>
        <v>18.557001321003963</v>
      </c>
      <c r="AK90" s="75">
        <f>PARAM!$C$26+MAX($G$11-CHOOSE(PARAM!$B$44,MAX(0,AL89*$F$1),0),0)*RATES!$L66/12+$H$11*(PARAM!$D$51/12)*RATES!$N66/100</f>
        <v>7.6666666666666661</v>
      </c>
      <c r="AL90" s="16">
        <f t="shared" si="33"/>
        <v>-567.85874064288487</v>
      </c>
      <c r="AM90" s="15">
        <f t="shared" si="9"/>
        <v>22.170849845882874</v>
      </c>
      <c r="AN90" s="75">
        <f>AM90*(1-PARAM!$C$27)*$I$12+(MOD($B90,60)=PARAM!$B$56)*($B90&gt;(60-PARAM!$B$56))*HLOOKUP(($B90+PARAM!$B$56)/12,Loyalty,2)*$F$1*MAX(AP89,0)</f>
        <v>18.557001321003963</v>
      </c>
      <c r="AO90" s="75">
        <f>PARAM!$C$26+MAX($G$12-CHOOSE(PARAM!$B$44,MAX(0,AP89*$F$1),0),0)*RATES!$L66/12+$H$12*(PARAM!$D$51/12)*RATES!$N66/100</f>
        <v>7.6666666666666661</v>
      </c>
      <c r="AP90" s="16">
        <f t="shared" si="34"/>
        <v>-567.85874064288487</v>
      </c>
      <c r="AQ90" s="15">
        <f t="shared" si="10"/>
        <v>22.170849845882874</v>
      </c>
      <c r="AR90" s="75">
        <f>AQ90*(1-PARAM!$C$27)*$I$13+(MOD($B90,60)=PARAM!$B$56)*($B90&gt;(60-PARAM!$B$56))*HLOOKUP(($B90+PARAM!$B$56)/12,Loyalty,2)*$F$1*MAX(AT89,0)</f>
        <v>18.557001321003963</v>
      </c>
      <c r="AS90" s="75">
        <f>PARAM!$C$26+MAX($G$13-CHOOSE(PARAM!$B$44,MAX(0,AT89*$F$1),0),0)*RATES!$L66/12+$H$13*(PARAM!$D$51/12)*RATES!$N66/100</f>
        <v>7.6666666666666661</v>
      </c>
      <c r="AT90" s="16">
        <f t="shared" si="35"/>
        <v>-567.85874064288487</v>
      </c>
      <c r="AU90" s="15">
        <f t="shared" si="11"/>
        <v>22.170849845882874</v>
      </c>
      <c r="AV90" s="75">
        <f>AU90*(1-PARAM!$C$27)*$I$14+(MOD($B90,60)=PARAM!$B$56)*($B90&gt;(60-PARAM!$B$56))*HLOOKUP(($B90+PARAM!$B$56)/12,Loyalty,2)*$F$1*MAX(AX89,0)</f>
        <v>18.557001321003963</v>
      </c>
      <c r="AW90" s="75">
        <f>PARAM!$C$26+MAX($G$14-CHOOSE(PARAM!$B$44,MAX(0,AX89*$F$1),0),0)*RATES!$L66/12+$H$14*(PARAM!$D$51/12)*RATES!$N66/100</f>
        <v>7.6666666666666661</v>
      </c>
      <c r="AX90" s="16">
        <f t="shared" si="36"/>
        <v>-567.85874064288487</v>
      </c>
      <c r="AY90" s="15">
        <f t="shared" si="12"/>
        <v>22.170849845882874</v>
      </c>
      <c r="AZ90" s="75">
        <f>AY90*(1-PARAM!$C$27)*$I$15+(MOD($B90,60)=PARAM!$B$56)*($B90&gt;(60-PARAM!$B$56))*HLOOKUP(($B90+PARAM!$B$56)/12,Loyalty,2)*$F$1*MAX(BB89,0)</f>
        <v>18.557001321003963</v>
      </c>
      <c r="BA90" s="75">
        <f>PARAM!$C$26+MAX($G$15-CHOOSE(PARAM!$B$44,MAX(0,BB89*$F$1),0),0)*RATES!$L66/12+$H$15*(PARAM!$D$51/12)*RATES!$N66/100</f>
        <v>7.6666666666666661</v>
      </c>
      <c r="BB90" s="16">
        <f t="shared" si="37"/>
        <v>-567.85874064288487</v>
      </c>
      <c r="BC90" s="15">
        <f t="shared" si="13"/>
        <v>22.170849845882874</v>
      </c>
      <c r="BD90" s="75">
        <f>BC90*(1-PARAM!$C$27)*$I$16+(MOD($B90,60)=PARAM!$B$56)*($B90&gt;(60-PARAM!$B$56))*HLOOKUP(($B90+PARAM!$B$56)/12,Loyalty,2)*$F$1*MAX(BF89,0)</f>
        <v>18.557001321003963</v>
      </c>
      <c r="BE90" s="75">
        <f>PARAM!$C$26+MAX($G$16-CHOOSE(PARAM!$B$44,MAX(0,BF89*$F$1),0),0)*RATES!$L66/12+$H$16*(PARAM!$D$51/12)*RATES!$N66/100</f>
        <v>7.6666666666666661</v>
      </c>
      <c r="BF90" s="16">
        <f t="shared" si="38"/>
        <v>-567.85874064288487</v>
      </c>
      <c r="BG90" s="15">
        <f t="shared" si="14"/>
        <v>22.170849845882874</v>
      </c>
      <c r="BH90" s="75">
        <f>BG90*(1-PARAM!$C$27)*$I$17+(MOD($B90,60)=PARAM!$B$56)*($B90&gt;(60-PARAM!$B$56))*HLOOKUP(($B90+PARAM!$B$56)/12,Loyalty,2)*$F$1*MAX(BJ89,0)</f>
        <v>18.557001321003963</v>
      </c>
      <c r="BI90" s="75">
        <f>PARAM!$C$26+MAX($G$17-CHOOSE(PARAM!$B$44,MAX(0,BJ89*$F$1),0),0)*RATES!$L66/12+$H$17*(PARAM!$D$51/12)*RATES!$N66/100</f>
        <v>7.6666666666666661</v>
      </c>
      <c r="BJ90" s="16">
        <f t="shared" si="39"/>
        <v>-567.85874064288487</v>
      </c>
      <c r="BK90" s="15">
        <f t="shared" si="15"/>
        <v>22.170849845882874</v>
      </c>
      <c r="BL90" s="75">
        <f>BK90*(1-PARAM!$C$27)*$I$18+(MOD($B90,60)=PARAM!$B$56)*($B90&gt;(60-PARAM!$B$56))*HLOOKUP(($B90+PARAM!$B$56)/12,Loyalty,2)*$F$1*MAX(BN89,0)</f>
        <v>18.557001321003963</v>
      </c>
      <c r="BM90" s="75">
        <f>PARAM!$C$26+MAX($G$18-CHOOSE(PARAM!$B$44,MAX(0,BN89*$F$1),0),0)*RATES!$L66/12+$H$18*(PARAM!$D$51/12)*RATES!$N66/100</f>
        <v>7.6666666666666661</v>
      </c>
      <c r="BN90" s="16">
        <f t="shared" si="40"/>
        <v>-567.85874064288487</v>
      </c>
      <c r="BO90" s="15">
        <f t="shared" si="16"/>
        <v>22.170849845882874</v>
      </c>
      <c r="BP90" s="75">
        <f>BO90*(1-PARAM!$C$27)*$I$19+(MOD($B90,60)=PARAM!$B$56)*($B90&gt;(60-PARAM!$B$56))*HLOOKUP(($B90+PARAM!$B$56)/12,Loyalty,2)*$F$1*MAX(BR89,0)</f>
        <v>18.557001321003963</v>
      </c>
      <c r="BQ90" s="75">
        <f>PARAM!$C$26+MAX($G$19-CHOOSE(PARAM!$B$44,MAX(0,BR89*$F$1),0),0)*RATES!$L66/12+$H$19*(PARAM!$D$51/12)*RATES!$N66/100</f>
        <v>7.6666666666666661</v>
      </c>
      <c r="BR90" s="16">
        <f t="shared" si="41"/>
        <v>-567.85874064288487</v>
      </c>
      <c r="BS90" s="15">
        <f t="shared" si="17"/>
        <v>22.170849845882874</v>
      </c>
      <c r="BT90" s="75">
        <f>BS90*(1-PARAM!$C$27)*$I$20+(MOD($B90,60)=PARAM!$B$56)*($B90&gt;(60-PARAM!$B$56))*HLOOKUP(($B90+PARAM!$B$56)/12,Loyalty,2)*$F$1*MAX(BV89,0)</f>
        <v>18.557001321003963</v>
      </c>
      <c r="BU90" s="75">
        <f>PARAM!$C$26+MAX($G$20-CHOOSE(PARAM!$B$44,MAX(0,BV89*$F$1),0),0)*RATES!$L66/12+$H$20*(PARAM!$D$51/12)*RATES!$N66/100</f>
        <v>7.6666666666666661</v>
      </c>
      <c r="BV90" s="16">
        <f t="shared" si="42"/>
        <v>-567.85874064288487</v>
      </c>
      <c r="BW90" s="15">
        <f t="shared" si="18"/>
        <v>22.170849845882874</v>
      </c>
      <c r="BX90" s="75">
        <f>BW90*(1-PARAM!$C$27)*$I$21+(MOD($B90,60)=PARAM!$B$56)*($B90&gt;(60-PARAM!$B$56))*HLOOKUP(($B90+PARAM!$B$56)/12,Loyalty,2)*$F$1*MAX(BZ89,0)</f>
        <v>18.557001321003963</v>
      </c>
      <c r="BY90" s="75">
        <f>PARAM!$C$26+MAX($G$21-CHOOSE(PARAM!$B$44,MAX(0,BZ89*$F$1),0),0)*RATES!$L66/12+$H$21*(PARAM!$D$51/12)*RATES!$N66/100</f>
        <v>7.6666666666666661</v>
      </c>
      <c r="BZ90" s="16">
        <f t="shared" si="43"/>
        <v>-567.85874064288487</v>
      </c>
      <c r="CA90" s="15">
        <f t="shared" si="19"/>
        <v>22.170849845882874</v>
      </c>
      <c r="CB90" s="75">
        <f>CA90*(1-PARAM!$C$27)*$I$22+(MOD($B90,60)=PARAM!$B$56)*($B90&gt;(60-PARAM!$B$56))*HLOOKUP(($B90+PARAM!$B$56)/12,Loyalty,2)*$F$1*MAX(CD89,0)</f>
        <v>18.557001321003963</v>
      </c>
      <c r="CC90" s="75">
        <f>PARAM!$C$26+MAX($G$22-CHOOSE(PARAM!$B$44,MAX(0,CD89*$F$1),0),0)*RATES!$L66/12+$H$22*(PARAM!$D$51/12)*RATES!$N66/100</f>
        <v>7.6666666666666661</v>
      </c>
      <c r="CD90" s="16">
        <f t="shared" si="44"/>
        <v>-567.85874064288487</v>
      </c>
      <c r="CE90" s="33">
        <f>IF(0=MOD(B90,12/PARAM!$D$51),1,0)</f>
        <v>1</v>
      </c>
      <c r="CF90" s="15">
        <f t="shared" si="20"/>
        <v>0</v>
      </c>
      <c r="CG90" s="75">
        <f>CF90*(1-PARAM!$C$27)*$R$3+(MOD($B90/12,5)=0)*($B90&gt;60)*HLOOKUP($B90/12,Loyalty,2)*$F$1*MAX(CI89,0)</f>
        <v>0</v>
      </c>
      <c r="CH90" s="75">
        <f>PARAM!$C$26+MAX($P$3-CHOOSE(PARAM!$B$44,MAX(0,CI89*$F$1),0),0)*RATES!$L66/12+$Q$3*(PARAM!$D$51/12)*RATES!$N66/100</f>
        <v>7.6666666666666661</v>
      </c>
      <c r="CI90" s="16">
        <f>IF(CI89&gt;0,CI89*PARAM!$C$53,CI89)+CG90-CH90</f>
        <v>-1542.6666666666665</v>
      </c>
      <c r="CJ90" s="15">
        <f t="shared" si="45"/>
        <v>0</v>
      </c>
      <c r="CK90" s="75">
        <f>CJ90*(1-PARAM!$C$27)*$R$4+(MOD($B90/12,5)=0)*($B90&gt;60)*HLOOKUP($B90/12,Loyalty,2)*$F$1*MAX(CM89,0)</f>
        <v>0</v>
      </c>
      <c r="CL90" s="75">
        <f>PARAM!$C$26+MAX($P$4-CHOOSE(PARAM!$B$44,MAX(0,CM89*$F$1),0),0)*RATES!$L66/12+$Q$4*(PARAM!$D$51/12)*RATES!$N66/100</f>
        <v>7.6666666666666661</v>
      </c>
      <c r="CM90" s="16">
        <f>IF(CM89&gt;0,CM89*PARAM!$C$53,CM89)+CK90-CL90</f>
        <v>-1542.6666666666665</v>
      </c>
      <c r="CO90" s="176"/>
    </row>
    <row r="91" spans="1:93" x14ac:dyDescent="0.2">
      <c r="A91" t="b">
        <f t="shared" si="21"/>
        <v>0</v>
      </c>
      <c r="B91" s="33">
        <v>64</v>
      </c>
      <c r="C91" s="15">
        <f t="shared" si="46"/>
        <v>20.081305947392778</v>
      </c>
      <c r="D91" s="75">
        <f>C91*(1-PARAM!$C$27)*$I$3+(MOD($B91,60)=PARAM!$B$56)*($B91&gt;(60-PARAM!$B$56))*HLOOKUP(($B91+PARAM!$B$56)/12,Loyalty,2)*$F$1*MAX(F90,0)</f>
        <v>16.808053077967756</v>
      </c>
      <c r="E91" s="75">
        <f>PARAM!$C$26+MAX($G$3-CHOOSE(PARAM!$B$44,MAX(0,F90*$F$1),0),0)*RATES!$L67/12+$H$3*(PARAM!$D$51/12)*RATES!$N67/100</f>
        <v>7.6666666666666661</v>
      </c>
      <c r="F91" s="16">
        <f t="shared" si="22"/>
        <v>-650.59042036039841</v>
      </c>
      <c r="G91" s="15">
        <f t="shared" si="23"/>
        <v>22.035289406060361</v>
      </c>
      <c r="H91" s="75">
        <f>G91*(1-PARAM!$C$27)*$I$4+(MOD($B91,60)=PARAM!$B$56)*($B91&gt;(60-PARAM!$B$56))*HLOOKUP(($B91+PARAM!$B$56)/12,Loyalty,2)*$F$1*MAX(J90,0)</f>
        <v>18.443537232872522</v>
      </c>
      <c r="I91" s="75">
        <f>PARAM!$C$26+MAX($G$4-CHOOSE(PARAM!$B$44,MAX(0,J90*$F$1),0),0)*RATES!$L67/12+$H$4*(PARAM!$D$51/12)*RATES!$N67/100</f>
        <v>7.6666666666666661</v>
      </c>
      <c r="J91" s="16">
        <f t="shared" si="24"/>
        <v>-563.04219149479877</v>
      </c>
      <c r="K91" s="15">
        <f t="shared" si="25"/>
        <v>22.170849845882874</v>
      </c>
      <c r="L91" s="75">
        <f>K91*(1-PARAM!$C$27)*$I$5+(MOD($B91,60)=PARAM!$B$56)*($B91&gt;(60-PARAM!$B$56))*HLOOKUP(($B91+PARAM!$B$56)/12,Loyalty,2)*$F$1*MAX(N90,0)</f>
        <v>18.557001321003963</v>
      </c>
      <c r="M91" s="75">
        <f>PARAM!$C$26+MAX($G$5-CHOOSE(PARAM!$B$44,MAX(0,N90*$F$1),0),0)*RATES!$L67/12+$H$5*(PARAM!$D$51/12)*RATES!$N67/100</f>
        <v>7.6666666666666661</v>
      </c>
      <c r="N91" s="16">
        <f t="shared" si="26"/>
        <v>-556.96840598854749</v>
      </c>
      <c r="O91" s="15">
        <f t="shared" si="27"/>
        <v>22.170849845882874</v>
      </c>
      <c r="P91" s="75">
        <f>O91*(1-PARAM!$C$27)*$I$6+(MOD($B91,60)=PARAM!$B$56)*($B91&gt;(60-PARAM!$B$56))*HLOOKUP(($B91+PARAM!$B$56)/12,Loyalty,2)*$F$1*MAX(R90,0)</f>
        <v>18.557001321003963</v>
      </c>
      <c r="Q91" s="75">
        <f>PARAM!$C$26+MAX($G$6-CHOOSE(PARAM!$B$44,MAX(0,R90*$F$1),0),0)*RATES!$L67/12+$H$6*(PARAM!$D$51/12)*RATES!$N67/100</f>
        <v>7.6666666666666661</v>
      </c>
      <c r="R91" s="16">
        <f t="shared" si="28"/>
        <v>-556.96840598854749</v>
      </c>
      <c r="S91" s="15">
        <f t="shared" ref="S91:S154" si="47">$H$7*$CE91</f>
        <v>22.170849845882874</v>
      </c>
      <c r="T91" s="75">
        <f>S91*(1-PARAM!$C$27)*$I$7+(MOD($B91,60)=PARAM!$B$56)*($B91&gt;(60-PARAM!$B$56))*HLOOKUP(($B91+PARAM!$B$56)/12,Loyalty,2)*$F$1*MAX(V90,0)</f>
        <v>18.557001321003963</v>
      </c>
      <c r="U91" s="75">
        <f>PARAM!$C$26+MAX($G$7-CHOOSE(PARAM!$B$44,MAX(0,V90*$F$1),0),0)*RATES!$L67/12+$H$7*(PARAM!$D$51/12)*RATES!$N67/100</f>
        <v>7.6666666666666661</v>
      </c>
      <c r="V91" s="16">
        <f t="shared" si="29"/>
        <v>-556.96840598854749</v>
      </c>
      <c r="W91" s="15">
        <f t="shared" ref="W91:W154" si="48">$H$8*$CE91</f>
        <v>22.170849845882874</v>
      </c>
      <c r="X91" s="75">
        <f>W91*(1-PARAM!$C$27)*$I$8+(MOD($B91,60)=PARAM!$B$56)*($B91&gt;(60-PARAM!$B$56))*HLOOKUP(($B91+PARAM!$B$56)/12,Loyalty,2)*$F$1*MAX(Z90,0)</f>
        <v>18.557001321003963</v>
      </c>
      <c r="Y91" s="75">
        <f>PARAM!$C$26+MAX($G$8-CHOOSE(PARAM!$B$44,MAX(0,Z90*$F$1),0),0)*RATES!$L67/12+$H$8*(PARAM!$D$51/12)*RATES!$N67/100</f>
        <v>7.6666666666666661</v>
      </c>
      <c r="Z91" s="16">
        <f t="shared" si="30"/>
        <v>-556.96840598854749</v>
      </c>
      <c r="AA91" s="15">
        <f t="shared" ref="AA91:AA154" si="49">$H$9*$CE91</f>
        <v>22.170849845882874</v>
      </c>
      <c r="AB91" s="75">
        <f>AA91*(1-PARAM!$C$27)*$I$9+(MOD($B91,60)=PARAM!$B$56)*($B91&gt;(60-PARAM!$B$56))*HLOOKUP(($B91+PARAM!$B$56)/12,Loyalty,2)*$F$1*MAX(AD90,0)</f>
        <v>18.557001321003963</v>
      </c>
      <c r="AC91" s="75">
        <f>PARAM!$C$26+MAX($G$9-CHOOSE(PARAM!$B$44,MAX(0,AD90*$F$1),0),0)*RATES!$L67/12+$H$9*(PARAM!$D$51/12)*RATES!$N67/100</f>
        <v>7.6666666666666661</v>
      </c>
      <c r="AD91" s="16">
        <f t="shared" si="31"/>
        <v>-556.96840598854749</v>
      </c>
      <c r="AE91" s="15">
        <f t="shared" ref="AE91:AE154" si="50">$H$10*$CE91</f>
        <v>22.170849845882874</v>
      </c>
      <c r="AF91" s="75">
        <f>AE91*(1-PARAM!$C$27)*$I$10+(MOD($B91,60)=PARAM!$B$56)*($B91&gt;(60-PARAM!$B$56))*HLOOKUP(($B91+PARAM!$B$56)/12,Loyalty,2)*$F$1*MAX(AH90,0)</f>
        <v>18.557001321003963</v>
      </c>
      <c r="AG91" s="75">
        <f>PARAM!$C$26+MAX($G$10-CHOOSE(PARAM!$B$44,MAX(0,AH90*$F$1),0),0)*RATES!$L67/12+$H$10*(PARAM!$D$51/12)*RATES!$N67/100</f>
        <v>7.6666666666666661</v>
      </c>
      <c r="AH91" s="16">
        <f t="shared" si="32"/>
        <v>-556.96840598854749</v>
      </c>
      <c r="AI91" s="15">
        <f t="shared" ref="AI91:AI154" si="51">$H$11*$CE91</f>
        <v>22.170849845882874</v>
      </c>
      <c r="AJ91" s="75">
        <f>AI91*(1-PARAM!$C$27)*$I$11+(MOD($B91,60)=PARAM!$B$56)*($B91&gt;(60-PARAM!$B$56))*HLOOKUP(($B91+PARAM!$B$56)/12,Loyalty,2)*$F$1*MAX(AL90,0)</f>
        <v>18.557001321003963</v>
      </c>
      <c r="AK91" s="75">
        <f>PARAM!$C$26+MAX($G$11-CHOOSE(PARAM!$B$44,MAX(0,AL90*$F$1),0),0)*RATES!$L67/12+$H$11*(PARAM!$D$51/12)*RATES!$N67/100</f>
        <v>7.6666666666666661</v>
      </c>
      <c r="AL91" s="16">
        <f t="shared" si="33"/>
        <v>-556.96840598854749</v>
      </c>
      <c r="AM91" s="15">
        <f t="shared" ref="AM91:AM154" si="52">$H$12*$CE91</f>
        <v>22.170849845882874</v>
      </c>
      <c r="AN91" s="75">
        <f>AM91*(1-PARAM!$C$27)*$I$12+(MOD($B91,60)=PARAM!$B$56)*($B91&gt;(60-PARAM!$B$56))*HLOOKUP(($B91+PARAM!$B$56)/12,Loyalty,2)*$F$1*MAX(AP90,0)</f>
        <v>18.557001321003963</v>
      </c>
      <c r="AO91" s="75">
        <f>PARAM!$C$26+MAX($G$12-CHOOSE(PARAM!$B$44,MAX(0,AP90*$F$1),0),0)*RATES!$L67/12+$H$12*(PARAM!$D$51/12)*RATES!$N67/100</f>
        <v>7.6666666666666661</v>
      </c>
      <c r="AP91" s="16">
        <f t="shared" si="34"/>
        <v>-556.96840598854749</v>
      </c>
      <c r="AQ91" s="15">
        <f t="shared" ref="AQ91:AQ154" si="53">$H$13*$CE91</f>
        <v>22.170849845882874</v>
      </c>
      <c r="AR91" s="75">
        <f>AQ91*(1-PARAM!$C$27)*$I$13+(MOD($B91,60)=PARAM!$B$56)*($B91&gt;(60-PARAM!$B$56))*HLOOKUP(($B91+PARAM!$B$56)/12,Loyalty,2)*$F$1*MAX(AT90,0)</f>
        <v>18.557001321003963</v>
      </c>
      <c r="AS91" s="75">
        <f>PARAM!$C$26+MAX($G$13-CHOOSE(PARAM!$B$44,MAX(0,AT90*$F$1),0),0)*RATES!$L67/12+$H$13*(PARAM!$D$51/12)*RATES!$N67/100</f>
        <v>7.6666666666666661</v>
      </c>
      <c r="AT91" s="16">
        <f t="shared" si="35"/>
        <v>-556.96840598854749</v>
      </c>
      <c r="AU91" s="15">
        <f t="shared" ref="AU91:AU154" si="54">$H$14*$CE91</f>
        <v>22.170849845882874</v>
      </c>
      <c r="AV91" s="75">
        <f>AU91*(1-PARAM!$C$27)*$I$14+(MOD($B91,60)=PARAM!$B$56)*($B91&gt;(60-PARAM!$B$56))*HLOOKUP(($B91+PARAM!$B$56)/12,Loyalty,2)*$F$1*MAX(AX90,0)</f>
        <v>18.557001321003963</v>
      </c>
      <c r="AW91" s="75">
        <f>PARAM!$C$26+MAX($G$14-CHOOSE(PARAM!$B$44,MAX(0,AX90*$F$1),0),0)*RATES!$L67/12+$H$14*(PARAM!$D$51/12)*RATES!$N67/100</f>
        <v>7.6666666666666661</v>
      </c>
      <c r="AX91" s="16">
        <f t="shared" si="36"/>
        <v>-556.96840598854749</v>
      </c>
      <c r="AY91" s="15">
        <f t="shared" ref="AY91:AY154" si="55">$H$15*$CE91</f>
        <v>22.170849845882874</v>
      </c>
      <c r="AZ91" s="75">
        <f>AY91*(1-PARAM!$C$27)*$I$15+(MOD($B91,60)=PARAM!$B$56)*($B91&gt;(60-PARAM!$B$56))*HLOOKUP(($B91+PARAM!$B$56)/12,Loyalty,2)*$F$1*MAX(BB90,0)</f>
        <v>18.557001321003963</v>
      </c>
      <c r="BA91" s="75">
        <f>PARAM!$C$26+MAX($G$15-CHOOSE(PARAM!$B$44,MAX(0,BB90*$F$1),0),0)*RATES!$L67/12+$H$15*(PARAM!$D$51/12)*RATES!$N67/100</f>
        <v>7.6666666666666661</v>
      </c>
      <c r="BB91" s="16">
        <f t="shared" si="37"/>
        <v>-556.96840598854749</v>
      </c>
      <c r="BC91" s="15">
        <f t="shared" ref="BC91:BC154" si="56">$H$16*$CE91</f>
        <v>22.170849845882874</v>
      </c>
      <c r="BD91" s="75">
        <f>BC91*(1-PARAM!$C$27)*$I$16+(MOD($B91,60)=PARAM!$B$56)*($B91&gt;(60-PARAM!$B$56))*HLOOKUP(($B91+PARAM!$B$56)/12,Loyalty,2)*$F$1*MAX(BF90,0)</f>
        <v>18.557001321003963</v>
      </c>
      <c r="BE91" s="75">
        <f>PARAM!$C$26+MAX($G$16-CHOOSE(PARAM!$B$44,MAX(0,BF90*$F$1),0),0)*RATES!$L67/12+$H$16*(PARAM!$D$51/12)*RATES!$N67/100</f>
        <v>7.6666666666666661</v>
      </c>
      <c r="BF91" s="16">
        <f t="shared" si="38"/>
        <v>-556.96840598854749</v>
      </c>
      <c r="BG91" s="15">
        <f t="shared" ref="BG91:BG154" si="57">$H$17*$CE91</f>
        <v>22.170849845882874</v>
      </c>
      <c r="BH91" s="75">
        <f>BG91*(1-PARAM!$C$27)*$I$17+(MOD($B91,60)=PARAM!$B$56)*($B91&gt;(60-PARAM!$B$56))*HLOOKUP(($B91+PARAM!$B$56)/12,Loyalty,2)*$F$1*MAX(BJ90,0)</f>
        <v>18.557001321003963</v>
      </c>
      <c r="BI91" s="75">
        <f>PARAM!$C$26+MAX($G$17-CHOOSE(PARAM!$B$44,MAX(0,BJ90*$F$1),0),0)*RATES!$L67/12+$H$17*(PARAM!$D$51/12)*RATES!$N67/100</f>
        <v>7.6666666666666661</v>
      </c>
      <c r="BJ91" s="16">
        <f t="shared" si="39"/>
        <v>-556.96840598854749</v>
      </c>
      <c r="BK91" s="15">
        <f t="shared" ref="BK91:BK154" si="58">$H$18*$CE91</f>
        <v>22.170849845882874</v>
      </c>
      <c r="BL91" s="75">
        <f>BK91*(1-PARAM!$C$27)*$I$18+(MOD($B91,60)=PARAM!$B$56)*($B91&gt;(60-PARAM!$B$56))*HLOOKUP(($B91+PARAM!$B$56)/12,Loyalty,2)*$F$1*MAX(BN90,0)</f>
        <v>18.557001321003963</v>
      </c>
      <c r="BM91" s="75">
        <f>PARAM!$C$26+MAX($G$18-CHOOSE(PARAM!$B$44,MAX(0,BN90*$F$1),0),0)*RATES!$L67/12+$H$18*(PARAM!$D$51/12)*RATES!$N67/100</f>
        <v>7.6666666666666661</v>
      </c>
      <c r="BN91" s="16">
        <f t="shared" si="40"/>
        <v>-556.96840598854749</v>
      </c>
      <c r="BO91" s="15">
        <f t="shared" ref="BO91:BO154" si="59">$H$19*$CE91</f>
        <v>22.170849845882874</v>
      </c>
      <c r="BP91" s="75">
        <f>BO91*(1-PARAM!$C$27)*$I$19+(MOD($B91,60)=PARAM!$B$56)*($B91&gt;(60-PARAM!$B$56))*HLOOKUP(($B91+PARAM!$B$56)/12,Loyalty,2)*$F$1*MAX(BR90,0)</f>
        <v>18.557001321003963</v>
      </c>
      <c r="BQ91" s="75">
        <f>PARAM!$C$26+MAX($G$19-CHOOSE(PARAM!$B$44,MAX(0,BR90*$F$1),0),0)*RATES!$L67/12+$H$19*(PARAM!$D$51/12)*RATES!$N67/100</f>
        <v>7.6666666666666661</v>
      </c>
      <c r="BR91" s="16">
        <f t="shared" si="41"/>
        <v>-556.96840598854749</v>
      </c>
      <c r="BS91" s="15">
        <f t="shared" ref="BS91:BS154" si="60">$H$20*$CE91</f>
        <v>22.170849845882874</v>
      </c>
      <c r="BT91" s="75">
        <f>BS91*(1-PARAM!$C$27)*$I$20+(MOD($B91,60)=PARAM!$B$56)*($B91&gt;(60-PARAM!$B$56))*HLOOKUP(($B91+PARAM!$B$56)/12,Loyalty,2)*$F$1*MAX(BV90,0)</f>
        <v>18.557001321003963</v>
      </c>
      <c r="BU91" s="75">
        <f>PARAM!$C$26+MAX($G$20-CHOOSE(PARAM!$B$44,MAX(0,BV90*$F$1),0),0)*RATES!$L67/12+$H$20*(PARAM!$D$51/12)*RATES!$N67/100</f>
        <v>7.6666666666666661</v>
      </c>
      <c r="BV91" s="16">
        <f t="shared" si="42"/>
        <v>-556.96840598854749</v>
      </c>
      <c r="BW91" s="15">
        <f t="shared" ref="BW91:BW154" si="61">$H$21*$CE91</f>
        <v>22.170849845882874</v>
      </c>
      <c r="BX91" s="75">
        <f>BW91*(1-PARAM!$C$27)*$I$21+(MOD($B91,60)=PARAM!$B$56)*($B91&gt;(60-PARAM!$B$56))*HLOOKUP(($B91+PARAM!$B$56)/12,Loyalty,2)*$F$1*MAX(BZ90,0)</f>
        <v>18.557001321003963</v>
      </c>
      <c r="BY91" s="75">
        <f>PARAM!$C$26+MAX($G$21-CHOOSE(PARAM!$B$44,MAX(0,BZ90*$F$1),0),0)*RATES!$L67/12+$H$21*(PARAM!$D$51/12)*RATES!$N67/100</f>
        <v>7.6666666666666661</v>
      </c>
      <c r="BZ91" s="16">
        <f t="shared" si="43"/>
        <v>-556.96840598854749</v>
      </c>
      <c r="CA91" s="15">
        <f t="shared" ref="CA91:CA154" si="62">$H$22*$CE91</f>
        <v>22.170849845882874</v>
      </c>
      <c r="CB91" s="75">
        <f>CA91*(1-PARAM!$C$27)*$I$22+(MOD($B91,60)=PARAM!$B$56)*($B91&gt;(60-PARAM!$B$56))*HLOOKUP(($B91+PARAM!$B$56)/12,Loyalty,2)*$F$1*MAX(CD90,0)</f>
        <v>18.557001321003963</v>
      </c>
      <c r="CC91" s="75">
        <f>PARAM!$C$26+MAX($G$22-CHOOSE(PARAM!$B$44,MAX(0,CD90*$F$1),0),0)*RATES!$L67/12+$H$22*(PARAM!$D$51/12)*RATES!$N67/100</f>
        <v>7.6666666666666661</v>
      </c>
      <c r="CD91" s="16">
        <f t="shared" si="44"/>
        <v>-556.96840598854749</v>
      </c>
      <c r="CE91" s="33">
        <f>IF(0=MOD(B91,12/PARAM!$D$51),1,0)</f>
        <v>1</v>
      </c>
      <c r="CF91" s="15">
        <f t="shared" ref="CF91:CF154" si="63">$Q$3*CE91</f>
        <v>0</v>
      </c>
      <c r="CG91" s="75">
        <f>CF91*(1-PARAM!$C$27)*$R$3+(MOD($B91/12,5)=0)*($B91&gt;60)*HLOOKUP($B91/12,Loyalty,2)*$F$1*MAX(CI90,0)</f>
        <v>0</v>
      </c>
      <c r="CH91" s="75">
        <f>PARAM!$C$26+MAX($P$3-CHOOSE(PARAM!$B$44,MAX(0,CI90*$F$1),0),0)*RATES!$L67/12+$Q$3*(PARAM!$D$51/12)*RATES!$N67/100</f>
        <v>7.6666666666666661</v>
      </c>
      <c r="CI91" s="16">
        <f>IF(CI90&gt;0,CI90*PARAM!$C$53,CI90)+CG91-CH91</f>
        <v>-1550.3333333333333</v>
      </c>
      <c r="CJ91" s="15">
        <f t="shared" si="45"/>
        <v>0</v>
      </c>
      <c r="CK91" s="75">
        <f>CJ91*(1-PARAM!$C$27)*$R$4+(MOD($B91/12,5)=0)*($B91&gt;60)*HLOOKUP($B91/12,Loyalty,2)*$F$1*MAX(CM90,0)</f>
        <v>0</v>
      </c>
      <c r="CL91" s="75">
        <f>PARAM!$C$26+MAX($P$4-CHOOSE(PARAM!$B$44,MAX(0,CM90*$F$1),0),0)*RATES!$L67/12+$Q$4*(PARAM!$D$51/12)*RATES!$N67/100</f>
        <v>7.6666666666666661</v>
      </c>
      <c r="CM91" s="16">
        <f>IF(CM90&gt;0,CM90*PARAM!$C$53,CM90)+CK91-CL91</f>
        <v>-1550.3333333333333</v>
      </c>
      <c r="CO91" s="176"/>
    </row>
    <row r="92" spans="1:93" x14ac:dyDescent="0.2">
      <c r="A92" t="b">
        <f t="shared" ref="A92:A155" si="64">F92&gt;0</f>
        <v>0</v>
      </c>
      <c r="B92" s="33">
        <v>65</v>
      </c>
      <c r="C92" s="15">
        <f t="shared" ref="C92:C155" si="65">$H$3*$CE92</f>
        <v>20.081305947392778</v>
      </c>
      <c r="D92" s="75">
        <f>C92*(1-PARAM!$C$27)*$I$3+(MOD($B92,60)=PARAM!$B$56)*($B92&gt;(60-PARAM!$B$56))*HLOOKUP(($B92+PARAM!$B$56)/12,Loyalty,2)*$F$1*MAX(F91,0)</f>
        <v>16.808053077967756</v>
      </c>
      <c r="E92" s="75">
        <f>PARAM!$C$26+MAX($G$3-CHOOSE(PARAM!$B$44,MAX(0,F91*$F$1),0),0)*RATES!$L68/12+$H$3*(PARAM!$D$51/12)*RATES!$N68/100</f>
        <v>7.6666666666666661</v>
      </c>
      <c r="F92" s="16">
        <f t="shared" ref="F92:F155" si="66">IF(F91&gt;0,F91*$F$1,F91)+D92-E92</f>
        <v>-641.44903394909727</v>
      </c>
      <c r="G92" s="15">
        <f t="shared" ref="G92:G155" si="67">$H$4*$CE92</f>
        <v>22.035289406060361</v>
      </c>
      <c r="H92" s="75">
        <f>G92*(1-PARAM!$C$27)*$I$4+(MOD($B92,60)=PARAM!$B$56)*($B92&gt;(60-PARAM!$B$56))*HLOOKUP(($B92+PARAM!$B$56)/12,Loyalty,2)*$F$1*MAX(J91,0)</f>
        <v>18.443537232872522</v>
      </c>
      <c r="I92" s="75">
        <f>PARAM!$C$26+MAX($G$4-CHOOSE(PARAM!$B$44,MAX(0,J91*$F$1),0),0)*RATES!$L68/12+$H$4*(PARAM!$D$51/12)*RATES!$N68/100</f>
        <v>7.6666666666666661</v>
      </c>
      <c r="J92" s="16">
        <f t="shared" ref="J92:J155" si="68">IF(J91&gt;0,J91*$F$1,J91)+H92-I92</f>
        <v>-552.26532092859293</v>
      </c>
      <c r="K92" s="15">
        <f t="shared" ref="K92:K155" si="69">$H$5*$CE92</f>
        <v>22.170849845882874</v>
      </c>
      <c r="L92" s="75">
        <f>K92*(1-PARAM!$C$27)*$I$5+(MOD($B92,60)=PARAM!$B$56)*($B92&gt;(60-PARAM!$B$56))*HLOOKUP(($B92+PARAM!$B$56)/12,Loyalty,2)*$F$1*MAX(N91,0)</f>
        <v>18.557001321003963</v>
      </c>
      <c r="M92" s="75">
        <f>PARAM!$C$26+MAX($G$5-CHOOSE(PARAM!$B$44,MAX(0,N91*$F$1),0),0)*RATES!$L68/12+$H$5*(PARAM!$D$51/12)*RATES!$N68/100</f>
        <v>7.6666666666666661</v>
      </c>
      <c r="N92" s="16">
        <f t="shared" ref="N92:N155" si="70">IF(N91&gt;0,N91*$F$1,N91)+L92-M92</f>
        <v>-546.07807133421011</v>
      </c>
      <c r="O92" s="15">
        <f t="shared" ref="O92:O155" si="71">$H$6*$CE92</f>
        <v>22.170849845882874</v>
      </c>
      <c r="P92" s="75">
        <f>O92*(1-PARAM!$C$27)*$I$6+(MOD($B92,60)=PARAM!$B$56)*($B92&gt;(60-PARAM!$B$56))*HLOOKUP(($B92+PARAM!$B$56)/12,Loyalty,2)*$F$1*MAX(R91,0)</f>
        <v>18.557001321003963</v>
      </c>
      <c r="Q92" s="75">
        <f>PARAM!$C$26+MAX($G$6-CHOOSE(PARAM!$B$44,MAX(0,R91*$F$1),0),0)*RATES!$L68/12+$H$6*(PARAM!$D$51/12)*RATES!$N68/100</f>
        <v>7.6666666666666661</v>
      </c>
      <c r="R92" s="16">
        <f t="shared" ref="R92:R155" si="72">IF(R91&gt;0,R91*$F$1,R91)+P92-Q92</f>
        <v>-546.07807133421011</v>
      </c>
      <c r="S92" s="15">
        <f t="shared" si="47"/>
        <v>22.170849845882874</v>
      </c>
      <c r="T92" s="75">
        <f>S92*(1-PARAM!$C$27)*$I$7+(MOD($B92,60)=PARAM!$B$56)*($B92&gt;(60-PARAM!$B$56))*HLOOKUP(($B92+PARAM!$B$56)/12,Loyalty,2)*$F$1*MAX(V91,0)</f>
        <v>18.557001321003963</v>
      </c>
      <c r="U92" s="75">
        <f>PARAM!$C$26+MAX($G$7-CHOOSE(PARAM!$B$44,MAX(0,V91*$F$1),0),0)*RATES!$L68/12+$H$7*(PARAM!$D$51/12)*RATES!$N68/100</f>
        <v>7.6666666666666661</v>
      </c>
      <c r="V92" s="16">
        <f t="shared" ref="V92:V155" si="73">IF(V91&gt;0,V91*$F$1,V91)+T92-U92</f>
        <v>-546.07807133421011</v>
      </c>
      <c r="W92" s="15">
        <f t="shared" si="48"/>
        <v>22.170849845882874</v>
      </c>
      <c r="X92" s="75">
        <f>W92*(1-PARAM!$C$27)*$I$8+(MOD($B92,60)=PARAM!$B$56)*($B92&gt;(60-PARAM!$B$56))*HLOOKUP(($B92+PARAM!$B$56)/12,Loyalty,2)*$F$1*MAX(Z91,0)</f>
        <v>18.557001321003963</v>
      </c>
      <c r="Y92" s="75">
        <f>PARAM!$C$26+MAX($G$8-CHOOSE(PARAM!$B$44,MAX(0,Z91*$F$1),0),0)*RATES!$L68/12+$H$8*(PARAM!$D$51/12)*RATES!$N68/100</f>
        <v>7.6666666666666661</v>
      </c>
      <c r="Z92" s="16">
        <f t="shared" ref="Z92:Z155" si="74">IF(Z91&gt;0,Z91*$F$1,Z91)+X92-Y92</f>
        <v>-546.07807133421011</v>
      </c>
      <c r="AA92" s="15">
        <f t="shared" si="49"/>
        <v>22.170849845882874</v>
      </c>
      <c r="AB92" s="75">
        <f>AA92*(1-PARAM!$C$27)*$I$9+(MOD($B92,60)=PARAM!$B$56)*($B92&gt;(60-PARAM!$B$56))*HLOOKUP(($B92+PARAM!$B$56)/12,Loyalty,2)*$F$1*MAX(AD91,0)</f>
        <v>18.557001321003963</v>
      </c>
      <c r="AC92" s="75">
        <f>PARAM!$C$26+MAX($G$9-CHOOSE(PARAM!$B$44,MAX(0,AD91*$F$1),0),0)*RATES!$L68/12+$H$9*(PARAM!$D$51/12)*RATES!$N68/100</f>
        <v>7.6666666666666661</v>
      </c>
      <c r="AD92" s="16">
        <f t="shared" ref="AD92:AD155" si="75">IF(AD91&gt;0,AD91*$F$1,AD91)+AB92-AC92</f>
        <v>-546.07807133421011</v>
      </c>
      <c r="AE92" s="15">
        <f t="shared" si="50"/>
        <v>22.170849845882874</v>
      </c>
      <c r="AF92" s="75">
        <f>AE92*(1-PARAM!$C$27)*$I$10+(MOD($B92,60)=PARAM!$B$56)*($B92&gt;(60-PARAM!$B$56))*HLOOKUP(($B92+PARAM!$B$56)/12,Loyalty,2)*$F$1*MAX(AH91,0)</f>
        <v>18.557001321003963</v>
      </c>
      <c r="AG92" s="75">
        <f>PARAM!$C$26+MAX($G$10-CHOOSE(PARAM!$B$44,MAX(0,AH91*$F$1),0),0)*RATES!$L68/12+$H$10*(PARAM!$D$51/12)*RATES!$N68/100</f>
        <v>7.6666666666666661</v>
      </c>
      <c r="AH92" s="16">
        <f t="shared" ref="AH92:AH155" si="76">IF(AH91&gt;0,AH91*$F$1,AH91)+AF92-AG92</f>
        <v>-546.07807133421011</v>
      </c>
      <c r="AI92" s="15">
        <f t="shared" si="51"/>
        <v>22.170849845882874</v>
      </c>
      <c r="AJ92" s="75">
        <f>AI92*(1-PARAM!$C$27)*$I$11+(MOD($B92,60)=PARAM!$B$56)*($B92&gt;(60-PARAM!$B$56))*HLOOKUP(($B92+PARAM!$B$56)/12,Loyalty,2)*$F$1*MAX(AL91,0)</f>
        <v>18.557001321003963</v>
      </c>
      <c r="AK92" s="75">
        <f>PARAM!$C$26+MAX($G$11-CHOOSE(PARAM!$B$44,MAX(0,AL91*$F$1),0),0)*RATES!$L68/12+$H$11*(PARAM!$D$51/12)*RATES!$N68/100</f>
        <v>7.6666666666666661</v>
      </c>
      <c r="AL92" s="16">
        <f t="shared" ref="AL92:AL155" si="77">IF(AL91&gt;0,AL91*$F$1,AL91)+AJ92-AK92</f>
        <v>-546.07807133421011</v>
      </c>
      <c r="AM92" s="15">
        <f t="shared" si="52"/>
        <v>22.170849845882874</v>
      </c>
      <c r="AN92" s="75">
        <f>AM92*(1-PARAM!$C$27)*$I$12+(MOD($B92,60)=PARAM!$B$56)*($B92&gt;(60-PARAM!$B$56))*HLOOKUP(($B92+PARAM!$B$56)/12,Loyalty,2)*$F$1*MAX(AP91,0)</f>
        <v>18.557001321003963</v>
      </c>
      <c r="AO92" s="75">
        <f>PARAM!$C$26+MAX($G$12-CHOOSE(PARAM!$B$44,MAX(0,AP91*$F$1),0),0)*RATES!$L68/12+$H$12*(PARAM!$D$51/12)*RATES!$N68/100</f>
        <v>7.6666666666666661</v>
      </c>
      <c r="AP92" s="16">
        <f t="shared" ref="AP92:AP155" si="78">IF(AP91&gt;0,AP91*$F$1,AP91)+AN92-AO92</f>
        <v>-546.07807133421011</v>
      </c>
      <c r="AQ92" s="15">
        <f t="shared" si="53"/>
        <v>22.170849845882874</v>
      </c>
      <c r="AR92" s="75">
        <f>AQ92*(1-PARAM!$C$27)*$I$13+(MOD($B92,60)=PARAM!$B$56)*($B92&gt;(60-PARAM!$B$56))*HLOOKUP(($B92+PARAM!$B$56)/12,Loyalty,2)*$F$1*MAX(AT91,0)</f>
        <v>18.557001321003963</v>
      </c>
      <c r="AS92" s="75">
        <f>PARAM!$C$26+MAX($G$13-CHOOSE(PARAM!$B$44,MAX(0,AT91*$F$1),0),0)*RATES!$L68/12+$H$13*(PARAM!$D$51/12)*RATES!$N68/100</f>
        <v>7.6666666666666661</v>
      </c>
      <c r="AT92" s="16">
        <f t="shared" ref="AT92:AT155" si="79">IF(AT91&gt;0,AT91*$F$1,AT91)+AR92-AS92</f>
        <v>-546.07807133421011</v>
      </c>
      <c r="AU92" s="15">
        <f t="shared" si="54"/>
        <v>22.170849845882874</v>
      </c>
      <c r="AV92" s="75">
        <f>AU92*(1-PARAM!$C$27)*$I$14+(MOD($B92,60)=PARAM!$B$56)*($B92&gt;(60-PARAM!$B$56))*HLOOKUP(($B92+PARAM!$B$56)/12,Loyalty,2)*$F$1*MAX(AX91,0)</f>
        <v>18.557001321003963</v>
      </c>
      <c r="AW92" s="75">
        <f>PARAM!$C$26+MAX($G$14-CHOOSE(PARAM!$B$44,MAX(0,AX91*$F$1),0),0)*RATES!$L68/12+$H$14*(PARAM!$D$51/12)*RATES!$N68/100</f>
        <v>7.6666666666666661</v>
      </c>
      <c r="AX92" s="16">
        <f t="shared" ref="AX92:AX155" si="80">IF(AX91&gt;0,AX91*$F$1,AX91)+AV92-AW92</f>
        <v>-546.07807133421011</v>
      </c>
      <c r="AY92" s="15">
        <f t="shared" si="55"/>
        <v>22.170849845882874</v>
      </c>
      <c r="AZ92" s="75">
        <f>AY92*(1-PARAM!$C$27)*$I$15+(MOD($B92,60)=PARAM!$B$56)*($B92&gt;(60-PARAM!$B$56))*HLOOKUP(($B92+PARAM!$B$56)/12,Loyalty,2)*$F$1*MAX(BB91,0)</f>
        <v>18.557001321003963</v>
      </c>
      <c r="BA92" s="75">
        <f>PARAM!$C$26+MAX($G$15-CHOOSE(PARAM!$B$44,MAX(0,BB91*$F$1),0),0)*RATES!$L68/12+$H$15*(PARAM!$D$51/12)*RATES!$N68/100</f>
        <v>7.6666666666666661</v>
      </c>
      <c r="BB92" s="16">
        <f t="shared" ref="BB92:BB155" si="81">IF(BB91&gt;0,BB91*$F$1,BB91)+AZ92-BA92</f>
        <v>-546.07807133421011</v>
      </c>
      <c r="BC92" s="15">
        <f t="shared" si="56"/>
        <v>22.170849845882874</v>
      </c>
      <c r="BD92" s="75">
        <f>BC92*(1-PARAM!$C$27)*$I$16+(MOD($B92,60)=PARAM!$B$56)*($B92&gt;(60-PARAM!$B$56))*HLOOKUP(($B92+PARAM!$B$56)/12,Loyalty,2)*$F$1*MAX(BF91,0)</f>
        <v>18.557001321003963</v>
      </c>
      <c r="BE92" s="75">
        <f>PARAM!$C$26+MAX($G$16-CHOOSE(PARAM!$B$44,MAX(0,BF91*$F$1),0),0)*RATES!$L68/12+$H$16*(PARAM!$D$51/12)*RATES!$N68/100</f>
        <v>7.6666666666666661</v>
      </c>
      <c r="BF92" s="16">
        <f t="shared" ref="BF92:BF155" si="82">IF(BF91&gt;0,BF91*$F$1,BF91)+BD92-BE92</f>
        <v>-546.07807133421011</v>
      </c>
      <c r="BG92" s="15">
        <f t="shared" si="57"/>
        <v>22.170849845882874</v>
      </c>
      <c r="BH92" s="75">
        <f>BG92*(1-PARAM!$C$27)*$I$17+(MOD($B92,60)=PARAM!$B$56)*($B92&gt;(60-PARAM!$B$56))*HLOOKUP(($B92+PARAM!$B$56)/12,Loyalty,2)*$F$1*MAX(BJ91,0)</f>
        <v>18.557001321003963</v>
      </c>
      <c r="BI92" s="75">
        <f>PARAM!$C$26+MAX($G$17-CHOOSE(PARAM!$B$44,MAX(0,BJ91*$F$1),0),0)*RATES!$L68/12+$H$17*(PARAM!$D$51/12)*RATES!$N68/100</f>
        <v>7.6666666666666661</v>
      </c>
      <c r="BJ92" s="16">
        <f t="shared" ref="BJ92:BJ155" si="83">IF(BJ91&gt;0,BJ91*$F$1,BJ91)+BH92-BI92</f>
        <v>-546.07807133421011</v>
      </c>
      <c r="BK92" s="15">
        <f t="shared" si="58"/>
        <v>22.170849845882874</v>
      </c>
      <c r="BL92" s="75">
        <f>BK92*(1-PARAM!$C$27)*$I$18+(MOD($B92,60)=PARAM!$B$56)*($B92&gt;(60-PARAM!$B$56))*HLOOKUP(($B92+PARAM!$B$56)/12,Loyalty,2)*$F$1*MAX(BN91,0)</f>
        <v>18.557001321003963</v>
      </c>
      <c r="BM92" s="75">
        <f>PARAM!$C$26+MAX($G$18-CHOOSE(PARAM!$B$44,MAX(0,BN91*$F$1),0),0)*RATES!$L68/12+$H$18*(PARAM!$D$51/12)*RATES!$N68/100</f>
        <v>7.6666666666666661</v>
      </c>
      <c r="BN92" s="16">
        <f t="shared" ref="BN92:BN155" si="84">IF(BN91&gt;0,BN91*$F$1,BN91)+BL92-BM92</f>
        <v>-546.07807133421011</v>
      </c>
      <c r="BO92" s="15">
        <f t="shared" si="59"/>
        <v>22.170849845882874</v>
      </c>
      <c r="BP92" s="75">
        <f>BO92*(1-PARAM!$C$27)*$I$19+(MOD($B92,60)=PARAM!$B$56)*($B92&gt;(60-PARAM!$B$56))*HLOOKUP(($B92+PARAM!$B$56)/12,Loyalty,2)*$F$1*MAX(BR91,0)</f>
        <v>18.557001321003963</v>
      </c>
      <c r="BQ92" s="75">
        <f>PARAM!$C$26+MAX($G$19-CHOOSE(PARAM!$B$44,MAX(0,BR91*$F$1),0),0)*RATES!$L68/12+$H$19*(PARAM!$D$51/12)*RATES!$N68/100</f>
        <v>7.6666666666666661</v>
      </c>
      <c r="BR92" s="16">
        <f t="shared" ref="BR92:BR155" si="85">IF(BR91&gt;0,BR91*$F$1,BR91)+BP92-BQ92</f>
        <v>-546.07807133421011</v>
      </c>
      <c r="BS92" s="15">
        <f t="shared" si="60"/>
        <v>22.170849845882874</v>
      </c>
      <c r="BT92" s="75">
        <f>BS92*(1-PARAM!$C$27)*$I$20+(MOD($B92,60)=PARAM!$B$56)*($B92&gt;(60-PARAM!$B$56))*HLOOKUP(($B92+PARAM!$B$56)/12,Loyalty,2)*$F$1*MAX(BV91,0)</f>
        <v>18.557001321003963</v>
      </c>
      <c r="BU92" s="75">
        <f>PARAM!$C$26+MAX($G$20-CHOOSE(PARAM!$B$44,MAX(0,BV91*$F$1),0),0)*RATES!$L68/12+$H$20*(PARAM!$D$51/12)*RATES!$N68/100</f>
        <v>7.6666666666666661</v>
      </c>
      <c r="BV92" s="16">
        <f t="shared" ref="BV92:BV155" si="86">IF(BV91&gt;0,BV91*$F$1,BV91)+BT92-BU92</f>
        <v>-546.07807133421011</v>
      </c>
      <c r="BW92" s="15">
        <f t="shared" si="61"/>
        <v>22.170849845882874</v>
      </c>
      <c r="BX92" s="75">
        <f>BW92*(1-PARAM!$C$27)*$I$21+(MOD($B92,60)=PARAM!$B$56)*($B92&gt;(60-PARAM!$B$56))*HLOOKUP(($B92+PARAM!$B$56)/12,Loyalty,2)*$F$1*MAX(BZ91,0)</f>
        <v>18.557001321003963</v>
      </c>
      <c r="BY92" s="75">
        <f>PARAM!$C$26+MAX($G$21-CHOOSE(PARAM!$B$44,MAX(0,BZ91*$F$1),0),0)*RATES!$L68/12+$H$21*(PARAM!$D$51/12)*RATES!$N68/100</f>
        <v>7.6666666666666661</v>
      </c>
      <c r="BZ92" s="16">
        <f t="shared" ref="BZ92:BZ155" si="87">IF(BZ91&gt;0,BZ91*$F$1,BZ91)+BX92-BY92</f>
        <v>-546.07807133421011</v>
      </c>
      <c r="CA92" s="15">
        <f t="shared" si="62"/>
        <v>22.170849845882874</v>
      </c>
      <c r="CB92" s="75">
        <f>CA92*(1-PARAM!$C$27)*$I$22+(MOD($B92,60)=PARAM!$B$56)*($B92&gt;(60-PARAM!$B$56))*HLOOKUP(($B92+PARAM!$B$56)/12,Loyalty,2)*$F$1*MAX(CD91,0)</f>
        <v>18.557001321003963</v>
      </c>
      <c r="CC92" s="75">
        <f>PARAM!$C$26+MAX($G$22-CHOOSE(PARAM!$B$44,MAX(0,CD91*$F$1),0),0)*RATES!$L68/12+$H$22*(PARAM!$D$51/12)*RATES!$N68/100</f>
        <v>7.6666666666666661</v>
      </c>
      <c r="CD92" s="16">
        <f t="shared" ref="CD92:CD155" si="88">IF(CD91&gt;0,CD91*$F$1,CD91)+CB92-CC92</f>
        <v>-546.07807133421011</v>
      </c>
      <c r="CE92" s="33">
        <f>IF(0=MOD(B92,12/PARAM!$D$51),1,0)</f>
        <v>1</v>
      </c>
      <c r="CF92" s="15">
        <f t="shared" si="63"/>
        <v>0</v>
      </c>
      <c r="CG92" s="75">
        <f>CF92*(1-PARAM!$C$27)*$R$3+(MOD($B92/12,5)=0)*($B92&gt;60)*HLOOKUP($B92/12,Loyalty,2)*$F$1*MAX(CI91,0)</f>
        <v>0</v>
      </c>
      <c r="CH92" s="75">
        <f>PARAM!$C$26+MAX($P$3-CHOOSE(PARAM!$B$44,MAX(0,CI91*$F$1),0),0)*RATES!$L68/12+$Q$3*(PARAM!$D$51/12)*RATES!$N68/100</f>
        <v>7.6666666666666661</v>
      </c>
      <c r="CI92" s="16">
        <f>IF(CI91&gt;0,CI91*PARAM!$C$53,CI91)+CG92-CH92</f>
        <v>-1558</v>
      </c>
      <c r="CJ92" s="15">
        <f t="shared" ref="CJ92:CJ155" si="89">$Q$4*CE92</f>
        <v>0</v>
      </c>
      <c r="CK92" s="75">
        <f>CJ92*(1-PARAM!$C$27)*$R$4+(MOD($B92/12,5)=0)*($B92&gt;60)*HLOOKUP($B92/12,Loyalty,2)*$F$1*MAX(CM91,0)</f>
        <v>0</v>
      </c>
      <c r="CL92" s="75">
        <f>PARAM!$C$26+MAX($P$4-CHOOSE(PARAM!$B$44,MAX(0,CM91*$F$1),0),0)*RATES!$L68/12+$Q$4*(PARAM!$D$51/12)*RATES!$N68/100</f>
        <v>7.6666666666666661</v>
      </c>
      <c r="CM92" s="16">
        <f>IF(CM91&gt;0,CM91*PARAM!$C$53,CM91)+CK92-CL92</f>
        <v>-1558</v>
      </c>
      <c r="CO92" s="176"/>
    </row>
    <row r="93" spans="1:93" x14ac:dyDescent="0.2">
      <c r="A93" t="b">
        <f t="shared" si="64"/>
        <v>0</v>
      </c>
      <c r="B93" s="33">
        <v>66</v>
      </c>
      <c r="C93" s="15">
        <f t="shared" si="65"/>
        <v>20.081305947392778</v>
      </c>
      <c r="D93" s="75">
        <f>C93*(1-PARAM!$C$27)*$I$3+(MOD($B93,60)=PARAM!$B$56)*($B93&gt;(60-PARAM!$B$56))*HLOOKUP(($B93+PARAM!$B$56)/12,Loyalty,2)*$F$1*MAX(F92,0)</f>
        <v>16.808053077967756</v>
      </c>
      <c r="E93" s="75">
        <f>PARAM!$C$26+MAX($G$3-CHOOSE(PARAM!$B$44,MAX(0,F92*$F$1),0),0)*RATES!$L69/12+$H$3*(PARAM!$D$51/12)*RATES!$N69/100</f>
        <v>7.875</v>
      </c>
      <c r="F93" s="16">
        <f t="shared" si="66"/>
        <v>-632.5159808711295</v>
      </c>
      <c r="G93" s="15">
        <f t="shared" si="67"/>
        <v>22.035289406060361</v>
      </c>
      <c r="H93" s="75">
        <f>G93*(1-PARAM!$C$27)*$I$4+(MOD($B93,60)=PARAM!$B$56)*($B93&gt;(60-PARAM!$B$56))*HLOOKUP(($B93+PARAM!$B$56)/12,Loyalty,2)*$F$1*MAX(J92,0)</f>
        <v>18.443537232872522</v>
      </c>
      <c r="I93" s="75">
        <f>PARAM!$C$26+MAX($G$4-CHOOSE(PARAM!$B$44,MAX(0,J92*$F$1),0),0)*RATES!$L69/12+$H$4*(PARAM!$D$51/12)*RATES!$N69/100</f>
        <v>7.875</v>
      </c>
      <c r="J93" s="16">
        <f t="shared" si="68"/>
        <v>-541.69678369572046</v>
      </c>
      <c r="K93" s="15">
        <f t="shared" si="69"/>
        <v>22.170849845882874</v>
      </c>
      <c r="L93" s="75">
        <f>K93*(1-PARAM!$C$27)*$I$5+(MOD($B93,60)=PARAM!$B$56)*($B93&gt;(60-PARAM!$B$56))*HLOOKUP(($B93+PARAM!$B$56)/12,Loyalty,2)*$F$1*MAX(N92,0)</f>
        <v>18.557001321003963</v>
      </c>
      <c r="M93" s="75">
        <f>PARAM!$C$26+MAX($G$5-CHOOSE(PARAM!$B$44,MAX(0,N92*$F$1),0),0)*RATES!$L69/12+$H$5*(PARAM!$D$51/12)*RATES!$N69/100</f>
        <v>7.875</v>
      </c>
      <c r="N93" s="16">
        <f t="shared" si="70"/>
        <v>-535.3960700132061</v>
      </c>
      <c r="O93" s="15">
        <f t="shared" si="71"/>
        <v>22.170849845882874</v>
      </c>
      <c r="P93" s="75">
        <f>O93*(1-PARAM!$C$27)*$I$6+(MOD($B93,60)=PARAM!$B$56)*($B93&gt;(60-PARAM!$B$56))*HLOOKUP(($B93+PARAM!$B$56)/12,Loyalty,2)*$F$1*MAX(R92,0)</f>
        <v>18.557001321003963</v>
      </c>
      <c r="Q93" s="75">
        <f>PARAM!$C$26+MAX($G$6-CHOOSE(PARAM!$B$44,MAX(0,R92*$F$1),0),0)*RATES!$L69/12+$H$6*(PARAM!$D$51/12)*RATES!$N69/100</f>
        <v>7.875</v>
      </c>
      <c r="R93" s="16">
        <f t="shared" si="72"/>
        <v>-535.3960700132061</v>
      </c>
      <c r="S93" s="15">
        <f t="shared" si="47"/>
        <v>22.170849845882874</v>
      </c>
      <c r="T93" s="75">
        <f>S93*(1-PARAM!$C$27)*$I$7+(MOD($B93,60)=PARAM!$B$56)*($B93&gt;(60-PARAM!$B$56))*HLOOKUP(($B93+PARAM!$B$56)/12,Loyalty,2)*$F$1*MAX(V92,0)</f>
        <v>18.557001321003963</v>
      </c>
      <c r="U93" s="75">
        <f>PARAM!$C$26+MAX($G$7-CHOOSE(PARAM!$B$44,MAX(0,V92*$F$1),0),0)*RATES!$L69/12+$H$7*(PARAM!$D$51/12)*RATES!$N69/100</f>
        <v>7.875</v>
      </c>
      <c r="V93" s="16">
        <f t="shared" si="73"/>
        <v>-535.3960700132061</v>
      </c>
      <c r="W93" s="15">
        <f t="shared" si="48"/>
        <v>22.170849845882874</v>
      </c>
      <c r="X93" s="75">
        <f>W93*(1-PARAM!$C$27)*$I$8+(MOD($B93,60)=PARAM!$B$56)*($B93&gt;(60-PARAM!$B$56))*HLOOKUP(($B93+PARAM!$B$56)/12,Loyalty,2)*$F$1*MAX(Z92,0)</f>
        <v>18.557001321003963</v>
      </c>
      <c r="Y93" s="75">
        <f>PARAM!$C$26+MAX($G$8-CHOOSE(PARAM!$B$44,MAX(0,Z92*$F$1),0),0)*RATES!$L69/12+$H$8*(PARAM!$D$51/12)*RATES!$N69/100</f>
        <v>7.875</v>
      </c>
      <c r="Z93" s="16">
        <f t="shared" si="74"/>
        <v>-535.3960700132061</v>
      </c>
      <c r="AA93" s="15">
        <f t="shared" si="49"/>
        <v>22.170849845882874</v>
      </c>
      <c r="AB93" s="75">
        <f>AA93*(1-PARAM!$C$27)*$I$9+(MOD($B93,60)=PARAM!$B$56)*($B93&gt;(60-PARAM!$B$56))*HLOOKUP(($B93+PARAM!$B$56)/12,Loyalty,2)*$F$1*MAX(AD92,0)</f>
        <v>18.557001321003963</v>
      </c>
      <c r="AC93" s="75">
        <f>PARAM!$C$26+MAX($G$9-CHOOSE(PARAM!$B$44,MAX(0,AD92*$F$1),0),0)*RATES!$L69/12+$H$9*(PARAM!$D$51/12)*RATES!$N69/100</f>
        <v>7.875</v>
      </c>
      <c r="AD93" s="16">
        <f t="shared" si="75"/>
        <v>-535.3960700132061</v>
      </c>
      <c r="AE93" s="15">
        <f t="shared" si="50"/>
        <v>22.170849845882874</v>
      </c>
      <c r="AF93" s="75">
        <f>AE93*(1-PARAM!$C$27)*$I$10+(MOD($B93,60)=PARAM!$B$56)*($B93&gt;(60-PARAM!$B$56))*HLOOKUP(($B93+PARAM!$B$56)/12,Loyalty,2)*$F$1*MAX(AH92,0)</f>
        <v>18.557001321003963</v>
      </c>
      <c r="AG93" s="75">
        <f>PARAM!$C$26+MAX($G$10-CHOOSE(PARAM!$B$44,MAX(0,AH92*$F$1),0),0)*RATES!$L69/12+$H$10*(PARAM!$D$51/12)*RATES!$N69/100</f>
        <v>7.875</v>
      </c>
      <c r="AH93" s="16">
        <f t="shared" si="76"/>
        <v>-535.3960700132061</v>
      </c>
      <c r="AI93" s="15">
        <f t="shared" si="51"/>
        <v>22.170849845882874</v>
      </c>
      <c r="AJ93" s="75">
        <f>AI93*(1-PARAM!$C$27)*$I$11+(MOD($B93,60)=PARAM!$B$56)*($B93&gt;(60-PARAM!$B$56))*HLOOKUP(($B93+PARAM!$B$56)/12,Loyalty,2)*$F$1*MAX(AL92,0)</f>
        <v>18.557001321003963</v>
      </c>
      <c r="AK93" s="75">
        <f>PARAM!$C$26+MAX($G$11-CHOOSE(PARAM!$B$44,MAX(0,AL92*$F$1),0),0)*RATES!$L69/12+$H$11*(PARAM!$D$51/12)*RATES!$N69/100</f>
        <v>7.875</v>
      </c>
      <c r="AL93" s="16">
        <f t="shared" si="77"/>
        <v>-535.3960700132061</v>
      </c>
      <c r="AM93" s="15">
        <f t="shared" si="52"/>
        <v>22.170849845882874</v>
      </c>
      <c r="AN93" s="75">
        <f>AM93*(1-PARAM!$C$27)*$I$12+(MOD($B93,60)=PARAM!$B$56)*($B93&gt;(60-PARAM!$B$56))*HLOOKUP(($B93+PARAM!$B$56)/12,Loyalty,2)*$F$1*MAX(AP92,0)</f>
        <v>18.557001321003963</v>
      </c>
      <c r="AO93" s="75">
        <f>PARAM!$C$26+MAX($G$12-CHOOSE(PARAM!$B$44,MAX(0,AP92*$F$1),0),0)*RATES!$L69/12+$H$12*(PARAM!$D$51/12)*RATES!$N69/100</f>
        <v>7.875</v>
      </c>
      <c r="AP93" s="16">
        <f t="shared" si="78"/>
        <v>-535.3960700132061</v>
      </c>
      <c r="AQ93" s="15">
        <f t="shared" si="53"/>
        <v>22.170849845882874</v>
      </c>
      <c r="AR93" s="75">
        <f>AQ93*(1-PARAM!$C$27)*$I$13+(MOD($B93,60)=PARAM!$B$56)*($B93&gt;(60-PARAM!$B$56))*HLOOKUP(($B93+PARAM!$B$56)/12,Loyalty,2)*$F$1*MAX(AT92,0)</f>
        <v>18.557001321003963</v>
      </c>
      <c r="AS93" s="75">
        <f>PARAM!$C$26+MAX($G$13-CHOOSE(PARAM!$B$44,MAX(0,AT92*$F$1),0),0)*RATES!$L69/12+$H$13*(PARAM!$D$51/12)*RATES!$N69/100</f>
        <v>7.875</v>
      </c>
      <c r="AT93" s="16">
        <f t="shared" si="79"/>
        <v>-535.3960700132061</v>
      </c>
      <c r="AU93" s="15">
        <f t="shared" si="54"/>
        <v>22.170849845882874</v>
      </c>
      <c r="AV93" s="75">
        <f>AU93*(1-PARAM!$C$27)*$I$14+(MOD($B93,60)=PARAM!$B$56)*($B93&gt;(60-PARAM!$B$56))*HLOOKUP(($B93+PARAM!$B$56)/12,Loyalty,2)*$F$1*MAX(AX92,0)</f>
        <v>18.557001321003963</v>
      </c>
      <c r="AW93" s="75">
        <f>PARAM!$C$26+MAX($G$14-CHOOSE(PARAM!$B$44,MAX(0,AX92*$F$1),0),0)*RATES!$L69/12+$H$14*(PARAM!$D$51/12)*RATES!$N69/100</f>
        <v>7.875</v>
      </c>
      <c r="AX93" s="16">
        <f t="shared" si="80"/>
        <v>-535.3960700132061</v>
      </c>
      <c r="AY93" s="15">
        <f t="shared" si="55"/>
        <v>22.170849845882874</v>
      </c>
      <c r="AZ93" s="75">
        <f>AY93*(1-PARAM!$C$27)*$I$15+(MOD($B93,60)=PARAM!$B$56)*($B93&gt;(60-PARAM!$B$56))*HLOOKUP(($B93+PARAM!$B$56)/12,Loyalty,2)*$F$1*MAX(BB92,0)</f>
        <v>18.557001321003963</v>
      </c>
      <c r="BA93" s="75">
        <f>PARAM!$C$26+MAX($G$15-CHOOSE(PARAM!$B$44,MAX(0,BB92*$F$1),0),0)*RATES!$L69/12+$H$15*(PARAM!$D$51/12)*RATES!$N69/100</f>
        <v>7.875</v>
      </c>
      <c r="BB93" s="16">
        <f t="shared" si="81"/>
        <v>-535.3960700132061</v>
      </c>
      <c r="BC93" s="15">
        <f t="shared" si="56"/>
        <v>22.170849845882874</v>
      </c>
      <c r="BD93" s="75">
        <f>BC93*(1-PARAM!$C$27)*$I$16+(MOD($B93,60)=PARAM!$B$56)*($B93&gt;(60-PARAM!$B$56))*HLOOKUP(($B93+PARAM!$B$56)/12,Loyalty,2)*$F$1*MAX(BF92,0)</f>
        <v>18.557001321003963</v>
      </c>
      <c r="BE93" s="75">
        <f>PARAM!$C$26+MAX($G$16-CHOOSE(PARAM!$B$44,MAX(0,BF92*$F$1),0),0)*RATES!$L69/12+$H$16*(PARAM!$D$51/12)*RATES!$N69/100</f>
        <v>7.875</v>
      </c>
      <c r="BF93" s="16">
        <f t="shared" si="82"/>
        <v>-535.3960700132061</v>
      </c>
      <c r="BG93" s="15">
        <f t="shared" si="57"/>
        <v>22.170849845882874</v>
      </c>
      <c r="BH93" s="75">
        <f>BG93*(1-PARAM!$C$27)*$I$17+(MOD($B93,60)=PARAM!$B$56)*($B93&gt;(60-PARAM!$B$56))*HLOOKUP(($B93+PARAM!$B$56)/12,Loyalty,2)*$F$1*MAX(BJ92,0)</f>
        <v>18.557001321003963</v>
      </c>
      <c r="BI93" s="75">
        <f>PARAM!$C$26+MAX($G$17-CHOOSE(PARAM!$B$44,MAX(0,BJ92*$F$1),0),0)*RATES!$L69/12+$H$17*(PARAM!$D$51/12)*RATES!$N69/100</f>
        <v>7.875</v>
      </c>
      <c r="BJ93" s="16">
        <f t="shared" si="83"/>
        <v>-535.3960700132061</v>
      </c>
      <c r="BK93" s="15">
        <f t="shared" si="58"/>
        <v>22.170849845882874</v>
      </c>
      <c r="BL93" s="75">
        <f>BK93*(1-PARAM!$C$27)*$I$18+(MOD($B93,60)=PARAM!$B$56)*($B93&gt;(60-PARAM!$B$56))*HLOOKUP(($B93+PARAM!$B$56)/12,Loyalty,2)*$F$1*MAX(BN92,0)</f>
        <v>18.557001321003963</v>
      </c>
      <c r="BM93" s="75">
        <f>PARAM!$C$26+MAX($G$18-CHOOSE(PARAM!$B$44,MAX(0,BN92*$F$1),0),0)*RATES!$L69/12+$H$18*(PARAM!$D$51/12)*RATES!$N69/100</f>
        <v>7.875</v>
      </c>
      <c r="BN93" s="16">
        <f t="shared" si="84"/>
        <v>-535.3960700132061</v>
      </c>
      <c r="BO93" s="15">
        <f t="shared" si="59"/>
        <v>22.170849845882874</v>
      </c>
      <c r="BP93" s="75">
        <f>BO93*(1-PARAM!$C$27)*$I$19+(MOD($B93,60)=PARAM!$B$56)*($B93&gt;(60-PARAM!$B$56))*HLOOKUP(($B93+PARAM!$B$56)/12,Loyalty,2)*$F$1*MAX(BR92,0)</f>
        <v>18.557001321003963</v>
      </c>
      <c r="BQ93" s="75">
        <f>PARAM!$C$26+MAX($G$19-CHOOSE(PARAM!$B$44,MAX(0,BR92*$F$1),0),0)*RATES!$L69/12+$H$19*(PARAM!$D$51/12)*RATES!$N69/100</f>
        <v>7.875</v>
      </c>
      <c r="BR93" s="16">
        <f t="shared" si="85"/>
        <v>-535.3960700132061</v>
      </c>
      <c r="BS93" s="15">
        <f t="shared" si="60"/>
        <v>22.170849845882874</v>
      </c>
      <c r="BT93" s="75">
        <f>BS93*(1-PARAM!$C$27)*$I$20+(MOD($B93,60)=PARAM!$B$56)*($B93&gt;(60-PARAM!$B$56))*HLOOKUP(($B93+PARAM!$B$56)/12,Loyalty,2)*$F$1*MAX(BV92,0)</f>
        <v>18.557001321003963</v>
      </c>
      <c r="BU93" s="75">
        <f>PARAM!$C$26+MAX($G$20-CHOOSE(PARAM!$B$44,MAX(0,BV92*$F$1),0),0)*RATES!$L69/12+$H$20*(PARAM!$D$51/12)*RATES!$N69/100</f>
        <v>7.875</v>
      </c>
      <c r="BV93" s="16">
        <f t="shared" si="86"/>
        <v>-535.3960700132061</v>
      </c>
      <c r="BW93" s="15">
        <f t="shared" si="61"/>
        <v>22.170849845882874</v>
      </c>
      <c r="BX93" s="75">
        <f>BW93*(1-PARAM!$C$27)*$I$21+(MOD($B93,60)=PARAM!$B$56)*($B93&gt;(60-PARAM!$B$56))*HLOOKUP(($B93+PARAM!$B$56)/12,Loyalty,2)*$F$1*MAX(BZ92,0)</f>
        <v>18.557001321003963</v>
      </c>
      <c r="BY93" s="75">
        <f>PARAM!$C$26+MAX($G$21-CHOOSE(PARAM!$B$44,MAX(0,BZ92*$F$1),0),0)*RATES!$L69/12+$H$21*(PARAM!$D$51/12)*RATES!$N69/100</f>
        <v>7.875</v>
      </c>
      <c r="BZ93" s="16">
        <f t="shared" si="87"/>
        <v>-535.3960700132061</v>
      </c>
      <c r="CA93" s="15">
        <f t="shared" si="62"/>
        <v>22.170849845882874</v>
      </c>
      <c r="CB93" s="75">
        <f>CA93*(1-PARAM!$C$27)*$I$22+(MOD($B93,60)=PARAM!$B$56)*($B93&gt;(60-PARAM!$B$56))*HLOOKUP(($B93+PARAM!$B$56)/12,Loyalty,2)*$F$1*MAX(CD92,0)</f>
        <v>18.557001321003963</v>
      </c>
      <c r="CC93" s="75">
        <f>PARAM!$C$26+MAX($G$22-CHOOSE(PARAM!$B$44,MAX(0,CD92*$F$1),0),0)*RATES!$L69/12+$H$22*(PARAM!$D$51/12)*RATES!$N69/100</f>
        <v>7.875</v>
      </c>
      <c r="CD93" s="16">
        <f t="shared" si="88"/>
        <v>-535.3960700132061</v>
      </c>
      <c r="CE93" s="33">
        <f>IF(0=MOD(B93,12/PARAM!$D$51),1,0)</f>
        <v>1</v>
      </c>
      <c r="CF93" s="15">
        <f t="shared" si="63"/>
        <v>0</v>
      </c>
      <c r="CG93" s="75">
        <f>CF93*(1-PARAM!$C$27)*$R$3+(MOD($B93/12,5)=0)*($B93&gt;60)*HLOOKUP($B93/12,Loyalty,2)*$F$1*MAX(CI92,0)</f>
        <v>0</v>
      </c>
      <c r="CH93" s="75">
        <f>PARAM!$C$26+MAX($P$3-CHOOSE(PARAM!$B$44,MAX(0,CI92*$F$1),0),0)*RATES!$L69/12+$Q$3*(PARAM!$D$51/12)*RATES!$N69/100</f>
        <v>7.875</v>
      </c>
      <c r="CI93" s="16">
        <f>IF(CI92&gt;0,CI92*PARAM!$C$53,CI92)+CG93-CH93</f>
        <v>-1565.875</v>
      </c>
      <c r="CJ93" s="15">
        <f t="shared" si="89"/>
        <v>0</v>
      </c>
      <c r="CK93" s="75">
        <f>CJ93*(1-PARAM!$C$27)*$R$4+(MOD($B93/12,5)=0)*($B93&gt;60)*HLOOKUP($B93/12,Loyalty,2)*$F$1*MAX(CM92,0)</f>
        <v>0</v>
      </c>
      <c r="CL93" s="75">
        <f>PARAM!$C$26+MAX($P$4-CHOOSE(PARAM!$B$44,MAX(0,CM92*$F$1),0),0)*RATES!$L69/12+$Q$4*(PARAM!$D$51/12)*RATES!$N69/100</f>
        <v>7.875</v>
      </c>
      <c r="CM93" s="16">
        <f>IF(CM92&gt;0,CM92*PARAM!$C$53,CM92)+CK93-CL93</f>
        <v>-1565.875</v>
      </c>
      <c r="CO93" s="176"/>
    </row>
    <row r="94" spans="1:93" x14ac:dyDescent="0.2">
      <c r="A94" t="b">
        <f t="shared" si="64"/>
        <v>0</v>
      </c>
      <c r="B94" s="33">
        <v>67</v>
      </c>
      <c r="C94" s="15">
        <f t="shared" si="65"/>
        <v>20.081305947392778</v>
      </c>
      <c r="D94" s="75">
        <f>C94*(1-PARAM!$C$27)*$I$3+(MOD($B94,60)=PARAM!$B$56)*($B94&gt;(60-PARAM!$B$56))*HLOOKUP(($B94+PARAM!$B$56)/12,Loyalty,2)*$F$1*MAX(F93,0)</f>
        <v>16.808053077967756</v>
      </c>
      <c r="E94" s="75">
        <f>PARAM!$C$26+MAX($G$3-CHOOSE(PARAM!$B$44,MAX(0,F93*$F$1),0),0)*RATES!$L70/12+$H$3*(PARAM!$D$51/12)*RATES!$N70/100</f>
        <v>7.875</v>
      </c>
      <c r="F94" s="16">
        <f t="shared" si="66"/>
        <v>-623.58292779316173</v>
      </c>
      <c r="G94" s="15">
        <f t="shared" si="67"/>
        <v>22.035289406060361</v>
      </c>
      <c r="H94" s="75">
        <f>G94*(1-PARAM!$C$27)*$I$4+(MOD($B94,60)=PARAM!$B$56)*($B94&gt;(60-PARAM!$B$56))*HLOOKUP(($B94+PARAM!$B$56)/12,Loyalty,2)*$F$1*MAX(J93,0)</f>
        <v>18.443537232872522</v>
      </c>
      <c r="I94" s="75">
        <f>PARAM!$C$26+MAX($G$4-CHOOSE(PARAM!$B$44,MAX(0,J93*$F$1),0),0)*RATES!$L70/12+$H$4*(PARAM!$D$51/12)*RATES!$N70/100</f>
        <v>7.875</v>
      </c>
      <c r="J94" s="16">
        <f t="shared" si="68"/>
        <v>-531.12824646284798</v>
      </c>
      <c r="K94" s="15">
        <f t="shared" si="69"/>
        <v>22.170849845882874</v>
      </c>
      <c r="L94" s="75">
        <f>K94*(1-PARAM!$C$27)*$I$5+(MOD($B94,60)=PARAM!$B$56)*($B94&gt;(60-PARAM!$B$56))*HLOOKUP(($B94+PARAM!$B$56)/12,Loyalty,2)*$F$1*MAX(N93,0)</f>
        <v>18.557001321003963</v>
      </c>
      <c r="M94" s="75">
        <f>PARAM!$C$26+MAX($G$5-CHOOSE(PARAM!$B$44,MAX(0,N93*$F$1),0),0)*RATES!$L70/12+$H$5*(PARAM!$D$51/12)*RATES!$N70/100</f>
        <v>7.875</v>
      </c>
      <c r="N94" s="16">
        <f t="shared" si="70"/>
        <v>-524.71406869220209</v>
      </c>
      <c r="O94" s="15">
        <f t="shared" si="71"/>
        <v>22.170849845882874</v>
      </c>
      <c r="P94" s="75">
        <f>O94*(1-PARAM!$C$27)*$I$6+(MOD($B94,60)=PARAM!$B$56)*($B94&gt;(60-PARAM!$B$56))*HLOOKUP(($B94+PARAM!$B$56)/12,Loyalty,2)*$F$1*MAX(R93,0)</f>
        <v>18.557001321003963</v>
      </c>
      <c r="Q94" s="75">
        <f>PARAM!$C$26+MAX($G$6-CHOOSE(PARAM!$B$44,MAX(0,R93*$F$1),0),0)*RATES!$L70/12+$H$6*(PARAM!$D$51/12)*RATES!$N70/100</f>
        <v>7.875</v>
      </c>
      <c r="R94" s="16">
        <f t="shared" si="72"/>
        <v>-524.71406869220209</v>
      </c>
      <c r="S94" s="15">
        <f t="shared" si="47"/>
        <v>22.170849845882874</v>
      </c>
      <c r="T94" s="75">
        <f>S94*(1-PARAM!$C$27)*$I$7+(MOD($B94,60)=PARAM!$B$56)*($B94&gt;(60-PARAM!$B$56))*HLOOKUP(($B94+PARAM!$B$56)/12,Loyalty,2)*$F$1*MAX(V93,0)</f>
        <v>18.557001321003963</v>
      </c>
      <c r="U94" s="75">
        <f>PARAM!$C$26+MAX($G$7-CHOOSE(PARAM!$B$44,MAX(0,V93*$F$1),0),0)*RATES!$L70/12+$H$7*(PARAM!$D$51/12)*RATES!$N70/100</f>
        <v>7.875</v>
      </c>
      <c r="V94" s="16">
        <f t="shared" si="73"/>
        <v>-524.71406869220209</v>
      </c>
      <c r="W94" s="15">
        <f t="shared" si="48"/>
        <v>22.170849845882874</v>
      </c>
      <c r="X94" s="75">
        <f>W94*(1-PARAM!$C$27)*$I$8+(MOD($B94,60)=PARAM!$B$56)*($B94&gt;(60-PARAM!$B$56))*HLOOKUP(($B94+PARAM!$B$56)/12,Loyalty,2)*$F$1*MAX(Z93,0)</f>
        <v>18.557001321003963</v>
      </c>
      <c r="Y94" s="75">
        <f>PARAM!$C$26+MAX($G$8-CHOOSE(PARAM!$B$44,MAX(0,Z93*$F$1),0),0)*RATES!$L70/12+$H$8*(PARAM!$D$51/12)*RATES!$N70/100</f>
        <v>7.875</v>
      </c>
      <c r="Z94" s="16">
        <f t="shared" si="74"/>
        <v>-524.71406869220209</v>
      </c>
      <c r="AA94" s="15">
        <f t="shared" si="49"/>
        <v>22.170849845882874</v>
      </c>
      <c r="AB94" s="75">
        <f>AA94*(1-PARAM!$C$27)*$I$9+(MOD($B94,60)=PARAM!$B$56)*($B94&gt;(60-PARAM!$B$56))*HLOOKUP(($B94+PARAM!$B$56)/12,Loyalty,2)*$F$1*MAX(AD93,0)</f>
        <v>18.557001321003963</v>
      </c>
      <c r="AC94" s="75">
        <f>PARAM!$C$26+MAX($G$9-CHOOSE(PARAM!$B$44,MAX(0,AD93*$F$1),0),0)*RATES!$L70/12+$H$9*(PARAM!$D$51/12)*RATES!$N70/100</f>
        <v>7.875</v>
      </c>
      <c r="AD94" s="16">
        <f t="shared" si="75"/>
        <v>-524.71406869220209</v>
      </c>
      <c r="AE94" s="15">
        <f t="shared" si="50"/>
        <v>22.170849845882874</v>
      </c>
      <c r="AF94" s="75">
        <f>AE94*(1-PARAM!$C$27)*$I$10+(MOD($B94,60)=PARAM!$B$56)*($B94&gt;(60-PARAM!$B$56))*HLOOKUP(($B94+PARAM!$B$56)/12,Loyalty,2)*$F$1*MAX(AH93,0)</f>
        <v>18.557001321003963</v>
      </c>
      <c r="AG94" s="75">
        <f>PARAM!$C$26+MAX($G$10-CHOOSE(PARAM!$B$44,MAX(0,AH93*$F$1),0),0)*RATES!$L70/12+$H$10*(PARAM!$D$51/12)*RATES!$N70/100</f>
        <v>7.875</v>
      </c>
      <c r="AH94" s="16">
        <f t="shared" si="76"/>
        <v>-524.71406869220209</v>
      </c>
      <c r="AI94" s="15">
        <f t="shared" si="51"/>
        <v>22.170849845882874</v>
      </c>
      <c r="AJ94" s="75">
        <f>AI94*(1-PARAM!$C$27)*$I$11+(MOD($B94,60)=PARAM!$B$56)*($B94&gt;(60-PARAM!$B$56))*HLOOKUP(($B94+PARAM!$B$56)/12,Loyalty,2)*$F$1*MAX(AL93,0)</f>
        <v>18.557001321003963</v>
      </c>
      <c r="AK94" s="75">
        <f>PARAM!$C$26+MAX($G$11-CHOOSE(PARAM!$B$44,MAX(0,AL93*$F$1),0),0)*RATES!$L70/12+$H$11*(PARAM!$D$51/12)*RATES!$N70/100</f>
        <v>7.875</v>
      </c>
      <c r="AL94" s="16">
        <f t="shared" si="77"/>
        <v>-524.71406869220209</v>
      </c>
      <c r="AM94" s="15">
        <f t="shared" si="52"/>
        <v>22.170849845882874</v>
      </c>
      <c r="AN94" s="75">
        <f>AM94*(1-PARAM!$C$27)*$I$12+(MOD($B94,60)=PARAM!$B$56)*($B94&gt;(60-PARAM!$B$56))*HLOOKUP(($B94+PARAM!$B$56)/12,Loyalty,2)*$F$1*MAX(AP93,0)</f>
        <v>18.557001321003963</v>
      </c>
      <c r="AO94" s="75">
        <f>PARAM!$C$26+MAX($G$12-CHOOSE(PARAM!$B$44,MAX(0,AP93*$F$1),0),0)*RATES!$L70/12+$H$12*(PARAM!$D$51/12)*RATES!$N70/100</f>
        <v>7.875</v>
      </c>
      <c r="AP94" s="16">
        <f t="shared" si="78"/>
        <v>-524.71406869220209</v>
      </c>
      <c r="AQ94" s="15">
        <f t="shared" si="53"/>
        <v>22.170849845882874</v>
      </c>
      <c r="AR94" s="75">
        <f>AQ94*(1-PARAM!$C$27)*$I$13+(MOD($B94,60)=PARAM!$B$56)*($B94&gt;(60-PARAM!$B$56))*HLOOKUP(($B94+PARAM!$B$56)/12,Loyalty,2)*$F$1*MAX(AT93,0)</f>
        <v>18.557001321003963</v>
      </c>
      <c r="AS94" s="75">
        <f>PARAM!$C$26+MAX($G$13-CHOOSE(PARAM!$B$44,MAX(0,AT93*$F$1),0),0)*RATES!$L70/12+$H$13*(PARAM!$D$51/12)*RATES!$N70/100</f>
        <v>7.875</v>
      </c>
      <c r="AT94" s="16">
        <f t="shared" si="79"/>
        <v>-524.71406869220209</v>
      </c>
      <c r="AU94" s="15">
        <f t="shared" si="54"/>
        <v>22.170849845882874</v>
      </c>
      <c r="AV94" s="75">
        <f>AU94*(1-PARAM!$C$27)*$I$14+(MOD($B94,60)=PARAM!$B$56)*($B94&gt;(60-PARAM!$B$56))*HLOOKUP(($B94+PARAM!$B$56)/12,Loyalty,2)*$F$1*MAX(AX93,0)</f>
        <v>18.557001321003963</v>
      </c>
      <c r="AW94" s="75">
        <f>PARAM!$C$26+MAX($G$14-CHOOSE(PARAM!$B$44,MAX(0,AX93*$F$1),0),0)*RATES!$L70/12+$H$14*(PARAM!$D$51/12)*RATES!$N70/100</f>
        <v>7.875</v>
      </c>
      <c r="AX94" s="16">
        <f t="shared" si="80"/>
        <v>-524.71406869220209</v>
      </c>
      <c r="AY94" s="15">
        <f t="shared" si="55"/>
        <v>22.170849845882874</v>
      </c>
      <c r="AZ94" s="75">
        <f>AY94*(1-PARAM!$C$27)*$I$15+(MOD($B94,60)=PARAM!$B$56)*($B94&gt;(60-PARAM!$B$56))*HLOOKUP(($B94+PARAM!$B$56)/12,Loyalty,2)*$F$1*MAX(BB93,0)</f>
        <v>18.557001321003963</v>
      </c>
      <c r="BA94" s="75">
        <f>PARAM!$C$26+MAX($G$15-CHOOSE(PARAM!$B$44,MAX(0,BB93*$F$1),0),0)*RATES!$L70/12+$H$15*(PARAM!$D$51/12)*RATES!$N70/100</f>
        <v>7.875</v>
      </c>
      <c r="BB94" s="16">
        <f t="shared" si="81"/>
        <v>-524.71406869220209</v>
      </c>
      <c r="BC94" s="15">
        <f t="shared" si="56"/>
        <v>22.170849845882874</v>
      </c>
      <c r="BD94" s="75">
        <f>BC94*(1-PARAM!$C$27)*$I$16+(MOD($B94,60)=PARAM!$B$56)*($B94&gt;(60-PARAM!$B$56))*HLOOKUP(($B94+PARAM!$B$56)/12,Loyalty,2)*$F$1*MAX(BF93,0)</f>
        <v>18.557001321003963</v>
      </c>
      <c r="BE94" s="75">
        <f>PARAM!$C$26+MAX($G$16-CHOOSE(PARAM!$B$44,MAX(0,BF93*$F$1),0),0)*RATES!$L70/12+$H$16*(PARAM!$D$51/12)*RATES!$N70/100</f>
        <v>7.875</v>
      </c>
      <c r="BF94" s="16">
        <f t="shared" si="82"/>
        <v>-524.71406869220209</v>
      </c>
      <c r="BG94" s="15">
        <f t="shared" si="57"/>
        <v>22.170849845882874</v>
      </c>
      <c r="BH94" s="75">
        <f>BG94*(1-PARAM!$C$27)*$I$17+(MOD($B94,60)=PARAM!$B$56)*($B94&gt;(60-PARAM!$B$56))*HLOOKUP(($B94+PARAM!$B$56)/12,Loyalty,2)*$F$1*MAX(BJ93,0)</f>
        <v>18.557001321003963</v>
      </c>
      <c r="BI94" s="75">
        <f>PARAM!$C$26+MAX($G$17-CHOOSE(PARAM!$B$44,MAX(0,BJ93*$F$1),0),0)*RATES!$L70/12+$H$17*(PARAM!$D$51/12)*RATES!$N70/100</f>
        <v>7.875</v>
      </c>
      <c r="BJ94" s="16">
        <f t="shared" si="83"/>
        <v>-524.71406869220209</v>
      </c>
      <c r="BK94" s="15">
        <f t="shared" si="58"/>
        <v>22.170849845882874</v>
      </c>
      <c r="BL94" s="75">
        <f>BK94*(1-PARAM!$C$27)*$I$18+(MOD($B94,60)=PARAM!$B$56)*($B94&gt;(60-PARAM!$B$56))*HLOOKUP(($B94+PARAM!$B$56)/12,Loyalty,2)*$F$1*MAX(BN93,0)</f>
        <v>18.557001321003963</v>
      </c>
      <c r="BM94" s="75">
        <f>PARAM!$C$26+MAX($G$18-CHOOSE(PARAM!$B$44,MAX(0,BN93*$F$1),0),0)*RATES!$L70/12+$H$18*(PARAM!$D$51/12)*RATES!$N70/100</f>
        <v>7.875</v>
      </c>
      <c r="BN94" s="16">
        <f t="shared" si="84"/>
        <v>-524.71406869220209</v>
      </c>
      <c r="BO94" s="15">
        <f t="shared" si="59"/>
        <v>22.170849845882874</v>
      </c>
      <c r="BP94" s="75">
        <f>BO94*(1-PARAM!$C$27)*$I$19+(MOD($B94,60)=PARAM!$B$56)*($B94&gt;(60-PARAM!$B$56))*HLOOKUP(($B94+PARAM!$B$56)/12,Loyalty,2)*$F$1*MAX(BR93,0)</f>
        <v>18.557001321003963</v>
      </c>
      <c r="BQ94" s="75">
        <f>PARAM!$C$26+MAX($G$19-CHOOSE(PARAM!$B$44,MAX(0,BR93*$F$1),0),0)*RATES!$L70/12+$H$19*(PARAM!$D$51/12)*RATES!$N70/100</f>
        <v>7.875</v>
      </c>
      <c r="BR94" s="16">
        <f t="shared" si="85"/>
        <v>-524.71406869220209</v>
      </c>
      <c r="BS94" s="15">
        <f t="shared" si="60"/>
        <v>22.170849845882874</v>
      </c>
      <c r="BT94" s="75">
        <f>BS94*(1-PARAM!$C$27)*$I$20+(MOD($B94,60)=PARAM!$B$56)*($B94&gt;(60-PARAM!$B$56))*HLOOKUP(($B94+PARAM!$B$56)/12,Loyalty,2)*$F$1*MAX(BV93,0)</f>
        <v>18.557001321003963</v>
      </c>
      <c r="BU94" s="75">
        <f>PARAM!$C$26+MAX($G$20-CHOOSE(PARAM!$B$44,MAX(0,BV93*$F$1),0),0)*RATES!$L70/12+$H$20*(PARAM!$D$51/12)*RATES!$N70/100</f>
        <v>7.875</v>
      </c>
      <c r="BV94" s="16">
        <f t="shared" si="86"/>
        <v>-524.71406869220209</v>
      </c>
      <c r="BW94" s="15">
        <f t="shared" si="61"/>
        <v>22.170849845882874</v>
      </c>
      <c r="BX94" s="75">
        <f>BW94*(1-PARAM!$C$27)*$I$21+(MOD($B94,60)=PARAM!$B$56)*($B94&gt;(60-PARAM!$B$56))*HLOOKUP(($B94+PARAM!$B$56)/12,Loyalty,2)*$F$1*MAX(BZ93,0)</f>
        <v>18.557001321003963</v>
      </c>
      <c r="BY94" s="75">
        <f>PARAM!$C$26+MAX($G$21-CHOOSE(PARAM!$B$44,MAX(0,BZ93*$F$1),0),0)*RATES!$L70/12+$H$21*(PARAM!$D$51/12)*RATES!$N70/100</f>
        <v>7.875</v>
      </c>
      <c r="BZ94" s="16">
        <f t="shared" si="87"/>
        <v>-524.71406869220209</v>
      </c>
      <c r="CA94" s="15">
        <f t="shared" si="62"/>
        <v>22.170849845882874</v>
      </c>
      <c r="CB94" s="75">
        <f>CA94*(1-PARAM!$C$27)*$I$22+(MOD($B94,60)=PARAM!$B$56)*($B94&gt;(60-PARAM!$B$56))*HLOOKUP(($B94+PARAM!$B$56)/12,Loyalty,2)*$F$1*MAX(CD93,0)</f>
        <v>18.557001321003963</v>
      </c>
      <c r="CC94" s="75">
        <f>PARAM!$C$26+MAX($G$22-CHOOSE(PARAM!$B$44,MAX(0,CD93*$F$1),0),0)*RATES!$L70/12+$H$22*(PARAM!$D$51/12)*RATES!$N70/100</f>
        <v>7.875</v>
      </c>
      <c r="CD94" s="16">
        <f t="shared" si="88"/>
        <v>-524.71406869220209</v>
      </c>
      <c r="CE94" s="33">
        <f>IF(0=MOD(B94,12/PARAM!$D$51),1,0)</f>
        <v>1</v>
      </c>
      <c r="CF94" s="15">
        <f t="shared" si="63"/>
        <v>0</v>
      </c>
      <c r="CG94" s="75">
        <f>CF94*(1-PARAM!$C$27)*$R$3+(MOD($B94/12,5)=0)*($B94&gt;60)*HLOOKUP($B94/12,Loyalty,2)*$F$1*MAX(CI93,0)</f>
        <v>0</v>
      </c>
      <c r="CH94" s="75">
        <f>PARAM!$C$26+MAX($P$3-CHOOSE(PARAM!$B$44,MAX(0,CI93*$F$1),0),0)*RATES!$L70/12+$Q$3*(PARAM!$D$51/12)*RATES!$N70/100</f>
        <v>7.875</v>
      </c>
      <c r="CI94" s="16">
        <f>IF(CI93&gt;0,CI93*PARAM!$C$53,CI93)+CG94-CH94</f>
        <v>-1573.75</v>
      </c>
      <c r="CJ94" s="15">
        <f t="shared" si="89"/>
        <v>0</v>
      </c>
      <c r="CK94" s="75">
        <f>CJ94*(1-PARAM!$C$27)*$R$4+(MOD($B94/12,5)=0)*($B94&gt;60)*HLOOKUP($B94/12,Loyalty,2)*$F$1*MAX(CM93,0)</f>
        <v>0</v>
      </c>
      <c r="CL94" s="75">
        <f>PARAM!$C$26+MAX($P$4-CHOOSE(PARAM!$B$44,MAX(0,CM93*$F$1),0),0)*RATES!$L70/12+$Q$4*(PARAM!$D$51/12)*RATES!$N70/100</f>
        <v>7.875</v>
      </c>
      <c r="CM94" s="16">
        <f>IF(CM93&gt;0,CM93*PARAM!$C$53,CM93)+CK94-CL94</f>
        <v>-1573.75</v>
      </c>
      <c r="CO94" s="176"/>
    </row>
    <row r="95" spans="1:93" x14ac:dyDescent="0.2">
      <c r="A95" t="b">
        <f t="shared" si="64"/>
        <v>0</v>
      </c>
      <c r="B95" s="33">
        <v>68</v>
      </c>
      <c r="C95" s="15">
        <f t="shared" si="65"/>
        <v>20.081305947392778</v>
      </c>
      <c r="D95" s="75">
        <f>C95*(1-PARAM!$C$27)*$I$3+(MOD($B95,60)=PARAM!$B$56)*($B95&gt;(60-PARAM!$B$56))*HLOOKUP(($B95+PARAM!$B$56)/12,Loyalty,2)*$F$1*MAX(F94,0)</f>
        <v>16.808053077967756</v>
      </c>
      <c r="E95" s="75">
        <f>PARAM!$C$26+MAX($G$3-CHOOSE(PARAM!$B$44,MAX(0,F94*$F$1),0),0)*RATES!$L71/12+$H$3*(PARAM!$D$51/12)*RATES!$N71/100</f>
        <v>7.875</v>
      </c>
      <c r="F95" s="16">
        <f t="shared" si="66"/>
        <v>-614.64987471519396</v>
      </c>
      <c r="G95" s="15">
        <f t="shared" si="67"/>
        <v>22.035289406060361</v>
      </c>
      <c r="H95" s="75">
        <f>G95*(1-PARAM!$C$27)*$I$4+(MOD($B95,60)=PARAM!$B$56)*($B95&gt;(60-PARAM!$B$56))*HLOOKUP(($B95+PARAM!$B$56)/12,Loyalty,2)*$F$1*MAX(J94,0)</f>
        <v>18.443537232872522</v>
      </c>
      <c r="I95" s="75">
        <f>PARAM!$C$26+MAX($G$4-CHOOSE(PARAM!$B$44,MAX(0,J94*$F$1),0),0)*RATES!$L71/12+$H$4*(PARAM!$D$51/12)*RATES!$N71/100</f>
        <v>7.875</v>
      </c>
      <c r="J95" s="16">
        <f t="shared" si="68"/>
        <v>-520.55970922997551</v>
      </c>
      <c r="K95" s="15">
        <f t="shared" si="69"/>
        <v>22.170849845882874</v>
      </c>
      <c r="L95" s="75">
        <f>K95*(1-PARAM!$C$27)*$I$5+(MOD($B95,60)=PARAM!$B$56)*($B95&gt;(60-PARAM!$B$56))*HLOOKUP(($B95+PARAM!$B$56)/12,Loyalty,2)*$F$1*MAX(N94,0)</f>
        <v>18.557001321003963</v>
      </c>
      <c r="M95" s="75">
        <f>PARAM!$C$26+MAX($G$5-CHOOSE(PARAM!$B$44,MAX(0,N94*$F$1),0),0)*RATES!$L71/12+$H$5*(PARAM!$D$51/12)*RATES!$N71/100</f>
        <v>7.875</v>
      </c>
      <c r="N95" s="16">
        <f t="shared" si="70"/>
        <v>-514.03206737119808</v>
      </c>
      <c r="O95" s="15">
        <f t="shared" si="71"/>
        <v>22.170849845882874</v>
      </c>
      <c r="P95" s="75">
        <f>O95*(1-PARAM!$C$27)*$I$6+(MOD($B95,60)=PARAM!$B$56)*($B95&gt;(60-PARAM!$B$56))*HLOOKUP(($B95+PARAM!$B$56)/12,Loyalty,2)*$F$1*MAX(R94,0)</f>
        <v>18.557001321003963</v>
      </c>
      <c r="Q95" s="75">
        <f>PARAM!$C$26+MAX($G$6-CHOOSE(PARAM!$B$44,MAX(0,R94*$F$1),0),0)*RATES!$L71/12+$H$6*(PARAM!$D$51/12)*RATES!$N71/100</f>
        <v>7.875</v>
      </c>
      <c r="R95" s="16">
        <f t="shared" si="72"/>
        <v>-514.03206737119808</v>
      </c>
      <c r="S95" s="15">
        <f t="shared" si="47"/>
        <v>22.170849845882874</v>
      </c>
      <c r="T95" s="75">
        <f>S95*(1-PARAM!$C$27)*$I$7+(MOD($B95,60)=PARAM!$B$56)*($B95&gt;(60-PARAM!$B$56))*HLOOKUP(($B95+PARAM!$B$56)/12,Loyalty,2)*$F$1*MAX(V94,0)</f>
        <v>18.557001321003963</v>
      </c>
      <c r="U95" s="75">
        <f>PARAM!$C$26+MAX($G$7-CHOOSE(PARAM!$B$44,MAX(0,V94*$F$1),0),0)*RATES!$L71/12+$H$7*(PARAM!$D$51/12)*RATES!$N71/100</f>
        <v>7.875</v>
      </c>
      <c r="V95" s="16">
        <f t="shared" si="73"/>
        <v>-514.03206737119808</v>
      </c>
      <c r="W95" s="15">
        <f t="shared" si="48"/>
        <v>22.170849845882874</v>
      </c>
      <c r="X95" s="75">
        <f>W95*(1-PARAM!$C$27)*$I$8+(MOD($B95,60)=PARAM!$B$56)*($B95&gt;(60-PARAM!$B$56))*HLOOKUP(($B95+PARAM!$B$56)/12,Loyalty,2)*$F$1*MAX(Z94,0)</f>
        <v>18.557001321003963</v>
      </c>
      <c r="Y95" s="75">
        <f>PARAM!$C$26+MAX($G$8-CHOOSE(PARAM!$B$44,MAX(0,Z94*$F$1),0),0)*RATES!$L71/12+$H$8*(PARAM!$D$51/12)*RATES!$N71/100</f>
        <v>7.875</v>
      </c>
      <c r="Z95" s="16">
        <f t="shared" si="74"/>
        <v>-514.03206737119808</v>
      </c>
      <c r="AA95" s="15">
        <f t="shared" si="49"/>
        <v>22.170849845882874</v>
      </c>
      <c r="AB95" s="75">
        <f>AA95*(1-PARAM!$C$27)*$I$9+(MOD($B95,60)=PARAM!$B$56)*($B95&gt;(60-PARAM!$B$56))*HLOOKUP(($B95+PARAM!$B$56)/12,Loyalty,2)*$F$1*MAX(AD94,0)</f>
        <v>18.557001321003963</v>
      </c>
      <c r="AC95" s="75">
        <f>PARAM!$C$26+MAX($G$9-CHOOSE(PARAM!$B$44,MAX(0,AD94*$F$1),0),0)*RATES!$L71/12+$H$9*(PARAM!$D$51/12)*RATES!$N71/100</f>
        <v>7.875</v>
      </c>
      <c r="AD95" s="16">
        <f t="shared" si="75"/>
        <v>-514.03206737119808</v>
      </c>
      <c r="AE95" s="15">
        <f t="shared" si="50"/>
        <v>22.170849845882874</v>
      </c>
      <c r="AF95" s="75">
        <f>AE95*(1-PARAM!$C$27)*$I$10+(MOD($B95,60)=PARAM!$B$56)*($B95&gt;(60-PARAM!$B$56))*HLOOKUP(($B95+PARAM!$B$56)/12,Loyalty,2)*$F$1*MAX(AH94,0)</f>
        <v>18.557001321003963</v>
      </c>
      <c r="AG95" s="75">
        <f>PARAM!$C$26+MAX($G$10-CHOOSE(PARAM!$B$44,MAX(0,AH94*$F$1),0),0)*RATES!$L71/12+$H$10*(PARAM!$D$51/12)*RATES!$N71/100</f>
        <v>7.875</v>
      </c>
      <c r="AH95" s="16">
        <f t="shared" si="76"/>
        <v>-514.03206737119808</v>
      </c>
      <c r="AI95" s="15">
        <f t="shared" si="51"/>
        <v>22.170849845882874</v>
      </c>
      <c r="AJ95" s="75">
        <f>AI95*(1-PARAM!$C$27)*$I$11+(MOD($B95,60)=PARAM!$B$56)*($B95&gt;(60-PARAM!$B$56))*HLOOKUP(($B95+PARAM!$B$56)/12,Loyalty,2)*$F$1*MAX(AL94,0)</f>
        <v>18.557001321003963</v>
      </c>
      <c r="AK95" s="75">
        <f>PARAM!$C$26+MAX($G$11-CHOOSE(PARAM!$B$44,MAX(0,AL94*$F$1),0),0)*RATES!$L71/12+$H$11*(PARAM!$D$51/12)*RATES!$N71/100</f>
        <v>7.875</v>
      </c>
      <c r="AL95" s="16">
        <f t="shared" si="77"/>
        <v>-514.03206737119808</v>
      </c>
      <c r="AM95" s="15">
        <f t="shared" si="52"/>
        <v>22.170849845882874</v>
      </c>
      <c r="AN95" s="75">
        <f>AM95*(1-PARAM!$C$27)*$I$12+(MOD($B95,60)=PARAM!$B$56)*($B95&gt;(60-PARAM!$B$56))*HLOOKUP(($B95+PARAM!$B$56)/12,Loyalty,2)*$F$1*MAX(AP94,0)</f>
        <v>18.557001321003963</v>
      </c>
      <c r="AO95" s="75">
        <f>PARAM!$C$26+MAX($G$12-CHOOSE(PARAM!$B$44,MAX(0,AP94*$F$1),0),0)*RATES!$L71/12+$H$12*(PARAM!$D$51/12)*RATES!$N71/100</f>
        <v>7.875</v>
      </c>
      <c r="AP95" s="16">
        <f t="shared" si="78"/>
        <v>-514.03206737119808</v>
      </c>
      <c r="AQ95" s="15">
        <f t="shared" si="53"/>
        <v>22.170849845882874</v>
      </c>
      <c r="AR95" s="75">
        <f>AQ95*(1-PARAM!$C$27)*$I$13+(MOD($B95,60)=PARAM!$B$56)*($B95&gt;(60-PARAM!$B$56))*HLOOKUP(($B95+PARAM!$B$56)/12,Loyalty,2)*$F$1*MAX(AT94,0)</f>
        <v>18.557001321003963</v>
      </c>
      <c r="AS95" s="75">
        <f>PARAM!$C$26+MAX($G$13-CHOOSE(PARAM!$B$44,MAX(0,AT94*$F$1),0),0)*RATES!$L71/12+$H$13*(PARAM!$D$51/12)*RATES!$N71/100</f>
        <v>7.875</v>
      </c>
      <c r="AT95" s="16">
        <f t="shared" si="79"/>
        <v>-514.03206737119808</v>
      </c>
      <c r="AU95" s="15">
        <f t="shared" si="54"/>
        <v>22.170849845882874</v>
      </c>
      <c r="AV95" s="75">
        <f>AU95*(1-PARAM!$C$27)*$I$14+(MOD($B95,60)=PARAM!$B$56)*($B95&gt;(60-PARAM!$B$56))*HLOOKUP(($B95+PARAM!$B$56)/12,Loyalty,2)*$F$1*MAX(AX94,0)</f>
        <v>18.557001321003963</v>
      </c>
      <c r="AW95" s="75">
        <f>PARAM!$C$26+MAX($G$14-CHOOSE(PARAM!$B$44,MAX(0,AX94*$F$1),0),0)*RATES!$L71/12+$H$14*(PARAM!$D$51/12)*RATES!$N71/100</f>
        <v>7.875</v>
      </c>
      <c r="AX95" s="16">
        <f t="shared" si="80"/>
        <v>-514.03206737119808</v>
      </c>
      <c r="AY95" s="15">
        <f t="shared" si="55"/>
        <v>22.170849845882874</v>
      </c>
      <c r="AZ95" s="75">
        <f>AY95*(1-PARAM!$C$27)*$I$15+(MOD($B95,60)=PARAM!$B$56)*($B95&gt;(60-PARAM!$B$56))*HLOOKUP(($B95+PARAM!$B$56)/12,Loyalty,2)*$F$1*MAX(BB94,0)</f>
        <v>18.557001321003963</v>
      </c>
      <c r="BA95" s="75">
        <f>PARAM!$C$26+MAX($G$15-CHOOSE(PARAM!$B$44,MAX(0,BB94*$F$1),0),0)*RATES!$L71/12+$H$15*(PARAM!$D$51/12)*RATES!$N71/100</f>
        <v>7.875</v>
      </c>
      <c r="BB95" s="16">
        <f t="shared" si="81"/>
        <v>-514.03206737119808</v>
      </c>
      <c r="BC95" s="15">
        <f t="shared" si="56"/>
        <v>22.170849845882874</v>
      </c>
      <c r="BD95" s="75">
        <f>BC95*(1-PARAM!$C$27)*$I$16+(MOD($B95,60)=PARAM!$B$56)*($B95&gt;(60-PARAM!$B$56))*HLOOKUP(($B95+PARAM!$B$56)/12,Loyalty,2)*$F$1*MAX(BF94,0)</f>
        <v>18.557001321003963</v>
      </c>
      <c r="BE95" s="75">
        <f>PARAM!$C$26+MAX($G$16-CHOOSE(PARAM!$B$44,MAX(0,BF94*$F$1),0),0)*RATES!$L71/12+$H$16*(PARAM!$D$51/12)*RATES!$N71/100</f>
        <v>7.875</v>
      </c>
      <c r="BF95" s="16">
        <f t="shared" si="82"/>
        <v>-514.03206737119808</v>
      </c>
      <c r="BG95" s="15">
        <f t="shared" si="57"/>
        <v>22.170849845882874</v>
      </c>
      <c r="BH95" s="75">
        <f>BG95*(1-PARAM!$C$27)*$I$17+(MOD($B95,60)=PARAM!$B$56)*($B95&gt;(60-PARAM!$B$56))*HLOOKUP(($B95+PARAM!$B$56)/12,Loyalty,2)*$F$1*MAX(BJ94,0)</f>
        <v>18.557001321003963</v>
      </c>
      <c r="BI95" s="75">
        <f>PARAM!$C$26+MAX($G$17-CHOOSE(PARAM!$B$44,MAX(0,BJ94*$F$1),0),0)*RATES!$L71/12+$H$17*(PARAM!$D$51/12)*RATES!$N71/100</f>
        <v>7.875</v>
      </c>
      <c r="BJ95" s="16">
        <f t="shared" si="83"/>
        <v>-514.03206737119808</v>
      </c>
      <c r="BK95" s="15">
        <f t="shared" si="58"/>
        <v>22.170849845882874</v>
      </c>
      <c r="BL95" s="75">
        <f>BK95*(1-PARAM!$C$27)*$I$18+(MOD($B95,60)=PARAM!$B$56)*($B95&gt;(60-PARAM!$B$56))*HLOOKUP(($B95+PARAM!$B$56)/12,Loyalty,2)*$F$1*MAX(BN94,0)</f>
        <v>18.557001321003963</v>
      </c>
      <c r="BM95" s="75">
        <f>PARAM!$C$26+MAX($G$18-CHOOSE(PARAM!$B$44,MAX(0,BN94*$F$1),0),0)*RATES!$L71/12+$H$18*(PARAM!$D$51/12)*RATES!$N71/100</f>
        <v>7.875</v>
      </c>
      <c r="BN95" s="16">
        <f t="shared" si="84"/>
        <v>-514.03206737119808</v>
      </c>
      <c r="BO95" s="15">
        <f t="shared" si="59"/>
        <v>22.170849845882874</v>
      </c>
      <c r="BP95" s="75">
        <f>BO95*(1-PARAM!$C$27)*$I$19+(MOD($B95,60)=PARAM!$B$56)*($B95&gt;(60-PARAM!$B$56))*HLOOKUP(($B95+PARAM!$B$56)/12,Loyalty,2)*$F$1*MAX(BR94,0)</f>
        <v>18.557001321003963</v>
      </c>
      <c r="BQ95" s="75">
        <f>PARAM!$C$26+MAX($G$19-CHOOSE(PARAM!$B$44,MAX(0,BR94*$F$1),0),0)*RATES!$L71/12+$H$19*(PARAM!$D$51/12)*RATES!$N71/100</f>
        <v>7.875</v>
      </c>
      <c r="BR95" s="16">
        <f t="shared" si="85"/>
        <v>-514.03206737119808</v>
      </c>
      <c r="BS95" s="15">
        <f t="shared" si="60"/>
        <v>22.170849845882874</v>
      </c>
      <c r="BT95" s="75">
        <f>BS95*(1-PARAM!$C$27)*$I$20+(MOD($B95,60)=PARAM!$B$56)*($B95&gt;(60-PARAM!$B$56))*HLOOKUP(($B95+PARAM!$B$56)/12,Loyalty,2)*$F$1*MAX(BV94,0)</f>
        <v>18.557001321003963</v>
      </c>
      <c r="BU95" s="75">
        <f>PARAM!$C$26+MAX($G$20-CHOOSE(PARAM!$B$44,MAX(0,BV94*$F$1),0),0)*RATES!$L71/12+$H$20*(PARAM!$D$51/12)*RATES!$N71/100</f>
        <v>7.875</v>
      </c>
      <c r="BV95" s="16">
        <f t="shared" si="86"/>
        <v>-514.03206737119808</v>
      </c>
      <c r="BW95" s="15">
        <f t="shared" si="61"/>
        <v>22.170849845882874</v>
      </c>
      <c r="BX95" s="75">
        <f>BW95*(1-PARAM!$C$27)*$I$21+(MOD($B95,60)=PARAM!$B$56)*($B95&gt;(60-PARAM!$B$56))*HLOOKUP(($B95+PARAM!$B$56)/12,Loyalty,2)*$F$1*MAX(BZ94,0)</f>
        <v>18.557001321003963</v>
      </c>
      <c r="BY95" s="75">
        <f>PARAM!$C$26+MAX($G$21-CHOOSE(PARAM!$B$44,MAX(0,BZ94*$F$1),0),0)*RATES!$L71/12+$H$21*(PARAM!$D$51/12)*RATES!$N71/100</f>
        <v>7.875</v>
      </c>
      <c r="BZ95" s="16">
        <f t="shared" si="87"/>
        <v>-514.03206737119808</v>
      </c>
      <c r="CA95" s="15">
        <f t="shared" si="62"/>
        <v>22.170849845882874</v>
      </c>
      <c r="CB95" s="75">
        <f>CA95*(1-PARAM!$C$27)*$I$22+(MOD($B95,60)=PARAM!$B$56)*($B95&gt;(60-PARAM!$B$56))*HLOOKUP(($B95+PARAM!$B$56)/12,Loyalty,2)*$F$1*MAX(CD94,0)</f>
        <v>18.557001321003963</v>
      </c>
      <c r="CC95" s="75">
        <f>PARAM!$C$26+MAX($G$22-CHOOSE(PARAM!$B$44,MAX(0,CD94*$F$1),0),0)*RATES!$L71/12+$H$22*(PARAM!$D$51/12)*RATES!$N71/100</f>
        <v>7.875</v>
      </c>
      <c r="CD95" s="16">
        <f t="shared" si="88"/>
        <v>-514.03206737119808</v>
      </c>
      <c r="CE95" s="33">
        <f>IF(0=MOD(B95,12/PARAM!$D$51),1,0)</f>
        <v>1</v>
      </c>
      <c r="CF95" s="15">
        <f t="shared" si="63"/>
        <v>0</v>
      </c>
      <c r="CG95" s="75">
        <f>CF95*(1-PARAM!$C$27)*$R$3+(MOD($B95/12,5)=0)*($B95&gt;60)*HLOOKUP($B95/12,Loyalty,2)*$F$1*MAX(CI94,0)</f>
        <v>0</v>
      </c>
      <c r="CH95" s="75">
        <f>PARAM!$C$26+MAX($P$3-CHOOSE(PARAM!$B$44,MAX(0,CI94*$F$1),0),0)*RATES!$L71/12+$Q$3*(PARAM!$D$51/12)*RATES!$N71/100</f>
        <v>7.875</v>
      </c>
      <c r="CI95" s="16">
        <f>IF(CI94&gt;0,CI94*PARAM!$C$53,CI94)+CG95-CH95</f>
        <v>-1581.625</v>
      </c>
      <c r="CJ95" s="15">
        <f t="shared" si="89"/>
        <v>0</v>
      </c>
      <c r="CK95" s="75">
        <f>CJ95*(1-PARAM!$C$27)*$R$4+(MOD($B95/12,5)=0)*($B95&gt;60)*HLOOKUP($B95/12,Loyalty,2)*$F$1*MAX(CM94,0)</f>
        <v>0</v>
      </c>
      <c r="CL95" s="75">
        <f>PARAM!$C$26+MAX($P$4-CHOOSE(PARAM!$B$44,MAX(0,CM94*$F$1),0),0)*RATES!$L71/12+$Q$4*(PARAM!$D$51/12)*RATES!$N71/100</f>
        <v>7.875</v>
      </c>
      <c r="CM95" s="16">
        <f>IF(CM94&gt;0,CM94*PARAM!$C$53,CM94)+CK95-CL95</f>
        <v>-1581.625</v>
      </c>
      <c r="CO95" s="176"/>
    </row>
    <row r="96" spans="1:93" x14ac:dyDescent="0.2">
      <c r="A96" t="b">
        <f t="shared" si="64"/>
        <v>0</v>
      </c>
      <c r="B96" s="33">
        <v>69</v>
      </c>
      <c r="C96" s="15">
        <f t="shared" si="65"/>
        <v>20.081305947392778</v>
      </c>
      <c r="D96" s="75">
        <f>C96*(1-PARAM!$C$27)*$I$3+(MOD($B96,60)=PARAM!$B$56)*($B96&gt;(60-PARAM!$B$56))*HLOOKUP(($B96+PARAM!$B$56)/12,Loyalty,2)*$F$1*MAX(F95,0)</f>
        <v>16.808053077967756</v>
      </c>
      <c r="E96" s="75">
        <f>PARAM!$C$26+MAX($G$3-CHOOSE(PARAM!$B$44,MAX(0,F95*$F$1),0),0)*RATES!$L72/12+$H$3*(PARAM!$D$51/12)*RATES!$N72/100</f>
        <v>7.875</v>
      </c>
      <c r="F96" s="16">
        <f t="shared" si="66"/>
        <v>-605.71682163722619</v>
      </c>
      <c r="G96" s="15">
        <f t="shared" si="67"/>
        <v>22.035289406060361</v>
      </c>
      <c r="H96" s="75">
        <f>G96*(1-PARAM!$C$27)*$I$4+(MOD($B96,60)=PARAM!$B$56)*($B96&gt;(60-PARAM!$B$56))*HLOOKUP(($B96+PARAM!$B$56)/12,Loyalty,2)*$F$1*MAX(J95,0)</f>
        <v>18.443537232872522</v>
      </c>
      <c r="I96" s="75">
        <f>PARAM!$C$26+MAX($G$4-CHOOSE(PARAM!$B$44,MAX(0,J95*$F$1),0),0)*RATES!$L72/12+$H$4*(PARAM!$D$51/12)*RATES!$N72/100</f>
        <v>7.875</v>
      </c>
      <c r="J96" s="16">
        <f t="shared" si="68"/>
        <v>-509.99117199710298</v>
      </c>
      <c r="K96" s="15">
        <f t="shared" si="69"/>
        <v>22.170849845882874</v>
      </c>
      <c r="L96" s="75">
        <f>K96*(1-PARAM!$C$27)*$I$5+(MOD($B96,60)=PARAM!$B$56)*($B96&gt;(60-PARAM!$B$56))*HLOOKUP(($B96+PARAM!$B$56)/12,Loyalty,2)*$F$1*MAX(N95,0)</f>
        <v>18.557001321003963</v>
      </c>
      <c r="M96" s="75">
        <f>PARAM!$C$26+MAX($G$5-CHOOSE(PARAM!$B$44,MAX(0,N95*$F$1),0),0)*RATES!$L72/12+$H$5*(PARAM!$D$51/12)*RATES!$N72/100</f>
        <v>7.875</v>
      </c>
      <c r="N96" s="16">
        <f t="shared" si="70"/>
        <v>-503.35006605019413</v>
      </c>
      <c r="O96" s="15">
        <f t="shared" si="71"/>
        <v>22.170849845882874</v>
      </c>
      <c r="P96" s="75">
        <f>O96*(1-PARAM!$C$27)*$I$6+(MOD($B96,60)=PARAM!$B$56)*($B96&gt;(60-PARAM!$B$56))*HLOOKUP(($B96+PARAM!$B$56)/12,Loyalty,2)*$F$1*MAX(R95,0)</f>
        <v>18.557001321003963</v>
      </c>
      <c r="Q96" s="75">
        <f>PARAM!$C$26+MAX($G$6-CHOOSE(PARAM!$B$44,MAX(0,R95*$F$1),0),0)*RATES!$L72/12+$H$6*(PARAM!$D$51/12)*RATES!$N72/100</f>
        <v>7.875</v>
      </c>
      <c r="R96" s="16">
        <f t="shared" si="72"/>
        <v>-503.35006605019413</v>
      </c>
      <c r="S96" s="15">
        <f t="shared" si="47"/>
        <v>22.170849845882874</v>
      </c>
      <c r="T96" s="75">
        <f>S96*(1-PARAM!$C$27)*$I$7+(MOD($B96,60)=PARAM!$B$56)*($B96&gt;(60-PARAM!$B$56))*HLOOKUP(($B96+PARAM!$B$56)/12,Loyalty,2)*$F$1*MAX(V95,0)</f>
        <v>18.557001321003963</v>
      </c>
      <c r="U96" s="75">
        <f>PARAM!$C$26+MAX($G$7-CHOOSE(PARAM!$B$44,MAX(0,V95*$F$1),0),0)*RATES!$L72/12+$H$7*(PARAM!$D$51/12)*RATES!$N72/100</f>
        <v>7.875</v>
      </c>
      <c r="V96" s="16">
        <f t="shared" si="73"/>
        <v>-503.35006605019413</v>
      </c>
      <c r="W96" s="15">
        <f t="shared" si="48"/>
        <v>22.170849845882874</v>
      </c>
      <c r="X96" s="75">
        <f>W96*(1-PARAM!$C$27)*$I$8+(MOD($B96,60)=PARAM!$B$56)*($B96&gt;(60-PARAM!$B$56))*HLOOKUP(($B96+PARAM!$B$56)/12,Loyalty,2)*$F$1*MAX(Z95,0)</f>
        <v>18.557001321003963</v>
      </c>
      <c r="Y96" s="75">
        <f>PARAM!$C$26+MAX($G$8-CHOOSE(PARAM!$B$44,MAX(0,Z95*$F$1),0),0)*RATES!$L72/12+$H$8*(PARAM!$D$51/12)*RATES!$N72/100</f>
        <v>7.875</v>
      </c>
      <c r="Z96" s="16">
        <f t="shared" si="74"/>
        <v>-503.35006605019413</v>
      </c>
      <c r="AA96" s="15">
        <f t="shared" si="49"/>
        <v>22.170849845882874</v>
      </c>
      <c r="AB96" s="75">
        <f>AA96*(1-PARAM!$C$27)*$I$9+(MOD($B96,60)=PARAM!$B$56)*($B96&gt;(60-PARAM!$B$56))*HLOOKUP(($B96+PARAM!$B$56)/12,Loyalty,2)*$F$1*MAX(AD95,0)</f>
        <v>18.557001321003963</v>
      </c>
      <c r="AC96" s="75">
        <f>PARAM!$C$26+MAX($G$9-CHOOSE(PARAM!$B$44,MAX(0,AD95*$F$1),0),0)*RATES!$L72/12+$H$9*(PARAM!$D$51/12)*RATES!$N72/100</f>
        <v>7.875</v>
      </c>
      <c r="AD96" s="16">
        <f t="shared" si="75"/>
        <v>-503.35006605019413</v>
      </c>
      <c r="AE96" s="15">
        <f t="shared" si="50"/>
        <v>22.170849845882874</v>
      </c>
      <c r="AF96" s="75">
        <f>AE96*(1-PARAM!$C$27)*$I$10+(MOD($B96,60)=PARAM!$B$56)*($B96&gt;(60-PARAM!$B$56))*HLOOKUP(($B96+PARAM!$B$56)/12,Loyalty,2)*$F$1*MAX(AH95,0)</f>
        <v>18.557001321003963</v>
      </c>
      <c r="AG96" s="75">
        <f>PARAM!$C$26+MAX($G$10-CHOOSE(PARAM!$B$44,MAX(0,AH95*$F$1),0),0)*RATES!$L72/12+$H$10*(PARAM!$D$51/12)*RATES!$N72/100</f>
        <v>7.875</v>
      </c>
      <c r="AH96" s="16">
        <f t="shared" si="76"/>
        <v>-503.35006605019413</v>
      </c>
      <c r="AI96" s="15">
        <f t="shared" si="51"/>
        <v>22.170849845882874</v>
      </c>
      <c r="AJ96" s="75">
        <f>AI96*(1-PARAM!$C$27)*$I$11+(MOD($B96,60)=PARAM!$B$56)*($B96&gt;(60-PARAM!$B$56))*HLOOKUP(($B96+PARAM!$B$56)/12,Loyalty,2)*$F$1*MAX(AL95,0)</f>
        <v>18.557001321003963</v>
      </c>
      <c r="AK96" s="75">
        <f>PARAM!$C$26+MAX($G$11-CHOOSE(PARAM!$B$44,MAX(0,AL95*$F$1),0),0)*RATES!$L72/12+$H$11*(PARAM!$D$51/12)*RATES!$N72/100</f>
        <v>7.875</v>
      </c>
      <c r="AL96" s="16">
        <f t="shared" si="77"/>
        <v>-503.35006605019413</v>
      </c>
      <c r="AM96" s="15">
        <f t="shared" si="52"/>
        <v>22.170849845882874</v>
      </c>
      <c r="AN96" s="75">
        <f>AM96*(1-PARAM!$C$27)*$I$12+(MOD($B96,60)=PARAM!$B$56)*($B96&gt;(60-PARAM!$B$56))*HLOOKUP(($B96+PARAM!$B$56)/12,Loyalty,2)*$F$1*MAX(AP95,0)</f>
        <v>18.557001321003963</v>
      </c>
      <c r="AO96" s="75">
        <f>PARAM!$C$26+MAX($G$12-CHOOSE(PARAM!$B$44,MAX(0,AP95*$F$1),0),0)*RATES!$L72/12+$H$12*(PARAM!$D$51/12)*RATES!$N72/100</f>
        <v>7.875</v>
      </c>
      <c r="AP96" s="16">
        <f t="shared" si="78"/>
        <v>-503.35006605019413</v>
      </c>
      <c r="AQ96" s="15">
        <f t="shared" si="53"/>
        <v>22.170849845882874</v>
      </c>
      <c r="AR96" s="75">
        <f>AQ96*(1-PARAM!$C$27)*$I$13+(MOD($B96,60)=PARAM!$B$56)*($B96&gt;(60-PARAM!$B$56))*HLOOKUP(($B96+PARAM!$B$56)/12,Loyalty,2)*$F$1*MAX(AT95,0)</f>
        <v>18.557001321003963</v>
      </c>
      <c r="AS96" s="75">
        <f>PARAM!$C$26+MAX($G$13-CHOOSE(PARAM!$B$44,MAX(0,AT95*$F$1),0),0)*RATES!$L72/12+$H$13*(PARAM!$D$51/12)*RATES!$N72/100</f>
        <v>7.875</v>
      </c>
      <c r="AT96" s="16">
        <f t="shared" si="79"/>
        <v>-503.35006605019413</v>
      </c>
      <c r="AU96" s="15">
        <f t="shared" si="54"/>
        <v>22.170849845882874</v>
      </c>
      <c r="AV96" s="75">
        <f>AU96*(1-PARAM!$C$27)*$I$14+(MOD($B96,60)=PARAM!$B$56)*($B96&gt;(60-PARAM!$B$56))*HLOOKUP(($B96+PARAM!$B$56)/12,Loyalty,2)*$F$1*MAX(AX95,0)</f>
        <v>18.557001321003963</v>
      </c>
      <c r="AW96" s="75">
        <f>PARAM!$C$26+MAX($G$14-CHOOSE(PARAM!$B$44,MAX(0,AX95*$F$1),0),0)*RATES!$L72/12+$H$14*(PARAM!$D$51/12)*RATES!$N72/100</f>
        <v>7.875</v>
      </c>
      <c r="AX96" s="16">
        <f t="shared" si="80"/>
        <v>-503.35006605019413</v>
      </c>
      <c r="AY96" s="15">
        <f t="shared" si="55"/>
        <v>22.170849845882874</v>
      </c>
      <c r="AZ96" s="75">
        <f>AY96*(1-PARAM!$C$27)*$I$15+(MOD($B96,60)=PARAM!$B$56)*($B96&gt;(60-PARAM!$B$56))*HLOOKUP(($B96+PARAM!$B$56)/12,Loyalty,2)*$F$1*MAX(BB95,0)</f>
        <v>18.557001321003963</v>
      </c>
      <c r="BA96" s="75">
        <f>PARAM!$C$26+MAX($G$15-CHOOSE(PARAM!$B$44,MAX(0,BB95*$F$1),0),0)*RATES!$L72/12+$H$15*(PARAM!$D$51/12)*RATES!$N72/100</f>
        <v>7.875</v>
      </c>
      <c r="BB96" s="16">
        <f t="shared" si="81"/>
        <v>-503.35006605019413</v>
      </c>
      <c r="BC96" s="15">
        <f t="shared" si="56"/>
        <v>22.170849845882874</v>
      </c>
      <c r="BD96" s="75">
        <f>BC96*(1-PARAM!$C$27)*$I$16+(MOD($B96,60)=PARAM!$B$56)*($B96&gt;(60-PARAM!$B$56))*HLOOKUP(($B96+PARAM!$B$56)/12,Loyalty,2)*$F$1*MAX(BF95,0)</f>
        <v>18.557001321003963</v>
      </c>
      <c r="BE96" s="75">
        <f>PARAM!$C$26+MAX($G$16-CHOOSE(PARAM!$B$44,MAX(0,BF95*$F$1),0),0)*RATES!$L72/12+$H$16*(PARAM!$D$51/12)*RATES!$N72/100</f>
        <v>7.875</v>
      </c>
      <c r="BF96" s="16">
        <f t="shared" si="82"/>
        <v>-503.35006605019413</v>
      </c>
      <c r="BG96" s="15">
        <f t="shared" si="57"/>
        <v>22.170849845882874</v>
      </c>
      <c r="BH96" s="75">
        <f>BG96*(1-PARAM!$C$27)*$I$17+(MOD($B96,60)=PARAM!$B$56)*($B96&gt;(60-PARAM!$B$56))*HLOOKUP(($B96+PARAM!$B$56)/12,Loyalty,2)*$F$1*MAX(BJ95,0)</f>
        <v>18.557001321003963</v>
      </c>
      <c r="BI96" s="75">
        <f>PARAM!$C$26+MAX($G$17-CHOOSE(PARAM!$B$44,MAX(0,BJ95*$F$1),0),0)*RATES!$L72/12+$H$17*(PARAM!$D$51/12)*RATES!$N72/100</f>
        <v>7.875</v>
      </c>
      <c r="BJ96" s="16">
        <f t="shared" si="83"/>
        <v>-503.35006605019413</v>
      </c>
      <c r="BK96" s="15">
        <f t="shared" si="58"/>
        <v>22.170849845882874</v>
      </c>
      <c r="BL96" s="75">
        <f>BK96*(1-PARAM!$C$27)*$I$18+(MOD($B96,60)=PARAM!$B$56)*($B96&gt;(60-PARAM!$B$56))*HLOOKUP(($B96+PARAM!$B$56)/12,Loyalty,2)*$F$1*MAX(BN95,0)</f>
        <v>18.557001321003963</v>
      </c>
      <c r="BM96" s="75">
        <f>PARAM!$C$26+MAX($G$18-CHOOSE(PARAM!$B$44,MAX(0,BN95*$F$1),0),0)*RATES!$L72/12+$H$18*(PARAM!$D$51/12)*RATES!$N72/100</f>
        <v>7.875</v>
      </c>
      <c r="BN96" s="16">
        <f t="shared" si="84"/>
        <v>-503.35006605019413</v>
      </c>
      <c r="BO96" s="15">
        <f t="shared" si="59"/>
        <v>22.170849845882874</v>
      </c>
      <c r="BP96" s="75">
        <f>BO96*(1-PARAM!$C$27)*$I$19+(MOD($B96,60)=PARAM!$B$56)*($B96&gt;(60-PARAM!$B$56))*HLOOKUP(($B96+PARAM!$B$56)/12,Loyalty,2)*$F$1*MAX(BR95,0)</f>
        <v>18.557001321003963</v>
      </c>
      <c r="BQ96" s="75">
        <f>PARAM!$C$26+MAX($G$19-CHOOSE(PARAM!$B$44,MAX(0,BR95*$F$1),0),0)*RATES!$L72/12+$H$19*(PARAM!$D$51/12)*RATES!$N72/100</f>
        <v>7.875</v>
      </c>
      <c r="BR96" s="16">
        <f t="shared" si="85"/>
        <v>-503.35006605019413</v>
      </c>
      <c r="BS96" s="15">
        <f t="shared" si="60"/>
        <v>22.170849845882874</v>
      </c>
      <c r="BT96" s="75">
        <f>BS96*(1-PARAM!$C$27)*$I$20+(MOD($B96,60)=PARAM!$B$56)*($B96&gt;(60-PARAM!$B$56))*HLOOKUP(($B96+PARAM!$B$56)/12,Loyalty,2)*$F$1*MAX(BV95,0)</f>
        <v>18.557001321003963</v>
      </c>
      <c r="BU96" s="75">
        <f>PARAM!$C$26+MAX($G$20-CHOOSE(PARAM!$B$44,MAX(0,BV95*$F$1),0),0)*RATES!$L72/12+$H$20*(PARAM!$D$51/12)*RATES!$N72/100</f>
        <v>7.875</v>
      </c>
      <c r="BV96" s="16">
        <f t="shared" si="86"/>
        <v>-503.35006605019413</v>
      </c>
      <c r="BW96" s="15">
        <f t="shared" si="61"/>
        <v>22.170849845882874</v>
      </c>
      <c r="BX96" s="75">
        <f>BW96*(1-PARAM!$C$27)*$I$21+(MOD($B96,60)=PARAM!$B$56)*($B96&gt;(60-PARAM!$B$56))*HLOOKUP(($B96+PARAM!$B$56)/12,Loyalty,2)*$F$1*MAX(BZ95,0)</f>
        <v>18.557001321003963</v>
      </c>
      <c r="BY96" s="75">
        <f>PARAM!$C$26+MAX($G$21-CHOOSE(PARAM!$B$44,MAX(0,BZ95*$F$1),0),0)*RATES!$L72/12+$H$21*(PARAM!$D$51/12)*RATES!$N72/100</f>
        <v>7.875</v>
      </c>
      <c r="BZ96" s="16">
        <f t="shared" si="87"/>
        <v>-503.35006605019413</v>
      </c>
      <c r="CA96" s="15">
        <f t="shared" si="62"/>
        <v>22.170849845882874</v>
      </c>
      <c r="CB96" s="75">
        <f>CA96*(1-PARAM!$C$27)*$I$22+(MOD($B96,60)=PARAM!$B$56)*($B96&gt;(60-PARAM!$B$56))*HLOOKUP(($B96+PARAM!$B$56)/12,Loyalty,2)*$F$1*MAX(CD95,0)</f>
        <v>18.557001321003963</v>
      </c>
      <c r="CC96" s="75">
        <f>PARAM!$C$26+MAX($G$22-CHOOSE(PARAM!$B$44,MAX(0,CD95*$F$1),0),0)*RATES!$L72/12+$H$22*(PARAM!$D$51/12)*RATES!$N72/100</f>
        <v>7.875</v>
      </c>
      <c r="CD96" s="16">
        <f t="shared" si="88"/>
        <v>-503.35006605019413</v>
      </c>
      <c r="CE96" s="33">
        <f>IF(0=MOD(B96,12/PARAM!$D$51),1,0)</f>
        <v>1</v>
      </c>
      <c r="CF96" s="15">
        <f t="shared" si="63"/>
        <v>0</v>
      </c>
      <c r="CG96" s="75">
        <f>CF96*(1-PARAM!$C$27)*$R$3+(MOD($B96/12,5)=0)*($B96&gt;60)*HLOOKUP($B96/12,Loyalty,2)*$F$1*MAX(CI95,0)</f>
        <v>0</v>
      </c>
      <c r="CH96" s="75">
        <f>PARAM!$C$26+MAX($P$3-CHOOSE(PARAM!$B$44,MAX(0,CI95*$F$1),0),0)*RATES!$L72/12+$Q$3*(PARAM!$D$51/12)*RATES!$N72/100</f>
        <v>7.875</v>
      </c>
      <c r="CI96" s="16">
        <f>IF(CI95&gt;0,CI95*PARAM!$C$53,CI95)+CG96-CH96</f>
        <v>-1589.5</v>
      </c>
      <c r="CJ96" s="15">
        <f t="shared" si="89"/>
        <v>0</v>
      </c>
      <c r="CK96" s="75">
        <f>CJ96*(1-PARAM!$C$27)*$R$4+(MOD($B96/12,5)=0)*($B96&gt;60)*HLOOKUP($B96/12,Loyalty,2)*$F$1*MAX(CM95,0)</f>
        <v>0</v>
      </c>
      <c r="CL96" s="75">
        <f>PARAM!$C$26+MAX($P$4-CHOOSE(PARAM!$B$44,MAX(0,CM95*$F$1),0),0)*RATES!$L72/12+$Q$4*(PARAM!$D$51/12)*RATES!$N72/100</f>
        <v>7.875</v>
      </c>
      <c r="CM96" s="16">
        <f>IF(CM95&gt;0,CM95*PARAM!$C$53,CM95)+CK96-CL96</f>
        <v>-1589.5</v>
      </c>
      <c r="CO96" s="176"/>
    </row>
    <row r="97" spans="1:93" x14ac:dyDescent="0.2">
      <c r="A97" t="b">
        <f t="shared" si="64"/>
        <v>0</v>
      </c>
      <c r="B97" s="33">
        <v>70</v>
      </c>
      <c r="C97" s="15">
        <f t="shared" si="65"/>
        <v>20.081305947392778</v>
      </c>
      <c r="D97" s="75">
        <f>C97*(1-PARAM!$C$27)*$I$3+(MOD($B97,60)=PARAM!$B$56)*($B97&gt;(60-PARAM!$B$56))*HLOOKUP(($B97+PARAM!$B$56)/12,Loyalty,2)*$F$1*MAX(F96,0)</f>
        <v>16.808053077967756</v>
      </c>
      <c r="E97" s="75">
        <f>PARAM!$C$26+MAX($G$3-CHOOSE(PARAM!$B$44,MAX(0,F96*$F$1),0),0)*RATES!$L73/12+$H$3*(PARAM!$D$51/12)*RATES!$N73/100</f>
        <v>7.875</v>
      </c>
      <c r="F97" s="16">
        <f t="shared" si="66"/>
        <v>-596.78376855925842</v>
      </c>
      <c r="G97" s="15">
        <f t="shared" si="67"/>
        <v>22.035289406060361</v>
      </c>
      <c r="H97" s="75">
        <f>G97*(1-PARAM!$C$27)*$I$4+(MOD($B97,60)=PARAM!$B$56)*($B97&gt;(60-PARAM!$B$56))*HLOOKUP(($B97+PARAM!$B$56)/12,Loyalty,2)*$F$1*MAX(J96,0)</f>
        <v>18.443537232872522</v>
      </c>
      <c r="I97" s="75">
        <f>PARAM!$C$26+MAX($G$4-CHOOSE(PARAM!$B$44,MAX(0,J96*$F$1),0),0)*RATES!$L73/12+$H$4*(PARAM!$D$51/12)*RATES!$N73/100</f>
        <v>7.875</v>
      </c>
      <c r="J97" s="16">
        <f t="shared" si="68"/>
        <v>-499.42263476423045</v>
      </c>
      <c r="K97" s="15">
        <f t="shared" si="69"/>
        <v>22.170849845882874</v>
      </c>
      <c r="L97" s="75">
        <f>K97*(1-PARAM!$C$27)*$I$5+(MOD($B97,60)=PARAM!$B$56)*($B97&gt;(60-PARAM!$B$56))*HLOOKUP(($B97+PARAM!$B$56)/12,Loyalty,2)*$F$1*MAX(N96,0)</f>
        <v>18.557001321003963</v>
      </c>
      <c r="M97" s="75">
        <f>PARAM!$C$26+MAX($G$5-CHOOSE(PARAM!$B$44,MAX(0,N96*$F$1),0),0)*RATES!$L73/12+$H$5*(PARAM!$D$51/12)*RATES!$N73/100</f>
        <v>7.875</v>
      </c>
      <c r="N97" s="16">
        <f t="shared" si="70"/>
        <v>-492.66806472919018</v>
      </c>
      <c r="O97" s="15">
        <f t="shared" si="71"/>
        <v>22.170849845882874</v>
      </c>
      <c r="P97" s="75">
        <f>O97*(1-PARAM!$C$27)*$I$6+(MOD($B97,60)=PARAM!$B$56)*($B97&gt;(60-PARAM!$B$56))*HLOOKUP(($B97+PARAM!$B$56)/12,Loyalty,2)*$F$1*MAX(R96,0)</f>
        <v>18.557001321003963</v>
      </c>
      <c r="Q97" s="75">
        <f>PARAM!$C$26+MAX($G$6-CHOOSE(PARAM!$B$44,MAX(0,R96*$F$1),0),0)*RATES!$L73/12+$H$6*(PARAM!$D$51/12)*RATES!$N73/100</f>
        <v>7.875</v>
      </c>
      <c r="R97" s="16">
        <f t="shared" si="72"/>
        <v>-492.66806472919018</v>
      </c>
      <c r="S97" s="15">
        <f t="shared" si="47"/>
        <v>22.170849845882874</v>
      </c>
      <c r="T97" s="75">
        <f>S97*(1-PARAM!$C$27)*$I$7+(MOD($B97,60)=PARAM!$B$56)*($B97&gt;(60-PARAM!$B$56))*HLOOKUP(($B97+PARAM!$B$56)/12,Loyalty,2)*$F$1*MAX(V96,0)</f>
        <v>18.557001321003963</v>
      </c>
      <c r="U97" s="75">
        <f>PARAM!$C$26+MAX($G$7-CHOOSE(PARAM!$B$44,MAX(0,V96*$F$1),0),0)*RATES!$L73/12+$H$7*(PARAM!$D$51/12)*RATES!$N73/100</f>
        <v>7.875</v>
      </c>
      <c r="V97" s="16">
        <f t="shared" si="73"/>
        <v>-492.66806472919018</v>
      </c>
      <c r="W97" s="15">
        <f t="shared" si="48"/>
        <v>22.170849845882874</v>
      </c>
      <c r="X97" s="75">
        <f>W97*(1-PARAM!$C$27)*$I$8+(MOD($B97,60)=PARAM!$B$56)*($B97&gt;(60-PARAM!$B$56))*HLOOKUP(($B97+PARAM!$B$56)/12,Loyalty,2)*$F$1*MAX(Z96,0)</f>
        <v>18.557001321003963</v>
      </c>
      <c r="Y97" s="75">
        <f>PARAM!$C$26+MAX($G$8-CHOOSE(PARAM!$B$44,MAX(0,Z96*$F$1),0),0)*RATES!$L73/12+$H$8*(PARAM!$D$51/12)*RATES!$N73/100</f>
        <v>7.875</v>
      </c>
      <c r="Z97" s="16">
        <f t="shared" si="74"/>
        <v>-492.66806472919018</v>
      </c>
      <c r="AA97" s="15">
        <f t="shared" si="49"/>
        <v>22.170849845882874</v>
      </c>
      <c r="AB97" s="75">
        <f>AA97*(1-PARAM!$C$27)*$I$9+(MOD($B97,60)=PARAM!$B$56)*($B97&gt;(60-PARAM!$B$56))*HLOOKUP(($B97+PARAM!$B$56)/12,Loyalty,2)*$F$1*MAX(AD96,0)</f>
        <v>18.557001321003963</v>
      </c>
      <c r="AC97" s="75">
        <f>PARAM!$C$26+MAX($G$9-CHOOSE(PARAM!$B$44,MAX(0,AD96*$F$1),0),0)*RATES!$L73/12+$H$9*(PARAM!$D$51/12)*RATES!$N73/100</f>
        <v>7.875</v>
      </c>
      <c r="AD97" s="16">
        <f t="shared" si="75"/>
        <v>-492.66806472919018</v>
      </c>
      <c r="AE97" s="15">
        <f t="shared" si="50"/>
        <v>22.170849845882874</v>
      </c>
      <c r="AF97" s="75">
        <f>AE97*(1-PARAM!$C$27)*$I$10+(MOD($B97,60)=PARAM!$B$56)*($B97&gt;(60-PARAM!$B$56))*HLOOKUP(($B97+PARAM!$B$56)/12,Loyalty,2)*$F$1*MAX(AH96,0)</f>
        <v>18.557001321003963</v>
      </c>
      <c r="AG97" s="75">
        <f>PARAM!$C$26+MAX($G$10-CHOOSE(PARAM!$B$44,MAX(0,AH96*$F$1),0),0)*RATES!$L73/12+$H$10*(PARAM!$D$51/12)*RATES!$N73/100</f>
        <v>7.875</v>
      </c>
      <c r="AH97" s="16">
        <f t="shared" si="76"/>
        <v>-492.66806472919018</v>
      </c>
      <c r="AI97" s="15">
        <f t="shared" si="51"/>
        <v>22.170849845882874</v>
      </c>
      <c r="AJ97" s="75">
        <f>AI97*(1-PARAM!$C$27)*$I$11+(MOD($B97,60)=PARAM!$B$56)*($B97&gt;(60-PARAM!$B$56))*HLOOKUP(($B97+PARAM!$B$56)/12,Loyalty,2)*$F$1*MAX(AL96,0)</f>
        <v>18.557001321003963</v>
      </c>
      <c r="AK97" s="75">
        <f>PARAM!$C$26+MAX($G$11-CHOOSE(PARAM!$B$44,MAX(0,AL96*$F$1),0),0)*RATES!$L73/12+$H$11*(PARAM!$D$51/12)*RATES!$N73/100</f>
        <v>7.875</v>
      </c>
      <c r="AL97" s="16">
        <f t="shared" si="77"/>
        <v>-492.66806472919018</v>
      </c>
      <c r="AM97" s="15">
        <f t="shared" si="52"/>
        <v>22.170849845882874</v>
      </c>
      <c r="AN97" s="75">
        <f>AM97*(1-PARAM!$C$27)*$I$12+(MOD($B97,60)=PARAM!$B$56)*($B97&gt;(60-PARAM!$B$56))*HLOOKUP(($B97+PARAM!$B$56)/12,Loyalty,2)*$F$1*MAX(AP96,0)</f>
        <v>18.557001321003963</v>
      </c>
      <c r="AO97" s="75">
        <f>PARAM!$C$26+MAX($G$12-CHOOSE(PARAM!$B$44,MAX(0,AP96*$F$1),0),0)*RATES!$L73/12+$H$12*(PARAM!$D$51/12)*RATES!$N73/100</f>
        <v>7.875</v>
      </c>
      <c r="AP97" s="16">
        <f t="shared" si="78"/>
        <v>-492.66806472919018</v>
      </c>
      <c r="AQ97" s="15">
        <f t="shared" si="53"/>
        <v>22.170849845882874</v>
      </c>
      <c r="AR97" s="75">
        <f>AQ97*(1-PARAM!$C$27)*$I$13+(MOD($B97,60)=PARAM!$B$56)*($B97&gt;(60-PARAM!$B$56))*HLOOKUP(($B97+PARAM!$B$56)/12,Loyalty,2)*$F$1*MAX(AT96,0)</f>
        <v>18.557001321003963</v>
      </c>
      <c r="AS97" s="75">
        <f>PARAM!$C$26+MAX($G$13-CHOOSE(PARAM!$B$44,MAX(0,AT96*$F$1),0),0)*RATES!$L73/12+$H$13*(PARAM!$D$51/12)*RATES!$N73/100</f>
        <v>7.875</v>
      </c>
      <c r="AT97" s="16">
        <f t="shared" si="79"/>
        <v>-492.66806472919018</v>
      </c>
      <c r="AU97" s="15">
        <f t="shared" si="54"/>
        <v>22.170849845882874</v>
      </c>
      <c r="AV97" s="75">
        <f>AU97*(1-PARAM!$C$27)*$I$14+(MOD($B97,60)=PARAM!$B$56)*($B97&gt;(60-PARAM!$B$56))*HLOOKUP(($B97+PARAM!$B$56)/12,Loyalty,2)*$F$1*MAX(AX96,0)</f>
        <v>18.557001321003963</v>
      </c>
      <c r="AW97" s="75">
        <f>PARAM!$C$26+MAX($G$14-CHOOSE(PARAM!$B$44,MAX(0,AX96*$F$1),0),0)*RATES!$L73/12+$H$14*(PARAM!$D$51/12)*RATES!$N73/100</f>
        <v>7.875</v>
      </c>
      <c r="AX97" s="16">
        <f t="shared" si="80"/>
        <v>-492.66806472919018</v>
      </c>
      <c r="AY97" s="15">
        <f t="shared" si="55"/>
        <v>22.170849845882874</v>
      </c>
      <c r="AZ97" s="75">
        <f>AY97*(1-PARAM!$C$27)*$I$15+(MOD($B97,60)=PARAM!$B$56)*($B97&gt;(60-PARAM!$B$56))*HLOOKUP(($B97+PARAM!$B$56)/12,Loyalty,2)*$F$1*MAX(BB96,0)</f>
        <v>18.557001321003963</v>
      </c>
      <c r="BA97" s="75">
        <f>PARAM!$C$26+MAX($G$15-CHOOSE(PARAM!$B$44,MAX(0,BB96*$F$1),0),0)*RATES!$L73/12+$H$15*(PARAM!$D$51/12)*RATES!$N73/100</f>
        <v>7.875</v>
      </c>
      <c r="BB97" s="16">
        <f t="shared" si="81"/>
        <v>-492.66806472919018</v>
      </c>
      <c r="BC97" s="15">
        <f t="shared" si="56"/>
        <v>22.170849845882874</v>
      </c>
      <c r="BD97" s="75">
        <f>BC97*(1-PARAM!$C$27)*$I$16+(MOD($B97,60)=PARAM!$B$56)*($B97&gt;(60-PARAM!$B$56))*HLOOKUP(($B97+PARAM!$B$56)/12,Loyalty,2)*$F$1*MAX(BF96,0)</f>
        <v>18.557001321003963</v>
      </c>
      <c r="BE97" s="75">
        <f>PARAM!$C$26+MAX($G$16-CHOOSE(PARAM!$B$44,MAX(0,BF96*$F$1),0),0)*RATES!$L73/12+$H$16*(PARAM!$D$51/12)*RATES!$N73/100</f>
        <v>7.875</v>
      </c>
      <c r="BF97" s="16">
        <f t="shared" si="82"/>
        <v>-492.66806472919018</v>
      </c>
      <c r="BG97" s="15">
        <f t="shared" si="57"/>
        <v>22.170849845882874</v>
      </c>
      <c r="BH97" s="75">
        <f>BG97*(1-PARAM!$C$27)*$I$17+(MOD($B97,60)=PARAM!$B$56)*($B97&gt;(60-PARAM!$B$56))*HLOOKUP(($B97+PARAM!$B$56)/12,Loyalty,2)*$F$1*MAX(BJ96,0)</f>
        <v>18.557001321003963</v>
      </c>
      <c r="BI97" s="75">
        <f>PARAM!$C$26+MAX($G$17-CHOOSE(PARAM!$B$44,MAX(0,BJ96*$F$1),0),0)*RATES!$L73/12+$H$17*(PARAM!$D$51/12)*RATES!$N73/100</f>
        <v>7.875</v>
      </c>
      <c r="BJ97" s="16">
        <f t="shared" si="83"/>
        <v>-492.66806472919018</v>
      </c>
      <c r="BK97" s="15">
        <f t="shared" si="58"/>
        <v>22.170849845882874</v>
      </c>
      <c r="BL97" s="75">
        <f>BK97*(1-PARAM!$C$27)*$I$18+(MOD($B97,60)=PARAM!$B$56)*($B97&gt;(60-PARAM!$B$56))*HLOOKUP(($B97+PARAM!$B$56)/12,Loyalty,2)*$F$1*MAX(BN96,0)</f>
        <v>18.557001321003963</v>
      </c>
      <c r="BM97" s="75">
        <f>PARAM!$C$26+MAX($G$18-CHOOSE(PARAM!$B$44,MAX(0,BN96*$F$1),0),0)*RATES!$L73/12+$H$18*(PARAM!$D$51/12)*RATES!$N73/100</f>
        <v>7.875</v>
      </c>
      <c r="BN97" s="16">
        <f t="shared" si="84"/>
        <v>-492.66806472919018</v>
      </c>
      <c r="BO97" s="15">
        <f t="shared" si="59"/>
        <v>22.170849845882874</v>
      </c>
      <c r="BP97" s="75">
        <f>BO97*(1-PARAM!$C$27)*$I$19+(MOD($B97,60)=PARAM!$B$56)*($B97&gt;(60-PARAM!$B$56))*HLOOKUP(($B97+PARAM!$B$56)/12,Loyalty,2)*$F$1*MAX(BR96,0)</f>
        <v>18.557001321003963</v>
      </c>
      <c r="BQ97" s="75">
        <f>PARAM!$C$26+MAX($G$19-CHOOSE(PARAM!$B$44,MAX(0,BR96*$F$1),0),0)*RATES!$L73/12+$H$19*(PARAM!$D$51/12)*RATES!$N73/100</f>
        <v>7.875</v>
      </c>
      <c r="BR97" s="16">
        <f t="shared" si="85"/>
        <v>-492.66806472919018</v>
      </c>
      <c r="BS97" s="15">
        <f t="shared" si="60"/>
        <v>22.170849845882874</v>
      </c>
      <c r="BT97" s="75">
        <f>BS97*(1-PARAM!$C$27)*$I$20+(MOD($B97,60)=PARAM!$B$56)*($B97&gt;(60-PARAM!$B$56))*HLOOKUP(($B97+PARAM!$B$56)/12,Loyalty,2)*$F$1*MAX(BV96,0)</f>
        <v>18.557001321003963</v>
      </c>
      <c r="BU97" s="75">
        <f>PARAM!$C$26+MAX($G$20-CHOOSE(PARAM!$B$44,MAX(0,BV96*$F$1),0),0)*RATES!$L73/12+$H$20*(PARAM!$D$51/12)*RATES!$N73/100</f>
        <v>7.875</v>
      </c>
      <c r="BV97" s="16">
        <f t="shared" si="86"/>
        <v>-492.66806472919018</v>
      </c>
      <c r="BW97" s="15">
        <f t="shared" si="61"/>
        <v>22.170849845882874</v>
      </c>
      <c r="BX97" s="75">
        <f>BW97*(1-PARAM!$C$27)*$I$21+(MOD($B97,60)=PARAM!$B$56)*($B97&gt;(60-PARAM!$B$56))*HLOOKUP(($B97+PARAM!$B$56)/12,Loyalty,2)*$F$1*MAX(BZ96,0)</f>
        <v>18.557001321003963</v>
      </c>
      <c r="BY97" s="75">
        <f>PARAM!$C$26+MAX($G$21-CHOOSE(PARAM!$B$44,MAX(0,BZ96*$F$1),0),0)*RATES!$L73/12+$H$21*(PARAM!$D$51/12)*RATES!$N73/100</f>
        <v>7.875</v>
      </c>
      <c r="BZ97" s="16">
        <f t="shared" si="87"/>
        <v>-492.66806472919018</v>
      </c>
      <c r="CA97" s="15">
        <f t="shared" si="62"/>
        <v>22.170849845882874</v>
      </c>
      <c r="CB97" s="75">
        <f>CA97*(1-PARAM!$C$27)*$I$22+(MOD($B97,60)=PARAM!$B$56)*($B97&gt;(60-PARAM!$B$56))*HLOOKUP(($B97+PARAM!$B$56)/12,Loyalty,2)*$F$1*MAX(CD96,0)</f>
        <v>18.557001321003963</v>
      </c>
      <c r="CC97" s="75">
        <f>PARAM!$C$26+MAX($G$22-CHOOSE(PARAM!$B$44,MAX(0,CD96*$F$1),0),0)*RATES!$L73/12+$H$22*(PARAM!$D$51/12)*RATES!$N73/100</f>
        <v>7.875</v>
      </c>
      <c r="CD97" s="16">
        <f t="shared" si="88"/>
        <v>-492.66806472919018</v>
      </c>
      <c r="CE97" s="33">
        <f>IF(0=MOD(B97,12/PARAM!$D$51),1,0)</f>
        <v>1</v>
      </c>
      <c r="CF97" s="15">
        <f t="shared" si="63"/>
        <v>0</v>
      </c>
      <c r="CG97" s="75">
        <f>CF97*(1-PARAM!$C$27)*$R$3+(MOD($B97/12,5)=0)*($B97&gt;60)*HLOOKUP($B97/12,Loyalty,2)*$F$1*MAX(CI96,0)</f>
        <v>0</v>
      </c>
      <c r="CH97" s="75">
        <f>PARAM!$C$26+MAX($P$3-CHOOSE(PARAM!$B$44,MAX(0,CI96*$F$1),0),0)*RATES!$L73/12+$Q$3*(PARAM!$D$51/12)*RATES!$N73/100</f>
        <v>7.875</v>
      </c>
      <c r="CI97" s="16">
        <f>IF(CI96&gt;0,CI96*PARAM!$C$53,CI96)+CG97-CH97</f>
        <v>-1597.375</v>
      </c>
      <c r="CJ97" s="15">
        <f t="shared" si="89"/>
        <v>0</v>
      </c>
      <c r="CK97" s="75">
        <f>CJ97*(1-PARAM!$C$27)*$R$4+(MOD($B97/12,5)=0)*($B97&gt;60)*HLOOKUP($B97/12,Loyalty,2)*$F$1*MAX(CM96,0)</f>
        <v>0</v>
      </c>
      <c r="CL97" s="75">
        <f>PARAM!$C$26+MAX($P$4-CHOOSE(PARAM!$B$44,MAX(0,CM96*$F$1),0),0)*RATES!$L73/12+$Q$4*(PARAM!$D$51/12)*RATES!$N73/100</f>
        <v>7.875</v>
      </c>
      <c r="CM97" s="16">
        <f>IF(CM96&gt;0,CM96*PARAM!$C$53,CM96)+CK97-CL97</f>
        <v>-1597.375</v>
      </c>
      <c r="CO97" s="176"/>
    </row>
    <row r="98" spans="1:93" x14ac:dyDescent="0.2">
      <c r="A98" t="b">
        <f t="shared" si="64"/>
        <v>0</v>
      </c>
      <c r="B98" s="33">
        <v>71</v>
      </c>
      <c r="C98" s="15">
        <f t="shared" si="65"/>
        <v>20.081305947392778</v>
      </c>
      <c r="D98" s="75">
        <f>C98*(1-PARAM!$C$27)*$I$3+(MOD($B98,60)=PARAM!$B$56)*($B98&gt;(60-PARAM!$B$56))*HLOOKUP(($B98+PARAM!$B$56)/12,Loyalty,2)*$F$1*MAX(F97,0)</f>
        <v>16.808053077967756</v>
      </c>
      <c r="E98" s="75">
        <f>PARAM!$C$26+MAX($G$3-CHOOSE(PARAM!$B$44,MAX(0,F97*$F$1),0),0)*RATES!$L74/12+$H$3*(PARAM!$D$51/12)*RATES!$N74/100</f>
        <v>7.875</v>
      </c>
      <c r="F98" s="16">
        <f t="shared" si="66"/>
        <v>-587.85071548129065</v>
      </c>
      <c r="G98" s="15">
        <f t="shared" si="67"/>
        <v>22.035289406060361</v>
      </c>
      <c r="H98" s="75">
        <f>G98*(1-PARAM!$C$27)*$I$4+(MOD($B98,60)=PARAM!$B$56)*($B98&gt;(60-PARAM!$B$56))*HLOOKUP(($B98+PARAM!$B$56)/12,Loyalty,2)*$F$1*MAX(J97,0)</f>
        <v>18.443537232872522</v>
      </c>
      <c r="I98" s="75">
        <f>PARAM!$C$26+MAX($G$4-CHOOSE(PARAM!$B$44,MAX(0,J97*$F$1),0),0)*RATES!$L74/12+$H$4*(PARAM!$D$51/12)*RATES!$N74/100</f>
        <v>7.875</v>
      </c>
      <c r="J98" s="16">
        <f t="shared" si="68"/>
        <v>-488.85409753135792</v>
      </c>
      <c r="K98" s="15">
        <f t="shared" si="69"/>
        <v>22.170849845882874</v>
      </c>
      <c r="L98" s="75">
        <f>K98*(1-PARAM!$C$27)*$I$5+(MOD($B98,60)=PARAM!$B$56)*($B98&gt;(60-PARAM!$B$56))*HLOOKUP(($B98+PARAM!$B$56)/12,Loyalty,2)*$F$1*MAX(N97,0)</f>
        <v>18.557001321003963</v>
      </c>
      <c r="M98" s="75">
        <f>PARAM!$C$26+MAX($G$5-CHOOSE(PARAM!$B$44,MAX(0,N97*$F$1),0),0)*RATES!$L74/12+$H$5*(PARAM!$D$51/12)*RATES!$N74/100</f>
        <v>7.875</v>
      </c>
      <c r="N98" s="16">
        <f t="shared" si="70"/>
        <v>-481.98606340818623</v>
      </c>
      <c r="O98" s="15">
        <f t="shared" si="71"/>
        <v>22.170849845882874</v>
      </c>
      <c r="P98" s="75">
        <f>O98*(1-PARAM!$C$27)*$I$6+(MOD($B98,60)=PARAM!$B$56)*($B98&gt;(60-PARAM!$B$56))*HLOOKUP(($B98+PARAM!$B$56)/12,Loyalty,2)*$F$1*MAX(R97,0)</f>
        <v>18.557001321003963</v>
      </c>
      <c r="Q98" s="75">
        <f>PARAM!$C$26+MAX($G$6-CHOOSE(PARAM!$B$44,MAX(0,R97*$F$1),0),0)*RATES!$L74/12+$H$6*(PARAM!$D$51/12)*RATES!$N74/100</f>
        <v>7.875</v>
      </c>
      <c r="R98" s="16">
        <f t="shared" si="72"/>
        <v>-481.98606340818623</v>
      </c>
      <c r="S98" s="15">
        <f t="shared" si="47"/>
        <v>22.170849845882874</v>
      </c>
      <c r="T98" s="75">
        <f>S98*(1-PARAM!$C$27)*$I$7+(MOD($B98,60)=PARAM!$B$56)*($B98&gt;(60-PARAM!$B$56))*HLOOKUP(($B98+PARAM!$B$56)/12,Loyalty,2)*$F$1*MAX(V97,0)</f>
        <v>18.557001321003963</v>
      </c>
      <c r="U98" s="75">
        <f>PARAM!$C$26+MAX($G$7-CHOOSE(PARAM!$B$44,MAX(0,V97*$F$1),0),0)*RATES!$L74/12+$H$7*(PARAM!$D$51/12)*RATES!$N74/100</f>
        <v>7.875</v>
      </c>
      <c r="V98" s="16">
        <f t="shared" si="73"/>
        <v>-481.98606340818623</v>
      </c>
      <c r="W98" s="15">
        <f t="shared" si="48"/>
        <v>22.170849845882874</v>
      </c>
      <c r="X98" s="75">
        <f>W98*(1-PARAM!$C$27)*$I$8+(MOD($B98,60)=PARAM!$B$56)*($B98&gt;(60-PARAM!$B$56))*HLOOKUP(($B98+PARAM!$B$56)/12,Loyalty,2)*$F$1*MAX(Z97,0)</f>
        <v>18.557001321003963</v>
      </c>
      <c r="Y98" s="75">
        <f>PARAM!$C$26+MAX($G$8-CHOOSE(PARAM!$B$44,MAX(0,Z97*$F$1),0),0)*RATES!$L74/12+$H$8*(PARAM!$D$51/12)*RATES!$N74/100</f>
        <v>7.875</v>
      </c>
      <c r="Z98" s="16">
        <f t="shared" si="74"/>
        <v>-481.98606340818623</v>
      </c>
      <c r="AA98" s="15">
        <f t="shared" si="49"/>
        <v>22.170849845882874</v>
      </c>
      <c r="AB98" s="75">
        <f>AA98*(1-PARAM!$C$27)*$I$9+(MOD($B98,60)=PARAM!$B$56)*($B98&gt;(60-PARAM!$B$56))*HLOOKUP(($B98+PARAM!$B$56)/12,Loyalty,2)*$F$1*MAX(AD97,0)</f>
        <v>18.557001321003963</v>
      </c>
      <c r="AC98" s="75">
        <f>PARAM!$C$26+MAX($G$9-CHOOSE(PARAM!$B$44,MAX(0,AD97*$F$1),0),0)*RATES!$L74/12+$H$9*(PARAM!$D$51/12)*RATES!$N74/100</f>
        <v>7.875</v>
      </c>
      <c r="AD98" s="16">
        <f t="shared" si="75"/>
        <v>-481.98606340818623</v>
      </c>
      <c r="AE98" s="15">
        <f t="shared" si="50"/>
        <v>22.170849845882874</v>
      </c>
      <c r="AF98" s="75">
        <f>AE98*(1-PARAM!$C$27)*$I$10+(MOD($B98,60)=PARAM!$B$56)*($B98&gt;(60-PARAM!$B$56))*HLOOKUP(($B98+PARAM!$B$56)/12,Loyalty,2)*$F$1*MAX(AH97,0)</f>
        <v>18.557001321003963</v>
      </c>
      <c r="AG98" s="75">
        <f>PARAM!$C$26+MAX($G$10-CHOOSE(PARAM!$B$44,MAX(0,AH97*$F$1),0),0)*RATES!$L74/12+$H$10*(PARAM!$D$51/12)*RATES!$N74/100</f>
        <v>7.875</v>
      </c>
      <c r="AH98" s="16">
        <f t="shared" si="76"/>
        <v>-481.98606340818623</v>
      </c>
      <c r="AI98" s="15">
        <f t="shared" si="51"/>
        <v>22.170849845882874</v>
      </c>
      <c r="AJ98" s="75">
        <f>AI98*(1-PARAM!$C$27)*$I$11+(MOD($B98,60)=PARAM!$B$56)*($B98&gt;(60-PARAM!$B$56))*HLOOKUP(($B98+PARAM!$B$56)/12,Loyalty,2)*$F$1*MAX(AL97,0)</f>
        <v>18.557001321003963</v>
      </c>
      <c r="AK98" s="75">
        <f>PARAM!$C$26+MAX($G$11-CHOOSE(PARAM!$B$44,MAX(0,AL97*$F$1),0),0)*RATES!$L74/12+$H$11*(PARAM!$D$51/12)*RATES!$N74/100</f>
        <v>7.875</v>
      </c>
      <c r="AL98" s="16">
        <f t="shared" si="77"/>
        <v>-481.98606340818623</v>
      </c>
      <c r="AM98" s="15">
        <f t="shared" si="52"/>
        <v>22.170849845882874</v>
      </c>
      <c r="AN98" s="75">
        <f>AM98*(1-PARAM!$C$27)*$I$12+(MOD($B98,60)=PARAM!$B$56)*($B98&gt;(60-PARAM!$B$56))*HLOOKUP(($B98+PARAM!$B$56)/12,Loyalty,2)*$F$1*MAX(AP97,0)</f>
        <v>18.557001321003963</v>
      </c>
      <c r="AO98" s="75">
        <f>PARAM!$C$26+MAX($G$12-CHOOSE(PARAM!$B$44,MAX(0,AP97*$F$1),0),0)*RATES!$L74/12+$H$12*(PARAM!$D$51/12)*RATES!$N74/100</f>
        <v>7.875</v>
      </c>
      <c r="AP98" s="16">
        <f t="shared" si="78"/>
        <v>-481.98606340818623</v>
      </c>
      <c r="AQ98" s="15">
        <f t="shared" si="53"/>
        <v>22.170849845882874</v>
      </c>
      <c r="AR98" s="75">
        <f>AQ98*(1-PARAM!$C$27)*$I$13+(MOD($B98,60)=PARAM!$B$56)*($B98&gt;(60-PARAM!$B$56))*HLOOKUP(($B98+PARAM!$B$56)/12,Loyalty,2)*$F$1*MAX(AT97,0)</f>
        <v>18.557001321003963</v>
      </c>
      <c r="AS98" s="75">
        <f>PARAM!$C$26+MAX($G$13-CHOOSE(PARAM!$B$44,MAX(0,AT97*$F$1),0),0)*RATES!$L74/12+$H$13*(PARAM!$D$51/12)*RATES!$N74/100</f>
        <v>7.875</v>
      </c>
      <c r="AT98" s="16">
        <f t="shared" si="79"/>
        <v>-481.98606340818623</v>
      </c>
      <c r="AU98" s="15">
        <f t="shared" si="54"/>
        <v>22.170849845882874</v>
      </c>
      <c r="AV98" s="75">
        <f>AU98*(1-PARAM!$C$27)*$I$14+(MOD($B98,60)=PARAM!$B$56)*($B98&gt;(60-PARAM!$B$56))*HLOOKUP(($B98+PARAM!$B$56)/12,Loyalty,2)*$F$1*MAX(AX97,0)</f>
        <v>18.557001321003963</v>
      </c>
      <c r="AW98" s="75">
        <f>PARAM!$C$26+MAX($G$14-CHOOSE(PARAM!$B$44,MAX(0,AX97*$F$1),0),0)*RATES!$L74/12+$H$14*(PARAM!$D$51/12)*RATES!$N74/100</f>
        <v>7.875</v>
      </c>
      <c r="AX98" s="16">
        <f t="shared" si="80"/>
        <v>-481.98606340818623</v>
      </c>
      <c r="AY98" s="15">
        <f t="shared" si="55"/>
        <v>22.170849845882874</v>
      </c>
      <c r="AZ98" s="75">
        <f>AY98*(1-PARAM!$C$27)*$I$15+(MOD($B98,60)=PARAM!$B$56)*($B98&gt;(60-PARAM!$B$56))*HLOOKUP(($B98+PARAM!$B$56)/12,Loyalty,2)*$F$1*MAX(BB97,0)</f>
        <v>18.557001321003963</v>
      </c>
      <c r="BA98" s="75">
        <f>PARAM!$C$26+MAX($G$15-CHOOSE(PARAM!$B$44,MAX(0,BB97*$F$1),0),0)*RATES!$L74/12+$H$15*(PARAM!$D$51/12)*RATES!$N74/100</f>
        <v>7.875</v>
      </c>
      <c r="BB98" s="16">
        <f t="shared" si="81"/>
        <v>-481.98606340818623</v>
      </c>
      <c r="BC98" s="15">
        <f t="shared" si="56"/>
        <v>22.170849845882874</v>
      </c>
      <c r="BD98" s="75">
        <f>BC98*(1-PARAM!$C$27)*$I$16+(MOD($B98,60)=PARAM!$B$56)*($B98&gt;(60-PARAM!$B$56))*HLOOKUP(($B98+PARAM!$B$56)/12,Loyalty,2)*$F$1*MAX(BF97,0)</f>
        <v>18.557001321003963</v>
      </c>
      <c r="BE98" s="75">
        <f>PARAM!$C$26+MAX($G$16-CHOOSE(PARAM!$B$44,MAX(0,BF97*$F$1),0),0)*RATES!$L74/12+$H$16*(PARAM!$D$51/12)*RATES!$N74/100</f>
        <v>7.875</v>
      </c>
      <c r="BF98" s="16">
        <f t="shared" si="82"/>
        <v>-481.98606340818623</v>
      </c>
      <c r="BG98" s="15">
        <f t="shared" si="57"/>
        <v>22.170849845882874</v>
      </c>
      <c r="BH98" s="75">
        <f>BG98*(1-PARAM!$C$27)*$I$17+(MOD($B98,60)=PARAM!$B$56)*($B98&gt;(60-PARAM!$B$56))*HLOOKUP(($B98+PARAM!$B$56)/12,Loyalty,2)*$F$1*MAX(BJ97,0)</f>
        <v>18.557001321003963</v>
      </c>
      <c r="BI98" s="75">
        <f>PARAM!$C$26+MAX($G$17-CHOOSE(PARAM!$B$44,MAX(0,BJ97*$F$1),0),0)*RATES!$L74/12+$H$17*(PARAM!$D$51/12)*RATES!$N74/100</f>
        <v>7.875</v>
      </c>
      <c r="BJ98" s="16">
        <f t="shared" si="83"/>
        <v>-481.98606340818623</v>
      </c>
      <c r="BK98" s="15">
        <f t="shared" si="58"/>
        <v>22.170849845882874</v>
      </c>
      <c r="BL98" s="75">
        <f>BK98*(1-PARAM!$C$27)*$I$18+(MOD($B98,60)=PARAM!$B$56)*($B98&gt;(60-PARAM!$B$56))*HLOOKUP(($B98+PARAM!$B$56)/12,Loyalty,2)*$F$1*MAX(BN97,0)</f>
        <v>18.557001321003963</v>
      </c>
      <c r="BM98" s="75">
        <f>PARAM!$C$26+MAX($G$18-CHOOSE(PARAM!$B$44,MAX(0,BN97*$F$1),0),0)*RATES!$L74/12+$H$18*(PARAM!$D$51/12)*RATES!$N74/100</f>
        <v>7.875</v>
      </c>
      <c r="BN98" s="16">
        <f t="shared" si="84"/>
        <v>-481.98606340818623</v>
      </c>
      <c r="BO98" s="15">
        <f t="shared" si="59"/>
        <v>22.170849845882874</v>
      </c>
      <c r="BP98" s="75">
        <f>BO98*(1-PARAM!$C$27)*$I$19+(MOD($B98,60)=PARAM!$B$56)*($B98&gt;(60-PARAM!$B$56))*HLOOKUP(($B98+PARAM!$B$56)/12,Loyalty,2)*$F$1*MAX(BR97,0)</f>
        <v>18.557001321003963</v>
      </c>
      <c r="BQ98" s="75">
        <f>PARAM!$C$26+MAX($G$19-CHOOSE(PARAM!$B$44,MAX(0,BR97*$F$1),0),0)*RATES!$L74/12+$H$19*(PARAM!$D$51/12)*RATES!$N74/100</f>
        <v>7.875</v>
      </c>
      <c r="BR98" s="16">
        <f t="shared" si="85"/>
        <v>-481.98606340818623</v>
      </c>
      <c r="BS98" s="15">
        <f t="shared" si="60"/>
        <v>22.170849845882874</v>
      </c>
      <c r="BT98" s="75">
        <f>BS98*(1-PARAM!$C$27)*$I$20+(MOD($B98,60)=PARAM!$B$56)*($B98&gt;(60-PARAM!$B$56))*HLOOKUP(($B98+PARAM!$B$56)/12,Loyalty,2)*$F$1*MAX(BV97,0)</f>
        <v>18.557001321003963</v>
      </c>
      <c r="BU98" s="75">
        <f>PARAM!$C$26+MAX($G$20-CHOOSE(PARAM!$B$44,MAX(0,BV97*$F$1),0),0)*RATES!$L74/12+$H$20*(PARAM!$D$51/12)*RATES!$N74/100</f>
        <v>7.875</v>
      </c>
      <c r="BV98" s="16">
        <f t="shared" si="86"/>
        <v>-481.98606340818623</v>
      </c>
      <c r="BW98" s="15">
        <f t="shared" si="61"/>
        <v>22.170849845882874</v>
      </c>
      <c r="BX98" s="75">
        <f>BW98*(1-PARAM!$C$27)*$I$21+(MOD($B98,60)=PARAM!$B$56)*($B98&gt;(60-PARAM!$B$56))*HLOOKUP(($B98+PARAM!$B$56)/12,Loyalty,2)*$F$1*MAX(BZ97,0)</f>
        <v>18.557001321003963</v>
      </c>
      <c r="BY98" s="75">
        <f>PARAM!$C$26+MAX($G$21-CHOOSE(PARAM!$B$44,MAX(0,BZ97*$F$1),0),0)*RATES!$L74/12+$H$21*(PARAM!$D$51/12)*RATES!$N74/100</f>
        <v>7.875</v>
      </c>
      <c r="BZ98" s="16">
        <f t="shared" si="87"/>
        <v>-481.98606340818623</v>
      </c>
      <c r="CA98" s="15">
        <f t="shared" si="62"/>
        <v>22.170849845882874</v>
      </c>
      <c r="CB98" s="75">
        <f>CA98*(1-PARAM!$C$27)*$I$22+(MOD($B98,60)=PARAM!$B$56)*($B98&gt;(60-PARAM!$B$56))*HLOOKUP(($B98+PARAM!$B$56)/12,Loyalty,2)*$F$1*MAX(CD97,0)</f>
        <v>18.557001321003963</v>
      </c>
      <c r="CC98" s="75">
        <f>PARAM!$C$26+MAX($G$22-CHOOSE(PARAM!$B$44,MAX(0,CD97*$F$1),0),0)*RATES!$L74/12+$H$22*(PARAM!$D$51/12)*RATES!$N74/100</f>
        <v>7.875</v>
      </c>
      <c r="CD98" s="16">
        <f t="shared" si="88"/>
        <v>-481.98606340818623</v>
      </c>
      <c r="CE98" s="33">
        <f>IF(0=MOD(B98,12/PARAM!$D$51),1,0)</f>
        <v>1</v>
      </c>
      <c r="CF98" s="15">
        <f t="shared" si="63"/>
        <v>0</v>
      </c>
      <c r="CG98" s="75">
        <f>CF98*(1-PARAM!$C$27)*$R$3+(MOD($B98/12,5)=0)*($B98&gt;60)*HLOOKUP($B98/12,Loyalty,2)*$F$1*MAX(CI97,0)</f>
        <v>0</v>
      </c>
      <c r="CH98" s="75">
        <f>PARAM!$C$26+MAX($P$3-CHOOSE(PARAM!$B$44,MAX(0,CI97*$F$1),0),0)*RATES!$L74/12+$Q$3*(PARAM!$D$51/12)*RATES!$N74/100</f>
        <v>7.875</v>
      </c>
      <c r="CI98" s="16">
        <f>IF(CI97&gt;0,CI97*PARAM!$C$53,CI97)+CG98-CH98</f>
        <v>-1605.25</v>
      </c>
      <c r="CJ98" s="15">
        <f t="shared" si="89"/>
        <v>0</v>
      </c>
      <c r="CK98" s="75">
        <f>CJ98*(1-PARAM!$C$27)*$R$4+(MOD($B98/12,5)=0)*($B98&gt;60)*HLOOKUP($B98/12,Loyalty,2)*$F$1*MAX(CM97,0)</f>
        <v>0</v>
      </c>
      <c r="CL98" s="75">
        <f>PARAM!$C$26+MAX($P$4-CHOOSE(PARAM!$B$44,MAX(0,CM97*$F$1),0),0)*RATES!$L74/12+$Q$4*(PARAM!$D$51/12)*RATES!$N74/100</f>
        <v>7.875</v>
      </c>
      <c r="CM98" s="16">
        <f>IF(CM97&gt;0,CM97*PARAM!$C$53,CM97)+CK98-CL98</f>
        <v>-1605.25</v>
      </c>
      <c r="CO98" s="176"/>
    </row>
    <row r="99" spans="1:93" x14ac:dyDescent="0.2">
      <c r="A99" t="b">
        <f t="shared" si="64"/>
        <v>0</v>
      </c>
      <c r="B99" s="33">
        <v>72</v>
      </c>
      <c r="C99" s="15">
        <f t="shared" si="65"/>
        <v>20.081305947392778</v>
      </c>
      <c r="D99" s="75">
        <f>C99*(1-PARAM!$C$27)*$I$3+(MOD($B99,60)=PARAM!$B$56)*($B99&gt;(60-PARAM!$B$56))*HLOOKUP(($B99+PARAM!$B$56)/12,Loyalty,2)*$F$1*MAX(F98,0)</f>
        <v>16.808053077967756</v>
      </c>
      <c r="E99" s="75">
        <f>PARAM!$C$26+MAX($G$3-CHOOSE(PARAM!$B$44,MAX(0,F98*$F$1),0),0)*RATES!$L75/12+$H$3*(PARAM!$D$51/12)*RATES!$N75/100</f>
        <v>7.875</v>
      </c>
      <c r="F99" s="16">
        <f t="shared" si="66"/>
        <v>-578.91766240332288</v>
      </c>
      <c r="G99" s="15">
        <f t="shared" si="67"/>
        <v>22.035289406060361</v>
      </c>
      <c r="H99" s="75">
        <f>G99*(1-PARAM!$C$27)*$I$4+(MOD($B99,60)=PARAM!$B$56)*($B99&gt;(60-PARAM!$B$56))*HLOOKUP(($B99+PARAM!$B$56)/12,Loyalty,2)*$F$1*MAX(J98,0)</f>
        <v>18.443537232872522</v>
      </c>
      <c r="I99" s="75">
        <f>PARAM!$C$26+MAX($G$4-CHOOSE(PARAM!$B$44,MAX(0,J98*$F$1),0),0)*RATES!$L75/12+$H$4*(PARAM!$D$51/12)*RATES!$N75/100</f>
        <v>7.875</v>
      </c>
      <c r="J99" s="16">
        <f t="shared" si="68"/>
        <v>-478.28556029848539</v>
      </c>
      <c r="K99" s="15">
        <f t="shared" si="69"/>
        <v>22.170849845882874</v>
      </c>
      <c r="L99" s="75">
        <f>K99*(1-PARAM!$C$27)*$I$5+(MOD($B99,60)=PARAM!$B$56)*($B99&gt;(60-PARAM!$B$56))*HLOOKUP(($B99+PARAM!$B$56)/12,Loyalty,2)*$F$1*MAX(N98,0)</f>
        <v>18.557001321003963</v>
      </c>
      <c r="M99" s="75">
        <f>PARAM!$C$26+MAX($G$5-CHOOSE(PARAM!$B$44,MAX(0,N98*$F$1),0),0)*RATES!$L75/12+$H$5*(PARAM!$D$51/12)*RATES!$N75/100</f>
        <v>7.875</v>
      </c>
      <c r="N99" s="16">
        <f t="shared" si="70"/>
        <v>-471.30406208718227</v>
      </c>
      <c r="O99" s="15">
        <f t="shared" si="71"/>
        <v>22.170849845882874</v>
      </c>
      <c r="P99" s="75">
        <f>O99*(1-PARAM!$C$27)*$I$6+(MOD($B99,60)=PARAM!$B$56)*($B99&gt;(60-PARAM!$B$56))*HLOOKUP(($B99+PARAM!$B$56)/12,Loyalty,2)*$F$1*MAX(R98,0)</f>
        <v>18.557001321003963</v>
      </c>
      <c r="Q99" s="75">
        <f>PARAM!$C$26+MAX($G$6-CHOOSE(PARAM!$B$44,MAX(0,R98*$F$1),0),0)*RATES!$L75/12+$H$6*(PARAM!$D$51/12)*RATES!$N75/100</f>
        <v>7.875</v>
      </c>
      <c r="R99" s="16">
        <f t="shared" si="72"/>
        <v>-471.30406208718227</v>
      </c>
      <c r="S99" s="15">
        <f t="shared" si="47"/>
        <v>22.170849845882874</v>
      </c>
      <c r="T99" s="75">
        <f>S99*(1-PARAM!$C$27)*$I$7+(MOD($B99,60)=PARAM!$B$56)*($B99&gt;(60-PARAM!$B$56))*HLOOKUP(($B99+PARAM!$B$56)/12,Loyalty,2)*$F$1*MAX(V98,0)</f>
        <v>18.557001321003963</v>
      </c>
      <c r="U99" s="75">
        <f>PARAM!$C$26+MAX($G$7-CHOOSE(PARAM!$B$44,MAX(0,V98*$F$1),0),0)*RATES!$L75/12+$H$7*(PARAM!$D$51/12)*RATES!$N75/100</f>
        <v>7.875</v>
      </c>
      <c r="V99" s="16">
        <f t="shared" si="73"/>
        <v>-471.30406208718227</v>
      </c>
      <c r="W99" s="15">
        <f t="shared" si="48"/>
        <v>22.170849845882874</v>
      </c>
      <c r="X99" s="75">
        <f>W99*(1-PARAM!$C$27)*$I$8+(MOD($B99,60)=PARAM!$B$56)*($B99&gt;(60-PARAM!$B$56))*HLOOKUP(($B99+PARAM!$B$56)/12,Loyalty,2)*$F$1*MAX(Z98,0)</f>
        <v>18.557001321003963</v>
      </c>
      <c r="Y99" s="75">
        <f>PARAM!$C$26+MAX($G$8-CHOOSE(PARAM!$B$44,MAX(0,Z98*$F$1),0),0)*RATES!$L75/12+$H$8*(PARAM!$D$51/12)*RATES!$N75/100</f>
        <v>7.875</v>
      </c>
      <c r="Z99" s="16">
        <f t="shared" si="74"/>
        <v>-471.30406208718227</v>
      </c>
      <c r="AA99" s="15">
        <f t="shared" si="49"/>
        <v>22.170849845882874</v>
      </c>
      <c r="AB99" s="75">
        <f>AA99*(1-PARAM!$C$27)*$I$9+(MOD($B99,60)=PARAM!$B$56)*($B99&gt;(60-PARAM!$B$56))*HLOOKUP(($B99+PARAM!$B$56)/12,Loyalty,2)*$F$1*MAX(AD98,0)</f>
        <v>18.557001321003963</v>
      </c>
      <c r="AC99" s="75">
        <f>PARAM!$C$26+MAX($G$9-CHOOSE(PARAM!$B$44,MAX(0,AD98*$F$1),0),0)*RATES!$L75/12+$H$9*(PARAM!$D$51/12)*RATES!$N75/100</f>
        <v>7.875</v>
      </c>
      <c r="AD99" s="16">
        <f t="shared" si="75"/>
        <v>-471.30406208718227</v>
      </c>
      <c r="AE99" s="15">
        <f t="shared" si="50"/>
        <v>22.170849845882874</v>
      </c>
      <c r="AF99" s="75">
        <f>AE99*(1-PARAM!$C$27)*$I$10+(MOD($B99,60)=PARAM!$B$56)*($B99&gt;(60-PARAM!$B$56))*HLOOKUP(($B99+PARAM!$B$56)/12,Loyalty,2)*$F$1*MAX(AH98,0)</f>
        <v>18.557001321003963</v>
      </c>
      <c r="AG99" s="75">
        <f>PARAM!$C$26+MAX($G$10-CHOOSE(PARAM!$B$44,MAX(0,AH98*$F$1),0),0)*RATES!$L75/12+$H$10*(PARAM!$D$51/12)*RATES!$N75/100</f>
        <v>7.875</v>
      </c>
      <c r="AH99" s="16">
        <f t="shared" si="76"/>
        <v>-471.30406208718227</v>
      </c>
      <c r="AI99" s="15">
        <f t="shared" si="51"/>
        <v>22.170849845882874</v>
      </c>
      <c r="AJ99" s="75">
        <f>AI99*(1-PARAM!$C$27)*$I$11+(MOD($B99,60)=PARAM!$B$56)*($B99&gt;(60-PARAM!$B$56))*HLOOKUP(($B99+PARAM!$B$56)/12,Loyalty,2)*$F$1*MAX(AL98,0)</f>
        <v>18.557001321003963</v>
      </c>
      <c r="AK99" s="75">
        <f>PARAM!$C$26+MAX($G$11-CHOOSE(PARAM!$B$44,MAX(0,AL98*$F$1),0),0)*RATES!$L75/12+$H$11*(PARAM!$D$51/12)*RATES!$N75/100</f>
        <v>7.875</v>
      </c>
      <c r="AL99" s="16">
        <f t="shared" si="77"/>
        <v>-471.30406208718227</v>
      </c>
      <c r="AM99" s="15">
        <f t="shared" si="52"/>
        <v>22.170849845882874</v>
      </c>
      <c r="AN99" s="75">
        <f>AM99*(1-PARAM!$C$27)*$I$12+(MOD($B99,60)=PARAM!$B$56)*($B99&gt;(60-PARAM!$B$56))*HLOOKUP(($B99+PARAM!$B$56)/12,Loyalty,2)*$F$1*MAX(AP98,0)</f>
        <v>18.557001321003963</v>
      </c>
      <c r="AO99" s="75">
        <f>PARAM!$C$26+MAX($G$12-CHOOSE(PARAM!$B$44,MAX(0,AP98*$F$1),0),0)*RATES!$L75/12+$H$12*(PARAM!$D$51/12)*RATES!$N75/100</f>
        <v>7.875</v>
      </c>
      <c r="AP99" s="16">
        <f t="shared" si="78"/>
        <v>-471.30406208718227</v>
      </c>
      <c r="AQ99" s="15">
        <f t="shared" si="53"/>
        <v>22.170849845882874</v>
      </c>
      <c r="AR99" s="75">
        <f>AQ99*(1-PARAM!$C$27)*$I$13+(MOD($B99,60)=PARAM!$B$56)*($B99&gt;(60-PARAM!$B$56))*HLOOKUP(($B99+PARAM!$B$56)/12,Loyalty,2)*$F$1*MAX(AT98,0)</f>
        <v>18.557001321003963</v>
      </c>
      <c r="AS99" s="75">
        <f>PARAM!$C$26+MAX($G$13-CHOOSE(PARAM!$B$44,MAX(0,AT98*$F$1),0),0)*RATES!$L75/12+$H$13*(PARAM!$D$51/12)*RATES!$N75/100</f>
        <v>7.875</v>
      </c>
      <c r="AT99" s="16">
        <f t="shared" si="79"/>
        <v>-471.30406208718227</v>
      </c>
      <c r="AU99" s="15">
        <f t="shared" si="54"/>
        <v>22.170849845882874</v>
      </c>
      <c r="AV99" s="75">
        <f>AU99*(1-PARAM!$C$27)*$I$14+(MOD($B99,60)=PARAM!$B$56)*($B99&gt;(60-PARAM!$B$56))*HLOOKUP(($B99+PARAM!$B$56)/12,Loyalty,2)*$F$1*MAX(AX98,0)</f>
        <v>18.557001321003963</v>
      </c>
      <c r="AW99" s="75">
        <f>PARAM!$C$26+MAX($G$14-CHOOSE(PARAM!$B$44,MAX(0,AX98*$F$1),0),0)*RATES!$L75/12+$H$14*(PARAM!$D$51/12)*RATES!$N75/100</f>
        <v>7.875</v>
      </c>
      <c r="AX99" s="16">
        <f t="shared" si="80"/>
        <v>-471.30406208718227</v>
      </c>
      <c r="AY99" s="15">
        <f t="shared" si="55"/>
        <v>22.170849845882874</v>
      </c>
      <c r="AZ99" s="75">
        <f>AY99*(1-PARAM!$C$27)*$I$15+(MOD($B99,60)=PARAM!$B$56)*($B99&gt;(60-PARAM!$B$56))*HLOOKUP(($B99+PARAM!$B$56)/12,Loyalty,2)*$F$1*MAX(BB98,0)</f>
        <v>18.557001321003963</v>
      </c>
      <c r="BA99" s="75">
        <f>PARAM!$C$26+MAX($G$15-CHOOSE(PARAM!$B$44,MAX(0,BB98*$F$1),0),0)*RATES!$L75/12+$H$15*(PARAM!$D$51/12)*RATES!$N75/100</f>
        <v>7.875</v>
      </c>
      <c r="BB99" s="16">
        <f t="shared" si="81"/>
        <v>-471.30406208718227</v>
      </c>
      <c r="BC99" s="15">
        <f t="shared" si="56"/>
        <v>22.170849845882874</v>
      </c>
      <c r="BD99" s="75">
        <f>BC99*(1-PARAM!$C$27)*$I$16+(MOD($B99,60)=PARAM!$B$56)*($B99&gt;(60-PARAM!$B$56))*HLOOKUP(($B99+PARAM!$B$56)/12,Loyalty,2)*$F$1*MAX(BF98,0)</f>
        <v>18.557001321003963</v>
      </c>
      <c r="BE99" s="75">
        <f>PARAM!$C$26+MAX($G$16-CHOOSE(PARAM!$B$44,MAX(0,BF98*$F$1),0),0)*RATES!$L75/12+$H$16*(PARAM!$D$51/12)*RATES!$N75/100</f>
        <v>7.875</v>
      </c>
      <c r="BF99" s="16">
        <f t="shared" si="82"/>
        <v>-471.30406208718227</v>
      </c>
      <c r="BG99" s="15">
        <f t="shared" si="57"/>
        <v>22.170849845882874</v>
      </c>
      <c r="BH99" s="75">
        <f>BG99*(1-PARAM!$C$27)*$I$17+(MOD($B99,60)=PARAM!$B$56)*($B99&gt;(60-PARAM!$B$56))*HLOOKUP(($B99+PARAM!$B$56)/12,Loyalty,2)*$F$1*MAX(BJ98,0)</f>
        <v>18.557001321003963</v>
      </c>
      <c r="BI99" s="75">
        <f>PARAM!$C$26+MAX($G$17-CHOOSE(PARAM!$B$44,MAX(0,BJ98*$F$1),0),0)*RATES!$L75/12+$H$17*(PARAM!$D$51/12)*RATES!$N75/100</f>
        <v>7.875</v>
      </c>
      <c r="BJ99" s="16">
        <f t="shared" si="83"/>
        <v>-471.30406208718227</v>
      </c>
      <c r="BK99" s="15">
        <f t="shared" si="58"/>
        <v>22.170849845882874</v>
      </c>
      <c r="BL99" s="75">
        <f>BK99*(1-PARAM!$C$27)*$I$18+(MOD($B99,60)=PARAM!$B$56)*($B99&gt;(60-PARAM!$B$56))*HLOOKUP(($B99+PARAM!$B$56)/12,Loyalty,2)*$F$1*MAX(BN98,0)</f>
        <v>18.557001321003963</v>
      </c>
      <c r="BM99" s="75">
        <f>PARAM!$C$26+MAX($G$18-CHOOSE(PARAM!$B$44,MAX(0,BN98*$F$1),0),0)*RATES!$L75/12+$H$18*(PARAM!$D$51/12)*RATES!$N75/100</f>
        <v>7.875</v>
      </c>
      <c r="BN99" s="16">
        <f t="shared" si="84"/>
        <v>-471.30406208718227</v>
      </c>
      <c r="BO99" s="15">
        <f t="shared" si="59"/>
        <v>22.170849845882874</v>
      </c>
      <c r="BP99" s="75">
        <f>BO99*(1-PARAM!$C$27)*$I$19+(MOD($B99,60)=PARAM!$B$56)*($B99&gt;(60-PARAM!$B$56))*HLOOKUP(($B99+PARAM!$B$56)/12,Loyalty,2)*$F$1*MAX(BR98,0)</f>
        <v>18.557001321003963</v>
      </c>
      <c r="BQ99" s="75">
        <f>PARAM!$C$26+MAX($G$19-CHOOSE(PARAM!$B$44,MAX(0,BR98*$F$1),0),0)*RATES!$L75/12+$H$19*(PARAM!$D$51/12)*RATES!$N75/100</f>
        <v>7.875</v>
      </c>
      <c r="BR99" s="16">
        <f t="shared" si="85"/>
        <v>-471.30406208718227</v>
      </c>
      <c r="BS99" s="15">
        <f t="shared" si="60"/>
        <v>22.170849845882874</v>
      </c>
      <c r="BT99" s="75">
        <f>BS99*(1-PARAM!$C$27)*$I$20+(MOD($B99,60)=PARAM!$B$56)*($B99&gt;(60-PARAM!$B$56))*HLOOKUP(($B99+PARAM!$B$56)/12,Loyalty,2)*$F$1*MAX(BV98,0)</f>
        <v>18.557001321003963</v>
      </c>
      <c r="BU99" s="75">
        <f>PARAM!$C$26+MAX($G$20-CHOOSE(PARAM!$B$44,MAX(0,BV98*$F$1),0),0)*RATES!$L75/12+$H$20*(PARAM!$D$51/12)*RATES!$N75/100</f>
        <v>7.875</v>
      </c>
      <c r="BV99" s="16">
        <f t="shared" si="86"/>
        <v>-471.30406208718227</v>
      </c>
      <c r="BW99" s="15">
        <f t="shared" si="61"/>
        <v>22.170849845882874</v>
      </c>
      <c r="BX99" s="75">
        <f>BW99*(1-PARAM!$C$27)*$I$21+(MOD($B99,60)=PARAM!$B$56)*($B99&gt;(60-PARAM!$B$56))*HLOOKUP(($B99+PARAM!$B$56)/12,Loyalty,2)*$F$1*MAX(BZ98,0)</f>
        <v>18.557001321003963</v>
      </c>
      <c r="BY99" s="75">
        <f>PARAM!$C$26+MAX($G$21-CHOOSE(PARAM!$B$44,MAX(0,BZ98*$F$1),0),0)*RATES!$L75/12+$H$21*(PARAM!$D$51/12)*RATES!$N75/100</f>
        <v>7.875</v>
      </c>
      <c r="BZ99" s="16">
        <f t="shared" si="87"/>
        <v>-471.30406208718227</v>
      </c>
      <c r="CA99" s="15">
        <f t="shared" si="62"/>
        <v>22.170849845882874</v>
      </c>
      <c r="CB99" s="75">
        <f>CA99*(1-PARAM!$C$27)*$I$22+(MOD($B99,60)=PARAM!$B$56)*($B99&gt;(60-PARAM!$B$56))*HLOOKUP(($B99+PARAM!$B$56)/12,Loyalty,2)*$F$1*MAX(CD98,0)</f>
        <v>18.557001321003963</v>
      </c>
      <c r="CC99" s="75">
        <f>PARAM!$C$26+MAX($G$22-CHOOSE(PARAM!$B$44,MAX(0,CD98*$F$1),0),0)*RATES!$L75/12+$H$22*(PARAM!$D$51/12)*RATES!$N75/100</f>
        <v>7.875</v>
      </c>
      <c r="CD99" s="16">
        <f t="shared" si="88"/>
        <v>-471.30406208718227</v>
      </c>
      <c r="CE99" s="33">
        <f>IF(0=MOD(B99,12/PARAM!$D$51),1,0)</f>
        <v>1</v>
      </c>
      <c r="CF99" s="15">
        <f t="shared" si="63"/>
        <v>0</v>
      </c>
      <c r="CG99" s="75">
        <f>CF99*(1-PARAM!$C$27)*$R$3+(MOD($B99/12,5)=0)*($B99&gt;60)*HLOOKUP($B99/12,Loyalty,2)*$F$1*MAX(CI98,0)</f>
        <v>0</v>
      </c>
      <c r="CH99" s="75">
        <f>PARAM!$C$26+MAX($P$3-CHOOSE(PARAM!$B$44,MAX(0,CI98*$F$1),0),0)*RATES!$L75/12+$Q$3*(PARAM!$D$51/12)*RATES!$N75/100</f>
        <v>7.875</v>
      </c>
      <c r="CI99" s="16">
        <f>IF(CI98&gt;0,CI98*PARAM!$C$53,CI98)+CG99-CH99</f>
        <v>-1613.125</v>
      </c>
      <c r="CJ99" s="15">
        <f t="shared" si="89"/>
        <v>0</v>
      </c>
      <c r="CK99" s="75">
        <f>CJ99*(1-PARAM!$C$27)*$R$4+(MOD($B99/12,5)=0)*($B99&gt;60)*HLOOKUP($B99/12,Loyalty,2)*$F$1*MAX(CM98,0)</f>
        <v>0</v>
      </c>
      <c r="CL99" s="75">
        <f>PARAM!$C$26+MAX($P$4-CHOOSE(PARAM!$B$44,MAX(0,CM98*$F$1),0),0)*RATES!$L75/12+$Q$4*(PARAM!$D$51/12)*RATES!$N75/100</f>
        <v>7.875</v>
      </c>
      <c r="CM99" s="16">
        <f>IF(CM98&gt;0,CM98*PARAM!$C$53,CM98)+CK99-CL99</f>
        <v>-1613.125</v>
      </c>
      <c r="CO99" s="176"/>
    </row>
    <row r="100" spans="1:93" x14ac:dyDescent="0.2">
      <c r="A100" t="b">
        <f t="shared" si="64"/>
        <v>0</v>
      </c>
      <c r="B100" s="33">
        <v>73</v>
      </c>
      <c r="C100" s="15">
        <f t="shared" si="65"/>
        <v>20.081305947392778</v>
      </c>
      <c r="D100" s="75">
        <f>C100*(1-PARAM!$C$27)*$I$3+(MOD($B100,60)=PARAM!$B$56)*($B100&gt;(60-PARAM!$B$56))*HLOOKUP(($B100+PARAM!$B$56)/12,Loyalty,2)*$F$1*MAX(F99,0)</f>
        <v>16.808053077967756</v>
      </c>
      <c r="E100" s="75">
        <f>PARAM!$C$26+MAX($G$3-CHOOSE(PARAM!$B$44,MAX(0,F99*$F$1),0),0)*RATES!$L76/12+$H$3*(PARAM!$D$51/12)*RATES!$N76/100</f>
        <v>7.875</v>
      </c>
      <c r="F100" s="16">
        <f t="shared" si="66"/>
        <v>-569.98460932535511</v>
      </c>
      <c r="G100" s="15">
        <f t="shared" si="67"/>
        <v>22.035289406060361</v>
      </c>
      <c r="H100" s="75">
        <f>G100*(1-PARAM!$C$27)*$I$4+(MOD($B100,60)=PARAM!$B$56)*($B100&gt;(60-PARAM!$B$56))*HLOOKUP(($B100+PARAM!$B$56)/12,Loyalty,2)*$F$1*MAX(J99,0)</f>
        <v>18.443537232872522</v>
      </c>
      <c r="I100" s="75">
        <f>PARAM!$C$26+MAX($G$4-CHOOSE(PARAM!$B$44,MAX(0,J99*$F$1),0),0)*RATES!$L76/12+$H$4*(PARAM!$D$51/12)*RATES!$N76/100</f>
        <v>7.875</v>
      </c>
      <c r="J100" s="16">
        <f t="shared" si="68"/>
        <v>-467.71702306561286</v>
      </c>
      <c r="K100" s="15">
        <f t="shared" si="69"/>
        <v>22.170849845882874</v>
      </c>
      <c r="L100" s="75">
        <f>K100*(1-PARAM!$C$27)*$I$5+(MOD($B100,60)=PARAM!$B$56)*($B100&gt;(60-PARAM!$B$56))*HLOOKUP(($B100+PARAM!$B$56)/12,Loyalty,2)*$F$1*MAX(N99,0)</f>
        <v>18.557001321003963</v>
      </c>
      <c r="M100" s="75">
        <f>PARAM!$C$26+MAX($G$5-CHOOSE(PARAM!$B$44,MAX(0,N99*$F$1),0),0)*RATES!$L76/12+$H$5*(PARAM!$D$51/12)*RATES!$N76/100</f>
        <v>7.875</v>
      </c>
      <c r="N100" s="16">
        <f t="shared" si="70"/>
        <v>-460.62206076617832</v>
      </c>
      <c r="O100" s="15">
        <f t="shared" si="71"/>
        <v>22.170849845882874</v>
      </c>
      <c r="P100" s="75">
        <f>O100*(1-PARAM!$C$27)*$I$6+(MOD($B100,60)=PARAM!$B$56)*($B100&gt;(60-PARAM!$B$56))*HLOOKUP(($B100+PARAM!$B$56)/12,Loyalty,2)*$F$1*MAX(R99,0)</f>
        <v>18.557001321003963</v>
      </c>
      <c r="Q100" s="75">
        <f>PARAM!$C$26+MAX($G$6-CHOOSE(PARAM!$B$44,MAX(0,R99*$F$1),0),0)*RATES!$L76/12+$H$6*(PARAM!$D$51/12)*RATES!$N76/100</f>
        <v>7.875</v>
      </c>
      <c r="R100" s="16">
        <f t="shared" si="72"/>
        <v>-460.62206076617832</v>
      </c>
      <c r="S100" s="15">
        <f t="shared" si="47"/>
        <v>22.170849845882874</v>
      </c>
      <c r="T100" s="75">
        <f>S100*(1-PARAM!$C$27)*$I$7+(MOD($B100,60)=PARAM!$B$56)*($B100&gt;(60-PARAM!$B$56))*HLOOKUP(($B100+PARAM!$B$56)/12,Loyalty,2)*$F$1*MAX(V99,0)</f>
        <v>18.557001321003963</v>
      </c>
      <c r="U100" s="75">
        <f>PARAM!$C$26+MAX($G$7-CHOOSE(PARAM!$B$44,MAX(0,V99*$F$1),0),0)*RATES!$L76/12+$H$7*(PARAM!$D$51/12)*RATES!$N76/100</f>
        <v>7.875</v>
      </c>
      <c r="V100" s="16">
        <f t="shared" si="73"/>
        <v>-460.62206076617832</v>
      </c>
      <c r="W100" s="15">
        <f t="shared" si="48"/>
        <v>22.170849845882874</v>
      </c>
      <c r="X100" s="75">
        <f>W100*(1-PARAM!$C$27)*$I$8+(MOD($B100,60)=PARAM!$B$56)*($B100&gt;(60-PARAM!$B$56))*HLOOKUP(($B100+PARAM!$B$56)/12,Loyalty,2)*$F$1*MAX(Z99,0)</f>
        <v>18.557001321003963</v>
      </c>
      <c r="Y100" s="75">
        <f>PARAM!$C$26+MAX($G$8-CHOOSE(PARAM!$B$44,MAX(0,Z99*$F$1),0),0)*RATES!$L76/12+$H$8*(PARAM!$D$51/12)*RATES!$N76/100</f>
        <v>7.875</v>
      </c>
      <c r="Z100" s="16">
        <f t="shared" si="74"/>
        <v>-460.62206076617832</v>
      </c>
      <c r="AA100" s="15">
        <f t="shared" si="49"/>
        <v>22.170849845882874</v>
      </c>
      <c r="AB100" s="75">
        <f>AA100*(1-PARAM!$C$27)*$I$9+(MOD($B100,60)=PARAM!$B$56)*($B100&gt;(60-PARAM!$B$56))*HLOOKUP(($B100+PARAM!$B$56)/12,Loyalty,2)*$F$1*MAX(AD99,0)</f>
        <v>18.557001321003963</v>
      </c>
      <c r="AC100" s="75">
        <f>PARAM!$C$26+MAX($G$9-CHOOSE(PARAM!$B$44,MAX(0,AD99*$F$1),0),0)*RATES!$L76/12+$H$9*(PARAM!$D$51/12)*RATES!$N76/100</f>
        <v>7.875</v>
      </c>
      <c r="AD100" s="16">
        <f t="shared" si="75"/>
        <v>-460.62206076617832</v>
      </c>
      <c r="AE100" s="15">
        <f t="shared" si="50"/>
        <v>22.170849845882874</v>
      </c>
      <c r="AF100" s="75">
        <f>AE100*(1-PARAM!$C$27)*$I$10+(MOD($B100,60)=PARAM!$B$56)*($B100&gt;(60-PARAM!$B$56))*HLOOKUP(($B100+PARAM!$B$56)/12,Loyalty,2)*$F$1*MAX(AH99,0)</f>
        <v>18.557001321003963</v>
      </c>
      <c r="AG100" s="75">
        <f>PARAM!$C$26+MAX($G$10-CHOOSE(PARAM!$B$44,MAX(0,AH99*$F$1),0),0)*RATES!$L76/12+$H$10*(PARAM!$D$51/12)*RATES!$N76/100</f>
        <v>7.875</v>
      </c>
      <c r="AH100" s="16">
        <f t="shared" si="76"/>
        <v>-460.62206076617832</v>
      </c>
      <c r="AI100" s="15">
        <f t="shared" si="51"/>
        <v>22.170849845882874</v>
      </c>
      <c r="AJ100" s="75">
        <f>AI100*(1-PARAM!$C$27)*$I$11+(MOD($B100,60)=PARAM!$B$56)*($B100&gt;(60-PARAM!$B$56))*HLOOKUP(($B100+PARAM!$B$56)/12,Loyalty,2)*$F$1*MAX(AL99,0)</f>
        <v>18.557001321003963</v>
      </c>
      <c r="AK100" s="75">
        <f>PARAM!$C$26+MAX($G$11-CHOOSE(PARAM!$B$44,MAX(0,AL99*$F$1),0),0)*RATES!$L76/12+$H$11*(PARAM!$D$51/12)*RATES!$N76/100</f>
        <v>7.875</v>
      </c>
      <c r="AL100" s="16">
        <f t="shared" si="77"/>
        <v>-460.62206076617832</v>
      </c>
      <c r="AM100" s="15">
        <f t="shared" si="52"/>
        <v>22.170849845882874</v>
      </c>
      <c r="AN100" s="75">
        <f>AM100*(1-PARAM!$C$27)*$I$12+(MOD($B100,60)=PARAM!$B$56)*($B100&gt;(60-PARAM!$B$56))*HLOOKUP(($B100+PARAM!$B$56)/12,Loyalty,2)*$F$1*MAX(AP99,0)</f>
        <v>18.557001321003963</v>
      </c>
      <c r="AO100" s="75">
        <f>PARAM!$C$26+MAX($G$12-CHOOSE(PARAM!$B$44,MAX(0,AP99*$F$1),0),0)*RATES!$L76/12+$H$12*(PARAM!$D$51/12)*RATES!$N76/100</f>
        <v>7.875</v>
      </c>
      <c r="AP100" s="16">
        <f t="shared" si="78"/>
        <v>-460.62206076617832</v>
      </c>
      <c r="AQ100" s="15">
        <f t="shared" si="53"/>
        <v>22.170849845882874</v>
      </c>
      <c r="AR100" s="75">
        <f>AQ100*(1-PARAM!$C$27)*$I$13+(MOD($B100,60)=PARAM!$B$56)*($B100&gt;(60-PARAM!$B$56))*HLOOKUP(($B100+PARAM!$B$56)/12,Loyalty,2)*$F$1*MAX(AT99,0)</f>
        <v>18.557001321003963</v>
      </c>
      <c r="AS100" s="75">
        <f>PARAM!$C$26+MAX($G$13-CHOOSE(PARAM!$B$44,MAX(0,AT99*$F$1),0),0)*RATES!$L76/12+$H$13*(PARAM!$D$51/12)*RATES!$N76/100</f>
        <v>7.875</v>
      </c>
      <c r="AT100" s="16">
        <f t="shared" si="79"/>
        <v>-460.62206076617832</v>
      </c>
      <c r="AU100" s="15">
        <f t="shared" si="54"/>
        <v>22.170849845882874</v>
      </c>
      <c r="AV100" s="75">
        <f>AU100*(1-PARAM!$C$27)*$I$14+(MOD($B100,60)=PARAM!$B$56)*($B100&gt;(60-PARAM!$B$56))*HLOOKUP(($B100+PARAM!$B$56)/12,Loyalty,2)*$F$1*MAX(AX99,0)</f>
        <v>18.557001321003963</v>
      </c>
      <c r="AW100" s="75">
        <f>PARAM!$C$26+MAX($G$14-CHOOSE(PARAM!$B$44,MAX(0,AX99*$F$1),0),0)*RATES!$L76/12+$H$14*(PARAM!$D$51/12)*RATES!$N76/100</f>
        <v>7.875</v>
      </c>
      <c r="AX100" s="16">
        <f t="shared" si="80"/>
        <v>-460.62206076617832</v>
      </c>
      <c r="AY100" s="15">
        <f t="shared" si="55"/>
        <v>22.170849845882874</v>
      </c>
      <c r="AZ100" s="75">
        <f>AY100*(1-PARAM!$C$27)*$I$15+(MOD($B100,60)=PARAM!$B$56)*($B100&gt;(60-PARAM!$B$56))*HLOOKUP(($B100+PARAM!$B$56)/12,Loyalty,2)*$F$1*MAX(BB99,0)</f>
        <v>18.557001321003963</v>
      </c>
      <c r="BA100" s="75">
        <f>PARAM!$C$26+MAX($G$15-CHOOSE(PARAM!$B$44,MAX(0,BB99*$F$1),0),0)*RATES!$L76/12+$H$15*(PARAM!$D$51/12)*RATES!$N76/100</f>
        <v>7.875</v>
      </c>
      <c r="BB100" s="16">
        <f t="shared" si="81"/>
        <v>-460.62206076617832</v>
      </c>
      <c r="BC100" s="15">
        <f t="shared" si="56"/>
        <v>22.170849845882874</v>
      </c>
      <c r="BD100" s="75">
        <f>BC100*(1-PARAM!$C$27)*$I$16+(MOD($B100,60)=PARAM!$B$56)*($B100&gt;(60-PARAM!$B$56))*HLOOKUP(($B100+PARAM!$B$56)/12,Loyalty,2)*$F$1*MAX(BF99,0)</f>
        <v>18.557001321003963</v>
      </c>
      <c r="BE100" s="75">
        <f>PARAM!$C$26+MAX($G$16-CHOOSE(PARAM!$B$44,MAX(0,BF99*$F$1),0),0)*RATES!$L76/12+$H$16*(PARAM!$D$51/12)*RATES!$N76/100</f>
        <v>7.875</v>
      </c>
      <c r="BF100" s="16">
        <f t="shared" si="82"/>
        <v>-460.62206076617832</v>
      </c>
      <c r="BG100" s="15">
        <f t="shared" si="57"/>
        <v>22.170849845882874</v>
      </c>
      <c r="BH100" s="75">
        <f>BG100*(1-PARAM!$C$27)*$I$17+(MOD($B100,60)=PARAM!$B$56)*($B100&gt;(60-PARAM!$B$56))*HLOOKUP(($B100+PARAM!$B$56)/12,Loyalty,2)*$F$1*MAX(BJ99,0)</f>
        <v>18.557001321003963</v>
      </c>
      <c r="BI100" s="75">
        <f>PARAM!$C$26+MAX($G$17-CHOOSE(PARAM!$B$44,MAX(0,BJ99*$F$1),0),0)*RATES!$L76/12+$H$17*(PARAM!$D$51/12)*RATES!$N76/100</f>
        <v>7.875</v>
      </c>
      <c r="BJ100" s="16">
        <f t="shared" si="83"/>
        <v>-460.62206076617832</v>
      </c>
      <c r="BK100" s="15">
        <f t="shared" si="58"/>
        <v>22.170849845882874</v>
      </c>
      <c r="BL100" s="75">
        <f>BK100*(1-PARAM!$C$27)*$I$18+(MOD($B100,60)=PARAM!$B$56)*($B100&gt;(60-PARAM!$B$56))*HLOOKUP(($B100+PARAM!$B$56)/12,Loyalty,2)*$F$1*MAX(BN99,0)</f>
        <v>18.557001321003963</v>
      </c>
      <c r="BM100" s="75">
        <f>PARAM!$C$26+MAX($G$18-CHOOSE(PARAM!$B$44,MAX(0,BN99*$F$1),0),0)*RATES!$L76/12+$H$18*(PARAM!$D$51/12)*RATES!$N76/100</f>
        <v>7.875</v>
      </c>
      <c r="BN100" s="16">
        <f t="shared" si="84"/>
        <v>-460.62206076617832</v>
      </c>
      <c r="BO100" s="15">
        <f t="shared" si="59"/>
        <v>22.170849845882874</v>
      </c>
      <c r="BP100" s="75">
        <f>BO100*(1-PARAM!$C$27)*$I$19+(MOD($B100,60)=PARAM!$B$56)*($B100&gt;(60-PARAM!$B$56))*HLOOKUP(($B100+PARAM!$B$56)/12,Loyalty,2)*$F$1*MAX(BR99,0)</f>
        <v>18.557001321003963</v>
      </c>
      <c r="BQ100" s="75">
        <f>PARAM!$C$26+MAX($G$19-CHOOSE(PARAM!$B$44,MAX(0,BR99*$F$1),0),0)*RATES!$L76/12+$H$19*(PARAM!$D$51/12)*RATES!$N76/100</f>
        <v>7.875</v>
      </c>
      <c r="BR100" s="16">
        <f t="shared" si="85"/>
        <v>-460.62206076617832</v>
      </c>
      <c r="BS100" s="15">
        <f t="shared" si="60"/>
        <v>22.170849845882874</v>
      </c>
      <c r="BT100" s="75">
        <f>BS100*(1-PARAM!$C$27)*$I$20+(MOD($B100,60)=PARAM!$B$56)*($B100&gt;(60-PARAM!$B$56))*HLOOKUP(($B100+PARAM!$B$56)/12,Loyalty,2)*$F$1*MAX(BV99,0)</f>
        <v>18.557001321003963</v>
      </c>
      <c r="BU100" s="75">
        <f>PARAM!$C$26+MAX($G$20-CHOOSE(PARAM!$B$44,MAX(0,BV99*$F$1),0),0)*RATES!$L76/12+$H$20*(PARAM!$D$51/12)*RATES!$N76/100</f>
        <v>7.875</v>
      </c>
      <c r="BV100" s="16">
        <f t="shared" si="86"/>
        <v>-460.62206076617832</v>
      </c>
      <c r="BW100" s="15">
        <f t="shared" si="61"/>
        <v>22.170849845882874</v>
      </c>
      <c r="BX100" s="75">
        <f>BW100*(1-PARAM!$C$27)*$I$21+(MOD($B100,60)=PARAM!$B$56)*($B100&gt;(60-PARAM!$B$56))*HLOOKUP(($B100+PARAM!$B$56)/12,Loyalty,2)*$F$1*MAX(BZ99,0)</f>
        <v>18.557001321003963</v>
      </c>
      <c r="BY100" s="75">
        <f>PARAM!$C$26+MAX($G$21-CHOOSE(PARAM!$B$44,MAX(0,BZ99*$F$1),0),0)*RATES!$L76/12+$H$21*(PARAM!$D$51/12)*RATES!$N76/100</f>
        <v>7.875</v>
      </c>
      <c r="BZ100" s="16">
        <f t="shared" si="87"/>
        <v>-460.62206076617832</v>
      </c>
      <c r="CA100" s="15">
        <f t="shared" si="62"/>
        <v>22.170849845882874</v>
      </c>
      <c r="CB100" s="75">
        <f>CA100*(1-PARAM!$C$27)*$I$22+(MOD($B100,60)=PARAM!$B$56)*($B100&gt;(60-PARAM!$B$56))*HLOOKUP(($B100+PARAM!$B$56)/12,Loyalty,2)*$F$1*MAX(CD99,0)</f>
        <v>18.557001321003963</v>
      </c>
      <c r="CC100" s="75">
        <f>PARAM!$C$26+MAX($G$22-CHOOSE(PARAM!$B$44,MAX(0,CD99*$F$1),0),0)*RATES!$L76/12+$H$22*(PARAM!$D$51/12)*RATES!$N76/100</f>
        <v>7.875</v>
      </c>
      <c r="CD100" s="16">
        <f t="shared" si="88"/>
        <v>-460.62206076617832</v>
      </c>
      <c r="CE100" s="33">
        <f>IF(0=MOD(B100,12/PARAM!$D$51),1,0)</f>
        <v>1</v>
      </c>
      <c r="CF100" s="15">
        <f t="shared" si="63"/>
        <v>0</v>
      </c>
      <c r="CG100" s="75">
        <f>CF100*(1-PARAM!$C$27)*$R$3+(MOD($B100/12,5)=0)*($B100&gt;60)*HLOOKUP($B100/12,Loyalty,2)*$F$1*MAX(CI99,0)</f>
        <v>0</v>
      </c>
      <c r="CH100" s="75">
        <f>PARAM!$C$26+MAX($P$3-CHOOSE(PARAM!$B$44,MAX(0,CI99*$F$1),0),0)*RATES!$L76/12+$Q$3*(PARAM!$D$51/12)*RATES!$N76/100</f>
        <v>7.875</v>
      </c>
      <c r="CI100" s="16">
        <f>IF(CI99&gt;0,CI99*PARAM!$C$53,CI99)+CG100-CH100</f>
        <v>-1621</v>
      </c>
      <c r="CJ100" s="15">
        <f t="shared" si="89"/>
        <v>0</v>
      </c>
      <c r="CK100" s="75">
        <f>CJ100*(1-PARAM!$C$27)*$R$4+(MOD($B100/12,5)=0)*($B100&gt;60)*HLOOKUP($B100/12,Loyalty,2)*$F$1*MAX(CM99,0)</f>
        <v>0</v>
      </c>
      <c r="CL100" s="75">
        <f>PARAM!$C$26+MAX($P$4-CHOOSE(PARAM!$B$44,MAX(0,CM99*$F$1),0),0)*RATES!$L76/12+$Q$4*(PARAM!$D$51/12)*RATES!$N76/100</f>
        <v>7.875</v>
      </c>
      <c r="CM100" s="16">
        <f>IF(CM99&gt;0,CM99*PARAM!$C$53,CM99)+CK100-CL100</f>
        <v>-1621</v>
      </c>
      <c r="CO100" s="176"/>
    </row>
    <row r="101" spans="1:93" x14ac:dyDescent="0.2">
      <c r="A101" t="b">
        <f t="shared" si="64"/>
        <v>0</v>
      </c>
      <c r="B101" s="33">
        <v>74</v>
      </c>
      <c r="C101" s="15">
        <f t="shared" si="65"/>
        <v>20.081305947392778</v>
      </c>
      <c r="D101" s="75">
        <f>C101*(1-PARAM!$C$27)*$I$3+(MOD($B101,60)=PARAM!$B$56)*($B101&gt;(60-PARAM!$B$56))*HLOOKUP(($B101+PARAM!$B$56)/12,Loyalty,2)*$F$1*MAX(F100,0)</f>
        <v>16.808053077967756</v>
      </c>
      <c r="E101" s="75">
        <f>PARAM!$C$26+MAX($G$3-CHOOSE(PARAM!$B$44,MAX(0,F100*$F$1),0),0)*RATES!$L77/12+$H$3*(PARAM!$D$51/12)*RATES!$N77/100</f>
        <v>7.875</v>
      </c>
      <c r="F101" s="16">
        <f t="shared" si="66"/>
        <v>-561.05155624738734</v>
      </c>
      <c r="G101" s="15">
        <f t="shared" si="67"/>
        <v>22.035289406060361</v>
      </c>
      <c r="H101" s="75">
        <f>G101*(1-PARAM!$C$27)*$I$4+(MOD($B101,60)=PARAM!$B$56)*($B101&gt;(60-PARAM!$B$56))*HLOOKUP(($B101+PARAM!$B$56)/12,Loyalty,2)*$F$1*MAX(J100,0)</f>
        <v>18.443537232872522</v>
      </c>
      <c r="I101" s="75">
        <f>PARAM!$C$26+MAX($G$4-CHOOSE(PARAM!$B$44,MAX(0,J100*$F$1),0),0)*RATES!$L77/12+$H$4*(PARAM!$D$51/12)*RATES!$N77/100</f>
        <v>7.875</v>
      </c>
      <c r="J101" s="16">
        <f t="shared" si="68"/>
        <v>-457.14848583274033</v>
      </c>
      <c r="K101" s="15">
        <f t="shared" si="69"/>
        <v>22.170849845882874</v>
      </c>
      <c r="L101" s="75">
        <f>K101*(1-PARAM!$C$27)*$I$5+(MOD($B101,60)=PARAM!$B$56)*($B101&gt;(60-PARAM!$B$56))*HLOOKUP(($B101+PARAM!$B$56)/12,Loyalty,2)*$F$1*MAX(N100,0)</f>
        <v>18.557001321003963</v>
      </c>
      <c r="M101" s="75">
        <f>PARAM!$C$26+MAX($G$5-CHOOSE(PARAM!$B$44,MAX(0,N100*$F$1),0),0)*RATES!$L77/12+$H$5*(PARAM!$D$51/12)*RATES!$N77/100</f>
        <v>7.875</v>
      </c>
      <c r="N101" s="16">
        <f t="shared" si="70"/>
        <v>-449.94005944517437</v>
      </c>
      <c r="O101" s="15">
        <f t="shared" si="71"/>
        <v>22.170849845882874</v>
      </c>
      <c r="P101" s="75">
        <f>O101*(1-PARAM!$C$27)*$I$6+(MOD($B101,60)=PARAM!$B$56)*($B101&gt;(60-PARAM!$B$56))*HLOOKUP(($B101+PARAM!$B$56)/12,Loyalty,2)*$F$1*MAX(R100,0)</f>
        <v>18.557001321003963</v>
      </c>
      <c r="Q101" s="75">
        <f>PARAM!$C$26+MAX($G$6-CHOOSE(PARAM!$B$44,MAX(0,R100*$F$1),0),0)*RATES!$L77/12+$H$6*(PARAM!$D$51/12)*RATES!$N77/100</f>
        <v>7.875</v>
      </c>
      <c r="R101" s="16">
        <f t="shared" si="72"/>
        <v>-449.94005944517437</v>
      </c>
      <c r="S101" s="15">
        <f t="shared" si="47"/>
        <v>22.170849845882874</v>
      </c>
      <c r="T101" s="75">
        <f>S101*(1-PARAM!$C$27)*$I$7+(MOD($B101,60)=PARAM!$B$56)*($B101&gt;(60-PARAM!$B$56))*HLOOKUP(($B101+PARAM!$B$56)/12,Loyalty,2)*$F$1*MAX(V100,0)</f>
        <v>18.557001321003963</v>
      </c>
      <c r="U101" s="75">
        <f>PARAM!$C$26+MAX($G$7-CHOOSE(PARAM!$B$44,MAX(0,V100*$F$1),0),0)*RATES!$L77/12+$H$7*(PARAM!$D$51/12)*RATES!$N77/100</f>
        <v>7.875</v>
      </c>
      <c r="V101" s="16">
        <f t="shared" si="73"/>
        <v>-449.94005944517437</v>
      </c>
      <c r="W101" s="15">
        <f t="shared" si="48"/>
        <v>22.170849845882874</v>
      </c>
      <c r="X101" s="75">
        <f>W101*(1-PARAM!$C$27)*$I$8+(MOD($B101,60)=PARAM!$B$56)*($B101&gt;(60-PARAM!$B$56))*HLOOKUP(($B101+PARAM!$B$56)/12,Loyalty,2)*$F$1*MAX(Z100,0)</f>
        <v>18.557001321003963</v>
      </c>
      <c r="Y101" s="75">
        <f>PARAM!$C$26+MAX($G$8-CHOOSE(PARAM!$B$44,MAX(0,Z100*$F$1),0),0)*RATES!$L77/12+$H$8*(PARAM!$D$51/12)*RATES!$N77/100</f>
        <v>7.875</v>
      </c>
      <c r="Z101" s="16">
        <f t="shared" si="74"/>
        <v>-449.94005944517437</v>
      </c>
      <c r="AA101" s="15">
        <f t="shared" si="49"/>
        <v>22.170849845882874</v>
      </c>
      <c r="AB101" s="75">
        <f>AA101*(1-PARAM!$C$27)*$I$9+(MOD($B101,60)=PARAM!$B$56)*($B101&gt;(60-PARAM!$B$56))*HLOOKUP(($B101+PARAM!$B$56)/12,Loyalty,2)*$F$1*MAX(AD100,0)</f>
        <v>18.557001321003963</v>
      </c>
      <c r="AC101" s="75">
        <f>PARAM!$C$26+MAX($G$9-CHOOSE(PARAM!$B$44,MAX(0,AD100*$F$1),0),0)*RATES!$L77/12+$H$9*(PARAM!$D$51/12)*RATES!$N77/100</f>
        <v>7.875</v>
      </c>
      <c r="AD101" s="16">
        <f t="shared" si="75"/>
        <v>-449.94005944517437</v>
      </c>
      <c r="AE101" s="15">
        <f t="shared" si="50"/>
        <v>22.170849845882874</v>
      </c>
      <c r="AF101" s="75">
        <f>AE101*(1-PARAM!$C$27)*$I$10+(MOD($B101,60)=PARAM!$B$56)*($B101&gt;(60-PARAM!$B$56))*HLOOKUP(($B101+PARAM!$B$56)/12,Loyalty,2)*$F$1*MAX(AH100,0)</f>
        <v>18.557001321003963</v>
      </c>
      <c r="AG101" s="75">
        <f>PARAM!$C$26+MAX($G$10-CHOOSE(PARAM!$B$44,MAX(0,AH100*$F$1),0),0)*RATES!$L77/12+$H$10*(PARAM!$D$51/12)*RATES!$N77/100</f>
        <v>7.875</v>
      </c>
      <c r="AH101" s="16">
        <f t="shared" si="76"/>
        <v>-449.94005944517437</v>
      </c>
      <c r="AI101" s="15">
        <f t="shared" si="51"/>
        <v>22.170849845882874</v>
      </c>
      <c r="AJ101" s="75">
        <f>AI101*(1-PARAM!$C$27)*$I$11+(MOD($B101,60)=PARAM!$B$56)*($B101&gt;(60-PARAM!$B$56))*HLOOKUP(($B101+PARAM!$B$56)/12,Loyalty,2)*$F$1*MAX(AL100,0)</f>
        <v>18.557001321003963</v>
      </c>
      <c r="AK101" s="75">
        <f>PARAM!$C$26+MAX($G$11-CHOOSE(PARAM!$B$44,MAX(0,AL100*$F$1),0),0)*RATES!$L77/12+$H$11*(PARAM!$D$51/12)*RATES!$N77/100</f>
        <v>7.875</v>
      </c>
      <c r="AL101" s="16">
        <f t="shared" si="77"/>
        <v>-449.94005944517437</v>
      </c>
      <c r="AM101" s="15">
        <f t="shared" si="52"/>
        <v>22.170849845882874</v>
      </c>
      <c r="AN101" s="75">
        <f>AM101*(1-PARAM!$C$27)*$I$12+(MOD($B101,60)=PARAM!$B$56)*($B101&gt;(60-PARAM!$B$56))*HLOOKUP(($B101+PARAM!$B$56)/12,Loyalty,2)*$F$1*MAX(AP100,0)</f>
        <v>18.557001321003963</v>
      </c>
      <c r="AO101" s="75">
        <f>PARAM!$C$26+MAX($G$12-CHOOSE(PARAM!$B$44,MAX(0,AP100*$F$1),0),0)*RATES!$L77/12+$H$12*(PARAM!$D$51/12)*RATES!$N77/100</f>
        <v>7.875</v>
      </c>
      <c r="AP101" s="16">
        <f t="shared" si="78"/>
        <v>-449.94005944517437</v>
      </c>
      <c r="AQ101" s="15">
        <f t="shared" si="53"/>
        <v>22.170849845882874</v>
      </c>
      <c r="AR101" s="75">
        <f>AQ101*(1-PARAM!$C$27)*$I$13+(MOD($B101,60)=PARAM!$B$56)*($B101&gt;(60-PARAM!$B$56))*HLOOKUP(($B101+PARAM!$B$56)/12,Loyalty,2)*$F$1*MAX(AT100,0)</f>
        <v>18.557001321003963</v>
      </c>
      <c r="AS101" s="75">
        <f>PARAM!$C$26+MAX($G$13-CHOOSE(PARAM!$B$44,MAX(0,AT100*$F$1),0),0)*RATES!$L77/12+$H$13*(PARAM!$D$51/12)*RATES!$N77/100</f>
        <v>7.875</v>
      </c>
      <c r="AT101" s="16">
        <f t="shared" si="79"/>
        <v>-449.94005944517437</v>
      </c>
      <c r="AU101" s="15">
        <f t="shared" si="54"/>
        <v>22.170849845882874</v>
      </c>
      <c r="AV101" s="75">
        <f>AU101*(1-PARAM!$C$27)*$I$14+(MOD($B101,60)=PARAM!$B$56)*($B101&gt;(60-PARAM!$B$56))*HLOOKUP(($B101+PARAM!$B$56)/12,Loyalty,2)*$F$1*MAX(AX100,0)</f>
        <v>18.557001321003963</v>
      </c>
      <c r="AW101" s="75">
        <f>PARAM!$C$26+MAX($G$14-CHOOSE(PARAM!$B$44,MAX(0,AX100*$F$1),0),0)*RATES!$L77/12+$H$14*(PARAM!$D$51/12)*RATES!$N77/100</f>
        <v>7.875</v>
      </c>
      <c r="AX101" s="16">
        <f t="shared" si="80"/>
        <v>-449.94005944517437</v>
      </c>
      <c r="AY101" s="15">
        <f t="shared" si="55"/>
        <v>22.170849845882874</v>
      </c>
      <c r="AZ101" s="75">
        <f>AY101*(1-PARAM!$C$27)*$I$15+(MOD($B101,60)=PARAM!$B$56)*($B101&gt;(60-PARAM!$B$56))*HLOOKUP(($B101+PARAM!$B$56)/12,Loyalty,2)*$F$1*MAX(BB100,0)</f>
        <v>18.557001321003963</v>
      </c>
      <c r="BA101" s="75">
        <f>PARAM!$C$26+MAX($G$15-CHOOSE(PARAM!$B$44,MAX(0,BB100*$F$1),0),0)*RATES!$L77/12+$H$15*(PARAM!$D$51/12)*RATES!$N77/100</f>
        <v>7.875</v>
      </c>
      <c r="BB101" s="16">
        <f t="shared" si="81"/>
        <v>-449.94005944517437</v>
      </c>
      <c r="BC101" s="15">
        <f t="shared" si="56"/>
        <v>22.170849845882874</v>
      </c>
      <c r="BD101" s="75">
        <f>BC101*(1-PARAM!$C$27)*$I$16+(MOD($B101,60)=PARAM!$B$56)*($B101&gt;(60-PARAM!$B$56))*HLOOKUP(($B101+PARAM!$B$56)/12,Loyalty,2)*$F$1*MAX(BF100,0)</f>
        <v>18.557001321003963</v>
      </c>
      <c r="BE101" s="75">
        <f>PARAM!$C$26+MAX($G$16-CHOOSE(PARAM!$B$44,MAX(0,BF100*$F$1),0),0)*RATES!$L77/12+$H$16*(PARAM!$D$51/12)*RATES!$N77/100</f>
        <v>7.875</v>
      </c>
      <c r="BF101" s="16">
        <f t="shared" si="82"/>
        <v>-449.94005944517437</v>
      </c>
      <c r="BG101" s="15">
        <f t="shared" si="57"/>
        <v>22.170849845882874</v>
      </c>
      <c r="BH101" s="75">
        <f>BG101*(1-PARAM!$C$27)*$I$17+(MOD($B101,60)=PARAM!$B$56)*($B101&gt;(60-PARAM!$B$56))*HLOOKUP(($B101+PARAM!$B$56)/12,Loyalty,2)*$F$1*MAX(BJ100,0)</f>
        <v>18.557001321003963</v>
      </c>
      <c r="BI101" s="75">
        <f>PARAM!$C$26+MAX($G$17-CHOOSE(PARAM!$B$44,MAX(0,BJ100*$F$1),0),0)*RATES!$L77/12+$H$17*(PARAM!$D$51/12)*RATES!$N77/100</f>
        <v>7.875</v>
      </c>
      <c r="BJ101" s="16">
        <f t="shared" si="83"/>
        <v>-449.94005944517437</v>
      </c>
      <c r="BK101" s="15">
        <f t="shared" si="58"/>
        <v>22.170849845882874</v>
      </c>
      <c r="BL101" s="75">
        <f>BK101*(1-PARAM!$C$27)*$I$18+(MOD($B101,60)=PARAM!$B$56)*($B101&gt;(60-PARAM!$B$56))*HLOOKUP(($B101+PARAM!$B$56)/12,Loyalty,2)*$F$1*MAX(BN100,0)</f>
        <v>18.557001321003963</v>
      </c>
      <c r="BM101" s="75">
        <f>PARAM!$C$26+MAX($G$18-CHOOSE(PARAM!$B$44,MAX(0,BN100*$F$1),0),0)*RATES!$L77/12+$H$18*(PARAM!$D$51/12)*RATES!$N77/100</f>
        <v>7.875</v>
      </c>
      <c r="BN101" s="16">
        <f t="shared" si="84"/>
        <v>-449.94005944517437</v>
      </c>
      <c r="BO101" s="15">
        <f t="shared" si="59"/>
        <v>22.170849845882874</v>
      </c>
      <c r="BP101" s="75">
        <f>BO101*(1-PARAM!$C$27)*$I$19+(MOD($B101,60)=PARAM!$B$56)*($B101&gt;(60-PARAM!$B$56))*HLOOKUP(($B101+PARAM!$B$56)/12,Loyalty,2)*$F$1*MAX(BR100,0)</f>
        <v>18.557001321003963</v>
      </c>
      <c r="BQ101" s="75">
        <f>PARAM!$C$26+MAX($G$19-CHOOSE(PARAM!$B$44,MAX(0,BR100*$F$1),0),0)*RATES!$L77/12+$H$19*(PARAM!$D$51/12)*RATES!$N77/100</f>
        <v>7.875</v>
      </c>
      <c r="BR101" s="16">
        <f t="shared" si="85"/>
        <v>-449.94005944517437</v>
      </c>
      <c r="BS101" s="15">
        <f t="shared" si="60"/>
        <v>22.170849845882874</v>
      </c>
      <c r="BT101" s="75">
        <f>BS101*(1-PARAM!$C$27)*$I$20+(MOD($B101,60)=PARAM!$B$56)*($B101&gt;(60-PARAM!$B$56))*HLOOKUP(($B101+PARAM!$B$56)/12,Loyalty,2)*$F$1*MAX(BV100,0)</f>
        <v>18.557001321003963</v>
      </c>
      <c r="BU101" s="75">
        <f>PARAM!$C$26+MAX($G$20-CHOOSE(PARAM!$B$44,MAX(0,BV100*$F$1),0),0)*RATES!$L77/12+$H$20*(PARAM!$D$51/12)*RATES!$N77/100</f>
        <v>7.875</v>
      </c>
      <c r="BV101" s="16">
        <f t="shared" si="86"/>
        <v>-449.94005944517437</v>
      </c>
      <c r="BW101" s="15">
        <f t="shared" si="61"/>
        <v>22.170849845882874</v>
      </c>
      <c r="BX101" s="75">
        <f>BW101*(1-PARAM!$C$27)*$I$21+(MOD($B101,60)=PARAM!$B$56)*($B101&gt;(60-PARAM!$B$56))*HLOOKUP(($B101+PARAM!$B$56)/12,Loyalty,2)*$F$1*MAX(BZ100,0)</f>
        <v>18.557001321003963</v>
      </c>
      <c r="BY101" s="75">
        <f>PARAM!$C$26+MAX($G$21-CHOOSE(PARAM!$B$44,MAX(0,BZ100*$F$1),0),0)*RATES!$L77/12+$H$21*(PARAM!$D$51/12)*RATES!$N77/100</f>
        <v>7.875</v>
      </c>
      <c r="BZ101" s="16">
        <f t="shared" si="87"/>
        <v>-449.94005944517437</v>
      </c>
      <c r="CA101" s="15">
        <f t="shared" si="62"/>
        <v>22.170849845882874</v>
      </c>
      <c r="CB101" s="75">
        <f>CA101*(1-PARAM!$C$27)*$I$22+(MOD($B101,60)=PARAM!$B$56)*($B101&gt;(60-PARAM!$B$56))*HLOOKUP(($B101+PARAM!$B$56)/12,Loyalty,2)*$F$1*MAX(CD100,0)</f>
        <v>18.557001321003963</v>
      </c>
      <c r="CC101" s="75">
        <f>PARAM!$C$26+MAX($G$22-CHOOSE(PARAM!$B$44,MAX(0,CD100*$F$1),0),0)*RATES!$L77/12+$H$22*(PARAM!$D$51/12)*RATES!$N77/100</f>
        <v>7.875</v>
      </c>
      <c r="CD101" s="16">
        <f t="shared" si="88"/>
        <v>-449.94005944517437</v>
      </c>
      <c r="CE101" s="33">
        <f>IF(0=MOD(B101,12/PARAM!$D$51),1,0)</f>
        <v>1</v>
      </c>
      <c r="CF101" s="15">
        <f t="shared" si="63"/>
        <v>0</v>
      </c>
      <c r="CG101" s="75">
        <f>CF101*(1-PARAM!$C$27)*$R$3+(MOD($B101/12,5)=0)*($B101&gt;60)*HLOOKUP($B101/12,Loyalty,2)*$F$1*MAX(CI100,0)</f>
        <v>0</v>
      </c>
      <c r="CH101" s="75">
        <f>PARAM!$C$26+MAX($P$3-CHOOSE(PARAM!$B$44,MAX(0,CI100*$F$1),0),0)*RATES!$L77/12+$Q$3*(PARAM!$D$51/12)*RATES!$N77/100</f>
        <v>7.875</v>
      </c>
      <c r="CI101" s="16">
        <f>IF(CI100&gt;0,CI100*PARAM!$C$53,CI100)+CG101-CH101</f>
        <v>-1628.875</v>
      </c>
      <c r="CJ101" s="15">
        <f t="shared" si="89"/>
        <v>0</v>
      </c>
      <c r="CK101" s="75">
        <f>CJ101*(1-PARAM!$C$27)*$R$4+(MOD($B101/12,5)=0)*($B101&gt;60)*HLOOKUP($B101/12,Loyalty,2)*$F$1*MAX(CM100,0)</f>
        <v>0</v>
      </c>
      <c r="CL101" s="75">
        <f>PARAM!$C$26+MAX($P$4-CHOOSE(PARAM!$B$44,MAX(0,CM100*$F$1),0),0)*RATES!$L77/12+$Q$4*(PARAM!$D$51/12)*RATES!$N77/100</f>
        <v>7.875</v>
      </c>
      <c r="CM101" s="16">
        <f>IF(CM100&gt;0,CM100*PARAM!$C$53,CM100)+CK101-CL101</f>
        <v>-1628.875</v>
      </c>
      <c r="CO101" s="176"/>
    </row>
    <row r="102" spans="1:93" x14ac:dyDescent="0.2">
      <c r="A102" t="b">
        <f t="shared" si="64"/>
        <v>0</v>
      </c>
      <c r="B102" s="33">
        <v>75</v>
      </c>
      <c r="C102" s="15">
        <f t="shared" si="65"/>
        <v>20.081305947392778</v>
      </c>
      <c r="D102" s="75">
        <f>C102*(1-PARAM!$C$27)*$I$3+(MOD($B102,60)=PARAM!$B$56)*($B102&gt;(60-PARAM!$B$56))*HLOOKUP(($B102+PARAM!$B$56)/12,Loyalty,2)*$F$1*MAX(F101,0)</f>
        <v>16.808053077967756</v>
      </c>
      <c r="E102" s="75">
        <f>PARAM!$C$26+MAX($G$3-CHOOSE(PARAM!$B$44,MAX(0,F101*$F$1),0),0)*RATES!$L78/12+$H$3*(PARAM!$D$51/12)*RATES!$N78/100</f>
        <v>7.875</v>
      </c>
      <c r="F102" s="16">
        <f t="shared" si="66"/>
        <v>-552.11850316941957</v>
      </c>
      <c r="G102" s="15">
        <f t="shared" si="67"/>
        <v>22.035289406060361</v>
      </c>
      <c r="H102" s="75">
        <f>G102*(1-PARAM!$C$27)*$I$4+(MOD($B102,60)=PARAM!$B$56)*($B102&gt;(60-PARAM!$B$56))*HLOOKUP(($B102+PARAM!$B$56)/12,Loyalty,2)*$F$1*MAX(J101,0)</f>
        <v>18.443537232872522</v>
      </c>
      <c r="I102" s="75">
        <f>PARAM!$C$26+MAX($G$4-CHOOSE(PARAM!$B$44,MAX(0,J101*$F$1),0),0)*RATES!$L78/12+$H$4*(PARAM!$D$51/12)*RATES!$N78/100</f>
        <v>7.875</v>
      </c>
      <c r="J102" s="16">
        <f t="shared" si="68"/>
        <v>-446.57994859986781</v>
      </c>
      <c r="K102" s="15">
        <f t="shared" si="69"/>
        <v>22.170849845882874</v>
      </c>
      <c r="L102" s="75">
        <f>K102*(1-PARAM!$C$27)*$I$5+(MOD($B102,60)=PARAM!$B$56)*($B102&gt;(60-PARAM!$B$56))*HLOOKUP(($B102+PARAM!$B$56)/12,Loyalty,2)*$F$1*MAX(N101,0)</f>
        <v>18.557001321003963</v>
      </c>
      <c r="M102" s="75">
        <f>PARAM!$C$26+MAX($G$5-CHOOSE(PARAM!$B$44,MAX(0,N101*$F$1),0),0)*RATES!$L78/12+$H$5*(PARAM!$D$51/12)*RATES!$N78/100</f>
        <v>7.875</v>
      </c>
      <c r="N102" s="16">
        <f t="shared" si="70"/>
        <v>-439.25805812417042</v>
      </c>
      <c r="O102" s="15">
        <f t="shared" si="71"/>
        <v>22.170849845882874</v>
      </c>
      <c r="P102" s="75">
        <f>O102*(1-PARAM!$C$27)*$I$6+(MOD($B102,60)=PARAM!$B$56)*($B102&gt;(60-PARAM!$B$56))*HLOOKUP(($B102+PARAM!$B$56)/12,Loyalty,2)*$F$1*MAX(R101,0)</f>
        <v>18.557001321003963</v>
      </c>
      <c r="Q102" s="75">
        <f>PARAM!$C$26+MAX($G$6-CHOOSE(PARAM!$B$44,MAX(0,R101*$F$1),0),0)*RATES!$L78/12+$H$6*(PARAM!$D$51/12)*RATES!$N78/100</f>
        <v>7.875</v>
      </c>
      <c r="R102" s="16">
        <f t="shared" si="72"/>
        <v>-439.25805812417042</v>
      </c>
      <c r="S102" s="15">
        <f t="shared" si="47"/>
        <v>22.170849845882874</v>
      </c>
      <c r="T102" s="75">
        <f>S102*(1-PARAM!$C$27)*$I$7+(MOD($B102,60)=PARAM!$B$56)*($B102&gt;(60-PARAM!$B$56))*HLOOKUP(($B102+PARAM!$B$56)/12,Loyalty,2)*$F$1*MAX(V101,0)</f>
        <v>18.557001321003963</v>
      </c>
      <c r="U102" s="75">
        <f>PARAM!$C$26+MAX($G$7-CHOOSE(PARAM!$B$44,MAX(0,V101*$F$1),0),0)*RATES!$L78/12+$H$7*(PARAM!$D$51/12)*RATES!$N78/100</f>
        <v>7.875</v>
      </c>
      <c r="V102" s="16">
        <f t="shared" si="73"/>
        <v>-439.25805812417042</v>
      </c>
      <c r="W102" s="15">
        <f t="shared" si="48"/>
        <v>22.170849845882874</v>
      </c>
      <c r="X102" s="75">
        <f>W102*(1-PARAM!$C$27)*$I$8+(MOD($B102,60)=PARAM!$B$56)*($B102&gt;(60-PARAM!$B$56))*HLOOKUP(($B102+PARAM!$B$56)/12,Loyalty,2)*$F$1*MAX(Z101,0)</f>
        <v>18.557001321003963</v>
      </c>
      <c r="Y102" s="75">
        <f>PARAM!$C$26+MAX($G$8-CHOOSE(PARAM!$B$44,MAX(0,Z101*$F$1),0),0)*RATES!$L78/12+$H$8*(PARAM!$D$51/12)*RATES!$N78/100</f>
        <v>7.875</v>
      </c>
      <c r="Z102" s="16">
        <f t="shared" si="74"/>
        <v>-439.25805812417042</v>
      </c>
      <c r="AA102" s="15">
        <f t="shared" si="49"/>
        <v>22.170849845882874</v>
      </c>
      <c r="AB102" s="75">
        <f>AA102*(1-PARAM!$C$27)*$I$9+(MOD($B102,60)=PARAM!$B$56)*($B102&gt;(60-PARAM!$B$56))*HLOOKUP(($B102+PARAM!$B$56)/12,Loyalty,2)*$F$1*MAX(AD101,0)</f>
        <v>18.557001321003963</v>
      </c>
      <c r="AC102" s="75">
        <f>PARAM!$C$26+MAX($G$9-CHOOSE(PARAM!$B$44,MAX(0,AD101*$F$1),0),0)*RATES!$L78/12+$H$9*(PARAM!$D$51/12)*RATES!$N78/100</f>
        <v>7.875</v>
      </c>
      <c r="AD102" s="16">
        <f t="shared" si="75"/>
        <v>-439.25805812417042</v>
      </c>
      <c r="AE102" s="15">
        <f t="shared" si="50"/>
        <v>22.170849845882874</v>
      </c>
      <c r="AF102" s="75">
        <f>AE102*(1-PARAM!$C$27)*$I$10+(MOD($B102,60)=PARAM!$B$56)*($B102&gt;(60-PARAM!$B$56))*HLOOKUP(($B102+PARAM!$B$56)/12,Loyalty,2)*$F$1*MAX(AH101,0)</f>
        <v>18.557001321003963</v>
      </c>
      <c r="AG102" s="75">
        <f>PARAM!$C$26+MAX($G$10-CHOOSE(PARAM!$B$44,MAX(0,AH101*$F$1),0),0)*RATES!$L78/12+$H$10*(PARAM!$D$51/12)*RATES!$N78/100</f>
        <v>7.875</v>
      </c>
      <c r="AH102" s="16">
        <f t="shared" si="76"/>
        <v>-439.25805812417042</v>
      </c>
      <c r="AI102" s="15">
        <f t="shared" si="51"/>
        <v>22.170849845882874</v>
      </c>
      <c r="AJ102" s="75">
        <f>AI102*(1-PARAM!$C$27)*$I$11+(MOD($B102,60)=PARAM!$B$56)*($B102&gt;(60-PARAM!$B$56))*HLOOKUP(($B102+PARAM!$B$56)/12,Loyalty,2)*$F$1*MAX(AL101,0)</f>
        <v>18.557001321003963</v>
      </c>
      <c r="AK102" s="75">
        <f>PARAM!$C$26+MAX($G$11-CHOOSE(PARAM!$B$44,MAX(0,AL101*$F$1),0),0)*RATES!$L78/12+$H$11*(PARAM!$D$51/12)*RATES!$N78/100</f>
        <v>7.875</v>
      </c>
      <c r="AL102" s="16">
        <f t="shared" si="77"/>
        <v>-439.25805812417042</v>
      </c>
      <c r="AM102" s="15">
        <f t="shared" si="52"/>
        <v>22.170849845882874</v>
      </c>
      <c r="AN102" s="75">
        <f>AM102*(1-PARAM!$C$27)*$I$12+(MOD($B102,60)=PARAM!$B$56)*($B102&gt;(60-PARAM!$B$56))*HLOOKUP(($B102+PARAM!$B$56)/12,Loyalty,2)*$F$1*MAX(AP101,0)</f>
        <v>18.557001321003963</v>
      </c>
      <c r="AO102" s="75">
        <f>PARAM!$C$26+MAX($G$12-CHOOSE(PARAM!$B$44,MAX(0,AP101*$F$1),0),0)*RATES!$L78/12+$H$12*(PARAM!$D$51/12)*RATES!$N78/100</f>
        <v>7.875</v>
      </c>
      <c r="AP102" s="16">
        <f t="shared" si="78"/>
        <v>-439.25805812417042</v>
      </c>
      <c r="AQ102" s="15">
        <f t="shared" si="53"/>
        <v>22.170849845882874</v>
      </c>
      <c r="AR102" s="75">
        <f>AQ102*(1-PARAM!$C$27)*$I$13+(MOD($B102,60)=PARAM!$B$56)*($B102&gt;(60-PARAM!$B$56))*HLOOKUP(($B102+PARAM!$B$56)/12,Loyalty,2)*$F$1*MAX(AT101,0)</f>
        <v>18.557001321003963</v>
      </c>
      <c r="AS102" s="75">
        <f>PARAM!$C$26+MAX($G$13-CHOOSE(PARAM!$B$44,MAX(0,AT101*$F$1),0),0)*RATES!$L78/12+$H$13*(PARAM!$D$51/12)*RATES!$N78/100</f>
        <v>7.875</v>
      </c>
      <c r="AT102" s="16">
        <f t="shared" si="79"/>
        <v>-439.25805812417042</v>
      </c>
      <c r="AU102" s="15">
        <f t="shared" si="54"/>
        <v>22.170849845882874</v>
      </c>
      <c r="AV102" s="75">
        <f>AU102*(1-PARAM!$C$27)*$I$14+(MOD($B102,60)=PARAM!$B$56)*($B102&gt;(60-PARAM!$B$56))*HLOOKUP(($B102+PARAM!$B$56)/12,Loyalty,2)*$F$1*MAX(AX101,0)</f>
        <v>18.557001321003963</v>
      </c>
      <c r="AW102" s="75">
        <f>PARAM!$C$26+MAX($G$14-CHOOSE(PARAM!$B$44,MAX(0,AX101*$F$1),0),0)*RATES!$L78/12+$H$14*(PARAM!$D$51/12)*RATES!$N78/100</f>
        <v>7.875</v>
      </c>
      <c r="AX102" s="16">
        <f t="shared" si="80"/>
        <v>-439.25805812417042</v>
      </c>
      <c r="AY102" s="15">
        <f t="shared" si="55"/>
        <v>22.170849845882874</v>
      </c>
      <c r="AZ102" s="75">
        <f>AY102*(1-PARAM!$C$27)*$I$15+(MOD($B102,60)=PARAM!$B$56)*($B102&gt;(60-PARAM!$B$56))*HLOOKUP(($B102+PARAM!$B$56)/12,Loyalty,2)*$F$1*MAX(BB101,0)</f>
        <v>18.557001321003963</v>
      </c>
      <c r="BA102" s="75">
        <f>PARAM!$C$26+MAX($G$15-CHOOSE(PARAM!$B$44,MAX(0,BB101*$F$1),0),0)*RATES!$L78/12+$H$15*(PARAM!$D$51/12)*RATES!$N78/100</f>
        <v>7.875</v>
      </c>
      <c r="BB102" s="16">
        <f t="shared" si="81"/>
        <v>-439.25805812417042</v>
      </c>
      <c r="BC102" s="15">
        <f t="shared" si="56"/>
        <v>22.170849845882874</v>
      </c>
      <c r="BD102" s="75">
        <f>BC102*(1-PARAM!$C$27)*$I$16+(MOD($B102,60)=PARAM!$B$56)*($B102&gt;(60-PARAM!$B$56))*HLOOKUP(($B102+PARAM!$B$56)/12,Loyalty,2)*$F$1*MAX(BF101,0)</f>
        <v>18.557001321003963</v>
      </c>
      <c r="BE102" s="75">
        <f>PARAM!$C$26+MAX($G$16-CHOOSE(PARAM!$B$44,MAX(0,BF101*$F$1),0),0)*RATES!$L78/12+$H$16*(PARAM!$D$51/12)*RATES!$N78/100</f>
        <v>7.875</v>
      </c>
      <c r="BF102" s="16">
        <f t="shared" si="82"/>
        <v>-439.25805812417042</v>
      </c>
      <c r="BG102" s="15">
        <f t="shared" si="57"/>
        <v>22.170849845882874</v>
      </c>
      <c r="BH102" s="75">
        <f>BG102*(1-PARAM!$C$27)*$I$17+(MOD($B102,60)=PARAM!$B$56)*($B102&gt;(60-PARAM!$B$56))*HLOOKUP(($B102+PARAM!$B$56)/12,Loyalty,2)*$F$1*MAX(BJ101,0)</f>
        <v>18.557001321003963</v>
      </c>
      <c r="BI102" s="75">
        <f>PARAM!$C$26+MAX($G$17-CHOOSE(PARAM!$B$44,MAX(0,BJ101*$F$1),0),0)*RATES!$L78/12+$H$17*(PARAM!$D$51/12)*RATES!$N78/100</f>
        <v>7.875</v>
      </c>
      <c r="BJ102" s="16">
        <f t="shared" si="83"/>
        <v>-439.25805812417042</v>
      </c>
      <c r="BK102" s="15">
        <f t="shared" si="58"/>
        <v>22.170849845882874</v>
      </c>
      <c r="BL102" s="75">
        <f>BK102*(1-PARAM!$C$27)*$I$18+(MOD($B102,60)=PARAM!$B$56)*($B102&gt;(60-PARAM!$B$56))*HLOOKUP(($B102+PARAM!$B$56)/12,Loyalty,2)*$F$1*MAX(BN101,0)</f>
        <v>18.557001321003963</v>
      </c>
      <c r="BM102" s="75">
        <f>PARAM!$C$26+MAX($G$18-CHOOSE(PARAM!$B$44,MAX(0,BN101*$F$1),0),0)*RATES!$L78/12+$H$18*(PARAM!$D$51/12)*RATES!$N78/100</f>
        <v>7.875</v>
      </c>
      <c r="BN102" s="16">
        <f t="shared" si="84"/>
        <v>-439.25805812417042</v>
      </c>
      <c r="BO102" s="15">
        <f t="shared" si="59"/>
        <v>22.170849845882874</v>
      </c>
      <c r="BP102" s="75">
        <f>BO102*(1-PARAM!$C$27)*$I$19+(MOD($B102,60)=PARAM!$B$56)*($B102&gt;(60-PARAM!$B$56))*HLOOKUP(($B102+PARAM!$B$56)/12,Loyalty,2)*$F$1*MAX(BR101,0)</f>
        <v>18.557001321003963</v>
      </c>
      <c r="BQ102" s="75">
        <f>PARAM!$C$26+MAX($G$19-CHOOSE(PARAM!$B$44,MAX(0,BR101*$F$1),0),0)*RATES!$L78/12+$H$19*(PARAM!$D$51/12)*RATES!$N78/100</f>
        <v>7.875</v>
      </c>
      <c r="BR102" s="16">
        <f t="shared" si="85"/>
        <v>-439.25805812417042</v>
      </c>
      <c r="BS102" s="15">
        <f t="shared" si="60"/>
        <v>22.170849845882874</v>
      </c>
      <c r="BT102" s="75">
        <f>BS102*(1-PARAM!$C$27)*$I$20+(MOD($B102,60)=PARAM!$B$56)*($B102&gt;(60-PARAM!$B$56))*HLOOKUP(($B102+PARAM!$B$56)/12,Loyalty,2)*$F$1*MAX(BV101,0)</f>
        <v>18.557001321003963</v>
      </c>
      <c r="BU102" s="75">
        <f>PARAM!$C$26+MAX($G$20-CHOOSE(PARAM!$B$44,MAX(0,BV101*$F$1),0),0)*RATES!$L78/12+$H$20*(PARAM!$D$51/12)*RATES!$N78/100</f>
        <v>7.875</v>
      </c>
      <c r="BV102" s="16">
        <f t="shared" si="86"/>
        <v>-439.25805812417042</v>
      </c>
      <c r="BW102" s="15">
        <f t="shared" si="61"/>
        <v>22.170849845882874</v>
      </c>
      <c r="BX102" s="75">
        <f>BW102*(1-PARAM!$C$27)*$I$21+(MOD($B102,60)=PARAM!$B$56)*($B102&gt;(60-PARAM!$B$56))*HLOOKUP(($B102+PARAM!$B$56)/12,Loyalty,2)*$F$1*MAX(BZ101,0)</f>
        <v>18.557001321003963</v>
      </c>
      <c r="BY102" s="75">
        <f>PARAM!$C$26+MAX($G$21-CHOOSE(PARAM!$B$44,MAX(0,BZ101*$F$1),0),0)*RATES!$L78/12+$H$21*(PARAM!$D$51/12)*RATES!$N78/100</f>
        <v>7.875</v>
      </c>
      <c r="BZ102" s="16">
        <f t="shared" si="87"/>
        <v>-439.25805812417042</v>
      </c>
      <c r="CA102" s="15">
        <f t="shared" si="62"/>
        <v>22.170849845882874</v>
      </c>
      <c r="CB102" s="75">
        <f>CA102*(1-PARAM!$C$27)*$I$22+(MOD($B102,60)=PARAM!$B$56)*($B102&gt;(60-PARAM!$B$56))*HLOOKUP(($B102+PARAM!$B$56)/12,Loyalty,2)*$F$1*MAX(CD101,0)</f>
        <v>18.557001321003963</v>
      </c>
      <c r="CC102" s="75">
        <f>PARAM!$C$26+MAX($G$22-CHOOSE(PARAM!$B$44,MAX(0,CD101*$F$1),0),0)*RATES!$L78/12+$H$22*(PARAM!$D$51/12)*RATES!$N78/100</f>
        <v>7.875</v>
      </c>
      <c r="CD102" s="16">
        <f t="shared" si="88"/>
        <v>-439.25805812417042</v>
      </c>
      <c r="CE102" s="33">
        <f>IF(0=MOD(B102,12/PARAM!$D$51),1,0)</f>
        <v>1</v>
      </c>
      <c r="CF102" s="15">
        <f t="shared" si="63"/>
        <v>0</v>
      </c>
      <c r="CG102" s="75">
        <f>CF102*(1-PARAM!$C$27)*$R$3+(MOD($B102/12,5)=0)*($B102&gt;60)*HLOOKUP($B102/12,Loyalty,2)*$F$1*MAX(CI101,0)</f>
        <v>0</v>
      </c>
      <c r="CH102" s="75">
        <f>PARAM!$C$26+MAX($P$3-CHOOSE(PARAM!$B$44,MAX(0,CI101*$F$1),0),0)*RATES!$L78/12+$Q$3*(PARAM!$D$51/12)*RATES!$N78/100</f>
        <v>7.875</v>
      </c>
      <c r="CI102" s="16">
        <f>IF(CI101&gt;0,CI101*PARAM!$C$53,CI101)+CG102-CH102</f>
        <v>-1636.75</v>
      </c>
      <c r="CJ102" s="15">
        <f t="shared" si="89"/>
        <v>0</v>
      </c>
      <c r="CK102" s="75">
        <f>CJ102*(1-PARAM!$C$27)*$R$4+(MOD($B102/12,5)=0)*($B102&gt;60)*HLOOKUP($B102/12,Loyalty,2)*$F$1*MAX(CM101,0)</f>
        <v>0</v>
      </c>
      <c r="CL102" s="75">
        <f>PARAM!$C$26+MAX($P$4-CHOOSE(PARAM!$B$44,MAX(0,CM101*$F$1),0),0)*RATES!$L78/12+$Q$4*(PARAM!$D$51/12)*RATES!$N78/100</f>
        <v>7.875</v>
      </c>
      <c r="CM102" s="16">
        <f>IF(CM101&gt;0,CM101*PARAM!$C$53,CM101)+CK102-CL102</f>
        <v>-1636.75</v>
      </c>
      <c r="CO102" s="176"/>
    </row>
    <row r="103" spans="1:93" x14ac:dyDescent="0.2">
      <c r="A103" t="b">
        <f t="shared" si="64"/>
        <v>0</v>
      </c>
      <c r="B103" s="33">
        <v>76</v>
      </c>
      <c r="C103" s="15">
        <f t="shared" si="65"/>
        <v>20.081305947392778</v>
      </c>
      <c r="D103" s="75">
        <f>C103*(1-PARAM!$C$27)*$I$3+(MOD($B103,60)=PARAM!$B$56)*($B103&gt;(60-PARAM!$B$56))*HLOOKUP(($B103+PARAM!$B$56)/12,Loyalty,2)*$F$1*MAX(F102,0)</f>
        <v>16.808053077967756</v>
      </c>
      <c r="E103" s="75">
        <f>PARAM!$C$26+MAX($G$3-CHOOSE(PARAM!$B$44,MAX(0,F102*$F$1),0),0)*RATES!$L79/12+$H$3*(PARAM!$D$51/12)*RATES!$N79/100</f>
        <v>7.875</v>
      </c>
      <c r="F103" s="16">
        <f t="shared" si="66"/>
        <v>-543.1854500914518</v>
      </c>
      <c r="G103" s="15">
        <f t="shared" si="67"/>
        <v>22.035289406060361</v>
      </c>
      <c r="H103" s="75">
        <f>G103*(1-PARAM!$C$27)*$I$4+(MOD($B103,60)=PARAM!$B$56)*($B103&gt;(60-PARAM!$B$56))*HLOOKUP(($B103+PARAM!$B$56)/12,Loyalty,2)*$F$1*MAX(J102,0)</f>
        <v>18.443537232872522</v>
      </c>
      <c r="I103" s="75">
        <f>PARAM!$C$26+MAX($G$4-CHOOSE(PARAM!$B$44,MAX(0,J102*$F$1),0),0)*RATES!$L79/12+$H$4*(PARAM!$D$51/12)*RATES!$N79/100</f>
        <v>7.875</v>
      </c>
      <c r="J103" s="16">
        <f t="shared" si="68"/>
        <v>-436.01141136699528</v>
      </c>
      <c r="K103" s="15">
        <f t="shared" si="69"/>
        <v>22.170849845882874</v>
      </c>
      <c r="L103" s="75">
        <f>K103*(1-PARAM!$C$27)*$I$5+(MOD($B103,60)=PARAM!$B$56)*($B103&gt;(60-PARAM!$B$56))*HLOOKUP(($B103+PARAM!$B$56)/12,Loyalty,2)*$F$1*MAX(N102,0)</f>
        <v>18.557001321003963</v>
      </c>
      <c r="M103" s="75">
        <f>PARAM!$C$26+MAX($G$5-CHOOSE(PARAM!$B$44,MAX(0,N102*$F$1),0),0)*RATES!$L79/12+$H$5*(PARAM!$D$51/12)*RATES!$N79/100</f>
        <v>7.875</v>
      </c>
      <c r="N103" s="16">
        <f t="shared" si="70"/>
        <v>-428.57605680316647</v>
      </c>
      <c r="O103" s="15">
        <f t="shared" si="71"/>
        <v>22.170849845882874</v>
      </c>
      <c r="P103" s="75">
        <f>O103*(1-PARAM!$C$27)*$I$6+(MOD($B103,60)=PARAM!$B$56)*($B103&gt;(60-PARAM!$B$56))*HLOOKUP(($B103+PARAM!$B$56)/12,Loyalty,2)*$F$1*MAX(R102,0)</f>
        <v>18.557001321003963</v>
      </c>
      <c r="Q103" s="75">
        <f>PARAM!$C$26+MAX($G$6-CHOOSE(PARAM!$B$44,MAX(0,R102*$F$1),0),0)*RATES!$L79/12+$H$6*(PARAM!$D$51/12)*RATES!$N79/100</f>
        <v>7.875</v>
      </c>
      <c r="R103" s="16">
        <f t="shared" si="72"/>
        <v>-428.57605680316647</v>
      </c>
      <c r="S103" s="15">
        <f t="shared" si="47"/>
        <v>22.170849845882874</v>
      </c>
      <c r="T103" s="75">
        <f>S103*(1-PARAM!$C$27)*$I$7+(MOD($B103,60)=PARAM!$B$56)*($B103&gt;(60-PARAM!$B$56))*HLOOKUP(($B103+PARAM!$B$56)/12,Loyalty,2)*$F$1*MAX(V102,0)</f>
        <v>18.557001321003963</v>
      </c>
      <c r="U103" s="75">
        <f>PARAM!$C$26+MAX($G$7-CHOOSE(PARAM!$B$44,MAX(0,V102*$F$1),0),0)*RATES!$L79/12+$H$7*(PARAM!$D$51/12)*RATES!$N79/100</f>
        <v>7.875</v>
      </c>
      <c r="V103" s="16">
        <f t="shared" si="73"/>
        <v>-428.57605680316647</v>
      </c>
      <c r="W103" s="15">
        <f t="shared" si="48"/>
        <v>22.170849845882874</v>
      </c>
      <c r="X103" s="75">
        <f>W103*(1-PARAM!$C$27)*$I$8+(MOD($B103,60)=PARAM!$B$56)*($B103&gt;(60-PARAM!$B$56))*HLOOKUP(($B103+PARAM!$B$56)/12,Loyalty,2)*$F$1*MAX(Z102,0)</f>
        <v>18.557001321003963</v>
      </c>
      <c r="Y103" s="75">
        <f>PARAM!$C$26+MAX($G$8-CHOOSE(PARAM!$B$44,MAX(0,Z102*$F$1),0),0)*RATES!$L79/12+$H$8*(PARAM!$D$51/12)*RATES!$N79/100</f>
        <v>7.875</v>
      </c>
      <c r="Z103" s="16">
        <f t="shared" si="74"/>
        <v>-428.57605680316647</v>
      </c>
      <c r="AA103" s="15">
        <f t="shared" si="49"/>
        <v>22.170849845882874</v>
      </c>
      <c r="AB103" s="75">
        <f>AA103*(1-PARAM!$C$27)*$I$9+(MOD($B103,60)=PARAM!$B$56)*($B103&gt;(60-PARAM!$B$56))*HLOOKUP(($B103+PARAM!$B$56)/12,Loyalty,2)*$F$1*MAX(AD102,0)</f>
        <v>18.557001321003963</v>
      </c>
      <c r="AC103" s="75">
        <f>PARAM!$C$26+MAX($G$9-CHOOSE(PARAM!$B$44,MAX(0,AD102*$F$1),0),0)*RATES!$L79/12+$H$9*(PARAM!$D$51/12)*RATES!$N79/100</f>
        <v>7.875</v>
      </c>
      <c r="AD103" s="16">
        <f t="shared" si="75"/>
        <v>-428.57605680316647</v>
      </c>
      <c r="AE103" s="15">
        <f t="shared" si="50"/>
        <v>22.170849845882874</v>
      </c>
      <c r="AF103" s="75">
        <f>AE103*(1-PARAM!$C$27)*$I$10+(MOD($B103,60)=PARAM!$B$56)*($B103&gt;(60-PARAM!$B$56))*HLOOKUP(($B103+PARAM!$B$56)/12,Loyalty,2)*$F$1*MAX(AH102,0)</f>
        <v>18.557001321003963</v>
      </c>
      <c r="AG103" s="75">
        <f>PARAM!$C$26+MAX($G$10-CHOOSE(PARAM!$B$44,MAX(0,AH102*$F$1),0),0)*RATES!$L79/12+$H$10*(PARAM!$D$51/12)*RATES!$N79/100</f>
        <v>7.875</v>
      </c>
      <c r="AH103" s="16">
        <f t="shared" si="76"/>
        <v>-428.57605680316647</v>
      </c>
      <c r="AI103" s="15">
        <f t="shared" si="51"/>
        <v>22.170849845882874</v>
      </c>
      <c r="AJ103" s="75">
        <f>AI103*(1-PARAM!$C$27)*$I$11+(MOD($B103,60)=PARAM!$B$56)*($B103&gt;(60-PARAM!$B$56))*HLOOKUP(($B103+PARAM!$B$56)/12,Loyalty,2)*$F$1*MAX(AL102,0)</f>
        <v>18.557001321003963</v>
      </c>
      <c r="AK103" s="75">
        <f>PARAM!$C$26+MAX($G$11-CHOOSE(PARAM!$B$44,MAX(0,AL102*$F$1),0),0)*RATES!$L79/12+$H$11*(PARAM!$D$51/12)*RATES!$N79/100</f>
        <v>7.875</v>
      </c>
      <c r="AL103" s="16">
        <f t="shared" si="77"/>
        <v>-428.57605680316647</v>
      </c>
      <c r="AM103" s="15">
        <f t="shared" si="52"/>
        <v>22.170849845882874</v>
      </c>
      <c r="AN103" s="75">
        <f>AM103*(1-PARAM!$C$27)*$I$12+(MOD($B103,60)=PARAM!$B$56)*($B103&gt;(60-PARAM!$B$56))*HLOOKUP(($B103+PARAM!$B$56)/12,Loyalty,2)*$F$1*MAX(AP102,0)</f>
        <v>18.557001321003963</v>
      </c>
      <c r="AO103" s="75">
        <f>PARAM!$C$26+MAX($G$12-CHOOSE(PARAM!$B$44,MAX(0,AP102*$F$1),0),0)*RATES!$L79/12+$H$12*(PARAM!$D$51/12)*RATES!$N79/100</f>
        <v>7.875</v>
      </c>
      <c r="AP103" s="16">
        <f t="shared" si="78"/>
        <v>-428.57605680316647</v>
      </c>
      <c r="AQ103" s="15">
        <f t="shared" si="53"/>
        <v>22.170849845882874</v>
      </c>
      <c r="AR103" s="75">
        <f>AQ103*(1-PARAM!$C$27)*$I$13+(MOD($B103,60)=PARAM!$B$56)*($B103&gt;(60-PARAM!$B$56))*HLOOKUP(($B103+PARAM!$B$56)/12,Loyalty,2)*$F$1*MAX(AT102,0)</f>
        <v>18.557001321003963</v>
      </c>
      <c r="AS103" s="75">
        <f>PARAM!$C$26+MAX($G$13-CHOOSE(PARAM!$B$44,MAX(0,AT102*$F$1),0),0)*RATES!$L79/12+$H$13*(PARAM!$D$51/12)*RATES!$N79/100</f>
        <v>7.875</v>
      </c>
      <c r="AT103" s="16">
        <f t="shared" si="79"/>
        <v>-428.57605680316647</v>
      </c>
      <c r="AU103" s="15">
        <f t="shared" si="54"/>
        <v>22.170849845882874</v>
      </c>
      <c r="AV103" s="75">
        <f>AU103*(1-PARAM!$C$27)*$I$14+(MOD($B103,60)=PARAM!$B$56)*($B103&gt;(60-PARAM!$B$56))*HLOOKUP(($B103+PARAM!$B$56)/12,Loyalty,2)*$F$1*MAX(AX102,0)</f>
        <v>18.557001321003963</v>
      </c>
      <c r="AW103" s="75">
        <f>PARAM!$C$26+MAX($G$14-CHOOSE(PARAM!$B$44,MAX(0,AX102*$F$1),0),0)*RATES!$L79/12+$H$14*(PARAM!$D$51/12)*RATES!$N79/100</f>
        <v>7.875</v>
      </c>
      <c r="AX103" s="16">
        <f t="shared" si="80"/>
        <v>-428.57605680316647</v>
      </c>
      <c r="AY103" s="15">
        <f t="shared" si="55"/>
        <v>22.170849845882874</v>
      </c>
      <c r="AZ103" s="75">
        <f>AY103*(1-PARAM!$C$27)*$I$15+(MOD($B103,60)=PARAM!$B$56)*($B103&gt;(60-PARAM!$B$56))*HLOOKUP(($B103+PARAM!$B$56)/12,Loyalty,2)*$F$1*MAX(BB102,0)</f>
        <v>18.557001321003963</v>
      </c>
      <c r="BA103" s="75">
        <f>PARAM!$C$26+MAX($G$15-CHOOSE(PARAM!$B$44,MAX(0,BB102*$F$1),0),0)*RATES!$L79/12+$H$15*(PARAM!$D$51/12)*RATES!$N79/100</f>
        <v>7.875</v>
      </c>
      <c r="BB103" s="16">
        <f t="shared" si="81"/>
        <v>-428.57605680316647</v>
      </c>
      <c r="BC103" s="15">
        <f t="shared" si="56"/>
        <v>22.170849845882874</v>
      </c>
      <c r="BD103" s="75">
        <f>BC103*(1-PARAM!$C$27)*$I$16+(MOD($B103,60)=PARAM!$B$56)*($B103&gt;(60-PARAM!$B$56))*HLOOKUP(($B103+PARAM!$B$56)/12,Loyalty,2)*$F$1*MAX(BF102,0)</f>
        <v>18.557001321003963</v>
      </c>
      <c r="BE103" s="75">
        <f>PARAM!$C$26+MAX($G$16-CHOOSE(PARAM!$B$44,MAX(0,BF102*$F$1),0),0)*RATES!$L79/12+$H$16*(PARAM!$D$51/12)*RATES!$N79/100</f>
        <v>7.875</v>
      </c>
      <c r="BF103" s="16">
        <f t="shared" si="82"/>
        <v>-428.57605680316647</v>
      </c>
      <c r="BG103" s="15">
        <f t="shared" si="57"/>
        <v>22.170849845882874</v>
      </c>
      <c r="BH103" s="75">
        <f>BG103*(1-PARAM!$C$27)*$I$17+(MOD($B103,60)=PARAM!$B$56)*($B103&gt;(60-PARAM!$B$56))*HLOOKUP(($B103+PARAM!$B$56)/12,Loyalty,2)*$F$1*MAX(BJ102,0)</f>
        <v>18.557001321003963</v>
      </c>
      <c r="BI103" s="75">
        <f>PARAM!$C$26+MAX($G$17-CHOOSE(PARAM!$B$44,MAX(0,BJ102*$F$1),0),0)*RATES!$L79/12+$H$17*(PARAM!$D$51/12)*RATES!$N79/100</f>
        <v>7.875</v>
      </c>
      <c r="BJ103" s="16">
        <f t="shared" si="83"/>
        <v>-428.57605680316647</v>
      </c>
      <c r="BK103" s="15">
        <f t="shared" si="58"/>
        <v>22.170849845882874</v>
      </c>
      <c r="BL103" s="75">
        <f>BK103*(1-PARAM!$C$27)*$I$18+(MOD($B103,60)=PARAM!$B$56)*($B103&gt;(60-PARAM!$B$56))*HLOOKUP(($B103+PARAM!$B$56)/12,Loyalty,2)*$F$1*MAX(BN102,0)</f>
        <v>18.557001321003963</v>
      </c>
      <c r="BM103" s="75">
        <f>PARAM!$C$26+MAX($G$18-CHOOSE(PARAM!$B$44,MAX(0,BN102*$F$1),0),0)*RATES!$L79/12+$H$18*(PARAM!$D$51/12)*RATES!$N79/100</f>
        <v>7.875</v>
      </c>
      <c r="BN103" s="16">
        <f t="shared" si="84"/>
        <v>-428.57605680316647</v>
      </c>
      <c r="BO103" s="15">
        <f t="shared" si="59"/>
        <v>22.170849845882874</v>
      </c>
      <c r="BP103" s="75">
        <f>BO103*(1-PARAM!$C$27)*$I$19+(MOD($B103,60)=PARAM!$B$56)*($B103&gt;(60-PARAM!$B$56))*HLOOKUP(($B103+PARAM!$B$56)/12,Loyalty,2)*$F$1*MAX(BR102,0)</f>
        <v>18.557001321003963</v>
      </c>
      <c r="BQ103" s="75">
        <f>PARAM!$C$26+MAX($G$19-CHOOSE(PARAM!$B$44,MAX(0,BR102*$F$1),0),0)*RATES!$L79/12+$H$19*(PARAM!$D$51/12)*RATES!$N79/100</f>
        <v>7.875</v>
      </c>
      <c r="BR103" s="16">
        <f t="shared" si="85"/>
        <v>-428.57605680316647</v>
      </c>
      <c r="BS103" s="15">
        <f t="shared" si="60"/>
        <v>22.170849845882874</v>
      </c>
      <c r="BT103" s="75">
        <f>BS103*(1-PARAM!$C$27)*$I$20+(MOD($B103,60)=PARAM!$B$56)*($B103&gt;(60-PARAM!$B$56))*HLOOKUP(($B103+PARAM!$B$56)/12,Loyalty,2)*$F$1*MAX(BV102,0)</f>
        <v>18.557001321003963</v>
      </c>
      <c r="BU103" s="75">
        <f>PARAM!$C$26+MAX($G$20-CHOOSE(PARAM!$B$44,MAX(0,BV102*$F$1),0),0)*RATES!$L79/12+$H$20*(PARAM!$D$51/12)*RATES!$N79/100</f>
        <v>7.875</v>
      </c>
      <c r="BV103" s="16">
        <f t="shared" si="86"/>
        <v>-428.57605680316647</v>
      </c>
      <c r="BW103" s="15">
        <f t="shared" si="61"/>
        <v>22.170849845882874</v>
      </c>
      <c r="BX103" s="75">
        <f>BW103*(1-PARAM!$C$27)*$I$21+(MOD($B103,60)=PARAM!$B$56)*($B103&gt;(60-PARAM!$B$56))*HLOOKUP(($B103+PARAM!$B$56)/12,Loyalty,2)*$F$1*MAX(BZ102,0)</f>
        <v>18.557001321003963</v>
      </c>
      <c r="BY103" s="75">
        <f>PARAM!$C$26+MAX($G$21-CHOOSE(PARAM!$B$44,MAX(0,BZ102*$F$1),0),0)*RATES!$L79/12+$H$21*(PARAM!$D$51/12)*RATES!$N79/100</f>
        <v>7.875</v>
      </c>
      <c r="BZ103" s="16">
        <f t="shared" si="87"/>
        <v>-428.57605680316647</v>
      </c>
      <c r="CA103" s="15">
        <f t="shared" si="62"/>
        <v>22.170849845882874</v>
      </c>
      <c r="CB103" s="75">
        <f>CA103*(1-PARAM!$C$27)*$I$22+(MOD($B103,60)=PARAM!$B$56)*($B103&gt;(60-PARAM!$B$56))*HLOOKUP(($B103+PARAM!$B$56)/12,Loyalty,2)*$F$1*MAX(CD102,0)</f>
        <v>18.557001321003963</v>
      </c>
      <c r="CC103" s="75">
        <f>PARAM!$C$26+MAX($G$22-CHOOSE(PARAM!$B$44,MAX(0,CD102*$F$1),0),0)*RATES!$L79/12+$H$22*(PARAM!$D$51/12)*RATES!$N79/100</f>
        <v>7.875</v>
      </c>
      <c r="CD103" s="16">
        <f t="shared" si="88"/>
        <v>-428.57605680316647</v>
      </c>
      <c r="CE103" s="33">
        <f>IF(0=MOD(B103,12/PARAM!$D$51),1,0)</f>
        <v>1</v>
      </c>
      <c r="CF103" s="15">
        <f t="shared" si="63"/>
        <v>0</v>
      </c>
      <c r="CG103" s="75">
        <f>CF103*(1-PARAM!$C$27)*$R$3+(MOD($B103/12,5)=0)*($B103&gt;60)*HLOOKUP($B103/12,Loyalty,2)*$F$1*MAX(CI102,0)</f>
        <v>0</v>
      </c>
      <c r="CH103" s="75">
        <f>PARAM!$C$26+MAX($P$3-CHOOSE(PARAM!$B$44,MAX(0,CI102*$F$1),0),0)*RATES!$L79/12+$Q$3*(PARAM!$D$51/12)*RATES!$N79/100</f>
        <v>7.875</v>
      </c>
      <c r="CI103" s="16">
        <f>IF(CI102&gt;0,CI102*PARAM!$C$53,CI102)+CG103-CH103</f>
        <v>-1644.625</v>
      </c>
      <c r="CJ103" s="15">
        <f t="shared" si="89"/>
        <v>0</v>
      </c>
      <c r="CK103" s="75">
        <f>CJ103*(1-PARAM!$C$27)*$R$4+(MOD($B103/12,5)=0)*($B103&gt;60)*HLOOKUP($B103/12,Loyalty,2)*$F$1*MAX(CM102,0)</f>
        <v>0</v>
      </c>
      <c r="CL103" s="75">
        <f>PARAM!$C$26+MAX($P$4-CHOOSE(PARAM!$B$44,MAX(0,CM102*$F$1),0),0)*RATES!$L79/12+$Q$4*(PARAM!$D$51/12)*RATES!$N79/100</f>
        <v>7.875</v>
      </c>
      <c r="CM103" s="16">
        <f>IF(CM102&gt;0,CM102*PARAM!$C$53,CM102)+CK103-CL103</f>
        <v>-1644.625</v>
      </c>
      <c r="CO103" s="176"/>
    </row>
    <row r="104" spans="1:93" x14ac:dyDescent="0.2">
      <c r="A104" t="b">
        <f t="shared" si="64"/>
        <v>0</v>
      </c>
      <c r="B104" s="33">
        <v>77</v>
      </c>
      <c r="C104" s="15">
        <f t="shared" si="65"/>
        <v>20.081305947392778</v>
      </c>
      <c r="D104" s="75">
        <f>C104*(1-PARAM!$C$27)*$I$3+(MOD($B104,60)=PARAM!$B$56)*($B104&gt;(60-PARAM!$B$56))*HLOOKUP(($B104+PARAM!$B$56)/12,Loyalty,2)*$F$1*MAX(F103,0)</f>
        <v>16.808053077967756</v>
      </c>
      <c r="E104" s="75">
        <f>PARAM!$C$26+MAX($G$3-CHOOSE(PARAM!$B$44,MAX(0,F103*$F$1),0),0)*RATES!$L80/12+$H$3*(PARAM!$D$51/12)*RATES!$N80/100</f>
        <v>7.875</v>
      </c>
      <c r="F104" s="16">
        <f t="shared" si="66"/>
        <v>-534.25239701348403</v>
      </c>
      <c r="G104" s="15">
        <f t="shared" si="67"/>
        <v>22.035289406060361</v>
      </c>
      <c r="H104" s="75">
        <f>G104*(1-PARAM!$C$27)*$I$4+(MOD($B104,60)=PARAM!$B$56)*($B104&gt;(60-PARAM!$B$56))*HLOOKUP(($B104+PARAM!$B$56)/12,Loyalty,2)*$F$1*MAX(J103,0)</f>
        <v>18.443537232872522</v>
      </c>
      <c r="I104" s="75">
        <f>PARAM!$C$26+MAX($G$4-CHOOSE(PARAM!$B$44,MAX(0,J103*$F$1),0),0)*RATES!$L80/12+$H$4*(PARAM!$D$51/12)*RATES!$N80/100</f>
        <v>7.875</v>
      </c>
      <c r="J104" s="16">
        <f t="shared" si="68"/>
        <v>-425.44287413412275</v>
      </c>
      <c r="K104" s="15">
        <f t="shared" si="69"/>
        <v>22.170849845882874</v>
      </c>
      <c r="L104" s="75">
        <f>K104*(1-PARAM!$C$27)*$I$5+(MOD($B104,60)=PARAM!$B$56)*($B104&gt;(60-PARAM!$B$56))*HLOOKUP(($B104+PARAM!$B$56)/12,Loyalty,2)*$F$1*MAX(N103,0)</f>
        <v>18.557001321003963</v>
      </c>
      <c r="M104" s="75">
        <f>PARAM!$C$26+MAX($G$5-CHOOSE(PARAM!$B$44,MAX(0,N103*$F$1),0),0)*RATES!$L80/12+$H$5*(PARAM!$D$51/12)*RATES!$N80/100</f>
        <v>7.875</v>
      </c>
      <c r="N104" s="16">
        <f t="shared" si="70"/>
        <v>-417.89405548216251</v>
      </c>
      <c r="O104" s="15">
        <f t="shared" si="71"/>
        <v>22.170849845882874</v>
      </c>
      <c r="P104" s="75">
        <f>O104*(1-PARAM!$C$27)*$I$6+(MOD($B104,60)=PARAM!$B$56)*($B104&gt;(60-PARAM!$B$56))*HLOOKUP(($B104+PARAM!$B$56)/12,Loyalty,2)*$F$1*MAX(R103,0)</f>
        <v>18.557001321003963</v>
      </c>
      <c r="Q104" s="75">
        <f>PARAM!$C$26+MAX($G$6-CHOOSE(PARAM!$B$44,MAX(0,R103*$F$1),0),0)*RATES!$L80/12+$H$6*(PARAM!$D$51/12)*RATES!$N80/100</f>
        <v>7.875</v>
      </c>
      <c r="R104" s="16">
        <f t="shared" si="72"/>
        <v>-417.89405548216251</v>
      </c>
      <c r="S104" s="15">
        <f t="shared" si="47"/>
        <v>22.170849845882874</v>
      </c>
      <c r="T104" s="75">
        <f>S104*(1-PARAM!$C$27)*$I$7+(MOD($B104,60)=PARAM!$B$56)*($B104&gt;(60-PARAM!$B$56))*HLOOKUP(($B104+PARAM!$B$56)/12,Loyalty,2)*$F$1*MAX(V103,0)</f>
        <v>18.557001321003963</v>
      </c>
      <c r="U104" s="75">
        <f>PARAM!$C$26+MAX($G$7-CHOOSE(PARAM!$B$44,MAX(0,V103*$F$1),0),0)*RATES!$L80/12+$H$7*(PARAM!$D$51/12)*RATES!$N80/100</f>
        <v>7.875</v>
      </c>
      <c r="V104" s="16">
        <f t="shared" si="73"/>
        <v>-417.89405548216251</v>
      </c>
      <c r="W104" s="15">
        <f t="shared" si="48"/>
        <v>22.170849845882874</v>
      </c>
      <c r="X104" s="75">
        <f>W104*(1-PARAM!$C$27)*$I$8+(MOD($B104,60)=PARAM!$B$56)*($B104&gt;(60-PARAM!$B$56))*HLOOKUP(($B104+PARAM!$B$56)/12,Loyalty,2)*$F$1*MAX(Z103,0)</f>
        <v>18.557001321003963</v>
      </c>
      <c r="Y104" s="75">
        <f>PARAM!$C$26+MAX($G$8-CHOOSE(PARAM!$B$44,MAX(0,Z103*$F$1),0),0)*RATES!$L80/12+$H$8*(PARAM!$D$51/12)*RATES!$N80/100</f>
        <v>7.875</v>
      </c>
      <c r="Z104" s="16">
        <f t="shared" si="74"/>
        <v>-417.89405548216251</v>
      </c>
      <c r="AA104" s="15">
        <f t="shared" si="49"/>
        <v>22.170849845882874</v>
      </c>
      <c r="AB104" s="75">
        <f>AA104*(1-PARAM!$C$27)*$I$9+(MOD($B104,60)=PARAM!$B$56)*($B104&gt;(60-PARAM!$B$56))*HLOOKUP(($B104+PARAM!$B$56)/12,Loyalty,2)*$F$1*MAX(AD103,0)</f>
        <v>18.557001321003963</v>
      </c>
      <c r="AC104" s="75">
        <f>PARAM!$C$26+MAX($G$9-CHOOSE(PARAM!$B$44,MAX(0,AD103*$F$1),0),0)*RATES!$L80/12+$H$9*(PARAM!$D$51/12)*RATES!$N80/100</f>
        <v>7.875</v>
      </c>
      <c r="AD104" s="16">
        <f t="shared" si="75"/>
        <v>-417.89405548216251</v>
      </c>
      <c r="AE104" s="15">
        <f t="shared" si="50"/>
        <v>22.170849845882874</v>
      </c>
      <c r="AF104" s="75">
        <f>AE104*(1-PARAM!$C$27)*$I$10+(MOD($B104,60)=PARAM!$B$56)*($B104&gt;(60-PARAM!$B$56))*HLOOKUP(($B104+PARAM!$B$56)/12,Loyalty,2)*$F$1*MAX(AH103,0)</f>
        <v>18.557001321003963</v>
      </c>
      <c r="AG104" s="75">
        <f>PARAM!$C$26+MAX($G$10-CHOOSE(PARAM!$B$44,MAX(0,AH103*$F$1),0),0)*RATES!$L80/12+$H$10*(PARAM!$D$51/12)*RATES!$N80/100</f>
        <v>7.875</v>
      </c>
      <c r="AH104" s="16">
        <f t="shared" si="76"/>
        <v>-417.89405548216251</v>
      </c>
      <c r="AI104" s="15">
        <f t="shared" si="51"/>
        <v>22.170849845882874</v>
      </c>
      <c r="AJ104" s="75">
        <f>AI104*(1-PARAM!$C$27)*$I$11+(MOD($B104,60)=PARAM!$B$56)*($B104&gt;(60-PARAM!$B$56))*HLOOKUP(($B104+PARAM!$B$56)/12,Loyalty,2)*$F$1*MAX(AL103,0)</f>
        <v>18.557001321003963</v>
      </c>
      <c r="AK104" s="75">
        <f>PARAM!$C$26+MAX($G$11-CHOOSE(PARAM!$B$44,MAX(0,AL103*$F$1),0),0)*RATES!$L80/12+$H$11*(PARAM!$D$51/12)*RATES!$N80/100</f>
        <v>7.875</v>
      </c>
      <c r="AL104" s="16">
        <f t="shared" si="77"/>
        <v>-417.89405548216251</v>
      </c>
      <c r="AM104" s="15">
        <f t="shared" si="52"/>
        <v>22.170849845882874</v>
      </c>
      <c r="AN104" s="75">
        <f>AM104*(1-PARAM!$C$27)*$I$12+(MOD($B104,60)=PARAM!$B$56)*($B104&gt;(60-PARAM!$B$56))*HLOOKUP(($B104+PARAM!$B$56)/12,Loyalty,2)*$F$1*MAX(AP103,0)</f>
        <v>18.557001321003963</v>
      </c>
      <c r="AO104" s="75">
        <f>PARAM!$C$26+MAX($G$12-CHOOSE(PARAM!$B$44,MAX(0,AP103*$F$1),0),0)*RATES!$L80/12+$H$12*(PARAM!$D$51/12)*RATES!$N80/100</f>
        <v>7.875</v>
      </c>
      <c r="AP104" s="16">
        <f t="shared" si="78"/>
        <v>-417.89405548216251</v>
      </c>
      <c r="AQ104" s="15">
        <f t="shared" si="53"/>
        <v>22.170849845882874</v>
      </c>
      <c r="AR104" s="75">
        <f>AQ104*(1-PARAM!$C$27)*$I$13+(MOD($B104,60)=PARAM!$B$56)*($B104&gt;(60-PARAM!$B$56))*HLOOKUP(($B104+PARAM!$B$56)/12,Loyalty,2)*$F$1*MAX(AT103,0)</f>
        <v>18.557001321003963</v>
      </c>
      <c r="AS104" s="75">
        <f>PARAM!$C$26+MAX($G$13-CHOOSE(PARAM!$B$44,MAX(0,AT103*$F$1),0),0)*RATES!$L80/12+$H$13*(PARAM!$D$51/12)*RATES!$N80/100</f>
        <v>7.875</v>
      </c>
      <c r="AT104" s="16">
        <f t="shared" si="79"/>
        <v>-417.89405548216251</v>
      </c>
      <c r="AU104" s="15">
        <f t="shared" si="54"/>
        <v>22.170849845882874</v>
      </c>
      <c r="AV104" s="75">
        <f>AU104*(1-PARAM!$C$27)*$I$14+(MOD($B104,60)=PARAM!$B$56)*($B104&gt;(60-PARAM!$B$56))*HLOOKUP(($B104+PARAM!$B$56)/12,Loyalty,2)*$F$1*MAX(AX103,0)</f>
        <v>18.557001321003963</v>
      </c>
      <c r="AW104" s="75">
        <f>PARAM!$C$26+MAX($G$14-CHOOSE(PARAM!$B$44,MAX(0,AX103*$F$1),0),0)*RATES!$L80/12+$H$14*(PARAM!$D$51/12)*RATES!$N80/100</f>
        <v>7.875</v>
      </c>
      <c r="AX104" s="16">
        <f t="shared" si="80"/>
        <v>-417.89405548216251</v>
      </c>
      <c r="AY104" s="15">
        <f t="shared" si="55"/>
        <v>22.170849845882874</v>
      </c>
      <c r="AZ104" s="75">
        <f>AY104*(1-PARAM!$C$27)*$I$15+(MOD($B104,60)=PARAM!$B$56)*($B104&gt;(60-PARAM!$B$56))*HLOOKUP(($B104+PARAM!$B$56)/12,Loyalty,2)*$F$1*MAX(BB103,0)</f>
        <v>18.557001321003963</v>
      </c>
      <c r="BA104" s="75">
        <f>PARAM!$C$26+MAX($G$15-CHOOSE(PARAM!$B$44,MAX(0,BB103*$F$1),0),0)*RATES!$L80/12+$H$15*(PARAM!$D$51/12)*RATES!$N80/100</f>
        <v>7.875</v>
      </c>
      <c r="BB104" s="16">
        <f t="shared" si="81"/>
        <v>-417.89405548216251</v>
      </c>
      <c r="BC104" s="15">
        <f t="shared" si="56"/>
        <v>22.170849845882874</v>
      </c>
      <c r="BD104" s="75">
        <f>BC104*(1-PARAM!$C$27)*$I$16+(MOD($B104,60)=PARAM!$B$56)*($B104&gt;(60-PARAM!$B$56))*HLOOKUP(($B104+PARAM!$B$56)/12,Loyalty,2)*$F$1*MAX(BF103,0)</f>
        <v>18.557001321003963</v>
      </c>
      <c r="BE104" s="75">
        <f>PARAM!$C$26+MAX($G$16-CHOOSE(PARAM!$B$44,MAX(0,BF103*$F$1),0),0)*RATES!$L80/12+$H$16*(PARAM!$D$51/12)*RATES!$N80/100</f>
        <v>7.875</v>
      </c>
      <c r="BF104" s="16">
        <f t="shared" si="82"/>
        <v>-417.89405548216251</v>
      </c>
      <c r="BG104" s="15">
        <f t="shared" si="57"/>
        <v>22.170849845882874</v>
      </c>
      <c r="BH104" s="75">
        <f>BG104*(1-PARAM!$C$27)*$I$17+(MOD($B104,60)=PARAM!$B$56)*($B104&gt;(60-PARAM!$B$56))*HLOOKUP(($B104+PARAM!$B$56)/12,Loyalty,2)*$F$1*MAX(BJ103,0)</f>
        <v>18.557001321003963</v>
      </c>
      <c r="BI104" s="75">
        <f>PARAM!$C$26+MAX($G$17-CHOOSE(PARAM!$B$44,MAX(0,BJ103*$F$1),0),0)*RATES!$L80/12+$H$17*(PARAM!$D$51/12)*RATES!$N80/100</f>
        <v>7.875</v>
      </c>
      <c r="BJ104" s="16">
        <f t="shared" si="83"/>
        <v>-417.89405548216251</v>
      </c>
      <c r="BK104" s="15">
        <f t="shared" si="58"/>
        <v>22.170849845882874</v>
      </c>
      <c r="BL104" s="75">
        <f>BK104*(1-PARAM!$C$27)*$I$18+(MOD($B104,60)=PARAM!$B$56)*($B104&gt;(60-PARAM!$B$56))*HLOOKUP(($B104+PARAM!$B$56)/12,Loyalty,2)*$F$1*MAX(BN103,0)</f>
        <v>18.557001321003963</v>
      </c>
      <c r="BM104" s="75">
        <f>PARAM!$C$26+MAX($G$18-CHOOSE(PARAM!$B$44,MAX(0,BN103*$F$1),0),0)*RATES!$L80/12+$H$18*(PARAM!$D$51/12)*RATES!$N80/100</f>
        <v>7.875</v>
      </c>
      <c r="BN104" s="16">
        <f t="shared" si="84"/>
        <v>-417.89405548216251</v>
      </c>
      <c r="BO104" s="15">
        <f t="shared" si="59"/>
        <v>22.170849845882874</v>
      </c>
      <c r="BP104" s="75">
        <f>BO104*(1-PARAM!$C$27)*$I$19+(MOD($B104,60)=PARAM!$B$56)*($B104&gt;(60-PARAM!$B$56))*HLOOKUP(($B104+PARAM!$B$56)/12,Loyalty,2)*$F$1*MAX(BR103,0)</f>
        <v>18.557001321003963</v>
      </c>
      <c r="BQ104" s="75">
        <f>PARAM!$C$26+MAX($G$19-CHOOSE(PARAM!$B$44,MAX(0,BR103*$F$1),0),0)*RATES!$L80/12+$H$19*(PARAM!$D$51/12)*RATES!$N80/100</f>
        <v>7.875</v>
      </c>
      <c r="BR104" s="16">
        <f t="shared" si="85"/>
        <v>-417.89405548216251</v>
      </c>
      <c r="BS104" s="15">
        <f t="shared" si="60"/>
        <v>22.170849845882874</v>
      </c>
      <c r="BT104" s="75">
        <f>BS104*(1-PARAM!$C$27)*$I$20+(MOD($B104,60)=PARAM!$B$56)*($B104&gt;(60-PARAM!$B$56))*HLOOKUP(($B104+PARAM!$B$56)/12,Loyalty,2)*$F$1*MAX(BV103,0)</f>
        <v>18.557001321003963</v>
      </c>
      <c r="BU104" s="75">
        <f>PARAM!$C$26+MAX($G$20-CHOOSE(PARAM!$B$44,MAX(0,BV103*$F$1),0),0)*RATES!$L80/12+$H$20*(PARAM!$D$51/12)*RATES!$N80/100</f>
        <v>7.875</v>
      </c>
      <c r="BV104" s="16">
        <f t="shared" si="86"/>
        <v>-417.89405548216251</v>
      </c>
      <c r="BW104" s="15">
        <f t="shared" si="61"/>
        <v>22.170849845882874</v>
      </c>
      <c r="BX104" s="75">
        <f>BW104*(1-PARAM!$C$27)*$I$21+(MOD($B104,60)=PARAM!$B$56)*($B104&gt;(60-PARAM!$B$56))*HLOOKUP(($B104+PARAM!$B$56)/12,Loyalty,2)*$F$1*MAX(BZ103,0)</f>
        <v>18.557001321003963</v>
      </c>
      <c r="BY104" s="75">
        <f>PARAM!$C$26+MAX($G$21-CHOOSE(PARAM!$B$44,MAX(0,BZ103*$F$1),0),0)*RATES!$L80/12+$H$21*(PARAM!$D$51/12)*RATES!$N80/100</f>
        <v>7.875</v>
      </c>
      <c r="BZ104" s="16">
        <f t="shared" si="87"/>
        <v>-417.89405548216251</v>
      </c>
      <c r="CA104" s="15">
        <f t="shared" si="62"/>
        <v>22.170849845882874</v>
      </c>
      <c r="CB104" s="75">
        <f>CA104*(1-PARAM!$C$27)*$I$22+(MOD($B104,60)=PARAM!$B$56)*($B104&gt;(60-PARAM!$B$56))*HLOOKUP(($B104+PARAM!$B$56)/12,Loyalty,2)*$F$1*MAX(CD103,0)</f>
        <v>18.557001321003963</v>
      </c>
      <c r="CC104" s="75">
        <f>PARAM!$C$26+MAX($G$22-CHOOSE(PARAM!$B$44,MAX(0,CD103*$F$1),0),0)*RATES!$L80/12+$H$22*(PARAM!$D$51/12)*RATES!$N80/100</f>
        <v>7.875</v>
      </c>
      <c r="CD104" s="16">
        <f t="shared" si="88"/>
        <v>-417.89405548216251</v>
      </c>
      <c r="CE104" s="33">
        <f>IF(0=MOD(B104,12/PARAM!$D$51),1,0)</f>
        <v>1</v>
      </c>
      <c r="CF104" s="15">
        <f t="shared" si="63"/>
        <v>0</v>
      </c>
      <c r="CG104" s="75">
        <f>CF104*(1-PARAM!$C$27)*$R$3+(MOD($B104/12,5)=0)*($B104&gt;60)*HLOOKUP($B104/12,Loyalty,2)*$F$1*MAX(CI103,0)</f>
        <v>0</v>
      </c>
      <c r="CH104" s="75">
        <f>PARAM!$C$26+MAX($P$3-CHOOSE(PARAM!$B$44,MAX(0,CI103*$F$1),0),0)*RATES!$L80/12+$Q$3*(PARAM!$D$51/12)*RATES!$N80/100</f>
        <v>7.875</v>
      </c>
      <c r="CI104" s="16">
        <f>IF(CI103&gt;0,CI103*PARAM!$C$53,CI103)+CG104-CH104</f>
        <v>-1652.5</v>
      </c>
      <c r="CJ104" s="15">
        <f t="shared" si="89"/>
        <v>0</v>
      </c>
      <c r="CK104" s="75">
        <f>CJ104*(1-PARAM!$C$27)*$R$4+(MOD($B104/12,5)=0)*($B104&gt;60)*HLOOKUP($B104/12,Loyalty,2)*$F$1*MAX(CM103,0)</f>
        <v>0</v>
      </c>
      <c r="CL104" s="75">
        <f>PARAM!$C$26+MAX($P$4-CHOOSE(PARAM!$B$44,MAX(0,CM103*$F$1),0),0)*RATES!$L80/12+$Q$4*(PARAM!$D$51/12)*RATES!$N80/100</f>
        <v>7.875</v>
      </c>
      <c r="CM104" s="16">
        <f>IF(CM103&gt;0,CM103*PARAM!$C$53,CM103)+CK104-CL104</f>
        <v>-1652.5</v>
      </c>
      <c r="CO104" s="176"/>
    </row>
    <row r="105" spans="1:93" x14ac:dyDescent="0.2">
      <c r="A105" t="b">
        <f t="shared" si="64"/>
        <v>0</v>
      </c>
      <c r="B105" s="33">
        <v>78</v>
      </c>
      <c r="C105" s="15">
        <f t="shared" si="65"/>
        <v>20.081305947392778</v>
      </c>
      <c r="D105" s="75">
        <f>C105*(1-PARAM!$C$27)*$I$3+(MOD($B105,60)=PARAM!$B$56)*($B105&gt;(60-PARAM!$B$56))*HLOOKUP(($B105+PARAM!$B$56)/12,Loyalty,2)*$F$1*MAX(F104,0)</f>
        <v>16.808053077967756</v>
      </c>
      <c r="E105" s="75">
        <f>PARAM!$C$26+MAX($G$3-CHOOSE(PARAM!$B$44,MAX(0,F104*$F$1),0),0)*RATES!$L81/12+$H$3*(PARAM!$D$51/12)*RATES!$N81/100</f>
        <v>8.125</v>
      </c>
      <c r="F105" s="16">
        <f t="shared" si="66"/>
        <v>-525.56934393551626</v>
      </c>
      <c r="G105" s="15">
        <f t="shared" si="67"/>
        <v>22.035289406060361</v>
      </c>
      <c r="H105" s="75">
        <f>G105*(1-PARAM!$C$27)*$I$4+(MOD($B105,60)=PARAM!$B$56)*($B105&gt;(60-PARAM!$B$56))*HLOOKUP(($B105+PARAM!$B$56)/12,Loyalty,2)*$F$1*MAX(J104,0)</f>
        <v>18.443537232872522</v>
      </c>
      <c r="I105" s="75">
        <f>PARAM!$C$26+MAX($G$4-CHOOSE(PARAM!$B$44,MAX(0,J104*$F$1),0),0)*RATES!$L81/12+$H$4*(PARAM!$D$51/12)*RATES!$N81/100</f>
        <v>8.125</v>
      </c>
      <c r="J105" s="16">
        <f t="shared" si="68"/>
        <v>-415.12433690125022</v>
      </c>
      <c r="K105" s="15">
        <f t="shared" si="69"/>
        <v>22.170849845882874</v>
      </c>
      <c r="L105" s="75">
        <f>K105*(1-PARAM!$C$27)*$I$5+(MOD($B105,60)=PARAM!$B$56)*($B105&gt;(60-PARAM!$B$56))*HLOOKUP(($B105+PARAM!$B$56)/12,Loyalty,2)*$F$1*MAX(N104,0)</f>
        <v>18.557001321003963</v>
      </c>
      <c r="M105" s="75">
        <f>PARAM!$C$26+MAX($G$5-CHOOSE(PARAM!$B$44,MAX(0,N104*$F$1),0),0)*RATES!$L81/12+$H$5*(PARAM!$D$51/12)*RATES!$N81/100</f>
        <v>8.125</v>
      </c>
      <c r="N105" s="16">
        <f t="shared" si="70"/>
        <v>-407.46205416115856</v>
      </c>
      <c r="O105" s="15">
        <f t="shared" si="71"/>
        <v>22.170849845882874</v>
      </c>
      <c r="P105" s="75">
        <f>O105*(1-PARAM!$C$27)*$I$6+(MOD($B105,60)=PARAM!$B$56)*($B105&gt;(60-PARAM!$B$56))*HLOOKUP(($B105+PARAM!$B$56)/12,Loyalty,2)*$F$1*MAX(R104,0)</f>
        <v>18.557001321003963</v>
      </c>
      <c r="Q105" s="75">
        <f>PARAM!$C$26+MAX($G$6-CHOOSE(PARAM!$B$44,MAX(0,R104*$F$1),0),0)*RATES!$L81/12+$H$6*(PARAM!$D$51/12)*RATES!$N81/100</f>
        <v>8.125</v>
      </c>
      <c r="R105" s="16">
        <f t="shared" si="72"/>
        <v>-407.46205416115856</v>
      </c>
      <c r="S105" s="15">
        <f t="shared" si="47"/>
        <v>22.170849845882874</v>
      </c>
      <c r="T105" s="75">
        <f>S105*(1-PARAM!$C$27)*$I$7+(MOD($B105,60)=PARAM!$B$56)*($B105&gt;(60-PARAM!$B$56))*HLOOKUP(($B105+PARAM!$B$56)/12,Loyalty,2)*$F$1*MAX(V104,0)</f>
        <v>18.557001321003963</v>
      </c>
      <c r="U105" s="75">
        <f>PARAM!$C$26+MAX($G$7-CHOOSE(PARAM!$B$44,MAX(0,V104*$F$1),0),0)*RATES!$L81/12+$H$7*(PARAM!$D$51/12)*RATES!$N81/100</f>
        <v>8.125</v>
      </c>
      <c r="V105" s="16">
        <f t="shared" si="73"/>
        <v>-407.46205416115856</v>
      </c>
      <c r="W105" s="15">
        <f t="shared" si="48"/>
        <v>22.170849845882874</v>
      </c>
      <c r="X105" s="75">
        <f>W105*(1-PARAM!$C$27)*$I$8+(MOD($B105,60)=PARAM!$B$56)*($B105&gt;(60-PARAM!$B$56))*HLOOKUP(($B105+PARAM!$B$56)/12,Loyalty,2)*$F$1*MAX(Z104,0)</f>
        <v>18.557001321003963</v>
      </c>
      <c r="Y105" s="75">
        <f>PARAM!$C$26+MAX($G$8-CHOOSE(PARAM!$B$44,MAX(0,Z104*$F$1),0),0)*RATES!$L81/12+$H$8*(PARAM!$D$51/12)*RATES!$N81/100</f>
        <v>8.125</v>
      </c>
      <c r="Z105" s="16">
        <f t="shared" si="74"/>
        <v>-407.46205416115856</v>
      </c>
      <c r="AA105" s="15">
        <f t="shared" si="49"/>
        <v>22.170849845882874</v>
      </c>
      <c r="AB105" s="75">
        <f>AA105*(1-PARAM!$C$27)*$I$9+(MOD($B105,60)=PARAM!$B$56)*($B105&gt;(60-PARAM!$B$56))*HLOOKUP(($B105+PARAM!$B$56)/12,Loyalty,2)*$F$1*MAX(AD104,0)</f>
        <v>18.557001321003963</v>
      </c>
      <c r="AC105" s="75">
        <f>PARAM!$C$26+MAX($G$9-CHOOSE(PARAM!$B$44,MAX(0,AD104*$F$1),0),0)*RATES!$L81/12+$H$9*(PARAM!$D$51/12)*RATES!$N81/100</f>
        <v>8.125</v>
      </c>
      <c r="AD105" s="16">
        <f t="shared" si="75"/>
        <v>-407.46205416115856</v>
      </c>
      <c r="AE105" s="15">
        <f t="shared" si="50"/>
        <v>22.170849845882874</v>
      </c>
      <c r="AF105" s="75">
        <f>AE105*(1-PARAM!$C$27)*$I$10+(MOD($B105,60)=PARAM!$B$56)*($B105&gt;(60-PARAM!$B$56))*HLOOKUP(($B105+PARAM!$B$56)/12,Loyalty,2)*$F$1*MAX(AH104,0)</f>
        <v>18.557001321003963</v>
      </c>
      <c r="AG105" s="75">
        <f>PARAM!$C$26+MAX($G$10-CHOOSE(PARAM!$B$44,MAX(0,AH104*$F$1),0),0)*RATES!$L81/12+$H$10*(PARAM!$D$51/12)*RATES!$N81/100</f>
        <v>8.125</v>
      </c>
      <c r="AH105" s="16">
        <f t="shared" si="76"/>
        <v>-407.46205416115856</v>
      </c>
      <c r="AI105" s="15">
        <f t="shared" si="51"/>
        <v>22.170849845882874</v>
      </c>
      <c r="AJ105" s="75">
        <f>AI105*(1-PARAM!$C$27)*$I$11+(MOD($B105,60)=PARAM!$B$56)*($B105&gt;(60-PARAM!$B$56))*HLOOKUP(($B105+PARAM!$B$56)/12,Loyalty,2)*$F$1*MAX(AL104,0)</f>
        <v>18.557001321003963</v>
      </c>
      <c r="AK105" s="75">
        <f>PARAM!$C$26+MAX($G$11-CHOOSE(PARAM!$B$44,MAX(0,AL104*$F$1),0),0)*RATES!$L81/12+$H$11*(PARAM!$D$51/12)*RATES!$N81/100</f>
        <v>8.125</v>
      </c>
      <c r="AL105" s="16">
        <f t="shared" si="77"/>
        <v>-407.46205416115856</v>
      </c>
      <c r="AM105" s="15">
        <f t="shared" si="52"/>
        <v>22.170849845882874</v>
      </c>
      <c r="AN105" s="75">
        <f>AM105*(1-PARAM!$C$27)*$I$12+(MOD($B105,60)=PARAM!$B$56)*($B105&gt;(60-PARAM!$B$56))*HLOOKUP(($B105+PARAM!$B$56)/12,Loyalty,2)*$F$1*MAX(AP104,0)</f>
        <v>18.557001321003963</v>
      </c>
      <c r="AO105" s="75">
        <f>PARAM!$C$26+MAX($G$12-CHOOSE(PARAM!$B$44,MAX(0,AP104*$F$1),0),0)*RATES!$L81/12+$H$12*(PARAM!$D$51/12)*RATES!$N81/100</f>
        <v>8.125</v>
      </c>
      <c r="AP105" s="16">
        <f t="shared" si="78"/>
        <v>-407.46205416115856</v>
      </c>
      <c r="AQ105" s="15">
        <f t="shared" si="53"/>
        <v>22.170849845882874</v>
      </c>
      <c r="AR105" s="75">
        <f>AQ105*(1-PARAM!$C$27)*$I$13+(MOD($B105,60)=PARAM!$B$56)*($B105&gt;(60-PARAM!$B$56))*HLOOKUP(($B105+PARAM!$B$56)/12,Loyalty,2)*$F$1*MAX(AT104,0)</f>
        <v>18.557001321003963</v>
      </c>
      <c r="AS105" s="75">
        <f>PARAM!$C$26+MAX($G$13-CHOOSE(PARAM!$B$44,MAX(0,AT104*$F$1),0),0)*RATES!$L81/12+$H$13*(PARAM!$D$51/12)*RATES!$N81/100</f>
        <v>8.125</v>
      </c>
      <c r="AT105" s="16">
        <f t="shared" si="79"/>
        <v>-407.46205416115856</v>
      </c>
      <c r="AU105" s="15">
        <f t="shared" si="54"/>
        <v>22.170849845882874</v>
      </c>
      <c r="AV105" s="75">
        <f>AU105*(1-PARAM!$C$27)*$I$14+(MOD($B105,60)=PARAM!$B$56)*($B105&gt;(60-PARAM!$B$56))*HLOOKUP(($B105+PARAM!$B$56)/12,Loyalty,2)*$F$1*MAX(AX104,0)</f>
        <v>18.557001321003963</v>
      </c>
      <c r="AW105" s="75">
        <f>PARAM!$C$26+MAX($G$14-CHOOSE(PARAM!$B$44,MAX(0,AX104*$F$1),0),0)*RATES!$L81/12+$H$14*(PARAM!$D$51/12)*RATES!$N81/100</f>
        <v>8.125</v>
      </c>
      <c r="AX105" s="16">
        <f t="shared" si="80"/>
        <v>-407.46205416115856</v>
      </c>
      <c r="AY105" s="15">
        <f t="shared" si="55"/>
        <v>22.170849845882874</v>
      </c>
      <c r="AZ105" s="75">
        <f>AY105*(1-PARAM!$C$27)*$I$15+(MOD($B105,60)=PARAM!$B$56)*($B105&gt;(60-PARAM!$B$56))*HLOOKUP(($B105+PARAM!$B$56)/12,Loyalty,2)*$F$1*MAX(BB104,0)</f>
        <v>18.557001321003963</v>
      </c>
      <c r="BA105" s="75">
        <f>PARAM!$C$26+MAX($G$15-CHOOSE(PARAM!$B$44,MAX(0,BB104*$F$1),0),0)*RATES!$L81/12+$H$15*(PARAM!$D$51/12)*RATES!$N81/100</f>
        <v>8.125</v>
      </c>
      <c r="BB105" s="16">
        <f t="shared" si="81"/>
        <v>-407.46205416115856</v>
      </c>
      <c r="BC105" s="15">
        <f t="shared" si="56"/>
        <v>22.170849845882874</v>
      </c>
      <c r="BD105" s="75">
        <f>BC105*(1-PARAM!$C$27)*$I$16+(MOD($B105,60)=PARAM!$B$56)*($B105&gt;(60-PARAM!$B$56))*HLOOKUP(($B105+PARAM!$B$56)/12,Loyalty,2)*$F$1*MAX(BF104,0)</f>
        <v>18.557001321003963</v>
      </c>
      <c r="BE105" s="75">
        <f>PARAM!$C$26+MAX($G$16-CHOOSE(PARAM!$B$44,MAX(0,BF104*$F$1),0),0)*RATES!$L81/12+$H$16*(PARAM!$D$51/12)*RATES!$N81/100</f>
        <v>8.125</v>
      </c>
      <c r="BF105" s="16">
        <f t="shared" si="82"/>
        <v>-407.46205416115856</v>
      </c>
      <c r="BG105" s="15">
        <f t="shared" si="57"/>
        <v>22.170849845882874</v>
      </c>
      <c r="BH105" s="75">
        <f>BG105*(1-PARAM!$C$27)*$I$17+(MOD($B105,60)=PARAM!$B$56)*($B105&gt;(60-PARAM!$B$56))*HLOOKUP(($B105+PARAM!$B$56)/12,Loyalty,2)*$F$1*MAX(BJ104,0)</f>
        <v>18.557001321003963</v>
      </c>
      <c r="BI105" s="75">
        <f>PARAM!$C$26+MAX($G$17-CHOOSE(PARAM!$B$44,MAX(0,BJ104*$F$1),0),0)*RATES!$L81/12+$H$17*(PARAM!$D$51/12)*RATES!$N81/100</f>
        <v>8.125</v>
      </c>
      <c r="BJ105" s="16">
        <f t="shared" si="83"/>
        <v>-407.46205416115856</v>
      </c>
      <c r="BK105" s="15">
        <f t="shared" si="58"/>
        <v>22.170849845882874</v>
      </c>
      <c r="BL105" s="75">
        <f>BK105*(1-PARAM!$C$27)*$I$18+(MOD($B105,60)=PARAM!$B$56)*($B105&gt;(60-PARAM!$B$56))*HLOOKUP(($B105+PARAM!$B$56)/12,Loyalty,2)*$F$1*MAX(BN104,0)</f>
        <v>18.557001321003963</v>
      </c>
      <c r="BM105" s="75">
        <f>PARAM!$C$26+MAX($G$18-CHOOSE(PARAM!$B$44,MAX(0,BN104*$F$1),0),0)*RATES!$L81/12+$H$18*(PARAM!$D$51/12)*RATES!$N81/100</f>
        <v>8.125</v>
      </c>
      <c r="BN105" s="16">
        <f t="shared" si="84"/>
        <v>-407.46205416115856</v>
      </c>
      <c r="BO105" s="15">
        <f t="shared" si="59"/>
        <v>22.170849845882874</v>
      </c>
      <c r="BP105" s="75">
        <f>BO105*(1-PARAM!$C$27)*$I$19+(MOD($B105,60)=PARAM!$B$56)*($B105&gt;(60-PARAM!$B$56))*HLOOKUP(($B105+PARAM!$B$56)/12,Loyalty,2)*$F$1*MAX(BR104,0)</f>
        <v>18.557001321003963</v>
      </c>
      <c r="BQ105" s="75">
        <f>PARAM!$C$26+MAX($G$19-CHOOSE(PARAM!$B$44,MAX(0,BR104*$F$1),0),0)*RATES!$L81/12+$H$19*(PARAM!$D$51/12)*RATES!$N81/100</f>
        <v>8.125</v>
      </c>
      <c r="BR105" s="16">
        <f t="shared" si="85"/>
        <v>-407.46205416115856</v>
      </c>
      <c r="BS105" s="15">
        <f t="shared" si="60"/>
        <v>22.170849845882874</v>
      </c>
      <c r="BT105" s="75">
        <f>BS105*(1-PARAM!$C$27)*$I$20+(MOD($B105,60)=PARAM!$B$56)*($B105&gt;(60-PARAM!$B$56))*HLOOKUP(($B105+PARAM!$B$56)/12,Loyalty,2)*$F$1*MAX(BV104,0)</f>
        <v>18.557001321003963</v>
      </c>
      <c r="BU105" s="75">
        <f>PARAM!$C$26+MAX($G$20-CHOOSE(PARAM!$B$44,MAX(0,BV104*$F$1),0),0)*RATES!$L81/12+$H$20*(PARAM!$D$51/12)*RATES!$N81/100</f>
        <v>8.125</v>
      </c>
      <c r="BV105" s="16">
        <f t="shared" si="86"/>
        <v>-407.46205416115856</v>
      </c>
      <c r="BW105" s="15">
        <f t="shared" si="61"/>
        <v>22.170849845882874</v>
      </c>
      <c r="BX105" s="75">
        <f>BW105*(1-PARAM!$C$27)*$I$21+(MOD($B105,60)=PARAM!$B$56)*($B105&gt;(60-PARAM!$B$56))*HLOOKUP(($B105+PARAM!$B$56)/12,Loyalty,2)*$F$1*MAX(BZ104,0)</f>
        <v>18.557001321003963</v>
      </c>
      <c r="BY105" s="75">
        <f>PARAM!$C$26+MAX($G$21-CHOOSE(PARAM!$B$44,MAX(0,BZ104*$F$1),0),0)*RATES!$L81/12+$H$21*(PARAM!$D$51/12)*RATES!$N81/100</f>
        <v>8.125</v>
      </c>
      <c r="BZ105" s="16">
        <f t="shared" si="87"/>
        <v>-407.46205416115856</v>
      </c>
      <c r="CA105" s="15">
        <f t="shared" si="62"/>
        <v>22.170849845882874</v>
      </c>
      <c r="CB105" s="75">
        <f>CA105*(1-PARAM!$C$27)*$I$22+(MOD($B105,60)=PARAM!$B$56)*($B105&gt;(60-PARAM!$B$56))*HLOOKUP(($B105+PARAM!$B$56)/12,Loyalty,2)*$F$1*MAX(CD104,0)</f>
        <v>18.557001321003963</v>
      </c>
      <c r="CC105" s="75">
        <f>PARAM!$C$26+MAX($G$22-CHOOSE(PARAM!$B$44,MAX(0,CD104*$F$1),0),0)*RATES!$L81/12+$H$22*(PARAM!$D$51/12)*RATES!$N81/100</f>
        <v>8.125</v>
      </c>
      <c r="CD105" s="16">
        <f t="shared" si="88"/>
        <v>-407.46205416115856</v>
      </c>
      <c r="CE105" s="33">
        <f>IF(0=MOD(B105,12/PARAM!$D$51),1,0)</f>
        <v>1</v>
      </c>
      <c r="CF105" s="15">
        <f t="shared" si="63"/>
        <v>0</v>
      </c>
      <c r="CG105" s="75">
        <f>CF105*(1-PARAM!$C$27)*$R$3+(MOD($B105/12,5)=0)*($B105&gt;60)*HLOOKUP($B105/12,Loyalty,2)*$F$1*MAX(CI104,0)</f>
        <v>0</v>
      </c>
      <c r="CH105" s="75">
        <f>PARAM!$C$26+MAX($P$3-CHOOSE(PARAM!$B$44,MAX(0,CI104*$F$1),0),0)*RATES!$L81/12+$Q$3*(PARAM!$D$51/12)*RATES!$N81/100</f>
        <v>8.125</v>
      </c>
      <c r="CI105" s="16">
        <f>IF(CI104&gt;0,CI104*PARAM!$C$53,CI104)+CG105-CH105</f>
        <v>-1660.625</v>
      </c>
      <c r="CJ105" s="15">
        <f t="shared" si="89"/>
        <v>0</v>
      </c>
      <c r="CK105" s="75">
        <f>CJ105*(1-PARAM!$C$27)*$R$4+(MOD($B105/12,5)=0)*($B105&gt;60)*HLOOKUP($B105/12,Loyalty,2)*$F$1*MAX(CM104,0)</f>
        <v>0</v>
      </c>
      <c r="CL105" s="75">
        <f>PARAM!$C$26+MAX($P$4-CHOOSE(PARAM!$B$44,MAX(0,CM104*$F$1),0),0)*RATES!$L81/12+$Q$4*(PARAM!$D$51/12)*RATES!$N81/100</f>
        <v>8.125</v>
      </c>
      <c r="CM105" s="16">
        <f>IF(CM104&gt;0,CM104*PARAM!$C$53,CM104)+CK105-CL105</f>
        <v>-1660.625</v>
      </c>
      <c r="CO105" s="176"/>
    </row>
    <row r="106" spans="1:93" x14ac:dyDescent="0.2">
      <c r="A106" t="b">
        <f t="shared" si="64"/>
        <v>0</v>
      </c>
      <c r="B106" s="33">
        <v>79</v>
      </c>
      <c r="C106" s="15">
        <f t="shared" si="65"/>
        <v>20.081305947392778</v>
      </c>
      <c r="D106" s="75">
        <f>C106*(1-PARAM!$C$27)*$I$3+(MOD($B106,60)=PARAM!$B$56)*($B106&gt;(60-PARAM!$B$56))*HLOOKUP(($B106+PARAM!$B$56)/12,Loyalty,2)*$F$1*MAX(F105,0)</f>
        <v>16.808053077967756</v>
      </c>
      <c r="E106" s="75">
        <f>PARAM!$C$26+MAX($G$3-CHOOSE(PARAM!$B$44,MAX(0,F105*$F$1),0),0)*RATES!$L82/12+$H$3*(PARAM!$D$51/12)*RATES!$N82/100</f>
        <v>8.125</v>
      </c>
      <c r="F106" s="16">
        <f t="shared" si="66"/>
        <v>-516.88629085754849</v>
      </c>
      <c r="G106" s="15">
        <f t="shared" si="67"/>
        <v>22.035289406060361</v>
      </c>
      <c r="H106" s="75">
        <f>G106*(1-PARAM!$C$27)*$I$4+(MOD($B106,60)=PARAM!$B$56)*($B106&gt;(60-PARAM!$B$56))*HLOOKUP(($B106+PARAM!$B$56)/12,Loyalty,2)*$F$1*MAX(J105,0)</f>
        <v>18.443537232872522</v>
      </c>
      <c r="I106" s="75">
        <f>PARAM!$C$26+MAX($G$4-CHOOSE(PARAM!$B$44,MAX(0,J105*$F$1),0),0)*RATES!$L82/12+$H$4*(PARAM!$D$51/12)*RATES!$N82/100</f>
        <v>8.125</v>
      </c>
      <c r="J106" s="16">
        <f t="shared" si="68"/>
        <v>-404.80579966837769</v>
      </c>
      <c r="K106" s="15">
        <f t="shared" si="69"/>
        <v>22.170849845882874</v>
      </c>
      <c r="L106" s="75">
        <f>K106*(1-PARAM!$C$27)*$I$5+(MOD($B106,60)=PARAM!$B$56)*($B106&gt;(60-PARAM!$B$56))*HLOOKUP(($B106+PARAM!$B$56)/12,Loyalty,2)*$F$1*MAX(N105,0)</f>
        <v>18.557001321003963</v>
      </c>
      <c r="M106" s="75">
        <f>PARAM!$C$26+MAX($G$5-CHOOSE(PARAM!$B$44,MAX(0,N105*$F$1),0),0)*RATES!$L82/12+$H$5*(PARAM!$D$51/12)*RATES!$N82/100</f>
        <v>8.125</v>
      </c>
      <c r="N106" s="16">
        <f t="shared" si="70"/>
        <v>-397.03005284015461</v>
      </c>
      <c r="O106" s="15">
        <f t="shared" si="71"/>
        <v>22.170849845882874</v>
      </c>
      <c r="P106" s="75">
        <f>O106*(1-PARAM!$C$27)*$I$6+(MOD($B106,60)=PARAM!$B$56)*($B106&gt;(60-PARAM!$B$56))*HLOOKUP(($B106+PARAM!$B$56)/12,Loyalty,2)*$F$1*MAX(R105,0)</f>
        <v>18.557001321003963</v>
      </c>
      <c r="Q106" s="75">
        <f>PARAM!$C$26+MAX($G$6-CHOOSE(PARAM!$B$44,MAX(0,R105*$F$1),0),0)*RATES!$L82/12+$H$6*(PARAM!$D$51/12)*RATES!$N82/100</f>
        <v>8.125</v>
      </c>
      <c r="R106" s="16">
        <f t="shared" si="72"/>
        <v>-397.03005284015461</v>
      </c>
      <c r="S106" s="15">
        <f t="shared" si="47"/>
        <v>22.170849845882874</v>
      </c>
      <c r="T106" s="75">
        <f>S106*(1-PARAM!$C$27)*$I$7+(MOD($B106,60)=PARAM!$B$56)*($B106&gt;(60-PARAM!$B$56))*HLOOKUP(($B106+PARAM!$B$56)/12,Loyalty,2)*$F$1*MAX(V105,0)</f>
        <v>18.557001321003963</v>
      </c>
      <c r="U106" s="75">
        <f>PARAM!$C$26+MAX($G$7-CHOOSE(PARAM!$B$44,MAX(0,V105*$F$1),0),0)*RATES!$L82/12+$H$7*(PARAM!$D$51/12)*RATES!$N82/100</f>
        <v>8.125</v>
      </c>
      <c r="V106" s="16">
        <f t="shared" si="73"/>
        <v>-397.03005284015461</v>
      </c>
      <c r="W106" s="15">
        <f t="shared" si="48"/>
        <v>22.170849845882874</v>
      </c>
      <c r="X106" s="75">
        <f>W106*(1-PARAM!$C$27)*$I$8+(MOD($B106,60)=PARAM!$B$56)*($B106&gt;(60-PARAM!$B$56))*HLOOKUP(($B106+PARAM!$B$56)/12,Loyalty,2)*$F$1*MAX(Z105,0)</f>
        <v>18.557001321003963</v>
      </c>
      <c r="Y106" s="75">
        <f>PARAM!$C$26+MAX($G$8-CHOOSE(PARAM!$B$44,MAX(0,Z105*$F$1),0),0)*RATES!$L82/12+$H$8*(PARAM!$D$51/12)*RATES!$N82/100</f>
        <v>8.125</v>
      </c>
      <c r="Z106" s="16">
        <f t="shared" si="74"/>
        <v>-397.03005284015461</v>
      </c>
      <c r="AA106" s="15">
        <f t="shared" si="49"/>
        <v>22.170849845882874</v>
      </c>
      <c r="AB106" s="75">
        <f>AA106*(1-PARAM!$C$27)*$I$9+(MOD($B106,60)=PARAM!$B$56)*($B106&gt;(60-PARAM!$B$56))*HLOOKUP(($B106+PARAM!$B$56)/12,Loyalty,2)*$F$1*MAX(AD105,0)</f>
        <v>18.557001321003963</v>
      </c>
      <c r="AC106" s="75">
        <f>PARAM!$C$26+MAX($G$9-CHOOSE(PARAM!$B$44,MAX(0,AD105*$F$1),0),0)*RATES!$L82/12+$H$9*(PARAM!$D$51/12)*RATES!$N82/100</f>
        <v>8.125</v>
      </c>
      <c r="AD106" s="16">
        <f t="shared" si="75"/>
        <v>-397.03005284015461</v>
      </c>
      <c r="AE106" s="15">
        <f t="shared" si="50"/>
        <v>22.170849845882874</v>
      </c>
      <c r="AF106" s="75">
        <f>AE106*(1-PARAM!$C$27)*$I$10+(MOD($B106,60)=PARAM!$B$56)*($B106&gt;(60-PARAM!$B$56))*HLOOKUP(($B106+PARAM!$B$56)/12,Loyalty,2)*$F$1*MAX(AH105,0)</f>
        <v>18.557001321003963</v>
      </c>
      <c r="AG106" s="75">
        <f>PARAM!$C$26+MAX($G$10-CHOOSE(PARAM!$B$44,MAX(0,AH105*$F$1),0),0)*RATES!$L82/12+$H$10*(PARAM!$D$51/12)*RATES!$N82/100</f>
        <v>8.125</v>
      </c>
      <c r="AH106" s="16">
        <f t="shared" si="76"/>
        <v>-397.03005284015461</v>
      </c>
      <c r="AI106" s="15">
        <f t="shared" si="51"/>
        <v>22.170849845882874</v>
      </c>
      <c r="AJ106" s="75">
        <f>AI106*(1-PARAM!$C$27)*$I$11+(MOD($B106,60)=PARAM!$B$56)*($B106&gt;(60-PARAM!$B$56))*HLOOKUP(($B106+PARAM!$B$56)/12,Loyalty,2)*$F$1*MAX(AL105,0)</f>
        <v>18.557001321003963</v>
      </c>
      <c r="AK106" s="75">
        <f>PARAM!$C$26+MAX($G$11-CHOOSE(PARAM!$B$44,MAX(0,AL105*$F$1),0),0)*RATES!$L82/12+$H$11*(PARAM!$D$51/12)*RATES!$N82/100</f>
        <v>8.125</v>
      </c>
      <c r="AL106" s="16">
        <f t="shared" si="77"/>
        <v>-397.03005284015461</v>
      </c>
      <c r="AM106" s="15">
        <f t="shared" si="52"/>
        <v>22.170849845882874</v>
      </c>
      <c r="AN106" s="75">
        <f>AM106*(1-PARAM!$C$27)*$I$12+(MOD($B106,60)=PARAM!$B$56)*($B106&gt;(60-PARAM!$B$56))*HLOOKUP(($B106+PARAM!$B$56)/12,Loyalty,2)*$F$1*MAX(AP105,0)</f>
        <v>18.557001321003963</v>
      </c>
      <c r="AO106" s="75">
        <f>PARAM!$C$26+MAX($G$12-CHOOSE(PARAM!$B$44,MAX(0,AP105*$F$1),0),0)*RATES!$L82/12+$H$12*(PARAM!$D$51/12)*RATES!$N82/100</f>
        <v>8.125</v>
      </c>
      <c r="AP106" s="16">
        <f t="shared" si="78"/>
        <v>-397.03005284015461</v>
      </c>
      <c r="AQ106" s="15">
        <f t="shared" si="53"/>
        <v>22.170849845882874</v>
      </c>
      <c r="AR106" s="75">
        <f>AQ106*(1-PARAM!$C$27)*$I$13+(MOD($B106,60)=PARAM!$B$56)*($B106&gt;(60-PARAM!$B$56))*HLOOKUP(($B106+PARAM!$B$56)/12,Loyalty,2)*$F$1*MAX(AT105,0)</f>
        <v>18.557001321003963</v>
      </c>
      <c r="AS106" s="75">
        <f>PARAM!$C$26+MAX($G$13-CHOOSE(PARAM!$B$44,MAX(0,AT105*$F$1),0),0)*RATES!$L82/12+$H$13*(PARAM!$D$51/12)*RATES!$N82/100</f>
        <v>8.125</v>
      </c>
      <c r="AT106" s="16">
        <f t="shared" si="79"/>
        <v>-397.03005284015461</v>
      </c>
      <c r="AU106" s="15">
        <f t="shared" si="54"/>
        <v>22.170849845882874</v>
      </c>
      <c r="AV106" s="75">
        <f>AU106*(1-PARAM!$C$27)*$I$14+(MOD($B106,60)=PARAM!$B$56)*($B106&gt;(60-PARAM!$B$56))*HLOOKUP(($B106+PARAM!$B$56)/12,Loyalty,2)*$F$1*MAX(AX105,0)</f>
        <v>18.557001321003963</v>
      </c>
      <c r="AW106" s="75">
        <f>PARAM!$C$26+MAX($G$14-CHOOSE(PARAM!$B$44,MAX(0,AX105*$F$1),0),0)*RATES!$L82/12+$H$14*(PARAM!$D$51/12)*RATES!$N82/100</f>
        <v>8.125</v>
      </c>
      <c r="AX106" s="16">
        <f t="shared" si="80"/>
        <v>-397.03005284015461</v>
      </c>
      <c r="AY106" s="15">
        <f t="shared" si="55"/>
        <v>22.170849845882874</v>
      </c>
      <c r="AZ106" s="75">
        <f>AY106*(1-PARAM!$C$27)*$I$15+(MOD($B106,60)=PARAM!$B$56)*($B106&gt;(60-PARAM!$B$56))*HLOOKUP(($B106+PARAM!$B$56)/12,Loyalty,2)*$F$1*MAX(BB105,0)</f>
        <v>18.557001321003963</v>
      </c>
      <c r="BA106" s="75">
        <f>PARAM!$C$26+MAX($G$15-CHOOSE(PARAM!$B$44,MAX(0,BB105*$F$1),0),0)*RATES!$L82/12+$H$15*(PARAM!$D$51/12)*RATES!$N82/100</f>
        <v>8.125</v>
      </c>
      <c r="BB106" s="16">
        <f t="shared" si="81"/>
        <v>-397.03005284015461</v>
      </c>
      <c r="BC106" s="15">
        <f t="shared" si="56"/>
        <v>22.170849845882874</v>
      </c>
      <c r="BD106" s="75">
        <f>BC106*(1-PARAM!$C$27)*$I$16+(MOD($B106,60)=PARAM!$B$56)*($B106&gt;(60-PARAM!$B$56))*HLOOKUP(($B106+PARAM!$B$56)/12,Loyalty,2)*$F$1*MAX(BF105,0)</f>
        <v>18.557001321003963</v>
      </c>
      <c r="BE106" s="75">
        <f>PARAM!$C$26+MAX($G$16-CHOOSE(PARAM!$B$44,MAX(0,BF105*$F$1),0),0)*RATES!$L82/12+$H$16*(PARAM!$D$51/12)*RATES!$N82/100</f>
        <v>8.125</v>
      </c>
      <c r="BF106" s="16">
        <f t="shared" si="82"/>
        <v>-397.03005284015461</v>
      </c>
      <c r="BG106" s="15">
        <f t="shared" si="57"/>
        <v>22.170849845882874</v>
      </c>
      <c r="BH106" s="75">
        <f>BG106*(1-PARAM!$C$27)*$I$17+(MOD($B106,60)=PARAM!$B$56)*($B106&gt;(60-PARAM!$B$56))*HLOOKUP(($B106+PARAM!$B$56)/12,Loyalty,2)*$F$1*MAX(BJ105,0)</f>
        <v>18.557001321003963</v>
      </c>
      <c r="BI106" s="75">
        <f>PARAM!$C$26+MAX($G$17-CHOOSE(PARAM!$B$44,MAX(0,BJ105*$F$1),0),0)*RATES!$L82/12+$H$17*(PARAM!$D$51/12)*RATES!$N82/100</f>
        <v>8.125</v>
      </c>
      <c r="BJ106" s="16">
        <f t="shared" si="83"/>
        <v>-397.03005284015461</v>
      </c>
      <c r="BK106" s="15">
        <f t="shared" si="58"/>
        <v>22.170849845882874</v>
      </c>
      <c r="BL106" s="75">
        <f>BK106*(1-PARAM!$C$27)*$I$18+(MOD($B106,60)=PARAM!$B$56)*($B106&gt;(60-PARAM!$B$56))*HLOOKUP(($B106+PARAM!$B$56)/12,Loyalty,2)*$F$1*MAX(BN105,0)</f>
        <v>18.557001321003963</v>
      </c>
      <c r="BM106" s="75">
        <f>PARAM!$C$26+MAX($G$18-CHOOSE(PARAM!$B$44,MAX(0,BN105*$F$1),0),0)*RATES!$L82/12+$H$18*(PARAM!$D$51/12)*RATES!$N82/100</f>
        <v>8.125</v>
      </c>
      <c r="BN106" s="16">
        <f t="shared" si="84"/>
        <v>-397.03005284015461</v>
      </c>
      <c r="BO106" s="15">
        <f t="shared" si="59"/>
        <v>22.170849845882874</v>
      </c>
      <c r="BP106" s="75">
        <f>BO106*(1-PARAM!$C$27)*$I$19+(MOD($B106,60)=PARAM!$B$56)*($B106&gt;(60-PARAM!$B$56))*HLOOKUP(($B106+PARAM!$B$56)/12,Loyalty,2)*$F$1*MAX(BR105,0)</f>
        <v>18.557001321003963</v>
      </c>
      <c r="BQ106" s="75">
        <f>PARAM!$C$26+MAX($G$19-CHOOSE(PARAM!$B$44,MAX(0,BR105*$F$1),0),0)*RATES!$L82/12+$H$19*(PARAM!$D$51/12)*RATES!$N82/100</f>
        <v>8.125</v>
      </c>
      <c r="BR106" s="16">
        <f t="shared" si="85"/>
        <v>-397.03005284015461</v>
      </c>
      <c r="BS106" s="15">
        <f t="shared" si="60"/>
        <v>22.170849845882874</v>
      </c>
      <c r="BT106" s="75">
        <f>BS106*(1-PARAM!$C$27)*$I$20+(MOD($B106,60)=PARAM!$B$56)*($B106&gt;(60-PARAM!$B$56))*HLOOKUP(($B106+PARAM!$B$56)/12,Loyalty,2)*$F$1*MAX(BV105,0)</f>
        <v>18.557001321003963</v>
      </c>
      <c r="BU106" s="75">
        <f>PARAM!$C$26+MAX($G$20-CHOOSE(PARAM!$B$44,MAX(0,BV105*$F$1),0),0)*RATES!$L82/12+$H$20*(PARAM!$D$51/12)*RATES!$N82/100</f>
        <v>8.125</v>
      </c>
      <c r="BV106" s="16">
        <f t="shared" si="86"/>
        <v>-397.03005284015461</v>
      </c>
      <c r="BW106" s="15">
        <f t="shared" si="61"/>
        <v>22.170849845882874</v>
      </c>
      <c r="BX106" s="75">
        <f>BW106*(1-PARAM!$C$27)*$I$21+(MOD($B106,60)=PARAM!$B$56)*($B106&gt;(60-PARAM!$B$56))*HLOOKUP(($B106+PARAM!$B$56)/12,Loyalty,2)*$F$1*MAX(BZ105,0)</f>
        <v>18.557001321003963</v>
      </c>
      <c r="BY106" s="75">
        <f>PARAM!$C$26+MAX($G$21-CHOOSE(PARAM!$B$44,MAX(0,BZ105*$F$1),0),0)*RATES!$L82/12+$H$21*(PARAM!$D$51/12)*RATES!$N82/100</f>
        <v>8.125</v>
      </c>
      <c r="BZ106" s="16">
        <f t="shared" si="87"/>
        <v>-397.03005284015461</v>
      </c>
      <c r="CA106" s="15">
        <f t="shared" si="62"/>
        <v>22.170849845882874</v>
      </c>
      <c r="CB106" s="75">
        <f>CA106*(1-PARAM!$C$27)*$I$22+(MOD($B106,60)=PARAM!$B$56)*($B106&gt;(60-PARAM!$B$56))*HLOOKUP(($B106+PARAM!$B$56)/12,Loyalty,2)*$F$1*MAX(CD105,0)</f>
        <v>18.557001321003963</v>
      </c>
      <c r="CC106" s="75">
        <f>PARAM!$C$26+MAX($G$22-CHOOSE(PARAM!$B$44,MAX(0,CD105*$F$1),0),0)*RATES!$L82/12+$H$22*(PARAM!$D$51/12)*RATES!$N82/100</f>
        <v>8.125</v>
      </c>
      <c r="CD106" s="16">
        <f t="shared" si="88"/>
        <v>-397.03005284015461</v>
      </c>
      <c r="CE106" s="33">
        <f>IF(0=MOD(B106,12/PARAM!$D$51),1,0)</f>
        <v>1</v>
      </c>
      <c r="CF106" s="15">
        <f t="shared" si="63"/>
        <v>0</v>
      </c>
      <c r="CG106" s="75">
        <f>CF106*(1-PARAM!$C$27)*$R$3+(MOD($B106/12,5)=0)*($B106&gt;60)*HLOOKUP($B106/12,Loyalty,2)*$F$1*MAX(CI105,0)</f>
        <v>0</v>
      </c>
      <c r="CH106" s="75">
        <f>PARAM!$C$26+MAX($P$3-CHOOSE(PARAM!$B$44,MAX(0,CI105*$F$1),0),0)*RATES!$L82/12+$Q$3*(PARAM!$D$51/12)*RATES!$N82/100</f>
        <v>8.125</v>
      </c>
      <c r="CI106" s="16">
        <f>IF(CI105&gt;0,CI105*PARAM!$C$53,CI105)+CG106-CH106</f>
        <v>-1668.75</v>
      </c>
      <c r="CJ106" s="15">
        <f t="shared" si="89"/>
        <v>0</v>
      </c>
      <c r="CK106" s="75">
        <f>CJ106*(1-PARAM!$C$27)*$R$4+(MOD($B106/12,5)=0)*($B106&gt;60)*HLOOKUP($B106/12,Loyalty,2)*$F$1*MAX(CM105,0)</f>
        <v>0</v>
      </c>
      <c r="CL106" s="75">
        <f>PARAM!$C$26+MAX($P$4-CHOOSE(PARAM!$B$44,MAX(0,CM105*$F$1),0),0)*RATES!$L82/12+$Q$4*(PARAM!$D$51/12)*RATES!$N82/100</f>
        <v>8.125</v>
      </c>
      <c r="CM106" s="16">
        <f>IF(CM105&gt;0,CM105*PARAM!$C$53,CM105)+CK106-CL106</f>
        <v>-1668.75</v>
      </c>
      <c r="CO106" s="176"/>
    </row>
    <row r="107" spans="1:93" x14ac:dyDescent="0.2">
      <c r="A107" t="b">
        <f t="shared" si="64"/>
        <v>0</v>
      </c>
      <c r="B107" s="33">
        <v>80</v>
      </c>
      <c r="C107" s="15">
        <f t="shared" si="65"/>
        <v>20.081305947392778</v>
      </c>
      <c r="D107" s="75">
        <f>C107*(1-PARAM!$C$27)*$I$3+(MOD($B107,60)=PARAM!$B$56)*($B107&gt;(60-PARAM!$B$56))*HLOOKUP(($B107+PARAM!$B$56)/12,Loyalty,2)*$F$1*MAX(F106,0)</f>
        <v>16.808053077967756</v>
      </c>
      <c r="E107" s="75">
        <f>PARAM!$C$26+MAX($G$3-CHOOSE(PARAM!$B$44,MAX(0,F106*$F$1),0),0)*RATES!$L83/12+$H$3*(PARAM!$D$51/12)*RATES!$N83/100</f>
        <v>8.125</v>
      </c>
      <c r="F107" s="16">
        <f t="shared" si="66"/>
        <v>-508.20323777958072</v>
      </c>
      <c r="G107" s="15">
        <f t="shared" si="67"/>
        <v>22.035289406060361</v>
      </c>
      <c r="H107" s="75">
        <f>G107*(1-PARAM!$C$27)*$I$4+(MOD($B107,60)=PARAM!$B$56)*($B107&gt;(60-PARAM!$B$56))*HLOOKUP(($B107+PARAM!$B$56)/12,Loyalty,2)*$F$1*MAX(J106,0)</f>
        <v>18.443537232872522</v>
      </c>
      <c r="I107" s="75">
        <f>PARAM!$C$26+MAX($G$4-CHOOSE(PARAM!$B$44,MAX(0,J106*$F$1),0),0)*RATES!$L83/12+$H$4*(PARAM!$D$51/12)*RATES!$N83/100</f>
        <v>8.125</v>
      </c>
      <c r="J107" s="16">
        <f t="shared" si="68"/>
        <v>-394.48726243550516</v>
      </c>
      <c r="K107" s="15">
        <f t="shared" si="69"/>
        <v>22.170849845882874</v>
      </c>
      <c r="L107" s="75">
        <f>K107*(1-PARAM!$C$27)*$I$5+(MOD($B107,60)=PARAM!$B$56)*($B107&gt;(60-PARAM!$B$56))*HLOOKUP(($B107+PARAM!$B$56)/12,Loyalty,2)*$F$1*MAX(N106,0)</f>
        <v>18.557001321003963</v>
      </c>
      <c r="M107" s="75">
        <f>PARAM!$C$26+MAX($G$5-CHOOSE(PARAM!$B$44,MAX(0,N106*$F$1),0),0)*RATES!$L83/12+$H$5*(PARAM!$D$51/12)*RATES!$N83/100</f>
        <v>8.125</v>
      </c>
      <c r="N107" s="16">
        <f t="shared" si="70"/>
        <v>-386.59805151915066</v>
      </c>
      <c r="O107" s="15">
        <f t="shared" si="71"/>
        <v>22.170849845882874</v>
      </c>
      <c r="P107" s="75">
        <f>O107*(1-PARAM!$C$27)*$I$6+(MOD($B107,60)=PARAM!$B$56)*($B107&gt;(60-PARAM!$B$56))*HLOOKUP(($B107+PARAM!$B$56)/12,Loyalty,2)*$F$1*MAX(R106,0)</f>
        <v>18.557001321003963</v>
      </c>
      <c r="Q107" s="75">
        <f>PARAM!$C$26+MAX($G$6-CHOOSE(PARAM!$B$44,MAX(0,R106*$F$1),0),0)*RATES!$L83/12+$H$6*(PARAM!$D$51/12)*RATES!$N83/100</f>
        <v>8.125</v>
      </c>
      <c r="R107" s="16">
        <f t="shared" si="72"/>
        <v>-386.59805151915066</v>
      </c>
      <c r="S107" s="15">
        <f t="shared" si="47"/>
        <v>22.170849845882874</v>
      </c>
      <c r="T107" s="75">
        <f>S107*(1-PARAM!$C$27)*$I$7+(MOD($B107,60)=PARAM!$B$56)*($B107&gt;(60-PARAM!$B$56))*HLOOKUP(($B107+PARAM!$B$56)/12,Loyalty,2)*$F$1*MAX(V106,0)</f>
        <v>18.557001321003963</v>
      </c>
      <c r="U107" s="75">
        <f>PARAM!$C$26+MAX($G$7-CHOOSE(PARAM!$B$44,MAX(0,V106*$F$1),0),0)*RATES!$L83/12+$H$7*(PARAM!$D$51/12)*RATES!$N83/100</f>
        <v>8.125</v>
      </c>
      <c r="V107" s="16">
        <f t="shared" si="73"/>
        <v>-386.59805151915066</v>
      </c>
      <c r="W107" s="15">
        <f t="shared" si="48"/>
        <v>22.170849845882874</v>
      </c>
      <c r="X107" s="75">
        <f>W107*(1-PARAM!$C$27)*$I$8+(MOD($B107,60)=PARAM!$B$56)*($B107&gt;(60-PARAM!$B$56))*HLOOKUP(($B107+PARAM!$B$56)/12,Loyalty,2)*$F$1*MAX(Z106,0)</f>
        <v>18.557001321003963</v>
      </c>
      <c r="Y107" s="75">
        <f>PARAM!$C$26+MAX($G$8-CHOOSE(PARAM!$B$44,MAX(0,Z106*$F$1),0),0)*RATES!$L83/12+$H$8*(PARAM!$D$51/12)*RATES!$N83/100</f>
        <v>8.125</v>
      </c>
      <c r="Z107" s="16">
        <f t="shared" si="74"/>
        <v>-386.59805151915066</v>
      </c>
      <c r="AA107" s="15">
        <f t="shared" si="49"/>
        <v>22.170849845882874</v>
      </c>
      <c r="AB107" s="75">
        <f>AA107*(1-PARAM!$C$27)*$I$9+(MOD($B107,60)=PARAM!$B$56)*($B107&gt;(60-PARAM!$B$56))*HLOOKUP(($B107+PARAM!$B$56)/12,Loyalty,2)*$F$1*MAX(AD106,0)</f>
        <v>18.557001321003963</v>
      </c>
      <c r="AC107" s="75">
        <f>PARAM!$C$26+MAX($G$9-CHOOSE(PARAM!$B$44,MAX(0,AD106*$F$1),0),0)*RATES!$L83/12+$H$9*(PARAM!$D$51/12)*RATES!$N83/100</f>
        <v>8.125</v>
      </c>
      <c r="AD107" s="16">
        <f t="shared" si="75"/>
        <v>-386.59805151915066</v>
      </c>
      <c r="AE107" s="15">
        <f t="shared" si="50"/>
        <v>22.170849845882874</v>
      </c>
      <c r="AF107" s="75">
        <f>AE107*(1-PARAM!$C$27)*$I$10+(MOD($B107,60)=PARAM!$B$56)*($B107&gt;(60-PARAM!$B$56))*HLOOKUP(($B107+PARAM!$B$56)/12,Loyalty,2)*$F$1*MAX(AH106,0)</f>
        <v>18.557001321003963</v>
      </c>
      <c r="AG107" s="75">
        <f>PARAM!$C$26+MAX($G$10-CHOOSE(PARAM!$B$44,MAX(0,AH106*$F$1),0),0)*RATES!$L83/12+$H$10*(PARAM!$D$51/12)*RATES!$N83/100</f>
        <v>8.125</v>
      </c>
      <c r="AH107" s="16">
        <f t="shared" si="76"/>
        <v>-386.59805151915066</v>
      </c>
      <c r="AI107" s="15">
        <f t="shared" si="51"/>
        <v>22.170849845882874</v>
      </c>
      <c r="AJ107" s="75">
        <f>AI107*(1-PARAM!$C$27)*$I$11+(MOD($B107,60)=PARAM!$B$56)*($B107&gt;(60-PARAM!$B$56))*HLOOKUP(($B107+PARAM!$B$56)/12,Loyalty,2)*$F$1*MAX(AL106,0)</f>
        <v>18.557001321003963</v>
      </c>
      <c r="AK107" s="75">
        <f>PARAM!$C$26+MAX($G$11-CHOOSE(PARAM!$B$44,MAX(0,AL106*$F$1),0),0)*RATES!$L83/12+$H$11*(PARAM!$D$51/12)*RATES!$N83/100</f>
        <v>8.125</v>
      </c>
      <c r="AL107" s="16">
        <f t="shared" si="77"/>
        <v>-386.59805151915066</v>
      </c>
      <c r="AM107" s="15">
        <f t="shared" si="52"/>
        <v>22.170849845882874</v>
      </c>
      <c r="AN107" s="75">
        <f>AM107*(1-PARAM!$C$27)*$I$12+(MOD($B107,60)=PARAM!$B$56)*($B107&gt;(60-PARAM!$B$56))*HLOOKUP(($B107+PARAM!$B$56)/12,Loyalty,2)*$F$1*MAX(AP106,0)</f>
        <v>18.557001321003963</v>
      </c>
      <c r="AO107" s="75">
        <f>PARAM!$C$26+MAX($G$12-CHOOSE(PARAM!$B$44,MAX(0,AP106*$F$1),0),0)*RATES!$L83/12+$H$12*(PARAM!$D$51/12)*RATES!$N83/100</f>
        <v>8.125</v>
      </c>
      <c r="AP107" s="16">
        <f t="shared" si="78"/>
        <v>-386.59805151915066</v>
      </c>
      <c r="AQ107" s="15">
        <f t="shared" si="53"/>
        <v>22.170849845882874</v>
      </c>
      <c r="AR107" s="75">
        <f>AQ107*(1-PARAM!$C$27)*$I$13+(MOD($B107,60)=PARAM!$B$56)*($B107&gt;(60-PARAM!$B$56))*HLOOKUP(($B107+PARAM!$B$56)/12,Loyalty,2)*$F$1*MAX(AT106,0)</f>
        <v>18.557001321003963</v>
      </c>
      <c r="AS107" s="75">
        <f>PARAM!$C$26+MAX($G$13-CHOOSE(PARAM!$B$44,MAX(0,AT106*$F$1),0),0)*RATES!$L83/12+$H$13*(PARAM!$D$51/12)*RATES!$N83/100</f>
        <v>8.125</v>
      </c>
      <c r="AT107" s="16">
        <f t="shared" si="79"/>
        <v>-386.59805151915066</v>
      </c>
      <c r="AU107" s="15">
        <f t="shared" si="54"/>
        <v>22.170849845882874</v>
      </c>
      <c r="AV107" s="75">
        <f>AU107*(1-PARAM!$C$27)*$I$14+(MOD($B107,60)=PARAM!$B$56)*($B107&gt;(60-PARAM!$B$56))*HLOOKUP(($B107+PARAM!$B$56)/12,Loyalty,2)*$F$1*MAX(AX106,0)</f>
        <v>18.557001321003963</v>
      </c>
      <c r="AW107" s="75">
        <f>PARAM!$C$26+MAX($G$14-CHOOSE(PARAM!$B$44,MAX(0,AX106*$F$1),0),0)*RATES!$L83/12+$H$14*(PARAM!$D$51/12)*RATES!$N83/100</f>
        <v>8.125</v>
      </c>
      <c r="AX107" s="16">
        <f t="shared" si="80"/>
        <v>-386.59805151915066</v>
      </c>
      <c r="AY107" s="15">
        <f t="shared" si="55"/>
        <v>22.170849845882874</v>
      </c>
      <c r="AZ107" s="75">
        <f>AY107*(1-PARAM!$C$27)*$I$15+(MOD($B107,60)=PARAM!$B$56)*($B107&gt;(60-PARAM!$B$56))*HLOOKUP(($B107+PARAM!$B$56)/12,Loyalty,2)*$F$1*MAX(BB106,0)</f>
        <v>18.557001321003963</v>
      </c>
      <c r="BA107" s="75">
        <f>PARAM!$C$26+MAX($G$15-CHOOSE(PARAM!$B$44,MAX(0,BB106*$F$1),0),0)*RATES!$L83/12+$H$15*(PARAM!$D$51/12)*RATES!$N83/100</f>
        <v>8.125</v>
      </c>
      <c r="BB107" s="16">
        <f t="shared" si="81"/>
        <v>-386.59805151915066</v>
      </c>
      <c r="BC107" s="15">
        <f t="shared" si="56"/>
        <v>22.170849845882874</v>
      </c>
      <c r="BD107" s="75">
        <f>BC107*(1-PARAM!$C$27)*$I$16+(MOD($B107,60)=PARAM!$B$56)*($B107&gt;(60-PARAM!$B$56))*HLOOKUP(($B107+PARAM!$B$56)/12,Loyalty,2)*$F$1*MAX(BF106,0)</f>
        <v>18.557001321003963</v>
      </c>
      <c r="BE107" s="75">
        <f>PARAM!$C$26+MAX($G$16-CHOOSE(PARAM!$B$44,MAX(0,BF106*$F$1),0),0)*RATES!$L83/12+$H$16*(PARAM!$D$51/12)*RATES!$N83/100</f>
        <v>8.125</v>
      </c>
      <c r="BF107" s="16">
        <f t="shared" si="82"/>
        <v>-386.59805151915066</v>
      </c>
      <c r="BG107" s="15">
        <f t="shared" si="57"/>
        <v>22.170849845882874</v>
      </c>
      <c r="BH107" s="75">
        <f>BG107*(1-PARAM!$C$27)*$I$17+(MOD($B107,60)=PARAM!$B$56)*($B107&gt;(60-PARAM!$B$56))*HLOOKUP(($B107+PARAM!$B$56)/12,Loyalty,2)*$F$1*MAX(BJ106,0)</f>
        <v>18.557001321003963</v>
      </c>
      <c r="BI107" s="75">
        <f>PARAM!$C$26+MAX($G$17-CHOOSE(PARAM!$B$44,MAX(0,BJ106*$F$1),0),0)*RATES!$L83/12+$H$17*(PARAM!$D$51/12)*RATES!$N83/100</f>
        <v>8.125</v>
      </c>
      <c r="BJ107" s="16">
        <f t="shared" si="83"/>
        <v>-386.59805151915066</v>
      </c>
      <c r="BK107" s="15">
        <f t="shared" si="58"/>
        <v>22.170849845882874</v>
      </c>
      <c r="BL107" s="75">
        <f>BK107*(1-PARAM!$C$27)*$I$18+(MOD($B107,60)=PARAM!$B$56)*($B107&gt;(60-PARAM!$B$56))*HLOOKUP(($B107+PARAM!$B$56)/12,Loyalty,2)*$F$1*MAX(BN106,0)</f>
        <v>18.557001321003963</v>
      </c>
      <c r="BM107" s="75">
        <f>PARAM!$C$26+MAX($G$18-CHOOSE(PARAM!$B$44,MAX(0,BN106*$F$1),0),0)*RATES!$L83/12+$H$18*(PARAM!$D$51/12)*RATES!$N83/100</f>
        <v>8.125</v>
      </c>
      <c r="BN107" s="16">
        <f t="shared" si="84"/>
        <v>-386.59805151915066</v>
      </c>
      <c r="BO107" s="15">
        <f t="shared" si="59"/>
        <v>22.170849845882874</v>
      </c>
      <c r="BP107" s="75">
        <f>BO107*(1-PARAM!$C$27)*$I$19+(MOD($B107,60)=PARAM!$B$56)*($B107&gt;(60-PARAM!$B$56))*HLOOKUP(($B107+PARAM!$B$56)/12,Loyalty,2)*$F$1*MAX(BR106,0)</f>
        <v>18.557001321003963</v>
      </c>
      <c r="BQ107" s="75">
        <f>PARAM!$C$26+MAX($G$19-CHOOSE(PARAM!$B$44,MAX(0,BR106*$F$1),0),0)*RATES!$L83/12+$H$19*(PARAM!$D$51/12)*RATES!$N83/100</f>
        <v>8.125</v>
      </c>
      <c r="BR107" s="16">
        <f t="shared" si="85"/>
        <v>-386.59805151915066</v>
      </c>
      <c r="BS107" s="15">
        <f t="shared" si="60"/>
        <v>22.170849845882874</v>
      </c>
      <c r="BT107" s="75">
        <f>BS107*(1-PARAM!$C$27)*$I$20+(MOD($B107,60)=PARAM!$B$56)*($B107&gt;(60-PARAM!$B$56))*HLOOKUP(($B107+PARAM!$B$56)/12,Loyalty,2)*$F$1*MAX(BV106,0)</f>
        <v>18.557001321003963</v>
      </c>
      <c r="BU107" s="75">
        <f>PARAM!$C$26+MAX($G$20-CHOOSE(PARAM!$B$44,MAX(0,BV106*$F$1),0),0)*RATES!$L83/12+$H$20*(PARAM!$D$51/12)*RATES!$N83/100</f>
        <v>8.125</v>
      </c>
      <c r="BV107" s="16">
        <f t="shared" si="86"/>
        <v>-386.59805151915066</v>
      </c>
      <c r="BW107" s="15">
        <f t="shared" si="61"/>
        <v>22.170849845882874</v>
      </c>
      <c r="BX107" s="75">
        <f>BW107*(1-PARAM!$C$27)*$I$21+(MOD($B107,60)=PARAM!$B$56)*($B107&gt;(60-PARAM!$B$56))*HLOOKUP(($B107+PARAM!$B$56)/12,Loyalty,2)*$F$1*MAX(BZ106,0)</f>
        <v>18.557001321003963</v>
      </c>
      <c r="BY107" s="75">
        <f>PARAM!$C$26+MAX($G$21-CHOOSE(PARAM!$B$44,MAX(0,BZ106*$F$1),0),0)*RATES!$L83/12+$H$21*(PARAM!$D$51/12)*RATES!$N83/100</f>
        <v>8.125</v>
      </c>
      <c r="BZ107" s="16">
        <f t="shared" si="87"/>
        <v>-386.59805151915066</v>
      </c>
      <c r="CA107" s="15">
        <f t="shared" si="62"/>
        <v>22.170849845882874</v>
      </c>
      <c r="CB107" s="75">
        <f>CA107*(1-PARAM!$C$27)*$I$22+(MOD($B107,60)=PARAM!$B$56)*($B107&gt;(60-PARAM!$B$56))*HLOOKUP(($B107+PARAM!$B$56)/12,Loyalty,2)*$F$1*MAX(CD106,0)</f>
        <v>18.557001321003963</v>
      </c>
      <c r="CC107" s="75">
        <f>PARAM!$C$26+MAX($G$22-CHOOSE(PARAM!$B$44,MAX(0,CD106*$F$1),0),0)*RATES!$L83/12+$H$22*(PARAM!$D$51/12)*RATES!$N83/100</f>
        <v>8.125</v>
      </c>
      <c r="CD107" s="16">
        <f t="shared" si="88"/>
        <v>-386.59805151915066</v>
      </c>
      <c r="CE107" s="33">
        <f>IF(0=MOD(B107,12/PARAM!$D$51),1,0)</f>
        <v>1</v>
      </c>
      <c r="CF107" s="15">
        <f t="shared" si="63"/>
        <v>0</v>
      </c>
      <c r="CG107" s="75">
        <f>CF107*(1-PARAM!$C$27)*$R$3+(MOD($B107/12,5)=0)*($B107&gt;60)*HLOOKUP($B107/12,Loyalty,2)*$F$1*MAX(CI106,0)</f>
        <v>0</v>
      </c>
      <c r="CH107" s="75">
        <f>PARAM!$C$26+MAX($P$3-CHOOSE(PARAM!$B$44,MAX(0,CI106*$F$1),0),0)*RATES!$L83/12+$Q$3*(PARAM!$D$51/12)*RATES!$N83/100</f>
        <v>8.125</v>
      </c>
      <c r="CI107" s="16">
        <f>IF(CI106&gt;0,CI106*PARAM!$C$53,CI106)+CG107-CH107</f>
        <v>-1676.875</v>
      </c>
      <c r="CJ107" s="15">
        <f t="shared" si="89"/>
        <v>0</v>
      </c>
      <c r="CK107" s="75">
        <f>CJ107*(1-PARAM!$C$27)*$R$4+(MOD($B107/12,5)=0)*($B107&gt;60)*HLOOKUP($B107/12,Loyalty,2)*$F$1*MAX(CM106,0)</f>
        <v>0</v>
      </c>
      <c r="CL107" s="75">
        <f>PARAM!$C$26+MAX($P$4-CHOOSE(PARAM!$B$44,MAX(0,CM106*$F$1),0),0)*RATES!$L83/12+$Q$4*(PARAM!$D$51/12)*RATES!$N83/100</f>
        <v>8.125</v>
      </c>
      <c r="CM107" s="16">
        <f>IF(CM106&gt;0,CM106*PARAM!$C$53,CM106)+CK107-CL107</f>
        <v>-1676.875</v>
      </c>
      <c r="CO107" s="176"/>
    </row>
    <row r="108" spans="1:93" x14ac:dyDescent="0.2">
      <c r="A108" t="b">
        <f t="shared" si="64"/>
        <v>0</v>
      </c>
      <c r="B108" s="33">
        <v>81</v>
      </c>
      <c r="C108" s="15">
        <f t="shared" si="65"/>
        <v>20.081305947392778</v>
      </c>
      <c r="D108" s="75">
        <f>C108*(1-PARAM!$C$27)*$I$3+(MOD($B108,60)=PARAM!$B$56)*($B108&gt;(60-PARAM!$B$56))*HLOOKUP(($B108+PARAM!$B$56)/12,Loyalty,2)*$F$1*MAX(F107,0)</f>
        <v>16.808053077967756</v>
      </c>
      <c r="E108" s="75">
        <f>PARAM!$C$26+MAX($G$3-CHOOSE(PARAM!$B$44,MAX(0,F107*$F$1),0),0)*RATES!$L84/12+$H$3*(PARAM!$D$51/12)*RATES!$N84/100</f>
        <v>8.125</v>
      </c>
      <c r="F108" s="16">
        <f t="shared" si="66"/>
        <v>-499.52018470161295</v>
      </c>
      <c r="G108" s="15">
        <f t="shared" si="67"/>
        <v>22.035289406060361</v>
      </c>
      <c r="H108" s="75">
        <f>G108*(1-PARAM!$C$27)*$I$4+(MOD($B108,60)=PARAM!$B$56)*($B108&gt;(60-PARAM!$B$56))*HLOOKUP(($B108+PARAM!$B$56)/12,Loyalty,2)*$F$1*MAX(J107,0)</f>
        <v>18.443537232872522</v>
      </c>
      <c r="I108" s="75">
        <f>PARAM!$C$26+MAX($G$4-CHOOSE(PARAM!$B$44,MAX(0,J107*$F$1),0),0)*RATES!$L84/12+$H$4*(PARAM!$D$51/12)*RATES!$N84/100</f>
        <v>8.125</v>
      </c>
      <c r="J108" s="16">
        <f t="shared" si="68"/>
        <v>-384.16872520263263</v>
      </c>
      <c r="K108" s="15">
        <f t="shared" si="69"/>
        <v>22.170849845882874</v>
      </c>
      <c r="L108" s="75">
        <f>K108*(1-PARAM!$C$27)*$I$5+(MOD($B108,60)=PARAM!$B$56)*($B108&gt;(60-PARAM!$B$56))*HLOOKUP(($B108+PARAM!$B$56)/12,Loyalty,2)*$F$1*MAX(N107,0)</f>
        <v>18.557001321003963</v>
      </c>
      <c r="M108" s="75">
        <f>PARAM!$C$26+MAX($G$5-CHOOSE(PARAM!$B$44,MAX(0,N107*$F$1),0),0)*RATES!$L84/12+$H$5*(PARAM!$D$51/12)*RATES!$N84/100</f>
        <v>8.125</v>
      </c>
      <c r="N108" s="16">
        <f t="shared" si="70"/>
        <v>-376.16605019814671</v>
      </c>
      <c r="O108" s="15">
        <f t="shared" si="71"/>
        <v>22.170849845882874</v>
      </c>
      <c r="P108" s="75">
        <f>O108*(1-PARAM!$C$27)*$I$6+(MOD($B108,60)=PARAM!$B$56)*($B108&gt;(60-PARAM!$B$56))*HLOOKUP(($B108+PARAM!$B$56)/12,Loyalty,2)*$F$1*MAX(R107,0)</f>
        <v>18.557001321003963</v>
      </c>
      <c r="Q108" s="75">
        <f>PARAM!$C$26+MAX($G$6-CHOOSE(PARAM!$B$44,MAX(0,R107*$F$1),0),0)*RATES!$L84/12+$H$6*(PARAM!$D$51/12)*RATES!$N84/100</f>
        <v>8.125</v>
      </c>
      <c r="R108" s="16">
        <f t="shared" si="72"/>
        <v>-376.16605019814671</v>
      </c>
      <c r="S108" s="15">
        <f t="shared" si="47"/>
        <v>22.170849845882874</v>
      </c>
      <c r="T108" s="75">
        <f>S108*(1-PARAM!$C$27)*$I$7+(MOD($B108,60)=PARAM!$B$56)*($B108&gt;(60-PARAM!$B$56))*HLOOKUP(($B108+PARAM!$B$56)/12,Loyalty,2)*$F$1*MAX(V107,0)</f>
        <v>18.557001321003963</v>
      </c>
      <c r="U108" s="75">
        <f>PARAM!$C$26+MAX($G$7-CHOOSE(PARAM!$B$44,MAX(0,V107*$F$1),0),0)*RATES!$L84/12+$H$7*(PARAM!$D$51/12)*RATES!$N84/100</f>
        <v>8.125</v>
      </c>
      <c r="V108" s="16">
        <f t="shared" si="73"/>
        <v>-376.16605019814671</v>
      </c>
      <c r="W108" s="15">
        <f t="shared" si="48"/>
        <v>22.170849845882874</v>
      </c>
      <c r="X108" s="75">
        <f>W108*(1-PARAM!$C$27)*$I$8+(MOD($B108,60)=PARAM!$B$56)*($B108&gt;(60-PARAM!$B$56))*HLOOKUP(($B108+PARAM!$B$56)/12,Loyalty,2)*$F$1*MAX(Z107,0)</f>
        <v>18.557001321003963</v>
      </c>
      <c r="Y108" s="75">
        <f>PARAM!$C$26+MAX($G$8-CHOOSE(PARAM!$B$44,MAX(0,Z107*$F$1),0),0)*RATES!$L84/12+$H$8*(PARAM!$D$51/12)*RATES!$N84/100</f>
        <v>8.125</v>
      </c>
      <c r="Z108" s="16">
        <f t="shared" si="74"/>
        <v>-376.16605019814671</v>
      </c>
      <c r="AA108" s="15">
        <f t="shared" si="49"/>
        <v>22.170849845882874</v>
      </c>
      <c r="AB108" s="75">
        <f>AA108*(1-PARAM!$C$27)*$I$9+(MOD($B108,60)=PARAM!$B$56)*($B108&gt;(60-PARAM!$B$56))*HLOOKUP(($B108+PARAM!$B$56)/12,Loyalty,2)*$F$1*MAX(AD107,0)</f>
        <v>18.557001321003963</v>
      </c>
      <c r="AC108" s="75">
        <f>PARAM!$C$26+MAX($G$9-CHOOSE(PARAM!$B$44,MAX(0,AD107*$F$1),0),0)*RATES!$L84/12+$H$9*(PARAM!$D$51/12)*RATES!$N84/100</f>
        <v>8.125</v>
      </c>
      <c r="AD108" s="16">
        <f t="shared" si="75"/>
        <v>-376.16605019814671</v>
      </c>
      <c r="AE108" s="15">
        <f t="shared" si="50"/>
        <v>22.170849845882874</v>
      </c>
      <c r="AF108" s="75">
        <f>AE108*(1-PARAM!$C$27)*$I$10+(MOD($B108,60)=PARAM!$B$56)*($B108&gt;(60-PARAM!$B$56))*HLOOKUP(($B108+PARAM!$B$56)/12,Loyalty,2)*$F$1*MAX(AH107,0)</f>
        <v>18.557001321003963</v>
      </c>
      <c r="AG108" s="75">
        <f>PARAM!$C$26+MAX($G$10-CHOOSE(PARAM!$B$44,MAX(0,AH107*$F$1),0),0)*RATES!$L84/12+$H$10*(PARAM!$D$51/12)*RATES!$N84/100</f>
        <v>8.125</v>
      </c>
      <c r="AH108" s="16">
        <f t="shared" si="76"/>
        <v>-376.16605019814671</v>
      </c>
      <c r="AI108" s="15">
        <f t="shared" si="51"/>
        <v>22.170849845882874</v>
      </c>
      <c r="AJ108" s="75">
        <f>AI108*(1-PARAM!$C$27)*$I$11+(MOD($B108,60)=PARAM!$B$56)*($B108&gt;(60-PARAM!$B$56))*HLOOKUP(($B108+PARAM!$B$56)/12,Loyalty,2)*$F$1*MAX(AL107,0)</f>
        <v>18.557001321003963</v>
      </c>
      <c r="AK108" s="75">
        <f>PARAM!$C$26+MAX($G$11-CHOOSE(PARAM!$B$44,MAX(0,AL107*$F$1),0),0)*RATES!$L84/12+$H$11*(PARAM!$D$51/12)*RATES!$N84/100</f>
        <v>8.125</v>
      </c>
      <c r="AL108" s="16">
        <f t="shared" si="77"/>
        <v>-376.16605019814671</v>
      </c>
      <c r="AM108" s="15">
        <f t="shared" si="52"/>
        <v>22.170849845882874</v>
      </c>
      <c r="AN108" s="75">
        <f>AM108*(1-PARAM!$C$27)*$I$12+(MOD($B108,60)=PARAM!$B$56)*($B108&gt;(60-PARAM!$B$56))*HLOOKUP(($B108+PARAM!$B$56)/12,Loyalty,2)*$F$1*MAX(AP107,0)</f>
        <v>18.557001321003963</v>
      </c>
      <c r="AO108" s="75">
        <f>PARAM!$C$26+MAX($G$12-CHOOSE(PARAM!$B$44,MAX(0,AP107*$F$1),0),0)*RATES!$L84/12+$H$12*(PARAM!$D$51/12)*RATES!$N84/100</f>
        <v>8.125</v>
      </c>
      <c r="AP108" s="16">
        <f t="shared" si="78"/>
        <v>-376.16605019814671</v>
      </c>
      <c r="AQ108" s="15">
        <f t="shared" si="53"/>
        <v>22.170849845882874</v>
      </c>
      <c r="AR108" s="75">
        <f>AQ108*(1-PARAM!$C$27)*$I$13+(MOD($B108,60)=PARAM!$B$56)*($B108&gt;(60-PARAM!$B$56))*HLOOKUP(($B108+PARAM!$B$56)/12,Loyalty,2)*$F$1*MAX(AT107,0)</f>
        <v>18.557001321003963</v>
      </c>
      <c r="AS108" s="75">
        <f>PARAM!$C$26+MAX($G$13-CHOOSE(PARAM!$B$44,MAX(0,AT107*$F$1),0),0)*RATES!$L84/12+$H$13*(PARAM!$D$51/12)*RATES!$N84/100</f>
        <v>8.125</v>
      </c>
      <c r="AT108" s="16">
        <f t="shared" si="79"/>
        <v>-376.16605019814671</v>
      </c>
      <c r="AU108" s="15">
        <f t="shared" si="54"/>
        <v>22.170849845882874</v>
      </c>
      <c r="AV108" s="75">
        <f>AU108*(1-PARAM!$C$27)*$I$14+(MOD($B108,60)=PARAM!$B$56)*($B108&gt;(60-PARAM!$B$56))*HLOOKUP(($B108+PARAM!$B$56)/12,Loyalty,2)*$F$1*MAX(AX107,0)</f>
        <v>18.557001321003963</v>
      </c>
      <c r="AW108" s="75">
        <f>PARAM!$C$26+MAX($G$14-CHOOSE(PARAM!$B$44,MAX(0,AX107*$F$1),0),0)*RATES!$L84/12+$H$14*(PARAM!$D$51/12)*RATES!$N84/100</f>
        <v>8.125</v>
      </c>
      <c r="AX108" s="16">
        <f t="shared" si="80"/>
        <v>-376.16605019814671</v>
      </c>
      <c r="AY108" s="15">
        <f t="shared" si="55"/>
        <v>22.170849845882874</v>
      </c>
      <c r="AZ108" s="75">
        <f>AY108*(1-PARAM!$C$27)*$I$15+(MOD($B108,60)=PARAM!$B$56)*($B108&gt;(60-PARAM!$B$56))*HLOOKUP(($B108+PARAM!$B$56)/12,Loyalty,2)*$F$1*MAX(BB107,0)</f>
        <v>18.557001321003963</v>
      </c>
      <c r="BA108" s="75">
        <f>PARAM!$C$26+MAX($G$15-CHOOSE(PARAM!$B$44,MAX(0,BB107*$F$1),0),0)*RATES!$L84/12+$H$15*(PARAM!$D$51/12)*RATES!$N84/100</f>
        <v>8.125</v>
      </c>
      <c r="BB108" s="16">
        <f t="shared" si="81"/>
        <v>-376.16605019814671</v>
      </c>
      <c r="BC108" s="15">
        <f t="shared" si="56"/>
        <v>22.170849845882874</v>
      </c>
      <c r="BD108" s="75">
        <f>BC108*(1-PARAM!$C$27)*$I$16+(MOD($B108,60)=PARAM!$B$56)*($B108&gt;(60-PARAM!$B$56))*HLOOKUP(($B108+PARAM!$B$56)/12,Loyalty,2)*$F$1*MAX(BF107,0)</f>
        <v>18.557001321003963</v>
      </c>
      <c r="BE108" s="75">
        <f>PARAM!$C$26+MAX($G$16-CHOOSE(PARAM!$B$44,MAX(0,BF107*$F$1),0),0)*RATES!$L84/12+$H$16*(PARAM!$D$51/12)*RATES!$N84/100</f>
        <v>8.125</v>
      </c>
      <c r="BF108" s="16">
        <f t="shared" si="82"/>
        <v>-376.16605019814671</v>
      </c>
      <c r="BG108" s="15">
        <f t="shared" si="57"/>
        <v>22.170849845882874</v>
      </c>
      <c r="BH108" s="75">
        <f>BG108*(1-PARAM!$C$27)*$I$17+(MOD($B108,60)=PARAM!$B$56)*($B108&gt;(60-PARAM!$B$56))*HLOOKUP(($B108+PARAM!$B$56)/12,Loyalty,2)*$F$1*MAX(BJ107,0)</f>
        <v>18.557001321003963</v>
      </c>
      <c r="BI108" s="75">
        <f>PARAM!$C$26+MAX($G$17-CHOOSE(PARAM!$B$44,MAX(0,BJ107*$F$1),0),0)*RATES!$L84/12+$H$17*(PARAM!$D$51/12)*RATES!$N84/100</f>
        <v>8.125</v>
      </c>
      <c r="BJ108" s="16">
        <f t="shared" si="83"/>
        <v>-376.16605019814671</v>
      </c>
      <c r="BK108" s="15">
        <f t="shared" si="58"/>
        <v>22.170849845882874</v>
      </c>
      <c r="BL108" s="75">
        <f>BK108*(1-PARAM!$C$27)*$I$18+(MOD($B108,60)=PARAM!$B$56)*($B108&gt;(60-PARAM!$B$56))*HLOOKUP(($B108+PARAM!$B$56)/12,Loyalty,2)*$F$1*MAX(BN107,0)</f>
        <v>18.557001321003963</v>
      </c>
      <c r="BM108" s="75">
        <f>PARAM!$C$26+MAX($G$18-CHOOSE(PARAM!$B$44,MAX(0,BN107*$F$1),0),0)*RATES!$L84/12+$H$18*(PARAM!$D$51/12)*RATES!$N84/100</f>
        <v>8.125</v>
      </c>
      <c r="BN108" s="16">
        <f t="shared" si="84"/>
        <v>-376.16605019814671</v>
      </c>
      <c r="BO108" s="15">
        <f t="shared" si="59"/>
        <v>22.170849845882874</v>
      </c>
      <c r="BP108" s="75">
        <f>BO108*(1-PARAM!$C$27)*$I$19+(MOD($B108,60)=PARAM!$B$56)*($B108&gt;(60-PARAM!$B$56))*HLOOKUP(($B108+PARAM!$B$56)/12,Loyalty,2)*$F$1*MAX(BR107,0)</f>
        <v>18.557001321003963</v>
      </c>
      <c r="BQ108" s="75">
        <f>PARAM!$C$26+MAX($G$19-CHOOSE(PARAM!$B$44,MAX(0,BR107*$F$1),0),0)*RATES!$L84/12+$H$19*(PARAM!$D$51/12)*RATES!$N84/100</f>
        <v>8.125</v>
      </c>
      <c r="BR108" s="16">
        <f t="shared" si="85"/>
        <v>-376.16605019814671</v>
      </c>
      <c r="BS108" s="15">
        <f t="shared" si="60"/>
        <v>22.170849845882874</v>
      </c>
      <c r="BT108" s="75">
        <f>BS108*(1-PARAM!$C$27)*$I$20+(MOD($B108,60)=PARAM!$B$56)*($B108&gt;(60-PARAM!$B$56))*HLOOKUP(($B108+PARAM!$B$56)/12,Loyalty,2)*$F$1*MAX(BV107,0)</f>
        <v>18.557001321003963</v>
      </c>
      <c r="BU108" s="75">
        <f>PARAM!$C$26+MAX($G$20-CHOOSE(PARAM!$B$44,MAX(0,BV107*$F$1),0),0)*RATES!$L84/12+$H$20*(PARAM!$D$51/12)*RATES!$N84/100</f>
        <v>8.125</v>
      </c>
      <c r="BV108" s="16">
        <f t="shared" si="86"/>
        <v>-376.16605019814671</v>
      </c>
      <c r="BW108" s="15">
        <f t="shared" si="61"/>
        <v>22.170849845882874</v>
      </c>
      <c r="BX108" s="75">
        <f>BW108*(1-PARAM!$C$27)*$I$21+(MOD($B108,60)=PARAM!$B$56)*($B108&gt;(60-PARAM!$B$56))*HLOOKUP(($B108+PARAM!$B$56)/12,Loyalty,2)*$F$1*MAX(BZ107,0)</f>
        <v>18.557001321003963</v>
      </c>
      <c r="BY108" s="75">
        <f>PARAM!$C$26+MAX($G$21-CHOOSE(PARAM!$B$44,MAX(0,BZ107*$F$1),0),0)*RATES!$L84/12+$H$21*(PARAM!$D$51/12)*RATES!$N84/100</f>
        <v>8.125</v>
      </c>
      <c r="BZ108" s="16">
        <f t="shared" si="87"/>
        <v>-376.16605019814671</v>
      </c>
      <c r="CA108" s="15">
        <f t="shared" si="62"/>
        <v>22.170849845882874</v>
      </c>
      <c r="CB108" s="75">
        <f>CA108*(1-PARAM!$C$27)*$I$22+(MOD($B108,60)=PARAM!$B$56)*($B108&gt;(60-PARAM!$B$56))*HLOOKUP(($B108+PARAM!$B$56)/12,Loyalty,2)*$F$1*MAX(CD107,0)</f>
        <v>18.557001321003963</v>
      </c>
      <c r="CC108" s="75">
        <f>PARAM!$C$26+MAX($G$22-CHOOSE(PARAM!$B$44,MAX(0,CD107*$F$1),0),0)*RATES!$L84/12+$H$22*(PARAM!$D$51/12)*RATES!$N84/100</f>
        <v>8.125</v>
      </c>
      <c r="CD108" s="16">
        <f t="shared" si="88"/>
        <v>-376.16605019814671</v>
      </c>
      <c r="CE108" s="33">
        <f>IF(0=MOD(B108,12/PARAM!$D$51),1,0)</f>
        <v>1</v>
      </c>
      <c r="CF108" s="15">
        <f t="shared" si="63"/>
        <v>0</v>
      </c>
      <c r="CG108" s="75">
        <f>CF108*(1-PARAM!$C$27)*$R$3+(MOD($B108/12,5)=0)*($B108&gt;60)*HLOOKUP($B108/12,Loyalty,2)*$F$1*MAX(CI107,0)</f>
        <v>0</v>
      </c>
      <c r="CH108" s="75">
        <f>PARAM!$C$26+MAX($P$3-CHOOSE(PARAM!$B$44,MAX(0,CI107*$F$1),0),0)*RATES!$L84/12+$Q$3*(PARAM!$D$51/12)*RATES!$N84/100</f>
        <v>8.125</v>
      </c>
      <c r="CI108" s="16">
        <f>IF(CI107&gt;0,CI107*PARAM!$C$53,CI107)+CG108-CH108</f>
        <v>-1685</v>
      </c>
      <c r="CJ108" s="15">
        <f t="shared" si="89"/>
        <v>0</v>
      </c>
      <c r="CK108" s="75">
        <f>CJ108*(1-PARAM!$C$27)*$R$4+(MOD($B108/12,5)=0)*($B108&gt;60)*HLOOKUP($B108/12,Loyalty,2)*$F$1*MAX(CM107,0)</f>
        <v>0</v>
      </c>
      <c r="CL108" s="75">
        <f>PARAM!$C$26+MAX($P$4-CHOOSE(PARAM!$B$44,MAX(0,CM107*$F$1),0),0)*RATES!$L84/12+$Q$4*(PARAM!$D$51/12)*RATES!$N84/100</f>
        <v>8.125</v>
      </c>
      <c r="CM108" s="16">
        <f>IF(CM107&gt;0,CM107*PARAM!$C$53,CM107)+CK108-CL108</f>
        <v>-1685</v>
      </c>
      <c r="CO108" s="176"/>
    </row>
    <row r="109" spans="1:93" x14ac:dyDescent="0.2">
      <c r="A109" t="b">
        <f t="shared" si="64"/>
        <v>0</v>
      </c>
      <c r="B109" s="33">
        <v>82</v>
      </c>
      <c r="C109" s="15">
        <f t="shared" si="65"/>
        <v>20.081305947392778</v>
      </c>
      <c r="D109" s="75">
        <f>C109*(1-PARAM!$C$27)*$I$3+(MOD($B109,60)=PARAM!$B$56)*($B109&gt;(60-PARAM!$B$56))*HLOOKUP(($B109+PARAM!$B$56)/12,Loyalty,2)*$F$1*MAX(F108,0)</f>
        <v>16.808053077967756</v>
      </c>
      <c r="E109" s="75">
        <f>PARAM!$C$26+MAX($G$3-CHOOSE(PARAM!$B$44,MAX(0,F108*$F$1),0),0)*RATES!$L85/12+$H$3*(PARAM!$D$51/12)*RATES!$N85/100</f>
        <v>8.125</v>
      </c>
      <c r="F109" s="16">
        <f t="shared" si="66"/>
        <v>-490.83713162364518</v>
      </c>
      <c r="G109" s="15">
        <f t="shared" si="67"/>
        <v>22.035289406060361</v>
      </c>
      <c r="H109" s="75">
        <f>G109*(1-PARAM!$C$27)*$I$4+(MOD($B109,60)=PARAM!$B$56)*($B109&gt;(60-PARAM!$B$56))*HLOOKUP(($B109+PARAM!$B$56)/12,Loyalty,2)*$F$1*MAX(J108,0)</f>
        <v>18.443537232872522</v>
      </c>
      <c r="I109" s="75">
        <f>PARAM!$C$26+MAX($G$4-CHOOSE(PARAM!$B$44,MAX(0,J108*$F$1),0),0)*RATES!$L85/12+$H$4*(PARAM!$D$51/12)*RATES!$N85/100</f>
        <v>8.125</v>
      </c>
      <c r="J109" s="16">
        <f t="shared" si="68"/>
        <v>-373.8501879697601</v>
      </c>
      <c r="K109" s="15">
        <f t="shared" si="69"/>
        <v>22.170849845882874</v>
      </c>
      <c r="L109" s="75">
        <f>K109*(1-PARAM!$C$27)*$I$5+(MOD($B109,60)=PARAM!$B$56)*($B109&gt;(60-PARAM!$B$56))*HLOOKUP(($B109+PARAM!$B$56)/12,Loyalty,2)*$F$1*MAX(N108,0)</f>
        <v>18.557001321003963</v>
      </c>
      <c r="M109" s="75">
        <f>PARAM!$C$26+MAX($G$5-CHOOSE(PARAM!$B$44,MAX(0,N108*$F$1),0),0)*RATES!$L85/12+$H$5*(PARAM!$D$51/12)*RATES!$N85/100</f>
        <v>8.125</v>
      </c>
      <c r="N109" s="16">
        <f t="shared" si="70"/>
        <v>-365.73404887714275</v>
      </c>
      <c r="O109" s="15">
        <f t="shared" si="71"/>
        <v>22.170849845882874</v>
      </c>
      <c r="P109" s="75">
        <f>O109*(1-PARAM!$C$27)*$I$6+(MOD($B109,60)=PARAM!$B$56)*($B109&gt;(60-PARAM!$B$56))*HLOOKUP(($B109+PARAM!$B$56)/12,Loyalty,2)*$F$1*MAX(R108,0)</f>
        <v>18.557001321003963</v>
      </c>
      <c r="Q109" s="75">
        <f>PARAM!$C$26+MAX($G$6-CHOOSE(PARAM!$B$44,MAX(0,R108*$F$1),0),0)*RATES!$L85/12+$H$6*(PARAM!$D$51/12)*RATES!$N85/100</f>
        <v>8.125</v>
      </c>
      <c r="R109" s="16">
        <f t="shared" si="72"/>
        <v>-365.73404887714275</v>
      </c>
      <c r="S109" s="15">
        <f t="shared" si="47"/>
        <v>22.170849845882874</v>
      </c>
      <c r="T109" s="75">
        <f>S109*(1-PARAM!$C$27)*$I$7+(MOD($B109,60)=PARAM!$B$56)*($B109&gt;(60-PARAM!$B$56))*HLOOKUP(($B109+PARAM!$B$56)/12,Loyalty,2)*$F$1*MAX(V108,0)</f>
        <v>18.557001321003963</v>
      </c>
      <c r="U109" s="75">
        <f>PARAM!$C$26+MAX($G$7-CHOOSE(PARAM!$B$44,MAX(0,V108*$F$1),0),0)*RATES!$L85/12+$H$7*(PARAM!$D$51/12)*RATES!$N85/100</f>
        <v>8.125</v>
      </c>
      <c r="V109" s="16">
        <f t="shared" si="73"/>
        <v>-365.73404887714275</v>
      </c>
      <c r="W109" s="15">
        <f t="shared" si="48"/>
        <v>22.170849845882874</v>
      </c>
      <c r="X109" s="75">
        <f>W109*(1-PARAM!$C$27)*$I$8+(MOD($B109,60)=PARAM!$B$56)*($B109&gt;(60-PARAM!$B$56))*HLOOKUP(($B109+PARAM!$B$56)/12,Loyalty,2)*$F$1*MAX(Z108,0)</f>
        <v>18.557001321003963</v>
      </c>
      <c r="Y109" s="75">
        <f>PARAM!$C$26+MAX($G$8-CHOOSE(PARAM!$B$44,MAX(0,Z108*$F$1),0),0)*RATES!$L85/12+$H$8*(PARAM!$D$51/12)*RATES!$N85/100</f>
        <v>8.125</v>
      </c>
      <c r="Z109" s="16">
        <f t="shared" si="74"/>
        <v>-365.73404887714275</v>
      </c>
      <c r="AA109" s="15">
        <f t="shared" si="49"/>
        <v>22.170849845882874</v>
      </c>
      <c r="AB109" s="75">
        <f>AA109*(1-PARAM!$C$27)*$I$9+(MOD($B109,60)=PARAM!$B$56)*($B109&gt;(60-PARAM!$B$56))*HLOOKUP(($B109+PARAM!$B$56)/12,Loyalty,2)*$F$1*MAX(AD108,0)</f>
        <v>18.557001321003963</v>
      </c>
      <c r="AC109" s="75">
        <f>PARAM!$C$26+MAX($G$9-CHOOSE(PARAM!$B$44,MAX(0,AD108*$F$1),0),0)*RATES!$L85/12+$H$9*(PARAM!$D$51/12)*RATES!$N85/100</f>
        <v>8.125</v>
      </c>
      <c r="AD109" s="16">
        <f t="shared" si="75"/>
        <v>-365.73404887714275</v>
      </c>
      <c r="AE109" s="15">
        <f t="shared" si="50"/>
        <v>22.170849845882874</v>
      </c>
      <c r="AF109" s="75">
        <f>AE109*(1-PARAM!$C$27)*$I$10+(MOD($B109,60)=PARAM!$B$56)*($B109&gt;(60-PARAM!$B$56))*HLOOKUP(($B109+PARAM!$B$56)/12,Loyalty,2)*$F$1*MAX(AH108,0)</f>
        <v>18.557001321003963</v>
      </c>
      <c r="AG109" s="75">
        <f>PARAM!$C$26+MAX($G$10-CHOOSE(PARAM!$B$44,MAX(0,AH108*$F$1),0),0)*RATES!$L85/12+$H$10*(PARAM!$D$51/12)*RATES!$N85/100</f>
        <v>8.125</v>
      </c>
      <c r="AH109" s="16">
        <f t="shared" si="76"/>
        <v>-365.73404887714275</v>
      </c>
      <c r="AI109" s="15">
        <f t="shared" si="51"/>
        <v>22.170849845882874</v>
      </c>
      <c r="AJ109" s="75">
        <f>AI109*(1-PARAM!$C$27)*$I$11+(MOD($B109,60)=PARAM!$B$56)*($B109&gt;(60-PARAM!$B$56))*HLOOKUP(($B109+PARAM!$B$56)/12,Loyalty,2)*$F$1*MAX(AL108,0)</f>
        <v>18.557001321003963</v>
      </c>
      <c r="AK109" s="75">
        <f>PARAM!$C$26+MAX($G$11-CHOOSE(PARAM!$B$44,MAX(0,AL108*$F$1),0),0)*RATES!$L85/12+$H$11*(PARAM!$D$51/12)*RATES!$N85/100</f>
        <v>8.125</v>
      </c>
      <c r="AL109" s="16">
        <f t="shared" si="77"/>
        <v>-365.73404887714275</v>
      </c>
      <c r="AM109" s="15">
        <f t="shared" si="52"/>
        <v>22.170849845882874</v>
      </c>
      <c r="AN109" s="75">
        <f>AM109*(1-PARAM!$C$27)*$I$12+(MOD($B109,60)=PARAM!$B$56)*($B109&gt;(60-PARAM!$B$56))*HLOOKUP(($B109+PARAM!$B$56)/12,Loyalty,2)*$F$1*MAX(AP108,0)</f>
        <v>18.557001321003963</v>
      </c>
      <c r="AO109" s="75">
        <f>PARAM!$C$26+MAX($G$12-CHOOSE(PARAM!$B$44,MAX(0,AP108*$F$1),0),0)*RATES!$L85/12+$H$12*(PARAM!$D$51/12)*RATES!$N85/100</f>
        <v>8.125</v>
      </c>
      <c r="AP109" s="16">
        <f t="shared" si="78"/>
        <v>-365.73404887714275</v>
      </c>
      <c r="AQ109" s="15">
        <f t="shared" si="53"/>
        <v>22.170849845882874</v>
      </c>
      <c r="AR109" s="75">
        <f>AQ109*(1-PARAM!$C$27)*$I$13+(MOD($B109,60)=PARAM!$B$56)*($B109&gt;(60-PARAM!$B$56))*HLOOKUP(($B109+PARAM!$B$56)/12,Loyalty,2)*$F$1*MAX(AT108,0)</f>
        <v>18.557001321003963</v>
      </c>
      <c r="AS109" s="75">
        <f>PARAM!$C$26+MAX($G$13-CHOOSE(PARAM!$B$44,MAX(0,AT108*$F$1),0),0)*RATES!$L85/12+$H$13*(PARAM!$D$51/12)*RATES!$N85/100</f>
        <v>8.125</v>
      </c>
      <c r="AT109" s="16">
        <f t="shared" si="79"/>
        <v>-365.73404887714275</v>
      </c>
      <c r="AU109" s="15">
        <f t="shared" si="54"/>
        <v>22.170849845882874</v>
      </c>
      <c r="AV109" s="75">
        <f>AU109*(1-PARAM!$C$27)*$I$14+(MOD($B109,60)=PARAM!$B$56)*($B109&gt;(60-PARAM!$B$56))*HLOOKUP(($B109+PARAM!$B$56)/12,Loyalty,2)*$F$1*MAX(AX108,0)</f>
        <v>18.557001321003963</v>
      </c>
      <c r="AW109" s="75">
        <f>PARAM!$C$26+MAX($G$14-CHOOSE(PARAM!$B$44,MAX(0,AX108*$F$1),0),0)*RATES!$L85/12+$H$14*(PARAM!$D$51/12)*RATES!$N85/100</f>
        <v>8.125</v>
      </c>
      <c r="AX109" s="16">
        <f t="shared" si="80"/>
        <v>-365.73404887714275</v>
      </c>
      <c r="AY109" s="15">
        <f t="shared" si="55"/>
        <v>22.170849845882874</v>
      </c>
      <c r="AZ109" s="75">
        <f>AY109*(1-PARAM!$C$27)*$I$15+(MOD($B109,60)=PARAM!$B$56)*($B109&gt;(60-PARAM!$B$56))*HLOOKUP(($B109+PARAM!$B$56)/12,Loyalty,2)*$F$1*MAX(BB108,0)</f>
        <v>18.557001321003963</v>
      </c>
      <c r="BA109" s="75">
        <f>PARAM!$C$26+MAX($G$15-CHOOSE(PARAM!$B$44,MAX(0,BB108*$F$1),0),0)*RATES!$L85/12+$H$15*(PARAM!$D$51/12)*RATES!$N85/100</f>
        <v>8.125</v>
      </c>
      <c r="BB109" s="16">
        <f t="shared" si="81"/>
        <v>-365.73404887714275</v>
      </c>
      <c r="BC109" s="15">
        <f t="shared" si="56"/>
        <v>22.170849845882874</v>
      </c>
      <c r="BD109" s="75">
        <f>BC109*(1-PARAM!$C$27)*$I$16+(MOD($B109,60)=PARAM!$B$56)*($B109&gt;(60-PARAM!$B$56))*HLOOKUP(($B109+PARAM!$B$56)/12,Loyalty,2)*$F$1*MAX(BF108,0)</f>
        <v>18.557001321003963</v>
      </c>
      <c r="BE109" s="75">
        <f>PARAM!$C$26+MAX($G$16-CHOOSE(PARAM!$B$44,MAX(0,BF108*$F$1),0),0)*RATES!$L85/12+$H$16*(PARAM!$D$51/12)*RATES!$N85/100</f>
        <v>8.125</v>
      </c>
      <c r="BF109" s="16">
        <f t="shared" si="82"/>
        <v>-365.73404887714275</v>
      </c>
      <c r="BG109" s="15">
        <f t="shared" si="57"/>
        <v>22.170849845882874</v>
      </c>
      <c r="BH109" s="75">
        <f>BG109*(1-PARAM!$C$27)*$I$17+(MOD($B109,60)=PARAM!$B$56)*($B109&gt;(60-PARAM!$B$56))*HLOOKUP(($B109+PARAM!$B$56)/12,Loyalty,2)*$F$1*MAX(BJ108,0)</f>
        <v>18.557001321003963</v>
      </c>
      <c r="BI109" s="75">
        <f>PARAM!$C$26+MAX($G$17-CHOOSE(PARAM!$B$44,MAX(0,BJ108*$F$1),0),0)*RATES!$L85/12+$H$17*(PARAM!$D$51/12)*RATES!$N85/100</f>
        <v>8.125</v>
      </c>
      <c r="BJ109" s="16">
        <f t="shared" si="83"/>
        <v>-365.73404887714275</v>
      </c>
      <c r="BK109" s="15">
        <f t="shared" si="58"/>
        <v>22.170849845882874</v>
      </c>
      <c r="BL109" s="75">
        <f>BK109*(1-PARAM!$C$27)*$I$18+(MOD($B109,60)=PARAM!$B$56)*($B109&gt;(60-PARAM!$B$56))*HLOOKUP(($B109+PARAM!$B$56)/12,Loyalty,2)*$F$1*MAX(BN108,0)</f>
        <v>18.557001321003963</v>
      </c>
      <c r="BM109" s="75">
        <f>PARAM!$C$26+MAX($G$18-CHOOSE(PARAM!$B$44,MAX(0,BN108*$F$1),0),0)*RATES!$L85/12+$H$18*(PARAM!$D$51/12)*RATES!$N85/100</f>
        <v>8.125</v>
      </c>
      <c r="BN109" s="16">
        <f t="shared" si="84"/>
        <v>-365.73404887714275</v>
      </c>
      <c r="BO109" s="15">
        <f t="shared" si="59"/>
        <v>22.170849845882874</v>
      </c>
      <c r="BP109" s="75">
        <f>BO109*(1-PARAM!$C$27)*$I$19+(MOD($B109,60)=PARAM!$B$56)*($B109&gt;(60-PARAM!$B$56))*HLOOKUP(($B109+PARAM!$B$56)/12,Loyalty,2)*$F$1*MAX(BR108,0)</f>
        <v>18.557001321003963</v>
      </c>
      <c r="BQ109" s="75">
        <f>PARAM!$C$26+MAX($G$19-CHOOSE(PARAM!$B$44,MAX(0,BR108*$F$1),0),0)*RATES!$L85/12+$H$19*(PARAM!$D$51/12)*RATES!$N85/100</f>
        <v>8.125</v>
      </c>
      <c r="BR109" s="16">
        <f t="shared" si="85"/>
        <v>-365.73404887714275</v>
      </c>
      <c r="BS109" s="15">
        <f t="shared" si="60"/>
        <v>22.170849845882874</v>
      </c>
      <c r="BT109" s="75">
        <f>BS109*(1-PARAM!$C$27)*$I$20+(MOD($B109,60)=PARAM!$B$56)*($B109&gt;(60-PARAM!$B$56))*HLOOKUP(($B109+PARAM!$B$56)/12,Loyalty,2)*$F$1*MAX(BV108,0)</f>
        <v>18.557001321003963</v>
      </c>
      <c r="BU109" s="75">
        <f>PARAM!$C$26+MAX($G$20-CHOOSE(PARAM!$B$44,MAX(0,BV108*$F$1),0),0)*RATES!$L85/12+$H$20*(PARAM!$D$51/12)*RATES!$N85/100</f>
        <v>8.125</v>
      </c>
      <c r="BV109" s="16">
        <f t="shared" si="86"/>
        <v>-365.73404887714275</v>
      </c>
      <c r="BW109" s="15">
        <f t="shared" si="61"/>
        <v>22.170849845882874</v>
      </c>
      <c r="BX109" s="75">
        <f>BW109*(1-PARAM!$C$27)*$I$21+(MOD($B109,60)=PARAM!$B$56)*($B109&gt;(60-PARAM!$B$56))*HLOOKUP(($B109+PARAM!$B$56)/12,Loyalty,2)*$F$1*MAX(BZ108,0)</f>
        <v>18.557001321003963</v>
      </c>
      <c r="BY109" s="75">
        <f>PARAM!$C$26+MAX($G$21-CHOOSE(PARAM!$B$44,MAX(0,BZ108*$F$1),0),0)*RATES!$L85/12+$H$21*(PARAM!$D$51/12)*RATES!$N85/100</f>
        <v>8.125</v>
      </c>
      <c r="BZ109" s="16">
        <f t="shared" si="87"/>
        <v>-365.73404887714275</v>
      </c>
      <c r="CA109" s="15">
        <f t="shared" si="62"/>
        <v>22.170849845882874</v>
      </c>
      <c r="CB109" s="75">
        <f>CA109*(1-PARAM!$C$27)*$I$22+(MOD($B109,60)=PARAM!$B$56)*($B109&gt;(60-PARAM!$B$56))*HLOOKUP(($B109+PARAM!$B$56)/12,Loyalty,2)*$F$1*MAX(CD108,0)</f>
        <v>18.557001321003963</v>
      </c>
      <c r="CC109" s="75">
        <f>PARAM!$C$26+MAX($G$22-CHOOSE(PARAM!$B$44,MAX(0,CD108*$F$1),0),0)*RATES!$L85/12+$H$22*(PARAM!$D$51/12)*RATES!$N85/100</f>
        <v>8.125</v>
      </c>
      <c r="CD109" s="16">
        <f t="shared" si="88"/>
        <v>-365.73404887714275</v>
      </c>
      <c r="CE109" s="33">
        <f>IF(0=MOD(B109,12/PARAM!$D$51),1,0)</f>
        <v>1</v>
      </c>
      <c r="CF109" s="15">
        <f t="shared" si="63"/>
        <v>0</v>
      </c>
      <c r="CG109" s="75">
        <f>CF109*(1-PARAM!$C$27)*$R$3+(MOD($B109/12,5)=0)*($B109&gt;60)*HLOOKUP($B109/12,Loyalty,2)*$F$1*MAX(CI108,0)</f>
        <v>0</v>
      </c>
      <c r="CH109" s="75">
        <f>PARAM!$C$26+MAX($P$3-CHOOSE(PARAM!$B$44,MAX(0,CI108*$F$1),0),0)*RATES!$L85/12+$Q$3*(PARAM!$D$51/12)*RATES!$N85/100</f>
        <v>8.125</v>
      </c>
      <c r="CI109" s="16">
        <f>IF(CI108&gt;0,CI108*PARAM!$C$53,CI108)+CG109-CH109</f>
        <v>-1693.125</v>
      </c>
      <c r="CJ109" s="15">
        <f t="shared" si="89"/>
        <v>0</v>
      </c>
      <c r="CK109" s="75">
        <f>CJ109*(1-PARAM!$C$27)*$R$4+(MOD($B109/12,5)=0)*($B109&gt;60)*HLOOKUP($B109/12,Loyalty,2)*$F$1*MAX(CM108,0)</f>
        <v>0</v>
      </c>
      <c r="CL109" s="75">
        <f>PARAM!$C$26+MAX($P$4-CHOOSE(PARAM!$B$44,MAX(0,CM108*$F$1),0),0)*RATES!$L85/12+$Q$4*(PARAM!$D$51/12)*RATES!$N85/100</f>
        <v>8.125</v>
      </c>
      <c r="CM109" s="16">
        <f>IF(CM108&gt;0,CM108*PARAM!$C$53,CM108)+CK109-CL109</f>
        <v>-1693.125</v>
      </c>
      <c r="CO109" s="176"/>
    </row>
    <row r="110" spans="1:93" x14ac:dyDescent="0.2">
      <c r="A110" t="b">
        <f t="shared" si="64"/>
        <v>0</v>
      </c>
      <c r="B110" s="33">
        <v>83</v>
      </c>
      <c r="C110" s="15">
        <f t="shared" si="65"/>
        <v>20.081305947392778</v>
      </c>
      <c r="D110" s="75">
        <f>C110*(1-PARAM!$C$27)*$I$3+(MOD($B110,60)=PARAM!$B$56)*($B110&gt;(60-PARAM!$B$56))*HLOOKUP(($B110+PARAM!$B$56)/12,Loyalty,2)*$F$1*MAX(F109,0)</f>
        <v>16.808053077967756</v>
      </c>
      <c r="E110" s="75">
        <f>PARAM!$C$26+MAX($G$3-CHOOSE(PARAM!$B$44,MAX(0,F109*$F$1),0),0)*RATES!$L86/12+$H$3*(PARAM!$D$51/12)*RATES!$N86/100</f>
        <v>8.125</v>
      </c>
      <c r="F110" s="16">
        <f t="shared" si="66"/>
        <v>-482.15407854567741</v>
      </c>
      <c r="G110" s="15">
        <f t="shared" si="67"/>
        <v>22.035289406060361</v>
      </c>
      <c r="H110" s="75">
        <f>G110*(1-PARAM!$C$27)*$I$4+(MOD($B110,60)=PARAM!$B$56)*($B110&gt;(60-PARAM!$B$56))*HLOOKUP(($B110+PARAM!$B$56)/12,Loyalty,2)*$F$1*MAX(J109,0)</f>
        <v>18.443537232872522</v>
      </c>
      <c r="I110" s="75">
        <f>PARAM!$C$26+MAX($G$4-CHOOSE(PARAM!$B$44,MAX(0,J109*$F$1),0),0)*RATES!$L86/12+$H$4*(PARAM!$D$51/12)*RATES!$N86/100</f>
        <v>8.125</v>
      </c>
      <c r="J110" s="16">
        <f t="shared" si="68"/>
        <v>-363.53165073688757</v>
      </c>
      <c r="K110" s="15">
        <f t="shared" si="69"/>
        <v>22.170849845882874</v>
      </c>
      <c r="L110" s="75">
        <f>K110*(1-PARAM!$C$27)*$I$5+(MOD($B110,60)=PARAM!$B$56)*($B110&gt;(60-PARAM!$B$56))*HLOOKUP(($B110+PARAM!$B$56)/12,Loyalty,2)*$F$1*MAX(N109,0)</f>
        <v>18.557001321003963</v>
      </c>
      <c r="M110" s="75">
        <f>PARAM!$C$26+MAX($G$5-CHOOSE(PARAM!$B$44,MAX(0,N109*$F$1),0),0)*RATES!$L86/12+$H$5*(PARAM!$D$51/12)*RATES!$N86/100</f>
        <v>8.125</v>
      </c>
      <c r="N110" s="16">
        <f t="shared" si="70"/>
        <v>-355.3020475561388</v>
      </c>
      <c r="O110" s="15">
        <f t="shared" si="71"/>
        <v>22.170849845882874</v>
      </c>
      <c r="P110" s="75">
        <f>O110*(1-PARAM!$C$27)*$I$6+(MOD($B110,60)=PARAM!$B$56)*($B110&gt;(60-PARAM!$B$56))*HLOOKUP(($B110+PARAM!$B$56)/12,Loyalty,2)*$F$1*MAX(R109,0)</f>
        <v>18.557001321003963</v>
      </c>
      <c r="Q110" s="75">
        <f>PARAM!$C$26+MAX($G$6-CHOOSE(PARAM!$B$44,MAX(0,R109*$F$1),0),0)*RATES!$L86/12+$H$6*(PARAM!$D$51/12)*RATES!$N86/100</f>
        <v>8.125</v>
      </c>
      <c r="R110" s="16">
        <f t="shared" si="72"/>
        <v>-355.3020475561388</v>
      </c>
      <c r="S110" s="15">
        <f t="shared" si="47"/>
        <v>22.170849845882874</v>
      </c>
      <c r="T110" s="75">
        <f>S110*(1-PARAM!$C$27)*$I$7+(MOD($B110,60)=PARAM!$B$56)*($B110&gt;(60-PARAM!$B$56))*HLOOKUP(($B110+PARAM!$B$56)/12,Loyalty,2)*$F$1*MAX(V109,0)</f>
        <v>18.557001321003963</v>
      </c>
      <c r="U110" s="75">
        <f>PARAM!$C$26+MAX($G$7-CHOOSE(PARAM!$B$44,MAX(0,V109*$F$1),0),0)*RATES!$L86/12+$H$7*(PARAM!$D$51/12)*RATES!$N86/100</f>
        <v>8.125</v>
      </c>
      <c r="V110" s="16">
        <f t="shared" si="73"/>
        <v>-355.3020475561388</v>
      </c>
      <c r="W110" s="15">
        <f t="shared" si="48"/>
        <v>22.170849845882874</v>
      </c>
      <c r="X110" s="75">
        <f>W110*(1-PARAM!$C$27)*$I$8+(MOD($B110,60)=PARAM!$B$56)*($B110&gt;(60-PARAM!$B$56))*HLOOKUP(($B110+PARAM!$B$56)/12,Loyalty,2)*$F$1*MAX(Z109,0)</f>
        <v>18.557001321003963</v>
      </c>
      <c r="Y110" s="75">
        <f>PARAM!$C$26+MAX($G$8-CHOOSE(PARAM!$B$44,MAX(0,Z109*$F$1),0),0)*RATES!$L86/12+$H$8*(PARAM!$D$51/12)*RATES!$N86/100</f>
        <v>8.125</v>
      </c>
      <c r="Z110" s="16">
        <f t="shared" si="74"/>
        <v>-355.3020475561388</v>
      </c>
      <c r="AA110" s="15">
        <f t="shared" si="49"/>
        <v>22.170849845882874</v>
      </c>
      <c r="AB110" s="75">
        <f>AA110*(1-PARAM!$C$27)*$I$9+(MOD($B110,60)=PARAM!$B$56)*($B110&gt;(60-PARAM!$B$56))*HLOOKUP(($B110+PARAM!$B$56)/12,Loyalty,2)*$F$1*MAX(AD109,0)</f>
        <v>18.557001321003963</v>
      </c>
      <c r="AC110" s="75">
        <f>PARAM!$C$26+MAX($G$9-CHOOSE(PARAM!$B$44,MAX(0,AD109*$F$1),0),0)*RATES!$L86/12+$H$9*(PARAM!$D$51/12)*RATES!$N86/100</f>
        <v>8.125</v>
      </c>
      <c r="AD110" s="16">
        <f t="shared" si="75"/>
        <v>-355.3020475561388</v>
      </c>
      <c r="AE110" s="15">
        <f t="shared" si="50"/>
        <v>22.170849845882874</v>
      </c>
      <c r="AF110" s="75">
        <f>AE110*(1-PARAM!$C$27)*$I$10+(MOD($B110,60)=PARAM!$B$56)*($B110&gt;(60-PARAM!$B$56))*HLOOKUP(($B110+PARAM!$B$56)/12,Loyalty,2)*$F$1*MAX(AH109,0)</f>
        <v>18.557001321003963</v>
      </c>
      <c r="AG110" s="75">
        <f>PARAM!$C$26+MAX($G$10-CHOOSE(PARAM!$B$44,MAX(0,AH109*$F$1),0),0)*RATES!$L86/12+$H$10*(PARAM!$D$51/12)*RATES!$N86/100</f>
        <v>8.125</v>
      </c>
      <c r="AH110" s="16">
        <f t="shared" si="76"/>
        <v>-355.3020475561388</v>
      </c>
      <c r="AI110" s="15">
        <f t="shared" si="51"/>
        <v>22.170849845882874</v>
      </c>
      <c r="AJ110" s="75">
        <f>AI110*(1-PARAM!$C$27)*$I$11+(MOD($B110,60)=PARAM!$B$56)*($B110&gt;(60-PARAM!$B$56))*HLOOKUP(($B110+PARAM!$B$56)/12,Loyalty,2)*$F$1*MAX(AL109,0)</f>
        <v>18.557001321003963</v>
      </c>
      <c r="AK110" s="75">
        <f>PARAM!$C$26+MAX($G$11-CHOOSE(PARAM!$B$44,MAX(0,AL109*$F$1),0),0)*RATES!$L86/12+$H$11*(PARAM!$D$51/12)*RATES!$N86/100</f>
        <v>8.125</v>
      </c>
      <c r="AL110" s="16">
        <f t="shared" si="77"/>
        <v>-355.3020475561388</v>
      </c>
      <c r="AM110" s="15">
        <f t="shared" si="52"/>
        <v>22.170849845882874</v>
      </c>
      <c r="AN110" s="75">
        <f>AM110*(1-PARAM!$C$27)*$I$12+(MOD($B110,60)=PARAM!$B$56)*($B110&gt;(60-PARAM!$B$56))*HLOOKUP(($B110+PARAM!$B$56)/12,Loyalty,2)*$F$1*MAX(AP109,0)</f>
        <v>18.557001321003963</v>
      </c>
      <c r="AO110" s="75">
        <f>PARAM!$C$26+MAX($G$12-CHOOSE(PARAM!$B$44,MAX(0,AP109*$F$1),0),0)*RATES!$L86/12+$H$12*(PARAM!$D$51/12)*RATES!$N86/100</f>
        <v>8.125</v>
      </c>
      <c r="AP110" s="16">
        <f t="shared" si="78"/>
        <v>-355.3020475561388</v>
      </c>
      <c r="AQ110" s="15">
        <f t="shared" si="53"/>
        <v>22.170849845882874</v>
      </c>
      <c r="AR110" s="75">
        <f>AQ110*(1-PARAM!$C$27)*$I$13+(MOD($B110,60)=PARAM!$B$56)*($B110&gt;(60-PARAM!$B$56))*HLOOKUP(($B110+PARAM!$B$56)/12,Loyalty,2)*$F$1*MAX(AT109,0)</f>
        <v>18.557001321003963</v>
      </c>
      <c r="AS110" s="75">
        <f>PARAM!$C$26+MAX($G$13-CHOOSE(PARAM!$B$44,MAX(0,AT109*$F$1),0),0)*RATES!$L86/12+$H$13*(PARAM!$D$51/12)*RATES!$N86/100</f>
        <v>8.125</v>
      </c>
      <c r="AT110" s="16">
        <f t="shared" si="79"/>
        <v>-355.3020475561388</v>
      </c>
      <c r="AU110" s="15">
        <f t="shared" si="54"/>
        <v>22.170849845882874</v>
      </c>
      <c r="AV110" s="75">
        <f>AU110*(1-PARAM!$C$27)*$I$14+(MOD($B110,60)=PARAM!$B$56)*($B110&gt;(60-PARAM!$B$56))*HLOOKUP(($B110+PARAM!$B$56)/12,Loyalty,2)*$F$1*MAX(AX109,0)</f>
        <v>18.557001321003963</v>
      </c>
      <c r="AW110" s="75">
        <f>PARAM!$C$26+MAX($G$14-CHOOSE(PARAM!$B$44,MAX(0,AX109*$F$1),0),0)*RATES!$L86/12+$H$14*(PARAM!$D$51/12)*RATES!$N86/100</f>
        <v>8.125</v>
      </c>
      <c r="AX110" s="16">
        <f t="shared" si="80"/>
        <v>-355.3020475561388</v>
      </c>
      <c r="AY110" s="15">
        <f t="shared" si="55"/>
        <v>22.170849845882874</v>
      </c>
      <c r="AZ110" s="75">
        <f>AY110*(1-PARAM!$C$27)*$I$15+(MOD($B110,60)=PARAM!$B$56)*($B110&gt;(60-PARAM!$B$56))*HLOOKUP(($B110+PARAM!$B$56)/12,Loyalty,2)*$F$1*MAX(BB109,0)</f>
        <v>18.557001321003963</v>
      </c>
      <c r="BA110" s="75">
        <f>PARAM!$C$26+MAX($G$15-CHOOSE(PARAM!$B$44,MAX(0,BB109*$F$1),0),0)*RATES!$L86/12+$H$15*(PARAM!$D$51/12)*RATES!$N86/100</f>
        <v>8.125</v>
      </c>
      <c r="BB110" s="16">
        <f t="shared" si="81"/>
        <v>-355.3020475561388</v>
      </c>
      <c r="BC110" s="15">
        <f t="shared" si="56"/>
        <v>22.170849845882874</v>
      </c>
      <c r="BD110" s="75">
        <f>BC110*(1-PARAM!$C$27)*$I$16+(MOD($B110,60)=PARAM!$B$56)*($B110&gt;(60-PARAM!$B$56))*HLOOKUP(($B110+PARAM!$B$56)/12,Loyalty,2)*$F$1*MAX(BF109,0)</f>
        <v>18.557001321003963</v>
      </c>
      <c r="BE110" s="75">
        <f>PARAM!$C$26+MAX($G$16-CHOOSE(PARAM!$B$44,MAX(0,BF109*$F$1),0),0)*RATES!$L86/12+$H$16*(PARAM!$D$51/12)*RATES!$N86/100</f>
        <v>8.125</v>
      </c>
      <c r="BF110" s="16">
        <f t="shared" si="82"/>
        <v>-355.3020475561388</v>
      </c>
      <c r="BG110" s="15">
        <f t="shared" si="57"/>
        <v>22.170849845882874</v>
      </c>
      <c r="BH110" s="75">
        <f>BG110*(1-PARAM!$C$27)*$I$17+(MOD($B110,60)=PARAM!$B$56)*($B110&gt;(60-PARAM!$B$56))*HLOOKUP(($B110+PARAM!$B$56)/12,Loyalty,2)*$F$1*MAX(BJ109,0)</f>
        <v>18.557001321003963</v>
      </c>
      <c r="BI110" s="75">
        <f>PARAM!$C$26+MAX($G$17-CHOOSE(PARAM!$B$44,MAX(0,BJ109*$F$1),0),0)*RATES!$L86/12+$H$17*(PARAM!$D$51/12)*RATES!$N86/100</f>
        <v>8.125</v>
      </c>
      <c r="BJ110" s="16">
        <f t="shared" si="83"/>
        <v>-355.3020475561388</v>
      </c>
      <c r="BK110" s="15">
        <f t="shared" si="58"/>
        <v>22.170849845882874</v>
      </c>
      <c r="BL110" s="75">
        <f>BK110*(1-PARAM!$C$27)*$I$18+(MOD($B110,60)=PARAM!$B$56)*($B110&gt;(60-PARAM!$B$56))*HLOOKUP(($B110+PARAM!$B$56)/12,Loyalty,2)*$F$1*MAX(BN109,0)</f>
        <v>18.557001321003963</v>
      </c>
      <c r="BM110" s="75">
        <f>PARAM!$C$26+MAX($G$18-CHOOSE(PARAM!$B$44,MAX(0,BN109*$F$1),0),0)*RATES!$L86/12+$H$18*(PARAM!$D$51/12)*RATES!$N86/100</f>
        <v>8.125</v>
      </c>
      <c r="BN110" s="16">
        <f t="shared" si="84"/>
        <v>-355.3020475561388</v>
      </c>
      <c r="BO110" s="15">
        <f t="shared" si="59"/>
        <v>22.170849845882874</v>
      </c>
      <c r="BP110" s="75">
        <f>BO110*(1-PARAM!$C$27)*$I$19+(MOD($B110,60)=PARAM!$B$56)*($B110&gt;(60-PARAM!$B$56))*HLOOKUP(($B110+PARAM!$B$56)/12,Loyalty,2)*$F$1*MAX(BR109,0)</f>
        <v>18.557001321003963</v>
      </c>
      <c r="BQ110" s="75">
        <f>PARAM!$C$26+MAX($G$19-CHOOSE(PARAM!$B$44,MAX(0,BR109*$F$1),0),0)*RATES!$L86/12+$H$19*(PARAM!$D$51/12)*RATES!$N86/100</f>
        <v>8.125</v>
      </c>
      <c r="BR110" s="16">
        <f t="shared" si="85"/>
        <v>-355.3020475561388</v>
      </c>
      <c r="BS110" s="15">
        <f t="shared" si="60"/>
        <v>22.170849845882874</v>
      </c>
      <c r="BT110" s="75">
        <f>BS110*(1-PARAM!$C$27)*$I$20+(MOD($B110,60)=PARAM!$B$56)*($B110&gt;(60-PARAM!$B$56))*HLOOKUP(($B110+PARAM!$B$56)/12,Loyalty,2)*$F$1*MAX(BV109,0)</f>
        <v>18.557001321003963</v>
      </c>
      <c r="BU110" s="75">
        <f>PARAM!$C$26+MAX($G$20-CHOOSE(PARAM!$B$44,MAX(0,BV109*$F$1),0),0)*RATES!$L86/12+$H$20*(PARAM!$D$51/12)*RATES!$N86/100</f>
        <v>8.125</v>
      </c>
      <c r="BV110" s="16">
        <f t="shared" si="86"/>
        <v>-355.3020475561388</v>
      </c>
      <c r="BW110" s="15">
        <f t="shared" si="61"/>
        <v>22.170849845882874</v>
      </c>
      <c r="BX110" s="75">
        <f>BW110*(1-PARAM!$C$27)*$I$21+(MOD($B110,60)=PARAM!$B$56)*($B110&gt;(60-PARAM!$B$56))*HLOOKUP(($B110+PARAM!$B$56)/12,Loyalty,2)*$F$1*MAX(BZ109,0)</f>
        <v>18.557001321003963</v>
      </c>
      <c r="BY110" s="75">
        <f>PARAM!$C$26+MAX($G$21-CHOOSE(PARAM!$B$44,MAX(0,BZ109*$F$1),0),0)*RATES!$L86/12+$H$21*(PARAM!$D$51/12)*RATES!$N86/100</f>
        <v>8.125</v>
      </c>
      <c r="BZ110" s="16">
        <f t="shared" si="87"/>
        <v>-355.3020475561388</v>
      </c>
      <c r="CA110" s="15">
        <f t="shared" si="62"/>
        <v>22.170849845882874</v>
      </c>
      <c r="CB110" s="75">
        <f>CA110*(1-PARAM!$C$27)*$I$22+(MOD($B110,60)=PARAM!$B$56)*($B110&gt;(60-PARAM!$B$56))*HLOOKUP(($B110+PARAM!$B$56)/12,Loyalty,2)*$F$1*MAX(CD109,0)</f>
        <v>18.557001321003963</v>
      </c>
      <c r="CC110" s="75">
        <f>PARAM!$C$26+MAX($G$22-CHOOSE(PARAM!$B$44,MAX(0,CD109*$F$1),0),0)*RATES!$L86/12+$H$22*(PARAM!$D$51/12)*RATES!$N86/100</f>
        <v>8.125</v>
      </c>
      <c r="CD110" s="16">
        <f t="shared" si="88"/>
        <v>-355.3020475561388</v>
      </c>
      <c r="CE110" s="33">
        <f>IF(0=MOD(B110,12/PARAM!$D$51),1,0)</f>
        <v>1</v>
      </c>
      <c r="CF110" s="15">
        <f t="shared" si="63"/>
        <v>0</v>
      </c>
      <c r="CG110" s="75">
        <f>CF110*(1-PARAM!$C$27)*$R$3+(MOD($B110/12,5)=0)*($B110&gt;60)*HLOOKUP($B110/12,Loyalty,2)*$F$1*MAX(CI109,0)</f>
        <v>0</v>
      </c>
      <c r="CH110" s="75">
        <f>PARAM!$C$26+MAX($P$3-CHOOSE(PARAM!$B$44,MAX(0,CI109*$F$1),0),0)*RATES!$L86/12+$Q$3*(PARAM!$D$51/12)*RATES!$N86/100</f>
        <v>8.125</v>
      </c>
      <c r="CI110" s="16">
        <f>IF(CI109&gt;0,CI109*PARAM!$C$53,CI109)+CG110-CH110</f>
        <v>-1701.25</v>
      </c>
      <c r="CJ110" s="15">
        <f t="shared" si="89"/>
        <v>0</v>
      </c>
      <c r="CK110" s="75">
        <f>CJ110*(1-PARAM!$C$27)*$R$4+(MOD($B110/12,5)=0)*($B110&gt;60)*HLOOKUP($B110/12,Loyalty,2)*$F$1*MAX(CM109,0)</f>
        <v>0</v>
      </c>
      <c r="CL110" s="75">
        <f>PARAM!$C$26+MAX($P$4-CHOOSE(PARAM!$B$44,MAX(0,CM109*$F$1),0),0)*RATES!$L86/12+$Q$4*(PARAM!$D$51/12)*RATES!$N86/100</f>
        <v>8.125</v>
      </c>
      <c r="CM110" s="16">
        <f>IF(CM109&gt;0,CM109*PARAM!$C$53,CM109)+CK110-CL110</f>
        <v>-1701.25</v>
      </c>
      <c r="CO110" s="176"/>
    </row>
    <row r="111" spans="1:93" x14ac:dyDescent="0.2">
      <c r="A111" t="b">
        <f t="shared" si="64"/>
        <v>0</v>
      </c>
      <c r="B111" s="33">
        <v>84</v>
      </c>
      <c r="C111" s="15">
        <f t="shared" si="65"/>
        <v>20.081305947392778</v>
      </c>
      <c r="D111" s="75">
        <f>C111*(1-PARAM!$C$27)*$I$3+(MOD($B111,60)=PARAM!$B$56)*($B111&gt;(60-PARAM!$B$56))*HLOOKUP(($B111+PARAM!$B$56)/12,Loyalty,2)*$F$1*MAX(F110,0)</f>
        <v>16.808053077967756</v>
      </c>
      <c r="E111" s="75">
        <f>PARAM!$C$26+MAX($G$3-CHOOSE(PARAM!$B$44,MAX(0,F110*$F$1),0),0)*RATES!$L87/12+$H$3*(PARAM!$D$51/12)*RATES!$N87/100</f>
        <v>8.125</v>
      </c>
      <c r="F111" s="16">
        <f t="shared" si="66"/>
        <v>-473.47102546770964</v>
      </c>
      <c r="G111" s="15">
        <f t="shared" si="67"/>
        <v>22.035289406060361</v>
      </c>
      <c r="H111" s="75">
        <f>G111*(1-PARAM!$C$27)*$I$4+(MOD($B111,60)=PARAM!$B$56)*($B111&gt;(60-PARAM!$B$56))*HLOOKUP(($B111+PARAM!$B$56)/12,Loyalty,2)*$F$1*MAX(J110,0)</f>
        <v>18.443537232872522</v>
      </c>
      <c r="I111" s="75">
        <f>PARAM!$C$26+MAX($G$4-CHOOSE(PARAM!$B$44,MAX(0,J110*$F$1),0),0)*RATES!$L87/12+$H$4*(PARAM!$D$51/12)*RATES!$N87/100</f>
        <v>8.125</v>
      </c>
      <c r="J111" s="16">
        <f t="shared" si="68"/>
        <v>-353.21311350401504</v>
      </c>
      <c r="K111" s="15">
        <f t="shared" si="69"/>
        <v>22.170849845882874</v>
      </c>
      <c r="L111" s="75">
        <f>K111*(1-PARAM!$C$27)*$I$5+(MOD($B111,60)=PARAM!$B$56)*($B111&gt;(60-PARAM!$B$56))*HLOOKUP(($B111+PARAM!$B$56)/12,Loyalty,2)*$F$1*MAX(N110,0)</f>
        <v>18.557001321003963</v>
      </c>
      <c r="M111" s="75">
        <f>PARAM!$C$26+MAX($G$5-CHOOSE(PARAM!$B$44,MAX(0,N110*$F$1),0),0)*RATES!$L87/12+$H$5*(PARAM!$D$51/12)*RATES!$N87/100</f>
        <v>8.125</v>
      </c>
      <c r="N111" s="16">
        <f t="shared" si="70"/>
        <v>-344.87004623513485</v>
      </c>
      <c r="O111" s="15">
        <f t="shared" si="71"/>
        <v>22.170849845882874</v>
      </c>
      <c r="P111" s="75">
        <f>O111*(1-PARAM!$C$27)*$I$6+(MOD($B111,60)=PARAM!$B$56)*($B111&gt;(60-PARAM!$B$56))*HLOOKUP(($B111+PARAM!$B$56)/12,Loyalty,2)*$F$1*MAX(R110,0)</f>
        <v>18.557001321003963</v>
      </c>
      <c r="Q111" s="75">
        <f>PARAM!$C$26+MAX($G$6-CHOOSE(PARAM!$B$44,MAX(0,R110*$F$1),0),0)*RATES!$L87/12+$H$6*(PARAM!$D$51/12)*RATES!$N87/100</f>
        <v>8.125</v>
      </c>
      <c r="R111" s="16">
        <f t="shared" si="72"/>
        <v>-344.87004623513485</v>
      </c>
      <c r="S111" s="15">
        <f t="shared" si="47"/>
        <v>22.170849845882874</v>
      </c>
      <c r="T111" s="75">
        <f>S111*(1-PARAM!$C$27)*$I$7+(MOD($B111,60)=PARAM!$B$56)*($B111&gt;(60-PARAM!$B$56))*HLOOKUP(($B111+PARAM!$B$56)/12,Loyalty,2)*$F$1*MAX(V110,0)</f>
        <v>18.557001321003963</v>
      </c>
      <c r="U111" s="75">
        <f>PARAM!$C$26+MAX($G$7-CHOOSE(PARAM!$B$44,MAX(0,V110*$F$1),0),0)*RATES!$L87/12+$H$7*(PARAM!$D$51/12)*RATES!$N87/100</f>
        <v>8.125</v>
      </c>
      <c r="V111" s="16">
        <f t="shared" si="73"/>
        <v>-344.87004623513485</v>
      </c>
      <c r="W111" s="15">
        <f t="shared" si="48"/>
        <v>22.170849845882874</v>
      </c>
      <c r="X111" s="75">
        <f>W111*(1-PARAM!$C$27)*$I$8+(MOD($B111,60)=PARAM!$B$56)*($B111&gt;(60-PARAM!$B$56))*HLOOKUP(($B111+PARAM!$B$56)/12,Loyalty,2)*$F$1*MAX(Z110,0)</f>
        <v>18.557001321003963</v>
      </c>
      <c r="Y111" s="75">
        <f>PARAM!$C$26+MAX($G$8-CHOOSE(PARAM!$B$44,MAX(0,Z110*$F$1),0),0)*RATES!$L87/12+$H$8*(PARAM!$D$51/12)*RATES!$N87/100</f>
        <v>8.125</v>
      </c>
      <c r="Z111" s="16">
        <f t="shared" si="74"/>
        <v>-344.87004623513485</v>
      </c>
      <c r="AA111" s="15">
        <f t="shared" si="49"/>
        <v>22.170849845882874</v>
      </c>
      <c r="AB111" s="75">
        <f>AA111*(1-PARAM!$C$27)*$I$9+(MOD($B111,60)=PARAM!$B$56)*($B111&gt;(60-PARAM!$B$56))*HLOOKUP(($B111+PARAM!$B$56)/12,Loyalty,2)*$F$1*MAX(AD110,0)</f>
        <v>18.557001321003963</v>
      </c>
      <c r="AC111" s="75">
        <f>PARAM!$C$26+MAX($G$9-CHOOSE(PARAM!$B$44,MAX(0,AD110*$F$1),0),0)*RATES!$L87/12+$H$9*(PARAM!$D$51/12)*RATES!$N87/100</f>
        <v>8.125</v>
      </c>
      <c r="AD111" s="16">
        <f t="shared" si="75"/>
        <v>-344.87004623513485</v>
      </c>
      <c r="AE111" s="15">
        <f t="shared" si="50"/>
        <v>22.170849845882874</v>
      </c>
      <c r="AF111" s="75">
        <f>AE111*(1-PARAM!$C$27)*$I$10+(MOD($B111,60)=PARAM!$B$56)*($B111&gt;(60-PARAM!$B$56))*HLOOKUP(($B111+PARAM!$B$56)/12,Loyalty,2)*$F$1*MAX(AH110,0)</f>
        <v>18.557001321003963</v>
      </c>
      <c r="AG111" s="75">
        <f>PARAM!$C$26+MAX($G$10-CHOOSE(PARAM!$B$44,MAX(0,AH110*$F$1),0),0)*RATES!$L87/12+$H$10*(PARAM!$D$51/12)*RATES!$N87/100</f>
        <v>8.125</v>
      </c>
      <c r="AH111" s="16">
        <f t="shared" si="76"/>
        <v>-344.87004623513485</v>
      </c>
      <c r="AI111" s="15">
        <f t="shared" si="51"/>
        <v>22.170849845882874</v>
      </c>
      <c r="AJ111" s="75">
        <f>AI111*(1-PARAM!$C$27)*$I$11+(MOD($B111,60)=PARAM!$B$56)*($B111&gt;(60-PARAM!$B$56))*HLOOKUP(($B111+PARAM!$B$56)/12,Loyalty,2)*$F$1*MAX(AL110,0)</f>
        <v>18.557001321003963</v>
      </c>
      <c r="AK111" s="75">
        <f>PARAM!$C$26+MAX($G$11-CHOOSE(PARAM!$B$44,MAX(0,AL110*$F$1),0),0)*RATES!$L87/12+$H$11*(PARAM!$D$51/12)*RATES!$N87/100</f>
        <v>8.125</v>
      </c>
      <c r="AL111" s="16">
        <f t="shared" si="77"/>
        <v>-344.87004623513485</v>
      </c>
      <c r="AM111" s="15">
        <f t="shared" si="52"/>
        <v>22.170849845882874</v>
      </c>
      <c r="AN111" s="75">
        <f>AM111*(1-PARAM!$C$27)*$I$12+(MOD($B111,60)=PARAM!$B$56)*($B111&gt;(60-PARAM!$B$56))*HLOOKUP(($B111+PARAM!$B$56)/12,Loyalty,2)*$F$1*MAX(AP110,0)</f>
        <v>18.557001321003963</v>
      </c>
      <c r="AO111" s="75">
        <f>PARAM!$C$26+MAX($G$12-CHOOSE(PARAM!$B$44,MAX(0,AP110*$F$1),0),0)*RATES!$L87/12+$H$12*(PARAM!$D$51/12)*RATES!$N87/100</f>
        <v>8.125</v>
      </c>
      <c r="AP111" s="16">
        <f t="shared" si="78"/>
        <v>-344.87004623513485</v>
      </c>
      <c r="AQ111" s="15">
        <f t="shared" si="53"/>
        <v>22.170849845882874</v>
      </c>
      <c r="AR111" s="75">
        <f>AQ111*(1-PARAM!$C$27)*$I$13+(MOD($B111,60)=PARAM!$B$56)*($B111&gt;(60-PARAM!$B$56))*HLOOKUP(($B111+PARAM!$B$56)/12,Loyalty,2)*$F$1*MAX(AT110,0)</f>
        <v>18.557001321003963</v>
      </c>
      <c r="AS111" s="75">
        <f>PARAM!$C$26+MAX($G$13-CHOOSE(PARAM!$B$44,MAX(0,AT110*$F$1),0),0)*RATES!$L87/12+$H$13*(PARAM!$D$51/12)*RATES!$N87/100</f>
        <v>8.125</v>
      </c>
      <c r="AT111" s="16">
        <f t="shared" si="79"/>
        <v>-344.87004623513485</v>
      </c>
      <c r="AU111" s="15">
        <f t="shared" si="54"/>
        <v>22.170849845882874</v>
      </c>
      <c r="AV111" s="75">
        <f>AU111*(1-PARAM!$C$27)*$I$14+(MOD($B111,60)=PARAM!$B$56)*($B111&gt;(60-PARAM!$B$56))*HLOOKUP(($B111+PARAM!$B$56)/12,Loyalty,2)*$F$1*MAX(AX110,0)</f>
        <v>18.557001321003963</v>
      </c>
      <c r="AW111" s="75">
        <f>PARAM!$C$26+MAX($G$14-CHOOSE(PARAM!$B$44,MAX(0,AX110*$F$1),0),0)*RATES!$L87/12+$H$14*(PARAM!$D$51/12)*RATES!$N87/100</f>
        <v>8.125</v>
      </c>
      <c r="AX111" s="16">
        <f t="shared" si="80"/>
        <v>-344.87004623513485</v>
      </c>
      <c r="AY111" s="15">
        <f t="shared" si="55"/>
        <v>22.170849845882874</v>
      </c>
      <c r="AZ111" s="75">
        <f>AY111*(1-PARAM!$C$27)*$I$15+(MOD($B111,60)=PARAM!$B$56)*($B111&gt;(60-PARAM!$B$56))*HLOOKUP(($B111+PARAM!$B$56)/12,Loyalty,2)*$F$1*MAX(BB110,0)</f>
        <v>18.557001321003963</v>
      </c>
      <c r="BA111" s="75">
        <f>PARAM!$C$26+MAX($G$15-CHOOSE(PARAM!$B$44,MAX(0,BB110*$F$1),0),0)*RATES!$L87/12+$H$15*(PARAM!$D$51/12)*RATES!$N87/100</f>
        <v>8.125</v>
      </c>
      <c r="BB111" s="16">
        <f t="shared" si="81"/>
        <v>-344.87004623513485</v>
      </c>
      <c r="BC111" s="15">
        <f t="shared" si="56"/>
        <v>22.170849845882874</v>
      </c>
      <c r="BD111" s="75">
        <f>BC111*(1-PARAM!$C$27)*$I$16+(MOD($B111,60)=PARAM!$B$56)*($B111&gt;(60-PARAM!$B$56))*HLOOKUP(($B111+PARAM!$B$56)/12,Loyalty,2)*$F$1*MAX(BF110,0)</f>
        <v>18.557001321003963</v>
      </c>
      <c r="BE111" s="75">
        <f>PARAM!$C$26+MAX($G$16-CHOOSE(PARAM!$B$44,MAX(0,BF110*$F$1),0),0)*RATES!$L87/12+$H$16*(PARAM!$D$51/12)*RATES!$N87/100</f>
        <v>8.125</v>
      </c>
      <c r="BF111" s="16">
        <f t="shared" si="82"/>
        <v>-344.87004623513485</v>
      </c>
      <c r="BG111" s="15">
        <f t="shared" si="57"/>
        <v>22.170849845882874</v>
      </c>
      <c r="BH111" s="75">
        <f>BG111*(1-PARAM!$C$27)*$I$17+(MOD($B111,60)=PARAM!$B$56)*($B111&gt;(60-PARAM!$B$56))*HLOOKUP(($B111+PARAM!$B$56)/12,Loyalty,2)*$F$1*MAX(BJ110,0)</f>
        <v>18.557001321003963</v>
      </c>
      <c r="BI111" s="75">
        <f>PARAM!$C$26+MAX($G$17-CHOOSE(PARAM!$B$44,MAX(0,BJ110*$F$1),0),0)*RATES!$L87/12+$H$17*(PARAM!$D$51/12)*RATES!$N87/100</f>
        <v>8.125</v>
      </c>
      <c r="BJ111" s="16">
        <f t="shared" si="83"/>
        <v>-344.87004623513485</v>
      </c>
      <c r="BK111" s="15">
        <f t="shared" si="58"/>
        <v>22.170849845882874</v>
      </c>
      <c r="BL111" s="75">
        <f>BK111*(1-PARAM!$C$27)*$I$18+(MOD($B111,60)=PARAM!$B$56)*($B111&gt;(60-PARAM!$B$56))*HLOOKUP(($B111+PARAM!$B$56)/12,Loyalty,2)*$F$1*MAX(BN110,0)</f>
        <v>18.557001321003963</v>
      </c>
      <c r="BM111" s="75">
        <f>PARAM!$C$26+MAX($G$18-CHOOSE(PARAM!$B$44,MAX(0,BN110*$F$1),0),0)*RATES!$L87/12+$H$18*(PARAM!$D$51/12)*RATES!$N87/100</f>
        <v>8.125</v>
      </c>
      <c r="BN111" s="16">
        <f t="shared" si="84"/>
        <v>-344.87004623513485</v>
      </c>
      <c r="BO111" s="15">
        <f t="shared" si="59"/>
        <v>22.170849845882874</v>
      </c>
      <c r="BP111" s="75">
        <f>BO111*(1-PARAM!$C$27)*$I$19+(MOD($B111,60)=PARAM!$B$56)*($B111&gt;(60-PARAM!$B$56))*HLOOKUP(($B111+PARAM!$B$56)/12,Loyalty,2)*$F$1*MAX(BR110,0)</f>
        <v>18.557001321003963</v>
      </c>
      <c r="BQ111" s="75">
        <f>PARAM!$C$26+MAX($G$19-CHOOSE(PARAM!$B$44,MAX(0,BR110*$F$1),0),0)*RATES!$L87/12+$H$19*(PARAM!$D$51/12)*RATES!$N87/100</f>
        <v>8.125</v>
      </c>
      <c r="BR111" s="16">
        <f t="shared" si="85"/>
        <v>-344.87004623513485</v>
      </c>
      <c r="BS111" s="15">
        <f t="shared" si="60"/>
        <v>22.170849845882874</v>
      </c>
      <c r="BT111" s="75">
        <f>BS111*(1-PARAM!$C$27)*$I$20+(MOD($B111,60)=PARAM!$B$56)*($B111&gt;(60-PARAM!$B$56))*HLOOKUP(($B111+PARAM!$B$56)/12,Loyalty,2)*$F$1*MAX(BV110,0)</f>
        <v>18.557001321003963</v>
      </c>
      <c r="BU111" s="75">
        <f>PARAM!$C$26+MAX($G$20-CHOOSE(PARAM!$B$44,MAX(0,BV110*$F$1),0),0)*RATES!$L87/12+$H$20*(PARAM!$D$51/12)*RATES!$N87/100</f>
        <v>8.125</v>
      </c>
      <c r="BV111" s="16">
        <f t="shared" si="86"/>
        <v>-344.87004623513485</v>
      </c>
      <c r="BW111" s="15">
        <f t="shared" si="61"/>
        <v>22.170849845882874</v>
      </c>
      <c r="BX111" s="75">
        <f>BW111*(1-PARAM!$C$27)*$I$21+(MOD($B111,60)=PARAM!$B$56)*($B111&gt;(60-PARAM!$B$56))*HLOOKUP(($B111+PARAM!$B$56)/12,Loyalty,2)*$F$1*MAX(BZ110,0)</f>
        <v>18.557001321003963</v>
      </c>
      <c r="BY111" s="75">
        <f>PARAM!$C$26+MAX($G$21-CHOOSE(PARAM!$B$44,MAX(0,BZ110*$F$1),0),0)*RATES!$L87/12+$H$21*(PARAM!$D$51/12)*RATES!$N87/100</f>
        <v>8.125</v>
      </c>
      <c r="BZ111" s="16">
        <f t="shared" si="87"/>
        <v>-344.87004623513485</v>
      </c>
      <c r="CA111" s="15">
        <f t="shared" si="62"/>
        <v>22.170849845882874</v>
      </c>
      <c r="CB111" s="75">
        <f>CA111*(1-PARAM!$C$27)*$I$22+(MOD($B111,60)=PARAM!$B$56)*($B111&gt;(60-PARAM!$B$56))*HLOOKUP(($B111+PARAM!$B$56)/12,Loyalty,2)*$F$1*MAX(CD110,0)</f>
        <v>18.557001321003963</v>
      </c>
      <c r="CC111" s="75">
        <f>PARAM!$C$26+MAX($G$22-CHOOSE(PARAM!$B$44,MAX(0,CD110*$F$1),0),0)*RATES!$L87/12+$H$22*(PARAM!$D$51/12)*RATES!$N87/100</f>
        <v>8.125</v>
      </c>
      <c r="CD111" s="16">
        <f t="shared" si="88"/>
        <v>-344.87004623513485</v>
      </c>
      <c r="CE111" s="33">
        <f>IF(0=MOD(B111,12/PARAM!$D$51),1,0)</f>
        <v>1</v>
      </c>
      <c r="CF111" s="15">
        <f t="shared" si="63"/>
        <v>0</v>
      </c>
      <c r="CG111" s="75">
        <f>CF111*(1-PARAM!$C$27)*$R$3+(MOD($B111/12,5)=0)*($B111&gt;60)*HLOOKUP($B111/12,Loyalty,2)*$F$1*MAX(CI110,0)</f>
        <v>0</v>
      </c>
      <c r="CH111" s="75">
        <f>PARAM!$C$26+MAX($P$3-CHOOSE(PARAM!$B$44,MAX(0,CI110*$F$1),0),0)*RATES!$L87/12+$Q$3*(PARAM!$D$51/12)*RATES!$N87/100</f>
        <v>8.125</v>
      </c>
      <c r="CI111" s="16">
        <f>IF(CI110&gt;0,CI110*PARAM!$C$53,CI110)+CG111-CH111</f>
        <v>-1709.375</v>
      </c>
      <c r="CJ111" s="15">
        <f t="shared" si="89"/>
        <v>0</v>
      </c>
      <c r="CK111" s="75">
        <f>CJ111*(1-PARAM!$C$27)*$R$4+(MOD($B111/12,5)=0)*($B111&gt;60)*HLOOKUP($B111/12,Loyalty,2)*$F$1*MAX(CM110,0)</f>
        <v>0</v>
      </c>
      <c r="CL111" s="75">
        <f>PARAM!$C$26+MAX($P$4-CHOOSE(PARAM!$B$44,MAX(0,CM110*$F$1),0),0)*RATES!$L87/12+$Q$4*(PARAM!$D$51/12)*RATES!$N87/100</f>
        <v>8.125</v>
      </c>
      <c r="CM111" s="16">
        <f>IF(CM110&gt;0,CM110*PARAM!$C$53,CM110)+CK111-CL111</f>
        <v>-1709.375</v>
      </c>
      <c r="CO111" s="176"/>
    </row>
    <row r="112" spans="1:93" x14ac:dyDescent="0.2">
      <c r="A112" t="b">
        <f t="shared" si="64"/>
        <v>0</v>
      </c>
      <c r="B112" s="33">
        <v>85</v>
      </c>
      <c r="C112" s="15">
        <f t="shared" si="65"/>
        <v>20.081305947392778</v>
      </c>
      <c r="D112" s="75">
        <f>C112*(1-PARAM!$C$27)*$I$3+(MOD($B112,60)=PARAM!$B$56)*($B112&gt;(60-PARAM!$B$56))*HLOOKUP(($B112+PARAM!$B$56)/12,Loyalty,2)*$F$1*MAX(F111,0)</f>
        <v>16.808053077967756</v>
      </c>
      <c r="E112" s="75">
        <f>PARAM!$C$26+MAX($G$3-CHOOSE(PARAM!$B$44,MAX(0,F111*$F$1),0),0)*RATES!$L88/12+$H$3*(PARAM!$D$51/12)*RATES!$N88/100</f>
        <v>8.125</v>
      </c>
      <c r="F112" s="16">
        <f t="shared" si="66"/>
        <v>-464.78797238974187</v>
      </c>
      <c r="G112" s="15">
        <f t="shared" si="67"/>
        <v>22.035289406060361</v>
      </c>
      <c r="H112" s="75">
        <f>G112*(1-PARAM!$C$27)*$I$4+(MOD($B112,60)=PARAM!$B$56)*($B112&gt;(60-PARAM!$B$56))*HLOOKUP(($B112+PARAM!$B$56)/12,Loyalty,2)*$F$1*MAX(J111,0)</f>
        <v>18.443537232872522</v>
      </c>
      <c r="I112" s="75">
        <f>PARAM!$C$26+MAX($G$4-CHOOSE(PARAM!$B$44,MAX(0,J111*$F$1),0),0)*RATES!$L88/12+$H$4*(PARAM!$D$51/12)*RATES!$N88/100</f>
        <v>8.125</v>
      </c>
      <c r="J112" s="16">
        <f t="shared" si="68"/>
        <v>-342.89457627114251</v>
      </c>
      <c r="K112" s="15">
        <f t="shared" si="69"/>
        <v>22.170849845882874</v>
      </c>
      <c r="L112" s="75">
        <f>K112*(1-PARAM!$C$27)*$I$5+(MOD($B112,60)=PARAM!$B$56)*($B112&gt;(60-PARAM!$B$56))*HLOOKUP(($B112+PARAM!$B$56)/12,Loyalty,2)*$F$1*MAX(N111,0)</f>
        <v>18.557001321003963</v>
      </c>
      <c r="M112" s="75">
        <f>PARAM!$C$26+MAX($G$5-CHOOSE(PARAM!$B$44,MAX(0,N111*$F$1),0),0)*RATES!$L88/12+$H$5*(PARAM!$D$51/12)*RATES!$N88/100</f>
        <v>8.125</v>
      </c>
      <c r="N112" s="16">
        <f t="shared" si="70"/>
        <v>-334.4380449141309</v>
      </c>
      <c r="O112" s="15">
        <f t="shared" si="71"/>
        <v>22.170849845882874</v>
      </c>
      <c r="P112" s="75">
        <f>O112*(1-PARAM!$C$27)*$I$6+(MOD($B112,60)=PARAM!$B$56)*($B112&gt;(60-PARAM!$B$56))*HLOOKUP(($B112+PARAM!$B$56)/12,Loyalty,2)*$F$1*MAX(R111,0)</f>
        <v>18.557001321003963</v>
      </c>
      <c r="Q112" s="75">
        <f>PARAM!$C$26+MAX($G$6-CHOOSE(PARAM!$B$44,MAX(0,R111*$F$1),0),0)*RATES!$L88/12+$H$6*(PARAM!$D$51/12)*RATES!$N88/100</f>
        <v>8.125</v>
      </c>
      <c r="R112" s="16">
        <f t="shared" si="72"/>
        <v>-334.4380449141309</v>
      </c>
      <c r="S112" s="15">
        <f t="shared" si="47"/>
        <v>22.170849845882874</v>
      </c>
      <c r="T112" s="75">
        <f>S112*(1-PARAM!$C$27)*$I$7+(MOD($B112,60)=PARAM!$B$56)*($B112&gt;(60-PARAM!$B$56))*HLOOKUP(($B112+PARAM!$B$56)/12,Loyalty,2)*$F$1*MAX(V111,0)</f>
        <v>18.557001321003963</v>
      </c>
      <c r="U112" s="75">
        <f>PARAM!$C$26+MAX($G$7-CHOOSE(PARAM!$B$44,MAX(0,V111*$F$1),0),0)*RATES!$L88/12+$H$7*(PARAM!$D$51/12)*RATES!$N88/100</f>
        <v>8.125</v>
      </c>
      <c r="V112" s="16">
        <f t="shared" si="73"/>
        <v>-334.4380449141309</v>
      </c>
      <c r="W112" s="15">
        <f t="shared" si="48"/>
        <v>22.170849845882874</v>
      </c>
      <c r="X112" s="75">
        <f>W112*(1-PARAM!$C$27)*$I$8+(MOD($B112,60)=PARAM!$B$56)*($B112&gt;(60-PARAM!$B$56))*HLOOKUP(($B112+PARAM!$B$56)/12,Loyalty,2)*$F$1*MAX(Z111,0)</f>
        <v>18.557001321003963</v>
      </c>
      <c r="Y112" s="75">
        <f>PARAM!$C$26+MAX($G$8-CHOOSE(PARAM!$B$44,MAX(0,Z111*$F$1),0),0)*RATES!$L88/12+$H$8*(PARAM!$D$51/12)*RATES!$N88/100</f>
        <v>8.125</v>
      </c>
      <c r="Z112" s="16">
        <f t="shared" si="74"/>
        <v>-334.4380449141309</v>
      </c>
      <c r="AA112" s="15">
        <f t="shared" si="49"/>
        <v>22.170849845882874</v>
      </c>
      <c r="AB112" s="75">
        <f>AA112*(1-PARAM!$C$27)*$I$9+(MOD($B112,60)=PARAM!$B$56)*($B112&gt;(60-PARAM!$B$56))*HLOOKUP(($B112+PARAM!$B$56)/12,Loyalty,2)*$F$1*MAX(AD111,0)</f>
        <v>18.557001321003963</v>
      </c>
      <c r="AC112" s="75">
        <f>PARAM!$C$26+MAX($G$9-CHOOSE(PARAM!$B$44,MAX(0,AD111*$F$1),0),0)*RATES!$L88/12+$H$9*(PARAM!$D$51/12)*RATES!$N88/100</f>
        <v>8.125</v>
      </c>
      <c r="AD112" s="16">
        <f t="shared" si="75"/>
        <v>-334.4380449141309</v>
      </c>
      <c r="AE112" s="15">
        <f t="shared" si="50"/>
        <v>22.170849845882874</v>
      </c>
      <c r="AF112" s="75">
        <f>AE112*(1-PARAM!$C$27)*$I$10+(MOD($B112,60)=PARAM!$B$56)*($B112&gt;(60-PARAM!$B$56))*HLOOKUP(($B112+PARAM!$B$56)/12,Loyalty,2)*$F$1*MAX(AH111,0)</f>
        <v>18.557001321003963</v>
      </c>
      <c r="AG112" s="75">
        <f>PARAM!$C$26+MAX($G$10-CHOOSE(PARAM!$B$44,MAX(0,AH111*$F$1),0),0)*RATES!$L88/12+$H$10*(PARAM!$D$51/12)*RATES!$N88/100</f>
        <v>8.125</v>
      </c>
      <c r="AH112" s="16">
        <f t="shared" si="76"/>
        <v>-334.4380449141309</v>
      </c>
      <c r="AI112" s="15">
        <f t="shared" si="51"/>
        <v>22.170849845882874</v>
      </c>
      <c r="AJ112" s="75">
        <f>AI112*(1-PARAM!$C$27)*$I$11+(MOD($B112,60)=PARAM!$B$56)*($B112&gt;(60-PARAM!$B$56))*HLOOKUP(($B112+PARAM!$B$56)/12,Loyalty,2)*$F$1*MAX(AL111,0)</f>
        <v>18.557001321003963</v>
      </c>
      <c r="AK112" s="75">
        <f>PARAM!$C$26+MAX($G$11-CHOOSE(PARAM!$B$44,MAX(0,AL111*$F$1),0),0)*RATES!$L88/12+$H$11*(PARAM!$D$51/12)*RATES!$N88/100</f>
        <v>8.125</v>
      </c>
      <c r="AL112" s="16">
        <f t="shared" si="77"/>
        <v>-334.4380449141309</v>
      </c>
      <c r="AM112" s="15">
        <f t="shared" si="52"/>
        <v>22.170849845882874</v>
      </c>
      <c r="AN112" s="75">
        <f>AM112*(1-PARAM!$C$27)*$I$12+(MOD($B112,60)=PARAM!$B$56)*($B112&gt;(60-PARAM!$B$56))*HLOOKUP(($B112+PARAM!$B$56)/12,Loyalty,2)*$F$1*MAX(AP111,0)</f>
        <v>18.557001321003963</v>
      </c>
      <c r="AO112" s="75">
        <f>PARAM!$C$26+MAX($G$12-CHOOSE(PARAM!$B$44,MAX(0,AP111*$F$1),0),0)*RATES!$L88/12+$H$12*(PARAM!$D$51/12)*RATES!$N88/100</f>
        <v>8.125</v>
      </c>
      <c r="AP112" s="16">
        <f t="shared" si="78"/>
        <v>-334.4380449141309</v>
      </c>
      <c r="AQ112" s="15">
        <f t="shared" si="53"/>
        <v>22.170849845882874</v>
      </c>
      <c r="AR112" s="75">
        <f>AQ112*(1-PARAM!$C$27)*$I$13+(MOD($B112,60)=PARAM!$B$56)*($B112&gt;(60-PARAM!$B$56))*HLOOKUP(($B112+PARAM!$B$56)/12,Loyalty,2)*$F$1*MAX(AT111,0)</f>
        <v>18.557001321003963</v>
      </c>
      <c r="AS112" s="75">
        <f>PARAM!$C$26+MAX($G$13-CHOOSE(PARAM!$B$44,MAX(0,AT111*$F$1),0),0)*RATES!$L88/12+$H$13*(PARAM!$D$51/12)*RATES!$N88/100</f>
        <v>8.125</v>
      </c>
      <c r="AT112" s="16">
        <f t="shared" si="79"/>
        <v>-334.4380449141309</v>
      </c>
      <c r="AU112" s="15">
        <f t="shared" si="54"/>
        <v>22.170849845882874</v>
      </c>
      <c r="AV112" s="75">
        <f>AU112*(1-PARAM!$C$27)*$I$14+(MOD($B112,60)=PARAM!$B$56)*($B112&gt;(60-PARAM!$B$56))*HLOOKUP(($B112+PARAM!$B$56)/12,Loyalty,2)*$F$1*MAX(AX111,0)</f>
        <v>18.557001321003963</v>
      </c>
      <c r="AW112" s="75">
        <f>PARAM!$C$26+MAX($G$14-CHOOSE(PARAM!$B$44,MAX(0,AX111*$F$1),0),0)*RATES!$L88/12+$H$14*(PARAM!$D$51/12)*RATES!$N88/100</f>
        <v>8.125</v>
      </c>
      <c r="AX112" s="16">
        <f t="shared" si="80"/>
        <v>-334.4380449141309</v>
      </c>
      <c r="AY112" s="15">
        <f t="shared" si="55"/>
        <v>22.170849845882874</v>
      </c>
      <c r="AZ112" s="75">
        <f>AY112*(1-PARAM!$C$27)*$I$15+(MOD($B112,60)=PARAM!$B$56)*($B112&gt;(60-PARAM!$B$56))*HLOOKUP(($B112+PARAM!$B$56)/12,Loyalty,2)*$F$1*MAX(BB111,0)</f>
        <v>18.557001321003963</v>
      </c>
      <c r="BA112" s="75">
        <f>PARAM!$C$26+MAX($G$15-CHOOSE(PARAM!$B$44,MAX(0,BB111*$F$1),0),0)*RATES!$L88/12+$H$15*(PARAM!$D$51/12)*RATES!$N88/100</f>
        <v>8.125</v>
      </c>
      <c r="BB112" s="16">
        <f t="shared" si="81"/>
        <v>-334.4380449141309</v>
      </c>
      <c r="BC112" s="15">
        <f t="shared" si="56"/>
        <v>22.170849845882874</v>
      </c>
      <c r="BD112" s="75">
        <f>BC112*(1-PARAM!$C$27)*$I$16+(MOD($B112,60)=PARAM!$B$56)*($B112&gt;(60-PARAM!$B$56))*HLOOKUP(($B112+PARAM!$B$56)/12,Loyalty,2)*$F$1*MAX(BF111,0)</f>
        <v>18.557001321003963</v>
      </c>
      <c r="BE112" s="75">
        <f>PARAM!$C$26+MAX($G$16-CHOOSE(PARAM!$B$44,MAX(0,BF111*$F$1),0),0)*RATES!$L88/12+$H$16*(PARAM!$D$51/12)*RATES!$N88/100</f>
        <v>8.125</v>
      </c>
      <c r="BF112" s="16">
        <f t="shared" si="82"/>
        <v>-334.4380449141309</v>
      </c>
      <c r="BG112" s="15">
        <f t="shared" si="57"/>
        <v>22.170849845882874</v>
      </c>
      <c r="BH112" s="75">
        <f>BG112*(1-PARAM!$C$27)*$I$17+(MOD($B112,60)=PARAM!$B$56)*($B112&gt;(60-PARAM!$B$56))*HLOOKUP(($B112+PARAM!$B$56)/12,Loyalty,2)*$F$1*MAX(BJ111,0)</f>
        <v>18.557001321003963</v>
      </c>
      <c r="BI112" s="75">
        <f>PARAM!$C$26+MAX($G$17-CHOOSE(PARAM!$B$44,MAX(0,BJ111*$F$1),0),0)*RATES!$L88/12+$H$17*(PARAM!$D$51/12)*RATES!$N88/100</f>
        <v>8.125</v>
      </c>
      <c r="BJ112" s="16">
        <f t="shared" si="83"/>
        <v>-334.4380449141309</v>
      </c>
      <c r="BK112" s="15">
        <f t="shared" si="58"/>
        <v>22.170849845882874</v>
      </c>
      <c r="BL112" s="75">
        <f>BK112*(1-PARAM!$C$27)*$I$18+(MOD($B112,60)=PARAM!$B$56)*($B112&gt;(60-PARAM!$B$56))*HLOOKUP(($B112+PARAM!$B$56)/12,Loyalty,2)*$F$1*MAX(BN111,0)</f>
        <v>18.557001321003963</v>
      </c>
      <c r="BM112" s="75">
        <f>PARAM!$C$26+MAX($G$18-CHOOSE(PARAM!$B$44,MAX(0,BN111*$F$1),0),0)*RATES!$L88/12+$H$18*(PARAM!$D$51/12)*RATES!$N88/100</f>
        <v>8.125</v>
      </c>
      <c r="BN112" s="16">
        <f t="shared" si="84"/>
        <v>-334.4380449141309</v>
      </c>
      <c r="BO112" s="15">
        <f t="shared" si="59"/>
        <v>22.170849845882874</v>
      </c>
      <c r="BP112" s="75">
        <f>BO112*(1-PARAM!$C$27)*$I$19+(MOD($B112,60)=PARAM!$B$56)*($B112&gt;(60-PARAM!$B$56))*HLOOKUP(($B112+PARAM!$B$56)/12,Loyalty,2)*$F$1*MAX(BR111,0)</f>
        <v>18.557001321003963</v>
      </c>
      <c r="BQ112" s="75">
        <f>PARAM!$C$26+MAX($G$19-CHOOSE(PARAM!$B$44,MAX(0,BR111*$F$1),0),0)*RATES!$L88/12+$H$19*(PARAM!$D$51/12)*RATES!$N88/100</f>
        <v>8.125</v>
      </c>
      <c r="BR112" s="16">
        <f t="shared" si="85"/>
        <v>-334.4380449141309</v>
      </c>
      <c r="BS112" s="15">
        <f t="shared" si="60"/>
        <v>22.170849845882874</v>
      </c>
      <c r="BT112" s="75">
        <f>BS112*(1-PARAM!$C$27)*$I$20+(MOD($B112,60)=PARAM!$B$56)*($B112&gt;(60-PARAM!$B$56))*HLOOKUP(($B112+PARAM!$B$56)/12,Loyalty,2)*$F$1*MAX(BV111,0)</f>
        <v>18.557001321003963</v>
      </c>
      <c r="BU112" s="75">
        <f>PARAM!$C$26+MAX($G$20-CHOOSE(PARAM!$B$44,MAX(0,BV111*$F$1),0),0)*RATES!$L88/12+$H$20*(PARAM!$D$51/12)*RATES!$N88/100</f>
        <v>8.125</v>
      </c>
      <c r="BV112" s="16">
        <f t="shared" si="86"/>
        <v>-334.4380449141309</v>
      </c>
      <c r="BW112" s="15">
        <f t="shared" si="61"/>
        <v>22.170849845882874</v>
      </c>
      <c r="BX112" s="75">
        <f>BW112*(1-PARAM!$C$27)*$I$21+(MOD($B112,60)=PARAM!$B$56)*($B112&gt;(60-PARAM!$B$56))*HLOOKUP(($B112+PARAM!$B$56)/12,Loyalty,2)*$F$1*MAX(BZ111,0)</f>
        <v>18.557001321003963</v>
      </c>
      <c r="BY112" s="75">
        <f>PARAM!$C$26+MAX($G$21-CHOOSE(PARAM!$B$44,MAX(0,BZ111*$F$1),0),0)*RATES!$L88/12+$H$21*(PARAM!$D$51/12)*RATES!$N88/100</f>
        <v>8.125</v>
      </c>
      <c r="BZ112" s="16">
        <f t="shared" si="87"/>
        <v>-334.4380449141309</v>
      </c>
      <c r="CA112" s="15">
        <f t="shared" si="62"/>
        <v>22.170849845882874</v>
      </c>
      <c r="CB112" s="75">
        <f>CA112*(1-PARAM!$C$27)*$I$22+(MOD($B112,60)=PARAM!$B$56)*($B112&gt;(60-PARAM!$B$56))*HLOOKUP(($B112+PARAM!$B$56)/12,Loyalty,2)*$F$1*MAX(CD111,0)</f>
        <v>18.557001321003963</v>
      </c>
      <c r="CC112" s="75">
        <f>PARAM!$C$26+MAX($G$22-CHOOSE(PARAM!$B$44,MAX(0,CD111*$F$1),0),0)*RATES!$L88/12+$H$22*(PARAM!$D$51/12)*RATES!$N88/100</f>
        <v>8.125</v>
      </c>
      <c r="CD112" s="16">
        <f t="shared" si="88"/>
        <v>-334.4380449141309</v>
      </c>
      <c r="CE112" s="33">
        <f>IF(0=MOD(B112,12/PARAM!$D$51),1,0)</f>
        <v>1</v>
      </c>
      <c r="CF112" s="15">
        <f t="shared" si="63"/>
        <v>0</v>
      </c>
      <c r="CG112" s="75">
        <f>CF112*(1-PARAM!$C$27)*$R$3+(MOD($B112/12,5)=0)*($B112&gt;60)*HLOOKUP($B112/12,Loyalty,2)*$F$1*MAX(CI111,0)</f>
        <v>0</v>
      </c>
      <c r="CH112" s="75">
        <f>PARAM!$C$26+MAX($P$3-CHOOSE(PARAM!$B$44,MAX(0,CI111*$F$1),0),0)*RATES!$L88/12+$Q$3*(PARAM!$D$51/12)*RATES!$N88/100</f>
        <v>8.125</v>
      </c>
      <c r="CI112" s="16">
        <f>IF(CI111&gt;0,CI111*PARAM!$C$53,CI111)+CG112-CH112</f>
        <v>-1717.5</v>
      </c>
      <c r="CJ112" s="15">
        <f t="shared" si="89"/>
        <v>0</v>
      </c>
      <c r="CK112" s="75">
        <f>CJ112*(1-PARAM!$C$27)*$R$4+(MOD($B112/12,5)=0)*($B112&gt;60)*HLOOKUP($B112/12,Loyalty,2)*$F$1*MAX(CM111,0)</f>
        <v>0</v>
      </c>
      <c r="CL112" s="75">
        <f>PARAM!$C$26+MAX($P$4-CHOOSE(PARAM!$B$44,MAX(0,CM111*$F$1),0),0)*RATES!$L88/12+$Q$4*(PARAM!$D$51/12)*RATES!$N88/100</f>
        <v>8.125</v>
      </c>
      <c r="CM112" s="16">
        <f>IF(CM111&gt;0,CM111*PARAM!$C$53,CM111)+CK112-CL112</f>
        <v>-1717.5</v>
      </c>
      <c r="CO112" s="176"/>
    </row>
    <row r="113" spans="1:93" x14ac:dyDescent="0.2">
      <c r="A113" t="b">
        <f t="shared" si="64"/>
        <v>0</v>
      </c>
      <c r="B113" s="33">
        <v>86</v>
      </c>
      <c r="C113" s="15">
        <f t="shared" si="65"/>
        <v>20.081305947392778</v>
      </c>
      <c r="D113" s="75">
        <f>C113*(1-PARAM!$C$27)*$I$3+(MOD($B113,60)=PARAM!$B$56)*($B113&gt;(60-PARAM!$B$56))*HLOOKUP(($B113+PARAM!$B$56)/12,Loyalty,2)*$F$1*MAX(F112,0)</f>
        <v>16.808053077967756</v>
      </c>
      <c r="E113" s="75">
        <f>PARAM!$C$26+MAX($G$3-CHOOSE(PARAM!$B$44,MAX(0,F112*$F$1),0),0)*RATES!$L89/12+$H$3*(PARAM!$D$51/12)*RATES!$N89/100</f>
        <v>8.125</v>
      </c>
      <c r="F113" s="16">
        <f t="shared" si="66"/>
        <v>-456.1049193117741</v>
      </c>
      <c r="G113" s="15">
        <f t="shared" si="67"/>
        <v>22.035289406060361</v>
      </c>
      <c r="H113" s="75">
        <f>G113*(1-PARAM!$C$27)*$I$4+(MOD($B113,60)=PARAM!$B$56)*($B113&gt;(60-PARAM!$B$56))*HLOOKUP(($B113+PARAM!$B$56)/12,Loyalty,2)*$F$1*MAX(J112,0)</f>
        <v>18.443537232872522</v>
      </c>
      <c r="I113" s="75">
        <f>PARAM!$C$26+MAX($G$4-CHOOSE(PARAM!$B$44,MAX(0,J112*$F$1),0),0)*RATES!$L89/12+$H$4*(PARAM!$D$51/12)*RATES!$N89/100</f>
        <v>8.125</v>
      </c>
      <c r="J113" s="16">
        <f t="shared" si="68"/>
        <v>-332.57603903826998</v>
      </c>
      <c r="K113" s="15">
        <f t="shared" si="69"/>
        <v>22.170849845882874</v>
      </c>
      <c r="L113" s="75">
        <f>K113*(1-PARAM!$C$27)*$I$5+(MOD($B113,60)=PARAM!$B$56)*($B113&gt;(60-PARAM!$B$56))*HLOOKUP(($B113+PARAM!$B$56)/12,Loyalty,2)*$F$1*MAX(N112,0)</f>
        <v>18.557001321003963</v>
      </c>
      <c r="M113" s="75">
        <f>PARAM!$C$26+MAX($G$5-CHOOSE(PARAM!$B$44,MAX(0,N112*$F$1),0),0)*RATES!$L89/12+$H$5*(PARAM!$D$51/12)*RATES!$N89/100</f>
        <v>8.125</v>
      </c>
      <c r="N113" s="16">
        <f t="shared" si="70"/>
        <v>-324.00604359312695</v>
      </c>
      <c r="O113" s="15">
        <f t="shared" si="71"/>
        <v>22.170849845882874</v>
      </c>
      <c r="P113" s="75">
        <f>O113*(1-PARAM!$C$27)*$I$6+(MOD($B113,60)=PARAM!$B$56)*($B113&gt;(60-PARAM!$B$56))*HLOOKUP(($B113+PARAM!$B$56)/12,Loyalty,2)*$F$1*MAX(R112,0)</f>
        <v>18.557001321003963</v>
      </c>
      <c r="Q113" s="75">
        <f>PARAM!$C$26+MAX($G$6-CHOOSE(PARAM!$B$44,MAX(0,R112*$F$1),0),0)*RATES!$L89/12+$H$6*(PARAM!$D$51/12)*RATES!$N89/100</f>
        <v>8.125</v>
      </c>
      <c r="R113" s="16">
        <f t="shared" si="72"/>
        <v>-324.00604359312695</v>
      </c>
      <c r="S113" s="15">
        <f t="shared" si="47"/>
        <v>22.170849845882874</v>
      </c>
      <c r="T113" s="75">
        <f>S113*(1-PARAM!$C$27)*$I$7+(MOD($B113,60)=PARAM!$B$56)*($B113&gt;(60-PARAM!$B$56))*HLOOKUP(($B113+PARAM!$B$56)/12,Loyalty,2)*$F$1*MAX(V112,0)</f>
        <v>18.557001321003963</v>
      </c>
      <c r="U113" s="75">
        <f>PARAM!$C$26+MAX($G$7-CHOOSE(PARAM!$B$44,MAX(0,V112*$F$1),0),0)*RATES!$L89/12+$H$7*(PARAM!$D$51/12)*RATES!$N89/100</f>
        <v>8.125</v>
      </c>
      <c r="V113" s="16">
        <f t="shared" si="73"/>
        <v>-324.00604359312695</v>
      </c>
      <c r="W113" s="15">
        <f t="shared" si="48"/>
        <v>22.170849845882874</v>
      </c>
      <c r="X113" s="75">
        <f>W113*(1-PARAM!$C$27)*$I$8+(MOD($B113,60)=PARAM!$B$56)*($B113&gt;(60-PARAM!$B$56))*HLOOKUP(($B113+PARAM!$B$56)/12,Loyalty,2)*$F$1*MAX(Z112,0)</f>
        <v>18.557001321003963</v>
      </c>
      <c r="Y113" s="75">
        <f>PARAM!$C$26+MAX($G$8-CHOOSE(PARAM!$B$44,MAX(0,Z112*$F$1),0),0)*RATES!$L89/12+$H$8*(PARAM!$D$51/12)*RATES!$N89/100</f>
        <v>8.125</v>
      </c>
      <c r="Z113" s="16">
        <f t="shared" si="74"/>
        <v>-324.00604359312695</v>
      </c>
      <c r="AA113" s="15">
        <f t="shared" si="49"/>
        <v>22.170849845882874</v>
      </c>
      <c r="AB113" s="75">
        <f>AA113*(1-PARAM!$C$27)*$I$9+(MOD($B113,60)=PARAM!$B$56)*($B113&gt;(60-PARAM!$B$56))*HLOOKUP(($B113+PARAM!$B$56)/12,Loyalty,2)*$F$1*MAX(AD112,0)</f>
        <v>18.557001321003963</v>
      </c>
      <c r="AC113" s="75">
        <f>PARAM!$C$26+MAX($G$9-CHOOSE(PARAM!$B$44,MAX(0,AD112*$F$1),0),0)*RATES!$L89/12+$H$9*(PARAM!$D$51/12)*RATES!$N89/100</f>
        <v>8.125</v>
      </c>
      <c r="AD113" s="16">
        <f t="shared" si="75"/>
        <v>-324.00604359312695</v>
      </c>
      <c r="AE113" s="15">
        <f t="shared" si="50"/>
        <v>22.170849845882874</v>
      </c>
      <c r="AF113" s="75">
        <f>AE113*(1-PARAM!$C$27)*$I$10+(MOD($B113,60)=PARAM!$B$56)*($B113&gt;(60-PARAM!$B$56))*HLOOKUP(($B113+PARAM!$B$56)/12,Loyalty,2)*$F$1*MAX(AH112,0)</f>
        <v>18.557001321003963</v>
      </c>
      <c r="AG113" s="75">
        <f>PARAM!$C$26+MAX($G$10-CHOOSE(PARAM!$B$44,MAX(0,AH112*$F$1),0),0)*RATES!$L89/12+$H$10*(PARAM!$D$51/12)*RATES!$N89/100</f>
        <v>8.125</v>
      </c>
      <c r="AH113" s="16">
        <f t="shared" si="76"/>
        <v>-324.00604359312695</v>
      </c>
      <c r="AI113" s="15">
        <f t="shared" si="51"/>
        <v>22.170849845882874</v>
      </c>
      <c r="AJ113" s="75">
        <f>AI113*(1-PARAM!$C$27)*$I$11+(MOD($B113,60)=PARAM!$B$56)*($B113&gt;(60-PARAM!$B$56))*HLOOKUP(($B113+PARAM!$B$56)/12,Loyalty,2)*$F$1*MAX(AL112,0)</f>
        <v>18.557001321003963</v>
      </c>
      <c r="AK113" s="75">
        <f>PARAM!$C$26+MAX($G$11-CHOOSE(PARAM!$B$44,MAX(0,AL112*$F$1),0),0)*RATES!$L89/12+$H$11*(PARAM!$D$51/12)*RATES!$N89/100</f>
        <v>8.125</v>
      </c>
      <c r="AL113" s="16">
        <f t="shared" si="77"/>
        <v>-324.00604359312695</v>
      </c>
      <c r="AM113" s="15">
        <f t="shared" si="52"/>
        <v>22.170849845882874</v>
      </c>
      <c r="AN113" s="75">
        <f>AM113*(1-PARAM!$C$27)*$I$12+(MOD($B113,60)=PARAM!$B$56)*($B113&gt;(60-PARAM!$B$56))*HLOOKUP(($B113+PARAM!$B$56)/12,Loyalty,2)*$F$1*MAX(AP112,0)</f>
        <v>18.557001321003963</v>
      </c>
      <c r="AO113" s="75">
        <f>PARAM!$C$26+MAX($G$12-CHOOSE(PARAM!$B$44,MAX(0,AP112*$F$1),0),0)*RATES!$L89/12+$H$12*(PARAM!$D$51/12)*RATES!$N89/100</f>
        <v>8.125</v>
      </c>
      <c r="AP113" s="16">
        <f t="shared" si="78"/>
        <v>-324.00604359312695</v>
      </c>
      <c r="AQ113" s="15">
        <f t="shared" si="53"/>
        <v>22.170849845882874</v>
      </c>
      <c r="AR113" s="75">
        <f>AQ113*(1-PARAM!$C$27)*$I$13+(MOD($B113,60)=PARAM!$B$56)*($B113&gt;(60-PARAM!$B$56))*HLOOKUP(($B113+PARAM!$B$56)/12,Loyalty,2)*$F$1*MAX(AT112,0)</f>
        <v>18.557001321003963</v>
      </c>
      <c r="AS113" s="75">
        <f>PARAM!$C$26+MAX($G$13-CHOOSE(PARAM!$B$44,MAX(0,AT112*$F$1),0),0)*RATES!$L89/12+$H$13*(PARAM!$D$51/12)*RATES!$N89/100</f>
        <v>8.125</v>
      </c>
      <c r="AT113" s="16">
        <f t="shared" si="79"/>
        <v>-324.00604359312695</v>
      </c>
      <c r="AU113" s="15">
        <f t="shared" si="54"/>
        <v>22.170849845882874</v>
      </c>
      <c r="AV113" s="75">
        <f>AU113*(1-PARAM!$C$27)*$I$14+(MOD($B113,60)=PARAM!$B$56)*($B113&gt;(60-PARAM!$B$56))*HLOOKUP(($B113+PARAM!$B$56)/12,Loyalty,2)*$F$1*MAX(AX112,0)</f>
        <v>18.557001321003963</v>
      </c>
      <c r="AW113" s="75">
        <f>PARAM!$C$26+MAX($G$14-CHOOSE(PARAM!$B$44,MAX(0,AX112*$F$1),0),0)*RATES!$L89/12+$H$14*(PARAM!$D$51/12)*RATES!$N89/100</f>
        <v>8.125</v>
      </c>
      <c r="AX113" s="16">
        <f t="shared" si="80"/>
        <v>-324.00604359312695</v>
      </c>
      <c r="AY113" s="15">
        <f t="shared" si="55"/>
        <v>22.170849845882874</v>
      </c>
      <c r="AZ113" s="75">
        <f>AY113*(1-PARAM!$C$27)*$I$15+(MOD($B113,60)=PARAM!$B$56)*($B113&gt;(60-PARAM!$B$56))*HLOOKUP(($B113+PARAM!$B$56)/12,Loyalty,2)*$F$1*MAX(BB112,0)</f>
        <v>18.557001321003963</v>
      </c>
      <c r="BA113" s="75">
        <f>PARAM!$C$26+MAX($G$15-CHOOSE(PARAM!$B$44,MAX(0,BB112*$F$1),0),0)*RATES!$L89/12+$H$15*(PARAM!$D$51/12)*RATES!$N89/100</f>
        <v>8.125</v>
      </c>
      <c r="BB113" s="16">
        <f t="shared" si="81"/>
        <v>-324.00604359312695</v>
      </c>
      <c r="BC113" s="15">
        <f t="shared" si="56"/>
        <v>22.170849845882874</v>
      </c>
      <c r="BD113" s="75">
        <f>BC113*(1-PARAM!$C$27)*$I$16+(MOD($B113,60)=PARAM!$B$56)*($B113&gt;(60-PARAM!$B$56))*HLOOKUP(($B113+PARAM!$B$56)/12,Loyalty,2)*$F$1*MAX(BF112,0)</f>
        <v>18.557001321003963</v>
      </c>
      <c r="BE113" s="75">
        <f>PARAM!$C$26+MAX($G$16-CHOOSE(PARAM!$B$44,MAX(0,BF112*$F$1),0),0)*RATES!$L89/12+$H$16*(PARAM!$D$51/12)*RATES!$N89/100</f>
        <v>8.125</v>
      </c>
      <c r="BF113" s="16">
        <f t="shared" si="82"/>
        <v>-324.00604359312695</v>
      </c>
      <c r="BG113" s="15">
        <f t="shared" si="57"/>
        <v>22.170849845882874</v>
      </c>
      <c r="BH113" s="75">
        <f>BG113*(1-PARAM!$C$27)*$I$17+(MOD($B113,60)=PARAM!$B$56)*($B113&gt;(60-PARAM!$B$56))*HLOOKUP(($B113+PARAM!$B$56)/12,Loyalty,2)*$F$1*MAX(BJ112,0)</f>
        <v>18.557001321003963</v>
      </c>
      <c r="BI113" s="75">
        <f>PARAM!$C$26+MAX($G$17-CHOOSE(PARAM!$B$44,MAX(0,BJ112*$F$1),0),0)*RATES!$L89/12+$H$17*(PARAM!$D$51/12)*RATES!$N89/100</f>
        <v>8.125</v>
      </c>
      <c r="BJ113" s="16">
        <f t="shared" si="83"/>
        <v>-324.00604359312695</v>
      </c>
      <c r="BK113" s="15">
        <f t="shared" si="58"/>
        <v>22.170849845882874</v>
      </c>
      <c r="BL113" s="75">
        <f>BK113*(1-PARAM!$C$27)*$I$18+(MOD($B113,60)=PARAM!$B$56)*($B113&gt;(60-PARAM!$B$56))*HLOOKUP(($B113+PARAM!$B$56)/12,Loyalty,2)*$F$1*MAX(BN112,0)</f>
        <v>18.557001321003963</v>
      </c>
      <c r="BM113" s="75">
        <f>PARAM!$C$26+MAX($G$18-CHOOSE(PARAM!$B$44,MAX(0,BN112*$F$1),0),0)*RATES!$L89/12+$H$18*(PARAM!$D$51/12)*RATES!$N89/100</f>
        <v>8.125</v>
      </c>
      <c r="BN113" s="16">
        <f t="shared" si="84"/>
        <v>-324.00604359312695</v>
      </c>
      <c r="BO113" s="15">
        <f t="shared" si="59"/>
        <v>22.170849845882874</v>
      </c>
      <c r="BP113" s="75">
        <f>BO113*(1-PARAM!$C$27)*$I$19+(MOD($B113,60)=PARAM!$B$56)*($B113&gt;(60-PARAM!$B$56))*HLOOKUP(($B113+PARAM!$B$56)/12,Loyalty,2)*$F$1*MAX(BR112,0)</f>
        <v>18.557001321003963</v>
      </c>
      <c r="BQ113" s="75">
        <f>PARAM!$C$26+MAX($G$19-CHOOSE(PARAM!$B$44,MAX(0,BR112*$F$1),0),0)*RATES!$L89/12+$H$19*(PARAM!$D$51/12)*RATES!$N89/100</f>
        <v>8.125</v>
      </c>
      <c r="BR113" s="16">
        <f t="shared" si="85"/>
        <v>-324.00604359312695</v>
      </c>
      <c r="BS113" s="15">
        <f t="shared" si="60"/>
        <v>22.170849845882874</v>
      </c>
      <c r="BT113" s="75">
        <f>BS113*(1-PARAM!$C$27)*$I$20+(MOD($B113,60)=PARAM!$B$56)*($B113&gt;(60-PARAM!$B$56))*HLOOKUP(($B113+PARAM!$B$56)/12,Loyalty,2)*$F$1*MAX(BV112,0)</f>
        <v>18.557001321003963</v>
      </c>
      <c r="BU113" s="75">
        <f>PARAM!$C$26+MAX($G$20-CHOOSE(PARAM!$B$44,MAX(0,BV112*$F$1),0),0)*RATES!$L89/12+$H$20*(PARAM!$D$51/12)*RATES!$N89/100</f>
        <v>8.125</v>
      </c>
      <c r="BV113" s="16">
        <f t="shared" si="86"/>
        <v>-324.00604359312695</v>
      </c>
      <c r="BW113" s="15">
        <f t="shared" si="61"/>
        <v>22.170849845882874</v>
      </c>
      <c r="BX113" s="75">
        <f>BW113*(1-PARAM!$C$27)*$I$21+(MOD($B113,60)=PARAM!$B$56)*($B113&gt;(60-PARAM!$B$56))*HLOOKUP(($B113+PARAM!$B$56)/12,Loyalty,2)*$F$1*MAX(BZ112,0)</f>
        <v>18.557001321003963</v>
      </c>
      <c r="BY113" s="75">
        <f>PARAM!$C$26+MAX($G$21-CHOOSE(PARAM!$B$44,MAX(0,BZ112*$F$1),0),0)*RATES!$L89/12+$H$21*(PARAM!$D$51/12)*RATES!$N89/100</f>
        <v>8.125</v>
      </c>
      <c r="BZ113" s="16">
        <f t="shared" si="87"/>
        <v>-324.00604359312695</v>
      </c>
      <c r="CA113" s="15">
        <f t="shared" si="62"/>
        <v>22.170849845882874</v>
      </c>
      <c r="CB113" s="75">
        <f>CA113*(1-PARAM!$C$27)*$I$22+(MOD($B113,60)=PARAM!$B$56)*($B113&gt;(60-PARAM!$B$56))*HLOOKUP(($B113+PARAM!$B$56)/12,Loyalty,2)*$F$1*MAX(CD112,0)</f>
        <v>18.557001321003963</v>
      </c>
      <c r="CC113" s="75">
        <f>PARAM!$C$26+MAX($G$22-CHOOSE(PARAM!$B$44,MAX(0,CD112*$F$1),0),0)*RATES!$L89/12+$H$22*(PARAM!$D$51/12)*RATES!$N89/100</f>
        <v>8.125</v>
      </c>
      <c r="CD113" s="16">
        <f t="shared" si="88"/>
        <v>-324.00604359312695</v>
      </c>
      <c r="CE113" s="33">
        <f>IF(0=MOD(B113,12/PARAM!$D$51),1,0)</f>
        <v>1</v>
      </c>
      <c r="CF113" s="15">
        <f t="shared" si="63"/>
        <v>0</v>
      </c>
      <c r="CG113" s="75">
        <f>CF113*(1-PARAM!$C$27)*$R$3+(MOD($B113/12,5)=0)*($B113&gt;60)*HLOOKUP($B113/12,Loyalty,2)*$F$1*MAX(CI112,0)</f>
        <v>0</v>
      </c>
      <c r="CH113" s="75">
        <f>PARAM!$C$26+MAX($P$3-CHOOSE(PARAM!$B$44,MAX(0,CI112*$F$1),0),0)*RATES!$L89/12+$Q$3*(PARAM!$D$51/12)*RATES!$N89/100</f>
        <v>8.125</v>
      </c>
      <c r="CI113" s="16">
        <f>IF(CI112&gt;0,CI112*PARAM!$C$53,CI112)+CG113-CH113</f>
        <v>-1725.625</v>
      </c>
      <c r="CJ113" s="15">
        <f t="shared" si="89"/>
        <v>0</v>
      </c>
      <c r="CK113" s="75">
        <f>CJ113*(1-PARAM!$C$27)*$R$4+(MOD($B113/12,5)=0)*($B113&gt;60)*HLOOKUP($B113/12,Loyalty,2)*$F$1*MAX(CM112,0)</f>
        <v>0</v>
      </c>
      <c r="CL113" s="75">
        <f>PARAM!$C$26+MAX($P$4-CHOOSE(PARAM!$B$44,MAX(0,CM112*$F$1),0),0)*RATES!$L89/12+$Q$4*(PARAM!$D$51/12)*RATES!$N89/100</f>
        <v>8.125</v>
      </c>
      <c r="CM113" s="16">
        <f>IF(CM112&gt;0,CM112*PARAM!$C$53,CM112)+CK113-CL113</f>
        <v>-1725.625</v>
      </c>
      <c r="CO113" s="176"/>
    </row>
    <row r="114" spans="1:93" x14ac:dyDescent="0.2">
      <c r="A114" t="b">
        <f t="shared" si="64"/>
        <v>0</v>
      </c>
      <c r="B114" s="33">
        <v>87</v>
      </c>
      <c r="C114" s="15">
        <f t="shared" si="65"/>
        <v>20.081305947392778</v>
      </c>
      <c r="D114" s="75">
        <f>C114*(1-PARAM!$C$27)*$I$3+(MOD($B114,60)=PARAM!$B$56)*($B114&gt;(60-PARAM!$B$56))*HLOOKUP(($B114+PARAM!$B$56)/12,Loyalty,2)*$F$1*MAX(F113,0)</f>
        <v>16.808053077967756</v>
      </c>
      <c r="E114" s="75">
        <f>PARAM!$C$26+MAX($G$3-CHOOSE(PARAM!$B$44,MAX(0,F113*$F$1),0),0)*RATES!$L90/12+$H$3*(PARAM!$D$51/12)*RATES!$N90/100</f>
        <v>8.125</v>
      </c>
      <c r="F114" s="16">
        <f t="shared" si="66"/>
        <v>-447.42186623380633</v>
      </c>
      <c r="G114" s="15">
        <f t="shared" si="67"/>
        <v>22.035289406060361</v>
      </c>
      <c r="H114" s="75">
        <f>G114*(1-PARAM!$C$27)*$I$4+(MOD($B114,60)=PARAM!$B$56)*($B114&gt;(60-PARAM!$B$56))*HLOOKUP(($B114+PARAM!$B$56)/12,Loyalty,2)*$F$1*MAX(J113,0)</f>
        <v>18.443537232872522</v>
      </c>
      <c r="I114" s="75">
        <f>PARAM!$C$26+MAX($G$4-CHOOSE(PARAM!$B$44,MAX(0,J113*$F$1),0),0)*RATES!$L90/12+$H$4*(PARAM!$D$51/12)*RATES!$N90/100</f>
        <v>8.125</v>
      </c>
      <c r="J114" s="16">
        <f t="shared" si="68"/>
        <v>-322.25750180539745</v>
      </c>
      <c r="K114" s="15">
        <f t="shared" si="69"/>
        <v>22.170849845882874</v>
      </c>
      <c r="L114" s="75">
        <f>K114*(1-PARAM!$C$27)*$I$5+(MOD($B114,60)=PARAM!$B$56)*($B114&gt;(60-PARAM!$B$56))*HLOOKUP(($B114+PARAM!$B$56)/12,Loyalty,2)*$F$1*MAX(N113,0)</f>
        <v>18.557001321003963</v>
      </c>
      <c r="M114" s="75">
        <f>PARAM!$C$26+MAX($G$5-CHOOSE(PARAM!$B$44,MAX(0,N113*$F$1),0),0)*RATES!$L90/12+$H$5*(PARAM!$D$51/12)*RATES!$N90/100</f>
        <v>8.125</v>
      </c>
      <c r="N114" s="16">
        <f t="shared" si="70"/>
        <v>-313.57404227212299</v>
      </c>
      <c r="O114" s="15">
        <f t="shared" si="71"/>
        <v>22.170849845882874</v>
      </c>
      <c r="P114" s="75">
        <f>O114*(1-PARAM!$C$27)*$I$6+(MOD($B114,60)=PARAM!$B$56)*($B114&gt;(60-PARAM!$B$56))*HLOOKUP(($B114+PARAM!$B$56)/12,Loyalty,2)*$F$1*MAX(R113,0)</f>
        <v>18.557001321003963</v>
      </c>
      <c r="Q114" s="75">
        <f>PARAM!$C$26+MAX($G$6-CHOOSE(PARAM!$B$44,MAX(0,R113*$F$1),0),0)*RATES!$L90/12+$H$6*(PARAM!$D$51/12)*RATES!$N90/100</f>
        <v>8.125</v>
      </c>
      <c r="R114" s="16">
        <f t="shared" si="72"/>
        <v>-313.57404227212299</v>
      </c>
      <c r="S114" s="15">
        <f t="shared" si="47"/>
        <v>22.170849845882874</v>
      </c>
      <c r="T114" s="75">
        <f>S114*(1-PARAM!$C$27)*$I$7+(MOD($B114,60)=PARAM!$B$56)*($B114&gt;(60-PARAM!$B$56))*HLOOKUP(($B114+PARAM!$B$56)/12,Loyalty,2)*$F$1*MAX(V113,0)</f>
        <v>18.557001321003963</v>
      </c>
      <c r="U114" s="75">
        <f>PARAM!$C$26+MAX($G$7-CHOOSE(PARAM!$B$44,MAX(0,V113*$F$1),0),0)*RATES!$L90/12+$H$7*(PARAM!$D$51/12)*RATES!$N90/100</f>
        <v>8.125</v>
      </c>
      <c r="V114" s="16">
        <f t="shared" si="73"/>
        <v>-313.57404227212299</v>
      </c>
      <c r="W114" s="15">
        <f t="shared" si="48"/>
        <v>22.170849845882874</v>
      </c>
      <c r="X114" s="75">
        <f>W114*(1-PARAM!$C$27)*$I$8+(MOD($B114,60)=PARAM!$B$56)*($B114&gt;(60-PARAM!$B$56))*HLOOKUP(($B114+PARAM!$B$56)/12,Loyalty,2)*$F$1*MAX(Z113,0)</f>
        <v>18.557001321003963</v>
      </c>
      <c r="Y114" s="75">
        <f>PARAM!$C$26+MAX($G$8-CHOOSE(PARAM!$B$44,MAX(0,Z113*$F$1),0),0)*RATES!$L90/12+$H$8*(PARAM!$D$51/12)*RATES!$N90/100</f>
        <v>8.125</v>
      </c>
      <c r="Z114" s="16">
        <f t="shared" si="74"/>
        <v>-313.57404227212299</v>
      </c>
      <c r="AA114" s="15">
        <f t="shared" si="49"/>
        <v>22.170849845882874</v>
      </c>
      <c r="AB114" s="75">
        <f>AA114*(1-PARAM!$C$27)*$I$9+(MOD($B114,60)=PARAM!$B$56)*($B114&gt;(60-PARAM!$B$56))*HLOOKUP(($B114+PARAM!$B$56)/12,Loyalty,2)*$F$1*MAX(AD113,0)</f>
        <v>18.557001321003963</v>
      </c>
      <c r="AC114" s="75">
        <f>PARAM!$C$26+MAX($G$9-CHOOSE(PARAM!$B$44,MAX(0,AD113*$F$1),0),0)*RATES!$L90/12+$H$9*(PARAM!$D$51/12)*RATES!$N90/100</f>
        <v>8.125</v>
      </c>
      <c r="AD114" s="16">
        <f t="shared" si="75"/>
        <v>-313.57404227212299</v>
      </c>
      <c r="AE114" s="15">
        <f t="shared" si="50"/>
        <v>22.170849845882874</v>
      </c>
      <c r="AF114" s="75">
        <f>AE114*(1-PARAM!$C$27)*$I$10+(MOD($B114,60)=PARAM!$B$56)*($B114&gt;(60-PARAM!$B$56))*HLOOKUP(($B114+PARAM!$B$56)/12,Loyalty,2)*$F$1*MAX(AH113,0)</f>
        <v>18.557001321003963</v>
      </c>
      <c r="AG114" s="75">
        <f>PARAM!$C$26+MAX($G$10-CHOOSE(PARAM!$B$44,MAX(0,AH113*$F$1),0),0)*RATES!$L90/12+$H$10*(PARAM!$D$51/12)*RATES!$N90/100</f>
        <v>8.125</v>
      </c>
      <c r="AH114" s="16">
        <f t="shared" si="76"/>
        <v>-313.57404227212299</v>
      </c>
      <c r="AI114" s="15">
        <f t="shared" si="51"/>
        <v>22.170849845882874</v>
      </c>
      <c r="AJ114" s="75">
        <f>AI114*(1-PARAM!$C$27)*$I$11+(MOD($B114,60)=PARAM!$B$56)*($B114&gt;(60-PARAM!$B$56))*HLOOKUP(($B114+PARAM!$B$56)/12,Loyalty,2)*$F$1*MAX(AL113,0)</f>
        <v>18.557001321003963</v>
      </c>
      <c r="AK114" s="75">
        <f>PARAM!$C$26+MAX($G$11-CHOOSE(PARAM!$B$44,MAX(0,AL113*$F$1),0),0)*RATES!$L90/12+$H$11*(PARAM!$D$51/12)*RATES!$N90/100</f>
        <v>8.125</v>
      </c>
      <c r="AL114" s="16">
        <f t="shared" si="77"/>
        <v>-313.57404227212299</v>
      </c>
      <c r="AM114" s="15">
        <f t="shared" si="52"/>
        <v>22.170849845882874</v>
      </c>
      <c r="AN114" s="75">
        <f>AM114*(1-PARAM!$C$27)*$I$12+(MOD($B114,60)=PARAM!$B$56)*($B114&gt;(60-PARAM!$B$56))*HLOOKUP(($B114+PARAM!$B$56)/12,Loyalty,2)*$F$1*MAX(AP113,0)</f>
        <v>18.557001321003963</v>
      </c>
      <c r="AO114" s="75">
        <f>PARAM!$C$26+MAX($G$12-CHOOSE(PARAM!$B$44,MAX(0,AP113*$F$1),0),0)*RATES!$L90/12+$H$12*(PARAM!$D$51/12)*RATES!$N90/100</f>
        <v>8.125</v>
      </c>
      <c r="AP114" s="16">
        <f t="shared" si="78"/>
        <v>-313.57404227212299</v>
      </c>
      <c r="AQ114" s="15">
        <f t="shared" si="53"/>
        <v>22.170849845882874</v>
      </c>
      <c r="AR114" s="75">
        <f>AQ114*(1-PARAM!$C$27)*$I$13+(MOD($B114,60)=PARAM!$B$56)*($B114&gt;(60-PARAM!$B$56))*HLOOKUP(($B114+PARAM!$B$56)/12,Loyalty,2)*$F$1*MAX(AT113,0)</f>
        <v>18.557001321003963</v>
      </c>
      <c r="AS114" s="75">
        <f>PARAM!$C$26+MAX($G$13-CHOOSE(PARAM!$B$44,MAX(0,AT113*$F$1),0),0)*RATES!$L90/12+$H$13*(PARAM!$D$51/12)*RATES!$N90/100</f>
        <v>8.125</v>
      </c>
      <c r="AT114" s="16">
        <f t="shared" si="79"/>
        <v>-313.57404227212299</v>
      </c>
      <c r="AU114" s="15">
        <f t="shared" si="54"/>
        <v>22.170849845882874</v>
      </c>
      <c r="AV114" s="75">
        <f>AU114*(1-PARAM!$C$27)*$I$14+(MOD($B114,60)=PARAM!$B$56)*($B114&gt;(60-PARAM!$B$56))*HLOOKUP(($B114+PARAM!$B$56)/12,Loyalty,2)*$F$1*MAX(AX113,0)</f>
        <v>18.557001321003963</v>
      </c>
      <c r="AW114" s="75">
        <f>PARAM!$C$26+MAX($G$14-CHOOSE(PARAM!$B$44,MAX(0,AX113*$F$1),0),0)*RATES!$L90/12+$H$14*(PARAM!$D$51/12)*RATES!$N90/100</f>
        <v>8.125</v>
      </c>
      <c r="AX114" s="16">
        <f t="shared" si="80"/>
        <v>-313.57404227212299</v>
      </c>
      <c r="AY114" s="15">
        <f t="shared" si="55"/>
        <v>22.170849845882874</v>
      </c>
      <c r="AZ114" s="75">
        <f>AY114*(1-PARAM!$C$27)*$I$15+(MOD($B114,60)=PARAM!$B$56)*($B114&gt;(60-PARAM!$B$56))*HLOOKUP(($B114+PARAM!$B$56)/12,Loyalty,2)*$F$1*MAX(BB113,0)</f>
        <v>18.557001321003963</v>
      </c>
      <c r="BA114" s="75">
        <f>PARAM!$C$26+MAX($G$15-CHOOSE(PARAM!$B$44,MAX(0,BB113*$F$1),0),0)*RATES!$L90/12+$H$15*(PARAM!$D$51/12)*RATES!$N90/100</f>
        <v>8.125</v>
      </c>
      <c r="BB114" s="16">
        <f t="shared" si="81"/>
        <v>-313.57404227212299</v>
      </c>
      <c r="BC114" s="15">
        <f t="shared" si="56"/>
        <v>22.170849845882874</v>
      </c>
      <c r="BD114" s="75">
        <f>BC114*(1-PARAM!$C$27)*$I$16+(MOD($B114,60)=PARAM!$B$56)*($B114&gt;(60-PARAM!$B$56))*HLOOKUP(($B114+PARAM!$B$56)/12,Loyalty,2)*$F$1*MAX(BF113,0)</f>
        <v>18.557001321003963</v>
      </c>
      <c r="BE114" s="75">
        <f>PARAM!$C$26+MAX($G$16-CHOOSE(PARAM!$B$44,MAX(0,BF113*$F$1),0),0)*RATES!$L90/12+$H$16*(PARAM!$D$51/12)*RATES!$N90/100</f>
        <v>8.125</v>
      </c>
      <c r="BF114" s="16">
        <f t="shared" si="82"/>
        <v>-313.57404227212299</v>
      </c>
      <c r="BG114" s="15">
        <f t="shared" si="57"/>
        <v>22.170849845882874</v>
      </c>
      <c r="BH114" s="75">
        <f>BG114*(1-PARAM!$C$27)*$I$17+(MOD($B114,60)=PARAM!$B$56)*($B114&gt;(60-PARAM!$B$56))*HLOOKUP(($B114+PARAM!$B$56)/12,Loyalty,2)*$F$1*MAX(BJ113,0)</f>
        <v>18.557001321003963</v>
      </c>
      <c r="BI114" s="75">
        <f>PARAM!$C$26+MAX($G$17-CHOOSE(PARAM!$B$44,MAX(0,BJ113*$F$1),0),0)*RATES!$L90/12+$H$17*(PARAM!$D$51/12)*RATES!$N90/100</f>
        <v>8.125</v>
      </c>
      <c r="BJ114" s="16">
        <f t="shared" si="83"/>
        <v>-313.57404227212299</v>
      </c>
      <c r="BK114" s="15">
        <f t="shared" si="58"/>
        <v>22.170849845882874</v>
      </c>
      <c r="BL114" s="75">
        <f>BK114*(1-PARAM!$C$27)*$I$18+(MOD($B114,60)=PARAM!$B$56)*($B114&gt;(60-PARAM!$B$56))*HLOOKUP(($B114+PARAM!$B$56)/12,Loyalty,2)*$F$1*MAX(BN113,0)</f>
        <v>18.557001321003963</v>
      </c>
      <c r="BM114" s="75">
        <f>PARAM!$C$26+MAX($G$18-CHOOSE(PARAM!$B$44,MAX(0,BN113*$F$1),0),0)*RATES!$L90/12+$H$18*(PARAM!$D$51/12)*RATES!$N90/100</f>
        <v>8.125</v>
      </c>
      <c r="BN114" s="16">
        <f t="shared" si="84"/>
        <v>-313.57404227212299</v>
      </c>
      <c r="BO114" s="15">
        <f t="shared" si="59"/>
        <v>22.170849845882874</v>
      </c>
      <c r="BP114" s="75">
        <f>BO114*(1-PARAM!$C$27)*$I$19+(MOD($B114,60)=PARAM!$B$56)*($B114&gt;(60-PARAM!$B$56))*HLOOKUP(($B114+PARAM!$B$56)/12,Loyalty,2)*$F$1*MAX(BR113,0)</f>
        <v>18.557001321003963</v>
      </c>
      <c r="BQ114" s="75">
        <f>PARAM!$C$26+MAX($G$19-CHOOSE(PARAM!$B$44,MAX(0,BR113*$F$1),0),0)*RATES!$L90/12+$H$19*(PARAM!$D$51/12)*RATES!$N90/100</f>
        <v>8.125</v>
      </c>
      <c r="BR114" s="16">
        <f t="shared" si="85"/>
        <v>-313.57404227212299</v>
      </c>
      <c r="BS114" s="15">
        <f t="shared" si="60"/>
        <v>22.170849845882874</v>
      </c>
      <c r="BT114" s="75">
        <f>BS114*(1-PARAM!$C$27)*$I$20+(MOD($B114,60)=PARAM!$B$56)*($B114&gt;(60-PARAM!$B$56))*HLOOKUP(($B114+PARAM!$B$56)/12,Loyalty,2)*$F$1*MAX(BV113,0)</f>
        <v>18.557001321003963</v>
      </c>
      <c r="BU114" s="75">
        <f>PARAM!$C$26+MAX($G$20-CHOOSE(PARAM!$B$44,MAX(0,BV113*$F$1),0),0)*RATES!$L90/12+$H$20*(PARAM!$D$51/12)*RATES!$N90/100</f>
        <v>8.125</v>
      </c>
      <c r="BV114" s="16">
        <f t="shared" si="86"/>
        <v>-313.57404227212299</v>
      </c>
      <c r="BW114" s="15">
        <f t="shared" si="61"/>
        <v>22.170849845882874</v>
      </c>
      <c r="BX114" s="75">
        <f>BW114*(1-PARAM!$C$27)*$I$21+(MOD($B114,60)=PARAM!$B$56)*($B114&gt;(60-PARAM!$B$56))*HLOOKUP(($B114+PARAM!$B$56)/12,Loyalty,2)*$F$1*MAX(BZ113,0)</f>
        <v>18.557001321003963</v>
      </c>
      <c r="BY114" s="75">
        <f>PARAM!$C$26+MAX($G$21-CHOOSE(PARAM!$B$44,MAX(0,BZ113*$F$1),0),0)*RATES!$L90/12+$H$21*(PARAM!$D$51/12)*RATES!$N90/100</f>
        <v>8.125</v>
      </c>
      <c r="BZ114" s="16">
        <f t="shared" si="87"/>
        <v>-313.57404227212299</v>
      </c>
      <c r="CA114" s="15">
        <f t="shared" si="62"/>
        <v>22.170849845882874</v>
      </c>
      <c r="CB114" s="75">
        <f>CA114*(1-PARAM!$C$27)*$I$22+(MOD($B114,60)=PARAM!$B$56)*($B114&gt;(60-PARAM!$B$56))*HLOOKUP(($B114+PARAM!$B$56)/12,Loyalty,2)*$F$1*MAX(CD113,0)</f>
        <v>18.557001321003963</v>
      </c>
      <c r="CC114" s="75">
        <f>PARAM!$C$26+MAX($G$22-CHOOSE(PARAM!$B$44,MAX(0,CD113*$F$1),0),0)*RATES!$L90/12+$H$22*(PARAM!$D$51/12)*RATES!$N90/100</f>
        <v>8.125</v>
      </c>
      <c r="CD114" s="16">
        <f t="shared" si="88"/>
        <v>-313.57404227212299</v>
      </c>
      <c r="CE114" s="33">
        <f>IF(0=MOD(B114,12/PARAM!$D$51),1,0)</f>
        <v>1</v>
      </c>
      <c r="CF114" s="15">
        <f t="shared" si="63"/>
        <v>0</v>
      </c>
      <c r="CG114" s="75">
        <f>CF114*(1-PARAM!$C$27)*$R$3+(MOD($B114/12,5)=0)*($B114&gt;60)*HLOOKUP($B114/12,Loyalty,2)*$F$1*MAX(CI113,0)</f>
        <v>0</v>
      </c>
      <c r="CH114" s="75">
        <f>PARAM!$C$26+MAX($P$3-CHOOSE(PARAM!$B$44,MAX(0,CI113*$F$1),0),0)*RATES!$L90/12+$Q$3*(PARAM!$D$51/12)*RATES!$N90/100</f>
        <v>8.125</v>
      </c>
      <c r="CI114" s="16">
        <f>IF(CI113&gt;0,CI113*PARAM!$C$53,CI113)+CG114-CH114</f>
        <v>-1733.75</v>
      </c>
      <c r="CJ114" s="15">
        <f t="shared" si="89"/>
        <v>0</v>
      </c>
      <c r="CK114" s="75">
        <f>CJ114*(1-PARAM!$C$27)*$R$4+(MOD($B114/12,5)=0)*($B114&gt;60)*HLOOKUP($B114/12,Loyalty,2)*$F$1*MAX(CM113,0)</f>
        <v>0</v>
      </c>
      <c r="CL114" s="75">
        <f>PARAM!$C$26+MAX($P$4-CHOOSE(PARAM!$B$44,MAX(0,CM113*$F$1),0),0)*RATES!$L90/12+$Q$4*(PARAM!$D$51/12)*RATES!$N90/100</f>
        <v>8.125</v>
      </c>
      <c r="CM114" s="16">
        <f>IF(CM113&gt;0,CM113*PARAM!$C$53,CM113)+CK114-CL114</f>
        <v>-1733.75</v>
      </c>
      <c r="CO114" s="176"/>
    </row>
    <row r="115" spans="1:93" x14ac:dyDescent="0.2">
      <c r="A115" t="b">
        <f t="shared" si="64"/>
        <v>0</v>
      </c>
      <c r="B115" s="33">
        <v>88</v>
      </c>
      <c r="C115" s="15">
        <f t="shared" si="65"/>
        <v>20.081305947392778</v>
      </c>
      <c r="D115" s="75">
        <f>C115*(1-PARAM!$C$27)*$I$3+(MOD($B115,60)=PARAM!$B$56)*($B115&gt;(60-PARAM!$B$56))*HLOOKUP(($B115+PARAM!$B$56)/12,Loyalty,2)*$F$1*MAX(F114,0)</f>
        <v>16.808053077967756</v>
      </c>
      <c r="E115" s="75">
        <f>PARAM!$C$26+MAX($G$3-CHOOSE(PARAM!$B$44,MAX(0,F114*$F$1),0),0)*RATES!$L91/12+$H$3*(PARAM!$D$51/12)*RATES!$N91/100</f>
        <v>8.125</v>
      </c>
      <c r="F115" s="16">
        <f t="shared" si="66"/>
        <v>-438.73881315583856</v>
      </c>
      <c r="G115" s="15">
        <f t="shared" si="67"/>
        <v>22.035289406060361</v>
      </c>
      <c r="H115" s="75">
        <f>G115*(1-PARAM!$C$27)*$I$4+(MOD($B115,60)=PARAM!$B$56)*($B115&gt;(60-PARAM!$B$56))*HLOOKUP(($B115+PARAM!$B$56)/12,Loyalty,2)*$F$1*MAX(J114,0)</f>
        <v>18.443537232872522</v>
      </c>
      <c r="I115" s="75">
        <f>PARAM!$C$26+MAX($G$4-CHOOSE(PARAM!$B$44,MAX(0,J114*$F$1),0),0)*RATES!$L91/12+$H$4*(PARAM!$D$51/12)*RATES!$N91/100</f>
        <v>8.125</v>
      </c>
      <c r="J115" s="16">
        <f t="shared" si="68"/>
        <v>-311.93896457252492</v>
      </c>
      <c r="K115" s="15">
        <f t="shared" si="69"/>
        <v>22.170849845882874</v>
      </c>
      <c r="L115" s="75">
        <f>K115*(1-PARAM!$C$27)*$I$5+(MOD($B115,60)=PARAM!$B$56)*($B115&gt;(60-PARAM!$B$56))*HLOOKUP(($B115+PARAM!$B$56)/12,Loyalty,2)*$F$1*MAX(N114,0)</f>
        <v>18.557001321003963</v>
      </c>
      <c r="M115" s="75">
        <f>PARAM!$C$26+MAX($G$5-CHOOSE(PARAM!$B$44,MAX(0,N114*$F$1),0),0)*RATES!$L91/12+$H$5*(PARAM!$D$51/12)*RATES!$N91/100</f>
        <v>8.125</v>
      </c>
      <c r="N115" s="16">
        <f t="shared" si="70"/>
        <v>-303.14204095111904</v>
      </c>
      <c r="O115" s="15">
        <f t="shared" si="71"/>
        <v>22.170849845882874</v>
      </c>
      <c r="P115" s="75">
        <f>O115*(1-PARAM!$C$27)*$I$6+(MOD($B115,60)=PARAM!$B$56)*($B115&gt;(60-PARAM!$B$56))*HLOOKUP(($B115+PARAM!$B$56)/12,Loyalty,2)*$F$1*MAX(R114,0)</f>
        <v>18.557001321003963</v>
      </c>
      <c r="Q115" s="75">
        <f>PARAM!$C$26+MAX($G$6-CHOOSE(PARAM!$B$44,MAX(0,R114*$F$1),0),0)*RATES!$L91/12+$H$6*(PARAM!$D$51/12)*RATES!$N91/100</f>
        <v>8.125</v>
      </c>
      <c r="R115" s="16">
        <f t="shared" si="72"/>
        <v>-303.14204095111904</v>
      </c>
      <c r="S115" s="15">
        <f t="shared" si="47"/>
        <v>22.170849845882874</v>
      </c>
      <c r="T115" s="75">
        <f>S115*(1-PARAM!$C$27)*$I$7+(MOD($B115,60)=PARAM!$B$56)*($B115&gt;(60-PARAM!$B$56))*HLOOKUP(($B115+PARAM!$B$56)/12,Loyalty,2)*$F$1*MAX(V114,0)</f>
        <v>18.557001321003963</v>
      </c>
      <c r="U115" s="75">
        <f>PARAM!$C$26+MAX($G$7-CHOOSE(PARAM!$B$44,MAX(0,V114*$F$1),0),0)*RATES!$L91/12+$H$7*(PARAM!$D$51/12)*RATES!$N91/100</f>
        <v>8.125</v>
      </c>
      <c r="V115" s="16">
        <f t="shared" si="73"/>
        <v>-303.14204095111904</v>
      </c>
      <c r="W115" s="15">
        <f t="shared" si="48"/>
        <v>22.170849845882874</v>
      </c>
      <c r="X115" s="75">
        <f>W115*(1-PARAM!$C$27)*$I$8+(MOD($B115,60)=PARAM!$B$56)*($B115&gt;(60-PARAM!$B$56))*HLOOKUP(($B115+PARAM!$B$56)/12,Loyalty,2)*$F$1*MAX(Z114,0)</f>
        <v>18.557001321003963</v>
      </c>
      <c r="Y115" s="75">
        <f>PARAM!$C$26+MAX($G$8-CHOOSE(PARAM!$B$44,MAX(0,Z114*$F$1),0),0)*RATES!$L91/12+$H$8*(PARAM!$D$51/12)*RATES!$N91/100</f>
        <v>8.125</v>
      </c>
      <c r="Z115" s="16">
        <f t="shared" si="74"/>
        <v>-303.14204095111904</v>
      </c>
      <c r="AA115" s="15">
        <f t="shared" si="49"/>
        <v>22.170849845882874</v>
      </c>
      <c r="AB115" s="75">
        <f>AA115*(1-PARAM!$C$27)*$I$9+(MOD($B115,60)=PARAM!$B$56)*($B115&gt;(60-PARAM!$B$56))*HLOOKUP(($B115+PARAM!$B$56)/12,Loyalty,2)*$F$1*MAX(AD114,0)</f>
        <v>18.557001321003963</v>
      </c>
      <c r="AC115" s="75">
        <f>PARAM!$C$26+MAX($G$9-CHOOSE(PARAM!$B$44,MAX(0,AD114*$F$1),0),0)*RATES!$L91/12+$H$9*(PARAM!$D$51/12)*RATES!$N91/100</f>
        <v>8.125</v>
      </c>
      <c r="AD115" s="16">
        <f t="shared" si="75"/>
        <v>-303.14204095111904</v>
      </c>
      <c r="AE115" s="15">
        <f t="shared" si="50"/>
        <v>22.170849845882874</v>
      </c>
      <c r="AF115" s="75">
        <f>AE115*(1-PARAM!$C$27)*$I$10+(MOD($B115,60)=PARAM!$B$56)*($B115&gt;(60-PARAM!$B$56))*HLOOKUP(($B115+PARAM!$B$56)/12,Loyalty,2)*$F$1*MAX(AH114,0)</f>
        <v>18.557001321003963</v>
      </c>
      <c r="AG115" s="75">
        <f>PARAM!$C$26+MAX($G$10-CHOOSE(PARAM!$B$44,MAX(0,AH114*$F$1),0),0)*RATES!$L91/12+$H$10*(PARAM!$D$51/12)*RATES!$N91/100</f>
        <v>8.125</v>
      </c>
      <c r="AH115" s="16">
        <f t="shared" si="76"/>
        <v>-303.14204095111904</v>
      </c>
      <c r="AI115" s="15">
        <f t="shared" si="51"/>
        <v>22.170849845882874</v>
      </c>
      <c r="AJ115" s="75">
        <f>AI115*(1-PARAM!$C$27)*$I$11+(MOD($B115,60)=PARAM!$B$56)*($B115&gt;(60-PARAM!$B$56))*HLOOKUP(($B115+PARAM!$B$56)/12,Loyalty,2)*$F$1*MAX(AL114,0)</f>
        <v>18.557001321003963</v>
      </c>
      <c r="AK115" s="75">
        <f>PARAM!$C$26+MAX($G$11-CHOOSE(PARAM!$B$44,MAX(0,AL114*$F$1),0),0)*RATES!$L91/12+$H$11*(PARAM!$D$51/12)*RATES!$N91/100</f>
        <v>8.125</v>
      </c>
      <c r="AL115" s="16">
        <f t="shared" si="77"/>
        <v>-303.14204095111904</v>
      </c>
      <c r="AM115" s="15">
        <f t="shared" si="52"/>
        <v>22.170849845882874</v>
      </c>
      <c r="AN115" s="75">
        <f>AM115*(1-PARAM!$C$27)*$I$12+(MOD($B115,60)=PARAM!$B$56)*($B115&gt;(60-PARAM!$B$56))*HLOOKUP(($B115+PARAM!$B$56)/12,Loyalty,2)*$F$1*MAX(AP114,0)</f>
        <v>18.557001321003963</v>
      </c>
      <c r="AO115" s="75">
        <f>PARAM!$C$26+MAX($G$12-CHOOSE(PARAM!$B$44,MAX(0,AP114*$F$1),0),0)*RATES!$L91/12+$H$12*(PARAM!$D$51/12)*RATES!$N91/100</f>
        <v>8.125</v>
      </c>
      <c r="AP115" s="16">
        <f t="shared" si="78"/>
        <v>-303.14204095111904</v>
      </c>
      <c r="AQ115" s="15">
        <f t="shared" si="53"/>
        <v>22.170849845882874</v>
      </c>
      <c r="AR115" s="75">
        <f>AQ115*(1-PARAM!$C$27)*$I$13+(MOD($B115,60)=PARAM!$B$56)*($B115&gt;(60-PARAM!$B$56))*HLOOKUP(($B115+PARAM!$B$56)/12,Loyalty,2)*$F$1*MAX(AT114,0)</f>
        <v>18.557001321003963</v>
      </c>
      <c r="AS115" s="75">
        <f>PARAM!$C$26+MAX($G$13-CHOOSE(PARAM!$B$44,MAX(0,AT114*$F$1),0),0)*RATES!$L91/12+$H$13*(PARAM!$D$51/12)*RATES!$N91/100</f>
        <v>8.125</v>
      </c>
      <c r="AT115" s="16">
        <f t="shared" si="79"/>
        <v>-303.14204095111904</v>
      </c>
      <c r="AU115" s="15">
        <f t="shared" si="54"/>
        <v>22.170849845882874</v>
      </c>
      <c r="AV115" s="75">
        <f>AU115*(1-PARAM!$C$27)*$I$14+(MOD($B115,60)=PARAM!$B$56)*($B115&gt;(60-PARAM!$B$56))*HLOOKUP(($B115+PARAM!$B$56)/12,Loyalty,2)*$F$1*MAX(AX114,0)</f>
        <v>18.557001321003963</v>
      </c>
      <c r="AW115" s="75">
        <f>PARAM!$C$26+MAX($G$14-CHOOSE(PARAM!$B$44,MAX(0,AX114*$F$1),0),0)*RATES!$L91/12+$H$14*(PARAM!$D$51/12)*RATES!$N91/100</f>
        <v>8.125</v>
      </c>
      <c r="AX115" s="16">
        <f t="shared" si="80"/>
        <v>-303.14204095111904</v>
      </c>
      <c r="AY115" s="15">
        <f t="shared" si="55"/>
        <v>22.170849845882874</v>
      </c>
      <c r="AZ115" s="75">
        <f>AY115*(1-PARAM!$C$27)*$I$15+(MOD($B115,60)=PARAM!$B$56)*($B115&gt;(60-PARAM!$B$56))*HLOOKUP(($B115+PARAM!$B$56)/12,Loyalty,2)*$F$1*MAX(BB114,0)</f>
        <v>18.557001321003963</v>
      </c>
      <c r="BA115" s="75">
        <f>PARAM!$C$26+MAX($G$15-CHOOSE(PARAM!$B$44,MAX(0,BB114*$F$1),0),0)*RATES!$L91/12+$H$15*(PARAM!$D$51/12)*RATES!$N91/100</f>
        <v>8.125</v>
      </c>
      <c r="BB115" s="16">
        <f t="shared" si="81"/>
        <v>-303.14204095111904</v>
      </c>
      <c r="BC115" s="15">
        <f t="shared" si="56"/>
        <v>22.170849845882874</v>
      </c>
      <c r="BD115" s="75">
        <f>BC115*(1-PARAM!$C$27)*$I$16+(MOD($B115,60)=PARAM!$B$56)*($B115&gt;(60-PARAM!$B$56))*HLOOKUP(($B115+PARAM!$B$56)/12,Loyalty,2)*$F$1*MAX(BF114,0)</f>
        <v>18.557001321003963</v>
      </c>
      <c r="BE115" s="75">
        <f>PARAM!$C$26+MAX($G$16-CHOOSE(PARAM!$B$44,MAX(0,BF114*$F$1),0),0)*RATES!$L91/12+$H$16*(PARAM!$D$51/12)*RATES!$N91/100</f>
        <v>8.125</v>
      </c>
      <c r="BF115" s="16">
        <f t="shared" si="82"/>
        <v>-303.14204095111904</v>
      </c>
      <c r="BG115" s="15">
        <f t="shared" si="57"/>
        <v>22.170849845882874</v>
      </c>
      <c r="BH115" s="75">
        <f>BG115*(1-PARAM!$C$27)*$I$17+(MOD($B115,60)=PARAM!$B$56)*($B115&gt;(60-PARAM!$B$56))*HLOOKUP(($B115+PARAM!$B$56)/12,Loyalty,2)*$F$1*MAX(BJ114,0)</f>
        <v>18.557001321003963</v>
      </c>
      <c r="BI115" s="75">
        <f>PARAM!$C$26+MAX($G$17-CHOOSE(PARAM!$B$44,MAX(0,BJ114*$F$1),0),0)*RATES!$L91/12+$H$17*(PARAM!$D$51/12)*RATES!$N91/100</f>
        <v>8.125</v>
      </c>
      <c r="BJ115" s="16">
        <f t="shared" si="83"/>
        <v>-303.14204095111904</v>
      </c>
      <c r="BK115" s="15">
        <f t="shared" si="58"/>
        <v>22.170849845882874</v>
      </c>
      <c r="BL115" s="75">
        <f>BK115*(1-PARAM!$C$27)*$I$18+(MOD($B115,60)=PARAM!$B$56)*($B115&gt;(60-PARAM!$B$56))*HLOOKUP(($B115+PARAM!$B$56)/12,Loyalty,2)*$F$1*MAX(BN114,0)</f>
        <v>18.557001321003963</v>
      </c>
      <c r="BM115" s="75">
        <f>PARAM!$C$26+MAX($G$18-CHOOSE(PARAM!$B$44,MAX(0,BN114*$F$1),0),0)*RATES!$L91/12+$H$18*(PARAM!$D$51/12)*RATES!$N91/100</f>
        <v>8.125</v>
      </c>
      <c r="BN115" s="16">
        <f t="shared" si="84"/>
        <v>-303.14204095111904</v>
      </c>
      <c r="BO115" s="15">
        <f t="shared" si="59"/>
        <v>22.170849845882874</v>
      </c>
      <c r="BP115" s="75">
        <f>BO115*(1-PARAM!$C$27)*$I$19+(MOD($B115,60)=PARAM!$B$56)*($B115&gt;(60-PARAM!$B$56))*HLOOKUP(($B115+PARAM!$B$56)/12,Loyalty,2)*$F$1*MAX(BR114,0)</f>
        <v>18.557001321003963</v>
      </c>
      <c r="BQ115" s="75">
        <f>PARAM!$C$26+MAX($G$19-CHOOSE(PARAM!$B$44,MAX(0,BR114*$F$1),0),0)*RATES!$L91/12+$H$19*(PARAM!$D$51/12)*RATES!$N91/100</f>
        <v>8.125</v>
      </c>
      <c r="BR115" s="16">
        <f t="shared" si="85"/>
        <v>-303.14204095111904</v>
      </c>
      <c r="BS115" s="15">
        <f t="shared" si="60"/>
        <v>22.170849845882874</v>
      </c>
      <c r="BT115" s="75">
        <f>BS115*(1-PARAM!$C$27)*$I$20+(MOD($B115,60)=PARAM!$B$56)*($B115&gt;(60-PARAM!$B$56))*HLOOKUP(($B115+PARAM!$B$56)/12,Loyalty,2)*$F$1*MAX(BV114,0)</f>
        <v>18.557001321003963</v>
      </c>
      <c r="BU115" s="75">
        <f>PARAM!$C$26+MAX($G$20-CHOOSE(PARAM!$B$44,MAX(0,BV114*$F$1),0),0)*RATES!$L91/12+$H$20*(PARAM!$D$51/12)*RATES!$N91/100</f>
        <v>8.125</v>
      </c>
      <c r="BV115" s="16">
        <f t="shared" si="86"/>
        <v>-303.14204095111904</v>
      </c>
      <c r="BW115" s="15">
        <f t="shared" si="61"/>
        <v>22.170849845882874</v>
      </c>
      <c r="BX115" s="75">
        <f>BW115*(1-PARAM!$C$27)*$I$21+(MOD($B115,60)=PARAM!$B$56)*($B115&gt;(60-PARAM!$B$56))*HLOOKUP(($B115+PARAM!$B$56)/12,Loyalty,2)*$F$1*MAX(BZ114,0)</f>
        <v>18.557001321003963</v>
      </c>
      <c r="BY115" s="75">
        <f>PARAM!$C$26+MAX($G$21-CHOOSE(PARAM!$B$44,MAX(0,BZ114*$F$1),0),0)*RATES!$L91/12+$H$21*(PARAM!$D$51/12)*RATES!$N91/100</f>
        <v>8.125</v>
      </c>
      <c r="BZ115" s="16">
        <f t="shared" si="87"/>
        <v>-303.14204095111904</v>
      </c>
      <c r="CA115" s="15">
        <f t="shared" si="62"/>
        <v>22.170849845882874</v>
      </c>
      <c r="CB115" s="75">
        <f>CA115*(1-PARAM!$C$27)*$I$22+(MOD($B115,60)=PARAM!$B$56)*($B115&gt;(60-PARAM!$B$56))*HLOOKUP(($B115+PARAM!$B$56)/12,Loyalty,2)*$F$1*MAX(CD114,0)</f>
        <v>18.557001321003963</v>
      </c>
      <c r="CC115" s="75">
        <f>PARAM!$C$26+MAX($G$22-CHOOSE(PARAM!$B$44,MAX(0,CD114*$F$1),0),0)*RATES!$L91/12+$H$22*(PARAM!$D$51/12)*RATES!$N91/100</f>
        <v>8.125</v>
      </c>
      <c r="CD115" s="16">
        <f t="shared" si="88"/>
        <v>-303.14204095111904</v>
      </c>
      <c r="CE115" s="33">
        <f>IF(0=MOD(B115,12/PARAM!$D$51),1,0)</f>
        <v>1</v>
      </c>
      <c r="CF115" s="15">
        <f t="shared" si="63"/>
        <v>0</v>
      </c>
      <c r="CG115" s="75">
        <f>CF115*(1-PARAM!$C$27)*$R$3+(MOD($B115/12,5)=0)*($B115&gt;60)*HLOOKUP($B115/12,Loyalty,2)*$F$1*MAX(CI114,0)</f>
        <v>0</v>
      </c>
      <c r="CH115" s="75">
        <f>PARAM!$C$26+MAX($P$3-CHOOSE(PARAM!$B$44,MAX(0,CI114*$F$1),0),0)*RATES!$L91/12+$Q$3*(PARAM!$D$51/12)*RATES!$N91/100</f>
        <v>8.125</v>
      </c>
      <c r="CI115" s="16">
        <f>IF(CI114&gt;0,CI114*PARAM!$C$53,CI114)+CG115-CH115</f>
        <v>-1741.875</v>
      </c>
      <c r="CJ115" s="15">
        <f t="shared" si="89"/>
        <v>0</v>
      </c>
      <c r="CK115" s="75">
        <f>CJ115*(1-PARAM!$C$27)*$R$4+(MOD($B115/12,5)=0)*($B115&gt;60)*HLOOKUP($B115/12,Loyalty,2)*$F$1*MAX(CM114,0)</f>
        <v>0</v>
      </c>
      <c r="CL115" s="75">
        <f>PARAM!$C$26+MAX($P$4-CHOOSE(PARAM!$B$44,MAX(0,CM114*$F$1),0),0)*RATES!$L91/12+$Q$4*(PARAM!$D$51/12)*RATES!$N91/100</f>
        <v>8.125</v>
      </c>
      <c r="CM115" s="16">
        <f>IF(CM114&gt;0,CM114*PARAM!$C$53,CM114)+CK115-CL115</f>
        <v>-1741.875</v>
      </c>
      <c r="CO115" s="176"/>
    </row>
    <row r="116" spans="1:93" x14ac:dyDescent="0.2">
      <c r="A116" t="b">
        <f t="shared" si="64"/>
        <v>0</v>
      </c>
      <c r="B116" s="33">
        <v>89</v>
      </c>
      <c r="C116" s="15">
        <f t="shared" si="65"/>
        <v>20.081305947392778</v>
      </c>
      <c r="D116" s="75">
        <f>C116*(1-PARAM!$C$27)*$I$3+(MOD($B116,60)=PARAM!$B$56)*($B116&gt;(60-PARAM!$B$56))*HLOOKUP(($B116+PARAM!$B$56)/12,Loyalty,2)*$F$1*MAX(F115,0)</f>
        <v>16.808053077967756</v>
      </c>
      <c r="E116" s="75">
        <f>PARAM!$C$26+MAX($G$3-CHOOSE(PARAM!$B$44,MAX(0,F115*$F$1),0),0)*RATES!$L92/12+$H$3*(PARAM!$D$51/12)*RATES!$N92/100</f>
        <v>8.125</v>
      </c>
      <c r="F116" s="16">
        <f t="shared" si="66"/>
        <v>-430.05576007787079</v>
      </c>
      <c r="G116" s="15">
        <f t="shared" si="67"/>
        <v>22.035289406060361</v>
      </c>
      <c r="H116" s="75">
        <f>G116*(1-PARAM!$C$27)*$I$4+(MOD($B116,60)=PARAM!$B$56)*($B116&gt;(60-PARAM!$B$56))*HLOOKUP(($B116+PARAM!$B$56)/12,Loyalty,2)*$F$1*MAX(J115,0)</f>
        <v>18.443537232872522</v>
      </c>
      <c r="I116" s="75">
        <f>PARAM!$C$26+MAX($G$4-CHOOSE(PARAM!$B$44,MAX(0,J115*$F$1),0),0)*RATES!$L92/12+$H$4*(PARAM!$D$51/12)*RATES!$N92/100</f>
        <v>8.125</v>
      </c>
      <c r="J116" s="16">
        <f t="shared" si="68"/>
        <v>-301.62042733965239</v>
      </c>
      <c r="K116" s="15">
        <f t="shared" si="69"/>
        <v>22.170849845882874</v>
      </c>
      <c r="L116" s="75">
        <f>K116*(1-PARAM!$C$27)*$I$5+(MOD($B116,60)=PARAM!$B$56)*($B116&gt;(60-PARAM!$B$56))*HLOOKUP(($B116+PARAM!$B$56)/12,Loyalty,2)*$F$1*MAX(N115,0)</f>
        <v>18.557001321003963</v>
      </c>
      <c r="M116" s="75">
        <f>PARAM!$C$26+MAX($G$5-CHOOSE(PARAM!$B$44,MAX(0,N115*$F$1),0),0)*RATES!$L92/12+$H$5*(PARAM!$D$51/12)*RATES!$N92/100</f>
        <v>8.125</v>
      </c>
      <c r="N116" s="16">
        <f t="shared" si="70"/>
        <v>-292.71003963011509</v>
      </c>
      <c r="O116" s="15">
        <f t="shared" si="71"/>
        <v>22.170849845882874</v>
      </c>
      <c r="P116" s="75">
        <f>O116*(1-PARAM!$C$27)*$I$6+(MOD($B116,60)=PARAM!$B$56)*($B116&gt;(60-PARAM!$B$56))*HLOOKUP(($B116+PARAM!$B$56)/12,Loyalty,2)*$F$1*MAX(R115,0)</f>
        <v>18.557001321003963</v>
      </c>
      <c r="Q116" s="75">
        <f>PARAM!$C$26+MAX($G$6-CHOOSE(PARAM!$B$44,MAX(0,R115*$F$1),0),0)*RATES!$L92/12+$H$6*(PARAM!$D$51/12)*RATES!$N92/100</f>
        <v>8.125</v>
      </c>
      <c r="R116" s="16">
        <f t="shared" si="72"/>
        <v>-292.71003963011509</v>
      </c>
      <c r="S116" s="15">
        <f t="shared" si="47"/>
        <v>22.170849845882874</v>
      </c>
      <c r="T116" s="75">
        <f>S116*(1-PARAM!$C$27)*$I$7+(MOD($B116,60)=PARAM!$B$56)*($B116&gt;(60-PARAM!$B$56))*HLOOKUP(($B116+PARAM!$B$56)/12,Loyalty,2)*$F$1*MAX(V115,0)</f>
        <v>18.557001321003963</v>
      </c>
      <c r="U116" s="75">
        <f>PARAM!$C$26+MAX($G$7-CHOOSE(PARAM!$B$44,MAX(0,V115*$F$1),0),0)*RATES!$L92/12+$H$7*(PARAM!$D$51/12)*RATES!$N92/100</f>
        <v>8.125</v>
      </c>
      <c r="V116" s="16">
        <f t="shared" si="73"/>
        <v>-292.71003963011509</v>
      </c>
      <c r="W116" s="15">
        <f t="shared" si="48"/>
        <v>22.170849845882874</v>
      </c>
      <c r="X116" s="75">
        <f>W116*(1-PARAM!$C$27)*$I$8+(MOD($B116,60)=PARAM!$B$56)*($B116&gt;(60-PARAM!$B$56))*HLOOKUP(($B116+PARAM!$B$56)/12,Loyalty,2)*$F$1*MAX(Z115,0)</f>
        <v>18.557001321003963</v>
      </c>
      <c r="Y116" s="75">
        <f>PARAM!$C$26+MAX($G$8-CHOOSE(PARAM!$B$44,MAX(0,Z115*$F$1),0),0)*RATES!$L92/12+$H$8*(PARAM!$D$51/12)*RATES!$N92/100</f>
        <v>8.125</v>
      </c>
      <c r="Z116" s="16">
        <f t="shared" si="74"/>
        <v>-292.71003963011509</v>
      </c>
      <c r="AA116" s="15">
        <f t="shared" si="49"/>
        <v>22.170849845882874</v>
      </c>
      <c r="AB116" s="75">
        <f>AA116*(1-PARAM!$C$27)*$I$9+(MOD($B116,60)=PARAM!$B$56)*($B116&gt;(60-PARAM!$B$56))*HLOOKUP(($B116+PARAM!$B$56)/12,Loyalty,2)*$F$1*MAX(AD115,0)</f>
        <v>18.557001321003963</v>
      </c>
      <c r="AC116" s="75">
        <f>PARAM!$C$26+MAX($G$9-CHOOSE(PARAM!$B$44,MAX(0,AD115*$F$1),0),0)*RATES!$L92/12+$H$9*(PARAM!$D$51/12)*RATES!$N92/100</f>
        <v>8.125</v>
      </c>
      <c r="AD116" s="16">
        <f t="shared" si="75"/>
        <v>-292.71003963011509</v>
      </c>
      <c r="AE116" s="15">
        <f t="shared" si="50"/>
        <v>22.170849845882874</v>
      </c>
      <c r="AF116" s="75">
        <f>AE116*(1-PARAM!$C$27)*$I$10+(MOD($B116,60)=PARAM!$B$56)*($B116&gt;(60-PARAM!$B$56))*HLOOKUP(($B116+PARAM!$B$56)/12,Loyalty,2)*$F$1*MAX(AH115,0)</f>
        <v>18.557001321003963</v>
      </c>
      <c r="AG116" s="75">
        <f>PARAM!$C$26+MAX($G$10-CHOOSE(PARAM!$B$44,MAX(0,AH115*$F$1),0),0)*RATES!$L92/12+$H$10*(PARAM!$D$51/12)*RATES!$N92/100</f>
        <v>8.125</v>
      </c>
      <c r="AH116" s="16">
        <f t="shared" si="76"/>
        <v>-292.71003963011509</v>
      </c>
      <c r="AI116" s="15">
        <f t="shared" si="51"/>
        <v>22.170849845882874</v>
      </c>
      <c r="AJ116" s="75">
        <f>AI116*(1-PARAM!$C$27)*$I$11+(MOD($B116,60)=PARAM!$B$56)*($B116&gt;(60-PARAM!$B$56))*HLOOKUP(($B116+PARAM!$B$56)/12,Loyalty,2)*$F$1*MAX(AL115,0)</f>
        <v>18.557001321003963</v>
      </c>
      <c r="AK116" s="75">
        <f>PARAM!$C$26+MAX($G$11-CHOOSE(PARAM!$B$44,MAX(0,AL115*$F$1),0),0)*RATES!$L92/12+$H$11*(PARAM!$D$51/12)*RATES!$N92/100</f>
        <v>8.125</v>
      </c>
      <c r="AL116" s="16">
        <f t="shared" si="77"/>
        <v>-292.71003963011509</v>
      </c>
      <c r="AM116" s="15">
        <f t="shared" si="52"/>
        <v>22.170849845882874</v>
      </c>
      <c r="AN116" s="75">
        <f>AM116*(1-PARAM!$C$27)*$I$12+(MOD($B116,60)=PARAM!$B$56)*($B116&gt;(60-PARAM!$B$56))*HLOOKUP(($B116+PARAM!$B$56)/12,Loyalty,2)*$F$1*MAX(AP115,0)</f>
        <v>18.557001321003963</v>
      </c>
      <c r="AO116" s="75">
        <f>PARAM!$C$26+MAX($G$12-CHOOSE(PARAM!$B$44,MAX(0,AP115*$F$1),0),0)*RATES!$L92/12+$H$12*(PARAM!$D$51/12)*RATES!$N92/100</f>
        <v>8.125</v>
      </c>
      <c r="AP116" s="16">
        <f t="shared" si="78"/>
        <v>-292.71003963011509</v>
      </c>
      <c r="AQ116" s="15">
        <f t="shared" si="53"/>
        <v>22.170849845882874</v>
      </c>
      <c r="AR116" s="75">
        <f>AQ116*(1-PARAM!$C$27)*$I$13+(MOD($B116,60)=PARAM!$B$56)*($B116&gt;(60-PARAM!$B$56))*HLOOKUP(($B116+PARAM!$B$56)/12,Loyalty,2)*$F$1*MAX(AT115,0)</f>
        <v>18.557001321003963</v>
      </c>
      <c r="AS116" s="75">
        <f>PARAM!$C$26+MAX($G$13-CHOOSE(PARAM!$B$44,MAX(0,AT115*$F$1),0),0)*RATES!$L92/12+$H$13*(PARAM!$D$51/12)*RATES!$N92/100</f>
        <v>8.125</v>
      </c>
      <c r="AT116" s="16">
        <f t="shared" si="79"/>
        <v>-292.71003963011509</v>
      </c>
      <c r="AU116" s="15">
        <f t="shared" si="54"/>
        <v>22.170849845882874</v>
      </c>
      <c r="AV116" s="75">
        <f>AU116*(1-PARAM!$C$27)*$I$14+(MOD($B116,60)=PARAM!$B$56)*($B116&gt;(60-PARAM!$B$56))*HLOOKUP(($B116+PARAM!$B$56)/12,Loyalty,2)*$F$1*MAX(AX115,0)</f>
        <v>18.557001321003963</v>
      </c>
      <c r="AW116" s="75">
        <f>PARAM!$C$26+MAX($G$14-CHOOSE(PARAM!$B$44,MAX(0,AX115*$F$1),0),0)*RATES!$L92/12+$H$14*(PARAM!$D$51/12)*RATES!$N92/100</f>
        <v>8.125</v>
      </c>
      <c r="AX116" s="16">
        <f t="shared" si="80"/>
        <v>-292.71003963011509</v>
      </c>
      <c r="AY116" s="15">
        <f t="shared" si="55"/>
        <v>22.170849845882874</v>
      </c>
      <c r="AZ116" s="75">
        <f>AY116*(1-PARAM!$C$27)*$I$15+(MOD($B116,60)=PARAM!$B$56)*($B116&gt;(60-PARAM!$B$56))*HLOOKUP(($B116+PARAM!$B$56)/12,Loyalty,2)*$F$1*MAX(BB115,0)</f>
        <v>18.557001321003963</v>
      </c>
      <c r="BA116" s="75">
        <f>PARAM!$C$26+MAX($G$15-CHOOSE(PARAM!$B$44,MAX(0,BB115*$F$1),0),0)*RATES!$L92/12+$H$15*(PARAM!$D$51/12)*RATES!$N92/100</f>
        <v>8.125</v>
      </c>
      <c r="BB116" s="16">
        <f t="shared" si="81"/>
        <v>-292.71003963011509</v>
      </c>
      <c r="BC116" s="15">
        <f t="shared" si="56"/>
        <v>22.170849845882874</v>
      </c>
      <c r="BD116" s="75">
        <f>BC116*(1-PARAM!$C$27)*$I$16+(MOD($B116,60)=PARAM!$B$56)*($B116&gt;(60-PARAM!$B$56))*HLOOKUP(($B116+PARAM!$B$56)/12,Loyalty,2)*$F$1*MAX(BF115,0)</f>
        <v>18.557001321003963</v>
      </c>
      <c r="BE116" s="75">
        <f>PARAM!$C$26+MAX($G$16-CHOOSE(PARAM!$B$44,MAX(0,BF115*$F$1),0),0)*RATES!$L92/12+$H$16*(PARAM!$D$51/12)*RATES!$N92/100</f>
        <v>8.125</v>
      </c>
      <c r="BF116" s="16">
        <f t="shared" si="82"/>
        <v>-292.71003963011509</v>
      </c>
      <c r="BG116" s="15">
        <f t="shared" si="57"/>
        <v>22.170849845882874</v>
      </c>
      <c r="BH116" s="75">
        <f>BG116*(1-PARAM!$C$27)*$I$17+(MOD($B116,60)=PARAM!$B$56)*($B116&gt;(60-PARAM!$B$56))*HLOOKUP(($B116+PARAM!$B$56)/12,Loyalty,2)*$F$1*MAX(BJ115,0)</f>
        <v>18.557001321003963</v>
      </c>
      <c r="BI116" s="75">
        <f>PARAM!$C$26+MAX($G$17-CHOOSE(PARAM!$B$44,MAX(0,BJ115*$F$1),0),0)*RATES!$L92/12+$H$17*(PARAM!$D$51/12)*RATES!$N92/100</f>
        <v>8.125</v>
      </c>
      <c r="BJ116" s="16">
        <f t="shared" si="83"/>
        <v>-292.71003963011509</v>
      </c>
      <c r="BK116" s="15">
        <f t="shared" si="58"/>
        <v>22.170849845882874</v>
      </c>
      <c r="BL116" s="75">
        <f>BK116*(1-PARAM!$C$27)*$I$18+(MOD($B116,60)=PARAM!$B$56)*($B116&gt;(60-PARAM!$B$56))*HLOOKUP(($B116+PARAM!$B$56)/12,Loyalty,2)*$F$1*MAX(BN115,0)</f>
        <v>18.557001321003963</v>
      </c>
      <c r="BM116" s="75">
        <f>PARAM!$C$26+MAX($G$18-CHOOSE(PARAM!$B$44,MAX(0,BN115*$F$1),0),0)*RATES!$L92/12+$H$18*(PARAM!$D$51/12)*RATES!$N92/100</f>
        <v>8.125</v>
      </c>
      <c r="BN116" s="16">
        <f t="shared" si="84"/>
        <v>-292.71003963011509</v>
      </c>
      <c r="BO116" s="15">
        <f t="shared" si="59"/>
        <v>22.170849845882874</v>
      </c>
      <c r="BP116" s="75">
        <f>BO116*(1-PARAM!$C$27)*$I$19+(MOD($B116,60)=PARAM!$B$56)*($B116&gt;(60-PARAM!$B$56))*HLOOKUP(($B116+PARAM!$B$56)/12,Loyalty,2)*$F$1*MAX(BR115,0)</f>
        <v>18.557001321003963</v>
      </c>
      <c r="BQ116" s="75">
        <f>PARAM!$C$26+MAX($G$19-CHOOSE(PARAM!$B$44,MAX(0,BR115*$F$1),0),0)*RATES!$L92/12+$H$19*(PARAM!$D$51/12)*RATES!$N92/100</f>
        <v>8.125</v>
      </c>
      <c r="BR116" s="16">
        <f t="shared" si="85"/>
        <v>-292.71003963011509</v>
      </c>
      <c r="BS116" s="15">
        <f t="shared" si="60"/>
        <v>22.170849845882874</v>
      </c>
      <c r="BT116" s="75">
        <f>BS116*(1-PARAM!$C$27)*$I$20+(MOD($B116,60)=PARAM!$B$56)*($B116&gt;(60-PARAM!$B$56))*HLOOKUP(($B116+PARAM!$B$56)/12,Loyalty,2)*$F$1*MAX(BV115,0)</f>
        <v>18.557001321003963</v>
      </c>
      <c r="BU116" s="75">
        <f>PARAM!$C$26+MAX($G$20-CHOOSE(PARAM!$B$44,MAX(0,BV115*$F$1),0),0)*RATES!$L92/12+$H$20*(PARAM!$D$51/12)*RATES!$N92/100</f>
        <v>8.125</v>
      </c>
      <c r="BV116" s="16">
        <f t="shared" si="86"/>
        <v>-292.71003963011509</v>
      </c>
      <c r="BW116" s="15">
        <f t="shared" si="61"/>
        <v>22.170849845882874</v>
      </c>
      <c r="BX116" s="75">
        <f>BW116*(1-PARAM!$C$27)*$I$21+(MOD($B116,60)=PARAM!$B$56)*($B116&gt;(60-PARAM!$B$56))*HLOOKUP(($B116+PARAM!$B$56)/12,Loyalty,2)*$F$1*MAX(BZ115,0)</f>
        <v>18.557001321003963</v>
      </c>
      <c r="BY116" s="75">
        <f>PARAM!$C$26+MAX($G$21-CHOOSE(PARAM!$B$44,MAX(0,BZ115*$F$1),0),0)*RATES!$L92/12+$H$21*(PARAM!$D$51/12)*RATES!$N92/100</f>
        <v>8.125</v>
      </c>
      <c r="BZ116" s="16">
        <f t="shared" si="87"/>
        <v>-292.71003963011509</v>
      </c>
      <c r="CA116" s="15">
        <f t="shared" si="62"/>
        <v>22.170849845882874</v>
      </c>
      <c r="CB116" s="75">
        <f>CA116*(1-PARAM!$C$27)*$I$22+(MOD($B116,60)=PARAM!$B$56)*($B116&gt;(60-PARAM!$B$56))*HLOOKUP(($B116+PARAM!$B$56)/12,Loyalty,2)*$F$1*MAX(CD115,0)</f>
        <v>18.557001321003963</v>
      </c>
      <c r="CC116" s="75">
        <f>PARAM!$C$26+MAX($G$22-CHOOSE(PARAM!$B$44,MAX(0,CD115*$F$1),0),0)*RATES!$L92/12+$H$22*(PARAM!$D$51/12)*RATES!$N92/100</f>
        <v>8.125</v>
      </c>
      <c r="CD116" s="16">
        <f t="shared" si="88"/>
        <v>-292.71003963011509</v>
      </c>
      <c r="CE116" s="33">
        <f>IF(0=MOD(B116,12/PARAM!$D$51),1,0)</f>
        <v>1</v>
      </c>
      <c r="CF116" s="15">
        <f t="shared" si="63"/>
        <v>0</v>
      </c>
      <c r="CG116" s="75">
        <f>CF116*(1-PARAM!$C$27)*$R$3+(MOD($B116/12,5)=0)*($B116&gt;60)*HLOOKUP($B116/12,Loyalty,2)*$F$1*MAX(CI115,0)</f>
        <v>0</v>
      </c>
      <c r="CH116" s="75">
        <f>PARAM!$C$26+MAX($P$3-CHOOSE(PARAM!$B$44,MAX(0,CI115*$F$1),0),0)*RATES!$L92/12+$Q$3*(PARAM!$D$51/12)*RATES!$N92/100</f>
        <v>8.125</v>
      </c>
      <c r="CI116" s="16">
        <f>IF(CI115&gt;0,CI115*PARAM!$C$53,CI115)+CG116-CH116</f>
        <v>-1750</v>
      </c>
      <c r="CJ116" s="15">
        <f t="shared" si="89"/>
        <v>0</v>
      </c>
      <c r="CK116" s="75">
        <f>CJ116*(1-PARAM!$C$27)*$R$4+(MOD($B116/12,5)=0)*($B116&gt;60)*HLOOKUP($B116/12,Loyalty,2)*$F$1*MAX(CM115,0)</f>
        <v>0</v>
      </c>
      <c r="CL116" s="75">
        <f>PARAM!$C$26+MAX($P$4-CHOOSE(PARAM!$B$44,MAX(0,CM115*$F$1),0),0)*RATES!$L92/12+$Q$4*(PARAM!$D$51/12)*RATES!$N92/100</f>
        <v>8.125</v>
      </c>
      <c r="CM116" s="16">
        <f>IF(CM115&gt;0,CM115*PARAM!$C$53,CM115)+CK116-CL116</f>
        <v>-1750</v>
      </c>
      <c r="CO116" s="176"/>
    </row>
    <row r="117" spans="1:93" x14ac:dyDescent="0.2">
      <c r="A117" t="b">
        <f t="shared" si="64"/>
        <v>0</v>
      </c>
      <c r="B117" s="33">
        <v>90</v>
      </c>
      <c r="C117" s="15">
        <f t="shared" si="65"/>
        <v>20.081305947392778</v>
      </c>
      <c r="D117" s="75">
        <f>C117*(1-PARAM!$C$27)*$I$3+(MOD($B117,60)=PARAM!$B$56)*($B117&gt;(60-PARAM!$B$56))*HLOOKUP(($B117+PARAM!$B$56)/12,Loyalty,2)*$F$1*MAX(F116,0)</f>
        <v>16.808053077967756</v>
      </c>
      <c r="E117" s="75">
        <f>PARAM!$C$26+MAX($G$3-CHOOSE(PARAM!$B$44,MAX(0,F116*$F$1),0),0)*RATES!$L93/12+$H$3*(PARAM!$D$51/12)*RATES!$N93/100</f>
        <v>8.4583333333333339</v>
      </c>
      <c r="F117" s="16">
        <f t="shared" si="66"/>
        <v>-421.70604033323633</v>
      </c>
      <c r="G117" s="15">
        <f t="shared" si="67"/>
        <v>22.035289406060361</v>
      </c>
      <c r="H117" s="75">
        <f>G117*(1-PARAM!$C$27)*$I$4+(MOD($B117,60)=PARAM!$B$56)*($B117&gt;(60-PARAM!$B$56))*HLOOKUP(($B117+PARAM!$B$56)/12,Loyalty,2)*$F$1*MAX(J116,0)</f>
        <v>18.443537232872522</v>
      </c>
      <c r="I117" s="75">
        <f>PARAM!$C$26+MAX($G$4-CHOOSE(PARAM!$B$44,MAX(0,J116*$F$1),0),0)*RATES!$L93/12+$H$4*(PARAM!$D$51/12)*RATES!$N93/100</f>
        <v>8.4583333333333339</v>
      </c>
      <c r="J117" s="16">
        <f t="shared" si="68"/>
        <v>-291.63522344011318</v>
      </c>
      <c r="K117" s="15">
        <f t="shared" si="69"/>
        <v>22.170849845882874</v>
      </c>
      <c r="L117" s="75">
        <f>K117*(1-PARAM!$C$27)*$I$5+(MOD($B117,60)=PARAM!$B$56)*($B117&gt;(60-PARAM!$B$56))*HLOOKUP(($B117+PARAM!$B$56)/12,Loyalty,2)*$F$1*MAX(N116,0)</f>
        <v>18.557001321003963</v>
      </c>
      <c r="M117" s="75">
        <f>PARAM!$C$26+MAX($G$5-CHOOSE(PARAM!$B$44,MAX(0,N116*$F$1),0),0)*RATES!$L93/12+$H$5*(PARAM!$D$51/12)*RATES!$N93/100</f>
        <v>8.4583333333333339</v>
      </c>
      <c r="N117" s="16">
        <f t="shared" si="70"/>
        <v>-282.61137164244445</v>
      </c>
      <c r="O117" s="15">
        <f t="shared" si="71"/>
        <v>22.170849845882874</v>
      </c>
      <c r="P117" s="75">
        <f>O117*(1-PARAM!$C$27)*$I$6+(MOD($B117,60)=PARAM!$B$56)*($B117&gt;(60-PARAM!$B$56))*HLOOKUP(($B117+PARAM!$B$56)/12,Loyalty,2)*$F$1*MAX(R116,0)</f>
        <v>18.557001321003963</v>
      </c>
      <c r="Q117" s="75">
        <f>PARAM!$C$26+MAX($G$6-CHOOSE(PARAM!$B$44,MAX(0,R116*$F$1),0),0)*RATES!$L93/12+$H$6*(PARAM!$D$51/12)*RATES!$N93/100</f>
        <v>8.4583333333333339</v>
      </c>
      <c r="R117" s="16">
        <f t="shared" si="72"/>
        <v>-282.61137164244445</v>
      </c>
      <c r="S117" s="15">
        <f t="shared" si="47"/>
        <v>22.170849845882874</v>
      </c>
      <c r="T117" s="75">
        <f>S117*(1-PARAM!$C$27)*$I$7+(MOD($B117,60)=PARAM!$B$56)*($B117&gt;(60-PARAM!$B$56))*HLOOKUP(($B117+PARAM!$B$56)/12,Loyalty,2)*$F$1*MAX(V116,0)</f>
        <v>18.557001321003963</v>
      </c>
      <c r="U117" s="75">
        <f>PARAM!$C$26+MAX($G$7-CHOOSE(PARAM!$B$44,MAX(0,V116*$F$1),0),0)*RATES!$L93/12+$H$7*(PARAM!$D$51/12)*RATES!$N93/100</f>
        <v>8.4583333333333339</v>
      </c>
      <c r="V117" s="16">
        <f t="shared" si="73"/>
        <v>-282.61137164244445</v>
      </c>
      <c r="W117" s="15">
        <f t="shared" si="48"/>
        <v>22.170849845882874</v>
      </c>
      <c r="X117" s="75">
        <f>W117*(1-PARAM!$C$27)*$I$8+(MOD($B117,60)=PARAM!$B$56)*($B117&gt;(60-PARAM!$B$56))*HLOOKUP(($B117+PARAM!$B$56)/12,Loyalty,2)*$F$1*MAX(Z116,0)</f>
        <v>18.557001321003963</v>
      </c>
      <c r="Y117" s="75">
        <f>PARAM!$C$26+MAX($G$8-CHOOSE(PARAM!$B$44,MAX(0,Z116*$F$1),0),0)*RATES!$L93/12+$H$8*(PARAM!$D$51/12)*RATES!$N93/100</f>
        <v>8.4583333333333339</v>
      </c>
      <c r="Z117" s="16">
        <f t="shared" si="74"/>
        <v>-282.61137164244445</v>
      </c>
      <c r="AA117" s="15">
        <f t="shared" si="49"/>
        <v>22.170849845882874</v>
      </c>
      <c r="AB117" s="75">
        <f>AA117*(1-PARAM!$C$27)*$I$9+(MOD($B117,60)=PARAM!$B$56)*($B117&gt;(60-PARAM!$B$56))*HLOOKUP(($B117+PARAM!$B$56)/12,Loyalty,2)*$F$1*MAX(AD116,0)</f>
        <v>18.557001321003963</v>
      </c>
      <c r="AC117" s="75">
        <f>PARAM!$C$26+MAX($G$9-CHOOSE(PARAM!$B$44,MAX(0,AD116*$F$1),0),0)*RATES!$L93/12+$H$9*(PARAM!$D$51/12)*RATES!$N93/100</f>
        <v>8.4583333333333339</v>
      </c>
      <c r="AD117" s="16">
        <f t="shared" si="75"/>
        <v>-282.61137164244445</v>
      </c>
      <c r="AE117" s="15">
        <f t="shared" si="50"/>
        <v>22.170849845882874</v>
      </c>
      <c r="AF117" s="75">
        <f>AE117*(1-PARAM!$C$27)*$I$10+(MOD($B117,60)=PARAM!$B$56)*($B117&gt;(60-PARAM!$B$56))*HLOOKUP(($B117+PARAM!$B$56)/12,Loyalty,2)*$F$1*MAX(AH116,0)</f>
        <v>18.557001321003963</v>
      </c>
      <c r="AG117" s="75">
        <f>PARAM!$C$26+MAX($G$10-CHOOSE(PARAM!$B$44,MAX(0,AH116*$F$1),0),0)*RATES!$L93/12+$H$10*(PARAM!$D$51/12)*RATES!$N93/100</f>
        <v>8.4583333333333339</v>
      </c>
      <c r="AH117" s="16">
        <f t="shared" si="76"/>
        <v>-282.61137164244445</v>
      </c>
      <c r="AI117" s="15">
        <f t="shared" si="51"/>
        <v>22.170849845882874</v>
      </c>
      <c r="AJ117" s="75">
        <f>AI117*(1-PARAM!$C$27)*$I$11+(MOD($B117,60)=PARAM!$B$56)*($B117&gt;(60-PARAM!$B$56))*HLOOKUP(($B117+PARAM!$B$56)/12,Loyalty,2)*$F$1*MAX(AL116,0)</f>
        <v>18.557001321003963</v>
      </c>
      <c r="AK117" s="75">
        <f>PARAM!$C$26+MAX($G$11-CHOOSE(PARAM!$B$44,MAX(0,AL116*$F$1),0),0)*RATES!$L93/12+$H$11*(PARAM!$D$51/12)*RATES!$N93/100</f>
        <v>8.4583333333333339</v>
      </c>
      <c r="AL117" s="16">
        <f t="shared" si="77"/>
        <v>-282.61137164244445</v>
      </c>
      <c r="AM117" s="15">
        <f t="shared" si="52"/>
        <v>22.170849845882874</v>
      </c>
      <c r="AN117" s="75">
        <f>AM117*(1-PARAM!$C$27)*$I$12+(MOD($B117,60)=PARAM!$B$56)*($B117&gt;(60-PARAM!$B$56))*HLOOKUP(($B117+PARAM!$B$56)/12,Loyalty,2)*$F$1*MAX(AP116,0)</f>
        <v>18.557001321003963</v>
      </c>
      <c r="AO117" s="75">
        <f>PARAM!$C$26+MAX($G$12-CHOOSE(PARAM!$B$44,MAX(0,AP116*$F$1),0),0)*RATES!$L93/12+$H$12*(PARAM!$D$51/12)*RATES!$N93/100</f>
        <v>8.4583333333333339</v>
      </c>
      <c r="AP117" s="16">
        <f t="shared" si="78"/>
        <v>-282.61137164244445</v>
      </c>
      <c r="AQ117" s="15">
        <f t="shared" si="53"/>
        <v>22.170849845882874</v>
      </c>
      <c r="AR117" s="75">
        <f>AQ117*(1-PARAM!$C$27)*$I$13+(MOD($B117,60)=PARAM!$B$56)*($B117&gt;(60-PARAM!$B$56))*HLOOKUP(($B117+PARAM!$B$56)/12,Loyalty,2)*$F$1*MAX(AT116,0)</f>
        <v>18.557001321003963</v>
      </c>
      <c r="AS117" s="75">
        <f>PARAM!$C$26+MAX($G$13-CHOOSE(PARAM!$B$44,MAX(0,AT116*$F$1),0),0)*RATES!$L93/12+$H$13*(PARAM!$D$51/12)*RATES!$N93/100</f>
        <v>8.4583333333333339</v>
      </c>
      <c r="AT117" s="16">
        <f t="shared" si="79"/>
        <v>-282.61137164244445</v>
      </c>
      <c r="AU117" s="15">
        <f t="shared" si="54"/>
        <v>22.170849845882874</v>
      </c>
      <c r="AV117" s="75">
        <f>AU117*(1-PARAM!$C$27)*$I$14+(MOD($B117,60)=PARAM!$B$56)*($B117&gt;(60-PARAM!$B$56))*HLOOKUP(($B117+PARAM!$B$56)/12,Loyalty,2)*$F$1*MAX(AX116,0)</f>
        <v>18.557001321003963</v>
      </c>
      <c r="AW117" s="75">
        <f>PARAM!$C$26+MAX($G$14-CHOOSE(PARAM!$B$44,MAX(0,AX116*$F$1),0),0)*RATES!$L93/12+$H$14*(PARAM!$D$51/12)*RATES!$N93/100</f>
        <v>8.4583333333333339</v>
      </c>
      <c r="AX117" s="16">
        <f t="shared" si="80"/>
        <v>-282.61137164244445</v>
      </c>
      <c r="AY117" s="15">
        <f t="shared" si="55"/>
        <v>22.170849845882874</v>
      </c>
      <c r="AZ117" s="75">
        <f>AY117*(1-PARAM!$C$27)*$I$15+(MOD($B117,60)=PARAM!$B$56)*($B117&gt;(60-PARAM!$B$56))*HLOOKUP(($B117+PARAM!$B$56)/12,Loyalty,2)*$F$1*MAX(BB116,0)</f>
        <v>18.557001321003963</v>
      </c>
      <c r="BA117" s="75">
        <f>PARAM!$C$26+MAX($G$15-CHOOSE(PARAM!$B$44,MAX(0,BB116*$F$1),0),0)*RATES!$L93/12+$H$15*(PARAM!$D$51/12)*RATES!$N93/100</f>
        <v>8.4583333333333339</v>
      </c>
      <c r="BB117" s="16">
        <f t="shared" si="81"/>
        <v>-282.61137164244445</v>
      </c>
      <c r="BC117" s="15">
        <f t="shared" si="56"/>
        <v>22.170849845882874</v>
      </c>
      <c r="BD117" s="75">
        <f>BC117*(1-PARAM!$C$27)*$I$16+(MOD($B117,60)=PARAM!$B$56)*($B117&gt;(60-PARAM!$B$56))*HLOOKUP(($B117+PARAM!$B$56)/12,Loyalty,2)*$F$1*MAX(BF116,0)</f>
        <v>18.557001321003963</v>
      </c>
      <c r="BE117" s="75">
        <f>PARAM!$C$26+MAX($G$16-CHOOSE(PARAM!$B$44,MAX(0,BF116*$F$1),0),0)*RATES!$L93/12+$H$16*(PARAM!$D$51/12)*RATES!$N93/100</f>
        <v>8.4583333333333339</v>
      </c>
      <c r="BF117" s="16">
        <f t="shared" si="82"/>
        <v>-282.61137164244445</v>
      </c>
      <c r="BG117" s="15">
        <f t="shared" si="57"/>
        <v>22.170849845882874</v>
      </c>
      <c r="BH117" s="75">
        <f>BG117*(1-PARAM!$C$27)*$I$17+(MOD($B117,60)=PARAM!$B$56)*($B117&gt;(60-PARAM!$B$56))*HLOOKUP(($B117+PARAM!$B$56)/12,Loyalty,2)*$F$1*MAX(BJ116,0)</f>
        <v>18.557001321003963</v>
      </c>
      <c r="BI117" s="75">
        <f>PARAM!$C$26+MAX($G$17-CHOOSE(PARAM!$B$44,MAX(0,BJ116*$F$1),0),0)*RATES!$L93/12+$H$17*(PARAM!$D$51/12)*RATES!$N93/100</f>
        <v>8.4583333333333339</v>
      </c>
      <c r="BJ117" s="16">
        <f t="shared" si="83"/>
        <v>-282.61137164244445</v>
      </c>
      <c r="BK117" s="15">
        <f t="shared" si="58"/>
        <v>22.170849845882874</v>
      </c>
      <c r="BL117" s="75">
        <f>BK117*(1-PARAM!$C$27)*$I$18+(MOD($B117,60)=PARAM!$B$56)*($B117&gt;(60-PARAM!$B$56))*HLOOKUP(($B117+PARAM!$B$56)/12,Loyalty,2)*$F$1*MAX(BN116,0)</f>
        <v>18.557001321003963</v>
      </c>
      <c r="BM117" s="75">
        <f>PARAM!$C$26+MAX($G$18-CHOOSE(PARAM!$B$44,MAX(0,BN116*$F$1),0),0)*RATES!$L93/12+$H$18*(PARAM!$D$51/12)*RATES!$N93/100</f>
        <v>8.4583333333333339</v>
      </c>
      <c r="BN117" s="16">
        <f t="shared" si="84"/>
        <v>-282.61137164244445</v>
      </c>
      <c r="BO117" s="15">
        <f t="shared" si="59"/>
        <v>22.170849845882874</v>
      </c>
      <c r="BP117" s="75">
        <f>BO117*(1-PARAM!$C$27)*$I$19+(MOD($B117,60)=PARAM!$B$56)*($B117&gt;(60-PARAM!$B$56))*HLOOKUP(($B117+PARAM!$B$56)/12,Loyalty,2)*$F$1*MAX(BR116,0)</f>
        <v>18.557001321003963</v>
      </c>
      <c r="BQ117" s="75">
        <f>PARAM!$C$26+MAX($G$19-CHOOSE(PARAM!$B$44,MAX(0,BR116*$F$1),0),0)*RATES!$L93/12+$H$19*(PARAM!$D$51/12)*RATES!$N93/100</f>
        <v>8.4583333333333339</v>
      </c>
      <c r="BR117" s="16">
        <f t="shared" si="85"/>
        <v>-282.61137164244445</v>
      </c>
      <c r="BS117" s="15">
        <f t="shared" si="60"/>
        <v>22.170849845882874</v>
      </c>
      <c r="BT117" s="75">
        <f>BS117*(1-PARAM!$C$27)*$I$20+(MOD($B117,60)=PARAM!$B$56)*($B117&gt;(60-PARAM!$B$56))*HLOOKUP(($B117+PARAM!$B$56)/12,Loyalty,2)*$F$1*MAX(BV116,0)</f>
        <v>18.557001321003963</v>
      </c>
      <c r="BU117" s="75">
        <f>PARAM!$C$26+MAX($G$20-CHOOSE(PARAM!$B$44,MAX(0,BV116*$F$1),0),0)*RATES!$L93/12+$H$20*(PARAM!$D$51/12)*RATES!$N93/100</f>
        <v>8.4583333333333339</v>
      </c>
      <c r="BV117" s="16">
        <f t="shared" si="86"/>
        <v>-282.61137164244445</v>
      </c>
      <c r="BW117" s="15">
        <f t="shared" si="61"/>
        <v>22.170849845882874</v>
      </c>
      <c r="BX117" s="75">
        <f>BW117*(1-PARAM!$C$27)*$I$21+(MOD($B117,60)=PARAM!$B$56)*($B117&gt;(60-PARAM!$B$56))*HLOOKUP(($B117+PARAM!$B$56)/12,Loyalty,2)*$F$1*MAX(BZ116,0)</f>
        <v>18.557001321003963</v>
      </c>
      <c r="BY117" s="75">
        <f>PARAM!$C$26+MAX($G$21-CHOOSE(PARAM!$B$44,MAX(0,BZ116*$F$1),0),0)*RATES!$L93/12+$H$21*(PARAM!$D$51/12)*RATES!$N93/100</f>
        <v>8.4583333333333339</v>
      </c>
      <c r="BZ117" s="16">
        <f t="shared" si="87"/>
        <v>-282.61137164244445</v>
      </c>
      <c r="CA117" s="15">
        <f t="shared" si="62"/>
        <v>22.170849845882874</v>
      </c>
      <c r="CB117" s="75">
        <f>CA117*(1-PARAM!$C$27)*$I$22+(MOD($B117,60)=PARAM!$B$56)*($B117&gt;(60-PARAM!$B$56))*HLOOKUP(($B117+PARAM!$B$56)/12,Loyalty,2)*$F$1*MAX(CD116,0)</f>
        <v>18.557001321003963</v>
      </c>
      <c r="CC117" s="75">
        <f>PARAM!$C$26+MAX($G$22-CHOOSE(PARAM!$B$44,MAX(0,CD116*$F$1),0),0)*RATES!$L93/12+$H$22*(PARAM!$D$51/12)*RATES!$N93/100</f>
        <v>8.4583333333333339</v>
      </c>
      <c r="CD117" s="16">
        <f t="shared" si="88"/>
        <v>-282.61137164244445</v>
      </c>
      <c r="CE117" s="33">
        <f>IF(0=MOD(B117,12/PARAM!$D$51),1,0)</f>
        <v>1</v>
      </c>
      <c r="CF117" s="15">
        <f t="shared" si="63"/>
        <v>0</v>
      </c>
      <c r="CG117" s="75">
        <f>CF117*(1-PARAM!$C$27)*$R$3+(MOD($B117/12,5)=0)*($B117&gt;60)*HLOOKUP($B117/12,Loyalty,2)*$F$1*MAX(CI116,0)</f>
        <v>0</v>
      </c>
      <c r="CH117" s="75">
        <f>PARAM!$C$26+MAX($P$3-CHOOSE(PARAM!$B$44,MAX(0,CI116*$F$1),0),0)*RATES!$L93/12+$Q$3*(PARAM!$D$51/12)*RATES!$N93/100</f>
        <v>8.4583333333333339</v>
      </c>
      <c r="CI117" s="16">
        <f>IF(CI116&gt;0,CI116*PARAM!$C$53,CI116)+CG117-CH117</f>
        <v>-1758.4583333333333</v>
      </c>
      <c r="CJ117" s="15">
        <f t="shared" si="89"/>
        <v>0</v>
      </c>
      <c r="CK117" s="75">
        <f>CJ117*(1-PARAM!$C$27)*$R$4+(MOD($B117/12,5)=0)*($B117&gt;60)*HLOOKUP($B117/12,Loyalty,2)*$F$1*MAX(CM116,0)</f>
        <v>0</v>
      </c>
      <c r="CL117" s="75">
        <f>PARAM!$C$26+MAX($P$4-CHOOSE(PARAM!$B$44,MAX(0,CM116*$F$1),0),0)*RATES!$L93/12+$Q$4*(PARAM!$D$51/12)*RATES!$N93/100</f>
        <v>8.4583333333333339</v>
      </c>
      <c r="CM117" s="16">
        <f>IF(CM116&gt;0,CM116*PARAM!$C$53,CM116)+CK117-CL117</f>
        <v>-1758.4583333333333</v>
      </c>
      <c r="CO117" s="176"/>
    </row>
    <row r="118" spans="1:93" x14ac:dyDescent="0.2">
      <c r="A118" t="b">
        <f t="shared" si="64"/>
        <v>0</v>
      </c>
      <c r="B118" s="33">
        <v>91</v>
      </c>
      <c r="C118" s="15">
        <f t="shared" si="65"/>
        <v>20.081305947392778</v>
      </c>
      <c r="D118" s="75">
        <f>C118*(1-PARAM!$C$27)*$I$3+(MOD($B118,60)=PARAM!$B$56)*($B118&gt;(60-PARAM!$B$56))*HLOOKUP(($B118+PARAM!$B$56)/12,Loyalty,2)*$F$1*MAX(F117,0)</f>
        <v>16.808053077967756</v>
      </c>
      <c r="E118" s="75">
        <f>PARAM!$C$26+MAX($G$3-CHOOSE(PARAM!$B$44,MAX(0,F117*$F$1),0),0)*RATES!$L94/12+$H$3*(PARAM!$D$51/12)*RATES!$N94/100</f>
        <v>8.4583333333333339</v>
      </c>
      <c r="F118" s="16">
        <f t="shared" si="66"/>
        <v>-413.35632058860187</v>
      </c>
      <c r="G118" s="15">
        <f t="shared" si="67"/>
        <v>22.035289406060361</v>
      </c>
      <c r="H118" s="75">
        <f>G118*(1-PARAM!$C$27)*$I$4+(MOD($B118,60)=PARAM!$B$56)*($B118&gt;(60-PARAM!$B$56))*HLOOKUP(($B118+PARAM!$B$56)/12,Loyalty,2)*$F$1*MAX(J117,0)</f>
        <v>18.443537232872522</v>
      </c>
      <c r="I118" s="75">
        <f>PARAM!$C$26+MAX($G$4-CHOOSE(PARAM!$B$44,MAX(0,J117*$F$1),0),0)*RATES!$L94/12+$H$4*(PARAM!$D$51/12)*RATES!$N94/100</f>
        <v>8.4583333333333339</v>
      </c>
      <c r="J118" s="16">
        <f t="shared" si="68"/>
        <v>-281.65001954057396</v>
      </c>
      <c r="K118" s="15">
        <f t="shared" si="69"/>
        <v>22.170849845882874</v>
      </c>
      <c r="L118" s="75">
        <f>K118*(1-PARAM!$C$27)*$I$5+(MOD($B118,60)=PARAM!$B$56)*($B118&gt;(60-PARAM!$B$56))*HLOOKUP(($B118+PARAM!$B$56)/12,Loyalty,2)*$F$1*MAX(N117,0)</f>
        <v>18.557001321003963</v>
      </c>
      <c r="M118" s="75">
        <f>PARAM!$C$26+MAX($G$5-CHOOSE(PARAM!$B$44,MAX(0,N117*$F$1),0),0)*RATES!$L94/12+$H$5*(PARAM!$D$51/12)*RATES!$N94/100</f>
        <v>8.4583333333333339</v>
      </c>
      <c r="N118" s="16">
        <f t="shared" si="70"/>
        <v>-272.51270365477382</v>
      </c>
      <c r="O118" s="15">
        <f t="shared" si="71"/>
        <v>22.170849845882874</v>
      </c>
      <c r="P118" s="75">
        <f>O118*(1-PARAM!$C$27)*$I$6+(MOD($B118,60)=PARAM!$B$56)*($B118&gt;(60-PARAM!$B$56))*HLOOKUP(($B118+PARAM!$B$56)/12,Loyalty,2)*$F$1*MAX(R117,0)</f>
        <v>18.557001321003963</v>
      </c>
      <c r="Q118" s="75">
        <f>PARAM!$C$26+MAX($G$6-CHOOSE(PARAM!$B$44,MAX(0,R117*$F$1),0),0)*RATES!$L94/12+$H$6*(PARAM!$D$51/12)*RATES!$N94/100</f>
        <v>8.4583333333333339</v>
      </c>
      <c r="R118" s="16">
        <f t="shared" si="72"/>
        <v>-272.51270365477382</v>
      </c>
      <c r="S118" s="15">
        <f t="shared" si="47"/>
        <v>22.170849845882874</v>
      </c>
      <c r="T118" s="75">
        <f>S118*(1-PARAM!$C$27)*$I$7+(MOD($B118,60)=PARAM!$B$56)*($B118&gt;(60-PARAM!$B$56))*HLOOKUP(($B118+PARAM!$B$56)/12,Loyalty,2)*$F$1*MAX(V117,0)</f>
        <v>18.557001321003963</v>
      </c>
      <c r="U118" s="75">
        <f>PARAM!$C$26+MAX($G$7-CHOOSE(PARAM!$B$44,MAX(0,V117*$F$1),0),0)*RATES!$L94/12+$H$7*(PARAM!$D$51/12)*RATES!$N94/100</f>
        <v>8.4583333333333339</v>
      </c>
      <c r="V118" s="16">
        <f t="shared" si="73"/>
        <v>-272.51270365477382</v>
      </c>
      <c r="W118" s="15">
        <f t="shared" si="48"/>
        <v>22.170849845882874</v>
      </c>
      <c r="X118" s="75">
        <f>W118*(1-PARAM!$C$27)*$I$8+(MOD($B118,60)=PARAM!$B$56)*($B118&gt;(60-PARAM!$B$56))*HLOOKUP(($B118+PARAM!$B$56)/12,Loyalty,2)*$F$1*MAX(Z117,0)</f>
        <v>18.557001321003963</v>
      </c>
      <c r="Y118" s="75">
        <f>PARAM!$C$26+MAX($G$8-CHOOSE(PARAM!$B$44,MAX(0,Z117*$F$1),0),0)*RATES!$L94/12+$H$8*(PARAM!$D$51/12)*RATES!$N94/100</f>
        <v>8.4583333333333339</v>
      </c>
      <c r="Z118" s="16">
        <f t="shared" si="74"/>
        <v>-272.51270365477382</v>
      </c>
      <c r="AA118" s="15">
        <f t="shared" si="49"/>
        <v>22.170849845882874</v>
      </c>
      <c r="AB118" s="75">
        <f>AA118*(1-PARAM!$C$27)*$I$9+(MOD($B118,60)=PARAM!$B$56)*($B118&gt;(60-PARAM!$B$56))*HLOOKUP(($B118+PARAM!$B$56)/12,Loyalty,2)*$F$1*MAX(AD117,0)</f>
        <v>18.557001321003963</v>
      </c>
      <c r="AC118" s="75">
        <f>PARAM!$C$26+MAX($G$9-CHOOSE(PARAM!$B$44,MAX(0,AD117*$F$1),0),0)*RATES!$L94/12+$H$9*(PARAM!$D$51/12)*RATES!$N94/100</f>
        <v>8.4583333333333339</v>
      </c>
      <c r="AD118" s="16">
        <f t="shared" si="75"/>
        <v>-272.51270365477382</v>
      </c>
      <c r="AE118" s="15">
        <f t="shared" si="50"/>
        <v>22.170849845882874</v>
      </c>
      <c r="AF118" s="75">
        <f>AE118*(1-PARAM!$C$27)*$I$10+(MOD($B118,60)=PARAM!$B$56)*($B118&gt;(60-PARAM!$B$56))*HLOOKUP(($B118+PARAM!$B$56)/12,Loyalty,2)*$F$1*MAX(AH117,0)</f>
        <v>18.557001321003963</v>
      </c>
      <c r="AG118" s="75">
        <f>PARAM!$C$26+MAX($G$10-CHOOSE(PARAM!$B$44,MAX(0,AH117*$F$1),0),0)*RATES!$L94/12+$H$10*(PARAM!$D$51/12)*RATES!$N94/100</f>
        <v>8.4583333333333339</v>
      </c>
      <c r="AH118" s="16">
        <f t="shared" si="76"/>
        <v>-272.51270365477382</v>
      </c>
      <c r="AI118" s="15">
        <f t="shared" si="51"/>
        <v>22.170849845882874</v>
      </c>
      <c r="AJ118" s="75">
        <f>AI118*(1-PARAM!$C$27)*$I$11+(MOD($B118,60)=PARAM!$B$56)*($B118&gt;(60-PARAM!$B$56))*HLOOKUP(($B118+PARAM!$B$56)/12,Loyalty,2)*$F$1*MAX(AL117,0)</f>
        <v>18.557001321003963</v>
      </c>
      <c r="AK118" s="75">
        <f>PARAM!$C$26+MAX($G$11-CHOOSE(PARAM!$B$44,MAX(0,AL117*$F$1),0),0)*RATES!$L94/12+$H$11*(PARAM!$D$51/12)*RATES!$N94/100</f>
        <v>8.4583333333333339</v>
      </c>
      <c r="AL118" s="16">
        <f t="shared" si="77"/>
        <v>-272.51270365477382</v>
      </c>
      <c r="AM118" s="15">
        <f t="shared" si="52"/>
        <v>22.170849845882874</v>
      </c>
      <c r="AN118" s="75">
        <f>AM118*(1-PARAM!$C$27)*$I$12+(MOD($B118,60)=PARAM!$B$56)*($B118&gt;(60-PARAM!$B$56))*HLOOKUP(($B118+PARAM!$B$56)/12,Loyalty,2)*$F$1*MAX(AP117,0)</f>
        <v>18.557001321003963</v>
      </c>
      <c r="AO118" s="75">
        <f>PARAM!$C$26+MAX($G$12-CHOOSE(PARAM!$B$44,MAX(0,AP117*$F$1),0),0)*RATES!$L94/12+$H$12*(PARAM!$D$51/12)*RATES!$N94/100</f>
        <v>8.4583333333333339</v>
      </c>
      <c r="AP118" s="16">
        <f t="shared" si="78"/>
        <v>-272.51270365477382</v>
      </c>
      <c r="AQ118" s="15">
        <f t="shared" si="53"/>
        <v>22.170849845882874</v>
      </c>
      <c r="AR118" s="75">
        <f>AQ118*(1-PARAM!$C$27)*$I$13+(MOD($B118,60)=PARAM!$B$56)*($B118&gt;(60-PARAM!$B$56))*HLOOKUP(($B118+PARAM!$B$56)/12,Loyalty,2)*$F$1*MAX(AT117,0)</f>
        <v>18.557001321003963</v>
      </c>
      <c r="AS118" s="75">
        <f>PARAM!$C$26+MAX($G$13-CHOOSE(PARAM!$B$44,MAX(0,AT117*$F$1),0),0)*RATES!$L94/12+$H$13*(PARAM!$D$51/12)*RATES!$N94/100</f>
        <v>8.4583333333333339</v>
      </c>
      <c r="AT118" s="16">
        <f t="shared" si="79"/>
        <v>-272.51270365477382</v>
      </c>
      <c r="AU118" s="15">
        <f t="shared" si="54"/>
        <v>22.170849845882874</v>
      </c>
      <c r="AV118" s="75">
        <f>AU118*(1-PARAM!$C$27)*$I$14+(MOD($B118,60)=PARAM!$B$56)*($B118&gt;(60-PARAM!$B$56))*HLOOKUP(($B118+PARAM!$B$56)/12,Loyalty,2)*$F$1*MAX(AX117,0)</f>
        <v>18.557001321003963</v>
      </c>
      <c r="AW118" s="75">
        <f>PARAM!$C$26+MAX($G$14-CHOOSE(PARAM!$B$44,MAX(0,AX117*$F$1),0),0)*RATES!$L94/12+$H$14*(PARAM!$D$51/12)*RATES!$N94/100</f>
        <v>8.4583333333333339</v>
      </c>
      <c r="AX118" s="16">
        <f t="shared" si="80"/>
        <v>-272.51270365477382</v>
      </c>
      <c r="AY118" s="15">
        <f t="shared" si="55"/>
        <v>22.170849845882874</v>
      </c>
      <c r="AZ118" s="75">
        <f>AY118*(1-PARAM!$C$27)*$I$15+(MOD($B118,60)=PARAM!$B$56)*($B118&gt;(60-PARAM!$B$56))*HLOOKUP(($B118+PARAM!$B$56)/12,Loyalty,2)*$F$1*MAX(BB117,0)</f>
        <v>18.557001321003963</v>
      </c>
      <c r="BA118" s="75">
        <f>PARAM!$C$26+MAX($G$15-CHOOSE(PARAM!$B$44,MAX(0,BB117*$F$1),0),0)*RATES!$L94/12+$H$15*(PARAM!$D$51/12)*RATES!$N94/100</f>
        <v>8.4583333333333339</v>
      </c>
      <c r="BB118" s="16">
        <f t="shared" si="81"/>
        <v>-272.51270365477382</v>
      </c>
      <c r="BC118" s="15">
        <f t="shared" si="56"/>
        <v>22.170849845882874</v>
      </c>
      <c r="BD118" s="75">
        <f>BC118*(1-PARAM!$C$27)*$I$16+(MOD($B118,60)=PARAM!$B$56)*($B118&gt;(60-PARAM!$B$56))*HLOOKUP(($B118+PARAM!$B$56)/12,Loyalty,2)*$F$1*MAX(BF117,0)</f>
        <v>18.557001321003963</v>
      </c>
      <c r="BE118" s="75">
        <f>PARAM!$C$26+MAX($G$16-CHOOSE(PARAM!$B$44,MAX(0,BF117*$F$1),0),0)*RATES!$L94/12+$H$16*(PARAM!$D$51/12)*RATES!$N94/100</f>
        <v>8.4583333333333339</v>
      </c>
      <c r="BF118" s="16">
        <f t="shared" si="82"/>
        <v>-272.51270365477382</v>
      </c>
      <c r="BG118" s="15">
        <f t="shared" si="57"/>
        <v>22.170849845882874</v>
      </c>
      <c r="BH118" s="75">
        <f>BG118*(1-PARAM!$C$27)*$I$17+(MOD($B118,60)=PARAM!$B$56)*($B118&gt;(60-PARAM!$B$56))*HLOOKUP(($B118+PARAM!$B$56)/12,Loyalty,2)*$F$1*MAX(BJ117,0)</f>
        <v>18.557001321003963</v>
      </c>
      <c r="BI118" s="75">
        <f>PARAM!$C$26+MAX($G$17-CHOOSE(PARAM!$B$44,MAX(0,BJ117*$F$1),0),0)*RATES!$L94/12+$H$17*(PARAM!$D$51/12)*RATES!$N94/100</f>
        <v>8.4583333333333339</v>
      </c>
      <c r="BJ118" s="16">
        <f t="shared" si="83"/>
        <v>-272.51270365477382</v>
      </c>
      <c r="BK118" s="15">
        <f t="shared" si="58"/>
        <v>22.170849845882874</v>
      </c>
      <c r="BL118" s="75">
        <f>BK118*(1-PARAM!$C$27)*$I$18+(MOD($B118,60)=PARAM!$B$56)*($B118&gt;(60-PARAM!$B$56))*HLOOKUP(($B118+PARAM!$B$56)/12,Loyalty,2)*$F$1*MAX(BN117,0)</f>
        <v>18.557001321003963</v>
      </c>
      <c r="BM118" s="75">
        <f>PARAM!$C$26+MAX($G$18-CHOOSE(PARAM!$B$44,MAX(0,BN117*$F$1),0),0)*RATES!$L94/12+$H$18*(PARAM!$D$51/12)*RATES!$N94/100</f>
        <v>8.4583333333333339</v>
      </c>
      <c r="BN118" s="16">
        <f t="shared" si="84"/>
        <v>-272.51270365477382</v>
      </c>
      <c r="BO118" s="15">
        <f t="shared" si="59"/>
        <v>22.170849845882874</v>
      </c>
      <c r="BP118" s="75">
        <f>BO118*(1-PARAM!$C$27)*$I$19+(MOD($B118,60)=PARAM!$B$56)*($B118&gt;(60-PARAM!$B$56))*HLOOKUP(($B118+PARAM!$B$56)/12,Loyalty,2)*$F$1*MAX(BR117,0)</f>
        <v>18.557001321003963</v>
      </c>
      <c r="BQ118" s="75">
        <f>PARAM!$C$26+MAX($G$19-CHOOSE(PARAM!$B$44,MAX(0,BR117*$F$1),0),0)*RATES!$L94/12+$H$19*(PARAM!$D$51/12)*RATES!$N94/100</f>
        <v>8.4583333333333339</v>
      </c>
      <c r="BR118" s="16">
        <f t="shared" si="85"/>
        <v>-272.51270365477382</v>
      </c>
      <c r="BS118" s="15">
        <f t="shared" si="60"/>
        <v>22.170849845882874</v>
      </c>
      <c r="BT118" s="75">
        <f>BS118*(1-PARAM!$C$27)*$I$20+(MOD($B118,60)=PARAM!$B$56)*($B118&gt;(60-PARAM!$B$56))*HLOOKUP(($B118+PARAM!$B$56)/12,Loyalty,2)*$F$1*MAX(BV117,0)</f>
        <v>18.557001321003963</v>
      </c>
      <c r="BU118" s="75">
        <f>PARAM!$C$26+MAX($G$20-CHOOSE(PARAM!$B$44,MAX(0,BV117*$F$1),0),0)*RATES!$L94/12+$H$20*(PARAM!$D$51/12)*RATES!$N94/100</f>
        <v>8.4583333333333339</v>
      </c>
      <c r="BV118" s="16">
        <f t="shared" si="86"/>
        <v>-272.51270365477382</v>
      </c>
      <c r="BW118" s="15">
        <f t="shared" si="61"/>
        <v>22.170849845882874</v>
      </c>
      <c r="BX118" s="75">
        <f>BW118*(1-PARAM!$C$27)*$I$21+(MOD($B118,60)=PARAM!$B$56)*($B118&gt;(60-PARAM!$B$56))*HLOOKUP(($B118+PARAM!$B$56)/12,Loyalty,2)*$F$1*MAX(BZ117,0)</f>
        <v>18.557001321003963</v>
      </c>
      <c r="BY118" s="75">
        <f>PARAM!$C$26+MAX($G$21-CHOOSE(PARAM!$B$44,MAX(0,BZ117*$F$1),0),0)*RATES!$L94/12+$H$21*(PARAM!$D$51/12)*RATES!$N94/100</f>
        <v>8.4583333333333339</v>
      </c>
      <c r="BZ118" s="16">
        <f t="shared" si="87"/>
        <v>-272.51270365477382</v>
      </c>
      <c r="CA118" s="15">
        <f t="shared" si="62"/>
        <v>22.170849845882874</v>
      </c>
      <c r="CB118" s="75">
        <f>CA118*(1-PARAM!$C$27)*$I$22+(MOD($B118,60)=PARAM!$B$56)*($B118&gt;(60-PARAM!$B$56))*HLOOKUP(($B118+PARAM!$B$56)/12,Loyalty,2)*$F$1*MAX(CD117,0)</f>
        <v>18.557001321003963</v>
      </c>
      <c r="CC118" s="75">
        <f>PARAM!$C$26+MAX($G$22-CHOOSE(PARAM!$B$44,MAX(0,CD117*$F$1),0),0)*RATES!$L94/12+$H$22*(PARAM!$D$51/12)*RATES!$N94/100</f>
        <v>8.4583333333333339</v>
      </c>
      <c r="CD118" s="16">
        <f t="shared" si="88"/>
        <v>-272.51270365477382</v>
      </c>
      <c r="CE118" s="33">
        <f>IF(0=MOD(B118,12/PARAM!$D$51),1,0)</f>
        <v>1</v>
      </c>
      <c r="CF118" s="15">
        <f t="shared" si="63"/>
        <v>0</v>
      </c>
      <c r="CG118" s="75">
        <f>CF118*(1-PARAM!$C$27)*$R$3+(MOD($B118/12,5)=0)*($B118&gt;60)*HLOOKUP($B118/12,Loyalty,2)*$F$1*MAX(CI117,0)</f>
        <v>0</v>
      </c>
      <c r="CH118" s="75">
        <f>PARAM!$C$26+MAX($P$3-CHOOSE(PARAM!$B$44,MAX(0,CI117*$F$1),0),0)*RATES!$L94/12+$Q$3*(PARAM!$D$51/12)*RATES!$N94/100</f>
        <v>8.4583333333333339</v>
      </c>
      <c r="CI118" s="16">
        <f>IF(CI117&gt;0,CI117*PARAM!$C$53,CI117)+CG118-CH118</f>
        <v>-1766.9166666666665</v>
      </c>
      <c r="CJ118" s="15">
        <f t="shared" si="89"/>
        <v>0</v>
      </c>
      <c r="CK118" s="75">
        <f>CJ118*(1-PARAM!$C$27)*$R$4+(MOD($B118/12,5)=0)*($B118&gt;60)*HLOOKUP($B118/12,Loyalty,2)*$F$1*MAX(CM117,0)</f>
        <v>0</v>
      </c>
      <c r="CL118" s="75">
        <f>PARAM!$C$26+MAX($P$4-CHOOSE(PARAM!$B$44,MAX(0,CM117*$F$1),0),0)*RATES!$L94/12+$Q$4*(PARAM!$D$51/12)*RATES!$N94/100</f>
        <v>8.4583333333333339</v>
      </c>
      <c r="CM118" s="16">
        <f>IF(CM117&gt;0,CM117*PARAM!$C$53,CM117)+CK118-CL118</f>
        <v>-1766.9166666666665</v>
      </c>
      <c r="CO118" s="176"/>
    </row>
    <row r="119" spans="1:93" x14ac:dyDescent="0.2">
      <c r="A119" t="b">
        <f t="shared" si="64"/>
        <v>0</v>
      </c>
      <c r="B119" s="33">
        <v>92</v>
      </c>
      <c r="C119" s="15">
        <f t="shared" si="65"/>
        <v>20.081305947392778</v>
      </c>
      <c r="D119" s="75">
        <f>C119*(1-PARAM!$C$27)*$I$3+(MOD($B119,60)=PARAM!$B$56)*($B119&gt;(60-PARAM!$B$56))*HLOOKUP(($B119+PARAM!$B$56)/12,Loyalty,2)*$F$1*MAX(F118,0)</f>
        <v>16.808053077967756</v>
      </c>
      <c r="E119" s="75">
        <f>PARAM!$C$26+MAX($G$3-CHOOSE(PARAM!$B$44,MAX(0,F118*$F$1),0),0)*RATES!$L95/12+$H$3*(PARAM!$D$51/12)*RATES!$N95/100</f>
        <v>8.4583333333333339</v>
      </c>
      <c r="F119" s="16">
        <f t="shared" si="66"/>
        <v>-405.00660084396742</v>
      </c>
      <c r="G119" s="15">
        <f t="shared" si="67"/>
        <v>22.035289406060361</v>
      </c>
      <c r="H119" s="75">
        <f>G119*(1-PARAM!$C$27)*$I$4+(MOD($B119,60)=PARAM!$B$56)*($B119&gt;(60-PARAM!$B$56))*HLOOKUP(($B119+PARAM!$B$56)/12,Loyalty,2)*$F$1*MAX(J118,0)</f>
        <v>18.443537232872522</v>
      </c>
      <c r="I119" s="75">
        <f>PARAM!$C$26+MAX($G$4-CHOOSE(PARAM!$B$44,MAX(0,J118*$F$1),0),0)*RATES!$L95/12+$H$4*(PARAM!$D$51/12)*RATES!$N95/100</f>
        <v>8.4583333333333339</v>
      </c>
      <c r="J119" s="16">
        <f t="shared" si="68"/>
        <v>-271.66481564103475</v>
      </c>
      <c r="K119" s="15">
        <f t="shared" si="69"/>
        <v>22.170849845882874</v>
      </c>
      <c r="L119" s="75">
        <f>K119*(1-PARAM!$C$27)*$I$5+(MOD($B119,60)=PARAM!$B$56)*($B119&gt;(60-PARAM!$B$56))*HLOOKUP(($B119+PARAM!$B$56)/12,Loyalty,2)*$F$1*MAX(N118,0)</f>
        <v>18.557001321003963</v>
      </c>
      <c r="M119" s="75">
        <f>PARAM!$C$26+MAX($G$5-CHOOSE(PARAM!$B$44,MAX(0,N118*$F$1),0),0)*RATES!$L95/12+$H$5*(PARAM!$D$51/12)*RATES!$N95/100</f>
        <v>8.4583333333333339</v>
      </c>
      <c r="N119" s="16">
        <f t="shared" si="70"/>
        <v>-262.41403566710318</v>
      </c>
      <c r="O119" s="15">
        <f t="shared" si="71"/>
        <v>22.170849845882874</v>
      </c>
      <c r="P119" s="75">
        <f>O119*(1-PARAM!$C$27)*$I$6+(MOD($B119,60)=PARAM!$B$56)*($B119&gt;(60-PARAM!$B$56))*HLOOKUP(($B119+PARAM!$B$56)/12,Loyalty,2)*$F$1*MAX(R118,0)</f>
        <v>18.557001321003963</v>
      </c>
      <c r="Q119" s="75">
        <f>PARAM!$C$26+MAX($G$6-CHOOSE(PARAM!$B$44,MAX(0,R118*$F$1),0),0)*RATES!$L95/12+$H$6*(PARAM!$D$51/12)*RATES!$N95/100</f>
        <v>8.4583333333333339</v>
      </c>
      <c r="R119" s="16">
        <f t="shared" si="72"/>
        <v>-262.41403566710318</v>
      </c>
      <c r="S119" s="15">
        <f t="shared" si="47"/>
        <v>22.170849845882874</v>
      </c>
      <c r="T119" s="75">
        <f>S119*(1-PARAM!$C$27)*$I$7+(MOD($B119,60)=PARAM!$B$56)*($B119&gt;(60-PARAM!$B$56))*HLOOKUP(($B119+PARAM!$B$56)/12,Loyalty,2)*$F$1*MAX(V118,0)</f>
        <v>18.557001321003963</v>
      </c>
      <c r="U119" s="75">
        <f>PARAM!$C$26+MAX($G$7-CHOOSE(PARAM!$B$44,MAX(0,V118*$F$1),0),0)*RATES!$L95/12+$H$7*(PARAM!$D$51/12)*RATES!$N95/100</f>
        <v>8.4583333333333339</v>
      </c>
      <c r="V119" s="16">
        <f t="shared" si="73"/>
        <v>-262.41403566710318</v>
      </c>
      <c r="W119" s="15">
        <f t="shared" si="48"/>
        <v>22.170849845882874</v>
      </c>
      <c r="X119" s="75">
        <f>W119*(1-PARAM!$C$27)*$I$8+(MOD($B119,60)=PARAM!$B$56)*($B119&gt;(60-PARAM!$B$56))*HLOOKUP(($B119+PARAM!$B$56)/12,Loyalty,2)*$F$1*MAX(Z118,0)</f>
        <v>18.557001321003963</v>
      </c>
      <c r="Y119" s="75">
        <f>PARAM!$C$26+MAX($G$8-CHOOSE(PARAM!$B$44,MAX(0,Z118*$F$1),0),0)*RATES!$L95/12+$H$8*(PARAM!$D$51/12)*RATES!$N95/100</f>
        <v>8.4583333333333339</v>
      </c>
      <c r="Z119" s="16">
        <f t="shared" si="74"/>
        <v>-262.41403566710318</v>
      </c>
      <c r="AA119" s="15">
        <f t="shared" si="49"/>
        <v>22.170849845882874</v>
      </c>
      <c r="AB119" s="75">
        <f>AA119*(1-PARAM!$C$27)*$I$9+(MOD($B119,60)=PARAM!$B$56)*($B119&gt;(60-PARAM!$B$56))*HLOOKUP(($B119+PARAM!$B$56)/12,Loyalty,2)*$F$1*MAX(AD118,0)</f>
        <v>18.557001321003963</v>
      </c>
      <c r="AC119" s="75">
        <f>PARAM!$C$26+MAX($G$9-CHOOSE(PARAM!$B$44,MAX(0,AD118*$F$1),0),0)*RATES!$L95/12+$H$9*(PARAM!$D$51/12)*RATES!$N95/100</f>
        <v>8.4583333333333339</v>
      </c>
      <c r="AD119" s="16">
        <f t="shared" si="75"/>
        <v>-262.41403566710318</v>
      </c>
      <c r="AE119" s="15">
        <f t="shared" si="50"/>
        <v>22.170849845882874</v>
      </c>
      <c r="AF119" s="75">
        <f>AE119*(1-PARAM!$C$27)*$I$10+(MOD($B119,60)=PARAM!$B$56)*($B119&gt;(60-PARAM!$B$56))*HLOOKUP(($B119+PARAM!$B$56)/12,Loyalty,2)*$F$1*MAX(AH118,0)</f>
        <v>18.557001321003963</v>
      </c>
      <c r="AG119" s="75">
        <f>PARAM!$C$26+MAX($G$10-CHOOSE(PARAM!$B$44,MAX(0,AH118*$F$1),0),0)*RATES!$L95/12+$H$10*(PARAM!$D$51/12)*RATES!$N95/100</f>
        <v>8.4583333333333339</v>
      </c>
      <c r="AH119" s="16">
        <f t="shared" si="76"/>
        <v>-262.41403566710318</v>
      </c>
      <c r="AI119" s="15">
        <f t="shared" si="51"/>
        <v>22.170849845882874</v>
      </c>
      <c r="AJ119" s="75">
        <f>AI119*(1-PARAM!$C$27)*$I$11+(MOD($B119,60)=PARAM!$B$56)*($B119&gt;(60-PARAM!$B$56))*HLOOKUP(($B119+PARAM!$B$56)/12,Loyalty,2)*$F$1*MAX(AL118,0)</f>
        <v>18.557001321003963</v>
      </c>
      <c r="AK119" s="75">
        <f>PARAM!$C$26+MAX($G$11-CHOOSE(PARAM!$B$44,MAX(0,AL118*$F$1),0),0)*RATES!$L95/12+$H$11*(PARAM!$D$51/12)*RATES!$N95/100</f>
        <v>8.4583333333333339</v>
      </c>
      <c r="AL119" s="16">
        <f t="shared" si="77"/>
        <v>-262.41403566710318</v>
      </c>
      <c r="AM119" s="15">
        <f t="shared" si="52"/>
        <v>22.170849845882874</v>
      </c>
      <c r="AN119" s="75">
        <f>AM119*(1-PARAM!$C$27)*$I$12+(MOD($B119,60)=PARAM!$B$56)*($B119&gt;(60-PARAM!$B$56))*HLOOKUP(($B119+PARAM!$B$56)/12,Loyalty,2)*$F$1*MAX(AP118,0)</f>
        <v>18.557001321003963</v>
      </c>
      <c r="AO119" s="75">
        <f>PARAM!$C$26+MAX($G$12-CHOOSE(PARAM!$B$44,MAX(0,AP118*$F$1),0),0)*RATES!$L95/12+$H$12*(PARAM!$D$51/12)*RATES!$N95/100</f>
        <v>8.4583333333333339</v>
      </c>
      <c r="AP119" s="16">
        <f t="shared" si="78"/>
        <v>-262.41403566710318</v>
      </c>
      <c r="AQ119" s="15">
        <f t="shared" si="53"/>
        <v>22.170849845882874</v>
      </c>
      <c r="AR119" s="75">
        <f>AQ119*(1-PARAM!$C$27)*$I$13+(MOD($B119,60)=PARAM!$B$56)*($B119&gt;(60-PARAM!$B$56))*HLOOKUP(($B119+PARAM!$B$56)/12,Loyalty,2)*$F$1*MAX(AT118,0)</f>
        <v>18.557001321003963</v>
      </c>
      <c r="AS119" s="75">
        <f>PARAM!$C$26+MAX($G$13-CHOOSE(PARAM!$B$44,MAX(0,AT118*$F$1),0),0)*RATES!$L95/12+$H$13*(PARAM!$D$51/12)*RATES!$N95/100</f>
        <v>8.4583333333333339</v>
      </c>
      <c r="AT119" s="16">
        <f t="shared" si="79"/>
        <v>-262.41403566710318</v>
      </c>
      <c r="AU119" s="15">
        <f t="shared" si="54"/>
        <v>22.170849845882874</v>
      </c>
      <c r="AV119" s="75">
        <f>AU119*(1-PARAM!$C$27)*$I$14+(MOD($B119,60)=PARAM!$B$56)*($B119&gt;(60-PARAM!$B$56))*HLOOKUP(($B119+PARAM!$B$56)/12,Loyalty,2)*$F$1*MAX(AX118,0)</f>
        <v>18.557001321003963</v>
      </c>
      <c r="AW119" s="75">
        <f>PARAM!$C$26+MAX($G$14-CHOOSE(PARAM!$B$44,MAX(0,AX118*$F$1),0),0)*RATES!$L95/12+$H$14*(PARAM!$D$51/12)*RATES!$N95/100</f>
        <v>8.4583333333333339</v>
      </c>
      <c r="AX119" s="16">
        <f t="shared" si="80"/>
        <v>-262.41403566710318</v>
      </c>
      <c r="AY119" s="15">
        <f t="shared" si="55"/>
        <v>22.170849845882874</v>
      </c>
      <c r="AZ119" s="75">
        <f>AY119*(1-PARAM!$C$27)*$I$15+(MOD($B119,60)=PARAM!$B$56)*($B119&gt;(60-PARAM!$B$56))*HLOOKUP(($B119+PARAM!$B$56)/12,Loyalty,2)*$F$1*MAX(BB118,0)</f>
        <v>18.557001321003963</v>
      </c>
      <c r="BA119" s="75">
        <f>PARAM!$C$26+MAX($G$15-CHOOSE(PARAM!$B$44,MAX(0,BB118*$F$1),0),0)*RATES!$L95/12+$H$15*(PARAM!$D$51/12)*RATES!$N95/100</f>
        <v>8.4583333333333339</v>
      </c>
      <c r="BB119" s="16">
        <f t="shared" si="81"/>
        <v>-262.41403566710318</v>
      </c>
      <c r="BC119" s="15">
        <f t="shared" si="56"/>
        <v>22.170849845882874</v>
      </c>
      <c r="BD119" s="75">
        <f>BC119*(1-PARAM!$C$27)*$I$16+(MOD($B119,60)=PARAM!$B$56)*($B119&gt;(60-PARAM!$B$56))*HLOOKUP(($B119+PARAM!$B$56)/12,Loyalty,2)*$F$1*MAX(BF118,0)</f>
        <v>18.557001321003963</v>
      </c>
      <c r="BE119" s="75">
        <f>PARAM!$C$26+MAX($G$16-CHOOSE(PARAM!$B$44,MAX(0,BF118*$F$1),0),0)*RATES!$L95/12+$H$16*(PARAM!$D$51/12)*RATES!$N95/100</f>
        <v>8.4583333333333339</v>
      </c>
      <c r="BF119" s="16">
        <f t="shared" si="82"/>
        <v>-262.41403566710318</v>
      </c>
      <c r="BG119" s="15">
        <f t="shared" si="57"/>
        <v>22.170849845882874</v>
      </c>
      <c r="BH119" s="75">
        <f>BG119*(1-PARAM!$C$27)*$I$17+(MOD($B119,60)=PARAM!$B$56)*($B119&gt;(60-PARAM!$B$56))*HLOOKUP(($B119+PARAM!$B$56)/12,Loyalty,2)*$F$1*MAX(BJ118,0)</f>
        <v>18.557001321003963</v>
      </c>
      <c r="BI119" s="75">
        <f>PARAM!$C$26+MAX($G$17-CHOOSE(PARAM!$B$44,MAX(0,BJ118*$F$1),0),0)*RATES!$L95/12+$H$17*(PARAM!$D$51/12)*RATES!$N95/100</f>
        <v>8.4583333333333339</v>
      </c>
      <c r="BJ119" s="16">
        <f t="shared" si="83"/>
        <v>-262.41403566710318</v>
      </c>
      <c r="BK119" s="15">
        <f t="shared" si="58"/>
        <v>22.170849845882874</v>
      </c>
      <c r="BL119" s="75">
        <f>BK119*(1-PARAM!$C$27)*$I$18+(MOD($B119,60)=PARAM!$B$56)*($B119&gt;(60-PARAM!$B$56))*HLOOKUP(($B119+PARAM!$B$56)/12,Loyalty,2)*$F$1*MAX(BN118,0)</f>
        <v>18.557001321003963</v>
      </c>
      <c r="BM119" s="75">
        <f>PARAM!$C$26+MAX($G$18-CHOOSE(PARAM!$B$44,MAX(0,BN118*$F$1),0),0)*RATES!$L95/12+$H$18*(PARAM!$D$51/12)*RATES!$N95/100</f>
        <v>8.4583333333333339</v>
      </c>
      <c r="BN119" s="16">
        <f t="shared" si="84"/>
        <v>-262.41403566710318</v>
      </c>
      <c r="BO119" s="15">
        <f t="shared" si="59"/>
        <v>22.170849845882874</v>
      </c>
      <c r="BP119" s="75">
        <f>BO119*(1-PARAM!$C$27)*$I$19+(MOD($B119,60)=PARAM!$B$56)*($B119&gt;(60-PARAM!$B$56))*HLOOKUP(($B119+PARAM!$B$56)/12,Loyalty,2)*$F$1*MAX(BR118,0)</f>
        <v>18.557001321003963</v>
      </c>
      <c r="BQ119" s="75">
        <f>PARAM!$C$26+MAX($G$19-CHOOSE(PARAM!$B$44,MAX(0,BR118*$F$1),0),0)*RATES!$L95/12+$H$19*(PARAM!$D$51/12)*RATES!$N95/100</f>
        <v>8.4583333333333339</v>
      </c>
      <c r="BR119" s="16">
        <f t="shared" si="85"/>
        <v>-262.41403566710318</v>
      </c>
      <c r="BS119" s="15">
        <f t="shared" si="60"/>
        <v>22.170849845882874</v>
      </c>
      <c r="BT119" s="75">
        <f>BS119*(1-PARAM!$C$27)*$I$20+(MOD($B119,60)=PARAM!$B$56)*($B119&gt;(60-PARAM!$B$56))*HLOOKUP(($B119+PARAM!$B$56)/12,Loyalty,2)*$F$1*MAX(BV118,0)</f>
        <v>18.557001321003963</v>
      </c>
      <c r="BU119" s="75">
        <f>PARAM!$C$26+MAX($G$20-CHOOSE(PARAM!$B$44,MAX(0,BV118*$F$1),0),0)*RATES!$L95/12+$H$20*(PARAM!$D$51/12)*RATES!$N95/100</f>
        <v>8.4583333333333339</v>
      </c>
      <c r="BV119" s="16">
        <f t="shared" si="86"/>
        <v>-262.41403566710318</v>
      </c>
      <c r="BW119" s="15">
        <f t="shared" si="61"/>
        <v>22.170849845882874</v>
      </c>
      <c r="BX119" s="75">
        <f>BW119*(1-PARAM!$C$27)*$I$21+(MOD($B119,60)=PARAM!$B$56)*($B119&gt;(60-PARAM!$B$56))*HLOOKUP(($B119+PARAM!$B$56)/12,Loyalty,2)*$F$1*MAX(BZ118,0)</f>
        <v>18.557001321003963</v>
      </c>
      <c r="BY119" s="75">
        <f>PARAM!$C$26+MAX($G$21-CHOOSE(PARAM!$B$44,MAX(0,BZ118*$F$1),0),0)*RATES!$L95/12+$H$21*(PARAM!$D$51/12)*RATES!$N95/100</f>
        <v>8.4583333333333339</v>
      </c>
      <c r="BZ119" s="16">
        <f t="shared" si="87"/>
        <v>-262.41403566710318</v>
      </c>
      <c r="CA119" s="15">
        <f t="shared" si="62"/>
        <v>22.170849845882874</v>
      </c>
      <c r="CB119" s="75">
        <f>CA119*(1-PARAM!$C$27)*$I$22+(MOD($B119,60)=PARAM!$B$56)*($B119&gt;(60-PARAM!$B$56))*HLOOKUP(($B119+PARAM!$B$56)/12,Loyalty,2)*$F$1*MAX(CD118,0)</f>
        <v>18.557001321003963</v>
      </c>
      <c r="CC119" s="75">
        <f>PARAM!$C$26+MAX($G$22-CHOOSE(PARAM!$B$44,MAX(0,CD118*$F$1),0),0)*RATES!$L95/12+$H$22*(PARAM!$D$51/12)*RATES!$N95/100</f>
        <v>8.4583333333333339</v>
      </c>
      <c r="CD119" s="16">
        <f t="shared" si="88"/>
        <v>-262.41403566710318</v>
      </c>
      <c r="CE119" s="33">
        <f>IF(0=MOD(B119,12/PARAM!$D$51),1,0)</f>
        <v>1</v>
      </c>
      <c r="CF119" s="15">
        <f t="shared" si="63"/>
        <v>0</v>
      </c>
      <c r="CG119" s="75">
        <f>CF119*(1-PARAM!$C$27)*$R$3+(MOD($B119/12,5)=0)*($B119&gt;60)*HLOOKUP($B119/12,Loyalty,2)*$F$1*MAX(CI118,0)</f>
        <v>0</v>
      </c>
      <c r="CH119" s="75">
        <f>PARAM!$C$26+MAX($P$3-CHOOSE(PARAM!$B$44,MAX(0,CI118*$F$1),0),0)*RATES!$L95/12+$Q$3*(PARAM!$D$51/12)*RATES!$N95/100</f>
        <v>8.4583333333333339</v>
      </c>
      <c r="CI119" s="16">
        <f>IF(CI118&gt;0,CI118*PARAM!$C$53,CI118)+CG119-CH119</f>
        <v>-1775.3749999999998</v>
      </c>
      <c r="CJ119" s="15">
        <f t="shared" si="89"/>
        <v>0</v>
      </c>
      <c r="CK119" s="75">
        <f>CJ119*(1-PARAM!$C$27)*$R$4+(MOD($B119/12,5)=0)*($B119&gt;60)*HLOOKUP($B119/12,Loyalty,2)*$F$1*MAX(CM118,0)</f>
        <v>0</v>
      </c>
      <c r="CL119" s="75">
        <f>PARAM!$C$26+MAX($P$4-CHOOSE(PARAM!$B$44,MAX(0,CM118*$F$1),0),0)*RATES!$L95/12+$Q$4*(PARAM!$D$51/12)*RATES!$N95/100</f>
        <v>8.4583333333333339</v>
      </c>
      <c r="CM119" s="16">
        <f>IF(CM118&gt;0,CM118*PARAM!$C$53,CM118)+CK119-CL119</f>
        <v>-1775.3749999999998</v>
      </c>
      <c r="CO119" s="176"/>
    </row>
    <row r="120" spans="1:93" x14ac:dyDescent="0.2">
      <c r="A120" t="b">
        <f t="shared" si="64"/>
        <v>0</v>
      </c>
      <c r="B120" s="33">
        <v>93</v>
      </c>
      <c r="C120" s="15">
        <f t="shared" si="65"/>
        <v>20.081305947392778</v>
      </c>
      <c r="D120" s="75">
        <f>C120*(1-PARAM!$C$27)*$I$3+(MOD($B120,60)=PARAM!$B$56)*($B120&gt;(60-PARAM!$B$56))*HLOOKUP(($B120+PARAM!$B$56)/12,Loyalty,2)*$F$1*MAX(F119,0)</f>
        <v>16.808053077967756</v>
      </c>
      <c r="E120" s="75">
        <f>PARAM!$C$26+MAX($G$3-CHOOSE(PARAM!$B$44,MAX(0,F119*$F$1),0),0)*RATES!$L96/12+$H$3*(PARAM!$D$51/12)*RATES!$N96/100</f>
        <v>8.4583333333333339</v>
      </c>
      <c r="F120" s="16">
        <f t="shared" si="66"/>
        <v>-396.65688109933296</v>
      </c>
      <c r="G120" s="15">
        <f t="shared" si="67"/>
        <v>22.035289406060361</v>
      </c>
      <c r="H120" s="75">
        <f>G120*(1-PARAM!$C$27)*$I$4+(MOD($B120,60)=PARAM!$B$56)*($B120&gt;(60-PARAM!$B$56))*HLOOKUP(($B120+PARAM!$B$56)/12,Loyalty,2)*$F$1*MAX(J119,0)</f>
        <v>18.443537232872522</v>
      </c>
      <c r="I120" s="75">
        <f>PARAM!$C$26+MAX($G$4-CHOOSE(PARAM!$B$44,MAX(0,J119*$F$1),0),0)*RATES!$L96/12+$H$4*(PARAM!$D$51/12)*RATES!$N96/100</f>
        <v>8.4583333333333339</v>
      </c>
      <c r="J120" s="16">
        <f t="shared" si="68"/>
        <v>-261.67961174149553</v>
      </c>
      <c r="K120" s="15">
        <f t="shared" si="69"/>
        <v>22.170849845882874</v>
      </c>
      <c r="L120" s="75">
        <f>K120*(1-PARAM!$C$27)*$I$5+(MOD($B120,60)=PARAM!$B$56)*($B120&gt;(60-PARAM!$B$56))*HLOOKUP(($B120+PARAM!$B$56)/12,Loyalty,2)*$F$1*MAX(N119,0)</f>
        <v>18.557001321003963</v>
      </c>
      <c r="M120" s="75">
        <f>PARAM!$C$26+MAX($G$5-CHOOSE(PARAM!$B$44,MAX(0,N119*$F$1),0),0)*RATES!$L96/12+$H$5*(PARAM!$D$51/12)*RATES!$N96/100</f>
        <v>8.4583333333333339</v>
      </c>
      <c r="N120" s="16">
        <f t="shared" si="70"/>
        <v>-252.31536767943257</v>
      </c>
      <c r="O120" s="15">
        <f t="shared" si="71"/>
        <v>22.170849845882874</v>
      </c>
      <c r="P120" s="75">
        <f>O120*(1-PARAM!$C$27)*$I$6+(MOD($B120,60)=PARAM!$B$56)*($B120&gt;(60-PARAM!$B$56))*HLOOKUP(($B120+PARAM!$B$56)/12,Loyalty,2)*$F$1*MAX(R119,0)</f>
        <v>18.557001321003963</v>
      </c>
      <c r="Q120" s="75">
        <f>PARAM!$C$26+MAX($G$6-CHOOSE(PARAM!$B$44,MAX(0,R119*$F$1),0),0)*RATES!$L96/12+$H$6*(PARAM!$D$51/12)*RATES!$N96/100</f>
        <v>8.4583333333333339</v>
      </c>
      <c r="R120" s="16">
        <f t="shared" si="72"/>
        <v>-252.31536767943257</v>
      </c>
      <c r="S120" s="15">
        <f t="shared" si="47"/>
        <v>22.170849845882874</v>
      </c>
      <c r="T120" s="75">
        <f>S120*(1-PARAM!$C$27)*$I$7+(MOD($B120,60)=PARAM!$B$56)*($B120&gt;(60-PARAM!$B$56))*HLOOKUP(($B120+PARAM!$B$56)/12,Loyalty,2)*$F$1*MAX(V119,0)</f>
        <v>18.557001321003963</v>
      </c>
      <c r="U120" s="75">
        <f>PARAM!$C$26+MAX($G$7-CHOOSE(PARAM!$B$44,MAX(0,V119*$F$1),0),0)*RATES!$L96/12+$H$7*(PARAM!$D$51/12)*RATES!$N96/100</f>
        <v>8.4583333333333339</v>
      </c>
      <c r="V120" s="16">
        <f t="shared" si="73"/>
        <v>-252.31536767943257</v>
      </c>
      <c r="W120" s="15">
        <f t="shared" si="48"/>
        <v>22.170849845882874</v>
      </c>
      <c r="X120" s="75">
        <f>W120*(1-PARAM!$C$27)*$I$8+(MOD($B120,60)=PARAM!$B$56)*($B120&gt;(60-PARAM!$B$56))*HLOOKUP(($B120+PARAM!$B$56)/12,Loyalty,2)*$F$1*MAX(Z119,0)</f>
        <v>18.557001321003963</v>
      </c>
      <c r="Y120" s="75">
        <f>PARAM!$C$26+MAX($G$8-CHOOSE(PARAM!$B$44,MAX(0,Z119*$F$1),0),0)*RATES!$L96/12+$H$8*(PARAM!$D$51/12)*RATES!$N96/100</f>
        <v>8.4583333333333339</v>
      </c>
      <c r="Z120" s="16">
        <f t="shared" si="74"/>
        <v>-252.31536767943257</v>
      </c>
      <c r="AA120" s="15">
        <f t="shared" si="49"/>
        <v>22.170849845882874</v>
      </c>
      <c r="AB120" s="75">
        <f>AA120*(1-PARAM!$C$27)*$I$9+(MOD($B120,60)=PARAM!$B$56)*($B120&gt;(60-PARAM!$B$56))*HLOOKUP(($B120+PARAM!$B$56)/12,Loyalty,2)*$F$1*MAX(AD119,0)</f>
        <v>18.557001321003963</v>
      </c>
      <c r="AC120" s="75">
        <f>PARAM!$C$26+MAX($G$9-CHOOSE(PARAM!$B$44,MAX(0,AD119*$F$1),0),0)*RATES!$L96/12+$H$9*(PARAM!$D$51/12)*RATES!$N96/100</f>
        <v>8.4583333333333339</v>
      </c>
      <c r="AD120" s="16">
        <f t="shared" si="75"/>
        <v>-252.31536767943257</v>
      </c>
      <c r="AE120" s="15">
        <f t="shared" si="50"/>
        <v>22.170849845882874</v>
      </c>
      <c r="AF120" s="75">
        <f>AE120*(1-PARAM!$C$27)*$I$10+(MOD($B120,60)=PARAM!$B$56)*($B120&gt;(60-PARAM!$B$56))*HLOOKUP(($B120+PARAM!$B$56)/12,Loyalty,2)*$F$1*MAX(AH119,0)</f>
        <v>18.557001321003963</v>
      </c>
      <c r="AG120" s="75">
        <f>PARAM!$C$26+MAX($G$10-CHOOSE(PARAM!$B$44,MAX(0,AH119*$F$1),0),0)*RATES!$L96/12+$H$10*(PARAM!$D$51/12)*RATES!$N96/100</f>
        <v>8.4583333333333339</v>
      </c>
      <c r="AH120" s="16">
        <f t="shared" si="76"/>
        <v>-252.31536767943257</v>
      </c>
      <c r="AI120" s="15">
        <f t="shared" si="51"/>
        <v>22.170849845882874</v>
      </c>
      <c r="AJ120" s="75">
        <f>AI120*(1-PARAM!$C$27)*$I$11+(MOD($B120,60)=PARAM!$B$56)*($B120&gt;(60-PARAM!$B$56))*HLOOKUP(($B120+PARAM!$B$56)/12,Loyalty,2)*$F$1*MAX(AL119,0)</f>
        <v>18.557001321003963</v>
      </c>
      <c r="AK120" s="75">
        <f>PARAM!$C$26+MAX($G$11-CHOOSE(PARAM!$B$44,MAX(0,AL119*$F$1),0),0)*RATES!$L96/12+$H$11*(PARAM!$D$51/12)*RATES!$N96/100</f>
        <v>8.4583333333333339</v>
      </c>
      <c r="AL120" s="16">
        <f t="shared" si="77"/>
        <v>-252.31536767943257</v>
      </c>
      <c r="AM120" s="15">
        <f t="shared" si="52"/>
        <v>22.170849845882874</v>
      </c>
      <c r="AN120" s="75">
        <f>AM120*(1-PARAM!$C$27)*$I$12+(MOD($B120,60)=PARAM!$B$56)*($B120&gt;(60-PARAM!$B$56))*HLOOKUP(($B120+PARAM!$B$56)/12,Loyalty,2)*$F$1*MAX(AP119,0)</f>
        <v>18.557001321003963</v>
      </c>
      <c r="AO120" s="75">
        <f>PARAM!$C$26+MAX($G$12-CHOOSE(PARAM!$B$44,MAX(0,AP119*$F$1),0),0)*RATES!$L96/12+$H$12*(PARAM!$D$51/12)*RATES!$N96/100</f>
        <v>8.4583333333333339</v>
      </c>
      <c r="AP120" s="16">
        <f t="shared" si="78"/>
        <v>-252.31536767943257</v>
      </c>
      <c r="AQ120" s="15">
        <f t="shared" si="53"/>
        <v>22.170849845882874</v>
      </c>
      <c r="AR120" s="75">
        <f>AQ120*(1-PARAM!$C$27)*$I$13+(MOD($B120,60)=PARAM!$B$56)*($B120&gt;(60-PARAM!$B$56))*HLOOKUP(($B120+PARAM!$B$56)/12,Loyalty,2)*$F$1*MAX(AT119,0)</f>
        <v>18.557001321003963</v>
      </c>
      <c r="AS120" s="75">
        <f>PARAM!$C$26+MAX($G$13-CHOOSE(PARAM!$B$44,MAX(0,AT119*$F$1),0),0)*RATES!$L96/12+$H$13*(PARAM!$D$51/12)*RATES!$N96/100</f>
        <v>8.4583333333333339</v>
      </c>
      <c r="AT120" s="16">
        <f t="shared" si="79"/>
        <v>-252.31536767943257</v>
      </c>
      <c r="AU120" s="15">
        <f t="shared" si="54"/>
        <v>22.170849845882874</v>
      </c>
      <c r="AV120" s="75">
        <f>AU120*(1-PARAM!$C$27)*$I$14+(MOD($B120,60)=PARAM!$B$56)*($B120&gt;(60-PARAM!$B$56))*HLOOKUP(($B120+PARAM!$B$56)/12,Loyalty,2)*$F$1*MAX(AX119,0)</f>
        <v>18.557001321003963</v>
      </c>
      <c r="AW120" s="75">
        <f>PARAM!$C$26+MAX($G$14-CHOOSE(PARAM!$B$44,MAX(0,AX119*$F$1),0),0)*RATES!$L96/12+$H$14*(PARAM!$D$51/12)*RATES!$N96/100</f>
        <v>8.4583333333333339</v>
      </c>
      <c r="AX120" s="16">
        <f t="shared" si="80"/>
        <v>-252.31536767943257</v>
      </c>
      <c r="AY120" s="15">
        <f t="shared" si="55"/>
        <v>22.170849845882874</v>
      </c>
      <c r="AZ120" s="75">
        <f>AY120*(1-PARAM!$C$27)*$I$15+(MOD($B120,60)=PARAM!$B$56)*($B120&gt;(60-PARAM!$B$56))*HLOOKUP(($B120+PARAM!$B$56)/12,Loyalty,2)*$F$1*MAX(BB119,0)</f>
        <v>18.557001321003963</v>
      </c>
      <c r="BA120" s="75">
        <f>PARAM!$C$26+MAX($G$15-CHOOSE(PARAM!$B$44,MAX(0,BB119*$F$1),0),0)*RATES!$L96/12+$H$15*(PARAM!$D$51/12)*RATES!$N96/100</f>
        <v>8.4583333333333339</v>
      </c>
      <c r="BB120" s="16">
        <f t="shared" si="81"/>
        <v>-252.31536767943257</v>
      </c>
      <c r="BC120" s="15">
        <f t="shared" si="56"/>
        <v>22.170849845882874</v>
      </c>
      <c r="BD120" s="75">
        <f>BC120*(1-PARAM!$C$27)*$I$16+(MOD($B120,60)=PARAM!$B$56)*($B120&gt;(60-PARAM!$B$56))*HLOOKUP(($B120+PARAM!$B$56)/12,Loyalty,2)*$F$1*MAX(BF119,0)</f>
        <v>18.557001321003963</v>
      </c>
      <c r="BE120" s="75">
        <f>PARAM!$C$26+MAX($G$16-CHOOSE(PARAM!$B$44,MAX(0,BF119*$F$1),0),0)*RATES!$L96/12+$H$16*(PARAM!$D$51/12)*RATES!$N96/100</f>
        <v>8.4583333333333339</v>
      </c>
      <c r="BF120" s="16">
        <f t="shared" si="82"/>
        <v>-252.31536767943257</v>
      </c>
      <c r="BG120" s="15">
        <f t="shared" si="57"/>
        <v>22.170849845882874</v>
      </c>
      <c r="BH120" s="75">
        <f>BG120*(1-PARAM!$C$27)*$I$17+(MOD($B120,60)=PARAM!$B$56)*($B120&gt;(60-PARAM!$B$56))*HLOOKUP(($B120+PARAM!$B$56)/12,Loyalty,2)*$F$1*MAX(BJ119,0)</f>
        <v>18.557001321003963</v>
      </c>
      <c r="BI120" s="75">
        <f>PARAM!$C$26+MAX($G$17-CHOOSE(PARAM!$B$44,MAX(0,BJ119*$F$1),0),0)*RATES!$L96/12+$H$17*(PARAM!$D$51/12)*RATES!$N96/100</f>
        <v>8.4583333333333339</v>
      </c>
      <c r="BJ120" s="16">
        <f t="shared" si="83"/>
        <v>-252.31536767943257</v>
      </c>
      <c r="BK120" s="15">
        <f t="shared" si="58"/>
        <v>22.170849845882874</v>
      </c>
      <c r="BL120" s="75">
        <f>BK120*(1-PARAM!$C$27)*$I$18+(MOD($B120,60)=PARAM!$B$56)*($B120&gt;(60-PARAM!$B$56))*HLOOKUP(($B120+PARAM!$B$56)/12,Loyalty,2)*$F$1*MAX(BN119,0)</f>
        <v>18.557001321003963</v>
      </c>
      <c r="BM120" s="75">
        <f>PARAM!$C$26+MAX($G$18-CHOOSE(PARAM!$B$44,MAX(0,BN119*$F$1),0),0)*RATES!$L96/12+$H$18*(PARAM!$D$51/12)*RATES!$N96/100</f>
        <v>8.4583333333333339</v>
      </c>
      <c r="BN120" s="16">
        <f t="shared" si="84"/>
        <v>-252.31536767943257</v>
      </c>
      <c r="BO120" s="15">
        <f t="shared" si="59"/>
        <v>22.170849845882874</v>
      </c>
      <c r="BP120" s="75">
        <f>BO120*(1-PARAM!$C$27)*$I$19+(MOD($B120,60)=PARAM!$B$56)*($B120&gt;(60-PARAM!$B$56))*HLOOKUP(($B120+PARAM!$B$56)/12,Loyalty,2)*$F$1*MAX(BR119,0)</f>
        <v>18.557001321003963</v>
      </c>
      <c r="BQ120" s="75">
        <f>PARAM!$C$26+MAX($G$19-CHOOSE(PARAM!$B$44,MAX(0,BR119*$F$1),0),0)*RATES!$L96/12+$H$19*(PARAM!$D$51/12)*RATES!$N96/100</f>
        <v>8.4583333333333339</v>
      </c>
      <c r="BR120" s="16">
        <f t="shared" si="85"/>
        <v>-252.31536767943257</v>
      </c>
      <c r="BS120" s="15">
        <f t="shared" si="60"/>
        <v>22.170849845882874</v>
      </c>
      <c r="BT120" s="75">
        <f>BS120*(1-PARAM!$C$27)*$I$20+(MOD($B120,60)=PARAM!$B$56)*($B120&gt;(60-PARAM!$B$56))*HLOOKUP(($B120+PARAM!$B$56)/12,Loyalty,2)*$F$1*MAX(BV119,0)</f>
        <v>18.557001321003963</v>
      </c>
      <c r="BU120" s="75">
        <f>PARAM!$C$26+MAX($G$20-CHOOSE(PARAM!$B$44,MAX(0,BV119*$F$1),0),0)*RATES!$L96/12+$H$20*(PARAM!$D$51/12)*RATES!$N96/100</f>
        <v>8.4583333333333339</v>
      </c>
      <c r="BV120" s="16">
        <f t="shared" si="86"/>
        <v>-252.31536767943257</v>
      </c>
      <c r="BW120" s="15">
        <f t="shared" si="61"/>
        <v>22.170849845882874</v>
      </c>
      <c r="BX120" s="75">
        <f>BW120*(1-PARAM!$C$27)*$I$21+(MOD($B120,60)=PARAM!$B$56)*($B120&gt;(60-PARAM!$B$56))*HLOOKUP(($B120+PARAM!$B$56)/12,Loyalty,2)*$F$1*MAX(BZ119,0)</f>
        <v>18.557001321003963</v>
      </c>
      <c r="BY120" s="75">
        <f>PARAM!$C$26+MAX($G$21-CHOOSE(PARAM!$B$44,MAX(0,BZ119*$F$1),0),0)*RATES!$L96/12+$H$21*(PARAM!$D$51/12)*RATES!$N96/100</f>
        <v>8.4583333333333339</v>
      </c>
      <c r="BZ120" s="16">
        <f t="shared" si="87"/>
        <v>-252.31536767943257</v>
      </c>
      <c r="CA120" s="15">
        <f t="shared" si="62"/>
        <v>22.170849845882874</v>
      </c>
      <c r="CB120" s="75">
        <f>CA120*(1-PARAM!$C$27)*$I$22+(MOD($B120,60)=PARAM!$B$56)*($B120&gt;(60-PARAM!$B$56))*HLOOKUP(($B120+PARAM!$B$56)/12,Loyalty,2)*$F$1*MAX(CD119,0)</f>
        <v>18.557001321003963</v>
      </c>
      <c r="CC120" s="75">
        <f>PARAM!$C$26+MAX($G$22-CHOOSE(PARAM!$B$44,MAX(0,CD119*$F$1),0),0)*RATES!$L96/12+$H$22*(PARAM!$D$51/12)*RATES!$N96/100</f>
        <v>8.4583333333333339</v>
      </c>
      <c r="CD120" s="16">
        <f t="shared" si="88"/>
        <v>-252.31536767943257</v>
      </c>
      <c r="CE120" s="33">
        <f>IF(0=MOD(B120,12/PARAM!$D$51),1,0)</f>
        <v>1</v>
      </c>
      <c r="CF120" s="15">
        <f t="shared" si="63"/>
        <v>0</v>
      </c>
      <c r="CG120" s="75">
        <f>CF120*(1-PARAM!$C$27)*$R$3+(MOD($B120/12,5)=0)*($B120&gt;60)*HLOOKUP($B120/12,Loyalty,2)*$F$1*MAX(CI119,0)</f>
        <v>0</v>
      </c>
      <c r="CH120" s="75">
        <f>PARAM!$C$26+MAX($P$3-CHOOSE(PARAM!$B$44,MAX(0,CI119*$F$1),0),0)*RATES!$L96/12+$Q$3*(PARAM!$D$51/12)*RATES!$N96/100</f>
        <v>8.4583333333333339</v>
      </c>
      <c r="CI120" s="16">
        <f>IF(CI119&gt;0,CI119*PARAM!$C$53,CI119)+CG120-CH120</f>
        <v>-1783.833333333333</v>
      </c>
      <c r="CJ120" s="15">
        <f t="shared" si="89"/>
        <v>0</v>
      </c>
      <c r="CK120" s="75">
        <f>CJ120*(1-PARAM!$C$27)*$R$4+(MOD($B120/12,5)=0)*($B120&gt;60)*HLOOKUP($B120/12,Loyalty,2)*$F$1*MAX(CM119,0)</f>
        <v>0</v>
      </c>
      <c r="CL120" s="75">
        <f>PARAM!$C$26+MAX($P$4-CHOOSE(PARAM!$B$44,MAX(0,CM119*$F$1),0),0)*RATES!$L96/12+$Q$4*(PARAM!$D$51/12)*RATES!$N96/100</f>
        <v>8.4583333333333339</v>
      </c>
      <c r="CM120" s="16">
        <f>IF(CM119&gt;0,CM119*PARAM!$C$53,CM119)+CK120-CL120</f>
        <v>-1783.833333333333</v>
      </c>
      <c r="CO120" s="176"/>
    </row>
    <row r="121" spans="1:93" x14ac:dyDescent="0.2">
      <c r="A121" t="b">
        <f t="shared" si="64"/>
        <v>0</v>
      </c>
      <c r="B121" s="33">
        <v>94</v>
      </c>
      <c r="C121" s="15">
        <f t="shared" si="65"/>
        <v>20.081305947392778</v>
      </c>
      <c r="D121" s="75">
        <f>C121*(1-PARAM!$C$27)*$I$3+(MOD($B121,60)=PARAM!$B$56)*($B121&gt;(60-PARAM!$B$56))*HLOOKUP(($B121+PARAM!$B$56)/12,Loyalty,2)*$F$1*MAX(F120,0)</f>
        <v>16.808053077967756</v>
      </c>
      <c r="E121" s="75">
        <f>PARAM!$C$26+MAX($G$3-CHOOSE(PARAM!$B$44,MAX(0,F120*$F$1),0),0)*RATES!$L97/12+$H$3*(PARAM!$D$51/12)*RATES!$N97/100</f>
        <v>8.4583333333333339</v>
      </c>
      <c r="F121" s="16">
        <f t="shared" si="66"/>
        <v>-388.30716135469851</v>
      </c>
      <c r="G121" s="15">
        <f t="shared" si="67"/>
        <v>22.035289406060361</v>
      </c>
      <c r="H121" s="75">
        <f>G121*(1-PARAM!$C$27)*$I$4+(MOD($B121,60)=PARAM!$B$56)*($B121&gt;(60-PARAM!$B$56))*HLOOKUP(($B121+PARAM!$B$56)/12,Loyalty,2)*$F$1*MAX(J120,0)</f>
        <v>18.443537232872522</v>
      </c>
      <c r="I121" s="75">
        <f>PARAM!$C$26+MAX($G$4-CHOOSE(PARAM!$B$44,MAX(0,J120*$F$1),0),0)*RATES!$L97/12+$H$4*(PARAM!$D$51/12)*RATES!$N97/100</f>
        <v>8.4583333333333339</v>
      </c>
      <c r="J121" s="16">
        <f t="shared" si="68"/>
        <v>-251.69440784195635</v>
      </c>
      <c r="K121" s="15">
        <f t="shared" si="69"/>
        <v>22.170849845882874</v>
      </c>
      <c r="L121" s="75">
        <f>K121*(1-PARAM!$C$27)*$I$5+(MOD($B121,60)=PARAM!$B$56)*($B121&gt;(60-PARAM!$B$56))*HLOOKUP(($B121+PARAM!$B$56)/12,Loyalty,2)*$F$1*MAX(N120,0)</f>
        <v>18.557001321003963</v>
      </c>
      <c r="M121" s="75">
        <f>PARAM!$C$26+MAX($G$5-CHOOSE(PARAM!$B$44,MAX(0,N120*$F$1),0),0)*RATES!$L97/12+$H$5*(PARAM!$D$51/12)*RATES!$N97/100</f>
        <v>8.4583333333333339</v>
      </c>
      <c r="N121" s="16">
        <f t="shared" si="70"/>
        <v>-242.21669969176196</v>
      </c>
      <c r="O121" s="15">
        <f t="shared" si="71"/>
        <v>22.170849845882874</v>
      </c>
      <c r="P121" s="75">
        <f>O121*(1-PARAM!$C$27)*$I$6+(MOD($B121,60)=PARAM!$B$56)*($B121&gt;(60-PARAM!$B$56))*HLOOKUP(($B121+PARAM!$B$56)/12,Loyalty,2)*$F$1*MAX(R120,0)</f>
        <v>18.557001321003963</v>
      </c>
      <c r="Q121" s="75">
        <f>PARAM!$C$26+MAX($G$6-CHOOSE(PARAM!$B$44,MAX(0,R120*$F$1),0),0)*RATES!$L97/12+$H$6*(PARAM!$D$51/12)*RATES!$N97/100</f>
        <v>8.4583333333333339</v>
      </c>
      <c r="R121" s="16">
        <f t="shared" si="72"/>
        <v>-242.21669969176196</v>
      </c>
      <c r="S121" s="15">
        <f t="shared" si="47"/>
        <v>22.170849845882874</v>
      </c>
      <c r="T121" s="75">
        <f>S121*(1-PARAM!$C$27)*$I$7+(MOD($B121,60)=PARAM!$B$56)*($B121&gt;(60-PARAM!$B$56))*HLOOKUP(($B121+PARAM!$B$56)/12,Loyalty,2)*$F$1*MAX(V120,0)</f>
        <v>18.557001321003963</v>
      </c>
      <c r="U121" s="75">
        <f>PARAM!$C$26+MAX($G$7-CHOOSE(PARAM!$B$44,MAX(0,V120*$F$1),0),0)*RATES!$L97/12+$H$7*(PARAM!$D$51/12)*RATES!$N97/100</f>
        <v>8.4583333333333339</v>
      </c>
      <c r="V121" s="16">
        <f t="shared" si="73"/>
        <v>-242.21669969176196</v>
      </c>
      <c r="W121" s="15">
        <f t="shared" si="48"/>
        <v>22.170849845882874</v>
      </c>
      <c r="X121" s="75">
        <f>W121*(1-PARAM!$C$27)*$I$8+(MOD($B121,60)=PARAM!$B$56)*($B121&gt;(60-PARAM!$B$56))*HLOOKUP(($B121+PARAM!$B$56)/12,Loyalty,2)*$F$1*MAX(Z120,0)</f>
        <v>18.557001321003963</v>
      </c>
      <c r="Y121" s="75">
        <f>PARAM!$C$26+MAX($G$8-CHOOSE(PARAM!$B$44,MAX(0,Z120*$F$1),0),0)*RATES!$L97/12+$H$8*(PARAM!$D$51/12)*RATES!$N97/100</f>
        <v>8.4583333333333339</v>
      </c>
      <c r="Z121" s="16">
        <f t="shared" si="74"/>
        <v>-242.21669969176196</v>
      </c>
      <c r="AA121" s="15">
        <f t="shared" si="49"/>
        <v>22.170849845882874</v>
      </c>
      <c r="AB121" s="75">
        <f>AA121*(1-PARAM!$C$27)*$I$9+(MOD($B121,60)=PARAM!$B$56)*($B121&gt;(60-PARAM!$B$56))*HLOOKUP(($B121+PARAM!$B$56)/12,Loyalty,2)*$F$1*MAX(AD120,0)</f>
        <v>18.557001321003963</v>
      </c>
      <c r="AC121" s="75">
        <f>PARAM!$C$26+MAX($G$9-CHOOSE(PARAM!$B$44,MAX(0,AD120*$F$1),0),0)*RATES!$L97/12+$H$9*(PARAM!$D$51/12)*RATES!$N97/100</f>
        <v>8.4583333333333339</v>
      </c>
      <c r="AD121" s="16">
        <f t="shared" si="75"/>
        <v>-242.21669969176196</v>
      </c>
      <c r="AE121" s="15">
        <f t="shared" si="50"/>
        <v>22.170849845882874</v>
      </c>
      <c r="AF121" s="75">
        <f>AE121*(1-PARAM!$C$27)*$I$10+(MOD($B121,60)=PARAM!$B$56)*($B121&gt;(60-PARAM!$B$56))*HLOOKUP(($B121+PARAM!$B$56)/12,Loyalty,2)*$F$1*MAX(AH120,0)</f>
        <v>18.557001321003963</v>
      </c>
      <c r="AG121" s="75">
        <f>PARAM!$C$26+MAX($G$10-CHOOSE(PARAM!$B$44,MAX(0,AH120*$F$1),0),0)*RATES!$L97/12+$H$10*(PARAM!$D$51/12)*RATES!$N97/100</f>
        <v>8.4583333333333339</v>
      </c>
      <c r="AH121" s="16">
        <f t="shared" si="76"/>
        <v>-242.21669969176196</v>
      </c>
      <c r="AI121" s="15">
        <f t="shared" si="51"/>
        <v>22.170849845882874</v>
      </c>
      <c r="AJ121" s="75">
        <f>AI121*(1-PARAM!$C$27)*$I$11+(MOD($B121,60)=PARAM!$B$56)*($B121&gt;(60-PARAM!$B$56))*HLOOKUP(($B121+PARAM!$B$56)/12,Loyalty,2)*$F$1*MAX(AL120,0)</f>
        <v>18.557001321003963</v>
      </c>
      <c r="AK121" s="75">
        <f>PARAM!$C$26+MAX($G$11-CHOOSE(PARAM!$B$44,MAX(0,AL120*$F$1),0),0)*RATES!$L97/12+$H$11*(PARAM!$D$51/12)*RATES!$N97/100</f>
        <v>8.4583333333333339</v>
      </c>
      <c r="AL121" s="16">
        <f t="shared" si="77"/>
        <v>-242.21669969176196</v>
      </c>
      <c r="AM121" s="15">
        <f t="shared" si="52"/>
        <v>22.170849845882874</v>
      </c>
      <c r="AN121" s="75">
        <f>AM121*(1-PARAM!$C$27)*$I$12+(MOD($B121,60)=PARAM!$B$56)*($B121&gt;(60-PARAM!$B$56))*HLOOKUP(($B121+PARAM!$B$56)/12,Loyalty,2)*$F$1*MAX(AP120,0)</f>
        <v>18.557001321003963</v>
      </c>
      <c r="AO121" s="75">
        <f>PARAM!$C$26+MAX($G$12-CHOOSE(PARAM!$B$44,MAX(0,AP120*$F$1),0),0)*RATES!$L97/12+$H$12*(PARAM!$D$51/12)*RATES!$N97/100</f>
        <v>8.4583333333333339</v>
      </c>
      <c r="AP121" s="16">
        <f t="shared" si="78"/>
        <v>-242.21669969176196</v>
      </c>
      <c r="AQ121" s="15">
        <f t="shared" si="53"/>
        <v>22.170849845882874</v>
      </c>
      <c r="AR121" s="75">
        <f>AQ121*(1-PARAM!$C$27)*$I$13+(MOD($B121,60)=PARAM!$B$56)*($B121&gt;(60-PARAM!$B$56))*HLOOKUP(($B121+PARAM!$B$56)/12,Loyalty,2)*$F$1*MAX(AT120,0)</f>
        <v>18.557001321003963</v>
      </c>
      <c r="AS121" s="75">
        <f>PARAM!$C$26+MAX($G$13-CHOOSE(PARAM!$B$44,MAX(0,AT120*$F$1),0),0)*RATES!$L97/12+$H$13*(PARAM!$D$51/12)*RATES!$N97/100</f>
        <v>8.4583333333333339</v>
      </c>
      <c r="AT121" s="16">
        <f t="shared" si="79"/>
        <v>-242.21669969176196</v>
      </c>
      <c r="AU121" s="15">
        <f t="shared" si="54"/>
        <v>22.170849845882874</v>
      </c>
      <c r="AV121" s="75">
        <f>AU121*(1-PARAM!$C$27)*$I$14+(MOD($B121,60)=PARAM!$B$56)*($B121&gt;(60-PARAM!$B$56))*HLOOKUP(($B121+PARAM!$B$56)/12,Loyalty,2)*$F$1*MAX(AX120,0)</f>
        <v>18.557001321003963</v>
      </c>
      <c r="AW121" s="75">
        <f>PARAM!$C$26+MAX($G$14-CHOOSE(PARAM!$B$44,MAX(0,AX120*$F$1),0),0)*RATES!$L97/12+$H$14*(PARAM!$D$51/12)*RATES!$N97/100</f>
        <v>8.4583333333333339</v>
      </c>
      <c r="AX121" s="16">
        <f t="shared" si="80"/>
        <v>-242.21669969176196</v>
      </c>
      <c r="AY121" s="15">
        <f t="shared" si="55"/>
        <v>22.170849845882874</v>
      </c>
      <c r="AZ121" s="75">
        <f>AY121*(1-PARAM!$C$27)*$I$15+(MOD($B121,60)=PARAM!$B$56)*($B121&gt;(60-PARAM!$B$56))*HLOOKUP(($B121+PARAM!$B$56)/12,Loyalty,2)*$F$1*MAX(BB120,0)</f>
        <v>18.557001321003963</v>
      </c>
      <c r="BA121" s="75">
        <f>PARAM!$C$26+MAX($G$15-CHOOSE(PARAM!$B$44,MAX(0,BB120*$F$1),0),0)*RATES!$L97/12+$H$15*(PARAM!$D$51/12)*RATES!$N97/100</f>
        <v>8.4583333333333339</v>
      </c>
      <c r="BB121" s="16">
        <f t="shared" si="81"/>
        <v>-242.21669969176196</v>
      </c>
      <c r="BC121" s="15">
        <f t="shared" si="56"/>
        <v>22.170849845882874</v>
      </c>
      <c r="BD121" s="75">
        <f>BC121*(1-PARAM!$C$27)*$I$16+(MOD($B121,60)=PARAM!$B$56)*($B121&gt;(60-PARAM!$B$56))*HLOOKUP(($B121+PARAM!$B$56)/12,Loyalty,2)*$F$1*MAX(BF120,0)</f>
        <v>18.557001321003963</v>
      </c>
      <c r="BE121" s="75">
        <f>PARAM!$C$26+MAX($G$16-CHOOSE(PARAM!$B$44,MAX(0,BF120*$F$1),0),0)*RATES!$L97/12+$H$16*(PARAM!$D$51/12)*RATES!$N97/100</f>
        <v>8.4583333333333339</v>
      </c>
      <c r="BF121" s="16">
        <f t="shared" si="82"/>
        <v>-242.21669969176196</v>
      </c>
      <c r="BG121" s="15">
        <f t="shared" si="57"/>
        <v>22.170849845882874</v>
      </c>
      <c r="BH121" s="75">
        <f>BG121*(1-PARAM!$C$27)*$I$17+(MOD($B121,60)=PARAM!$B$56)*($B121&gt;(60-PARAM!$B$56))*HLOOKUP(($B121+PARAM!$B$56)/12,Loyalty,2)*$F$1*MAX(BJ120,0)</f>
        <v>18.557001321003963</v>
      </c>
      <c r="BI121" s="75">
        <f>PARAM!$C$26+MAX($G$17-CHOOSE(PARAM!$B$44,MAX(0,BJ120*$F$1),0),0)*RATES!$L97/12+$H$17*(PARAM!$D$51/12)*RATES!$N97/100</f>
        <v>8.4583333333333339</v>
      </c>
      <c r="BJ121" s="16">
        <f t="shared" si="83"/>
        <v>-242.21669969176196</v>
      </c>
      <c r="BK121" s="15">
        <f t="shared" si="58"/>
        <v>22.170849845882874</v>
      </c>
      <c r="BL121" s="75">
        <f>BK121*(1-PARAM!$C$27)*$I$18+(MOD($B121,60)=PARAM!$B$56)*($B121&gt;(60-PARAM!$B$56))*HLOOKUP(($B121+PARAM!$B$56)/12,Loyalty,2)*$F$1*MAX(BN120,0)</f>
        <v>18.557001321003963</v>
      </c>
      <c r="BM121" s="75">
        <f>PARAM!$C$26+MAX($G$18-CHOOSE(PARAM!$B$44,MAX(0,BN120*$F$1),0),0)*RATES!$L97/12+$H$18*(PARAM!$D$51/12)*RATES!$N97/100</f>
        <v>8.4583333333333339</v>
      </c>
      <c r="BN121" s="16">
        <f t="shared" si="84"/>
        <v>-242.21669969176196</v>
      </c>
      <c r="BO121" s="15">
        <f t="shared" si="59"/>
        <v>22.170849845882874</v>
      </c>
      <c r="BP121" s="75">
        <f>BO121*(1-PARAM!$C$27)*$I$19+(MOD($B121,60)=PARAM!$B$56)*($B121&gt;(60-PARAM!$B$56))*HLOOKUP(($B121+PARAM!$B$56)/12,Loyalty,2)*$F$1*MAX(BR120,0)</f>
        <v>18.557001321003963</v>
      </c>
      <c r="BQ121" s="75">
        <f>PARAM!$C$26+MAX($G$19-CHOOSE(PARAM!$B$44,MAX(0,BR120*$F$1),0),0)*RATES!$L97/12+$H$19*(PARAM!$D$51/12)*RATES!$N97/100</f>
        <v>8.4583333333333339</v>
      </c>
      <c r="BR121" s="16">
        <f t="shared" si="85"/>
        <v>-242.21669969176196</v>
      </c>
      <c r="BS121" s="15">
        <f t="shared" si="60"/>
        <v>22.170849845882874</v>
      </c>
      <c r="BT121" s="75">
        <f>BS121*(1-PARAM!$C$27)*$I$20+(MOD($B121,60)=PARAM!$B$56)*($B121&gt;(60-PARAM!$B$56))*HLOOKUP(($B121+PARAM!$B$56)/12,Loyalty,2)*$F$1*MAX(BV120,0)</f>
        <v>18.557001321003963</v>
      </c>
      <c r="BU121" s="75">
        <f>PARAM!$C$26+MAX($G$20-CHOOSE(PARAM!$B$44,MAX(0,BV120*$F$1),0),0)*RATES!$L97/12+$H$20*(PARAM!$D$51/12)*RATES!$N97/100</f>
        <v>8.4583333333333339</v>
      </c>
      <c r="BV121" s="16">
        <f t="shared" si="86"/>
        <v>-242.21669969176196</v>
      </c>
      <c r="BW121" s="15">
        <f t="shared" si="61"/>
        <v>22.170849845882874</v>
      </c>
      <c r="BX121" s="75">
        <f>BW121*(1-PARAM!$C$27)*$I$21+(MOD($B121,60)=PARAM!$B$56)*($B121&gt;(60-PARAM!$B$56))*HLOOKUP(($B121+PARAM!$B$56)/12,Loyalty,2)*$F$1*MAX(BZ120,0)</f>
        <v>18.557001321003963</v>
      </c>
      <c r="BY121" s="75">
        <f>PARAM!$C$26+MAX($G$21-CHOOSE(PARAM!$B$44,MAX(0,BZ120*$F$1),0),0)*RATES!$L97/12+$H$21*(PARAM!$D$51/12)*RATES!$N97/100</f>
        <v>8.4583333333333339</v>
      </c>
      <c r="BZ121" s="16">
        <f t="shared" si="87"/>
        <v>-242.21669969176196</v>
      </c>
      <c r="CA121" s="15">
        <f t="shared" si="62"/>
        <v>22.170849845882874</v>
      </c>
      <c r="CB121" s="75">
        <f>CA121*(1-PARAM!$C$27)*$I$22+(MOD($B121,60)=PARAM!$B$56)*($B121&gt;(60-PARAM!$B$56))*HLOOKUP(($B121+PARAM!$B$56)/12,Loyalty,2)*$F$1*MAX(CD120,0)</f>
        <v>18.557001321003963</v>
      </c>
      <c r="CC121" s="75">
        <f>PARAM!$C$26+MAX($G$22-CHOOSE(PARAM!$B$44,MAX(0,CD120*$F$1),0),0)*RATES!$L97/12+$H$22*(PARAM!$D$51/12)*RATES!$N97/100</f>
        <v>8.4583333333333339</v>
      </c>
      <c r="CD121" s="16">
        <f t="shared" si="88"/>
        <v>-242.21669969176196</v>
      </c>
      <c r="CE121" s="33">
        <f>IF(0=MOD(B121,12/PARAM!$D$51),1,0)</f>
        <v>1</v>
      </c>
      <c r="CF121" s="15">
        <f t="shared" si="63"/>
        <v>0</v>
      </c>
      <c r="CG121" s="75">
        <f>CF121*(1-PARAM!$C$27)*$R$3+(MOD($B121/12,5)=0)*($B121&gt;60)*HLOOKUP($B121/12,Loyalty,2)*$F$1*MAX(CI120,0)</f>
        <v>0</v>
      </c>
      <c r="CH121" s="75">
        <f>PARAM!$C$26+MAX($P$3-CHOOSE(PARAM!$B$44,MAX(0,CI120*$F$1),0),0)*RATES!$L97/12+$Q$3*(PARAM!$D$51/12)*RATES!$N97/100</f>
        <v>8.4583333333333339</v>
      </c>
      <c r="CI121" s="16">
        <f>IF(CI120&gt;0,CI120*PARAM!$C$53,CI120)+CG121-CH121</f>
        <v>-1792.2916666666663</v>
      </c>
      <c r="CJ121" s="15">
        <f t="shared" si="89"/>
        <v>0</v>
      </c>
      <c r="CK121" s="75">
        <f>CJ121*(1-PARAM!$C$27)*$R$4+(MOD($B121/12,5)=0)*($B121&gt;60)*HLOOKUP($B121/12,Loyalty,2)*$F$1*MAX(CM120,0)</f>
        <v>0</v>
      </c>
      <c r="CL121" s="75">
        <f>PARAM!$C$26+MAX($P$4-CHOOSE(PARAM!$B$44,MAX(0,CM120*$F$1),0),0)*RATES!$L97/12+$Q$4*(PARAM!$D$51/12)*RATES!$N97/100</f>
        <v>8.4583333333333339</v>
      </c>
      <c r="CM121" s="16">
        <f>IF(CM120&gt;0,CM120*PARAM!$C$53,CM120)+CK121-CL121</f>
        <v>-1792.2916666666663</v>
      </c>
      <c r="CO121" s="176"/>
    </row>
    <row r="122" spans="1:93" x14ac:dyDescent="0.2">
      <c r="A122" t="b">
        <f t="shared" si="64"/>
        <v>0</v>
      </c>
      <c r="B122" s="33">
        <v>95</v>
      </c>
      <c r="C122" s="15">
        <f t="shared" si="65"/>
        <v>20.081305947392778</v>
      </c>
      <c r="D122" s="75">
        <f>C122*(1-PARAM!$C$27)*$I$3+(MOD($B122,60)=PARAM!$B$56)*($B122&gt;(60-PARAM!$B$56))*HLOOKUP(($B122+PARAM!$B$56)/12,Loyalty,2)*$F$1*MAX(F121,0)</f>
        <v>16.808053077967756</v>
      </c>
      <c r="E122" s="75">
        <f>PARAM!$C$26+MAX($G$3-CHOOSE(PARAM!$B$44,MAX(0,F121*$F$1),0),0)*RATES!$L98/12+$H$3*(PARAM!$D$51/12)*RATES!$N98/100</f>
        <v>8.4583333333333339</v>
      </c>
      <c r="F122" s="16">
        <f t="shared" si="66"/>
        <v>-379.95744161006405</v>
      </c>
      <c r="G122" s="15">
        <f t="shared" si="67"/>
        <v>22.035289406060361</v>
      </c>
      <c r="H122" s="75">
        <f>G122*(1-PARAM!$C$27)*$I$4+(MOD($B122,60)=PARAM!$B$56)*($B122&gt;(60-PARAM!$B$56))*HLOOKUP(($B122+PARAM!$B$56)/12,Loyalty,2)*$F$1*MAX(J121,0)</f>
        <v>18.443537232872522</v>
      </c>
      <c r="I122" s="75">
        <f>PARAM!$C$26+MAX($G$4-CHOOSE(PARAM!$B$44,MAX(0,J121*$F$1),0),0)*RATES!$L98/12+$H$4*(PARAM!$D$51/12)*RATES!$N98/100</f>
        <v>8.4583333333333339</v>
      </c>
      <c r="J122" s="16">
        <f t="shared" si="68"/>
        <v>-241.70920394241716</v>
      </c>
      <c r="K122" s="15">
        <f t="shared" si="69"/>
        <v>22.170849845882874</v>
      </c>
      <c r="L122" s="75">
        <f>K122*(1-PARAM!$C$27)*$I$5+(MOD($B122,60)=PARAM!$B$56)*($B122&gt;(60-PARAM!$B$56))*HLOOKUP(($B122+PARAM!$B$56)/12,Loyalty,2)*$F$1*MAX(N121,0)</f>
        <v>18.557001321003963</v>
      </c>
      <c r="M122" s="75">
        <f>PARAM!$C$26+MAX($G$5-CHOOSE(PARAM!$B$44,MAX(0,N121*$F$1),0),0)*RATES!$L98/12+$H$5*(PARAM!$D$51/12)*RATES!$N98/100</f>
        <v>8.4583333333333339</v>
      </c>
      <c r="N122" s="16">
        <f t="shared" si="70"/>
        <v>-232.11803170409135</v>
      </c>
      <c r="O122" s="15">
        <f t="shared" si="71"/>
        <v>22.170849845882874</v>
      </c>
      <c r="P122" s="75">
        <f>O122*(1-PARAM!$C$27)*$I$6+(MOD($B122,60)=PARAM!$B$56)*($B122&gt;(60-PARAM!$B$56))*HLOOKUP(($B122+PARAM!$B$56)/12,Loyalty,2)*$F$1*MAX(R121,0)</f>
        <v>18.557001321003963</v>
      </c>
      <c r="Q122" s="75">
        <f>PARAM!$C$26+MAX($G$6-CHOOSE(PARAM!$B$44,MAX(0,R121*$F$1),0),0)*RATES!$L98/12+$H$6*(PARAM!$D$51/12)*RATES!$N98/100</f>
        <v>8.4583333333333339</v>
      </c>
      <c r="R122" s="16">
        <f t="shared" si="72"/>
        <v>-232.11803170409135</v>
      </c>
      <c r="S122" s="15">
        <f t="shared" si="47"/>
        <v>22.170849845882874</v>
      </c>
      <c r="T122" s="75">
        <f>S122*(1-PARAM!$C$27)*$I$7+(MOD($B122,60)=PARAM!$B$56)*($B122&gt;(60-PARAM!$B$56))*HLOOKUP(($B122+PARAM!$B$56)/12,Loyalty,2)*$F$1*MAX(V121,0)</f>
        <v>18.557001321003963</v>
      </c>
      <c r="U122" s="75">
        <f>PARAM!$C$26+MAX($G$7-CHOOSE(PARAM!$B$44,MAX(0,V121*$F$1),0),0)*RATES!$L98/12+$H$7*(PARAM!$D$51/12)*RATES!$N98/100</f>
        <v>8.4583333333333339</v>
      </c>
      <c r="V122" s="16">
        <f t="shared" si="73"/>
        <v>-232.11803170409135</v>
      </c>
      <c r="W122" s="15">
        <f t="shared" si="48"/>
        <v>22.170849845882874</v>
      </c>
      <c r="X122" s="75">
        <f>W122*(1-PARAM!$C$27)*$I$8+(MOD($B122,60)=PARAM!$B$56)*($B122&gt;(60-PARAM!$B$56))*HLOOKUP(($B122+PARAM!$B$56)/12,Loyalty,2)*$F$1*MAX(Z121,0)</f>
        <v>18.557001321003963</v>
      </c>
      <c r="Y122" s="75">
        <f>PARAM!$C$26+MAX($G$8-CHOOSE(PARAM!$B$44,MAX(0,Z121*$F$1),0),0)*RATES!$L98/12+$H$8*(PARAM!$D$51/12)*RATES!$N98/100</f>
        <v>8.4583333333333339</v>
      </c>
      <c r="Z122" s="16">
        <f t="shared" si="74"/>
        <v>-232.11803170409135</v>
      </c>
      <c r="AA122" s="15">
        <f t="shared" si="49"/>
        <v>22.170849845882874</v>
      </c>
      <c r="AB122" s="75">
        <f>AA122*(1-PARAM!$C$27)*$I$9+(MOD($B122,60)=PARAM!$B$56)*($B122&gt;(60-PARAM!$B$56))*HLOOKUP(($B122+PARAM!$B$56)/12,Loyalty,2)*$F$1*MAX(AD121,0)</f>
        <v>18.557001321003963</v>
      </c>
      <c r="AC122" s="75">
        <f>PARAM!$C$26+MAX($G$9-CHOOSE(PARAM!$B$44,MAX(0,AD121*$F$1),0),0)*RATES!$L98/12+$H$9*(PARAM!$D$51/12)*RATES!$N98/100</f>
        <v>8.4583333333333339</v>
      </c>
      <c r="AD122" s="16">
        <f t="shared" si="75"/>
        <v>-232.11803170409135</v>
      </c>
      <c r="AE122" s="15">
        <f t="shared" si="50"/>
        <v>22.170849845882874</v>
      </c>
      <c r="AF122" s="75">
        <f>AE122*(1-PARAM!$C$27)*$I$10+(MOD($B122,60)=PARAM!$B$56)*($B122&gt;(60-PARAM!$B$56))*HLOOKUP(($B122+PARAM!$B$56)/12,Loyalty,2)*$F$1*MAX(AH121,0)</f>
        <v>18.557001321003963</v>
      </c>
      <c r="AG122" s="75">
        <f>PARAM!$C$26+MAX($G$10-CHOOSE(PARAM!$B$44,MAX(0,AH121*$F$1),0),0)*RATES!$L98/12+$H$10*(PARAM!$D$51/12)*RATES!$N98/100</f>
        <v>8.4583333333333339</v>
      </c>
      <c r="AH122" s="16">
        <f t="shared" si="76"/>
        <v>-232.11803170409135</v>
      </c>
      <c r="AI122" s="15">
        <f t="shared" si="51"/>
        <v>22.170849845882874</v>
      </c>
      <c r="AJ122" s="75">
        <f>AI122*(1-PARAM!$C$27)*$I$11+(MOD($B122,60)=PARAM!$B$56)*($B122&gt;(60-PARAM!$B$56))*HLOOKUP(($B122+PARAM!$B$56)/12,Loyalty,2)*$F$1*MAX(AL121,0)</f>
        <v>18.557001321003963</v>
      </c>
      <c r="AK122" s="75">
        <f>PARAM!$C$26+MAX($G$11-CHOOSE(PARAM!$B$44,MAX(0,AL121*$F$1),0),0)*RATES!$L98/12+$H$11*(PARAM!$D$51/12)*RATES!$N98/100</f>
        <v>8.4583333333333339</v>
      </c>
      <c r="AL122" s="16">
        <f t="shared" si="77"/>
        <v>-232.11803170409135</v>
      </c>
      <c r="AM122" s="15">
        <f t="shared" si="52"/>
        <v>22.170849845882874</v>
      </c>
      <c r="AN122" s="75">
        <f>AM122*(1-PARAM!$C$27)*$I$12+(MOD($B122,60)=PARAM!$B$56)*($B122&gt;(60-PARAM!$B$56))*HLOOKUP(($B122+PARAM!$B$56)/12,Loyalty,2)*$F$1*MAX(AP121,0)</f>
        <v>18.557001321003963</v>
      </c>
      <c r="AO122" s="75">
        <f>PARAM!$C$26+MAX($G$12-CHOOSE(PARAM!$B$44,MAX(0,AP121*$F$1),0),0)*RATES!$L98/12+$H$12*(PARAM!$D$51/12)*RATES!$N98/100</f>
        <v>8.4583333333333339</v>
      </c>
      <c r="AP122" s="16">
        <f t="shared" si="78"/>
        <v>-232.11803170409135</v>
      </c>
      <c r="AQ122" s="15">
        <f t="shared" si="53"/>
        <v>22.170849845882874</v>
      </c>
      <c r="AR122" s="75">
        <f>AQ122*(1-PARAM!$C$27)*$I$13+(MOD($B122,60)=PARAM!$B$56)*($B122&gt;(60-PARAM!$B$56))*HLOOKUP(($B122+PARAM!$B$56)/12,Loyalty,2)*$F$1*MAX(AT121,0)</f>
        <v>18.557001321003963</v>
      </c>
      <c r="AS122" s="75">
        <f>PARAM!$C$26+MAX($G$13-CHOOSE(PARAM!$B$44,MAX(0,AT121*$F$1),0),0)*RATES!$L98/12+$H$13*(PARAM!$D$51/12)*RATES!$N98/100</f>
        <v>8.4583333333333339</v>
      </c>
      <c r="AT122" s="16">
        <f t="shared" si="79"/>
        <v>-232.11803170409135</v>
      </c>
      <c r="AU122" s="15">
        <f t="shared" si="54"/>
        <v>22.170849845882874</v>
      </c>
      <c r="AV122" s="75">
        <f>AU122*(1-PARAM!$C$27)*$I$14+(MOD($B122,60)=PARAM!$B$56)*($B122&gt;(60-PARAM!$B$56))*HLOOKUP(($B122+PARAM!$B$56)/12,Loyalty,2)*$F$1*MAX(AX121,0)</f>
        <v>18.557001321003963</v>
      </c>
      <c r="AW122" s="75">
        <f>PARAM!$C$26+MAX($G$14-CHOOSE(PARAM!$B$44,MAX(0,AX121*$F$1),0),0)*RATES!$L98/12+$H$14*(PARAM!$D$51/12)*RATES!$N98/100</f>
        <v>8.4583333333333339</v>
      </c>
      <c r="AX122" s="16">
        <f t="shared" si="80"/>
        <v>-232.11803170409135</v>
      </c>
      <c r="AY122" s="15">
        <f t="shared" si="55"/>
        <v>22.170849845882874</v>
      </c>
      <c r="AZ122" s="75">
        <f>AY122*(1-PARAM!$C$27)*$I$15+(MOD($B122,60)=PARAM!$B$56)*($B122&gt;(60-PARAM!$B$56))*HLOOKUP(($B122+PARAM!$B$56)/12,Loyalty,2)*$F$1*MAX(BB121,0)</f>
        <v>18.557001321003963</v>
      </c>
      <c r="BA122" s="75">
        <f>PARAM!$C$26+MAX($G$15-CHOOSE(PARAM!$B$44,MAX(0,BB121*$F$1),0),0)*RATES!$L98/12+$H$15*(PARAM!$D$51/12)*RATES!$N98/100</f>
        <v>8.4583333333333339</v>
      </c>
      <c r="BB122" s="16">
        <f t="shared" si="81"/>
        <v>-232.11803170409135</v>
      </c>
      <c r="BC122" s="15">
        <f t="shared" si="56"/>
        <v>22.170849845882874</v>
      </c>
      <c r="BD122" s="75">
        <f>BC122*(1-PARAM!$C$27)*$I$16+(MOD($B122,60)=PARAM!$B$56)*($B122&gt;(60-PARAM!$B$56))*HLOOKUP(($B122+PARAM!$B$56)/12,Loyalty,2)*$F$1*MAX(BF121,0)</f>
        <v>18.557001321003963</v>
      </c>
      <c r="BE122" s="75">
        <f>PARAM!$C$26+MAX($G$16-CHOOSE(PARAM!$B$44,MAX(0,BF121*$F$1),0),0)*RATES!$L98/12+$H$16*(PARAM!$D$51/12)*RATES!$N98/100</f>
        <v>8.4583333333333339</v>
      </c>
      <c r="BF122" s="16">
        <f t="shared" si="82"/>
        <v>-232.11803170409135</v>
      </c>
      <c r="BG122" s="15">
        <f t="shared" si="57"/>
        <v>22.170849845882874</v>
      </c>
      <c r="BH122" s="75">
        <f>BG122*(1-PARAM!$C$27)*$I$17+(MOD($B122,60)=PARAM!$B$56)*($B122&gt;(60-PARAM!$B$56))*HLOOKUP(($B122+PARAM!$B$56)/12,Loyalty,2)*$F$1*MAX(BJ121,0)</f>
        <v>18.557001321003963</v>
      </c>
      <c r="BI122" s="75">
        <f>PARAM!$C$26+MAX($G$17-CHOOSE(PARAM!$B$44,MAX(0,BJ121*$F$1),0),0)*RATES!$L98/12+$H$17*(PARAM!$D$51/12)*RATES!$N98/100</f>
        <v>8.4583333333333339</v>
      </c>
      <c r="BJ122" s="16">
        <f t="shared" si="83"/>
        <v>-232.11803170409135</v>
      </c>
      <c r="BK122" s="15">
        <f t="shared" si="58"/>
        <v>22.170849845882874</v>
      </c>
      <c r="BL122" s="75">
        <f>BK122*(1-PARAM!$C$27)*$I$18+(MOD($B122,60)=PARAM!$B$56)*($B122&gt;(60-PARAM!$B$56))*HLOOKUP(($B122+PARAM!$B$56)/12,Loyalty,2)*$F$1*MAX(BN121,0)</f>
        <v>18.557001321003963</v>
      </c>
      <c r="BM122" s="75">
        <f>PARAM!$C$26+MAX($G$18-CHOOSE(PARAM!$B$44,MAX(0,BN121*$F$1),0),0)*RATES!$L98/12+$H$18*(PARAM!$D$51/12)*RATES!$N98/100</f>
        <v>8.4583333333333339</v>
      </c>
      <c r="BN122" s="16">
        <f t="shared" si="84"/>
        <v>-232.11803170409135</v>
      </c>
      <c r="BO122" s="15">
        <f t="shared" si="59"/>
        <v>22.170849845882874</v>
      </c>
      <c r="BP122" s="75">
        <f>BO122*(1-PARAM!$C$27)*$I$19+(MOD($B122,60)=PARAM!$B$56)*($B122&gt;(60-PARAM!$B$56))*HLOOKUP(($B122+PARAM!$B$56)/12,Loyalty,2)*$F$1*MAX(BR121,0)</f>
        <v>18.557001321003963</v>
      </c>
      <c r="BQ122" s="75">
        <f>PARAM!$C$26+MAX($G$19-CHOOSE(PARAM!$B$44,MAX(0,BR121*$F$1),0),0)*RATES!$L98/12+$H$19*(PARAM!$D$51/12)*RATES!$N98/100</f>
        <v>8.4583333333333339</v>
      </c>
      <c r="BR122" s="16">
        <f t="shared" si="85"/>
        <v>-232.11803170409135</v>
      </c>
      <c r="BS122" s="15">
        <f t="shared" si="60"/>
        <v>22.170849845882874</v>
      </c>
      <c r="BT122" s="75">
        <f>BS122*(1-PARAM!$C$27)*$I$20+(MOD($B122,60)=PARAM!$B$56)*($B122&gt;(60-PARAM!$B$56))*HLOOKUP(($B122+PARAM!$B$56)/12,Loyalty,2)*$F$1*MAX(BV121,0)</f>
        <v>18.557001321003963</v>
      </c>
      <c r="BU122" s="75">
        <f>PARAM!$C$26+MAX($G$20-CHOOSE(PARAM!$B$44,MAX(0,BV121*$F$1),0),0)*RATES!$L98/12+$H$20*(PARAM!$D$51/12)*RATES!$N98/100</f>
        <v>8.4583333333333339</v>
      </c>
      <c r="BV122" s="16">
        <f t="shared" si="86"/>
        <v>-232.11803170409135</v>
      </c>
      <c r="BW122" s="15">
        <f t="shared" si="61"/>
        <v>22.170849845882874</v>
      </c>
      <c r="BX122" s="75">
        <f>BW122*(1-PARAM!$C$27)*$I$21+(MOD($B122,60)=PARAM!$B$56)*($B122&gt;(60-PARAM!$B$56))*HLOOKUP(($B122+PARAM!$B$56)/12,Loyalty,2)*$F$1*MAX(BZ121,0)</f>
        <v>18.557001321003963</v>
      </c>
      <c r="BY122" s="75">
        <f>PARAM!$C$26+MAX($G$21-CHOOSE(PARAM!$B$44,MAX(0,BZ121*$F$1),0),0)*RATES!$L98/12+$H$21*(PARAM!$D$51/12)*RATES!$N98/100</f>
        <v>8.4583333333333339</v>
      </c>
      <c r="BZ122" s="16">
        <f t="shared" si="87"/>
        <v>-232.11803170409135</v>
      </c>
      <c r="CA122" s="15">
        <f t="shared" si="62"/>
        <v>22.170849845882874</v>
      </c>
      <c r="CB122" s="75">
        <f>CA122*(1-PARAM!$C$27)*$I$22+(MOD($B122,60)=PARAM!$B$56)*($B122&gt;(60-PARAM!$B$56))*HLOOKUP(($B122+PARAM!$B$56)/12,Loyalty,2)*$F$1*MAX(CD121,0)</f>
        <v>18.557001321003963</v>
      </c>
      <c r="CC122" s="75">
        <f>PARAM!$C$26+MAX($G$22-CHOOSE(PARAM!$B$44,MAX(0,CD121*$F$1),0),0)*RATES!$L98/12+$H$22*(PARAM!$D$51/12)*RATES!$N98/100</f>
        <v>8.4583333333333339</v>
      </c>
      <c r="CD122" s="16">
        <f t="shared" si="88"/>
        <v>-232.11803170409135</v>
      </c>
      <c r="CE122" s="33">
        <f>IF(0=MOD(B122,12/PARAM!$D$51),1,0)</f>
        <v>1</v>
      </c>
      <c r="CF122" s="15">
        <f t="shared" si="63"/>
        <v>0</v>
      </c>
      <c r="CG122" s="75">
        <f>CF122*(1-PARAM!$C$27)*$R$3+(MOD($B122/12,5)=0)*($B122&gt;60)*HLOOKUP($B122/12,Loyalty,2)*$F$1*MAX(CI121,0)</f>
        <v>0</v>
      </c>
      <c r="CH122" s="75">
        <f>PARAM!$C$26+MAX($P$3-CHOOSE(PARAM!$B$44,MAX(0,CI121*$F$1),0),0)*RATES!$L98/12+$Q$3*(PARAM!$D$51/12)*RATES!$N98/100</f>
        <v>8.4583333333333339</v>
      </c>
      <c r="CI122" s="16">
        <f>IF(CI121&gt;0,CI121*PARAM!$C$53,CI121)+CG122-CH122</f>
        <v>-1800.7499999999995</v>
      </c>
      <c r="CJ122" s="15">
        <f t="shared" si="89"/>
        <v>0</v>
      </c>
      <c r="CK122" s="75">
        <f>CJ122*(1-PARAM!$C$27)*$R$4+(MOD($B122/12,5)=0)*($B122&gt;60)*HLOOKUP($B122/12,Loyalty,2)*$F$1*MAX(CM121,0)</f>
        <v>0</v>
      </c>
      <c r="CL122" s="75">
        <f>PARAM!$C$26+MAX($P$4-CHOOSE(PARAM!$B$44,MAX(0,CM121*$F$1),0),0)*RATES!$L98/12+$Q$4*(PARAM!$D$51/12)*RATES!$N98/100</f>
        <v>8.4583333333333339</v>
      </c>
      <c r="CM122" s="16">
        <f>IF(CM121&gt;0,CM121*PARAM!$C$53,CM121)+CK122-CL122</f>
        <v>-1800.7499999999995</v>
      </c>
      <c r="CO122" s="176"/>
    </row>
    <row r="123" spans="1:93" x14ac:dyDescent="0.2">
      <c r="A123" t="b">
        <f t="shared" si="64"/>
        <v>0</v>
      </c>
      <c r="B123" s="33">
        <v>96</v>
      </c>
      <c r="C123" s="15">
        <f t="shared" si="65"/>
        <v>20.081305947392778</v>
      </c>
      <c r="D123" s="75">
        <f>C123*(1-PARAM!$C$27)*$I$3+(MOD($B123,60)=PARAM!$B$56)*($B123&gt;(60-PARAM!$B$56))*HLOOKUP(($B123+PARAM!$B$56)/12,Loyalty,2)*$F$1*MAX(F122,0)</f>
        <v>16.808053077967756</v>
      </c>
      <c r="E123" s="75">
        <f>PARAM!$C$26+MAX($G$3-CHOOSE(PARAM!$B$44,MAX(0,F122*$F$1),0),0)*RATES!$L99/12+$H$3*(PARAM!$D$51/12)*RATES!$N99/100</f>
        <v>8.4583333333333339</v>
      </c>
      <c r="F123" s="16">
        <f t="shared" si="66"/>
        <v>-371.6077218654296</v>
      </c>
      <c r="G123" s="15">
        <f t="shared" si="67"/>
        <v>22.035289406060361</v>
      </c>
      <c r="H123" s="75">
        <f>G123*(1-PARAM!$C$27)*$I$4+(MOD($B123,60)=PARAM!$B$56)*($B123&gt;(60-PARAM!$B$56))*HLOOKUP(($B123+PARAM!$B$56)/12,Loyalty,2)*$F$1*MAX(J122,0)</f>
        <v>18.443537232872522</v>
      </c>
      <c r="I123" s="75">
        <f>PARAM!$C$26+MAX($G$4-CHOOSE(PARAM!$B$44,MAX(0,J122*$F$1),0),0)*RATES!$L99/12+$H$4*(PARAM!$D$51/12)*RATES!$N99/100</f>
        <v>8.4583333333333339</v>
      </c>
      <c r="J123" s="16">
        <f t="shared" si="68"/>
        <v>-231.72400004287798</v>
      </c>
      <c r="K123" s="15">
        <f t="shared" si="69"/>
        <v>22.170849845882874</v>
      </c>
      <c r="L123" s="75">
        <f>K123*(1-PARAM!$C$27)*$I$5+(MOD($B123,60)=PARAM!$B$56)*($B123&gt;(60-PARAM!$B$56))*HLOOKUP(($B123+PARAM!$B$56)/12,Loyalty,2)*$F$1*MAX(N122,0)</f>
        <v>18.557001321003963</v>
      </c>
      <c r="M123" s="75">
        <f>PARAM!$C$26+MAX($G$5-CHOOSE(PARAM!$B$44,MAX(0,N122*$F$1),0),0)*RATES!$L99/12+$H$5*(PARAM!$D$51/12)*RATES!$N99/100</f>
        <v>8.4583333333333339</v>
      </c>
      <c r="N123" s="16">
        <f t="shared" si="70"/>
        <v>-222.01936371642074</v>
      </c>
      <c r="O123" s="15">
        <f t="shared" si="71"/>
        <v>22.170849845882874</v>
      </c>
      <c r="P123" s="75">
        <f>O123*(1-PARAM!$C$27)*$I$6+(MOD($B123,60)=PARAM!$B$56)*($B123&gt;(60-PARAM!$B$56))*HLOOKUP(($B123+PARAM!$B$56)/12,Loyalty,2)*$F$1*MAX(R122,0)</f>
        <v>18.557001321003963</v>
      </c>
      <c r="Q123" s="75">
        <f>PARAM!$C$26+MAX($G$6-CHOOSE(PARAM!$B$44,MAX(0,R122*$F$1),0),0)*RATES!$L99/12+$H$6*(PARAM!$D$51/12)*RATES!$N99/100</f>
        <v>8.4583333333333339</v>
      </c>
      <c r="R123" s="16">
        <f t="shared" si="72"/>
        <v>-222.01936371642074</v>
      </c>
      <c r="S123" s="15">
        <f t="shared" si="47"/>
        <v>22.170849845882874</v>
      </c>
      <c r="T123" s="75">
        <f>S123*(1-PARAM!$C$27)*$I$7+(MOD($B123,60)=PARAM!$B$56)*($B123&gt;(60-PARAM!$B$56))*HLOOKUP(($B123+PARAM!$B$56)/12,Loyalty,2)*$F$1*MAX(V122,0)</f>
        <v>18.557001321003963</v>
      </c>
      <c r="U123" s="75">
        <f>PARAM!$C$26+MAX($G$7-CHOOSE(PARAM!$B$44,MAX(0,V122*$F$1),0),0)*RATES!$L99/12+$H$7*(PARAM!$D$51/12)*RATES!$N99/100</f>
        <v>8.4583333333333339</v>
      </c>
      <c r="V123" s="16">
        <f t="shared" si="73"/>
        <v>-222.01936371642074</v>
      </c>
      <c r="W123" s="15">
        <f t="shared" si="48"/>
        <v>22.170849845882874</v>
      </c>
      <c r="X123" s="75">
        <f>W123*(1-PARAM!$C$27)*$I$8+(MOD($B123,60)=PARAM!$B$56)*($B123&gt;(60-PARAM!$B$56))*HLOOKUP(($B123+PARAM!$B$56)/12,Loyalty,2)*$F$1*MAX(Z122,0)</f>
        <v>18.557001321003963</v>
      </c>
      <c r="Y123" s="75">
        <f>PARAM!$C$26+MAX($G$8-CHOOSE(PARAM!$B$44,MAX(0,Z122*$F$1),0),0)*RATES!$L99/12+$H$8*(PARAM!$D$51/12)*RATES!$N99/100</f>
        <v>8.4583333333333339</v>
      </c>
      <c r="Z123" s="16">
        <f t="shared" si="74"/>
        <v>-222.01936371642074</v>
      </c>
      <c r="AA123" s="15">
        <f t="shared" si="49"/>
        <v>22.170849845882874</v>
      </c>
      <c r="AB123" s="75">
        <f>AA123*(1-PARAM!$C$27)*$I$9+(MOD($B123,60)=PARAM!$B$56)*($B123&gt;(60-PARAM!$B$56))*HLOOKUP(($B123+PARAM!$B$56)/12,Loyalty,2)*$F$1*MAX(AD122,0)</f>
        <v>18.557001321003963</v>
      </c>
      <c r="AC123" s="75">
        <f>PARAM!$C$26+MAX($G$9-CHOOSE(PARAM!$B$44,MAX(0,AD122*$F$1),0),0)*RATES!$L99/12+$H$9*(PARAM!$D$51/12)*RATES!$N99/100</f>
        <v>8.4583333333333339</v>
      </c>
      <c r="AD123" s="16">
        <f t="shared" si="75"/>
        <v>-222.01936371642074</v>
      </c>
      <c r="AE123" s="15">
        <f t="shared" si="50"/>
        <v>22.170849845882874</v>
      </c>
      <c r="AF123" s="75">
        <f>AE123*(1-PARAM!$C$27)*$I$10+(MOD($B123,60)=PARAM!$B$56)*($B123&gt;(60-PARAM!$B$56))*HLOOKUP(($B123+PARAM!$B$56)/12,Loyalty,2)*$F$1*MAX(AH122,0)</f>
        <v>18.557001321003963</v>
      </c>
      <c r="AG123" s="75">
        <f>PARAM!$C$26+MAX($G$10-CHOOSE(PARAM!$B$44,MAX(0,AH122*$F$1),0),0)*RATES!$L99/12+$H$10*(PARAM!$D$51/12)*RATES!$N99/100</f>
        <v>8.4583333333333339</v>
      </c>
      <c r="AH123" s="16">
        <f t="shared" si="76"/>
        <v>-222.01936371642074</v>
      </c>
      <c r="AI123" s="15">
        <f t="shared" si="51"/>
        <v>22.170849845882874</v>
      </c>
      <c r="AJ123" s="75">
        <f>AI123*(1-PARAM!$C$27)*$I$11+(MOD($B123,60)=PARAM!$B$56)*($B123&gt;(60-PARAM!$B$56))*HLOOKUP(($B123+PARAM!$B$56)/12,Loyalty,2)*$F$1*MAX(AL122,0)</f>
        <v>18.557001321003963</v>
      </c>
      <c r="AK123" s="75">
        <f>PARAM!$C$26+MAX($G$11-CHOOSE(PARAM!$B$44,MAX(0,AL122*$F$1),0),0)*RATES!$L99/12+$H$11*(PARAM!$D$51/12)*RATES!$N99/100</f>
        <v>8.4583333333333339</v>
      </c>
      <c r="AL123" s="16">
        <f t="shared" si="77"/>
        <v>-222.01936371642074</v>
      </c>
      <c r="AM123" s="15">
        <f t="shared" si="52"/>
        <v>22.170849845882874</v>
      </c>
      <c r="AN123" s="75">
        <f>AM123*(1-PARAM!$C$27)*$I$12+(MOD($B123,60)=PARAM!$B$56)*($B123&gt;(60-PARAM!$B$56))*HLOOKUP(($B123+PARAM!$B$56)/12,Loyalty,2)*$F$1*MAX(AP122,0)</f>
        <v>18.557001321003963</v>
      </c>
      <c r="AO123" s="75">
        <f>PARAM!$C$26+MAX($G$12-CHOOSE(PARAM!$B$44,MAX(0,AP122*$F$1),0),0)*RATES!$L99/12+$H$12*(PARAM!$D$51/12)*RATES!$N99/100</f>
        <v>8.4583333333333339</v>
      </c>
      <c r="AP123" s="16">
        <f t="shared" si="78"/>
        <v>-222.01936371642074</v>
      </c>
      <c r="AQ123" s="15">
        <f t="shared" si="53"/>
        <v>22.170849845882874</v>
      </c>
      <c r="AR123" s="75">
        <f>AQ123*(1-PARAM!$C$27)*$I$13+(MOD($B123,60)=PARAM!$B$56)*($B123&gt;(60-PARAM!$B$56))*HLOOKUP(($B123+PARAM!$B$56)/12,Loyalty,2)*$F$1*MAX(AT122,0)</f>
        <v>18.557001321003963</v>
      </c>
      <c r="AS123" s="75">
        <f>PARAM!$C$26+MAX($G$13-CHOOSE(PARAM!$B$44,MAX(0,AT122*$F$1),0),0)*RATES!$L99/12+$H$13*(PARAM!$D$51/12)*RATES!$N99/100</f>
        <v>8.4583333333333339</v>
      </c>
      <c r="AT123" s="16">
        <f t="shared" si="79"/>
        <v>-222.01936371642074</v>
      </c>
      <c r="AU123" s="15">
        <f t="shared" si="54"/>
        <v>22.170849845882874</v>
      </c>
      <c r="AV123" s="75">
        <f>AU123*(1-PARAM!$C$27)*$I$14+(MOD($B123,60)=PARAM!$B$56)*($B123&gt;(60-PARAM!$B$56))*HLOOKUP(($B123+PARAM!$B$56)/12,Loyalty,2)*$F$1*MAX(AX122,0)</f>
        <v>18.557001321003963</v>
      </c>
      <c r="AW123" s="75">
        <f>PARAM!$C$26+MAX($G$14-CHOOSE(PARAM!$B$44,MAX(0,AX122*$F$1),0),0)*RATES!$L99/12+$H$14*(PARAM!$D$51/12)*RATES!$N99/100</f>
        <v>8.4583333333333339</v>
      </c>
      <c r="AX123" s="16">
        <f t="shared" si="80"/>
        <v>-222.01936371642074</v>
      </c>
      <c r="AY123" s="15">
        <f t="shared" si="55"/>
        <v>22.170849845882874</v>
      </c>
      <c r="AZ123" s="75">
        <f>AY123*(1-PARAM!$C$27)*$I$15+(MOD($B123,60)=PARAM!$B$56)*($B123&gt;(60-PARAM!$B$56))*HLOOKUP(($B123+PARAM!$B$56)/12,Loyalty,2)*$F$1*MAX(BB122,0)</f>
        <v>18.557001321003963</v>
      </c>
      <c r="BA123" s="75">
        <f>PARAM!$C$26+MAX($G$15-CHOOSE(PARAM!$B$44,MAX(0,BB122*$F$1),0),0)*RATES!$L99/12+$H$15*(PARAM!$D$51/12)*RATES!$N99/100</f>
        <v>8.4583333333333339</v>
      </c>
      <c r="BB123" s="16">
        <f t="shared" si="81"/>
        <v>-222.01936371642074</v>
      </c>
      <c r="BC123" s="15">
        <f t="shared" si="56"/>
        <v>22.170849845882874</v>
      </c>
      <c r="BD123" s="75">
        <f>BC123*(1-PARAM!$C$27)*$I$16+(MOD($B123,60)=PARAM!$B$56)*($B123&gt;(60-PARAM!$B$56))*HLOOKUP(($B123+PARAM!$B$56)/12,Loyalty,2)*$F$1*MAX(BF122,0)</f>
        <v>18.557001321003963</v>
      </c>
      <c r="BE123" s="75">
        <f>PARAM!$C$26+MAX($G$16-CHOOSE(PARAM!$B$44,MAX(0,BF122*$F$1),0),0)*RATES!$L99/12+$H$16*(PARAM!$D$51/12)*RATES!$N99/100</f>
        <v>8.4583333333333339</v>
      </c>
      <c r="BF123" s="16">
        <f t="shared" si="82"/>
        <v>-222.01936371642074</v>
      </c>
      <c r="BG123" s="15">
        <f t="shared" si="57"/>
        <v>22.170849845882874</v>
      </c>
      <c r="BH123" s="75">
        <f>BG123*(1-PARAM!$C$27)*$I$17+(MOD($B123,60)=PARAM!$B$56)*($B123&gt;(60-PARAM!$B$56))*HLOOKUP(($B123+PARAM!$B$56)/12,Loyalty,2)*$F$1*MAX(BJ122,0)</f>
        <v>18.557001321003963</v>
      </c>
      <c r="BI123" s="75">
        <f>PARAM!$C$26+MAX($G$17-CHOOSE(PARAM!$B$44,MAX(0,BJ122*$F$1),0),0)*RATES!$L99/12+$H$17*(PARAM!$D$51/12)*RATES!$N99/100</f>
        <v>8.4583333333333339</v>
      </c>
      <c r="BJ123" s="16">
        <f t="shared" si="83"/>
        <v>-222.01936371642074</v>
      </c>
      <c r="BK123" s="15">
        <f t="shared" si="58"/>
        <v>22.170849845882874</v>
      </c>
      <c r="BL123" s="75">
        <f>BK123*(1-PARAM!$C$27)*$I$18+(MOD($B123,60)=PARAM!$B$56)*($B123&gt;(60-PARAM!$B$56))*HLOOKUP(($B123+PARAM!$B$56)/12,Loyalty,2)*$F$1*MAX(BN122,0)</f>
        <v>18.557001321003963</v>
      </c>
      <c r="BM123" s="75">
        <f>PARAM!$C$26+MAX($G$18-CHOOSE(PARAM!$B$44,MAX(0,BN122*$F$1),0),0)*RATES!$L99/12+$H$18*(PARAM!$D$51/12)*RATES!$N99/100</f>
        <v>8.4583333333333339</v>
      </c>
      <c r="BN123" s="16">
        <f t="shared" si="84"/>
        <v>-222.01936371642074</v>
      </c>
      <c r="BO123" s="15">
        <f t="shared" si="59"/>
        <v>22.170849845882874</v>
      </c>
      <c r="BP123" s="75">
        <f>BO123*(1-PARAM!$C$27)*$I$19+(MOD($B123,60)=PARAM!$B$56)*($B123&gt;(60-PARAM!$B$56))*HLOOKUP(($B123+PARAM!$B$56)/12,Loyalty,2)*$F$1*MAX(BR122,0)</f>
        <v>18.557001321003963</v>
      </c>
      <c r="BQ123" s="75">
        <f>PARAM!$C$26+MAX($G$19-CHOOSE(PARAM!$B$44,MAX(0,BR122*$F$1),0),0)*RATES!$L99/12+$H$19*(PARAM!$D$51/12)*RATES!$N99/100</f>
        <v>8.4583333333333339</v>
      </c>
      <c r="BR123" s="16">
        <f t="shared" si="85"/>
        <v>-222.01936371642074</v>
      </c>
      <c r="BS123" s="15">
        <f t="shared" si="60"/>
        <v>22.170849845882874</v>
      </c>
      <c r="BT123" s="75">
        <f>BS123*(1-PARAM!$C$27)*$I$20+(MOD($B123,60)=PARAM!$B$56)*($B123&gt;(60-PARAM!$B$56))*HLOOKUP(($B123+PARAM!$B$56)/12,Loyalty,2)*$F$1*MAX(BV122,0)</f>
        <v>18.557001321003963</v>
      </c>
      <c r="BU123" s="75">
        <f>PARAM!$C$26+MAX($G$20-CHOOSE(PARAM!$B$44,MAX(0,BV122*$F$1),0),0)*RATES!$L99/12+$H$20*(PARAM!$D$51/12)*RATES!$N99/100</f>
        <v>8.4583333333333339</v>
      </c>
      <c r="BV123" s="16">
        <f t="shared" si="86"/>
        <v>-222.01936371642074</v>
      </c>
      <c r="BW123" s="15">
        <f t="shared" si="61"/>
        <v>22.170849845882874</v>
      </c>
      <c r="BX123" s="75">
        <f>BW123*(1-PARAM!$C$27)*$I$21+(MOD($B123,60)=PARAM!$B$56)*($B123&gt;(60-PARAM!$B$56))*HLOOKUP(($B123+PARAM!$B$56)/12,Loyalty,2)*$F$1*MAX(BZ122,0)</f>
        <v>18.557001321003963</v>
      </c>
      <c r="BY123" s="75">
        <f>PARAM!$C$26+MAX($G$21-CHOOSE(PARAM!$B$44,MAX(0,BZ122*$F$1),0),0)*RATES!$L99/12+$H$21*(PARAM!$D$51/12)*RATES!$N99/100</f>
        <v>8.4583333333333339</v>
      </c>
      <c r="BZ123" s="16">
        <f t="shared" si="87"/>
        <v>-222.01936371642074</v>
      </c>
      <c r="CA123" s="15">
        <f t="shared" si="62"/>
        <v>22.170849845882874</v>
      </c>
      <c r="CB123" s="75">
        <f>CA123*(1-PARAM!$C$27)*$I$22+(MOD($B123,60)=PARAM!$B$56)*($B123&gt;(60-PARAM!$B$56))*HLOOKUP(($B123+PARAM!$B$56)/12,Loyalty,2)*$F$1*MAX(CD122,0)</f>
        <v>18.557001321003963</v>
      </c>
      <c r="CC123" s="75">
        <f>PARAM!$C$26+MAX($G$22-CHOOSE(PARAM!$B$44,MAX(0,CD122*$F$1),0),0)*RATES!$L99/12+$H$22*(PARAM!$D$51/12)*RATES!$N99/100</f>
        <v>8.4583333333333339</v>
      </c>
      <c r="CD123" s="16">
        <f t="shared" si="88"/>
        <v>-222.01936371642074</v>
      </c>
      <c r="CE123" s="33">
        <f>IF(0=MOD(B123,12/PARAM!$D$51),1,0)</f>
        <v>1</v>
      </c>
      <c r="CF123" s="15">
        <f t="shared" si="63"/>
        <v>0</v>
      </c>
      <c r="CG123" s="75">
        <f>CF123*(1-PARAM!$C$27)*$R$3+(MOD($B123/12,5)=0)*($B123&gt;60)*HLOOKUP($B123/12,Loyalty,2)*$F$1*MAX(CI122,0)</f>
        <v>0</v>
      </c>
      <c r="CH123" s="75">
        <f>PARAM!$C$26+MAX($P$3-CHOOSE(PARAM!$B$44,MAX(0,CI122*$F$1),0),0)*RATES!$L99/12+$Q$3*(PARAM!$D$51/12)*RATES!$N99/100</f>
        <v>8.4583333333333339</v>
      </c>
      <c r="CI123" s="16">
        <f>IF(CI122&gt;0,CI122*PARAM!$C$53,CI122)+CG123-CH123</f>
        <v>-1809.2083333333328</v>
      </c>
      <c r="CJ123" s="15">
        <f t="shared" si="89"/>
        <v>0</v>
      </c>
      <c r="CK123" s="75">
        <f>CJ123*(1-PARAM!$C$27)*$R$4+(MOD($B123/12,5)=0)*($B123&gt;60)*HLOOKUP($B123/12,Loyalty,2)*$F$1*MAX(CM122,0)</f>
        <v>0</v>
      </c>
      <c r="CL123" s="75">
        <f>PARAM!$C$26+MAX($P$4-CHOOSE(PARAM!$B$44,MAX(0,CM122*$F$1),0),0)*RATES!$L99/12+$Q$4*(PARAM!$D$51/12)*RATES!$N99/100</f>
        <v>8.4583333333333339</v>
      </c>
      <c r="CM123" s="16">
        <f>IF(CM122&gt;0,CM122*PARAM!$C$53,CM122)+CK123-CL123</f>
        <v>-1809.2083333333328</v>
      </c>
      <c r="CO123" s="176"/>
    </row>
    <row r="124" spans="1:93" x14ac:dyDescent="0.2">
      <c r="A124" t="b">
        <f t="shared" si="64"/>
        <v>0</v>
      </c>
      <c r="B124" s="33">
        <v>97</v>
      </c>
      <c r="C124" s="15">
        <f t="shared" si="65"/>
        <v>20.081305947392778</v>
      </c>
      <c r="D124" s="75">
        <f>C124*(1-PARAM!$C$27)*$I$3+(MOD($B124,60)=PARAM!$B$56)*($B124&gt;(60-PARAM!$B$56))*HLOOKUP(($B124+PARAM!$B$56)/12,Loyalty,2)*$F$1*MAX(F123,0)</f>
        <v>16.808053077967756</v>
      </c>
      <c r="E124" s="75">
        <f>PARAM!$C$26+MAX($G$3-CHOOSE(PARAM!$B$44,MAX(0,F123*$F$1),0),0)*RATES!$L100/12+$H$3*(PARAM!$D$51/12)*RATES!$N100/100</f>
        <v>8.4583333333333339</v>
      </c>
      <c r="F124" s="16">
        <f t="shared" si="66"/>
        <v>-363.25800212079514</v>
      </c>
      <c r="G124" s="15">
        <f t="shared" si="67"/>
        <v>22.035289406060361</v>
      </c>
      <c r="H124" s="75">
        <f>G124*(1-PARAM!$C$27)*$I$4+(MOD($B124,60)=PARAM!$B$56)*($B124&gt;(60-PARAM!$B$56))*HLOOKUP(($B124+PARAM!$B$56)/12,Loyalty,2)*$F$1*MAX(J123,0)</f>
        <v>18.443537232872522</v>
      </c>
      <c r="I124" s="75">
        <f>PARAM!$C$26+MAX($G$4-CHOOSE(PARAM!$B$44,MAX(0,J123*$F$1),0),0)*RATES!$L100/12+$H$4*(PARAM!$D$51/12)*RATES!$N100/100</f>
        <v>8.4583333333333339</v>
      </c>
      <c r="J124" s="16">
        <f t="shared" si="68"/>
        <v>-221.73879614333879</v>
      </c>
      <c r="K124" s="15">
        <f t="shared" si="69"/>
        <v>22.170849845882874</v>
      </c>
      <c r="L124" s="75">
        <f>K124*(1-PARAM!$C$27)*$I$5+(MOD($B124,60)=PARAM!$B$56)*($B124&gt;(60-PARAM!$B$56))*HLOOKUP(($B124+PARAM!$B$56)/12,Loyalty,2)*$F$1*MAX(N123,0)</f>
        <v>18.557001321003963</v>
      </c>
      <c r="M124" s="75">
        <f>PARAM!$C$26+MAX($G$5-CHOOSE(PARAM!$B$44,MAX(0,N123*$F$1),0),0)*RATES!$L100/12+$H$5*(PARAM!$D$51/12)*RATES!$N100/100</f>
        <v>8.4583333333333339</v>
      </c>
      <c r="N124" s="16">
        <f t="shared" si="70"/>
        <v>-211.92069572875013</v>
      </c>
      <c r="O124" s="15">
        <f t="shared" si="71"/>
        <v>22.170849845882874</v>
      </c>
      <c r="P124" s="75">
        <f>O124*(1-PARAM!$C$27)*$I$6+(MOD($B124,60)=PARAM!$B$56)*($B124&gt;(60-PARAM!$B$56))*HLOOKUP(($B124+PARAM!$B$56)/12,Loyalty,2)*$F$1*MAX(R123,0)</f>
        <v>18.557001321003963</v>
      </c>
      <c r="Q124" s="75">
        <f>PARAM!$C$26+MAX($G$6-CHOOSE(PARAM!$B$44,MAX(0,R123*$F$1),0),0)*RATES!$L100/12+$H$6*(PARAM!$D$51/12)*RATES!$N100/100</f>
        <v>8.4583333333333339</v>
      </c>
      <c r="R124" s="16">
        <f t="shared" si="72"/>
        <v>-211.92069572875013</v>
      </c>
      <c r="S124" s="15">
        <f t="shared" si="47"/>
        <v>22.170849845882874</v>
      </c>
      <c r="T124" s="75">
        <f>S124*(1-PARAM!$C$27)*$I$7+(MOD($B124,60)=PARAM!$B$56)*($B124&gt;(60-PARAM!$B$56))*HLOOKUP(($B124+PARAM!$B$56)/12,Loyalty,2)*$F$1*MAX(V123,0)</f>
        <v>18.557001321003963</v>
      </c>
      <c r="U124" s="75">
        <f>PARAM!$C$26+MAX($G$7-CHOOSE(PARAM!$B$44,MAX(0,V123*$F$1),0),0)*RATES!$L100/12+$H$7*(PARAM!$D$51/12)*RATES!$N100/100</f>
        <v>8.4583333333333339</v>
      </c>
      <c r="V124" s="16">
        <f t="shared" si="73"/>
        <v>-211.92069572875013</v>
      </c>
      <c r="W124" s="15">
        <f t="shared" si="48"/>
        <v>22.170849845882874</v>
      </c>
      <c r="X124" s="75">
        <f>W124*(1-PARAM!$C$27)*$I$8+(MOD($B124,60)=PARAM!$B$56)*($B124&gt;(60-PARAM!$B$56))*HLOOKUP(($B124+PARAM!$B$56)/12,Loyalty,2)*$F$1*MAX(Z123,0)</f>
        <v>18.557001321003963</v>
      </c>
      <c r="Y124" s="75">
        <f>PARAM!$C$26+MAX($G$8-CHOOSE(PARAM!$B$44,MAX(0,Z123*$F$1),0),0)*RATES!$L100/12+$H$8*(PARAM!$D$51/12)*RATES!$N100/100</f>
        <v>8.4583333333333339</v>
      </c>
      <c r="Z124" s="16">
        <f t="shared" si="74"/>
        <v>-211.92069572875013</v>
      </c>
      <c r="AA124" s="15">
        <f t="shared" si="49"/>
        <v>22.170849845882874</v>
      </c>
      <c r="AB124" s="75">
        <f>AA124*(1-PARAM!$C$27)*$I$9+(MOD($B124,60)=PARAM!$B$56)*($B124&gt;(60-PARAM!$B$56))*HLOOKUP(($B124+PARAM!$B$56)/12,Loyalty,2)*$F$1*MAX(AD123,0)</f>
        <v>18.557001321003963</v>
      </c>
      <c r="AC124" s="75">
        <f>PARAM!$C$26+MAX($G$9-CHOOSE(PARAM!$B$44,MAX(0,AD123*$F$1),0),0)*RATES!$L100/12+$H$9*(PARAM!$D$51/12)*RATES!$N100/100</f>
        <v>8.4583333333333339</v>
      </c>
      <c r="AD124" s="16">
        <f t="shared" si="75"/>
        <v>-211.92069572875013</v>
      </c>
      <c r="AE124" s="15">
        <f t="shared" si="50"/>
        <v>22.170849845882874</v>
      </c>
      <c r="AF124" s="75">
        <f>AE124*(1-PARAM!$C$27)*$I$10+(MOD($B124,60)=PARAM!$B$56)*($B124&gt;(60-PARAM!$B$56))*HLOOKUP(($B124+PARAM!$B$56)/12,Loyalty,2)*$F$1*MAX(AH123,0)</f>
        <v>18.557001321003963</v>
      </c>
      <c r="AG124" s="75">
        <f>PARAM!$C$26+MAX($G$10-CHOOSE(PARAM!$B$44,MAX(0,AH123*$F$1),0),0)*RATES!$L100/12+$H$10*(PARAM!$D$51/12)*RATES!$N100/100</f>
        <v>8.4583333333333339</v>
      </c>
      <c r="AH124" s="16">
        <f t="shared" si="76"/>
        <v>-211.92069572875013</v>
      </c>
      <c r="AI124" s="15">
        <f t="shared" si="51"/>
        <v>22.170849845882874</v>
      </c>
      <c r="AJ124" s="75">
        <f>AI124*(1-PARAM!$C$27)*$I$11+(MOD($B124,60)=PARAM!$B$56)*($B124&gt;(60-PARAM!$B$56))*HLOOKUP(($B124+PARAM!$B$56)/12,Loyalty,2)*$F$1*MAX(AL123,0)</f>
        <v>18.557001321003963</v>
      </c>
      <c r="AK124" s="75">
        <f>PARAM!$C$26+MAX($G$11-CHOOSE(PARAM!$B$44,MAX(0,AL123*$F$1),0),0)*RATES!$L100/12+$H$11*(PARAM!$D$51/12)*RATES!$N100/100</f>
        <v>8.4583333333333339</v>
      </c>
      <c r="AL124" s="16">
        <f t="shared" si="77"/>
        <v>-211.92069572875013</v>
      </c>
      <c r="AM124" s="15">
        <f t="shared" si="52"/>
        <v>22.170849845882874</v>
      </c>
      <c r="AN124" s="75">
        <f>AM124*(1-PARAM!$C$27)*$I$12+(MOD($B124,60)=PARAM!$B$56)*($B124&gt;(60-PARAM!$B$56))*HLOOKUP(($B124+PARAM!$B$56)/12,Loyalty,2)*$F$1*MAX(AP123,0)</f>
        <v>18.557001321003963</v>
      </c>
      <c r="AO124" s="75">
        <f>PARAM!$C$26+MAX($G$12-CHOOSE(PARAM!$B$44,MAX(0,AP123*$F$1),0),0)*RATES!$L100/12+$H$12*(PARAM!$D$51/12)*RATES!$N100/100</f>
        <v>8.4583333333333339</v>
      </c>
      <c r="AP124" s="16">
        <f t="shared" si="78"/>
        <v>-211.92069572875013</v>
      </c>
      <c r="AQ124" s="15">
        <f t="shared" si="53"/>
        <v>22.170849845882874</v>
      </c>
      <c r="AR124" s="75">
        <f>AQ124*(1-PARAM!$C$27)*$I$13+(MOD($B124,60)=PARAM!$B$56)*($B124&gt;(60-PARAM!$B$56))*HLOOKUP(($B124+PARAM!$B$56)/12,Loyalty,2)*$F$1*MAX(AT123,0)</f>
        <v>18.557001321003963</v>
      </c>
      <c r="AS124" s="75">
        <f>PARAM!$C$26+MAX($G$13-CHOOSE(PARAM!$B$44,MAX(0,AT123*$F$1),0),0)*RATES!$L100/12+$H$13*(PARAM!$D$51/12)*RATES!$N100/100</f>
        <v>8.4583333333333339</v>
      </c>
      <c r="AT124" s="16">
        <f t="shared" si="79"/>
        <v>-211.92069572875013</v>
      </c>
      <c r="AU124" s="15">
        <f t="shared" si="54"/>
        <v>22.170849845882874</v>
      </c>
      <c r="AV124" s="75">
        <f>AU124*(1-PARAM!$C$27)*$I$14+(MOD($B124,60)=PARAM!$B$56)*($B124&gt;(60-PARAM!$B$56))*HLOOKUP(($B124+PARAM!$B$56)/12,Loyalty,2)*$F$1*MAX(AX123,0)</f>
        <v>18.557001321003963</v>
      </c>
      <c r="AW124" s="75">
        <f>PARAM!$C$26+MAX($G$14-CHOOSE(PARAM!$B$44,MAX(0,AX123*$F$1),0),0)*RATES!$L100/12+$H$14*(PARAM!$D$51/12)*RATES!$N100/100</f>
        <v>8.4583333333333339</v>
      </c>
      <c r="AX124" s="16">
        <f t="shared" si="80"/>
        <v>-211.92069572875013</v>
      </c>
      <c r="AY124" s="15">
        <f t="shared" si="55"/>
        <v>22.170849845882874</v>
      </c>
      <c r="AZ124" s="75">
        <f>AY124*(1-PARAM!$C$27)*$I$15+(MOD($B124,60)=PARAM!$B$56)*($B124&gt;(60-PARAM!$B$56))*HLOOKUP(($B124+PARAM!$B$56)/12,Loyalty,2)*$F$1*MAX(BB123,0)</f>
        <v>18.557001321003963</v>
      </c>
      <c r="BA124" s="75">
        <f>PARAM!$C$26+MAX($G$15-CHOOSE(PARAM!$B$44,MAX(0,BB123*$F$1),0),0)*RATES!$L100/12+$H$15*(PARAM!$D$51/12)*RATES!$N100/100</f>
        <v>8.4583333333333339</v>
      </c>
      <c r="BB124" s="16">
        <f t="shared" si="81"/>
        <v>-211.92069572875013</v>
      </c>
      <c r="BC124" s="15">
        <f t="shared" si="56"/>
        <v>22.170849845882874</v>
      </c>
      <c r="BD124" s="75">
        <f>BC124*(1-PARAM!$C$27)*$I$16+(MOD($B124,60)=PARAM!$B$56)*($B124&gt;(60-PARAM!$B$56))*HLOOKUP(($B124+PARAM!$B$56)/12,Loyalty,2)*$F$1*MAX(BF123,0)</f>
        <v>18.557001321003963</v>
      </c>
      <c r="BE124" s="75">
        <f>PARAM!$C$26+MAX($G$16-CHOOSE(PARAM!$B$44,MAX(0,BF123*$F$1),0),0)*RATES!$L100/12+$H$16*(PARAM!$D$51/12)*RATES!$N100/100</f>
        <v>8.4583333333333339</v>
      </c>
      <c r="BF124" s="16">
        <f t="shared" si="82"/>
        <v>-211.92069572875013</v>
      </c>
      <c r="BG124" s="15">
        <f t="shared" si="57"/>
        <v>22.170849845882874</v>
      </c>
      <c r="BH124" s="75">
        <f>BG124*(1-PARAM!$C$27)*$I$17+(MOD($B124,60)=PARAM!$B$56)*($B124&gt;(60-PARAM!$B$56))*HLOOKUP(($B124+PARAM!$B$56)/12,Loyalty,2)*$F$1*MAX(BJ123,0)</f>
        <v>18.557001321003963</v>
      </c>
      <c r="BI124" s="75">
        <f>PARAM!$C$26+MAX($G$17-CHOOSE(PARAM!$B$44,MAX(0,BJ123*$F$1),0),0)*RATES!$L100/12+$H$17*(PARAM!$D$51/12)*RATES!$N100/100</f>
        <v>8.4583333333333339</v>
      </c>
      <c r="BJ124" s="16">
        <f t="shared" si="83"/>
        <v>-211.92069572875013</v>
      </c>
      <c r="BK124" s="15">
        <f t="shared" si="58"/>
        <v>22.170849845882874</v>
      </c>
      <c r="BL124" s="75">
        <f>BK124*(1-PARAM!$C$27)*$I$18+(MOD($B124,60)=PARAM!$B$56)*($B124&gt;(60-PARAM!$B$56))*HLOOKUP(($B124+PARAM!$B$56)/12,Loyalty,2)*$F$1*MAX(BN123,0)</f>
        <v>18.557001321003963</v>
      </c>
      <c r="BM124" s="75">
        <f>PARAM!$C$26+MAX($G$18-CHOOSE(PARAM!$B$44,MAX(0,BN123*$F$1),0),0)*RATES!$L100/12+$H$18*(PARAM!$D$51/12)*RATES!$N100/100</f>
        <v>8.4583333333333339</v>
      </c>
      <c r="BN124" s="16">
        <f t="shared" si="84"/>
        <v>-211.92069572875013</v>
      </c>
      <c r="BO124" s="15">
        <f t="shared" si="59"/>
        <v>22.170849845882874</v>
      </c>
      <c r="BP124" s="75">
        <f>BO124*(1-PARAM!$C$27)*$I$19+(MOD($B124,60)=PARAM!$B$56)*($B124&gt;(60-PARAM!$B$56))*HLOOKUP(($B124+PARAM!$B$56)/12,Loyalty,2)*$F$1*MAX(BR123,0)</f>
        <v>18.557001321003963</v>
      </c>
      <c r="BQ124" s="75">
        <f>PARAM!$C$26+MAX($G$19-CHOOSE(PARAM!$B$44,MAX(0,BR123*$F$1),0),0)*RATES!$L100/12+$H$19*(PARAM!$D$51/12)*RATES!$N100/100</f>
        <v>8.4583333333333339</v>
      </c>
      <c r="BR124" s="16">
        <f t="shared" si="85"/>
        <v>-211.92069572875013</v>
      </c>
      <c r="BS124" s="15">
        <f t="shared" si="60"/>
        <v>22.170849845882874</v>
      </c>
      <c r="BT124" s="75">
        <f>BS124*(1-PARAM!$C$27)*$I$20+(MOD($B124,60)=PARAM!$B$56)*($B124&gt;(60-PARAM!$B$56))*HLOOKUP(($B124+PARAM!$B$56)/12,Loyalty,2)*$F$1*MAX(BV123,0)</f>
        <v>18.557001321003963</v>
      </c>
      <c r="BU124" s="75">
        <f>PARAM!$C$26+MAX($G$20-CHOOSE(PARAM!$B$44,MAX(0,BV123*$F$1),0),0)*RATES!$L100/12+$H$20*(PARAM!$D$51/12)*RATES!$N100/100</f>
        <v>8.4583333333333339</v>
      </c>
      <c r="BV124" s="16">
        <f t="shared" si="86"/>
        <v>-211.92069572875013</v>
      </c>
      <c r="BW124" s="15">
        <f t="shared" si="61"/>
        <v>22.170849845882874</v>
      </c>
      <c r="BX124" s="75">
        <f>BW124*(1-PARAM!$C$27)*$I$21+(MOD($B124,60)=PARAM!$B$56)*($B124&gt;(60-PARAM!$B$56))*HLOOKUP(($B124+PARAM!$B$56)/12,Loyalty,2)*$F$1*MAX(BZ123,0)</f>
        <v>18.557001321003963</v>
      </c>
      <c r="BY124" s="75">
        <f>PARAM!$C$26+MAX($G$21-CHOOSE(PARAM!$B$44,MAX(0,BZ123*$F$1),0),0)*RATES!$L100/12+$H$21*(PARAM!$D$51/12)*RATES!$N100/100</f>
        <v>8.4583333333333339</v>
      </c>
      <c r="BZ124" s="16">
        <f t="shared" si="87"/>
        <v>-211.92069572875013</v>
      </c>
      <c r="CA124" s="15">
        <f t="shared" si="62"/>
        <v>22.170849845882874</v>
      </c>
      <c r="CB124" s="75">
        <f>CA124*(1-PARAM!$C$27)*$I$22+(MOD($B124,60)=PARAM!$B$56)*($B124&gt;(60-PARAM!$B$56))*HLOOKUP(($B124+PARAM!$B$56)/12,Loyalty,2)*$F$1*MAX(CD123,0)</f>
        <v>18.557001321003963</v>
      </c>
      <c r="CC124" s="75">
        <f>PARAM!$C$26+MAX($G$22-CHOOSE(PARAM!$B$44,MAX(0,CD123*$F$1),0),0)*RATES!$L100/12+$H$22*(PARAM!$D$51/12)*RATES!$N100/100</f>
        <v>8.4583333333333339</v>
      </c>
      <c r="CD124" s="16">
        <f t="shared" si="88"/>
        <v>-211.92069572875013</v>
      </c>
      <c r="CE124" s="33">
        <f>IF(0=MOD(B124,12/PARAM!$D$51),1,0)</f>
        <v>1</v>
      </c>
      <c r="CF124" s="15">
        <f t="shared" si="63"/>
        <v>0</v>
      </c>
      <c r="CG124" s="75">
        <f>CF124*(1-PARAM!$C$27)*$R$3+(MOD($B124/12,5)=0)*($B124&gt;60)*HLOOKUP($B124/12,Loyalty,2)*$F$1*MAX(CI123,0)</f>
        <v>0</v>
      </c>
      <c r="CH124" s="75">
        <f>PARAM!$C$26+MAX($P$3-CHOOSE(PARAM!$B$44,MAX(0,CI123*$F$1),0),0)*RATES!$L100/12+$Q$3*(PARAM!$D$51/12)*RATES!$N100/100</f>
        <v>8.4583333333333339</v>
      </c>
      <c r="CI124" s="16">
        <f>IF(CI123&gt;0,CI123*PARAM!$C$53,CI123)+CG124-CH124</f>
        <v>-1817.6666666666661</v>
      </c>
      <c r="CJ124" s="15">
        <f t="shared" si="89"/>
        <v>0</v>
      </c>
      <c r="CK124" s="75">
        <f>CJ124*(1-PARAM!$C$27)*$R$4+(MOD($B124/12,5)=0)*($B124&gt;60)*HLOOKUP($B124/12,Loyalty,2)*$F$1*MAX(CM123,0)</f>
        <v>0</v>
      </c>
      <c r="CL124" s="75">
        <f>PARAM!$C$26+MAX($P$4-CHOOSE(PARAM!$B$44,MAX(0,CM123*$F$1),0),0)*RATES!$L100/12+$Q$4*(PARAM!$D$51/12)*RATES!$N100/100</f>
        <v>8.4583333333333339</v>
      </c>
      <c r="CM124" s="16">
        <f>IF(CM123&gt;0,CM123*PARAM!$C$53,CM123)+CK124-CL124</f>
        <v>-1817.6666666666661</v>
      </c>
      <c r="CO124" s="176"/>
    </row>
    <row r="125" spans="1:93" x14ac:dyDescent="0.2">
      <c r="A125" t="b">
        <f t="shared" si="64"/>
        <v>0</v>
      </c>
      <c r="B125" s="33">
        <v>98</v>
      </c>
      <c r="C125" s="15">
        <f t="shared" si="65"/>
        <v>20.081305947392778</v>
      </c>
      <c r="D125" s="75">
        <f>C125*(1-PARAM!$C$27)*$I$3+(MOD($B125,60)=PARAM!$B$56)*($B125&gt;(60-PARAM!$B$56))*HLOOKUP(($B125+PARAM!$B$56)/12,Loyalty,2)*$F$1*MAX(F124,0)</f>
        <v>16.808053077967756</v>
      </c>
      <c r="E125" s="75">
        <f>PARAM!$C$26+MAX($G$3-CHOOSE(PARAM!$B$44,MAX(0,F124*$F$1),0),0)*RATES!$L101/12+$H$3*(PARAM!$D$51/12)*RATES!$N101/100</f>
        <v>8.4583333333333339</v>
      </c>
      <c r="F125" s="16">
        <f t="shared" si="66"/>
        <v>-354.90828237616068</v>
      </c>
      <c r="G125" s="15">
        <f t="shared" si="67"/>
        <v>22.035289406060361</v>
      </c>
      <c r="H125" s="75">
        <f>G125*(1-PARAM!$C$27)*$I$4+(MOD($B125,60)=PARAM!$B$56)*($B125&gt;(60-PARAM!$B$56))*HLOOKUP(($B125+PARAM!$B$56)/12,Loyalty,2)*$F$1*MAX(J124,0)</f>
        <v>18.443537232872522</v>
      </c>
      <c r="I125" s="75">
        <f>PARAM!$C$26+MAX($G$4-CHOOSE(PARAM!$B$44,MAX(0,J124*$F$1),0),0)*RATES!$L101/12+$H$4*(PARAM!$D$51/12)*RATES!$N101/100</f>
        <v>8.4583333333333339</v>
      </c>
      <c r="J125" s="16">
        <f t="shared" si="68"/>
        <v>-211.7535922437996</v>
      </c>
      <c r="K125" s="15">
        <f t="shared" si="69"/>
        <v>22.170849845882874</v>
      </c>
      <c r="L125" s="75">
        <f>K125*(1-PARAM!$C$27)*$I$5+(MOD($B125,60)=PARAM!$B$56)*($B125&gt;(60-PARAM!$B$56))*HLOOKUP(($B125+PARAM!$B$56)/12,Loyalty,2)*$F$1*MAX(N124,0)</f>
        <v>18.557001321003963</v>
      </c>
      <c r="M125" s="75">
        <f>PARAM!$C$26+MAX($G$5-CHOOSE(PARAM!$B$44,MAX(0,N124*$F$1),0),0)*RATES!$L101/12+$H$5*(PARAM!$D$51/12)*RATES!$N101/100</f>
        <v>8.4583333333333339</v>
      </c>
      <c r="N125" s="16">
        <f t="shared" si="70"/>
        <v>-201.82202774107952</v>
      </c>
      <c r="O125" s="15">
        <f t="shared" si="71"/>
        <v>22.170849845882874</v>
      </c>
      <c r="P125" s="75">
        <f>O125*(1-PARAM!$C$27)*$I$6+(MOD($B125,60)=PARAM!$B$56)*($B125&gt;(60-PARAM!$B$56))*HLOOKUP(($B125+PARAM!$B$56)/12,Loyalty,2)*$F$1*MAX(R124,0)</f>
        <v>18.557001321003963</v>
      </c>
      <c r="Q125" s="75">
        <f>PARAM!$C$26+MAX($G$6-CHOOSE(PARAM!$B$44,MAX(0,R124*$F$1),0),0)*RATES!$L101/12+$H$6*(PARAM!$D$51/12)*RATES!$N101/100</f>
        <v>8.4583333333333339</v>
      </c>
      <c r="R125" s="16">
        <f t="shared" si="72"/>
        <v>-201.82202774107952</v>
      </c>
      <c r="S125" s="15">
        <f t="shared" si="47"/>
        <v>22.170849845882874</v>
      </c>
      <c r="T125" s="75">
        <f>S125*(1-PARAM!$C$27)*$I$7+(MOD($B125,60)=PARAM!$B$56)*($B125&gt;(60-PARAM!$B$56))*HLOOKUP(($B125+PARAM!$B$56)/12,Loyalty,2)*$F$1*MAX(V124,0)</f>
        <v>18.557001321003963</v>
      </c>
      <c r="U125" s="75">
        <f>PARAM!$C$26+MAX($G$7-CHOOSE(PARAM!$B$44,MAX(0,V124*$F$1),0),0)*RATES!$L101/12+$H$7*(PARAM!$D$51/12)*RATES!$N101/100</f>
        <v>8.4583333333333339</v>
      </c>
      <c r="V125" s="16">
        <f t="shared" si="73"/>
        <v>-201.82202774107952</v>
      </c>
      <c r="W125" s="15">
        <f t="shared" si="48"/>
        <v>22.170849845882874</v>
      </c>
      <c r="X125" s="75">
        <f>W125*(1-PARAM!$C$27)*$I$8+(MOD($B125,60)=PARAM!$B$56)*($B125&gt;(60-PARAM!$B$56))*HLOOKUP(($B125+PARAM!$B$56)/12,Loyalty,2)*$F$1*MAX(Z124,0)</f>
        <v>18.557001321003963</v>
      </c>
      <c r="Y125" s="75">
        <f>PARAM!$C$26+MAX($G$8-CHOOSE(PARAM!$B$44,MAX(0,Z124*$F$1),0),0)*RATES!$L101/12+$H$8*(PARAM!$D$51/12)*RATES!$N101/100</f>
        <v>8.4583333333333339</v>
      </c>
      <c r="Z125" s="16">
        <f t="shared" si="74"/>
        <v>-201.82202774107952</v>
      </c>
      <c r="AA125" s="15">
        <f t="shared" si="49"/>
        <v>22.170849845882874</v>
      </c>
      <c r="AB125" s="75">
        <f>AA125*(1-PARAM!$C$27)*$I$9+(MOD($B125,60)=PARAM!$B$56)*($B125&gt;(60-PARAM!$B$56))*HLOOKUP(($B125+PARAM!$B$56)/12,Loyalty,2)*$F$1*MAX(AD124,0)</f>
        <v>18.557001321003963</v>
      </c>
      <c r="AC125" s="75">
        <f>PARAM!$C$26+MAX($G$9-CHOOSE(PARAM!$B$44,MAX(0,AD124*$F$1),0),0)*RATES!$L101/12+$H$9*(PARAM!$D$51/12)*RATES!$N101/100</f>
        <v>8.4583333333333339</v>
      </c>
      <c r="AD125" s="16">
        <f t="shared" si="75"/>
        <v>-201.82202774107952</v>
      </c>
      <c r="AE125" s="15">
        <f t="shared" si="50"/>
        <v>22.170849845882874</v>
      </c>
      <c r="AF125" s="75">
        <f>AE125*(1-PARAM!$C$27)*$I$10+(MOD($B125,60)=PARAM!$B$56)*($B125&gt;(60-PARAM!$B$56))*HLOOKUP(($B125+PARAM!$B$56)/12,Loyalty,2)*$F$1*MAX(AH124,0)</f>
        <v>18.557001321003963</v>
      </c>
      <c r="AG125" s="75">
        <f>PARAM!$C$26+MAX($G$10-CHOOSE(PARAM!$B$44,MAX(0,AH124*$F$1),0),0)*RATES!$L101/12+$H$10*(PARAM!$D$51/12)*RATES!$N101/100</f>
        <v>8.4583333333333339</v>
      </c>
      <c r="AH125" s="16">
        <f t="shared" si="76"/>
        <v>-201.82202774107952</v>
      </c>
      <c r="AI125" s="15">
        <f t="shared" si="51"/>
        <v>22.170849845882874</v>
      </c>
      <c r="AJ125" s="75">
        <f>AI125*(1-PARAM!$C$27)*$I$11+(MOD($B125,60)=PARAM!$B$56)*($B125&gt;(60-PARAM!$B$56))*HLOOKUP(($B125+PARAM!$B$56)/12,Loyalty,2)*$F$1*MAX(AL124,0)</f>
        <v>18.557001321003963</v>
      </c>
      <c r="AK125" s="75">
        <f>PARAM!$C$26+MAX($G$11-CHOOSE(PARAM!$B$44,MAX(0,AL124*$F$1),0),0)*RATES!$L101/12+$H$11*(PARAM!$D$51/12)*RATES!$N101/100</f>
        <v>8.4583333333333339</v>
      </c>
      <c r="AL125" s="16">
        <f t="shared" si="77"/>
        <v>-201.82202774107952</v>
      </c>
      <c r="AM125" s="15">
        <f t="shared" si="52"/>
        <v>22.170849845882874</v>
      </c>
      <c r="AN125" s="75">
        <f>AM125*(1-PARAM!$C$27)*$I$12+(MOD($B125,60)=PARAM!$B$56)*($B125&gt;(60-PARAM!$B$56))*HLOOKUP(($B125+PARAM!$B$56)/12,Loyalty,2)*$F$1*MAX(AP124,0)</f>
        <v>18.557001321003963</v>
      </c>
      <c r="AO125" s="75">
        <f>PARAM!$C$26+MAX($G$12-CHOOSE(PARAM!$B$44,MAX(0,AP124*$F$1),0),0)*RATES!$L101/12+$H$12*(PARAM!$D$51/12)*RATES!$N101/100</f>
        <v>8.4583333333333339</v>
      </c>
      <c r="AP125" s="16">
        <f t="shared" si="78"/>
        <v>-201.82202774107952</v>
      </c>
      <c r="AQ125" s="15">
        <f t="shared" si="53"/>
        <v>22.170849845882874</v>
      </c>
      <c r="AR125" s="75">
        <f>AQ125*(1-PARAM!$C$27)*$I$13+(MOD($B125,60)=PARAM!$B$56)*($B125&gt;(60-PARAM!$B$56))*HLOOKUP(($B125+PARAM!$B$56)/12,Loyalty,2)*$F$1*MAX(AT124,0)</f>
        <v>18.557001321003963</v>
      </c>
      <c r="AS125" s="75">
        <f>PARAM!$C$26+MAX($G$13-CHOOSE(PARAM!$B$44,MAX(0,AT124*$F$1),0),0)*RATES!$L101/12+$H$13*(PARAM!$D$51/12)*RATES!$N101/100</f>
        <v>8.4583333333333339</v>
      </c>
      <c r="AT125" s="16">
        <f t="shared" si="79"/>
        <v>-201.82202774107952</v>
      </c>
      <c r="AU125" s="15">
        <f t="shared" si="54"/>
        <v>22.170849845882874</v>
      </c>
      <c r="AV125" s="75">
        <f>AU125*(1-PARAM!$C$27)*$I$14+(MOD($B125,60)=PARAM!$B$56)*($B125&gt;(60-PARAM!$B$56))*HLOOKUP(($B125+PARAM!$B$56)/12,Loyalty,2)*$F$1*MAX(AX124,0)</f>
        <v>18.557001321003963</v>
      </c>
      <c r="AW125" s="75">
        <f>PARAM!$C$26+MAX($G$14-CHOOSE(PARAM!$B$44,MAX(0,AX124*$F$1),0),0)*RATES!$L101/12+$H$14*(PARAM!$D$51/12)*RATES!$N101/100</f>
        <v>8.4583333333333339</v>
      </c>
      <c r="AX125" s="16">
        <f t="shared" si="80"/>
        <v>-201.82202774107952</v>
      </c>
      <c r="AY125" s="15">
        <f t="shared" si="55"/>
        <v>22.170849845882874</v>
      </c>
      <c r="AZ125" s="75">
        <f>AY125*(1-PARAM!$C$27)*$I$15+(MOD($B125,60)=PARAM!$B$56)*($B125&gt;(60-PARAM!$B$56))*HLOOKUP(($B125+PARAM!$B$56)/12,Loyalty,2)*$F$1*MAX(BB124,0)</f>
        <v>18.557001321003963</v>
      </c>
      <c r="BA125" s="75">
        <f>PARAM!$C$26+MAX($G$15-CHOOSE(PARAM!$B$44,MAX(0,BB124*$F$1),0),0)*RATES!$L101/12+$H$15*(PARAM!$D$51/12)*RATES!$N101/100</f>
        <v>8.4583333333333339</v>
      </c>
      <c r="BB125" s="16">
        <f t="shared" si="81"/>
        <v>-201.82202774107952</v>
      </c>
      <c r="BC125" s="15">
        <f t="shared" si="56"/>
        <v>22.170849845882874</v>
      </c>
      <c r="BD125" s="75">
        <f>BC125*(1-PARAM!$C$27)*$I$16+(MOD($B125,60)=PARAM!$B$56)*($B125&gt;(60-PARAM!$B$56))*HLOOKUP(($B125+PARAM!$B$56)/12,Loyalty,2)*$F$1*MAX(BF124,0)</f>
        <v>18.557001321003963</v>
      </c>
      <c r="BE125" s="75">
        <f>PARAM!$C$26+MAX($G$16-CHOOSE(PARAM!$B$44,MAX(0,BF124*$F$1),0),0)*RATES!$L101/12+$H$16*(PARAM!$D$51/12)*RATES!$N101/100</f>
        <v>8.4583333333333339</v>
      </c>
      <c r="BF125" s="16">
        <f t="shared" si="82"/>
        <v>-201.82202774107952</v>
      </c>
      <c r="BG125" s="15">
        <f t="shared" si="57"/>
        <v>22.170849845882874</v>
      </c>
      <c r="BH125" s="75">
        <f>BG125*(1-PARAM!$C$27)*$I$17+(MOD($B125,60)=PARAM!$B$56)*($B125&gt;(60-PARAM!$B$56))*HLOOKUP(($B125+PARAM!$B$56)/12,Loyalty,2)*$F$1*MAX(BJ124,0)</f>
        <v>18.557001321003963</v>
      </c>
      <c r="BI125" s="75">
        <f>PARAM!$C$26+MAX($G$17-CHOOSE(PARAM!$B$44,MAX(0,BJ124*$F$1),0),0)*RATES!$L101/12+$H$17*(PARAM!$D$51/12)*RATES!$N101/100</f>
        <v>8.4583333333333339</v>
      </c>
      <c r="BJ125" s="16">
        <f t="shared" si="83"/>
        <v>-201.82202774107952</v>
      </c>
      <c r="BK125" s="15">
        <f t="shared" si="58"/>
        <v>22.170849845882874</v>
      </c>
      <c r="BL125" s="75">
        <f>BK125*(1-PARAM!$C$27)*$I$18+(MOD($B125,60)=PARAM!$B$56)*($B125&gt;(60-PARAM!$B$56))*HLOOKUP(($B125+PARAM!$B$56)/12,Loyalty,2)*$F$1*MAX(BN124,0)</f>
        <v>18.557001321003963</v>
      </c>
      <c r="BM125" s="75">
        <f>PARAM!$C$26+MAX($G$18-CHOOSE(PARAM!$B$44,MAX(0,BN124*$F$1),0),0)*RATES!$L101/12+$H$18*(PARAM!$D$51/12)*RATES!$N101/100</f>
        <v>8.4583333333333339</v>
      </c>
      <c r="BN125" s="16">
        <f t="shared" si="84"/>
        <v>-201.82202774107952</v>
      </c>
      <c r="BO125" s="15">
        <f t="shared" si="59"/>
        <v>22.170849845882874</v>
      </c>
      <c r="BP125" s="75">
        <f>BO125*(1-PARAM!$C$27)*$I$19+(MOD($B125,60)=PARAM!$B$56)*($B125&gt;(60-PARAM!$B$56))*HLOOKUP(($B125+PARAM!$B$56)/12,Loyalty,2)*$F$1*MAX(BR124,0)</f>
        <v>18.557001321003963</v>
      </c>
      <c r="BQ125" s="75">
        <f>PARAM!$C$26+MAX($G$19-CHOOSE(PARAM!$B$44,MAX(0,BR124*$F$1),0),0)*RATES!$L101/12+$H$19*(PARAM!$D$51/12)*RATES!$N101/100</f>
        <v>8.4583333333333339</v>
      </c>
      <c r="BR125" s="16">
        <f t="shared" si="85"/>
        <v>-201.82202774107952</v>
      </c>
      <c r="BS125" s="15">
        <f t="shared" si="60"/>
        <v>22.170849845882874</v>
      </c>
      <c r="BT125" s="75">
        <f>BS125*(1-PARAM!$C$27)*$I$20+(MOD($B125,60)=PARAM!$B$56)*($B125&gt;(60-PARAM!$B$56))*HLOOKUP(($B125+PARAM!$B$56)/12,Loyalty,2)*$F$1*MAX(BV124,0)</f>
        <v>18.557001321003963</v>
      </c>
      <c r="BU125" s="75">
        <f>PARAM!$C$26+MAX($G$20-CHOOSE(PARAM!$B$44,MAX(0,BV124*$F$1),0),0)*RATES!$L101/12+$H$20*(PARAM!$D$51/12)*RATES!$N101/100</f>
        <v>8.4583333333333339</v>
      </c>
      <c r="BV125" s="16">
        <f t="shared" si="86"/>
        <v>-201.82202774107952</v>
      </c>
      <c r="BW125" s="15">
        <f t="shared" si="61"/>
        <v>22.170849845882874</v>
      </c>
      <c r="BX125" s="75">
        <f>BW125*(1-PARAM!$C$27)*$I$21+(MOD($B125,60)=PARAM!$B$56)*($B125&gt;(60-PARAM!$B$56))*HLOOKUP(($B125+PARAM!$B$56)/12,Loyalty,2)*$F$1*MAX(BZ124,0)</f>
        <v>18.557001321003963</v>
      </c>
      <c r="BY125" s="75">
        <f>PARAM!$C$26+MAX($G$21-CHOOSE(PARAM!$B$44,MAX(0,BZ124*$F$1),0),0)*RATES!$L101/12+$H$21*(PARAM!$D$51/12)*RATES!$N101/100</f>
        <v>8.4583333333333339</v>
      </c>
      <c r="BZ125" s="16">
        <f t="shared" si="87"/>
        <v>-201.82202774107952</v>
      </c>
      <c r="CA125" s="15">
        <f t="shared" si="62"/>
        <v>22.170849845882874</v>
      </c>
      <c r="CB125" s="75">
        <f>CA125*(1-PARAM!$C$27)*$I$22+(MOD($B125,60)=PARAM!$B$56)*($B125&gt;(60-PARAM!$B$56))*HLOOKUP(($B125+PARAM!$B$56)/12,Loyalty,2)*$F$1*MAX(CD124,0)</f>
        <v>18.557001321003963</v>
      </c>
      <c r="CC125" s="75">
        <f>PARAM!$C$26+MAX($G$22-CHOOSE(PARAM!$B$44,MAX(0,CD124*$F$1),0),0)*RATES!$L101/12+$H$22*(PARAM!$D$51/12)*RATES!$N101/100</f>
        <v>8.4583333333333339</v>
      </c>
      <c r="CD125" s="16">
        <f t="shared" si="88"/>
        <v>-201.82202774107952</v>
      </c>
      <c r="CE125" s="33">
        <f>IF(0=MOD(B125,12/PARAM!$D$51),1,0)</f>
        <v>1</v>
      </c>
      <c r="CF125" s="15">
        <f t="shared" si="63"/>
        <v>0</v>
      </c>
      <c r="CG125" s="75">
        <f>CF125*(1-PARAM!$C$27)*$R$3+(MOD($B125/12,5)=0)*($B125&gt;60)*HLOOKUP($B125/12,Loyalty,2)*$F$1*MAX(CI124,0)</f>
        <v>0</v>
      </c>
      <c r="CH125" s="75">
        <f>PARAM!$C$26+MAX($P$3-CHOOSE(PARAM!$B$44,MAX(0,CI124*$F$1),0),0)*RATES!$L101/12+$Q$3*(PARAM!$D$51/12)*RATES!$N101/100</f>
        <v>8.4583333333333339</v>
      </c>
      <c r="CI125" s="16">
        <f>IF(CI124&gt;0,CI124*PARAM!$C$53,CI124)+CG125-CH125</f>
        <v>-1826.1249999999993</v>
      </c>
      <c r="CJ125" s="15">
        <f t="shared" si="89"/>
        <v>0</v>
      </c>
      <c r="CK125" s="75">
        <f>CJ125*(1-PARAM!$C$27)*$R$4+(MOD($B125/12,5)=0)*($B125&gt;60)*HLOOKUP($B125/12,Loyalty,2)*$F$1*MAX(CM124,0)</f>
        <v>0</v>
      </c>
      <c r="CL125" s="75">
        <f>PARAM!$C$26+MAX($P$4-CHOOSE(PARAM!$B$44,MAX(0,CM124*$F$1),0),0)*RATES!$L101/12+$Q$4*(PARAM!$D$51/12)*RATES!$N101/100</f>
        <v>8.4583333333333339</v>
      </c>
      <c r="CM125" s="16">
        <f>IF(CM124&gt;0,CM124*PARAM!$C$53,CM124)+CK125-CL125</f>
        <v>-1826.1249999999993</v>
      </c>
      <c r="CO125" s="176"/>
    </row>
    <row r="126" spans="1:93" x14ac:dyDescent="0.2">
      <c r="A126" t="b">
        <f t="shared" si="64"/>
        <v>0</v>
      </c>
      <c r="B126" s="33">
        <v>99</v>
      </c>
      <c r="C126" s="15">
        <f t="shared" si="65"/>
        <v>20.081305947392778</v>
      </c>
      <c r="D126" s="75">
        <f>C126*(1-PARAM!$C$27)*$I$3+(MOD($B126,60)=PARAM!$B$56)*($B126&gt;(60-PARAM!$B$56))*HLOOKUP(($B126+PARAM!$B$56)/12,Loyalty,2)*$F$1*MAX(F125,0)</f>
        <v>16.808053077967756</v>
      </c>
      <c r="E126" s="75">
        <f>PARAM!$C$26+MAX($G$3-CHOOSE(PARAM!$B$44,MAX(0,F125*$F$1),0),0)*RATES!$L102/12+$H$3*(PARAM!$D$51/12)*RATES!$N102/100</f>
        <v>8.4583333333333339</v>
      </c>
      <c r="F126" s="16">
        <f t="shared" si="66"/>
        <v>-346.55856263152623</v>
      </c>
      <c r="G126" s="15">
        <f t="shared" si="67"/>
        <v>22.035289406060361</v>
      </c>
      <c r="H126" s="75">
        <f>G126*(1-PARAM!$C$27)*$I$4+(MOD($B126,60)=PARAM!$B$56)*($B126&gt;(60-PARAM!$B$56))*HLOOKUP(($B126+PARAM!$B$56)/12,Loyalty,2)*$F$1*MAX(J125,0)</f>
        <v>18.443537232872522</v>
      </c>
      <c r="I126" s="75">
        <f>PARAM!$C$26+MAX($G$4-CHOOSE(PARAM!$B$44,MAX(0,J125*$F$1),0),0)*RATES!$L102/12+$H$4*(PARAM!$D$51/12)*RATES!$N102/100</f>
        <v>8.4583333333333339</v>
      </c>
      <c r="J126" s="16">
        <f t="shared" si="68"/>
        <v>-201.76838834426042</v>
      </c>
      <c r="K126" s="15">
        <f t="shared" si="69"/>
        <v>22.170849845882874</v>
      </c>
      <c r="L126" s="75">
        <f>K126*(1-PARAM!$C$27)*$I$5+(MOD($B126,60)=PARAM!$B$56)*($B126&gt;(60-PARAM!$B$56))*HLOOKUP(($B126+PARAM!$B$56)/12,Loyalty,2)*$F$1*MAX(N125,0)</f>
        <v>18.557001321003963</v>
      </c>
      <c r="M126" s="75">
        <f>PARAM!$C$26+MAX($G$5-CHOOSE(PARAM!$B$44,MAX(0,N125*$F$1),0),0)*RATES!$L102/12+$H$5*(PARAM!$D$51/12)*RATES!$N102/100</f>
        <v>8.4583333333333339</v>
      </c>
      <c r="N126" s="16">
        <f t="shared" si="70"/>
        <v>-191.72335975340891</v>
      </c>
      <c r="O126" s="15">
        <f t="shared" si="71"/>
        <v>22.170849845882874</v>
      </c>
      <c r="P126" s="75">
        <f>O126*(1-PARAM!$C$27)*$I$6+(MOD($B126,60)=PARAM!$B$56)*($B126&gt;(60-PARAM!$B$56))*HLOOKUP(($B126+PARAM!$B$56)/12,Loyalty,2)*$F$1*MAX(R125,0)</f>
        <v>18.557001321003963</v>
      </c>
      <c r="Q126" s="75">
        <f>PARAM!$C$26+MAX($G$6-CHOOSE(PARAM!$B$44,MAX(0,R125*$F$1),0),0)*RATES!$L102/12+$H$6*(PARAM!$D$51/12)*RATES!$N102/100</f>
        <v>8.4583333333333339</v>
      </c>
      <c r="R126" s="16">
        <f t="shared" si="72"/>
        <v>-191.72335975340891</v>
      </c>
      <c r="S126" s="15">
        <f t="shared" si="47"/>
        <v>22.170849845882874</v>
      </c>
      <c r="T126" s="75">
        <f>S126*(1-PARAM!$C$27)*$I$7+(MOD($B126,60)=PARAM!$B$56)*($B126&gt;(60-PARAM!$B$56))*HLOOKUP(($B126+PARAM!$B$56)/12,Loyalty,2)*$F$1*MAX(V125,0)</f>
        <v>18.557001321003963</v>
      </c>
      <c r="U126" s="75">
        <f>PARAM!$C$26+MAX($G$7-CHOOSE(PARAM!$B$44,MAX(0,V125*$F$1),0),0)*RATES!$L102/12+$H$7*(PARAM!$D$51/12)*RATES!$N102/100</f>
        <v>8.4583333333333339</v>
      </c>
      <c r="V126" s="16">
        <f t="shared" si="73"/>
        <v>-191.72335975340891</v>
      </c>
      <c r="W126" s="15">
        <f t="shared" si="48"/>
        <v>22.170849845882874</v>
      </c>
      <c r="X126" s="75">
        <f>W126*(1-PARAM!$C$27)*$I$8+(MOD($B126,60)=PARAM!$B$56)*($B126&gt;(60-PARAM!$B$56))*HLOOKUP(($B126+PARAM!$B$56)/12,Loyalty,2)*$F$1*MAX(Z125,0)</f>
        <v>18.557001321003963</v>
      </c>
      <c r="Y126" s="75">
        <f>PARAM!$C$26+MAX($G$8-CHOOSE(PARAM!$B$44,MAX(0,Z125*$F$1),0),0)*RATES!$L102/12+$H$8*(PARAM!$D$51/12)*RATES!$N102/100</f>
        <v>8.4583333333333339</v>
      </c>
      <c r="Z126" s="16">
        <f t="shared" si="74"/>
        <v>-191.72335975340891</v>
      </c>
      <c r="AA126" s="15">
        <f t="shared" si="49"/>
        <v>22.170849845882874</v>
      </c>
      <c r="AB126" s="75">
        <f>AA126*(1-PARAM!$C$27)*$I$9+(MOD($B126,60)=PARAM!$B$56)*($B126&gt;(60-PARAM!$B$56))*HLOOKUP(($B126+PARAM!$B$56)/12,Loyalty,2)*$F$1*MAX(AD125,0)</f>
        <v>18.557001321003963</v>
      </c>
      <c r="AC126" s="75">
        <f>PARAM!$C$26+MAX($G$9-CHOOSE(PARAM!$B$44,MAX(0,AD125*$F$1),0),0)*RATES!$L102/12+$H$9*(PARAM!$D$51/12)*RATES!$N102/100</f>
        <v>8.4583333333333339</v>
      </c>
      <c r="AD126" s="16">
        <f t="shared" si="75"/>
        <v>-191.72335975340891</v>
      </c>
      <c r="AE126" s="15">
        <f t="shared" si="50"/>
        <v>22.170849845882874</v>
      </c>
      <c r="AF126" s="75">
        <f>AE126*(1-PARAM!$C$27)*$I$10+(MOD($B126,60)=PARAM!$B$56)*($B126&gt;(60-PARAM!$B$56))*HLOOKUP(($B126+PARAM!$B$56)/12,Loyalty,2)*$F$1*MAX(AH125,0)</f>
        <v>18.557001321003963</v>
      </c>
      <c r="AG126" s="75">
        <f>PARAM!$C$26+MAX($G$10-CHOOSE(PARAM!$B$44,MAX(0,AH125*$F$1),0),0)*RATES!$L102/12+$H$10*(PARAM!$D$51/12)*RATES!$N102/100</f>
        <v>8.4583333333333339</v>
      </c>
      <c r="AH126" s="16">
        <f t="shared" si="76"/>
        <v>-191.72335975340891</v>
      </c>
      <c r="AI126" s="15">
        <f t="shared" si="51"/>
        <v>22.170849845882874</v>
      </c>
      <c r="AJ126" s="75">
        <f>AI126*(1-PARAM!$C$27)*$I$11+(MOD($B126,60)=PARAM!$B$56)*($B126&gt;(60-PARAM!$B$56))*HLOOKUP(($B126+PARAM!$B$56)/12,Loyalty,2)*$F$1*MAX(AL125,0)</f>
        <v>18.557001321003963</v>
      </c>
      <c r="AK126" s="75">
        <f>PARAM!$C$26+MAX($G$11-CHOOSE(PARAM!$B$44,MAX(0,AL125*$F$1),0),0)*RATES!$L102/12+$H$11*(PARAM!$D$51/12)*RATES!$N102/100</f>
        <v>8.4583333333333339</v>
      </c>
      <c r="AL126" s="16">
        <f t="shared" si="77"/>
        <v>-191.72335975340891</v>
      </c>
      <c r="AM126" s="15">
        <f t="shared" si="52"/>
        <v>22.170849845882874</v>
      </c>
      <c r="AN126" s="75">
        <f>AM126*(1-PARAM!$C$27)*$I$12+(MOD($B126,60)=PARAM!$B$56)*($B126&gt;(60-PARAM!$B$56))*HLOOKUP(($B126+PARAM!$B$56)/12,Loyalty,2)*$F$1*MAX(AP125,0)</f>
        <v>18.557001321003963</v>
      </c>
      <c r="AO126" s="75">
        <f>PARAM!$C$26+MAX($G$12-CHOOSE(PARAM!$B$44,MAX(0,AP125*$F$1),0),0)*RATES!$L102/12+$H$12*(PARAM!$D$51/12)*RATES!$N102/100</f>
        <v>8.4583333333333339</v>
      </c>
      <c r="AP126" s="16">
        <f t="shared" si="78"/>
        <v>-191.72335975340891</v>
      </c>
      <c r="AQ126" s="15">
        <f t="shared" si="53"/>
        <v>22.170849845882874</v>
      </c>
      <c r="AR126" s="75">
        <f>AQ126*(1-PARAM!$C$27)*$I$13+(MOD($B126,60)=PARAM!$B$56)*($B126&gt;(60-PARAM!$B$56))*HLOOKUP(($B126+PARAM!$B$56)/12,Loyalty,2)*$F$1*MAX(AT125,0)</f>
        <v>18.557001321003963</v>
      </c>
      <c r="AS126" s="75">
        <f>PARAM!$C$26+MAX($G$13-CHOOSE(PARAM!$B$44,MAX(0,AT125*$F$1),0),0)*RATES!$L102/12+$H$13*(PARAM!$D$51/12)*RATES!$N102/100</f>
        <v>8.4583333333333339</v>
      </c>
      <c r="AT126" s="16">
        <f t="shared" si="79"/>
        <v>-191.72335975340891</v>
      </c>
      <c r="AU126" s="15">
        <f t="shared" si="54"/>
        <v>22.170849845882874</v>
      </c>
      <c r="AV126" s="75">
        <f>AU126*(1-PARAM!$C$27)*$I$14+(MOD($B126,60)=PARAM!$B$56)*($B126&gt;(60-PARAM!$B$56))*HLOOKUP(($B126+PARAM!$B$56)/12,Loyalty,2)*$F$1*MAX(AX125,0)</f>
        <v>18.557001321003963</v>
      </c>
      <c r="AW126" s="75">
        <f>PARAM!$C$26+MAX($G$14-CHOOSE(PARAM!$B$44,MAX(0,AX125*$F$1),0),0)*RATES!$L102/12+$H$14*(PARAM!$D$51/12)*RATES!$N102/100</f>
        <v>8.4583333333333339</v>
      </c>
      <c r="AX126" s="16">
        <f t="shared" si="80"/>
        <v>-191.72335975340891</v>
      </c>
      <c r="AY126" s="15">
        <f t="shared" si="55"/>
        <v>22.170849845882874</v>
      </c>
      <c r="AZ126" s="75">
        <f>AY126*(1-PARAM!$C$27)*$I$15+(MOD($B126,60)=PARAM!$B$56)*($B126&gt;(60-PARAM!$B$56))*HLOOKUP(($B126+PARAM!$B$56)/12,Loyalty,2)*$F$1*MAX(BB125,0)</f>
        <v>18.557001321003963</v>
      </c>
      <c r="BA126" s="75">
        <f>PARAM!$C$26+MAX($G$15-CHOOSE(PARAM!$B$44,MAX(0,BB125*$F$1),0),0)*RATES!$L102/12+$H$15*(PARAM!$D$51/12)*RATES!$N102/100</f>
        <v>8.4583333333333339</v>
      </c>
      <c r="BB126" s="16">
        <f t="shared" si="81"/>
        <v>-191.72335975340891</v>
      </c>
      <c r="BC126" s="15">
        <f t="shared" si="56"/>
        <v>22.170849845882874</v>
      </c>
      <c r="BD126" s="75">
        <f>BC126*(1-PARAM!$C$27)*$I$16+(MOD($B126,60)=PARAM!$B$56)*($B126&gt;(60-PARAM!$B$56))*HLOOKUP(($B126+PARAM!$B$56)/12,Loyalty,2)*$F$1*MAX(BF125,0)</f>
        <v>18.557001321003963</v>
      </c>
      <c r="BE126" s="75">
        <f>PARAM!$C$26+MAX($G$16-CHOOSE(PARAM!$B$44,MAX(0,BF125*$F$1),0),0)*RATES!$L102/12+$H$16*(PARAM!$D$51/12)*RATES!$N102/100</f>
        <v>8.4583333333333339</v>
      </c>
      <c r="BF126" s="16">
        <f t="shared" si="82"/>
        <v>-191.72335975340891</v>
      </c>
      <c r="BG126" s="15">
        <f t="shared" si="57"/>
        <v>22.170849845882874</v>
      </c>
      <c r="BH126" s="75">
        <f>BG126*(1-PARAM!$C$27)*$I$17+(MOD($B126,60)=PARAM!$B$56)*($B126&gt;(60-PARAM!$B$56))*HLOOKUP(($B126+PARAM!$B$56)/12,Loyalty,2)*$F$1*MAX(BJ125,0)</f>
        <v>18.557001321003963</v>
      </c>
      <c r="BI126" s="75">
        <f>PARAM!$C$26+MAX($G$17-CHOOSE(PARAM!$B$44,MAX(0,BJ125*$F$1),0),0)*RATES!$L102/12+$H$17*(PARAM!$D$51/12)*RATES!$N102/100</f>
        <v>8.4583333333333339</v>
      </c>
      <c r="BJ126" s="16">
        <f t="shared" si="83"/>
        <v>-191.72335975340891</v>
      </c>
      <c r="BK126" s="15">
        <f t="shared" si="58"/>
        <v>22.170849845882874</v>
      </c>
      <c r="BL126" s="75">
        <f>BK126*(1-PARAM!$C$27)*$I$18+(MOD($B126,60)=PARAM!$B$56)*($B126&gt;(60-PARAM!$B$56))*HLOOKUP(($B126+PARAM!$B$56)/12,Loyalty,2)*$F$1*MAX(BN125,0)</f>
        <v>18.557001321003963</v>
      </c>
      <c r="BM126" s="75">
        <f>PARAM!$C$26+MAX($G$18-CHOOSE(PARAM!$B$44,MAX(0,BN125*$F$1),0),0)*RATES!$L102/12+$H$18*(PARAM!$D$51/12)*RATES!$N102/100</f>
        <v>8.4583333333333339</v>
      </c>
      <c r="BN126" s="16">
        <f t="shared" si="84"/>
        <v>-191.72335975340891</v>
      </c>
      <c r="BO126" s="15">
        <f t="shared" si="59"/>
        <v>22.170849845882874</v>
      </c>
      <c r="BP126" s="75">
        <f>BO126*(1-PARAM!$C$27)*$I$19+(MOD($B126,60)=PARAM!$B$56)*($B126&gt;(60-PARAM!$B$56))*HLOOKUP(($B126+PARAM!$B$56)/12,Loyalty,2)*$F$1*MAX(BR125,0)</f>
        <v>18.557001321003963</v>
      </c>
      <c r="BQ126" s="75">
        <f>PARAM!$C$26+MAX($G$19-CHOOSE(PARAM!$B$44,MAX(0,BR125*$F$1),0),0)*RATES!$L102/12+$H$19*(PARAM!$D$51/12)*RATES!$N102/100</f>
        <v>8.4583333333333339</v>
      </c>
      <c r="BR126" s="16">
        <f t="shared" si="85"/>
        <v>-191.72335975340891</v>
      </c>
      <c r="BS126" s="15">
        <f t="shared" si="60"/>
        <v>22.170849845882874</v>
      </c>
      <c r="BT126" s="75">
        <f>BS126*(1-PARAM!$C$27)*$I$20+(MOD($B126,60)=PARAM!$B$56)*($B126&gt;(60-PARAM!$B$56))*HLOOKUP(($B126+PARAM!$B$56)/12,Loyalty,2)*$F$1*MAX(BV125,0)</f>
        <v>18.557001321003963</v>
      </c>
      <c r="BU126" s="75">
        <f>PARAM!$C$26+MAX($G$20-CHOOSE(PARAM!$B$44,MAX(0,BV125*$F$1),0),0)*RATES!$L102/12+$H$20*(PARAM!$D$51/12)*RATES!$N102/100</f>
        <v>8.4583333333333339</v>
      </c>
      <c r="BV126" s="16">
        <f t="shared" si="86"/>
        <v>-191.72335975340891</v>
      </c>
      <c r="BW126" s="15">
        <f t="shared" si="61"/>
        <v>22.170849845882874</v>
      </c>
      <c r="BX126" s="75">
        <f>BW126*(1-PARAM!$C$27)*$I$21+(MOD($B126,60)=PARAM!$B$56)*($B126&gt;(60-PARAM!$B$56))*HLOOKUP(($B126+PARAM!$B$56)/12,Loyalty,2)*$F$1*MAX(BZ125,0)</f>
        <v>18.557001321003963</v>
      </c>
      <c r="BY126" s="75">
        <f>PARAM!$C$26+MAX($G$21-CHOOSE(PARAM!$B$44,MAX(0,BZ125*$F$1),0),0)*RATES!$L102/12+$H$21*(PARAM!$D$51/12)*RATES!$N102/100</f>
        <v>8.4583333333333339</v>
      </c>
      <c r="BZ126" s="16">
        <f t="shared" si="87"/>
        <v>-191.72335975340891</v>
      </c>
      <c r="CA126" s="15">
        <f t="shared" si="62"/>
        <v>22.170849845882874</v>
      </c>
      <c r="CB126" s="75">
        <f>CA126*(1-PARAM!$C$27)*$I$22+(MOD($B126,60)=PARAM!$B$56)*($B126&gt;(60-PARAM!$B$56))*HLOOKUP(($B126+PARAM!$B$56)/12,Loyalty,2)*$F$1*MAX(CD125,0)</f>
        <v>18.557001321003963</v>
      </c>
      <c r="CC126" s="75">
        <f>PARAM!$C$26+MAX($G$22-CHOOSE(PARAM!$B$44,MAX(0,CD125*$F$1),0),0)*RATES!$L102/12+$H$22*(PARAM!$D$51/12)*RATES!$N102/100</f>
        <v>8.4583333333333339</v>
      </c>
      <c r="CD126" s="16">
        <f t="shared" si="88"/>
        <v>-191.72335975340891</v>
      </c>
      <c r="CE126" s="33">
        <f>IF(0=MOD(B126,12/PARAM!$D$51),1,0)</f>
        <v>1</v>
      </c>
      <c r="CF126" s="15">
        <f t="shared" si="63"/>
        <v>0</v>
      </c>
      <c r="CG126" s="75">
        <f>CF126*(1-PARAM!$C$27)*$R$3+(MOD($B126/12,5)=0)*($B126&gt;60)*HLOOKUP($B126/12,Loyalty,2)*$F$1*MAX(CI125,0)</f>
        <v>0</v>
      </c>
      <c r="CH126" s="75">
        <f>PARAM!$C$26+MAX($P$3-CHOOSE(PARAM!$B$44,MAX(0,CI125*$F$1),0),0)*RATES!$L102/12+$Q$3*(PARAM!$D$51/12)*RATES!$N102/100</f>
        <v>8.4583333333333339</v>
      </c>
      <c r="CI126" s="16">
        <f>IF(CI125&gt;0,CI125*PARAM!$C$53,CI125)+CG126-CH126</f>
        <v>-1834.5833333333326</v>
      </c>
      <c r="CJ126" s="15">
        <f t="shared" si="89"/>
        <v>0</v>
      </c>
      <c r="CK126" s="75">
        <f>CJ126*(1-PARAM!$C$27)*$R$4+(MOD($B126/12,5)=0)*($B126&gt;60)*HLOOKUP($B126/12,Loyalty,2)*$F$1*MAX(CM125,0)</f>
        <v>0</v>
      </c>
      <c r="CL126" s="75">
        <f>PARAM!$C$26+MAX($P$4-CHOOSE(PARAM!$B$44,MAX(0,CM125*$F$1),0),0)*RATES!$L102/12+$Q$4*(PARAM!$D$51/12)*RATES!$N102/100</f>
        <v>8.4583333333333339</v>
      </c>
      <c r="CM126" s="16">
        <f>IF(CM125&gt;0,CM125*PARAM!$C$53,CM125)+CK126-CL126</f>
        <v>-1834.5833333333326</v>
      </c>
      <c r="CO126" s="176"/>
    </row>
    <row r="127" spans="1:93" x14ac:dyDescent="0.2">
      <c r="A127" t="b">
        <f t="shared" si="64"/>
        <v>0</v>
      </c>
      <c r="B127" s="33">
        <v>100</v>
      </c>
      <c r="C127" s="15">
        <f t="shared" si="65"/>
        <v>20.081305947392778</v>
      </c>
      <c r="D127" s="75">
        <f>C127*(1-PARAM!$C$27)*$I$3+(MOD($B127,60)=PARAM!$B$56)*($B127&gt;(60-PARAM!$B$56))*HLOOKUP(($B127+PARAM!$B$56)/12,Loyalty,2)*$F$1*MAX(F126,0)</f>
        <v>16.808053077967756</v>
      </c>
      <c r="E127" s="75">
        <f>PARAM!$C$26+MAX($G$3-CHOOSE(PARAM!$B$44,MAX(0,F126*$F$1),0),0)*RATES!$L103/12+$H$3*(PARAM!$D$51/12)*RATES!$N103/100</f>
        <v>8.4583333333333339</v>
      </c>
      <c r="F127" s="16">
        <f t="shared" si="66"/>
        <v>-338.20884288689177</v>
      </c>
      <c r="G127" s="15">
        <f t="shared" si="67"/>
        <v>22.035289406060361</v>
      </c>
      <c r="H127" s="75">
        <f>G127*(1-PARAM!$C$27)*$I$4+(MOD($B127,60)=PARAM!$B$56)*($B127&gt;(60-PARAM!$B$56))*HLOOKUP(($B127+PARAM!$B$56)/12,Loyalty,2)*$F$1*MAX(J126,0)</f>
        <v>18.443537232872522</v>
      </c>
      <c r="I127" s="75">
        <f>PARAM!$C$26+MAX($G$4-CHOOSE(PARAM!$B$44,MAX(0,J126*$F$1),0),0)*RATES!$L103/12+$H$4*(PARAM!$D$51/12)*RATES!$N103/100</f>
        <v>8.4583333333333339</v>
      </c>
      <c r="J127" s="16">
        <f t="shared" si="68"/>
        <v>-191.78318444472123</v>
      </c>
      <c r="K127" s="15">
        <f t="shared" si="69"/>
        <v>22.170849845882874</v>
      </c>
      <c r="L127" s="75">
        <f>K127*(1-PARAM!$C$27)*$I$5+(MOD($B127,60)=PARAM!$B$56)*($B127&gt;(60-PARAM!$B$56))*HLOOKUP(($B127+PARAM!$B$56)/12,Loyalty,2)*$F$1*MAX(N126,0)</f>
        <v>18.557001321003963</v>
      </c>
      <c r="M127" s="75">
        <f>PARAM!$C$26+MAX($G$5-CHOOSE(PARAM!$B$44,MAX(0,N126*$F$1),0),0)*RATES!$L103/12+$H$5*(PARAM!$D$51/12)*RATES!$N103/100</f>
        <v>8.4583333333333339</v>
      </c>
      <c r="N127" s="16">
        <f t="shared" si="70"/>
        <v>-181.62469176573831</v>
      </c>
      <c r="O127" s="15">
        <f t="shared" si="71"/>
        <v>22.170849845882874</v>
      </c>
      <c r="P127" s="75">
        <f>O127*(1-PARAM!$C$27)*$I$6+(MOD($B127,60)=PARAM!$B$56)*($B127&gt;(60-PARAM!$B$56))*HLOOKUP(($B127+PARAM!$B$56)/12,Loyalty,2)*$F$1*MAX(R126,0)</f>
        <v>18.557001321003963</v>
      </c>
      <c r="Q127" s="75">
        <f>PARAM!$C$26+MAX($G$6-CHOOSE(PARAM!$B$44,MAX(0,R126*$F$1),0),0)*RATES!$L103/12+$H$6*(PARAM!$D$51/12)*RATES!$N103/100</f>
        <v>8.4583333333333339</v>
      </c>
      <c r="R127" s="16">
        <f t="shared" si="72"/>
        <v>-181.62469176573831</v>
      </c>
      <c r="S127" s="15">
        <f t="shared" si="47"/>
        <v>22.170849845882874</v>
      </c>
      <c r="T127" s="75">
        <f>S127*(1-PARAM!$C$27)*$I$7+(MOD($B127,60)=PARAM!$B$56)*($B127&gt;(60-PARAM!$B$56))*HLOOKUP(($B127+PARAM!$B$56)/12,Loyalty,2)*$F$1*MAX(V126,0)</f>
        <v>18.557001321003963</v>
      </c>
      <c r="U127" s="75">
        <f>PARAM!$C$26+MAX($G$7-CHOOSE(PARAM!$B$44,MAX(0,V126*$F$1),0),0)*RATES!$L103/12+$H$7*(PARAM!$D$51/12)*RATES!$N103/100</f>
        <v>8.4583333333333339</v>
      </c>
      <c r="V127" s="16">
        <f t="shared" si="73"/>
        <v>-181.62469176573831</v>
      </c>
      <c r="W127" s="15">
        <f t="shared" si="48"/>
        <v>22.170849845882874</v>
      </c>
      <c r="X127" s="75">
        <f>W127*(1-PARAM!$C$27)*$I$8+(MOD($B127,60)=PARAM!$B$56)*($B127&gt;(60-PARAM!$B$56))*HLOOKUP(($B127+PARAM!$B$56)/12,Loyalty,2)*$F$1*MAX(Z126,0)</f>
        <v>18.557001321003963</v>
      </c>
      <c r="Y127" s="75">
        <f>PARAM!$C$26+MAX($G$8-CHOOSE(PARAM!$B$44,MAX(0,Z126*$F$1),0),0)*RATES!$L103/12+$H$8*(PARAM!$D$51/12)*RATES!$N103/100</f>
        <v>8.4583333333333339</v>
      </c>
      <c r="Z127" s="16">
        <f t="shared" si="74"/>
        <v>-181.62469176573831</v>
      </c>
      <c r="AA127" s="15">
        <f t="shared" si="49"/>
        <v>22.170849845882874</v>
      </c>
      <c r="AB127" s="75">
        <f>AA127*(1-PARAM!$C$27)*$I$9+(MOD($B127,60)=PARAM!$B$56)*($B127&gt;(60-PARAM!$B$56))*HLOOKUP(($B127+PARAM!$B$56)/12,Loyalty,2)*$F$1*MAX(AD126,0)</f>
        <v>18.557001321003963</v>
      </c>
      <c r="AC127" s="75">
        <f>PARAM!$C$26+MAX($G$9-CHOOSE(PARAM!$B$44,MAX(0,AD126*$F$1),0),0)*RATES!$L103/12+$H$9*(PARAM!$D$51/12)*RATES!$N103/100</f>
        <v>8.4583333333333339</v>
      </c>
      <c r="AD127" s="16">
        <f t="shared" si="75"/>
        <v>-181.62469176573831</v>
      </c>
      <c r="AE127" s="15">
        <f t="shared" si="50"/>
        <v>22.170849845882874</v>
      </c>
      <c r="AF127" s="75">
        <f>AE127*(1-PARAM!$C$27)*$I$10+(MOD($B127,60)=PARAM!$B$56)*($B127&gt;(60-PARAM!$B$56))*HLOOKUP(($B127+PARAM!$B$56)/12,Loyalty,2)*$F$1*MAX(AH126,0)</f>
        <v>18.557001321003963</v>
      </c>
      <c r="AG127" s="75">
        <f>PARAM!$C$26+MAX($G$10-CHOOSE(PARAM!$B$44,MAX(0,AH126*$F$1),0),0)*RATES!$L103/12+$H$10*(PARAM!$D$51/12)*RATES!$N103/100</f>
        <v>8.4583333333333339</v>
      </c>
      <c r="AH127" s="16">
        <f t="shared" si="76"/>
        <v>-181.62469176573831</v>
      </c>
      <c r="AI127" s="15">
        <f t="shared" si="51"/>
        <v>22.170849845882874</v>
      </c>
      <c r="AJ127" s="75">
        <f>AI127*(1-PARAM!$C$27)*$I$11+(MOD($B127,60)=PARAM!$B$56)*($B127&gt;(60-PARAM!$B$56))*HLOOKUP(($B127+PARAM!$B$56)/12,Loyalty,2)*$F$1*MAX(AL126,0)</f>
        <v>18.557001321003963</v>
      </c>
      <c r="AK127" s="75">
        <f>PARAM!$C$26+MAX($G$11-CHOOSE(PARAM!$B$44,MAX(0,AL126*$F$1),0),0)*RATES!$L103/12+$H$11*(PARAM!$D$51/12)*RATES!$N103/100</f>
        <v>8.4583333333333339</v>
      </c>
      <c r="AL127" s="16">
        <f t="shared" si="77"/>
        <v>-181.62469176573831</v>
      </c>
      <c r="AM127" s="15">
        <f t="shared" si="52"/>
        <v>22.170849845882874</v>
      </c>
      <c r="AN127" s="75">
        <f>AM127*(1-PARAM!$C$27)*$I$12+(MOD($B127,60)=PARAM!$B$56)*($B127&gt;(60-PARAM!$B$56))*HLOOKUP(($B127+PARAM!$B$56)/12,Loyalty,2)*$F$1*MAX(AP126,0)</f>
        <v>18.557001321003963</v>
      </c>
      <c r="AO127" s="75">
        <f>PARAM!$C$26+MAX($G$12-CHOOSE(PARAM!$B$44,MAX(0,AP126*$F$1),0),0)*RATES!$L103/12+$H$12*(PARAM!$D$51/12)*RATES!$N103/100</f>
        <v>8.4583333333333339</v>
      </c>
      <c r="AP127" s="16">
        <f t="shared" si="78"/>
        <v>-181.62469176573831</v>
      </c>
      <c r="AQ127" s="15">
        <f t="shared" si="53"/>
        <v>22.170849845882874</v>
      </c>
      <c r="AR127" s="75">
        <f>AQ127*(1-PARAM!$C$27)*$I$13+(MOD($B127,60)=PARAM!$B$56)*($B127&gt;(60-PARAM!$B$56))*HLOOKUP(($B127+PARAM!$B$56)/12,Loyalty,2)*$F$1*MAX(AT126,0)</f>
        <v>18.557001321003963</v>
      </c>
      <c r="AS127" s="75">
        <f>PARAM!$C$26+MAX($G$13-CHOOSE(PARAM!$B$44,MAX(0,AT126*$F$1),0),0)*RATES!$L103/12+$H$13*(PARAM!$D$51/12)*RATES!$N103/100</f>
        <v>8.4583333333333339</v>
      </c>
      <c r="AT127" s="16">
        <f t="shared" si="79"/>
        <v>-181.62469176573831</v>
      </c>
      <c r="AU127" s="15">
        <f t="shared" si="54"/>
        <v>22.170849845882874</v>
      </c>
      <c r="AV127" s="75">
        <f>AU127*(1-PARAM!$C$27)*$I$14+(MOD($B127,60)=PARAM!$B$56)*($B127&gt;(60-PARAM!$B$56))*HLOOKUP(($B127+PARAM!$B$56)/12,Loyalty,2)*$F$1*MAX(AX126,0)</f>
        <v>18.557001321003963</v>
      </c>
      <c r="AW127" s="75">
        <f>PARAM!$C$26+MAX($G$14-CHOOSE(PARAM!$B$44,MAX(0,AX126*$F$1),0),0)*RATES!$L103/12+$H$14*(PARAM!$D$51/12)*RATES!$N103/100</f>
        <v>8.4583333333333339</v>
      </c>
      <c r="AX127" s="16">
        <f t="shared" si="80"/>
        <v>-181.62469176573831</v>
      </c>
      <c r="AY127" s="15">
        <f t="shared" si="55"/>
        <v>22.170849845882874</v>
      </c>
      <c r="AZ127" s="75">
        <f>AY127*(1-PARAM!$C$27)*$I$15+(MOD($B127,60)=PARAM!$B$56)*($B127&gt;(60-PARAM!$B$56))*HLOOKUP(($B127+PARAM!$B$56)/12,Loyalty,2)*$F$1*MAX(BB126,0)</f>
        <v>18.557001321003963</v>
      </c>
      <c r="BA127" s="75">
        <f>PARAM!$C$26+MAX($G$15-CHOOSE(PARAM!$B$44,MAX(0,BB126*$F$1),0),0)*RATES!$L103/12+$H$15*(PARAM!$D$51/12)*RATES!$N103/100</f>
        <v>8.4583333333333339</v>
      </c>
      <c r="BB127" s="16">
        <f t="shared" si="81"/>
        <v>-181.62469176573831</v>
      </c>
      <c r="BC127" s="15">
        <f t="shared" si="56"/>
        <v>22.170849845882874</v>
      </c>
      <c r="BD127" s="75">
        <f>BC127*(1-PARAM!$C$27)*$I$16+(MOD($B127,60)=PARAM!$B$56)*($B127&gt;(60-PARAM!$B$56))*HLOOKUP(($B127+PARAM!$B$56)/12,Loyalty,2)*$F$1*MAX(BF126,0)</f>
        <v>18.557001321003963</v>
      </c>
      <c r="BE127" s="75">
        <f>PARAM!$C$26+MAX($G$16-CHOOSE(PARAM!$B$44,MAX(0,BF126*$F$1),0),0)*RATES!$L103/12+$H$16*(PARAM!$D$51/12)*RATES!$N103/100</f>
        <v>8.4583333333333339</v>
      </c>
      <c r="BF127" s="16">
        <f t="shared" si="82"/>
        <v>-181.62469176573831</v>
      </c>
      <c r="BG127" s="15">
        <f t="shared" si="57"/>
        <v>22.170849845882874</v>
      </c>
      <c r="BH127" s="75">
        <f>BG127*(1-PARAM!$C$27)*$I$17+(MOD($B127,60)=PARAM!$B$56)*($B127&gt;(60-PARAM!$B$56))*HLOOKUP(($B127+PARAM!$B$56)/12,Loyalty,2)*$F$1*MAX(BJ126,0)</f>
        <v>18.557001321003963</v>
      </c>
      <c r="BI127" s="75">
        <f>PARAM!$C$26+MAX($G$17-CHOOSE(PARAM!$B$44,MAX(0,BJ126*$F$1),0),0)*RATES!$L103/12+$H$17*(PARAM!$D$51/12)*RATES!$N103/100</f>
        <v>8.4583333333333339</v>
      </c>
      <c r="BJ127" s="16">
        <f t="shared" si="83"/>
        <v>-181.62469176573831</v>
      </c>
      <c r="BK127" s="15">
        <f t="shared" si="58"/>
        <v>22.170849845882874</v>
      </c>
      <c r="BL127" s="75">
        <f>BK127*(1-PARAM!$C$27)*$I$18+(MOD($B127,60)=PARAM!$B$56)*($B127&gt;(60-PARAM!$B$56))*HLOOKUP(($B127+PARAM!$B$56)/12,Loyalty,2)*$F$1*MAX(BN126,0)</f>
        <v>18.557001321003963</v>
      </c>
      <c r="BM127" s="75">
        <f>PARAM!$C$26+MAX($G$18-CHOOSE(PARAM!$B$44,MAX(0,BN126*$F$1),0),0)*RATES!$L103/12+$H$18*(PARAM!$D$51/12)*RATES!$N103/100</f>
        <v>8.4583333333333339</v>
      </c>
      <c r="BN127" s="16">
        <f t="shared" si="84"/>
        <v>-181.62469176573831</v>
      </c>
      <c r="BO127" s="15">
        <f t="shared" si="59"/>
        <v>22.170849845882874</v>
      </c>
      <c r="BP127" s="75">
        <f>BO127*(1-PARAM!$C$27)*$I$19+(MOD($B127,60)=PARAM!$B$56)*($B127&gt;(60-PARAM!$B$56))*HLOOKUP(($B127+PARAM!$B$56)/12,Loyalty,2)*$F$1*MAX(BR126,0)</f>
        <v>18.557001321003963</v>
      </c>
      <c r="BQ127" s="75">
        <f>PARAM!$C$26+MAX($G$19-CHOOSE(PARAM!$B$44,MAX(0,BR126*$F$1),0),0)*RATES!$L103/12+$H$19*(PARAM!$D$51/12)*RATES!$N103/100</f>
        <v>8.4583333333333339</v>
      </c>
      <c r="BR127" s="16">
        <f t="shared" si="85"/>
        <v>-181.62469176573831</v>
      </c>
      <c r="BS127" s="15">
        <f t="shared" si="60"/>
        <v>22.170849845882874</v>
      </c>
      <c r="BT127" s="75">
        <f>BS127*(1-PARAM!$C$27)*$I$20+(MOD($B127,60)=PARAM!$B$56)*($B127&gt;(60-PARAM!$B$56))*HLOOKUP(($B127+PARAM!$B$56)/12,Loyalty,2)*$F$1*MAX(BV126,0)</f>
        <v>18.557001321003963</v>
      </c>
      <c r="BU127" s="75">
        <f>PARAM!$C$26+MAX($G$20-CHOOSE(PARAM!$B$44,MAX(0,BV126*$F$1),0),0)*RATES!$L103/12+$H$20*(PARAM!$D$51/12)*RATES!$N103/100</f>
        <v>8.4583333333333339</v>
      </c>
      <c r="BV127" s="16">
        <f t="shared" si="86"/>
        <v>-181.62469176573831</v>
      </c>
      <c r="BW127" s="15">
        <f t="shared" si="61"/>
        <v>22.170849845882874</v>
      </c>
      <c r="BX127" s="75">
        <f>BW127*(1-PARAM!$C$27)*$I$21+(MOD($B127,60)=PARAM!$B$56)*($B127&gt;(60-PARAM!$B$56))*HLOOKUP(($B127+PARAM!$B$56)/12,Loyalty,2)*$F$1*MAX(BZ126,0)</f>
        <v>18.557001321003963</v>
      </c>
      <c r="BY127" s="75">
        <f>PARAM!$C$26+MAX($G$21-CHOOSE(PARAM!$B$44,MAX(0,BZ126*$F$1),0),0)*RATES!$L103/12+$H$21*(PARAM!$D$51/12)*RATES!$N103/100</f>
        <v>8.4583333333333339</v>
      </c>
      <c r="BZ127" s="16">
        <f t="shared" si="87"/>
        <v>-181.62469176573831</v>
      </c>
      <c r="CA127" s="15">
        <f t="shared" si="62"/>
        <v>22.170849845882874</v>
      </c>
      <c r="CB127" s="75">
        <f>CA127*(1-PARAM!$C$27)*$I$22+(MOD($B127,60)=PARAM!$B$56)*($B127&gt;(60-PARAM!$B$56))*HLOOKUP(($B127+PARAM!$B$56)/12,Loyalty,2)*$F$1*MAX(CD126,0)</f>
        <v>18.557001321003963</v>
      </c>
      <c r="CC127" s="75">
        <f>PARAM!$C$26+MAX($G$22-CHOOSE(PARAM!$B$44,MAX(0,CD126*$F$1),0),0)*RATES!$L103/12+$H$22*(PARAM!$D$51/12)*RATES!$N103/100</f>
        <v>8.4583333333333339</v>
      </c>
      <c r="CD127" s="16">
        <f t="shared" si="88"/>
        <v>-181.62469176573831</v>
      </c>
      <c r="CE127" s="33">
        <f>IF(0=MOD(B127,12/PARAM!$D$51),1,0)</f>
        <v>1</v>
      </c>
      <c r="CF127" s="15">
        <f t="shared" si="63"/>
        <v>0</v>
      </c>
      <c r="CG127" s="75">
        <f>CF127*(1-PARAM!$C$27)*$R$3+(MOD($B127/12,5)=0)*($B127&gt;60)*HLOOKUP($B127/12,Loyalty,2)*$F$1*MAX(CI126,0)</f>
        <v>0</v>
      </c>
      <c r="CH127" s="75">
        <f>PARAM!$C$26+MAX($P$3-CHOOSE(PARAM!$B$44,MAX(0,CI126*$F$1),0),0)*RATES!$L103/12+$Q$3*(PARAM!$D$51/12)*RATES!$N103/100</f>
        <v>8.4583333333333339</v>
      </c>
      <c r="CI127" s="16">
        <f>IF(CI126&gt;0,CI126*PARAM!$C$53,CI126)+CG127-CH127</f>
        <v>-1843.0416666666658</v>
      </c>
      <c r="CJ127" s="15">
        <f t="shared" si="89"/>
        <v>0</v>
      </c>
      <c r="CK127" s="75">
        <f>CJ127*(1-PARAM!$C$27)*$R$4+(MOD($B127/12,5)=0)*($B127&gt;60)*HLOOKUP($B127/12,Loyalty,2)*$F$1*MAX(CM126,0)</f>
        <v>0</v>
      </c>
      <c r="CL127" s="75">
        <f>PARAM!$C$26+MAX($P$4-CHOOSE(PARAM!$B$44,MAX(0,CM126*$F$1),0),0)*RATES!$L103/12+$Q$4*(PARAM!$D$51/12)*RATES!$N103/100</f>
        <v>8.4583333333333339</v>
      </c>
      <c r="CM127" s="16">
        <f>IF(CM126&gt;0,CM126*PARAM!$C$53,CM126)+CK127-CL127</f>
        <v>-1843.0416666666658</v>
      </c>
      <c r="CO127" s="176"/>
    </row>
    <row r="128" spans="1:93" x14ac:dyDescent="0.2">
      <c r="A128" t="b">
        <f t="shared" si="64"/>
        <v>0</v>
      </c>
      <c r="B128" s="33">
        <v>101</v>
      </c>
      <c r="C128" s="15">
        <f t="shared" si="65"/>
        <v>20.081305947392778</v>
      </c>
      <c r="D128" s="75">
        <f>C128*(1-PARAM!$C$27)*$I$3+(MOD($B128,60)=PARAM!$B$56)*($B128&gt;(60-PARAM!$B$56))*HLOOKUP(($B128+PARAM!$B$56)/12,Loyalty,2)*$F$1*MAX(F127,0)</f>
        <v>16.808053077967756</v>
      </c>
      <c r="E128" s="75">
        <f>PARAM!$C$26+MAX($G$3-CHOOSE(PARAM!$B$44,MAX(0,F127*$F$1),0),0)*RATES!$L104/12+$H$3*(PARAM!$D$51/12)*RATES!$N104/100</f>
        <v>8.4583333333333339</v>
      </c>
      <c r="F128" s="16">
        <f t="shared" si="66"/>
        <v>-329.85912314225732</v>
      </c>
      <c r="G128" s="15">
        <f t="shared" si="67"/>
        <v>22.035289406060361</v>
      </c>
      <c r="H128" s="75">
        <f>G128*(1-PARAM!$C$27)*$I$4+(MOD($B128,60)=PARAM!$B$56)*($B128&gt;(60-PARAM!$B$56))*HLOOKUP(($B128+PARAM!$B$56)/12,Loyalty,2)*$F$1*MAX(J127,0)</f>
        <v>18.443537232872522</v>
      </c>
      <c r="I128" s="75">
        <f>PARAM!$C$26+MAX($G$4-CHOOSE(PARAM!$B$44,MAX(0,J127*$F$1),0),0)*RATES!$L104/12+$H$4*(PARAM!$D$51/12)*RATES!$N104/100</f>
        <v>8.4583333333333339</v>
      </c>
      <c r="J128" s="16">
        <f t="shared" si="68"/>
        <v>-181.79798054518204</v>
      </c>
      <c r="K128" s="15">
        <f t="shared" si="69"/>
        <v>22.170849845882874</v>
      </c>
      <c r="L128" s="75">
        <f>K128*(1-PARAM!$C$27)*$I$5+(MOD($B128,60)=PARAM!$B$56)*($B128&gt;(60-PARAM!$B$56))*HLOOKUP(($B128+PARAM!$B$56)/12,Loyalty,2)*$F$1*MAX(N127,0)</f>
        <v>18.557001321003963</v>
      </c>
      <c r="M128" s="75">
        <f>PARAM!$C$26+MAX($G$5-CHOOSE(PARAM!$B$44,MAX(0,N127*$F$1),0),0)*RATES!$L104/12+$H$5*(PARAM!$D$51/12)*RATES!$N104/100</f>
        <v>8.4583333333333339</v>
      </c>
      <c r="N128" s="16">
        <f t="shared" si="70"/>
        <v>-171.5260237780677</v>
      </c>
      <c r="O128" s="15">
        <f t="shared" si="71"/>
        <v>22.170849845882874</v>
      </c>
      <c r="P128" s="75">
        <f>O128*(1-PARAM!$C$27)*$I$6+(MOD($B128,60)=PARAM!$B$56)*($B128&gt;(60-PARAM!$B$56))*HLOOKUP(($B128+PARAM!$B$56)/12,Loyalty,2)*$F$1*MAX(R127,0)</f>
        <v>18.557001321003963</v>
      </c>
      <c r="Q128" s="75">
        <f>PARAM!$C$26+MAX($G$6-CHOOSE(PARAM!$B$44,MAX(0,R127*$F$1),0),0)*RATES!$L104/12+$H$6*(PARAM!$D$51/12)*RATES!$N104/100</f>
        <v>8.4583333333333339</v>
      </c>
      <c r="R128" s="16">
        <f t="shared" si="72"/>
        <v>-171.5260237780677</v>
      </c>
      <c r="S128" s="15">
        <f t="shared" si="47"/>
        <v>22.170849845882874</v>
      </c>
      <c r="T128" s="75">
        <f>S128*(1-PARAM!$C$27)*$I$7+(MOD($B128,60)=PARAM!$B$56)*($B128&gt;(60-PARAM!$B$56))*HLOOKUP(($B128+PARAM!$B$56)/12,Loyalty,2)*$F$1*MAX(V127,0)</f>
        <v>18.557001321003963</v>
      </c>
      <c r="U128" s="75">
        <f>PARAM!$C$26+MAX($G$7-CHOOSE(PARAM!$B$44,MAX(0,V127*$F$1),0),0)*RATES!$L104/12+$H$7*(PARAM!$D$51/12)*RATES!$N104/100</f>
        <v>8.4583333333333339</v>
      </c>
      <c r="V128" s="16">
        <f t="shared" si="73"/>
        <v>-171.5260237780677</v>
      </c>
      <c r="W128" s="15">
        <f t="shared" si="48"/>
        <v>22.170849845882874</v>
      </c>
      <c r="X128" s="75">
        <f>W128*(1-PARAM!$C$27)*$I$8+(MOD($B128,60)=PARAM!$B$56)*($B128&gt;(60-PARAM!$B$56))*HLOOKUP(($B128+PARAM!$B$56)/12,Loyalty,2)*$F$1*MAX(Z127,0)</f>
        <v>18.557001321003963</v>
      </c>
      <c r="Y128" s="75">
        <f>PARAM!$C$26+MAX($G$8-CHOOSE(PARAM!$B$44,MAX(0,Z127*$F$1),0),0)*RATES!$L104/12+$H$8*(PARAM!$D$51/12)*RATES!$N104/100</f>
        <v>8.4583333333333339</v>
      </c>
      <c r="Z128" s="16">
        <f t="shared" si="74"/>
        <v>-171.5260237780677</v>
      </c>
      <c r="AA128" s="15">
        <f t="shared" si="49"/>
        <v>22.170849845882874</v>
      </c>
      <c r="AB128" s="75">
        <f>AA128*(1-PARAM!$C$27)*$I$9+(MOD($B128,60)=PARAM!$B$56)*($B128&gt;(60-PARAM!$B$56))*HLOOKUP(($B128+PARAM!$B$56)/12,Loyalty,2)*$F$1*MAX(AD127,0)</f>
        <v>18.557001321003963</v>
      </c>
      <c r="AC128" s="75">
        <f>PARAM!$C$26+MAX($G$9-CHOOSE(PARAM!$B$44,MAX(0,AD127*$F$1),0),0)*RATES!$L104/12+$H$9*(PARAM!$D$51/12)*RATES!$N104/100</f>
        <v>8.4583333333333339</v>
      </c>
      <c r="AD128" s="16">
        <f t="shared" si="75"/>
        <v>-171.5260237780677</v>
      </c>
      <c r="AE128" s="15">
        <f t="shared" si="50"/>
        <v>22.170849845882874</v>
      </c>
      <c r="AF128" s="75">
        <f>AE128*(1-PARAM!$C$27)*$I$10+(MOD($B128,60)=PARAM!$B$56)*($B128&gt;(60-PARAM!$B$56))*HLOOKUP(($B128+PARAM!$B$56)/12,Loyalty,2)*$F$1*MAX(AH127,0)</f>
        <v>18.557001321003963</v>
      </c>
      <c r="AG128" s="75">
        <f>PARAM!$C$26+MAX($G$10-CHOOSE(PARAM!$B$44,MAX(0,AH127*$F$1),0),0)*RATES!$L104/12+$H$10*(PARAM!$D$51/12)*RATES!$N104/100</f>
        <v>8.4583333333333339</v>
      </c>
      <c r="AH128" s="16">
        <f t="shared" si="76"/>
        <v>-171.5260237780677</v>
      </c>
      <c r="AI128" s="15">
        <f t="shared" si="51"/>
        <v>22.170849845882874</v>
      </c>
      <c r="AJ128" s="75">
        <f>AI128*(1-PARAM!$C$27)*$I$11+(MOD($B128,60)=PARAM!$B$56)*($B128&gt;(60-PARAM!$B$56))*HLOOKUP(($B128+PARAM!$B$56)/12,Loyalty,2)*$F$1*MAX(AL127,0)</f>
        <v>18.557001321003963</v>
      </c>
      <c r="AK128" s="75">
        <f>PARAM!$C$26+MAX($G$11-CHOOSE(PARAM!$B$44,MAX(0,AL127*$F$1),0),0)*RATES!$L104/12+$H$11*(PARAM!$D$51/12)*RATES!$N104/100</f>
        <v>8.4583333333333339</v>
      </c>
      <c r="AL128" s="16">
        <f t="shared" si="77"/>
        <v>-171.5260237780677</v>
      </c>
      <c r="AM128" s="15">
        <f t="shared" si="52"/>
        <v>22.170849845882874</v>
      </c>
      <c r="AN128" s="75">
        <f>AM128*(1-PARAM!$C$27)*$I$12+(MOD($B128,60)=PARAM!$B$56)*($B128&gt;(60-PARAM!$B$56))*HLOOKUP(($B128+PARAM!$B$56)/12,Loyalty,2)*$F$1*MAX(AP127,0)</f>
        <v>18.557001321003963</v>
      </c>
      <c r="AO128" s="75">
        <f>PARAM!$C$26+MAX($G$12-CHOOSE(PARAM!$B$44,MAX(0,AP127*$F$1),0),0)*RATES!$L104/12+$H$12*(PARAM!$D$51/12)*RATES!$N104/100</f>
        <v>8.4583333333333339</v>
      </c>
      <c r="AP128" s="16">
        <f t="shared" si="78"/>
        <v>-171.5260237780677</v>
      </c>
      <c r="AQ128" s="15">
        <f t="shared" si="53"/>
        <v>22.170849845882874</v>
      </c>
      <c r="AR128" s="75">
        <f>AQ128*(1-PARAM!$C$27)*$I$13+(MOD($B128,60)=PARAM!$B$56)*($B128&gt;(60-PARAM!$B$56))*HLOOKUP(($B128+PARAM!$B$56)/12,Loyalty,2)*$F$1*MAX(AT127,0)</f>
        <v>18.557001321003963</v>
      </c>
      <c r="AS128" s="75">
        <f>PARAM!$C$26+MAX($G$13-CHOOSE(PARAM!$B$44,MAX(0,AT127*$F$1),0),0)*RATES!$L104/12+$H$13*(PARAM!$D$51/12)*RATES!$N104/100</f>
        <v>8.4583333333333339</v>
      </c>
      <c r="AT128" s="16">
        <f t="shared" si="79"/>
        <v>-171.5260237780677</v>
      </c>
      <c r="AU128" s="15">
        <f t="shared" si="54"/>
        <v>22.170849845882874</v>
      </c>
      <c r="AV128" s="75">
        <f>AU128*(1-PARAM!$C$27)*$I$14+(MOD($B128,60)=PARAM!$B$56)*($B128&gt;(60-PARAM!$B$56))*HLOOKUP(($B128+PARAM!$B$56)/12,Loyalty,2)*$F$1*MAX(AX127,0)</f>
        <v>18.557001321003963</v>
      </c>
      <c r="AW128" s="75">
        <f>PARAM!$C$26+MAX($G$14-CHOOSE(PARAM!$B$44,MAX(0,AX127*$F$1),0),0)*RATES!$L104/12+$H$14*(PARAM!$D$51/12)*RATES!$N104/100</f>
        <v>8.4583333333333339</v>
      </c>
      <c r="AX128" s="16">
        <f t="shared" si="80"/>
        <v>-171.5260237780677</v>
      </c>
      <c r="AY128" s="15">
        <f t="shared" si="55"/>
        <v>22.170849845882874</v>
      </c>
      <c r="AZ128" s="75">
        <f>AY128*(1-PARAM!$C$27)*$I$15+(MOD($B128,60)=PARAM!$B$56)*($B128&gt;(60-PARAM!$B$56))*HLOOKUP(($B128+PARAM!$B$56)/12,Loyalty,2)*$F$1*MAX(BB127,0)</f>
        <v>18.557001321003963</v>
      </c>
      <c r="BA128" s="75">
        <f>PARAM!$C$26+MAX($G$15-CHOOSE(PARAM!$B$44,MAX(0,BB127*$F$1),0),0)*RATES!$L104/12+$H$15*(PARAM!$D$51/12)*RATES!$N104/100</f>
        <v>8.4583333333333339</v>
      </c>
      <c r="BB128" s="16">
        <f t="shared" si="81"/>
        <v>-171.5260237780677</v>
      </c>
      <c r="BC128" s="15">
        <f t="shared" si="56"/>
        <v>22.170849845882874</v>
      </c>
      <c r="BD128" s="75">
        <f>BC128*(1-PARAM!$C$27)*$I$16+(MOD($B128,60)=PARAM!$B$56)*($B128&gt;(60-PARAM!$B$56))*HLOOKUP(($B128+PARAM!$B$56)/12,Loyalty,2)*$F$1*MAX(BF127,0)</f>
        <v>18.557001321003963</v>
      </c>
      <c r="BE128" s="75">
        <f>PARAM!$C$26+MAX($G$16-CHOOSE(PARAM!$B$44,MAX(0,BF127*$F$1),0),0)*RATES!$L104/12+$H$16*(PARAM!$D$51/12)*RATES!$N104/100</f>
        <v>8.4583333333333339</v>
      </c>
      <c r="BF128" s="16">
        <f t="shared" si="82"/>
        <v>-171.5260237780677</v>
      </c>
      <c r="BG128" s="15">
        <f t="shared" si="57"/>
        <v>22.170849845882874</v>
      </c>
      <c r="BH128" s="75">
        <f>BG128*(1-PARAM!$C$27)*$I$17+(MOD($B128,60)=PARAM!$B$56)*($B128&gt;(60-PARAM!$B$56))*HLOOKUP(($B128+PARAM!$B$56)/12,Loyalty,2)*$F$1*MAX(BJ127,0)</f>
        <v>18.557001321003963</v>
      </c>
      <c r="BI128" s="75">
        <f>PARAM!$C$26+MAX($G$17-CHOOSE(PARAM!$B$44,MAX(0,BJ127*$F$1),0),0)*RATES!$L104/12+$H$17*(PARAM!$D$51/12)*RATES!$N104/100</f>
        <v>8.4583333333333339</v>
      </c>
      <c r="BJ128" s="16">
        <f t="shared" si="83"/>
        <v>-171.5260237780677</v>
      </c>
      <c r="BK128" s="15">
        <f t="shared" si="58"/>
        <v>22.170849845882874</v>
      </c>
      <c r="BL128" s="75">
        <f>BK128*(1-PARAM!$C$27)*$I$18+(MOD($B128,60)=PARAM!$B$56)*($B128&gt;(60-PARAM!$B$56))*HLOOKUP(($B128+PARAM!$B$56)/12,Loyalty,2)*$F$1*MAX(BN127,0)</f>
        <v>18.557001321003963</v>
      </c>
      <c r="BM128" s="75">
        <f>PARAM!$C$26+MAX($G$18-CHOOSE(PARAM!$B$44,MAX(0,BN127*$F$1),0),0)*RATES!$L104/12+$H$18*(PARAM!$D$51/12)*RATES!$N104/100</f>
        <v>8.4583333333333339</v>
      </c>
      <c r="BN128" s="16">
        <f t="shared" si="84"/>
        <v>-171.5260237780677</v>
      </c>
      <c r="BO128" s="15">
        <f t="shared" si="59"/>
        <v>22.170849845882874</v>
      </c>
      <c r="BP128" s="75">
        <f>BO128*(1-PARAM!$C$27)*$I$19+(MOD($B128,60)=PARAM!$B$56)*($B128&gt;(60-PARAM!$B$56))*HLOOKUP(($B128+PARAM!$B$56)/12,Loyalty,2)*$F$1*MAX(BR127,0)</f>
        <v>18.557001321003963</v>
      </c>
      <c r="BQ128" s="75">
        <f>PARAM!$C$26+MAX($G$19-CHOOSE(PARAM!$B$44,MAX(0,BR127*$F$1),0),0)*RATES!$L104/12+$H$19*(PARAM!$D$51/12)*RATES!$N104/100</f>
        <v>8.4583333333333339</v>
      </c>
      <c r="BR128" s="16">
        <f t="shared" si="85"/>
        <v>-171.5260237780677</v>
      </c>
      <c r="BS128" s="15">
        <f t="shared" si="60"/>
        <v>22.170849845882874</v>
      </c>
      <c r="BT128" s="75">
        <f>BS128*(1-PARAM!$C$27)*$I$20+(MOD($B128,60)=PARAM!$B$56)*($B128&gt;(60-PARAM!$B$56))*HLOOKUP(($B128+PARAM!$B$56)/12,Loyalty,2)*$F$1*MAX(BV127,0)</f>
        <v>18.557001321003963</v>
      </c>
      <c r="BU128" s="75">
        <f>PARAM!$C$26+MAX($G$20-CHOOSE(PARAM!$B$44,MAX(0,BV127*$F$1),0),0)*RATES!$L104/12+$H$20*(PARAM!$D$51/12)*RATES!$N104/100</f>
        <v>8.4583333333333339</v>
      </c>
      <c r="BV128" s="16">
        <f t="shared" si="86"/>
        <v>-171.5260237780677</v>
      </c>
      <c r="BW128" s="15">
        <f t="shared" si="61"/>
        <v>22.170849845882874</v>
      </c>
      <c r="BX128" s="75">
        <f>BW128*(1-PARAM!$C$27)*$I$21+(MOD($B128,60)=PARAM!$B$56)*($B128&gt;(60-PARAM!$B$56))*HLOOKUP(($B128+PARAM!$B$56)/12,Loyalty,2)*$F$1*MAX(BZ127,0)</f>
        <v>18.557001321003963</v>
      </c>
      <c r="BY128" s="75">
        <f>PARAM!$C$26+MAX($G$21-CHOOSE(PARAM!$B$44,MAX(0,BZ127*$F$1),0),0)*RATES!$L104/12+$H$21*(PARAM!$D$51/12)*RATES!$N104/100</f>
        <v>8.4583333333333339</v>
      </c>
      <c r="BZ128" s="16">
        <f t="shared" si="87"/>
        <v>-171.5260237780677</v>
      </c>
      <c r="CA128" s="15">
        <f t="shared" si="62"/>
        <v>22.170849845882874</v>
      </c>
      <c r="CB128" s="75">
        <f>CA128*(1-PARAM!$C$27)*$I$22+(MOD($B128,60)=PARAM!$B$56)*($B128&gt;(60-PARAM!$B$56))*HLOOKUP(($B128+PARAM!$B$56)/12,Loyalty,2)*$F$1*MAX(CD127,0)</f>
        <v>18.557001321003963</v>
      </c>
      <c r="CC128" s="75">
        <f>PARAM!$C$26+MAX($G$22-CHOOSE(PARAM!$B$44,MAX(0,CD127*$F$1),0),0)*RATES!$L104/12+$H$22*(PARAM!$D$51/12)*RATES!$N104/100</f>
        <v>8.4583333333333339</v>
      </c>
      <c r="CD128" s="16">
        <f t="shared" si="88"/>
        <v>-171.5260237780677</v>
      </c>
      <c r="CE128" s="33">
        <f>IF(0=MOD(B128,12/PARAM!$D$51),1,0)</f>
        <v>1</v>
      </c>
      <c r="CF128" s="15">
        <f t="shared" si="63"/>
        <v>0</v>
      </c>
      <c r="CG128" s="75">
        <f>CF128*(1-PARAM!$C$27)*$R$3+(MOD($B128/12,5)=0)*($B128&gt;60)*HLOOKUP($B128/12,Loyalty,2)*$F$1*MAX(CI127,0)</f>
        <v>0</v>
      </c>
      <c r="CH128" s="75">
        <f>PARAM!$C$26+MAX($P$3-CHOOSE(PARAM!$B$44,MAX(0,CI127*$F$1),0),0)*RATES!$L104/12+$Q$3*(PARAM!$D$51/12)*RATES!$N104/100</f>
        <v>8.4583333333333339</v>
      </c>
      <c r="CI128" s="16">
        <f>IF(CI127&gt;0,CI127*PARAM!$C$53,CI127)+CG128-CH128</f>
        <v>-1851.4999999999991</v>
      </c>
      <c r="CJ128" s="15">
        <f t="shared" si="89"/>
        <v>0</v>
      </c>
      <c r="CK128" s="75">
        <f>CJ128*(1-PARAM!$C$27)*$R$4+(MOD($B128/12,5)=0)*($B128&gt;60)*HLOOKUP($B128/12,Loyalty,2)*$F$1*MAX(CM127,0)</f>
        <v>0</v>
      </c>
      <c r="CL128" s="75">
        <f>PARAM!$C$26+MAX($P$4-CHOOSE(PARAM!$B$44,MAX(0,CM127*$F$1),0),0)*RATES!$L104/12+$Q$4*(PARAM!$D$51/12)*RATES!$N104/100</f>
        <v>8.4583333333333339</v>
      </c>
      <c r="CM128" s="16">
        <f>IF(CM127&gt;0,CM127*PARAM!$C$53,CM127)+CK128-CL128</f>
        <v>-1851.4999999999991</v>
      </c>
      <c r="CO128" s="176"/>
    </row>
    <row r="129" spans="1:93" x14ac:dyDescent="0.2">
      <c r="A129" t="b">
        <f t="shared" si="64"/>
        <v>0</v>
      </c>
      <c r="B129" s="33">
        <v>102</v>
      </c>
      <c r="C129" s="15">
        <f t="shared" si="65"/>
        <v>20.081305947392778</v>
      </c>
      <c r="D129" s="75">
        <f>C129*(1-PARAM!$C$27)*$I$3+(MOD($B129,60)=PARAM!$B$56)*($B129&gt;(60-PARAM!$B$56))*HLOOKUP(($B129+PARAM!$B$56)/12,Loyalty,2)*$F$1*MAX(F128,0)</f>
        <v>16.808053077967756</v>
      </c>
      <c r="E129" s="75">
        <f>PARAM!$C$26+MAX($G$3-CHOOSE(PARAM!$B$44,MAX(0,F128*$F$1),0),0)*RATES!$L105/12+$H$3*(PARAM!$D$51/12)*RATES!$N105/100</f>
        <v>8.875</v>
      </c>
      <c r="F129" s="16">
        <f t="shared" si="66"/>
        <v>-321.92607006428955</v>
      </c>
      <c r="G129" s="15">
        <f t="shared" si="67"/>
        <v>22.035289406060361</v>
      </c>
      <c r="H129" s="75">
        <f>G129*(1-PARAM!$C$27)*$I$4+(MOD($B129,60)=PARAM!$B$56)*($B129&gt;(60-PARAM!$B$56))*HLOOKUP(($B129+PARAM!$B$56)/12,Loyalty,2)*$F$1*MAX(J128,0)</f>
        <v>18.443537232872522</v>
      </c>
      <c r="I129" s="75">
        <f>PARAM!$C$26+MAX($G$4-CHOOSE(PARAM!$B$44,MAX(0,J128*$F$1),0),0)*RATES!$L105/12+$H$4*(PARAM!$D$51/12)*RATES!$N105/100</f>
        <v>8.875</v>
      </c>
      <c r="J129" s="16">
        <f t="shared" si="68"/>
        <v>-172.22944331230951</v>
      </c>
      <c r="K129" s="15">
        <f t="shared" si="69"/>
        <v>22.170849845882874</v>
      </c>
      <c r="L129" s="75">
        <f>K129*(1-PARAM!$C$27)*$I$5+(MOD($B129,60)=PARAM!$B$56)*($B129&gt;(60-PARAM!$B$56))*HLOOKUP(($B129+PARAM!$B$56)/12,Loyalty,2)*$F$1*MAX(N128,0)</f>
        <v>18.557001321003963</v>
      </c>
      <c r="M129" s="75">
        <f>PARAM!$C$26+MAX($G$5-CHOOSE(PARAM!$B$44,MAX(0,N128*$F$1),0),0)*RATES!$L105/12+$H$5*(PARAM!$D$51/12)*RATES!$N105/100</f>
        <v>8.875</v>
      </c>
      <c r="N129" s="16">
        <f t="shared" si="70"/>
        <v>-161.84402245706374</v>
      </c>
      <c r="O129" s="15">
        <f t="shared" si="71"/>
        <v>22.170849845882874</v>
      </c>
      <c r="P129" s="75">
        <f>O129*(1-PARAM!$C$27)*$I$6+(MOD($B129,60)=PARAM!$B$56)*($B129&gt;(60-PARAM!$B$56))*HLOOKUP(($B129+PARAM!$B$56)/12,Loyalty,2)*$F$1*MAX(R128,0)</f>
        <v>18.557001321003963</v>
      </c>
      <c r="Q129" s="75">
        <f>PARAM!$C$26+MAX($G$6-CHOOSE(PARAM!$B$44,MAX(0,R128*$F$1),0),0)*RATES!$L105/12+$H$6*(PARAM!$D$51/12)*RATES!$N105/100</f>
        <v>8.875</v>
      </c>
      <c r="R129" s="16">
        <f t="shared" si="72"/>
        <v>-161.84402245706374</v>
      </c>
      <c r="S129" s="15">
        <f t="shared" si="47"/>
        <v>22.170849845882874</v>
      </c>
      <c r="T129" s="75">
        <f>S129*(1-PARAM!$C$27)*$I$7+(MOD($B129,60)=PARAM!$B$56)*($B129&gt;(60-PARAM!$B$56))*HLOOKUP(($B129+PARAM!$B$56)/12,Loyalty,2)*$F$1*MAX(V128,0)</f>
        <v>18.557001321003963</v>
      </c>
      <c r="U129" s="75">
        <f>PARAM!$C$26+MAX($G$7-CHOOSE(PARAM!$B$44,MAX(0,V128*$F$1),0),0)*RATES!$L105/12+$H$7*(PARAM!$D$51/12)*RATES!$N105/100</f>
        <v>8.875</v>
      </c>
      <c r="V129" s="16">
        <f t="shared" si="73"/>
        <v>-161.84402245706374</v>
      </c>
      <c r="W129" s="15">
        <f t="shared" si="48"/>
        <v>22.170849845882874</v>
      </c>
      <c r="X129" s="75">
        <f>W129*(1-PARAM!$C$27)*$I$8+(MOD($B129,60)=PARAM!$B$56)*($B129&gt;(60-PARAM!$B$56))*HLOOKUP(($B129+PARAM!$B$56)/12,Loyalty,2)*$F$1*MAX(Z128,0)</f>
        <v>18.557001321003963</v>
      </c>
      <c r="Y129" s="75">
        <f>PARAM!$C$26+MAX($G$8-CHOOSE(PARAM!$B$44,MAX(0,Z128*$F$1),0),0)*RATES!$L105/12+$H$8*(PARAM!$D$51/12)*RATES!$N105/100</f>
        <v>8.875</v>
      </c>
      <c r="Z129" s="16">
        <f t="shared" si="74"/>
        <v>-161.84402245706374</v>
      </c>
      <c r="AA129" s="15">
        <f t="shared" si="49"/>
        <v>22.170849845882874</v>
      </c>
      <c r="AB129" s="75">
        <f>AA129*(1-PARAM!$C$27)*$I$9+(MOD($B129,60)=PARAM!$B$56)*($B129&gt;(60-PARAM!$B$56))*HLOOKUP(($B129+PARAM!$B$56)/12,Loyalty,2)*$F$1*MAX(AD128,0)</f>
        <v>18.557001321003963</v>
      </c>
      <c r="AC129" s="75">
        <f>PARAM!$C$26+MAX($G$9-CHOOSE(PARAM!$B$44,MAX(0,AD128*$F$1),0),0)*RATES!$L105/12+$H$9*(PARAM!$D$51/12)*RATES!$N105/100</f>
        <v>8.875</v>
      </c>
      <c r="AD129" s="16">
        <f t="shared" si="75"/>
        <v>-161.84402245706374</v>
      </c>
      <c r="AE129" s="15">
        <f t="shared" si="50"/>
        <v>22.170849845882874</v>
      </c>
      <c r="AF129" s="75">
        <f>AE129*(1-PARAM!$C$27)*$I$10+(MOD($B129,60)=PARAM!$B$56)*($B129&gt;(60-PARAM!$B$56))*HLOOKUP(($B129+PARAM!$B$56)/12,Loyalty,2)*$F$1*MAX(AH128,0)</f>
        <v>18.557001321003963</v>
      </c>
      <c r="AG129" s="75">
        <f>PARAM!$C$26+MAX($G$10-CHOOSE(PARAM!$B$44,MAX(0,AH128*$F$1),0),0)*RATES!$L105/12+$H$10*(PARAM!$D$51/12)*RATES!$N105/100</f>
        <v>8.875</v>
      </c>
      <c r="AH129" s="16">
        <f t="shared" si="76"/>
        <v>-161.84402245706374</v>
      </c>
      <c r="AI129" s="15">
        <f t="shared" si="51"/>
        <v>22.170849845882874</v>
      </c>
      <c r="AJ129" s="75">
        <f>AI129*(1-PARAM!$C$27)*$I$11+(MOD($B129,60)=PARAM!$B$56)*($B129&gt;(60-PARAM!$B$56))*HLOOKUP(($B129+PARAM!$B$56)/12,Loyalty,2)*$F$1*MAX(AL128,0)</f>
        <v>18.557001321003963</v>
      </c>
      <c r="AK129" s="75">
        <f>PARAM!$C$26+MAX($G$11-CHOOSE(PARAM!$B$44,MAX(0,AL128*$F$1),0),0)*RATES!$L105/12+$H$11*(PARAM!$D$51/12)*RATES!$N105/100</f>
        <v>8.875</v>
      </c>
      <c r="AL129" s="16">
        <f t="shared" si="77"/>
        <v>-161.84402245706374</v>
      </c>
      <c r="AM129" s="15">
        <f t="shared" si="52"/>
        <v>22.170849845882874</v>
      </c>
      <c r="AN129" s="75">
        <f>AM129*(1-PARAM!$C$27)*$I$12+(MOD($B129,60)=PARAM!$B$56)*($B129&gt;(60-PARAM!$B$56))*HLOOKUP(($B129+PARAM!$B$56)/12,Loyalty,2)*$F$1*MAX(AP128,0)</f>
        <v>18.557001321003963</v>
      </c>
      <c r="AO129" s="75">
        <f>PARAM!$C$26+MAX($G$12-CHOOSE(PARAM!$B$44,MAX(0,AP128*$F$1),0),0)*RATES!$L105/12+$H$12*(PARAM!$D$51/12)*RATES!$N105/100</f>
        <v>8.875</v>
      </c>
      <c r="AP129" s="16">
        <f t="shared" si="78"/>
        <v>-161.84402245706374</v>
      </c>
      <c r="AQ129" s="15">
        <f t="shared" si="53"/>
        <v>22.170849845882874</v>
      </c>
      <c r="AR129" s="75">
        <f>AQ129*(1-PARAM!$C$27)*$I$13+(MOD($B129,60)=PARAM!$B$56)*($B129&gt;(60-PARAM!$B$56))*HLOOKUP(($B129+PARAM!$B$56)/12,Loyalty,2)*$F$1*MAX(AT128,0)</f>
        <v>18.557001321003963</v>
      </c>
      <c r="AS129" s="75">
        <f>PARAM!$C$26+MAX($G$13-CHOOSE(PARAM!$B$44,MAX(0,AT128*$F$1),0),0)*RATES!$L105/12+$H$13*(PARAM!$D$51/12)*RATES!$N105/100</f>
        <v>8.875</v>
      </c>
      <c r="AT129" s="16">
        <f t="shared" si="79"/>
        <v>-161.84402245706374</v>
      </c>
      <c r="AU129" s="15">
        <f t="shared" si="54"/>
        <v>22.170849845882874</v>
      </c>
      <c r="AV129" s="75">
        <f>AU129*(1-PARAM!$C$27)*$I$14+(MOD($B129,60)=PARAM!$B$56)*($B129&gt;(60-PARAM!$B$56))*HLOOKUP(($B129+PARAM!$B$56)/12,Loyalty,2)*$F$1*MAX(AX128,0)</f>
        <v>18.557001321003963</v>
      </c>
      <c r="AW129" s="75">
        <f>PARAM!$C$26+MAX($G$14-CHOOSE(PARAM!$B$44,MAX(0,AX128*$F$1),0),0)*RATES!$L105/12+$H$14*(PARAM!$D$51/12)*RATES!$N105/100</f>
        <v>8.875</v>
      </c>
      <c r="AX129" s="16">
        <f t="shared" si="80"/>
        <v>-161.84402245706374</v>
      </c>
      <c r="AY129" s="15">
        <f t="shared" si="55"/>
        <v>22.170849845882874</v>
      </c>
      <c r="AZ129" s="75">
        <f>AY129*(1-PARAM!$C$27)*$I$15+(MOD($B129,60)=PARAM!$B$56)*($B129&gt;(60-PARAM!$B$56))*HLOOKUP(($B129+PARAM!$B$56)/12,Loyalty,2)*$F$1*MAX(BB128,0)</f>
        <v>18.557001321003963</v>
      </c>
      <c r="BA129" s="75">
        <f>PARAM!$C$26+MAX($G$15-CHOOSE(PARAM!$B$44,MAX(0,BB128*$F$1),0),0)*RATES!$L105/12+$H$15*(PARAM!$D$51/12)*RATES!$N105/100</f>
        <v>8.875</v>
      </c>
      <c r="BB129" s="16">
        <f t="shared" si="81"/>
        <v>-161.84402245706374</v>
      </c>
      <c r="BC129" s="15">
        <f t="shared" si="56"/>
        <v>22.170849845882874</v>
      </c>
      <c r="BD129" s="75">
        <f>BC129*(1-PARAM!$C$27)*$I$16+(MOD($B129,60)=PARAM!$B$56)*($B129&gt;(60-PARAM!$B$56))*HLOOKUP(($B129+PARAM!$B$56)/12,Loyalty,2)*$F$1*MAX(BF128,0)</f>
        <v>18.557001321003963</v>
      </c>
      <c r="BE129" s="75">
        <f>PARAM!$C$26+MAX($G$16-CHOOSE(PARAM!$B$44,MAX(0,BF128*$F$1),0),0)*RATES!$L105/12+$H$16*(PARAM!$D$51/12)*RATES!$N105/100</f>
        <v>8.875</v>
      </c>
      <c r="BF129" s="16">
        <f t="shared" si="82"/>
        <v>-161.84402245706374</v>
      </c>
      <c r="BG129" s="15">
        <f t="shared" si="57"/>
        <v>22.170849845882874</v>
      </c>
      <c r="BH129" s="75">
        <f>BG129*(1-PARAM!$C$27)*$I$17+(MOD($B129,60)=PARAM!$B$56)*($B129&gt;(60-PARAM!$B$56))*HLOOKUP(($B129+PARAM!$B$56)/12,Loyalty,2)*$F$1*MAX(BJ128,0)</f>
        <v>18.557001321003963</v>
      </c>
      <c r="BI129" s="75">
        <f>PARAM!$C$26+MAX($G$17-CHOOSE(PARAM!$B$44,MAX(0,BJ128*$F$1),0),0)*RATES!$L105/12+$H$17*(PARAM!$D$51/12)*RATES!$N105/100</f>
        <v>8.875</v>
      </c>
      <c r="BJ129" s="16">
        <f t="shared" si="83"/>
        <v>-161.84402245706374</v>
      </c>
      <c r="BK129" s="15">
        <f t="shared" si="58"/>
        <v>22.170849845882874</v>
      </c>
      <c r="BL129" s="75">
        <f>BK129*(1-PARAM!$C$27)*$I$18+(MOD($B129,60)=PARAM!$B$56)*($B129&gt;(60-PARAM!$B$56))*HLOOKUP(($B129+PARAM!$B$56)/12,Loyalty,2)*$F$1*MAX(BN128,0)</f>
        <v>18.557001321003963</v>
      </c>
      <c r="BM129" s="75">
        <f>PARAM!$C$26+MAX($G$18-CHOOSE(PARAM!$B$44,MAX(0,BN128*$F$1),0),0)*RATES!$L105/12+$H$18*(PARAM!$D$51/12)*RATES!$N105/100</f>
        <v>8.875</v>
      </c>
      <c r="BN129" s="16">
        <f t="shared" si="84"/>
        <v>-161.84402245706374</v>
      </c>
      <c r="BO129" s="15">
        <f t="shared" si="59"/>
        <v>22.170849845882874</v>
      </c>
      <c r="BP129" s="75">
        <f>BO129*(1-PARAM!$C$27)*$I$19+(MOD($B129,60)=PARAM!$B$56)*($B129&gt;(60-PARAM!$B$56))*HLOOKUP(($B129+PARAM!$B$56)/12,Loyalty,2)*$F$1*MAX(BR128,0)</f>
        <v>18.557001321003963</v>
      </c>
      <c r="BQ129" s="75">
        <f>PARAM!$C$26+MAX($G$19-CHOOSE(PARAM!$B$44,MAX(0,BR128*$F$1),0),0)*RATES!$L105/12+$H$19*(PARAM!$D$51/12)*RATES!$N105/100</f>
        <v>8.875</v>
      </c>
      <c r="BR129" s="16">
        <f t="shared" si="85"/>
        <v>-161.84402245706374</v>
      </c>
      <c r="BS129" s="15">
        <f t="shared" si="60"/>
        <v>22.170849845882874</v>
      </c>
      <c r="BT129" s="75">
        <f>BS129*(1-PARAM!$C$27)*$I$20+(MOD($B129,60)=PARAM!$B$56)*($B129&gt;(60-PARAM!$B$56))*HLOOKUP(($B129+PARAM!$B$56)/12,Loyalty,2)*$F$1*MAX(BV128,0)</f>
        <v>18.557001321003963</v>
      </c>
      <c r="BU129" s="75">
        <f>PARAM!$C$26+MAX($G$20-CHOOSE(PARAM!$B$44,MAX(0,BV128*$F$1),0),0)*RATES!$L105/12+$H$20*(PARAM!$D$51/12)*RATES!$N105/100</f>
        <v>8.875</v>
      </c>
      <c r="BV129" s="16">
        <f t="shared" si="86"/>
        <v>-161.84402245706374</v>
      </c>
      <c r="BW129" s="15">
        <f t="shared" si="61"/>
        <v>22.170849845882874</v>
      </c>
      <c r="BX129" s="75">
        <f>BW129*(1-PARAM!$C$27)*$I$21+(MOD($B129,60)=PARAM!$B$56)*($B129&gt;(60-PARAM!$B$56))*HLOOKUP(($B129+PARAM!$B$56)/12,Loyalty,2)*$F$1*MAX(BZ128,0)</f>
        <v>18.557001321003963</v>
      </c>
      <c r="BY129" s="75">
        <f>PARAM!$C$26+MAX($G$21-CHOOSE(PARAM!$B$44,MAX(0,BZ128*$F$1),0),0)*RATES!$L105/12+$H$21*(PARAM!$D$51/12)*RATES!$N105/100</f>
        <v>8.875</v>
      </c>
      <c r="BZ129" s="16">
        <f t="shared" si="87"/>
        <v>-161.84402245706374</v>
      </c>
      <c r="CA129" s="15">
        <f t="shared" si="62"/>
        <v>22.170849845882874</v>
      </c>
      <c r="CB129" s="75">
        <f>CA129*(1-PARAM!$C$27)*$I$22+(MOD($B129,60)=PARAM!$B$56)*($B129&gt;(60-PARAM!$B$56))*HLOOKUP(($B129+PARAM!$B$56)/12,Loyalty,2)*$F$1*MAX(CD128,0)</f>
        <v>18.557001321003963</v>
      </c>
      <c r="CC129" s="75">
        <f>PARAM!$C$26+MAX($G$22-CHOOSE(PARAM!$B$44,MAX(0,CD128*$F$1),0),0)*RATES!$L105/12+$H$22*(PARAM!$D$51/12)*RATES!$N105/100</f>
        <v>8.875</v>
      </c>
      <c r="CD129" s="16">
        <f t="shared" si="88"/>
        <v>-161.84402245706374</v>
      </c>
      <c r="CE129" s="33">
        <f>IF(0=MOD(B129,12/PARAM!$D$51),1,0)</f>
        <v>1</v>
      </c>
      <c r="CF129" s="15">
        <f t="shared" si="63"/>
        <v>0</v>
      </c>
      <c r="CG129" s="75">
        <f>CF129*(1-PARAM!$C$27)*$R$3+(MOD($B129/12,5)=0)*($B129&gt;60)*HLOOKUP($B129/12,Loyalty,2)*$F$1*MAX(CI128,0)</f>
        <v>0</v>
      </c>
      <c r="CH129" s="75">
        <f>PARAM!$C$26+MAX($P$3-CHOOSE(PARAM!$B$44,MAX(0,CI128*$F$1),0),0)*RATES!$L105/12+$Q$3*(PARAM!$D$51/12)*RATES!$N105/100</f>
        <v>8.875</v>
      </c>
      <c r="CI129" s="16">
        <f>IF(CI128&gt;0,CI128*PARAM!$C$53,CI128)+CG129-CH129</f>
        <v>-1860.3749999999991</v>
      </c>
      <c r="CJ129" s="15">
        <f t="shared" si="89"/>
        <v>0</v>
      </c>
      <c r="CK129" s="75">
        <f>CJ129*(1-PARAM!$C$27)*$R$4+(MOD($B129/12,5)=0)*($B129&gt;60)*HLOOKUP($B129/12,Loyalty,2)*$F$1*MAX(CM128,0)</f>
        <v>0</v>
      </c>
      <c r="CL129" s="75">
        <f>PARAM!$C$26+MAX($P$4-CHOOSE(PARAM!$B$44,MAX(0,CM128*$F$1),0),0)*RATES!$L105/12+$Q$4*(PARAM!$D$51/12)*RATES!$N105/100</f>
        <v>8.875</v>
      </c>
      <c r="CM129" s="16">
        <f>IF(CM128&gt;0,CM128*PARAM!$C$53,CM128)+CK129-CL129</f>
        <v>-1860.3749999999991</v>
      </c>
      <c r="CO129" s="176"/>
    </row>
    <row r="130" spans="1:93" x14ac:dyDescent="0.2">
      <c r="A130" t="b">
        <f t="shared" si="64"/>
        <v>0</v>
      </c>
      <c r="B130" s="33">
        <v>103</v>
      </c>
      <c r="C130" s="15">
        <f t="shared" si="65"/>
        <v>20.081305947392778</v>
      </c>
      <c r="D130" s="75">
        <f>C130*(1-PARAM!$C$27)*$I$3+(MOD($B130,60)=PARAM!$B$56)*($B130&gt;(60-PARAM!$B$56))*HLOOKUP(($B130+PARAM!$B$56)/12,Loyalty,2)*$F$1*MAX(F129,0)</f>
        <v>16.808053077967756</v>
      </c>
      <c r="E130" s="75">
        <f>PARAM!$C$26+MAX($G$3-CHOOSE(PARAM!$B$44,MAX(0,F129*$F$1),0),0)*RATES!$L106/12+$H$3*(PARAM!$D$51/12)*RATES!$N106/100</f>
        <v>8.875</v>
      </c>
      <c r="F130" s="16">
        <f t="shared" si="66"/>
        <v>-313.99301698632178</v>
      </c>
      <c r="G130" s="15">
        <f t="shared" si="67"/>
        <v>22.035289406060361</v>
      </c>
      <c r="H130" s="75">
        <f>G130*(1-PARAM!$C$27)*$I$4+(MOD($B130,60)=PARAM!$B$56)*($B130&gt;(60-PARAM!$B$56))*HLOOKUP(($B130+PARAM!$B$56)/12,Loyalty,2)*$F$1*MAX(J129,0)</f>
        <v>18.443537232872522</v>
      </c>
      <c r="I130" s="75">
        <f>PARAM!$C$26+MAX($G$4-CHOOSE(PARAM!$B$44,MAX(0,J129*$F$1),0),0)*RATES!$L106/12+$H$4*(PARAM!$D$51/12)*RATES!$N106/100</f>
        <v>8.875</v>
      </c>
      <c r="J130" s="16">
        <f t="shared" si="68"/>
        <v>-162.66090607943698</v>
      </c>
      <c r="K130" s="15">
        <f t="shared" si="69"/>
        <v>22.170849845882874</v>
      </c>
      <c r="L130" s="75">
        <f>K130*(1-PARAM!$C$27)*$I$5+(MOD($B130,60)=PARAM!$B$56)*($B130&gt;(60-PARAM!$B$56))*HLOOKUP(($B130+PARAM!$B$56)/12,Loyalty,2)*$F$1*MAX(N129,0)</f>
        <v>18.557001321003963</v>
      </c>
      <c r="M130" s="75">
        <f>PARAM!$C$26+MAX($G$5-CHOOSE(PARAM!$B$44,MAX(0,N129*$F$1),0),0)*RATES!$L106/12+$H$5*(PARAM!$D$51/12)*RATES!$N106/100</f>
        <v>8.875</v>
      </c>
      <c r="N130" s="16">
        <f t="shared" si="70"/>
        <v>-152.16202113605979</v>
      </c>
      <c r="O130" s="15">
        <f t="shared" si="71"/>
        <v>22.170849845882874</v>
      </c>
      <c r="P130" s="75">
        <f>O130*(1-PARAM!$C$27)*$I$6+(MOD($B130,60)=PARAM!$B$56)*($B130&gt;(60-PARAM!$B$56))*HLOOKUP(($B130+PARAM!$B$56)/12,Loyalty,2)*$F$1*MAX(R129,0)</f>
        <v>18.557001321003963</v>
      </c>
      <c r="Q130" s="75">
        <f>PARAM!$C$26+MAX($G$6-CHOOSE(PARAM!$B$44,MAX(0,R129*$F$1),0),0)*RATES!$L106/12+$H$6*(PARAM!$D$51/12)*RATES!$N106/100</f>
        <v>8.875</v>
      </c>
      <c r="R130" s="16">
        <f t="shared" si="72"/>
        <v>-152.16202113605979</v>
      </c>
      <c r="S130" s="15">
        <f t="shared" si="47"/>
        <v>22.170849845882874</v>
      </c>
      <c r="T130" s="75">
        <f>S130*(1-PARAM!$C$27)*$I$7+(MOD($B130,60)=PARAM!$B$56)*($B130&gt;(60-PARAM!$B$56))*HLOOKUP(($B130+PARAM!$B$56)/12,Loyalty,2)*$F$1*MAX(V129,0)</f>
        <v>18.557001321003963</v>
      </c>
      <c r="U130" s="75">
        <f>PARAM!$C$26+MAX($G$7-CHOOSE(PARAM!$B$44,MAX(0,V129*$F$1),0),0)*RATES!$L106/12+$H$7*(PARAM!$D$51/12)*RATES!$N106/100</f>
        <v>8.875</v>
      </c>
      <c r="V130" s="16">
        <f t="shared" si="73"/>
        <v>-152.16202113605979</v>
      </c>
      <c r="W130" s="15">
        <f t="shared" si="48"/>
        <v>22.170849845882874</v>
      </c>
      <c r="X130" s="75">
        <f>W130*(1-PARAM!$C$27)*$I$8+(MOD($B130,60)=PARAM!$B$56)*($B130&gt;(60-PARAM!$B$56))*HLOOKUP(($B130+PARAM!$B$56)/12,Loyalty,2)*$F$1*MAX(Z129,0)</f>
        <v>18.557001321003963</v>
      </c>
      <c r="Y130" s="75">
        <f>PARAM!$C$26+MAX($G$8-CHOOSE(PARAM!$B$44,MAX(0,Z129*$F$1),0),0)*RATES!$L106/12+$H$8*(PARAM!$D$51/12)*RATES!$N106/100</f>
        <v>8.875</v>
      </c>
      <c r="Z130" s="16">
        <f t="shared" si="74"/>
        <v>-152.16202113605979</v>
      </c>
      <c r="AA130" s="15">
        <f t="shared" si="49"/>
        <v>22.170849845882874</v>
      </c>
      <c r="AB130" s="75">
        <f>AA130*(1-PARAM!$C$27)*$I$9+(MOD($B130,60)=PARAM!$B$56)*($B130&gt;(60-PARAM!$B$56))*HLOOKUP(($B130+PARAM!$B$56)/12,Loyalty,2)*$F$1*MAX(AD129,0)</f>
        <v>18.557001321003963</v>
      </c>
      <c r="AC130" s="75">
        <f>PARAM!$C$26+MAX($G$9-CHOOSE(PARAM!$B$44,MAX(0,AD129*$F$1),0),0)*RATES!$L106/12+$H$9*(PARAM!$D$51/12)*RATES!$N106/100</f>
        <v>8.875</v>
      </c>
      <c r="AD130" s="16">
        <f t="shared" si="75"/>
        <v>-152.16202113605979</v>
      </c>
      <c r="AE130" s="15">
        <f t="shared" si="50"/>
        <v>22.170849845882874</v>
      </c>
      <c r="AF130" s="75">
        <f>AE130*(1-PARAM!$C$27)*$I$10+(MOD($B130,60)=PARAM!$B$56)*($B130&gt;(60-PARAM!$B$56))*HLOOKUP(($B130+PARAM!$B$56)/12,Loyalty,2)*$F$1*MAX(AH129,0)</f>
        <v>18.557001321003963</v>
      </c>
      <c r="AG130" s="75">
        <f>PARAM!$C$26+MAX($G$10-CHOOSE(PARAM!$B$44,MAX(0,AH129*$F$1),0),0)*RATES!$L106/12+$H$10*(PARAM!$D$51/12)*RATES!$N106/100</f>
        <v>8.875</v>
      </c>
      <c r="AH130" s="16">
        <f t="shared" si="76"/>
        <v>-152.16202113605979</v>
      </c>
      <c r="AI130" s="15">
        <f t="shared" si="51"/>
        <v>22.170849845882874</v>
      </c>
      <c r="AJ130" s="75">
        <f>AI130*(1-PARAM!$C$27)*$I$11+(MOD($B130,60)=PARAM!$B$56)*($B130&gt;(60-PARAM!$B$56))*HLOOKUP(($B130+PARAM!$B$56)/12,Loyalty,2)*$F$1*MAX(AL129,0)</f>
        <v>18.557001321003963</v>
      </c>
      <c r="AK130" s="75">
        <f>PARAM!$C$26+MAX($G$11-CHOOSE(PARAM!$B$44,MAX(0,AL129*$F$1),0),0)*RATES!$L106/12+$H$11*(PARAM!$D$51/12)*RATES!$N106/100</f>
        <v>8.875</v>
      </c>
      <c r="AL130" s="16">
        <f t="shared" si="77"/>
        <v>-152.16202113605979</v>
      </c>
      <c r="AM130" s="15">
        <f t="shared" si="52"/>
        <v>22.170849845882874</v>
      </c>
      <c r="AN130" s="75">
        <f>AM130*(1-PARAM!$C$27)*$I$12+(MOD($B130,60)=PARAM!$B$56)*($B130&gt;(60-PARAM!$B$56))*HLOOKUP(($B130+PARAM!$B$56)/12,Loyalty,2)*$F$1*MAX(AP129,0)</f>
        <v>18.557001321003963</v>
      </c>
      <c r="AO130" s="75">
        <f>PARAM!$C$26+MAX($G$12-CHOOSE(PARAM!$B$44,MAX(0,AP129*$F$1),0),0)*RATES!$L106/12+$H$12*(PARAM!$D$51/12)*RATES!$N106/100</f>
        <v>8.875</v>
      </c>
      <c r="AP130" s="16">
        <f t="shared" si="78"/>
        <v>-152.16202113605979</v>
      </c>
      <c r="AQ130" s="15">
        <f t="shared" si="53"/>
        <v>22.170849845882874</v>
      </c>
      <c r="AR130" s="75">
        <f>AQ130*(1-PARAM!$C$27)*$I$13+(MOD($B130,60)=PARAM!$B$56)*($B130&gt;(60-PARAM!$B$56))*HLOOKUP(($B130+PARAM!$B$56)/12,Loyalty,2)*$F$1*MAX(AT129,0)</f>
        <v>18.557001321003963</v>
      </c>
      <c r="AS130" s="75">
        <f>PARAM!$C$26+MAX($G$13-CHOOSE(PARAM!$B$44,MAX(0,AT129*$F$1),0),0)*RATES!$L106/12+$H$13*(PARAM!$D$51/12)*RATES!$N106/100</f>
        <v>8.875</v>
      </c>
      <c r="AT130" s="16">
        <f t="shared" si="79"/>
        <v>-152.16202113605979</v>
      </c>
      <c r="AU130" s="15">
        <f t="shared" si="54"/>
        <v>22.170849845882874</v>
      </c>
      <c r="AV130" s="75">
        <f>AU130*(1-PARAM!$C$27)*$I$14+(MOD($B130,60)=PARAM!$B$56)*($B130&gt;(60-PARAM!$B$56))*HLOOKUP(($B130+PARAM!$B$56)/12,Loyalty,2)*$F$1*MAX(AX129,0)</f>
        <v>18.557001321003963</v>
      </c>
      <c r="AW130" s="75">
        <f>PARAM!$C$26+MAX($G$14-CHOOSE(PARAM!$B$44,MAX(0,AX129*$F$1),0),0)*RATES!$L106/12+$H$14*(PARAM!$D$51/12)*RATES!$N106/100</f>
        <v>8.875</v>
      </c>
      <c r="AX130" s="16">
        <f t="shared" si="80"/>
        <v>-152.16202113605979</v>
      </c>
      <c r="AY130" s="15">
        <f t="shared" si="55"/>
        <v>22.170849845882874</v>
      </c>
      <c r="AZ130" s="75">
        <f>AY130*(1-PARAM!$C$27)*$I$15+(MOD($B130,60)=PARAM!$B$56)*($B130&gt;(60-PARAM!$B$56))*HLOOKUP(($B130+PARAM!$B$56)/12,Loyalty,2)*$F$1*MAX(BB129,0)</f>
        <v>18.557001321003963</v>
      </c>
      <c r="BA130" s="75">
        <f>PARAM!$C$26+MAX($G$15-CHOOSE(PARAM!$B$44,MAX(0,BB129*$F$1),0),0)*RATES!$L106/12+$H$15*(PARAM!$D$51/12)*RATES!$N106/100</f>
        <v>8.875</v>
      </c>
      <c r="BB130" s="16">
        <f t="shared" si="81"/>
        <v>-152.16202113605979</v>
      </c>
      <c r="BC130" s="15">
        <f t="shared" si="56"/>
        <v>22.170849845882874</v>
      </c>
      <c r="BD130" s="75">
        <f>BC130*(1-PARAM!$C$27)*$I$16+(MOD($B130,60)=PARAM!$B$56)*($B130&gt;(60-PARAM!$B$56))*HLOOKUP(($B130+PARAM!$B$56)/12,Loyalty,2)*$F$1*MAX(BF129,0)</f>
        <v>18.557001321003963</v>
      </c>
      <c r="BE130" s="75">
        <f>PARAM!$C$26+MAX($G$16-CHOOSE(PARAM!$B$44,MAX(0,BF129*$F$1),0),0)*RATES!$L106/12+$H$16*(PARAM!$D$51/12)*RATES!$N106/100</f>
        <v>8.875</v>
      </c>
      <c r="BF130" s="16">
        <f t="shared" si="82"/>
        <v>-152.16202113605979</v>
      </c>
      <c r="BG130" s="15">
        <f t="shared" si="57"/>
        <v>22.170849845882874</v>
      </c>
      <c r="BH130" s="75">
        <f>BG130*(1-PARAM!$C$27)*$I$17+(MOD($B130,60)=PARAM!$B$56)*($B130&gt;(60-PARAM!$B$56))*HLOOKUP(($B130+PARAM!$B$56)/12,Loyalty,2)*$F$1*MAX(BJ129,0)</f>
        <v>18.557001321003963</v>
      </c>
      <c r="BI130" s="75">
        <f>PARAM!$C$26+MAX($G$17-CHOOSE(PARAM!$B$44,MAX(0,BJ129*$F$1),0),0)*RATES!$L106/12+$H$17*(PARAM!$D$51/12)*RATES!$N106/100</f>
        <v>8.875</v>
      </c>
      <c r="BJ130" s="16">
        <f t="shared" si="83"/>
        <v>-152.16202113605979</v>
      </c>
      <c r="BK130" s="15">
        <f t="shared" si="58"/>
        <v>22.170849845882874</v>
      </c>
      <c r="BL130" s="75">
        <f>BK130*(1-PARAM!$C$27)*$I$18+(MOD($B130,60)=PARAM!$B$56)*($B130&gt;(60-PARAM!$B$56))*HLOOKUP(($B130+PARAM!$B$56)/12,Loyalty,2)*$F$1*MAX(BN129,0)</f>
        <v>18.557001321003963</v>
      </c>
      <c r="BM130" s="75">
        <f>PARAM!$C$26+MAX($G$18-CHOOSE(PARAM!$B$44,MAX(0,BN129*$F$1),0),0)*RATES!$L106/12+$H$18*(PARAM!$D$51/12)*RATES!$N106/100</f>
        <v>8.875</v>
      </c>
      <c r="BN130" s="16">
        <f t="shared" si="84"/>
        <v>-152.16202113605979</v>
      </c>
      <c r="BO130" s="15">
        <f t="shared" si="59"/>
        <v>22.170849845882874</v>
      </c>
      <c r="BP130" s="75">
        <f>BO130*(1-PARAM!$C$27)*$I$19+(MOD($B130,60)=PARAM!$B$56)*($B130&gt;(60-PARAM!$B$56))*HLOOKUP(($B130+PARAM!$B$56)/12,Loyalty,2)*$F$1*MAX(BR129,0)</f>
        <v>18.557001321003963</v>
      </c>
      <c r="BQ130" s="75">
        <f>PARAM!$C$26+MAX($G$19-CHOOSE(PARAM!$B$44,MAX(0,BR129*$F$1),0),0)*RATES!$L106/12+$H$19*(PARAM!$D$51/12)*RATES!$N106/100</f>
        <v>8.875</v>
      </c>
      <c r="BR130" s="16">
        <f t="shared" si="85"/>
        <v>-152.16202113605979</v>
      </c>
      <c r="BS130" s="15">
        <f t="shared" si="60"/>
        <v>22.170849845882874</v>
      </c>
      <c r="BT130" s="75">
        <f>BS130*(1-PARAM!$C$27)*$I$20+(MOD($B130,60)=PARAM!$B$56)*($B130&gt;(60-PARAM!$B$56))*HLOOKUP(($B130+PARAM!$B$56)/12,Loyalty,2)*$F$1*MAX(BV129,0)</f>
        <v>18.557001321003963</v>
      </c>
      <c r="BU130" s="75">
        <f>PARAM!$C$26+MAX($G$20-CHOOSE(PARAM!$B$44,MAX(0,BV129*$F$1),0),0)*RATES!$L106/12+$H$20*(PARAM!$D$51/12)*RATES!$N106/100</f>
        <v>8.875</v>
      </c>
      <c r="BV130" s="16">
        <f t="shared" si="86"/>
        <v>-152.16202113605979</v>
      </c>
      <c r="BW130" s="15">
        <f t="shared" si="61"/>
        <v>22.170849845882874</v>
      </c>
      <c r="BX130" s="75">
        <f>BW130*(1-PARAM!$C$27)*$I$21+(MOD($B130,60)=PARAM!$B$56)*($B130&gt;(60-PARAM!$B$56))*HLOOKUP(($B130+PARAM!$B$56)/12,Loyalty,2)*$F$1*MAX(BZ129,0)</f>
        <v>18.557001321003963</v>
      </c>
      <c r="BY130" s="75">
        <f>PARAM!$C$26+MAX($G$21-CHOOSE(PARAM!$B$44,MAX(0,BZ129*$F$1),0),0)*RATES!$L106/12+$H$21*(PARAM!$D$51/12)*RATES!$N106/100</f>
        <v>8.875</v>
      </c>
      <c r="BZ130" s="16">
        <f t="shared" si="87"/>
        <v>-152.16202113605979</v>
      </c>
      <c r="CA130" s="15">
        <f t="shared" si="62"/>
        <v>22.170849845882874</v>
      </c>
      <c r="CB130" s="75">
        <f>CA130*(1-PARAM!$C$27)*$I$22+(MOD($B130,60)=PARAM!$B$56)*($B130&gt;(60-PARAM!$B$56))*HLOOKUP(($B130+PARAM!$B$56)/12,Loyalty,2)*$F$1*MAX(CD129,0)</f>
        <v>18.557001321003963</v>
      </c>
      <c r="CC130" s="75">
        <f>PARAM!$C$26+MAX($G$22-CHOOSE(PARAM!$B$44,MAX(0,CD129*$F$1),0),0)*RATES!$L106/12+$H$22*(PARAM!$D$51/12)*RATES!$N106/100</f>
        <v>8.875</v>
      </c>
      <c r="CD130" s="16">
        <f t="shared" si="88"/>
        <v>-152.16202113605979</v>
      </c>
      <c r="CE130" s="33">
        <f>IF(0=MOD(B130,12/PARAM!$D$51),1,0)</f>
        <v>1</v>
      </c>
      <c r="CF130" s="15">
        <f t="shared" si="63"/>
        <v>0</v>
      </c>
      <c r="CG130" s="75">
        <f>CF130*(1-PARAM!$C$27)*$R$3+(MOD($B130/12,5)=0)*($B130&gt;60)*HLOOKUP($B130/12,Loyalty,2)*$F$1*MAX(CI129,0)</f>
        <v>0</v>
      </c>
      <c r="CH130" s="75">
        <f>PARAM!$C$26+MAX($P$3-CHOOSE(PARAM!$B$44,MAX(0,CI129*$F$1),0),0)*RATES!$L106/12+$Q$3*(PARAM!$D$51/12)*RATES!$N106/100</f>
        <v>8.875</v>
      </c>
      <c r="CI130" s="16">
        <f>IF(CI129&gt;0,CI129*PARAM!$C$53,CI129)+CG130-CH130</f>
        <v>-1869.2499999999991</v>
      </c>
      <c r="CJ130" s="15">
        <f t="shared" si="89"/>
        <v>0</v>
      </c>
      <c r="CK130" s="75">
        <f>CJ130*(1-PARAM!$C$27)*$R$4+(MOD($B130/12,5)=0)*($B130&gt;60)*HLOOKUP($B130/12,Loyalty,2)*$F$1*MAX(CM129,0)</f>
        <v>0</v>
      </c>
      <c r="CL130" s="75">
        <f>PARAM!$C$26+MAX($P$4-CHOOSE(PARAM!$B$44,MAX(0,CM129*$F$1),0),0)*RATES!$L106/12+$Q$4*(PARAM!$D$51/12)*RATES!$N106/100</f>
        <v>8.875</v>
      </c>
      <c r="CM130" s="16">
        <f>IF(CM129&gt;0,CM129*PARAM!$C$53,CM129)+CK130-CL130</f>
        <v>-1869.2499999999991</v>
      </c>
      <c r="CO130" s="176"/>
    </row>
    <row r="131" spans="1:93" x14ac:dyDescent="0.2">
      <c r="A131" t="b">
        <f t="shared" si="64"/>
        <v>0</v>
      </c>
      <c r="B131" s="33">
        <v>104</v>
      </c>
      <c r="C131" s="15">
        <f t="shared" si="65"/>
        <v>20.081305947392778</v>
      </c>
      <c r="D131" s="75">
        <f>C131*(1-PARAM!$C$27)*$I$3+(MOD($B131,60)=PARAM!$B$56)*($B131&gt;(60-PARAM!$B$56))*HLOOKUP(($B131+PARAM!$B$56)/12,Loyalty,2)*$F$1*MAX(F130,0)</f>
        <v>16.808053077967756</v>
      </c>
      <c r="E131" s="75">
        <f>PARAM!$C$26+MAX($G$3-CHOOSE(PARAM!$B$44,MAX(0,F130*$F$1),0),0)*RATES!$L107/12+$H$3*(PARAM!$D$51/12)*RATES!$N107/100</f>
        <v>8.875</v>
      </c>
      <c r="F131" s="16">
        <f t="shared" si="66"/>
        <v>-306.05996390835401</v>
      </c>
      <c r="G131" s="15">
        <f t="shared" si="67"/>
        <v>22.035289406060361</v>
      </c>
      <c r="H131" s="75">
        <f>G131*(1-PARAM!$C$27)*$I$4+(MOD($B131,60)=PARAM!$B$56)*($B131&gt;(60-PARAM!$B$56))*HLOOKUP(($B131+PARAM!$B$56)/12,Loyalty,2)*$F$1*MAX(J130,0)</f>
        <v>18.443537232872522</v>
      </c>
      <c r="I131" s="75">
        <f>PARAM!$C$26+MAX($G$4-CHOOSE(PARAM!$B$44,MAX(0,J130*$F$1),0),0)*RATES!$L107/12+$H$4*(PARAM!$D$51/12)*RATES!$N107/100</f>
        <v>8.875</v>
      </c>
      <c r="J131" s="16">
        <f t="shared" si="68"/>
        <v>-153.09236884656445</v>
      </c>
      <c r="K131" s="15">
        <f t="shared" si="69"/>
        <v>22.170849845882874</v>
      </c>
      <c r="L131" s="75">
        <f>K131*(1-PARAM!$C$27)*$I$5+(MOD($B131,60)=PARAM!$B$56)*($B131&gt;(60-PARAM!$B$56))*HLOOKUP(($B131+PARAM!$B$56)/12,Loyalty,2)*$F$1*MAX(N130,0)</f>
        <v>18.557001321003963</v>
      </c>
      <c r="M131" s="75">
        <f>PARAM!$C$26+MAX($G$5-CHOOSE(PARAM!$B$44,MAX(0,N130*$F$1),0),0)*RATES!$L107/12+$H$5*(PARAM!$D$51/12)*RATES!$N107/100</f>
        <v>8.875</v>
      </c>
      <c r="N131" s="16">
        <f t="shared" si="70"/>
        <v>-142.48001981505584</v>
      </c>
      <c r="O131" s="15">
        <f t="shared" si="71"/>
        <v>22.170849845882874</v>
      </c>
      <c r="P131" s="75">
        <f>O131*(1-PARAM!$C$27)*$I$6+(MOD($B131,60)=PARAM!$B$56)*($B131&gt;(60-PARAM!$B$56))*HLOOKUP(($B131+PARAM!$B$56)/12,Loyalty,2)*$F$1*MAX(R130,0)</f>
        <v>18.557001321003963</v>
      </c>
      <c r="Q131" s="75">
        <f>PARAM!$C$26+MAX($G$6-CHOOSE(PARAM!$B$44,MAX(0,R130*$F$1),0),0)*RATES!$L107/12+$H$6*(PARAM!$D$51/12)*RATES!$N107/100</f>
        <v>8.875</v>
      </c>
      <c r="R131" s="16">
        <f t="shared" si="72"/>
        <v>-142.48001981505584</v>
      </c>
      <c r="S131" s="15">
        <f t="shared" si="47"/>
        <v>22.170849845882874</v>
      </c>
      <c r="T131" s="75">
        <f>S131*(1-PARAM!$C$27)*$I$7+(MOD($B131,60)=PARAM!$B$56)*($B131&gt;(60-PARAM!$B$56))*HLOOKUP(($B131+PARAM!$B$56)/12,Loyalty,2)*$F$1*MAX(V130,0)</f>
        <v>18.557001321003963</v>
      </c>
      <c r="U131" s="75">
        <f>PARAM!$C$26+MAX($G$7-CHOOSE(PARAM!$B$44,MAX(0,V130*$F$1),0),0)*RATES!$L107/12+$H$7*(PARAM!$D$51/12)*RATES!$N107/100</f>
        <v>8.875</v>
      </c>
      <c r="V131" s="16">
        <f t="shared" si="73"/>
        <v>-142.48001981505584</v>
      </c>
      <c r="W131" s="15">
        <f t="shared" si="48"/>
        <v>22.170849845882874</v>
      </c>
      <c r="X131" s="75">
        <f>W131*(1-PARAM!$C$27)*$I$8+(MOD($B131,60)=PARAM!$B$56)*($B131&gt;(60-PARAM!$B$56))*HLOOKUP(($B131+PARAM!$B$56)/12,Loyalty,2)*$F$1*MAX(Z130,0)</f>
        <v>18.557001321003963</v>
      </c>
      <c r="Y131" s="75">
        <f>PARAM!$C$26+MAX($G$8-CHOOSE(PARAM!$B$44,MAX(0,Z130*$F$1),0),0)*RATES!$L107/12+$H$8*(PARAM!$D$51/12)*RATES!$N107/100</f>
        <v>8.875</v>
      </c>
      <c r="Z131" s="16">
        <f t="shared" si="74"/>
        <v>-142.48001981505584</v>
      </c>
      <c r="AA131" s="15">
        <f t="shared" si="49"/>
        <v>22.170849845882874</v>
      </c>
      <c r="AB131" s="75">
        <f>AA131*(1-PARAM!$C$27)*$I$9+(MOD($B131,60)=PARAM!$B$56)*($B131&gt;(60-PARAM!$B$56))*HLOOKUP(($B131+PARAM!$B$56)/12,Loyalty,2)*$F$1*MAX(AD130,0)</f>
        <v>18.557001321003963</v>
      </c>
      <c r="AC131" s="75">
        <f>PARAM!$C$26+MAX($G$9-CHOOSE(PARAM!$B$44,MAX(0,AD130*$F$1),0),0)*RATES!$L107/12+$H$9*(PARAM!$D$51/12)*RATES!$N107/100</f>
        <v>8.875</v>
      </c>
      <c r="AD131" s="16">
        <f t="shared" si="75"/>
        <v>-142.48001981505584</v>
      </c>
      <c r="AE131" s="15">
        <f t="shared" si="50"/>
        <v>22.170849845882874</v>
      </c>
      <c r="AF131" s="75">
        <f>AE131*(1-PARAM!$C$27)*$I$10+(MOD($B131,60)=PARAM!$B$56)*($B131&gt;(60-PARAM!$B$56))*HLOOKUP(($B131+PARAM!$B$56)/12,Loyalty,2)*$F$1*MAX(AH130,0)</f>
        <v>18.557001321003963</v>
      </c>
      <c r="AG131" s="75">
        <f>PARAM!$C$26+MAX($G$10-CHOOSE(PARAM!$B$44,MAX(0,AH130*$F$1),0),0)*RATES!$L107/12+$H$10*(PARAM!$D$51/12)*RATES!$N107/100</f>
        <v>8.875</v>
      </c>
      <c r="AH131" s="16">
        <f t="shared" si="76"/>
        <v>-142.48001981505584</v>
      </c>
      <c r="AI131" s="15">
        <f t="shared" si="51"/>
        <v>22.170849845882874</v>
      </c>
      <c r="AJ131" s="75">
        <f>AI131*(1-PARAM!$C$27)*$I$11+(MOD($B131,60)=PARAM!$B$56)*($B131&gt;(60-PARAM!$B$56))*HLOOKUP(($B131+PARAM!$B$56)/12,Loyalty,2)*$F$1*MAX(AL130,0)</f>
        <v>18.557001321003963</v>
      </c>
      <c r="AK131" s="75">
        <f>PARAM!$C$26+MAX($G$11-CHOOSE(PARAM!$B$44,MAX(0,AL130*$F$1),0),0)*RATES!$L107/12+$H$11*(PARAM!$D$51/12)*RATES!$N107/100</f>
        <v>8.875</v>
      </c>
      <c r="AL131" s="16">
        <f t="shared" si="77"/>
        <v>-142.48001981505584</v>
      </c>
      <c r="AM131" s="15">
        <f t="shared" si="52"/>
        <v>22.170849845882874</v>
      </c>
      <c r="AN131" s="75">
        <f>AM131*(1-PARAM!$C$27)*$I$12+(MOD($B131,60)=PARAM!$B$56)*($B131&gt;(60-PARAM!$B$56))*HLOOKUP(($B131+PARAM!$B$56)/12,Loyalty,2)*$F$1*MAX(AP130,0)</f>
        <v>18.557001321003963</v>
      </c>
      <c r="AO131" s="75">
        <f>PARAM!$C$26+MAX($G$12-CHOOSE(PARAM!$B$44,MAX(0,AP130*$F$1),0),0)*RATES!$L107/12+$H$12*(PARAM!$D$51/12)*RATES!$N107/100</f>
        <v>8.875</v>
      </c>
      <c r="AP131" s="16">
        <f t="shared" si="78"/>
        <v>-142.48001981505584</v>
      </c>
      <c r="AQ131" s="15">
        <f t="shared" si="53"/>
        <v>22.170849845882874</v>
      </c>
      <c r="AR131" s="75">
        <f>AQ131*(1-PARAM!$C$27)*$I$13+(MOD($B131,60)=PARAM!$B$56)*($B131&gt;(60-PARAM!$B$56))*HLOOKUP(($B131+PARAM!$B$56)/12,Loyalty,2)*$F$1*MAX(AT130,0)</f>
        <v>18.557001321003963</v>
      </c>
      <c r="AS131" s="75">
        <f>PARAM!$C$26+MAX($G$13-CHOOSE(PARAM!$B$44,MAX(0,AT130*$F$1),0),0)*RATES!$L107/12+$H$13*(PARAM!$D$51/12)*RATES!$N107/100</f>
        <v>8.875</v>
      </c>
      <c r="AT131" s="16">
        <f t="shared" si="79"/>
        <v>-142.48001981505584</v>
      </c>
      <c r="AU131" s="15">
        <f t="shared" si="54"/>
        <v>22.170849845882874</v>
      </c>
      <c r="AV131" s="75">
        <f>AU131*(1-PARAM!$C$27)*$I$14+(MOD($B131,60)=PARAM!$B$56)*($B131&gt;(60-PARAM!$B$56))*HLOOKUP(($B131+PARAM!$B$56)/12,Loyalty,2)*$F$1*MAX(AX130,0)</f>
        <v>18.557001321003963</v>
      </c>
      <c r="AW131" s="75">
        <f>PARAM!$C$26+MAX($G$14-CHOOSE(PARAM!$B$44,MAX(0,AX130*$F$1),0),0)*RATES!$L107/12+$H$14*(PARAM!$D$51/12)*RATES!$N107/100</f>
        <v>8.875</v>
      </c>
      <c r="AX131" s="16">
        <f t="shared" si="80"/>
        <v>-142.48001981505584</v>
      </c>
      <c r="AY131" s="15">
        <f t="shared" si="55"/>
        <v>22.170849845882874</v>
      </c>
      <c r="AZ131" s="75">
        <f>AY131*(1-PARAM!$C$27)*$I$15+(MOD($B131,60)=PARAM!$B$56)*($B131&gt;(60-PARAM!$B$56))*HLOOKUP(($B131+PARAM!$B$56)/12,Loyalty,2)*$F$1*MAX(BB130,0)</f>
        <v>18.557001321003963</v>
      </c>
      <c r="BA131" s="75">
        <f>PARAM!$C$26+MAX($G$15-CHOOSE(PARAM!$B$44,MAX(0,BB130*$F$1),0),0)*RATES!$L107/12+$H$15*(PARAM!$D$51/12)*RATES!$N107/100</f>
        <v>8.875</v>
      </c>
      <c r="BB131" s="16">
        <f t="shared" si="81"/>
        <v>-142.48001981505584</v>
      </c>
      <c r="BC131" s="15">
        <f t="shared" si="56"/>
        <v>22.170849845882874</v>
      </c>
      <c r="BD131" s="75">
        <f>BC131*(1-PARAM!$C$27)*$I$16+(MOD($B131,60)=PARAM!$B$56)*($B131&gt;(60-PARAM!$B$56))*HLOOKUP(($B131+PARAM!$B$56)/12,Loyalty,2)*$F$1*MAX(BF130,0)</f>
        <v>18.557001321003963</v>
      </c>
      <c r="BE131" s="75">
        <f>PARAM!$C$26+MAX($G$16-CHOOSE(PARAM!$B$44,MAX(0,BF130*$F$1),0),0)*RATES!$L107/12+$H$16*(PARAM!$D$51/12)*RATES!$N107/100</f>
        <v>8.875</v>
      </c>
      <c r="BF131" s="16">
        <f t="shared" si="82"/>
        <v>-142.48001981505584</v>
      </c>
      <c r="BG131" s="15">
        <f t="shared" si="57"/>
        <v>22.170849845882874</v>
      </c>
      <c r="BH131" s="75">
        <f>BG131*(1-PARAM!$C$27)*$I$17+(MOD($B131,60)=PARAM!$B$56)*($B131&gt;(60-PARAM!$B$56))*HLOOKUP(($B131+PARAM!$B$56)/12,Loyalty,2)*$F$1*MAX(BJ130,0)</f>
        <v>18.557001321003963</v>
      </c>
      <c r="BI131" s="75">
        <f>PARAM!$C$26+MAX($G$17-CHOOSE(PARAM!$B$44,MAX(0,BJ130*$F$1),0),0)*RATES!$L107/12+$H$17*(PARAM!$D$51/12)*RATES!$N107/100</f>
        <v>8.875</v>
      </c>
      <c r="BJ131" s="16">
        <f t="shared" si="83"/>
        <v>-142.48001981505584</v>
      </c>
      <c r="BK131" s="15">
        <f t="shared" si="58"/>
        <v>22.170849845882874</v>
      </c>
      <c r="BL131" s="75">
        <f>BK131*(1-PARAM!$C$27)*$I$18+(MOD($B131,60)=PARAM!$B$56)*($B131&gt;(60-PARAM!$B$56))*HLOOKUP(($B131+PARAM!$B$56)/12,Loyalty,2)*$F$1*MAX(BN130,0)</f>
        <v>18.557001321003963</v>
      </c>
      <c r="BM131" s="75">
        <f>PARAM!$C$26+MAX($G$18-CHOOSE(PARAM!$B$44,MAX(0,BN130*$F$1),0),0)*RATES!$L107/12+$H$18*(PARAM!$D$51/12)*RATES!$N107/100</f>
        <v>8.875</v>
      </c>
      <c r="BN131" s="16">
        <f t="shared" si="84"/>
        <v>-142.48001981505584</v>
      </c>
      <c r="BO131" s="15">
        <f t="shared" si="59"/>
        <v>22.170849845882874</v>
      </c>
      <c r="BP131" s="75">
        <f>BO131*(1-PARAM!$C$27)*$I$19+(MOD($B131,60)=PARAM!$B$56)*($B131&gt;(60-PARAM!$B$56))*HLOOKUP(($B131+PARAM!$B$56)/12,Loyalty,2)*$F$1*MAX(BR130,0)</f>
        <v>18.557001321003963</v>
      </c>
      <c r="BQ131" s="75">
        <f>PARAM!$C$26+MAX($G$19-CHOOSE(PARAM!$B$44,MAX(0,BR130*$F$1),0),0)*RATES!$L107/12+$H$19*(PARAM!$D$51/12)*RATES!$N107/100</f>
        <v>8.875</v>
      </c>
      <c r="BR131" s="16">
        <f t="shared" si="85"/>
        <v>-142.48001981505584</v>
      </c>
      <c r="BS131" s="15">
        <f t="shared" si="60"/>
        <v>22.170849845882874</v>
      </c>
      <c r="BT131" s="75">
        <f>BS131*(1-PARAM!$C$27)*$I$20+(MOD($B131,60)=PARAM!$B$56)*($B131&gt;(60-PARAM!$B$56))*HLOOKUP(($B131+PARAM!$B$56)/12,Loyalty,2)*$F$1*MAX(BV130,0)</f>
        <v>18.557001321003963</v>
      </c>
      <c r="BU131" s="75">
        <f>PARAM!$C$26+MAX($G$20-CHOOSE(PARAM!$B$44,MAX(0,BV130*$F$1),0),0)*RATES!$L107/12+$H$20*(PARAM!$D$51/12)*RATES!$N107/100</f>
        <v>8.875</v>
      </c>
      <c r="BV131" s="16">
        <f t="shared" si="86"/>
        <v>-142.48001981505584</v>
      </c>
      <c r="BW131" s="15">
        <f t="shared" si="61"/>
        <v>22.170849845882874</v>
      </c>
      <c r="BX131" s="75">
        <f>BW131*(1-PARAM!$C$27)*$I$21+(MOD($B131,60)=PARAM!$B$56)*($B131&gt;(60-PARAM!$B$56))*HLOOKUP(($B131+PARAM!$B$56)/12,Loyalty,2)*$F$1*MAX(BZ130,0)</f>
        <v>18.557001321003963</v>
      </c>
      <c r="BY131" s="75">
        <f>PARAM!$C$26+MAX($G$21-CHOOSE(PARAM!$B$44,MAX(0,BZ130*$F$1),0),0)*RATES!$L107/12+$H$21*(PARAM!$D$51/12)*RATES!$N107/100</f>
        <v>8.875</v>
      </c>
      <c r="BZ131" s="16">
        <f t="shared" si="87"/>
        <v>-142.48001981505584</v>
      </c>
      <c r="CA131" s="15">
        <f t="shared" si="62"/>
        <v>22.170849845882874</v>
      </c>
      <c r="CB131" s="75">
        <f>CA131*(1-PARAM!$C$27)*$I$22+(MOD($B131,60)=PARAM!$B$56)*($B131&gt;(60-PARAM!$B$56))*HLOOKUP(($B131+PARAM!$B$56)/12,Loyalty,2)*$F$1*MAX(CD130,0)</f>
        <v>18.557001321003963</v>
      </c>
      <c r="CC131" s="75">
        <f>PARAM!$C$26+MAX($G$22-CHOOSE(PARAM!$B$44,MAX(0,CD130*$F$1),0),0)*RATES!$L107/12+$H$22*(PARAM!$D$51/12)*RATES!$N107/100</f>
        <v>8.875</v>
      </c>
      <c r="CD131" s="16">
        <f t="shared" si="88"/>
        <v>-142.48001981505584</v>
      </c>
      <c r="CE131" s="33">
        <f>IF(0=MOD(B131,12/PARAM!$D$51),1,0)</f>
        <v>1</v>
      </c>
      <c r="CF131" s="15">
        <f t="shared" si="63"/>
        <v>0</v>
      </c>
      <c r="CG131" s="75">
        <f>CF131*(1-PARAM!$C$27)*$R$3+(MOD($B131/12,5)=0)*($B131&gt;60)*HLOOKUP($B131/12,Loyalty,2)*$F$1*MAX(CI130,0)</f>
        <v>0</v>
      </c>
      <c r="CH131" s="75">
        <f>PARAM!$C$26+MAX($P$3-CHOOSE(PARAM!$B$44,MAX(0,CI130*$F$1),0),0)*RATES!$L107/12+$Q$3*(PARAM!$D$51/12)*RATES!$N107/100</f>
        <v>8.875</v>
      </c>
      <c r="CI131" s="16">
        <f>IF(CI130&gt;0,CI130*PARAM!$C$53,CI130)+CG131-CH131</f>
        <v>-1878.1249999999991</v>
      </c>
      <c r="CJ131" s="15">
        <f t="shared" si="89"/>
        <v>0</v>
      </c>
      <c r="CK131" s="75">
        <f>CJ131*(1-PARAM!$C$27)*$R$4+(MOD($B131/12,5)=0)*($B131&gt;60)*HLOOKUP($B131/12,Loyalty,2)*$F$1*MAX(CM130,0)</f>
        <v>0</v>
      </c>
      <c r="CL131" s="75">
        <f>PARAM!$C$26+MAX($P$4-CHOOSE(PARAM!$B$44,MAX(0,CM130*$F$1),0),0)*RATES!$L107/12+$Q$4*(PARAM!$D$51/12)*RATES!$N107/100</f>
        <v>8.875</v>
      </c>
      <c r="CM131" s="16">
        <f>IF(CM130&gt;0,CM130*PARAM!$C$53,CM130)+CK131-CL131</f>
        <v>-1878.1249999999991</v>
      </c>
      <c r="CO131" s="176"/>
    </row>
    <row r="132" spans="1:93" x14ac:dyDescent="0.2">
      <c r="A132" t="b">
        <f t="shared" si="64"/>
        <v>0</v>
      </c>
      <c r="B132" s="33">
        <v>105</v>
      </c>
      <c r="C132" s="15">
        <f t="shared" si="65"/>
        <v>20.081305947392778</v>
      </c>
      <c r="D132" s="75">
        <f>C132*(1-PARAM!$C$27)*$I$3+(MOD($B132,60)=PARAM!$B$56)*($B132&gt;(60-PARAM!$B$56))*HLOOKUP(($B132+PARAM!$B$56)/12,Loyalty,2)*$F$1*MAX(F131,0)</f>
        <v>16.808053077967756</v>
      </c>
      <c r="E132" s="75">
        <f>PARAM!$C$26+MAX($G$3-CHOOSE(PARAM!$B$44,MAX(0,F131*$F$1),0),0)*RATES!$L108/12+$H$3*(PARAM!$D$51/12)*RATES!$N108/100</f>
        <v>8.875</v>
      </c>
      <c r="F132" s="16">
        <f t="shared" si="66"/>
        <v>-298.12691083038624</v>
      </c>
      <c r="G132" s="15">
        <f t="shared" si="67"/>
        <v>22.035289406060361</v>
      </c>
      <c r="H132" s="75">
        <f>G132*(1-PARAM!$C$27)*$I$4+(MOD($B132,60)=PARAM!$B$56)*($B132&gt;(60-PARAM!$B$56))*HLOOKUP(($B132+PARAM!$B$56)/12,Loyalty,2)*$F$1*MAX(J131,0)</f>
        <v>18.443537232872522</v>
      </c>
      <c r="I132" s="75">
        <f>PARAM!$C$26+MAX($G$4-CHOOSE(PARAM!$B$44,MAX(0,J131*$F$1),0),0)*RATES!$L108/12+$H$4*(PARAM!$D$51/12)*RATES!$N108/100</f>
        <v>8.875</v>
      </c>
      <c r="J132" s="16">
        <f t="shared" si="68"/>
        <v>-143.52383161369193</v>
      </c>
      <c r="K132" s="15">
        <f t="shared" si="69"/>
        <v>22.170849845882874</v>
      </c>
      <c r="L132" s="75">
        <f>K132*(1-PARAM!$C$27)*$I$5+(MOD($B132,60)=PARAM!$B$56)*($B132&gt;(60-PARAM!$B$56))*HLOOKUP(($B132+PARAM!$B$56)/12,Loyalty,2)*$F$1*MAX(N131,0)</f>
        <v>18.557001321003963</v>
      </c>
      <c r="M132" s="75">
        <f>PARAM!$C$26+MAX($G$5-CHOOSE(PARAM!$B$44,MAX(0,N131*$F$1),0),0)*RATES!$L108/12+$H$5*(PARAM!$D$51/12)*RATES!$N108/100</f>
        <v>8.875</v>
      </c>
      <c r="N132" s="16">
        <f t="shared" si="70"/>
        <v>-132.79801849405186</v>
      </c>
      <c r="O132" s="15">
        <f t="shared" si="71"/>
        <v>22.170849845882874</v>
      </c>
      <c r="P132" s="75">
        <f>O132*(1-PARAM!$C$27)*$I$6+(MOD($B132,60)=PARAM!$B$56)*($B132&gt;(60-PARAM!$B$56))*HLOOKUP(($B132+PARAM!$B$56)/12,Loyalty,2)*$F$1*MAX(R131,0)</f>
        <v>18.557001321003963</v>
      </c>
      <c r="Q132" s="75">
        <f>PARAM!$C$26+MAX($G$6-CHOOSE(PARAM!$B$44,MAX(0,R131*$F$1),0),0)*RATES!$L108/12+$H$6*(PARAM!$D$51/12)*RATES!$N108/100</f>
        <v>8.875</v>
      </c>
      <c r="R132" s="16">
        <f t="shared" si="72"/>
        <v>-132.79801849405186</v>
      </c>
      <c r="S132" s="15">
        <f t="shared" si="47"/>
        <v>22.170849845882874</v>
      </c>
      <c r="T132" s="75">
        <f>S132*(1-PARAM!$C$27)*$I$7+(MOD($B132,60)=PARAM!$B$56)*($B132&gt;(60-PARAM!$B$56))*HLOOKUP(($B132+PARAM!$B$56)/12,Loyalty,2)*$F$1*MAX(V131,0)</f>
        <v>18.557001321003963</v>
      </c>
      <c r="U132" s="75">
        <f>PARAM!$C$26+MAX($G$7-CHOOSE(PARAM!$B$44,MAX(0,V131*$F$1),0),0)*RATES!$L108/12+$H$7*(PARAM!$D$51/12)*RATES!$N108/100</f>
        <v>8.875</v>
      </c>
      <c r="V132" s="16">
        <f t="shared" si="73"/>
        <v>-132.79801849405186</v>
      </c>
      <c r="W132" s="15">
        <f t="shared" si="48"/>
        <v>22.170849845882874</v>
      </c>
      <c r="X132" s="75">
        <f>W132*(1-PARAM!$C$27)*$I$8+(MOD($B132,60)=PARAM!$B$56)*($B132&gt;(60-PARAM!$B$56))*HLOOKUP(($B132+PARAM!$B$56)/12,Loyalty,2)*$F$1*MAX(Z131,0)</f>
        <v>18.557001321003963</v>
      </c>
      <c r="Y132" s="75">
        <f>PARAM!$C$26+MAX($G$8-CHOOSE(PARAM!$B$44,MAX(0,Z131*$F$1),0),0)*RATES!$L108/12+$H$8*(PARAM!$D$51/12)*RATES!$N108/100</f>
        <v>8.875</v>
      </c>
      <c r="Z132" s="16">
        <f t="shared" si="74"/>
        <v>-132.79801849405186</v>
      </c>
      <c r="AA132" s="15">
        <f t="shared" si="49"/>
        <v>22.170849845882874</v>
      </c>
      <c r="AB132" s="75">
        <f>AA132*(1-PARAM!$C$27)*$I$9+(MOD($B132,60)=PARAM!$B$56)*($B132&gt;(60-PARAM!$B$56))*HLOOKUP(($B132+PARAM!$B$56)/12,Loyalty,2)*$F$1*MAX(AD131,0)</f>
        <v>18.557001321003963</v>
      </c>
      <c r="AC132" s="75">
        <f>PARAM!$C$26+MAX($G$9-CHOOSE(PARAM!$B$44,MAX(0,AD131*$F$1),0),0)*RATES!$L108/12+$H$9*(PARAM!$D$51/12)*RATES!$N108/100</f>
        <v>8.875</v>
      </c>
      <c r="AD132" s="16">
        <f t="shared" si="75"/>
        <v>-132.79801849405186</v>
      </c>
      <c r="AE132" s="15">
        <f t="shared" si="50"/>
        <v>22.170849845882874</v>
      </c>
      <c r="AF132" s="75">
        <f>AE132*(1-PARAM!$C$27)*$I$10+(MOD($B132,60)=PARAM!$B$56)*($B132&gt;(60-PARAM!$B$56))*HLOOKUP(($B132+PARAM!$B$56)/12,Loyalty,2)*$F$1*MAX(AH131,0)</f>
        <v>18.557001321003963</v>
      </c>
      <c r="AG132" s="75">
        <f>PARAM!$C$26+MAX($G$10-CHOOSE(PARAM!$B$44,MAX(0,AH131*$F$1),0),0)*RATES!$L108/12+$H$10*(PARAM!$D$51/12)*RATES!$N108/100</f>
        <v>8.875</v>
      </c>
      <c r="AH132" s="16">
        <f t="shared" si="76"/>
        <v>-132.79801849405186</v>
      </c>
      <c r="AI132" s="15">
        <f t="shared" si="51"/>
        <v>22.170849845882874</v>
      </c>
      <c r="AJ132" s="75">
        <f>AI132*(1-PARAM!$C$27)*$I$11+(MOD($B132,60)=PARAM!$B$56)*($B132&gt;(60-PARAM!$B$56))*HLOOKUP(($B132+PARAM!$B$56)/12,Loyalty,2)*$F$1*MAX(AL131,0)</f>
        <v>18.557001321003963</v>
      </c>
      <c r="AK132" s="75">
        <f>PARAM!$C$26+MAX($G$11-CHOOSE(PARAM!$B$44,MAX(0,AL131*$F$1),0),0)*RATES!$L108/12+$H$11*(PARAM!$D$51/12)*RATES!$N108/100</f>
        <v>8.875</v>
      </c>
      <c r="AL132" s="16">
        <f t="shared" si="77"/>
        <v>-132.79801849405186</v>
      </c>
      <c r="AM132" s="15">
        <f t="shared" si="52"/>
        <v>22.170849845882874</v>
      </c>
      <c r="AN132" s="75">
        <f>AM132*(1-PARAM!$C$27)*$I$12+(MOD($B132,60)=PARAM!$B$56)*($B132&gt;(60-PARAM!$B$56))*HLOOKUP(($B132+PARAM!$B$56)/12,Loyalty,2)*$F$1*MAX(AP131,0)</f>
        <v>18.557001321003963</v>
      </c>
      <c r="AO132" s="75">
        <f>PARAM!$C$26+MAX($G$12-CHOOSE(PARAM!$B$44,MAX(0,AP131*$F$1),0),0)*RATES!$L108/12+$H$12*(PARAM!$D$51/12)*RATES!$N108/100</f>
        <v>8.875</v>
      </c>
      <c r="AP132" s="16">
        <f t="shared" si="78"/>
        <v>-132.79801849405186</v>
      </c>
      <c r="AQ132" s="15">
        <f t="shared" si="53"/>
        <v>22.170849845882874</v>
      </c>
      <c r="AR132" s="75">
        <f>AQ132*(1-PARAM!$C$27)*$I$13+(MOD($B132,60)=PARAM!$B$56)*($B132&gt;(60-PARAM!$B$56))*HLOOKUP(($B132+PARAM!$B$56)/12,Loyalty,2)*$F$1*MAX(AT131,0)</f>
        <v>18.557001321003963</v>
      </c>
      <c r="AS132" s="75">
        <f>PARAM!$C$26+MAX($G$13-CHOOSE(PARAM!$B$44,MAX(0,AT131*$F$1),0),0)*RATES!$L108/12+$H$13*(PARAM!$D$51/12)*RATES!$N108/100</f>
        <v>8.875</v>
      </c>
      <c r="AT132" s="16">
        <f t="shared" si="79"/>
        <v>-132.79801849405186</v>
      </c>
      <c r="AU132" s="15">
        <f t="shared" si="54"/>
        <v>22.170849845882874</v>
      </c>
      <c r="AV132" s="75">
        <f>AU132*(1-PARAM!$C$27)*$I$14+(MOD($B132,60)=PARAM!$B$56)*($B132&gt;(60-PARAM!$B$56))*HLOOKUP(($B132+PARAM!$B$56)/12,Loyalty,2)*$F$1*MAX(AX131,0)</f>
        <v>18.557001321003963</v>
      </c>
      <c r="AW132" s="75">
        <f>PARAM!$C$26+MAX($G$14-CHOOSE(PARAM!$B$44,MAX(0,AX131*$F$1),0),0)*RATES!$L108/12+$H$14*(PARAM!$D$51/12)*RATES!$N108/100</f>
        <v>8.875</v>
      </c>
      <c r="AX132" s="16">
        <f t="shared" si="80"/>
        <v>-132.79801849405186</v>
      </c>
      <c r="AY132" s="15">
        <f t="shared" si="55"/>
        <v>22.170849845882874</v>
      </c>
      <c r="AZ132" s="75">
        <f>AY132*(1-PARAM!$C$27)*$I$15+(MOD($B132,60)=PARAM!$B$56)*($B132&gt;(60-PARAM!$B$56))*HLOOKUP(($B132+PARAM!$B$56)/12,Loyalty,2)*$F$1*MAX(BB131,0)</f>
        <v>18.557001321003963</v>
      </c>
      <c r="BA132" s="75">
        <f>PARAM!$C$26+MAX($G$15-CHOOSE(PARAM!$B$44,MAX(0,BB131*$F$1),0),0)*RATES!$L108/12+$H$15*(PARAM!$D$51/12)*RATES!$N108/100</f>
        <v>8.875</v>
      </c>
      <c r="BB132" s="16">
        <f t="shared" si="81"/>
        <v>-132.79801849405186</v>
      </c>
      <c r="BC132" s="15">
        <f t="shared" si="56"/>
        <v>22.170849845882874</v>
      </c>
      <c r="BD132" s="75">
        <f>BC132*(1-PARAM!$C$27)*$I$16+(MOD($B132,60)=PARAM!$B$56)*($B132&gt;(60-PARAM!$B$56))*HLOOKUP(($B132+PARAM!$B$56)/12,Loyalty,2)*$F$1*MAX(BF131,0)</f>
        <v>18.557001321003963</v>
      </c>
      <c r="BE132" s="75">
        <f>PARAM!$C$26+MAX($G$16-CHOOSE(PARAM!$B$44,MAX(0,BF131*$F$1),0),0)*RATES!$L108/12+$H$16*(PARAM!$D$51/12)*RATES!$N108/100</f>
        <v>8.875</v>
      </c>
      <c r="BF132" s="16">
        <f t="shared" si="82"/>
        <v>-132.79801849405186</v>
      </c>
      <c r="BG132" s="15">
        <f t="shared" si="57"/>
        <v>22.170849845882874</v>
      </c>
      <c r="BH132" s="75">
        <f>BG132*(1-PARAM!$C$27)*$I$17+(MOD($B132,60)=PARAM!$B$56)*($B132&gt;(60-PARAM!$B$56))*HLOOKUP(($B132+PARAM!$B$56)/12,Loyalty,2)*$F$1*MAX(BJ131,0)</f>
        <v>18.557001321003963</v>
      </c>
      <c r="BI132" s="75">
        <f>PARAM!$C$26+MAX($G$17-CHOOSE(PARAM!$B$44,MAX(0,BJ131*$F$1),0),0)*RATES!$L108/12+$H$17*(PARAM!$D$51/12)*RATES!$N108/100</f>
        <v>8.875</v>
      </c>
      <c r="BJ132" s="16">
        <f t="shared" si="83"/>
        <v>-132.79801849405186</v>
      </c>
      <c r="BK132" s="15">
        <f t="shared" si="58"/>
        <v>22.170849845882874</v>
      </c>
      <c r="BL132" s="75">
        <f>BK132*(1-PARAM!$C$27)*$I$18+(MOD($B132,60)=PARAM!$B$56)*($B132&gt;(60-PARAM!$B$56))*HLOOKUP(($B132+PARAM!$B$56)/12,Loyalty,2)*$F$1*MAX(BN131,0)</f>
        <v>18.557001321003963</v>
      </c>
      <c r="BM132" s="75">
        <f>PARAM!$C$26+MAX($G$18-CHOOSE(PARAM!$B$44,MAX(0,BN131*$F$1),0),0)*RATES!$L108/12+$H$18*(PARAM!$D$51/12)*RATES!$N108/100</f>
        <v>8.875</v>
      </c>
      <c r="BN132" s="16">
        <f t="shared" si="84"/>
        <v>-132.79801849405186</v>
      </c>
      <c r="BO132" s="15">
        <f t="shared" si="59"/>
        <v>22.170849845882874</v>
      </c>
      <c r="BP132" s="75">
        <f>BO132*(1-PARAM!$C$27)*$I$19+(MOD($B132,60)=PARAM!$B$56)*($B132&gt;(60-PARAM!$B$56))*HLOOKUP(($B132+PARAM!$B$56)/12,Loyalty,2)*$F$1*MAX(BR131,0)</f>
        <v>18.557001321003963</v>
      </c>
      <c r="BQ132" s="75">
        <f>PARAM!$C$26+MAX($G$19-CHOOSE(PARAM!$B$44,MAX(0,BR131*$F$1),0),0)*RATES!$L108/12+$H$19*(PARAM!$D$51/12)*RATES!$N108/100</f>
        <v>8.875</v>
      </c>
      <c r="BR132" s="16">
        <f t="shared" si="85"/>
        <v>-132.79801849405186</v>
      </c>
      <c r="BS132" s="15">
        <f t="shared" si="60"/>
        <v>22.170849845882874</v>
      </c>
      <c r="BT132" s="75">
        <f>BS132*(1-PARAM!$C$27)*$I$20+(MOD($B132,60)=PARAM!$B$56)*($B132&gt;(60-PARAM!$B$56))*HLOOKUP(($B132+PARAM!$B$56)/12,Loyalty,2)*$F$1*MAX(BV131,0)</f>
        <v>18.557001321003963</v>
      </c>
      <c r="BU132" s="75">
        <f>PARAM!$C$26+MAX($G$20-CHOOSE(PARAM!$B$44,MAX(0,BV131*$F$1),0),0)*RATES!$L108/12+$H$20*(PARAM!$D$51/12)*RATES!$N108/100</f>
        <v>8.875</v>
      </c>
      <c r="BV132" s="16">
        <f t="shared" si="86"/>
        <v>-132.79801849405186</v>
      </c>
      <c r="BW132" s="15">
        <f t="shared" si="61"/>
        <v>22.170849845882874</v>
      </c>
      <c r="BX132" s="75">
        <f>BW132*(1-PARAM!$C$27)*$I$21+(MOD($B132,60)=PARAM!$B$56)*($B132&gt;(60-PARAM!$B$56))*HLOOKUP(($B132+PARAM!$B$56)/12,Loyalty,2)*$F$1*MAX(BZ131,0)</f>
        <v>18.557001321003963</v>
      </c>
      <c r="BY132" s="75">
        <f>PARAM!$C$26+MAX($G$21-CHOOSE(PARAM!$B$44,MAX(0,BZ131*$F$1),0),0)*RATES!$L108/12+$H$21*(PARAM!$D$51/12)*RATES!$N108/100</f>
        <v>8.875</v>
      </c>
      <c r="BZ132" s="16">
        <f t="shared" si="87"/>
        <v>-132.79801849405186</v>
      </c>
      <c r="CA132" s="15">
        <f t="shared" si="62"/>
        <v>22.170849845882874</v>
      </c>
      <c r="CB132" s="75">
        <f>CA132*(1-PARAM!$C$27)*$I$22+(MOD($B132,60)=PARAM!$B$56)*($B132&gt;(60-PARAM!$B$56))*HLOOKUP(($B132+PARAM!$B$56)/12,Loyalty,2)*$F$1*MAX(CD131,0)</f>
        <v>18.557001321003963</v>
      </c>
      <c r="CC132" s="75">
        <f>PARAM!$C$26+MAX($G$22-CHOOSE(PARAM!$B$44,MAX(0,CD131*$F$1),0),0)*RATES!$L108/12+$H$22*(PARAM!$D$51/12)*RATES!$N108/100</f>
        <v>8.875</v>
      </c>
      <c r="CD132" s="16">
        <f t="shared" si="88"/>
        <v>-132.79801849405186</v>
      </c>
      <c r="CE132" s="33">
        <f>IF(0=MOD(B132,12/PARAM!$D$51),1,0)</f>
        <v>1</v>
      </c>
      <c r="CF132" s="15">
        <f t="shared" si="63"/>
        <v>0</v>
      </c>
      <c r="CG132" s="75">
        <f>CF132*(1-PARAM!$C$27)*$R$3+(MOD($B132/12,5)=0)*($B132&gt;60)*HLOOKUP($B132/12,Loyalty,2)*$F$1*MAX(CI131,0)</f>
        <v>0</v>
      </c>
      <c r="CH132" s="75">
        <f>PARAM!$C$26+MAX($P$3-CHOOSE(PARAM!$B$44,MAX(0,CI131*$F$1),0),0)*RATES!$L108/12+$Q$3*(PARAM!$D$51/12)*RATES!$N108/100</f>
        <v>8.875</v>
      </c>
      <c r="CI132" s="16">
        <f>IF(CI131&gt;0,CI131*PARAM!$C$53,CI131)+CG132-CH132</f>
        <v>-1886.9999999999991</v>
      </c>
      <c r="CJ132" s="15">
        <f t="shared" si="89"/>
        <v>0</v>
      </c>
      <c r="CK132" s="75">
        <f>CJ132*(1-PARAM!$C$27)*$R$4+(MOD($B132/12,5)=0)*($B132&gt;60)*HLOOKUP($B132/12,Loyalty,2)*$F$1*MAX(CM131,0)</f>
        <v>0</v>
      </c>
      <c r="CL132" s="75">
        <f>PARAM!$C$26+MAX($P$4-CHOOSE(PARAM!$B$44,MAX(0,CM131*$F$1),0),0)*RATES!$L108/12+$Q$4*(PARAM!$D$51/12)*RATES!$N108/100</f>
        <v>8.875</v>
      </c>
      <c r="CM132" s="16">
        <f>IF(CM131&gt;0,CM131*PARAM!$C$53,CM131)+CK132-CL132</f>
        <v>-1886.9999999999991</v>
      </c>
      <c r="CO132" s="176"/>
    </row>
    <row r="133" spans="1:93" x14ac:dyDescent="0.2">
      <c r="A133" t="b">
        <f t="shared" si="64"/>
        <v>0</v>
      </c>
      <c r="B133" s="33">
        <v>106</v>
      </c>
      <c r="C133" s="15">
        <f t="shared" si="65"/>
        <v>20.081305947392778</v>
      </c>
      <c r="D133" s="75">
        <f>C133*(1-PARAM!$C$27)*$I$3+(MOD($B133,60)=PARAM!$B$56)*($B133&gt;(60-PARAM!$B$56))*HLOOKUP(($B133+PARAM!$B$56)/12,Loyalty,2)*$F$1*MAX(F132,0)</f>
        <v>16.808053077967756</v>
      </c>
      <c r="E133" s="75">
        <f>PARAM!$C$26+MAX($G$3-CHOOSE(PARAM!$B$44,MAX(0,F132*$F$1),0),0)*RATES!$L109/12+$H$3*(PARAM!$D$51/12)*RATES!$N109/100</f>
        <v>8.875</v>
      </c>
      <c r="F133" s="16">
        <f t="shared" si="66"/>
        <v>-290.19385775241847</v>
      </c>
      <c r="G133" s="15">
        <f t="shared" si="67"/>
        <v>22.035289406060361</v>
      </c>
      <c r="H133" s="75">
        <f>G133*(1-PARAM!$C$27)*$I$4+(MOD($B133,60)=PARAM!$B$56)*($B133&gt;(60-PARAM!$B$56))*HLOOKUP(($B133+PARAM!$B$56)/12,Loyalty,2)*$F$1*MAX(J132,0)</f>
        <v>18.443537232872522</v>
      </c>
      <c r="I133" s="75">
        <f>PARAM!$C$26+MAX($G$4-CHOOSE(PARAM!$B$44,MAX(0,J132*$F$1),0),0)*RATES!$L109/12+$H$4*(PARAM!$D$51/12)*RATES!$N109/100</f>
        <v>8.875</v>
      </c>
      <c r="J133" s="16">
        <f t="shared" si="68"/>
        <v>-133.9552943808194</v>
      </c>
      <c r="K133" s="15">
        <f t="shared" si="69"/>
        <v>22.170849845882874</v>
      </c>
      <c r="L133" s="75">
        <f>K133*(1-PARAM!$C$27)*$I$5+(MOD($B133,60)=PARAM!$B$56)*($B133&gt;(60-PARAM!$B$56))*HLOOKUP(($B133+PARAM!$B$56)/12,Loyalty,2)*$F$1*MAX(N132,0)</f>
        <v>18.557001321003963</v>
      </c>
      <c r="M133" s="75">
        <f>PARAM!$C$26+MAX($G$5-CHOOSE(PARAM!$B$44,MAX(0,N132*$F$1),0),0)*RATES!$L109/12+$H$5*(PARAM!$D$51/12)*RATES!$N109/100</f>
        <v>8.875</v>
      </c>
      <c r="N133" s="16">
        <f t="shared" si="70"/>
        <v>-123.11601717304789</v>
      </c>
      <c r="O133" s="15">
        <f t="shared" si="71"/>
        <v>22.170849845882874</v>
      </c>
      <c r="P133" s="75">
        <f>O133*(1-PARAM!$C$27)*$I$6+(MOD($B133,60)=PARAM!$B$56)*($B133&gt;(60-PARAM!$B$56))*HLOOKUP(($B133+PARAM!$B$56)/12,Loyalty,2)*$F$1*MAX(R132,0)</f>
        <v>18.557001321003963</v>
      </c>
      <c r="Q133" s="75">
        <f>PARAM!$C$26+MAX($G$6-CHOOSE(PARAM!$B$44,MAX(0,R132*$F$1),0),0)*RATES!$L109/12+$H$6*(PARAM!$D$51/12)*RATES!$N109/100</f>
        <v>8.875</v>
      </c>
      <c r="R133" s="16">
        <f t="shared" si="72"/>
        <v>-123.11601717304789</v>
      </c>
      <c r="S133" s="15">
        <f t="shared" si="47"/>
        <v>22.170849845882874</v>
      </c>
      <c r="T133" s="75">
        <f>S133*(1-PARAM!$C$27)*$I$7+(MOD($B133,60)=PARAM!$B$56)*($B133&gt;(60-PARAM!$B$56))*HLOOKUP(($B133+PARAM!$B$56)/12,Loyalty,2)*$F$1*MAX(V132,0)</f>
        <v>18.557001321003963</v>
      </c>
      <c r="U133" s="75">
        <f>PARAM!$C$26+MAX($G$7-CHOOSE(PARAM!$B$44,MAX(0,V132*$F$1),0),0)*RATES!$L109/12+$H$7*(PARAM!$D$51/12)*RATES!$N109/100</f>
        <v>8.875</v>
      </c>
      <c r="V133" s="16">
        <f t="shared" si="73"/>
        <v>-123.11601717304789</v>
      </c>
      <c r="W133" s="15">
        <f t="shared" si="48"/>
        <v>22.170849845882874</v>
      </c>
      <c r="X133" s="75">
        <f>W133*(1-PARAM!$C$27)*$I$8+(MOD($B133,60)=PARAM!$B$56)*($B133&gt;(60-PARAM!$B$56))*HLOOKUP(($B133+PARAM!$B$56)/12,Loyalty,2)*$F$1*MAX(Z132,0)</f>
        <v>18.557001321003963</v>
      </c>
      <c r="Y133" s="75">
        <f>PARAM!$C$26+MAX($G$8-CHOOSE(PARAM!$B$44,MAX(0,Z132*$F$1),0),0)*RATES!$L109/12+$H$8*(PARAM!$D$51/12)*RATES!$N109/100</f>
        <v>8.875</v>
      </c>
      <c r="Z133" s="16">
        <f t="shared" si="74"/>
        <v>-123.11601717304789</v>
      </c>
      <c r="AA133" s="15">
        <f t="shared" si="49"/>
        <v>22.170849845882874</v>
      </c>
      <c r="AB133" s="75">
        <f>AA133*(1-PARAM!$C$27)*$I$9+(MOD($B133,60)=PARAM!$B$56)*($B133&gt;(60-PARAM!$B$56))*HLOOKUP(($B133+PARAM!$B$56)/12,Loyalty,2)*$F$1*MAX(AD132,0)</f>
        <v>18.557001321003963</v>
      </c>
      <c r="AC133" s="75">
        <f>PARAM!$C$26+MAX($G$9-CHOOSE(PARAM!$B$44,MAX(0,AD132*$F$1),0),0)*RATES!$L109/12+$H$9*(PARAM!$D$51/12)*RATES!$N109/100</f>
        <v>8.875</v>
      </c>
      <c r="AD133" s="16">
        <f t="shared" si="75"/>
        <v>-123.11601717304789</v>
      </c>
      <c r="AE133" s="15">
        <f t="shared" si="50"/>
        <v>22.170849845882874</v>
      </c>
      <c r="AF133" s="75">
        <f>AE133*(1-PARAM!$C$27)*$I$10+(MOD($B133,60)=PARAM!$B$56)*($B133&gt;(60-PARAM!$B$56))*HLOOKUP(($B133+PARAM!$B$56)/12,Loyalty,2)*$F$1*MAX(AH132,0)</f>
        <v>18.557001321003963</v>
      </c>
      <c r="AG133" s="75">
        <f>PARAM!$C$26+MAX($G$10-CHOOSE(PARAM!$B$44,MAX(0,AH132*$F$1),0),0)*RATES!$L109/12+$H$10*(PARAM!$D$51/12)*RATES!$N109/100</f>
        <v>8.875</v>
      </c>
      <c r="AH133" s="16">
        <f t="shared" si="76"/>
        <v>-123.11601717304789</v>
      </c>
      <c r="AI133" s="15">
        <f t="shared" si="51"/>
        <v>22.170849845882874</v>
      </c>
      <c r="AJ133" s="75">
        <f>AI133*(1-PARAM!$C$27)*$I$11+(MOD($B133,60)=PARAM!$B$56)*($B133&gt;(60-PARAM!$B$56))*HLOOKUP(($B133+PARAM!$B$56)/12,Loyalty,2)*$F$1*MAX(AL132,0)</f>
        <v>18.557001321003963</v>
      </c>
      <c r="AK133" s="75">
        <f>PARAM!$C$26+MAX($G$11-CHOOSE(PARAM!$B$44,MAX(0,AL132*$F$1),0),0)*RATES!$L109/12+$H$11*(PARAM!$D$51/12)*RATES!$N109/100</f>
        <v>8.875</v>
      </c>
      <c r="AL133" s="16">
        <f t="shared" si="77"/>
        <v>-123.11601717304789</v>
      </c>
      <c r="AM133" s="15">
        <f t="shared" si="52"/>
        <v>22.170849845882874</v>
      </c>
      <c r="AN133" s="75">
        <f>AM133*(1-PARAM!$C$27)*$I$12+(MOD($B133,60)=PARAM!$B$56)*($B133&gt;(60-PARAM!$B$56))*HLOOKUP(($B133+PARAM!$B$56)/12,Loyalty,2)*$F$1*MAX(AP132,0)</f>
        <v>18.557001321003963</v>
      </c>
      <c r="AO133" s="75">
        <f>PARAM!$C$26+MAX($G$12-CHOOSE(PARAM!$B$44,MAX(0,AP132*$F$1),0),0)*RATES!$L109/12+$H$12*(PARAM!$D$51/12)*RATES!$N109/100</f>
        <v>8.875</v>
      </c>
      <c r="AP133" s="16">
        <f t="shared" si="78"/>
        <v>-123.11601717304789</v>
      </c>
      <c r="AQ133" s="15">
        <f t="shared" si="53"/>
        <v>22.170849845882874</v>
      </c>
      <c r="AR133" s="75">
        <f>AQ133*(1-PARAM!$C$27)*$I$13+(MOD($B133,60)=PARAM!$B$56)*($B133&gt;(60-PARAM!$B$56))*HLOOKUP(($B133+PARAM!$B$56)/12,Loyalty,2)*$F$1*MAX(AT132,0)</f>
        <v>18.557001321003963</v>
      </c>
      <c r="AS133" s="75">
        <f>PARAM!$C$26+MAX($G$13-CHOOSE(PARAM!$B$44,MAX(0,AT132*$F$1),0),0)*RATES!$L109/12+$H$13*(PARAM!$D$51/12)*RATES!$N109/100</f>
        <v>8.875</v>
      </c>
      <c r="AT133" s="16">
        <f t="shared" si="79"/>
        <v>-123.11601717304789</v>
      </c>
      <c r="AU133" s="15">
        <f t="shared" si="54"/>
        <v>22.170849845882874</v>
      </c>
      <c r="AV133" s="75">
        <f>AU133*(1-PARAM!$C$27)*$I$14+(MOD($B133,60)=PARAM!$B$56)*($B133&gt;(60-PARAM!$B$56))*HLOOKUP(($B133+PARAM!$B$56)/12,Loyalty,2)*$F$1*MAX(AX132,0)</f>
        <v>18.557001321003963</v>
      </c>
      <c r="AW133" s="75">
        <f>PARAM!$C$26+MAX($G$14-CHOOSE(PARAM!$B$44,MAX(0,AX132*$F$1),0),0)*RATES!$L109/12+$H$14*(PARAM!$D$51/12)*RATES!$N109/100</f>
        <v>8.875</v>
      </c>
      <c r="AX133" s="16">
        <f t="shared" si="80"/>
        <v>-123.11601717304789</v>
      </c>
      <c r="AY133" s="15">
        <f t="shared" si="55"/>
        <v>22.170849845882874</v>
      </c>
      <c r="AZ133" s="75">
        <f>AY133*(1-PARAM!$C$27)*$I$15+(MOD($B133,60)=PARAM!$B$56)*($B133&gt;(60-PARAM!$B$56))*HLOOKUP(($B133+PARAM!$B$56)/12,Loyalty,2)*$F$1*MAX(BB132,0)</f>
        <v>18.557001321003963</v>
      </c>
      <c r="BA133" s="75">
        <f>PARAM!$C$26+MAX($G$15-CHOOSE(PARAM!$B$44,MAX(0,BB132*$F$1),0),0)*RATES!$L109/12+$H$15*(PARAM!$D$51/12)*RATES!$N109/100</f>
        <v>8.875</v>
      </c>
      <c r="BB133" s="16">
        <f t="shared" si="81"/>
        <v>-123.11601717304789</v>
      </c>
      <c r="BC133" s="15">
        <f t="shared" si="56"/>
        <v>22.170849845882874</v>
      </c>
      <c r="BD133" s="75">
        <f>BC133*(1-PARAM!$C$27)*$I$16+(MOD($B133,60)=PARAM!$B$56)*($B133&gt;(60-PARAM!$B$56))*HLOOKUP(($B133+PARAM!$B$56)/12,Loyalty,2)*$F$1*MAX(BF132,0)</f>
        <v>18.557001321003963</v>
      </c>
      <c r="BE133" s="75">
        <f>PARAM!$C$26+MAX($G$16-CHOOSE(PARAM!$B$44,MAX(0,BF132*$F$1),0),0)*RATES!$L109/12+$H$16*(PARAM!$D$51/12)*RATES!$N109/100</f>
        <v>8.875</v>
      </c>
      <c r="BF133" s="16">
        <f t="shared" si="82"/>
        <v>-123.11601717304789</v>
      </c>
      <c r="BG133" s="15">
        <f t="shared" si="57"/>
        <v>22.170849845882874</v>
      </c>
      <c r="BH133" s="75">
        <f>BG133*(1-PARAM!$C$27)*$I$17+(MOD($B133,60)=PARAM!$B$56)*($B133&gt;(60-PARAM!$B$56))*HLOOKUP(($B133+PARAM!$B$56)/12,Loyalty,2)*$F$1*MAX(BJ132,0)</f>
        <v>18.557001321003963</v>
      </c>
      <c r="BI133" s="75">
        <f>PARAM!$C$26+MAX($G$17-CHOOSE(PARAM!$B$44,MAX(0,BJ132*$F$1),0),0)*RATES!$L109/12+$H$17*(PARAM!$D$51/12)*RATES!$N109/100</f>
        <v>8.875</v>
      </c>
      <c r="BJ133" s="16">
        <f t="shared" si="83"/>
        <v>-123.11601717304789</v>
      </c>
      <c r="BK133" s="15">
        <f t="shared" si="58"/>
        <v>22.170849845882874</v>
      </c>
      <c r="BL133" s="75">
        <f>BK133*(1-PARAM!$C$27)*$I$18+(MOD($B133,60)=PARAM!$B$56)*($B133&gt;(60-PARAM!$B$56))*HLOOKUP(($B133+PARAM!$B$56)/12,Loyalty,2)*$F$1*MAX(BN132,0)</f>
        <v>18.557001321003963</v>
      </c>
      <c r="BM133" s="75">
        <f>PARAM!$C$26+MAX($G$18-CHOOSE(PARAM!$B$44,MAX(0,BN132*$F$1),0),0)*RATES!$L109/12+$H$18*(PARAM!$D$51/12)*RATES!$N109/100</f>
        <v>8.875</v>
      </c>
      <c r="BN133" s="16">
        <f t="shared" si="84"/>
        <v>-123.11601717304789</v>
      </c>
      <c r="BO133" s="15">
        <f t="shared" si="59"/>
        <v>22.170849845882874</v>
      </c>
      <c r="BP133" s="75">
        <f>BO133*(1-PARAM!$C$27)*$I$19+(MOD($B133,60)=PARAM!$B$56)*($B133&gt;(60-PARAM!$B$56))*HLOOKUP(($B133+PARAM!$B$56)/12,Loyalty,2)*$F$1*MAX(BR132,0)</f>
        <v>18.557001321003963</v>
      </c>
      <c r="BQ133" s="75">
        <f>PARAM!$C$26+MAX($G$19-CHOOSE(PARAM!$B$44,MAX(0,BR132*$F$1),0),0)*RATES!$L109/12+$H$19*(PARAM!$D$51/12)*RATES!$N109/100</f>
        <v>8.875</v>
      </c>
      <c r="BR133" s="16">
        <f t="shared" si="85"/>
        <v>-123.11601717304789</v>
      </c>
      <c r="BS133" s="15">
        <f t="shared" si="60"/>
        <v>22.170849845882874</v>
      </c>
      <c r="BT133" s="75">
        <f>BS133*(1-PARAM!$C$27)*$I$20+(MOD($B133,60)=PARAM!$B$56)*($B133&gt;(60-PARAM!$B$56))*HLOOKUP(($B133+PARAM!$B$56)/12,Loyalty,2)*$F$1*MAX(BV132,0)</f>
        <v>18.557001321003963</v>
      </c>
      <c r="BU133" s="75">
        <f>PARAM!$C$26+MAX($G$20-CHOOSE(PARAM!$B$44,MAX(0,BV132*$F$1),0),0)*RATES!$L109/12+$H$20*(PARAM!$D$51/12)*RATES!$N109/100</f>
        <v>8.875</v>
      </c>
      <c r="BV133" s="16">
        <f t="shared" si="86"/>
        <v>-123.11601717304789</v>
      </c>
      <c r="BW133" s="15">
        <f t="shared" si="61"/>
        <v>22.170849845882874</v>
      </c>
      <c r="BX133" s="75">
        <f>BW133*(1-PARAM!$C$27)*$I$21+(MOD($B133,60)=PARAM!$B$56)*($B133&gt;(60-PARAM!$B$56))*HLOOKUP(($B133+PARAM!$B$56)/12,Loyalty,2)*$F$1*MAX(BZ132,0)</f>
        <v>18.557001321003963</v>
      </c>
      <c r="BY133" s="75">
        <f>PARAM!$C$26+MAX($G$21-CHOOSE(PARAM!$B$44,MAX(0,BZ132*$F$1),0),0)*RATES!$L109/12+$H$21*(PARAM!$D$51/12)*RATES!$N109/100</f>
        <v>8.875</v>
      </c>
      <c r="BZ133" s="16">
        <f t="shared" si="87"/>
        <v>-123.11601717304789</v>
      </c>
      <c r="CA133" s="15">
        <f t="shared" si="62"/>
        <v>22.170849845882874</v>
      </c>
      <c r="CB133" s="75">
        <f>CA133*(1-PARAM!$C$27)*$I$22+(MOD($B133,60)=PARAM!$B$56)*($B133&gt;(60-PARAM!$B$56))*HLOOKUP(($B133+PARAM!$B$56)/12,Loyalty,2)*$F$1*MAX(CD132,0)</f>
        <v>18.557001321003963</v>
      </c>
      <c r="CC133" s="75">
        <f>PARAM!$C$26+MAX($G$22-CHOOSE(PARAM!$B$44,MAX(0,CD132*$F$1),0),0)*RATES!$L109/12+$H$22*(PARAM!$D$51/12)*RATES!$N109/100</f>
        <v>8.875</v>
      </c>
      <c r="CD133" s="16">
        <f t="shared" si="88"/>
        <v>-123.11601717304789</v>
      </c>
      <c r="CE133" s="33">
        <f>IF(0=MOD(B133,12/PARAM!$D$51),1,0)</f>
        <v>1</v>
      </c>
      <c r="CF133" s="15">
        <f t="shared" si="63"/>
        <v>0</v>
      </c>
      <c r="CG133" s="75">
        <f>CF133*(1-PARAM!$C$27)*$R$3+(MOD($B133/12,5)=0)*($B133&gt;60)*HLOOKUP($B133/12,Loyalty,2)*$F$1*MAX(CI132,0)</f>
        <v>0</v>
      </c>
      <c r="CH133" s="75">
        <f>PARAM!$C$26+MAX($P$3-CHOOSE(PARAM!$B$44,MAX(0,CI132*$F$1),0),0)*RATES!$L109/12+$Q$3*(PARAM!$D$51/12)*RATES!$N109/100</f>
        <v>8.875</v>
      </c>
      <c r="CI133" s="16">
        <f>IF(CI132&gt;0,CI132*PARAM!$C$53,CI132)+CG133-CH133</f>
        <v>-1895.8749999999991</v>
      </c>
      <c r="CJ133" s="15">
        <f t="shared" si="89"/>
        <v>0</v>
      </c>
      <c r="CK133" s="75">
        <f>CJ133*(1-PARAM!$C$27)*$R$4+(MOD($B133/12,5)=0)*($B133&gt;60)*HLOOKUP($B133/12,Loyalty,2)*$F$1*MAX(CM132,0)</f>
        <v>0</v>
      </c>
      <c r="CL133" s="75">
        <f>PARAM!$C$26+MAX($P$4-CHOOSE(PARAM!$B$44,MAX(0,CM132*$F$1),0),0)*RATES!$L109/12+$Q$4*(PARAM!$D$51/12)*RATES!$N109/100</f>
        <v>8.875</v>
      </c>
      <c r="CM133" s="16">
        <f>IF(CM132&gt;0,CM132*PARAM!$C$53,CM132)+CK133-CL133</f>
        <v>-1895.8749999999991</v>
      </c>
      <c r="CO133" s="176"/>
    </row>
    <row r="134" spans="1:93" x14ac:dyDescent="0.2">
      <c r="A134" t="b">
        <f t="shared" si="64"/>
        <v>0</v>
      </c>
      <c r="B134" s="33">
        <v>107</v>
      </c>
      <c r="C134" s="15">
        <f t="shared" si="65"/>
        <v>20.081305947392778</v>
      </c>
      <c r="D134" s="75">
        <f>C134*(1-PARAM!$C$27)*$I$3+(MOD($B134,60)=PARAM!$B$56)*($B134&gt;(60-PARAM!$B$56))*HLOOKUP(($B134+PARAM!$B$56)/12,Loyalty,2)*$F$1*MAX(F133,0)</f>
        <v>16.808053077967756</v>
      </c>
      <c r="E134" s="75">
        <f>PARAM!$C$26+MAX($G$3-CHOOSE(PARAM!$B$44,MAX(0,F133*$F$1),0),0)*RATES!$L110/12+$H$3*(PARAM!$D$51/12)*RATES!$N110/100</f>
        <v>8.875</v>
      </c>
      <c r="F134" s="16">
        <f t="shared" si="66"/>
        <v>-282.2608046744507</v>
      </c>
      <c r="G134" s="15">
        <f t="shared" si="67"/>
        <v>22.035289406060361</v>
      </c>
      <c r="H134" s="75">
        <f>G134*(1-PARAM!$C$27)*$I$4+(MOD($B134,60)=PARAM!$B$56)*($B134&gt;(60-PARAM!$B$56))*HLOOKUP(($B134+PARAM!$B$56)/12,Loyalty,2)*$F$1*MAX(J133,0)</f>
        <v>18.443537232872522</v>
      </c>
      <c r="I134" s="75">
        <f>PARAM!$C$26+MAX($G$4-CHOOSE(PARAM!$B$44,MAX(0,J133*$F$1),0),0)*RATES!$L110/12+$H$4*(PARAM!$D$51/12)*RATES!$N110/100</f>
        <v>8.875</v>
      </c>
      <c r="J134" s="16">
        <f t="shared" si="68"/>
        <v>-124.38675714794687</v>
      </c>
      <c r="K134" s="15">
        <f t="shared" si="69"/>
        <v>22.170849845882874</v>
      </c>
      <c r="L134" s="75">
        <f>K134*(1-PARAM!$C$27)*$I$5+(MOD($B134,60)=PARAM!$B$56)*($B134&gt;(60-PARAM!$B$56))*HLOOKUP(($B134+PARAM!$B$56)/12,Loyalty,2)*$F$1*MAX(N133,0)</f>
        <v>18.557001321003963</v>
      </c>
      <c r="M134" s="75">
        <f>PARAM!$C$26+MAX($G$5-CHOOSE(PARAM!$B$44,MAX(0,N133*$F$1),0),0)*RATES!$L110/12+$H$5*(PARAM!$D$51/12)*RATES!$N110/100</f>
        <v>8.875</v>
      </c>
      <c r="N134" s="16">
        <f t="shared" si="70"/>
        <v>-113.43401585204393</v>
      </c>
      <c r="O134" s="15">
        <f t="shared" si="71"/>
        <v>22.170849845882874</v>
      </c>
      <c r="P134" s="75">
        <f>O134*(1-PARAM!$C$27)*$I$6+(MOD($B134,60)=PARAM!$B$56)*($B134&gt;(60-PARAM!$B$56))*HLOOKUP(($B134+PARAM!$B$56)/12,Loyalty,2)*$F$1*MAX(R133,0)</f>
        <v>18.557001321003963</v>
      </c>
      <c r="Q134" s="75">
        <f>PARAM!$C$26+MAX($G$6-CHOOSE(PARAM!$B$44,MAX(0,R133*$F$1),0),0)*RATES!$L110/12+$H$6*(PARAM!$D$51/12)*RATES!$N110/100</f>
        <v>8.875</v>
      </c>
      <c r="R134" s="16">
        <f t="shared" si="72"/>
        <v>-113.43401585204393</v>
      </c>
      <c r="S134" s="15">
        <f t="shared" si="47"/>
        <v>22.170849845882874</v>
      </c>
      <c r="T134" s="75">
        <f>S134*(1-PARAM!$C$27)*$I$7+(MOD($B134,60)=PARAM!$B$56)*($B134&gt;(60-PARAM!$B$56))*HLOOKUP(($B134+PARAM!$B$56)/12,Loyalty,2)*$F$1*MAX(V133,0)</f>
        <v>18.557001321003963</v>
      </c>
      <c r="U134" s="75">
        <f>PARAM!$C$26+MAX($G$7-CHOOSE(PARAM!$B$44,MAX(0,V133*$F$1),0),0)*RATES!$L110/12+$H$7*(PARAM!$D$51/12)*RATES!$N110/100</f>
        <v>8.875</v>
      </c>
      <c r="V134" s="16">
        <f t="shared" si="73"/>
        <v>-113.43401585204393</v>
      </c>
      <c r="W134" s="15">
        <f t="shared" si="48"/>
        <v>22.170849845882874</v>
      </c>
      <c r="X134" s="75">
        <f>W134*(1-PARAM!$C$27)*$I$8+(MOD($B134,60)=PARAM!$B$56)*($B134&gt;(60-PARAM!$B$56))*HLOOKUP(($B134+PARAM!$B$56)/12,Loyalty,2)*$F$1*MAX(Z133,0)</f>
        <v>18.557001321003963</v>
      </c>
      <c r="Y134" s="75">
        <f>PARAM!$C$26+MAX($G$8-CHOOSE(PARAM!$B$44,MAX(0,Z133*$F$1),0),0)*RATES!$L110/12+$H$8*(PARAM!$D$51/12)*RATES!$N110/100</f>
        <v>8.875</v>
      </c>
      <c r="Z134" s="16">
        <f t="shared" si="74"/>
        <v>-113.43401585204393</v>
      </c>
      <c r="AA134" s="15">
        <f t="shared" si="49"/>
        <v>22.170849845882874</v>
      </c>
      <c r="AB134" s="75">
        <f>AA134*(1-PARAM!$C$27)*$I$9+(MOD($B134,60)=PARAM!$B$56)*($B134&gt;(60-PARAM!$B$56))*HLOOKUP(($B134+PARAM!$B$56)/12,Loyalty,2)*$F$1*MAX(AD133,0)</f>
        <v>18.557001321003963</v>
      </c>
      <c r="AC134" s="75">
        <f>PARAM!$C$26+MAX($G$9-CHOOSE(PARAM!$B$44,MAX(0,AD133*$F$1),0),0)*RATES!$L110/12+$H$9*(PARAM!$D$51/12)*RATES!$N110/100</f>
        <v>8.875</v>
      </c>
      <c r="AD134" s="16">
        <f t="shared" si="75"/>
        <v>-113.43401585204393</v>
      </c>
      <c r="AE134" s="15">
        <f t="shared" si="50"/>
        <v>22.170849845882874</v>
      </c>
      <c r="AF134" s="75">
        <f>AE134*(1-PARAM!$C$27)*$I$10+(MOD($B134,60)=PARAM!$B$56)*($B134&gt;(60-PARAM!$B$56))*HLOOKUP(($B134+PARAM!$B$56)/12,Loyalty,2)*$F$1*MAX(AH133,0)</f>
        <v>18.557001321003963</v>
      </c>
      <c r="AG134" s="75">
        <f>PARAM!$C$26+MAX($G$10-CHOOSE(PARAM!$B$44,MAX(0,AH133*$F$1),0),0)*RATES!$L110/12+$H$10*(PARAM!$D$51/12)*RATES!$N110/100</f>
        <v>8.875</v>
      </c>
      <c r="AH134" s="16">
        <f t="shared" si="76"/>
        <v>-113.43401585204393</v>
      </c>
      <c r="AI134" s="15">
        <f t="shared" si="51"/>
        <v>22.170849845882874</v>
      </c>
      <c r="AJ134" s="75">
        <f>AI134*(1-PARAM!$C$27)*$I$11+(MOD($B134,60)=PARAM!$B$56)*($B134&gt;(60-PARAM!$B$56))*HLOOKUP(($B134+PARAM!$B$56)/12,Loyalty,2)*$F$1*MAX(AL133,0)</f>
        <v>18.557001321003963</v>
      </c>
      <c r="AK134" s="75">
        <f>PARAM!$C$26+MAX($G$11-CHOOSE(PARAM!$B$44,MAX(0,AL133*$F$1),0),0)*RATES!$L110/12+$H$11*(PARAM!$D$51/12)*RATES!$N110/100</f>
        <v>8.875</v>
      </c>
      <c r="AL134" s="16">
        <f t="shared" si="77"/>
        <v>-113.43401585204393</v>
      </c>
      <c r="AM134" s="15">
        <f t="shared" si="52"/>
        <v>22.170849845882874</v>
      </c>
      <c r="AN134" s="75">
        <f>AM134*(1-PARAM!$C$27)*$I$12+(MOD($B134,60)=PARAM!$B$56)*($B134&gt;(60-PARAM!$B$56))*HLOOKUP(($B134+PARAM!$B$56)/12,Loyalty,2)*$F$1*MAX(AP133,0)</f>
        <v>18.557001321003963</v>
      </c>
      <c r="AO134" s="75">
        <f>PARAM!$C$26+MAX($G$12-CHOOSE(PARAM!$B$44,MAX(0,AP133*$F$1),0),0)*RATES!$L110/12+$H$12*(PARAM!$D$51/12)*RATES!$N110/100</f>
        <v>8.875</v>
      </c>
      <c r="AP134" s="16">
        <f t="shared" si="78"/>
        <v>-113.43401585204393</v>
      </c>
      <c r="AQ134" s="15">
        <f t="shared" si="53"/>
        <v>22.170849845882874</v>
      </c>
      <c r="AR134" s="75">
        <f>AQ134*(1-PARAM!$C$27)*$I$13+(MOD($B134,60)=PARAM!$B$56)*($B134&gt;(60-PARAM!$B$56))*HLOOKUP(($B134+PARAM!$B$56)/12,Loyalty,2)*$F$1*MAX(AT133,0)</f>
        <v>18.557001321003963</v>
      </c>
      <c r="AS134" s="75">
        <f>PARAM!$C$26+MAX($G$13-CHOOSE(PARAM!$B$44,MAX(0,AT133*$F$1),0),0)*RATES!$L110/12+$H$13*(PARAM!$D$51/12)*RATES!$N110/100</f>
        <v>8.875</v>
      </c>
      <c r="AT134" s="16">
        <f t="shared" si="79"/>
        <v>-113.43401585204393</v>
      </c>
      <c r="AU134" s="15">
        <f t="shared" si="54"/>
        <v>22.170849845882874</v>
      </c>
      <c r="AV134" s="75">
        <f>AU134*(1-PARAM!$C$27)*$I$14+(MOD($B134,60)=PARAM!$B$56)*($B134&gt;(60-PARAM!$B$56))*HLOOKUP(($B134+PARAM!$B$56)/12,Loyalty,2)*$F$1*MAX(AX133,0)</f>
        <v>18.557001321003963</v>
      </c>
      <c r="AW134" s="75">
        <f>PARAM!$C$26+MAX($G$14-CHOOSE(PARAM!$B$44,MAX(0,AX133*$F$1),0),0)*RATES!$L110/12+$H$14*(PARAM!$D$51/12)*RATES!$N110/100</f>
        <v>8.875</v>
      </c>
      <c r="AX134" s="16">
        <f t="shared" si="80"/>
        <v>-113.43401585204393</v>
      </c>
      <c r="AY134" s="15">
        <f t="shared" si="55"/>
        <v>22.170849845882874</v>
      </c>
      <c r="AZ134" s="75">
        <f>AY134*(1-PARAM!$C$27)*$I$15+(MOD($B134,60)=PARAM!$B$56)*($B134&gt;(60-PARAM!$B$56))*HLOOKUP(($B134+PARAM!$B$56)/12,Loyalty,2)*$F$1*MAX(BB133,0)</f>
        <v>18.557001321003963</v>
      </c>
      <c r="BA134" s="75">
        <f>PARAM!$C$26+MAX($G$15-CHOOSE(PARAM!$B$44,MAX(0,BB133*$F$1),0),0)*RATES!$L110/12+$H$15*(PARAM!$D$51/12)*RATES!$N110/100</f>
        <v>8.875</v>
      </c>
      <c r="BB134" s="16">
        <f t="shared" si="81"/>
        <v>-113.43401585204393</v>
      </c>
      <c r="BC134" s="15">
        <f t="shared" si="56"/>
        <v>22.170849845882874</v>
      </c>
      <c r="BD134" s="75">
        <f>BC134*(1-PARAM!$C$27)*$I$16+(MOD($B134,60)=PARAM!$B$56)*($B134&gt;(60-PARAM!$B$56))*HLOOKUP(($B134+PARAM!$B$56)/12,Loyalty,2)*$F$1*MAX(BF133,0)</f>
        <v>18.557001321003963</v>
      </c>
      <c r="BE134" s="75">
        <f>PARAM!$C$26+MAX($G$16-CHOOSE(PARAM!$B$44,MAX(0,BF133*$F$1),0),0)*RATES!$L110/12+$H$16*(PARAM!$D$51/12)*RATES!$N110/100</f>
        <v>8.875</v>
      </c>
      <c r="BF134" s="16">
        <f t="shared" si="82"/>
        <v>-113.43401585204393</v>
      </c>
      <c r="BG134" s="15">
        <f t="shared" si="57"/>
        <v>22.170849845882874</v>
      </c>
      <c r="BH134" s="75">
        <f>BG134*(1-PARAM!$C$27)*$I$17+(MOD($B134,60)=PARAM!$B$56)*($B134&gt;(60-PARAM!$B$56))*HLOOKUP(($B134+PARAM!$B$56)/12,Loyalty,2)*$F$1*MAX(BJ133,0)</f>
        <v>18.557001321003963</v>
      </c>
      <c r="BI134" s="75">
        <f>PARAM!$C$26+MAX($G$17-CHOOSE(PARAM!$B$44,MAX(0,BJ133*$F$1),0),0)*RATES!$L110/12+$H$17*(PARAM!$D$51/12)*RATES!$N110/100</f>
        <v>8.875</v>
      </c>
      <c r="BJ134" s="16">
        <f t="shared" si="83"/>
        <v>-113.43401585204393</v>
      </c>
      <c r="BK134" s="15">
        <f t="shared" si="58"/>
        <v>22.170849845882874</v>
      </c>
      <c r="BL134" s="75">
        <f>BK134*(1-PARAM!$C$27)*$I$18+(MOD($B134,60)=PARAM!$B$56)*($B134&gt;(60-PARAM!$B$56))*HLOOKUP(($B134+PARAM!$B$56)/12,Loyalty,2)*$F$1*MAX(BN133,0)</f>
        <v>18.557001321003963</v>
      </c>
      <c r="BM134" s="75">
        <f>PARAM!$C$26+MAX($G$18-CHOOSE(PARAM!$B$44,MAX(0,BN133*$F$1),0),0)*RATES!$L110/12+$H$18*(PARAM!$D$51/12)*RATES!$N110/100</f>
        <v>8.875</v>
      </c>
      <c r="BN134" s="16">
        <f t="shared" si="84"/>
        <v>-113.43401585204393</v>
      </c>
      <c r="BO134" s="15">
        <f t="shared" si="59"/>
        <v>22.170849845882874</v>
      </c>
      <c r="BP134" s="75">
        <f>BO134*(1-PARAM!$C$27)*$I$19+(MOD($B134,60)=PARAM!$B$56)*($B134&gt;(60-PARAM!$B$56))*HLOOKUP(($B134+PARAM!$B$56)/12,Loyalty,2)*$F$1*MAX(BR133,0)</f>
        <v>18.557001321003963</v>
      </c>
      <c r="BQ134" s="75">
        <f>PARAM!$C$26+MAX($G$19-CHOOSE(PARAM!$B$44,MAX(0,BR133*$F$1),0),0)*RATES!$L110/12+$H$19*(PARAM!$D$51/12)*RATES!$N110/100</f>
        <v>8.875</v>
      </c>
      <c r="BR134" s="16">
        <f t="shared" si="85"/>
        <v>-113.43401585204393</v>
      </c>
      <c r="BS134" s="15">
        <f t="shared" si="60"/>
        <v>22.170849845882874</v>
      </c>
      <c r="BT134" s="75">
        <f>BS134*(1-PARAM!$C$27)*$I$20+(MOD($B134,60)=PARAM!$B$56)*($B134&gt;(60-PARAM!$B$56))*HLOOKUP(($B134+PARAM!$B$56)/12,Loyalty,2)*$F$1*MAX(BV133,0)</f>
        <v>18.557001321003963</v>
      </c>
      <c r="BU134" s="75">
        <f>PARAM!$C$26+MAX($G$20-CHOOSE(PARAM!$B$44,MAX(0,BV133*$F$1),0),0)*RATES!$L110/12+$H$20*(PARAM!$D$51/12)*RATES!$N110/100</f>
        <v>8.875</v>
      </c>
      <c r="BV134" s="16">
        <f t="shared" si="86"/>
        <v>-113.43401585204393</v>
      </c>
      <c r="BW134" s="15">
        <f t="shared" si="61"/>
        <v>22.170849845882874</v>
      </c>
      <c r="BX134" s="75">
        <f>BW134*(1-PARAM!$C$27)*$I$21+(MOD($B134,60)=PARAM!$B$56)*($B134&gt;(60-PARAM!$B$56))*HLOOKUP(($B134+PARAM!$B$56)/12,Loyalty,2)*$F$1*MAX(BZ133,0)</f>
        <v>18.557001321003963</v>
      </c>
      <c r="BY134" s="75">
        <f>PARAM!$C$26+MAX($G$21-CHOOSE(PARAM!$B$44,MAX(0,BZ133*$F$1),0),0)*RATES!$L110/12+$H$21*(PARAM!$D$51/12)*RATES!$N110/100</f>
        <v>8.875</v>
      </c>
      <c r="BZ134" s="16">
        <f t="shared" si="87"/>
        <v>-113.43401585204393</v>
      </c>
      <c r="CA134" s="15">
        <f t="shared" si="62"/>
        <v>22.170849845882874</v>
      </c>
      <c r="CB134" s="75">
        <f>CA134*(1-PARAM!$C$27)*$I$22+(MOD($B134,60)=PARAM!$B$56)*($B134&gt;(60-PARAM!$B$56))*HLOOKUP(($B134+PARAM!$B$56)/12,Loyalty,2)*$F$1*MAX(CD133,0)</f>
        <v>18.557001321003963</v>
      </c>
      <c r="CC134" s="75">
        <f>PARAM!$C$26+MAX($G$22-CHOOSE(PARAM!$B$44,MAX(0,CD133*$F$1),0),0)*RATES!$L110/12+$H$22*(PARAM!$D$51/12)*RATES!$N110/100</f>
        <v>8.875</v>
      </c>
      <c r="CD134" s="16">
        <f t="shared" si="88"/>
        <v>-113.43401585204393</v>
      </c>
      <c r="CE134" s="33">
        <f>IF(0=MOD(B134,12/PARAM!$D$51),1,0)</f>
        <v>1</v>
      </c>
      <c r="CF134" s="15">
        <f t="shared" si="63"/>
        <v>0</v>
      </c>
      <c r="CG134" s="75">
        <f>CF134*(1-PARAM!$C$27)*$R$3+(MOD($B134/12,5)=0)*($B134&gt;60)*HLOOKUP($B134/12,Loyalty,2)*$F$1*MAX(CI133,0)</f>
        <v>0</v>
      </c>
      <c r="CH134" s="75">
        <f>PARAM!$C$26+MAX($P$3-CHOOSE(PARAM!$B$44,MAX(0,CI133*$F$1),0),0)*RATES!$L110/12+$Q$3*(PARAM!$D$51/12)*RATES!$N110/100</f>
        <v>8.875</v>
      </c>
      <c r="CI134" s="16">
        <f>IF(CI133&gt;0,CI133*PARAM!$C$53,CI133)+CG134-CH134</f>
        <v>-1904.7499999999991</v>
      </c>
      <c r="CJ134" s="15">
        <f t="shared" si="89"/>
        <v>0</v>
      </c>
      <c r="CK134" s="75">
        <f>CJ134*(1-PARAM!$C$27)*$R$4+(MOD($B134/12,5)=0)*($B134&gt;60)*HLOOKUP($B134/12,Loyalty,2)*$F$1*MAX(CM133,0)</f>
        <v>0</v>
      </c>
      <c r="CL134" s="75">
        <f>PARAM!$C$26+MAX($P$4-CHOOSE(PARAM!$B$44,MAX(0,CM133*$F$1),0),0)*RATES!$L110/12+$Q$4*(PARAM!$D$51/12)*RATES!$N110/100</f>
        <v>8.875</v>
      </c>
      <c r="CM134" s="16">
        <f>IF(CM133&gt;0,CM133*PARAM!$C$53,CM133)+CK134-CL134</f>
        <v>-1904.7499999999991</v>
      </c>
      <c r="CO134" s="176"/>
    </row>
    <row r="135" spans="1:93" x14ac:dyDescent="0.2">
      <c r="A135" t="b">
        <f t="shared" si="64"/>
        <v>0</v>
      </c>
      <c r="B135" s="33">
        <v>108</v>
      </c>
      <c r="C135" s="15">
        <f t="shared" si="65"/>
        <v>20.081305947392778</v>
      </c>
      <c r="D135" s="75">
        <f>C135*(1-PARAM!$C$27)*$I$3+(MOD($B135,60)=PARAM!$B$56)*($B135&gt;(60-PARAM!$B$56))*HLOOKUP(($B135+PARAM!$B$56)/12,Loyalty,2)*$F$1*MAX(F134,0)</f>
        <v>16.808053077967756</v>
      </c>
      <c r="E135" s="75">
        <f>PARAM!$C$26+MAX($G$3-CHOOSE(PARAM!$B$44,MAX(0,F134*$F$1),0),0)*RATES!$L111/12+$H$3*(PARAM!$D$51/12)*RATES!$N111/100</f>
        <v>8.875</v>
      </c>
      <c r="F135" s="16">
        <f t="shared" si="66"/>
        <v>-274.32775159648293</v>
      </c>
      <c r="G135" s="15">
        <f t="shared" si="67"/>
        <v>22.035289406060361</v>
      </c>
      <c r="H135" s="75">
        <f>G135*(1-PARAM!$C$27)*$I$4+(MOD($B135,60)=PARAM!$B$56)*($B135&gt;(60-PARAM!$B$56))*HLOOKUP(($B135+PARAM!$B$56)/12,Loyalty,2)*$F$1*MAX(J134,0)</f>
        <v>18.443537232872522</v>
      </c>
      <c r="I135" s="75">
        <f>PARAM!$C$26+MAX($G$4-CHOOSE(PARAM!$B$44,MAX(0,J134*$F$1),0),0)*RATES!$L111/12+$H$4*(PARAM!$D$51/12)*RATES!$N111/100</f>
        <v>8.875</v>
      </c>
      <c r="J135" s="16">
        <f t="shared" si="68"/>
        <v>-114.81821991507434</v>
      </c>
      <c r="K135" s="15">
        <f t="shared" si="69"/>
        <v>22.170849845882874</v>
      </c>
      <c r="L135" s="75">
        <f>K135*(1-PARAM!$C$27)*$I$5+(MOD($B135,60)=PARAM!$B$56)*($B135&gt;(60-PARAM!$B$56))*HLOOKUP(($B135+PARAM!$B$56)/12,Loyalty,2)*$F$1*MAX(N134,0)</f>
        <v>18.557001321003963</v>
      </c>
      <c r="M135" s="75">
        <f>PARAM!$C$26+MAX($G$5-CHOOSE(PARAM!$B$44,MAX(0,N134*$F$1),0),0)*RATES!$L111/12+$H$5*(PARAM!$D$51/12)*RATES!$N111/100</f>
        <v>8.875</v>
      </c>
      <c r="N135" s="16">
        <f t="shared" si="70"/>
        <v>-103.75201453103996</v>
      </c>
      <c r="O135" s="15">
        <f t="shared" si="71"/>
        <v>22.170849845882874</v>
      </c>
      <c r="P135" s="75">
        <f>O135*(1-PARAM!$C$27)*$I$6+(MOD($B135,60)=PARAM!$B$56)*($B135&gt;(60-PARAM!$B$56))*HLOOKUP(($B135+PARAM!$B$56)/12,Loyalty,2)*$F$1*MAX(R134,0)</f>
        <v>18.557001321003963</v>
      </c>
      <c r="Q135" s="75">
        <f>PARAM!$C$26+MAX($G$6-CHOOSE(PARAM!$B$44,MAX(0,R134*$F$1),0),0)*RATES!$L111/12+$H$6*(PARAM!$D$51/12)*RATES!$N111/100</f>
        <v>8.875</v>
      </c>
      <c r="R135" s="16">
        <f t="shared" si="72"/>
        <v>-103.75201453103996</v>
      </c>
      <c r="S135" s="15">
        <f t="shared" si="47"/>
        <v>22.170849845882874</v>
      </c>
      <c r="T135" s="75">
        <f>S135*(1-PARAM!$C$27)*$I$7+(MOD($B135,60)=PARAM!$B$56)*($B135&gt;(60-PARAM!$B$56))*HLOOKUP(($B135+PARAM!$B$56)/12,Loyalty,2)*$F$1*MAX(V134,0)</f>
        <v>18.557001321003963</v>
      </c>
      <c r="U135" s="75">
        <f>PARAM!$C$26+MAX($G$7-CHOOSE(PARAM!$B$44,MAX(0,V134*$F$1),0),0)*RATES!$L111/12+$H$7*(PARAM!$D$51/12)*RATES!$N111/100</f>
        <v>8.875</v>
      </c>
      <c r="V135" s="16">
        <f t="shared" si="73"/>
        <v>-103.75201453103996</v>
      </c>
      <c r="W135" s="15">
        <f t="shared" si="48"/>
        <v>22.170849845882874</v>
      </c>
      <c r="X135" s="75">
        <f>W135*(1-PARAM!$C$27)*$I$8+(MOD($B135,60)=PARAM!$B$56)*($B135&gt;(60-PARAM!$B$56))*HLOOKUP(($B135+PARAM!$B$56)/12,Loyalty,2)*$F$1*MAX(Z134,0)</f>
        <v>18.557001321003963</v>
      </c>
      <c r="Y135" s="75">
        <f>PARAM!$C$26+MAX($G$8-CHOOSE(PARAM!$B$44,MAX(0,Z134*$F$1),0),0)*RATES!$L111/12+$H$8*(PARAM!$D$51/12)*RATES!$N111/100</f>
        <v>8.875</v>
      </c>
      <c r="Z135" s="16">
        <f t="shared" si="74"/>
        <v>-103.75201453103996</v>
      </c>
      <c r="AA135" s="15">
        <f t="shared" si="49"/>
        <v>22.170849845882874</v>
      </c>
      <c r="AB135" s="75">
        <f>AA135*(1-PARAM!$C$27)*$I$9+(MOD($B135,60)=PARAM!$B$56)*($B135&gt;(60-PARAM!$B$56))*HLOOKUP(($B135+PARAM!$B$56)/12,Loyalty,2)*$F$1*MAX(AD134,0)</f>
        <v>18.557001321003963</v>
      </c>
      <c r="AC135" s="75">
        <f>PARAM!$C$26+MAX($G$9-CHOOSE(PARAM!$B$44,MAX(0,AD134*$F$1),0),0)*RATES!$L111/12+$H$9*(PARAM!$D$51/12)*RATES!$N111/100</f>
        <v>8.875</v>
      </c>
      <c r="AD135" s="16">
        <f t="shared" si="75"/>
        <v>-103.75201453103996</v>
      </c>
      <c r="AE135" s="15">
        <f t="shared" si="50"/>
        <v>22.170849845882874</v>
      </c>
      <c r="AF135" s="75">
        <f>AE135*(1-PARAM!$C$27)*$I$10+(MOD($B135,60)=PARAM!$B$56)*($B135&gt;(60-PARAM!$B$56))*HLOOKUP(($B135+PARAM!$B$56)/12,Loyalty,2)*$F$1*MAX(AH134,0)</f>
        <v>18.557001321003963</v>
      </c>
      <c r="AG135" s="75">
        <f>PARAM!$C$26+MAX($G$10-CHOOSE(PARAM!$B$44,MAX(0,AH134*$F$1),0),0)*RATES!$L111/12+$H$10*(PARAM!$D$51/12)*RATES!$N111/100</f>
        <v>8.875</v>
      </c>
      <c r="AH135" s="16">
        <f t="shared" si="76"/>
        <v>-103.75201453103996</v>
      </c>
      <c r="AI135" s="15">
        <f t="shared" si="51"/>
        <v>22.170849845882874</v>
      </c>
      <c r="AJ135" s="75">
        <f>AI135*(1-PARAM!$C$27)*$I$11+(MOD($B135,60)=PARAM!$B$56)*($B135&gt;(60-PARAM!$B$56))*HLOOKUP(($B135+PARAM!$B$56)/12,Loyalty,2)*$F$1*MAX(AL134,0)</f>
        <v>18.557001321003963</v>
      </c>
      <c r="AK135" s="75">
        <f>PARAM!$C$26+MAX($G$11-CHOOSE(PARAM!$B$44,MAX(0,AL134*$F$1),0),0)*RATES!$L111/12+$H$11*(PARAM!$D$51/12)*RATES!$N111/100</f>
        <v>8.875</v>
      </c>
      <c r="AL135" s="16">
        <f t="shared" si="77"/>
        <v>-103.75201453103996</v>
      </c>
      <c r="AM135" s="15">
        <f t="shared" si="52"/>
        <v>22.170849845882874</v>
      </c>
      <c r="AN135" s="75">
        <f>AM135*(1-PARAM!$C$27)*$I$12+(MOD($B135,60)=PARAM!$B$56)*($B135&gt;(60-PARAM!$B$56))*HLOOKUP(($B135+PARAM!$B$56)/12,Loyalty,2)*$F$1*MAX(AP134,0)</f>
        <v>18.557001321003963</v>
      </c>
      <c r="AO135" s="75">
        <f>PARAM!$C$26+MAX($G$12-CHOOSE(PARAM!$B$44,MAX(0,AP134*$F$1),0),0)*RATES!$L111/12+$H$12*(PARAM!$D$51/12)*RATES!$N111/100</f>
        <v>8.875</v>
      </c>
      <c r="AP135" s="16">
        <f t="shared" si="78"/>
        <v>-103.75201453103996</v>
      </c>
      <c r="AQ135" s="15">
        <f t="shared" si="53"/>
        <v>22.170849845882874</v>
      </c>
      <c r="AR135" s="75">
        <f>AQ135*(1-PARAM!$C$27)*$I$13+(MOD($B135,60)=PARAM!$B$56)*($B135&gt;(60-PARAM!$B$56))*HLOOKUP(($B135+PARAM!$B$56)/12,Loyalty,2)*$F$1*MAX(AT134,0)</f>
        <v>18.557001321003963</v>
      </c>
      <c r="AS135" s="75">
        <f>PARAM!$C$26+MAX($G$13-CHOOSE(PARAM!$B$44,MAX(0,AT134*$F$1),0),0)*RATES!$L111/12+$H$13*(PARAM!$D$51/12)*RATES!$N111/100</f>
        <v>8.875</v>
      </c>
      <c r="AT135" s="16">
        <f t="shared" si="79"/>
        <v>-103.75201453103996</v>
      </c>
      <c r="AU135" s="15">
        <f t="shared" si="54"/>
        <v>22.170849845882874</v>
      </c>
      <c r="AV135" s="75">
        <f>AU135*(1-PARAM!$C$27)*$I$14+(MOD($B135,60)=PARAM!$B$56)*($B135&gt;(60-PARAM!$B$56))*HLOOKUP(($B135+PARAM!$B$56)/12,Loyalty,2)*$F$1*MAX(AX134,0)</f>
        <v>18.557001321003963</v>
      </c>
      <c r="AW135" s="75">
        <f>PARAM!$C$26+MAX($G$14-CHOOSE(PARAM!$B$44,MAX(0,AX134*$F$1),0),0)*RATES!$L111/12+$H$14*(PARAM!$D$51/12)*RATES!$N111/100</f>
        <v>8.875</v>
      </c>
      <c r="AX135" s="16">
        <f t="shared" si="80"/>
        <v>-103.75201453103996</v>
      </c>
      <c r="AY135" s="15">
        <f t="shared" si="55"/>
        <v>22.170849845882874</v>
      </c>
      <c r="AZ135" s="75">
        <f>AY135*(1-PARAM!$C$27)*$I$15+(MOD($B135,60)=PARAM!$B$56)*($B135&gt;(60-PARAM!$B$56))*HLOOKUP(($B135+PARAM!$B$56)/12,Loyalty,2)*$F$1*MAX(BB134,0)</f>
        <v>18.557001321003963</v>
      </c>
      <c r="BA135" s="75">
        <f>PARAM!$C$26+MAX($G$15-CHOOSE(PARAM!$B$44,MAX(0,BB134*$F$1),0),0)*RATES!$L111/12+$H$15*(PARAM!$D$51/12)*RATES!$N111/100</f>
        <v>8.875</v>
      </c>
      <c r="BB135" s="16">
        <f t="shared" si="81"/>
        <v>-103.75201453103996</v>
      </c>
      <c r="BC135" s="15">
        <f t="shared" si="56"/>
        <v>22.170849845882874</v>
      </c>
      <c r="BD135" s="75">
        <f>BC135*(1-PARAM!$C$27)*$I$16+(MOD($B135,60)=PARAM!$B$56)*($B135&gt;(60-PARAM!$B$56))*HLOOKUP(($B135+PARAM!$B$56)/12,Loyalty,2)*$F$1*MAX(BF134,0)</f>
        <v>18.557001321003963</v>
      </c>
      <c r="BE135" s="75">
        <f>PARAM!$C$26+MAX($G$16-CHOOSE(PARAM!$B$44,MAX(0,BF134*$F$1),0),0)*RATES!$L111/12+$H$16*(PARAM!$D$51/12)*RATES!$N111/100</f>
        <v>8.875</v>
      </c>
      <c r="BF135" s="16">
        <f t="shared" si="82"/>
        <v>-103.75201453103996</v>
      </c>
      <c r="BG135" s="15">
        <f t="shared" si="57"/>
        <v>22.170849845882874</v>
      </c>
      <c r="BH135" s="75">
        <f>BG135*(1-PARAM!$C$27)*$I$17+(MOD($B135,60)=PARAM!$B$56)*($B135&gt;(60-PARAM!$B$56))*HLOOKUP(($B135+PARAM!$B$56)/12,Loyalty,2)*$F$1*MAX(BJ134,0)</f>
        <v>18.557001321003963</v>
      </c>
      <c r="BI135" s="75">
        <f>PARAM!$C$26+MAX($G$17-CHOOSE(PARAM!$B$44,MAX(0,BJ134*$F$1),0),0)*RATES!$L111/12+$H$17*(PARAM!$D$51/12)*RATES!$N111/100</f>
        <v>8.875</v>
      </c>
      <c r="BJ135" s="16">
        <f t="shared" si="83"/>
        <v>-103.75201453103996</v>
      </c>
      <c r="BK135" s="15">
        <f t="shared" si="58"/>
        <v>22.170849845882874</v>
      </c>
      <c r="BL135" s="75">
        <f>BK135*(1-PARAM!$C$27)*$I$18+(MOD($B135,60)=PARAM!$B$56)*($B135&gt;(60-PARAM!$B$56))*HLOOKUP(($B135+PARAM!$B$56)/12,Loyalty,2)*$F$1*MAX(BN134,0)</f>
        <v>18.557001321003963</v>
      </c>
      <c r="BM135" s="75">
        <f>PARAM!$C$26+MAX($G$18-CHOOSE(PARAM!$B$44,MAX(0,BN134*$F$1),0),0)*RATES!$L111/12+$H$18*(PARAM!$D$51/12)*RATES!$N111/100</f>
        <v>8.875</v>
      </c>
      <c r="BN135" s="16">
        <f t="shared" si="84"/>
        <v>-103.75201453103996</v>
      </c>
      <c r="BO135" s="15">
        <f t="shared" si="59"/>
        <v>22.170849845882874</v>
      </c>
      <c r="BP135" s="75">
        <f>BO135*(1-PARAM!$C$27)*$I$19+(MOD($B135,60)=PARAM!$B$56)*($B135&gt;(60-PARAM!$B$56))*HLOOKUP(($B135+PARAM!$B$56)/12,Loyalty,2)*$F$1*MAX(BR134,0)</f>
        <v>18.557001321003963</v>
      </c>
      <c r="BQ135" s="75">
        <f>PARAM!$C$26+MAX($G$19-CHOOSE(PARAM!$B$44,MAX(0,BR134*$F$1),0),0)*RATES!$L111/12+$H$19*(PARAM!$D$51/12)*RATES!$N111/100</f>
        <v>8.875</v>
      </c>
      <c r="BR135" s="16">
        <f t="shared" si="85"/>
        <v>-103.75201453103996</v>
      </c>
      <c r="BS135" s="15">
        <f t="shared" si="60"/>
        <v>22.170849845882874</v>
      </c>
      <c r="BT135" s="75">
        <f>BS135*(1-PARAM!$C$27)*$I$20+(MOD($B135,60)=PARAM!$B$56)*($B135&gt;(60-PARAM!$B$56))*HLOOKUP(($B135+PARAM!$B$56)/12,Loyalty,2)*$F$1*MAX(BV134,0)</f>
        <v>18.557001321003963</v>
      </c>
      <c r="BU135" s="75">
        <f>PARAM!$C$26+MAX($G$20-CHOOSE(PARAM!$B$44,MAX(0,BV134*$F$1),0),0)*RATES!$L111/12+$H$20*(PARAM!$D$51/12)*RATES!$N111/100</f>
        <v>8.875</v>
      </c>
      <c r="BV135" s="16">
        <f t="shared" si="86"/>
        <v>-103.75201453103996</v>
      </c>
      <c r="BW135" s="15">
        <f t="shared" si="61"/>
        <v>22.170849845882874</v>
      </c>
      <c r="BX135" s="75">
        <f>BW135*(1-PARAM!$C$27)*$I$21+(MOD($B135,60)=PARAM!$B$56)*($B135&gt;(60-PARAM!$B$56))*HLOOKUP(($B135+PARAM!$B$56)/12,Loyalty,2)*$F$1*MAX(BZ134,0)</f>
        <v>18.557001321003963</v>
      </c>
      <c r="BY135" s="75">
        <f>PARAM!$C$26+MAX($G$21-CHOOSE(PARAM!$B$44,MAX(0,BZ134*$F$1),0),0)*RATES!$L111/12+$H$21*(PARAM!$D$51/12)*RATES!$N111/100</f>
        <v>8.875</v>
      </c>
      <c r="BZ135" s="16">
        <f t="shared" si="87"/>
        <v>-103.75201453103996</v>
      </c>
      <c r="CA135" s="15">
        <f t="shared" si="62"/>
        <v>22.170849845882874</v>
      </c>
      <c r="CB135" s="75">
        <f>CA135*(1-PARAM!$C$27)*$I$22+(MOD($B135,60)=PARAM!$B$56)*($B135&gt;(60-PARAM!$B$56))*HLOOKUP(($B135+PARAM!$B$56)/12,Loyalty,2)*$F$1*MAX(CD134,0)</f>
        <v>18.557001321003963</v>
      </c>
      <c r="CC135" s="75">
        <f>PARAM!$C$26+MAX($G$22-CHOOSE(PARAM!$B$44,MAX(0,CD134*$F$1),0),0)*RATES!$L111/12+$H$22*(PARAM!$D$51/12)*RATES!$N111/100</f>
        <v>8.875</v>
      </c>
      <c r="CD135" s="16">
        <f t="shared" si="88"/>
        <v>-103.75201453103996</v>
      </c>
      <c r="CE135" s="33">
        <f>IF(0=MOD(B135,12/PARAM!$D$51),1,0)</f>
        <v>1</v>
      </c>
      <c r="CF135" s="15">
        <f t="shared" si="63"/>
        <v>0</v>
      </c>
      <c r="CG135" s="75">
        <f>CF135*(1-PARAM!$C$27)*$R$3+(MOD($B135/12,5)=0)*($B135&gt;60)*HLOOKUP($B135/12,Loyalty,2)*$F$1*MAX(CI134,0)</f>
        <v>0</v>
      </c>
      <c r="CH135" s="75">
        <f>PARAM!$C$26+MAX($P$3-CHOOSE(PARAM!$B$44,MAX(0,CI134*$F$1),0),0)*RATES!$L111/12+$Q$3*(PARAM!$D$51/12)*RATES!$N111/100</f>
        <v>8.875</v>
      </c>
      <c r="CI135" s="16">
        <f>IF(CI134&gt;0,CI134*PARAM!$C$53,CI134)+CG135-CH135</f>
        <v>-1913.6249999999991</v>
      </c>
      <c r="CJ135" s="15">
        <f t="shared" si="89"/>
        <v>0</v>
      </c>
      <c r="CK135" s="75">
        <f>CJ135*(1-PARAM!$C$27)*$R$4+(MOD($B135/12,5)=0)*($B135&gt;60)*HLOOKUP($B135/12,Loyalty,2)*$F$1*MAX(CM134,0)</f>
        <v>0</v>
      </c>
      <c r="CL135" s="75">
        <f>PARAM!$C$26+MAX($P$4-CHOOSE(PARAM!$B$44,MAX(0,CM134*$F$1),0),0)*RATES!$L111/12+$Q$4*(PARAM!$D$51/12)*RATES!$N111/100</f>
        <v>8.875</v>
      </c>
      <c r="CM135" s="16">
        <f>IF(CM134&gt;0,CM134*PARAM!$C$53,CM134)+CK135-CL135</f>
        <v>-1913.6249999999991</v>
      </c>
      <c r="CO135" s="176"/>
    </row>
    <row r="136" spans="1:93" x14ac:dyDescent="0.2">
      <c r="A136" t="b">
        <f t="shared" si="64"/>
        <v>0</v>
      </c>
      <c r="B136" s="33">
        <v>109</v>
      </c>
      <c r="C136" s="15">
        <f t="shared" si="65"/>
        <v>20.081305947392778</v>
      </c>
      <c r="D136" s="75">
        <f>C136*(1-PARAM!$C$27)*$I$3+(MOD($B136,60)=PARAM!$B$56)*($B136&gt;(60-PARAM!$B$56))*HLOOKUP(($B136+PARAM!$B$56)/12,Loyalty,2)*$F$1*MAX(F135,0)</f>
        <v>16.808053077967756</v>
      </c>
      <c r="E136" s="75">
        <f>PARAM!$C$26+MAX($G$3-CHOOSE(PARAM!$B$44,MAX(0,F135*$F$1),0),0)*RATES!$L112/12+$H$3*(PARAM!$D$51/12)*RATES!$N112/100</f>
        <v>8.875</v>
      </c>
      <c r="F136" s="16">
        <f t="shared" si="66"/>
        <v>-266.39469851851516</v>
      </c>
      <c r="G136" s="15">
        <f t="shared" si="67"/>
        <v>22.035289406060361</v>
      </c>
      <c r="H136" s="75">
        <f>G136*(1-PARAM!$C$27)*$I$4+(MOD($B136,60)=PARAM!$B$56)*($B136&gt;(60-PARAM!$B$56))*HLOOKUP(($B136+PARAM!$B$56)/12,Loyalty,2)*$F$1*MAX(J135,0)</f>
        <v>18.443537232872522</v>
      </c>
      <c r="I136" s="75">
        <f>PARAM!$C$26+MAX($G$4-CHOOSE(PARAM!$B$44,MAX(0,J135*$F$1),0),0)*RATES!$L112/12+$H$4*(PARAM!$D$51/12)*RATES!$N112/100</f>
        <v>8.875</v>
      </c>
      <c r="J136" s="16">
        <f t="shared" si="68"/>
        <v>-105.24968268220181</v>
      </c>
      <c r="K136" s="15">
        <f t="shared" si="69"/>
        <v>22.170849845882874</v>
      </c>
      <c r="L136" s="75">
        <f>K136*(1-PARAM!$C$27)*$I$5+(MOD($B136,60)=PARAM!$B$56)*($B136&gt;(60-PARAM!$B$56))*HLOOKUP(($B136+PARAM!$B$56)/12,Loyalty,2)*$F$1*MAX(N135,0)</f>
        <v>18.557001321003963</v>
      </c>
      <c r="M136" s="75">
        <f>PARAM!$C$26+MAX($G$5-CHOOSE(PARAM!$B$44,MAX(0,N135*$F$1),0),0)*RATES!$L112/12+$H$5*(PARAM!$D$51/12)*RATES!$N112/100</f>
        <v>8.875</v>
      </c>
      <c r="N136" s="16">
        <f t="shared" si="70"/>
        <v>-94.070013210035995</v>
      </c>
      <c r="O136" s="15">
        <f t="shared" si="71"/>
        <v>22.170849845882874</v>
      </c>
      <c r="P136" s="75">
        <f>O136*(1-PARAM!$C$27)*$I$6+(MOD($B136,60)=PARAM!$B$56)*($B136&gt;(60-PARAM!$B$56))*HLOOKUP(($B136+PARAM!$B$56)/12,Loyalty,2)*$F$1*MAX(R135,0)</f>
        <v>18.557001321003963</v>
      </c>
      <c r="Q136" s="75">
        <f>PARAM!$C$26+MAX($G$6-CHOOSE(PARAM!$B$44,MAX(0,R135*$F$1),0),0)*RATES!$L112/12+$H$6*(PARAM!$D$51/12)*RATES!$N112/100</f>
        <v>8.875</v>
      </c>
      <c r="R136" s="16">
        <f t="shared" si="72"/>
        <v>-94.070013210035995</v>
      </c>
      <c r="S136" s="15">
        <f t="shared" si="47"/>
        <v>22.170849845882874</v>
      </c>
      <c r="T136" s="75">
        <f>S136*(1-PARAM!$C$27)*$I$7+(MOD($B136,60)=PARAM!$B$56)*($B136&gt;(60-PARAM!$B$56))*HLOOKUP(($B136+PARAM!$B$56)/12,Loyalty,2)*$F$1*MAX(V135,0)</f>
        <v>18.557001321003963</v>
      </c>
      <c r="U136" s="75">
        <f>PARAM!$C$26+MAX($G$7-CHOOSE(PARAM!$B$44,MAX(0,V135*$F$1),0),0)*RATES!$L112/12+$H$7*(PARAM!$D$51/12)*RATES!$N112/100</f>
        <v>8.875</v>
      </c>
      <c r="V136" s="16">
        <f t="shared" si="73"/>
        <v>-94.070013210035995</v>
      </c>
      <c r="W136" s="15">
        <f t="shared" si="48"/>
        <v>22.170849845882874</v>
      </c>
      <c r="X136" s="75">
        <f>W136*(1-PARAM!$C$27)*$I$8+(MOD($B136,60)=PARAM!$B$56)*($B136&gt;(60-PARAM!$B$56))*HLOOKUP(($B136+PARAM!$B$56)/12,Loyalty,2)*$F$1*MAX(Z135,0)</f>
        <v>18.557001321003963</v>
      </c>
      <c r="Y136" s="75">
        <f>PARAM!$C$26+MAX($G$8-CHOOSE(PARAM!$B$44,MAX(0,Z135*$F$1),0),0)*RATES!$L112/12+$H$8*(PARAM!$D$51/12)*RATES!$N112/100</f>
        <v>8.875</v>
      </c>
      <c r="Z136" s="16">
        <f t="shared" si="74"/>
        <v>-94.070013210035995</v>
      </c>
      <c r="AA136" s="15">
        <f t="shared" si="49"/>
        <v>22.170849845882874</v>
      </c>
      <c r="AB136" s="75">
        <f>AA136*(1-PARAM!$C$27)*$I$9+(MOD($B136,60)=PARAM!$B$56)*($B136&gt;(60-PARAM!$B$56))*HLOOKUP(($B136+PARAM!$B$56)/12,Loyalty,2)*$F$1*MAX(AD135,0)</f>
        <v>18.557001321003963</v>
      </c>
      <c r="AC136" s="75">
        <f>PARAM!$C$26+MAX($G$9-CHOOSE(PARAM!$B$44,MAX(0,AD135*$F$1),0),0)*RATES!$L112/12+$H$9*(PARAM!$D$51/12)*RATES!$N112/100</f>
        <v>8.875</v>
      </c>
      <c r="AD136" s="16">
        <f t="shared" si="75"/>
        <v>-94.070013210035995</v>
      </c>
      <c r="AE136" s="15">
        <f t="shared" si="50"/>
        <v>22.170849845882874</v>
      </c>
      <c r="AF136" s="75">
        <f>AE136*(1-PARAM!$C$27)*$I$10+(MOD($B136,60)=PARAM!$B$56)*($B136&gt;(60-PARAM!$B$56))*HLOOKUP(($B136+PARAM!$B$56)/12,Loyalty,2)*$F$1*MAX(AH135,0)</f>
        <v>18.557001321003963</v>
      </c>
      <c r="AG136" s="75">
        <f>PARAM!$C$26+MAX($G$10-CHOOSE(PARAM!$B$44,MAX(0,AH135*$F$1),0),0)*RATES!$L112/12+$H$10*(PARAM!$D$51/12)*RATES!$N112/100</f>
        <v>8.875</v>
      </c>
      <c r="AH136" s="16">
        <f t="shared" si="76"/>
        <v>-94.070013210035995</v>
      </c>
      <c r="AI136" s="15">
        <f t="shared" si="51"/>
        <v>22.170849845882874</v>
      </c>
      <c r="AJ136" s="75">
        <f>AI136*(1-PARAM!$C$27)*$I$11+(MOD($B136,60)=PARAM!$B$56)*($B136&gt;(60-PARAM!$B$56))*HLOOKUP(($B136+PARAM!$B$56)/12,Loyalty,2)*$F$1*MAX(AL135,0)</f>
        <v>18.557001321003963</v>
      </c>
      <c r="AK136" s="75">
        <f>PARAM!$C$26+MAX($G$11-CHOOSE(PARAM!$B$44,MAX(0,AL135*$F$1),0),0)*RATES!$L112/12+$H$11*(PARAM!$D$51/12)*RATES!$N112/100</f>
        <v>8.875</v>
      </c>
      <c r="AL136" s="16">
        <f t="shared" si="77"/>
        <v>-94.070013210035995</v>
      </c>
      <c r="AM136" s="15">
        <f t="shared" si="52"/>
        <v>22.170849845882874</v>
      </c>
      <c r="AN136" s="75">
        <f>AM136*(1-PARAM!$C$27)*$I$12+(MOD($B136,60)=PARAM!$B$56)*($B136&gt;(60-PARAM!$B$56))*HLOOKUP(($B136+PARAM!$B$56)/12,Loyalty,2)*$F$1*MAX(AP135,0)</f>
        <v>18.557001321003963</v>
      </c>
      <c r="AO136" s="75">
        <f>PARAM!$C$26+MAX($G$12-CHOOSE(PARAM!$B$44,MAX(0,AP135*$F$1),0),0)*RATES!$L112/12+$H$12*(PARAM!$D$51/12)*RATES!$N112/100</f>
        <v>8.875</v>
      </c>
      <c r="AP136" s="16">
        <f t="shared" si="78"/>
        <v>-94.070013210035995</v>
      </c>
      <c r="AQ136" s="15">
        <f t="shared" si="53"/>
        <v>22.170849845882874</v>
      </c>
      <c r="AR136" s="75">
        <f>AQ136*(1-PARAM!$C$27)*$I$13+(MOD($B136,60)=PARAM!$B$56)*($B136&gt;(60-PARAM!$B$56))*HLOOKUP(($B136+PARAM!$B$56)/12,Loyalty,2)*$F$1*MAX(AT135,0)</f>
        <v>18.557001321003963</v>
      </c>
      <c r="AS136" s="75">
        <f>PARAM!$C$26+MAX($G$13-CHOOSE(PARAM!$B$44,MAX(0,AT135*$F$1),0),0)*RATES!$L112/12+$H$13*(PARAM!$D$51/12)*RATES!$N112/100</f>
        <v>8.875</v>
      </c>
      <c r="AT136" s="16">
        <f t="shared" si="79"/>
        <v>-94.070013210035995</v>
      </c>
      <c r="AU136" s="15">
        <f t="shared" si="54"/>
        <v>22.170849845882874</v>
      </c>
      <c r="AV136" s="75">
        <f>AU136*(1-PARAM!$C$27)*$I$14+(MOD($B136,60)=PARAM!$B$56)*($B136&gt;(60-PARAM!$B$56))*HLOOKUP(($B136+PARAM!$B$56)/12,Loyalty,2)*$F$1*MAX(AX135,0)</f>
        <v>18.557001321003963</v>
      </c>
      <c r="AW136" s="75">
        <f>PARAM!$C$26+MAX($G$14-CHOOSE(PARAM!$B$44,MAX(0,AX135*$F$1),0),0)*RATES!$L112/12+$H$14*(PARAM!$D$51/12)*RATES!$N112/100</f>
        <v>8.875</v>
      </c>
      <c r="AX136" s="16">
        <f t="shared" si="80"/>
        <v>-94.070013210035995</v>
      </c>
      <c r="AY136" s="15">
        <f t="shared" si="55"/>
        <v>22.170849845882874</v>
      </c>
      <c r="AZ136" s="75">
        <f>AY136*(1-PARAM!$C$27)*$I$15+(MOD($B136,60)=PARAM!$B$56)*($B136&gt;(60-PARAM!$B$56))*HLOOKUP(($B136+PARAM!$B$56)/12,Loyalty,2)*$F$1*MAX(BB135,0)</f>
        <v>18.557001321003963</v>
      </c>
      <c r="BA136" s="75">
        <f>PARAM!$C$26+MAX($G$15-CHOOSE(PARAM!$B$44,MAX(0,BB135*$F$1),0),0)*RATES!$L112/12+$H$15*(PARAM!$D$51/12)*RATES!$N112/100</f>
        <v>8.875</v>
      </c>
      <c r="BB136" s="16">
        <f t="shared" si="81"/>
        <v>-94.070013210035995</v>
      </c>
      <c r="BC136" s="15">
        <f t="shared" si="56"/>
        <v>22.170849845882874</v>
      </c>
      <c r="BD136" s="75">
        <f>BC136*(1-PARAM!$C$27)*$I$16+(MOD($B136,60)=PARAM!$B$56)*($B136&gt;(60-PARAM!$B$56))*HLOOKUP(($B136+PARAM!$B$56)/12,Loyalty,2)*$F$1*MAX(BF135,0)</f>
        <v>18.557001321003963</v>
      </c>
      <c r="BE136" s="75">
        <f>PARAM!$C$26+MAX($G$16-CHOOSE(PARAM!$B$44,MAX(0,BF135*$F$1),0),0)*RATES!$L112/12+$H$16*(PARAM!$D$51/12)*RATES!$N112/100</f>
        <v>8.875</v>
      </c>
      <c r="BF136" s="16">
        <f t="shared" si="82"/>
        <v>-94.070013210035995</v>
      </c>
      <c r="BG136" s="15">
        <f t="shared" si="57"/>
        <v>22.170849845882874</v>
      </c>
      <c r="BH136" s="75">
        <f>BG136*(1-PARAM!$C$27)*$I$17+(MOD($B136,60)=PARAM!$B$56)*($B136&gt;(60-PARAM!$B$56))*HLOOKUP(($B136+PARAM!$B$56)/12,Loyalty,2)*$F$1*MAX(BJ135,0)</f>
        <v>18.557001321003963</v>
      </c>
      <c r="BI136" s="75">
        <f>PARAM!$C$26+MAX($G$17-CHOOSE(PARAM!$B$44,MAX(0,BJ135*$F$1),0),0)*RATES!$L112/12+$H$17*(PARAM!$D$51/12)*RATES!$N112/100</f>
        <v>8.875</v>
      </c>
      <c r="BJ136" s="16">
        <f t="shared" si="83"/>
        <v>-94.070013210035995</v>
      </c>
      <c r="BK136" s="15">
        <f t="shared" si="58"/>
        <v>22.170849845882874</v>
      </c>
      <c r="BL136" s="75">
        <f>BK136*(1-PARAM!$C$27)*$I$18+(MOD($B136,60)=PARAM!$B$56)*($B136&gt;(60-PARAM!$B$56))*HLOOKUP(($B136+PARAM!$B$56)/12,Loyalty,2)*$F$1*MAX(BN135,0)</f>
        <v>18.557001321003963</v>
      </c>
      <c r="BM136" s="75">
        <f>PARAM!$C$26+MAX($G$18-CHOOSE(PARAM!$B$44,MAX(0,BN135*$F$1),0),0)*RATES!$L112/12+$H$18*(PARAM!$D$51/12)*RATES!$N112/100</f>
        <v>8.875</v>
      </c>
      <c r="BN136" s="16">
        <f t="shared" si="84"/>
        <v>-94.070013210035995</v>
      </c>
      <c r="BO136" s="15">
        <f t="shared" si="59"/>
        <v>22.170849845882874</v>
      </c>
      <c r="BP136" s="75">
        <f>BO136*(1-PARAM!$C$27)*$I$19+(MOD($B136,60)=PARAM!$B$56)*($B136&gt;(60-PARAM!$B$56))*HLOOKUP(($B136+PARAM!$B$56)/12,Loyalty,2)*$F$1*MAX(BR135,0)</f>
        <v>18.557001321003963</v>
      </c>
      <c r="BQ136" s="75">
        <f>PARAM!$C$26+MAX($G$19-CHOOSE(PARAM!$B$44,MAX(0,BR135*$F$1),0),0)*RATES!$L112/12+$H$19*(PARAM!$D$51/12)*RATES!$N112/100</f>
        <v>8.875</v>
      </c>
      <c r="BR136" s="16">
        <f t="shared" si="85"/>
        <v>-94.070013210035995</v>
      </c>
      <c r="BS136" s="15">
        <f t="shared" si="60"/>
        <v>22.170849845882874</v>
      </c>
      <c r="BT136" s="75">
        <f>BS136*(1-PARAM!$C$27)*$I$20+(MOD($B136,60)=PARAM!$B$56)*($B136&gt;(60-PARAM!$B$56))*HLOOKUP(($B136+PARAM!$B$56)/12,Loyalty,2)*$F$1*MAX(BV135,0)</f>
        <v>18.557001321003963</v>
      </c>
      <c r="BU136" s="75">
        <f>PARAM!$C$26+MAX($G$20-CHOOSE(PARAM!$B$44,MAX(0,BV135*$F$1),0),0)*RATES!$L112/12+$H$20*(PARAM!$D$51/12)*RATES!$N112/100</f>
        <v>8.875</v>
      </c>
      <c r="BV136" s="16">
        <f t="shared" si="86"/>
        <v>-94.070013210035995</v>
      </c>
      <c r="BW136" s="15">
        <f t="shared" si="61"/>
        <v>22.170849845882874</v>
      </c>
      <c r="BX136" s="75">
        <f>BW136*(1-PARAM!$C$27)*$I$21+(MOD($B136,60)=PARAM!$B$56)*($B136&gt;(60-PARAM!$B$56))*HLOOKUP(($B136+PARAM!$B$56)/12,Loyalty,2)*$F$1*MAX(BZ135,0)</f>
        <v>18.557001321003963</v>
      </c>
      <c r="BY136" s="75">
        <f>PARAM!$C$26+MAX($G$21-CHOOSE(PARAM!$B$44,MAX(0,BZ135*$F$1),0),0)*RATES!$L112/12+$H$21*(PARAM!$D$51/12)*RATES!$N112/100</f>
        <v>8.875</v>
      </c>
      <c r="BZ136" s="16">
        <f t="shared" si="87"/>
        <v>-94.070013210035995</v>
      </c>
      <c r="CA136" s="15">
        <f t="shared" si="62"/>
        <v>22.170849845882874</v>
      </c>
      <c r="CB136" s="75">
        <f>CA136*(1-PARAM!$C$27)*$I$22+(MOD($B136,60)=PARAM!$B$56)*($B136&gt;(60-PARAM!$B$56))*HLOOKUP(($B136+PARAM!$B$56)/12,Loyalty,2)*$F$1*MAX(CD135,0)</f>
        <v>18.557001321003963</v>
      </c>
      <c r="CC136" s="75">
        <f>PARAM!$C$26+MAX($G$22-CHOOSE(PARAM!$B$44,MAX(0,CD135*$F$1),0),0)*RATES!$L112/12+$H$22*(PARAM!$D$51/12)*RATES!$N112/100</f>
        <v>8.875</v>
      </c>
      <c r="CD136" s="16">
        <f t="shared" si="88"/>
        <v>-94.070013210035995</v>
      </c>
      <c r="CE136" s="33">
        <f>IF(0=MOD(B136,12/PARAM!$D$51),1,0)</f>
        <v>1</v>
      </c>
      <c r="CF136" s="15">
        <f t="shared" si="63"/>
        <v>0</v>
      </c>
      <c r="CG136" s="75">
        <f>CF136*(1-PARAM!$C$27)*$R$3+(MOD($B136/12,5)=0)*($B136&gt;60)*HLOOKUP($B136/12,Loyalty,2)*$F$1*MAX(CI135,0)</f>
        <v>0</v>
      </c>
      <c r="CH136" s="75">
        <f>PARAM!$C$26+MAX($P$3-CHOOSE(PARAM!$B$44,MAX(0,CI135*$F$1),0),0)*RATES!$L112/12+$Q$3*(PARAM!$D$51/12)*RATES!$N112/100</f>
        <v>8.875</v>
      </c>
      <c r="CI136" s="16">
        <f>IF(CI135&gt;0,CI135*PARAM!$C$53,CI135)+CG136-CH136</f>
        <v>-1922.4999999999991</v>
      </c>
      <c r="CJ136" s="15">
        <f t="shared" si="89"/>
        <v>0</v>
      </c>
      <c r="CK136" s="75">
        <f>CJ136*(1-PARAM!$C$27)*$R$4+(MOD($B136/12,5)=0)*($B136&gt;60)*HLOOKUP($B136/12,Loyalty,2)*$F$1*MAX(CM135,0)</f>
        <v>0</v>
      </c>
      <c r="CL136" s="75">
        <f>PARAM!$C$26+MAX($P$4-CHOOSE(PARAM!$B$44,MAX(0,CM135*$F$1),0),0)*RATES!$L112/12+$Q$4*(PARAM!$D$51/12)*RATES!$N112/100</f>
        <v>8.875</v>
      </c>
      <c r="CM136" s="16">
        <f>IF(CM135&gt;0,CM135*PARAM!$C$53,CM135)+CK136-CL136</f>
        <v>-1922.4999999999991</v>
      </c>
      <c r="CO136" s="176"/>
    </row>
    <row r="137" spans="1:93" x14ac:dyDescent="0.2">
      <c r="A137" t="b">
        <f t="shared" si="64"/>
        <v>0</v>
      </c>
      <c r="B137" s="33">
        <v>110</v>
      </c>
      <c r="C137" s="15">
        <f t="shared" si="65"/>
        <v>20.081305947392778</v>
      </c>
      <c r="D137" s="75">
        <f>C137*(1-PARAM!$C$27)*$I$3+(MOD($B137,60)=PARAM!$B$56)*($B137&gt;(60-PARAM!$B$56))*HLOOKUP(($B137+PARAM!$B$56)/12,Loyalty,2)*$F$1*MAX(F136,0)</f>
        <v>16.808053077967756</v>
      </c>
      <c r="E137" s="75">
        <f>PARAM!$C$26+MAX($G$3-CHOOSE(PARAM!$B$44,MAX(0,F136*$F$1),0),0)*RATES!$L113/12+$H$3*(PARAM!$D$51/12)*RATES!$N113/100</f>
        <v>8.875</v>
      </c>
      <c r="F137" s="16">
        <f t="shared" si="66"/>
        <v>-258.46164544054739</v>
      </c>
      <c r="G137" s="15">
        <f t="shared" si="67"/>
        <v>22.035289406060361</v>
      </c>
      <c r="H137" s="75">
        <f>G137*(1-PARAM!$C$27)*$I$4+(MOD($B137,60)=PARAM!$B$56)*($B137&gt;(60-PARAM!$B$56))*HLOOKUP(($B137+PARAM!$B$56)/12,Loyalty,2)*$F$1*MAX(J136,0)</f>
        <v>18.443537232872522</v>
      </c>
      <c r="I137" s="75">
        <f>PARAM!$C$26+MAX($G$4-CHOOSE(PARAM!$B$44,MAX(0,J136*$F$1),0),0)*RATES!$L113/12+$H$4*(PARAM!$D$51/12)*RATES!$N113/100</f>
        <v>8.875</v>
      </c>
      <c r="J137" s="16">
        <f t="shared" si="68"/>
        <v>-95.681145449329279</v>
      </c>
      <c r="K137" s="15">
        <f t="shared" si="69"/>
        <v>22.170849845882874</v>
      </c>
      <c r="L137" s="75">
        <f>K137*(1-PARAM!$C$27)*$I$5+(MOD($B137,60)=PARAM!$B$56)*($B137&gt;(60-PARAM!$B$56))*HLOOKUP(($B137+PARAM!$B$56)/12,Loyalty,2)*$F$1*MAX(N136,0)</f>
        <v>18.557001321003963</v>
      </c>
      <c r="M137" s="75">
        <f>PARAM!$C$26+MAX($G$5-CHOOSE(PARAM!$B$44,MAX(0,N136*$F$1),0),0)*RATES!$L113/12+$H$5*(PARAM!$D$51/12)*RATES!$N113/100</f>
        <v>8.875</v>
      </c>
      <c r="N137" s="16">
        <f t="shared" si="70"/>
        <v>-84.388011889032029</v>
      </c>
      <c r="O137" s="15">
        <f t="shared" si="71"/>
        <v>22.170849845882874</v>
      </c>
      <c r="P137" s="75">
        <f>O137*(1-PARAM!$C$27)*$I$6+(MOD($B137,60)=PARAM!$B$56)*($B137&gt;(60-PARAM!$B$56))*HLOOKUP(($B137+PARAM!$B$56)/12,Loyalty,2)*$F$1*MAX(R136,0)</f>
        <v>18.557001321003963</v>
      </c>
      <c r="Q137" s="75">
        <f>PARAM!$C$26+MAX($G$6-CHOOSE(PARAM!$B$44,MAX(0,R136*$F$1),0),0)*RATES!$L113/12+$H$6*(PARAM!$D$51/12)*RATES!$N113/100</f>
        <v>8.875</v>
      </c>
      <c r="R137" s="16">
        <f t="shared" si="72"/>
        <v>-84.388011889032029</v>
      </c>
      <c r="S137" s="15">
        <f t="shared" si="47"/>
        <v>22.170849845882874</v>
      </c>
      <c r="T137" s="75">
        <f>S137*(1-PARAM!$C$27)*$I$7+(MOD($B137,60)=PARAM!$B$56)*($B137&gt;(60-PARAM!$B$56))*HLOOKUP(($B137+PARAM!$B$56)/12,Loyalty,2)*$F$1*MAX(V136,0)</f>
        <v>18.557001321003963</v>
      </c>
      <c r="U137" s="75">
        <f>PARAM!$C$26+MAX($G$7-CHOOSE(PARAM!$B$44,MAX(0,V136*$F$1),0),0)*RATES!$L113/12+$H$7*(PARAM!$D$51/12)*RATES!$N113/100</f>
        <v>8.875</v>
      </c>
      <c r="V137" s="16">
        <f t="shared" si="73"/>
        <v>-84.388011889032029</v>
      </c>
      <c r="W137" s="15">
        <f t="shared" si="48"/>
        <v>22.170849845882874</v>
      </c>
      <c r="X137" s="75">
        <f>W137*(1-PARAM!$C$27)*$I$8+(MOD($B137,60)=PARAM!$B$56)*($B137&gt;(60-PARAM!$B$56))*HLOOKUP(($B137+PARAM!$B$56)/12,Loyalty,2)*$F$1*MAX(Z136,0)</f>
        <v>18.557001321003963</v>
      </c>
      <c r="Y137" s="75">
        <f>PARAM!$C$26+MAX($G$8-CHOOSE(PARAM!$B$44,MAX(0,Z136*$F$1),0),0)*RATES!$L113/12+$H$8*(PARAM!$D$51/12)*RATES!$N113/100</f>
        <v>8.875</v>
      </c>
      <c r="Z137" s="16">
        <f t="shared" si="74"/>
        <v>-84.388011889032029</v>
      </c>
      <c r="AA137" s="15">
        <f t="shared" si="49"/>
        <v>22.170849845882874</v>
      </c>
      <c r="AB137" s="75">
        <f>AA137*(1-PARAM!$C$27)*$I$9+(MOD($B137,60)=PARAM!$B$56)*($B137&gt;(60-PARAM!$B$56))*HLOOKUP(($B137+PARAM!$B$56)/12,Loyalty,2)*$F$1*MAX(AD136,0)</f>
        <v>18.557001321003963</v>
      </c>
      <c r="AC137" s="75">
        <f>PARAM!$C$26+MAX($G$9-CHOOSE(PARAM!$B$44,MAX(0,AD136*$F$1),0),0)*RATES!$L113/12+$H$9*(PARAM!$D$51/12)*RATES!$N113/100</f>
        <v>8.875</v>
      </c>
      <c r="AD137" s="16">
        <f t="shared" si="75"/>
        <v>-84.388011889032029</v>
      </c>
      <c r="AE137" s="15">
        <f t="shared" si="50"/>
        <v>22.170849845882874</v>
      </c>
      <c r="AF137" s="75">
        <f>AE137*(1-PARAM!$C$27)*$I$10+(MOD($B137,60)=PARAM!$B$56)*($B137&gt;(60-PARAM!$B$56))*HLOOKUP(($B137+PARAM!$B$56)/12,Loyalty,2)*$F$1*MAX(AH136,0)</f>
        <v>18.557001321003963</v>
      </c>
      <c r="AG137" s="75">
        <f>PARAM!$C$26+MAX($G$10-CHOOSE(PARAM!$B$44,MAX(0,AH136*$F$1),0),0)*RATES!$L113/12+$H$10*(PARAM!$D$51/12)*RATES!$N113/100</f>
        <v>8.875</v>
      </c>
      <c r="AH137" s="16">
        <f t="shared" si="76"/>
        <v>-84.388011889032029</v>
      </c>
      <c r="AI137" s="15">
        <f t="shared" si="51"/>
        <v>22.170849845882874</v>
      </c>
      <c r="AJ137" s="75">
        <f>AI137*(1-PARAM!$C$27)*$I$11+(MOD($B137,60)=PARAM!$B$56)*($B137&gt;(60-PARAM!$B$56))*HLOOKUP(($B137+PARAM!$B$56)/12,Loyalty,2)*$F$1*MAX(AL136,0)</f>
        <v>18.557001321003963</v>
      </c>
      <c r="AK137" s="75">
        <f>PARAM!$C$26+MAX($G$11-CHOOSE(PARAM!$B$44,MAX(0,AL136*$F$1),0),0)*RATES!$L113/12+$H$11*(PARAM!$D$51/12)*RATES!$N113/100</f>
        <v>8.875</v>
      </c>
      <c r="AL137" s="16">
        <f t="shared" si="77"/>
        <v>-84.388011889032029</v>
      </c>
      <c r="AM137" s="15">
        <f t="shared" si="52"/>
        <v>22.170849845882874</v>
      </c>
      <c r="AN137" s="75">
        <f>AM137*(1-PARAM!$C$27)*$I$12+(MOD($B137,60)=PARAM!$B$56)*($B137&gt;(60-PARAM!$B$56))*HLOOKUP(($B137+PARAM!$B$56)/12,Loyalty,2)*$F$1*MAX(AP136,0)</f>
        <v>18.557001321003963</v>
      </c>
      <c r="AO137" s="75">
        <f>PARAM!$C$26+MAX($G$12-CHOOSE(PARAM!$B$44,MAX(0,AP136*$F$1),0),0)*RATES!$L113/12+$H$12*(PARAM!$D$51/12)*RATES!$N113/100</f>
        <v>8.875</v>
      </c>
      <c r="AP137" s="16">
        <f t="shared" si="78"/>
        <v>-84.388011889032029</v>
      </c>
      <c r="AQ137" s="15">
        <f t="shared" si="53"/>
        <v>22.170849845882874</v>
      </c>
      <c r="AR137" s="75">
        <f>AQ137*(1-PARAM!$C$27)*$I$13+(MOD($B137,60)=PARAM!$B$56)*($B137&gt;(60-PARAM!$B$56))*HLOOKUP(($B137+PARAM!$B$56)/12,Loyalty,2)*$F$1*MAX(AT136,0)</f>
        <v>18.557001321003963</v>
      </c>
      <c r="AS137" s="75">
        <f>PARAM!$C$26+MAX($G$13-CHOOSE(PARAM!$B$44,MAX(0,AT136*$F$1),0),0)*RATES!$L113/12+$H$13*(PARAM!$D$51/12)*RATES!$N113/100</f>
        <v>8.875</v>
      </c>
      <c r="AT137" s="16">
        <f t="shared" si="79"/>
        <v>-84.388011889032029</v>
      </c>
      <c r="AU137" s="15">
        <f t="shared" si="54"/>
        <v>22.170849845882874</v>
      </c>
      <c r="AV137" s="75">
        <f>AU137*(1-PARAM!$C$27)*$I$14+(MOD($B137,60)=PARAM!$B$56)*($B137&gt;(60-PARAM!$B$56))*HLOOKUP(($B137+PARAM!$B$56)/12,Loyalty,2)*$F$1*MAX(AX136,0)</f>
        <v>18.557001321003963</v>
      </c>
      <c r="AW137" s="75">
        <f>PARAM!$C$26+MAX($G$14-CHOOSE(PARAM!$B$44,MAX(0,AX136*$F$1),0),0)*RATES!$L113/12+$H$14*(PARAM!$D$51/12)*RATES!$N113/100</f>
        <v>8.875</v>
      </c>
      <c r="AX137" s="16">
        <f t="shared" si="80"/>
        <v>-84.388011889032029</v>
      </c>
      <c r="AY137" s="15">
        <f t="shared" si="55"/>
        <v>22.170849845882874</v>
      </c>
      <c r="AZ137" s="75">
        <f>AY137*(1-PARAM!$C$27)*$I$15+(MOD($B137,60)=PARAM!$B$56)*($B137&gt;(60-PARAM!$B$56))*HLOOKUP(($B137+PARAM!$B$56)/12,Loyalty,2)*$F$1*MAX(BB136,0)</f>
        <v>18.557001321003963</v>
      </c>
      <c r="BA137" s="75">
        <f>PARAM!$C$26+MAX($G$15-CHOOSE(PARAM!$B$44,MAX(0,BB136*$F$1),0),0)*RATES!$L113/12+$H$15*(PARAM!$D$51/12)*RATES!$N113/100</f>
        <v>8.875</v>
      </c>
      <c r="BB137" s="16">
        <f t="shared" si="81"/>
        <v>-84.388011889032029</v>
      </c>
      <c r="BC137" s="15">
        <f t="shared" si="56"/>
        <v>22.170849845882874</v>
      </c>
      <c r="BD137" s="75">
        <f>BC137*(1-PARAM!$C$27)*$I$16+(MOD($B137,60)=PARAM!$B$56)*($B137&gt;(60-PARAM!$B$56))*HLOOKUP(($B137+PARAM!$B$56)/12,Loyalty,2)*$F$1*MAX(BF136,0)</f>
        <v>18.557001321003963</v>
      </c>
      <c r="BE137" s="75">
        <f>PARAM!$C$26+MAX($G$16-CHOOSE(PARAM!$B$44,MAX(0,BF136*$F$1),0),0)*RATES!$L113/12+$H$16*(PARAM!$D$51/12)*RATES!$N113/100</f>
        <v>8.875</v>
      </c>
      <c r="BF137" s="16">
        <f t="shared" si="82"/>
        <v>-84.388011889032029</v>
      </c>
      <c r="BG137" s="15">
        <f t="shared" si="57"/>
        <v>22.170849845882874</v>
      </c>
      <c r="BH137" s="75">
        <f>BG137*(1-PARAM!$C$27)*$I$17+(MOD($B137,60)=PARAM!$B$56)*($B137&gt;(60-PARAM!$B$56))*HLOOKUP(($B137+PARAM!$B$56)/12,Loyalty,2)*$F$1*MAX(BJ136,0)</f>
        <v>18.557001321003963</v>
      </c>
      <c r="BI137" s="75">
        <f>PARAM!$C$26+MAX($G$17-CHOOSE(PARAM!$B$44,MAX(0,BJ136*$F$1),0),0)*RATES!$L113/12+$H$17*(PARAM!$D$51/12)*RATES!$N113/100</f>
        <v>8.875</v>
      </c>
      <c r="BJ137" s="16">
        <f t="shared" si="83"/>
        <v>-84.388011889032029</v>
      </c>
      <c r="BK137" s="15">
        <f t="shared" si="58"/>
        <v>22.170849845882874</v>
      </c>
      <c r="BL137" s="75">
        <f>BK137*(1-PARAM!$C$27)*$I$18+(MOD($B137,60)=PARAM!$B$56)*($B137&gt;(60-PARAM!$B$56))*HLOOKUP(($B137+PARAM!$B$56)/12,Loyalty,2)*$F$1*MAX(BN136,0)</f>
        <v>18.557001321003963</v>
      </c>
      <c r="BM137" s="75">
        <f>PARAM!$C$26+MAX($G$18-CHOOSE(PARAM!$B$44,MAX(0,BN136*$F$1),0),0)*RATES!$L113/12+$H$18*(PARAM!$D$51/12)*RATES!$N113/100</f>
        <v>8.875</v>
      </c>
      <c r="BN137" s="16">
        <f t="shared" si="84"/>
        <v>-84.388011889032029</v>
      </c>
      <c r="BO137" s="15">
        <f t="shared" si="59"/>
        <v>22.170849845882874</v>
      </c>
      <c r="BP137" s="75">
        <f>BO137*(1-PARAM!$C$27)*$I$19+(MOD($B137,60)=PARAM!$B$56)*($B137&gt;(60-PARAM!$B$56))*HLOOKUP(($B137+PARAM!$B$56)/12,Loyalty,2)*$F$1*MAX(BR136,0)</f>
        <v>18.557001321003963</v>
      </c>
      <c r="BQ137" s="75">
        <f>PARAM!$C$26+MAX($G$19-CHOOSE(PARAM!$B$44,MAX(0,BR136*$F$1),0),0)*RATES!$L113/12+$H$19*(PARAM!$D$51/12)*RATES!$N113/100</f>
        <v>8.875</v>
      </c>
      <c r="BR137" s="16">
        <f t="shared" si="85"/>
        <v>-84.388011889032029</v>
      </c>
      <c r="BS137" s="15">
        <f t="shared" si="60"/>
        <v>22.170849845882874</v>
      </c>
      <c r="BT137" s="75">
        <f>BS137*(1-PARAM!$C$27)*$I$20+(MOD($B137,60)=PARAM!$B$56)*($B137&gt;(60-PARAM!$B$56))*HLOOKUP(($B137+PARAM!$B$56)/12,Loyalty,2)*$F$1*MAX(BV136,0)</f>
        <v>18.557001321003963</v>
      </c>
      <c r="BU137" s="75">
        <f>PARAM!$C$26+MAX($G$20-CHOOSE(PARAM!$B$44,MAX(0,BV136*$F$1),0),0)*RATES!$L113/12+$H$20*(PARAM!$D$51/12)*RATES!$N113/100</f>
        <v>8.875</v>
      </c>
      <c r="BV137" s="16">
        <f t="shared" si="86"/>
        <v>-84.388011889032029</v>
      </c>
      <c r="BW137" s="15">
        <f t="shared" si="61"/>
        <v>22.170849845882874</v>
      </c>
      <c r="BX137" s="75">
        <f>BW137*(1-PARAM!$C$27)*$I$21+(MOD($B137,60)=PARAM!$B$56)*($B137&gt;(60-PARAM!$B$56))*HLOOKUP(($B137+PARAM!$B$56)/12,Loyalty,2)*$F$1*MAX(BZ136,0)</f>
        <v>18.557001321003963</v>
      </c>
      <c r="BY137" s="75">
        <f>PARAM!$C$26+MAX($G$21-CHOOSE(PARAM!$B$44,MAX(0,BZ136*$F$1),0),0)*RATES!$L113/12+$H$21*(PARAM!$D$51/12)*RATES!$N113/100</f>
        <v>8.875</v>
      </c>
      <c r="BZ137" s="16">
        <f t="shared" si="87"/>
        <v>-84.388011889032029</v>
      </c>
      <c r="CA137" s="15">
        <f t="shared" si="62"/>
        <v>22.170849845882874</v>
      </c>
      <c r="CB137" s="75">
        <f>CA137*(1-PARAM!$C$27)*$I$22+(MOD($B137,60)=PARAM!$B$56)*($B137&gt;(60-PARAM!$B$56))*HLOOKUP(($B137+PARAM!$B$56)/12,Loyalty,2)*$F$1*MAX(CD136,0)</f>
        <v>18.557001321003963</v>
      </c>
      <c r="CC137" s="75">
        <f>PARAM!$C$26+MAX($G$22-CHOOSE(PARAM!$B$44,MAX(0,CD136*$F$1),0),0)*RATES!$L113/12+$H$22*(PARAM!$D$51/12)*RATES!$N113/100</f>
        <v>8.875</v>
      </c>
      <c r="CD137" s="16">
        <f t="shared" si="88"/>
        <v>-84.388011889032029</v>
      </c>
      <c r="CE137" s="33">
        <f>IF(0=MOD(B137,12/PARAM!$D$51),1,0)</f>
        <v>1</v>
      </c>
      <c r="CF137" s="15">
        <f t="shared" si="63"/>
        <v>0</v>
      </c>
      <c r="CG137" s="75">
        <f>CF137*(1-PARAM!$C$27)*$R$3+(MOD($B137/12,5)=0)*($B137&gt;60)*HLOOKUP($B137/12,Loyalty,2)*$F$1*MAX(CI136,0)</f>
        <v>0</v>
      </c>
      <c r="CH137" s="75">
        <f>PARAM!$C$26+MAX($P$3-CHOOSE(PARAM!$B$44,MAX(0,CI136*$F$1),0),0)*RATES!$L113/12+$Q$3*(PARAM!$D$51/12)*RATES!$N113/100</f>
        <v>8.875</v>
      </c>
      <c r="CI137" s="16">
        <f>IF(CI136&gt;0,CI136*PARAM!$C$53,CI136)+CG137-CH137</f>
        <v>-1931.3749999999991</v>
      </c>
      <c r="CJ137" s="15">
        <f t="shared" si="89"/>
        <v>0</v>
      </c>
      <c r="CK137" s="75">
        <f>CJ137*(1-PARAM!$C$27)*$R$4+(MOD($B137/12,5)=0)*($B137&gt;60)*HLOOKUP($B137/12,Loyalty,2)*$F$1*MAX(CM136,0)</f>
        <v>0</v>
      </c>
      <c r="CL137" s="75">
        <f>PARAM!$C$26+MAX($P$4-CHOOSE(PARAM!$B$44,MAX(0,CM136*$F$1),0),0)*RATES!$L113/12+$Q$4*(PARAM!$D$51/12)*RATES!$N113/100</f>
        <v>8.875</v>
      </c>
      <c r="CM137" s="16">
        <f>IF(CM136&gt;0,CM136*PARAM!$C$53,CM136)+CK137-CL137</f>
        <v>-1931.3749999999991</v>
      </c>
      <c r="CO137" s="176"/>
    </row>
    <row r="138" spans="1:93" x14ac:dyDescent="0.2">
      <c r="A138" t="b">
        <f t="shared" si="64"/>
        <v>0</v>
      </c>
      <c r="B138" s="33">
        <v>111</v>
      </c>
      <c r="C138" s="15">
        <f t="shared" si="65"/>
        <v>20.081305947392778</v>
      </c>
      <c r="D138" s="75">
        <f>C138*(1-PARAM!$C$27)*$I$3+(MOD($B138,60)=PARAM!$B$56)*($B138&gt;(60-PARAM!$B$56))*HLOOKUP(($B138+PARAM!$B$56)/12,Loyalty,2)*$F$1*MAX(F137,0)</f>
        <v>16.808053077967756</v>
      </c>
      <c r="E138" s="75">
        <f>PARAM!$C$26+MAX($G$3-CHOOSE(PARAM!$B$44,MAX(0,F137*$F$1),0),0)*RATES!$L114/12+$H$3*(PARAM!$D$51/12)*RATES!$N114/100</f>
        <v>8.875</v>
      </c>
      <c r="F138" s="16">
        <f t="shared" si="66"/>
        <v>-250.52859236257962</v>
      </c>
      <c r="G138" s="15">
        <f t="shared" si="67"/>
        <v>22.035289406060361</v>
      </c>
      <c r="H138" s="75">
        <f>G138*(1-PARAM!$C$27)*$I$4+(MOD($B138,60)=PARAM!$B$56)*($B138&gt;(60-PARAM!$B$56))*HLOOKUP(($B138+PARAM!$B$56)/12,Loyalty,2)*$F$1*MAX(J137,0)</f>
        <v>18.443537232872522</v>
      </c>
      <c r="I138" s="75">
        <f>PARAM!$C$26+MAX($G$4-CHOOSE(PARAM!$B$44,MAX(0,J137*$F$1),0),0)*RATES!$L114/12+$H$4*(PARAM!$D$51/12)*RATES!$N114/100</f>
        <v>8.875</v>
      </c>
      <c r="J138" s="16">
        <f t="shared" si="68"/>
        <v>-86.112608216456749</v>
      </c>
      <c r="K138" s="15">
        <f t="shared" si="69"/>
        <v>22.170849845882874</v>
      </c>
      <c r="L138" s="75">
        <f>K138*(1-PARAM!$C$27)*$I$5+(MOD($B138,60)=PARAM!$B$56)*($B138&gt;(60-PARAM!$B$56))*HLOOKUP(($B138+PARAM!$B$56)/12,Loyalty,2)*$F$1*MAX(N137,0)</f>
        <v>18.557001321003963</v>
      </c>
      <c r="M138" s="75">
        <f>PARAM!$C$26+MAX($G$5-CHOOSE(PARAM!$B$44,MAX(0,N137*$F$1),0),0)*RATES!$L114/12+$H$5*(PARAM!$D$51/12)*RATES!$N114/100</f>
        <v>8.875</v>
      </c>
      <c r="N138" s="16">
        <f t="shared" si="70"/>
        <v>-74.706010568028063</v>
      </c>
      <c r="O138" s="15">
        <f t="shared" si="71"/>
        <v>22.170849845882874</v>
      </c>
      <c r="P138" s="75">
        <f>O138*(1-PARAM!$C$27)*$I$6+(MOD($B138,60)=PARAM!$B$56)*($B138&gt;(60-PARAM!$B$56))*HLOOKUP(($B138+PARAM!$B$56)/12,Loyalty,2)*$F$1*MAX(R137,0)</f>
        <v>18.557001321003963</v>
      </c>
      <c r="Q138" s="75">
        <f>PARAM!$C$26+MAX($G$6-CHOOSE(PARAM!$B$44,MAX(0,R137*$F$1),0),0)*RATES!$L114/12+$H$6*(PARAM!$D$51/12)*RATES!$N114/100</f>
        <v>8.875</v>
      </c>
      <c r="R138" s="16">
        <f t="shared" si="72"/>
        <v>-74.706010568028063</v>
      </c>
      <c r="S138" s="15">
        <f t="shared" si="47"/>
        <v>22.170849845882874</v>
      </c>
      <c r="T138" s="75">
        <f>S138*(1-PARAM!$C$27)*$I$7+(MOD($B138,60)=PARAM!$B$56)*($B138&gt;(60-PARAM!$B$56))*HLOOKUP(($B138+PARAM!$B$56)/12,Loyalty,2)*$F$1*MAX(V137,0)</f>
        <v>18.557001321003963</v>
      </c>
      <c r="U138" s="75">
        <f>PARAM!$C$26+MAX($G$7-CHOOSE(PARAM!$B$44,MAX(0,V137*$F$1),0),0)*RATES!$L114/12+$H$7*(PARAM!$D$51/12)*RATES!$N114/100</f>
        <v>8.875</v>
      </c>
      <c r="V138" s="16">
        <f t="shared" si="73"/>
        <v>-74.706010568028063</v>
      </c>
      <c r="W138" s="15">
        <f t="shared" si="48"/>
        <v>22.170849845882874</v>
      </c>
      <c r="X138" s="75">
        <f>W138*(1-PARAM!$C$27)*$I$8+(MOD($B138,60)=PARAM!$B$56)*($B138&gt;(60-PARAM!$B$56))*HLOOKUP(($B138+PARAM!$B$56)/12,Loyalty,2)*$F$1*MAX(Z137,0)</f>
        <v>18.557001321003963</v>
      </c>
      <c r="Y138" s="75">
        <f>PARAM!$C$26+MAX($G$8-CHOOSE(PARAM!$B$44,MAX(0,Z137*$F$1),0),0)*RATES!$L114/12+$H$8*(PARAM!$D$51/12)*RATES!$N114/100</f>
        <v>8.875</v>
      </c>
      <c r="Z138" s="16">
        <f t="shared" si="74"/>
        <v>-74.706010568028063</v>
      </c>
      <c r="AA138" s="15">
        <f t="shared" si="49"/>
        <v>22.170849845882874</v>
      </c>
      <c r="AB138" s="75">
        <f>AA138*(1-PARAM!$C$27)*$I$9+(MOD($B138,60)=PARAM!$B$56)*($B138&gt;(60-PARAM!$B$56))*HLOOKUP(($B138+PARAM!$B$56)/12,Loyalty,2)*$F$1*MAX(AD137,0)</f>
        <v>18.557001321003963</v>
      </c>
      <c r="AC138" s="75">
        <f>PARAM!$C$26+MAX($G$9-CHOOSE(PARAM!$B$44,MAX(0,AD137*$F$1),0),0)*RATES!$L114/12+$H$9*(PARAM!$D$51/12)*RATES!$N114/100</f>
        <v>8.875</v>
      </c>
      <c r="AD138" s="16">
        <f t="shared" si="75"/>
        <v>-74.706010568028063</v>
      </c>
      <c r="AE138" s="15">
        <f t="shared" si="50"/>
        <v>22.170849845882874</v>
      </c>
      <c r="AF138" s="75">
        <f>AE138*(1-PARAM!$C$27)*$I$10+(MOD($B138,60)=PARAM!$B$56)*($B138&gt;(60-PARAM!$B$56))*HLOOKUP(($B138+PARAM!$B$56)/12,Loyalty,2)*$F$1*MAX(AH137,0)</f>
        <v>18.557001321003963</v>
      </c>
      <c r="AG138" s="75">
        <f>PARAM!$C$26+MAX($G$10-CHOOSE(PARAM!$B$44,MAX(0,AH137*$F$1),0),0)*RATES!$L114/12+$H$10*(PARAM!$D$51/12)*RATES!$N114/100</f>
        <v>8.875</v>
      </c>
      <c r="AH138" s="16">
        <f t="shared" si="76"/>
        <v>-74.706010568028063</v>
      </c>
      <c r="AI138" s="15">
        <f t="shared" si="51"/>
        <v>22.170849845882874</v>
      </c>
      <c r="AJ138" s="75">
        <f>AI138*(1-PARAM!$C$27)*$I$11+(MOD($B138,60)=PARAM!$B$56)*($B138&gt;(60-PARAM!$B$56))*HLOOKUP(($B138+PARAM!$B$56)/12,Loyalty,2)*$F$1*MAX(AL137,0)</f>
        <v>18.557001321003963</v>
      </c>
      <c r="AK138" s="75">
        <f>PARAM!$C$26+MAX($G$11-CHOOSE(PARAM!$B$44,MAX(0,AL137*$F$1),0),0)*RATES!$L114/12+$H$11*(PARAM!$D$51/12)*RATES!$N114/100</f>
        <v>8.875</v>
      </c>
      <c r="AL138" s="16">
        <f t="shared" si="77"/>
        <v>-74.706010568028063</v>
      </c>
      <c r="AM138" s="15">
        <f t="shared" si="52"/>
        <v>22.170849845882874</v>
      </c>
      <c r="AN138" s="75">
        <f>AM138*(1-PARAM!$C$27)*$I$12+(MOD($B138,60)=PARAM!$B$56)*($B138&gt;(60-PARAM!$B$56))*HLOOKUP(($B138+PARAM!$B$56)/12,Loyalty,2)*$F$1*MAX(AP137,0)</f>
        <v>18.557001321003963</v>
      </c>
      <c r="AO138" s="75">
        <f>PARAM!$C$26+MAX($G$12-CHOOSE(PARAM!$B$44,MAX(0,AP137*$F$1),0),0)*RATES!$L114/12+$H$12*(PARAM!$D$51/12)*RATES!$N114/100</f>
        <v>8.875</v>
      </c>
      <c r="AP138" s="16">
        <f t="shared" si="78"/>
        <v>-74.706010568028063</v>
      </c>
      <c r="AQ138" s="15">
        <f t="shared" si="53"/>
        <v>22.170849845882874</v>
      </c>
      <c r="AR138" s="75">
        <f>AQ138*(1-PARAM!$C$27)*$I$13+(MOD($B138,60)=PARAM!$B$56)*($B138&gt;(60-PARAM!$B$56))*HLOOKUP(($B138+PARAM!$B$56)/12,Loyalty,2)*$F$1*MAX(AT137,0)</f>
        <v>18.557001321003963</v>
      </c>
      <c r="AS138" s="75">
        <f>PARAM!$C$26+MAX($G$13-CHOOSE(PARAM!$B$44,MAX(0,AT137*$F$1),0),0)*RATES!$L114/12+$H$13*(PARAM!$D$51/12)*RATES!$N114/100</f>
        <v>8.875</v>
      </c>
      <c r="AT138" s="16">
        <f t="shared" si="79"/>
        <v>-74.706010568028063</v>
      </c>
      <c r="AU138" s="15">
        <f t="shared" si="54"/>
        <v>22.170849845882874</v>
      </c>
      <c r="AV138" s="75">
        <f>AU138*(1-PARAM!$C$27)*$I$14+(MOD($B138,60)=PARAM!$B$56)*($B138&gt;(60-PARAM!$B$56))*HLOOKUP(($B138+PARAM!$B$56)/12,Loyalty,2)*$F$1*MAX(AX137,0)</f>
        <v>18.557001321003963</v>
      </c>
      <c r="AW138" s="75">
        <f>PARAM!$C$26+MAX($G$14-CHOOSE(PARAM!$B$44,MAX(0,AX137*$F$1),0),0)*RATES!$L114/12+$H$14*(PARAM!$D$51/12)*RATES!$N114/100</f>
        <v>8.875</v>
      </c>
      <c r="AX138" s="16">
        <f t="shared" si="80"/>
        <v>-74.706010568028063</v>
      </c>
      <c r="AY138" s="15">
        <f t="shared" si="55"/>
        <v>22.170849845882874</v>
      </c>
      <c r="AZ138" s="75">
        <f>AY138*(1-PARAM!$C$27)*$I$15+(MOD($B138,60)=PARAM!$B$56)*($B138&gt;(60-PARAM!$B$56))*HLOOKUP(($B138+PARAM!$B$56)/12,Loyalty,2)*$F$1*MAX(BB137,0)</f>
        <v>18.557001321003963</v>
      </c>
      <c r="BA138" s="75">
        <f>PARAM!$C$26+MAX($G$15-CHOOSE(PARAM!$B$44,MAX(0,BB137*$F$1),0),0)*RATES!$L114/12+$H$15*(PARAM!$D$51/12)*RATES!$N114/100</f>
        <v>8.875</v>
      </c>
      <c r="BB138" s="16">
        <f t="shared" si="81"/>
        <v>-74.706010568028063</v>
      </c>
      <c r="BC138" s="15">
        <f t="shared" si="56"/>
        <v>22.170849845882874</v>
      </c>
      <c r="BD138" s="75">
        <f>BC138*(1-PARAM!$C$27)*$I$16+(MOD($B138,60)=PARAM!$B$56)*($B138&gt;(60-PARAM!$B$56))*HLOOKUP(($B138+PARAM!$B$56)/12,Loyalty,2)*$F$1*MAX(BF137,0)</f>
        <v>18.557001321003963</v>
      </c>
      <c r="BE138" s="75">
        <f>PARAM!$C$26+MAX($G$16-CHOOSE(PARAM!$B$44,MAX(0,BF137*$F$1),0),0)*RATES!$L114/12+$H$16*(PARAM!$D$51/12)*RATES!$N114/100</f>
        <v>8.875</v>
      </c>
      <c r="BF138" s="16">
        <f t="shared" si="82"/>
        <v>-74.706010568028063</v>
      </c>
      <c r="BG138" s="15">
        <f t="shared" si="57"/>
        <v>22.170849845882874</v>
      </c>
      <c r="BH138" s="75">
        <f>BG138*(1-PARAM!$C$27)*$I$17+(MOD($B138,60)=PARAM!$B$56)*($B138&gt;(60-PARAM!$B$56))*HLOOKUP(($B138+PARAM!$B$56)/12,Loyalty,2)*$F$1*MAX(BJ137,0)</f>
        <v>18.557001321003963</v>
      </c>
      <c r="BI138" s="75">
        <f>PARAM!$C$26+MAX($G$17-CHOOSE(PARAM!$B$44,MAX(0,BJ137*$F$1),0),0)*RATES!$L114/12+$H$17*(PARAM!$D$51/12)*RATES!$N114/100</f>
        <v>8.875</v>
      </c>
      <c r="BJ138" s="16">
        <f t="shared" si="83"/>
        <v>-74.706010568028063</v>
      </c>
      <c r="BK138" s="15">
        <f t="shared" si="58"/>
        <v>22.170849845882874</v>
      </c>
      <c r="BL138" s="75">
        <f>BK138*(1-PARAM!$C$27)*$I$18+(MOD($B138,60)=PARAM!$B$56)*($B138&gt;(60-PARAM!$B$56))*HLOOKUP(($B138+PARAM!$B$56)/12,Loyalty,2)*$F$1*MAX(BN137,0)</f>
        <v>18.557001321003963</v>
      </c>
      <c r="BM138" s="75">
        <f>PARAM!$C$26+MAX($G$18-CHOOSE(PARAM!$B$44,MAX(0,BN137*$F$1),0),0)*RATES!$L114/12+$H$18*(PARAM!$D$51/12)*RATES!$N114/100</f>
        <v>8.875</v>
      </c>
      <c r="BN138" s="16">
        <f t="shared" si="84"/>
        <v>-74.706010568028063</v>
      </c>
      <c r="BO138" s="15">
        <f t="shared" si="59"/>
        <v>22.170849845882874</v>
      </c>
      <c r="BP138" s="75">
        <f>BO138*(1-PARAM!$C$27)*$I$19+(MOD($B138,60)=PARAM!$B$56)*($B138&gt;(60-PARAM!$B$56))*HLOOKUP(($B138+PARAM!$B$56)/12,Loyalty,2)*$F$1*MAX(BR137,0)</f>
        <v>18.557001321003963</v>
      </c>
      <c r="BQ138" s="75">
        <f>PARAM!$C$26+MAX($G$19-CHOOSE(PARAM!$B$44,MAX(0,BR137*$F$1),0),0)*RATES!$L114/12+$H$19*(PARAM!$D$51/12)*RATES!$N114/100</f>
        <v>8.875</v>
      </c>
      <c r="BR138" s="16">
        <f t="shared" si="85"/>
        <v>-74.706010568028063</v>
      </c>
      <c r="BS138" s="15">
        <f t="shared" si="60"/>
        <v>22.170849845882874</v>
      </c>
      <c r="BT138" s="75">
        <f>BS138*(1-PARAM!$C$27)*$I$20+(MOD($B138,60)=PARAM!$B$56)*($B138&gt;(60-PARAM!$B$56))*HLOOKUP(($B138+PARAM!$B$56)/12,Loyalty,2)*$F$1*MAX(BV137,0)</f>
        <v>18.557001321003963</v>
      </c>
      <c r="BU138" s="75">
        <f>PARAM!$C$26+MAX($G$20-CHOOSE(PARAM!$B$44,MAX(0,BV137*$F$1),0),0)*RATES!$L114/12+$H$20*(PARAM!$D$51/12)*RATES!$N114/100</f>
        <v>8.875</v>
      </c>
      <c r="BV138" s="16">
        <f t="shared" si="86"/>
        <v>-74.706010568028063</v>
      </c>
      <c r="BW138" s="15">
        <f t="shared" si="61"/>
        <v>22.170849845882874</v>
      </c>
      <c r="BX138" s="75">
        <f>BW138*(1-PARAM!$C$27)*$I$21+(MOD($B138,60)=PARAM!$B$56)*($B138&gt;(60-PARAM!$B$56))*HLOOKUP(($B138+PARAM!$B$56)/12,Loyalty,2)*$F$1*MAX(BZ137,0)</f>
        <v>18.557001321003963</v>
      </c>
      <c r="BY138" s="75">
        <f>PARAM!$C$26+MAX($G$21-CHOOSE(PARAM!$B$44,MAX(0,BZ137*$F$1),0),0)*RATES!$L114/12+$H$21*(PARAM!$D$51/12)*RATES!$N114/100</f>
        <v>8.875</v>
      </c>
      <c r="BZ138" s="16">
        <f t="shared" si="87"/>
        <v>-74.706010568028063</v>
      </c>
      <c r="CA138" s="15">
        <f t="shared" si="62"/>
        <v>22.170849845882874</v>
      </c>
      <c r="CB138" s="75">
        <f>CA138*(1-PARAM!$C$27)*$I$22+(MOD($B138,60)=PARAM!$B$56)*($B138&gt;(60-PARAM!$B$56))*HLOOKUP(($B138+PARAM!$B$56)/12,Loyalty,2)*$F$1*MAX(CD137,0)</f>
        <v>18.557001321003963</v>
      </c>
      <c r="CC138" s="75">
        <f>PARAM!$C$26+MAX($G$22-CHOOSE(PARAM!$B$44,MAX(0,CD137*$F$1),0),0)*RATES!$L114/12+$H$22*(PARAM!$D$51/12)*RATES!$N114/100</f>
        <v>8.875</v>
      </c>
      <c r="CD138" s="16">
        <f t="shared" si="88"/>
        <v>-74.706010568028063</v>
      </c>
      <c r="CE138" s="33">
        <f>IF(0=MOD(B138,12/PARAM!$D$51),1,0)</f>
        <v>1</v>
      </c>
      <c r="CF138" s="15">
        <f t="shared" si="63"/>
        <v>0</v>
      </c>
      <c r="CG138" s="75">
        <f>CF138*(1-PARAM!$C$27)*$R$3+(MOD($B138/12,5)=0)*($B138&gt;60)*HLOOKUP($B138/12,Loyalty,2)*$F$1*MAX(CI137,0)</f>
        <v>0</v>
      </c>
      <c r="CH138" s="75">
        <f>PARAM!$C$26+MAX($P$3-CHOOSE(PARAM!$B$44,MAX(0,CI137*$F$1),0),0)*RATES!$L114/12+$Q$3*(PARAM!$D$51/12)*RATES!$N114/100</f>
        <v>8.875</v>
      </c>
      <c r="CI138" s="16">
        <f>IF(CI137&gt;0,CI137*PARAM!$C$53,CI137)+CG138-CH138</f>
        <v>-1940.2499999999991</v>
      </c>
      <c r="CJ138" s="15">
        <f t="shared" si="89"/>
        <v>0</v>
      </c>
      <c r="CK138" s="75">
        <f>CJ138*(1-PARAM!$C$27)*$R$4+(MOD($B138/12,5)=0)*($B138&gt;60)*HLOOKUP($B138/12,Loyalty,2)*$F$1*MAX(CM137,0)</f>
        <v>0</v>
      </c>
      <c r="CL138" s="75">
        <f>PARAM!$C$26+MAX($P$4-CHOOSE(PARAM!$B$44,MAX(0,CM137*$F$1),0),0)*RATES!$L114/12+$Q$4*(PARAM!$D$51/12)*RATES!$N114/100</f>
        <v>8.875</v>
      </c>
      <c r="CM138" s="16">
        <f>IF(CM137&gt;0,CM137*PARAM!$C$53,CM137)+CK138-CL138</f>
        <v>-1940.2499999999991</v>
      </c>
      <c r="CO138" s="176"/>
    </row>
    <row r="139" spans="1:93" x14ac:dyDescent="0.2">
      <c r="A139" t="b">
        <f t="shared" si="64"/>
        <v>0</v>
      </c>
      <c r="B139" s="33">
        <v>112</v>
      </c>
      <c r="C139" s="15">
        <f t="shared" si="65"/>
        <v>20.081305947392778</v>
      </c>
      <c r="D139" s="75">
        <f>C139*(1-PARAM!$C$27)*$I$3+(MOD($B139,60)=PARAM!$B$56)*($B139&gt;(60-PARAM!$B$56))*HLOOKUP(($B139+PARAM!$B$56)/12,Loyalty,2)*$F$1*MAX(F138,0)</f>
        <v>16.808053077967756</v>
      </c>
      <c r="E139" s="75">
        <f>PARAM!$C$26+MAX($G$3-CHOOSE(PARAM!$B$44,MAX(0,F138*$F$1),0),0)*RATES!$L115/12+$H$3*(PARAM!$D$51/12)*RATES!$N115/100</f>
        <v>8.875</v>
      </c>
      <c r="F139" s="16">
        <f t="shared" si="66"/>
        <v>-242.59553928461185</v>
      </c>
      <c r="G139" s="15">
        <f t="shared" si="67"/>
        <v>22.035289406060361</v>
      </c>
      <c r="H139" s="75">
        <f>G139*(1-PARAM!$C$27)*$I$4+(MOD($B139,60)=PARAM!$B$56)*($B139&gt;(60-PARAM!$B$56))*HLOOKUP(($B139+PARAM!$B$56)/12,Loyalty,2)*$F$1*MAX(J138,0)</f>
        <v>18.443537232872522</v>
      </c>
      <c r="I139" s="75">
        <f>PARAM!$C$26+MAX($G$4-CHOOSE(PARAM!$B$44,MAX(0,J138*$F$1),0),0)*RATES!$L115/12+$H$4*(PARAM!$D$51/12)*RATES!$N115/100</f>
        <v>8.875</v>
      </c>
      <c r="J139" s="16">
        <f t="shared" si="68"/>
        <v>-76.54407098358422</v>
      </c>
      <c r="K139" s="15">
        <f t="shared" si="69"/>
        <v>22.170849845882874</v>
      </c>
      <c r="L139" s="75">
        <f>K139*(1-PARAM!$C$27)*$I$5+(MOD($B139,60)=PARAM!$B$56)*($B139&gt;(60-PARAM!$B$56))*HLOOKUP(($B139+PARAM!$B$56)/12,Loyalty,2)*$F$1*MAX(N138,0)</f>
        <v>18.557001321003963</v>
      </c>
      <c r="M139" s="75">
        <f>PARAM!$C$26+MAX($G$5-CHOOSE(PARAM!$B$44,MAX(0,N138*$F$1),0),0)*RATES!$L115/12+$H$5*(PARAM!$D$51/12)*RATES!$N115/100</f>
        <v>8.875</v>
      </c>
      <c r="N139" s="16">
        <f t="shared" si="70"/>
        <v>-65.024009247024097</v>
      </c>
      <c r="O139" s="15">
        <f t="shared" si="71"/>
        <v>22.170849845882874</v>
      </c>
      <c r="P139" s="75">
        <f>O139*(1-PARAM!$C$27)*$I$6+(MOD($B139,60)=PARAM!$B$56)*($B139&gt;(60-PARAM!$B$56))*HLOOKUP(($B139+PARAM!$B$56)/12,Loyalty,2)*$F$1*MAX(R138,0)</f>
        <v>18.557001321003963</v>
      </c>
      <c r="Q139" s="75">
        <f>PARAM!$C$26+MAX($G$6-CHOOSE(PARAM!$B$44,MAX(0,R138*$F$1),0),0)*RATES!$L115/12+$H$6*(PARAM!$D$51/12)*RATES!$N115/100</f>
        <v>8.875</v>
      </c>
      <c r="R139" s="16">
        <f t="shared" si="72"/>
        <v>-65.024009247024097</v>
      </c>
      <c r="S139" s="15">
        <f t="shared" si="47"/>
        <v>22.170849845882874</v>
      </c>
      <c r="T139" s="75">
        <f>S139*(1-PARAM!$C$27)*$I$7+(MOD($B139,60)=PARAM!$B$56)*($B139&gt;(60-PARAM!$B$56))*HLOOKUP(($B139+PARAM!$B$56)/12,Loyalty,2)*$F$1*MAX(V138,0)</f>
        <v>18.557001321003963</v>
      </c>
      <c r="U139" s="75">
        <f>PARAM!$C$26+MAX($G$7-CHOOSE(PARAM!$B$44,MAX(0,V138*$F$1),0),0)*RATES!$L115/12+$H$7*(PARAM!$D$51/12)*RATES!$N115/100</f>
        <v>8.875</v>
      </c>
      <c r="V139" s="16">
        <f t="shared" si="73"/>
        <v>-65.024009247024097</v>
      </c>
      <c r="W139" s="15">
        <f t="shared" si="48"/>
        <v>22.170849845882874</v>
      </c>
      <c r="X139" s="75">
        <f>W139*(1-PARAM!$C$27)*$I$8+(MOD($B139,60)=PARAM!$B$56)*($B139&gt;(60-PARAM!$B$56))*HLOOKUP(($B139+PARAM!$B$56)/12,Loyalty,2)*$F$1*MAX(Z138,0)</f>
        <v>18.557001321003963</v>
      </c>
      <c r="Y139" s="75">
        <f>PARAM!$C$26+MAX($G$8-CHOOSE(PARAM!$B$44,MAX(0,Z138*$F$1),0),0)*RATES!$L115/12+$H$8*(PARAM!$D$51/12)*RATES!$N115/100</f>
        <v>8.875</v>
      </c>
      <c r="Z139" s="16">
        <f t="shared" si="74"/>
        <v>-65.024009247024097</v>
      </c>
      <c r="AA139" s="15">
        <f t="shared" si="49"/>
        <v>22.170849845882874</v>
      </c>
      <c r="AB139" s="75">
        <f>AA139*(1-PARAM!$C$27)*$I$9+(MOD($B139,60)=PARAM!$B$56)*($B139&gt;(60-PARAM!$B$56))*HLOOKUP(($B139+PARAM!$B$56)/12,Loyalty,2)*$F$1*MAX(AD138,0)</f>
        <v>18.557001321003963</v>
      </c>
      <c r="AC139" s="75">
        <f>PARAM!$C$26+MAX($G$9-CHOOSE(PARAM!$B$44,MAX(0,AD138*$F$1),0),0)*RATES!$L115/12+$H$9*(PARAM!$D$51/12)*RATES!$N115/100</f>
        <v>8.875</v>
      </c>
      <c r="AD139" s="16">
        <f t="shared" si="75"/>
        <v>-65.024009247024097</v>
      </c>
      <c r="AE139" s="15">
        <f t="shared" si="50"/>
        <v>22.170849845882874</v>
      </c>
      <c r="AF139" s="75">
        <f>AE139*(1-PARAM!$C$27)*$I$10+(MOD($B139,60)=PARAM!$B$56)*($B139&gt;(60-PARAM!$B$56))*HLOOKUP(($B139+PARAM!$B$56)/12,Loyalty,2)*$F$1*MAX(AH138,0)</f>
        <v>18.557001321003963</v>
      </c>
      <c r="AG139" s="75">
        <f>PARAM!$C$26+MAX($G$10-CHOOSE(PARAM!$B$44,MAX(0,AH138*$F$1),0),0)*RATES!$L115/12+$H$10*(PARAM!$D$51/12)*RATES!$N115/100</f>
        <v>8.875</v>
      </c>
      <c r="AH139" s="16">
        <f t="shared" si="76"/>
        <v>-65.024009247024097</v>
      </c>
      <c r="AI139" s="15">
        <f t="shared" si="51"/>
        <v>22.170849845882874</v>
      </c>
      <c r="AJ139" s="75">
        <f>AI139*(1-PARAM!$C$27)*$I$11+(MOD($B139,60)=PARAM!$B$56)*($B139&gt;(60-PARAM!$B$56))*HLOOKUP(($B139+PARAM!$B$56)/12,Loyalty,2)*$F$1*MAX(AL138,0)</f>
        <v>18.557001321003963</v>
      </c>
      <c r="AK139" s="75">
        <f>PARAM!$C$26+MAX($G$11-CHOOSE(PARAM!$B$44,MAX(0,AL138*$F$1),0),0)*RATES!$L115/12+$H$11*(PARAM!$D$51/12)*RATES!$N115/100</f>
        <v>8.875</v>
      </c>
      <c r="AL139" s="16">
        <f t="shared" si="77"/>
        <v>-65.024009247024097</v>
      </c>
      <c r="AM139" s="15">
        <f t="shared" si="52"/>
        <v>22.170849845882874</v>
      </c>
      <c r="AN139" s="75">
        <f>AM139*(1-PARAM!$C$27)*$I$12+(MOD($B139,60)=PARAM!$B$56)*($B139&gt;(60-PARAM!$B$56))*HLOOKUP(($B139+PARAM!$B$56)/12,Loyalty,2)*$F$1*MAX(AP138,0)</f>
        <v>18.557001321003963</v>
      </c>
      <c r="AO139" s="75">
        <f>PARAM!$C$26+MAX($G$12-CHOOSE(PARAM!$B$44,MAX(0,AP138*$F$1),0),0)*RATES!$L115/12+$H$12*(PARAM!$D$51/12)*RATES!$N115/100</f>
        <v>8.875</v>
      </c>
      <c r="AP139" s="16">
        <f t="shared" si="78"/>
        <v>-65.024009247024097</v>
      </c>
      <c r="AQ139" s="15">
        <f t="shared" si="53"/>
        <v>22.170849845882874</v>
      </c>
      <c r="AR139" s="75">
        <f>AQ139*(1-PARAM!$C$27)*$I$13+(MOD($B139,60)=PARAM!$B$56)*($B139&gt;(60-PARAM!$B$56))*HLOOKUP(($B139+PARAM!$B$56)/12,Loyalty,2)*$F$1*MAX(AT138,0)</f>
        <v>18.557001321003963</v>
      </c>
      <c r="AS139" s="75">
        <f>PARAM!$C$26+MAX($G$13-CHOOSE(PARAM!$B$44,MAX(0,AT138*$F$1),0),0)*RATES!$L115/12+$H$13*(PARAM!$D$51/12)*RATES!$N115/100</f>
        <v>8.875</v>
      </c>
      <c r="AT139" s="16">
        <f t="shared" si="79"/>
        <v>-65.024009247024097</v>
      </c>
      <c r="AU139" s="15">
        <f t="shared" si="54"/>
        <v>22.170849845882874</v>
      </c>
      <c r="AV139" s="75">
        <f>AU139*(1-PARAM!$C$27)*$I$14+(MOD($B139,60)=PARAM!$B$56)*($B139&gt;(60-PARAM!$B$56))*HLOOKUP(($B139+PARAM!$B$56)/12,Loyalty,2)*$F$1*MAX(AX138,0)</f>
        <v>18.557001321003963</v>
      </c>
      <c r="AW139" s="75">
        <f>PARAM!$C$26+MAX($G$14-CHOOSE(PARAM!$B$44,MAX(0,AX138*$F$1),0),0)*RATES!$L115/12+$H$14*(PARAM!$D$51/12)*RATES!$N115/100</f>
        <v>8.875</v>
      </c>
      <c r="AX139" s="16">
        <f t="shared" si="80"/>
        <v>-65.024009247024097</v>
      </c>
      <c r="AY139" s="15">
        <f t="shared" si="55"/>
        <v>22.170849845882874</v>
      </c>
      <c r="AZ139" s="75">
        <f>AY139*(1-PARAM!$C$27)*$I$15+(MOD($B139,60)=PARAM!$B$56)*($B139&gt;(60-PARAM!$B$56))*HLOOKUP(($B139+PARAM!$B$56)/12,Loyalty,2)*$F$1*MAX(BB138,0)</f>
        <v>18.557001321003963</v>
      </c>
      <c r="BA139" s="75">
        <f>PARAM!$C$26+MAX($G$15-CHOOSE(PARAM!$B$44,MAX(0,BB138*$F$1),0),0)*RATES!$L115/12+$H$15*(PARAM!$D$51/12)*RATES!$N115/100</f>
        <v>8.875</v>
      </c>
      <c r="BB139" s="16">
        <f t="shared" si="81"/>
        <v>-65.024009247024097</v>
      </c>
      <c r="BC139" s="15">
        <f t="shared" si="56"/>
        <v>22.170849845882874</v>
      </c>
      <c r="BD139" s="75">
        <f>BC139*(1-PARAM!$C$27)*$I$16+(MOD($B139,60)=PARAM!$B$56)*($B139&gt;(60-PARAM!$B$56))*HLOOKUP(($B139+PARAM!$B$56)/12,Loyalty,2)*$F$1*MAX(BF138,0)</f>
        <v>18.557001321003963</v>
      </c>
      <c r="BE139" s="75">
        <f>PARAM!$C$26+MAX($G$16-CHOOSE(PARAM!$B$44,MAX(0,BF138*$F$1),0),0)*RATES!$L115/12+$H$16*(PARAM!$D$51/12)*RATES!$N115/100</f>
        <v>8.875</v>
      </c>
      <c r="BF139" s="16">
        <f t="shared" si="82"/>
        <v>-65.024009247024097</v>
      </c>
      <c r="BG139" s="15">
        <f t="shared" si="57"/>
        <v>22.170849845882874</v>
      </c>
      <c r="BH139" s="75">
        <f>BG139*(1-PARAM!$C$27)*$I$17+(MOD($B139,60)=PARAM!$B$56)*($B139&gt;(60-PARAM!$B$56))*HLOOKUP(($B139+PARAM!$B$56)/12,Loyalty,2)*$F$1*MAX(BJ138,0)</f>
        <v>18.557001321003963</v>
      </c>
      <c r="BI139" s="75">
        <f>PARAM!$C$26+MAX($G$17-CHOOSE(PARAM!$B$44,MAX(0,BJ138*$F$1),0),0)*RATES!$L115/12+$H$17*(PARAM!$D$51/12)*RATES!$N115/100</f>
        <v>8.875</v>
      </c>
      <c r="BJ139" s="16">
        <f t="shared" si="83"/>
        <v>-65.024009247024097</v>
      </c>
      <c r="BK139" s="15">
        <f t="shared" si="58"/>
        <v>22.170849845882874</v>
      </c>
      <c r="BL139" s="75">
        <f>BK139*(1-PARAM!$C$27)*$I$18+(MOD($B139,60)=PARAM!$B$56)*($B139&gt;(60-PARAM!$B$56))*HLOOKUP(($B139+PARAM!$B$56)/12,Loyalty,2)*$F$1*MAX(BN138,0)</f>
        <v>18.557001321003963</v>
      </c>
      <c r="BM139" s="75">
        <f>PARAM!$C$26+MAX($G$18-CHOOSE(PARAM!$B$44,MAX(0,BN138*$F$1),0),0)*RATES!$L115/12+$H$18*(PARAM!$D$51/12)*RATES!$N115/100</f>
        <v>8.875</v>
      </c>
      <c r="BN139" s="16">
        <f t="shared" si="84"/>
        <v>-65.024009247024097</v>
      </c>
      <c r="BO139" s="15">
        <f t="shared" si="59"/>
        <v>22.170849845882874</v>
      </c>
      <c r="BP139" s="75">
        <f>BO139*(1-PARAM!$C$27)*$I$19+(MOD($B139,60)=PARAM!$B$56)*($B139&gt;(60-PARAM!$B$56))*HLOOKUP(($B139+PARAM!$B$56)/12,Loyalty,2)*$F$1*MAX(BR138,0)</f>
        <v>18.557001321003963</v>
      </c>
      <c r="BQ139" s="75">
        <f>PARAM!$C$26+MAX($G$19-CHOOSE(PARAM!$B$44,MAX(0,BR138*$F$1),0),0)*RATES!$L115/12+$H$19*(PARAM!$D$51/12)*RATES!$N115/100</f>
        <v>8.875</v>
      </c>
      <c r="BR139" s="16">
        <f t="shared" si="85"/>
        <v>-65.024009247024097</v>
      </c>
      <c r="BS139" s="15">
        <f t="shared" si="60"/>
        <v>22.170849845882874</v>
      </c>
      <c r="BT139" s="75">
        <f>BS139*(1-PARAM!$C$27)*$I$20+(MOD($B139,60)=PARAM!$B$56)*($B139&gt;(60-PARAM!$B$56))*HLOOKUP(($B139+PARAM!$B$56)/12,Loyalty,2)*$F$1*MAX(BV138,0)</f>
        <v>18.557001321003963</v>
      </c>
      <c r="BU139" s="75">
        <f>PARAM!$C$26+MAX($G$20-CHOOSE(PARAM!$B$44,MAX(0,BV138*$F$1),0),0)*RATES!$L115/12+$H$20*(PARAM!$D$51/12)*RATES!$N115/100</f>
        <v>8.875</v>
      </c>
      <c r="BV139" s="16">
        <f t="shared" si="86"/>
        <v>-65.024009247024097</v>
      </c>
      <c r="BW139" s="15">
        <f t="shared" si="61"/>
        <v>22.170849845882874</v>
      </c>
      <c r="BX139" s="75">
        <f>BW139*(1-PARAM!$C$27)*$I$21+(MOD($B139,60)=PARAM!$B$56)*($B139&gt;(60-PARAM!$B$56))*HLOOKUP(($B139+PARAM!$B$56)/12,Loyalty,2)*$F$1*MAX(BZ138,0)</f>
        <v>18.557001321003963</v>
      </c>
      <c r="BY139" s="75">
        <f>PARAM!$C$26+MAX($G$21-CHOOSE(PARAM!$B$44,MAX(0,BZ138*$F$1),0),0)*RATES!$L115/12+$H$21*(PARAM!$D$51/12)*RATES!$N115/100</f>
        <v>8.875</v>
      </c>
      <c r="BZ139" s="16">
        <f t="shared" si="87"/>
        <v>-65.024009247024097</v>
      </c>
      <c r="CA139" s="15">
        <f t="shared" si="62"/>
        <v>22.170849845882874</v>
      </c>
      <c r="CB139" s="75">
        <f>CA139*(1-PARAM!$C$27)*$I$22+(MOD($B139,60)=PARAM!$B$56)*($B139&gt;(60-PARAM!$B$56))*HLOOKUP(($B139+PARAM!$B$56)/12,Loyalty,2)*$F$1*MAX(CD138,0)</f>
        <v>18.557001321003963</v>
      </c>
      <c r="CC139" s="75">
        <f>PARAM!$C$26+MAX($G$22-CHOOSE(PARAM!$B$44,MAX(0,CD138*$F$1),0),0)*RATES!$L115/12+$H$22*(PARAM!$D$51/12)*RATES!$N115/100</f>
        <v>8.875</v>
      </c>
      <c r="CD139" s="16">
        <f t="shared" si="88"/>
        <v>-65.024009247024097</v>
      </c>
      <c r="CE139" s="33">
        <f>IF(0=MOD(B139,12/PARAM!$D$51),1,0)</f>
        <v>1</v>
      </c>
      <c r="CF139" s="15">
        <f t="shared" si="63"/>
        <v>0</v>
      </c>
      <c r="CG139" s="75">
        <f>CF139*(1-PARAM!$C$27)*$R$3+(MOD($B139/12,5)=0)*($B139&gt;60)*HLOOKUP($B139/12,Loyalty,2)*$F$1*MAX(CI138,0)</f>
        <v>0</v>
      </c>
      <c r="CH139" s="75">
        <f>PARAM!$C$26+MAX($P$3-CHOOSE(PARAM!$B$44,MAX(0,CI138*$F$1),0),0)*RATES!$L115/12+$Q$3*(PARAM!$D$51/12)*RATES!$N115/100</f>
        <v>8.875</v>
      </c>
      <c r="CI139" s="16">
        <f>IF(CI138&gt;0,CI138*PARAM!$C$53,CI138)+CG139-CH139</f>
        <v>-1949.1249999999991</v>
      </c>
      <c r="CJ139" s="15">
        <f t="shared" si="89"/>
        <v>0</v>
      </c>
      <c r="CK139" s="75">
        <f>CJ139*(1-PARAM!$C$27)*$R$4+(MOD($B139/12,5)=0)*($B139&gt;60)*HLOOKUP($B139/12,Loyalty,2)*$F$1*MAX(CM138,0)</f>
        <v>0</v>
      </c>
      <c r="CL139" s="75">
        <f>PARAM!$C$26+MAX($P$4-CHOOSE(PARAM!$B$44,MAX(0,CM138*$F$1),0),0)*RATES!$L115/12+$Q$4*(PARAM!$D$51/12)*RATES!$N115/100</f>
        <v>8.875</v>
      </c>
      <c r="CM139" s="16">
        <f>IF(CM138&gt;0,CM138*PARAM!$C$53,CM138)+CK139-CL139</f>
        <v>-1949.1249999999991</v>
      </c>
      <c r="CO139" s="176"/>
    </row>
    <row r="140" spans="1:93" x14ac:dyDescent="0.2">
      <c r="A140" t="b">
        <f t="shared" si="64"/>
        <v>0</v>
      </c>
      <c r="B140" s="33">
        <v>113</v>
      </c>
      <c r="C140" s="15">
        <f t="shared" si="65"/>
        <v>20.081305947392778</v>
      </c>
      <c r="D140" s="75">
        <f>C140*(1-PARAM!$C$27)*$I$3+(MOD($B140,60)=PARAM!$B$56)*($B140&gt;(60-PARAM!$B$56))*HLOOKUP(($B140+PARAM!$B$56)/12,Loyalty,2)*$F$1*MAX(F139,0)</f>
        <v>16.808053077967756</v>
      </c>
      <c r="E140" s="75">
        <f>PARAM!$C$26+MAX($G$3-CHOOSE(PARAM!$B$44,MAX(0,F139*$F$1),0),0)*RATES!$L116/12+$H$3*(PARAM!$D$51/12)*RATES!$N116/100</f>
        <v>8.875</v>
      </c>
      <c r="F140" s="16">
        <f t="shared" si="66"/>
        <v>-234.66248620664408</v>
      </c>
      <c r="G140" s="15">
        <f t="shared" si="67"/>
        <v>22.035289406060361</v>
      </c>
      <c r="H140" s="75">
        <f>G140*(1-PARAM!$C$27)*$I$4+(MOD($B140,60)=PARAM!$B$56)*($B140&gt;(60-PARAM!$B$56))*HLOOKUP(($B140+PARAM!$B$56)/12,Loyalty,2)*$F$1*MAX(J139,0)</f>
        <v>18.443537232872522</v>
      </c>
      <c r="I140" s="75">
        <f>PARAM!$C$26+MAX($G$4-CHOOSE(PARAM!$B$44,MAX(0,J139*$F$1),0),0)*RATES!$L116/12+$H$4*(PARAM!$D$51/12)*RATES!$N116/100</f>
        <v>8.875</v>
      </c>
      <c r="J140" s="16">
        <f t="shared" si="68"/>
        <v>-66.975533750711691</v>
      </c>
      <c r="K140" s="15">
        <f t="shared" si="69"/>
        <v>22.170849845882874</v>
      </c>
      <c r="L140" s="75">
        <f>K140*(1-PARAM!$C$27)*$I$5+(MOD($B140,60)=PARAM!$B$56)*($B140&gt;(60-PARAM!$B$56))*HLOOKUP(($B140+PARAM!$B$56)/12,Loyalty,2)*$F$1*MAX(N139,0)</f>
        <v>18.557001321003963</v>
      </c>
      <c r="M140" s="75">
        <f>PARAM!$C$26+MAX($G$5-CHOOSE(PARAM!$B$44,MAX(0,N139*$F$1),0),0)*RATES!$L116/12+$H$5*(PARAM!$D$51/12)*RATES!$N116/100</f>
        <v>8.875</v>
      </c>
      <c r="N140" s="16">
        <f t="shared" si="70"/>
        <v>-55.342007926020131</v>
      </c>
      <c r="O140" s="15">
        <f t="shared" si="71"/>
        <v>22.170849845882874</v>
      </c>
      <c r="P140" s="75">
        <f>O140*(1-PARAM!$C$27)*$I$6+(MOD($B140,60)=PARAM!$B$56)*($B140&gt;(60-PARAM!$B$56))*HLOOKUP(($B140+PARAM!$B$56)/12,Loyalty,2)*$F$1*MAX(R139,0)</f>
        <v>18.557001321003963</v>
      </c>
      <c r="Q140" s="75">
        <f>PARAM!$C$26+MAX($G$6-CHOOSE(PARAM!$B$44,MAX(0,R139*$F$1),0),0)*RATES!$L116/12+$H$6*(PARAM!$D$51/12)*RATES!$N116/100</f>
        <v>8.875</v>
      </c>
      <c r="R140" s="16">
        <f t="shared" si="72"/>
        <v>-55.342007926020131</v>
      </c>
      <c r="S140" s="15">
        <f t="shared" si="47"/>
        <v>22.170849845882874</v>
      </c>
      <c r="T140" s="75">
        <f>S140*(1-PARAM!$C$27)*$I$7+(MOD($B140,60)=PARAM!$B$56)*($B140&gt;(60-PARAM!$B$56))*HLOOKUP(($B140+PARAM!$B$56)/12,Loyalty,2)*$F$1*MAX(V139,0)</f>
        <v>18.557001321003963</v>
      </c>
      <c r="U140" s="75">
        <f>PARAM!$C$26+MAX($G$7-CHOOSE(PARAM!$B$44,MAX(0,V139*$F$1),0),0)*RATES!$L116/12+$H$7*(PARAM!$D$51/12)*RATES!$N116/100</f>
        <v>8.875</v>
      </c>
      <c r="V140" s="16">
        <f t="shared" si="73"/>
        <v>-55.342007926020131</v>
      </c>
      <c r="W140" s="15">
        <f t="shared" si="48"/>
        <v>22.170849845882874</v>
      </c>
      <c r="X140" s="75">
        <f>W140*(1-PARAM!$C$27)*$I$8+(MOD($B140,60)=PARAM!$B$56)*($B140&gt;(60-PARAM!$B$56))*HLOOKUP(($B140+PARAM!$B$56)/12,Loyalty,2)*$F$1*MAX(Z139,0)</f>
        <v>18.557001321003963</v>
      </c>
      <c r="Y140" s="75">
        <f>PARAM!$C$26+MAX($G$8-CHOOSE(PARAM!$B$44,MAX(0,Z139*$F$1),0),0)*RATES!$L116/12+$H$8*(PARAM!$D$51/12)*RATES!$N116/100</f>
        <v>8.875</v>
      </c>
      <c r="Z140" s="16">
        <f t="shared" si="74"/>
        <v>-55.342007926020131</v>
      </c>
      <c r="AA140" s="15">
        <f t="shared" si="49"/>
        <v>22.170849845882874</v>
      </c>
      <c r="AB140" s="75">
        <f>AA140*(1-PARAM!$C$27)*$I$9+(MOD($B140,60)=PARAM!$B$56)*($B140&gt;(60-PARAM!$B$56))*HLOOKUP(($B140+PARAM!$B$56)/12,Loyalty,2)*$F$1*MAX(AD139,0)</f>
        <v>18.557001321003963</v>
      </c>
      <c r="AC140" s="75">
        <f>PARAM!$C$26+MAX($G$9-CHOOSE(PARAM!$B$44,MAX(0,AD139*$F$1),0),0)*RATES!$L116/12+$H$9*(PARAM!$D$51/12)*RATES!$N116/100</f>
        <v>8.875</v>
      </c>
      <c r="AD140" s="16">
        <f t="shared" si="75"/>
        <v>-55.342007926020131</v>
      </c>
      <c r="AE140" s="15">
        <f t="shared" si="50"/>
        <v>22.170849845882874</v>
      </c>
      <c r="AF140" s="75">
        <f>AE140*(1-PARAM!$C$27)*$I$10+(MOD($B140,60)=PARAM!$B$56)*($B140&gt;(60-PARAM!$B$56))*HLOOKUP(($B140+PARAM!$B$56)/12,Loyalty,2)*$F$1*MAX(AH139,0)</f>
        <v>18.557001321003963</v>
      </c>
      <c r="AG140" s="75">
        <f>PARAM!$C$26+MAX($G$10-CHOOSE(PARAM!$B$44,MAX(0,AH139*$F$1),0),0)*RATES!$L116/12+$H$10*(PARAM!$D$51/12)*RATES!$N116/100</f>
        <v>8.875</v>
      </c>
      <c r="AH140" s="16">
        <f t="shared" si="76"/>
        <v>-55.342007926020131</v>
      </c>
      <c r="AI140" s="15">
        <f t="shared" si="51"/>
        <v>22.170849845882874</v>
      </c>
      <c r="AJ140" s="75">
        <f>AI140*(1-PARAM!$C$27)*$I$11+(MOD($B140,60)=PARAM!$B$56)*($B140&gt;(60-PARAM!$B$56))*HLOOKUP(($B140+PARAM!$B$56)/12,Loyalty,2)*$F$1*MAX(AL139,0)</f>
        <v>18.557001321003963</v>
      </c>
      <c r="AK140" s="75">
        <f>PARAM!$C$26+MAX($G$11-CHOOSE(PARAM!$B$44,MAX(0,AL139*$F$1),0),0)*RATES!$L116/12+$H$11*(PARAM!$D$51/12)*RATES!$N116/100</f>
        <v>8.875</v>
      </c>
      <c r="AL140" s="16">
        <f t="shared" si="77"/>
        <v>-55.342007926020131</v>
      </c>
      <c r="AM140" s="15">
        <f t="shared" si="52"/>
        <v>22.170849845882874</v>
      </c>
      <c r="AN140" s="75">
        <f>AM140*(1-PARAM!$C$27)*$I$12+(MOD($B140,60)=PARAM!$B$56)*($B140&gt;(60-PARAM!$B$56))*HLOOKUP(($B140+PARAM!$B$56)/12,Loyalty,2)*$F$1*MAX(AP139,0)</f>
        <v>18.557001321003963</v>
      </c>
      <c r="AO140" s="75">
        <f>PARAM!$C$26+MAX($G$12-CHOOSE(PARAM!$B$44,MAX(0,AP139*$F$1),0),0)*RATES!$L116/12+$H$12*(PARAM!$D$51/12)*RATES!$N116/100</f>
        <v>8.875</v>
      </c>
      <c r="AP140" s="16">
        <f t="shared" si="78"/>
        <v>-55.342007926020131</v>
      </c>
      <c r="AQ140" s="15">
        <f t="shared" si="53"/>
        <v>22.170849845882874</v>
      </c>
      <c r="AR140" s="75">
        <f>AQ140*(1-PARAM!$C$27)*$I$13+(MOD($B140,60)=PARAM!$B$56)*($B140&gt;(60-PARAM!$B$56))*HLOOKUP(($B140+PARAM!$B$56)/12,Loyalty,2)*$F$1*MAX(AT139,0)</f>
        <v>18.557001321003963</v>
      </c>
      <c r="AS140" s="75">
        <f>PARAM!$C$26+MAX($G$13-CHOOSE(PARAM!$B$44,MAX(0,AT139*$F$1),0),0)*RATES!$L116/12+$H$13*(PARAM!$D$51/12)*RATES!$N116/100</f>
        <v>8.875</v>
      </c>
      <c r="AT140" s="16">
        <f t="shared" si="79"/>
        <v>-55.342007926020131</v>
      </c>
      <c r="AU140" s="15">
        <f t="shared" si="54"/>
        <v>22.170849845882874</v>
      </c>
      <c r="AV140" s="75">
        <f>AU140*(1-PARAM!$C$27)*$I$14+(MOD($B140,60)=PARAM!$B$56)*($B140&gt;(60-PARAM!$B$56))*HLOOKUP(($B140+PARAM!$B$56)/12,Loyalty,2)*$F$1*MAX(AX139,0)</f>
        <v>18.557001321003963</v>
      </c>
      <c r="AW140" s="75">
        <f>PARAM!$C$26+MAX($G$14-CHOOSE(PARAM!$B$44,MAX(0,AX139*$F$1),0),0)*RATES!$L116/12+$H$14*(PARAM!$D$51/12)*RATES!$N116/100</f>
        <v>8.875</v>
      </c>
      <c r="AX140" s="16">
        <f t="shared" si="80"/>
        <v>-55.342007926020131</v>
      </c>
      <c r="AY140" s="15">
        <f t="shared" si="55"/>
        <v>22.170849845882874</v>
      </c>
      <c r="AZ140" s="75">
        <f>AY140*(1-PARAM!$C$27)*$I$15+(MOD($B140,60)=PARAM!$B$56)*($B140&gt;(60-PARAM!$B$56))*HLOOKUP(($B140+PARAM!$B$56)/12,Loyalty,2)*$F$1*MAX(BB139,0)</f>
        <v>18.557001321003963</v>
      </c>
      <c r="BA140" s="75">
        <f>PARAM!$C$26+MAX($G$15-CHOOSE(PARAM!$B$44,MAX(0,BB139*$F$1),0),0)*RATES!$L116/12+$H$15*(PARAM!$D$51/12)*RATES!$N116/100</f>
        <v>8.875</v>
      </c>
      <c r="BB140" s="16">
        <f t="shared" si="81"/>
        <v>-55.342007926020131</v>
      </c>
      <c r="BC140" s="15">
        <f t="shared" si="56"/>
        <v>22.170849845882874</v>
      </c>
      <c r="BD140" s="75">
        <f>BC140*(1-PARAM!$C$27)*$I$16+(MOD($B140,60)=PARAM!$B$56)*($B140&gt;(60-PARAM!$B$56))*HLOOKUP(($B140+PARAM!$B$56)/12,Loyalty,2)*$F$1*MAX(BF139,0)</f>
        <v>18.557001321003963</v>
      </c>
      <c r="BE140" s="75">
        <f>PARAM!$C$26+MAX($G$16-CHOOSE(PARAM!$B$44,MAX(0,BF139*$F$1),0),0)*RATES!$L116/12+$H$16*(PARAM!$D$51/12)*RATES!$N116/100</f>
        <v>8.875</v>
      </c>
      <c r="BF140" s="16">
        <f t="shared" si="82"/>
        <v>-55.342007926020131</v>
      </c>
      <c r="BG140" s="15">
        <f t="shared" si="57"/>
        <v>22.170849845882874</v>
      </c>
      <c r="BH140" s="75">
        <f>BG140*(1-PARAM!$C$27)*$I$17+(MOD($B140,60)=PARAM!$B$56)*($B140&gt;(60-PARAM!$B$56))*HLOOKUP(($B140+PARAM!$B$56)/12,Loyalty,2)*$F$1*MAX(BJ139,0)</f>
        <v>18.557001321003963</v>
      </c>
      <c r="BI140" s="75">
        <f>PARAM!$C$26+MAX($G$17-CHOOSE(PARAM!$B$44,MAX(0,BJ139*$F$1),0),0)*RATES!$L116/12+$H$17*(PARAM!$D$51/12)*RATES!$N116/100</f>
        <v>8.875</v>
      </c>
      <c r="BJ140" s="16">
        <f t="shared" si="83"/>
        <v>-55.342007926020131</v>
      </c>
      <c r="BK140" s="15">
        <f t="shared" si="58"/>
        <v>22.170849845882874</v>
      </c>
      <c r="BL140" s="75">
        <f>BK140*(1-PARAM!$C$27)*$I$18+(MOD($B140,60)=PARAM!$B$56)*($B140&gt;(60-PARAM!$B$56))*HLOOKUP(($B140+PARAM!$B$56)/12,Loyalty,2)*$F$1*MAX(BN139,0)</f>
        <v>18.557001321003963</v>
      </c>
      <c r="BM140" s="75">
        <f>PARAM!$C$26+MAX($G$18-CHOOSE(PARAM!$B$44,MAX(0,BN139*$F$1),0),0)*RATES!$L116/12+$H$18*(PARAM!$D$51/12)*RATES!$N116/100</f>
        <v>8.875</v>
      </c>
      <c r="BN140" s="16">
        <f t="shared" si="84"/>
        <v>-55.342007926020131</v>
      </c>
      <c r="BO140" s="15">
        <f t="shared" si="59"/>
        <v>22.170849845882874</v>
      </c>
      <c r="BP140" s="75">
        <f>BO140*(1-PARAM!$C$27)*$I$19+(MOD($B140,60)=PARAM!$B$56)*($B140&gt;(60-PARAM!$B$56))*HLOOKUP(($B140+PARAM!$B$56)/12,Loyalty,2)*$F$1*MAX(BR139,0)</f>
        <v>18.557001321003963</v>
      </c>
      <c r="BQ140" s="75">
        <f>PARAM!$C$26+MAX($G$19-CHOOSE(PARAM!$B$44,MAX(0,BR139*$F$1),0),0)*RATES!$L116/12+$H$19*(PARAM!$D$51/12)*RATES!$N116/100</f>
        <v>8.875</v>
      </c>
      <c r="BR140" s="16">
        <f t="shared" si="85"/>
        <v>-55.342007926020131</v>
      </c>
      <c r="BS140" s="15">
        <f t="shared" si="60"/>
        <v>22.170849845882874</v>
      </c>
      <c r="BT140" s="75">
        <f>BS140*(1-PARAM!$C$27)*$I$20+(MOD($B140,60)=PARAM!$B$56)*($B140&gt;(60-PARAM!$B$56))*HLOOKUP(($B140+PARAM!$B$56)/12,Loyalty,2)*$F$1*MAX(BV139,0)</f>
        <v>18.557001321003963</v>
      </c>
      <c r="BU140" s="75">
        <f>PARAM!$C$26+MAX($G$20-CHOOSE(PARAM!$B$44,MAX(0,BV139*$F$1),0),0)*RATES!$L116/12+$H$20*(PARAM!$D$51/12)*RATES!$N116/100</f>
        <v>8.875</v>
      </c>
      <c r="BV140" s="16">
        <f t="shared" si="86"/>
        <v>-55.342007926020131</v>
      </c>
      <c r="BW140" s="15">
        <f t="shared" si="61"/>
        <v>22.170849845882874</v>
      </c>
      <c r="BX140" s="75">
        <f>BW140*(1-PARAM!$C$27)*$I$21+(MOD($B140,60)=PARAM!$B$56)*($B140&gt;(60-PARAM!$B$56))*HLOOKUP(($B140+PARAM!$B$56)/12,Loyalty,2)*$F$1*MAX(BZ139,0)</f>
        <v>18.557001321003963</v>
      </c>
      <c r="BY140" s="75">
        <f>PARAM!$C$26+MAX($G$21-CHOOSE(PARAM!$B$44,MAX(0,BZ139*$F$1),0),0)*RATES!$L116/12+$H$21*(PARAM!$D$51/12)*RATES!$N116/100</f>
        <v>8.875</v>
      </c>
      <c r="BZ140" s="16">
        <f t="shared" si="87"/>
        <v>-55.342007926020131</v>
      </c>
      <c r="CA140" s="15">
        <f t="shared" si="62"/>
        <v>22.170849845882874</v>
      </c>
      <c r="CB140" s="75">
        <f>CA140*(1-PARAM!$C$27)*$I$22+(MOD($B140,60)=PARAM!$B$56)*($B140&gt;(60-PARAM!$B$56))*HLOOKUP(($B140+PARAM!$B$56)/12,Loyalty,2)*$F$1*MAX(CD139,0)</f>
        <v>18.557001321003963</v>
      </c>
      <c r="CC140" s="75">
        <f>PARAM!$C$26+MAX($G$22-CHOOSE(PARAM!$B$44,MAX(0,CD139*$F$1),0),0)*RATES!$L116/12+$H$22*(PARAM!$D$51/12)*RATES!$N116/100</f>
        <v>8.875</v>
      </c>
      <c r="CD140" s="16">
        <f t="shared" si="88"/>
        <v>-55.342007926020131</v>
      </c>
      <c r="CE140" s="33">
        <f>IF(0=MOD(B140,12/PARAM!$D$51),1,0)</f>
        <v>1</v>
      </c>
      <c r="CF140" s="15">
        <f t="shared" si="63"/>
        <v>0</v>
      </c>
      <c r="CG140" s="75">
        <f>CF140*(1-PARAM!$C$27)*$R$3+(MOD($B140/12,5)=0)*($B140&gt;60)*HLOOKUP($B140/12,Loyalty,2)*$F$1*MAX(CI139,0)</f>
        <v>0</v>
      </c>
      <c r="CH140" s="75">
        <f>PARAM!$C$26+MAX($P$3-CHOOSE(PARAM!$B$44,MAX(0,CI139*$F$1),0),0)*RATES!$L116/12+$Q$3*(PARAM!$D$51/12)*RATES!$N116/100</f>
        <v>8.875</v>
      </c>
      <c r="CI140" s="16">
        <f>IF(CI139&gt;0,CI139*PARAM!$C$53,CI139)+CG140-CH140</f>
        <v>-1957.9999999999991</v>
      </c>
      <c r="CJ140" s="15">
        <f t="shared" si="89"/>
        <v>0</v>
      </c>
      <c r="CK140" s="75">
        <f>CJ140*(1-PARAM!$C$27)*$R$4+(MOD($B140/12,5)=0)*($B140&gt;60)*HLOOKUP($B140/12,Loyalty,2)*$F$1*MAX(CM139,0)</f>
        <v>0</v>
      </c>
      <c r="CL140" s="75">
        <f>PARAM!$C$26+MAX($P$4-CHOOSE(PARAM!$B$44,MAX(0,CM139*$F$1),0),0)*RATES!$L116/12+$Q$4*(PARAM!$D$51/12)*RATES!$N116/100</f>
        <v>8.875</v>
      </c>
      <c r="CM140" s="16">
        <f>IF(CM139&gt;0,CM139*PARAM!$C$53,CM139)+CK140-CL140</f>
        <v>-1957.9999999999991</v>
      </c>
      <c r="CO140" s="176"/>
    </row>
    <row r="141" spans="1:93" x14ac:dyDescent="0.2">
      <c r="A141" t="b">
        <f t="shared" si="64"/>
        <v>0</v>
      </c>
      <c r="B141" s="33">
        <v>114</v>
      </c>
      <c r="C141" s="15">
        <f t="shared" si="65"/>
        <v>20.081305947392778</v>
      </c>
      <c r="D141" s="75">
        <f>C141*(1-PARAM!$C$27)*$I$3+(MOD($B141,60)=PARAM!$B$56)*($B141&gt;(60-PARAM!$B$56))*HLOOKUP(($B141+PARAM!$B$56)/12,Loyalty,2)*$F$1*MAX(F140,0)</f>
        <v>16.808053077967756</v>
      </c>
      <c r="E141" s="75">
        <f>PARAM!$C$26+MAX($G$3-CHOOSE(PARAM!$B$44,MAX(0,F140*$F$1),0),0)*RATES!$L117/12+$H$3*(PARAM!$D$51/12)*RATES!$N117/100</f>
        <v>9.3333333333333339</v>
      </c>
      <c r="F141" s="16">
        <f t="shared" si="66"/>
        <v>-227.18776646200965</v>
      </c>
      <c r="G141" s="15">
        <f t="shared" si="67"/>
        <v>22.035289406060361</v>
      </c>
      <c r="H141" s="75">
        <f>G141*(1-PARAM!$C$27)*$I$4+(MOD($B141,60)=PARAM!$B$56)*($B141&gt;(60-PARAM!$B$56))*HLOOKUP(($B141+PARAM!$B$56)/12,Loyalty,2)*$F$1*MAX(J140,0)</f>
        <v>18.443537232872522</v>
      </c>
      <c r="I141" s="75">
        <f>PARAM!$C$26+MAX($G$4-CHOOSE(PARAM!$B$44,MAX(0,J140*$F$1),0),0)*RATES!$L117/12+$H$4*(PARAM!$D$51/12)*RATES!$N117/100</f>
        <v>9.3333333333333339</v>
      </c>
      <c r="J141" s="16">
        <f t="shared" si="68"/>
        <v>-57.865329851172504</v>
      </c>
      <c r="K141" s="15">
        <f t="shared" si="69"/>
        <v>22.170849845882874</v>
      </c>
      <c r="L141" s="75">
        <f>K141*(1-PARAM!$C$27)*$I$5+(MOD($B141,60)=PARAM!$B$56)*($B141&gt;(60-PARAM!$B$56))*HLOOKUP(($B141+PARAM!$B$56)/12,Loyalty,2)*$F$1*MAX(N140,0)</f>
        <v>18.557001321003963</v>
      </c>
      <c r="M141" s="75">
        <f>PARAM!$C$26+MAX($G$5-CHOOSE(PARAM!$B$44,MAX(0,N140*$F$1),0),0)*RATES!$L117/12+$H$5*(PARAM!$D$51/12)*RATES!$N117/100</f>
        <v>9.3333333333333339</v>
      </c>
      <c r="N141" s="16">
        <f t="shared" si="70"/>
        <v>-46.1183399383495</v>
      </c>
      <c r="O141" s="15">
        <f t="shared" si="71"/>
        <v>22.170849845882874</v>
      </c>
      <c r="P141" s="75">
        <f>O141*(1-PARAM!$C$27)*$I$6+(MOD($B141,60)=PARAM!$B$56)*($B141&gt;(60-PARAM!$B$56))*HLOOKUP(($B141+PARAM!$B$56)/12,Loyalty,2)*$F$1*MAX(R140,0)</f>
        <v>18.557001321003963</v>
      </c>
      <c r="Q141" s="75">
        <f>PARAM!$C$26+MAX($G$6-CHOOSE(PARAM!$B$44,MAX(0,R140*$F$1),0),0)*RATES!$L117/12+$H$6*(PARAM!$D$51/12)*RATES!$N117/100</f>
        <v>9.3333333333333339</v>
      </c>
      <c r="R141" s="16">
        <f t="shared" si="72"/>
        <v>-46.1183399383495</v>
      </c>
      <c r="S141" s="15">
        <f t="shared" si="47"/>
        <v>22.170849845882874</v>
      </c>
      <c r="T141" s="75">
        <f>S141*(1-PARAM!$C$27)*$I$7+(MOD($B141,60)=PARAM!$B$56)*($B141&gt;(60-PARAM!$B$56))*HLOOKUP(($B141+PARAM!$B$56)/12,Loyalty,2)*$F$1*MAX(V140,0)</f>
        <v>18.557001321003963</v>
      </c>
      <c r="U141" s="75">
        <f>PARAM!$C$26+MAX($G$7-CHOOSE(PARAM!$B$44,MAX(0,V140*$F$1),0),0)*RATES!$L117/12+$H$7*(PARAM!$D$51/12)*RATES!$N117/100</f>
        <v>9.3333333333333339</v>
      </c>
      <c r="V141" s="16">
        <f t="shared" si="73"/>
        <v>-46.1183399383495</v>
      </c>
      <c r="W141" s="15">
        <f t="shared" si="48"/>
        <v>22.170849845882874</v>
      </c>
      <c r="X141" s="75">
        <f>W141*(1-PARAM!$C$27)*$I$8+(MOD($B141,60)=PARAM!$B$56)*($B141&gt;(60-PARAM!$B$56))*HLOOKUP(($B141+PARAM!$B$56)/12,Loyalty,2)*$F$1*MAX(Z140,0)</f>
        <v>18.557001321003963</v>
      </c>
      <c r="Y141" s="75">
        <f>PARAM!$C$26+MAX($G$8-CHOOSE(PARAM!$B$44,MAX(0,Z140*$F$1),0),0)*RATES!$L117/12+$H$8*(PARAM!$D$51/12)*RATES!$N117/100</f>
        <v>9.3333333333333339</v>
      </c>
      <c r="Z141" s="16">
        <f t="shared" si="74"/>
        <v>-46.1183399383495</v>
      </c>
      <c r="AA141" s="15">
        <f t="shared" si="49"/>
        <v>22.170849845882874</v>
      </c>
      <c r="AB141" s="75">
        <f>AA141*(1-PARAM!$C$27)*$I$9+(MOD($B141,60)=PARAM!$B$56)*($B141&gt;(60-PARAM!$B$56))*HLOOKUP(($B141+PARAM!$B$56)/12,Loyalty,2)*$F$1*MAX(AD140,0)</f>
        <v>18.557001321003963</v>
      </c>
      <c r="AC141" s="75">
        <f>PARAM!$C$26+MAX($G$9-CHOOSE(PARAM!$B$44,MAX(0,AD140*$F$1),0),0)*RATES!$L117/12+$H$9*(PARAM!$D$51/12)*RATES!$N117/100</f>
        <v>9.3333333333333339</v>
      </c>
      <c r="AD141" s="16">
        <f t="shared" si="75"/>
        <v>-46.1183399383495</v>
      </c>
      <c r="AE141" s="15">
        <f t="shared" si="50"/>
        <v>22.170849845882874</v>
      </c>
      <c r="AF141" s="75">
        <f>AE141*(1-PARAM!$C$27)*$I$10+(MOD($B141,60)=PARAM!$B$56)*($B141&gt;(60-PARAM!$B$56))*HLOOKUP(($B141+PARAM!$B$56)/12,Loyalty,2)*$F$1*MAX(AH140,0)</f>
        <v>18.557001321003963</v>
      </c>
      <c r="AG141" s="75">
        <f>PARAM!$C$26+MAX($G$10-CHOOSE(PARAM!$B$44,MAX(0,AH140*$F$1),0),0)*RATES!$L117/12+$H$10*(PARAM!$D$51/12)*RATES!$N117/100</f>
        <v>9.3333333333333339</v>
      </c>
      <c r="AH141" s="16">
        <f t="shared" si="76"/>
        <v>-46.1183399383495</v>
      </c>
      <c r="AI141" s="15">
        <f t="shared" si="51"/>
        <v>22.170849845882874</v>
      </c>
      <c r="AJ141" s="75">
        <f>AI141*(1-PARAM!$C$27)*$I$11+(MOD($B141,60)=PARAM!$B$56)*($B141&gt;(60-PARAM!$B$56))*HLOOKUP(($B141+PARAM!$B$56)/12,Loyalty,2)*$F$1*MAX(AL140,0)</f>
        <v>18.557001321003963</v>
      </c>
      <c r="AK141" s="75">
        <f>PARAM!$C$26+MAX($G$11-CHOOSE(PARAM!$B$44,MAX(0,AL140*$F$1),0),0)*RATES!$L117/12+$H$11*(PARAM!$D$51/12)*RATES!$N117/100</f>
        <v>9.3333333333333339</v>
      </c>
      <c r="AL141" s="16">
        <f t="shared" si="77"/>
        <v>-46.1183399383495</v>
      </c>
      <c r="AM141" s="15">
        <f t="shared" si="52"/>
        <v>22.170849845882874</v>
      </c>
      <c r="AN141" s="75">
        <f>AM141*(1-PARAM!$C$27)*$I$12+(MOD($B141,60)=PARAM!$B$56)*($B141&gt;(60-PARAM!$B$56))*HLOOKUP(($B141+PARAM!$B$56)/12,Loyalty,2)*$F$1*MAX(AP140,0)</f>
        <v>18.557001321003963</v>
      </c>
      <c r="AO141" s="75">
        <f>PARAM!$C$26+MAX($G$12-CHOOSE(PARAM!$B$44,MAX(0,AP140*$F$1),0),0)*RATES!$L117/12+$H$12*(PARAM!$D$51/12)*RATES!$N117/100</f>
        <v>9.3333333333333339</v>
      </c>
      <c r="AP141" s="16">
        <f t="shared" si="78"/>
        <v>-46.1183399383495</v>
      </c>
      <c r="AQ141" s="15">
        <f t="shared" si="53"/>
        <v>22.170849845882874</v>
      </c>
      <c r="AR141" s="75">
        <f>AQ141*(1-PARAM!$C$27)*$I$13+(MOD($B141,60)=PARAM!$B$56)*($B141&gt;(60-PARAM!$B$56))*HLOOKUP(($B141+PARAM!$B$56)/12,Loyalty,2)*$F$1*MAX(AT140,0)</f>
        <v>18.557001321003963</v>
      </c>
      <c r="AS141" s="75">
        <f>PARAM!$C$26+MAX($G$13-CHOOSE(PARAM!$B$44,MAX(0,AT140*$F$1),0),0)*RATES!$L117/12+$H$13*(PARAM!$D$51/12)*RATES!$N117/100</f>
        <v>9.3333333333333339</v>
      </c>
      <c r="AT141" s="16">
        <f t="shared" si="79"/>
        <v>-46.1183399383495</v>
      </c>
      <c r="AU141" s="15">
        <f t="shared" si="54"/>
        <v>22.170849845882874</v>
      </c>
      <c r="AV141" s="75">
        <f>AU141*(1-PARAM!$C$27)*$I$14+(MOD($B141,60)=PARAM!$B$56)*($B141&gt;(60-PARAM!$B$56))*HLOOKUP(($B141+PARAM!$B$56)/12,Loyalty,2)*$F$1*MAX(AX140,0)</f>
        <v>18.557001321003963</v>
      </c>
      <c r="AW141" s="75">
        <f>PARAM!$C$26+MAX($G$14-CHOOSE(PARAM!$B$44,MAX(0,AX140*$F$1),0),0)*RATES!$L117/12+$H$14*(PARAM!$D$51/12)*RATES!$N117/100</f>
        <v>9.3333333333333339</v>
      </c>
      <c r="AX141" s="16">
        <f t="shared" si="80"/>
        <v>-46.1183399383495</v>
      </c>
      <c r="AY141" s="15">
        <f t="shared" si="55"/>
        <v>22.170849845882874</v>
      </c>
      <c r="AZ141" s="75">
        <f>AY141*(1-PARAM!$C$27)*$I$15+(MOD($B141,60)=PARAM!$B$56)*($B141&gt;(60-PARAM!$B$56))*HLOOKUP(($B141+PARAM!$B$56)/12,Loyalty,2)*$F$1*MAX(BB140,0)</f>
        <v>18.557001321003963</v>
      </c>
      <c r="BA141" s="75">
        <f>PARAM!$C$26+MAX($G$15-CHOOSE(PARAM!$B$44,MAX(0,BB140*$F$1),0),0)*RATES!$L117/12+$H$15*(PARAM!$D$51/12)*RATES!$N117/100</f>
        <v>9.3333333333333339</v>
      </c>
      <c r="BB141" s="16">
        <f t="shared" si="81"/>
        <v>-46.1183399383495</v>
      </c>
      <c r="BC141" s="15">
        <f t="shared" si="56"/>
        <v>22.170849845882874</v>
      </c>
      <c r="BD141" s="75">
        <f>BC141*(1-PARAM!$C$27)*$I$16+(MOD($B141,60)=PARAM!$B$56)*($B141&gt;(60-PARAM!$B$56))*HLOOKUP(($B141+PARAM!$B$56)/12,Loyalty,2)*$F$1*MAX(BF140,0)</f>
        <v>18.557001321003963</v>
      </c>
      <c r="BE141" s="75">
        <f>PARAM!$C$26+MAX($G$16-CHOOSE(PARAM!$B$44,MAX(0,BF140*$F$1),0),0)*RATES!$L117/12+$H$16*(PARAM!$D$51/12)*RATES!$N117/100</f>
        <v>9.3333333333333339</v>
      </c>
      <c r="BF141" s="16">
        <f t="shared" si="82"/>
        <v>-46.1183399383495</v>
      </c>
      <c r="BG141" s="15">
        <f t="shared" si="57"/>
        <v>22.170849845882874</v>
      </c>
      <c r="BH141" s="75">
        <f>BG141*(1-PARAM!$C$27)*$I$17+(MOD($B141,60)=PARAM!$B$56)*($B141&gt;(60-PARAM!$B$56))*HLOOKUP(($B141+PARAM!$B$56)/12,Loyalty,2)*$F$1*MAX(BJ140,0)</f>
        <v>18.557001321003963</v>
      </c>
      <c r="BI141" s="75">
        <f>PARAM!$C$26+MAX($G$17-CHOOSE(PARAM!$B$44,MAX(0,BJ140*$F$1),0),0)*RATES!$L117/12+$H$17*(PARAM!$D$51/12)*RATES!$N117/100</f>
        <v>9.3333333333333339</v>
      </c>
      <c r="BJ141" s="16">
        <f t="shared" si="83"/>
        <v>-46.1183399383495</v>
      </c>
      <c r="BK141" s="15">
        <f t="shared" si="58"/>
        <v>22.170849845882874</v>
      </c>
      <c r="BL141" s="75">
        <f>BK141*(1-PARAM!$C$27)*$I$18+(MOD($B141,60)=PARAM!$B$56)*($B141&gt;(60-PARAM!$B$56))*HLOOKUP(($B141+PARAM!$B$56)/12,Loyalty,2)*$F$1*MAX(BN140,0)</f>
        <v>18.557001321003963</v>
      </c>
      <c r="BM141" s="75">
        <f>PARAM!$C$26+MAX($G$18-CHOOSE(PARAM!$B$44,MAX(0,BN140*$F$1),0),0)*RATES!$L117/12+$H$18*(PARAM!$D$51/12)*RATES!$N117/100</f>
        <v>9.3333333333333339</v>
      </c>
      <c r="BN141" s="16">
        <f t="shared" si="84"/>
        <v>-46.1183399383495</v>
      </c>
      <c r="BO141" s="15">
        <f t="shared" si="59"/>
        <v>22.170849845882874</v>
      </c>
      <c r="BP141" s="75">
        <f>BO141*(1-PARAM!$C$27)*$I$19+(MOD($B141,60)=PARAM!$B$56)*($B141&gt;(60-PARAM!$B$56))*HLOOKUP(($B141+PARAM!$B$56)/12,Loyalty,2)*$F$1*MAX(BR140,0)</f>
        <v>18.557001321003963</v>
      </c>
      <c r="BQ141" s="75">
        <f>PARAM!$C$26+MAX($G$19-CHOOSE(PARAM!$B$44,MAX(0,BR140*$F$1),0),0)*RATES!$L117/12+$H$19*(PARAM!$D$51/12)*RATES!$N117/100</f>
        <v>9.3333333333333339</v>
      </c>
      <c r="BR141" s="16">
        <f t="shared" si="85"/>
        <v>-46.1183399383495</v>
      </c>
      <c r="BS141" s="15">
        <f t="shared" si="60"/>
        <v>22.170849845882874</v>
      </c>
      <c r="BT141" s="75">
        <f>BS141*(1-PARAM!$C$27)*$I$20+(MOD($B141,60)=PARAM!$B$56)*($B141&gt;(60-PARAM!$B$56))*HLOOKUP(($B141+PARAM!$B$56)/12,Loyalty,2)*$F$1*MAX(BV140,0)</f>
        <v>18.557001321003963</v>
      </c>
      <c r="BU141" s="75">
        <f>PARAM!$C$26+MAX($G$20-CHOOSE(PARAM!$B$44,MAX(0,BV140*$F$1),0),0)*RATES!$L117/12+$H$20*(PARAM!$D$51/12)*RATES!$N117/100</f>
        <v>9.3333333333333339</v>
      </c>
      <c r="BV141" s="16">
        <f t="shared" si="86"/>
        <v>-46.1183399383495</v>
      </c>
      <c r="BW141" s="15">
        <f t="shared" si="61"/>
        <v>22.170849845882874</v>
      </c>
      <c r="BX141" s="75">
        <f>BW141*(1-PARAM!$C$27)*$I$21+(MOD($B141,60)=PARAM!$B$56)*($B141&gt;(60-PARAM!$B$56))*HLOOKUP(($B141+PARAM!$B$56)/12,Loyalty,2)*$F$1*MAX(BZ140,0)</f>
        <v>18.557001321003963</v>
      </c>
      <c r="BY141" s="75">
        <f>PARAM!$C$26+MAX($G$21-CHOOSE(PARAM!$B$44,MAX(0,BZ140*$F$1),0),0)*RATES!$L117/12+$H$21*(PARAM!$D$51/12)*RATES!$N117/100</f>
        <v>9.3333333333333339</v>
      </c>
      <c r="BZ141" s="16">
        <f t="shared" si="87"/>
        <v>-46.1183399383495</v>
      </c>
      <c r="CA141" s="15">
        <f t="shared" si="62"/>
        <v>22.170849845882874</v>
      </c>
      <c r="CB141" s="75">
        <f>CA141*(1-PARAM!$C$27)*$I$22+(MOD($B141,60)=PARAM!$B$56)*($B141&gt;(60-PARAM!$B$56))*HLOOKUP(($B141+PARAM!$B$56)/12,Loyalty,2)*$F$1*MAX(CD140,0)</f>
        <v>18.557001321003963</v>
      </c>
      <c r="CC141" s="75">
        <f>PARAM!$C$26+MAX($G$22-CHOOSE(PARAM!$B$44,MAX(0,CD140*$F$1),0),0)*RATES!$L117/12+$H$22*(PARAM!$D$51/12)*RATES!$N117/100</f>
        <v>9.3333333333333339</v>
      </c>
      <c r="CD141" s="16">
        <f t="shared" si="88"/>
        <v>-46.1183399383495</v>
      </c>
      <c r="CE141" s="33">
        <f>IF(0=MOD(B141,12/PARAM!$D$51),1,0)</f>
        <v>1</v>
      </c>
      <c r="CF141" s="15">
        <f t="shared" si="63"/>
        <v>0</v>
      </c>
      <c r="CG141" s="75">
        <f>CF141*(1-PARAM!$C$27)*$R$3+(MOD($B141/12,5)=0)*($B141&gt;60)*HLOOKUP($B141/12,Loyalty,2)*$F$1*MAX(CI140,0)</f>
        <v>0</v>
      </c>
      <c r="CH141" s="75">
        <f>PARAM!$C$26+MAX($P$3-CHOOSE(PARAM!$B$44,MAX(0,CI140*$F$1),0),0)*RATES!$L117/12+$Q$3*(PARAM!$D$51/12)*RATES!$N117/100</f>
        <v>9.3333333333333339</v>
      </c>
      <c r="CI141" s="16">
        <f>IF(CI140&gt;0,CI140*PARAM!$C$53,CI140)+CG141-CH141</f>
        <v>-1967.3333333333323</v>
      </c>
      <c r="CJ141" s="15">
        <f t="shared" si="89"/>
        <v>0</v>
      </c>
      <c r="CK141" s="75">
        <f>CJ141*(1-PARAM!$C$27)*$R$4+(MOD($B141/12,5)=0)*($B141&gt;60)*HLOOKUP($B141/12,Loyalty,2)*$F$1*MAX(CM140,0)</f>
        <v>0</v>
      </c>
      <c r="CL141" s="75">
        <f>PARAM!$C$26+MAX($P$4-CHOOSE(PARAM!$B$44,MAX(0,CM140*$F$1),0),0)*RATES!$L117/12+$Q$4*(PARAM!$D$51/12)*RATES!$N117/100</f>
        <v>9.3333333333333339</v>
      </c>
      <c r="CM141" s="16">
        <f>IF(CM140&gt;0,CM140*PARAM!$C$53,CM140)+CK141-CL141</f>
        <v>-1967.3333333333323</v>
      </c>
      <c r="CO141" s="176"/>
    </row>
    <row r="142" spans="1:93" x14ac:dyDescent="0.2">
      <c r="A142" t="b">
        <f t="shared" si="64"/>
        <v>0</v>
      </c>
      <c r="B142" s="33">
        <v>115</v>
      </c>
      <c r="C142" s="15">
        <f t="shared" si="65"/>
        <v>20.081305947392778</v>
      </c>
      <c r="D142" s="75">
        <f>C142*(1-PARAM!$C$27)*$I$3+(MOD($B142,60)=PARAM!$B$56)*($B142&gt;(60-PARAM!$B$56))*HLOOKUP(($B142+PARAM!$B$56)/12,Loyalty,2)*$F$1*MAX(F141,0)</f>
        <v>16.808053077967756</v>
      </c>
      <c r="E142" s="75">
        <f>PARAM!$C$26+MAX($G$3-CHOOSE(PARAM!$B$44,MAX(0,F141*$F$1),0),0)*RATES!$L118/12+$H$3*(PARAM!$D$51/12)*RATES!$N118/100</f>
        <v>9.3333333333333339</v>
      </c>
      <c r="F142" s="16">
        <f t="shared" si="66"/>
        <v>-219.71304671737525</v>
      </c>
      <c r="G142" s="15">
        <f t="shared" si="67"/>
        <v>22.035289406060361</v>
      </c>
      <c r="H142" s="75">
        <f>G142*(1-PARAM!$C$27)*$I$4+(MOD($B142,60)=PARAM!$B$56)*($B142&gt;(60-PARAM!$B$56))*HLOOKUP(($B142+PARAM!$B$56)/12,Loyalty,2)*$F$1*MAX(J141,0)</f>
        <v>18.443537232872522</v>
      </c>
      <c r="I142" s="75">
        <f>PARAM!$C$26+MAX($G$4-CHOOSE(PARAM!$B$44,MAX(0,J141*$F$1),0),0)*RATES!$L118/12+$H$4*(PARAM!$D$51/12)*RATES!$N118/100</f>
        <v>9.3333333333333339</v>
      </c>
      <c r="J142" s="16">
        <f t="shared" si="68"/>
        <v>-48.755125951633318</v>
      </c>
      <c r="K142" s="15">
        <f t="shared" si="69"/>
        <v>22.170849845882874</v>
      </c>
      <c r="L142" s="75">
        <f>K142*(1-PARAM!$C$27)*$I$5+(MOD($B142,60)=PARAM!$B$56)*($B142&gt;(60-PARAM!$B$56))*HLOOKUP(($B142+PARAM!$B$56)/12,Loyalty,2)*$F$1*MAX(N141,0)</f>
        <v>18.557001321003963</v>
      </c>
      <c r="M142" s="75">
        <f>PARAM!$C$26+MAX($G$5-CHOOSE(PARAM!$B$44,MAX(0,N141*$F$1),0),0)*RATES!$L118/12+$H$5*(PARAM!$D$51/12)*RATES!$N118/100</f>
        <v>9.3333333333333339</v>
      </c>
      <c r="N142" s="16">
        <f t="shared" si="70"/>
        <v>-36.89467195067887</v>
      </c>
      <c r="O142" s="15">
        <f t="shared" si="71"/>
        <v>22.170849845882874</v>
      </c>
      <c r="P142" s="75">
        <f>O142*(1-PARAM!$C$27)*$I$6+(MOD($B142,60)=PARAM!$B$56)*($B142&gt;(60-PARAM!$B$56))*HLOOKUP(($B142+PARAM!$B$56)/12,Loyalty,2)*$F$1*MAX(R141,0)</f>
        <v>18.557001321003963</v>
      </c>
      <c r="Q142" s="75">
        <f>PARAM!$C$26+MAX($G$6-CHOOSE(PARAM!$B$44,MAX(0,R141*$F$1),0),0)*RATES!$L118/12+$H$6*(PARAM!$D$51/12)*RATES!$N118/100</f>
        <v>9.3333333333333339</v>
      </c>
      <c r="R142" s="16">
        <f t="shared" si="72"/>
        <v>-36.89467195067887</v>
      </c>
      <c r="S142" s="15">
        <f t="shared" si="47"/>
        <v>22.170849845882874</v>
      </c>
      <c r="T142" s="75">
        <f>S142*(1-PARAM!$C$27)*$I$7+(MOD($B142,60)=PARAM!$B$56)*($B142&gt;(60-PARAM!$B$56))*HLOOKUP(($B142+PARAM!$B$56)/12,Loyalty,2)*$F$1*MAX(V141,0)</f>
        <v>18.557001321003963</v>
      </c>
      <c r="U142" s="75">
        <f>PARAM!$C$26+MAX($G$7-CHOOSE(PARAM!$B$44,MAX(0,V141*$F$1),0),0)*RATES!$L118/12+$H$7*(PARAM!$D$51/12)*RATES!$N118/100</f>
        <v>9.3333333333333339</v>
      </c>
      <c r="V142" s="16">
        <f t="shared" si="73"/>
        <v>-36.89467195067887</v>
      </c>
      <c r="W142" s="15">
        <f t="shared" si="48"/>
        <v>22.170849845882874</v>
      </c>
      <c r="X142" s="75">
        <f>W142*(1-PARAM!$C$27)*$I$8+(MOD($B142,60)=PARAM!$B$56)*($B142&gt;(60-PARAM!$B$56))*HLOOKUP(($B142+PARAM!$B$56)/12,Loyalty,2)*$F$1*MAX(Z141,0)</f>
        <v>18.557001321003963</v>
      </c>
      <c r="Y142" s="75">
        <f>PARAM!$C$26+MAX($G$8-CHOOSE(PARAM!$B$44,MAX(0,Z141*$F$1),0),0)*RATES!$L118/12+$H$8*(PARAM!$D$51/12)*RATES!$N118/100</f>
        <v>9.3333333333333339</v>
      </c>
      <c r="Z142" s="16">
        <f t="shared" si="74"/>
        <v>-36.89467195067887</v>
      </c>
      <c r="AA142" s="15">
        <f t="shared" si="49"/>
        <v>22.170849845882874</v>
      </c>
      <c r="AB142" s="75">
        <f>AA142*(1-PARAM!$C$27)*$I$9+(MOD($B142,60)=PARAM!$B$56)*($B142&gt;(60-PARAM!$B$56))*HLOOKUP(($B142+PARAM!$B$56)/12,Loyalty,2)*$F$1*MAX(AD141,0)</f>
        <v>18.557001321003963</v>
      </c>
      <c r="AC142" s="75">
        <f>PARAM!$C$26+MAX($G$9-CHOOSE(PARAM!$B$44,MAX(0,AD141*$F$1),0),0)*RATES!$L118/12+$H$9*(PARAM!$D$51/12)*RATES!$N118/100</f>
        <v>9.3333333333333339</v>
      </c>
      <c r="AD142" s="16">
        <f t="shared" si="75"/>
        <v>-36.89467195067887</v>
      </c>
      <c r="AE142" s="15">
        <f t="shared" si="50"/>
        <v>22.170849845882874</v>
      </c>
      <c r="AF142" s="75">
        <f>AE142*(1-PARAM!$C$27)*$I$10+(MOD($B142,60)=PARAM!$B$56)*($B142&gt;(60-PARAM!$B$56))*HLOOKUP(($B142+PARAM!$B$56)/12,Loyalty,2)*$F$1*MAX(AH141,0)</f>
        <v>18.557001321003963</v>
      </c>
      <c r="AG142" s="75">
        <f>PARAM!$C$26+MAX($G$10-CHOOSE(PARAM!$B$44,MAX(0,AH141*$F$1),0),0)*RATES!$L118/12+$H$10*(PARAM!$D$51/12)*RATES!$N118/100</f>
        <v>9.3333333333333339</v>
      </c>
      <c r="AH142" s="16">
        <f t="shared" si="76"/>
        <v>-36.89467195067887</v>
      </c>
      <c r="AI142" s="15">
        <f t="shared" si="51"/>
        <v>22.170849845882874</v>
      </c>
      <c r="AJ142" s="75">
        <f>AI142*(1-PARAM!$C$27)*$I$11+(MOD($B142,60)=PARAM!$B$56)*($B142&gt;(60-PARAM!$B$56))*HLOOKUP(($B142+PARAM!$B$56)/12,Loyalty,2)*$F$1*MAX(AL141,0)</f>
        <v>18.557001321003963</v>
      </c>
      <c r="AK142" s="75">
        <f>PARAM!$C$26+MAX($G$11-CHOOSE(PARAM!$B$44,MAX(0,AL141*$F$1),0),0)*RATES!$L118/12+$H$11*(PARAM!$D$51/12)*RATES!$N118/100</f>
        <v>9.3333333333333339</v>
      </c>
      <c r="AL142" s="16">
        <f t="shared" si="77"/>
        <v>-36.89467195067887</v>
      </c>
      <c r="AM142" s="15">
        <f t="shared" si="52"/>
        <v>22.170849845882874</v>
      </c>
      <c r="AN142" s="75">
        <f>AM142*(1-PARAM!$C$27)*$I$12+(MOD($B142,60)=PARAM!$B$56)*($B142&gt;(60-PARAM!$B$56))*HLOOKUP(($B142+PARAM!$B$56)/12,Loyalty,2)*$F$1*MAX(AP141,0)</f>
        <v>18.557001321003963</v>
      </c>
      <c r="AO142" s="75">
        <f>PARAM!$C$26+MAX($G$12-CHOOSE(PARAM!$B$44,MAX(0,AP141*$F$1),0),0)*RATES!$L118/12+$H$12*(PARAM!$D$51/12)*RATES!$N118/100</f>
        <v>9.3333333333333339</v>
      </c>
      <c r="AP142" s="16">
        <f t="shared" si="78"/>
        <v>-36.89467195067887</v>
      </c>
      <c r="AQ142" s="15">
        <f t="shared" si="53"/>
        <v>22.170849845882874</v>
      </c>
      <c r="AR142" s="75">
        <f>AQ142*(1-PARAM!$C$27)*$I$13+(MOD($B142,60)=PARAM!$B$56)*($B142&gt;(60-PARAM!$B$56))*HLOOKUP(($B142+PARAM!$B$56)/12,Loyalty,2)*$F$1*MAX(AT141,0)</f>
        <v>18.557001321003963</v>
      </c>
      <c r="AS142" s="75">
        <f>PARAM!$C$26+MAX($G$13-CHOOSE(PARAM!$B$44,MAX(0,AT141*$F$1),0),0)*RATES!$L118/12+$H$13*(PARAM!$D$51/12)*RATES!$N118/100</f>
        <v>9.3333333333333339</v>
      </c>
      <c r="AT142" s="16">
        <f t="shared" si="79"/>
        <v>-36.89467195067887</v>
      </c>
      <c r="AU142" s="15">
        <f t="shared" si="54"/>
        <v>22.170849845882874</v>
      </c>
      <c r="AV142" s="75">
        <f>AU142*(1-PARAM!$C$27)*$I$14+(MOD($B142,60)=PARAM!$B$56)*($B142&gt;(60-PARAM!$B$56))*HLOOKUP(($B142+PARAM!$B$56)/12,Loyalty,2)*$F$1*MAX(AX141,0)</f>
        <v>18.557001321003963</v>
      </c>
      <c r="AW142" s="75">
        <f>PARAM!$C$26+MAX($G$14-CHOOSE(PARAM!$B$44,MAX(0,AX141*$F$1),0),0)*RATES!$L118/12+$H$14*(PARAM!$D$51/12)*RATES!$N118/100</f>
        <v>9.3333333333333339</v>
      </c>
      <c r="AX142" s="16">
        <f t="shared" si="80"/>
        <v>-36.89467195067887</v>
      </c>
      <c r="AY142" s="15">
        <f t="shared" si="55"/>
        <v>22.170849845882874</v>
      </c>
      <c r="AZ142" s="75">
        <f>AY142*(1-PARAM!$C$27)*$I$15+(MOD($B142,60)=PARAM!$B$56)*($B142&gt;(60-PARAM!$B$56))*HLOOKUP(($B142+PARAM!$B$56)/12,Loyalty,2)*$F$1*MAX(BB141,0)</f>
        <v>18.557001321003963</v>
      </c>
      <c r="BA142" s="75">
        <f>PARAM!$C$26+MAX($G$15-CHOOSE(PARAM!$B$44,MAX(0,BB141*$F$1),0),0)*RATES!$L118/12+$H$15*(PARAM!$D$51/12)*RATES!$N118/100</f>
        <v>9.3333333333333339</v>
      </c>
      <c r="BB142" s="16">
        <f t="shared" si="81"/>
        <v>-36.89467195067887</v>
      </c>
      <c r="BC142" s="15">
        <f t="shared" si="56"/>
        <v>22.170849845882874</v>
      </c>
      <c r="BD142" s="75">
        <f>BC142*(1-PARAM!$C$27)*$I$16+(MOD($B142,60)=PARAM!$B$56)*($B142&gt;(60-PARAM!$B$56))*HLOOKUP(($B142+PARAM!$B$56)/12,Loyalty,2)*$F$1*MAX(BF141,0)</f>
        <v>18.557001321003963</v>
      </c>
      <c r="BE142" s="75">
        <f>PARAM!$C$26+MAX($G$16-CHOOSE(PARAM!$B$44,MAX(0,BF141*$F$1),0),0)*RATES!$L118/12+$H$16*(PARAM!$D$51/12)*RATES!$N118/100</f>
        <v>9.3333333333333339</v>
      </c>
      <c r="BF142" s="16">
        <f t="shared" si="82"/>
        <v>-36.89467195067887</v>
      </c>
      <c r="BG142" s="15">
        <f t="shared" si="57"/>
        <v>22.170849845882874</v>
      </c>
      <c r="BH142" s="75">
        <f>BG142*(1-PARAM!$C$27)*$I$17+(MOD($B142,60)=PARAM!$B$56)*($B142&gt;(60-PARAM!$B$56))*HLOOKUP(($B142+PARAM!$B$56)/12,Loyalty,2)*$F$1*MAX(BJ141,0)</f>
        <v>18.557001321003963</v>
      </c>
      <c r="BI142" s="75">
        <f>PARAM!$C$26+MAX($G$17-CHOOSE(PARAM!$B$44,MAX(0,BJ141*$F$1),0),0)*RATES!$L118/12+$H$17*(PARAM!$D$51/12)*RATES!$N118/100</f>
        <v>9.3333333333333339</v>
      </c>
      <c r="BJ142" s="16">
        <f t="shared" si="83"/>
        <v>-36.89467195067887</v>
      </c>
      <c r="BK142" s="15">
        <f t="shared" si="58"/>
        <v>22.170849845882874</v>
      </c>
      <c r="BL142" s="75">
        <f>BK142*(1-PARAM!$C$27)*$I$18+(MOD($B142,60)=PARAM!$B$56)*($B142&gt;(60-PARAM!$B$56))*HLOOKUP(($B142+PARAM!$B$56)/12,Loyalty,2)*$F$1*MAX(BN141,0)</f>
        <v>18.557001321003963</v>
      </c>
      <c r="BM142" s="75">
        <f>PARAM!$C$26+MAX($G$18-CHOOSE(PARAM!$B$44,MAX(0,BN141*$F$1),0),0)*RATES!$L118/12+$H$18*(PARAM!$D$51/12)*RATES!$N118/100</f>
        <v>9.3333333333333339</v>
      </c>
      <c r="BN142" s="16">
        <f t="shared" si="84"/>
        <v>-36.89467195067887</v>
      </c>
      <c r="BO142" s="15">
        <f t="shared" si="59"/>
        <v>22.170849845882874</v>
      </c>
      <c r="BP142" s="75">
        <f>BO142*(1-PARAM!$C$27)*$I$19+(MOD($B142,60)=PARAM!$B$56)*($B142&gt;(60-PARAM!$B$56))*HLOOKUP(($B142+PARAM!$B$56)/12,Loyalty,2)*$F$1*MAX(BR141,0)</f>
        <v>18.557001321003963</v>
      </c>
      <c r="BQ142" s="75">
        <f>PARAM!$C$26+MAX($G$19-CHOOSE(PARAM!$B$44,MAX(0,BR141*$F$1),0),0)*RATES!$L118/12+$H$19*(PARAM!$D$51/12)*RATES!$N118/100</f>
        <v>9.3333333333333339</v>
      </c>
      <c r="BR142" s="16">
        <f t="shared" si="85"/>
        <v>-36.89467195067887</v>
      </c>
      <c r="BS142" s="15">
        <f t="shared" si="60"/>
        <v>22.170849845882874</v>
      </c>
      <c r="BT142" s="75">
        <f>BS142*(1-PARAM!$C$27)*$I$20+(MOD($B142,60)=PARAM!$B$56)*($B142&gt;(60-PARAM!$B$56))*HLOOKUP(($B142+PARAM!$B$56)/12,Loyalty,2)*$F$1*MAX(BV141,0)</f>
        <v>18.557001321003963</v>
      </c>
      <c r="BU142" s="75">
        <f>PARAM!$C$26+MAX($G$20-CHOOSE(PARAM!$B$44,MAX(0,BV141*$F$1),0),0)*RATES!$L118/12+$H$20*(PARAM!$D$51/12)*RATES!$N118/100</f>
        <v>9.3333333333333339</v>
      </c>
      <c r="BV142" s="16">
        <f t="shared" si="86"/>
        <v>-36.89467195067887</v>
      </c>
      <c r="BW142" s="15">
        <f t="shared" si="61"/>
        <v>22.170849845882874</v>
      </c>
      <c r="BX142" s="75">
        <f>BW142*(1-PARAM!$C$27)*$I$21+(MOD($B142,60)=PARAM!$B$56)*($B142&gt;(60-PARAM!$B$56))*HLOOKUP(($B142+PARAM!$B$56)/12,Loyalty,2)*$F$1*MAX(BZ141,0)</f>
        <v>18.557001321003963</v>
      </c>
      <c r="BY142" s="75">
        <f>PARAM!$C$26+MAX($G$21-CHOOSE(PARAM!$B$44,MAX(0,BZ141*$F$1),0),0)*RATES!$L118/12+$H$21*(PARAM!$D$51/12)*RATES!$N118/100</f>
        <v>9.3333333333333339</v>
      </c>
      <c r="BZ142" s="16">
        <f t="shared" si="87"/>
        <v>-36.89467195067887</v>
      </c>
      <c r="CA142" s="15">
        <f t="shared" si="62"/>
        <v>22.170849845882874</v>
      </c>
      <c r="CB142" s="75">
        <f>CA142*(1-PARAM!$C$27)*$I$22+(MOD($B142,60)=PARAM!$B$56)*($B142&gt;(60-PARAM!$B$56))*HLOOKUP(($B142+PARAM!$B$56)/12,Loyalty,2)*$F$1*MAX(CD141,0)</f>
        <v>18.557001321003963</v>
      </c>
      <c r="CC142" s="75">
        <f>PARAM!$C$26+MAX($G$22-CHOOSE(PARAM!$B$44,MAX(0,CD141*$F$1),0),0)*RATES!$L118/12+$H$22*(PARAM!$D$51/12)*RATES!$N118/100</f>
        <v>9.3333333333333339</v>
      </c>
      <c r="CD142" s="16">
        <f t="shared" si="88"/>
        <v>-36.89467195067887</v>
      </c>
      <c r="CE142" s="33">
        <f>IF(0=MOD(B142,12/PARAM!$D$51),1,0)</f>
        <v>1</v>
      </c>
      <c r="CF142" s="15">
        <f t="shared" si="63"/>
        <v>0</v>
      </c>
      <c r="CG142" s="75">
        <f>CF142*(1-PARAM!$C$27)*$R$3+(MOD($B142/12,5)=0)*($B142&gt;60)*HLOOKUP($B142/12,Loyalty,2)*$F$1*MAX(CI141,0)</f>
        <v>0</v>
      </c>
      <c r="CH142" s="75">
        <f>PARAM!$C$26+MAX($P$3-CHOOSE(PARAM!$B$44,MAX(0,CI141*$F$1),0),0)*RATES!$L118/12+$Q$3*(PARAM!$D$51/12)*RATES!$N118/100</f>
        <v>9.3333333333333339</v>
      </c>
      <c r="CI142" s="16">
        <f>IF(CI141&gt;0,CI141*PARAM!$C$53,CI141)+CG142-CH142</f>
        <v>-1976.6666666666656</v>
      </c>
      <c r="CJ142" s="15">
        <f t="shared" si="89"/>
        <v>0</v>
      </c>
      <c r="CK142" s="75">
        <f>CJ142*(1-PARAM!$C$27)*$R$4+(MOD($B142/12,5)=0)*($B142&gt;60)*HLOOKUP($B142/12,Loyalty,2)*$F$1*MAX(CM141,0)</f>
        <v>0</v>
      </c>
      <c r="CL142" s="75">
        <f>PARAM!$C$26+MAX($P$4-CHOOSE(PARAM!$B$44,MAX(0,CM141*$F$1),0),0)*RATES!$L118/12+$Q$4*(PARAM!$D$51/12)*RATES!$N118/100</f>
        <v>9.3333333333333339</v>
      </c>
      <c r="CM142" s="16">
        <f>IF(CM141&gt;0,CM141*PARAM!$C$53,CM141)+CK142-CL142</f>
        <v>-1976.6666666666656</v>
      </c>
      <c r="CO142" s="176"/>
    </row>
    <row r="143" spans="1:93" x14ac:dyDescent="0.2">
      <c r="A143" t="b">
        <f t="shared" si="64"/>
        <v>0</v>
      </c>
      <c r="B143" s="33">
        <v>116</v>
      </c>
      <c r="C143" s="15">
        <f t="shared" si="65"/>
        <v>20.081305947392778</v>
      </c>
      <c r="D143" s="75">
        <f>C143*(1-PARAM!$C$27)*$I$3+(MOD($B143,60)=PARAM!$B$56)*($B143&gt;(60-PARAM!$B$56))*HLOOKUP(($B143+PARAM!$B$56)/12,Loyalty,2)*$F$1*MAX(F142,0)</f>
        <v>16.808053077967756</v>
      </c>
      <c r="E143" s="75">
        <f>PARAM!$C$26+MAX($G$3-CHOOSE(PARAM!$B$44,MAX(0,F142*$F$1),0),0)*RATES!$L119/12+$H$3*(PARAM!$D$51/12)*RATES!$N119/100</f>
        <v>9.3333333333333339</v>
      </c>
      <c r="F143" s="16">
        <f t="shared" si="66"/>
        <v>-212.23832697274085</v>
      </c>
      <c r="G143" s="15">
        <f t="shared" si="67"/>
        <v>22.035289406060361</v>
      </c>
      <c r="H143" s="75">
        <f>G143*(1-PARAM!$C$27)*$I$4+(MOD($B143,60)=PARAM!$B$56)*($B143&gt;(60-PARAM!$B$56))*HLOOKUP(($B143+PARAM!$B$56)/12,Loyalty,2)*$F$1*MAX(J142,0)</f>
        <v>18.443537232872522</v>
      </c>
      <c r="I143" s="75">
        <f>PARAM!$C$26+MAX($G$4-CHOOSE(PARAM!$B$44,MAX(0,J142*$F$1),0),0)*RATES!$L119/12+$H$4*(PARAM!$D$51/12)*RATES!$N119/100</f>
        <v>9.3333333333333339</v>
      </c>
      <c r="J143" s="16">
        <f t="shared" si="68"/>
        <v>-39.644922052094131</v>
      </c>
      <c r="K143" s="15">
        <f t="shared" si="69"/>
        <v>22.170849845882874</v>
      </c>
      <c r="L143" s="75">
        <f>K143*(1-PARAM!$C$27)*$I$5+(MOD($B143,60)=PARAM!$B$56)*($B143&gt;(60-PARAM!$B$56))*HLOOKUP(($B143+PARAM!$B$56)/12,Loyalty,2)*$F$1*MAX(N142,0)</f>
        <v>18.557001321003963</v>
      </c>
      <c r="M143" s="75">
        <f>PARAM!$C$26+MAX($G$5-CHOOSE(PARAM!$B$44,MAX(0,N142*$F$1),0),0)*RATES!$L119/12+$H$5*(PARAM!$D$51/12)*RATES!$N119/100</f>
        <v>9.3333333333333339</v>
      </c>
      <c r="N143" s="16">
        <f t="shared" si="70"/>
        <v>-27.671003963008239</v>
      </c>
      <c r="O143" s="15">
        <f t="shared" si="71"/>
        <v>22.170849845882874</v>
      </c>
      <c r="P143" s="75">
        <f>O143*(1-PARAM!$C$27)*$I$6+(MOD($B143,60)=PARAM!$B$56)*($B143&gt;(60-PARAM!$B$56))*HLOOKUP(($B143+PARAM!$B$56)/12,Loyalty,2)*$F$1*MAX(R142,0)</f>
        <v>18.557001321003963</v>
      </c>
      <c r="Q143" s="75">
        <f>PARAM!$C$26+MAX($G$6-CHOOSE(PARAM!$B$44,MAX(0,R142*$F$1),0),0)*RATES!$L119/12+$H$6*(PARAM!$D$51/12)*RATES!$N119/100</f>
        <v>9.3333333333333339</v>
      </c>
      <c r="R143" s="16">
        <f t="shared" si="72"/>
        <v>-27.671003963008239</v>
      </c>
      <c r="S143" s="15">
        <f t="shared" si="47"/>
        <v>22.170849845882874</v>
      </c>
      <c r="T143" s="75">
        <f>S143*(1-PARAM!$C$27)*$I$7+(MOD($B143,60)=PARAM!$B$56)*($B143&gt;(60-PARAM!$B$56))*HLOOKUP(($B143+PARAM!$B$56)/12,Loyalty,2)*$F$1*MAX(V142,0)</f>
        <v>18.557001321003963</v>
      </c>
      <c r="U143" s="75">
        <f>PARAM!$C$26+MAX($G$7-CHOOSE(PARAM!$B$44,MAX(0,V142*$F$1),0),0)*RATES!$L119/12+$H$7*(PARAM!$D$51/12)*RATES!$N119/100</f>
        <v>9.3333333333333339</v>
      </c>
      <c r="V143" s="16">
        <f t="shared" si="73"/>
        <v>-27.671003963008239</v>
      </c>
      <c r="W143" s="15">
        <f t="shared" si="48"/>
        <v>22.170849845882874</v>
      </c>
      <c r="X143" s="75">
        <f>W143*(1-PARAM!$C$27)*$I$8+(MOD($B143,60)=PARAM!$B$56)*($B143&gt;(60-PARAM!$B$56))*HLOOKUP(($B143+PARAM!$B$56)/12,Loyalty,2)*$F$1*MAX(Z142,0)</f>
        <v>18.557001321003963</v>
      </c>
      <c r="Y143" s="75">
        <f>PARAM!$C$26+MAX($G$8-CHOOSE(PARAM!$B$44,MAX(0,Z142*$F$1),0),0)*RATES!$L119/12+$H$8*(PARAM!$D$51/12)*RATES!$N119/100</f>
        <v>9.3333333333333339</v>
      </c>
      <c r="Z143" s="16">
        <f t="shared" si="74"/>
        <v>-27.671003963008239</v>
      </c>
      <c r="AA143" s="15">
        <f t="shared" si="49"/>
        <v>22.170849845882874</v>
      </c>
      <c r="AB143" s="75">
        <f>AA143*(1-PARAM!$C$27)*$I$9+(MOD($B143,60)=PARAM!$B$56)*($B143&gt;(60-PARAM!$B$56))*HLOOKUP(($B143+PARAM!$B$56)/12,Loyalty,2)*$F$1*MAX(AD142,0)</f>
        <v>18.557001321003963</v>
      </c>
      <c r="AC143" s="75">
        <f>PARAM!$C$26+MAX($G$9-CHOOSE(PARAM!$B$44,MAX(0,AD142*$F$1),0),0)*RATES!$L119/12+$H$9*(PARAM!$D$51/12)*RATES!$N119/100</f>
        <v>9.3333333333333339</v>
      </c>
      <c r="AD143" s="16">
        <f t="shared" si="75"/>
        <v>-27.671003963008239</v>
      </c>
      <c r="AE143" s="15">
        <f t="shared" si="50"/>
        <v>22.170849845882874</v>
      </c>
      <c r="AF143" s="75">
        <f>AE143*(1-PARAM!$C$27)*$I$10+(MOD($B143,60)=PARAM!$B$56)*($B143&gt;(60-PARAM!$B$56))*HLOOKUP(($B143+PARAM!$B$56)/12,Loyalty,2)*$F$1*MAX(AH142,0)</f>
        <v>18.557001321003963</v>
      </c>
      <c r="AG143" s="75">
        <f>PARAM!$C$26+MAX($G$10-CHOOSE(PARAM!$B$44,MAX(0,AH142*$F$1),0),0)*RATES!$L119/12+$H$10*(PARAM!$D$51/12)*RATES!$N119/100</f>
        <v>9.3333333333333339</v>
      </c>
      <c r="AH143" s="16">
        <f t="shared" si="76"/>
        <v>-27.671003963008239</v>
      </c>
      <c r="AI143" s="15">
        <f t="shared" si="51"/>
        <v>22.170849845882874</v>
      </c>
      <c r="AJ143" s="75">
        <f>AI143*(1-PARAM!$C$27)*$I$11+(MOD($B143,60)=PARAM!$B$56)*($B143&gt;(60-PARAM!$B$56))*HLOOKUP(($B143+PARAM!$B$56)/12,Loyalty,2)*$F$1*MAX(AL142,0)</f>
        <v>18.557001321003963</v>
      </c>
      <c r="AK143" s="75">
        <f>PARAM!$C$26+MAX($G$11-CHOOSE(PARAM!$B$44,MAX(0,AL142*$F$1),0),0)*RATES!$L119/12+$H$11*(PARAM!$D$51/12)*RATES!$N119/100</f>
        <v>9.3333333333333339</v>
      </c>
      <c r="AL143" s="16">
        <f t="shared" si="77"/>
        <v>-27.671003963008239</v>
      </c>
      <c r="AM143" s="15">
        <f t="shared" si="52"/>
        <v>22.170849845882874</v>
      </c>
      <c r="AN143" s="75">
        <f>AM143*(1-PARAM!$C$27)*$I$12+(MOD($B143,60)=PARAM!$B$56)*($B143&gt;(60-PARAM!$B$56))*HLOOKUP(($B143+PARAM!$B$56)/12,Loyalty,2)*$F$1*MAX(AP142,0)</f>
        <v>18.557001321003963</v>
      </c>
      <c r="AO143" s="75">
        <f>PARAM!$C$26+MAX($G$12-CHOOSE(PARAM!$B$44,MAX(0,AP142*$F$1),0),0)*RATES!$L119/12+$H$12*(PARAM!$D$51/12)*RATES!$N119/100</f>
        <v>9.3333333333333339</v>
      </c>
      <c r="AP143" s="16">
        <f t="shared" si="78"/>
        <v>-27.671003963008239</v>
      </c>
      <c r="AQ143" s="15">
        <f t="shared" si="53"/>
        <v>22.170849845882874</v>
      </c>
      <c r="AR143" s="75">
        <f>AQ143*(1-PARAM!$C$27)*$I$13+(MOD($B143,60)=PARAM!$B$56)*($B143&gt;(60-PARAM!$B$56))*HLOOKUP(($B143+PARAM!$B$56)/12,Loyalty,2)*$F$1*MAX(AT142,0)</f>
        <v>18.557001321003963</v>
      </c>
      <c r="AS143" s="75">
        <f>PARAM!$C$26+MAX($G$13-CHOOSE(PARAM!$B$44,MAX(0,AT142*$F$1),0),0)*RATES!$L119/12+$H$13*(PARAM!$D$51/12)*RATES!$N119/100</f>
        <v>9.3333333333333339</v>
      </c>
      <c r="AT143" s="16">
        <f t="shared" si="79"/>
        <v>-27.671003963008239</v>
      </c>
      <c r="AU143" s="15">
        <f t="shared" si="54"/>
        <v>22.170849845882874</v>
      </c>
      <c r="AV143" s="75">
        <f>AU143*(1-PARAM!$C$27)*$I$14+(MOD($B143,60)=PARAM!$B$56)*($B143&gt;(60-PARAM!$B$56))*HLOOKUP(($B143+PARAM!$B$56)/12,Loyalty,2)*$F$1*MAX(AX142,0)</f>
        <v>18.557001321003963</v>
      </c>
      <c r="AW143" s="75">
        <f>PARAM!$C$26+MAX($G$14-CHOOSE(PARAM!$B$44,MAX(0,AX142*$F$1),0),0)*RATES!$L119/12+$H$14*(PARAM!$D$51/12)*RATES!$N119/100</f>
        <v>9.3333333333333339</v>
      </c>
      <c r="AX143" s="16">
        <f t="shared" si="80"/>
        <v>-27.671003963008239</v>
      </c>
      <c r="AY143" s="15">
        <f t="shared" si="55"/>
        <v>22.170849845882874</v>
      </c>
      <c r="AZ143" s="75">
        <f>AY143*(1-PARAM!$C$27)*$I$15+(MOD($B143,60)=PARAM!$B$56)*($B143&gt;(60-PARAM!$B$56))*HLOOKUP(($B143+PARAM!$B$56)/12,Loyalty,2)*$F$1*MAX(BB142,0)</f>
        <v>18.557001321003963</v>
      </c>
      <c r="BA143" s="75">
        <f>PARAM!$C$26+MAX($G$15-CHOOSE(PARAM!$B$44,MAX(0,BB142*$F$1),0),0)*RATES!$L119/12+$H$15*(PARAM!$D$51/12)*RATES!$N119/100</f>
        <v>9.3333333333333339</v>
      </c>
      <c r="BB143" s="16">
        <f t="shared" si="81"/>
        <v>-27.671003963008239</v>
      </c>
      <c r="BC143" s="15">
        <f t="shared" si="56"/>
        <v>22.170849845882874</v>
      </c>
      <c r="BD143" s="75">
        <f>BC143*(1-PARAM!$C$27)*$I$16+(MOD($B143,60)=PARAM!$B$56)*($B143&gt;(60-PARAM!$B$56))*HLOOKUP(($B143+PARAM!$B$56)/12,Loyalty,2)*$F$1*MAX(BF142,0)</f>
        <v>18.557001321003963</v>
      </c>
      <c r="BE143" s="75">
        <f>PARAM!$C$26+MAX($G$16-CHOOSE(PARAM!$B$44,MAX(0,BF142*$F$1),0),0)*RATES!$L119/12+$H$16*(PARAM!$D$51/12)*RATES!$N119/100</f>
        <v>9.3333333333333339</v>
      </c>
      <c r="BF143" s="16">
        <f t="shared" si="82"/>
        <v>-27.671003963008239</v>
      </c>
      <c r="BG143" s="15">
        <f t="shared" si="57"/>
        <v>22.170849845882874</v>
      </c>
      <c r="BH143" s="75">
        <f>BG143*(1-PARAM!$C$27)*$I$17+(MOD($B143,60)=PARAM!$B$56)*($B143&gt;(60-PARAM!$B$56))*HLOOKUP(($B143+PARAM!$B$56)/12,Loyalty,2)*$F$1*MAX(BJ142,0)</f>
        <v>18.557001321003963</v>
      </c>
      <c r="BI143" s="75">
        <f>PARAM!$C$26+MAX($G$17-CHOOSE(PARAM!$B$44,MAX(0,BJ142*$F$1),0),0)*RATES!$L119/12+$H$17*(PARAM!$D$51/12)*RATES!$N119/100</f>
        <v>9.3333333333333339</v>
      </c>
      <c r="BJ143" s="16">
        <f t="shared" si="83"/>
        <v>-27.671003963008239</v>
      </c>
      <c r="BK143" s="15">
        <f t="shared" si="58"/>
        <v>22.170849845882874</v>
      </c>
      <c r="BL143" s="75">
        <f>BK143*(1-PARAM!$C$27)*$I$18+(MOD($B143,60)=PARAM!$B$56)*($B143&gt;(60-PARAM!$B$56))*HLOOKUP(($B143+PARAM!$B$56)/12,Loyalty,2)*$F$1*MAX(BN142,0)</f>
        <v>18.557001321003963</v>
      </c>
      <c r="BM143" s="75">
        <f>PARAM!$C$26+MAX($G$18-CHOOSE(PARAM!$B$44,MAX(0,BN142*$F$1),0),0)*RATES!$L119/12+$H$18*(PARAM!$D$51/12)*RATES!$N119/100</f>
        <v>9.3333333333333339</v>
      </c>
      <c r="BN143" s="16">
        <f t="shared" si="84"/>
        <v>-27.671003963008239</v>
      </c>
      <c r="BO143" s="15">
        <f t="shared" si="59"/>
        <v>22.170849845882874</v>
      </c>
      <c r="BP143" s="75">
        <f>BO143*(1-PARAM!$C$27)*$I$19+(MOD($B143,60)=PARAM!$B$56)*($B143&gt;(60-PARAM!$B$56))*HLOOKUP(($B143+PARAM!$B$56)/12,Loyalty,2)*$F$1*MAX(BR142,0)</f>
        <v>18.557001321003963</v>
      </c>
      <c r="BQ143" s="75">
        <f>PARAM!$C$26+MAX($G$19-CHOOSE(PARAM!$B$44,MAX(0,BR142*$F$1),0),0)*RATES!$L119/12+$H$19*(PARAM!$D$51/12)*RATES!$N119/100</f>
        <v>9.3333333333333339</v>
      </c>
      <c r="BR143" s="16">
        <f t="shared" si="85"/>
        <v>-27.671003963008239</v>
      </c>
      <c r="BS143" s="15">
        <f t="shared" si="60"/>
        <v>22.170849845882874</v>
      </c>
      <c r="BT143" s="75">
        <f>BS143*(1-PARAM!$C$27)*$I$20+(MOD($B143,60)=PARAM!$B$56)*($B143&gt;(60-PARAM!$B$56))*HLOOKUP(($B143+PARAM!$B$56)/12,Loyalty,2)*$F$1*MAX(BV142,0)</f>
        <v>18.557001321003963</v>
      </c>
      <c r="BU143" s="75">
        <f>PARAM!$C$26+MAX($G$20-CHOOSE(PARAM!$B$44,MAX(0,BV142*$F$1),0),0)*RATES!$L119/12+$H$20*(PARAM!$D$51/12)*RATES!$N119/100</f>
        <v>9.3333333333333339</v>
      </c>
      <c r="BV143" s="16">
        <f t="shared" si="86"/>
        <v>-27.671003963008239</v>
      </c>
      <c r="BW143" s="15">
        <f t="shared" si="61"/>
        <v>22.170849845882874</v>
      </c>
      <c r="BX143" s="75">
        <f>BW143*(1-PARAM!$C$27)*$I$21+(MOD($B143,60)=PARAM!$B$56)*($B143&gt;(60-PARAM!$B$56))*HLOOKUP(($B143+PARAM!$B$56)/12,Loyalty,2)*$F$1*MAX(BZ142,0)</f>
        <v>18.557001321003963</v>
      </c>
      <c r="BY143" s="75">
        <f>PARAM!$C$26+MAX($G$21-CHOOSE(PARAM!$B$44,MAX(0,BZ142*$F$1),0),0)*RATES!$L119/12+$H$21*(PARAM!$D$51/12)*RATES!$N119/100</f>
        <v>9.3333333333333339</v>
      </c>
      <c r="BZ143" s="16">
        <f t="shared" si="87"/>
        <v>-27.671003963008239</v>
      </c>
      <c r="CA143" s="15">
        <f t="shared" si="62"/>
        <v>22.170849845882874</v>
      </c>
      <c r="CB143" s="75">
        <f>CA143*(1-PARAM!$C$27)*$I$22+(MOD($B143,60)=PARAM!$B$56)*($B143&gt;(60-PARAM!$B$56))*HLOOKUP(($B143+PARAM!$B$56)/12,Loyalty,2)*$F$1*MAX(CD142,0)</f>
        <v>18.557001321003963</v>
      </c>
      <c r="CC143" s="75">
        <f>PARAM!$C$26+MAX($G$22-CHOOSE(PARAM!$B$44,MAX(0,CD142*$F$1),0),0)*RATES!$L119/12+$H$22*(PARAM!$D$51/12)*RATES!$N119/100</f>
        <v>9.3333333333333339</v>
      </c>
      <c r="CD143" s="16">
        <f t="shared" si="88"/>
        <v>-27.671003963008239</v>
      </c>
      <c r="CE143" s="33">
        <f>IF(0=MOD(B143,12/PARAM!$D$51),1,0)</f>
        <v>1</v>
      </c>
      <c r="CF143" s="15">
        <f t="shared" si="63"/>
        <v>0</v>
      </c>
      <c r="CG143" s="75">
        <f>CF143*(1-PARAM!$C$27)*$R$3+(MOD($B143/12,5)=0)*($B143&gt;60)*HLOOKUP($B143/12,Loyalty,2)*$F$1*MAX(CI142,0)</f>
        <v>0</v>
      </c>
      <c r="CH143" s="75">
        <f>PARAM!$C$26+MAX($P$3-CHOOSE(PARAM!$B$44,MAX(0,CI142*$F$1),0),0)*RATES!$L119/12+$Q$3*(PARAM!$D$51/12)*RATES!$N119/100</f>
        <v>9.3333333333333339</v>
      </c>
      <c r="CI143" s="16">
        <f>IF(CI142&gt;0,CI142*PARAM!$C$53,CI142)+CG143-CH143</f>
        <v>-1985.9999999999989</v>
      </c>
      <c r="CJ143" s="15">
        <f t="shared" si="89"/>
        <v>0</v>
      </c>
      <c r="CK143" s="75">
        <f>CJ143*(1-PARAM!$C$27)*$R$4+(MOD($B143/12,5)=0)*($B143&gt;60)*HLOOKUP($B143/12,Loyalty,2)*$F$1*MAX(CM142,0)</f>
        <v>0</v>
      </c>
      <c r="CL143" s="75">
        <f>PARAM!$C$26+MAX($P$4-CHOOSE(PARAM!$B$44,MAX(0,CM142*$F$1),0),0)*RATES!$L119/12+$Q$4*(PARAM!$D$51/12)*RATES!$N119/100</f>
        <v>9.3333333333333339</v>
      </c>
      <c r="CM143" s="16">
        <f>IF(CM142&gt;0,CM142*PARAM!$C$53,CM142)+CK143-CL143</f>
        <v>-1985.9999999999989</v>
      </c>
      <c r="CO143" s="176"/>
    </row>
    <row r="144" spans="1:93" x14ac:dyDescent="0.2">
      <c r="A144" t="b">
        <f t="shared" si="64"/>
        <v>0</v>
      </c>
      <c r="B144" s="33">
        <v>117</v>
      </c>
      <c r="C144" s="15">
        <f t="shared" si="65"/>
        <v>20.081305947392778</v>
      </c>
      <c r="D144" s="75">
        <f>C144*(1-PARAM!$C$27)*$I$3+(MOD($B144,60)=PARAM!$B$56)*($B144&gt;(60-PARAM!$B$56))*HLOOKUP(($B144+PARAM!$B$56)/12,Loyalty,2)*$F$1*MAX(F143,0)</f>
        <v>16.808053077967756</v>
      </c>
      <c r="E144" s="75">
        <f>PARAM!$C$26+MAX($G$3-CHOOSE(PARAM!$B$44,MAX(0,F143*$F$1),0),0)*RATES!$L120/12+$H$3*(PARAM!$D$51/12)*RATES!$N120/100</f>
        <v>9.3333333333333339</v>
      </c>
      <c r="F144" s="16">
        <f t="shared" si="66"/>
        <v>-204.76360722810645</v>
      </c>
      <c r="G144" s="15">
        <f t="shared" si="67"/>
        <v>22.035289406060361</v>
      </c>
      <c r="H144" s="75">
        <f>G144*(1-PARAM!$C$27)*$I$4+(MOD($B144,60)=PARAM!$B$56)*($B144&gt;(60-PARAM!$B$56))*HLOOKUP(($B144+PARAM!$B$56)/12,Loyalty,2)*$F$1*MAX(J143,0)</f>
        <v>18.443537232872522</v>
      </c>
      <c r="I144" s="75">
        <f>PARAM!$C$26+MAX($G$4-CHOOSE(PARAM!$B$44,MAX(0,J143*$F$1),0),0)*RATES!$L120/12+$H$4*(PARAM!$D$51/12)*RATES!$N120/100</f>
        <v>9.3333333333333339</v>
      </c>
      <c r="J144" s="16">
        <f t="shared" si="68"/>
        <v>-30.534718152554944</v>
      </c>
      <c r="K144" s="15">
        <f t="shared" si="69"/>
        <v>22.170849845882874</v>
      </c>
      <c r="L144" s="75">
        <f>K144*(1-PARAM!$C$27)*$I$5+(MOD($B144,60)=PARAM!$B$56)*($B144&gt;(60-PARAM!$B$56))*HLOOKUP(($B144+PARAM!$B$56)/12,Loyalty,2)*$F$1*MAX(N143,0)</f>
        <v>18.557001321003963</v>
      </c>
      <c r="M144" s="75">
        <f>PARAM!$C$26+MAX($G$5-CHOOSE(PARAM!$B$44,MAX(0,N143*$F$1),0),0)*RATES!$L120/12+$H$5*(PARAM!$D$51/12)*RATES!$N120/100</f>
        <v>9.3333333333333339</v>
      </c>
      <c r="N144" s="16">
        <f t="shared" si="70"/>
        <v>-18.447335975337609</v>
      </c>
      <c r="O144" s="15">
        <f t="shared" si="71"/>
        <v>22.170849845882874</v>
      </c>
      <c r="P144" s="75">
        <f>O144*(1-PARAM!$C$27)*$I$6+(MOD($B144,60)=PARAM!$B$56)*($B144&gt;(60-PARAM!$B$56))*HLOOKUP(($B144+PARAM!$B$56)/12,Loyalty,2)*$F$1*MAX(R143,0)</f>
        <v>18.557001321003963</v>
      </c>
      <c r="Q144" s="75">
        <f>PARAM!$C$26+MAX($G$6-CHOOSE(PARAM!$B$44,MAX(0,R143*$F$1),0),0)*RATES!$L120/12+$H$6*(PARAM!$D$51/12)*RATES!$N120/100</f>
        <v>9.3333333333333339</v>
      </c>
      <c r="R144" s="16">
        <f t="shared" si="72"/>
        <v>-18.447335975337609</v>
      </c>
      <c r="S144" s="15">
        <f t="shared" si="47"/>
        <v>22.170849845882874</v>
      </c>
      <c r="T144" s="75">
        <f>S144*(1-PARAM!$C$27)*$I$7+(MOD($B144,60)=PARAM!$B$56)*($B144&gt;(60-PARAM!$B$56))*HLOOKUP(($B144+PARAM!$B$56)/12,Loyalty,2)*$F$1*MAX(V143,0)</f>
        <v>18.557001321003963</v>
      </c>
      <c r="U144" s="75">
        <f>PARAM!$C$26+MAX($G$7-CHOOSE(PARAM!$B$44,MAX(0,V143*$F$1),0),0)*RATES!$L120/12+$H$7*(PARAM!$D$51/12)*RATES!$N120/100</f>
        <v>9.3333333333333339</v>
      </c>
      <c r="V144" s="16">
        <f t="shared" si="73"/>
        <v>-18.447335975337609</v>
      </c>
      <c r="W144" s="15">
        <f t="shared" si="48"/>
        <v>22.170849845882874</v>
      </c>
      <c r="X144" s="75">
        <f>W144*(1-PARAM!$C$27)*$I$8+(MOD($B144,60)=PARAM!$B$56)*($B144&gt;(60-PARAM!$B$56))*HLOOKUP(($B144+PARAM!$B$56)/12,Loyalty,2)*$F$1*MAX(Z143,0)</f>
        <v>18.557001321003963</v>
      </c>
      <c r="Y144" s="75">
        <f>PARAM!$C$26+MAX($G$8-CHOOSE(PARAM!$B$44,MAX(0,Z143*$F$1),0),0)*RATES!$L120/12+$H$8*(PARAM!$D$51/12)*RATES!$N120/100</f>
        <v>9.3333333333333339</v>
      </c>
      <c r="Z144" s="16">
        <f t="shared" si="74"/>
        <v>-18.447335975337609</v>
      </c>
      <c r="AA144" s="15">
        <f t="shared" si="49"/>
        <v>22.170849845882874</v>
      </c>
      <c r="AB144" s="75">
        <f>AA144*(1-PARAM!$C$27)*$I$9+(MOD($B144,60)=PARAM!$B$56)*($B144&gt;(60-PARAM!$B$56))*HLOOKUP(($B144+PARAM!$B$56)/12,Loyalty,2)*$F$1*MAX(AD143,0)</f>
        <v>18.557001321003963</v>
      </c>
      <c r="AC144" s="75">
        <f>PARAM!$C$26+MAX($G$9-CHOOSE(PARAM!$B$44,MAX(0,AD143*$F$1),0),0)*RATES!$L120/12+$H$9*(PARAM!$D$51/12)*RATES!$N120/100</f>
        <v>9.3333333333333339</v>
      </c>
      <c r="AD144" s="16">
        <f t="shared" si="75"/>
        <v>-18.447335975337609</v>
      </c>
      <c r="AE144" s="15">
        <f t="shared" si="50"/>
        <v>22.170849845882874</v>
      </c>
      <c r="AF144" s="75">
        <f>AE144*(1-PARAM!$C$27)*$I$10+(MOD($B144,60)=PARAM!$B$56)*($B144&gt;(60-PARAM!$B$56))*HLOOKUP(($B144+PARAM!$B$56)/12,Loyalty,2)*$F$1*MAX(AH143,0)</f>
        <v>18.557001321003963</v>
      </c>
      <c r="AG144" s="75">
        <f>PARAM!$C$26+MAX($G$10-CHOOSE(PARAM!$B$44,MAX(0,AH143*$F$1),0),0)*RATES!$L120/12+$H$10*(PARAM!$D$51/12)*RATES!$N120/100</f>
        <v>9.3333333333333339</v>
      </c>
      <c r="AH144" s="16">
        <f t="shared" si="76"/>
        <v>-18.447335975337609</v>
      </c>
      <c r="AI144" s="15">
        <f t="shared" si="51"/>
        <v>22.170849845882874</v>
      </c>
      <c r="AJ144" s="75">
        <f>AI144*(1-PARAM!$C$27)*$I$11+(MOD($B144,60)=PARAM!$B$56)*($B144&gt;(60-PARAM!$B$56))*HLOOKUP(($B144+PARAM!$B$56)/12,Loyalty,2)*$F$1*MAX(AL143,0)</f>
        <v>18.557001321003963</v>
      </c>
      <c r="AK144" s="75">
        <f>PARAM!$C$26+MAX($G$11-CHOOSE(PARAM!$B$44,MAX(0,AL143*$F$1),0),0)*RATES!$L120/12+$H$11*(PARAM!$D$51/12)*RATES!$N120/100</f>
        <v>9.3333333333333339</v>
      </c>
      <c r="AL144" s="16">
        <f t="shared" si="77"/>
        <v>-18.447335975337609</v>
      </c>
      <c r="AM144" s="15">
        <f t="shared" si="52"/>
        <v>22.170849845882874</v>
      </c>
      <c r="AN144" s="75">
        <f>AM144*(1-PARAM!$C$27)*$I$12+(MOD($B144,60)=PARAM!$B$56)*($B144&gt;(60-PARAM!$B$56))*HLOOKUP(($B144+PARAM!$B$56)/12,Loyalty,2)*$F$1*MAX(AP143,0)</f>
        <v>18.557001321003963</v>
      </c>
      <c r="AO144" s="75">
        <f>PARAM!$C$26+MAX($G$12-CHOOSE(PARAM!$B$44,MAX(0,AP143*$F$1),0),0)*RATES!$L120/12+$H$12*(PARAM!$D$51/12)*RATES!$N120/100</f>
        <v>9.3333333333333339</v>
      </c>
      <c r="AP144" s="16">
        <f t="shared" si="78"/>
        <v>-18.447335975337609</v>
      </c>
      <c r="AQ144" s="15">
        <f t="shared" si="53"/>
        <v>22.170849845882874</v>
      </c>
      <c r="AR144" s="75">
        <f>AQ144*(1-PARAM!$C$27)*$I$13+(MOD($B144,60)=PARAM!$B$56)*($B144&gt;(60-PARAM!$B$56))*HLOOKUP(($B144+PARAM!$B$56)/12,Loyalty,2)*$F$1*MAX(AT143,0)</f>
        <v>18.557001321003963</v>
      </c>
      <c r="AS144" s="75">
        <f>PARAM!$C$26+MAX($G$13-CHOOSE(PARAM!$B$44,MAX(0,AT143*$F$1),0),0)*RATES!$L120/12+$H$13*(PARAM!$D$51/12)*RATES!$N120/100</f>
        <v>9.3333333333333339</v>
      </c>
      <c r="AT144" s="16">
        <f t="shared" si="79"/>
        <v>-18.447335975337609</v>
      </c>
      <c r="AU144" s="15">
        <f t="shared" si="54"/>
        <v>22.170849845882874</v>
      </c>
      <c r="AV144" s="75">
        <f>AU144*(1-PARAM!$C$27)*$I$14+(MOD($B144,60)=PARAM!$B$56)*($B144&gt;(60-PARAM!$B$56))*HLOOKUP(($B144+PARAM!$B$56)/12,Loyalty,2)*$F$1*MAX(AX143,0)</f>
        <v>18.557001321003963</v>
      </c>
      <c r="AW144" s="75">
        <f>PARAM!$C$26+MAX($G$14-CHOOSE(PARAM!$B$44,MAX(0,AX143*$F$1),0),0)*RATES!$L120/12+$H$14*(PARAM!$D$51/12)*RATES!$N120/100</f>
        <v>9.3333333333333339</v>
      </c>
      <c r="AX144" s="16">
        <f t="shared" si="80"/>
        <v>-18.447335975337609</v>
      </c>
      <c r="AY144" s="15">
        <f t="shared" si="55"/>
        <v>22.170849845882874</v>
      </c>
      <c r="AZ144" s="75">
        <f>AY144*(1-PARAM!$C$27)*$I$15+(MOD($B144,60)=PARAM!$B$56)*($B144&gt;(60-PARAM!$B$56))*HLOOKUP(($B144+PARAM!$B$56)/12,Loyalty,2)*$F$1*MAX(BB143,0)</f>
        <v>18.557001321003963</v>
      </c>
      <c r="BA144" s="75">
        <f>PARAM!$C$26+MAX($G$15-CHOOSE(PARAM!$B$44,MAX(0,BB143*$F$1),0),0)*RATES!$L120/12+$H$15*(PARAM!$D$51/12)*RATES!$N120/100</f>
        <v>9.3333333333333339</v>
      </c>
      <c r="BB144" s="16">
        <f t="shared" si="81"/>
        <v>-18.447335975337609</v>
      </c>
      <c r="BC144" s="15">
        <f t="shared" si="56"/>
        <v>22.170849845882874</v>
      </c>
      <c r="BD144" s="75">
        <f>BC144*(1-PARAM!$C$27)*$I$16+(MOD($B144,60)=PARAM!$B$56)*($B144&gt;(60-PARAM!$B$56))*HLOOKUP(($B144+PARAM!$B$56)/12,Loyalty,2)*$F$1*MAX(BF143,0)</f>
        <v>18.557001321003963</v>
      </c>
      <c r="BE144" s="75">
        <f>PARAM!$C$26+MAX($G$16-CHOOSE(PARAM!$B$44,MAX(0,BF143*$F$1),0),0)*RATES!$L120/12+$H$16*(PARAM!$D$51/12)*RATES!$N120/100</f>
        <v>9.3333333333333339</v>
      </c>
      <c r="BF144" s="16">
        <f t="shared" si="82"/>
        <v>-18.447335975337609</v>
      </c>
      <c r="BG144" s="15">
        <f t="shared" si="57"/>
        <v>22.170849845882874</v>
      </c>
      <c r="BH144" s="75">
        <f>BG144*(1-PARAM!$C$27)*$I$17+(MOD($B144,60)=PARAM!$B$56)*($B144&gt;(60-PARAM!$B$56))*HLOOKUP(($B144+PARAM!$B$56)/12,Loyalty,2)*$F$1*MAX(BJ143,0)</f>
        <v>18.557001321003963</v>
      </c>
      <c r="BI144" s="75">
        <f>PARAM!$C$26+MAX($G$17-CHOOSE(PARAM!$B$44,MAX(0,BJ143*$F$1),0),0)*RATES!$L120/12+$H$17*(PARAM!$D$51/12)*RATES!$N120/100</f>
        <v>9.3333333333333339</v>
      </c>
      <c r="BJ144" s="16">
        <f t="shared" si="83"/>
        <v>-18.447335975337609</v>
      </c>
      <c r="BK144" s="15">
        <f t="shared" si="58"/>
        <v>22.170849845882874</v>
      </c>
      <c r="BL144" s="75">
        <f>BK144*(1-PARAM!$C$27)*$I$18+(MOD($B144,60)=PARAM!$B$56)*($B144&gt;(60-PARAM!$B$56))*HLOOKUP(($B144+PARAM!$B$56)/12,Loyalty,2)*$F$1*MAX(BN143,0)</f>
        <v>18.557001321003963</v>
      </c>
      <c r="BM144" s="75">
        <f>PARAM!$C$26+MAX($G$18-CHOOSE(PARAM!$B$44,MAX(0,BN143*$F$1),0),0)*RATES!$L120/12+$H$18*(PARAM!$D$51/12)*RATES!$N120/100</f>
        <v>9.3333333333333339</v>
      </c>
      <c r="BN144" s="16">
        <f t="shared" si="84"/>
        <v>-18.447335975337609</v>
      </c>
      <c r="BO144" s="15">
        <f t="shared" si="59"/>
        <v>22.170849845882874</v>
      </c>
      <c r="BP144" s="75">
        <f>BO144*(1-PARAM!$C$27)*$I$19+(MOD($B144,60)=PARAM!$B$56)*($B144&gt;(60-PARAM!$B$56))*HLOOKUP(($B144+PARAM!$B$56)/12,Loyalty,2)*$F$1*MAX(BR143,0)</f>
        <v>18.557001321003963</v>
      </c>
      <c r="BQ144" s="75">
        <f>PARAM!$C$26+MAX($G$19-CHOOSE(PARAM!$B$44,MAX(0,BR143*$F$1),0),0)*RATES!$L120/12+$H$19*(PARAM!$D$51/12)*RATES!$N120/100</f>
        <v>9.3333333333333339</v>
      </c>
      <c r="BR144" s="16">
        <f t="shared" si="85"/>
        <v>-18.447335975337609</v>
      </c>
      <c r="BS144" s="15">
        <f t="shared" si="60"/>
        <v>22.170849845882874</v>
      </c>
      <c r="BT144" s="75">
        <f>BS144*(1-PARAM!$C$27)*$I$20+(MOD($B144,60)=PARAM!$B$56)*($B144&gt;(60-PARAM!$B$56))*HLOOKUP(($B144+PARAM!$B$56)/12,Loyalty,2)*$F$1*MAX(BV143,0)</f>
        <v>18.557001321003963</v>
      </c>
      <c r="BU144" s="75">
        <f>PARAM!$C$26+MAX($G$20-CHOOSE(PARAM!$B$44,MAX(0,BV143*$F$1),0),0)*RATES!$L120/12+$H$20*(PARAM!$D$51/12)*RATES!$N120/100</f>
        <v>9.3333333333333339</v>
      </c>
      <c r="BV144" s="16">
        <f t="shared" si="86"/>
        <v>-18.447335975337609</v>
      </c>
      <c r="BW144" s="15">
        <f t="shared" si="61"/>
        <v>22.170849845882874</v>
      </c>
      <c r="BX144" s="75">
        <f>BW144*(1-PARAM!$C$27)*$I$21+(MOD($B144,60)=PARAM!$B$56)*($B144&gt;(60-PARAM!$B$56))*HLOOKUP(($B144+PARAM!$B$56)/12,Loyalty,2)*$F$1*MAX(BZ143,0)</f>
        <v>18.557001321003963</v>
      </c>
      <c r="BY144" s="75">
        <f>PARAM!$C$26+MAX($G$21-CHOOSE(PARAM!$B$44,MAX(0,BZ143*$F$1),0),0)*RATES!$L120/12+$H$21*(PARAM!$D$51/12)*RATES!$N120/100</f>
        <v>9.3333333333333339</v>
      </c>
      <c r="BZ144" s="16">
        <f t="shared" si="87"/>
        <v>-18.447335975337609</v>
      </c>
      <c r="CA144" s="15">
        <f t="shared" si="62"/>
        <v>22.170849845882874</v>
      </c>
      <c r="CB144" s="75">
        <f>CA144*(1-PARAM!$C$27)*$I$22+(MOD($B144,60)=PARAM!$B$56)*($B144&gt;(60-PARAM!$B$56))*HLOOKUP(($B144+PARAM!$B$56)/12,Loyalty,2)*$F$1*MAX(CD143,0)</f>
        <v>18.557001321003963</v>
      </c>
      <c r="CC144" s="75">
        <f>PARAM!$C$26+MAX($G$22-CHOOSE(PARAM!$B$44,MAX(0,CD143*$F$1),0),0)*RATES!$L120/12+$H$22*(PARAM!$D$51/12)*RATES!$N120/100</f>
        <v>9.3333333333333339</v>
      </c>
      <c r="CD144" s="16">
        <f t="shared" si="88"/>
        <v>-18.447335975337609</v>
      </c>
      <c r="CE144" s="33">
        <f>IF(0=MOD(B144,12/PARAM!$D$51),1,0)</f>
        <v>1</v>
      </c>
      <c r="CF144" s="15">
        <f t="shared" si="63"/>
        <v>0</v>
      </c>
      <c r="CG144" s="75">
        <f>CF144*(1-PARAM!$C$27)*$R$3+(MOD($B144/12,5)=0)*($B144&gt;60)*HLOOKUP($B144/12,Loyalty,2)*$F$1*MAX(CI143,0)</f>
        <v>0</v>
      </c>
      <c r="CH144" s="75">
        <f>PARAM!$C$26+MAX($P$3-CHOOSE(PARAM!$B$44,MAX(0,CI143*$F$1),0),0)*RATES!$L120/12+$Q$3*(PARAM!$D$51/12)*RATES!$N120/100</f>
        <v>9.3333333333333339</v>
      </c>
      <c r="CI144" s="16">
        <f>IF(CI143&gt;0,CI143*PARAM!$C$53,CI143)+CG144-CH144</f>
        <v>-1995.3333333333321</v>
      </c>
      <c r="CJ144" s="15">
        <f t="shared" si="89"/>
        <v>0</v>
      </c>
      <c r="CK144" s="75">
        <f>CJ144*(1-PARAM!$C$27)*$R$4+(MOD($B144/12,5)=0)*($B144&gt;60)*HLOOKUP($B144/12,Loyalty,2)*$F$1*MAX(CM143,0)</f>
        <v>0</v>
      </c>
      <c r="CL144" s="75">
        <f>PARAM!$C$26+MAX($P$4-CHOOSE(PARAM!$B$44,MAX(0,CM143*$F$1),0),0)*RATES!$L120/12+$Q$4*(PARAM!$D$51/12)*RATES!$N120/100</f>
        <v>9.3333333333333339</v>
      </c>
      <c r="CM144" s="16">
        <f>IF(CM143&gt;0,CM143*PARAM!$C$53,CM143)+CK144-CL144</f>
        <v>-1995.3333333333321</v>
      </c>
      <c r="CO144" s="176"/>
    </row>
    <row r="145" spans="1:93" x14ac:dyDescent="0.2">
      <c r="A145" t="b">
        <f t="shared" si="64"/>
        <v>0</v>
      </c>
      <c r="B145" s="33">
        <v>118</v>
      </c>
      <c r="C145" s="15">
        <f t="shared" si="65"/>
        <v>20.081305947392778</v>
      </c>
      <c r="D145" s="75">
        <f>C145*(1-PARAM!$C$27)*$I$3+(MOD($B145,60)=PARAM!$B$56)*($B145&gt;(60-PARAM!$B$56))*HLOOKUP(($B145+PARAM!$B$56)/12,Loyalty,2)*$F$1*MAX(F144,0)</f>
        <v>16.808053077967756</v>
      </c>
      <c r="E145" s="75">
        <f>PARAM!$C$26+MAX($G$3-CHOOSE(PARAM!$B$44,MAX(0,F144*$F$1),0),0)*RATES!$L121/12+$H$3*(PARAM!$D$51/12)*RATES!$N121/100</f>
        <v>9.3333333333333339</v>
      </c>
      <c r="F145" s="16">
        <f t="shared" si="66"/>
        <v>-197.28888748347205</v>
      </c>
      <c r="G145" s="15">
        <f t="shared" si="67"/>
        <v>22.035289406060361</v>
      </c>
      <c r="H145" s="75">
        <f>G145*(1-PARAM!$C$27)*$I$4+(MOD($B145,60)=PARAM!$B$56)*($B145&gt;(60-PARAM!$B$56))*HLOOKUP(($B145+PARAM!$B$56)/12,Loyalty,2)*$F$1*MAX(J144,0)</f>
        <v>18.443537232872522</v>
      </c>
      <c r="I145" s="75">
        <f>PARAM!$C$26+MAX($G$4-CHOOSE(PARAM!$B$44,MAX(0,J144*$F$1),0),0)*RATES!$L121/12+$H$4*(PARAM!$D$51/12)*RATES!$N121/100</f>
        <v>9.3333333333333339</v>
      </c>
      <c r="J145" s="16">
        <f t="shared" si="68"/>
        <v>-21.424514253015758</v>
      </c>
      <c r="K145" s="15">
        <f t="shared" si="69"/>
        <v>22.170849845882874</v>
      </c>
      <c r="L145" s="75">
        <f>K145*(1-PARAM!$C$27)*$I$5+(MOD($B145,60)=PARAM!$B$56)*($B145&gt;(60-PARAM!$B$56))*HLOOKUP(($B145+PARAM!$B$56)/12,Loyalty,2)*$F$1*MAX(N144,0)</f>
        <v>18.557001321003963</v>
      </c>
      <c r="M145" s="75">
        <f>PARAM!$C$26+MAX($G$5-CHOOSE(PARAM!$B$44,MAX(0,N144*$F$1),0),0)*RATES!$L121/12+$H$5*(PARAM!$D$51/12)*RATES!$N121/100</f>
        <v>9.3333333333333339</v>
      </c>
      <c r="N145" s="16">
        <f t="shared" si="70"/>
        <v>-9.22366798766698</v>
      </c>
      <c r="O145" s="15">
        <f t="shared" si="71"/>
        <v>22.170849845882874</v>
      </c>
      <c r="P145" s="75">
        <f>O145*(1-PARAM!$C$27)*$I$6+(MOD($B145,60)=PARAM!$B$56)*($B145&gt;(60-PARAM!$B$56))*HLOOKUP(($B145+PARAM!$B$56)/12,Loyalty,2)*$F$1*MAX(R144,0)</f>
        <v>18.557001321003963</v>
      </c>
      <c r="Q145" s="75">
        <f>PARAM!$C$26+MAX($G$6-CHOOSE(PARAM!$B$44,MAX(0,R144*$F$1),0),0)*RATES!$L121/12+$H$6*(PARAM!$D$51/12)*RATES!$N121/100</f>
        <v>9.3333333333333339</v>
      </c>
      <c r="R145" s="16">
        <f t="shared" si="72"/>
        <v>-9.22366798766698</v>
      </c>
      <c r="S145" s="15">
        <f t="shared" si="47"/>
        <v>22.170849845882874</v>
      </c>
      <c r="T145" s="75">
        <f>S145*(1-PARAM!$C$27)*$I$7+(MOD($B145,60)=PARAM!$B$56)*($B145&gt;(60-PARAM!$B$56))*HLOOKUP(($B145+PARAM!$B$56)/12,Loyalty,2)*$F$1*MAX(V144,0)</f>
        <v>18.557001321003963</v>
      </c>
      <c r="U145" s="75">
        <f>PARAM!$C$26+MAX($G$7-CHOOSE(PARAM!$B$44,MAX(0,V144*$F$1),0),0)*RATES!$L121/12+$H$7*(PARAM!$D$51/12)*RATES!$N121/100</f>
        <v>9.3333333333333339</v>
      </c>
      <c r="V145" s="16">
        <f t="shared" si="73"/>
        <v>-9.22366798766698</v>
      </c>
      <c r="W145" s="15">
        <f t="shared" si="48"/>
        <v>22.170849845882874</v>
      </c>
      <c r="X145" s="75">
        <f>W145*(1-PARAM!$C$27)*$I$8+(MOD($B145,60)=PARAM!$B$56)*($B145&gt;(60-PARAM!$B$56))*HLOOKUP(($B145+PARAM!$B$56)/12,Loyalty,2)*$F$1*MAX(Z144,0)</f>
        <v>18.557001321003963</v>
      </c>
      <c r="Y145" s="75">
        <f>PARAM!$C$26+MAX($G$8-CHOOSE(PARAM!$B$44,MAX(0,Z144*$F$1),0),0)*RATES!$L121/12+$H$8*(PARAM!$D$51/12)*RATES!$N121/100</f>
        <v>9.3333333333333339</v>
      </c>
      <c r="Z145" s="16">
        <f t="shared" si="74"/>
        <v>-9.22366798766698</v>
      </c>
      <c r="AA145" s="15">
        <f t="shared" si="49"/>
        <v>22.170849845882874</v>
      </c>
      <c r="AB145" s="75">
        <f>AA145*(1-PARAM!$C$27)*$I$9+(MOD($B145,60)=PARAM!$B$56)*($B145&gt;(60-PARAM!$B$56))*HLOOKUP(($B145+PARAM!$B$56)/12,Loyalty,2)*$F$1*MAX(AD144,0)</f>
        <v>18.557001321003963</v>
      </c>
      <c r="AC145" s="75">
        <f>PARAM!$C$26+MAX($G$9-CHOOSE(PARAM!$B$44,MAX(0,AD144*$F$1),0),0)*RATES!$L121/12+$H$9*(PARAM!$D$51/12)*RATES!$N121/100</f>
        <v>9.3333333333333339</v>
      </c>
      <c r="AD145" s="16">
        <f t="shared" si="75"/>
        <v>-9.22366798766698</v>
      </c>
      <c r="AE145" s="15">
        <f t="shared" si="50"/>
        <v>22.170849845882874</v>
      </c>
      <c r="AF145" s="75">
        <f>AE145*(1-PARAM!$C$27)*$I$10+(MOD($B145,60)=PARAM!$B$56)*($B145&gt;(60-PARAM!$B$56))*HLOOKUP(($B145+PARAM!$B$56)/12,Loyalty,2)*$F$1*MAX(AH144,0)</f>
        <v>18.557001321003963</v>
      </c>
      <c r="AG145" s="75">
        <f>PARAM!$C$26+MAX($G$10-CHOOSE(PARAM!$B$44,MAX(0,AH144*$F$1),0),0)*RATES!$L121/12+$H$10*(PARAM!$D$51/12)*RATES!$N121/100</f>
        <v>9.3333333333333339</v>
      </c>
      <c r="AH145" s="16">
        <f t="shared" si="76"/>
        <v>-9.22366798766698</v>
      </c>
      <c r="AI145" s="15">
        <f t="shared" si="51"/>
        <v>22.170849845882874</v>
      </c>
      <c r="AJ145" s="75">
        <f>AI145*(1-PARAM!$C$27)*$I$11+(MOD($B145,60)=PARAM!$B$56)*($B145&gt;(60-PARAM!$B$56))*HLOOKUP(($B145+PARAM!$B$56)/12,Loyalty,2)*$F$1*MAX(AL144,0)</f>
        <v>18.557001321003963</v>
      </c>
      <c r="AK145" s="75">
        <f>PARAM!$C$26+MAX($G$11-CHOOSE(PARAM!$B$44,MAX(0,AL144*$F$1),0),0)*RATES!$L121/12+$H$11*(PARAM!$D$51/12)*RATES!$N121/100</f>
        <v>9.3333333333333339</v>
      </c>
      <c r="AL145" s="16">
        <f t="shared" si="77"/>
        <v>-9.22366798766698</v>
      </c>
      <c r="AM145" s="15">
        <f t="shared" si="52"/>
        <v>22.170849845882874</v>
      </c>
      <c r="AN145" s="75">
        <f>AM145*(1-PARAM!$C$27)*$I$12+(MOD($B145,60)=PARAM!$B$56)*($B145&gt;(60-PARAM!$B$56))*HLOOKUP(($B145+PARAM!$B$56)/12,Loyalty,2)*$F$1*MAX(AP144,0)</f>
        <v>18.557001321003963</v>
      </c>
      <c r="AO145" s="75">
        <f>PARAM!$C$26+MAX($G$12-CHOOSE(PARAM!$B$44,MAX(0,AP144*$F$1),0),0)*RATES!$L121/12+$H$12*(PARAM!$D$51/12)*RATES!$N121/100</f>
        <v>9.3333333333333339</v>
      </c>
      <c r="AP145" s="16">
        <f t="shared" si="78"/>
        <v>-9.22366798766698</v>
      </c>
      <c r="AQ145" s="15">
        <f t="shared" si="53"/>
        <v>22.170849845882874</v>
      </c>
      <c r="AR145" s="75">
        <f>AQ145*(1-PARAM!$C$27)*$I$13+(MOD($B145,60)=PARAM!$B$56)*($B145&gt;(60-PARAM!$B$56))*HLOOKUP(($B145+PARAM!$B$56)/12,Loyalty,2)*$F$1*MAX(AT144,0)</f>
        <v>18.557001321003963</v>
      </c>
      <c r="AS145" s="75">
        <f>PARAM!$C$26+MAX($G$13-CHOOSE(PARAM!$B$44,MAX(0,AT144*$F$1),0),0)*RATES!$L121/12+$H$13*(PARAM!$D$51/12)*RATES!$N121/100</f>
        <v>9.3333333333333339</v>
      </c>
      <c r="AT145" s="16">
        <f t="shared" si="79"/>
        <v>-9.22366798766698</v>
      </c>
      <c r="AU145" s="15">
        <f t="shared" si="54"/>
        <v>22.170849845882874</v>
      </c>
      <c r="AV145" s="75">
        <f>AU145*(1-PARAM!$C$27)*$I$14+(MOD($B145,60)=PARAM!$B$56)*($B145&gt;(60-PARAM!$B$56))*HLOOKUP(($B145+PARAM!$B$56)/12,Loyalty,2)*$F$1*MAX(AX144,0)</f>
        <v>18.557001321003963</v>
      </c>
      <c r="AW145" s="75">
        <f>PARAM!$C$26+MAX($G$14-CHOOSE(PARAM!$B$44,MAX(0,AX144*$F$1),0),0)*RATES!$L121/12+$H$14*(PARAM!$D$51/12)*RATES!$N121/100</f>
        <v>9.3333333333333339</v>
      </c>
      <c r="AX145" s="16">
        <f t="shared" si="80"/>
        <v>-9.22366798766698</v>
      </c>
      <c r="AY145" s="15">
        <f t="shared" si="55"/>
        <v>22.170849845882874</v>
      </c>
      <c r="AZ145" s="75">
        <f>AY145*(1-PARAM!$C$27)*$I$15+(MOD($B145,60)=PARAM!$B$56)*($B145&gt;(60-PARAM!$B$56))*HLOOKUP(($B145+PARAM!$B$56)/12,Loyalty,2)*$F$1*MAX(BB144,0)</f>
        <v>18.557001321003963</v>
      </c>
      <c r="BA145" s="75">
        <f>PARAM!$C$26+MAX($G$15-CHOOSE(PARAM!$B$44,MAX(0,BB144*$F$1),0),0)*RATES!$L121/12+$H$15*(PARAM!$D$51/12)*RATES!$N121/100</f>
        <v>9.3333333333333339</v>
      </c>
      <c r="BB145" s="16">
        <f t="shared" si="81"/>
        <v>-9.22366798766698</v>
      </c>
      <c r="BC145" s="15">
        <f t="shared" si="56"/>
        <v>22.170849845882874</v>
      </c>
      <c r="BD145" s="75">
        <f>BC145*(1-PARAM!$C$27)*$I$16+(MOD($B145,60)=PARAM!$B$56)*($B145&gt;(60-PARAM!$B$56))*HLOOKUP(($B145+PARAM!$B$56)/12,Loyalty,2)*$F$1*MAX(BF144,0)</f>
        <v>18.557001321003963</v>
      </c>
      <c r="BE145" s="75">
        <f>PARAM!$C$26+MAX($G$16-CHOOSE(PARAM!$B$44,MAX(0,BF144*$F$1),0),0)*RATES!$L121/12+$H$16*(PARAM!$D$51/12)*RATES!$N121/100</f>
        <v>9.3333333333333339</v>
      </c>
      <c r="BF145" s="16">
        <f t="shared" si="82"/>
        <v>-9.22366798766698</v>
      </c>
      <c r="BG145" s="15">
        <f t="shared" si="57"/>
        <v>22.170849845882874</v>
      </c>
      <c r="BH145" s="75">
        <f>BG145*(1-PARAM!$C$27)*$I$17+(MOD($B145,60)=PARAM!$B$56)*($B145&gt;(60-PARAM!$B$56))*HLOOKUP(($B145+PARAM!$B$56)/12,Loyalty,2)*$F$1*MAX(BJ144,0)</f>
        <v>18.557001321003963</v>
      </c>
      <c r="BI145" s="75">
        <f>PARAM!$C$26+MAX($G$17-CHOOSE(PARAM!$B$44,MAX(0,BJ144*$F$1),0),0)*RATES!$L121/12+$H$17*(PARAM!$D$51/12)*RATES!$N121/100</f>
        <v>9.3333333333333339</v>
      </c>
      <c r="BJ145" s="16">
        <f t="shared" si="83"/>
        <v>-9.22366798766698</v>
      </c>
      <c r="BK145" s="15">
        <f t="shared" si="58"/>
        <v>22.170849845882874</v>
      </c>
      <c r="BL145" s="75">
        <f>BK145*(1-PARAM!$C$27)*$I$18+(MOD($B145,60)=PARAM!$B$56)*($B145&gt;(60-PARAM!$B$56))*HLOOKUP(($B145+PARAM!$B$56)/12,Loyalty,2)*$F$1*MAX(BN144,0)</f>
        <v>18.557001321003963</v>
      </c>
      <c r="BM145" s="75">
        <f>PARAM!$C$26+MAX($G$18-CHOOSE(PARAM!$B$44,MAX(0,BN144*$F$1),0),0)*RATES!$L121/12+$H$18*(PARAM!$D$51/12)*RATES!$N121/100</f>
        <v>9.3333333333333339</v>
      </c>
      <c r="BN145" s="16">
        <f t="shared" si="84"/>
        <v>-9.22366798766698</v>
      </c>
      <c r="BO145" s="15">
        <f t="shared" si="59"/>
        <v>22.170849845882874</v>
      </c>
      <c r="BP145" s="75">
        <f>BO145*(1-PARAM!$C$27)*$I$19+(MOD($B145,60)=PARAM!$B$56)*($B145&gt;(60-PARAM!$B$56))*HLOOKUP(($B145+PARAM!$B$56)/12,Loyalty,2)*$F$1*MAX(BR144,0)</f>
        <v>18.557001321003963</v>
      </c>
      <c r="BQ145" s="75">
        <f>PARAM!$C$26+MAX($G$19-CHOOSE(PARAM!$B$44,MAX(0,BR144*$F$1),0),0)*RATES!$L121/12+$H$19*(PARAM!$D$51/12)*RATES!$N121/100</f>
        <v>9.3333333333333339</v>
      </c>
      <c r="BR145" s="16">
        <f t="shared" si="85"/>
        <v>-9.22366798766698</v>
      </c>
      <c r="BS145" s="15">
        <f t="shared" si="60"/>
        <v>22.170849845882874</v>
      </c>
      <c r="BT145" s="75">
        <f>BS145*(1-PARAM!$C$27)*$I$20+(MOD($B145,60)=PARAM!$B$56)*($B145&gt;(60-PARAM!$B$56))*HLOOKUP(($B145+PARAM!$B$56)/12,Loyalty,2)*$F$1*MAX(BV144,0)</f>
        <v>18.557001321003963</v>
      </c>
      <c r="BU145" s="75">
        <f>PARAM!$C$26+MAX($G$20-CHOOSE(PARAM!$B$44,MAX(0,BV144*$F$1),0),0)*RATES!$L121/12+$H$20*(PARAM!$D$51/12)*RATES!$N121/100</f>
        <v>9.3333333333333339</v>
      </c>
      <c r="BV145" s="16">
        <f t="shared" si="86"/>
        <v>-9.22366798766698</v>
      </c>
      <c r="BW145" s="15">
        <f t="shared" si="61"/>
        <v>22.170849845882874</v>
      </c>
      <c r="BX145" s="75">
        <f>BW145*(1-PARAM!$C$27)*$I$21+(MOD($B145,60)=PARAM!$B$56)*($B145&gt;(60-PARAM!$B$56))*HLOOKUP(($B145+PARAM!$B$56)/12,Loyalty,2)*$F$1*MAX(BZ144,0)</f>
        <v>18.557001321003963</v>
      </c>
      <c r="BY145" s="75">
        <f>PARAM!$C$26+MAX($G$21-CHOOSE(PARAM!$B$44,MAX(0,BZ144*$F$1),0),0)*RATES!$L121/12+$H$21*(PARAM!$D$51/12)*RATES!$N121/100</f>
        <v>9.3333333333333339</v>
      </c>
      <c r="BZ145" s="16">
        <f t="shared" si="87"/>
        <v>-9.22366798766698</v>
      </c>
      <c r="CA145" s="15">
        <f t="shared" si="62"/>
        <v>22.170849845882874</v>
      </c>
      <c r="CB145" s="75">
        <f>CA145*(1-PARAM!$C$27)*$I$22+(MOD($B145,60)=PARAM!$B$56)*($B145&gt;(60-PARAM!$B$56))*HLOOKUP(($B145+PARAM!$B$56)/12,Loyalty,2)*$F$1*MAX(CD144,0)</f>
        <v>18.557001321003963</v>
      </c>
      <c r="CC145" s="75">
        <f>PARAM!$C$26+MAX($G$22-CHOOSE(PARAM!$B$44,MAX(0,CD144*$F$1),0),0)*RATES!$L121/12+$H$22*(PARAM!$D$51/12)*RATES!$N121/100</f>
        <v>9.3333333333333339</v>
      </c>
      <c r="CD145" s="16">
        <f t="shared" si="88"/>
        <v>-9.22366798766698</v>
      </c>
      <c r="CE145" s="33">
        <f>IF(0=MOD(B145,12/PARAM!$D$51),1,0)</f>
        <v>1</v>
      </c>
      <c r="CF145" s="15">
        <f t="shared" si="63"/>
        <v>0</v>
      </c>
      <c r="CG145" s="75">
        <f>CF145*(1-PARAM!$C$27)*$R$3+(MOD($B145/12,5)=0)*($B145&gt;60)*HLOOKUP($B145/12,Loyalty,2)*$F$1*MAX(CI144,0)</f>
        <v>0</v>
      </c>
      <c r="CH145" s="75">
        <f>PARAM!$C$26+MAX($P$3-CHOOSE(PARAM!$B$44,MAX(0,CI144*$F$1),0),0)*RATES!$L121/12+$Q$3*(PARAM!$D$51/12)*RATES!$N121/100</f>
        <v>9.3333333333333339</v>
      </c>
      <c r="CI145" s="16">
        <f>IF(CI144&gt;0,CI144*PARAM!$C$53,CI144)+CG145-CH145</f>
        <v>-2004.6666666666654</v>
      </c>
      <c r="CJ145" s="15">
        <f t="shared" si="89"/>
        <v>0</v>
      </c>
      <c r="CK145" s="75">
        <f>CJ145*(1-PARAM!$C$27)*$R$4+(MOD($B145/12,5)=0)*($B145&gt;60)*HLOOKUP($B145/12,Loyalty,2)*$F$1*MAX(CM144,0)</f>
        <v>0</v>
      </c>
      <c r="CL145" s="75">
        <f>PARAM!$C$26+MAX($P$4-CHOOSE(PARAM!$B$44,MAX(0,CM144*$F$1),0),0)*RATES!$L121/12+$Q$4*(PARAM!$D$51/12)*RATES!$N121/100</f>
        <v>9.3333333333333339</v>
      </c>
      <c r="CM145" s="16">
        <f>IF(CM144&gt;0,CM144*PARAM!$C$53,CM144)+CK145-CL145</f>
        <v>-2004.6666666666654</v>
      </c>
      <c r="CO145" s="176"/>
    </row>
    <row r="146" spans="1:93" x14ac:dyDescent="0.2">
      <c r="A146" t="b">
        <f t="shared" si="64"/>
        <v>0</v>
      </c>
      <c r="B146" s="33">
        <v>119</v>
      </c>
      <c r="C146" s="15">
        <f t="shared" si="65"/>
        <v>20.081305947392778</v>
      </c>
      <c r="D146" s="75">
        <f>C146*(1-PARAM!$C$27)*$I$3+(MOD($B146,60)=PARAM!$B$56)*($B146&gt;(60-PARAM!$B$56))*HLOOKUP(($B146+PARAM!$B$56)/12,Loyalty,2)*$F$1*MAX(F145,0)</f>
        <v>16.808053077967756</v>
      </c>
      <c r="E146" s="75">
        <f>PARAM!$C$26+MAX($G$3-CHOOSE(PARAM!$B$44,MAX(0,F145*$F$1),0),0)*RATES!$L122/12+$H$3*(PARAM!$D$51/12)*RATES!$N122/100</f>
        <v>9.3333333333333339</v>
      </c>
      <c r="F146" s="16">
        <f t="shared" si="66"/>
        <v>-189.81416773883765</v>
      </c>
      <c r="G146" s="15">
        <f t="shared" si="67"/>
        <v>22.035289406060361</v>
      </c>
      <c r="H146" s="75">
        <f>G146*(1-PARAM!$C$27)*$I$4+(MOD($B146,60)=PARAM!$B$56)*($B146&gt;(60-PARAM!$B$56))*HLOOKUP(($B146+PARAM!$B$56)/12,Loyalty,2)*$F$1*MAX(J145,0)</f>
        <v>18.443537232872522</v>
      </c>
      <c r="I146" s="75">
        <f>PARAM!$C$26+MAX($G$4-CHOOSE(PARAM!$B$44,MAX(0,J145*$F$1),0),0)*RATES!$L122/12+$H$4*(PARAM!$D$51/12)*RATES!$N122/100</f>
        <v>9.3333333333333339</v>
      </c>
      <c r="J146" s="16">
        <f t="shared" si="68"/>
        <v>-12.31431035347657</v>
      </c>
      <c r="K146" s="15">
        <f t="shared" si="69"/>
        <v>22.170849845882874</v>
      </c>
      <c r="L146" s="75">
        <f>K146*(1-PARAM!$C$27)*$I$5+(MOD($B146,60)=PARAM!$B$56)*($B146&gt;(60-PARAM!$B$56))*HLOOKUP(($B146+PARAM!$B$56)/12,Loyalty,2)*$F$1*MAX(N145,0)</f>
        <v>18.557001321003963</v>
      </c>
      <c r="M146" s="75">
        <f>PARAM!$C$26+MAX($G$5-CHOOSE(PARAM!$B$44,MAX(0,N145*$F$1),0),0)*RATES!$L122/12+$H$5*(PARAM!$D$51/12)*RATES!$N122/100</f>
        <v>9.3333333333333339</v>
      </c>
      <c r="N146" s="16">
        <f t="shared" si="70"/>
        <v>3.6486369481281145E-12</v>
      </c>
      <c r="O146" s="15">
        <f t="shared" si="71"/>
        <v>22.170849845882874</v>
      </c>
      <c r="P146" s="75">
        <f>O146*(1-PARAM!$C$27)*$I$6+(MOD($B146,60)=PARAM!$B$56)*($B146&gt;(60-PARAM!$B$56))*HLOOKUP(($B146+PARAM!$B$56)/12,Loyalty,2)*$F$1*MAX(R145,0)</f>
        <v>18.557001321003963</v>
      </c>
      <c r="Q146" s="75">
        <f>PARAM!$C$26+MAX($G$6-CHOOSE(PARAM!$B$44,MAX(0,R145*$F$1),0),0)*RATES!$L122/12+$H$6*(PARAM!$D$51/12)*RATES!$N122/100</f>
        <v>9.3333333333333339</v>
      </c>
      <c r="R146" s="16">
        <f t="shared" si="72"/>
        <v>3.6486369481281145E-12</v>
      </c>
      <c r="S146" s="15">
        <f t="shared" si="47"/>
        <v>22.170849845882874</v>
      </c>
      <c r="T146" s="75">
        <f>S146*(1-PARAM!$C$27)*$I$7+(MOD($B146,60)=PARAM!$B$56)*($B146&gt;(60-PARAM!$B$56))*HLOOKUP(($B146+PARAM!$B$56)/12,Loyalty,2)*$F$1*MAX(V145,0)</f>
        <v>18.557001321003963</v>
      </c>
      <c r="U146" s="75">
        <f>PARAM!$C$26+MAX($G$7-CHOOSE(PARAM!$B$44,MAX(0,V145*$F$1),0),0)*RATES!$L122/12+$H$7*(PARAM!$D$51/12)*RATES!$N122/100</f>
        <v>9.3333333333333339</v>
      </c>
      <c r="V146" s="16">
        <f t="shared" si="73"/>
        <v>3.6486369481281145E-12</v>
      </c>
      <c r="W146" s="15">
        <f t="shared" si="48"/>
        <v>22.170849845882874</v>
      </c>
      <c r="X146" s="75">
        <f>W146*(1-PARAM!$C$27)*$I$8+(MOD($B146,60)=PARAM!$B$56)*($B146&gt;(60-PARAM!$B$56))*HLOOKUP(($B146+PARAM!$B$56)/12,Loyalty,2)*$F$1*MAX(Z145,0)</f>
        <v>18.557001321003963</v>
      </c>
      <c r="Y146" s="75">
        <f>PARAM!$C$26+MAX($G$8-CHOOSE(PARAM!$B$44,MAX(0,Z145*$F$1),0),0)*RATES!$L122/12+$H$8*(PARAM!$D$51/12)*RATES!$N122/100</f>
        <v>9.3333333333333339</v>
      </c>
      <c r="Z146" s="16">
        <f t="shared" si="74"/>
        <v>3.6486369481281145E-12</v>
      </c>
      <c r="AA146" s="15">
        <f t="shared" si="49"/>
        <v>22.170849845882874</v>
      </c>
      <c r="AB146" s="75">
        <f>AA146*(1-PARAM!$C$27)*$I$9+(MOD($B146,60)=PARAM!$B$56)*($B146&gt;(60-PARAM!$B$56))*HLOOKUP(($B146+PARAM!$B$56)/12,Loyalty,2)*$F$1*MAX(AD145,0)</f>
        <v>18.557001321003963</v>
      </c>
      <c r="AC146" s="75">
        <f>PARAM!$C$26+MAX($G$9-CHOOSE(PARAM!$B$44,MAX(0,AD145*$F$1),0),0)*RATES!$L122/12+$H$9*(PARAM!$D$51/12)*RATES!$N122/100</f>
        <v>9.3333333333333339</v>
      </c>
      <c r="AD146" s="16">
        <f t="shared" si="75"/>
        <v>3.6486369481281145E-12</v>
      </c>
      <c r="AE146" s="15">
        <f t="shared" si="50"/>
        <v>22.170849845882874</v>
      </c>
      <c r="AF146" s="75">
        <f>AE146*(1-PARAM!$C$27)*$I$10+(MOD($B146,60)=PARAM!$B$56)*($B146&gt;(60-PARAM!$B$56))*HLOOKUP(($B146+PARAM!$B$56)/12,Loyalty,2)*$F$1*MAX(AH145,0)</f>
        <v>18.557001321003963</v>
      </c>
      <c r="AG146" s="75">
        <f>PARAM!$C$26+MAX($G$10-CHOOSE(PARAM!$B$44,MAX(0,AH145*$F$1),0),0)*RATES!$L122/12+$H$10*(PARAM!$D$51/12)*RATES!$N122/100</f>
        <v>9.3333333333333339</v>
      </c>
      <c r="AH146" s="16">
        <f t="shared" si="76"/>
        <v>3.6486369481281145E-12</v>
      </c>
      <c r="AI146" s="15">
        <f t="shared" si="51"/>
        <v>22.170849845882874</v>
      </c>
      <c r="AJ146" s="75">
        <f>AI146*(1-PARAM!$C$27)*$I$11+(MOD($B146,60)=PARAM!$B$56)*($B146&gt;(60-PARAM!$B$56))*HLOOKUP(($B146+PARAM!$B$56)/12,Loyalty,2)*$F$1*MAX(AL145,0)</f>
        <v>18.557001321003963</v>
      </c>
      <c r="AK146" s="75">
        <f>PARAM!$C$26+MAX($G$11-CHOOSE(PARAM!$B$44,MAX(0,AL145*$F$1),0),0)*RATES!$L122/12+$H$11*(PARAM!$D$51/12)*RATES!$N122/100</f>
        <v>9.3333333333333339</v>
      </c>
      <c r="AL146" s="16">
        <f t="shared" si="77"/>
        <v>3.6486369481281145E-12</v>
      </c>
      <c r="AM146" s="15">
        <f t="shared" si="52"/>
        <v>22.170849845882874</v>
      </c>
      <c r="AN146" s="75">
        <f>AM146*(1-PARAM!$C$27)*$I$12+(MOD($B146,60)=PARAM!$B$56)*($B146&gt;(60-PARAM!$B$56))*HLOOKUP(($B146+PARAM!$B$56)/12,Loyalty,2)*$F$1*MAX(AP145,0)</f>
        <v>18.557001321003963</v>
      </c>
      <c r="AO146" s="75">
        <f>PARAM!$C$26+MAX($G$12-CHOOSE(PARAM!$B$44,MAX(0,AP145*$F$1),0),0)*RATES!$L122/12+$H$12*(PARAM!$D$51/12)*RATES!$N122/100</f>
        <v>9.3333333333333339</v>
      </c>
      <c r="AP146" s="16">
        <f t="shared" si="78"/>
        <v>3.6486369481281145E-12</v>
      </c>
      <c r="AQ146" s="15">
        <f t="shared" si="53"/>
        <v>22.170849845882874</v>
      </c>
      <c r="AR146" s="75">
        <f>AQ146*(1-PARAM!$C$27)*$I$13+(MOD($B146,60)=PARAM!$B$56)*($B146&gt;(60-PARAM!$B$56))*HLOOKUP(($B146+PARAM!$B$56)/12,Loyalty,2)*$F$1*MAX(AT145,0)</f>
        <v>18.557001321003963</v>
      </c>
      <c r="AS146" s="75">
        <f>PARAM!$C$26+MAX($G$13-CHOOSE(PARAM!$B$44,MAX(0,AT145*$F$1),0),0)*RATES!$L122/12+$H$13*(PARAM!$D$51/12)*RATES!$N122/100</f>
        <v>9.3333333333333339</v>
      </c>
      <c r="AT146" s="16">
        <f t="shared" si="79"/>
        <v>3.6486369481281145E-12</v>
      </c>
      <c r="AU146" s="15">
        <f t="shared" si="54"/>
        <v>22.170849845882874</v>
      </c>
      <c r="AV146" s="75">
        <f>AU146*(1-PARAM!$C$27)*$I$14+(MOD($B146,60)=PARAM!$B$56)*($B146&gt;(60-PARAM!$B$56))*HLOOKUP(($B146+PARAM!$B$56)/12,Loyalty,2)*$F$1*MAX(AX145,0)</f>
        <v>18.557001321003963</v>
      </c>
      <c r="AW146" s="75">
        <f>PARAM!$C$26+MAX($G$14-CHOOSE(PARAM!$B$44,MAX(0,AX145*$F$1),0),0)*RATES!$L122/12+$H$14*(PARAM!$D$51/12)*RATES!$N122/100</f>
        <v>9.3333333333333339</v>
      </c>
      <c r="AX146" s="16">
        <f t="shared" si="80"/>
        <v>3.6486369481281145E-12</v>
      </c>
      <c r="AY146" s="15">
        <f t="shared" si="55"/>
        <v>22.170849845882874</v>
      </c>
      <c r="AZ146" s="75">
        <f>AY146*(1-PARAM!$C$27)*$I$15+(MOD($B146,60)=PARAM!$B$56)*($B146&gt;(60-PARAM!$B$56))*HLOOKUP(($B146+PARAM!$B$56)/12,Loyalty,2)*$F$1*MAX(BB145,0)</f>
        <v>18.557001321003963</v>
      </c>
      <c r="BA146" s="75">
        <f>PARAM!$C$26+MAX($G$15-CHOOSE(PARAM!$B$44,MAX(0,BB145*$F$1),0),0)*RATES!$L122/12+$H$15*(PARAM!$D$51/12)*RATES!$N122/100</f>
        <v>9.3333333333333339</v>
      </c>
      <c r="BB146" s="16">
        <f t="shared" si="81"/>
        <v>3.6486369481281145E-12</v>
      </c>
      <c r="BC146" s="15">
        <f t="shared" si="56"/>
        <v>22.170849845882874</v>
      </c>
      <c r="BD146" s="75">
        <f>BC146*(1-PARAM!$C$27)*$I$16+(MOD($B146,60)=PARAM!$B$56)*($B146&gt;(60-PARAM!$B$56))*HLOOKUP(($B146+PARAM!$B$56)/12,Loyalty,2)*$F$1*MAX(BF145,0)</f>
        <v>18.557001321003963</v>
      </c>
      <c r="BE146" s="75">
        <f>PARAM!$C$26+MAX($G$16-CHOOSE(PARAM!$B$44,MAX(0,BF145*$F$1),0),0)*RATES!$L122/12+$H$16*(PARAM!$D$51/12)*RATES!$N122/100</f>
        <v>9.3333333333333339</v>
      </c>
      <c r="BF146" s="16">
        <f t="shared" si="82"/>
        <v>3.6486369481281145E-12</v>
      </c>
      <c r="BG146" s="15">
        <f t="shared" si="57"/>
        <v>22.170849845882874</v>
      </c>
      <c r="BH146" s="75">
        <f>BG146*(1-PARAM!$C$27)*$I$17+(MOD($B146,60)=PARAM!$B$56)*($B146&gt;(60-PARAM!$B$56))*HLOOKUP(($B146+PARAM!$B$56)/12,Loyalty,2)*$F$1*MAX(BJ145,0)</f>
        <v>18.557001321003963</v>
      </c>
      <c r="BI146" s="75">
        <f>PARAM!$C$26+MAX($G$17-CHOOSE(PARAM!$B$44,MAX(0,BJ145*$F$1),0),0)*RATES!$L122/12+$H$17*(PARAM!$D$51/12)*RATES!$N122/100</f>
        <v>9.3333333333333339</v>
      </c>
      <c r="BJ146" s="16">
        <f t="shared" si="83"/>
        <v>3.6486369481281145E-12</v>
      </c>
      <c r="BK146" s="15">
        <f t="shared" si="58"/>
        <v>22.170849845882874</v>
      </c>
      <c r="BL146" s="75">
        <f>BK146*(1-PARAM!$C$27)*$I$18+(MOD($B146,60)=PARAM!$B$56)*($B146&gt;(60-PARAM!$B$56))*HLOOKUP(($B146+PARAM!$B$56)/12,Loyalty,2)*$F$1*MAX(BN145,0)</f>
        <v>18.557001321003963</v>
      </c>
      <c r="BM146" s="75">
        <f>PARAM!$C$26+MAX($G$18-CHOOSE(PARAM!$B$44,MAX(0,BN145*$F$1),0),0)*RATES!$L122/12+$H$18*(PARAM!$D$51/12)*RATES!$N122/100</f>
        <v>9.3333333333333339</v>
      </c>
      <c r="BN146" s="16">
        <f t="shared" si="84"/>
        <v>3.6486369481281145E-12</v>
      </c>
      <c r="BO146" s="15">
        <f t="shared" si="59"/>
        <v>22.170849845882874</v>
      </c>
      <c r="BP146" s="75">
        <f>BO146*(1-PARAM!$C$27)*$I$19+(MOD($B146,60)=PARAM!$B$56)*($B146&gt;(60-PARAM!$B$56))*HLOOKUP(($B146+PARAM!$B$56)/12,Loyalty,2)*$F$1*MAX(BR145,0)</f>
        <v>18.557001321003963</v>
      </c>
      <c r="BQ146" s="75">
        <f>PARAM!$C$26+MAX($G$19-CHOOSE(PARAM!$B$44,MAX(0,BR145*$F$1),0),0)*RATES!$L122/12+$H$19*(PARAM!$D$51/12)*RATES!$N122/100</f>
        <v>9.3333333333333339</v>
      </c>
      <c r="BR146" s="16">
        <f t="shared" si="85"/>
        <v>3.6486369481281145E-12</v>
      </c>
      <c r="BS146" s="15">
        <f t="shared" si="60"/>
        <v>22.170849845882874</v>
      </c>
      <c r="BT146" s="75">
        <f>BS146*(1-PARAM!$C$27)*$I$20+(MOD($B146,60)=PARAM!$B$56)*($B146&gt;(60-PARAM!$B$56))*HLOOKUP(($B146+PARAM!$B$56)/12,Loyalty,2)*$F$1*MAX(BV145,0)</f>
        <v>18.557001321003963</v>
      </c>
      <c r="BU146" s="75">
        <f>PARAM!$C$26+MAX($G$20-CHOOSE(PARAM!$B$44,MAX(0,BV145*$F$1),0),0)*RATES!$L122/12+$H$20*(PARAM!$D$51/12)*RATES!$N122/100</f>
        <v>9.3333333333333339</v>
      </c>
      <c r="BV146" s="16">
        <f t="shared" si="86"/>
        <v>3.6486369481281145E-12</v>
      </c>
      <c r="BW146" s="15">
        <f t="shared" si="61"/>
        <v>22.170849845882874</v>
      </c>
      <c r="BX146" s="75">
        <f>BW146*(1-PARAM!$C$27)*$I$21+(MOD($B146,60)=PARAM!$B$56)*($B146&gt;(60-PARAM!$B$56))*HLOOKUP(($B146+PARAM!$B$56)/12,Loyalty,2)*$F$1*MAX(BZ145,0)</f>
        <v>18.557001321003963</v>
      </c>
      <c r="BY146" s="75">
        <f>PARAM!$C$26+MAX($G$21-CHOOSE(PARAM!$B$44,MAX(0,BZ145*$F$1),0),0)*RATES!$L122/12+$H$21*(PARAM!$D$51/12)*RATES!$N122/100</f>
        <v>9.3333333333333339</v>
      </c>
      <c r="BZ146" s="16">
        <f t="shared" si="87"/>
        <v>3.6486369481281145E-12</v>
      </c>
      <c r="CA146" s="15">
        <f t="shared" si="62"/>
        <v>22.170849845882874</v>
      </c>
      <c r="CB146" s="75">
        <f>CA146*(1-PARAM!$C$27)*$I$22+(MOD($B146,60)=PARAM!$B$56)*($B146&gt;(60-PARAM!$B$56))*HLOOKUP(($B146+PARAM!$B$56)/12,Loyalty,2)*$F$1*MAX(CD145,0)</f>
        <v>18.557001321003963</v>
      </c>
      <c r="CC146" s="75">
        <f>PARAM!$C$26+MAX($G$22-CHOOSE(PARAM!$B$44,MAX(0,CD145*$F$1),0),0)*RATES!$L122/12+$H$22*(PARAM!$D$51/12)*RATES!$N122/100</f>
        <v>9.3333333333333339</v>
      </c>
      <c r="CD146" s="16">
        <f t="shared" si="88"/>
        <v>3.6486369481281145E-12</v>
      </c>
      <c r="CE146" s="33">
        <f>IF(0=MOD(B146,12/PARAM!$D$51),1,0)</f>
        <v>1</v>
      </c>
      <c r="CF146" s="15">
        <f t="shared" si="63"/>
        <v>0</v>
      </c>
      <c r="CG146" s="75">
        <f>CF146*(1-PARAM!$C$27)*$R$3+(MOD($B146/12,5)=0)*($B146&gt;60)*HLOOKUP($B146/12,Loyalty,2)*$F$1*MAX(CI145,0)</f>
        <v>0</v>
      </c>
      <c r="CH146" s="75">
        <f>PARAM!$C$26+MAX($P$3-CHOOSE(PARAM!$B$44,MAX(0,CI145*$F$1),0),0)*RATES!$L122/12+$Q$3*(PARAM!$D$51/12)*RATES!$N122/100</f>
        <v>9.3333333333333339</v>
      </c>
      <c r="CI146" s="16">
        <f>IF(CI145&gt;0,CI145*PARAM!$C$53,CI145)+CG146-CH146</f>
        <v>-2013.9999999999986</v>
      </c>
      <c r="CJ146" s="15">
        <f t="shared" si="89"/>
        <v>0</v>
      </c>
      <c r="CK146" s="75">
        <f>CJ146*(1-PARAM!$C$27)*$R$4+(MOD($B146/12,5)=0)*($B146&gt;60)*HLOOKUP($B146/12,Loyalty,2)*$F$1*MAX(CM145,0)</f>
        <v>0</v>
      </c>
      <c r="CL146" s="75">
        <f>PARAM!$C$26+MAX($P$4-CHOOSE(PARAM!$B$44,MAX(0,CM145*$F$1),0),0)*RATES!$L122/12+$Q$4*(PARAM!$D$51/12)*RATES!$N122/100</f>
        <v>9.3333333333333339</v>
      </c>
      <c r="CM146" s="16">
        <f>IF(CM145&gt;0,CM145*PARAM!$C$53,CM145)+CK146-CL146</f>
        <v>-2013.9999999999986</v>
      </c>
      <c r="CO146" s="176"/>
    </row>
    <row r="147" spans="1:93" x14ac:dyDescent="0.2">
      <c r="A147" t="b">
        <f t="shared" si="64"/>
        <v>0</v>
      </c>
      <c r="B147" s="33">
        <v>120</v>
      </c>
      <c r="C147" s="15">
        <f t="shared" si="65"/>
        <v>20.081305947392778</v>
      </c>
      <c r="D147" s="75">
        <f>C147*(1-PARAM!$C$27)*$I$3+(MOD($B147,60)=PARAM!$B$56)*($B147&gt;(60-PARAM!$B$56))*HLOOKUP(($B147+PARAM!$B$56)/12,Loyalty,2)*$F$1*MAX(F146,0)</f>
        <v>16.808053077967756</v>
      </c>
      <c r="E147" s="75">
        <f>PARAM!$C$26+MAX($G$3-CHOOSE(PARAM!$B$44,MAX(0,F146*$F$1),0),0)*RATES!$L123/12+$H$3*(PARAM!$D$51/12)*RATES!$N123/100</f>
        <v>9.3333333333333339</v>
      </c>
      <c r="F147" s="16">
        <f t="shared" si="66"/>
        <v>-182.33944799420325</v>
      </c>
      <c r="G147" s="15">
        <f t="shared" si="67"/>
        <v>22.035289406060361</v>
      </c>
      <c r="H147" s="75">
        <f>G147*(1-PARAM!$C$27)*$I$4+(MOD($B147,60)=PARAM!$B$56)*($B147&gt;(60-PARAM!$B$56))*HLOOKUP(($B147+PARAM!$B$56)/12,Loyalty,2)*$F$1*MAX(J146,0)</f>
        <v>18.443537232872522</v>
      </c>
      <c r="I147" s="75">
        <f>PARAM!$C$26+MAX($G$4-CHOOSE(PARAM!$B$44,MAX(0,J146*$F$1),0),0)*RATES!$L123/12+$H$4*(PARAM!$D$51/12)*RATES!$N123/100</f>
        <v>9.3333333333333339</v>
      </c>
      <c r="J147" s="16">
        <f t="shared" si="68"/>
        <v>-3.2041064539373814</v>
      </c>
      <c r="K147" s="15">
        <f t="shared" si="69"/>
        <v>22.170849845882874</v>
      </c>
      <c r="L147" s="75">
        <f>K147*(1-PARAM!$C$27)*$I$5+(MOD($B147,60)=PARAM!$B$56)*($B147&gt;(60-PARAM!$B$56))*HLOOKUP(($B147+PARAM!$B$56)/12,Loyalty,2)*$F$1*MAX(N146,0)</f>
        <v>18.557001321004073</v>
      </c>
      <c r="M147" s="75">
        <f>PARAM!$C$26+MAX($G$5-CHOOSE(PARAM!$B$44,MAX(0,N146*$F$1),0),0)*RATES!$L123/12+$H$5*(PARAM!$D$51/12)*RATES!$N123/100</f>
        <v>9.3333333333333321</v>
      </c>
      <c r="N147" s="16">
        <f t="shared" si="70"/>
        <v>9.2236679876743892</v>
      </c>
      <c r="O147" s="15">
        <f t="shared" si="71"/>
        <v>22.170849845882874</v>
      </c>
      <c r="P147" s="75">
        <f>O147*(1-PARAM!$C$27)*$I$6+(MOD($B147,60)=PARAM!$B$56)*($B147&gt;(60-PARAM!$B$56))*HLOOKUP(($B147+PARAM!$B$56)/12,Loyalty,2)*$F$1*MAX(R146,0)</f>
        <v>18.557001321004073</v>
      </c>
      <c r="Q147" s="75">
        <f>PARAM!$C$26+MAX($G$6-CHOOSE(PARAM!$B$44,MAX(0,R146*$F$1),0),0)*RATES!$L123/12+$H$6*(PARAM!$D$51/12)*RATES!$N123/100</f>
        <v>9.3333333333333321</v>
      </c>
      <c r="R147" s="16">
        <f t="shared" si="72"/>
        <v>9.2236679876743892</v>
      </c>
      <c r="S147" s="15">
        <f t="shared" si="47"/>
        <v>22.170849845882874</v>
      </c>
      <c r="T147" s="75">
        <f>S147*(1-PARAM!$C$27)*$I$7+(MOD($B147,60)=PARAM!$B$56)*($B147&gt;(60-PARAM!$B$56))*HLOOKUP(($B147+PARAM!$B$56)/12,Loyalty,2)*$F$1*MAX(V146,0)</f>
        <v>18.557001321004073</v>
      </c>
      <c r="U147" s="75">
        <f>PARAM!$C$26+MAX($G$7-CHOOSE(PARAM!$B$44,MAX(0,V146*$F$1),0),0)*RATES!$L123/12+$H$7*(PARAM!$D$51/12)*RATES!$N123/100</f>
        <v>9.3333333333333321</v>
      </c>
      <c r="V147" s="16">
        <f t="shared" si="73"/>
        <v>9.2236679876743892</v>
      </c>
      <c r="W147" s="15">
        <f t="shared" si="48"/>
        <v>22.170849845882874</v>
      </c>
      <c r="X147" s="75">
        <f>W147*(1-PARAM!$C$27)*$I$8+(MOD($B147,60)=PARAM!$B$56)*($B147&gt;(60-PARAM!$B$56))*HLOOKUP(($B147+PARAM!$B$56)/12,Loyalty,2)*$F$1*MAX(Z146,0)</f>
        <v>18.557001321004073</v>
      </c>
      <c r="Y147" s="75">
        <f>PARAM!$C$26+MAX($G$8-CHOOSE(PARAM!$B$44,MAX(0,Z146*$F$1),0),0)*RATES!$L123/12+$H$8*(PARAM!$D$51/12)*RATES!$N123/100</f>
        <v>9.3333333333333321</v>
      </c>
      <c r="Z147" s="16">
        <f t="shared" si="74"/>
        <v>9.2236679876743892</v>
      </c>
      <c r="AA147" s="15">
        <f t="shared" si="49"/>
        <v>22.170849845882874</v>
      </c>
      <c r="AB147" s="75">
        <f>AA147*(1-PARAM!$C$27)*$I$9+(MOD($B147,60)=PARAM!$B$56)*($B147&gt;(60-PARAM!$B$56))*HLOOKUP(($B147+PARAM!$B$56)/12,Loyalty,2)*$F$1*MAX(AD146,0)</f>
        <v>18.557001321004073</v>
      </c>
      <c r="AC147" s="75">
        <f>PARAM!$C$26+MAX($G$9-CHOOSE(PARAM!$B$44,MAX(0,AD146*$F$1),0),0)*RATES!$L123/12+$H$9*(PARAM!$D$51/12)*RATES!$N123/100</f>
        <v>9.3333333333333321</v>
      </c>
      <c r="AD147" s="16">
        <f t="shared" si="75"/>
        <v>9.2236679876743892</v>
      </c>
      <c r="AE147" s="15">
        <f t="shared" si="50"/>
        <v>22.170849845882874</v>
      </c>
      <c r="AF147" s="75">
        <f>AE147*(1-PARAM!$C$27)*$I$10+(MOD($B147,60)=PARAM!$B$56)*($B147&gt;(60-PARAM!$B$56))*HLOOKUP(($B147+PARAM!$B$56)/12,Loyalty,2)*$F$1*MAX(AH146,0)</f>
        <v>18.557001321004073</v>
      </c>
      <c r="AG147" s="75">
        <f>PARAM!$C$26+MAX($G$10-CHOOSE(PARAM!$B$44,MAX(0,AH146*$F$1),0),0)*RATES!$L123/12+$H$10*(PARAM!$D$51/12)*RATES!$N123/100</f>
        <v>9.3333333333333321</v>
      </c>
      <c r="AH147" s="16">
        <f t="shared" si="76"/>
        <v>9.2236679876743892</v>
      </c>
      <c r="AI147" s="15">
        <f t="shared" si="51"/>
        <v>22.170849845882874</v>
      </c>
      <c r="AJ147" s="75">
        <f>AI147*(1-PARAM!$C$27)*$I$11+(MOD($B147,60)=PARAM!$B$56)*($B147&gt;(60-PARAM!$B$56))*HLOOKUP(($B147+PARAM!$B$56)/12,Loyalty,2)*$F$1*MAX(AL146,0)</f>
        <v>18.557001321004073</v>
      </c>
      <c r="AK147" s="75">
        <f>PARAM!$C$26+MAX($G$11-CHOOSE(PARAM!$B$44,MAX(0,AL146*$F$1),0),0)*RATES!$L123/12+$H$11*(PARAM!$D$51/12)*RATES!$N123/100</f>
        <v>9.3333333333333321</v>
      </c>
      <c r="AL147" s="16">
        <f t="shared" si="77"/>
        <v>9.2236679876743892</v>
      </c>
      <c r="AM147" s="15">
        <f t="shared" si="52"/>
        <v>22.170849845882874</v>
      </c>
      <c r="AN147" s="75">
        <f>AM147*(1-PARAM!$C$27)*$I$12+(MOD($B147,60)=PARAM!$B$56)*($B147&gt;(60-PARAM!$B$56))*HLOOKUP(($B147+PARAM!$B$56)/12,Loyalty,2)*$F$1*MAX(AP146,0)</f>
        <v>18.557001321004073</v>
      </c>
      <c r="AO147" s="75">
        <f>PARAM!$C$26+MAX($G$12-CHOOSE(PARAM!$B$44,MAX(0,AP146*$F$1),0),0)*RATES!$L123/12+$H$12*(PARAM!$D$51/12)*RATES!$N123/100</f>
        <v>9.3333333333333321</v>
      </c>
      <c r="AP147" s="16">
        <f t="shared" si="78"/>
        <v>9.2236679876743892</v>
      </c>
      <c r="AQ147" s="15">
        <f t="shared" si="53"/>
        <v>22.170849845882874</v>
      </c>
      <c r="AR147" s="75">
        <f>AQ147*(1-PARAM!$C$27)*$I$13+(MOD($B147,60)=PARAM!$B$56)*($B147&gt;(60-PARAM!$B$56))*HLOOKUP(($B147+PARAM!$B$56)/12,Loyalty,2)*$F$1*MAX(AT146,0)</f>
        <v>18.557001321004073</v>
      </c>
      <c r="AS147" s="75">
        <f>PARAM!$C$26+MAX($G$13-CHOOSE(PARAM!$B$44,MAX(0,AT146*$F$1),0),0)*RATES!$L123/12+$H$13*(PARAM!$D$51/12)*RATES!$N123/100</f>
        <v>9.3333333333333321</v>
      </c>
      <c r="AT147" s="16">
        <f t="shared" si="79"/>
        <v>9.2236679876743892</v>
      </c>
      <c r="AU147" s="15">
        <f t="shared" si="54"/>
        <v>22.170849845882874</v>
      </c>
      <c r="AV147" s="75">
        <f>AU147*(1-PARAM!$C$27)*$I$14+(MOD($B147,60)=PARAM!$B$56)*($B147&gt;(60-PARAM!$B$56))*HLOOKUP(($B147+PARAM!$B$56)/12,Loyalty,2)*$F$1*MAX(AX146,0)</f>
        <v>18.557001321004073</v>
      </c>
      <c r="AW147" s="75">
        <f>PARAM!$C$26+MAX($G$14-CHOOSE(PARAM!$B$44,MAX(0,AX146*$F$1),0),0)*RATES!$L123/12+$H$14*(PARAM!$D$51/12)*RATES!$N123/100</f>
        <v>9.3333333333333321</v>
      </c>
      <c r="AX147" s="16">
        <f t="shared" si="80"/>
        <v>9.2236679876743892</v>
      </c>
      <c r="AY147" s="15">
        <f t="shared" si="55"/>
        <v>22.170849845882874</v>
      </c>
      <c r="AZ147" s="75">
        <f>AY147*(1-PARAM!$C$27)*$I$15+(MOD($B147,60)=PARAM!$B$56)*($B147&gt;(60-PARAM!$B$56))*HLOOKUP(($B147+PARAM!$B$56)/12,Loyalty,2)*$F$1*MAX(BB146,0)</f>
        <v>18.557001321004073</v>
      </c>
      <c r="BA147" s="75">
        <f>PARAM!$C$26+MAX($G$15-CHOOSE(PARAM!$B$44,MAX(0,BB146*$F$1),0),0)*RATES!$L123/12+$H$15*(PARAM!$D$51/12)*RATES!$N123/100</f>
        <v>9.3333333333333321</v>
      </c>
      <c r="BB147" s="16">
        <f t="shared" si="81"/>
        <v>9.2236679876743892</v>
      </c>
      <c r="BC147" s="15">
        <f t="shared" si="56"/>
        <v>22.170849845882874</v>
      </c>
      <c r="BD147" s="75">
        <f>BC147*(1-PARAM!$C$27)*$I$16+(MOD($B147,60)=PARAM!$B$56)*($B147&gt;(60-PARAM!$B$56))*HLOOKUP(($B147+PARAM!$B$56)/12,Loyalty,2)*$F$1*MAX(BF146,0)</f>
        <v>18.557001321004073</v>
      </c>
      <c r="BE147" s="75">
        <f>PARAM!$C$26+MAX($G$16-CHOOSE(PARAM!$B$44,MAX(0,BF146*$F$1),0),0)*RATES!$L123/12+$H$16*(PARAM!$D$51/12)*RATES!$N123/100</f>
        <v>9.3333333333333321</v>
      </c>
      <c r="BF147" s="16">
        <f t="shared" si="82"/>
        <v>9.2236679876743892</v>
      </c>
      <c r="BG147" s="15">
        <f t="shared" si="57"/>
        <v>22.170849845882874</v>
      </c>
      <c r="BH147" s="75">
        <f>BG147*(1-PARAM!$C$27)*$I$17+(MOD($B147,60)=PARAM!$B$56)*($B147&gt;(60-PARAM!$B$56))*HLOOKUP(($B147+PARAM!$B$56)/12,Loyalty,2)*$F$1*MAX(BJ146,0)</f>
        <v>18.557001321004073</v>
      </c>
      <c r="BI147" s="75">
        <f>PARAM!$C$26+MAX($G$17-CHOOSE(PARAM!$B$44,MAX(0,BJ146*$F$1),0),0)*RATES!$L123/12+$H$17*(PARAM!$D$51/12)*RATES!$N123/100</f>
        <v>9.3333333333333321</v>
      </c>
      <c r="BJ147" s="16">
        <f t="shared" si="83"/>
        <v>9.2236679876743892</v>
      </c>
      <c r="BK147" s="15">
        <f t="shared" si="58"/>
        <v>22.170849845882874</v>
      </c>
      <c r="BL147" s="75">
        <f>BK147*(1-PARAM!$C$27)*$I$18+(MOD($B147,60)=PARAM!$B$56)*($B147&gt;(60-PARAM!$B$56))*HLOOKUP(($B147+PARAM!$B$56)/12,Loyalty,2)*$F$1*MAX(BN146,0)</f>
        <v>18.557001321004073</v>
      </c>
      <c r="BM147" s="75">
        <f>PARAM!$C$26+MAX($G$18-CHOOSE(PARAM!$B$44,MAX(0,BN146*$F$1),0),0)*RATES!$L123/12+$H$18*(PARAM!$D$51/12)*RATES!$N123/100</f>
        <v>9.3333333333333321</v>
      </c>
      <c r="BN147" s="16">
        <f t="shared" si="84"/>
        <v>9.2236679876743892</v>
      </c>
      <c r="BO147" s="15">
        <f t="shared" si="59"/>
        <v>22.170849845882874</v>
      </c>
      <c r="BP147" s="75">
        <f>BO147*(1-PARAM!$C$27)*$I$19+(MOD($B147,60)=PARAM!$B$56)*($B147&gt;(60-PARAM!$B$56))*HLOOKUP(($B147+PARAM!$B$56)/12,Loyalty,2)*$F$1*MAX(BR146,0)</f>
        <v>18.557001321004073</v>
      </c>
      <c r="BQ147" s="75">
        <f>PARAM!$C$26+MAX($G$19-CHOOSE(PARAM!$B$44,MAX(0,BR146*$F$1),0),0)*RATES!$L123/12+$H$19*(PARAM!$D$51/12)*RATES!$N123/100</f>
        <v>9.3333333333333321</v>
      </c>
      <c r="BR147" s="16">
        <f t="shared" si="85"/>
        <v>9.2236679876743892</v>
      </c>
      <c r="BS147" s="15">
        <f t="shared" si="60"/>
        <v>22.170849845882874</v>
      </c>
      <c r="BT147" s="75">
        <f>BS147*(1-PARAM!$C$27)*$I$20+(MOD($B147,60)=PARAM!$B$56)*($B147&gt;(60-PARAM!$B$56))*HLOOKUP(($B147+PARAM!$B$56)/12,Loyalty,2)*$F$1*MAX(BV146,0)</f>
        <v>18.557001321004073</v>
      </c>
      <c r="BU147" s="75">
        <f>PARAM!$C$26+MAX($G$20-CHOOSE(PARAM!$B$44,MAX(0,BV146*$F$1),0),0)*RATES!$L123/12+$H$20*(PARAM!$D$51/12)*RATES!$N123/100</f>
        <v>9.3333333333333321</v>
      </c>
      <c r="BV147" s="16">
        <f t="shared" si="86"/>
        <v>9.2236679876743892</v>
      </c>
      <c r="BW147" s="15">
        <f t="shared" si="61"/>
        <v>22.170849845882874</v>
      </c>
      <c r="BX147" s="75">
        <f>BW147*(1-PARAM!$C$27)*$I$21+(MOD($B147,60)=PARAM!$B$56)*($B147&gt;(60-PARAM!$B$56))*HLOOKUP(($B147+PARAM!$B$56)/12,Loyalty,2)*$F$1*MAX(BZ146,0)</f>
        <v>18.557001321004073</v>
      </c>
      <c r="BY147" s="75">
        <f>PARAM!$C$26+MAX($G$21-CHOOSE(PARAM!$B$44,MAX(0,BZ146*$F$1),0),0)*RATES!$L123/12+$H$21*(PARAM!$D$51/12)*RATES!$N123/100</f>
        <v>9.3333333333333321</v>
      </c>
      <c r="BZ147" s="16">
        <f t="shared" si="87"/>
        <v>9.2236679876743892</v>
      </c>
      <c r="CA147" s="15">
        <f t="shared" si="62"/>
        <v>22.170849845882874</v>
      </c>
      <c r="CB147" s="75">
        <f>CA147*(1-PARAM!$C$27)*$I$22+(MOD($B147,60)=PARAM!$B$56)*($B147&gt;(60-PARAM!$B$56))*HLOOKUP(($B147+PARAM!$B$56)/12,Loyalty,2)*$F$1*MAX(CD146,0)</f>
        <v>18.557001321004073</v>
      </c>
      <c r="CC147" s="75">
        <f>PARAM!$C$26+MAX($G$22-CHOOSE(PARAM!$B$44,MAX(0,CD146*$F$1),0),0)*RATES!$L123/12+$H$22*(PARAM!$D$51/12)*RATES!$N123/100</f>
        <v>9.3333333333333321</v>
      </c>
      <c r="CD147" s="16">
        <f t="shared" si="88"/>
        <v>9.2236679876743892</v>
      </c>
      <c r="CE147" s="33">
        <f>IF(0=MOD(B147,12/PARAM!$D$51),1,0)</f>
        <v>1</v>
      </c>
      <c r="CF147" s="15">
        <f t="shared" si="63"/>
        <v>0</v>
      </c>
      <c r="CG147" s="75">
        <f>CF147*(1-PARAM!$C$27)*$R$3+(MOD($B147/12,5)=0)*($B147&gt;60)*HLOOKUP($B147/12,Loyalty,2)*$F$1*MAX(CI146,0)</f>
        <v>0</v>
      </c>
      <c r="CH147" s="75">
        <f>PARAM!$C$26+MAX($P$3-CHOOSE(PARAM!$B$44,MAX(0,CI146*$F$1),0),0)*RATES!$L123/12+$Q$3*(PARAM!$D$51/12)*RATES!$N123/100</f>
        <v>9.3333333333333339</v>
      </c>
      <c r="CI147" s="16">
        <f>IF(CI146&gt;0,CI146*PARAM!$C$53,CI146)+CG147-CH147</f>
        <v>-2023.3333333333319</v>
      </c>
      <c r="CJ147" s="15">
        <f t="shared" si="89"/>
        <v>0</v>
      </c>
      <c r="CK147" s="75">
        <f>CJ147*(1-PARAM!$C$27)*$R$4+(MOD($B147/12,5)=0)*($B147&gt;60)*HLOOKUP($B147/12,Loyalty,2)*$F$1*MAX(CM146,0)</f>
        <v>0</v>
      </c>
      <c r="CL147" s="75">
        <f>PARAM!$C$26+MAX($P$4-CHOOSE(PARAM!$B$44,MAX(0,CM146*$F$1),0),0)*RATES!$L123/12+$Q$4*(PARAM!$D$51/12)*RATES!$N123/100</f>
        <v>9.3333333333333339</v>
      </c>
      <c r="CM147" s="16">
        <f>IF(CM146&gt;0,CM146*PARAM!$C$53,CM146)+CK147-CL147</f>
        <v>-2023.3333333333319</v>
      </c>
      <c r="CO147" s="176"/>
    </row>
    <row r="148" spans="1:93" x14ac:dyDescent="0.2">
      <c r="A148" t="b">
        <f t="shared" si="64"/>
        <v>0</v>
      </c>
      <c r="B148" s="33">
        <v>121</v>
      </c>
      <c r="C148" s="15">
        <f t="shared" si="65"/>
        <v>20.081305947392778</v>
      </c>
      <c r="D148" s="75">
        <f>C148*(1-PARAM!$C$27)*$I$3+(MOD($B148,60)=PARAM!$B$56)*($B148&gt;(60-PARAM!$B$56))*HLOOKUP(($B148+PARAM!$B$56)/12,Loyalty,2)*$F$1*MAX(F147,0)</f>
        <v>16.808053077967756</v>
      </c>
      <c r="E148" s="75">
        <f>PARAM!$C$26+MAX($G$3-CHOOSE(PARAM!$B$44,MAX(0,F147*$F$1),0),0)*RATES!$L124/12+$H$3*(PARAM!$D$51/12)*RATES!$N124/100</f>
        <v>9.3333333333333339</v>
      </c>
      <c r="F148" s="16">
        <f t="shared" si="66"/>
        <v>-174.86472824956886</v>
      </c>
      <c r="G148" s="15">
        <f t="shared" si="67"/>
        <v>22.035289406060361</v>
      </c>
      <c r="H148" s="75">
        <f>G148*(1-PARAM!$C$27)*$I$4+(MOD($B148,60)=PARAM!$B$56)*($B148&gt;(60-PARAM!$B$56))*HLOOKUP(($B148+PARAM!$B$56)/12,Loyalty,2)*$F$1*MAX(J147,0)</f>
        <v>18.443537232872522</v>
      </c>
      <c r="I148" s="75">
        <f>PARAM!$C$26+MAX($G$4-CHOOSE(PARAM!$B$44,MAX(0,J147*$F$1),0),0)*RATES!$L124/12+$H$4*(PARAM!$D$51/12)*RATES!$N124/100</f>
        <v>9.3333333333333339</v>
      </c>
      <c r="J148" s="16">
        <f t="shared" si="68"/>
        <v>5.9060974456018069</v>
      </c>
      <c r="K148" s="15">
        <f t="shared" si="69"/>
        <v>22.170849845882874</v>
      </c>
      <c r="L148" s="75">
        <f>K148*(1-PARAM!$C$27)*$I$5+(MOD($B148,60)=PARAM!$B$56)*($B148&gt;(60-PARAM!$B$56))*HLOOKUP(($B148+PARAM!$B$56)/12,Loyalty,2)*$F$1*MAX(N147,0)</f>
        <v>18.557001321003963</v>
      </c>
      <c r="M148" s="75">
        <f>PARAM!$C$26+MAX($G$5-CHOOSE(PARAM!$B$44,MAX(0,N147*$F$1),0),0)*RATES!$L124/12+$H$5*(PARAM!$D$51/12)*RATES!$N124/100</f>
        <v>9.332533948774401</v>
      </c>
      <c r="N148" s="16">
        <f t="shared" si="70"/>
        <v>18.448135359903951</v>
      </c>
      <c r="O148" s="15">
        <f t="shared" si="71"/>
        <v>22.170849845882874</v>
      </c>
      <c r="P148" s="75">
        <f>O148*(1-PARAM!$C$27)*$I$6+(MOD($B148,60)=PARAM!$B$56)*($B148&gt;(60-PARAM!$B$56))*HLOOKUP(($B148+PARAM!$B$56)/12,Loyalty,2)*$F$1*MAX(R147,0)</f>
        <v>18.557001321003963</v>
      </c>
      <c r="Q148" s="75">
        <f>PARAM!$C$26+MAX($G$6-CHOOSE(PARAM!$B$44,MAX(0,R147*$F$1),0),0)*RATES!$L124/12+$H$6*(PARAM!$D$51/12)*RATES!$N124/100</f>
        <v>9.332533948774401</v>
      </c>
      <c r="R148" s="16">
        <f t="shared" si="72"/>
        <v>18.448135359903951</v>
      </c>
      <c r="S148" s="15">
        <f t="shared" si="47"/>
        <v>22.170849845882874</v>
      </c>
      <c r="T148" s="75">
        <f>S148*(1-PARAM!$C$27)*$I$7+(MOD($B148,60)=PARAM!$B$56)*($B148&gt;(60-PARAM!$B$56))*HLOOKUP(($B148+PARAM!$B$56)/12,Loyalty,2)*$F$1*MAX(V147,0)</f>
        <v>18.557001321003963</v>
      </c>
      <c r="U148" s="75">
        <f>PARAM!$C$26+MAX($G$7-CHOOSE(PARAM!$B$44,MAX(0,V147*$F$1),0),0)*RATES!$L124/12+$H$7*(PARAM!$D$51/12)*RATES!$N124/100</f>
        <v>9.332533948774401</v>
      </c>
      <c r="V148" s="16">
        <f t="shared" si="73"/>
        <v>18.448135359903951</v>
      </c>
      <c r="W148" s="15">
        <f t="shared" si="48"/>
        <v>22.170849845882874</v>
      </c>
      <c r="X148" s="75">
        <f>W148*(1-PARAM!$C$27)*$I$8+(MOD($B148,60)=PARAM!$B$56)*($B148&gt;(60-PARAM!$B$56))*HLOOKUP(($B148+PARAM!$B$56)/12,Loyalty,2)*$F$1*MAX(Z147,0)</f>
        <v>18.557001321003963</v>
      </c>
      <c r="Y148" s="75">
        <f>PARAM!$C$26+MAX($G$8-CHOOSE(PARAM!$B$44,MAX(0,Z147*$F$1),0),0)*RATES!$L124/12+$H$8*(PARAM!$D$51/12)*RATES!$N124/100</f>
        <v>9.332533948774401</v>
      </c>
      <c r="Z148" s="16">
        <f t="shared" si="74"/>
        <v>18.448135359903951</v>
      </c>
      <c r="AA148" s="15">
        <f t="shared" si="49"/>
        <v>22.170849845882874</v>
      </c>
      <c r="AB148" s="75">
        <f>AA148*(1-PARAM!$C$27)*$I$9+(MOD($B148,60)=PARAM!$B$56)*($B148&gt;(60-PARAM!$B$56))*HLOOKUP(($B148+PARAM!$B$56)/12,Loyalty,2)*$F$1*MAX(AD147,0)</f>
        <v>18.557001321003963</v>
      </c>
      <c r="AC148" s="75">
        <f>PARAM!$C$26+MAX($G$9-CHOOSE(PARAM!$B$44,MAX(0,AD147*$F$1),0),0)*RATES!$L124/12+$H$9*(PARAM!$D$51/12)*RATES!$N124/100</f>
        <v>9.332533948774401</v>
      </c>
      <c r="AD148" s="16">
        <f t="shared" si="75"/>
        <v>18.448135359903951</v>
      </c>
      <c r="AE148" s="15">
        <f t="shared" si="50"/>
        <v>22.170849845882874</v>
      </c>
      <c r="AF148" s="75">
        <f>AE148*(1-PARAM!$C$27)*$I$10+(MOD($B148,60)=PARAM!$B$56)*($B148&gt;(60-PARAM!$B$56))*HLOOKUP(($B148+PARAM!$B$56)/12,Loyalty,2)*$F$1*MAX(AH147,0)</f>
        <v>18.557001321003963</v>
      </c>
      <c r="AG148" s="75">
        <f>PARAM!$C$26+MAX($G$10-CHOOSE(PARAM!$B$44,MAX(0,AH147*$F$1),0),0)*RATES!$L124/12+$H$10*(PARAM!$D$51/12)*RATES!$N124/100</f>
        <v>9.332533948774401</v>
      </c>
      <c r="AH148" s="16">
        <f t="shared" si="76"/>
        <v>18.448135359903951</v>
      </c>
      <c r="AI148" s="15">
        <f t="shared" si="51"/>
        <v>22.170849845882874</v>
      </c>
      <c r="AJ148" s="75">
        <f>AI148*(1-PARAM!$C$27)*$I$11+(MOD($B148,60)=PARAM!$B$56)*($B148&gt;(60-PARAM!$B$56))*HLOOKUP(($B148+PARAM!$B$56)/12,Loyalty,2)*$F$1*MAX(AL147,0)</f>
        <v>18.557001321003963</v>
      </c>
      <c r="AK148" s="75">
        <f>PARAM!$C$26+MAX($G$11-CHOOSE(PARAM!$B$44,MAX(0,AL147*$F$1),0),0)*RATES!$L124/12+$H$11*(PARAM!$D$51/12)*RATES!$N124/100</f>
        <v>9.332533948774401</v>
      </c>
      <c r="AL148" s="16">
        <f t="shared" si="77"/>
        <v>18.448135359903951</v>
      </c>
      <c r="AM148" s="15">
        <f t="shared" si="52"/>
        <v>22.170849845882874</v>
      </c>
      <c r="AN148" s="75">
        <f>AM148*(1-PARAM!$C$27)*$I$12+(MOD($B148,60)=PARAM!$B$56)*($B148&gt;(60-PARAM!$B$56))*HLOOKUP(($B148+PARAM!$B$56)/12,Loyalty,2)*$F$1*MAX(AP147,0)</f>
        <v>18.557001321003963</v>
      </c>
      <c r="AO148" s="75">
        <f>PARAM!$C$26+MAX($G$12-CHOOSE(PARAM!$B$44,MAX(0,AP147*$F$1),0),0)*RATES!$L124/12+$H$12*(PARAM!$D$51/12)*RATES!$N124/100</f>
        <v>9.332533948774401</v>
      </c>
      <c r="AP148" s="16">
        <f t="shared" si="78"/>
        <v>18.448135359903951</v>
      </c>
      <c r="AQ148" s="15">
        <f t="shared" si="53"/>
        <v>22.170849845882874</v>
      </c>
      <c r="AR148" s="75">
        <f>AQ148*(1-PARAM!$C$27)*$I$13+(MOD($B148,60)=PARAM!$B$56)*($B148&gt;(60-PARAM!$B$56))*HLOOKUP(($B148+PARAM!$B$56)/12,Loyalty,2)*$F$1*MAX(AT147,0)</f>
        <v>18.557001321003963</v>
      </c>
      <c r="AS148" s="75">
        <f>PARAM!$C$26+MAX($G$13-CHOOSE(PARAM!$B$44,MAX(0,AT147*$F$1),0),0)*RATES!$L124/12+$H$13*(PARAM!$D$51/12)*RATES!$N124/100</f>
        <v>9.332533948774401</v>
      </c>
      <c r="AT148" s="16">
        <f t="shared" si="79"/>
        <v>18.448135359903951</v>
      </c>
      <c r="AU148" s="15">
        <f t="shared" si="54"/>
        <v>22.170849845882874</v>
      </c>
      <c r="AV148" s="75">
        <f>AU148*(1-PARAM!$C$27)*$I$14+(MOD($B148,60)=PARAM!$B$56)*($B148&gt;(60-PARAM!$B$56))*HLOOKUP(($B148+PARAM!$B$56)/12,Loyalty,2)*$F$1*MAX(AX147,0)</f>
        <v>18.557001321003963</v>
      </c>
      <c r="AW148" s="75">
        <f>PARAM!$C$26+MAX($G$14-CHOOSE(PARAM!$B$44,MAX(0,AX147*$F$1),0),0)*RATES!$L124/12+$H$14*(PARAM!$D$51/12)*RATES!$N124/100</f>
        <v>9.332533948774401</v>
      </c>
      <c r="AX148" s="16">
        <f t="shared" si="80"/>
        <v>18.448135359903951</v>
      </c>
      <c r="AY148" s="15">
        <f t="shared" si="55"/>
        <v>22.170849845882874</v>
      </c>
      <c r="AZ148" s="75">
        <f>AY148*(1-PARAM!$C$27)*$I$15+(MOD($B148,60)=PARAM!$B$56)*($B148&gt;(60-PARAM!$B$56))*HLOOKUP(($B148+PARAM!$B$56)/12,Loyalty,2)*$F$1*MAX(BB147,0)</f>
        <v>18.557001321003963</v>
      </c>
      <c r="BA148" s="75">
        <f>PARAM!$C$26+MAX($G$15-CHOOSE(PARAM!$B$44,MAX(0,BB147*$F$1),0),0)*RATES!$L124/12+$H$15*(PARAM!$D$51/12)*RATES!$N124/100</f>
        <v>9.332533948774401</v>
      </c>
      <c r="BB148" s="16">
        <f t="shared" si="81"/>
        <v>18.448135359903951</v>
      </c>
      <c r="BC148" s="15">
        <f t="shared" si="56"/>
        <v>22.170849845882874</v>
      </c>
      <c r="BD148" s="75">
        <f>BC148*(1-PARAM!$C$27)*$I$16+(MOD($B148,60)=PARAM!$B$56)*($B148&gt;(60-PARAM!$B$56))*HLOOKUP(($B148+PARAM!$B$56)/12,Loyalty,2)*$F$1*MAX(BF147,0)</f>
        <v>18.557001321003963</v>
      </c>
      <c r="BE148" s="75">
        <f>PARAM!$C$26+MAX($G$16-CHOOSE(PARAM!$B$44,MAX(0,BF147*$F$1),0),0)*RATES!$L124/12+$H$16*(PARAM!$D$51/12)*RATES!$N124/100</f>
        <v>9.332533948774401</v>
      </c>
      <c r="BF148" s="16">
        <f t="shared" si="82"/>
        <v>18.448135359903951</v>
      </c>
      <c r="BG148" s="15">
        <f t="shared" si="57"/>
        <v>22.170849845882874</v>
      </c>
      <c r="BH148" s="75">
        <f>BG148*(1-PARAM!$C$27)*$I$17+(MOD($B148,60)=PARAM!$B$56)*($B148&gt;(60-PARAM!$B$56))*HLOOKUP(($B148+PARAM!$B$56)/12,Loyalty,2)*$F$1*MAX(BJ147,0)</f>
        <v>18.557001321003963</v>
      </c>
      <c r="BI148" s="75">
        <f>PARAM!$C$26+MAX($G$17-CHOOSE(PARAM!$B$44,MAX(0,BJ147*$F$1),0),0)*RATES!$L124/12+$H$17*(PARAM!$D$51/12)*RATES!$N124/100</f>
        <v>9.332533948774401</v>
      </c>
      <c r="BJ148" s="16">
        <f t="shared" si="83"/>
        <v>18.448135359903951</v>
      </c>
      <c r="BK148" s="15">
        <f t="shared" si="58"/>
        <v>22.170849845882874</v>
      </c>
      <c r="BL148" s="75">
        <f>BK148*(1-PARAM!$C$27)*$I$18+(MOD($B148,60)=PARAM!$B$56)*($B148&gt;(60-PARAM!$B$56))*HLOOKUP(($B148+PARAM!$B$56)/12,Loyalty,2)*$F$1*MAX(BN147,0)</f>
        <v>18.557001321003963</v>
      </c>
      <c r="BM148" s="75">
        <f>PARAM!$C$26+MAX($G$18-CHOOSE(PARAM!$B$44,MAX(0,BN147*$F$1),0),0)*RATES!$L124/12+$H$18*(PARAM!$D$51/12)*RATES!$N124/100</f>
        <v>9.332533948774401</v>
      </c>
      <c r="BN148" s="16">
        <f t="shared" si="84"/>
        <v>18.448135359903951</v>
      </c>
      <c r="BO148" s="15">
        <f t="shared" si="59"/>
        <v>22.170849845882874</v>
      </c>
      <c r="BP148" s="75">
        <f>BO148*(1-PARAM!$C$27)*$I$19+(MOD($B148,60)=PARAM!$B$56)*($B148&gt;(60-PARAM!$B$56))*HLOOKUP(($B148+PARAM!$B$56)/12,Loyalty,2)*$F$1*MAX(BR147,0)</f>
        <v>18.557001321003963</v>
      </c>
      <c r="BQ148" s="75">
        <f>PARAM!$C$26+MAX($G$19-CHOOSE(PARAM!$B$44,MAX(0,BR147*$F$1),0),0)*RATES!$L124/12+$H$19*(PARAM!$D$51/12)*RATES!$N124/100</f>
        <v>9.332533948774401</v>
      </c>
      <c r="BR148" s="16">
        <f t="shared" si="85"/>
        <v>18.448135359903951</v>
      </c>
      <c r="BS148" s="15">
        <f t="shared" si="60"/>
        <v>22.170849845882874</v>
      </c>
      <c r="BT148" s="75">
        <f>BS148*(1-PARAM!$C$27)*$I$20+(MOD($B148,60)=PARAM!$B$56)*($B148&gt;(60-PARAM!$B$56))*HLOOKUP(($B148+PARAM!$B$56)/12,Loyalty,2)*$F$1*MAX(BV147,0)</f>
        <v>18.557001321003963</v>
      </c>
      <c r="BU148" s="75">
        <f>PARAM!$C$26+MAX($G$20-CHOOSE(PARAM!$B$44,MAX(0,BV147*$F$1),0),0)*RATES!$L124/12+$H$20*(PARAM!$D$51/12)*RATES!$N124/100</f>
        <v>9.332533948774401</v>
      </c>
      <c r="BV148" s="16">
        <f t="shared" si="86"/>
        <v>18.448135359903951</v>
      </c>
      <c r="BW148" s="15">
        <f t="shared" si="61"/>
        <v>22.170849845882874</v>
      </c>
      <c r="BX148" s="75">
        <f>BW148*(1-PARAM!$C$27)*$I$21+(MOD($B148,60)=PARAM!$B$56)*($B148&gt;(60-PARAM!$B$56))*HLOOKUP(($B148+PARAM!$B$56)/12,Loyalty,2)*$F$1*MAX(BZ147,0)</f>
        <v>18.557001321003963</v>
      </c>
      <c r="BY148" s="75">
        <f>PARAM!$C$26+MAX($G$21-CHOOSE(PARAM!$B$44,MAX(0,BZ147*$F$1),0),0)*RATES!$L124/12+$H$21*(PARAM!$D$51/12)*RATES!$N124/100</f>
        <v>9.332533948774401</v>
      </c>
      <c r="BZ148" s="16">
        <f t="shared" si="87"/>
        <v>18.448135359903951</v>
      </c>
      <c r="CA148" s="15">
        <f t="shared" si="62"/>
        <v>22.170849845882874</v>
      </c>
      <c r="CB148" s="75">
        <f>CA148*(1-PARAM!$C$27)*$I$22+(MOD($B148,60)=PARAM!$B$56)*($B148&gt;(60-PARAM!$B$56))*HLOOKUP(($B148+PARAM!$B$56)/12,Loyalty,2)*$F$1*MAX(CD147,0)</f>
        <v>18.557001321003963</v>
      </c>
      <c r="CC148" s="75">
        <f>PARAM!$C$26+MAX($G$22-CHOOSE(PARAM!$B$44,MAX(0,CD147*$F$1),0),0)*RATES!$L124/12+$H$22*(PARAM!$D$51/12)*RATES!$N124/100</f>
        <v>9.332533948774401</v>
      </c>
      <c r="CD148" s="16">
        <f t="shared" si="88"/>
        <v>18.448135359903951</v>
      </c>
      <c r="CE148" s="33">
        <f>IF(0=MOD(B148,12/PARAM!$D$51),1,0)</f>
        <v>1</v>
      </c>
      <c r="CF148" s="15">
        <f t="shared" si="63"/>
        <v>0</v>
      </c>
      <c r="CG148" s="75">
        <f>CF148*(1-PARAM!$C$27)*$R$3+(MOD($B148/12,5)=0)*($B148&gt;60)*HLOOKUP($B148/12,Loyalty,2)*$F$1*MAX(CI147,0)</f>
        <v>0</v>
      </c>
      <c r="CH148" s="75">
        <f>PARAM!$C$26+MAX($P$3-CHOOSE(PARAM!$B$44,MAX(0,CI147*$F$1),0),0)*RATES!$L124/12+$Q$3*(PARAM!$D$51/12)*RATES!$N124/100</f>
        <v>9.3333333333333339</v>
      </c>
      <c r="CI148" s="16">
        <f>IF(CI147&gt;0,CI147*PARAM!$C$53,CI147)+CG148-CH148</f>
        <v>-2032.6666666666652</v>
      </c>
      <c r="CJ148" s="15">
        <f t="shared" si="89"/>
        <v>0</v>
      </c>
      <c r="CK148" s="75">
        <f>CJ148*(1-PARAM!$C$27)*$R$4+(MOD($B148/12,5)=0)*($B148&gt;60)*HLOOKUP($B148/12,Loyalty,2)*$F$1*MAX(CM147,0)</f>
        <v>0</v>
      </c>
      <c r="CL148" s="75">
        <f>PARAM!$C$26+MAX($P$4-CHOOSE(PARAM!$B$44,MAX(0,CM147*$F$1),0),0)*RATES!$L124/12+$Q$4*(PARAM!$D$51/12)*RATES!$N124/100</f>
        <v>9.3333333333333339</v>
      </c>
      <c r="CM148" s="16">
        <f>IF(CM147&gt;0,CM147*PARAM!$C$53,CM147)+CK148-CL148</f>
        <v>-2032.6666666666652</v>
      </c>
      <c r="CO148" s="176"/>
    </row>
    <row r="149" spans="1:93" x14ac:dyDescent="0.2">
      <c r="A149" t="b">
        <f t="shared" si="64"/>
        <v>0</v>
      </c>
      <c r="B149" s="33">
        <v>122</v>
      </c>
      <c r="C149" s="15">
        <f t="shared" si="65"/>
        <v>20.081305947392778</v>
      </c>
      <c r="D149" s="75">
        <f>C149*(1-PARAM!$C$27)*$I$3+(MOD($B149,60)=PARAM!$B$56)*($B149&gt;(60-PARAM!$B$56))*HLOOKUP(($B149+PARAM!$B$56)/12,Loyalty,2)*$F$1*MAX(F148,0)</f>
        <v>16.808053077967756</v>
      </c>
      <c r="E149" s="75">
        <f>PARAM!$C$26+MAX($G$3-CHOOSE(PARAM!$B$44,MAX(0,F148*$F$1),0),0)*RATES!$L125/12+$H$3*(PARAM!$D$51/12)*RATES!$N125/100</f>
        <v>9.3333333333333339</v>
      </c>
      <c r="F149" s="16">
        <f t="shared" si="66"/>
        <v>-167.39000850493446</v>
      </c>
      <c r="G149" s="15">
        <f t="shared" si="67"/>
        <v>22.035289406060361</v>
      </c>
      <c r="H149" s="75">
        <f>G149*(1-PARAM!$C$27)*$I$4+(MOD($B149,60)=PARAM!$B$56)*($B149&gt;(60-PARAM!$B$56))*HLOOKUP(($B149+PARAM!$B$56)/12,Loyalty,2)*$F$1*MAX(J148,0)</f>
        <v>18.443537232872522</v>
      </c>
      <c r="I149" s="75">
        <f>PARAM!$C$26+MAX($G$4-CHOOSE(PARAM!$B$44,MAX(0,J148*$F$1),0),0)*RATES!$L125/12+$H$4*(PARAM!$D$51/12)*RATES!$N125/100</f>
        <v>9.3328214715547162</v>
      </c>
      <c r="J149" s="16">
        <f t="shared" si="68"/>
        <v>15.016813206919615</v>
      </c>
      <c r="K149" s="15">
        <f t="shared" si="69"/>
        <v>22.170849845882874</v>
      </c>
      <c r="L149" s="75">
        <f>K149*(1-PARAM!$C$27)*$I$5+(MOD($B149,60)=PARAM!$B$56)*($B149&gt;(60-PARAM!$B$56))*HLOOKUP(($B149+PARAM!$B$56)/12,Loyalty,2)*$F$1*MAX(N148,0)</f>
        <v>18.557001321003963</v>
      </c>
      <c r="M149" s="75">
        <f>PARAM!$C$26+MAX($G$5-CHOOSE(PARAM!$B$44,MAX(0,N148*$F$1),0),0)*RATES!$L125/12+$H$5*(PARAM!$D$51/12)*RATES!$N125/100</f>
        <v>9.3317344949354748</v>
      </c>
      <c r="N149" s="16">
        <f t="shared" si="70"/>
        <v>27.673402185972435</v>
      </c>
      <c r="O149" s="15">
        <f t="shared" si="71"/>
        <v>22.170849845882874</v>
      </c>
      <c r="P149" s="75">
        <f>O149*(1-PARAM!$C$27)*$I$6+(MOD($B149,60)=PARAM!$B$56)*($B149&gt;(60-PARAM!$B$56))*HLOOKUP(($B149+PARAM!$B$56)/12,Loyalty,2)*$F$1*MAX(R148,0)</f>
        <v>18.557001321003963</v>
      </c>
      <c r="Q149" s="75">
        <f>PARAM!$C$26+MAX($G$6-CHOOSE(PARAM!$B$44,MAX(0,R148*$F$1),0),0)*RATES!$L125/12+$H$6*(PARAM!$D$51/12)*RATES!$N125/100</f>
        <v>9.3317344949354748</v>
      </c>
      <c r="R149" s="16">
        <f t="shared" si="72"/>
        <v>27.673402185972435</v>
      </c>
      <c r="S149" s="15">
        <f t="shared" si="47"/>
        <v>22.170849845882874</v>
      </c>
      <c r="T149" s="75">
        <f>S149*(1-PARAM!$C$27)*$I$7+(MOD($B149,60)=PARAM!$B$56)*($B149&gt;(60-PARAM!$B$56))*HLOOKUP(($B149+PARAM!$B$56)/12,Loyalty,2)*$F$1*MAX(V148,0)</f>
        <v>18.557001321003963</v>
      </c>
      <c r="U149" s="75">
        <f>PARAM!$C$26+MAX($G$7-CHOOSE(PARAM!$B$44,MAX(0,V148*$F$1),0),0)*RATES!$L125/12+$H$7*(PARAM!$D$51/12)*RATES!$N125/100</f>
        <v>9.3317344949354748</v>
      </c>
      <c r="V149" s="16">
        <f t="shared" si="73"/>
        <v>27.673402185972435</v>
      </c>
      <c r="W149" s="15">
        <f t="shared" si="48"/>
        <v>22.170849845882874</v>
      </c>
      <c r="X149" s="75">
        <f>W149*(1-PARAM!$C$27)*$I$8+(MOD($B149,60)=PARAM!$B$56)*($B149&gt;(60-PARAM!$B$56))*HLOOKUP(($B149+PARAM!$B$56)/12,Loyalty,2)*$F$1*MAX(Z148,0)</f>
        <v>18.557001321003963</v>
      </c>
      <c r="Y149" s="75">
        <f>PARAM!$C$26+MAX($G$8-CHOOSE(PARAM!$B$44,MAX(0,Z148*$F$1),0),0)*RATES!$L125/12+$H$8*(PARAM!$D$51/12)*RATES!$N125/100</f>
        <v>9.3317344949354748</v>
      </c>
      <c r="Z149" s="16">
        <f t="shared" si="74"/>
        <v>27.673402185972435</v>
      </c>
      <c r="AA149" s="15">
        <f t="shared" si="49"/>
        <v>22.170849845882874</v>
      </c>
      <c r="AB149" s="75">
        <f>AA149*(1-PARAM!$C$27)*$I$9+(MOD($B149,60)=PARAM!$B$56)*($B149&gt;(60-PARAM!$B$56))*HLOOKUP(($B149+PARAM!$B$56)/12,Loyalty,2)*$F$1*MAX(AD148,0)</f>
        <v>18.557001321003963</v>
      </c>
      <c r="AC149" s="75">
        <f>PARAM!$C$26+MAX($G$9-CHOOSE(PARAM!$B$44,MAX(0,AD148*$F$1),0),0)*RATES!$L125/12+$H$9*(PARAM!$D$51/12)*RATES!$N125/100</f>
        <v>9.3317344949354748</v>
      </c>
      <c r="AD149" s="16">
        <f t="shared" si="75"/>
        <v>27.673402185972435</v>
      </c>
      <c r="AE149" s="15">
        <f t="shared" si="50"/>
        <v>22.170849845882874</v>
      </c>
      <c r="AF149" s="75">
        <f>AE149*(1-PARAM!$C$27)*$I$10+(MOD($B149,60)=PARAM!$B$56)*($B149&gt;(60-PARAM!$B$56))*HLOOKUP(($B149+PARAM!$B$56)/12,Loyalty,2)*$F$1*MAX(AH148,0)</f>
        <v>18.557001321003963</v>
      </c>
      <c r="AG149" s="75">
        <f>PARAM!$C$26+MAX($G$10-CHOOSE(PARAM!$B$44,MAX(0,AH148*$F$1),0),0)*RATES!$L125/12+$H$10*(PARAM!$D$51/12)*RATES!$N125/100</f>
        <v>9.3317344949354748</v>
      </c>
      <c r="AH149" s="16">
        <f t="shared" si="76"/>
        <v>27.673402185972435</v>
      </c>
      <c r="AI149" s="15">
        <f t="shared" si="51"/>
        <v>22.170849845882874</v>
      </c>
      <c r="AJ149" s="75">
        <f>AI149*(1-PARAM!$C$27)*$I$11+(MOD($B149,60)=PARAM!$B$56)*($B149&gt;(60-PARAM!$B$56))*HLOOKUP(($B149+PARAM!$B$56)/12,Loyalty,2)*$F$1*MAX(AL148,0)</f>
        <v>18.557001321003963</v>
      </c>
      <c r="AK149" s="75">
        <f>PARAM!$C$26+MAX($G$11-CHOOSE(PARAM!$B$44,MAX(0,AL148*$F$1),0),0)*RATES!$L125/12+$H$11*(PARAM!$D$51/12)*RATES!$N125/100</f>
        <v>9.3317344949354748</v>
      </c>
      <c r="AL149" s="16">
        <f t="shared" si="77"/>
        <v>27.673402185972435</v>
      </c>
      <c r="AM149" s="15">
        <f t="shared" si="52"/>
        <v>22.170849845882874</v>
      </c>
      <c r="AN149" s="75">
        <f>AM149*(1-PARAM!$C$27)*$I$12+(MOD($B149,60)=PARAM!$B$56)*($B149&gt;(60-PARAM!$B$56))*HLOOKUP(($B149+PARAM!$B$56)/12,Loyalty,2)*$F$1*MAX(AP148,0)</f>
        <v>18.557001321003963</v>
      </c>
      <c r="AO149" s="75">
        <f>PARAM!$C$26+MAX($G$12-CHOOSE(PARAM!$B$44,MAX(0,AP148*$F$1),0),0)*RATES!$L125/12+$H$12*(PARAM!$D$51/12)*RATES!$N125/100</f>
        <v>9.3317344949354748</v>
      </c>
      <c r="AP149" s="16">
        <f t="shared" si="78"/>
        <v>27.673402185972435</v>
      </c>
      <c r="AQ149" s="15">
        <f t="shared" si="53"/>
        <v>22.170849845882874</v>
      </c>
      <c r="AR149" s="75">
        <f>AQ149*(1-PARAM!$C$27)*$I$13+(MOD($B149,60)=PARAM!$B$56)*($B149&gt;(60-PARAM!$B$56))*HLOOKUP(($B149+PARAM!$B$56)/12,Loyalty,2)*$F$1*MAX(AT148,0)</f>
        <v>18.557001321003963</v>
      </c>
      <c r="AS149" s="75">
        <f>PARAM!$C$26+MAX($G$13-CHOOSE(PARAM!$B$44,MAX(0,AT148*$F$1),0),0)*RATES!$L125/12+$H$13*(PARAM!$D$51/12)*RATES!$N125/100</f>
        <v>9.3317344949354748</v>
      </c>
      <c r="AT149" s="16">
        <f t="shared" si="79"/>
        <v>27.673402185972435</v>
      </c>
      <c r="AU149" s="15">
        <f t="shared" si="54"/>
        <v>22.170849845882874</v>
      </c>
      <c r="AV149" s="75">
        <f>AU149*(1-PARAM!$C$27)*$I$14+(MOD($B149,60)=PARAM!$B$56)*($B149&gt;(60-PARAM!$B$56))*HLOOKUP(($B149+PARAM!$B$56)/12,Loyalty,2)*$F$1*MAX(AX148,0)</f>
        <v>18.557001321003963</v>
      </c>
      <c r="AW149" s="75">
        <f>PARAM!$C$26+MAX($G$14-CHOOSE(PARAM!$B$44,MAX(0,AX148*$F$1),0),0)*RATES!$L125/12+$H$14*(PARAM!$D$51/12)*RATES!$N125/100</f>
        <v>9.3317344949354748</v>
      </c>
      <c r="AX149" s="16">
        <f t="shared" si="80"/>
        <v>27.673402185972435</v>
      </c>
      <c r="AY149" s="15">
        <f t="shared" si="55"/>
        <v>22.170849845882874</v>
      </c>
      <c r="AZ149" s="75">
        <f>AY149*(1-PARAM!$C$27)*$I$15+(MOD($B149,60)=PARAM!$B$56)*($B149&gt;(60-PARAM!$B$56))*HLOOKUP(($B149+PARAM!$B$56)/12,Loyalty,2)*$F$1*MAX(BB148,0)</f>
        <v>18.557001321003963</v>
      </c>
      <c r="BA149" s="75">
        <f>PARAM!$C$26+MAX($G$15-CHOOSE(PARAM!$B$44,MAX(0,BB148*$F$1),0),0)*RATES!$L125/12+$H$15*(PARAM!$D$51/12)*RATES!$N125/100</f>
        <v>9.3317344949354748</v>
      </c>
      <c r="BB149" s="16">
        <f t="shared" si="81"/>
        <v>27.673402185972435</v>
      </c>
      <c r="BC149" s="15">
        <f t="shared" si="56"/>
        <v>22.170849845882874</v>
      </c>
      <c r="BD149" s="75">
        <f>BC149*(1-PARAM!$C$27)*$I$16+(MOD($B149,60)=PARAM!$B$56)*($B149&gt;(60-PARAM!$B$56))*HLOOKUP(($B149+PARAM!$B$56)/12,Loyalty,2)*$F$1*MAX(BF148,0)</f>
        <v>18.557001321003963</v>
      </c>
      <c r="BE149" s="75">
        <f>PARAM!$C$26+MAX($G$16-CHOOSE(PARAM!$B$44,MAX(0,BF148*$F$1),0),0)*RATES!$L125/12+$H$16*(PARAM!$D$51/12)*RATES!$N125/100</f>
        <v>9.3317344949354748</v>
      </c>
      <c r="BF149" s="16">
        <f t="shared" si="82"/>
        <v>27.673402185972435</v>
      </c>
      <c r="BG149" s="15">
        <f t="shared" si="57"/>
        <v>22.170849845882874</v>
      </c>
      <c r="BH149" s="75">
        <f>BG149*(1-PARAM!$C$27)*$I$17+(MOD($B149,60)=PARAM!$B$56)*($B149&gt;(60-PARAM!$B$56))*HLOOKUP(($B149+PARAM!$B$56)/12,Loyalty,2)*$F$1*MAX(BJ148,0)</f>
        <v>18.557001321003963</v>
      </c>
      <c r="BI149" s="75">
        <f>PARAM!$C$26+MAX($G$17-CHOOSE(PARAM!$B$44,MAX(0,BJ148*$F$1),0),0)*RATES!$L125/12+$H$17*(PARAM!$D$51/12)*RATES!$N125/100</f>
        <v>9.3317344949354748</v>
      </c>
      <c r="BJ149" s="16">
        <f t="shared" si="83"/>
        <v>27.673402185972435</v>
      </c>
      <c r="BK149" s="15">
        <f t="shared" si="58"/>
        <v>22.170849845882874</v>
      </c>
      <c r="BL149" s="75">
        <f>BK149*(1-PARAM!$C$27)*$I$18+(MOD($B149,60)=PARAM!$B$56)*($B149&gt;(60-PARAM!$B$56))*HLOOKUP(($B149+PARAM!$B$56)/12,Loyalty,2)*$F$1*MAX(BN148,0)</f>
        <v>18.557001321003963</v>
      </c>
      <c r="BM149" s="75">
        <f>PARAM!$C$26+MAX($G$18-CHOOSE(PARAM!$B$44,MAX(0,BN148*$F$1),0),0)*RATES!$L125/12+$H$18*(PARAM!$D$51/12)*RATES!$N125/100</f>
        <v>9.3317344949354748</v>
      </c>
      <c r="BN149" s="16">
        <f t="shared" si="84"/>
        <v>27.673402185972435</v>
      </c>
      <c r="BO149" s="15">
        <f t="shared" si="59"/>
        <v>22.170849845882874</v>
      </c>
      <c r="BP149" s="75">
        <f>BO149*(1-PARAM!$C$27)*$I$19+(MOD($B149,60)=PARAM!$B$56)*($B149&gt;(60-PARAM!$B$56))*HLOOKUP(($B149+PARAM!$B$56)/12,Loyalty,2)*$F$1*MAX(BR148,0)</f>
        <v>18.557001321003963</v>
      </c>
      <c r="BQ149" s="75">
        <f>PARAM!$C$26+MAX($G$19-CHOOSE(PARAM!$B$44,MAX(0,BR148*$F$1),0),0)*RATES!$L125/12+$H$19*(PARAM!$D$51/12)*RATES!$N125/100</f>
        <v>9.3317344949354748</v>
      </c>
      <c r="BR149" s="16">
        <f t="shared" si="85"/>
        <v>27.673402185972435</v>
      </c>
      <c r="BS149" s="15">
        <f t="shared" si="60"/>
        <v>22.170849845882874</v>
      </c>
      <c r="BT149" s="75">
        <f>BS149*(1-PARAM!$C$27)*$I$20+(MOD($B149,60)=PARAM!$B$56)*($B149&gt;(60-PARAM!$B$56))*HLOOKUP(($B149+PARAM!$B$56)/12,Loyalty,2)*$F$1*MAX(BV148,0)</f>
        <v>18.557001321003963</v>
      </c>
      <c r="BU149" s="75">
        <f>PARAM!$C$26+MAX($G$20-CHOOSE(PARAM!$B$44,MAX(0,BV148*$F$1),0),0)*RATES!$L125/12+$H$20*(PARAM!$D$51/12)*RATES!$N125/100</f>
        <v>9.3317344949354748</v>
      </c>
      <c r="BV149" s="16">
        <f t="shared" si="86"/>
        <v>27.673402185972435</v>
      </c>
      <c r="BW149" s="15">
        <f t="shared" si="61"/>
        <v>22.170849845882874</v>
      </c>
      <c r="BX149" s="75">
        <f>BW149*(1-PARAM!$C$27)*$I$21+(MOD($B149,60)=PARAM!$B$56)*($B149&gt;(60-PARAM!$B$56))*HLOOKUP(($B149+PARAM!$B$56)/12,Loyalty,2)*$F$1*MAX(BZ148,0)</f>
        <v>18.557001321003963</v>
      </c>
      <c r="BY149" s="75">
        <f>PARAM!$C$26+MAX($G$21-CHOOSE(PARAM!$B$44,MAX(0,BZ148*$F$1),0),0)*RATES!$L125/12+$H$21*(PARAM!$D$51/12)*RATES!$N125/100</f>
        <v>9.3317344949354748</v>
      </c>
      <c r="BZ149" s="16">
        <f t="shared" si="87"/>
        <v>27.673402185972435</v>
      </c>
      <c r="CA149" s="15">
        <f t="shared" si="62"/>
        <v>22.170849845882874</v>
      </c>
      <c r="CB149" s="75">
        <f>CA149*(1-PARAM!$C$27)*$I$22+(MOD($B149,60)=PARAM!$B$56)*($B149&gt;(60-PARAM!$B$56))*HLOOKUP(($B149+PARAM!$B$56)/12,Loyalty,2)*$F$1*MAX(CD148,0)</f>
        <v>18.557001321003963</v>
      </c>
      <c r="CC149" s="75">
        <f>PARAM!$C$26+MAX($G$22-CHOOSE(PARAM!$B$44,MAX(0,CD148*$F$1),0),0)*RATES!$L125/12+$H$22*(PARAM!$D$51/12)*RATES!$N125/100</f>
        <v>9.3317344949354748</v>
      </c>
      <c r="CD149" s="16">
        <f t="shared" si="88"/>
        <v>27.673402185972435</v>
      </c>
      <c r="CE149" s="33">
        <f>IF(0=MOD(B149,12/PARAM!$D$51),1,0)</f>
        <v>1</v>
      </c>
      <c r="CF149" s="15">
        <f t="shared" si="63"/>
        <v>0</v>
      </c>
      <c r="CG149" s="75">
        <f>CF149*(1-PARAM!$C$27)*$R$3+(MOD($B149/12,5)=0)*($B149&gt;60)*HLOOKUP($B149/12,Loyalty,2)*$F$1*MAX(CI148,0)</f>
        <v>0</v>
      </c>
      <c r="CH149" s="75">
        <f>PARAM!$C$26+MAX($P$3-CHOOSE(PARAM!$B$44,MAX(0,CI148*$F$1),0),0)*RATES!$L125/12+$Q$3*(PARAM!$D$51/12)*RATES!$N125/100</f>
        <v>9.3333333333333339</v>
      </c>
      <c r="CI149" s="16">
        <f>IF(CI148&gt;0,CI148*PARAM!$C$53,CI148)+CG149-CH149</f>
        <v>-2041.9999999999984</v>
      </c>
      <c r="CJ149" s="15">
        <f t="shared" si="89"/>
        <v>0</v>
      </c>
      <c r="CK149" s="75">
        <f>CJ149*(1-PARAM!$C$27)*$R$4+(MOD($B149/12,5)=0)*($B149&gt;60)*HLOOKUP($B149/12,Loyalty,2)*$F$1*MAX(CM148,0)</f>
        <v>0</v>
      </c>
      <c r="CL149" s="75">
        <f>PARAM!$C$26+MAX($P$4-CHOOSE(PARAM!$B$44,MAX(0,CM148*$F$1),0),0)*RATES!$L125/12+$Q$4*(PARAM!$D$51/12)*RATES!$N125/100</f>
        <v>9.3333333333333339</v>
      </c>
      <c r="CM149" s="16">
        <f>IF(CM148&gt;0,CM148*PARAM!$C$53,CM148)+CK149-CL149</f>
        <v>-2041.9999999999984</v>
      </c>
      <c r="CO149" s="176"/>
    </row>
    <row r="150" spans="1:93" x14ac:dyDescent="0.2">
      <c r="A150" t="b">
        <f t="shared" si="64"/>
        <v>0</v>
      </c>
      <c r="B150" s="33">
        <v>123</v>
      </c>
      <c r="C150" s="15">
        <f t="shared" si="65"/>
        <v>20.081305947392778</v>
      </c>
      <c r="D150" s="75">
        <f>C150*(1-PARAM!$C$27)*$I$3+(MOD($B150,60)=PARAM!$B$56)*($B150&gt;(60-PARAM!$B$56))*HLOOKUP(($B150+PARAM!$B$56)/12,Loyalty,2)*$F$1*MAX(F149,0)</f>
        <v>16.808053077967756</v>
      </c>
      <c r="E150" s="75">
        <f>PARAM!$C$26+MAX($G$3-CHOOSE(PARAM!$B$44,MAX(0,F149*$F$1),0),0)*RATES!$L126/12+$H$3*(PARAM!$D$51/12)*RATES!$N126/100</f>
        <v>9.3333333333333339</v>
      </c>
      <c r="F150" s="16">
        <f t="shared" si="66"/>
        <v>-159.91528876030006</v>
      </c>
      <c r="G150" s="15">
        <f t="shared" si="67"/>
        <v>22.035289406060361</v>
      </c>
      <c r="H150" s="75">
        <f>G150*(1-PARAM!$C$27)*$I$4+(MOD($B150,60)=PARAM!$B$56)*($B150&gt;(60-PARAM!$B$56))*HLOOKUP(($B150+PARAM!$B$56)/12,Loyalty,2)*$F$1*MAX(J149,0)</f>
        <v>18.443537232872522</v>
      </c>
      <c r="I150" s="75">
        <f>PARAM!$C$26+MAX($G$4-CHOOSE(PARAM!$B$44,MAX(0,J149*$F$1),0),0)*RATES!$L126/12+$H$4*(PARAM!$D$51/12)*RATES!$N126/100</f>
        <v>9.3320318761887329</v>
      </c>
      <c r="J150" s="16">
        <f t="shared" si="68"/>
        <v>24.128318563603404</v>
      </c>
      <c r="K150" s="15">
        <f t="shared" si="69"/>
        <v>22.170849845882874</v>
      </c>
      <c r="L150" s="75">
        <f>K150*(1-PARAM!$C$27)*$I$5+(MOD($B150,60)=PARAM!$B$56)*($B150&gt;(60-PARAM!$B$56))*HLOOKUP(($B150+PARAM!$B$56)/12,Loyalty,2)*$F$1*MAX(N149,0)</f>
        <v>18.557001321003963</v>
      </c>
      <c r="M150" s="75">
        <f>PARAM!$C$26+MAX($G$5-CHOOSE(PARAM!$B$44,MAX(0,N149*$F$1),0),0)*RATES!$L126/12+$H$5*(PARAM!$D$51/12)*RATES!$N126/100</f>
        <v>9.3309349718105494</v>
      </c>
      <c r="N150" s="16">
        <f t="shared" si="70"/>
        <v>36.899468535165852</v>
      </c>
      <c r="O150" s="15">
        <f t="shared" si="71"/>
        <v>22.170849845882874</v>
      </c>
      <c r="P150" s="75">
        <f>O150*(1-PARAM!$C$27)*$I$6+(MOD($B150,60)=PARAM!$B$56)*($B150&gt;(60-PARAM!$B$56))*HLOOKUP(($B150+PARAM!$B$56)/12,Loyalty,2)*$F$1*MAX(R149,0)</f>
        <v>18.557001321003963</v>
      </c>
      <c r="Q150" s="75">
        <f>PARAM!$C$26+MAX($G$6-CHOOSE(PARAM!$B$44,MAX(0,R149*$F$1),0),0)*RATES!$L126/12+$H$6*(PARAM!$D$51/12)*RATES!$N126/100</f>
        <v>9.3309349718105494</v>
      </c>
      <c r="R150" s="16">
        <f t="shared" si="72"/>
        <v>36.899468535165852</v>
      </c>
      <c r="S150" s="15">
        <f t="shared" si="47"/>
        <v>22.170849845882874</v>
      </c>
      <c r="T150" s="75">
        <f>S150*(1-PARAM!$C$27)*$I$7+(MOD($B150,60)=PARAM!$B$56)*($B150&gt;(60-PARAM!$B$56))*HLOOKUP(($B150+PARAM!$B$56)/12,Loyalty,2)*$F$1*MAX(V149,0)</f>
        <v>18.557001321003963</v>
      </c>
      <c r="U150" s="75">
        <f>PARAM!$C$26+MAX($G$7-CHOOSE(PARAM!$B$44,MAX(0,V149*$F$1),0),0)*RATES!$L126/12+$H$7*(PARAM!$D$51/12)*RATES!$N126/100</f>
        <v>9.3309349718105494</v>
      </c>
      <c r="V150" s="16">
        <f t="shared" si="73"/>
        <v>36.899468535165852</v>
      </c>
      <c r="W150" s="15">
        <f t="shared" si="48"/>
        <v>22.170849845882874</v>
      </c>
      <c r="X150" s="75">
        <f>W150*(1-PARAM!$C$27)*$I$8+(MOD($B150,60)=PARAM!$B$56)*($B150&gt;(60-PARAM!$B$56))*HLOOKUP(($B150+PARAM!$B$56)/12,Loyalty,2)*$F$1*MAX(Z149,0)</f>
        <v>18.557001321003963</v>
      </c>
      <c r="Y150" s="75">
        <f>PARAM!$C$26+MAX($G$8-CHOOSE(PARAM!$B$44,MAX(0,Z149*$F$1),0),0)*RATES!$L126/12+$H$8*(PARAM!$D$51/12)*RATES!$N126/100</f>
        <v>9.3309349718105494</v>
      </c>
      <c r="Z150" s="16">
        <f t="shared" si="74"/>
        <v>36.899468535165852</v>
      </c>
      <c r="AA150" s="15">
        <f t="shared" si="49"/>
        <v>22.170849845882874</v>
      </c>
      <c r="AB150" s="75">
        <f>AA150*(1-PARAM!$C$27)*$I$9+(MOD($B150,60)=PARAM!$B$56)*($B150&gt;(60-PARAM!$B$56))*HLOOKUP(($B150+PARAM!$B$56)/12,Loyalty,2)*$F$1*MAX(AD149,0)</f>
        <v>18.557001321003963</v>
      </c>
      <c r="AC150" s="75">
        <f>PARAM!$C$26+MAX($G$9-CHOOSE(PARAM!$B$44,MAX(0,AD149*$F$1),0),0)*RATES!$L126/12+$H$9*(PARAM!$D$51/12)*RATES!$N126/100</f>
        <v>9.3309349718105494</v>
      </c>
      <c r="AD150" s="16">
        <f t="shared" si="75"/>
        <v>36.899468535165852</v>
      </c>
      <c r="AE150" s="15">
        <f t="shared" si="50"/>
        <v>22.170849845882874</v>
      </c>
      <c r="AF150" s="75">
        <f>AE150*(1-PARAM!$C$27)*$I$10+(MOD($B150,60)=PARAM!$B$56)*($B150&gt;(60-PARAM!$B$56))*HLOOKUP(($B150+PARAM!$B$56)/12,Loyalty,2)*$F$1*MAX(AH149,0)</f>
        <v>18.557001321003963</v>
      </c>
      <c r="AG150" s="75">
        <f>PARAM!$C$26+MAX($G$10-CHOOSE(PARAM!$B$44,MAX(0,AH149*$F$1),0),0)*RATES!$L126/12+$H$10*(PARAM!$D$51/12)*RATES!$N126/100</f>
        <v>9.3309349718105494</v>
      </c>
      <c r="AH150" s="16">
        <f t="shared" si="76"/>
        <v>36.899468535165852</v>
      </c>
      <c r="AI150" s="15">
        <f t="shared" si="51"/>
        <v>22.170849845882874</v>
      </c>
      <c r="AJ150" s="75">
        <f>AI150*(1-PARAM!$C$27)*$I$11+(MOD($B150,60)=PARAM!$B$56)*($B150&gt;(60-PARAM!$B$56))*HLOOKUP(($B150+PARAM!$B$56)/12,Loyalty,2)*$F$1*MAX(AL149,0)</f>
        <v>18.557001321003963</v>
      </c>
      <c r="AK150" s="75">
        <f>PARAM!$C$26+MAX($G$11-CHOOSE(PARAM!$B$44,MAX(0,AL149*$F$1),0),0)*RATES!$L126/12+$H$11*(PARAM!$D$51/12)*RATES!$N126/100</f>
        <v>9.3309349718105494</v>
      </c>
      <c r="AL150" s="16">
        <f t="shared" si="77"/>
        <v>36.899468535165852</v>
      </c>
      <c r="AM150" s="15">
        <f t="shared" si="52"/>
        <v>22.170849845882874</v>
      </c>
      <c r="AN150" s="75">
        <f>AM150*(1-PARAM!$C$27)*$I$12+(MOD($B150,60)=PARAM!$B$56)*($B150&gt;(60-PARAM!$B$56))*HLOOKUP(($B150+PARAM!$B$56)/12,Loyalty,2)*$F$1*MAX(AP149,0)</f>
        <v>18.557001321003963</v>
      </c>
      <c r="AO150" s="75">
        <f>PARAM!$C$26+MAX($G$12-CHOOSE(PARAM!$B$44,MAX(0,AP149*$F$1),0),0)*RATES!$L126/12+$H$12*(PARAM!$D$51/12)*RATES!$N126/100</f>
        <v>9.3309349718105494</v>
      </c>
      <c r="AP150" s="16">
        <f t="shared" si="78"/>
        <v>36.899468535165852</v>
      </c>
      <c r="AQ150" s="15">
        <f t="shared" si="53"/>
        <v>22.170849845882874</v>
      </c>
      <c r="AR150" s="75">
        <f>AQ150*(1-PARAM!$C$27)*$I$13+(MOD($B150,60)=PARAM!$B$56)*($B150&gt;(60-PARAM!$B$56))*HLOOKUP(($B150+PARAM!$B$56)/12,Loyalty,2)*$F$1*MAX(AT149,0)</f>
        <v>18.557001321003963</v>
      </c>
      <c r="AS150" s="75">
        <f>PARAM!$C$26+MAX($G$13-CHOOSE(PARAM!$B$44,MAX(0,AT149*$F$1),0),0)*RATES!$L126/12+$H$13*(PARAM!$D$51/12)*RATES!$N126/100</f>
        <v>9.3309349718105494</v>
      </c>
      <c r="AT150" s="16">
        <f t="shared" si="79"/>
        <v>36.899468535165852</v>
      </c>
      <c r="AU150" s="15">
        <f t="shared" si="54"/>
        <v>22.170849845882874</v>
      </c>
      <c r="AV150" s="75">
        <f>AU150*(1-PARAM!$C$27)*$I$14+(MOD($B150,60)=PARAM!$B$56)*($B150&gt;(60-PARAM!$B$56))*HLOOKUP(($B150+PARAM!$B$56)/12,Loyalty,2)*$F$1*MAX(AX149,0)</f>
        <v>18.557001321003963</v>
      </c>
      <c r="AW150" s="75">
        <f>PARAM!$C$26+MAX($G$14-CHOOSE(PARAM!$B$44,MAX(0,AX149*$F$1),0),0)*RATES!$L126/12+$H$14*(PARAM!$D$51/12)*RATES!$N126/100</f>
        <v>9.3309349718105494</v>
      </c>
      <c r="AX150" s="16">
        <f t="shared" si="80"/>
        <v>36.899468535165852</v>
      </c>
      <c r="AY150" s="15">
        <f t="shared" si="55"/>
        <v>22.170849845882874</v>
      </c>
      <c r="AZ150" s="75">
        <f>AY150*(1-PARAM!$C$27)*$I$15+(MOD($B150,60)=PARAM!$B$56)*($B150&gt;(60-PARAM!$B$56))*HLOOKUP(($B150+PARAM!$B$56)/12,Loyalty,2)*$F$1*MAX(BB149,0)</f>
        <v>18.557001321003963</v>
      </c>
      <c r="BA150" s="75">
        <f>PARAM!$C$26+MAX($G$15-CHOOSE(PARAM!$B$44,MAX(0,BB149*$F$1),0),0)*RATES!$L126/12+$H$15*(PARAM!$D$51/12)*RATES!$N126/100</f>
        <v>9.3309349718105494</v>
      </c>
      <c r="BB150" s="16">
        <f t="shared" si="81"/>
        <v>36.899468535165852</v>
      </c>
      <c r="BC150" s="15">
        <f t="shared" si="56"/>
        <v>22.170849845882874</v>
      </c>
      <c r="BD150" s="75">
        <f>BC150*(1-PARAM!$C$27)*$I$16+(MOD($B150,60)=PARAM!$B$56)*($B150&gt;(60-PARAM!$B$56))*HLOOKUP(($B150+PARAM!$B$56)/12,Loyalty,2)*$F$1*MAX(BF149,0)</f>
        <v>18.557001321003963</v>
      </c>
      <c r="BE150" s="75">
        <f>PARAM!$C$26+MAX($G$16-CHOOSE(PARAM!$B$44,MAX(0,BF149*$F$1),0),0)*RATES!$L126/12+$H$16*(PARAM!$D$51/12)*RATES!$N126/100</f>
        <v>9.3309349718105494</v>
      </c>
      <c r="BF150" s="16">
        <f t="shared" si="82"/>
        <v>36.899468535165852</v>
      </c>
      <c r="BG150" s="15">
        <f t="shared" si="57"/>
        <v>22.170849845882874</v>
      </c>
      <c r="BH150" s="75">
        <f>BG150*(1-PARAM!$C$27)*$I$17+(MOD($B150,60)=PARAM!$B$56)*($B150&gt;(60-PARAM!$B$56))*HLOOKUP(($B150+PARAM!$B$56)/12,Loyalty,2)*$F$1*MAX(BJ149,0)</f>
        <v>18.557001321003963</v>
      </c>
      <c r="BI150" s="75">
        <f>PARAM!$C$26+MAX($G$17-CHOOSE(PARAM!$B$44,MAX(0,BJ149*$F$1),0),0)*RATES!$L126/12+$H$17*(PARAM!$D$51/12)*RATES!$N126/100</f>
        <v>9.3309349718105494</v>
      </c>
      <c r="BJ150" s="16">
        <f t="shared" si="83"/>
        <v>36.899468535165852</v>
      </c>
      <c r="BK150" s="15">
        <f t="shared" si="58"/>
        <v>22.170849845882874</v>
      </c>
      <c r="BL150" s="75">
        <f>BK150*(1-PARAM!$C$27)*$I$18+(MOD($B150,60)=PARAM!$B$56)*($B150&gt;(60-PARAM!$B$56))*HLOOKUP(($B150+PARAM!$B$56)/12,Loyalty,2)*$F$1*MAX(BN149,0)</f>
        <v>18.557001321003963</v>
      </c>
      <c r="BM150" s="75">
        <f>PARAM!$C$26+MAX($G$18-CHOOSE(PARAM!$B$44,MAX(0,BN149*$F$1),0),0)*RATES!$L126/12+$H$18*(PARAM!$D$51/12)*RATES!$N126/100</f>
        <v>9.3309349718105494</v>
      </c>
      <c r="BN150" s="16">
        <f t="shared" si="84"/>
        <v>36.899468535165852</v>
      </c>
      <c r="BO150" s="15">
        <f t="shared" si="59"/>
        <v>22.170849845882874</v>
      </c>
      <c r="BP150" s="75">
        <f>BO150*(1-PARAM!$C$27)*$I$19+(MOD($B150,60)=PARAM!$B$56)*($B150&gt;(60-PARAM!$B$56))*HLOOKUP(($B150+PARAM!$B$56)/12,Loyalty,2)*$F$1*MAX(BR149,0)</f>
        <v>18.557001321003963</v>
      </c>
      <c r="BQ150" s="75">
        <f>PARAM!$C$26+MAX($G$19-CHOOSE(PARAM!$B$44,MAX(0,BR149*$F$1),0),0)*RATES!$L126/12+$H$19*(PARAM!$D$51/12)*RATES!$N126/100</f>
        <v>9.3309349718105494</v>
      </c>
      <c r="BR150" s="16">
        <f t="shared" si="85"/>
        <v>36.899468535165852</v>
      </c>
      <c r="BS150" s="15">
        <f t="shared" si="60"/>
        <v>22.170849845882874</v>
      </c>
      <c r="BT150" s="75">
        <f>BS150*(1-PARAM!$C$27)*$I$20+(MOD($B150,60)=PARAM!$B$56)*($B150&gt;(60-PARAM!$B$56))*HLOOKUP(($B150+PARAM!$B$56)/12,Loyalty,2)*$F$1*MAX(BV149,0)</f>
        <v>18.557001321003963</v>
      </c>
      <c r="BU150" s="75">
        <f>PARAM!$C$26+MAX($G$20-CHOOSE(PARAM!$B$44,MAX(0,BV149*$F$1),0),0)*RATES!$L126/12+$H$20*(PARAM!$D$51/12)*RATES!$N126/100</f>
        <v>9.3309349718105494</v>
      </c>
      <c r="BV150" s="16">
        <f t="shared" si="86"/>
        <v>36.899468535165852</v>
      </c>
      <c r="BW150" s="15">
        <f t="shared" si="61"/>
        <v>22.170849845882874</v>
      </c>
      <c r="BX150" s="75">
        <f>BW150*(1-PARAM!$C$27)*$I$21+(MOD($B150,60)=PARAM!$B$56)*($B150&gt;(60-PARAM!$B$56))*HLOOKUP(($B150+PARAM!$B$56)/12,Loyalty,2)*$F$1*MAX(BZ149,0)</f>
        <v>18.557001321003963</v>
      </c>
      <c r="BY150" s="75">
        <f>PARAM!$C$26+MAX($G$21-CHOOSE(PARAM!$B$44,MAX(0,BZ149*$F$1),0),0)*RATES!$L126/12+$H$21*(PARAM!$D$51/12)*RATES!$N126/100</f>
        <v>9.3309349718105494</v>
      </c>
      <c r="BZ150" s="16">
        <f t="shared" si="87"/>
        <v>36.899468535165852</v>
      </c>
      <c r="CA150" s="15">
        <f t="shared" si="62"/>
        <v>22.170849845882874</v>
      </c>
      <c r="CB150" s="75">
        <f>CA150*(1-PARAM!$C$27)*$I$22+(MOD($B150,60)=PARAM!$B$56)*($B150&gt;(60-PARAM!$B$56))*HLOOKUP(($B150+PARAM!$B$56)/12,Loyalty,2)*$F$1*MAX(CD149,0)</f>
        <v>18.557001321003963</v>
      </c>
      <c r="CC150" s="75">
        <f>PARAM!$C$26+MAX($G$22-CHOOSE(PARAM!$B$44,MAX(0,CD149*$F$1),0),0)*RATES!$L126/12+$H$22*(PARAM!$D$51/12)*RATES!$N126/100</f>
        <v>9.3309349718105494</v>
      </c>
      <c r="CD150" s="16">
        <f t="shared" si="88"/>
        <v>36.899468535165852</v>
      </c>
      <c r="CE150" s="33">
        <f>IF(0=MOD(B150,12/PARAM!$D$51),1,0)</f>
        <v>1</v>
      </c>
      <c r="CF150" s="15">
        <f t="shared" si="63"/>
        <v>0</v>
      </c>
      <c r="CG150" s="75">
        <f>CF150*(1-PARAM!$C$27)*$R$3+(MOD($B150/12,5)=0)*($B150&gt;60)*HLOOKUP($B150/12,Loyalty,2)*$F$1*MAX(CI149,0)</f>
        <v>0</v>
      </c>
      <c r="CH150" s="75">
        <f>PARAM!$C$26+MAX($P$3-CHOOSE(PARAM!$B$44,MAX(0,CI149*$F$1),0),0)*RATES!$L126/12+$Q$3*(PARAM!$D$51/12)*RATES!$N126/100</f>
        <v>9.3333333333333339</v>
      </c>
      <c r="CI150" s="16">
        <f>IF(CI149&gt;0,CI149*PARAM!$C$53,CI149)+CG150-CH150</f>
        <v>-2051.3333333333317</v>
      </c>
      <c r="CJ150" s="15">
        <f t="shared" si="89"/>
        <v>0</v>
      </c>
      <c r="CK150" s="75">
        <f>CJ150*(1-PARAM!$C$27)*$R$4+(MOD($B150/12,5)=0)*($B150&gt;60)*HLOOKUP($B150/12,Loyalty,2)*$F$1*MAX(CM149,0)</f>
        <v>0</v>
      </c>
      <c r="CL150" s="75">
        <f>PARAM!$C$26+MAX($P$4-CHOOSE(PARAM!$B$44,MAX(0,CM149*$F$1),0),0)*RATES!$L126/12+$Q$4*(PARAM!$D$51/12)*RATES!$N126/100</f>
        <v>9.3333333333333339</v>
      </c>
      <c r="CM150" s="16">
        <f>IF(CM149&gt;0,CM149*PARAM!$C$53,CM149)+CK150-CL150</f>
        <v>-2051.3333333333317</v>
      </c>
      <c r="CO150" s="176"/>
    </row>
    <row r="151" spans="1:93" x14ac:dyDescent="0.2">
      <c r="A151" t="b">
        <f t="shared" si="64"/>
        <v>0</v>
      </c>
      <c r="B151" s="33">
        <v>124</v>
      </c>
      <c r="C151" s="15">
        <f t="shared" si="65"/>
        <v>20.081305947392778</v>
      </c>
      <c r="D151" s="75">
        <f>C151*(1-PARAM!$C$27)*$I$3+(MOD($B151,60)=PARAM!$B$56)*($B151&gt;(60-PARAM!$B$56))*HLOOKUP(($B151+PARAM!$B$56)/12,Loyalty,2)*$F$1*MAX(F150,0)</f>
        <v>16.808053077967756</v>
      </c>
      <c r="E151" s="75">
        <f>PARAM!$C$26+MAX($G$3-CHOOSE(PARAM!$B$44,MAX(0,F150*$F$1),0),0)*RATES!$L127/12+$H$3*(PARAM!$D$51/12)*RATES!$N127/100</f>
        <v>9.3333333333333339</v>
      </c>
      <c r="F151" s="16">
        <f t="shared" si="66"/>
        <v>-152.44056901566566</v>
      </c>
      <c r="G151" s="15">
        <f t="shared" si="67"/>
        <v>22.035289406060361</v>
      </c>
      <c r="H151" s="75">
        <f>G151*(1-PARAM!$C$27)*$I$4+(MOD($B151,60)=PARAM!$B$56)*($B151&gt;(60-PARAM!$B$56))*HLOOKUP(($B151+PARAM!$B$56)/12,Loyalty,2)*$F$1*MAX(J150,0)</f>
        <v>18.443537232872522</v>
      </c>
      <c r="I151" s="75">
        <f>PARAM!$C$26+MAX($G$4-CHOOSE(PARAM!$B$44,MAX(0,J150*$F$1),0),0)*RATES!$L127/12+$H$4*(PARAM!$D$51/12)*RATES!$N127/100</f>
        <v>9.3312422123911549</v>
      </c>
      <c r="J151" s="16">
        <f t="shared" si="68"/>
        <v>33.240613584084777</v>
      </c>
      <c r="K151" s="15">
        <f t="shared" si="69"/>
        <v>22.170849845882874</v>
      </c>
      <c r="L151" s="75">
        <f>K151*(1-PARAM!$C$27)*$I$5+(MOD($B151,60)=PARAM!$B$56)*($B151&gt;(60-PARAM!$B$56))*HLOOKUP(($B151+PARAM!$B$56)/12,Loyalty,2)*$F$1*MAX(N150,0)</f>
        <v>18.557001321003963</v>
      </c>
      <c r="M151" s="75">
        <f>PARAM!$C$26+MAX($G$5-CHOOSE(PARAM!$B$44,MAX(0,N150*$F$1),0),0)*RATES!$L127/12+$H$5*(PARAM!$D$51/12)*RATES!$N127/100</f>
        <v>9.3301353793936208</v>
      </c>
      <c r="N151" s="16">
        <f t="shared" si="70"/>
        <v>46.126334476776194</v>
      </c>
      <c r="O151" s="15">
        <f t="shared" si="71"/>
        <v>22.170849845882874</v>
      </c>
      <c r="P151" s="75">
        <f>O151*(1-PARAM!$C$27)*$I$6+(MOD($B151,60)=PARAM!$B$56)*($B151&gt;(60-PARAM!$B$56))*HLOOKUP(($B151+PARAM!$B$56)/12,Loyalty,2)*$F$1*MAX(R150,0)</f>
        <v>18.557001321003963</v>
      </c>
      <c r="Q151" s="75">
        <f>PARAM!$C$26+MAX($G$6-CHOOSE(PARAM!$B$44,MAX(0,R150*$F$1),0),0)*RATES!$L127/12+$H$6*(PARAM!$D$51/12)*RATES!$N127/100</f>
        <v>9.3301353793936208</v>
      </c>
      <c r="R151" s="16">
        <f t="shared" si="72"/>
        <v>46.126334476776194</v>
      </c>
      <c r="S151" s="15">
        <f t="shared" si="47"/>
        <v>22.170849845882874</v>
      </c>
      <c r="T151" s="75">
        <f>S151*(1-PARAM!$C$27)*$I$7+(MOD($B151,60)=PARAM!$B$56)*($B151&gt;(60-PARAM!$B$56))*HLOOKUP(($B151+PARAM!$B$56)/12,Loyalty,2)*$F$1*MAX(V150,0)</f>
        <v>18.557001321003963</v>
      </c>
      <c r="U151" s="75">
        <f>PARAM!$C$26+MAX($G$7-CHOOSE(PARAM!$B$44,MAX(0,V150*$F$1),0),0)*RATES!$L127/12+$H$7*(PARAM!$D$51/12)*RATES!$N127/100</f>
        <v>9.3301353793936208</v>
      </c>
      <c r="V151" s="16">
        <f t="shared" si="73"/>
        <v>46.126334476776194</v>
      </c>
      <c r="W151" s="15">
        <f t="shared" si="48"/>
        <v>22.170849845882874</v>
      </c>
      <c r="X151" s="75">
        <f>W151*(1-PARAM!$C$27)*$I$8+(MOD($B151,60)=PARAM!$B$56)*($B151&gt;(60-PARAM!$B$56))*HLOOKUP(($B151+PARAM!$B$56)/12,Loyalty,2)*$F$1*MAX(Z150,0)</f>
        <v>18.557001321003963</v>
      </c>
      <c r="Y151" s="75">
        <f>PARAM!$C$26+MAX($G$8-CHOOSE(PARAM!$B$44,MAX(0,Z150*$F$1),0),0)*RATES!$L127/12+$H$8*(PARAM!$D$51/12)*RATES!$N127/100</f>
        <v>9.3301353793936208</v>
      </c>
      <c r="Z151" s="16">
        <f t="shared" si="74"/>
        <v>46.126334476776194</v>
      </c>
      <c r="AA151" s="15">
        <f t="shared" si="49"/>
        <v>22.170849845882874</v>
      </c>
      <c r="AB151" s="75">
        <f>AA151*(1-PARAM!$C$27)*$I$9+(MOD($B151,60)=PARAM!$B$56)*($B151&gt;(60-PARAM!$B$56))*HLOOKUP(($B151+PARAM!$B$56)/12,Loyalty,2)*$F$1*MAX(AD150,0)</f>
        <v>18.557001321003963</v>
      </c>
      <c r="AC151" s="75">
        <f>PARAM!$C$26+MAX($G$9-CHOOSE(PARAM!$B$44,MAX(0,AD150*$F$1),0),0)*RATES!$L127/12+$H$9*(PARAM!$D$51/12)*RATES!$N127/100</f>
        <v>9.3301353793936208</v>
      </c>
      <c r="AD151" s="16">
        <f t="shared" si="75"/>
        <v>46.126334476776194</v>
      </c>
      <c r="AE151" s="15">
        <f t="shared" si="50"/>
        <v>22.170849845882874</v>
      </c>
      <c r="AF151" s="75">
        <f>AE151*(1-PARAM!$C$27)*$I$10+(MOD($B151,60)=PARAM!$B$56)*($B151&gt;(60-PARAM!$B$56))*HLOOKUP(($B151+PARAM!$B$56)/12,Loyalty,2)*$F$1*MAX(AH150,0)</f>
        <v>18.557001321003963</v>
      </c>
      <c r="AG151" s="75">
        <f>PARAM!$C$26+MAX($G$10-CHOOSE(PARAM!$B$44,MAX(0,AH150*$F$1),0),0)*RATES!$L127/12+$H$10*(PARAM!$D$51/12)*RATES!$N127/100</f>
        <v>9.3301353793936208</v>
      </c>
      <c r="AH151" s="16">
        <f t="shared" si="76"/>
        <v>46.126334476776194</v>
      </c>
      <c r="AI151" s="15">
        <f t="shared" si="51"/>
        <v>22.170849845882874</v>
      </c>
      <c r="AJ151" s="75">
        <f>AI151*(1-PARAM!$C$27)*$I$11+(MOD($B151,60)=PARAM!$B$56)*($B151&gt;(60-PARAM!$B$56))*HLOOKUP(($B151+PARAM!$B$56)/12,Loyalty,2)*$F$1*MAX(AL150,0)</f>
        <v>18.557001321003963</v>
      </c>
      <c r="AK151" s="75">
        <f>PARAM!$C$26+MAX($G$11-CHOOSE(PARAM!$B$44,MAX(0,AL150*$F$1),0),0)*RATES!$L127/12+$H$11*(PARAM!$D$51/12)*RATES!$N127/100</f>
        <v>9.3301353793936208</v>
      </c>
      <c r="AL151" s="16">
        <f t="shared" si="77"/>
        <v>46.126334476776194</v>
      </c>
      <c r="AM151" s="15">
        <f t="shared" si="52"/>
        <v>22.170849845882874</v>
      </c>
      <c r="AN151" s="75">
        <f>AM151*(1-PARAM!$C$27)*$I$12+(MOD($B151,60)=PARAM!$B$56)*($B151&gt;(60-PARAM!$B$56))*HLOOKUP(($B151+PARAM!$B$56)/12,Loyalty,2)*$F$1*MAX(AP150,0)</f>
        <v>18.557001321003963</v>
      </c>
      <c r="AO151" s="75">
        <f>PARAM!$C$26+MAX($G$12-CHOOSE(PARAM!$B$44,MAX(0,AP150*$F$1),0),0)*RATES!$L127/12+$H$12*(PARAM!$D$51/12)*RATES!$N127/100</f>
        <v>9.3301353793936208</v>
      </c>
      <c r="AP151" s="16">
        <f t="shared" si="78"/>
        <v>46.126334476776194</v>
      </c>
      <c r="AQ151" s="15">
        <f t="shared" si="53"/>
        <v>22.170849845882874</v>
      </c>
      <c r="AR151" s="75">
        <f>AQ151*(1-PARAM!$C$27)*$I$13+(MOD($B151,60)=PARAM!$B$56)*($B151&gt;(60-PARAM!$B$56))*HLOOKUP(($B151+PARAM!$B$56)/12,Loyalty,2)*$F$1*MAX(AT150,0)</f>
        <v>18.557001321003963</v>
      </c>
      <c r="AS151" s="75">
        <f>PARAM!$C$26+MAX($G$13-CHOOSE(PARAM!$B$44,MAX(0,AT150*$F$1),0),0)*RATES!$L127/12+$H$13*(PARAM!$D$51/12)*RATES!$N127/100</f>
        <v>9.3301353793936208</v>
      </c>
      <c r="AT151" s="16">
        <f t="shared" si="79"/>
        <v>46.126334476776194</v>
      </c>
      <c r="AU151" s="15">
        <f t="shared" si="54"/>
        <v>22.170849845882874</v>
      </c>
      <c r="AV151" s="75">
        <f>AU151*(1-PARAM!$C$27)*$I$14+(MOD($B151,60)=PARAM!$B$56)*($B151&gt;(60-PARAM!$B$56))*HLOOKUP(($B151+PARAM!$B$56)/12,Loyalty,2)*$F$1*MAX(AX150,0)</f>
        <v>18.557001321003963</v>
      </c>
      <c r="AW151" s="75">
        <f>PARAM!$C$26+MAX($G$14-CHOOSE(PARAM!$B$44,MAX(0,AX150*$F$1),0),0)*RATES!$L127/12+$H$14*(PARAM!$D$51/12)*RATES!$N127/100</f>
        <v>9.3301353793936208</v>
      </c>
      <c r="AX151" s="16">
        <f t="shared" si="80"/>
        <v>46.126334476776194</v>
      </c>
      <c r="AY151" s="15">
        <f t="shared" si="55"/>
        <v>22.170849845882874</v>
      </c>
      <c r="AZ151" s="75">
        <f>AY151*(1-PARAM!$C$27)*$I$15+(MOD($B151,60)=PARAM!$B$56)*($B151&gt;(60-PARAM!$B$56))*HLOOKUP(($B151+PARAM!$B$56)/12,Loyalty,2)*$F$1*MAX(BB150,0)</f>
        <v>18.557001321003963</v>
      </c>
      <c r="BA151" s="75">
        <f>PARAM!$C$26+MAX($G$15-CHOOSE(PARAM!$B$44,MAX(0,BB150*$F$1),0),0)*RATES!$L127/12+$H$15*(PARAM!$D$51/12)*RATES!$N127/100</f>
        <v>9.3301353793936208</v>
      </c>
      <c r="BB151" s="16">
        <f t="shared" si="81"/>
        <v>46.126334476776194</v>
      </c>
      <c r="BC151" s="15">
        <f t="shared" si="56"/>
        <v>22.170849845882874</v>
      </c>
      <c r="BD151" s="75">
        <f>BC151*(1-PARAM!$C$27)*$I$16+(MOD($B151,60)=PARAM!$B$56)*($B151&gt;(60-PARAM!$B$56))*HLOOKUP(($B151+PARAM!$B$56)/12,Loyalty,2)*$F$1*MAX(BF150,0)</f>
        <v>18.557001321003963</v>
      </c>
      <c r="BE151" s="75">
        <f>PARAM!$C$26+MAX($G$16-CHOOSE(PARAM!$B$44,MAX(0,BF150*$F$1),0),0)*RATES!$L127/12+$H$16*(PARAM!$D$51/12)*RATES!$N127/100</f>
        <v>9.3301353793936208</v>
      </c>
      <c r="BF151" s="16">
        <f t="shared" si="82"/>
        <v>46.126334476776194</v>
      </c>
      <c r="BG151" s="15">
        <f t="shared" si="57"/>
        <v>22.170849845882874</v>
      </c>
      <c r="BH151" s="75">
        <f>BG151*(1-PARAM!$C$27)*$I$17+(MOD($B151,60)=PARAM!$B$56)*($B151&gt;(60-PARAM!$B$56))*HLOOKUP(($B151+PARAM!$B$56)/12,Loyalty,2)*$F$1*MAX(BJ150,0)</f>
        <v>18.557001321003963</v>
      </c>
      <c r="BI151" s="75">
        <f>PARAM!$C$26+MAX($G$17-CHOOSE(PARAM!$B$44,MAX(0,BJ150*$F$1),0),0)*RATES!$L127/12+$H$17*(PARAM!$D$51/12)*RATES!$N127/100</f>
        <v>9.3301353793936208</v>
      </c>
      <c r="BJ151" s="16">
        <f t="shared" si="83"/>
        <v>46.126334476776194</v>
      </c>
      <c r="BK151" s="15">
        <f t="shared" si="58"/>
        <v>22.170849845882874</v>
      </c>
      <c r="BL151" s="75">
        <f>BK151*(1-PARAM!$C$27)*$I$18+(MOD($B151,60)=PARAM!$B$56)*($B151&gt;(60-PARAM!$B$56))*HLOOKUP(($B151+PARAM!$B$56)/12,Loyalty,2)*$F$1*MAX(BN150,0)</f>
        <v>18.557001321003963</v>
      </c>
      <c r="BM151" s="75">
        <f>PARAM!$C$26+MAX($G$18-CHOOSE(PARAM!$B$44,MAX(0,BN150*$F$1),0),0)*RATES!$L127/12+$H$18*(PARAM!$D$51/12)*RATES!$N127/100</f>
        <v>9.3301353793936208</v>
      </c>
      <c r="BN151" s="16">
        <f t="shared" si="84"/>
        <v>46.126334476776194</v>
      </c>
      <c r="BO151" s="15">
        <f t="shared" si="59"/>
        <v>22.170849845882874</v>
      </c>
      <c r="BP151" s="75">
        <f>BO151*(1-PARAM!$C$27)*$I$19+(MOD($B151,60)=PARAM!$B$56)*($B151&gt;(60-PARAM!$B$56))*HLOOKUP(($B151+PARAM!$B$56)/12,Loyalty,2)*$F$1*MAX(BR150,0)</f>
        <v>18.557001321003963</v>
      </c>
      <c r="BQ151" s="75">
        <f>PARAM!$C$26+MAX($G$19-CHOOSE(PARAM!$B$44,MAX(0,BR150*$F$1),0),0)*RATES!$L127/12+$H$19*(PARAM!$D$51/12)*RATES!$N127/100</f>
        <v>9.3301353793936208</v>
      </c>
      <c r="BR151" s="16">
        <f t="shared" si="85"/>
        <v>46.126334476776194</v>
      </c>
      <c r="BS151" s="15">
        <f t="shared" si="60"/>
        <v>22.170849845882874</v>
      </c>
      <c r="BT151" s="75">
        <f>BS151*(1-PARAM!$C$27)*$I$20+(MOD($B151,60)=PARAM!$B$56)*($B151&gt;(60-PARAM!$B$56))*HLOOKUP(($B151+PARAM!$B$56)/12,Loyalty,2)*$F$1*MAX(BV150,0)</f>
        <v>18.557001321003963</v>
      </c>
      <c r="BU151" s="75">
        <f>PARAM!$C$26+MAX($G$20-CHOOSE(PARAM!$B$44,MAX(0,BV150*$F$1),0),0)*RATES!$L127/12+$H$20*(PARAM!$D$51/12)*RATES!$N127/100</f>
        <v>9.3301353793936208</v>
      </c>
      <c r="BV151" s="16">
        <f t="shared" si="86"/>
        <v>46.126334476776194</v>
      </c>
      <c r="BW151" s="15">
        <f t="shared" si="61"/>
        <v>22.170849845882874</v>
      </c>
      <c r="BX151" s="75">
        <f>BW151*(1-PARAM!$C$27)*$I$21+(MOD($B151,60)=PARAM!$B$56)*($B151&gt;(60-PARAM!$B$56))*HLOOKUP(($B151+PARAM!$B$56)/12,Loyalty,2)*$F$1*MAX(BZ150,0)</f>
        <v>18.557001321003963</v>
      </c>
      <c r="BY151" s="75">
        <f>PARAM!$C$26+MAX($G$21-CHOOSE(PARAM!$B$44,MAX(0,BZ150*$F$1),0),0)*RATES!$L127/12+$H$21*(PARAM!$D$51/12)*RATES!$N127/100</f>
        <v>9.3301353793936208</v>
      </c>
      <c r="BZ151" s="16">
        <f t="shared" si="87"/>
        <v>46.126334476776194</v>
      </c>
      <c r="CA151" s="15">
        <f t="shared" si="62"/>
        <v>22.170849845882874</v>
      </c>
      <c r="CB151" s="75">
        <f>CA151*(1-PARAM!$C$27)*$I$22+(MOD($B151,60)=PARAM!$B$56)*($B151&gt;(60-PARAM!$B$56))*HLOOKUP(($B151+PARAM!$B$56)/12,Loyalty,2)*$F$1*MAX(CD150,0)</f>
        <v>18.557001321003963</v>
      </c>
      <c r="CC151" s="75">
        <f>PARAM!$C$26+MAX($G$22-CHOOSE(PARAM!$B$44,MAX(0,CD150*$F$1),0),0)*RATES!$L127/12+$H$22*(PARAM!$D$51/12)*RATES!$N127/100</f>
        <v>9.3301353793936208</v>
      </c>
      <c r="CD151" s="16">
        <f t="shared" si="88"/>
        <v>46.126334476776194</v>
      </c>
      <c r="CE151" s="33">
        <f>IF(0=MOD(B151,12/PARAM!$D$51),1,0)</f>
        <v>1</v>
      </c>
      <c r="CF151" s="15">
        <f t="shared" si="63"/>
        <v>0</v>
      </c>
      <c r="CG151" s="75">
        <f>CF151*(1-PARAM!$C$27)*$R$3+(MOD($B151/12,5)=0)*($B151&gt;60)*HLOOKUP($B151/12,Loyalty,2)*$F$1*MAX(CI150,0)</f>
        <v>0</v>
      </c>
      <c r="CH151" s="75">
        <f>PARAM!$C$26+MAX($P$3-CHOOSE(PARAM!$B$44,MAX(0,CI150*$F$1),0),0)*RATES!$L127/12+$Q$3*(PARAM!$D$51/12)*RATES!$N127/100</f>
        <v>9.3333333333333339</v>
      </c>
      <c r="CI151" s="16">
        <f>IF(CI150&gt;0,CI150*PARAM!$C$53,CI150)+CG151-CH151</f>
        <v>-2060.6666666666652</v>
      </c>
      <c r="CJ151" s="15">
        <f t="shared" si="89"/>
        <v>0</v>
      </c>
      <c r="CK151" s="75">
        <f>CJ151*(1-PARAM!$C$27)*$R$4+(MOD($B151/12,5)=0)*($B151&gt;60)*HLOOKUP($B151/12,Loyalty,2)*$F$1*MAX(CM150,0)</f>
        <v>0</v>
      </c>
      <c r="CL151" s="75">
        <f>PARAM!$C$26+MAX($P$4-CHOOSE(PARAM!$B$44,MAX(0,CM150*$F$1),0),0)*RATES!$L127/12+$Q$4*(PARAM!$D$51/12)*RATES!$N127/100</f>
        <v>9.3333333333333339</v>
      </c>
      <c r="CM151" s="16">
        <f>IF(CM150&gt;0,CM150*PARAM!$C$53,CM150)+CK151-CL151</f>
        <v>-2060.6666666666652</v>
      </c>
      <c r="CO151" s="176"/>
    </row>
    <row r="152" spans="1:93" x14ac:dyDescent="0.2">
      <c r="A152" t="b">
        <f t="shared" si="64"/>
        <v>0</v>
      </c>
      <c r="B152" s="33">
        <v>125</v>
      </c>
      <c r="C152" s="15">
        <f t="shared" si="65"/>
        <v>20.081305947392778</v>
      </c>
      <c r="D152" s="75">
        <f>C152*(1-PARAM!$C$27)*$I$3+(MOD($B152,60)=PARAM!$B$56)*($B152&gt;(60-PARAM!$B$56))*HLOOKUP(($B152+PARAM!$B$56)/12,Loyalty,2)*$F$1*MAX(F151,0)</f>
        <v>16.808053077967756</v>
      </c>
      <c r="E152" s="75">
        <f>PARAM!$C$26+MAX($G$3-CHOOSE(PARAM!$B$44,MAX(0,F151*$F$1),0),0)*RATES!$L128/12+$H$3*(PARAM!$D$51/12)*RATES!$N128/100</f>
        <v>9.3333333333333339</v>
      </c>
      <c r="F152" s="16">
        <f t="shared" si="66"/>
        <v>-144.96584927103126</v>
      </c>
      <c r="G152" s="15">
        <f t="shared" si="67"/>
        <v>22.035289406060361</v>
      </c>
      <c r="H152" s="75">
        <f>G152*(1-PARAM!$C$27)*$I$4+(MOD($B152,60)=PARAM!$B$56)*($B152&gt;(60-PARAM!$B$56))*HLOOKUP(($B152+PARAM!$B$56)/12,Loyalty,2)*$F$1*MAX(J151,0)</f>
        <v>18.443537232872522</v>
      </c>
      <c r="I152" s="75">
        <f>PARAM!$C$26+MAX($G$4-CHOOSE(PARAM!$B$44,MAX(0,J151*$F$1),0),0)*RATES!$L128/12+$H$4*(PARAM!$D$51/12)*RATES!$N128/100</f>
        <v>9.3304524801560476</v>
      </c>
      <c r="J152" s="16">
        <f t="shared" si="68"/>
        <v>42.353698336801251</v>
      </c>
      <c r="K152" s="15">
        <f t="shared" si="69"/>
        <v>22.170849845882874</v>
      </c>
      <c r="L152" s="75">
        <f>K152*(1-PARAM!$C$27)*$I$5+(MOD($B152,60)=PARAM!$B$56)*($B152&gt;(60-PARAM!$B$56))*HLOOKUP(($B152+PARAM!$B$56)/12,Loyalty,2)*$F$1*MAX(N151,0)</f>
        <v>18.557001321003963</v>
      </c>
      <c r="M152" s="75">
        <f>PARAM!$C$26+MAX($G$5-CHOOSE(PARAM!$B$44,MAX(0,N151*$F$1),0),0)*RATES!$L128/12+$H$5*(PARAM!$D$51/12)*RATES!$N128/100</f>
        <v>9.3293357176786795</v>
      </c>
      <c r="N152" s="16">
        <f t="shared" si="70"/>
        <v>55.354000080101478</v>
      </c>
      <c r="O152" s="15">
        <f t="shared" si="71"/>
        <v>22.170849845882874</v>
      </c>
      <c r="P152" s="75">
        <f>O152*(1-PARAM!$C$27)*$I$6+(MOD($B152,60)=PARAM!$B$56)*($B152&gt;(60-PARAM!$B$56))*HLOOKUP(($B152+PARAM!$B$56)/12,Loyalty,2)*$F$1*MAX(R151,0)</f>
        <v>18.557001321003963</v>
      </c>
      <c r="Q152" s="75">
        <f>PARAM!$C$26+MAX($G$6-CHOOSE(PARAM!$B$44,MAX(0,R151*$F$1),0),0)*RATES!$L128/12+$H$6*(PARAM!$D$51/12)*RATES!$N128/100</f>
        <v>9.3293357176786795</v>
      </c>
      <c r="R152" s="16">
        <f t="shared" si="72"/>
        <v>55.354000080101478</v>
      </c>
      <c r="S152" s="15">
        <f t="shared" si="47"/>
        <v>22.170849845882874</v>
      </c>
      <c r="T152" s="75">
        <f>S152*(1-PARAM!$C$27)*$I$7+(MOD($B152,60)=PARAM!$B$56)*($B152&gt;(60-PARAM!$B$56))*HLOOKUP(($B152+PARAM!$B$56)/12,Loyalty,2)*$F$1*MAX(V151,0)</f>
        <v>18.557001321003963</v>
      </c>
      <c r="U152" s="75">
        <f>PARAM!$C$26+MAX($G$7-CHOOSE(PARAM!$B$44,MAX(0,V151*$F$1),0),0)*RATES!$L128/12+$H$7*(PARAM!$D$51/12)*RATES!$N128/100</f>
        <v>9.3293357176786795</v>
      </c>
      <c r="V152" s="16">
        <f t="shared" si="73"/>
        <v>55.354000080101478</v>
      </c>
      <c r="W152" s="15">
        <f t="shared" si="48"/>
        <v>22.170849845882874</v>
      </c>
      <c r="X152" s="75">
        <f>W152*(1-PARAM!$C$27)*$I$8+(MOD($B152,60)=PARAM!$B$56)*($B152&gt;(60-PARAM!$B$56))*HLOOKUP(($B152+PARAM!$B$56)/12,Loyalty,2)*$F$1*MAX(Z151,0)</f>
        <v>18.557001321003963</v>
      </c>
      <c r="Y152" s="75">
        <f>PARAM!$C$26+MAX($G$8-CHOOSE(PARAM!$B$44,MAX(0,Z151*$F$1),0),0)*RATES!$L128/12+$H$8*(PARAM!$D$51/12)*RATES!$N128/100</f>
        <v>9.3293357176786795</v>
      </c>
      <c r="Z152" s="16">
        <f t="shared" si="74"/>
        <v>55.354000080101478</v>
      </c>
      <c r="AA152" s="15">
        <f t="shared" si="49"/>
        <v>22.170849845882874</v>
      </c>
      <c r="AB152" s="75">
        <f>AA152*(1-PARAM!$C$27)*$I$9+(MOD($B152,60)=PARAM!$B$56)*($B152&gt;(60-PARAM!$B$56))*HLOOKUP(($B152+PARAM!$B$56)/12,Loyalty,2)*$F$1*MAX(AD151,0)</f>
        <v>18.557001321003963</v>
      </c>
      <c r="AC152" s="75">
        <f>PARAM!$C$26+MAX($G$9-CHOOSE(PARAM!$B$44,MAX(0,AD151*$F$1),0),0)*RATES!$L128/12+$H$9*(PARAM!$D$51/12)*RATES!$N128/100</f>
        <v>9.3293357176786795</v>
      </c>
      <c r="AD152" s="16">
        <f t="shared" si="75"/>
        <v>55.354000080101478</v>
      </c>
      <c r="AE152" s="15">
        <f t="shared" si="50"/>
        <v>22.170849845882874</v>
      </c>
      <c r="AF152" s="75">
        <f>AE152*(1-PARAM!$C$27)*$I$10+(MOD($B152,60)=PARAM!$B$56)*($B152&gt;(60-PARAM!$B$56))*HLOOKUP(($B152+PARAM!$B$56)/12,Loyalty,2)*$F$1*MAX(AH151,0)</f>
        <v>18.557001321003963</v>
      </c>
      <c r="AG152" s="75">
        <f>PARAM!$C$26+MAX($G$10-CHOOSE(PARAM!$B$44,MAX(0,AH151*$F$1),0),0)*RATES!$L128/12+$H$10*(PARAM!$D$51/12)*RATES!$N128/100</f>
        <v>9.3293357176786795</v>
      </c>
      <c r="AH152" s="16">
        <f t="shared" si="76"/>
        <v>55.354000080101478</v>
      </c>
      <c r="AI152" s="15">
        <f t="shared" si="51"/>
        <v>22.170849845882874</v>
      </c>
      <c r="AJ152" s="75">
        <f>AI152*(1-PARAM!$C$27)*$I$11+(MOD($B152,60)=PARAM!$B$56)*($B152&gt;(60-PARAM!$B$56))*HLOOKUP(($B152+PARAM!$B$56)/12,Loyalty,2)*$F$1*MAX(AL151,0)</f>
        <v>18.557001321003963</v>
      </c>
      <c r="AK152" s="75">
        <f>PARAM!$C$26+MAX($G$11-CHOOSE(PARAM!$B$44,MAX(0,AL151*$F$1),0),0)*RATES!$L128/12+$H$11*(PARAM!$D$51/12)*RATES!$N128/100</f>
        <v>9.3293357176786795</v>
      </c>
      <c r="AL152" s="16">
        <f t="shared" si="77"/>
        <v>55.354000080101478</v>
      </c>
      <c r="AM152" s="15">
        <f t="shared" si="52"/>
        <v>22.170849845882874</v>
      </c>
      <c r="AN152" s="75">
        <f>AM152*(1-PARAM!$C$27)*$I$12+(MOD($B152,60)=PARAM!$B$56)*($B152&gt;(60-PARAM!$B$56))*HLOOKUP(($B152+PARAM!$B$56)/12,Loyalty,2)*$F$1*MAX(AP151,0)</f>
        <v>18.557001321003963</v>
      </c>
      <c r="AO152" s="75">
        <f>PARAM!$C$26+MAX($G$12-CHOOSE(PARAM!$B$44,MAX(0,AP151*$F$1),0),0)*RATES!$L128/12+$H$12*(PARAM!$D$51/12)*RATES!$N128/100</f>
        <v>9.3293357176786795</v>
      </c>
      <c r="AP152" s="16">
        <f t="shared" si="78"/>
        <v>55.354000080101478</v>
      </c>
      <c r="AQ152" s="15">
        <f t="shared" si="53"/>
        <v>22.170849845882874</v>
      </c>
      <c r="AR152" s="75">
        <f>AQ152*(1-PARAM!$C$27)*$I$13+(MOD($B152,60)=PARAM!$B$56)*($B152&gt;(60-PARAM!$B$56))*HLOOKUP(($B152+PARAM!$B$56)/12,Loyalty,2)*$F$1*MAX(AT151,0)</f>
        <v>18.557001321003963</v>
      </c>
      <c r="AS152" s="75">
        <f>PARAM!$C$26+MAX($G$13-CHOOSE(PARAM!$B$44,MAX(0,AT151*$F$1),0),0)*RATES!$L128/12+$H$13*(PARAM!$D$51/12)*RATES!$N128/100</f>
        <v>9.3293357176786795</v>
      </c>
      <c r="AT152" s="16">
        <f t="shared" si="79"/>
        <v>55.354000080101478</v>
      </c>
      <c r="AU152" s="15">
        <f t="shared" si="54"/>
        <v>22.170849845882874</v>
      </c>
      <c r="AV152" s="75">
        <f>AU152*(1-PARAM!$C$27)*$I$14+(MOD($B152,60)=PARAM!$B$56)*($B152&gt;(60-PARAM!$B$56))*HLOOKUP(($B152+PARAM!$B$56)/12,Loyalty,2)*$F$1*MAX(AX151,0)</f>
        <v>18.557001321003963</v>
      </c>
      <c r="AW152" s="75">
        <f>PARAM!$C$26+MAX($G$14-CHOOSE(PARAM!$B$44,MAX(0,AX151*$F$1),0),0)*RATES!$L128/12+$H$14*(PARAM!$D$51/12)*RATES!$N128/100</f>
        <v>9.3293357176786795</v>
      </c>
      <c r="AX152" s="16">
        <f t="shared" si="80"/>
        <v>55.354000080101478</v>
      </c>
      <c r="AY152" s="15">
        <f t="shared" si="55"/>
        <v>22.170849845882874</v>
      </c>
      <c r="AZ152" s="75">
        <f>AY152*(1-PARAM!$C$27)*$I$15+(MOD($B152,60)=PARAM!$B$56)*($B152&gt;(60-PARAM!$B$56))*HLOOKUP(($B152+PARAM!$B$56)/12,Loyalty,2)*$F$1*MAX(BB151,0)</f>
        <v>18.557001321003963</v>
      </c>
      <c r="BA152" s="75">
        <f>PARAM!$C$26+MAX($G$15-CHOOSE(PARAM!$B$44,MAX(0,BB151*$F$1),0),0)*RATES!$L128/12+$H$15*(PARAM!$D$51/12)*RATES!$N128/100</f>
        <v>9.3293357176786795</v>
      </c>
      <c r="BB152" s="16">
        <f t="shared" si="81"/>
        <v>55.354000080101478</v>
      </c>
      <c r="BC152" s="15">
        <f t="shared" si="56"/>
        <v>22.170849845882874</v>
      </c>
      <c r="BD152" s="75">
        <f>BC152*(1-PARAM!$C$27)*$I$16+(MOD($B152,60)=PARAM!$B$56)*($B152&gt;(60-PARAM!$B$56))*HLOOKUP(($B152+PARAM!$B$56)/12,Loyalty,2)*$F$1*MAX(BF151,0)</f>
        <v>18.557001321003963</v>
      </c>
      <c r="BE152" s="75">
        <f>PARAM!$C$26+MAX($G$16-CHOOSE(PARAM!$B$44,MAX(0,BF151*$F$1),0),0)*RATES!$L128/12+$H$16*(PARAM!$D$51/12)*RATES!$N128/100</f>
        <v>9.3293357176786795</v>
      </c>
      <c r="BF152" s="16">
        <f t="shared" si="82"/>
        <v>55.354000080101478</v>
      </c>
      <c r="BG152" s="15">
        <f t="shared" si="57"/>
        <v>22.170849845882874</v>
      </c>
      <c r="BH152" s="75">
        <f>BG152*(1-PARAM!$C$27)*$I$17+(MOD($B152,60)=PARAM!$B$56)*($B152&gt;(60-PARAM!$B$56))*HLOOKUP(($B152+PARAM!$B$56)/12,Loyalty,2)*$F$1*MAX(BJ151,0)</f>
        <v>18.557001321003963</v>
      </c>
      <c r="BI152" s="75">
        <f>PARAM!$C$26+MAX($G$17-CHOOSE(PARAM!$B$44,MAX(0,BJ151*$F$1),0),0)*RATES!$L128/12+$H$17*(PARAM!$D$51/12)*RATES!$N128/100</f>
        <v>9.3293357176786795</v>
      </c>
      <c r="BJ152" s="16">
        <f t="shared" si="83"/>
        <v>55.354000080101478</v>
      </c>
      <c r="BK152" s="15">
        <f t="shared" si="58"/>
        <v>22.170849845882874</v>
      </c>
      <c r="BL152" s="75">
        <f>BK152*(1-PARAM!$C$27)*$I$18+(MOD($B152,60)=PARAM!$B$56)*($B152&gt;(60-PARAM!$B$56))*HLOOKUP(($B152+PARAM!$B$56)/12,Loyalty,2)*$F$1*MAX(BN151,0)</f>
        <v>18.557001321003963</v>
      </c>
      <c r="BM152" s="75">
        <f>PARAM!$C$26+MAX($G$18-CHOOSE(PARAM!$B$44,MAX(0,BN151*$F$1),0),0)*RATES!$L128/12+$H$18*(PARAM!$D$51/12)*RATES!$N128/100</f>
        <v>9.3293357176786795</v>
      </c>
      <c r="BN152" s="16">
        <f t="shared" si="84"/>
        <v>55.354000080101478</v>
      </c>
      <c r="BO152" s="15">
        <f t="shared" si="59"/>
        <v>22.170849845882874</v>
      </c>
      <c r="BP152" s="75">
        <f>BO152*(1-PARAM!$C$27)*$I$19+(MOD($B152,60)=PARAM!$B$56)*($B152&gt;(60-PARAM!$B$56))*HLOOKUP(($B152+PARAM!$B$56)/12,Loyalty,2)*$F$1*MAX(BR151,0)</f>
        <v>18.557001321003963</v>
      </c>
      <c r="BQ152" s="75">
        <f>PARAM!$C$26+MAX($G$19-CHOOSE(PARAM!$B$44,MAX(0,BR151*$F$1),0),0)*RATES!$L128/12+$H$19*(PARAM!$D$51/12)*RATES!$N128/100</f>
        <v>9.3293357176786795</v>
      </c>
      <c r="BR152" s="16">
        <f t="shared" si="85"/>
        <v>55.354000080101478</v>
      </c>
      <c r="BS152" s="15">
        <f t="shared" si="60"/>
        <v>22.170849845882874</v>
      </c>
      <c r="BT152" s="75">
        <f>BS152*(1-PARAM!$C$27)*$I$20+(MOD($B152,60)=PARAM!$B$56)*($B152&gt;(60-PARAM!$B$56))*HLOOKUP(($B152+PARAM!$B$56)/12,Loyalty,2)*$F$1*MAX(BV151,0)</f>
        <v>18.557001321003963</v>
      </c>
      <c r="BU152" s="75">
        <f>PARAM!$C$26+MAX($G$20-CHOOSE(PARAM!$B$44,MAX(0,BV151*$F$1),0),0)*RATES!$L128/12+$H$20*(PARAM!$D$51/12)*RATES!$N128/100</f>
        <v>9.3293357176786795</v>
      </c>
      <c r="BV152" s="16">
        <f t="shared" si="86"/>
        <v>55.354000080101478</v>
      </c>
      <c r="BW152" s="15">
        <f t="shared" si="61"/>
        <v>22.170849845882874</v>
      </c>
      <c r="BX152" s="75">
        <f>BW152*(1-PARAM!$C$27)*$I$21+(MOD($B152,60)=PARAM!$B$56)*($B152&gt;(60-PARAM!$B$56))*HLOOKUP(($B152+PARAM!$B$56)/12,Loyalty,2)*$F$1*MAX(BZ151,0)</f>
        <v>18.557001321003963</v>
      </c>
      <c r="BY152" s="75">
        <f>PARAM!$C$26+MAX($G$21-CHOOSE(PARAM!$B$44,MAX(0,BZ151*$F$1),0),0)*RATES!$L128/12+$H$21*(PARAM!$D$51/12)*RATES!$N128/100</f>
        <v>9.3293357176786795</v>
      </c>
      <c r="BZ152" s="16">
        <f t="shared" si="87"/>
        <v>55.354000080101478</v>
      </c>
      <c r="CA152" s="15">
        <f t="shared" si="62"/>
        <v>22.170849845882874</v>
      </c>
      <c r="CB152" s="75">
        <f>CA152*(1-PARAM!$C$27)*$I$22+(MOD($B152,60)=PARAM!$B$56)*($B152&gt;(60-PARAM!$B$56))*HLOOKUP(($B152+PARAM!$B$56)/12,Loyalty,2)*$F$1*MAX(CD151,0)</f>
        <v>18.557001321003963</v>
      </c>
      <c r="CC152" s="75">
        <f>PARAM!$C$26+MAX($G$22-CHOOSE(PARAM!$B$44,MAX(0,CD151*$F$1),0),0)*RATES!$L128/12+$H$22*(PARAM!$D$51/12)*RATES!$N128/100</f>
        <v>9.3293357176786795</v>
      </c>
      <c r="CD152" s="16">
        <f t="shared" si="88"/>
        <v>55.354000080101478</v>
      </c>
      <c r="CE152" s="33">
        <f>IF(0=MOD(B152,12/PARAM!$D$51),1,0)</f>
        <v>1</v>
      </c>
      <c r="CF152" s="15">
        <f t="shared" si="63"/>
        <v>0</v>
      </c>
      <c r="CG152" s="75">
        <f>CF152*(1-PARAM!$C$27)*$R$3+(MOD($B152/12,5)=0)*($B152&gt;60)*HLOOKUP($B152/12,Loyalty,2)*$F$1*MAX(CI151,0)</f>
        <v>0</v>
      </c>
      <c r="CH152" s="75">
        <f>PARAM!$C$26+MAX($P$3-CHOOSE(PARAM!$B$44,MAX(0,CI151*$F$1),0),0)*RATES!$L128/12+$Q$3*(PARAM!$D$51/12)*RATES!$N128/100</f>
        <v>9.3333333333333339</v>
      </c>
      <c r="CI152" s="16">
        <f>IF(CI151&gt;0,CI151*PARAM!$C$53,CI151)+CG152-CH152</f>
        <v>-2069.9999999999986</v>
      </c>
      <c r="CJ152" s="15">
        <f t="shared" si="89"/>
        <v>0</v>
      </c>
      <c r="CK152" s="75">
        <f>CJ152*(1-PARAM!$C$27)*$R$4+(MOD($B152/12,5)=0)*($B152&gt;60)*HLOOKUP($B152/12,Loyalty,2)*$F$1*MAX(CM151,0)</f>
        <v>0</v>
      </c>
      <c r="CL152" s="75">
        <f>PARAM!$C$26+MAX($P$4-CHOOSE(PARAM!$B$44,MAX(0,CM151*$F$1),0),0)*RATES!$L128/12+$Q$4*(PARAM!$D$51/12)*RATES!$N128/100</f>
        <v>9.3333333333333339</v>
      </c>
      <c r="CM152" s="16">
        <f>IF(CM151&gt;0,CM151*PARAM!$C$53,CM151)+CK152-CL152</f>
        <v>-2069.9999999999986</v>
      </c>
      <c r="CO152" s="176"/>
    </row>
    <row r="153" spans="1:93" x14ac:dyDescent="0.2">
      <c r="A153" t="b">
        <f t="shared" si="64"/>
        <v>0</v>
      </c>
      <c r="B153" s="33">
        <v>126</v>
      </c>
      <c r="C153" s="15">
        <f t="shared" si="65"/>
        <v>20.081305947392778</v>
      </c>
      <c r="D153" s="75">
        <f>C153*(1-PARAM!$C$27)*$I$3+(MOD($B153,60)=PARAM!$B$56)*($B153&gt;(60-PARAM!$B$56))*HLOOKUP(($B153+PARAM!$B$56)/12,Loyalty,2)*$F$1*MAX(F152,0)</f>
        <v>16.808053077967756</v>
      </c>
      <c r="E153" s="75">
        <f>PARAM!$C$26+MAX($G$3-CHOOSE(PARAM!$B$44,MAX(0,F152*$F$1),0),0)*RATES!$L129/12+$H$3*(PARAM!$D$51/12)*RATES!$N129/100</f>
        <v>9.8333333333333321</v>
      </c>
      <c r="F153" s="16">
        <f t="shared" si="66"/>
        <v>-137.99112952639686</v>
      </c>
      <c r="G153" s="15">
        <f t="shared" si="67"/>
        <v>22.035289406060361</v>
      </c>
      <c r="H153" s="75">
        <f>G153*(1-PARAM!$C$27)*$I$4+(MOD($B153,60)=PARAM!$B$56)*($B153&gt;(60-PARAM!$B$56))*HLOOKUP(($B153+PARAM!$B$56)/12,Loyalty,2)*$F$1*MAX(J152,0)</f>
        <v>18.443537232872522</v>
      </c>
      <c r="I153" s="75">
        <f>PARAM!$C$26+MAX($G$4-CHOOSE(PARAM!$B$44,MAX(0,J152*$F$1),0),0)*RATES!$L129/12+$H$4*(PARAM!$D$51/12)*RATES!$N129/100</f>
        <v>9.8292391424941101</v>
      </c>
      <c r="J153" s="16">
        <f t="shared" si="68"/>
        <v>50.967996427179663</v>
      </c>
      <c r="K153" s="15">
        <f t="shared" si="69"/>
        <v>22.170849845882874</v>
      </c>
      <c r="L153" s="75">
        <f>K153*(1-PARAM!$C$27)*$I$5+(MOD($B153,60)=PARAM!$B$56)*($B153&gt;(60-PARAM!$B$56))*HLOOKUP(($B153+PARAM!$B$56)/12,Loyalty,2)*$F$1*MAX(N152,0)</f>
        <v>18.557001321003963</v>
      </c>
      <c r="M153" s="75">
        <f>PARAM!$C$26+MAX($G$5-CHOOSE(PARAM!$B$44,MAX(0,N152*$F$1),0),0)*RATES!$L129/12+$H$5*(PARAM!$D$51/12)*RATES!$N129/100</f>
        <v>9.8279824466589236</v>
      </c>
      <c r="N153" s="16">
        <f t="shared" si="70"/>
        <v>64.083018954446516</v>
      </c>
      <c r="O153" s="15">
        <f t="shared" si="71"/>
        <v>22.170849845882874</v>
      </c>
      <c r="P153" s="75">
        <f>O153*(1-PARAM!$C$27)*$I$6+(MOD($B153,60)=PARAM!$B$56)*($B153&gt;(60-PARAM!$B$56))*HLOOKUP(($B153+PARAM!$B$56)/12,Loyalty,2)*$F$1*MAX(R152,0)</f>
        <v>18.557001321003963</v>
      </c>
      <c r="Q153" s="75">
        <f>PARAM!$C$26+MAX($G$6-CHOOSE(PARAM!$B$44,MAX(0,R152*$F$1),0),0)*RATES!$L129/12+$H$6*(PARAM!$D$51/12)*RATES!$N129/100</f>
        <v>9.8279824466589236</v>
      </c>
      <c r="R153" s="16">
        <f t="shared" si="72"/>
        <v>64.083018954446516</v>
      </c>
      <c r="S153" s="15">
        <f t="shared" si="47"/>
        <v>22.170849845882874</v>
      </c>
      <c r="T153" s="75">
        <f>S153*(1-PARAM!$C$27)*$I$7+(MOD($B153,60)=PARAM!$B$56)*($B153&gt;(60-PARAM!$B$56))*HLOOKUP(($B153+PARAM!$B$56)/12,Loyalty,2)*$F$1*MAX(V152,0)</f>
        <v>18.557001321003963</v>
      </c>
      <c r="U153" s="75">
        <f>PARAM!$C$26+MAX($G$7-CHOOSE(PARAM!$B$44,MAX(0,V152*$F$1),0),0)*RATES!$L129/12+$H$7*(PARAM!$D$51/12)*RATES!$N129/100</f>
        <v>9.8279824466589236</v>
      </c>
      <c r="V153" s="16">
        <f t="shared" si="73"/>
        <v>64.083018954446516</v>
      </c>
      <c r="W153" s="15">
        <f t="shared" si="48"/>
        <v>22.170849845882874</v>
      </c>
      <c r="X153" s="75">
        <f>W153*(1-PARAM!$C$27)*$I$8+(MOD($B153,60)=PARAM!$B$56)*($B153&gt;(60-PARAM!$B$56))*HLOOKUP(($B153+PARAM!$B$56)/12,Loyalty,2)*$F$1*MAX(Z152,0)</f>
        <v>18.557001321003963</v>
      </c>
      <c r="Y153" s="75">
        <f>PARAM!$C$26+MAX($G$8-CHOOSE(PARAM!$B$44,MAX(0,Z152*$F$1),0),0)*RATES!$L129/12+$H$8*(PARAM!$D$51/12)*RATES!$N129/100</f>
        <v>9.8279824466589236</v>
      </c>
      <c r="Z153" s="16">
        <f t="shared" si="74"/>
        <v>64.083018954446516</v>
      </c>
      <c r="AA153" s="15">
        <f t="shared" si="49"/>
        <v>22.170849845882874</v>
      </c>
      <c r="AB153" s="75">
        <f>AA153*(1-PARAM!$C$27)*$I$9+(MOD($B153,60)=PARAM!$B$56)*($B153&gt;(60-PARAM!$B$56))*HLOOKUP(($B153+PARAM!$B$56)/12,Loyalty,2)*$F$1*MAX(AD152,0)</f>
        <v>18.557001321003963</v>
      </c>
      <c r="AC153" s="75">
        <f>PARAM!$C$26+MAX($G$9-CHOOSE(PARAM!$B$44,MAX(0,AD152*$F$1),0),0)*RATES!$L129/12+$H$9*(PARAM!$D$51/12)*RATES!$N129/100</f>
        <v>9.8279824466589236</v>
      </c>
      <c r="AD153" s="16">
        <f t="shared" si="75"/>
        <v>64.083018954446516</v>
      </c>
      <c r="AE153" s="15">
        <f t="shared" si="50"/>
        <v>22.170849845882874</v>
      </c>
      <c r="AF153" s="75">
        <f>AE153*(1-PARAM!$C$27)*$I$10+(MOD($B153,60)=PARAM!$B$56)*($B153&gt;(60-PARAM!$B$56))*HLOOKUP(($B153+PARAM!$B$56)/12,Loyalty,2)*$F$1*MAX(AH152,0)</f>
        <v>18.557001321003963</v>
      </c>
      <c r="AG153" s="75">
        <f>PARAM!$C$26+MAX($G$10-CHOOSE(PARAM!$B$44,MAX(0,AH152*$F$1),0),0)*RATES!$L129/12+$H$10*(PARAM!$D$51/12)*RATES!$N129/100</f>
        <v>9.8279824466589236</v>
      </c>
      <c r="AH153" s="16">
        <f t="shared" si="76"/>
        <v>64.083018954446516</v>
      </c>
      <c r="AI153" s="15">
        <f t="shared" si="51"/>
        <v>22.170849845882874</v>
      </c>
      <c r="AJ153" s="75">
        <f>AI153*(1-PARAM!$C$27)*$I$11+(MOD($B153,60)=PARAM!$B$56)*($B153&gt;(60-PARAM!$B$56))*HLOOKUP(($B153+PARAM!$B$56)/12,Loyalty,2)*$F$1*MAX(AL152,0)</f>
        <v>18.557001321003963</v>
      </c>
      <c r="AK153" s="75">
        <f>PARAM!$C$26+MAX($G$11-CHOOSE(PARAM!$B$44,MAX(0,AL152*$F$1),0),0)*RATES!$L129/12+$H$11*(PARAM!$D$51/12)*RATES!$N129/100</f>
        <v>9.8279824466589236</v>
      </c>
      <c r="AL153" s="16">
        <f t="shared" si="77"/>
        <v>64.083018954446516</v>
      </c>
      <c r="AM153" s="15">
        <f t="shared" si="52"/>
        <v>22.170849845882874</v>
      </c>
      <c r="AN153" s="75">
        <f>AM153*(1-PARAM!$C$27)*$I$12+(MOD($B153,60)=PARAM!$B$56)*($B153&gt;(60-PARAM!$B$56))*HLOOKUP(($B153+PARAM!$B$56)/12,Loyalty,2)*$F$1*MAX(AP152,0)</f>
        <v>18.557001321003963</v>
      </c>
      <c r="AO153" s="75">
        <f>PARAM!$C$26+MAX($G$12-CHOOSE(PARAM!$B$44,MAX(0,AP152*$F$1),0),0)*RATES!$L129/12+$H$12*(PARAM!$D$51/12)*RATES!$N129/100</f>
        <v>9.8279824466589236</v>
      </c>
      <c r="AP153" s="16">
        <f t="shared" si="78"/>
        <v>64.083018954446516</v>
      </c>
      <c r="AQ153" s="15">
        <f t="shared" si="53"/>
        <v>22.170849845882874</v>
      </c>
      <c r="AR153" s="75">
        <f>AQ153*(1-PARAM!$C$27)*$I$13+(MOD($B153,60)=PARAM!$B$56)*($B153&gt;(60-PARAM!$B$56))*HLOOKUP(($B153+PARAM!$B$56)/12,Loyalty,2)*$F$1*MAX(AT152,0)</f>
        <v>18.557001321003963</v>
      </c>
      <c r="AS153" s="75">
        <f>PARAM!$C$26+MAX($G$13-CHOOSE(PARAM!$B$44,MAX(0,AT152*$F$1),0),0)*RATES!$L129/12+$H$13*(PARAM!$D$51/12)*RATES!$N129/100</f>
        <v>9.8279824466589236</v>
      </c>
      <c r="AT153" s="16">
        <f t="shared" si="79"/>
        <v>64.083018954446516</v>
      </c>
      <c r="AU153" s="15">
        <f t="shared" si="54"/>
        <v>22.170849845882874</v>
      </c>
      <c r="AV153" s="75">
        <f>AU153*(1-PARAM!$C$27)*$I$14+(MOD($B153,60)=PARAM!$B$56)*($B153&gt;(60-PARAM!$B$56))*HLOOKUP(($B153+PARAM!$B$56)/12,Loyalty,2)*$F$1*MAX(AX152,0)</f>
        <v>18.557001321003963</v>
      </c>
      <c r="AW153" s="75">
        <f>PARAM!$C$26+MAX($G$14-CHOOSE(PARAM!$B$44,MAX(0,AX152*$F$1),0),0)*RATES!$L129/12+$H$14*(PARAM!$D$51/12)*RATES!$N129/100</f>
        <v>9.8279824466589236</v>
      </c>
      <c r="AX153" s="16">
        <f t="shared" si="80"/>
        <v>64.083018954446516</v>
      </c>
      <c r="AY153" s="15">
        <f t="shared" si="55"/>
        <v>22.170849845882874</v>
      </c>
      <c r="AZ153" s="75">
        <f>AY153*(1-PARAM!$C$27)*$I$15+(MOD($B153,60)=PARAM!$B$56)*($B153&gt;(60-PARAM!$B$56))*HLOOKUP(($B153+PARAM!$B$56)/12,Loyalty,2)*$F$1*MAX(BB152,0)</f>
        <v>18.557001321003963</v>
      </c>
      <c r="BA153" s="75">
        <f>PARAM!$C$26+MAX($G$15-CHOOSE(PARAM!$B$44,MAX(0,BB152*$F$1),0),0)*RATES!$L129/12+$H$15*(PARAM!$D$51/12)*RATES!$N129/100</f>
        <v>9.8279824466589236</v>
      </c>
      <c r="BB153" s="16">
        <f t="shared" si="81"/>
        <v>64.083018954446516</v>
      </c>
      <c r="BC153" s="15">
        <f t="shared" si="56"/>
        <v>22.170849845882874</v>
      </c>
      <c r="BD153" s="75">
        <f>BC153*(1-PARAM!$C$27)*$I$16+(MOD($B153,60)=PARAM!$B$56)*($B153&gt;(60-PARAM!$B$56))*HLOOKUP(($B153+PARAM!$B$56)/12,Loyalty,2)*$F$1*MAX(BF152,0)</f>
        <v>18.557001321003963</v>
      </c>
      <c r="BE153" s="75">
        <f>PARAM!$C$26+MAX($G$16-CHOOSE(PARAM!$B$44,MAX(0,BF152*$F$1),0),0)*RATES!$L129/12+$H$16*(PARAM!$D$51/12)*RATES!$N129/100</f>
        <v>9.8279824466589236</v>
      </c>
      <c r="BF153" s="16">
        <f t="shared" si="82"/>
        <v>64.083018954446516</v>
      </c>
      <c r="BG153" s="15">
        <f t="shared" si="57"/>
        <v>22.170849845882874</v>
      </c>
      <c r="BH153" s="75">
        <f>BG153*(1-PARAM!$C$27)*$I$17+(MOD($B153,60)=PARAM!$B$56)*($B153&gt;(60-PARAM!$B$56))*HLOOKUP(($B153+PARAM!$B$56)/12,Loyalty,2)*$F$1*MAX(BJ152,0)</f>
        <v>18.557001321003963</v>
      </c>
      <c r="BI153" s="75">
        <f>PARAM!$C$26+MAX($G$17-CHOOSE(PARAM!$B$44,MAX(0,BJ152*$F$1),0),0)*RATES!$L129/12+$H$17*(PARAM!$D$51/12)*RATES!$N129/100</f>
        <v>9.8279824466589236</v>
      </c>
      <c r="BJ153" s="16">
        <f t="shared" si="83"/>
        <v>64.083018954446516</v>
      </c>
      <c r="BK153" s="15">
        <f t="shared" si="58"/>
        <v>22.170849845882874</v>
      </c>
      <c r="BL153" s="75">
        <f>BK153*(1-PARAM!$C$27)*$I$18+(MOD($B153,60)=PARAM!$B$56)*($B153&gt;(60-PARAM!$B$56))*HLOOKUP(($B153+PARAM!$B$56)/12,Loyalty,2)*$F$1*MAX(BN152,0)</f>
        <v>18.557001321003963</v>
      </c>
      <c r="BM153" s="75">
        <f>PARAM!$C$26+MAX($G$18-CHOOSE(PARAM!$B$44,MAX(0,BN152*$F$1),0),0)*RATES!$L129/12+$H$18*(PARAM!$D$51/12)*RATES!$N129/100</f>
        <v>9.8279824466589236</v>
      </c>
      <c r="BN153" s="16">
        <f t="shared" si="84"/>
        <v>64.083018954446516</v>
      </c>
      <c r="BO153" s="15">
        <f t="shared" si="59"/>
        <v>22.170849845882874</v>
      </c>
      <c r="BP153" s="75">
        <f>BO153*(1-PARAM!$C$27)*$I$19+(MOD($B153,60)=PARAM!$B$56)*($B153&gt;(60-PARAM!$B$56))*HLOOKUP(($B153+PARAM!$B$56)/12,Loyalty,2)*$F$1*MAX(BR152,0)</f>
        <v>18.557001321003963</v>
      </c>
      <c r="BQ153" s="75">
        <f>PARAM!$C$26+MAX($G$19-CHOOSE(PARAM!$B$44,MAX(0,BR152*$F$1),0),0)*RATES!$L129/12+$H$19*(PARAM!$D$51/12)*RATES!$N129/100</f>
        <v>9.8279824466589236</v>
      </c>
      <c r="BR153" s="16">
        <f t="shared" si="85"/>
        <v>64.083018954446516</v>
      </c>
      <c r="BS153" s="15">
        <f t="shared" si="60"/>
        <v>22.170849845882874</v>
      </c>
      <c r="BT153" s="75">
        <f>BS153*(1-PARAM!$C$27)*$I$20+(MOD($B153,60)=PARAM!$B$56)*($B153&gt;(60-PARAM!$B$56))*HLOOKUP(($B153+PARAM!$B$56)/12,Loyalty,2)*$F$1*MAX(BV152,0)</f>
        <v>18.557001321003963</v>
      </c>
      <c r="BU153" s="75">
        <f>PARAM!$C$26+MAX($G$20-CHOOSE(PARAM!$B$44,MAX(0,BV152*$F$1),0),0)*RATES!$L129/12+$H$20*(PARAM!$D$51/12)*RATES!$N129/100</f>
        <v>9.8279824466589236</v>
      </c>
      <c r="BV153" s="16">
        <f t="shared" si="86"/>
        <v>64.083018954446516</v>
      </c>
      <c r="BW153" s="15">
        <f t="shared" si="61"/>
        <v>22.170849845882874</v>
      </c>
      <c r="BX153" s="75">
        <f>BW153*(1-PARAM!$C$27)*$I$21+(MOD($B153,60)=PARAM!$B$56)*($B153&gt;(60-PARAM!$B$56))*HLOOKUP(($B153+PARAM!$B$56)/12,Loyalty,2)*$F$1*MAX(BZ152,0)</f>
        <v>18.557001321003963</v>
      </c>
      <c r="BY153" s="75">
        <f>PARAM!$C$26+MAX($G$21-CHOOSE(PARAM!$B$44,MAX(0,BZ152*$F$1),0),0)*RATES!$L129/12+$H$21*(PARAM!$D$51/12)*RATES!$N129/100</f>
        <v>9.8279824466589236</v>
      </c>
      <c r="BZ153" s="16">
        <f t="shared" si="87"/>
        <v>64.083018954446516</v>
      </c>
      <c r="CA153" s="15">
        <f t="shared" si="62"/>
        <v>22.170849845882874</v>
      </c>
      <c r="CB153" s="75">
        <f>CA153*(1-PARAM!$C$27)*$I$22+(MOD($B153,60)=PARAM!$B$56)*($B153&gt;(60-PARAM!$B$56))*HLOOKUP(($B153+PARAM!$B$56)/12,Loyalty,2)*$F$1*MAX(CD152,0)</f>
        <v>18.557001321003963</v>
      </c>
      <c r="CC153" s="75">
        <f>PARAM!$C$26+MAX($G$22-CHOOSE(PARAM!$B$44,MAX(0,CD152*$F$1),0),0)*RATES!$L129/12+$H$22*(PARAM!$D$51/12)*RATES!$N129/100</f>
        <v>9.8279824466589236</v>
      </c>
      <c r="CD153" s="16">
        <f t="shared" si="88"/>
        <v>64.083018954446516</v>
      </c>
      <c r="CE153" s="33">
        <f>IF(0=MOD(B153,12/PARAM!$D$51),1,0)</f>
        <v>1</v>
      </c>
      <c r="CF153" s="15">
        <f t="shared" si="63"/>
        <v>0</v>
      </c>
      <c r="CG153" s="75">
        <f>CF153*(1-PARAM!$C$27)*$R$3+(MOD($B153/12,5)=0)*($B153&gt;60)*HLOOKUP($B153/12,Loyalty,2)*$F$1*MAX(CI152,0)</f>
        <v>0</v>
      </c>
      <c r="CH153" s="75">
        <f>PARAM!$C$26+MAX($P$3-CHOOSE(PARAM!$B$44,MAX(0,CI152*$F$1),0),0)*RATES!$L129/12+$Q$3*(PARAM!$D$51/12)*RATES!$N129/100</f>
        <v>9.8333333333333321</v>
      </c>
      <c r="CI153" s="16">
        <f>IF(CI152&gt;0,CI152*PARAM!$C$53,CI152)+CG153-CH153</f>
        <v>-2079.8333333333321</v>
      </c>
      <c r="CJ153" s="15">
        <f t="shared" si="89"/>
        <v>0</v>
      </c>
      <c r="CK153" s="75">
        <f>CJ153*(1-PARAM!$C$27)*$R$4+(MOD($B153/12,5)=0)*($B153&gt;60)*HLOOKUP($B153/12,Loyalty,2)*$F$1*MAX(CM152,0)</f>
        <v>0</v>
      </c>
      <c r="CL153" s="75">
        <f>PARAM!$C$26+MAX($P$4-CHOOSE(PARAM!$B$44,MAX(0,CM152*$F$1),0),0)*RATES!$L129/12+$Q$4*(PARAM!$D$51/12)*RATES!$N129/100</f>
        <v>9.8333333333333321</v>
      </c>
      <c r="CM153" s="16">
        <f>IF(CM152&gt;0,CM152*PARAM!$C$53,CM152)+CK153-CL153</f>
        <v>-2079.8333333333321</v>
      </c>
      <c r="CO153" s="176"/>
    </row>
    <row r="154" spans="1:93" x14ac:dyDescent="0.2">
      <c r="A154" t="b">
        <f t="shared" si="64"/>
        <v>0</v>
      </c>
      <c r="B154" s="33">
        <v>127</v>
      </c>
      <c r="C154" s="15">
        <f t="shared" si="65"/>
        <v>20.081305947392778</v>
      </c>
      <c r="D154" s="75">
        <f>C154*(1-PARAM!$C$27)*$I$3+(MOD($B154,60)=PARAM!$B$56)*($B154&gt;(60-PARAM!$B$56))*HLOOKUP(($B154+PARAM!$B$56)/12,Loyalty,2)*$F$1*MAX(F153,0)</f>
        <v>16.808053077967756</v>
      </c>
      <c r="E154" s="75">
        <f>PARAM!$C$26+MAX($G$3-CHOOSE(PARAM!$B$44,MAX(0,F153*$F$1),0),0)*RATES!$L130/12+$H$3*(PARAM!$D$51/12)*RATES!$N130/100</f>
        <v>9.8333333333333321</v>
      </c>
      <c r="F154" s="16">
        <f t="shared" si="66"/>
        <v>-131.01640978176243</v>
      </c>
      <c r="G154" s="15">
        <f t="shared" si="67"/>
        <v>22.035289406060361</v>
      </c>
      <c r="H154" s="75">
        <f>G154*(1-PARAM!$C$27)*$I$4+(MOD($B154,60)=PARAM!$B$56)*($B154&gt;(60-PARAM!$B$56))*HLOOKUP(($B154+PARAM!$B$56)/12,Loyalty,2)*$F$1*MAX(J153,0)</f>
        <v>18.443537232872522</v>
      </c>
      <c r="I154" s="75">
        <f>PARAM!$C$26+MAX($G$4-CHOOSE(PARAM!$B$44,MAX(0,J153*$F$1),0),0)*RATES!$L130/12+$H$4*(PARAM!$D$51/12)*RATES!$N130/100</f>
        <v>9.8284064270120393</v>
      </c>
      <c r="J154" s="16">
        <f t="shared" si="68"/>
        <v>59.583127233040145</v>
      </c>
      <c r="K154" s="15">
        <f t="shared" si="69"/>
        <v>22.170849845882874</v>
      </c>
      <c r="L154" s="75">
        <f>K154*(1-PARAM!$C$27)*$I$5+(MOD($B154,60)=PARAM!$B$56)*($B154&gt;(60-PARAM!$B$56))*HLOOKUP(($B154+PARAM!$B$56)/12,Loyalty,2)*$F$1*MAX(N153,0)</f>
        <v>18.557001321003963</v>
      </c>
      <c r="M154" s="75">
        <f>PARAM!$C$26+MAX($G$5-CHOOSE(PARAM!$B$44,MAX(0,N153*$F$1),0),0)*RATES!$L130/12+$H$5*(PARAM!$D$51/12)*RATES!$N130/100</f>
        <v>9.8271386415010706</v>
      </c>
      <c r="N154" s="16">
        <f t="shared" si="70"/>
        <v>72.812881633949416</v>
      </c>
      <c r="O154" s="15">
        <f t="shared" si="71"/>
        <v>22.170849845882874</v>
      </c>
      <c r="P154" s="75">
        <f>O154*(1-PARAM!$C$27)*$I$6+(MOD($B154,60)=PARAM!$B$56)*($B154&gt;(60-PARAM!$B$56))*HLOOKUP(($B154+PARAM!$B$56)/12,Loyalty,2)*$F$1*MAX(R153,0)</f>
        <v>18.557001321003963</v>
      </c>
      <c r="Q154" s="75">
        <f>PARAM!$C$26+MAX($G$6-CHOOSE(PARAM!$B$44,MAX(0,R153*$F$1),0),0)*RATES!$L130/12+$H$6*(PARAM!$D$51/12)*RATES!$N130/100</f>
        <v>9.8271386415010706</v>
      </c>
      <c r="R154" s="16">
        <f t="shared" si="72"/>
        <v>72.812881633949416</v>
      </c>
      <c r="S154" s="15">
        <f t="shared" si="47"/>
        <v>22.170849845882874</v>
      </c>
      <c r="T154" s="75">
        <f>S154*(1-PARAM!$C$27)*$I$7+(MOD($B154,60)=PARAM!$B$56)*($B154&gt;(60-PARAM!$B$56))*HLOOKUP(($B154+PARAM!$B$56)/12,Loyalty,2)*$F$1*MAX(V153,0)</f>
        <v>18.557001321003963</v>
      </c>
      <c r="U154" s="75">
        <f>PARAM!$C$26+MAX($G$7-CHOOSE(PARAM!$B$44,MAX(0,V153*$F$1),0),0)*RATES!$L130/12+$H$7*(PARAM!$D$51/12)*RATES!$N130/100</f>
        <v>9.8271386415010706</v>
      </c>
      <c r="V154" s="16">
        <f t="shared" si="73"/>
        <v>72.812881633949416</v>
      </c>
      <c r="W154" s="15">
        <f t="shared" si="48"/>
        <v>22.170849845882874</v>
      </c>
      <c r="X154" s="75">
        <f>W154*(1-PARAM!$C$27)*$I$8+(MOD($B154,60)=PARAM!$B$56)*($B154&gt;(60-PARAM!$B$56))*HLOOKUP(($B154+PARAM!$B$56)/12,Loyalty,2)*$F$1*MAX(Z153,0)</f>
        <v>18.557001321003963</v>
      </c>
      <c r="Y154" s="75">
        <f>PARAM!$C$26+MAX($G$8-CHOOSE(PARAM!$B$44,MAX(0,Z153*$F$1),0),0)*RATES!$L130/12+$H$8*(PARAM!$D$51/12)*RATES!$N130/100</f>
        <v>9.8271386415010706</v>
      </c>
      <c r="Z154" s="16">
        <f t="shared" si="74"/>
        <v>72.812881633949416</v>
      </c>
      <c r="AA154" s="15">
        <f t="shared" si="49"/>
        <v>22.170849845882874</v>
      </c>
      <c r="AB154" s="75">
        <f>AA154*(1-PARAM!$C$27)*$I$9+(MOD($B154,60)=PARAM!$B$56)*($B154&gt;(60-PARAM!$B$56))*HLOOKUP(($B154+PARAM!$B$56)/12,Loyalty,2)*$F$1*MAX(AD153,0)</f>
        <v>18.557001321003963</v>
      </c>
      <c r="AC154" s="75">
        <f>PARAM!$C$26+MAX($G$9-CHOOSE(PARAM!$B$44,MAX(0,AD153*$F$1),0),0)*RATES!$L130/12+$H$9*(PARAM!$D$51/12)*RATES!$N130/100</f>
        <v>9.8271386415010706</v>
      </c>
      <c r="AD154" s="16">
        <f t="shared" si="75"/>
        <v>72.812881633949416</v>
      </c>
      <c r="AE154" s="15">
        <f t="shared" si="50"/>
        <v>22.170849845882874</v>
      </c>
      <c r="AF154" s="75">
        <f>AE154*(1-PARAM!$C$27)*$I$10+(MOD($B154,60)=PARAM!$B$56)*($B154&gt;(60-PARAM!$B$56))*HLOOKUP(($B154+PARAM!$B$56)/12,Loyalty,2)*$F$1*MAX(AH153,0)</f>
        <v>18.557001321003963</v>
      </c>
      <c r="AG154" s="75">
        <f>PARAM!$C$26+MAX($G$10-CHOOSE(PARAM!$B$44,MAX(0,AH153*$F$1),0),0)*RATES!$L130/12+$H$10*(PARAM!$D$51/12)*RATES!$N130/100</f>
        <v>9.8271386415010706</v>
      </c>
      <c r="AH154" s="16">
        <f t="shared" si="76"/>
        <v>72.812881633949416</v>
      </c>
      <c r="AI154" s="15">
        <f t="shared" si="51"/>
        <v>22.170849845882874</v>
      </c>
      <c r="AJ154" s="75">
        <f>AI154*(1-PARAM!$C$27)*$I$11+(MOD($B154,60)=PARAM!$B$56)*($B154&gt;(60-PARAM!$B$56))*HLOOKUP(($B154+PARAM!$B$56)/12,Loyalty,2)*$F$1*MAX(AL153,0)</f>
        <v>18.557001321003963</v>
      </c>
      <c r="AK154" s="75">
        <f>PARAM!$C$26+MAX($G$11-CHOOSE(PARAM!$B$44,MAX(0,AL153*$F$1),0),0)*RATES!$L130/12+$H$11*(PARAM!$D$51/12)*RATES!$N130/100</f>
        <v>9.8271386415010706</v>
      </c>
      <c r="AL154" s="16">
        <f t="shared" si="77"/>
        <v>72.812881633949416</v>
      </c>
      <c r="AM154" s="15">
        <f t="shared" si="52"/>
        <v>22.170849845882874</v>
      </c>
      <c r="AN154" s="75">
        <f>AM154*(1-PARAM!$C$27)*$I$12+(MOD($B154,60)=PARAM!$B$56)*($B154&gt;(60-PARAM!$B$56))*HLOOKUP(($B154+PARAM!$B$56)/12,Loyalty,2)*$F$1*MAX(AP153,0)</f>
        <v>18.557001321003963</v>
      </c>
      <c r="AO154" s="75">
        <f>PARAM!$C$26+MAX($G$12-CHOOSE(PARAM!$B$44,MAX(0,AP153*$F$1),0),0)*RATES!$L130/12+$H$12*(PARAM!$D$51/12)*RATES!$N130/100</f>
        <v>9.8271386415010706</v>
      </c>
      <c r="AP154" s="16">
        <f t="shared" si="78"/>
        <v>72.812881633949416</v>
      </c>
      <c r="AQ154" s="15">
        <f t="shared" si="53"/>
        <v>22.170849845882874</v>
      </c>
      <c r="AR154" s="75">
        <f>AQ154*(1-PARAM!$C$27)*$I$13+(MOD($B154,60)=PARAM!$B$56)*($B154&gt;(60-PARAM!$B$56))*HLOOKUP(($B154+PARAM!$B$56)/12,Loyalty,2)*$F$1*MAX(AT153,0)</f>
        <v>18.557001321003963</v>
      </c>
      <c r="AS154" s="75">
        <f>PARAM!$C$26+MAX($G$13-CHOOSE(PARAM!$B$44,MAX(0,AT153*$F$1),0),0)*RATES!$L130/12+$H$13*(PARAM!$D$51/12)*RATES!$N130/100</f>
        <v>9.8271386415010706</v>
      </c>
      <c r="AT154" s="16">
        <f t="shared" si="79"/>
        <v>72.812881633949416</v>
      </c>
      <c r="AU154" s="15">
        <f t="shared" si="54"/>
        <v>22.170849845882874</v>
      </c>
      <c r="AV154" s="75">
        <f>AU154*(1-PARAM!$C$27)*$I$14+(MOD($B154,60)=PARAM!$B$56)*($B154&gt;(60-PARAM!$B$56))*HLOOKUP(($B154+PARAM!$B$56)/12,Loyalty,2)*$F$1*MAX(AX153,0)</f>
        <v>18.557001321003963</v>
      </c>
      <c r="AW154" s="75">
        <f>PARAM!$C$26+MAX($G$14-CHOOSE(PARAM!$B$44,MAX(0,AX153*$F$1),0),0)*RATES!$L130/12+$H$14*(PARAM!$D$51/12)*RATES!$N130/100</f>
        <v>9.8271386415010706</v>
      </c>
      <c r="AX154" s="16">
        <f t="shared" si="80"/>
        <v>72.812881633949416</v>
      </c>
      <c r="AY154" s="15">
        <f t="shared" si="55"/>
        <v>22.170849845882874</v>
      </c>
      <c r="AZ154" s="75">
        <f>AY154*(1-PARAM!$C$27)*$I$15+(MOD($B154,60)=PARAM!$B$56)*($B154&gt;(60-PARAM!$B$56))*HLOOKUP(($B154+PARAM!$B$56)/12,Loyalty,2)*$F$1*MAX(BB153,0)</f>
        <v>18.557001321003963</v>
      </c>
      <c r="BA154" s="75">
        <f>PARAM!$C$26+MAX($G$15-CHOOSE(PARAM!$B$44,MAX(0,BB153*$F$1),0),0)*RATES!$L130/12+$H$15*(PARAM!$D$51/12)*RATES!$N130/100</f>
        <v>9.8271386415010706</v>
      </c>
      <c r="BB154" s="16">
        <f t="shared" si="81"/>
        <v>72.812881633949416</v>
      </c>
      <c r="BC154" s="15">
        <f t="shared" si="56"/>
        <v>22.170849845882874</v>
      </c>
      <c r="BD154" s="75">
        <f>BC154*(1-PARAM!$C$27)*$I$16+(MOD($B154,60)=PARAM!$B$56)*($B154&gt;(60-PARAM!$B$56))*HLOOKUP(($B154+PARAM!$B$56)/12,Loyalty,2)*$F$1*MAX(BF153,0)</f>
        <v>18.557001321003963</v>
      </c>
      <c r="BE154" s="75">
        <f>PARAM!$C$26+MAX($G$16-CHOOSE(PARAM!$B$44,MAX(0,BF153*$F$1),0),0)*RATES!$L130/12+$H$16*(PARAM!$D$51/12)*RATES!$N130/100</f>
        <v>9.8271386415010706</v>
      </c>
      <c r="BF154" s="16">
        <f t="shared" si="82"/>
        <v>72.812881633949416</v>
      </c>
      <c r="BG154" s="15">
        <f t="shared" si="57"/>
        <v>22.170849845882874</v>
      </c>
      <c r="BH154" s="75">
        <f>BG154*(1-PARAM!$C$27)*$I$17+(MOD($B154,60)=PARAM!$B$56)*($B154&gt;(60-PARAM!$B$56))*HLOOKUP(($B154+PARAM!$B$56)/12,Loyalty,2)*$F$1*MAX(BJ153,0)</f>
        <v>18.557001321003963</v>
      </c>
      <c r="BI154" s="75">
        <f>PARAM!$C$26+MAX($G$17-CHOOSE(PARAM!$B$44,MAX(0,BJ153*$F$1),0),0)*RATES!$L130/12+$H$17*(PARAM!$D$51/12)*RATES!$N130/100</f>
        <v>9.8271386415010706</v>
      </c>
      <c r="BJ154" s="16">
        <f t="shared" si="83"/>
        <v>72.812881633949416</v>
      </c>
      <c r="BK154" s="15">
        <f t="shared" si="58"/>
        <v>22.170849845882874</v>
      </c>
      <c r="BL154" s="75">
        <f>BK154*(1-PARAM!$C$27)*$I$18+(MOD($B154,60)=PARAM!$B$56)*($B154&gt;(60-PARAM!$B$56))*HLOOKUP(($B154+PARAM!$B$56)/12,Loyalty,2)*$F$1*MAX(BN153,0)</f>
        <v>18.557001321003963</v>
      </c>
      <c r="BM154" s="75">
        <f>PARAM!$C$26+MAX($G$18-CHOOSE(PARAM!$B$44,MAX(0,BN153*$F$1),0),0)*RATES!$L130/12+$H$18*(PARAM!$D$51/12)*RATES!$N130/100</f>
        <v>9.8271386415010706</v>
      </c>
      <c r="BN154" s="16">
        <f t="shared" si="84"/>
        <v>72.812881633949416</v>
      </c>
      <c r="BO154" s="15">
        <f t="shared" si="59"/>
        <v>22.170849845882874</v>
      </c>
      <c r="BP154" s="75">
        <f>BO154*(1-PARAM!$C$27)*$I$19+(MOD($B154,60)=PARAM!$B$56)*($B154&gt;(60-PARAM!$B$56))*HLOOKUP(($B154+PARAM!$B$56)/12,Loyalty,2)*$F$1*MAX(BR153,0)</f>
        <v>18.557001321003963</v>
      </c>
      <c r="BQ154" s="75">
        <f>PARAM!$C$26+MAX($G$19-CHOOSE(PARAM!$B$44,MAX(0,BR153*$F$1),0),0)*RATES!$L130/12+$H$19*(PARAM!$D$51/12)*RATES!$N130/100</f>
        <v>9.8271386415010706</v>
      </c>
      <c r="BR154" s="16">
        <f t="shared" si="85"/>
        <v>72.812881633949416</v>
      </c>
      <c r="BS154" s="15">
        <f t="shared" si="60"/>
        <v>22.170849845882874</v>
      </c>
      <c r="BT154" s="75">
        <f>BS154*(1-PARAM!$C$27)*$I$20+(MOD($B154,60)=PARAM!$B$56)*($B154&gt;(60-PARAM!$B$56))*HLOOKUP(($B154+PARAM!$B$56)/12,Loyalty,2)*$F$1*MAX(BV153,0)</f>
        <v>18.557001321003963</v>
      </c>
      <c r="BU154" s="75">
        <f>PARAM!$C$26+MAX($G$20-CHOOSE(PARAM!$B$44,MAX(0,BV153*$F$1),0),0)*RATES!$L130/12+$H$20*(PARAM!$D$51/12)*RATES!$N130/100</f>
        <v>9.8271386415010706</v>
      </c>
      <c r="BV154" s="16">
        <f t="shared" si="86"/>
        <v>72.812881633949416</v>
      </c>
      <c r="BW154" s="15">
        <f t="shared" si="61"/>
        <v>22.170849845882874</v>
      </c>
      <c r="BX154" s="75">
        <f>BW154*(1-PARAM!$C$27)*$I$21+(MOD($B154,60)=PARAM!$B$56)*($B154&gt;(60-PARAM!$B$56))*HLOOKUP(($B154+PARAM!$B$56)/12,Loyalty,2)*$F$1*MAX(BZ153,0)</f>
        <v>18.557001321003963</v>
      </c>
      <c r="BY154" s="75">
        <f>PARAM!$C$26+MAX($G$21-CHOOSE(PARAM!$B$44,MAX(0,BZ153*$F$1),0),0)*RATES!$L130/12+$H$21*(PARAM!$D$51/12)*RATES!$N130/100</f>
        <v>9.8271386415010706</v>
      </c>
      <c r="BZ154" s="16">
        <f t="shared" si="87"/>
        <v>72.812881633949416</v>
      </c>
      <c r="CA154" s="15">
        <f t="shared" si="62"/>
        <v>22.170849845882874</v>
      </c>
      <c r="CB154" s="75">
        <f>CA154*(1-PARAM!$C$27)*$I$22+(MOD($B154,60)=PARAM!$B$56)*($B154&gt;(60-PARAM!$B$56))*HLOOKUP(($B154+PARAM!$B$56)/12,Loyalty,2)*$F$1*MAX(CD153,0)</f>
        <v>18.557001321003963</v>
      </c>
      <c r="CC154" s="75">
        <f>PARAM!$C$26+MAX($G$22-CHOOSE(PARAM!$B$44,MAX(0,CD153*$F$1),0),0)*RATES!$L130/12+$H$22*(PARAM!$D$51/12)*RATES!$N130/100</f>
        <v>9.8271386415010706</v>
      </c>
      <c r="CD154" s="16">
        <f t="shared" si="88"/>
        <v>72.812881633949416</v>
      </c>
      <c r="CE154" s="33">
        <f>IF(0=MOD(B154,12/PARAM!$D$51),1,0)</f>
        <v>1</v>
      </c>
      <c r="CF154" s="15">
        <f t="shared" si="63"/>
        <v>0</v>
      </c>
      <c r="CG154" s="75">
        <f>CF154*(1-PARAM!$C$27)*$R$3+(MOD($B154/12,5)=0)*($B154&gt;60)*HLOOKUP($B154/12,Loyalty,2)*$F$1*MAX(CI153,0)</f>
        <v>0</v>
      </c>
      <c r="CH154" s="75">
        <f>PARAM!$C$26+MAX($P$3-CHOOSE(PARAM!$B$44,MAX(0,CI153*$F$1),0),0)*RATES!$L130/12+$Q$3*(PARAM!$D$51/12)*RATES!$N130/100</f>
        <v>9.8333333333333321</v>
      </c>
      <c r="CI154" s="16">
        <f>IF(CI153&gt;0,CI153*PARAM!$C$53,CI153)+CG154-CH154</f>
        <v>-2089.6666666666656</v>
      </c>
      <c r="CJ154" s="15">
        <f t="shared" si="89"/>
        <v>0</v>
      </c>
      <c r="CK154" s="75">
        <f>CJ154*(1-PARAM!$C$27)*$R$4+(MOD($B154/12,5)=0)*($B154&gt;60)*HLOOKUP($B154/12,Loyalty,2)*$F$1*MAX(CM153,0)</f>
        <v>0</v>
      </c>
      <c r="CL154" s="75">
        <f>PARAM!$C$26+MAX($P$4-CHOOSE(PARAM!$B$44,MAX(0,CM153*$F$1),0),0)*RATES!$L130/12+$Q$4*(PARAM!$D$51/12)*RATES!$N130/100</f>
        <v>9.8333333333333321</v>
      </c>
      <c r="CM154" s="16">
        <f>IF(CM153&gt;0,CM153*PARAM!$C$53,CM153)+CK154-CL154</f>
        <v>-2089.6666666666656</v>
      </c>
      <c r="CO154" s="176"/>
    </row>
    <row r="155" spans="1:93" x14ac:dyDescent="0.2">
      <c r="A155" t="b">
        <f t="shared" si="64"/>
        <v>0</v>
      </c>
      <c r="B155" s="33">
        <v>128</v>
      </c>
      <c r="C155" s="15">
        <f t="shared" si="65"/>
        <v>20.081305947392778</v>
      </c>
      <c r="D155" s="75">
        <f>C155*(1-PARAM!$C$27)*$I$3+(MOD($B155,60)=PARAM!$B$56)*($B155&gt;(60-PARAM!$B$56))*HLOOKUP(($B155+PARAM!$B$56)/12,Loyalty,2)*$F$1*MAX(F154,0)</f>
        <v>16.808053077967756</v>
      </c>
      <c r="E155" s="75">
        <f>PARAM!$C$26+MAX($G$3-CHOOSE(PARAM!$B$44,MAX(0,F154*$F$1),0),0)*RATES!$L131/12+$H$3*(PARAM!$D$51/12)*RATES!$N131/100</f>
        <v>9.8333333333333321</v>
      </c>
      <c r="F155" s="16">
        <f t="shared" si="66"/>
        <v>-124.04169003712801</v>
      </c>
      <c r="G155" s="15">
        <f t="shared" si="67"/>
        <v>22.035289406060361</v>
      </c>
      <c r="H155" s="75">
        <f>G155*(1-PARAM!$C$27)*$I$4+(MOD($B155,60)=PARAM!$B$56)*($B155&gt;(60-PARAM!$B$56))*HLOOKUP(($B155+PARAM!$B$56)/12,Loyalty,2)*$F$1*MAX(J154,0)</f>
        <v>18.443537232872522</v>
      </c>
      <c r="I155" s="75">
        <f>PARAM!$C$26+MAX($G$4-CHOOSE(PARAM!$B$44,MAX(0,J154*$F$1),0),0)*RATES!$L131/12+$H$4*(PARAM!$D$51/12)*RATES!$N131/100</f>
        <v>9.8275736310341397</v>
      </c>
      <c r="J155" s="16">
        <f t="shared" si="68"/>
        <v>68.199090834878518</v>
      </c>
      <c r="K155" s="15">
        <f t="shared" si="69"/>
        <v>22.170849845882874</v>
      </c>
      <c r="L155" s="75">
        <f>K155*(1-PARAM!$C$27)*$I$5+(MOD($B155,60)=PARAM!$B$56)*($B155&gt;(60-PARAM!$B$56))*HLOOKUP(($B155+PARAM!$B$56)/12,Loyalty,2)*$F$1*MAX(N154,0)</f>
        <v>18.557001321003963</v>
      </c>
      <c r="M155" s="75">
        <f>PARAM!$C$26+MAX($G$5-CHOOSE(PARAM!$B$44,MAX(0,N154*$F$1),0),0)*RATES!$L131/12+$H$5*(PARAM!$D$51/12)*RATES!$N131/100</f>
        <v>9.8262947547753861</v>
      </c>
      <c r="N155" s="16">
        <f t="shared" si="70"/>
        <v>81.543588200177993</v>
      </c>
      <c r="O155" s="15">
        <f t="shared" si="71"/>
        <v>22.170849845882874</v>
      </c>
      <c r="P155" s="75">
        <f>O155*(1-PARAM!$C$27)*$I$6+(MOD($B155,60)=PARAM!$B$56)*($B155&gt;(60-PARAM!$B$56))*HLOOKUP(($B155+PARAM!$B$56)/12,Loyalty,2)*$F$1*MAX(R154,0)</f>
        <v>18.557001321003963</v>
      </c>
      <c r="Q155" s="75">
        <f>PARAM!$C$26+MAX($G$6-CHOOSE(PARAM!$B$44,MAX(0,R154*$F$1),0),0)*RATES!$L131/12+$H$6*(PARAM!$D$51/12)*RATES!$N131/100</f>
        <v>9.8262947547753861</v>
      </c>
      <c r="R155" s="16">
        <f t="shared" si="72"/>
        <v>81.543588200177993</v>
      </c>
      <c r="S155" s="15">
        <f t="shared" ref="S155:S218" si="90">$H$7*$CE155</f>
        <v>22.170849845882874</v>
      </c>
      <c r="T155" s="75">
        <f>S155*(1-PARAM!$C$27)*$I$7+(MOD($B155,60)=PARAM!$B$56)*($B155&gt;(60-PARAM!$B$56))*HLOOKUP(($B155+PARAM!$B$56)/12,Loyalty,2)*$F$1*MAX(V154,0)</f>
        <v>18.557001321003963</v>
      </c>
      <c r="U155" s="75">
        <f>PARAM!$C$26+MAX($G$7-CHOOSE(PARAM!$B$44,MAX(0,V154*$F$1),0),0)*RATES!$L131/12+$H$7*(PARAM!$D$51/12)*RATES!$N131/100</f>
        <v>9.8262947547753861</v>
      </c>
      <c r="V155" s="16">
        <f t="shared" si="73"/>
        <v>81.543588200177993</v>
      </c>
      <c r="W155" s="15">
        <f t="shared" ref="W155:W218" si="91">$H$8*$CE155</f>
        <v>22.170849845882874</v>
      </c>
      <c r="X155" s="75">
        <f>W155*(1-PARAM!$C$27)*$I$8+(MOD($B155,60)=PARAM!$B$56)*($B155&gt;(60-PARAM!$B$56))*HLOOKUP(($B155+PARAM!$B$56)/12,Loyalty,2)*$F$1*MAX(Z154,0)</f>
        <v>18.557001321003963</v>
      </c>
      <c r="Y155" s="75">
        <f>PARAM!$C$26+MAX($G$8-CHOOSE(PARAM!$B$44,MAX(0,Z154*$F$1),0),0)*RATES!$L131/12+$H$8*(PARAM!$D$51/12)*RATES!$N131/100</f>
        <v>9.8262947547753861</v>
      </c>
      <c r="Z155" s="16">
        <f t="shared" si="74"/>
        <v>81.543588200177993</v>
      </c>
      <c r="AA155" s="15">
        <f t="shared" ref="AA155:AA218" si="92">$H$9*$CE155</f>
        <v>22.170849845882874</v>
      </c>
      <c r="AB155" s="75">
        <f>AA155*(1-PARAM!$C$27)*$I$9+(MOD($B155,60)=PARAM!$B$56)*($B155&gt;(60-PARAM!$B$56))*HLOOKUP(($B155+PARAM!$B$56)/12,Loyalty,2)*$F$1*MAX(AD154,0)</f>
        <v>18.557001321003963</v>
      </c>
      <c r="AC155" s="75">
        <f>PARAM!$C$26+MAX($G$9-CHOOSE(PARAM!$B$44,MAX(0,AD154*$F$1),0),0)*RATES!$L131/12+$H$9*(PARAM!$D$51/12)*RATES!$N131/100</f>
        <v>9.8262947547753861</v>
      </c>
      <c r="AD155" s="16">
        <f t="shared" si="75"/>
        <v>81.543588200177993</v>
      </c>
      <c r="AE155" s="15">
        <f t="shared" ref="AE155:AE218" si="93">$H$10*$CE155</f>
        <v>22.170849845882874</v>
      </c>
      <c r="AF155" s="75">
        <f>AE155*(1-PARAM!$C$27)*$I$10+(MOD($B155,60)=PARAM!$B$56)*($B155&gt;(60-PARAM!$B$56))*HLOOKUP(($B155+PARAM!$B$56)/12,Loyalty,2)*$F$1*MAX(AH154,0)</f>
        <v>18.557001321003963</v>
      </c>
      <c r="AG155" s="75">
        <f>PARAM!$C$26+MAX($G$10-CHOOSE(PARAM!$B$44,MAX(0,AH154*$F$1),0),0)*RATES!$L131/12+$H$10*(PARAM!$D$51/12)*RATES!$N131/100</f>
        <v>9.8262947547753861</v>
      </c>
      <c r="AH155" s="16">
        <f t="shared" si="76"/>
        <v>81.543588200177993</v>
      </c>
      <c r="AI155" s="15">
        <f t="shared" ref="AI155:AI218" si="94">$H$11*$CE155</f>
        <v>22.170849845882874</v>
      </c>
      <c r="AJ155" s="75">
        <f>AI155*(1-PARAM!$C$27)*$I$11+(MOD($B155,60)=PARAM!$B$56)*($B155&gt;(60-PARAM!$B$56))*HLOOKUP(($B155+PARAM!$B$56)/12,Loyalty,2)*$F$1*MAX(AL154,0)</f>
        <v>18.557001321003963</v>
      </c>
      <c r="AK155" s="75">
        <f>PARAM!$C$26+MAX($G$11-CHOOSE(PARAM!$B$44,MAX(0,AL154*$F$1),0),0)*RATES!$L131/12+$H$11*(PARAM!$D$51/12)*RATES!$N131/100</f>
        <v>9.8262947547753861</v>
      </c>
      <c r="AL155" s="16">
        <f t="shared" si="77"/>
        <v>81.543588200177993</v>
      </c>
      <c r="AM155" s="15">
        <f t="shared" ref="AM155:AM218" si="95">$H$12*$CE155</f>
        <v>22.170849845882874</v>
      </c>
      <c r="AN155" s="75">
        <f>AM155*(1-PARAM!$C$27)*$I$12+(MOD($B155,60)=PARAM!$B$56)*($B155&gt;(60-PARAM!$B$56))*HLOOKUP(($B155+PARAM!$B$56)/12,Loyalty,2)*$F$1*MAX(AP154,0)</f>
        <v>18.557001321003963</v>
      </c>
      <c r="AO155" s="75">
        <f>PARAM!$C$26+MAX($G$12-CHOOSE(PARAM!$B$44,MAX(0,AP154*$F$1),0),0)*RATES!$L131/12+$H$12*(PARAM!$D$51/12)*RATES!$N131/100</f>
        <v>9.8262947547753861</v>
      </c>
      <c r="AP155" s="16">
        <f t="shared" si="78"/>
        <v>81.543588200177993</v>
      </c>
      <c r="AQ155" s="15">
        <f t="shared" ref="AQ155:AQ218" si="96">$H$13*$CE155</f>
        <v>22.170849845882874</v>
      </c>
      <c r="AR155" s="75">
        <f>AQ155*(1-PARAM!$C$27)*$I$13+(MOD($B155,60)=PARAM!$B$56)*($B155&gt;(60-PARAM!$B$56))*HLOOKUP(($B155+PARAM!$B$56)/12,Loyalty,2)*$F$1*MAX(AT154,0)</f>
        <v>18.557001321003963</v>
      </c>
      <c r="AS155" s="75">
        <f>PARAM!$C$26+MAX($G$13-CHOOSE(PARAM!$B$44,MAX(0,AT154*$F$1),0),0)*RATES!$L131/12+$H$13*(PARAM!$D$51/12)*RATES!$N131/100</f>
        <v>9.8262947547753861</v>
      </c>
      <c r="AT155" s="16">
        <f t="shared" si="79"/>
        <v>81.543588200177993</v>
      </c>
      <c r="AU155" s="15">
        <f t="shared" ref="AU155:AU218" si="97">$H$14*$CE155</f>
        <v>22.170849845882874</v>
      </c>
      <c r="AV155" s="75">
        <f>AU155*(1-PARAM!$C$27)*$I$14+(MOD($B155,60)=PARAM!$B$56)*($B155&gt;(60-PARAM!$B$56))*HLOOKUP(($B155+PARAM!$B$56)/12,Loyalty,2)*$F$1*MAX(AX154,0)</f>
        <v>18.557001321003963</v>
      </c>
      <c r="AW155" s="75">
        <f>PARAM!$C$26+MAX($G$14-CHOOSE(PARAM!$B$44,MAX(0,AX154*$F$1),0),0)*RATES!$L131/12+$H$14*(PARAM!$D$51/12)*RATES!$N131/100</f>
        <v>9.8262947547753861</v>
      </c>
      <c r="AX155" s="16">
        <f t="shared" si="80"/>
        <v>81.543588200177993</v>
      </c>
      <c r="AY155" s="15">
        <f t="shared" ref="AY155:AY218" si="98">$H$15*$CE155</f>
        <v>22.170849845882874</v>
      </c>
      <c r="AZ155" s="75">
        <f>AY155*(1-PARAM!$C$27)*$I$15+(MOD($B155,60)=PARAM!$B$56)*($B155&gt;(60-PARAM!$B$56))*HLOOKUP(($B155+PARAM!$B$56)/12,Loyalty,2)*$F$1*MAX(BB154,0)</f>
        <v>18.557001321003963</v>
      </c>
      <c r="BA155" s="75">
        <f>PARAM!$C$26+MAX($G$15-CHOOSE(PARAM!$B$44,MAX(0,BB154*$F$1),0),0)*RATES!$L131/12+$H$15*(PARAM!$D$51/12)*RATES!$N131/100</f>
        <v>9.8262947547753861</v>
      </c>
      <c r="BB155" s="16">
        <f t="shared" si="81"/>
        <v>81.543588200177993</v>
      </c>
      <c r="BC155" s="15">
        <f t="shared" ref="BC155:BC218" si="99">$H$16*$CE155</f>
        <v>22.170849845882874</v>
      </c>
      <c r="BD155" s="75">
        <f>BC155*(1-PARAM!$C$27)*$I$16+(MOD($B155,60)=PARAM!$B$56)*($B155&gt;(60-PARAM!$B$56))*HLOOKUP(($B155+PARAM!$B$56)/12,Loyalty,2)*$F$1*MAX(BF154,0)</f>
        <v>18.557001321003963</v>
      </c>
      <c r="BE155" s="75">
        <f>PARAM!$C$26+MAX($G$16-CHOOSE(PARAM!$B$44,MAX(0,BF154*$F$1),0),0)*RATES!$L131/12+$H$16*(PARAM!$D$51/12)*RATES!$N131/100</f>
        <v>9.8262947547753861</v>
      </c>
      <c r="BF155" s="16">
        <f t="shared" si="82"/>
        <v>81.543588200177993</v>
      </c>
      <c r="BG155" s="15">
        <f t="shared" ref="BG155:BG218" si="100">$H$17*$CE155</f>
        <v>22.170849845882874</v>
      </c>
      <c r="BH155" s="75">
        <f>BG155*(1-PARAM!$C$27)*$I$17+(MOD($B155,60)=PARAM!$B$56)*($B155&gt;(60-PARAM!$B$56))*HLOOKUP(($B155+PARAM!$B$56)/12,Loyalty,2)*$F$1*MAX(BJ154,0)</f>
        <v>18.557001321003963</v>
      </c>
      <c r="BI155" s="75">
        <f>PARAM!$C$26+MAX($G$17-CHOOSE(PARAM!$B$44,MAX(0,BJ154*$F$1),0),0)*RATES!$L131/12+$H$17*(PARAM!$D$51/12)*RATES!$N131/100</f>
        <v>9.8262947547753861</v>
      </c>
      <c r="BJ155" s="16">
        <f t="shared" si="83"/>
        <v>81.543588200177993</v>
      </c>
      <c r="BK155" s="15">
        <f t="shared" ref="BK155:BK218" si="101">$H$18*$CE155</f>
        <v>22.170849845882874</v>
      </c>
      <c r="BL155" s="75">
        <f>BK155*(1-PARAM!$C$27)*$I$18+(MOD($B155,60)=PARAM!$B$56)*($B155&gt;(60-PARAM!$B$56))*HLOOKUP(($B155+PARAM!$B$56)/12,Loyalty,2)*$F$1*MAX(BN154,0)</f>
        <v>18.557001321003963</v>
      </c>
      <c r="BM155" s="75">
        <f>PARAM!$C$26+MAX($G$18-CHOOSE(PARAM!$B$44,MAX(0,BN154*$F$1),0),0)*RATES!$L131/12+$H$18*(PARAM!$D$51/12)*RATES!$N131/100</f>
        <v>9.8262947547753861</v>
      </c>
      <c r="BN155" s="16">
        <f t="shared" si="84"/>
        <v>81.543588200177993</v>
      </c>
      <c r="BO155" s="15">
        <f t="shared" ref="BO155:BO218" si="102">$H$19*$CE155</f>
        <v>22.170849845882874</v>
      </c>
      <c r="BP155" s="75">
        <f>BO155*(1-PARAM!$C$27)*$I$19+(MOD($B155,60)=PARAM!$B$56)*($B155&gt;(60-PARAM!$B$56))*HLOOKUP(($B155+PARAM!$B$56)/12,Loyalty,2)*$F$1*MAX(BR154,0)</f>
        <v>18.557001321003963</v>
      </c>
      <c r="BQ155" s="75">
        <f>PARAM!$C$26+MAX($G$19-CHOOSE(PARAM!$B$44,MAX(0,BR154*$F$1),0),0)*RATES!$L131/12+$H$19*(PARAM!$D$51/12)*RATES!$N131/100</f>
        <v>9.8262947547753861</v>
      </c>
      <c r="BR155" s="16">
        <f t="shared" si="85"/>
        <v>81.543588200177993</v>
      </c>
      <c r="BS155" s="15">
        <f t="shared" ref="BS155:BS218" si="103">$H$20*$CE155</f>
        <v>22.170849845882874</v>
      </c>
      <c r="BT155" s="75">
        <f>BS155*(1-PARAM!$C$27)*$I$20+(MOD($B155,60)=PARAM!$B$56)*($B155&gt;(60-PARAM!$B$56))*HLOOKUP(($B155+PARAM!$B$56)/12,Loyalty,2)*$F$1*MAX(BV154,0)</f>
        <v>18.557001321003963</v>
      </c>
      <c r="BU155" s="75">
        <f>PARAM!$C$26+MAX($G$20-CHOOSE(PARAM!$B$44,MAX(0,BV154*$F$1),0),0)*RATES!$L131/12+$H$20*(PARAM!$D$51/12)*RATES!$N131/100</f>
        <v>9.8262947547753861</v>
      </c>
      <c r="BV155" s="16">
        <f t="shared" si="86"/>
        <v>81.543588200177993</v>
      </c>
      <c r="BW155" s="15">
        <f t="shared" ref="BW155:BW218" si="104">$H$21*$CE155</f>
        <v>22.170849845882874</v>
      </c>
      <c r="BX155" s="75">
        <f>BW155*(1-PARAM!$C$27)*$I$21+(MOD($B155,60)=PARAM!$B$56)*($B155&gt;(60-PARAM!$B$56))*HLOOKUP(($B155+PARAM!$B$56)/12,Loyalty,2)*$F$1*MAX(BZ154,0)</f>
        <v>18.557001321003963</v>
      </c>
      <c r="BY155" s="75">
        <f>PARAM!$C$26+MAX($G$21-CHOOSE(PARAM!$B$44,MAX(0,BZ154*$F$1),0),0)*RATES!$L131/12+$H$21*(PARAM!$D$51/12)*RATES!$N131/100</f>
        <v>9.8262947547753861</v>
      </c>
      <c r="BZ155" s="16">
        <f t="shared" si="87"/>
        <v>81.543588200177993</v>
      </c>
      <c r="CA155" s="15">
        <f t="shared" ref="CA155:CA218" si="105">$H$22*$CE155</f>
        <v>22.170849845882874</v>
      </c>
      <c r="CB155" s="75">
        <f>CA155*(1-PARAM!$C$27)*$I$22+(MOD($B155,60)=PARAM!$B$56)*($B155&gt;(60-PARAM!$B$56))*HLOOKUP(($B155+PARAM!$B$56)/12,Loyalty,2)*$F$1*MAX(CD154,0)</f>
        <v>18.557001321003963</v>
      </c>
      <c r="CC155" s="75">
        <f>PARAM!$C$26+MAX($G$22-CHOOSE(PARAM!$B$44,MAX(0,CD154*$F$1),0),0)*RATES!$L131/12+$H$22*(PARAM!$D$51/12)*RATES!$N131/100</f>
        <v>9.8262947547753861</v>
      </c>
      <c r="CD155" s="16">
        <f t="shared" si="88"/>
        <v>81.543588200177993</v>
      </c>
      <c r="CE155" s="33">
        <f>IF(0=MOD(B155,12/PARAM!$D$51),1,0)</f>
        <v>1</v>
      </c>
      <c r="CF155" s="15">
        <f t="shared" ref="CF155:CF218" si="106">$Q$3*CE155</f>
        <v>0</v>
      </c>
      <c r="CG155" s="75">
        <f>CF155*(1-PARAM!$C$27)*$R$3+(MOD($B155/12,5)=0)*($B155&gt;60)*HLOOKUP($B155/12,Loyalty,2)*$F$1*MAX(CI154,0)</f>
        <v>0</v>
      </c>
      <c r="CH155" s="75">
        <f>PARAM!$C$26+MAX($P$3-CHOOSE(PARAM!$B$44,MAX(0,CI154*$F$1),0),0)*RATES!$L131/12+$Q$3*(PARAM!$D$51/12)*RATES!$N131/100</f>
        <v>9.8333333333333321</v>
      </c>
      <c r="CI155" s="16">
        <f>IF(CI154&gt;0,CI154*PARAM!$C$53,CI154)+CG155-CH155</f>
        <v>-2099.4999999999991</v>
      </c>
      <c r="CJ155" s="15">
        <f t="shared" si="89"/>
        <v>0</v>
      </c>
      <c r="CK155" s="75">
        <f>CJ155*(1-PARAM!$C$27)*$R$4+(MOD($B155/12,5)=0)*($B155&gt;60)*HLOOKUP($B155/12,Loyalty,2)*$F$1*MAX(CM154,0)</f>
        <v>0</v>
      </c>
      <c r="CL155" s="75">
        <f>PARAM!$C$26+MAX($P$4-CHOOSE(PARAM!$B$44,MAX(0,CM154*$F$1),0),0)*RATES!$L131/12+$Q$4*(PARAM!$D$51/12)*RATES!$N131/100</f>
        <v>9.8333333333333321</v>
      </c>
      <c r="CM155" s="16">
        <f>IF(CM154&gt;0,CM154*PARAM!$C$53,CM154)+CK155-CL155</f>
        <v>-2099.4999999999991</v>
      </c>
      <c r="CO155" s="176"/>
    </row>
    <row r="156" spans="1:93" x14ac:dyDescent="0.2">
      <c r="A156" t="b">
        <f t="shared" ref="A156:A219" si="107">F156&gt;0</f>
        <v>0</v>
      </c>
      <c r="B156" s="33">
        <v>129</v>
      </c>
      <c r="C156" s="15">
        <f t="shared" ref="C156:C219" si="108">$H$3*$CE156</f>
        <v>20.081305947392778</v>
      </c>
      <c r="D156" s="75">
        <f>C156*(1-PARAM!$C$27)*$I$3+(MOD($B156,60)=PARAM!$B$56)*($B156&gt;(60-PARAM!$B$56))*HLOOKUP(($B156+PARAM!$B$56)/12,Loyalty,2)*$F$1*MAX(F155,0)</f>
        <v>16.808053077967756</v>
      </c>
      <c r="E156" s="75">
        <f>PARAM!$C$26+MAX($G$3-CHOOSE(PARAM!$B$44,MAX(0,F155*$F$1),0),0)*RATES!$L132/12+$H$3*(PARAM!$D$51/12)*RATES!$N132/100</f>
        <v>9.8333333333333321</v>
      </c>
      <c r="F156" s="16">
        <f t="shared" ref="F156:F219" si="109">IF(F155&gt;0,F155*$F$1,F155)+D156-E156</f>
        <v>-117.06697029249358</v>
      </c>
      <c r="G156" s="15">
        <f t="shared" ref="G156:G219" si="110">$H$4*$CE156</f>
        <v>22.035289406060361</v>
      </c>
      <c r="H156" s="75">
        <f>G156*(1-PARAM!$C$27)*$I$4+(MOD($B156,60)=PARAM!$B$56)*($B156&gt;(60-PARAM!$B$56))*HLOOKUP(($B156+PARAM!$B$56)/12,Loyalty,2)*$F$1*MAX(J155,0)</f>
        <v>18.443537232872522</v>
      </c>
      <c r="I156" s="75">
        <f>PARAM!$C$26+MAX($G$4-CHOOSE(PARAM!$B$44,MAX(0,J155*$F$1),0),0)*RATES!$L132/12+$H$4*(PARAM!$D$51/12)*RATES!$N132/100</f>
        <v>9.8267407545526275</v>
      </c>
      <c r="J156" s="16">
        <f t="shared" ref="J156:J219" si="111">IF(J155&gt;0,J155*$F$1,J155)+H156-I156</f>
        <v>76.815887313198417</v>
      </c>
      <c r="K156" s="15">
        <f t="shared" ref="K156:K219" si="112">$H$5*$CE156</f>
        <v>22.170849845882874</v>
      </c>
      <c r="L156" s="75">
        <f>K156*(1-PARAM!$C$27)*$I$5+(MOD($B156,60)=PARAM!$B$56)*($B156&gt;(60-PARAM!$B$56))*HLOOKUP(($B156+PARAM!$B$56)/12,Loyalty,2)*$F$1*MAX(N155,0)</f>
        <v>18.557001321003963</v>
      </c>
      <c r="M156" s="75">
        <f>PARAM!$C$26+MAX($G$5-CHOOSE(PARAM!$B$44,MAX(0,N155*$F$1),0),0)*RATES!$L132/12+$H$5*(PARAM!$D$51/12)*RATES!$N132/100</f>
        <v>9.8254507864739828</v>
      </c>
      <c r="N156" s="16">
        <f t="shared" ref="N156:N219" si="113">IF(N155&gt;0,N155*$F$1,N155)+L156-M156</f>
        <v>90.27513873470798</v>
      </c>
      <c r="O156" s="15">
        <f t="shared" ref="O156:O219" si="114">$H$6*$CE156</f>
        <v>22.170849845882874</v>
      </c>
      <c r="P156" s="75">
        <f>O156*(1-PARAM!$C$27)*$I$6+(MOD($B156,60)=PARAM!$B$56)*($B156&gt;(60-PARAM!$B$56))*HLOOKUP(($B156+PARAM!$B$56)/12,Loyalty,2)*$F$1*MAX(R155,0)</f>
        <v>18.557001321003963</v>
      </c>
      <c r="Q156" s="75">
        <f>PARAM!$C$26+MAX($G$6-CHOOSE(PARAM!$B$44,MAX(0,R155*$F$1),0),0)*RATES!$L132/12+$H$6*(PARAM!$D$51/12)*RATES!$N132/100</f>
        <v>9.8254507864739828</v>
      </c>
      <c r="R156" s="16">
        <f t="shared" ref="R156:R219" si="115">IF(R155&gt;0,R155*$F$1,R155)+P156-Q156</f>
        <v>90.27513873470798</v>
      </c>
      <c r="S156" s="15">
        <f t="shared" si="90"/>
        <v>22.170849845882874</v>
      </c>
      <c r="T156" s="75">
        <f>S156*(1-PARAM!$C$27)*$I$7+(MOD($B156,60)=PARAM!$B$56)*($B156&gt;(60-PARAM!$B$56))*HLOOKUP(($B156+PARAM!$B$56)/12,Loyalty,2)*$F$1*MAX(V155,0)</f>
        <v>18.557001321003963</v>
      </c>
      <c r="U156" s="75">
        <f>PARAM!$C$26+MAX($G$7-CHOOSE(PARAM!$B$44,MAX(0,V155*$F$1),0),0)*RATES!$L132/12+$H$7*(PARAM!$D$51/12)*RATES!$N132/100</f>
        <v>9.8254507864739828</v>
      </c>
      <c r="V156" s="16">
        <f t="shared" ref="V156:V219" si="116">IF(V155&gt;0,V155*$F$1,V155)+T156-U156</f>
        <v>90.27513873470798</v>
      </c>
      <c r="W156" s="15">
        <f t="shared" si="91"/>
        <v>22.170849845882874</v>
      </c>
      <c r="X156" s="75">
        <f>W156*(1-PARAM!$C$27)*$I$8+(MOD($B156,60)=PARAM!$B$56)*($B156&gt;(60-PARAM!$B$56))*HLOOKUP(($B156+PARAM!$B$56)/12,Loyalty,2)*$F$1*MAX(Z155,0)</f>
        <v>18.557001321003963</v>
      </c>
      <c r="Y156" s="75">
        <f>PARAM!$C$26+MAX($G$8-CHOOSE(PARAM!$B$44,MAX(0,Z155*$F$1),0),0)*RATES!$L132/12+$H$8*(PARAM!$D$51/12)*RATES!$N132/100</f>
        <v>9.8254507864739828</v>
      </c>
      <c r="Z156" s="16">
        <f t="shared" ref="Z156:Z219" si="117">IF(Z155&gt;0,Z155*$F$1,Z155)+X156-Y156</f>
        <v>90.27513873470798</v>
      </c>
      <c r="AA156" s="15">
        <f t="shared" si="92"/>
        <v>22.170849845882874</v>
      </c>
      <c r="AB156" s="75">
        <f>AA156*(1-PARAM!$C$27)*$I$9+(MOD($B156,60)=PARAM!$B$56)*($B156&gt;(60-PARAM!$B$56))*HLOOKUP(($B156+PARAM!$B$56)/12,Loyalty,2)*$F$1*MAX(AD155,0)</f>
        <v>18.557001321003963</v>
      </c>
      <c r="AC156" s="75">
        <f>PARAM!$C$26+MAX($G$9-CHOOSE(PARAM!$B$44,MAX(0,AD155*$F$1),0),0)*RATES!$L132/12+$H$9*(PARAM!$D$51/12)*RATES!$N132/100</f>
        <v>9.8254507864739828</v>
      </c>
      <c r="AD156" s="16">
        <f t="shared" ref="AD156:AD219" si="118">IF(AD155&gt;0,AD155*$F$1,AD155)+AB156-AC156</f>
        <v>90.27513873470798</v>
      </c>
      <c r="AE156" s="15">
        <f t="shared" si="93"/>
        <v>22.170849845882874</v>
      </c>
      <c r="AF156" s="75">
        <f>AE156*(1-PARAM!$C$27)*$I$10+(MOD($B156,60)=PARAM!$B$56)*($B156&gt;(60-PARAM!$B$56))*HLOOKUP(($B156+PARAM!$B$56)/12,Loyalty,2)*$F$1*MAX(AH155,0)</f>
        <v>18.557001321003963</v>
      </c>
      <c r="AG156" s="75">
        <f>PARAM!$C$26+MAX($G$10-CHOOSE(PARAM!$B$44,MAX(0,AH155*$F$1),0),0)*RATES!$L132/12+$H$10*(PARAM!$D$51/12)*RATES!$N132/100</f>
        <v>9.8254507864739828</v>
      </c>
      <c r="AH156" s="16">
        <f t="shared" ref="AH156:AH219" si="119">IF(AH155&gt;0,AH155*$F$1,AH155)+AF156-AG156</f>
        <v>90.27513873470798</v>
      </c>
      <c r="AI156" s="15">
        <f t="shared" si="94"/>
        <v>22.170849845882874</v>
      </c>
      <c r="AJ156" s="75">
        <f>AI156*(1-PARAM!$C$27)*$I$11+(MOD($B156,60)=PARAM!$B$56)*($B156&gt;(60-PARAM!$B$56))*HLOOKUP(($B156+PARAM!$B$56)/12,Loyalty,2)*$F$1*MAX(AL155,0)</f>
        <v>18.557001321003963</v>
      </c>
      <c r="AK156" s="75">
        <f>PARAM!$C$26+MAX($G$11-CHOOSE(PARAM!$B$44,MAX(0,AL155*$F$1),0),0)*RATES!$L132/12+$H$11*(PARAM!$D$51/12)*RATES!$N132/100</f>
        <v>9.8254507864739828</v>
      </c>
      <c r="AL156" s="16">
        <f t="shared" ref="AL156:AL219" si="120">IF(AL155&gt;0,AL155*$F$1,AL155)+AJ156-AK156</f>
        <v>90.27513873470798</v>
      </c>
      <c r="AM156" s="15">
        <f t="shared" si="95"/>
        <v>22.170849845882874</v>
      </c>
      <c r="AN156" s="75">
        <f>AM156*(1-PARAM!$C$27)*$I$12+(MOD($B156,60)=PARAM!$B$56)*($B156&gt;(60-PARAM!$B$56))*HLOOKUP(($B156+PARAM!$B$56)/12,Loyalty,2)*$F$1*MAX(AP155,0)</f>
        <v>18.557001321003963</v>
      </c>
      <c r="AO156" s="75">
        <f>PARAM!$C$26+MAX($G$12-CHOOSE(PARAM!$B$44,MAX(0,AP155*$F$1),0),0)*RATES!$L132/12+$H$12*(PARAM!$D$51/12)*RATES!$N132/100</f>
        <v>9.8254507864739828</v>
      </c>
      <c r="AP156" s="16">
        <f t="shared" ref="AP156:AP219" si="121">IF(AP155&gt;0,AP155*$F$1,AP155)+AN156-AO156</f>
        <v>90.27513873470798</v>
      </c>
      <c r="AQ156" s="15">
        <f t="shared" si="96"/>
        <v>22.170849845882874</v>
      </c>
      <c r="AR156" s="75">
        <f>AQ156*(1-PARAM!$C$27)*$I$13+(MOD($B156,60)=PARAM!$B$56)*($B156&gt;(60-PARAM!$B$56))*HLOOKUP(($B156+PARAM!$B$56)/12,Loyalty,2)*$F$1*MAX(AT155,0)</f>
        <v>18.557001321003963</v>
      </c>
      <c r="AS156" s="75">
        <f>PARAM!$C$26+MAX($G$13-CHOOSE(PARAM!$B$44,MAX(0,AT155*$F$1),0),0)*RATES!$L132/12+$H$13*(PARAM!$D$51/12)*RATES!$N132/100</f>
        <v>9.8254507864739828</v>
      </c>
      <c r="AT156" s="16">
        <f t="shared" ref="AT156:AT219" si="122">IF(AT155&gt;0,AT155*$F$1,AT155)+AR156-AS156</f>
        <v>90.27513873470798</v>
      </c>
      <c r="AU156" s="15">
        <f t="shared" si="97"/>
        <v>22.170849845882874</v>
      </c>
      <c r="AV156" s="75">
        <f>AU156*(1-PARAM!$C$27)*$I$14+(MOD($B156,60)=PARAM!$B$56)*($B156&gt;(60-PARAM!$B$56))*HLOOKUP(($B156+PARAM!$B$56)/12,Loyalty,2)*$F$1*MAX(AX155,0)</f>
        <v>18.557001321003963</v>
      </c>
      <c r="AW156" s="75">
        <f>PARAM!$C$26+MAX($G$14-CHOOSE(PARAM!$B$44,MAX(0,AX155*$F$1),0),0)*RATES!$L132/12+$H$14*(PARAM!$D$51/12)*RATES!$N132/100</f>
        <v>9.8254507864739828</v>
      </c>
      <c r="AX156" s="16">
        <f t="shared" ref="AX156:AX219" si="123">IF(AX155&gt;0,AX155*$F$1,AX155)+AV156-AW156</f>
        <v>90.27513873470798</v>
      </c>
      <c r="AY156" s="15">
        <f t="shared" si="98"/>
        <v>22.170849845882874</v>
      </c>
      <c r="AZ156" s="75">
        <f>AY156*(1-PARAM!$C$27)*$I$15+(MOD($B156,60)=PARAM!$B$56)*($B156&gt;(60-PARAM!$B$56))*HLOOKUP(($B156+PARAM!$B$56)/12,Loyalty,2)*$F$1*MAX(BB155,0)</f>
        <v>18.557001321003963</v>
      </c>
      <c r="BA156" s="75">
        <f>PARAM!$C$26+MAX($G$15-CHOOSE(PARAM!$B$44,MAX(0,BB155*$F$1),0),0)*RATES!$L132/12+$H$15*(PARAM!$D$51/12)*RATES!$N132/100</f>
        <v>9.8254507864739828</v>
      </c>
      <c r="BB156" s="16">
        <f t="shared" ref="BB156:BB219" si="124">IF(BB155&gt;0,BB155*$F$1,BB155)+AZ156-BA156</f>
        <v>90.27513873470798</v>
      </c>
      <c r="BC156" s="15">
        <f t="shared" si="99"/>
        <v>22.170849845882874</v>
      </c>
      <c r="BD156" s="75">
        <f>BC156*(1-PARAM!$C$27)*$I$16+(MOD($B156,60)=PARAM!$B$56)*($B156&gt;(60-PARAM!$B$56))*HLOOKUP(($B156+PARAM!$B$56)/12,Loyalty,2)*$F$1*MAX(BF155,0)</f>
        <v>18.557001321003963</v>
      </c>
      <c r="BE156" s="75">
        <f>PARAM!$C$26+MAX($G$16-CHOOSE(PARAM!$B$44,MAX(0,BF155*$F$1),0),0)*RATES!$L132/12+$H$16*(PARAM!$D$51/12)*RATES!$N132/100</f>
        <v>9.8254507864739828</v>
      </c>
      <c r="BF156" s="16">
        <f t="shared" ref="BF156:BF219" si="125">IF(BF155&gt;0,BF155*$F$1,BF155)+BD156-BE156</f>
        <v>90.27513873470798</v>
      </c>
      <c r="BG156" s="15">
        <f t="shared" si="100"/>
        <v>22.170849845882874</v>
      </c>
      <c r="BH156" s="75">
        <f>BG156*(1-PARAM!$C$27)*$I$17+(MOD($B156,60)=PARAM!$B$56)*($B156&gt;(60-PARAM!$B$56))*HLOOKUP(($B156+PARAM!$B$56)/12,Loyalty,2)*$F$1*MAX(BJ155,0)</f>
        <v>18.557001321003963</v>
      </c>
      <c r="BI156" s="75">
        <f>PARAM!$C$26+MAX($G$17-CHOOSE(PARAM!$B$44,MAX(0,BJ155*$F$1),0),0)*RATES!$L132/12+$H$17*(PARAM!$D$51/12)*RATES!$N132/100</f>
        <v>9.8254507864739828</v>
      </c>
      <c r="BJ156" s="16">
        <f t="shared" ref="BJ156:BJ219" si="126">IF(BJ155&gt;0,BJ155*$F$1,BJ155)+BH156-BI156</f>
        <v>90.27513873470798</v>
      </c>
      <c r="BK156" s="15">
        <f t="shared" si="101"/>
        <v>22.170849845882874</v>
      </c>
      <c r="BL156" s="75">
        <f>BK156*(1-PARAM!$C$27)*$I$18+(MOD($B156,60)=PARAM!$B$56)*($B156&gt;(60-PARAM!$B$56))*HLOOKUP(($B156+PARAM!$B$56)/12,Loyalty,2)*$F$1*MAX(BN155,0)</f>
        <v>18.557001321003963</v>
      </c>
      <c r="BM156" s="75">
        <f>PARAM!$C$26+MAX($G$18-CHOOSE(PARAM!$B$44,MAX(0,BN155*$F$1),0),0)*RATES!$L132/12+$H$18*(PARAM!$D$51/12)*RATES!$N132/100</f>
        <v>9.8254507864739828</v>
      </c>
      <c r="BN156" s="16">
        <f t="shared" ref="BN156:BN219" si="127">IF(BN155&gt;0,BN155*$F$1,BN155)+BL156-BM156</f>
        <v>90.27513873470798</v>
      </c>
      <c r="BO156" s="15">
        <f t="shared" si="102"/>
        <v>22.170849845882874</v>
      </c>
      <c r="BP156" s="75">
        <f>BO156*(1-PARAM!$C$27)*$I$19+(MOD($B156,60)=PARAM!$B$56)*($B156&gt;(60-PARAM!$B$56))*HLOOKUP(($B156+PARAM!$B$56)/12,Loyalty,2)*$F$1*MAX(BR155,0)</f>
        <v>18.557001321003963</v>
      </c>
      <c r="BQ156" s="75">
        <f>PARAM!$C$26+MAX($G$19-CHOOSE(PARAM!$B$44,MAX(0,BR155*$F$1),0),0)*RATES!$L132/12+$H$19*(PARAM!$D$51/12)*RATES!$N132/100</f>
        <v>9.8254507864739828</v>
      </c>
      <c r="BR156" s="16">
        <f t="shared" ref="BR156:BR219" si="128">IF(BR155&gt;0,BR155*$F$1,BR155)+BP156-BQ156</f>
        <v>90.27513873470798</v>
      </c>
      <c r="BS156" s="15">
        <f t="shared" si="103"/>
        <v>22.170849845882874</v>
      </c>
      <c r="BT156" s="75">
        <f>BS156*(1-PARAM!$C$27)*$I$20+(MOD($B156,60)=PARAM!$B$56)*($B156&gt;(60-PARAM!$B$56))*HLOOKUP(($B156+PARAM!$B$56)/12,Loyalty,2)*$F$1*MAX(BV155,0)</f>
        <v>18.557001321003963</v>
      </c>
      <c r="BU156" s="75">
        <f>PARAM!$C$26+MAX($G$20-CHOOSE(PARAM!$B$44,MAX(0,BV155*$F$1),0),0)*RATES!$L132/12+$H$20*(PARAM!$D$51/12)*RATES!$N132/100</f>
        <v>9.8254507864739828</v>
      </c>
      <c r="BV156" s="16">
        <f t="shared" ref="BV156:BV219" si="129">IF(BV155&gt;0,BV155*$F$1,BV155)+BT156-BU156</f>
        <v>90.27513873470798</v>
      </c>
      <c r="BW156" s="15">
        <f t="shared" si="104"/>
        <v>22.170849845882874</v>
      </c>
      <c r="BX156" s="75">
        <f>BW156*(1-PARAM!$C$27)*$I$21+(MOD($B156,60)=PARAM!$B$56)*($B156&gt;(60-PARAM!$B$56))*HLOOKUP(($B156+PARAM!$B$56)/12,Loyalty,2)*$F$1*MAX(BZ155,0)</f>
        <v>18.557001321003963</v>
      </c>
      <c r="BY156" s="75">
        <f>PARAM!$C$26+MAX($G$21-CHOOSE(PARAM!$B$44,MAX(0,BZ155*$F$1),0),0)*RATES!$L132/12+$H$21*(PARAM!$D$51/12)*RATES!$N132/100</f>
        <v>9.8254507864739828</v>
      </c>
      <c r="BZ156" s="16">
        <f t="shared" ref="BZ156:BZ219" si="130">IF(BZ155&gt;0,BZ155*$F$1,BZ155)+BX156-BY156</f>
        <v>90.27513873470798</v>
      </c>
      <c r="CA156" s="15">
        <f t="shared" si="105"/>
        <v>22.170849845882874</v>
      </c>
      <c r="CB156" s="75">
        <f>CA156*(1-PARAM!$C$27)*$I$22+(MOD($B156,60)=PARAM!$B$56)*($B156&gt;(60-PARAM!$B$56))*HLOOKUP(($B156+PARAM!$B$56)/12,Loyalty,2)*$F$1*MAX(CD155,0)</f>
        <v>18.557001321003963</v>
      </c>
      <c r="CC156" s="75">
        <f>PARAM!$C$26+MAX($G$22-CHOOSE(PARAM!$B$44,MAX(0,CD155*$F$1),0),0)*RATES!$L132/12+$H$22*(PARAM!$D$51/12)*RATES!$N132/100</f>
        <v>9.8254507864739828</v>
      </c>
      <c r="CD156" s="16">
        <f t="shared" ref="CD156:CD219" si="131">IF(CD155&gt;0,CD155*$F$1,CD155)+CB156-CC156</f>
        <v>90.27513873470798</v>
      </c>
      <c r="CE156" s="33">
        <f>IF(0=MOD(B156,12/PARAM!$D$51),1,0)</f>
        <v>1</v>
      </c>
      <c r="CF156" s="15">
        <f t="shared" si="106"/>
        <v>0</v>
      </c>
      <c r="CG156" s="75">
        <f>CF156*(1-PARAM!$C$27)*$R$3+(MOD($B156/12,5)=0)*($B156&gt;60)*HLOOKUP($B156/12,Loyalty,2)*$F$1*MAX(CI155,0)</f>
        <v>0</v>
      </c>
      <c r="CH156" s="75">
        <f>PARAM!$C$26+MAX($P$3-CHOOSE(PARAM!$B$44,MAX(0,CI155*$F$1),0),0)*RATES!$L132/12+$Q$3*(PARAM!$D$51/12)*RATES!$N132/100</f>
        <v>9.8333333333333321</v>
      </c>
      <c r="CI156" s="16">
        <f>IF(CI155&gt;0,CI155*PARAM!$C$53,CI155)+CG156-CH156</f>
        <v>-2109.3333333333326</v>
      </c>
      <c r="CJ156" s="15">
        <f t="shared" ref="CJ156:CJ219" si="132">$Q$4*CE156</f>
        <v>0</v>
      </c>
      <c r="CK156" s="75">
        <f>CJ156*(1-PARAM!$C$27)*$R$4+(MOD($B156/12,5)=0)*($B156&gt;60)*HLOOKUP($B156/12,Loyalty,2)*$F$1*MAX(CM155,0)</f>
        <v>0</v>
      </c>
      <c r="CL156" s="75">
        <f>PARAM!$C$26+MAX($P$4-CHOOSE(PARAM!$B$44,MAX(0,CM155*$F$1),0),0)*RATES!$L132/12+$Q$4*(PARAM!$D$51/12)*RATES!$N132/100</f>
        <v>9.8333333333333321</v>
      </c>
      <c r="CM156" s="16">
        <f>IF(CM155&gt;0,CM155*PARAM!$C$53,CM155)+CK156-CL156</f>
        <v>-2109.3333333333326</v>
      </c>
      <c r="CO156" s="176"/>
    </row>
    <row r="157" spans="1:93" x14ac:dyDescent="0.2">
      <c r="A157" t="b">
        <f t="shared" si="107"/>
        <v>0</v>
      </c>
      <c r="B157" s="33">
        <v>130</v>
      </c>
      <c r="C157" s="15">
        <f t="shared" si="108"/>
        <v>20.081305947392778</v>
      </c>
      <c r="D157" s="75">
        <f>C157*(1-PARAM!$C$27)*$I$3+(MOD($B157,60)=PARAM!$B$56)*($B157&gt;(60-PARAM!$B$56))*HLOOKUP(($B157+PARAM!$B$56)/12,Loyalty,2)*$F$1*MAX(F156,0)</f>
        <v>16.808053077967756</v>
      </c>
      <c r="E157" s="75">
        <f>PARAM!$C$26+MAX($G$3-CHOOSE(PARAM!$B$44,MAX(0,F156*$F$1),0),0)*RATES!$L133/12+$H$3*(PARAM!$D$51/12)*RATES!$N133/100</f>
        <v>9.8333333333333321</v>
      </c>
      <c r="F157" s="16">
        <f t="shared" si="109"/>
        <v>-110.09225054785915</v>
      </c>
      <c r="G157" s="15">
        <f t="shared" si="110"/>
        <v>22.035289406060361</v>
      </c>
      <c r="H157" s="75">
        <f>G157*(1-PARAM!$C$27)*$I$4+(MOD($B157,60)=PARAM!$B$56)*($B157&gt;(60-PARAM!$B$56))*HLOOKUP(($B157+PARAM!$B$56)/12,Loyalty,2)*$F$1*MAX(J156,0)</f>
        <v>18.443537232872522</v>
      </c>
      <c r="I157" s="75">
        <f>PARAM!$C$26+MAX($G$4-CHOOSE(PARAM!$B$44,MAX(0,J156*$F$1),0),0)*RATES!$L133/12+$H$4*(PARAM!$D$51/12)*RATES!$N133/100</f>
        <v>9.825907797559724</v>
      </c>
      <c r="J157" s="16">
        <f t="shared" si="111"/>
        <v>85.433516748511209</v>
      </c>
      <c r="K157" s="15">
        <f t="shared" si="112"/>
        <v>22.170849845882874</v>
      </c>
      <c r="L157" s="75">
        <f>K157*(1-PARAM!$C$27)*$I$5+(MOD($B157,60)=PARAM!$B$56)*($B157&gt;(60-PARAM!$B$56))*HLOOKUP(($B157+PARAM!$B$56)/12,Loyalty,2)*$F$1*MAX(N156,0)</f>
        <v>18.557001321003963</v>
      </c>
      <c r="M157" s="75">
        <f>PARAM!$C$26+MAX($G$5-CHOOSE(PARAM!$B$44,MAX(0,N156*$F$1),0),0)*RATES!$L133/12+$H$5*(PARAM!$D$51/12)*RATES!$N133/100</f>
        <v>9.8246067365889793</v>
      </c>
      <c r="N157" s="16">
        <f t="shared" si="113"/>
        <v>99.00753331912297</v>
      </c>
      <c r="O157" s="15">
        <f t="shared" si="114"/>
        <v>22.170849845882874</v>
      </c>
      <c r="P157" s="75">
        <f>O157*(1-PARAM!$C$27)*$I$6+(MOD($B157,60)=PARAM!$B$56)*($B157&gt;(60-PARAM!$B$56))*HLOOKUP(($B157+PARAM!$B$56)/12,Loyalty,2)*$F$1*MAX(R156,0)</f>
        <v>18.557001321003963</v>
      </c>
      <c r="Q157" s="75">
        <f>PARAM!$C$26+MAX($G$6-CHOOSE(PARAM!$B$44,MAX(0,R156*$F$1),0),0)*RATES!$L133/12+$H$6*(PARAM!$D$51/12)*RATES!$N133/100</f>
        <v>9.8246067365889793</v>
      </c>
      <c r="R157" s="16">
        <f t="shared" si="115"/>
        <v>99.00753331912297</v>
      </c>
      <c r="S157" s="15">
        <f t="shared" si="90"/>
        <v>22.170849845882874</v>
      </c>
      <c r="T157" s="75">
        <f>S157*(1-PARAM!$C$27)*$I$7+(MOD($B157,60)=PARAM!$B$56)*($B157&gt;(60-PARAM!$B$56))*HLOOKUP(($B157+PARAM!$B$56)/12,Loyalty,2)*$F$1*MAX(V156,0)</f>
        <v>18.557001321003963</v>
      </c>
      <c r="U157" s="75">
        <f>PARAM!$C$26+MAX($G$7-CHOOSE(PARAM!$B$44,MAX(0,V156*$F$1),0),0)*RATES!$L133/12+$H$7*(PARAM!$D$51/12)*RATES!$N133/100</f>
        <v>9.8246067365889793</v>
      </c>
      <c r="V157" s="16">
        <f t="shared" si="116"/>
        <v>99.00753331912297</v>
      </c>
      <c r="W157" s="15">
        <f t="shared" si="91"/>
        <v>22.170849845882874</v>
      </c>
      <c r="X157" s="75">
        <f>W157*(1-PARAM!$C$27)*$I$8+(MOD($B157,60)=PARAM!$B$56)*($B157&gt;(60-PARAM!$B$56))*HLOOKUP(($B157+PARAM!$B$56)/12,Loyalty,2)*$F$1*MAX(Z156,0)</f>
        <v>18.557001321003963</v>
      </c>
      <c r="Y157" s="75">
        <f>PARAM!$C$26+MAX($G$8-CHOOSE(PARAM!$B$44,MAX(0,Z156*$F$1),0),0)*RATES!$L133/12+$H$8*(PARAM!$D$51/12)*RATES!$N133/100</f>
        <v>9.8246067365889793</v>
      </c>
      <c r="Z157" s="16">
        <f t="shared" si="117"/>
        <v>99.00753331912297</v>
      </c>
      <c r="AA157" s="15">
        <f t="shared" si="92"/>
        <v>22.170849845882874</v>
      </c>
      <c r="AB157" s="75">
        <f>AA157*(1-PARAM!$C$27)*$I$9+(MOD($B157,60)=PARAM!$B$56)*($B157&gt;(60-PARAM!$B$56))*HLOOKUP(($B157+PARAM!$B$56)/12,Loyalty,2)*$F$1*MAX(AD156,0)</f>
        <v>18.557001321003963</v>
      </c>
      <c r="AC157" s="75">
        <f>PARAM!$C$26+MAX($G$9-CHOOSE(PARAM!$B$44,MAX(0,AD156*$F$1),0),0)*RATES!$L133/12+$H$9*(PARAM!$D$51/12)*RATES!$N133/100</f>
        <v>9.8246067365889793</v>
      </c>
      <c r="AD157" s="16">
        <f t="shared" si="118"/>
        <v>99.00753331912297</v>
      </c>
      <c r="AE157" s="15">
        <f t="shared" si="93"/>
        <v>22.170849845882874</v>
      </c>
      <c r="AF157" s="75">
        <f>AE157*(1-PARAM!$C$27)*$I$10+(MOD($B157,60)=PARAM!$B$56)*($B157&gt;(60-PARAM!$B$56))*HLOOKUP(($B157+PARAM!$B$56)/12,Loyalty,2)*$F$1*MAX(AH156,0)</f>
        <v>18.557001321003963</v>
      </c>
      <c r="AG157" s="75">
        <f>PARAM!$C$26+MAX($G$10-CHOOSE(PARAM!$B$44,MAX(0,AH156*$F$1),0),0)*RATES!$L133/12+$H$10*(PARAM!$D$51/12)*RATES!$N133/100</f>
        <v>9.8246067365889793</v>
      </c>
      <c r="AH157" s="16">
        <f t="shared" si="119"/>
        <v>99.00753331912297</v>
      </c>
      <c r="AI157" s="15">
        <f t="shared" si="94"/>
        <v>22.170849845882874</v>
      </c>
      <c r="AJ157" s="75">
        <f>AI157*(1-PARAM!$C$27)*$I$11+(MOD($B157,60)=PARAM!$B$56)*($B157&gt;(60-PARAM!$B$56))*HLOOKUP(($B157+PARAM!$B$56)/12,Loyalty,2)*$F$1*MAX(AL156,0)</f>
        <v>18.557001321003963</v>
      </c>
      <c r="AK157" s="75">
        <f>PARAM!$C$26+MAX($G$11-CHOOSE(PARAM!$B$44,MAX(0,AL156*$F$1),0),0)*RATES!$L133/12+$H$11*(PARAM!$D$51/12)*RATES!$N133/100</f>
        <v>9.8246067365889793</v>
      </c>
      <c r="AL157" s="16">
        <f t="shared" si="120"/>
        <v>99.00753331912297</v>
      </c>
      <c r="AM157" s="15">
        <f t="shared" si="95"/>
        <v>22.170849845882874</v>
      </c>
      <c r="AN157" s="75">
        <f>AM157*(1-PARAM!$C$27)*$I$12+(MOD($B157,60)=PARAM!$B$56)*($B157&gt;(60-PARAM!$B$56))*HLOOKUP(($B157+PARAM!$B$56)/12,Loyalty,2)*$F$1*MAX(AP156,0)</f>
        <v>18.557001321003963</v>
      </c>
      <c r="AO157" s="75">
        <f>PARAM!$C$26+MAX($G$12-CHOOSE(PARAM!$B$44,MAX(0,AP156*$F$1),0),0)*RATES!$L133/12+$H$12*(PARAM!$D$51/12)*RATES!$N133/100</f>
        <v>9.8246067365889793</v>
      </c>
      <c r="AP157" s="16">
        <f t="shared" si="121"/>
        <v>99.00753331912297</v>
      </c>
      <c r="AQ157" s="15">
        <f t="shared" si="96"/>
        <v>22.170849845882874</v>
      </c>
      <c r="AR157" s="75">
        <f>AQ157*(1-PARAM!$C$27)*$I$13+(MOD($B157,60)=PARAM!$B$56)*($B157&gt;(60-PARAM!$B$56))*HLOOKUP(($B157+PARAM!$B$56)/12,Loyalty,2)*$F$1*MAX(AT156,0)</f>
        <v>18.557001321003963</v>
      </c>
      <c r="AS157" s="75">
        <f>PARAM!$C$26+MAX($G$13-CHOOSE(PARAM!$B$44,MAX(0,AT156*$F$1),0),0)*RATES!$L133/12+$H$13*(PARAM!$D$51/12)*RATES!$N133/100</f>
        <v>9.8246067365889793</v>
      </c>
      <c r="AT157" s="16">
        <f t="shared" si="122"/>
        <v>99.00753331912297</v>
      </c>
      <c r="AU157" s="15">
        <f t="shared" si="97"/>
        <v>22.170849845882874</v>
      </c>
      <c r="AV157" s="75">
        <f>AU157*(1-PARAM!$C$27)*$I$14+(MOD($B157,60)=PARAM!$B$56)*($B157&gt;(60-PARAM!$B$56))*HLOOKUP(($B157+PARAM!$B$56)/12,Loyalty,2)*$F$1*MAX(AX156,0)</f>
        <v>18.557001321003963</v>
      </c>
      <c r="AW157" s="75">
        <f>PARAM!$C$26+MAX($G$14-CHOOSE(PARAM!$B$44,MAX(0,AX156*$F$1),0),0)*RATES!$L133/12+$H$14*(PARAM!$D$51/12)*RATES!$N133/100</f>
        <v>9.8246067365889793</v>
      </c>
      <c r="AX157" s="16">
        <f t="shared" si="123"/>
        <v>99.00753331912297</v>
      </c>
      <c r="AY157" s="15">
        <f t="shared" si="98"/>
        <v>22.170849845882874</v>
      </c>
      <c r="AZ157" s="75">
        <f>AY157*(1-PARAM!$C$27)*$I$15+(MOD($B157,60)=PARAM!$B$56)*($B157&gt;(60-PARAM!$B$56))*HLOOKUP(($B157+PARAM!$B$56)/12,Loyalty,2)*$F$1*MAX(BB156,0)</f>
        <v>18.557001321003963</v>
      </c>
      <c r="BA157" s="75">
        <f>PARAM!$C$26+MAX($G$15-CHOOSE(PARAM!$B$44,MAX(0,BB156*$F$1),0),0)*RATES!$L133/12+$H$15*(PARAM!$D$51/12)*RATES!$N133/100</f>
        <v>9.8246067365889793</v>
      </c>
      <c r="BB157" s="16">
        <f t="shared" si="124"/>
        <v>99.00753331912297</v>
      </c>
      <c r="BC157" s="15">
        <f t="shared" si="99"/>
        <v>22.170849845882874</v>
      </c>
      <c r="BD157" s="75">
        <f>BC157*(1-PARAM!$C$27)*$I$16+(MOD($B157,60)=PARAM!$B$56)*($B157&gt;(60-PARAM!$B$56))*HLOOKUP(($B157+PARAM!$B$56)/12,Loyalty,2)*$F$1*MAX(BF156,0)</f>
        <v>18.557001321003963</v>
      </c>
      <c r="BE157" s="75">
        <f>PARAM!$C$26+MAX($G$16-CHOOSE(PARAM!$B$44,MAX(0,BF156*$F$1),0),0)*RATES!$L133/12+$H$16*(PARAM!$D$51/12)*RATES!$N133/100</f>
        <v>9.8246067365889793</v>
      </c>
      <c r="BF157" s="16">
        <f t="shared" si="125"/>
        <v>99.00753331912297</v>
      </c>
      <c r="BG157" s="15">
        <f t="shared" si="100"/>
        <v>22.170849845882874</v>
      </c>
      <c r="BH157" s="75">
        <f>BG157*(1-PARAM!$C$27)*$I$17+(MOD($B157,60)=PARAM!$B$56)*($B157&gt;(60-PARAM!$B$56))*HLOOKUP(($B157+PARAM!$B$56)/12,Loyalty,2)*$F$1*MAX(BJ156,0)</f>
        <v>18.557001321003963</v>
      </c>
      <c r="BI157" s="75">
        <f>PARAM!$C$26+MAX($G$17-CHOOSE(PARAM!$B$44,MAX(0,BJ156*$F$1),0),0)*RATES!$L133/12+$H$17*(PARAM!$D$51/12)*RATES!$N133/100</f>
        <v>9.8246067365889793</v>
      </c>
      <c r="BJ157" s="16">
        <f t="shared" si="126"/>
        <v>99.00753331912297</v>
      </c>
      <c r="BK157" s="15">
        <f t="shared" si="101"/>
        <v>22.170849845882874</v>
      </c>
      <c r="BL157" s="75">
        <f>BK157*(1-PARAM!$C$27)*$I$18+(MOD($B157,60)=PARAM!$B$56)*($B157&gt;(60-PARAM!$B$56))*HLOOKUP(($B157+PARAM!$B$56)/12,Loyalty,2)*$F$1*MAX(BN156,0)</f>
        <v>18.557001321003963</v>
      </c>
      <c r="BM157" s="75">
        <f>PARAM!$C$26+MAX($G$18-CHOOSE(PARAM!$B$44,MAX(0,BN156*$F$1),0),0)*RATES!$L133/12+$H$18*(PARAM!$D$51/12)*RATES!$N133/100</f>
        <v>9.8246067365889793</v>
      </c>
      <c r="BN157" s="16">
        <f t="shared" si="127"/>
        <v>99.00753331912297</v>
      </c>
      <c r="BO157" s="15">
        <f t="shared" si="102"/>
        <v>22.170849845882874</v>
      </c>
      <c r="BP157" s="75">
        <f>BO157*(1-PARAM!$C$27)*$I$19+(MOD($B157,60)=PARAM!$B$56)*($B157&gt;(60-PARAM!$B$56))*HLOOKUP(($B157+PARAM!$B$56)/12,Loyalty,2)*$F$1*MAX(BR156,0)</f>
        <v>18.557001321003963</v>
      </c>
      <c r="BQ157" s="75">
        <f>PARAM!$C$26+MAX($G$19-CHOOSE(PARAM!$B$44,MAX(0,BR156*$F$1),0),0)*RATES!$L133/12+$H$19*(PARAM!$D$51/12)*RATES!$N133/100</f>
        <v>9.8246067365889793</v>
      </c>
      <c r="BR157" s="16">
        <f t="shared" si="128"/>
        <v>99.00753331912297</v>
      </c>
      <c r="BS157" s="15">
        <f t="shared" si="103"/>
        <v>22.170849845882874</v>
      </c>
      <c r="BT157" s="75">
        <f>BS157*(1-PARAM!$C$27)*$I$20+(MOD($B157,60)=PARAM!$B$56)*($B157&gt;(60-PARAM!$B$56))*HLOOKUP(($B157+PARAM!$B$56)/12,Loyalty,2)*$F$1*MAX(BV156,0)</f>
        <v>18.557001321003963</v>
      </c>
      <c r="BU157" s="75">
        <f>PARAM!$C$26+MAX($G$20-CHOOSE(PARAM!$B$44,MAX(0,BV156*$F$1),0),0)*RATES!$L133/12+$H$20*(PARAM!$D$51/12)*RATES!$N133/100</f>
        <v>9.8246067365889793</v>
      </c>
      <c r="BV157" s="16">
        <f t="shared" si="129"/>
        <v>99.00753331912297</v>
      </c>
      <c r="BW157" s="15">
        <f t="shared" si="104"/>
        <v>22.170849845882874</v>
      </c>
      <c r="BX157" s="75">
        <f>BW157*(1-PARAM!$C$27)*$I$21+(MOD($B157,60)=PARAM!$B$56)*($B157&gt;(60-PARAM!$B$56))*HLOOKUP(($B157+PARAM!$B$56)/12,Loyalty,2)*$F$1*MAX(BZ156,0)</f>
        <v>18.557001321003963</v>
      </c>
      <c r="BY157" s="75">
        <f>PARAM!$C$26+MAX($G$21-CHOOSE(PARAM!$B$44,MAX(0,BZ156*$F$1),0),0)*RATES!$L133/12+$H$21*(PARAM!$D$51/12)*RATES!$N133/100</f>
        <v>9.8246067365889793</v>
      </c>
      <c r="BZ157" s="16">
        <f t="shared" si="130"/>
        <v>99.00753331912297</v>
      </c>
      <c r="CA157" s="15">
        <f t="shared" si="105"/>
        <v>22.170849845882874</v>
      </c>
      <c r="CB157" s="75">
        <f>CA157*(1-PARAM!$C$27)*$I$22+(MOD($B157,60)=PARAM!$B$56)*($B157&gt;(60-PARAM!$B$56))*HLOOKUP(($B157+PARAM!$B$56)/12,Loyalty,2)*$F$1*MAX(CD156,0)</f>
        <v>18.557001321003963</v>
      </c>
      <c r="CC157" s="75">
        <f>PARAM!$C$26+MAX($G$22-CHOOSE(PARAM!$B$44,MAX(0,CD156*$F$1),0),0)*RATES!$L133/12+$H$22*(PARAM!$D$51/12)*RATES!$N133/100</f>
        <v>9.8246067365889793</v>
      </c>
      <c r="CD157" s="16">
        <f t="shared" si="131"/>
        <v>99.00753331912297</v>
      </c>
      <c r="CE157" s="33">
        <f>IF(0=MOD(B157,12/PARAM!$D$51),1,0)</f>
        <v>1</v>
      </c>
      <c r="CF157" s="15">
        <f t="shared" si="106"/>
        <v>0</v>
      </c>
      <c r="CG157" s="75">
        <f>CF157*(1-PARAM!$C$27)*$R$3+(MOD($B157/12,5)=0)*($B157&gt;60)*HLOOKUP($B157/12,Loyalty,2)*$F$1*MAX(CI156,0)</f>
        <v>0</v>
      </c>
      <c r="CH157" s="75">
        <f>PARAM!$C$26+MAX($P$3-CHOOSE(PARAM!$B$44,MAX(0,CI156*$F$1),0),0)*RATES!$L133/12+$Q$3*(PARAM!$D$51/12)*RATES!$N133/100</f>
        <v>9.8333333333333321</v>
      </c>
      <c r="CI157" s="16">
        <f>IF(CI156&gt;0,CI156*PARAM!$C$53,CI156)+CG157-CH157</f>
        <v>-2119.1666666666661</v>
      </c>
      <c r="CJ157" s="15">
        <f t="shared" si="132"/>
        <v>0</v>
      </c>
      <c r="CK157" s="75">
        <f>CJ157*(1-PARAM!$C$27)*$R$4+(MOD($B157/12,5)=0)*($B157&gt;60)*HLOOKUP($B157/12,Loyalty,2)*$F$1*MAX(CM156,0)</f>
        <v>0</v>
      </c>
      <c r="CL157" s="75">
        <f>PARAM!$C$26+MAX($P$4-CHOOSE(PARAM!$B$44,MAX(0,CM156*$F$1),0),0)*RATES!$L133/12+$Q$4*(PARAM!$D$51/12)*RATES!$N133/100</f>
        <v>9.8333333333333321</v>
      </c>
      <c r="CM157" s="16">
        <f>IF(CM156&gt;0,CM156*PARAM!$C$53,CM156)+CK157-CL157</f>
        <v>-2119.1666666666661</v>
      </c>
      <c r="CO157" s="176"/>
    </row>
    <row r="158" spans="1:93" x14ac:dyDescent="0.2">
      <c r="A158" t="b">
        <f t="shared" si="107"/>
        <v>0</v>
      </c>
      <c r="B158" s="33">
        <v>131</v>
      </c>
      <c r="C158" s="15">
        <f t="shared" si="108"/>
        <v>20.081305947392778</v>
      </c>
      <c r="D158" s="75">
        <f>C158*(1-PARAM!$C$27)*$I$3+(MOD($B158,60)=PARAM!$B$56)*($B158&gt;(60-PARAM!$B$56))*HLOOKUP(($B158+PARAM!$B$56)/12,Loyalty,2)*$F$1*MAX(F157,0)</f>
        <v>16.808053077967756</v>
      </c>
      <c r="E158" s="75">
        <f>PARAM!$C$26+MAX($G$3-CHOOSE(PARAM!$B$44,MAX(0,F157*$F$1),0),0)*RATES!$L134/12+$H$3*(PARAM!$D$51/12)*RATES!$N134/100</f>
        <v>9.8333333333333321</v>
      </c>
      <c r="F158" s="16">
        <f t="shared" si="109"/>
        <v>-103.11753080322472</v>
      </c>
      <c r="G158" s="15">
        <f t="shared" si="110"/>
        <v>22.035289406060361</v>
      </c>
      <c r="H158" s="75">
        <f>G158*(1-PARAM!$C$27)*$I$4+(MOD($B158,60)=PARAM!$B$56)*($B158&gt;(60-PARAM!$B$56))*HLOOKUP(($B158+PARAM!$B$56)/12,Loyalty,2)*$F$1*MAX(J157,0)</f>
        <v>18.443537232872522</v>
      </c>
      <c r="I158" s="75">
        <f>PARAM!$C$26+MAX($G$4-CHOOSE(PARAM!$B$44,MAX(0,J157*$F$1),0),0)*RATES!$L134/12+$H$4*(PARAM!$D$51/12)*RATES!$N134/100</f>
        <v>9.8250747600476451</v>
      </c>
      <c r="J158" s="16">
        <f t="shared" si="111"/>
        <v>94.051979221336097</v>
      </c>
      <c r="K158" s="15">
        <f t="shared" si="112"/>
        <v>22.170849845882874</v>
      </c>
      <c r="L158" s="75">
        <f>K158*(1-PARAM!$C$27)*$I$5+(MOD($B158,60)=PARAM!$B$56)*($B158&gt;(60-PARAM!$B$56))*HLOOKUP(($B158+PARAM!$B$56)/12,Loyalty,2)*$F$1*MAX(N157,0)</f>
        <v>18.557001321003963</v>
      </c>
      <c r="M158" s="75">
        <f>PARAM!$C$26+MAX($G$5-CHOOSE(PARAM!$B$44,MAX(0,N157*$F$1),0),0)*RATES!$L134/12+$H$5*(PARAM!$D$51/12)*RATES!$N134/100</f>
        <v>9.8237626051124849</v>
      </c>
      <c r="N158" s="16">
        <f t="shared" si="113"/>
        <v>107.74077203501446</v>
      </c>
      <c r="O158" s="15">
        <f t="shared" si="114"/>
        <v>22.170849845882874</v>
      </c>
      <c r="P158" s="75">
        <f>O158*(1-PARAM!$C$27)*$I$6+(MOD($B158,60)=PARAM!$B$56)*($B158&gt;(60-PARAM!$B$56))*HLOOKUP(($B158+PARAM!$B$56)/12,Loyalty,2)*$F$1*MAX(R157,0)</f>
        <v>18.557001321003963</v>
      </c>
      <c r="Q158" s="75">
        <f>PARAM!$C$26+MAX($G$6-CHOOSE(PARAM!$B$44,MAX(0,R157*$F$1),0),0)*RATES!$L134/12+$H$6*(PARAM!$D$51/12)*RATES!$N134/100</f>
        <v>9.8237626051124849</v>
      </c>
      <c r="R158" s="16">
        <f t="shared" si="115"/>
        <v>107.74077203501446</v>
      </c>
      <c r="S158" s="15">
        <f t="shared" si="90"/>
        <v>22.170849845882874</v>
      </c>
      <c r="T158" s="75">
        <f>S158*(1-PARAM!$C$27)*$I$7+(MOD($B158,60)=PARAM!$B$56)*($B158&gt;(60-PARAM!$B$56))*HLOOKUP(($B158+PARAM!$B$56)/12,Loyalty,2)*$F$1*MAX(V157,0)</f>
        <v>18.557001321003963</v>
      </c>
      <c r="U158" s="75">
        <f>PARAM!$C$26+MAX($G$7-CHOOSE(PARAM!$B$44,MAX(0,V157*$F$1),0),0)*RATES!$L134/12+$H$7*(PARAM!$D$51/12)*RATES!$N134/100</f>
        <v>9.8237626051124849</v>
      </c>
      <c r="V158" s="16">
        <f t="shared" si="116"/>
        <v>107.74077203501446</v>
      </c>
      <c r="W158" s="15">
        <f t="shared" si="91"/>
        <v>22.170849845882874</v>
      </c>
      <c r="X158" s="75">
        <f>W158*(1-PARAM!$C$27)*$I$8+(MOD($B158,60)=PARAM!$B$56)*($B158&gt;(60-PARAM!$B$56))*HLOOKUP(($B158+PARAM!$B$56)/12,Loyalty,2)*$F$1*MAX(Z157,0)</f>
        <v>18.557001321003963</v>
      </c>
      <c r="Y158" s="75">
        <f>PARAM!$C$26+MAX($G$8-CHOOSE(PARAM!$B$44,MAX(0,Z157*$F$1),0),0)*RATES!$L134/12+$H$8*(PARAM!$D$51/12)*RATES!$N134/100</f>
        <v>9.8237626051124849</v>
      </c>
      <c r="Z158" s="16">
        <f t="shared" si="117"/>
        <v>107.74077203501446</v>
      </c>
      <c r="AA158" s="15">
        <f t="shared" si="92"/>
        <v>22.170849845882874</v>
      </c>
      <c r="AB158" s="75">
        <f>AA158*(1-PARAM!$C$27)*$I$9+(MOD($B158,60)=PARAM!$B$56)*($B158&gt;(60-PARAM!$B$56))*HLOOKUP(($B158+PARAM!$B$56)/12,Loyalty,2)*$F$1*MAX(AD157,0)</f>
        <v>18.557001321003963</v>
      </c>
      <c r="AC158" s="75">
        <f>PARAM!$C$26+MAX($G$9-CHOOSE(PARAM!$B$44,MAX(0,AD157*$F$1),0),0)*RATES!$L134/12+$H$9*(PARAM!$D$51/12)*RATES!$N134/100</f>
        <v>9.8237626051124849</v>
      </c>
      <c r="AD158" s="16">
        <f t="shared" si="118"/>
        <v>107.74077203501446</v>
      </c>
      <c r="AE158" s="15">
        <f t="shared" si="93"/>
        <v>22.170849845882874</v>
      </c>
      <c r="AF158" s="75">
        <f>AE158*(1-PARAM!$C$27)*$I$10+(MOD($B158,60)=PARAM!$B$56)*($B158&gt;(60-PARAM!$B$56))*HLOOKUP(($B158+PARAM!$B$56)/12,Loyalty,2)*$F$1*MAX(AH157,0)</f>
        <v>18.557001321003963</v>
      </c>
      <c r="AG158" s="75">
        <f>PARAM!$C$26+MAX($G$10-CHOOSE(PARAM!$B$44,MAX(0,AH157*$F$1),0),0)*RATES!$L134/12+$H$10*(PARAM!$D$51/12)*RATES!$N134/100</f>
        <v>9.8237626051124849</v>
      </c>
      <c r="AH158" s="16">
        <f t="shared" si="119"/>
        <v>107.74077203501446</v>
      </c>
      <c r="AI158" s="15">
        <f t="shared" si="94"/>
        <v>22.170849845882874</v>
      </c>
      <c r="AJ158" s="75">
        <f>AI158*(1-PARAM!$C$27)*$I$11+(MOD($B158,60)=PARAM!$B$56)*($B158&gt;(60-PARAM!$B$56))*HLOOKUP(($B158+PARAM!$B$56)/12,Loyalty,2)*$F$1*MAX(AL157,0)</f>
        <v>18.557001321003963</v>
      </c>
      <c r="AK158" s="75">
        <f>PARAM!$C$26+MAX($G$11-CHOOSE(PARAM!$B$44,MAX(0,AL157*$F$1),0),0)*RATES!$L134/12+$H$11*(PARAM!$D$51/12)*RATES!$N134/100</f>
        <v>9.8237626051124849</v>
      </c>
      <c r="AL158" s="16">
        <f t="shared" si="120"/>
        <v>107.74077203501446</v>
      </c>
      <c r="AM158" s="15">
        <f t="shared" si="95"/>
        <v>22.170849845882874</v>
      </c>
      <c r="AN158" s="75">
        <f>AM158*(1-PARAM!$C$27)*$I$12+(MOD($B158,60)=PARAM!$B$56)*($B158&gt;(60-PARAM!$B$56))*HLOOKUP(($B158+PARAM!$B$56)/12,Loyalty,2)*$F$1*MAX(AP157,0)</f>
        <v>18.557001321003963</v>
      </c>
      <c r="AO158" s="75">
        <f>PARAM!$C$26+MAX($G$12-CHOOSE(PARAM!$B$44,MAX(0,AP157*$F$1),0),0)*RATES!$L134/12+$H$12*(PARAM!$D$51/12)*RATES!$N134/100</f>
        <v>9.8237626051124849</v>
      </c>
      <c r="AP158" s="16">
        <f t="shared" si="121"/>
        <v>107.74077203501446</v>
      </c>
      <c r="AQ158" s="15">
        <f t="shared" si="96"/>
        <v>22.170849845882874</v>
      </c>
      <c r="AR158" s="75">
        <f>AQ158*(1-PARAM!$C$27)*$I$13+(MOD($B158,60)=PARAM!$B$56)*($B158&gt;(60-PARAM!$B$56))*HLOOKUP(($B158+PARAM!$B$56)/12,Loyalty,2)*$F$1*MAX(AT157,0)</f>
        <v>18.557001321003963</v>
      </c>
      <c r="AS158" s="75">
        <f>PARAM!$C$26+MAX($G$13-CHOOSE(PARAM!$B$44,MAX(0,AT157*$F$1),0),0)*RATES!$L134/12+$H$13*(PARAM!$D$51/12)*RATES!$N134/100</f>
        <v>9.8237626051124849</v>
      </c>
      <c r="AT158" s="16">
        <f t="shared" si="122"/>
        <v>107.74077203501446</v>
      </c>
      <c r="AU158" s="15">
        <f t="shared" si="97"/>
        <v>22.170849845882874</v>
      </c>
      <c r="AV158" s="75">
        <f>AU158*(1-PARAM!$C$27)*$I$14+(MOD($B158,60)=PARAM!$B$56)*($B158&gt;(60-PARAM!$B$56))*HLOOKUP(($B158+PARAM!$B$56)/12,Loyalty,2)*$F$1*MAX(AX157,0)</f>
        <v>18.557001321003963</v>
      </c>
      <c r="AW158" s="75">
        <f>PARAM!$C$26+MAX($G$14-CHOOSE(PARAM!$B$44,MAX(0,AX157*$F$1),0),0)*RATES!$L134/12+$H$14*(PARAM!$D$51/12)*RATES!$N134/100</f>
        <v>9.8237626051124849</v>
      </c>
      <c r="AX158" s="16">
        <f t="shared" si="123"/>
        <v>107.74077203501446</v>
      </c>
      <c r="AY158" s="15">
        <f t="shared" si="98"/>
        <v>22.170849845882874</v>
      </c>
      <c r="AZ158" s="75">
        <f>AY158*(1-PARAM!$C$27)*$I$15+(MOD($B158,60)=PARAM!$B$56)*($B158&gt;(60-PARAM!$B$56))*HLOOKUP(($B158+PARAM!$B$56)/12,Loyalty,2)*$F$1*MAX(BB157,0)</f>
        <v>18.557001321003963</v>
      </c>
      <c r="BA158" s="75">
        <f>PARAM!$C$26+MAX($G$15-CHOOSE(PARAM!$B$44,MAX(0,BB157*$F$1),0),0)*RATES!$L134/12+$H$15*(PARAM!$D$51/12)*RATES!$N134/100</f>
        <v>9.8237626051124849</v>
      </c>
      <c r="BB158" s="16">
        <f t="shared" si="124"/>
        <v>107.74077203501446</v>
      </c>
      <c r="BC158" s="15">
        <f t="shared" si="99"/>
        <v>22.170849845882874</v>
      </c>
      <c r="BD158" s="75">
        <f>BC158*(1-PARAM!$C$27)*$I$16+(MOD($B158,60)=PARAM!$B$56)*($B158&gt;(60-PARAM!$B$56))*HLOOKUP(($B158+PARAM!$B$56)/12,Loyalty,2)*$F$1*MAX(BF157,0)</f>
        <v>18.557001321003963</v>
      </c>
      <c r="BE158" s="75">
        <f>PARAM!$C$26+MAX($G$16-CHOOSE(PARAM!$B$44,MAX(0,BF157*$F$1),0),0)*RATES!$L134/12+$H$16*(PARAM!$D$51/12)*RATES!$N134/100</f>
        <v>9.8237626051124849</v>
      </c>
      <c r="BF158" s="16">
        <f t="shared" si="125"/>
        <v>107.74077203501446</v>
      </c>
      <c r="BG158" s="15">
        <f t="shared" si="100"/>
        <v>22.170849845882874</v>
      </c>
      <c r="BH158" s="75">
        <f>BG158*(1-PARAM!$C$27)*$I$17+(MOD($B158,60)=PARAM!$B$56)*($B158&gt;(60-PARAM!$B$56))*HLOOKUP(($B158+PARAM!$B$56)/12,Loyalty,2)*$F$1*MAX(BJ157,0)</f>
        <v>18.557001321003963</v>
      </c>
      <c r="BI158" s="75">
        <f>PARAM!$C$26+MAX($G$17-CHOOSE(PARAM!$B$44,MAX(0,BJ157*$F$1),0),0)*RATES!$L134/12+$H$17*(PARAM!$D$51/12)*RATES!$N134/100</f>
        <v>9.8237626051124849</v>
      </c>
      <c r="BJ158" s="16">
        <f t="shared" si="126"/>
        <v>107.74077203501446</v>
      </c>
      <c r="BK158" s="15">
        <f t="shared" si="101"/>
        <v>22.170849845882874</v>
      </c>
      <c r="BL158" s="75">
        <f>BK158*(1-PARAM!$C$27)*$I$18+(MOD($B158,60)=PARAM!$B$56)*($B158&gt;(60-PARAM!$B$56))*HLOOKUP(($B158+PARAM!$B$56)/12,Loyalty,2)*$F$1*MAX(BN157,0)</f>
        <v>18.557001321003963</v>
      </c>
      <c r="BM158" s="75">
        <f>PARAM!$C$26+MAX($G$18-CHOOSE(PARAM!$B$44,MAX(0,BN157*$F$1),0),0)*RATES!$L134/12+$H$18*(PARAM!$D$51/12)*RATES!$N134/100</f>
        <v>9.8237626051124849</v>
      </c>
      <c r="BN158" s="16">
        <f t="shared" si="127"/>
        <v>107.74077203501446</v>
      </c>
      <c r="BO158" s="15">
        <f t="shared" si="102"/>
        <v>22.170849845882874</v>
      </c>
      <c r="BP158" s="75">
        <f>BO158*(1-PARAM!$C$27)*$I$19+(MOD($B158,60)=PARAM!$B$56)*($B158&gt;(60-PARAM!$B$56))*HLOOKUP(($B158+PARAM!$B$56)/12,Loyalty,2)*$F$1*MAX(BR157,0)</f>
        <v>18.557001321003963</v>
      </c>
      <c r="BQ158" s="75">
        <f>PARAM!$C$26+MAX($G$19-CHOOSE(PARAM!$B$44,MAX(0,BR157*$F$1),0),0)*RATES!$L134/12+$H$19*(PARAM!$D$51/12)*RATES!$N134/100</f>
        <v>9.8237626051124849</v>
      </c>
      <c r="BR158" s="16">
        <f t="shared" si="128"/>
        <v>107.74077203501446</v>
      </c>
      <c r="BS158" s="15">
        <f t="shared" si="103"/>
        <v>22.170849845882874</v>
      </c>
      <c r="BT158" s="75">
        <f>BS158*(1-PARAM!$C$27)*$I$20+(MOD($B158,60)=PARAM!$B$56)*($B158&gt;(60-PARAM!$B$56))*HLOOKUP(($B158+PARAM!$B$56)/12,Loyalty,2)*$F$1*MAX(BV157,0)</f>
        <v>18.557001321003963</v>
      </c>
      <c r="BU158" s="75">
        <f>PARAM!$C$26+MAX($G$20-CHOOSE(PARAM!$B$44,MAX(0,BV157*$F$1),0),0)*RATES!$L134/12+$H$20*(PARAM!$D$51/12)*RATES!$N134/100</f>
        <v>9.8237626051124849</v>
      </c>
      <c r="BV158" s="16">
        <f t="shared" si="129"/>
        <v>107.74077203501446</v>
      </c>
      <c r="BW158" s="15">
        <f t="shared" si="104"/>
        <v>22.170849845882874</v>
      </c>
      <c r="BX158" s="75">
        <f>BW158*(1-PARAM!$C$27)*$I$21+(MOD($B158,60)=PARAM!$B$56)*($B158&gt;(60-PARAM!$B$56))*HLOOKUP(($B158+PARAM!$B$56)/12,Loyalty,2)*$F$1*MAX(BZ157,0)</f>
        <v>18.557001321003963</v>
      </c>
      <c r="BY158" s="75">
        <f>PARAM!$C$26+MAX($G$21-CHOOSE(PARAM!$B$44,MAX(0,BZ157*$F$1),0),0)*RATES!$L134/12+$H$21*(PARAM!$D$51/12)*RATES!$N134/100</f>
        <v>9.8237626051124849</v>
      </c>
      <c r="BZ158" s="16">
        <f t="shared" si="130"/>
        <v>107.74077203501446</v>
      </c>
      <c r="CA158" s="15">
        <f t="shared" si="105"/>
        <v>22.170849845882874</v>
      </c>
      <c r="CB158" s="75">
        <f>CA158*(1-PARAM!$C$27)*$I$22+(MOD($B158,60)=PARAM!$B$56)*($B158&gt;(60-PARAM!$B$56))*HLOOKUP(($B158+PARAM!$B$56)/12,Loyalty,2)*$F$1*MAX(CD157,0)</f>
        <v>18.557001321003963</v>
      </c>
      <c r="CC158" s="75">
        <f>PARAM!$C$26+MAX($G$22-CHOOSE(PARAM!$B$44,MAX(0,CD157*$F$1),0),0)*RATES!$L134/12+$H$22*(PARAM!$D$51/12)*RATES!$N134/100</f>
        <v>9.8237626051124849</v>
      </c>
      <c r="CD158" s="16">
        <f t="shared" si="131"/>
        <v>107.74077203501446</v>
      </c>
      <c r="CE158" s="33">
        <f>IF(0=MOD(B158,12/PARAM!$D$51),1,0)</f>
        <v>1</v>
      </c>
      <c r="CF158" s="15">
        <f t="shared" si="106"/>
        <v>0</v>
      </c>
      <c r="CG158" s="75">
        <f>CF158*(1-PARAM!$C$27)*$R$3+(MOD($B158/12,5)=0)*($B158&gt;60)*HLOOKUP($B158/12,Loyalty,2)*$F$1*MAX(CI157,0)</f>
        <v>0</v>
      </c>
      <c r="CH158" s="75">
        <f>PARAM!$C$26+MAX($P$3-CHOOSE(PARAM!$B$44,MAX(0,CI157*$F$1),0),0)*RATES!$L134/12+$Q$3*(PARAM!$D$51/12)*RATES!$N134/100</f>
        <v>9.8333333333333321</v>
      </c>
      <c r="CI158" s="16">
        <f>IF(CI157&gt;0,CI157*PARAM!$C$53,CI157)+CG158-CH158</f>
        <v>-2128.9999999999995</v>
      </c>
      <c r="CJ158" s="15">
        <f t="shared" si="132"/>
        <v>0</v>
      </c>
      <c r="CK158" s="75">
        <f>CJ158*(1-PARAM!$C$27)*$R$4+(MOD($B158/12,5)=0)*($B158&gt;60)*HLOOKUP($B158/12,Loyalty,2)*$F$1*MAX(CM157,0)</f>
        <v>0</v>
      </c>
      <c r="CL158" s="75">
        <f>PARAM!$C$26+MAX($P$4-CHOOSE(PARAM!$B$44,MAX(0,CM157*$F$1),0),0)*RATES!$L134/12+$Q$4*(PARAM!$D$51/12)*RATES!$N134/100</f>
        <v>9.8333333333333321</v>
      </c>
      <c r="CM158" s="16">
        <f>IF(CM157&gt;0,CM157*PARAM!$C$53,CM157)+CK158-CL158</f>
        <v>-2128.9999999999995</v>
      </c>
      <c r="CO158" s="176"/>
    </row>
    <row r="159" spans="1:93" x14ac:dyDescent="0.2">
      <c r="A159" t="b">
        <f t="shared" si="107"/>
        <v>0</v>
      </c>
      <c r="B159" s="33">
        <v>132</v>
      </c>
      <c r="C159" s="15">
        <f t="shared" si="108"/>
        <v>20.081305947392778</v>
      </c>
      <c r="D159" s="75">
        <f>C159*(1-PARAM!$C$27)*$I$3+(MOD($B159,60)=PARAM!$B$56)*($B159&gt;(60-PARAM!$B$56))*HLOOKUP(($B159+PARAM!$B$56)/12,Loyalty,2)*$F$1*MAX(F158,0)</f>
        <v>16.808053077967756</v>
      </c>
      <c r="E159" s="75">
        <f>PARAM!$C$26+MAX($G$3-CHOOSE(PARAM!$B$44,MAX(0,F158*$F$1),0),0)*RATES!$L135/12+$H$3*(PARAM!$D$51/12)*RATES!$N135/100</f>
        <v>9.8333333333333321</v>
      </c>
      <c r="F159" s="16">
        <f t="shared" si="109"/>
        <v>-96.142811058590297</v>
      </c>
      <c r="G159" s="15">
        <f t="shared" si="110"/>
        <v>22.035289406060361</v>
      </c>
      <c r="H159" s="75">
        <f>G159*(1-PARAM!$C$27)*$I$4+(MOD($B159,60)=PARAM!$B$56)*($B159&gt;(60-PARAM!$B$56))*HLOOKUP(($B159+PARAM!$B$56)/12,Loyalty,2)*$F$1*MAX(J158,0)</f>
        <v>18.443537232872522</v>
      </c>
      <c r="I159" s="75">
        <f>PARAM!$C$26+MAX($G$4-CHOOSE(PARAM!$B$44,MAX(0,J158*$F$1),0),0)*RATES!$L135/12+$H$4*(PARAM!$D$51/12)*RATES!$N135/100</f>
        <v>9.8242416420086052</v>
      </c>
      <c r="J159" s="16">
        <f t="shared" si="111"/>
        <v>102.67127481220002</v>
      </c>
      <c r="K159" s="15">
        <f t="shared" si="112"/>
        <v>22.170849845882874</v>
      </c>
      <c r="L159" s="75">
        <f>K159*(1-PARAM!$C$27)*$I$5+(MOD($B159,60)=PARAM!$B$56)*($B159&gt;(60-PARAM!$B$56))*HLOOKUP(($B159+PARAM!$B$56)/12,Loyalty,2)*$F$1*MAX(N158,0)</f>
        <v>18.557001321003963</v>
      </c>
      <c r="M159" s="75">
        <f>PARAM!$C$26+MAX($G$5-CHOOSE(PARAM!$B$44,MAX(0,N158*$F$1),0),0)*RATES!$L135/12+$H$5*(PARAM!$D$51/12)*RATES!$N135/100</f>
        <v>9.8229183920366161</v>
      </c>
      <c r="N159" s="16">
        <f t="shared" si="113"/>
        <v>116.47485496398181</v>
      </c>
      <c r="O159" s="15">
        <f t="shared" si="114"/>
        <v>22.170849845882874</v>
      </c>
      <c r="P159" s="75">
        <f>O159*(1-PARAM!$C$27)*$I$6+(MOD($B159,60)=PARAM!$B$56)*($B159&gt;(60-PARAM!$B$56))*HLOOKUP(($B159+PARAM!$B$56)/12,Loyalty,2)*$F$1*MAX(R158,0)</f>
        <v>18.557001321003963</v>
      </c>
      <c r="Q159" s="75">
        <f>PARAM!$C$26+MAX($G$6-CHOOSE(PARAM!$B$44,MAX(0,R158*$F$1),0),0)*RATES!$L135/12+$H$6*(PARAM!$D$51/12)*RATES!$N135/100</f>
        <v>9.8229183920366161</v>
      </c>
      <c r="R159" s="16">
        <f t="shared" si="115"/>
        <v>116.47485496398181</v>
      </c>
      <c r="S159" s="15">
        <f t="shared" si="90"/>
        <v>22.170849845882874</v>
      </c>
      <c r="T159" s="75">
        <f>S159*(1-PARAM!$C$27)*$I$7+(MOD($B159,60)=PARAM!$B$56)*($B159&gt;(60-PARAM!$B$56))*HLOOKUP(($B159+PARAM!$B$56)/12,Loyalty,2)*$F$1*MAX(V158,0)</f>
        <v>18.557001321003963</v>
      </c>
      <c r="U159" s="75">
        <f>PARAM!$C$26+MAX($G$7-CHOOSE(PARAM!$B$44,MAX(0,V158*$F$1),0),0)*RATES!$L135/12+$H$7*(PARAM!$D$51/12)*RATES!$N135/100</f>
        <v>9.8229183920366161</v>
      </c>
      <c r="V159" s="16">
        <f t="shared" si="116"/>
        <v>116.47485496398181</v>
      </c>
      <c r="W159" s="15">
        <f t="shared" si="91"/>
        <v>22.170849845882874</v>
      </c>
      <c r="X159" s="75">
        <f>W159*(1-PARAM!$C$27)*$I$8+(MOD($B159,60)=PARAM!$B$56)*($B159&gt;(60-PARAM!$B$56))*HLOOKUP(($B159+PARAM!$B$56)/12,Loyalty,2)*$F$1*MAX(Z158,0)</f>
        <v>18.557001321003963</v>
      </c>
      <c r="Y159" s="75">
        <f>PARAM!$C$26+MAX($G$8-CHOOSE(PARAM!$B$44,MAX(0,Z158*$F$1),0),0)*RATES!$L135/12+$H$8*(PARAM!$D$51/12)*RATES!$N135/100</f>
        <v>9.8229183920366161</v>
      </c>
      <c r="Z159" s="16">
        <f t="shared" si="117"/>
        <v>116.47485496398181</v>
      </c>
      <c r="AA159" s="15">
        <f t="shared" si="92"/>
        <v>22.170849845882874</v>
      </c>
      <c r="AB159" s="75">
        <f>AA159*(1-PARAM!$C$27)*$I$9+(MOD($B159,60)=PARAM!$B$56)*($B159&gt;(60-PARAM!$B$56))*HLOOKUP(($B159+PARAM!$B$56)/12,Loyalty,2)*$F$1*MAX(AD158,0)</f>
        <v>18.557001321003963</v>
      </c>
      <c r="AC159" s="75">
        <f>PARAM!$C$26+MAX($G$9-CHOOSE(PARAM!$B$44,MAX(0,AD158*$F$1),0),0)*RATES!$L135/12+$H$9*(PARAM!$D$51/12)*RATES!$N135/100</f>
        <v>9.8229183920366161</v>
      </c>
      <c r="AD159" s="16">
        <f t="shared" si="118"/>
        <v>116.47485496398181</v>
      </c>
      <c r="AE159" s="15">
        <f t="shared" si="93"/>
        <v>22.170849845882874</v>
      </c>
      <c r="AF159" s="75">
        <f>AE159*(1-PARAM!$C$27)*$I$10+(MOD($B159,60)=PARAM!$B$56)*($B159&gt;(60-PARAM!$B$56))*HLOOKUP(($B159+PARAM!$B$56)/12,Loyalty,2)*$F$1*MAX(AH158,0)</f>
        <v>18.557001321003963</v>
      </c>
      <c r="AG159" s="75">
        <f>PARAM!$C$26+MAX($G$10-CHOOSE(PARAM!$B$44,MAX(0,AH158*$F$1),0),0)*RATES!$L135/12+$H$10*(PARAM!$D$51/12)*RATES!$N135/100</f>
        <v>9.8229183920366161</v>
      </c>
      <c r="AH159" s="16">
        <f t="shared" si="119"/>
        <v>116.47485496398181</v>
      </c>
      <c r="AI159" s="15">
        <f t="shared" si="94"/>
        <v>22.170849845882874</v>
      </c>
      <c r="AJ159" s="75">
        <f>AI159*(1-PARAM!$C$27)*$I$11+(MOD($B159,60)=PARAM!$B$56)*($B159&gt;(60-PARAM!$B$56))*HLOOKUP(($B159+PARAM!$B$56)/12,Loyalty,2)*$F$1*MAX(AL158,0)</f>
        <v>18.557001321003963</v>
      </c>
      <c r="AK159" s="75">
        <f>PARAM!$C$26+MAX($G$11-CHOOSE(PARAM!$B$44,MAX(0,AL158*$F$1),0),0)*RATES!$L135/12+$H$11*(PARAM!$D$51/12)*RATES!$N135/100</f>
        <v>9.8229183920366161</v>
      </c>
      <c r="AL159" s="16">
        <f t="shared" si="120"/>
        <v>116.47485496398181</v>
      </c>
      <c r="AM159" s="15">
        <f t="shared" si="95"/>
        <v>22.170849845882874</v>
      </c>
      <c r="AN159" s="75">
        <f>AM159*(1-PARAM!$C$27)*$I$12+(MOD($B159,60)=PARAM!$B$56)*($B159&gt;(60-PARAM!$B$56))*HLOOKUP(($B159+PARAM!$B$56)/12,Loyalty,2)*$F$1*MAX(AP158,0)</f>
        <v>18.557001321003963</v>
      </c>
      <c r="AO159" s="75">
        <f>PARAM!$C$26+MAX($G$12-CHOOSE(PARAM!$B$44,MAX(0,AP158*$F$1),0),0)*RATES!$L135/12+$H$12*(PARAM!$D$51/12)*RATES!$N135/100</f>
        <v>9.8229183920366161</v>
      </c>
      <c r="AP159" s="16">
        <f t="shared" si="121"/>
        <v>116.47485496398181</v>
      </c>
      <c r="AQ159" s="15">
        <f t="shared" si="96"/>
        <v>22.170849845882874</v>
      </c>
      <c r="AR159" s="75">
        <f>AQ159*(1-PARAM!$C$27)*$I$13+(MOD($B159,60)=PARAM!$B$56)*($B159&gt;(60-PARAM!$B$56))*HLOOKUP(($B159+PARAM!$B$56)/12,Loyalty,2)*$F$1*MAX(AT158,0)</f>
        <v>18.557001321003963</v>
      </c>
      <c r="AS159" s="75">
        <f>PARAM!$C$26+MAX($G$13-CHOOSE(PARAM!$B$44,MAX(0,AT158*$F$1),0),0)*RATES!$L135/12+$H$13*(PARAM!$D$51/12)*RATES!$N135/100</f>
        <v>9.8229183920366161</v>
      </c>
      <c r="AT159" s="16">
        <f t="shared" si="122"/>
        <v>116.47485496398181</v>
      </c>
      <c r="AU159" s="15">
        <f t="shared" si="97"/>
        <v>22.170849845882874</v>
      </c>
      <c r="AV159" s="75">
        <f>AU159*(1-PARAM!$C$27)*$I$14+(MOD($B159,60)=PARAM!$B$56)*($B159&gt;(60-PARAM!$B$56))*HLOOKUP(($B159+PARAM!$B$56)/12,Loyalty,2)*$F$1*MAX(AX158,0)</f>
        <v>18.557001321003963</v>
      </c>
      <c r="AW159" s="75">
        <f>PARAM!$C$26+MAX($G$14-CHOOSE(PARAM!$B$44,MAX(0,AX158*$F$1),0),0)*RATES!$L135/12+$H$14*(PARAM!$D$51/12)*RATES!$N135/100</f>
        <v>9.8229183920366161</v>
      </c>
      <c r="AX159" s="16">
        <f t="shared" si="123"/>
        <v>116.47485496398181</v>
      </c>
      <c r="AY159" s="15">
        <f t="shared" si="98"/>
        <v>22.170849845882874</v>
      </c>
      <c r="AZ159" s="75">
        <f>AY159*(1-PARAM!$C$27)*$I$15+(MOD($B159,60)=PARAM!$B$56)*($B159&gt;(60-PARAM!$B$56))*HLOOKUP(($B159+PARAM!$B$56)/12,Loyalty,2)*$F$1*MAX(BB158,0)</f>
        <v>18.557001321003963</v>
      </c>
      <c r="BA159" s="75">
        <f>PARAM!$C$26+MAX($G$15-CHOOSE(PARAM!$B$44,MAX(0,BB158*$F$1),0),0)*RATES!$L135/12+$H$15*(PARAM!$D$51/12)*RATES!$N135/100</f>
        <v>9.8229183920366161</v>
      </c>
      <c r="BB159" s="16">
        <f t="shared" si="124"/>
        <v>116.47485496398181</v>
      </c>
      <c r="BC159" s="15">
        <f t="shared" si="99"/>
        <v>22.170849845882874</v>
      </c>
      <c r="BD159" s="75">
        <f>BC159*(1-PARAM!$C$27)*$I$16+(MOD($B159,60)=PARAM!$B$56)*($B159&gt;(60-PARAM!$B$56))*HLOOKUP(($B159+PARAM!$B$56)/12,Loyalty,2)*$F$1*MAX(BF158,0)</f>
        <v>18.557001321003963</v>
      </c>
      <c r="BE159" s="75">
        <f>PARAM!$C$26+MAX($G$16-CHOOSE(PARAM!$B$44,MAX(0,BF158*$F$1),0),0)*RATES!$L135/12+$H$16*(PARAM!$D$51/12)*RATES!$N135/100</f>
        <v>9.8229183920366161</v>
      </c>
      <c r="BF159" s="16">
        <f t="shared" si="125"/>
        <v>116.47485496398181</v>
      </c>
      <c r="BG159" s="15">
        <f t="shared" si="100"/>
        <v>22.170849845882874</v>
      </c>
      <c r="BH159" s="75">
        <f>BG159*(1-PARAM!$C$27)*$I$17+(MOD($B159,60)=PARAM!$B$56)*($B159&gt;(60-PARAM!$B$56))*HLOOKUP(($B159+PARAM!$B$56)/12,Loyalty,2)*$F$1*MAX(BJ158,0)</f>
        <v>18.557001321003963</v>
      </c>
      <c r="BI159" s="75">
        <f>PARAM!$C$26+MAX($G$17-CHOOSE(PARAM!$B$44,MAX(0,BJ158*$F$1),0),0)*RATES!$L135/12+$H$17*(PARAM!$D$51/12)*RATES!$N135/100</f>
        <v>9.8229183920366161</v>
      </c>
      <c r="BJ159" s="16">
        <f t="shared" si="126"/>
        <v>116.47485496398181</v>
      </c>
      <c r="BK159" s="15">
        <f t="shared" si="101"/>
        <v>22.170849845882874</v>
      </c>
      <c r="BL159" s="75">
        <f>BK159*(1-PARAM!$C$27)*$I$18+(MOD($B159,60)=PARAM!$B$56)*($B159&gt;(60-PARAM!$B$56))*HLOOKUP(($B159+PARAM!$B$56)/12,Loyalty,2)*$F$1*MAX(BN158,0)</f>
        <v>18.557001321003963</v>
      </c>
      <c r="BM159" s="75">
        <f>PARAM!$C$26+MAX($G$18-CHOOSE(PARAM!$B$44,MAX(0,BN158*$F$1),0),0)*RATES!$L135/12+$H$18*(PARAM!$D$51/12)*RATES!$N135/100</f>
        <v>9.8229183920366161</v>
      </c>
      <c r="BN159" s="16">
        <f t="shared" si="127"/>
        <v>116.47485496398181</v>
      </c>
      <c r="BO159" s="15">
        <f t="shared" si="102"/>
        <v>22.170849845882874</v>
      </c>
      <c r="BP159" s="75">
        <f>BO159*(1-PARAM!$C$27)*$I$19+(MOD($B159,60)=PARAM!$B$56)*($B159&gt;(60-PARAM!$B$56))*HLOOKUP(($B159+PARAM!$B$56)/12,Loyalty,2)*$F$1*MAX(BR158,0)</f>
        <v>18.557001321003963</v>
      </c>
      <c r="BQ159" s="75">
        <f>PARAM!$C$26+MAX($G$19-CHOOSE(PARAM!$B$44,MAX(0,BR158*$F$1),0),0)*RATES!$L135/12+$H$19*(PARAM!$D$51/12)*RATES!$N135/100</f>
        <v>9.8229183920366161</v>
      </c>
      <c r="BR159" s="16">
        <f t="shared" si="128"/>
        <v>116.47485496398181</v>
      </c>
      <c r="BS159" s="15">
        <f t="shared" si="103"/>
        <v>22.170849845882874</v>
      </c>
      <c r="BT159" s="75">
        <f>BS159*(1-PARAM!$C$27)*$I$20+(MOD($B159,60)=PARAM!$B$56)*($B159&gt;(60-PARAM!$B$56))*HLOOKUP(($B159+PARAM!$B$56)/12,Loyalty,2)*$F$1*MAX(BV158,0)</f>
        <v>18.557001321003963</v>
      </c>
      <c r="BU159" s="75">
        <f>PARAM!$C$26+MAX($G$20-CHOOSE(PARAM!$B$44,MAX(0,BV158*$F$1),0),0)*RATES!$L135/12+$H$20*(PARAM!$D$51/12)*RATES!$N135/100</f>
        <v>9.8229183920366161</v>
      </c>
      <c r="BV159" s="16">
        <f t="shared" si="129"/>
        <v>116.47485496398181</v>
      </c>
      <c r="BW159" s="15">
        <f t="shared" si="104"/>
        <v>22.170849845882874</v>
      </c>
      <c r="BX159" s="75">
        <f>BW159*(1-PARAM!$C$27)*$I$21+(MOD($B159,60)=PARAM!$B$56)*($B159&gt;(60-PARAM!$B$56))*HLOOKUP(($B159+PARAM!$B$56)/12,Loyalty,2)*$F$1*MAX(BZ158,0)</f>
        <v>18.557001321003963</v>
      </c>
      <c r="BY159" s="75">
        <f>PARAM!$C$26+MAX($G$21-CHOOSE(PARAM!$B$44,MAX(0,BZ158*$F$1),0),0)*RATES!$L135/12+$H$21*(PARAM!$D$51/12)*RATES!$N135/100</f>
        <v>9.8229183920366161</v>
      </c>
      <c r="BZ159" s="16">
        <f t="shared" si="130"/>
        <v>116.47485496398181</v>
      </c>
      <c r="CA159" s="15">
        <f t="shared" si="105"/>
        <v>22.170849845882874</v>
      </c>
      <c r="CB159" s="75">
        <f>CA159*(1-PARAM!$C$27)*$I$22+(MOD($B159,60)=PARAM!$B$56)*($B159&gt;(60-PARAM!$B$56))*HLOOKUP(($B159+PARAM!$B$56)/12,Loyalty,2)*$F$1*MAX(CD158,0)</f>
        <v>18.557001321003963</v>
      </c>
      <c r="CC159" s="75">
        <f>PARAM!$C$26+MAX($G$22-CHOOSE(PARAM!$B$44,MAX(0,CD158*$F$1),0),0)*RATES!$L135/12+$H$22*(PARAM!$D$51/12)*RATES!$N135/100</f>
        <v>9.8229183920366161</v>
      </c>
      <c r="CD159" s="16">
        <f t="shared" si="131"/>
        <v>116.47485496398181</v>
      </c>
      <c r="CE159" s="33">
        <f>IF(0=MOD(B159,12/PARAM!$D$51),1,0)</f>
        <v>1</v>
      </c>
      <c r="CF159" s="15">
        <f t="shared" si="106"/>
        <v>0</v>
      </c>
      <c r="CG159" s="75">
        <f>CF159*(1-PARAM!$C$27)*$R$3+(MOD($B159/12,5)=0)*($B159&gt;60)*HLOOKUP($B159/12,Loyalty,2)*$F$1*MAX(CI158,0)</f>
        <v>0</v>
      </c>
      <c r="CH159" s="75">
        <f>PARAM!$C$26+MAX($P$3-CHOOSE(PARAM!$B$44,MAX(0,CI158*$F$1),0),0)*RATES!$L135/12+$Q$3*(PARAM!$D$51/12)*RATES!$N135/100</f>
        <v>9.8333333333333321</v>
      </c>
      <c r="CI159" s="16">
        <f>IF(CI158&gt;0,CI158*PARAM!$C$53,CI158)+CG159-CH159</f>
        <v>-2138.833333333333</v>
      </c>
      <c r="CJ159" s="15">
        <f t="shared" si="132"/>
        <v>0</v>
      </c>
      <c r="CK159" s="75">
        <f>CJ159*(1-PARAM!$C$27)*$R$4+(MOD($B159/12,5)=0)*($B159&gt;60)*HLOOKUP($B159/12,Loyalty,2)*$F$1*MAX(CM158,0)</f>
        <v>0</v>
      </c>
      <c r="CL159" s="75">
        <f>PARAM!$C$26+MAX($P$4-CHOOSE(PARAM!$B$44,MAX(0,CM158*$F$1),0),0)*RATES!$L135/12+$Q$4*(PARAM!$D$51/12)*RATES!$N135/100</f>
        <v>9.8333333333333321</v>
      </c>
      <c r="CM159" s="16">
        <f>IF(CM158&gt;0,CM158*PARAM!$C$53,CM158)+CK159-CL159</f>
        <v>-2138.833333333333</v>
      </c>
      <c r="CO159" s="176"/>
    </row>
    <row r="160" spans="1:93" x14ac:dyDescent="0.2">
      <c r="A160" t="b">
        <f t="shared" si="107"/>
        <v>0</v>
      </c>
      <c r="B160" s="33">
        <v>133</v>
      </c>
      <c r="C160" s="15">
        <f t="shared" si="108"/>
        <v>20.081305947392778</v>
      </c>
      <c r="D160" s="75">
        <f>C160*(1-PARAM!$C$27)*$I$3+(MOD($B160,60)=PARAM!$B$56)*($B160&gt;(60-PARAM!$B$56))*HLOOKUP(($B160+PARAM!$B$56)/12,Loyalty,2)*$F$1*MAX(F159,0)</f>
        <v>16.808053077967756</v>
      </c>
      <c r="E160" s="75">
        <f>PARAM!$C$26+MAX($G$3-CHOOSE(PARAM!$B$44,MAX(0,F159*$F$1),0),0)*RATES!$L136/12+$H$3*(PARAM!$D$51/12)*RATES!$N136/100</f>
        <v>9.8333333333333321</v>
      </c>
      <c r="F160" s="16">
        <f t="shared" si="109"/>
        <v>-89.16809131395587</v>
      </c>
      <c r="G160" s="15">
        <f t="shared" si="110"/>
        <v>22.035289406060361</v>
      </c>
      <c r="H160" s="75">
        <f>G160*(1-PARAM!$C$27)*$I$4+(MOD($B160,60)=PARAM!$B$56)*($B160&gt;(60-PARAM!$B$56))*HLOOKUP(($B160+PARAM!$B$56)/12,Loyalty,2)*$F$1*MAX(J159,0)</f>
        <v>18.443537232872522</v>
      </c>
      <c r="I160" s="75">
        <f>PARAM!$C$26+MAX($G$4-CHOOSE(PARAM!$B$44,MAX(0,J159*$F$1),0),0)*RATES!$L136/12+$H$4*(PARAM!$D$51/12)*RATES!$N136/100</f>
        <v>9.8234084434348219</v>
      </c>
      <c r="J160" s="16">
        <f t="shared" si="111"/>
        <v>111.29140360163771</v>
      </c>
      <c r="K160" s="15">
        <f t="shared" si="112"/>
        <v>22.170849845882874</v>
      </c>
      <c r="L160" s="75">
        <f>K160*(1-PARAM!$C$27)*$I$5+(MOD($B160,60)=PARAM!$B$56)*($B160&gt;(60-PARAM!$B$56))*HLOOKUP(($B160+PARAM!$B$56)/12,Loyalty,2)*$F$1*MAX(N159,0)</f>
        <v>18.557001321003963</v>
      </c>
      <c r="M160" s="75">
        <f>PARAM!$C$26+MAX($G$5-CHOOSE(PARAM!$B$44,MAX(0,N159*$F$1),0),0)*RATES!$L136/12+$H$5*(PARAM!$D$51/12)*RATES!$N136/100</f>
        <v>9.8220740973534824</v>
      </c>
      <c r="N160" s="16">
        <f t="shared" si="113"/>
        <v>125.20978218763229</v>
      </c>
      <c r="O160" s="15">
        <f t="shared" si="114"/>
        <v>22.170849845882874</v>
      </c>
      <c r="P160" s="75">
        <f>O160*(1-PARAM!$C$27)*$I$6+(MOD($B160,60)=PARAM!$B$56)*($B160&gt;(60-PARAM!$B$56))*HLOOKUP(($B160+PARAM!$B$56)/12,Loyalty,2)*$F$1*MAX(R159,0)</f>
        <v>18.557001321003963</v>
      </c>
      <c r="Q160" s="75">
        <f>PARAM!$C$26+MAX($G$6-CHOOSE(PARAM!$B$44,MAX(0,R159*$F$1),0),0)*RATES!$L136/12+$H$6*(PARAM!$D$51/12)*RATES!$N136/100</f>
        <v>9.8220740973534824</v>
      </c>
      <c r="R160" s="16">
        <f t="shared" si="115"/>
        <v>125.20978218763229</v>
      </c>
      <c r="S160" s="15">
        <f t="shared" si="90"/>
        <v>22.170849845882874</v>
      </c>
      <c r="T160" s="75">
        <f>S160*(1-PARAM!$C$27)*$I$7+(MOD($B160,60)=PARAM!$B$56)*($B160&gt;(60-PARAM!$B$56))*HLOOKUP(($B160+PARAM!$B$56)/12,Loyalty,2)*$F$1*MAX(V159,0)</f>
        <v>18.557001321003963</v>
      </c>
      <c r="U160" s="75">
        <f>PARAM!$C$26+MAX($G$7-CHOOSE(PARAM!$B$44,MAX(0,V159*$F$1),0),0)*RATES!$L136/12+$H$7*(PARAM!$D$51/12)*RATES!$N136/100</f>
        <v>9.8220740973534824</v>
      </c>
      <c r="V160" s="16">
        <f t="shared" si="116"/>
        <v>125.20978218763229</v>
      </c>
      <c r="W160" s="15">
        <f t="shared" si="91"/>
        <v>22.170849845882874</v>
      </c>
      <c r="X160" s="75">
        <f>W160*(1-PARAM!$C$27)*$I$8+(MOD($B160,60)=PARAM!$B$56)*($B160&gt;(60-PARAM!$B$56))*HLOOKUP(($B160+PARAM!$B$56)/12,Loyalty,2)*$F$1*MAX(Z159,0)</f>
        <v>18.557001321003963</v>
      </c>
      <c r="Y160" s="75">
        <f>PARAM!$C$26+MAX($G$8-CHOOSE(PARAM!$B$44,MAX(0,Z159*$F$1),0),0)*RATES!$L136/12+$H$8*(PARAM!$D$51/12)*RATES!$N136/100</f>
        <v>9.8220740973534824</v>
      </c>
      <c r="Z160" s="16">
        <f t="shared" si="117"/>
        <v>125.20978218763229</v>
      </c>
      <c r="AA160" s="15">
        <f t="shared" si="92"/>
        <v>22.170849845882874</v>
      </c>
      <c r="AB160" s="75">
        <f>AA160*(1-PARAM!$C$27)*$I$9+(MOD($B160,60)=PARAM!$B$56)*($B160&gt;(60-PARAM!$B$56))*HLOOKUP(($B160+PARAM!$B$56)/12,Loyalty,2)*$F$1*MAX(AD159,0)</f>
        <v>18.557001321003963</v>
      </c>
      <c r="AC160" s="75">
        <f>PARAM!$C$26+MAX($G$9-CHOOSE(PARAM!$B$44,MAX(0,AD159*$F$1),0),0)*RATES!$L136/12+$H$9*(PARAM!$D$51/12)*RATES!$N136/100</f>
        <v>9.8220740973534824</v>
      </c>
      <c r="AD160" s="16">
        <f t="shared" si="118"/>
        <v>125.20978218763229</v>
      </c>
      <c r="AE160" s="15">
        <f t="shared" si="93"/>
        <v>22.170849845882874</v>
      </c>
      <c r="AF160" s="75">
        <f>AE160*(1-PARAM!$C$27)*$I$10+(MOD($B160,60)=PARAM!$B$56)*($B160&gt;(60-PARAM!$B$56))*HLOOKUP(($B160+PARAM!$B$56)/12,Loyalty,2)*$F$1*MAX(AH159,0)</f>
        <v>18.557001321003963</v>
      </c>
      <c r="AG160" s="75">
        <f>PARAM!$C$26+MAX($G$10-CHOOSE(PARAM!$B$44,MAX(0,AH159*$F$1),0),0)*RATES!$L136/12+$H$10*(PARAM!$D$51/12)*RATES!$N136/100</f>
        <v>9.8220740973534824</v>
      </c>
      <c r="AH160" s="16">
        <f t="shared" si="119"/>
        <v>125.20978218763229</v>
      </c>
      <c r="AI160" s="15">
        <f t="shared" si="94"/>
        <v>22.170849845882874</v>
      </c>
      <c r="AJ160" s="75">
        <f>AI160*(1-PARAM!$C$27)*$I$11+(MOD($B160,60)=PARAM!$B$56)*($B160&gt;(60-PARAM!$B$56))*HLOOKUP(($B160+PARAM!$B$56)/12,Loyalty,2)*$F$1*MAX(AL159,0)</f>
        <v>18.557001321003963</v>
      </c>
      <c r="AK160" s="75">
        <f>PARAM!$C$26+MAX($G$11-CHOOSE(PARAM!$B$44,MAX(0,AL159*$F$1),0),0)*RATES!$L136/12+$H$11*(PARAM!$D$51/12)*RATES!$N136/100</f>
        <v>9.8220740973534824</v>
      </c>
      <c r="AL160" s="16">
        <f t="shared" si="120"/>
        <v>125.20978218763229</v>
      </c>
      <c r="AM160" s="15">
        <f t="shared" si="95"/>
        <v>22.170849845882874</v>
      </c>
      <c r="AN160" s="75">
        <f>AM160*(1-PARAM!$C$27)*$I$12+(MOD($B160,60)=PARAM!$B$56)*($B160&gt;(60-PARAM!$B$56))*HLOOKUP(($B160+PARAM!$B$56)/12,Loyalty,2)*$F$1*MAX(AP159,0)</f>
        <v>18.557001321003963</v>
      </c>
      <c r="AO160" s="75">
        <f>PARAM!$C$26+MAX($G$12-CHOOSE(PARAM!$B$44,MAX(0,AP159*$F$1),0),0)*RATES!$L136/12+$H$12*(PARAM!$D$51/12)*RATES!$N136/100</f>
        <v>9.8220740973534824</v>
      </c>
      <c r="AP160" s="16">
        <f t="shared" si="121"/>
        <v>125.20978218763229</v>
      </c>
      <c r="AQ160" s="15">
        <f t="shared" si="96"/>
        <v>22.170849845882874</v>
      </c>
      <c r="AR160" s="75">
        <f>AQ160*(1-PARAM!$C$27)*$I$13+(MOD($B160,60)=PARAM!$B$56)*($B160&gt;(60-PARAM!$B$56))*HLOOKUP(($B160+PARAM!$B$56)/12,Loyalty,2)*$F$1*MAX(AT159,0)</f>
        <v>18.557001321003963</v>
      </c>
      <c r="AS160" s="75">
        <f>PARAM!$C$26+MAX($G$13-CHOOSE(PARAM!$B$44,MAX(0,AT159*$F$1),0),0)*RATES!$L136/12+$H$13*(PARAM!$D$51/12)*RATES!$N136/100</f>
        <v>9.8220740973534824</v>
      </c>
      <c r="AT160" s="16">
        <f t="shared" si="122"/>
        <v>125.20978218763229</v>
      </c>
      <c r="AU160" s="15">
        <f t="shared" si="97"/>
        <v>22.170849845882874</v>
      </c>
      <c r="AV160" s="75">
        <f>AU160*(1-PARAM!$C$27)*$I$14+(MOD($B160,60)=PARAM!$B$56)*($B160&gt;(60-PARAM!$B$56))*HLOOKUP(($B160+PARAM!$B$56)/12,Loyalty,2)*$F$1*MAX(AX159,0)</f>
        <v>18.557001321003963</v>
      </c>
      <c r="AW160" s="75">
        <f>PARAM!$C$26+MAX($G$14-CHOOSE(PARAM!$B$44,MAX(0,AX159*$F$1),0),0)*RATES!$L136/12+$H$14*(PARAM!$D$51/12)*RATES!$N136/100</f>
        <v>9.8220740973534824</v>
      </c>
      <c r="AX160" s="16">
        <f t="shared" si="123"/>
        <v>125.20978218763229</v>
      </c>
      <c r="AY160" s="15">
        <f t="shared" si="98"/>
        <v>22.170849845882874</v>
      </c>
      <c r="AZ160" s="75">
        <f>AY160*(1-PARAM!$C$27)*$I$15+(MOD($B160,60)=PARAM!$B$56)*($B160&gt;(60-PARAM!$B$56))*HLOOKUP(($B160+PARAM!$B$56)/12,Loyalty,2)*$F$1*MAX(BB159,0)</f>
        <v>18.557001321003963</v>
      </c>
      <c r="BA160" s="75">
        <f>PARAM!$C$26+MAX($G$15-CHOOSE(PARAM!$B$44,MAX(0,BB159*$F$1),0),0)*RATES!$L136/12+$H$15*(PARAM!$D$51/12)*RATES!$N136/100</f>
        <v>9.8220740973534824</v>
      </c>
      <c r="BB160" s="16">
        <f t="shared" si="124"/>
        <v>125.20978218763229</v>
      </c>
      <c r="BC160" s="15">
        <f t="shared" si="99"/>
        <v>22.170849845882874</v>
      </c>
      <c r="BD160" s="75">
        <f>BC160*(1-PARAM!$C$27)*$I$16+(MOD($B160,60)=PARAM!$B$56)*($B160&gt;(60-PARAM!$B$56))*HLOOKUP(($B160+PARAM!$B$56)/12,Loyalty,2)*$F$1*MAX(BF159,0)</f>
        <v>18.557001321003963</v>
      </c>
      <c r="BE160" s="75">
        <f>PARAM!$C$26+MAX($G$16-CHOOSE(PARAM!$B$44,MAX(0,BF159*$F$1),0),0)*RATES!$L136/12+$H$16*(PARAM!$D$51/12)*RATES!$N136/100</f>
        <v>9.8220740973534824</v>
      </c>
      <c r="BF160" s="16">
        <f t="shared" si="125"/>
        <v>125.20978218763229</v>
      </c>
      <c r="BG160" s="15">
        <f t="shared" si="100"/>
        <v>22.170849845882874</v>
      </c>
      <c r="BH160" s="75">
        <f>BG160*(1-PARAM!$C$27)*$I$17+(MOD($B160,60)=PARAM!$B$56)*($B160&gt;(60-PARAM!$B$56))*HLOOKUP(($B160+PARAM!$B$56)/12,Loyalty,2)*$F$1*MAX(BJ159,0)</f>
        <v>18.557001321003963</v>
      </c>
      <c r="BI160" s="75">
        <f>PARAM!$C$26+MAX($G$17-CHOOSE(PARAM!$B$44,MAX(0,BJ159*$F$1),0),0)*RATES!$L136/12+$H$17*(PARAM!$D$51/12)*RATES!$N136/100</f>
        <v>9.8220740973534824</v>
      </c>
      <c r="BJ160" s="16">
        <f t="shared" si="126"/>
        <v>125.20978218763229</v>
      </c>
      <c r="BK160" s="15">
        <f t="shared" si="101"/>
        <v>22.170849845882874</v>
      </c>
      <c r="BL160" s="75">
        <f>BK160*(1-PARAM!$C$27)*$I$18+(MOD($B160,60)=PARAM!$B$56)*($B160&gt;(60-PARAM!$B$56))*HLOOKUP(($B160+PARAM!$B$56)/12,Loyalty,2)*$F$1*MAX(BN159,0)</f>
        <v>18.557001321003963</v>
      </c>
      <c r="BM160" s="75">
        <f>PARAM!$C$26+MAX($G$18-CHOOSE(PARAM!$B$44,MAX(0,BN159*$F$1),0),0)*RATES!$L136/12+$H$18*(PARAM!$D$51/12)*RATES!$N136/100</f>
        <v>9.8220740973534824</v>
      </c>
      <c r="BN160" s="16">
        <f t="shared" si="127"/>
        <v>125.20978218763229</v>
      </c>
      <c r="BO160" s="15">
        <f t="shared" si="102"/>
        <v>22.170849845882874</v>
      </c>
      <c r="BP160" s="75">
        <f>BO160*(1-PARAM!$C$27)*$I$19+(MOD($B160,60)=PARAM!$B$56)*($B160&gt;(60-PARAM!$B$56))*HLOOKUP(($B160+PARAM!$B$56)/12,Loyalty,2)*$F$1*MAX(BR159,0)</f>
        <v>18.557001321003963</v>
      </c>
      <c r="BQ160" s="75">
        <f>PARAM!$C$26+MAX($G$19-CHOOSE(PARAM!$B$44,MAX(0,BR159*$F$1),0),0)*RATES!$L136/12+$H$19*(PARAM!$D$51/12)*RATES!$N136/100</f>
        <v>9.8220740973534824</v>
      </c>
      <c r="BR160" s="16">
        <f t="shared" si="128"/>
        <v>125.20978218763229</v>
      </c>
      <c r="BS160" s="15">
        <f t="shared" si="103"/>
        <v>22.170849845882874</v>
      </c>
      <c r="BT160" s="75">
        <f>BS160*(1-PARAM!$C$27)*$I$20+(MOD($B160,60)=PARAM!$B$56)*($B160&gt;(60-PARAM!$B$56))*HLOOKUP(($B160+PARAM!$B$56)/12,Loyalty,2)*$F$1*MAX(BV159,0)</f>
        <v>18.557001321003963</v>
      </c>
      <c r="BU160" s="75">
        <f>PARAM!$C$26+MAX($G$20-CHOOSE(PARAM!$B$44,MAX(0,BV159*$F$1),0),0)*RATES!$L136/12+$H$20*(PARAM!$D$51/12)*RATES!$N136/100</f>
        <v>9.8220740973534824</v>
      </c>
      <c r="BV160" s="16">
        <f t="shared" si="129"/>
        <v>125.20978218763229</v>
      </c>
      <c r="BW160" s="15">
        <f t="shared" si="104"/>
        <v>22.170849845882874</v>
      </c>
      <c r="BX160" s="75">
        <f>BW160*(1-PARAM!$C$27)*$I$21+(MOD($B160,60)=PARAM!$B$56)*($B160&gt;(60-PARAM!$B$56))*HLOOKUP(($B160+PARAM!$B$56)/12,Loyalty,2)*$F$1*MAX(BZ159,0)</f>
        <v>18.557001321003963</v>
      </c>
      <c r="BY160" s="75">
        <f>PARAM!$C$26+MAX($G$21-CHOOSE(PARAM!$B$44,MAX(0,BZ159*$F$1),0),0)*RATES!$L136/12+$H$21*(PARAM!$D$51/12)*RATES!$N136/100</f>
        <v>9.8220740973534824</v>
      </c>
      <c r="BZ160" s="16">
        <f t="shared" si="130"/>
        <v>125.20978218763229</v>
      </c>
      <c r="CA160" s="15">
        <f t="shared" si="105"/>
        <v>22.170849845882874</v>
      </c>
      <c r="CB160" s="75">
        <f>CA160*(1-PARAM!$C$27)*$I$22+(MOD($B160,60)=PARAM!$B$56)*($B160&gt;(60-PARAM!$B$56))*HLOOKUP(($B160+PARAM!$B$56)/12,Loyalty,2)*$F$1*MAX(CD159,0)</f>
        <v>18.557001321003963</v>
      </c>
      <c r="CC160" s="75">
        <f>PARAM!$C$26+MAX($G$22-CHOOSE(PARAM!$B$44,MAX(0,CD159*$F$1),0),0)*RATES!$L136/12+$H$22*(PARAM!$D$51/12)*RATES!$N136/100</f>
        <v>9.8220740973534824</v>
      </c>
      <c r="CD160" s="16">
        <f t="shared" si="131"/>
        <v>125.20978218763229</v>
      </c>
      <c r="CE160" s="33">
        <f>IF(0=MOD(B160,12/PARAM!$D$51),1,0)</f>
        <v>1</v>
      </c>
      <c r="CF160" s="15">
        <f t="shared" si="106"/>
        <v>0</v>
      </c>
      <c r="CG160" s="75">
        <f>CF160*(1-PARAM!$C$27)*$R$3+(MOD($B160/12,5)=0)*($B160&gt;60)*HLOOKUP($B160/12,Loyalty,2)*$F$1*MAX(CI159,0)</f>
        <v>0</v>
      </c>
      <c r="CH160" s="75">
        <f>PARAM!$C$26+MAX($P$3-CHOOSE(PARAM!$B$44,MAX(0,CI159*$F$1),0),0)*RATES!$L136/12+$Q$3*(PARAM!$D$51/12)*RATES!$N136/100</f>
        <v>9.8333333333333321</v>
      </c>
      <c r="CI160" s="16">
        <f>IF(CI159&gt;0,CI159*PARAM!$C$53,CI159)+CG160-CH160</f>
        <v>-2148.6666666666665</v>
      </c>
      <c r="CJ160" s="15">
        <f t="shared" si="132"/>
        <v>0</v>
      </c>
      <c r="CK160" s="75">
        <f>CJ160*(1-PARAM!$C$27)*$R$4+(MOD($B160/12,5)=0)*($B160&gt;60)*HLOOKUP($B160/12,Loyalty,2)*$F$1*MAX(CM159,0)</f>
        <v>0</v>
      </c>
      <c r="CL160" s="75">
        <f>PARAM!$C$26+MAX($P$4-CHOOSE(PARAM!$B$44,MAX(0,CM159*$F$1),0),0)*RATES!$L136/12+$Q$4*(PARAM!$D$51/12)*RATES!$N136/100</f>
        <v>9.8333333333333321</v>
      </c>
      <c r="CM160" s="16">
        <f>IF(CM159&gt;0,CM159*PARAM!$C$53,CM159)+CK160-CL160</f>
        <v>-2148.6666666666665</v>
      </c>
      <c r="CO160" s="176"/>
    </row>
    <row r="161" spans="1:93" x14ac:dyDescent="0.2">
      <c r="A161" t="b">
        <f t="shared" si="107"/>
        <v>0</v>
      </c>
      <c r="B161" s="33">
        <v>134</v>
      </c>
      <c r="C161" s="15">
        <f t="shared" si="108"/>
        <v>20.081305947392778</v>
      </c>
      <c r="D161" s="75">
        <f>C161*(1-PARAM!$C$27)*$I$3+(MOD($B161,60)=PARAM!$B$56)*($B161&gt;(60-PARAM!$B$56))*HLOOKUP(($B161+PARAM!$B$56)/12,Loyalty,2)*$F$1*MAX(F160,0)</f>
        <v>16.808053077967756</v>
      </c>
      <c r="E161" s="75">
        <f>PARAM!$C$26+MAX($G$3-CHOOSE(PARAM!$B$44,MAX(0,F160*$F$1),0),0)*RATES!$L137/12+$H$3*(PARAM!$D$51/12)*RATES!$N137/100</f>
        <v>9.8333333333333321</v>
      </c>
      <c r="F161" s="16">
        <f t="shared" si="109"/>
        <v>-82.193371569321442</v>
      </c>
      <c r="G161" s="15">
        <f t="shared" si="110"/>
        <v>22.035289406060361</v>
      </c>
      <c r="H161" s="75">
        <f>G161*(1-PARAM!$C$27)*$I$4+(MOD($B161,60)=PARAM!$B$56)*($B161&gt;(60-PARAM!$B$56))*HLOOKUP(($B161+PARAM!$B$56)/12,Loyalty,2)*$F$1*MAX(J160,0)</f>
        <v>18.443537232872522</v>
      </c>
      <c r="I161" s="75">
        <f>PARAM!$C$26+MAX($G$4-CHOOSE(PARAM!$B$44,MAX(0,J160*$F$1),0),0)*RATES!$L137/12+$H$4*(PARAM!$D$51/12)*RATES!$N137/100</f>
        <v>9.8225751643185077</v>
      </c>
      <c r="J161" s="16">
        <f t="shared" si="111"/>
        <v>119.91236567019173</v>
      </c>
      <c r="K161" s="15">
        <f t="shared" si="112"/>
        <v>22.170849845882874</v>
      </c>
      <c r="L161" s="75">
        <f>K161*(1-PARAM!$C$27)*$I$5+(MOD($B161,60)=PARAM!$B$56)*($B161&gt;(60-PARAM!$B$56))*HLOOKUP(($B161+PARAM!$B$56)/12,Loyalty,2)*$F$1*MAX(N160,0)</f>
        <v>18.557001321003963</v>
      </c>
      <c r="M161" s="75">
        <f>PARAM!$C$26+MAX($G$5-CHOOSE(PARAM!$B$44,MAX(0,N160*$F$1),0),0)*RATES!$L137/12+$H$5*(PARAM!$D$51/12)*RATES!$N137/100</f>
        <v>9.8212297210551966</v>
      </c>
      <c r="N161" s="16">
        <f t="shared" si="113"/>
        <v>133.94555378758105</v>
      </c>
      <c r="O161" s="15">
        <f t="shared" si="114"/>
        <v>22.170849845882874</v>
      </c>
      <c r="P161" s="75">
        <f>O161*(1-PARAM!$C$27)*$I$6+(MOD($B161,60)=PARAM!$B$56)*($B161&gt;(60-PARAM!$B$56))*HLOOKUP(($B161+PARAM!$B$56)/12,Loyalty,2)*$F$1*MAX(R160,0)</f>
        <v>18.557001321003963</v>
      </c>
      <c r="Q161" s="75">
        <f>PARAM!$C$26+MAX($G$6-CHOOSE(PARAM!$B$44,MAX(0,R160*$F$1),0),0)*RATES!$L137/12+$H$6*(PARAM!$D$51/12)*RATES!$N137/100</f>
        <v>9.8212297210551966</v>
      </c>
      <c r="R161" s="16">
        <f t="shared" si="115"/>
        <v>133.94555378758105</v>
      </c>
      <c r="S161" s="15">
        <f t="shared" si="90"/>
        <v>22.170849845882874</v>
      </c>
      <c r="T161" s="75">
        <f>S161*(1-PARAM!$C$27)*$I$7+(MOD($B161,60)=PARAM!$B$56)*($B161&gt;(60-PARAM!$B$56))*HLOOKUP(($B161+PARAM!$B$56)/12,Loyalty,2)*$F$1*MAX(V160,0)</f>
        <v>18.557001321003963</v>
      </c>
      <c r="U161" s="75">
        <f>PARAM!$C$26+MAX($G$7-CHOOSE(PARAM!$B$44,MAX(0,V160*$F$1),0),0)*RATES!$L137/12+$H$7*(PARAM!$D$51/12)*RATES!$N137/100</f>
        <v>9.8212297210551966</v>
      </c>
      <c r="V161" s="16">
        <f t="shared" si="116"/>
        <v>133.94555378758105</v>
      </c>
      <c r="W161" s="15">
        <f t="shared" si="91"/>
        <v>22.170849845882874</v>
      </c>
      <c r="X161" s="75">
        <f>W161*(1-PARAM!$C$27)*$I$8+(MOD($B161,60)=PARAM!$B$56)*($B161&gt;(60-PARAM!$B$56))*HLOOKUP(($B161+PARAM!$B$56)/12,Loyalty,2)*$F$1*MAX(Z160,0)</f>
        <v>18.557001321003963</v>
      </c>
      <c r="Y161" s="75">
        <f>PARAM!$C$26+MAX($G$8-CHOOSE(PARAM!$B$44,MAX(0,Z160*$F$1),0),0)*RATES!$L137/12+$H$8*(PARAM!$D$51/12)*RATES!$N137/100</f>
        <v>9.8212297210551966</v>
      </c>
      <c r="Z161" s="16">
        <f t="shared" si="117"/>
        <v>133.94555378758105</v>
      </c>
      <c r="AA161" s="15">
        <f t="shared" si="92"/>
        <v>22.170849845882874</v>
      </c>
      <c r="AB161" s="75">
        <f>AA161*(1-PARAM!$C$27)*$I$9+(MOD($B161,60)=PARAM!$B$56)*($B161&gt;(60-PARAM!$B$56))*HLOOKUP(($B161+PARAM!$B$56)/12,Loyalty,2)*$F$1*MAX(AD160,0)</f>
        <v>18.557001321003963</v>
      </c>
      <c r="AC161" s="75">
        <f>PARAM!$C$26+MAX($G$9-CHOOSE(PARAM!$B$44,MAX(0,AD160*$F$1),0),0)*RATES!$L137/12+$H$9*(PARAM!$D$51/12)*RATES!$N137/100</f>
        <v>9.8212297210551966</v>
      </c>
      <c r="AD161" s="16">
        <f t="shared" si="118"/>
        <v>133.94555378758105</v>
      </c>
      <c r="AE161" s="15">
        <f t="shared" si="93"/>
        <v>22.170849845882874</v>
      </c>
      <c r="AF161" s="75">
        <f>AE161*(1-PARAM!$C$27)*$I$10+(MOD($B161,60)=PARAM!$B$56)*($B161&gt;(60-PARAM!$B$56))*HLOOKUP(($B161+PARAM!$B$56)/12,Loyalty,2)*$F$1*MAX(AH160,0)</f>
        <v>18.557001321003963</v>
      </c>
      <c r="AG161" s="75">
        <f>PARAM!$C$26+MAX($G$10-CHOOSE(PARAM!$B$44,MAX(0,AH160*$F$1),0),0)*RATES!$L137/12+$H$10*(PARAM!$D$51/12)*RATES!$N137/100</f>
        <v>9.8212297210551966</v>
      </c>
      <c r="AH161" s="16">
        <f t="shared" si="119"/>
        <v>133.94555378758105</v>
      </c>
      <c r="AI161" s="15">
        <f t="shared" si="94"/>
        <v>22.170849845882874</v>
      </c>
      <c r="AJ161" s="75">
        <f>AI161*(1-PARAM!$C$27)*$I$11+(MOD($B161,60)=PARAM!$B$56)*($B161&gt;(60-PARAM!$B$56))*HLOOKUP(($B161+PARAM!$B$56)/12,Loyalty,2)*$F$1*MAX(AL160,0)</f>
        <v>18.557001321003963</v>
      </c>
      <c r="AK161" s="75">
        <f>PARAM!$C$26+MAX($G$11-CHOOSE(PARAM!$B$44,MAX(0,AL160*$F$1),0),0)*RATES!$L137/12+$H$11*(PARAM!$D$51/12)*RATES!$N137/100</f>
        <v>9.8212297210551966</v>
      </c>
      <c r="AL161" s="16">
        <f t="shared" si="120"/>
        <v>133.94555378758105</v>
      </c>
      <c r="AM161" s="15">
        <f t="shared" si="95"/>
        <v>22.170849845882874</v>
      </c>
      <c r="AN161" s="75">
        <f>AM161*(1-PARAM!$C$27)*$I$12+(MOD($B161,60)=PARAM!$B$56)*($B161&gt;(60-PARAM!$B$56))*HLOOKUP(($B161+PARAM!$B$56)/12,Loyalty,2)*$F$1*MAX(AP160,0)</f>
        <v>18.557001321003963</v>
      </c>
      <c r="AO161" s="75">
        <f>PARAM!$C$26+MAX($G$12-CHOOSE(PARAM!$B$44,MAX(0,AP160*$F$1),0),0)*RATES!$L137/12+$H$12*(PARAM!$D$51/12)*RATES!$N137/100</f>
        <v>9.8212297210551966</v>
      </c>
      <c r="AP161" s="16">
        <f t="shared" si="121"/>
        <v>133.94555378758105</v>
      </c>
      <c r="AQ161" s="15">
        <f t="shared" si="96"/>
        <v>22.170849845882874</v>
      </c>
      <c r="AR161" s="75">
        <f>AQ161*(1-PARAM!$C$27)*$I$13+(MOD($B161,60)=PARAM!$B$56)*($B161&gt;(60-PARAM!$B$56))*HLOOKUP(($B161+PARAM!$B$56)/12,Loyalty,2)*$F$1*MAX(AT160,0)</f>
        <v>18.557001321003963</v>
      </c>
      <c r="AS161" s="75">
        <f>PARAM!$C$26+MAX($G$13-CHOOSE(PARAM!$B$44,MAX(0,AT160*$F$1),0),0)*RATES!$L137/12+$H$13*(PARAM!$D$51/12)*RATES!$N137/100</f>
        <v>9.8212297210551966</v>
      </c>
      <c r="AT161" s="16">
        <f t="shared" si="122"/>
        <v>133.94555378758105</v>
      </c>
      <c r="AU161" s="15">
        <f t="shared" si="97"/>
        <v>22.170849845882874</v>
      </c>
      <c r="AV161" s="75">
        <f>AU161*(1-PARAM!$C$27)*$I$14+(MOD($B161,60)=PARAM!$B$56)*($B161&gt;(60-PARAM!$B$56))*HLOOKUP(($B161+PARAM!$B$56)/12,Loyalty,2)*$F$1*MAX(AX160,0)</f>
        <v>18.557001321003963</v>
      </c>
      <c r="AW161" s="75">
        <f>PARAM!$C$26+MAX($G$14-CHOOSE(PARAM!$B$44,MAX(0,AX160*$F$1),0),0)*RATES!$L137/12+$H$14*(PARAM!$D$51/12)*RATES!$N137/100</f>
        <v>9.8212297210551966</v>
      </c>
      <c r="AX161" s="16">
        <f t="shared" si="123"/>
        <v>133.94555378758105</v>
      </c>
      <c r="AY161" s="15">
        <f t="shared" si="98"/>
        <v>22.170849845882874</v>
      </c>
      <c r="AZ161" s="75">
        <f>AY161*(1-PARAM!$C$27)*$I$15+(MOD($B161,60)=PARAM!$B$56)*($B161&gt;(60-PARAM!$B$56))*HLOOKUP(($B161+PARAM!$B$56)/12,Loyalty,2)*$F$1*MAX(BB160,0)</f>
        <v>18.557001321003963</v>
      </c>
      <c r="BA161" s="75">
        <f>PARAM!$C$26+MAX($G$15-CHOOSE(PARAM!$B$44,MAX(0,BB160*$F$1),0),0)*RATES!$L137/12+$H$15*(PARAM!$D$51/12)*RATES!$N137/100</f>
        <v>9.8212297210551966</v>
      </c>
      <c r="BB161" s="16">
        <f t="shared" si="124"/>
        <v>133.94555378758105</v>
      </c>
      <c r="BC161" s="15">
        <f t="shared" si="99"/>
        <v>22.170849845882874</v>
      </c>
      <c r="BD161" s="75">
        <f>BC161*(1-PARAM!$C$27)*$I$16+(MOD($B161,60)=PARAM!$B$56)*($B161&gt;(60-PARAM!$B$56))*HLOOKUP(($B161+PARAM!$B$56)/12,Loyalty,2)*$F$1*MAX(BF160,0)</f>
        <v>18.557001321003963</v>
      </c>
      <c r="BE161" s="75">
        <f>PARAM!$C$26+MAX($G$16-CHOOSE(PARAM!$B$44,MAX(0,BF160*$F$1),0),0)*RATES!$L137/12+$H$16*(PARAM!$D$51/12)*RATES!$N137/100</f>
        <v>9.8212297210551966</v>
      </c>
      <c r="BF161" s="16">
        <f t="shared" si="125"/>
        <v>133.94555378758105</v>
      </c>
      <c r="BG161" s="15">
        <f t="shared" si="100"/>
        <v>22.170849845882874</v>
      </c>
      <c r="BH161" s="75">
        <f>BG161*(1-PARAM!$C$27)*$I$17+(MOD($B161,60)=PARAM!$B$56)*($B161&gt;(60-PARAM!$B$56))*HLOOKUP(($B161+PARAM!$B$56)/12,Loyalty,2)*$F$1*MAX(BJ160,0)</f>
        <v>18.557001321003963</v>
      </c>
      <c r="BI161" s="75">
        <f>PARAM!$C$26+MAX($G$17-CHOOSE(PARAM!$B$44,MAX(0,BJ160*$F$1),0),0)*RATES!$L137/12+$H$17*(PARAM!$D$51/12)*RATES!$N137/100</f>
        <v>9.8212297210551966</v>
      </c>
      <c r="BJ161" s="16">
        <f t="shared" si="126"/>
        <v>133.94555378758105</v>
      </c>
      <c r="BK161" s="15">
        <f t="shared" si="101"/>
        <v>22.170849845882874</v>
      </c>
      <c r="BL161" s="75">
        <f>BK161*(1-PARAM!$C$27)*$I$18+(MOD($B161,60)=PARAM!$B$56)*($B161&gt;(60-PARAM!$B$56))*HLOOKUP(($B161+PARAM!$B$56)/12,Loyalty,2)*$F$1*MAX(BN160,0)</f>
        <v>18.557001321003963</v>
      </c>
      <c r="BM161" s="75">
        <f>PARAM!$C$26+MAX($G$18-CHOOSE(PARAM!$B$44,MAX(0,BN160*$F$1),0),0)*RATES!$L137/12+$H$18*(PARAM!$D$51/12)*RATES!$N137/100</f>
        <v>9.8212297210551966</v>
      </c>
      <c r="BN161" s="16">
        <f t="shared" si="127"/>
        <v>133.94555378758105</v>
      </c>
      <c r="BO161" s="15">
        <f t="shared" si="102"/>
        <v>22.170849845882874</v>
      </c>
      <c r="BP161" s="75">
        <f>BO161*(1-PARAM!$C$27)*$I$19+(MOD($B161,60)=PARAM!$B$56)*($B161&gt;(60-PARAM!$B$56))*HLOOKUP(($B161+PARAM!$B$56)/12,Loyalty,2)*$F$1*MAX(BR160,0)</f>
        <v>18.557001321003963</v>
      </c>
      <c r="BQ161" s="75">
        <f>PARAM!$C$26+MAX($G$19-CHOOSE(PARAM!$B$44,MAX(0,BR160*$F$1),0),0)*RATES!$L137/12+$H$19*(PARAM!$D$51/12)*RATES!$N137/100</f>
        <v>9.8212297210551966</v>
      </c>
      <c r="BR161" s="16">
        <f t="shared" si="128"/>
        <v>133.94555378758105</v>
      </c>
      <c r="BS161" s="15">
        <f t="shared" si="103"/>
        <v>22.170849845882874</v>
      </c>
      <c r="BT161" s="75">
        <f>BS161*(1-PARAM!$C$27)*$I$20+(MOD($B161,60)=PARAM!$B$56)*($B161&gt;(60-PARAM!$B$56))*HLOOKUP(($B161+PARAM!$B$56)/12,Loyalty,2)*$F$1*MAX(BV160,0)</f>
        <v>18.557001321003963</v>
      </c>
      <c r="BU161" s="75">
        <f>PARAM!$C$26+MAX($G$20-CHOOSE(PARAM!$B$44,MAX(0,BV160*$F$1),0),0)*RATES!$L137/12+$H$20*(PARAM!$D$51/12)*RATES!$N137/100</f>
        <v>9.8212297210551966</v>
      </c>
      <c r="BV161" s="16">
        <f t="shared" si="129"/>
        <v>133.94555378758105</v>
      </c>
      <c r="BW161" s="15">
        <f t="shared" si="104"/>
        <v>22.170849845882874</v>
      </c>
      <c r="BX161" s="75">
        <f>BW161*(1-PARAM!$C$27)*$I$21+(MOD($B161,60)=PARAM!$B$56)*($B161&gt;(60-PARAM!$B$56))*HLOOKUP(($B161+PARAM!$B$56)/12,Loyalty,2)*$F$1*MAX(BZ160,0)</f>
        <v>18.557001321003963</v>
      </c>
      <c r="BY161" s="75">
        <f>PARAM!$C$26+MAX($G$21-CHOOSE(PARAM!$B$44,MAX(0,BZ160*$F$1),0),0)*RATES!$L137/12+$H$21*(PARAM!$D$51/12)*RATES!$N137/100</f>
        <v>9.8212297210551966</v>
      </c>
      <c r="BZ161" s="16">
        <f t="shared" si="130"/>
        <v>133.94555378758105</v>
      </c>
      <c r="CA161" s="15">
        <f t="shared" si="105"/>
        <v>22.170849845882874</v>
      </c>
      <c r="CB161" s="75">
        <f>CA161*(1-PARAM!$C$27)*$I$22+(MOD($B161,60)=PARAM!$B$56)*($B161&gt;(60-PARAM!$B$56))*HLOOKUP(($B161+PARAM!$B$56)/12,Loyalty,2)*$F$1*MAX(CD160,0)</f>
        <v>18.557001321003963</v>
      </c>
      <c r="CC161" s="75">
        <f>PARAM!$C$26+MAX($G$22-CHOOSE(PARAM!$B$44,MAX(0,CD160*$F$1),0),0)*RATES!$L137/12+$H$22*(PARAM!$D$51/12)*RATES!$N137/100</f>
        <v>9.8212297210551966</v>
      </c>
      <c r="CD161" s="16">
        <f t="shared" si="131"/>
        <v>133.94555378758105</v>
      </c>
      <c r="CE161" s="33">
        <f>IF(0=MOD(B161,12/PARAM!$D$51),1,0)</f>
        <v>1</v>
      </c>
      <c r="CF161" s="15">
        <f t="shared" si="106"/>
        <v>0</v>
      </c>
      <c r="CG161" s="75">
        <f>CF161*(1-PARAM!$C$27)*$R$3+(MOD($B161/12,5)=0)*($B161&gt;60)*HLOOKUP($B161/12,Loyalty,2)*$F$1*MAX(CI160,0)</f>
        <v>0</v>
      </c>
      <c r="CH161" s="75">
        <f>PARAM!$C$26+MAX($P$3-CHOOSE(PARAM!$B$44,MAX(0,CI160*$F$1),0),0)*RATES!$L137/12+$Q$3*(PARAM!$D$51/12)*RATES!$N137/100</f>
        <v>9.8333333333333321</v>
      </c>
      <c r="CI161" s="16">
        <f>IF(CI160&gt;0,CI160*PARAM!$C$53,CI160)+CG161-CH161</f>
        <v>-2158.5</v>
      </c>
      <c r="CJ161" s="15">
        <f t="shared" si="132"/>
        <v>0</v>
      </c>
      <c r="CK161" s="75">
        <f>CJ161*(1-PARAM!$C$27)*$R$4+(MOD($B161/12,5)=0)*($B161&gt;60)*HLOOKUP($B161/12,Loyalty,2)*$F$1*MAX(CM160,0)</f>
        <v>0</v>
      </c>
      <c r="CL161" s="75">
        <f>PARAM!$C$26+MAX($P$4-CHOOSE(PARAM!$B$44,MAX(0,CM160*$F$1),0),0)*RATES!$L137/12+$Q$4*(PARAM!$D$51/12)*RATES!$N137/100</f>
        <v>9.8333333333333321</v>
      </c>
      <c r="CM161" s="16">
        <f>IF(CM160&gt;0,CM160*PARAM!$C$53,CM160)+CK161-CL161</f>
        <v>-2158.5</v>
      </c>
      <c r="CO161" s="176"/>
    </row>
    <row r="162" spans="1:93" x14ac:dyDescent="0.2">
      <c r="A162" t="b">
        <f t="shared" si="107"/>
        <v>0</v>
      </c>
      <c r="B162" s="33">
        <v>135</v>
      </c>
      <c r="C162" s="15">
        <f t="shared" si="108"/>
        <v>20.081305947392778</v>
      </c>
      <c r="D162" s="75">
        <f>C162*(1-PARAM!$C$27)*$I$3+(MOD($B162,60)=PARAM!$B$56)*($B162&gt;(60-PARAM!$B$56))*HLOOKUP(($B162+PARAM!$B$56)/12,Loyalty,2)*$F$1*MAX(F161,0)</f>
        <v>16.808053077967756</v>
      </c>
      <c r="E162" s="75">
        <f>PARAM!$C$26+MAX($G$3-CHOOSE(PARAM!$B$44,MAX(0,F161*$F$1),0),0)*RATES!$L138/12+$H$3*(PARAM!$D$51/12)*RATES!$N138/100</f>
        <v>9.8333333333333321</v>
      </c>
      <c r="F162" s="16">
        <f t="shared" si="109"/>
        <v>-75.218651824687015</v>
      </c>
      <c r="G162" s="15">
        <f t="shared" si="110"/>
        <v>22.035289406060361</v>
      </c>
      <c r="H162" s="75">
        <f>G162*(1-PARAM!$C$27)*$I$4+(MOD($B162,60)=PARAM!$B$56)*($B162&gt;(60-PARAM!$B$56))*HLOOKUP(($B162+PARAM!$B$56)/12,Loyalty,2)*$F$1*MAX(J161,0)</f>
        <v>18.443537232872522</v>
      </c>
      <c r="I162" s="75">
        <f>PARAM!$C$26+MAX($G$4-CHOOSE(PARAM!$B$44,MAX(0,J161*$F$1),0),0)*RATES!$L138/12+$H$4*(PARAM!$D$51/12)*RATES!$N138/100</f>
        <v>9.8217418046518823</v>
      </c>
      <c r="J162" s="16">
        <f t="shared" si="111"/>
        <v>128.53416109841237</v>
      </c>
      <c r="K162" s="15">
        <f t="shared" si="112"/>
        <v>22.170849845882874</v>
      </c>
      <c r="L162" s="75">
        <f>K162*(1-PARAM!$C$27)*$I$5+(MOD($B162,60)=PARAM!$B$56)*($B162&gt;(60-PARAM!$B$56))*HLOOKUP(($B162+PARAM!$B$56)/12,Loyalty,2)*$F$1*MAX(N161,0)</f>
        <v>18.557001321003963</v>
      </c>
      <c r="M162" s="75">
        <f>PARAM!$C$26+MAX($G$5-CHOOSE(PARAM!$B$44,MAX(0,N161*$F$1),0),0)*RATES!$L138/12+$H$5*(PARAM!$D$51/12)*RATES!$N138/100</f>
        <v>9.8203852631338684</v>
      </c>
      <c r="N162" s="16">
        <f t="shared" si="113"/>
        <v>142.68216984545114</v>
      </c>
      <c r="O162" s="15">
        <f t="shared" si="114"/>
        <v>22.170849845882874</v>
      </c>
      <c r="P162" s="75">
        <f>O162*(1-PARAM!$C$27)*$I$6+(MOD($B162,60)=PARAM!$B$56)*($B162&gt;(60-PARAM!$B$56))*HLOOKUP(($B162+PARAM!$B$56)/12,Loyalty,2)*$F$1*MAX(R161,0)</f>
        <v>18.557001321003963</v>
      </c>
      <c r="Q162" s="75">
        <f>PARAM!$C$26+MAX($G$6-CHOOSE(PARAM!$B$44,MAX(0,R161*$F$1),0),0)*RATES!$L138/12+$H$6*(PARAM!$D$51/12)*RATES!$N138/100</f>
        <v>9.8203852631338684</v>
      </c>
      <c r="R162" s="16">
        <f t="shared" si="115"/>
        <v>142.68216984545114</v>
      </c>
      <c r="S162" s="15">
        <f t="shared" si="90"/>
        <v>22.170849845882874</v>
      </c>
      <c r="T162" s="75">
        <f>S162*(1-PARAM!$C$27)*$I$7+(MOD($B162,60)=PARAM!$B$56)*($B162&gt;(60-PARAM!$B$56))*HLOOKUP(($B162+PARAM!$B$56)/12,Loyalty,2)*$F$1*MAX(V161,0)</f>
        <v>18.557001321003963</v>
      </c>
      <c r="U162" s="75">
        <f>PARAM!$C$26+MAX($G$7-CHOOSE(PARAM!$B$44,MAX(0,V161*$F$1),0),0)*RATES!$L138/12+$H$7*(PARAM!$D$51/12)*RATES!$N138/100</f>
        <v>9.8203852631338684</v>
      </c>
      <c r="V162" s="16">
        <f t="shared" si="116"/>
        <v>142.68216984545114</v>
      </c>
      <c r="W162" s="15">
        <f t="shared" si="91"/>
        <v>22.170849845882874</v>
      </c>
      <c r="X162" s="75">
        <f>W162*(1-PARAM!$C$27)*$I$8+(MOD($B162,60)=PARAM!$B$56)*($B162&gt;(60-PARAM!$B$56))*HLOOKUP(($B162+PARAM!$B$56)/12,Loyalty,2)*$F$1*MAX(Z161,0)</f>
        <v>18.557001321003963</v>
      </c>
      <c r="Y162" s="75">
        <f>PARAM!$C$26+MAX($G$8-CHOOSE(PARAM!$B$44,MAX(0,Z161*$F$1),0),0)*RATES!$L138/12+$H$8*(PARAM!$D$51/12)*RATES!$N138/100</f>
        <v>9.8203852631338684</v>
      </c>
      <c r="Z162" s="16">
        <f t="shared" si="117"/>
        <v>142.68216984545114</v>
      </c>
      <c r="AA162" s="15">
        <f t="shared" si="92"/>
        <v>22.170849845882874</v>
      </c>
      <c r="AB162" s="75">
        <f>AA162*(1-PARAM!$C$27)*$I$9+(MOD($B162,60)=PARAM!$B$56)*($B162&gt;(60-PARAM!$B$56))*HLOOKUP(($B162+PARAM!$B$56)/12,Loyalty,2)*$F$1*MAX(AD161,0)</f>
        <v>18.557001321003963</v>
      </c>
      <c r="AC162" s="75">
        <f>PARAM!$C$26+MAX($G$9-CHOOSE(PARAM!$B$44,MAX(0,AD161*$F$1),0),0)*RATES!$L138/12+$H$9*(PARAM!$D$51/12)*RATES!$N138/100</f>
        <v>9.8203852631338684</v>
      </c>
      <c r="AD162" s="16">
        <f t="shared" si="118"/>
        <v>142.68216984545114</v>
      </c>
      <c r="AE162" s="15">
        <f t="shared" si="93"/>
        <v>22.170849845882874</v>
      </c>
      <c r="AF162" s="75">
        <f>AE162*(1-PARAM!$C$27)*$I$10+(MOD($B162,60)=PARAM!$B$56)*($B162&gt;(60-PARAM!$B$56))*HLOOKUP(($B162+PARAM!$B$56)/12,Loyalty,2)*$F$1*MAX(AH161,0)</f>
        <v>18.557001321003963</v>
      </c>
      <c r="AG162" s="75">
        <f>PARAM!$C$26+MAX($G$10-CHOOSE(PARAM!$B$44,MAX(0,AH161*$F$1),0),0)*RATES!$L138/12+$H$10*(PARAM!$D$51/12)*RATES!$N138/100</f>
        <v>9.8203852631338684</v>
      </c>
      <c r="AH162" s="16">
        <f t="shared" si="119"/>
        <v>142.68216984545114</v>
      </c>
      <c r="AI162" s="15">
        <f t="shared" si="94"/>
        <v>22.170849845882874</v>
      </c>
      <c r="AJ162" s="75">
        <f>AI162*(1-PARAM!$C$27)*$I$11+(MOD($B162,60)=PARAM!$B$56)*($B162&gt;(60-PARAM!$B$56))*HLOOKUP(($B162+PARAM!$B$56)/12,Loyalty,2)*$F$1*MAX(AL161,0)</f>
        <v>18.557001321003963</v>
      </c>
      <c r="AK162" s="75">
        <f>PARAM!$C$26+MAX($G$11-CHOOSE(PARAM!$B$44,MAX(0,AL161*$F$1),0),0)*RATES!$L138/12+$H$11*(PARAM!$D$51/12)*RATES!$N138/100</f>
        <v>9.8203852631338684</v>
      </c>
      <c r="AL162" s="16">
        <f t="shared" si="120"/>
        <v>142.68216984545114</v>
      </c>
      <c r="AM162" s="15">
        <f t="shared" si="95"/>
        <v>22.170849845882874</v>
      </c>
      <c r="AN162" s="75">
        <f>AM162*(1-PARAM!$C$27)*$I$12+(MOD($B162,60)=PARAM!$B$56)*($B162&gt;(60-PARAM!$B$56))*HLOOKUP(($B162+PARAM!$B$56)/12,Loyalty,2)*$F$1*MAX(AP161,0)</f>
        <v>18.557001321003963</v>
      </c>
      <c r="AO162" s="75">
        <f>PARAM!$C$26+MAX($G$12-CHOOSE(PARAM!$B$44,MAX(0,AP161*$F$1),0),0)*RATES!$L138/12+$H$12*(PARAM!$D$51/12)*RATES!$N138/100</f>
        <v>9.8203852631338684</v>
      </c>
      <c r="AP162" s="16">
        <f t="shared" si="121"/>
        <v>142.68216984545114</v>
      </c>
      <c r="AQ162" s="15">
        <f t="shared" si="96"/>
        <v>22.170849845882874</v>
      </c>
      <c r="AR162" s="75">
        <f>AQ162*(1-PARAM!$C$27)*$I$13+(MOD($B162,60)=PARAM!$B$56)*($B162&gt;(60-PARAM!$B$56))*HLOOKUP(($B162+PARAM!$B$56)/12,Loyalty,2)*$F$1*MAX(AT161,0)</f>
        <v>18.557001321003963</v>
      </c>
      <c r="AS162" s="75">
        <f>PARAM!$C$26+MAX($G$13-CHOOSE(PARAM!$B$44,MAX(0,AT161*$F$1),0),0)*RATES!$L138/12+$H$13*(PARAM!$D$51/12)*RATES!$N138/100</f>
        <v>9.8203852631338684</v>
      </c>
      <c r="AT162" s="16">
        <f t="shared" si="122"/>
        <v>142.68216984545114</v>
      </c>
      <c r="AU162" s="15">
        <f t="shared" si="97"/>
        <v>22.170849845882874</v>
      </c>
      <c r="AV162" s="75">
        <f>AU162*(1-PARAM!$C$27)*$I$14+(MOD($B162,60)=PARAM!$B$56)*($B162&gt;(60-PARAM!$B$56))*HLOOKUP(($B162+PARAM!$B$56)/12,Loyalty,2)*$F$1*MAX(AX161,0)</f>
        <v>18.557001321003963</v>
      </c>
      <c r="AW162" s="75">
        <f>PARAM!$C$26+MAX($G$14-CHOOSE(PARAM!$B$44,MAX(0,AX161*$F$1),0),0)*RATES!$L138/12+$H$14*(PARAM!$D$51/12)*RATES!$N138/100</f>
        <v>9.8203852631338684</v>
      </c>
      <c r="AX162" s="16">
        <f t="shared" si="123"/>
        <v>142.68216984545114</v>
      </c>
      <c r="AY162" s="15">
        <f t="shared" si="98"/>
        <v>22.170849845882874</v>
      </c>
      <c r="AZ162" s="75">
        <f>AY162*(1-PARAM!$C$27)*$I$15+(MOD($B162,60)=PARAM!$B$56)*($B162&gt;(60-PARAM!$B$56))*HLOOKUP(($B162+PARAM!$B$56)/12,Loyalty,2)*$F$1*MAX(BB161,0)</f>
        <v>18.557001321003963</v>
      </c>
      <c r="BA162" s="75">
        <f>PARAM!$C$26+MAX($G$15-CHOOSE(PARAM!$B$44,MAX(0,BB161*$F$1),0),0)*RATES!$L138/12+$H$15*(PARAM!$D$51/12)*RATES!$N138/100</f>
        <v>9.8203852631338684</v>
      </c>
      <c r="BB162" s="16">
        <f t="shared" si="124"/>
        <v>142.68216984545114</v>
      </c>
      <c r="BC162" s="15">
        <f t="shared" si="99"/>
        <v>22.170849845882874</v>
      </c>
      <c r="BD162" s="75">
        <f>BC162*(1-PARAM!$C$27)*$I$16+(MOD($B162,60)=PARAM!$B$56)*($B162&gt;(60-PARAM!$B$56))*HLOOKUP(($B162+PARAM!$B$56)/12,Loyalty,2)*$F$1*MAX(BF161,0)</f>
        <v>18.557001321003963</v>
      </c>
      <c r="BE162" s="75">
        <f>PARAM!$C$26+MAX($G$16-CHOOSE(PARAM!$B$44,MAX(0,BF161*$F$1),0),0)*RATES!$L138/12+$H$16*(PARAM!$D$51/12)*RATES!$N138/100</f>
        <v>9.8203852631338684</v>
      </c>
      <c r="BF162" s="16">
        <f t="shared" si="125"/>
        <v>142.68216984545114</v>
      </c>
      <c r="BG162" s="15">
        <f t="shared" si="100"/>
        <v>22.170849845882874</v>
      </c>
      <c r="BH162" s="75">
        <f>BG162*(1-PARAM!$C$27)*$I$17+(MOD($B162,60)=PARAM!$B$56)*($B162&gt;(60-PARAM!$B$56))*HLOOKUP(($B162+PARAM!$B$56)/12,Loyalty,2)*$F$1*MAX(BJ161,0)</f>
        <v>18.557001321003963</v>
      </c>
      <c r="BI162" s="75">
        <f>PARAM!$C$26+MAX($G$17-CHOOSE(PARAM!$B$44,MAX(0,BJ161*$F$1),0),0)*RATES!$L138/12+$H$17*(PARAM!$D$51/12)*RATES!$N138/100</f>
        <v>9.8203852631338684</v>
      </c>
      <c r="BJ162" s="16">
        <f t="shared" si="126"/>
        <v>142.68216984545114</v>
      </c>
      <c r="BK162" s="15">
        <f t="shared" si="101"/>
        <v>22.170849845882874</v>
      </c>
      <c r="BL162" s="75">
        <f>BK162*(1-PARAM!$C$27)*$I$18+(MOD($B162,60)=PARAM!$B$56)*($B162&gt;(60-PARAM!$B$56))*HLOOKUP(($B162+PARAM!$B$56)/12,Loyalty,2)*$F$1*MAX(BN161,0)</f>
        <v>18.557001321003963</v>
      </c>
      <c r="BM162" s="75">
        <f>PARAM!$C$26+MAX($G$18-CHOOSE(PARAM!$B$44,MAX(0,BN161*$F$1),0),0)*RATES!$L138/12+$H$18*(PARAM!$D$51/12)*RATES!$N138/100</f>
        <v>9.8203852631338684</v>
      </c>
      <c r="BN162" s="16">
        <f t="shared" si="127"/>
        <v>142.68216984545114</v>
      </c>
      <c r="BO162" s="15">
        <f t="shared" si="102"/>
        <v>22.170849845882874</v>
      </c>
      <c r="BP162" s="75">
        <f>BO162*(1-PARAM!$C$27)*$I$19+(MOD($B162,60)=PARAM!$B$56)*($B162&gt;(60-PARAM!$B$56))*HLOOKUP(($B162+PARAM!$B$56)/12,Loyalty,2)*$F$1*MAX(BR161,0)</f>
        <v>18.557001321003963</v>
      </c>
      <c r="BQ162" s="75">
        <f>PARAM!$C$26+MAX($G$19-CHOOSE(PARAM!$B$44,MAX(0,BR161*$F$1),0),0)*RATES!$L138/12+$H$19*(PARAM!$D$51/12)*RATES!$N138/100</f>
        <v>9.8203852631338684</v>
      </c>
      <c r="BR162" s="16">
        <f t="shared" si="128"/>
        <v>142.68216984545114</v>
      </c>
      <c r="BS162" s="15">
        <f t="shared" si="103"/>
        <v>22.170849845882874</v>
      </c>
      <c r="BT162" s="75">
        <f>BS162*(1-PARAM!$C$27)*$I$20+(MOD($B162,60)=PARAM!$B$56)*($B162&gt;(60-PARAM!$B$56))*HLOOKUP(($B162+PARAM!$B$56)/12,Loyalty,2)*$F$1*MAX(BV161,0)</f>
        <v>18.557001321003963</v>
      </c>
      <c r="BU162" s="75">
        <f>PARAM!$C$26+MAX($G$20-CHOOSE(PARAM!$B$44,MAX(0,BV161*$F$1),0),0)*RATES!$L138/12+$H$20*(PARAM!$D$51/12)*RATES!$N138/100</f>
        <v>9.8203852631338684</v>
      </c>
      <c r="BV162" s="16">
        <f t="shared" si="129"/>
        <v>142.68216984545114</v>
      </c>
      <c r="BW162" s="15">
        <f t="shared" si="104"/>
        <v>22.170849845882874</v>
      </c>
      <c r="BX162" s="75">
        <f>BW162*(1-PARAM!$C$27)*$I$21+(MOD($B162,60)=PARAM!$B$56)*($B162&gt;(60-PARAM!$B$56))*HLOOKUP(($B162+PARAM!$B$56)/12,Loyalty,2)*$F$1*MAX(BZ161,0)</f>
        <v>18.557001321003963</v>
      </c>
      <c r="BY162" s="75">
        <f>PARAM!$C$26+MAX($G$21-CHOOSE(PARAM!$B$44,MAX(0,BZ161*$F$1),0),0)*RATES!$L138/12+$H$21*(PARAM!$D$51/12)*RATES!$N138/100</f>
        <v>9.8203852631338684</v>
      </c>
      <c r="BZ162" s="16">
        <f t="shared" si="130"/>
        <v>142.68216984545114</v>
      </c>
      <c r="CA162" s="15">
        <f t="shared" si="105"/>
        <v>22.170849845882874</v>
      </c>
      <c r="CB162" s="75">
        <f>CA162*(1-PARAM!$C$27)*$I$22+(MOD($B162,60)=PARAM!$B$56)*($B162&gt;(60-PARAM!$B$56))*HLOOKUP(($B162+PARAM!$B$56)/12,Loyalty,2)*$F$1*MAX(CD161,0)</f>
        <v>18.557001321003963</v>
      </c>
      <c r="CC162" s="75">
        <f>PARAM!$C$26+MAX($G$22-CHOOSE(PARAM!$B$44,MAX(0,CD161*$F$1),0),0)*RATES!$L138/12+$H$22*(PARAM!$D$51/12)*RATES!$N138/100</f>
        <v>9.8203852631338684</v>
      </c>
      <c r="CD162" s="16">
        <f t="shared" si="131"/>
        <v>142.68216984545114</v>
      </c>
      <c r="CE162" s="33">
        <f>IF(0=MOD(B162,12/PARAM!$D$51),1,0)</f>
        <v>1</v>
      </c>
      <c r="CF162" s="15">
        <f t="shared" si="106"/>
        <v>0</v>
      </c>
      <c r="CG162" s="75">
        <f>CF162*(1-PARAM!$C$27)*$R$3+(MOD($B162/12,5)=0)*($B162&gt;60)*HLOOKUP($B162/12,Loyalty,2)*$F$1*MAX(CI161,0)</f>
        <v>0</v>
      </c>
      <c r="CH162" s="75">
        <f>PARAM!$C$26+MAX($P$3-CHOOSE(PARAM!$B$44,MAX(0,CI161*$F$1),0),0)*RATES!$L138/12+$Q$3*(PARAM!$D$51/12)*RATES!$N138/100</f>
        <v>9.8333333333333321</v>
      </c>
      <c r="CI162" s="16">
        <f>IF(CI161&gt;0,CI161*PARAM!$C$53,CI161)+CG162-CH162</f>
        <v>-2168.3333333333335</v>
      </c>
      <c r="CJ162" s="15">
        <f t="shared" si="132"/>
        <v>0</v>
      </c>
      <c r="CK162" s="75">
        <f>CJ162*(1-PARAM!$C$27)*$R$4+(MOD($B162/12,5)=0)*($B162&gt;60)*HLOOKUP($B162/12,Loyalty,2)*$F$1*MAX(CM161,0)</f>
        <v>0</v>
      </c>
      <c r="CL162" s="75">
        <f>PARAM!$C$26+MAX($P$4-CHOOSE(PARAM!$B$44,MAX(0,CM161*$F$1),0),0)*RATES!$L138/12+$Q$4*(PARAM!$D$51/12)*RATES!$N138/100</f>
        <v>9.8333333333333321</v>
      </c>
      <c r="CM162" s="16">
        <f>IF(CM161&gt;0,CM161*PARAM!$C$53,CM161)+CK162-CL162</f>
        <v>-2168.3333333333335</v>
      </c>
      <c r="CO162" s="176"/>
    </row>
    <row r="163" spans="1:93" x14ac:dyDescent="0.2">
      <c r="A163" t="b">
        <f t="shared" si="107"/>
        <v>0</v>
      </c>
      <c r="B163" s="33">
        <v>136</v>
      </c>
      <c r="C163" s="15">
        <f t="shared" si="108"/>
        <v>20.081305947392778</v>
      </c>
      <c r="D163" s="75">
        <f>C163*(1-PARAM!$C$27)*$I$3+(MOD($B163,60)=PARAM!$B$56)*($B163&gt;(60-PARAM!$B$56))*HLOOKUP(($B163+PARAM!$B$56)/12,Loyalty,2)*$F$1*MAX(F162,0)</f>
        <v>16.808053077967756</v>
      </c>
      <c r="E163" s="75">
        <f>PARAM!$C$26+MAX($G$3-CHOOSE(PARAM!$B$44,MAX(0,F162*$F$1),0),0)*RATES!$L139/12+$H$3*(PARAM!$D$51/12)*RATES!$N139/100</f>
        <v>9.8333333333333321</v>
      </c>
      <c r="F163" s="16">
        <f t="shared" si="109"/>
        <v>-68.243932080052588</v>
      </c>
      <c r="G163" s="15">
        <f t="shared" si="110"/>
        <v>22.035289406060361</v>
      </c>
      <c r="H163" s="75">
        <f>G163*(1-PARAM!$C$27)*$I$4+(MOD($B163,60)=PARAM!$B$56)*($B163&gt;(60-PARAM!$B$56))*HLOOKUP(($B163+PARAM!$B$56)/12,Loyalty,2)*$F$1*MAX(J162,0)</f>
        <v>18.443537232872522</v>
      </c>
      <c r="I163" s="75">
        <f>PARAM!$C$26+MAX($G$4-CHOOSE(PARAM!$B$44,MAX(0,J162*$F$1),0),0)*RATES!$L139/12+$H$4*(PARAM!$D$51/12)*RATES!$N139/100</f>
        <v>9.8209083644271544</v>
      </c>
      <c r="J163" s="16">
        <f t="shared" si="111"/>
        <v>137.15678996685773</v>
      </c>
      <c r="K163" s="15">
        <f t="shared" si="112"/>
        <v>22.170849845882874</v>
      </c>
      <c r="L163" s="75">
        <f>K163*(1-PARAM!$C$27)*$I$5+(MOD($B163,60)=PARAM!$B$56)*($B163&gt;(60-PARAM!$B$56))*HLOOKUP(($B163+PARAM!$B$56)/12,Loyalty,2)*$F$1*MAX(N162,0)</f>
        <v>18.557001321003963</v>
      </c>
      <c r="M163" s="75">
        <f>PARAM!$C$26+MAX($G$5-CHOOSE(PARAM!$B$44,MAX(0,N162*$F$1),0),0)*RATES!$L139/12+$H$5*(PARAM!$D$51/12)*RATES!$N139/100</f>
        <v>9.819540723581607</v>
      </c>
      <c r="N163" s="16">
        <f t="shared" si="113"/>
        <v>151.41963044287348</v>
      </c>
      <c r="O163" s="15">
        <f t="shared" si="114"/>
        <v>22.170849845882874</v>
      </c>
      <c r="P163" s="75">
        <f>O163*(1-PARAM!$C$27)*$I$6+(MOD($B163,60)=PARAM!$B$56)*($B163&gt;(60-PARAM!$B$56))*HLOOKUP(($B163+PARAM!$B$56)/12,Loyalty,2)*$F$1*MAX(R162,0)</f>
        <v>18.557001321003963</v>
      </c>
      <c r="Q163" s="75">
        <f>PARAM!$C$26+MAX($G$6-CHOOSE(PARAM!$B$44,MAX(0,R162*$F$1),0),0)*RATES!$L139/12+$H$6*(PARAM!$D$51/12)*RATES!$N139/100</f>
        <v>9.819540723581607</v>
      </c>
      <c r="R163" s="16">
        <f t="shared" si="115"/>
        <v>151.41963044287348</v>
      </c>
      <c r="S163" s="15">
        <f t="shared" si="90"/>
        <v>22.170849845882874</v>
      </c>
      <c r="T163" s="75">
        <f>S163*(1-PARAM!$C$27)*$I$7+(MOD($B163,60)=PARAM!$B$56)*($B163&gt;(60-PARAM!$B$56))*HLOOKUP(($B163+PARAM!$B$56)/12,Loyalty,2)*$F$1*MAX(V162,0)</f>
        <v>18.557001321003963</v>
      </c>
      <c r="U163" s="75">
        <f>PARAM!$C$26+MAX($G$7-CHOOSE(PARAM!$B$44,MAX(0,V162*$F$1),0),0)*RATES!$L139/12+$H$7*(PARAM!$D$51/12)*RATES!$N139/100</f>
        <v>9.819540723581607</v>
      </c>
      <c r="V163" s="16">
        <f t="shared" si="116"/>
        <v>151.41963044287348</v>
      </c>
      <c r="W163" s="15">
        <f t="shared" si="91"/>
        <v>22.170849845882874</v>
      </c>
      <c r="X163" s="75">
        <f>W163*(1-PARAM!$C$27)*$I$8+(MOD($B163,60)=PARAM!$B$56)*($B163&gt;(60-PARAM!$B$56))*HLOOKUP(($B163+PARAM!$B$56)/12,Loyalty,2)*$F$1*MAX(Z162,0)</f>
        <v>18.557001321003963</v>
      </c>
      <c r="Y163" s="75">
        <f>PARAM!$C$26+MAX($G$8-CHOOSE(PARAM!$B$44,MAX(0,Z162*$F$1),0),0)*RATES!$L139/12+$H$8*(PARAM!$D$51/12)*RATES!$N139/100</f>
        <v>9.819540723581607</v>
      </c>
      <c r="Z163" s="16">
        <f t="shared" si="117"/>
        <v>151.41963044287348</v>
      </c>
      <c r="AA163" s="15">
        <f t="shared" si="92"/>
        <v>22.170849845882874</v>
      </c>
      <c r="AB163" s="75">
        <f>AA163*(1-PARAM!$C$27)*$I$9+(MOD($B163,60)=PARAM!$B$56)*($B163&gt;(60-PARAM!$B$56))*HLOOKUP(($B163+PARAM!$B$56)/12,Loyalty,2)*$F$1*MAX(AD162,0)</f>
        <v>18.557001321003963</v>
      </c>
      <c r="AC163" s="75">
        <f>PARAM!$C$26+MAX($G$9-CHOOSE(PARAM!$B$44,MAX(0,AD162*$F$1),0),0)*RATES!$L139/12+$H$9*(PARAM!$D$51/12)*RATES!$N139/100</f>
        <v>9.819540723581607</v>
      </c>
      <c r="AD163" s="16">
        <f t="shared" si="118"/>
        <v>151.41963044287348</v>
      </c>
      <c r="AE163" s="15">
        <f t="shared" si="93"/>
        <v>22.170849845882874</v>
      </c>
      <c r="AF163" s="75">
        <f>AE163*(1-PARAM!$C$27)*$I$10+(MOD($B163,60)=PARAM!$B$56)*($B163&gt;(60-PARAM!$B$56))*HLOOKUP(($B163+PARAM!$B$56)/12,Loyalty,2)*$F$1*MAX(AH162,0)</f>
        <v>18.557001321003963</v>
      </c>
      <c r="AG163" s="75">
        <f>PARAM!$C$26+MAX($G$10-CHOOSE(PARAM!$B$44,MAX(0,AH162*$F$1),0),0)*RATES!$L139/12+$H$10*(PARAM!$D$51/12)*RATES!$N139/100</f>
        <v>9.819540723581607</v>
      </c>
      <c r="AH163" s="16">
        <f t="shared" si="119"/>
        <v>151.41963044287348</v>
      </c>
      <c r="AI163" s="15">
        <f t="shared" si="94"/>
        <v>22.170849845882874</v>
      </c>
      <c r="AJ163" s="75">
        <f>AI163*(1-PARAM!$C$27)*$I$11+(MOD($B163,60)=PARAM!$B$56)*($B163&gt;(60-PARAM!$B$56))*HLOOKUP(($B163+PARAM!$B$56)/12,Loyalty,2)*$F$1*MAX(AL162,0)</f>
        <v>18.557001321003963</v>
      </c>
      <c r="AK163" s="75">
        <f>PARAM!$C$26+MAX($G$11-CHOOSE(PARAM!$B$44,MAX(0,AL162*$F$1),0),0)*RATES!$L139/12+$H$11*(PARAM!$D$51/12)*RATES!$N139/100</f>
        <v>9.819540723581607</v>
      </c>
      <c r="AL163" s="16">
        <f t="shared" si="120"/>
        <v>151.41963044287348</v>
      </c>
      <c r="AM163" s="15">
        <f t="shared" si="95"/>
        <v>22.170849845882874</v>
      </c>
      <c r="AN163" s="75">
        <f>AM163*(1-PARAM!$C$27)*$I$12+(MOD($B163,60)=PARAM!$B$56)*($B163&gt;(60-PARAM!$B$56))*HLOOKUP(($B163+PARAM!$B$56)/12,Loyalty,2)*$F$1*MAX(AP162,0)</f>
        <v>18.557001321003963</v>
      </c>
      <c r="AO163" s="75">
        <f>PARAM!$C$26+MAX($G$12-CHOOSE(PARAM!$B$44,MAX(0,AP162*$F$1),0),0)*RATES!$L139/12+$H$12*(PARAM!$D$51/12)*RATES!$N139/100</f>
        <v>9.819540723581607</v>
      </c>
      <c r="AP163" s="16">
        <f t="shared" si="121"/>
        <v>151.41963044287348</v>
      </c>
      <c r="AQ163" s="15">
        <f t="shared" si="96"/>
        <v>22.170849845882874</v>
      </c>
      <c r="AR163" s="75">
        <f>AQ163*(1-PARAM!$C$27)*$I$13+(MOD($B163,60)=PARAM!$B$56)*($B163&gt;(60-PARAM!$B$56))*HLOOKUP(($B163+PARAM!$B$56)/12,Loyalty,2)*$F$1*MAX(AT162,0)</f>
        <v>18.557001321003963</v>
      </c>
      <c r="AS163" s="75">
        <f>PARAM!$C$26+MAX($G$13-CHOOSE(PARAM!$B$44,MAX(0,AT162*$F$1),0),0)*RATES!$L139/12+$H$13*(PARAM!$D$51/12)*RATES!$N139/100</f>
        <v>9.819540723581607</v>
      </c>
      <c r="AT163" s="16">
        <f t="shared" si="122"/>
        <v>151.41963044287348</v>
      </c>
      <c r="AU163" s="15">
        <f t="shared" si="97"/>
        <v>22.170849845882874</v>
      </c>
      <c r="AV163" s="75">
        <f>AU163*(1-PARAM!$C$27)*$I$14+(MOD($B163,60)=PARAM!$B$56)*($B163&gt;(60-PARAM!$B$56))*HLOOKUP(($B163+PARAM!$B$56)/12,Loyalty,2)*$F$1*MAX(AX162,0)</f>
        <v>18.557001321003963</v>
      </c>
      <c r="AW163" s="75">
        <f>PARAM!$C$26+MAX($G$14-CHOOSE(PARAM!$B$44,MAX(0,AX162*$F$1),0),0)*RATES!$L139/12+$H$14*(PARAM!$D$51/12)*RATES!$N139/100</f>
        <v>9.819540723581607</v>
      </c>
      <c r="AX163" s="16">
        <f t="shared" si="123"/>
        <v>151.41963044287348</v>
      </c>
      <c r="AY163" s="15">
        <f t="shared" si="98"/>
        <v>22.170849845882874</v>
      </c>
      <c r="AZ163" s="75">
        <f>AY163*(1-PARAM!$C$27)*$I$15+(MOD($B163,60)=PARAM!$B$56)*($B163&gt;(60-PARAM!$B$56))*HLOOKUP(($B163+PARAM!$B$56)/12,Loyalty,2)*$F$1*MAX(BB162,0)</f>
        <v>18.557001321003963</v>
      </c>
      <c r="BA163" s="75">
        <f>PARAM!$C$26+MAX($G$15-CHOOSE(PARAM!$B$44,MAX(0,BB162*$F$1),0),0)*RATES!$L139/12+$H$15*(PARAM!$D$51/12)*RATES!$N139/100</f>
        <v>9.819540723581607</v>
      </c>
      <c r="BB163" s="16">
        <f t="shared" si="124"/>
        <v>151.41963044287348</v>
      </c>
      <c r="BC163" s="15">
        <f t="shared" si="99"/>
        <v>22.170849845882874</v>
      </c>
      <c r="BD163" s="75">
        <f>BC163*(1-PARAM!$C$27)*$I$16+(MOD($B163,60)=PARAM!$B$56)*($B163&gt;(60-PARAM!$B$56))*HLOOKUP(($B163+PARAM!$B$56)/12,Loyalty,2)*$F$1*MAX(BF162,0)</f>
        <v>18.557001321003963</v>
      </c>
      <c r="BE163" s="75">
        <f>PARAM!$C$26+MAX($G$16-CHOOSE(PARAM!$B$44,MAX(0,BF162*$F$1),0),0)*RATES!$L139/12+$H$16*(PARAM!$D$51/12)*RATES!$N139/100</f>
        <v>9.819540723581607</v>
      </c>
      <c r="BF163" s="16">
        <f t="shared" si="125"/>
        <v>151.41963044287348</v>
      </c>
      <c r="BG163" s="15">
        <f t="shared" si="100"/>
        <v>22.170849845882874</v>
      </c>
      <c r="BH163" s="75">
        <f>BG163*(1-PARAM!$C$27)*$I$17+(MOD($B163,60)=PARAM!$B$56)*($B163&gt;(60-PARAM!$B$56))*HLOOKUP(($B163+PARAM!$B$56)/12,Loyalty,2)*$F$1*MAX(BJ162,0)</f>
        <v>18.557001321003963</v>
      </c>
      <c r="BI163" s="75">
        <f>PARAM!$C$26+MAX($G$17-CHOOSE(PARAM!$B$44,MAX(0,BJ162*$F$1),0),0)*RATES!$L139/12+$H$17*(PARAM!$D$51/12)*RATES!$N139/100</f>
        <v>9.819540723581607</v>
      </c>
      <c r="BJ163" s="16">
        <f t="shared" si="126"/>
        <v>151.41963044287348</v>
      </c>
      <c r="BK163" s="15">
        <f t="shared" si="101"/>
        <v>22.170849845882874</v>
      </c>
      <c r="BL163" s="75">
        <f>BK163*(1-PARAM!$C$27)*$I$18+(MOD($B163,60)=PARAM!$B$56)*($B163&gt;(60-PARAM!$B$56))*HLOOKUP(($B163+PARAM!$B$56)/12,Loyalty,2)*$F$1*MAX(BN162,0)</f>
        <v>18.557001321003963</v>
      </c>
      <c r="BM163" s="75">
        <f>PARAM!$C$26+MAX($G$18-CHOOSE(PARAM!$B$44,MAX(0,BN162*$F$1),0),0)*RATES!$L139/12+$H$18*(PARAM!$D$51/12)*RATES!$N139/100</f>
        <v>9.819540723581607</v>
      </c>
      <c r="BN163" s="16">
        <f t="shared" si="127"/>
        <v>151.41963044287348</v>
      </c>
      <c r="BO163" s="15">
        <f t="shared" si="102"/>
        <v>22.170849845882874</v>
      </c>
      <c r="BP163" s="75">
        <f>BO163*(1-PARAM!$C$27)*$I$19+(MOD($B163,60)=PARAM!$B$56)*($B163&gt;(60-PARAM!$B$56))*HLOOKUP(($B163+PARAM!$B$56)/12,Loyalty,2)*$F$1*MAX(BR162,0)</f>
        <v>18.557001321003963</v>
      </c>
      <c r="BQ163" s="75">
        <f>PARAM!$C$26+MAX($G$19-CHOOSE(PARAM!$B$44,MAX(0,BR162*$F$1),0),0)*RATES!$L139/12+$H$19*(PARAM!$D$51/12)*RATES!$N139/100</f>
        <v>9.819540723581607</v>
      </c>
      <c r="BR163" s="16">
        <f t="shared" si="128"/>
        <v>151.41963044287348</v>
      </c>
      <c r="BS163" s="15">
        <f t="shared" si="103"/>
        <v>22.170849845882874</v>
      </c>
      <c r="BT163" s="75">
        <f>BS163*(1-PARAM!$C$27)*$I$20+(MOD($B163,60)=PARAM!$B$56)*($B163&gt;(60-PARAM!$B$56))*HLOOKUP(($B163+PARAM!$B$56)/12,Loyalty,2)*$F$1*MAX(BV162,0)</f>
        <v>18.557001321003963</v>
      </c>
      <c r="BU163" s="75">
        <f>PARAM!$C$26+MAX($G$20-CHOOSE(PARAM!$B$44,MAX(0,BV162*$F$1),0),0)*RATES!$L139/12+$H$20*(PARAM!$D$51/12)*RATES!$N139/100</f>
        <v>9.819540723581607</v>
      </c>
      <c r="BV163" s="16">
        <f t="shared" si="129"/>
        <v>151.41963044287348</v>
      </c>
      <c r="BW163" s="15">
        <f t="shared" si="104"/>
        <v>22.170849845882874</v>
      </c>
      <c r="BX163" s="75">
        <f>BW163*(1-PARAM!$C$27)*$I$21+(MOD($B163,60)=PARAM!$B$56)*($B163&gt;(60-PARAM!$B$56))*HLOOKUP(($B163+PARAM!$B$56)/12,Loyalty,2)*$F$1*MAX(BZ162,0)</f>
        <v>18.557001321003963</v>
      </c>
      <c r="BY163" s="75">
        <f>PARAM!$C$26+MAX($G$21-CHOOSE(PARAM!$B$44,MAX(0,BZ162*$F$1),0),0)*RATES!$L139/12+$H$21*(PARAM!$D$51/12)*RATES!$N139/100</f>
        <v>9.819540723581607</v>
      </c>
      <c r="BZ163" s="16">
        <f t="shared" si="130"/>
        <v>151.41963044287348</v>
      </c>
      <c r="CA163" s="15">
        <f t="shared" si="105"/>
        <v>22.170849845882874</v>
      </c>
      <c r="CB163" s="75">
        <f>CA163*(1-PARAM!$C$27)*$I$22+(MOD($B163,60)=PARAM!$B$56)*($B163&gt;(60-PARAM!$B$56))*HLOOKUP(($B163+PARAM!$B$56)/12,Loyalty,2)*$F$1*MAX(CD162,0)</f>
        <v>18.557001321003963</v>
      </c>
      <c r="CC163" s="75">
        <f>PARAM!$C$26+MAX($G$22-CHOOSE(PARAM!$B$44,MAX(0,CD162*$F$1),0),0)*RATES!$L139/12+$H$22*(PARAM!$D$51/12)*RATES!$N139/100</f>
        <v>9.819540723581607</v>
      </c>
      <c r="CD163" s="16">
        <f t="shared" si="131"/>
        <v>151.41963044287348</v>
      </c>
      <c r="CE163" s="33">
        <f>IF(0=MOD(B163,12/PARAM!$D$51),1,0)</f>
        <v>1</v>
      </c>
      <c r="CF163" s="15">
        <f t="shared" si="106"/>
        <v>0</v>
      </c>
      <c r="CG163" s="75">
        <f>CF163*(1-PARAM!$C$27)*$R$3+(MOD($B163/12,5)=0)*($B163&gt;60)*HLOOKUP($B163/12,Loyalty,2)*$F$1*MAX(CI162,0)</f>
        <v>0</v>
      </c>
      <c r="CH163" s="75">
        <f>PARAM!$C$26+MAX($P$3-CHOOSE(PARAM!$B$44,MAX(0,CI162*$F$1),0),0)*RATES!$L139/12+$Q$3*(PARAM!$D$51/12)*RATES!$N139/100</f>
        <v>9.8333333333333321</v>
      </c>
      <c r="CI163" s="16">
        <f>IF(CI162&gt;0,CI162*PARAM!$C$53,CI162)+CG163-CH163</f>
        <v>-2178.166666666667</v>
      </c>
      <c r="CJ163" s="15">
        <f t="shared" si="132"/>
        <v>0</v>
      </c>
      <c r="CK163" s="75">
        <f>CJ163*(1-PARAM!$C$27)*$R$4+(MOD($B163/12,5)=0)*($B163&gt;60)*HLOOKUP($B163/12,Loyalty,2)*$F$1*MAX(CM162,0)</f>
        <v>0</v>
      </c>
      <c r="CL163" s="75">
        <f>PARAM!$C$26+MAX($P$4-CHOOSE(PARAM!$B$44,MAX(0,CM162*$F$1),0),0)*RATES!$L139/12+$Q$4*(PARAM!$D$51/12)*RATES!$N139/100</f>
        <v>9.8333333333333321</v>
      </c>
      <c r="CM163" s="16">
        <f>IF(CM162&gt;0,CM162*PARAM!$C$53,CM162)+CK163-CL163</f>
        <v>-2178.166666666667</v>
      </c>
      <c r="CO163" s="176"/>
    </row>
    <row r="164" spans="1:93" x14ac:dyDescent="0.2">
      <c r="A164" t="b">
        <f t="shared" si="107"/>
        <v>0</v>
      </c>
      <c r="B164" s="33">
        <v>137</v>
      </c>
      <c r="C164" s="15">
        <f t="shared" si="108"/>
        <v>20.081305947392778</v>
      </c>
      <c r="D164" s="75">
        <f>C164*(1-PARAM!$C$27)*$I$3+(MOD($B164,60)=PARAM!$B$56)*($B164&gt;(60-PARAM!$B$56))*HLOOKUP(($B164+PARAM!$B$56)/12,Loyalty,2)*$F$1*MAX(F163,0)</f>
        <v>16.808053077967756</v>
      </c>
      <c r="E164" s="75">
        <f>PARAM!$C$26+MAX($G$3-CHOOSE(PARAM!$B$44,MAX(0,F163*$F$1),0),0)*RATES!$L140/12+$H$3*(PARAM!$D$51/12)*RATES!$N140/100</f>
        <v>9.8333333333333321</v>
      </c>
      <c r="F164" s="16">
        <f t="shared" si="109"/>
        <v>-61.26921233541816</v>
      </c>
      <c r="G164" s="15">
        <f t="shared" si="110"/>
        <v>22.035289406060361</v>
      </c>
      <c r="H164" s="75">
        <f>G164*(1-PARAM!$C$27)*$I$4+(MOD($B164,60)=PARAM!$B$56)*($B164&gt;(60-PARAM!$B$56))*HLOOKUP(($B164+PARAM!$B$56)/12,Loyalty,2)*$F$1*MAX(J163,0)</f>
        <v>18.443537232872522</v>
      </c>
      <c r="I164" s="75">
        <f>PARAM!$C$26+MAX($G$4-CHOOSE(PARAM!$B$44,MAX(0,J163*$F$1),0),0)*RATES!$L140/12+$H$4*(PARAM!$D$51/12)*RATES!$N140/100</f>
        <v>9.8200748436365366</v>
      </c>
      <c r="J164" s="16">
        <f t="shared" si="111"/>
        <v>145.78025235609371</v>
      </c>
      <c r="K164" s="15">
        <f t="shared" si="112"/>
        <v>22.170849845882874</v>
      </c>
      <c r="L164" s="75">
        <f>K164*(1-PARAM!$C$27)*$I$5+(MOD($B164,60)=PARAM!$B$56)*($B164&gt;(60-PARAM!$B$56))*HLOOKUP(($B164+PARAM!$B$56)/12,Loyalty,2)*$F$1*MAX(N163,0)</f>
        <v>18.557001321003963</v>
      </c>
      <c r="M164" s="75">
        <f>PARAM!$C$26+MAX($G$5-CHOOSE(PARAM!$B$44,MAX(0,N163*$F$1),0),0)*RATES!$L140/12+$H$5*(PARAM!$D$51/12)*RATES!$N140/100</f>
        <v>9.8186961023905219</v>
      </c>
      <c r="N164" s="16">
        <f t="shared" si="113"/>
        <v>160.1579356614869</v>
      </c>
      <c r="O164" s="15">
        <f t="shared" si="114"/>
        <v>22.170849845882874</v>
      </c>
      <c r="P164" s="75">
        <f>O164*(1-PARAM!$C$27)*$I$6+(MOD($B164,60)=PARAM!$B$56)*($B164&gt;(60-PARAM!$B$56))*HLOOKUP(($B164+PARAM!$B$56)/12,Loyalty,2)*$F$1*MAX(R163,0)</f>
        <v>18.557001321003963</v>
      </c>
      <c r="Q164" s="75">
        <f>PARAM!$C$26+MAX($G$6-CHOOSE(PARAM!$B$44,MAX(0,R163*$F$1),0),0)*RATES!$L140/12+$H$6*(PARAM!$D$51/12)*RATES!$N140/100</f>
        <v>9.8186961023905219</v>
      </c>
      <c r="R164" s="16">
        <f t="shared" si="115"/>
        <v>160.1579356614869</v>
      </c>
      <c r="S164" s="15">
        <f t="shared" si="90"/>
        <v>22.170849845882874</v>
      </c>
      <c r="T164" s="75">
        <f>S164*(1-PARAM!$C$27)*$I$7+(MOD($B164,60)=PARAM!$B$56)*($B164&gt;(60-PARAM!$B$56))*HLOOKUP(($B164+PARAM!$B$56)/12,Loyalty,2)*$F$1*MAX(V163,0)</f>
        <v>18.557001321003963</v>
      </c>
      <c r="U164" s="75">
        <f>PARAM!$C$26+MAX($G$7-CHOOSE(PARAM!$B$44,MAX(0,V163*$F$1),0),0)*RATES!$L140/12+$H$7*(PARAM!$D$51/12)*RATES!$N140/100</f>
        <v>9.8186961023905219</v>
      </c>
      <c r="V164" s="16">
        <f t="shared" si="116"/>
        <v>160.1579356614869</v>
      </c>
      <c r="W164" s="15">
        <f t="shared" si="91"/>
        <v>22.170849845882874</v>
      </c>
      <c r="X164" s="75">
        <f>W164*(1-PARAM!$C$27)*$I$8+(MOD($B164,60)=PARAM!$B$56)*($B164&gt;(60-PARAM!$B$56))*HLOOKUP(($B164+PARAM!$B$56)/12,Loyalty,2)*$F$1*MAX(Z163,0)</f>
        <v>18.557001321003963</v>
      </c>
      <c r="Y164" s="75">
        <f>PARAM!$C$26+MAX($G$8-CHOOSE(PARAM!$B$44,MAX(0,Z163*$F$1),0),0)*RATES!$L140/12+$H$8*(PARAM!$D$51/12)*RATES!$N140/100</f>
        <v>9.8186961023905219</v>
      </c>
      <c r="Z164" s="16">
        <f t="shared" si="117"/>
        <v>160.1579356614869</v>
      </c>
      <c r="AA164" s="15">
        <f t="shared" si="92"/>
        <v>22.170849845882874</v>
      </c>
      <c r="AB164" s="75">
        <f>AA164*(1-PARAM!$C$27)*$I$9+(MOD($B164,60)=PARAM!$B$56)*($B164&gt;(60-PARAM!$B$56))*HLOOKUP(($B164+PARAM!$B$56)/12,Loyalty,2)*$F$1*MAX(AD163,0)</f>
        <v>18.557001321003963</v>
      </c>
      <c r="AC164" s="75">
        <f>PARAM!$C$26+MAX($G$9-CHOOSE(PARAM!$B$44,MAX(0,AD163*$F$1),0),0)*RATES!$L140/12+$H$9*(PARAM!$D$51/12)*RATES!$N140/100</f>
        <v>9.8186961023905219</v>
      </c>
      <c r="AD164" s="16">
        <f t="shared" si="118"/>
        <v>160.1579356614869</v>
      </c>
      <c r="AE164" s="15">
        <f t="shared" si="93"/>
        <v>22.170849845882874</v>
      </c>
      <c r="AF164" s="75">
        <f>AE164*(1-PARAM!$C$27)*$I$10+(MOD($B164,60)=PARAM!$B$56)*($B164&gt;(60-PARAM!$B$56))*HLOOKUP(($B164+PARAM!$B$56)/12,Loyalty,2)*$F$1*MAX(AH163,0)</f>
        <v>18.557001321003963</v>
      </c>
      <c r="AG164" s="75">
        <f>PARAM!$C$26+MAX($G$10-CHOOSE(PARAM!$B$44,MAX(0,AH163*$F$1),0),0)*RATES!$L140/12+$H$10*(PARAM!$D$51/12)*RATES!$N140/100</f>
        <v>9.8186961023905219</v>
      </c>
      <c r="AH164" s="16">
        <f t="shared" si="119"/>
        <v>160.1579356614869</v>
      </c>
      <c r="AI164" s="15">
        <f t="shared" si="94"/>
        <v>22.170849845882874</v>
      </c>
      <c r="AJ164" s="75">
        <f>AI164*(1-PARAM!$C$27)*$I$11+(MOD($B164,60)=PARAM!$B$56)*($B164&gt;(60-PARAM!$B$56))*HLOOKUP(($B164+PARAM!$B$56)/12,Loyalty,2)*$F$1*MAX(AL163,0)</f>
        <v>18.557001321003963</v>
      </c>
      <c r="AK164" s="75">
        <f>PARAM!$C$26+MAX($G$11-CHOOSE(PARAM!$B$44,MAX(0,AL163*$F$1),0),0)*RATES!$L140/12+$H$11*(PARAM!$D$51/12)*RATES!$N140/100</f>
        <v>9.8186961023905219</v>
      </c>
      <c r="AL164" s="16">
        <f t="shared" si="120"/>
        <v>160.1579356614869</v>
      </c>
      <c r="AM164" s="15">
        <f t="shared" si="95"/>
        <v>22.170849845882874</v>
      </c>
      <c r="AN164" s="75">
        <f>AM164*(1-PARAM!$C$27)*$I$12+(MOD($B164,60)=PARAM!$B$56)*($B164&gt;(60-PARAM!$B$56))*HLOOKUP(($B164+PARAM!$B$56)/12,Loyalty,2)*$F$1*MAX(AP163,0)</f>
        <v>18.557001321003963</v>
      </c>
      <c r="AO164" s="75">
        <f>PARAM!$C$26+MAX($G$12-CHOOSE(PARAM!$B$44,MAX(0,AP163*$F$1),0),0)*RATES!$L140/12+$H$12*(PARAM!$D$51/12)*RATES!$N140/100</f>
        <v>9.8186961023905219</v>
      </c>
      <c r="AP164" s="16">
        <f t="shared" si="121"/>
        <v>160.1579356614869</v>
      </c>
      <c r="AQ164" s="15">
        <f t="shared" si="96"/>
        <v>22.170849845882874</v>
      </c>
      <c r="AR164" s="75">
        <f>AQ164*(1-PARAM!$C$27)*$I$13+(MOD($B164,60)=PARAM!$B$56)*($B164&gt;(60-PARAM!$B$56))*HLOOKUP(($B164+PARAM!$B$56)/12,Loyalty,2)*$F$1*MAX(AT163,0)</f>
        <v>18.557001321003963</v>
      </c>
      <c r="AS164" s="75">
        <f>PARAM!$C$26+MAX($G$13-CHOOSE(PARAM!$B$44,MAX(0,AT163*$F$1),0),0)*RATES!$L140/12+$H$13*(PARAM!$D$51/12)*RATES!$N140/100</f>
        <v>9.8186961023905219</v>
      </c>
      <c r="AT164" s="16">
        <f t="shared" si="122"/>
        <v>160.1579356614869</v>
      </c>
      <c r="AU164" s="15">
        <f t="shared" si="97"/>
        <v>22.170849845882874</v>
      </c>
      <c r="AV164" s="75">
        <f>AU164*(1-PARAM!$C$27)*$I$14+(MOD($B164,60)=PARAM!$B$56)*($B164&gt;(60-PARAM!$B$56))*HLOOKUP(($B164+PARAM!$B$56)/12,Loyalty,2)*$F$1*MAX(AX163,0)</f>
        <v>18.557001321003963</v>
      </c>
      <c r="AW164" s="75">
        <f>PARAM!$C$26+MAX($G$14-CHOOSE(PARAM!$B$44,MAX(0,AX163*$F$1),0),0)*RATES!$L140/12+$H$14*(PARAM!$D$51/12)*RATES!$N140/100</f>
        <v>9.8186961023905219</v>
      </c>
      <c r="AX164" s="16">
        <f t="shared" si="123"/>
        <v>160.1579356614869</v>
      </c>
      <c r="AY164" s="15">
        <f t="shared" si="98"/>
        <v>22.170849845882874</v>
      </c>
      <c r="AZ164" s="75">
        <f>AY164*(1-PARAM!$C$27)*$I$15+(MOD($B164,60)=PARAM!$B$56)*($B164&gt;(60-PARAM!$B$56))*HLOOKUP(($B164+PARAM!$B$56)/12,Loyalty,2)*$F$1*MAX(BB163,0)</f>
        <v>18.557001321003963</v>
      </c>
      <c r="BA164" s="75">
        <f>PARAM!$C$26+MAX($G$15-CHOOSE(PARAM!$B$44,MAX(0,BB163*$F$1),0),0)*RATES!$L140/12+$H$15*(PARAM!$D$51/12)*RATES!$N140/100</f>
        <v>9.8186961023905219</v>
      </c>
      <c r="BB164" s="16">
        <f t="shared" si="124"/>
        <v>160.1579356614869</v>
      </c>
      <c r="BC164" s="15">
        <f t="shared" si="99"/>
        <v>22.170849845882874</v>
      </c>
      <c r="BD164" s="75">
        <f>BC164*(1-PARAM!$C$27)*$I$16+(MOD($B164,60)=PARAM!$B$56)*($B164&gt;(60-PARAM!$B$56))*HLOOKUP(($B164+PARAM!$B$56)/12,Loyalty,2)*$F$1*MAX(BF163,0)</f>
        <v>18.557001321003963</v>
      </c>
      <c r="BE164" s="75">
        <f>PARAM!$C$26+MAX($G$16-CHOOSE(PARAM!$B$44,MAX(0,BF163*$F$1),0),0)*RATES!$L140/12+$H$16*(PARAM!$D$51/12)*RATES!$N140/100</f>
        <v>9.8186961023905219</v>
      </c>
      <c r="BF164" s="16">
        <f t="shared" si="125"/>
        <v>160.1579356614869</v>
      </c>
      <c r="BG164" s="15">
        <f t="shared" si="100"/>
        <v>22.170849845882874</v>
      </c>
      <c r="BH164" s="75">
        <f>BG164*(1-PARAM!$C$27)*$I$17+(MOD($B164,60)=PARAM!$B$56)*($B164&gt;(60-PARAM!$B$56))*HLOOKUP(($B164+PARAM!$B$56)/12,Loyalty,2)*$F$1*MAX(BJ163,0)</f>
        <v>18.557001321003963</v>
      </c>
      <c r="BI164" s="75">
        <f>PARAM!$C$26+MAX($G$17-CHOOSE(PARAM!$B$44,MAX(0,BJ163*$F$1),0),0)*RATES!$L140/12+$H$17*(PARAM!$D$51/12)*RATES!$N140/100</f>
        <v>9.8186961023905219</v>
      </c>
      <c r="BJ164" s="16">
        <f t="shared" si="126"/>
        <v>160.1579356614869</v>
      </c>
      <c r="BK164" s="15">
        <f t="shared" si="101"/>
        <v>22.170849845882874</v>
      </c>
      <c r="BL164" s="75">
        <f>BK164*(1-PARAM!$C$27)*$I$18+(MOD($B164,60)=PARAM!$B$56)*($B164&gt;(60-PARAM!$B$56))*HLOOKUP(($B164+PARAM!$B$56)/12,Loyalty,2)*$F$1*MAX(BN163,0)</f>
        <v>18.557001321003963</v>
      </c>
      <c r="BM164" s="75">
        <f>PARAM!$C$26+MAX($G$18-CHOOSE(PARAM!$B$44,MAX(0,BN163*$F$1),0),0)*RATES!$L140/12+$H$18*(PARAM!$D$51/12)*RATES!$N140/100</f>
        <v>9.8186961023905219</v>
      </c>
      <c r="BN164" s="16">
        <f t="shared" si="127"/>
        <v>160.1579356614869</v>
      </c>
      <c r="BO164" s="15">
        <f t="shared" si="102"/>
        <v>22.170849845882874</v>
      </c>
      <c r="BP164" s="75">
        <f>BO164*(1-PARAM!$C$27)*$I$19+(MOD($B164,60)=PARAM!$B$56)*($B164&gt;(60-PARAM!$B$56))*HLOOKUP(($B164+PARAM!$B$56)/12,Loyalty,2)*$F$1*MAX(BR163,0)</f>
        <v>18.557001321003963</v>
      </c>
      <c r="BQ164" s="75">
        <f>PARAM!$C$26+MAX($G$19-CHOOSE(PARAM!$B$44,MAX(0,BR163*$F$1),0),0)*RATES!$L140/12+$H$19*(PARAM!$D$51/12)*RATES!$N140/100</f>
        <v>9.8186961023905219</v>
      </c>
      <c r="BR164" s="16">
        <f t="shared" si="128"/>
        <v>160.1579356614869</v>
      </c>
      <c r="BS164" s="15">
        <f t="shared" si="103"/>
        <v>22.170849845882874</v>
      </c>
      <c r="BT164" s="75">
        <f>BS164*(1-PARAM!$C$27)*$I$20+(MOD($B164,60)=PARAM!$B$56)*($B164&gt;(60-PARAM!$B$56))*HLOOKUP(($B164+PARAM!$B$56)/12,Loyalty,2)*$F$1*MAX(BV163,0)</f>
        <v>18.557001321003963</v>
      </c>
      <c r="BU164" s="75">
        <f>PARAM!$C$26+MAX($G$20-CHOOSE(PARAM!$B$44,MAX(0,BV163*$F$1),0),0)*RATES!$L140/12+$H$20*(PARAM!$D$51/12)*RATES!$N140/100</f>
        <v>9.8186961023905219</v>
      </c>
      <c r="BV164" s="16">
        <f t="shared" si="129"/>
        <v>160.1579356614869</v>
      </c>
      <c r="BW164" s="15">
        <f t="shared" si="104"/>
        <v>22.170849845882874</v>
      </c>
      <c r="BX164" s="75">
        <f>BW164*(1-PARAM!$C$27)*$I$21+(MOD($B164,60)=PARAM!$B$56)*($B164&gt;(60-PARAM!$B$56))*HLOOKUP(($B164+PARAM!$B$56)/12,Loyalty,2)*$F$1*MAX(BZ163,0)</f>
        <v>18.557001321003963</v>
      </c>
      <c r="BY164" s="75">
        <f>PARAM!$C$26+MAX($G$21-CHOOSE(PARAM!$B$44,MAX(0,BZ163*$F$1),0),0)*RATES!$L140/12+$H$21*(PARAM!$D$51/12)*RATES!$N140/100</f>
        <v>9.8186961023905219</v>
      </c>
      <c r="BZ164" s="16">
        <f t="shared" si="130"/>
        <v>160.1579356614869</v>
      </c>
      <c r="CA164" s="15">
        <f t="shared" si="105"/>
        <v>22.170849845882874</v>
      </c>
      <c r="CB164" s="75">
        <f>CA164*(1-PARAM!$C$27)*$I$22+(MOD($B164,60)=PARAM!$B$56)*($B164&gt;(60-PARAM!$B$56))*HLOOKUP(($B164+PARAM!$B$56)/12,Loyalty,2)*$F$1*MAX(CD163,0)</f>
        <v>18.557001321003963</v>
      </c>
      <c r="CC164" s="75">
        <f>PARAM!$C$26+MAX($G$22-CHOOSE(PARAM!$B$44,MAX(0,CD163*$F$1),0),0)*RATES!$L140/12+$H$22*(PARAM!$D$51/12)*RATES!$N140/100</f>
        <v>9.8186961023905219</v>
      </c>
      <c r="CD164" s="16">
        <f t="shared" si="131"/>
        <v>160.1579356614869</v>
      </c>
      <c r="CE164" s="33">
        <f>IF(0=MOD(B164,12/PARAM!$D$51),1,0)</f>
        <v>1</v>
      </c>
      <c r="CF164" s="15">
        <f t="shared" si="106"/>
        <v>0</v>
      </c>
      <c r="CG164" s="75">
        <f>CF164*(1-PARAM!$C$27)*$R$3+(MOD($B164/12,5)=0)*($B164&gt;60)*HLOOKUP($B164/12,Loyalty,2)*$F$1*MAX(CI163,0)</f>
        <v>0</v>
      </c>
      <c r="CH164" s="75">
        <f>PARAM!$C$26+MAX($P$3-CHOOSE(PARAM!$B$44,MAX(0,CI163*$F$1),0),0)*RATES!$L140/12+$Q$3*(PARAM!$D$51/12)*RATES!$N140/100</f>
        <v>9.8333333333333321</v>
      </c>
      <c r="CI164" s="16">
        <f>IF(CI163&gt;0,CI163*PARAM!$C$53,CI163)+CG164-CH164</f>
        <v>-2188.0000000000005</v>
      </c>
      <c r="CJ164" s="15">
        <f t="shared" si="132"/>
        <v>0</v>
      </c>
      <c r="CK164" s="75">
        <f>CJ164*(1-PARAM!$C$27)*$R$4+(MOD($B164/12,5)=0)*($B164&gt;60)*HLOOKUP($B164/12,Loyalty,2)*$F$1*MAX(CM163,0)</f>
        <v>0</v>
      </c>
      <c r="CL164" s="75">
        <f>PARAM!$C$26+MAX($P$4-CHOOSE(PARAM!$B$44,MAX(0,CM163*$F$1),0),0)*RATES!$L140/12+$Q$4*(PARAM!$D$51/12)*RATES!$N140/100</f>
        <v>9.8333333333333321</v>
      </c>
      <c r="CM164" s="16">
        <f>IF(CM163&gt;0,CM163*PARAM!$C$53,CM163)+CK164-CL164</f>
        <v>-2188.0000000000005</v>
      </c>
      <c r="CO164" s="176"/>
    </row>
    <row r="165" spans="1:93" x14ac:dyDescent="0.2">
      <c r="A165" t="b">
        <f t="shared" si="107"/>
        <v>0</v>
      </c>
      <c r="B165" s="33">
        <v>138</v>
      </c>
      <c r="C165" s="15">
        <f t="shared" si="108"/>
        <v>20.081305947392778</v>
      </c>
      <c r="D165" s="75">
        <f>C165*(1-PARAM!$C$27)*$I$3+(MOD($B165,60)=PARAM!$B$56)*($B165&gt;(60-PARAM!$B$56))*HLOOKUP(($B165+PARAM!$B$56)/12,Loyalty,2)*$F$1*MAX(F164,0)</f>
        <v>16.808053077967756</v>
      </c>
      <c r="E165" s="75">
        <f>PARAM!$C$26+MAX($G$3-CHOOSE(PARAM!$B$44,MAX(0,F164*$F$1),0),0)*RATES!$L141/12+$H$3*(PARAM!$D$51/12)*RATES!$N141/100</f>
        <v>10.416666666666668</v>
      </c>
      <c r="F165" s="16">
        <f t="shared" si="109"/>
        <v>-54.877825924117076</v>
      </c>
      <c r="G165" s="15">
        <f t="shared" si="110"/>
        <v>22.035289406060361</v>
      </c>
      <c r="H165" s="75">
        <f>G165*(1-PARAM!$C$27)*$I$4+(MOD($B165,60)=PARAM!$B$56)*($B165&gt;(60-PARAM!$B$56))*HLOOKUP(($B165+PARAM!$B$56)/12,Loyalty,2)*$F$1*MAX(J164,0)</f>
        <v>18.443537232872522</v>
      </c>
      <c r="I165" s="75">
        <f>PARAM!$C$26+MAX($G$4-CHOOSE(PARAM!$B$44,MAX(0,J164*$F$1),0),0)*RATES!$L141/12+$H$4*(PARAM!$D$51/12)*RATES!$N141/100</f>
        <v>10.400873805994756</v>
      </c>
      <c r="J165" s="16">
        <f t="shared" si="111"/>
        <v>153.82291578297148</v>
      </c>
      <c r="K165" s="15">
        <f t="shared" si="112"/>
        <v>22.170849845882874</v>
      </c>
      <c r="L165" s="75">
        <f>K165*(1-PARAM!$C$27)*$I$5+(MOD($B165,60)=PARAM!$B$56)*($B165&gt;(60-PARAM!$B$56))*HLOOKUP(($B165+PARAM!$B$56)/12,Loyalty,2)*$F$1*MAX(N164,0)</f>
        <v>18.557001321003963</v>
      </c>
      <c r="M165" s="75">
        <f>PARAM!$C$26+MAX($G$5-CHOOSE(PARAM!$B$44,MAX(0,N164*$F$1),0),0)*RATES!$L141/12+$H$5*(PARAM!$D$51/12)*RATES!$N141/100</f>
        <v>10.399316223636671</v>
      </c>
      <c r="N165" s="16">
        <f t="shared" si="113"/>
        <v>168.31562075885418</v>
      </c>
      <c r="O165" s="15">
        <f t="shared" si="114"/>
        <v>22.170849845882874</v>
      </c>
      <c r="P165" s="75">
        <f>O165*(1-PARAM!$C$27)*$I$6+(MOD($B165,60)=PARAM!$B$56)*($B165&gt;(60-PARAM!$B$56))*HLOOKUP(($B165+PARAM!$B$56)/12,Loyalty,2)*$F$1*MAX(R164,0)</f>
        <v>18.557001321003963</v>
      </c>
      <c r="Q165" s="75">
        <f>PARAM!$C$26+MAX($G$6-CHOOSE(PARAM!$B$44,MAX(0,R164*$F$1),0),0)*RATES!$L141/12+$H$6*(PARAM!$D$51/12)*RATES!$N141/100</f>
        <v>10.399316223636671</v>
      </c>
      <c r="R165" s="16">
        <f t="shared" si="115"/>
        <v>168.31562075885418</v>
      </c>
      <c r="S165" s="15">
        <f t="shared" si="90"/>
        <v>22.170849845882874</v>
      </c>
      <c r="T165" s="75">
        <f>S165*(1-PARAM!$C$27)*$I$7+(MOD($B165,60)=PARAM!$B$56)*($B165&gt;(60-PARAM!$B$56))*HLOOKUP(($B165+PARAM!$B$56)/12,Loyalty,2)*$F$1*MAX(V164,0)</f>
        <v>18.557001321003963</v>
      </c>
      <c r="U165" s="75">
        <f>PARAM!$C$26+MAX($G$7-CHOOSE(PARAM!$B$44,MAX(0,V164*$F$1),0),0)*RATES!$L141/12+$H$7*(PARAM!$D$51/12)*RATES!$N141/100</f>
        <v>10.399316223636671</v>
      </c>
      <c r="V165" s="16">
        <f t="shared" si="116"/>
        <v>168.31562075885418</v>
      </c>
      <c r="W165" s="15">
        <f t="shared" si="91"/>
        <v>22.170849845882874</v>
      </c>
      <c r="X165" s="75">
        <f>W165*(1-PARAM!$C$27)*$I$8+(MOD($B165,60)=PARAM!$B$56)*($B165&gt;(60-PARAM!$B$56))*HLOOKUP(($B165+PARAM!$B$56)/12,Loyalty,2)*$F$1*MAX(Z164,0)</f>
        <v>18.557001321003963</v>
      </c>
      <c r="Y165" s="75">
        <f>PARAM!$C$26+MAX($G$8-CHOOSE(PARAM!$B$44,MAX(0,Z164*$F$1),0),0)*RATES!$L141/12+$H$8*(PARAM!$D$51/12)*RATES!$N141/100</f>
        <v>10.399316223636671</v>
      </c>
      <c r="Z165" s="16">
        <f t="shared" si="117"/>
        <v>168.31562075885418</v>
      </c>
      <c r="AA165" s="15">
        <f t="shared" si="92"/>
        <v>22.170849845882874</v>
      </c>
      <c r="AB165" s="75">
        <f>AA165*(1-PARAM!$C$27)*$I$9+(MOD($B165,60)=PARAM!$B$56)*($B165&gt;(60-PARAM!$B$56))*HLOOKUP(($B165+PARAM!$B$56)/12,Loyalty,2)*$F$1*MAX(AD164,0)</f>
        <v>18.557001321003963</v>
      </c>
      <c r="AC165" s="75">
        <f>PARAM!$C$26+MAX($G$9-CHOOSE(PARAM!$B$44,MAX(0,AD164*$F$1),0),0)*RATES!$L141/12+$H$9*(PARAM!$D$51/12)*RATES!$N141/100</f>
        <v>10.399316223636671</v>
      </c>
      <c r="AD165" s="16">
        <f t="shared" si="118"/>
        <v>168.31562075885418</v>
      </c>
      <c r="AE165" s="15">
        <f t="shared" si="93"/>
        <v>22.170849845882874</v>
      </c>
      <c r="AF165" s="75">
        <f>AE165*(1-PARAM!$C$27)*$I$10+(MOD($B165,60)=PARAM!$B$56)*($B165&gt;(60-PARAM!$B$56))*HLOOKUP(($B165+PARAM!$B$56)/12,Loyalty,2)*$F$1*MAX(AH164,0)</f>
        <v>18.557001321003963</v>
      </c>
      <c r="AG165" s="75">
        <f>PARAM!$C$26+MAX($G$10-CHOOSE(PARAM!$B$44,MAX(0,AH164*$F$1),0),0)*RATES!$L141/12+$H$10*(PARAM!$D$51/12)*RATES!$N141/100</f>
        <v>10.399316223636671</v>
      </c>
      <c r="AH165" s="16">
        <f t="shared" si="119"/>
        <v>168.31562075885418</v>
      </c>
      <c r="AI165" s="15">
        <f t="shared" si="94"/>
        <v>22.170849845882874</v>
      </c>
      <c r="AJ165" s="75">
        <f>AI165*(1-PARAM!$C$27)*$I$11+(MOD($B165,60)=PARAM!$B$56)*($B165&gt;(60-PARAM!$B$56))*HLOOKUP(($B165+PARAM!$B$56)/12,Loyalty,2)*$F$1*MAX(AL164,0)</f>
        <v>18.557001321003963</v>
      </c>
      <c r="AK165" s="75">
        <f>PARAM!$C$26+MAX($G$11-CHOOSE(PARAM!$B$44,MAX(0,AL164*$F$1),0),0)*RATES!$L141/12+$H$11*(PARAM!$D$51/12)*RATES!$N141/100</f>
        <v>10.399316223636671</v>
      </c>
      <c r="AL165" s="16">
        <f t="shared" si="120"/>
        <v>168.31562075885418</v>
      </c>
      <c r="AM165" s="15">
        <f t="shared" si="95"/>
        <v>22.170849845882874</v>
      </c>
      <c r="AN165" s="75">
        <f>AM165*(1-PARAM!$C$27)*$I$12+(MOD($B165,60)=PARAM!$B$56)*($B165&gt;(60-PARAM!$B$56))*HLOOKUP(($B165+PARAM!$B$56)/12,Loyalty,2)*$F$1*MAX(AP164,0)</f>
        <v>18.557001321003963</v>
      </c>
      <c r="AO165" s="75">
        <f>PARAM!$C$26+MAX($G$12-CHOOSE(PARAM!$B$44,MAX(0,AP164*$F$1),0),0)*RATES!$L141/12+$H$12*(PARAM!$D$51/12)*RATES!$N141/100</f>
        <v>10.399316223636671</v>
      </c>
      <c r="AP165" s="16">
        <f t="shared" si="121"/>
        <v>168.31562075885418</v>
      </c>
      <c r="AQ165" s="15">
        <f t="shared" si="96"/>
        <v>22.170849845882874</v>
      </c>
      <c r="AR165" s="75">
        <f>AQ165*(1-PARAM!$C$27)*$I$13+(MOD($B165,60)=PARAM!$B$56)*($B165&gt;(60-PARAM!$B$56))*HLOOKUP(($B165+PARAM!$B$56)/12,Loyalty,2)*$F$1*MAX(AT164,0)</f>
        <v>18.557001321003963</v>
      </c>
      <c r="AS165" s="75">
        <f>PARAM!$C$26+MAX($G$13-CHOOSE(PARAM!$B$44,MAX(0,AT164*$F$1),0),0)*RATES!$L141/12+$H$13*(PARAM!$D$51/12)*RATES!$N141/100</f>
        <v>10.399316223636671</v>
      </c>
      <c r="AT165" s="16">
        <f t="shared" si="122"/>
        <v>168.31562075885418</v>
      </c>
      <c r="AU165" s="15">
        <f t="shared" si="97"/>
        <v>22.170849845882874</v>
      </c>
      <c r="AV165" s="75">
        <f>AU165*(1-PARAM!$C$27)*$I$14+(MOD($B165,60)=PARAM!$B$56)*($B165&gt;(60-PARAM!$B$56))*HLOOKUP(($B165+PARAM!$B$56)/12,Loyalty,2)*$F$1*MAX(AX164,0)</f>
        <v>18.557001321003963</v>
      </c>
      <c r="AW165" s="75">
        <f>PARAM!$C$26+MAX($G$14-CHOOSE(PARAM!$B$44,MAX(0,AX164*$F$1),0),0)*RATES!$L141/12+$H$14*(PARAM!$D$51/12)*RATES!$N141/100</f>
        <v>10.399316223636671</v>
      </c>
      <c r="AX165" s="16">
        <f t="shared" si="123"/>
        <v>168.31562075885418</v>
      </c>
      <c r="AY165" s="15">
        <f t="shared" si="98"/>
        <v>22.170849845882874</v>
      </c>
      <c r="AZ165" s="75">
        <f>AY165*(1-PARAM!$C$27)*$I$15+(MOD($B165,60)=PARAM!$B$56)*($B165&gt;(60-PARAM!$B$56))*HLOOKUP(($B165+PARAM!$B$56)/12,Loyalty,2)*$F$1*MAX(BB164,0)</f>
        <v>18.557001321003963</v>
      </c>
      <c r="BA165" s="75">
        <f>PARAM!$C$26+MAX($G$15-CHOOSE(PARAM!$B$44,MAX(0,BB164*$F$1),0),0)*RATES!$L141/12+$H$15*(PARAM!$D$51/12)*RATES!$N141/100</f>
        <v>10.399316223636671</v>
      </c>
      <c r="BB165" s="16">
        <f t="shared" si="124"/>
        <v>168.31562075885418</v>
      </c>
      <c r="BC165" s="15">
        <f t="shared" si="99"/>
        <v>22.170849845882874</v>
      </c>
      <c r="BD165" s="75">
        <f>BC165*(1-PARAM!$C$27)*$I$16+(MOD($B165,60)=PARAM!$B$56)*($B165&gt;(60-PARAM!$B$56))*HLOOKUP(($B165+PARAM!$B$56)/12,Loyalty,2)*$F$1*MAX(BF164,0)</f>
        <v>18.557001321003963</v>
      </c>
      <c r="BE165" s="75">
        <f>PARAM!$C$26+MAX($G$16-CHOOSE(PARAM!$B$44,MAX(0,BF164*$F$1),0),0)*RATES!$L141/12+$H$16*(PARAM!$D$51/12)*RATES!$N141/100</f>
        <v>10.399316223636671</v>
      </c>
      <c r="BF165" s="16">
        <f t="shared" si="125"/>
        <v>168.31562075885418</v>
      </c>
      <c r="BG165" s="15">
        <f t="shared" si="100"/>
        <v>22.170849845882874</v>
      </c>
      <c r="BH165" s="75">
        <f>BG165*(1-PARAM!$C$27)*$I$17+(MOD($B165,60)=PARAM!$B$56)*($B165&gt;(60-PARAM!$B$56))*HLOOKUP(($B165+PARAM!$B$56)/12,Loyalty,2)*$F$1*MAX(BJ164,0)</f>
        <v>18.557001321003963</v>
      </c>
      <c r="BI165" s="75">
        <f>PARAM!$C$26+MAX($G$17-CHOOSE(PARAM!$B$44,MAX(0,BJ164*$F$1),0),0)*RATES!$L141/12+$H$17*(PARAM!$D$51/12)*RATES!$N141/100</f>
        <v>10.399316223636671</v>
      </c>
      <c r="BJ165" s="16">
        <f t="shared" si="126"/>
        <v>168.31562075885418</v>
      </c>
      <c r="BK165" s="15">
        <f t="shared" si="101"/>
        <v>22.170849845882874</v>
      </c>
      <c r="BL165" s="75">
        <f>BK165*(1-PARAM!$C$27)*$I$18+(MOD($B165,60)=PARAM!$B$56)*($B165&gt;(60-PARAM!$B$56))*HLOOKUP(($B165+PARAM!$B$56)/12,Loyalty,2)*$F$1*MAX(BN164,0)</f>
        <v>18.557001321003963</v>
      </c>
      <c r="BM165" s="75">
        <f>PARAM!$C$26+MAX($G$18-CHOOSE(PARAM!$B$44,MAX(0,BN164*$F$1),0),0)*RATES!$L141/12+$H$18*(PARAM!$D$51/12)*RATES!$N141/100</f>
        <v>10.399316223636671</v>
      </c>
      <c r="BN165" s="16">
        <f t="shared" si="127"/>
        <v>168.31562075885418</v>
      </c>
      <c r="BO165" s="15">
        <f t="shared" si="102"/>
        <v>22.170849845882874</v>
      </c>
      <c r="BP165" s="75">
        <f>BO165*(1-PARAM!$C$27)*$I$19+(MOD($B165,60)=PARAM!$B$56)*($B165&gt;(60-PARAM!$B$56))*HLOOKUP(($B165+PARAM!$B$56)/12,Loyalty,2)*$F$1*MAX(BR164,0)</f>
        <v>18.557001321003963</v>
      </c>
      <c r="BQ165" s="75">
        <f>PARAM!$C$26+MAX($G$19-CHOOSE(PARAM!$B$44,MAX(0,BR164*$F$1),0),0)*RATES!$L141/12+$H$19*(PARAM!$D$51/12)*RATES!$N141/100</f>
        <v>10.399316223636671</v>
      </c>
      <c r="BR165" s="16">
        <f t="shared" si="128"/>
        <v>168.31562075885418</v>
      </c>
      <c r="BS165" s="15">
        <f t="shared" si="103"/>
        <v>22.170849845882874</v>
      </c>
      <c r="BT165" s="75">
        <f>BS165*(1-PARAM!$C$27)*$I$20+(MOD($B165,60)=PARAM!$B$56)*($B165&gt;(60-PARAM!$B$56))*HLOOKUP(($B165+PARAM!$B$56)/12,Loyalty,2)*$F$1*MAX(BV164,0)</f>
        <v>18.557001321003963</v>
      </c>
      <c r="BU165" s="75">
        <f>PARAM!$C$26+MAX($G$20-CHOOSE(PARAM!$B$44,MAX(0,BV164*$F$1),0),0)*RATES!$L141/12+$H$20*(PARAM!$D$51/12)*RATES!$N141/100</f>
        <v>10.399316223636671</v>
      </c>
      <c r="BV165" s="16">
        <f t="shared" si="129"/>
        <v>168.31562075885418</v>
      </c>
      <c r="BW165" s="15">
        <f t="shared" si="104"/>
        <v>22.170849845882874</v>
      </c>
      <c r="BX165" s="75">
        <f>BW165*(1-PARAM!$C$27)*$I$21+(MOD($B165,60)=PARAM!$B$56)*($B165&gt;(60-PARAM!$B$56))*HLOOKUP(($B165+PARAM!$B$56)/12,Loyalty,2)*$F$1*MAX(BZ164,0)</f>
        <v>18.557001321003963</v>
      </c>
      <c r="BY165" s="75">
        <f>PARAM!$C$26+MAX($G$21-CHOOSE(PARAM!$B$44,MAX(0,BZ164*$F$1),0),0)*RATES!$L141/12+$H$21*(PARAM!$D$51/12)*RATES!$N141/100</f>
        <v>10.399316223636671</v>
      </c>
      <c r="BZ165" s="16">
        <f t="shared" si="130"/>
        <v>168.31562075885418</v>
      </c>
      <c r="CA165" s="15">
        <f t="shared" si="105"/>
        <v>22.170849845882874</v>
      </c>
      <c r="CB165" s="75">
        <f>CA165*(1-PARAM!$C$27)*$I$22+(MOD($B165,60)=PARAM!$B$56)*($B165&gt;(60-PARAM!$B$56))*HLOOKUP(($B165+PARAM!$B$56)/12,Loyalty,2)*$F$1*MAX(CD164,0)</f>
        <v>18.557001321003963</v>
      </c>
      <c r="CC165" s="75">
        <f>PARAM!$C$26+MAX($G$22-CHOOSE(PARAM!$B$44,MAX(0,CD164*$F$1),0),0)*RATES!$L141/12+$H$22*(PARAM!$D$51/12)*RATES!$N141/100</f>
        <v>10.399316223636671</v>
      </c>
      <c r="CD165" s="16">
        <f t="shared" si="131"/>
        <v>168.31562075885418</v>
      </c>
      <c r="CE165" s="33">
        <f>IF(0=MOD(B165,12/PARAM!$D$51),1,0)</f>
        <v>1</v>
      </c>
      <c r="CF165" s="15">
        <f t="shared" si="106"/>
        <v>0</v>
      </c>
      <c r="CG165" s="75">
        <f>CF165*(1-PARAM!$C$27)*$R$3+(MOD($B165/12,5)=0)*($B165&gt;60)*HLOOKUP($B165/12,Loyalty,2)*$F$1*MAX(CI164,0)</f>
        <v>0</v>
      </c>
      <c r="CH165" s="75">
        <f>PARAM!$C$26+MAX($P$3-CHOOSE(PARAM!$B$44,MAX(0,CI164*$F$1),0),0)*RATES!$L141/12+$Q$3*(PARAM!$D$51/12)*RATES!$N141/100</f>
        <v>10.416666666666668</v>
      </c>
      <c r="CI165" s="16">
        <f>IF(CI164&gt;0,CI164*PARAM!$C$53,CI164)+CG165-CH165</f>
        <v>-2198.416666666667</v>
      </c>
      <c r="CJ165" s="15">
        <f t="shared" si="132"/>
        <v>0</v>
      </c>
      <c r="CK165" s="75">
        <f>CJ165*(1-PARAM!$C$27)*$R$4+(MOD($B165/12,5)=0)*($B165&gt;60)*HLOOKUP($B165/12,Loyalty,2)*$F$1*MAX(CM164,0)</f>
        <v>0</v>
      </c>
      <c r="CL165" s="75">
        <f>PARAM!$C$26+MAX($P$4-CHOOSE(PARAM!$B$44,MAX(0,CM164*$F$1),0),0)*RATES!$L141/12+$Q$4*(PARAM!$D$51/12)*RATES!$N141/100</f>
        <v>10.416666666666668</v>
      </c>
      <c r="CM165" s="16">
        <f>IF(CM164&gt;0,CM164*PARAM!$C$53,CM164)+CK165-CL165</f>
        <v>-2198.416666666667</v>
      </c>
      <c r="CO165" s="176"/>
    </row>
    <row r="166" spans="1:93" x14ac:dyDescent="0.2">
      <c r="A166" t="b">
        <f t="shared" si="107"/>
        <v>0</v>
      </c>
      <c r="B166" s="33">
        <v>139</v>
      </c>
      <c r="C166" s="15">
        <f t="shared" si="108"/>
        <v>20.081305947392778</v>
      </c>
      <c r="D166" s="75">
        <f>C166*(1-PARAM!$C$27)*$I$3+(MOD($B166,60)=PARAM!$B$56)*($B166&gt;(60-PARAM!$B$56))*HLOOKUP(($B166+PARAM!$B$56)/12,Loyalty,2)*$F$1*MAX(F165,0)</f>
        <v>16.808053077967756</v>
      </c>
      <c r="E166" s="75">
        <f>PARAM!$C$26+MAX($G$3-CHOOSE(PARAM!$B$44,MAX(0,F165*$F$1),0),0)*RATES!$L142/12+$H$3*(PARAM!$D$51/12)*RATES!$N142/100</f>
        <v>10.416666666666668</v>
      </c>
      <c r="F166" s="16">
        <f t="shared" si="109"/>
        <v>-48.486439512815991</v>
      </c>
      <c r="G166" s="15">
        <f t="shared" si="110"/>
        <v>22.035289406060361</v>
      </c>
      <c r="H166" s="75">
        <f>G166*(1-PARAM!$C$27)*$I$4+(MOD($B166,60)=PARAM!$B$56)*($B166&gt;(60-PARAM!$B$56))*HLOOKUP(($B166+PARAM!$B$56)/12,Loyalty,2)*$F$1*MAX(J165,0)</f>
        <v>18.443537232872522</v>
      </c>
      <c r="I166" s="75">
        <f>PARAM!$C$26+MAX($G$4-CHOOSE(PARAM!$B$44,MAX(0,J165*$F$1),0),0)*RATES!$L142/12+$H$4*(PARAM!$D$51/12)*RATES!$N142/100</f>
        <v>10.400002517456844</v>
      </c>
      <c r="J166" s="16">
        <f t="shared" si="111"/>
        <v>161.86645049838717</v>
      </c>
      <c r="K166" s="15">
        <f t="shared" si="112"/>
        <v>22.170849845882874</v>
      </c>
      <c r="L166" s="75">
        <f>K166*(1-PARAM!$C$27)*$I$5+(MOD($B166,60)=PARAM!$B$56)*($B166&gt;(60-PARAM!$B$56))*HLOOKUP(($B166+PARAM!$B$56)/12,Loyalty,2)*$F$1*MAX(N165,0)</f>
        <v>18.557001321003963</v>
      </c>
      <c r="M166" s="75">
        <f>PARAM!$C$26+MAX($G$5-CHOOSE(PARAM!$B$44,MAX(0,N165*$F$1),0),0)*RATES!$L142/12+$H$5*(PARAM!$D$51/12)*RATES!$N142/100</f>
        <v>10.398432474417792</v>
      </c>
      <c r="N166" s="16">
        <f t="shared" si="113"/>
        <v>176.47418960544033</v>
      </c>
      <c r="O166" s="15">
        <f t="shared" si="114"/>
        <v>22.170849845882874</v>
      </c>
      <c r="P166" s="75">
        <f>O166*(1-PARAM!$C$27)*$I$6+(MOD($B166,60)=PARAM!$B$56)*($B166&gt;(60-PARAM!$B$56))*HLOOKUP(($B166+PARAM!$B$56)/12,Loyalty,2)*$F$1*MAX(R165,0)</f>
        <v>18.557001321003963</v>
      </c>
      <c r="Q166" s="75">
        <f>PARAM!$C$26+MAX($G$6-CHOOSE(PARAM!$B$44,MAX(0,R165*$F$1),0),0)*RATES!$L142/12+$H$6*(PARAM!$D$51/12)*RATES!$N142/100</f>
        <v>10.398432474417792</v>
      </c>
      <c r="R166" s="16">
        <f t="shared" si="115"/>
        <v>176.47418960544033</v>
      </c>
      <c r="S166" s="15">
        <f t="shared" si="90"/>
        <v>22.170849845882874</v>
      </c>
      <c r="T166" s="75">
        <f>S166*(1-PARAM!$C$27)*$I$7+(MOD($B166,60)=PARAM!$B$56)*($B166&gt;(60-PARAM!$B$56))*HLOOKUP(($B166+PARAM!$B$56)/12,Loyalty,2)*$F$1*MAX(V165,0)</f>
        <v>18.557001321003963</v>
      </c>
      <c r="U166" s="75">
        <f>PARAM!$C$26+MAX($G$7-CHOOSE(PARAM!$B$44,MAX(0,V165*$F$1),0),0)*RATES!$L142/12+$H$7*(PARAM!$D$51/12)*RATES!$N142/100</f>
        <v>10.398432474417792</v>
      </c>
      <c r="V166" s="16">
        <f t="shared" si="116"/>
        <v>176.47418960544033</v>
      </c>
      <c r="W166" s="15">
        <f t="shared" si="91"/>
        <v>22.170849845882874</v>
      </c>
      <c r="X166" s="75">
        <f>W166*(1-PARAM!$C$27)*$I$8+(MOD($B166,60)=PARAM!$B$56)*($B166&gt;(60-PARAM!$B$56))*HLOOKUP(($B166+PARAM!$B$56)/12,Loyalty,2)*$F$1*MAX(Z165,0)</f>
        <v>18.557001321003963</v>
      </c>
      <c r="Y166" s="75">
        <f>PARAM!$C$26+MAX($G$8-CHOOSE(PARAM!$B$44,MAX(0,Z165*$F$1),0),0)*RATES!$L142/12+$H$8*(PARAM!$D$51/12)*RATES!$N142/100</f>
        <v>10.398432474417792</v>
      </c>
      <c r="Z166" s="16">
        <f t="shared" si="117"/>
        <v>176.47418960544033</v>
      </c>
      <c r="AA166" s="15">
        <f t="shared" si="92"/>
        <v>22.170849845882874</v>
      </c>
      <c r="AB166" s="75">
        <f>AA166*(1-PARAM!$C$27)*$I$9+(MOD($B166,60)=PARAM!$B$56)*($B166&gt;(60-PARAM!$B$56))*HLOOKUP(($B166+PARAM!$B$56)/12,Loyalty,2)*$F$1*MAX(AD165,0)</f>
        <v>18.557001321003963</v>
      </c>
      <c r="AC166" s="75">
        <f>PARAM!$C$26+MAX($G$9-CHOOSE(PARAM!$B$44,MAX(0,AD165*$F$1),0),0)*RATES!$L142/12+$H$9*(PARAM!$D$51/12)*RATES!$N142/100</f>
        <v>10.398432474417792</v>
      </c>
      <c r="AD166" s="16">
        <f t="shared" si="118"/>
        <v>176.47418960544033</v>
      </c>
      <c r="AE166" s="15">
        <f t="shared" si="93"/>
        <v>22.170849845882874</v>
      </c>
      <c r="AF166" s="75">
        <f>AE166*(1-PARAM!$C$27)*$I$10+(MOD($B166,60)=PARAM!$B$56)*($B166&gt;(60-PARAM!$B$56))*HLOOKUP(($B166+PARAM!$B$56)/12,Loyalty,2)*$F$1*MAX(AH165,0)</f>
        <v>18.557001321003963</v>
      </c>
      <c r="AG166" s="75">
        <f>PARAM!$C$26+MAX($G$10-CHOOSE(PARAM!$B$44,MAX(0,AH165*$F$1),0),0)*RATES!$L142/12+$H$10*(PARAM!$D$51/12)*RATES!$N142/100</f>
        <v>10.398432474417792</v>
      </c>
      <c r="AH166" s="16">
        <f t="shared" si="119"/>
        <v>176.47418960544033</v>
      </c>
      <c r="AI166" s="15">
        <f t="shared" si="94"/>
        <v>22.170849845882874</v>
      </c>
      <c r="AJ166" s="75">
        <f>AI166*(1-PARAM!$C$27)*$I$11+(MOD($B166,60)=PARAM!$B$56)*($B166&gt;(60-PARAM!$B$56))*HLOOKUP(($B166+PARAM!$B$56)/12,Loyalty,2)*$F$1*MAX(AL165,0)</f>
        <v>18.557001321003963</v>
      </c>
      <c r="AK166" s="75">
        <f>PARAM!$C$26+MAX($G$11-CHOOSE(PARAM!$B$44,MAX(0,AL165*$F$1),0),0)*RATES!$L142/12+$H$11*(PARAM!$D$51/12)*RATES!$N142/100</f>
        <v>10.398432474417792</v>
      </c>
      <c r="AL166" s="16">
        <f t="shared" si="120"/>
        <v>176.47418960544033</v>
      </c>
      <c r="AM166" s="15">
        <f t="shared" si="95"/>
        <v>22.170849845882874</v>
      </c>
      <c r="AN166" s="75">
        <f>AM166*(1-PARAM!$C$27)*$I$12+(MOD($B166,60)=PARAM!$B$56)*($B166&gt;(60-PARAM!$B$56))*HLOOKUP(($B166+PARAM!$B$56)/12,Loyalty,2)*$F$1*MAX(AP165,0)</f>
        <v>18.557001321003963</v>
      </c>
      <c r="AO166" s="75">
        <f>PARAM!$C$26+MAX($G$12-CHOOSE(PARAM!$B$44,MAX(0,AP165*$F$1),0),0)*RATES!$L142/12+$H$12*(PARAM!$D$51/12)*RATES!$N142/100</f>
        <v>10.398432474417792</v>
      </c>
      <c r="AP166" s="16">
        <f t="shared" si="121"/>
        <v>176.47418960544033</v>
      </c>
      <c r="AQ166" s="15">
        <f t="shared" si="96"/>
        <v>22.170849845882874</v>
      </c>
      <c r="AR166" s="75">
        <f>AQ166*(1-PARAM!$C$27)*$I$13+(MOD($B166,60)=PARAM!$B$56)*($B166&gt;(60-PARAM!$B$56))*HLOOKUP(($B166+PARAM!$B$56)/12,Loyalty,2)*$F$1*MAX(AT165,0)</f>
        <v>18.557001321003963</v>
      </c>
      <c r="AS166" s="75">
        <f>PARAM!$C$26+MAX($G$13-CHOOSE(PARAM!$B$44,MAX(0,AT165*$F$1),0),0)*RATES!$L142/12+$H$13*(PARAM!$D$51/12)*RATES!$N142/100</f>
        <v>10.398432474417792</v>
      </c>
      <c r="AT166" s="16">
        <f t="shared" si="122"/>
        <v>176.47418960544033</v>
      </c>
      <c r="AU166" s="15">
        <f t="shared" si="97"/>
        <v>22.170849845882874</v>
      </c>
      <c r="AV166" s="75">
        <f>AU166*(1-PARAM!$C$27)*$I$14+(MOD($B166,60)=PARAM!$B$56)*($B166&gt;(60-PARAM!$B$56))*HLOOKUP(($B166+PARAM!$B$56)/12,Loyalty,2)*$F$1*MAX(AX165,0)</f>
        <v>18.557001321003963</v>
      </c>
      <c r="AW166" s="75">
        <f>PARAM!$C$26+MAX($G$14-CHOOSE(PARAM!$B$44,MAX(0,AX165*$F$1),0),0)*RATES!$L142/12+$H$14*(PARAM!$D$51/12)*RATES!$N142/100</f>
        <v>10.398432474417792</v>
      </c>
      <c r="AX166" s="16">
        <f t="shared" si="123"/>
        <v>176.47418960544033</v>
      </c>
      <c r="AY166" s="15">
        <f t="shared" si="98"/>
        <v>22.170849845882874</v>
      </c>
      <c r="AZ166" s="75">
        <f>AY166*(1-PARAM!$C$27)*$I$15+(MOD($B166,60)=PARAM!$B$56)*($B166&gt;(60-PARAM!$B$56))*HLOOKUP(($B166+PARAM!$B$56)/12,Loyalty,2)*$F$1*MAX(BB165,0)</f>
        <v>18.557001321003963</v>
      </c>
      <c r="BA166" s="75">
        <f>PARAM!$C$26+MAX($G$15-CHOOSE(PARAM!$B$44,MAX(0,BB165*$F$1),0),0)*RATES!$L142/12+$H$15*(PARAM!$D$51/12)*RATES!$N142/100</f>
        <v>10.398432474417792</v>
      </c>
      <c r="BB166" s="16">
        <f t="shared" si="124"/>
        <v>176.47418960544033</v>
      </c>
      <c r="BC166" s="15">
        <f t="shared" si="99"/>
        <v>22.170849845882874</v>
      </c>
      <c r="BD166" s="75">
        <f>BC166*(1-PARAM!$C$27)*$I$16+(MOD($B166,60)=PARAM!$B$56)*($B166&gt;(60-PARAM!$B$56))*HLOOKUP(($B166+PARAM!$B$56)/12,Loyalty,2)*$F$1*MAX(BF165,0)</f>
        <v>18.557001321003963</v>
      </c>
      <c r="BE166" s="75">
        <f>PARAM!$C$26+MAX($G$16-CHOOSE(PARAM!$B$44,MAX(0,BF165*$F$1),0),0)*RATES!$L142/12+$H$16*(PARAM!$D$51/12)*RATES!$N142/100</f>
        <v>10.398432474417792</v>
      </c>
      <c r="BF166" s="16">
        <f t="shared" si="125"/>
        <v>176.47418960544033</v>
      </c>
      <c r="BG166" s="15">
        <f t="shared" si="100"/>
        <v>22.170849845882874</v>
      </c>
      <c r="BH166" s="75">
        <f>BG166*(1-PARAM!$C$27)*$I$17+(MOD($B166,60)=PARAM!$B$56)*($B166&gt;(60-PARAM!$B$56))*HLOOKUP(($B166+PARAM!$B$56)/12,Loyalty,2)*$F$1*MAX(BJ165,0)</f>
        <v>18.557001321003963</v>
      </c>
      <c r="BI166" s="75">
        <f>PARAM!$C$26+MAX($G$17-CHOOSE(PARAM!$B$44,MAX(0,BJ165*$F$1),0),0)*RATES!$L142/12+$H$17*(PARAM!$D$51/12)*RATES!$N142/100</f>
        <v>10.398432474417792</v>
      </c>
      <c r="BJ166" s="16">
        <f t="shared" si="126"/>
        <v>176.47418960544033</v>
      </c>
      <c r="BK166" s="15">
        <f t="shared" si="101"/>
        <v>22.170849845882874</v>
      </c>
      <c r="BL166" s="75">
        <f>BK166*(1-PARAM!$C$27)*$I$18+(MOD($B166,60)=PARAM!$B$56)*($B166&gt;(60-PARAM!$B$56))*HLOOKUP(($B166+PARAM!$B$56)/12,Loyalty,2)*$F$1*MAX(BN165,0)</f>
        <v>18.557001321003963</v>
      </c>
      <c r="BM166" s="75">
        <f>PARAM!$C$26+MAX($G$18-CHOOSE(PARAM!$B$44,MAX(0,BN165*$F$1),0),0)*RATES!$L142/12+$H$18*(PARAM!$D$51/12)*RATES!$N142/100</f>
        <v>10.398432474417792</v>
      </c>
      <c r="BN166" s="16">
        <f t="shared" si="127"/>
        <v>176.47418960544033</v>
      </c>
      <c r="BO166" s="15">
        <f t="shared" si="102"/>
        <v>22.170849845882874</v>
      </c>
      <c r="BP166" s="75">
        <f>BO166*(1-PARAM!$C$27)*$I$19+(MOD($B166,60)=PARAM!$B$56)*($B166&gt;(60-PARAM!$B$56))*HLOOKUP(($B166+PARAM!$B$56)/12,Loyalty,2)*$F$1*MAX(BR165,0)</f>
        <v>18.557001321003963</v>
      </c>
      <c r="BQ166" s="75">
        <f>PARAM!$C$26+MAX($G$19-CHOOSE(PARAM!$B$44,MAX(0,BR165*$F$1),0),0)*RATES!$L142/12+$H$19*(PARAM!$D$51/12)*RATES!$N142/100</f>
        <v>10.398432474417792</v>
      </c>
      <c r="BR166" s="16">
        <f t="shared" si="128"/>
        <v>176.47418960544033</v>
      </c>
      <c r="BS166" s="15">
        <f t="shared" si="103"/>
        <v>22.170849845882874</v>
      </c>
      <c r="BT166" s="75">
        <f>BS166*(1-PARAM!$C$27)*$I$20+(MOD($B166,60)=PARAM!$B$56)*($B166&gt;(60-PARAM!$B$56))*HLOOKUP(($B166+PARAM!$B$56)/12,Loyalty,2)*$F$1*MAX(BV165,0)</f>
        <v>18.557001321003963</v>
      </c>
      <c r="BU166" s="75">
        <f>PARAM!$C$26+MAX($G$20-CHOOSE(PARAM!$B$44,MAX(0,BV165*$F$1),0),0)*RATES!$L142/12+$H$20*(PARAM!$D$51/12)*RATES!$N142/100</f>
        <v>10.398432474417792</v>
      </c>
      <c r="BV166" s="16">
        <f t="shared" si="129"/>
        <v>176.47418960544033</v>
      </c>
      <c r="BW166" s="15">
        <f t="shared" si="104"/>
        <v>22.170849845882874</v>
      </c>
      <c r="BX166" s="75">
        <f>BW166*(1-PARAM!$C$27)*$I$21+(MOD($B166,60)=PARAM!$B$56)*($B166&gt;(60-PARAM!$B$56))*HLOOKUP(($B166+PARAM!$B$56)/12,Loyalty,2)*$F$1*MAX(BZ165,0)</f>
        <v>18.557001321003963</v>
      </c>
      <c r="BY166" s="75">
        <f>PARAM!$C$26+MAX($G$21-CHOOSE(PARAM!$B$44,MAX(0,BZ165*$F$1),0),0)*RATES!$L142/12+$H$21*(PARAM!$D$51/12)*RATES!$N142/100</f>
        <v>10.398432474417792</v>
      </c>
      <c r="BZ166" s="16">
        <f t="shared" si="130"/>
        <v>176.47418960544033</v>
      </c>
      <c r="CA166" s="15">
        <f t="shared" si="105"/>
        <v>22.170849845882874</v>
      </c>
      <c r="CB166" s="75">
        <f>CA166*(1-PARAM!$C$27)*$I$22+(MOD($B166,60)=PARAM!$B$56)*($B166&gt;(60-PARAM!$B$56))*HLOOKUP(($B166+PARAM!$B$56)/12,Loyalty,2)*$F$1*MAX(CD165,0)</f>
        <v>18.557001321003963</v>
      </c>
      <c r="CC166" s="75">
        <f>PARAM!$C$26+MAX($G$22-CHOOSE(PARAM!$B$44,MAX(0,CD165*$F$1),0),0)*RATES!$L142/12+$H$22*(PARAM!$D$51/12)*RATES!$N142/100</f>
        <v>10.398432474417792</v>
      </c>
      <c r="CD166" s="16">
        <f t="shared" si="131"/>
        <v>176.47418960544033</v>
      </c>
      <c r="CE166" s="33">
        <f>IF(0=MOD(B166,12/PARAM!$D$51),1,0)</f>
        <v>1</v>
      </c>
      <c r="CF166" s="15">
        <f t="shared" si="106"/>
        <v>0</v>
      </c>
      <c r="CG166" s="75">
        <f>CF166*(1-PARAM!$C$27)*$R$3+(MOD($B166/12,5)=0)*($B166&gt;60)*HLOOKUP($B166/12,Loyalty,2)*$F$1*MAX(CI165,0)</f>
        <v>0</v>
      </c>
      <c r="CH166" s="75">
        <f>PARAM!$C$26+MAX($P$3-CHOOSE(PARAM!$B$44,MAX(0,CI165*$F$1),0),0)*RATES!$L142/12+$Q$3*(PARAM!$D$51/12)*RATES!$N142/100</f>
        <v>10.416666666666668</v>
      </c>
      <c r="CI166" s="16">
        <f>IF(CI165&gt;0,CI165*PARAM!$C$53,CI165)+CG166-CH166</f>
        <v>-2208.8333333333335</v>
      </c>
      <c r="CJ166" s="15">
        <f t="shared" si="132"/>
        <v>0</v>
      </c>
      <c r="CK166" s="75">
        <f>CJ166*(1-PARAM!$C$27)*$R$4+(MOD($B166/12,5)=0)*($B166&gt;60)*HLOOKUP($B166/12,Loyalty,2)*$F$1*MAX(CM165,0)</f>
        <v>0</v>
      </c>
      <c r="CL166" s="75">
        <f>PARAM!$C$26+MAX($P$4-CHOOSE(PARAM!$B$44,MAX(0,CM165*$F$1),0),0)*RATES!$L142/12+$Q$4*(PARAM!$D$51/12)*RATES!$N142/100</f>
        <v>10.416666666666668</v>
      </c>
      <c r="CM166" s="16">
        <f>IF(CM165&gt;0,CM165*PARAM!$C$53,CM165)+CK166-CL166</f>
        <v>-2208.8333333333335</v>
      </c>
      <c r="CO166" s="176"/>
    </row>
    <row r="167" spans="1:93" x14ac:dyDescent="0.2">
      <c r="A167" t="b">
        <f t="shared" si="107"/>
        <v>0</v>
      </c>
      <c r="B167" s="33">
        <v>140</v>
      </c>
      <c r="C167" s="15">
        <f t="shared" si="108"/>
        <v>20.081305947392778</v>
      </c>
      <c r="D167" s="75">
        <f>C167*(1-PARAM!$C$27)*$I$3+(MOD($B167,60)=PARAM!$B$56)*($B167&gt;(60-PARAM!$B$56))*HLOOKUP(($B167+PARAM!$B$56)/12,Loyalty,2)*$F$1*MAX(F166,0)</f>
        <v>16.808053077967756</v>
      </c>
      <c r="E167" s="75">
        <f>PARAM!$C$26+MAX($G$3-CHOOSE(PARAM!$B$44,MAX(0,F166*$F$1),0),0)*RATES!$L143/12+$H$3*(PARAM!$D$51/12)*RATES!$N143/100</f>
        <v>10.416666666666668</v>
      </c>
      <c r="F167" s="16">
        <f t="shared" si="109"/>
        <v>-42.095053101514907</v>
      </c>
      <c r="G167" s="15">
        <f t="shared" si="110"/>
        <v>22.035289406060361</v>
      </c>
      <c r="H167" s="75">
        <f>G167*(1-PARAM!$C$27)*$I$4+(MOD($B167,60)=PARAM!$B$56)*($B167&gt;(60-PARAM!$B$56))*HLOOKUP(($B167+PARAM!$B$56)/12,Loyalty,2)*$F$1*MAX(J166,0)</f>
        <v>18.443537232872522</v>
      </c>
      <c r="I167" s="75">
        <f>PARAM!$C$26+MAX($G$4-CHOOSE(PARAM!$B$44,MAX(0,J166*$F$1),0),0)*RATES!$L143/12+$H$4*(PARAM!$D$51/12)*RATES!$N143/100</f>
        <v>10.399131134529341</v>
      </c>
      <c r="J167" s="16">
        <f t="shared" si="111"/>
        <v>169.91085659673035</v>
      </c>
      <c r="K167" s="15">
        <f t="shared" si="112"/>
        <v>22.170849845882874</v>
      </c>
      <c r="L167" s="75">
        <f>K167*(1-PARAM!$C$27)*$I$5+(MOD($B167,60)=PARAM!$B$56)*($B167&gt;(60-PARAM!$B$56))*HLOOKUP(($B167+PARAM!$B$56)/12,Loyalty,2)*$F$1*MAX(N166,0)</f>
        <v>18.557001321003963</v>
      </c>
      <c r="M167" s="75">
        <f>PARAM!$C$26+MAX($G$5-CHOOSE(PARAM!$B$44,MAX(0,N166*$F$1),0),0)*RATES!$L143/12+$H$5*(PARAM!$D$51/12)*RATES!$N143/100</f>
        <v>10.397548629459411</v>
      </c>
      <c r="N167" s="16">
        <f t="shared" si="113"/>
        <v>184.63364229698487</v>
      </c>
      <c r="O167" s="15">
        <f t="shared" si="114"/>
        <v>22.170849845882874</v>
      </c>
      <c r="P167" s="75">
        <f>O167*(1-PARAM!$C$27)*$I$6+(MOD($B167,60)=PARAM!$B$56)*($B167&gt;(60-PARAM!$B$56))*HLOOKUP(($B167+PARAM!$B$56)/12,Loyalty,2)*$F$1*MAX(R166,0)</f>
        <v>18.557001321003963</v>
      </c>
      <c r="Q167" s="75">
        <f>PARAM!$C$26+MAX($G$6-CHOOSE(PARAM!$B$44,MAX(0,R166*$F$1),0),0)*RATES!$L143/12+$H$6*(PARAM!$D$51/12)*RATES!$N143/100</f>
        <v>10.397548629459411</v>
      </c>
      <c r="R167" s="16">
        <f t="shared" si="115"/>
        <v>184.63364229698487</v>
      </c>
      <c r="S167" s="15">
        <f t="shared" si="90"/>
        <v>22.170849845882874</v>
      </c>
      <c r="T167" s="75">
        <f>S167*(1-PARAM!$C$27)*$I$7+(MOD($B167,60)=PARAM!$B$56)*($B167&gt;(60-PARAM!$B$56))*HLOOKUP(($B167+PARAM!$B$56)/12,Loyalty,2)*$F$1*MAX(V166,0)</f>
        <v>18.557001321003963</v>
      </c>
      <c r="U167" s="75">
        <f>PARAM!$C$26+MAX($G$7-CHOOSE(PARAM!$B$44,MAX(0,V166*$F$1),0),0)*RATES!$L143/12+$H$7*(PARAM!$D$51/12)*RATES!$N143/100</f>
        <v>10.397548629459411</v>
      </c>
      <c r="V167" s="16">
        <f t="shared" si="116"/>
        <v>184.63364229698487</v>
      </c>
      <c r="W167" s="15">
        <f t="shared" si="91"/>
        <v>22.170849845882874</v>
      </c>
      <c r="X167" s="75">
        <f>W167*(1-PARAM!$C$27)*$I$8+(MOD($B167,60)=PARAM!$B$56)*($B167&gt;(60-PARAM!$B$56))*HLOOKUP(($B167+PARAM!$B$56)/12,Loyalty,2)*$F$1*MAX(Z166,0)</f>
        <v>18.557001321003963</v>
      </c>
      <c r="Y167" s="75">
        <f>PARAM!$C$26+MAX($G$8-CHOOSE(PARAM!$B$44,MAX(0,Z166*$F$1),0),0)*RATES!$L143/12+$H$8*(PARAM!$D$51/12)*RATES!$N143/100</f>
        <v>10.397548629459411</v>
      </c>
      <c r="Z167" s="16">
        <f t="shared" si="117"/>
        <v>184.63364229698487</v>
      </c>
      <c r="AA167" s="15">
        <f t="shared" si="92"/>
        <v>22.170849845882874</v>
      </c>
      <c r="AB167" s="75">
        <f>AA167*(1-PARAM!$C$27)*$I$9+(MOD($B167,60)=PARAM!$B$56)*($B167&gt;(60-PARAM!$B$56))*HLOOKUP(($B167+PARAM!$B$56)/12,Loyalty,2)*$F$1*MAX(AD166,0)</f>
        <v>18.557001321003963</v>
      </c>
      <c r="AC167" s="75">
        <f>PARAM!$C$26+MAX($G$9-CHOOSE(PARAM!$B$44,MAX(0,AD166*$F$1),0),0)*RATES!$L143/12+$H$9*(PARAM!$D$51/12)*RATES!$N143/100</f>
        <v>10.397548629459411</v>
      </c>
      <c r="AD167" s="16">
        <f t="shared" si="118"/>
        <v>184.63364229698487</v>
      </c>
      <c r="AE167" s="15">
        <f t="shared" si="93"/>
        <v>22.170849845882874</v>
      </c>
      <c r="AF167" s="75">
        <f>AE167*(1-PARAM!$C$27)*$I$10+(MOD($B167,60)=PARAM!$B$56)*($B167&gt;(60-PARAM!$B$56))*HLOOKUP(($B167+PARAM!$B$56)/12,Loyalty,2)*$F$1*MAX(AH166,0)</f>
        <v>18.557001321003963</v>
      </c>
      <c r="AG167" s="75">
        <f>PARAM!$C$26+MAX($G$10-CHOOSE(PARAM!$B$44,MAX(0,AH166*$F$1),0),0)*RATES!$L143/12+$H$10*(PARAM!$D$51/12)*RATES!$N143/100</f>
        <v>10.397548629459411</v>
      </c>
      <c r="AH167" s="16">
        <f t="shared" si="119"/>
        <v>184.63364229698487</v>
      </c>
      <c r="AI167" s="15">
        <f t="shared" si="94"/>
        <v>22.170849845882874</v>
      </c>
      <c r="AJ167" s="75">
        <f>AI167*(1-PARAM!$C$27)*$I$11+(MOD($B167,60)=PARAM!$B$56)*($B167&gt;(60-PARAM!$B$56))*HLOOKUP(($B167+PARAM!$B$56)/12,Loyalty,2)*$F$1*MAX(AL166,0)</f>
        <v>18.557001321003963</v>
      </c>
      <c r="AK167" s="75">
        <f>PARAM!$C$26+MAX($G$11-CHOOSE(PARAM!$B$44,MAX(0,AL166*$F$1),0),0)*RATES!$L143/12+$H$11*(PARAM!$D$51/12)*RATES!$N143/100</f>
        <v>10.397548629459411</v>
      </c>
      <c r="AL167" s="16">
        <f t="shared" si="120"/>
        <v>184.63364229698487</v>
      </c>
      <c r="AM167" s="15">
        <f t="shared" si="95"/>
        <v>22.170849845882874</v>
      </c>
      <c r="AN167" s="75">
        <f>AM167*(1-PARAM!$C$27)*$I$12+(MOD($B167,60)=PARAM!$B$56)*($B167&gt;(60-PARAM!$B$56))*HLOOKUP(($B167+PARAM!$B$56)/12,Loyalty,2)*$F$1*MAX(AP166,0)</f>
        <v>18.557001321003963</v>
      </c>
      <c r="AO167" s="75">
        <f>PARAM!$C$26+MAX($G$12-CHOOSE(PARAM!$B$44,MAX(0,AP166*$F$1),0),0)*RATES!$L143/12+$H$12*(PARAM!$D$51/12)*RATES!$N143/100</f>
        <v>10.397548629459411</v>
      </c>
      <c r="AP167" s="16">
        <f t="shared" si="121"/>
        <v>184.63364229698487</v>
      </c>
      <c r="AQ167" s="15">
        <f t="shared" si="96"/>
        <v>22.170849845882874</v>
      </c>
      <c r="AR167" s="75">
        <f>AQ167*(1-PARAM!$C$27)*$I$13+(MOD($B167,60)=PARAM!$B$56)*($B167&gt;(60-PARAM!$B$56))*HLOOKUP(($B167+PARAM!$B$56)/12,Loyalty,2)*$F$1*MAX(AT166,0)</f>
        <v>18.557001321003963</v>
      </c>
      <c r="AS167" s="75">
        <f>PARAM!$C$26+MAX($G$13-CHOOSE(PARAM!$B$44,MAX(0,AT166*$F$1),0),0)*RATES!$L143/12+$H$13*(PARAM!$D$51/12)*RATES!$N143/100</f>
        <v>10.397548629459411</v>
      </c>
      <c r="AT167" s="16">
        <f t="shared" si="122"/>
        <v>184.63364229698487</v>
      </c>
      <c r="AU167" s="15">
        <f t="shared" si="97"/>
        <v>22.170849845882874</v>
      </c>
      <c r="AV167" s="75">
        <f>AU167*(1-PARAM!$C$27)*$I$14+(MOD($B167,60)=PARAM!$B$56)*($B167&gt;(60-PARAM!$B$56))*HLOOKUP(($B167+PARAM!$B$56)/12,Loyalty,2)*$F$1*MAX(AX166,0)</f>
        <v>18.557001321003963</v>
      </c>
      <c r="AW167" s="75">
        <f>PARAM!$C$26+MAX($G$14-CHOOSE(PARAM!$B$44,MAX(0,AX166*$F$1),0),0)*RATES!$L143/12+$H$14*(PARAM!$D$51/12)*RATES!$N143/100</f>
        <v>10.397548629459411</v>
      </c>
      <c r="AX167" s="16">
        <f t="shared" si="123"/>
        <v>184.63364229698487</v>
      </c>
      <c r="AY167" s="15">
        <f t="shared" si="98"/>
        <v>22.170849845882874</v>
      </c>
      <c r="AZ167" s="75">
        <f>AY167*(1-PARAM!$C$27)*$I$15+(MOD($B167,60)=PARAM!$B$56)*($B167&gt;(60-PARAM!$B$56))*HLOOKUP(($B167+PARAM!$B$56)/12,Loyalty,2)*$F$1*MAX(BB166,0)</f>
        <v>18.557001321003963</v>
      </c>
      <c r="BA167" s="75">
        <f>PARAM!$C$26+MAX($G$15-CHOOSE(PARAM!$B$44,MAX(0,BB166*$F$1),0),0)*RATES!$L143/12+$H$15*(PARAM!$D$51/12)*RATES!$N143/100</f>
        <v>10.397548629459411</v>
      </c>
      <c r="BB167" s="16">
        <f t="shared" si="124"/>
        <v>184.63364229698487</v>
      </c>
      <c r="BC167" s="15">
        <f t="shared" si="99"/>
        <v>22.170849845882874</v>
      </c>
      <c r="BD167" s="75">
        <f>BC167*(1-PARAM!$C$27)*$I$16+(MOD($B167,60)=PARAM!$B$56)*($B167&gt;(60-PARAM!$B$56))*HLOOKUP(($B167+PARAM!$B$56)/12,Loyalty,2)*$F$1*MAX(BF166,0)</f>
        <v>18.557001321003963</v>
      </c>
      <c r="BE167" s="75">
        <f>PARAM!$C$26+MAX($G$16-CHOOSE(PARAM!$B$44,MAX(0,BF166*$F$1),0),0)*RATES!$L143/12+$H$16*(PARAM!$D$51/12)*RATES!$N143/100</f>
        <v>10.397548629459411</v>
      </c>
      <c r="BF167" s="16">
        <f t="shared" si="125"/>
        <v>184.63364229698487</v>
      </c>
      <c r="BG167" s="15">
        <f t="shared" si="100"/>
        <v>22.170849845882874</v>
      </c>
      <c r="BH167" s="75">
        <f>BG167*(1-PARAM!$C$27)*$I$17+(MOD($B167,60)=PARAM!$B$56)*($B167&gt;(60-PARAM!$B$56))*HLOOKUP(($B167+PARAM!$B$56)/12,Loyalty,2)*$F$1*MAX(BJ166,0)</f>
        <v>18.557001321003963</v>
      </c>
      <c r="BI167" s="75">
        <f>PARAM!$C$26+MAX($G$17-CHOOSE(PARAM!$B$44,MAX(0,BJ166*$F$1),0),0)*RATES!$L143/12+$H$17*(PARAM!$D$51/12)*RATES!$N143/100</f>
        <v>10.397548629459411</v>
      </c>
      <c r="BJ167" s="16">
        <f t="shared" si="126"/>
        <v>184.63364229698487</v>
      </c>
      <c r="BK167" s="15">
        <f t="shared" si="101"/>
        <v>22.170849845882874</v>
      </c>
      <c r="BL167" s="75">
        <f>BK167*(1-PARAM!$C$27)*$I$18+(MOD($B167,60)=PARAM!$B$56)*($B167&gt;(60-PARAM!$B$56))*HLOOKUP(($B167+PARAM!$B$56)/12,Loyalty,2)*$F$1*MAX(BN166,0)</f>
        <v>18.557001321003963</v>
      </c>
      <c r="BM167" s="75">
        <f>PARAM!$C$26+MAX($G$18-CHOOSE(PARAM!$B$44,MAX(0,BN166*$F$1),0),0)*RATES!$L143/12+$H$18*(PARAM!$D$51/12)*RATES!$N143/100</f>
        <v>10.397548629459411</v>
      </c>
      <c r="BN167" s="16">
        <f t="shared" si="127"/>
        <v>184.63364229698487</v>
      </c>
      <c r="BO167" s="15">
        <f t="shared" si="102"/>
        <v>22.170849845882874</v>
      </c>
      <c r="BP167" s="75">
        <f>BO167*(1-PARAM!$C$27)*$I$19+(MOD($B167,60)=PARAM!$B$56)*($B167&gt;(60-PARAM!$B$56))*HLOOKUP(($B167+PARAM!$B$56)/12,Loyalty,2)*$F$1*MAX(BR166,0)</f>
        <v>18.557001321003963</v>
      </c>
      <c r="BQ167" s="75">
        <f>PARAM!$C$26+MAX($G$19-CHOOSE(PARAM!$B$44,MAX(0,BR166*$F$1),0),0)*RATES!$L143/12+$H$19*(PARAM!$D$51/12)*RATES!$N143/100</f>
        <v>10.397548629459411</v>
      </c>
      <c r="BR167" s="16">
        <f t="shared" si="128"/>
        <v>184.63364229698487</v>
      </c>
      <c r="BS167" s="15">
        <f t="shared" si="103"/>
        <v>22.170849845882874</v>
      </c>
      <c r="BT167" s="75">
        <f>BS167*(1-PARAM!$C$27)*$I$20+(MOD($B167,60)=PARAM!$B$56)*($B167&gt;(60-PARAM!$B$56))*HLOOKUP(($B167+PARAM!$B$56)/12,Loyalty,2)*$F$1*MAX(BV166,0)</f>
        <v>18.557001321003963</v>
      </c>
      <c r="BU167" s="75">
        <f>PARAM!$C$26+MAX($G$20-CHOOSE(PARAM!$B$44,MAX(0,BV166*$F$1),0),0)*RATES!$L143/12+$H$20*(PARAM!$D$51/12)*RATES!$N143/100</f>
        <v>10.397548629459411</v>
      </c>
      <c r="BV167" s="16">
        <f t="shared" si="129"/>
        <v>184.63364229698487</v>
      </c>
      <c r="BW167" s="15">
        <f t="shared" si="104"/>
        <v>22.170849845882874</v>
      </c>
      <c r="BX167" s="75">
        <f>BW167*(1-PARAM!$C$27)*$I$21+(MOD($B167,60)=PARAM!$B$56)*($B167&gt;(60-PARAM!$B$56))*HLOOKUP(($B167+PARAM!$B$56)/12,Loyalty,2)*$F$1*MAX(BZ166,0)</f>
        <v>18.557001321003963</v>
      </c>
      <c r="BY167" s="75">
        <f>PARAM!$C$26+MAX($G$21-CHOOSE(PARAM!$B$44,MAX(0,BZ166*$F$1),0),0)*RATES!$L143/12+$H$21*(PARAM!$D$51/12)*RATES!$N143/100</f>
        <v>10.397548629459411</v>
      </c>
      <c r="BZ167" s="16">
        <f t="shared" si="130"/>
        <v>184.63364229698487</v>
      </c>
      <c r="CA167" s="15">
        <f t="shared" si="105"/>
        <v>22.170849845882874</v>
      </c>
      <c r="CB167" s="75">
        <f>CA167*(1-PARAM!$C$27)*$I$22+(MOD($B167,60)=PARAM!$B$56)*($B167&gt;(60-PARAM!$B$56))*HLOOKUP(($B167+PARAM!$B$56)/12,Loyalty,2)*$F$1*MAX(CD166,0)</f>
        <v>18.557001321003963</v>
      </c>
      <c r="CC167" s="75">
        <f>PARAM!$C$26+MAX($G$22-CHOOSE(PARAM!$B$44,MAX(0,CD166*$F$1),0),0)*RATES!$L143/12+$H$22*(PARAM!$D$51/12)*RATES!$N143/100</f>
        <v>10.397548629459411</v>
      </c>
      <c r="CD167" s="16">
        <f t="shared" si="131"/>
        <v>184.63364229698487</v>
      </c>
      <c r="CE167" s="33">
        <f>IF(0=MOD(B167,12/PARAM!$D$51),1,0)</f>
        <v>1</v>
      </c>
      <c r="CF167" s="15">
        <f t="shared" si="106"/>
        <v>0</v>
      </c>
      <c r="CG167" s="75">
        <f>CF167*(1-PARAM!$C$27)*$R$3+(MOD($B167/12,5)=0)*($B167&gt;60)*HLOOKUP($B167/12,Loyalty,2)*$F$1*MAX(CI166,0)</f>
        <v>0</v>
      </c>
      <c r="CH167" s="75">
        <f>PARAM!$C$26+MAX($P$3-CHOOSE(PARAM!$B$44,MAX(0,CI166*$F$1),0),0)*RATES!$L143/12+$Q$3*(PARAM!$D$51/12)*RATES!$N143/100</f>
        <v>10.416666666666668</v>
      </c>
      <c r="CI167" s="16">
        <f>IF(CI166&gt;0,CI166*PARAM!$C$53,CI166)+CG167-CH167</f>
        <v>-2219.25</v>
      </c>
      <c r="CJ167" s="15">
        <f t="shared" si="132"/>
        <v>0</v>
      </c>
      <c r="CK167" s="75">
        <f>CJ167*(1-PARAM!$C$27)*$R$4+(MOD($B167/12,5)=0)*($B167&gt;60)*HLOOKUP($B167/12,Loyalty,2)*$F$1*MAX(CM166,0)</f>
        <v>0</v>
      </c>
      <c r="CL167" s="75">
        <f>PARAM!$C$26+MAX($P$4-CHOOSE(PARAM!$B$44,MAX(0,CM166*$F$1),0),0)*RATES!$L143/12+$Q$4*(PARAM!$D$51/12)*RATES!$N143/100</f>
        <v>10.416666666666668</v>
      </c>
      <c r="CM167" s="16">
        <f>IF(CM166&gt;0,CM166*PARAM!$C$53,CM166)+CK167-CL167</f>
        <v>-2219.25</v>
      </c>
      <c r="CO167" s="176"/>
    </row>
    <row r="168" spans="1:93" x14ac:dyDescent="0.2">
      <c r="A168" t="b">
        <f t="shared" si="107"/>
        <v>0</v>
      </c>
      <c r="B168" s="33">
        <v>141</v>
      </c>
      <c r="C168" s="15">
        <f t="shared" si="108"/>
        <v>20.081305947392778</v>
      </c>
      <c r="D168" s="75">
        <f>C168*(1-PARAM!$C$27)*$I$3+(MOD($B168,60)=PARAM!$B$56)*($B168&gt;(60-PARAM!$B$56))*HLOOKUP(($B168+PARAM!$B$56)/12,Loyalty,2)*$F$1*MAX(F167,0)</f>
        <v>16.808053077967756</v>
      </c>
      <c r="E168" s="75">
        <f>PARAM!$C$26+MAX($G$3-CHOOSE(PARAM!$B$44,MAX(0,F167*$F$1),0),0)*RATES!$L144/12+$H$3*(PARAM!$D$51/12)*RATES!$N144/100</f>
        <v>10.416666666666668</v>
      </c>
      <c r="F168" s="16">
        <f t="shared" si="109"/>
        <v>-35.703666690213822</v>
      </c>
      <c r="G168" s="15">
        <f t="shared" si="110"/>
        <v>22.035289406060361</v>
      </c>
      <c r="H168" s="75">
        <f>G168*(1-PARAM!$C$27)*$I$4+(MOD($B168,60)=PARAM!$B$56)*($B168&gt;(60-PARAM!$B$56))*HLOOKUP(($B168+PARAM!$B$56)/12,Loyalty,2)*$F$1*MAX(J167,0)</f>
        <v>18.443537232872522</v>
      </c>
      <c r="I168" s="75">
        <f>PARAM!$C$26+MAX($G$4-CHOOSE(PARAM!$B$44,MAX(0,J167*$F$1),0),0)*RATES!$L144/12+$H$4*(PARAM!$D$51/12)*RATES!$N144/100</f>
        <v>10.398259657202022</v>
      </c>
      <c r="J168" s="16">
        <f t="shared" si="111"/>
        <v>177.95613417240085</v>
      </c>
      <c r="K168" s="15">
        <f t="shared" si="112"/>
        <v>22.170849845882874</v>
      </c>
      <c r="L168" s="75">
        <f>K168*(1-PARAM!$C$27)*$I$5+(MOD($B168,60)=PARAM!$B$56)*($B168&gt;(60-PARAM!$B$56))*HLOOKUP(($B168+PARAM!$B$56)/12,Loyalty,2)*$F$1*MAX(N167,0)</f>
        <v>18.557001321003963</v>
      </c>
      <c r="M168" s="75">
        <f>PARAM!$C$26+MAX($G$5-CHOOSE(PARAM!$B$44,MAX(0,N167*$F$1),0),0)*RATES!$L144/12+$H$5*(PARAM!$D$51/12)*RATES!$N144/100</f>
        <v>10.396664688751159</v>
      </c>
      <c r="N168" s="16">
        <f t="shared" si="113"/>
        <v>192.79397892923765</v>
      </c>
      <c r="O168" s="15">
        <f t="shared" si="114"/>
        <v>22.170849845882874</v>
      </c>
      <c r="P168" s="75">
        <f>O168*(1-PARAM!$C$27)*$I$6+(MOD($B168,60)=PARAM!$B$56)*($B168&gt;(60-PARAM!$B$56))*HLOOKUP(($B168+PARAM!$B$56)/12,Loyalty,2)*$F$1*MAX(R167,0)</f>
        <v>18.557001321003963</v>
      </c>
      <c r="Q168" s="75">
        <f>PARAM!$C$26+MAX($G$6-CHOOSE(PARAM!$B$44,MAX(0,R167*$F$1),0),0)*RATES!$L144/12+$H$6*(PARAM!$D$51/12)*RATES!$N144/100</f>
        <v>10.396664688751159</v>
      </c>
      <c r="R168" s="16">
        <f t="shared" si="115"/>
        <v>192.79397892923765</v>
      </c>
      <c r="S168" s="15">
        <f t="shared" si="90"/>
        <v>22.170849845882874</v>
      </c>
      <c r="T168" s="75">
        <f>S168*(1-PARAM!$C$27)*$I$7+(MOD($B168,60)=PARAM!$B$56)*($B168&gt;(60-PARAM!$B$56))*HLOOKUP(($B168+PARAM!$B$56)/12,Loyalty,2)*$F$1*MAX(V167,0)</f>
        <v>18.557001321003963</v>
      </c>
      <c r="U168" s="75">
        <f>PARAM!$C$26+MAX($G$7-CHOOSE(PARAM!$B$44,MAX(0,V167*$F$1),0),0)*RATES!$L144/12+$H$7*(PARAM!$D$51/12)*RATES!$N144/100</f>
        <v>10.396664688751159</v>
      </c>
      <c r="V168" s="16">
        <f t="shared" si="116"/>
        <v>192.79397892923765</v>
      </c>
      <c r="W168" s="15">
        <f t="shared" si="91"/>
        <v>22.170849845882874</v>
      </c>
      <c r="X168" s="75">
        <f>W168*(1-PARAM!$C$27)*$I$8+(MOD($B168,60)=PARAM!$B$56)*($B168&gt;(60-PARAM!$B$56))*HLOOKUP(($B168+PARAM!$B$56)/12,Loyalty,2)*$F$1*MAX(Z167,0)</f>
        <v>18.557001321003963</v>
      </c>
      <c r="Y168" s="75">
        <f>PARAM!$C$26+MAX($G$8-CHOOSE(PARAM!$B$44,MAX(0,Z167*$F$1),0),0)*RATES!$L144/12+$H$8*(PARAM!$D$51/12)*RATES!$N144/100</f>
        <v>10.396664688751159</v>
      </c>
      <c r="Z168" s="16">
        <f t="shared" si="117"/>
        <v>192.79397892923765</v>
      </c>
      <c r="AA168" s="15">
        <f t="shared" si="92"/>
        <v>22.170849845882874</v>
      </c>
      <c r="AB168" s="75">
        <f>AA168*(1-PARAM!$C$27)*$I$9+(MOD($B168,60)=PARAM!$B$56)*($B168&gt;(60-PARAM!$B$56))*HLOOKUP(($B168+PARAM!$B$56)/12,Loyalty,2)*$F$1*MAX(AD167,0)</f>
        <v>18.557001321003963</v>
      </c>
      <c r="AC168" s="75">
        <f>PARAM!$C$26+MAX($G$9-CHOOSE(PARAM!$B$44,MAX(0,AD167*$F$1),0),0)*RATES!$L144/12+$H$9*(PARAM!$D$51/12)*RATES!$N144/100</f>
        <v>10.396664688751159</v>
      </c>
      <c r="AD168" s="16">
        <f t="shared" si="118"/>
        <v>192.79397892923765</v>
      </c>
      <c r="AE168" s="15">
        <f t="shared" si="93"/>
        <v>22.170849845882874</v>
      </c>
      <c r="AF168" s="75">
        <f>AE168*(1-PARAM!$C$27)*$I$10+(MOD($B168,60)=PARAM!$B$56)*($B168&gt;(60-PARAM!$B$56))*HLOOKUP(($B168+PARAM!$B$56)/12,Loyalty,2)*$F$1*MAX(AH167,0)</f>
        <v>18.557001321003963</v>
      </c>
      <c r="AG168" s="75">
        <f>PARAM!$C$26+MAX($G$10-CHOOSE(PARAM!$B$44,MAX(0,AH167*$F$1),0),0)*RATES!$L144/12+$H$10*(PARAM!$D$51/12)*RATES!$N144/100</f>
        <v>10.396664688751159</v>
      </c>
      <c r="AH168" s="16">
        <f t="shared" si="119"/>
        <v>192.79397892923765</v>
      </c>
      <c r="AI168" s="15">
        <f t="shared" si="94"/>
        <v>22.170849845882874</v>
      </c>
      <c r="AJ168" s="75">
        <f>AI168*(1-PARAM!$C$27)*$I$11+(MOD($B168,60)=PARAM!$B$56)*($B168&gt;(60-PARAM!$B$56))*HLOOKUP(($B168+PARAM!$B$56)/12,Loyalty,2)*$F$1*MAX(AL167,0)</f>
        <v>18.557001321003963</v>
      </c>
      <c r="AK168" s="75">
        <f>PARAM!$C$26+MAX($G$11-CHOOSE(PARAM!$B$44,MAX(0,AL167*$F$1),0),0)*RATES!$L144/12+$H$11*(PARAM!$D$51/12)*RATES!$N144/100</f>
        <v>10.396664688751159</v>
      </c>
      <c r="AL168" s="16">
        <f t="shared" si="120"/>
        <v>192.79397892923765</v>
      </c>
      <c r="AM168" s="15">
        <f t="shared" si="95"/>
        <v>22.170849845882874</v>
      </c>
      <c r="AN168" s="75">
        <f>AM168*(1-PARAM!$C$27)*$I$12+(MOD($B168,60)=PARAM!$B$56)*($B168&gt;(60-PARAM!$B$56))*HLOOKUP(($B168+PARAM!$B$56)/12,Loyalty,2)*$F$1*MAX(AP167,0)</f>
        <v>18.557001321003963</v>
      </c>
      <c r="AO168" s="75">
        <f>PARAM!$C$26+MAX($G$12-CHOOSE(PARAM!$B$44,MAX(0,AP167*$F$1),0),0)*RATES!$L144/12+$H$12*(PARAM!$D$51/12)*RATES!$N144/100</f>
        <v>10.396664688751159</v>
      </c>
      <c r="AP168" s="16">
        <f t="shared" si="121"/>
        <v>192.79397892923765</v>
      </c>
      <c r="AQ168" s="15">
        <f t="shared" si="96"/>
        <v>22.170849845882874</v>
      </c>
      <c r="AR168" s="75">
        <f>AQ168*(1-PARAM!$C$27)*$I$13+(MOD($B168,60)=PARAM!$B$56)*($B168&gt;(60-PARAM!$B$56))*HLOOKUP(($B168+PARAM!$B$56)/12,Loyalty,2)*$F$1*MAX(AT167,0)</f>
        <v>18.557001321003963</v>
      </c>
      <c r="AS168" s="75">
        <f>PARAM!$C$26+MAX($G$13-CHOOSE(PARAM!$B$44,MAX(0,AT167*$F$1),0),0)*RATES!$L144/12+$H$13*(PARAM!$D$51/12)*RATES!$N144/100</f>
        <v>10.396664688751159</v>
      </c>
      <c r="AT168" s="16">
        <f t="shared" si="122"/>
        <v>192.79397892923765</v>
      </c>
      <c r="AU168" s="15">
        <f t="shared" si="97"/>
        <v>22.170849845882874</v>
      </c>
      <c r="AV168" s="75">
        <f>AU168*(1-PARAM!$C$27)*$I$14+(MOD($B168,60)=PARAM!$B$56)*($B168&gt;(60-PARAM!$B$56))*HLOOKUP(($B168+PARAM!$B$56)/12,Loyalty,2)*$F$1*MAX(AX167,0)</f>
        <v>18.557001321003963</v>
      </c>
      <c r="AW168" s="75">
        <f>PARAM!$C$26+MAX($G$14-CHOOSE(PARAM!$B$44,MAX(0,AX167*$F$1),0),0)*RATES!$L144/12+$H$14*(PARAM!$D$51/12)*RATES!$N144/100</f>
        <v>10.396664688751159</v>
      </c>
      <c r="AX168" s="16">
        <f t="shared" si="123"/>
        <v>192.79397892923765</v>
      </c>
      <c r="AY168" s="15">
        <f t="shared" si="98"/>
        <v>22.170849845882874</v>
      </c>
      <c r="AZ168" s="75">
        <f>AY168*(1-PARAM!$C$27)*$I$15+(MOD($B168,60)=PARAM!$B$56)*($B168&gt;(60-PARAM!$B$56))*HLOOKUP(($B168+PARAM!$B$56)/12,Loyalty,2)*$F$1*MAX(BB167,0)</f>
        <v>18.557001321003963</v>
      </c>
      <c r="BA168" s="75">
        <f>PARAM!$C$26+MAX($G$15-CHOOSE(PARAM!$B$44,MAX(0,BB167*$F$1),0),0)*RATES!$L144/12+$H$15*(PARAM!$D$51/12)*RATES!$N144/100</f>
        <v>10.396664688751159</v>
      </c>
      <c r="BB168" s="16">
        <f t="shared" si="124"/>
        <v>192.79397892923765</v>
      </c>
      <c r="BC168" s="15">
        <f t="shared" si="99"/>
        <v>22.170849845882874</v>
      </c>
      <c r="BD168" s="75">
        <f>BC168*(1-PARAM!$C$27)*$I$16+(MOD($B168,60)=PARAM!$B$56)*($B168&gt;(60-PARAM!$B$56))*HLOOKUP(($B168+PARAM!$B$56)/12,Loyalty,2)*$F$1*MAX(BF167,0)</f>
        <v>18.557001321003963</v>
      </c>
      <c r="BE168" s="75">
        <f>PARAM!$C$26+MAX($G$16-CHOOSE(PARAM!$B$44,MAX(0,BF167*$F$1),0),0)*RATES!$L144/12+$H$16*(PARAM!$D$51/12)*RATES!$N144/100</f>
        <v>10.396664688751159</v>
      </c>
      <c r="BF168" s="16">
        <f t="shared" si="125"/>
        <v>192.79397892923765</v>
      </c>
      <c r="BG168" s="15">
        <f t="shared" si="100"/>
        <v>22.170849845882874</v>
      </c>
      <c r="BH168" s="75">
        <f>BG168*(1-PARAM!$C$27)*$I$17+(MOD($B168,60)=PARAM!$B$56)*($B168&gt;(60-PARAM!$B$56))*HLOOKUP(($B168+PARAM!$B$56)/12,Loyalty,2)*$F$1*MAX(BJ167,0)</f>
        <v>18.557001321003963</v>
      </c>
      <c r="BI168" s="75">
        <f>PARAM!$C$26+MAX($G$17-CHOOSE(PARAM!$B$44,MAX(0,BJ167*$F$1),0),0)*RATES!$L144/12+$H$17*(PARAM!$D$51/12)*RATES!$N144/100</f>
        <v>10.396664688751159</v>
      </c>
      <c r="BJ168" s="16">
        <f t="shared" si="126"/>
        <v>192.79397892923765</v>
      </c>
      <c r="BK168" s="15">
        <f t="shared" si="101"/>
        <v>22.170849845882874</v>
      </c>
      <c r="BL168" s="75">
        <f>BK168*(1-PARAM!$C$27)*$I$18+(MOD($B168,60)=PARAM!$B$56)*($B168&gt;(60-PARAM!$B$56))*HLOOKUP(($B168+PARAM!$B$56)/12,Loyalty,2)*$F$1*MAX(BN167,0)</f>
        <v>18.557001321003963</v>
      </c>
      <c r="BM168" s="75">
        <f>PARAM!$C$26+MAX($G$18-CHOOSE(PARAM!$B$44,MAX(0,BN167*$F$1),0),0)*RATES!$L144/12+$H$18*(PARAM!$D$51/12)*RATES!$N144/100</f>
        <v>10.396664688751159</v>
      </c>
      <c r="BN168" s="16">
        <f t="shared" si="127"/>
        <v>192.79397892923765</v>
      </c>
      <c r="BO168" s="15">
        <f t="shared" si="102"/>
        <v>22.170849845882874</v>
      </c>
      <c r="BP168" s="75">
        <f>BO168*(1-PARAM!$C$27)*$I$19+(MOD($B168,60)=PARAM!$B$56)*($B168&gt;(60-PARAM!$B$56))*HLOOKUP(($B168+PARAM!$B$56)/12,Loyalty,2)*$F$1*MAX(BR167,0)</f>
        <v>18.557001321003963</v>
      </c>
      <c r="BQ168" s="75">
        <f>PARAM!$C$26+MAX($G$19-CHOOSE(PARAM!$B$44,MAX(0,BR167*$F$1),0),0)*RATES!$L144/12+$H$19*(PARAM!$D$51/12)*RATES!$N144/100</f>
        <v>10.396664688751159</v>
      </c>
      <c r="BR168" s="16">
        <f t="shared" si="128"/>
        <v>192.79397892923765</v>
      </c>
      <c r="BS168" s="15">
        <f t="shared" si="103"/>
        <v>22.170849845882874</v>
      </c>
      <c r="BT168" s="75">
        <f>BS168*(1-PARAM!$C$27)*$I$20+(MOD($B168,60)=PARAM!$B$56)*($B168&gt;(60-PARAM!$B$56))*HLOOKUP(($B168+PARAM!$B$56)/12,Loyalty,2)*$F$1*MAX(BV167,0)</f>
        <v>18.557001321003963</v>
      </c>
      <c r="BU168" s="75">
        <f>PARAM!$C$26+MAX($G$20-CHOOSE(PARAM!$B$44,MAX(0,BV167*$F$1),0),0)*RATES!$L144/12+$H$20*(PARAM!$D$51/12)*RATES!$N144/100</f>
        <v>10.396664688751159</v>
      </c>
      <c r="BV168" s="16">
        <f t="shared" si="129"/>
        <v>192.79397892923765</v>
      </c>
      <c r="BW168" s="15">
        <f t="shared" si="104"/>
        <v>22.170849845882874</v>
      </c>
      <c r="BX168" s="75">
        <f>BW168*(1-PARAM!$C$27)*$I$21+(MOD($B168,60)=PARAM!$B$56)*($B168&gt;(60-PARAM!$B$56))*HLOOKUP(($B168+PARAM!$B$56)/12,Loyalty,2)*$F$1*MAX(BZ167,0)</f>
        <v>18.557001321003963</v>
      </c>
      <c r="BY168" s="75">
        <f>PARAM!$C$26+MAX($G$21-CHOOSE(PARAM!$B$44,MAX(0,BZ167*$F$1),0),0)*RATES!$L144/12+$H$21*(PARAM!$D$51/12)*RATES!$N144/100</f>
        <v>10.396664688751159</v>
      </c>
      <c r="BZ168" s="16">
        <f t="shared" si="130"/>
        <v>192.79397892923765</v>
      </c>
      <c r="CA168" s="15">
        <f t="shared" si="105"/>
        <v>22.170849845882874</v>
      </c>
      <c r="CB168" s="75">
        <f>CA168*(1-PARAM!$C$27)*$I$22+(MOD($B168,60)=PARAM!$B$56)*($B168&gt;(60-PARAM!$B$56))*HLOOKUP(($B168+PARAM!$B$56)/12,Loyalty,2)*$F$1*MAX(CD167,0)</f>
        <v>18.557001321003963</v>
      </c>
      <c r="CC168" s="75">
        <f>PARAM!$C$26+MAX($G$22-CHOOSE(PARAM!$B$44,MAX(0,CD167*$F$1),0),0)*RATES!$L144/12+$H$22*(PARAM!$D$51/12)*RATES!$N144/100</f>
        <v>10.396664688751159</v>
      </c>
      <c r="CD168" s="16">
        <f t="shared" si="131"/>
        <v>192.79397892923765</v>
      </c>
      <c r="CE168" s="33">
        <f>IF(0=MOD(B168,12/PARAM!$D$51),1,0)</f>
        <v>1</v>
      </c>
      <c r="CF168" s="15">
        <f t="shared" si="106"/>
        <v>0</v>
      </c>
      <c r="CG168" s="75">
        <f>CF168*(1-PARAM!$C$27)*$R$3+(MOD($B168/12,5)=0)*($B168&gt;60)*HLOOKUP($B168/12,Loyalty,2)*$F$1*MAX(CI167,0)</f>
        <v>0</v>
      </c>
      <c r="CH168" s="75">
        <f>PARAM!$C$26+MAX($P$3-CHOOSE(PARAM!$B$44,MAX(0,CI167*$F$1),0),0)*RATES!$L144/12+$Q$3*(PARAM!$D$51/12)*RATES!$N144/100</f>
        <v>10.416666666666668</v>
      </c>
      <c r="CI168" s="16">
        <f>IF(CI167&gt;0,CI167*PARAM!$C$53,CI167)+CG168-CH168</f>
        <v>-2229.6666666666665</v>
      </c>
      <c r="CJ168" s="15">
        <f t="shared" si="132"/>
        <v>0</v>
      </c>
      <c r="CK168" s="75">
        <f>CJ168*(1-PARAM!$C$27)*$R$4+(MOD($B168/12,5)=0)*($B168&gt;60)*HLOOKUP($B168/12,Loyalty,2)*$F$1*MAX(CM167,0)</f>
        <v>0</v>
      </c>
      <c r="CL168" s="75">
        <f>PARAM!$C$26+MAX($P$4-CHOOSE(PARAM!$B$44,MAX(0,CM167*$F$1),0),0)*RATES!$L144/12+$Q$4*(PARAM!$D$51/12)*RATES!$N144/100</f>
        <v>10.416666666666668</v>
      </c>
      <c r="CM168" s="16">
        <f>IF(CM167&gt;0,CM167*PARAM!$C$53,CM167)+CK168-CL168</f>
        <v>-2229.6666666666665</v>
      </c>
      <c r="CO168" s="176"/>
    </row>
    <row r="169" spans="1:93" x14ac:dyDescent="0.2">
      <c r="A169" t="b">
        <f t="shared" si="107"/>
        <v>0</v>
      </c>
      <c r="B169" s="33">
        <v>142</v>
      </c>
      <c r="C169" s="15">
        <f t="shared" si="108"/>
        <v>20.081305947392778</v>
      </c>
      <c r="D169" s="75">
        <f>C169*(1-PARAM!$C$27)*$I$3+(MOD($B169,60)=PARAM!$B$56)*($B169&gt;(60-PARAM!$B$56))*HLOOKUP(($B169+PARAM!$B$56)/12,Loyalty,2)*$F$1*MAX(F168,0)</f>
        <v>16.808053077967756</v>
      </c>
      <c r="E169" s="75">
        <f>PARAM!$C$26+MAX($G$3-CHOOSE(PARAM!$B$44,MAX(0,F168*$F$1),0),0)*RATES!$L145/12+$H$3*(PARAM!$D$51/12)*RATES!$N145/100</f>
        <v>10.416666666666668</v>
      </c>
      <c r="F169" s="16">
        <f t="shared" si="109"/>
        <v>-29.312280278912734</v>
      </c>
      <c r="G169" s="15">
        <f t="shared" si="110"/>
        <v>22.035289406060361</v>
      </c>
      <c r="H169" s="75">
        <f>G169*(1-PARAM!$C$27)*$I$4+(MOD($B169,60)=PARAM!$B$56)*($B169&gt;(60-PARAM!$B$56))*HLOOKUP(($B169+PARAM!$B$56)/12,Loyalty,2)*$F$1*MAX(J168,0)</f>
        <v>18.443537232872522</v>
      </c>
      <c r="I169" s="75">
        <f>PARAM!$C$26+MAX($G$4-CHOOSE(PARAM!$B$44,MAX(0,J168*$F$1),0),0)*RATES!$L145/12+$H$4*(PARAM!$D$51/12)*RATES!$N145/100</f>
        <v>10.397388085464655</v>
      </c>
      <c r="J169" s="16">
        <f t="shared" si="111"/>
        <v>186.00228331980873</v>
      </c>
      <c r="K169" s="15">
        <f t="shared" si="112"/>
        <v>22.170849845882874</v>
      </c>
      <c r="L169" s="75">
        <f>K169*(1-PARAM!$C$27)*$I$5+(MOD($B169,60)=PARAM!$B$56)*($B169&gt;(60-PARAM!$B$56))*HLOOKUP(($B169+PARAM!$B$56)/12,Loyalty,2)*$F$1*MAX(N168,0)</f>
        <v>18.557001321003963</v>
      </c>
      <c r="M169" s="75">
        <f>PARAM!$C$26+MAX($G$5-CHOOSE(PARAM!$B$44,MAX(0,N168*$F$1),0),0)*RATES!$L145/12+$H$5*(PARAM!$D$51/12)*RATES!$N145/100</f>
        <v>10.395780652282667</v>
      </c>
      <c r="N169" s="16">
        <f t="shared" si="113"/>
        <v>200.95519959795894</v>
      </c>
      <c r="O169" s="15">
        <f t="shared" si="114"/>
        <v>22.170849845882874</v>
      </c>
      <c r="P169" s="75">
        <f>O169*(1-PARAM!$C$27)*$I$6+(MOD($B169,60)=PARAM!$B$56)*($B169&gt;(60-PARAM!$B$56))*HLOOKUP(($B169+PARAM!$B$56)/12,Loyalty,2)*$F$1*MAX(R168,0)</f>
        <v>18.557001321003963</v>
      </c>
      <c r="Q169" s="75">
        <f>PARAM!$C$26+MAX($G$6-CHOOSE(PARAM!$B$44,MAX(0,R168*$F$1),0),0)*RATES!$L145/12+$H$6*(PARAM!$D$51/12)*RATES!$N145/100</f>
        <v>10.395780652282667</v>
      </c>
      <c r="R169" s="16">
        <f t="shared" si="115"/>
        <v>200.95519959795894</v>
      </c>
      <c r="S169" s="15">
        <f t="shared" si="90"/>
        <v>22.170849845882874</v>
      </c>
      <c r="T169" s="75">
        <f>S169*(1-PARAM!$C$27)*$I$7+(MOD($B169,60)=PARAM!$B$56)*($B169&gt;(60-PARAM!$B$56))*HLOOKUP(($B169+PARAM!$B$56)/12,Loyalty,2)*$F$1*MAX(V168,0)</f>
        <v>18.557001321003963</v>
      </c>
      <c r="U169" s="75">
        <f>PARAM!$C$26+MAX($G$7-CHOOSE(PARAM!$B$44,MAX(0,V168*$F$1),0),0)*RATES!$L145/12+$H$7*(PARAM!$D$51/12)*RATES!$N145/100</f>
        <v>10.395780652282667</v>
      </c>
      <c r="V169" s="16">
        <f t="shared" si="116"/>
        <v>200.95519959795894</v>
      </c>
      <c r="W169" s="15">
        <f t="shared" si="91"/>
        <v>22.170849845882874</v>
      </c>
      <c r="X169" s="75">
        <f>W169*(1-PARAM!$C$27)*$I$8+(MOD($B169,60)=PARAM!$B$56)*($B169&gt;(60-PARAM!$B$56))*HLOOKUP(($B169+PARAM!$B$56)/12,Loyalty,2)*$F$1*MAX(Z168,0)</f>
        <v>18.557001321003963</v>
      </c>
      <c r="Y169" s="75">
        <f>PARAM!$C$26+MAX($G$8-CHOOSE(PARAM!$B$44,MAX(0,Z168*$F$1),0),0)*RATES!$L145/12+$H$8*(PARAM!$D$51/12)*RATES!$N145/100</f>
        <v>10.395780652282667</v>
      </c>
      <c r="Z169" s="16">
        <f t="shared" si="117"/>
        <v>200.95519959795894</v>
      </c>
      <c r="AA169" s="15">
        <f t="shared" si="92"/>
        <v>22.170849845882874</v>
      </c>
      <c r="AB169" s="75">
        <f>AA169*(1-PARAM!$C$27)*$I$9+(MOD($B169,60)=PARAM!$B$56)*($B169&gt;(60-PARAM!$B$56))*HLOOKUP(($B169+PARAM!$B$56)/12,Loyalty,2)*$F$1*MAX(AD168,0)</f>
        <v>18.557001321003963</v>
      </c>
      <c r="AC169" s="75">
        <f>PARAM!$C$26+MAX($G$9-CHOOSE(PARAM!$B$44,MAX(0,AD168*$F$1),0),0)*RATES!$L145/12+$H$9*(PARAM!$D$51/12)*RATES!$N145/100</f>
        <v>10.395780652282667</v>
      </c>
      <c r="AD169" s="16">
        <f t="shared" si="118"/>
        <v>200.95519959795894</v>
      </c>
      <c r="AE169" s="15">
        <f t="shared" si="93"/>
        <v>22.170849845882874</v>
      </c>
      <c r="AF169" s="75">
        <f>AE169*(1-PARAM!$C$27)*$I$10+(MOD($B169,60)=PARAM!$B$56)*($B169&gt;(60-PARAM!$B$56))*HLOOKUP(($B169+PARAM!$B$56)/12,Loyalty,2)*$F$1*MAX(AH168,0)</f>
        <v>18.557001321003963</v>
      </c>
      <c r="AG169" s="75">
        <f>PARAM!$C$26+MAX($G$10-CHOOSE(PARAM!$B$44,MAX(0,AH168*$F$1),0),0)*RATES!$L145/12+$H$10*(PARAM!$D$51/12)*RATES!$N145/100</f>
        <v>10.395780652282667</v>
      </c>
      <c r="AH169" s="16">
        <f t="shared" si="119"/>
        <v>200.95519959795894</v>
      </c>
      <c r="AI169" s="15">
        <f t="shared" si="94"/>
        <v>22.170849845882874</v>
      </c>
      <c r="AJ169" s="75">
        <f>AI169*(1-PARAM!$C$27)*$I$11+(MOD($B169,60)=PARAM!$B$56)*($B169&gt;(60-PARAM!$B$56))*HLOOKUP(($B169+PARAM!$B$56)/12,Loyalty,2)*$F$1*MAX(AL168,0)</f>
        <v>18.557001321003963</v>
      </c>
      <c r="AK169" s="75">
        <f>PARAM!$C$26+MAX($G$11-CHOOSE(PARAM!$B$44,MAX(0,AL168*$F$1),0),0)*RATES!$L145/12+$H$11*(PARAM!$D$51/12)*RATES!$N145/100</f>
        <v>10.395780652282667</v>
      </c>
      <c r="AL169" s="16">
        <f t="shared" si="120"/>
        <v>200.95519959795894</v>
      </c>
      <c r="AM169" s="15">
        <f t="shared" si="95"/>
        <v>22.170849845882874</v>
      </c>
      <c r="AN169" s="75">
        <f>AM169*(1-PARAM!$C$27)*$I$12+(MOD($B169,60)=PARAM!$B$56)*($B169&gt;(60-PARAM!$B$56))*HLOOKUP(($B169+PARAM!$B$56)/12,Loyalty,2)*$F$1*MAX(AP168,0)</f>
        <v>18.557001321003963</v>
      </c>
      <c r="AO169" s="75">
        <f>PARAM!$C$26+MAX($G$12-CHOOSE(PARAM!$B$44,MAX(0,AP168*$F$1),0),0)*RATES!$L145/12+$H$12*(PARAM!$D$51/12)*RATES!$N145/100</f>
        <v>10.395780652282667</v>
      </c>
      <c r="AP169" s="16">
        <f t="shared" si="121"/>
        <v>200.95519959795894</v>
      </c>
      <c r="AQ169" s="15">
        <f t="shared" si="96"/>
        <v>22.170849845882874</v>
      </c>
      <c r="AR169" s="75">
        <f>AQ169*(1-PARAM!$C$27)*$I$13+(MOD($B169,60)=PARAM!$B$56)*($B169&gt;(60-PARAM!$B$56))*HLOOKUP(($B169+PARAM!$B$56)/12,Loyalty,2)*$F$1*MAX(AT168,0)</f>
        <v>18.557001321003963</v>
      </c>
      <c r="AS169" s="75">
        <f>PARAM!$C$26+MAX($G$13-CHOOSE(PARAM!$B$44,MAX(0,AT168*$F$1),0),0)*RATES!$L145/12+$H$13*(PARAM!$D$51/12)*RATES!$N145/100</f>
        <v>10.395780652282667</v>
      </c>
      <c r="AT169" s="16">
        <f t="shared" si="122"/>
        <v>200.95519959795894</v>
      </c>
      <c r="AU169" s="15">
        <f t="shared" si="97"/>
        <v>22.170849845882874</v>
      </c>
      <c r="AV169" s="75">
        <f>AU169*(1-PARAM!$C$27)*$I$14+(MOD($B169,60)=PARAM!$B$56)*($B169&gt;(60-PARAM!$B$56))*HLOOKUP(($B169+PARAM!$B$56)/12,Loyalty,2)*$F$1*MAX(AX168,0)</f>
        <v>18.557001321003963</v>
      </c>
      <c r="AW169" s="75">
        <f>PARAM!$C$26+MAX($G$14-CHOOSE(PARAM!$B$44,MAX(0,AX168*$F$1),0),0)*RATES!$L145/12+$H$14*(PARAM!$D$51/12)*RATES!$N145/100</f>
        <v>10.395780652282667</v>
      </c>
      <c r="AX169" s="16">
        <f t="shared" si="123"/>
        <v>200.95519959795894</v>
      </c>
      <c r="AY169" s="15">
        <f t="shared" si="98"/>
        <v>22.170849845882874</v>
      </c>
      <c r="AZ169" s="75">
        <f>AY169*(1-PARAM!$C$27)*$I$15+(MOD($B169,60)=PARAM!$B$56)*($B169&gt;(60-PARAM!$B$56))*HLOOKUP(($B169+PARAM!$B$56)/12,Loyalty,2)*$F$1*MAX(BB168,0)</f>
        <v>18.557001321003963</v>
      </c>
      <c r="BA169" s="75">
        <f>PARAM!$C$26+MAX($G$15-CHOOSE(PARAM!$B$44,MAX(0,BB168*$F$1),0),0)*RATES!$L145/12+$H$15*(PARAM!$D$51/12)*RATES!$N145/100</f>
        <v>10.395780652282667</v>
      </c>
      <c r="BB169" s="16">
        <f t="shared" si="124"/>
        <v>200.95519959795894</v>
      </c>
      <c r="BC169" s="15">
        <f t="shared" si="99"/>
        <v>22.170849845882874</v>
      </c>
      <c r="BD169" s="75">
        <f>BC169*(1-PARAM!$C$27)*$I$16+(MOD($B169,60)=PARAM!$B$56)*($B169&gt;(60-PARAM!$B$56))*HLOOKUP(($B169+PARAM!$B$56)/12,Loyalty,2)*$F$1*MAX(BF168,0)</f>
        <v>18.557001321003963</v>
      </c>
      <c r="BE169" s="75">
        <f>PARAM!$C$26+MAX($G$16-CHOOSE(PARAM!$B$44,MAX(0,BF168*$F$1),0),0)*RATES!$L145/12+$H$16*(PARAM!$D$51/12)*RATES!$N145/100</f>
        <v>10.395780652282667</v>
      </c>
      <c r="BF169" s="16">
        <f t="shared" si="125"/>
        <v>200.95519959795894</v>
      </c>
      <c r="BG169" s="15">
        <f t="shared" si="100"/>
        <v>22.170849845882874</v>
      </c>
      <c r="BH169" s="75">
        <f>BG169*(1-PARAM!$C$27)*$I$17+(MOD($B169,60)=PARAM!$B$56)*($B169&gt;(60-PARAM!$B$56))*HLOOKUP(($B169+PARAM!$B$56)/12,Loyalty,2)*$F$1*MAX(BJ168,0)</f>
        <v>18.557001321003963</v>
      </c>
      <c r="BI169" s="75">
        <f>PARAM!$C$26+MAX($G$17-CHOOSE(PARAM!$B$44,MAX(0,BJ168*$F$1),0),0)*RATES!$L145/12+$H$17*(PARAM!$D$51/12)*RATES!$N145/100</f>
        <v>10.395780652282667</v>
      </c>
      <c r="BJ169" s="16">
        <f t="shared" si="126"/>
        <v>200.95519959795894</v>
      </c>
      <c r="BK169" s="15">
        <f t="shared" si="101"/>
        <v>22.170849845882874</v>
      </c>
      <c r="BL169" s="75">
        <f>BK169*(1-PARAM!$C$27)*$I$18+(MOD($B169,60)=PARAM!$B$56)*($B169&gt;(60-PARAM!$B$56))*HLOOKUP(($B169+PARAM!$B$56)/12,Loyalty,2)*$F$1*MAX(BN168,0)</f>
        <v>18.557001321003963</v>
      </c>
      <c r="BM169" s="75">
        <f>PARAM!$C$26+MAX($G$18-CHOOSE(PARAM!$B$44,MAX(0,BN168*$F$1),0),0)*RATES!$L145/12+$H$18*(PARAM!$D$51/12)*RATES!$N145/100</f>
        <v>10.395780652282667</v>
      </c>
      <c r="BN169" s="16">
        <f t="shared" si="127"/>
        <v>200.95519959795894</v>
      </c>
      <c r="BO169" s="15">
        <f t="shared" si="102"/>
        <v>22.170849845882874</v>
      </c>
      <c r="BP169" s="75">
        <f>BO169*(1-PARAM!$C$27)*$I$19+(MOD($B169,60)=PARAM!$B$56)*($B169&gt;(60-PARAM!$B$56))*HLOOKUP(($B169+PARAM!$B$56)/12,Loyalty,2)*$F$1*MAX(BR168,0)</f>
        <v>18.557001321003963</v>
      </c>
      <c r="BQ169" s="75">
        <f>PARAM!$C$26+MAX($G$19-CHOOSE(PARAM!$B$44,MAX(0,BR168*$F$1),0),0)*RATES!$L145/12+$H$19*(PARAM!$D$51/12)*RATES!$N145/100</f>
        <v>10.395780652282667</v>
      </c>
      <c r="BR169" s="16">
        <f t="shared" si="128"/>
        <v>200.95519959795894</v>
      </c>
      <c r="BS169" s="15">
        <f t="shared" si="103"/>
        <v>22.170849845882874</v>
      </c>
      <c r="BT169" s="75">
        <f>BS169*(1-PARAM!$C$27)*$I$20+(MOD($B169,60)=PARAM!$B$56)*($B169&gt;(60-PARAM!$B$56))*HLOOKUP(($B169+PARAM!$B$56)/12,Loyalty,2)*$F$1*MAX(BV168,0)</f>
        <v>18.557001321003963</v>
      </c>
      <c r="BU169" s="75">
        <f>PARAM!$C$26+MAX($G$20-CHOOSE(PARAM!$B$44,MAX(0,BV168*$F$1),0),0)*RATES!$L145/12+$H$20*(PARAM!$D$51/12)*RATES!$N145/100</f>
        <v>10.395780652282667</v>
      </c>
      <c r="BV169" s="16">
        <f t="shared" si="129"/>
        <v>200.95519959795894</v>
      </c>
      <c r="BW169" s="15">
        <f t="shared" si="104"/>
        <v>22.170849845882874</v>
      </c>
      <c r="BX169" s="75">
        <f>BW169*(1-PARAM!$C$27)*$I$21+(MOD($B169,60)=PARAM!$B$56)*($B169&gt;(60-PARAM!$B$56))*HLOOKUP(($B169+PARAM!$B$56)/12,Loyalty,2)*$F$1*MAX(BZ168,0)</f>
        <v>18.557001321003963</v>
      </c>
      <c r="BY169" s="75">
        <f>PARAM!$C$26+MAX($G$21-CHOOSE(PARAM!$B$44,MAX(0,BZ168*$F$1),0),0)*RATES!$L145/12+$H$21*(PARAM!$D$51/12)*RATES!$N145/100</f>
        <v>10.395780652282667</v>
      </c>
      <c r="BZ169" s="16">
        <f t="shared" si="130"/>
        <v>200.95519959795894</v>
      </c>
      <c r="CA169" s="15">
        <f t="shared" si="105"/>
        <v>22.170849845882874</v>
      </c>
      <c r="CB169" s="75">
        <f>CA169*(1-PARAM!$C$27)*$I$22+(MOD($B169,60)=PARAM!$B$56)*($B169&gt;(60-PARAM!$B$56))*HLOOKUP(($B169+PARAM!$B$56)/12,Loyalty,2)*$F$1*MAX(CD168,0)</f>
        <v>18.557001321003963</v>
      </c>
      <c r="CC169" s="75">
        <f>PARAM!$C$26+MAX($G$22-CHOOSE(PARAM!$B$44,MAX(0,CD168*$F$1),0),0)*RATES!$L145/12+$H$22*(PARAM!$D$51/12)*RATES!$N145/100</f>
        <v>10.395780652282667</v>
      </c>
      <c r="CD169" s="16">
        <f t="shared" si="131"/>
        <v>200.95519959795894</v>
      </c>
      <c r="CE169" s="33">
        <f>IF(0=MOD(B169,12/PARAM!$D$51),1,0)</f>
        <v>1</v>
      </c>
      <c r="CF169" s="15">
        <f t="shared" si="106"/>
        <v>0</v>
      </c>
      <c r="CG169" s="75">
        <f>CF169*(1-PARAM!$C$27)*$R$3+(MOD($B169/12,5)=0)*($B169&gt;60)*HLOOKUP($B169/12,Loyalty,2)*$F$1*MAX(CI168,0)</f>
        <v>0</v>
      </c>
      <c r="CH169" s="75">
        <f>PARAM!$C$26+MAX($P$3-CHOOSE(PARAM!$B$44,MAX(0,CI168*$F$1),0),0)*RATES!$L145/12+$Q$3*(PARAM!$D$51/12)*RATES!$N145/100</f>
        <v>10.416666666666668</v>
      </c>
      <c r="CI169" s="16">
        <f>IF(CI168&gt;0,CI168*PARAM!$C$53,CI168)+CG169-CH169</f>
        <v>-2240.083333333333</v>
      </c>
      <c r="CJ169" s="15">
        <f t="shared" si="132"/>
        <v>0</v>
      </c>
      <c r="CK169" s="75">
        <f>CJ169*(1-PARAM!$C$27)*$R$4+(MOD($B169/12,5)=0)*($B169&gt;60)*HLOOKUP($B169/12,Loyalty,2)*$F$1*MAX(CM168,0)</f>
        <v>0</v>
      </c>
      <c r="CL169" s="75">
        <f>PARAM!$C$26+MAX($P$4-CHOOSE(PARAM!$B$44,MAX(0,CM168*$F$1),0),0)*RATES!$L145/12+$Q$4*(PARAM!$D$51/12)*RATES!$N145/100</f>
        <v>10.416666666666668</v>
      </c>
      <c r="CM169" s="16">
        <f>IF(CM168&gt;0,CM168*PARAM!$C$53,CM168)+CK169-CL169</f>
        <v>-2240.083333333333</v>
      </c>
      <c r="CO169" s="176"/>
    </row>
    <row r="170" spans="1:93" x14ac:dyDescent="0.2">
      <c r="A170" t="b">
        <f t="shared" si="107"/>
        <v>0</v>
      </c>
      <c r="B170" s="33">
        <v>143</v>
      </c>
      <c r="C170" s="15">
        <f t="shared" si="108"/>
        <v>20.081305947392778</v>
      </c>
      <c r="D170" s="75">
        <f>C170*(1-PARAM!$C$27)*$I$3+(MOD($B170,60)=PARAM!$B$56)*($B170&gt;(60-PARAM!$B$56))*HLOOKUP(($B170+PARAM!$B$56)/12,Loyalty,2)*$F$1*MAX(F169,0)</f>
        <v>16.808053077967756</v>
      </c>
      <c r="E170" s="75">
        <f>PARAM!$C$26+MAX($G$3-CHOOSE(PARAM!$B$44,MAX(0,F169*$F$1),0),0)*RATES!$L146/12+$H$3*(PARAM!$D$51/12)*RATES!$N146/100</f>
        <v>10.416666666666668</v>
      </c>
      <c r="F170" s="16">
        <f t="shared" si="109"/>
        <v>-22.920893867611646</v>
      </c>
      <c r="G170" s="15">
        <f t="shared" si="110"/>
        <v>22.035289406060361</v>
      </c>
      <c r="H170" s="75">
        <f>G170*(1-PARAM!$C$27)*$I$4+(MOD($B170,60)=PARAM!$B$56)*($B170&gt;(60-PARAM!$B$56))*HLOOKUP(($B170+PARAM!$B$56)/12,Loyalty,2)*$F$1*MAX(J169,0)</f>
        <v>18.443537232872522</v>
      </c>
      <c r="I170" s="75">
        <f>PARAM!$C$26+MAX($G$4-CHOOSE(PARAM!$B$44,MAX(0,J169*$F$1),0),0)*RATES!$L146/12+$H$4*(PARAM!$D$51/12)*RATES!$N146/100</f>
        <v>10.396516419307019</v>
      </c>
      <c r="J170" s="16">
        <f t="shared" si="111"/>
        <v>194.04930413337422</v>
      </c>
      <c r="K170" s="15">
        <f t="shared" si="112"/>
        <v>22.170849845882874</v>
      </c>
      <c r="L170" s="75">
        <f>K170*(1-PARAM!$C$27)*$I$5+(MOD($B170,60)=PARAM!$B$56)*($B170&gt;(60-PARAM!$B$56))*HLOOKUP(($B170+PARAM!$B$56)/12,Loyalty,2)*$F$1*MAX(N169,0)</f>
        <v>18.557001321003963</v>
      </c>
      <c r="M170" s="75">
        <f>PARAM!$C$26+MAX($G$5-CHOOSE(PARAM!$B$44,MAX(0,N169*$F$1),0),0)*RATES!$L146/12+$H$5*(PARAM!$D$51/12)*RATES!$N146/100</f>
        <v>10.394896520043556</v>
      </c>
      <c r="N170" s="16">
        <f t="shared" si="113"/>
        <v>209.11730439891934</v>
      </c>
      <c r="O170" s="15">
        <f t="shared" si="114"/>
        <v>22.170849845882874</v>
      </c>
      <c r="P170" s="75">
        <f>O170*(1-PARAM!$C$27)*$I$6+(MOD($B170,60)=PARAM!$B$56)*($B170&gt;(60-PARAM!$B$56))*HLOOKUP(($B170+PARAM!$B$56)/12,Loyalty,2)*$F$1*MAX(R169,0)</f>
        <v>18.557001321003963</v>
      </c>
      <c r="Q170" s="75">
        <f>PARAM!$C$26+MAX($G$6-CHOOSE(PARAM!$B$44,MAX(0,R169*$F$1),0),0)*RATES!$L146/12+$H$6*(PARAM!$D$51/12)*RATES!$N146/100</f>
        <v>10.394896520043556</v>
      </c>
      <c r="R170" s="16">
        <f t="shared" si="115"/>
        <v>209.11730439891934</v>
      </c>
      <c r="S170" s="15">
        <f t="shared" si="90"/>
        <v>22.170849845882874</v>
      </c>
      <c r="T170" s="75">
        <f>S170*(1-PARAM!$C$27)*$I$7+(MOD($B170,60)=PARAM!$B$56)*($B170&gt;(60-PARAM!$B$56))*HLOOKUP(($B170+PARAM!$B$56)/12,Loyalty,2)*$F$1*MAX(V169,0)</f>
        <v>18.557001321003963</v>
      </c>
      <c r="U170" s="75">
        <f>PARAM!$C$26+MAX($G$7-CHOOSE(PARAM!$B$44,MAX(0,V169*$F$1),0),0)*RATES!$L146/12+$H$7*(PARAM!$D$51/12)*RATES!$N146/100</f>
        <v>10.394896520043556</v>
      </c>
      <c r="V170" s="16">
        <f t="shared" si="116"/>
        <v>209.11730439891934</v>
      </c>
      <c r="W170" s="15">
        <f t="shared" si="91"/>
        <v>22.170849845882874</v>
      </c>
      <c r="X170" s="75">
        <f>W170*(1-PARAM!$C$27)*$I$8+(MOD($B170,60)=PARAM!$B$56)*($B170&gt;(60-PARAM!$B$56))*HLOOKUP(($B170+PARAM!$B$56)/12,Loyalty,2)*$F$1*MAX(Z169,0)</f>
        <v>18.557001321003963</v>
      </c>
      <c r="Y170" s="75">
        <f>PARAM!$C$26+MAX($G$8-CHOOSE(PARAM!$B$44,MAX(0,Z169*$F$1),0),0)*RATES!$L146/12+$H$8*(PARAM!$D$51/12)*RATES!$N146/100</f>
        <v>10.394896520043556</v>
      </c>
      <c r="Z170" s="16">
        <f t="shared" si="117"/>
        <v>209.11730439891934</v>
      </c>
      <c r="AA170" s="15">
        <f t="shared" si="92"/>
        <v>22.170849845882874</v>
      </c>
      <c r="AB170" s="75">
        <f>AA170*(1-PARAM!$C$27)*$I$9+(MOD($B170,60)=PARAM!$B$56)*($B170&gt;(60-PARAM!$B$56))*HLOOKUP(($B170+PARAM!$B$56)/12,Loyalty,2)*$F$1*MAX(AD169,0)</f>
        <v>18.557001321003963</v>
      </c>
      <c r="AC170" s="75">
        <f>PARAM!$C$26+MAX($G$9-CHOOSE(PARAM!$B$44,MAX(0,AD169*$F$1),0),0)*RATES!$L146/12+$H$9*(PARAM!$D$51/12)*RATES!$N146/100</f>
        <v>10.394896520043556</v>
      </c>
      <c r="AD170" s="16">
        <f t="shared" si="118"/>
        <v>209.11730439891934</v>
      </c>
      <c r="AE170" s="15">
        <f t="shared" si="93"/>
        <v>22.170849845882874</v>
      </c>
      <c r="AF170" s="75">
        <f>AE170*(1-PARAM!$C$27)*$I$10+(MOD($B170,60)=PARAM!$B$56)*($B170&gt;(60-PARAM!$B$56))*HLOOKUP(($B170+PARAM!$B$56)/12,Loyalty,2)*$F$1*MAX(AH169,0)</f>
        <v>18.557001321003963</v>
      </c>
      <c r="AG170" s="75">
        <f>PARAM!$C$26+MAX($G$10-CHOOSE(PARAM!$B$44,MAX(0,AH169*$F$1),0),0)*RATES!$L146/12+$H$10*(PARAM!$D$51/12)*RATES!$N146/100</f>
        <v>10.394896520043556</v>
      </c>
      <c r="AH170" s="16">
        <f t="shared" si="119"/>
        <v>209.11730439891934</v>
      </c>
      <c r="AI170" s="15">
        <f t="shared" si="94"/>
        <v>22.170849845882874</v>
      </c>
      <c r="AJ170" s="75">
        <f>AI170*(1-PARAM!$C$27)*$I$11+(MOD($B170,60)=PARAM!$B$56)*($B170&gt;(60-PARAM!$B$56))*HLOOKUP(($B170+PARAM!$B$56)/12,Loyalty,2)*$F$1*MAX(AL169,0)</f>
        <v>18.557001321003963</v>
      </c>
      <c r="AK170" s="75">
        <f>PARAM!$C$26+MAX($G$11-CHOOSE(PARAM!$B$44,MAX(0,AL169*$F$1),0),0)*RATES!$L146/12+$H$11*(PARAM!$D$51/12)*RATES!$N146/100</f>
        <v>10.394896520043556</v>
      </c>
      <c r="AL170" s="16">
        <f t="shared" si="120"/>
        <v>209.11730439891934</v>
      </c>
      <c r="AM170" s="15">
        <f t="shared" si="95"/>
        <v>22.170849845882874</v>
      </c>
      <c r="AN170" s="75">
        <f>AM170*(1-PARAM!$C$27)*$I$12+(MOD($B170,60)=PARAM!$B$56)*($B170&gt;(60-PARAM!$B$56))*HLOOKUP(($B170+PARAM!$B$56)/12,Loyalty,2)*$F$1*MAX(AP169,0)</f>
        <v>18.557001321003963</v>
      </c>
      <c r="AO170" s="75">
        <f>PARAM!$C$26+MAX($G$12-CHOOSE(PARAM!$B$44,MAX(0,AP169*$F$1),0),0)*RATES!$L146/12+$H$12*(PARAM!$D$51/12)*RATES!$N146/100</f>
        <v>10.394896520043556</v>
      </c>
      <c r="AP170" s="16">
        <f t="shared" si="121"/>
        <v>209.11730439891934</v>
      </c>
      <c r="AQ170" s="15">
        <f t="shared" si="96"/>
        <v>22.170849845882874</v>
      </c>
      <c r="AR170" s="75">
        <f>AQ170*(1-PARAM!$C$27)*$I$13+(MOD($B170,60)=PARAM!$B$56)*($B170&gt;(60-PARAM!$B$56))*HLOOKUP(($B170+PARAM!$B$56)/12,Loyalty,2)*$F$1*MAX(AT169,0)</f>
        <v>18.557001321003963</v>
      </c>
      <c r="AS170" s="75">
        <f>PARAM!$C$26+MAX($G$13-CHOOSE(PARAM!$B$44,MAX(0,AT169*$F$1),0),0)*RATES!$L146/12+$H$13*(PARAM!$D$51/12)*RATES!$N146/100</f>
        <v>10.394896520043556</v>
      </c>
      <c r="AT170" s="16">
        <f t="shared" si="122"/>
        <v>209.11730439891934</v>
      </c>
      <c r="AU170" s="15">
        <f t="shared" si="97"/>
        <v>22.170849845882874</v>
      </c>
      <c r="AV170" s="75">
        <f>AU170*(1-PARAM!$C$27)*$I$14+(MOD($B170,60)=PARAM!$B$56)*($B170&gt;(60-PARAM!$B$56))*HLOOKUP(($B170+PARAM!$B$56)/12,Loyalty,2)*$F$1*MAX(AX169,0)</f>
        <v>18.557001321003963</v>
      </c>
      <c r="AW170" s="75">
        <f>PARAM!$C$26+MAX($G$14-CHOOSE(PARAM!$B$44,MAX(0,AX169*$F$1),0),0)*RATES!$L146/12+$H$14*(PARAM!$D$51/12)*RATES!$N146/100</f>
        <v>10.394896520043556</v>
      </c>
      <c r="AX170" s="16">
        <f t="shared" si="123"/>
        <v>209.11730439891934</v>
      </c>
      <c r="AY170" s="15">
        <f t="shared" si="98"/>
        <v>22.170849845882874</v>
      </c>
      <c r="AZ170" s="75">
        <f>AY170*(1-PARAM!$C$27)*$I$15+(MOD($B170,60)=PARAM!$B$56)*($B170&gt;(60-PARAM!$B$56))*HLOOKUP(($B170+PARAM!$B$56)/12,Loyalty,2)*$F$1*MAX(BB169,0)</f>
        <v>18.557001321003963</v>
      </c>
      <c r="BA170" s="75">
        <f>PARAM!$C$26+MAX($G$15-CHOOSE(PARAM!$B$44,MAX(0,BB169*$F$1),0),0)*RATES!$L146/12+$H$15*(PARAM!$D$51/12)*RATES!$N146/100</f>
        <v>10.394896520043556</v>
      </c>
      <c r="BB170" s="16">
        <f t="shared" si="124"/>
        <v>209.11730439891934</v>
      </c>
      <c r="BC170" s="15">
        <f t="shared" si="99"/>
        <v>22.170849845882874</v>
      </c>
      <c r="BD170" s="75">
        <f>BC170*(1-PARAM!$C$27)*$I$16+(MOD($B170,60)=PARAM!$B$56)*($B170&gt;(60-PARAM!$B$56))*HLOOKUP(($B170+PARAM!$B$56)/12,Loyalty,2)*$F$1*MAX(BF169,0)</f>
        <v>18.557001321003963</v>
      </c>
      <c r="BE170" s="75">
        <f>PARAM!$C$26+MAX($G$16-CHOOSE(PARAM!$B$44,MAX(0,BF169*$F$1),0),0)*RATES!$L146/12+$H$16*(PARAM!$D$51/12)*RATES!$N146/100</f>
        <v>10.394896520043556</v>
      </c>
      <c r="BF170" s="16">
        <f t="shared" si="125"/>
        <v>209.11730439891934</v>
      </c>
      <c r="BG170" s="15">
        <f t="shared" si="100"/>
        <v>22.170849845882874</v>
      </c>
      <c r="BH170" s="75">
        <f>BG170*(1-PARAM!$C$27)*$I$17+(MOD($B170,60)=PARAM!$B$56)*($B170&gt;(60-PARAM!$B$56))*HLOOKUP(($B170+PARAM!$B$56)/12,Loyalty,2)*$F$1*MAX(BJ169,0)</f>
        <v>18.557001321003963</v>
      </c>
      <c r="BI170" s="75">
        <f>PARAM!$C$26+MAX($G$17-CHOOSE(PARAM!$B$44,MAX(0,BJ169*$F$1),0),0)*RATES!$L146/12+$H$17*(PARAM!$D$51/12)*RATES!$N146/100</f>
        <v>10.394896520043556</v>
      </c>
      <c r="BJ170" s="16">
        <f t="shared" si="126"/>
        <v>209.11730439891934</v>
      </c>
      <c r="BK170" s="15">
        <f t="shared" si="101"/>
        <v>22.170849845882874</v>
      </c>
      <c r="BL170" s="75">
        <f>BK170*(1-PARAM!$C$27)*$I$18+(MOD($B170,60)=PARAM!$B$56)*($B170&gt;(60-PARAM!$B$56))*HLOOKUP(($B170+PARAM!$B$56)/12,Loyalty,2)*$F$1*MAX(BN169,0)</f>
        <v>18.557001321003963</v>
      </c>
      <c r="BM170" s="75">
        <f>PARAM!$C$26+MAX($G$18-CHOOSE(PARAM!$B$44,MAX(0,BN169*$F$1),0),0)*RATES!$L146/12+$H$18*(PARAM!$D$51/12)*RATES!$N146/100</f>
        <v>10.394896520043556</v>
      </c>
      <c r="BN170" s="16">
        <f t="shared" si="127"/>
        <v>209.11730439891934</v>
      </c>
      <c r="BO170" s="15">
        <f t="shared" si="102"/>
        <v>22.170849845882874</v>
      </c>
      <c r="BP170" s="75">
        <f>BO170*(1-PARAM!$C$27)*$I$19+(MOD($B170,60)=PARAM!$B$56)*($B170&gt;(60-PARAM!$B$56))*HLOOKUP(($B170+PARAM!$B$56)/12,Loyalty,2)*$F$1*MAX(BR169,0)</f>
        <v>18.557001321003963</v>
      </c>
      <c r="BQ170" s="75">
        <f>PARAM!$C$26+MAX($G$19-CHOOSE(PARAM!$B$44,MAX(0,BR169*$F$1),0),0)*RATES!$L146/12+$H$19*(PARAM!$D$51/12)*RATES!$N146/100</f>
        <v>10.394896520043556</v>
      </c>
      <c r="BR170" s="16">
        <f t="shared" si="128"/>
        <v>209.11730439891934</v>
      </c>
      <c r="BS170" s="15">
        <f t="shared" si="103"/>
        <v>22.170849845882874</v>
      </c>
      <c r="BT170" s="75">
        <f>BS170*(1-PARAM!$C$27)*$I$20+(MOD($B170,60)=PARAM!$B$56)*($B170&gt;(60-PARAM!$B$56))*HLOOKUP(($B170+PARAM!$B$56)/12,Loyalty,2)*$F$1*MAX(BV169,0)</f>
        <v>18.557001321003963</v>
      </c>
      <c r="BU170" s="75">
        <f>PARAM!$C$26+MAX($G$20-CHOOSE(PARAM!$B$44,MAX(0,BV169*$F$1),0),0)*RATES!$L146/12+$H$20*(PARAM!$D$51/12)*RATES!$N146/100</f>
        <v>10.394896520043556</v>
      </c>
      <c r="BV170" s="16">
        <f t="shared" si="129"/>
        <v>209.11730439891934</v>
      </c>
      <c r="BW170" s="15">
        <f t="shared" si="104"/>
        <v>22.170849845882874</v>
      </c>
      <c r="BX170" s="75">
        <f>BW170*(1-PARAM!$C$27)*$I$21+(MOD($B170,60)=PARAM!$B$56)*($B170&gt;(60-PARAM!$B$56))*HLOOKUP(($B170+PARAM!$B$56)/12,Loyalty,2)*$F$1*MAX(BZ169,0)</f>
        <v>18.557001321003963</v>
      </c>
      <c r="BY170" s="75">
        <f>PARAM!$C$26+MAX($G$21-CHOOSE(PARAM!$B$44,MAX(0,BZ169*$F$1),0),0)*RATES!$L146/12+$H$21*(PARAM!$D$51/12)*RATES!$N146/100</f>
        <v>10.394896520043556</v>
      </c>
      <c r="BZ170" s="16">
        <f t="shared" si="130"/>
        <v>209.11730439891934</v>
      </c>
      <c r="CA170" s="15">
        <f t="shared" si="105"/>
        <v>22.170849845882874</v>
      </c>
      <c r="CB170" s="75">
        <f>CA170*(1-PARAM!$C$27)*$I$22+(MOD($B170,60)=PARAM!$B$56)*($B170&gt;(60-PARAM!$B$56))*HLOOKUP(($B170+PARAM!$B$56)/12,Loyalty,2)*$F$1*MAX(CD169,0)</f>
        <v>18.557001321003963</v>
      </c>
      <c r="CC170" s="75">
        <f>PARAM!$C$26+MAX($G$22-CHOOSE(PARAM!$B$44,MAX(0,CD169*$F$1),0),0)*RATES!$L146/12+$H$22*(PARAM!$D$51/12)*RATES!$N146/100</f>
        <v>10.394896520043556</v>
      </c>
      <c r="CD170" s="16">
        <f t="shared" si="131"/>
        <v>209.11730439891934</v>
      </c>
      <c r="CE170" s="33">
        <f>IF(0=MOD(B170,12/PARAM!$D$51),1,0)</f>
        <v>1</v>
      </c>
      <c r="CF170" s="15">
        <f t="shared" si="106"/>
        <v>0</v>
      </c>
      <c r="CG170" s="75">
        <f>CF170*(1-PARAM!$C$27)*$R$3+(MOD($B170/12,5)=0)*($B170&gt;60)*HLOOKUP($B170/12,Loyalty,2)*$F$1*MAX(CI169,0)</f>
        <v>0</v>
      </c>
      <c r="CH170" s="75">
        <f>PARAM!$C$26+MAX($P$3-CHOOSE(PARAM!$B$44,MAX(0,CI169*$F$1),0),0)*RATES!$L146/12+$Q$3*(PARAM!$D$51/12)*RATES!$N146/100</f>
        <v>10.416666666666668</v>
      </c>
      <c r="CI170" s="16">
        <f>IF(CI169&gt;0,CI169*PARAM!$C$53,CI169)+CG170-CH170</f>
        <v>-2250.4999999999995</v>
      </c>
      <c r="CJ170" s="15">
        <f t="shared" si="132"/>
        <v>0</v>
      </c>
      <c r="CK170" s="75">
        <f>CJ170*(1-PARAM!$C$27)*$R$4+(MOD($B170/12,5)=0)*($B170&gt;60)*HLOOKUP($B170/12,Loyalty,2)*$F$1*MAX(CM169,0)</f>
        <v>0</v>
      </c>
      <c r="CL170" s="75">
        <f>PARAM!$C$26+MAX($P$4-CHOOSE(PARAM!$B$44,MAX(0,CM169*$F$1),0),0)*RATES!$L146/12+$Q$4*(PARAM!$D$51/12)*RATES!$N146/100</f>
        <v>10.416666666666668</v>
      </c>
      <c r="CM170" s="16">
        <f>IF(CM169&gt;0,CM169*PARAM!$C$53,CM169)+CK170-CL170</f>
        <v>-2250.4999999999995</v>
      </c>
      <c r="CO170" s="176"/>
    </row>
    <row r="171" spans="1:93" x14ac:dyDescent="0.2">
      <c r="A171" t="b">
        <f t="shared" si="107"/>
        <v>0</v>
      </c>
      <c r="B171" s="33">
        <v>144</v>
      </c>
      <c r="C171" s="15">
        <f t="shared" si="108"/>
        <v>20.081305947392778</v>
      </c>
      <c r="D171" s="75">
        <f>C171*(1-PARAM!$C$27)*$I$3+(MOD($B171,60)=PARAM!$B$56)*($B171&gt;(60-PARAM!$B$56))*HLOOKUP(($B171+PARAM!$B$56)/12,Loyalty,2)*$F$1*MAX(F170,0)</f>
        <v>16.808053077967756</v>
      </c>
      <c r="E171" s="75">
        <f>PARAM!$C$26+MAX($G$3-CHOOSE(PARAM!$B$44,MAX(0,F170*$F$1),0),0)*RATES!$L147/12+$H$3*(PARAM!$D$51/12)*RATES!$N147/100</f>
        <v>10.416666666666668</v>
      </c>
      <c r="F171" s="16">
        <f t="shared" si="109"/>
        <v>-16.529507456310558</v>
      </c>
      <c r="G171" s="15">
        <f t="shared" si="110"/>
        <v>22.035289406060361</v>
      </c>
      <c r="H171" s="75">
        <f>G171*(1-PARAM!$C$27)*$I$4+(MOD($B171,60)=PARAM!$B$56)*($B171&gt;(60-PARAM!$B$56))*HLOOKUP(($B171+PARAM!$B$56)/12,Loyalty,2)*$F$1*MAX(J170,0)</f>
        <v>18.443537232872522</v>
      </c>
      <c r="I171" s="75">
        <f>PARAM!$C$26+MAX($G$4-CHOOSE(PARAM!$B$44,MAX(0,J170*$F$1),0),0)*RATES!$L147/12+$H$4*(PARAM!$D$51/12)*RATES!$N147/100</f>
        <v>10.395644658718883</v>
      </c>
      <c r="J171" s="16">
        <f t="shared" si="111"/>
        <v>202.09719670752787</v>
      </c>
      <c r="K171" s="15">
        <f t="shared" si="112"/>
        <v>22.170849845882874</v>
      </c>
      <c r="L171" s="75">
        <f>K171*(1-PARAM!$C$27)*$I$5+(MOD($B171,60)=PARAM!$B$56)*($B171&gt;(60-PARAM!$B$56))*HLOOKUP(($B171+PARAM!$B$56)/12,Loyalty,2)*$F$1*MAX(N170,0)</f>
        <v>18.557001321003963</v>
      </c>
      <c r="M171" s="75">
        <f>PARAM!$C$26+MAX($G$5-CHOOSE(PARAM!$B$44,MAX(0,N170*$F$1),0),0)*RATES!$L147/12+$H$5*(PARAM!$D$51/12)*RATES!$N147/100</f>
        <v>10.394012292023451</v>
      </c>
      <c r="N171" s="16">
        <f t="shared" si="113"/>
        <v>217.28029342789984</v>
      </c>
      <c r="O171" s="15">
        <f t="shared" si="114"/>
        <v>22.170849845882874</v>
      </c>
      <c r="P171" s="75">
        <f>O171*(1-PARAM!$C$27)*$I$6+(MOD($B171,60)=PARAM!$B$56)*($B171&gt;(60-PARAM!$B$56))*HLOOKUP(($B171+PARAM!$B$56)/12,Loyalty,2)*$F$1*MAX(R170,0)</f>
        <v>18.557001321003963</v>
      </c>
      <c r="Q171" s="75">
        <f>PARAM!$C$26+MAX($G$6-CHOOSE(PARAM!$B$44,MAX(0,R170*$F$1),0),0)*RATES!$L147/12+$H$6*(PARAM!$D$51/12)*RATES!$N147/100</f>
        <v>10.394012292023451</v>
      </c>
      <c r="R171" s="16">
        <f t="shared" si="115"/>
        <v>217.28029342789984</v>
      </c>
      <c r="S171" s="15">
        <f t="shared" si="90"/>
        <v>22.170849845882874</v>
      </c>
      <c r="T171" s="75">
        <f>S171*(1-PARAM!$C$27)*$I$7+(MOD($B171,60)=PARAM!$B$56)*($B171&gt;(60-PARAM!$B$56))*HLOOKUP(($B171+PARAM!$B$56)/12,Loyalty,2)*$F$1*MAX(V170,0)</f>
        <v>18.557001321003963</v>
      </c>
      <c r="U171" s="75">
        <f>PARAM!$C$26+MAX($G$7-CHOOSE(PARAM!$B$44,MAX(0,V170*$F$1),0),0)*RATES!$L147/12+$H$7*(PARAM!$D$51/12)*RATES!$N147/100</f>
        <v>10.394012292023451</v>
      </c>
      <c r="V171" s="16">
        <f t="shared" si="116"/>
        <v>217.28029342789984</v>
      </c>
      <c r="W171" s="15">
        <f t="shared" si="91"/>
        <v>22.170849845882874</v>
      </c>
      <c r="X171" s="75">
        <f>W171*(1-PARAM!$C$27)*$I$8+(MOD($B171,60)=PARAM!$B$56)*($B171&gt;(60-PARAM!$B$56))*HLOOKUP(($B171+PARAM!$B$56)/12,Loyalty,2)*$F$1*MAX(Z170,0)</f>
        <v>18.557001321003963</v>
      </c>
      <c r="Y171" s="75">
        <f>PARAM!$C$26+MAX($G$8-CHOOSE(PARAM!$B$44,MAX(0,Z170*$F$1),0),0)*RATES!$L147/12+$H$8*(PARAM!$D$51/12)*RATES!$N147/100</f>
        <v>10.394012292023451</v>
      </c>
      <c r="Z171" s="16">
        <f t="shared" si="117"/>
        <v>217.28029342789984</v>
      </c>
      <c r="AA171" s="15">
        <f t="shared" si="92"/>
        <v>22.170849845882874</v>
      </c>
      <c r="AB171" s="75">
        <f>AA171*(1-PARAM!$C$27)*$I$9+(MOD($B171,60)=PARAM!$B$56)*($B171&gt;(60-PARAM!$B$56))*HLOOKUP(($B171+PARAM!$B$56)/12,Loyalty,2)*$F$1*MAX(AD170,0)</f>
        <v>18.557001321003963</v>
      </c>
      <c r="AC171" s="75">
        <f>PARAM!$C$26+MAX($G$9-CHOOSE(PARAM!$B$44,MAX(0,AD170*$F$1),0),0)*RATES!$L147/12+$H$9*(PARAM!$D$51/12)*RATES!$N147/100</f>
        <v>10.394012292023451</v>
      </c>
      <c r="AD171" s="16">
        <f t="shared" si="118"/>
        <v>217.28029342789984</v>
      </c>
      <c r="AE171" s="15">
        <f t="shared" si="93"/>
        <v>22.170849845882874</v>
      </c>
      <c r="AF171" s="75">
        <f>AE171*(1-PARAM!$C$27)*$I$10+(MOD($B171,60)=PARAM!$B$56)*($B171&gt;(60-PARAM!$B$56))*HLOOKUP(($B171+PARAM!$B$56)/12,Loyalty,2)*$F$1*MAX(AH170,0)</f>
        <v>18.557001321003963</v>
      </c>
      <c r="AG171" s="75">
        <f>PARAM!$C$26+MAX($G$10-CHOOSE(PARAM!$B$44,MAX(0,AH170*$F$1),0),0)*RATES!$L147/12+$H$10*(PARAM!$D$51/12)*RATES!$N147/100</f>
        <v>10.394012292023451</v>
      </c>
      <c r="AH171" s="16">
        <f t="shared" si="119"/>
        <v>217.28029342789984</v>
      </c>
      <c r="AI171" s="15">
        <f t="shared" si="94"/>
        <v>22.170849845882874</v>
      </c>
      <c r="AJ171" s="75">
        <f>AI171*(1-PARAM!$C$27)*$I$11+(MOD($B171,60)=PARAM!$B$56)*($B171&gt;(60-PARAM!$B$56))*HLOOKUP(($B171+PARAM!$B$56)/12,Loyalty,2)*$F$1*MAX(AL170,0)</f>
        <v>18.557001321003963</v>
      </c>
      <c r="AK171" s="75">
        <f>PARAM!$C$26+MAX($G$11-CHOOSE(PARAM!$B$44,MAX(0,AL170*$F$1),0),0)*RATES!$L147/12+$H$11*(PARAM!$D$51/12)*RATES!$N147/100</f>
        <v>10.394012292023451</v>
      </c>
      <c r="AL171" s="16">
        <f t="shared" si="120"/>
        <v>217.28029342789984</v>
      </c>
      <c r="AM171" s="15">
        <f t="shared" si="95"/>
        <v>22.170849845882874</v>
      </c>
      <c r="AN171" s="75">
        <f>AM171*(1-PARAM!$C$27)*$I$12+(MOD($B171,60)=PARAM!$B$56)*($B171&gt;(60-PARAM!$B$56))*HLOOKUP(($B171+PARAM!$B$56)/12,Loyalty,2)*$F$1*MAX(AP170,0)</f>
        <v>18.557001321003963</v>
      </c>
      <c r="AO171" s="75">
        <f>PARAM!$C$26+MAX($G$12-CHOOSE(PARAM!$B$44,MAX(0,AP170*$F$1),0),0)*RATES!$L147/12+$H$12*(PARAM!$D$51/12)*RATES!$N147/100</f>
        <v>10.394012292023451</v>
      </c>
      <c r="AP171" s="16">
        <f t="shared" si="121"/>
        <v>217.28029342789984</v>
      </c>
      <c r="AQ171" s="15">
        <f t="shared" si="96"/>
        <v>22.170849845882874</v>
      </c>
      <c r="AR171" s="75">
        <f>AQ171*(1-PARAM!$C$27)*$I$13+(MOD($B171,60)=PARAM!$B$56)*($B171&gt;(60-PARAM!$B$56))*HLOOKUP(($B171+PARAM!$B$56)/12,Loyalty,2)*$F$1*MAX(AT170,0)</f>
        <v>18.557001321003963</v>
      </c>
      <c r="AS171" s="75">
        <f>PARAM!$C$26+MAX($G$13-CHOOSE(PARAM!$B$44,MAX(0,AT170*$F$1),0),0)*RATES!$L147/12+$H$13*(PARAM!$D$51/12)*RATES!$N147/100</f>
        <v>10.394012292023451</v>
      </c>
      <c r="AT171" s="16">
        <f t="shared" si="122"/>
        <v>217.28029342789984</v>
      </c>
      <c r="AU171" s="15">
        <f t="shared" si="97"/>
        <v>22.170849845882874</v>
      </c>
      <c r="AV171" s="75">
        <f>AU171*(1-PARAM!$C$27)*$I$14+(MOD($B171,60)=PARAM!$B$56)*($B171&gt;(60-PARAM!$B$56))*HLOOKUP(($B171+PARAM!$B$56)/12,Loyalty,2)*$F$1*MAX(AX170,0)</f>
        <v>18.557001321003963</v>
      </c>
      <c r="AW171" s="75">
        <f>PARAM!$C$26+MAX($G$14-CHOOSE(PARAM!$B$44,MAX(0,AX170*$F$1),0),0)*RATES!$L147/12+$H$14*(PARAM!$D$51/12)*RATES!$N147/100</f>
        <v>10.394012292023451</v>
      </c>
      <c r="AX171" s="16">
        <f t="shared" si="123"/>
        <v>217.28029342789984</v>
      </c>
      <c r="AY171" s="15">
        <f t="shared" si="98"/>
        <v>22.170849845882874</v>
      </c>
      <c r="AZ171" s="75">
        <f>AY171*(1-PARAM!$C$27)*$I$15+(MOD($B171,60)=PARAM!$B$56)*($B171&gt;(60-PARAM!$B$56))*HLOOKUP(($B171+PARAM!$B$56)/12,Loyalty,2)*$F$1*MAX(BB170,0)</f>
        <v>18.557001321003963</v>
      </c>
      <c r="BA171" s="75">
        <f>PARAM!$C$26+MAX($G$15-CHOOSE(PARAM!$B$44,MAX(0,BB170*$F$1),0),0)*RATES!$L147/12+$H$15*(PARAM!$D$51/12)*RATES!$N147/100</f>
        <v>10.394012292023451</v>
      </c>
      <c r="BB171" s="16">
        <f t="shared" si="124"/>
        <v>217.28029342789984</v>
      </c>
      <c r="BC171" s="15">
        <f t="shared" si="99"/>
        <v>22.170849845882874</v>
      </c>
      <c r="BD171" s="75">
        <f>BC171*(1-PARAM!$C$27)*$I$16+(MOD($B171,60)=PARAM!$B$56)*($B171&gt;(60-PARAM!$B$56))*HLOOKUP(($B171+PARAM!$B$56)/12,Loyalty,2)*$F$1*MAX(BF170,0)</f>
        <v>18.557001321003963</v>
      </c>
      <c r="BE171" s="75">
        <f>PARAM!$C$26+MAX($G$16-CHOOSE(PARAM!$B$44,MAX(0,BF170*$F$1),0),0)*RATES!$L147/12+$H$16*(PARAM!$D$51/12)*RATES!$N147/100</f>
        <v>10.394012292023451</v>
      </c>
      <c r="BF171" s="16">
        <f t="shared" si="125"/>
        <v>217.28029342789984</v>
      </c>
      <c r="BG171" s="15">
        <f t="shared" si="100"/>
        <v>22.170849845882874</v>
      </c>
      <c r="BH171" s="75">
        <f>BG171*(1-PARAM!$C$27)*$I$17+(MOD($B171,60)=PARAM!$B$56)*($B171&gt;(60-PARAM!$B$56))*HLOOKUP(($B171+PARAM!$B$56)/12,Loyalty,2)*$F$1*MAX(BJ170,0)</f>
        <v>18.557001321003963</v>
      </c>
      <c r="BI171" s="75">
        <f>PARAM!$C$26+MAX($G$17-CHOOSE(PARAM!$B$44,MAX(0,BJ170*$F$1),0),0)*RATES!$L147/12+$H$17*(PARAM!$D$51/12)*RATES!$N147/100</f>
        <v>10.394012292023451</v>
      </c>
      <c r="BJ171" s="16">
        <f t="shared" si="126"/>
        <v>217.28029342789984</v>
      </c>
      <c r="BK171" s="15">
        <f t="shared" si="101"/>
        <v>22.170849845882874</v>
      </c>
      <c r="BL171" s="75">
        <f>BK171*(1-PARAM!$C$27)*$I$18+(MOD($B171,60)=PARAM!$B$56)*($B171&gt;(60-PARAM!$B$56))*HLOOKUP(($B171+PARAM!$B$56)/12,Loyalty,2)*$F$1*MAX(BN170,0)</f>
        <v>18.557001321003963</v>
      </c>
      <c r="BM171" s="75">
        <f>PARAM!$C$26+MAX($G$18-CHOOSE(PARAM!$B$44,MAX(0,BN170*$F$1),0),0)*RATES!$L147/12+$H$18*(PARAM!$D$51/12)*RATES!$N147/100</f>
        <v>10.394012292023451</v>
      </c>
      <c r="BN171" s="16">
        <f t="shared" si="127"/>
        <v>217.28029342789984</v>
      </c>
      <c r="BO171" s="15">
        <f t="shared" si="102"/>
        <v>22.170849845882874</v>
      </c>
      <c r="BP171" s="75">
        <f>BO171*(1-PARAM!$C$27)*$I$19+(MOD($B171,60)=PARAM!$B$56)*($B171&gt;(60-PARAM!$B$56))*HLOOKUP(($B171+PARAM!$B$56)/12,Loyalty,2)*$F$1*MAX(BR170,0)</f>
        <v>18.557001321003963</v>
      </c>
      <c r="BQ171" s="75">
        <f>PARAM!$C$26+MAX($G$19-CHOOSE(PARAM!$B$44,MAX(0,BR170*$F$1),0),0)*RATES!$L147/12+$H$19*(PARAM!$D$51/12)*RATES!$N147/100</f>
        <v>10.394012292023451</v>
      </c>
      <c r="BR171" s="16">
        <f t="shared" si="128"/>
        <v>217.28029342789984</v>
      </c>
      <c r="BS171" s="15">
        <f t="shared" si="103"/>
        <v>22.170849845882874</v>
      </c>
      <c r="BT171" s="75">
        <f>BS171*(1-PARAM!$C$27)*$I$20+(MOD($B171,60)=PARAM!$B$56)*($B171&gt;(60-PARAM!$B$56))*HLOOKUP(($B171+PARAM!$B$56)/12,Loyalty,2)*$F$1*MAX(BV170,0)</f>
        <v>18.557001321003963</v>
      </c>
      <c r="BU171" s="75">
        <f>PARAM!$C$26+MAX($G$20-CHOOSE(PARAM!$B$44,MAX(0,BV170*$F$1),0),0)*RATES!$L147/12+$H$20*(PARAM!$D$51/12)*RATES!$N147/100</f>
        <v>10.394012292023451</v>
      </c>
      <c r="BV171" s="16">
        <f t="shared" si="129"/>
        <v>217.28029342789984</v>
      </c>
      <c r="BW171" s="15">
        <f t="shared" si="104"/>
        <v>22.170849845882874</v>
      </c>
      <c r="BX171" s="75">
        <f>BW171*(1-PARAM!$C$27)*$I$21+(MOD($B171,60)=PARAM!$B$56)*($B171&gt;(60-PARAM!$B$56))*HLOOKUP(($B171+PARAM!$B$56)/12,Loyalty,2)*$F$1*MAX(BZ170,0)</f>
        <v>18.557001321003963</v>
      </c>
      <c r="BY171" s="75">
        <f>PARAM!$C$26+MAX($G$21-CHOOSE(PARAM!$B$44,MAX(0,BZ170*$F$1),0),0)*RATES!$L147/12+$H$21*(PARAM!$D$51/12)*RATES!$N147/100</f>
        <v>10.394012292023451</v>
      </c>
      <c r="BZ171" s="16">
        <f t="shared" si="130"/>
        <v>217.28029342789984</v>
      </c>
      <c r="CA171" s="15">
        <f t="shared" si="105"/>
        <v>22.170849845882874</v>
      </c>
      <c r="CB171" s="75">
        <f>CA171*(1-PARAM!$C$27)*$I$22+(MOD($B171,60)=PARAM!$B$56)*($B171&gt;(60-PARAM!$B$56))*HLOOKUP(($B171+PARAM!$B$56)/12,Loyalty,2)*$F$1*MAX(CD170,0)</f>
        <v>18.557001321003963</v>
      </c>
      <c r="CC171" s="75">
        <f>PARAM!$C$26+MAX($G$22-CHOOSE(PARAM!$B$44,MAX(0,CD170*$F$1),0),0)*RATES!$L147/12+$H$22*(PARAM!$D$51/12)*RATES!$N147/100</f>
        <v>10.394012292023451</v>
      </c>
      <c r="CD171" s="16">
        <f t="shared" si="131"/>
        <v>217.28029342789984</v>
      </c>
      <c r="CE171" s="33">
        <f>IF(0=MOD(B171,12/PARAM!$D$51),1,0)</f>
        <v>1</v>
      </c>
      <c r="CF171" s="15">
        <f t="shared" si="106"/>
        <v>0</v>
      </c>
      <c r="CG171" s="75">
        <f>CF171*(1-PARAM!$C$27)*$R$3+(MOD($B171/12,5)=0)*($B171&gt;60)*HLOOKUP($B171/12,Loyalty,2)*$F$1*MAX(CI170,0)</f>
        <v>0</v>
      </c>
      <c r="CH171" s="75">
        <f>PARAM!$C$26+MAX($P$3-CHOOSE(PARAM!$B$44,MAX(0,CI170*$F$1),0),0)*RATES!$L147/12+$Q$3*(PARAM!$D$51/12)*RATES!$N147/100</f>
        <v>10.416666666666668</v>
      </c>
      <c r="CI171" s="16">
        <f>IF(CI170&gt;0,CI170*PARAM!$C$53,CI170)+CG171-CH171</f>
        <v>-2260.9166666666661</v>
      </c>
      <c r="CJ171" s="15">
        <f t="shared" si="132"/>
        <v>0</v>
      </c>
      <c r="CK171" s="75">
        <f>CJ171*(1-PARAM!$C$27)*$R$4+(MOD($B171/12,5)=0)*($B171&gt;60)*HLOOKUP($B171/12,Loyalty,2)*$F$1*MAX(CM170,0)</f>
        <v>0</v>
      </c>
      <c r="CL171" s="75">
        <f>PARAM!$C$26+MAX($P$4-CHOOSE(PARAM!$B$44,MAX(0,CM170*$F$1),0),0)*RATES!$L147/12+$Q$4*(PARAM!$D$51/12)*RATES!$N147/100</f>
        <v>10.416666666666668</v>
      </c>
      <c r="CM171" s="16">
        <f>IF(CM170&gt;0,CM170*PARAM!$C$53,CM170)+CK171-CL171</f>
        <v>-2260.9166666666661</v>
      </c>
      <c r="CO171" s="176"/>
    </row>
    <row r="172" spans="1:93" x14ac:dyDescent="0.2">
      <c r="A172" t="b">
        <f t="shared" si="107"/>
        <v>0</v>
      </c>
      <c r="B172" s="33">
        <v>145</v>
      </c>
      <c r="C172" s="15">
        <f t="shared" si="108"/>
        <v>20.081305947392778</v>
      </c>
      <c r="D172" s="75">
        <f>C172*(1-PARAM!$C$27)*$I$3+(MOD($B172,60)=PARAM!$B$56)*($B172&gt;(60-PARAM!$B$56))*HLOOKUP(($B172+PARAM!$B$56)/12,Loyalty,2)*$F$1*MAX(F171,0)</f>
        <v>16.808053077967756</v>
      </c>
      <c r="E172" s="75">
        <f>PARAM!$C$26+MAX($G$3-CHOOSE(PARAM!$B$44,MAX(0,F171*$F$1),0),0)*RATES!$L148/12+$H$3*(PARAM!$D$51/12)*RATES!$N148/100</f>
        <v>10.416666666666668</v>
      </c>
      <c r="F172" s="16">
        <f t="shared" si="109"/>
        <v>-10.13812104500947</v>
      </c>
      <c r="G172" s="15">
        <f t="shared" si="110"/>
        <v>22.035289406060361</v>
      </c>
      <c r="H172" s="75">
        <f>G172*(1-PARAM!$C$27)*$I$4+(MOD($B172,60)=PARAM!$B$56)*($B172&gt;(60-PARAM!$B$56))*HLOOKUP(($B172+PARAM!$B$56)/12,Loyalty,2)*$F$1*MAX(J171,0)</f>
        <v>18.443537232872522</v>
      </c>
      <c r="I172" s="75">
        <f>PARAM!$C$26+MAX($G$4-CHOOSE(PARAM!$B$44,MAX(0,J171*$F$1),0),0)*RATES!$L148/12+$H$4*(PARAM!$D$51/12)*RATES!$N148/100</f>
        <v>10.394772803690017</v>
      </c>
      <c r="J172" s="16">
        <f t="shared" si="111"/>
        <v>210.14596113671038</v>
      </c>
      <c r="K172" s="15">
        <f t="shared" si="112"/>
        <v>22.170849845882874</v>
      </c>
      <c r="L172" s="75">
        <f>K172*(1-PARAM!$C$27)*$I$5+(MOD($B172,60)=PARAM!$B$56)*($B172&gt;(60-PARAM!$B$56))*HLOOKUP(($B172+PARAM!$B$56)/12,Loyalty,2)*$F$1*MAX(N171,0)</f>
        <v>18.557001321003963</v>
      </c>
      <c r="M172" s="75">
        <f>PARAM!$C$26+MAX($G$5-CHOOSE(PARAM!$B$44,MAX(0,N171*$F$1),0),0)*RATES!$L148/12+$H$5*(PARAM!$D$51/12)*RATES!$N148/100</f>
        <v>10.393127968211978</v>
      </c>
      <c r="N172" s="16">
        <f t="shared" si="113"/>
        <v>225.4441667806918</v>
      </c>
      <c r="O172" s="15">
        <f t="shared" si="114"/>
        <v>22.170849845882874</v>
      </c>
      <c r="P172" s="75">
        <f>O172*(1-PARAM!$C$27)*$I$6+(MOD($B172,60)=PARAM!$B$56)*($B172&gt;(60-PARAM!$B$56))*HLOOKUP(($B172+PARAM!$B$56)/12,Loyalty,2)*$F$1*MAX(R171,0)</f>
        <v>18.557001321003963</v>
      </c>
      <c r="Q172" s="75">
        <f>PARAM!$C$26+MAX($G$6-CHOOSE(PARAM!$B$44,MAX(0,R171*$F$1),0),0)*RATES!$L148/12+$H$6*(PARAM!$D$51/12)*RATES!$N148/100</f>
        <v>10.393127968211978</v>
      </c>
      <c r="R172" s="16">
        <f t="shared" si="115"/>
        <v>225.4441667806918</v>
      </c>
      <c r="S172" s="15">
        <f t="shared" si="90"/>
        <v>22.170849845882874</v>
      </c>
      <c r="T172" s="75">
        <f>S172*(1-PARAM!$C$27)*$I$7+(MOD($B172,60)=PARAM!$B$56)*($B172&gt;(60-PARAM!$B$56))*HLOOKUP(($B172+PARAM!$B$56)/12,Loyalty,2)*$F$1*MAX(V171,0)</f>
        <v>18.557001321003963</v>
      </c>
      <c r="U172" s="75">
        <f>PARAM!$C$26+MAX($G$7-CHOOSE(PARAM!$B$44,MAX(0,V171*$F$1),0),0)*RATES!$L148/12+$H$7*(PARAM!$D$51/12)*RATES!$N148/100</f>
        <v>10.393127968211978</v>
      </c>
      <c r="V172" s="16">
        <f t="shared" si="116"/>
        <v>225.4441667806918</v>
      </c>
      <c r="W172" s="15">
        <f t="shared" si="91"/>
        <v>22.170849845882874</v>
      </c>
      <c r="X172" s="75">
        <f>W172*(1-PARAM!$C$27)*$I$8+(MOD($B172,60)=PARAM!$B$56)*($B172&gt;(60-PARAM!$B$56))*HLOOKUP(($B172+PARAM!$B$56)/12,Loyalty,2)*$F$1*MAX(Z171,0)</f>
        <v>18.557001321003963</v>
      </c>
      <c r="Y172" s="75">
        <f>PARAM!$C$26+MAX($G$8-CHOOSE(PARAM!$B$44,MAX(0,Z171*$F$1),0),0)*RATES!$L148/12+$H$8*(PARAM!$D$51/12)*RATES!$N148/100</f>
        <v>10.393127968211978</v>
      </c>
      <c r="Z172" s="16">
        <f t="shared" si="117"/>
        <v>225.4441667806918</v>
      </c>
      <c r="AA172" s="15">
        <f t="shared" si="92"/>
        <v>22.170849845882874</v>
      </c>
      <c r="AB172" s="75">
        <f>AA172*(1-PARAM!$C$27)*$I$9+(MOD($B172,60)=PARAM!$B$56)*($B172&gt;(60-PARAM!$B$56))*HLOOKUP(($B172+PARAM!$B$56)/12,Loyalty,2)*$F$1*MAX(AD171,0)</f>
        <v>18.557001321003963</v>
      </c>
      <c r="AC172" s="75">
        <f>PARAM!$C$26+MAX($G$9-CHOOSE(PARAM!$B$44,MAX(0,AD171*$F$1),0),0)*RATES!$L148/12+$H$9*(PARAM!$D$51/12)*RATES!$N148/100</f>
        <v>10.393127968211978</v>
      </c>
      <c r="AD172" s="16">
        <f t="shared" si="118"/>
        <v>225.4441667806918</v>
      </c>
      <c r="AE172" s="15">
        <f t="shared" si="93"/>
        <v>22.170849845882874</v>
      </c>
      <c r="AF172" s="75">
        <f>AE172*(1-PARAM!$C$27)*$I$10+(MOD($B172,60)=PARAM!$B$56)*($B172&gt;(60-PARAM!$B$56))*HLOOKUP(($B172+PARAM!$B$56)/12,Loyalty,2)*$F$1*MAX(AH171,0)</f>
        <v>18.557001321003963</v>
      </c>
      <c r="AG172" s="75">
        <f>PARAM!$C$26+MAX($G$10-CHOOSE(PARAM!$B$44,MAX(0,AH171*$F$1),0),0)*RATES!$L148/12+$H$10*(PARAM!$D$51/12)*RATES!$N148/100</f>
        <v>10.393127968211978</v>
      </c>
      <c r="AH172" s="16">
        <f t="shared" si="119"/>
        <v>225.4441667806918</v>
      </c>
      <c r="AI172" s="15">
        <f t="shared" si="94"/>
        <v>22.170849845882874</v>
      </c>
      <c r="AJ172" s="75">
        <f>AI172*(1-PARAM!$C$27)*$I$11+(MOD($B172,60)=PARAM!$B$56)*($B172&gt;(60-PARAM!$B$56))*HLOOKUP(($B172+PARAM!$B$56)/12,Loyalty,2)*$F$1*MAX(AL171,0)</f>
        <v>18.557001321003963</v>
      </c>
      <c r="AK172" s="75">
        <f>PARAM!$C$26+MAX($G$11-CHOOSE(PARAM!$B$44,MAX(0,AL171*$F$1),0),0)*RATES!$L148/12+$H$11*(PARAM!$D$51/12)*RATES!$N148/100</f>
        <v>10.393127968211978</v>
      </c>
      <c r="AL172" s="16">
        <f t="shared" si="120"/>
        <v>225.4441667806918</v>
      </c>
      <c r="AM172" s="15">
        <f t="shared" si="95"/>
        <v>22.170849845882874</v>
      </c>
      <c r="AN172" s="75">
        <f>AM172*(1-PARAM!$C$27)*$I$12+(MOD($B172,60)=PARAM!$B$56)*($B172&gt;(60-PARAM!$B$56))*HLOOKUP(($B172+PARAM!$B$56)/12,Loyalty,2)*$F$1*MAX(AP171,0)</f>
        <v>18.557001321003963</v>
      </c>
      <c r="AO172" s="75">
        <f>PARAM!$C$26+MAX($G$12-CHOOSE(PARAM!$B$44,MAX(0,AP171*$F$1),0),0)*RATES!$L148/12+$H$12*(PARAM!$D$51/12)*RATES!$N148/100</f>
        <v>10.393127968211978</v>
      </c>
      <c r="AP172" s="16">
        <f t="shared" si="121"/>
        <v>225.4441667806918</v>
      </c>
      <c r="AQ172" s="15">
        <f t="shared" si="96"/>
        <v>22.170849845882874</v>
      </c>
      <c r="AR172" s="75">
        <f>AQ172*(1-PARAM!$C$27)*$I$13+(MOD($B172,60)=PARAM!$B$56)*($B172&gt;(60-PARAM!$B$56))*HLOOKUP(($B172+PARAM!$B$56)/12,Loyalty,2)*$F$1*MAX(AT171,0)</f>
        <v>18.557001321003963</v>
      </c>
      <c r="AS172" s="75">
        <f>PARAM!$C$26+MAX($G$13-CHOOSE(PARAM!$B$44,MAX(0,AT171*$F$1),0),0)*RATES!$L148/12+$H$13*(PARAM!$D$51/12)*RATES!$N148/100</f>
        <v>10.393127968211978</v>
      </c>
      <c r="AT172" s="16">
        <f t="shared" si="122"/>
        <v>225.4441667806918</v>
      </c>
      <c r="AU172" s="15">
        <f t="shared" si="97"/>
        <v>22.170849845882874</v>
      </c>
      <c r="AV172" s="75">
        <f>AU172*(1-PARAM!$C$27)*$I$14+(MOD($B172,60)=PARAM!$B$56)*($B172&gt;(60-PARAM!$B$56))*HLOOKUP(($B172+PARAM!$B$56)/12,Loyalty,2)*$F$1*MAX(AX171,0)</f>
        <v>18.557001321003963</v>
      </c>
      <c r="AW172" s="75">
        <f>PARAM!$C$26+MAX($G$14-CHOOSE(PARAM!$B$44,MAX(0,AX171*$F$1),0),0)*RATES!$L148/12+$H$14*(PARAM!$D$51/12)*RATES!$N148/100</f>
        <v>10.393127968211978</v>
      </c>
      <c r="AX172" s="16">
        <f t="shared" si="123"/>
        <v>225.4441667806918</v>
      </c>
      <c r="AY172" s="15">
        <f t="shared" si="98"/>
        <v>22.170849845882874</v>
      </c>
      <c r="AZ172" s="75">
        <f>AY172*(1-PARAM!$C$27)*$I$15+(MOD($B172,60)=PARAM!$B$56)*($B172&gt;(60-PARAM!$B$56))*HLOOKUP(($B172+PARAM!$B$56)/12,Loyalty,2)*$F$1*MAX(BB171,0)</f>
        <v>18.557001321003963</v>
      </c>
      <c r="BA172" s="75">
        <f>PARAM!$C$26+MAX($G$15-CHOOSE(PARAM!$B$44,MAX(0,BB171*$F$1),0),0)*RATES!$L148/12+$H$15*(PARAM!$D$51/12)*RATES!$N148/100</f>
        <v>10.393127968211978</v>
      </c>
      <c r="BB172" s="16">
        <f t="shared" si="124"/>
        <v>225.4441667806918</v>
      </c>
      <c r="BC172" s="15">
        <f t="shared" si="99"/>
        <v>22.170849845882874</v>
      </c>
      <c r="BD172" s="75">
        <f>BC172*(1-PARAM!$C$27)*$I$16+(MOD($B172,60)=PARAM!$B$56)*($B172&gt;(60-PARAM!$B$56))*HLOOKUP(($B172+PARAM!$B$56)/12,Loyalty,2)*$F$1*MAX(BF171,0)</f>
        <v>18.557001321003963</v>
      </c>
      <c r="BE172" s="75">
        <f>PARAM!$C$26+MAX($G$16-CHOOSE(PARAM!$B$44,MAX(0,BF171*$F$1),0),0)*RATES!$L148/12+$H$16*(PARAM!$D$51/12)*RATES!$N148/100</f>
        <v>10.393127968211978</v>
      </c>
      <c r="BF172" s="16">
        <f t="shared" si="125"/>
        <v>225.4441667806918</v>
      </c>
      <c r="BG172" s="15">
        <f t="shared" si="100"/>
        <v>22.170849845882874</v>
      </c>
      <c r="BH172" s="75">
        <f>BG172*(1-PARAM!$C$27)*$I$17+(MOD($B172,60)=PARAM!$B$56)*($B172&gt;(60-PARAM!$B$56))*HLOOKUP(($B172+PARAM!$B$56)/12,Loyalty,2)*$F$1*MAX(BJ171,0)</f>
        <v>18.557001321003963</v>
      </c>
      <c r="BI172" s="75">
        <f>PARAM!$C$26+MAX($G$17-CHOOSE(PARAM!$B$44,MAX(0,BJ171*$F$1),0),0)*RATES!$L148/12+$H$17*(PARAM!$D$51/12)*RATES!$N148/100</f>
        <v>10.393127968211978</v>
      </c>
      <c r="BJ172" s="16">
        <f t="shared" si="126"/>
        <v>225.4441667806918</v>
      </c>
      <c r="BK172" s="15">
        <f t="shared" si="101"/>
        <v>22.170849845882874</v>
      </c>
      <c r="BL172" s="75">
        <f>BK172*(1-PARAM!$C$27)*$I$18+(MOD($B172,60)=PARAM!$B$56)*($B172&gt;(60-PARAM!$B$56))*HLOOKUP(($B172+PARAM!$B$56)/12,Loyalty,2)*$F$1*MAX(BN171,0)</f>
        <v>18.557001321003963</v>
      </c>
      <c r="BM172" s="75">
        <f>PARAM!$C$26+MAX($G$18-CHOOSE(PARAM!$B$44,MAX(0,BN171*$F$1),0),0)*RATES!$L148/12+$H$18*(PARAM!$D$51/12)*RATES!$N148/100</f>
        <v>10.393127968211978</v>
      </c>
      <c r="BN172" s="16">
        <f t="shared" si="127"/>
        <v>225.4441667806918</v>
      </c>
      <c r="BO172" s="15">
        <f t="shared" si="102"/>
        <v>22.170849845882874</v>
      </c>
      <c r="BP172" s="75">
        <f>BO172*(1-PARAM!$C$27)*$I$19+(MOD($B172,60)=PARAM!$B$56)*($B172&gt;(60-PARAM!$B$56))*HLOOKUP(($B172+PARAM!$B$56)/12,Loyalty,2)*$F$1*MAX(BR171,0)</f>
        <v>18.557001321003963</v>
      </c>
      <c r="BQ172" s="75">
        <f>PARAM!$C$26+MAX($G$19-CHOOSE(PARAM!$B$44,MAX(0,BR171*$F$1),0),0)*RATES!$L148/12+$H$19*(PARAM!$D$51/12)*RATES!$N148/100</f>
        <v>10.393127968211978</v>
      </c>
      <c r="BR172" s="16">
        <f t="shared" si="128"/>
        <v>225.4441667806918</v>
      </c>
      <c r="BS172" s="15">
        <f t="shared" si="103"/>
        <v>22.170849845882874</v>
      </c>
      <c r="BT172" s="75">
        <f>BS172*(1-PARAM!$C$27)*$I$20+(MOD($B172,60)=PARAM!$B$56)*($B172&gt;(60-PARAM!$B$56))*HLOOKUP(($B172+PARAM!$B$56)/12,Loyalty,2)*$F$1*MAX(BV171,0)</f>
        <v>18.557001321003963</v>
      </c>
      <c r="BU172" s="75">
        <f>PARAM!$C$26+MAX($G$20-CHOOSE(PARAM!$B$44,MAX(0,BV171*$F$1),0),0)*RATES!$L148/12+$H$20*(PARAM!$D$51/12)*RATES!$N148/100</f>
        <v>10.393127968211978</v>
      </c>
      <c r="BV172" s="16">
        <f t="shared" si="129"/>
        <v>225.4441667806918</v>
      </c>
      <c r="BW172" s="15">
        <f t="shared" si="104"/>
        <v>22.170849845882874</v>
      </c>
      <c r="BX172" s="75">
        <f>BW172*(1-PARAM!$C$27)*$I$21+(MOD($B172,60)=PARAM!$B$56)*($B172&gt;(60-PARAM!$B$56))*HLOOKUP(($B172+PARAM!$B$56)/12,Loyalty,2)*$F$1*MAX(BZ171,0)</f>
        <v>18.557001321003963</v>
      </c>
      <c r="BY172" s="75">
        <f>PARAM!$C$26+MAX($G$21-CHOOSE(PARAM!$B$44,MAX(0,BZ171*$F$1),0),0)*RATES!$L148/12+$H$21*(PARAM!$D$51/12)*RATES!$N148/100</f>
        <v>10.393127968211978</v>
      </c>
      <c r="BZ172" s="16">
        <f t="shared" si="130"/>
        <v>225.4441667806918</v>
      </c>
      <c r="CA172" s="15">
        <f t="shared" si="105"/>
        <v>22.170849845882874</v>
      </c>
      <c r="CB172" s="75">
        <f>CA172*(1-PARAM!$C$27)*$I$22+(MOD($B172,60)=PARAM!$B$56)*($B172&gt;(60-PARAM!$B$56))*HLOOKUP(($B172+PARAM!$B$56)/12,Loyalty,2)*$F$1*MAX(CD171,0)</f>
        <v>18.557001321003963</v>
      </c>
      <c r="CC172" s="75">
        <f>PARAM!$C$26+MAX($G$22-CHOOSE(PARAM!$B$44,MAX(0,CD171*$F$1),0),0)*RATES!$L148/12+$H$22*(PARAM!$D$51/12)*RATES!$N148/100</f>
        <v>10.393127968211978</v>
      </c>
      <c r="CD172" s="16">
        <f t="shared" si="131"/>
        <v>225.4441667806918</v>
      </c>
      <c r="CE172" s="33">
        <f>IF(0=MOD(B172,12/PARAM!$D$51),1,0)</f>
        <v>1</v>
      </c>
      <c r="CF172" s="15">
        <f t="shared" si="106"/>
        <v>0</v>
      </c>
      <c r="CG172" s="75">
        <f>CF172*(1-PARAM!$C$27)*$R$3+(MOD($B172/12,5)=0)*($B172&gt;60)*HLOOKUP($B172/12,Loyalty,2)*$F$1*MAX(CI171,0)</f>
        <v>0</v>
      </c>
      <c r="CH172" s="75">
        <f>PARAM!$C$26+MAX($P$3-CHOOSE(PARAM!$B$44,MAX(0,CI171*$F$1),0),0)*RATES!$L148/12+$Q$3*(PARAM!$D$51/12)*RATES!$N148/100</f>
        <v>10.416666666666668</v>
      </c>
      <c r="CI172" s="16">
        <f>IF(CI171&gt;0,CI171*PARAM!$C$53,CI171)+CG172-CH172</f>
        <v>-2271.3333333333326</v>
      </c>
      <c r="CJ172" s="15">
        <f t="shared" si="132"/>
        <v>0</v>
      </c>
      <c r="CK172" s="75">
        <f>CJ172*(1-PARAM!$C$27)*$R$4+(MOD($B172/12,5)=0)*($B172&gt;60)*HLOOKUP($B172/12,Loyalty,2)*$F$1*MAX(CM171,0)</f>
        <v>0</v>
      </c>
      <c r="CL172" s="75">
        <f>PARAM!$C$26+MAX($P$4-CHOOSE(PARAM!$B$44,MAX(0,CM171*$F$1),0),0)*RATES!$L148/12+$Q$4*(PARAM!$D$51/12)*RATES!$N148/100</f>
        <v>10.416666666666668</v>
      </c>
      <c r="CM172" s="16">
        <f>IF(CM171&gt;0,CM171*PARAM!$C$53,CM171)+CK172-CL172</f>
        <v>-2271.3333333333326</v>
      </c>
      <c r="CO172" s="176"/>
    </row>
    <row r="173" spans="1:93" x14ac:dyDescent="0.2">
      <c r="A173" t="b">
        <f t="shared" si="107"/>
        <v>0</v>
      </c>
      <c r="B173" s="33">
        <v>146</v>
      </c>
      <c r="C173" s="15">
        <f t="shared" si="108"/>
        <v>20.081305947392778</v>
      </c>
      <c r="D173" s="75">
        <f>C173*(1-PARAM!$C$27)*$I$3+(MOD($B173,60)=PARAM!$B$56)*($B173&gt;(60-PARAM!$B$56))*HLOOKUP(($B173+PARAM!$B$56)/12,Loyalty,2)*$F$1*MAX(F172,0)</f>
        <v>16.808053077967756</v>
      </c>
      <c r="E173" s="75">
        <f>PARAM!$C$26+MAX($G$3-CHOOSE(PARAM!$B$44,MAX(0,F172*$F$1),0),0)*RATES!$L149/12+$H$3*(PARAM!$D$51/12)*RATES!$N149/100</f>
        <v>10.416666666666668</v>
      </c>
      <c r="F173" s="16">
        <f t="shared" si="109"/>
        <v>-3.7467346337083818</v>
      </c>
      <c r="G173" s="15">
        <f t="shared" si="110"/>
        <v>22.035289406060361</v>
      </c>
      <c r="H173" s="75">
        <f>G173*(1-PARAM!$C$27)*$I$4+(MOD($B173,60)=PARAM!$B$56)*($B173&gt;(60-PARAM!$B$56))*HLOOKUP(($B173+PARAM!$B$56)/12,Loyalty,2)*$F$1*MAX(J172,0)</f>
        <v>18.443537232872522</v>
      </c>
      <c r="I173" s="75">
        <f>PARAM!$C$26+MAX($G$4-CHOOSE(PARAM!$B$44,MAX(0,J172*$F$1),0),0)*RATES!$L149/12+$H$4*(PARAM!$D$51/12)*RATES!$N149/100</f>
        <v>10.393900854210191</v>
      </c>
      <c r="J173" s="16">
        <f t="shared" si="111"/>
        <v>218.19559751537273</v>
      </c>
      <c r="K173" s="15">
        <f t="shared" si="112"/>
        <v>22.170849845882874</v>
      </c>
      <c r="L173" s="75">
        <f>K173*(1-PARAM!$C$27)*$I$5+(MOD($B173,60)=PARAM!$B$56)*($B173&gt;(60-PARAM!$B$56))*HLOOKUP(($B173+PARAM!$B$56)/12,Loyalty,2)*$F$1*MAX(N172,0)</f>
        <v>18.557001321003963</v>
      </c>
      <c r="M173" s="75">
        <f>PARAM!$C$26+MAX($G$5-CHOOSE(PARAM!$B$44,MAX(0,N172*$F$1),0),0)*RATES!$L149/12+$H$5*(PARAM!$D$51/12)*RATES!$N149/100</f>
        <v>10.39224354859876</v>
      </c>
      <c r="N173" s="16">
        <f t="shared" si="113"/>
        <v>233.60892455309698</v>
      </c>
      <c r="O173" s="15">
        <f t="shared" si="114"/>
        <v>22.170849845882874</v>
      </c>
      <c r="P173" s="75">
        <f>O173*(1-PARAM!$C$27)*$I$6+(MOD($B173,60)=PARAM!$B$56)*($B173&gt;(60-PARAM!$B$56))*HLOOKUP(($B173+PARAM!$B$56)/12,Loyalty,2)*$F$1*MAX(R172,0)</f>
        <v>18.557001321003963</v>
      </c>
      <c r="Q173" s="75">
        <f>PARAM!$C$26+MAX($G$6-CHOOSE(PARAM!$B$44,MAX(0,R172*$F$1),0),0)*RATES!$L149/12+$H$6*(PARAM!$D$51/12)*RATES!$N149/100</f>
        <v>10.39224354859876</v>
      </c>
      <c r="R173" s="16">
        <f t="shared" si="115"/>
        <v>233.60892455309698</v>
      </c>
      <c r="S173" s="15">
        <f t="shared" si="90"/>
        <v>22.170849845882874</v>
      </c>
      <c r="T173" s="75">
        <f>S173*(1-PARAM!$C$27)*$I$7+(MOD($B173,60)=PARAM!$B$56)*($B173&gt;(60-PARAM!$B$56))*HLOOKUP(($B173+PARAM!$B$56)/12,Loyalty,2)*$F$1*MAX(V172,0)</f>
        <v>18.557001321003963</v>
      </c>
      <c r="U173" s="75">
        <f>PARAM!$C$26+MAX($G$7-CHOOSE(PARAM!$B$44,MAX(0,V172*$F$1),0),0)*RATES!$L149/12+$H$7*(PARAM!$D$51/12)*RATES!$N149/100</f>
        <v>10.39224354859876</v>
      </c>
      <c r="V173" s="16">
        <f t="shared" si="116"/>
        <v>233.60892455309698</v>
      </c>
      <c r="W173" s="15">
        <f t="shared" si="91"/>
        <v>22.170849845882874</v>
      </c>
      <c r="X173" s="75">
        <f>W173*(1-PARAM!$C$27)*$I$8+(MOD($B173,60)=PARAM!$B$56)*($B173&gt;(60-PARAM!$B$56))*HLOOKUP(($B173+PARAM!$B$56)/12,Loyalty,2)*$F$1*MAX(Z172,0)</f>
        <v>18.557001321003963</v>
      </c>
      <c r="Y173" s="75">
        <f>PARAM!$C$26+MAX($G$8-CHOOSE(PARAM!$B$44,MAX(0,Z172*$F$1),0),0)*RATES!$L149/12+$H$8*(PARAM!$D$51/12)*RATES!$N149/100</f>
        <v>10.39224354859876</v>
      </c>
      <c r="Z173" s="16">
        <f t="shared" si="117"/>
        <v>233.60892455309698</v>
      </c>
      <c r="AA173" s="15">
        <f t="shared" si="92"/>
        <v>22.170849845882874</v>
      </c>
      <c r="AB173" s="75">
        <f>AA173*(1-PARAM!$C$27)*$I$9+(MOD($B173,60)=PARAM!$B$56)*($B173&gt;(60-PARAM!$B$56))*HLOOKUP(($B173+PARAM!$B$56)/12,Loyalty,2)*$F$1*MAX(AD172,0)</f>
        <v>18.557001321003963</v>
      </c>
      <c r="AC173" s="75">
        <f>PARAM!$C$26+MAX($G$9-CHOOSE(PARAM!$B$44,MAX(0,AD172*$F$1),0),0)*RATES!$L149/12+$H$9*(PARAM!$D$51/12)*RATES!$N149/100</f>
        <v>10.39224354859876</v>
      </c>
      <c r="AD173" s="16">
        <f t="shared" si="118"/>
        <v>233.60892455309698</v>
      </c>
      <c r="AE173" s="15">
        <f t="shared" si="93"/>
        <v>22.170849845882874</v>
      </c>
      <c r="AF173" s="75">
        <f>AE173*(1-PARAM!$C$27)*$I$10+(MOD($B173,60)=PARAM!$B$56)*($B173&gt;(60-PARAM!$B$56))*HLOOKUP(($B173+PARAM!$B$56)/12,Loyalty,2)*$F$1*MAX(AH172,0)</f>
        <v>18.557001321003963</v>
      </c>
      <c r="AG173" s="75">
        <f>PARAM!$C$26+MAX($G$10-CHOOSE(PARAM!$B$44,MAX(0,AH172*$F$1),0),0)*RATES!$L149/12+$H$10*(PARAM!$D$51/12)*RATES!$N149/100</f>
        <v>10.39224354859876</v>
      </c>
      <c r="AH173" s="16">
        <f t="shared" si="119"/>
        <v>233.60892455309698</v>
      </c>
      <c r="AI173" s="15">
        <f t="shared" si="94"/>
        <v>22.170849845882874</v>
      </c>
      <c r="AJ173" s="75">
        <f>AI173*(1-PARAM!$C$27)*$I$11+(MOD($B173,60)=PARAM!$B$56)*($B173&gt;(60-PARAM!$B$56))*HLOOKUP(($B173+PARAM!$B$56)/12,Loyalty,2)*$F$1*MAX(AL172,0)</f>
        <v>18.557001321003963</v>
      </c>
      <c r="AK173" s="75">
        <f>PARAM!$C$26+MAX($G$11-CHOOSE(PARAM!$B$44,MAX(0,AL172*$F$1),0),0)*RATES!$L149/12+$H$11*(PARAM!$D$51/12)*RATES!$N149/100</f>
        <v>10.39224354859876</v>
      </c>
      <c r="AL173" s="16">
        <f t="shared" si="120"/>
        <v>233.60892455309698</v>
      </c>
      <c r="AM173" s="15">
        <f t="shared" si="95"/>
        <v>22.170849845882874</v>
      </c>
      <c r="AN173" s="75">
        <f>AM173*(1-PARAM!$C$27)*$I$12+(MOD($B173,60)=PARAM!$B$56)*($B173&gt;(60-PARAM!$B$56))*HLOOKUP(($B173+PARAM!$B$56)/12,Loyalty,2)*$F$1*MAX(AP172,0)</f>
        <v>18.557001321003963</v>
      </c>
      <c r="AO173" s="75">
        <f>PARAM!$C$26+MAX($G$12-CHOOSE(PARAM!$B$44,MAX(0,AP172*$F$1),0),0)*RATES!$L149/12+$H$12*(PARAM!$D$51/12)*RATES!$N149/100</f>
        <v>10.39224354859876</v>
      </c>
      <c r="AP173" s="16">
        <f t="shared" si="121"/>
        <v>233.60892455309698</v>
      </c>
      <c r="AQ173" s="15">
        <f t="shared" si="96"/>
        <v>22.170849845882874</v>
      </c>
      <c r="AR173" s="75">
        <f>AQ173*(1-PARAM!$C$27)*$I$13+(MOD($B173,60)=PARAM!$B$56)*($B173&gt;(60-PARAM!$B$56))*HLOOKUP(($B173+PARAM!$B$56)/12,Loyalty,2)*$F$1*MAX(AT172,0)</f>
        <v>18.557001321003963</v>
      </c>
      <c r="AS173" s="75">
        <f>PARAM!$C$26+MAX($G$13-CHOOSE(PARAM!$B$44,MAX(0,AT172*$F$1),0),0)*RATES!$L149/12+$H$13*(PARAM!$D$51/12)*RATES!$N149/100</f>
        <v>10.39224354859876</v>
      </c>
      <c r="AT173" s="16">
        <f t="shared" si="122"/>
        <v>233.60892455309698</v>
      </c>
      <c r="AU173" s="15">
        <f t="shared" si="97"/>
        <v>22.170849845882874</v>
      </c>
      <c r="AV173" s="75">
        <f>AU173*(1-PARAM!$C$27)*$I$14+(MOD($B173,60)=PARAM!$B$56)*($B173&gt;(60-PARAM!$B$56))*HLOOKUP(($B173+PARAM!$B$56)/12,Loyalty,2)*$F$1*MAX(AX172,0)</f>
        <v>18.557001321003963</v>
      </c>
      <c r="AW173" s="75">
        <f>PARAM!$C$26+MAX($G$14-CHOOSE(PARAM!$B$44,MAX(0,AX172*$F$1),0),0)*RATES!$L149/12+$H$14*(PARAM!$D$51/12)*RATES!$N149/100</f>
        <v>10.39224354859876</v>
      </c>
      <c r="AX173" s="16">
        <f t="shared" si="123"/>
        <v>233.60892455309698</v>
      </c>
      <c r="AY173" s="15">
        <f t="shared" si="98"/>
        <v>22.170849845882874</v>
      </c>
      <c r="AZ173" s="75">
        <f>AY173*(1-PARAM!$C$27)*$I$15+(MOD($B173,60)=PARAM!$B$56)*($B173&gt;(60-PARAM!$B$56))*HLOOKUP(($B173+PARAM!$B$56)/12,Loyalty,2)*$F$1*MAX(BB172,0)</f>
        <v>18.557001321003963</v>
      </c>
      <c r="BA173" s="75">
        <f>PARAM!$C$26+MAX($G$15-CHOOSE(PARAM!$B$44,MAX(0,BB172*$F$1),0),0)*RATES!$L149/12+$H$15*(PARAM!$D$51/12)*RATES!$N149/100</f>
        <v>10.39224354859876</v>
      </c>
      <c r="BB173" s="16">
        <f t="shared" si="124"/>
        <v>233.60892455309698</v>
      </c>
      <c r="BC173" s="15">
        <f t="shared" si="99"/>
        <v>22.170849845882874</v>
      </c>
      <c r="BD173" s="75">
        <f>BC173*(1-PARAM!$C$27)*$I$16+(MOD($B173,60)=PARAM!$B$56)*($B173&gt;(60-PARAM!$B$56))*HLOOKUP(($B173+PARAM!$B$56)/12,Loyalty,2)*$F$1*MAX(BF172,0)</f>
        <v>18.557001321003963</v>
      </c>
      <c r="BE173" s="75">
        <f>PARAM!$C$26+MAX($G$16-CHOOSE(PARAM!$B$44,MAX(0,BF172*$F$1),0),0)*RATES!$L149/12+$H$16*(PARAM!$D$51/12)*RATES!$N149/100</f>
        <v>10.39224354859876</v>
      </c>
      <c r="BF173" s="16">
        <f t="shared" si="125"/>
        <v>233.60892455309698</v>
      </c>
      <c r="BG173" s="15">
        <f t="shared" si="100"/>
        <v>22.170849845882874</v>
      </c>
      <c r="BH173" s="75">
        <f>BG173*(1-PARAM!$C$27)*$I$17+(MOD($B173,60)=PARAM!$B$56)*($B173&gt;(60-PARAM!$B$56))*HLOOKUP(($B173+PARAM!$B$56)/12,Loyalty,2)*$F$1*MAX(BJ172,0)</f>
        <v>18.557001321003963</v>
      </c>
      <c r="BI173" s="75">
        <f>PARAM!$C$26+MAX($G$17-CHOOSE(PARAM!$B$44,MAX(0,BJ172*$F$1),0),0)*RATES!$L149/12+$H$17*(PARAM!$D$51/12)*RATES!$N149/100</f>
        <v>10.39224354859876</v>
      </c>
      <c r="BJ173" s="16">
        <f t="shared" si="126"/>
        <v>233.60892455309698</v>
      </c>
      <c r="BK173" s="15">
        <f t="shared" si="101"/>
        <v>22.170849845882874</v>
      </c>
      <c r="BL173" s="75">
        <f>BK173*(1-PARAM!$C$27)*$I$18+(MOD($B173,60)=PARAM!$B$56)*($B173&gt;(60-PARAM!$B$56))*HLOOKUP(($B173+PARAM!$B$56)/12,Loyalty,2)*$F$1*MAX(BN172,0)</f>
        <v>18.557001321003963</v>
      </c>
      <c r="BM173" s="75">
        <f>PARAM!$C$26+MAX($G$18-CHOOSE(PARAM!$B$44,MAX(0,BN172*$F$1),0),0)*RATES!$L149/12+$H$18*(PARAM!$D$51/12)*RATES!$N149/100</f>
        <v>10.39224354859876</v>
      </c>
      <c r="BN173" s="16">
        <f t="shared" si="127"/>
        <v>233.60892455309698</v>
      </c>
      <c r="BO173" s="15">
        <f t="shared" si="102"/>
        <v>22.170849845882874</v>
      </c>
      <c r="BP173" s="75">
        <f>BO173*(1-PARAM!$C$27)*$I$19+(MOD($B173,60)=PARAM!$B$56)*($B173&gt;(60-PARAM!$B$56))*HLOOKUP(($B173+PARAM!$B$56)/12,Loyalty,2)*$F$1*MAX(BR172,0)</f>
        <v>18.557001321003963</v>
      </c>
      <c r="BQ173" s="75">
        <f>PARAM!$C$26+MAX($G$19-CHOOSE(PARAM!$B$44,MAX(0,BR172*$F$1),0),0)*RATES!$L149/12+$H$19*(PARAM!$D$51/12)*RATES!$N149/100</f>
        <v>10.39224354859876</v>
      </c>
      <c r="BR173" s="16">
        <f t="shared" si="128"/>
        <v>233.60892455309698</v>
      </c>
      <c r="BS173" s="15">
        <f t="shared" si="103"/>
        <v>22.170849845882874</v>
      </c>
      <c r="BT173" s="75">
        <f>BS173*(1-PARAM!$C$27)*$I$20+(MOD($B173,60)=PARAM!$B$56)*($B173&gt;(60-PARAM!$B$56))*HLOOKUP(($B173+PARAM!$B$56)/12,Loyalty,2)*$F$1*MAX(BV172,0)</f>
        <v>18.557001321003963</v>
      </c>
      <c r="BU173" s="75">
        <f>PARAM!$C$26+MAX($G$20-CHOOSE(PARAM!$B$44,MAX(0,BV172*$F$1),0),0)*RATES!$L149/12+$H$20*(PARAM!$D$51/12)*RATES!$N149/100</f>
        <v>10.39224354859876</v>
      </c>
      <c r="BV173" s="16">
        <f t="shared" si="129"/>
        <v>233.60892455309698</v>
      </c>
      <c r="BW173" s="15">
        <f t="shared" si="104"/>
        <v>22.170849845882874</v>
      </c>
      <c r="BX173" s="75">
        <f>BW173*(1-PARAM!$C$27)*$I$21+(MOD($B173,60)=PARAM!$B$56)*($B173&gt;(60-PARAM!$B$56))*HLOOKUP(($B173+PARAM!$B$56)/12,Loyalty,2)*$F$1*MAX(BZ172,0)</f>
        <v>18.557001321003963</v>
      </c>
      <c r="BY173" s="75">
        <f>PARAM!$C$26+MAX($G$21-CHOOSE(PARAM!$B$44,MAX(0,BZ172*$F$1),0),0)*RATES!$L149/12+$H$21*(PARAM!$D$51/12)*RATES!$N149/100</f>
        <v>10.39224354859876</v>
      </c>
      <c r="BZ173" s="16">
        <f t="shared" si="130"/>
        <v>233.60892455309698</v>
      </c>
      <c r="CA173" s="15">
        <f t="shared" si="105"/>
        <v>22.170849845882874</v>
      </c>
      <c r="CB173" s="75">
        <f>CA173*(1-PARAM!$C$27)*$I$22+(MOD($B173,60)=PARAM!$B$56)*($B173&gt;(60-PARAM!$B$56))*HLOOKUP(($B173+PARAM!$B$56)/12,Loyalty,2)*$F$1*MAX(CD172,0)</f>
        <v>18.557001321003963</v>
      </c>
      <c r="CC173" s="75">
        <f>PARAM!$C$26+MAX($G$22-CHOOSE(PARAM!$B$44,MAX(0,CD172*$F$1),0),0)*RATES!$L149/12+$H$22*(PARAM!$D$51/12)*RATES!$N149/100</f>
        <v>10.39224354859876</v>
      </c>
      <c r="CD173" s="16">
        <f t="shared" si="131"/>
        <v>233.60892455309698</v>
      </c>
      <c r="CE173" s="33">
        <f>IF(0=MOD(B173,12/PARAM!$D$51),1,0)</f>
        <v>1</v>
      </c>
      <c r="CF173" s="15">
        <f t="shared" si="106"/>
        <v>0</v>
      </c>
      <c r="CG173" s="75">
        <f>CF173*(1-PARAM!$C$27)*$R$3+(MOD($B173/12,5)=0)*($B173&gt;60)*HLOOKUP($B173/12,Loyalty,2)*$F$1*MAX(CI172,0)</f>
        <v>0</v>
      </c>
      <c r="CH173" s="75">
        <f>PARAM!$C$26+MAX($P$3-CHOOSE(PARAM!$B$44,MAX(0,CI172*$F$1),0),0)*RATES!$L149/12+$Q$3*(PARAM!$D$51/12)*RATES!$N149/100</f>
        <v>10.416666666666668</v>
      </c>
      <c r="CI173" s="16">
        <f>IF(CI172&gt;0,CI172*PARAM!$C$53,CI172)+CG173-CH173</f>
        <v>-2281.7499999999991</v>
      </c>
      <c r="CJ173" s="15">
        <f t="shared" si="132"/>
        <v>0</v>
      </c>
      <c r="CK173" s="75">
        <f>CJ173*(1-PARAM!$C$27)*$R$4+(MOD($B173/12,5)=0)*($B173&gt;60)*HLOOKUP($B173/12,Loyalty,2)*$F$1*MAX(CM172,0)</f>
        <v>0</v>
      </c>
      <c r="CL173" s="75">
        <f>PARAM!$C$26+MAX($P$4-CHOOSE(PARAM!$B$44,MAX(0,CM172*$F$1),0),0)*RATES!$L149/12+$Q$4*(PARAM!$D$51/12)*RATES!$N149/100</f>
        <v>10.416666666666668</v>
      </c>
      <c r="CM173" s="16">
        <f>IF(CM172&gt;0,CM172*PARAM!$C$53,CM172)+CK173-CL173</f>
        <v>-2281.7499999999991</v>
      </c>
      <c r="CO173" s="176"/>
    </row>
    <row r="174" spans="1:93" x14ac:dyDescent="0.2">
      <c r="A174" t="b">
        <f t="shared" si="107"/>
        <v>1</v>
      </c>
      <c r="B174" s="33">
        <v>147</v>
      </c>
      <c r="C174" s="15">
        <f t="shared" si="108"/>
        <v>20.081305947392778</v>
      </c>
      <c r="D174" s="75">
        <f>C174*(1-PARAM!$C$27)*$I$3+(MOD($B174,60)=PARAM!$B$56)*($B174&gt;(60-PARAM!$B$56))*HLOOKUP(($B174+PARAM!$B$56)/12,Loyalty,2)*$F$1*MAX(F173,0)</f>
        <v>16.808053077967756</v>
      </c>
      <c r="E174" s="75">
        <f>PARAM!$C$26+MAX($G$3-CHOOSE(PARAM!$B$44,MAX(0,F173*$F$1),0),0)*RATES!$L150/12+$H$3*(PARAM!$D$51/12)*RATES!$N150/100</f>
        <v>10.416666666666668</v>
      </c>
      <c r="F174" s="16">
        <f t="shared" si="109"/>
        <v>2.6446517775927063</v>
      </c>
      <c r="G174" s="15">
        <f t="shared" si="110"/>
        <v>22.035289406060361</v>
      </c>
      <c r="H174" s="75">
        <f>G174*(1-PARAM!$C$27)*$I$4+(MOD($B174,60)=PARAM!$B$56)*($B174&gt;(60-PARAM!$B$56))*HLOOKUP(($B174+PARAM!$B$56)/12,Loyalty,2)*$F$1*MAX(J173,0)</f>
        <v>18.443537232872522</v>
      </c>
      <c r="I174" s="75">
        <f>PARAM!$C$26+MAX($G$4-CHOOSE(PARAM!$B$44,MAX(0,J173*$F$1),0),0)*RATES!$L150/12+$H$4*(PARAM!$D$51/12)*RATES!$N150/100</f>
        <v>10.393028810269168</v>
      </c>
      <c r="J174" s="16">
        <f t="shared" si="111"/>
        <v>226.2461059379761</v>
      </c>
      <c r="K174" s="15">
        <f t="shared" si="112"/>
        <v>22.170849845882874</v>
      </c>
      <c r="L174" s="75">
        <f>K174*(1-PARAM!$C$27)*$I$5+(MOD($B174,60)=PARAM!$B$56)*($B174&gt;(60-PARAM!$B$56))*HLOOKUP(($B174+PARAM!$B$56)/12,Loyalty,2)*$F$1*MAX(N173,0)</f>
        <v>18.557001321003963</v>
      </c>
      <c r="M174" s="75">
        <f>PARAM!$C$26+MAX($G$5-CHOOSE(PARAM!$B$44,MAX(0,N173*$F$1),0),0)*RATES!$L150/12+$H$5*(PARAM!$D$51/12)*RATES!$N150/100</f>
        <v>10.391359033173416</v>
      </c>
      <c r="N174" s="16">
        <f t="shared" si="113"/>
        <v>241.77456684092752</v>
      </c>
      <c r="O174" s="15">
        <f t="shared" si="114"/>
        <v>22.170849845882874</v>
      </c>
      <c r="P174" s="75">
        <f>O174*(1-PARAM!$C$27)*$I$6+(MOD($B174,60)=PARAM!$B$56)*($B174&gt;(60-PARAM!$B$56))*HLOOKUP(($B174+PARAM!$B$56)/12,Loyalty,2)*$F$1*MAX(R173,0)</f>
        <v>18.557001321003963</v>
      </c>
      <c r="Q174" s="75">
        <f>PARAM!$C$26+MAX($G$6-CHOOSE(PARAM!$B$44,MAX(0,R173*$F$1),0),0)*RATES!$L150/12+$H$6*(PARAM!$D$51/12)*RATES!$N150/100</f>
        <v>10.391359033173416</v>
      </c>
      <c r="R174" s="16">
        <f t="shared" si="115"/>
        <v>241.77456684092752</v>
      </c>
      <c r="S174" s="15">
        <f t="shared" si="90"/>
        <v>22.170849845882874</v>
      </c>
      <c r="T174" s="75">
        <f>S174*(1-PARAM!$C$27)*$I$7+(MOD($B174,60)=PARAM!$B$56)*($B174&gt;(60-PARAM!$B$56))*HLOOKUP(($B174+PARAM!$B$56)/12,Loyalty,2)*$F$1*MAX(V173,0)</f>
        <v>18.557001321003963</v>
      </c>
      <c r="U174" s="75">
        <f>PARAM!$C$26+MAX($G$7-CHOOSE(PARAM!$B$44,MAX(0,V173*$F$1),0),0)*RATES!$L150/12+$H$7*(PARAM!$D$51/12)*RATES!$N150/100</f>
        <v>10.391359033173416</v>
      </c>
      <c r="V174" s="16">
        <f t="shared" si="116"/>
        <v>241.77456684092752</v>
      </c>
      <c r="W174" s="15">
        <f t="shared" si="91"/>
        <v>22.170849845882874</v>
      </c>
      <c r="X174" s="75">
        <f>W174*(1-PARAM!$C$27)*$I$8+(MOD($B174,60)=PARAM!$B$56)*($B174&gt;(60-PARAM!$B$56))*HLOOKUP(($B174+PARAM!$B$56)/12,Loyalty,2)*$F$1*MAX(Z173,0)</f>
        <v>18.557001321003963</v>
      </c>
      <c r="Y174" s="75">
        <f>PARAM!$C$26+MAX($G$8-CHOOSE(PARAM!$B$44,MAX(0,Z173*$F$1),0),0)*RATES!$L150/12+$H$8*(PARAM!$D$51/12)*RATES!$N150/100</f>
        <v>10.391359033173416</v>
      </c>
      <c r="Z174" s="16">
        <f t="shared" si="117"/>
        <v>241.77456684092752</v>
      </c>
      <c r="AA174" s="15">
        <f t="shared" si="92"/>
        <v>22.170849845882874</v>
      </c>
      <c r="AB174" s="75">
        <f>AA174*(1-PARAM!$C$27)*$I$9+(MOD($B174,60)=PARAM!$B$56)*($B174&gt;(60-PARAM!$B$56))*HLOOKUP(($B174+PARAM!$B$56)/12,Loyalty,2)*$F$1*MAX(AD173,0)</f>
        <v>18.557001321003963</v>
      </c>
      <c r="AC174" s="75">
        <f>PARAM!$C$26+MAX($G$9-CHOOSE(PARAM!$B$44,MAX(0,AD173*$F$1),0),0)*RATES!$L150/12+$H$9*(PARAM!$D$51/12)*RATES!$N150/100</f>
        <v>10.391359033173416</v>
      </c>
      <c r="AD174" s="16">
        <f t="shared" si="118"/>
        <v>241.77456684092752</v>
      </c>
      <c r="AE174" s="15">
        <f t="shared" si="93"/>
        <v>22.170849845882874</v>
      </c>
      <c r="AF174" s="75">
        <f>AE174*(1-PARAM!$C$27)*$I$10+(MOD($B174,60)=PARAM!$B$56)*($B174&gt;(60-PARAM!$B$56))*HLOOKUP(($B174+PARAM!$B$56)/12,Loyalty,2)*$F$1*MAX(AH173,0)</f>
        <v>18.557001321003963</v>
      </c>
      <c r="AG174" s="75">
        <f>PARAM!$C$26+MAX($G$10-CHOOSE(PARAM!$B$44,MAX(0,AH173*$F$1),0),0)*RATES!$L150/12+$H$10*(PARAM!$D$51/12)*RATES!$N150/100</f>
        <v>10.391359033173416</v>
      </c>
      <c r="AH174" s="16">
        <f t="shared" si="119"/>
        <v>241.77456684092752</v>
      </c>
      <c r="AI174" s="15">
        <f t="shared" si="94"/>
        <v>22.170849845882874</v>
      </c>
      <c r="AJ174" s="75">
        <f>AI174*(1-PARAM!$C$27)*$I$11+(MOD($B174,60)=PARAM!$B$56)*($B174&gt;(60-PARAM!$B$56))*HLOOKUP(($B174+PARAM!$B$56)/12,Loyalty,2)*$F$1*MAX(AL173,0)</f>
        <v>18.557001321003963</v>
      </c>
      <c r="AK174" s="75">
        <f>PARAM!$C$26+MAX($G$11-CHOOSE(PARAM!$B$44,MAX(0,AL173*$F$1),0),0)*RATES!$L150/12+$H$11*(PARAM!$D$51/12)*RATES!$N150/100</f>
        <v>10.391359033173416</v>
      </c>
      <c r="AL174" s="16">
        <f t="shared" si="120"/>
        <v>241.77456684092752</v>
      </c>
      <c r="AM174" s="15">
        <f t="shared" si="95"/>
        <v>22.170849845882874</v>
      </c>
      <c r="AN174" s="75">
        <f>AM174*(1-PARAM!$C$27)*$I$12+(MOD($B174,60)=PARAM!$B$56)*($B174&gt;(60-PARAM!$B$56))*HLOOKUP(($B174+PARAM!$B$56)/12,Loyalty,2)*$F$1*MAX(AP173,0)</f>
        <v>18.557001321003963</v>
      </c>
      <c r="AO174" s="75">
        <f>PARAM!$C$26+MAX($G$12-CHOOSE(PARAM!$B$44,MAX(0,AP173*$F$1),0),0)*RATES!$L150/12+$H$12*(PARAM!$D$51/12)*RATES!$N150/100</f>
        <v>10.391359033173416</v>
      </c>
      <c r="AP174" s="16">
        <f t="shared" si="121"/>
        <v>241.77456684092752</v>
      </c>
      <c r="AQ174" s="15">
        <f t="shared" si="96"/>
        <v>22.170849845882874</v>
      </c>
      <c r="AR174" s="75">
        <f>AQ174*(1-PARAM!$C$27)*$I$13+(MOD($B174,60)=PARAM!$B$56)*($B174&gt;(60-PARAM!$B$56))*HLOOKUP(($B174+PARAM!$B$56)/12,Loyalty,2)*$F$1*MAX(AT173,0)</f>
        <v>18.557001321003963</v>
      </c>
      <c r="AS174" s="75">
        <f>PARAM!$C$26+MAX($G$13-CHOOSE(PARAM!$B$44,MAX(0,AT173*$F$1),0),0)*RATES!$L150/12+$H$13*(PARAM!$D$51/12)*RATES!$N150/100</f>
        <v>10.391359033173416</v>
      </c>
      <c r="AT174" s="16">
        <f t="shared" si="122"/>
        <v>241.77456684092752</v>
      </c>
      <c r="AU174" s="15">
        <f t="shared" si="97"/>
        <v>22.170849845882874</v>
      </c>
      <c r="AV174" s="75">
        <f>AU174*(1-PARAM!$C$27)*$I$14+(MOD($B174,60)=PARAM!$B$56)*($B174&gt;(60-PARAM!$B$56))*HLOOKUP(($B174+PARAM!$B$56)/12,Loyalty,2)*$F$1*MAX(AX173,0)</f>
        <v>18.557001321003963</v>
      </c>
      <c r="AW174" s="75">
        <f>PARAM!$C$26+MAX($G$14-CHOOSE(PARAM!$B$44,MAX(0,AX173*$F$1),0),0)*RATES!$L150/12+$H$14*(PARAM!$D$51/12)*RATES!$N150/100</f>
        <v>10.391359033173416</v>
      </c>
      <c r="AX174" s="16">
        <f t="shared" si="123"/>
        <v>241.77456684092752</v>
      </c>
      <c r="AY174" s="15">
        <f t="shared" si="98"/>
        <v>22.170849845882874</v>
      </c>
      <c r="AZ174" s="75">
        <f>AY174*(1-PARAM!$C$27)*$I$15+(MOD($B174,60)=PARAM!$B$56)*($B174&gt;(60-PARAM!$B$56))*HLOOKUP(($B174+PARAM!$B$56)/12,Loyalty,2)*$F$1*MAX(BB173,0)</f>
        <v>18.557001321003963</v>
      </c>
      <c r="BA174" s="75">
        <f>PARAM!$C$26+MAX($G$15-CHOOSE(PARAM!$B$44,MAX(0,BB173*$F$1),0),0)*RATES!$L150/12+$H$15*(PARAM!$D$51/12)*RATES!$N150/100</f>
        <v>10.391359033173416</v>
      </c>
      <c r="BB174" s="16">
        <f t="shared" si="124"/>
        <v>241.77456684092752</v>
      </c>
      <c r="BC174" s="15">
        <f t="shared" si="99"/>
        <v>22.170849845882874</v>
      </c>
      <c r="BD174" s="75">
        <f>BC174*(1-PARAM!$C$27)*$I$16+(MOD($B174,60)=PARAM!$B$56)*($B174&gt;(60-PARAM!$B$56))*HLOOKUP(($B174+PARAM!$B$56)/12,Loyalty,2)*$F$1*MAX(BF173,0)</f>
        <v>18.557001321003963</v>
      </c>
      <c r="BE174" s="75">
        <f>PARAM!$C$26+MAX($G$16-CHOOSE(PARAM!$B$44,MAX(0,BF173*$F$1),0),0)*RATES!$L150/12+$H$16*(PARAM!$D$51/12)*RATES!$N150/100</f>
        <v>10.391359033173416</v>
      </c>
      <c r="BF174" s="16">
        <f t="shared" si="125"/>
        <v>241.77456684092752</v>
      </c>
      <c r="BG174" s="15">
        <f t="shared" si="100"/>
        <v>22.170849845882874</v>
      </c>
      <c r="BH174" s="75">
        <f>BG174*(1-PARAM!$C$27)*$I$17+(MOD($B174,60)=PARAM!$B$56)*($B174&gt;(60-PARAM!$B$56))*HLOOKUP(($B174+PARAM!$B$56)/12,Loyalty,2)*$F$1*MAX(BJ173,0)</f>
        <v>18.557001321003963</v>
      </c>
      <c r="BI174" s="75">
        <f>PARAM!$C$26+MAX($G$17-CHOOSE(PARAM!$B$44,MAX(0,BJ173*$F$1),0),0)*RATES!$L150/12+$H$17*(PARAM!$D$51/12)*RATES!$N150/100</f>
        <v>10.391359033173416</v>
      </c>
      <c r="BJ174" s="16">
        <f t="shared" si="126"/>
        <v>241.77456684092752</v>
      </c>
      <c r="BK174" s="15">
        <f t="shared" si="101"/>
        <v>22.170849845882874</v>
      </c>
      <c r="BL174" s="75">
        <f>BK174*(1-PARAM!$C$27)*$I$18+(MOD($B174,60)=PARAM!$B$56)*($B174&gt;(60-PARAM!$B$56))*HLOOKUP(($B174+PARAM!$B$56)/12,Loyalty,2)*$F$1*MAX(BN173,0)</f>
        <v>18.557001321003963</v>
      </c>
      <c r="BM174" s="75">
        <f>PARAM!$C$26+MAX($G$18-CHOOSE(PARAM!$B$44,MAX(0,BN173*$F$1),0),0)*RATES!$L150/12+$H$18*(PARAM!$D$51/12)*RATES!$N150/100</f>
        <v>10.391359033173416</v>
      </c>
      <c r="BN174" s="16">
        <f t="shared" si="127"/>
        <v>241.77456684092752</v>
      </c>
      <c r="BO174" s="15">
        <f t="shared" si="102"/>
        <v>22.170849845882874</v>
      </c>
      <c r="BP174" s="75">
        <f>BO174*(1-PARAM!$C$27)*$I$19+(MOD($B174,60)=PARAM!$B$56)*($B174&gt;(60-PARAM!$B$56))*HLOOKUP(($B174+PARAM!$B$56)/12,Loyalty,2)*$F$1*MAX(BR173,0)</f>
        <v>18.557001321003963</v>
      </c>
      <c r="BQ174" s="75">
        <f>PARAM!$C$26+MAX($G$19-CHOOSE(PARAM!$B$44,MAX(0,BR173*$F$1),0),0)*RATES!$L150/12+$H$19*(PARAM!$D$51/12)*RATES!$N150/100</f>
        <v>10.391359033173416</v>
      </c>
      <c r="BR174" s="16">
        <f t="shared" si="128"/>
        <v>241.77456684092752</v>
      </c>
      <c r="BS174" s="15">
        <f t="shared" si="103"/>
        <v>22.170849845882874</v>
      </c>
      <c r="BT174" s="75">
        <f>BS174*(1-PARAM!$C$27)*$I$20+(MOD($B174,60)=PARAM!$B$56)*($B174&gt;(60-PARAM!$B$56))*HLOOKUP(($B174+PARAM!$B$56)/12,Loyalty,2)*$F$1*MAX(BV173,0)</f>
        <v>18.557001321003963</v>
      </c>
      <c r="BU174" s="75">
        <f>PARAM!$C$26+MAX($G$20-CHOOSE(PARAM!$B$44,MAX(0,BV173*$F$1),0),0)*RATES!$L150/12+$H$20*(PARAM!$D$51/12)*RATES!$N150/100</f>
        <v>10.391359033173416</v>
      </c>
      <c r="BV174" s="16">
        <f t="shared" si="129"/>
        <v>241.77456684092752</v>
      </c>
      <c r="BW174" s="15">
        <f t="shared" si="104"/>
        <v>22.170849845882874</v>
      </c>
      <c r="BX174" s="75">
        <f>BW174*(1-PARAM!$C$27)*$I$21+(MOD($B174,60)=PARAM!$B$56)*($B174&gt;(60-PARAM!$B$56))*HLOOKUP(($B174+PARAM!$B$56)/12,Loyalty,2)*$F$1*MAX(BZ173,0)</f>
        <v>18.557001321003963</v>
      </c>
      <c r="BY174" s="75">
        <f>PARAM!$C$26+MAX($G$21-CHOOSE(PARAM!$B$44,MAX(0,BZ173*$F$1),0),0)*RATES!$L150/12+$H$21*(PARAM!$D$51/12)*RATES!$N150/100</f>
        <v>10.391359033173416</v>
      </c>
      <c r="BZ174" s="16">
        <f t="shared" si="130"/>
        <v>241.77456684092752</v>
      </c>
      <c r="CA174" s="15">
        <f t="shared" si="105"/>
        <v>22.170849845882874</v>
      </c>
      <c r="CB174" s="75">
        <f>CA174*(1-PARAM!$C$27)*$I$22+(MOD($B174,60)=PARAM!$B$56)*($B174&gt;(60-PARAM!$B$56))*HLOOKUP(($B174+PARAM!$B$56)/12,Loyalty,2)*$F$1*MAX(CD173,0)</f>
        <v>18.557001321003963</v>
      </c>
      <c r="CC174" s="75">
        <f>PARAM!$C$26+MAX($G$22-CHOOSE(PARAM!$B$44,MAX(0,CD173*$F$1),0),0)*RATES!$L150/12+$H$22*(PARAM!$D$51/12)*RATES!$N150/100</f>
        <v>10.391359033173416</v>
      </c>
      <c r="CD174" s="16">
        <f t="shared" si="131"/>
        <v>241.77456684092752</v>
      </c>
      <c r="CE174" s="33">
        <f>IF(0=MOD(B174,12/PARAM!$D$51),1,0)</f>
        <v>1</v>
      </c>
      <c r="CF174" s="15">
        <f t="shared" si="106"/>
        <v>0</v>
      </c>
      <c r="CG174" s="75">
        <f>CF174*(1-PARAM!$C$27)*$R$3+(MOD($B174/12,5)=0)*($B174&gt;60)*HLOOKUP($B174/12,Loyalty,2)*$F$1*MAX(CI173,0)</f>
        <v>0</v>
      </c>
      <c r="CH174" s="75">
        <f>PARAM!$C$26+MAX($P$3-CHOOSE(PARAM!$B$44,MAX(0,CI173*$F$1),0),0)*RATES!$L150/12+$Q$3*(PARAM!$D$51/12)*RATES!$N150/100</f>
        <v>10.416666666666668</v>
      </c>
      <c r="CI174" s="16">
        <f>IF(CI173&gt;0,CI173*PARAM!$C$53,CI173)+CG174-CH174</f>
        <v>-2292.1666666666656</v>
      </c>
      <c r="CJ174" s="15">
        <f t="shared" si="132"/>
        <v>0</v>
      </c>
      <c r="CK174" s="75">
        <f>CJ174*(1-PARAM!$C$27)*$R$4+(MOD($B174/12,5)=0)*($B174&gt;60)*HLOOKUP($B174/12,Loyalty,2)*$F$1*MAX(CM173,0)</f>
        <v>0</v>
      </c>
      <c r="CL174" s="75">
        <f>PARAM!$C$26+MAX($P$4-CHOOSE(PARAM!$B$44,MAX(0,CM173*$F$1),0),0)*RATES!$L150/12+$Q$4*(PARAM!$D$51/12)*RATES!$N150/100</f>
        <v>10.416666666666668</v>
      </c>
      <c r="CM174" s="16">
        <f>IF(CM173&gt;0,CM173*PARAM!$C$53,CM173)+CK174-CL174</f>
        <v>-2292.1666666666656</v>
      </c>
      <c r="CO174" s="176"/>
    </row>
    <row r="175" spans="1:93" x14ac:dyDescent="0.2">
      <c r="A175" t="b">
        <f t="shared" si="107"/>
        <v>1</v>
      </c>
      <c r="B175" s="33">
        <v>148</v>
      </c>
      <c r="C175" s="15">
        <f t="shared" si="108"/>
        <v>20.081305947392778</v>
      </c>
      <c r="D175" s="75">
        <f>C175*(1-PARAM!$C$27)*$I$3+(MOD($B175,60)=PARAM!$B$56)*($B175&gt;(60-PARAM!$B$56))*HLOOKUP(($B175+PARAM!$B$56)/12,Loyalty,2)*$F$1*MAX(F174,0)</f>
        <v>16.808053077967756</v>
      </c>
      <c r="E175" s="75">
        <f>PARAM!$C$26+MAX($G$3-CHOOSE(PARAM!$B$44,MAX(0,F174*$F$1),0),0)*RATES!$L151/12+$H$3*(PARAM!$D$51/12)*RATES!$N151/100</f>
        <v>10.416380162724096</v>
      </c>
      <c r="F175" s="16">
        <f t="shared" si="109"/>
        <v>9.0363246928363665</v>
      </c>
      <c r="G175" s="15">
        <f t="shared" si="110"/>
        <v>22.035289406060361</v>
      </c>
      <c r="H175" s="75">
        <f>G175*(1-PARAM!$C$27)*$I$4+(MOD($B175,60)=PARAM!$B$56)*($B175&gt;(60-PARAM!$B$56))*HLOOKUP(($B175+PARAM!$B$56)/12,Loyalty,2)*$F$1*MAX(J174,0)</f>
        <v>18.443537232872522</v>
      </c>
      <c r="I175" s="75">
        <f>PARAM!$C$26+MAX($G$4-CHOOSE(PARAM!$B$44,MAX(0,J174*$F$1),0),0)*RATES!$L151/12+$H$4*(PARAM!$D$51/12)*RATES!$N151/100</f>
        <v>10.392156671856718</v>
      </c>
      <c r="J175" s="16">
        <f t="shared" si="111"/>
        <v>234.2974864989919</v>
      </c>
      <c r="K175" s="15">
        <f t="shared" si="112"/>
        <v>22.170849845882874</v>
      </c>
      <c r="L175" s="75">
        <f>K175*(1-PARAM!$C$27)*$I$5+(MOD($B175,60)=PARAM!$B$56)*($B175&gt;(60-PARAM!$B$56))*HLOOKUP(($B175+PARAM!$B$56)/12,Loyalty,2)*$F$1*MAX(N174,0)</f>
        <v>18.557001321003963</v>
      </c>
      <c r="M175" s="75">
        <f>PARAM!$C$26+MAX($G$5-CHOOSE(PARAM!$B$44,MAX(0,N174*$F$1),0),0)*RATES!$L151/12+$H$5*(PARAM!$D$51/12)*RATES!$N151/100</f>
        <v>10.390474421925568</v>
      </c>
      <c r="N175" s="16">
        <f t="shared" si="113"/>
        <v>249.94109374000593</v>
      </c>
      <c r="O175" s="15">
        <f t="shared" si="114"/>
        <v>22.170849845882874</v>
      </c>
      <c r="P175" s="75">
        <f>O175*(1-PARAM!$C$27)*$I$6+(MOD($B175,60)=PARAM!$B$56)*($B175&gt;(60-PARAM!$B$56))*HLOOKUP(($B175+PARAM!$B$56)/12,Loyalty,2)*$F$1*MAX(R174,0)</f>
        <v>18.557001321003963</v>
      </c>
      <c r="Q175" s="75">
        <f>PARAM!$C$26+MAX($G$6-CHOOSE(PARAM!$B$44,MAX(0,R174*$F$1),0),0)*RATES!$L151/12+$H$6*(PARAM!$D$51/12)*RATES!$N151/100</f>
        <v>10.390474421925568</v>
      </c>
      <c r="R175" s="16">
        <f t="shared" si="115"/>
        <v>249.94109374000593</v>
      </c>
      <c r="S175" s="15">
        <f t="shared" si="90"/>
        <v>22.170849845882874</v>
      </c>
      <c r="T175" s="75">
        <f>S175*(1-PARAM!$C$27)*$I$7+(MOD($B175,60)=PARAM!$B$56)*($B175&gt;(60-PARAM!$B$56))*HLOOKUP(($B175+PARAM!$B$56)/12,Loyalty,2)*$F$1*MAX(V174,0)</f>
        <v>18.557001321003963</v>
      </c>
      <c r="U175" s="75">
        <f>PARAM!$C$26+MAX($G$7-CHOOSE(PARAM!$B$44,MAX(0,V174*$F$1),0),0)*RATES!$L151/12+$H$7*(PARAM!$D$51/12)*RATES!$N151/100</f>
        <v>10.390474421925568</v>
      </c>
      <c r="V175" s="16">
        <f t="shared" si="116"/>
        <v>249.94109374000593</v>
      </c>
      <c r="W175" s="15">
        <f t="shared" si="91"/>
        <v>22.170849845882874</v>
      </c>
      <c r="X175" s="75">
        <f>W175*(1-PARAM!$C$27)*$I$8+(MOD($B175,60)=PARAM!$B$56)*($B175&gt;(60-PARAM!$B$56))*HLOOKUP(($B175+PARAM!$B$56)/12,Loyalty,2)*$F$1*MAX(Z174,0)</f>
        <v>18.557001321003963</v>
      </c>
      <c r="Y175" s="75">
        <f>PARAM!$C$26+MAX($G$8-CHOOSE(PARAM!$B$44,MAX(0,Z174*$F$1),0),0)*RATES!$L151/12+$H$8*(PARAM!$D$51/12)*RATES!$N151/100</f>
        <v>10.390474421925568</v>
      </c>
      <c r="Z175" s="16">
        <f t="shared" si="117"/>
        <v>249.94109374000593</v>
      </c>
      <c r="AA175" s="15">
        <f t="shared" si="92"/>
        <v>22.170849845882874</v>
      </c>
      <c r="AB175" s="75">
        <f>AA175*(1-PARAM!$C$27)*$I$9+(MOD($B175,60)=PARAM!$B$56)*($B175&gt;(60-PARAM!$B$56))*HLOOKUP(($B175+PARAM!$B$56)/12,Loyalty,2)*$F$1*MAX(AD174,0)</f>
        <v>18.557001321003963</v>
      </c>
      <c r="AC175" s="75">
        <f>PARAM!$C$26+MAX($G$9-CHOOSE(PARAM!$B$44,MAX(0,AD174*$F$1),0),0)*RATES!$L151/12+$H$9*(PARAM!$D$51/12)*RATES!$N151/100</f>
        <v>10.390474421925568</v>
      </c>
      <c r="AD175" s="16">
        <f t="shared" si="118"/>
        <v>249.94109374000593</v>
      </c>
      <c r="AE175" s="15">
        <f t="shared" si="93"/>
        <v>22.170849845882874</v>
      </c>
      <c r="AF175" s="75">
        <f>AE175*(1-PARAM!$C$27)*$I$10+(MOD($B175,60)=PARAM!$B$56)*($B175&gt;(60-PARAM!$B$56))*HLOOKUP(($B175+PARAM!$B$56)/12,Loyalty,2)*$F$1*MAX(AH174,0)</f>
        <v>18.557001321003963</v>
      </c>
      <c r="AG175" s="75">
        <f>PARAM!$C$26+MAX($G$10-CHOOSE(PARAM!$B$44,MAX(0,AH174*$F$1),0),0)*RATES!$L151/12+$H$10*(PARAM!$D$51/12)*RATES!$N151/100</f>
        <v>10.390474421925568</v>
      </c>
      <c r="AH175" s="16">
        <f t="shared" si="119"/>
        <v>249.94109374000593</v>
      </c>
      <c r="AI175" s="15">
        <f t="shared" si="94"/>
        <v>22.170849845882874</v>
      </c>
      <c r="AJ175" s="75">
        <f>AI175*(1-PARAM!$C$27)*$I$11+(MOD($B175,60)=PARAM!$B$56)*($B175&gt;(60-PARAM!$B$56))*HLOOKUP(($B175+PARAM!$B$56)/12,Loyalty,2)*$F$1*MAX(AL174,0)</f>
        <v>18.557001321003963</v>
      </c>
      <c r="AK175" s="75">
        <f>PARAM!$C$26+MAX($G$11-CHOOSE(PARAM!$B$44,MAX(0,AL174*$F$1),0),0)*RATES!$L151/12+$H$11*(PARAM!$D$51/12)*RATES!$N151/100</f>
        <v>10.390474421925568</v>
      </c>
      <c r="AL175" s="16">
        <f t="shared" si="120"/>
        <v>249.94109374000593</v>
      </c>
      <c r="AM175" s="15">
        <f t="shared" si="95"/>
        <v>22.170849845882874</v>
      </c>
      <c r="AN175" s="75">
        <f>AM175*(1-PARAM!$C$27)*$I$12+(MOD($B175,60)=PARAM!$B$56)*($B175&gt;(60-PARAM!$B$56))*HLOOKUP(($B175+PARAM!$B$56)/12,Loyalty,2)*$F$1*MAX(AP174,0)</f>
        <v>18.557001321003963</v>
      </c>
      <c r="AO175" s="75">
        <f>PARAM!$C$26+MAX($G$12-CHOOSE(PARAM!$B$44,MAX(0,AP174*$F$1),0),0)*RATES!$L151/12+$H$12*(PARAM!$D$51/12)*RATES!$N151/100</f>
        <v>10.390474421925568</v>
      </c>
      <c r="AP175" s="16">
        <f t="shared" si="121"/>
        <v>249.94109374000593</v>
      </c>
      <c r="AQ175" s="15">
        <f t="shared" si="96"/>
        <v>22.170849845882874</v>
      </c>
      <c r="AR175" s="75">
        <f>AQ175*(1-PARAM!$C$27)*$I$13+(MOD($B175,60)=PARAM!$B$56)*($B175&gt;(60-PARAM!$B$56))*HLOOKUP(($B175+PARAM!$B$56)/12,Loyalty,2)*$F$1*MAX(AT174,0)</f>
        <v>18.557001321003963</v>
      </c>
      <c r="AS175" s="75">
        <f>PARAM!$C$26+MAX($G$13-CHOOSE(PARAM!$B$44,MAX(0,AT174*$F$1),0),0)*RATES!$L151/12+$H$13*(PARAM!$D$51/12)*RATES!$N151/100</f>
        <v>10.390474421925568</v>
      </c>
      <c r="AT175" s="16">
        <f t="shared" si="122"/>
        <v>249.94109374000593</v>
      </c>
      <c r="AU175" s="15">
        <f t="shared" si="97"/>
        <v>22.170849845882874</v>
      </c>
      <c r="AV175" s="75">
        <f>AU175*(1-PARAM!$C$27)*$I$14+(MOD($B175,60)=PARAM!$B$56)*($B175&gt;(60-PARAM!$B$56))*HLOOKUP(($B175+PARAM!$B$56)/12,Loyalty,2)*$F$1*MAX(AX174,0)</f>
        <v>18.557001321003963</v>
      </c>
      <c r="AW175" s="75">
        <f>PARAM!$C$26+MAX($G$14-CHOOSE(PARAM!$B$44,MAX(0,AX174*$F$1),0),0)*RATES!$L151/12+$H$14*(PARAM!$D$51/12)*RATES!$N151/100</f>
        <v>10.390474421925568</v>
      </c>
      <c r="AX175" s="16">
        <f t="shared" si="123"/>
        <v>249.94109374000593</v>
      </c>
      <c r="AY175" s="15">
        <f t="shared" si="98"/>
        <v>22.170849845882874</v>
      </c>
      <c r="AZ175" s="75">
        <f>AY175*(1-PARAM!$C$27)*$I$15+(MOD($B175,60)=PARAM!$B$56)*($B175&gt;(60-PARAM!$B$56))*HLOOKUP(($B175+PARAM!$B$56)/12,Loyalty,2)*$F$1*MAX(BB174,0)</f>
        <v>18.557001321003963</v>
      </c>
      <c r="BA175" s="75">
        <f>PARAM!$C$26+MAX($G$15-CHOOSE(PARAM!$B$44,MAX(0,BB174*$F$1),0),0)*RATES!$L151/12+$H$15*(PARAM!$D$51/12)*RATES!$N151/100</f>
        <v>10.390474421925568</v>
      </c>
      <c r="BB175" s="16">
        <f t="shared" si="124"/>
        <v>249.94109374000593</v>
      </c>
      <c r="BC175" s="15">
        <f t="shared" si="99"/>
        <v>22.170849845882874</v>
      </c>
      <c r="BD175" s="75">
        <f>BC175*(1-PARAM!$C$27)*$I$16+(MOD($B175,60)=PARAM!$B$56)*($B175&gt;(60-PARAM!$B$56))*HLOOKUP(($B175+PARAM!$B$56)/12,Loyalty,2)*$F$1*MAX(BF174,0)</f>
        <v>18.557001321003963</v>
      </c>
      <c r="BE175" s="75">
        <f>PARAM!$C$26+MAX($G$16-CHOOSE(PARAM!$B$44,MAX(0,BF174*$F$1),0),0)*RATES!$L151/12+$H$16*(PARAM!$D$51/12)*RATES!$N151/100</f>
        <v>10.390474421925568</v>
      </c>
      <c r="BF175" s="16">
        <f t="shared" si="125"/>
        <v>249.94109374000593</v>
      </c>
      <c r="BG175" s="15">
        <f t="shared" si="100"/>
        <v>22.170849845882874</v>
      </c>
      <c r="BH175" s="75">
        <f>BG175*(1-PARAM!$C$27)*$I$17+(MOD($B175,60)=PARAM!$B$56)*($B175&gt;(60-PARAM!$B$56))*HLOOKUP(($B175+PARAM!$B$56)/12,Loyalty,2)*$F$1*MAX(BJ174,0)</f>
        <v>18.557001321003963</v>
      </c>
      <c r="BI175" s="75">
        <f>PARAM!$C$26+MAX($G$17-CHOOSE(PARAM!$B$44,MAX(0,BJ174*$F$1),0),0)*RATES!$L151/12+$H$17*(PARAM!$D$51/12)*RATES!$N151/100</f>
        <v>10.390474421925568</v>
      </c>
      <c r="BJ175" s="16">
        <f t="shared" si="126"/>
        <v>249.94109374000593</v>
      </c>
      <c r="BK175" s="15">
        <f t="shared" si="101"/>
        <v>22.170849845882874</v>
      </c>
      <c r="BL175" s="75">
        <f>BK175*(1-PARAM!$C$27)*$I$18+(MOD($B175,60)=PARAM!$B$56)*($B175&gt;(60-PARAM!$B$56))*HLOOKUP(($B175+PARAM!$B$56)/12,Loyalty,2)*$F$1*MAX(BN174,0)</f>
        <v>18.557001321003963</v>
      </c>
      <c r="BM175" s="75">
        <f>PARAM!$C$26+MAX($G$18-CHOOSE(PARAM!$B$44,MAX(0,BN174*$F$1),0),0)*RATES!$L151/12+$H$18*(PARAM!$D$51/12)*RATES!$N151/100</f>
        <v>10.390474421925568</v>
      </c>
      <c r="BN175" s="16">
        <f t="shared" si="127"/>
        <v>249.94109374000593</v>
      </c>
      <c r="BO175" s="15">
        <f t="shared" si="102"/>
        <v>22.170849845882874</v>
      </c>
      <c r="BP175" s="75">
        <f>BO175*(1-PARAM!$C$27)*$I$19+(MOD($B175,60)=PARAM!$B$56)*($B175&gt;(60-PARAM!$B$56))*HLOOKUP(($B175+PARAM!$B$56)/12,Loyalty,2)*$F$1*MAX(BR174,0)</f>
        <v>18.557001321003963</v>
      </c>
      <c r="BQ175" s="75">
        <f>PARAM!$C$26+MAX($G$19-CHOOSE(PARAM!$B$44,MAX(0,BR174*$F$1),0),0)*RATES!$L151/12+$H$19*(PARAM!$D$51/12)*RATES!$N151/100</f>
        <v>10.390474421925568</v>
      </c>
      <c r="BR175" s="16">
        <f t="shared" si="128"/>
        <v>249.94109374000593</v>
      </c>
      <c r="BS175" s="15">
        <f t="shared" si="103"/>
        <v>22.170849845882874</v>
      </c>
      <c r="BT175" s="75">
        <f>BS175*(1-PARAM!$C$27)*$I$20+(MOD($B175,60)=PARAM!$B$56)*($B175&gt;(60-PARAM!$B$56))*HLOOKUP(($B175+PARAM!$B$56)/12,Loyalty,2)*$F$1*MAX(BV174,0)</f>
        <v>18.557001321003963</v>
      </c>
      <c r="BU175" s="75">
        <f>PARAM!$C$26+MAX($G$20-CHOOSE(PARAM!$B$44,MAX(0,BV174*$F$1),0),0)*RATES!$L151/12+$H$20*(PARAM!$D$51/12)*RATES!$N151/100</f>
        <v>10.390474421925568</v>
      </c>
      <c r="BV175" s="16">
        <f t="shared" si="129"/>
        <v>249.94109374000593</v>
      </c>
      <c r="BW175" s="15">
        <f t="shared" si="104"/>
        <v>22.170849845882874</v>
      </c>
      <c r="BX175" s="75">
        <f>BW175*(1-PARAM!$C$27)*$I$21+(MOD($B175,60)=PARAM!$B$56)*($B175&gt;(60-PARAM!$B$56))*HLOOKUP(($B175+PARAM!$B$56)/12,Loyalty,2)*$F$1*MAX(BZ174,0)</f>
        <v>18.557001321003963</v>
      </c>
      <c r="BY175" s="75">
        <f>PARAM!$C$26+MAX($G$21-CHOOSE(PARAM!$B$44,MAX(0,BZ174*$F$1),0),0)*RATES!$L151/12+$H$21*(PARAM!$D$51/12)*RATES!$N151/100</f>
        <v>10.390474421925568</v>
      </c>
      <c r="BZ175" s="16">
        <f t="shared" si="130"/>
        <v>249.94109374000593</v>
      </c>
      <c r="CA175" s="15">
        <f t="shared" si="105"/>
        <v>22.170849845882874</v>
      </c>
      <c r="CB175" s="75">
        <f>CA175*(1-PARAM!$C$27)*$I$22+(MOD($B175,60)=PARAM!$B$56)*($B175&gt;(60-PARAM!$B$56))*HLOOKUP(($B175+PARAM!$B$56)/12,Loyalty,2)*$F$1*MAX(CD174,0)</f>
        <v>18.557001321003963</v>
      </c>
      <c r="CC175" s="75">
        <f>PARAM!$C$26+MAX($G$22-CHOOSE(PARAM!$B$44,MAX(0,CD174*$F$1),0),0)*RATES!$L151/12+$H$22*(PARAM!$D$51/12)*RATES!$N151/100</f>
        <v>10.390474421925568</v>
      </c>
      <c r="CD175" s="16">
        <f t="shared" si="131"/>
        <v>249.94109374000593</v>
      </c>
      <c r="CE175" s="33">
        <f>IF(0=MOD(B175,12/PARAM!$D$51),1,0)</f>
        <v>1</v>
      </c>
      <c r="CF175" s="15">
        <f t="shared" si="106"/>
        <v>0</v>
      </c>
      <c r="CG175" s="75">
        <f>CF175*(1-PARAM!$C$27)*$R$3+(MOD($B175/12,5)=0)*($B175&gt;60)*HLOOKUP($B175/12,Loyalty,2)*$F$1*MAX(CI174,0)</f>
        <v>0</v>
      </c>
      <c r="CH175" s="75">
        <f>PARAM!$C$26+MAX($P$3-CHOOSE(PARAM!$B$44,MAX(0,CI174*$F$1),0),0)*RATES!$L151/12+$Q$3*(PARAM!$D$51/12)*RATES!$N151/100</f>
        <v>10.416666666666668</v>
      </c>
      <c r="CI175" s="16">
        <f>IF(CI174&gt;0,CI174*PARAM!$C$53,CI174)+CG175-CH175</f>
        <v>-2302.5833333333321</v>
      </c>
      <c r="CJ175" s="15">
        <f t="shared" si="132"/>
        <v>0</v>
      </c>
      <c r="CK175" s="75">
        <f>CJ175*(1-PARAM!$C$27)*$R$4+(MOD($B175/12,5)=0)*($B175&gt;60)*HLOOKUP($B175/12,Loyalty,2)*$F$1*MAX(CM174,0)</f>
        <v>0</v>
      </c>
      <c r="CL175" s="75">
        <f>PARAM!$C$26+MAX($P$4-CHOOSE(PARAM!$B$44,MAX(0,CM174*$F$1),0),0)*RATES!$L151/12+$Q$4*(PARAM!$D$51/12)*RATES!$N151/100</f>
        <v>10.416666666666668</v>
      </c>
      <c r="CM175" s="16">
        <f>IF(CM174&gt;0,CM174*PARAM!$C$53,CM174)+CK175-CL175</f>
        <v>-2302.5833333333321</v>
      </c>
      <c r="CO175" s="176"/>
    </row>
    <row r="176" spans="1:93" x14ac:dyDescent="0.2">
      <c r="A176" t="b">
        <f t="shared" si="107"/>
        <v>1</v>
      </c>
      <c r="B176" s="33">
        <v>149</v>
      </c>
      <c r="C176" s="15">
        <f t="shared" si="108"/>
        <v>20.081305947392778</v>
      </c>
      <c r="D176" s="75">
        <f>C176*(1-PARAM!$C$27)*$I$3+(MOD($B176,60)=PARAM!$B$56)*($B176&gt;(60-PARAM!$B$56))*HLOOKUP(($B176+PARAM!$B$56)/12,Loyalty,2)*$F$1*MAX(F175,0)</f>
        <v>16.808053077967756</v>
      </c>
      <c r="E176" s="75">
        <f>PARAM!$C$26+MAX($G$3-CHOOSE(PARAM!$B$44,MAX(0,F175*$F$1),0),0)*RATES!$L152/12+$H$3*(PARAM!$D$51/12)*RATES!$N152/100</f>
        <v>10.415687731491609</v>
      </c>
      <c r="F176" s="16">
        <f t="shared" si="109"/>
        <v>15.428690039312514</v>
      </c>
      <c r="G176" s="15">
        <f t="shared" si="110"/>
        <v>22.035289406060361</v>
      </c>
      <c r="H176" s="75">
        <f>G176*(1-PARAM!$C$27)*$I$4+(MOD($B176,60)=PARAM!$B$56)*($B176&gt;(60-PARAM!$B$56))*HLOOKUP(($B176+PARAM!$B$56)/12,Loyalty,2)*$F$1*MAX(J175,0)</f>
        <v>18.443537232872522</v>
      </c>
      <c r="I176" s="75">
        <f>PARAM!$C$26+MAX($G$4-CHOOSE(PARAM!$B$44,MAX(0,J175*$F$1),0),0)*RATES!$L152/12+$H$4*(PARAM!$D$51/12)*RATES!$N152/100</f>
        <v>10.391284438962611</v>
      </c>
      <c r="J176" s="16">
        <f t="shared" si="111"/>
        <v>242.34973929290183</v>
      </c>
      <c r="K176" s="15">
        <f t="shared" si="112"/>
        <v>22.170849845882874</v>
      </c>
      <c r="L176" s="75">
        <f>K176*(1-PARAM!$C$27)*$I$5+(MOD($B176,60)=PARAM!$B$56)*($B176&gt;(60-PARAM!$B$56))*HLOOKUP(($B176+PARAM!$B$56)/12,Loyalty,2)*$F$1*MAX(N175,0)</f>
        <v>18.557001321003963</v>
      </c>
      <c r="M176" s="75">
        <f>PARAM!$C$26+MAX($G$5-CHOOSE(PARAM!$B$44,MAX(0,N175*$F$1),0),0)*RATES!$L152/12+$H$5*(PARAM!$D$51/12)*RATES!$N152/100</f>
        <v>10.389589714844831</v>
      </c>
      <c r="N176" s="16">
        <f t="shared" si="113"/>
        <v>258.10850534616509</v>
      </c>
      <c r="O176" s="15">
        <f t="shared" si="114"/>
        <v>22.170849845882874</v>
      </c>
      <c r="P176" s="75">
        <f>O176*(1-PARAM!$C$27)*$I$6+(MOD($B176,60)=PARAM!$B$56)*($B176&gt;(60-PARAM!$B$56))*HLOOKUP(($B176+PARAM!$B$56)/12,Loyalty,2)*$F$1*MAX(R175,0)</f>
        <v>18.557001321003963</v>
      </c>
      <c r="Q176" s="75">
        <f>PARAM!$C$26+MAX($G$6-CHOOSE(PARAM!$B$44,MAX(0,R175*$F$1),0),0)*RATES!$L152/12+$H$6*(PARAM!$D$51/12)*RATES!$N152/100</f>
        <v>10.389589714844831</v>
      </c>
      <c r="R176" s="16">
        <f t="shared" si="115"/>
        <v>258.10850534616509</v>
      </c>
      <c r="S176" s="15">
        <f t="shared" si="90"/>
        <v>22.170849845882874</v>
      </c>
      <c r="T176" s="75">
        <f>S176*(1-PARAM!$C$27)*$I$7+(MOD($B176,60)=PARAM!$B$56)*($B176&gt;(60-PARAM!$B$56))*HLOOKUP(($B176+PARAM!$B$56)/12,Loyalty,2)*$F$1*MAX(V175,0)</f>
        <v>18.557001321003963</v>
      </c>
      <c r="U176" s="75">
        <f>PARAM!$C$26+MAX($G$7-CHOOSE(PARAM!$B$44,MAX(0,V175*$F$1),0),0)*RATES!$L152/12+$H$7*(PARAM!$D$51/12)*RATES!$N152/100</f>
        <v>10.389589714844831</v>
      </c>
      <c r="V176" s="16">
        <f t="shared" si="116"/>
        <v>258.10850534616509</v>
      </c>
      <c r="W176" s="15">
        <f t="shared" si="91"/>
        <v>22.170849845882874</v>
      </c>
      <c r="X176" s="75">
        <f>W176*(1-PARAM!$C$27)*$I$8+(MOD($B176,60)=PARAM!$B$56)*($B176&gt;(60-PARAM!$B$56))*HLOOKUP(($B176+PARAM!$B$56)/12,Loyalty,2)*$F$1*MAX(Z175,0)</f>
        <v>18.557001321003963</v>
      </c>
      <c r="Y176" s="75">
        <f>PARAM!$C$26+MAX($G$8-CHOOSE(PARAM!$B$44,MAX(0,Z175*$F$1),0),0)*RATES!$L152/12+$H$8*(PARAM!$D$51/12)*RATES!$N152/100</f>
        <v>10.389589714844831</v>
      </c>
      <c r="Z176" s="16">
        <f t="shared" si="117"/>
        <v>258.10850534616509</v>
      </c>
      <c r="AA176" s="15">
        <f t="shared" si="92"/>
        <v>22.170849845882874</v>
      </c>
      <c r="AB176" s="75">
        <f>AA176*(1-PARAM!$C$27)*$I$9+(MOD($B176,60)=PARAM!$B$56)*($B176&gt;(60-PARAM!$B$56))*HLOOKUP(($B176+PARAM!$B$56)/12,Loyalty,2)*$F$1*MAX(AD175,0)</f>
        <v>18.557001321003963</v>
      </c>
      <c r="AC176" s="75">
        <f>PARAM!$C$26+MAX($G$9-CHOOSE(PARAM!$B$44,MAX(0,AD175*$F$1),0),0)*RATES!$L152/12+$H$9*(PARAM!$D$51/12)*RATES!$N152/100</f>
        <v>10.389589714844831</v>
      </c>
      <c r="AD176" s="16">
        <f t="shared" si="118"/>
        <v>258.10850534616509</v>
      </c>
      <c r="AE176" s="15">
        <f t="shared" si="93"/>
        <v>22.170849845882874</v>
      </c>
      <c r="AF176" s="75">
        <f>AE176*(1-PARAM!$C$27)*$I$10+(MOD($B176,60)=PARAM!$B$56)*($B176&gt;(60-PARAM!$B$56))*HLOOKUP(($B176+PARAM!$B$56)/12,Loyalty,2)*$F$1*MAX(AH175,0)</f>
        <v>18.557001321003963</v>
      </c>
      <c r="AG176" s="75">
        <f>PARAM!$C$26+MAX($G$10-CHOOSE(PARAM!$B$44,MAX(0,AH175*$F$1),0),0)*RATES!$L152/12+$H$10*(PARAM!$D$51/12)*RATES!$N152/100</f>
        <v>10.389589714844831</v>
      </c>
      <c r="AH176" s="16">
        <f t="shared" si="119"/>
        <v>258.10850534616509</v>
      </c>
      <c r="AI176" s="15">
        <f t="shared" si="94"/>
        <v>22.170849845882874</v>
      </c>
      <c r="AJ176" s="75">
        <f>AI176*(1-PARAM!$C$27)*$I$11+(MOD($B176,60)=PARAM!$B$56)*($B176&gt;(60-PARAM!$B$56))*HLOOKUP(($B176+PARAM!$B$56)/12,Loyalty,2)*$F$1*MAX(AL175,0)</f>
        <v>18.557001321003963</v>
      </c>
      <c r="AK176" s="75">
        <f>PARAM!$C$26+MAX($G$11-CHOOSE(PARAM!$B$44,MAX(0,AL175*$F$1),0),0)*RATES!$L152/12+$H$11*(PARAM!$D$51/12)*RATES!$N152/100</f>
        <v>10.389589714844831</v>
      </c>
      <c r="AL176" s="16">
        <f t="shared" si="120"/>
        <v>258.10850534616509</v>
      </c>
      <c r="AM176" s="15">
        <f t="shared" si="95"/>
        <v>22.170849845882874</v>
      </c>
      <c r="AN176" s="75">
        <f>AM176*(1-PARAM!$C$27)*$I$12+(MOD($B176,60)=PARAM!$B$56)*($B176&gt;(60-PARAM!$B$56))*HLOOKUP(($B176+PARAM!$B$56)/12,Loyalty,2)*$F$1*MAX(AP175,0)</f>
        <v>18.557001321003963</v>
      </c>
      <c r="AO176" s="75">
        <f>PARAM!$C$26+MAX($G$12-CHOOSE(PARAM!$B$44,MAX(0,AP175*$F$1),0),0)*RATES!$L152/12+$H$12*(PARAM!$D$51/12)*RATES!$N152/100</f>
        <v>10.389589714844831</v>
      </c>
      <c r="AP176" s="16">
        <f t="shared" si="121"/>
        <v>258.10850534616509</v>
      </c>
      <c r="AQ176" s="15">
        <f t="shared" si="96"/>
        <v>22.170849845882874</v>
      </c>
      <c r="AR176" s="75">
        <f>AQ176*(1-PARAM!$C$27)*$I$13+(MOD($B176,60)=PARAM!$B$56)*($B176&gt;(60-PARAM!$B$56))*HLOOKUP(($B176+PARAM!$B$56)/12,Loyalty,2)*$F$1*MAX(AT175,0)</f>
        <v>18.557001321003963</v>
      </c>
      <c r="AS176" s="75">
        <f>PARAM!$C$26+MAX($G$13-CHOOSE(PARAM!$B$44,MAX(0,AT175*$F$1),0),0)*RATES!$L152/12+$H$13*(PARAM!$D$51/12)*RATES!$N152/100</f>
        <v>10.389589714844831</v>
      </c>
      <c r="AT176" s="16">
        <f t="shared" si="122"/>
        <v>258.10850534616509</v>
      </c>
      <c r="AU176" s="15">
        <f t="shared" si="97"/>
        <v>22.170849845882874</v>
      </c>
      <c r="AV176" s="75">
        <f>AU176*(1-PARAM!$C$27)*$I$14+(MOD($B176,60)=PARAM!$B$56)*($B176&gt;(60-PARAM!$B$56))*HLOOKUP(($B176+PARAM!$B$56)/12,Loyalty,2)*$F$1*MAX(AX175,0)</f>
        <v>18.557001321003963</v>
      </c>
      <c r="AW176" s="75">
        <f>PARAM!$C$26+MAX($G$14-CHOOSE(PARAM!$B$44,MAX(0,AX175*$F$1),0),0)*RATES!$L152/12+$H$14*(PARAM!$D$51/12)*RATES!$N152/100</f>
        <v>10.389589714844831</v>
      </c>
      <c r="AX176" s="16">
        <f t="shared" si="123"/>
        <v>258.10850534616509</v>
      </c>
      <c r="AY176" s="15">
        <f t="shared" si="98"/>
        <v>22.170849845882874</v>
      </c>
      <c r="AZ176" s="75">
        <f>AY176*(1-PARAM!$C$27)*$I$15+(MOD($B176,60)=PARAM!$B$56)*($B176&gt;(60-PARAM!$B$56))*HLOOKUP(($B176+PARAM!$B$56)/12,Loyalty,2)*$F$1*MAX(BB175,0)</f>
        <v>18.557001321003963</v>
      </c>
      <c r="BA176" s="75">
        <f>PARAM!$C$26+MAX($G$15-CHOOSE(PARAM!$B$44,MAX(0,BB175*$F$1),0),0)*RATES!$L152/12+$H$15*(PARAM!$D$51/12)*RATES!$N152/100</f>
        <v>10.389589714844831</v>
      </c>
      <c r="BB176" s="16">
        <f t="shared" si="124"/>
        <v>258.10850534616509</v>
      </c>
      <c r="BC176" s="15">
        <f t="shared" si="99"/>
        <v>22.170849845882874</v>
      </c>
      <c r="BD176" s="75">
        <f>BC176*(1-PARAM!$C$27)*$I$16+(MOD($B176,60)=PARAM!$B$56)*($B176&gt;(60-PARAM!$B$56))*HLOOKUP(($B176+PARAM!$B$56)/12,Loyalty,2)*$F$1*MAX(BF175,0)</f>
        <v>18.557001321003963</v>
      </c>
      <c r="BE176" s="75">
        <f>PARAM!$C$26+MAX($G$16-CHOOSE(PARAM!$B$44,MAX(0,BF175*$F$1),0),0)*RATES!$L152/12+$H$16*(PARAM!$D$51/12)*RATES!$N152/100</f>
        <v>10.389589714844831</v>
      </c>
      <c r="BF176" s="16">
        <f t="shared" si="125"/>
        <v>258.10850534616509</v>
      </c>
      <c r="BG176" s="15">
        <f t="shared" si="100"/>
        <v>22.170849845882874</v>
      </c>
      <c r="BH176" s="75">
        <f>BG176*(1-PARAM!$C$27)*$I$17+(MOD($B176,60)=PARAM!$B$56)*($B176&gt;(60-PARAM!$B$56))*HLOOKUP(($B176+PARAM!$B$56)/12,Loyalty,2)*$F$1*MAX(BJ175,0)</f>
        <v>18.557001321003963</v>
      </c>
      <c r="BI176" s="75">
        <f>PARAM!$C$26+MAX($G$17-CHOOSE(PARAM!$B$44,MAX(0,BJ175*$F$1),0),0)*RATES!$L152/12+$H$17*(PARAM!$D$51/12)*RATES!$N152/100</f>
        <v>10.389589714844831</v>
      </c>
      <c r="BJ176" s="16">
        <f t="shared" si="126"/>
        <v>258.10850534616509</v>
      </c>
      <c r="BK176" s="15">
        <f t="shared" si="101"/>
        <v>22.170849845882874</v>
      </c>
      <c r="BL176" s="75">
        <f>BK176*(1-PARAM!$C$27)*$I$18+(MOD($B176,60)=PARAM!$B$56)*($B176&gt;(60-PARAM!$B$56))*HLOOKUP(($B176+PARAM!$B$56)/12,Loyalty,2)*$F$1*MAX(BN175,0)</f>
        <v>18.557001321003963</v>
      </c>
      <c r="BM176" s="75">
        <f>PARAM!$C$26+MAX($G$18-CHOOSE(PARAM!$B$44,MAX(0,BN175*$F$1),0),0)*RATES!$L152/12+$H$18*(PARAM!$D$51/12)*RATES!$N152/100</f>
        <v>10.389589714844831</v>
      </c>
      <c r="BN176" s="16">
        <f t="shared" si="127"/>
        <v>258.10850534616509</v>
      </c>
      <c r="BO176" s="15">
        <f t="shared" si="102"/>
        <v>22.170849845882874</v>
      </c>
      <c r="BP176" s="75">
        <f>BO176*(1-PARAM!$C$27)*$I$19+(MOD($B176,60)=PARAM!$B$56)*($B176&gt;(60-PARAM!$B$56))*HLOOKUP(($B176+PARAM!$B$56)/12,Loyalty,2)*$F$1*MAX(BR175,0)</f>
        <v>18.557001321003963</v>
      </c>
      <c r="BQ176" s="75">
        <f>PARAM!$C$26+MAX($G$19-CHOOSE(PARAM!$B$44,MAX(0,BR175*$F$1),0),0)*RATES!$L152/12+$H$19*(PARAM!$D$51/12)*RATES!$N152/100</f>
        <v>10.389589714844831</v>
      </c>
      <c r="BR176" s="16">
        <f t="shared" si="128"/>
        <v>258.10850534616509</v>
      </c>
      <c r="BS176" s="15">
        <f t="shared" si="103"/>
        <v>22.170849845882874</v>
      </c>
      <c r="BT176" s="75">
        <f>BS176*(1-PARAM!$C$27)*$I$20+(MOD($B176,60)=PARAM!$B$56)*($B176&gt;(60-PARAM!$B$56))*HLOOKUP(($B176+PARAM!$B$56)/12,Loyalty,2)*$F$1*MAX(BV175,0)</f>
        <v>18.557001321003963</v>
      </c>
      <c r="BU176" s="75">
        <f>PARAM!$C$26+MAX($G$20-CHOOSE(PARAM!$B$44,MAX(0,BV175*$F$1),0),0)*RATES!$L152/12+$H$20*(PARAM!$D$51/12)*RATES!$N152/100</f>
        <v>10.389589714844831</v>
      </c>
      <c r="BV176" s="16">
        <f t="shared" si="129"/>
        <v>258.10850534616509</v>
      </c>
      <c r="BW176" s="15">
        <f t="shared" si="104"/>
        <v>22.170849845882874</v>
      </c>
      <c r="BX176" s="75">
        <f>BW176*(1-PARAM!$C$27)*$I$21+(MOD($B176,60)=PARAM!$B$56)*($B176&gt;(60-PARAM!$B$56))*HLOOKUP(($B176+PARAM!$B$56)/12,Loyalty,2)*$F$1*MAX(BZ175,0)</f>
        <v>18.557001321003963</v>
      </c>
      <c r="BY176" s="75">
        <f>PARAM!$C$26+MAX($G$21-CHOOSE(PARAM!$B$44,MAX(0,BZ175*$F$1),0),0)*RATES!$L152/12+$H$21*(PARAM!$D$51/12)*RATES!$N152/100</f>
        <v>10.389589714844831</v>
      </c>
      <c r="BZ176" s="16">
        <f t="shared" si="130"/>
        <v>258.10850534616509</v>
      </c>
      <c r="CA176" s="15">
        <f t="shared" si="105"/>
        <v>22.170849845882874</v>
      </c>
      <c r="CB176" s="75">
        <f>CA176*(1-PARAM!$C$27)*$I$22+(MOD($B176,60)=PARAM!$B$56)*($B176&gt;(60-PARAM!$B$56))*HLOOKUP(($B176+PARAM!$B$56)/12,Loyalty,2)*$F$1*MAX(CD175,0)</f>
        <v>18.557001321003963</v>
      </c>
      <c r="CC176" s="75">
        <f>PARAM!$C$26+MAX($G$22-CHOOSE(PARAM!$B$44,MAX(0,CD175*$F$1),0),0)*RATES!$L152/12+$H$22*(PARAM!$D$51/12)*RATES!$N152/100</f>
        <v>10.389589714844831</v>
      </c>
      <c r="CD176" s="16">
        <f t="shared" si="131"/>
        <v>258.10850534616509</v>
      </c>
      <c r="CE176" s="33">
        <f>IF(0=MOD(B176,12/PARAM!$D$51),1,0)</f>
        <v>1</v>
      </c>
      <c r="CF176" s="15">
        <f t="shared" si="106"/>
        <v>0</v>
      </c>
      <c r="CG176" s="75">
        <f>CF176*(1-PARAM!$C$27)*$R$3+(MOD($B176/12,5)=0)*($B176&gt;60)*HLOOKUP($B176/12,Loyalty,2)*$F$1*MAX(CI175,0)</f>
        <v>0</v>
      </c>
      <c r="CH176" s="75">
        <f>PARAM!$C$26+MAX($P$3-CHOOSE(PARAM!$B$44,MAX(0,CI175*$F$1),0),0)*RATES!$L152/12+$Q$3*(PARAM!$D$51/12)*RATES!$N152/100</f>
        <v>10.416666666666668</v>
      </c>
      <c r="CI176" s="16">
        <f>IF(CI175&gt;0,CI175*PARAM!$C$53,CI175)+CG176-CH176</f>
        <v>-2312.9999999999986</v>
      </c>
      <c r="CJ176" s="15">
        <f t="shared" si="132"/>
        <v>0</v>
      </c>
      <c r="CK176" s="75">
        <f>CJ176*(1-PARAM!$C$27)*$R$4+(MOD($B176/12,5)=0)*($B176&gt;60)*HLOOKUP($B176/12,Loyalty,2)*$F$1*MAX(CM175,0)</f>
        <v>0</v>
      </c>
      <c r="CL176" s="75">
        <f>PARAM!$C$26+MAX($P$4-CHOOSE(PARAM!$B$44,MAX(0,CM175*$F$1),0),0)*RATES!$L152/12+$Q$4*(PARAM!$D$51/12)*RATES!$N152/100</f>
        <v>10.416666666666668</v>
      </c>
      <c r="CM176" s="16">
        <f>IF(CM175&gt;0,CM175*PARAM!$C$53,CM175)+CK176-CL176</f>
        <v>-2312.9999999999986</v>
      </c>
      <c r="CO176" s="176"/>
    </row>
    <row r="177" spans="1:93" x14ac:dyDescent="0.2">
      <c r="A177" t="b">
        <f t="shared" si="107"/>
        <v>1</v>
      </c>
      <c r="B177" s="33">
        <v>150</v>
      </c>
      <c r="C177" s="15">
        <f t="shared" si="108"/>
        <v>20.081305947392778</v>
      </c>
      <c r="D177" s="75">
        <f>C177*(1-PARAM!$C$27)*$I$3+(MOD($B177,60)=PARAM!$B$56)*($B177&gt;(60-PARAM!$B$56))*HLOOKUP(($B177+PARAM!$B$56)/12,Loyalty,2)*$F$1*MAX(F176,0)</f>
        <v>16.808053077967756</v>
      </c>
      <c r="E177" s="75">
        <f>PARAM!$C$26+MAX($G$3-CHOOSE(PARAM!$B$44,MAX(0,F176*$F$1),0),0)*RATES!$L153/12+$H$3*(PARAM!$D$51/12)*RATES!$N153/100</f>
        <v>11.03980236662025</v>
      </c>
      <c r="F177" s="16">
        <f t="shared" si="109"/>
        <v>21.196940750660019</v>
      </c>
      <c r="G177" s="15">
        <f t="shared" si="110"/>
        <v>22.035289406060361</v>
      </c>
      <c r="H177" s="75">
        <f>G177*(1-PARAM!$C$27)*$I$4+(MOD($B177,60)=PARAM!$B$56)*($B177&gt;(60-PARAM!$B$56))*HLOOKUP(($B177+PARAM!$B$56)/12,Loyalty,2)*$F$1*MAX(J176,0)</f>
        <v>18.443537232872522</v>
      </c>
      <c r="I177" s="75">
        <f>PARAM!$C$26+MAX($G$4-CHOOSE(PARAM!$B$44,MAX(0,J176*$F$1),0),0)*RATES!$L153/12+$H$4*(PARAM!$D$51/12)*RATES!$N153/100</f>
        <v>11.012382739835441</v>
      </c>
      <c r="J177" s="16">
        <f t="shared" si="111"/>
        <v>249.7808937859389</v>
      </c>
      <c r="K177" s="15">
        <f t="shared" si="112"/>
        <v>22.170849845882874</v>
      </c>
      <c r="L177" s="75">
        <f>K177*(1-PARAM!$C$27)*$I$5+(MOD($B177,60)=PARAM!$B$56)*($B177&gt;(60-PARAM!$B$56))*HLOOKUP(($B177+PARAM!$B$56)/12,Loyalty,2)*$F$1*MAX(N176,0)</f>
        <v>18.557001321003963</v>
      </c>
      <c r="M177" s="75">
        <f>PARAM!$C$26+MAX($G$5-CHOOSE(PARAM!$B$44,MAX(0,N176*$F$1),0),0)*RATES!$L153/12+$H$5*(PARAM!$D$51/12)*RATES!$N153/100</f>
        <v>11.010478555604006</v>
      </c>
      <c r="N177" s="16">
        <f t="shared" si="113"/>
        <v>265.65502811156506</v>
      </c>
      <c r="O177" s="15">
        <f t="shared" si="114"/>
        <v>22.170849845882874</v>
      </c>
      <c r="P177" s="75">
        <f>O177*(1-PARAM!$C$27)*$I$6+(MOD($B177,60)=PARAM!$B$56)*($B177&gt;(60-PARAM!$B$56))*HLOOKUP(($B177+PARAM!$B$56)/12,Loyalty,2)*$F$1*MAX(R176,0)</f>
        <v>18.557001321003963</v>
      </c>
      <c r="Q177" s="75">
        <f>PARAM!$C$26+MAX($G$6-CHOOSE(PARAM!$B$44,MAX(0,R176*$F$1),0),0)*RATES!$L153/12+$H$6*(PARAM!$D$51/12)*RATES!$N153/100</f>
        <v>11.010478555604006</v>
      </c>
      <c r="R177" s="16">
        <f t="shared" si="115"/>
        <v>265.65502811156506</v>
      </c>
      <c r="S177" s="15">
        <f t="shared" si="90"/>
        <v>22.170849845882874</v>
      </c>
      <c r="T177" s="75">
        <f>S177*(1-PARAM!$C$27)*$I$7+(MOD($B177,60)=PARAM!$B$56)*($B177&gt;(60-PARAM!$B$56))*HLOOKUP(($B177+PARAM!$B$56)/12,Loyalty,2)*$F$1*MAX(V176,0)</f>
        <v>18.557001321003963</v>
      </c>
      <c r="U177" s="75">
        <f>PARAM!$C$26+MAX($G$7-CHOOSE(PARAM!$B$44,MAX(0,V176*$F$1),0),0)*RATES!$L153/12+$H$7*(PARAM!$D$51/12)*RATES!$N153/100</f>
        <v>11.010478555604006</v>
      </c>
      <c r="V177" s="16">
        <f t="shared" si="116"/>
        <v>265.65502811156506</v>
      </c>
      <c r="W177" s="15">
        <f t="shared" si="91"/>
        <v>22.170849845882874</v>
      </c>
      <c r="X177" s="75">
        <f>W177*(1-PARAM!$C$27)*$I$8+(MOD($B177,60)=PARAM!$B$56)*($B177&gt;(60-PARAM!$B$56))*HLOOKUP(($B177+PARAM!$B$56)/12,Loyalty,2)*$F$1*MAX(Z176,0)</f>
        <v>18.557001321003963</v>
      </c>
      <c r="Y177" s="75">
        <f>PARAM!$C$26+MAX($G$8-CHOOSE(PARAM!$B$44,MAX(0,Z176*$F$1),0),0)*RATES!$L153/12+$H$8*(PARAM!$D$51/12)*RATES!$N153/100</f>
        <v>11.010478555604006</v>
      </c>
      <c r="Z177" s="16">
        <f t="shared" si="117"/>
        <v>265.65502811156506</v>
      </c>
      <c r="AA177" s="15">
        <f t="shared" si="92"/>
        <v>22.170849845882874</v>
      </c>
      <c r="AB177" s="75">
        <f>AA177*(1-PARAM!$C$27)*$I$9+(MOD($B177,60)=PARAM!$B$56)*($B177&gt;(60-PARAM!$B$56))*HLOOKUP(($B177+PARAM!$B$56)/12,Loyalty,2)*$F$1*MAX(AD176,0)</f>
        <v>18.557001321003963</v>
      </c>
      <c r="AC177" s="75">
        <f>PARAM!$C$26+MAX($G$9-CHOOSE(PARAM!$B$44,MAX(0,AD176*$F$1),0),0)*RATES!$L153/12+$H$9*(PARAM!$D$51/12)*RATES!$N153/100</f>
        <v>11.010478555604006</v>
      </c>
      <c r="AD177" s="16">
        <f t="shared" si="118"/>
        <v>265.65502811156506</v>
      </c>
      <c r="AE177" s="15">
        <f t="shared" si="93"/>
        <v>22.170849845882874</v>
      </c>
      <c r="AF177" s="75">
        <f>AE177*(1-PARAM!$C$27)*$I$10+(MOD($B177,60)=PARAM!$B$56)*($B177&gt;(60-PARAM!$B$56))*HLOOKUP(($B177+PARAM!$B$56)/12,Loyalty,2)*$F$1*MAX(AH176,0)</f>
        <v>18.557001321003963</v>
      </c>
      <c r="AG177" s="75">
        <f>PARAM!$C$26+MAX($G$10-CHOOSE(PARAM!$B$44,MAX(0,AH176*$F$1),0),0)*RATES!$L153/12+$H$10*(PARAM!$D$51/12)*RATES!$N153/100</f>
        <v>11.010478555604006</v>
      </c>
      <c r="AH177" s="16">
        <f t="shared" si="119"/>
        <v>265.65502811156506</v>
      </c>
      <c r="AI177" s="15">
        <f t="shared" si="94"/>
        <v>22.170849845882874</v>
      </c>
      <c r="AJ177" s="75">
        <f>AI177*(1-PARAM!$C$27)*$I$11+(MOD($B177,60)=PARAM!$B$56)*($B177&gt;(60-PARAM!$B$56))*HLOOKUP(($B177+PARAM!$B$56)/12,Loyalty,2)*$F$1*MAX(AL176,0)</f>
        <v>18.557001321003963</v>
      </c>
      <c r="AK177" s="75">
        <f>PARAM!$C$26+MAX($G$11-CHOOSE(PARAM!$B$44,MAX(0,AL176*$F$1),0),0)*RATES!$L153/12+$H$11*(PARAM!$D$51/12)*RATES!$N153/100</f>
        <v>11.010478555604006</v>
      </c>
      <c r="AL177" s="16">
        <f t="shared" si="120"/>
        <v>265.65502811156506</v>
      </c>
      <c r="AM177" s="15">
        <f t="shared" si="95"/>
        <v>22.170849845882874</v>
      </c>
      <c r="AN177" s="75">
        <f>AM177*(1-PARAM!$C$27)*$I$12+(MOD($B177,60)=PARAM!$B$56)*($B177&gt;(60-PARAM!$B$56))*HLOOKUP(($B177+PARAM!$B$56)/12,Loyalty,2)*$F$1*MAX(AP176,0)</f>
        <v>18.557001321003963</v>
      </c>
      <c r="AO177" s="75">
        <f>PARAM!$C$26+MAX($G$12-CHOOSE(PARAM!$B$44,MAX(0,AP176*$F$1),0),0)*RATES!$L153/12+$H$12*(PARAM!$D$51/12)*RATES!$N153/100</f>
        <v>11.010478555604006</v>
      </c>
      <c r="AP177" s="16">
        <f t="shared" si="121"/>
        <v>265.65502811156506</v>
      </c>
      <c r="AQ177" s="15">
        <f t="shared" si="96"/>
        <v>22.170849845882874</v>
      </c>
      <c r="AR177" s="75">
        <f>AQ177*(1-PARAM!$C$27)*$I$13+(MOD($B177,60)=PARAM!$B$56)*($B177&gt;(60-PARAM!$B$56))*HLOOKUP(($B177+PARAM!$B$56)/12,Loyalty,2)*$F$1*MAX(AT176,0)</f>
        <v>18.557001321003963</v>
      </c>
      <c r="AS177" s="75">
        <f>PARAM!$C$26+MAX($G$13-CHOOSE(PARAM!$B$44,MAX(0,AT176*$F$1),0),0)*RATES!$L153/12+$H$13*(PARAM!$D$51/12)*RATES!$N153/100</f>
        <v>11.010478555604006</v>
      </c>
      <c r="AT177" s="16">
        <f t="shared" si="122"/>
        <v>265.65502811156506</v>
      </c>
      <c r="AU177" s="15">
        <f t="shared" si="97"/>
        <v>22.170849845882874</v>
      </c>
      <c r="AV177" s="75">
        <f>AU177*(1-PARAM!$C$27)*$I$14+(MOD($B177,60)=PARAM!$B$56)*($B177&gt;(60-PARAM!$B$56))*HLOOKUP(($B177+PARAM!$B$56)/12,Loyalty,2)*$F$1*MAX(AX176,0)</f>
        <v>18.557001321003963</v>
      </c>
      <c r="AW177" s="75">
        <f>PARAM!$C$26+MAX($G$14-CHOOSE(PARAM!$B$44,MAX(0,AX176*$F$1),0),0)*RATES!$L153/12+$H$14*(PARAM!$D$51/12)*RATES!$N153/100</f>
        <v>11.010478555604006</v>
      </c>
      <c r="AX177" s="16">
        <f t="shared" si="123"/>
        <v>265.65502811156506</v>
      </c>
      <c r="AY177" s="15">
        <f t="shared" si="98"/>
        <v>22.170849845882874</v>
      </c>
      <c r="AZ177" s="75">
        <f>AY177*(1-PARAM!$C$27)*$I$15+(MOD($B177,60)=PARAM!$B$56)*($B177&gt;(60-PARAM!$B$56))*HLOOKUP(($B177+PARAM!$B$56)/12,Loyalty,2)*$F$1*MAX(BB176,0)</f>
        <v>18.557001321003963</v>
      </c>
      <c r="BA177" s="75">
        <f>PARAM!$C$26+MAX($G$15-CHOOSE(PARAM!$B$44,MAX(0,BB176*$F$1),0),0)*RATES!$L153/12+$H$15*(PARAM!$D$51/12)*RATES!$N153/100</f>
        <v>11.010478555604006</v>
      </c>
      <c r="BB177" s="16">
        <f t="shared" si="124"/>
        <v>265.65502811156506</v>
      </c>
      <c r="BC177" s="15">
        <f t="shared" si="99"/>
        <v>22.170849845882874</v>
      </c>
      <c r="BD177" s="75">
        <f>BC177*(1-PARAM!$C$27)*$I$16+(MOD($B177,60)=PARAM!$B$56)*($B177&gt;(60-PARAM!$B$56))*HLOOKUP(($B177+PARAM!$B$56)/12,Loyalty,2)*$F$1*MAX(BF176,0)</f>
        <v>18.557001321003963</v>
      </c>
      <c r="BE177" s="75">
        <f>PARAM!$C$26+MAX($G$16-CHOOSE(PARAM!$B$44,MAX(0,BF176*$F$1),0),0)*RATES!$L153/12+$H$16*(PARAM!$D$51/12)*RATES!$N153/100</f>
        <v>11.010478555604006</v>
      </c>
      <c r="BF177" s="16">
        <f t="shared" si="125"/>
        <v>265.65502811156506</v>
      </c>
      <c r="BG177" s="15">
        <f t="shared" si="100"/>
        <v>22.170849845882874</v>
      </c>
      <c r="BH177" s="75">
        <f>BG177*(1-PARAM!$C$27)*$I$17+(MOD($B177,60)=PARAM!$B$56)*($B177&gt;(60-PARAM!$B$56))*HLOOKUP(($B177+PARAM!$B$56)/12,Loyalty,2)*$F$1*MAX(BJ176,0)</f>
        <v>18.557001321003963</v>
      </c>
      <c r="BI177" s="75">
        <f>PARAM!$C$26+MAX($G$17-CHOOSE(PARAM!$B$44,MAX(0,BJ176*$F$1),0),0)*RATES!$L153/12+$H$17*(PARAM!$D$51/12)*RATES!$N153/100</f>
        <v>11.010478555604006</v>
      </c>
      <c r="BJ177" s="16">
        <f t="shared" si="126"/>
        <v>265.65502811156506</v>
      </c>
      <c r="BK177" s="15">
        <f t="shared" si="101"/>
        <v>22.170849845882874</v>
      </c>
      <c r="BL177" s="75">
        <f>BK177*(1-PARAM!$C$27)*$I$18+(MOD($B177,60)=PARAM!$B$56)*($B177&gt;(60-PARAM!$B$56))*HLOOKUP(($B177+PARAM!$B$56)/12,Loyalty,2)*$F$1*MAX(BN176,0)</f>
        <v>18.557001321003963</v>
      </c>
      <c r="BM177" s="75">
        <f>PARAM!$C$26+MAX($G$18-CHOOSE(PARAM!$B$44,MAX(0,BN176*$F$1),0),0)*RATES!$L153/12+$H$18*(PARAM!$D$51/12)*RATES!$N153/100</f>
        <v>11.010478555604006</v>
      </c>
      <c r="BN177" s="16">
        <f t="shared" si="127"/>
        <v>265.65502811156506</v>
      </c>
      <c r="BO177" s="15">
        <f t="shared" si="102"/>
        <v>22.170849845882874</v>
      </c>
      <c r="BP177" s="75">
        <f>BO177*(1-PARAM!$C$27)*$I$19+(MOD($B177,60)=PARAM!$B$56)*($B177&gt;(60-PARAM!$B$56))*HLOOKUP(($B177+PARAM!$B$56)/12,Loyalty,2)*$F$1*MAX(BR176,0)</f>
        <v>18.557001321003963</v>
      </c>
      <c r="BQ177" s="75">
        <f>PARAM!$C$26+MAX($G$19-CHOOSE(PARAM!$B$44,MAX(0,BR176*$F$1),0),0)*RATES!$L153/12+$H$19*(PARAM!$D$51/12)*RATES!$N153/100</f>
        <v>11.010478555604006</v>
      </c>
      <c r="BR177" s="16">
        <f t="shared" si="128"/>
        <v>265.65502811156506</v>
      </c>
      <c r="BS177" s="15">
        <f t="shared" si="103"/>
        <v>22.170849845882874</v>
      </c>
      <c r="BT177" s="75">
        <f>BS177*(1-PARAM!$C$27)*$I$20+(MOD($B177,60)=PARAM!$B$56)*($B177&gt;(60-PARAM!$B$56))*HLOOKUP(($B177+PARAM!$B$56)/12,Loyalty,2)*$F$1*MAX(BV176,0)</f>
        <v>18.557001321003963</v>
      </c>
      <c r="BU177" s="75">
        <f>PARAM!$C$26+MAX($G$20-CHOOSE(PARAM!$B$44,MAX(0,BV176*$F$1),0),0)*RATES!$L153/12+$H$20*(PARAM!$D$51/12)*RATES!$N153/100</f>
        <v>11.010478555604006</v>
      </c>
      <c r="BV177" s="16">
        <f t="shared" si="129"/>
        <v>265.65502811156506</v>
      </c>
      <c r="BW177" s="15">
        <f t="shared" si="104"/>
        <v>22.170849845882874</v>
      </c>
      <c r="BX177" s="75">
        <f>BW177*(1-PARAM!$C$27)*$I$21+(MOD($B177,60)=PARAM!$B$56)*($B177&gt;(60-PARAM!$B$56))*HLOOKUP(($B177+PARAM!$B$56)/12,Loyalty,2)*$F$1*MAX(BZ176,0)</f>
        <v>18.557001321003963</v>
      </c>
      <c r="BY177" s="75">
        <f>PARAM!$C$26+MAX($G$21-CHOOSE(PARAM!$B$44,MAX(0,BZ176*$F$1),0),0)*RATES!$L153/12+$H$21*(PARAM!$D$51/12)*RATES!$N153/100</f>
        <v>11.010478555604006</v>
      </c>
      <c r="BZ177" s="16">
        <f t="shared" si="130"/>
        <v>265.65502811156506</v>
      </c>
      <c r="CA177" s="15">
        <f t="shared" si="105"/>
        <v>22.170849845882874</v>
      </c>
      <c r="CB177" s="75">
        <f>CA177*(1-PARAM!$C$27)*$I$22+(MOD($B177,60)=PARAM!$B$56)*($B177&gt;(60-PARAM!$B$56))*HLOOKUP(($B177+PARAM!$B$56)/12,Loyalty,2)*$F$1*MAX(CD176,0)</f>
        <v>18.557001321003963</v>
      </c>
      <c r="CC177" s="75">
        <f>PARAM!$C$26+MAX($G$22-CHOOSE(PARAM!$B$44,MAX(0,CD176*$F$1),0),0)*RATES!$L153/12+$H$22*(PARAM!$D$51/12)*RATES!$N153/100</f>
        <v>11.010478555604006</v>
      </c>
      <c r="CD177" s="16">
        <f t="shared" si="131"/>
        <v>265.65502811156506</v>
      </c>
      <c r="CE177" s="33">
        <f>IF(0=MOD(B177,12/PARAM!$D$51),1,0)</f>
        <v>1</v>
      </c>
      <c r="CF177" s="15">
        <f t="shared" si="106"/>
        <v>0</v>
      </c>
      <c r="CG177" s="75">
        <f>CF177*(1-PARAM!$C$27)*$R$3+(MOD($B177/12,5)=0)*($B177&gt;60)*HLOOKUP($B177/12,Loyalty,2)*$F$1*MAX(CI176,0)</f>
        <v>0</v>
      </c>
      <c r="CH177" s="75">
        <f>PARAM!$C$26+MAX($P$3-CHOOSE(PARAM!$B$44,MAX(0,CI176*$F$1),0),0)*RATES!$L153/12+$Q$3*(PARAM!$D$51/12)*RATES!$N153/100</f>
        <v>11.041666666666668</v>
      </c>
      <c r="CI177" s="16">
        <f>IF(CI176&gt;0,CI176*PARAM!$C$53,CI176)+CG177-CH177</f>
        <v>-2324.0416666666652</v>
      </c>
      <c r="CJ177" s="15">
        <f t="shared" si="132"/>
        <v>0</v>
      </c>
      <c r="CK177" s="75">
        <f>CJ177*(1-PARAM!$C$27)*$R$4+(MOD($B177/12,5)=0)*($B177&gt;60)*HLOOKUP($B177/12,Loyalty,2)*$F$1*MAX(CM176,0)</f>
        <v>0</v>
      </c>
      <c r="CL177" s="75">
        <f>PARAM!$C$26+MAX($P$4-CHOOSE(PARAM!$B$44,MAX(0,CM176*$F$1),0),0)*RATES!$L153/12+$Q$4*(PARAM!$D$51/12)*RATES!$N153/100</f>
        <v>11.041666666666668</v>
      </c>
      <c r="CM177" s="16">
        <f>IF(CM176&gt;0,CM176*PARAM!$C$53,CM176)+CK177-CL177</f>
        <v>-2324.0416666666652</v>
      </c>
      <c r="CO177" s="176"/>
    </row>
    <row r="178" spans="1:93" x14ac:dyDescent="0.2">
      <c r="A178" t="b">
        <f t="shared" si="107"/>
        <v>1</v>
      </c>
      <c r="B178" s="33">
        <v>151</v>
      </c>
      <c r="C178" s="15">
        <f t="shared" si="108"/>
        <v>20.081305947392778</v>
      </c>
      <c r="D178" s="75">
        <f>C178*(1-PARAM!$C$27)*$I$3+(MOD($B178,60)=PARAM!$B$56)*($B178&gt;(60-PARAM!$B$56))*HLOOKUP(($B178+PARAM!$B$56)/12,Loyalty,2)*$F$1*MAX(F177,0)</f>
        <v>16.808053077967756</v>
      </c>
      <c r="E178" s="75">
        <f>PARAM!$C$26+MAX($G$3-CHOOSE(PARAM!$B$44,MAX(0,F177*$F$1),0),0)*RATES!$L154/12+$H$3*(PARAM!$D$51/12)*RATES!$N154/100</f>
        <v>11.039105369659296</v>
      </c>
      <c r="F178" s="16">
        <f t="shared" si="109"/>
        <v>26.965888458968479</v>
      </c>
      <c r="G178" s="15">
        <f t="shared" si="110"/>
        <v>22.035289406060361</v>
      </c>
      <c r="H178" s="75">
        <f>G178*(1-PARAM!$C$27)*$I$4+(MOD($B178,60)=PARAM!$B$56)*($B178&gt;(60-PARAM!$B$56))*HLOOKUP(($B178+PARAM!$B$56)/12,Loyalty,2)*$F$1*MAX(J177,0)</f>
        <v>18.443537232872522</v>
      </c>
      <c r="I178" s="75">
        <f>PARAM!$C$26+MAX($G$4-CHOOSE(PARAM!$B$44,MAX(0,J177*$F$1),0),0)*RATES!$L154/12+$H$4*(PARAM!$D$51/12)*RATES!$N154/100</f>
        <v>11.011484808667532</v>
      </c>
      <c r="J178" s="16">
        <f t="shared" si="111"/>
        <v>257.21294621014385</v>
      </c>
      <c r="K178" s="15">
        <f t="shared" si="112"/>
        <v>22.170849845882874</v>
      </c>
      <c r="L178" s="75">
        <f>K178*(1-PARAM!$C$27)*$I$5+(MOD($B178,60)=PARAM!$B$56)*($B178&gt;(60-PARAM!$B$56))*HLOOKUP(($B178+PARAM!$B$56)/12,Loyalty,2)*$F$1*MAX(N177,0)</f>
        <v>18.557001321003963</v>
      </c>
      <c r="M178" s="75">
        <f>PARAM!$C$26+MAX($G$5-CHOOSE(PARAM!$B$44,MAX(0,N177*$F$1),0),0)*RATES!$L154/12+$H$5*(PARAM!$D$51/12)*RATES!$N154/100</f>
        <v>11.009566684103184</v>
      </c>
      <c r="N178" s="16">
        <f t="shared" si="113"/>
        <v>273.20246274846585</v>
      </c>
      <c r="O178" s="15">
        <f t="shared" si="114"/>
        <v>22.170849845882874</v>
      </c>
      <c r="P178" s="75">
        <f>O178*(1-PARAM!$C$27)*$I$6+(MOD($B178,60)=PARAM!$B$56)*($B178&gt;(60-PARAM!$B$56))*HLOOKUP(($B178+PARAM!$B$56)/12,Loyalty,2)*$F$1*MAX(R177,0)</f>
        <v>18.557001321003963</v>
      </c>
      <c r="Q178" s="75">
        <f>PARAM!$C$26+MAX($G$6-CHOOSE(PARAM!$B$44,MAX(0,R177*$F$1),0),0)*RATES!$L154/12+$H$6*(PARAM!$D$51/12)*RATES!$N154/100</f>
        <v>11.009566684103184</v>
      </c>
      <c r="R178" s="16">
        <f t="shared" si="115"/>
        <v>273.20246274846585</v>
      </c>
      <c r="S178" s="15">
        <f t="shared" si="90"/>
        <v>22.170849845882874</v>
      </c>
      <c r="T178" s="75">
        <f>S178*(1-PARAM!$C$27)*$I$7+(MOD($B178,60)=PARAM!$B$56)*($B178&gt;(60-PARAM!$B$56))*HLOOKUP(($B178+PARAM!$B$56)/12,Loyalty,2)*$F$1*MAX(V177,0)</f>
        <v>18.557001321003963</v>
      </c>
      <c r="U178" s="75">
        <f>PARAM!$C$26+MAX($G$7-CHOOSE(PARAM!$B$44,MAX(0,V177*$F$1),0),0)*RATES!$L154/12+$H$7*(PARAM!$D$51/12)*RATES!$N154/100</f>
        <v>11.009566684103184</v>
      </c>
      <c r="V178" s="16">
        <f t="shared" si="116"/>
        <v>273.20246274846585</v>
      </c>
      <c r="W178" s="15">
        <f t="shared" si="91"/>
        <v>22.170849845882874</v>
      </c>
      <c r="X178" s="75">
        <f>W178*(1-PARAM!$C$27)*$I$8+(MOD($B178,60)=PARAM!$B$56)*($B178&gt;(60-PARAM!$B$56))*HLOOKUP(($B178+PARAM!$B$56)/12,Loyalty,2)*$F$1*MAX(Z177,0)</f>
        <v>18.557001321003963</v>
      </c>
      <c r="Y178" s="75">
        <f>PARAM!$C$26+MAX($G$8-CHOOSE(PARAM!$B$44,MAX(0,Z177*$F$1),0),0)*RATES!$L154/12+$H$8*(PARAM!$D$51/12)*RATES!$N154/100</f>
        <v>11.009566684103184</v>
      </c>
      <c r="Z178" s="16">
        <f t="shared" si="117"/>
        <v>273.20246274846585</v>
      </c>
      <c r="AA178" s="15">
        <f t="shared" si="92"/>
        <v>22.170849845882874</v>
      </c>
      <c r="AB178" s="75">
        <f>AA178*(1-PARAM!$C$27)*$I$9+(MOD($B178,60)=PARAM!$B$56)*($B178&gt;(60-PARAM!$B$56))*HLOOKUP(($B178+PARAM!$B$56)/12,Loyalty,2)*$F$1*MAX(AD177,0)</f>
        <v>18.557001321003963</v>
      </c>
      <c r="AC178" s="75">
        <f>PARAM!$C$26+MAX($G$9-CHOOSE(PARAM!$B$44,MAX(0,AD177*$F$1),0),0)*RATES!$L154/12+$H$9*(PARAM!$D$51/12)*RATES!$N154/100</f>
        <v>11.009566684103184</v>
      </c>
      <c r="AD178" s="16">
        <f t="shared" si="118"/>
        <v>273.20246274846585</v>
      </c>
      <c r="AE178" s="15">
        <f t="shared" si="93"/>
        <v>22.170849845882874</v>
      </c>
      <c r="AF178" s="75">
        <f>AE178*(1-PARAM!$C$27)*$I$10+(MOD($B178,60)=PARAM!$B$56)*($B178&gt;(60-PARAM!$B$56))*HLOOKUP(($B178+PARAM!$B$56)/12,Loyalty,2)*$F$1*MAX(AH177,0)</f>
        <v>18.557001321003963</v>
      </c>
      <c r="AG178" s="75">
        <f>PARAM!$C$26+MAX($G$10-CHOOSE(PARAM!$B$44,MAX(0,AH177*$F$1),0),0)*RATES!$L154/12+$H$10*(PARAM!$D$51/12)*RATES!$N154/100</f>
        <v>11.009566684103184</v>
      </c>
      <c r="AH178" s="16">
        <f t="shared" si="119"/>
        <v>273.20246274846585</v>
      </c>
      <c r="AI178" s="15">
        <f t="shared" si="94"/>
        <v>22.170849845882874</v>
      </c>
      <c r="AJ178" s="75">
        <f>AI178*(1-PARAM!$C$27)*$I$11+(MOD($B178,60)=PARAM!$B$56)*($B178&gt;(60-PARAM!$B$56))*HLOOKUP(($B178+PARAM!$B$56)/12,Loyalty,2)*$F$1*MAX(AL177,0)</f>
        <v>18.557001321003963</v>
      </c>
      <c r="AK178" s="75">
        <f>PARAM!$C$26+MAX($G$11-CHOOSE(PARAM!$B$44,MAX(0,AL177*$F$1),0),0)*RATES!$L154/12+$H$11*(PARAM!$D$51/12)*RATES!$N154/100</f>
        <v>11.009566684103184</v>
      </c>
      <c r="AL178" s="16">
        <f t="shared" si="120"/>
        <v>273.20246274846585</v>
      </c>
      <c r="AM178" s="15">
        <f t="shared" si="95"/>
        <v>22.170849845882874</v>
      </c>
      <c r="AN178" s="75">
        <f>AM178*(1-PARAM!$C$27)*$I$12+(MOD($B178,60)=PARAM!$B$56)*($B178&gt;(60-PARAM!$B$56))*HLOOKUP(($B178+PARAM!$B$56)/12,Loyalty,2)*$F$1*MAX(AP177,0)</f>
        <v>18.557001321003963</v>
      </c>
      <c r="AO178" s="75">
        <f>PARAM!$C$26+MAX($G$12-CHOOSE(PARAM!$B$44,MAX(0,AP177*$F$1),0),0)*RATES!$L154/12+$H$12*(PARAM!$D$51/12)*RATES!$N154/100</f>
        <v>11.009566684103184</v>
      </c>
      <c r="AP178" s="16">
        <f t="shared" si="121"/>
        <v>273.20246274846585</v>
      </c>
      <c r="AQ178" s="15">
        <f t="shared" si="96"/>
        <v>22.170849845882874</v>
      </c>
      <c r="AR178" s="75">
        <f>AQ178*(1-PARAM!$C$27)*$I$13+(MOD($B178,60)=PARAM!$B$56)*($B178&gt;(60-PARAM!$B$56))*HLOOKUP(($B178+PARAM!$B$56)/12,Loyalty,2)*$F$1*MAX(AT177,0)</f>
        <v>18.557001321003963</v>
      </c>
      <c r="AS178" s="75">
        <f>PARAM!$C$26+MAX($G$13-CHOOSE(PARAM!$B$44,MAX(0,AT177*$F$1),0),0)*RATES!$L154/12+$H$13*(PARAM!$D$51/12)*RATES!$N154/100</f>
        <v>11.009566684103184</v>
      </c>
      <c r="AT178" s="16">
        <f t="shared" si="122"/>
        <v>273.20246274846585</v>
      </c>
      <c r="AU178" s="15">
        <f t="shared" si="97"/>
        <v>22.170849845882874</v>
      </c>
      <c r="AV178" s="75">
        <f>AU178*(1-PARAM!$C$27)*$I$14+(MOD($B178,60)=PARAM!$B$56)*($B178&gt;(60-PARAM!$B$56))*HLOOKUP(($B178+PARAM!$B$56)/12,Loyalty,2)*$F$1*MAX(AX177,0)</f>
        <v>18.557001321003963</v>
      </c>
      <c r="AW178" s="75">
        <f>PARAM!$C$26+MAX($G$14-CHOOSE(PARAM!$B$44,MAX(0,AX177*$F$1),0),0)*RATES!$L154/12+$H$14*(PARAM!$D$51/12)*RATES!$N154/100</f>
        <v>11.009566684103184</v>
      </c>
      <c r="AX178" s="16">
        <f t="shared" si="123"/>
        <v>273.20246274846585</v>
      </c>
      <c r="AY178" s="15">
        <f t="shared" si="98"/>
        <v>22.170849845882874</v>
      </c>
      <c r="AZ178" s="75">
        <f>AY178*(1-PARAM!$C$27)*$I$15+(MOD($B178,60)=PARAM!$B$56)*($B178&gt;(60-PARAM!$B$56))*HLOOKUP(($B178+PARAM!$B$56)/12,Loyalty,2)*$F$1*MAX(BB177,0)</f>
        <v>18.557001321003963</v>
      </c>
      <c r="BA178" s="75">
        <f>PARAM!$C$26+MAX($G$15-CHOOSE(PARAM!$B$44,MAX(0,BB177*$F$1),0),0)*RATES!$L154/12+$H$15*(PARAM!$D$51/12)*RATES!$N154/100</f>
        <v>11.009566684103184</v>
      </c>
      <c r="BB178" s="16">
        <f t="shared" si="124"/>
        <v>273.20246274846585</v>
      </c>
      <c r="BC178" s="15">
        <f t="shared" si="99"/>
        <v>22.170849845882874</v>
      </c>
      <c r="BD178" s="75">
        <f>BC178*(1-PARAM!$C$27)*$I$16+(MOD($B178,60)=PARAM!$B$56)*($B178&gt;(60-PARAM!$B$56))*HLOOKUP(($B178+PARAM!$B$56)/12,Loyalty,2)*$F$1*MAX(BF177,0)</f>
        <v>18.557001321003963</v>
      </c>
      <c r="BE178" s="75">
        <f>PARAM!$C$26+MAX($G$16-CHOOSE(PARAM!$B$44,MAX(0,BF177*$F$1),0),0)*RATES!$L154/12+$H$16*(PARAM!$D$51/12)*RATES!$N154/100</f>
        <v>11.009566684103184</v>
      </c>
      <c r="BF178" s="16">
        <f t="shared" si="125"/>
        <v>273.20246274846585</v>
      </c>
      <c r="BG178" s="15">
        <f t="shared" si="100"/>
        <v>22.170849845882874</v>
      </c>
      <c r="BH178" s="75">
        <f>BG178*(1-PARAM!$C$27)*$I$17+(MOD($B178,60)=PARAM!$B$56)*($B178&gt;(60-PARAM!$B$56))*HLOOKUP(($B178+PARAM!$B$56)/12,Loyalty,2)*$F$1*MAX(BJ177,0)</f>
        <v>18.557001321003963</v>
      </c>
      <c r="BI178" s="75">
        <f>PARAM!$C$26+MAX($G$17-CHOOSE(PARAM!$B$44,MAX(0,BJ177*$F$1),0),0)*RATES!$L154/12+$H$17*(PARAM!$D$51/12)*RATES!$N154/100</f>
        <v>11.009566684103184</v>
      </c>
      <c r="BJ178" s="16">
        <f t="shared" si="126"/>
        <v>273.20246274846585</v>
      </c>
      <c r="BK178" s="15">
        <f t="shared" si="101"/>
        <v>22.170849845882874</v>
      </c>
      <c r="BL178" s="75">
        <f>BK178*(1-PARAM!$C$27)*$I$18+(MOD($B178,60)=PARAM!$B$56)*($B178&gt;(60-PARAM!$B$56))*HLOOKUP(($B178+PARAM!$B$56)/12,Loyalty,2)*$F$1*MAX(BN177,0)</f>
        <v>18.557001321003963</v>
      </c>
      <c r="BM178" s="75">
        <f>PARAM!$C$26+MAX($G$18-CHOOSE(PARAM!$B$44,MAX(0,BN177*$F$1),0),0)*RATES!$L154/12+$H$18*(PARAM!$D$51/12)*RATES!$N154/100</f>
        <v>11.009566684103184</v>
      </c>
      <c r="BN178" s="16">
        <f t="shared" si="127"/>
        <v>273.20246274846585</v>
      </c>
      <c r="BO178" s="15">
        <f t="shared" si="102"/>
        <v>22.170849845882874</v>
      </c>
      <c r="BP178" s="75">
        <f>BO178*(1-PARAM!$C$27)*$I$19+(MOD($B178,60)=PARAM!$B$56)*($B178&gt;(60-PARAM!$B$56))*HLOOKUP(($B178+PARAM!$B$56)/12,Loyalty,2)*$F$1*MAX(BR177,0)</f>
        <v>18.557001321003963</v>
      </c>
      <c r="BQ178" s="75">
        <f>PARAM!$C$26+MAX($G$19-CHOOSE(PARAM!$B$44,MAX(0,BR177*$F$1),0),0)*RATES!$L154/12+$H$19*(PARAM!$D$51/12)*RATES!$N154/100</f>
        <v>11.009566684103184</v>
      </c>
      <c r="BR178" s="16">
        <f t="shared" si="128"/>
        <v>273.20246274846585</v>
      </c>
      <c r="BS178" s="15">
        <f t="shared" si="103"/>
        <v>22.170849845882874</v>
      </c>
      <c r="BT178" s="75">
        <f>BS178*(1-PARAM!$C$27)*$I$20+(MOD($B178,60)=PARAM!$B$56)*($B178&gt;(60-PARAM!$B$56))*HLOOKUP(($B178+PARAM!$B$56)/12,Loyalty,2)*$F$1*MAX(BV177,0)</f>
        <v>18.557001321003963</v>
      </c>
      <c r="BU178" s="75">
        <f>PARAM!$C$26+MAX($G$20-CHOOSE(PARAM!$B$44,MAX(0,BV177*$F$1),0),0)*RATES!$L154/12+$H$20*(PARAM!$D$51/12)*RATES!$N154/100</f>
        <v>11.009566684103184</v>
      </c>
      <c r="BV178" s="16">
        <f t="shared" si="129"/>
        <v>273.20246274846585</v>
      </c>
      <c r="BW178" s="15">
        <f t="shared" si="104"/>
        <v>22.170849845882874</v>
      </c>
      <c r="BX178" s="75">
        <f>BW178*(1-PARAM!$C$27)*$I$21+(MOD($B178,60)=PARAM!$B$56)*($B178&gt;(60-PARAM!$B$56))*HLOOKUP(($B178+PARAM!$B$56)/12,Loyalty,2)*$F$1*MAX(BZ177,0)</f>
        <v>18.557001321003963</v>
      </c>
      <c r="BY178" s="75">
        <f>PARAM!$C$26+MAX($G$21-CHOOSE(PARAM!$B$44,MAX(0,BZ177*$F$1),0),0)*RATES!$L154/12+$H$21*(PARAM!$D$51/12)*RATES!$N154/100</f>
        <v>11.009566684103184</v>
      </c>
      <c r="BZ178" s="16">
        <f t="shared" si="130"/>
        <v>273.20246274846585</v>
      </c>
      <c r="CA178" s="15">
        <f t="shared" si="105"/>
        <v>22.170849845882874</v>
      </c>
      <c r="CB178" s="75">
        <f>CA178*(1-PARAM!$C$27)*$I$22+(MOD($B178,60)=PARAM!$B$56)*($B178&gt;(60-PARAM!$B$56))*HLOOKUP(($B178+PARAM!$B$56)/12,Loyalty,2)*$F$1*MAX(CD177,0)</f>
        <v>18.557001321003963</v>
      </c>
      <c r="CC178" s="75">
        <f>PARAM!$C$26+MAX($G$22-CHOOSE(PARAM!$B$44,MAX(0,CD177*$F$1),0),0)*RATES!$L154/12+$H$22*(PARAM!$D$51/12)*RATES!$N154/100</f>
        <v>11.009566684103184</v>
      </c>
      <c r="CD178" s="16">
        <f t="shared" si="131"/>
        <v>273.20246274846585</v>
      </c>
      <c r="CE178" s="33">
        <f>IF(0=MOD(B178,12/PARAM!$D$51),1,0)</f>
        <v>1</v>
      </c>
      <c r="CF178" s="15">
        <f t="shared" si="106"/>
        <v>0</v>
      </c>
      <c r="CG178" s="75">
        <f>CF178*(1-PARAM!$C$27)*$R$3+(MOD($B178/12,5)=0)*($B178&gt;60)*HLOOKUP($B178/12,Loyalty,2)*$F$1*MAX(CI177,0)</f>
        <v>0</v>
      </c>
      <c r="CH178" s="75">
        <f>PARAM!$C$26+MAX($P$3-CHOOSE(PARAM!$B$44,MAX(0,CI177*$F$1),0),0)*RATES!$L154/12+$Q$3*(PARAM!$D$51/12)*RATES!$N154/100</f>
        <v>11.041666666666668</v>
      </c>
      <c r="CI178" s="16">
        <f>IF(CI177&gt;0,CI177*PARAM!$C$53,CI177)+CG178-CH178</f>
        <v>-2335.0833333333317</v>
      </c>
      <c r="CJ178" s="15">
        <f t="shared" si="132"/>
        <v>0</v>
      </c>
      <c r="CK178" s="75">
        <f>CJ178*(1-PARAM!$C$27)*$R$4+(MOD($B178/12,5)=0)*($B178&gt;60)*HLOOKUP($B178/12,Loyalty,2)*$F$1*MAX(CM177,0)</f>
        <v>0</v>
      </c>
      <c r="CL178" s="75">
        <f>PARAM!$C$26+MAX($P$4-CHOOSE(PARAM!$B$44,MAX(0,CM177*$F$1),0),0)*RATES!$L154/12+$Q$4*(PARAM!$D$51/12)*RATES!$N154/100</f>
        <v>11.041666666666668</v>
      </c>
      <c r="CM178" s="16">
        <f>IF(CM177&gt;0,CM177*PARAM!$C$53,CM177)+CK178-CL178</f>
        <v>-2335.0833333333317</v>
      </c>
      <c r="CO178" s="176"/>
    </row>
    <row r="179" spans="1:93" x14ac:dyDescent="0.2">
      <c r="A179" t="b">
        <f t="shared" si="107"/>
        <v>1</v>
      </c>
      <c r="B179" s="33">
        <v>152</v>
      </c>
      <c r="C179" s="15">
        <f t="shared" si="108"/>
        <v>20.081305947392778</v>
      </c>
      <c r="D179" s="75">
        <f>C179*(1-PARAM!$C$27)*$I$3+(MOD($B179,60)=PARAM!$B$56)*($B179&gt;(60-PARAM!$B$56))*HLOOKUP(($B179+PARAM!$B$56)/12,Loyalty,2)*$F$1*MAX(F178,0)</f>
        <v>16.808053077967756</v>
      </c>
      <c r="E179" s="75">
        <f>PARAM!$C$26+MAX($G$3-CHOOSE(PARAM!$B$44,MAX(0,F178*$F$1),0),0)*RATES!$L155/12+$H$3*(PARAM!$D$51/12)*RATES!$N155/100</f>
        <v>11.038408288477875</v>
      </c>
      <c r="F179" s="16">
        <f t="shared" si="109"/>
        <v>32.73553324845836</v>
      </c>
      <c r="G179" s="15">
        <f t="shared" si="110"/>
        <v>22.035289406060361</v>
      </c>
      <c r="H179" s="75">
        <f>G179*(1-PARAM!$C$27)*$I$4+(MOD($B179,60)=PARAM!$B$56)*($B179&gt;(60-PARAM!$B$56))*HLOOKUP(($B179+PARAM!$B$56)/12,Loyalty,2)*$F$1*MAX(J178,0)</f>
        <v>18.443537232872522</v>
      </c>
      <c r="I179" s="75">
        <f>PARAM!$C$26+MAX($G$4-CHOOSE(PARAM!$B$44,MAX(0,J178*$F$1),0),0)*RATES!$L155/12+$H$4*(PARAM!$D$51/12)*RATES!$N155/100</f>
        <v>11.010586768999609</v>
      </c>
      <c r="J179" s="16">
        <f t="shared" si="111"/>
        <v>264.6458966740168</v>
      </c>
      <c r="K179" s="15">
        <f t="shared" si="112"/>
        <v>22.170849845882874</v>
      </c>
      <c r="L179" s="75">
        <f>K179*(1-PARAM!$C$27)*$I$5+(MOD($B179,60)=PARAM!$B$56)*($B179&gt;(60-PARAM!$B$56))*HLOOKUP(($B179+PARAM!$B$56)/12,Loyalty,2)*$F$1*MAX(N178,0)</f>
        <v>18.557001321003963</v>
      </c>
      <c r="M179" s="75">
        <f>PARAM!$C$26+MAX($G$5-CHOOSE(PARAM!$B$44,MAX(0,N178*$F$1),0),0)*RATES!$L155/12+$H$5*(PARAM!$D$51/12)*RATES!$N155/100</f>
        <v>11.008654702417893</v>
      </c>
      <c r="N179" s="16">
        <f t="shared" si="113"/>
        <v>280.75080936705189</v>
      </c>
      <c r="O179" s="15">
        <f t="shared" si="114"/>
        <v>22.170849845882874</v>
      </c>
      <c r="P179" s="75">
        <f>O179*(1-PARAM!$C$27)*$I$6+(MOD($B179,60)=PARAM!$B$56)*($B179&gt;(60-PARAM!$B$56))*HLOOKUP(($B179+PARAM!$B$56)/12,Loyalty,2)*$F$1*MAX(R178,0)</f>
        <v>18.557001321003963</v>
      </c>
      <c r="Q179" s="75">
        <f>PARAM!$C$26+MAX($G$6-CHOOSE(PARAM!$B$44,MAX(0,R178*$F$1),0),0)*RATES!$L155/12+$H$6*(PARAM!$D$51/12)*RATES!$N155/100</f>
        <v>11.008654702417893</v>
      </c>
      <c r="R179" s="16">
        <f t="shared" si="115"/>
        <v>280.75080936705189</v>
      </c>
      <c r="S179" s="15">
        <f t="shared" si="90"/>
        <v>22.170849845882874</v>
      </c>
      <c r="T179" s="75">
        <f>S179*(1-PARAM!$C$27)*$I$7+(MOD($B179,60)=PARAM!$B$56)*($B179&gt;(60-PARAM!$B$56))*HLOOKUP(($B179+PARAM!$B$56)/12,Loyalty,2)*$F$1*MAX(V178,0)</f>
        <v>18.557001321003963</v>
      </c>
      <c r="U179" s="75">
        <f>PARAM!$C$26+MAX($G$7-CHOOSE(PARAM!$B$44,MAX(0,V178*$F$1),0),0)*RATES!$L155/12+$H$7*(PARAM!$D$51/12)*RATES!$N155/100</f>
        <v>11.008654702417893</v>
      </c>
      <c r="V179" s="16">
        <f t="shared" si="116"/>
        <v>280.75080936705189</v>
      </c>
      <c r="W179" s="15">
        <f t="shared" si="91"/>
        <v>22.170849845882874</v>
      </c>
      <c r="X179" s="75">
        <f>W179*(1-PARAM!$C$27)*$I$8+(MOD($B179,60)=PARAM!$B$56)*($B179&gt;(60-PARAM!$B$56))*HLOOKUP(($B179+PARAM!$B$56)/12,Loyalty,2)*$F$1*MAX(Z178,0)</f>
        <v>18.557001321003963</v>
      </c>
      <c r="Y179" s="75">
        <f>PARAM!$C$26+MAX($G$8-CHOOSE(PARAM!$B$44,MAX(0,Z178*$F$1),0),0)*RATES!$L155/12+$H$8*(PARAM!$D$51/12)*RATES!$N155/100</f>
        <v>11.008654702417893</v>
      </c>
      <c r="Z179" s="16">
        <f t="shared" si="117"/>
        <v>280.75080936705189</v>
      </c>
      <c r="AA179" s="15">
        <f t="shared" si="92"/>
        <v>22.170849845882874</v>
      </c>
      <c r="AB179" s="75">
        <f>AA179*(1-PARAM!$C$27)*$I$9+(MOD($B179,60)=PARAM!$B$56)*($B179&gt;(60-PARAM!$B$56))*HLOOKUP(($B179+PARAM!$B$56)/12,Loyalty,2)*$F$1*MAX(AD178,0)</f>
        <v>18.557001321003963</v>
      </c>
      <c r="AC179" s="75">
        <f>PARAM!$C$26+MAX($G$9-CHOOSE(PARAM!$B$44,MAX(0,AD178*$F$1),0),0)*RATES!$L155/12+$H$9*(PARAM!$D$51/12)*RATES!$N155/100</f>
        <v>11.008654702417893</v>
      </c>
      <c r="AD179" s="16">
        <f t="shared" si="118"/>
        <v>280.75080936705189</v>
      </c>
      <c r="AE179" s="15">
        <f t="shared" si="93"/>
        <v>22.170849845882874</v>
      </c>
      <c r="AF179" s="75">
        <f>AE179*(1-PARAM!$C$27)*$I$10+(MOD($B179,60)=PARAM!$B$56)*($B179&gt;(60-PARAM!$B$56))*HLOOKUP(($B179+PARAM!$B$56)/12,Loyalty,2)*$F$1*MAX(AH178,0)</f>
        <v>18.557001321003963</v>
      </c>
      <c r="AG179" s="75">
        <f>PARAM!$C$26+MAX($G$10-CHOOSE(PARAM!$B$44,MAX(0,AH178*$F$1),0),0)*RATES!$L155/12+$H$10*(PARAM!$D$51/12)*RATES!$N155/100</f>
        <v>11.008654702417893</v>
      </c>
      <c r="AH179" s="16">
        <f t="shared" si="119"/>
        <v>280.75080936705189</v>
      </c>
      <c r="AI179" s="15">
        <f t="shared" si="94"/>
        <v>22.170849845882874</v>
      </c>
      <c r="AJ179" s="75">
        <f>AI179*(1-PARAM!$C$27)*$I$11+(MOD($B179,60)=PARAM!$B$56)*($B179&gt;(60-PARAM!$B$56))*HLOOKUP(($B179+PARAM!$B$56)/12,Loyalty,2)*$F$1*MAX(AL178,0)</f>
        <v>18.557001321003963</v>
      </c>
      <c r="AK179" s="75">
        <f>PARAM!$C$26+MAX($G$11-CHOOSE(PARAM!$B$44,MAX(0,AL178*$F$1),0),0)*RATES!$L155/12+$H$11*(PARAM!$D$51/12)*RATES!$N155/100</f>
        <v>11.008654702417893</v>
      </c>
      <c r="AL179" s="16">
        <f t="shared" si="120"/>
        <v>280.75080936705189</v>
      </c>
      <c r="AM179" s="15">
        <f t="shared" si="95"/>
        <v>22.170849845882874</v>
      </c>
      <c r="AN179" s="75">
        <f>AM179*(1-PARAM!$C$27)*$I$12+(MOD($B179,60)=PARAM!$B$56)*($B179&gt;(60-PARAM!$B$56))*HLOOKUP(($B179+PARAM!$B$56)/12,Loyalty,2)*$F$1*MAX(AP178,0)</f>
        <v>18.557001321003963</v>
      </c>
      <c r="AO179" s="75">
        <f>PARAM!$C$26+MAX($G$12-CHOOSE(PARAM!$B$44,MAX(0,AP178*$F$1),0),0)*RATES!$L155/12+$H$12*(PARAM!$D$51/12)*RATES!$N155/100</f>
        <v>11.008654702417893</v>
      </c>
      <c r="AP179" s="16">
        <f t="shared" si="121"/>
        <v>280.75080936705189</v>
      </c>
      <c r="AQ179" s="15">
        <f t="shared" si="96"/>
        <v>22.170849845882874</v>
      </c>
      <c r="AR179" s="75">
        <f>AQ179*(1-PARAM!$C$27)*$I$13+(MOD($B179,60)=PARAM!$B$56)*($B179&gt;(60-PARAM!$B$56))*HLOOKUP(($B179+PARAM!$B$56)/12,Loyalty,2)*$F$1*MAX(AT178,0)</f>
        <v>18.557001321003963</v>
      </c>
      <c r="AS179" s="75">
        <f>PARAM!$C$26+MAX($G$13-CHOOSE(PARAM!$B$44,MAX(0,AT178*$F$1),0),0)*RATES!$L155/12+$H$13*(PARAM!$D$51/12)*RATES!$N155/100</f>
        <v>11.008654702417893</v>
      </c>
      <c r="AT179" s="16">
        <f t="shared" si="122"/>
        <v>280.75080936705189</v>
      </c>
      <c r="AU179" s="15">
        <f t="shared" si="97"/>
        <v>22.170849845882874</v>
      </c>
      <c r="AV179" s="75">
        <f>AU179*(1-PARAM!$C$27)*$I$14+(MOD($B179,60)=PARAM!$B$56)*($B179&gt;(60-PARAM!$B$56))*HLOOKUP(($B179+PARAM!$B$56)/12,Loyalty,2)*$F$1*MAX(AX178,0)</f>
        <v>18.557001321003963</v>
      </c>
      <c r="AW179" s="75">
        <f>PARAM!$C$26+MAX($G$14-CHOOSE(PARAM!$B$44,MAX(0,AX178*$F$1),0),0)*RATES!$L155/12+$H$14*(PARAM!$D$51/12)*RATES!$N155/100</f>
        <v>11.008654702417893</v>
      </c>
      <c r="AX179" s="16">
        <f t="shared" si="123"/>
        <v>280.75080936705189</v>
      </c>
      <c r="AY179" s="15">
        <f t="shared" si="98"/>
        <v>22.170849845882874</v>
      </c>
      <c r="AZ179" s="75">
        <f>AY179*(1-PARAM!$C$27)*$I$15+(MOD($B179,60)=PARAM!$B$56)*($B179&gt;(60-PARAM!$B$56))*HLOOKUP(($B179+PARAM!$B$56)/12,Loyalty,2)*$F$1*MAX(BB178,0)</f>
        <v>18.557001321003963</v>
      </c>
      <c r="BA179" s="75">
        <f>PARAM!$C$26+MAX($G$15-CHOOSE(PARAM!$B$44,MAX(0,BB178*$F$1),0),0)*RATES!$L155/12+$H$15*(PARAM!$D$51/12)*RATES!$N155/100</f>
        <v>11.008654702417893</v>
      </c>
      <c r="BB179" s="16">
        <f t="shared" si="124"/>
        <v>280.75080936705189</v>
      </c>
      <c r="BC179" s="15">
        <f t="shared" si="99"/>
        <v>22.170849845882874</v>
      </c>
      <c r="BD179" s="75">
        <f>BC179*(1-PARAM!$C$27)*$I$16+(MOD($B179,60)=PARAM!$B$56)*($B179&gt;(60-PARAM!$B$56))*HLOOKUP(($B179+PARAM!$B$56)/12,Loyalty,2)*$F$1*MAX(BF178,0)</f>
        <v>18.557001321003963</v>
      </c>
      <c r="BE179" s="75">
        <f>PARAM!$C$26+MAX($G$16-CHOOSE(PARAM!$B$44,MAX(0,BF178*$F$1),0),0)*RATES!$L155/12+$H$16*(PARAM!$D$51/12)*RATES!$N155/100</f>
        <v>11.008654702417893</v>
      </c>
      <c r="BF179" s="16">
        <f t="shared" si="125"/>
        <v>280.75080936705189</v>
      </c>
      <c r="BG179" s="15">
        <f t="shared" si="100"/>
        <v>22.170849845882874</v>
      </c>
      <c r="BH179" s="75">
        <f>BG179*(1-PARAM!$C$27)*$I$17+(MOD($B179,60)=PARAM!$B$56)*($B179&gt;(60-PARAM!$B$56))*HLOOKUP(($B179+PARAM!$B$56)/12,Loyalty,2)*$F$1*MAX(BJ178,0)</f>
        <v>18.557001321003963</v>
      </c>
      <c r="BI179" s="75">
        <f>PARAM!$C$26+MAX($G$17-CHOOSE(PARAM!$B$44,MAX(0,BJ178*$F$1),0),0)*RATES!$L155/12+$H$17*(PARAM!$D$51/12)*RATES!$N155/100</f>
        <v>11.008654702417893</v>
      </c>
      <c r="BJ179" s="16">
        <f t="shared" si="126"/>
        <v>280.75080936705189</v>
      </c>
      <c r="BK179" s="15">
        <f t="shared" si="101"/>
        <v>22.170849845882874</v>
      </c>
      <c r="BL179" s="75">
        <f>BK179*(1-PARAM!$C$27)*$I$18+(MOD($B179,60)=PARAM!$B$56)*($B179&gt;(60-PARAM!$B$56))*HLOOKUP(($B179+PARAM!$B$56)/12,Loyalty,2)*$F$1*MAX(BN178,0)</f>
        <v>18.557001321003963</v>
      </c>
      <c r="BM179" s="75">
        <f>PARAM!$C$26+MAX($G$18-CHOOSE(PARAM!$B$44,MAX(0,BN178*$F$1),0),0)*RATES!$L155/12+$H$18*(PARAM!$D$51/12)*RATES!$N155/100</f>
        <v>11.008654702417893</v>
      </c>
      <c r="BN179" s="16">
        <f t="shared" si="127"/>
        <v>280.75080936705189</v>
      </c>
      <c r="BO179" s="15">
        <f t="shared" si="102"/>
        <v>22.170849845882874</v>
      </c>
      <c r="BP179" s="75">
        <f>BO179*(1-PARAM!$C$27)*$I$19+(MOD($B179,60)=PARAM!$B$56)*($B179&gt;(60-PARAM!$B$56))*HLOOKUP(($B179+PARAM!$B$56)/12,Loyalty,2)*$F$1*MAX(BR178,0)</f>
        <v>18.557001321003963</v>
      </c>
      <c r="BQ179" s="75">
        <f>PARAM!$C$26+MAX($G$19-CHOOSE(PARAM!$B$44,MAX(0,BR178*$F$1),0),0)*RATES!$L155/12+$H$19*(PARAM!$D$51/12)*RATES!$N155/100</f>
        <v>11.008654702417893</v>
      </c>
      <c r="BR179" s="16">
        <f t="shared" si="128"/>
        <v>280.75080936705189</v>
      </c>
      <c r="BS179" s="15">
        <f t="shared" si="103"/>
        <v>22.170849845882874</v>
      </c>
      <c r="BT179" s="75">
        <f>BS179*(1-PARAM!$C$27)*$I$20+(MOD($B179,60)=PARAM!$B$56)*($B179&gt;(60-PARAM!$B$56))*HLOOKUP(($B179+PARAM!$B$56)/12,Loyalty,2)*$F$1*MAX(BV178,0)</f>
        <v>18.557001321003963</v>
      </c>
      <c r="BU179" s="75">
        <f>PARAM!$C$26+MAX($G$20-CHOOSE(PARAM!$B$44,MAX(0,BV178*$F$1),0),0)*RATES!$L155/12+$H$20*(PARAM!$D$51/12)*RATES!$N155/100</f>
        <v>11.008654702417893</v>
      </c>
      <c r="BV179" s="16">
        <f t="shared" si="129"/>
        <v>280.75080936705189</v>
      </c>
      <c r="BW179" s="15">
        <f t="shared" si="104"/>
        <v>22.170849845882874</v>
      </c>
      <c r="BX179" s="75">
        <f>BW179*(1-PARAM!$C$27)*$I$21+(MOD($B179,60)=PARAM!$B$56)*($B179&gt;(60-PARAM!$B$56))*HLOOKUP(($B179+PARAM!$B$56)/12,Loyalty,2)*$F$1*MAX(BZ178,0)</f>
        <v>18.557001321003963</v>
      </c>
      <c r="BY179" s="75">
        <f>PARAM!$C$26+MAX($G$21-CHOOSE(PARAM!$B$44,MAX(0,BZ178*$F$1),0),0)*RATES!$L155/12+$H$21*(PARAM!$D$51/12)*RATES!$N155/100</f>
        <v>11.008654702417893</v>
      </c>
      <c r="BZ179" s="16">
        <f t="shared" si="130"/>
        <v>280.75080936705189</v>
      </c>
      <c r="CA179" s="15">
        <f t="shared" si="105"/>
        <v>22.170849845882874</v>
      </c>
      <c r="CB179" s="75">
        <f>CA179*(1-PARAM!$C$27)*$I$22+(MOD($B179,60)=PARAM!$B$56)*($B179&gt;(60-PARAM!$B$56))*HLOOKUP(($B179+PARAM!$B$56)/12,Loyalty,2)*$F$1*MAX(CD178,0)</f>
        <v>18.557001321003963</v>
      </c>
      <c r="CC179" s="75">
        <f>PARAM!$C$26+MAX($G$22-CHOOSE(PARAM!$B$44,MAX(0,CD178*$F$1),0),0)*RATES!$L155/12+$H$22*(PARAM!$D$51/12)*RATES!$N155/100</f>
        <v>11.008654702417893</v>
      </c>
      <c r="CD179" s="16">
        <f t="shared" si="131"/>
        <v>280.75080936705189</v>
      </c>
      <c r="CE179" s="33">
        <f>IF(0=MOD(B179,12/PARAM!$D$51),1,0)</f>
        <v>1</v>
      </c>
      <c r="CF179" s="15">
        <f t="shared" si="106"/>
        <v>0</v>
      </c>
      <c r="CG179" s="75">
        <f>CF179*(1-PARAM!$C$27)*$R$3+(MOD($B179/12,5)=0)*($B179&gt;60)*HLOOKUP($B179/12,Loyalty,2)*$F$1*MAX(CI178,0)</f>
        <v>0</v>
      </c>
      <c r="CH179" s="75">
        <f>PARAM!$C$26+MAX($P$3-CHOOSE(PARAM!$B$44,MAX(0,CI178*$F$1),0),0)*RATES!$L155/12+$Q$3*(PARAM!$D$51/12)*RATES!$N155/100</f>
        <v>11.041666666666668</v>
      </c>
      <c r="CI179" s="16">
        <f>IF(CI178&gt;0,CI178*PARAM!$C$53,CI178)+CG179-CH179</f>
        <v>-2346.1249999999982</v>
      </c>
      <c r="CJ179" s="15">
        <f t="shared" si="132"/>
        <v>0</v>
      </c>
      <c r="CK179" s="75">
        <f>CJ179*(1-PARAM!$C$27)*$R$4+(MOD($B179/12,5)=0)*($B179&gt;60)*HLOOKUP($B179/12,Loyalty,2)*$F$1*MAX(CM178,0)</f>
        <v>0</v>
      </c>
      <c r="CL179" s="75">
        <f>PARAM!$C$26+MAX($P$4-CHOOSE(PARAM!$B$44,MAX(0,CM178*$F$1),0),0)*RATES!$L155/12+$Q$4*(PARAM!$D$51/12)*RATES!$N155/100</f>
        <v>11.041666666666668</v>
      </c>
      <c r="CM179" s="16">
        <f>IF(CM178&gt;0,CM178*PARAM!$C$53,CM178)+CK179-CL179</f>
        <v>-2346.1249999999982</v>
      </c>
      <c r="CO179" s="176"/>
    </row>
    <row r="180" spans="1:93" x14ac:dyDescent="0.2">
      <c r="A180" t="b">
        <f t="shared" si="107"/>
        <v>1</v>
      </c>
      <c r="B180" s="33">
        <v>153</v>
      </c>
      <c r="C180" s="15">
        <f t="shared" si="108"/>
        <v>20.081305947392778</v>
      </c>
      <c r="D180" s="75">
        <f>C180*(1-PARAM!$C$27)*$I$3+(MOD($B180,60)=PARAM!$B$56)*($B180&gt;(60-PARAM!$B$56))*HLOOKUP(($B180+PARAM!$B$56)/12,Loyalty,2)*$F$1*MAX(F179,0)</f>
        <v>16.808053077967756</v>
      </c>
      <c r="E180" s="75">
        <f>PARAM!$C$26+MAX($G$3-CHOOSE(PARAM!$B$44,MAX(0,F179*$F$1),0),0)*RATES!$L156/12+$H$3*(PARAM!$D$51/12)*RATES!$N156/100</f>
        <v>11.037711123065812</v>
      </c>
      <c r="F180" s="16">
        <f t="shared" si="109"/>
        <v>38.505875203360304</v>
      </c>
      <c r="G180" s="15">
        <f t="shared" si="110"/>
        <v>22.035289406060361</v>
      </c>
      <c r="H180" s="75">
        <f>G180*(1-PARAM!$C$27)*$I$4+(MOD($B180,60)=PARAM!$B$56)*($B180&gt;(60-PARAM!$B$56))*HLOOKUP(($B180+PARAM!$B$56)/12,Loyalty,2)*$F$1*MAX(J179,0)</f>
        <v>18.443537232872522</v>
      </c>
      <c r="I180" s="75">
        <f>PARAM!$C$26+MAX($G$4-CHOOSE(PARAM!$B$44,MAX(0,J179*$F$1),0),0)*RATES!$L156/12+$H$4*(PARAM!$D$51/12)*RATES!$N156/100</f>
        <v>11.009688620818554</v>
      </c>
      <c r="J180" s="16">
        <f t="shared" si="111"/>
        <v>272.07974528607076</v>
      </c>
      <c r="K180" s="15">
        <f t="shared" si="112"/>
        <v>22.170849845882874</v>
      </c>
      <c r="L180" s="75">
        <f>K180*(1-PARAM!$C$27)*$I$5+(MOD($B180,60)=PARAM!$B$56)*($B180&gt;(60-PARAM!$B$56))*HLOOKUP(($B180+PARAM!$B$56)/12,Loyalty,2)*$F$1*MAX(N179,0)</f>
        <v>18.557001321003963</v>
      </c>
      <c r="M180" s="75">
        <f>PARAM!$C$26+MAX($G$5-CHOOSE(PARAM!$B$44,MAX(0,N179*$F$1),0),0)*RATES!$L156/12+$H$5*(PARAM!$D$51/12)*RATES!$N156/100</f>
        <v>11.007742610534812</v>
      </c>
      <c r="N180" s="16">
        <f t="shared" si="113"/>
        <v>288.30006807752102</v>
      </c>
      <c r="O180" s="15">
        <f t="shared" si="114"/>
        <v>22.170849845882874</v>
      </c>
      <c r="P180" s="75">
        <f>O180*(1-PARAM!$C$27)*$I$6+(MOD($B180,60)=PARAM!$B$56)*($B180&gt;(60-PARAM!$B$56))*HLOOKUP(($B180+PARAM!$B$56)/12,Loyalty,2)*$F$1*MAX(R179,0)</f>
        <v>18.557001321003963</v>
      </c>
      <c r="Q180" s="75">
        <f>PARAM!$C$26+MAX($G$6-CHOOSE(PARAM!$B$44,MAX(0,R179*$F$1),0),0)*RATES!$L156/12+$H$6*(PARAM!$D$51/12)*RATES!$N156/100</f>
        <v>11.007742610534812</v>
      </c>
      <c r="R180" s="16">
        <f t="shared" si="115"/>
        <v>288.30006807752102</v>
      </c>
      <c r="S180" s="15">
        <f t="shared" si="90"/>
        <v>22.170849845882874</v>
      </c>
      <c r="T180" s="75">
        <f>S180*(1-PARAM!$C$27)*$I$7+(MOD($B180,60)=PARAM!$B$56)*($B180&gt;(60-PARAM!$B$56))*HLOOKUP(($B180+PARAM!$B$56)/12,Loyalty,2)*$F$1*MAX(V179,0)</f>
        <v>18.557001321003963</v>
      </c>
      <c r="U180" s="75">
        <f>PARAM!$C$26+MAX($G$7-CHOOSE(PARAM!$B$44,MAX(0,V179*$F$1),0),0)*RATES!$L156/12+$H$7*(PARAM!$D$51/12)*RATES!$N156/100</f>
        <v>11.007742610534812</v>
      </c>
      <c r="V180" s="16">
        <f t="shared" si="116"/>
        <v>288.30006807752102</v>
      </c>
      <c r="W180" s="15">
        <f t="shared" si="91"/>
        <v>22.170849845882874</v>
      </c>
      <c r="X180" s="75">
        <f>W180*(1-PARAM!$C$27)*$I$8+(MOD($B180,60)=PARAM!$B$56)*($B180&gt;(60-PARAM!$B$56))*HLOOKUP(($B180+PARAM!$B$56)/12,Loyalty,2)*$F$1*MAX(Z179,0)</f>
        <v>18.557001321003963</v>
      </c>
      <c r="Y180" s="75">
        <f>PARAM!$C$26+MAX($G$8-CHOOSE(PARAM!$B$44,MAX(0,Z179*$F$1),0),0)*RATES!$L156/12+$H$8*(PARAM!$D$51/12)*RATES!$N156/100</f>
        <v>11.007742610534812</v>
      </c>
      <c r="Z180" s="16">
        <f t="shared" si="117"/>
        <v>288.30006807752102</v>
      </c>
      <c r="AA180" s="15">
        <f t="shared" si="92"/>
        <v>22.170849845882874</v>
      </c>
      <c r="AB180" s="75">
        <f>AA180*(1-PARAM!$C$27)*$I$9+(MOD($B180,60)=PARAM!$B$56)*($B180&gt;(60-PARAM!$B$56))*HLOOKUP(($B180+PARAM!$B$56)/12,Loyalty,2)*$F$1*MAX(AD179,0)</f>
        <v>18.557001321003963</v>
      </c>
      <c r="AC180" s="75">
        <f>PARAM!$C$26+MAX($G$9-CHOOSE(PARAM!$B$44,MAX(0,AD179*$F$1),0),0)*RATES!$L156/12+$H$9*(PARAM!$D$51/12)*RATES!$N156/100</f>
        <v>11.007742610534812</v>
      </c>
      <c r="AD180" s="16">
        <f t="shared" si="118"/>
        <v>288.30006807752102</v>
      </c>
      <c r="AE180" s="15">
        <f t="shared" si="93"/>
        <v>22.170849845882874</v>
      </c>
      <c r="AF180" s="75">
        <f>AE180*(1-PARAM!$C$27)*$I$10+(MOD($B180,60)=PARAM!$B$56)*($B180&gt;(60-PARAM!$B$56))*HLOOKUP(($B180+PARAM!$B$56)/12,Loyalty,2)*$F$1*MAX(AH179,0)</f>
        <v>18.557001321003963</v>
      </c>
      <c r="AG180" s="75">
        <f>PARAM!$C$26+MAX($G$10-CHOOSE(PARAM!$B$44,MAX(0,AH179*$F$1),0),0)*RATES!$L156/12+$H$10*(PARAM!$D$51/12)*RATES!$N156/100</f>
        <v>11.007742610534812</v>
      </c>
      <c r="AH180" s="16">
        <f t="shared" si="119"/>
        <v>288.30006807752102</v>
      </c>
      <c r="AI180" s="15">
        <f t="shared" si="94"/>
        <v>22.170849845882874</v>
      </c>
      <c r="AJ180" s="75">
        <f>AI180*(1-PARAM!$C$27)*$I$11+(MOD($B180,60)=PARAM!$B$56)*($B180&gt;(60-PARAM!$B$56))*HLOOKUP(($B180+PARAM!$B$56)/12,Loyalty,2)*$F$1*MAX(AL179,0)</f>
        <v>18.557001321003963</v>
      </c>
      <c r="AK180" s="75">
        <f>PARAM!$C$26+MAX($G$11-CHOOSE(PARAM!$B$44,MAX(0,AL179*$F$1),0),0)*RATES!$L156/12+$H$11*(PARAM!$D$51/12)*RATES!$N156/100</f>
        <v>11.007742610534812</v>
      </c>
      <c r="AL180" s="16">
        <f t="shared" si="120"/>
        <v>288.30006807752102</v>
      </c>
      <c r="AM180" s="15">
        <f t="shared" si="95"/>
        <v>22.170849845882874</v>
      </c>
      <c r="AN180" s="75">
        <f>AM180*(1-PARAM!$C$27)*$I$12+(MOD($B180,60)=PARAM!$B$56)*($B180&gt;(60-PARAM!$B$56))*HLOOKUP(($B180+PARAM!$B$56)/12,Loyalty,2)*$F$1*MAX(AP179,0)</f>
        <v>18.557001321003963</v>
      </c>
      <c r="AO180" s="75">
        <f>PARAM!$C$26+MAX($G$12-CHOOSE(PARAM!$B$44,MAX(0,AP179*$F$1),0),0)*RATES!$L156/12+$H$12*(PARAM!$D$51/12)*RATES!$N156/100</f>
        <v>11.007742610534812</v>
      </c>
      <c r="AP180" s="16">
        <f t="shared" si="121"/>
        <v>288.30006807752102</v>
      </c>
      <c r="AQ180" s="15">
        <f t="shared" si="96"/>
        <v>22.170849845882874</v>
      </c>
      <c r="AR180" s="75">
        <f>AQ180*(1-PARAM!$C$27)*$I$13+(MOD($B180,60)=PARAM!$B$56)*($B180&gt;(60-PARAM!$B$56))*HLOOKUP(($B180+PARAM!$B$56)/12,Loyalty,2)*$F$1*MAX(AT179,0)</f>
        <v>18.557001321003963</v>
      </c>
      <c r="AS180" s="75">
        <f>PARAM!$C$26+MAX($G$13-CHOOSE(PARAM!$B$44,MAX(0,AT179*$F$1),0),0)*RATES!$L156/12+$H$13*(PARAM!$D$51/12)*RATES!$N156/100</f>
        <v>11.007742610534812</v>
      </c>
      <c r="AT180" s="16">
        <f t="shared" si="122"/>
        <v>288.30006807752102</v>
      </c>
      <c r="AU180" s="15">
        <f t="shared" si="97"/>
        <v>22.170849845882874</v>
      </c>
      <c r="AV180" s="75">
        <f>AU180*(1-PARAM!$C$27)*$I$14+(MOD($B180,60)=PARAM!$B$56)*($B180&gt;(60-PARAM!$B$56))*HLOOKUP(($B180+PARAM!$B$56)/12,Loyalty,2)*$F$1*MAX(AX179,0)</f>
        <v>18.557001321003963</v>
      </c>
      <c r="AW180" s="75">
        <f>PARAM!$C$26+MAX($G$14-CHOOSE(PARAM!$B$44,MAX(0,AX179*$F$1),0),0)*RATES!$L156/12+$H$14*(PARAM!$D$51/12)*RATES!$N156/100</f>
        <v>11.007742610534812</v>
      </c>
      <c r="AX180" s="16">
        <f t="shared" si="123"/>
        <v>288.30006807752102</v>
      </c>
      <c r="AY180" s="15">
        <f t="shared" si="98"/>
        <v>22.170849845882874</v>
      </c>
      <c r="AZ180" s="75">
        <f>AY180*(1-PARAM!$C$27)*$I$15+(MOD($B180,60)=PARAM!$B$56)*($B180&gt;(60-PARAM!$B$56))*HLOOKUP(($B180+PARAM!$B$56)/12,Loyalty,2)*$F$1*MAX(BB179,0)</f>
        <v>18.557001321003963</v>
      </c>
      <c r="BA180" s="75">
        <f>PARAM!$C$26+MAX($G$15-CHOOSE(PARAM!$B$44,MAX(0,BB179*$F$1),0),0)*RATES!$L156/12+$H$15*(PARAM!$D$51/12)*RATES!$N156/100</f>
        <v>11.007742610534812</v>
      </c>
      <c r="BB180" s="16">
        <f t="shared" si="124"/>
        <v>288.30006807752102</v>
      </c>
      <c r="BC180" s="15">
        <f t="shared" si="99"/>
        <v>22.170849845882874</v>
      </c>
      <c r="BD180" s="75">
        <f>BC180*(1-PARAM!$C$27)*$I$16+(MOD($B180,60)=PARAM!$B$56)*($B180&gt;(60-PARAM!$B$56))*HLOOKUP(($B180+PARAM!$B$56)/12,Loyalty,2)*$F$1*MAX(BF179,0)</f>
        <v>18.557001321003963</v>
      </c>
      <c r="BE180" s="75">
        <f>PARAM!$C$26+MAX($G$16-CHOOSE(PARAM!$B$44,MAX(0,BF179*$F$1),0),0)*RATES!$L156/12+$H$16*(PARAM!$D$51/12)*RATES!$N156/100</f>
        <v>11.007742610534812</v>
      </c>
      <c r="BF180" s="16">
        <f t="shared" si="125"/>
        <v>288.30006807752102</v>
      </c>
      <c r="BG180" s="15">
        <f t="shared" si="100"/>
        <v>22.170849845882874</v>
      </c>
      <c r="BH180" s="75">
        <f>BG180*(1-PARAM!$C$27)*$I$17+(MOD($B180,60)=PARAM!$B$56)*($B180&gt;(60-PARAM!$B$56))*HLOOKUP(($B180+PARAM!$B$56)/12,Loyalty,2)*$F$1*MAX(BJ179,0)</f>
        <v>18.557001321003963</v>
      </c>
      <c r="BI180" s="75">
        <f>PARAM!$C$26+MAX($G$17-CHOOSE(PARAM!$B$44,MAX(0,BJ179*$F$1),0),0)*RATES!$L156/12+$H$17*(PARAM!$D$51/12)*RATES!$N156/100</f>
        <v>11.007742610534812</v>
      </c>
      <c r="BJ180" s="16">
        <f t="shared" si="126"/>
        <v>288.30006807752102</v>
      </c>
      <c r="BK180" s="15">
        <f t="shared" si="101"/>
        <v>22.170849845882874</v>
      </c>
      <c r="BL180" s="75">
        <f>BK180*(1-PARAM!$C$27)*$I$18+(MOD($B180,60)=PARAM!$B$56)*($B180&gt;(60-PARAM!$B$56))*HLOOKUP(($B180+PARAM!$B$56)/12,Loyalty,2)*$F$1*MAX(BN179,0)</f>
        <v>18.557001321003963</v>
      </c>
      <c r="BM180" s="75">
        <f>PARAM!$C$26+MAX($G$18-CHOOSE(PARAM!$B$44,MAX(0,BN179*$F$1),0),0)*RATES!$L156/12+$H$18*(PARAM!$D$51/12)*RATES!$N156/100</f>
        <v>11.007742610534812</v>
      </c>
      <c r="BN180" s="16">
        <f t="shared" si="127"/>
        <v>288.30006807752102</v>
      </c>
      <c r="BO180" s="15">
        <f t="shared" si="102"/>
        <v>22.170849845882874</v>
      </c>
      <c r="BP180" s="75">
        <f>BO180*(1-PARAM!$C$27)*$I$19+(MOD($B180,60)=PARAM!$B$56)*($B180&gt;(60-PARAM!$B$56))*HLOOKUP(($B180+PARAM!$B$56)/12,Loyalty,2)*$F$1*MAX(BR179,0)</f>
        <v>18.557001321003963</v>
      </c>
      <c r="BQ180" s="75">
        <f>PARAM!$C$26+MAX($G$19-CHOOSE(PARAM!$B$44,MAX(0,BR179*$F$1),0),0)*RATES!$L156/12+$H$19*(PARAM!$D$51/12)*RATES!$N156/100</f>
        <v>11.007742610534812</v>
      </c>
      <c r="BR180" s="16">
        <f t="shared" si="128"/>
        <v>288.30006807752102</v>
      </c>
      <c r="BS180" s="15">
        <f t="shared" si="103"/>
        <v>22.170849845882874</v>
      </c>
      <c r="BT180" s="75">
        <f>BS180*(1-PARAM!$C$27)*$I$20+(MOD($B180,60)=PARAM!$B$56)*($B180&gt;(60-PARAM!$B$56))*HLOOKUP(($B180+PARAM!$B$56)/12,Loyalty,2)*$F$1*MAX(BV179,0)</f>
        <v>18.557001321003963</v>
      </c>
      <c r="BU180" s="75">
        <f>PARAM!$C$26+MAX($G$20-CHOOSE(PARAM!$B$44,MAX(0,BV179*$F$1),0),0)*RATES!$L156/12+$H$20*(PARAM!$D$51/12)*RATES!$N156/100</f>
        <v>11.007742610534812</v>
      </c>
      <c r="BV180" s="16">
        <f t="shared" si="129"/>
        <v>288.30006807752102</v>
      </c>
      <c r="BW180" s="15">
        <f t="shared" si="104"/>
        <v>22.170849845882874</v>
      </c>
      <c r="BX180" s="75">
        <f>BW180*(1-PARAM!$C$27)*$I$21+(MOD($B180,60)=PARAM!$B$56)*($B180&gt;(60-PARAM!$B$56))*HLOOKUP(($B180+PARAM!$B$56)/12,Loyalty,2)*$F$1*MAX(BZ179,0)</f>
        <v>18.557001321003963</v>
      </c>
      <c r="BY180" s="75">
        <f>PARAM!$C$26+MAX($G$21-CHOOSE(PARAM!$B$44,MAX(0,BZ179*$F$1),0),0)*RATES!$L156/12+$H$21*(PARAM!$D$51/12)*RATES!$N156/100</f>
        <v>11.007742610534812</v>
      </c>
      <c r="BZ180" s="16">
        <f t="shared" si="130"/>
        <v>288.30006807752102</v>
      </c>
      <c r="CA180" s="15">
        <f t="shared" si="105"/>
        <v>22.170849845882874</v>
      </c>
      <c r="CB180" s="75">
        <f>CA180*(1-PARAM!$C$27)*$I$22+(MOD($B180,60)=PARAM!$B$56)*($B180&gt;(60-PARAM!$B$56))*HLOOKUP(($B180+PARAM!$B$56)/12,Loyalty,2)*$F$1*MAX(CD179,0)</f>
        <v>18.557001321003963</v>
      </c>
      <c r="CC180" s="75">
        <f>PARAM!$C$26+MAX($G$22-CHOOSE(PARAM!$B$44,MAX(0,CD179*$F$1),0),0)*RATES!$L156/12+$H$22*(PARAM!$D$51/12)*RATES!$N156/100</f>
        <v>11.007742610534812</v>
      </c>
      <c r="CD180" s="16">
        <f t="shared" si="131"/>
        <v>288.30006807752102</v>
      </c>
      <c r="CE180" s="33">
        <f>IF(0=MOD(B180,12/PARAM!$D$51),1,0)</f>
        <v>1</v>
      </c>
      <c r="CF180" s="15">
        <f t="shared" si="106"/>
        <v>0</v>
      </c>
      <c r="CG180" s="75">
        <f>CF180*(1-PARAM!$C$27)*$R$3+(MOD($B180/12,5)=0)*($B180&gt;60)*HLOOKUP($B180/12,Loyalty,2)*$F$1*MAX(CI179,0)</f>
        <v>0</v>
      </c>
      <c r="CH180" s="75">
        <f>PARAM!$C$26+MAX($P$3-CHOOSE(PARAM!$B$44,MAX(0,CI179*$F$1),0),0)*RATES!$L156/12+$Q$3*(PARAM!$D$51/12)*RATES!$N156/100</f>
        <v>11.041666666666668</v>
      </c>
      <c r="CI180" s="16">
        <f>IF(CI179&gt;0,CI179*PARAM!$C$53,CI179)+CG180-CH180</f>
        <v>-2357.1666666666647</v>
      </c>
      <c r="CJ180" s="15">
        <f t="shared" si="132"/>
        <v>0</v>
      </c>
      <c r="CK180" s="75">
        <f>CJ180*(1-PARAM!$C$27)*$R$4+(MOD($B180/12,5)=0)*($B180&gt;60)*HLOOKUP($B180/12,Loyalty,2)*$F$1*MAX(CM179,0)</f>
        <v>0</v>
      </c>
      <c r="CL180" s="75">
        <f>PARAM!$C$26+MAX($P$4-CHOOSE(PARAM!$B$44,MAX(0,CM179*$F$1),0),0)*RATES!$L156/12+$Q$4*(PARAM!$D$51/12)*RATES!$N156/100</f>
        <v>11.041666666666668</v>
      </c>
      <c r="CM180" s="16">
        <f>IF(CM179&gt;0,CM179*PARAM!$C$53,CM179)+CK180-CL180</f>
        <v>-2357.1666666666647</v>
      </c>
      <c r="CO180" s="176"/>
    </row>
    <row r="181" spans="1:93" x14ac:dyDescent="0.2">
      <c r="A181" t="b">
        <f t="shared" si="107"/>
        <v>1</v>
      </c>
      <c r="B181" s="33">
        <v>154</v>
      </c>
      <c r="C181" s="15">
        <f t="shared" si="108"/>
        <v>20.081305947392778</v>
      </c>
      <c r="D181" s="75">
        <f>C181*(1-PARAM!$C$27)*$I$3+(MOD($B181,60)=PARAM!$B$56)*($B181&gt;(60-PARAM!$B$56))*HLOOKUP(($B181+PARAM!$B$56)/12,Loyalty,2)*$F$1*MAX(F180,0)</f>
        <v>16.808053077967756</v>
      </c>
      <c r="E181" s="75">
        <f>PARAM!$C$26+MAX($G$3-CHOOSE(PARAM!$B$44,MAX(0,F180*$F$1),0),0)*RATES!$L157/12+$H$3*(PARAM!$D$51/12)*RATES!$N157/100</f>
        <v>11.037013873412928</v>
      </c>
      <c r="F181" s="16">
        <f t="shared" si="109"/>
        <v>44.276914407915129</v>
      </c>
      <c r="G181" s="15">
        <f t="shared" si="110"/>
        <v>22.035289406060361</v>
      </c>
      <c r="H181" s="75">
        <f>G181*(1-PARAM!$C$27)*$I$4+(MOD($B181,60)=PARAM!$B$56)*($B181&gt;(60-PARAM!$B$56))*HLOOKUP(($B181+PARAM!$B$56)/12,Loyalty,2)*$F$1*MAX(J180,0)</f>
        <v>18.443537232872522</v>
      </c>
      <c r="I181" s="75">
        <f>PARAM!$C$26+MAX($G$4-CHOOSE(PARAM!$B$44,MAX(0,J180*$F$1),0),0)*RATES!$L157/12+$H$4*(PARAM!$D$51/12)*RATES!$N157/100</f>
        <v>11.008790364111267</v>
      </c>
      <c r="J181" s="16">
        <f t="shared" si="111"/>
        <v>279.514492154832</v>
      </c>
      <c r="K181" s="15">
        <f t="shared" si="112"/>
        <v>22.170849845882874</v>
      </c>
      <c r="L181" s="75">
        <f>K181*(1-PARAM!$C$27)*$I$5+(MOD($B181,60)=PARAM!$B$56)*($B181&gt;(60-PARAM!$B$56))*HLOOKUP(($B181+PARAM!$B$56)/12,Loyalty,2)*$F$1*MAX(N180,0)</f>
        <v>18.557001321003963</v>
      </c>
      <c r="M181" s="75">
        <f>PARAM!$C$26+MAX($G$5-CHOOSE(PARAM!$B$44,MAX(0,N180*$F$1),0),0)*RATES!$L157/12+$H$5*(PARAM!$D$51/12)*RATES!$N157/100</f>
        <v>11.006830408440631</v>
      </c>
      <c r="N181" s="16">
        <f t="shared" si="113"/>
        <v>295.85023899008434</v>
      </c>
      <c r="O181" s="15">
        <f t="shared" si="114"/>
        <v>22.170849845882874</v>
      </c>
      <c r="P181" s="75">
        <f>O181*(1-PARAM!$C$27)*$I$6+(MOD($B181,60)=PARAM!$B$56)*($B181&gt;(60-PARAM!$B$56))*HLOOKUP(($B181+PARAM!$B$56)/12,Loyalty,2)*$F$1*MAX(R180,0)</f>
        <v>18.557001321003963</v>
      </c>
      <c r="Q181" s="75">
        <f>PARAM!$C$26+MAX($G$6-CHOOSE(PARAM!$B$44,MAX(0,R180*$F$1),0),0)*RATES!$L157/12+$H$6*(PARAM!$D$51/12)*RATES!$N157/100</f>
        <v>11.006830408440631</v>
      </c>
      <c r="R181" s="16">
        <f t="shared" si="115"/>
        <v>295.85023899008434</v>
      </c>
      <c r="S181" s="15">
        <f t="shared" si="90"/>
        <v>22.170849845882874</v>
      </c>
      <c r="T181" s="75">
        <f>S181*(1-PARAM!$C$27)*$I$7+(MOD($B181,60)=PARAM!$B$56)*($B181&gt;(60-PARAM!$B$56))*HLOOKUP(($B181+PARAM!$B$56)/12,Loyalty,2)*$F$1*MAX(V180,0)</f>
        <v>18.557001321003963</v>
      </c>
      <c r="U181" s="75">
        <f>PARAM!$C$26+MAX($G$7-CHOOSE(PARAM!$B$44,MAX(0,V180*$F$1),0),0)*RATES!$L157/12+$H$7*(PARAM!$D$51/12)*RATES!$N157/100</f>
        <v>11.006830408440631</v>
      </c>
      <c r="V181" s="16">
        <f t="shared" si="116"/>
        <v>295.85023899008434</v>
      </c>
      <c r="W181" s="15">
        <f t="shared" si="91"/>
        <v>22.170849845882874</v>
      </c>
      <c r="X181" s="75">
        <f>W181*(1-PARAM!$C$27)*$I$8+(MOD($B181,60)=PARAM!$B$56)*($B181&gt;(60-PARAM!$B$56))*HLOOKUP(($B181+PARAM!$B$56)/12,Loyalty,2)*$F$1*MAX(Z180,0)</f>
        <v>18.557001321003963</v>
      </c>
      <c r="Y181" s="75">
        <f>PARAM!$C$26+MAX($G$8-CHOOSE(PARAM!$B$44,MAX(0,Z180*$F$1),0),0)*RATES!$L157/12+$H$8*(PARAM!$D$51/12)*RATES!$N157/100</f>
        <v>11.006830408440631</v>
      </c>
      <c r="Z181" s="16">
        <f t="shared" si="117"/>
        <v>295.85023899008434</v>
      </c>
      <c r="AA181" s="15">
        <f t="shared" si="92"/>
        <v>22.170849845882874</v>
      </c>
      <c r="AB181" s="75">
        <f>AA181*(1-PARAM!$C$27)*$I$9+(MOD($B181,60)=PARAM!$B$56)*($B181&gt;(60-PARAM!$B$56))*HLOOKUP(($B181+PARAM!$B$56)/12,Loyalty,2)*$F$1*MAX(AD180,0)</f>
        <v>18.557001321003963</v>
      </c>
      <c r="AC181" s="75">
        <f>PARAM!$C$26+MAX($G$9-CHOOSE(PARAM!$B$44,MAX(0,AD180*$F$1),0),0)*RATES!$L157/12+$H$9*(PARAM!$D$51/12)*RATES!$N157/100</f>
        <v>11.006830408440631</v>
      </c>
      <c r="AD181" s="16">
        <f t="shared" si="118"/>
        <v>295.85023899008434</v>
      </c>
      <c r="AE181" s="15">
        <f t="shared" si="93"/>
        <v>22.170849845882874</v>
      </c>
      <c r="AF181" s="75">
        <f>AE181*(1-PARAM!$C$27)*$I$10+(MOD($B181,60)=PARAM!$B$56)*($B181&gt;(60-PARAM!$B$56))*HLOOKUP(($B181+PARAM!$B$56)/12,Loyalty,2)*$F$1*MAX(AH180,0)</f>
        <v>18.557001321003963</v>
      </c>
      <c r="AG181" s="75">
        <f>PARAM!$C$26+MAX($G$10-CHOOSE(PARAM!$B$44,MAX(0,AH180*$F$1),0),0)*RATES!$L157/12+$H$10*(PARAM!$D$51/12)*RATES!$N157/100</f>
        <v>11.006830408440631</v>
      </c>
      <c r="AH181" s="16">
        <f t="shared" si="119"/>
        <v>295.85023899008434</v>
      </c>
      <c r="AI181" s="15">
        <f t="shared" si="94"/>
        <v>22.170849845882874</v>
      </c>
      <c r="AJ181" s="75">
        <f>AI181*(1-PARAM!$C$27)*$I$11+(MOD($B181,60)=PARAM!$B$56)*($B181&gt;(60-PARAM!$B$56))*HLOOKUP(($B181+PARAM!$B$56)/12,Loyalty,2)*$F$1*MAX(AL180,0)</f>
        <v>18.557001321003963</v>
      </c>
      <c r="AK181" s="75">
        <f>PARAM!$C$26+MAX($G$11-CHOOSE(PARAM!$B$44,MAX(0,AL180*$F$1),0),0)*RATES!$L157/12+$H$11*(PARAM!$D$51/12)*RATES!$N157/100</f>
        <v>11.006830408440631</v>
      </c>
      <c r="AL181" s="16">
        <f t="shared" si="120"/>
        <v>295.85023899008434</v>
      </c>
      <c r="AM181" s="15">
        <f t="shared" si="95"/>
        <v>22.170849845882874</v>
      </c>
      <c r="AN181" s="75">
        <f>AM181*(1-PARAM!$C$27)*$I$12+(MOD($B181,60)=PARAM!$B$56)*($B181&gt;(60-PARAM!$B$56))*HLOOKUP(($B181+PARAM!$B$56)/12,Loyalty,2)*$F$1*MAX(AP180,0)</f>
        <v>18.557001321003963</v>
      </c>
      <c r="AO181" s="75">
        <f>PARAM!$C$26+MAX($G$12-CHOOSE(PARAM!$B$44,MAX(0,AP180*$F$1),0),0)*RATES!$L157/12+$H$12*(PARAM!$D$51/12)*RATES!$N157/100</f>
        <v>11.006830408440631</v>
      </c>
      <c r="AP181" s="16">
        <f t="shared" si="121"/>
        <v>295.85023899008434</v>
      </c>
      <c r="AQ181" s="15">
        <f t="shared" si="96"/>
        <v>22.170849845882874</v>
      </c>
      <c r="AR181" s="75">
        <f>AQ181*(1-PARAM!$C$27)*$I$13+(MOD($B181,60)=PARAM!$B$56)*($B181&gt;(60-PARAM!$B$56))*HLOOKUP(($B181+PARAM!$B$56)/12,Loyalty,2)*$F$1*MAX(AT180,0)</f>
        <v>18.557001321003963</v>
      </c>
      <c r="AS181" s="75">
        <f>PARAM!$C$26+MAX($G$13-CHOOSE(PARAM!$B$44,MAX(0,AT180*$F$1),0),0)*RATES!$L157/12+$H$13*(PARAM!$D$51/12)*RATES!$N157/100</f>
        <v>11.006830408440631</v>
      </c>
      <c r="AT181" s="16">
        <f t="shared" si="122"/>
        <v>295.85023899008434</v>
      </c>
      <c r="AU181" s="15">
        <f t="shared" si="97"/>
        <v>22.170849845882874</v>
      </c>
      <c r="AV181" s="75">
        <f>AU181*(1-PARAM!$C$27)*$I$14+(MOD($B181,60)=PARAM!$B$56)*($B181&gt;(60-PARAM!$B$56))*HLOOKUP(($B181+PARAM!$B$56)/12,Loyalty,2)*$F$1*MAX(AX180,0)</f>
        <v>18.557001321003963</v>
      </c>
      <c r="AW181" s="75">
        <f>PARAM!$C$26+MAX($G$14-CHOOSE(PARAM!$B$44,MAX(0,AX180*$F$1),0),0)*RATES!$L157/12+$H$14*(PARAM!$D$51/12)*RATES!$N157/100</f>
        <v>11.006830408440631</v>
      </c>
      <c r="AX181" s="16">
        <f t="shared" si="123"/>
        <v>295.85023899008434</v>
      </c>
      <c r="AY181" s="15">
        <f t="shared" si="98"/>
        <v>22.170849845882874</v>
      </c>
      <c r="AZ181" s="75">
        <f>AY181*(1-PARAM!$C$27)*$I$15+(MOD($B181,60)=PARAM!$B$56)*($B181&gt;(60-PARAM!$B$56))*HLOOKUP(($B181+PARAM!$B$56)/12,Loyalty,2)*$F$1*MAX(BB180,0)</f>
        <v>18.557001321003963</v>
      </c>
      <c r="BA181" s="75">
        <f>PARAM!$C$26+MAX($G$15-CHOOSE(PARAM!$B$44,MAX(0,BB180*$F$1),0),0)*RATES!$L157/12+$H$15*(PARAM!$D$51/12)*RATES!$N157/100</f>
        <v>11.006830408440631</v>
      </c>
      <c r="BB181" s="16">
        <f t="shared" si="124"/>
        <v>295.85023899008434</v>
      </c>
      <c r="BC181" s="15">
        <f t="shared" si="99"/>
        <v>22.170849845882874</v>
      </c>
      <c r="BD181" s="75">
        <f>BC181*(1-PARAM!$C$27)*$I$16+(MOD($B181,60)=PARAM!$B$56)*($B181&gt;(60-PARAM!$B$56))*HLOOKUP(($B181+PARAM!$B$56)/12,Loyalty,2)*$F$1*MAX(BF180,0)</f>
        <v>18.557001321003963</v>
      </c>
      <c r="BE181" s="75">
        <f>PARAM!$C$26+MAX($G$16-CHOOSE(PARAM!$B$44,MAX(0,BF180*$F$1),0),0)*RATES!$L157/12+$H$16*(PARAM!$D$51/12)*RATES!$N157/100</f>
        <v>11.006830408440631</v>
      </c>
      <c r="BF181" s="16">
        <f t="shared" si="125"/>
        <v>295.85023899008434</v>
      </c>
      <c r="BG181" s="15">
        <f t="shared" si="100"/>
        <v>22.170849845882874</v>
      </c>
      <c r="BH181" s="75">
        <f>BG181*(1-PARAM!$C$27)*$I$17+(MOD($B181,60)=PARAM!$B$56)*($B181&gt;(60-PARAM!$B$56))*HLOOKUP(($B181+PARAM!$B$56)/12,Loyalty,2)*$F$1*MAX(BJ180,0)</f>
        <v>18.557001321003963</v>
      </c>
      <c r="BI181" s="75">
        <f>PARAM!$C$26+MAX($G$17-CHOOSE(PARAM!$B$44,MAX(0,BJ180*$F$1),0),0)*RATES!$L157/12+$H$17*(PARAM!$D$51/12)*RATES!$N157/100</f>
        <v>11.006830408440631</v>
      </c>
      <c r="BJ181" s="16">
        <f t="shared" si="126"/>
        <v>295.85023899008434</v>
      </c>
      <c r="BK181" s="15">
        <f t="shared" si="101"/>
        <v>22.170849845882874</v>
      </c>
      <c r="BL181" s="75">
        <f>BK181*(1-PARAM!$C$27)*$I$18+(MOD($B181,60)=PARAM!$B$56)*($B181&gt;(60-PARAM!$B$56))*HLOOKUP(($B181+PARAM!$B$56)/12,Loyalty,2)*$F$1*MAX(BN180,0)</f>
        <v>18.557001321003963</v>
      </c>
      <c r="BM181" s="75">
        <f>PARAM!$C$26+MAX($G$18-CHOOSE(PARAM!$B$44,MAX(0,BN180*$F$1),0),0)*RATES!$L157/12+$H$18*(PARAM!$D$51/12)*RATES!$N157/100</f>
        <v>11.006830408440631</v>
      </c>
      <c r="BN181" s="16">
        <f t="shared" si="127"/>
        <v>295.85023899008434</v>
      </c>
      <c r="BO181" s="15">
        <f t="shared" si="102"/>
        <v>22.170849845882874</v>
      </c>
      <c r="BP181" s="75">
        <f>BO181*(1-PARAM!$C$27)*$I$19+(MOD($B181,60)=PARAM!$B$56)*($B181&gt;(60-PARAM!$B$56))*HLOOKUP(($B181+PARAM!$B$56)/12,Loyalty,2)*$F$1*MAX(BR180,0)</f>
        <v>18.557001321003963</v>
      </c>
      <c r="BQ181" s="75">
        <f>PARAM!$C$26+MAX($G$19-CHOOSE(PARAM!$B$44,MAX(0,BR180*$F$1),0),0)*RATES!$L157/12+$H$19*(PARAM!$D$51/12)*RATES!$N157/100</f>
        <v>11.006830408440631</v>
      </c>
      <c r="BR181" s="16">
        <f t="shared" si="128"/>
        <v>295.85023899008434</v>
      </c>
      <c r="BS181" s="15">
        <f t="shared" si="103"/>
        <v>22.170849845882874</v>
      </c>
      <c r="BT181" s="75">
        <f>BS181*(1-PARAM!$C$27)*$I$20+(MOD($B181,60)=PARAM!$B$56)*($B181&gt;(60-PARAM!$B$56))*HLOOKUP(($B181+PARAM!$B$56)/12,Loyalty,2)*$F$1*MAX(BV180,0)</f>
        <v>18.557001321003963</v>
      </c>
      <c r="BU181" s="75">
        <f>PARAM!$C$26+MAX($G$20-CHOOSE(PARAM!$B$44,MAX(0,BV180*$F$1),0),0)*RATES!$L157/12+$H$20*(PARAM!$D$51/12)*RATES!$N157/100</f>
        <v>11.006830408440631</v>
      </c>
      <c r="BV181" s="16">
        <f t="shared" si="129"/>
        <v>295.85023899008434</v>
      </c>
      <c r="BW181" s="15">
        <f t="shared" si="104"/>
        <v>22.170849845882874</v>
      </c>
      <c r="BX181" s="75">
        <f>BW181*(1-PARAM!$C$27)*$I$21+(MOD($B181,60)=PARAM!$B$56)*($B181&gt;(60-PARAM!$B$56))*HLOOKUP(($B181+PARAM!$B$56)/12,Loyalty,2)*$F$1*MAX(BZ180,0)</f>
        <v>18.557001321003963</v>
      </c>
      <c r="BY181" s="75">
        <f>PARAM!$C$26+MAX($G$21-CHOOSE(PARAM!$B$44,MAX(0,BZ180*$F$1),0),0)*RATES!$L157/12+$H$21*(PARAM!$D$51/12)*RATES!$N157/100</f>
        <v>11.006830408440631</v>
      </c>
      <c r="BZ181" s="16">
        <f t="shared" si="130"/>
        <v>295.85023899008434</v>
      </c>
      <c r="CA181" s="15">
        <f t="shared" si="105"/>
        <v>22.170849845882874</v>
      </c>
      <c r="CB181" s="75">
        <f>CA181*(1-PARAM!$C$27)*$I$22+(MOD($B181,60)=PARAM!$B$56)*($B181&gt;(60-PARAM!$B$56))*HLOOKUP(($B181+PARAM!$B$56)/12,Loyalty,2)*$F$1*MAX(CD180,0)</f>
        <v>18.557001321003963</v>
      </c>
      <c r="CC181" s="75">
        <f>PARAM!$C$26+MAX($G$22-CHOOSE(PARAM!$B$44,MAX(0,CD180*$F$1),0),0)*RATES!$L157/12+$H$22*(PARAM!$D$51/12)*RATES!$N157/100</f>
        <v>11.006830408440631</v>
      </c>
      <c r="CD181" s="16">
        <f t="shared" si="131"/>
        <v>295.85023899008434</v>
      </c>
      <c r="CE181" s="33">
        <f>IF(0=MOD(B181,12/PARAM!$D$51),1,0)</f>
        <v>1</v>
      </c>
      <c r="CF181" s="15">
        <f t="shared" si="106"/>
        <v>0</v>
      </c>
      <c r="CG181" s="75">
        <f>CF181*(1-PARAM!$C$27)*$R$3+(MOD($B181/12,5)=0)*($B181&gt;60)*HLOOKUP($B181/12,Loyalty,2)*$F$1*MAX(CI180,0)</f>
        <v>0</v>
      </c>
      <c r="CH181" s="75">
        <f>PARAM!$C$26+MAX($P$3-CHOOSE(PARAM!$B$44,MAX(0,CI180*$F$1),0),0)*RATES!$L157/12+$Q$3*(PARAM!$D$51/12)*RATES!$N157/100</f>
        <v>11.041666666666668</v>
      </c>
      <c r="CI181" s="16">
        <f>IF(CI180&gt;0,CI180*PARAM!$C$53,CI180)+CG181-CH181</f>
        <v>-2368.2083333333312</v>
      </c>
      <c r="CJ181" s="15">
        <f t="shared" si="132"/>
        <v>0</v>
      </c>
      <c r="CK181" s="75">
        <f>CJ181*(1-PARAM!$C$27)*$R$4+(MOD($B181/12,5)=0)*($B181&gt;60)*HLOOKUP($B181/12,Loyalty,2)*$F$1*MAX(CM180,0)</f>
        <v>0</v>
      </c>
      <c r="CL181" s="75">
        <f>PARAM!$C$26+MAX($P$4-CHOOSE(PARAM!$B$44,MAX(0,CM180*$F$1),0),0)*RATES!$L157/12+$Q$4*(PARAM!$D$51/12)*RATES!$N157/100</f>
        <v>11.041666666666668</v>
      </c>
      <c r="CM181" s="16">
        <f>IF(CM180&gt;0,CM180*PARAM!$C$53,CM180)+CK181-CL181</f>
        <v>-2368.2083333333312</v>
      </c>
      <c r="CO181" s="176"/>
    </row>
    <row r="182" spans="1:93" x14ac:dyDescent="0.2">
      <c r="A182" t="b">
        <f t="shared" si="107"/>
        <v>1</v>
      </c>
      <c r="B182" s="33">
        <v>155</v>
      </c>
      <c r="C182" s="15">
        <f t="shared" si="108"/>
        <v>20.081305947392778</v>
      </c>
      <c r="D182" s="75">
        <f>C182*(1-PARAM!$C$27)*$I$3+(MOD($B182,60)=PARAM!$B$56)*($B182&gt;(60-PARAM!$B$56))*HLOOKUP(($B182+PARAM!$B$56)/12,Loyalty,2)*$F$1*MAX(F181,0)</f>
        <v>16.808053077967756</v>
      </c>
      <c r="E182" s="75">
        <f>PARAM!$C$26+MAX($G$3-CHOOSE(PARAM!$B$44,MAX(0,F181*$F$1),0),0)*RATES!$L158/12+$H$3*(PARAM!$D$51/12)*RATES!$N158/100</f>
        <v>11.036316539509045</v>
      </c>
      <c r="F182" s="16">
        <f t="shared" si="109"/>
        <v>50.04865094637384</v>
      </c>
      <c r="G182" s="15">
        <f t="shared" si="110"/>
        <v>22.035289406060361</v>
      </c>
      <c r="H182" s="75">
        <f>G182*(1-PARAM!$C$27)*$I$4+(MOD($B182,60)=PARAM!$B$56)*($B182&gt;(60-PARAM!$B$56))*HLOOKUP(($B182+PARAM!$B$56)/12,Loyalty,2)*$F$1*MAX(J181,0)</f>
        <v>18.443537232872522</v>
      </c>
      <c r="I182" s="75">
        <f>PARAM!$C$26+MAX($G$4-CHOOSE(PARAM!$B$44,MAX(0,J181*$F$1),0),0)*RATES!$L158/12+$H$4*(PARAM!$D$51/12)*RATES!$N158/100</f>
        <v>11.007891998864622</v>
      </c>
      <c r="J182" s="16">
        <f t="shared" si="111"/>
        <v>286.95013738883989</v>
      </c>
      <c r="K182" s="15">
        <f t="shared" si="112"/>
        <v>22.170849845882874</v>
      </c>
      <c r="L182" s="75">
        <f>K182*(1-PARAM!$C$27)*$I$5+(MOD($B182,60)=PARAM!$B$56)*($B182&gt;(60-PARAM!$B$56))*HLOOKUP(($B182+PARAM!$B$56)/12,Loyalty,2)*$F$1*MAX(N181,0)</f>
        <v>18.557001321003963</v>
      </c>
      <c r="M182" s="75">
        <f>PARAM!$C$26+MAX($G$5-CHOOSE(PARAM!$B$44,MAX(0,N181*$F$1),0),0)*RATES!$L158/12+$H$5*(PARAM!$D$51/12)*RATES!$N158/100</f>
        <v>11.005918096122031</v>
      </c>
      <c r="N182" s="16">
        <f t="shared" si="113"/>
        <v>303.40132221496629</v>
      </c>
      <c r="O182" s="15">
        <f t="shared" si="114"/>
        <v>22.170849845882874</v>
      </c>
      <c r="P182" s="75">
        <f>O182*(1-PARAM!$C$27)*$I$6+(MOD($B182,60)=PARAM!$B$56)*($B182&gt;(60-PARAM!$B$56))*HLOOKUP(($B182+PARAM!$B$56)/12,Loyalty,2)*$F$1*MAX(R181,0)</f>
        <v>18.557001321003963</v>
      </c>
      <c r="Q182" s="75">
        <f>PARAM!$C$26+MAX($G$6-CHOOSE(PARAM!$B$44,MAX(0,R181*$F$1),0),0)*RATES!$L158/12+$H$6*(PARAM!$D$51/12)*RATES!$N158/100</f>
        <v>11.005918096122031</v>
      </c>
      <c r="R182" s="16">
        <f t="shared" si="115"/>
        <v>303.40132221496629</v>
      </c>
      <c r="S182" s="15">
        <f t="shared" si="90"/>
        <v>22.170849845882874</v>
      </c>
      <c r="T182" s="75">
        <f>S182*(1-PARAM!$C$27)*$I$7+(MOD($B182,60)=PARAM!$B$56)*($B182&gt;(60-PARAM!$B$56))*HLOOKUP(($B182+PARAM!$B$56)/12,Loyalty,2)*$F$1*MAX(V181,0)</f>
        <v>18.557001321003963</v>
      </c>
      <c r="U182" s="75">
        <f>PARAM!$C$26+MAX($G$7-CHOOSE(PARAM!$B$44,MAX(0,V181*$F$1),0),0)*RATES!$L158/12+$H$7*(PARAM!$D$51/12)*RATES!$N158/100</f>
        <v>11.005918096122031</v>
      </c>
      <c r="V182" s="16">
        <f t="shared" si="116"/>
        <v>303.40132221496629</v>
      </c>
      <c r="W182" s="15">
        <f t="shared" si="91"/>
        <v>22.170849845882874</v>
      </c>
      <c r="X182" s="75">
        <f>W182*(1-PARAM!$C$27)*$I$8+(MOD($B182,60)=PARAM!$B$56)*($B182&gt;(60-PARAM!$B$56))*HLOOKUP(($B182+PARAM!$B$56)/12,Loyalty,2)*$F$1*MAX(Z181,0)</f>
        <v>18.557001321003963</v>
      </c>
      <c r="Y182" s="75">
        <f>PARAM!$C$26+MAX($G$8-CHOOSE(PARAM!$B$44,MAX(0,Z181*$F$1),0),0)*RATES!$L158/12+$H$8*(PARAM!$D$51/12)*RATES!$N158/100</f>
        <v>11.005918096122031</v>
      </c>
      <c r="Z182" s="16">
        <f t="shared" si="117"/>
        <v>303.40132221496629</v>
      </c>
      <c r="AA182" s="15">
        <f t="shared" si="92"/>
        <v>22.170849845882874</v>
      </c>
      <c r="AB182" s="75">
        <f>AA182*(1-PARAM!$C$27)*$I$9+(MOD($B182,60)=PARAM!$B$56)*($B182&gt;(60-PARAM!$B$56))*HLOOKUP(($B182+PARAM!$B$56)/12,Loyalty,2)*$F$1*MAX(AD181,0)</f>
        <v>18.557001321003963</v>
      </c>
      <c r="AC182" s="75">
        <f>PARAM!$C$26+MAX($G$9-CHOOSE(PARAM!$B$44,MAX(0,AD181*$F$1),0),0)*RATES!$L158/12+$H$9*(PARAM!$D$51/12)*RATES!$N158/100</f>
        <v>11.005918096122031</v>
      </c>
      <c r="AD182" s="16">
        <f t="shared" si="118"/>
        <v>303.40132221496629</v>
      </c>
      <c r="AE182" s="15">
        <f t="shared" si="93"/>
        <v>22.170849845882874</v>
      </c>
      <c r="AF182" s="75">
        <f>AE182*(1-PARAM!$C$27)*$I$10+(MOD($B182,60)=PARAM!$B$56)*($B182&gt;(60-PARAM!$B$56))*HLOOKUP(($B182+PARAM!$B$56)/12,Loyalty,2)*$F$1*MAX(AH181,0)</f>
        <v>18.557001321003963</v>
      </c>
      <c r="AG182" s="75">
        <f>PARAM!$C$26+MAX($G$10-CHOOSE(PARAM!$B$44,MAX(0,AH181*$F$1),0),0)*RATES!$L158/12+$H$10*(PARAM!$D$51/12)*RATES!$N158/100</f>
        <v>11.005918096122031</v>
      </c>
      <c r="AH182" s="16">
        <f t="shared" si="119"/>
        <v>303.40132221496629</v>
      </c>
      <c r="AI182" s="15">
        <f t="shared" si="94"/>
        <v>22.170849845882874</v>
      </c>
      <c r="AJ182" s="75">
        <f>AI182*(1-PARAM!$C$27)*$I$11+(MOD($B182,60)=PARAM!$B$56)*($B182&gt;(60-PARAM!$B$56))*HLOOKUP(($B182+PARAM!$B$56)/12,Loyalty,2)*$F$1*MAX(AL181,0)</f>
        <v>18.557001321003963</v>
      </c>
      <c r="AK182" s="75">
        <f>PARAM!$C$26+MAX($G$11-CHOOSE(PARAM!$B$44,MAX(0,AL181*$F$1),0),0)*RATES!$L158/12+$H$11*(PARAM!$D$51/12)*RATES!$N158/100</f>
        <v>11.005918096122031</v>
      </c>
      <c r="AL182" s="16">
        <f t="shared" si="120"/>
        <v>303.40132221496629</v>
      </c>
      <c r="AM182" s="15">
        <f t="shared" si="95"/>
        <v>22.170849845882874</v>
      </c>
      <c r="AN182" s="75">
        <f>AM182*(1-PARAM!$C$27)*$I$12+(MOD($B182,60)=PARAM!$B$56)*($B182&gt;(60-PARAM!$B$56))*HLOOKUP(($B182+PARAM!$B$56)/12,Loyalty,2)*$F$1*MAX(AP181,0)</f>
        <v>18.557001321003963</v>
      </c>
      <c r="AO182" s="75">
        <f>PARAM!$C$26+MAX($G$12-CHOOSE(PARAM!$B$44,MAX(0,AP181*$F$1),0),0)*RATES!$L158/12+$H$12*(PARAM!$D$51/12)*RATES!$N158/100</f>
        <v>11.005918096122031</v>
      </c>
      <c r="AP182" s="16">
        <f t="shared" si="121"/>
        <v>303.40132221496629</v>
      </c>
      <c r="AQ182" s="15">
        <f t="shared" si="96"/>
        <v>22.170849845882874</v>
      </c>
      <c r="AR182" s="75">
        <f>AQ182*(1-PARAM!$C$27)*$I$13+(MOD($B182,60)=PARAM!$B$56)*($B182&gt;(60-PARAM!$B$56))*HLOOKUP(($B182+PARAM!$B$56)/12,Loyalty,2)*$F$1*MAX(AT181,0)</f>
        <v>18.557001321003963</v>
      </c>
      <c r="AS182" s="75">
        <f>PARAM!$C$26+MAX($G$13-CHOOSE(PARAM!$B$44,MAX(0,AT181*$F$1),0),0)*RATES!$L158/12+$H$13*(PARAM!$D$51/12)*RATES!$N158/100</f>
        <v>11.005918096122031</v>
      </c>
      <c r="AT182" s="16">
        <f t="shared" si="122"/>
        <v>303.40132221496629</v>
      </c>
      <c r="AU182" s="15">
        <f t="shared" si="97"/>
        <v>22.170849845882874</v>
      </c>
      <c r="AV182" s="75">
        <f>AU182*(1-PARAM!$C$27)*$I$14+(MOD($B182,60)=PARAM!$B$56)*($B182&gt;(60-PARAM!$B$56))*HLOOKUP(($B182+PARAM!$B$56)/12,Loyalty,2)*$F$1*MAX(AX181,0)</f>
        <v>18.557001321003963</v>
      </c>
      <c r="AW182" s="75">
        <f>PARAM!$C$26+MAX($G$14-CHOOSE(PARAM!$B$44,MAX(0,AX181*$F$1),0),0)*RATES!$L158/12+$H$14*(PARAM!$D$51/12)*RATES!$N158/100</f>
        <v>11.005918096122031</v>
      </c>
      <c r="AX182" s="16">
        <f t="shared" si="123"/>
        <v>303.40132221496629</v>
      </c>
      <c r="AY182" s="15">
        <f t="shared" si="98"/>
        <v>22.170849845882874</v>
      </c>
      <c r="AZ182" s="75">
        <f>AY182*(1-PARAM!$C$27)*$I$15+(MOD($B182,60)=PARAM!$B$56)*($B182&gt;(60-PARAM!$B$56))*HLOOKUP(($B182+PARAM!$B$56)/12,Loyalty,2)*$F$1*MAX(BB181,0)</f>
        <v>18.557001321003963</v>
      </c>
      <c r="BA182" s="75">
        <f>PARAM!$C$26+MAX($G$15-CHOOSE(PARAM!$B$44,MAX(0,BB181*$F$1),0),0)*RATES!$L158/12+$H$15*(PARAM!$D$51/12)*RATES!$N158/100</f>
        <v>11.005918096122031</v>
      </c>
      <c r="BB182" s="16">
        <f t="shared" si="124"/>
        <v>303.40132221496629</v>
      </c>
      <c r="BC182" s="15">
        <f t="shared" si="99"/>
        <v>22.170849845882874</v>
      </c>
      <c r="BD182" s="75">
        <f>BC182*(1-PARAM!$C$27)*$I$16+(MOD($B182,60)=PARAM!$B$56)*($B182&gt;(60-PARAM!$B$56))*HLOOKUP(($B182+PARAM!$B$56)/12,Loyalty,2)*$F$1*MAX(BF181,0)</f>
        <v>18.557001321003963</v>
      </c>
      <c r="BE182" s="75">
        <f>PARAM!$C$26+MAX($G$16-CHOOSE(PARAM!$B$44,MAX(0,BF181*$F$1),0),0)*RATES!$L158/12+$H$16*(PARAM!$D$51/12)*RATES!$N158/100</f>
        <v>11.005918096122031</v>
      </c>
      <c r="BF182" s="16">
        <f t="shared" si="125"/>
        <v>303.40132221496629</v>
      </c>
      <c r="BG182" s="15">
        <f t="shared" si="100"/>
        <v>22.170849845882874</v>
      </c>
      <c r="BH182" s="75">
        <f>BG182*(1-PARAM!$C$27)*$I$17+(MOD($B182,60)=PARAM!$B$56)*($B182&gt;(60-PARAM!$B$56))*HLOOKUP(($B182+PARAM!$B$56)/12,Loyalty,2)*$F$1*MAX(BJ181,0)</f>
        <v>18.557001321003963</v>
      </c>
      <c r="BI182" s="75">
        <f>PARAM!$C$26+MAX($G$17-CHOOSE(PARAM!$B$44,MAX(0,BJ181*$F$1),0),0)*RATES!$L158/12+$H$17*(PARAM!$D$51/12)*RATES!$N158/100</f>
        <v>11.005918096122031</v>
      </c>
      <c r="BJ182" s="16">
        <f t="shared" si="126"/>
        <v>303.40132221496629</v>
      </c>
      <c r="BK182" s="15">
        <f t="shared" si="101"/>
        <v>22.170849845882874</v>
      </c>
      <c r="BL182" s="75">
        <f>BK182*(1-PARAM!$C$27)*$I$18+(MOD($B182,60)=PARAM!$B$56)*($B182&gt;(60-PARAM!$B$56))*HLOOKUP(($B182+PARAM!$B$56)/12,Loyalty,2)*$F$1*MAX(BN181,0)</f>
        <v>18.557001321003963</v>
      </c>
      <c r="BM182" s="75">
        <f>PARAM!$C$26+MAX($G$18-CHOOSE(PARAM!$B$44,MAX(0,BN181*$F$1),0),0)*RATES!$L158/12+$H$18*(PARAM!$D$51/12)*RATES!$N158/100</f>
        <v>11.005918096122031</v>
      </c>
      <c r="BN182" s="16">
        <f t="shared" si="127"/>
        <v>303.40132221496629</v>
      </c>
      <c r="BO182" s="15">
        <f t="shared" si="102"/>
        <v>22.170849845882874</v>
      </c>
      <c r="BP182" s="75">
        <f>BO182*(1-PARAM!$C$27)*$I$19+(MOD($B182,60)=PARAM!$B$56)*($B182&gt;(60-PARAM!$B$56))*HLOOKUP(($B182+PARAM!$B$56)/12,Loyalty,2)*$F$1*MAX(BR181,0)</f>
        <v>18.557001321003963</v>
      </c>
      <c r="BQ182" s="75">
        <f>PARAM!$C$26+MAX($G$19-CHOOSE(PARAM!$B$44,MAX(0,BR181*$F$1),0),0)*RATES!$L158/12+$H$19*(PARAM!$D$51/12)*RATES!$N158/100</f>
        <v>11.005918096122031</v>
      </c>
      <c r="BR182" s="16">
        <f t="shared" si="128"/>
        <v>303.40132221496629</v>
      </c>
      <c r="BS182" s="15">
        <f t="shared" si="103"/>
        <v>22.170849845882874</v>
      </c>
      <c r="BT182" s="75">
        <f>BS182*(1-PARAM!$C$27)*$I$20+(MOD($B182,60)=PARAM!$B$56)*($B182&gt;(60-PARAM!$B$56))*HLOOKUP(($B182+PARAM!$B$56)/12,Loyalty,2)*$F$1*MAX(BV181,0)</f>
        <v>18.557001321003963</v>
      </c>
      <c r="BU182" s="75">
        <f>PARAM!$C$26+MAX($G$20-CHOOSE(PARAM!$B$44,MAX(0,BV181*$F$1),0),0)*RATES!$L158/12+$H$20*(PARAM!$D$51/12)*RATES!$N158/100</f>
        <v>11.005918096122031</v>
      </c>
      <c r="BV182" s="16">
        <f t="shared" si="129"/>
        <v>303.40132221496629</v>
      </c>
      <c r="BW182" s="15">
        <f t="shared" si="104"/>
        <v>22.170849845882874</v>
      </c>
      <c r="BX182" s="75">
        <f>BW182*(1-PARAM!$C$27)*$I$21+(MOD($B182,60)=PARAM!$B$56)*($B182&gt;(60-PARAM!$B$56))*HLOOKUP(($B182+PARAM!$B$56)/12,Loyalty,2)*$F$1*MAX(BZ181,0)</f>
        <v>18.557001321003963</v>
      </c>
      <c r="BY182" s="75">
        <f>PARAM!$C$26+MAX($G$21-CHOOSE(PARAM!$B$44,MAX(0,BZ181*$F$1),0),0)*RATES!$L158/12+$H$21*(PARAM!$D$51/12)*RATES!$N158/100</f>
        <v>11.005918096122031</v>
      </c>
      <c r="BZ182" s="16">
        <f t="shared" si="130"/>
        <v>303.40132221496629</v>
      </c>
      <c r="CA182" s="15">
        <f t="shared" si="105"/>
        <v>22.170849845882874</v>
      </c>
      <c r="CB182" s="75">
        <f>CA182*(1-PARAM!$C$27)*$I$22+(MOD($B182,60)=PARAM!$B$56)*($B182&gt;(60-PARAM!$B$56))*HLOOKUP(($B182+PARAM!$B$56)/12,Loyalty,2)*$F$1*MAX(CD181,0)</f>
        <v>18.557001321003963</v>
      </c>
      <c r="CC182" s="75">
        <f>PARAM!$C$26+MAX($G$22-CHOOSE(PARAM!$B$44,MAX(0,CD181*$F$1),0),0)*RATES!$L158/12+$H$22*(PARAM!$D$51/12)*RATES!$N158/100</f>
        <v>11.005918096122031</v>
      </c>
      <c r="CD182" s="16">
        <f t="shared" si="131"/>
        <v>303.40132221496629</v>
      </c>
      <c r="CE182" s="33">
        <f>IF(0=MOD(B182,12/PARAM!$D$51),1,0)</f>
        <v>1</v>
      </c>
      <c r="CF182" s="15">
        <f t="shared" si="106"/>
        <v>0</v>
      </c>
      <c r="CG182" s="75">
        <f>CF182*(1-PARAM!$C$27)*$R$3+(MOD($B182/12,5)=0)*($B182&gt;60)*HLOOKUP($B182/12,Loyalty,2)*$F$1*MAX(CI181,0)</f>
        <v>0</v>
      </c>
      <c r="CH182" s="75">
        <f>PARAM!$C$26+MAX($P$3-CHOOSE(PARAM!$B$44,MAX(0,CI181*$F$1),0),0)*RATES!$L158/12+$Q$3*(PARAM!$D$51/12)*RATES!$N158/100</f>
        <v>11.041666666666668</v>
      </c>
      <c r="CI182" s="16">
        <f>IF(CI181&gt;0,CI181*PARAM!$C$53,CI181)+CG182-CH182</f>
        <v>-2379.2499999999977</v>
      </c>
      <c r="CJ182" s="15">
        <f t="shared" si="132"/>
        <v>0</v>
      </c>
      <c r="CK182" s="75">
        <f>CJ182*(1-PARAM!$C$27)*$R$4+(MOD($B182/12,5)=0)*($B182&gt;60)*HLOOKUP($B182/12,Loyalty,2)*$F$1*MAX(CM181,0)</f>
        <v>0</v>
      </c>
      <c r="CL182" s="75">
        <f>PARAM!$C$26+MAX($P$4-CHOOSE(PARAM!$B$44,MAX(0,CM181*$F$1),0),0)*RATES!$L158/12+$Q$4*(PARAM!$D$51/12)*RATES!$N158/100</f>
        <v>11.041666666666668</v>
      </c>
      <c r="CM182" s="16">
        <f>IF(CM181&gt;0,CM181*PARAM!$C$53,CM181)+CK182-CL182</f>
        <v>-2379.2499999999977</v>
      </c>
      <c r="CO182" s="176"/>
    </row>
    <row r="183" spans="1:93" x14ac:dyDescent="0.2">
      <c r="A183" t="b">
        <f t="shared" si="107"/>
        <v>1</v>
      </c>
      <c r="B183" s="33">
        <v>156</v>
      </c>
      <c r="C183" s="15">
        <f t="shared" si="108"/>
        <v>20.081305947392778</v>
      </c>
      <c r="D183" s="75">
        <f>C183*(1-PARAM!$C$27)*$I$3+(MOD($B183,60)=PARAM!$B$56)*($B183&gt;(60-PARAM!$B$56))*HLOOKUP(($B183+PARAM!$B$56)/12,Loyalty,2)*$F$1*MAX(F182,0)</f>
        <v>16.808053077967756</v>
      </c>
      <c r="E183" s="75">
        <f>PARAM!$C$26+MAX($G$3-CHOOSE(PARAM!$B$44,MAX(0,F182*$F$1),0),0)*RATES!$L159/12+$H$3*(PARAM!$D$51/12)*RATES!$N159/100</f>
        <v>11.035619121343981</v>
      </c>
      <c r="F183" s="16">
        <f t="shared" si="109"/>
        <v>55.821084902997612</v>
      </c>
      <c r="G183" s="15">
        <f t="shared" si="110"/>
        <v>22.035289406060361</v>
      </c>
      <c r="H183" s="75">
        <f>G183*(1-PARAM!$C$27)*$I$4+(MOD($B183,60)=PARAM!$B$56)*($B183&gt;(60-PARAM!$B$56))*HLOOKUP(($B183+PARAM!$B$56)/12,Loyalty,2)*$F$1*MAX(J182,0)</f>
        <v>18.443537232872522</v>
      </c>
      <c r="I183" s="75">
        <f>PARAM!$C$26+MAX($G$4-CHOOSE(PARAM!$B$44,MAX(0,J182*$F$1),0),0)*RATES!$L159/12+$H$4*(PARAM!$D$51/12)*RATES!$N159/100</f>
        <v>11.006993525065514</v>
      </c>
      <c r="J183" s="16">
        <f t="shared" si="111"/>
        <v>294.3866810966469</v>
      </c>
      <c r="K183" s="15">
        <f t="shared" si="112"/>
        <v>22.170849845882874</v>
      </c>
      <c r="L183" s="75">
        <f>K183*(1-PARAM!$C$27)*$I$5+(MOD($B183,60)=PARAM!$B$56)*($B183&gt;(60-PARAM!$B$56))*HLOOKUP(($B183+PARAM!$B$56)/12,Loyalty,2)*$F$1*MAX(N182,0)</f>
        <v>18.557001321003963</v>
      </c>
      <c r="M183" s="75">
        <f>PARAM!$C$26+MAX($G$5-CHOOSE(PARAM!$B$44,MAX(0,N182*$F$1),0),0)*RATES!$L159/12+$H$5*(PARAM!$D$51/12)*RATES!$N159/100</f>
        <v>11.005005673565691</v>
      </c>
      <c r="N183" s="16">
        <f t="shared" si="113"/>
        <v>310.95331786240456</v>
      </c>
      <c r="O183" s="15">
        <f t="shared" si="114"/>
        <v>22.170849845882874</v>
      </c>
      <c r="P183" s="75">
        <f>O183*(1-PARAM!$C$27)*$I$6+(MOD($B183,60)=PARAM!$B$56)*($B183&gt;(60-PARAM!$B$56))*HLOOKUP(($B183+PARAM!$B$56)/12,Loyalty,2)*$F$1*MAX(R182,0)</f>
        <v>18.557001321003963</v>
      </c>
      <c r="Q183" s="75">
        <f>PARAM!$C$26+MAX($G$6-CHOOSE(PARAM!$B$44,MAX(0,R182*$F$1),0),0)*RATES!$L159/12+$H$6*(PARAM!$D$51/12)*RATES!$N159/100</f>
        <v>11.005005673565691</v>
      </c>
      <c r="R183" s="16">
        <f t="shared" si="115"/>
        <v>310.95331786240456</v>
      </c>
      <c r="S183" s="15">
        <f t="shared" si="90"/>
        <v>22.170849845882874</v>
      </c>
      <c r="T183" s="75">
        <f>S183*(1-PARAM!$C$27)*$I$7+(MOD($B183,60)=PARAM!$B$56)*($B183&gt;(60-PARAM!$B$56))*HLOOKUP(($B183+PARAM!$B$56)/12,Loyalty,2)*$F$1*MAX(V182,0)</f>
        <v>18.557001321003963</v>
      </c>
      <c r="U183" s="75">
        <f>PARAM!$C$26+MAX($G$7-CHOOSE(PARAM!$B$44,MAX(0,V182*$F$1),0),0)*RATES!$L159/12+$H$7*(PARAM!$D$51/12)*RATES!$N159/100</f>
        <v>11.005005673565691</v>
      </c>
      <c r="V183" s="16">
        <f t="shared" si="116"/>
        <v>310.95331786240456</v>
      </c>
      <c r="W183" s="15">
        <f t="shared" si="91"/>
        <v>22.170849845882874</v>
      </c>
      <c r="X183" s="75">
        <f>W183*(1-PARAM!$C$27)*$I$8+(MOD($B183,60)=PARAM!$B$56)*($B183&gt;(60-PARAM!$B$56))*HLOOKUP(($B183+PARAM!$B$56)/12,Loyalty,2)*$F$1*MAX(Z182,0)</f>
        <v>18.557001321003963</v>
      </c>
      <c r="Y183" s="75">
        <f>PARAM!$C$26+MAX($G$8-CHOOSE(PARAM!$B$44,MAX(0,Z182*$F$1),0),0)*RATES!$L159/12+$H$8*(PARAM!$D$51/12)*RATES!$N159/100</f>
        <v>11.005005673565691</v>
      </c>
      <c r="Z183" s="16">
        <f t="shared" si="117"/>
        <v>310.95331786240456</v>
      </c>
      <c r="AA183" s="15">
        <f t="shared" si="92"/>
        <v>22.170849845882874</v>
      </c>
      <c r="AB183" s="75">
        <f>AA183*(1-PARAM!$C$27)*$I$9+(MOD($B183,60)=PARAM!$B$56)*($B183&gt;(60-PARAM!$B$56))*HLOOKUP(($B183+PARAM!$B$56)/12,Loyalty,2)*$F$1*MAX(AD182,0)</f>
        <v>18.557001321003963</v>
      </c>
      <c r="AC183" s="75">
        <f>PARAM!$C$26+MAX($G$9-CHOOSE(PARAM!$B$44,MAX(0,AD182*$F$1),0),0)*RATES!$L159/12+$H$9*(PARAM!$D$51/12)*RATES!$N159/100</f>
        <v>11.005005673565691</v>
      </c>
      <c r="AD183" s="16">
        <f t="shared" si="118"/>
        <v>310.95331786240456</v>
      </c>
      <c r="AE183" s="15">
        <f t="shared" si="93"/>
        <v>22.170849845882874</v>
      </c>
      <c r="AF183" s="75">
        <f>AE183*(1-PARAM!$C$27)*$I$10+(MOD($B183,60)=PARAM!$B$56)*($B183&gt;(60-PARAM!$B$56))*HLOOKUP(($B183+PARAM!$B$56)/12,Loyalty,2)*$F$1*MAX(AH182,0)</f>
        <v>18.557001321003963</v>
      </c>
      <c r="AG183" s="75">
        <f>PARAM!$C$26+MAX($G$10-CHOOSE(PARAM!$B$44,MAX(0,AH182*$F$1),0),0)*RATES!$L159/12+$H$10*(PARAM!$D$51/12)*RATES!$N159/100</f>
        <v>11.005005673565691</v>
      </c>
      <c r="AH183" s="16">
        <f t="shared" si="119"/>
        <v>310.95331786240456</v>
      </c>
      <c r="AI183" s="15">
        <f t="shared" si="94"/>
        <v>22.170849845882874</v>
      </c>
      <c r="AJ183" s="75">
        <f>AI183*(1-PARAM!$C$27)*$I$11+(MOD($B183,60)=PARAM!$B$56)*($B183&gt;(60-PARAM!$B$56))*HLOOKUP(($B183+PARAM!$B$56)/12,Loyalty,2)*$F$1*MAX(AL182,0)</f>
        <v>18.557001321003963</v>
      </c>
      <c r="AK183" s="75">
        <f>PARAM!$C$26+MAX($G$11-CHOOSE(PARAM!$B$44,MAX(0,AL182*$F$1),0),0)*RATES!$L159/12+$H$11*(PARAM!$D$51/12)*RATES!$N159/100</f>
        <v>11.005005673565691</v>
      </c>
      <c r="AL183" s="16">
        <f t="shared" si="120"/>
        <v>310.95331786240456</v>
      </c>
      <c r="AM183" s="15">
        <f t="shared" si="95"/>
        <v>22.170849845882874</v>
      </c>
      <c r="AN183" s="75">
        <f>AM183*(1-PARAM!$C$27)*$I$12+(MOD($B183,60)=PARAM!$B$56)*($B183&gt;(60-PARAM!$B$56))*HLOOKUP(($B183+PARAM!$B$56)/12,Loyalty,2)*$F$1*MAX(AP182,0)</f>
        <v>18.557001321003963</v>
      </c>
      <c r="AO183" s="75">
        <f>PARAM!$C$26+MAX($G$12-CHOOSE(PARAM!$B$44,MAX(0,AP182*$F$1),0),0)*RATES!$L159/12+$H$12*(PARAM!$D$51/12)*RATES!$N159/100</f>
        <v>11.005005673565691</v>
      </c>
      <c r="AP183" s="16">
        <f t="shared" si="121"/>
        <v>310.95331786240456</v>
      </c>
      <c r="AQ183" s="15">
        <f t="shared" si="96"/>
        <v>22.170849845882874</v>
      </c>
      <c r="AR183" s="75">
        <f>AQ183*(1-PARAM!$C$27)*$I$13+(MOD($B183,60)=PARAM!$B$56)*($B183&gt;(60-PARAM!$B$56))*HLOOKUP(($B183+PARAM!$B$56)/12,Loyalty,2)*$F$1*MAX(AT182,0)</f>
        <v>18.557001321003963</v>
      </c>
      <c r="AS183" s="75">
        <f>PARAM!$C$26+MAX($G$13-CHOOSE(PARAM!$B$44,MAX(0,AT182*$F$1),0),0)*RATES!$L159/12+$H$13*(PARAM!$D$51/12)*RATES!$N159/100</f>
        <v>11.005005673565691</v>
      </c>
      <c r="AT183" s="16">
        <f t="shared" si="122"/>
        <v>310.95331786240456</v>
      </c>
      <c r="AU183" s="15">
        <f t="shared" si="97"/>
        <v>22.170849845882874</v>
      </c>
      <c r="AV183" s="75">
        <f>AU183*(1-PARAM!$C$27)*$I$14+(MOD($B183,60)=PARAM!$B$56)*($B183&gt;(60-PARAM!$B$56))*HLOOKUP(($B183+PARAM!$B$56)/12,Loyalty,2)*$F$1*MAX(AX182,0)</f>
        <v>18.557001321003963</v>
      </c>
      <c r="AW183" s="75">
        <f>PARAM!$C$26+MAX($G$14-CHOOSE(PARAM!$B$44,MAX(0,AX182*$F$1),0),0)*RATES!$L159/12+$H$14*(PARAM!$D$51/12)*RATES!$N159/100</f>
        <v>11.005005673565691</v>
      </c>
      <c r="AX183" s="16">
        <f t="shared" si="123"/>
        <v>310.95331786240456</v>
      </c>
      <c r="AY183" s="15">
        <f t="shared" si="98"/>
        <v>22.170849845882874</v>
      </c>
      <c r="AZ183" s="75">
        <f>AY183*(1-PARAM!$C$27)*$I$15+(MOD($B183,60)=PARAM!$B$56)*($B183&gt;(60-PARAM!$B$56))*HLOOKUP(($B183+PARAM!$B$56)/12,Loyalty,2)*$F$1*MAX(BB182,0)</f>
        <v>18.557001321003963</v>
      </c>
      <c r="BA183" s="75">
        <f>PARAM!$C$26+MAX($G$15-CHOOSE(PARAM!$B$44,MAX(0,BB182*$F$1),0),0)*RATES!$L159/12+$H$15*(PARAM!$D$51/12)*RATES!$N159/100</f>
        <v>11.005005673565691</v>
      </c>
      <c r="BB183" s="16">
        <f t="shared" si="124"/>
        <v>310.95331786240456</v>
      </c>
      <c r="BC183" s="15">
        <f t="shared" si="99"/>
        <v>22.170849845882874</v>
      </c>
      <c r="BD183" s="75">
        <f>BC183*(1-PARAM!$C$27)*$I$16+(MOD($B183,60)=PARAM!$B$56)*($B183&gt;(60-PARAM!$B$56))*HLOOKUP(($B183+PARAM!$B$56)/12,Loyalty,2)*$F$1*MAX(BF182,0)</f>
        <v>18.557001321003963</v>
      </c>
      <c r="BE183" s="75">
        <f>PARAM!$C$26+MAX($G$16-CHOOSE(PARAM!$B$44,MAX(0,BF182*$F$1),0),0)*RATES!$L159/12+$H$16*(PARAM!$D$51/12)*RATES!$N159/100</f>
        <v>11.005005673565691</v>
      </c>
      <c r="BF183" s="16">
        <f t="shared" si="125"/>
        <v>310.95331786240456</v>
      </c>
      <c r="BG183" s="15">
        <f t="shared" si="100"/>
        <v>22.170849845882874</v>
      </c>
      <c r="BH183" s="75">
        <f>BG183*(1-PARAM!$C$27)*$I$17+(MOD($B183,60)=PARAM!$B$56)*($B183&gt;(60-PARAM!$B$56))*HLOOKUP(($B183+PARAM!$B$56)/12,Loyalty,2)*$F$1*MAX(BJ182,0)</f>
        <v>18.557001321003963</v>
      </c>
      <c r="BI183" s="75">
        <f>PARAM!$C$26+MAX($G$17-CHOOSE(PARAM!$B$44,MAX(0,BJ182*$F$1),0),0)*RATES!$L159/12+$H$17*(PARAM!$D$51/12)*RATES!$N159/100</f>
        <v>11.005005673565691</v>
      </c>
      <c r="BJ183" s="16">
        <f t="shared" si="126"/>
        <v>310.95331786240456</v>
      </c>
      <c r="BK183" s="15">
        <f t="shared" si="101"/>
        <v>22.170849845882874</v>
      </c>
      <c r="BL183" s="75">
        <f>BK183*(1-PARAM!$C$27)*$I$18+(MOD($B183,60)=PARAM!$B$56)*($B183&gt;(60-PARAM!$B$56))*HLOOKUP(($B183+PARAM!$B$56)/12,Loyalty,2)*$F$1*MAX(BN182,0)</f>
        <v>18.557001321003963</v>
      </c>
      <c r="BM183" s="75">
        <f>PARAM!$C$26+MAX($G$18-CHOOSE(PARAM!$B$44,MAX(0,BN182*$F$1),0),0)*RATES!$L159/12+$H$18*(PARAM!$D$51/12)*RATES!$N159/100</f>
        <v>11.005005673565691</v>
      </c>
      <c r="BN183" s="16">
        <f t="shared" si="127"/>
        <v>310.95331786240456</v>
      </c>
      <c r="BO183" s="15">
        <f t="shared" si="102"/>
        <v>22.170849845882874</v>
      </c>
      <c r="BP183" s="75">
        <f>BO183*(1-PARAM!$C$27)*$I$19+(MOD($B183,60)=PARAM!$B$56)*($B183&gt;(60-PARAM!$B$56))*HLOOKUP(($B183+PARAM!$B$56)/12,Loyalty,2)*$F$1*MAX(BR182,0)</f>
        <v>18.557001321003963</v>
      </c>
      <c r="BQ183" s="75">
        <f>PARAM!$C$26+MAX($G$19-CHOOSE(PARAM!$B$44,MAX(0,BR182*$F$1),0),0)*RATES!$L159/12+$H$19*(PARAM!$D$51/12)*RATES!$N159/100</f>
        <v>11.005005673565691</v>
      </c>
      <c r="BR183" s="16">
        <f t="shared" si="128"/>
        <v>310.95331786240456</v>
      </c>
      <c r="BS183" s="15">
        <f t="shared" si="103"/>
        <v>22.170849845882874</v>
      </c>
      <c r="BT183" s="75">
        <f>BS183*(1-PARAM!$C$27)*$I$20+(MOD($B183,60)=PARAM!$B$56)*($B183&gt;(60-PARAM!$B$56))*HLOOKUP(($B183+PARAM!$B$56)/12,Loyalty,2)*$F$1*MAX(BV182,0)</f>
        <v>18.557001321003963</v>
      </c>
      <c r="BU183" s="75">
        <f>PARAM!$C$26+MAX($G$20-CHOOSE(PARAM!$B$44,MAX(0,BV182*$F$1),0),0)*RATES!$L159/12+$H$20*(PARAM!$D$51/12)*RATES!$N159/100</f>
        <v>11.005005673565691</v>
      </c>
      <c r="BV183" s="16">
        <f t="shared" si="129"/>
        <v>310.95331786240456</v>
      </c>
      <c r="BW183" s="15">
        <f t="shared" si="104"/>
        <v>22.170849845882874</v>
      </c>
      <c r="BX183" s="75">
        <f>BW183*(1-PARAM!$C$27)*$I$21+(MOD($B183,60)=PARAM!$B$56)*($B183&gt;(60-PARAM!$B$56))*HLOOKUP(($B183+PARAM!$B$56)/12,Loyalty,2)*$F$1*MAX(BZ182,0)</f>
        <v>18.557001321003963</v>
      </c>
      <c r="BY183" s="75">
        <f>PARAM!$C$26+MAX($G$21-CHOOSE(PARAM!$B$44,MAX(0,BZ182*$F$1),0),0)*RATES!$L159/12+$H$21*(PARAM!$D$51/12)*RATES!$N159/100</f>
        <v>11.005005673565691</v>
      </c>
      <c r="BZ183" s="16">
        <f t="shared" si="130"/>
        <v>310.95331786240456</v>
      </c>
      <c r="CA183" s="15">
        <f t="shared" si="105"/>
        <v>22.170849845882874</v>
      </c>
      <c r="CB183" s="75">
        <f>CA183*(1-PARAM!$C$27)*$I$22+(MOD($B183,60)=PARAM!$B$56)*($B183&gt;(60-PARAM!$B$56))*HLOOKUP(($B183+PARAM!$B$56)/12,Loyalty,2)*$F$1*MAX(CD182,0)</f>
        <v>18.557001321003963</v>
      </c>
      <c r="CC183" s="75">
        <f>PARAM!$C$26+MAX($G$22-CHOOSE(PARAM!$B$44,MAX(0,CD182*$F$1),0),0)*RATES!$L159/12+$H$22*(PARAM!$D$51/12)*RATES!$N159/100</f>
        <v>11.005005673565691</v>
      </c>
      <c r="CD183" s="16">
        <f t="shared" si="131"/>
        <v>310.95331786240456</v>
      </c>
      <c r="CE183" s="33">
        <f>IF(0=MOD(B183,12/PARAM!$D$51),1,0)</f>
        <v>1</v>
      </c>
      <c r="CF183" s="15">
        <f t="shared" si="106"/>
        <v>0</v>
      </c>
      <c r="CG183" s="75">
        <f>CF183*(1-PARAM!$C$27)*$R$3+(MOD($B183/12,5)=0)*($B183&gt;60)*HLOOKUP($B183/12,Loyalty,2)*$F$1*MAX(CI182,0)</f>
        <v>0</v>
      </c>
      <c r="CH183" s="75">
        <f>PARAM!$C$26+MAX($P$3-CHOOSE(PARAM!$B$44,MAX(0,CI182*$F$1),0),0)*RATES!$L159/12+$Q$3*(PARAM!$D$51/12)*RATES!$N159/100</f>
        <v>11.041666666666668</v>
      </c>
      <c r="CI183" s="16">
        <f>IF(CI182&gt;0,CI182*PARAM!$C$53,CI182)+CG183-CH183</f>
        <v>-2390.2916666666642</v>
      </c>
      <c r="CJ183" s="15">
        <f t="shared" si="132"/>
        <v>0</v>
      </c>
      <c r="CK183" s="75">
        <f>CJ183*(1-PARAM!$C$27)*$R$4+(MOD($B183/12,5)=0)*($B183&gt;60)*HLOOKUP($B183/12,Loyalty,2)*$F$1*MAX(CM182,0)</f>
        <v>0</v>
      </c>
      <c r="CL183" s="75">
        <f>PARAM!$C$26+MAX($P$4-CHOOSE(PARAM!$B$44,MAX(0,CM182*$F$1),0),0)*RATES!$L159/12+$Q$4*(PARAM!$D$51/12)*RATES!$N159/100</f>
        <v>11.041666666666668</v>
      </c>
      <c r="CM183" s="16">
        <f>IF(CM182&gt;0,CM182*PARAM!$C$53,CM182)+CK183-CL183</f>
        <v>-2390.2916666666642</v>
      </c>
      <c r="CO183" s="176"/>
    </row>
    <row r="184" spans="1:93" x14ac:dyDescent="0.2">
      <c r="A184" t="b">
        <f t="shared" si="107"/>
        <v>1</v>
      </c>
      <c r="B184" s="33">
        <v>157</v>
      </c>
      <c r="C184" s="15">
        <f t="shared" si="108"/>
        <v>20.081305947392778</v>
      </c>
      <c r="D184" s="75">
        <f>C184*(1-PARAM!$C$27)*$I$3+(MOD($B184,60)=PARAM!$B$56)*($B184&gt;(60-PARAM!$B$56))*HLOOKUP(($B184+PARAM!$B$56)/12,Loyalty,2)*$F$1*MAX(F183,0)</f>
        <v>16.808053077967756</v>
      </c>
      <c r="E184" s="75">
        <f>PARAM!$C$26+MAX($G$3-CHOOSE(PARAM!$B$44,MAX(0,F183*$F$1),0),0)*RATES!$L160/12+$H$3*(PARAM!$D$51/12)*RATES!$N160/100</f>
        <v>11.034921618907553</v>
      </c>
      <c r="F184" s="16">
        <f t="shared" si="109"/>
        <v>61.594216362057814</v>
      </c>
      <c r="G184" s="15">
        <f t="shared" si="110"/>
        <v>22.035289406060361</v>
      </c>
      <c r="H184" s="75">
        <f>G184*(1-PARAM!$C$27)*$I$4+(MOD($B184,60)=PARAM!$B$56)*($B184&gt;(60-PARAM!$B$56))*HLOOKUP(($B184+PARAM!$B$56)/12,Loyalty,2)*$F$1*MAX(J183,0)</f>
        <v>18.443537232872522</v>
      </c>
      <c r="I184" s="75">
        <f>PARAM!$C$26+MAX($G$4-CHOOSE(PARAM!$B$44,MAX(0,J183*$F$1),0),0)*RATES!$L160/12+$H$4*(PARAM!$D$51/12)*RATES!$N160/100</f>
        <v>11.00609494270082</v>
      </c>
      <c r="J184" s="16">
        <f t="shared" si="111"/>
        <v>301.8241233868186</v>
      </c>
      <c r="K184" s="15">
        <f t="shared" si="112"/>
        <v>22.170849845882874</v>
      </c>
      <c r="L184" s="75">
        <f>K184*(1-PARAM!$C$27)*$I$5+(MOD($B184,60)=PARAM!$B$56)*($B184&gt;(60-PARAM!$B$56))*HLOOKUP(($B184+PARAM!$B$56)/12,Loyalty,2)*$F$1*MAX(N183,0)</f>
        <v>18.557001321003963</v>
      </c>
      <c r="M184" s="75">
        <f>PARAM!$C$26+MAX($G$5-CHOOSE(PARAM!$B$44,MAX(0,N183*$F$1),0),0)*RATES!$L160/12+$H$5*(PARAM!$D$51/12)*RATES!$N160/100</f>
        <v>11.004093140758293</v>
      </c>
      <c r="N184" s="16">
        <f t="shared" si="113"/>
        <v>318.50622604265021</v>
      </c>
      <c r="O184" s="15">
        <f t="shared" si="114"/>
        <v>22.170849845882874</v>
      </c>
      <c r="P184" s="75">
        <f>O184*(1-PARAM!$C$27)*$I$6+(MOD($B184,60)=PARAM!$B$56)*($B184&gt;(60-PARAM!$B$56))*HLOOKUP(($B184+PARAM!$B$56)/12,Loyalty,2)*$F$1*MAX(R183,0)</f>
        <v>18.557001321003963</v>
      </c>
      <c r="Q184" s="75">
        <f>PARAM!$C$26+MAX($G$6-CHOOSE(PARAM!$B$44,MAX(0,R183*$F$1),0),0)*RATES!$L160/12+$H$6*(PARAM!$D$51/12)*RATES!$N160/100</f>
        <v>11.004093140758293</v>
      </c>
      <c r="R184" s="16">
        <f t="shared" si="115"/>
        <v>318.50622604265021</v>
      </c>
      <c r="S184" s="15">
        <f t="shared" si="90"/>
        <v>22.170849845882874</v>
      </c>
      <c r="T184" s="75">
        <f>S184*(1-PARAM!$C$27)*$I$7+(MOD($B184,60)=PARAM!$B$56)*($B184&gt;(60-PARAM!$B$56))*HLOOKUP(($B184+PARAM!$B$56)/12,Loyalty,2)*$F$1*MAX(V183,0)</f>
        <v>18.557001321003963</v>
      </c>
      <c r="U184" s="75">
        <f>PARAM!$C$26+MAX($G$7-CHOOSE(PARAM!$B$44,MAX(0,V183*$F$1),0),0)*RATES!$L160/12+$H$7*(PARAM!$D$51/12)*RATES!$N160/100</f>
        <v>11.004093140758293</v>
      </c>
      <c r="V184" s="16">
        <f t="shared" si="116"/>
        <v>318.50622604265021</v>
      </c>
      <c r="W184" s="15">
        <f t="shared" si="91"/>
        <v>22.170849845882874</v>
      </c>
      <c r="X184" s="75">
        <f>W184*(1-PARAM!$C$27)*$I$8+(MOD($B184,60)=PARAM!$B$56)*($B184&gt;(60-PARAM!$B$56))*HLOOKUP(($B184+PARAM!$B$56)/12,Loyalty,2)*$F$1*MAX(Z183,0)</f>
        <v>18.557001321003963</v>
      </c>
      <c r="Y184" s="75">
        <f>PARAM!$C$26+MAX($G$8-CHOOSE(PARAM!$B$44,MAX(0,Z183*$F$1),0),0)*RATES!$L160/12+$H$8*(PARAM!$D$51/12)*RATES!$N160/100</f>
        <v>11.004093140758293</v>
      </c>
      <c r="Z184" s="16">
        <f t="shared" si="117"/>
        <v>318.50622604265021</v>
      </c>
      <c r="AA184" s="15">
        <f t="shared" si="92"/>
        <v>22.170849845882874</v>
      </c>
      <c r="AB184" s="75">
        <f>AA184*(1-PARAM!$C$27)*$I$9+(MOD($B184,60)=PARAM!$B$56)*($B184&gt;(60-PARAM!$B$56))*HLOOKUP(($B184+PARAM!$B$56)/12,Loyalty,2)*$F$1*MAX(AD183,0)</f>
        <v>18.557001321003963</v>
      </c>
      <c r="AC184" s="75">
        <f>PARAM!$C$26+MAX($G$9-CHOOSE(PARAM!$B$44,MAX(0,AD183*$F$1),0),0)*RATES!$L160/12+$H$9*(PARAM!$D$51/12)*RATES!$N160/100</f>
        <v>11.004093140758293</v>
      </c>
      <c r="AD184" s="16">
        <f t="shared" si="118"/>
        <v>318.50622604265021</v>
      </c>
      <c r="AE184" s="15">
        <f t="shared" si="93"/>
        <v>22.170849845882874</v>
      </c>
      <c r="AF184" s="75">
        <f>AE184*(1-PARAM!$C$27)*$I$10+(MOD($B184,60)=PARAM!$B$56)*($B184&gt;(60-PARAM!$B$56))*HLOOKUP(($B184+PARAM!$B$56)/12,Loyalty,2)*$F$1*MAX(AH183,0)</f>
        <v>18.557001321003963</v>
      </c>
      <c r="AG184" s="75">
        <f>PARAM!$C$26+MAX($G$10-CHOOSE(PARAM!$B$44,MAX(0,AH183*$F$1),0),0)*RATES!$L160/12+$H$10*(PARAM!$D$51/12)*RATES!$N160/100</f>
        <v>11.004093140758293</v>
      </c>
      <c r="AH184" s="16">
        <f t="shared" si="119"/>
        <v>318.50622604265021</v>
      </c>
      <c r="AI184" s="15">
        <f t="shared" si="94"/>
        <v>22.170849845882874</v>
      </c>
      <c r="AJ184" s="75">
        <f>AI184*(1-PARAM!$C$27)*$I$11+(MOD($B184,60)=PARAM!$B$56)*($B184&gt;(60-PARAM!$B$56))*HLOOKUP(($B184+PARAM!$B$56)/12,Loyalty,2)*$F$1*MAX(AL183,0)</f>
        <v>18.557001321003963</v>
      </c>
      <c r="AK184" s="75">
        <f>PARAM!$C$26+MAX($G$11-CHOOSE(PARAM!$B$44,MAX(0,AL183*$F$1),0),0)*RATES!$L160/12+$H$11*(PARAM!$D$51/12)*RATES!$N160/100</f>
        <v>11.004093140758293</v>
      </c>
      <c r="AL184" s="16">
        <f t="shared" si="120"/>
        <v>318.50622604265021</v>
      </c>
      <c r="AM184" s="15">
        <f t="shared" si="95"/>
        <v>22.170849845882874</v>
      </c>
      <c r="AN184" s="75">
        <f>AM184*(1-PARAM!$C$27)*$I$12+(MOD($B184,60)=PARAM!$B$56)*($B184&gt;(60-PARAM!$B$56))*HLOOKUP(($B184+PARAM!$B$56)/12,Loyalty,2)*$F$1*MAX(AP183,0)</f>
        <v>18.557001321003963</v>
      </c>
      <c r="AO184" s="75">
        <f>PARAM!$C$26+MAX($G$12-CHOOSE(PARAM!$B$44,MAX(0,AP183*$F$1),0),0)*RATES!$L160/12+$H$12*(PARAM!$D$51/12)*RATES!$N160/100</f>
        <v>11.004093140758293</v>
      </c>
      <c r="AP184" s="16">
        <f t="shared" si="121"/>
        <v>318.50622604265021</v>
      </c>
      <c r="AQ184" s="15">
        <f t="shared" si="96"/>
        <v>22.170849845882874</v>
      </c>
      <c r="AR184" s="75">
        <f>AQ184*(1-PARAM!$C$27)*$I$13+(MOD($B184,60)=PARAM!$B$56)*($B184&gt;(60-PARAM!$B$56))*HLOOKUP(($B184+PARAM!$B$56)/12,Loyalty,2)*$F$1*MAX(AT183,0)</f>
        <v>18.557001321003963</v>
      </c>
      <c r="AS184" s="75">
        <f>PARAM!$C$26+MAX($G$13-CHOOSE(PARAM!$B$44,MAX(0,AT183*$F$1),0),0)*RATES!$L160/12+$H$13*(PARAM!$D$51/12)*RATES!$N160/100</f>
        <v>11.004093140758293</v>
      </c>
      <c r="AT184" s="16">
        <f t="shared" si="122"/>
        <v>318.50622604265021</v>
      </c>
      <c r="AU184" s="15">
        <f t="shared" si="97"/>
        <v>22.170849845882874</v>
      </c>
      <c r="AV184" s="75">
        <f>AU184*(1-PARAM!$C$27)*$I$14+(MOD($B184,60)=PARAM!$B$56)*($B184&gt;(60-PARAM!$B$56))*HLOOKUP(($B184+PARAM!$B$56)/12,Loyalty,2)*$F$1*MAX(AX183,0)</f>
        <v>18.557001321003963</v>
      </c>
      <c r="AW184" s="75">
        <f>PARAM!$C$26+MAX($G$14-CHOOSE(PARAM!$B$44,MAX(0,AX183*$F$1),0),0)*RATES!$L160/12+$H$14*(PARAM!$D$51/12)*RATES!$N160/100</f>
        <v>11.004093140758293</v>
      </c>
      <c r="AX184" s="16">
        <f t="shared" si="123"/>
        <v>318.50622604265021</v>
      </c>
      <c r="AY184" s="15">
        <f t="shared" si="98"/>
        <v>22.170849845882874</v>
      </c>
      <c r="AZ184" s="75">
        <f>AY184*(1-PARAM!$C$27)*$I$15+(MOD($B184,60)=PARAM!$B$56)*($B184&gt;(60-PARAM!$B$56))*HLOOKUP(($B184+PARAM!$B$56)/12,Loyalty,2)*$F$1*MAX(BB183,0)</f>
        <v>18.557001321003963</v>
      </c>
      <c r="BA184" s="75">
        <f>PARAM!$C$26+MAX($G$15-CHOOSE(PARAM!$B$44,MAX(0,BB183*$F$1),0),0)*RATES!$L160/12+$H$15*(PARAM!$D$51/12)*RATES!$N160/100</f>
        <v>11.004093140758293</v>
      </c>
      <c r="BB184" s="16">
        <f t="shared" si="124"/>
        <v>318.50622604265021</v>
      </c>
      <c r="BC184" s="15">
        <f t="shared" si="99"/>
        <v>22.170849845882874</v>
      </c>
      <c r="BD184" s="75">
        <f>BC184*(1-PARAM!$C$27)*$I$16+(MOD($B184,60)=PARAM!$B$56)*($B184&gt;(60-PARAM!$B$56))*HLOOKUP(($B184+PARAM!$B$56)/12,Loyalty,2)*$F$1*MAX(BF183,0)</f>
        <v>18.557001321003963</v>
      </c>
      <c r="BE184" s="75">
        <f>PARAM!$C$26+MAX($G$16-CHOOSE(PARAM!$B$44,MAX(0,BF183*$F$1),0),0)*RATES!$L160/12+$H$16*(PARAM!$D$51/12)*RATES!$N160/100</f>
        <v>11.004093140758293</v>
      </c>
      <c r="BF184" s="16">
        <f t="shared" si="125"/>
        <v>318.50622604265021</v>
      </c>
      <c r="BG184" s="15">
        <f t="shared" si="100"/>
        <v>22.170849845882874</v>
      </c>
      <c r="BH184" s="75">
        <f>BG184*(1-PARAM!$C$27)*$I$17+(MOD($B184,60)=PARAM!$B$56)*($B184&gt;(60-PARAM!$B$56))*HLOOKUP(($B184+PARAM!$B$56)/12,Loyalty,2)*$F$1*MAX(BJ183,0)</f>
        <v>18.557001321003963</v>
      </c>
      <c r="BI184" s="75">
        <f>PARAM!$C$26+MAX($G$17-CHOOSE(PARAM!$B$44,MAX(0,BJ183*$F$1),0),0)*RATES!$L160/12+$H$17*(PARAM!$D$51/12)*RATES!$N160/100</f>
        <v>11.004093140758293</v>
      </c>
      <c r="BJ184" s="16">
        <f t="shared" si="126"/>
        <v>318.50622604265021</v>
      </c>
      <c r="BK184" s="15">
        <f t="shared" si="101"/>
        <v>22.170849845882874</v>
      </c>
      <c r="BL184" s="75">
        <f>BK184*(1-PARAM!$C$27)*$I$18+(MOD($B184,60)=PARAM!$B$56)*($B184&gt;(60-PARAM!$B$56))*HLOOKUP(($B184+PARAM!$B$56)/12,Loyalty,2)*$F$1*MAX(BN183,0)</f>
        <v>18.557001321003963</v>
      </c>
      <c r="BM184" s="75">
        <f>PARAM!$C$26+MAX($G$18-CHOOSE(PARAM!$B$44,MAX(0,BN183*$F$1),0),0)*RATES!$L160/12+$H$18*(PARAM!$D$51/12)*RATES!$N160/100</f>
        <v>11.004093140758293</v>
      </c>
      <c r="BN184" s="16">
        <f t="shared" si="127"/>
        <v>318.50622604265021</v>
      </c>
      <c r="BO184" s="15">
        <f t="shared" si="102"/>
        <v>22.170849845882874</v>
      </c>
      <c r="BP184" s="75">
        <f>BO184*(1-PARAM!$C$27)*$I$19+(MOD($B184,60)=PARAM!$B$56)*($B184&gt;(60-PARAM!$B$56))*HLOOKUP(($B184+PARAM!$B$56)/12,Loyalty,2)*$F$1*MAX(BR183,0)</f>
        <v>18.557001321003963</v>
      </c>
      <c r="BQ184" s="75">
        <f>PARAM!$C$26+MAX($G$19-CHOOSE(PARAM!$B$44,MAX(0,BR183*$F$1),0),0)*RATES!$L160/12+$H$19*(PARAM!$D$51/12)*RATES!$N160/100</f>
        <v>11.004093140758293</v>
      </c>
      <c r="BR184" s="16">
        <f t="shared" si="128"/>
        <v>318.50622604265021</v>
      </c>
      <c r="BS184" s="15">
        <f t="shared" si="103"/>
        <v>22.170849845882874</v>
      </c>
      <c r="BT184" s="75">
        <f>BS184*(1-PARAM!$C$27)*$I$20+(MOD($B184,60)=PARAM!$B$56)*($B184&gt;(60-PARAM!$B$56))*HLOOKUP(($B184+PARAM!$B$56)/12,Loyalty,2)*$F$1*MAX(BV183,0)</f>
        <v>18.557001321003963</v>
      </c>
      <c r="BU184" s="75">
        <f>PARAM!$C$26+MAX($G$20-CHOOSE(PARAM!$B$44,MAX(0,BV183*$F$1),0),0)*RATES!$L160/12+$H$20*(PARAM!$D$51/12)*RATES!$N160/100</f>
        <v>11.004093140758293</v>
      </c>
      <c r="BV184" s="16">
        <f t="shared" si="129"/>
        <v>318.50622604265021</v>
      </c>
      <c r="BW184" s="15">
        <f t="shared" si="104"/>
        <v>22.170849845882874</v>
      </c>
      <c r="BX184" s="75">
        <f>BW184*(1-PARAM!$C$27)*$I$21+(MOD($B184,60)=PARAM!$B$56)*($B184&gt;(60-PARAM!$B$56))*HLOOKUP(($B184+PARAM!$B$56)/12,Loyalty,2)*$F$1*MAX(BZ183,0)</f>
        <v>18.557001321003963</v>
      </c>
      <c r="BY184" s="75">
        <f>PARAM!$C$26+MAX($G$21-CHOOSE(PARAM!$B$44,MAX(0,BZ183*$F$1),0),0)*RATES!$L160/12+$H$21*(PARAM!$D$51/12)*RATES!$N160/100</f>
        <v>11.004093140758293</v>
      </c>
      <c r="BZ184" s="16">
        <f t="shared" si="130"/>
        <v>318.50622604265021</v>
      </c>
      <c r="CA184" s="15">
        <f t="shared" si="105"/>
        <v>22.170849845882874</v>
      </c>
      <c r="CB184" s="75">
        <f>CA184*(1-PARAM!$C$27)*$I$22+(MOD($B184,60)=PARAM!$B$56)*($B184&gt;(60-PARAM!$B$56))*HLOOKUP(($B184+PARAM!$B$56)/12,Loyalty,2)*$F$1*MAX(CD183,0)</f>
        <v>18.557001321003963</v>
      </c>
      <c r="CC184" s="75">
        <f>PARAM!$C$26+MAX($G$22-CHOOSE(PARAM!$B$44,MAX(0,CD183*$F$1),0),0)*RATES!$L160/12+$H$22*(PARAM!$D$51/12)*RATES!$N160/100</f>
        <v>11.004093140758293</v>
      </c>
      <c r="CD184" s="16">
        <f t="shared" si="131"/>
        <v>318.50622604265021</v>
      </c>
      <c r="CE184" s="33">
        <f>IF(0=MOD(B184,12/PARAM!$D$51),1,0)</f>
        <v>1</v>
      </c>
      <c r="CF184" s="15">
        <f t="shared" si="106"/>
        <v>0</v>
      </c>
      <c r="CG184" s="75">
        <f>CF184*(1-PARAM!$C$27)*$R$3+(MOD($B184/12,5)=0)*($B184&gt;60)*HLOOKUP($B184/12,Loyalty,2)*$F$1*MAX(CI183,0)</f>
        <v>0</v>
      </c>
      <c r="CH184" s="75">
        <f>PARAM!$C$26+MAX($P$3-CHOOSE(PARAM!$B$44,MAX(0,CI183*$F$1),0),0)*RATES!$L160/12+$Q$3*(PARAM!$D$51/12)*RATES!$N160/100</f>
        <v>11.041666666666668</v>
      </c>
      <c r="CI184" s="16">
        <f>IF(CI183&gt;0,CI183*PARAM!$C$53,CI183)+CG184-CH184</f>
        <v>-2401.3333333333308</v>
      </c>
      <c r="CJ184" s="15">
        <f t="shared" si="132"/>
        <v>0</v>
      </c>
      <c r="CK184" s="75">
        <f>CJ184*(1-PARAM!$C$27)*$R$4+(MOD($B184/12,5)=0)*($B184&gt;60)*HLOOKUP($B184/12,Loyalty,2)*$F$1*MAX(CM183,0)</f>
        <v>0</v>
      </c>
      <c r="CL184" s="75">
        <f>PARAM!$C$26+MAX($P$4-CHOOSE(PARAM!$B$44,MAX(0,CM183*$F$1),0),0)*RATES!$L160/12+$Q$4*(PARAM!$D$51/12)*RATES!$N160/100</f>
        <v>11.041666666666668</v>
      </c>
      <c r="CM184" s="16">
        <f>IF(CM183&gt;0,CM183*PARAM!$C$53,CM183)+CK184-CL184</f>
        <v>-2401.3333333333308</v>
      </c>
      <c r="CO184" s="176"/>
    </row>
    <row r="185" spans="1:93" x14ac:dyDescent="0.2">
      <c r="A185" t="b">
        <f t="shared" si="107"/>
        <v>1</v>
      </c>
      <c r="B185" s="33">
        <v>158</v>
      </c>
      <c r="C185" s="15">
        <f t="shared" si="108"/>
        <v>20.081305947392778</v>
      </c>
      <c r="D185" s="75">
        <f>C185*(1-PARAM!$C$27)*$I$3+(MOD($B185,60)=PARAM!$B$56)*($B185&gt;(60-PARAM!$B$56))*HLOOKUP(($B185+PARAM!$B$56)/12,Loyalty,2)*$F$1*MAX(F184,0)</f>
        <v>16.808053077967756</v>
      </c>
      <c r="E185" s="75">
        <f>PARAM!$C$26+MAX($G$3-CHOOSE(PARAM!$B$44,MAX(0,F184*$F$1),0),0)*RATES!$L161/12+$H$3*(PARAM!$D$51/12)*RATES!$N161/100</f>
        <v>11.034224032189584</v>
      </c>
      <c r="F185" s="16">
        <f t="shared" si="109"/>
        <v>67.368045407835993</v>
      </c>
      <c r="G185" s="15">
        <f t="shared" si="110"/>
        <v>22.035289406060361</v>
      </c>
      <c r="H185" s="75">
        <f>G185*(1-PARAM!$C$27)*$I$4+(MOD($B185,60)=PARAM!$B$56)*($B185&gt;(60-PARAM!$B$56))*HLOOKUP(($B185+PARAM!$B$56)/12,Loyalty,2)*$F$1*MAX(J184,0)</f>
        <v>18.443537232872522</v>
      </c>
      <c r="I185" s="75">
        <f>PARAM!$C$26+MAX($G$4-CHOOSE(PARAM!$B$44,MAX(0,J184*$F$1),0),0)*RATES!$L161/12+$H$4*(PARAM!$D$51/12)*RATES!$N161/100</f>
        <v>11.005196251757425</v>
      </c>
      <c r="J185" s="16">
        <f t="shared" si="111"/>
        <v>309.26246436793372</v>
      </c>
      <c r="K185" s="15">
        <f t="shared" si="112"/>
        <v>22.170849845882874</v>
      </c>
      <c r="L185" s="75">
        <f>K185*(1-PARAM!$C$27)*$I$5+(MOD($B185,60)=PARAM!$B$56)*($B185&gt;(60-PARAM!$B$56))*HLOOKUP(($B185+PARAM!$B$56)/12,Loyalty,2)*$F$1*MAX(N184,0)</f>
        <v>18.557001321003963</v>
      </c>
      <c r="M185" s="75">
        <f>PARAM!$C$26+MAX($G$5-CHOOSE(PARAM!$B$44,MAX(0,N184*$F$1),0),0)*RATES!$L161/12+$H$5*(PARAM!$D$51/12)*RATES!$N161/100</f>
        <v>11.003180497686511</v>
      </c>
      <c r="N185" s="16">
        <f t="shared" si="113"/>
        <v>326.06004686596765</v>
      </c>
      <c r="O185" s="15">
        <f t="shared" si="114"/>
        <v>22.170849845882874</v>
      </c>
      <c r="P185" s="75">
        <f>O185*(1-PARAM!$C$27)*$I$6+(MOD($B185,60)=PARAM!$B$56)*($B185&gt;(60-PARAM!$B$56))*HLOOKUP(($B185+PARAM!$B$56)/12,Loyalty,2)*$F$1*MAX(R184,0)</f>
        <v>18.557001321003963</v>
      </c>
      <c r="Q185" s="75">
        <f>PARAM!$C$26+MAX($G$6-CHOOSE(PARAM!$B$44,MAX(0,R184*$F$1),0),0)*RATES!$L161/12+$H$6*(PARAM!$D$51/12)*RATES!$N161/100</f>
        <v>11.003180497686511</v>
      </c>
      <c r="R185" s="16">
        <f t="shared" si="115"/>
        <v>326.06004686596765</v>
      </c>
      <c r="S185" s="15">
        <f t="shared" si="90"/>
        <v>22.170849845882874</v>
      </c>
      <c r="T185" s="75">
        <f>S185*(1-PARAM!$C$27)*$I$7+(MOD($B185,60)=PARAM!$B$56)*($B185&gt;(60-PARAM!$B$56))*HLOOKUP(($B185+PARAM!$B$56)/12,Loyalty,2)*$F$1*MAX(V184,0)</f>
        <v>18.557001321003963</v>
      </c>
      <c r="U185" s="75">
        <f>PARAM!$C$26+MAX($G$7-CHOOSE(PARAM!$B$44,MAX(0,V184*$F$1),0),0)*RATES!$L161/12+$H$7*(PARAM!$D$51/12)*RATES!$N161/100</f>
        <v>11.003180497686511</v>
      </c>
      <c r="V185" s="16">
        <f t="shared" si="116"/>
        <v>326.06004686596765</v>
      </c>
      <c r="W185" s="15">
        <f t="shared" si="91"/>
        <v>22.170849845882874</v>
      </c>
      <c r="X185" s="75">
        <f>W185*(1-PARAM!$C$27)*$I$8+(MOD($B185,60)=PARAM!$B$56)*($B185&gt;(60-PARAM!$B$56))*HLOOKUP(($B185+PARAM!$B$56)/12,Loyalty,2)*$F$1*MAX(Z184,0)</f>
        <v>18.557001321003963</v>
      </c>
      <c r="Y185" s="75">
        <f>PARAM!$C$26+MAX($G$8-CHOOSE(PARAM!$B$44,MAX(0,Z184*$F$1),0),0)*RATES!$L161/12+$H$8*(PARAM!$D$51/12)*RATES!$N161/100</f>
        <v>11.003180497686511</v>
      </c>
      <c r="Z185" s="16">
        <f t="shared" si="117"/>
        <v>326.06004686596765</v>
      </c>
      <c r="AA185" s="15">
        <f t="shared" si="92"/>
        <v>22.170849845882874</v>
      </c>
      <c r="AB185" s="75">
        <f>AA185*(1-PARAM!$C$27)*$I$9+(MOD($B185,60)=PARAM!$B$56)*($B185&gt;(60-PARAM!$B$56))*HLOOKUP(($B185+PARAM!$B$56)/12,Loyalty,2)*$F$1*MAX(AD184,0)</f>
        <v>18.557001321003963</v>
      </c>
      <c r="AC185" s="75">
        <f>PARAM!$C$26+MAX($G$9-CHOOSE(PARAM!$B$44,MAX(0,AD184*$F$1),0),0)*RATES!$L161/12+$H$9*(PARAM!$D$51/12)*RATES!$N161/100</f>
        <v>11.003180497686511</v>
      </c>
      <c r="AD185" s="16">
        <f t="shared" si="118"/>
        <v>326.06004686596765</v>
      </c>
      <c r="AE185" s="15">
        <f t="shared" si="93"/>
        <v>22.170849845882874</v>
      </c>
      <c r="AF185" s="75">
        <f>AE185*(1-PARAM!$C$27)*$I$10+(MOD($B185,60)=PARAM!$B$56)*($B185&gt;(60-PARAM!$B$56))*HLOOKUP(($B185+PARAM!$B$56)/12,Loyalty,2)*$F$1*MAX(AH184,0)</f>
        <v>18.557001321003963</v>
      </c>
      <c r="AG185" s="75">
        <f>PARAM!$C$26+MAX($G$10-CHOOSE(PARAM!$B$44,MAX(0,AH184*$F$1),0),0)*RATES!$L161/12+$H$10*(PARAM!$D$51/12)*RATES!$N161/100</f>
        <v>11.003180497686511</v>
      </c>
      <c r="AH185" s="16">
        <f t="shared" si="119"/>
        <v>326.06004686596765</v>
      </c>
      <c r="AI185" s="15">
        <f t="shared" si="94"/>
        <v>22.170849845882874</v>
      </c>
      <c r="AJ185" s="75">
        <f>AI185*(1-PARAM!$C$27)*$I$11+(MOD($B185,60)=PARAM!$B$56)*($B185&gt;(60-PARAM!$B$56))*HLOOKUP(($B185+PARAM!$B$56)/12,Loyalty,2)*$F$1*MAX(AL184,0)</f>
        <v>18.557001321003963</v>
      </c>
      <c r="AK185" s="75">
        <f>PARAM!$C$26+MAX($G$11-CHOOSE(PARAM!$B$44,MAX(0,AL184*$F$1),0),0)*RATES!$L161/12+$H$11*(PARAM!$D$51/12)*RATES!$N161/100</f>
        <v>11.003180497686511</v>
      </c>
      <c r="AL185" s="16">
        <f t="shared" si="120"/>
        <v>326.06004686596765</v>
      </c>
      <c r="AM185" s="15">
        <f t="shared" si="95"/>
        <v>22.170849845882874</v>
      </c>
      <c r="AN185" s="75">
        <f>AM185*(1-PARAM!$C$27)*$I$12+(MOD($B185,60)=PARAM!$B$56)*($B185&gt;(60-PARAM!$B$56))*HLOOKUP(($B185+PARAM!$B$56)/12,Loyalty,2)*$F$1*MAX(AP184,0)</f>
        <v>18.557001321003963</v>
      </c>
      <c r="AO185" s="75">
        <f>PARAM!$C$26+MAX($G$12-CHOOSE(PARAM!$B$44,MAX(0,AP184*$F$1),0),0)*RATES!$L161/12+$H$12*(PARAM!$D$51/12)*RATES!$N161/100</f>
        <v>11.003180497686511</v>
      </c>
      <c r="AP185" s="16">
        <f t="shared" si="121"/>
        <v>326.06004686596765</v>
      </c>
      <c r="AQ185" s="15">
        <f t="shared" si="96"/>
        <v>22.170849845882874</v>
      </c>
      <c r="AR185" s="75">
        <f>AQ185*(1-PARAM!$C$27)*$I$13+(MOD($B185,60)=PARAM!$B$56)*($B185&gt;(60-PARAM!$B$56))*HLOOKUP(($B185+PARAM!$B$56)/12,Loyalty,2)*$F$1*MAX(AT184,0)</f>
        <v>18.557001321003963</v>
      </c>
      <c r="AS185" s="75">
        <f>PARAM!$C$26+MAX($G$13-CHOOSE(PARAM!$B$44,MAX(0,AT184*$F$1),0),0)*RATES!$L161/12+$H$13*(PARAM!$D$51/12)*RATES!$N161/100</f>
        <v>11.003180497686511</v>
      </c>
      <c r="AT185" s="16">
        <f t="shared" si="122"/>
        <v>326.06004686596765</v>
      </c>
      <c r="AU185" s="15">
        <f t="shared" si="97"/>
        <v>22.170849845882874</v>
      </c>
      <c r="AV185" s="75">
        <f>AU185*(1-PARAM!$C$27)*$I$14+(MOD($B185,60)=PARAM!$B$56)*($B185&gt;(60-PARAM!$B$56))*HLOOKUP(($B185+PARAM!$B$56)/12,Loyalty,2)*$F$1*MAX(AX184,0)</f>
        <v>18.557001321003963</v>
      </c>
      <c r="AW185" s="75">
        <f>PARAM!$C$26+MAX($G$14-CHOOSE(PARAM!$B$44,MAX(0,AX184*$F$1),0),0)*RATES!$L161/12+$H$14*(PARAM!$D$51/12)*RATES!$N161/100</f>
        <v>11.003180497686511</v>
      </c>
      <c r="AX185" s="16">
        <f t="shared" si="123"/>
        <v>326.06004686596765</v>
      </c>
      <c r="AY185" s="15">
        <f t="shared" si="98"/>
        <v>22.170849845882874</v>
      </c>
      <c r="AZ185" s="75">
        <f>AY185*(1-PARAM!$C$27)*$I$15+(MOD($B185,60)=PARAM!$B$56)*($B185&gt;(60-PARAM!$B$56))*HLOOKUP(($B185+PARAM!$B$56)/12,Loyalty,2)*$F$1*MAX(BB184,0)</f>
        <v>18.557001321003963</v>
      </c>
      <c r="BA185" s="75">
        <f>PARAM!$C$26+MAX($G$15-CHOOSE(PARAM!$B$44,MAX(0,BB184*$F$1),0),0)*RATES!$L161/12+$H$15*(PARAM!$D$51/12)*RATES!$N161/100</f>
        <v>11.003180497686511</v>
      </c>
      <c r="BB185" s="16">
        <f t="shared" si="124"/>
        <v>326.06004686596765</v>
      </c>
      <c r="BC185" s="15">
        <f t="shared" si="99"/>
        <v>22.170849845882874</v>
      </c>
      <c r="BD185" s="75">
        <f>BC185*(1-PARAM!$C$27)*$I$16+(MOD($B185,60)=PARAM!$B$56)*($B185&gt;(60-PARAM!$B$56))*HLOOKUP(($B185+PARAM!$B$56)/12,Loyalty,2)*$F$1*MAX(BF184,0)</f>
        <v>18.557001321003963</v>
      </c>
      <c r="BE185" s="75">
        <f>PARAM!$C$26+MAX($G$16-CHOOSE(PARAM!$B$44,MAX(0,BF184*$F$1),0),0)*RATES!$L161/12+$H$16*(PARAM!$D$51/12)*RATES!$N161/100</f>
        <v>11.003180497686511</v>
      </c>
      <c r="BF185" s="16">
        <f t="shared" si="125"/>
        <v>326.06004686596765</v>
      </c>
      <c r="BG185" s="15">
        <f t="shared" si="100"/>
        <v>22.170849845882874</v>
      </c>
      <c r="BH185" s="75">
        <f>BG185*(1-PARAM!$C$27)*$I$17+(MOD($B185,60)=PARAM!$B$56)*($B185&gt;(60-PARAM!$B$56))*HLOOKUP(($B185+PARAM!$B$56)/12,Loyalty,2)*$F$1*MAX(BJ184,0)</f>
        <v>18.557001321003963</v>
      </c>
      <c r="BI185" s="75">
        <f>PARAM!$C$26+MAX($G$17-CHOOSE(PARAM!$B$44,MAX(0,BJ184*$F$1),0),0)*RATES!$L161/12+$H$17*(PARAM!$D$51/12)*RATES!$N161/100</f>
        <v>11.003180497686511</v>
      </c>
      <c r="BJ185" s="16">
        <f t="shared" si="126"/>
        <v>326.06004686596765</v>
      </c>
      <c r="BK185" s="15">
        <f t="shared" si="101"/>
        <v>22.170849845882874</v>
      </c>
      <c r="BL185" s="75">
        <f>BK185*(1-PARAM!$C$27)*$I$18+(MOD($B185,60)=PARAM!$B$56)*($B185&gt;(60-PARAM!$B$56))*HLOOKUP(($B185+PARAM!$B$56)/12,Loyalty,2)*$F$1*MAX(BN184,0)</f>
        <v>18.557001321003963</v>
      </c>
      <c r="BM185" s="75">
        <f>PARAM!$C$26+MAX($G$18-CHOOSE(PARAM!$B$44,MAX(0,BN184*$F$1),0),0)*RATES!$L161/12+$H$18*(PARAM!$D$51/12)*RATES!$N161/100</f>
        <v>11.003180497686511</v>
      </c>
      <c r="BN185" s="16">
        <f t="shared" si="127"/>
        <v>326.06004686596765</v>
      </c>
      <c r="BO185" s="15">
        <f t="shared" si="102"/>
        <v>22.170849845882874</v>
      </c>
      <c r="BP185" s="75">
        <f>BO185*(1-PARAM!$C$27)*$I$19+(MOD($B185,60)=PARAM!$B$56)*($B185&gt;(60-PARAM!$B$56))*HLOOKUP(($B185+PARAM!$B$56)/12,Loyalty,2)*$F$1*MAX(BR184,0)</f>
        <v>18.557001321003963</v>
      </c>
      <c r="BQ185" s="75">
        <f>PARAM!$C$26+MAX($G$19-CHOOSE(PARAM!$B$44,MAX(0,BR184*$F$1),0),0)*RATES!$L161/12+$H$19*(PARAM!$D$51/12)*RATES!$N161/100</f>
        <v>11.003180497686511</v>
      </c>
      <c r="BR185" s="16">
        <f t="shared" si="128"/>
        <v>326.06004686596765</v>
      </c>
      <c r="BS185" s="15">
        <f t="shared" si="103"/>
        <v>22.170849845882874</v>
      </c>
      <c r="BT185" s="75">
        <f>BS185*(1-PARAM!$C$27)*$I$20+(MOD($B185,60)=PARAM!$B$56)*($B185&gt;(60-PARAM!$B$56))*HLOOKUP(($B185+PARAM!$B$56)/12,Loyalty,2)*$F$1*MAX(BV184,0)</f>
        <v>18.557001321003963</v>
      </c>
      <c r="BU185" s="75">
        <f>PARAM!$C$26+MAX($G$20-CHOOSE(PARAM!$B$44,MAX(0,BV184*$F$1),0),0)*RATES!$L161/12+$H$20*(PARAM!$D$51/12)*RATES!$N161/100</f>
        <v>11.003180497686511</v>
      </c>
      <c r="BV185" s="16">
        <f t="shared" si="129"/>
        <v>326.06004686596765</v>
      </c>
      <c r="BW185" s="15">
        <f t="shared" si="104"/>
        <v>22.170849845882874</v>
      </c>
      <c r="BX185" s="75">
        <f>BW185*(1-PARAM!$C$27)*$I$21+(MOD($B185,60)=PARAM!$B$56)*($B185&gt;(60-PARAM!$B$56))*HLOOKUP(($B185+PARAM!$B$56)/12,Loyalty,2)*$F$1*MAX(BZ184,0)</f>
        <v>18.557001321003963</v>
      </c>
      <c r="BY185" s="75">
        <f>PARAM!$C$26+MAX($G$21-CHOOSE(PARAM!$B$44,MAX(0,BZ184*$F$1),0),0)*RATES!$L161/12+$H$21*(PARAM!$D$51/12)*RATES!$N161/100</f>
        <v>11.003180497686511</v>
      </c>
      <c r="BZ185" s="16">
        <f t="shared" si="130"/>
        <v>326.06004686596765</v>
      </c>
      <c r="CA185" s="15">
        <f t="shared" si="105"/>
        <v>22.170849845882874</v>
      </c>
      <c r="CB185" s="75">
        <f>CA185*(1-PARAM!$C$27)*$I$22+(MOD($B185,60)=PARAM!$B$56)*($B185&gt;(60-PARAM!$B$56))*HLOOKUP(($B185+PARAM!$B$56)/12,Loyalty,2)*$F$1*MAX(CD184,0)</f>
        <v>18.557001321003963</v>
      </c>
      <c r="CC185" s="75">
        <f>PARAM!$C$26+MAX($G$22-CHOOSE(PARAM!$B$44,MAX(0,CD184*$F$1),0),0)*RATES!$L161/12+$H$22*(PARAM!$D$51/12)*RATES!$N161/100</f>
        <v>11.003180497686511</v>
      </c>
      <c r="CD185" s="16">
        <f t="shared" si="131"/>
        <v>326.06004686596765</v>
      </c>
      <c r="CE185" s="33">
        <f>IF(0=MOD(B185,12/PARAM!$D$51),1,0)</f>
        <v>1</v>
      </c>
      <c r="CF185" s="15">
        <f t="shared" si="106"/>
        <v>0</v>
      </c>
      <c r="CG185" s="75">
        <f>CF185*(1-PARAM!$C$27)*$R$3+(MOD($B185/12,5)=0)*($B185&gt;60)*HLOOKUP($B185/12,Loyalty,2)*$F$1*MAX(CI184,0)</f>
        <v>0</v>
      </c>
      <c r="CH185" s="75">
        <f>PARAM!$C$26+MAX($P$3-CHOOSE(PARAM!$B$44,MAX(0,CI184*$F$1),0),0)*RATES!$L161/12+$Q$3*(PARAM!$D$51/12)*RATES!$N161/100</f>
        <v>11.041666666666668</v>
      </c>
      <c r="CI185" s="16">
        <f>IF(CI184&gt;0,CI184*PARAM!$C$53,CI184)+CG185-CH185</f>
        <v>-2412.3749999999973</v>
      </c>
      <c r="CJ185" s="15">
        <f t="shared" si="132"/>
        <v>0</v>
      </c>
      <c r="CK185" s="75">
        <f>CJ185*(1-PARAM!$C$27)*$R$4+(MOD($B185/12,5)=0)*($B185&gt;60)*HLOOKUP($B185/12,Loyalty,2)*$F$1*MAX(CM184,0)</f>
        <v>0</v>
      </c>
      <c r="CL185" s="75">
        <f>PARAM!$C$26+MAX($P$4-CHOOSE(PARAM!$B$44,MAX(0,CM184*$F$1),0),0)*RATES!$L161/12+$Q$4*(PARAM!$D$51/12)*RATES!$N161/100</f>
        <v>11.041666666666668</v>
      </c>
      <c r="CM185" s="16">
        <f>IF(CM184&gt;0,CM184*PARAM!$C$53,CM184)+CK185-CL185</f>
        <v>-2412.3749999999973</v>
      </c>
      <c r="CO185" s="176"/>
    </row>
    <row r="186" spans="1:93" x14ac:dyDescent="0.2">
      <c r="A186" t="b">
        <f t="shared" si="107"/>
        <v>1</v>
      </c>
      <c r="B186" s="33">
        <v>159</v>
      </c>
      <c r="C186" s="15">
        <f t="shared" si="108"/>
        <v>20.081305947392778</v>
      </c>
      <c r="D186" s="75">
        <f>C186*(1-PARAM!$C$27)*$I$3+(MOD($B186,60)=PARAM!$B$56)*($B186&gt;(60-PARAM!$B$56))*HLOOKUP(($B186+PARAM!$B$56)/12,Loyalty,2)*$F$1*MAX(F185,0)</f>
        <v>16.808053077967756</v>
      </c>
      <c r="E186" s="75">
        <f>PARAM!$C$26+MAX($G$3-CHOOSE(PARAM!$B$44,MAX(0,F185*$F$1),0),0)*RATES!$L162/12+$H$3*(PARAM!$D$51/12)*RATES!$N162/100</f>
        <v>11.033526361179888</v>
      </c>
      <c r="F186" s="16">
        <f t="shared" si="109"/>
        <v>73.142572124623854</v>
      </c>
      <c r="G186" s="15">
        <f t="shared" si="110"/>
        <v>22.035289406060361</v>
      </c>
      <c r="H186" s="75">
        <f>G186*(1-PARAM!$C$27)*$I$4+(MOD($B186,60)=PARAM!$B$56)*($B186&gt;(60-PARAM!$B$56))*HLOOKUP(($B186+PARAM!$B$56)/12,Loyalty,2)*$F$1*MAX(J185,0)</f>
        <v>18.443537232872522</v>
      </c>
      <c r="I186" s="75">
        <f>PARAM!$C$26+MAX($G$4-CHOOSE(PARAM!$B$44,MAX(0,J185*$F$1),0),0)*RATES!$L162/12+$H$4*(PARAM!$D$51/12)*RATES!$N162/100</f>
        <v>11.004297452222207</v>
      </c>
      <c r="J186" s="16">
        <f t="shared" si="111"/>
        <v>316.70170414858404</v>
      </c>
      <c r="K186" s="15">
        <f t="shared" si="112"/>
        <v>22.170849845882874</v>
      </c>
      <c r="L186" s="75">
        <f>K186*(1-PARAM!$C$27)*$I$5+(MOD($B186,60)=PARAM!$B$56)*($B186&gt;(60-PARAM!$B$56))*HLOOKUP(($B186+PARAM!$B$56)/12,Loyalty,2)*$F$1*MAX(N185,0)</f>
        <v>18.557001321003963</v>
      </c>
      <c r="M186" s="75">
        <f>PARAM!$C$26+MAX($G$5-CHOOSE(PARAM!$B$44,MAX(0,N185*$F$1),0),0)*RATES!$L162/12+$H$5*(PARAM!$D$51/12)*RATES!$N162/100</f>
        <v>11.002267744337029</v>
      </c>
      <c r="N186" s="16">
        <f t="shared" si="113"/>
        <v>333.61478044263458</v>
      </c>
      <c r="O186" s="15">
        <f t="shared" si="114"/>
        <v>22.170849845882874</v>
      </c>
      <c r="P186" s="75">
        <f>O186*(1-PARAM!$C$27)*$I$6+(MOD($B186,60)=PARAM!$B$56)*($B186&gt;(60-PARAM!$B$56))*HLOOKUP(($B186+PARAM!$B$56)/12,Loyalty,2)*$F$1*MAX(R185,0)</f>
        <v>18.557001321003963</v>
      </c>
      <c r="Q186" s="75">
        <f>PARAM!$C$26+MAX($G$6-CHOOSE(PARAM!$B$44,MAX(0,R185*$F$1),0),0)*RATES!$L162/12+$H$6*(PARAM!$D$51/12)*RATES!$N162/100</f>
        <v>11.002267744337029</v>
      </c>
      <c r="R186" s="16">
        <f t="shared" si="115"/>
        <v>333.61478044263458</v>
      </c>
      <c r="S186" s="15">
        <f t="shared" si="90"/>
        <v>22.170849845882874</v>
      </c>
      <c r="T186" s="75">
        <f>S186*(1-PARAM!$C$27)*$I$7+(MOD($B186,60)=PARAM!$B$56)*($B186&gt;(60-PARAM!$B$56))*HLOOKUP(($B186+PARAM!$B$56)/12,Loyalty,2)*$F$1*MAX(V185,0)</f>
        <v>18.557001321003963</v>
      </c>
      <c r="U186" s="75">
        <f>PARAM!$C$26+MAX($G$7-CHOOSE(PARAM!$B$44,MAX(0,V185*$F$1),0),0)*RATES!$L162/12+$H$7*(PARAM!$D$51/12)*RATES!$N162/100</f>
        <v>11.002267744337029</v>
      </c>
      <c r="V186" s="16">
        <f t="shared" si="116"/>
        <v>333.61478044263458</v>
      </c>
      <c r="W186" s="15">
        <f t="shared" si="91"/>
        <v>22.170849845882874</v>
      </c>
      <c r="X186" s="75">
        <f>W186*(1-PARAM!$C$27)*$I$8+(MOD($B186,60)=PARAM!$B$56)*($B186&gt;(60-PARAM!$B$56))*HLOOKUP(($B186+PARAM!$B$56)/12,Loyalty,2)*$F$1*MAX(Z185,0)</f>
        <v>18.557001321003963</v>
      </c>
      <c r="Y186" s="75">
        <f>PARAM!$C$26+MAX($G$8-CHOOSE(PARAM!$B$44,MAX(0,Z185*$F$1),0),0)*RATES!$L162/12+$H$8*(PARAM!$D$51/12)*RATES!$N162/100</f>
        <v>11.002267744337029</v>
      </c>
      <c r="Z186" s="16">
        <f t="shared" si="117"/>
        <v>333.61478044263458</v>
      </c>
      <c r="AA186" s="15">
        <f t="shared" si="92"/>
        <v>22.170849845882874</v>
      </c>
      <c r="AB186" s="75">
        <f>AA186*(1-PARAM!$C$27)*$I$9+(MOD($B186,60)=PARAM!$B$56)*($B186&gt;(60-PARAM!$B$56))*HLOOKUP(($B186+PARAM!$B$56)/12,Loyalty,2)*$F$1*MAX(AD185,0)</f>
        <v>18.557001321003963</v>
      </c>
      <c r="AC186" s="75">
        <f>PARAM!$C$26+MAX($G$9-CHOOSE(PARAM!$B$44,MAX(0,AD185*$F$1),0),0)*RATES!$L162/12+$H$9*(PARAM!$D$51/12)*RATES!$N162/100</f>
        <v>11.002267744337029</v>
      </c>
      <c r="AD186" s="16">
        <f t="shared" si="118"/>
        <v>333.61478044263458</v>
      </c>
      <c r="AE186" s="15">
        <f t="shared" si="93"/>
        <v>22.170849845882874</v>
      </c>
      <c r="AF186" s="75">
        <f>AE186*(1-PARAM!$C$27)*$I$10+(MOD($B186,60)=PARAM!$B$56)*($B186&gt;(60-PARAM!$B$56))*HLOOKUP(($B186+PARAM!$B$56)/12,Loyalty,2)*$F$1*MAX(AH185,0)</f>
        <v>18.557001321003963</v>
      </c>
      <c r="AG186" s="75">
        <f>PARAM!$C$26+MAX($G$10-CHOOSE(PARAM!$B$44,MAX(0,AH185*$F$1),0),0)*RATES!$L162/12+$H$10*(PARAM!$D$51/12)*RATES!$N162/100</f>
        <v>11.002267744337029</v>
      </c>
      <c r="AH186" s="16">
        <f t="shared" si="119"/>
        <v>333.61478044263458</v>
      </c>
      <c r="AI186" s="15">
        <f t="shared" si="94"/>
        <v>22.170849845882874</v>
      </c>
      <c r="AJ186" s="75">
        <f>AI186*(1-PARAM!$C$27)*$I$11+(MOD($B186,60)=PARAM!$B$56)*($B186&gt;(60-PARAM!$B$56))*HLOOKUP(($B186+PARAM!$B$56)/12,Loyalty,2)*$F$1*MAX(AL185,0)</f>
        <v>18.557001321003963</v>
      </c>
      <c r="AK186" s="75">
        <f>PARAM!$C$26+MAX($G$11-CHOOSE(PARAM!$B$44,MAX(0,AL185*$F$1),0),0)*RATES!$L162/12+$H$11*(PARAM!$D$51/12)*RATES!$N162/100</f>
        <v>11.002267744337029</v>
      </c>
      <c r="AL186" s="16">
        <f t="shared" si="120"/>
        <v>333.61478044263458</v>
      </c>
      <c r="AM186" s="15">
        <f t="shared" si="95"/>
        <v>22.170849845882874</v>
      </c>
      <c r="AN186" s="75">
        <f>AM186*(1-PARAM!$C$27)*$I$12+(MOD($B186,60)=PARAM!$B$56)*($B186&gt;(60-PARAM!$B$56))*HLOOKUP(($B186+PARAM!$B$56)/12,Loyalty,2)*$F$1*MAX(AP185,0)</f>
        <v>18.557001321003963</v>
      </c>
      <c r="AO186" s="75">
        <f>PARAM!$C$26+MAX($G$12-CHOOSE(PARAM!$B$44,MAX(0,AP185*$F$1),0),0)*RATES!$L162/12+$H$12*(PARAM!$D$51/12)*RATES!$N162/100</f>
        <v>11.002267744337029</v>
      </c>
      <c r="AP186" s="16">
        <f t="shared" si="121"/>
        <v>333.61478044263458</v>
      </c>
      <c r="AQ186" s="15">
        <f t="shared" si="96"/>
        <v>22.170849845882874</v>
      </c>
      <c r="AR186" s="75">
        <f>AQ186*(1-PARAM!$C$27)*$I$13+(MOD($B186,60)=PARAM!$B$56)*($B186&gt;(60-PARAM!$B$56))*HLOOKUP(($B186+PARAM!$B$56)/12,Loyalty,2)*$F$1*MAX(AT185,0)</f>
        <v>18.557001321003963</v>
      </c>
      <c r="AS186" s="75">
        <f>PARAM!$C$26+MAX($G$13-CHOOSE(PARAM!$B$44,MAX(0,AT185*$F$1),0),0)*RATES!$L162/12+$H$13*(PARAM!$D$51/12)*RATES!$N162/100</f>
        <v>11.002267744337029</v>
      </c>
      <c r="AT186" s="16">
        <f t="shared" si="122"/>
        <v>333.61478044263458</v>
      </c>
      <c r="AU186" s="15">
        <f t="shared" si="97"/>
        <v>22.170849845882874</v>
      </c>
      <c r="AV186" s="75">
        <f>AU186*(1-PARAM!$C$27)*$I$14+(MOD($B186,60)=PARAM!$B$56)*($B186&gt;(60-PARAM!$B$56))*HLOOKUP(($B186+PARAM!$B$56)/12,Loyalty,2)*$F$1*MAX(AX185,0)</f>
        <v>18.557001321003963</v>
      </c>
      <c r="AW186" s="75">
        <f>PARAM!$C$26+MAX($G$14-CHOOSE(PARAM!$B$44,MAX(0,AX185*$F$1),0),0)*RATES!$L162/12+$H$14*(PARAM!$D$51/12)*RATES!$N162/100</f>
        <v>11.002267744337029</v>
      </c>
      <c r="AX186" s="16">
        <f t="shared" si="123"/>
        <v>333.61478044263458</v>
      </c>
      <c r="AY186" s="15">
        <f t="shared" si="98"/>
        <v>22.170849845882874</v>
      </c>
      <c r="AZ186" s="75">
        <f>AY186*(1-PARAM!$C$27)*$I$15+(MOD($B186,60)=PARAM!$B$56)*($B186&gt;(60-PARAM!$B$56))*HLOOKUP(($B186+PARAM!$B$56)/12,Loyalty,2)*$F$1*MAX(BB185,0)</f>
        <v>18.557001321003963</v>
      </c>
      <c r="BA186" s="75">
        <f>PARAM!$C$26+MAX($G$15-CHOOSE(PARAM!$B$44,MAX(0,BB185*$F$1),0),0)*RATES!$L162/12+$H$15*(PARAM!$D$51/12)*RATES!$N162/100</f>
        <v>11.002267744337029</v>
      </c>
      <c r="BB186" s="16">
        <f t="shared" si="124"/>
        <v>333.61478044263458</v>
      </c>
      <c r="BC186" s="15">
        <f t="shared" si="99"/>
        <v>22.170849845882874</v>
      </c>
      <c r="BD186" s="75">
        <f>BC186*(1-PARAM!$C$27)*$I$16+(MOD($B186,60)=PARAM!$B$56)*($B186&gt;(60-PARAM!$B$56))*HLOOKUP(($B186+PARAM!$B$56)/12,Loyalty,2)*$F$1*MAX(BF185,0)</f>
        <v>18.557001321003963</v>
      </c>
      <c r="BE186" s="75">
        <f>PARAM!$C$26+MAX($G$16-CHOOSE(PARAM!$B$44,MAX(0,BF185*$F$1),0),0)*RATES!$L162/12+$H$16*(PARAM!$D$51/12)*RATES!$N162/100</f>
        <v>11.002267744337029</v>
      </c>
      <c r="BF186" s="16">
        <f t="shared" si="125"/>
        <v>333.61478044263458</v>
      </c>
      <c r="BG186" s="15">
        <f t="shared" si="100"/>
        <v>22.170849845882874</v>
      </c>
      <c r="BH186" s="75">
        <f>BG186*(1-PARAM!$C$27)*$I$17+(MOD($B186,60)=PARAM!$B$56)*($B186&gt;(60-PARAM!$B$56))*HLOOKUP(($B186+PARAM!$B$56)/12,Loyalty,2)*$F$1*MAX(BJ185,0)</f>
        <v>18.557001321003963</v>
      </c>
      <c r="BI186" s="75">
        <f>PARAM!$C$26+MAX($G$17-CHOOSE(PARAM!$B$44,MAX(0,BJ185*$F$1),0),0)*RATES!$L162/12+$H$17*(PARAM!$D$51/12)*RATES!$N162/100</f>
        <v>11.002267744337029</v>
      </c>
      <c r="BJ186" s="16">
        <f t="shared" si="126"/>
        <v>333.61478044263458</v>
      </c>
      <c r="BK186" s="15">
        <f t="shared" si="101"/>
        <v>22.170849845882874</v>
      </c>
      <c r="BL186" s="75">
        <f>BK186*(1-PARAM!$C$27)*$I$18+(MOD($B186,60)=PARAM!$B$56)*($B186&gt;(60-PARAM!$B$56))*HLOOKUP(($B186+PARAM!$B$56)/12,Loyalty,2)*$F$1*MAX(BN185,0)</f>
        <v>18.557001321003963</v>
      </c>
      <c r="BM186" s="75">
        <f>PARAM!$C$26+MAX($G$18-CHOOSE(PARAM!$B$44,MAX(0,BN185*$F$1),0),0)*RATES!$L162/12+$H$18*(PARAM!$D$51/12)*RATES!$N162/100</f>
        <v>11.002267744337029</v>
      </c>
      <c r="BN186" s="16">
        <f t="shared" si="127"/>
        <v>333.61478044263458</v>
      </c>
      <c r="BO186" s="15">
        <f t="shared" si="102"/>
        <v>22.170849845882874</v>
      </c>
      <c r="BP186" s="75">
        <f>BO186*(1-PARAM!$C$27)*$I$19+(MOD($B186,60)=PARAM!$B$56)*($B186&gt;(60-PARAM!$B$56))*HLOOKUP(($B186+PARAM!$B$56)/12,Loyalty,2)*$F$1*MAX(BR185,0)</f>
        <v>18.557001321003963</v>
      </c>
      <c r="BQ186" s="75">
        <f>PARAM!$C$26+MAX($G$19-CHOOSE(PARAM!$B$44,MAX(0,BR185*$F$1),0),0)*RATES!$L162/12+$H$19*(PARAM!$D$51/12)*RATES!$N162/100</f>
        <v>11.002267744337029</v>
      </c>
      <c r="BR186" s="16">
        <f t="shared" si="128"/>
        <v>333.61478044263458</v>
      </c>
      <c r="BS186" s="15">
        <f t="shared" si="103"/>
        <v>22.170849845882874</v>
      </c>
      <c r="BT186" s="75">
        <f>BS186*(1-PARAM!$C$27)*$I$20+(MOD($B186,60)=PARAM!$B$56)*($B186&gt;(60-PARAM!$B$56))*HLOOKUP(($B186+PARAM!$B$56)/12,Loyalty,2)*$F$1*MAX(BV185,0)</f>
        <v>18.557001321003963</v>
      </c>
      <c r="BU186" s="75">
        <f>PARAM!$C$26+MAX($G$20-CHOOSE(PARAM!$B$44,MAX(0,BV185*$F$1),0),0)*RATES!$L162/12+$H$20*(PARAM!$D$51/12)*RATES!$N162/100</f>
        <v>11.002267744337029</v>
      </c>
      <c r="BV186" s="16">
        <f t="shared" si="129"/>
        <v>333.61478044263458</v>
      </c>
      <c r="BW186" s="15">
        <f t="shared" si="104"/>
        <v>22.170849845882874</v>
      </c>
      <c r="BX186" s="75">
        <f>BW186*(1-PARAM!$C$27)*$I$21+(MOD($B186,60)=PARAM!$B$56)*($B186&gt;(60-PARAM!$B$56))*HLOOKUP(($B186+PARAM!$B$56)/12,Loyalty,2)*$F$1*MAX(BZ185,0)</f>
        <v>18.557001321003963</v>
      </c>
      <c r="BY186" s="75">
        <f>PARAM!$C$26+MAX($G$21-CHOOSE(PARAM!$B$44,MAX(0,BZ185*$F$1),0),0)*RATES!$L162/12+$H$21*(PARAM!$D$51/12)*RATES!$N162/100</f>
        <v>11.002267744337029</v>
      </c>
      <c r="BZ186" s="16">
        <f t="shared" si="130"/>
        <v>333.61478044263458</v>
      </c>
      <c r="CA186" s="15">
        <f t="shared" si="105"/>
        <v>22.170849845882874</v>
      </c>
      <c r="CB186" s="75">
        <f>CA186*(1-PARAM!$C$27)*$I$22+(MOD($B186,60)=PARAM!$B$56)*($B186&gt;(60-PARAM!$B$56))*HLOOKUP(($B186+PARAM!$B$56)/12,Loyalty,2)*$F$1*MAX(CD185,0)</f>
        <v>18.557001321003963</v>
      </c>
      <c r="CC186" s="75">
        <f>PARAM!$C$26+MAX($G$22-CHOOSE(PARAM!$B$44,MAX(0,CD185*$F$1),0),0)*RATES!$L162/12+$H$22*(PARAM!$D$51/12)*RATES!$N162/100</f>
        <v>11.002267744337029</v>
      </c>
      <c r="CD186" s="16">
        <f t="shared" si="131"/>
        <v>333.61478044263458</v>
      </c>
      <c r="CE186" s="33">
        <f>IF(0=MOD(B186,12/PARAM!$D$51),1,0)</f>
        <v>1</v>
      </c>
      <c r="CF186" s="15">
        <f t="shared" si="106"/>
        <v>0</v>
      </c>
      <c r="CG186" s="75">
        <f>CF186*(1-PARAM!$C$27)*$R$3+(MOD($B186/12,5)=0)*($B186&gt;60)*HLOOKUP($B186/12,Loyalty,2)*$F$1*MAX(CI185,0)</f>
        <v>0</v>
      </c>
      <c r="CH186" s="75">
        <f>PARAM!$C$26+MAX($P$3-CHOOSE(PARAM!$B$44,MAX(0,CI185*$F$1),0),0)*RATES!$L162/12+$Q$3*(PARAM!$D$51/12)*RATES!$N162/100</f>
        <v>11.041666666666668</v>
      </c>
      <c r="CI186" s="16">
        <f>IF(CI185&gt;0,CI185*PARAM!$C$53,CI185)+CG186-CH186</f>
        <v>-2423.4166666666638</v>
      </c>
      <c r="CJ186" s="15">
        <f t="shared" si="132"/>
        <v>0</v>
      </c>
      <c r="CK186" s="75">
        <f>CJ186*(1-PARAM!$C$27)*$R$4+(MOD($B186/12,5)=0)*($B186&gt;60)*HLOOKUP($B186/12,Loyalty,2)*$F$1*MAX(CM185,0)</f>
        <v>0</v>
      </c>
      <c r="CL186" s="75">
        <f>PARAM!$C$26+MAX($P$4-CHOOSE(PARAM!$B$44,MAX(0,CM185*$F$1),0),0)*RATES!$L162/12+$Q$4*(PARAM!$D$51/12)*RATES!$N162/100</f>
        <v>11.041666666666668</v>
      </c>
      <c r="CM186" s="16">
        <f>IF(CM185&gt;0,CM185*PARAM!$C$53,CM185)+CK186-CL186</f>
        <v>-2423.4166666666638</v>
      </c>
      <c r="CO186" s="176"/>
    </row>
    <row r="187" spans="1:93" x14ac:dyDescent="0.2">
      <c r="A187" t="b">
        <f t="shared" si="107"/>
        <v>1</v>
      </c>
      <c r="B187" s="33">
        <v>160</v>
      </c>
      <c r="C187" s="15">
        <f t="shared" si="108"/>
        <v>20.081305947392778</v>
      </c>
      <c r="D187" s="75">
        <f>C187*(1-PARAM!$C$27)*$I$3+(MOD($B187,60)=PARAM!$B$56)*($B187&gt;(60-PARAM!$B$56))*HLOOKUP(($B187+PARAM!$B$56)/12,Loyalty,2)*$F$1*MAX(F186,0)</f>
        <v>16.808053077967756</v>
      </c>
      <c r="E187" s="75">
        <f>PARAM!$C$26+MAX($G$3-CHOOSE(PARAM!$B$44,MAX(0,F186*$F$1),0),0)*RATES!$L163/12+$H$3*(PARAM!$D$51/12)*RATES!$N163/100</f>
        <v>11.032828605868275</v>
      </c>
      <c r="F187" s="16">
        <f t="shared" si="109"/>
        <v>78.917796596723335</v>
      </c>
      <c r="G187" s="15">
        <f t="shared" si="110"/>
        <v>22.035289406060361</v>
      </c>
      <c r="H187" s="75">
        <f>G187*(1-PARAM!$C$27)*$I$4+(MOD($B187,60)=PARAM!$B$56)*($B187&gt;(60-PARAM!$B$56))*HLOOKUP(($B187+PARAM!$B$56)/12,Loyalty,2)*$F$1*MAX(J186,0)</f>
        <v>18.443537232872522</v>
      </c>
      <c r="I187" s="75">
        <f>PARAM!$C$26+MAX($G$4-CHOOSE(PARAM!$B$44,MAX(0,J186*$F$1),0),0)*RATES!$L163/12+$H$4*(PARAM!$D$51/12)*RATES!$N163/100</f>
        <v>11.003398544082046</v>
      </c>
      <c r="J187" s="16">
        <f t="shared" si="111"/>
        <v>324.1418428373745</v>
      </c>
      <c r="K187" s="15">
        <f t="shared" si="112"/>
        <v>22.170849845882874</v>
      </c>
      <c r="L187" s="75">
        <f>K187*(1-PARAM!$C$27)*$I$5+(MOD($B187,60)=PARAM!$B$56)*($B187&gt;(60-PARAM!$B$56))*HLOOKUP(($B187+PARAM!$B$56)/12,Loyalty,2)*$F$1*MAX(N186,0)</f>
        <v>18.557001321003963</v>
      </c>
      <c r="M187" s="75">
        <f>PARAM!$C$26+MAX($G$5-CHOOSE(PARAM!$B$44,MAX(0,N186*$F$1),0),0)*RATES!$L163/12+$H$5*(PARAM!$D$51/12)*RATES!$N163/100</f>
        <v>11.001354880696514</v>
      </c>
      <c r="N187" s="16">
        <f t="shared" si="113"/>
        <v>341.17042688294202</v>
      </c>
      <c r="O187" s="15">
        <f t="shared" si="114"/>
        <v>22.170849845882874</v>
      </c>
      <c r="P187" s="75">
        <f>O187*(1-PARAM!$C$27)*$I$6+(MOD($B187,60)=PARAM!$B$56)*($B187&gt;(60-PARAM!$B$56))*HLOOKUP(($B187+PARAM!$B$56)/12,Loyalty,2)*$F$1*MAX(R186,0)</f>
        <v>18.557001321003963</v>
      </c>
      <c r="Q187" s="75">
        <f>PARAM!$C$26+MAX($G$6-CHOOSE(PARAM!$B$44,MAX(0,R186*$F$1),0),0)*RATES!$L163/12+$H$6*(PARAM!$D$51/12)*RATES!$N163/100</f>
        <v>11.001354880696514</v>
      </c>
      <c r="R187" s="16">
        <f t="shared" si="115"/>
        <v>341.17042688294202</v>
      </c>
      <c r="S187" s="15">
        <f t="shared" si="90"/>
        <v>22.170849845882874</v>
      </c>
      <c r="T187" s="75">
        <f>S187*(1-PARAM!$C$27)*$I$7+(MOD($B187,60)=PARAM!$B$56)*($B187&gt;(60-PARAM!$B$56))*HLOOKUP(($B187+PARAM!$B$56)/12,Loyalty,2)*$F$1*MAX(V186,0)</f>
        <v>18.557001321003963</v>
      </c>
      <c r="U187" s="75">
        <f>PARAM!$C$26+MAX($G$7-CHOOSE(PARAM!$B$44,MAX(0,V186*$F$1),0),0)*RATES!$L163/12+$H$7*(PARAM!$D$51/12)*RATES!$N163/100</f>
        <v>11.001354880696514</v>
      </c>
      <c r="V187" s="16">
        <f t="shared" si="116"/>
        <v>341.17042688294202</v>
      </c>
      <c r="W187" s="15">
        <f t="shared" si="91"/>
        <v>22.170849845882874</v>
      </c>
      <c r="X187" s="75">
        <f>W187*(1-PARAM!$C$27)*$I$8+(MOD($B187,60)=PARAM!$B$56)*($B187&gt;(60-PARAM!$B$56))*HLOOKUP(($B187+PARAM!$B$56)/12,Loyalty,2)*$F$1*MAX(Z186,0)</f>
        <v>18.557001321003963</v>
      </c>
      <c r="Y187" s="75">
        <f>PARAM!$C$26+MAX($G$8-CHOOSE(PARAM!$B$44,MAX(0,Z186*$F$1),0),0)*RATES!$L163/12+$H$8*(PARAM!$D$51/12)*RATES!$N163/100</f>
        <v>11.001354880696514</v>
      </c>
      <c r="Z187" s="16">
        <f t="shared" si="117"/>
        <v>341.17042688294202</v>
      </c>
      <c r="AA187" s="15">
        <f t="shared" si="92"/>
        <v>22.170849845882874</v>
      </c>
      <c r="AB187" s="75">
        <f>AA187*(1-PARAM!$C$27)*$I$9+(MOD($B187,60)=PARAM!$B$56)*($B187&gt;(60-PARAM!$B$56))*HLOOKUP(($B187+PARAM!$B$56)/12,Loyalty,2)*$F$1*MAX(AD186,0)</f>
        <v>18.557001321003963</v>
      </c>
      <c r="AC187" s="75">
        <f>PARAM!$C$26+MAX($G$9-CHOOSE(PARAM!$B$44,MAX(0,AD186*$F$1),0),0)*RATES!$L163/12+$H$9*(PARAM!$D$51/12)*RATES!$N163/100</f>
        <v>11.001354880696514</v>
      </c>
      <c r="AD187" s="16">
        <f t="shared" si="118"/>
        <v>341.17042688294202</v>
      </c>
      <c r="AE187" s="15">
        <f t="shared" si="93"/>
        <v>22.170849845882874</v>
      </c>
      <c r="AF187" s="75">
        <f>AE187*(1-PARAM!$C$27)*$I$10+(MOD($B187,60)=PARAM!$B$56)*($B187&gt;(60-PARAM!$B$56))*HLOOKUP(($B187+PARAM!$B$56)/12,Loyalty,2)*$F$1*MAX(AH186,0)</f>
        <v>18.557001321003963</v>
      </c>
      <c r="AG187" s="75">
        <f>PARAM!$C$26+MAX($G$10-CHOOSE(PARAM!$B$44,MAX(0,AH186*$F$1),0),0)*RATES!$L163/12+$H$10*(PARAM!$D$51/12)*RATES!$N163/100</f>
        <v>11.001354880696514</v>
      </c>
      <c r="AH187" s="16">
        <f t="shared" si="119"/>
        <v>341.17042688294202</v>
      </c>
      <c r="AI187" s="15">
        <f t="shared" si="94"/>
        <v>22.170849845882874</v>
      </c>
      <c r="AJ187" s="75">
        <f>AI187*(1-PARAM!$C$27)*$I$11+(MOD($B187,60)=PARAM!$B$56)*($B187&gt;(60-PARAM!$B$56))*HLOOKUP(($B187+PARAM!$B$56)/12,Loyalty,2)*$F$1*MAX(AL186,0)</f>
        <v>18.557001321003963</v>
      </c>
      <c r="AK187" s="75">
        <f>PARAM!$C$26+MAX($G$11-CHOOSE(PARAM!$B$44,MAX(0,AL186*$F$1),0),0)*RATES!$L163/12+$H$11*(PARAM!$D$51/12)*RATES!$N163/100</f>
        <v>11.001354880696514</v>
      </c>
      <c r="AL187" s="16">
        <f t="shared" si="120"/>
        <v>341.17042688294202</v>
      </c>
      <c r="AM187" s="15">
        <f t="shared" si="95"/>
        <v>22.170849845882874</v>
      </c>
      <c r="AN187" s="75">
        <f>AM187*(1-PARAM!$C$27)*$I$12+(MOD($B187,60)=PARAM!$B$56)*($B187&gt;(60-PARAM!$B$56))*HLOOKUP(($B187+PARAM!$B$56)/12,Loyalty,2)*$F$1*MAX(AP186,0)</f>
        <v>18.557001321003963</v>
      </c>
      <c r="AO187" s="75">
        <f>PARAM!$C$26+MAX($G$12-CHOOSE(PARAM!$B$44,MAX(0,AP186*$F$1),0),0)*RATES!$L163/12+$H$12*(PARAM!$D$51/12)*RATES!$N163/100</f>
        <v>11.001354880696514</v>
      </c>
      <c r="AP187" s="16">
        <f t="shared" si="121"/>
        <v>341.17042688294202</v>
      </c>
      <c r="AQ187" s="15">
        <f t="shared" si="96"/>
        <v>22.170849845882874</v>
      </c>
      <c r="AR187" s="75">
        <f>AQ187*(1-PARAM!$C$27)*$I$13+(MOD($B187,60)=PARAM!$B$56)*($B187&gt;(60-PARAM!$B$56))*HLOOKUP(($B187+PARAM!$B$56)/12,Loyalty,2)*$F$1*MAX(AT186,0)</f>
        <v>18.557001321003963</v>
      </c>
      <c r="AS187" s="75">
        <f>PARAM!$C$26+MAX($G$13-CHOOSE(PARAM!$B$44,MAX(0,AT186*$F$1),0),0)*RATES!$L163/12+$H$13*(PARAM!$D$51/12)*RATES!$N163/100</f>
        <v>11.001354880696514</v>
      </c>
      <c r="AT187" s="16">
        <f t="shared" si="122"/>
        <v>341.17042688294202</v>
      </c>
      <c r="AU187" s="15">
        <f t="shared" si="97"/>
        <v>22.170849845882874</v>
      </c>
      <c r="AV187" s="75">
        <f>AU187*(1-PARAM!$C$27)*$I$14+(MOD($B187,60)=PARAM!$B$56)*($B187&gt;(60-PARAM!$B$56))*HLOOKUP(($B187+PARAM!$B$56)/12,Loyalty,2)*$F$1*MAX(AX186,0)</f>
        <v>18.557001321003963</v>
      </c>
      <c r="AW187" s="75">
        <f>PARAM!$C$26+MAX($G$14-CHOOSE(PARAM!$B$44,MAX(0,AX186*$F$1),0),0)*RATES!$L163/12+$H$14*(PARAM!$D$51/12)*RATES!$N163/100</f>
        <v>11.001354880696514</v>
      </c>
      <c r="AX187" s="16">
        <f t="shared" si="123"/>
        <v>341.17042688294202</v>
      </c>
      <c r="AY187" s="15">
        <f t="shared" si="98"/>
        <v>22.170849845882874</v>
      </c>
      <c r="AZ187" s="75">
        <f>AY187*(1-PARAM!$C$27)*$I$15+(MOD($B187,60)=PARAM!$B$56)*($B187&gt;(60-PARAM!$B$56))*HLOOKUP(($B187+PARAM!$B$56)/12,Loyalty,2)*$F$1*MAX(BB186,0)</f>
        <v>18.557001321003963</v>
      </c>
      <c r="BA187" s="75">
        <f>PARAM!$C$26+MAX($G$15-CHOOSE(PARAM!$B$44,MAX(0,BB186*$F$1),0),0)*RATES!$L163/12+$H$15*(PARAM!$D$51/12)*RATES!$N163/100</f>
        <v>11.001354880696514</v>
      </c>
      <c r="BB187" s="16">
        <f t="shared" si="124"/>
        <v>341.17042688294202</v>
      </c>
      <c r="BC187" s="15">
        <f t="shared" si="99"/>
        <v>22.170849845882874</v>
      </c>
      <c r="BD187" s="75">
        <f>BC187*(1-PARAM!$C$27)*$I$16+(MOD($B187,60)=PARAM!$B$56)*($B187&gt;(60-PARAM!$B$56))*HLOOKUP(($B187+PARAM!$B$56)/12,Loyalty,2)*$F$1*MAX(BF186,0)</f>
        <v>18.557001321003963</v>
      </c>
      <c r="BE187" s="75">
        <f>PARAM!$C$26+MAX($G$16-CHOOSE(PARAM!$B$44,MAX(0,BF186*$F$1),0),0)*RATES!$L163/12+$H$16*(PARAM!$D$51/12)*RATES!$N163/100</f>
        <v>11.001354880696514</v>
      </c>
      <c r="BF187" s="16">
        <f t="shared" si="125"/>
        <v>341.17042688294202</v>
      </c>
      <c r="BG187" s="15">
        <f t="shared" si="100"/>
        <v>22.170849845882874</v>
      </c>
      <c r="BH187" s="75">
        <f>BG187*(1-PARAM!$C$27)*$I$17+(MOD($B187,60)=PARAM!$B$56)*($B187&gt;(60-PARAM!$B$56))*HLOOKUP(($B187+PARAM!$B$56)/12,Loyalty,2)*$F$1*MAX(BJ186,0)</f>
        <v>18.557001321003963</v>
      </c>
      <c r="BI187" s="75">
        <f>PARAM!$C$26+MAX($G$17-CHOOSE(PARAM!$B$44,MAX(0,BJ186*$F$1),0),0)*RATES!$L163/12+$H$17*(PARAM!$D$51/12)*RATES!$N163/100</f>
        <v>11.001354880696514</v>
      </c>
      <c r="BJ187" s="16">
        <f t="shared" si="126"/>
        <v>341.17042688294202</v>
      </c>
      <c r="BK187" s="15">
        <f t="shared" si="101"/>
        <v>22.170849845882874</v>
      </c>
      <c r="BL187" s="75">
        <f>BK187*(1-PARAM!$C$27)*$I$18+(MOD($B187,60)=PARAM!$B$56)*($B187&gt;(60-PARAM!$B$56))*HLOOKUP(($B187+PARAM!$B$56)/12,Loyalty,2)*$F$1*MAX(BN186,0)</f>
        <v>18.557001321003963</v>
      </c>
      <c r="BM187" s="75">
        <f>PARAM!$C$26+MAX($G$18-CHOOSE(PARAM!$B$44,MAX(0,BN186*$F$1),0),0)*RATES!$L163/12+$H$18*(PARAM!$D$51/12)*RATES!$N163/100</f>
        <v>11.001354880696514</v>
      </c>
      <c r="BN187" s="16">
        <f t="shared" si="127"/>
        <v>341.17042688294202</v>
      </c>
      <c r="BO187" s="15">
        <f t="shared" si="102"/>
        <v>22.170849845882874</v>
      </c>
      <c r="BP187" s="75">
        <f>BO187*(1-PARAM!$C$27)*$I$19+(MOD($B187,60)=PARAM!$B$56)*($B187&gt;(60-PARAM!$B$56))*HLOOKUP(($B187+PARAM!$B$56)/12,Loyalty,2)*$F$1*MAX(BR186,0)</f>
        <v>18.557001321003963</v>
      </c>
      <c r="BQ187" s="75">
        <f>PARAM!$C$26+MAX($G$19-CHOOSE(PARAM!$B$44,MAX(0,BR186*$F$1),0),0)*RATES!$L163/12+$H$19*(PARAM!$D$51/12)*RATES!$N163/100</f>
        <v>11.001354880696514</v>
      </c>
      <c r="BR187" s="16">
        <f t="shared" si="128"/>
        <v>341.17042688294202</v>
      </c>
      <c r="BS187" s="15">
        <f t="shared" si="103"/>
        <v>22.170849845882874</v>
      </c>
      <c r="BT187" s="75">
        <f>BS187*(1-PARAM!$C$27)*$I$20+(MOD($B187,60)=PARAM!$B$56)*($B187&gt;(60-PARAM!$B$56))*HLOOKUP(($B187+PARAM!$B$56)/12,Loyalty,2)*$F$1*MAX(BV186,0)</f>
        <v>18.557001321003963</v>
      </c>
      <c r="BU187" s="75">
        <f>PARAM!$C$26+MAX($G$20-CHOOSE(PARAM!$B$44,MAX(0,BV186*$F$1),0),0)*RATES!$L163/12+$H$20*(PARAM!$D$51/12)*RATES!$N163/100</f>
        <v>11.001354880696514</v>
      </c>
      <c r="BV187" s="16">
        <f t="shared" si="129"/>
        <v>341.17042688294202</v>
      </c>
      <c r="BW187" s="15">
        <f t="shared" si="104"/>
        <v>22.170849845882874</v>
      </c>
      <c r="BX187" s="75">
        <f>BW187*(1-PARAM!$C$27)*$I$21+(MOD($B187,60)=PARAM!$B$56)*($B187&gt;(60-PARAM!$B$56))*HLOOKUP(($B187+PARAM!$B$56)/12,Loyalty,2)*$F$1*MAX(BZ186,0)</f>
        <v>18.557001321003963</v>
      </c>
      <c r="BY187" s="75">
        <f>PARAM!$C$26+MAX($G$21-CHOOSE(PARAM!$B$44,MAX(0,BZ186*$F$1),0),0)*RATES!$L163/12+$H$21*(PARAM!$D$51/12)*RATES!$N163/100</f>
        <v>11.001354880696514</v>
      </c>
      <c r="BZ187" s="16">
        <f t="shared" si="130"/>
        <v>341.17042688294202</v>
      </c>
      <c r="CA187" s="15">
        <f t="shared" si="105"/>
        <v>22.170849845882874</v>
      </c>
      <c r="CB187" s="75">
        <f>CA187*(1-PARAM!$C$27)*$I$22+(MOD($B187,60)=PARAM!$B$56)*($B187&gt;(60-PARAM!$B$56))*HLOOKUP(($B187+PARAM!$B$56)/12,Loyalty,2)*$F$1*MAX(CD186,0)</f>
        <v>18.557001321003963</v>
      </c>
      <c r="CC187" s="75">
        <f>PARAM!$C$26+MAX($G$22-CHOOSE(PARAM!$B$44,MAX(0,CD186*$F$1),0),0)*RATES!$L163/12+$H$22*(PARAM!$D$51/12)*RATES!$N163/100</f>
        <v>11.001354880696514</v>
      </c>
      <c r="CD187" s="16">
        <f t="shared" si="131"/>
        <v>341.17042688294202</v>
      </c>
      <c r="CE187" s="33">
        <f>IF(0=MOD(B187,12/PARAM!$D$51),1,0)</f>
        <v>1</v>
      </c>
      <c r="CF187" s="15">
        <f t="shared" si="106"/>
        <v>0</v>
      </c>
      <c r="CG187" s="75">
        <f>CF187*(1-PARAM!$C$27)*$R$3+(MOD($B187/12,5)=0)*($B187&gt;60)*HLOOKUP($B187/12,Loyalty,2)*$F$1*MAX(CI186,0)</f>
        <v>0</v>
      </c>
      <c r="CH187" s="75">
        <f>PARAM!$C$26+MAX($P$3-CHOOSE(PARAM!$B$44,MAX(0,CI186*$F$1),0),0)*RATES!$L163/12+$Q$3*(PARAM!$D$51/12)*RATES!$N163/100</f>
        <v>11.041666666666668</v>
      </c>
      <c r="CI187" s="16">
        <f>IF(CI186&gt;0,CI186*PARAM!$C$53,CI186)+CG187-CH187</f>
        <v>-2434.4583333333303</v>
      </c>
      <c r="CJ187" s="15">
        <f t="shared" si="132"/>
        <v>0</v>
      </c>
      <c r="CK187" s="75">
        <f>CJ187*(1-PARAM!$C$27)*$R$4+(MOD($B187/12,5)=0)*($B187&gt;60)*HLOOKUP($B187/12,Loyalty,2)*$F$1*MAX(CM186,0)</f>
        <v>0</v>
      </c>
      <c r="CL187" s="75">
        <f>PARAM!$C$26+MAX($P$4-CHOOSE(PARAM!$B$44,MAX(0,CM186*$F$1),0),0)*RATES!$L163/12+$Q$4*(PARAM!$D$51/12)*RATES!$N163/100</f>
        <v>11.041666666666668</v>
      </c>
      <c r="CM187" s="16">
        <f>IF(CM186&gt;0,CM186*PARAM!$C$53,CM186)+CK187-CL187</f>
        <v>-2434.4583333333303</v>
      </c>
      <c r="CO187" s="176"/>
    </row>
    <row r="188" spans="1:93" x14ac:dyDescent="0.2">
      <c r="A188" t="b">
        <f t="shared" si="107"/>
        <v>1</v>
      </c>
      <c r="B188" s="33">
        <v>161</v>
      </c>
      <c r="C188" s="15">
        <f t="shared" si="108"/>
        <v>20.081305947392778</v>
      </c>
      <c r="D188" s="75">
        <f>C188*(1-PARAM!$C$27)*$I$3+(MOD($B188,60)=PARAM!$B$56)*($B188&gt;(60-PARAM!$B$56))*HLOOKUP(($B188+PARAM!$B$56)/12,Loyalty,2)*$F$1*MAX(F187,0)</f>
        <v>16.808053077967756</v>
      </c>
      <c r="E188" s="75">
        <f>PARAM!$C$26+MAX($G$3-CHOOSE(PARAM!$B$44,MAX(0,F187*$F$1),0),0)*RATES!$L164/12+$H$3*(PARAM!$D$51/12)*RATES!$N164/100</f>
        <v>11.032130766244563</v>
      </c>
      <c r="F188" s="16">
        <f t="shared" si="109"/>
        <v>84.693718908446527</v>
      </c>
      <c r="G188" s="15">
        <f t="shared" si="110"/>
        <v>22.035289406060361</v>
      </c>
      <c r="H188" s="75">
        <f>G188*(1-PARAM!$C$27)*$I$4+(MOD($B188,60)=PARAM!$B$56)*($B188&gt;(60-PARAM!$B$56))*HLOOKUP(($B188+PARAM!$B$56)/12,Loyalty,2)*$F$1*MAX(J187,0)</f>
        <v>18.443537232872522</v>
      </c>
      <c r="I188" s="75">
        <f>PARAM!$C$26+MAX($G$4-CHOOSE(PARAM!$B$44,MAX(0,J187*$F$1),0),0)*RATES!$L164/12+$H$4*(PARAM!$D$51/12)*RATES!$N164/100</f>
        <v>11.002499527323817</v>
      </c>
      <c r="J188" s="16">
        <f t="shared" si="111"/>
        <v>331.58288054292319</v>
      </c>
      <c r="K188" s="15">
        <f t="shared" si="112"/>
        <v>22.170849845882874</v>
      </c>
      <c r="L188" s="75">
        <f>K188*(1-PARAM!$C$27)*$I$5+(MOD($B188,60)=PARAM!$B$56)*($B188&gt;(60-PARAM!$B$56))*HLOOKUP(($B188+PARAM!$B$56)/12,Loyalty,2)*$F$1*MAX(N187,0)</f>
        <v>18.557001321003963</v>
      </c>
      <c r="M188" s="75">
        <f>PARAM!$C$26+MAX($G$5-CHOOSE(PARAM!$B$44,MAX(0,N187*$F$1),0),0)*RATES!$L164/12+$H$5*(PARAM!$D$51/12)*RATES!$N164/100</f>
        <v>11.000441906751643</v>
      </c>
      <c r="N188" s="16">
        <f t="shared" si="113"/>
        <v>348.72698629719434</v>
      </c>
      <c r="O188" s="15">
        <f t="shared" si="114"/>
        <v>22.170849845882874</v>
      </c>
      <c r="P188" s="75">
        <f>O188*(1-PARAM!$C$27)*$I$6+(MOD($B188,60)=PARAM!$B$56)*($B188&gt;(60-PARAM!$B$56))*HLOOKUP(($B188+PARAM!$B$56)/12,Loyalty,2)*$F$1*MAX(R187,0)</f>
        <v>18.557001321003963</v>
      </c>
      <c r="Q188" s="75">
        <f>PARAM!$C$26+MAX($G$6-CHOOSE(PARAM!$B$44,MAX(0,R187*$F$1),0),0)*RATES!$L164/12+$H$6*(PARAM!$D$51/12)*RATES!$N164/100</f>
        <v>11.000441906751643</v>
      </c>
      <c r="R188" s="16">
        <f t="shared" si="115"/>
        <v>348.72698629719434</v>
      </c>
      <c r="S188" s="15">
        <f t="shared" si="90"/>
        <v>22.170849845882874</v>
      </c>
      <c r="T188" s="75">
        <f>S188*(1-PARAM!$C$27)*$I$7+(MOD($B188,60)=PARAM!$B$56)*($B188&gt;(60-PARAM!$B$56))*HLOOKUP(($B188+PARAM!$B$56)/12,Loyalty,2)*$F$1*MAX(V187,0)</f>
        <v>18.557001321003963</v>
      </c>
      <c r="U188" s="75">
        <f>PARAM!$C$26+MAX($G$7-CHOOSE(PARAM!$B$44,MAX(0,V187*$F$1),0),0)*RATES!$L164/12+$H$7*(PARAM!$D$51/12)*RATES!$N164/100</f>
        <v>11.000441906751643</v>
      </c>
      <c r="V188" s="16">
        <f t="shared" si="116"/>
        <v>348.72698629719434</v>
      </c>
      <c r="W188" s="15">
        <f t="shared" si="91"/>
        <v>22.170849845882874</v>
      </c>
      <c r="X188" s="75">
        <f>W188*(1-PARAM!$C$27)*$I$8+(MOD($B188,60)=PARAM!$B$56)*($B188&gt;(60-PARAM!$B$56))*HLOOKUP(($B188+PARAM!$B$56)/12,Loyalty,2)*$F$1*MAX(Z187,0)</f>
        <v>18.557001321003963</v>
      </c>
      <c r="Y188" s="75">
        <f>PARAM!$C$26+MAX($G$8-CHOOSE(PARAM!$B$44,MAX(0,Z187*$F$1),0),0)*RATES!$L164/12+$H$8*(PARAM!$D$51/12)*RATES!$N164/100</f>
        <v>11.000441906751643</v>
      </c>
      <c r="Z188" s="16">
        <f t="shared" si="117"/>
        <v>348.72698629719434</v>
      </c>
      <c r="AA188" s="15">
        <f t="shared" si="92"/>
        <v>22.170849845882874</v>
      </c>
      <c r="AB188" s="75">
        <f>AA188*(1-PARAM!$C$27)*$I$9+(MOD($B188,60)=PARAM!$B$56)*($B188&gt;(60-PARAM!$B$56))*HLOOKUP(($B188+PARAM!$B$56)/12,Loyalty,2)*$F$1*MAX(AD187,0)</f>
        <v>18.557001321003963</v>
      </c>
      <c r="AC188" s="75">
        <f>PARAM!$C$26+MAX($G$9-CHOOSE(PARAM!$B$44,MAX(0,AD187*$F$1),0),0)*RATES!$L164/12+$H$9*(PARAM!$D$51/12)*RATES!$N164/100</f>
        <v>11.000441906751643</v>
      </c>
      <c r="AD188" s="16">
        <f t="shared" si="118"/>
        <v>348.72698629719434</v>
      </c>
      <c r="AE188" s="15">
        <f t="shared" si="93"/>
        <v>22.170849845882874</v>
      </c>
      <c r="AF188" s="75">
        <f>AE188*(1-PARAM!$C$27)*$I$10+(MOD($B188,60)=PARAM!$B$56)*($B188&gt;(60-PARAM!$B$56))*HLOOKUP(($B188+PARAM!$B$56)/12,Loyalty,2)*$F$1*MAX(AH187,0)</f>
        <v>18.557001321003963</v>
      </c>
      <c r="AG188" s="75">
        <f>PARAM!$C$26+MAX($G$10-CHOOSE(PARAM!$B$44,MAX(0,AH187*$F$1),0),0)*RATES!$L164/12+$H$10*(PARAM!$D$51/12)*RATES!$N164/100</f>
        <v>11.000441906751643</v>
      </c>
      <c r="AH188" s="16">
        <f t="shared" si="119"/>
        <v>348.72698629719434</v>
      </c>
      <c r="AI188" s="15">
        <f t="shared" si="94"/>
        <v>22.170849845882874</v>
      </c>
      <c r="AJ188" s="75">
        <f>AI188*(1-PARAM!$C$27)*$I$11+(MOD($B188,60)=PARAM!$B$56)*($B188&gt;(60-PARAM!$B$56))*HLOOKUP(($B188+PARAM!$B$56)/12,Loyalty,2)*$F$1*MAX(AL187,0)</f>
        <v>18.557001321003963</v>
      </c>
      <c r="AK188" s="75">
        <f>PARAM!$C$26+MAX($G$11-CHOOSE(PARAM!$B$44,MAX(0,AL187*$F$1),0),0)*RATES!$L164/12+$H$11*(PARAM!$D$51/12)*RATES!$N164/100</f>
        <v>11.000441906751643</v>
      </c>
      <c r="AL188" s="16">
        <f t="shared" si="120"/>
        <v>348.72698629719434</v>
      </c>
      <c r="AM188" s="15">
        <f t="shared" si="95"/>
        <v>22.170849845882874</v>
      </c>
      <c r="AN188" s="75">
        <f>AM188*(1-PARAM!$C$27)*$I$12+(MOD($B188,60)=PARAM!$B$56)*($B188&gt;(60-PARAM!$B$56))*HLOOKUP(($B188+PARAM!$B$56)/12,Loyalty,2)*$F$1*MAX(AP187,0)</f>
        <v>18.557001321003963</v>
      </c>
      <c r="AO188" s="75">
        <f>PARAM!$C$26+MAX($G$12-CHOOSE(PARAM!$B$44,MAX(0,AP187*$F$1),0),0)*RATES!$L164/12+$H$12*(PARAM!$D$51/12)*RATES!$N164/100</f>
        <v>11.000441906751643</v>
      </c>
      <c r="AP188" s="16">
        <f t="shared" si="121"/>
        <v>348.72698629719434</v>
      </c>
      <c r="AQ188" s="15">
        <f t="shared" si="96"/>
        <v>22.170849845882874</v>
      </c>
      <c r="AR188" s="75">
        <f>AQ188*(1-PARAM!$C$27)*$I$13+(MOD($B188,60)=PARAM!$B$56)*($B188&gt;(60-PARAM!$B$56))*HLOOKUP(($B188+PARAM!$B$56)/12,Loyalty,2)*$F$1*MAX(AT187,0)</f>
        <v>18.557001321003963</v>
      </c>
      <c r="AS188" s="75">
        <f>PARAM!$C$26+MAX($G$13-CHOOSE(PARAM!$B$44,MAX(0,AT187*$F$1),0),0)*RATES!$L164/12+$H$13*(PARAM!$D$51/12)*RATES!$N164/100</f>
        <v>11.000441906751643</v>
      </c>
      <c r="AT188" s="16">
        <f t="shared" si="122"/>
        <v>348.72698629719434</v>
      </c>
      <c r="AU188" s="15">
        <f t="shared" si="97"/>
        <v>22.170849845882874</v>
      </c>
      <c r="AV188" s="75">
        <f>AU188*(1-PARAM!$C$27)*$I$14+(MOD($B188,60)=PARAM!$B$56)*($B188&gt;(60-PARAM!$B$56))*HLOOKUP(($B188+PARAM!$B$56)/12,Loyalty,2)*$F$1*MAX(AX187,0)</f>
        <v>18.557001321003963</v>
      </c>
      <c r="AW188" s="75">
        <f>PARAM!$C$26+MAX($G$14-CHOOSE(PARAM!$B$44,MAX(0,AX187*$F$1),0),0)*RATES!$L164/12+$H$14*(PARAM!$D$51/12)*RATES!$N164/100</f>
        <v>11.000441906751643</v>
      </c>
      <c r="AX188" s="16">
        <f t="shared" si="123"/>
        <v>348.72698629719434</v>
      </c>
      <c r="AY188" s="15">
        <f t="shared" si="98"/>
        <v>22.170849845882874</v>
      </c>
      <c r="AZ188" s="75">
        <f>AY188*(1-PARAM!$C$27)*$I$15+(MOD($B188,60)=PARAM!$B$56)*($B188&gt;(60-PARAM!$B$56))*HLOOKUP(($B188+PARAM!$B$56)/12,Loyalty,2)*$F$1*MAX(BB187,0)</f>
        <v>18.557001321003963</v>
      </c>
      <c r="BA188" s="75">
        <f>PARAM!$C$26+MAX($G$15-CHOOSE(PARAM!$B$44,MAX(0,BB187*$F$1),0),0)*RATES!$L164/12+$H$15*(PARAM!$D$51/12)*RATES!$N164/100</f>
        <v>11.000441906751643</v>
      </c>
      <c r="BB188" s="16">
        <f t="shared" si="124"/>
        <v>348.72698629719434</v>
      </c>
      <c r="BC188" s="15">
        <f t="shared" si="99"/>
        <v>22.170849845882874</v>
      </c>
      <c r="BD188" s="75">
        <f>BC188*(1-PARAM!$C$27)*$I$16+(MOD($B188,60)=PARAM!$B$56)*($B188&gt;(60-PARAM!$B$56))*HLOOKUP(($B188+PARAM!$B$56)/12,Loyalty,2)*$F$1*MAX(BF187,0)</f>
        <v>18.557001321003963</v>
      </c>
      <c r="BE188" s="75">
        <f>PARAM!$C$26+MAX($G$16-CHOOSE(PARAM!$B$44,MAX(0,BF187*$F$1),0),0)*RATES!$L164/12+$H$16*(PARAM!$D$51/12)*RATES!$N164/100</f>
        <v>11.000441906751643</v>
      </c>
      <c r="BF188" s="16">
        <f t="shared" si="125"/>
        <v>348.72698629719434</v>
      </c>
      <c r="BG188" s="15">
        <f t="shared" si="100"/>
        <v>22.170849845882874</v>
      </c>
      <c r="BH188" s="75">
        <f>BG188*(1-PARAM!$C$27)*$I$17+(MOD($B188,60)=PARAM!$B$56)*($B188&gt;(60-PARAM!$B$56))*HLOOKUP(($B188+PARAM!$B$56)/12,Loyalty,2)*$F$1*MAX(BJ187,0)</f>
        <v>18.557001321003963</v>
      </c>
      <c r="BI188" s="75">
        <f>PARAM!$C$26+MAX($G$17-CHOOSE(PARAM!$B$44,MAX(0,BJ187*$F$1),0),0)*RATES!$L164/12+$H$17*(PARAM!$D$51/12)*RATES!$N164/100</f>
        <v>11.000441906751643</v>
      </c>
      <c r="BJ188" s="16">
        <f t="shared" si="126"/>
        <v>348.72698629719434</v>
      </c>
      <c r="BK188" s="15">
        <f t="shared" si="101"/>
        <v>22.170849845882874</v>
      </c>
      <c r="BL188" s="75">
        <f>BK188*(1-PARAM!$C$27)*$I$18+(MOD($B188,60)=PARAM!$B$56)*($B188&gt;(60-PARAM!$B$56))*HLOOKUP(($B188+PARAM!$B$56)/12,Loyalty,2)*$F$1*MAX(BN187,0)</f>
        <v>18.557001321003963</v>
      </c>
      <c r="BM188" s="75">
        <f>PARAM!$C$26+MAX($G$18-CHOOSE(PARAM!$B$44,MAX(0,BN187*$F$1),0),0)*RATES!$L164/12+$H$18*(PARAM!$D$51/12)*RATES!$N164/100</f>
        <v>11.000441906751643</v>
      </c>
      <c r="BN188" s="16">
        <f t="shared" si="127"/>
        <v>348.72698629719434</v>
      </c>
      <c r="BO188" s="15">
        <f t="shared" si="102"/>
        <v>22.170849845882874</v>
      </c>
      <c r="BP188" s="75">
        <f>BO188*(1-PARAM!$C$27)*$I$19+(MOD($B188,60)=PARAM!$B$56)*($B188&gt;(60-PARAM!$B$56))*HLOOKUP(($B188+PARAM!$B$56)/12,Loyalty,2)*$F$1*MAX(BR187,0)</f>
        <v>18.557001321003963</v>
      </c>
      <c r="BQ188" s="75">
        <f>PARAM!$C$26+MAX($G$19-CHOOSE(PARAM!$B$44,MAX(0,BR187*$F$1),0),0)*RATES!$L164/12+$H$19*(PARAM!$D$51/12)*RATES!$N164/100</f>
        <v>11.000441906751643</v>
      </c>
      <c r="BR188" s="16">
        <f t="shared" si="128"/>
        <v>348.72698629719434</v>
      </c>
      <c r="BS188" s="15">
        <f t="shared" si="103"/>
        <v>22.170849845882874</v>
      </c>
      <c r="BT188" s="75">
        <f>BS188*(1-PARAM!$C$27)*$I$20+(MOD($B188,60)=PARAM!$B$56)*($B188&gt;(60-PARAM!$B$56))*HLOOKUP(($B188+PARAM!$B$56)/12,Loyalty,2)*$F$1*MAX(BV187,0)</f>
        <v>18.557001321003963</v>
      </c>
      <c r="BU188" s="75">
        <f>PARAM!$C$26+MAX($G$20-CHOOSE(PARAM!$B$44,MAX(0,BV187*$F$1),0),0)*RATES!$L164/12+$H$20*(PARAM!$D$51/12)*RATES!$N164/100</f>
        <v>11.000441906751643</v>
      </c>
      <c r="BV188" s="16">
        <f t="shared" si="129"/>
        <v>348.72698629719434</v>
      </c>
      <c r="BW188" s="15">
        <f t="shared" si="104"/>
        <v>22.170849845882874</v>
      </c>
      <c r="BX188" s="75">
        <f>BW188*(1-PARAM!$C$27)*$I$21+(MOD($B188,60)=PARAM!$B$56)*($B188&gt;(60-PARAM!$B$56))*HLOOKUP(($B188+PARAM!$B$56)/12,Loyalty,2)*$F$1*MAX(BZ187,0)</f>
        <v>18.557001321003963</v>
      </c>
      <c r="BY188" s="75">
        <f>PARAM!$C$26+MAX($G$21-CHOOSE(PARAM!$B$44,MAX(0,BZ187*$F$1),0),0)*RATES!$L164/12+$H$21*(PARAM!$D$51/12)*RATES!$N164/100</f>
        <v>11.000441906751643</v>
      </c>
      <c r="BZ188" s="16">
        <f t="shared" si="130"/>
        <v>348.72698629719434</v>
      </c>
      <c r="CA188" s="15">
        <f t="shared" si="105"/>
        <v>22.170849845882874</v>
      </c>
      <c r="CB188" s="75">
        <f>CA188*(1-PARAM!$C$27)*$I$22+(MOD($B188,60)=PARAM!$B$56)*($B188&gt;(60-PARAM!$B$56))*HLOOKUP(($B188+PARAM!$B$56)/12,Loyalty,2)*$F$1*MAX(CD187,0)</f>
        <v>18.557001321003963</v>
      </c>
      <c r="CC188" s="75">
        <f>PARAM!$C$26+MAX($G$22-CHOOSE(PARAM!$B$44,MAX(0,CD187*$F$1),0),0)*RATES!$L164/12+$H$22*(PARAM!$D$51/12)*RATES!$N164/100</f>
        <v>11.000441906751643</v>
      </c>
      <c r="CD188" s="16">
        <f t="shared" si="131"/>
        <v>348.72698629719434</v>
      </c>
      <c r="CE188" s="33">
        <f>IF(0=MOD(B188,12/PARAM!$D$51),1,0)</f>
        <v>1</v>
      </c>
      <c r="CF188" s="15">
        <f t="shared" si="106"/>
        <v>0</v>
      </c>
      <c r="CG188" s="75">
        <f>CF188*(1-PARAM!$C$27)*$R$3+(MOD($B188/12,5)=0)*($B188&gt;60)*HLOOKUP($B188/12,Loyalty,2)*$F$1*MAX(CI187,0)</f>
        <v>0</v>
      </c>
      <c r="CH188" s="75">
        <f>PARAM!$C$26+MAX($P$3-CHOOSE(PARAM!$B$44,MAX(0,CI187*$F$1),0),0)*RATES!$L164/12+$Q$3*(PARAM!$D$51/12)*RATES!$N164/100</f>
        <v>11.041666666666668</v>
      </c>
      <c r="CI188" s="16">
        <f>IF(CI187&gt;0,CI187*PARAM!$C$53,CI187)+CG188-CH188</f>
        <v>-2445.4999999999968</v>
      </c>
      <c r="CJ188" s="15">
        <f t="shared" si="132"/>
        <v>0</v>
      </c>
      <c r="CK188" s="75">
        <f>CJ188*(1-PARAM!$C$27)*$R$4+(MOD($B188/12,5)=0)*($B188&gt;60)*HLOOKUP($B188/12,Loyalty,2)*$F$1*MAX(CM187,0)</f>
        <v>0</v>
      </c>
      <c r="CL188" s="75">
        <f>PARAM!$C$26+MAX($P$4-CHOOSE(PARAM!$B$44,MAX(0,CM187*$F$1),0),0)*RATES!$L164/12+$Q$4*(PARAM!$D$51/12)*RATES!$N164/100</f>
        <v>11.041666666666668</v>
      </c>
      <c r="CM188" s="16">
        <f>IF(CM187&gt;0,CM187*PARAM!$C$53,CM187)+CK188-CL188</f>
        <v>-2445.4999999999968</v>
      </c>
      <c r="CO188" s="176"/>
    </row>
    <row r="189" spans="1:93" x14ac:dyDescent="0.2">
      <c r="A189" t="b">
        <f t="shared" si="107"/>
        <v>1</v>
      </c>
      <c r="B189" s="33">
        <v>162</v>
      </c>
      <c r="C189" s="15">
        <f t="shared" si="108"/>
        <v>20.081305947392778</v>
      </c>
      <c r="D189" s="75">
        <f>C189*(1-PARAM!$C$27)*$I$3+(MOD($B189,60)=PARAM!$B$56)*($B189&gt;(60-PARAM!$B$56))*HLOOKUP(($B189+PARAM!$B$56)/12,Loyalty,2)*$F$1*MAX(F188,0)</f>
        <v>16.808053077967756</v>
      </c>
      <c r="E189" s="75">
        <f>PARAM!$C$26+MAX($G$3-CHOOSE(PARAM!$B$44,MAX(0,F188*$F$1),0),0)*RATES!$L165/12+$H$3*(PARAM!$D$51/12)*RATES!$N165/100</f>
        <v>11.780162436514935</v>
      </c>
      <c r="F189" s="16">
        <f t="shared" si="109"/>
        <v>89.721609549899341</v>
      </c>
      <c r="G189" s="15">
        <f t="shared" si="110"/>
        <v>22.035289406060361</v>
      </c>
      <c r="H189" s="75">
        <f>G189*(1-PARAM!$C$27)*$I$4+(MOD($B189,60)=PARAM!$B$56)*($B189&gt;(60-PARAM!$B$56))*HLOOKUP(($B189+PARAM!$B$56)/12,Loyalty,2)*$F$1*MAX(J188,0)</f>
        <v>18.443537232872522</v>
      </c>
      <c r="I189" s="75">
        <f>PARAM!$C$26+MAX($G$4-CHOOSE(PARAM!$B$44,MAX(0,J188*$F$1),0),0)*RATES!$L165/12+$H$4*(PARAM!$D$51/12)*RATES!$N165/100</f>
        <v>11.746626658726253</v>
      </c>
      <c r="J189" s="16">
        <f t="shared" si="111"/>
        <v>338.27979111706946</v>
      </c>
      <c r="K189" s="15">
        <f t="shared" si="112"/>
        <v>22.170849845882874</v>
      </c>
      <c r="L189" s="75">
        <f>K189*(1-PARAM!$C$27)*$I$5+(MOD($B189,60)=PARAM!$B$56)*($B189&gt;(60-PARAM!$B$56))*HLOOKUP(($B189+PARAM!$B$56)/12,Loyalty,2)*$F$1*MAX(N188,0)</f>
        <v>18.557001321003963</v>
      </c>
      <c r="M189" s="75">
        <f>PARAM!$C$26+MAX($G$5-CHOOSE(PARAM!$B$44,MAX(0,N188*$F$1),0),0)*RATES!$L165/12+$H$5*(PARAM!$D$51/12)*RATES!$N165/100</f>
        <v>11.744297917694631</v>
      </c>
      <c r="N189" s="16">
        <f t="shared" si="113"/>
        <v>355.53968970050369</v>
      </c>
      <c r="O189" s="15">
        <f t="shared" si="114"/>
        <v>22.170849845882874</v>
      </c>
      <c r="P189" s="75">
        <f>O189*(1-PARAM!$C$27)*$I$6+(MOD($B189,60)=PARAM!$B$56)*($B189&gt;(60-PARAM!$B$56))*HLOOKUP(($B189+PARAM!$B$56)/12,Loyalty,2)*$F$1*MAX(R188,0)</f>
        <v>18.557001321003963</v>
      </c>
      <c r="Q189" s="75">
        <f>PARAM!$C$26+MAX($G$6-CHOOSE(PARAM!$B$44,MAX(0,R188*$F$1),0),0)*RATES!$L165/12+$H$6*(PARAM!$D$51/12)*RATES!$N165/100</f>
        <v>11.744297917694631</v>
      </c>
      <c r="R189" s="16">
        <f t="shared" si="115"/>
        <v>355.53968970050369</v>
      </c>
      <c r="S189" s="15">
        <f t="shared" si="90"/>
        <v>22.170849845882874</v>
      </c>
      <c r="T189" s="75">
        <f>S189*(1-PARAM!$C$27)*$I$7+(MOD($B189,60)=PARAM!$B$56)*($B189&gt;(60-PARAM!$B$56))*HLOOKUP(($B189+PARAM!$B$56)/12,Loyalty,2)*$F$1*MAX(V188,0)</f>
        <v>18.557001321003963</v>
      </c>
      <c r="U189" s="75">
        <f>PARAM!$C$26+MAX($G$7-CHOOSE(PARAM!$B$44,MAX(0,V188*$F$1),0),0)*RATES!$L165/12+$H$7*(PARAM!$D$51/12)*RATES!$N165/100</f>
        <v>11.744297917694631</v>
      </c>
      <c r="V189" s="16">
        <f t="shared" si="116"/>
        <v>355.53968970050369</v>
      </c>
      <c r="W189" s="15">
        <f t="shared" si="91"/>
        <v>22.170849845882874</v>
      </c>
      <c r="X189" s="75">
        <f>W189*(1-PARAM!$C$27)*$I$8+(MOD($B189,60)=PARAM!$B$56)*($B189&gt;(60-PARAM!$B$56))*HLOOKUP(($B189+PARAM!$B$56)/12,Loyalty,2)*$F$1*MAX(Z188,0)</f>
        <v>18.557001321003963</v>
      </c>
      <c r="Y189" s="75">
        <f>PARAM!$C$26+MAX($G$8-CHOOSE(PARAM!$B$44,MAX(0,Z188*$F$1),0),0)*RATES!$L165/12+$H$8*(PARAM!$D$51/12)*RATES!$N165/100</f>
        <v>11.744297917694631</v>
      </c>
      <c r="Z189" s="16">
        <f t="shared" si="117"/>
        <v>355.53968970050369</v>
      </c>
      <c r="AA189" s="15">
        <f t="shared" si="92"/>
        <v>22.170849845882874</v>
      </c>
      <c r="AB189" s="75">
        <f>AA189*(1-PARAM!$C$27)*$I$9+(MOD($B189,60)=PARAM!$B$56)*($B189&gt;(60-PARAM!$B$56))*HLOOKUP(($B189+PARAM!$B$56)/12,Loyalty,2)*$F$1*MAX(AD188,0)</f>
        <v>18.557001321003963</v>
      </c>
      <c r="AC189" s="75">
        <f>PARAM!$C$26+MAX($G$9-CHOOSE(PARAM!$B$44,MAX(0,AD188*$F$1),0),0)*RATES!$L165/12+$H$9*(PARAM!$D$51/12)*RATES!$N165/100</f>
        <v>11.744297917694631</v>
      </c>
      <c r="AD189" s="16">
        <f t="shared" si="118"/>
        <v>355.53968970050369</v>
      </c>
      <c r="AE189" s="15">
        <f t="shared" si="93"/>
        <v>22.170849845882874</v>
      </c>
      <c r="AF189" s="75">
        <f>AE189*(1-PARAM!$C$27)*$I$10+(MOD($B189,60)=PARAM!$B$56)*($B189&gt;(60-PARAM!$B$56))*HLOOKUP(($B189+PARAM!$B$56)/12,Loyalty,2)*$F$1*MAX(AH188,0)</f>
        <v>18.557001321003963</v>
      </c>
      <c r="AG189" s="75">
        <f>PARAM!$C$26+MAX($G$10-CHOOSE(PARAM!$B$44,MAX(0,AH188*$F$1),0),0)*RATES!$L165/12+$H$10*(PARAM!$D$51/12)*RATES!$N165/100</f>
        <v>11.744297917694631</v>
      </c>
      <c r="AH189" s="16">
        <f t="shared" si="119"/>
        <v>355.53968970050369</v>
      </c>
      <c r="AI189" s="15">
        <f t="shared" si="94"/>
        <v>22.170849845882874</v>
      </c>
      <c r="AJ189" s="75">
        <f>AI189*(1-PARAM!$C$27)*$I$11+(MOD($B189,60)=PARAM!$B$56)*($B189&gt;(60-PARAM!$B$56))*HLOOKUP(($B189+PARAM!$B$56)/12,Loyalty,2)*$F$1*MAX(AL188,0)</f>
        <v>18.557001321003963</v>
      </c>
      <c r="AK189" s="75">
        <f>PARAM!$C$26+MAX($G$11-CHOOSE(PARAM!$B$44,MAX(0,AL188*$F$1),0),0)*RATES!$L165/12+$H$11*(PARAM!$D$51/12)*RATES!$N165/100</f>
        <v>11.744297917694631</v>
      </c>
      <c r="AL189" s="16">
        <f t="shared" si="120"/>
        <v>355.53968970050369</v>
      </c>
      <c r="AM189" s="15">
        <f t="shared" si="95"/>
        <v>22.170849845882874</v>
      </c>
      <c r="AN189" s="75">
        <f>AM189*(1-PARAM!$C$27)*$I$12+(MOD($B189,60)=PARAM!$B$56)*($B189&gt;(60-PARAM!$B$56))*HLOOKUP(($B189+PARAM!$B$56)/12,Loyalty,2)*$F$1*MAX(AP188,0)</f>
        <v>18.557001321003963</v>
      </c>
      <c r="AO189" s="75">
        <f>PARAM!$C$26+MAX($G$12-CHOOSE(PARAM!$B$44,MAX(0,AP188*$F$1),0),0)*RATES!$L165/12+$H$12*(PARAM!$D$51/12)*RATES!$N165/100</f>
        <v>11.744297917694631</v>
      </c>
      <c r="AP189" s="16">
        <f t="shared" si="121"/>
        <v>355.53968970050369</v>
      </c>
      <c r="AQ189" s="15">
        <f t="shared" si="96"/>
        <v>22.170849845882874</v>
      </c>
      <c r="AR189" s="75">
        <f>AQ189*(1-PARAM!$C$27)*$I$13+(MOD($B189,60)=PARAM!$B$56)*($B189&gt;(60-PARAM!$B$56))*HLOOKUP(($B189+PARAM!$B$56)/12,Loyalty,2)*$F$1*MAX(AT188,0)</f>
        <v>18.557001321003963</v>
      </c>
      <c r="AS189" s="75">
        <f>PARAM!$C$26+MAX($G$13-CHOOSE(PARAM!$B$44,MAX(0,AT188*$F$1),0),0)*RATES!$L165/12+$H$13*(PARAM!$D$51/12)*RATES!$N165/100</f>
        <v>11.744297917694631</v>
      </c>
      <c r="AT189" s="16">
        <f t="shared" si="122"/>
        <v>355.53968970050369</v>
      </c>
      <c r="AU189" s="15">
        <f t="shared" si="97"/>
        <v>22.170849845882874</v>
      </c>
      <c r="AV189" s="75">
        <f>AU189*(1-PARAM!$C$27)*$I$14+(MOD($B189,60)=PARAM!$B$56)*($B189&gt;(60-PARAM!$B$56))*HLOOKUP(($B189+PARAM!$B$56)/12,Loyalty,2)*$F$1*MAX(AX188,0)</f>
        <v>18.557001321003963</v>
      </c>
      <c r="AW189" s="75">
        <f>PARAM!$C$26+MAX($G$14-CHOOSE(PARAM!$B$44,MAX(0,AX188*$F$1),0),0)*RATES!$L165/12+$H$14*(PARAM!$D$51/12)*RATES!$N165/100</f>
        <v>11.744297917694631</v>
      </c>
      <c r="AX189" s="16">
        <f t="shared" si="123"/>
        <v>355.53968970050369</v>
      </c>
      <c r="AY189" s="15">
        <f t="shared" si="98"/>
        <v>22.170849845882874</v>
      </c>
      <c r="AZ189" s="75">
        <f>AY189*(1-PARAM!$C$27)*$I$15+(MOD($B189,60)=PARAM!$B$56)*($B189&gt;(60-PARAM!$B$56))*HLOOKUP(($B189+PARAM!$B$56)/12,Loyalty,2)*$F$1*MAX(BB188,0)</f>
        <v>18.557001321003963</v>
      </c>
      <c r="BA189" s="75">
        <f>PARAM!$C$26+MAX($G$15-CHOOSE(PARAM!$B$44,MAX(0,BB188*$F$1),0),0)*RATES!$L165/12+$H$15*(PARAM!$D$51/12)*RATES!$N165/100</f>
        <v>11.744297917694631</v>
      </c>
      <c r="BB189" s="16">
        <f t="shared" si="124"/>
        <v>355.53968970050369</v>
      </c>
      <c r="BC189" s="15">
        <f t="shared" si="99"/>
        <v>22.170849845882874</v>
      </c>
      <c r="BD189" s="75">
        <f>BC189*(1-PARAM!$C$27)*$I$16+(MOD($B189,60)=PARAM!$B$56)*($B189&gt;(60-PARAM!$B$56))*HLOOKUP(($B189+PARAM!$B$56)/12,Loyalty,2)*$F$1*MAX(BF188,0)</f>
        <v>18.557001321003963</v>
      </c>
      <c r="BE189" s="75">
        <f>PARAM!$C$26+MAX($G$16-CHOOSE(PARAM!$B$44,MAX(0,BF188*$F$1),0),0)*RATES!$L165/12+$H$16*(PARAM!$D$51/12)*RATES!$N165/100</f>
        <v>11.744297917694631</v>
      </c>
      <c r="BF189" s="16">
        <f t="shared" si="125"/>
        <v>355.53968970050369</v>
      </c>
      <c r="BG189" s="15">
        <f t="shared" si="100"/>
        <v>22.170849845882874</v>
      </c>
      <c r="BH189" s="75">
        <f>BG189*(1-PARAM!$C$27)*$I$17+(MOD($B189,60)=PARAM!$B$56)*($B189&gt;(60-PARAM!$B$56))*HLOOKUP(($B189+PARAM!$B$56)/12,Loyalty,2)*$F$1*MAX(BJ188,0)</f>
        <v>18.557001321003963</v>
      </c>
      <c r="BI189" s="75">
        <f>PARAM!$C$26+MAX($G$17-CHOOSE(PARAM!$B$44,MAX(0,BJ188*$F$1),0),0)*RATES!$L165/12+$H$17*(PARAM!$D$51/12)*RATES!$N165/100</f>
        <v>11.744297917694631</v>
      </c>
      <c r="BJ189" s="16">
        <f t="shared" si="126"/>
        <v>355.53968970050369</v>
      </c>
      <c r="BK189" s="15">
        <f t="shared" si="101"/>
        <v>22.170849845882874</v>
      </c>
      <c r="BL189" s="75">
        <f>BK189*(1-PARAM!$C$27)*$I$18+(MOD($B189,60)=PARAM!$B$56)*($B189&gt;(60-PARAM!$B$56))*HLOOKUP(($B189+PARAM!$B$56)/12,Loyalty,2)*$F$1*MAX(BN188,0)</f>
        <v>18.557001321003963</v>
      </c>
      <c r="BM189" s="75">
        <f>PARAM!$C$26+MAX($G$18-CHOOSE(PARAM!$B$44,MAX(0,BN188*$F$1),0),0)*RATES!$L165/12+$H$18*(PARAM!$D$51/12)*RATES!$N165/100</f>
        <v>11.744297917694631</v>
      </c>
      <c r="BN189" s="16">
        <f t="shared" si="127"/>
        <v>355.53968970050369</v>
      </c>
      <c r="BO189" s="15">
        <f t="shared" si="102"/>
        <v>22.170849845882874</v>
      </c>
      <c r="BP189" s="75">
        <f>BO189*(1-PARAM!$C$27)*$I$19+(MOD($B189,60)=PARAM!$B$56)*($B189&gt;(60-PARAM!$B$56))*HLOOKUP(($B189+PARAM!$B$56)/12,Loyalty,2)*$F$1*MAX(BR188,0)</f>
        <v>18.557001321003963</v>
      </c>
      <c r="BQ189" s="75">
        <f>PARAM!$C$26+MAX($G$19-CHOOSE(PARAM!$B$44,MAX(0,BR188*$F$1),0),0)*RATES!$L165/12+$H$19*(PARAM!$D$51/12)*RATES!$N165/100</f>
        <v>11.744297917694631</v>
      </c>
      <c r="BR189" s="16">
        <f t="shared" si="128"/>
        <v>355.53968970050369</v>
      </c>
      <c r="BS189" s="15">
        <f t="shared" si="103"/>
        <v>22.170849845882874</v>
      </c>
      <c r="BT189" s="75">
        <f>BS189*(1-PARAM!$C$27)*$I$20+(MOD($B189,60)=PARAM!$B$56)*($B189&gt;(60-PARAM!$B$56))*HLOOKUP(($B189+PARAM!$B$56)/12,Loyalty,2)*$F$1*MAX(BV188,0)</f>
        <v>18.557001321003963</v>
      </c>
      <c r="BU189" s="75">
        <f>PARAM!$C$26+MAX($G$20-CHOOSE(PARAM!$B$44,MAX(0,BV188*$F$1),0),0)*RATES!$L165/12+$H$20*(PARAM!$D$51/12)*RATES!$N165/100</f>
        <v>11.744297917694631</v>
      </c>
      <c r="BV189" s="16">
        <f t="shared" si="129"/>
        <v>355.53968970050369</v>
      </c>
      <c r="BW189" s="15">
        <f t="shared" si="104"/>
        <v>22.170849845882874</v>
      </c>
      <c r="BX189" s="75">
        <f>BW189*(1-PARAM!$C$27)*$I$21+(MOD($B189,60)=PARAM!$B$56)*($B189&gt;(60-PARAM!$B$56))*HLOOKUP(($B189+PARAM!$B$56)/12,Loyalty,2)*$F$1*MAX(BZ188,0)</f>
        <v>18.557001321003963</v>
      </c>
      <c r="BY189" s="75">
        <f>PARAM!$C$26+MAX($G$21-CHOOSE(PARAM!$B$44,MAX(0,BZ188*$F$1),0),0)*RATES!$L165/12+$H$21*(PARAM!$D$51/12)*RATES!$N165/100</f>
        <v>11.744297917694631</v>
      </c>
      <c r="BZ189" s="16">
        <f t="shared" si="130"/>
        <v>355.53968970050369</v>
      </c>
      <c r="CA189" s="15">
        <f t="shared" si="105"/>
        <v>22.170849845882874</v>
      </c>
      <c r="CB189" s="75">
        <f>CA189*(1-PARAM!$C$27)*$I$22+(MOD($B189,60)=PARAM!$B$56)*($B189&gt;(60-PARAM!$B$56))*HLOOKUP(($B189+PARAM!$B$56)/12,Loyalty,2)*$F$1*MAX(CD188,0)</f>
        <v>18.557001321003963</v>
      </c>
      <c r="CC189" s="75">
        <f>PARAM!$C$26+MAX($G$22-CHOOSE(PARAM!$B$44,MAX(0,CD188*$F$1),0),0)*RATES!$L165/12+$H$22*(PARAM!$D$51/12)*RATES!$N165/100</f>
        <v>11.744297917694631</v>
      </c>
      <c r="CD189" s="16">
        <f t="shared" si="131"/>
        <v>355.53968970050369</v>
      </c>
      <c r="CE189" s="33">
        <f>IF(0=MOD(B189,12/PARAM!$D$51),1,0)</f>
        <v>1</v>
      </c>
      <c r="CF189" s="15">
        <f t="shared" si="106"/>
        <v>0</v>
      </c>
      <c r="CG189" s="75">
        <f>CF189*(1-PARAM!$C$27)*$R$3+(MOD($B189/12,5)=0)*($B189&gt;60)*HLOOKUP($B189/12,Loyalty,2)*$F$1*MAX(CI188,0)</f>
        <v>0</v>
      </c>
      <c r="CH189" s="75">
        <f>PARAM!$C$26+MAX($P$3-CHOOSE(PARAM!$B$44,MAX(0,CI188*$F$1),0),0)*RATES!$L165/12+$Q$3*(PARAM!$D$51/12)*RATES!$N165/100</f>
        <v>11.791666666666668</v>
      </c>
      <c r="CI189" s="16">
        <f>IF(CI188&gt;0,CI188*PARAM!$C$53,CI188)+CG189-CH189</f>
        <v>-2457.2916666666633</v>
      </c>
      <c r="CJ189" s="15">
        <f t="shared" si="132"/>
        <v>0</v>
      </c>
      <c r="CK189" s="75">
        <f>CJ189*(1-PARAM!$C$27)*$R$4+(MOD($B189/12,5)=0)*($B189&gt;60)*HLOOKUP($B189/12,Loyalty,2)*$F$1*MAX(CM188,0)</f>
        <v>0</v>
      </c>
      <c r="CL189" s="75">
        <f>PARAM!$C$26+MAX($P$4-CHOOSE(PARAM!$B$44,MAX(0,CM188*$F$1),0),0)*RATES!$L165/12+$Q$4*(PARAM!$D$51/12)*RATES!$N165/100</f>
        <v>11.791666666666668</v>
      </c>
      <c r="CM189" s="16">
        <f>IF(CM188&gt;0,CM188*PARAM!$C$53,CM188)+CK189-CL189</f>
        <v>-2457.2916666666633</v>
      </c>
      <c r="CO189" s="176"/>
    </row>
    <row r="190" spans="1:93" x14ac:dyDescent="0.2">
      <c r="A190" t="b">
        <f t="shared" si="107"/>
        <v>1</v>
      </c>
      <c r="B190" s="33">
        <v>163</v>
      </c>
      <c r="C190" s="15">
        <f t="shared" si="108"/>
        <v>20.081305947392778</v>
      </c>
      <c r="D190" s="75">
        <f>C190*(1-PARAM!$C$27)*$I$3+(MOD($B190,60)=PARAM!$B$56)*($B190&gt;(60-PARAM!$B$56))*HLOOKUP(($B190+PARAM!$B$56)/12,Loyalty,2)*$F$1*MAX(F189,0)</f>
        <v>16.808053077967756</v>
      </c>
      <c r="E190" s="75">
        <f>PARAM!$C$26+MAX($G$3-CHOOSE(PARAM!$B$44,MAX(0,F189*$F$1),0),0)*RATES!$L166/12+$H$3*(PARAM!$D$51/12)*RATES!$N166/100</f>
        <v>11.779479481369471</v>
      </c>
      <c r="F190" s="16">
        <f t="shared" si="109"/>
        <v>94.750183146497619</v>
      </c>
      <c r="G190" s="15">
        <f t="shared" si="110"/>
        <v>22.035289406060361</v>
      </c>
      <c r="H190" s="75">
        <f>G190*(1-PARAM!$C$27)*$I$4+(MOD($B190,60)=PARAM!$B$56)*($B190&gt;(60-PARAM!$B$56))*HLOOKUP(($B190+PARAM!$B$56)/12,Loyalty,2)*$F$1*MAX(J189,0)</f>
        <v>18.443537232872522</v>
      </c>
      <c r="I190" s="75">
        <f>PARAM!$C$26+MAX($G$4-CHOOSE(PARAM!$B$44,MAX(0,J189*$F$1),0),0)*RATES!$L166/12+$H$4*(PARAM!$D$51/12)*RATES!$N166/100</f>
        <v>11.745716995039931</v>
      </c>
      <c r="J190" s="16">
        <f t="shared" si="111"/>
        <v>344.97761135490208</v>
      </c>
      <c r="K190" s="15">
        <f t="shared" si="112"/>
        <v>22.170849845882874</v>
      </c>
      <c r="L190" s="75">
        <f>K190*(1-PARAM!$C$27)*$I$5+(MOD($B190,60)=PARAM!$B$56)*($B190&gt;(60-PARAM!$B$56))*HLOOKUP(($B190+PARAM!$B$56)/12,Loyalty,2)*$F$1*MAX(N189,0)</f>
        <v>18.557001321003963</v>
      </c>
      <c r="M190" s="75">
        <f>PARAM!$C$26+MAX($G$5-CHOOSE(PARAM!$B$44,MAX(0,N189*$F$1),0),0)*RATES!$L166/12+$H$5*(PARAM!$D$51/12)*RATES!$N166/100</f>
        <v>11.743372525482346</v>
      </c>
      <c r="N190" s="16">
        <f t="shared" si="113"/>
        <v>362.35331849602528</v>
      </c>
      <c r="O190" s="15">
        <f t="shared" si="114"/>
        <v>22.170849845882874</v>
      </c>
      <c r="P190" s="75">
        <f>O190*(1-PARAM!$C$27)*$I$6+(MOD($B190,60)=PARAM!$B$56)*($B190&gt;(60-PARAM!$B$56))*HLOOKUP(($B190+PARAM!$B$56)/12,Loyalty,2)*$F$1*MAX(R189,0)</f>
        <v>18.557001321003963</v>
      </c>
      <c r="Q190" s="75">
        <f>PARAM!$C$26+MAX($G$6-CHOOSE(PARAM!$B$44,MAX(0,R189*$F$1),0),0)*RATES!$L166/12+$H$6*(PARAM!$D$51/12)*RATES!$N166/100</f>
        <v>11.743372525482346</v>
      </c>
      <c r="R190" s="16">
        <f t="shared" si="115"/>
        <v>362.35331849602528</v>
      </c>
      <c r="S190" s="15">
        <f t="shared" si="90"/>
        <v>22.170849845882874</v>
      </c>
      <c r="T190" s="75">
        <f>S190*(1-PARAM!$C$27)*$I$7+(MOD($B190,60)=PARAM!$B$56)*($B190&gt;(60-PARAM!$B$56))*HLOOKUP(($B190+PARAM!$B$56)/12,Loyalty,2)*$F$1*MAX(V189,0)</f>
        <v>18.557001321003963</v>
      </c>
      <c r="U190" s="75">
        <f>PARAM!$C$26+MAX($G$7-CHOOSE(PARAM!$B$44,MAX(0,V189*$F$1),0),0)*RATES!$L166/12+$H$7*(PARAM!$D$51/12)*RATES!$N166/100</f>
        <v>11.743372525482346</v>
      </c>
      <c r="V190" s="16">
        <f t="shared" si="116"/>
        <v>362.35331849602528</v>
      </c>
      <c r="W190" s="15">
        <f t="shared" si="91"/>
        <v>22.170849845882874</v>
      </c>
      <c r="X190" s="75">
        <f>W190*(1-PARAM!$C$27)*$I$8+(MOD($B190,60)=PARAM!$B$56)*($B190&gt;(60-PARAM!$B$56))*HLOOKUP(($B190+PARAM!$B$56)/12,Loyalty,2)*$F$1*MAX(Z189,0)</f>
        <v>18.557001321003963</v>
      </c>
      <c r="Y190" s="75">
        <f>PARAM!$C$26+MAX($G$8-CHOOSE(PARAM!$B$44,MAX(0,Z189*$F$1),0),0)*RATES!$L166/12+$H$8*(PARAM!$D$51/12)*RATES!$N166/100</f>
        <v>11.743372525482346</v>
      </c>
      <c r="Z190" s="16">
        <f t="shared" si="117"/>
        <v>362.35331849602528</v>
      </c>
      <c r="AA190" s="15">
        <f t="shared" si="92"/>
        <v>22.170849845882874</v>
      </c>
      <c r="AB190" s="75">
        <f>AA190*(1-PARAM!$C$27)*$I$9+(MOD($B190,60)=PARAM!$B$56)*($B190&gt;(60-PARAM!$B$56))*HLOOKUP(($B190+PARAM!$B$56)/12,Loyalty,2)*$F$1*MAX(AD189,0)</f>
        <v>18.557001321003963</v>
      </c>
      <c r="AC190" s="75">
        <f>PARAM!$C$26+MAX($G$9-CHOOSE(PARAM!$B$44,MAX(0,AD189*$F$1),0),0)*RATES!$L166/12+$H$9*(PARAM!$D$51/12)*RATES!$N166/100</f>
        <v>11.743372525482346</v>
      </c>
      <c r="AD190" s="16">
        <f t="shared" si="118"/>
        <v>362.35331849602528</v>
      </c>
      <c r="AE190" s="15">
        <f t="shared" si="93"/>
        <v>22.170849845882874</v>
      </c>
      <c r="AF190" s="75">
        <f>AE190*(1-PARAM!$C$27)*$I$10+(MOD($B190,60)=PARAM!$B$56)*($B190&gt;(60-PARAM!$B$56))*HLOOKUP(($B190+PARAM!$B$56)/12,Loyalty,2)*$F$1*MAX(AH189,0)</f>
        <v>18.557001321003963</v>
      </c>
      <c r="AG190" s="75">
        <f>PARAM!$C$26+MAX($G$10-CHOOSE(PARAM!$B$44,MAX(0,AH189*$F$1),0),0)*RATES!$L166/12+$H$10*(PARAM!$D$51/12)*RATES!$N166/100</f>
        <v>11.743372525482346</v>
      </c>
      <c r="AH190" s="16">
        <f t="shared" si="119"/>
        <v>362.35331849602528</v>
      </c>
      <c r="AI190" s="15">
        <f t="shared" si="94"/>
        <v>22.170849845882874</v>
      </c>
      <c r="AJ190" s="75">
        <f>AI190*(1-PARAM!$C$27)*$I$11+(MOD($B190,60)=PARAM!$B$56)*($B190&gt;(60-PARAM!$B$56))*HLOOKUP(($B190+PARAM!$B$56)/12,Loyalty,2)*$F$1*MAX(AL189,0)</f>
        <v>18.557001321003963</v>
      </c>
      <c r="AK190" s="75">
        <f>PARAM!$C$26+MAX($G$11-CHOOSE(PARAM!$B$44,MAX(0,AL189*$F$1),0),0)*RATES!$L166/12+$H$11*(PARAM!$D$51/12)*RATES!$N166/100</f>
        <v>11.743372525482346</v>
      </c>
      <c r="AL190" s="16">
        <f t="shared" si="120"/>
        <v>362.35331849602528</v>
      </c>
      <c r="AM190" s="15">
        <f t="shared" si="95"/>
        <v>22.170849845882874</v>
      </c>
      <c r="AN190" s="75">
        <f>AM190*(1-PARAM!$C$27)*$I$12+(MOD($B190,60)=PARAM!$B$56)*($B190&gt;(60-PARAM!$B$56))*HLOOKUP(($B190+PARAM!$B$56)/12,Loyalty,2)*$F$1*MAX(AP189,0)</f>
        <v>18.557001321003963</v>
      </c>
      <c r="AO190" s="75">
        <f>PARAM!$C$26+MAX($G$12-CHOOSE(PARAM!$B$44,MAX(0,AP189*$F$1),0),0)*RATES!$L166/12+$H$12*(PARAM!$D$51/12)*RATES!$N166/100</f>
        <v>11.743372525482346</v>
      </c>
      <c r="AP190" s="16">
        <f t="shared" si="121"/>
        <v>362.35331849602528</v>
      </c>
      <c r="AQ190" s="15">
        <f t="shared" si="96"/>
        <v>22.170849845882874</v>
      </c>
      <c r="AR190" s="75">
        <f>AQ190*(1-PARAM!$C$27)*$I$13+(MOD($B190,60)=PARAM!$B$56)*($B190&gt;(60-PARAM!$B$56))*HLOOKUP(($B190+PARAM!$B$56)/12,Loyalty,2)*$F$1*MAX(AT189,0)</f>
        <v>18.557001321003963</v>
      </c>
      <c r="AS190" s="75">
        <f>PARAM!$C$26+MAX($G$13-CHOOSE(PARAM!$B$44,MAX(0,AT189*$F$1),0),0)*RATES!$L166/12+$H$13*(PARAM!$D$51/12)*RATES!$N166/100</f>
        <v>11.743372525482346</v>
      </c>
      <c r="AT190" s="16">
        <f t="shared" si="122"/>
        <v>362.35331849602528</v>
      </c>
      <c r="AU190" s="15">
        <f t="shared" si="97"/>
        <v>22.170849845882874</v>
      </c>
      <c r="AV190" s="75">
        <f>AU190*(1-PARAM!$C$27)*$I$14+(MOD($B190,60)=PARAM!$B$56)*($B190&gt;(60-PARAM!$B$56))*HLOOKUP(($B190+PARAM!$B$56)/12,Loyalty,2)*$F$1*MAX(AX189,0)</f>
        <v>18.557001321003963</v>
      </c>
      <c r="AW190" s="75">
        <f>PARAM!$C$26+MAX($G$14-CHOOSE(PARAM!$B$44,MAX(0,AX189*$F$1),0),0)*RATES!$L166/12+$H$14*(PARAM!$D$51/12)*RATES!$N166/100</f>
        <v>11.743372525482346</v>
      </c>
      <c r="AX190" s="16">
        <f t="shared" si="123"/>
        <v>362.35331849602528</v>
      </c>
      <c r="AY190" s="15">
        <f t="shared" si="98"/>
        <v>22.170849845882874</v>
      </c>
      <c r="AZ190" s="75">
        <f>AY190*(1-PARAM!$C$27)*$I$15+(MOD($B190,60)=PARAM!$B$56)*($B190&gt;(60-PARAM!$B$56))*HLOOKUP(($B190+PARAM!$B$56)/12,Loyalty,2)*$F$1*MAX(BB189,0)</f>
        <v>18.557001321003963</v>
      </c>
      <c r="BA190" s="75">
        <f>PARAM!$C$26+MAX($G$15-CHOOSE(PARAM!$B$44,MAX(0,BB189*$F$1),0),0)*RATES!$L166/12+$H$15*(PARAM!$D$51/12)*RATES!$N166/100</f>
        <v>11.743372525482346</v>
      </c>
      <c r="BB190" s="16">
        <f t="shared" si="124"/>
        <v>362.35331849602528</v>
      </c>
      <c r="BC190" s="15">
        <f t="shared" si="99"/>
        <v>22.170849845882874</v>
      </c>
      <c r="BD190" s="75">
        <f>BC190*(1-PARAM!$C$27)*$I$16+(MOD($B190,60)=PARAM!$B$56)*($B190&gt;(60-PARAM!$B$56))*HLOOKUP(($B190+PARAM!$B$56)/12,Loyalty,2)*$F$1*MAX(BF189,0)</f>
        <v>18.557001321003963</v>
      </c>
      <c r="BE190" s="75">
        <f>PARAM!$C$26+MAX($G$16-CHOOSE(PARAM!$B$44,MAX(0,BF189*$F$1),0),0)*RATES!$L166/12+$H$16*(PARAM!$D$51/12)*RATES!$N166/100</f>
        <v>11.743372525482346</v>
      </c>
      <c r="BF190" s="16">
        <f t="shared" si="125"/>
        <v>362.35331849602528</v>
      </c>
      <c r="BG190" s="15">
        <f t="shared" si="100"/>
        <v>22.170849845882874</v>
      </c>
      <c r="BH190" s="75">
        <f>BG190*(1-PARAM!$C$27)*$I$17+(MOD($B190,60)=PARAM!$B$56)*($B190&gt;(60-PARAM!$B$56))*HLOOKUP(($B190+PARAM!$B$56)/12,Loyalty,2)*$F$1*MAX(BJ189,0)</f>
        <v>18.557001321003963</v>
      </c>
      <c r="BI190" s="75">
        <f>PARAM!$C$26+MAX($G$17-CHOOSE(PARAM!$B$44,MAX(0,BJ189*$F$1),0),0)*RATES!$L166/12+$H$17*(PARAM!$D$51/12)*RATES!$N166/100</f>
        <v>11.743372525482346</v>
      </c>
      <c r="BJ190" s="16">
        <f t="shared" si="126"/>
        <v>362.35331849602528</v>
      </c>
      <c r="BK190" s="15">
        <f t="shared" si="101"/>
        <v>22.170849845882874</v>
      </c>
      <c r="BL190" s="75">
        <f>BK190*(1-PARAM!$C$27)*$I$18+(MOD($B190,60)=PARAM!$B$56)*($B190&gt;(60-PARAM!$B$56))*HLOOKUP(($B190+PARAM!$B$56)/12,Loyalty,2)*$F$1*MAX(BN189,0)</f>
        <v>18.557001321003963</v>
      </c>
      <c r="BM190" s="75">
        <f>PARAM!$C$26+MAX($G$18-CHOOSE(PARAM!$B$44,MAX(0,BN189*$F$1),0),0)*RATES!$L166/12+$H$18*(PARAM!$D$51/12)*RATES!$N166/100</f>
        <v>11.743372525482346</v>
      </c>
      <c r="BN190" s="16">
        <f t="shared" si="127"/>
        <v>362.35331849602528</v>
      </c>
      <c r="BO190" s="15">
        <f t="shared" si="102"/>
        <v>22.170849845882874</v>
      </c>
      <c r="BP190" s="75">
        <f>BO190*(1-PARAM!$C$27)*$I$19+(MOD($B190,60)=PARAM!$B$56)*($B190&gt;(60-PARAM!$B$56))*HLOOKUP(($B190+PARAM!$B$56)/12,Loyalty,2)*$F$1*MAX(BR189,0)</f>
        <v>18.557001321003963</v>
      </c>
      <c r="BQ190" s="75">
        <f>PARAM!$C$26+MAX($G$19-CHOOSE(PARAM!$B$44,MAX(0,BR189*$F$1),0),0)*RATES!$L166/12+$H$19*(PARAM!$D$51/12)*RATES!$N166/100</f>
        <v>11.743372525482346</v>
      </c>
      <c r="BR190" s="16">
        <f t="shared" si="128"/>
        <v>362.35331849602528</v>
      </c>
      <c r="BS190" s="15">
        <f t="shared" si="103"/>
        <v>22.170849845882874</v>
      </c>
      <c r="BT190" s="75">
        <f>BS190*(1-PARAM!$C$27)*$I$20+(MOD($B190,60)=PARAM!$B$56)*($B190&gt;(60-PARAM!$B$56))*HLOOKUP(($B190+PARAM!$B$56)/12,Loyalty,2)*$F$1*MAX(BV189,0)</f>
        <v>18.557001321003963</v>
      </c>
      <c r="BU190" s="75">
        <f>PARAM!$C$26+MAX($G$20-CHOOSE(PARAM!$B$44,MAX(0,BV189*$F$1),0),0)*RATES!$L166/12+$H$20*(PARAM!$D$51/12)*RATES!$N166/100</f>
        <v>11.743372525482346</v>
      </c>
      <c r="BV190" s="16">
        <f t="shared" si="129"/>
        <v>362.35331849602528</v>
      </c>
      <c r="BW190" s="15">
        <f t="shared" si="104"/>
        <v>22.170849845882874</v>
      </c>
      <c r="BX190" s="75">
        <f>BW190*(1-PARAM!$C$27)*$I$21+(MOD($B190,60)=PARAM!$B$56)*($B190&gt;(60-PARAM!$B$56))*HLOOKUP(($B190+PARAM!$B$56)/12,Loyalty,2)*$F$1*MAX(BZ189,0)</f>
        <v>18.557001321003963</v>
      </c>
      <c r="BY190" s="75">
        <f>PARAM!$C$26+MAX($G$21-CHOOSE(PARAM!$B$44,MAX(0,BZ189*$F$1),0),0)*RATES!$L166/12+$H$21*(PARAM!$D$51/12)*RATES!$N166/100</f>
        <v>11.743372525482346</v>
      </c>
      <c r="BZ190" s="16">
        <f t="shared" si="130"/>
        <v>362.35331849602528</v>
      </c>
      <c r="CA190" s="15">
        <f t="shared" si="105"/>
        <v>22.170849845882874</v>
      </c>
      <c r="CB190" s="75">
        <f>CA190*(1-PARAM!$C$27)*$I$22+(MOD($B190,60)=PARAM!$B$56)*($B190&gt;(60-PARAM!$B$56))*HLOOKUP(($B190+PARAM!$B$56)/12,Loyalty,2)*$F$1*MAX(CD189,0)</f>
        <v>18.557001321003963</v>
      </c>
      <c r="CC190" s="75">
        <f>PARAM!$C$26+MAX($G$22-CHOOSE(PARAM!$B$44,MAX(0,CD189*$F$1),0),0)*RATES!$L166/12+$H$22*(PARAM!$D$51/12)*RATES!$N166/100</f>
        <v>11.743372525482346</v>
      </c>
      <c r="CD190" s="16">
        <f t="shared" si="131"/>
        <v>362.35331849602528</v>
      </c>
      <c r="CE190" s="33">
        <f>IF(0=MOD(B190,12/PARAM!$D$51),1,0)</f>
        <v>1</v>
      </c>
      <c r="CF190" s="15">
        <f t="shared" si="106"/>
        <v>0</v>
      </c>
      <c r="CG190" s="75">
        <f>CF190*(1-PARAM!$C$27)*$R$3+(MOD($B190/12,5)=0)*($B190&gt;60)*HLOOKUP($B190/12,Loyalty,2)*$F$1*MAX(CI189,0)</f>
        <v>0</v>
      </c>
      <c r="CH190" s="75">
        <f>PARAM!$C$26+MAX($P$3-CHOOSE(PARAM!$B$44,MAX(0,CI189*$F$1),0),0)*RATES!$L166/12+$Q$3*(PARAM!$D$51/12)*RATES!$N166/100</f>
        <v>11.791666666666668</v>
      </c>
      <c r="CI190" s="16">
        <f>IF(CI189&gt;0,CI189*PARAM!$C$53,CI189)+CG190-CH190</f>
        <v>-2469.0833333333298</v>
      </c>
      <c r="CJ190" s="15">
        <f t="shared" si="132"/>
        <v>0</v>
      </c>
      <c r="CK190" s="75">
        <f>CJ190*(1-PARAM!$C$27)*$R$4+(MOD($B190/12,5)=0)*($B190&gt;60)*HLOOKUP($B190/12,Loyalty,2)*$F$1*MAX(CM189,0)</f>
        <v>0</v>
      </c>
      <c r="CL190" s="75">
        <f>PARAM!$C$26+MAX($P$4-CHOOSE(PARAM!$B$44,MAX(0,CM189*$F$1),0),0)*RATES!$L166/12+$Q$4*(PARAM!$D$51/12)*RATES!$N166/100</f>
        <v>11.791666666666668</v>
      </c>
      <c r="CM190" s="16">
        <f>IF(CM189&gt;0,CM189*PARAM!$C$53,CM189)+CK190-CL190</f>
        <v>-2469.0833333333298</v>
      </c>
      <c r="CO190" s="176"/>
    </row>
    <row r="191" spans="1:93" x14ac:dyDescent="0.2">
      <c r="A191" t="b">
        <f t="shared" si="107"/>
        <v>1</v>
      </c>
      <c r="B191" s="33">
        <v>164</v>
      </c>
      <c r="C191" s="15">
        <f t="shared" si="108"/>
        <v>20.081305947392778</v>
      </c>
      <c r="D191" s="75">
        <f>C191*(1-PARAM!$C$27)*$I$3+(MOD($B191,60)=PARAM!$B$56)*($B191&gt;(60-PARAM!$B$56))*HLOOKUP(($B191+PARAM!$B$56)/12,Loyalty,2)*$F$1*MAX(F190,0)</f>
        <v>16.808053077967756</v>
      </c>
      <c r="E191" s="75">
        <f>PARAM!$C$26+MAX($G$3-CHOOSE(PARAM!$B$44,MAX(0,F190*$F$1),0),0)*RATES!$L167/12+$H$3*(PARAM!$D$51/12)*RATES!$N167/100</f>
        <v>11.778796433455934</v>
      </c>
      <c r="F191" s="16">
        <f t="shared" si="109"/>
        <v>99.779439791009437</v>
      </c>
      <c r="G191" s="15">
        <f t="shared" si="110"/>
        <v>22.035289406060361</v>
      </c>
      <c r="H191" s="75">
        <f>G191*(1-PARAM!$C$27)*$I$4+(MOD($B191,60)=PARAM!$B$56)*($B191&gt;(60-PARAM!$B$56))*HLOOKUP(($B191+PARAM!$B$56)/12,Loyalty,2)*$F$1*MAX(J190,0)</f>
        <v>18.443537232872522</v>
      </c>
      <c r="I191" s="75">
        <f>PARAM!$C$26+MAX($G$4-CHOOSE(PARAM!$B$44,MAX(0,J190*$F$1),0),0)*RATES!$L167/12+$H$4*(PARAM!$D$51/12)*RATES!$N167/100</f>
        <v>11.744807207790959</v>
      </c>
      <c r="J191" s="16">
        <f t="shared" si="111"/>
        <v>351.67634137998363</v>
      </c>
      <c r="K191" s="15">
        <f t="shared" si="112"/>
        <v>22.170849845882874</v>
      </c>
      <c r="L191" s="75">
        <f>K191*(1-PARAM!$C$27)*$I$5+(MOD($B191,60)=PARAM!$B$56)*($B191&gt;(60-PARAM!$B$56))*HLOOKUP(($B191+PARAM!$B$56)/12,Loyalty,2)*$F$1*MAX(N190,0)</f>
        <v>18.557001321003963</v>
      </c>
      <c r="M191" s="75">
        <f>PARAM!$C$26+MAX($G$5-CHOOSE(PARAM!$B$44,MAX(0,N190*$F$1),0),0)*RATES!$L167/12+$H$5*(PARAM!$D$51/12)*RATES!$N167/100</f>
        <v>11.742447007570956</v>
      </c>
      <c r="N191" s="16">
        <f t="shared" si="113"/>
        <v>369.16787280945829</v>
      </c>
      <c r="O191" s="15">
        <f t="shared" si="114"/>
        <v>22.170849845882874</v>
      </c>
      <c r="P191" s="75">
        <f>O191*(1-PARAM!$C$27)*$I$6+(MOD($B191,60)=PARAM!$B$56)*($B191&gt;(60-PARAM!$B$56))*HLOOKUP(($B191+PARAM!$B$56)/12,Loyalty,2)*$F$1*MAX(R190,0)</f>
        <v>18.557001321003963</v>
      </c>
      <c r="Q191" s="75">
        <f>PARAM!$C$26+MAX($G$6-CHOOSE(PARAM!$B$44,MAX(0,R190*$F$1),0),0)*RATES!$L167/12+$H$6*(PARAM!$D$51/12)*RATES!$N167/100</f>
        <v>11.742447007570956</v>
      </c>
      <c r="R191" s="16">
        <f t="shared" si="115"/>
        <v>369.16787280945829</v>
      </c>
      <c r="S191" s="15">
        <f t="shared" si="90"/>
        <v>22.170849845882874</v>
      </c>
      <c r="T191" s="75">
        <f>S191*(1-PARAM!$C$27)*$I$7+(MOD($B191,60)=PARAM!$B$56)*($B191&gt;(60-PARAM!$B$56))*HLOOKUP(($B191+PARAM!$B$56)/12,Loyalty,2)*$F$1*MAX(V190,0)</f>
        <v>18.557001321003963</v>
      </c>
      <c r="U191" s="75">
        <f>PARAM!$C$26+MAX($G$7-CHOOSE(PARAM!$B$44,MAX(0,V190*$F$1),0),0)*RATES!$L167/12+$H$7*(PARAM!$D$51/12)*RATES!$N167/100</f>
        <v>11.742447007570956</v>
      </c>
      <c r="V191" s="16">
        <f t="shared" si="116"/>
        <v>369.16787280945829</v>
      </c>
      <c r="W191" s="15">
        <f t="shared" si="91"/>
        <v>22.170849845882874</v>
      </c>
      <c r="X191" s="75">
        <f>W191*(1-PARAM!$C$27)*$I$8+(MOD($B191,60)=PARAM!$B$56)*($B191&gt;(60-PARAM!$B$56))*HLOOKUP(($B191+PARAM!$B$56)/12,Loyalty,2)*$F$1*MAX(Z190,0)</f>
        <v>18.557001321003963</v>
      </c>
      <c r="Y191" s="75">
        <f>PARAM!$C$26+MAX($G$8-CHOOSE(PARAM!$B$44,MAX(0,Z190*$F$1),0),0)*RATES!$L167/12+$H$8*(PARAM!$D$51/12)*RATES!$N167/100</f>
        <v>11.742447007570956</v>
      </c>
      <c r="Z191" s="16">
        <f t="shared" si="117"/>
        <v>369.16787280945829</v>
      </c>
      <c r="AA191" s="15">
        <f t="shared" si="92"/>
        <v>22.170849845882874</v>
      </c>
      <c r="AB191" s="75">
        <f>AA191*(1-PARAM!$C$27)*$I$9+(MOD($B191,60)=PARAM!$B$56)*($B191&gt;(60-PARAM!$B$56))*HLOOKUP(($B191+PARAM!$B$56)/12,Loyalty,2)*$F$1*MAX(AD190,0)</f>
        <v>18.557001321003963</v>
      </c>
      <c r="AC191" s="75">
        <f>PARAM!$C$26+MAX($G$9-CHOOSE(PARAM!$B$44,MAX(0,AD190*$F$1),0),0)*RATES!$L167/12+$H$9*(PARAM!$D$51/12)*RATES!$N167/100</f>
        <v>11.742447007570956</v>
      </c>
      <c r="AD191" s="16">
        <f t="shared" si="118"/>
        <v>369.16787280945829</v>
      </c>
      <c r="AE191" s="15">
        <f t="shared" si="93"/>
        <v>22.170849845882874</v>
      </c>
      <c r="AF191" s="75">
        <f>AE191*(1-PARAM!$C$27)*$I$10+(MOD($B191,60)=PARAM!$B$56)*($B191&gt;(60-PARAM!$B$56))*HLOOKUP(($B191+PARAM!$B$56)/12,Loyalty,2)*$F$1*MAX(AH190,0)</f>
        <v>18.557001321003963</v>
      </c>
      <c r="AG191" s="75">
        <f>PARAM!$C$26+MAX($G$10-CHOOSE(PARAM!$B$44,MAX(0,AH190*$F$1),0),0)*RATES!$L167/12+$H$10*(PARAM!$D$51/12)*RATES!$N167/100</f>
        <v>11.742447007570956</v>
      </c>
      <c r="AH191" s="16">
        <f t="shared" si="119"/>
        <v>369.16787280945829</v>
      </c>
      <c r="AI191" s="15">
        <f t="shared" si="94"/>
        <v>22.170849845882874</v>
      </c>
      <c r="AJ191" s="75">
        <f>AI191*(1-PARAM!$C$27)*$I$11+(MOD($B191,60)=PARAM!$B$56)*($B191&gt;(60-PARAM!$B$56))*HLOOKUP(($B191+PARAM!$B$56)/12,Loyalty,2)*$F$1*MAX(AL190,0)</f>
        <v>18.557001321003963</v>
      </c>
      <c r="AK191" s="75">
        <f>PARAM!$C$26+MAX($G$11-CHOOSE(PARAM!$B$44,MAX(0,AL190*$F$1),0),0)*RATES!$L167/12+$H$11*(PARAM!$D$51/12)*RATES!$N167/100</f>
        <v>11.742447007570956</v>
      </c>
      <c r="AL191" s="16">
        <f t="shared" si="120"/>
        <v>369.16787280945829</v>
      </c>
      <c r="AM191" s="15">
        <f t="shared" si="95"/>
        <v>22.170849845882874</v>
      </c>
      <c r="AN191" s="75">
        <f>AM191*(1-PARAM!$C$27)*$I$12+(MOD($B191,60)=PARAM!$B$56)*($B191&gt;(60-PARAM!$B$56))*HLOOKUP(($B191+PARAM!$B$56)/12,Loyalty,2)*$F$1*MAX(AP190,0)</f>
        <v>18.557001321003963</v>
      </c>
      <c r="AO191" s="75">
        <f>PARAM!$C$26+MAX($G$12-CHOOSE(PARAM!$B$44,MAX(0,AP190*$F$1),0),0)*RATES!$L167/12+$H$12*(PARAM!$D$51/12)*RATES!$N167/100</f>
        <v>11.742447007570956</v>
      </c>
      <c r="AP191" s="16">
        <f t="shared" si="121"/>
        <v>369.16787280945829</v>
      </c>
      <c r="AQ191" s="15">
        <f t="shared" si="96"/>
        <v>22.170849845882874</v>
      </c>
      <c r="AR191" s="75">
        <f>AQ191*(1-PARAM!$C$27)*$I$13+(MOD($B191,60)=PARAM!$B$56)*($B191&gt;(60-PARAM!$B$56))*HLOOKUP(($B191+PARAM!$B$56)/12,Loyalty,2)*$F$1*MAX(AT190,0)</f>
        <v>18.557001321003963</v>
      </c>
      <c r="AS191" s="75">
        <f>PARAM!$C$26+MAX($G$13-CHOOSE(PARAM!$B$44,MAX(0,AT190*$F$1),0),0)*RATES!$L167/12+$H$13*(PARAM!$D$51/12)*RATES!$N167/100</f>
        <v>11.742447007570956</v>
      </c>
      <c r="AT191" s="16">
        <f t="shared" si="122"/>
        <v>369.16787280945829</v>
      </c>
      <c r="AU191" s="15">
        <f t="shared" si="97"/>
        <v>22.170849845882874</v>
      </c>
      <c r="AV191" s="75">
        <f>AU191*(1-PARAM!$C$27)*$I$14+(MOD($B191,60)=PARAM!$B$56)*($B191&gt;(60-PARAM!$B$56))*HLOOKUP(($B191+PARAM!$B$56)/12,Loyalty,2)*$F$1*MAX(AX190,0)</f>
        <v>18.557001321003963</v>
      </c>
      <c r="AW191" s="75">
        <f>PARAM!$C$26+MAX($G$14-CHOOSE(PARAM!$B$44,MAX(0,AX190*$F$1),0),0)*RATES!$L167/12+$H$14*(PARAM!$D$51/12)*RATES!$N167/100</f>
        <v>11.742447007570956</v>
      </c>
      <c r="AX191" s="16">
        <f t="shared" si="123"/>
        <v>369.16787280945829</v>
      </c>
      <c r="AY191" s="15">
        <f t="shared" si="98"/>
        <v>22.170849845882874</v>
      </c>
      <c r="AZ191" s="75">
        <f>AY191*(1-PARAM!$C$27)*$I$15+(MOD($B191,60)=PARAM!$B$56)*($B191&gt;(60-PARAM!$B$56))*HLOOKUP(($B191+PARAM!$B$56)/12,Loyalty,2)*$F$1*MAX(BB190,0)</f>
        <v>18.557001321003963</v>
      </c>
      <c r="BA191" s="75">
        <f>PARAM!$C$26+MAX($G$15-CHOOSE(PARAM!$B$44,MAX(0,BB190*$F$1),0),0)*RATES!$L167/12+$H$15*(PARAM!$D$51/12)*RATES!$N167/100</f>
        <v>11.742447007570956</v>
      </c>
      <c r="BB191" s="16">
        <f t="shared" si="124"/>
        <v>369.16787280945829</v>
      </c>
      <c r="BC191" s="15">
        <f t="shared" si="99"/>
        <v>22.170849845882874</v>
      </c>
      <c r="BD191" s="75">
        <f>BC191*(1-PARAM!$C$27)*$I$16+(MOD($B191,60)=PARAM!$B$56)*($B191&gt;(60-PARAM!$B$56))*HLOOKUP(($B191+PARAM!$B$56)/12,Loyalty,2)*$F$1*MAX(BF190,0)</f>
        <v>18.557001321003963</v>
      </c>
      <c r="BE191" s="75">
        <f>PARAM!$C$26+MAX($G$16-CHOOSE(PARAM!$B$44,MAX(0,BF190*$F$1),0),0)*RATES!$L167/12+$H$16*(PARAM!$D$51/12)*RATES!$N167/100</f>
        <v>11.742447007570956</v>
      </c>
      <c r="BF191" s="16">
        <f t="shared" si="125"/>
        <v>369.16787280945829</v>
      </c>
      <c r="BG191" s="15">
        <f t="shared" si="100"/>
        <v>22.170849845882874</v>
      </c>
      <c r="BH191" s="75">
        <f>BG191*(1-PARAM!$C$27)*$I$17+(MOD($B191,60)=PARAM!$B$56)*($B191&gt;(60-PARAM!$B$56))*HLOOKUP(($B191+PARAM!$B$56)/12,Loyalty,2)*$F$1*MAX(BJ190,0)</f>
        <v>18.557001321003963</v>
      </c>
      <c r="BI191" s="75">
        <f>PARAM!$C$26+MAX($G$17-CHOOSE(PARAM!$B$44,MAX(0,BJ190*$F$1),0),0)*RATES!$L167/12+$H$17*(PARAM!$D$51/12)*RATES!$N167/100</f>
        <v>11.742447007570956</v>
      </c>
      <c r="BJ191" s="16">
        <f t="shared" si="126"/>
        <v>369.16787280945829</v>
      </c>
      <c r="BK191" s="15">
        <f t="shared" si="101"/>
        <v>22.170849845882874</v>
      </c>
      <c r="BL191" s="75">
        <f>BK191*(1-PARAM!$C$27)*$I$18+(MOD($B191,60)=PARAM!$B$56)*($B191&gt;(60-PARAM!$B$56))*HLOOKUP(($B191+PARAM!$B$56)/12,Loyalty,2)*$F$1*MAX(BN190,0)</f>
        <v>18.557001321003963</v>
      </c>
      <c r="BM191" s="75">
        <f>PARAM!$C$26+MAX($G$18-CHOOSE(PARAM!$B$44,MAX(0,BN190*$F$1),0),0)*RATES!$L167/12+$H$18*(PARAM!$D$51/12)*RATES!$N167/100</f>
        <v>11.742447007570956</v>
      </c>
      <c r="BN191" s="16">
        <f t="shared" si="127"/>
        <v>369.16787280945829</v>
      </c>
      <c r="BO191" s="15">
        <f t="shared" si="102"/>
        <v>22.170849845882874</v>
      </c>
      <c r="BP191" s="75">
        <f>BO191*(1-PARAM!$C$27)*$I$19+(MOD($B191,60)=PARAM!$B$56)*($B191&gt;(60-PARAM!$B$56))*HLOOKUP(($B191+PARAM!$B$56)/12,Loyalty,2)*$F$1*MAX(BR190,0)</f>
        <v>18.557001321003963</v>
      </c>
      <c r="BQ191" s="75">
        <f>PARAM!$C$26+MAX($G$19-CHOOSE(PARAM!$B$44,MAX(0,BR190*$F$1),0),0)*RATES!$L167/12+$H$19*(PARAM!$D$51/12)*RATES!$N167/100</f>
        <v>11.742447007570956</v>
      </c>
      <c r="BR191" s="16">
        <f t="shared" si="128"/>
        <v>369.16787280945829</v>
      </c>
      <c r="BS191" s="15">
        <f t="shared" si="103"/>
        <v>22.170849845882874</v>
      </c>
      <c r="BT191" s="75">
        <f>BS191*(1-PARAM!$C$27)*$I$20+(MOD($B191,60)=PARAM!$B$56)*($B191&gt;(60-PARAM!$B$56))*HLOOKUP(($B191+PARAM!$B$56)/12,Loyalty,2)*$F$1*MAX(BV190,0)</f>
        <v>18.557001321003963</v>
      </c>
      <c r="BU191" s="75">
        <f>PARAM!$C$26+MAX($G$20-CHOOSE(PARAM!$B$44,MAX(0,BV190*$F$1),0),0)*RATES!$L167/12+$H$20*(PARAM!$D$51/12)*RATES!$N167/100</f>
        <v>11.742447007570956</v>
      </c>
      <c r="BV191" s="16">
        <f t="shared" si="129"/>
        <v>369.16787280945829</v>
      </c>
      <c r="BW191" s="15">
        <f t="shared" si="104"/>
        <v>22.170849845882874</v>
      </c>
      <c r="BX191" s="75">
        <f>BW191*(1-PARAM!$C$27)*$I$21+(MOD($B191,60)=PARAM!$B$56)*($B191&gt;(60-PARAM!$B$56))*HLOOKUP(($B191+PARAM!$B$56)/12,Loyalty,2)*$F$1*MAX(BZ190,0)</f>
        <v>18.557001321003963</v>
      </c>
      <c r="BY191" s="75">
        <f>PARAM!$C$26+MAX($G$21-CHOOSE(PARAM!$B$44,MAX(0,BZ190*$F$1),0),0)*RATES!$L167/12+$H$21*(PARAM!$D$51/12)*RATES!$N167/100</f>
        <v>11.742447007570956</v>
      </c>
      <c r="BZ191" s="16">
        <f t="shared" si="130"/>
        <v>369.16787280945829</v>
      </c>
      <c r="CA191" s="15">
        <f t="shared" si="105"/>
        <v>22.170849845882874</v>
      </c>
      <c r="CB191" s="75">
        <f>CA191*(1-PARAM!$C$27)*$I$22+(MOD($B191,60)=PARAM!$B$56)*($B191&gt;(60-PARAM!$B$56))*HLOOKUP(($B191+PARAM!$B$56)/12,Loyalty,2)*$F$1*MAX(CD190,0)</f>
        <v>18.557001321003963</v>
      </c>
      <c r="CC191" s="75">
        <f>PARAM!$C$26+MAX($G$22-CHOOSE(PARAM!$B$44,MAX(0,CD190*$F$1),0),0)*RATES!$L167/12+$H$22*(PARAM!$D$51/12)*RATES!$N167/100</f>
        <v>11.742447007570956</v>
      </c>
      <c r="CD191" s="16">
        <f t="shared" si="131"/>
        <v>369.16787280945829</v>
      </c>
      <c r="CE191" s="33">
        <f>IF(0=MOD(B191,12/PARAM!$D$51),1,0)</f>
        <v>1</v>
      </c>
      <c r="CF191" s="15">
        <f t="shared" si="106"/>
        <v>0</v>
      </c>
      <c r="CG191" s="75">
        <f>CF191*(1-PARAM!$C$27)*$R$3+(MOD($B191/12,5)=0)*($B191&gt;60)*HLOOKUP($B191/12,Loyalty,2)*$F$1*MAX(CI190,0)</f>
        <v>0</v>
      </c>
      <c r="CH191" s="75">
        <f>PARAM!$C$26+MAX($P$3-CHOOSE(PARAM!$B$44,MAX(0,CI190*$F$1),0),0)*RATES!$L167/12+$Q$3*(PARAM!$D$51/12)*RATES!$N167/100</f>
        <v>11.791666666666668</v>
      </c>
      <c r="CI191" s="16">
        <f>IF(CI190&gt;0,CI190*PARAM!$C$53,CI190)+CG191-CH191</f>
        <v>-2480.8749999999964</v>
      </c>
      <c r="CJ191" s="15">
        <f t="shared" si="132"/>
        <v>0</v>
      </c>
      <c r="CK191" s="75">
        <f>CJ191*(1-PARAM!$C$27)*$R$4+(MOD($B191/12,5)=0)*($B191&gt;60)*HLOOKUP($B191/12,Loyalty,2)*$F$1*MAX(CM190,0)</f>
        <v>0</v>
      </c>
      <c r="CL191" s="75">
        <f>PARAM!$C$26+MAX($P$4-CHOOSE(PARAM!$B$44,MAX(0,CM190*$F$1),0),0)*RATES!$L167/12+$Q$4*(PARAM!$D$51/12)*RATES!$N167/100</f>
        <v>11.791666666666668</v>
      </c>
      <c r="CM191" s="16">
        <f>IF(CM190&gt;0,CM190*PARAM!$C$53,CM190)+CK191-CL191</f>
        <v>-2480.8749999999964</v>
      </c>
      <c r="CO191" s="176"/>
    </row>
    <row r="192" spans="1:93" x14ac:dyDescent="0.2">
      <c r="A192" t="b">
        <f t="shared" si="107"/>
        <v>1</v>
      </c>
      <c r="B192" s="33">
        <v>165</v>
      </c>
      <c r="C192" s="15">
        <f t="shared" si="108"/>
        <v>20.081305947392778</v>
      </c>
      <c r="D192" s="75">
        <f>C192*(1-PARAM!$C$27)*$I$3+(MOD($B192,60)=PARAM!$B$56)*($B192&gt;(60-PARAM!$B$56))*HLOOKUP(($B192+PARAM!$B$56)/12,Loyalty,2)*$F$1*MAX(F191,0)</f>
        <v>16.808053077967756</v>
      </c>
      <c r="E192" s="75">
        <f>PARAM!$C$26+MAX($G$3-CHOOSE(PARAM!$B$44,MAX(0,F191*$F$1),0),0)*RATES!$L168/12+$H$3*(PARAM!$D$51/12)*RATES!$N168/100</f>
        <v>11.77811329276172</v>
      </c>
      <c r="F192" s="16">
        <f t="shared" si="109"/>
        <v>104.80937957621548</v>
      </c>
      <c r="G192" s="15">
        <f t="shared" si="110"/>
        <v>22.035289406060361</v>
      </c>
      <c r="H192" s="75">
        <f>G192*(1-PARAM!$C$27)*$I$4+(MOD($B192,60)=PARAM!$B$56)*($B192&gt;(60-PARAM!$B$56))*HLOOKUP(($B192+PARAM!$B$56)/12,Loyalty,2)*$F$1*MAX(J191,0)</f>
        <v>18.443537232872522</v>
      </c>
      <c r="I192" s="75">
        <f>PARAM!$C$26+MAX($G$4-CHOOSE(PARAM!$B$44,MAX(0,J191*$F$1),0),0)*RATES!$L168/12+$H$4*(PARAM!$D$51/12)*RATES!$N168/100</f>
        <v>11.743897296962551</v>
      </c>
      <c r="J192" s="16">
        <f t="shared" si="111"/>
        <v>358.37598131589363</v>
      </c>
      <c r="K192" s="15">
        <f t="shared" si="112"/>
        <v>22.170849845882874</v>
      </c>
      <c r="L192" s="75">
        <f>K192*(1-PARAM!$C$27)*$I$5+(MOD($B192,60)=PARAM!$B$56)*($B192&gt;(60-PARAM!$B$56))*HLOOKUP(($B192+PARAM!$B$56)/12,Loyalty,2)*$F$1*MAX(N191,0)</f>
        <v>18.557001321003963</v>
      </c>
      <c r="M192" s="75">
        <f>PARAM!$C$26+MAX($G$5-CHOOSE(PARAM!$B$44,MAX(0,N191*$F$1),0),0)*RATES!$L168/12+$H$5*(PARAM!$D$51/12)*RATES!$N168/100</f>
        <v>11.741521363943381</v>
      </c>
      <c r="N192" s="16">
        <f t="shared" si="113"/>
        <v>375.98335276651886</v>
      </c>
      <c r="O192" s="15">
        <f t="shared" si="114"/>
        <v>22.170849845882874</v>
      </c>
      <c r="P192" s="75">
        <f>O192*(1-PARAM!$C$27)*$I$6+(MOD($B192,60)=PARAM!$B$56)*($B192&gt;(60-PARAM!$B$56))*HLOOKUP(($B192+PARAM!$B$56)/12,Loyalty,2)*$F$1*MAX(R191,0)</f>
        <v>18.557001321003963</v>
      </c>
      <c r="Q192" s="75">
        <f>PARAM!$C$26+MAX($G$6-CHOOSE(PARAM!$B$44,MAX(0,R191*$F$1),0),0)*RATES!$L168/12+$H$6*(PARAM!$D$51/12)*RATES!$N168/100</f>
        <v>11.741521363943381</v>
      </c>
      <c r="R192" s="16">
        <f t="shared" si="115"/>
        <v>375.98335276651886</v>
      </c>
      <c r="S192" s="15">
        <f t="shared" si="90"/>
        <v>22.170849845882874</v>
      </c>
      <c r="T192" s="75">
        <f>S192*(1-PARAM!$C$27)*$I$7+(MOD($B192,60)=PARAM!$B$56)*($B192&gt;(60-PARAM!$B$56))*HLOOKUP(($B192+PARAM!$B$56)/12,Loyalty,2)*$F$1*MAX(V191,0)</f>
        <v>18.557001321003963</v>
      </c>
      <c r="U192" s="75">
        <f>PARAM!$C$26+MAX($G$7-CHOOSE(PARAM!$B$44,MAX(0,V191*$F$1),0),0)*RATES!$L168/12+$H$7*(PARAM!$D$51/12)*RATES!$N168/100</f>
        <v>11.741521363943381</v>
      </c>
      <c r="V192" s="16">
        <f t="shared" si="116"/>
        <v>375.98335276651886</v>
      </c>
      <c r="W192" s="15">
        <f t="shared" si="91"/>
        <v>22.170849845882874</v>
      </c>
      <c r="X192" s="75">
        <f>W192*(1-PARAM!$C$27)*$I$8+(MOD($B192,60)=PARAM!$B$56)*($B192&gt;(60-PARAM!$B$56))*HLOOKUP(($B192+PARAM!$B$56)/12,Loyalty,2)*$F$1*MAX(Z191,0)</f>
        <v>18.557001321003963</v>
      </c>
      <c r="Y192" s="75">
        <f>PARAM!$C$26+MAX($G$8-CHOOSE(PARAM!$B$44,MAX(0,Z191*$F$1),0),0)*RATES!$L168/12+$H$8*(PARAM!$D$51/12)*RATES!$N168/100</f>
        <v>11.741521363943381</v>
      </c>
      <c r="Z192" s="16">
        <f t="shared" si="117"/>
        <v>375.98335276651886</v>
      </c>
      <c r="AA192" s="15">
        <f t="shared" si="92"/>
        <v>22.170849845882874</v>
      </c>
      <c r="AB192" s="75">
        <f>AA192*(1-PARAM!$C$27)*$I$9+(MOD($B192,60)=PARAM!$B$56)*($B192&gt;(60-PARAM!$B$56))*HLOOKUP(($B192+PARAM!$B$56)/12,Loyalty,2)*$F$1*MAX(AD191,0)</f>
        <v>18.557001321003963</v>
      </c>
      <c r="AC192" s="75">
        <f>PARAM!$C$26+MAX($G$9-CHOOSE(PARAM!$B$44,MAX(0,AD191*$F$1),0),0)*RATES!$L168/12+$H$9*(PARAM!$D$51/12)*RATES!$N168/100</f>
        <v>11.741521363943381</v>
      </c>
      <c r="AD192" s="16">
        <f t="shared" si="118"/>
        <v>375.98335276651886</v>
      </c>
      <c r="AE192" s="15">
        <f t="shared" si="93"/>
        <v>22.170849845882874</v>
      </c>
      <c r="AF192" s="75">
        <f>AE192*(1-PARAM!$C$27)*$I$10+(MOD($B192,60)=PARAM!$B$56)*($B192&gt;(60-PARAM!$B$56))*HLOOKUP(($B192+PARAM!$B$56)/12,Loyalty,2)*$F$1*MAX(AH191,0)</f>
        <v>18.557001321003963</v>
      </c>
      <c r="AG192" s="75">
        <f>PARAM!$C$26+MAX($G$10-CHOOSE(PARAM!$B$44,MAX(0,AH191*$F$1),0),0)*RATES!$L168/12+$H$10*(PARAM!$D$51/12)*RATES!$N168/100</f>
        <v>11.741521363943381</v>
      </c>
      <c r="AH192" s="16">
        <f t="shared" si="119"/>
        <v>375.98335276651886</v>
      </c>
      <c r="AI192" s="15">
        <f t="shared" si="94"/>
        <v>22.170849845882874</v>
      </c>
      <c r="AJ192" s="75">
        <f>AI192*(1-PARAM!$C$27)*$I$11+(MOD($B192,60)=PARAM!$B$56)*($B192&gt;(60-PARAM!$B$56))*HLOOKUP(($B192+PARAM!$B$56)/12,Loyalty,2)*$F$1*MAX(AL191,0)</f>
        <v>18.557001321003963</v>
      </c>
      <c r="AK192" s="75">
        <f>PARAM!$C$26+MAX($G$11-CHOOSE(PARAM!$B$44,MAX(0,AL191*$F$1),0),0)*RATES!$L168/12+$H$11*(PARAM!$D$51/12)*RATES!$N168/100</f>
        <v>11.741521363943381</v>
      </c>
      <c r="AL192" s="16">
        <f t="shared" si="120"/>
        <v>375.98335276651886</v>
      </c>
      <c r="AM192" s="15">
        <f t="shared" si="95"/>
        <v>22.170849845882874</v>
      </c>
      <c r="AN192" s="75">
        <f>AM192*(1-PARAM!$C$27)*$I$12+(MOD($B192,60)=PARAM!$B$56)*($B192&gt;(60-PARAM!$B$56))*HLOOKUP(($B192+PARAM!$B$56)/12,Loyalty,2)*$F$1*MAX(AP191,0)</f>
        <v>18.557001321003963</v>
      </c>
      <c r="AO192" s="75">
        <f>PARAM!$C$26+MAX($G$12-CHOOSE(PARAM!$B$44,MAX(0,AP191*$F$1),0),0)*RATES!$L168/12+$H$12*(PARAM!$D$51/12)*RATES!$N168/100</f>
        <v>11.741521363943381</v>
      </c>
      <c r="AP192" s="16">
        <f t="shared" si="121"/>
        <v>375.98335276651886</v>
      </c>
      <c r="AQ192" s="15">
        <f t="shared" si="96"/>
        <v>22.170849845882874</v>
      </c>
      <c r="AR192" s="75">
        <f>AQ192*(1-PARAM!$C$27)*$I$13+(MOD($B192,60)=PARAM!$B$56)*($B192&gt;(60-PARAM!$B$56))*HLOOKUP(($B192+PARAM!$B$56)/12,Loyalty,2)*$F$1*MAX(AT191,0)</f>
        <v>18.557001321003963</v>
      </c>
      <c r="AS192" s="75">
        <f>PARAM!$C$26+MAX($G$13-CHOOSE(PARAM!$B$44,MAX(0,AT191*$F$1),0),0)*RATES!$L168/12+$H$13*(PARAM!$D$51/12)*RATES!$N168/100</f>
        <v>11.741521363943381</v>
      </c>
      <c r="AT192" s="16">
        <f t="shared" si="122"/>
        <v>375.98335276651886</v>
      </c>
      <c r="AU192" s="15">
        <f t="shared" si="97"/>
        <v>22.170849845882874</v>
      </c>
      <c r="AV192" s="75">
        <f>AU192*(1-PARAM!$C$27)*$I$14+(MOD($B192,60)=PARAM!$B$56)*($B192&gt;(60-PARAM!$B$56))*HLOOKUP(($B192+PARAM!$B$56)/12,Loyalty,2)*$F$1*MAX(AX191,0)</f>
        <v>18.557001321003963</v>
      </c>
      <c r="AW192" s="75">
        <f>PARAM!$C$26+MAX($G$14-CHOOSE(PARAM!$B$44,MAX(0,AX191*$F$1),0),0)*RATES!$L168/12+$H$14*(PARAM!$D$51/12)*RATES!$N168/100</f>
        <v>11.741521363943381</v>
      </c>
      <c r="AX192" s="16">
        <f t="shared" si="123"/>
        <v>375.98335276651886</v>
      </c>
      <c r="AY192" s="15">
        <f t="shared" si="98"/>
        <v>22.170849845882874</v>
      </c>
      <c r="AZ192" s="75">
        <f>AY192*(1-PARAM!$C$27)*$I$15+(MOD($B192,60)=PARAM!$B$56)*($B192&gt;(60-PARAM!$B$56))*HLOOKUP(($B192+PARAM!$B$56)/12,Loyalty,2)*$F$1*MAX(BB191,0)</f>
        <v>18.557001321003963</v>
      </c>
      <c r="BA192" s="75">
        <f>PARAM!$C$26+MAX($G$15-CHOOSE(PARAM!$B$44,MAX(0,BB191*$F$1),0),0)*RATES!$L168/12+$H$15*(PARAM!$D$51/12)*RATES!$N168/100</f>
        <v>11.741521363943381</v>
      </c>
      <c r="BB192" s="16">
        <f t="shared" si="124"/>
        <v>375.98335276651886</v>
      </c>
      <c r="BC192" s="15">
        <f t="shared" si="99"/>
        <v>22.170849845882874</v>
      </c>
      <c r="BD192" s="75">
        <f>BC192*(1-PARAM!$C$27)*$I$16+(MOD($B192,60)=PARAM!$B$56)*($B192&gt;(60-PARAM!$B$56))*HLOOKUP(($B192+PARAM!$B$56)/12,Loyalty,2)*$F$1*MAX(BF191,0)</f>
        <v>18.557001321003963</v>
      </c>
      <c r="BE192" s="75">
        <f>PARAM!$C$26+MAX($G$16-CHOOSE(PARAM!$B$44,MAX(0,BF191*$F$1),0),0)*RATES!$L168/12+$H$16*(PARAM!$D$51/12)*RATES!$N168/100</f>
        <v>11.741521363943381</v>
      </c>
      <c r="BF192" s="16">
        <f t="shared" si="125"/>
        <v>375.98335276651886</v>
      </c>
      <c r="BG192" s="15">
        <f t="shared" si="100"/>
        <v>22.170849845882874</v>
      </c>
      <c r="BH192" s="75">
        <f>BG192*(1-PARAM!$C$27)*$I$17+(MOD($B192,60)=PARAM!$B$56)*($B192&gt;(60-PARAM!$B$56))*HLOOKUP(($B192+PARAM!$B$56)/12,Loyalty,2)*$F$1*MAX(BJ191,0)</f>
        <v>18.557001321003963</v>
      </c>
      <c r="BI192" s="75">
        <f>PARAM!$C$26+MAX($G$17-CHOOSE(PARAM!$B$44,MAX(0,BJ191*$F$1),0),0)*RATES!$L168/12+$H$17*(PARAM!$D$51/12)*RATES!$N168/100</f>
        <v>11.741521363943381</v>
      </c>
      <c r="BJ192" s="16">
        <f t="shared" si="126"/>
        <v>375.98335276651886</v>
      </c>
      <c r="BK192" s="15">
        <f t="shared" si="101"/>
        <v>22.170849845882874</v>
      </c>
      <c r="BL192" s="75">
        <f>BK192*(1-PARAM!$C$27)*$I$18+(MOD($B192,60)=PARAM!$B$56)*($B192&gt;(60-PARAM!$B$56))*HLOOKUP(($B192+PARAM!$B$56)/12,Loyalty,2)*$F$1*MAX(BN191,0)</f>
        <v>18.557001321003963</v>
      </c>
      <c r="BM192" s="75">
        <f>PARAM!$C$26+MAX($G$18-CHOOSE(PARAM!$B$44,MAX(0,BN191*$F$1),0),0)*RATES!$L168/12+$H$18*(PARAM!$D$51/12)*RATES!$N168/100</f>
        <v>11.741521363943381</v>
      </c>
      <c r="BN192" s="16">
        <f t="shared" si="127"/>
        <v>375.98335276651886</v>
      </c>
      <c r="BO192" s="15">
        <f t="shared" si="102"/>
        <v>22.170849845882874</v>
      </c>
      <c r="BP192" s="75">
        <f>BO192*(1-PARAM!$C$27)*$I$19+(MOD($B192,60)=PARAM!$B$56)*($B192&gt;(60-PARAM!$B$56))*HLOOKUP(($B192+PARAM!$B$56)/12,Loyalty,2)*$F$1*MAX(BR191,0)</f>
        <v>18.557001321003963</v>
      </c>
      <c r="BQ192" s="75">
        <f>PARAM!$C$26+MAX($G$19-CHOOSE(PARAM!$B$44,MAX(0,BR191*$F$1),0),0)*RATES!$L168/12+$H$19*(PARAM!$D$51/12)*RATES!$N168/100</f>
        <v>11.741521363943381</v>
      </c>
      <c r="BR192" s="16">
        <f t="shared" si="128"/>
        <v>375.98335276651886</v>
      </c>
      <c r="BS192" s="15">
        <f t="shared" si="103"/>
        <v>22.170849845882874</v>
      </c>
      <c r="BT192" s="75">
        <f>BS192*(1-PARAM!$C$27)*$I$20+(MOD($B192,60)=PARAM!$B$56)*($B192&gt;(60-PARAM!$B$56))*HLOOKUP(($B192+PARAM!$B$56)/12,Loyalty,2)*$F$1*MAX(BV191,0)</f>
        <v>18.557001321003963</v>
      </c>
      <c r="BU192" s="75">
        <f>PARAM!$C$26+MAX($G$20-CHOOSE(PARAM!$B$44,MAX(0,BV191*$F$1),0),0)*RATES!$L168/12+$H$20*(PARAM!$D$51/12)*RATES!$N168/100</f>
        <v>11.741521363943381</v>
      </c>
      <c r="BV192" s="16">
        <f t="shared" si="129"/>
        <v>375.98335276651886</v>
      </c>
      <c r="BW192" s="15">
        <f t="shared" si="104"/>
        <v>22.170849845882874</v>
      </c>
      <c r="BX192" s="75">
        <f>BW192*(1-PARAM!$C$27)*$I$21+(MOD($B192,60)=PARAM!$B$56)*($B192&gt;(60-PARAM!$B$56))*HLOOKUP(($B192+PARAM!$B$56)/12,Loyalty,2)*$F$1*MAX(BZ191,0)</f>
        <v>18.557001321003963</v>
      </c>
      <c r="BY192" s="75">
        <f>PARAM!$C$26+MAX($G$21-CHOOSE(PARAM!$B$44,MAX(0,BZ191*$F$1),0),0)*RATES!$L168/12+$H$21*(PARAM!$D$51/12)*RATES!$N168/100</f>
        <v>11.741521363943381</v>
      </c>
      <c r="BZ192" s="16">
        <f t="shared" si="130"/>
        <v>375.98335276651886</v>
      </c>
      <c r="CA192" s="15">
        <f t="shared" si="105"/>
        <v>22.170849845882874</v>
      </c>
      <c r="CB192" s="75">
        <f>CA192*(1-PARAM!$C$27)*$I$22+(MOD($B192,60)=PARAM!$B$56)*($B192&gt;(60-PARAM!$B$56))*HLOOKUP(($B192+PARAM!$B$56)/12,Loyalty,2)*$F$1*MAX(CD191,0)</f>
        <v>18.557001321003963</v>
      </c>
      <c r="CC192" s="75">
        <f>PARAM!$C$26+MAX($G$22-CHOOSE(PARAM!$B$44,MAX(0,CD191*$F$1),0),0)*RATES!$L168/12+$H$22*(PARAM!$D$51/12)*RATES!$N168/100</f>
        <v>11.741521363943381</v>
      </c>
      <c r="CD192" s="16">
        <f t="shared" si="131"/>
        <v>375.98335276651886</v>
      </c>
      <c r="CE192" s="33">
        <f>IF(0=MOD(B192,12/PARAM!$D$51),1,0)</f>
        <v>1</v>
      </c>
      <c r="CF192" s="15">
        <f t="shared" si="106"/>
        <v>0</v>
      </c>
      <c r="CG192" s="75">
        <f>CF192*(1-PARAM!$C$27)*$R$3+(MOD($B192/12,5)=0)*($B192&gt;60)*HLOOKUP($B192/12,Loyalty,2)*$F$1*MAX(CI191,0)</f>
        <v>0</v>
      </c>
      <c r="CH192" s="75">
        <f>PARAM!$C$26+MAX($P$3-CHOOSE(PARAM!$B$44,MAX(0,CI191*$F$1),0),0)*RATES!$L168/12+$Q$3*(PARAM!$D$51/12)*RATES!$N168/100</f>
        <v>11.791666666666668</v>
      </c>
      <c r="CI192" s="16">
        <f>IF(CI191&gt;0,CI191*PARAM!$C$53,CI191)+CG192-CH192</f>
        <v>-2492.6666666666629</v>
      </c>
      <c r="CJ192" s="15">
        <f t="shared" si="132"/>
        <v>0</v>
      </c>
      <c r="CK192" s="75">
        <f>CJ192*(1-PARAM!$C$27)*$R$4+(MOD($B192/12,5)=0)*($B192&gt;60)*HLOOKUP($B192/12,Loyalty,2)*$F$1*MAX(CM191,0)</f>
        <v>0</v>
      </c>
      <c r="CL192" s="75">
        <f>PARAM!$C$26+MAX($P$4-CHOOSE(PARAM!$B$44,MAX(0,CM191*$F$1),0),0)*RATES!$L168/12+$Q$4*(PARAM!$D$51/12)*RATES!$N168/100</f>
        <v>11.791666666666668</v>
      </c>
      <c r="CM192" s="16">
        <f>IF(CM191&gt;0,CM191*PARAM!$C$53,CM191)+CK192-CL192</f>
        <v>-2492.6666666666629</v>
      </c>
      <c r="CO192" s="176"/>
    </row>
    <row r="193" spans="1:93" x14ac:dyDescent="0.2">
      <c r="A193" t="b">
        <f t="shared" si="107"/>
        <v>1</v>
      </c>
      <c r="B193" s="33">
        <v>166</v>
      </c>
      <c r="C193" s="15">
        <f t="shared" si="108"/>
        <v>20.081305947392778</v>
      </c>
      <c r="D193" s="75">
        <f>C193*(1-PARAM!$C$27)*$I$3+(MOD($B193,60)=PARAM!$B$56)*($B193&gt;(60-PARAM!$B$56))*HLOOKUP(($B193+PARAM!$B$56)/12,Loyalty,2)*$F$1*MAX(F192,0)</f>
        <v>16.808053077967756</v>
      </c>
      <c r="E193" s="75">
        <f>PARAM!$C$26+MAX($G$3-CHOOSE(PARAM!$B$44,MAX(0,F192*$F$1),0),0)*RATES!$L169/12+$H$3*(PARAM!$D$51/12)*RATES!$N169/100</f>
        <v>11.777430059274231</v>
      </c>
      <c r="F193" s="16">
        <f t="shared" si="109"/>
        <v>109.84000259490901</v>
      </c>
      <c r="G193" s="15">
        <f t="shared" si="110"/>
        <v>22.035289406060361</v>
      </c>
      <c r="H193" s="75">
        <f>G193*(1-PARAM!$C$27)*$I$4+(MOD($B193,60)=PARAM!$B$56)*($B193&gt;(60-PARAM!$B$56))*HLOOKUP(($B193+PARAM!$B$56)/12,Loyalty,2)*$F$1*MAX(J192,0)</f>
        <v>18.443537232872522</v>
      </c>
      <c r="I193" s="75">
        <f>PARAM!$C$26+MAX($G$4-CHOOSE(PARAM!$B$44,MAX(0,J192*$F$1),0),0)*RATES!$L169/12+$H$4*(PARAM!$D$51/12)*RATES!$N169/100</f>
        <v>11.742987262537923</v>
      </c>
      <c r="J193" s="16">
        <f t="shared" si="111"/>
        <v>365.07653128622826</v>
      </c>
      <c r="K193" s="15">
        <f t="shared" si="112"/>
        <v>22.170849845882874</v>
      </c>
      <c r="L193" s="75">
        <f>K193*(1-PARAM!$C$27)*$I$5+(MOD($B193,60)=PARAM!$B$56)*($B193&gt;(60-PARAM!$B$56))*HLOOKUP(($B193+PARAM!$B$56)/12,Loyalty,2)*$F$1*MAX(N192,0)</f>
        <v>18.557001321003963</v>
      </c>
      <c r="M193" s="75">
        <f>PARAM!$C$26+MAX($G$5-CHOOSE(PARAM!$B$44,MAX(0,N192*$F$1),0),0)*RATES!$L169/12+$H$5*(PARAM!$D$51/12)*RATES!$N169/100</f>
        <v>11.740595594582548</v>
      </c>
      <c r="N193" s="16">
        <f t="shared" si="113"/>
        <v>382.79975849294027</v>
      </c>
      <c r="O193" s="15">
        <f t="shared" si="114"/>
        <v>22.170849845882874</v>
      </c>
      <c r="P193" s="75">
        <f>O193*(1-PARAM!$C$27)*$I$6+(MOD($B193,60)=PARAM!$B$56)*($B193&gt;(60-PARAM!$B$56))*HLOOKUP(($B193+PARAM!$B$56)/12,Loyalty,2)*$F$1*MAX(R192,0)</f>
        <v>18.557001321003963</v>
      </c>
      <c r="Q193" s="75">
        <f>PARAM!$C$26+MAX($G$6-CHOOSE(PARAM!$B$44,MAX(0,R192*$F$1),0),0)*RATES!$L169/12+$H$6*(PARAM!$D$51/12)*RATES!$N169/100</f>
        <v>11.740595594582548</v>
      </c>
      <c r="R193" s="16">
        <f t="shared" si="115"/>
        <v>382.79975849294027</v>
      </c>
      <c r="S193" s="15">
        <f t="shared" si="90"/>
        <v>22.170849845882874</v>
      </c>
      <c r="T193" s="75">
        <f>S193*(1-PARAM!$C$27)*$I$7+(MOD($B193,60)=PARAM!$B$56)*($B193&gt;(60-PARAM!$B$56))*HLOOKUP(($B193+PARAM!$B$56)/12,Loyalty,2)*$F$1*MAX(V192,0)</f>
        <v>18.557001321003963</v>
      </c>
      <c r="U193" s="75">
        <f>PARAM!$C$26+MAX($G$7-CHOOSE(PARAM!$B$44,MAX(0,V192*$F$1),0),0)*RATES!$L169/12+$H$7*(PARAM!$D$51/12)*RATES!$N169/100</f>
        <v>11.740595594582548</v>
      </c>
      <c r="V193" s="16">
        <f t="shared" si="116"/>
        <v>382.79975849294027</v>
      </c>
      <c r="W193" s="15">
        <f t="shared" si="91"/>
        <v>22.170849845882874</v>
      </c>
      <c r="X193" s="75">
        <f>W193*(1-PARAM!$C$27)*$I$8+(MOD($B193,60)=PARAM!$B$56)*($B193&gt;(60-PARAM!$B$56))*HLOOKUP(($B193+PARAM!$B$56)/12,Loyalty,2)*$F$1*MAX(Z192,0)</f>
        <v>18.557001321003963</v>
      </c>
      <c r="Y193" s="75">
        <f>PARAM!$C$26+MAX($G$8-CHOOSE(PARAM!$B$44,MAX(0,Z192*$F$1),0),0)*RATES!$L169/12+$H$8*(PARAM!$D$51/12)*RATES!$N169/100</f>
        <v>11.740595594582548</v>
      </c>
      <c r="Z193" s="16">
        <f t="shared" si="117"/>
        <v>382.79975849294027</v>
      </c>
      <c r="AA193" s="15">
        <f t="shared" si="92"/>
        <v>22.170849845882874</v>
      </c>
      <c r="AB193" s="75">
        <f>AA193*(1-PARAM!$C$27)*$I$9+(MOD($B193,60)=PARAM!$B$56)*($B193&gt;(60-PARAM!$B$56))*HLOOKUP(($B193+PARAM!$B$56)/12,Loyalty,2)*$F$1*MAX(AD192,0)</f>
        <v>18.557001321003963</v>
      </c>
      <c r="AC193" s="75">
        <f>PARAM!$C$26+MAX($G$9-CHOOSE(PARAM!$B$44,MAX(0,AD192*$F$1),0),0)*RATES!$L169/12+$H$9*(PARAM!$D$51/12)*RATES!$N169/100</f>
        <v>11.740595594582548</v>
      </c>
      <c r="AD193" s="16">
        <f t="shared" si="118"/>
        <v>382.79975849294027</v>
      </c>
      <c r="AE193" s="15">
        <f t="shared" si="93"/>
        <v>22.170849845882874</v>
      </c>
      <c r="AF193" s="75">
        <f>AE193*(1-PARAM!$C$27)*$I$10+(MOD($B193,60)=PARAM!$B$56)*($B193&gt;(60-PARAM!$B$56))*HLOOKUP(($B193+PARAM!$B$56)/12,Loyalty,2)*$F$1*MAX(AH192,0)</f>
        <v>18.557001321003963</v>
      </c>
      <c r="AG193" s="75">
        <f>PARAM!$C$26+MAX($G$10-CHOOSE(PARAM!$B$44,MAX(0,AH192*$F$1),0),0)*RATES!$L169/12+$H$10*(PARAM!$D$51/12)*RATES!$N169/100</f>
        <v>11.740595594582548</v>
      </c>
      <c r="AH193" s="16">
        <f t="shared" si="119"/>
        <v>382.79975849294027</v>
      </c>
      <c r="AI193" s="15">
        <f t="shared" si="94"/>
        <v>22.170849845882874</v>
      </c>
      <c r="AJ193" s="75">
        <f>AI193*(1-PARAM!$C$27)*$I$11+(MOD($B193,60)=PARAM!$B$56)*($B193&gt;(60-PARAM!$B$56))*HLOOKUP(($B193+PARAM!$B$56)/12,Loyalty,2)*$F$1*MAX(AL192,0)</f>
        <v>18.557001321003963</v>
      </c>
      <c r="AK193" s="75">
        <f>PARAM!$C$26+MAX($G$11-CHOOSE(PARAM!$B$44,MAX(0,AL192*$F$1),0),0)*RATES!$L169/12+$H$11*(PARAM!$D$51/12)*RATES!$N169/100</f>
        <v>11.740595594582548</v>
      </c>
      <c r="AL193" s="16">
        <f t="shared" si="120"/>
        <v>382.79975849294027</v>
      </c>
      <c r="AM193" s="15">
        <f t="shared" si="95"/>
        <v>22.170849845882874</v>
      </c>
      <c r="AN193" s="75">
        <f>AM193*(1-PARAM!$C$27)*$I$12+(MOD($B193,60)=PARAM!$B$56)*($B193&gt;(60-PARAM!$B$56))*HLOOKUP(($B193+PARAM!$B$56)/12,Loyalty,2)*$F$1*MAX(AP192,0)</f>
        <v>18.557001321003963</v>
      </c>
      <c r="AO193" s="75">
        <f>PARAM!$C$26+MAX($G$12-CHOOSE(PARAM!$B$44,MAX(0,AP192*$F$1),0),0)*RATES!$L169/12+$H$12*(PARAM!$D$51/12)*RATES!$N169/100</f>
        <v>11.740595594582548</v>
      </c>
      <c r="AP193" s="16">
        <f t="shared" si="121"/>
        <v>382.79975849294027</v>
      </c>
      <c r="AQ193" s="15">
        <f t="shared" si="96"/>
        <v>22.170849845882874</v>
      </c>
      <c r="AR193" s="75">
        <f>AQ193*(1-PARAM!$C$27)*$I$13+(MOD($B193,60)=PARAM!$B$56)*($B193&gt;(60-PARAM!$B$56))*HLOOKUP(($B193+PARAM!$B$56)/12,Loyalty,2)*$F$1*MAX(AT192,0)</f>
        <v>18.557001321003963</v>
      </c>
      <c r="AS193" s="75">
        <f>PARAM!$C$26+MAX($G$13-CHOOSE(PARAM!$B$44,MAX(0,AT192*$F$1),0),0)*RATES!$L169/12+$H$13*(PARAM!$D$51/12)*RATES!$N169/100</f>
        <v>11.740595594582548</v>
      </c>
      <c r="AT193" s="16">
        <f t="shared" si="122"/>
        <v>382.79975849294027</v>
      </c>
      <c r="AU193" s="15">
        <f t="shared" si="97"/>
        <v>22.170849845882874</v>
      </c>
      <c r="AV193" s="75">
        <f>AU193*(1-PARAM!$C$27)*$I$14+(MOD($B193,60)=PARAM!$B$56)*($B193&gt;(60-PARAM!$B$56))*HLOOKUP(($B193+PARAM!$B$56)/12,Loyalty,2)*$F$1*MAX(AX192,0)</f>
        <v>18.557001321003963</v>
      </c>
      <c r="AW193" s="75">
        <f>PARAM!$C$26+MAX($G$14-CHOOSE(PARAM!$B$44,MAX(0,AX192*$F$1),0),0)*RATES!$L169/12+$H$14*(PARAM!$D$51/12)*RATES!$N169/100</f>
        <v>11.740595594582548</v>
      </c>
      <c r="AX193" s="16">
        <f t="shared" si="123"/>
        <v>382.79975849294027</v>
      </c>
      <c r="AY193" s="15">
        <f t="shared" si="98"/>
        <v>22.170849845882874</v>
      </c>
      <c r="AZ193" s="75">
        <f>AY193*(1-PARAM!$C$27)*$I$15+(MOD($B193,60)=PARAM!$B$56)*($B193&gt;(60-PARAM!$B$56))*HLOOKUP(($B193+PARAM!$B$56)/12,Loyalty,2)*$F$1*MAX(BB192,0)</f>
        <v>18.557001321003963</v>
      </c>
      <c r="BA193" s="75">
        <f>PARAM!$C$26+MAX($G$15-CHOOSE(PARAM!$B$44,MAX(0,BB192*$F$1),0),0)*RATES!$L169/12+$H$15*(PARAM!$D$51/12)*RATES!$N169/100</f>
        <v>11.740595594582548</v>
      </c>
      <c r="BB193" s="16">
        <f t="shared" si="124"/>
        <v>382.79975849294027</v>
      </c>
      <c r="BC193" s="15">
        <f t="shared" si="99"/>
        <v>22.170849845882874</v>
      </c>
      <c r="BD193" s="75">
        <f>BC193*(1-PARAM!$C$27)*$I$16+(MOD($B193,60)=PARAM!$B$56)*($B193&gt;(60-PARAM!$B$56))*HLOOKUP(($B193+PARAM!$B$56)/12,Loyalty,2)*$F$1*MAX(BF192,0)</f>
        <v>18.557001321003963</v>
      </c>
      <c r="BE193" s="75">
        <f>PARAM!$C$26+MAX($G$16-CHOOSE(PARAM!$B$44,MAX(0,BF192*$F$1),0),0)*RATES!$L169/12+$H$16*(PARAM!$D$51/12)*RATES!$N169/100</f>
        <v>11.740595594582548</v>
      </c>
      <c r="BF193" s="16">
        <f t="shared" si="125"/>
        <v>382.79975849294027</v>
      </c>
      <c r="BG193" s="15">
        <f t="shared" si="100"/>
        <v>22.170849845882874</v>
      </c>
      <c r="BH193" s="75">
        <f>BG193*(1-PARAM!$C$27)*$I$17+(MOD($B193,60)=PARAM!$B$56)*($B193&gt;(60-PARAM!$B$56))*HLOOKUP(($B193+PARAM!$B$56)/12,Loyalty,2)*$F$1*MAX(BJ192,0)</f>
        <v>18.557001321003963</v>
      </c>
      <c r="BI193" s="75">
        <f>PARAM!$C$26+MAX($G$17-CHOOSE(PARAM!$B$44,MAX(0,BJ192*$F$1),0),0)*RATES!$L169/12+$H$17*(PARAM!$D$51/12)*RATES!$N169/100</f>
        <v>11.740595594582548</v>
      </c>
      <c r="BJ193" s="16">
        <f t="shared" si="126"/>
        <v>382.79975849294027</v>
      </c>
      <c r="BK193" s="15">
        <f t="shared" si="101"/>
        <v>22.170849845882874</v>
      </c>
      <c r="BL193" s="75">
        <f>BK193*(1-PARAM!$C$27)*$I$18+(MOD($B193,60)=PARAM!$B$56)*($B193&gt;(60-PARAM!$B$56))*HLOOKUP(($B193+PARAM!$B$56)/12,Loyalty,2)*$F$1*MAX(BN192,0)</f>
        <v>18.557001321003963</v>
      </c>
      <c r="BM193" s="75">
        <f>PARAM!$C$26+MAX($G$18-CHOOSE(PARAM!$B$44,MAX(0,BN192*$F$1),0),0)*RATES!$L169/12+$H$18*(PARAM!$D$51/12)*RATES!$N169/100</f>
        <v>11.740595594582548</v>
      </c>
      <c r="BN193" s="16">
        <f t="shared" si="127"/>
        <v>382.79975849294027</v>
      </c>
      <c r="BO193" s="15">
        <f t="shared" si="102"/>
        <v>22.170849845882874</v>
      </c>
      <c r="BP193" s="75">
        <f>BO193*(1-PARAM!$C$27)*$I$19+(MOD($B193,60)=PARAM!$B$56)*($B193&gt;(60-PARAM!$B$56))*HLOOKUP(($B193+PARAM!$B$56)/12,Loyalty,2)*$F$1*MAX(BR192,0)</f>
        <v>18.557001321003963</v>
      </c>
      <c r="BQ193" s="75">
        <f>PARAM!$C$26+MAX($G$19-CHOOSE(PARAM!$B$44,MAX(0,BR192*$F$1),0),0)*RATES!$L169/12+$H$19*(PARAM!$D$51/12)*RATES!$N169/100</f>
        <v>11.740595594582548</v>
      </c>
      <c r="BR193" s="16">
        <f t="shared" si="128"/>
        <v>382.79975849294027</v>
      </c>
      <c r="BS193" s="15">
        <f t="shared" si="103"/>
        <v>22.170849845882874</v>
      </c>
      <c r="BT193" s="75">
        <f>BS193*(1-PARAM!$C$27)*$I$20+(MOD($B193,60)=PARAM!$B$56)*($B193&gt;(60-PARAM!$B$56))*HLOOKUP(($B193+PARAM!$B$56)/12,Loyalty,2)*$F$1*MAX(BV192,0)</f>
        <v>18.557001321003963</v>
      </c>
      <c r="BU193" s="75">
        <f>PARAM!$C$26+MAX($G$20-CHOOSE(PARAM!$B$44,MAX(0,BV192*$F$1),0),0)*RATES!$L169/12+$H$20*(PARAM!$D$51/12)*RATES!$N169/100</f>
        <v>11.740595594582548</v>
      </c>
      <c r="BV193" s="16">
        <f t="shared" si="129"/>
        <v>382.79975849294027</v>
      </c>
      <c r="BW193" s="15">
        <f t="shared" si="104"/>
        <v>22.170849845882874</v>
      </c>
      <c r="BX193" s="75">
        <f>BW193*(1-PARAM!$C$27)*$I$21+(MOD($B193,60)=PARAM!$B$56)*($B193&gt;(60-PARAM!$B$56))*HLOOKUP(($B193+PARAM!$B$56)/12,Loyalty,2)*$F$1*MAX(BZ192,0)</f>
        <v>18.557001321003963</v>
      </c>
      <c r="BY193" s="75">
        <f>PARAM!$C$26+MAX($G$21-CHOOSE(PARAM!$B$44,MAX(0,BZ192*$F$1),0),0)*RATES!$L169/12+$H$21*(PARAM!$D$51/12)*RATES!$N169/100</f>
        <v>11.740595594582548</v>
      </c>
      <c r="BZ193" s="16">
        <f t="shared" si="130"/>
        <v>382.79975849294027</v>
      </c>
      <c r="CA193" s="15">
        <f t="shared" si="105"/>
        <v>22.170849845882874</v>
      </c>
      <c r="CB193" s="75">
        <f>CA193*(1-PARAM!$C$27)*$I$22+(MOD($B193,60)=PARAM!$B$56)*($B193&gt;(60-PARAM!$B$56))*HLOOKUP(($B193+PARAM!$B$56)/12,Loyalty,2)*$F$1*MAX(CD192,0)</f>
        <v>18.557001321003963</v>
      </c>
      <c r="CC193" s="75">
        <f>PARAM!$C$26+MAX($G$22-CHOOSE(PARAM!$B$44,MAX(0,CD192*$F$1),0),0)*RATES!$L169/12+$H$22*(PARAM!$D$51/12)*RATES!$N169/100</f>
        <v>11.740595594582548</v>
      </c>
      <c r="CD193" s="16">
        <f t="shared" si="131"/>
        <v>382.79975849294027</v>
      </c>
      <c r="CE193" s="33">
        <f>IF(0=MOD(B193,12/PARAM!$D$51),1,0)</f>
        <v>1</v>
      </c>
      <c r="CF193" s="15">
        <f t="shared" si="106"/>
        <v>0</v>
      </c>
      <c r="CG193" s="75">
        <f>CF193*(1-PARAM!$C$27)*$R$3+(MOD($B193/12,5)=0)*($B193&gt;60)*HLOOKUP($B193/12,Loyalty,2)*$F$1*MAX(CI192,0)</f>
        <v>0</v>
      </c>
      <c r="CH193" s="75">
        <f>PARAM!$C$26+MAX($P$3-CHOOSE(PARAM!$B$44,MAX(0,CI192*$F$1),0),0)*RATES!$L169/12+$Q$3*(PARAM!$D$51/12)*RATES!$N169/100</f>
        <v>11.791666666666668</v>
      </c>
      <c r="CI193" s="16">
        <f>IF(CI192&gt;0,CI192*PARAM!$C$53,CI192)+CG193-CH193</f>
        <v>-2504.4583333333294</v>
      </c>
      <c r="CJ193" s="15">
        <f t="shared" si="132"/>
        <v>0</v>
      </c>
      <c r="CK193" s="75">
        <f>CJ193*(1-PARAM!$C$27)*$R$4+(MOD($B193/12,5)=0)*($B193&gt;60)*HLOOKUP($B193/12,Loyalty,2)*$F$1*MAX(CM192,0)</f>
        <v>0</v>
      </c>
      <c r="CL193" s="75">
        <f>PARAM!$C$26+MAX($P$4-CHOOSE(PARAM!$B$44,MAX(0,CM192*$F$1),0),0)*RATES!$L169/12+$Q$4*(PARAM!$D$51/12)*RATES!$N169/100</f>
        <v>11.791666666666668</v>
      </c>
      <c r="CM193" s="16">
        <f>IF(CM192&gt;0,CM192*PARAM!$C$53,CM192)+CK193-CL193</f>
        <v>-2504.4583333333294</v>
      </c>
      <c r="CO193" s="176"/>
    </row>
    <row r="194" spans="1:93" x14ac:dyDescent="0.2">
      <c r="A194" t="b">
        <f t="shared" si="107"/>
        <v>1</v>
      </c>
      <c r="B194" s="33">
        <v>167</v>
      </c>
      <c r="C194" s="15">
        <f t="shared" si="108"/>
        <v>20.081305947392778</v>
      </c>
      <c r="D194" s="75">
        <f>C194*(1-PARAM!$C$27)*$I$3+(MOD($B194,60)=PARAM!$B$56)*($B194&gt;(60-PARAM!$B$56))*HLOOKUP(($B194+PARAM!$B$56)/12,Loyalty,2)*$F$1*MAX(F193,0)</f>
        <v>16.808053077967756</v>
      </c>
      <c r="E194" s="75">
        <f>PARAM!$C$26+MAX($G$3-CHOOSE(PARAM!$B$44,MAX(0,F193*$F$1),0),0)*RATES!$L170/12+$H$3*(PARAM!$D$51/12)*RATES!$N170/100</f>
        <v>11.776746732980858</v>
      </c>
      <c r="F194" s="16">
        <f t="shared" si="109"/>
        <v>114.87130893989591</v>
      </c>
      <c r="G194" s="15">
        <f t="shared" si="110"/>
        <v>22.035289406060361</v>
      </c>
      <c r="H194" s="75">
        <f>G194*(1-PARAM!$C$27)*$I$4+(MOD($B194,60)=PARAM!$B$56)*($B194&gt;(60-PARAM!$B$56))*HLOOKUP(($B194+PARAM!$B$56)/12,Loyalty,2)*$F$1*MAX(J193,0)</f>
        <v>18.443537232872522</v>
      </c>
      <c r="I194" s="75">
        <f>PARAM!$C$26+MAX($G$4-CHOOSE(PARAM!$B$44,MAX(0,J193*$F$1),0),0)*RATES!$L170/12+$H$4*(PARAM!$D$51/12)*RATES!$N170/100</f>
        <v>11.742077104500286</v>
      </c>
      <c r="J194" s="16">
        <f t="shared" si="111"/>
        <v>371.77799141460048</v>
      </c>
      <c r="K194" s="15">
        <f t="shared" si="112"/>
        <v>22.170849845882874</v>
      </c>
      <c r="L194" s="75">
        <f>K194*(1-PARAM!$C$27)*$I$5+(MOD($B194,60)=PARAM!$B$56)*($B194&gt;(60-PARAM!$B$56))*HLOOKUP(($B194+PARAM!$B$56)/12,Loyalty,2)*$F$1*MAX(N193,0)</f>
        <v>18.557001321003963</v>
      </c>
      <c r="M194" s="75">
        <f>PARAM!$C$26+MAX($G$5-CHOOSE(PARAM!$B$44,MAX(0,N193*$F$1),0),0)*RATES!$L170/12+$H$5*(PARAM!$D$51/12)*RATES!$N170/100</f>
        <v>11.739669699471374</v>
      </c>
      <c r="N194" s="16">
        <f t="shared" si="113"/>
        <v>389.61709011447283</v>
      </c>
      <c r="O194" s="15">
        <f t="shared" si="114"/>
        <v>22.170849845882874</v>
      </c>
      <c r="P194" s="75">
        <f>O194*(1-PARAM!$C$27)*$I$6+(MOD($B194,60)=PARAM!$B$56)*($B194&gt;(60-PARAM!$B$56))*HLOOKUP(($B194+PARAM!$B$56)/12,Loyalty,2)*$F$1*MAX(R193,0)</f>
        <v>18.557001321003963</v>
      </c>
      <c r="Q194" s="75">
        <f>PARAM!$C$26+MAX($G$6-CHOOSE(PARAM!$B$44,MAX(0,R193*$F$1),0),0)*RATES!$L170/12+$H$6*(PARAM!$D$51/12)*RATES!$N170/100</f>
        <v>11.739669699471374</v>
      </c>
      <c r="R194" s="16">
        <f t="shared" si="115"/>
        <v>389.61709011447283</v>
      </c>
      <c r="S194" s="15">
        <f t="shared" si="90"/>
        <v>22.170849845882874</v>
      </c>
      <c r="T194" s="75">
        <f>S194*(1-PARAM!$C$27)*$I$7+(MOD($B194,60)=PARAM!$B$56)*($B194&gt;(60-PARAM!$B$56))*HLOOKUP(($B194+PARAM!$B$56)/12,Loyalty,2)*$F$1*MAX(V193,0)</f>
        <v>18.557001321003963</v>
      </c>
      <c r="U194" s="75">
        <f>PARAM!$C$26+MAX($G$7-CHOOSE(PARAM!$B$44,MAX(0,V193*$F$1),0),0)*RATES!$L170/12+$H$7*(PARAM!$D$51/12)*RATES!$N170/100</f>
        <v>11.739669699471374</v>
      </c>
      <c r="V194" s="16">
        <f t="shared" si="116"/>
        <v>389.61709011447283</v>
      </c>
      <c r="W194" s="15">
        <f t="shared" si="91"/>
        <v>22.170849845882874</v>
      </c>
      <c r="X194" s="75">
        <f>W194*(1-PARAM!$C$27)*$I$8+(MOD($B194,60)=PARAM!$B$56)*($B194&gt;(60-PARAM!$B$56))*HLOOKUP(($B194+PARAM!$B$56)/12,Loyalty,2)*$F$1*MAX(Z193,0)</f>
        <v>18.557001321003963</v>
      </c>
      <c r="Y194" s="75">
        <f>PARAM!$C$26+MAX($G$8-CHOOSE(PARAM!$B$44,MAX(0,Z193*$F$1),0),0)*RATES!$L170/12+$H$8*(PARAM!$D$51/12)*RATES!$N170/100</f>
        <v>11.739669699471374</v>
      </c>
      <c r="Z194" s="16">
        <f t="shared" si="117"/>
        <v>389.61709011447283</v>
      </c>
      <c r="AA194" s="15">
        <f t="shared" si="92"/>
        <v>22.170849845882874</v>
      </c>
      <c r="AB194" s="75">
        <f>AA194*(1-PARAM!$C$27)*$I$9+(MOD($B194,60)=PARAM!$B$56)*($B194&gt;(60-PARAM!$B$56))*HLOOKUP(($B194+PARAM!$B$56)/12,Loyalty,2)*$F$1*MAX(AD193,0)</f>
        <v>18.557001321003963</v>
      </c>
      <c r="AC194" s="75">
        <f>PARAM!$C$26+MAX($G$9-CHOOSE(PARAM!$B$44,MAX(0,AD193*$F$1),0),0)*RATES!$L170/12+$H$9*(PARAM!$D$51/12)*RATES!$N170/100</f>
        <v>11.739669699471374</v>
      </c>
      <c r="AD194" s="16">
        <f t="shared" si="118"/>
        <v>389.61709011447283</v>
      </c>
      <c r="AE194" s="15">
        <f t="shared" si="93"/>
        <v>22.170849845882874</v>
      </c>
      <c r="AF194" s="75">
        <f>AE194*(1-PARAM!$C$27)*$I$10+(MOD($B194,60)=PARAM!$B$56)*($B194&gt;(60-PARAM!$B$56))*HLOOKUP(($B194+PARAM!$B$56)/12,Loyalty,2)*$F$1*MAX(AH193,0)</f>
        <v>18.557001321003963</v>
      </c>
      <c r="AG194" s="75">
        <f>PARAM!$C$26+MAX($G$10-CHOOSE(PARAM!$B$44,MAX(0,AH193*$F$1),0),0)*RATES!$L170/12+$H$10*(PARAM!$D$51/12)*RATES!$N170/100</f>
        <v>11.739669699471374</v>
      </c>
      <c r="AH194" s="16">
        <f t="shared" si="119"/>
        <v>389.61709011447283</v>
      </c>
      <c r="AI194" s="15">
        <f t="shared" si="94"/>
        <v>22.170849845882874</v>
      </c>
      <c r="AJ194" s="75">
        <f>AI194*(1-PARAM!$C$27)*$I$11+(MOD($B194,60)=PARAM!$B$56)*($B194&gt;(60-PARAM!$B$56))*HLOOKUP(($B194+PARAM!$B$56)/12,Loyalty,2)*$F$1*MAX(AL193,0)</f>
        <v>18.557001321003963</v>
      </c>
      <c r="AK194" s="75">
        <f>PARAM!$C$26+MAX($G$11-CHOOSE(PARAM!$B$44,MAX(0,AL193*$F$1),0),0)*RATES!$L170/12+$H$11*(PARAM!$D$51/12)*RATES!$N170/100</f>
        <v>11.739669699471374</v>
      </c>
      <c r="AL194" s="16">
        <f t="shared" si="120"/>
        <v>389.61709011447283</v>
      </c>
      <c r="AM194" s="15">
        <f t="shared" si="95"/>
        <v>22.170849845882874</v>
      </c>
      <c r="AN194" s="75">
        <f>AM194*(1-PARAM!$C$27)*$I$12+(MOD($B194,60)=PARAM!$B$56)*($B194&gt;(60-PARAM!$B$56))*HLOOKUP(($B194+PARAM!$B$56)/12,Loyalty,2)*$F$1*MAX(AP193,0)</f>
        <v>18.557001321003963</v>
      </c>
      <c r="AO194" s="75">
        <f>PARAM!$C$26+MAX($G$12-CHOOSE(PARAM!$B$44,MAX(0,AP193*$F$1),0),0)*RATES!$L170/12+$H$12*(PARAM!$D$51/12)*RATES!$N170/100</f>
        <v>11.739669699471374</v>
      </c>
      <c r="AP194" s="16">
        <f t="shared" si="121"/>
        <v>389.61709011447283</v>
      </c>
      <c r="AQ194" s="15">
        <f t="shared" si="96"/>
        <v>22.170849845882874</v>
      </c>
      <c r="AR194" s="75">
        <f>AQ194*(1-PARAM!$C$27)*$I$13+(MOD($B194,60)=PARAM!$B$56)*($B194&gt;(60-PARAM!$B$56))*HLOOKUP(($B194+PARAM!$B$56)/12,Loyalty,2)*$F$1*MAX(AT193,0)</f>
        <v>18.557001321003963</v>
      </c>
      <c r="AS194" s="75">
        <f>PARAM!$C$26+MAX($G$13-CHOOSE(PARAM!$B$44,MAX(0,AT193*$F$1),0),0)*RATES!$L170/12+$H$13*(PARAM!$D$51/12)*RATES!$N170/100</f>
        <v>11.739669699471374</v>
      </c>
      <c r="AT194" s="16">
        <f t="shared" si="122"/>
        <v>389.61709011447283</v>
      </c>
      <c r="AU194" s="15">
        <f t="shared" si="97"/>
        <v>22.170849845882874</v>
      </c>
      <c r="AV194" s="75">
        <f>AU194*(1-PARAM!$C$27)*$I$14+(MOD($B194,60)=PARAM!$B$56)*($B194&gt;(60-PARAM!$B$56))*HLOOKUP(($B194+PARAM!$B$56)/12,Loyalty,2)*$F$1*MAX(AX193,0)</f>
        <v>18.557001321003963</v>
      </c>
      <c r="AW194" s="75">
        <f>PARAM!$C$26+MAX($G$14-CHOOSE(PARAM!$B$44,MAX(0,AX193*$F$1),0),0)*RATES!$L170/12+$H$14*(PARAM!$D$51/12)*RATES!$N170/100</f>
        <v>11.739669699471374</v>
      </c>
      <c r="AX194" s="16">
        <f t="shared" si="123"/>
        <v>389.61709011447283</v>
      </c>
      <c r="AY194" s="15">
        <f t="shared" si="98"/>
        <v>22.170849845882874</v>
      </c>
      <c r="AZ194" s="75">
        <f>AY194*(1-PARAM!$C$27)*$I$15+(MOD($B194,60)=PARAM!$B$56)*($B194&gt;(60-PARAM!$B$56))*HLOOKUP(($B194+PARAM!$B$56)/12,Loyalty,2)*$F$1*MAX(BB193,0)</f>
        <v>18.557001321003963</v>
      </c>
      <c r="BA194" s="75">
        <f>PARAM!$C$26+MAX($G$15-CHOOSE(PARAM!$B$44,MAX(0,BB193*$F$1),0),0)*RATES!$L170/12+$H$15*(PARAM!$D$51/12)*RATES!$N170/100</f>
        <v>11.739669699471374</v>
      </c>
      <c r="BB194" s="16">
        <f t="shared" si="124"/>
        <v>389.61709011447283</v>
      </c>
      <c r="BC194" s="15">
        <f t="shared" si="99"/>
        <v>22.170849845882874</v>
      </c>
      <c r="BD194" s="75">
        <f>BC194*(1-PARAM!$C$27)*$I$16+(MOD($B194,60)=PARAM!$B$56)*($B194&gt;(60-PARAM!$B$56))*HLOOKUP(($B194+PARAM!$B$56)/12,Loyalty,2)*$F$1*MAX(BF193,0)</f>
        <v>18.557001321003963</v>
      </c>
      <c r="BE194" s="75">
        <f>PARAM!$C$26+MAX($G$16-CHOOSE(PARAM!$B$44,MAX(0,BF193*$F$1),0),0)*RATES!$L170/12+$H$16*(PARAM!$D$51/12)*RATES!$N170/100</f>
        <v>11.739669699471374</v>
      </c>
      <c r="BF194" s="16">
        <f t="shared" si="125"/>
        <v>389.61709011447283</v>
      </c>
      <c r="BG194" s="15">
        <f t="shared" si="100"/>
        <v>22.170849845882874</v>
      </c>
      <c r="BH194" s="75">
        <f>BG194*(1-PARAM!$C$27)*$I$17+(MOD($B194,60)=PARAM!$B$56)*($B194&gt;(60-PARAM!$B$56))*HLOOKUP(($B194+PARAM!$B$56)/12,Loyalty,2)*$F$1*MAX(BJ193,0)</f>
        <v>18.557001321003963</v>
      </c>
      <c r="BI194" s="75">
        <f>PARAM!$C$26+MAX($G$17-CHOOSE(PARAM!$B$44,MAX(0,BJ193*$F$1),0),0)*RATES!$L170/12+$H$17*(PARAM!$D$51/12)*RATES!$N170/100</f>
        <v>11.739669699471374</v>
      </c>
      <c r="BJ194" s="16">
        <f t="shared" si="126"/>
        <v>389.61709011447283</v>
      </c>
      <c r="BK194" s="15">
        <f t="shared" si="101"/>
        <v>22.170849845882874</v>
      </c>
      <c r="BL194" s="75">
        <f>BK194*(1-PARAM!$C$27)*$I$18+(MOD($B194,60)=PARAM!$B$56)*($B194&gt;(60-PARAM!$B$56))*HLOOKUP(($B194+PARAM!$B$56)/12,Loyalty,2)*$F$1*MAX(BN193,0)</f>
        <v>18.557001321003963</v>
      </c>
      <c r="BM194" s="75">
        <f>PARAM!$C$26+MAX($G$18-CHOOSE(PARAM!$B$44,MAX(0,BN193*$F$1),0),0)*RATES!$L170/12+$H$18*(PARAM!$D$51/12)*RATES!$N170/100</f>
        <v>11.739669699471374</v>
      </c>
      <c r="BN194" s="16">
        <f t="shared" si="127"/>
        <v>389.61709011447283</v>
      </c>
      <c r="BO194" s="15">
        <f t="shared" si="102"/>
        <v>22.170849845882874</v>
      </c>
      <c r="BP194" s="75">
        <f>BO194*(1-PARAM!$C$27)*$I$19+(MOD($B194,60)=PARAM!$B$56)*($B194&gt;(60-PARAM!$B$56))*HLOOKUP(($B194+PARAM!$B$56)/12,Loyalty,2)*$F$1*MAX(BR193,0)</f>
        <v>18.557001321003963</v>
      </c>
      <c r="BQ194" s="75">
        <f>PARAM!$C$26+MAX($G$19-CHOOSE(PARAM!$B$44,MAX(0,BR193*$F$1),0),0)*RATES!$L170/12+$H$19*(PARAM!$D$51/12)*RATES!$N170/100</f>
        <v>11.739669699471374</v>
      </c>
      <c r="BR194" s="16">
        <f t="shared" si="128"/>
        <v>389.61709011447283</v>
      </c>
      <c r="BS194" s="15">
        <f t="shared" si="103"/>
        <v>22.170849845882874</v>
      </c>
      <c r="BT194" s="75">
        <f>BS194*(1-PARAM!$C$27)*$I$20+(MOD($B194,60)=PARAM!$B$56)*($B194&gt;(60-PARAM!$B$56))*HLOOKUP(($B194+PARAM!$B$56)/12,Loyalty,2)*$F$1*MAX(BV193,0)</f>
        <v>18.557001321003963</v>
      </c>
      <c r="BU194" s="75">
        <f>PARAM!$C$26+MAX($G$20-CHOOSE(PARAM!$B$44,MAX(0,BV193*$F$1),0),0)*RATES!$L170/12+$H$20*(PARAM!$D$51/12)*RATES!$N170/100</f>
        <v>11.739669699471374</v>
      </c>
      <c r="BV194" s="16">
        <f t="shared" si="129"/>
        <v>389.61709011447283</v>
      </c>
      <c r="BW194" s="15">
        <f t="shared" si="104"/>
        <v>22.170849845882874</v>
      </c>
      <c r="BX194" s="75">
        <f>BW194*(1-PARAM!$C$27)*$I$21+(MOD($B194,60)=PARAM!$B$56)*($B194&gt;(60-PARAM!$B$56))*HLOOKUP(($B194+PARAM!$B$56)/12,Loyalty,2)*$F$1*MAX(BZ193,0)</f>
        <v>18.557001321003963</v>
      </c>
      <c r="BY194" s="75">
        <f>PARAM!$C$26+MAX($G$21-CHOOSE(PARAM!$B$44,MAX(0,BZ193*$F$1),0),0)*RATES!$L170/12+$H$21*(PARAM!$D$51/12)*RATES!$N170/100</f>
        <v>11.739669699471374</v>
      </c>
      <c r="BZ194" s="16">
        <f t="shared" si="130"/>
        <v>389.61709011447283</v>
      </c>
      <c r="CA194" s="15">
        <f t="shared" si="105"/>
        <v>22.170849845882874</v>
      </c>
      <c r="CB194" s="75">
        <f>CA194*(1-PARAM!$C$27)*$I$22+(MOD($B194,60)=PARAM!$B$56)*($B194&gt;(60-PARAM!$B$56))*HLOOKUP(($B194+PARAM!$B$56)/12,Loyalty,2)*$F$1*MAX(CD193,0)</f>
        <v>18.557001321003963</v>
      </c>
      <c r="CC194" s="75">
        <f>PARAM!$C$26+MAX($G$22-CHOOSE(PARAM!$B$44,MAX(0,CD193*$F$1),0),0)*RATES!$L170/12+$H$22*(PARAM!$D$51/12)*RATES!$N170/100</f>
        <v>11.739669699471374</v>
      </c>
      <c r="CD194" s="16">
        <f t="shared" si="131"/>
        <v>389.61709011447283</v>
      </c>
      <c r="CE194" s="33">
        <f>IF(0=MOD(B194,12/PARAM!$D$51),1,0)</f>
        <v>1</v>
      </c>
      <c r="CF194" s="15">
        <f t="shared" si="106"/>
        <v>0</v>
      </c>
      <c r="CG194" s="75">
        <f>CF194*(1-PARAM!$C$27)*$R$3+(MOD($B194/12,5)=0)*($B194&gt;60)*HLOOKUP($B194/12,Loyalty,2)*$F$1*MAX(CI193,0)</f>
        <v>0</v>
      </c>
      <c r="CH194" s="75">
        <f>PARAM!$C$26+MAX($P$3-CHOOSE(PARAM!$B$44,MAX(0,CI193*$F$1),0),0)*RATES!$L170/12+$Q$3*(PARAM!$D$51/12)*RATES!$N170/100</f>
        <v>11.791666666666668</v>
      </c>
      <c r="CI194" s="16">
        <f>IF(CI193&gt;0,CI193*PARAM!$C$53,CI193)+CG194-CH194</f>
        <v>-2516.2499999999959</v>
      </c>
      <c r="CJ194" s="15">
        <f t="shared" si="132"/>
        <v>0</v>
      </c>
      <c r="CK194" s="75">
        <f>CJ194*(1-PARAM!$C$27)*$R$4+(MOD($B194/12,5)=0)*($B194&gt;60)*HLOOKUP($B194/12,Loyalty,2)*$F$1*MAX(CM193,0)</f>
        <v>0</v>
      </c>
      <c r="CL194" s="75">
        <f>PARAM!$C$26+MAX($P$4-CHOOSE(PARAM!$B$44,MAX(0,CM193*$F$1),0),0)*RATES!$L170/12+$Q$4*(PARAM!$D$51/12)*RATES!$N170/100</f>
        <v>11.791666666666668</v>
      </c>
      <c r="CM194" s="16">
        <f>IF(CM193&gt;0,CM193*PARAM!$C$53,CM193)+CK194-CL194</f>
        <v>-2516.2499999999959</v>
      </c>
      <c r="CO194" s="176"/>
    </row>
    <row r="195" spans="1:93" x14ac:dyDescent="0.2">
      <c r="A195" t="b">
        <f t="shared" si="107"/>
        <v>1</v>
      </c>
      <c r="B195" s="33">
        <v>168</v>
      </c>
      <c r="C195" s="15">
        <f t="shared" si="108"/>
        <v>20.081305947392778</v>
      </c>
      <c r="D195" s="75">
        <f>C195*(1-PARAM!$C$27)*$I$3+(MOD($B195,60)=PARAM!$B$56)*($B195&gt;(60-PARAM!$B$56))*HLOOKUP(($B195+PARAM!$B$56)/12,Loyalty,2)*$F$1*MAX(F194,0)</f>
        <v>16.808053077967756</v>
      </c>
      <c r="E195" s="75">
        <f>PARAM!$C$26+MAX($G$3-CHOOSE(PARAM!$B$44,MAX(0,F194*$F$1),0),0)*RATES!$L171/12+$H$3*(PARAM!$D$51/12)*RATES!$N171/100</f>
        <v>11.776063313868999</v>
      </c>
      <c r="F195" s="16">
        <f t="shared" si="109"/>
        <v>119.90329870399466</v>
      </c>
      <c r="G195" s="15">
        <f t="shared" si="110"/>
        <v>22.035289406060361</v>
      </c>
      <c r="H195" s="75">
        <f>G195*(1-PARAM!$C$27)*$I$4+(MOD($B195,60)=PARAM!$B$56)*($B195&gt;(60-PARAM!$B$56))*HLOOKUP(($B195+PARAM!$B$56)/12,Loyalty,2)*$F$1*MAX(J194,0)</f>
        <v>18.443537232872522</v>
      </c>
      <c r="I195" s="75">
        <f>PARAM!$C$26+MAX($G$4-CHOOSE(PARAM!$B$44,MAX(0,J194*$F$1),0),0)*RATES!$L171/12+$H$4*(PARAM!$D$51/12)*RATES!$N171/100</f>
        <v>11.741166822832849</v>
      </c>
      <c r="J195" s="16">
        <f t="shared" si="111"/>
        <v>378.48036182464017</v>
      </c>
      <c r="K195" s="15">
        <f t="shared" si="112"/>
        <v>22.170849845882874</v>
      </c>
      <c r="L195" s="75">
        <f>K195*(1-PARAM!$C$27)*$I$5+(MOD($B195,60)=PARAM!$B$56)*($B195&gt;(60-PARAM!$B$56))*HLOOKUP(($B195+PARAM!$B$56)/12,Loyalty,2)*$F$1*MAX(N194,0)</f>
        <v>18.557001321003963</v>
      </c>
      <c r="M195" s="75">
        <f>PARAM!$C$26+MAX($G$5-CHOOSE(PARAM!$B$44,MAX(0,N194*$F$1),0),0)*RATES!$L171/12+$H$5*(PARAM!$D$51/12)*RATES!$N171/100</f>
        <v>11.738743678592783</v>
      </c>
      <c r="N195" s="16">
        <f t="shared" si="113"/>
        <v>396.43534775688397</v>
      </c>
      <c r="O195" s="15">
        <f t="shared" si="114"/>
        <v>22.170849845882874</v>
      </c>
      <c r="P195" s="75">
        <f>O195*(1-PARAM!$C$27)*$I$6+(MOD($B195,60)=PARAM!$B$56)*($B195&gt;(60-PARAM!$B$56))*HLOOKUP(($B195+PARAM!$B$56)/12,Loyalty,2)*$F$1*MAX(R194,0)</f>
        <v>18.557001321003963</v>
      </c>
      <c r="Q195" s="75">
        <f>PARAM!$C$26+MAX($G$6-CHOOSE(PARAM!$B$44,MAX(0,R194*$F$1),0),0)*RATES!$L171/12+$H$6*(PARAM!$D$51/12)*RATES!$N171/100</f>
        <v>11.738743678592783</v>
      </c>
      <c r="R195" s="16">
        <f t="shared" si="115"/>
        <v>396.43534775688397</v>
      </c>
      <c r="S195" s="15">
        <f t="shared" si="90"/>
        <v>22.170849845882874</v>
      </c>
      <c r="T195" s="75">
        <f>S195*(1-PARAM!$C$27)*$I$7+(MOD($B195,60)=PARAM!$B$56)*($B195&gt;(60-PARAM!$B$56))*HLOOKUP(($B195+PARAM!$B$56)/12,Loyalty,2)*$F$1*MAX(V194,0)</f>
        <v>18.557001321003963</v>
      </c>
      <c r="U195" s="75">
        <f>PARAM!$C$26+MAX($G$7-CHOOSE(PARAM!$B$44,MAX(0,V194*$F$1),0),0)*RATES!$L171/12+$H$7*(PARAM!$D$51/12)*RATES!$N171/100</f>
        <v>11.738743678592783</v>
      </c>
      <c r="V195" s="16">
        <f t="shared" si="116"/>
        <v>396.43534775688397</v>
      </c>
      <c r="W195" s="15">
        <f t="shared" si="91"/>
        <v>22.170849845882874</v>
      </c>
      <c r="X195" s="75">
        <f>W195*(1-PARAM!$C$27)*$I$8+(MOD($B195,60)=PARAM!$B$56)*($B195&gt;(60-PARAM!$B$56))*HLOOKUP(($B195+PARAM!$B$56)/12,Loyalty,2)*$F$1*MAX(Z194,0)</f>
        <v>18.557001321003963</v>
      </c>
      <c r="Y195" s="75">
        <f>PARAM!$C$26+MAX($G$8-CHOOSE(PARAM!$B$44,MAX(0,Z194*$F$1),0),0)*RATES!$L171/12+$H$8*(PARAM!$D$51/12)*RATES!$N171/100</f>
        <v>11.738743678592783</v>
      </c>
      <c r="Z195" s="16">
        <f t="shared" si="117"/>
        <v>396.43534775688397</v>
      </c>
      <c r="AA195" s="15">
        <f t="shared" si="92"/>
        <v>22.170849845882874</v>
      </c>
      <c r="AB195" s="75">
        <f>AA195*(1-PARAM!$C$27)*$I$9+(MOD($B195,60)=PARAM!$B$56)*($B195&gt;(60-PARAM!$B$56))*HLOOKUP(($B195+PARAM!$B$56)/12,Loyalty,2)*$F$1*MAX(AD194,0)</f>
        <v>18.557001321003963</v>
      </c>
      <c r="AC195" s="75">
        <f>PARAM!$C$26+MAX($G$9-CHOOSE(PARAM!$B$44,MAX(0,AD194*$F$1),0),0)*RATES!$L171/12+$H$9*(PARAM!$D$51/12)*RATES!$N171/100</f>
        <v>11.738743678592783</v>
      </c>
      <c r="AD195" s="16">
        <f t="shared" si="118"/>
        <v>396.43534775688397</v>
      </c>
      <c r="AE195" s="15">
        <f t="shared" si="93"/>
        <v>22.170849845882874</v>
      </c>
      <c r="AF195" s="75">
        <f>AE195*(1-PARAM!$C$27)*$I$10+(MOD($B195,60)=PARAM!$B$56)*($B195&gt;(60-PARAM!$B$56))*HLOOKUP(($B195+PARAM!$B$56)/12,Loyalty,2)*$F$1*MAX(AH194,0)</f>
        <v>18.557001321003963</v>
      </c>
      <c r="AG195" s="75">
        <f>PARAM!$C$26+MAX($G$10-CHOOSE(PARAM!$B$44,MAX(0,AH194*$F$1),0),0)*RATES!$L171/12+$H$10*(PARAM!$D$51/12)*RATES!$N171/100</f>
        <v>11.738743678592783</v>
      </c>
      <c r="AH195" s="16">
        <f t="shared" si="119"/>
        <v>396.43534775688397</v>
      </c>
      <c r="AI195" s="15">
        <f t="shared" si="94"/>
        <v>22.170849845882874</v>
      </c>
      <c r="AJ195" s="75">
        <f>AI195*(1-PARAM!$C$27)*$I$11+(MOD($B195,60)=PARAM!$B$56)*($B195&gt;(60-PARAM!$B$56))*HLOOKUP(($B195+PARAM!$B$56)/12,Loyalty,2)*$F$1*MAX(AL194,0)</f>
        <v>18.557001321003963</v>
      </c>
      <c r="AK195" s="75">
        <f>PARAM!$C$26+MAX($G$11-CHOOSE(PARAM!$B$44,MAX(0,AL194*$F$1),0),0)*RATES!$L171/12+$H$11*(PARAM!$D$51/12)*RATES!$N171/100</f>
        <v>11.738743678592783</v>
      </c>
      <c r="AL195" s="16">
        <f t="shared" si="120"/>
        <v>396.43534775688397</v>
      </c>
      <c r="AM195" s="15">
        <f t="shared" si="95"/>
        <v>22.170849845882874</v>
      </c>
      <c r="AN195" s="75">
        <f>AM195*(1-PARAM!$C$27)*$I$12+(MOD($B195,60)=PARAM!$B$56)*($B195&gt;(60-PARAM!$B$56))*HLOOKUP(($B195+PARAM!$B$56)/12,Loyalty,2)*$F$1*MAX(AP194,0)</f>
        <v>18.557001321003963</v>
      </c>
      <c r="AO195" s="75">
        <f>PARAM!$C$26+MAX($G$12-CHOOSE(PARAM!$B$44,MAX(0,AP194*$F$1),0),0)*RATES!$L171/12+$H$12*(PARAM!$D$51/12)*RATES!$N171/100</f>
        <v>11.738743678592783</v>
      </c>
      <c r="AP195" s="16">
        <f t="shared" si="121"/>
        <v>396.43534775688397</v>
      </c>
      <c r="AQ195" s="15">
        <f t="shared" si="96"/>
        <v>22.170849845882874</v>
      </c>
      <c r="AR195" s="75">
        <f>AQ195*(1-PARAM!$C$27)*$I$13+(MOD($B195,60)=PARAM!$B$56)*($B195&gt;(60-PARAM!$B$56))*HLOOKUP(($B195+PARAM!$B$56)/12,Loyalty,2)*$F$1*MAX(AT194,0)</f>
        <v>18.557001321003963</v>
      </c>
      <c r="AS195" s="75">
        <f>PARAM!$C$26+MAX($G$13-CHOOSE(PARAM!$B$44,MAX(0,AT194*$F$1),0),0)*RATES!$L171/12+$H$13*(PARAM!$D$51/12)*RATES!$N171/100</f>
        <v>11.738743678592783</v>
      </c>
      <c r="AT195" s="16">
        <f t="shared" si="122"/>
        <v>396.43534775688397</v>
      </c>
      <c r="AU195" s="15">
        <f t="shared" si="97"/>
        <v>22.170849845882874</v>
      </c>
      <c r="AV195" s="75">
        <f>AU195*(1-PARAM!$C$27)*$I$14+(MOD($B195,60)=PARAM!$B$56)*($B195&gt;(60-PARAM!$B$56))*HLOOKUP(($B195+PARAM!$B$56)/12,Loyalty,2)*$F$1*MAX(AX194,0)</f>
        <v>18.557001321003963</v>
      </c>
      <c r="AW195" s="75">
        <f>PARAM!$C$26+MAX($G$14-CHOOSE(PARAM!$B$44,MAX(0,AX194*$F$1),0),0)*RATES!$L171/12+$H$14*(PARAM!$D$51/12)*RATES!$N171/100</f>
        <v>11.738743678592783</v>
      </c>
      <c r="AX195" s="16">
        <f t="shared" si="123"/>
        <v>396.43534775688397</v>
      </c>
      <c r="AY195" s="15">
        <f t="shared" si="98"/>
        <v>22.170849845882874</v>
      </c>
      <c r="AZ195" s="75">
        <f>AY195*(1-PARAM!$C$27)*$I$15+(MOD($B195,60)=PARAM!$B$56)*($B195&gt;(60-PARAM!$B$56))*HLOOKUP(($B195+PARAM!$B$56)/12,Loyalty,2)*$F$1*MAX(BB194,0)</f>
        <v>18.557001321003963</v>
      </c>
      <c r="BA195" s="75">
        <f>PARAM!$C$26+MAX($G$15-CHOOSE(PARAM!$B$44,MAX(0,BB194*$F$1),0),0)*RATES!$L171/12+$H$15*(PARAM!$D$51/12)*RATES!$N171/100</f>
        <v>11.738743678592783</v>
      </c>
      <c r="BB195" s="16">
        <f t="shared" si="124"/>
        <v>396.43534775688397</v>
      </c>
      <c r="BC195" s="15">
        <f t="shared" si="99"/>
        <v>22.170849845882874</v>
      </c>
      <c r="BD195" s="75">
        <f>BC195*(1-PARAM!$C$27)*$I$16+(MOD($B195,60)=PARAM!$B$56)*($B195&gt;(60-PARAM!$B$56))*HLOOKUP(($B195+PARAM!$B$56)/12,Loyalty,2)*$F$1*MAX(BF194,0)</f>
        <v>18.557001321003963</v>
      </c>
      <c r="BE195" s="75">
        <f>PARAM!$C$26+MAX($G$16-CHOOSE(PARAM!$B$44,MAX(0,BF194*$F$1),0),0)*RATES!$L171/12+$H$16*(PARAM!$D$51/12)*RATES!$N171/100</f>
        <v>11.738743678592783</v>
      </c>
      <c r="BF195" s="16">
        <f t="shared" si="125"/>
        <v>396.43534775688397</v>
      </c>
      <c r="BG195" s="15">
        <f t="shared" si="100"/>
        <v>22.170849845882874</v>
      </c>
      <c r="BH195" s="75">
        <f>BG195*(1-PARAM!$C$27)*$I$17+(MOD($B195,60)=PARAM!$B$56)*($B195&gt;(60-PARAM!$B$56))*HLOOKUP(($B195+PARAM!$B$56)/12,Loyalty,2)*$F$1*MAX(BJ194,0)</f>
        <v>18.557001321003963</v>
      </c>
      <c r="BI195" s="75">
        <f>PARAM!$C$26+MAX($G$17-CHOOSE(PARAM!$B$44,MAX(0,BJ194*$F$1),0),0)*RATES!$L171/12+$H$17*(PARAM!$D$51/12)*RATES!$N171/100</f>
        <v>11.738743678592783</v>
      </c>
      <c r="BJ195" s="16">
        <f t="shared" si="126"/>
        <v>396.43534775688397</v>
      </c>
      <c r="BK195" s="15">
        <f t="shared" si="101"/>
        <v>22.170849845882874</v>
      </c>
      <c r="BL195" s="75">
        <f>BK195*(1-PARAM!$C$27)*$I$18+(MOD($B195,60)=PARAM!$B$56)*($B195&gt;(60-PARAM!$B$56))*HLOOKUP(($B195+PARAM!$B$56)/12,Loyalty,2)*$F$1*MAX(BN194,0)</f>
        <v>18.557001321003963</v>
      </c>
      <c r="BM195" s="75">
        <f>PARAM!$C$26+MAX($G$18-CHOOSE(PARAM!$B$44,MAX(0,BN194*$F$1),0),0)*RATES!$L171/12+$H$18*(PARAM!$D$51/12)*RATES!$N171/100</f>
        <v>11.738743678592783</v>
      </c>
      <c r="BN195" s="16">
        <f t="shared" si="127"/>
        <v>396.43534775688397</v>
      </c>
      <c r="BO195" s="15">
        <f t="shared" si="102"/>
        <v>22.170849845882874</v>
      </c>
      <c r="BP195" s="75">
        <f>BO195*(1-PARAM!$C$27)*$I$19+(MOD($B195,60)=PARAM!$B$56)*($B195&gt;(60-PARAM!$B$56))*HLOOKUP(($B195+PARAM!$B$56)/12,Loyalty,2)*$F$1*MAX(BR194,0)</f>
        <v>18.557001321003963</v>
      </c>
      <c r="BQ195" s="75">
        <f>PARAM!$C$26+MAX($G$19-CHOOSE(PARAM!$B$44,MAX(0,BR194*$F$1),0),0)*RATES!$L171/12+$H$19*(PARAM!$D$51/12)*RATES!$N171/100</f>
        <v>11.738743678592783</v>
      </c>
      <c r="BR195" s="16">
        <f t="shared" si="128"/>
        <v>396.43534775688397</v>
      </c>
      <c r="BS195" s="15">
        <f t="shared" si="103"/>
        <v>22.170849845882874</v>
      </c>
      <c r="BT195" s="75">
        <f>BS195*(1-PARAM!$C$27)*$I$20+(MOD($B195,60)=PARAM!$B$56)*($B195&gt;(60-PARAM!$B$56))*HLOOKUP(($B195+PARAM!$B$56)/12,Loyalty,2)*$F$1*MAX(BV194,0)</f>
        <v>18.557001321003963</v>
      </c>
      <c r="BU195" s="75">
        <f>PARAM!$C$26+MAX($G$20-CHOOSE(PARAM!$B$44,MAX(0,BV194*$F$1),0),0)*RATES!$L171/12+$H$20*(PARAM!$D$51/12)*RATES!$N171/100</f>
        <v>11.738743678592783</v>
      </c>
      <c r="BV195" s="16">
        <f t="shared" si="129"/>
        <v>396.43534775688397</v>
      </c>
      <c r="BW195" s="15">
        <f t="shared" si="104"/>
        <v>22.170849845882874</v>
      </c>
      <c r="BX195" s="75">
        <f>BW195*(1-PARAM!$C$27)*$I$21+(MOD($B195,60)=PARAM!$B$56)*($B195&gt;(60-PARAM!$B$56))*HLOOKUP(($B195+PARAM!$B$56)/12,Loyalty,2)*$F$1*MAX(BZ194,0)</f>
        <v>18.557001321003963</v>
      </c>
      <c r="BY195" s="75">
        <f>PARAM!$C$26+MAX($G$21-CHOOSE(PARAM!$B$44,MAX(0,BZ194*$F$1),0),0)*RATES!$L171/12+$H$21*(PARAM!$D$51/12)*RATES!$N171/100</f>
        <v>11.738743678592783</v>
      </c>
      <c r="BZ195" s="16">
        <f t="shared" si="130"/>
        <v>396.43534775688397</v>
      </c>
      <c r="CA195" s="15">
        <f t="shared" si="105"/>
        <v>22.170849845882874</v>
      </c>
      <c r="CB195" s="75">
        <f>CA195*(1-PARAM!$C$27)*$I$22+(MOD($B195,60)=PARAM!$B$56)*($B195&gt;(60-PARAM!$B$56))*HLOOKUP(($B195+PARAM!$B$56)/12,Loyalty,2)*$F$1*MAX(CD194,0)</f>
        <v>18.557001321003963</v>
      </c>
      <c r="CC195" s="75">
        <f>PARAM!$C$26+MAX($G$22-CHOOSE(PARAM!$B$44,MAX(0,CD194*$F$1),0),0)*RATES!$L171/12+$H$22*(PARAM!$D$51/12)*RATES!$N171/100</f>
        <v>11.738743678592783</v>
      </c>
      <c r="CD195" s="16">
        <f t="shared" si="131"/>
        <v>396.43534775688397</v>
      </c>
      <c r="CE195" s="33">
        <f>IF(0=MOD(B195,12/PARAM!$D$51),1,0)</f>
        <v>1</v>
      </c>
      <c r="CF195" s="15">
        <f t="shared" si="106"/>
        <v>0</v>
      </c>
      <c r="CG195" s="75">
        <f>CF195*(1-PARAM!$C$27)*$R$3+(MOD($B195/12,5)=0)*($B195&gt;60)*HLOOKUP($B195/12,Loyalty,2)*$F$1*MAX(CI194,0)</f>
        <v>0</v>
      </c>
      <c r="CH195" s="75">
        <f>PARAM!$C$26+MAX($P$3-CHOOSE(PARAM!$B$44,MAX(0,CI194*$F$1),0),0)*RATES!$L171/12+$Q$3*(PARAM!$D$51/12)*RATES!$N171/100</f>
        <v>11.791666666666668</v>
      </c>
      <c r="CI195" s="16">
        <f>IF(CI194&gt;0,CI194*PARAM!$C$53,CI194)+CG195-CH195</f>
        <v>-2528.0416666666624</v>
      </c>
      <c r="CJ195" s="15">
        <f t="shared" si="132"/>
        <v>0</v>
      </c>
      <c r="CK195" s="75">
        <f>CJ195*(1-PARAM!$C$27)*$R$4+(MOD($B195/12,5)=0)*($B195&gt;60)*HLOOKUP($B195/12,Loyalty,2)*$F$1*MAX(CM194,0)</f>
        <v>0</v>
      </c>
      <c r="CL195" s="75">
        <f>PARAM!$C$26+MAX($P$4-CHOOSE(PARAM!$B$44,MAX(0,CM194*$F$1),0),0)*RATES!$L171/12+$Q$4*(PARAM!$D$51/12)*RATES!$N171/100</f>
        <v>11.791666666666668</v>
      </c>
      <c r="CM195" s="16">
        <f>IF(CM194&gt;0,CM194*PARAM!$C$53,CM194)+CK195-CL195</f>
        <v>-2528.0416666666624</v>
      </c>
      <c r="CO195" s="176"/>
    </row>
    <row r="196" spans="1:93" x14ac:dyDescent="0.2">
      <c r="A196" t="b">
        <f t="shared" si="107"/>
        <v>1</v>
      </c>
      <c r="B196" s="33">
        <v>169</v>
      </c>
      <c r="C196" s="15">
        <f t="shared" si="108"/>
        <v>20.081305947392778</v>
      </c>
      <c r="D196" s="75">
        <f>C196*(1-PARAM!$C$27)*$I$3+(MOD($B196,60)=PARAM!$B$56)*($B196&gt;(60-PARAM!$B$56))*HLOOKUP(($B196+PARAM!$B$56)/12,Loyalty,2)*$F$1*MAX(F195,0)</f>
        <v>16.808053077967756</v>
      </c>
      <c r="E196" s="75">
        <f>PARAM!$C$26+MAX($G$3-CHOOSE(PARAM!$B$44,MAX(0,F195*$F$1),0),0)*RATES!$L172/12+$H$3*(PARAM!$D$51/12)*RATES!$N172/100</f>
        <v>11.775379801926039</v>
      </c>
      <c r="F196" s="16">
        <f t="shared" si="109"/>
        <v>124.9359719800364</v>
      </c>
      <c r="G196" s="15">
        <f t="shared" si="110"/>
        <v>22.035289406060361</v>
      </c>
      <c r="H196" s="75">
        <f>G196*(1-PARAM!$C$27)*$I$4+(MOD($B196,60)=PARAM!$B$56)*($B196&gt;(60-PARAM!$B$56))*HLOOKUP(($B196+PARAM!$B$56)/12,Loyalty,2)*$F$1*MAX(J195,0)</f>
        <v>18.443537232872522</v>
      </c>
      <c r="I196" s="75">
        <f>PARAM!$C$26+MAX($G$4-CHOOSE(PARAM!$B$44,MAX(0,J195*$F$1),0),0)*RATES!$L172/12+$H$4*(PARAM!$D$51/12)*RATES!$N172/100</f>
        <v>11.740256417518818</v>
      </c>
      <c r="J196" s="16">
        <f t="shared" si="111"/>
        <v>385.18364263999388</v>
      </c>
      <c r="K196" s="15">
        <f t="shared" si="112"/>
        <v>22.170849845882874</v>
      </c>
      <c r="L196" s="75">
        <f>K196*(1-PARAM!$C$27)*$I$5+(MOD($B196,60)=PARAM!$B$56)*($B196&gt;(60-PARAM!$B$56))*HLOOKUP(($B196+PARAM!$B$56)/12,Loyalty,2)*$F$1*MAX(N195,0)</f>
        <v>18.557001321003963</v>
      </c>
      <c r="M196" s="75">
        <f>PARAM!$C$26+MAX($G$5-CHOOSE(PARAM!$B$44,MAX(0,N195*$F$1),0),0)*RATES!$L172/12+$H$5*(PARAM!$D$51/12)*RATES!$N172/100</f>
        <v>11.737817531929689</v>
      </c>
      <c r="N196" s="16">
        <f t="shared" si="113"/>
        <v>403.25453154595823</v>
      </c>
      <c r="O196" s="15">
        <f t="shared" si="114"/>
        <v>22.170849845882874</v>
      </c>
      <c r="P196" s="75">
        <f>O196*(1-PARAM!$C$27)*$I$6+(MOD($B196,60)=PARAM!$B$56)*($B196&gt;(60-PARAM!$B$56))*HLOOKUP(($B196+PARAM!$B$56)/12,Loyalty,2)*$F$1*MAX(R195,0)</f>
        <v>18.557001321003963</v>
      </c>
      <c r="Q196" s="75">
        <f>PARAM!$C$26+MAX($G$6-CHOOSE(PARAM!$B$44,MAX(0,R195*$F$1),0),0)*RATES!$L172/12+$H$6*(PARAM!$D$51/12)*RATES!$N172/100</f>
        <v>11.737817531929689</v>
      </c>
      <c r="R196" s="16">
        <f t="shared" si="115"/>
        <v>403.25453154595823</v>
      </c>
      <c r="S196" s="15">
        <f t="shared" si="90"/>
        <v>22.170849845882874</v>
      </c>
      <c r="T196" s="75">
        <f>S196*(1-PARAM!$C$27)*$I$7+(MOD($B196,60)=PARAM!$B$56)*($B196&gt;(60-PARAM!$B$56))*HLOOKUP(($B196+PARAM!$B$56)/12,Loyalty,2)*$F$1*MAX(V195,0)</f>
        <v>18.557001321003963</v>
      </c>
      <c r="U196" s="75">
        <f>PARAM!$C$26+MAX($G$7-CHOOSE(PARAM!$B$44,MAX(0,V195*$F$1),0),0)*RATES!$L172/12+$H$7*(PARAM!$D$51/12)*RATES!$N172/100</f>
        <v>11.737817531929689</v>
      </c>
      <c r="V196" s="16">
        <f t="shared" si="116"/>
        <v>403.25453154595823</v>
      </c>
      <c r="W196" s="15">
        <f t="shared" si="91"/>
        <v>22.170849845882874</v>
      </c>
      <c r="X196" s="75">
        <f>W196*(1-PARAM!$C$27)*$I$8+(MOD($B196,60)=PARAM!$B$56)*($B196&gt;(60-PARAM!$B$56))*HLOOKUP(($B196+PARAM!$B$56)/12,Loyalty,2)*$F$1*MAX(Z195,0)</f>
        <v>18.557001321003963</v>
      </c>
      <c r="Y196" s="75">
        <f>PARAM!$C$26+MAX($G$8-CHOOSE(PARAM!$B$44,MAX(0,Z195*$F$1),0),0)*RATES!$L172/12+$H$8*(PARAM!$D$51/12)*RATES!$N172/100</f>
        <v>11.737817531929689</v>
      </c>
      <c r="Z196" s="16">
        <f t="shared" si="117"/>
        <v>403.25453154595823</v>
      </c>
      <c r="AA196" s="15">
        <f t="shared" si="92"/>
        <v>22.170849845882874</v>
      </c>
      <c r="AB196" s="75">
        <f>AA196*(1-PARAM!$C$27)*$I$9+(MOD($B196,60)=PARAM!$B$56)*($B196&gt;(60-PARAM!$B$56))*HLOOKUP(($B196+PARAM!$B$56)/12,Loyalty,2)*$F$1*MAX(AD195,0)</f>
        <v>18.557001321003963</v>
      </c>
      <c r="AC196" s="75">
        <f>PARAM!$C$26+MAX($G$9-CHOOSE(PARAM!$B$44,MAX(0,AD195*$F$1),0),0)*RATES!$L172/12+$H$9*(PARAM!$D$51/12)*RATES!$N172/100</f>
        <v>11.737817531929689</v>
      </c>
      <c r="AD196" s="16">
        <f t="shared" si="118"/>
        <v>403.25453154595823</v>
      </c>
      <c r="AE196" s="15">
        <f t="shared" si="93"/>
        <v>22.170849845882874</v>
      </c>
      <c r="AF196" s="75">
        <f>AE196*(1-PARAM!$C$27)*$I$10+(MOD($B196,60)=PARAM!$B$56)*($B196&gt;(60-PARAM!$B$56))*HLOOKUP(($B196+PARAM!$B$56)/12,Loyalty,2)*$F$1*MAX(AH195,0)</f>
        <v>18.557001321003963</v>
      </c>
      <c r="AG196" s="75">
        <f>PARAM!$C$26+MAX($G$10-CHOOSE(PARAM!$B$44,MAX(0,AH195*$F$1),0),0)*RATES!$L172/12+$H$10*(PARAM!$D$51/12)*RATES!$N172/100</f>
        <v>11.737817531929689</v>
      </c>
      <c r="AH196" s="16">
        <f t="shared" si="119"/>
        <v>403.25453154595823</v>
      </c>
      <c r="AI196" s="15">
        <f t="shared" si="94"/>
        <v>22.170849845882874</v>
      </c>
      <c r="AJ196" s="75">
        <f>AI196*(1-PARAM!$C$27)*$I$11+(MOD($B196,60)=PARAM!$B$56)*($B196&gt;(60-PARAM!$B$56))*HLOOKUP(($B196+PARAM!$B$56)/12,Loyalty,2)*$F$1*MAX(AL195,0)</f>
        <v>18.557001321003963</v>
      </c>
      <c r="AK196" s="75">
        <f>PARAM!$C$26+MAX($G$11-CHOOSE(PARAM!$B$44,MAX(0,AL195*$F$1),0),0)*RATES!$L172/12+$H$11*(PARAM!$D$51/12)*RATES!$N172/100</f>
        <v>11.737817531929689</v>
      </c>
      <c r="AL196" s="16">
        <f t="shared" si="120"/>
        <v>403.25453154595823</v>
      </c>
      <c r="AM196" s="15">
        <f t="shared" si="95"/>
        <v>22.170849845882874</v>
      </c>
      <c r="AN196" s="75">
        <f>AM196*(1-PARAM!$C$27)*$I$12+(MOD($B196,60)=PARAM!$B$56)*($B196&gt;(60-PARAM!$B$56))*HLOOKUP(($B196+PARAM!$B$56)/12,Loyalty,2)*$F$1*MAX(AP195,0)</f>
        <v>18.557001321003963</v>
      </c>
      <c r="AO196" s="75">
        <f>PARAM!$C$26+MAX($G$12-CHOOSE(PARAM!$B$44,MAX(0,AP195*$F$1),0),0)*RATES!$L172/12+$H$12*(PARAM!$D$51/12)*RATES!$N172/100</f>
        <v>11.737817531929689</v>
      </c>
      <c r="AP196" s="16">
        <f t="shared" si="121"/>
        <v>403.25453154595823</v>
      </c>
      <c r="AQ196" s="15">
        <f t="shared" si="96"/>
        <v>22.170849845882874</v>
      </c>
      <c r="AR196" s="75">
        <f>AQ196*(1-PARAM!$C$27)*$I$13+(MOD($B196,60)=PARAM!$B$56)*($B196&gt;(60-PARAM!$B$56))*HLOOKUP(($B196+PARAM!$B$56)/12,Loyalty,2)*$F$1*MAX(AT195,0)</f>
        <v>18.557001321003963</v>
      </c>
      <c r="AS196" s="75">
        <f>PARAM!$C$26+MAX($G$13-CHOOSE(PARAM!$B$44,MAX(0,AT195*$F$1),0),0)*RATES!$L172/12+$H$13*(PARAM!$D$51/12)*RATES!$N172/100</f>
        <v>11.737817531929689</v>
      </c>
      <c r="AT196" s="16">
        <f t="shared" si="122"/>
        <v>403.25453154595823</v>
      </c>
      <c r="AU196" s="15">
        <f t="shared" si="97"/>
        <v>22.170849845882874</v>
      </c>
      <c r="AV196" s="75">
        <f>AU196*(1-PARAM!$C$27)*$I$14+(MOD($B196,60)=PARAM!$B$56)*($B196&gt;(60-PARAM!$B$56))*HLOOKUP(($B196+PARAM!$B$56)/12,Loyalty,2)*$F$1*MAX(AX195,0)</f>
        <v>18.557001321003963</v>
      </c>
      <c r="AW196" s="75">
        <f>PARAM!$C$26+MAX($G$14-CHOOSE(PARAM!$B$44,MAX(0,AX195*$F$1),0),0)*RATES!$L172/12+$H$14*(PARAM!$D$51/12)*RATES!$N172/100</f>
        <v>11.737817531929689</v>
      </c>
      <c r="AX196" s="16">
        <f t="shared" si="123"/>
        <v>403.25453154595823</v>
      </c>
      <c r="AY196" s="15">
        <f t="shared" si="98"/>
        <v>22.170849845882874</v>
      </c>
      <c r="AZ196" s="75">
        <f>AY196*(1-PARAM!$C$27)*$I$15+(MOD($B196,60)=PARAM!$B$56)*($B196&gt;(60-PARAM!$B$56))*HLOOKUP(($B196+PARAM!$B$56)/12,Loyalty,2)*$F$1*MAX(BB195,0)</f>
        <v>18.557001321003963</v>
      </c>
      <c r="BA196" s="75">
        <f>PARAM!$C$26+MAX($G$15-CHOOSE(PARAM!$B$44,MAX(0,BB195*$F$1),0),0)*RATES!$L172/12+$H$15*(PARAM!$D$51/12)*RATES!$N172/100</f>
        <v>11.737817531929689</v>
      </c>
      <c r="BB196" s="16">
        <f t="shared" si="124"/>
        <v>403.25453154595823</v>
      </c>
      <c r="BC196" s="15">
        <f t="shared" si="99"/>
        <v>22.170849845882874</v>
      </c>
      <c r="BD196" s="75">
        <f>BC196*(1-PARAM!$C$27)*$I$16+(MOD($B196,60)=PARAM!$B$56)*($B196&gt;(60-PARAM!$B$56))*HLOOKUP(($B196+PARAM!$B$56)/12,Loyalty,2)*$F$1*MAX(BF195,0)</f>
        <v>18.557001321003963</v>
      </c>
      <c r="BE196" s="75">
        <f>PARAM!$C$26+MAX($G$16-CHOOSE(PARAM!$B$44,MAX(0,BF195*$F$1),0),0)*RATES!$L172/12+$H$16*(PARAM!$D$51/12)*RATES!$N172/100</f>
        <v>11.737817531929689</v>
      </c>
      <c r="BF196" s="16">
        <f t="shared" si="125"/>
        <v>403.25453154595823</v>
      </c>
      <c r="BG196" s="15">
        <f t="shared" si="100"/>
        <v>22.170849845882874</v>
      </c>
      <c r="BH196" s="75">
        <f>BG196*(1-PARAM!$C$27)*$I$17+(MOD($B196,60)=PARAM!$B$56)*($B196&gt;(60-PARAM!$B$56))*HLOOKUP(($B196+PARAM!$B$56)/12,Loyalty,2)*$F$1*MAX(BJ195,0)</f>
        <v>18.557001321003963</v>
      </c>
      <c r="BI196" s="75">
        <f>PARAM!$C$26+MAX($G$17-CHOOSE(PARAM!$B$44,MAX(0,BJ195*$F$1),0),0)*RATES!$L172/12+$H$17*(PARAM!$D$51/12)*RATES!$N172/100</f>
        <v>11.737817531929689</v>
      </c>
      <c r="BJ196" s="16">
        <f t="shared" si="126"/>
        <v>403.25453154595823</v>
      </c>
      <c r="BK196" s="15">
        <f t="shared" si="101"/>
        <v>22.170849845882874</v>
      </c>
      <c r="BL196" s="75">
        <f>BK196*(1-PARAM!$C$27)*$I$18+(MOD($B196,60)=PARAM!$B$56)*($B196&gt;(60-PARAM!$B$56))*HLOOKUP(($B196+PARAM!$B$56)/12,Loyalty,2)*$F$1*MAX(BN195,0)</f>
        <v>18.557001321003963</v>
      </c>
      <c r="BM196" s="75">
        <f>PARAM!$C$26+MAX($G$18-CHOOSE(PARAM!$B$44,MAX(0,BN195*$F$1),0),0)*RATES!$L172/12+$H$18*(PARAM!$D$51/12)*RATES!$N172/100</f>
        <v>11.737817531929689</v>
      </c>
      <c r="BN196" s="16">
        <f t="shared" si="127"/>
        <v>403.25453154595823</v>
      </c>
      <c r="BO196" s="15">
        <f t="shared" si="102"/>
        <v>22.170849845882874</v>
      </c>
      <c r="BP196" s="75">
        <f>BO196*(1-PARAM!$C$27)*$I$19+(MOD($B196,60)=PARAM!$B$56)*($B196&gt;(60-PARAM!$B$56))*HLOOKUP(($B196+PARAM!$B$56)/12,Loyalty,2)*$F$1*MAX(BR195,0)</f>
        <v>18.557001321003963</v>
      </c>
      <c r="BQ196" s="75">
        <f>PARAM!$C$26+MAX($G$19-CHOOSE(PARAM!$B$44,MAX(0,BR195*$F$1),0),0)*RATES!$L172/12+$H$19*(PARAM!$D$51/12)*RATES!$N172/100</f>
        <v>11.737817531929689</v>
      </c>
      <c r="BR196" s="16">
        <f t="shared" si="128"/>
        <v>403.25453154595823</v>
      </c>
      <c r="BS196" s="15">
        <f t="shared" si="103"/>
        <v>22.170849845882874</v>
      </c>
      <c r="BT196" s="75">
        <f>BS196*(1-PARAM!$C$27)*$I$20+(MOD($B196,60)=PARAM!$B$56)*($B196&gt;(60-PARAM!$B$56))*HLOOKUP(($B196+PARAM!$B$56)/12,Loyalty,2)*$F$1*MAX(BV195,0)</f>
        <v>18.557001321003963</v>
      </c>
      <c r="BU196" s="75">
        <f>PARAM!$C$26+MAX($G$20-CHOOSE(PARAM!$B$44,MAX(0,BV195*$F$1),0),0)*RATES!$L172/12+$H$20*(PARAM!$D$51/12)*RATES!$N172/100</f>
        <v>11.737817531929689</v>
      </c>
      <c r="BV196" s="16">
        <f t="shared" si="129"/>
        <v>403.25453154595823</v>
      </c>
      <c r="BW196" s="15">
        <f t="shared" si="104"/>
        <v>22.170849845882874</v>
      </c>
      <c r="BX196" s="75">
        <f>BW196*(1-PARAM!$C$27)*$I$21+(MOD($B196,60)=PARAM!$B$56)*($B196&gt;(60-PARAM!$B$56))*HLOOKUP(($B196+PARAM!$B$56)/12,Loyalty,2)*$F$1*MAX(BZ195,0)</f>
        <v>18.557001321003963</v>
      </c>
      <c r="BY196" s="75">
        <f>PARAM!$C$26+MAX($G$21-CHOOSE(PARAM!$B$44,MAX(0,BZ195*$F$1),0),0)*RATES!$L172/12+$H$21*(PARAM!$D$51/12)*RATES!$N172/100</f>
        <v>11.737817531929689</v>
      </c>
      <c r="BZ196" s="16">
        <f t="shared" si="130"/>
        <v>403.25453154595823</v>
      </c>
      <c r="CA196" s="15">
        <f t="shared" si="105"/>
        <v>22.170849845882874</v>
      </c>
      <c r="CB196" s="75">
        <f>CA196*(1-PARAM!$C$27)*$I$22+(MOD($B196,60)=PARAM!$B$56)*($B196&gt;(60-PARAM!$B$56))*HLOOKUP(($B196+PARAM!$B$56)/12,Loyalty,2)*$F$1*MAX(CD195,0)</f>
        <v>18.557001321003963</v>
      </c>
      <c r="CC196" s="75">
        <f>PARAM!$C$26+MAX($G$22-CHOOSE(PARAM!$B$44,MAX(0,CD195*$F$1),0),0)*RATES!$L172/12+$H$22*(PARAM!$D$51/12)*RATES!$N172/100</f>
        <v>11.737817531929689</v>
      </c>
      <c r="CD196" s="16">
        <f t="shared" si="131"/>
        <v>403.25453154595823</v>
      </c>
      <c r="CE196" s="33">
        <f>IF(0=MOD(B196,12/PARAM!$D$51),1,0)</f>
        <v>1</v>
      </c>
      <c r="CF196" s="15">
        <f t="shared" si="106"/>
        <v>0</v>
      </c>
      <c r="CG196" s="75">
        <f>CF196*(1-PARAM!$C$27)*$R$3+(MOD($B196/12,5)=0)*($B196&gt;60)*HLOOKUP($B196/12,Loyalty,2)*$F$1*MAX(CI195,0)</f>
        <v>0</v>
      </c>
      <c r="CH196" s="75">
        <f>PARAM!$C$26+MAX($P$3-CHOOSE(PARAM!$B$44,MAX(0,CI195*$F$1),0),0)*RATES!$L172/12+$Q$3*(PARAM!$D$51/12)*RATES!$N172/100</f>
        <v>11.791666666666668</v>
      </c>
      <c r="CI196" s="16">
        <f>IF(CI195&gt;0,CI195*PARAM!$C$53,CI195)+CG196-CH196</f>
        <v>-2539.8333333333289</v>
      </c>
      <c r="CJ196" s="15">
        <f t="shared" si="132"/>
        <v>0</v>
      </c>
      <c r="CK196" s="75">
        <f>CJ196*(1-PARAM!$C$27)*$R$4+(MOD($B196/12,5)=0)*($B196&gt;60)*HLOOKUP($B196/12,Loyalty,2)*$F$1*MAX(CM195,0)</f>
        <v>0</v>
      </c>
      <c r="CL196" s="75">
        <f>PARAM!$C$26+MAX($P$4-CHOOSE(PARAM!$B$44,MAX(0,CM195*$F$1),0),0)*RATES!$L172/12+$Q$4*(PARAM!$D$51/12)*RATES!$N172/100</f>
        <v>11.791666666666668</v>
      </c>
      <c r="CM196" s="16">
        <f>IF(CM195&gt;0,CM195*PARAM!$C$53,CM195)+CK196-CL196</f>
        <v>-2539.8333333333289</v>
      </c>
      <c r="CO196" s="176"/>
    </row>
    <row r="197" spans="1:93" x14ac:dyDescent="0.2">
      <c r="A197" t="b">
        <f t="shared" si="107"/>
        <v>1</v>
      </c>
      <c r="B197" s="33">
        <v>170</v>
      </c>
      <c r="C197" s="15">
        <f t="shared" si="108"/>
        <v>20.081305947392778</v>
      </c>
      <c r="D197" s="75">
        <f>C197*(1-PARAM!$C$27)*$I$3+(MOD($B197,60)=PARAM!$B$56)*($B197&gt;(60-PARAM!$B$56))*HLOOKUP(($B197+PARAM!$B$56)/12,Loyalty,2)*$F$1*MAX(F196,0)</f>
        <v>16.808053077967756</v>
      </c>
      <c r="E197" s="75">
        <f>PARAM!$C$26+MAX($G$3-CHOOSE(PARAM!$B$44,MAX(0,F196*$F$1),0),0)*RATES!$L173/12+$H$3*(PARAM!$D$51/12)*RATES!$N173/100</f>
        <v>11.774696197139377</v>
      </c>
      <c r="F197" s="16">
        <f t="shared" si="109"/>
        <v>129.96932886086478</v>
      </c>
      <c r="G197" s="15">
        <f t="shared" si="110"/>
        <v>22.035289406060361</v>
      </c>
      <c r="H197" s="75">
        <f>G197*(1-PARAM!$C$27)*$I$4+(MOD($B197,60)=PARAM!$B$56)*($B197&gt;(60-PARAM!$B$56))*HLOOKUP(($B197+PARAM!$B$56)/12,Loyalty,2)*$F$1*MAX(J196,0)</f>
        <v>18.443537232872522</v>
      </c>
      <c r="I197" s="75">
        <f>PARAM!$C$26+MAX($G$4-CHOOSE(PARAM!$B$44,MAX(0,J196*$F$1),0),0)*RATES!$L173/12+$H$4*(PARAM!$D$51/12)*RATES!$N173/100</f>
        <v>11.739345888541401</v>
      </c>
      <c r="J197" s="16">
        <f t="shared" si="111"/>
        <v>391.88783398432503</v>
      </c>
      <c r="K197" s="15">
        <f t="shared" si="112"/>
        <v>22.170849845882874</v>
      </c>
      <c r="L197" s="75">
        <f>K197*(1-PARAM!$C$27)*$I$5+(MOD($B197,60)=PARAM!$B$56)*($B197&gt;(60-PARAM!$B$56))*HLOOKUP(($B197+PARAM!$B$56)/12,Loyalty,2)*$F$1*MAX(N196,0)</f>
        <v>18.557001321003963</v>
      </c>
      <c r="M197" s="75">
        <f>PARAM!$C$26+MAX($G$5-CHOOSE(PARAM!$B$44,MAX(0,N196*$F$1),0),0)*RATES!$L173/12+$H$5*(PARAM!$D$51/12)*RATES!$N173/100</f>
        <v>11.736891259465008</v>
      </c>
      <c r="N197" s="16">
        <f t="shared" si="113"/>
        <v>410.0746416074972</v>
      </c>
      <c r="O197" s="15">
        <f t="shared" si="114"/>
        <v>22.170849845882874</v>
      </c>
      <c r="P197" s="75">
        <f>O197*(1-PARAM!$C$27)*$I$6+(MOD($B197,60)=PARAM!$B$56)*($B197&gt;(60-PARAM!$B$56))*HLOOKUP(($B197+PARAM!$B$56)/12,Loyalty,2)*$F$1*MAX(R196,0)</f>
        <v>18.557001321003963</v>
      </c>
      <c r="Q197" s="75">
        <f>PARAM!$C$26+MAX($G$6-CHOOSE(PARAM!$B$44,MAX(0,R196*$F$1),0),0)*RATES!$L173/12+$H$6*(PARAM!$D$51/12)*RATES!$N173/100</f>
        <v>11.736891259465008</v>
      </c>
      <c r="R197" s="16">
        <f t="shared" si="115"/>
        <v>410.0746416074972</v>
      </c>
      <c r="S197" s="15">
        <f t="shared" si="90"/>
        <v>22.170849845882874</v>
      </c>
      <c r="T197" s="75">
        <f>S197*(1-PARAM!$C$27)*$I$7+(MOD($B197,60)=PARAM!$B$56)*($B197&gt;(60-PARAM!$B$56))*HLOOKUP(($B197+PARAM!$B$56)/12,Loyalty,2)*$F$1*MAX(V196,0)</f>
        <v>18.557001321003963</v>
      </c>
      <c r="U197" s="75">
        <f>PARAM!$C$26+MAX($G$7-CHOOSE(PARAM!$B$44,MAX(0,V196*$F$1),0),0)*RATES!$L173/12+$H$7*(PARAM!$D$51/12)*RATES!$N173/100</f>
        <v>11.736891259465008</v>
      </c>
      <c r="V197" s="16">
        <f t="shared" si="116"/>
        <v>410.0746416074972</v>
      </c>
      <c r="W197" s="15">
        <f t="shared" si="91"/>
        <v>22.170849845882874</v>
      </c>
      <c r="X197" s="75">
        <f>W197*(1-PARAM!$C$27)*$I$8+(MOD($B197,60)=PARAM!$B$56)*($B197&gt;(60-PARAM!$B$56))*HLOOKUP(($B197+PARAM!$B$56)/12,Loyalty,2)*$F$1*MAX(Z196,0)</f>
        <v>18.557001321003963</v>
      </c>
      <c r="Y197" s="75">
        <f>PARAM!$C$26+MAX($G$8-CHOOSE(PARAM!$B$44,MAX(0,Z196*$F$1),0),0)*RATES!$L173/12+$H$8*(PARAM!$D$51/12)*RATES!$N173/100</f>
        <v>11.736891259465008</v>
      </c>
      <c r="Z197" s="16">
        <f t="shared" si="117"/>
        <v>410.0746416074972</v>
      </c>
      <c r="AA197" s="15">
        <f t="shared" si="92"/>
        <v>22.170849845882874</v>
      </c>
      <c r="AB197" s="75">
        <f>AA197*(1-PARAM!$C$27)*$I$9+(MOD($B197,60)=PARAM!$B$56)*($B197&gt;(60-PARAM!$B$56))*HLOOKUP(($B197+PARAM!$B$56)/12,Loyalty,2)*$F$1*MAX(AD196,0)</f>
        <v>18.557001321003963</v>
      </c>
      <c r="AC197" s="75">
        <f>PARAM!$C$26+MAX($G$9-CHOOSE(PARAM!$B$44,MAX(0,AD196*$F$1),0),0)*RATES!$L173/12+$H$9*(PARAM!$D$51/12)*RATES!$N173/100</f>
        <v>11.736891259465008</v>
      </c>
      <c r="AD197" s="16">
        <f t="shared" si="118"/>
        <v>410.0746416074972</v>
      </c>
      <c r="AE197" s="15">
        <f t="shared" si="93"/>
        <v>22.170849845882874</v>
      </c>
      <c r="AF197" s="75">
        <f>AE197*(1-PARAM!$C$27)*$I$10+(MOD($B197,60)=PARAM!$B$56)*($B197&gt;(60-PARAM!$B$56))*HLOOKUP(($B197+PARAM!$B$56)/12,Loyalty,2)*$F$1*MAX(AH196,0)</f>
        <v>18.557001321003963</v>
      </c>
      <c r="AG197" s="75">
        <f>PARAM!$C$26+MAX($G$10-CHOOSE(PARAM!$B$44,MAX(0,AH196*$F$1),0),0)*RATES!$L173/12+$H$10*(PARAM!$D$51/12)*RATES!$N173/100</f>
        <v>11.736891259465008</v>
      </c>
      <c r="AH197" s="16">
        <f t="shared" si="119"/>
        <v>410.0746416074972</v>
      </c>
      <c r="AI197" s="15">
        <f t="shared" si="94"/>
        <v>22.170849845882874</v>
      </c>
      <c r="AJ197" s="75">
        <f>AI197*(1-PARAM!$C$27)*$I$11+(MOD($B197,60)=PARAM!$B$56)*($B197&gt;(60-PARAM!$B$56))*HLOOKUP(($B197+PARAM!$B$56)/12,Loyalty,2)*$F$1*MAX(AL196,0)</f>
        <v>18.557001321003963</v>
      </c>
      <c r="AK197" s="75">
        <f>PARAM!$C$26+MAX($G$11-CHOOSE(PARAM!$B$44,MAX(0,AL196*$F$1),0),0)*RATES!$L173/12+$H$11*(PARAM!$D$51/12)*RATES!$N173/100</f>
        <v>11.736891259465008</v>
      </c>
      <c r="AL197" s="16">
        <f t="shared" si="120"/>
        <v>410.0746416074972</v>
      </c>
      <c r="AM197" s="15">
        <f t="shared" si="95"/>
        <v>22.170849845882874</v>
      </c>
      <c r="AN197" s="75">
        <f>AM197*(1-PARAM!$C$27)*$I$12+(MOD($B197,60)=PARAM!$B$56)*($B197&gt;(60-PARAM!$B$56))*HLOOKUP(($B197+PARAM!$B$56)/12,Loyalty,2)*$F$1*MAX(AP196,0)</f>
        <v>18.557001321003963</v>
      </c>
      <c r="AO197" s="75">
        <f>PARAM!$C$26+MAX($G$12-CHOOSE(PARAM!$B$44,MAX(0,AP196*$F$1),0),0)*RATES!$L173/12+$H$12*(PARAM!$D$51/12)*RATES!$N173/100</f>
        <v>11.736891259465008</v>
      </c>
      <c r="AP197" s="16">
        <f t="shared" si="121"/>
        <v>410.0746416074972</v>
      </c>
      <c r="AQ197" s="15">
        <f t="shared" si="96"/>
        <v>22.170849845882874</v>
      </c>
      <c r="AR197" s="75">
        <f>AQ197*(1-PARAM!$C$27)*$I$13+(MOD($B197,60)=PARAM!$B$56)*($B197&gt;(60-PARAM!$B$56))*HLOOKUP(($B197+PARAM!$B$56)/12,Loyalty,2)*$F$1*MAX(AT196,0)</f>
        <v>18.557001321003963</v>
      </c>
      <c r="AS197" s="75">
        <f>PARAM!$C$26+MAX($G$13-CHOOSE(PARAM!$B$44,MAX(0,AT196*$F$1),0),0)*RATES!$L173/12+$H$13*(PARAM!$D$51/12)*RATES!$N173/100</f>
        <v>11.736891259465008</v>
      </c>
      <c r="AT197" s="16">
        <f t="shared" si="122"/>
        <v>410.0746416074972</v>
      </c>
      <c r="AU197" s="15">
        <f t="shared" si="97"/>
        <v>22.170849845882874</v>
      </c>
      <c r="AV197" s="75">
        <f>AU197*(1-PARAM!$C$27)*$I$14+(MOD($B197,60)=PARAM!$B$56)*($B197&gt;(60-PARAM!$B$56))*HLOOKUP(($B197+PARAM!$B$56)/12,Loyalty,2)*$F$1*MAX(AX196,0)</f>
        <v>18.557001321003963</v>
      </c>
      <c r="AW197" s="75">
        <f>PARAM!$C$26+MAX($G$14-CHOOSE(PARAM!$B$44,MAX(0,AX196*$F$1),0),0)*RATES!$L173/12+$H$14*(PARAM!$D$51/12)*RATES!$N173/100</f>
        <v>11.736891259465008</v>
      </c>
      <c r="AX197" s="16">
        <f t="shared" si="123"/>
        <v>410.0746416074972</v>
      </c>
      <c r="AY197" s="15">
        <f t="shared" si="98"/>
        <v>22.170849845882874</v>
      </c>
      <c r="AZ197" s="75">
        <f>AY197*(1-PARAM!$C$27)*$I$15+(MOD($B197,60)=PARAM!$B$56)*($B197&gt;(60-PARAM!$B$56))*HLOOKUP(($B197+PARAM!$B$56)/12,Loyalty,2)*$F$1*MAX(BB196,0)</f>
        <v>18.557001321003963</v>
      </c>
      <c r="BA197" s="75">
        <f>PARAM!$C$26+MAX($G$15-CHOOSE(PARAM!$B$44,MAX(0,BB196*$F$1),0),0)*RATES!$L173/12+$H$15*(PARAM!$D$51/12)*RATES!$N173/100</f>
        <v>11.736891259465008</v>
      </c>
      <c r="BB197" s="16">
        <f t="shared" si="124"/>
        <v>410.0746416074972</v>
      </c>
      <c r="BC197" s="15">
        <f t="shared" si="99"/>
        <v>22.170849845882874</v>
      </c>
      <c r="BD197" s="75">
        <f>BC197*(1-PARAM!$C$27)*$I$16+(MOD($B197,60)=PARAM!$B$56)*($B197&gt;(60-PARAM!$B$56))*HLOOKUP(($B197+PARAM!$B$56)/12,Loyalty,2)*$F$1*MAX(BF196,0)</f>
        <v>18.557001321003963</v>
      </c>
      <c r="BE197" s="75">
        <f>PARAM!$C$26+MAX($G$16-CHOOSE(PARAM!$B$44,MAX(0,BF196*$F$1),0),0)*RATES!$L173/12+$H$16*(PARAM!$D$51/12)*RATES!$N173/100</f>
        <v>11.736891259465008</v>
      </c>
      <c r="BF197" s="16">
        <f t="shared" si="125"/>
        <v>410.0746416074972</v>
      </c>
      <c r="BG197" s="15">
        <f t="shared" si="100"/>
        <v>22.170849845882874</v>
      </c>
      <c r="BH197" s="75">
        <f>BG197*(1-PARAM!$C$27)*$I$17+(MOD($B197,60)=PARAM!$B$56)*($B197&gt;(60-PARAM!$B$56))*HLOOKUP(($B197+PARAM!$B$56)/12,Loyalty,2)*$F$1*MAX(BJ196,0)</f>
        <v>18.557001321003963</v>
      </c>
      <c r="BI197" s="75">
        <f>PARAM!$C$26+MAX($G$17-CHOOSE(PARAM!$B$44,MAX(0,BJ196*$F$1),0),0)*RATES!$L173/12+$H$17*(PARAM!$D$51/12)*RATES!$N173/100</f>
        <v>11.736891259465008</v>
      </c>
      <c r="BJ197" s="16">
        <f t="shared" si="126"/>
        <v>410.0746416074972</v>
      </c>
      <c r="BK197" s="15">
        <f t="shared" si="101"/>
        <v>22.170849845882874</v>
      </c>
      <c r="BL197" s="75">
        <f>BK197*(1-PARAM!$C$27)*$I$18+(MOD($B197,60)=PARAM!$B$56)*($B197&gt;(60-PARAM!$B$56))*HLOOKUP(($B197+PARAM!$B$56)/12,Loyalty,2)*$F$1*MAX(BN196,0)</f>
        <v>18.557001321003963</v>
      </c>
      <c r="BM197" s="75">
        <f>PARAM!$C$26+MAX($G$18-CHOOSE(PARAM!$B$44,MAX(0,BN196*$F$1),0),0)*RATES!$L173/12+$H$18*(PARAM!$D$51/12)*RATES!$N173/100</f>
        <v>11.736891259465008</v>
      </c>
      <c r="BN197" s="16">
        <f t="shared" si="127"/>
        <v>410.0746416074972</v>
      </c>
      <c r="BO197" s="15">
        <f t="shared" si="102"/>
        <v>22.170849845882874</v>
      </c>
      <c r="BP197" s="75">
        <f>BO197*(1-PARAM!$C$27)*$I$19+(MOD($B197,60)=PARAM!$B$56)*($B197&gt;(60-PARAM!$B$56))*HLOOKUP(($B197+PARAM!$B$56)/12,Loyalty,2)*$F$1*MAX(BR196,0)</f>
        <v>18.557001321003963</v>
      </c>
      <c r="BQ197" s="75">
        <f>PARAM!$C$26+MAX($G$19-CHOOSE(PARAM!$B$44,MAX(0,BR196*$F$1),0),0)*RATES!$L173/12+$H$19*(PARAM!$D$51/12)*RATES!$N173/100</f>
        <v>11.736891259465008</v>
      </c>
      <c r="BR197" s="16">
        <f t="shared" si="128"/>
        <v>410.0746416074972</v>
      </c>
      <c r="BS197" s="15">
        <f t="shared" si="103"/>
        <v>22.170849845882874</v>
      </c>
      <c r="BT197" s="75">
        <f>BS197*(1-PARAM!$C$27)*$I$20+(MOD($B197,60)=PARAM!$B$56)*($B197&gt;(60-PARAM!$B$56))*HLOOKUP(($B197+PARAM!$B$56)/12,Loyalty,2)*$F$1*MAX(BV196,0)</f>
        <v>18.557001321003963</v>
      </c>
      <c r="BU197" s="75">
        <f>PARAM!$C$26+MAX($G$20-CHOOSE(PARAM!$B$44,MAX(0,BV196*$F$1),0),0)*RATES!$L173/12+$H$20*(PARAM!$D$51/12)*RATES!$N173/100</f>
        <v>11.736891259465008</v>
      </c>
      <c r="BV197" s="16">
        <f t="shared" si="129"/>
        <v>410.0746416074972</v>
      </c>
      <c r="BW197" s="15">
        <f t="shared" si="104"/>
        <v>22.170849845882874</v>
      </c>
      <c r="BX197" s="75">
        <f>BW197*(1-PARAM!$C$27)*$I$21+(MOD($B197,60)=PARAM!$B$56)*($B197&gt;(60-PARAM!$B$56))*HLOOKUP(($B197+PARAM!$B$56)/12,Loyalty,2)*$F$1*MAX(BZ196,0)</f>
        <v>18.557001321003963</v>
      </c>
      <c r="BY197" s="75">
        <f>PARAM!$C$26+MAX($G$21-CHOOSE(PARAM!$B$44,MAX(0,BZ196*$F$1),0),0)*RATES!$L173/12+$H$21*(PARAM!$D$51/12)*RATES!$N173/100</f>
        <v>11.736891259465008</v>
      </c>
      <c r="BZ197" s="16">
        <f t="shared" si="130"/>
        <v>410.0746416074972</v>
      </c>
      <c r="CA197" s="15">
        <f t="shared" si="105"/>
        <v>22.170849845882874</v>
      </c>
      <c r="CB197" s="75">
        <f>CA197*(1-PARAM!$C$27)*$I$22+(MOD($B197,60)=PARAM!$B$56)*($B197&gt;(60-PARAM!$B$56))*HLOOKUP(($B197+PARAM!$B$56)/12,Loyalty,2)*$F$1*MAX(CD196,0)</f>
        <v>18.557001321003963</v>
      </c>
      <c r="CC197" s="75">
        <f>PARAM!$C$26+MAX($G$22-CHOOSE(PARAM!$B$44,MAX(0,CD196*$F$1),0),0)*RATES!$L173/12+$H$22*(PARAM!$D$51/12)*RATES!$N173/100</f>
        <v>11.736891259465008</v>
      </c>
      <c r="CD197" s="16">
        <f t="shared" si="131"/>
        <v>410.0746416074972</v>
      </c>
      <c r="CE197" s="33">
        <f>IF(0=MOD(B197,12/PARAM!$D$51),1,0)</f>
        <v>1</v>
      </c>
      <c r="CF197" s="15">
        <f t="shared" si="106"/>
        <v>0</v>
      </c>
      <c r="CG197" s="75">
        <f>CF197*(1-PARAM!$C$27)*$R$3+(MOD($B197/12,5)=0)*($B197&gt;60)*HLOOKUP($B197/12,Loyalty,2)*$F$1*MAX(CI196,0)</f>
        <v>0</v>
      </c>
      <c r="CH197" s="75">
        <f>PARAM!$C$26+MAX($P$3-CHOOSE(PARAM!$B$44,MAX(0,CI196*$F$1),0),0)*RATES!$L173/12+$Q$3*(PARAM!$D$51/12)*RATES!$N173/100</f>
        <v>11.791666666666668</v>
      </c>
      <c r="CI197" s="16">
        <f>IF(CI196&gt;0,CI196*PARAM!$C$53,CI196)+CG197-CH197</f>
        <v>-2551.6249999999955</v>
      </c>
      <c r="CJ197" s="15">
        <f t="shared" si="132"/>
        <v>0</v>
      </c>
      <c r="CK197" s="75">
        <f>CJ197*(1-PARAM!$C$27)*$R$4+(MOD($B197/12,5)=0)*($B197&gt;60)*HLOOKUP($B197/12,Loyalty,2)*$F$1*MAX(CM196,0)</f>
        <v>0</v>
      </c>
      <c r="CL197" s="75">
        <f>PARAM!$C$26+MAX($P$4-CHOOSE(PARAM!$B$44,MAX(0,CM196*$F$1),0),0)*RATES!$L173/12+$Q$4*(PARAM!$D$51/12)*RATES!$N173/100</f>
        <v>11.791666666666668</v>
      </c>
      <c r="CM197" s="16">
        <f>IF(CM196&gt;0,CM196*PARAM!$C$53,CM196)+CK197-CL197</f>
        <v>-2551.6249999999955</v>
      </c>
      <c r="CO197" s="176"/>
    </row>
    <row r="198" spans="1:93" x14ac:dyDescent="0.2">
      <c r="A198" t="b">
        <f t="shared" si="107"/>
        <v>1</v>
      </c>
      <c r="B198" s="33">
        <v>171</v>
      </c>
      <c r="C198" s="15">
        <f t="shared" si="108"/>
        <v>20.081305947392778</v>
      </c>
      <c r="D198" s="75">
        <f>C198*(1-PARAM!$C$27)*$I$3+(MOD($B198,60)=PARAM!$B$56)*($B198&gt;(60-PARAM!$B$56))*HLOOKUP(($B198+PARAM!$B$56)/12,Loyalty,2)*$F$1*MAX(F197,0)</f>
        <v>16.808053077967756</v>
      </c>
      <c r="E198" s="75">
        <f>PARAM!$C$26+MAX($G$3-CHOOSE(PARAM!$B$44,MAX(0,F197*$F$1),0),0)*RATES!$L174/12+$H$3*(PARAM!$D$51/12)*RATES!$N174/100</f>
        <v>11.774012499496401</v>
      </c>
      <c r="F198" s="16">
        <f t="shared" si="109"/>
        <v>135.00336943933615</v>
      </c>
      <c r="G198" s="15">
        <f t="shared" si="110"/>
        <v>22.035289406060361</v>
      </c>
      <c r="H198" s="75">
        <f>G198*(1-PARAM!$C$27)*$I$4+(MOD($B198,60)=PARAM!$B$56)*($B198&gt;(60-PARAM!$B$56))*HLOOKUP(($B198+PARAM!$B$56)/12,Loyalty,2)*$F$1*MAX(J197,0)</f>
        <v>18.443537232872522</v>
      </c>
      <c r="I198" s="75">
        <f>PARAM!$C$26+MAX($G$4-CHOOSE(PARAM!$B$44,MAX(0,J197*$F$1),0),0)*RATES!$L174/12+$H$4*(PARAM!$D$51/12)*RATES!$N174/100</f>
        <v>11.738435235883795</v>
      </c>
      <c r="J198" s="16">
        <f t="shared" si="111"/>
        <v>398.59293598131376</v>
      </c>
      <c r="K198" s="15">
        <f t="shared" si="112"/>
        <v>22.170849845882874</v>
      </c>
      <c r="L198" s="75">
        <f>K198*(1-PARAM!$C$27)*$I$5+(MOD($B198,60)=PARAM!$B$56)*($B198&gt;(60-PARAM!$B$56))*HLOOKUP(($B198+PARAM!$B$56)/12,Loyalty,2)*$F$1*MAX(N197,0)</f>
        <v>18.557001321003963</v>
      </c>
      <c r="M198" s="75">
        <f>PARAM!$C$26+MAX($G$5-CHOOSE(PARAM!$B$44,MAX(0,N197*$F$1),0),0)*RATES!$L174/12+$H$5*(PARAM!$D$51/12)*RATES!$N174/100</f>
        <v>11.73596486118165</v>
      </c>
      <c r="N198" s="16">
        <f t="shared" si="113"/>
        <v>416.89567806731952</v>
      </c>
      <c r="O198" s="15">
        <f t="shared" si="114"/>
        <v>22.170849845882874</v>
      </c>
      <c r="P198" s="75">
        <f>O198*(1-PARAM!$C$27)*$I$6+(MOD($B198,60)=PARAM!$B$56)*($B198&gt;(60-PARAM!$B$56))*HLOOKUP(($B198+PARAM!$B$56)/12,Loyalty,2)*$F$1*MAX(R197,0)</f>
        <v>18.557001321003963</v>
      </c>
      <c r="Q198" s="75">
        <f>PARAM!$C$26+MAX($G$6-CHOOSE(PARAM!$B$44,MAX(0,R197*$F$1),0),0)*RATES!$L174/12+$H$6*(PARAM!$D$51/12)*RATES!$N174/100</f>
        <v>11.73596486118165</v>
      </c>
      <c r="R198" s="16">
        <f t="shared" si="115"/>
        <v>416.89567806731952</v>
      </c>
      <c r="S198" s="15">
        <f t="shared" si="90"/>
        <v>22.170849845882874</v>
      </c>
      <c r="T198" s="75">
        <f>S198*(1-PARAM!$C$27)*$I$7+(MOD($B198,60)=PARAM!$B$56)*($B198&gt;(60-PARAM!$B$56))*HLOOKUP(($B198+PARAM!$B$56)/12,Loyalty,2)*$F$1*MAX(V197,0)</f>
        <v>18.557001321003963</v>
      </c>
      <c r="U198" s="75">
        <f>PARAM!$C$26+MAX($G$7-CHOOSE(PARAM!$B$44,MAX(0,V197*$F$1),0),0)*RATES!$L174/12+$H$7*(PARAM!$D$51/12)*RATES!$N174/100</f>
        <v>11.73596486118165</v>
      </c>
      <c r="V198" s="16">
        <f t="shared" si="116"/>
        <v>416.89567806731952</v>
      </c>
      <c r="W198" s="15">
        <f t="shared" si="91"/>
        <v>22.170849845882874</v>
      </c>
      <c r="X198" s="75">
        <f>W198*(1-PARAM!$C$27)*$I$8+(MOD($B198,60)=PARAM!$B$56)*($B198&gt;(60-PARAM!$B$56))*HLOOKUP(($B198+PARAM!$B$56)/12,Loyalty,2)*$F$1*MAX(Z197,0)</f>
        <v>18.557001321003963</v>
      </c>
      <c r="Y198" s="75">
        <f>PARAM!$C$26+MAX($G$8-CHOOSE(PARAM!$B$44,MAX(0,Z197*$F$1),0),0)*RATES!$L174/12+$H$8*(PARAM!$D$51/12)*RATES!$N174/100</f>
        <v>11.73596486118165</v>
      </c>
      <c r="Z198" s="16">
        <f t="shared" si="117"/>
        <v>416.89567806731952</v>
      </c>
      <c r="AA198" s="15">
        <f t="shared" si="92"/>
        <v>22.170849845882874</v>
      </c>
      <c r="AB198" s="75">
        <f>AA198*(1-PARAM!$C$27)*$I$9+(MOD($B198,60)=PARAM!$B$56)*($B198&gt;(60-PARAM!$B$56))*HLOOKUP(($B198+PARAM!$B$56)/12,Loyalty,2)*$F$1*MAX(AD197,0)</f>
        <v>18.557001321003963</v>
      </c>
      <c r="AC198" s="75">
        <f>PARAM!$C$26+MAX($G$9-CHOOSE(PARAM!$B$44,MAX(0,AD197*$F$1),0),0)*RATES!$L174/12+$H$9*(PARAM!$D$51/12)*RATES!$N174/100</f>
        <v>11.73596486118165</v>
      </c>
      <c r="AD198" s="16">
        <f t="shared" si="118"/>
        <v>416.89567806731952</v>
      </c>
      <c r="AE198" s="15">
        <f t="shared" si="93"/>
        <v>22.170849845882874</v>
      </c>
      <c r="AF198" s="75">
        <f>AE198*(1-PARAM!$C$27)*$I$10+(MOD($B198,60)=PARAM!$B$56)*($B198&gt;(60-PARAM!$B$56))*HLOOKUP(($B198+PARAM!$B$56)/12,Loyalty,2)*$F$1*MAX(AH197,0)</f>
        <v>18.557001321003963</v>
      </c>
      <c r="AG198" s="75">
        <f>PARAM!$C$26+MAX($G$10-CHOOSE(PARAM!$B$44,MAX(0,AH197*$F$1),0),0)*RATES!$L174/12+$H$10*(PARAM!$D$51/12)*RATES!$N174/100</f>
        <v>11.73596486118165</v>
      </c>
      <c r="AH198" s="16">
        <f t="shared" si="119"/>
        <v>416.89567806731952</v>
      </c>
      <c r="AI198" s="15">
        <f t="shared" si="94"/>
        <v>22.170849845882874</v>
      </c>
      <c r="AJ198" s="75">
        <f>AI198*(1-PARAM!$C$27)*$I$11+(MOD($B198,60)=PARAM!$B$56)*($B198&gt;(60-PARAM!$B$56))*HLOOKUP(($B198+PARAM!$B$56)/12,Loyalty,2)*$F$1*MAX(AL197,0)</f>
        <v>18.557001321003963</v>
      </c>
      <c r="AK198" s="75">
        <f>PARAM!$C$26+MAX($G$11-CHOOSE(PARAM!$B$44,MAX(0,AL197*$F$1),0),0)*RATES!$L174/12+$H$11*(PARAM!$D$51/12)*RATES!$N174/100</f>
        <v>11.73596486118165</v>
      </c>
      <c r="AL198" s="16">
        <f t="shared" si="120"/>
        <v>416.89567806731952</v>
      </c>
      <c r="AM198" s="15">
        <f t="shared" si="95"/>
        <v>22.170849845882874</v>
      </c>
      <c r="AN198" s="75">
        <f>AM198*(1-PARAM!$C$27)*$I$12+(MOD($B198,60)=PARAM!$B$56)*($B198&gt;(60-PARAM!$B$56))*HLOOKUP(($B198+PARAM!$B$56)/12,Loyalty,2)*$F$1*MAX(AP197,0)</f>
        <v>18.557001321003963</v>
      </c>
      <c r="AO198" s="75">
        <f>PARAM!$C$26+MAX($G$12-CHOOSE(PARAM!$B$44,MAX(0,AP197*$F$1),0),0)*RATES!$L174/12+$H$12*(PARAM!$D$51/12)*RATES!$N174/100</f>
        <v>11.73596486118165</v>
      </c>
      <c r="AP198" s="16">
        <f t="shared" si="121"/>
        <v>416.89567806731952</v>
      </c>
      <c r="AQ198" s="15">
        <f t="shared" si="96"/>
        <v>22.170849845882874</v>
      </c>
      <c r="AR198" s="75">
        <f>AQ198*(1-PARAM!$C$27)*$I$13+(MOD($B198,60)=PARAM!$B$56)*($B198&gt;(60-PARAM!$B$56))*HLOOKUP(($B198+PARAM!$B$56)/12,Loyalty,2)*$F$1*MAX(AT197,0)</f>
        <v>18.557001321003963</v>
      </c>
      <c r="AS198" s="75">
        <f>PARAM!$C$26+MAX($G$13-CHOOSE(PARAM!$B$44,MAX(0,AT197*$F$1),0),0)*RATES!$L174/12+$H$13*(PARAM!$D$51/12)*RATES!$N174/100</f>
        <v>11.73596486118165</v>
      </c>
      <c r="AT198" s="16">
        <f t="shared" si="122"/>
        <v>416.89567806731952</v>
      </c>
      <c r="AU198" s="15">
        <f t="shared" si="97"/>
        <v>22.170849845882874</v>
      </c>
      <c r="AV198" s="75">
        <f>AU198*(1-PARAM!$C$27)*$I$14+(MOD($B198,60)=PARAM!$B$56)*($B198&gt;(60-PARAM!$B$56))*HLOOKUP(($B198+PARAM!$B$56)/12,Loyalty,2)*$F$1*MAX(AX197,0)</f>
        <v>18.557001321003963</v>
      </c>
      <c r="AW198" s="75">
        <f>PARAM!$C$26+MAX($G$14-CHOOSE(PARAM!$B$44,MAX(0,AX197*$F$1),0),0)*RATES!$L174/12+$H$14*(PARAM!$D$51/12)*RATES!$N174/100</f>
        <v>11.73596486118165</v>
      </c>
      <c r="AX198" s="16">
        <f t="shared" si="123"/>
        <v>416.89567806731952</v>
      </c>
      <c r="AY198" s="15">
        <f t="shared" si="98"/>
        <v>22.170849845882874</v>
      </c>
      <c r="AZ198" s="75">
        <f>AY198*(1-PARAM!$C$27)*$I$15+(MOD($B198,60)=PARAM!$B$56)*($B198&gt;(60-PARAM!$B$56))*HLOOKUP(($B198+PARAM!$B$56)/12,Loyalty,2)*$F$1*MAX(BB197,0)</f>
        <v>18.557001321003963</v>
      </c>
      <c r="BA198" s="75">
        <f>PARAM!$C$26+MAX($G$15-CHOOSE(PARAM!$B$44,MAX(0,BB197*$F$1),0),0)*RATES!$L174/12+$H$15*(PARAM!$D$51/12)*RATES!$N174/100</f>
        <v>11.73596486118165</v>
      </c>
      <c r="BB198" s="16">
        <f t="shared" si="124"/>
        <v>416.89567806731952</v>
      </c>
      <c r="BC198" s="15">
        <f t="shared" si="99"/>
        <v>22.170849845882874</v>
      </c>
      <c r="BD198" s="75">
        <f>BC198*(1-PARAM!$C$27)*$I$16+(MOD($B198,60)=PARAM!$B$56)*($B198&gt;(60-PARAM!$B$56))*HLOOKUP(($B198+PARAM!$B$56)/12,Loyalty,2)*$F$1*MAX(BF197,0)</f>
        <v>18.557001321003963</v>
      </c>
      <c r="BE198" s="75">
        <f>PARAM!$C$26+MAX($G$16-CHOOSE(PARAM!$B$44,MAX(0,BF197*$F$1),0),0)*RATES!$L174/12+$H$16*(PARAM!$D$51/12)*RATES!$N174/100</f>
        <v>11.73596486118165</v>
      </c>
      <c r="BF198" s="16">
        <f t="shared" si="125"/>
        <v>416.89567806731952</v>
      </c>
      <c r="BG198" s="15">
        <f t="shared" si="100"/>
        <v>22.170849845882874</v>
      </c>
      <c r="BH198" s="75">
        <f>BG198*(1-PARAM!$C$27)*$I$17+(MOD($B198,60)=PARAM!$B$56)*($B198&gt;(60-PARAM!$B$56))*HLOOKUP(($B198+PARAM!$B$56)/12,Loyalty,2)*$F$1*MAX(BJ197,0)</f>
        <v>18.557001321003963</v>
      </c>
      <c r="BI198" s="75">
        <f>PARAM!$C$26+MAX($G$17-CHOOSE(PARAM!$B$44,MAX(0,BJ197*$F$1),0),0)*RATES!$L174/12+$H$17*(PARAM!$D$51/12)*RATES!$N174/100</f>
        <v>11.73596486118165</v>
      </c>
      <c r="BJ198" s="16">
        <f t="shared" si="126"/>
        <v>416.89567806731952</v>
      </c>
      <c r="BK198" s="15">
        <f t="shared" si="101"/>
        <v>22.170849845882874</v>
      </c>
      <c r="BL198" s="75">
        <f>BK198*(1-PARAM!$C$27)*$I$18+(MOD($B198,60)=PARAM!$B$56)*($B198&gt;(60-PARAM!$B$56))*HLOOKUP(($B198+PARAM!$B$56)/12,Loyalty,2)*$F$1*MAX(BN197,0)</f>
        <v>18.557001321003963</v>
      </c>
      <c r="BM198" s="75">
        <f>PARAM!$C$26+MAX($G$18-CHOOSE(PARAM!$B$44,MAX(0,BN197*$F$1),0),0)*RATES!$L174/12+$H$18*(PARAM!$D$51/12)*RATES!$N174/100</f>
        <v>11.73596486118165</v>
      </c>
      <c r="BN198" s="16">
        <f t="shared" si="127"/>
        <v>416.89567806731952</v>
      </c>
      <c r="BO198" s="15">
        <f t="shared" si="102"/>
        <v>22.170849845882874</v>
      </c>
      <c r="BP198" s="75">
        <f>BO198*(1-PARAM!$C$27)*$I$19+(MOD($B198,60)=PARAM!$B$56)*($B198&gt;(60-PARAM!$B$56))*HLOOKUP(($B198+PARAM!$B$56)/12,Loyalty,2)*$F$1*MAX(BR197,0)</f>
        <v>18.557001321003963</v>
      </c>
      <c r="BQ198" s="75">
        <f>PARAM!$C$26+MAX($G$19-CHOOSE(PARAM!$B$44,MAX(0,BR197*$F$1),0),0)*RATES!$L174/12+$H$19*(PARAM!$D$51/12)*RATES!$N174/100</f>
        <v>11.73596486118165</v>
      </c>
      <c r="BR198" s="16">
        <f t="shared" si="128"/>
        <v>416.89567806731952</v>
      </c>
      <c r="BS198" s="15">
        <f t="shared" si="103"/>
        <v>22.170849845882874</v>
      </c>
      <c r="BT198" s="75">
        <f>BS198*(1-PARAM!$C$27)*$I$20+(MOD($B198,60)=PARAM!$B$56)*($B198&gt;(60-PARAM!$B$56))*HLOOKUP(($B198+PARAM!$B$56)/12,Loyalty,2)*$F$1*MAX(BV197,0)</f>
        <v>18.557001321003963</v>
      </c>
      <c r="BU198" s="75">
        <f>PARAM!$C$26+MAX($G$20-CHOOSE(PARAM!$B$44,MAX(0,BV197*$F$1),0),0)*RATES!$L174/12+$H$20*(PARAM!$D$51/12)*RATES!$N174/100</f>
        <v>11.73596486118165</v>
      </c>
      <c r="BV198" s="16">
        <f t="shared" si="129"/>
        <v>416.89567806731952</v>
      </c>
      <c r="BW198" s="15">
        <f t="shared" si="104"/>
        <v>22.170849845882874</v>
      </c>
      <c r="BX198" s="75">
        <f>BW198*(1-PARAM!$C$27)*$I$21+(MOD($B198,60)=PARAM!$B$56)*($B198&gt;(60-PARAM!$B$56))*HLOOKUP(($B198+PARAM!$B$56)/12,Loyalty,2)*$F$1*MAX(BZ197,0)</f>
        <v>18.557001321003963</v>
      </c>
      <c r="BY198" s="75">
        <f>PARAM!$C$26+MAX($G$21-CHOOSE(PARAM!$B$44,MAX(0,BZ197*$F$1),0),0)*RATES!$L174/12+$H$21*(PARAM!$D$51/12)*RATES!$N174/100</f>
        <v>11.73596486118165</v>
      </c>
      <c r="BZ198" s="16">
        <f t="shared" si="130"/>
        <v>416.89567806731952</v>
      </c>
      <c r="CA198" s="15">
        <f t="shared" si="105"/>
        <v>22.170849845882874</v>
      </c>
      <c r="CB198" s="75">
        <f>CA198*(1-PARAM!$C$27)*$I$22+(MOD($B198,60)=PARAM!$B$56)*($B198&gt;(60-PARAM!$B$56))*HLOOKUP(($B198+PARAM!$B$56)/12,Loyalty,2)*$F$1*MAX(CD197,0)</f>
        <v>18.557001321003963</v>
      </c>
      <c r="CC198" s="75">
        <f>PARAM!$C$26+MAX($G$22-CHOOSE(PARAM!$B$44,MAX(0,CD197*$F$1),0),0)*RATES!$L174/12+$H$22*(PARAM!$D$51/12)*RATES!$N174/100</f>
        <v>11.73596486118165</v>
      </c>
      <c r="CD198" s="16">
        <f t="shared" si="131"/>
        <v>416.89567806731952</v>
      </c>
      <c r="CE198" s="33">
        <f>IF(0=MOD(B198,12/PARAM!$D$51),1,0)</f>
        <v>1</v>
      </c>
      <c r="CF198" s="15">
        <f t="shared" si="106"/>
        <v>0</v>
      </c>
      <c r="CG198" s="75">
        <f>CF198*(1-PARAM!$C$27)*$R$3+(MOD($B198/12,5)=0)*($B198&gt;60)*HLOOKUP($B198/12,Loyalty,2)*$F$1*MAX(CI197,0)</f>
        <v>0</v>
      </c>
      <c r="CH198" s="75">
        <f>PARAM!$C$26+MAX($P$3-CHOOSE(PARAM!$B$44,MAX(0,CI197*$F$1),0),0)*RATES!$L174/12+$Q$3*(PARAM!$D$51/12)*RATES!$N174/100</f>
        <v>11.791666666666668</v>
      </c>
      <c r="CI198" s="16">
        <f>IF(CI197&gt;0,CI197*PARAM!$C$53,CI197)+CG198-CH198</f>
        <v>-2563.416666666662</v>
      </c>
      <c r="CJ198" s="15">
        <f t="shared" si="132"/>
        <v>0</v>
      </c>
      <c r="CK198" s="75">
        <f>CJ198*(1-PARAM!$C$27)*$R$4+(MOD($B198/12,5)=0)*($B198&gt;60)*HLOOKUP($B198/12,Loyalty,2)*$F$1*MAX(CM197,0)</f>
        <v>0</v>
      </c>
      <c r="CL198" s="75">
        <f>PARAM!$C$26+MAX($P$4-CHOOSE(PARAM!$B$44,MAX(0,CM197*$F$1),0),0)*RATES!$L174/12+$Q$4*(PARAM!$D$51/12)*RATES!$N174/100</f>
        <v>11.791666666666668</v>
      </c>
      <c r="CM198" s="16">
        <f>IF(CM197&gt;0,CM197*PARAM!$C$53,CM197)+CK198-CL198</f>
        <v>-2563.416666666662</v>
      </c>
      <c r="CO198" s="176"/>
    </row>
    <row r="199" spans="1:93" x14ac:dyDescent="0.2">
      <c r="A199" t="b">
        <f t="shared" si="107"/>
        <v>1</v>
      </c>
      <c r="B199" s="33">
        <v>172</v>
      </c>
      <c r="C199" s="15">
        <f t="shared" si="108"/>
        <v>20.081305947392778</v>
      </c>
      <c r="D199" s="75">
        <f>C199*(1-PARAM!$C$27)*$I$3+(MOD($B199,60)=PARAM!$B$56)*($B199&gt;(60-PARAM!$B$56))*HLOOKUP(($B199+PARAM!$B$56)/12,Loyalty,2)*$F$1*MAX(F198,0)</f>
        <v>16.808053077967756</v>
      </c>
      <c r="E199" s="75">
        <f>PARAM!$C$26+MAX($G$3-CHOOSE(PARAM!$B$44,MAX(0,F198*$F$1),0),0)*RATES!$L175/12+$H$3*(PARAM!$D$51/12)*RATES!$N175/100</f>
        <v>11.77332870898449</v>
      </c>
      <c r="F199" s="16">
        <f t="shared" si="109"/>
        <v>140.03809380831945</v>
      </c>
      <c r="G199" s="15">
        <f t="shared" si="110"/>
        <v>22.035289406060361</v>
      </c>
      <c r="H199" s="75">
        <f>G199*(1-PARAM!$C$27)*$I$4+(MOD($B199,60)=PARAM!$B$56)*($B199&gt;(60-PARAM!$B$56))*HLOOKUP(($B199+PARAM!$B$56)/12,Loyalty,2)*$F$1*MAX(J198,0)</f>
        <v>18.443537232872522</v>
      </c>
      <c r="I199" s="75">
        <f>PARAM!$C$26+MAX($G$4-CHOOSE(PARAM!$B$44,MAX(0,J198*$F$1),0),0)*RATES!$L175/12+$H$4*(PARAM!$D$51/12)*RATES!$N175/100</f>
        <v>11.737524459529205</v>
      </c>
      <c r="J199" s="16">
        <f t="shared" si="111"/>
        <v>405.29894875465709</v>
      </c>
      <c r="K199" s="15">
        <f t="shared" si="112"/>
        <v>22.170849845882874</v>
      </c>
      <c r="L199" s="75">
        <f>K199*(1-PARAM!$C$27)*$I$5+(MOD($B199,60)=PARAM!$B$56)*($B199&gt;(60-PARAM!$B$56))*HLOOKUP(($B199+PARAM!$B$56)/12,Loyalty,2)*$F$1*MAX(N198,0)</f>
        <v>18.557001321003963</v>
      </c>
      <c r="M199" s="75">
        <f>PARAM!$C$26+MAX($G$5-CHOOSE(PARAM!$B$44,MAX(0,N198*$F$1),0),0)*RATES!$L175/12+$H$5*(PARAM!$D$51/12)*RATES!$N175/100</f>
        <v>11.735038337062523</v>
      </c>
      <c r="N199" s="16">
        <f t="shared" si="113"/>
        <v>423.71764105126096</v>
      </c>
      <c r="O199" s="15">
        <f t="shared" si="114"/>
        <v>22.170849845882874</v>
      </c>
      <c r="P199" s="75">
        <f>O199*(1-PARAM!$C$27)*$I$6+(MOD($B199,60)=PARAM!$B$56)*($B199&gt;(60-PARAM!$B$56))*HLOOKUP(($B199+PARAM!$B$56)/12,Loyalty,2)*$F$1*MAX(R198,0)</f>
        <v>18.557001321003963</v>
      </c>
      <c r="Q199" s="75">
        <f>PARAM!$C$26+MAX($G$6-CHOOSE(PARAM!$B$44,MAX(0,R198*$F$1),0),0)*RATES!$L175/12+$H$6*(PARAM!$D$51/12)*RATES!$N175/100</f>
        <v>11.735038337062523</v>
      </c>
      <c r="R199" s="16">
        <f t="shared" si="115"/>
        <v>423.71764105126096</v>
      </c>
      <c r="S199" s="15">
        <f t="shared" si="90"/>
        <v>22.170849845882874</v>
      </c>
      <c r="T199" s="75">
        <f>S199*(1-PARAM!$C$27)*$I$7+(MOD($B199,60)=PARAM!$B$56)*($B199&gt;(60-PARAM!$B$56))*HLOOKUP(($B199+PARAM!$B$56)/12,Loyalty,2)*$F$1*MAX(V198,0)</f>
        <v>18.557001321003963</v>
      </c>
      <c r="U199" s="75">
        <f>PARAM!$C$26+MAX($G$7-CHOOSE(PARAM!$B$44,MAX(0,V198*$F$1),0),0)*RATES!$L175/12+$H$7*(PARAM!$D$51/12)*RATES!$N175/100</f>
        <v>11.735038337062523</v>
      </c>
      <c r="V199" s="16">
        <f t="shared" si="116"/>
        <v>423.71764105126096</v>
      </c>
      <c r="W199" s="15">
        <f t="shared" si="91"/>
        <v>22.170849845882874</v>
      </c>
      <c r="X199" s="75">
        <f>W199*(1-PARAM!$C$27)*$I$8+(MOD($B199,60)=PARAM!$B$56)*($B199&gt;(60-PARAM!$B$56))*HLOOKUP(($B199+PARAM!$B$56)/12,Loyalty,2)*$F$1*MAX(Z198,0)</f>
        <v>18.557001321003963</v>
      </c>
      <c r="Y199" s="75">
        <f>PARAM!$C$26+MAX($G$8-CHOOSE(PARAM!$B$44,MAX(0,Z198*$F$1),0),0)*RATES!$L175/12+$H$8*(PARAM!$D$51/12)*RATES!$N175/100</f>
        <v>11.735038337062523</v>
      </c>
      <c r="Z199" s="16">
        <f t="shared" si="117"/>
        <v>423.71764105126096</v>
      </c>
      <c r="AA199" s="15">
        <f t="shared" si="92"/>
        <v>22.170849845882874</v>
      </c>
      <c r="AB199" s="75">
        <f>AA199*(1-PARAM!$C$27)*$I$9+(MOD($B199,60)=PARAM!$B$56)*($B199&gt;(60-PARAM!$B$56))*HLOOKUP(($B199+PARAM!$B$56)/12,Loyalty,2)*$F$1*MAX(AD198,0)</f>
        <v>18.557001321003963</v>
      </c>
      <c r="AC199" s="75">
        <f>PARAM!$C$26+MAX($G$9-CHOOSE(PARAM!$B$44,MAX(0,AD198*$F$1),0),0)*RATES!$L175/12+$H$9*(PARAM!$D$51/12)*RATES!$N175/100</f>
        <v>11.735038337062523</v>
      </c>
      <c r="AD199" s="16">
        <f t="shared" si="118"/>
        <v>423.71764105126096</v>
      </c>
      <c r="AE199" s="15">
        <f t="shared" si="93"/>
        <v>22.170849845882874</v>
      </c>
      <c r="AF199" s="75">
        <f>AE199*(1-PARAM!$C$27)*$I$10+(MOD($B199,60)=PARAM!$B$56)*($B199&gt;(60-PARAM!$B$56))*HLOOKUP(($B199+PARAM!$B$56)/12,Loyalty,2)*$F$1*MAX(AH198,0)</f>
        <v>18.557001321003963</v>
      </c>
      <c r="AG199" s="75">
        <f>PARAM!$C$26+MAX($G$10-CHOOSE(PARAM!$B$44,MAX(0,AH198*$F$1),0),0)*RATES!$L175/12+$H$10*(PARAM!$D$51/12)*RATES!$N175/100</f>
        <v>11.735038337062523</v>
      </c>
      <c r="AH199" s="16">
        <f t="shared" si="119"/>
        <v>423.71764105126096</v>
      </c>
      <c r="AI199" s="15">
        <f t="shared" si="94"/>
        <v>22.170849845882874</v>
      </c>
      <c r="AJ199" s="75">
        <f>AI199*(1-PARAM!$C$27)*$I$11+(MOD($B199,60)=PARAM!$B$56)*($B199&gt;(60-PARAM!$B$56))*HLOOKUP(($B199+PARAM!$B$56)/12,Loyalty,2)*$F$1*MAX(AL198,0)</f>
        <v>18.557001321003963</v>
      </c>
      <c r="AK199" s="75">
        <f>PARAM!$C$26+MAX($G$11-CHOOSE(PARAM!$B$44,MAX(0,AL198*$F$1),0),0)*RATES!$L175/12+$H$11*(PARAM!$D$51/12)*RATES!$N175/100</f>
        <v>11.735038337062523</v>
      </c>
      <c r="AL199" s="16">
        <f t="shared" si="120"/>
        <v>423.71764105126096</v>
      </c>
      <c r="AM199" s="15">
        <f t="shared" si="95"/>
        <v>22.170849845882874</v>
      </c>
      <c r="AN199" s="75">
        <f>AM199*(1-PARAM!$C$27)*$I$12+(MOD($B199,60)=PARAM!$B$56)*($B199&gt;(60-PARAM!$B$56))*HLOOKUP(($B199+PARAM!$B$56)/12,Loyalty,2)*$F$1*MAX(AP198,0)</f>
        <v>18.557001321003963</v>
      </c>
      <c r="AO199" s="75">
        <f>PARAM!$C$26+MAX($G$12-CHOOSE(PARAM!$B$44,MAX(0,AP198*$F$1),0),0)*RATES!$L175/12+$H$12*(PARAM!$D$51/12)*RATES!$N175/100</f>
        <v>11.735038337062523</v>
      </c>
      <c r="AP199" s="16">
        <f t="shared" si="121"/>
        <v>423.71764105126096</v>
      </c>
      <c r="AQ199" s="15">
        <f t="shared" si="96"/>
        <v>22.170849845882874</v>
      </c>
      <c r="AR199" s="75">
        <f>AQ199*(1-PARAM!$C$27)*$I$13+(MOD($B199,60)=PARAM!$B$56)*($B199&gt;(60-PARAM!$B$56))*HLOOKUP(($B199+PARAM!$B$56)/12,Loyalty,2)*$F$1*MAX(AT198,0)</f>
        <v>18.557001321003963</v>
      </c>
      <c r="AS199" s="75">
        <f>PARAM!$C$26+MAX($G$13-CHOOSE(PARAM!$B$44,MAX(0,AT198*$F$1),0),0)*RATES!$L175/12+$H$13*(PARAM!$D$51/12)*RATES!$N175/100</f>
        <v>11.735038337062523</v>
      </c>
      <c r="AT199" s="16">
        <f t="shared" si="122"/>
        <v>423.71764105126096</v>
      </c>
      <c r="AU199" s="15">
        <f t="shared" si="97"/>
        <v>22.170849845882874</v>
      </c>
      <c r="AV199" s="75">
        <f>AU199*(1-PARAM!$C$27)*$I$14+(MOD($B199,60)=PARAM!$B$56)*($B199&gt;(60-PARAM!$B$56))*HLOOKUP(($B199+PARAM!$B$56)/12,Loyalty,2)*$F$1*MAX(AX198,0)</f>
        <v>18.557001321003963</v>
      </c>
      <c r="AW199" s="75">
        <f>PARAM!$C$26+MAX($G$14-CHOOSE(PARAM!$B$44,MAX(0,AX198*$F$1),0),0)*RATES!$L175/12+$H$14*(PARAM!$D$51/12)*RATES!$N175/100</f>
        <v>11.735038337062523</v>
      </c>
      <c r="AX199" s="16">
        <f t="shared" si="123"/>
        <v>423.71764105126096</v>
      </c>
      <c r="AY199" s="15">
        <f t="shared" si="98"/>
        <v>22.170849845882874</v>
      </c>
      <c r="AZ199" s="75">
        <f>AY199*(1-PARAM!$C$27)*$I$15+(MOD($B199,60)=PARAM!$B$56)*($B199&gt;(60-PARAM!$B$56))*HLOOKUP(($B199+PARAM!$B$56)/12,Loyalty,2)*$F$1*MAX(BB198,0)</f>
        <v>18.557001321003963</v>
      </c>
      <c r="BA199" s="75">
        <f>PARAM!$C$26+MAX($G$15-CHOOSE(PARAM!$B$44,MAX(0,BB198*$F$1),0),0)*RATES!$L175/12+$H$15*(PARAM!$D$51/12)*RATES!$N175/100</f>
        <v>11.735038337062523</v>
      </c>
      <c r="BB199" s="16">
        <f t="shared" si="124"/>
        <v>423.71764105126096</v>
      </c>
      <c r="BC199" s="15">
        <f t="shared" si="99"/>
        <v>22.170849845882874</v>
      </c>
      <c r="BD199" s="75">
        <f>BC199*(1-PARAM!$C$27)*$I$16+(MOD($B199,60)=PARAM!$B$56)*($B199&gt;(60-PARAM!$B$56))*HLOOKUP(($B199+PARAM!$B$56)/12,Loyalty,2)*$F$1*MAX(BF198,0)</f>
        <v>18.557001321003963</v>
      </c>
      <c r="BE199" s="75">
        <f>PARAM!$C$26+MAX($G$16-CHOOSE(PARAM!$B$44,MAX(0,BF198*$F$1),0),0)*RATES!$L175/12+$H$16*(PARAM!$D$51/12)*RATES!$N175/100</f>
        <v>11.735038337062523</v>
      </c>
      <c r="BF199" s="16">
        <f t="shared" si="125"/>
        <v>423.71764105126096</v>
      </c>
      <c r="BG199" s="15">
        <f t="shared" si="100"/>
        <v>22.170849845882874</v>
      </c>
      <c r="BH199" s="75">
        <f>BG199*(1-PARAM!$C$27)*$I$17+(MOD($B199,60)=PARAM!$B$56)*($B199&gt;(60-PARAM!$B$56))*HLOOKUP(($B199+PARAM!$B$56)/12,Loyalty,2)*$F$1*MAX(BJ198,0)</f>
        <v>18.557001321003963</v>
      </c>
      <c r="BI199" s="75">
        <f>PARAM!$C$26+MAX($G$17-CHOOSE(PARAM!$B$44,MAX(0,BJ198*$F$1),0),0)*RATES!$L175/12+$H$17*(PARAM!$D$51/12)*RATES!$N175/100</f>
        <v>11.735038337062523</v>
      </c>
      <c r="BJ199" s="16">
        <f t="shared" si="126"/>
        <v>423.71764105126096</v>
      </c>
      <c r="BK199" s="15">
        <f t="shared" si="101"/>
        <v>22.170849845882874</v>
      </c>
      <c r="BL199" s="75">
        <f>BK199*(1-PARAM!$C$27)*$I$18+(MOD($B199,60)=PARAM!$B$56)*($B199&gt;(60-PARAM!$B$56))*HLOOKUP(($B199+PARAM!$B$56)/12,Loyalty,2)*$F$1*MAX(BN198,0)</f>
        <v>18.557001321003963</v>
      </c>
      <c r="BM199" s="75">
        <f>PARAM!$C$26+MAX($G$18-CHOOSE(PARAM!$B$44,MAX(0,BN198*$F$1),0),0)*RATES!$L175/12+$H$18*(PARAM!$D$51/12)*RATES!$N175/100</f>
        <v>11.735038337062523</v>
      </c>
      <c r="BN199" s="16">
        <f t="shared" si="127"/>
        <v>423.71764105126096</v>
      </c>
      <c r="BO199" s="15">
        <f t="shared" si="102"/>
        <v>22.170849845882874</v>
      </c>
      <c r="BP199" s="75">
        <f>BO199*(1-PARAM!$C$27)*$I$19+(MOD($B199,60)=PARAM!$B$56)*($B199&gt;(60-PARAM!$B$56))*HLOOKUP(($B199+PARAM!$B$56)/12,Loyalty,2)*$F$1*MAX(BR198,0)</f>
        <v>18.557001321003963</v>
      </c>
      <c r="BQ199" s="75">
        <f>PARAM!$C$26+MAX($G$19-CHOOSE(PARAM!$B$44,MAX(0,BR198*$F$1),0),0)*RATES!$L175/12+$H$19*(PARAM!$D$51/12)*RATES!$N175/100</f>
        <v>11.735038337062523</v>
      </c>
      <c r="BR199" s="16">
        <f t="shared" si="128"/>
        <v>423.71764105126096</v>
      </c>
      <c r="BS199" s="15">
        <f t="shared" si="103"/>
        <v>22.170849845882874</v>
      </c>
      <c r="BT199" s="75">
        <f>BS199*(1-PARAM!$C$27)*$I$20+(MOD($B199,60)=PARAM!$B$56)*($B199&gt;(60-PARAM!$B$56))*HLOOKUP(($B199+PARAM!$B$56)/12,Loyalty,2)*$F$1*MAX(BV198,0)</f>
        <v>18.557001321003963</v>
      </c>
      <c r="BU199" s="75">
        <f>PARAM!$C$26+MAX($G$20-CHOOSE(PARAM!$B$44,MAX(0,BV198*$F$1),0),0)*RATES!$L175/12+$H$20*(PARAM!$D$51/12)*RATES!$N175/100</f>
        <v>11.735038337062523</v>
      </c>
      <c r="BV199" s="16">
        <f t="shared" si="129"/>
        <v>423.71764105126096</v>
      </c>
      <c r="BW199" s="15">
        <f t="shared" si="104"/>
        <v>22.170849845882874</v>
      </c>
      <c r="BX199" s="75">
        <f>BW199*(1-PARAM!$C$27)*$I$21+(MOD($B199,60)=PARAM!$B$56)*($B199&gt;(60-PARAM!$B$56))*HLOOKUP(($B199+PARAM!$B$56)/12,Loyalty,2)*$F$1*MAX(BZ198,0)</f>
        <v>18.557001321003963</v>
      </c>
      <c r="BY199" s="75">
        <f>PARAM!$C$26+MAX($G$21-CHOOSE(PARAM!$B$44,MAX(0,BZ198*$F$1),0),0)*RATES!$L175/12+$H$21*(PARAM!$D$51/12)*RATES!$N175/100</f>
        <v>11.735038337062523</v>
      </c>
      <c r="BZ199" s="16">
        <f t="shared" si="130"/>
        <v>423.71764105126096</v>
      </c>
      <c r="CA199" s="15">
        <f t="shared" si="105"/>
        <v>22.170849845882874</v>
      </c>
      <c r="CB199" s="75">
        <f>CA199*(1-PARAM!$C$27)*$I$22+(MOD($B199,60)=PARAM!$B$56)*($B199&gt;(60-PARAM!$B$56))*HLOOKUP(($B199+PARAM!$B$56)/12,Loyalty,2)*$F$1*MAX(CD198,0)</f>
        <v>18.557001321003963</v>
      </c>
      <c r="CC199" s="75">
        <f>PARAM!$C$26+MAX($G$22-CHOOSE(PARAM!$B$44,MAX(0,CD198*$F$1),0),0)*RATES!$L175/12+$H$22*(PARAM!$D$51/12)*RATES!$N175/100</f>
        <v>11.735038337062523</v>
      </c>
      <c r="CD199" s="16">
        <f t="shared" si="131"/>
        <v>423.71764105126096</v>
      </c>
      <c r="CE199" s="33">
        <f>IF(0=MOD(B199,12/PARAM!$D$51),1,0)</f>
        <v>1</v>
      </c>
      <c r="CF199" s="15">
        <f t="shared" si="106"/>
        <v>0</v>
      </c>
      <c r="CG199" s="75">
        <f>CF199*(1-PARAM!$C$27)*$R$3+(MOD($B199/12,5)=0)*($B199&gt;60)*HLOOKUP($B199/12,Loyalty,2)*$F$1*MAX(CI198,0)</f>
        <v>0</v>
      </c>
      <c r="CH199" s="75">
        <f>PARAM!$C$26+MAX($P$3-CHOOSE(PARAM!$B$44,MAX(0,CI198*$F$1),0),0)*RATES!$L175/12+$Q$3*(PARAM!$D$51/12)*RATES!$N175/100</f>
        <v>11.791666666666668</v>
      </c>
      <c r="CI199" s="16">
        <f>IF(CI198&gt;0,CI198*PARAM!$C$53,CI198)+CG199-CH199</f>
        <v>-2575.2083333333285</v>
      </c>
      <c r="CJ199" s="15">
        <f t="shared" si="132"/>
        <v>0</v>
      </c>
      <c r="CK199" s="75">
        <f>CJ199*(1-PARAM!$C$27)*$R$4+(MOD($B199/12,5)=0)*($B199&gt;60)*HLOOKUP($B199/12,Loyalty,2)*$F$1*MAX(CM198,0)</f>
        <v>0</v>
      </c>
      <c r="CL199" s="75">
        <f>PARAM!$C$26+MAX($P$4-CHOOSE(PARAM!$B$44,MAX(0,CM198*$F$1),0),0)*RATES!$L175/12+$Q$4*(PARAM!$D$51/12)*RATES!$N175/100</f>
        <v>11.791666666666668</v>
      </c>
      <c r="CM199" s="16">
        <f>IF(CM198&gt;0,CM198*PARAM!$C$53,CM198)+CK199-CL199</f>
        <v>-2575.2083333333285</v>
      </c>
      <c r="CO199" s="176"/>
    </row>
    <row r="200" spans="1:93" x14ac:dyDescent="0.2">
      <c r="A200" t="b">
        <f t="shared" si="107"/>
        <v>1</v>
      </c>
      <c r="B200" s="33">
        <v>173</v>
      </c>
      <c r="C200" s="15">
        <f t="shared" si="108"/>
        <v>20.081305947392778</v>
      </c>
      <c r="D200" s="75">
        <f>C200*(1-PARAM!$C$27)*$I$3+(MOD($B200,60)=PARAM!$B$56)*($B200&gt;(60-PARAM!$B$56))*HLOOKUP(($B200+PARAM!$B$56)/12,Loyalty,2)*$F$1*MAX(F199,0)</f>
        <v>16.808053077967756</v>
      </c>
      <c r="E200" s="75">
        <f>PARAM!$C$26+MAX($G$3-CHOOSE(PARAM!$B$44,MAX(0,F199*$F$1),0),0)*RATES!$L176/12+$H$3*(PARAM!$D$51/12)*RATES!$N176/100</f>
        <v>11.772644825591037</v>
      </c>
      <c r="F200" s="16">
        <f t="shared" si="109"/>
        <v>145.07350206069617</v>
      </c>
      <c r="G200" s="15">
        <f t="shared" si="110"/>
        <v>22.035289406060361</v>
      </c>
      <c r="H200" s="75">
        <f>G200*(1-PARAM!$C$27)*$I$4+(MOD($B200,60)=PARAM!$B$56)*($B200&gt;(60-PARAM!$B$56))*HLOOKUP(($B200+PARAM!$B$56)/12,Loyalty,2)*$F$1*MAX(J199,0)</f>
        <v>18.443537232872522</v>
      </c>
      <c r="I200" s="75">
        <f>PARAM!$C$26+MAX($G$4-CHOOSE(PARAM!$B$44,MAX(0,J199*$F$1),0),0)*RATES!$L176/12+$H$4*(PARAM!$D$51/12)*RATES!$N176/100</f>
        <v>11.736613559460825</v>
      </c>
      <c r="J200" s="16">
        <f t="shared" si="111"/>
        <v>412.00587242806881</v>
      </c>
      <c r="K200" s="15">
        <f t="shared" si="112"/>
        <v>22.170849845882874</v>
      </c>
      <c r="L200" s="75">
        <f>K200*(1-PARAM!$C$27)*$I$5+(MOD($B200,60)=PARAM!$B$56)*($B200&gt;(60-PARAM!$B$56))*HLOOKUP(($B200+PARAM!$B$56)/12,Loyalty,2)*$F$1*MAX(N199,0)</f>
        <v>18.557001321003963</v>
      </c>
      <c r="M200" s="75">
        <f>PARAM!$C$26+MAX($G$5-CHOOSE(PARAM!$B$44,MAX(0,N199*$F$1),0),0)*RATES!$L176/12+$H$5*(PARAM!$D$51/12)*RATES!$N176/100</f>
        <v>11.734111687090536</v>
      </c>
      <c r="N200" s="16">
        <f t="shared" si="113"/>
        <v>430.54053068517436</v>
      </c>
      <c r="O200" s="15">
        <f t="shared" si="114"/>
        <v>22.170849845882874</v>
      </c>
      <c r="P200" s="75">
        <f>O200*(1-PARAM!$C$27)*$I$6+(MOD($B200,60)=PARAM!$B$56)*($B200&gt;(60-PARAM!$B$56))*HLOOKUP(($B200+PARAM!$B$56)/12,Loyalty,2)*$F$1*MAX(R199,0)</f>
        <v>18.557001321003963</v>
      </c>
      <c r="Q200" s="75">
        <f>PARAM!$C$26+MAX($G$6-CHOOSE(PARAM!$B$44,MAX(0,R199*$F$1),0),0)*RATES!$L176/12+$H$6*(PARAM!$D$51/12)*RATES!$N176/100</f>
        <v>11.734111687090536</v>
      </c>
      <c r="R200" s="16">
        <f t="shared" si="115"/>
        <v>430.54053068517436</v>
      </c>
      <c r="S200" s="15">
        <f t="shared" si="90"/>
        <v>22.170849845882874</v>
      </c>
      <c r="T200" s="75">
        <f>S200*(1-PARAM!$C$27)*$I$7+(MOD($B200,60)=PARAM!$B$56)*($B200&gt;(60-PARAM!$B$56))*HLOOKUP(($B200+PARAM!$B$56)/12,Loyalty,2)*$F$1*MAX(V199,0)</f>
        <v>18.557001321003963</v>
      </c>
      <c r="U200" s="75">
        <f>PARAM!$C$26+MAX($G$7-CHOOSE(PARAM!$B$44,MAX(0,V199*$F$1),0),0)*RATES!$L176/12+$H$7*(PARAM!$D$51/12)*RATES!$N176/100</f>
        <v>11.734111687090536</v>
      </c>
      <c r="V200" s="16">
        <f t="shared" si="116"/>
        <v>430.54053068517436</v>
      </c>
      <c r="W200" s="15">
        <f t="shared" si="91"/>
        <v>22.170849845882874</v>
      </c>
      <c r="X200" s="75">
        <f>W200*(1-PARAM!$C$27)*$I$8+(MOD($B200,60)=PARAM!$B$56)*($B200&gt;(60-PARAM!$B$56))*HLOOKUP(($B200+PARAM!$B$56)/12,Loyalty,2)*$F$1*MAX(Z199,0)</f>
        <v>18.557001321003963</v>
      </c>
      <c r="Y200" s="75">
        <f>PARAM!$C$26+MAX($G$8-CHOOSE(PARAM!$B$44,MAX(0,Z199*$F$1),0),0)*RATES!$L176/12+$H$8*(PARAM!$D$51/12)*RATES!$N176/100</f>
        <v>11.734111687090536</v>
      </c>
      <c r="Z200" s="16">
        <f t="shared" si="117"/>
        <v>430.54053068517436</v>
      </c>
      <c r="AA200" s="15">
        <f t="shared" si="92"/>
        <v>22.170849845882874</v>
      </c>
      <c r="AB200" s="75">
        <f>AA200*(1-PARAM!$C$27)*$I$9+(MOD($B200,60)=PARAM!$B$56)*($B200&gt;(60-PARAM!$B$56))*HLOOKUP(($B200+PARAM!$B$56)/12,Loyalty,2)*$F$1*MAX(AD199,0)</f>
        <v>18.557001321003963</v>
      </c>
      <c r="AC200" s="75">
        <f>PARAM!$C$26+MAX($G$9-CHOOSE(PARAM!$B$44,MAX(0,AD199*$F$1),0),0)*RATES!$L176/12+$H$9*(PARAM!$D$51/12)*RATES!$N176/100</f>
        <v>11.734111687090536</v>
      </c>
      <c r="AD200" s="16">
        <f t="shared" si="118"/>
        <v>430.54053068517436</v>
      </c>
      <c r="AE200" s="15">
        <f t="shared" si="93"/>
        <v>22.170849845882874</v>
      </c>
      <c r="AF200" s="75">
        <f>AE200*(1-PARAM!$C$27)*$I$10+(MOD($B200,60)=PARAM!$B$56)*($B200&gt;(60-PARAM!$B$56))*HLOOKUP(($B200+PARAM!$B$56)/12,Loyalty,2)*$F$1*MAX(AH199,0)</f>
        <v>18.557001321003963</v>
      </c>
      <c r="AG200" s="75">
        <f>PARAM!$C$26+MAX($G$10-CHOOSE(PARAM!$B$44,MAX(0,AH199*$F$1),0),0)*RATES!$L176/12+$H$10*(PARAM!$D$51/12)*RATES!$N176/100</f>
        <v>11.734111687090536</v>
      </c>
      <c r="AH200" s="16">
        <f t="shared" si="119"/>
        <v>430.54053068517436</v>
      </c>
      <c r="AI200" s="15">
        <f t="shared" si="94"/>
        <v>22.170849845882874</v>
      </c>
      <c r="AJ200" s="75">
        <f>AI200*(1-PARAM!$C$27)*$I$11+(MOD($B200,60)=PARAM!$B$56)*($B200&gt;(60-PARAM!$B$56))*HLOOKUP(($B200+PARAM!$B$56)/12,Loyalty,2)*$F$1*MAX(AL199,0)</f>
        <v>18.557001321003963</v>
      </c>
      <c r="AK200" s="75">
        <f>PARAM!$C$26+MAX($G$11-CHOOSE(PARAM!$B$44,MAX(0,AL199*$F$1),0),0)*RATES!$L176/12+$H$11*(PARAM!$D$51/12)*RATES!$N176/100</f>
        <v>11.734111687090536</v>
      </c>
      <c r="AL200" s="16">
        <f t="shared" si="120"/>
        <v>430.54053068517436</v>
      </c>
      <c r="AM200" s="15">
        <f t="shared" si="95"/>
        <v>22.170849845882874</v>
      </c>
      <c r="AN200" s="75">
        <f>AM200*(1-PARAM!$C$27)*$I$12+(MOD($B200,60)=PARAM!$B$56)*($B200&gt;(60-PARAM!$B$56))*HLOOKUP(($B200+PARAM!$B$56)/12,Loyalty,2)*$F$1*MAX(AP199,0)</f>
        <v>18.557001321003963</v>
      </c>
      <c r="AO200" s="75">
        <f>PARAM!$C$26+MAX($G$12-CHOOSE(PARAM!$B$44,MAX(0,AP199*$F$1),0),0)*RATES!$L176/12+$H$12*(PARAM!$D$51/12)*RATES!$N176/100</f>
        <v>11.734111687090536</v>
      </c>
      <c r="AP200" s="16">
        <f t="shared" si="121"/>
        <v>430.54053068517436</v>
      </c>
      <c r="AQ200" s="15">
        <f t="shared" si="96"/>
        <v>22.170849845882874</v>
      </c>
      <c r="AR200" s="75">
        <f>AQ200*(1-PARAM!$C$27)*$I$13+(MOD($B200,60)=PARAM!$B$56)*($B200&gt;(60-PARAM!$B$56))*HLOOKUP(($B200+PARAM!$B$56)/12,Loyalty,2)*$F$1*MAX(AT199,0)</f>
        <v>18.557001321003963</v>
      </c>
      <c r="AS200" s="75">
        <f>PARAM!$C$26+MAX($G$13-CHOOSE(PARAM!$B$44,MAX(0,AT199*$F$1),0),0)*RATES!$L176/12+$H$13*(PARAM!$D$51/12)*RATES!$N176/100</f>
        <v>11.734111687090536</v>
      </c>
      <c r="AT200" s="16">
        <f t="shared" si="122"/>
        <v>430.54053068517436</v>
      </c>
      <c r="AU200" s="15">
        <f t="shared" si="97"/>
        <v>22.170849845882874</v>
      </c>
      <c r="AV200" s="75">
        <f>AU200*(1-PARAM!$C$27)*$I$14+(MOD($B200,60)=PARAM!$B$56)*($B200&gt;(60-PARAM!$B$56))*HLOOKUP(($B200+PARAM!$B$56)/12,Loyalty,2)*$F$1*MAX(AX199,0)</f>
        <v>18.557001321003963</v>
      </c>
      <c r="AW200" s="75">
        <f>PARAM!$C$26+MAX($G$14-CHOOSE(PARAM!$B$44,MAX(0,AX199*$F$1),0),0)*RATES!$L176/12+$H$14*(PARAM!$D$51/12)*RATES!$N176/100</f>
        <v>11.734111687090536</v>
      </c>
      <c r="AX200" s="16">
        <f t="shared" si="123"/>
        <v>430.54053068517436</v>
      </c>
      <c r="AY200" s="15">
        <f t="shared" si="98"/>
        <v>22.170849845882874</v>
      </c>
      <c r="AZ200" s="75">
        <f>AY200*(1-PARAM!$C$27)*$I$15+(MOD($B200,60)=PARAM!$B$56)*($B200&gt;(60-PARAM!$B$56))*HLOOKUP(($B200+PARAM!$B$56)/12,Loyalty,2)*$F$1*MAX(BB199,0)</f>
        <v>18.557001321003963</v>
      </c>
      <c r="BA200" s="75">
        <f>PARAM!$C$26+MAX($G$15-CHOOSE(PARAM!$B$44,MAX(0,BB199*$F$1),0),0)*RATES!$L176/12+$H$15*(PARAM!$D$51/12)*RATES!$N176/100</f>
        <v>11.734111687090536</v>
      </c>
      <c r="BB200" s="16">
        <f t="shared" si="124"/>
        <v>430.54053068517436</v>
      </c>
      <c r="BC200" s="15">
        <f t="shared" si="99"/>
        <v>22.170849845882874</v>
      </c>
      <c r="BD200" s="75">
        <f>BC200*(1-PARAM!$C$27)*$I$16+(MOD($B200,60)=PARAM!$B$56)*($B200&gt;(60-PARAM!$B$56))*HLOOKUP(($B200+PARAM!$B$56)/12,Loyalty,2)*$F$1*MAX(BF199,0)</f>
        <v>18.557001321003963</v>
      </c>
      <c r="BE200" s="75">
        <f>PARAM!$C$26+MAX($G$16-CHOOSE(PARAM!$B$44,MAX(0,BF199*$F$1),0),0)*RATES!$L176/12+$H$16*(PARAM!$D$51/12)*RATES!$N176/100</f>
        <v>11.734111687090536</v>
      </c>
      <c r="BF200" s="16">
        <f t="shared" si="125"/>
        <v>430.54053068517436</v>
      </c>
      <c r="BG200" s="15">
        <f t="shared" si="100"/>
        <v>22.170849845882874</v>
      </c>
      <c r="BH200" s="75">
        <f>BG200*(1-PARAM!$C$27)*$I$17+(MOD($B200,60)=PARAM!$B$56)*($B200&gt;(60-PARAM!$B$56))*HLOOKUP(($B200+PARAM!$B$56)/12,Loyalty,2)*$F$1*MAX(BJ199,0)</f>
        <v>18.557001321003963</v>
      </c>
      <c r="BI200" s="75">
        <f>PARAM!$C$26+MAX($G$17-CHOOSE(PARAM!$B$44,MAX(0,BJ199*$F$1),0),0)*RATES!$L176/12+$H$17*(PARAM!$D$51/12)*RATES!$N176/100</f>
        <v>11.734111687090536</v>
      </c>
      <c r="BJ200" s="16">
        <f t="shared" si="126"/>
        <v>430.54053068517436</v>
      </c>
      <c r="BK200" s="15">
        <f t="shared" si="101"/>
        <v>22.170849845882874</v>
      </c>
      <c r="BL200" s="75">
        <f>BK200*(1-PARAM!$C$27)*$I$18+(MOD($B200,60)=PARAM!$B$56)*($B200&gt;(60-PARAM!$B$56))*HLOOKUP(($B200+PARAM!$B$56)/12,Loyalty,2)*$F$1*MAX(BN199,0)</f>
        <v>18.557001321003963</v>
      </c>
      <c r="BM200" s="75">
        <f>PARAM!$C$26+MAX($G$18-CHOOSE(PARAM!$B$44,MAX(0,BN199*$F$1),0),0)*RATES!$L176/12+$H$18*(PARAM!$D$51/12)*RATES!$N176/100</f>
        <v>11.734111687090536</v>
      </c>
      <c r="BN200" s="16">
        <f t="shared" si="127"/>
        <v>430.54053068517436</v>
      </c>
      <c r="BO200" s="15">
        <f t="shared" si="102"/>
        <v>22.170849845882874</v>
      </c>
      <c r="BP200" s="75">
        <f>BO200*(1-PARAM!$C$27)*$I$19+(MOD($B200,60)=PARAM!$B$56)*($B200&gt;(60-PARAM!$B$56))*HLOOKUP(($B200+PARAM!$B$56)/12,Loyalty,2)*$F$1*MAX(BR199,0)</f>
        <v>18.557001321003963</v>
      </c>
      <c r="BQ200" s="75">
        <f>PARAM!$C$26+MAX($G$19-CHOOSE(PARAM!$B$44,MAX(0,BR199*$F$1),0),0)*RATES!$L176/12+$H$19*(PARAM!$D$51/12)*RATES!$N176/100</f>
        <v>11.734111687090536</v>
      </c>
      <c r="BR200" s="16">
        <f t="shared" si="128"/>
        <v>430.54053068517436</v>
      </c>
      <c r="BS200" s="15">
        <f t="shared" si="103"/>
        <v>22.170849845882874</v>
      </c>
      <c r="BT200" s="75">
        <f>BS200*(1-PARAM!$C$27)*$I$20+(MOD($B200,60)=PARAM!$B$56)*($B200&gt;(60-PARAM!$B$56))*HLOOKUP(($B200+PARAM!$B$56)/12,Loyalty,2)*$F$1*MAX(BV199,0)</f>
        <v>18.557001321003963</v>
      </c>
      <c r="BU200" s="75">
        <f>PARAM!$C$26+MAX($G$20-CHOOSE(PARAM!$B$44,MAX(0,BV199*$F$1),0),0)*RATES!$L176/12+$H$20*(PARAM!$D$51/12)*RATES!$N176/100</f>
        <v>11.734111687090536</v>
      </c>
      <c r="BV200" s="16">
        <f t="shared" si="129"/>
        <v>430.54053068517436</v>
      </c>
      <c r="BW200" s="15">
        <f t="shared" si="104"/>
        <v>22.170849845882874</v>
      </c>
      <c r="BX200" s="75">
        <f>BW200*(1-PARAM!$C$27)*$I$21+(MOD($B200,60)=PARAM!$B$56)*($B200&gt;(60-PARAM!$B$56))*HLOOKUP(($B200+PARAM!$B$56)/12,Loyalty,2)*$F$1*MAX(BZ199,0)</f>
        <v>18.557001321003963</v>
      </c>
      <c r="BY200" s="75">
        <f>PARAM!$C$26+MAX($G$21-CHOOSE(PARAM!$B$44,MAX(0,BZ199*$F$1),0),0)*RATES!$L176/12+$H$21*(PARAM!$D$51/12)*RATES!$N176/100</f>
        <v>11.734111687090536</v>
      </c>
      <c r="BZ200" s="16">
        <f t="shared" si="130"/>
        <v>430.54053068517436</v>
      </c>
      <c r="CA200" s="15">
        <f t="shared" si="105"/>
        <v>22.170849845882874</v>
      </c>
      <c r="CB200" s="75">
        <f>CA200*(1-PARAM!$C$27)*$I$22+(MOD($B200,60)=PARAM!$B$56)*($B200&gt;(60-PARAM!$B$56))*HLOOKUP(($B200+PARAM!$B$56)/12,Loyalty,2)*$F$1*MAX(CD199,0)</f>
        <v>18.557001321003963</v>
      </c>
      <c r="CC200" s="75">
        <f>PARAM!$C$26+MAX($G$22-CHOOSE(PARAM!$B$44,MAX(0,CD199*$F$1),0),0)*RATES!$L176/12+$H$22*(PARAM!$D$51/12)*RATES!$N176/100</f>
        <v>11.734111687090536</v>
      </c>
      <c r="CD200" s="16">
        <f t="shared" si="131"/>
        <v>430.54053068517436</v>
      </c>
      <c r="CE200" s="33">
        <f>IF(0=MOD(B200,12/PARAM!$D$51),1,0)</f>
        <v>1</v>
      </c>
      <c r="CF200" s="15">
        <f t="shared" si="106"/>
        <v>0</v>
      </c>
      <c r="CG200" s="75">
        <f>CF200*(1-PARAM!$C$27)*$R$3+(MOD($B200/12,5)=0)*($B200&gt;60)*HLOOKUP($B200/12,Loyalty,2)*$F$1*MAX(CI199,0)</f>
        <v>0</v>
      </c>
      <c r="CH200" s="75">
        <f>PARAM!$C$26+MAX($P$3-CHOOSE(PARAM!$B$44,MAX(0,CI199*$F$1),0),0)*RATES!$L176/12+$Q$3*(PARAM!$D$51/12)*RATES!$N176/100</f>
        <v>11.791666666666668</v>
      </c>
      <c r="CI200" s="16">
        <f>IF(CI199&gt;0,CI199*PARAM!$C$53,CI199)+CG200-CH200</f>
        <v>-2586.999999999995</v>
      </c>
      <c r="CJ200" s="15">
        <f t="shared" si="132"/>
        <v>0</v>
      </c>
      <c r="CK200" s="75">
        <f>CJ200*(1-PARAM!$C$27)*$R$4+(MOD($B200/12,5)=0)*($B200&gt;60)*HLOOKUP($B200/12,Loyalty,2)*$F$1*MAX(CM199,0)</f>
        <v>0</v>
      </c>
      <c r="CL200" s="75">
        <f>PARAM!$C$26+MAX($P$4-CHOOSE(PARAM!$B$44,MAX(0,CM199*$F$1),0),0)*RATES!$L176/12+$Q$4*(PARAM!$D$51/12)*RATES!$N176/100</f>
        <v>11.791666666666668</v>
      </c>
      <c r="CM200" s="16">
        <f>IF(CM199&gt;0,CM199*PARAM!$C$53,CM199)+CK200-CL200</f>
        <v>-2586.999999999995</v>
      </c>
      <c r="CO200" s="176"/>
    </row>
    <row r="201" spans="1:93" x14ac:dyDescent="0.2">
      <c r="A201" t="b">
        <f t="shared" si="107"/>
        <v>1</v>
      </c>
      <c r="B201" s="33">
        <v>174</v>
      </c>
      <c r="C201" s="15">
        <f t="shared" si="108"/>
        <v>20.081305947392778</v>
      </c>
      <c r="D201" s="75">
        <f>C201*(1-PARAM!$C$27)*$I$3+(MOD($B201,60)=PARAM!$B$56)*($B201&gt;(60-PARAM!$B$56))*HLOOKUP(($B201+PARAM!$B$56)/12,Loyalty,2)*$F$1*MAX(F200,0)</f>
        <v>16.808053077967756</v>
      </c>
      <c r="E201" s="75">
        <f>PARAM!$C$26+MAX($G$3-CHOOSE(PARAM!$B$44,MAX(0,F200*$F$1),0),0)*RATES!$L177/12+$H$3*(PARAM!$D$51/12)*RATES!$N177/100</f>
        <v>12.602876290935743</v>
      </c>
      <c r="F201" s="16">
        <f t="shared" si="109"/>
        <v>149.2786788477282</v>
      </c>
      <c r="G201" s="15">
        <f t="shared" si="110"/>
        <v>22.035289406060361</v>
      </c>
      <c r="H201" s="75">
        <f>G201*(1-PARAM!$C$27)*$I$4+(MOD($B201,60)=PARAM!$B$56)*($B201&gt;(60-PARAM!$B$56))*HLOOKUP(($B201+PARAM!$B$56)/12,Loyalty,2)*$F$1*MAX(J200,0)</f>
        <v>18.443537232872522</v>
      </c>
      <c r="I201" s="75">
        <f>PARAM!$C$26+MAX($G$4-CHOOSE(PARAM!$B$44,MAX(0,J200*$F$1),0),0)*RATES!$L177/12+$H$4*(PARAM!$D$51/12)*RATES!$N177/100</f>
        <v>12.562169104454721</v>
      </c>
      <c r="J201" s="16">
        <f t="shared" si="111"/>
        <v>417.88724055648663</v>
      </c>
      <c r="K201" s="15">
        <f t="shared" si="112"/>
        <v>22.170849845882874</v>
      </c>
      <c r="L201" s="75">
        <f>K201*(1-PARAM!$C$27)*$I$5+(MOD($B201,60)=PARAM!$B$56)*($B201&gt;(60-PARAM!$B$56))*HLOOKUP(($B201+PARAM!$B$56)/12,Loyalty,2)*$F$1*MAX(N200,0)</f>
        <v>18.557001321003963</v>
      </c>
      <c r="M201" s="75">
        <f>PARAM!$C$26+MAX($G$5-CHOOSE(PARAM!$B$44,MAX(0,N200*$F$1),0),0)*RATES!$L177/12+$H$5*(PARAM!$D$51/12)*RATES!$N177/100</f>
        <v>12.559342569070512</v>
      </c>
      <c r="N201" s="16">
        <f t="shared" si="113"/>
        <v>436.5381894371078</v>
      </c>
      <c r="O201" s="15">
        <f t="shared" si="114"/>
        <v>22.170849845882874</v>
      </c>
      <c r="P201" s="75">
        <f>O201*(1-PARAM!$C$27)*$I$6+(MOD($B201,60)=PARAM!$B$56)*($B201&gt;(60-PARAM!$B$56))*HLOOKUP(($B201+PARAM!$B$56)/12,Loyalty,2)*$F$1*MAX(R200,0)</f>
        <v>18.557001321003963</v>
      </c>
      <c r="Q201" s="75">
        <f>PARAM!$C$26+MAX($G$6-CHOOSE(PARAM!$B$44,MAX(0,R200*$F$1),0),0)*RATES!$L177/12+$H$6*(PARAM!$D$51/12)*RATES!$N177/100</f>
        <v>12.559342569070512</v>
      </c>
      <c r="R201" s="16">
        <f t="shared" si="115"/>
        <v>436.5381894371078</v>
      </c>
      <c r="S201" s="15">
        <f t="shared" si="90"/>
        <v>22.170849845882874</v>
      </c>
      <c r="T201" s="75">
        <f>S201*(1-PARAM!$C$27)*$I$7+(MOD($B201,60)=PARAM!$B$56)*($B201&gt;(60-PARAM!$B$56))*HLOOKUP(($B201+PARAM!$B$56)/12,Loyalty,2)*$F$1*MAX(V200,0)</f>
        <v>18.557001321003963</v>
      </c>
      <c r="U201" s="75">
        <f>PARAM!$C$26+MAX($G$7-CHOOSE(PARAM!$B$44,MAX(0,V200*$F$1),0),0)*RATES!$L177/12+$H$7*(PARAM!$D$51/12)*RATES!$N177/100</f>
        <v>12.559342569070512</v>
      </c>
      <c r="V201" s="16">
        <f t="shared" si="116"/>
        <v>436.5381894371078</v>
      </c>
      <c r="W201" s="15">
        <f t="shared" si="91"/>
        <v>22.170849845882874</v>
      </c>
      <c r="X201" s="75">
        <f>W201*(1-PARAM!$C$27)*$I$8+(MOD($B201,60)=PARAM!$B$56)*($B201&gt;(60-PARAM!$B$56))*HLOOKUP(($B201+PARAM!$B$56)/12,Loyalty,2)*$F$1*MAX(Z200,0)</f>
        <v>18.557001321003963</v>
      </c>
      <c r="Y201" s="75">
        <f>PARAM!$C$26+MAX($G$8-CHOOSE(PARAM!$B$44,MAX(0,Z200*$F$1),0),0)*RATES!$L177/12+$H$8*(PARAM!$D$51/12)*RATES!$N177/100</f>
        <v>12.559342569070512</v>
      </c>
      <c r="Z201" s="16">
        <f t="shared" si="117"/>
        <v>436.5381894371078</v>
      </c>
      <c r="AA201" s="15">
        <f t="shared" si="92"/>
        <v>22.170849845882874</v>
      </c>
      <c r="AB201" s="75">
        <f>AA201*(1-PARAM!$C$27)*$I$9+(MOD($B201,60)=PARAM!$B$56)*($B201&gt;(60-PARAM!$B$56))*HLOOKUP(($B201+PARAM!$B$56)/12,Loyalty,2)*$F$1*MAX(AD200,0)</f>
        <v>18.557001321003963</v>
      </c>
      <c r="AC201" s="75">
        <f>PARAM!$C$26+MAX($G$9-CHOOSE(PARAM!$B$44,MAX(0,AD200*$F$1),0),0)*RATES!$L177/12+$H$9*(PARAM!$D$51/12)*RATES!$N177/100</f>
        <v>12.559342569070512</v>
      </c>
      <c r="AD201" s="16">
        <f t="shared" si="118"/>
        <v>436.5381894371078</v>
      </c>
      <c r="AE201" s="15">
        <f t="shared" si="93"/>
        <v>22.170849845882874</v>
      </c>
      <c r="AF201" s="75">
        <f>AE201*(1-PARAM!$C$27)*$I$10+(MOD($B201,60)=PARAM!$B$56)*($B201&gt;(60-PARAM!$B$56))*HLOOKUP(($B201+PARAM!$B$56)/12,Loyalty,2)*$F$1*MAX(AH200,0)</f>
        <v>18.557001321003963</v>
      </c>
      <c r="AG201" s="75">
        <f>PARAM!$C$26+MAX($G$10-CHOOSE(PARAM!$B$44,MAX(0,AH200*$F$1),0),0)*RATES!$L177/12+$H$10*(PARAM!$D$51/12)*RATES!$N177/100</f>
        <v>12.559342569070512</v>
      </c>
      <c r="AH201" s="16">
        <f t="shared" si="119"/>
        <v>436.5381894371078</v>
      </c>
      <c r="AI201" s="15">
        <f t="shared" si="94"/>
        <v>22.170849845882874</v>
      </c>
      <c r="AJ201" s="75">
        <f>AI201*(1-PARAM!$C$27)*$I$11+(MOD($B201,60)=PARAM!$B$56)*($B201&gt;(60-PARAM!$B$56))*HLOOKUP(($B201+PARAM!$B$56)/12,Loyalty,2)*$F$1*MAX(AL200,0)</f>
        <v>18.557001321003963</v>
      </c>
      <c r="AK201" s="75">
        <f>PARAM!$C$26+MAX($G$11-CHOOSE(PARAM!$B$44,MAX(0,AL200*$F$1),0),0)*RATES!$L177/12+$H$11*(PARAM!$D$51/12)*RATES!$N177/100</f>
        <v>12.559342569070512</v>
      </c>
      <c r="AL201" s="16">
        <f t="shared" si="120"/>
        <v>436.5381894371078</v>
      </c>
      <c r="AM201" s="15">
        <f t="shared" si="95"/>
        <v>22.170849845882874</v>
      </c>
      <c r="AN201" s="75">
        <f>AM201*(1-PARAM!$C$27)*$I$12+(MOD($B201,60)=PARAM!$B$56)*($B201&gt;(60-PARAM!$B$56))*HLOOKUP(($B201+PARAM!$B$56)/12,Loyalty,2)*$F$1*MAX(AP200,0)</f>
        <v>18.557001321003963</v>
      </c>
      <c r="AO201" s="75">
        <f>PARAM!$C$26+MAX($G$12-CHOOSE(PARAM!$B$44,MAX(0,AP200*$F$1),0),0)*RATES!$L177/12+$H$12*(PARAM!$D$51/12)*RATES!$N177/100</f>
        <v>12.559342569070512</v>
      </c>
      <c r="AP201" s="16">
        <f t="shared" si="121"/>
        <v>436.5381894371078</v>
      </c>
      <c r="AQ201" s="15">
        <f t="shared" si="96"/>
        <v>22.170849845882874</v>
      </c>
      <c r="AR201" s="75">
        <f>AQ201*(1-PARAM!$C$27)*$I$13+(MOD($B201,60)=PARAM!$B$56)*($B201&gt;(60-PARAM!$B$56))*HLOOKUP(($B201+PARAM!$B$56)/12,Loyalty,2)*$F$1*MAX(AT200,0)</f>
        <v>18.557001321003963</v>
      </c>
      <c r="AS201" s="75">
        <f>PARAM!$C$26+MAX($G$13-CHOOSE(PARAM!$B$44,MAX(0,AT200*$F$1),0),0)*RATES!$L177/12+$H$13*(PARAM!$D$51/12)*RATES!$N177/100</f>
        <v>12.559342569070512</v>
      </c>
      <c r="AT201" s="16">
        <f t="shared" si="122"/>
        <v>436.5381894371078</v>
      </c>
      <c r="AU201" s="15">
        <f t="shared" si="97"/>
        <v>22.170849845882874</v>
      </c>
      <c r="AV201" s="75">
        <f>AU201*(1-PARAM!$C$27)*$I$14+(MOD($B201,60)=PARAM!$B$56)*($B201&gt;(60-PARAM!$B$56))*HLOOKUP(($B201+PARAM!$B$56)/12,Loyalty,2)*$F$1*MAX(AX200,0)</f>
        <v>18.557001321003963</v>
      </c>
      <c r="AW201" s="75">
        <f>PARAM!$C$26+MAX($G$14-CHOOSE(PARAM!$B$44,MAX(0,AX200*$F$1),0),0)*RATES!$L177/12+$H$14*(PARAM!$D$51/12)*RATES!$N177/100</f>
        <v>12.559342569070512</v>
      </c>
      <c r="AX201" s="16">
        <f t="shared" si="123"/>
        <v>436.5381894371078</v>
      </c>
      <c r="AY201" s="15">
        <f t="shared" si="98"/>
        <v>22.170849845882874</v>
      </c>
      <c r="AZ201" s="75">
        <f>AY201*(1-PARAM!$C$27)*$I$15+(MOD($B201,60)=PARAM!$B$56)*($B201&gt;(60-PARAM!$B$56))*HLOOKUP(($B201+PARAM!$B$56)/12,Loyalty,2)*$F$1*MAX(BB200,0)</f>
        <v>18.557001321003963</v>
      </c>
      <c r="BA201" s="75">
        <f>PARAM!$C$26+MAX($G$15-CHOOSE(PARAM!$B$44,MAX(0,BB200*$F$1),0),0)*RATES!$L177/12+$H$15*(PARAM!$D$51/12)*RATES!$N177/100</f>
        <v>12.559342569070512</v>
      </c>
      <c r="BB201" s="16">
        <f t="shared" si="124"/>
        <v>436.5381894371078</v>
      </c>
      <c r="BC201" s="15">
        <f t="shared" si="99"/>
        <v>22.170849845882874</v>
      </c>
      <c r="BD201" s="75">
        <f>BC201*(1-PARAM!$C$27)*$I$16+(MOD($B201,60)=PARAM!$B$56)*($B201&gt;(60-PARAM!$B$56))*HLOOKUP(($B201+PARAM!$B$56)/12,Loyalty,2)*$F$1*MAX(BF200,0)</f>
        <v>18.557001321003963</v>
      </c>
      <c r="BE201" s="75">
        <f>PARAM!$C$26+MAX($G$16-CHOOSE(PARAM!$B$44,MAX(0,BF200*$F$1),0),0)*RATES!$L177/12+$H$16*(PARAM!$D$51/12)*RATES!$N177/100</f>
        <v>12.559342569070512</v>
      </c>
      <c r="BF201" s="16">
        <f t="shared" si="125"/>
        <v>436.5381894371078</v>
      </c>
      <c r="BG201" s="15">
        <f t="shared" si="100"/>
        <v>22.170849845882874</v>
      </c>
      <c r="BH201" s="75">
        <f>BG201*(1-PARAM!$C$27)*$I$17+(MOD($B201,60)=PARAM!$B$56)*($B201&gt;(60-PARAM!$B$56))*HLOOKUP(($B201+PARAM!$B$56)/12,Loyalty,2)*$F$1*MAX(BJ200,0)</f>
        <v>18.557001321003963</v>
      </c>
      <c r="BI201" s="75">
        <f>PARAM!$C$26+MAX($G$17-CHOOSE(PARAM!$B$44,MAX(0,BJ200*$F$1),0),0)*RATES!$L177/12+$H$17*(PARAM!$D$51/12)*RATES!$N177/100</f>
        <v>12.559342569070512</v>
      </c>
      <c r="BJ201" s="16">
        <f t="shared" si="126"/>
        <v>436.5381894371078</v>
      </c>
      <c r="BK201" s="15">
        <f t="shared" si="101"/>
        <v>22.170849845882874</v>
      </c>
      <c r="BL201" s="75">
        <f>BK201*(1-PARAM!$C$27)*$I$18+(MOD($B201,60)=PARAM!$B$56)*($B201&gt;(60-PARAM!$B$56))*HLOOKUP(($B201+PARAM!$B$56)/12,Loyalty,2)*$F$1*MAX(BN200,0)</f>
        <v>18.557001321003963</v>
      </c>
      <c r="BM201" s="75">
        <f>PARAM!$C$26+MAX($G$18-CHOOSE(PARAM!$B$44,MAX(0,BN200*$F$1),0),0)*RATES!$L177/12+$H$18*(PARAM!$D$51/12)*RATES!$N177/100</f>
        <v>12.559342569070512</v>
      </c>
      <c r="BN201" s="16">
        <f t="shared" si="127"/>
        <v>436.5381894371078</v>
      </c>
      <c r="BO201" s="15">
        <f t="shared" si="102"/>
        <v>22.170849845882874</v>
      </c>
      <c r="BP201" s="75">
        <f>BO201*(1-PARAM!$C$27)*$I$19+(MOD($B201,60)=PARAM!$B$56)*($B201&gt;(60-PARAM!$B$56))*HLOOKUP(($B201+PARAM!$B$56)/12,Loyalty,2)*$F$1*MAX(BR200,0)</f>
        <v>18.557001321003963</v>
      </c>
      <c r="BQ201" s="75">
        <f>PARAM!$C$26+MAX($G$19-CHOOSE(PARAM!$B$44,MAX(0,BR200*$F$1),0),0)*RATES!$L177/12+$H$19*(PARAM!$D$51/12)*RATES!$N177/100</f>
        <v>12.559342569070512</v>
      </c>
      <c r="BR201" s="16">
        <f t="shared" si="128"/>
        <v>436.5381894371078</v>
      </c>
      <c r="BS201" s="15">
        <f t="shared" si="103"/>
        <v>22.170849845882874</v>
      </c>
      <c r="BT201" s="75">
        <f>BS201*(1-PARAM!$C$27)*$I$20+(MOD($B201,60)=PARAM!$B$56)*($B201&gt;(60-PARAM!$B$56))*HLOOKUP(($B201+PARAM!$B$56)/12,Loyalty,2)*$F$1*MAX(BV200,0)</f>
        <v>18.557001321003963</v>
      </c>
      <c r="BU201" s="75">
        <f>PARAM!$C$26+MAX($G$20-CHOOSE(PARAM!$B$44,MAX(0,BV200*$F$1),0),0)*RATES!$L177/12+$H$20*(PARAM!$D$51/12)*RATES!$N177/100</f>
        <v>12.559342569070512</v>
      </c>
      <c r="BV201" s="16">
        <f t="shared" si="129"/>
        <v>436.5381894371078</v>
      </c>
      <c r="BW201" s="15">
        <f t="shared" si="104"/>
        <v>22.170849845882874</v>
      </c>
      <c r="BX201" s="75">
        <f>BW201*(1-PARAM!$C$27)*$I$21+(MOD($B201,60)=PARAM!$B$56)*($B201&gt;(60-PARAM!$B$56))*HLOOKUP(($B201+PARAM!$B$56)/12,Loyalty,2)*$F$1*MAX(BZ200,0)</f>
        <v>18.557001321003963</v>
      </c>
      <c r="BY201" s="75">
        <f>PARAM!$C$26+MAX($G$21-CHOOSE(PARAM!$B$44,MAX(0,BZ200*$F$1),0),0)*RATES!$L177/12+$H$21*(PARAM!$D$51/12)*RATES!$N177/100</f>
        <v>12.559342569070512</v>
      </c>
      <c r="BZ201" s="16">
        <f t="shared" si="130"/>
        <v>436.5381894371078</v>
      </c>
      <c r="CA201" s="15">
        <f t="shared" si="105"/>
        <v>22.170849845882874</v>
      </c>
      <c r="CB201" s="75">
        <f>CA201*(1-PARAM!$C$27)*$I$22+(MOD($B201,60)=PARAM!$B$56)*($B201&gt;(60-PARAM!$B$56))*HLOOKUP(($B201+PARAM!$B$56)/12,Loyalty,2)*$F$1*MAX(CD200,0)</f>
        <v>18.557001321003963</v>
      </c>
      <c r="CC201" s="75">
        <f>PARAM!$C$26+MAX($G$22-CHOOSE(PARAM!$B$44,MAX(0,CD200*$F$1),0),0)*RATES!$L177/12+$H$22*(PARAM!$D$51/12)*RATES!$N177/100</f>
        <v>12.559342569070512</v>
      </c>
      <c r="CD201" s="16">
        <f t="shared" si="131"/>
        <v>436.5381894371078</v>
      </c>
      <c r="CE201" s="33">
        <f>IF(0=MOD(B201,12/PARAM!$D$51),1,0)</f>
        <v>1</v>
      </c>
      <c r="CF201" s="15">
        <f t="shared" si="106"/>
        <v>0</v>
      </c>
      <c r="CG201" s="75">
        <f>CF201*(1-PARAM!$C$27)*$R$3+(MOD($B201/12,5)=0)*($B201&gt;60)*HLOOKUP($B201/12,Loyalty,2)*$F$1*MAX(CI200,0)</f>
        <v>0</v>
      </c>
      <c r="CH201" s="75">
        <f>PARAM!$C$26+MAX($P$3-CHOOSE(PARAM!$B$44,MAX(0,CI200*$F$1),0),0)*RATES!$L177/12+$Q$3*(PARAM!$D$51/12)*RATES!$N177/100</f>
        <v>12.625</v>
      </c>
      <c r="CI201" s="16">
        <f>IF(CI200&gt;0,CI200*PARAM!$C$53,CI200)+CG201-CH201</f>
        <v>-2599.624999999995</v>
      </c>
      <c r="CJ201" s="15">
        <f t="shared" si="132"/>
        <v>0</v>
      </c>
      <c r="CK201" s="75">
        <f>CJ201*(1-PARAM!$C$27)*$R$4+(MOD($B201/12,5)=0)*($B201&gt;60)*HLOOKUP($B201/12,Loyalty,2)*$F$1*MAX(CM200,0)</f>
        <v>0</v>
      </c>
      <c r="CL201" s="75">
        <f>PARAM!$C$26+MAX($P$4-CHOOSE(PARAM!$B$44,MAX(0,CM200*$F$1),0),0)*RATES!$L177/12+$Q$4*(PARAM!$D$51/12)*RATES!$N177/100</f>
        <v>12.625</v>
      </c>
      <c r="CM201" s="16">
        <f>IF(CM200&gt;0,CM200*PARAM!$C$53,CM200)+CK201-CL201</f>
        <v>-2599.624999999995</v>
      </c>
      <c r="CO201" s="176"/>
    </row>
    <row r="202" spans="1:93" x14ac:dyDescent="0.2">
      <c r="A202" t="b">
        <f t="shared" si="107"/>
        <v>1</v>
      </c>
      <c r="B202" s="33">
        <v>175</v>
      </c>
      <c r="C202" s="15">
        <f t="shared" si="108"/>
        <v>20.081305947392778</v>
      </c>
      <c r="D202" s="75">
        <f>C202*(1-PARAM!$C$27)*$I$3+(MOD($B202,60)=PARAM!$B$56)*($B202&gt;(60-PARAM!$B$56))*HLOOKUP(($B202+PARAM!$B$56)/12,Loyalty,2)*$F$1*MAX(F201,0)</f>
        <v>16.808053077967756</v>
      </c>
      <c r="E202" s="75">
        <f>PARAM!$C$26+MAX($G$3-CHOOSE(PARAM!$B$44,MAX(0,F201*$F$1),0),0)*RATES!$L178/12+$H$3*(PARAM!$D$51/12)*RATES!$N178/100</f>
        <v>12.602235001475719</v>
      </c>
      <c r="F202" s="16">
        <f t="shared" si="109"/>
        <v>153.48449692422025</v>
      </c>
      <c r="G202" s="15">
        <f t="shared" si="110"/>
        <v>22.035289406060361</v>
      </c>
      <c r="H202" s="75">
        <f>G202*(1-PARAM!$C$27)*$I$4+(MOD($B202,60)=PARAM!$B$56)*($B202&gt;(60-PARAM!$B$56))*HLOOKUP(($B202+PARAM!$B$56)/12,Loyalty,2)*$F$1*MAX(J201,0)</f>
        <v>18.443537232872522</v>
      </c>
      <c r="I202" s="75">
        <f>PARAM!$C$26+MAX($G$4-CHOOSE(PARAM!$B$44,MAX(0,J201*$F$1),0),0)*RATES!$L178/12+$H$4*(PARAM!$D$51/12)*RATES!$N178/100</f>
        <v>12.561272195815135</v>
      </c>
      <c r="J202" s="16">
        <f t="shared" si="111"/>
        <v>423.76950559354401</v>
      </c>
      <c r="K202" s="15">
        <f t="shared" si="112"/>
        <v>22.170849845882874</v>
      </c>
      <c r="L202" s="75">
        <f>K202*(1-PARAM!$C$27)*$I$5+(MOD($B202,60)=PARAM!$B$56)*($B202&gt;(60-PARAM!$B$56))*HLOOKUP(($B202+PARAM!$B$56)/12,Loyalty,2)*$F$1*MAX(N201,0)</f>
        <v>18.557001321003963</v>
      </c>
      <c r="M202" s="75">
        <f>PARAM!$C$26+MAX($G$5-CHOOSE(PARAM!$B$44,MAX(0,N201*$F$1),0),0)*RATES!$L178/12+$H$5*(PARAM!$D$51/12)*RATES!$N178/100</f>
        <v>12.558427926110841</v>
      </c>
      <c r="N202" s="16">
        <f t="shared" si="113"/>
        <v>442.53676283200093</v>
      </c>
      <c r="O202" s="15">
        <f t="shared" si="114"/>
        <v>22.170849845882874</v>
      </c>
      <c r="P202" s="75">
        <f>O202*(1-PARAM!$C$27)*$I$6+(MOD($B202,60)=PARAM!$B$56)*($B202&gt;(60-PARAM!$B$56))*HLOOKUP(($B202+PARAM!$B$56)/12,Loyalty,2)*$F$1*MAX(R201,0)</f>
        <v>18.557001321003963</v>
      </c>
      <c r="Q202" s="75">
        <f>PARAM!$C$26+MAX($G$6-CHOOSE(PARAM!$B$44,MAX(0,R201*$F$1),0),0)*RATES!$L178/12+$H$6*(PARAM!$D$51/12)*RATES!$N178/100</f>
        <v>12.558427926110841</v>
      </c>
      <c r="R202" s="16">
        <f t="shared" si="115"/>
        <v>442.53676283200093</v>
      </c>
      <c r="S202" s="15">
        <f t="shared" si="90"/>
        <v>22.170849845882874</v>
      </c>
      <c r="T202" s="75">
        <f>S202*(1-PARAM!$C$27)*$I$7+(MOD($B202,60)=PARAM!$B$56)*($B202&gt;(60-PARAM!$B$56))*HLOOKUP(($B202+PARAM!$B$56)/12,Loyalty,2)*$F$1*MAX(V201,0)</f>
        <v>18.557001321003963</v>
      </c>
      <c r="U202" s="75">
        <f>PARAM!$C$26+MAX($G$7-CHOOSE(PARAM!$B$44,MAX(0,V201*$F$1),0),0)*RATES!$L178/12+$H$7*(PARAM!$D$51/12)*RATES!$N178/100</f>
        <v>12.558427926110841</v>
      </c>
      <c r="V202" s="16">
        <f t="shared" si="116"/>
        <v>442.53676283200093</v>
      </c>
      <c r="W202" s="15">
        <f t="shared" si="91"/>
        <v>22.170849845882874</v>
      </c>
      <c r="X202" s="75">
        <f>W202*(1-PARAM!$C$27)*$I$8+(MOD($B202,60)=PARAM!$B$56)*($B202&gt;(60-PARAM!$B$56))*HLOOKUP(($B202+PARAM!$B$56)/12,Loyalty,2)*$F$1*MAX(Z201,0)</f>
        <v>18.557001321003963</v>
      </c>
      <c r="Y202" s="75">
        <f>PARAM!$C$26+MAX($G$8-CHOOSE(PARAM!$B$44,MAX(0,Z201*$F$1),0),0)*RATES!$L178/12+$H$8*(PARAM!$D$51/12)*RATES!$N178/100</f>
        <v>12.558427926110841</v>
      </c>
      <c r="Z202" s="16">
        <f t="shared" si="117"/>
        <v>442.53676283200093</v>
      </c>
      <c r="AA202" s="15">
        <f t="shared" si="92"/>
        <v>22.170849845882874</v>
      </c>
      <c r="AB202" s="75">
        <f>AA202*(1-PARAM!$C$27)*$I$9+(MOD($B202,60)=PARAM!$B$56)*($B202&gt;(60-PARAM!$B$56))*HLOOKUP(($B202+PARAM!$B$56)/12,Loyalty,2)*$F$1*MAX(AD201,0)</f>
        <v>18.557001321003963</v>
      </c>
      <c r="AC202" s="75">
        <f>PARAM!$C$26+MAX($G$9-CHOOSE(PARAM!$B$44,MAX(0,AD201*$F$1),0),0)*RATES!$L178/12+$H$9*(PARAM!$D$51/12)*RATES!$N178/100</f>
        <v>12.558427926110841</v>
      </c>
      <c r="AD202" s="16">
        <f t="shared" si="118"/>
        <v>442.53676283200093</v>
      </c>
      <c r="AE202" s="15">
        <f t="shared" si="93"/>
        <v>22.170849845882874</v>
      </c>
      <c r="AF202" s="75">
        <f>AE202*(1-PARAM!$C$27)*$I$10+(MOD($B202,60)=PARAM!$B$56)*($B202&gt;(60-PARAM!$B$56))*HLOOKUP(($B202+PARAM!$B$56)/12,Loyalty,2)*$F$1*MAX(AH201,0)</f>
        <v>18.557001321003963</v>
      </c>
      <c r="AG202" s="75">
        <f>PARAM!$C$26+MAX($G$10-CHOOSE(PARAM!$B$44,MAX(0,AH201*$F$1),0),0)*RATES!$L178/12+$H$10*(PARAM!$D$51/12)*RATES!$N178/100</f>
        <v>12.558427926110841</v>
      </c>
      <c r="AH202" s="16">
        <f t="shared" si="119"/>
        <v>442.53676283200093</v>
      </c>
      <c r="AI202" s="15">
        <f t="shared" si="94"/>
        <v>22.170849845882874</v>
      </c>
      <c r="AJ202" s="75">
        <f>AI202*(1-PARAM!$C$27)*$I$11+(MOD($B202,60)=PARAM!$B$56)*($B202&gt;(60-PARAM!$B$56))*HLOOKUP(($B202+PARAM!$B$56)/12,Loyalty,2)*$F$1*MAX(AL201,0)</f>
        <v>18.557001321003963</v>
      </c>
      <c r="AK202" s="75">
        <f>PARAM!$C$26+MAX($G$11-CHOOSE(PARAM!$B$44,MAX(0,AL201*$F$1),0),0)*RATES!$L178/12+$H$11*(PARAM!$D$51/12)*RATES!$N178/100</f>
        <v>12.558427926110841</v>
      </c>
      <c r="AL202" s="16">
        <f t="shared" si="120"/>
        <v>442.53676283200093</v>
      </c>
      <c r="AM202" s="15">
        <f t="shared" si="95"/>
        <v>22.170849845882874</v>
      </c>
      <c r="AN202" s="75">
        <f>AM202*(1-PARAM!$C$27)*$I$12+(MOD($B202,60)=PARAM!$B$56)*($B202&gt;(60-PARAM!$B$56))*HLOOKUP(($B202+PARAM!$B$56)/12,Loyalty,2)*$F$1*MAX(AP201,0)</f>
        <v>18.557001321003963</v>
      </c>
      <c r="AO202" s="75">
        <f>PARAM!$C$26+MAX($G$12-CHOOSE(PARAM!$B$44,MAX(0,AP201*$F$1),0),0)*RATES!$L178/12+$H$12*(PARAM!$D$51/12)*RATES!$N178/100</f>
        <v>12.558427926110841</v>
      </c>
      <c r="AP202" s="16">
        <f t="shared" si="121"/>
        <v>442.53676283200093</v>
      </c>
      <c r="AQ202" s="15">
        <f t="shared" si="96"/>
        <v>22.170849845882874</v>
      </c>
      <c r="AR202" s="75">
        <f>AQ202*(1-PARAM!$C$27)*$I$13+(MOD($B202,60)=PARAM!$B$56)*($B202&gt;(60-PARAM!$B$56))*HLOOKUP(($B202+PARAM!$B$56)/12,Loyalty,2)*$F$1*MAX(AT201,0)</f>
        <v>18.557001321003963</v>
      </c>
      <c r="AS202" s="75">
        <f>PARAM!$C$26+MAX($G$13-CHOOSE(PARAM!$B$44,MAX(0,AT201*$F$1),0),0)*RATES!$L178/12+$H$13*(PARAM!$D$51/12)*RATES!$N178/100</f>
        <v>12.558427926110841</v>
      </c>
      <c r="AT202" s="16">
        <f t="shared" si="122"/>
        <v>442.53676283200093</v>
      </c>
      <c r="AU202" s="15">
        <f t="shared" si="97"/>
        <v>22.170849845882874</v>
      </c>
      <c r="AV202" s="75">
        <f>AU202*(1-PARAM!$C$27)*$I$14+(MOD($B202,60)=PARAM!$B$56)*($B202&gt;(60-PARAM!$B$56))*HLOOKUP(($B202+PARAM!$B$56)/12,Loyalty,2)*$F$1*MAX(AX201,0)</f>
        <v>18.557001321003963</v>
      </c>
      <c r="AW202" s="75">
        <f>PARAM!$C$26+MAX($G$14-CHOOSE(PARAM!$B$44,MAX(0,AX201*$F$1),0),0)*RATES!$L178/12+$H$14*(PARAM!$D$51/12)*RATES!$N178/100</f>
        <v>12.558427926110841</v>
      </c>
      <c r="AX202" s="16">
        <f t="shared" si="123"/>
        <v>442.53676283200093</v>
      </c>
      <c r="AY202" s="15">
        <f t="shared" si="98"/>
        <v>22.170849845882874</v>
      </c>
      <c r="AZ202" s="75">
        <f>AY202*(1-PARAM!$C$27)*$I$15+(MOD($B202,60)=PARAM!$B$56)*($B202&gt;(60-PARAM!$B$56))*HLOOKUP(($B202+PARAM!$B$56)/12,Loyalty,2)*$F$1*MAX(BB201,0)</f>
        <v>18.557001321003963</v>
      </c>
      <c r="BA202" s="75">
        <f>PARAM!$C$26+MAX($G$15-CHOOSE(PARAM!$B$44,MAX(0,BB201*$F$1),0),0)*RATES!$L178/12+$H$15*(PARAM!$D$51/12)*RATES!$N178/100</f>
        <v>12.558427926110841</v>
      </c>
      <c r="BB202" s="16">
        <f t="shared" si="124"/>
        <v>442.53676283200093</v>
      </c>
      <c r="BC202" s="15">
        <f t="shared" si="99"/>
        <v>22.170849845882874</v>
      </c>
      <c r="BD202" s="75">
        <f>BC202*(1-PARAM!$C$27)*$I$16+(MOD($B202,60)=PARAM!$B$56)*($B202&gt;(60-PARAM!$B$56))*HLOOKUP(($B202+PARAM!$B$56)/12,Loyalty,2)*$F$1*MAX(BF201,0)</f>
        <v>18.557001321003963</v>
      </c>
      <c r="BE202" s="75">
        <f>PARAM!$C$26+MAX($G$16-CHOOSE(PARAM!$B$44,MAX(0,BF201*$F$1),0),0)*RATES!$L178/12+$H$16*(PARAM!$D$51/12)*RATES!$N178/100</f>
        <v>12.558427926110841</v>
      </c>
      <c r="BF202" s="16">
        <f t="shared" si="125"/>
        <v>442.53676283200093</v>
      </c>
      <c r="BG202" s="15">
        <f t="shared" si="100"/>
        <v>22.170849845882874</v>
      </c>
      <c r="BH202" s="75">
        <f>BG202*(1-PARAM!$C$27)*$I$17+(MOD($B202,60)=PARAM!$B$56)*($B202&gt;(60-PARAM!$B$56))*HLOOKUP(($B202+PARAM!$B$56)/12,Loyalty,2)*$F$1*MAX(BJ201,0)</f>
        <v>18.557001321003963</v>
      </c>
      <c r="BI202" s="75">
        <f>PARAM!$C$26+MAX($G$17-CHOOSE(PARAM!$B$44,MAX(0,BJ201*$F$1),0),0)*RATES!$L178/12+$H$17*(PARAM!$D$51/12)*RATES!$N178/100</f>
        <v>12.558427926110841</v>
      </c>
      <c r="BJ202" s="16">
        <f t="shared" si="126"/>
        <v>442.53676283200093</v>
      </c>
      <c r="BK202" s="15">
        <f t="shared" si="101"/>
        <v>22.170849845882874</v>
      </c>
      <c r="BL202" s="75">
        <f>BK202*(1-PARAM!$C$27)*$I$18+(MOD($B202,60)=PARAM!$B$56)*($B202&gt;(60-PARAM!$B$56))*HLOOKUP(($B202+PARAM!$B$56)/12,Loyalty,2)*$F$1*MAX(BN201,0)</f>
        <v>18.557001321003963</v>
      </c>
      <c r="BM202" s="75">
        <f>PARAM!$C$26+MAX($G$18-CHOOSE(PARAM!$B$44,MAX(0,BN201*$F$1),0),0)*RATES!$L178/12+$H$18*(PARAM!$D$51/12)*RATES!$N178/100</f>
        <v>12.558427926110841</v>
      </c>
      <c r="BN202" s="16">
        <f t="shared" si="127"/>
        <v>442.53676283200093</v>
      </c>
      <c r="BO202" s="15">
        <f t="shared" si="102"/>
        <v>22.170849845882874</v>
      </c>
      <c r="BP202" s="75">
        <f>BO202*(1-PARAM!$C$27)*$I$19+(MOD($B202,60)=PARAM!$B$56)*($B202&gt;(60-PARAM!$B$56))*HLOOKUP(($B202+PARAM!$B$56)/12,Loyalty,2)*$F$1*MAX(BR201,0)</f>
        <v>18.557001321003963</v>
      </c>
      <c r="BQ202" s="75">
        <f>PARAM!$C$26+MAX($G$19-CHOOSE(PARAM!$B$44,MAX(0,BR201*$F$1),0),0)*RATES!$L178/12+$H$19*(PARAM!$D$51/12)*RATES!$N178/100</f>
        <v>12.558427926110841</v>
      </c>
      <c r="BR202" s="16">
        <f t="shared" si="128"/>
        <v>442.53676283200093</v>
      </c>
      <c r="BS202" s="15">
        <f t="shared" si="103"/>
        <v>22.170849845882874</v>
      </c>
      <c r="BT202" s="75">
        <f>BS202*(1-PARAM!$C$27)*$I$20+(MOD($B202,60)=PARAM!$B$56)*($B202&gt;(60-PARAM!$B$56))*HLOOKUP(($B202+PARAM!$B$56)/12,Loyalty,2)*$F$1*MAX(BV201,0)</f>
        <v>18.557001321003963</v>
      </c>
      <c r="BU202" s="75">
        <f>PARAM!$C$26+MAX($G$20-CHOOSE(PARAM!$B$44,MAX(0,BV201*$F$1),0),0)*RATES!$L178/12+$H$20*(PARAM!$D$51/12)*RATES!$N178/100</f>
        <v>12.558427926110841</v>
      </c>
      <c r="BV202" s="16">
        <f t="shared" si="129"/>
        <v>442.53676283200093</v>
      </c>
      <c r="BW202" s="15">
        <f t="shared" si="104"/>
        <v>22.170849845882874</v>
      </c>
      <c r="BX202" s="75">
        <f>BW202*(1-PARAM!$C$27)*$I$21+(MOD($B202,60)=PARAM!$B$56)*($B202&gt;(60-PARAM!$B$56))*HLOOKUP(($B202+PARAM!$B$56)/12,Loyalty,2)*$F$1*MAX(BZ201,0)</f>
        <v>18.557001321003963</v>
      </c>
      <c r="BY202" s="75">
        <f>PARAM!$C$26+MAX($G$21-CHOOSE(PARAM!$B$44,MAX(0,BZ201*$F$1),0),0)*RATES!$L178/12+$H$21*(PARAM!$D$51/12)*RATES!$N178/100</f>
        <v>12.558427926110841</v>
      </c>
      <c r="BZ202" s="16">
        <f t="shared" si="130"/>
        <v>442.53676283200093</v>
      </c>
      <c r="CA202" s="15">
        <f t="shared" si="105"/>
        <v>22.170849845882874</v>
      </c>
      <c r="CB202" s="75">
        <f>CA202*(1-PARAM!$C$27)*$I$22+(MOD($B202,60)=PARAM!$B$56)*($B202&gt;(60-PARAM!$B$56))*HLOOKUP(($B202+PARAM!$B$56)/12,Loyalty,2)*$F$1*MAX(CD201,0)</f>
        <v>18.557001321003963</v>
      </c>
      <c r="CC202" s="75">
        <f>PARAM!$C$26+MAX($G$22-CHOOSE(PARAM!$B$44,MAX(0,CD201*$F$1),0),0)*RATES!$L178/12+$H$22*(PARAM!$D$51/12)*RATES!$N178/100</f>
        <v>12.558427926110841</v>
      </c>
      <c r="CD202" s="16">
        <f t="shared" si="131"/>
        <v>442.53676283200093</v>
      </c>
      <c r="CE202" s="33">
        <f>IF(0=MOD(B202,12/PARAM!$D$51),1,0)</f>
        <v>1</v>
      </c>
      <c r="CF202" s="15">
        <f t="shared" si="106"/>
        <v>0</v>
      </c>
      <c r="CG202" s="75">
        <f>CF202*(1-PARAM!$C$27)*$R$3+(MOD($B202/12,5)=0)*($B202&gt;60)*HLOOKUP($B202/12,Loyalty,2)*$F$1*MAX(CI201,0)</f>
        <v>0</v>
      </c>
      <c r="CH202" s="75">
        <f>PARAM!$C$26+MAX($P$3-CHOOSE(PARAM!$B$44,MAX(0,CI201*$F$1),0),0)*RATES!$L178/12+$Q$3*(PARAM!$D$51/12)*RATES!$N178/100</f>
        <v>12.625</v>
      </c>
      <c r="CI202" s="16">
        <f>IF(CI201&gt;0,CI201*PARAM!$C$53,CI201)+CG202-CH202</f>
        <v>-2612.249999999995</v>
      </c>
      <c r="CJ202" s="15">
        <f t="shared" si="132"/>
        <v>0</v>
      </c>
      <c r="CK202" s="75">
        <f>CJ202*(1-PARAM!$C$27)*$R$4+(MOD($B202/12,5)=0)*($B202&gt;60)*HLOOKUP($B202/12,Loyalty,2)*$F$1*MAX(CM201,0)</f>
        <v>0</v>
      </c>
      <c r="CL202" s="75">
        <f>PARAM!$C$26+MAX($P$4-CHOOSE(PARAM!$B$44,MAX(0,CM201*$F$1),0),0)*RATES!$L178/12+$Q$4*(PARAM!$D$51/12)*RATES!$N178/100</f>
        <v>12.625</v>
      </c>
      <c r="CM202" s="16">
        <f>IF(CM201&gt;0,CM201*PARAM!$C$53,CM201)+CK202-CL202</f>
        <v>-2612.249999999995</v>
      </c>
      <c r="CO202" s="176"/>
    </row>
    <row r="203" spans="1:93" x14ac:dyDescent="0.2">
      <c r="A203" t="b">
        <f t="shared" si="107"/>
        <v>1</v>
      </c>
      <c r="B203" s="33">
        <v>176</v>
      </c>
      <c r="C203" s="15">
        <f t="shared" si="108"/>
        <v>20.081305947392778</v>
      </c>
      <c r="D203" s="75">
        <f>C203*(1-PARAM!$C$27)*$I$3+(MOD($B203,60)=PARAM!$B$56)*($B203&gt;(60-PARAM!$B$56))*HLOOKUP(($B203+PARAM!$B$56)/12,Loyalty,2)*$F$1*MAX(F202,0)</f>
        <v>16.808053077967756</v>
      </c>
      <c r="E203" s="75">
        <f>PARAM!$C$26+MAX($G$3-CHOOSE(PARAM!$B$44,MAX(0,F202*$F$1),0),0)*RATES!$L179/12+$H$3*(PARAM!$D$51/12)*RATES!$N179/100</f>
        <v>12.601593614219055</v>
      </c>
      <c r="F203" s="16">
        <f t="shared" si="109"/>
        <v>157.69095638796898</v>
      </c>
      <c r="G203" s="15">
        <f t="shared" si="110"/>
        <v>22.035289406060361</v>
      </c>
      <c r="H203" s="75">
        <f>G203*(1-PARAM!$C$27)*$I$4+(MOD($B203,60)=PARAM!$B$56)*($B203&gt;(60-PARAM!$B$56))*HLOOKUP(($B203+PARAM!$B$56)/12,Loyalty,2)*$F$1*MAX(J202,0)</f>
        <v>18.443537232872522</v>
      </c>
      <c r="I203" s="75">
        <f>PARAM!$C$26+MAX($G$4-CHOOSE(PARAM!$B$44,MAX(0,J202*$F$1),0),0)*RATES!$L179/12+$H$4*(PARAM!$D$51/12)*RATES!$N179/100</f>
        <v>12.560375150396982</v>
      </c>
      <c r="J203" s="16">
        <f t="shared" si="111"/>
        <v>429.65266767601958</v>
      </c>
      <c r="K203" s="15">
        <f t="shared" si="112"/>
        <v>22.170849845882874</v>
      </c>
      <c r="L203" s="75">
        <f>K203*(1-PARAM!$C$27)*$I$5+(MOD($B203,60)=PARAM!$B$56)*($B203&gt;(60-PARAM!$B$56))*HLOOKUP(($B203+PARAM!$B$56)/12,Loyalty,2)*$F$1*MAX(N202,0)</f>
        <v>18.557001321003963</v>
      </c>
      <c r="M203" s="75">
        <f>PARAM!$C$26+MAX($G$5-CHOOSE(PARAM!$B$44,MAX(0,N202*$F$1),0),0)*RATES!$L179/12+$H$5*(PARAM!$D$51/12)*RATES!$N179/100</f>
        <v>12.557513143668121</v>
      </c>
      <c r="N203" s="16">
        <f t="shared" si="113"/>
        <v>448.53625100933675</v>
      </c>
      <c r="O203" s="15">
        <f t="shared" si="114"/>
        <v>22.170849845882874</v>
      </c>
      <c r="P203" s="75">
        <f>O203*(1-PARAM!$C$27)*$I$6+(MOD($B203,60)=PARAM!$B$56)*($B203&gt;(60-PARAM!$B$56))*HLOOKUP(($B203+PARAM!$B$56)/12,Loyalty,2)*$F$1*MAX(R202,0)</f>
        <v>18.557001321003963</v>
      </c>
      <c r="Q203" s="75">
        <f>PARAM!$C$26+MAX($G$6-CHOOSE(PARAM!$B$44,MAX(0,R202*$F$1),0),0)*RATES!$L179/12+$H$6*(PARAM!$D$51/12)*RATES!$N179/100</f>
        <v>12.557513143668121</v>
      </c>
      <c r="R203" s="16">
        <f t="shared" si="115"/>
        <v>448.53625100933675</v>
      </c>
      <c r="S203" s="15">
        <f t="shared" si="90"/>
        <v>22.170849845882874</v>
      </c>
      <c r="T203" s="75">
        <f>S203*(1-PARAM!$C$27)*$I$7+(MOD($B203,60)=PARAM!$B$56)*($B203&gt;(60-PARAM!$B$56))*HLOOKUP(($B203+PARAM!$B$56)/12,Loyalty,2)*$F$1*MAX(V202,0)</f>
        <v>18.557001321003963</v>
      </c>
      <c r="U203" s="75">
        <f>PARAM!$C$26+MAX($G$7-CHOOSE(PARAM!$B$44,MAX(0,V202*$F$1),0),0)*RATES!$L179/12+$H$7*(PARAM!$D$51/12)*RATES!$N179/100</f>
        <v>12.557513143668121</v>
      </c>
      <c r="V203" s="16">
        <f t="shared" si="116"/>
        <v>448.53625100933675</v>
      </c>
      <c r="W203" s="15">
        <f t="shared" si="91"/>
        <v>22.170849845882874</v>
      </c>
      <c r="X203" s="75">
        <f>W203*(1-PARAM!$C$27)*$I$8+(MOD($B203,60)=PARAM!$B$56)*($B203&gt;(60-PARAM!$B$56))*HLOOKUP(($B203+PARAM!$B$56)/12,Loyalty,2)*$F$1*MAX(Z202,0)</f>
        <v>18.557001321003963</v>
      </c>
      <c r="Y203" s="75">
        <f>PARAM!$C$26+MAX($G$8-CHOOSE(PARAM!$B$44,MAX(0,Z202*$F$1),0),0)*RATES!$L179/12+$H$8*(PARAM!$D$51/12)*RATES!$N179/100</f>
        <v>12.557513143668121</v>
      </c>
      <c r="Z203" s="16">
        <f t="shared" si="117"/>
        <v>448.53625100933675</v>
      </c>
      <c r="AA203" s="15">
        <f t="shared" si="92"/>
        <v>22.170849845882874</v>
      </c>
      <c r="AB203" s="75">
        <f>AA203*(1-PARAM!$C$27)*$I$9+(MOD($B203,60)=PARAM!$B$56)*($B203&gt;(60-PARAM!$B$56))*HLOOKUP(($B203+PARAM!$B$56)/12,Loyalty,2)*$F$1*MAX(AD202,0)</f>
        <v>18.557001321003963</v>
      </c>
      <c r="AC203" s="75">
        <f>PARAM!$C$26+MAX($G$9-CHOOSE(PARAM!$B$44,MAX(0,AD202*$F$1),0),0)*RATES!$L179/12+$H$9*(PARAM!$D$51/12)*RATES!$N179/100</f>
        <v>12.557513143668121</v>
      </c>
      <c r="AD203" s="16">
        <f t="shared" si="118"/>
        <v>448.53625100933675</v>
      </c>
      <c r="AE203" s="15">
        <f t="shared" si="93"/>
        <v>22.170849845882874</v>
      </c>
      <c r="AF203" s="75">
        <f>AE203*(1-PARAM!$C$27)*$I$10+(MOD($B203,60)=PARAM!$B$56)*($B203&gt;(60-PARAM!$B$56))*HLOOKUP(($B203+PARAM!$B$56)/12,Loyalty,2)*$F$1*MAX(AH202,0)</f>
        <v>18.557001321003963</v>
      </c>
      <c r="AG203" s="75">
        <f>PARAM!$C$26+MAX($G$10-CHOOSE(PARAM!$B$44,MAX(0,AH202*$F$1),0),0)*RATES!$L179/12+$H$10*(PARAM!$D$51/12)*RATES!$N179/100</f>
        <v>12.557513143668121</v>
      </c>
      <c r="AH203" s="16">
        <f t="shared" si="119"/>
        <v>448.53625100933675</v>
      </c>
      <c r="AI203" s="15">
        <f t="shared" si="94"/>
        <v>22.170849845882874</v>
      </c>
      <c r="AJ203" s="75">
        <f>AI203*(1-PARAM!$C$27)*$I$11+(MOD($B203,60)=PARAM!$B$56)*($B203&gt;(60-PARAM!$B$56))*HLOOKUP(($B203+PARAM!$B$56)/12,Loyalty,2)*$F$1*MAX(AL202,0)</f>
        <v>18.557001321003963</v>
      </c>
      <c r="AK203" s="75">
        <f>PARAM!$C$26+MAX($G$11-CHOOSE(PARAM!$B$44,MAX(0,AL202*$F$1),0),0)*RATES!$L179/12+$H$11*(PARAM!$D$51/12)*RATES!$N179/100</f>
        <v>12.557513143668121</v>
      </c>
      <c r="AL203" s="16">
        <f t="shared" si="120"/>
        <v>448.53625100933675</v>
      </c>
      <c r="AM203" s="15">
        <f t="shared" si="95"/>
        <v>22.170849845882874</v>
      </c>
      <c r="AN203" s="75">
        <f>AM203*(1-PARAM!$C$27)*$I$12+(MOD($B203,60)=PARAM!$B$56)*($B203&gt;(60-PARAM!$B$56))*HLOOKUP(($B203+PARAM!$B$56)/12,Loyalty,2)*$F$1*MAX(AP202,0)</f>
        <v>18.557001321003963</v>
      </c>
      <c r="AO203" s="75">
        <f>PARAM!$C$26+MAX($G$12-CHOOSE(PARAM!$B$44,MAX(0,AP202*$F$1),0),0)*RATES!$L179/12+$H$12*(PARAM!$D$51/12)*RATES!$N179/100</f>
        <v>12.557513143668121</v>
      </c>
      <c r="AP203" s="16">
        <f t="shared" si="121"/>
        <v>448.53625100933675</v>
      </c>
      <c r="AQ203" s="15">
        <f t="shared" si="96"/>
        <v>22.170849845882874</v>
      </c>
      <c r="AR203" s="75">
        <f>AQ203*(1-PARAM!$C$27)*$I$13+(MOD($B203,60)=PARAM!$B$56)*($B203&gt;(60-PARAM!$B$56))*HLOOKUP(($B203+PARAM!$B$56)/12,Loyalty,2)*$F$1*MAX(AT202,0)</f>
        <v>18.557001321003963</v>
      </c>
      <c r="AS203" s="75">
        <f>PARAM!$C$26+MAX($G$13-CHOOSE(PARAM!$B$44,MAX(0,AT202*$F$1),0),0)*RATES!$L179/12+$H$13*(PARAM!$D$51/12)*RATES!$N179/100</f>
        <v>12.557513143668121</v>
      </c>
      <c r="AT203" s="16">
        <f t="shared" si="122"/>
        <v>448.53625100933675</v>
      </c>
      <c r="AU203" s="15">
        <f t="shared" si="97"/>
        <v>22.170849845882874</v>
      </c>
      <c r="AV203" s="75">
        <f>AU203*(1-PARAM!$C$27)*$I$14+(MOD($B203,60)=PARAM!$B$56)*($B203&gt;(60-PARAM!$B$56))*HLOOKUP(($B203+PARAM!$B$56)/12,Loyalty,2)*$F$1*MAX(AX202,0)</f>
        <v>18.557001321003963</v>
      </c>
      <c r="AW203" s="75">
        <f>PARAM!$C$26+MAX($G$14-CHOOSE(PARAM!$B$44,MAX(0,AX202*$F$1),0),0)*RATES!$L179/12+$H$14*(PARAM!$D$51/12)*RATES!$N179/100</f>
        <v>12.557513143668121</v>
      </c>
      <c r="AX203" s="16">
        <f t="shared" si="123"/>
        <v>448.53625100933675</v>
      </c>
      <c r="AY203" s="15">
        <f t="shared" si="98"/>
        <v>22.170849845882874</v>
      </c>
      <c r="AZ203" s="75">
        <f>AY203*(1-PARAM!$C$27)*$I$15+(MOD($B203,60)=PARAM!$B$56)*($B203&gt;(60-PARAM!$B$56))*HLOOKUP(($B203+PARAM!$B$56)/12,Loyalty,2)*$F$1*MAX(BB202,0)</f>
        <v>18.557001321003963</v>
      </c>
      <c r="BA203" s="75">
        <f>PARAM!$C$26+MAX($G$15-CHOOSE(PARAM!$B$44,MAX(0,BB202*$F$1),0),0)*RATES!$L179/12+$H$15*(PARAM!$D$51/12)*RATES!$N179/100</f>
        <v>12.557513143668121</v>
      </c>
      <c r="BB203" s="16">
        <f t="shared" si="124"/>
        <v>448.53625100933675</v>
      </c>
      <c r="BC203" s="15">
        <f t="shared" si="99"/>
        <v>22.170849845882874</v>
      </c>
      <c r="BD203" s="75">
        <f>BC203*(1-PARAM!$C$27)*$I$16+(MOD($B203,60)=PARAM!$B$56)*($B203&gt;(60-PARAM!$B$56))*HLOOKUP(($B203+PARAM!$B$56)/12,Loyalty,2)*$F$1*MAX(BF202,0)</f>
        <v>18.557001321003963</v>
      </c>
      <c r="BE203" s="75">
        <f>PARAM!$C$26+MAX($G$16-CHOOSE(PARAM!$B$44,MAX(0,BF202*$F$1),0),0)*RATES!$L179/12+$H$16*(PARAM!$D$51/12)*RATES!$N179/100</f>
        <v>12.557513143668121</v>
      </c>
      <c r="BF203" s="16">
        <f t="shared" si="125"/>
        <v>448.53625100933675</v>
      </c>
      <c r="BG203" s="15">
        <f t="shared" si="100"/>
        <v>22.170849845882874</v>
      </c>
      <c r="BH203" s="75">
        <f>BG203*(1-PARAM!$C$27)*$I$17+(MOD($B203,60)=PARAM!$B$56)*($B203&gt;(60-PARAM!$B$56))*HLOOKUP(($B203+PARAM!$B$56)/12,Loyalty,2)*$F$1*MAX(BJ202,0)</f>
        <v>18.557001321003963</v>
      </c>
      <c r="BI203" s="75">
        <f>PARAM!$C$26+MAX($G$17-CHOOSE(PARAM!$B$44,MAX(0,BJ202*$F$1),0),0)*RATES!$L179/12+$H$17*(PARAM!$D$51/12)*RATES!$N179/100</f>
        <v>12.557513143668121</v>
      </c>
      <c r="BJ203" s="16">
        <f t="shared" si="126"/>
        <v>448.53625100933675</v>
      </c>
      <c r="BK203" s="15">
        <f t="shared" si="101"/>
        <v>22.170849845882874</v>
      </c>
      <c r="BL203" s="75">
        <f>BK203*(1-PARAM!$C$27)*$I$18+(MOD($B203,60)=PARAM!$B$56)*($B203&gt;(60-PARAM!$B$56))*HLOOKUP(($B203+PARAM!$B$56)/12,Loyalty,2)*$F$1*MAX(BN202,0)</f>
        <v>18.557001321003963</v>
      </c>
      <c r="BM203" s="75">
        <f>PARAM!$C$26+MAX($G$18-CHOOSE(PARAM!$B$44,MAX(0,BN202*$F$1),0),0)*RATES!$L179/12+$H$18*(PARAM!$D$51/12)*RATES!$N179/100</f>
        <v>12.557513143668121</v>
      </c>
      <c r="BN203" s="16">
        <f t="shared" si="127"/>
        <v>448.53625100933675</v>
      </c>
      <c r="BO203" s="15">
        <f t="shared" si="102"/>
        <v>22.170849845882874</v>
      </c>
      <c r="BP203" s="75">
        <f>BO203*(1-PARAM!$C$27)*$I$19+(MOD($B203,60)=PARAM!$B$56)*($B203&gt;(60-PARAM!$B$56))*HLOOKUP(($B203+PARAM!$B$56)/12,Loyalty,2)*$F$1*MAX(BR202,0)</f>
        <v>18.557001321003963</v>
      </c>
      <c r="BQ203" s="75">
        <f>PARAM!$C$26+MAX($G$19-CHOOSE(PARAM!$B$44,MAX(0,BR202*$F$1),0),0)*RATES!$L179/12+$H$19*(PARAM!$D$51/12)*RATES!$N179/100</f>
        <v>12.557513143668121</v>
      </c>
      <c r="BR203" s="16">
        <f t="shared" si="128"/>
        <v>448.53625100933675</v>
      </c>
      <c r="BS203" s="15">
        <f t="shared" si="103"/>
        <v>22.170849845882874</v>
      </c>
      <c r="BT203" s="75">
        <f>BS203*(1-PARAM!$C$27)*$I$20+(MOD($B203,60)=PARAM!$B$56)*($B203&gt;(60-PARAM!$B$56))*HLOOKUP(($B203+PARAM!$B$56)/12,Loyalty,2)*$F$1*MAX(BV202,0)</f>
        <v>18.557001321003963</v>
      </c>
      <c r="BU203" s="75">
        <f>PARAM!$C$26+MAX($G$20-CHOOSE(PARAM!$B$44,MAX(0,BV202*$F$1),0),0)*RATES!$L179/12+$H$20*(PARAM!$D$51/12)*RATES!$N179/100</f>
        <v>12.557513143668121</v>
      </c>
      <c r="BV203" s="16">
        <f t="shared" si="129"/>
        <v>448.53625100933675</v>
      </c>
      <c r="BW203" s="15">
        <f t="shared" si="104"/>
        <v>22.170849845882874</v>
      </c>
      <c r="BX203" s="75">
        <f>BW203*(1-PARAM!$C$27)*$I$21+(MOD($B203,60)=PARAM!$B$56)*($B203&gt;(60-PARAM!$B$56))*HLOOKUP(($B203+PARAM!$B$56)/12,Loyalty,2)*$F$1*MAX(BZ202,0)</f>
        <v>18.557001321003963</v>
      </c>
      <c r="BY203" s="75">
        <f>PARAM!$C$26+MAX($G$21-CHOOSE(PARAM!$B$44,MAX(0,BZ202*$F$1),0),0)*RATES!$L179/12+$H$21*(PARAM!$D$51/12)*RATES!$N179/100</f>
        <v>12.557513143668121</v>
      </c>
      <c r="BZ203" s="16">
        <f t="shared" si="130"/>
        <v>448.53625100933675</v>
      </c>
      <c r="CA203" s="15">
        <f t="shared" si="105"/>
        <v>22.170849845882874</v>
      </c>
      <c r="CB203" s="75">
        <f>CA203*(1-PARAM!$C$27)*$I$22+(MOD($B203,60)=PARAM!$B$56)*($B203&gt;(60-PARAM!$B$56))*HLOOKUP(($B203+PARAM!$B$56)/12,Loyalty,2)*$F$1*MAX(CD202,0)</f>
        <v>18.557001321003963</v>
      </c>
      <c r="CC203" s="75">
        <f>PARAM!$C$26+MAX($G$22-CHOOSE(PARAM!$B$44,MAX(0,CD202*$F$1),0),0)*RATES!$L179/12+$H$22*(PARAM!$D$51/12)*RATES!$N179/100</f>
        <v>12.557513143668121</v>
      </c>
      <c r="CD203" s="16">
        <f t="shared" si="131"/>
        <v>448.53625100933675</v>
      </c>
      <c r="CE203" s="33">
        <f>IF(0=MOD(B203,12/PARAM!$D$51),1,0)</f>
        <v>1</v>
      </c>
      <c r="CF203" s="15">
        <f t="shared" si="106"/>
        <v>0</v>
      </c>
      <c r="CG203" s="75">
        <f>CF203*(1-PARAM!$C$27)*$R$3+(MOD($B203/12,5)=0)*($B203&gt;60)*HLOOKUP($B203/12,Loyalty,2)*$F$1*MAX(CI202,0)</f>
        <v>0</v>
      </c>
      <c r="CH203" s="75">
        <f>PARAM!$C$26+MAX($P$3-CHOOSE(PARAM!$B$44,MAX(0,CI202*$F$1),0),0)*RATES!$L179/12+$Q$3*(PARAM!$D$51/12)*RATES!$N179/100</f>
        <v>12.625</v>
      </c>
      <c r="CI203" s="16">
        <f>IF(CI202&gt;0,CI202*PARAM!$C$53,CI202)+CG203-CH203</f>
        <v>-2624.874999999995</v>
      </c>
      <c r="CJ203" s="15">
        <f t="shared" si="132"/>
        <v>0</v>
      </c>
      <c r="CK203" s="75">
        <f>CJ203*(1-PARAM!$C$27)*$R$4+(MOD($B203/12,5)=0)*($B203&gt;60)*HLOOKUP($B203/12,Loyalty,2)*$F$1*MAX(CM202,0)</f>
        <v>0</v>
      </c>
      <c r="CL203" s="75">
        <f>PARAM!$C$26+MAX($P$4-CHOOSE(PARAM!$B$44,MAX(0,CM202*$F$1),0),0)*RATES!$L179/12+$Q$4*(PARAM!$D$51/12)*RATES!$N179/100</f>
        <v>12.625</v>
      </c>
      <c r="CM203" s="16">
        <f>IF(CM202&gt;0,CM202*PARAM!$C$53,CM202)+CK203-CL203</f>
        <v>-2624.874999999995</v>
      </c>
      <c r="CO203" s="176"/>
    </row>
    <row r="204" spans="1:93" x14ac:dyDescent="0.2">
      <c r="A204" t="b">
        <f t="shared" si="107"/>
        <v>1</v>
      </c>
      <c r="B204" s="33">
        <v>177</v>
      </c>
      <c r="C204" s="15">
        <f t="shared" si="108"/>
        <v>20.081305947392778</v>
      </c>
      <c r="D204" s="75">
        <f>C204*(1-PARAM!$C$27)*$I$3+(MOD($B204,60)=PARAM!$B$56)*($B204&gt;(60-PARAM!$B$56))*HLOOKUP(($B204+PARAM!$B$56)/12,Loyalty,2)*$F$1*MAX(F203,0)</f>
        <v>16.808053077967756</v>
      </c>
      <c r="E204" s="75">
        <f>PARAM!$C$26+MAX($G$3-CHOOSE(PARAM!$B$44,MAX(0,F203*$F$1),0),0)*RATES!$L180/12+$H$3*(PARAM!$D$51/12)*RATES!$N180/100</f>
        <v>12.600952129150834</v>
      </c>
      <c r="F204" s="16">
        <f t="shared" si="109"/>
        <v>161.89805733678591</v>
      </c>
      <c r="G204" s="15">
        <f t="shared" si="110"/>
        <v>22.035289406060361</v>
      </c>
      <c r="H204" s="75">
        <f>G204*(1-PARAM!$C$27)*$I$4+(MOD($B204,60)=PARAM!$B$56)*($B204&gt;(60-PARAM!$B$56))*HLOOKUP(($B204+PARAM!$B$56)/12,Loyalty,2)*$F$1*MAX(J203,0)</f>
        <v>18.443537232872522</v>
      </c>
      <c r="I204" s="75">
        <f>PARAM!$C$26+MAX($G$4-CHOOSE(PARAM!$B$44,MAX(0,J203*$F$1),0),0)*RATES!$L180/12+$H$4*(PARAM!$D$51/12)*RATES!$N180/100</f>
        <v>12.559477968179408</v>
      </c>
      <c r="J204" s="16">
        <f t="shared" si="111"/>
        <v>435.5367269407127</v>
      </c>
      <c r="K204" s="15">
        <f t="shared" si="112"/>
        <v>22.170849845882874</v>
      </c>
      <c r="L204" s="75">
        <f>K204*(1-PARAM!$C$27)*$I$5+(MOD($B204,60)=PARAM!$B$56)*($B204&gt;(60-PARAM!$B$56))*HLOOKUP(($B204+PARAM!$B$56)/12,Loyalty,2)*$F$1*MAX(N203,0)</f>
        <v>18.557001321003963</v>
      </c>
      <c r="M204" s="75">
        <f>PARAM!$C$26+MAX($G$5-CHOOSE(PARAM!$B$44,MAX(0,N203*$F$1),0),0)*RATES!$L180/12+$H$5*(PARAM!$D$51/12)*RATES!$N180/100</f>
        <v>12.556598221721075</v>
      </c>
      <c r="N204" s="16">
        <f t="shared" si="113"/>
        <v>454.53665410861964</v>
      </c>
      <c r="O204" s="15">
        <f t="shared" si="114"/>
        <v>22.170849845882874</v>
      </c>
      <c r="P204" s="75">
        <f>O204*(1-PARAM!$C$27)*$I$6+(MOD($B204,60)=PARAM!$B$56)*($B204&gt;(60-PARAM!$B$56))*HLOOKUP(($B204+PARAM!$B$56)/12,Loyalty,2)*$F$1*MAX(R203,0)</f>
        <v>18.557001321003963</v>
      </c>
      <c r="Q204" s="75">
        <f>PARAM!$C$26+MAX($G$6-CHOOSE(PARAM!$B$44,MAX(0,R203*$F$1),0),0)*RATES!$L180/12+$H$6*(PARAM!$D$51/12)*RATES!$N180/100</f>
        <v>12.556598221721075</v>
      </c>
      <c r="R204" s="16">
        <f t="shared" si="115"/>
        <v>454.53665410861964</v>
      </c>
      <c r="S204" s="15">
        <f t="shared" si="90"/>
        <v>22.170849845882874</v>
      </c>
      <c r="T204" s="75">
        <f>S204*(1-PARAM!$C$27)*$I$7+(MOD($B204,60)=PARAM!$B$56)*($B204&gt;(60-PARAM!$B$56))*HLOOKUP(($B204+PARAM!$B$56)/12,Loyalty,2)*$F$1*MAX(V203,0)</f>
        <v>18.557001321003963</v>
      </c>
      <c r="U204" s="75">
        <f>PARAM!$C$26+MAX($G$7-CHOOSE(PARAM!$B$44,MAX(0,V203*$F$1),0),0)*RATES!$L180/12+$H$7*(PARAM!$D$51/12)*RATES!$N180/100</f>
        <v>12.556598221721075</v>
      </c>
      <c r="V204" s="16">
        <f t="shared" si="116"/>
        <v>454.53665410861964</v>
      </c>
      <c r="W204" s="15">
        <f t="shared" si="91"/>
        <v>22.170849845882874</v>
      </c>
      <c r="X204" s="75">
        <f>W204*(1-PARAM!$C$27)*$I$8+(MOD($B204,60)=PARAM!$B$56)*($B204&gt;(60-PARAM!$B$56))*HLOOKUP(($B204+PARAM!$B$56)/12,Loyalty,2)*$F$1*MAX(Z203,0)</f>
        <v>18.557001321003963</v>
      </c>
      <c r="Y204" s="75">
        <f>PARAM!$C$26+MAX($G$8-CHOOSE(PARAM!$B$44,MAX(0,Z203*$F$1),0),0)*RATES!$L180/12+$H$8*(PARAM!$D$51/12)*RATES!$N180/100</f>
        <v>12.556598221721075</v>
      </c>
      <c r="Z204" s="16">
        <f t="shared" si="117"/>
        <v>454.53665410861964</v>
      </c>
      <c r="AA204" s="15">
        <f t="shared" si="92"/>
        <v>22.170849845882874</v>
      </c>
      <c r="AB204" s="75">
        <f>AA204*(1-PARAM!$C$27)*$I$9+(MOD($B204,60)=PARAM!$B$56)*($B204&gt;(60-PARAM!$B$56))*HLOOKUP(($B204+PARAM!$B$56)/12,Loyalty,2)*$F$1*MAX(AD203,0)</f>
        <v>18.557001321003963</v>
      </c>
      <c r="AC204" s="75">
        <f>PARAM!$C$26+MAX($G$9-CHOOSE(PARAM!$B$44,MAX(0,AD203*$F$1),0),0)*RATES!$L180/12+$H$9*(PARAM!$D$51/12)*RATES!$N180/100</f>
        <v>12.556598221721075</v>
      </c>
      <c r="AD204" s="16">
        <f t="shared" si="118"/>
        <v>454.53665410861964</v>
      </c>
      <c r="AE204" s="15">
        <f t="shared" si="93"/>
        <v>22.170849845882874</v>
      </c>
      <c r="AF204" s="75">
        <f>AE204*(1-PARAM!$C$27)*$I$10+(MOD($B204,60)=PARAM!$B$56)*($B204&gt;(60-PARAM!$B$56))*HLOOKUP(($B204+PARAM!$B$56)/12,Loyalty,2)*$F$1*MAX(AH203,0)</f>
        <v>18.557001321003963</v>
      </c>
      <c r="AG204" s="75">
        <f>PARAM!$C$26+MAX($G$10-CHOOSE(PARAM!$B$44,MAX(0,AH203*$F$1),0),0)*RATES!$L180/12+$H$10*(PARAM!$D$51/12)*RATES!$N180/100</f>
        <v>12.556598221721075</v>
      </c>
      <c r="AH204" s="16">
        <f t="shared" si="119"/>
        <v>454.53665410861964</v>
      </c>
      <c r="AI204" s="15">
        <f t="shared" si="94"/>
        <v>22.170849845882874</v>
      </c>
      <c r="AJ204" s="75">
        <f>AI204*(1-PARAM!$C$27)*$I$11+(MOD($B204,60)=PARAM!$B$56)*($B204&gt;(60-PARAM!$B$56))*HLOOKUP(($B204+PARAM!$B$56)/12,Loyalty,2)*$F$1*MAX(AL203,0)</f>
        <v>18.557001321003963</v>
      </c>
      <c r="AK204" s="75">
        <f>PARAM!$C$26+MAX($G$11-CHOOSE(PARAM!$B$44,MAX(0,AL203*$F$1),0),0)*RATES!$L180/12+$H$11*(PARAM!$D$51/12)*RATES!$N180/100</f>
        <v>12.556598221721075</v>
      </c>
      <c r="AL204" s="16">
        <f t="shared" si="120"/>
        <v>454.53665410861964</v>
      </c>
      <c r="AM204" s="15">
        <f t="shared" si="95"/>
        <v>22.170849845882874</v>
      </c>
      <c r="AN204" s="75">
        <f>AM204*(1-PARAM!$C$27)*$I$12+(MOD($B204,60)=PARAM!$B$56)*($B204&gt;(60-PARAM!$B$56))*HLOOKUP(($B204+PARAM!$B$56)/12,Loyalty,2)*$F$1*MAX(AP203,0)</f>
        <v>18.557001321003963</v>
      </c>
      <c r="AO204" s="75">
        <f>PARAM!$C$26+MAX($G$12-CHOOSE(PARAM!$B$44,MAX(0,AP203*$F$1),0),0)*RATES!$L180/12+$H$12*(PARAM!$D$51/12)*RATES!$N180/100</f>
        <v>12.556598221721075</v>
      </c>
      <c r="AP204" s="16">
        <f t="shared" si="121"/>
        <v>454.53665410861964</v>
      </c>
      <c r="AQ204" s="15">
        <f t="shared" si="96"/>
        <v>22.170849845882874</v>
      </c>
      <c r="AR204" s="75">
        <f>AQ204*(1-PARAM!$C$27)*$I$13+(MOD($B204,60)=PARAM!$B$56)*($B204&gt;(60-PARAM!$B$56))*HLOOKUP(($B204+PARAM!$B$56)/12,Loyalty,2)*$F$1*MAX(AT203,0)</f>
        <v>18.557001321003963</v>
      </c>
      <c r="AS204" s="75">
        <f>PARAM!$C$26+MAX($G$13-CHOOSE(PARAM!$B$44,MAX(0,AT203*$F$1),0),0)*RATES!$L180/12+$H$13*(PARAM!$D$51/12)*RATES!$N180/100</f>
        <v>12.556598221721075</v>
      </c>
      <c r="AT204" s="16">
        <f t="shared" si="122"/>
        <v>454.53665410861964</v>
      </c>
      <c r="AU204" s="15">
        <f t="shared" si="97"/>
        <v>22.170849845882874</v>
      </c>
      <c r="AV204" s="75">
        <f>AU204*(1-PARAM!$C$27)*$I$14+(MOD($B204,60)=PARAM!$B$56)*($B204&gt;(60-PARAM!$B$56))*HLOOKUP(($B204+PARAM!$B$56)/12,Loyalty,2)*$F$1*MAX(AX203,0)</f>
        <v>18.557001321003963</v>
      </c>
      <c r="AW204" s="75">
        <f>PARAM!$C$26+MAX($G$14-CHOOSE(PARAM!$B$44,MAX(0,AX203*$F$1),0),0)*RATES!$L180/12+$H$14*(PARAM!$D$51/12)*RATES!$N180/100</f>
        <v>12.556598221721075</v>
      </c>
      <c r="AX204" s="16">
        <f t="shared" si="123"/>
        <v>454.53665410861964</v>
      </c>
      <c r="AY204" s="15">
        <f t="shared" si="98"/>
        <v>22.170849845882874</v>
      </c>
      <c r="AZ204" s="75">
        <f>AY204*(1-PARAM!$C$27)*$I$15+(MOD($B204,60)=PARAM!$B$56)*($B204&gt;(60-PARAM!$B$56))*HLOOKUP(($B204+PARAM!$B$56)/12,Loyalty,2)*$F$1*MAX(BB203,0)</f>
        <v>18.557001321003963</v>
      </c>
      <c r="BA204" s="75">
        <f>PARAM!$C$26+MAX($G$15-CHOOSE(PARAM!$B$44,MAX(0,BB203*$F$1),0),0)*RATES!$L180/12+$H$15*(PARAM!$D$51/12)*RATES!$N180/100</f>
        <v>12.556598221721075</v>
      </c>
      <c r="BB204" s="16">
        <f t="shared" si="124"/>
        <v>454.53665410861964</v>
      </c>
      <c r="BC204" s="15">
        <f t="shared" si="99"/>
        <v>22.170849845882874</v>
      </c>
      <c r="BD204" s="75">
        <f>BC204*(1-PARAM!$C$27)*$I$16+(MOD($B204,60)=PARAM!$B$56)*($B204&gt;(60-PARAM!$B$56))*HLOOKUP(($B204+PARAM!$B$56)/12,Loyalty,2)*$F$1*MAX(BF203,0)</f>
        <v>18.557001321003963</v>
      </c>
      <c r="BE204" s="75">
        <f>PARAM!$C$26+MAX($G$16-CHOOSE(PARAM!$B$44,MAX(0,BF203*$F$1),0),0)*RATES!$L180/12+$H$16*(PARAM!$D$51/12)*RATES!$N180/100</f>
        <v>12.556598221721075</v>
      </c>
      <c r="BF204" s="16">
        <f t="shared" si="125"/>
        <v>454.53665410861964</v>
      </c>
      <c r="BG204" s="15">
        <f t="shared" si="100"/>
        <v>22.170849845882874</v>
      </c>
      <c r="BH204" s="75">
        <f>BG204*(1-PARAM!$C$27)*$I$17+(MOD($B204,60)=PARAM!$B$56)*($B204&gt;(60-PARAM!$B$56))*HLOOKUP(($B204+PARAM!$B$56)/12,Loyalty,2)*$F$1*MAX(BJ203,0)</f>
        <v>18.557001321003963</v>
      </c>
      <c r="BI204" s="75">
        <f>PARAM!$C$26+MAX($G$17-CHOOSE(PARAM!$B$44,MAX(0,BJ203*$F$1),0),0)*RATES!$L180/12+$H$17*(PARAM!$D$51/12)*RATES!$N180/100</f>
        <v>12.556598221721075</v>
      </c>
      <c r="BJ204" s="16">
        <f t="shared" si="126"/>
        <v>454.53665410861964</v>
      </c>
      <c r="BK204" s="15">
        <f t="shared" si="101"/>
        <v>22.170849845882874</v>
      </c>
      <c r="BL204" s="75">
        <f>BK204*(1-PARAM!$C$27)*$I$18+(MOD($B204,60)=PARAM!$B$56)*($B204&gt;(60-PARAM!$B$56))*HLOOKUP(($B204+PARAM!$B$56)/12,Loyalty,2)*$F$1*MAX(BN203,0)</f>
        <v>18.557001321003963</v>
      </c>
      <c r="BM204" s="75">
        <f>PARAM!$C$26+MAX($G$18-CHOOSE(PARAM!$B$44,MAX(0,BN203*$F$1),0),0)*RATES!$L180/12+$H$18*(PARAM!$D$51/12)*RATES!$N180/100</f>
        <v>12.556598221721075</v>
      </c>
      <c r="BN204" s="16">
        <f t="shared" si="127"/>
        <v>454.53665410861964</v>
      </c>
      <c r="BO204" s="15">
        <f t="shared" si="102"/>
        <v>22.170849845882874</v>
      </c>
      <c r="BP204" s="75">
        <f>BO204*(1-PARAM!$C$27)*$I$19+(MOD($B204,60)=PARAM!$B$56)*($B204&gt;(60-PARAM!$B$56))*HLOOKUP(($B204+PARAM!$B$56)/12,Loyalty,2)*$F$1*MAX(BR203,0)</f>
        <v>18.557001321003963</v>
      </c>
      <c r="BQ204" s="75">
        <f>PARAM!$C$26+MAX($G$19-CHOOSE(PARAM!$B$44,MAX(0,BR203*$F$1),0),0)*RATES!$L180/12+$H$19*(PARAM!$D$51/12)*RATES!$N180/100</f>
        <v>12.556598221721075</v>
      </c>
      <c r="BR204" s="16">
        <f t="shared" si="128"/>
        <v>454.53665410861964</v>
      </c>
      <c r="BS204" s="15">
        <f t="shared" si="103"/>
        <v>22.170849845882874</v>
      </c>
      <c r="BT204" s="75">
        <f>BS204*(1-PARAM!$C$27)*$I$20+(MOD($B204,60)=PARAM!$B$56)*($B204&gt;(60-PARAM!$B$56))*HLOOKUP(($B204+PARAM!$B$56)/12,Loyalty,2)*$F$1*MAX(BV203,0)</f>
        <v>18.557001321003963</v>
      </c>
      <c r="BU204" s="75">
        <f>PARAM!$C$26+MAX($G$20-CHOOSE(PARAM!$B$44,MAX(0,BV203*$F$1),0),0)*RATES!$L180/12+$H$20*(PARAM!$D$51/12)*RATES!$N180/100</f>
        <v>12.556598221721075</v>
      </c>
      <c r="BV204" s="16">
        <f t="shared" si="129"/>
        <v>454.53665410861964</v>
      </c>
      <c r="BW204" s="15">
        <f t="shared" si="104"/>
        <v>22.170849845882874</v>
      </c>
      <c r="BX204" s="75">
        <f>BW204*(1-PARAM!$C$27)*$I$21+(MOD($B204,60)=PARAM!$B$56)*($B204&gt;(60-PARAM!$B$56))*HLOOKUP(($B204+PARAM!$B$56)/12,Loyalty,2)*$F$1*MAX(BZ203,0)</f>
        <v>18.557001321003963</v>
      </c>
      <c r="BY204" s="75">
        <f>PARAM!$C$26+MAX($G$21-CHOOSE(PARAM!$B$44,MAX(0,BZ203*$F$1),0),0)*RATES!$L180/12+$H$21*(PARAM!$D$51/12)*RATES!$N180/100</f>
        <v>12.556598221721075</v>
      </c>
      <c r="BZ204" s="16">
        <f t="shared" si="130"/>
        <v>454.53665410861964</v>
      </c>
      <c r="CA204" s="15">
        <f t="shared" si="105"/>
        <v>22.170849845882874</v>
      </c>
      <c r="CB204" s="75">
        <f>CA204*(1-PARAM!$C$27)*$I$22+(MOD($B204,60)=PARAM!$B$56)*($B204&gt;(60-PARAM!$B$56))*HLOOKUP(($B204+PARAM!$B$56)/12,Loyalty,2)*$F$1*MAX(CD203,0)</f>
        <v>18.557001321003963</v>
      </c>
      <c r="CC204" s="75">
        <f>PARAM!$C$26+MAX($G$22-CHOOSE(PARAM!$B$44,MAX(0,CD203*$F$1),0),0)*RATES!$L180/12+$H$22*(PARAM!$D$51/12)*RATES!$N180/100</f>
        <v>12.556598221721075</v>
      </c>
      <c r="CD204" s="16">
        <f t="shared" si="131"/>
        <v>454.53665410861964</v>
      </c>
      <c r="CE204" s="33">
        <f>IF(0=MOD(B204,12/PARAM!$D$51),1,0)</f>
        <v>1</v>
      </c>
      <c r="CF204" s="15">
        <f t="shared" si="106"/>
        <v>0</v>
      </c>
      <c r="CG204" s="75">
        <f>CF204*(1-PARAM!$C$27)*$R$3+(MOD($B204/12,5)=0)*($B204&gt;60)*HLOOKUP($B204/12,Loyalty,2)*$F$1*MAX(CI203,0)</f>
        <v>0</v>
      </c>
      <c r="CH204" s="75">
        <f>PARAM!$C$26+MAX($P$3-CHOOSE(PARAM!$B$44,MAX(0,CI203*$F$1),0),0)*RATES!$L180/12+$Q$3*(PARAM!$D$51/12)*RATES!$N180/100</f>
        <v>12.625</v>
      </c>
      <c r="CI204" s="16">
        <f>IF(CI203&gt;0,CI203*PARAM!$C$53,CI203)+CG204-CH204</f>
        <v>-2637.499999999995</v>
      </c>
      <c r="CJ204" s="15">
        <f t="shared" si="132"/>
        <v>0</v>
      </c>
      <c r="CK204" s="75">
        <f>CJ204*(1-PARAM!$C$27)*$R$4+(MOD($B204/12,5)=0)*($B204&gt;60)*HLOOKUP($B204/12,Loyalty,2)*$F$1*MAX(CM203,0)</f>
        <v>0</v>
      </c>
      <c r="CL204" s="75">
        <f>PARAM!$C$26+MAX($P$4-CHOOSE(PARAM!$B$44,MAX(0,CM203*$F$1),0),0)*RATES!$L180/12+$Q$4*(PARAM!$D$51/12)*RATES!$N180/100</f>
        <v>12.625</v>
      </c>
      <c r="CM204" s="16">
        <f>IF(CM203&gt;0,CM203*PARAM!$C$53,CM203)+CK204-CL204</f>
        <v>-2637.499999999995</v>
      </c>
      <c r="CO204" s="176"/>
    </row>
    <row r="205" spans="1:93" x14ac:dyDescent="0.2">
      <c r="A205" t="b">
        <f t="shared" si="107"/>
        <v>1</v>
      </c>
      <c r="B205" s="33">
        <v>178</v>
      </c>
      <c r="C205" s="15">
        <f t="shared" si="108"/>
        <v>20.081305947392778</v>
      </c>
      <c r="D205" s="75">
        <f>C205*(1-PARAM!$C$27)*$I$3+(MOD($B205,60)=PARAM!$B$56)*($B205&gt;(60-PARAM!$B$56))*HLOOKUP(($B205+PARAM!$B$56)/12,Loyalty,2)*$F$1*MAX(F204,0)</f>
        <v>16.808053077967756</v>
      </c>
      <c r="E205" s="75">
        <f>PARAM!$C$26+MAX($G$3-CHOOSE(PARAM!$B$44,MAX(0,F204*$F$1),0),0)*RATES!$L181/12+$H$3*(PARAM!$D$51/12)*RATES!$N181/100</f>
        <v>12.600310546256139</v>
      </c>
      <c r="F205" s="16">
        <f t="shared" si="109"/>
        <v>166.10579986849751</v>
      </c>
      <c r="G205" s="15">
        <f t="shared" si="110"/>
        <v>22.035289406060361</v>
      </c>
      <c r="H205" s="75">
        <f>G205*(1-PARAM!$C$27)*$I$4+(MOD($B205,60)=PARAM!$B$56)*($B205&gt;(60-PARAM!$B$56))*HLOOKUP(($B205+PARAM!$B$56)/12,Loyalty,2)*$F$1*MAX(J204,0)</f>
        <v>18.443537232872522</v>
      </c>
      <c r="I205" s="75">
        <f>PARAM!$C$26+MAX($G$4-CHOOSE(PARAM!$B$44,MAX(0,J204*$F$1),0),0)*RATES!$L181/12+$H$4*(PARAM!$D$51/12)*RATES!$N181/100</f>
        <v>12.55858064914154</v>
      </c>
      <c r="J205" s="16">
        <f t="shared" si="111"/>
        <v>441.42168352444367</v>
      </c>
      <c r="K205" s="15">
        <f t="shared" si="112"/>
        <v>22.170849845882874</v>
      </c>
      <c r="L205" s="75">
        <f>K205*(1-PARAM!$C$27)*$I$5+(MOD($B205,60)=PARAM!$B$56)*($B205&gt;(60-PARAM!$B$56))*HLOOKUP(($B205+PARAM!$B$56)/12,Loyalty,2)*$F$1*MAX(N204,0)</f>
        <v>18.557001321003963</v>
      </c>
      <c r="M205" s="75">
        <f>PARAM!$C$26+MAX($G$5-CHOOSE(PARAM!$B$44,MAX(0,N204*$F$1),0),0)*RATES!$L181/12+$H$5*(PARAM!$D$51/12)*RATES!$N181/100</f>
        <v>12.555683160248435</v>
      </c>
      <c r="N205" s="16">
        <f t="shared" si="113"/>
        <v>460.53797226937513</v>
      </c>
      <c r="O205" s="15">
        <f t="shared" si="114"/>
        <v>22.170849845882874</v>
      </c>
      <c r="P205" s="75">
        <f>O205*(1-PARAM!$C$27)*$I$6+(MOD($B205,60)=PARAM!$B$56)*($B205&gt;(60-PARAM!$B$56))*HLOOKUP(($B205+PARAM!$B$56)/12,Loyalty,2)*$F$1*MAX(R204,0)</f>
        <v>18.557001321003963</v>
      </c>
      <c r="Q205" s="75">
        <f>PARAM!$C$26+MAX($G$6-CHOOSE(PARAM!$B$44,MAX(0,R204*$F$1),0),0)*RATES!$L181/12+$H$6*(PARAM!$D$51/12)*RATES!$N181/100</f>
        <v>12.555683160248435</v>
      </c>
      <c r="R205" s="16">
        <f t="shared" si="115"/>
        <v>460.53797226937513</v>
      </c>
      <c r="S205" s="15">
        <f t="shared" si="90"/>
        <v>22.170849845882874</v>
      </c>
      <c r="T205" s="75">
        <f>S205*(1-PARAM!$C$27)*$I$7+(MOD($B205,60)=PARAM!$B$56)*($B205&gt;(60-PARAM!$B$56))*HLOOKUP(($B205+PARAM!$B$56)/12,Loyalty,2)*$F$1*MAX(V204,0)</f>
        <v>18.557001321003963</v>
      </c>
      <c r="U205" s="75">
        <f>PARAM!$C$26+MAX($G$7-CHOOSE(PARAM!$B$44,MAX(0,V204*$F$1),0),0)*RATES!$L181/12+$H$7*(PARAM!$D$51/12)*RATES!$N181/100</f>
        <v>12.555683160248435</v>
      </c>
      <c r="V205" s="16">
        <f t="shared" si="116"/>
        <v>460.53797226937513</v>
      </c>
      <c r="W205" s="15">
        <f t="shared" si="91"/>
        <v>22.170849845882874</v>
      </c>
      <c r="X205" s="75">
        <f>W205*(1-PARAM!$C$27)*$I$8+(MOD($B205,60)=PARAM!$B$56)*($B205&gt;(60-PARAM!$B$56))*HLOOKUP(($B205+PARAM!$B$56)/12,Loyalty,2)*$F$1*MAX(Z204,0)</f>
        <v>18.557001321003963</v>
      </c>
      <c r="Y205" s="75">
        <f>PARAM!$C$26+MAX($G$8-CHOOSE(PARAM!$B$44,MAX(0,Z204*$F$1),0),0)*RATES!$L181/12+$H$8*(PARAM!$D$51/12)*RATES!$N181/100</f>
        <v>12.555683160248435</v>
      </c>
      <c r="Z205" s="16">
        <f t="shared" si="117"/>
        <v>460.53797226937513</v>
      </c>
      <c r="AA205" s="15">
        <f t="shared" si="92"/>
        <v>22.170849845882874</v>
      </c>
      <c r="AB205" s="75">
        <f>AA205*(1-PARAM!$C$27)*$I$9+(MOD($B205,60)=PARAM!$B$56)*($B205&gt;(60-PARAM!$B$56))*HLOOKUP(($B205+PARAM!$B$56)/12,Loyalty,2)*$F$1*MAX(AD204,0)</f>
        <v>18.557001321003963</v>
      </c>
      <c r="AC205" s="75">
        <f>PARAM!$C$26+MAX($G$9-CHOOSE(PARAM!$B$44,MAX(0,AD204*$F$1),0),0)*RATES!$L181/12+$H$9*(PARAM!$D$51/12)*RATES!$N181/100</f>
        <v>12.555683160248435</v>
      </c>
      <c r="AD205" s="16">
        <f t="shared" si="118"/>
        <v>460.53797226937513</v>
      </c>
      <c r="AE205" s="15">
        <f t="shared" si="93"/>
        <v>22.170849845882874</v>
      </c>
      <c r="AF205" s="75">
        <f>AE205*(1-PARAM!$C$27)*$I$10+(MOD($B205,60)=PARAM!$B$56)*($B205&gt;(60-PARAM!$B$56))*HLOOKUP(($B205+PARAM!$B$56)/12,Loyalty,2)*$F$1*MAX(AH204,0)</f>
        <v>18.557001321003963</v>
      </c>
      <c r="AG205" s="75">
        <f>PARAM!$C$26+MAX($G$10-CHOOSE(PARAM!$B$44,MAX(0,AH204*$F$1),0),0)*RATES!$L181/12+$H$10*(PARAM!$D$51/12)*RATES!$N181/100</f>
        <v>12.555683160248435</v>
      </c>
      <c r="AH205" s="16">
        <f t="shared" si="119"/>
        <v>460.53797226937513</v>
      </c>
      <c r="AI205" s="15">
        <f t="shared" si="94"/>
        <v>22.170849845882874</v>
      </c>
      <c r="AJ205" s="75">
        <f>AI205*(1-PARAM!$C$27)*$I$11+(MOD($B205,60)=PARAM!$B$56)*($B205&gt;(60-PARAM!$B$56))*HLOOKUP(($B205+PARAM!$B$56)/12,Loyalty,2)*$F$1*MAX(AL204,0)</f>
        <v>18.557001321003963</v>
      </c>
      <c r="AK205" s="75">
        <f>PARAM!$C$26+MAX($G$11-CHOOSE(PARAM!$B$44,MAX(0,AL204*$F$1),0),0)*RATES!$L181/12+$H$11*(PARAM!$D$51/12)*RATES!$N181/100</f>
        <v>12.555683160248435</v>
      </c>
      <c r="AL205" s="16">
        <f t="shared" si="120"/>
        <v>460.53797226937513</v>
      </c>
      <c r="AM205" s="15">
        <f t="shared" si="95"/>
        <v>22.170849845882874</v>
      </c>
      <c r="AN205" s="75">
        <f>AM205*(1-PARAM!$C$27)*$I$12+(MOD($B205,60)=PARAM!$B$56)*($B205&gt;(60-PARAM!$B$56))*HLOOKUP(($B205+PARAM!$B$56)/12,Loyalty,2)*$F$1*MAX(AP204,0)</f>
        <v>18.557001321003963</v>
      </c>
      <c r="AO205" s="75">
        <f>PARAM!$C$26+MAX($G$12-CHOOSE(PARAM!$B$44,MAX(0,AP204*$F$1),0),0)*RATES!$L181/12+$H$12*(PARAM!$D$51/12)*RATES!$N181/100</f>
        <v>12.555683160248435</v>
      </c>
      <c r="AP205" s="16">
        <f t="shared" si="121"/>
        <v>460.53797226937513</v>
      </c>
      <c r="AQ205" s="15">
        <f t="shared" si="96"/>
        <v>22.170849845882874</v>
      </c>
      <c r="AR205" s="75">
        <f>AQ205*(1-PARAM!$C$27)*$I$13+(MOD($B205,60)=PARAM!$B$56)*($B205&gt;(60-PARAM!$B$56))*HLOOKUP(($B205+PARAM!$B$56)/12,Loyalty,2)*$F$1*MAX(AT204,0)</f>
        <v>18.557001321003963</v>
      </c>
      <c r="AS205" s="75">
        <f>PARAM!$C$26+MAX($G$13-CHOOSE(PARAM!$B$44,MAX(0,AT204*$F$1),0),0)*RATES!$L181/12+$H$13*(PARAM!$D$51/12)*RATES!$N181/100</f>
        <v>12.555683160248435</v>
      </c>
      <c r="AT205" s="16">
        <f t="shared" si="122"/>
        <v>460.53797226937513</v>
      </c>
      <c r="AU205" s="15">
        <f t="shared" si="97"/>
        <v>22.170849845882874</v>
      </c>
      <c r="AV205" s="75">
        <f>AU205*(1-PARAM!$C$27)*$I$14+(MOD($B205,60)=PARAM!$B$56)*($B205&gt;(60-PARAM!$B$56))*HLOOKUP(($B205+PARAM!$B$56)/12,Loyalty,2)*$F$1*MAX(AX204,0)</f>
        <v>18.557001321003963</v>
      </c>
      <c r="AW205" s="75">
        <f>PARAM!$C$26+MAX($G$14-CHOOSE(PARAM!$B$44,MAX(0,AX204*$F$1),0),0)*RATES!$L181/12+$H$14*(PARAM!$D$51/12)*RATES!$N181/100</f>
        <v>12.555683160248435</v>
      </c>
      <c r="AX205" s="16">
        <f t="shared" si="123"/>
        <v>460.53797226937513</v>
      </c>
      <c r="AY205" s="15">
        <f t="shared" si="98"/>
        <v>22.170849845882874</v>
      </c>
      <c r="AZ205" s="75">
        <f>AY205*(1-PARAM!$C$27)*$I$15+(MOD($B205,60)=PARAM!$B$56)*($B205&gt;(60-PARAM!$B$56))*HLOOKUP(($B205+PARAM!$B$56)/12,Loyalty,2)*$F$1*MAX(BB204,0)</f>
        <v>18.557001321003963</v>
      </c>
      <c r="BA205" s="75">
        <f>PARAM!$C$26+MAX($G$15-CHOOSE(PARAM!$B$44,MAX(0,BB204*$F$1),0),0)*RATES!$L181/12+$H$15*(PARAM!$D$51/12)*RATES!$N181/100</f>
        <v>12.555683160248435</v>
      </c>
      <c r="BB205" s="16">
        <f t="shared" si="124"/>
        <v>460.53797226937513</v>
      </c>
      <c r="BC205" s="15">
        <f t="shared" si="99"/>
        <v>22.170849845882874</v>
      </c>
      <c r="BD205" s="75">
        <f>BC205*(1-PARAM!$C$27)*$I$16+(MOD($B205,60)=PARAM!$B$56)*($B205&gt;(60-PARAM!$B$56))*HLOOKUP(($B205+PARAM!$B$56)/12,Loyalty,2)*$F$1*MAX(BF204,0)</f>
        <v>18.557001321003963</v>
      </c>
      <c r="BE205" s="75">
        <f>PARAM!$C$26+MAX($G$16-CHOOSE(PARAM!$B$44,MAX(0,BF204*$F$1),0),0)*RATES!$L181/12+$H$16*(PARAM!$D$51/12)*RATES!$N181/100</f>
        <v>12.555683160248435</v>
      </c>
      <c r="BF205" s="16">
        <f t="shared" si="125"/>
        <v>460.53797226937513</v>
      </c>
      <c r="BG205" s="15">
        <f t="shared" si="100"/>
        <v>22.170849845882874</v>
      </c>
      <c r="BH205" s="75">
        <f>BG205*(1-PARAM!$C$27)*$I$17+(MOD($B205,60)=PARAM!$B$56)*($B205&gt;(60-PARAM!$B$56))*HLOOKUP(($B205+PARAM!$B$56)/12,Loyalty,2)*$F$1*MAX(BJ204,0)</f>
        <v>18.557001321003963</v>
      </c>
      <c r="BI205" s="75">
        <f>PARAM!$C$26+MAX($G$17-CHOOSE(PARAM!$B$44,MAX(0,BJ204*$F$1),0),0)*RATES!$L181/12+$H$17*(PARAM!$D$51/12)*RATES!$N181/100</f>
        <v>12.555683160248435</v>
      </c>
      <c r="BJ205" s="16">
        <f t="shared" si="126"/>
        <v>460.53797226937513</v>
      </c>
      <c r="BK205" s="15">
        <f t="shared" si="101"/>
        <v>22.170849845882874</v>
      </c>
      <c r="BL205" s="75">
        <f>BK205*(1-PARAM!$C$27)*$I$18+(MOD($B205,60)=PARAM!$B$56)*($B205&gt;(60-PARAM!$B$56))*HLOOKUP(($B205+PARAM!$B$56)/12,Loyalty,2)*$F$1*MAX(BN204,0)</f>
        <v>18.557001321003963</v>
      </c>
      <c r="BM205" s="75">
        <f>PARAM!$C$26+MAX($G$18-CHOOSE(PARAM!$B$44,MAX(0,BN204*$F$1),0),0)*RATES!$L181/12+$H$18*(PARAM!$D$51/12)*RATES!$N181/100</f>
        <v>12.555683160248435</v>
      </c>
      <c r="BN205" s="16">
        <f t="shared" si="127"/>
        <v>460.53797226937513</v>
      </c>
      <c r="BO205" s="15">
        <f t="shared" si="102"/>
        <v>22.170849845882874</v>
      </c>
      <c r="BP205" s="75">
        <f>BO205*(1-PARAM!$C$27)*$I$19+(MOD($B205,60)=PARAM!$B$56)*($B205&gt;(60-PARAM!$B$56))*HLOOKUP(($B205+PARAM!$B$56)/12,Loyalty,2)*$F$1*MAX(BR204,0)</f>
        <v>18.557001321003963</v>
      </c>
      <c r="BQ205" s="75">
        <f>PARAM!$C$26+MAX($G$19-CHOOSE(PARAM!$B$44,MAX(0,BR204*$F$1),0),0)*RATES!$L181/12+$H$19*(PARAM!$D$51/12)*RATES!$N181/100</f>
        <v>12.555683160248435</v>
      </c>
      <c r="BR205" s="16">
        <f t="shared" si="128"/>
        <v>460.53797226937513</v>
      </c>
      <c r="BS205" s="15">
        <f t="shared" si="103"/>
        <v>22.170849845882874</v>
      </c>
      <c r="BT205" s="75">
        <f>BS205*(1-PARAM!$C$27)*$I$20+(MOD($B205,60)=PARAM!$B$56)*($B205&gt;(60-PARAM!$B$56))*HLOOKUP(($B205+PARAM!$B$56)/12,Loyalty,2)*$F$1*MAX(BV204,0)</f>
        <v>18.557001321003963</v>
      </c>
      <c r="BU205" s="75">
        <f>PARAM!$C$26+MAX($G$20-CHOOSE(PARAM!$B$44,MAX(0,BV204*$F$1),0),0)*RATES!$L181/12+$H$20*(PARAM!$D$51/12)*RATES!$N181/100</f>
        <v>12.555683160248435</v>
      </c>
      <c r="BV205" s="16">
        <f t="shared" si="129"/>
        <v>460.53797226937513</v>
      </c>
      <c r="BW205" s="15">
        <f t="shared" si="104"/>
        <v>22.170849845882874</v>
      </c>
      <c r="BX205" s="75">
        <f>BW205*(1-PARAM!$C$27)*$I$21+(MOD($B205,60)=PARAM!$B$56)*($B205&gt;(60-PARAM!$B$56))*HLOOKUP(($B205+PARAM!$B$56)/12,Loyalty,2)*$F$1*MAX(BZ204,0)</f>
        <v>18.557001321003963</v>
      </c>
      <c r="BY205" s="75">
        <f>PARAM!$C$26+MAX($G$21-CHOOSE(PARAM!$B$44,MAX(0,BZ204*$F$1),0),0)*RATES!$L181/12+$H$21*(PARAM!$D$51/12)*RATES!$N181/100</f>
        <v>12.555683160248435</v>
      </c>
      <c r="BZ205" s="16">
        <f t="shared" si="130"/>
        <v>460.53797226937513</v>
      </c>
      <c r="CA205" s="15">
        <f t="shared" si="105"/>
        <v>22.170849845882874</v>
      </c>
      <c r="CB205" s="75">
        <f>CA205*(1-PARAM!$C$27)*$I$22+(MOD($B205,60)=PARAM!$B$56)*($B205&gt;(60-PARAM!$B$56))*HLOOKUP(($B205+PARAM!$B$56)/12,Loyalty,2)*$F$1*MAX(CD204,0)</f>
        <v>18.557001321003963</v>
      </c>
      <c r="CC205" s="75">
        <f>PARAM!$C$26+MAX($G$22-CHOOSE(PARAM!$B$44,MAX(0,CD204*$F$1),0),0)*RATES!$L181/12+$H$22*(PARAM!$D$51/12)*RATES!$N181/100</f>
        <v>12.555683160248435</v>
      </c>
      <c r="CD205" s="16">
        <f t="shared" si="131"/>
        <v>460.53797226937513</v>
      </c>
      <c r="CE205" s="33">
        <f>IF(0=MOD(B205,12/PARAM!$D$51),1,0)</f>
        <v>1</v>
      </c>
      <c r="CF205" s="15">
        <f t="shared" si="106"/>
        <v>0</v>
      </c>
      <c r="CG205" s="75">
        <f>CF205*(1-PARAM!$C$27)*$R$3+(MOD($B205/12,5)=0)*($B205&gt;60)*HLOOKUP($B205/12,Loyalty,2)*$F$1*MAX(CI204,0)</f>
        <v>0</v>
      </c>
      <c r="CH205" s="75">
        <f>PARAM!$C$26+MAX($P$3-CHOOSE(PARAM!$B$44,MAX(0,CI204*$F$1),0),0)*RATES!$L181/12+$Q$3*(PARAM!$D$51/12)*RATES!$N181/100</f>
        <v>12.625</v>
      </c>
      <c r="CI205" s="16">
        <f>IF(CI204&gt;0,CI204*PARAM!$C$53,CI204)+CG205-CH205</f>
        <v>-2650.124999999995</v>
      </c>
      <c r="CJ205" s="15">
        <f t="shared" si="132"/>
        <v>0</v>
      </c>
      <c r="CK205" s="75">
        <f>CJ205*(1-PARAM!$C$27)*$R$4+(MOD($B205/12,5)=0)*($B205&gt;60)*HLOOKUP($B205/12,Loyalty,2)*$F$1*MAX(CM204,0)</f>
        <v>0</v>
      </c>
      <c r="CL205" s="75">
        <f>PARAM!$C$26+MAX($P$4-CHOOSE(PARAM!$B$44,MAX(0,CM204*$F$1),0),0)*RATES!$L181/12+$Q$4*(PARAM!$D$51/12)*RATES!$N181/100</f>
        <v>12.625</v>
      </c>
      <c r="CM205" s="16">
        <f>IF(CM204&gt;0,CM204*PARAM!$C$53,CM204)+CK205-CL205</f>
        <v>-2650.124999999995</v>
      </c>
      <c r="CO205" s="176"/>
    </row>
    <row r="206" spans="1:93" x14ac:dyDescent="0.2">
      <c r="A206" t="b">
        <f t="shared" si="107"/>
        <v>1</v>
      </c>
      <c r="B206" s="33">
        <v>179</v>
      </c>
      <c r="C206" s="15">
        <f t="shared" si="108"/>
        <v>20.081305947392778</v>
      </c>
      <c r="D206" s="75">
        <f>C206*(1-PARAM!$C$27)*$I$3+(MOD($B206,60)=PARAM!$B$56)*($B206&gt;(60-PARAM!$B$56))*HLOOKUP(($B206+PARAM!$B$56)/12,Loyalty,2)*$F$1*MAX(F205,0)</f>
        <v>16.808053077967756</v>
      </c>
      <c r="E206" s="75">
        <f>PARAM!$C$26+MAX($G$3-CHOOSE(PARAM!$B$44,MAX(0,F205*$F$1),0),0)*RATES!$L182/12+$H$3*(PARAM!$D$51/12)*RATES!$N182/100</f>
        <v>12.599668865520055</v>
      </c>
      <c r="F206" s="16">
        <f t="shared" si="109"/>
        <v>170.31418408094524</v>
      </c>
      <c r="G206" s="15">
        <f t="shared" si="110"/>
        <v>22.035289406060361</v>
      </c>
      <c r="H206" s="75">
        <f>G206*(1-PARAM!$C$27)*$I$4+(MOD($B206,60)=PARAM!$B$56)*($B206&gt;(60-PARAM!$B$56))*HLOOKUP(($B206+PARAM!$B$56)/12,Loyalty,2)*$F$1*MAX(J205,0)</f>
        <v>18.443537232872522</v>
      </c>
      <c r="I206" s="75">
        <f>PARAM!$C$26+MAX($G$4-CHOOSE(PARAM!$B$44,MAX(0,J205*$F$1),0),0)*RATES!$L182/12+$H$4*(PARAM!$D$51/12)*RATES!$N182/100</f>
        <v>12.557683193262523</v>
      </c>
      <c r="J206" s="16">
        <f t="shared" si="111"/>
        <v>447.30753756405369</v>
      </c>
      <c r="K206" s="15">
        <f t="shared" si="112"/>
        <v>22.170849845882874</v>
      </c>
      <c r="L206" s="75">
        <f>K206*(1-PARAM!$C$27)*$I$5+(MOD($B206,60)=PARAM!$B$56)*($B206&gt;(60-PARAM!$B$56))*HLOOKUP(($B206+PARAM!$B$56)/12,Loyalty,2)*$F$1*MAX(N205,0)</f>
        <v>18.557001321003963</v>
      </c>
      <c r="M206" s="75">
        <f>PARAM!$C$26+MAX($G$5-CHOOSE(PARAM!$B$44,MAX(0,N205*$F$1),0),0)*RATES!$L182/12+$H$5*(PARAM!$D$51/12)*RATES!$N182/100</f>
        <v>12.554767959228919</v>
      </c>
      <c r="N206" s="16">
        <f t="shared" si="113"/>
        <v>466.54020563115017</v>
      </c>
      <c r="O206" s="15">
        <f t="shared" si="114"/>
        <v>22.170849845882874</v>
      </c>
      <c r="P206" s="75">
        <f>O206*(1-PARAM!$C$27)*$I$6+(MOD($B206,60)=PARAM!$B$56)*($B206&gt;(60-PARAM!$B$56))*HLOOKUP(($B206+PARAM!$B$56)/12,Loyalty,2)*$F$1*MAX(R205,0)</f>
        <v>18.557001321003963</v>
      </c>
      <c r="Q206" s="75">
        <f>PARAM!$C$26+MAX($G$6-CHOOSE(PARAM!$B$44,MAX(0,R205*$F$1),0),0)*RATES!$L182/12+$H$6*(PARAM!$D$51/12)*RATES!$N182/100</f>
        <v>12.554767959228919</v>
      </c>
      <c r="R206" s="16">
        <f t="shared" si="115"/>
        <v>466.54020563115017</v>
      </c>
      <c r="S206" s="15">
        <f t="shared" si="90"/>
        <v>22.170849845882874</v>
      </c>
      <c r="T206" s="75">
        <f>S206*(1-PARAM!$C$27)*$I$7+(MOD($B206,60)=PARAM!$B$56)*($B206&gt;(60-PARAM!$B$56))*HLOOKUP(($B206+PARAM!$B$56)/12,Loyalty,2)*$F$1*MAX(V205,0)</f>
        <v>18.557001321003963</v>
      </c>
      <c r="U206" s="75">
        <f>PARAM!$C$26+MAX($G$7-CHOOSE(PARAM!$B$44,MAX(0,V205*$F$1),0),0)*RATES!$L182/12+$H$7*(PARAM!$D$51/12)*RATES!$N182/100</f>
        <v>12.554767959228919</v>
      </c>
      <c r="V206" s="16">
        <f t="shared" si="116"/>
        <v>466.54020563115017</v>
      </c>
      <c r="W206" s="15">
        <f t="shared" si="91"/>
        <v>22.170849845882874</v>
      </c>
      <c r="X206" s="75">
        <f>W206*(1-PARAM!$C$27)*$I$8+(MOD($B206,60)=PARAM!$B$56)*($B206&gt;(60-PARAM!$B$56))*HLOOKUP(($B206+PARAM!$B$56)/12,Loyalty,2)*$F$1*MAX(Z205,0)</f>
        <v>18.557001321003963</v>
      </c>
      <c r="Y206" s="75">
        <f>PARAM!$C$26+MAX($G$8-CHOOSE(PARAM!$B$44,MAX(0,Z205*$F$1),0),0)*RATES!$L182/12+$H$8*(PARAM!$D$51/12)*RATES!$N182/100</f>
        <v>12.554767959228919</v>
      </c>
      <c r="Z206" s="16">
        <f t="shared" si="117"/>
        <v>466.54020563115017</v>
      </c>
      <c r="AA206" s="15">
        <f t="shared" si="92"/>
        <v>22.170849845882874</v>
      </c>
      <c r="AB206" s="75">
        <f>AA206*(1-PARAM!$C$27)*$I$9+(MOD($B206,60)=PARAM!$B$56)*($B206&gt;(60-PARAM!$B$56))*HLOOKUP(($B206+PARAM!$B$56)/12,Loyalty,2)*$F$1*MAX(AD205,0)</f>
        <v>18.557001321003963</v>
      </c>
      <c r="AC206" s="75">
        <f>PARAM!$C$26+MAX($G$9-CHOOSE(PARAM!$B$44,MAX(0,AD205*$F$1),0),0)*RATES!$L182/12+$H$9*(PARAM!$D$51/12)*RATES!$N182/100</f>
        <v>12.554767959228919</v>
      </c>
      <c r="AD206" s="16">
        <f t="shared" si="118"/>
        <v>466.54020563115017</v>
      </c>
      <c r="AE206" s="15">
        <f t="shared" si="93"/>
        <v>22.170849845882874</v>
      </c>
      <c r="AF206" s="75">
        <f>AE206*(1-PARAM!$C$27)*$I$10+(MOD($B206,60)=PARAM!$B$56)*($B206&gt;(60-PARAM!$B$56))*HLOOKUP(($B206+PARAM!$B$56)/12,Loyalty,2)*$F$1*MAX(AH205,0)</f>
        <v>18.557001321003963</v>
      </c>
      <c r="AG206" s="75">
        <f>PARAM!$C$26+MAX($G$10-CHOOSE(PARAM!$B$44,MAX(0,AH205*$F$1),0),0)*RATES!$L182/12+$H$10*(PARAM!$D$51/12)*RATES!$N182/100</f>
        <v>12.554767959228919</v>
      </c>
      <c r="AH206" s="16">
        <f t="shared" si="119"/>
        <v>466.54020563115017</v>
      </c>
      <c r="AI206" s="15">
        <f t="shared" si="94"/>
        <v>22.170849845882874</v>
      </c>
      <c r="AJ206" s="75">
        <f>AI206*(1-PARAM!$C$27)*$I$11+(MOD($B206,60)=PARAM!$B$56)*($B206&gt;(60-PARAM!$B$56))*HLOOKUP(($B206+PARAM!$B$56)/12,Loyalty,2)*$F$1*MAX(AL205,0)</f>
        <v>18.557001321003963</v>
      </c>
      <c r="AK206" s="75">
        <f>PARAM!$C$26+MAX($G$11-CHOOSE(PARAM!$B$44,MAX(0,AL205*$F$1),0),0)*RATES!$L182/12+$H$11*(PARAM!$D$51/12)*RATES!$N182/100</f>
        <v>12.554767959228919</v>
      </c>
      <c r="AL206" s="16">
        <f t="shared" si="120"/>
        <v>466.54020563115017</v>
      </c>
      <c r="AM206" s="15">
        <f t="shared" si="95"/>
        <v>22.170849845882874</v>
      </c>
      <c r="AN206" s="75">
        <f>AM206*(1-PARAM!$C$27)*$I$12+(MOD($B206,60)=PARAM!$B$56)*($B206&gt;(60-PARAM!$B$56))*HLOOKUP(($B206+PARAM!$B$56)/12,Loyalty,2)*$F$1*MAX(AP205,0)</f>
        <v>18.557001321003963</v>
      </c>
      <c r="AO206" s="75">
        <f>PARAM!$C$26+MAX($G$12-CHOOSE(PARAM!$B$44,MAX(0,AP205*$F$1),0),0)*RATES!$L182/12+$H$12*(PARAM!$D$51/12)*RATES!$N182/100</f>
        <v>12.554767959228919</v>
      </c>
      <c r="AP206" s="16">
        <f t="shared" si="121"/>
        <v>466.54020563115017</v>
      </c>
      <c r="AQ206" s="15">
        <f t="shared" si="96"/>
        <v>22.170849845882874</v>
      </c>
      <c r="AR206" s="75">
        <f>AQ206*(1-PARAM!$C$27)*$I$13+(MOD($B206,60)=PARAM!$B$56)*($B206&gt;(60-PARAM!$B$56))*HLOOKUP(($B206+PARAM!$B$56)/12,Loyalty,2)*$F$1*MAX(AT205,0)</f>
        <v>18.557001321003963</v>
      </c>
      <c r="AS206" s="75">
        <f>PARAM!$C$26+MAX($G$13-CHOOSE(PARAM!$B$44,MAX(0,AT205*$F$1),0),0)*RATES!$L182/12+$H$13*(PARAM!$D$51/12)*RATES!$N182/100</f>
        <v>12.554767959228919</v>
      </c>
      <c r="AT206" s="16">
        <f t="shared" si="122"/>
        <v>466.54020563115017</v>
      </c>
      <c r="AU206" s="15">
        <f t="shared" si="97"/>
        <v>22.170849845882874</v>
      </c>
      <c r="AV206" s="75">
        <f>AU206*(1-PARAM!$C$27)*$I$14+(MOD($B206,60)=PARAM!$B$56)*($B206&gt;(60-PARAM!$B$56))*HLOOKUP(($B206+PARAM!$B$56)/12,Loyalty,2)*$F$1*MAX(AX205,0)</f>
        <v>18.557001321003963</v>
      </c>
      <c r="AW206" s="75">
        <f>PARAM!$C$26+MAX($G$14-CHOOSE(PARAM!$B$44,MAX(0,AX205*$F$1),0),0)*RATES!$L182/12+$H$14*(PARAM!$D$51/12)*RATES!$N182/100</f>
        <v>12.554767959228919</v>
      </c>
      <c r="AX206" s="16">
        <f t="shared" si="123"/>
        <v>466.54020563115017</v>
      </c>
      <c r="AY206" s="15">
        <f t="shared" si="98"/>
        <v>22.170849845882874</v>
      </c>
      <c r="AZ206" s="75">
        <f>AY206*(1-PARAM!$C$27)*$I$15+(MOD($B206,60)=PARAM!$B$56)*($B206&gt;(60-PARAM!$B$56))*HLOOKUP(($B206+PARAM!$B$56)/12,Loyalty,2)*$F$1*MAX(BB205,0)</f>
        <v>18.557001321003963</v>
      </c>
      <c r="BA206" s="75">
        <f>PARAM!$C$26+MAX($G$15-CHOOSE(PARAM!$B$44,MAX(0,BB205*$F$1),0),0)*RATES!$L182/12+$H$15*(PARAM!$D$51/12)*RATES!$N182/100</f>
        <v>12.554767959228919</v>
      </c>
      <c r="BB206" s="16">
        <f t="shared" si="124"/>
        <v>466.54020563115017</v>
      </c>
      <c r="BC206" s="15">
        <f t="shared" si="99"/>
        <v>22.170849845882874</v>
      </c>
      <c r="BD206" s="75">
        <f>BC206*(1-PARAM!$C$27)*$I$16+(MOD($B206,60)=PARAM!$B$56)*($B206&gt;(60-PARAM!$B$56))*HLOOKUP(($B206+PARAM!$B$56)/12,Loyalty,2)*$F$1*MAX(BF205,0)</f>
        <v>18.557001321003963</v>
      </c>
      <c r="BE206" s="75">
        <f>PARAM!$C$26+MAX($G$16-CHOOSE(PARAM!$B$44,MAX(0,BF205*$F$1),0),0)*RATES!$L182/12+$H$16*(PARAM!$D$51/12)*RATES!$N182/100</f>
        <v>12.554767959228919</v>
      </c>
      <c r="BF206" s="16">
        <f t="shared" si="125"/>
        <v>466.54020563115017</v>
      </c>
      <c r="BG206" s="15">
        <f t="shared" si="100"/>
        <v>22.170849845882874</v>
      </c>
      <c r="BH206" s="75">
        <f>BG206*(1-PARAM!$C$27)*$I$17+(MOD($B206,60)=PARAM!$B$56)*($B206&gt;(60-PARAM!$B$56))*HLOOKUP(($B206+PARAM!$B$56)/12,Loyalty,2)*$F$1*MAX(BJ205,0)</f>
        <v>18.557001321003963</v>
      </c>
      <c r="BI206" s="75">
        <f>PARAM!$C$26+MAX($G$17-CHOOSE(PARAM!$B$44,MAX(0,BJ205*$F$1),0),0)*RATES!$L182/12+$H$17*(PARAM!$D$51/12)*RATES!$N182/100</f>
        <v>12.554767959228919</v>
      </c>
      <c r="BJ206" s="16">
        <f t="shared" si="126"/>
        <v>466.54020563115017</v>
      </c>
      <c r="BK206" s="15">
        <f t="shared" si="101"/>
        <v>22.170849845882874</v>
      </c>
      <c r="BL206" s="75">
        <f>BK206*(1-PARAM!$C$27)*$I$18+(MOD($B206,60)=PARAM!$B$56)*($B206&gt;(60-PARAM!$B$56))*HLOOKUP(($B206+PARAM!$B$56)/12,Loyalty,2)*$F$1*MAX(BN205,0)</f>
        <v>18.557001321003963</v>
      </c>
      <c r="BM206" s="75">
        <f>PARAM!$C$26+MAX($G$18-CHOOSE(PARAM!$B$44,MAX(0,BN205*$F$1),0),0)*RATES!$L182/12+$H$18*(PARAM!$D$51/12)*RATES!$N182/100</f>
        <v>12.554767959228919</v>
      </c>
      <c r="BN206" s="16">
        <f t="shared" si="127"/>
        <v>466.54020563115017</v>
      </c>
      <c r="BO206" s="15">
        <f t="shared" si="102"/>
        <v>22.170849845882874</v>
      </c>
      <c r="BP206" s="75">
        <f>BO206*(1-PARAM!$C$27)*$I$19+(MOD($B206,60)=PARAM!$B$56)*($B206&gt;(60-PARAM!$B$56))*HLOOKUP(($B206+PARAM!$B$56)/12,Loyalty,2)*$F$1*MAX(BR205,0)</f>
        <v>18.557001321003963</v>
      </c>
      <c r="BQ206" s="75">
        <f>PARAM!$C$26+MAX($G$19-CHOOSE(PARAM!$B$44,MAX(0,BR205*$F$1),0),0)*RATES!$L182/12+$H$19*(PARAM!$D$51/12)*RATES!$N182/100</f>
        <v>12.554767959228919</v>
      </c>
      <c r="BR206" s="16">
        <f t="shared" si="128"/>
        <v>466.54020563115017</v>
      </c>
      <c r="BS206" s="15">
        <f t="shared" si="103"/>
        <v>22.170849845882874</v>
      </c>
      <c r="BT206" s="75">
        <f>BS206*(1-PARAM!$C$27)*$I$20+(MOD($B206,60)=PARAM!$B$56)*($B206&gt;(60-PARAM!$B$56))*HLOOKUP(($B206+PARAM!$B$56)/12,Loyalty,2)*$F$1*MAX(BV205,0)</f>
        <v>18.557001321003963</v>
      </c>
      <c r="BU206" s="75">
        <f>PARAM!$C$26+MAX($G$20-CHOOSE(PARAM!$B$44,MAX(0,BV205*$F$1),0),0)*RATES!$L182/12+$H$20*(PARAM!$D$51/12)*RATES!$N182/100</f>
        <v>12.554767959228919</v>
      </c>
      <c r="BV206" s="16">
        <f t="shared" si="129"/>
        <v>466.54020563115017</v>
      </c>
      <c r="BW206" s="15">
        <f t="shared" si="104"/>
        <v>22.170849845882874</v>
      </c>
      <c r="BX206" s="75">
        <f>BW206*(1-PARAM!$C$27)*$I$21+(MOD($B206,60)=PARAM!$B$56)*($B206&gt;(60-PARAM!$B$56))*HLOOKUP(($B206+PARAM!$B$56)/12,Loyalty,2)*$F$1*MAX(BZ205,0)</f>
        <v>18.557001321003963</v>
      </c>
      <c r="BY206" s="75">
        <f>PARAM!$C$26+MAX($G$21-CHOOSE(PARAM!$B$44,MAX(0,BZ205*$F$1),0),0)*RATES!$L182/12+$H$21*(PARAM!$D$51/12)*RATES!$N182/100</f>
        <v>12.554767959228919</v>
      </c>
      <c r="BZ206" s="16">
        <f t="shared" si="130"/>
        <v>466.54020563115017</v>
      </c>
      <c r="CA206" s="15">
        <f t="shared" si="105"/>
        <v>22.170849845882874</v>
      </c>
      <c r="CB206" s="75">
        <f>CA206*(1-PARAM!$C$27)*$I$22+(MOD($B206,60)=PARAM!$B$56)*($B206&gt;(60-PARAM!$B$56))*HLOOKUP(($B206+PARAM!$B$56)/12,Loyalty,2)*$F$1*MAX(CD205,0)</f>
        <v>18.557001321003963</v>
      </c>
      <c r="CC206" s="75">
        <f>PARAM!$C$26+MAX($G$22-CHOOSE(PARAM!$B$44,MAX(0,CD205*$F$1),0),0)*RATES!$L182/12+$H$22*(PARAM!$D$51/12)*RATES!$N182/100</f>
        <v>12.554767959228919</v>
      </c>
      <c r="CD206" s="16">
        <f t="shared" si="131"/>
        <v>466.54020563115017</v>
      </c>
      <c r="CE206" s="33">
        <f>IF(0=MOD(B206,12/PARAM!$D$51),1,0)</f>
        <v>1</v>
      </c>
      <c r="CF206" s="15">
        <f t="shared" si="106"/>
        <v>0</v>
      </c>
      <c r="CG206" s="75">
        <f>CF206*(1-PARAM!$C$27)*$R$3+(MOD($B206/12,5)=0)*($B206&gt;60)*HLOOKUP($B206/12,Loyalty,2)*$F$1*MAX(CI205,0)</f>
        <v>0</v>
      </c>
      <c r="CH206" s="75">
        <f>PARAM!$C$26+MAX($P$3-CHOOSE(PARAM!$B$44,MAX(0,CI205*$F$1),0),0)*RATES!$L182/12+$Q$3*(PARAM!$D$51/12)*RATES!$N182/100</f>
        <v>12.625</v>
      </c>
      <c r="CI206" s="16">
        <f>IF(CI205&gt;0,CI205*PARAM!$C$53,CI205)+CG206-CH206</f>
        <v>-2662.749999999995</v>
      </c>
      <c r="CJ206" s="15">
        <f t="shared" si="132"/>
        <v>0</v>
      </c>
      <c r="CK206" s="75">
        <f>CJ206*(1-PARAM!$C$27)*$R$4+(MOD($B206/12,5)=0)*($B206&gt;60)*HLOOKUP($B206/12,Loyalty,2)*$F$1*MAX(CM205,0)</f>
        <v>0</v>
      </c>
      <c r="CL206" s="75">
        <f>PARAM!$C$26+MAX($P$4-CHOOSE(PARAM!$B$44,MAX(0,CM205*$F$1),0),0)*RATES!$L182/12+$Q$4*(PARAM!$D$51/12)*RATES!$N182/100</f>
        <v>12.625</v>
      </c>
      <c r="CM206" s="16">
        <f>IF(CM205&gt;0,CM205*PARAM!$C$53,CM205)+CK206-CL206</f>
        <v>-2662.749999999995</v>
      </c>
      <c r="CO206" s="176"/>
    </row>
    <row r="207" spans="1:93" x14ac:dyDescent="0.2">
      <c r="A207" t="b">
        <f t="shared" si="107"/>
        <v>1</v>
      </c>
      <c r="B207" s="33">
        <v>180</v>
      </c>
      <c r="C207" s="15">
        <f t="shared" si="108"/>
        <v>20.081305947392778</v>
      </c>
      <c r="D207" s="75">
        <f>C207*(1-PARAM!$C$27)*$I$3+(MOD($B207,60)=PARAM!$B$56)*($B207&gt;(60-PARAM!$B$56))*HLOOKUP(($B207+PARAM!$B$56)/12,Loyalty,2)*$F$1*MAX(F206,0)</f>
        <v>21.917478600396112</v>
      </c>
      <c r="E207" s="75">
        <f>PARAM!$C$26+MAX($G$3-CHOOSE(PARAM!$B$44,MAX(0,F206*$F$1),0),0)*RATES!$L183/12+$H$3*(PARAM!$D$51/12)*RATES!$N183/100</f>
        <v>12.599027086927656</v>
      </c>
      <c r="F207" s="16">
        <f t="shared" si="109"/>
        <v>179.6326355944137</v>
      </c>
      <c r="G207" s="15">
        <f t="shared" si="110"/>
        <v>22.035289406060361</v>
      </c>
      <c r="H207" s="75">
        <f>G207*(1-PARAM!$C$27)*$I$4+(MOD($B207,60)=PARAM!$B$56)*($B207&gt;(60-PARAM!$B$56))*HLOOKUP(($B207+PARAM!$B$56)/12,Loyalty,2)*$F$1*MAX(J206,0)</f>
        <v>31.86276335979413</v>
      </c>
      <c r="I207" s="75">
        <f>PARAM!$C$26+MAX($G$4-CHOOSE(PARAM!$B$44,MAX(0,J206*$F$1),0),0)*RATES!$L183/12+$H$4*(PARAM!$D$51/12)*RATES!$N183/100</f>
        <v>12.556785600521483</v>
      </c>
      <c r="J207" s="16">
        <f t="shared" si="111"/>
        <v>466.61351532332634</v>
      </c>
      <c r="K207" s="15">
        <f t="shared" si="112"/>
        <v>22.170849845882874</v>
      </c>
      <c r="L207" s="75">
        <f>K207*(1-PARAM!$C$27)*$I$5+(MOD($B207,60)=PARAM!$B$56)*($B207&gt;(60-PARAM!$B$56))*HLOOKUP(($B207+PARAM!$B$56)/12,Loyalty,2)*$F$1*MAX(N206,0)</f>
        <v>32.553207489938465</v>
      </c>
      <c r="M207" s="75">
        <f>PARAM!$C$26+MAX($G$5-CHOOSE(PARAM!$B$44,MAX(0,N206*$F$1),0),0)*RATES!$L183/12+$H$5*(PARAM!$D$51/12)*RATES!$N183/100</f>
        <v>12.553852618641251</v>
      </c>
      <c r="N207" s="16">
        <f t="shared" si="113"/>
        <v>486.53956050244739</v>
      </c>
      <c r="O207" s="15">
        <f t="shared" si="114"/>
        <v>22.170849845882874</v>
      </c>
      <c r="P207" s="75">
        <f>O207*(1-PARAM!$C$27)*$I$6+(MOD($B207,60)=PARAM!$B$56)*($B207&gt;(60-PARAM!$B$56))*HLOOKUP(($B207+PARAM!$B$56)/12,Loyalty,2)*$F$1*MAX(R206,0)</f>
        <v>32.553207489938465</v>
      </c>
      <c r="Q207" s="75">
        <f>PARAM!$C$26+MAX($G$6-CHOOSE(PARAM!$B$44,MAX(0,R206*$F$1),0),0)*RATES!$L183/12+$H$6*(PARAM!$D$51/12)*RATES!$N183/100</f>
        <v>12.553852618641251</v>
      </c>
      <c r="R207" s="16">
        <f t="shared" si="115"/>
        <v>486.53956050244739</v>
      </c>
      <c r="S207" s="15">
        <f t="shared" si="90"/>
        <v>22.170849845882874</v>
      </c>
      <c r="T207" s="75">
        <f>S207*(1-PARAM!$C$27)*$I$7+(MOD($B207,60)=PARAM!$B$56)*($B207&gt;(60-PARAM!$B$56))*HLOOKUP(($B207+PARAM!$B$56)/12,Loyalty,2)*$F$1*MAX(V206,0)</f>
        <v>32.553207489938465</v>
      </c>
      <c r="U207" s="75">
        <f>PARAM!$C$26+MAX($G$7-CHOOSE(PARAM!$B$44,MAX(0,V206*$F$1),0),0)*RATES!$L183/12+$H$7*(PARAM!$D$51/12)*RATES!$N183/100</f>
        <v>12.553852618641251</v>
      </c>
      <c r="V207" s="16">
        <f t="shared" si="116"/>
        <v>486.53956050244739</v>
      </c>
      <c r="W207" s="15">
        <f t="shared" si="91"/>
        <v>22.170849845882874</v>
      </c>
      <c r="X207" s="75">
        <f>W207*(1-PARAM!$C$27)*$I$8+(MOD($B207,60)=PARAM!$B$56)*($B207&gt;(60-PARAM!$B$56))*HLOOKUP(($B207+PARAM!$B$56)/12,Loyalty,2)*$F$1*MAX(Z206,0)</f>
        <v>32.553207489938465</v>
      </c>
      <c r="Y207" s="75">
        <f>PARAM!$C$26+MAX($G$8-CHOOSE(PARAM!$B$44,MAX(0,Z206*$F$1),0),0)*RATES!$L183/12+$H$8*(PARAM!$D$51/12)*RATES!$N183/100</f>
        <v>12.553852618641251</v>
      </c>
      <c r="Z207" s="16">
        <f t="shared" si="117"/>
        <v>486.53956050244739</v>
      </c>
      <c r="AA207" s="15">
        <f t="shared" si="92"/>
        <v>22.170849845882874</v>
      </c>
      <c r="AB207" s="75">
        <f>AA207*(1-PARAM!$C$27)*$I$9+(MOD($B207,60)=PARAM!$B$56)*($B207&gt;(60-PARAM!$B$56))*HLOOKUP(($B207+PARAM!$B$56)/12,Loyalty,2)*$F$1*MAX(AD206,0)</f>
        <v>32.553207489938465</v>
      </c>
      <c r="AC207" s="75">
        <f>PARAM!$C$26+MAX($G$9-CHOOSE(PARAM!$B$44,MAX(0,AD206*$F$1),0),0)*RATES!$L183/12+$H$9*(PARAM!$D$51/12)*RATES!$N183/100</f>
        <v>12.553852618641251</v>
      </c>
      <c r="AD207" s="16">
        <f t="shared" si="118"/>
        <v>486.53956050244739</v>
      </c>
      <c r="AE207" s="15">
        <f t="shared" si="93"/>
        <v>22.170849845882874</v>
      </c>
      <c r="AF207" s="75">
        <f>AE207*(1-PARAM!$C$27)*$I$10+(MOD($B207,60)=PARAM!$B$56)*($B207&gt;(60-PARAM!$B$56))*HLOOKUP(($B207+PARAM!$B$56)/12,Loyalty,2)*$F$1*MAX(AH206,0)</f>
        <v>32.553207489938465</v>
      </c>
      <c r="AG207" s="75">
        <f>PARAM!$C$26+MAX($G$10-CHOOSE(PARAM!$B$44,MAX(0,AH206*$F$1),0),0)*RATES!$L183/12+$H$10*(PARAM!$D$51/12)*RATES!$N183/100</f>
        <v>12.553852618641251</v>
      </c>
      <c r="AH207" s="16">
        <f t="shared" si="119"/>
        <v>486.53956050244739</v>
      </c>
      <c r="AI207" s="15">
        <f t="shared" si="94"/>
        <v>22.170849845882874</v>
      </c>
      <c r="AJ207" s="75">
        <f>AI207*(1-PARAM!$C$27)*$I$11+(MOD($B207,60)=PARAM!$B$56)*($B207&gt;(60-PARAM!$B$56))*HLOOKUP(($B207+PARAM!$B$56)/12,Loyalty,2)*$F$1*MAX(AL206,0)</f>
        <v>32.553207489938465</v>
      </c>
      <c r="AK207" s="75">
        <f>PARAM!$C$26+MAX($G$11-CHOOSE(PARAM!$B$44,MAX(0,AL206*$F$1),0),0)*RATES!$L183/12+$H$11*(PARAM!$D$51/12)*RATES!$N183/100</f>
        <v>12.553852618641251</v>
      </c>
      <c r="AL207" s="16">
        <f t="shared" si="120"/>
        <v>486.53956050244739</v>
      </c>
      <c r="AM207" s="15">
        <f t="shared" si="95"/>
        <v>22.170849845882874</v>
      </c>
      <c r="AN207" s="75">
        <f>AM207*(1-PARAM!$C$27)*$I$12+(MOD($B207,60)=PARAM!$B$56)*($B207&gt;(60-PARAM!$B$56))*HLOOKUP(($B207+PARAM!$B$56)/12,Loyalty,2)*$F$1*MAX(AP206,0)</f>
        <v>32.553207489938465</v>
      </c>
      <c r="AO207" s="75">
        <f>PARAM!$C$26+MAX($G$12-CHOOSE(PARAM!$B$44,MAX(0,AP206*$F$1),0),0)*RATES!$L183/12+$H$12*(PARAM!$D$51/12)*RATES!$N183/100</f>
        <v>12.553852618641251</v>
      </c>
      <c r="AP207" s="16">
        <f t="shared" si="121"/>
        <v>486.53956050244739</v>
      </c>
      <c r="AQ207" s="15">
        <f t="shared" si="96"/>
        <v>22.170849845882874</v>
      </c>
      <c r="AR207" s="75">
        <f>AQ207*(1-PARAM!$C$27)*$I$13+(MOD($B207,60)=PARAM!$B$56)*($B207&gt;(60-PARAM!$B$56))*HLOOKUP(($B207+PARAM!$B$56)/12,Loyalty,2)*$F$1*MAX(AT206,0)</f>
        <v>32.553207489938465</v>
      </c>
      <c r="AS207" s="75">
        <f>PARAM!$C$26+MAX($G$13-CHOOSE(PARAM!$B$44,MAX(0,AT206*$F$1),0),0)*RATES!$L183/12+$H$13*(PARAM!$D$51/12)*RATES!$N183/100</f>
        <v>12.553852618641251</v>
      </c>
      <c r="AT207" s="16">
        <f t="shared" si="122"/>
        <v>486.53956050244739</v>
      </c>
      <c r="AU207" s="15">
        <f t="shared" si="97"/>
        <v>22.170849845882874</v>
      </c>
      <c r="AV207" s="75">
        <f>AU207*(1-PARAM!$C$27)*$I$14+(MOD($B207,60)=PARAM!$B$56)*($B207&gt;(60-PARAM!$B$56))*HLOOKUP(($B207+PARAM!$B$56)/12,Loyalty,2)*$F$1*MAX(AX206,0)</f>
        <v>32.553207489938465</v>
      </c>
      <c r="AW207" s="75">
        <f>PARAM!$C$26+MAX($G$14-CHOOSE(PARAM!$B$44,MAX(0,AX206*$F$1),0),0)*RATES!$L183/12+$H$14*(PARAM!$D$51/12)*RATES!$N183/100</f>
        <v>12.553852618641251</v>
      </c>
      <c r="AX207" s="16">
        <f t="shared" si="123"/>
        <v>486.53956050244739</v>
      </c>
      <c r="AY207" s="15">
        <f t="shared" si="98"/>
        <v>22.170849845882874</v>
      </c>
      <c r="AZ207" s="75">
        <f>AY207*(1-PARAM!$C$27)*$I$15+(MOD($B207,60)=PARAM!$B$56)*($B207&gt;(60-PARAM!$B$56))*HLOOKUP(($B207+PARAM!$B$56)/12,Loyalty,2)*$F$1*MAX(BB206,0)</f>
        <v>32.553207489938465</v>
      </c>
      <c r="BA207" s="75">
        <f>PARAM!$C$26+MAX($G$15-CHOOSE(PARAM!$B$44,MAX(0,BB206*$F$1),0),0)*RATES!$L183/12+$H$15*(PARAM!$D$51/12)*RATES!$N183/100</f>
        <v>12.553852618641251</v>
      </c>
      <c r="BB207" s="16">
        <f t="shared" si="124"/>
        <v>486.53956050244739</v>
      </c>
      <c r="BC207" s="15">
        <f t="shared" si="99"/>
        <v>22.170849845882874</v>
      </c>
      <c r="BD207" s="75">
        <f>BC207*(1-PARAM!$C$27)*$I$16+(MOD($B207,60)=PARAM!$B$56)*($B207&gt;(60-PARAM!$B$56))*HLOOKUP(($B207+PARAM!$B$56)/12,Loyalty,2)*$F$1*MAX(BF206,0)</f>
        <v>32.553207489938465</v>
      </c>
      <c r="BE207" s="75">
        <f>PARAM!$C$26+MAX($G$16-CHOOSE(PARAM!$B$44,MAX(0,BF206*$F$1),0),0)*RATES!$L183/12+$H$16*(PARAM!$D$51/12)*RATES!$N183/100</f>
        <v>12.553852618641251</v>
      </c>
      <c r="BF207" s="16">
        <f t="shared" si="125"/>
        <v>486.53956050244739</v>
      </c>
      <c r="BG207" s="15">
        <f t="shared" si="100"/>
        <v>22.170849845882874</v>
      </c>
      <c r="BH207" s="75">
        <f>BG207*(1-PARAM!$C$27)*$I$17+(MOD($B207,60)=PARAM!$B$56)*($B207&gt;(60-PARAM!$B$56))*HLOOKUP(($B207+PARAM!$B$56)/12,Loyalty,2)*$F$1*MAX(BJ206,0)</f>
        <v>32.553207489938465</v>
      </c>
      <c r="BI207" s="75">
        <f>PARAM!$C$26+MAX($G$17-CHOOSE(PARAM!$B$44,MAX(0,BJ206*$F$1),0),0)*RATES!$L183/12+$H$17*(PARAM!$D$51/12)*RATES!$N183/100</f>
        <v>12.553852618641251</v>
      </c>
      <c r="BJ207" s="16">
        <f t="shared" si="126"/>
        <v>486.53956050244739</v>
      </c>
      <c r="BK207" s="15">
        <f t="shared" si="101"/>
        <v>22.170849845882874</v>
      </c>
      <c r="BL207" s="75">
        <f>BK207*(1-PARAM!$C$27)*$I$18+(MOD($B207,60)=PARAM!$B$56)*($B207&gt;(60-PARAM!$B$56))*HLOOKUP(($B207+PARAM!$B$56)/12,Loyalty,2)*$F$1*MAX(BN206,0)</f>
        <v>32.553207489938465</v>
      </c>
      <c r="BM207" s="75">
        <f>PARAM!$C$26+MAX($G$18-CHOOSE(PARAM!$B$44,MAX(0,BN206*$F$1),0),0)*RATES!$L183/12+$H$18*(PARAM!$D$51/12)*RATES!$N183/100</f>
        <v>12.553852618641251</v>
      </c>
      <c r="BN207" s="16">
        <f t="shared" si="127"/>
        <v>486.53956050244739</v>
      </c>
      <c r="BO207" s="15">
        <f t="shared" si="102"/>
        <v>22.170849845882874</v>
      </c>
      <c r="BP207" s="75">
        <f>BO207*(1-PARAM!$C$27)*$I$19+(MOD($B207,60)=PARAM!$B$56)*($B207&gt;(60-PARAM!$B$56))*HLOOKUP(($B207+PARAM!$B$56)/12,Loyalty,2)*$F$1*MAX(BR206,0)</f>
        <v>32.553207489938465</v>
      </c>
      <c r="BQ207" s="75">
        <f>PARAM!$C$26+MAX($G$19-CHOOSE(PARAM!$B$44,MAX(0,BR206*$F$1),0),0)*RATES!$L183/12+$H$19*(PARAM!$D$51/12)*RATES!$N183/100</f>
        <v>12.553852618641251</v>
      </c>
      <c r="BR207" s="16">
        <f t="shared" si="128"/>
        <v>486.53956050244739</v>
      </c>
      <c r="BS207" s="15">
        <f t="shared" si="103"/>
        <v>22.170849845882874</v>
      </c>
      <c r="BT207" s="75">
        <f>BS207*(1-PARAM!$C$27)*$I$20+(MOD($B207,60)=PARAM!$B$56)*($B207&gt;(60-PARAM!$B$56))*HLOOKUP(($B207+PARAM!$B$56)/12,Loyalty,2)*$F$1*MAX(BV206,0)</f>
        <v>32.553207489938465</v>
      </c>
      <c r="BU207" s="75">
        <f>PARAM!$C$26+MAX($G$20-CHOOSE(PARAM!$B$44,MAX(0,BV206*$F$1),0),0)*RATES!$L183/12+$H$20*(PARAM!$D$51/12)*RATES!$N183/100</f>
        <v>12.553852618641251</v>
      </c>
      <c r="BV207" s="16">
        <f t="shared" si="129"/>
        <v>486.53956050244739</v>
      </c>
      <c r="BW207" s="15">
        <f t="shared" si="104"/>
        <v>22.170849845882874</v>
      </c>
      <c r="BX207" s="75">
        <f>BW207*(1-PARAM!$C$27)*$I$21+(MOD($B207,60)=PARAM!$B$56)*($B207&gt;(60-PARAM!$B$56))*HLOOKUP(($B207+PARAM!$B$56)/12,Loyalty,2)*$F$1*MAX(BZ206,0)</f>
        <v>32.553207489938465</v>
      </c>
      <c r="BY207" s="75">
        <f>PARAM!$C$26+MAX($G$21-CHOOSE(PARAM!$B$44,MAX(0,BZ206*$F$1),0),0)*RATES!$L183/12+$H$21*(PARAM!$D$51/12)*RATES!$N183/100</f>
        <v>12.553852618641251</v>
      </c>
      <c r="BZ207" s="16">
        <f t="shared" si="130"/>
        <v>486.53956050244739</v>
      </c>
      <c r="CA207" s="15">
        <f t="shared" si="105"/>
        <v>22.170849845882874</v>
      </c>
      <c r="CB207" s="75">
        <f>CA207*(1-PARAM!$C$27)*$I$22+(MOD($B207,60)=PARAM!$B$56)*($B207&gt;(60-PARAM!$B$56))*HLOOKUP(($B207+PARAM!$B$56)/12,Loyalty,2)*$F$1*MAX(CD206,0)</f>
        <v>32.553207489938465</v>
      </c>
      <c r="CC207" s="75">
        <f>PARAM!$C$26+MAX($G$22-CHOOSE(PARAM!$B$44,MAX(0,CD206*$F$1),0),0)*RATES!$L183/12+$H$22*(PARAM!$D$51/12)*RATES!$N183/100</f>
        <v>12.553852618641251</v>
      </c>
      <c r="CD207" s="16">
        <f t="shared" si="131"/>
        <v>486.53956050244739</v>
      </c>
      <c r="CE207" s="33">
        <f>IF(0=MOD(B207,12/PARAM!$D$51),1,0)</f>
        <v>1</v>
      </c>
      <c r="CF207" s="15">
        <f t="shared" si="106"/>
        <v>0</v>
      </c>
      <c r="CG207" s="75">
        <f>CF207*(1-PARAM!$C$27)*$R$3+(MOD($B207/12,5)=0)*($B207&gt;60)*HLOOKUP($B207/12,Loyalty,2)*$F$1*MAX(CI206,0)</f>
        <v>0</v>
      </c>
      <c r="CH207" s="75">
        <f>PARAM!$C$26+MAX($P$3-CHOOSE(PARAM!$B$44,MAX(0,CI206*$F$1),0),0)*RATES!$L183/12+$Q$3*(PARAM!$D$51/12)*RATES!$N183/100</f>
        <v>12.625</v>
      </c>
      <c r="CI207" s="16">
        <f>IF(CI206&gt;0,CI206*PARAM!$C$53,CI206)+CG207-CH207</f>
        <v>-2675.374999999995</v>
      </c>
      <c r="CJ207" s="15">
        <f t="shared" si="132"/>
        <v>0</v>
      </c>
      <c r="CK207" s="75">
        <f>CJ207*(1-PARAM!$C$27)*$R$4+(MOD($B207/12,5)=0)*($B207&gt;60)*HLOOKUP($B207/12,Loyalty,2)*$F$1*MAX(CM206,0)</f>
        <v>0</v>
      </c>
      <c r="CL207" s="75">
        <f>PARAM!$C$26+MAX($P$4-CHOOSE(PARAM!$B$44,MAX(0,CM206*$F$1),0),0)*RATES!$L183/12+$Q$4*(PARAM!$D$51/12)*RATES!$N183/100</f>
        <v>12.625</v>
      </c>
      <c r="CM207" s="16">
        <f>IF(CM206&gt;0,CM206*PARAM!$C$53,CM206)+CK207-CL207</f>
        <v>-2675.374999999995</v>
      </c>
      <c r="CO207" s="176"/>
    </row>
    <row r="208" spans="1:93" x14ac:dyDescent="0.2">
      <c r="A208" t="b">
        <f t="shared" si="107"/>
        <v>1</v>
      </c>
      <c r="B208" s="33">
        <v>181</v>
      </c>
      <c r="C208" s="15">
        <f t="shared" si="108"/>
        <v>20.081305947392778</v>
      </c>
      <c r="D208" s="75">
        <f>C208*(1-PARAM!$C$27)*$I$3+(MOD($B208,60)=PARAM!$B$56)*($B208&gt;(60-PARAM!$B$56))*HLOOKUP(($B208+PARAM!$B$56)/12,Loyalty,2)*$F$1*MAX(F207,0)</f>
        <v>16.808053077967756</v>
      </c>
      <c r="E208" s="75">
        <f>PARAM!$C$26+MAX($G$3-CHOOSE(PARAM!$B$44,MAX(0,F207*$F$1),0),0)*RATES!$L184/12+$H$3*(PARAM!$D$51/12)*RATES!$N184/100</f>
        <v>12.597606023071851</v>
      </c>
      <c r="F208" s="16">
        <f t="shared" si="109"/>
        <v>183.84308264930959</v>
      </c>
      <c r="G208" s="15">
        <f t="shared" si="110"/>
        <v>22.035289406060361</v>
      </c>
      <c r="H208" s="75">
        <f>G208*(1-PARAM!$C$27)*$I$4+(MOD($B208,60)=PARAM!$B$56)*($B208&gt;(60-PARAM!$B$56))*HLOOKUP(($B208+PARAM!$B$56)/12,Loyalty,2)*$F$1*MAX(J207,0)</f>
        <v>18.443537232872522</v>
      </c>
      <c r="I208" s="75">
        <f>PARAM!$C$26+MAX($G$4-CHOOSE(PARAM!$B$44,MAX(0,J207*$F$1),0),0)*RATES!$L184/12+$H$4*(PARAM!$D$51/12)*RATES!$N184/100</f>
        <v>12.553841438913192</v>
      </c>
      <c r="J208" s="16">
        <f t="shared" si="111"/>
        <v>472.50321111728567</v>
      </c>
      <c r="K208" s="15">
        <f t="shared" si="112"/>
        <v>22.170849845882874</v>
      </c>
      <c r="L208" s="75">
        <f>K208*(1-PARAM!$C$27)*$I$5+(MOD($B208,60)=PARAM!$B$56)*($B208&gt;(60-PARAM!$B$56))*HLOOKUP(($B208+PARAM!$B$56)/12,Loyalty,2)*$F$1*MAX(N207,0)</f>
        <v>18.557001321003963</v>
      </c>
      <c r="M208" s="75">
        <f>PARAM!$C$26+MAX($G$5-CHOOSE(PARAM!$B$44,MAX(0,N207*$F$1),0),0)*RATES!$L184/12+$H$5*(PARAM!$D$51/12)*RATES!$N184/100</f>
        <v>12.550802717023377</v>
      </c>
      <c r="N208" s="16">
        <f t="shared" si="113"/>
        <v>492.54575910642797</v>
      </c>
      <c r="O208" s="15">
        <f t="shared" si="114"/>
        <v>22.170849845882874</v>
      </c>
      <c r="P208" s="75">
        <f>O208*(1-PARAM!$C$27)*$I$6+(MOD($B208,60)=PARAM!$B$56)*($B208&gt;(60-PARAM!$B$56))*HLOOKUP(($B208+PARAM!$B$56)/12,Loyalty,2)*$F$1*MAX(R207,0)</f>
        <v>18.557001321003963</v>
      </c>
      <c r="Q208" s="75">
        <f>PARAM!$C$26+MAX($G$6-CHOOSE(PARAM!$B$44,MAX(0,R207*$F$1),0),0)*RATES!$L184/12+$H$6*(PARAM!$D$51/12)*RATES!$N184/100</f>
        <v>12.550802717023377</v>
      </c>
      <c r="R208" s="16">
        <f t="shared" si="115"/>
        <v>492.54575910642797</v>
      </c>
      <c r="S208" s="15">
        <f t="shared" si="90"/>
        <v>22.170849845882874</v>
      </c>
      <c r="T208" s="75">
        <f>S208*(1-PARAM!$C$27)*$I$7+(MOD($B208,60)=PARAM!$B$56)*($B208&gt;(60-PARAM!$B$56))*HLOOKUP(($B208+PARAM!$B$56)/12,Loyalty,2)*$F$1*MAX(V207,0)</f>
        <v>18.557001321003963</v>
      </c>
      <c r="U208" s="75">
        <f>PARAM!$C$26+MAX($G$7-CHOOSE(PARAM!$B$44,MAX(0,V207*$F$1),0),0)*RATES!$L184/12+$H$7*(PARAM!$D$51/12)*RATES!$N184/100</f>
        <v>12.550802717023377</v>
      </c>
      <c r="V208" s="16">
        <f t="shared" si="116"/>
        <v>492.54575910642797</v>
      </c>
      <c r="W208" s="15">
        <f t="shared" si="91"/>
        <v>22.170849845882874</v>
      </c>
      <c r="X208" s="75">
        <f>W208*(1-PARAM!$C$27)*$I$8+(MOD($B208,60)=PARAM!$B$56)*($B208&gt;(60-PARAM!$B$56))*HLOOKUP(($B208+PARAM!$B$56)/12,Loyalty,2)*$F$1*MAX(Z207,0)</f>
        <v>18.557001321003963</v>
      </c>
      <c r="Y208" s="75">
        <f>PARAM!$C$26+MAX($G$8-CHOOSE(PARAM!$B$44,MAX(0,Z207*$F$1),0),0)*RATES!$L184/12+$H$8*(PARAM!$D$51/12)*RATES!$N184/100</f>
        <v>12.550802717023377</v>
      </c>
      <c r="Z208" s="16">
        <f t="shared" si="117"/>
        <v>492.54575910642797</v>
      </c>
      <c r="AA208" s="15">
        <f t="shared" si="92"/>
        <v>22.170849845882874</v>
      </c>
      <c r="AB208" s="75">
        <f>AA208*(1-PARAM!$C$27)*$I$9+(MOD($B208,60)=PARAM!$B$56)*($B208&gt;(60-PARAM!$B$56))*HLOOKUP(($B208+PARAM!$B$56)/12,Loyalty,2)*$F$1*MAX(AD207,0)</f>
        <v>18.557001321003963</v>
      </c>
      <c r="AC208" s="75">
        <f>PARAM!$C$26+MAX($G$9-CHOOSE(PARAM!$B$44,MAX(0,AD207*$F$1),0),0)*RATES!$L184/12+$H$9*(PARAM!$D$51/12)*RATES!$N184/100</f>
        <v>12.550802717023377</v>
      </c>
      <c r="AD208" s="16">
        <f t="shared" si="118"/>
        <v>492.54575910642797</v>
      </c>
      <c r="AE208" s="15">
        <f t="shared" si="93"/>
        <v>22.170849845882874</v>
      </c>
      <c r="AF208" s="75">
        <f>AE208*(1-PARAM!$C$27)*$I$10+(MOD($B208,60)=PARAM!$B$56)*($B208&gt;(60-PARAM!$B$56))*HLOOKUP(($B208+PARAM!$B$56)/12,Loyalty,2)*$F$1*MAX(AH207,0)</f>
        <v>18.557001321003963</v>
      </c>
      <c r="AG208" s="75">
        <f>PARAM!$C$26+MAX($G$10-CHOOSE(PARAM!$B$44,MAX(0,AH207*$F$1),0),0)*RATES!$L184/12+$H$10*(PARAM!$D$51/12)*RATES!$N184/100</f>
        <v>12.550802717023377</v>
      </c>
      <c r="AH208" s="16">
        <f t="shared" si="119"/>
        <v>492.54575910642797</v>
      </c>
      <c r="AI208" s="15">
        <f t="shared" si="94"/>
        <v>22.170849845882874</v>
      </c>
      <c r="AJ208" s="75">
        <f>AI208*(1-PARAM!$C$27)*$I$11+(MOD($B208,60)=PARAM!$B$56)*($B208&gt;(60-PARAM!$B$56))*HLOOKUP(($B208+PARAM!$B$56)/12,Loyalty,2)*$F$1*MAX(AL207,0)</f>
        <v>18.557001321003963</v>
      </c>
      <c r="AK208" s="75">
        <f>PARAM!$C$26+MAX($G$11-CHOOSE(PARAM!$B$44,MAX(0,AL207*$F$1),0),0)*RATES!$L184/12+$H$11*(PARAM!$D$51/12)*RATES!$N184/100</f>
        <v>12.550802717023377</v>
      </c>
      <c r="AL208" s="16">
        <f t="shared" si="120"/>
        <v>492.54575910642797</v>
      </c>
      <c r="AM208" s="15">
        <f t="shared" si="95"/>
        <v>22.170849845882874</v>
      </c>
      <c r="AN208" s="75">
        <f>AM208*(1-PARAM!$C$27)*$I$12+(MOD($B208,60)=PARAM!$B$56)*($B208&gt;(60-PARAM!$B$56))*HLOOKUP(($B208+PARAM!$B$56)/12,Loyalty,2)*$F$1*MAX(AP207,0)</f>
        <v>18.557001321003963</v>
      </c>
      <c r="AO208" s="75">
        <f>PARAM!$C$26+MAX($G$12-CHOOSE(PARAM!$B$44,MAX(0,AP207*$F$1),0),0)*RATES!$L184/12+$H$12*(PARAM!$D$51/12)*RATES!$N184/100</f>
        <v>12.550802717023377</v>
      </c>
      <c r="AP208" s="16">
        <f t="shared" si="121"/>
        <v>492.54575910642797</v>
      </c>
      <c r="AQ208" s="15">
        <f t="shared" si="96"/>
        <v>22.170849845882874</v>
      </c>
      <c r="AR208" s="75">
        <f>AQ208*(1-PARAM!$C$27)*$I$13+(MOD($B208,60)=PARAM!$B$56)*($B208&gt;(60-PARAM!$B$56))*HLOOKUP(($B208+PARAM!$B$56)/12,Loyalty,2)*$F$1*MAX(AT207,0)</f>
        <v>18.557001321003963</v>
      </c>
      <c r="AS208" s="75">
        <f>PARAM!$C$26+MAX($G$13-CHOOSE(PARAM!$B$44,MAX(0,AT207*$F$1),0),0)*RATES!$L184/12+$H$13*(PARAM!$D$51/12)*RATES!$N184/100</f>
        <v>12.550802717023377</v>
      </c>
      <c r="AT208" s="16">
        <f t="shared" si="122"/>
        <v>492.54575910642797</v>
      </c>
      <c r="AU208" s="15">
        <f t="shared" si="97"/>
        <v>22.170849845882874</v>
      </c>
      <c r="AV208" s="75">
        <f>AU208*(1-PARAM!$C$27)*$I$14+(MOD($B208,60)=PARAM!$B$56)*($B208&gt;(60-PARAM!$B$56))*HLOOKUP(($B208+PARAM!$B$56)/12,Loyalty,2)*$F$1*MAX(AX207,0)</f>
        <v>18.557001321003963</v>
      </c>
      <c r="AW208" s="75">
        <f>PARAM!$C$26+MAX($G$14-CHOOSE(PARAM!$B$44,MAX(0,AX207*$F$1),0),0)*RATES!$L184/12+$H$14*(PARAM!$D$51/12)*RATES!$N184/100</f>
        <v>12.550802717023377</v>
      </c>
      <c r="AX208" s="16">
        <f t="shared" si="123"/>
        <v>492.54575910642797</v>
      </c>
      <c r="AY208" s="15">
        <f t="shared" si="98"/>
        <v>22.170849845882874</v>
      </c>
      <c r="AZ208" s="75">
        <f>AY208*(1-PARAM!$C$27)*$I$15+(MOD($B208,60)=PARAM!$B$56)*($B208&gt;(60-PARAM!$B$56))*HLOOKUP(($B208+PARAM!$B$56)/12,Loyalty,2)*$F$1*MAX(BB207,0)</f>
        <v>18.557001321003963</v>
      </c>
      <c r="BA208" s="75">
        <f>PARAM!$C$26+MAX($G$15-CHOOSE(PARAM!$B$44,MAX(0,BB207*$F$1),0),0)*RATES!$L184/12+$H$15*(PARAM!$D$51/12)*RATES!$N184/100</f>
        <v>12.550802717023377</v>
      </c>
      <c r="BB208" s="16">
        <f t="shared" si="124"/>
        <v>492.54575910642797</v>
      </c>
      <c r="BC208" s="15">
        <f t="shared" si="99"/>
        <v>22.170849845882874</v>
      </c>
      <c r="BD208" s="75">
        <f>BC208*(1-PARAM!$C$27)*$I$16+(MOD($B208,60)=PARAM!$B$56)*($B208&gt;(60-PARAM!$B$56))*HLOOKUP(($B208+PARAM!$B$56)/12,Loyalty,2)*$F$1*MAX(BF207,0)</f>
        <v>18.557001321003963</v>
      </c>
      <c r="BE208" s="75">
        <f>PARAM!$C$26+MAX($G$16-CHOOSE(PARAM!$B$44,MAX(0,BF207*$F$1),0),0)*RATES!$L184/12+$H$16*(PARAM!$D$51/12)*RATES!$N184/100</f>
        <v>12.550802717023377</v>
      </c>
      <c r="BF208" s="16">
        <f t="shared" si="125"/>
        <v>492.54575910642797</v>
      </c>
      <c r="BG208" s="15">
        <f t="shared" si="100"/>
        <v>22.170849845882874</v>
      </c>
      <c r="BH208" s="75">
        <f>BG208*(1-PARAM!$C$27)*$I$17+(MOD($B208,60)=PARAM!$B$56)*($B208&gt;(60-PARAM!$B$56))*HLOOKUP(($B208+PARAM!$B$56)/12,Loyalty,2)*$F$1*MAX(BJ207,0)</f>
        <v>18.557001321003963</v>
      </c>
      <c r="BI208" s="75">
        <f>PARAM!$C$26+MAX($G$17-CHOOSE(PARAM!$B$44,MAX(0,BJ207*$F$1),0),0)*RATES!$L184/12+$H$17*(PARAM!$D$51/12)*RATES!$N184/100</f>
        <v>12.550802717023377</v>
      </c>
      <c r="BJ208" s="16">
        <f t="shared" si="126"/>
        <v>492.54575910642797</v>
      </c>
      <c r="BK208" s="15">
        <f t="shared" si="101"/>
        <v>22.170849845882874</v>
      </c>
      <c r="BL208" s="75">
        <f>BK208*(1-PARAM!$C$27)*$I$18+(MOD($B208,60)=PARAM!$B$56)*($B208&gt;(60-PARAM!$B$56))*HLOOKUP(($B208+PARAM!$B$56)/12,Loyalty,2)*$F$1*MAX(BN207,0)</f>
        <v>18.557001321003963</v>
      </c>
      <c r="BM208" s="75">
        <f>PARAM!$C$26+MAX($G$18-CHOOSE(PARAM!$B$44,MAX(0,BN207*$F$1),0),0)*RATES!$L184/12+$H$18*(PARAM!$D$51/12)*RATES!$N184/100</f>
        <v>12.550802717023377</v>
      </c>
      <c r="BN208" s="16">
        <f t="shared" si="127"/>
        <v>492.54575910642797</v>
      </c>
      <c r="BO208" s="15">
        <f t="shared" si="102"/>
        <v>22.170849845882874</v>
      </c>
      <c r="BP208" s="75">
        <f>BO208*(1-PARAM!$C$27)*$I$19+(MOD($B208,60)=PARAM!$B$56)*($B208&gt;(60-PARAM!$B$56))*HLOOKUP(($B208+PARAM!$B$56)/12,Loyalty,2)*$F$1*MAX(BR207,0)</f>
        <v>18.557001321003963</v>
      </c>
      <c r="BQ208" s="75">
        <f>PARAM!$C$26+MAX($G$19-CHOOSE(PARAM!$B$44,MAX(0,BR207*$F$1),0),0)*RATES!$L184/12+$H$19*(PARAM!$D$51/12)*RATES!$N184/100</f>
        <v>12.550802717023377</v>
      </c>
      <c r="BR208" s="16">
        <f t="shared" si="128"/>
        <v>492.54575910642797</v>
      </c>
      <c r="BS208" s="15">
        <f t="shared" si="103"/>
        <v>22.170849845882874</v>
      </c>
      <c r="BT208" s="75">
        <f>BS208*(1-PARAM!$C$27)*$I$20+(MOD($B208,60)=PARAM!$B$56)*($B208&gt;(60-PARAM!$B$56))*HLOOKUP(($B208+PARAM!$B$56)/12,Loyalty,2)*$F$1*MAX(BV207,0)</f>
        <v>18.557001321003963</v>
      </c>
      <c r="BU208" s="75">
        <f>PARAM!$C$26+MAX($G$20-CHOOSE(PARAM!$B$44,MAX(0,BV207*$F$1),0),0)*RATES!$L184/12+$H$20*(PARAM!$D$51/12)*RATES!$N184/100</f>
        <v>12.550802717023377</v>
      </c>
      <c r="BV208" s="16">
        <f t="shared" si="129"/>
        <v>492.54575910642797</v>
      </c>
      <c r="BW208" s="15">
        <f t="shared" si="104"/>
        <v>22.170849845882874</v>
      </c>
      <c r="BX208" s="75">
        <f>BW208*(1-PARAM!$C$27)*$I$21+(MOD($B208,60)=PARAM!$B$56)*($B208&gt;(60-PARAM!$B$56))*HLOOKUP(($B208+PARAM!$B$56)/12,Loyalty,2)*$F$1*MAX(BZ207,0)</f>
        <v>18.557001321003963</v>
      </c>
      <c r="BY208" s="75">
        <f>PARAM!$C$26+MAX($G$21-CHOOSE(PARAM!$B$44,MAX(0,BZ207*$F$1),0),0)*RATES!$L184/12+$H$21*(PARAM!$D$51/12)*RATES!$N184/100</f>
        <v>12.550802717023377</v>
      </c>
      <c r="BZ208" s="16">
        <f t="shared" si="130"/>
        <v>492.54575910642797</v>
      </c>
      <c r="CA208" s="15">
        <f t="shared" si="105"/>
        <v>22.170849845882874</v>
      </c>
      <c r="CB208" s="75">
        <f>CA208*(1-PARAM!$C$27)*$I$22+(MOD($B208,60)=PARAM!$B$56)*($B208&gt;(60-PARAM!$B$56))*HLOOKUP(($B208+PARAM!$B$56)/12,Loyalty,2)*$F$1*MAX(CD207,0)</f>
        <v>18.557001321003963</v>
      </c>
      <c r="CC208" s="75">
        <f>PARAM!$C$26+MAX($G$22-CHOOSE(PARAM!$B$44,MAX(0,CD207*$F$1),0),0)*RATES!$L184/12+$H$22*(PARAM!$D$51/12)*RATES!$N184/100</f>
        <v>12.550802717023377</v>
      </c>
      <c r="CD208" s="16">
        <f t="shared" si="131"/>
        <v>492.54575910642797</v>
      </c>
      <c r="CE208" s="33">
        <f>IF(0=MOD(B208,12/PARAM!$D$51),1,0)</f>
        <v>1</v>
      </c>
      <c r="CF208" s="15">
        <f t="shared" si="106"/>
        <v>0</v>
      </c>
      <c r="CG208" s="75">
        <f>CF208*(1-PARAM!$C$27)*$R$3+(MOD($B208/12,5)=0)*($B208&gt;60)*HLOOKUP($B208/12,Loyalty,2)*$F$1*MAX(CI207,0)</f>
        <v>0</v>
      </c>
      <c r="CH208" s="75">
        <f>PARAM!$C$26+MAX($P$3-CHOOSE(PARAM!$B$44,MAX(0,CI207*$F$1),0),0)*RATES!$L184/12+$Q$3*(PARAM!$D$51/12)*RATES!$N184/100</f>
        <v>12.625</v>
      </c>
      <c r="CI208" s="16">
        <f>IF(CI207&gt;0,CI207*PARAM!$C$53,CI207)+CG208-CH208</f>
        <v>-2687.999999999995</v>
      </c>
      <c r="CJ208" s="15">
        <f t="shared" si="132"/>
        <v>0</v>
      </c>
      <c r="CK208" s="75">
        <f>CJ208*(1-PARAM!$C$27)*$R$4+(MOD($B208/12,5)=0)*($B208&gt;60)*HLOOKUP($B208/12,Loyalty,2)*$F$1*MAX(CM207,0)</f>
        <v>0</v>
      </c>
      <c r="CL208" s="75">
        <f>PARAM!$C$26+MAX($P$4-CHOOSE(PARAM!$B$44,MAX(0,CM207*$F$1),0),0)*RATES!$L184/12+$Q$4*(PARAM!$D$51/12)*RATES!$N184/100</f>
        <v>12.625</v>
      </c>
      <c r="CM208" s="16">
        <f>IF(CM207&gt;0,CM207*PARAM!$C$53,CM207)+CK208-CL208</f>
        <v>-2687.999999999995</v>
      </c>
      <c r="CO208" s="176"/>
    </row>
    <row r="209" spans="1:93" x14ac:dyDescent="0.2">
      <c r="A209" t="b">
        <f t="shared" si="107"/>
        <v>1</v>
      </c>
      <c r="B209" s="33">
        <v>182</v>
      </c>
      <c r="C209" s="15">
        <f t="shared" si="108"/>
        <v>20.081305947392778</v>
      </c>
      <c r="D209" s="75">
        <f>C209*(1-PARAM!$C$27)*$I$3+(MOD($B209,60)=PARAM!$B$56)*($B209&gt;(60-PARAM!$B$56))*HLOOKUP(($B209+PARAM!$B$56)/12,Loyalty,2)*$F$1*MAX(F208,0)</f>
        <v>16.808053077967756</v>
      </c>
      <c r="E209" s="75">
        <f>PARAM!$C$26+MAX($G$3-CHOOSE(PARAM!$B$44,MAX(0,F208*$F$1),0),0)*RATES!$L185/12+$H$3*(PARAM!$D$51/12)*RATES!$N185/100</f>
        <v>12.596963929895981</v>
      </c>
      <c r="F209" s="16">
        <f t="shared" si="109"/>
        <v>188.05417179738134</v>
      </c>
      <c r="G209" s="15">
        <f t="shared" si="110"/>
        <v>22.035289406060361</v>
      </c>
      <c r="H209" s="75">
        <f>G209*(1-PARAM!$C$27)*$I$4+(MOD($B209,60)=PARAM!$B$56)*($B209&gt;(60-PARAM!$B$56))*HLOOKUP(($B209+PARAM!$B$56)/12,Loyalty,2)*$F$1*MAX(J208,0)</f>
        <v>18.443537232872522</v>
      </c>
      <c r="I209" s="75">
        <f>PARAM!$C$26+MAX($G$4-CHOOSE(PARAM!$B$44,MAX(0,J208*$F$1),0),0)*RATES!$L185/12+$H$4*(PARAM!$D$51/12)*RATES!$N185/100</f>
        <v>12.552943260304616</v>
      </c>
      <c r="J209" s="16">
        <f t="shared" si="111"/>
        <v>478.39380508985357</v>
      </c>
      <c r="K209" s="15">
        <f t="shared" si="112"/>
        <v>22.170849845882874</v>
      </c>
      <c r="L209" s="75">
        <f>K209*(1-PARAM!$C$27)*$I$5+(MOD($B209,60)=PARAM!$B$56)*($B209&gt;(60-PARAM!$B$56))*HLOOKUP(($B209+PARAM!$B$56)/12,Loyalty,2)*$F$1*MAX(N208,0)</f>
        <v>18.557001321003963</v>
      </c>
      <c r="M209" s="75">
        <f>PARAM!$C$26+MAX($G$5-CHOOSE(PARAM!$B$44,MAX(0,N208*$F$1),0),0)*RATES!$L185/12+$H$5*(PARAM!$D$51/12)*RATES!$N185/100</f>
        <v>12.549886771736269</v>
      </c>
      <c r="N209" s="16">
        <f t="shared" si="113"/>
        <v>498.55287365569563</v>
      </c>
      <c r="O209" s="15">
        <f t="shared" si="114"/>
        <v>22.170849845882874</v>
      </c>
      <c r="P209" s="75">
        <f>O209*(1-PARAM!$C$27)*$I$6+(MOD($B209,60)=PARAM!$B$56)*($B209&gt;(60-PARAM!$B$56))*HLOOKUP(($B209+PARAM!$B$56)/12,Loyalty,2)*$F$1*MAX(R208,0)</f>
        <v>18.557001321003963</v>
      </c>
      <c r="Q209" s="75">
        <f>PARAM!$C$26+MAX($G$6-CHOOSE(PARAM!$B$44,MAX(0,R208*$F$1),0),0)*RATES!$L185/12+$H$6*(PARAM!$D$51/12)*RATES!$N185/100</f>
        <v>12.549886771736269</v>
      </c>
      <c r="R209" s="16">
        <f t="shared" si="115"/>
        <v>498.55287365569563</v>
      </c>
      <c r="S209" s="15">
        <f t="shared" si="90"/>
        <v>22.170849845882874</v>
      </c>
      <c r="T209" s="75">
        <f>S209*(1-PARAM!$C$27)*$I$7+(MOD($B209,60)=PARAM!$B$56)*($B209&gt;(60-PARAM!$B$56))*HLOOKUP(($B209+PARAM!$B$56)/12,Loyalty,2)*$F$1*MAX(V208,0)</f>
        <v>18.557001321003963</v>
      </c>
      <c r="U209" s="75">
        <f>PARAM!$C$26+MAX($G$7-CHOOSE(PARAM!$B$44,MAX(0,V208*$F$1),0),0)*RATES!$L185/12+$H$7*(PARAM!$D$51/12)*RATES!$N185/100</f>
        <v>12.549886771736269</v>
      </c>
      <c r="V209" s="16">
        <f t="shared" si="116"/>
        <v>498.55287365569563</v>
      </c>
      <c r="W209" s="15">
        <f t="shared" si="91"/>
        <v>22.170849845882874</v>
      </c>
      <c r="X209" s="75">
        <f>W209*(1-PARAM!$C$27)*$I$8+(MOD($B209,60)=PARAM!$B$56)*($B209&gt;(60-PARAM!$B$56))*HLOOKUP(($B209+PARAM!$B$56)/12,Loyalty,2)*$F$1*MAX(Z208,0)</f>
        <v>18.557001321003963</v>
      </c>
      <c r="Y209" s="75">
        <f>PARAM!$C$26+MAX($G$8-CHOOSE(PARAM!$B$44,MAX(0,Z208*$F$1),0),0)*RATES!$L185/12+$H$8*(PARAM!$D$51/12)*RATES!$N185/100</f>
        <v>12.549886771736269</v>
      </c>
      <c r="Z209" s="16">
        <f t="shared" si="117"/>
        <v>498.55287365569563</v>
      </c>
      <c r="AA209" s="15">
        <f t="shared" si="92"/>
        <v>22.170849845882874</v>
      </c>
      <c r="AB209" s="75">
        <f>AA209*(1-PARAM!$C$27)*$I$9+(MOD($B209,60)=PARAM!$B$56)*($B209&gt;(60-PARAM!$B$56))*HLOOKUP(($B209+PARAM!$B$56)/12,Loyalty,2)*$F$1*MAX(AD208,0)</f>
        <v>18.557001321003963</v>
      </c>
      <c r="AC209" s="75">
        <f>PARAM!$C$26+MAX($G$9-CHOOSE(PARAM!$B$44,MAX(0,AD208*$F$1),0),0)*RATES!$L185/12+$H$9*(PARAM!$D$51/12)*RATES!$N185/100</f>
        <v>12.549886771736269</v>
      </c>
      <c r="AD209" s="16">
        <f t="shared" si="118"/>
        <v>498.55287365569563</v>
      </c>
      <c r="AE209" s="15">
        <f t="shared" si="93"/>
        <v>22.170849845882874</v>
      </c>
      <c r="AF209" s="75">
        <f>AE209*(1-PARAM!$C$27)*$I$10+(MOD($B209,60)=PARAM!$B$56)*($B209&gt;(60-PARAM!$B$56))*HLOOKUP(($B209+PARAM!$B$56)/12,Loyalty,2)*$F$1*MAX(AH208,0)</f>
        <v>18.557001321003963</v>
      </c>
      <c r="AG209" s="75">
        <f>PARAM!$C$26+MAX($G$10-CHOOSE(PARAM!$B$44,MAX(0,AH208*$F$1),0),0)*RATES!$L185/12+$H$10*(PARAM!$D$51/12)*RATES!$N185/100</f>
        <v>12.549886771736269</v>
      </c>
      <c r="AH209" s="16">
        <f t="shared" si="119"/>
        <v>498.55287365569563</v>
      </c>
      <c r="AI209" s="15">
        <f t="shared" si="94"/>
        <v>22.170849845882874</v>
      </c>
      <c r="AJ209" s="75">
        <f>AI209*(1-PARAM!$C$27)*$I$11+(MOD($B209,60)=PARAM!$B$56)*($B209&gt;(60-PARAM!$B$56))*HLOOKUP(($B209+PARAM!$B$56)/12,Loyalty,2)*$F$1*MAX(AL208,0)</f>
        <v>18.557001321003963</v>
      </c>
      <c r="AK209" s="75">
        <f>PARAM!$C$26+MAX($G$11-CHOOSE(PARAM!$B$44,MAX(0,AL208*$F$1),0),0)*RATES!$L185/12+$H$11*(PARAM!$D$51/12)*RATES!$N185/100</f>
        <v>12.549886771736269</v>
      </c>
      <c r="AL209" s="16">
        <f t="shared" si="120"/>
        <v>498.55287365569563</v>
      </c>
      <c r="AM209" s="15">
        <f t="shared" si="95"/>
        <v>22.170849845882874</v>
      </c>
      <c r="AN209" s="75">
        <f>AM209*(1-PARAM!$C$27)*$I$12+(MOD($B209,60)=PARAM!$B$56)*($B209&gt;(60-PARAM!$B$56))*HLOOKUP(($B209+PARAM!$B$56)/12,Loyalty,2)*$F$1*MAX(AP208,0)</f>
        <v>18.557001321003963</v>
      </c>
      <c r="AO209" s="75">
        <f>PARAM!$C$26+MAX($G$12-CHOOSE(PARAM!$B$44,MAX(0,AP208*$F$1),0),0)*RATES!$L185/12+$H$12*(PARAM!$D$51/12)*RATES!$N185/100</f>
        <v>12.549886771736269</v>
      </c>
      <c r="AP209" s="16">
        <f t="shared" si="121"/>
        <v>498.55287365569563</v>
      </c>
      <c r="AQ209" s="15">
        <f t="shared" si="96"/>
        <v>22.170849845882874</v>
      </c>
      <c r="AR209" s="75">
        <f>AQ209*(1-PARAM!$C$27)*$I$13+(MOD($B209,60)=PARAM!$B$56)*($B209&gt;(60-PARAM!$B$56))*HLOOKUP(($B209+PARAM!$B$56)/12,Loyalty,2)*$F$1*MAX(AT208,0)</f>
        <v>18.557001321003963</v>
      </c>
      <c r="AS209" s="75">
        <f>PARAM!$C$26+MAX($G$13-CHOOSE(PARAM!$B$44,MAX(0,AT208*$F$1),0),0)*RATES!$L185/12+$H$13*(PARAM!$D$51/12)*RATES!$N185/100</f>
        <v>12.549886771736269</v>
      </c>
      <c r="AT209" s="16">
        <f t="shared" si="122"/>
        <v>498.55287365569563</v>
      </c>
      <c r="AU209" s="15">
        <f t="shared" si="97"/>
        <v>22.170849845882874</v>
      </c>
      <c r="AV209" s="75">
        <f>AU209*(1-PARAM!$C$27)*$I$14+(MOD($B209,60)=PARAM!$B$56)*($B209&gt;(60-PARAM!$B$56))*HLOOKUP(($B209+PARAM!$B$56)/12,Loyalty,2)*$F$1*MAX(AX208,0)</f>
        <v>18.557001321003963</v>
      </c>
      <c r="AW209" s="75">
        <f>PARAM!$C$26+MAX($G$14-CHOOSE(PARAM!$B$44,MAX(0,AX208*$F$1),0),0)*RATES!$L185/12+$H$14*(PARAM!$D$51/12)*RATES!$N185/100</f>
        <v>12.549886771736269</v>
      </c>
      <c r="AX209" s="16">
        <f t="shared" si="123"/>
        <v>498.55287365569563</v>
      </c>
      <c r="AY209" s="15">
        <f t="shared" si="98"/>
        <v>22.170849845882874</v>
      </c>
      <c r="AZ209" s="75">
        <f>AY209*(1-PARAM!$C$27)*$I$15+(MOD($B209,60)=PARAM!$B$56)*($B209&gt;(60-PARAM!$B$56))*HLOOKUP(($B209+PARAM!$B$56)/12,Loyalty,2)*$F$1*MAX(BB208,0)</f>
        <v>18.557001321003963</v>
      </c>
      <c r="BA209" s="75">
        <f>PARAM!$C$26+MAX($G$15-CHOOSE(PARAM!$B$44,MAX(0,BB208*$F$1),0),0)*RATES!$L185/12+$H$15*(PARAM!$D$51/12)*RATES!$N185/100</f>
        <v>12.549886771736269</v>
      </c>
      <c r="BB209" s="16">
        <f t="shared" si="124"/>
        <v>498.55287365569563</v>
      </c>
      <c r="BC209" s="15">
        <f t="shared" si="99"/>
        <v>22.170849845882874</v>
      </c>
      <c r="BD209" s="75">
        <f>BC209*(1-PARAM!$C$27)*$I$16+(MOD($B209,60)=PARAM!$B$56)*($B209&gt;(60-PARAM!$B$56))*HLOOKUP(($B209+PARAM!$B$56)/12,Loyalty,2)*$F$1*MAX(BF208,0)</f>
        <v>18.557001321003963</v>
      </c>
      <c r="BE209" s="75">
        <f>PARAM!$C$26+MAX($G$16-CHOOSE(PARAM!$B$44,MAX(0,BF208*$F$1),0),0)*RATES!$L185/12+$H$16*(PARAM!$D$51/12)*RATES!$N185/100</f>
        <v>12.549886771736269</v>
      </c>
      <c r="BF209" s="16">
        <f t="shared" si="125"/>
        <v>498.55287365569563</v>
      </c>
      <c r="BG209" s="15">
        <f t="shared" si="100"/>
        <v>22.170849845882874</v>
      </c>
      <c r="BH209" s="75">
        <f>BG209*(1-PARAM!$C$27)*$I$17+(MOD($B209,60)=PARAM!$B$56)*($B209&gt;(60-PARAM!$B$56))*HLOOKUP(($B209+PARAM!$B$56)/12,Loyalty,2)*$F$1*MAX(BJ208,0)</f>
        <v>18.557001321003963</v>
      </c>
      <c r="BI209" s="75">
        <f>PARAM!$C$26+MAX($G$17-CHOOSE(PARAM!$B$44,MAX(0,BJ208*$F$1),0),0)*RATES!$L185/12+$H$17*(PARAM!$D$51/12)*RATES!$N185/100</f>
        <v>12.549886771736269</v>
      </c>
      <c r="BJ209" s="16">
        <f t="shared" si="126"/>
        <v>498.55287365569563</v>
      </c>
      <c r="BK209" s="15">
        <f t="shared" si="101"/>
        <v>22.170849845882874</v>
      </c>
      <c r="BL209" s="75">
        <f>BK209*(1-PARAM!$C$27)*$I$18+(MOD($B209,60)=PARAM!$B$56)*($B209&gt;(60-PARAM!$B$56))*HLOOKUP(($B209+PARAM!$B$56)/12,Loyalty,2)*$F$1*MAX(BN208,0)</f>
        <v>18.557001321003963</v>
      </c>
      <c r="BM209" s="75">
        <f>PARAM!$C$26+MAX($G$18-CHOOSE(PARAM!$B$44,MAX(0,BN208*$F$1),0),0)*RATES!$L185/12+$H$18*(PARAM!$D$51/12)*RATES!$N185/100</f>
        <v>12.549886771736269</v>
      </c>
      <c r="BN209" s="16">
        <f t="shared" si="127"/>
        <v>498.55287365569563</v>
      </c>
      <c r="BO209" s="15">
        <f t="shared" si="102"/>
        <v>22.170849845882874</v>
      </c>
      <c r="BP209" s="75">
        <f>BO209*(1-PARAM!$C$27)*$I$19+(MOD($B209,60)=PARAM!$B$56)*($B209&gt;(60-PARAM!$B$56))*HLOOKUP(($B209+PARAM!$B$56)/12,Loyalty,2)*$F$1*MAX(BR208,0)</f>
        <v>18.557001321003963</v>
      </c>
      <c r="BQ209" s="75">
        <f>PARAM!$C$26+MAX($G$19-CHOOSE(PARAM!$B$44,MAX(0,BR208*$F$1),0),0)*RATES!$L185/12+$H$19*(PARAM!$D$51/12)*RATES!$N185/100</f>
        <v>12.549886771736269</v>
      </c>
      <c r="BR209" s="16">
        <f t="shared" si="128"/>
        <v>498.55287365569563</v>
      </c>
      <c r="BS209" s="15">
        <f t="shared" si="103"/>
        <v>22.170849845882874</v>
      </c>
      <c r="BT209" s="75">
        <f>BS209*(1-PARAM!$C$27)*$I$20+(MOD($B209,60)=PARAM!$B$56)*($B209&gt;(60-PARAM!$B$56))*HLOOKUP(($B209+PARAM!$B$56)/12,Loyalty,2)*$F$1*MAX(BV208,0)</f>
        <v>18.557001321003963</v>
      </c>
      <c r="BU209" s="75">
        <f>PARAM!$C$26+MAX($G$20-CHOOSE(PARAM!$B$44,MAX(0,BV208*$F$1),0),0)*RATES!$L185/12+$H$20*(PARAM!$D$51/12)*RATES!$N185/100</f>
        <v>12.549886771736269</v>
      </c>
      <c r="BV209" s="16">
        <f t="shared" si="129"/>
        <v>498.55287365569563</v>
      </c>
      <c r="BW209" s="15">
        <f t="shared" si="104"/>
        <v>22.170849845882874</v>
      </c>
      <c r="BX209" s="75">
        <f>BW209*(1-PARAM!$C$27)*$I$21+(MOD($B209,60)=PARAM!$B$56)*($B209&gt;(60-PARAM!$B$56))*HLOOKUP(($B209+PARAM!$B$56)/12,Loyalty,2)*$F$1*MAX(BZ208,0)</f>
        <v>18.557001321003963</v>
      </c>
      <c r="BY209" s="75">
        <f>PARAM!$C$26+MAX($G$21-CHOOSE(PARAM!$B$44,MAX(0,BZ208*$F$1),0),0)*RATES!$L185/12+$H$21*(PARAM!$D$51/12)*RATES!$N185/100</f>
        <v>12.549886771736269</v>
      </c>
      <c r="BZ209" s="16">
        <f t="shared" si="130"/>
        <v>498.55287365569563</v>
      </c>
      <c r="CA209" s="15">
        <f t="shared" si="105"/>
        <v>22.170849845882874</v>
      </c>
      <c r="CB209" s="75">
        <f>CA209*(1-PARAM!$C$27)*$I$22+(MOD($B209,60)=PARAM!$B$56)*($B209&gt;(60-PARAM!$B$56))*HLOOKUP(($B209+PARAM!$B$56)/12,Loyalty,2)*$F$1*MAX(CD208,0)</f>
        <v>18.557001321003963</v>
      </c>
      <c r="CC209" s="75">
        <f>PARAM!$C$26+MAX($G$22-CHOOSE(PARAM!$B$44,MAX(0,CD208*$F$1),0),0)*RATES!$L185/12+$H$22*(PARAM!$D$51/12)*RATES!$N185/100</f>
        <v>12.549886771736269</v>
      </c>
      <c r="CD209" s="16">
        <f t="shared" si="131"/>
        <v>498.55287365569563</v>
      </c>
      <c r="CE209" s="33">
        <f>IF(0=MOD(B209,12/PARAM!$D$51),1,0)</f>
        <v>1</v>
      </c>
      <c r="CF209" s="15">
        <f t="shared" si="106"/>
        <v>0</v>
      </c>
      <c r="CG209" s="75">
        <f>CF209*(1-PARAM!$C$27)*$R$3+(MOD($B209/12,5)=0)*($B209&gt;60)*HLOOKUP($B209/12,Loyalty,2)*$F$1*MAX(CI208,0)</f>
        <v>0</v>
      </c>
      <c r="CH209" s="75">
        <f>PARAM!$C$26+MAX($P$3-CHOOSE(PARAM!$B$44,MAX(0,CI208*$F$1),0),0)*RATES!$L185/12+$Q$3*(PARAM!$D$51/12)*RATES!$N185/100</f>
        <v>12.625</v>
      </c>
      <c r="CI209" s="16">
        <f>IF(CI208&gt;0,CI208*PARAM!$C$53,CI208)+CG209-CH209</f>
        <v>-2700.624999999995</v>
      </c>
      <c r="CJ209" s="15">
        <f t="shared" si="132"/>
        <v>0</v>
      </c>
      <c r="CK209" s="75">
        <f>CJ209*(1-PARAM!$C$27)*$R$4+(MOD($B209/12,5)=0)*($B209&gt;60)*HLOOKUP($B209/12,Loyalty,2)*$F$1*MAX(CM208,0)</f>
        <v>0</v>
      </c>
      <c r="CL209" s="75">
        <f>PARAM!$C$26+MAX($P$4-CHOOSE(PARAM!$B$44,MAX(0,CM208*$F$1),0),0)*RATES!$L185/12+$Q$4*(PARAM!$D$51/12)*RATES!$N185/100</f>
        <v>12.625</v>
      </c>
      <c r="CM209" s="16">
        <f>IF(CM208&gt;0,CM208*PARAM!$C$53,CM208)+CK209-CL209</f>
        <v>-2700.624999999995</v>
      </c>
      <c r="CO209" s="176"/>
    </row>
    <row r="210" spans="1:93" x14ac:dyDescent="0.2">
      <c r="A210" t="b">
        <f t="shared" si="107"/>
        <v>1</v>
      </c>
      <c r="B210" s="33">
        <v>183</v>
      </c>
      <c r="C210" s="15">
        <f t="shared" si="108"/>
        <v>20.081305947392778</v>
      </c>
      <c r="D210" s="75">
        <f>C210*(1-PARAM!$C$27)*$I$3+(MOD($B210,60)=PARAM!$B$56)*($B210&gt;(60-PARAM!$B$56))*HLOOKUP(($B210+PARAM!$B$56)/12,Loyalty,2)*$F$1*MAX(F209,0)</f>
        <v>16.808053077967756</v>
      </c>
      <c r="E210" s="75">
        <f>PARAM!$C$26+MAX($G$3-CHOOSE(PARAM!$B$44,MAX(0,F209*$F$1),0),0)*RATES!$L186/12+$H$3*(PARAM!$D$51/12)*RATES!$N186/100</f>
        <v>12.596321738800899</v>
      </c>
      <c r="F210" s="16">
        <f t="shared" si="109"/>
        <v>192.26590313654822</v>
      </c>
      <c r="G210" s="15">
        <f t="shared" si="110"/>
        <v>22.035289406060361</v>
      </c>
      <c r="H210" s="75">
        <f>G210*(1-PARAM!$C$27)*$I$4+(MOD($B210,60)=PARAM!$B$56)*($B210&gt;(60-PARAM!$B$56))*HLOOKUP(($B210+PARAM!$B$56)/12,Loyalty,2)*$F$1*MAX(J209,0)</f>
        <v>18.443537232872522</v>
      </c>
      <c r="I210" s="75">
        <f>PARAM!$C$26+MAX($G$4-CHOOSE(PARAM!$B$44,MAX(0,J209*$F$1),0),0)*RATES!$L186/12+$H$4*(PARAM!$D$51/12)*RATES!$N186/100</f>
        <v>12.552044944723797</v>
      </c>
      <c r="J210" s="16">
        <f t="shared" si="111"/>
        <v>484.28529737800233</v>
      </c>
      <c r="K210" s="15">
        <f t="shared" si="112"/>
        <v>22.170849845882874</v>
      </c>
      <c r="L210" s="75">
        <f>K210*(1-PARAM!$C$27)*$I$5+(MOD($B210,60)=PARAM!$B$56)*($B210&gt;(60-PARAM!$B$56))*HLOOKUP(($B210+PARAM!$B$56)/12,Loyalty,2)*$F$1*MAX(N209,0)</f>
        <v>18.557001321003963</v>
      </c>
      <c r="M210" s="75">
        <f>PARAM!$C$26+MAX($G$5-CHOOSE(PARAM!$B$44,MAX(0,N209*$F$1),0),0)*RATES!$L186/12+$H$5*(PARAM!$D$51/12)*RATES!$N186/100</f>
        <v>12.548970686767507</v>
      </c>
      <c r="N210" s="16">
        <f t="shared" si="113"/>
        <v>504.56090428993213</v>
      </c>
      <c r="O210" s="15">
        <f t="shared" si="114"/>
        <v>22.170849845882874</v>
      </c>
      <c r="P210" s="75">
        <f>O210*(1-PARAM!$C$27)*$I$6+(MOD($B210,60)=PARAM!$B$56)*($B210&gt;(60-PARAM!$B$56))*HLOOKUP(($B210+PARAM!$B$56)/12,Loyalty,2)*$F$1*MAX(R209,0)</f>
        <v>18.557001321003963</v>
      </c>
      <c r="Q210" s="75">
        <f>PARAM!$C$26+MAX($G$6-CHOOSE(PARAM!$B$44,MAX(0,R209*$F$1),0),0)*RATES!$L186/12+$H$6*(PARAM!$D$51/12)*RATES!$N186/100</f>
        <v>12.548970686767507</v>
      </c>
      <c r="R210" s="16">
        <f t="shared" si="115"/>
        <v>504.56090428993213</v>
      </c>
      <c r="S210" s="15">
        <f t="shared" si="90"/>
        <v>22.170849845882874</v>
      </c>
      <c r="T210" s="75">
        <f>S210*(1-PARAM!$C$27)*$I$7+(MOD($B210,60)=PARAM!$B$56)*($B210&gt;(60-PARAM!$B$56))*HLOOKUP(($B210+PARAM!$B$56)/12,Loyalty,2)*$F$1*MAX(V209,0)</f>
        <v>18.557001321003963</v>
      </c>
      <c r="U210" s="75">
        <f>PARAM!$C$26+MAX($G$7-CHOOSE(PARAM!$B$44,MAX(0,V209*$F$1),0),0)*RATES!$L186/12+$H$7*(PARAM!$D$51/12)*RATES!$N186/100</f>
        <v>12.548970686767507</v>
      </c>
      <c r="V210" s="16">
        <f t="shared" si="116"/>
        <v>504.56090428993213</v>
      </c>
      <c r="W210" s="15">
        <f t="shared" si="91"/>
        <v>22.170849845882874</v>
      </c>
      <c r="X210" s="75">
        <f>W210*(1-PARAM!$C$27)*$I$8+(MOD($B210,60)=PARAM!$B$56)*($B210&gt;(60-PARAM!$B$56))*HLOOKUP(($B210+PARAM!$B$56)/12,Loyalty,2)*$F$1*MAX(Z209,0)</f>
        <v>18.557001321003963</v>
      </c>
      <c r="Y210" s="75">
        <f>PARAM!$C$26+MAX($G$8-CHOOSE(PARAM!$B$44,MAX(0,Z209*$F$1),0),0)*RATES!$L186/12+$H$8*(PARAM!$D$51/12)*RATES!$N186/100</f>
        <v>12.548970686767507</v>
      </c>
      <c r="Z210" s="16">
        <f t="shared" si="117"/>
        <v>504.56090428993213</v>
      </c>
      <c r="AA210" s="15">
        <f t="shared" si="92"/>
        <v>22.170849845882874</v>
      </c>
      <c r="AB210" s="75">
        <f>AA210*(1-PARAM!$C$27)*$I$9+(MOD($B210,60)=PARAM!$B$56)*($B210&gt;(60-PARAM!$B$56))*HLOOKUP(($B210+PARAM!$B$56)/12,Loyalty,2)*$F$1*MAX(AD209,0)</f>
        <v>18.557001321003963</v>
      </c>
      <c r="AC210" s="75">
        <f>PARAM!$C$26+MAX($G$9-CHOOSE(PARAM!$B$44,MAX(0,AD209*$F$1),0),0)*RATES!$L186/12+$H$9*(PARAM!$D$51/12)*RATES!$N186/100</f>
        <v>12.548970686767507</v>
      </c>
      <c r="AD210" s="16">
        <f t="shared" si="118"/>
        <v>504.56090428993213</v>
      </c>
      <c r="AE210" s="15">
        <f t="shared" si="93"/>
        <v>22.170849845882874</v>
      </c>
      <c r="AF210" s="75">
        <f>AE210*(1-PARAM!$C$27)*$I$10+(MOD($B210,60)=PARAM!$B$56)*($B210&gt;(60-PARAM!$B$56))*HLOOKUP(($B210+PARAM!$B$56)/12,Loyalty,2)*$F$1*MAX(AH209,0)</f>
        <v>18.557001321003963</v>
      </c>
      <c r="AG210" s="75">
        <f>PARAM!$C$26+MAX($G$10-CHOOSE(PARAM!$B$44,MAX(0,AH209*$F$1),0),0)*RATES!$L186/12+$H$10*(PARAM!$D$51/12)*RATES!$N186/100</f>
        <v>12.548970686767507</v>
      </c>
      <c r="AH210" s="16">
        <f t="shared" si="119"/>
        <v>504.56090428993213</v>
      </c>
      <c r="AI210" s="15">
        <f t="shared" si="94"/>
        <v>22.170849845882874</v>
      </c>
      <c r="AJ210" s="75">
        <f>AI210*(1-PARAM!$C$27)*$I$11+(MOD($B210,60)=PARAM!$B$56)*($B210&gt;(60-PARAM!$B$56))*HLOOKUP(($B210+PARAM!$B$56)/12,Loyalty,2)*$F$1*MAX(AL209,0)</f>
        <v>18.557001321003963</v>
      </c>
      <c r="AK210" s="75">
        <f>PARAM!$C$26+MAX($G$11-CHOOSE(PARAM!$B$44,MAX(0,AL209*$F$1),0),0)*RATES!$L186/12+$H$11*(PARAM!$D$51/12)*RATES!$N186/100</f>
        <v>12.548970686767507</v>
      </c>
      <c r="AL210" s="16">
        <f t="shared" si="120"/>
        <v>504.56090428993213</v>
      </c>
      <c r="AM210" s="15">
        <f t="shared" si="95"/>
        <v>22.170849845882874</v>
      </c>
      <c r="AN210" s="75">
        <f>AM210*(1-PARAM!$C$27)*$I$12+(MOD($B210,60)=PARAM!$B$56)*($B210&gt;(60-PARAM!$B$56))*HLOOKUP(($B210+PARAM!$B$56)/12,Loyalty,2)*$F$1*MAX(AP209,0)</f>
        <v>18.557001321003963</v>
      </c>
      <c r="AO210" s="75">
        <f>PARAM!$C$26+MAX($G$12-CHOOSE(PARAM!$B$44,MAX(0,AP209*$F$1),0),0)*RATES!$L186/12+$H$12*(PARAM!$D$51/12)*RATES!$N186/100</f>
        <v>12.548970686767507</v>
      </c>
      <c r="AP210" s="16">
        <f t="shared" si="121"/>
        <v>504.56090428993213</v>
      </c>
      <c r="AQ210" s="15">
        <f t="shared" si="96"/>
        <v>22.170849845882874</v>
      </c>
      <c r="AR210" s="75">
        <f>AQ210*(1-PARAM!$C$27)*$I$13+(MOD($B210,60)=PARAM!$B$56)*($B210&gt;(60-PARAM!$B$56))*HLOOKUP(($B210+PARAM!$B$56)/12,Loyalty,2)*$F$1*MAX(AT209,0)</f>
        <v>18.557001321003963</v>
      </c>
      <c r="AS210" s="75">
        <f>PARAM!$C$26+MAX($G$13-CHOOSE(PARAM!$B$44,MAX(0,AT209*$F$1),0),0)*RATES!$L186/12+$H$13*(PARAM!$D$51/12)*RATES!$N186/100</f>
        <v>12.548970686767507</v>
      </c>
      <c r="AT210" s="16">
        <f t="shared" si="122"/>
        <v>504.56090428993213</v>
      </c>
      <c r="AU210" s="15">
        <f t="shared" si="97"/>
        <v>22.170849845882874</v>
      </c>
      <c r="AV210" s="75">
        <f>AU210*(1-PARAM!$C$27)*$I$14+(MOD($B210,60)=PARAM!$B$56)*($B210&gt;(60-PARAM!$B$56))*HLOOKUP(($B210+PARAM!$B$56)/12,Loyalty,2)*$F$1*MAX(AX209,0)</f>
        <v>18.557001321003963</v>
      </c>
      <c r="AW210" s="75">
        <f>PARAM!$C$26+MAX($G$14-CHOOSE(PARAM!$B$44,MAX(0,AX209*$F$1),0),0)*RATES!$L186/12+$H$14*(PARAM!$D$51/12)*RATES!$N186/100</f>
        <v>12.548970686767507</v>
      </c>
      <c r="AX210" s="16">
        <f t="shared" si="123"/>
        <v>504.56090428993213</v>
      </c>
      <c r="AY210" s="15">
        <f t="shared" si="98"/>
        <v>22.170849845882874</v>
      </c>
      <c r="AZ210" s="75">
        <f>AY210*(1-PARAM!$C$27)*$I$15+(MOD($B210,60)=PARAM!$B$56)*($B210&gt;(60-PARAM!$B$56))*HLOOKUP(($B210+PARAM!$B$56)/12,Loyalty,2)*$F$1*MAX(BB209,0)</f>
        <v>18.557001321003963</v>
      </c>
      <c r="BA210" s="75">
        <f>PARAM!$C$26+MAX($G$15-CHOOSE(PARAM!$B$44,MAX(0,BB209*$F$1),0),0)*RATES!$L186/12+$H$15*(PARAM!$D$51/12)*RATES!$N186/100</f>
        <v>12.548970686767507</v>
      </c>
      <c r="BB210" s="16">
        <f t="shared" si="124"/>
        <v>504.56090428993213</v>
      </c>
      <c r="BC210" s="15">
        <f t="shared" si="99"/>
        <v>22.170849845882874</v>
      </c>
      <c r="BD210" s="75">
        <f>BC210*(1-PARAM!$C$27)*$I$16+(MOD($B210,60)=PARAM!$B$56)*($B210&gt;(60-PARAM!$B$56))*HLOOKUP(($B210+PARAM!$B$56)/12,Loyalty,2)*$F$1*MAX(BF209,0)</f>
        <v>18.557001321003963</v>
      </c>
      <c r="BE210" s="75">
        <f>PARAM!$C$26+MAX($G$16-CHOOSE(PARAM!$B$44,MAX(0,BF209*$F$1),0),0)*RATES!$L186/12+$H$16*(PARAM!$D$51/12)*RATES!$N186/100</f>
        <v>12.548970686767507</v>
      </c>
      <c r="BF210" s="16">
        <f t="shared" si="125"/>
        <v>504.56090428993213</v>
      </c>
      <c r="BG210" s="15">
        <f t="shared" si="100"/>
        <v>22.170849845882874</v>
      </c>
      <c r="BH210" s="75">
        <f>BG210*(1-PARAM!$C$27)*$I$17+(MOD($B210,60)=PARAM!$B$56)*($B210&gt;(60-PARAM!$B$56))*HLOOKUP(($B210+PARAM!$B$56)/12,Loyalty,2)*$F$1*MAX(BJ209,0)</f>
        <v>18.557001321003963</v>
      </c>
      <c r="BI210" s="75">
        <f>PARAM!$C$26+MAX($G$17-CHOOSE(PARAM!$B$44,MAX(0,BJ209*$F$1),0),0)*RATES!$L186/12+$H$17*(PARAM!$D$51/12)*RATES!$N186/100</f>
        <v>12.548970686767507</v>
      </c>
      <c r="BJ210" s="16">
        <f t="shared" si="126"/>
        <v>504.56090428993213</v>
      </c>
      <c r="BK210" s="15">
        <f t="shared" si="101"/>
        <v>22.170849845882874</v>
      </c>
      <c r="BL210" s="75">
        <f>BK210*(1-PARAM!$C$27)*$I$18+(MOD($B210,60)=PARAM!$B$56)*($B210&gt;(60-PARAM!$B$56))*HLOOKUP(($B210+PARAM!$B$56)/12,Loyalty,2)*$F$1*MAX(BN209,0)</f>
        <v>18.557001321003963</v>
      </c>
      <c r="BM210" s="75">
        <f>PARAM!$C$26+MAX($G$18-CHOOSE(PARAM!$B$44,MAX(0,BN209*$F$1),0),0)*RATES!$L186/12+$H$18*(PARAM!$D$51/12)*RATES!$N186/100</f>
        <v>12.548970686767507</v>
      </c>
      <c r="BN210" s="16">
        <f t="shared" si="127"/>
        <v>504.56090428993213</v>
      </c>
      <c r="BO210" s="15">
        <f t="shared" si="102"/>
        <v>22.170849845882874</v>
      </c>
      <c r="BP210" s="75">
        <f>BO210*(1-PARAM!$C$27)*$I$19+(MOD($B210,60)=PARAM!$B$56)*($B210&gt;(60-PARAM!$B$56))*HLOOKUP(($B210+PARAM!$B$56)/12,Loyalty,2)*$F$1*MAX(BR209,0)</f>
        <v>18.557001321003963</v>
      </c>
      <c r="BQ210" s="75">
        <f>PARAM!$C$26+MAX($G$19-CHOOSE(PARAM!$B$44,MAX(0,BR209*$F$1),0),0)*RATES!$L186/12+$H$19*(PARAM!$D$51/12)*RATES!$N186/100</f>
        <v>12.548970686767507</v>
      </c>
      <c r="BR210" s="16">
        <f t="shared" si="128"/>
        <v>504.56090428993213</v>
      </c>
      <c r="BS210" s="15">
        <f t="shared" si="103"/>
        <v>22.170849845882874</v>
      </c>
      <c r="BT210" s="75">
        <f>BS210*(1-PARAM!$C$27)*$I$20+(MOD($B210,60)=PARAM!$B$56)*($B210&gt;(60-PARAM!$B$56))*HLOOKUP(($B210+PARAM!$B$56)/12,Loyalty,2)*$F$1*MAX(BV209,0)</f>
        <v>18.557001321003963</v>
      </c>
      <c r="BU210" s="75">
        <f>PARAM!$C$26+MAX($G$20-CHOOSE(PARAM!$B$44,MAX(0,BV209*$F$1),0),0)*RATES!$L186/12+$H$20*(PARAM!$D$51/12)*RATES!$N186/100</f>
        <v>12.548970686767507</v>
      </c>
      <c r="BV210" s="16">
        <f t="shared" si="129"/>
        <v>504.56090428993213</v>
      </c>
      <c r="BW210" s="15">
        <f t="shared" si="104"/>
        <v>22.170849845882874</v>
      </c>
      <c r="BX210" s="75">
        <f>BW210*(1-PARAM!$C$27)*$I$21+(MOD($B210,60)=PARAM!$B$56)*($B210&gt;(60-PARAM!$B$56))*HLOOKUP(($B210+PARAM!$B$56)/12,Loyalty,2)*$F$1*MAX(BZ209,0)</f>
        <v>18.557001321003963</v>
      </c>
      <c r="BY210" s="75">
        <f>PARAM!$C$26+MAX($G$21-CHOOSE(PARAM!$B$44,MAX(0,BZ209*$F$1),0),0)*RATES!$L186/12+$H$21*(PARAM!$D$51/12)*RATES!$N186/100</f>
        <v>12.548970686767507</v>
      </c>
      <c r="BZ210" s="16">
        <f t="shared" si="130"/>
        <v>504.56090428993213</v>
      </c>
      <c r="CA210" s="15">
        <f t="shared" si="105"/>
        <v>22.170849845882874</v>
      </c>
      <c r="CB210" s="75">
        <f>CA210*(1-PARAM!$C$27)*$I$22+(MOD($B210,60)=PARAM!$B$56)*($B210&gt;(60-PARAM!$B$56))*HLOOKUP(($B210+PARAM!$B$56)/12,Loyalty,2)*$F$1*MAX(CD209,0)</f>
        <v>18.557001321003963</v>
      </c>
      <c r="CC210" s="75">
        <f>PARAM!$C$26+MAX($G$22-CHOOSE(PARAM!$B$44,MAX(0,CD209*$F$1),0),0)*RATES!$L186/12+$H$22*(PARAM!$D$51/12)*RATES!$N186/100</f>
        <v>12.548970686767507</v>
      </c>
      <c r="CD210" s="16">
        <f t="shared" si="131"/>
        <v>504.56090428993213</v>
      </c>
      <c r="CE210" s="33">
        <f>IF(0=MOD(B210,12/PARAM!$D$51),1,0)</f>
        <v>1</v>
      </c>
      <c r="CF210" s="15">
        <f t="shared" si="106"/>
        <v>0</v>
      </c>
      <c r="CG210" s="75">
        <f>CF210*(1-PARAM!$C$27)*$R$3+(MOD($B210/12,5)=0)*($B210&gt;60)*HLOOKUP($B210/12,Loyalty,2)*$F$1*MAX(CI209,0)</f>
        <v>0</v>
      </c>
      <c r="CH210" s="75">
        <f>PARAM!$C$26+MAX($P$3-CHOOSE(PARAM!$B$44,MAX(0,CI209*$F$1),0),0)*RATES!$L186/12+$Q$3*(PARAM!$D$51/12)*RATES!$N186/100</f>
        <v>12.625</v>
      </c>
      <c r="CI210" s="16">
        <f>IF(CI209&gt;0,CI209*PARAM!$C$53,CI209)+CG210-CH210</f>
        <v>-2713.249999999995</v>
      </c>
      <c r="CJ210" s="15">
        <f t="shared" si="132"/>
        <v>0</v>
      </c>
      <c r="CK210" s="75">
        <f>CJ210*(1-PARAM!$C$27)*$R$4+(MOD($B210/12,5)=0)*($B210&gt;60)*HLOOKUP($B210/12,Loyalty,2)*$F$1*MAX(CM209,0)</f>
        <v>0</v>
      </c>
      <c r="CL210" s="75">
        <f>PARAM!$C$26+MAX($P$4-CHOOSE(PARAM!$B$44,MAX(0,CM209*$F$1),0),0)*RATES!$L186/12+$Q$4*(PARAM!$D$51/12)*RATES!$N186/100</f>
        <v>12.625</v>
      </c>
      <c r="CM210" s="16">
        <f>IF(CM209&gt;0,CM209*PARAM!$C$53,CM209)+CK210-CL210</f>
        <v>-2713.249999999995</v>
      </c>
      <c r="CO210" s="176"/>
    </row>
    <row r="211" spans="1:93" x14ac:dyDescent="0.2">
      <c r="A211" t="b">
        <f t="shared" si="107"/>
        <v>1</v>
      </c>
      <c r="B211" s="33">
        <v>184</v>
      </c>
      <c r="C211" s="15">
        <f t="shared" si="108"/>
        <v>20.081305947392778</v>
      </c>
      <c r="D211" s="75">
        <f>C211*(1-PARAM!$C$27)*$I$3+(MOD($B211,60)=PARAM!$B$56)*($B211&gt;(60-PARAM!$B$56))*HLOOKUP(($B211+PARAM!$B$56)/12,Loyalty,2)*$F$1*MAX(F210,0)</f>
        <v>16.808053077967756</v>
      </c>
      <c r="E211" s="75">
        <f>PARAM!$C$26+MAX($G$3-CHOOSE(PARAM!$B$44,MAX(0,F210*$F$1),0),0)*RATES!$L187/12+$H$3*(PARAM!$D$51/12)*RATES!$N187/100</f>
        <v>12.595679449771676</v>
      </c>
      <c r="F211" s="16">
        <f t="shared" si="109"/>
        <v>196.47827676474432</v>
      </c>
      <c r="G211" s="15">
        <f t="shared" si="110"/>
        <v>22.035289406060361</v>
      </c>
      <c r="H211" s="75">
        <f>G211*(1-PARAM!$C$27)*$I$4+(MOD($B211,60)=PARAM!$B$56)*($B211&gt;(60-PARAM!$B$56))*HLOOKUP(($B211+PARAM!$B$56)/12,Loyalty,2)*$F$1*MAX(J210,0)</f>
        <v>18.443537232872522</v>
      </c>
      <c r="I211" s="75">
        <f>PARAM!$C$26+MAX($G$4-CHOOSE(PARAM!$B$44,MAX(0,J210*$F$1),0),0)*RATES!$L187/12+$H$4*(PARAM!$D$51/12)*RATES!$N187/100</f>
        <v>12.551146492149854</v>
      </c>
      <c r="J211" s="16">
        <f t="shared" si="111"/>
        <v>490.17768811872497</v>
      </c>
      <c r="K211" s="15">
        <f t="shared" si="112"/>
        <v>22.170849845882874</v>
      </c>
      <c r="L211" s="75">
        <f>K211*(1-PARAM!$C$27)*$I$5+(MOD($B211,60)=PARAM!$B$56)*($B211&gt;(60-PARAM!$B$56))*HLOOKUP(($B211+PARAM!$B$56)/12,Loyalty,2)*$F$1*MAX(N210,0)</f>
        <v>18.557001321003963</v>
      </c>
      <c r="M211" s="75">
        <f>PARAM!$C$26+MAX($G$5-CHOOSE(PARAM!$B$44,MAX(0,N210*$F$1),0),0)*RATES!$L187/12+$H$5*(PARAM!$D$51/12)*RATES!$N187/100</f>
        <v>12.548054462095784</v>
      </c>
      <c r="N211" s="16">
        <f t="shared" si="113"/>
        <v>510.56985114884031</v>
      </c>
      <c r="O211" s="15">
        <f t="shared" si="114"/>
        <v>22.170849845882874</v>
      </c>
      <c r="P211" s="75">
        <f>O211*(1-PARAM!$C$27)*$I$6+(MOD($B211,60)=PARAM!$B$56)*($B211&gt;(60-PARAM!$B$56))*HLOOKUP(($B211+PARAM!$B$56)/12,Loyalty,2)*$F$1*MAX(R210,0)</f>
        <v>18.557001321003963</v>
      </c>
      <c r="Q211" s="75">
        <f>PARAM!$C$26+MAX($G$6-CHOOSE(PARAM!$B$44,MAX(0,R210*$F$1),0),0)*RATES!$L187/12+$H$6*(PARAM!$D$51/12)*RATES!$N187/100</f>
        <v>12.548054462095784</v>
      </c>
      <c r="R211" s="16">
        <f t="shared" si="115"/>
        <v>510.56985114884031</v>
      </c>
      <c r="S211" s="15">
        <f t="shared" si="90"/>
        <v>22.170849845882874</v>
      </c>
      <c r="T211" s="75">
        <f>S211*(1-PARAM!$C$27)*$I$7+(MOD($B211,60)=PARAM!$B$56)*($B211&gt;(60-PARAM!$B$56))*HLOOKUP(($B211+PARAM!$B$56)/12,Loyalty,2)*$F$1*MAX(V210,0)</f>
        <v>18.557001321003963</v>
      </c>
      <c r="U211" s="75">
        <f>PARAM!$C$26+MAX($G$7-CHOOSE(PARAM!$B$44,MAX(0,V210*$F$1),0),0)*RATES!$L187/12+$H$7*(PARAM!$D$51/12)*RATES!$N187/100</f>
        <v>12.548054462095784</v>
      </c>
      <c r="V211" s="16">
        <f t="shared" si="116"/>
        <v>510.56985114884031</v>
      </c>
      <c r="W211" s="15">
        <f t="shared" si="91"/>
        <v>22.170849845882874</v>
      </c>
      <c r="X211" s="75">
        <f>W211*(1-PARAM!$C$27)*$I$8+(MOD($B211,60)=PARAM!$B$56)*($B211&gt;(60-PARAM!$B$56))*HLOOKUP(($B211+PARAM!$B$56)/12,Loyalty,2)*$F$1*MAX(Z210,0)</f>
        <v>18.557001321003963</v>
      </c>
      <c r="Y211" s="75">
        <f>PARAM!$C$26+MAX($G$8-CHOOSE(PARAM!$B$44,MAX(0,Z210*$F$1),0),0)*RATES!$L187/12+$H$8*(PARAM!$D$51/12)*RATES!$N187/100</f>
        <v>12.548054462095784</v>
      </c>
      <c r="Z211" s="16">
        <f t="shared" si="117"/>
        <v>510.56985114884031</v>
      </c>
      <c r="AA211" s="15">
        <f t="shared" si="92"/>
        <v>22.170849845882874</v>
      </c>
      <c r="AB211" s="75">
        <f>AA211*(1-PARAM!$C$27)*$I$9+(MOD($B211,60)=PARAM!$B$56)*($B211&gt;(60-PARAM!$B$56))*HLOOKUP(($B211+PARAM!$B$56)/12,Loyalty,2)*$F$1*MAX(AD210,0)</f>
        <v>18.557001321003963</v>
      </c>
      <c r="AC211" s="75">
        <f>PARAM!$C$26+MAX($G$9-CHOOSE(PARAM!$B$44,MAX(0,AD210*$F$1),0),0)*RATES!$L187/12+$H$9*(PARAM!$D$51/12)*RATES!$N187/100</f>
        <v>12.548054462095784</v>
      </c>
      <c r="AD211" s="16">
        <f t="shared" si="118"/>
        <v>510.56985114884031</v>
      </c>
      <c r="AE211" s="15">
        <f t="shared" si="93"/>
        <v>22.170849845882874</v>
      </c>
      <c r="AF211" s="75">
        <f>AE211*(1-PARAM!$C$27)*$I$10+(MOD($B211,60)=PARAM!$B$56)*($B211&gt;(60-PARAM!$B$56))*HLOOKUP(($B211+PARAM!$B$56)/12,Loyalty,2)*$F$1*MAX(AH210,0)</f>
        <v>18.557001321003963</v>
      </c>
      <c r="AG211" s="75">
        <f>PARAM!$C$26+MAX($G$10-CHOOSE(PARAM!$B$44,MAX(0,AH210*$F$1),0),0)*RATES!$L187/12+$H$10*(PARAM!$D$51/12)*RATES!$N187/100</f>
        <v>12.548054462095784</v>
      </c>
      <c r="AH211" s="16">
        <f t="shared" si="119"/>
        <v>510.56985114884031</v>
      </c>
      <c r="AI211" s="15">
        <f t="shared" si="94"/>
        <v>22.170849845882874</v>
      </c>
      <c r="AJ211" s="75">
        <f>AI211*(1-PARAM!$C$27)*$I$11+(MOD($B211,60)=PARAM!$B$56)*($B211&gt;(60-PARAM!$B$56))*HLOOKUP(($B211+PARAM!$B$56)/12,Loyalty,2)*$F$1*MAX(AL210,0)</f>
        <v>18.557001321003963</v>
      </c>
      <c r="AK211" s="75">
        <f>PARAM!$C$26+MAX($G$11-CHOOSE(PARAM!$B$44,MAX(0,AL210*$F$1),0),0)*RATES!$L187/12+$H$11*(PARAM!$D$51/12)*RATES!$N187/100</f>
        <v>12.548054462095784</v>
      </c>
      <c r="AL211" s="16">
        <f t="shared" si="120"/>
        <v>510.56985114884031</v>
      </c>
      <c r="AM211" s="15">
        <f t="shared" si="95"/>
        <v>22.170849845882874</v>
      </c>
      <c r="AN211" s="75">
        <f>AM211*(1-PARAM!$C$27)*$I$12+(MOD($B211,60)=PARAM!$B$56)*($B211&gt;(60-PARAM!$B$56))*HLOOKUP(($B211+PARAM!$B$56)/12,Loyalty,2)*$F$1*MAX(AP210,0)</f>
        <v>18.557001321003963</v>
      </c>
      <c r="AO211" s="75">
        <f>PARAM!$C$26+MAX($G$12-CHOOSE(PARAM!$B$44,MAX(0,AP210*$F$1),0),0)*RATES!$L187/12+$H$12*(PARAM!$D$51/12)*RATES!$N187/100</f>
        <v>12.548054462095784</v>
      </c>
      <c r="AP211" s="16">
        <f t="shared" si="121"/>
        <v>510.56985114884031</v>
      </c>
      <c r="AQ211" s="15">
        <f t="shared" si="96"/>
        <v>22.170849845882874</v>
      </c>
      <c r="AR211" s="75">
        <f>AQ211*(1-PARAM!$C$27)*$I$13+(MOD($B211,60)=PARAM!$B$56)*($B211&gt;(60-PARAM!$B$56))*HLOOKUP(($B211+PARAM!$B$56)/12,Loyalty,2)*$F$1*MAX(AT210,0)</f>
        <v>18.557001321003963</v>
      </c>
      <c r="AS211" s="75">
        <f>PARAM!$C$26+MAX($G$13-CHOOSE(PARAM!$B$44,MAX(0,AT210*$F$1),0),0)*RATES!$L187/12+$H$13*(PARAM!$D$51/12)*RATES!$N187/100</f>
        <v>12.548054462095784</v>
      </c>
      <c r="AT211" s="16">
        <f t="shared" si="122"/>
        <v>510.56985114884031</v>
      </c>
      <c r="AU211" s="15">
        <f t="shared" si="97"/>
        <v>22.170849845882874</v>
      </c>
      <c r="AV211" s="75">
        <f>AU211*(1-PARAM!$C$27)*$I$14+(MOD($B211,60)=PARAM!$B$56)*($B211&gt;(60-PARAM!$B$56))*HLOOKUP(($B211+PARAM!$B$56)/12,Loyalty,2)*$F$1*MAX(AX210,0)</f>
        <v>18.557001321003963</v>
      </c>
      <c r="AW211" s="75">
        <f>PARAM!$C$26+MAX($G$14-CHOOSE(PARAM!$B$44,MAX(0,AX210*$F$1),0),0)*RATES!$L187/12+$H$14*(PARAM!$D$51/12)*RATES!$N187/100</f>
        <v>12.548054462095784</v>
      </c>
      <c r="AX211" s="16">
        <f t="shared" si="123"/>
        <v>510.56985114884031</v>
      </c>
      <c r="AY211" s="15">
        <f t="shared" si="98"/>
        <v>22.170849845882874</v>
      </c>
      <c r="AZ211" s="75">
        <f>AY211*(1-PARAM!$C$27)*$I$15+(MOD($B211,60)=PARAM!$B$56)*($B211&gt;(60-PARAM!$B$56))*HLOOKUP(($B211+PARAM!$B$56)/12,Loyalty,2)*$F$1*MAX(BB210,0)</f>
        <v>18.557001321003963</v>
      </c>
      <c r="BA211" s="75">
        <f>PARAM!$C$26+MAX($G$15-CHOOSE(PARAM!$B$44,MAX(0,BB210*$F$1),0),0)*RATES!$L187/12+$H$15*(PARAM!$D$51/12)*RATES!$N187/100</f>
        <v>12.548054462095784</v>
      </c>
      <c r="BB211" s="16">
        <f t="shared" si="124"/>
        <v>510.56985114884031</v>
      </c>
      <c r="BC211" s="15">
        <f t="shared" si="99"/>
        <v>22.170849845882874</v>
      </c>
      <c r="BD211" s="75">
        <f>BC211*(1-PARAM!$C$27)*$I$16+(MOD($B211,60)=PARAM!$B$56)*($B211&gt;(60-PARAM!$B$56))*HLOOKUP(($B211+PARAM!$B$56)/12,Loyalty,2)*$F$1*MAX(BF210,0)</f>
        <v>18.557001321003963</v>
      </c>
      <c r="BE211" s="75">
        <f>PARAM!$C$26+MAX($G$16-CHOOSE(PARAM!$B$44,MAX(0,BF210*$F$1),0),0)*RATES!$L187/12+$H$16*(PARAM!$D$51/12)*RATES!$N187/100</f>
        <v>12.548054462095784</v>
      </c>
      <c r="BF211" s="16">
        <f t="shared" si="125"/>
        <v>510.56985114884031</v>
      </c>
      <c r="BG211" s="15">
        <f t="shared" si="100"/>
        <v>22.170849845882874</v>
      </c>
      <c r="BH211" s="75">
        <f>BG211*(1-PARAM!$C$27)*$I$17+(MOD($B211,60)=PARAM!$B$56)*($B211&gt;(60-PARAM!$B$56))*HLOOKUP(($B211+PARAM!$B$56)/12,Loyalty,2)*$F$1*MAX(BJ210,0)</f>
        <v>18.557001321003963</v>
      </c>
      <c r="BI211" s="75">
        <f>PARAM!$C$26+MAX($G$17-CHOOSE(PARAM!$B$44,MAX(0,BJ210*$F$1),0),0)*RATES!$L187/12+$H$17*(PARAM!$D$51/12)*RATES!$N187/100</f>
        <v>12.548054462095784</v>
      </c>
      <c r="BJ211" s="16">
        <f t="shared" si="126"/>
        <v>510.56985114884031</v>
      </c>
      <c r="BK211" s="15">
        <f t="shared" si="101"/>
        <v>22.170849845882874</v>
      </c>
      <c r="BL211" s="75">
        <f>BK211*(1-PARAM!$C$27)*$I$18+(MOD($B211,60)=PARAM!$B$56)*($B211&gt;(60-PARAM!$B$56))*HLOOKUP(($B211+PARAM!$B$56)/12,Loyalty,2)*$F$1*MAX(BN210,0)</f>
        <v>18.557001321003963</v>
      </c>
      <c r="BM211" s="75">
        <f>PARAM!$C$26+MAX($G$18-CHOOSE(PARAM!$B$44,MAX(0,BN210*$F$1),0),0)*RATES!$L187/12+$H$18*(PARAM!$D$51/12)*RATES!$N187/100</f>
        <v>12.548054462095784</v>
      </c>
      <c r="BN211" s="16">
        <f t="shared" si="127"/>
        <v>510.56985114884031</v>
      </c>
      <c r="BO211" s="15">
        <f t="shared" si="102"/>
        <v>22.170849845882874</v>
      </c>
      <c r="BP211" s="75">
        <f>BO211*(1-PARAM!$C$27)*$I$19+(MOD($B211,60)=PARAM!$B$56)*($B211&gt;(60-PARAM!$B$56))*HLOOKUP(($B211+PARAM!$B$56)/12,Loyalty,2)*$F$1*MAX(BR210,0)</f>
        <v>18.557001321003963</v>
      </c>
      <c r="BQ211" s="75">
        <f>PARAM!$C$26+MAX($G$19-CHOOSE(PARAM!$B$44,MAX(0,BR210*$F$1),0),0)*RATES!$L187/12+$H$19*(PARAM!$D$51/12)*RATES!$N187/100</f>
        <v>12.548054462095784</v>
      </c>
      <c r="BR211" s="16">
        <f t="shared" si="128"/>
        <v>510.56985114884031</v>
      </c>
      <c r="BS211" s="15">
        <f t="shared" si="103"/>
        <v>22.170849845882874</v>
      </c>
      <c r="BT211" s="75">
        <f>BS211*(1-PARAM!$C$27)*$I$20+(MOD($B211,60)=PARAM!$B$56)*($B211&gt;(60-PARAM!$B$56))*HLOOKUP(($B211+PARAM!$B$56)/12,Loyalty,2)*$F$1*MAX(BV210,0)</f>
        <v>18.557001321003963</v>
      </c>
      <c r="BU211" s="75">
        <f>PARAM!$C$26+MAX($G$20-CHOOSE(PARAM!$B$44,MAX(0,BV210*$F$1),0),0)*RATES!$L187/12+$H$20*(PARAM!$D$51/12)*RATES!$N187/100</f>
        <v>12.548054462095784</v>
      </c>
      <c r="BV211" s="16">
        <f t="shared" si="129"/>
        <v>510.56985114884031</v>
      </c>
      <c r="BW211" s="15">
        <f t="shared" si="104"/>
        <v>22.170849845882874</v>
      </c>
      <c r="BX211" s="75">
        <f>BW211*(1-PARAM!$C$27)*$I$21+(MOD($B211,60)=PARAM!$B$56)*($B211&gt;(60-PARAM!$B$56))*HLOOKUP(($B211+PARAM!$B$56)/12,Loyalty,2)*$F$1*MAX(BZ210,0)</f>
        <v>18.557001321003963</v>
      </c>
      <c r="BY211" s="75">
        <f>PARAM!$C$26+MAX($G$21-CHOOSE(PARAM!$B$44,MAX(0,BZ210*$F$1),0),0)*RATES!$L187/12+$H$21*(PARAM!$D$51/12)*RATES!$N187/100</f>
        <v>12.548054462095784</v>
      </c>
      <c r="BZ211" s="16">
        <f t="shared" si="130"/>
        <v>510.56985114884031</v>
      </c>
      <c r="CA211" s="15">
        <f t="shared" si="105"/>
        <v>22.170849845882874</v>
      </c>
      <c r="CB211" s="75">
        <f>CA211*(1-PARAM!$C$27)*$I$22+(MOD($B211,60)=PARAM!$B$56)*($B211&gt;(60-PARAM!$B$56))*HLOOKUP(($B211+PARAM!$B$56)/12,Loyalty,2)*$F$1*MAX(CD210,0)</f>
        <v>18.557001321003963</v>
      </c>
      <c r="CC211" s="75">
        <f>PARAM!$C$26+MAX($G$22-CHOOSE(PARAM!$B$44,MAX(0,CD210*$F$1),0),0)*RATES!$L187/12+$H$22*(PARAM!$D$51/12)*RATES!$N187/100</f>
        <v>12.548054462095784</v>
      </c>
      <c r="CD211" s="16">
        <f t="shared" si="131"/>
        <v>510.56985114884031</v>
      </c>
      <c r="CE211" s="33">
        <f>IF(0=MOD(B211,12/PARAM!$D$51),1,0)</f>
        <v>1</v>
      </c>
      <c r="CF211" s="15">
        <f t="shared" si="106"/>
        <v>0</v>
      </c>
      <c r="CG211" s="75">
        <f>CF211*(1-PARAM!$C$27)*$R$3+(MOD($B211/12,5)=0)*($B211&gt;60)*HLOOKUP($B211/12,Loyalty,2)*$F$1*MAX(CI210,0)</f>
        <v>0</v>
      </c>
      <c r="CH211" s="75">
        <f>PARAM!$C$26+MAX($P$3-CHOOSE(PARAM!$B$44,MAX(0,CI210*$F$1),0),0)*RATES!$L187/12+$Q$3*(PARAM!$D$51/12)*RATES!$N187/100</f>
        <v>12.625</v>
      </c>
      <c r="CI211" s="16">
        <f>IF(CI210&gt;0,CI210*PARAM!$C$53,CI210)+CG211-CH211</f>
        <v>-2725.874999999995</v>
      </c>
      <c r="CJ211" s="15">
        <f t="shared" si="132"/>
        <v>0</v>
      </c>
      <c r="CK211" s="75">
        <f>CJ211*(1-PARAM!$C$27)*$R$4+(MOD($B211/12,5)=0)*($B211&gt;60)*HLOOKUP($B211/12,Loyalty,2)*$F$1*MAX(CM210,0)</f>
        <v>0</v>
      </c>
      <c r="CL211" s="75">
        <f>PARAM!$C$26+MAX($P$4-CHOOSE(PARAM!$B$44,MAX(0,CM210*$F$1),0),0)*RATES!$L187/12+$Q$4*(PARAM!$D$51/12)*RATES!$N187/100</f>
        <v>12.625</v>
      </c>
      <c r="CM211" s="16">
        <f>IF(CM210&gt;0,CM210*PARAM!$C$53,CM210)+CK211-CL211</f>
        <v>-2725.874999999995</v>
      </c>
      <c r="CO211" s="176"/>
    </row>
    <row r="212" spans="1:93" x14ac:dyDescent="0.2">
      <c r="A212" t="b">
        <f t="shared" si="107"/>
        <v>1</v>
      </c>
      <c r="B212" s="33">
        <v>185</v>
      </c>
      <c r="C212" s="15">
        <f t="shared" si="108"/>
        <v>20.081305947392778</v>
      </c>
      <c r="D212" s="75">
        <f>C212*(1-PARAM!$C$27)*$I$3+(MOD($B212,60)=PARAM!$B$56)*($B212&gt;(60-PARAM!$B$56))*HLOOKUP(($B212+PARAM!$B$56)/12,Loyalty,2)*$F$1*MAX(F211,0)</f>
        <v>16.808053077967756</v>
      </c>
      <c r="E212" s="75">
        <f>PARAM!$C$26+MAX($G$3-CHOOSE(PARAM!$B$44,MAX(0,F211*$F$1),0),0)*RATES!$L188/12+$H$3*(PARAM!$D$51/12)*RATES!$N188/100</f>
        <v>12.595037062793377</v>
      </c>
      <c r="F212" s="16">
        <f t="shared" si="109"/>
        <v>200.69129277991868</v>
      </c>
      <c r="G212" s="15">
        <f t="shared" si="110"/>
        <v>22.035289406060361</v>
      </c>
      <c r="H212" s="75">
        <f>G212*(1-PARAM!$C$27)*$I$4+(MOD($B212,60)=PARAM!$B$56)*($B212&gt;(60-PARAM!$B$56))*HLOOKUP(($B212+PARAM!$B$56)/12,Loyalty,2)*$F$1*MAX(J211,0)</f>
        <v>18.443537232872522</v>
      </c>
      <c r="I212" s="75">
        <f>PARAM!$C$26+MAX($G$4-CHOOSE(PARAM!$B$44,MAX(0,J211*$F$1),0),0)*RATES!$L188/12+$H$4*(PARAM!$D$51/12)*RATES!$N188/100</f>
        <v>12.550247902561896</v>
      </c>
      <c r="J212" s="16">
        <f t="shared" si="111"/>
        <v>496.07097744903558</v>
      </c>
      <c r="K212" s="15">
        <f t="shared" si="112"/>
        <v>22.170849845882874</v>
      </c>
      <c r="L212" s="75">
        <f>K212*(1-PARAM!$C$27)*$I$5+(MOD($B212,60)=PARAM!$B$56)*($B212&gt;(60-PARAM!$B$56))*HLOOKUP(($B212+PARAM!$B$56)/12,Loyalty,2)*$F$1*MAX(N211,0)</f>
        <v>18.557001321003963</v>
      </c>
      <c r="M212" s="75">
        <f>PARAM!$C$26+MAX($G$5-CHOOSE(PARAM!$B$44,MAX(0,N211*$F$1),0),0)*RATES!$L188/12+$H$5*(PARAM!$D$51/12)*RATES!$N188/100</f>
        <v>12.547138097699804</v>
      </c>
      <c r="N212" s="16">
        <f t="shared" si="113"/>
        <v>516.57971437214451</v>
      </c>
      <c r="O212" s="15">
        <f t="shared" si="114"/>
        <v>22.170849845882874</v>
      </c>
      <c r="P212" s="75">
        <f>O212*(1-PARAM!$C$27)*$I$6+(MOD($B212,60)=PARAM!$B$56)*($B212&gt;(60-PARAM!$B$56))*HLOOKUP(($B212+PARAM!$B$56)/12,Loyalty,2)*$F$1*MAX(R211,0)</f>
        <v>18.557001321003963</v>
      </c>
      <c r="Q212" s="75">
        <f>PARAM!$C$26+MAX($G$6-CHOOSE(PARAM!$B$44,MAX(0,R211*$F$1),0),0)*RATES!$L188/12+$H$6*(PARAM!$D$51/12)*RATES!$N188/100</f>
        <v>12.547138097699804</v>
      </c>
      <c r="R212" s="16">
        <f t="shared" si="115"/>
        <v>516.57971437214451</v>
      </c>
      <c r="S212" s="15">
        <f t="shared" si="90"/>
        <v>22.170849845882874</v>
      </c>
      <c r="T212" s="75">
        <f>S212*(1-PARAM!$C$27)*$I$7+(MOD($B212,60)=PARAM!$B$56)*($B212&gt;(60-PARAM!$B$56))*HLOOKUP(($B212+PARAM!$B$56)/12,Loyalty,2)*$F$1*MAX(V211,0)</f>
        <v>18.557001321003963</v>
      </c>
      <c r="U212" s="75">
        <f>PARAM!$C$26+MAX($G$7-CHOOSE(PARAM!$B$44,MAX(0,V211*$F$1),0),0)*RATES!$L188/12+$H$7*(PARAM!$D$51/12)*RATES!$N188/100</f>
        <v>12.547138097699804</v>
      </c>
      <c r="V212" s="16">
        <f t="shared" si="116"/>
        <v>516.57971437214451</v>
      </c>
      <c r="W212" s="15">
        <f t="shared" si="91"/>
        <v>22.170849845882874</v>
      </c>
      <c r="X212" s="75">
        <f>W212*(1-PARAM!$C$27)*$I$8+(MOD($B212,60)=PARAM!$B$56)*($B212&gt;(60-PARAM!$B$56))*HLOOKUP(($B212+PARAM!$B$56)/12,Loyalty,2)*$F$1*MAX(Z211,0)</f>
        <v>18.557001321003963</v>
      </c>
      <c r="Y212" s="75">
        <f>PARAM!$C$26+MAX($G$8-CHOOSE(PARAM!$B$44,MAX(0,Z211*$F$1),0),0)*RATES!$L188/12+$H$8*(PARAM!$D$51/12)*RATES!$N188/100</f>
        <v>12.547138097699804</v>
      </c>
      <c r="Z212" s="16">
        <f t="shared" si="117"/>
        <v>516.57971437214451</v>
      </c>
      <c r="AA212" s="15">
        <f t="shared" si="92"/>
        <v>22.170849845882874</v>
      </c>
      <c r="AB212" s="75">
        <f>AA212*(1-PARAM!$C$27)*$I$9+(MOD($B212,60)=PARAM!$B$56)*($B212&gt;(60-PARAM!$B$56))*HLOOKUP(($B212+PARAM!$B$56)/12,Loyalty,2)*$F$1*MAX(AD211,0)</f>
        <v>18.557001321003963</v>
      </c>
      <c r="AC212" s="75">
        <f>PARAM!$C$26+MAX($G$9-CHOOSE(PARAM!$B$44,MAX(0,AD211*$F$1),0),0)*RATES!$L188/12+$H$9*(PARAM!$D$51/12)*RATES!$N188/100</f>
        <v>12.547138097699804</v>
      </c>
      <c r="AD212" s="16">
        <f t="shared" si="118"/>
        <v>516.57971437214451</v>
      </c>
      <c r="AE212" s="15">
        <f t="shared" si="93"/>
        <v>22.170849845882874</v>
      </c>
      <c r="AF212" s="75">
        <f>AE212*(1-PARAM!$C$27)*$I$10+(MOD($B212,60)=PARAM!$B$56)*($B212&gt;(60-PARAM!$B$56))*HLOOKUP(($B212+PARAM!$B$56)/12,Loyalty,2)*$F$1*MAX(AH211,0)</f>
        <v>18.557001321003963</v>
      </c>
      <c r="AG212" s="75">
        <f>PARAM!$C$26+MAX($G$10-CHOOSE(PARAM!$B$44,MAX(0,AH211*$F$1),0),0)*RATES!$L188/12+$H$10*(PARAM!$D$51/12)*RATES!$N188/100</f>
        <v>12.547138097699804</v>
      </c>
      <c r="AH212" s="16">
        <f t="shared" si="119"/>
        <v>516.57971437214451</v>
      </c>
      <c r="AI212" s="15">
        <f t="shared" si="94"/>
        <v>22.170849845882874</v>
      </c>
      <c r="AJ212" s="75">
        <f>AI212*(1-PARAM!$C$27)*$I$11+(MOD($B212,60)=PARAM!$B$56)*($B212&gt;(60-PARAM!$B$56))*HLOOKUP(($B212+PARAM!$B$56)/12,Loyalty,2)*$F$1*MAX(AL211,0)</f>
        <v>18.557001321003963</v>
      </c>
      <c r="AK212" s="75">
        <f>PARAM!$C$26+MAX($G$11-CHOOSE(PARAM!$B$44,MAX(0,AL211*$F$1),0),0)*RATES!$L188/12+$H$11*(PARAM!$D$51/12)*RATES!$N188/100</f>
        <v>12.547138097699804</v>
      </c>
      <c r="AL212" s="16">
        <f t="shared" si="120"/>
        <v>516.57971437214451</v>
      </c>
      <c r="AM212" s="15">
        <f t="shared" si="95"/>
        <v>22.170849845882874</v>
      </c>
      <c r="AN212" s="75">
        <f>AM212*(1-PARAM!$C$27)*$I$12+(MOD($B212,60)=PARAM!$B$56)*($B212&gt;(60-PARAM!$B$56))*HLOOKUP(($B212+PARAM!$B$56)/12,Loyalty,2)*$F$1*MAX(AP211,0)</f>
        <v>18.557001321003963</v>
      </c>
      <c r="AO212" s="75">
        <f>PARAM!$C$26+MAX($G$12-CHOOSE(PARAM!$B$44,MAX(0,AP211*$F$1),0),0)*RATES!$L188/12+$H$12*(PARAM!$D$51/12)*RATES!$N188/100</f>
        <v>12.547138097699804</v>
      </c>
      <c r="AP212" s="16">
        <f t="shared" si="121"/>
        <v>516.57971437214451</v>
      </c>
      <c r="AQ212" s="15">
        <f t="shared" si="96"/>
        <v>22.170849845882874</v>
      </c>
      <c r="AR212" s="75">
        <f>AQ212*(1-PARAM!$C$27)*$I$13+(MOD($B212,60)=PARAM!$B$56)*($B212&gt;(60-PARAM!$B$56))*HLOOKUP(($B212+PARAM!$B$56)/12,Loyalty,2)*$F$1*MAX(AT211,0)</f>
        <v>18.557001321003963</v>
      </c>
      <c r="AS212" s="75">
        <f>PARAM!$C$26+MAX($G$13-CHOOSE(PARAM!$B$44,MAX(0,AT211*$F$1),0),0)*RATES!$L188/12+$H$13*(PARAM!$D$51/12)*RATES!$N188/100</f>
        <v>12.547138097699804</v>
      </c>
      <c r="AT212" s="16">
        <f t="shared" si="122"/>
        <v>516.57971437214451</v>
      </c>
      <c r="AU212" s="15">
        <f t="shared" si="97"/>
        <v>22.170849845882874</v>
      </c>
      <c r="AV212" s="75">
        <f>AU212*(1-PARAM!$C$27)*$I$14+(MOD($B212,60)=PARAM!$B$56)*($B212&gt;(60-PARAM!$B$56))*HLOOKUP(($B212+PARAM!$B$56)/12,Loyalty,2)*$F$1*MAX(AX211,0)</f>
        <v>18.557001321003963</v>
      </c>
      <c r="AW212" s="75">
        <f>PARAM!$C$26+MAX($G$14-CHOOSE(PARAM!$B$44,MAX(0,AX211*$F$1),0),0)*RATES!$L188/12+$H$14*(PARAM!$D$51/12)*RATES!$N188/100</f>
        <v>12.547138097699804</v>
      </c>
      <c r="AX212" s="16">
        <f t="shared" si="123"/>
        <v>516.57971437214451</v>
      </c>
      <c r="AY212" s="15">
        <f t="shared" si="98"/>
        <v>22.170849845882874</v>
      </c>
      <c r="AZ212" s="75">
        <f>AY212*(1-PARAM!$C$27)*$I$15+(MOD($B212,60)=PARAM!$B$56)*($B212&gt;(60-PARAM!$B$56))*HLOOKUP(($B212+PARAM!$B$56)/12,Loyalty,2)*$F$1*MAX(BB211,0)</f>
        <v>18.557001321003963</v>
      </c>
      <c r="BA212" s="75">
        <f>PARAM!$C$26+MAX($G$15-CHOOSE(PARAM!$B$44,MAX(0,BB211*$F$1),0),0)*RATES!$L188/12+$H$15*(PARAM!$D$51/12)*RATES!$N188/100</f>
        <v>12.547138097699804</v>
      </c>
      <c r="BB212" s="16">
        <f t="shared" si="124"/>
        <v>516.57971437214451</v>
      </c>
      <c r="BC212" s="15">
        <f t="shared" si="99"/>
        <v>22.170849845882874</v>
      </c>
      <c r="BD212" s="75">
        <f>BC212*(1-PARAM!$C$27)*$I$16+(MOD($B212,60)=PARAM!$B$56)*($B212&gt;(60-PARAM!$B$56))*HLOOKUP(($B212+PARAM!$B$56)/12,Loyalty,2)*$F$1*MAX(BF211,0)</f>
        <v>18.557001321003963</v>
      </c>
      <c r="BE212" s="75">
        <f>PARAM!$C$26+MAX($G$16-CHOOSE(PARAM!$B$44,MAX(0,BF211*$F$1),0),0)*RATES!$L188/12+$H$16*(PARAM!$D$51/12)*RATES!$N188/100</f>
        <v>12.547138097699804</v>
      </c>
      <c r="BF212" s="16">
        <f t="shared" si="125"/>
        <v>516.57971437214451</v>
      </c>
      <c r="BG212" s="15">
        <f t="shared" si="100"/>
        <v>22.170849845882874</v>
      </c>
      <c r="BH212" s="75">
        <f>BG212*(1-PARAM!$C$27)*$I$17+(MOD($B212,60)=PARAM!$B$56)*($B212&gt;(60-PARAM!$B$56))*HLOOKUP(($B212+PARAM!$B$56)/12,Loyalty,2)*$F$1*MAX(BJ211,0)</f>
        <v>18.557001321003963</v>
      </c>
      <c r="BI212" s="75">
        <f>PARAM!$C$26+MAX($G$17-CHOOSE(PARAM!$B$44,MAX(0,BJ211*$F$1),0),0)*RATES!$L188/12+$H$17*(PARAM!$D$51/12)*RATES!$N188/100</f>
        <v>12.547138097699804</v>
      </c>
      <c r="BJ212" s="16">
        <f t="shared" si="126"/>
        <v>516.57971437214451</v>
      </c>
      <c r="BK212" s="15">
        <f t="shared" si="101"/>
        <v>22.170849845882874</v>
      </c>
      <c r="BL212" s="75">
        <f>BK212*(1-PARAM!$C$27)*$I$18+(MOD($B212,60)=PARAM!$B$56)*($B212&gt;(60-PARAM!$B$56))*HLOOKUP(($B212+PARAM!$B$56)/12,Loyalty,2)*$F$1*MAX(BN211,0)</f>
        <v>18.557001321003963</v>
      </c>
      <c r="BM212" s="75">
        <f>PARAM!$C$26+MAX($G$18-CHOOSE(PARAM!$B$44,MAX(0,BN211*$F$1),0),0)*RATES!$L188/12+$H$18*(PARAM!$D$51/12)*RATES!$N188/100</f>
        <v>12.547138097699804</v>
      </c>
      <c r="BN212" s="16">
        <f t="shared" si="127"/>
        <v>516.57971437214451</v>
      </c>
      <c r="BO212" s="15">
        <f t="shared" si="102"/>
        <v>22.170849845882874</v>
      </c>
      <c r="BP212" s="75">
        <f>BO212*(1-PARAM!$C$27)*$I$19+(MOD($B212,60)=PARAM!$B$56)*($B212&gt;(60-PARAM!$B$56))*HLOOKUP(($B212+PARAM!$B$56)/12,Loyalty,2)*$F$1*MAX(BR211,0)</f>
        <v>18.557001321003963</v>
      </c>
      <c r="BQ212" s="75">
        <f>PARAM!$C$26+MAX($G$19-CHOOSE(PARAM!$B$44,MAX(0,BR211*$F$1),0),0)*RATES!$L188/12+$H$19*(PARAM!$D$51/12)*RATES!$N188/100</f>
        <v>12.547138097699804</v>
      </c>
      <c r="BR212" s="16">
        <f t="shared" si="128"/>
        <v>516.57971437214451</v>
      </c>
      <c r="BS212" s="15">
        <f t="shared" si="103"/>
        <v>22.170849845882874</v>
      </c>
      <c r="BT212" s="75">
        <f>BS212*(1-PARAM!$C$27)*$I$20+(MOD($B212,60)=PARAM!$B$56)*($B212&gt;(60-PARAM!$B$56))*HLOOKUP(($B212+PARAM!$B$56)/12,Loyalty,2)*$F$1*MAX(BV211,0)</f>
        <v>18.557001321003963</v>
      </c>
      <c r="BU212" s="75">
        <f>PARAM!$C$26+MAX($G$20-CHOOSE(PARAM!$B$44,MAX(0,BV211*$F$1),0),0)*RATES!$L188/12+$H$20*(PARAM!$D$51/12)*RATES!$N188/100</f>
        <v>12.547138097699804</v>
      </c>
      <c r="BV212" s="16">
        <f t="shared" si="129"/>
        <v>516.57971437214451</v>
      </c>
      <c r="BW212" s="15">
        <f t="shared" si="104"/>
        <v>22.170849845882874</v>
      </c>
      <c r="BX212" s="75">
        <f>BW212*(1-PARAM!$C$27)*$I$21+(MOD($B212,60)=PARAM!$B$56)*($B212&gt;(60-PARAM!$B$56))*HLOOKUP(($B212+PARAM!$B$56)/12,Loyalty,2)*$F$1*MAX(BZ211,0)</f>
        <v>18.557001321003963</v>
      </c>
      <c r="BY212" s="75">
        <f>PARAM!$C$26+MAX($G$21-CHOOSE(PARAM!$B$44,MAX(0,BZ211*$F$1),0),0)*RATES!$L188/12+$H$21*(PARAM!$D$51/12)*RATES!$N188/100</f>
        <v>12.547138097699804</v>
      </c>
      <c r="BZ212" s="16">
        <f t="shared" si="130"/>
        <v>516.57971437214451</v>
      </c>
      <c r="CA212" s="15">
        <f t="shared" si="105"/>
        <v>22.170849845882874</v>
      </c>
      <c r="CB212" s="75">
        <f>CA212*(1-PARAM!$C$27)*$I$22+(MOD($B212,60)=PARAM!$B$56)*($B212&gt;(60-PARAM!$B$56))*HLOOKUP(($B212+PARAM!$B$56)/12,Loyalty,2)*$F$1*MAX(CD211,0)</f>
        <v>18.557001321003963</v>
      </c>
      <c r="CC212" s="75">
        <f>PARAM!$C$26+MAX($G$22-CHOOSE(PARAM!$B$44,MAX(0,CD211*$F$1),0),0)*RATES!$L188/12+$H$22*(PARAM!$D$51/12)*RATES!$N188/100</f>
        <v>12.547138097699804</v>
      </c>
      <c r="CD212" s="16">
        <f t="shared" si="131"/>
        <v>516.57971437214451</v>
      </c>
      <c r="CE212" s="33">
        <f>IF(0=MOD(B212,12/PARAM!$D$51),1,0)</f>
        <v>1</v>
      </c>
      <c r="CF212" s="15">
        <f t="shared" si="106"/>
        <v>0</v>
      </c>
      <c r="CG212" s="75">
        <f>CF212*(1-PARAM!$C$27)*$R$3+(MOD($B212/12,5)=0)*($B212&gt;60)*HLOOKUP($B212/12,Loyalty,2)*$F$1*MAX(CI211,0)</f>
        <v>0</v>
      </c>
      <c r="CH212" s="75">
        <f>PARAM!$C$26+MAX($P$3-CHOOSE(PARAM!$B$44,MAX(0,CI211*$F$1),0),0)*RATES!$L188/12+$Q$3*(PARAM!$D$51/12)*RATES!$N188/100</f>
        <v>12.625</v>
      </c>
      <c r="CI212" s="16">
        <f>IF(CI211&gt;0,CI211*PARAM!$C$53,CI211)+CG212-CH212</f>
        <v>-2738.499999999995</v>
      </c>
      <c r="CJ212" s="15">
        <f t="shared" si="132"/>
        <v>0</v>
      </c>
      <c r="CK212" s="75">
        <f>CJ212*(1-PARAM!$C$27)*$R$4+(MOD($B212/12,5)=0)*($B212&gt;60)*HLOOKUP($B212/12,Loyalty,2)*$F$1*MAX(CM211,0)</f>
        <v>0</v>
      </c>
      <c r="CL212" s="75">
        <f>PARAM!$C$26+MAX($P$4-CHOOSE(PARAM!$B$44,MAX(0,CM211*$F$1),0),0)*RATES!$L188/12+$Q$4*(PARAM!$D$51/12)*RATES!$N188/100</f>
        <v>12.625</v>
      </c>
      <c r="CM212" s="16">
        <f>IF(CM211&gt;0,CM211*PARAM!$C$53,CM211)+CK212-CL212</f>
        <v>-2738.499999999995</v>
      </c>
      <c r="CO212" s="176"/>
    </row>
    <row r="213" spans="1:93" x14ac:dyDescent="0.2">
      <c r="A213" t="b">
        <f t="shared" si="107"/>
        <v>1</v>
      </c>
      <c r="B213" s="33">
        <v>186</v>
      </c>
      <c r="C213" s="15">
        <f t="shared" si="108"/>
        <v>20.081305947392778</v>
      </c>
      <c r="D213" s="75">
        <f>C213*(1-PARAM!$C$27)*$I$3+(MOD($B213,60)=PARAM!$B$56)*($B213&gt;(60-PARAM!$B$56))*HLOOKUP(($B213+PARAM!$B$56)/12,Loyalty,2)*$F$1*MAX(F212,0)</f>
        <v>16.808053077967756</v>
      </c>
      <c r="E213" s="75">
        <f>PARAM!$C$26+MAX($G$3-CHOOSE(PARAM!$B$44,MAX(0,F212*$F$1),0),0)*RATES!$L189/12+$H$3*(PARAM!$D$51/12)*RATES!$N189/100</f>
        <v>13.548881328072781</v>
      </c>
      <c r="F213" s="16">
        <f t="shared" si="109"/>
        <v>203.95046452981367</v>
      </c>
      <c r="G213" s="15">
        <f t="shared" si="110"/>
        <v>22.035289406060361</v>
      </c>
      <c r="H213" s="75">
        <f>G213*(1-PARAM!$C$27)*$I$4+(MOD($B213,60)=PARAM!$B$56)*($B213&gt;(60-PARAM!$B$56))*HLOOKUP(($B213+PARAM!$B$56)/12,Loyalty,2)*$F$1*MAX(J212,0)</f>
        <v>18.443537232872522</v>
      </c>
      <c r="I213" s="75">
        <f>PARAM!$C$26+MAX($G$4-CHOOSE(PARAM!$B$44,MAX(0,J212*$F$1),0),0)*RATES!$L189/12+$H$4*(PARAM!$D$51/12)*RATES!$N189/100</f>
        <v>13.498174482204583</v>
      </c>
      <c r="J213" s="16">
        <f t="shared" si="111"/>
        <v>501.01634019970345</v>
      </c>
      <c r="K213" s="15">
        <f t="shared" si="112"/>
        <v>22.170849845882874</v>
      </c>
      <c r="L213" s="75">
        <f>K213*(1-PARAM!$C$27)*$I$5+(MOD($B213,60)=PARAM!$B$56)*($B213&gt;(60-PARAM!$B$56))*HLOOKUP(($B213+PARAM!$B$56)/12,Loyalty,2)*$F$1*MAX(N212,0)</f>
        <v>18.557001321003963</v>
      </c>
      <c r="M213" s="75">
        <f>PARAM!$C$26+MAX($G$5-CHOOSE(PARAM!$B$44,MAX(0,N212*$F$1),0),0)*RATES!$L189/12+$H$5*(PARAM!$D$51/12)*RATES!$N189/100</f>
        <v>13.494653815699449</v>
      </c>
      <c r="N213" s="16">
        <f t="shared" si="113"/>
        <v>521.64206187744912</v>
      </c>
      <c r="O213" s="15">
        <f t="shared" si="114"/>
        <v>22.170849845882874</v>
      </c>
      <c r="P213" s="75">
        <f>O213*(1-PARAM!$C$27)*$I$6+(MOD($B213,60)=PARAM!$B$56)*($B213&gt;(60-PARAM!$B$56))*HLOOKUP(($B213+PARAM!$B$56)/12,Loyalty,2)*$F$1*MAX(R212,0)</f>
        <v>18.557001321003963</v>
      </c>
      <c r="Q213" s="75">
        <f>PARAM!$C$26+MAX($G$6-CHOOSE(PARAM!$B$44,MAX(0,R212*$F$1),0),0)*RATES!$L189/12+$H$6*(PARAM!$D$51/12)*RATES!$N189/100</f>
        <v>13.494653815699449</v>
      </c>
      <c r="R213" s="16">
        <f t="shared" si="115"/>
        <v>521.64206187744912</v>
      </c>
      <c r="S213" s="15">
        <f t="shared" si="90"/>
        <v>22.170849845882874</v>
      </c>
      <c r="T213" s="75">
        <f>S213*(1-PARAM!$C$27)*$I$7+(MOD($B213,60)=PARAM!$B$56)*($B213&gt;(60-PARAM!$B$56))*HLOOKUP(($B213+PARAM!$B$56)/12,Loyalty,2)*$F$1*MAX(V212,0)</f>
        <v>18.557001321003963</v>
      </c>
      <c r="U213" s="75">
        <f>PARAM!$C$26+MAX($G$7-CHOOSE(PARAM!$B$44,MAX(0,V212*$F$1),0),0)*RATES!$L189/12+$H$7*(PARAM!$D$51/12)*RATES!$N189/100</f>
        <v>13.494653815699449</v>
      </c>
      <c r="V213" s="16">
        <f t="shared" si="116"/>
        <v>521.64206187744912</v>
      </c>
      <c r="W213" s="15">
        <f t="shared" si="91"/>
        <v>22.170849845882874</v>
      </c>
      <c r="X213" s="75">
        <f>W213*(1-PARAM!$C$27)*$I$8+(MOD($B213,60)=PARAM!$B$56)*($B213&gt;(60-PARAM!$B$56))*HLOOKUP(($B213+PARAM!$B$56)/12,Loyalty,2)*$F$1*MAX(Z212,0)</f>
        <v>18.557001321003963</v>
      </c>
      <c r="Y213" s="75">
        <f>PARAM!$C$26+MAX($G$8-CHOOSE(PARAM!$B$44,MAX(0,Z212*$F$1),0),0)*RATES!$L189/12+$H$8*(PARAM!$D$51/12)*RATES!$N189/100</f>
        <v>13.494653815699449</v>
      </c>
      <c r="Z213" s="16">
        <f t="shared" si="117"/>
        <v>521.64206187744912</v>
      </c>
      <c r="AA213" s="15">
        <f t="shared" si="92"/>
        <v>22.170849845882874</v>
      </c>
      <c r="AB213" s="75">
        <f>AA213*(1-PARAM!$C$27)*$I$9+(MOD($B213,60)=PARAM!$B$56)*($B213&gt;(60-PARAM!$B$56))*HLOOKUP(($B213+PARAM!$B$56)/12,Loyalty,2)*$F$1*MAX(AD212,0)</f>
        <v>18.557001321003963</v>
      </c>
      <c r="AC213" s="75">
        <f>PARAM!$C$26+MAX($G$9-CHOOSE(PARAM!$B$44,MAX(0,AD212*$F$1),0),0)*RATES!$L189/12+$H$9*(PARAM!$D$51/12)*RATES!$N189/100</f>
        <v>13.494653815699449</v>
      </c>
      <c r="AD213" s="16">
        <f t="shared" si="118"/>
        <v>521.64206187744912</v>
      </c>
      <c r="AE213" s="15">
        <f t="shared" si="93"/>
        <v>22.170849845882874</v>
      </c>
      <c r="AF213" s="75">
        <f>AE213*(1-PARAM!$C$27)*$I$10+(MOD($B213,60)=PARAM!$B$56)*($B213&gt;(60-PARAM!$B$56))*HLOOKUP(($B213+PARAM!$B$56)/12,Loyalty,2)*$F$1*MAX(AH212,0)</f>
        <v>18.557001321003963</v>
      </c>
      <c r="AG213" s="75">
        <f>PARAM!$C$26+MAX($G$10-CHOOSE(PARAM!$B$44,MAX(0,AH212*$F$1),0),0)*RATES!$L189/12+$H$10*(PARAM!$D$51/12)*RATES!$N189/100</f>
        <v>13.494653815699449</v>
      </c>
      <c r="AH213" s="16">
        <f t="shared" si="119"/>
        <v>521.64206187744912</v>
      </c>
      <c r="AI213" s="15">
        <f t="shared" si="94"/>
        <v>22.170849845882874</v>
      </c>
      <c r="AJ213" s="75">
        <f>AI213*(1-PARAM!$C$27)*$I$11+(MOD($B213,60)=PARAM!$B$56)*($B213&gt;(60-PARAM!$B$56))*HLOOKUP(($B213+PARAM!$B$56)/12,Loyalty,2)*$F$1*MAX(AL212,0)</f>
        <v>18.557001321003963</v>
      </c>
      <c r="AK213" s="75">
        <f>PARAM!$C$26+MAX($G$11-CHOOSE(PARAM!$B$44,MAX(0,AL212*$F$1),0),0)*RATES!$L189/12+$H$11*(PARAM!$D$51/12)*RATES!$N189/100</f>
        <v>13.494653815699449</v>
      </c>
      <c r="AL213" s="16">
        <f t="shared" si="120"/>
        <v>521.64206187744912</v>
      </c>
      <c r="AM213" s="15">
        <f t="shared" si="95"/>
        <v>22.170849845882874</v>
      </c>
      <c r="AN213" s="75">
        <f>AM213*(1-PARAM!$C$27)*$I$12+(MOD($B213,60)=PARAM!$B$56)*($B213&gt;(60-PARAM!$B$56))*HLOOKUP(($B213+PARAM!$B$56)/12,Loyalty,2)*$F$1*MAX(AP212,0)</f>
        <v>18.557001321003963</v>
      </c>
      <c r="AO213" s="75">
        <f>PARAM!$C$26+MAX($G$12-CHOOSE(PARAM!$B$44,MAX(0,AP212*$F$1),0),0)*RATES!$L189/12+$H$12*(PARAM!$D$51/12)*RATES!$N189/100</f>
        <v>13.494653815699449</v>
      </c>
      <c r="AP213" s="16">
        <f t="shared" si="121"/>
        <v>521.64206187744912</v>
      </c>
      <c r="AQ213" s="15">
        <f t="shared" si="96"/>
        <v>22.170849845882874</v>
      </c>
      <c r="AR213" s="75">
        <f>AQ213*(1-PARAM!$C$27)*$I$13+(MOD($B213,60)=PARAM!$B$56)*($B213&gt;(60-PARAM!$B$56))*HLOOKUP(($B213+PARAM!$B$56)/12,Loyalty,2)*$F$1*MAX(AT212,0)</f>
        <v>18.557001321003963</v>
      </c>
      <c r="AS213" s="75">
        <f>PARAM!$C$26+MAX($G$13-CHOOSE(PARAM!$B$44,MAX(0,AT212*$F$1),0),0)*RATES!$L189/12+$H$13*(PARAM!$D$51/12)*RATES!$N189/100</f>
        <v>13.494653815699449</v>
      </c>
      <c r="AT213" s="16">
        <f t="shared" si="122"/>
        <v>521.64206187744912</v>
      </c>
      <c r="AU213" s="15">
        <f t="shared" si="97"/>
        <v>22.170849845882874</v>
      </c>
      <c r="AV213" s="75">
        <f>AU213*(1-PARAM!$C$27)*$I$14+(MOD($B213,60)=PARAM!$B$56)*($B213&gt;(60-PARAM!$B$56))*HLOOKUP(($B213+PARAM!$B$56)/12,Loyalty,2)*$F$1*MAX(AX212,0)</f>
        <v>18.557001321003963</v>
      </c>
      <c r="AW213" s="75">
        <f>PARAM!$C$26+MAX($G$14-CHOOSE(PARAM!$B$44,MAX(0,AX212*$F$1),0),0)*RATES!$L189/12+$H$14*(PARAM!$D$51/12)*RATES!$N189/100</f>
        <v>13.494653815699449</v>
      </c>
      <c r="AX213" s="16">
        <f t="shared" si="123"/>
        <v>521.64206187744912</v>
      </c>
      <c r="AY213" s="15">
        <f t="shared" si="98"/>
        <v>22.170849845882874</v>
      </c>
      <c r="AZ213" s="75">
        <f>AY213*(1-PARAM!$C$27)*$I$15+(MOD($B213,60)=PARAM!$B$56)*($B213&gt;(60-PARAM!$B$56))*HLOOKUP(($B213+PARAM!$B$56)/12,Loyalty,2)*$F$1*MAX(BB212,0)</f>
        <v>18.557001321003963</v>
      </c>
      <c r="BA213" s="75">
        <f>PARAM!$C$26+MAX($G$15-CHOOSE(PARAM!$B$44,MAX(0,BB212*$F$1),0),0)*RATES!$L189/12+$H$15*(PARAM!$D$51/12)*RATES!$N189/100</f>
        <v>13.494653815699449</v>
      </c>
      <c r="BB213" s="16">
        <f t="shared" si="124"/>
        <v>521.64206187744912</v>
      </c>
      <c r="BC213" s="15">
        <f t="shared" si="99"/>
        <v>22.170849845882874</v>
      </c>
      <c r="BD213" s="75">
        <f>BC213*(1-PARAM!$C$27)*$I$16+(MOD($B213,60)=PARAM!$B$56)*($B213&gt;(60-PARAM!$B$56))*HLOOKUP(($B213+PARAM!$B$56)/12,Loyalty,2)*$F$1*MAX(BF212,0)</f>
        <v>18.557001321003963</v>
      </c>
      <c r="BE213" s="75">
        <f>PARAM!$C$26+MAX($G$16-CHOOSE(PARAM!$B$44,MAX(0,BF212*$F$1),0),0)*RATES!$L189/12+$H$16*(PARAM!$D$51/12)*RATES!$N189/100</f>
        <v>13.494653815699449</v>
      </c>
      <c r="BF213" s="16">
        <f t="shared" si="125"/>
        <v>521.64206187744912</v>
      </c>
      <c r="BG213" s="15">
        <f t="shared" si="100"/>
        <v>22.170849845882874</v>
      </c>
      <c r="BH213" s="75">
        <f>BG213*(1-PARAM!$C$27)*$I$17+(MOD($B213,60)=PARAM!$B$56)*($B213&gt;(60-PARAM!$B$56))*HLOOKUP(($B213+PARAM!$B$56)/12,Loyalty,2)*$F$1*MAX(BJ212,0)</f>
        <v>18.557001321003963</v>
      </c>
      <c r="BI213" s="75">
        <f>PARAM!$C$26+MAX($G$17-CHOOSE(PARAM!$B$44,MAX(0,BJ212*$F$1),0),0)*RATES!$L189/12+$H$17*(PARAM!$D$51/12)*RATES!$N189/100</f>
        <v>13.494653815699449</v>
      </c>
      <c r="BJ213" s="16">
        <f t="shared" si="126"/>
        <v>521.64206187744912</v>
      </c>
      <c r="BK213" s="15">
        <f t="shared" si="101"/>
        <v>22.170849845882874</v>
      </c>
      <c r="BL213" s="75">
        <f>BK213*(1-PARAM!$C$27)*$I$18+(MOD($B213,60)=PARAM!$B$56)*($B213&gt;(60-PARAM!$B$56))*HLOOKUP(($B213+PARAM!$B$56)/12,Loyalty,2)*$F$1*MAX(BN212,0)</f>
        <v>18.557001321003963</v>
      </c>
      <c r="BM213" s="75">
        <f>PARAM!$C$26+MAX($G$18-CHOOSE(PARAM!$B$44,MAX(0,BN212*$F$1),0),0)*RATES!$L189/12+$H$18*(PARAM!$D$51/12)*RATES!$N189/100</f>
        <v>13.494653815699449</v>
      </c>
      <c r="BN213" s="16">
        <f t="shared" si="127"/>
        <v>521.64206187744912</v>
      </c>
      <c r="BO213" s="15">
        <f t="shared" si="102"/>
        <v>22.170849845882874</v>
      </c>
      <c r="BP213" s="75">
        <f>BO213*(1-PARAM!$C$27)*$I$19+(MOD($B213,60)=PARAM!$B$56)*($B213&gt;(60-PARAM!$B$56))*HLOOKUP(($B213+PARAM!$B$56)/12,Loyalty,2)*$F$1*MAX(BR212,0)</f>
        <v>18.557001321003963</v>
      </c>
      <c r="BQ213" s="75">
        <f>PARAM!$C$26+MAX($G$19-CHOOSE(PARAM!$B$44,MAX(0,BR212*$F$1),0),0)*RATES!$L189/12+$H$19*(PARAM!$D$51/12)*RATES!$N189/100</f>
        <v>13.494653815699449</v>
      </c>
      <c r="BR213" s="16">
        <f t="shared" si="128"/>
        <v>521.64206187744912</v>
      </c>
      <c r="BS213" s="15">
        <f t="shared" si="103"/>
        <v>22.170849845882874</v>
      </c>
      <c r="BT213" s="75">
        <f>BS213*(1-PARAM!$C$27)*$I$20+(MOD($B213,60)=PARAM!$B$56)*($B213&gt;(60-PARAM!$B$56))*HLOOKUP(($B213+PARAM!$B$56)/12,Loyalty,2)*$F$1*MAX(BV212,0)</f>
        <v>18.557001321003963</v>
      </c>
      <c r="BU213" s="75">
        <f>PARAM!$C$26+MAX($G$20-CHOOSE(PARAM!$B$44,MAX(0,BV212*$F$1),0),0)*RATES!$L189/12+$H$20*(PARAM!$D$51/12)*RATES!$N189/100</f>
        <v>13.494653815699449</v>
      </c>
      <c r="BV213" s="16">
        <f t="shared" si="129"/>
        <v>521.64206187744912</v>
      </c>
      <c r="BW213" s="15">
        <f t="shared" si="104"/>
        <v>22.170849845882874</v>
      </c>
      <c r="BX213" s="75">
        <f>BW213*(1-PARAM!$C$27)*$I$21+(MOD($B213,60)=PARAM!$B$56)*($B213&gt;(60-PARAM!$B$56))*HLOOKUP(($B213+PARAM!$B$56)/12,Loyalty,2)*$F$1*MAX(BZ212,0)</f>
        <v>18.557001321003963</v>
      </c>
      <c r="BY213" s="75">
        <f>PARAM!$C$26+MAX($G$21-CHOOSE(PARAM!$B$44,MAX(0,BZ212*$F$1),0),0)*RATES!$L189/12+$H$21*(PARAM!$D$51/12)*RATES!$N189/100</f>
        <v>13.494653815699449</v>
      </c>
      <c r="BZ213" s="16">
        <f t="shared" si="130"/>
        <v>521.64206187744912</v>
      </c>
      <c r="CA213" s="15">
        <f t="shared" si="105"/>
        <v>22.170849845882874</v>
      </c>
      <c r="CB213" s="75">
        <f>CA213*(1-PARAM!$C$27)*$I$22+(MOD($B213,60)=PARAM!$B$56)*($B213&gt;(60-PARAM!$B$56))*HLOOKUP(($B213+PARAM!$B$56)/12,Loyalty,2)*$F$1*MAX(CD212,0)</f>
        <v>18.557001321003963</v>
      </c>
      <c r="CC213" s="75">
        <f>PARAM!$C$26+MAX($G$22-CHOOSE(PARAM!$B$44,MAX(0,CD212*$F$1),0),0)*RATES!$L189/12+$H$22*(PARAM!$D$51/12)*RATES!$N189/100</f>
        <v>13.494653815699449</v>
      </c>
      <c r="CD213" s="16">
        <f t="shared" si="131"/>
        <v>521.64206187744912</v>
      </c>
      <c r="CE213" s="33">
        <f>IF(0=MOD(B213,12/PARAM!$D$51),1,0)</f>
        <v>1</v>
      </c>
      <c r="CF213" s="15">
        <f t="shared" si="106"/>
        <v>0</v>
      </c>
      <c r="CG213" s="75">
        <f>CF213*(1-PARAM!$C$27)*$R$3+(MOD($B213/12,5)=0)*($B213&gt;60)*HLOOKUP($B213/12,Loyalty,2)*$F$1*MAX(CI212,0)</f>
        <v>0</v>
      </c>
      <c r="CH213" s="75">
        <f>PARAM!$C$26+MAX($P$3-CHOOSE(PARAM!$B$44,MAX(0,CI212*$F$1),0),0)*RATES!$L189/12+$Q$3*(PARAM!$D$51/12)*RATES!$N189/100</f>
        <v>13.583333333333334</v>
      </c>
      <c r="CI213" s="16">
        <f>IF(CI212&gt;0,CI212*PARAM!$C$53,CI212)+CG213-CH213</f>
        <v>-2752.0833333333285</v>
      </c>
      <c r="CJ213" s="15">
        <f t="shared" si="132"/>
        <v>0</v>
      </c>
      <c r="CK213" s="75">
        <f>CJ213*(1-PARAM!$C$27)*$R$4+(MOD($B213/12,5)=0)*($B213&gt;60)*HLOOKUP($B213/12,Loyalty,2)*$F$1*MAX(CM212,0)</f>
        <v>0</v>
      </c>
      <c r="CL213" s="75">
        <f>PARAM!$C$26+MAX($P$4-CHOOSE(PARAM!$B$44,MAX(0,CM212*$F$1),0),0)*RATES!$L189/12+$Q$4*(PARAM!$D$51/12)*RATES!$N189/100</f>
        <v>13.583333333333334</v>
      </c>
      <c r="CM213" s="16">
        <f>IF(CM212&gt;0,CM212*PARAM!$C$53,CM212)+CK213-CL213</f>
        <v>-2752.0833333333285</v>
      </c>
      <c r="CO213" s="176"/>
    </row>
    <row r="214" spans="1:93" x14ac:dyDescent="0.2">
      <c r="A214" t="b">
        <f t="shared" si="107"/>
        <v>1</v>
      </c>
      <c r="B214" s="33">
        <v>187</v>
      </c>
      <c r="C214" s="15">
        <f t="shared" si="108"/>
        <v>20.081305947392778</v>
      </c>
      <c r="D214" s="75">
        <f>C214*(1-PARAM!$C$27)*$I$3+(MOD($B214,60)=PARAM!$B$56)*($B214&gt;(60-PARAM!$B$56))*HLOOKUP(($B214+PARAM!$B$56)/12,Loyalty,2)*$F$1*MAX(F213,0)</f>
        <v>16.808053077967756</v>
      </c>
      <c r="E214" s="75">
        <f>PARAM!$C$26+MAX($G$3-CHOOSE(PARAM!$B$44,MAX(0,F213*$F$1),0),0)*RATES!$L190/12+$H$3*(PARAM!$D$51/12)*RATES!$N190/100</f>
        <v>13.548321836922382</v>
      </c>
      <c r="F214" s="16">
        <f t="shared" si="109"/>
        <v>207.21019577085903</v>
      </c>
      <c r="G214" s="15">
        <f t="shared" si="110"/>
        <v>22.035289406060361</v>
      </c>
      <c r="H214" s="75">
        <f>G214*(1-PARAM!$C$27)*$I$4+(MOD($B214,60)=PARAM!$B$56)*($B214&gt;(60-PARAM!$B$56))*HLOOKUP(($B214+PARAM!$B$56)/12,Loyalty,2)*$F$1*MAX(J213,0)</f>
        <v>18.443537232872522</v>
      </c>
      <c r="I214" s="75">
        <f>PARAM!$C$26+MAX($G$4-CHOOSE(PARAM!$B$44,MAX(0,J213*$F$1),0),0)*RATES!$L190/12+$H$4*(PARAM!$D$51/12)*RATES!$N190/100</f>
        <v>13.497325528265717</v>
      </c>
      <c r="J214" s="16">
        <f t="shared" si="111"/>
        <v>505.9625519043102</v>
      </c>
      <c r="K214" s="15">
        <f t="shared" si="112"/>
        <v>22.170849845882874</v>
      </c>
      <c r="L214" s="75">
        <f>K214*(1-PARAM!$C$27)*$I$5+(MOD($B214,60)=PARAM!$B$56)*($B214&gt;(60-PARAM!$B$56))*HLOOKUP(($B214+PARAM!$B$56)/12,Loyalty,2)*$F$1*MAX(N213,0)</f>
        <v>18.557001321003963</v>
      </c>
      <c r="M214" s="75">
        <f>PARAM!$C$26+MAX($G$5-CHOOSE(PARAM!$B$44,MAX(0,N213*$F$1),0),0)*RATES!$L190/12+$H$5*(PARAM!$D$51/12)*RATES!$N190/100</f>
        <v>13.493784779377705</v>
      </c>
      <c r="N214" s="16">
        <f t="shared" si="113"/>
        <v>526.7052784190754</v>
      </c>
      <c r="O214" s="15">
        <f t="shared" si="114"/>
        <v>22.170849845882874</v>
      </c>
      <c r="P214" s="75">
        <f>O214*(1-PARAM!$C$27)*$I$6+(MOD($B214,60)=PARAM!$B$56)*($B214&gt;(60-PARAM!$B$56))*HLOOKUP(($B214+PARAM!$B$56)/12,Loyalty,2)*$F$1*MAX(R213,0)</f>
        <v>18.557001321003963</v>
      </c>
      <c r="Q214" s="75">
        <f>PARAM!$C$26+MAX($G$6-CHOOSE(PARAM!$B$44,MAX(0,R213*$F$1),0),0)*RATES!$L190/12+$H$6*(PARAM!$D$51/12)*RATES!$N190/100</f>
        <v>13.493784779377705</v>
      </c>
      <c r="R214" s="16">
        <f t="shared" si="115"/>
        <v>526.7052784190754</v>
      </c>
      <c r="S214" s="15">
        <f t="shared" si="90"/>
        <v>22.170849845882874</v>
      </c>
      <c r="T214" s="75">
        <f>S214*(1-PARAM!$C$27)*$I$7+(MOD($B214,60)=PARAM!$B$56)*($B214&gt;(60-PARAM!$B$56))*HLOOKUP(($B214+PARAM!$B$56)/12,Loyalty,2)*$F$1*MAX(V213,0)</f>
        <v>18.557001321003963</v>
      </c>
      <c r="U214" s="75">
        <f>PARAM!$C$26+MAX($G$7-CHOOSE(PARAM!$B$44,MAX(0,V213*$F$1),0),0)*RATES!$L190/12+$H$7*(PARAM!$D$51/12)*RATES!$N190/100</f>
        <v>13.493784779377705</v>
      </c>
      <c r="V214" s="16">
        <f t="shared" si="116"/>
        <v>526.7052784190754</v>
      </c>
      <c r="W214" s="15">
        <f t="shared" si="91"/>
        <v>22.170849845882874</v>
      </c>
      <c r="X214" s="75">
        <f>W214*(1-PARAM!$C$27)*$I$8+(MOD($B214,60)=PARAM!$B$56)*($B214&gt;(60-PARAM!$B$56))*HLOOKUP(($B214+PARAM!$B$56)/12,Loyalty,2)*$F$1*MAX(Z213,0)</f>
        <v>18.557001321003963</v>
      </c>
      <c r="Y214" s="75">
        <f>PARAM!$C$26+MAX($G$8-CHOOSE(PARAM!$B$44,MAX(0,Z213*$F$1),0),0)*RATES!$L190/12+$H$8*(PARAM!$D$51/12)*RATES!$N190/100</f>
        <v>13.493784779377705</v>
      </c>
      <c r="Z214" s="16">
        <f t="shared" si="117"/>
        <v>526.7052784190754</v>
      </c>
      <c r="AA214" s="15">
        <f t="shared" si="92"/>
        <v>22.170849845882874</v>
      </c>
      <c r="AB214" s="75">
        <f>AA214*(1-PARAM!$C$27)*$I$9+(MOD($B214,60)=PARAM!$B$56)*($B214&gt;(60-PARAM!$B$56))*HLOOKUP(($B214+PARAM!$B$56)/12,Loyalty,2)*$F$1*MAX(AD213,0)</f>
        <v>18.557001321003963</v>
      </c>
      <c r="AC214" s="75">
        <f>PARAM!$C$26+MAX($G$9-CHOOSE(PARAM!$B$44,MAX(0,AD213*$F$1),0),0)*RATES!$L190/12+$H$9*(PARAM!$D$51/12)*RATES!$N190/100</f>
        <v>13.493784779377705</v>
      </c>
      <c r="AD214" s="16">
        <f t="shared" si="118"/>
        <v>526.7052784190754</v>
      </c>
      <c r="AE214" s="15">
        <f t="shared" si="93"/>
        <v>22.170849845882874</v>
      </c>
      <c r="AF214" s="75">
        <f>AE214*(1-PARAM!$C$27)*$I$10+(MOD($B214,60)=PARAM!$B$56)*($B214&gt;(60-PARAM!$B$56))*HLOOKUP(($B214+PARAM!$B$56)/12,Loyalty,2)*$F$1*MAX(AH213,0)</f>
        <v>18.557001321003963</v>
      </c>
      <c r="AG214" s="75">
        <f>PARAM!$C$26+MAX($G$10-CHOOSE(PARAM!$B$44,MAX(0,AH213*$F$1),0),0)*RATES!$L190/12+$H$10*(PARAM!$D$51/12)*RATES!$N190/100</f>
        <v>13.493784779377705</v>
      </c>
      <c r="AH214" s="16">
        <f t="shared" si="119"/>
        <v>526.7052784190754</v>
      </c>
      <c r="AI214" s="15">
        <f t="shared" si="94"/>
        <v>22.170849845882874</v>
      </c>
      <c r="AJ214" s="75">
        <f>AI214*(1-PARAM!$C$27)*$I$11+(MOD($B214,60)=PARAM!$B$56)*($B214&gt;(60-PARAM!$B$56))*HLOOKUP(($B214+PARAM!$B$56)/12,Loyalty,2)*$F$1*MAX(AL213,0)</f>
        <v>18.557001321003963</v>
      </c>
      <c r="AK214" s="75">
        <f>PARAM!$C$26+MAX($G$11-CHOOSE(PARAM!$B$44,MAX(0,AL213*$F$1),0),0)*RATES!$L190/12+$H$11*(PARAM!$D$51/12)*RATES!$N190/100</f>
        <v>13.493784779377705</v>
      </c>
      <c r="AL214" s="16">
        <f t="shared" si="120"/>
        <v>526.7052784190754</v>
      </c>
      <c r="AM214" s="15">
        <f t="shared" si="95"/>
        <v>22.170849845882874</v>
      </c>
      <c r="AN214" s="75">
        <f>AM214*(1-PARAM!$C$27)*$I$12+(MOD($B214,60)=PARAM!$B$56)*($B214&gt;(60-PARAM!$B$56))*HLOOKUP(($B214+PARAM!$B$56)/12,Loyalty,2)*$F$1*MAX(AP213,0)</f>
        <v>18.557001321003963</v>
      </c>
      <c r="AO214" s="75">
        <f>PARAM!$C$26+MAX($G$12-CHOOSE(PARAM!$B$44,MAX(0,AP213*$F$1),0),0)*RATES!$L190/12+$H$12*(PARAM!$D$51/12)*RATES!$N190/100</f>
        <v>13.493784779377705</v>
      </c>
      <c r="AP214" s="16">
        <f t="shared" si="121"/>
        <v>526.7052784190754</v>
      </c>
      <c r="AQ214" s="15">
        <f t="shared" si="96"/>
        <v>22.170849845882874</v>
      </c>
      <c r="AR214" s="75">
        <f>AQ214*(1-PARAM!$C$27)*$I$13+(MOD($B214,60)=PARAM!$B$56)*($B214&gt;(60-PARAM!$B$56))*HLOOKUP(($B214+PARAM!$B$56)/12,Loyalty,2)*$F$1*MAX(AT213,0)</f>
        <v>18.557001321003963</v>
      </c>
      <c r="AS214" s="75">
        <f>PARAM!$C$26+MAX($G$13-CHOOSE(PARAM!$B$44,MAX(0,AT213*$F$1),0),0)*RATES!$L190/12+$H$13*(PARAM!$D$51/12)*RATES!$N190/100</f>
        <v>13.493784779377705</v>
      </c>
      <c r="AT214" s="16">
        <f t="shared" si="122"/>
        <v>526.7052784190754</v>
      </c>
      <c r="AU214" s="15">
        <f t="shared" si="97"/>
        <v>22.170849845882874</v>
      </c>
      <c r="AV214" s="75">
        <f>AU214*(1-PARAM!$C$27)*$I$14+(MOD($B214,60)=PARAM!$B$56)*($B214&gt;(60-PARAM!$B$56))*HLOOKUP(($B214+PARAM!$B$56)/12,Loyalty,2)*$F$1*MAX(AX213,0)</f>
        <v>18.557001321003963</v>
      </c>
      <c r="AW214" s="75">
        <f>PARAM!$C$26+MAX($G$14-CHOOSE(PARAM!$B$44,MAX(0,AX213*$F$1),0),0)*RATES!$L190/12+$H$14*(PARAM!$D$51/12)*RATES!$N190/100</f>
        <v>13.493784779377705</v>
      </c>
      <c r="AX214" s="16">
        <f t="shared" si="123"/>
        <v>526.7052784190754</v>
      </c>
      <c r="AY214" s="15">
        <f t="shared" si="98"/>
        <v>22.170849845882874</v>
      </c>
      <c r="AZ214" s="75">
        <f>AY214*(1-PARAM!$C$27)*$I$15+(MOD($B214,60)=PARAM!$B$56)*($B214&gt;(60-PARAM!$B$56))*HLOOKUP(($B214+PARAM!$B$56)/12,Loyalty,2)*$F$1*MAX(BB213,0)</f>
        <v>18.557001321003963</v>
      </c>
      <c r="BA214" s="75">
        <f>PARAM!$C$26+MAX($G$15-CHOOSE(PARAM!$B$44,MAX(0,BB213*$F$1),0),0)*RATES!$L190/12+$H$15*(PARAM!$D$51/12)*RATES!$N190/100</f>
        <v>13.493784779377705</v>
      </c>
      <c r="BB214" s="16">
        <f t="shared" si="124"/>
        <v>526.7052784190754</v>
      </c>
      <c r="BC214" s="15">
        <f t="shared" si="99"/>
        <v>22.170849845882874</v>
      </c>
      <c r="BD214" s="75">
        <f>BC214*(1-PARAM!$C$27)*$I$16+(MOD($B214,60)=PARAM!$B$56)*($B214&gt;(60-PARAM!$B$56))*HLOOKUP(($B214+PARAM!$B$56)/12,Loyalty,2)*$F$1*MAX(BF213,0)</f>
        <v>18.557001321003963</v>
      </c>
      <c r="BE214" s="75">
        <f>PARAM!$C$26+MAX($G$16-CHOOSE(PARAM!$B$44,MAX(0,BF213*$F$1),0),0)*RATES!$L190/12+$H$16*(PARAM!$D$51/12)*RATES!$N190/100</f>
        <v>13.493784779377705</v>
      </c>
      <c r="BF214" s="16">
        <f t="shared" si="125"/>
        <v>526.7052784190754</v>
      </c>
      <c r="BG214" s="15">
        <f t="shared" si="100"/>
        <v>22.170849845882874</v>
      </c>
      <c r="BH214" s="75">
        <f>BG214*(1-PARAM!$C$27)*$I$17+(MOD($B214,60)=PARAM!$B$56)*($B214&gt;(60-PARAM!$B$56))*HLOOKUP(($B214+PARAM!$B$56)/12,Loyalty,2)*$F$1*MAX(BJ213,0)</f>
        <v>18.557001321003963</v>
      </c>
      <c r="BI214" s="75">
        <f>PARAM!$C$26+MAX($G$17-CHOOSE(PARAM!$B$44,MAX(0,BJ213*$F$1),0),0)*RATES!$L190/12+$H$17*(PARAM!$D$51/12)*RATES!$N190/100</f>
        <v>13.493784779377705</v>
      </c>
      <c r="BJ214" s="16">
        <f t="shared" si="126"/>
        <v>526.7052784190754</v>
      </c>
      <c r="BK214" s="15">
        <f t="shared" si="101"/>
        <v>22.170849845882874</v>
      </c>
      <c r="BL214" s="75">
        <f>BK214*(1-PARAM!$C$27)*$I$18+(MOD($B214,60)=PARAM!$B$56)*($B214&gt;(60-PARAM!$B$56))*HLOOKUP(($B214+PARAM!$B$56)/12,Loyalty,2)*$F$1*MAX(BN213,0)</f>
        <v>18.557001321003963</v>
      </c>
      <c r="BM214" s="75">
        <f>PARAM!$C$26+MAX($G$18-CHOOSE(PARAM!$B$44,MAX(0,BN213*$F$1),0),0)*RATES!$L190/12+$H$18*(PARAM!$D$51/12)*RATES!$N190/100</f>
        <v>13.493784779377705</v>
      </c>
      <c r="BN214" s="16">
        <f t="shared" si="127"/>
        <v>526.7052784190754</v>
      </c>
      <c r="BO214" s="15">
        <f t="shared" si="102"/>
        <v>22.170849845882874</v>
      </c>
      <c r="BP214" s="75">
        <f>BO214*(1-PARAM!$C$27)*$I$19+(MOD($B214,60)=PARAM!$B$56)*($B214&gt;(60-PARAM!$B$56))*HLOOKUP(($B214+PARAM!$B$56)/12,Loyalty,2)*$F$1*MAX(BR213,0)</f>
        <v>18.557001321003963</v>
      </c>
      <c r="BQ214" s="75">
        <f>PARAM!$C$26+MAX($G$19-CHOOSE(PARAM!$B$44,MAX(0,BR213*$F$1),0),0)*RATES!$L190/12+$H$19*(PARAM!$D$51/12)*RATES!$N190/100</f>
        <v>13.493784779377705</v>
      </c>
      <c r="BR214" s="16">
        <f t="shared" si="128"/>
        <v>526.7052784190754</v>
      </c>
      <c r="BS214" s="15">
        <f t="shared" si="103"/>
        <v>22.170849845882874</v>
      </c>
      <c r="BT214" s="75">
        <f>BS214*(1-PARAM!$C$27)*$I$20+(MOD($B214,60)=PARAM!$B$56)*($B214&gt;(60-PARAM!$B$56))*HLOOKUP(($B214+PARAM!$B$56)/12,Loyalty,2)*$F$1*MAX(BV213,0)</f>
        <v>18.557001321003963</v>
      </c>
      <c r="BU214" s="75">
        <f>PARAM!$C$26+MAX($G$20-CHOOSE(PARAM!$B$44,MAX(0,BV213*$F$1),0),0)*RATES!$L190/12+$H$20*(PARAM!$D$51/12)*RATES!$N190/100</f>
        <v>13.493784779377705</v>
      </c>
      <c r="BV214" s="16">
        <f t="shared" si="129"/>
        <v>526.7052784190754</v>
      </c>
      <c r="BW214" s="15">
        <f t="shared" si="104"/>
        <v>22.170849845882874</v>
      </c>
      <c r="BX214" s="75">
        <f>BW214*(1-PARAM!$C$27)*$I$21+(MOD($B214,60)=PARAM!$B$56)*($B214&gt;(60-PARAM!$B$56))*HLOOKUP(($B214+PARAM!$B$56)/12,Loyalty,2)*$F$1*MAX(BZ213,0)</f>
        <v>18.557001321003963</v>
      </c>
      <c r="BY214" s="75">
        <f>PARAM!$C$26+MAX($G$21-CHOOSE(PARAM!$B$44,MAX(0,BZ213*$F$1),0),0)*RATES!$L190/12+$H$21*(PARAM!$D$51/12)*RATES!$N190/100</f>
        <v>13.493784779377705</v>
      </c>
      <c r="BZ214" s="16">
        <f t="shared" si="130"/>
        <v>526.7052784190754</v>
      </c>
      <c r="CA214" s="15">
        <f t="shared" si="105"/>
        <v>22.170849845882874</v>
      </c>
      <c r="CB214" s="75">
        <f>CA214*(1-PARAM!$C$27)*$I$22+(MOD($B214,60)=PARAM!$B$56)*($B214&gt;(60-PARAM!$B$56))*HLOOKUP(($B214+PARAM!$B$56)/12,Loyalty,2)*$F$1*MAX(CD213,0)</f>
        <v>18.557001321003963</v>
      </c>
      <c r="CC214" s="75">
        <f>PARAM!$C$26+MAX($G$22-CHOOSE(PARAM!$B$44,MAX(0,CD213*$F$1),0),0)*RATES!$L190/12+$H$22*(PARAM!$D$51/12)*RATES!$N190/100</f>
        <v>13.493784779377705</v>
      </c>
      <c r="CD214" s="16">
        <f t="shared" si="131"/>
        <v>526.7052784190754</v>
      </c>
      <c r="CE214" s="33">
        <f>IF(0=MOD(B214,12/PARAM!$D$51),1,0)</f>
        <v>1</v>
      </c>
      <c r="CF214" s="15">
        <f t="shared" si="106"/>
        <v>0</v>
      </c>
      <c r="CG214" s="75">
        <f>CF214*(1-PARAM!$C$27)*$R$3+(MOD($B214/12,5)=0)*($B214&gt;60)*HLOOKUP($B214/12,Loyalty,2)*$F$1*MAX(CI213,0)</f>
        <v>0</v>
      </c>
      <c r="CH214" s="75">
        <f>PARAM!$C$26+MAX($P$3-CHOOSE(PARAM!$B$44,MAX(0,CI213*$F$1),0),0)*RATES!$L190/12+$Q$3*(PARAM!$D$51/12)*RATES!$N190/100</f>
        <v>13.583333333333334</v>
      </c>
      <c r="CI214" s="16">
        <f>IF(CI213&gt;0,CI213*PARAM!$C$53,CI213)+CG214-CH214</f>
        <v>-2765.666666666662</v>
      </c>
      <c r="CJ214" s="15">
        <f t="shared" si="132"/>
        <v>0</v>
      </c>
      <c r="CK214" s="75">
        <f>CJ214*(1-PARAM!$C$27)*$R$4+(MOD($B214/12,5)=0)*($B214&gt;60)*HLOOKUP($B214/12,Loyalty,2)*$F$1*MAX(CM213,0)</f>
        <v>0</v>
      </c>
      <c r="CL214" s="75">
        <f>PARAM!$C$26+MAX($P$4-CHOOSE(PARAM!$B$44,MAX(0,CM213*$F$1),0),0)*RATES!$L190/12+$Q$4*(PARAM!$D$51/12)*RATES!$N190/100</f>
        <v>13.583333333333334</v>
      </c>
      <c r="CM214" s="16">
        <f>IF(CM213&gt;0,CM213*PARAM!$C$53,CM213)+CK214-CL214</f>
        <v>-2765.666666666662</v>
      </c>
      <c r="CO214" s="176"/>
    </row>
    <row r="215" spans="1:93" x14ac:dyDescent="0.2">
      <c r="A215" t="b">
        <f t="shared" si="107"/>
        <v>1</v>
      </c>
      <c r="B215" s="33">
        <v>188</v>
      </c>
      <c r="C215" s="15">
        <f t="shared" si="108"/>
        <v>20.081305947392778</v>
      </c>
      <c r="D215" s="75">
        <f>C215*(1-PARAM!$C$27)*$I$3+(MOD($B215,60)=PARAM!$B$56)*($B215&gt;(60-PARAM!$B$56))*HLOOKUP(($B215+PARAM!$B$56)/12,Loyalty,2)*$F$1*MAX(F214,0)</f>
        <v>16.808053077967756</v>
      </c>
      <c r="E215" s="75">
        <f>PARAM!$C$26+MAX($G$3-CHOOSE(PARAM!$B$44,MAX(0,F214*$F$1),0),0)*RATES!$L191/12+$H$3*(PARAM!$D$51/12)*RATES!$N191/100</f>
        <v>13.547762249726004</v>
      </c>
      <c r="F215" s="16">
        <f t="shared" si="109"/>
        <v>210.47048659910078</v>
      </c>
      <c r="G215" s="15">
        <f t="shared" si="110"/>
        <v>22.035289406060361</v>
      </c>
      <c r="H215" s="75">
        <f>G215*(1-PARAM!$C$27)*$I$4+(MOD($B215,60)=PARAM!$B$56)*($B215&gt;(60-PARAM!$B$56))*HLOOKUP(($B215+PARAM!$B$56)/12,Loyalty,2)*$F$1*MAX(J214,0)</f>
        <v>18.443537232872522</v>
      </c>
      <c r="I215" s="75">
        <f>PARAM!$C$26+MAX($G$4-CHOOSE(PARAM!$B$44,MAX(0,J214*$F$1),0),0)*RATES!$L191/12+$H$4*(PARAM!$D$51/12)*RATES!$N191/100</f>
        <v>13.49647642858976</v>
      </c>
      <c r="J215" s="16">
        <f t="shared" si="111"/>
        <v>510.90961270859293</v>
      </c>
      <c r="K215" s="15">
        <f t="shared" si="112"/>
        <v>22.170849845882874</v>
      </c>
      <c r="L215" s="75">
        <f>K215*(1-PARAM!$C$27)*$I$5+(MOD($B215,60)=PARAM!$B$56)*($B215&gt;(60-PARAM!$B$56))*HLOOKUP(($B215+PARAM!$B$56)/12,Loyalty,2)*$F$1*MAX(N214,0)</f>
        <v>18.557001321003963</v>
      </c>
      <c r="M215" s="75">
        <f>PARAM!$C$26+MAX($G$5-CHOOSE(PARAM!$B$44,MAX(0,N214*$F$1),0),0)*RATES!$L191/12+$H$5*(PARAM!$D$51/12)*RATES!$N191/100</f>
        <v>13.492915593871393</v>
      </c>
      <c r="N215" s="16">
        <f t="shared" si="113"/>
        <v>531.76936414620798</v>
      </c>
      <c r="O215" s="15">
        <f t="shared" si="114"/>
        <v>22.170849845882874</v>
      </c>
      <c r="P215" s="75">
        <f>O215*(1-PARAM!$C$27)*$I$6+(MOD($B215,60)=PARAM!$B$56)*($B215&gt;(60-PARAM!$B$56))*HLOOKUP(($B215+PARAM!$B$56)/12,Loyalty,2)*$F$1*MAX(R214,0)</f>
        <v>18.557001321003963</v>
      </c>
      <c r="Q215" s="75">
        <f>PARAM!$C$26+MAX($G$6-CHOOSE(PARAM!$B$44,MAX(0,R214*$F$1),0),0)*RATES!$L191/12+$H$6*(PARAM!$D$51/12)*RATES!$N191/100</f>
        <v>13.492915593871393</v>
      </c>
      <c r="R215" s="16">
        <f t="shared" si="115"/>
        <v>531.76936414620798</v>
      </c>
      <c r="S215" s="15">
        <f t="shared" si="90"/>
        <v>22.170849845882874</v>
      </c>
      <c r="T215" s="75">
        <f>S215*(1-PARAM!$C$27)*$I$7+(MOD($B215,60)=PARAM!$B$56)*($B215&gt;(60-PARAM!$B$56))*HLOOKUP(($B215+PARAM!$B$56)/12,Loyalty,2)*$F$1*MAX(V214,0)</f>
        <v>18.557001321003963</v>
      </c>
      <c r="U215" s="75">
        <f>PARAM!$C$26+MAX($G$7-CHOOSE(PARAM!$B$44,MAX(0,V214*$F$1),0),0)*RATES!$L191/12+$H$7*(PARAM!$D$51/12)*RATES!$N191/100</f>
        <v>13.492915593871393</v>
      </c>
      <c r="V215" s="16">
        <f t="shared" si="116"/>
        <v>531.76936414620798</v>
      </c>
      <c r="W215" s="15">
        <f t="shared" si="91"/>
        <v>22.170849845882874</v>
      </c>
      <c r="X215" s="75">
        <f>W215*(1-PARAM!$C$27)*$I$8+(MOD($B215,60)=PARAM!$B$56)*($B215&gt;(60-PARAM!$B$56))*HLOOKUP(($B215+PARAM!$B$56)/12,Loyalty,2)*$F$1*MAX(Z214,0)</f>
        <v>18.557001321003963</v>
      </c>
      <c r="Y215" s="75">
        <f>PARAM!$C$26+MAX($G$8-CHOOSE(PARAM!$B$44,MAX(0,Z214*$F$1),0),0)*RATES!$L191/12+$H$8*(PARAM!$D$51/12)*RATES!$N191/100</f>
        <v>13.492915593871393</v>
      </c>
      <c r="Z215" s="16">
        <f t="shared" si="117"/>
        <v>531.76936414620798</v>
      </c>
      <c r="AA215" s="15">
        <f t="shared" si="92"/>
        <v>22.170849845882874</v>
      </c>
      <c r="AB215" s="75">
        <f>AA215*(1-PARAM!$C$27)*$I$9+(MOD($B215,60)=PARAM!$B$56)*($B215&gt;(60-PARAM!$B$56))*HLOOKUP(($B215+PARAM!$B$56)/12,Loyalty,2)*$F$1*MAX(AD214,0)</f>
        <v>18.557001321003963</v>
      </c>
      <c r="AC215" s="75">
        <f>PARAM!$C$26+MAX($G$9-CHOOSE(PARAM!$B$44,MAX(0,AD214*$F$1),0),0)*RATES!$L191/12+$H$9*(PARAM!$D$51/12)*RATES!$N191/100</f>
        <v>13.492915593871393</v>
      </c>
      <c r="AD215" s="16">
        <f t="shared" si="118"/>
        <v>531.76936414620798</v>
      </c>
      <c r="AE215" s="15">
        <f t="shared" si="93"/>
        <v>22.170849845882874</v>
      </c>
      <c r="AF215" s="75">
        <f>AE215*(1-PARAM!$C$27)*$I$10+(MOD($B215,60)=PARAM!$B$56)*($B215&gt;(60-PARAM!$B$56))*HLOOKUP(($B215+PARAM!$B$56)/12,Loyalty,2)*$F$1*MAX(AH214,0)</f>
        <v>18.557001321003963</v>
      </c>
      <c r="AG215" s="75">
        <f>PARAM!$C$26+MAX($G$10-CHOOSE(PARAM!$B$44,MAX(0,AH214*$F$1),0),0)*RATES!$L191/12+$H$10*(PARAM!$D$51/12)*RATES!$N191/100</f>
        <v>13.492915593871393</v>
      </c>
      <c r="AH215" s="16">
        <f t="shared" si="119"/>
        <v>531.76936414620798</v>
      </c>
      <c r="AI215" s="15">
        <f t="shared" si="94"/>
        <v>22.170849845882874</v>
      </c>
      <c r="AJ215" s="75">
        <f>AI215*(1-PARAM!$C$27)*$I$11+(MOD($B215,60)=PARAM!$B$56)*($B215&gt;(60-PARAM!$B$56))*HLOOKUP(($B215+PARAM!$B$56)/12,Loyalty,2)*$F$1*MAX(AL214,0)</f>
        <v>18.557001321003963</v>
      </c>
      <c r="AK215" s="75">
        <f>PARAM!$C$26+MAX($G$11-CHOOSE(PARAM!$B$44,MAX(0,AL214*$F$1),0),0)*RATES!$L191/12+$H$11*(PARAM!$D$51/12)*RATES!$N191/100</f>
        <v>13.492915593871393</v>
      </c>
      <c r="AL215" s="16">
        <f t="shared" si="120"/>
        <v>531.76936414620798</v>
      </c>
      <c r="AM215" s="15">
        <f t="shared" si="95"/>
        <v>22.170849845882874</v>
      </c>
      <c r="AN215" s="75">
        <f>AM215*(1-PARAM!$C$27)*$I$12+(MOD($B215,60)=PARAM!$B$56)*($B215&gt;(60-PARAM!$B$56))*HLOOKUP(($B215+PARAM!$B$56)/12,Loyalty,2)*$F$1*MAX(AP214,0)</f>
        <v>18.557001321003963</v>
      </c>
      <c r="AO215" s="75">
        <f>PARAM!$C$26+MAX($G$12-CHOOSE(PARAM!$B$44,MAX(0,AP214*$F$1),0),0)*RATES!$L191/12+$H$12*(PARAM!$D$51/12)*RATES!$N191/100</f>
        <v>13.492915593871393</v>
      </c>
      <c r="AP215" s="16">
        <f t="shared" si="121"/>
        <v>531.76936414620798</v>
      </c>
      <c r="AQ215" s="15">
        <f t="shared" si="96"/>
        <v>22.170849845882874</v>
      </c>
      <c r="AR215" s="75">
        <f>AQ215*(1-PARAM!$C$27)*$I$13+(MOD($B215,60)=PARAM!$B$56)*($B215&gt;(60-PARAM!$B$56))*HLOOKUP(($B215+PARAM!$B$56)/12,Loyalty,2)*$F$1*MAX(AT214,0)</f>
        <v>18.557001321003963</v>
      </c>
      <c r="AS215" s="75">
        <f>PARAM!$C$26+MAX($G$13-CHOOSE(PARAM!$B$44,MAX(0,AT214*$F$1),0),0)*RATES!$L191/12+$H$13*(PARAM!$D$51/12)*RATES!$N191/100</f>
        <v>13.492915593871393</v>
      </c>
      <c r="AT215" s="16">
        <f t="shared" si="122"/>
        <v>531.76936414620798</v>
      </c>
      <c r="AU215" s="15">
        <f t="shared" si="97"/>
        <v>22.170849845882874</v>
      </c>
      <c r="AV215" s="75">
        <f>AU215*(1-PARAM!$C$27)*$I$14+(MOD($B215,60)=PARAM!$B$56)*($B215&gt;(60-PARAM!$B$56))*HLOOKUP(($B215+PARAM!$B$56)/12,Loyalty,2)*$F$1*MAX(AX214,0)</f>
        <v>18.557001321003963</v>
      </c>
      <c r="AW215" s="75">
        <f>PARAM!$C$26+MAX($G$14-CHOOSE(PARAM!$B$44,MAX(0,AX214*$F$1),0),0)*RATES!$L191/12+$H$14*(PARAM!$D$51/12)*RATES!$N191/100</f>
        <v>13.492915593871393</v>
      </c>
      <c r="AX215" s="16">
        <f t="shared" si="123"/>
        <v>531.76936414620798</v>
      </c>
      <c r="AY215" s="15">
        <f t="shared" si="98"/>
        <v>22.170849845882874</v>
      </c>
      <c r="AZ215" s="75">
        <f>AY215*(1-PARAM!$C$27)*$I$15+(MOD($B215,60)=PARAM!$B$56)*($B215&gt;(60-PARAM!$B$56))*HLOOKUP(($B215+PARAM!$B$56)/12,Loyalty,2)*$F$1*MAX(BB214,0)</f>
        <v>18.557001321003963</v>
      </c>
      <c r="BA215" s="75">
        <f>PARAM!$C$26+MAX($G$15-CHOOSE(PARAM!$B$44,MAX(0,BB214*$F$1),0),0)*RATES!$L191/12+$H$15*(PARAM!$D$51/12)*RATES!$N191/100</f>
        <v>13.492915593871393</v>
      </c>
      <c r="BB215" s="16">
        <f t="shared" si="124"/>
        <v>531.76936414620798</v>
      </c>
      <c r="BC215" s="15">
        <f t="shared" si="99"/>
        <v>22.170849845882874</v>
      </c>
      <c r="BD215" s="75">
        <f>BC215*(1-PARAM!$C$27)*$I$16+(MOD($B215,60)=PARAM!$B$56)*($B215&gt;(60-PARAM!$B$56))*HLOOKUP(($B215+PARAM!$B$56)/12,Loyalty,2)*$F$1*MAX(BF214,0)</f>
        <v>18.557001321003963</v>
      </c>
      <c r="BE215" s="75">
        <f>PARAM!$C$26+MAX($G$16-CHOOSE(PARAM!$B$44,MAX(0,BF214*$F$1),0),0)*RATES!$L191/12+$H$16*(PARAM!$D$51/12)*RATES!$N191/100</f>
        <v>13.492915593871393</v>
      </c>
      <c r="BF215" s="16">
        <f t="shared" si="125"/>
        <v>531.76936414620798</v>
      </c>
      <c r="BG215" s="15">
        <f t="shared" si="100"/>
        <v>22.170849845882874</v>
      </c>
      <c r="BH215" s="75">
        <f>BG215*(1-PARAM!$C$27)*$I$17+(MOD($B215,60)=PARAM!$B$56)*($B215&gt;(60-PARAM!$B$56))*HLOOKUP(($B215+PARAM!$B$56)/12,Loyalty,2)*$F$1*MAX(BJ214,0)</f>
        <v>18.557001321003963</v>
      </c>
      <c r="BI215" s="75">
        <f>PARAM!$C$26+MAX($G$17-CHOOSE(PARAM!$B$44,MAX(0,BJ214*$F$1),0),0)*RATES!$L191/12+$H$17*(PARAM!$D$51/12)*RATES!$N191/100</f>
        <v>13.492915593871393</v>
      </c>
      <c r="BJ215" s="16">
        <f t="shared" si="126"/>
        <v>531.76936414620798</v>
      </c>
      <c r="BK215" s="15">
        <f t="shared" si="101"/>
        <v>22.170849845882874</v>
      </c>
      <c r="BL215" s="75">
        <f>BK215*(1-PARAM!$C$27)*$I$18+(MOD($B215,60)=PARAM!$B$56)*($B215&gt;(60-PARAM!$B$56))*HLOOKUP(($B215+PARAM!$B$56)/12,Loyalty,2)*$F$1*MAX(BN214,0)</f>
        <v>18.557001321003963</v>
      </c>
      <c r="BM215" s="75">
        <f>PARAM!$C$26+MAX($G$18-CHOOSE(PARAM!$B$44,MAX(0,BN214*$F$1),0),0)*RATES!$L191/12+$H$18*(PARAM!$D$51/12)*RATES!$N191/100</f>
        <v>13.492915593871393</v>
      </c>
      <c r="BN215" s="16">
        <f t="shared" si="127"/>
        <v>531.76936414620798</v>
      </c>
      <c r="BO215" s="15">
        <f t="shared" si="102"/>
        <v>22.170849845882874</v>
      </c>
      <c r="BP215" s="75">
        <f>BO215*(1-PARAM!$C$27)*$I$19+(MOD($B215,60)=PARAM!$B$56)*($B215&gt;(60-PARAM!$B$56))*HLOOKUP(($B215+PARAM!$B$56)/12,Loyalty,2)*$F$1*MAX(BR214,0)</f>
        <v>18.557001321003963</v>
      </c>
      <c r="BQ215" s="75">
        <f>PARAM!$C$26+MAX($G$19-CHOOSE(PARAM!$B$44,MAX(0,BR214*$F$1),0),0)*RATES!$L191/12+$H$19*(PARAM!$D$51/12)*RATES!$N191/100</f>
        <v>13.492915593871393</v>
      </c>
      <c r="BR215" s="16">
        <f t="shared" si="128"/>
        <v>531.76936414620798</v>
      </c>
      <c r="BS215" s="15">
        <f t="shared" si="103"/>
        <v>22.170849845882874</v>
      </c>
      <c r="BT215" s="75">
        <f>BS215*(1-PARAM!$C$27)*$I$20+(MOD($B215,60)=PARAM!$B$56)*($B215&gt;(60-PARAM!$B$56))*HLOOKUP(($B215+PARAM!$B$56)/12,Loyalty,2)*$F$1*MAX(BV214,0)</f>
        <v>18.557001321003963</v>
      </c>
      <c r="BU215" s="75">
        <f>PARAM!$C$26+MAX($G$20-CHOOSE(PARAM!$B$44,MAX(0,BV214*$F$1),0),0)*RATES!$L191/12+$H$20*(PARAM!$D$51/12)*RATES!$N191/100</f>
        <v>13.492915593871393</v>
      </c>
      <c r="BV215" s="16">
        <f t="shared" si="129"/>
        <v>531.76936414620798</v>
      </c>
      <c r="BW215" s="15">
        <f t="shared" si="104"/>
        <v>22.170849845882874</v>
      </c>
      <c r="BX215" s="75">
        <f>BW215*(1-PARAM!$C$27)*$I$21+(MOD($B215,60)=PARAM!$B$56)*($B215&gt;(60-PARAM!$B$56))*HLOOKUP(($B215+PARAM!$B$56)/12,Loyalty,2)*$F$1*MAX(BZ214,0)</f>
        <v>18.557001321003963</v>
      </c>
      <c r="BY215" s="75">
        <f>PARAM!$C$26+MAX($G$21-CHOOSE(PARAM!$B$44,MAX(0,BZ214*$F$1),0),0)*RATES!$L191/12+$H$21*(PARAM!$D$51/12)*RATES!$N191/100</f>
        <v>13.492915593871393</v>
      </c>
      <c r="BZ215" s="16">
        <f t="shared" si="130"/>
        <v>531.76936414620798</v>
      </c>
      <c r="CA215" s="15">
        <f t="shared" si="105"/>
        <v>22.170849845882874</v>
      </c>
      <c r="CB215" s="75">
        <f>CA215*(1-PARAM!$C$27)*$I$22+(MOD($B215,60)=PARAM!$B$56)*($B215&gt;(60-PARAM!$B$56))*HLOOKUP(($B215+PARAM!$B$56)/12,Loyalty,2)*$F$1*MAX(CD214,0)</f>
        <v>18.557001321003963</v>
      </c>
      <c r="CC215" s="75">
        <f>PARAM!$C$26+MAX($G$22-CHOOSE(PARAM!$B$44,MAX(0,CD214*$F$1),0),0)*RATES!$L191/12+$H$22*(PARAM!$D$51/12)*RATES!$N191/100</f>
        <v>13.492915593871393</v>
      </c>
      <c r="CD215" s="16">
        <f t="shared" si="131"/>
        <v>531.76936414620798</v>
      </c>
      <c r="CE215" s="33">
        <f>IF(0=MOD(B215,12/PARAM!$D$51),1,0)</f>
        <v>1</v>
      </c>
      <c r="CF215" s="15">
        <f t="shared" si="106"/>
        <v>0</v>
      </c>
      <c r="CG215" s="75">
        <f>CF215*(1-PARAM!$C$27)*$R$3+(MOD($B215/12,5)=0)*($B215&gt;60)*HLOOKUP($B215/12,Loyalty,2)*$F$1*MAX(CI214,0)</f>
        <v>0</v>
      </c>
      <c r="CH215" s="75">
        <f>PARAM!$C$26+MAX($P$3-CHOOSE(PARAM!$B$44,MAX(0,CI214*$F$1),0),0)*RATES!$L191/12+$Q$3*(PARAM!$D$51/12)*RATES!$N191/100</f>
        <v>13.583333333333334</v>
      </c>
      <c r="CI215" s="16">
        <f>IF(CI214&gt;0,CI214*PARAM!$C$53,CI214)+CG215-CH215</f>
        <v>-2779.2499999999955</v>
      </c>
      <c r="CJ215" s="15">
        <f t="shared" si="132"/>
        <v>0</v>
      </c>
      <c r="CK215" s="75">
        <f>CJ215*(1-PARAM!$C$27)*$R$4+(MOD($B215/12,5)=0)*($B215&gt;60)*HLOOKUP($B215/12,Loyalty,2)*$F$1*MAX(CM214,0)</f>
        <v>0</v>
      </c>
      <c r="CL215" s="75">
        <f>PARAM!$C$26+MAX($P$4-CHOOSE(PARAM!$B$44,MAX(0,CM214*$F$1),0),0)*RATES!$L191/12+$Q$4*(PARAM!$D$51/12)*RATES!$N191/100</f>
        <v>13.583333333333334</v>
      </c>
      <c r="CM215" s="16">
        <f>IF(CM214&gt;0,CM214*PARAM!$C$53,CM214)+CK215-CL215</f>
        <v>-2779.2499999999955</v>
      </c>
      <c r="CO215" s="176"/>
    </row>
    <row r="216" spans="1:93" x14ac:dyDescent="0.2">
      <c r="A216" t="b">
        <f t="shared" si="107"/>
        <v>1</v>
      </c>
      <c r="B216" s="33">
        <v>189</v>
      </c>
      <c r="C216" s="15">
        <f t="shared" si="108"/>
        <v>20.081305947392778</v>
      </c>
      <c r="D216" s="75">
        <f>C216*(1-PARAM!$C$27)*$I$3+(MOD($B216,60)=PARAM!$B$56)*($B216&gt;(60-PARAM!$B$56))*HLOOKUP(($B216+PARAM!$B$56)/12,Loyalty,2)*$F$1*MAX(F215,0)</f>
        <v>16.808053077967756</v>
      </c>
      <c r="E216" s="75">
        <f>PARAM!$C$26+MAX($G$3-CHOOSE(PARAM!$B$44,MAX(0,F215*$F$1),0),0)*RATES!$L192/12+$H$3*(PARAM!$D$51/12)*RATES!$N192/100</f>
        <v>13.547202566467154</v>
      </c>
      <c r="F216" s="16">
        <f t="shared" si="109"/>
        <v>213.73133711060137</v>
      </c>
      <c r="G216" s="15">
        <f t="shared" si="110"/>
        <v>22.035289406060361</v>
      </c>
      <c r="H216" s="75">
        <f>G216*(1-PARAM!$C$27)*$I$4+(MOD($B216,60)=PARAM!$B$56)*($B216&gt;(60-PARAM!$B$56))*HLOOKUP(($B216+PARAM!$B$56)/12,Loyalty,2)*$F$1*MAX(J215,0)</f>
        <v>18.443537232872522</v>
      </c>
      <c r="I216" s="75">
        <f>PARAM!$C$26+MAX($G$4-CHOOSE(PARAM!$B$44,MAX(0,J215*$F$1),0),0)*RATES!$L192/12+$H$4*(PARAM!$D$51/12)*RATES!$N192/100</f>
        <v>13.495627183151692</v>
      </c>
      <c r="J216" s="16">
        <f t="shared" si="111"/>
        <v>515.85752275831373</v>
      </c>
      <c r="K216" s="15">
        <f t="shared" si="112"/>
        <v>22.170849845882874</v>
      </c>
      <c r="L216" s="75">
        <f>K216*(1-PARAM!$C$27)*$I$5+(MOD($B216,60)=PARAM!$B$56)*($B216&gt;(60-PARAM!$B$56))*HLOOKUP(($B216+PARAM!$B$56)/12,Loyalty,2)*$F$1*MAX(N215,0)</f>
        <v>18.557001321003963</v>
      </c>
      <c r="M216" s="75">
        <f>PARAM!$C$26+MAX($G$5-CHOOSE(PARAM!$B$44,MAX(0,N215*$F$1),0),0)*RATES!$L192/12+$H$5*(PARAM!$D$51/12)*RATES!$N192/100</f>
        <v>13.492046259154902</v>
      </c>
      <c r="N216" s="16">
        <f t="shared" si="113"/>
        <v>536.83431920805708</v>
      </c>
      <c r="O216" s="15">
        <f t="shared" si="114"/>
        <v>22.170849845882874</v>
      </c>
      <c r="P216" s="75">
        <f>O216*(1-PARAM!$C$27)*$I$6+(MOD($B216,60)=PARAM!$B$56)*($B216&gt;(60-PARAM!$B$56))*HLOOKUP(($B216+PARAM!$B$56)/12,Loyalty,2)*$F$1*MAX(R215,0)</f>
        <v>18.557001321003963</v>
      </c>
      <c r="Q216" s="75">
        <f>PARAM!$C$26+MAX($G$6-CHOOSE(PARAM!$B$44,MAX(0,R215*$F$1),0),0)*RATES!$L192/12+$H$6*(PARAM!$D$51/12)*RATES!$N192/100</f>
        <v>13.492046259154902</v>
      </c>
      <c r="R216" s="16">
        <f t="shared" si="115"/>
        <v>536.83431920805708</v>
      </c>
      <c r="S216" s="15">
        <f t="shared" si="90"/>
        <v>22.170849845882874</v>
      </c>
      <c r="T216" s="75">
        <f>S216*(1-PARAM!$C$27)*$I$7+(MOD($B216,60)=PARAM!$B$56)*($B216&gt;(60-PARAM!$B$56))*HLOOKUP(($B216+PARAM!$B$56)/12,Loyalty,2)*$F$1*MAX(V215,0)</f>
        <v>18.557001321003963</v>
      </c>
      <c r="U216" s="75">
        <f>PARAM!$C$26+MAX($G$7-CHOOSE(PARAM!$B$44,MAX(0,V215*$F$1),0),0)*RATES!$L192/12+$H$7*(PARAM!$D$51/12)*RATES!$N192/100</f>
        <v>13.492046259154902</v>
      </c>
      <c r="V216" s="16">
        <f t="shared" si="116"/>
        <v>536.83431920805708</v>
      </c>
      <c r="W216" s="15">
        <f t="shared" si="91"/>
        <v>22.170849845882874</v>
      </c>
      <c r="X216" s="75">
        <f>W216*(1-PARAM!$C$27)*$I$8+(MOD($B216,60)=PARAM!$B$56)*($B216&gt;(60-PARAM!$B$56))*HLOOKUP(($B216+PARAM!$B$56)/12,Loyalty,2)*$F$1*MAX(Z215,0)</f>
        <v>18.557001321003963</v>
      </c>
      <c r="Y216" s="75">
        <f>PARAM!$C$26+MAX($G$8-CHOOSE(PARAM!$B$44,MAX(0,Z215*$F$1),0),0)*RATES!$L192/12+$H$8*(PARAM!$D$51/12)*RATES!$N192/100</f>
        <v>13.492046259154902</v>
      </c>
      <c r="Z216" s="16">
        <f t="shared" si="117"/>
        <v>536.83431920805708</v>
      </c>
      <c r="AA216" s="15">
        <f t="shared" si="92"/>
        <v>22.170849845882874</v>
      </c>
      <c r="AB216" s="75">
        <f>AA216*(1-PARAM!$C$27)*$I$9+(MOD($B216,60)=PARAM!$B$56)*($B216&gt;(60-PARAM!$B$56))*HLOOKUP(($B216+PARAM!$B$56)/12,Loyalty,2)*$F$1*MAX(AD215,0)</f>
        <v>18.557001321003963</v>
      </c>
      <c r="AC216" s="75">
        <f>PARAM!$C$26+MAX($G$9-CHOOSE(PARAM!$B$44,MAX(0,AD215*$F$1),0),0)*RATES!$L192/12+$H$9*(PARAM!$D$51/12)*RATES!$N192/100</f>
        <v>13.492046259154902</v>
      </c>
      <c r="AD216" s="16">
        <f t="shared" si="118"/>
        <v>536.83431920805708</v>
      </c>
      <c r="AE216" s="15">
        <f t="shared" si="93"/>
        <v>22.170849845882874</v>
      </c>
      <c r="AF216" s="75">
        <f>AE216*(1-PARAM!$C$27)*$I$10+(MOD($B216,60)=PARAM!$B$56)*($B216&gt;(60-PARAM!$B$56))*HLOOKUP(($B216+PARAM!$B$56)/12,Loyalty,2)*$F$1*MAX(AH215,0)</f>
        <v>18.557001321003963</v>
      </c>
      <c r="AG216" s="75">
        <f>PARAM!$C$26+MAX($G$10-CHOOSE(PARAM!$B$44,MAX(0,AH215*$F$1),0),0)*RATES!$L192/12+$H$10*(PARAM!$D$51/12)*RATES!$N192/100</f>
        <v>13.492046259154902</v>
      </c>
      <c r="AH216" s="16">
        <f t="shared" si="119"/>
        <v>536.83431920805708</v>
      </c>
      <c r="AI216" s="15">
        <f t="shared" si="94"/>
        <v>22.170849845882874</v>
      </c>
      <c r="AJ216" s="75">
        <f>AI216*(1-PARAM!$C$27)*$I$11+(MOD($B216,60)=PARAM!$B$56)*($B216&gt;(60-PARAM!$B$56))*HLOOKUP(($B216+PARAM!$B$56)/12,Loyalty,2)*$F$1*MAX(AL215,0)</f>
        <v>18.557001321003963</v>
      </c>
      <c r="AK216" s="75">
        <f>PARAM!$C$26+MAX($G$11-CHOOSE(PARAM!$B$44,MAX(0,AL215*$F$1),0),0)*RATES!$L192/12+$H$11*(PARAM!$D$51/12)*RATES!$N192/100</f>
        <v>13.492046259154902</v>
      </c>
      <c r="AL216" s="16">
        <f t="shared" si="120"/>
        <v>536.83431920805708</v>
      </c>
      <c r="AM216" s="15">
        <f t="shared" si="95"/>
        <v>22.170849845882874</v>
      </c>
      <c r="AN216" s="75">
        <f>AM216*(1-PARAM!$C$27)*$I$12+(MOD($B216,60)=PARAM!$B$56)*($B216&gt;(60-PARAM!$B$56))*HLOOKUP(($B216+PARAM!$B$56)/12,Loyalty,2)*$F$1*MAX(AP215,0)</f>
        <v>18.557001321003963</v>
      </c>
      <c r="AO216" s="75">
        <f>PARAM!$C$26+MAX($G$12-CHOOSE(PARAM!$B$44,MAX(0,AP215*$F$1),0),0)*RATES!$L192/12+$H$12*(PARAM!$D$51/12)*RATES!$N192/100</f>
        <v>13.492046259154902</v>
      </c>
      <c r="AP216" s="16">
        <f t="shared" si="121"/>
        <v>536.83431920805708</v>
      </c>
      <c r="AQ216" s="15">
        <f t="shared" si="96"/>
        <v>22.170849845882874</v>
      </c>
      <c r="AR216" s="75">
        <f>AQ216*(1-PARAM!$C$27)*$I$13+(MOD($B216,60)=PARAM!$B$56)*($B216&gt;(60-PARAM!$B$56))*HLOOKUP(($B216+PARAM!$B$56)/12,Loyalty,2)*$F$1*MAX(AT215,0)</f>
        <v>18.557001321003963</v>
      </c>
      <c r="AS216" s="75">
        <f>PARAM!$C$26+MAX($G$13-CHOOSE(PARAM!$B$44,MAX(0,AT215*$F$1),0),0)*RATES!$L192/12+$H$13*(PARAM!$D$51/12)*RATES!$N192/100</f>
        <v>13.492046259154902</v>
      </c>
      <c r="AT216" s="16">
        <f t="shared" si="122"/>
        <v>536.83431920805708</v>
      </c>
      <c r="AU216" s="15">
        <f t="shared" si="97"/>
        <v>22.170849845882874</v>
      </c>
      <c r="AV216" s="75">
        <f>AU216*(1-PARAM!$C$27)*$I$14+(MOD($B216,60)=PARAM!$B$56)*($B216&gt;(60-PARAM!$B$56))*HLOOKUP(($B216+PARAM!$B$56)/12,Loyalty,2)*$F$1*MAX(AX215,0)</f>
        <v>18.557001321003963</v>
      </c>
      <c r="AW216" s="75">
        <f>PARAM!$C$26+MAX($G$14-CHOOSE(PARAM!$B$44,MAX(0,AX215*$F$1),0),0)*RATES!$L192/12+$H$14*(PARAM!$D$51/12)*RATES!$N192/100</f>
        <v>13.492046259154902</v>
      </c>
      <c r="AX216" s="16">
        <f t="shared" si="123"/>
        <v>536.83431920805708</v>
      </c>
      <c r="AY216" s="15">
        <f t="shared" si="98"/>
        <v>22.170849845882874</v>
      </c>
      <c r="AZ216" s="75">
        <f>AY216*(1-PARAM!$C$27)*$I$15+(MOD($B216,60)=PARAM!$B$56)*($B216&gt;(60-PARAM!$B$56))*HLOOKUP(($B216+PARAM!$B$56)/12,Loyalty,2)*$F$1*MAX(BB215,0)</f>
        <v>18.557001321003963</v>
      </c>
      <c r="BA216" s="75">
        <f>PARAM!$C$26+MAX($G$15-CHOOSE(PARAM!$B$44,MAX(0,BB215*$F$1),0),0)*RATES!$L192/12+$H$15*(PARAM!$D$51/12)*RATES!$N192/100</f>
        <v>13.492046259154902</v>
      </c>
      <c r="BB216" s="16">
        <f t="shared" si="124"/>
        <v>536.83431920805708</v>
      </c>
      <c r="BC216" s="15">
        <f t="shared" si="99"/>
        <v>22.170849845882874</v>
      </c>
      <c r="BD216" s="75">
        <f>BC216*(1-PARAM!$C$27)*$I$16+(MOD($B216,60)=PARAM!$B$56)*($B216&gt;(60-PARAM!$B$56))*HLOOKUP(($B216+PARAM!$B$56)/12,Loyalty,2)*$F$1*MAX(BF215,0)</f>
        <v>18.557001321003963</v>
      </c>
      <c r="BE216" s="75">
        <f>PARAM!$C$26+MAX($G$16-CHOOSE(PARAM!$B$44,MAX(0,BF215*$F$1),0),0)*RATES!$L192/12+$H$16*(PARAM!$D$51/12)*RATES!$N192/100</f>
        <v>13.492046259154902</v>
      </c>
      <c r="BF216" s="16">
        <f t="shared" si="125"/>
        <v>536.83431920805708</v>
      </c>
      <c r="BG216" s="15">
        <f t="shared" si="100"/>
        <v>22.170849845882874</v>
      </c>
      <c r="BH216" s="75">
        <f>BG216*(1-PARAM!$C$27)*$I$17+(MOD($B216,60)=PARAM!$B$56)*($B216&gt;(60-PARAM!$B$56))*HLOOKUP(($B216+PARAM!$B$56)/12,Loyalty,2)*$F$1*MAX(BJ215,0)</f>
        <v>18.557001321003963</v>
      </c>
      <c r="BI216" s="75">
        <f>PARAM!$C$26+MAX($G$17-CHOOSE(PARAM!$B$44,MAX(0,BJ215*$F$1),0),0)*RATES!$L192/12+$H$17*(PARAM!$D$51/12)*RATES!$N192/100</f>
        <v>13.492046259154902</v>
      </c>
      <c r="BJ216" s="16">
        <f t="shared" si="126"/>
        <v>536.83431920805708</v>
      </c>
      <c r="BK216" s="15">
        <f t="shared" si="101"/>
        <v>22.170849845882874</v>
      </c>
      <c r="BL216" s="75">
        <f>BK216*(1-PARAM!$C$27)*$I$18+(MOD($B216,60)=PARAM!$B$56)*($B216&gt;(60-PARAM!$B$56))*HLOOKUP(($B216+PARAM!$B$56)/12,Loyalty,2)*$F$1*MAX(BN215,0)</f>
        <v>18.557001321003963</v>
      </c>
      <c r="BM216" s="75">
        <f>PARAM!$C$26+MAX($G$18-CHOOSE(PARAM!$B$44,MAX(0,BN215*$F$1),0),0)*RATES!$L192/12+$H$18*(PARAM!$D$51/12)*RATES!$N192/100</f>
        <v>13.492046259154902</v>
      </c>
      <c r="BN216" s="16">
        <f t="shared" si="127"/>
        <v>536.83431920805708</v>
      </c>
      <c r="BO216" s="15">
        <f t="shared" si="102"/>
        <v>22.170849845882874</v>
      </c>
      <c r="BP216" s="75">
        <f>BO216*(1-PARAM!$C$27)*$I$19+(MOD($B216,60)=PARAM!$B$56)*($B216&gt;(60-PARAM!$B$56))*HLOOKUP(($B216+PARAM!$B$56)/12,Loyalty,2)*$F$1*MAX(BR215,0)</f>
        <v>18.557001321003963</v>
      </c>
      <c r="BQ216" s="75">
        <f>PARAM!$C$26+MAX($G$19-CHOOSE(PARAM!$B$44,MAX(0,BR215*$F$1),0),0)*RATES!$L192/12+$H$19*(PARAM!$D$51/12)*RATES!$N192/100</f>
        <v>13.492046259154902</v>
      </c>
      <c r="BR216" s="16">
        <f t="shared" si="128"/>
        <v>536.83431920805708</v>
      </c>
      <c r="BS216" s="15">
        <f t="shared" si="103"/>
        <v>22.170849845882874</v>
      </c>
      <c r="BT216" s="75">
        <f>BS216*(1-PARAM!$C$27)*$I$20+(MOD($B216,60)=PARAM!$B$56)*($B216&gt;(60-PARAM!$B$56))*HLOOKUP(($B216+PARAM!$B$56)/12,Loyalty,2)*$F$1*MAX(BV215,0)</f>
        <v>18.557001321003963</v>
      </c>
      <c r="BU216" s="75">
        <f>PARAM!$C$26+MAX($G$20-CHOOSE(PARAM!$B$44,MAX(0,BV215*$F$1),0),0)*RATES!$L192/12+$H$20*(PARAM!$D$51/12)*RATES!$N192/100</f>
        <v>13.492046259154902</v>
      </c>
      <c r="BV216" s="16">
        <f t="shared" si="129"/>
        <v>536.83431920805708</v>
      </c>
      <c r="BW216" s="15">
        <f t="shared" si="104"/>
        <v>22.170849845882874</v>
      </c>
      <c r="BX216" s="75">
        <f>BW216*(1-PARAM!$C$27)*$I$21+(MOD($B216,60)=PARAM!$B$56)*($B216&gt;(60-PARAM!$B$56))*HLOOKUP(($B216+PARAM!$B$56)/12,Loyalty,2)*$F$1*MAX(BZ215,0)</f>
        <v>18.557001321003963</v>
      </c>
      <c r="BY216" s="75">
        <f>PARAM!$C$26+MAX($G$21-CHOOSE(PARAM!$B$44,MAX(0,BZ215*$F$1),0),0)*RATES!$L192/12+$H$21*(PARAM!$D$51/12)*RATES!$N192/100</f>
        <v>13.492046259154902</v>
      </c>
      <c r="BZ216" s="16">
        <f t="shared" si="130"/>
        <v>536.83431920805708</v>
      </c>
      <c r="CA216" s="15">
        <f t="shared" si="105"/>
        <v>22.170849845882874</v>
      </c>
      <c r="CB216" s="75">
        <f>CA216*(1-PARAM!$C$27)*$I$22+(MOD($B216,60)=PARAM!$B$56)*($B216&gt;(60-PARAM!$B$56))*HLOOKUP(($B216+PARAM!$B$56)/12,Loyalty,2)*$F$1*MAX(CD215,0)</f>
        <v>18.557001321003963</v>
      </c>
      <c r="CC216" s="75">
        <f>PARAM!$C$26+MAX($G$22-CHOOSE(PARAM!$B$44,MAX(0,CD215*$F$1),0),0)*RATES!$L192/12+$H$22*(PARAM!$D$51/12)*RATES!$N192/100</f>
        <v>13.492046259154902</v>
      </c>
      <c r="CD216" s="16">
        <f t="shared" si="131"/>
        <v>536.83431920805708</v>
      </c>
      <c r="CE216" s="33">
        <f>IF(0=MOD(B216,12/PARAM!$D$51),1,0)</f>
        <v>1</v>
      </c>
      <c r="CF216" s="15">
        <f t="shared" si="106"/>
        <v>0</v>
      </c>
      <c r="CG216" s="75">
        <f>CF216*(1-PARAM!$C$27)*$R$3+(MOD($B216/12,5)=0)*($B216&gt;60)*HLOOKUP($B216/12,Loyalty,2)*$F$1*MAX(CI215,0)</f>
        <v>0</v>
      </c>
      <c r="CH216" s="75">
        <f>PARAM!$C$26+MAX($P$3-CHOOSE(PARAM!$B$44,MAX(0,CI215*$F$1),0),0)*RATES!$L192/12+$Q$3*(PARAM!$D$51/12)*RATES!$N192/100</f>
        <v>13.583333333333334</v>
      </c>
      <c r="CI216" s="16">
        <f>IF(CI215&gt;0,CI215*PARAM!$C$53,CI215)+CG216-CH216</f>
        <v>-2792.8333333333289</v>
      </c>
      <c r="CJ216" s="15">
        <f t="shared" si="132"/>
        <v>0</v>
      </c>
      <c r="CK216" s="75">
        <f>CJ216*(1-PARAM!$C$27)*$R$4+(MOD($B216/12,5)=0)*($B216&gt;60)*HLOOKUP($B216/12,Loyalty,2)*$F$1*MAX(CM215,0)</f>
        <v>0</v>
      </c>
      <c r="CL216" s="75">
        <f>PARAM!$C$26+MAX($P$4-CHOOSE(PARAM!$B$44,MAX(0,CM215*$F$1),0),0)*RATES!$L192/12+$Q$4*(PARAM!$D$51/12)*RATES!$N192/100</f>
        <v>13.583333333333334</v>
      </c>
      <c r="CM216" s="16">
        <f>IF(CM215&gt;0,CM215*PARAM!$C$53,CM215)+CK216-CL216</f>
        <v>-2792.8333333333289</v>
      </c>
      <c r="CO216" s="176"/>
    </row>
    <row r="217" spans="1:93" x14ac:dyDescent="0.2">
      <c r="A217" t="b">
        <f t="shared" si="107"/>
        <v>1</v>
      </c>
      <c r="B217" s="33">
        <v>190</v>
      </c>
      <c r="C217" s="15">
        <f t="shared" si="108"/>
        <v>20.081305947392778</v>
      </c>
      <c r="D217" s="75">
        <f>C217*(1-PARAM!$C$27)*$I$3+(MOD($B217,60)=PARAM!$B$56)*($B217&gt;(60-PARAM!$B$56))*HLOOKUP(($B217+PARAM!$B$56)/12,Loyalty,2)*$F$1*MAX(F216,0)</f>
        <v>16.808053077967756</v>
      </c>
      <c r="E217" s="75">
        <f>PARAM!$C$26+MAX($G$3-CHOOSE(PARAM!$B$44,MAX(0,F216*$F$1),0),0)*RATES!$L193/12+$H$3*(PARAM!$D$51/12)*RATES!$N193/100</f>
        <v>13.546642787129349</v>
      </c>
      <c r="F217" s="16">
        <f t="shared" si="109"/>
        <v>216.9927474014398</v>
      </c>
      <c r="G217" s="15">
        <f t="shared" si="110"/>
        <v>22.035289406060361</v>
      </c>
      <c r="H217" s="75">
        <f>G217*(1-PARAM!$C$27)*$I$4+(MOD($B217,60)=PARAM!$B$56)*($B217&gt;(60-PARAM!$B$56))*HLOOKUP(($B217+PARAM!$B$56)/12,Loyalty,2)*$F$1*MAX(J216,0)</f>
        <v>18.443537232872522</v>
      </c>
      <c r="I217" s="75">
        <f>PARAM!$C$26+MAX($G$4-CHOOSE(PARAM!$B$44,MAX(0,J216*$F$1),0),0)*RATES!$L193/12+$H$4*(PARAM!$D$51/12)*RATES!$N193/100</f>
        <v>13.49477779192649</v>
      </c>
      <c r="J217" s="16">
        <f t="shared" si="111"/>
        <v>520.80628219925973</v>
      </c>
      <c r="K217" s="15">
        <f t="shared" si="112"/>
        <v>22.170849845882874</v>
      </c>
      <c r="L217" s="75">
        <f>K217*(1-PARAM!$C$27)*$I$5+(MOD($B217,60)=PARAM!$B$56)*($B217&gt;(60-PARAM!$B$56))*HLOOKUP(($B217+PARAM!$B$56)/12,Loyalty,2)*$F$1*MAX(N216,0)</f>
        <v>18.557001321003963</v>
      </c>
      <c r="M217" s="75">
        <f>PARAM!$C$26+MAX($G$5-CHOOSE(PARAM!$B$44,MAX(0,N216*$F$1),0),0)*RATES!$L193/12+$H$5*(PARAM!$D$51/12)*RATES!$N193/100</f>
        <v>13.491176775202618</v>
      </c>
      <c r="N217" s="16">
        <f t="shared" si="113"/>
        <v>541.90014375385852</v>
      </c>
      <c r="O217" s="15">
        <f t="shared" si="114"/>
        <v>22.170849845882874</v>
      </c>
      <c r="P217" s="75">
        <f>O217*(1-PARAM!$C$27)*$I$6+(MOD($B217,60)=PARAM!$B$56)*($B217&gt;(60-PARAM!$B$56))*HLOOKUP(($B217+PARAM!$B$56)/12,Loyalty,2)*$F$1*MAX(R216,0)</f>
        <v>18.557001321003963</v>
      </c>
      <c r="Q217" s="75">
        <f>PARAM!$C$26+MAX($G$6-CHOOSE(PARAM!$B$44,MAX(0,R216*$F$1),0),0)*RATES!$L193/12+$H$6*(PARAM!$D$51/12)*RATES!$N193/100</f>
        <v>13.491176775202618</v>
      </c>
      <c r="R217" s="16">
        <f t="shared" si="115"/>
        <v>541.90014375385852</v>
      </c>
      <c r="S217" s="15">
        <f t="shared" si="90"/>
        <v>22.170849845882874</v>
      </c>
      <c r="T217" s="75">
        <f>S217*(1-PARAM!$C$27)*$I$7+(MOD($B217,60)=PARAM!$B$56)*($B217&gt;(60-PARAM!$B$56))*HLOOKUP(($B217+PARAM!$B$56)/12,Loyalty,2)*$F$1*MAX(V216,0)</f>
        <v>18.557001321003963</v>
      </c>
      <c r="U217" s="75">
        <f>PARAM!$C$26+MAX($G$7-CHOOSE(PARAM!$B$44,MAX(0,V216*$F$1),0),0)*RATES!$L193/12+$H$7*(PARAM!$D$51/12)*RATES!$N193/100</f>
        <v>13.491176775202618</v>
      </c>
      <c r="V217" s="16">
        <f t="shared" si="116"/>
        <v>541.90014375385852</v>
      </c>
      <c r="W217" s="15">
        <f t="shared" si="91"/>
        <v>22.170849845882874</v>
      </c>
      <c r="X217" s="75">
        <f>W217*(1-PARAM!$C$27)*$I$8+(MOD($B217,60)=PARAM!$B$56)*($B217&gt;(60-PARAM!$B$56))*HLOOKUP(($B217+PARAM!$B$56)/12,Loyalty,2)*$F$1*MAX(Z216,0)</f>
        <v>18.557001321003963</v>
      </c>
      <c r="Y217" s="75">
        <f>PARAM!$C$26+MAX($G$8-CHOOSE(PARAM!$B$44,MAX(0,Z216*$F$1),0),0)*RATES!$L193/12+$H$8*(PARAM!$D$51/12)*RATES!$N193/100</f>
        <v>13.491176775202618</v>
      </c>
      <c r="Z217" s="16">
        <f t="shared" si="117"/>
        <v>541.90014375385852</v>
      </c>
      <c r="AA217" s="15">
        <f t="shared" si="92"/>
        <v>22.170849845882874</v>
      </c>
      <c r="AB217" s="75">
        <f>AA217*(1-PARAM!$C$27)*$I$9+(MOD($B217,60)=PARAM!$B$56)*($B217&gt;(60-PARAM!$B$56))*HLOOKUP(($B217+PARAM!$B$56)/12,Loyalty,2)*$F$1*MAX(AD216,0)</f>
        <v>18.557001321003963</v>
      </c>
      <c r="AC217" s="75">
        <f>PARAM!$C$26+MAX($G$9-CHOOSE(PARAM!$B$44,MAX(0,AD216*$F$1),0),0)*RATES!$L193/12+$H$9*(PARAM!$D$51/12)*RATES!$N193/100</f>
        <v>13.491176775202618</v>
      </c>
      <c r="AD217" s="16">
        <f t="shared" si="118"/>
        <v>541.90014375385852</v>
      </c>
      <c r="AE217" s="15">
        <f t="shared" si="93"/>
        <v>22.170849845882874</v>
      </c>
      <c r="AF217" s="75">
        <f>AE217*(1-PARAM!$C$27)*$I$10+(MOD($B217,60)=PARAM!$B$56)*($B217&gt;(60-PARAM!$B$56))*HLOOKUP(($B217+PARAM!$B$56)/12,Loyalty,2)*$F$1*MAX(AH216,0)</f>
        <v>18.557001321003963</v>
      </c>
      <c r="AG217" s="75">
        <f>PARAM!$C$26+MAX($G$10-CHOOSE(PARAM!$B$44,MAX(0,AH216*$F$1),0),0)*RATES!$L193/12+$H$10*(PARAM!$D$51/12)*RATES!$N193/100</f>
        <v>13.491176775202618</v>
      </c>
      <c r="AH217" s="16">
        <f t="shared" si="119"/>
        <v>541.90014375385852</v>
      </c>
      <c r="AI217" s="15">
        <f t="shared" si="94"/>
        <v>22.170849845882874</v>
      </c>
      <c r="AJ217" s="75">
        <f>AI217*(1-PARAM!$C$27)*$I$11+(MOD($B217,60)=PARAM!$B$56)*($B217&gt;(60-PARAM!$B$56))*HLOOKUP(($B217+PARAM!$B$56)/12,Loyalty,2)*$F$1*MAX(AL216,0)</f>
        <v>18.557001321003963</v>
      </c>
      <c r="AK217" s="75">
        <f>PARAM!$C$26+MAX($G$11-CHOOSE(PARAM!$B$44,MAX(0,AL216*$F$1),0),0)*RATES!$L193/12+$H$11*(PARAM!$D$51/12)*RATES!$N193/100</f>
        <v>13.491176775202618</v>
      </c>
      <c r="AL217" s="16">
        <f t="shared" si="120"/>
        <v>541.90014375385852</v>
      </c>
      <c r="AM217" s="15">
        <f t="shared" si="95"/>
        <v>22.170849845882874</v>
      </c>
      <c r="AN217" s="75">
        <f>AM217*(1-PARAM!$C$27)*$I$12+(MOD($B217,60)=PARAM!$B$56)*($B217&gt;(60-PARAM!$B$56))*HLOOKUP(($B217+PARAM!$B$56)/12,Loyalty,2)*$F$1*MAX(AP216,0)</f>
        <v>18.557001321003963</v>
      </c>
      <c r="AO217" s="75">
        <f>PARAM!$C$26+MAX($G$12-CHOOSE(PARAM!$B$44,MAX(0,AP216*$F$1),0),0)*RATES!$L193/12+$H$12*(PARAM!$D$51/12)*RATES!$N193/100</f>
        <v>13.491176775202618</v>
      </c>
      <c r="AP217" s="16">
        <f t="shared" si="121"/>
        <v>541.90014375385852</v>
      </c>
      <c r="AQ217" s="15">
        <f t="shared" si="96"/>
        <v>22.170849845882874</v>
      </c>
      <c r="AR217" s="75">
        <f>AQ217*(1-PARAM!$C$27)*$I$13+(MOD($B217,60)=PARAM!$B$56)*($B217&gt;(60-PARAM!$B$56))*HLOOKUP(($B217+PARAM!$B$56)/12,Loyalty,2)*$F$1*MAX(AT216,0)</f>
        <v>18.557001321003963</v>
      </c>
      <c r="AS217" s="75">
        <f>PARAM!$C$26+MAX($G$13-CHOOSE(PARAM!$B$44,MAX(0,AT216*$F$1),0),0)*RATES!$L193/12+$H$13*(PARAM!$D$51/12)*RATES!$N193/100</f>
        <v>13.491176775202618</v>
      </c>
      <c r="AT217" s="16">
        <f t="shared" si="122"/>
        <v>541.90014375385852</v>
      </c>
      <c r="AU217" s="15">
        <f t="shared" si="97"/>
        <v>22.170849845882874</v>
      </c>
      <c r="AV217" s="75">
        <f>AU217*(1-PARAM!$C$27)*$I$14+(MOD($B217,60)=PARAM!$B$56)*($B217&gt;(60-PARAM!$B$56))*HLOOKUP(($B217+PARAM!$B$56)/12,Loyalty,2)*$F$1*MAX(AX216,0)</f>
        <v>18.557001321003963</v>
      </c>
      <c r="AW217" s="75">
        <f>PARAM!$C$26+MAX($G$14-CHOOSE(PARAM!$B$44,MAX(0,AX216*$F$1),0),0)*RATES!$L193/12+$H$14*(PARAM!$D$51/12)*RATES!$N193/100</f>
        <v>13.491176775202618</v>
      </c>
      <c r="AX217" s="16">
        <f t="shared" si="123"/>
        <v>541.90014375385852</v>
      </c>
      <c r="AY217" s="15">
        <f t="shared" si="98"/>
        <v>22.170849845882874</v>
      </c>
      <c r="AZ217" s="75">
        <f>AY217*(1-PARAM!$C$27)*$I$15+(MOD($B217,60)=PARAM!$B$56)*($B217&gt;(60-PARAM!$B$56))*HLOOKUP(($B217+PARAM!$B$56)/12,Loyalty,2)*$F$1*MAX(BB216,0)</f>
        <v>18.557001321003963</v>
      </c>
      <c r="BA217" s="75">
        <f>PARAM!$C$26+MAX($G$15-CHOOSE(PARAM!$B$44,MAX(0,BB216*$F$1),0),0)*RATES!$L193/12+$H$15*(PARAM!$D$51/12)*RATES!$N193/100</f>
        <v>13.491176775202618</v>
      </c>
      <c r="BB217" s="16">
        <f t="shared" si="124"/>
        <v>541.90014375385852</v>
      </c>
      <c r="BC217" s="15">
        <f t="shared" si="99"/>
        <v>22.170849845882874</v>
      </c>
      <c r="BD217" s="75">
        <f>BC217*(1-PARAM!$C$27)*$I$16+(MOD($B217,60)=PARAM!$B$56)*($B217&gt;(60-PARAM!$B$56))*HLOOKUP(($B217+PARAM!$B$56)/12,Loyalty,2)*$F$1*MAX(BF216,0)</f>
        <v>18.557001321003963</v>
      </c>
      <c r="BE217" s="75">
        <f>PARAM!$C$26+MAX($G$16-CHOOSE(PARAM!$B$44,MAX(0,BF216*$F$1),0),0)*RATES!$L193/12+$H$16*(PARAM!$D$51/12)*RATES!$N193/100</f>
        <v>13.491176775202618</v>
      </c>
      <c r="BF217" s="16">
        <f t="shared" si="125"/>
        <v>541.90014375385852</v>
      </c>
      <c r="BG217" s="15">
        <f t="shared" si="100"/>
        <v>22.170849845882874</v>
      </c>
      <c r="BH217" s="75">
        <f>BG217*(1-PARAM!$C$27)*$I$17+(MOD($B217,60)=PARAM!$B$56)*($B217&gt;(60-PARAM!$B$56))*HLOOKUP(($B217+PARAM!$B$56)/12,Loyalty,2)*$F$1*MAX(BJ216,0)</f>
        <v>18.557001321003963</v>
      </c>
      <c r="BI217" s="75">
        <f>PARAM!$C$26+MAX($G$17-CHOOSE(PARAM!$B$44,MAX(0,BJ216*$F$1),0),0)*RATES!$L193/12+$H$17*(PARAM!$D$51/12)*RATES!$N193/100</f>
        <v>13.491176775202618</v>
      </c>
      <c r="BJ217" s="16">
        <f t="shared" si="126"/>
        <v>541.90014375385852</v>
      </c>
      <c r="BK217" s="15">
        <f t="shared" si="101"/>
        <v>22.170849845882874</v>
      </c>
      <c r="BL217" s="75">
        <f>BK217*(1-PARAM!$C$27)*$I$18+(MOD($B217,60)=PARAM!$B$56)*($B217&gt;(60-PARAM!$B$56))*HLOOKUP(($B217+PARAM!$B$56)/12,Loyalty,2)*$F$1*MAX(BN216,0)</f>
        <v>18.557001321003963</v>
      </c>
      <c r="BM217" s="75">
        <f>PARAM!$C$26+MAX($G$18-CHOOSE(PARAM!$B$44,MAX(0,BN216*$F$1),0),0)*RATES!$L193/12+$H$18*(PARAM!$D$51/12)*RATES!$N193/100</f>
        <v>13.491176775202618</v>
      </c>
      <c r="BN217" s="16">
        <f t="shared" si="127"/>
        <v>541.90014375385852</v>
      </c>
      <c r="BO217" s="15">
        <f t="shared" si="102"/>
        <v>22.170849845882874</v>
      </c>
      <c r="BP217" s="75">
        <f>BO217*(1-PARAM!$C$27)*$I$19+(MOD($B217,60)=PARAM!$B$56)*($B217&gt;(60-PARAM!$B$56))*HLOOKUP(($B217+PARAM!$B$56)/12,Loyalty,2)*$F$1*MAX(BR216,0)</f>
        <v>18.557001321003963</v>
      </c>
      <c r="BQ217" s="75">
        <f>PARAM!$C$26+MAX($G$19-CHOOSE(PARAM!$B$44,MAX(0,BR216*$F$1),0),0)*RATES!$L193/12+$H$19*(PARAM!$D$51/12)*RATES!$N193/100</f>
        <v>13.491176775202618</v>
      </c>
      <c r="BR217" s="16">
        <f t="shared" si="128"/>
        <v>541.90014375385852</v>
      </c>
      <c r="BS217" s="15">
        <f t="shared" si="103"/>
        <v>22.170849845882874</v>
      </c>
      <c r="BT217" s="75">
        <f>BS217*(1-PARAM!$C$27)*$I$20+(MOD($B217,60)=PARAM!$B$56)*($B217&gt;(60-PARAM!$B$56))*HLOOKUP(($B217+PARAM!$B$56)/12,Loyalty,2)*$F$1*MAX(BV216,0)</f>
        <v>18.557001321003963</v>
      </c>
      <c r="BU217" s="75">
        <f>PARAM!$C$26+MAX($G$20-CHOOSE(PARAM!$B$44,MAX(0,BV216*$F$1),0),0)*RATES!$L193/12+$H$20*(PARAM!$D$51/12)*RATES!$N193/100</f>
        <v>13.491176775202618</v>
      </c>
      <c r="BV217" s="16">
        <f t="shared" si="129"/>
        <v>541.90014375385852</v>
      </c>
      <c r="BW217" s="15">
        <f t="shared" si="104"/>
        <v>22.170849845882874</v>
      </c>
      <c r="BX217" s="75">
        <f>BW217*(1-PARAM!$C$27)*$I$21+(MOD($B217,60)=PARAM!$B$56)*($B217&gt;(60-PARAM!$B$56))*HLOOKUP(($B217+PARAM!$B$56)/12,Loyalty,2)*$F$1*MAX(BZ216,0)</f>
        <v>18.557001321003963</v>
      </c>
      <c r="BY217" s="75">
        <f>PARAM!$C$26+MAX($G$21-CHOOSE(PARAM!$B$44,MAX(0,BZ216*$F$1),0),0)*RATES!$L193/12+$H$21*(PARAM!$D$51/12)*RATES!$N193/100</f>
        <v>13.491176775202618</v>
      </c>
      <c r="BZ217" s="16">
        <f t="shared" si="130"/>
        <v>541.90014375385852</v>
      </c>
      <c r="CA217" s="15">
        <f t="shared" si="105"/>
        <v>22.170849845882874</v>
      </c>
      <c r="CB217" s="75">
        <f>CA217*(1-PARAM!$C$27)*$I$22+(MOD($B217,60)=PARAM!$B$56)*($B217&gt;(60-PARAM!$B$56))*HLOOKUP(($B217+PARAM!$B$56)/12,Loyalty,2)*$F$1*MAX(CD216,0)</f>
        <v>18.557001321003963</v>
      </c>
      <c r="CC217" s="75">
        <f>PARAM!$C$26+MAX($G$22-CHOOSE(PARAM!$B$44,MAX(0,CD216*$F$1),0),0)*RATES!$L193/12+$H$22*(PARAM!$D$51/12)*RATES!$N193/100</f>
        <v>13.491176775202618</v>
      </c>
      <c r="CD217" s="16">
        <f t="shared" si="131"/>
        <v>541.90014375385852</v>
      </c>
      <c r="CE217" s="33">
        <f>IF(0=MOD(B217,12/PARAM!$D$51),1,0)</f>
        <v>1</v>
      </c>
      <c r="CF217" s="15">
        <f t="shared" si="106"/>
        <v>0</v>
      </c>
      <c r="CG217" s="75">
        <f>CF217*(1-PARAM!$C$27)*$R$3+(MOD($B217/12,5)=0)*($B217&gt;60)*HLOOKUP($B217/12,Loyalty,2)*$F$1*MAX(CI216,0)</f>
        <v>0</v>
      </c>
      <c r="CH217" s="75">
        <f>PARAM!$C$26+MAX($P$3-CHOOSE(PARAM!$B$44,MAX(0,CI216*$F$1),0),0)*RATES!$L193/12+$Q$3*(PARAM!$D$51/12)*RATES!$N193/100</f>
        <v>13.583333333333334</v>
      </c>
      <c r="CI217" s="16">
        <f>IF(CI216&gt;0,CI216*PARAM!$C$53,CI216)+CG217-CH217</f>
        <v>-2806.4166666666624</v>
      </c>
      <c r="CJ217" s="15">
        <f t="shared" si="132"/>
        <v>0</v>
      </c>
      <c r="CK217" s="75">
        <f>CJ217*(1-PARAM!$C$27)*$R$4+(MOD($B217/12,5)=0)*($B217&gt;60)*HLOOKUP($B217/12,Loyalty,2)*$F$1*MAX(CM216,0)</f>
        <v>0</v>
      </c>
      <c r="CL217" s="75">
        <f>PARAM!$C$26+MAX($P$4-CHOOSE(PARAM!$B$44,MAX(0,CM216*$F$1),0),0)*RATES!$L193/12+$Q$4*(PARAM!$D$51/12)*RATES!$N193/100</f>
        <v>13.583333333333334</v>
      </c>
      <c r="CM217" s="16">
        <f>IF(CM216&gt;0,CM216*PARAM!$C$53,CM216)+CK217-CL217</f>
        <v>-2806.4166666666624</v>
      </c>
      <c r="CO217" s="176"/>
    </row>
    <row r="218" spans="1:93" x14ac:dyDescent="0.2">
      <c r="A218" t="b">
        <f t="shared" si="107"/>
        <v>1</v>
      </c>
      <c r="B218" s="33">
        <v>191</v>
      </c>
      <c r="C218" s="15">
        <f t="shared" si="108"/>
        <v>20.081305947392778</v>
      </c>
      <c r="D218" s="75">
        <f>C218*(1-PARAM!$C$27)*$I$3+(MOD($B218,60)=PARAM!$B$56)*($B218&gt;(60-PARAM!$B$56))*HLOOKUP(($B218+PARAM!$B$56)/12,Loyalty,2)*$F$1*MAX(F217,0)</f>
        <v>16.808053077967756</v>
      </c>
      <c r="E218" s="75">
        <f>PARAM!$C$26+MAX($G$3-CHOOSE(PARAM!$B$44,MAX(0,F217*$F$1),0),0)*RATES!$L194/12+$H$3*(PARAM!$D$51/12)*RATES!$N194/100</f>
        <v>13.546082911696088</v>
      </c>
      <c r="F218" s="16">
        <f t="shared" si="109"/>
        <v>220.25471756771145</v>
      </c>
      <c r="G218" s="15">
        <f t="shared" si="110"/>
        <v>22.035289406060361</v>
      </c>
      <c r="H218" s="75">
        <f>G218*(1-PARAM!$C$27)*$I$4+(MOD($B218,60)=PARAM!$B$56)*($B218&gt;(60-PARAM!$B$56))*HLOOKUP(($B218+PARAM!$B$56)/12,Loyalty,2)*$F$1*MAX(J217,0)</f>
        <v>18.443537232872522</v>
      </c>
      <c r="I218" s="75">
        <f>PARAM!$C$26+MAX($G$4-CHOOSE(PARAM!$B$44,MAX(0,J217*$F$1),0),0)*RATES!$L194/12+$H$4*(PARAM!$D$51/12)*RATES!$N194/100</f>
        <v>13.493928254889129</v>
      </c>
      <c r="J218" s="16">
        <f t="shared" si="111"/>
        <v>525.75589117724303</v>
      </c>
      <c r="K218" s="15">
        <f t="shared" si="112"/>
        <v>22.170849845882874</v>
      </c>
      <c r="L218" s="75">
        <f>K218*(1-PARAM!$C$27)*$I$5+(MOD($B218,60)=PARAM!$B$56)*($B218&gt;(60-PARAM!$B$56))*HLOOKUP(($B218+PARAM!$B$56)/12,Loyalty,2)*$F$1*MAX(N217,0)</f>
        <v>18.557001321003963</v>
      </c>
      <c r="M218" s="75">
        <f>PARAM!$C$26+MAX($G$5-CHOOSE(PARAM!$B$44,MAX(0,N217*$F$1),0),0)*RATES!$L194/12+$H$5*(PARAM!$D$51/12)*RATES!$N194/100</f>
        <v>13.490307141988922</v>
      </c>
      <c r="N218" s="16">
        <f t="shared" si="113"/>
        <v>546.96683793287366</v>
      </c>
      <c r="O218" s="15">
        <f t="shared" si="114"/>
        <v>22.170849845882874</v>
      </c>
      <c r="P218" s="75">
        <f>O218*(1-PARAM!$C$27)*$I$6+(MOD($B218,60)=PARAM!$B$56)*($B218&gt;(60-PARAM!$B$56))*HLOOKUP(($B218+PARAM!$B$56)/12,Loyalty,2)*$F$1*MAX(R217,0)</f>
        <v>18.557001321003963</v>
      </c>
      <c r="Q218" s="75">
        <f>PARAM!$C$26+MAX($G$6-CHOOSE(PARAM!$B$44,MAX(0,R217*$F$1),0),0)*RATES!$L194/12+$H$6*(PARAM!$D$51/12)*RATES!$N194/100</f>
        <v>13.490307141988922</v>
      </c>
      <c r="R218" s="16">
        <f t="shared" si="115"/>
        <v>546.96683793287366</v>
      </c>
      <c r="S218" s="15">
        <f t="shared" si="90"/>
        <v>22.170849845882874</v>
      </c>
      <c r="T218" s="75">
        <f>S218*(1-PARAM!$C$27)*$I$7+(MOD($B218,60)=PARAM!$B$56)*($B218&gt;(60-PARAM!$B$56))*HLOOKUP(($B218+PARAM!$B$56)/12,Loyalty,2)*$F$1*MAX(V217,0)</f>
        <v>18.557001321003963</v>
      </c>
      <c r="U218" s="75">
        <f>PARAM!$C$26+MAX($G$7-CHOOSE(PARAM!$B$44,MAX(0,V217*$F$1),0),0)*RATES!$L194/12+$H$7*(PARAM!$D$51/12)*RATES!$N194/100</f>
        <v>13.490307141988922</v>
      </c>
      <c r="V218" s="16">
        <f t="shared" si="116"/>
        <v>546.96683793287366</v>
      </c>
      <c r="W218" s="15">
        <f t="shared" si="91"/>
        <v>22.170849845882874</v>
      </c>
      <c r="X218" s="75">
        <f>W218*(1-PARAM!$C$27)*$I$8+(MOD($B218,60)=PARAM!$B$56)*($B218&gt;(60-PARAM!$B$56))*HLOOKUP(($B218+PARAM!$B$56)/12,Loyalty,2)*$F$1*MAX(Z217,0)</f>
        <v>18.557001321003963</v>
      </c>
      <c r="Y218" s="75">
        <f>PARAM!$C$26+MAX($G$8-CHOOSE(PARAM!$B$44,MAX(0,Z217*$F$1),0),0)*RATES!$L194/12+$H$8*(PARAM!$D$51/12)*RATES!$N194/100</f>
        <v>13.490307141988922</v>
      </c>
      <c r="Z218" s="16">
        <f t="shared" si="117"/>
        <v>546.96683793287366</v>
      </c>
      <c r="AA218" s="15">
        <f t="shared" si="92"/>
        <v>22.170849845882874</v>
      </c>
      <c r="AB218" s="75">
        <f>AA218*(1-PARAM!$C$27)*$I$9+(MOD($B218,60)=PARAM!$B$56)*($B218&gt;(60-PARAM!$B$56))*HLOOKUP(($B218+PARAM!$B$56)/12,Loyalty,2)*$F$1*MAX(AD217,0)</f>
        <v>18.557001321003963</v>
      </c>
      <c r="AC218" s="75">
        <f>PARAM!$C$26+MAX($G$9-CHOOSE(PARAM!$B$44,MAX(0,AD217*$F$1),0),0)*RATES!$L194/12+$H$9*(PARAM!$D$51/12)*RATES!$N194/100</f>
        <v>13.490307141988922</v>
      </c>
      <c r="AD218" s="16">
        <f t="shared" si="118"/>
        <v>546.96683793287366</v>
      </c>
      <c r="AE218" s="15">
        <f t="shared" si="93"/>
        <v>22.170849845882874</v>
      </c>
      <c r="AF218" s="75">
        <f>AE218*(1-PARAM!$C$27)*$I$10+(MOD($B218,60)=PARAM!$B$56)*($B218&gt;(60-PARAM!$B$56))*HLOOKUP(($B218+PARAM!$B$56)/12,Loyalty,2)*$F$1*MAX(AH217,0)</f>
        <v>18.557001321003963</v>
      </c>
      <c r="AG218" s="75">
        <f>PARAM!$C$26+MAX($G$10-CHOOSE(PARAM!$B$44,MAX(0,AH217*$F$1),0),0)*RATES!$L194/12+$H$10*(PARAM!$D$51/12)*RATES!$N194/100</f>
        <v>13.490307141988922</v>
      </c>
      <c r="AH218" s="16">
        <f t="shared" si="119"/>
        <v>546.96683793287366</v>
      </c>
      <c r="AI218" s="15">
        <f t="shared" si="94"/>
        <v>22.170849845882874</v>
      </c>
      <c r="AJ218" s="75">
        <f>AI218*(1-PARAM!$C$27)*$I$11+(MOD($B218,60)=PARAM!$B$56)*($B218&gt;(60-PARAM!$B$56))*HLOOKUP(($B218+PARAM!$B$56)/12,Loyalty,2)*$F$1*MAX(AL217,0)</f>
        <v>18.557001321003963</v>
      </c>
      <c r="AK218" s="75">
        <f>PARAM!$C$26+MAX($G$11-CHOOSE(PARAM!$B$44,MAX(0,AL217*$F$1),0),0)*RATES!$L194/12+$H$11*(PARAM!$D$51/12)*RATES!$N194/100</f>
        <v>13.490307141988922</v>
      </c>
      <c r="AL218" s="16">
        <f t="shared" si="120"/>
        <v>546.96683793287366</v>
      </c>
      <c r="AM218" s="15">
        <f t="shared" si="95"/>
        <v>22.170849845882874</v>
      </c>
      <c r="AN218" s="75">
        <f>AM218*(1-PARAM!$C$27)*$I$12+(MOD($B218,60)=PARAM!$B$56)*($B218&gt;(60-PARAM!$B$56))*HLOOKUP(($B218+PARAM!$B$56)/12,Loyalty,2)*$F$1*MAX(AP217,0)</f>
        <v>18.557001321003963</v>
      </c>
      <c r="AO218" s="75">
        <f>PARAM!$C$26+MAX($G$12-CHOOSE(PARAM!$B$44,MAX(0,AP217*$F$1),0),0)*RATES!$L194/12+$H$12*(PARAM!$D$51/12)*RATES!$N194/100</f>
        <v>13.490307141988922</v>
      </c>
      <c r="AP218" s="16">
        <f t="shared" si="121"/>
        <v>546.96683793287366</v>
      </c>
      <c r="AQ218" s="15">
        <f t="shared" si="96"/>
        <v>22.170849845882874</v>
      </c>
      <c r="AR218" s="75">
        <f>AQ218*(1-PARAM!$C$27)*$I$13+(MOD($B218,60)=PARAM!$B$56)*($B218&gt;(60-PARAM!$B$56))*HLOOKUP(($B218+PARAM!$B$56)/12,Loyalty,2)*$F$1*MAX(AT217,0)</f>
        <v>18.557001321003963</v>
      </c>
      <c r="AS218" s="75">
        <f>PARAM!$C$26+MAX($G$13-CHOOSE(PARAM!$B$44,MAX(0,AT217*$F$1),0),0)*RATES!$L194/12+$H$13*(PARAM!$D$51/12)*RATES!$N194/100</f>
        <v>13.490307141988922</v>
      </c>
      <c r="AT218" s="16">
        <f t="shared" si="122"/>
        <v>546.96683793287366</v>
      </c>
      <c r="AU218" s="15">
        <f t="shared" si="97"/>
        <v>22.170849845882874</v>
      </c>
      <c r="AV218" s="75">
        <f>AU218*(1-PARAM!$C$27)*$I$14+(MOD($B218,60)=PARAM!$B$56)*($B218&gt;(60-PARAM!$B$56))*HLOOKUP(($B218+PARAM!$B$56)/12,Loyalty,2)*$F$1*MAX(AX217,0)</f>
        <v>18.557001321003963</v>
      </c>
      <c r="AW218" s="75">
        <f>PARAM!$C$26+MAX($G$14-CHOOSE(PARAM!$B$44,MAX(0,AX217*$F$1),0),0)*RATES!$L194/12+$H$14*(PARAM!$D$51/12)*RATES!$N194/100</f>
        <v>13.490307141988922</v>
      </c>
      <c r="AX218" s="16">
        <f t="shared" si="123"/>
        <v>546.96683793287366</v>
      </c>
      <c r="AY218" s="15">
        <f t="shared" si="98"/>
        <v>22.170849845882874</v>
      </c>
      <c r="AZ218" s="75">
        <f>AY218*(1-PARAM!$C$27)*$I$15+(MOD($B218,60)=PARAM!$B$56)*($B218&gt;(60-PARAM!$B$56))*HLOOKUP(($B218+PARAM!$B$56)/12,Loyalty,2)*$F$1*MAX(BB217,0)</f>
        <v>18.557001321003963</v>
      </c>
      <c r="BA218" s="75">
        <f>PARAM!$C$26+MAX($G$15-CHOOSE(PARAM!$B$44,MAX(0,BB217*$F$1),0),0)*RATES!$L194/12+$H$15*(PARAM!$D$51/12)*RATES!$N194/100</f>
        <v>13.490307141988922</v>
      </c>
      <c r="BB218" s="16">
        <f t="shared" si="124"/>
        <v>546.96683793287366</v>
      </c>
      <c r="BC218" s="15">
        <f t="shared" si="99"/>
        <v>22.170849845882874</v>
      </c>
      <c r="BD218" s="75">
        <f>BC218*(1-PARAM!$C$27)*$I$16+(MOD($B218,60)=PARAM!$B$56)*($B218&gt;(60-PARAM!$B$56))*HLOOKUP(($B218+PARAM!$B$56)/12,Loyalty,2)*$F$1*MAX(BF217,0)</f>
        <v>18.557001321003963</v>
      </c>
      <c r="BE218" s="75">
        <f>PARAM!$C$26+MAX($G$16-CHOOSE(PARAM!$B$44,MAX(0,BF217*$F$1),0),0)*RATES!$L194/12+$H$16*(PARAM!$D$51/12)*RATES!$N194/100</f>
        <v>13.490307141988922</v>
      </c>
      <c r="BF218" s="16">
        <f t="shared" si="125"/>
        <v>546.96683793287366</v>
      </c>
      <c r="BG218" s="15">
        <f t="shared" si="100"/>
        <v>22.170849845882874</v>
      </c>
      <c r="BH218" s="75">
        <f>BG218*(1-PARAM!$C$27)*$I$17+(MOD($B218,60)=PARAM!$B$56)*($B218&gt;(60-PARAM!$B$56))*HLOOKUP(($B218+PARAM!$B$56)/12,Loyalty,2)*$F$1*MAX(BJ217,0)</f>
        <v>18.557001321003963</v>
      </c>
      <c r="BI218" s="75">
        <f>PARAM!$C$26+MAX($G$17-CHOOSE(PARAM!$B$44,MAX(0,BJ217*$F$1),0),0)*RATES!$L194/12+$H$17*(PARAM!$D$51/12)*RATES!$N194/100</f>
        <v>13.490307141988922</v>
      </c>
      <c r="BJ218" s="16">
        <f t="shared" si="126"/>
        <v>546.96683793287366</v>
      </c>
      <c r="BK218" s="15">
        <f t="shared" si="101"/>
        <v>22.170849845882874</v>
      </c>
      <c r="BL218" s="75">
        <f>BK218*(1-PARAM!$C$27)*$I$18+(MOD($B218,60)=PARAM!$B$56)*($B218&gt;(60-PARAM!$B$56))*HLOOKUP(($B218+PARAM!$B$56)/12,Loyalty,2)*$F$1*MAX(BN217,0)</f>
        <v>18.557001321003963</v>
      </c>
      <c r="BM218" s="75">
        <f>PARAM!$C$26+MAX($G$18-CHOOSE(PARAM!$B$44,MAX(0,BN217*$F$1),0),0)*RATES!$L194/12+$H$18*(PARAM!$D$51/12)*RATES!$N194/100</f>
        <v>13.490307141988922</v>
      </c>
      <c r="BN218" s="16">
        <f t="shared" si="127"/>
        <v>546.96683793287366</v>
      </c>
      <c r="BO218" s="15">
        <f t="shared" si="102"/>
        <v>22.170849845882874</v>
      </c>
      <c r="BP218" s="75">
        <f>BO218*(1-PARAM!$C$27)*$I$19+(MOD($B218,60)=PARAM!$B$56)*($B218&gt;(60-PARAM!$B$56))*HLOOKUP(($B218+PARAM!$B$56)/12,Loyalty,2)*$F$1*MAX(BR217,0)</f>
        <v>18.557001321003963</v>
      </c>
      <c r="BQ218" s="75">
        <f>PARAM!$C$26+MAX($G$19-CHOOSE(PARAM!$B$44,MAX(0,BR217*$F$1),0),0)*RATES!$L194/12+$H$19*(PARAM!$D$51/12)*RATES!$N194/100</f>
        <v>13.490307141988922</v>
      </c>
      <c r="BR218" s="16">
        <f t="shared" si="128"/>
        <v>546.96683793287366</v>
      </c>
      <c r="BS218" s="15">
        <f t="shared" si="103"/>
        <v>22.170849845882874</v>
      </c>
      <c r="BT218" s="75">
        <f>BS218*(1-PARAM!$C$27)*$I$20+(MOD($B218,60)=PARAM!$B$56)*($B218&gt;(60-PARAM!$B$56))*HLOOKUP(($B218+PARAM!$B$56)/12,Loyalty,2)*$F$1*MAX(BV217,0)</f>
        <v>18.557001321003963</v>
      </c>
      <c r="BU218" s="75">
        <f>PARAM!$C$26+MAX($G$20-CHOOSE(PARAM!$B$44,MAX(0,BV217*$F$1),0),0)*RATES!$L194/12+$H$20*(PARAM!$D$51/12)*RATES!$N194/100</f>
        <v>13.490307141988922</v>
      </c>
      <c r="BV218" s="16">
        <f t="shared" si="129"/>
        <v>546.96683793287366</v>
      </c>
      <c r="BW218" s="15">
        <f t="shared" si="104"/>
        <v>22.170849845882874</v>
      </c>
      <c r="BX218" s="75">
        <f>BW218*(1-PARAM!$C$27)*$I$21+(MOD($B218,60)=PARAM!$B$56)*($B218&gt;(60-PARAM!$B$56))*HLOOKUP(($B218+PARAM!$B$56)/12,Loyalty,2)*$F$1*MAX(BZ217,0)</f>
        <v>18.557001321003963</v>
      </c>
      <c r="BY218" s="75">
        <f>PARAM!$C$26+MAX($G$21-CHOOSE(PARAM!$B$44,MAX(0,BZ217*$F$1),0),0)*RATES!$L194/12+$H$21*(PARAM!$D$51/12)*RATES!$N194/100</f>
        <v>13.490307141988922</v>
      </c>
      <c r="BZ218" s="16">
        <f t="shared" si="130"/>
        <v>546.96683793287366</v>
      </c>
      <c r="CA218" s="15">
        <f t="shared" si="105"/>
        <v>22.170849845882874</v>
      </c>
      <c r="CB218" s="75">
        <f>CA218*(1-PARAM!$C$27)*$I$22+(MOD($B218,60)=PARAM!$B$56)*($B218&gt;(60-PARAM!$B$56))*HLOOKUP(($B218+PARAM!$B$56)/12,Loyalty,2)*$F$1*MAX(CD217,0)</f>
        <v>18.557001321003963</v>
      </c>
      <c r="CC218" s="75">
        <f>PARAM!$C$26+MAX($G$22-CHOOSE(PARAM!$B$44,MAX(0,CD217*$F$1),0),0)*RATES!$L194/12+$H$22*(PARAM!$D$51/12)*RATES!$N194/100</f>
        <v>13.490307141988922</v>
      </c>
      <c r="CD218" s="16">
        <f t="shared" si="131"/>
        <v>546.96683793287366</v>
      </c>
      <c r="CE218" s="33">
        <f>IF(0=MOD(B218,12/PARAM!$D$51),1,0)</f>
        <v>1</v>
      </c>
      <c r="CF218" s="15">
        <f t="shared" si="106"/>
        <v>0</v>
      </c>
      <c r="CG218" s="75">
        <f>CF218*(1-PARAM!$C$27)*$R$3+(MOD($B218/12,5)=0)*($B218&gt;60)*HLOOKUP($B218/12,Loyalty,2)*$F$1*MAX(CI217,0)</f>
        <v>0</v>
      </c>
      <c r="CH218" s="75">
        <f>PARAM!$C$26+MAX($P$3-CHOOSE(PARAM!$B$44,MAX(0,CI217*$F$1),0),0)*RATES!$L194/12+$Q$3*(PARAM!$D$51/12)*RATES!$N194/100</f>
        <v>13.583333333333334</v>
      </c>
      <c r="CI218" s="16">
        <f>IF(CI217&gt;0,CI217*PARAM!$C$53,CI217)+CG218-CH218</f>
        <v>-2819.9999999999959</v>
      </c>
      <c r="CJ218" s="15">
        <f t="shared" si="132"/>
        <v>0</v>
      </c>
      <c r="CK218" s="75">
        <f>CJ218*(1-PARAM!$C$27)*$R$4+(MOD($B218/12,5)=0)*($B218&gt;60)*HLOOKUP($B218/12,Loyalty,2)*$F$1*MAX(CM217,0)</f>
        <v>0</v>
      </c>
      <c r="CL218" s="75">
        <f>PARAM!$C$26+MAX($P$4-CHOOSE(PARAM!$B$44,MAX(0,CM217*$F$1),0),0)*RATES!$L194/12+$Q$4*(PARAM!$D$51/12)*RATES!$N194/100</f>
        <v>13.583333333333334</v>
      </c>
      <c r="CM218" s="16">
        <f>IF(CM217&gt;0,CM217*PARAM!$C$53,CM217)+CK218-CL218</f>
        <v>-2819.9999999999959</v>
      </c>
      <c r="CO218" s="176"/>
    </row>
    <row r="219" spans="1:93" x14ac:dyDescent="0.2">
      <c r="A219" t="b">
        <f t="shared" si="107"/>
        <v>1</v>
      </c>
      <c r="B219" s="33">
        <v>192</v>
      </c>
      <c r="C219" s="15">
        <f t="shared" si="108"/>
        <v>20.081305947392778</v>
      </c>
      <c r="D219" s="75">
        <f>C219*(1-PARAM!$C$27)*$I$3+(MOD($B219,60)=PARAM!$B$56)*($B219&gt;(60-PARAM!$B$56))*HLOOKUP(($B219+PARAM!$B$56)/12,Loyalty,2)*$F$1*MAX(F218,0)</f>
        <v>16.808053077967756</v>
      </c>
      <c r="E219" s="75">
        <f>PARAM!$C$26+MAX($G$3-CHOOSE(PARAM!$B$44,MAX(0,F218*$F$1),0),0)*RATES!$L195/12+$H$3*(PARAM!$D$51/12)*RATES!$N195/100</f>
        <v>13.545522940150876</v>
      </c>
      <c r="F219" s="16">
        <f t="shared" si="109"/>
        <v>223.51724770552835</v>
      </c>
      <c r="G219" s="15">
        <f t="shared" si="110"/>
        <v>22.035289406060361</v>
      </c>
      <c r="H219" s="75">
        <f>G219*(1-PARAM!$C$27)*$I$4+(MOD($B219,60)=PARAM!$B$56)*($B219&gt;(60-PARAM!$B$56))*HLOOKUP(($B219+PARAM!$B$56)/12,Loyalty,2)*$F$1*MAX(J218,0)</f>
        <v>18.443537232872522</v>
      </c>
      <c r="I219" s="75">
        <f>PARAM!$C$26+MAX($G$4-CHOOSE(PARAM!$B$44,MAX(0,J218*$F$1),0),0)*RATES!$L195/12+$H$4*(PARAM!$D$51/12)*RATES!$N195/100</f>
        <v>13.493078572014573</v>
      </c>
      <c r="J219" s="16">
        <f t="shared" si="111"/>
        <v>530.70634983810089</v>
      </c>
      <c r="K219" s="15">
        <f t="shared" si="112"/>
        <v>22.170849845882874</v>
      </c>
      <c r="L219" s="75">
        <f>K219*(1-PARAM!$C$27)*$I$5+(MOD($B219,60)=PARAM!$B$56)*($B219&gt;(60-PARAM!$B$56))*HLOOKUP(($B219+PARAM!$B$56)/12,Loyalty,2)*$F$1*MAX(N218,0)</f>
        <v>18.557001321003963</v>
      </c>
      <c r="M219" s="75">
        <f>PARAM!$C$26+MAX($G$5-CHOOSE(PARAM!$B$44,MAX(0,N218*$F$1),0),0)*RATES!$L195/12+$H$5*(PARAM!$D$51/12)*RATES!$N195/100</f>
        <v>13.489437359488191</v>
      </c>
      <c r="N219" s="16">
        <f t="shared" si="113"/>
        <v>552.03440189438948</v>
      </c>
      <c r="O219" s="15">
        <f t="shared" si="114"/>
        <v>22.170849845882874</v>
      </c>
      <c r="P219" s="75">
        <f>O219*(1-PARAM!$C$27)*$I$6+(MOD($B219,60)=PARAM!$B$56)*($B219&gt;(60-PARAM!$B$56))*HLOOKUP(($B219+PARAM!$B$56)/12,Loyalty,2)*$F$1*MAX(R218,0)</f>
        <v>18.557001321003963</v>
      </c>
      <c r="Q219" s="75">
        <f>PARAM!$C$26+MAX($G$6-CHOOSE(PARAM!$B$44,MAX(0,R218*$F$1),0),0)*RATES!$L195/12+$H$6*(PARAM!$D$51/12)*RATES!$N195/100</f>
        <v>13.489437359488191</v>
      </c>
      <c r="R219" s="16">
        <f t="shared" si="115"/>
        <v>552.03440189438948</v>
      </c>
      <c r="S219" s="15">
        <f t="shared" ref="S219:S282" si="133">$H$7*$CE219</f>
        <v>22.170849845882874</v>
      </c>
      <c r="T219" s="75">
        <f>S219*(1-PARAM!$C$27)*$I$7+(MOD($B219,60)=PARAM!$B$56)*($B219&gt;(60-PARAM!$B$56))*HLOOKUP(($B219+PARAM!$B$56)/12,Loyalty,2)*$F$1*MAX(V218,0)</f>
        <v>18.557001321003963</v>
      </c>
      <c r="U219" s="75">
        <f>PARAM!$C$26+MAX($G$7-CHOOSE(PARAM!$B$44,MAX(0,V218*$F$1),0),0)*RATES!$L195/12+$H$7*(PARAM!$D$51/12)*RATES!$N195/100</f>
        <v>13.489437359488191</v>
      </c>
      <c r="V219" s="16">
        <f t="shared" si="116"/>
        <v>552.03440189438948</v>
      </c>
      <c r="W219" s="15">
        <f t="shared" ref="W219:W282" si="134">$H$8*$CE219</f>
        <v>22.170849845882874</v>
      </c>
      <c r="X219" s="75">
        <f>W219*(1-PARAM!$C$27)*$I$8+(MOD($B219,60)=PARAM!$B$56)*($B219&gt;(60-PARAM!$B$56))*HLOOKUP(($B219+PARAM!$B$56)/12,Loyalty,2)*$F$1*MAX(Z218,0)</f>
        <v>18.557001321003963</v>
      </c>
      <c r="Y219" s="75">
        <f>PARAM!$C$26+MAX($G$8-CHOOSE(PARAM!$B$44,MAX(0,Z218*$F$1),0),0)*RATES!$L195/12+$H$8*(PARAM!$D$51/12)*RATES!$N195/100</f>
        <v>13.489437359488191</v>
      </c>
      <c r="Z219" s="16">
        <f t="shared" si="117"/>
        <v>552.03440189438948</v>
      </c>
      <c r="AA219" s="15">
        <f t="shared" ref="AA219:AA282" si="135">$H$9*$CE219</f>
        <v>22.170849845882874</v>
      </c>
      <c r="AB219" s="75">
        <f>AA219*(1-PARAM!$C$27)*$I$9+(MOD($B219,60)=PARAM!$B$56)*($B219&gt;(60-PARAM!$B$56))*HLOOKUP(($B219+PARAM!$B$56)/12,Loyalty,2)*$F$1*MAX(AD218,0)</f>
        <v>18.557001321003963</v>
      </c>
      <c r="AC219" s="75">
        <f>PARAM!$C$26+MAX($G$9-CHOOSE(PARAM!$B$44,MAX(0,AD218*$F$1),0),0)*RATES!$L195/12+$H$9*(PARAM!$D$51/12)*RATES!$N195/100</f>
        <v>13.489437359488191</v>
      </c>
      <c r="AD219" s="16">
        <f t="shared" si="118"/>
        <v>552.03440189438948</v>
      </c>
      <c r="AE219" s="15">
        <f t="shared" ref="AE219:AE282" si="136">$H$10*$CE219</f>
        <v>22.170849845882874</v>
      </c>
      <c r="AF219" s="75">
        <f>AE219*(1-PARAM!$C$27)*$I$10+(MOD($B219,60)=PARAM!$B$56)*($B219&gt;(60-PARAM!$B$56))*HLOOKUP(($B219+PARAM!$B$56)/12,Loyalty,2)*$F$1*MAX(AH218,0)</f>
        <v>18.557001321003963</v>
      </c>
      <c r="AG219" s="75">
        <f>PARAM!$C$26+MAX($G$10-CHOOSE(PARAM!$B$44,MAX(0,AH218*$F$1),0),0)*RATES!$L195/12+$H$10*(PARAM!$D$51/12)*RATES!$N195/100</f>
        <v>13.489437359488191</v>
      </c>
      <c r="AH219" s="16">
        <f t="shared" si="119"/>
        <v>552.03440189438948</v>
      </c>
      <c r="AI219" s="15">
        <f t="shared" ref="AI219:AI282" si="137">$H$11*$CE219</f>
        <v>22.170849845882874</v>
      </c>
      <c r="AJ219" s="75">
        <f>AI219*(1-PARAM!$C$27)*$I$11+(MOD($B219,60)=PARAM!$B$56)*($B219&gt;(60-PARAM!$B$56))*HLOOKUP(($B219+PARAM!$B$56)/12,Loyalty,2)*$F$1*MAX(AL218,0)</f>
        <v>18.557001321003963</v>
      </c>
      <c r="AK219" s="75">
        <f>PARAM!$C$26+MAX($G$11-CHOOSE(PARAM!$B$44,MAX(0,AL218*$F$1),0),0)*RATES!$L195/12+$H$11*(PARAM!$D$51/12)*RATES!$N195/100</f>
        <v>13.489437359488191</v>
      </c>
      <c r="AL219" s="16">
        <f t="shared" si="120"/>
        <v>552.03440189438948</v>
      </c>
      <c r="AM219" s="15">
        <f t="shared" ref="AM219:AM282" si="138">$H$12*$CE219</f>
        <v>22.170849845882874</v>
      </c>
      <c r="AN219" s="75">
        <f>AM219*(1-PARAM!$C$27)*$I$12+(MOD($B219,60)=PARAM!$B$56)*($B219&gt;(60-PARAM!$B$56))*HLOOKUP(($B219+PARAM!$B$56)/12,Loyalty,2)*$F$1*MAX(AP218,0)</f>
        <v>18.557001321003963</v>
      </c>
      <c r="AO219" s="75">
        <f>PARAM!$C$26+MAX($G$12-CHOOSE(PARAM!$B$44,MAX(0,AP218*$F$1),0),0)*RATES!$L195/12+$H$12*(PARAM!$D$51/12)*RATES!$N195/100</f>
        <v>13.489437359488191</v>
      </c>
      <c r="AP219" s="16">
        <f t="shared" si="121"/>
        <v>552.03440189438948</v>
      </c>
      <c r="AQ219" s="15">
        <f t="shared" ref="AQ219:AQ282" si="139">$H$13*$CE219</f>
        <v>22.170849845882874</v>
      </c>
      <c r="AR219" s="75">
        <f>AQ219*(1-PARAM!$C$27)*$I$13+(MOD($B219,60)=PARAM!$B$56)*($B219&gt;(60-PARAM!$B$56))*HLOOKUP(($B219+PARAM!$B$56)/12,Loyalty,2)*$F$1*MAX(AT218,0)</f>
        <v>18.557001321003963</v>
      </c>
      <c r="AS219" s="75">
        <f>PARAM!$C$26+MAX($G$13-CHOOSE(PARAM!$B$44,MAX(0,AT218*$F$1),0),0)*RATES!$L195/12+$H$13*(PARAM!$D$51/12)*RATES!$N195/100</f>
        <v>13.489437359488191</v>
      </c>
      <c r="AT219" s="16">
        <f t="shared" si="122"/>
        <v>552.03440189438948</v>
      </c>
      <c r="AU219" s="15">
        <f t="shared" ref="AU219:AU282" si="140">$H$14*$CE219</f>
        <v>22.170849845882874</v>
      </c>
      <c r="AV219" s="75">
        <f>AU219*(1-PARAM!$C$27)*$I$14+(MOD($B219,60)=PARAM!$B$56)*($B219&gt;(60-PARAM!$B$56))*HLOOKUP(($B219+PARAM!$B$56)/12,Loyalty,2)*$F$1*MAX(AX218,0)</f>
        <v>18.557001321003963</v>
      </c>
      <c r="AW219" s="75">
        <f>PARAM!$C$26+MAX($G$14-CHOOSE(PARAM!$B$44,MAX(0,AX218*$F$1),0),0)*RATES!$L195/12+$H$14*(PARAM!$D$51/12)*RATES!$N195/100</f>
        <v>13.489437359488191</v>
      </c>
      <c r="AX219" s="16">
        <f t="shared" si="123"/>
        <v>552.03440189438948</v>
      </c>
      <c r="AY219" s="15">
        <f t="shared" ref="AY219:AY282" si="141">$H$15*$CE219</f>
        <v>22.170849845882874</v>
      </c>
      <c r="AZ219" s="75">
        <f>AY219*(1-PARAM!$C$27)*$I$15+(MOD($B219,60)=PARAM!$B$56)*($B219&gt;(60-PARAM!$B$56))*HLOOKUP(($B219+PARAM!$B$56)/12,Loyalty,2)*$F$1*MAX(BB218,0)</f>
        <v>18.557001321003963</v>
      </c>
      <c r="BA219" s="75">
        <f>PARAM!$C$26+MAX($G$15-CHOOSE(PARAM!$B$44,MAX(0,BB218*$F$1),0),0)*RATES!$L195/12+$H$15*(PARAM!$D$51/12)*RATES!$N195/100</f>
        <v>13.489437359488191</v>
      </c>
      <c r="BB219" s="16">
        <f t="shared" si="124"/>
        <v>552.03440189438948</v>
      </c>
      <c r="BC219" s="15">
        <f t="shared" ref="BC219:BC282" si="142">$H$16*$CE219</f>
        <v>22.170849845882874</v>
      </c>
      <c r="BD219" s="75">
        <f>BC219*(1-PARAM!$C$27)*$I$16+(MOD($B219,60)=PARAM!$B$56)*($B219&gt;(60-PARAM!$B$56))*HLOOKUP(($B219+PARAM!$B$56)/12,Loyalty,2)*$F$1*MAX(BF218,0)</f>
        <v>18.557001321003963</v>
      </c>
      <c r="BE219" s="75">
        <f>PARAM!$C$26+MAX($G$16-CHOOSE(PARAM!$B$44,MAX(0,BF218*$F$1),0),0)*RATES!$L195/12+$H$16*(PARAM!$D$51/12)*RATES!$N195/100</f>
        <v>13.489437359488191</v>
      </c>
      <c r="BF219" s="16">
        <f t="shared" si="125"/>
        <v>552.03440189438948</v>
      </c>
      <c r="BG219" s="15">
        <f t="shared" ref="BG219:BG282" si="143">$H$17*$CE219</f>
        <v>22.170849845882874</v>
      </c>
      <c r="BH219" s="75">
        <f>BG219*(1-PARAM!$C$27)*$I$17+(MOD($B219,60)=PARAM!$B$56)*($B219&gt;(60-PARAM!$B$56))*HLOOKUP(($B219+PARAM!$B$56)/12,Loyalty,2)*$F$1*MAX(BJ218,0)</f>
        <v>18.557001321003963</v>
      </c>
      <c r="BI219" s="75">
        <f>PARAM!$C$26+MAX($G$17-CHOOSE(PARAM!$B$44,MAX(0,BJ218*$F$1),0),0)*RATES!$L195/12+$H$17*(PARAM!$D$51/12)*RATES!$N195/100</f>
        <v>13.489437359488191</v>
      </c>
      <c r="BJ219" s="16">
        <f t="shared" si="126"/>
        <v>552.03440189438948</v>
      </c>
      <c r="BK219" s="15">
        <f t="shared" ref="BK219:BK282" si="144">$H$18*$CE219</f>
        <v>22.170849845882874</v>
      </c>
      <c r="BL219" s="75">
        <f>BK219*(1-PARAM!$C$27)*$I$18+(MOD($B219,60)=PARAM!$B$56)*($B219&gt;(60-PARAM!$B$56))*HLOOKUP(($B219+PARAM!$B$56)/12,Loyalty,2)*$F$1*MAX(BN218,0)</f>
        <v>18.557001321003963</v>
      </c>
      <c r="BM219" s="75">
        <f>PARAM!$C$26+MAX($G$18-CHOOSE(PARAM!$B$44,MAX(0,BN218*$F$1),0),0)*RATES!$L195/12+$H$18*(PARAM!$D$51/12)*RATES!$N195/100</f>
        <v>13.489437359488191</v>
      </c>
      <c r="BN219" s="16">
        <f t="shared" si="127"/>
        <v>552.03440189438948</v>
      </c>
      <c r="BO219" s="15">
        <f t="shared" ref="BO219:BO282" si="145">$H$19*$CE219</f>
        <v>22.170849845882874</v>
      </c>
      <c r="BP219" s="75">
        <f>BO219*(1-PARAM!$C$27)*$I$19+(MOD($B219,60)=PARAM!$B$56)*($B219&gt;(60-PARAM!$B$56))*HLOOKUP(($B219+PARAM!$B$56)/12,Loyalty,2)*$F$1*MAX(BR218,0)</f>
        <v>18.557001321003963</v>
      </c>
      <c r="BQ219" s="75">
        <f>PARAM!$C$26+MAX($G$19-CHOOSE(PARAM!$B$44,MAX(0,BR218*$F$1),0),0)*RATES!$L195/12+$H$19*(PARAM!$D$51/12)*RATES!$N195/100</f>
        <v>13.489437359488191</v>
      </c>
      <c r="BR219" s="16">
        <f t="shared" si="128"/>
        <v>552.03440189438948</v>
      </c>
      <c r="BS219" s="15">
        <f t="shared" ref="BS219:BS282" si="146">$H$20*$CE219</f>
        <v>22.170849845882874</v>
      </c>
      <c r="BT219" s="75">
        <f>BS219*(1-PARAM!$C$27)*$I$20+(MOD($B219,60)=PARAM!$B$56)*($B219&gt;(60-PARAM!$B$56))*HLOOKUP(($B219+PARAM!$B$56)/12,Loyalty,2)*$F$1*MAX(BV218,0)</f>
        <v>18.557001321003963</v>
      </c>
      <c r="BU219" s="75">
        <f>PARAM!$C$26+MAX($G$20-CHOOSE(PARAM!$B$44,MAX(0,BV218*$F$1),0),0)*RATES!$L195/12+$H$20*(PARAM!$D$51/12)*RATES!$N195/100</f>
        <v>13.489437359488191</v>
      </c>
      <c r="BV219" s="16">
        <f t="shared" si="129"/>
        <v>552.03440189438948</v>
      </c>
      <c r="BW219" s="15">
        <f t="shared" ref="BW219:BW282" si="147">$H$21*$CE219</f>
        <v>22.170849845882874</v>
      </c>
      <c r="BX219" s="75">
        <f>BW219*(1-PARAM!$C$27)*$I$21+(MOD($B219,60)=PARAM!$B$56)*($B219&gt;(60-PARAM!$B$56))*HLOOKUP(($B219+PARAM!$B$56)/12,Loyalty,2)*$F$1*MAX(BZ218,0)</f>
        <v>18.557001321003963</v>
      </c>
      <c r="BY219" s="75">
        <f>PARAM!$C$26+MAX($G$21-CHOOSE(PARAM!$B$44,MAX(0,BZ218*$F$1),0),0)*RATES!$L195/12+$H$21*(PARAM!$D$51/12)*RATES!$N195/100</f>
        <v>13.489437359488191</v>
      </c>
      <c r="BZ219" s="16">
        <f t="shared" si="130"/>
        <v>552.03440189438948</v>
      </c>
      <c r="CA219" s="15">
        <f t="shared" ref="CA219:CA282" si="148">$H$22*$CE219</f>
        <v>22.170849845882874</v>
      </c>
      <c r="CB219" s="75">
        <f>CA219*(1-PARAM!$C$27)*$I$22+(MOD($B219,60)=PARAM!$B$56)*($B219&gt;(60-PARAM!$B$56))*HLOOKUP(($B219+PARAM!$B$56)/12,Loyalty,2)*$F$1*MAX(CD218,0)</f>
        <v>18.557001321003963</v>
      </c>
      <c r="CC219" s="75">
        <f>PARAM!$C$26+MAX($G$22-CHOOSE(PARAM!$B$44,MAX(0,CD218*$F$1),0),0)*RATES!$L195/12+$H$22*(PARAM!$D$51/12)*RATES!$N195/100</f>
        <v>13.489437359488191</v>
      </c>
      <c r="CD219" s="16">
        <f t="shared" si="131"/>
        <v>552.03440189438948</v>
      </c>
      <c r="CE219" s="33">
        <f>IF(0=MOD(B219,12/PARAM!$D$51),1,0)</f>
        <v>1</v>
      </c>
      <c r="CF219" s="15">
        <f t="shared" ref="CF219:CF282" si="149">$Q$3*CE219</f>
        <v>0</v>
      </c>
      <c r="CG219" s="75">
        <f>CF219*(1-PARAM!$C$27)*$R$3+(MOD($B219/12,5)=0)*($B219&gt;60)*HLOOKUP($B219/12,Loyalty,2)*$F$1*MAX(CI218,0)</f>
        <v>0</v>
      </c>
      <c r="CH219" s="75">
        <f>PARAM!$C$26+MAX($P$3-CHOOSE(PARAM!$B$44,MAX(0,CI218*$F$1),0),0)*RATES!$L195/12+$Q$3*(PARAM!$D$51/12)*RATES!$N195/100</f>
        <v>13.583333333333334</v>
      </c>
      <c r="CI219" s="16">
        <f>IF(CI218&gt;0,CI218*PARAM!$C$53,CI218)+CG219-CH219</f>
        <v>-2833.5833333333294</v>
      </c>
      <c r="CJ219" s="15">
        <f t="shared" si="132"/>
        <v>0</v>
      </c>
      <c r="CK219" s="75">
        <f>CJ219*(1-PARAM!$C$27)*$R$4+(MOD($B219/12,5)=0)*($B219&gt;60)*HLOOKUP($B219/12,Loyalty,2)*$F$1*MAX(CM218,0)</f>
        <v>0</v>
      </c>
      <c r="CL219" s="75">
        <f>PARAM!$C$26+MAX($P$4-CHOOSE(PARAM!$B$44,MAX(0,CM218*$F$1),0),0)*RATES!$L195/12+$Q$4*(PARAM!$D$51/12)*RATES!$N195/100</f>
        <v>13.583333333333334</v>
      </c>
      <c r="CM219" s="16">
        <f>IF(CM218&gt;0,CM218*PARAM!$C$53,CM218)+CK219-CL219</f>
        <v>-2833.5833333333294</v>
      </c>
      <c r="CO219" s="176"/>
    </row>
    <row r="220" spans="1:93" x14ac:dyDescent="0.2">
      <c r="A220" t="b">
        <f t="shared" ref="A220:A283" si="150">F220&gt;0</f>
        <v>1</v>
      </c>
      <c r="B220" s="33">
        <v>193</v>
      </c>
      <c r="C220" s="15">
        <f t="shared" ref="C220:C283" si="151">$H$3*$CE220</f>
        <v>20.081305947392778</v>
      </c>
      <c r="D220" s="75">
        <f>C220*(1-PARAM!$C$27)*$I$3+(MOD($B220,60)=PARAM!$B$56)*($B220&gt;(60-PARAM!$B$56))*HLOOKUP(($B220+PARAM!$B$56)/12,Loyalty,2)*$F$1*MAX(F219,0)</f>
        <v>16.808053077967756</v>
      </c>
      <c r="E220" s="75">
        <f>PARAM!$C$26+MAX($G$3-CHOOSE(PARAM!$B$44,MAX(0,F219*$F$1),0),0)*RATES!$L196/12+$H$3*(PARAM!$D$51/12)*RATES!$N196/100</f>
        <v>13.544962872477218</v>
      </c>
      <c r="F220" s="16">
        <f t="shared" ref="F220:F283" si="152">IF(F219&gt;0,F219*$F$1,F219)+D220-E220</f>
        <v>226.7803379110189</v>
      </c>
      <c r="G220" s="15">
        <f t="shared" ref="G220:G283" si="153">$H$4*$CE220</f>
        <v>22.035289406060361</v>
      </c>
      <c r="H220" s="75">
        <f>G220*(1-PARAM!$C$27)*$I$4+(MOD($B220,60)=PARAM!$B$56)*($B220&gt;(60-PARAM!$B$56))*HLOOKUP(($B220+PARAM!$B$56)/12,Loyalty,2)*$F$1*MAX(J219,0)</f>
        <v>18.443537232872522</v>
      </c>
      <c r="I220" s="75">
        <f>PARAM!$C$26+MAX($G$4-CHOOSE(PARAM!$B$44,MAX(0,J219*$F$1),0),0)*RATES!$L196/12+$H$4*(PARAM!$D$51/12)*RATES!$N196/100</f>
        <v>13.492228743277794</v>
      </c>
      <c r="J220" s="16">
        <f t="shared" ref="J220:J283" si="154">IF(J219&gt;0,J219*$F$1,J219)+H220-I220</f>
        <v>535.65765832769557</v>
      </c>
      <c r="K220" s="15">
        <f t="shared" ref="K220:K283" si="155">$H$5*$CE220</f>
        <v>22.170849845882874</v>
      </c>
      <c r="L220" s="75">
        <f>K220*(1-PARAM!$C$27)*$I$5+(MOD($B220,60)=PARAM!$B$56)*($B220&gt;(60-PARAM!$B$56))*HLOOKUP(($B220+PARAM!$B$56)/12,Loyalty,2)*$F$1*MAX(N219,0)</f>
        <v>18.557001321003963</v>
      </c>
      <c r="M220" s="75">
        <f>PARAM!$C$26+MAX($G$5-CHOOSE(PARAM!$B$44,MAX(0,N219*$F$1),0),0)*RATES!$L196/12+$H$5*(PARAM!$D$51/12)*RATES!$N196/100</f>
        <v>13.488567427674797</v>
      </c>
      <c r="N220" s="16">
        <f t="shared" ref="N220:N283" si="156">IF(N219&gt;0,N219*$F$1,N219)+L220-M220</f>
        <v>557.10283578771873</v>
      </c>
      <c r="O220" s="15">
        <f t="shared" ref="O220:O283" si="157">$H$6*$CE220</f>
        <v>22.170849845882874</v>
      </c>
      <c r="P220" s="75">
        <f>O220*(1-PARAM!$C$27)*$I$6+(MOD($B220,60)=PARAM!$B$56)*($B220&gt;(60-PARAM!$B$56))*HLOOKUP(($B220+PARAM!$B$56)/12,Loyalty,2)*$F$1*MAX(R219,0)</f>
        <v>18.557001321003963</v>
      </c>
      <c r="Q220" s="75">
        <f>PARAM!$C$26+MAX($G$6-CHOOSE(PARAM!$B$44,MAX(0,R219*$F$1),0),0)*RATES!$L196/12+$H$6*(PARAM!$D$51/12)*RATES!$N196/100</f>
        <v>13.488567427674797</v>
      </c>
      <c r="R220" s="16">
        <f t="shared" ref="R220:R283" si="158">IF(R219&gt;0,R219*$F$1,R219)+P220-Q220</f>
        <v>557.10283578771873</v>
      </c>
      <c r="S220" s="15">
        <f t="shared" si="133"/>
        <v>22.170849845882874</v>
      </c>
      <c r="T220" s="75">
        <f>S220*(1-PARAM!$C$27)*$I$7+(MOD($B220,60)=PARAM!$B$56)*($B220&gt;(60-PARAM!$B$56))*HLOOKUP(($B220+PARAM!$B$56)/12,Loyalty,2)*$F$1*MAX(V219,0)</f>
        <v>18.557001321003963</v>
      </c>
      <c r="U220" s="75">
        <f>PARAM!$C$26+MAX($G$7-CHOOSE(PARAM!$B$44,MAX(0,V219*$F$1),0),0)*RATES!$L196/12+$H$7*(PARAM!$D$51/12)*RATES!$N196/100</f>
        <v>13.488567427674797</v>
      </c>
      <c r="V220" s="16">
        <f t="shared" ref="V220:V283" si="159">IF(V219&gt;0,V219*$F$1,V219)+T220-U220</f>
        <v>557.10283578771873</v>
      </c>
      <c r="W220" s="15">
        <f t="shared" si="134"/>
        <v>22.170849845882874</v>
      </c>
      <c r="X220" s="75">
        <f>W220*(1-PARAM!$C$27)*$I$8+(MOD($B220,60)=PARAM!$B$56)*($B220&gt;(60-PARAM!$B$56))*HLOOKUP(($B220+PARAM!$B$56)/12,Loyalty,2)*$F$1*MAX(Z219,0)</f>
        <v>18.557001321003963</v>
      </c>
      <c r="Y220" s="75">
        <f>PARAM!$C$26+MAX($G$8-CHOOSE(PARAM!$B$44,MAX(0,Z219*$F$1),0),0)*RATES!$L196/12+$H$8*(PARAM!$D$51/12)*RATES!$N196/100</f>
        <v>13.488567427674797</v>
      </c>
      <c r="Z220" s="16">
        <f t="shared" ref="Z220:Z283" si="160">IF(Z219&gt;0,Z219*$F$1,Z219)+X220-Y220</f>
        <v>557.10283578771873</v>
      </c>
      <c r="AA220" s="15">
        <f t="shared" si="135"/>
        <v>22.170849845882874</v>
      </c>
      <c r="AB220" s="75">
        <f>AA220*(1-PARAM!$C$27)*$I$9+(MOD($B220,60)=PARAM!$B$56)*($B220&gt;(60-PARAM!$B$56))*HLOOKUP(($B220+PARAM!$B$56)/12,Loyalty,2)*$F$1*MAX(AD219,0)</f>
        <v>18.557001321003963</v>
      </c>
      <c r="AC220" s="75">
        <f>PARAM!$C$26+MAX($G$9-CHOOSE(PARAM!$B$44,MAX(0,AD219*$F$1),0),0)*RATES!$L196/12+$H$9*(PARAM!$D$51/12)*RATES!$N196/100</f>
        <v>13.488567427674797</v>
      </c>
      <c r="AD220" s="16">
        <f t="shared" ref="AD220:AD283" si="161">IF(AD219&gt;0,AD219*$F$1,AD219)+AB220-AC220</f>
        <v>557.10283578771873</v>
      </c>
      <c r="AE220" s="15">
        <f t="shared" si="136"/>
        <v>22.170849845882874</v>
      </c>
      <c r="AF220" s="75">
        <f>AE220*(1-PARAM!$C$27)*$I$10+(MOD($B220,60)=PARAM!$B$56)*($B220&gt;(60-PARAM!$B$56))*HLOOKUP(($B220+PARAM!$B$56)/12,Loyalty,2)*$F$1*MAX(AH219,0)</f>
        <v>18.557001321003963</v>
      </c>
      <c r="AG220" s="75">
        <f>PARAM!$C$26+MAX($G$10-CHOOSE(PARAM!$B$44,MAX(0,AH219*$F$1),0),0)*RATES!$L196/12+$H$10*(PARAM!$D$51/12)*RATES!$N196/100</f>
        <v>13.488567427674797</v>
      </c>
      <c r="AH220" s="16">
        <f t="shared" ref="AH220:AH283" si="162">IF(AH219&gt;0,AH219*$F$1,AH219)+AF220-AG220</f>
        <v>557.10283578771873</v>
      </c>
      <c r="AI220" s="15">
        <f t="shared" si="137"/>
        <v>22.170849845882874</v>
      </c>
      <c r="AJ220" s="75">
        <f>AI220*(1-PARAM!$C$27)*$I$11+(MOD($B220,60)=PARAM!$B$56)*($B220&gt;(60-PARAM!$B$56))*HLOOKUP(($B220+PARAM!$B$56)/12,Loyalty,2)*$F$1*MAX(AL219,0)</f>
        <v>18.557001321003963</v>
      </c>
      <c r="AK220" s="75">
        <f>PARAM!$C$26+MAX($G$11-CHOOSE(PARAM!$B$44,MAX(0,AL219*$F$1),0),0)*RATES!$L196/12+$H$11*(PARAM!$D$51/12)*RATES!$N196/100</f>
        <v>13.488567427674797</v>
      </c>
      <c r="AL220" s="16">
        <f t="shared" ref="AL220:AL283" si="163">IF(AL219&gt;0,AL219*$F$1,AL219)+AJ220-AK220</f>
        <v>557.10283578771873</v>
      </c>
      <c r="AM220" s="15">
        <f t="shared" si="138"/>
        <v>22.170849845882874</v>
      </c>
      <c r="AN220" s="75">
        <f>AM220*(1-PARAM!$C$27)*$I$12+(MOD($B220,60)=PARAM!$B$56)*($B220&gt;(60-PARAM!$B$56))*HLOOKUP(($B220+PARAM!$B$56)/12,Loyalty,2)*$F$1*MAX(AP219,0)</f>
        <v>18.557001321003963</v>
      </c>
      <c r="AO220" s="75">
        <f>PARAM!$C$26+MAX($G$12-CHOOSE(PARAM!$B$44,MAX(0,AP219*$F$1),0),0)*RATES!$L196/12+$H$12*(PARAM!$D$51/12)*RATES!$N196/100</f>
        <v>13.488567427674797</v>
      </c>
      <c r="AP220" s="16">
        <f t="shared" ref="AP220:AP283" si="164">IF(AP219&gt;0,AP219*$F$1,AP219)+AN220-AO220</f>
        <v>557.10283578771873</v>
      </c>
      <c r="AQ220" s="15">
        <f t="shared" si="139"/>
        <v>22.170849845882874</v>
      </c>
      <c r="AR220" s="75">
        <f>AQ220*(1-PARAM!$C$27)*$I$13+(MOD($B220,60)=PARAM!$B$56)*($B220&gt;(60-PARAM!$B$56))*HLOOKUP(($B220+PARAM!$B$56)/12,Loyalty,2)*$F$1*MAX(AT219,0)</f>
        <v>18.557001321003963</v>
      </c>
      <c r="AS220" s="75">
        <f>PARAM!$C$26+MAX($G$13-CHOOSE(PARAM!$B$44,MAX(0,AT219*$F$1),0),0)*RATES!$L196/12+$H$13*(PARAM!$D$51/12)*RATES!$N196/100</f>
        <v>13.488567427674797</v>
      </c>
      <c r="AT220" s="16">
        <f t="shared" ref="AT220:AT283" si="165">IF(AT219&gt;0,AT219*$F$1,AT219)+AR220-AS220</f>
        <v>557.10283578771873</v>
      </c>
      <c r="AU220" s="15">
        <f t="shared" si="140"/>
        <v>22.170849845882874</v>
      </c>
      <c r="AV220" s="75">
        <f>AU220*(1-PARAM!$C$27)*$I$14+(MOD($B220,60)=PARAM!$B$56)*($B220&gt;(60-PARAM!$B$56))*HLOOKUP(($B220+PARAM!$B$56)/12,Loyalty,2)*$F$1*MAX(AX219,0)</f>
        <v>18.557001321003963</v>
      </c>
      <c r="AW220" s="75">
        <f>PARAM!$C$26+MAX($G$14-CHOOSE(PARAM!$B$44,MAX(0,AX219*$F$1),0),0)*RATES!$L196/12+$H$14*(PARAM!$D$51/12)*RATES!$N196/100</f>
        <v>13.488567427674797</v>
      </c>
      <c r="AX220" s="16">
        <f t="shared" ref="AX220:AX283" si="166">IF(AX219&gt;0,AX219*$F$1,AX219)+AV220-AW220</f>
        <v>557.10283578771873</v>
      </c>
      <c r="AY220" s="15">
        <f t="shared" si="141"/>
        <v>22.170849845882874</v>
      </c>
      <c r="AZ220" s="75">
        <f>AY220*(1-PARAM!$C$27)*$I$15+(MOD($B220,60)=PARAM!$B$56)*($B220&gt;(60-PARAM!$B$56))*HLOOKUP(($B220+PARAM!$B$56)/12,Loyalty,2)*$F$1*MAX(BB219,0)</f>
        <v>18.557001321003963</v>
      </c>
      <c r="BA220" s="75">
        <f>PARAM!$C$26+MAX($G$15-CHOOSE(PARAM!$B$44,MAX(0,BB219*$F$1),0),0)*RATES!$L196/12+$H$15*(PARAM!$D$51/12)*RATES!$N196/100</f>
        <v>13.488567427674797</v>
      </c>
      <c r="BB220" s="16">
        <f t="shared" ref="BB220:BB283" si="167">IF(BB219&gt;0,BB219*$F$1,BB219)+AZ220-BA220</f>
        <v>557.10283578771873</v>
      </c>
      <c r="BC220" s="15">
        <f t="shared" si="142"/>
        <v>22.170849845882874</v>
      </c>
      <c r="BD220" s="75">
        <f>BC220*(1-PARAM!$C$27)*$I$16+(MOD($B220,60)=PARAM!$B$56)*($B220&gt;(60-PARAM!$B$56))*HLOOKUP(($B220+PARAM!$B$56)/12,Loyalty,2)*$F$1*MAX(BF219,0)</f>
        <v>18.557001321003963</v>
      </c>
      <c r="BE220" s="75">
        <f>PARAM!$C$26+MAX($G$16-CHOOSE(PARAM!$B$44,MAX(0,BF219*$F$1),0),0)*RATES!$L196/12+$H$16*(PARAM!$D$51/12)*RATES!$N196/100</f>
        <v>13.488567427674797</v>
      </c>
      <c r="BF220" s="16">
        <f t="shared" ref="BF220:BF283" si="168">IF(BF219&gt;0,BF219*$F$1,BF219)+BD220-BE220</f>
        <v>557.10283578771873</v>
      </c>
      <c r="BG220" s="15">
        <f t="shared" si="143"/>
        <v>22.170849845882874</v>
      </c>
      <c r="BH220" s="75">
        <f>BG220*(1-PARAM!$C$27)*$I$17+(MOD($B220,60)=PARAM!$B$56)*($B220&gt;(60-PARAM!$B$56))*HLOOKUP(($B220+PARAM!$B$56)/12,Loyalty,2)*$F$1*MAX(BJ219,0)</f>
        <v>18.557001321003963</v>
      </c>
      <c r="BI220" s="75">
        <f>PARAM!$C$26+MAX($G$17-CHOOSE(PARAM!$B$44,MAX(0,BJ219*$F$1),0),0)*RATES!$L196/12+$H$17*(PARAM!$D$51/12)*RATES!$N196/100</f>
        <v>13.488567427674797</v>
      </c>
      <c r="BJ220" s="16">
        <f t="shared" ref="BJ220:BJ283" si="169">IF(BJ219&gt;0,BJ219*$F$1,BJ219)+BH220-BI220</f>
        <v>557.10283578771873</v>
      </c>
      <c r="BK220" s="15">
        <f t="shared" si="144"/>
        <v>22.170849845882874</v>
      </c>
      <c r="BL220" s="75">
        <f>BK220*(1-PARAM!$C$27)*$I$18+(MOD($B220,60)=PARAM!$B$56)*($B220&gt;(60-PARAM!$B$56))*HLOOKUP(($B220+PARAM!$B$56)/12,Loyalty,2)*$F$1*MAX(BN219,0)</f>
        <v>18.557001321003963</v>
      </c>
      <c r="BM220" s="75">
        <f>PARAM!$C$26+MAX($G$18-CHOOSE(PARAM!$B$44,MAX(0,BN219*$F$1),0),0)*RATES!$L196/12+$H$18*(PARAM!$D$51/12)*RATES!$N196/100</f>
        <v>13.488567427674797</v>
      </c>
      <c r="BN220" s="16">
        <f t="shared" ref="BN220:BN283" si="170">IF(BN219&gt;0,BN219*$F$1,BN219)+BL220-BM220</f>
        <v>557.10283578771873</v>
      </c>
      <c r="BO220" s="15">
        <f t="shared" si="145"/>
        <v>22.170849845882874</v>
      </c>
      <c r="BP220" s="75">
        <f>BO220*(1-PARAM!$C$27)*$I$19+(MOD($B220,60)=PARAM!$B$56)*($B220&gt;(60-PARAM!$B$56))*HLOOKUP(($B220+PARAM!$B$56)/12,Loyalty,2)*$F$1*MAX(BR219,0)</f>
        <v>18.557001321003963</v>
      </c>
      <c r="BQ220" s="75">
        <f>PARAM!$C$26+MAX($G$19-CHOOSE(PARAM!$B$44,MAX(0,BR219*$F$1),0),0)*RATES!$L196/12+$H$19*(PARAM!$D$51/12)*RATES!$N196/100</f>
        <v>13.488567427674797</v>
      </c>
      <c r="BR220" s="16">
        <f t="shared" ref="BR220:BR283" si="171">IF(BR219&gt;0,BR219*$F$1,BR219)+BP220-BQ220</f>
        <v>557.10283578771873</v>
      </c>
      <c r="BS220" s="15">
        <f t="shared" si="146"/>
        <v>22.170849845882874</v>
      </c>
      <c r="BT220" s="75">
        <f>BS220*(1-PARAM!$C$27)*$I$20+(MOD($B220,60)=PARAM!$B$56)*($B220&gt;(60-PARAM!$B$56))*HLOOKUP(($B220+PARAM!$B$56)/12,Loyalty,2)*$F$1*MAX(BV219,0)</f>
        <v>18.557001321003963</v>
      </c>
      <c r="BU220" s="75">
        <f>PARAM!$C$26+MAX($G$20-CHOOSE(PARAM!$B$44,MAX(0,BV219*$F$1),0),0)*RATES!$L196/12+$H$20*(PARAM!$D$51/12)*RATES!$N196/100</f>
        <v>13.488567427674797</v>
      </c>
      <c r="BV220" s="16">
        <f t="shared" ref="BV220:BV283" si="172">IF(BV219&gt;0,BV219*$F$1,BV219)+BT220-BU220</f>
        <v>557.10283578771873</v>
      </c>
      <c r="BW220" s="15">
        <f t="shared" si="147"/>
        <v>22.170849845882874</v>
      </c>
      <c r="BX220" s="75">
        <f>BW220*(1-PARAM!$C$27)*$I$21+(MOD($B220,60)=PARAM!$B$56)*($B220&gt;(60-PARAM!$B$56))*HLOOKUP(($B220+PARAM!$B$56)/12,Loyalty,2)*$F$1*MAX(BZ219,0)</f>
        <v>18.557001321003963</v>
      </c>
      <c r="BY220" s="75">
        <f>PARAM!$C$26+MAX($G$21-CHOOSE(PARAM!$B$44,MAX(0,BZ219*$F$1),0),0)*RATES!$L196/12+$H$21*(PARAM!$D$51/12)*RATES!$N196/100</f>
        <v>13.488567427674797</v>
      </c>
      <c r="BZ220" s="16">
        <f t="shared" ref="BZ220:BZ283" si="173">IF(BZ219&gt;0,BZ219*$F$1,BZ219)+BX220-BY220</f>
        <v>557.10283578771873</v>
      </c>
      <c r="CA220" s="15">
        <f t="shared" si="148"/>
        <v>22.170849845882874</v>
      </c>
      <c r="CB220" s="75">
        <f>CA220*(1-PARAM!$C$27)*$I$22+(MOD($B220,60)=PARAM!$B$56)*($B220&gt;(60-PARAM!$B$56))*HLOOKUP(($B220+PARAM!$B$56)/12,Loyalty,2)*$F$1*MAX(CD219,0)</f>
        <v>18.557001321003963</v>
      </c>
      <c r="CC220" s="75">
        <f>PARAM!$C$26+MAX($G$22-CHOOSE(PARAM!$B$44,MAX(0,CD219*$F$1),0),0)*RATES!$L196/12+$H$22*(PARAM!$D$51/12)*RATES!$N196/100</f>
        <v>13.488567427674797</v>
      </c>
      <c r="CD220" s="16">
        <f t="shared" ref="CD220:CD283" si="174">IF(CD219&gt;0,CD219*$F$1,CD219)+CB220-CC220</f>
        <v>557.10283578771873</v>
      </c>
      <c r="CE220" s="33">
        <f>IF(0=MOD(B220,12/PARAM!$D$51),1,0)</f>
        <v>1</v>
      </c>
      <c r="CF220" s="15">
        <f t="shared" si="149"/>
        <v>0</v>
      </c>
      <c r="CG220" s="75">
        <f>CF220*(1-PARAM!$C$27)*$R$3+(MOD($B220/12,5)=0)*($B220&gt;60)*HLOOKUP($B220/12,Loyalty,2)*$F$1*MAX(CI219,0)</f>
        <v>0</v>
      </c>
      <c r="CH220" s="75">
        <f>PARAM!$C$26+MAX($P$3-CHOOSE(PARAM!$B$44,MAX(0,CI219*$F$1),0),0)*RATES!$L196/12+$Q$3*(PARAM!$D$51/12)*RATES!$N196/100</f>
        <v>13.583333333333334</v>
      </c>
      <c r="CI220" s="16">
        <f>IF(CI219&gt;0,CI219*PARAM!$C$53,CI219)+CG220-CH220</f>
        <v>-2847.1666666666629</v>
      </c>
      <c r="CJ220" s="15">
        <f t="shared" ref="CJ220:CJ283" si="175">$Q$4*CE220</f>
        <v>0</v>
      </c>
      <c r="CK220" s="75">
        <f>CJ220*(1-PARAM!$C$27)*$R$4+(MOD($B220/12,5)=0)*($B220&gt;60)*HLOOKUP($B220/12,Loyalty,2)*$F$1*MAX(CM219,0)</f>
        <v>0</v>
      </c>
      <c r="CL220" s="75">
        <f>PARAM!$C$26+MAX($P$4-CHOOSE(PARAM!$B$44,MAX(0,CM219*$F$1),0),0)*RATES!$L196/12+$Q$4*(PARAM!$D$51/12)*RATES!$N196/100</f>
        <v>13.583333333333334</v>
      </c>
      <c r="CM220" s="16">
        <f>IF(CM219&gt;0,CM219*PARAM!$C$53,CM219)+CK220-CL220</f>
        <v>-2847.1666666666629</v>
      </c>
      <c r="CO220" s="176"/>
    </row>
    <row r="221" spans="1:93" x14ac:dyDescent="0.2">
      <c r="A221" t="b">
        <f t="shared" si="150"/>
        <v>1</v>
      </c>
      <c r="B221" s="33">
        <v>194</v>
      </c>
      <c r="C221" s="15">
        <f t="shared" si="151"/>
        <v>20.081305947392778</v>
      </c>
      <c r="D221" s="75">
        <f>C221*(1-PARAM!$C$27)*$I$3+(MOD($B221,60)=PARAM!$B$56)*($B221&gt;(60-PARAM!$B$56))*HLOOKUP(($B221+PARAM!$B$56)/12,Loyalty,2)*$F$1*MAX(F220,0)</f>
        <v>16.808053077967756</v>
      </c>
      <c r="E221" s="75">
        <f>PARAM!$C$26+MAX($G$3-CHOOSE(PARAM!$B$44,MAX(0,F220*$F$1),0),0)*RATES!$L197/12+$H$3*(PARAM!$D$51/12)*RATES!$N197/100</f>
        <v>13.544402708658609</v>
      </c>
      <c r="F221" s="16">
        <f t="shared" si="152"/>
        <v>230.04398828032805</v>
      </c>
      <c r="G221" s="15">
        <f t="shared" si="153"/>
        <v>22.035289406060361</v>
      </c>
      <c r="H221" s="75">
        <f>G221*(1-PARAM!$C$27)*$I$4+(MOD($B221,60)=PARAM!$B$56)*($B221&gt;(60-PARAM!$B$56))*HLOOKUP(($B221+PARAM!$B$56)/12,Loyalty,2)*$F$1*MAX(J220,0)</f>
        <v>18.443537232872522</v>
      </c>
      <c r="I221" s="75">
        <f>PARAM!$C$26+MAX($G$4-CHOOSE(PARAM!$B$44,MAX(0,J220*$F$1),0),0)*RATES!$L197/12+$H$4*(PARAM!$D$51/12)*RATES!$N197/100</f>
        <v>13.491378768653746</v>
      </c>
      <c r="J221" s="16">
        <f t="shared" si="154"/>
        <v>540.60981679191434</v>
      </c>
      <c r="K221" s="15">
        <f t="shared" si="155"/>
        <v>22.170849845882874</v>
      </c>
      <c r="L221" s="75">
        <f>K221*(1-PARAM!$C$27)*$I$5+(MOD($B221,60)=PARAM!$B$56)*($B221&gt;(60-PARAM!$B$56))*HLOOKUP(($B221+PARAM!$B$56)/12,Loyalty,2)*$F$1*MAX(N220,0)</f>
        <v>18.557001321003963</v>
      </c>
      <c r="M221" s="75">
        <f>PARAM!$C$26+MAX($G$5-CHOOSE(PARAM!$B$44,MAX(0,N220*$F$1),0),0)*RATES!$L197/12+$H$5*(PARAM!$D$51/12)*RATES!$N197/100</f>
        <v>13.487697346523108</v>
      </c>
      <c r="N221" s="16">
        <f t="shared" si="156"/>
        <v>562.17213976219966</v>
      </c>
      <c r="O221" s="15">
        <f t="shared" si="157"/>
        <v>22.170849845882874</v>
      </c>
      <c r="P221" s="75">
        <f>O221*(1-PARAM!$C$27)*$I$6+(MOD($B221,60)=PARAM!$B$56)*($B221&gt;(60-PARAM!$B$56))*HLOOKUP(($B221+PARAM!$B$56)/12,Loyalty,2)*$F$1*MAX(R220,0)</f>
        <v>18.557001321003963</v>
      </c>
      <c r="Q221" s="75">
        <f>PARAM!$C$26+MAX($G$6-CHOOSE(PARAM!$B$44,MAX(0,R220*$F$1),0),0)*RATES!$L197/12+$H$6*(PARAM!$D$51/12)*RATES!$N197/100</f>
        <v>13.487697346523108</v>
      </c>
      <c r="R221" s="16">
        <f t="shared" si="158"/>
        <v>562.17213976219966</v>
      </c>
      <c r="S221" s="15">
        <f t="shared" si="133"/>
        <v>22.170849845882874</v>
      </c>
      <c r="T221" s="75">
        <f>S221*(1-PARAM!$C$27)*$I$7+(MOD($B221,60)=PARAM!$B$56)*($B221&gt;(60-PARAM!$B$56))*HLOOKUP(($B221+PARAM!$B$56)/12,Loyalty,2)*$F$1*MAX(V220,0)</f>
        <v>18.557001321003963</v>
      </c>
      <c r="U221" s="75">
        <f>PARAM!$C$26+MAX($G$7-CHOOSE(PARAM!$B$44,MAX(0,V220*$F$1),0),0)*RATES!$L197/12+$H$7*(PARAM!$D$51/12)*RATES!$N197/100</f>
        <v>13.487697346523108</v>
      </c>
      <c r="V221" s="16">
        <f t="shared" si="159"/>
        <v>562.17213976219966</v>
      </c>
      <c r="W221" s="15">
        <f t="shared" si="134"/>
        <v>22.170849845882874</v>
      </c>
      <c r="X221" s="75">
        <f>W221*(1-PARAM!$C$27)*$I$8+(MOD($B221,60)=PARAM!$B$56)*($B221&gt;(60-PARAM!$B$56))*HLOOKUP(($B221+PARAM!$B$56)/12,Loyalty,2)*$F$1*MAX(Z220,0)</f>
        <v>18.557001321003963</v>
      </c>
      <c r="Y221" s="75">
        <f>PARAM!$C$26+MAX($G$8-CHOOSE(PARAM!$B$44,MAX(0,Z220*$F$1),0),0)*RATES!$L197/12+$H$8*(PARAM!$D$51/12)*RATES!$N197/100</f>
        <v>13.487697346523108</v>
      </c>
      <c r="Z221" s="16">
        <f t="shared" si="160"/>
        <v>562.17213976219966</v>
      </c>
      <c r="AA221" s="15">
        <f t="shared" si="135"/>
        <v>22.170849845882874</v>
      </c>
      <c r="AB221" s="75">
        <f>AA221*(1-PARAM!$C$27)*$I$9+(MOD($B221,60)=PARAM!$B$56)*($B221&gt;(60-PARAM!$B$56))*HLOOKUP(($B221+PARAM!$B$56)/12,Loyalty,2)*$F$1*MAX(AD220,0)</f>
        <v>18.557001321003963</v>
      </c>
      <c r="AC221" s="75">
        <f>PARAM!$C$26+MAX($G$9-CHOOSE(PARAM!$B$44,MAX(0,AD220*$F$1),0),0)*RATES!$L197/12+$H$9*(PARAM!$D$51/12)*RATES!$N197/100</f>
        <v>13.487697346523108</v>
      </c>
      <c r="AD221" s="16">
        <f t="shared" si="161"/>
        <v>562.17213976219966</v>
      </c>
      <c r="AE221" s="15">
        <f t="shared" si="136"/>
        <v>22.170849845882874</v>
      </c>
      <c r="AF221" s="75">
        <f>AE221*(1-PARAM!$C$27)*$I$10+(MOD($B221,60)=PARAM!$B$56)*($B221&gt;(60-PARAM!$B$56))*HLOOKUP(($B221+PARAM!$B$56)/12,Loyalty,2)*$F$1*MAX(AH220,0)</f>
        <v>18.557001321003963</v>
      </c>
      <c r="AG221" s="75">
        <f>PARAM!$C$26+MAX($G$10-CHOOSE(PARAM!$B$44,MAX(0,AH220*$F$1),0),0)*RATES!$L197/12+$H$10*(PARAM!$D$51/12)*RATES!$N197/100</f>
        <v>13.487697346523108</v>
      </c>
      <c r="AH221" s="16">
        <f t="shared" si="162"/>
        <v>562.17213976219966</v>
      </c>
      <c r="AI221" s="15">
        <f t="shared" si="137"/>
        <v>22.170849845882874</v>
      </c>
      <c r="AJ221" s="75">
        <f>AI221*(1-PARAM!$C$27)*$I$11+(MOD($B221,60)=PARAM!$B$56)*($B221&gt;(60-PARAM!$B$56))*HLOOKUP(($B221+PARAM!$B$56)/12,Loyalty,2)*$F$1*MAX(AL220,0)</f>
        <v>18.557001321003963</v>
      </c>
      <c r="AK221" s="75">
        <f>PARAM!$C$26+MAX($G$11-CHOOSE(PARAM!$B$44,MAX(0,AL220*$F$1),0),0)*RATES!$L197/12+$H$11*(PARAM!$D$51/12)*RATES!$N197/100</f>
        <v>13.487697346523108</v>
      </c>
      <c r="AL221" s="16">
        <f t="shared" si="163"/>
        <v>562.17213976219966</v>
      </c>
      <c r="AM221" s="15">
        <f t="shared" si="138"/>
        <v>22.170849845882874</v>
      </c>
      <c r="AN221" s="75">
        <f>AM221*(1-PARAM!$C$27)*$I$12+(MOD($B221,60)=PARAM!$B$56)*($B221&gt;(60-PARAM!$B$56))*HLOOKUP(($B221+PARAM!$B$56)/12,Loyalty,2)*$F$1*MAX(AP220,0)</f>
        <v>18.557001321003963</v>
      </c>
      <c r="AO221" s="75">
        <f>PARAM!$C$26+MAX($G$12-CHOOSE(PARAM!$B$44,MAX(0,AP220*$F$1),0),0)*RATES!$L197/12+$H$12*(PARAM!$D$51/12)*RATES!$N197/100</f>
        <v>13.487697346523108</v>
      </c>
      <c r="AP221" s="16">
        <f t="shared" si="164"/>
        <v>562.17213976219966</v>
      </c>
      <c r="AQ221" s="15">
        <f t="shared" si="139"/>
        <v>22.170849845882874</v>
      </c>
      <c r="AR221" s="75">
        <f>AQ221*(1-PARAM!$C$27)*$I$13+(MOD($B221,60)=PARAM!$B$56)*($B221&gt;(60-PARAM!$B$56))*HLOOKUP(($B221+PARAM!$B$56)/12,Loyalty,2)*$F$1*MAX(AT220,0)</f>
        <v>18.557001321003963</v>
      </c>
      <c r="AS221" s="75">
        <f>PARAM!$C$26+MAX($G$13-CHOOSE(PARAM!$B$44,MAX(0,AT220*$F$1),0),0)*RATES!$L197/12+$H$13*(PARAM!$D$51/12)*RATES!$N197/100</f>
        <v>13.487697346523108</v>
      </c>
      <c r="AT221" s="16">
        <f t="shared" si="165"/>
        <v>562.17213976219966</v>
      </c>
      <c r="AU221" s="15">
        <f t="shared" si="140"/>
        <v>22.170849845882874</v>
      </c>
      <c r="AV221" s="75">
        <f>AU221*(1-PARAM!$C$27)*$I$14+(MOD($B221,60)=PARAM!$B$56)*($B221&gt;(60-PARAM!$B$56))*HLOOKUP(($B221+PARAM!$B$56)/12,Loyalty,2)*$F$1*MAX(AX220,0)</f>
        <v>18.557001321003963</v>
      </c>
      <c r="AW221" s="75">
        <f>PARAM!$C$26+MAX($G$14-CHOOSE(PARAM!$B$44,MAX(0,AX220*$F$1),0),0)*RATES!$L197/12+$H$14*(PARAM!$D$51/12)*RATES!$N197/100</f>
        <v>13.487697346523108</v>
      </c>
      <c r="AX221" s="16">
        <f t="shared" si="166"/>
        <v>562.17213976219966</v>
      </c>
      <c r="AY221" s="15">
        <f t="shared" si="141"/>
        <v>22.170849845882874</v>
      </c>
      <c r="AZ221" s="75">
        <f>AY221*(1-PARAM!$C$27)*$I$15+(MOD($B221,60)=PARAM!$B$56)*($B221&gt;(60-PARAM!$B$56))*HLOOKUP(($B221+PARAM!$B$56)/12,Loyalty,2)*$F$1*MAX(BB220,0)</f>
        <v>18.557001321003963</v>
      </c>
      <c r="BA221" s="75">
        <f>PARAM!$C$26+MAX($G$15-CHOOSE(PARAM!$B$44,MAX(0,BB220*$F$1),0),0)*RATES!$L197/12+$H$15*(PARAM!$D$51/12)*RATES!$N197/100</f>
        <v>13.487697346523108</v>
      </c>
      <c r="BB221" s="16">
        <f t="shared" si="167"/>
        <v>562.17213976219966</v>
      </c>
      <c r="BC221" s="15">
        <f t="shared" si="142"/>
        <v>22.170849845882874</v>
      </c>
      <c r="BD221" s="75">
        <f>BC221*(1-PARAM!$C$27)*$I$16+(MOD($B221,60)=PARAM!$B$56)*($B221&gt;(60-PARAM!$B$56))*HLOOKUP(($B221+PARAM!$B$56)/12,Loyalty,2)*$F$1*MAX(BF220,0)</f>
        <v>18.557001321003963</v>
      </c>
      <c r="BE221" s="75">
        <f>PARAM!$C$26+MAX($G$16-CHOOSE(PARAM!$B$44,MAX(0,BF220*$F$1),0),0)*RATES!$L197/12+$H$16*(PARAM!$D$51/12)*RATES!$N197/100</f>
        <v>13.487697346523108</v>
      </c>
      <c r="BF221" s="16">
        <f t="shared" si="168"/>
        <v>562.17213976219966</v>
      </c>
      <c r="BG221" s="15">
        <f t="shared" si="143"/>
        <v>22.170849845882874</v>
      </c>
      <c r="BH221" s="75">
        <f>BG221*(1-PARAM!$C$27)*$I$17+(MOD($B221,60)=PARAM!$B$56)*($B221&gt;(60-PARAM!$B$56))*HLOOKUP(($B221+PARAM!$B$56)/12,Loyalty,2)*$F$1*MAX(BJ220,0)</f>
        <v>18.557001321003963</v>
      </c>
      <c r="BI221" s="75">
        <f>PARAM!$C$26+MAX($G$17-CHOOSE(PARAM!$B$44,MAX(0,BJ220*$F$1),0),0)*RATES!$L197/12+$H$17*(PARAM!$D$51/12)*RATES!$N197/100</f>
        <v>13.487697346523108</v>
      </c>
      <c r="BJ221" s="16">
        <f t="shared" si="169"/>
        <v>562.17213976219966</v>
      </c>
      <c r="BK221" s="15">
        <f t="shared" si="144"/>
        <v>22.170849845882874</v>
      </c>
      <c r="BL221" s="75">
        <f>BK221*(1-PARAM!$C$27)*$I$18+(MOD($B221,60)=PARAM!$B$56)*($B221&gt;(60-PARAM!$B$56))*HLOOKUP(($B221+PARAM!$B$56)/12,Loyalty,2)*$F$1*MAX(BN220,0)</f>
        <v>18.557001321003963</v>
      </c>
      <c r="BM221" s="75">
        <f>PARAM!$C$26+MAX($G$18-CHOOSE(PARAM!$B$44,MAX(0,BN220*$F$1),0),0)*RATES!$L197/12+$H$18*(PARAM!$D$51/12)*RATES!$N197/100</f>
        <v>13.487697346523108</v>
      </c>
      <c r="BN221" s="16">
        <f t="shared" si="170"/>
        <v>562.17213976219966</v>
      </c>
      <c r="BO221" s="15">
        <f t="shared" si="145"/>
        <v>22.170849845882874</v>
      </c>
      <c r="BP221" s="75">
        <f>BO221*(1-PARAM!$C$27)*$I$19+(MOD($B221,60)=PARAM!$B$56)*($B221&gt;(60-PARAM!$B$56))*HLOOKUP(($B221+PARAM!$B$56)/12,Loyalty,2)*$F$1*MAX(BR220,0)</f>
        <v>18.557001321003963</v>
      </c>
      <c r="BQ221" s="75">
        <f>PARAM!$C$26+MAX($G$19-CHOOSE(PARAM!$B$44,MAX(0,BR220*$F$1),0),0)*RATES!$L197/12+$H$19*(PARAM!$D$51/12)*RATES!$N197/100</f>
        <v>13.487697346523108</v>
      </c>
      <c r="BR221" s="16">
        <f t="shared" si="171"/>
        <v>562.17213976219966</v>
      </c>
      <c r="BS221" s="15">
        <f t="shared" si="146"/>
        <v>22.170849845882874</v>
      </c>
      <c r="BT221" s="75">
        <f>BS221*(1-PARAM!$C$27)*$I$20+(MOD($B221,60)=PARAM!$B$56)*($B221&gt;(60-PARAM!$B$56))*HLOOKUP(($B221+PARAM!$B$56)/12,Loyalty,2)*$F$1*MAX(BV220,0)</f>
        <v>18.557001321003963</v>
      </c>
      <c r="BU221" s="75">
        <f>PARAM!$C$26+MAX($G$20-CHOOSE(PARAM!$B$44,MAX(0,BV220*$F$1),0),0)*RATES!$L197/12+$H$20*(PARAM!$D$51/12)*RATES!$N197/100</f>
        <v>13.487697346523108</v>
      </c>
      <c r="BV221" s="16">
        <f t="shared" si="172"/>
        <v>562.17213976219966</v>
      </c>
      <c r="BW221" s="15">
        <f t="shared" si="147"/>
        <v>22.170849845882874</v>
      </c>
      <c r="BX221" s="75">
        <f>BW221*(1-PARAM!$C$27)*$I$21+(MOD($B221,60)=PARAM!$B$56)*($B221&gt;(60-PARAM!$B$56))*HLOOKUP(($B221+PARAM!$B$56)/12,Loyalty,2)*$F$1*MAX(BZ220,0)</f>
        <v>18.557001321003963</v>
      </c>
      <c r="BY221" s="75">
        <f>PARAM!$C$26+MAX($G$21-CHOOSE(PARAM!$B$44,MAX(0,BZ220*$F$1),0),0)*RATES!$L197/12+$H$21*(PARAM!$D$51/12)*RATES!$N197/100</f>
        <v>13.487697346523108</v>
      </c>
      <c r="BZ221" s="16">
        <f t="shared" si="173"/>
        <v>562.17213976219966</v>
      </c>
      <c r="CA221" s="15">
        <f t="shared" si="148"/>
        <v>22.170849845882874</v>
      </c>
      <c r="CB221" s="75">
        <f>CA221*(1-PARAM!$C$27)*$I$22+(MOD($B221,60)=PARAM!$B$56)*($B221&gt;(60-PARAM!$B$56))*HLOOKUP(($B221+PARAM!$B$56)/12,Loyalty,2)*$F$1*MAX(CD220,0)</f>
        <v>18.557001321003963</v>
      </c>
      <c r="CC221" s="75">
        <f>PARAM!$C$26+MAX($G$22-CHOOSE(PARAM!$B$44,MAX(0,CD220*$F$1),0),0)*RATES!$L197/12+$H$22*(PARAM!$D$51/12)*RATES!$N197/100</f>
        <v>13.487697346523108</v>
      </c>
      <c r="CD221" s="16">
        <f t="shared" si="174"/>
        <v>562.17213976219966</v>
      </c>
      <c r="CE221" s="33">
        <f>IF(0=MOD(B221,12/PARAM!$D$51),1,0)</f>
        <v>1</v>
      </c>
      <c r="CF221" s="15">
        <f t="shared" si="149"/>
        <v>0</v>
      </c>
      <c r="CG221" s="75">
        <f>CF221*(1-PARAM!$C$27)*$R$3+(MOD($B221/12,5)=0)*($B221&gt;60)*HLOOKUP($B221/12,Loyalty,2)*$F$1*MAX(CI220,0)</f>
        <v>0</v>
      </c>
      <c r="CH221" s="75">
        <f>PARAM!$C$26+MAX($P$3-CHOOSE(PARAM!$B$44,MAX(0,CI220*$F$1),0),0)*RATES!$L197/12+$Q$3*(PARAM!$D$51/12)*RATES!$N197/100</f>
        <v>13.583333333333334</v>
      </c>
      <c r="CI221" s="16">
        <f>IF(CI220&gt;0,CI220*PARAM!$C$53,CI220)+CG221-CH221</f>
        <v>-2860.7499999999964</v>
      </c>
      <c r="CJ221" s="15">
        <f t="shared" si="175"/>
        <v>0</v>
      </c>
      <c r="CK221" s="75">
        <f>CJ221*(1-PARAM!$C$27)*$R$4+(MOD($B221/12,5)=0)*($B221&gt;60)*HLOOKUP($B221/12,Loyalty,2)*$F$1*MAX(CM220,0)</f>
        <v>0</v>
      </c>
      <c r="CL221" s="75">
        <f>PARAM!$C$26+MAX($P$4-CHOOSE(PARAM!$B$44,MAX(0,CM220*$F$1),0),0)*RATES!$L197/12+$Q$4*(PARAM!$D$51/12)*RATES!$N197/100</f>
        <v>13.583333333333334</v>
      </c>
      <c r="CM221" s="16">
        <f>IF(CM220&gt;0,CM220*PARAM!$C$53,CM220)+CK221-CL221</f>
        <v>-2860.7499999999964</v>
      </c>
      <c r="CO221" s="176"/>
    </row>
    <row r="222" spans="1:93" x14ac:dyDescent="0.2">
      <c r="A222" t="b">
        <f t="shared" si="150"/>
        <v>1</v>
      </c>
      <c r="B222" s="33">
        <v>195</v>
      </c>
      <c r="C222" s="15">
        <f t="shared" si="151"/>
        <v>20.081305947392778</v>
      </c>
      <c r="D222" s="75">
        <f>C222*(1-PARAM!$C$27)*$I$3+(MOD($B222,60)=PARAM!$B$56)*($B222&gt;(60-PARAM!$B$56))*HLOOKUP(($B222+PARAM!$B$56)/12,Loyalty,2)*$F$1*MAX(F221,0)</f>
        <v>16.808053077967756</v>
      </c>
      <c r="E222" s="75">
        <f>PARAM!$C$26+MAX($G$3-CHOOSE(PARAM!$B$44,MAX(0,F221*$F$1),0),0)*RATES!$L198/12+$H$3*(PARAM!$D$51/12)*RATES!$N198/100</f>
        <v>13.543842448678545</v>
      </c>
      <c r="F222" s="16">
        <f t="shared" si="152"/>
        <v>233.30819890961729</v>
      </c>
      <c r="G222" s="15">
        <f t="shared" si="153"/>
        <v>22.035289406060361</v>
      </c>
      <c r="H222" s="75">
        <f>G222*(1-PARAM!$C$27)*$I$4+(MOD($B222,60)=PARAM!$B$56)*($B222&gt;(60-PARAM!$B$56))*HLOOKUP(($B222+PARAM!$B$56)/12,Loyalty,2)*$F$1*MAX(J221,0)</f>
        <v>18.443537232872522</v>
      </c>
      <c r="I222" s="75">
        <f>PARAM!$C$26+MAX($G$4-CHOOSE(PARAM!$B$44,MAX(0,J221*$F$1),0),0)*RATES!$L198/12+$H$4*(PARAM!$D$51/12)*RATES!$N198/100</f>
        <v>13.490528648117388</v>
      </c>
      <c r="J222" s="16">
        <f t="shared" si="154"/>
        <v>545.56282537666948</v>
      </c>
      <c r="K222" s="15">
        <f t="shared" si="155"/>
        <v>22.170849845882874</v>
      </c>
      <c r="L222" s="75">
        <f>K222*(1-PARAM!$C$27)*$I$5+(MOD($B222,60)=PARAM!$B$56)*($B222&gt;(60-PARAM!$B$56))*HLOOKUP(($B222+PARAM!$B$56)/12,Loyalty,2)*$F$1*MAX(N221,0)</f>
        <v>18.557001321003963</v>
      </c>
      <c r="M222" s="75">
        <f>PARAM!$C$26+MAX($G$5-CHOOSE(PARAM!$B$44,MAX(0,N221*$F$1),0),0)*RATES!$L198/12+$H$5*(PARAM!$D$51/12)*RATES!$N198/100</f>
        <v>13.48682711600749</v>
      </c>
      <c r="N222" s="16">
        <f t="shared" si="156"/>
        <v>567.2423139671962</v>
      </c>
      <c r="O222" s="15">
        <f t="shared" si="157"/>
        <v>22.170849845882874</v>
      </c>
      <c r="P222" s="75">
        <f>O222*(1-PARAM!$C$27)*$I$6+(MOD($B222,60)=PARAM!$B$56)*($B222&gt;(60-PARAM!$B$56))*HLOOKUP(($B222+PARAM!$B$56)/12,Loyalty,2)*$F$1*MAX(R221,0)</f>
        <v>18.557001321003963</v>
      </c>
      <c r="Q222" s="75">
        <f>PARAM!$C$26+MAX($G$6-CHOOSE(PARAM!$B$44,MAX(0,R221*$F$1),0),0)*RATES!$L198/12+$H$6*(PARAM!$D$51/12)*RATES!$N198/100</f>
        <v>13.48682711600749</v>
      </c>
      <c r="R222" s="16">
        <f t="shared" si="158"/>
        <v>567.2423139671962</v>
      </c>
      <c r="S222" s="15">
        <f t="shared" si="133"/>
        <v>22.170849845882874</v>
      </c>
      <c r="T222" s="75">
        <f>S222*(1-PARAM!$C$27)*$I$7+(MOD($B222,60)=PARAM!$B$56)*($B222&gt;(60-PARAM!$B$56))*HLOOKUP(($B222+PARAM!$B$56)/12,Loyalty,2)*$F$1*MAX(V221,0)</f>
        <v>18.557001321003963</v>
      </c>
      <c r="U222" s="75">
        <f>PARAM!$C$26+MAX($G$7-CHOOSE(PARAM!$B$44,MAX(0,V221*$F$1),0),0)*RATES!$L198/12+$H$7*(PARAM!$D$51/12)*RATES!$N198/100</f>
        <v>13.48682711600749</v>
      </c>
      <c r="V222" s="16">
        <f t="shared" si="159"/>
        <v>567.2423139671962</v>
      </c>
      <c r="W222" s="15">
        <f t="shared" si="134"/>
        <v>22.170849845882874</v>
      </c>
      <c r="X222" s="75">
        <f>W222*(1-PARAM!$C$27)*$I$8+(MOD($B222,60)=PARAM!$B$56)*($B222&gt;(60-PARAM!$B$56))*HLOOKUP(($B222+PARAM!$B$56)/12,Loyalty,2)*$F$1*MAX(Z221,0)</f>
        <v>18.557001321003963</v>
      </c>
      <c r="Y222" s="75">
        <f>PARAM!$C$26+MAX($G$8-CHOOSE(PARAM!$B$44,MAX(0,Z221*$F$1),0),0)*RATES!$L198/12+$H$8*(PARAM!$D$51/12)*RATES!$N198/100</f>
        <v>13.48682711600749</v>
      </c>
      <c r="Z222" s="16">
        <f t="shared" si="160"/>
        <v>567.2423139671962</v>
      </c>
      <c r="AA222" s="15">
        <f t="shared" si="135"/>
        <v>22.170849845882874</v>
      </c>
      <c r="AB222" s="75">
        <f>AA222*(1-PARAM!$C$27)*$I$9+(MOD($B222,60)=PARAM!$B$56)*($B222&gt;(60-PARAM!$B$56))*HLOOKUP(($B222+PARAM!$B$56)/12,Loyalty,2)*$F$1*MAX(AD221,0)</f>
        <v>18.557001321003963</v>
      </c>
      <c r="AC222" s="75">
        <f>PARAM!$C$26+MAX($G$9-CHOOSE(PARAM!$B$44,MAX(0,AD221*$F$1),0),0)*RATES!$L198/12+$H$9*(PARAM!$D$51/12)*RATES!$N198/100</f>
        <v>13.48682711600749</v>
      </c>
      <c r="AD222" s="16">
        <f t="shared" si="161"/>
        <v>567.2423139671962</v>
      </c>
      <c r="AE222" s="15">
        <f t="shared" si="136"/>
        <v>22.170849845882874</v>
      </c>
      <c r="AF222" s="75">
        <f>AE222*(1-PARAM!$C$27)*$I$10+(MOD($B222,60)=PARAM!$B$56)*($B222&gt;(60-PARAM!$B$56))*HLOOKUP(($B222+PARAM!$B$56)/12,Loyalty,2)*$F$1*MAX(AH221,0)</f>
        <v>18.557001321003963</v>
      </c>
      <c r="AG222" s="75">
        <f>PARAM!$C$26+MAX($G$10-CHOOSE(PARAM!$B$44,MAX(0,AH221*$F$1),0),0)*RATES!$L198/12+$H$10*(PARAM!$D$51/12)*RATES!$N198/100</f>
        <v>13.48682711600749</v>
      </c>
      <c r="AH222" s="16">
        <f t="shared" si="162"/>
        <v>567.2423139671962</v>
      </c>
      <c r="AI222" s="15">
        <f t="shared" si="137"/>
        <v>22.170849845882874</v>
      </c>
      <c r="AJ222" s="75">
        <f>AI222*(1-PARAM!$C$27)*$I$11+(MOD($B222,60)=PARAM!$B$56)*($B222&gt;(60-PARAM!$B$56))*HLOOKUP(($B222+PARAM!$B$56)/12,Loyalty,2)*$F$1*MAX(AL221,0)</f>
        <v>18.557001321003963</v>
      </c>
      <c r="AK222" s="75">
        <f>PARAM!$C$26+MAX($G$11-CHOOSE(PARAM!$B$44,MAX(0,AL221*$F$1),0),0)*RATES!$L198/12+$H$11*(PARAM!$D$51/12)*RATES!$N198/100</f>
        <v>13.48682711600749</v>
      </c>
      <c r="AL222" s="16">
        <f t="shared" si="163"/>
        <v>567.2423139671962</v>
      </c>
      <c r="AM222" s="15">
        <f t="shared" si="138"/>
        <v>22.170849845882874</v>
      </c>
      <c r="AN222" s="75">
        <f>AM222*(1-PARAM!$C$27)*$I$12+(MOD($B222,60)=PARAM!$B$56)*($B222&gt;(60-PARAM!$B$56))*HLOOKUP(($B222+PARAM!$B$56)/12,Loyalty,2)*$F$1*MAX(AP221,0)</f>
        <v>18.557001321003963</v>
      </c>
      <c r="AO222" s="75">
        <f>PARAM!$C$26+MAX($G$12-CHOOSE(PARAM!$B$44,MAX(0,AP221*$F$1),0),0)*RATES!$L198/12+$H$12*(PARAM!$D$51/12)*RATES!$N198/100</f>
        <v>13.48682711600749</v>
      </c>
      <c r="AP222" s="16">
        <f t="shared" si="164"/>
        <v>567.2423139671962</v>
      </c>
      <c r="AQ222" s="15">
        <f t="shared" si="139"/>
        <v>22.170849845882874</v>
      </c>
      <c r="AR222" s="75">
        <f>AQ222*(1-PARAM!$C$27)*$I$13+(MOD($B222,60)=PARAM!$B$56)*($B222&gt;(60-PARAM!$B$56))*HLOOKUP(($B222+PARAM!$B$56)/12,Loyalty,2)*$F$1*MAX(AT221,0)</f>
        <v>18.557001321003963</v>
      </c>
      <c r="AS222" s="75">
        <f>PARAM!$C$26+MAX($G$13-CHOOSE(PARAM!$B$44,MAX(0,AT221*$F$1),0),0)*RATES!$L198/12+$H$13*(PARAM!$D$51/12)*RATES!$N198/100</f>
        <v>13.48682711600749</v>
      </c>
      <c r="AT222" s="16">
        <f t="shared" si="165"/>
        <v>567.2423139671962</v>
      </c>
      <c r="AU222" s="15">
        <f t="shared" si="140"/>
        <v>22.170849845882874</v>
      </c>
      <c r="AV222" s="75">
        <f>AU222*(1-PARAM!$C$27)*$I$14+(MOD($B222,60)=PARAM!$B$56)*($B222&gt;(60-PARAM!$B$56))*HLOOKUP(($B222+PARAM!$B$56)/12,Loyalty,2)*$F$1*MAX(AX221,0)</f>
        <v>18.557001321003963</v>
      </c>
      <c r="AW222" s="75">
        <f>PARAM!$C$26+MAX($G$14-CHOOSE(PARAM!$B$44,MAX(0,AX221*$F$1),0),0)*RATES!$L198/12+$H$14*(PARAM!$D$51/12)*RATES!$N198/100</f>
        <v>13.48682711600749</v>
      </c>
      <c r="AX222" s="16">
        <f t="shared" si="166"/>
        <v>567.2423139671962</v>
      </c>
      <c r="AY222" s="15">
        <f t="shared" si="141"/>
        <v>22.170849845882874</v>
      </c>
      <c r="AZ222" s="75">
        <f>AY222*(1-PARAM!$C$27)*$I$15+(MOD($B222,60)=PARAM!$B$56)*($B222&gt;(60-PARAM!$B$56))*HLOOKUP(($B222+PARAM!$B$56)/12,Loyalty,2)*$F$1*MAX(BB221,0)</f>
        <v>18.557001321003963</v>
      </c>
      <c r="BA222" s="75">
        <f>PARAM!$C$26+MAX($G$15-CHOOSE(PARAM!$B$44,MAX(0,BB221*$F$1),0),0)*RATES!$L198/12+$H$15*(PARAM!$D$51/12)*RATES!$N198/100</f>
        <v>13.48682711600749</v>
      </c>
      <c r="BB222" s="16">
        <f t="shared" si="167"/>
        <v>567.2423139671962</v>
      </c>
      <c r="BC222" s="15">
        <f t="shared" si="142"/>
        <v>22.170849845882874</v>
      </c>
      <c r="BD222" s="75">
        <f>BC222*(1-PARAM!$C$27)*$I$16+(MOD($B222,60)=PARAM!$B$56)*($B222&gt;(60-PARAM!$B$56))*HLOOKUP(($B222+PARAM!$B$56)/12,Loyalty,2)*$F$1*MAX(BF221,0)</f>
        <v>18.557001321003963</v>
      </c>
      <c r="BE222" s="75">
        <f>PARAM!$C$26+MAX($G$16-CHOOSE(PARAM!$B$44,MAX(0,BF221*$F$1),0),0)*RATES!$L198/12+$H$16*(PARAM!$D$51/12)*RATES!$N198/100</f>
        <v>13.48682711600749</v>
      </c>
      <c r="BF222" s="16">
        <f t="shared" si="168"/>
        <v>567.2423139671962</v>
      </c>
      <c r="BG222" s="15">
        <f t="shared" si="143"/>
        <v>22.170849845882874</v>
      </c>
      <c r="BH222" s="75">
        <f>BG222*(1-PARAM!$C$27)*$I$17+(MOD($B222,60)=PARAM!$B$56)*($B222&gt;(60-PARAM!$B$56))*HLOOKUP(($B222+PARAM!$B$56)/12,Loyalty,2)*$F$1*MAX(BJ221,0)</f>
        <v>18.557001321003963</v>
      </c>
      <c r="BI222" s="75">
        <f>PARAM!$C$26+MAX($G$17-CHOOSE(PARAM!$B$44,MAX(0,BJ221*$F$1),0),0)*RATES!$L198/12+$H$17*(PARAM!$D$51/12)*RATES!$N198/100</f>
        <v>13.48682711600749</v>
      </c>
      <c r="BJ222" s="16">
        <f t="shared" si="169"/>
        <v>567.2423139671962</v>
      </c>
      <c r="BK222" s="15">
        <f t="shared" si="144"/>
        <v>22.170849845882874</v>
      </c>
      <c r="BL222" s="75">
        <f>BK222*(1-PARAM!$C$27)*$I$18+(MOD($B222,60)=PARAM!$B$56)*($B222&gt;(60-PARAM!$B$56))*HLOOKUP(($B222+PARAM!$B$56)/12,Loyalty,2)*$F$1*MAX(BN221,0)</f>
        <v>18.557001321003963</v>
      </c>
      <c r="BM222" s="75">
        <f>PARAM!$C$26+MAX($G$18-CHOOSE(PARAM!$B$44,MAX(0,BN221*$F$1),0),0)*RATES!$L198/12+$H$18*(PARAM!$D$51/12)*RATES!$N198/100</f>
        <v>13.48682711600749</v>
      </c>
      <c r="BN222" s="16">
        <f t="shared" si="170"/>
        <v>567.2423139671962</v>
      </c>
      <c r="BO222" s="15">
        <f t="shared" si="145"/>
        <v>22.170849845882874</v>
      </c>
      <c r="BP222" s="75">
        <f>BO222*(1-PARAM!$C$27)*$I$19+(MOD($B222,60)=PARAM!$B$56)*($B222&gt;(60-PARAM!$B$56))*HLOOKUP(($B222+PARAM!$B$56)/12,Loyalty,2)*$F$1*MAX(BR221,0)</f>
        <v>18.557001321003963</v>
      </c>
      <c r="BQ222" s="75">
        <f>PARAM!$C$26+MAX($G$19-CHOOSE(PARAM!$B$44,MAX(0,BR221*$F$1),0),0)*RATES!$L198/12+$H$19*(PARAM!$D$51/12)*RATES!$N198/100</f>
        <v>13.48682711600749</v>
      </c>
      <c r="BR222" s="16">
        <f t="shared" si="171"/>
        <v>567.2423139671962</v>
      </c>
      <c r="BS222" s="15">
        <f t="shared" si="146"/>
        <v>22.170849845882874</v>
      </c>
      <c r="BT222" s="75">
        <f>BS222*(1-PARAM!$C$27)*$I$20+(MOD($B222,60)=PARAM!$B$56)*($B222&gt;(60-PARAM!$B$56))*HLOOKUP(($B222+PARAM!$B$56)/12,Loyalty,2)*$F$1*MAX(BV221,0)</f>
        <v>18.557001321003963</v>
      </c>
      <c r="BU222" s="75">
        <f>PARAM!$C$26+MAX($G$20-CHOOSE(PARAM!$B$44,MAX(0,BV221*$F$1),0),0)*RATES!$L198/12+$H$20*(PARAM!$D$51/12)*RATES!$N198/100</f>
        <v>13.48682711600749</v>
      </c>
      <c r="BV222" s="16">
        <f t="shared" si="172"/>
        <v>567.2423139671962</v>
      </c>
      <c r="BW222" s="15">
        <f t="shared" si="147"/>
        <v>22.170849845882874</v>
      </c>
      <c r="BX222" s="75">
        <f>BW222*(1-PARAM!$C$27)*$I$21+(MOD($B222,60)=PARAM!$B$56)*($B222&gt;(60-PARAM!$B$56))*HLOOKUP(($B222+PARAM!$B$56)/12,Loyalty,2)*$F$1*MAX(BZ221,0)</f>
        <v>18.557001321003963</v>
      </c>
      <c r="BY222" s="75">
        <f>PARAM!$C$26+MAX($G$21-CHOOSE(PARAM!$B$44,MAX(0,BZ221*$F$1),0),0)*RATES!$L198/12+$H$21*(PARAM!$D$51/12)*RATES!$N198/100</f>
        <v>13.48682711600749</v>
      </c>
      <c r="BZ222" s="16">
        <f t="shared" si="173"/>
        <v>567.2423139671962</v>
      </c>
      <c r="CA222" s="15">
        <f t="shared" si="148"/>
        <v>22.170849845882874</v>
      </c>
      <c r="CB222" s="75">
        <f>CA222*(1-PARAM!$C$27)*$I$22+(MOD($B222,60)=PARAM!$B$56)*($B222&gt;(60-PARAM!$B$56))*HLOOKUP(($B222+PARAM!$B$56)/12,Loyalty,2)*$F$1*MAX(CD221,0)</f>
        <v>18.557001321003963</v>
      </c>
      <c r="CC222" s="75">
        <f>PARAM!$C$26+MAX($G$22-CHOOSE(PARAM!$B$44,MAX(0,CD221*$F$1),0),0)*RATES!$L198/12+$H$22*(PARAM!$D$51/12)*RATES!$N198/100</f>
        <v>13.48682711600749</v>
      </c>
      <c r="CD222" s="16">
        <f t="shared" si="174"/>
        <v>567.2423139671962</v>
      </c>
      <c r="CE222" s="33">
        <f>IF(0=MOD(B222,12/PARAM!$D$51),1,0)</f>
        <v>1</v>
      </c>
      <c r="CF222" s="15">
        <f t="shared" si="149"/>
        <v>0</v>
      </c>
      <c r="CG222" s="75">
        <f>CF222*(1-PARAM!$C$27)*$R$3+(MOD($B222/12,5)=0)*($B222&gt;60)*HLOOKUP($B222/12,Loyalty,2)*$F$1*MAX(CI221,0)</f>
        <v>0</v>
      </c>
      <c r="CH222" s="75">
        <f>PARAM!$C$26+MAX($P$3-CHOOSE(PARAM!$B$44,MAX(0,CI221*$F$1),0),0)*RATES!$L198/12+$Q$3*(PARAM!$D$51/12)*RATES!$N198/100</f>
        <v>13.583333333333334</v>
      </c>
      <c r="CI222" s="16">
        <f>IF(CI221&gt;0,CI221*PARAM!$C$53,CI221)+CG222-CH222</f>
        <v>-2874.3333333333298</v>
      </c>
      <c r="CJ222" s="15">
        <f t="shared" si="175"/>
        <v>0</v>
      </c>
      <c r="CK222" s="75">
        <f>CJ222*(1-PARAM!$C$27)*$R$4+(MOD($B222/12,5)=0)*($B222&gt;60)*HLOOKUP($B222/12,Loyalty,2)*$F$1*MAX(CM221,0)</f>
        <v>0</v>
      </c>
      <c r="CL222" s="75">
        <f>PARAM!$C$26+MAX($P$4-CHOOSE(PARAM!$B$44,MAX(0,CM221*$F$1),0),0)*RATES!$L198/12+$Q$4*(PARAM!$D$51/12)*RATES!$N198/100</f>
        <v>13.583333333333334</v>
      </c>
      <c r="CM222" s="16">
        <f>IF(CM221&gt;0,CM221*PARAM!$C$53,CM221)+CK222-CL222</f>
        <v>-2874.3333333333298</v>
      </c>
      <c r="CO222" s="176"/>
    </row>
    <row r="223" spans="1:93" x14ac:dyDescent="0.2">
      <c r="A223" t="b">
        <f t="shared" si="150"/>
        <v>1</v>
      </c>
      <c r="B223" s="33">
        <v>196</v>
      </c>
      <c r="C223" s="15">
        <f t="shared" si="151"/>
        <v>20.081305947392778</v>
      </c>
      <c r="D223" s="75">
        <f>C223*(1-PARAM!$C$27)*$I$3+(MOD($B223,60)=PARAM!$B$56)*($B223&gt;(60-PARAM!$B$56))*HLOOKUP(($B223+PARAM!$B$56)/12,Loyalty,2)*$F$1*MAX(F222,0)</f>
        <v>16.808053077967756</v>
      </c>
      <c r="E223" s="75">
        <f>PARAM!$C$26+MAX($G$3-CHOOSE(PARAM!$B$44,MAX(0,F222*$F$1),0),0)*RATES!$L199/12+$H$3*(PARAM!$D$51/12)*RATES!$N199/100</f>
        <v>13.543282092520517</v>
      </c>
      <c r="F223" s="16">
        <f t="shared" si="152"/>
        <v>236.57296989506452</v>
      </c>
      <c r="G223" s="15">
        <f t="shared" si="153"/>
        <v>22.035289406060361</v>
      </c>
      <c r="H223" s="75">
        <f>G223*(1-PARAM!$C$27)*$I$4+(MOD($B223,60)=PARAM!$B$56)*($B223&gt;(60-PARAM!$B$56))*HLOOKUP(($B223+PARAM!$B$56)/12,Loyalty,2)*$F$1*MAX(J222,0)</f>
        <v>18.443537232872522</v>
      </c>
      <c r="I223" s="75">
        <f>PARAM!$C$26+MAX($G$4-CHOOSE(PARAM!$B$44,MAX(0,J222*$F$1),0),0)*RATES!$L199/12+$H$4*(PARAM!$D$51/12)*RATES!$N199/100</f>
        <v>13.489678381643673</v>
      </c>
      <c r="J223" s="16">
        <f t="shared" si="154"/>
        <v>550.51668422789828</v>
      </c>
      <c r="K223" s="15">
        <f t="shared" si="155"/>
        <v>22.170849845882874</v>
      </c>
      <c r="L223" s="75">
        <f>K223*(1-PARAM!$C$27)*$I$5+(MOD($B223,60)=PARAM!$B$56)*($B223&gt;(60-PARAM!$B$56))*HLOOKUP(($B223+PARAM!$B$56)/12,Loyalty,2)*$F$1*MAX(N222,0)</f>
        <v>18.557001321003963</v>
      </c>
      <c r="M223" s="75">
        <f>PARAM!$C$26+MAX($G$5-CHOOSE(PARAM!$B$44,MAX(0,N222*$F$1),0),0)*RATES!$L199/12+$H$5*(PARAM!$D$51/12)*RATES!$N199/100</f>
        <v>13.485956736102299</v>
      </c>
      <c r="N223" s="16">
        <f t="shared" si="156"/>
        <v>572.31335855209795</v>
      </c>
      <c r="O223" s="15">
        <f t="shared" si="157"/>
        <v>22.170849845882874</v>
      </c>
      <c r="P223" s="75">
        <f>O223*(1-PARAM!$C$27)*$I$6+(MOD($B223,60)=PARAM!$B$56)*($B223&gt;(60-PARAM!$B$56))*HLOOKUP(($B223+PARAM!$B$56)/12,Loyalty,2)*$F$1*MAX(R222,0)</f>
        <v>18.557001321003963</v>
      </c>
      <c r="Q223" s="75">
        <f>PARAM!$C$26+MAX($G$6-CHOOSE(PARAM!$B$44,MAX(0,R222*$F$1),0),0)*RATES!$L199/12+$H$6*(PARAM!$D$51/12)*RATES!$N199/100</f>
        <v>13.485956736102299</v>
      </c>
      <c r="R223" s="16">
        <f t="shared" si="158"/>
        <v>572.31335855209795</v>
      </c>
      <c r="S223" s="15">
        <f t="shared" si="133"/>
        <v>22.170849845882874</v>
      </c>
      <c r="T223" s="75">
        <f>S223*(1-PARAM!$C$27)*$I$7+(MOD($B223,60)=PARAM!$B$56)*($B223&gt;(60-PARAM!$B$56))*HLOOKUP(($B223+PARAM!$B$56)/12,Loyalty,2)*$F$1*MAX(V222,0)</f>
        <v>18.557001321003963</v>
      </c>
      <c r="U223" s="75">
        <f>PARAM!$C$26+MAX($G$7-CHOOSE(PARAM!$B$44,MAX(0,V222*$F$1),0),0)*RATES!$L199/12+$H$7*(PARAM!$D$51/12)*RATES!$N199/100</f>
        <v>13.485956736102299</v>
      </c>
      <c r="V223" s="16">
        <f t="shared" si="159"/>
        <v>572.31335855209795</v>
      </c>
      <c r="W223" s="15">
        <f t="shared" si="134"/>
        <v>22.170849845882874</v>
      </c>
      <c r="X223" s="75">
        <f>W223*(1-PARAM!$C$27)*$I$8+(MOD($B223,60)=PARAM!$B$56)*($B223&gt;(60-PARAM!$B$56))*HLOOKUP(($B223+PARAM!$B$56)/12,Loyalty,2)*$F$1*MAX(Z222,0)</f>
        <v>18.557001321003963</v>
      </c>
      <c r="Y223" s="75">
        <f>PARAM!$C$26+MAX($G$8-CHOOSE(PARAM!$B$44,MAX(0,Z222*$F$1),0),0)*RATES!$L199/12+$H$8*(PARAM!$D$51/12)*RATES!$N199/100</f>
        <v>13.485956736102299</v>
      </c>
      <c r="Z223" s="16">
        <f t="shared" si="160"/>
        <v>572.31335855209795</v>
      </c>
      <c r="AA223" s="15">
        <f t="shared" si="135"/>
        <v>22.170849845882874</v>
      </c>
      <c r="AB223" s="75">
        <f>AA223*(1-PARAM!$C$27)*$I$9+(MOD($B223,60)=PARAM!$B$56)*($B223&gt;(60-PARAM!$B$56))*HLOOKUP(($B223+PARAM!$B$56)/12,Loyalty,2)*$F$1*MAX(AD222,0)</f>
        <v>18.557001321003963</v>
      </c>
      <c r="AC223" s="75">
        <f>PARAM!$C$26+MAX($G$9-CHOOSE(PARAM!$B$44,MAX(0,AD222*$F$1),0),0)*RATES!$L199/12+$H$9*(PARAM!$D$51/12)*RATES!$N199/100</f>
        <v>13.485956736102299</v>
      </c>
      <c r="AD223" s="16">
        <f t="shared" si="161"/>
        <v>572.31335855209795</v>
      </c>
      <c r="AE223" s="15">
        <f t="shared" si="136"/>
        <v>22.170849845882874</v>
      </c>
      <c r="AF223" s="75">
        <f>AE223*(1-PARAM!$C$27)*$I$10+(MOD($B223,60)=PARAM!$B$56)*($B223&gt;(60-PARAM!$B$56))*HLOOKUP(($B223+PARAM!$B$56)/12,Loyalty,2)*$F$1*MAX(AH222,0)</f>
        <v>18.557001321003963</v>
      </c>
      <c r="AG223" s="75">
        <f>PARAM!$C$26+MAX($G$10-CHOOSE(PARAM!$B$44,MAX(0,AH222*$F$1),0),0)*RATES!$L199/12+$H$10*(PARAM!$D$51/12)*RATES!$N199/100</f>
        <v>13.485956736102299</v>
      </c>
      <c r="AH223" s="16">
        <f t="shared" si="162"/>
        <v>572.31335855209795</v>
      </c>
      <c r="AI223" s="15">
        <f t="shared" si="137"/>
        <v>22.170849845882874</v>
      </c>
      <c r="AJ223" s="75">
        <f>AI223*(1-PARAM!$C$27)*$I$11+(MOD($B223,60)=PARAM!$B$56)*($B223&gt;(60-PARAM!$B$56))*HLOOKUP(($B223+PARAM!$B$56)/12,Loyalty,2)*$F$1*MAX(AL222,0)</f>
        <v>18.557001321003963</v>
      </c>
      <c r="AK223" s="75">
        <f>PARAM!$C$26+MAX($G$11-CHOOSE(PARAM!$B$44,MAX(0,AL222*$F$1),0),0)*RATES!$L199/12+$H$11*(PARAM!$D$51/12)*RATES!$N199/100</f>
        <v>13.485956736102299</v>
      </c>
      <c r="AL223" s="16">
        <f t="shared" si="163"/>
        <v>572.31335855209795</v>
      </c>
      <c r="AM223" s="15">
        <f t="shared" si="138"/>
        <v>22.170849845882874</v>
      </c>
      <c r="AN223" s="75">
        <f>AM223*(1-PARAM!$C$27)*$I$12+(MOD($B223,60)=PARAM!$B$56)*($B223&gt;(60-PARAM!$B$56))*HLOOKUP(($B223+PARAM!$B$56)/12,Loyalty,2)*$F$1*MAX(AP222,0)</f>
        <v>18.557001321003963</v>
      </c>
      <c r="AO223" s="75">
        <f>PARAM!$C$26+MAX($G$12-CHOOSE(PARAM!$B$44,MAX(0,AP222*$F$1),0),0)*RATES!$L199/12+$H$12*(PARAM!$D$51/12)*RATES!$N199/100</f>
        <v>13.485956736102299</v>
      </c>
      <c r="AP223" s="16">
        <f t="shared" si="164"/>
        <v>572.31335855209795</v>
      </c>
      <c r="AQ223" s="15">
        <f t="shared" si="139"/>
        <v>22.170849845882874</v>
      </c>
      <c r="AR223" s="75">
        <f>AQ223*(1-PARAM!$C$27)*$I$13+(MOD($B223,60)=PARAM!$B$56)*($B223&gt;(60-PARAM!$B$56))*HLOOKUP(($B223+PARAM!$B$56)/12,Loyalty,2)*$F$1*MAX(AT222,0)</f>
        <v>18.557001321003963</v>
      </c>
      <c r="AS223" s="75">
        <f>PARAM!$C$26+MAX($G$13-CHOOSE(PARAM!$B$44,MAX(0,AT222*$F$1),0),0)*RATES!$L199/12+$H$13*(PARAM!$D$51/12)*RATES!$N199/100</f>
        <v>13.485956736102299</v>
      </c>
      <c r="AT223" s="16">
        <f t="shared" si="165"/>
        <v>572.31335855209795</v>
      </c>
      <c r="AU223" s="15">
        <f t="shared" si="140"/>
        <v>22.170849845882874</v>
      </c>
      <c r="AV223" s="75">
        <f>AU223*(1-PARAM!$C$27)*$I$14+(MOD($B223,60)=PARAM!$B$56)*($B223&gt;(60-PARAM!$B$56))*HLOOKUP(($B223+PARAM!$B$56)/12,Loyalty,2)*$F$1*MAX(AX222,0)</f>
        <v>18.557001321003963</v>
      </c>
      <c r="AW223" s="75">
        <f>PARAM!$C$26+MAX($G$14-CHOOSE(PARAM!$B$44,MAX(0,AX222*$F$1),0),0)*RATES!$L199/12+$H$14*(PARAM!$D$51/12)*RATES!$N199/100</f>
        <v>13.485956736102299</v>
      </c>
      <c r="AX223" s="16">
        <f t="shared" si="166"/>
        <v>572.31335855209795</v>
      </c>
      <c r="AY223" s="15">
        <f t="shared" si="141"/>
        <v>22.170849845882874</v>
      </c>
      <c r="AZ223" s="75">
        <f>AY223*(1-PARAM!$C$27)*$I$15+(MOD($B223,60)=PARAM!$B$56)*($B223&gt;(60-PARAM!$B$56))*HLOOKUP(($B223+PARAM!$B$56)/12,Loyalty,2)*$F$1*MAX(BB222,0)</f>
        <v>18.557001321003963</v>
      </c>
      <c r="BA223" s="75">
        <f>PARAM!$C$26+MAX($G$15-CHOOSE(PARAM!$B$44,MAX(0,BB222*$F$1),0),0)*RATES!$L199/12+$H$15*(PARAM!$D$51/12)*RATES!$N199/100</f>
        <v>13.485956736102299</v>
      </c>
      <c r="BB223" s="16">
        <f t="shared" si="167"/>
        <v>572.31335855209795</v>
      </c>
      <c r="BC223" s="15">
        <f t="shared" si="142"/>
        <v>22.170849845882874</v>
      </c>
      <c r="BD223" s="75">
        <f>BC223*(1-PARAM!$C$27)*$I$16+(MOD($B223,60)=PARAM!$B$56)*($B223&gt;(60-PARAM!$B$56))*HLOOKUP(($B223+PARAM!$B$56)/12,Loyalty,2)*$F$1*MAX(BF222,0)</f>
        <v>18.557001321003963</v>
      </c>
      <c r="BE223" s="75">
        <f>PARAM!$C$26+MAX($G$16-CHOOSE(PARAM!$B$44,MAX(0,BF222*$F$1),0),0)*RATES!$L199/12+$H$16*(PARAM!$D$51/12)*RATES!$N199/100</f>
        <v>13.485956736102299</v>
      </c>
      <c r="BF223" s="16">
        <f t="shared" si="168"/>
        <v>572.31335855209795</v>
      </c>
      <c r="BG223" s="15">
        <f t="shared" si="143"/>
        <v>22.170849845882874</v>
      </c>
      <c r="BH223" s="75">
        <f>BG223*(1-PARAM!$C$27)*$I$17+(MOD($B223,60)=PARAM!$B$56)*($B223&gt;(60-PARAM!$B$56))*HLOOKUP(($B223+PARAM!$B$56)/12,Loyalty,2)*$F$1*MAX(BJ222,0)</f>
        <v>18.557001321003963</v>
      </c>
      <c r="BI223" s="75">
        <f>PARAM!$C$26+MAX($G$17-CHOOSE(PARAM!$B$44,MAX(0,BJ222*$F$1),0),0)*RATES!$L199/12+$H$17*(PARAM!$D$51/12)*RATES!$N199/100</f>
        <v>13.485956736102299</v>
      </c>
      <c r="BJ223" s="16">
        <f t="shared" si="169"/>
        <v>572.31335855209795</v>
      </c>
      <c r="BK223" s="15">
        <f t="shared" si="144"/>
        <v>22.170849845882874</v>
      </c>
      <c r="BL223" s="75">
        <f>BK223*(1-PARAM!$C$27)*$I$18+(MOD($B223,60)=PARAM!$B$56)*($B223&gt;(60-PARAM!$B$56))*HLOOKUP(($B223+PARAM!$B$56)/12,Loyalty,2)*$F$1*MAX(BN222,0)</f>
        <v>18.557001321003963</v>
      </c>
      <c r="BM223" s="75">
        <f>PARAM!$C$26+MAX($G$18-CHOOSE(PARAM!$B$44,MAX(0,BN222*$F$1),0),0)*RATES!$L199/12+$H$18*(PARAM!$D$51/12)*RATES!$N199/100</f>
        <v>13.485956736102299</v>
      </c>
      <c r="BN223" s="16">
        <f t="shared" si="170"/>
        <v>572.31335855209795</v>
      </c>
      <c r="BO223" s="15">
        <f t="shared" si="145"/>
        <v>22.170849845882874</v>
      </c>
      <c r="BP223" s="75">
        <f>BO223*(1-PARAM!$C$27)*$I$19+(MOD($B223,60)=PARAM!$B$56)*($B223&gt;(60-PARAM!$B$56))*HLOOKUP(($B223+PARAM!$B$56)/12,Loyalty,2)*$F$1*MAX(BR222,0)</f>
        <v>18.557001321003963</v>
      </c>
      <c r="BQ223" s="75">
        <f>PARAM!$C$26+MAX($G$19-CHOOSE(PARAM!$B$44,MAX(0,BR222*$F$1),0),0)*RATES!$L199/12+$H$19*(PARAM!$D$51/12)*RATES!$N199/100</f>
        <v>13.485956736102299</v>
      </c>
      <c r="BR223" s="16">
        <f t="shared" si="171"/>
        <v>572.31335855209795</v>
      </c>
      <c r="BS223" s="15">
        <f t="shared" si="146"/>
        <v>22.170849845882874</v>
      </c>
      <c r="BT223" s="75">
        <f>BS223*(1-PARAM!$C$27)*$I$20+(MOD($B223,60)=PARAM!$B$56)*($B223&gt;(60-PARAM!$B$56))*HLOOKUP(($B223+PARAM!$B$56)/12,Loyalty,2)*$F$1*MAX(BV222,0)</f>
        <v>18.557001321003963</v>
      </c>
      <c r="BU223" s="75">
        <f>PARAM!$C$26+MAX($G$20-CHOOSE(PARAM!$B$44,MAX(0,BV222*$F$1),0),0)*RATES!$L199/12+$H$20*(PARAM!$D$51/12)*RATES!$N199/100</f>
        <v>13.485956736102299</v>
      </c>
      <c r="BV223" s="16">
        <f t="shared" si="172"/>
        <v>572.31335855209795</v>
      </c>
      <c r="BW223" s="15">
        <f t="shared" si="147"/>
        <v>22.170849845882874</v>
      </c>
      <c r="BX223" s="75">
        <f>BW223*(1-PARAM!$C$27)*$I$21+(MOD($B223,60)=PARAM!$B$56)*($B223&gt;(60-PARAM!$B$56))*HLOOKUP(($B223+PARAM!$B$56)/12,Loyalty,2)*$F$1*MAX(BZ222,0)</f>
        <v>18.557001321003963</v>
      </c>
      <c r="BY223" s="75">
        <f>PARAM!$C$26+MAX($G$21-CHOOSE(PARAM!$B$44,MAX(0,BZ222*$F$1),0),0)*RATES!$L199/12+$H$21*(PARAM!$D$51/12)*RATES!$N199/100</f>
        <v>13.485956736102299</v>
      </c>
      <c r="BZ223" s="16">
        <f t="shared" si="173"/>
        <v>572.31335855209795</v>
      </c>
      <c r="CA223" s="15">
        <f t="shared" si="148"/>
        <v>22.170849845882874</v>
      </c>
      <c r="CB223" s="75">
        <f>CA223*(1-PARAM!$C$27)*$I$22+(MOD($B223,60)=PARAM!$B$56)*($B223&gt;(60-PARAM!$B$56))*HLOOKUP(($B223+PARAM!$B$56)/12,Loyalty,2)*$F$1*MAX(CD222,0)</f>
        <v>18.557001321003963</v>
      </c>
      <c r="CC223" s="75">
        <f>PARAM!$C$26+MAX($G$22-CHOOSE(PARAM!$B$44,MAX(0,CD222*$F$1),0),0)*RATES!$L199/12+$H$22*(PARAM!$D$51/12)*RATES!$N199/100</f>
        <v>13.485956736102299</v>
      </c>
      <c r="CD223" s="16">
        <f t="shared" si="174"/>
        <v>572.31335855209795</v>
      </c>
      <c r="CE223" s="33">
        <f>IF(0=MOD(B223,12/PARAM!$D$51),1,0)</f>
        <v>1</v>
      </c>
      <c r="CF223" s="15">
        <f t="shared" si="149"/>
        <v>0</v>
      </c>
      <c r="CG223" s="75">
        <f>CF223*(1-PARAM!$C$27)*$R$3+(MOD($B223/12,5)=0)*($B223&gt;60)*HLOOKUP($B223/12,Loyalty,2)*$F$1*MAX(CI222,0)</f>
        <v>0</v>
      </c>
      <c r="CH223" s="75">
        <f>PARAM!$C$26+MAX($P$3-CHOOSE(PARAM!$B$44,MAX(0,CI222*$F$1),0),0)*RATES!$L199/12+$Q$3*(PARAM!$D$51/12)*RATES!$N199/100</f>
        <v>13.583333333333334</v>
      </c>
      <c r="CI223" s="16">
        <f>IF(CI222&gt;0,CI222*PARAM!$C$53,CI222)+CG223-CH223</f>
        <v>-2887.9166666666633</v>
      </c>
      <c r="CJ223" s="15">
        <f t="shared" si="175"/>
        <v>0</v>
      </c>
      <c r="CK223" s="75">
        <f>CJ223*(1-PARAM!$C$27)*$R$4+(MOD($B223/12,5)=0)*($B223&gt;60)*HLOOKUP($B223/12,Loyalty,2)*$F$1*MAX(CM222,0)</f>
        <v>0</v>
      </c>
      <c r="CL223" s="75">
        <f>PARAM!$C$26+MAX($P$4-CHOOSE(PARAM!$B$44,MAX(0,CM222*$F$1),0),0)*RATES!$L199/12+$Q$4*(PARAM!$D$51/12)*RATES!$N199/100</f>
        <v>13.583333333333334</v>
      </c>
      <c r="CM223" s="16">
        <f>IF(CM222&gt;0,CM222*PARAM!$C$53,CM222)+CK223-CL223</f>
        <v>-2887.9166666666633</v>
      </c>
      <c r="CO223" s="176"/>
    </row>
    <row r="224" spans="1:93" x14ac:dyDescent="0.2">
      <c r="A224" t="b">
        <f t="shared" si="150"/>
        <v>1</v>
      </c>
      <c r="B224" s="33">
        <v>197</v>
      </c>
      <c r="C224" s="15">
        <f t="shared" si="151"/>
        <v>20.081305947392778</v>
      </c>
      <c r="D224" s="75">
        <f>C224*(1-PARAM!$C$27)*$I$3+(MOD($B224,60)=PARAM!$B$56)*($B224&gt;(60-PARAM!$B$56))*HLOOKUP(($B224+PARAM!$B$56)/12,Loyalty,2)*$F$1*MAX(F223,0)</f>
        <v>16.808053077967756</v>
      </c>
      <c r="E224" s="75">
        <f>PARAM!$C$26+MAX($G$3-CHOOSE(PARAM!$B$44,MAX(0,F223*$F$1),0),0)*RATES!$L200/12+$H$3*(PARAM!$D$51/12)*RATES!$N200/100</f>
        <v>13.542721640168015</v>
      </c>
      <c r="F224" s="16">
        <f t="shared" si="152"/>
        <v>239.83830133286423</v>
      </c>
      <c r="G224" s="15">
        <f t="shared" si="153"/>
        <v>22.035289406060361</v>
      </c>
      <c r="H224" s="75">
        <f>G224*(1-PARAM!$C$27)*$I$4+(MOD($B224,60)=PARAM!$B$56)*($B224&gt;(60-PARAM!$B$56))*HLOOKUP(($B224+PARAM!$B$56)/12,Loyalty,2)*$F$1*MAX(J223,0)</f>
        <v>18.443537232872522</v>
      </c>
      <c r="I224" s="75">
        <f>PARAM!$C$26+MAX($G$4-CHOOSE(PARAM!$B$44,MAX(0,J223*$F$1),0),0)*RATES!$L200/12+$H$4*(PARAM!$D$51/12)*RATES!$N200/100</f>
        <v>13.488827969207545</v>
      </c>
      <c r="J224" s="16">
        <f t="shared" si="154"/>
        <v>555.47139349156316</v>
      </c>
      <c r="K224" s="15">
        <f t="shared" si="155"/>
        <v>22.170849845882874</v>
      </c>
      <c r="L224" s="75">
        <f>K224*(1-PARAM!$C$27)*$I$5+(MOD($B224,60)=PARAM!$B$56)*($B224&gt;(60-PARAM!$B$56))*HLOOKUP(($B224+PARAM!$B$56)/12,Loyalty,2)*$F$1*MAX(N223,0)</f>
        <v>18.557001321003963</v>
      </c>
      <c r="M224" s="75">
        <f>PARAM!$C$26+MAX($G$5-CHOOSE(PARAM!$B$44,MAX(0,N223*$F$1),0),0)*RATES!$L200/12+$H$5*(PARAM!$D$51/12)*RATES!$N200/100</f>
        <v>13.48508620678189</v>
      </c>
      <c r="N224" s="16">
        <f t="shared" si="156"/>
        <v>577.38527366632002</v>
      </c>
      <c r="O224" s="15">
        <f t="shared" si="157"/>
        <v>22.170849845882874</v>
      </c>
      <c r="P224" s="75">
        <f>O224*(1-PARAM!$C$27)*$I$6+(MOD($B224,60)=PARAM!$B$56)*($B224&gt;(60-PARAM!$B$56))*HLOOKUP(($B224+PARAM!$B$56)/12,Loyalty,2)*$F$1*MAX(R223,0)</f>
        <v>18.557001321003963</v>
      </c>
      <c r="Q224" s="75">
        <f>PARAM!$C$26+MAX($G$6-CHOOSE(PARAM!$B$44,MAX(0,R223*$F$1),0),0)*RATES!$L200/12+$H$6*(PARAM!$D$51/12)*RATES!$N200/100</f>
        <v>13.48508620678189</v>
      </c>
      <c r="R224" s="16">
        <f t="shared" si="158"/>
        <v>577.38527366632002</v>
      </c>
      <c r="S224" s="15">
        <f t="shared" si="133"/>
        <v>22.170849845882874</v>
      </c>
      <c r="T224" s="75">
        <f>S224*(1-PARAM!$C$27)*$I$7+(MOD($B224,60)=PARAM!$B$56)*($B224&gt;(60-PARAM!$B$56))*HLOOKUP(($B224+PARAM!$B$56)/12,Loyalty,2)*$F$1*MAX(V223,0)</f>
        <v>18.557001321003963</v>
      </c>
      <c r="U224" s="75">
        <f>PARAM!$C$26+MAX($G$7-CHOOSE(PARAM!$B$44,MAX(0,V223*$F$1),0),0)*RATES!$L200/12+$H$7*(PARAM!$D$51/12)*RATES!$N200/100</f>
        <v>13.48508620678189</v>
      </c>
      <c r="V224" s="16">
        <f t="shared" si="159"/>
        <v>577.38527366632002</v>
      </c>
      <c r="W224" s="15">
        <f t="shared" si="134"/>
        <v>22.170849845882874</v>
      </c>
      <c r="X224" s="75">
        <f>W224*(1-PARAM!$C$27)*$I$8+(MOD($B224,60)=PARAM!$B$56)*($B224&gt;(60-PARAM!$B$56))*HLOOKUP(($B224+PARAM!$B$56)/12,Loyalty,2)*$F$1*MAX(Z223,0)</f>
        <v>18.557001321003963</v>
      </c>
      <c r="Y224" s="75">
        <f>PARAM!$C$26+MAX($G$8-CHOOSE(PARAM!$B$44,MAX(0,Z223*$F$1),0),0)*RATES!$L200/12+$H$8*(PARAM!$D$51/12)*RATES!$N200/100</f>
        <v>13.48508620678189</v>
      </c>
      <c r="Z224" s="16">
        <f t="shared" si="160"/>
        <v>577.38527366632002</v>
      </c>
      <c r="AA224" s="15">
        <f t="shared" si="135"/>
        <v>22.170849845882874</v>
      </c>
      <c r="AB224" s="75">
        <f>AA224*(1-PARAM!$C$27)*$I$9+(MOD($B224,60)=PARAM!$B$56)*($B224&gt;(60-PARAM!$B$56))*HLOOKUP(($B224+PARAM!$B$56)/12,Loyalty,2)*$F$1*MAX(AD223,0)</f>
        <v>18.557001321003963</v>
      </c>
      <c r="AC224" s="75">
        <f>PARAM!$C$26+MAX($G$9-CHOOSE(PARAM!$B$44,MAX(0,AD223*$F$1),0),0)*RATES!$L200/12+$H$9*(PARAM!$D$51/12)*RATES!$N200/100</f>
        <v>13.48508620678189</v>
      </c>
      <c r="AD224" s="16">
        <f t="shared" si="161"/>
        <v>577.38527366632002</v>
      </c>
      <c r="AE224" s="15">
        <f t="shared" si="136"/>
        <v>22.170849845882874</v>
      </c>
      <c r="AF224" s="75">
        <f>AE224*(1-PARAM!$C$27)*$I$10+(MOD($B224,60)=PARAM!$B$56)*($B224&gt;(60-PARAM!$B$56))*HLOOKUP(($B224+PARAM!$B$56)/12,Loyalty,2)*$F$1*MAX(AH223,0)</f>
        <v>18.557001321003963</v>
      </c>
      <c r="AG224" s="75">
        <f>PARAM!$C$26+MAX($G$10-CHOOSE(PARAM!$B$44,MAX(0,AH223*$F$1),0),0)*RATES!$L200/12+$H$10*(PARAM!$D$51/12)*RATES!$N200/100</f>
        <v>13.48508620678189</v>
      </c>
      <c r="AH224" s="16">
        <f t="shared" si="162"/>
        <v>577.38527366632002</v>
      </c>
      <c r="AI224" s="15">
        <f t="shared" si="137"/>
        <v>22.170849845882874</v>
      </c>
      <c r="AJ224" s="75">
        <f>AI224*(1-PARAM!$C$27)*$I$11+(MOD($B224,60)=PARAM!$B$56)*($B224&gt;(60-PARAM!$B$56))*HLOOKUP(($B224+PARAM!$B$56)/12,Loyalty,2)*$F$1*MAX(AL223,0)</f>
        <v>18.557001321003963</v>
      </c>
      <c r="AK224" s="75">
        <f>PARAM!$C$26+MAX($G$11-CHOOSE(PARAM!$B$44,MAX(0,AL223*$F$1),0),0)*RATES!$L200/12+$H$11*(PARAM!$D$51/12)*RATES!$N200/100</f>
        <v>13.48508620678189</v>
      </c>
      <c r="AL224" s="16">
        <f t="shared" si="163"/>
        <v>577.38527366632002</v>
      </c>
      <c r="AM224" s="15">
        <f t="shared" si="138"/>
        <v>22.170849845882874</v>
      </c>
      <c r="AN224" s="75">
        <f>AM224*(1-PARAM!$C$27)*$I$12+(MOD($B224,60)=PARAM!$B$56)*($B224&gt;(60-PARAM!$B$56))*HLOOKUP(($B224+PARAM!$B$56)/12,Loyalty,2)*$F$1*MAX(AP223,0)</f>
        <v>18.557001321003963</v>
      </c>
      <c r="AO224" s="75">
        <f>PARAM!$C$26+MAX($G$12-CHOOSE(PARAM!$B$44,MAX(0,AP223*$F$1),0),0)*RATES!$L200/12+$H$12*(PARAM!$D$51/12)*RATES!$N200/100</f>
        <v>13.48508620678189</v>
      </c>
      <c r="AP224" s="16">
        <f t="shared" si="164"/>
        <v>577.38527366632002</v>
      </c>
      <c r="AQ224" s="15">
        <f t="shared" si="139"/>
        <v>22.170849845882874</v>
      </c>
      <c r="AR224" s="75">
        <f>AQ224*(1-PARAM!$C$27)*$I$13+(MOD($B224,60)=PARAM!$B$56)*($B224&gt;(60-PARAM!$B$56))*HLOOKUP(($B224+PARAM!$B$56)/12,Loyalty,2)*$F$1*MAX(AT223,0)</f>
        <v>18.557001321003963</v>
      </c>
      <c r="AS224" s="75">
        <f>PARAM!$C$26+MAX($G$13-CHOOSE(PARAM!$B$44,MAX(0,AT223*$F$1),0),0)*RATES!$L200/12+$H$13*(PARAM!$D$51/12)*RATES!$N200/100</f>
        <v>13.48508620678189</v>
      </c>
      <c r="AT224" s="16">
        <f t="shared" si="165"/>
        <v>577.38527366632002</v>
      </c>
      <c r="AU224" s="15">
        <f t="shared" si="140"/>
        <v>22.170849845882874</v>
      </c>
      <c r="AV224" s="75">
        <f>AU224*(1-PARAM!$C$27)*$I$14+(MOD($B224,60)=PARAM!$B$56)*($B224&gt;(60-PARAM!$B$56))*HLOOKUP(($B224+PARAM!$B$56)/12,Loyalty,2)*$F$1*MAX(AX223,0)</f>
        <v>18.557001321003963</v>
      </c>
      <c r="AW224" s="75">
        <f>PARAM!$C$26+MAX($G$14-CHOOSE(PARAM!$B$44,MAX(0,AX223*$F$1),0),0)*RATES!$L200/12+$H$14*(PARAM!$D$51/12)*RATES!$N200/100</f>
        <v>13.48508620678189</v>
      </c>
      <c r="AX224" s="16">
        <f t="shared" si="166"/>
        <v>577.38527366632002</v>
      </c>
      <c r="AY224" s="15">
        <f t="shared" si="141"/>
        <v>22.170849845882874</v>
      </c>
      <c r="AZ224" s="75">
        <f>AY224*(1-PARAM!$C$27)*$I$15+(MOD($B224,60)=PARAM!$B$56)*($B224&gt;(60-PARAM!$B$56))*HLOOKUP(($B224+PARAM!$B$56)/12,Loyalty,2)*$F$1*MAX(BB223,0)</f>
        <v>18.557001321003963</v>
      </c>
      <c r="BA224" s="75">
        <f>PARAM!$C$26+MAX($G$15-CHOOSE(PARAM!$B$44,MAX(0,BB223*$F$1),0),0)*RATES!$L200/12+$H$15*(PARAM!$D$51/12)*RATES!$N200/100</f>
        <v>13.48508620678189</v>
      </c>
      <c r="BB224" s="16">
        <f t="shared" si="167"/>
        <v>577.38527366632002</v>
      </c>
      <c r="BC224" s="15">
        <f t="shared" si="142"/>
        <v>22.170849845882874</v>
      </c>
      <c r="BD224" s="75">
        <f>BC224*(1-PARAM!$C$27)*$I$16+(MOD($B224,60)=PARAM!$B$56)*($B224&gt;(60-PARAM!$B$56))*HLOOKUP(($B224+PARAM!$B$56)/12,Loyalty,2)*$F$1*MAX(BF223,0)</f>
        <v>18.557001321003963</v>
      </c>
      <c r="BE224" s="75">
        <f>PARAM!$C$26+MAX($G$16-CHOOSE(PARAM!$B$44,MAX(0,BF223*$F$1),0),0)*RATES!$L200/12+$H$16*(PARAM!$D$51/12)*RATES!$N200/100</f>
        <v>13.48508620678189</v>
      </c>
      <c r="BF224" s="16">
        <f t="shared" si="168"/>
        <v>577.38527366632002</v>
      </c>
      <c r="BG224" s="15">
        <f t="shared" si="143"/>
        <v>22.170849845882874</v>
      </c>
      <c r="BH224" s="75">
        <f>BG224*(1-PARAM!$C$27)*$I$17+(MOD($B224,60)=PARAM!$B$56)*($B224&gt;(60-PARAM!$B$56))*HLOOKUP(($B224+PARAM!$B$56)/12,Loyalty,2)*$F$1*MAX(BJ223,0)</f>
        <v>18.557001321003963</v>
      </c>
      <c r="BI224" s="75">
        <f>PARAM!$C$26+MAX($G$17-CHOOSE(PARAM!$B$44,MAX(0,BJ223*$F$1),0),0)*RATES!$L200/12+$H$17*(PARAM!$D$51/12)*RATES!$N200/100</f>
        <v>13.48508620678189</v>
      </c>
      <c r="BJ224" s="16">
        <f t="shared" si="169"/>
        <v>577.38527366632002</v>
      </c>
      <c r="BK224" s="15">
        <f t="shared" si="144"/>
        <v>22.170849845882874</v>
      </c>
      <c r="BL224" s="75">
        <f>BK224*(1-PARAM!$C$27)*$I$18+(MOD($B224,60)=PARAM!$B$56)*($B224&gt;(60-PARAM!$B$56))*HLOOKUP(($B224+PARAM!$B$56)/12,Loyalty,2)*$F$1*MAX(BN223,0)</f>
        <v>18.557001321003963</v>
      </c>
      <c r="BM224" s="75">
        <f>PARAM!$C$26+MAX($G$18-CHOOSE(PARAM!$B$44,MAX(0,BN223*$F$1),0),0)*RATES!$L200/12+$H$18*(PARAM!$D$51/12)*RATES!$N200/100</f>
        <v>13.48508620678189</v>
      </c>
      <c r="BN224" s="16">
        <f t="shared" si="170"/>
        <v>577.38527366632002</v>
      </c>
      <c r="BO224" s="15">
        <f t="shared" si="145"/>
        <v>22.170849845882874</v>
      </c>
      <c r="BP224" s="75">
        <f>BO224*(1-PARAM!$C$27)*$I$19+(MOD($B224,60)=PARAM!$B$56)*($B224&gt;(60-PARAM!$B$56))*HLOOKUP(($B224+PARAM!$B$56)/12,Loyalty,2)*$F$1*MAX(BR223,0)</f>
        <v>18.557001321003963</v>
      </c>
      <c r="BQ224" s="75">
        <f>PARAM!$C$26+MAX($G$19-CHOOSE(PARAM!$B$44,MAX(0,BR223*$F$1),0),0)*RATES!$L200/12+$H$19*(PARAM!$D$51/12)*RATES!$N200/100</f>
        <v>13.48508620678189</v>
      </c>
      <c r="BR224" s="16">
        <f t="shared" si="171"/>
        <v>577.38527366632002</v>
      </c>
      <c r="BS224" s="15">
        <f t="shared" si="146"/>
        <v>22.170849845882874</v>
      </c>
      <c r="BT224" s="75">
        <f>BS224*(1-PARAM!$C$27)*$I$20+(MOD($B224,60)=PARAM!$B$56)*($B224&gt;(60-PARAM!$B$56))*HLOOKUP(($B224+PARAM!$B$56)/12,Loyalty,2)*$F$1*MAX(BV223,0)</f>
        <v>18.557001321003963</v>
      </c>
      <c r="BU224" s="75">
        <f>PARAM!$C$26+MAX($G$20-CHOOSE(PARAM!$B$44,MAX(0,BV223*$F$1),0),0)*RATES!$L200/12+$H$20*(PARAM!$D$51/12)*RATES!$N200/100</f>
        <v>13.48508620678189</v>
      </c>
      <c r="BV224" s="16">
        <f t="shared" si="172"/>
        <v>577.38527366632002</v>
      </c>
      <c r="BW224" s="15">
        <f t="shared" si="147"/>
        <v>22.170849845882874</v>
      </c>
      <c r="BX224" s="75">
        <f>BW224*(1-PARAM!$C$27)*$I$21+(MOD($B224,60)=PARAM!$B$56)*($B224&gt;(60-PARAM!$B$56))*HLOOKUP(($B224+PARAM!$B$56)/12,Loyalty,2)*$F$1*MAX(BZ223,0)</f>
        <v>18.557001321003963</v>
      </c>
      <c r="BY224" s="75">
        <f>PARAM!$C$26+MAX($G$21-CHOOSE(PARAM!$B$44,MAX(0,BZ223*$F$1),0),0)*RATES!$L200/12+$H$21*(PARAM!$D$51/12)*RATES!$N200/100</f>
        <v>13.48508620678189</v>
      </c>
      <c r="BZ224" s="16">
        <f t="shared" si="173"/>
        <v>577.38527366632002</v>
      </c>
      <c r="CA224" s="15">
        <f t="shared" si="148"/>
        <v>22.170849845882874</v>
      </c>
      <c r="CB224" s="75">
        <f>CA224*(1-PARAM!$C$27)*$I$22+(MOD($B224,60)=PARAM!$B$56)*($B224&gt;(60-PARAM!$B$56))*HLOOKUP(($B224+PARAM!$B$56)/12,Loyalty,2)*$F$1*MAX(CD223,0)</f>
        <v>18.557001321003963</v>
      </c>
      <c r="CC224" s="75">
        <f>PARAM!$C$26+MAX($G$22-CHOOSE(PARAM!$B$44,MAX(0,CD223*$F$1),0),0)*RATES!$L200/12+$H$22*(PARAM!$D$51/12)*RATES!$N200/100</f>
        <v>13.48508620678189</v>
      </c>
      <c r="CD224" s="16">
        <f t="shared" si="174"/>
        <v>577.38527366632002</v>
      </c>
      <c r="CE224" s="33">
        <f>IF(0=MOD(B224,12/PARAM!$D$51),1,0)</f>
        <v>1</v>
      </c>
      <c r="CF224" s="15">
        <f t="shared" si="149"/>
        <v>0</v>
      </c>
      <c r="CG224" s="75">
        <f>CF224*(1-PARAM!$C$27)*$R$3+(MOD($B224/12,5)=0)*($B224&gt;60)*HLOOKUP($B224/12,Loyalty,2)*$F$1*MAX(CI223,0)</f>
        <v>0</v>
      </c>
      <c r="CH224" s="75">
        <f>PARAM!$C$26+MAX($P$3-CHOOSE(PARAM!$B$44,MAX(0,CI223*$F$1),0),0)*RATES!$L200/12+$Q$3*(PARAM!$D$51/12)*RATES!$N200/100</f>
        <v>13.583333333333334</v>
      </c>
      <c r="CI224" s="16">
        <f>IF(CI223&gt;0,CI223*PARAM!$C$53,CI223)+CG224-CH224</f>
        <v>-2901.4999999999968</v>
      </c>
      <c r="CJ224" s="15">
        <f t="shared" si="175"/>
        <v>0</v>
      </c>
      <c r="CK224" s="75">
        <f>CJ224*(1-PARAM!$C$27)*$R$4+(MOD($B224/12,5)=0)*($B224&gt;60)*HLOOKUP($B224/12,Loyalty,2)*$F$1*MAX(CM223,0)</f>
        <v>0</v>
      </c>
      <c r="CL224" s="75">
        <f>PARAM!$C$26+MAX($P$4-CHOOSE(PARAM!$B$44,MAX(0,CM223*$F$1),0),0)*RATES!$L200/12+$Q$4*(PARAM!$D$51/12)*RATES!$N200/100</f>
        <v>13.583333333333334</v>
      </c>
      <c r="CM224" s="16">
        <f>IF(CM223&gt;0,CM223*PARAM!$C$53,CM223)+CK224-CL224</f>
        <v>-2901.4999999999968</v>
      </c>
      <c r="CO224" s="176"/>
    </row>
    <row r="225" spans="1:93" x14ac:dyDescent="0.2">
      <c r="A225" t="b">
        <f t="shared" si="150"/>
        <v>1</v>
      </c>
      <c r="B225" s="33">
        <v>198</v>
      </c>
      <c r="C225" s="15">
        <f t="shared" si="151"/>
        <v>20.081305947392778</v>
      </c>
      <c r="D225" s="75">
        <f>C225*(1-PARAM!$C$27)*$I$3+(MOD($B225,60)=PARAM!$B$56)*($B225&gt;(60-PARAM!$B$56))*HLOOKUP(($B225+PARAM!$B$56)/12,Loyalty,2)*$F$1*MAX(F224,0)</f>
        <v>16.808053077967756</v>
      </c>
      <c r="E225" s="75">
        <f>PARAM!$C$26+MAX($G$3-CHOOSE(PARAM!$B$44,MAX(0,F224*$F$1),0),0)*RATES!$L201/12+$H$3*(PARAM!$D$51/12)*RATES!$N201/100</f>
        <v>14.578831126993423</v>
      </c>
      <c r="F225" s="16">
        <f t="shared" si="152"/>
        <v>242.06752328383854</v>
      </c>
      <c r="G225" s="15">
        <f t="shared" si="153"/>
        <v>22.035289406060361</v>
      </c>
      <c r="H225" s="75">
        <f>G225*(1-PARAM!$C$27)*$I$4+(MOD($B225,60)=PARAM!$B$56)*($B225&gt;(60-PARAM!$B$56))*HLOOKUP(($B225+PARAM!$B$56)/12,Loyalty,2)*$F$1*MAX(J224,0)</f>
        <v>18.443537232872522</v>
      </c>
      <c r="I225" s="75">
        <f>PARAM!$C$26+MAX($G$4-CHOOSE(PARAM!$B$44,MAX(0,J224*$F$1),0),0)*RATES!$L201/12+$H$4*(PARAM!$D$51/12)*RATES!$N201/100</f>
        <v>14.518071756752875</v>
      </c>
      <c r="J225" s="16">
        <f t="shared" si="154"/>
        <v>559.39685896768276</v>
      </c>
      <c r="K225" s="15">
        <f t="shared" si="155"/>
        <v>22.170849845882874</v>
      </c>
      <c r="L225" s="75">
        <f>K225*(1-PARAM!$C$27)*$I$5+(MOD($B225,60)=PARAM!$B$56)*($B225&gt;(60-PARAM!$B$56))*HLOOKUP(($B225+PARAM!$B$56)/12,Loyalty,2)*$F$1*MAX(N224,0)</f>
        <v>18.557001321003963</v>
      </c>
      <c r="M225" s="75">
        <f>PARAM!$C$26+MAX($G$5-CHOOSE(PARAM!$B$44,MAX(0,N224*$F$1),0),0)*RATES!$L201/12+$H$5*(PARAM!$D$51/12)*RATES!$N201/100</f>
        <v>14.513853334819233</v>
      </c>
      <c r="N225" s="16">
        <f t="shared" si="156"/>
        <v>581.42842165250477</v>
      </c>
      <c r="O225" s="15">
        <f t="shared" si="157"/>
        <v>22.170849845882874</v>
      </c>
      <c r="P225" s="75">
        <f>O225*(1-PARAM!$C$27)*$I$6+(MOD($B225,60)=PARAM!$B$56)*($B225&gt;(60-PARAM!$B$56))*HLOOKUP(($B225+PARAM!$B$56)/12,Loyalty,2)*$F$1*MAX(R224,0)</f>
        <v>18.557001321003963</v>
      </c>
      <c r="Q225" s="75">
        <f>PARAM!$C$26+MAX($G$6-CHOOSE(PARAM!$B$44,MAX(0,R224*$F$1),0),0)*RATES!$L201/12+$H$6*(PARAM!$D$51/12)*RATES!$N201/100</f>
        <v>14.513853334819233</v>
      </c>
      <c r="R225" s="16">
        <f t="shared" si="158"/>
        <v>581.42842165250477</v>
      </c>
      <c r="S225" s="15">
        <f t="shared" si="133"/>
        <v>22.170849845882874</v>
      </c>
      <c r="T225" s="75">
        <f>S225*(1-PARAM!$C$27)*$I$7+(MOD($B225,60)=PARAM!$B$56)*($B225&gt;(60-PARAM!$B$56))*HLOOKUP(($B225+PARAM!$B$56)/12,Loyalty,2)*$F$1*MAX(V224,0)</f>
        <v>18.557001321003963</v>
      </c>
      <c r="U225" s="75">
        <f>PARAM!$C$26+MAX($G$7-CHOOSE(PARAM!$B$44,MAX(0,V224*$F$1),0),0)*RATES!$L201/12+$H$7*(PARAM!$D$51/12)*RATES!$N201/100</f>
        <v>14.513853334819233</v>
      </c>
      <c r="V225" s="16">
        <f t="shared" si="159"/>
        <v>581.42842165250477</v>
      </c>
      <c r="W225" s="15">
        <f t="shared" si="134"/>
        <v>22.170849845882874</v>
      </c>
      <c r="X225" s="75">
        <f>W225*(1-PARAM!$C$27)*$I$8+(MOD($B225,60)=PARAM!$B$56)*($B225&gt;(60-PARAM!$B$56))*HLOOKUP(($B225+PARAM!$B$56)/12,Loyalty,2)*$F$1*MAX(Z224,0)</f>
        <v>18.557001321003963</v>
      </c>
      <c r="Y225" s="75">
        <f>PARAM!$C$26+MAX($G$8-CHOOSE(PARAM!$B$44,MAX(0,Z224*$F$1),0),0)*RATES!$L201/12+$H$8*(PARAM!$D$51/12)*RATES!$N201/100</f>
        <v>14.513853334819233</v>
      </c>
      <c r="Z225" s="16">
        <f t="shared" si="160"/>
        <v>581.42842165250477</v>
      </c>
      <c r="AA225" s="15">
        <f t="shared" si="135"/>
        <v>22.170849845882874</v>
      </c>
      <c r="AB225" s="75">
        <f>AA225*(1-PARAM!$C$27)*$I$9+(MOD($B225,60)=PARAM!$B$56)*($B225&gt;(60-PARAM!$B$56))*HLOOKUP(($B225+PARAM!$B$56)/12,Loyalty,2)*$F$1*MAX(AD224,0)</f>
        <v>18.557001321003963</v>
      </c>
      <c r="AC225" s="75">
        <f>PARAM!$C$26+MAX($G$9-CHOOSE(PARAM!$B$44,MAX(0,AD224*$F$1),0),0)*RATES!$L201/12+$H$9*(PARAM!$D$51/12)*RATES!$N201/100</f>
        <v>14.513853334819233</v>
      </c>
      <c r="AD225" s="16">
        <f t="shared" si="161"/>
        <v>581.42842165250477</v>
      </c>
      <c r="AE225" s="15">
        <f t="shared" si="136"/>
        <v>22.170849845882874</v>
      </c>
      <c r="AF225" s="75">
        <f>AE225*(1-PARAM!$C$27)*$I$10+(MOD($B225,60)=PARAM!$B$56)*($B225&gt;(60-PARAM!$B$56))*HLOOKUP(($B225+PARAM!$B$56)/12,Loyalty,2)*$F$1*MAX(AH224,0)</f>
        <v>18.557001321003963</v>
      </c>
      <c r="AG225" s="75">
        <f>PARAM!$C$26+MAX($G$10-CHOOSE(PARAM!$B$44,MAX(0,AH224*$F$1),0),0)*RATES!$L201/12+$H$10*(PARAM!$D$51/12)*RATES!$N201/100</f>
        <v>14.513853334819233</v>
      </c>
      <c r="AH225" s="16">
        <f t="shared" si="162"/>
        <v>581.42842165250477</v>
      </c>
      <c r="AI225" s="15">
        <f t="shared" si="137"/>
        <v>22.170849845882874</v>
      </c>
      <c r="AJ225" s="75">
        <f>AI225*(1-PARAM!$C$27)*$I$11+(MOD($B225,60)=PARAM!$B$56)*($B225&gt;(60-PARAM!$B$56))*HLOOKUP(($B225+PARAM!$B$56)/12,Loyalty,2)*$F$1*MAX(AL224,0)</f>
        <v>18.557001321003963</v>
      </c>
      <c r="AK225" s="75">
        <f>PARAM!$C$26+MAX($G$11-CHOOSE(PARAM!$B$44,MAX(0,AL224*$F$1),0),0)*RATES!$L201/12+$H$11*(PARAM!$D$51/12)*RATES!$N201/100</f>
        <v>14.513853334819233</v>
      </c>
      <c r="AL225" s="16">
        <f t="shared" si="163"/>
        <v>581.42842165250477</v>
      </c>
      <c r="AM225" s="15">
        <f t="shared" si="138"/>
        <v>22.170849845882874</v>
      </c>
      <c r="AN225" s="75">
        <f>AM225*(1-PARAM!$C$27)*$I$12+(MOD($B225,60)=PARAM!$B$56)*($B225&gt;(60-PARAM!$B$56))*HLOOKUP(($B225+PARAM!$B$56)/12,Loyalty,2)*$F$1*MAX(AP224,0)</f>
        <v>18.557001321003963</v>
      </c>
      <c r="AO225" s="75">
        <f>PARAM!$C$26+MAX($G$12-CHOOSE(PARAM!$B$44,MAX(0,AP224*$F$1),0),0)*RATES!$L201/12+$H$12*(PARAM!$D$51/12)*RATES!$N201/100</f>
        <v>14.513853334819233</v>
      </c>
      <c r="AP225" s="16">
        <f t="shared" si="164"/>
        <v>581.42842165250477</v>
      </c>
      <c r="AQ225" s="15">
        <f t="shared" si="139"/>
        <v>22.170849845882874</v>
      </c>
      <c r="AR225" s="75">
        <f>AQ225*(1-PARAM!$C$27)*$I$13+(MOD($B225,60)=PARAM!$B$56)*($B225&gt;(60-PARAM!$B$56))*HLOOKUP(($B225+PARAM!$B$56)/12,Loyalty,2)*$F$1*MAX(AT224,0)</f>
        <v>18.557001321003963</v>
      </c>
      <c r="AS225" s="75">
        <f>PARAM!$C$26+MAX($G$13-CHOOSE(PARAM!$B$44,MAX(0,AT224*$F$1),0),0)*RATES!$L201/12+$H$13*(PARAM!$D$51/12)*RATES!$N201/100</f>
        <v>14.513853334819233</v>
      </c>
      <c r="AT225" s="16">
        <f t="shared" si="165"/>
        <v>581.42842165250477</v>
      </c>
      <c r="AU225" s="15">
        <f t="shared" si="140"/>
        <v>22.170849845882874</v>
      </c>
      <c r="AV225" s="75">
        <f>AU225*(1-PARAM!$C$27)*$I$14+(MOD($B225,60)=PARAM!$B$56)*($B225&gt;(60-PARAM!$B$56))*HLOOKUP(($B225+PARAM!$B$56)/12,Loyalty,2)*$F$1*MAX(AX224,0)</f>
        <v>18.557001321003963</v>
      </c>
      <c r="AW225" s="75">
        <f>PARAM!$C$26+MAX($G$14-CHOOSE(PARAM!$B$44,MAX(0,AX224*$F$1),0),0)*RATES!$L201/12+$H$14*(PARAM!$D$51/12)*RATES!$N201/100</f>
        <v>14.513853334819233</v>
      </c>
      <c r="AX225" s="16">
        <f t="shared" si="166"/>
        <v>581.42842165250477</v>
      </c>
      <c r="AY225" s="15">
        <f t="shared" si="141"/>
        <v>22.170849845882874</v>
      </c>
      <c r="AZ225" s="75">
        <f>AY225*(1-PARAM!$C$27)*$I$15+(MOD($B225,60)=PARAM!$B$56)*($B225&gt;(60-PARAM!$B$56))*HLOOKUP(($B225+PARAM!$B$56)/12,Loyalty,2)*$F$1*MAX(BB224,0)</f>
        <v>18.557001321003963</v>
      </c>
      <c r="BA225" s="75">
        <f>PARAM!$C$26+MAX($G$15-CHOOSE(PARAM!$B$44,MAX(0,BB224*$F$1),0),0)*RATES!$L201/12+$H$15*(PARAM!$D$51/12)*RATES!$N201/100</f>
        <v>14.513853334819233</v>
      </c>
      <c r="BB225" s="16">
        <f t="shared" si="167"/>
        <v>581.42842165250477</v>
      </c>
      <c r="BC225" s="15">
        <f t="shared" si="142"/>
        <v>22.170849845882874</v>
      </c>
      <c r="BD225" s="75">
        <f>BC225*(1-PARAM!$C$27)*$I$16+(MOD($B225,60)=PARAM!$B$56)*($B225&gt;(60-PARAM!$B$56))*HLOOKUP(($B225+PARAM!$B$56)/12,Loyalty,2)*$F$1*MAX(BF224,0)</f>
        <v>18.557001321003963</v>
      </c>
      <c r="BE225" s="75">
        <f>PARAM!$C$26+MAX($G$16-CHOOSE(PARAM!$B$44,MAX(0,BF224*$F$1),0),0)*RATES!$L201/12+$H$16*(PARAM!$D$51/12)*RATES!$N201/100</f>
        <v>14.513853334819233</v>
      </c>
      <c r="BF225" s="16">
        <f t="shared" si="168"/>
        <v>581.42842165250477</v>
      </c>
      <c r="BG225" s="15">
        <f t="shared" si="143"/>
        <v>22.170849845882874</v>
      </c>
      <c r="BH225" s="75">
        <f>BG225*(1-PARAM!$C$27)*$I$17+(MOD($B225,60)=PARAM!$B$56)*($B225&gt;(60-PARAM!$B$56))*HLOOKUP(($B225+PARAM!$B$56)/12,Loyalty,2)*$F$1*MAX(BJ224,0)</f>
        <v>18.557001321003963</v>
      </c>
      <c r="BI225" s="75">
        <f>PARAM!$C$26+MAX($G$17-CHOOSE(PARAM!$B$44,MAX(0,BJ224*$F$1),0),0)*RATES!$L201/12+$H$17*(PARAM!$D$51/12)*RATES!$N201/100</f>
        <v>14.513853334819233</v>
      </c>
      <c r="BJ225" s="16">
        <f t="shared" si="169"/>
        <v>581.42842165250477</v>
      </c>
      <c r="BK225" s="15">
        <f t="shared" si="144"/>
        <v>22.170849845882874</v>
      </c>
      <c r="BL225" s="75">
        <f>BK225*(1-PARAM!$C$27)*$I$18+(MOD($B225,60)=PARAM!$B$56)*($B225&gt;(60-PARAM!$B$56))*HLOOKUP(($B225+PARAM!$B$56)/12,Loyalty,2)*$F$1*MAX(BN224,0)</f>
        <v>18.557001321003963</v>
      </c>
      <c r="BM225" s="75">
        <f>PARAM!$C$26+MAX($G$18-CHOOSE(PARAM!$B$44,MAX(0,BN224*$F$1),0),0)*RATES!$L201/12+$H$18*(PARAM!$D$51/12)*RATES!$N201/100</f>
        <v>14.513853334819233</v>
      </c>
      <c r="BN225" s="16">
        <f t="shared" si="170"/>
        <v>581.42842165250477</v>
      </c>
      <c r="BO225" s="15">
        <f t="shared" si="145"/>
        <v>22.170849845882874</v>
      </c>
      <c r="BP225" s="75">
        <f>BO225*(1-PARAM!$C$27)*$I$19+(MOD($B225,60)=PARAM!$B$56)*($B225&gt;(60-PARAM!$B$56))*HLOOKUP(($B225+PARAM!$B$56)/12,Loyalty,2)*$F$1*MAX(BR224,0)</f>
        <v>18.557001321003963</v>
      </c>
      <c r="BQ225" s="75">
        <f>PARAM!$C$26+MAX($G$19-CHOOSE(PARAM!$B$44,MAX(0,BR224*$F$1),0),0)*RATES!$L201/12+$H$19*(PARAM!$D$51/12)*RATES!$N201/100</f>
        <v>14.513853334819233</v>
      </c>
      <c r="BR225" s="16">
        <f t="shared" si="171"/>
        <v>581.42842165250477</v>
      </c>
      <c r="BS225" s="15">
        <f t="shared" si="146"/>
        <v>22.170849845882874</v>
      </c>
      <c r="BT225" s="75">
        <f>BS225*(1-PARAM!$C$27)*$I$20+(MOD($B225,60)=PARAM!$B$56)*($B225&gt;(60-PARAM!$B$56))*HLOOKUP(($B225+PARAM!$B$56)/12,Loyalty,2)*$F$1*MAX(BV224,0)</f>
        <v>18.557001321003963</v>
      </c>
      <c r="BU225" s="75">
        <f>PARAM!$C$26+MAX($G$20-CHOOSE(PARAM!$B$44,MAX(0,BV224*$F$1),0),0)*RATES!$L201/12+$H$20*(PARAM!$D$51/12)*RATES!$N201/100</f>
        <v>14.513853334819233</v>
      </c>
      <c r="BV225" s="16">
        <f t="shared" si="172"/>
        <v>581.42842165250477</v>
      </c>
      <c r="BW225" s="15">
        <f t="shared" si="147"/>
        <v>22.170849845882874</v>
      </c>
      <c r="BX225" s="75">
        <f>BW225*(1-PARAM!$C$27)*$I$21+(MOD($B225,60)=PARAM!$B$56)*($B225&gt;(60-PARAM!$B$56))*HLOOKUP(($B225+PARAM!$B$56)/12,Loyalty,2)*$F$1*MAX(BZ224,0)</f>
        <v>18.557001321003963</v>
      </c>
      <c r="BY225" s="75">
        <f>PARAM!$C$26+MAX($G$21-CHOOSE(PARAM!$B$44,MAX(0,BZ224*$F$1),0),0)*RATES!$L201/12+$H$21*(PARAM!$D$51/12)*RATES!$N201/100</f>
        <v>14.513853334819233</v>
      </c>
      <c r="BZ225" s="16">
        <f t="shared" si="173"/>
        <v>581.42842165250477</v>
      </c>
      <c r="CA225" s="15">
        <f t="shared" si="148"/>
        <v>22.170849845882874</v>
      </c>
      <c r="CB225" s="75">
        <f>CA225*(1-PARAM!$C$27)*$I$22+(MOD($B225,60)=PARAM!$B$56)*($B225&gt;(60-PARAM!$B$56))*HLOOKUP(($B225+PARAM!$B$56)/12,Loyalty,2)*$F$1*MAX(CD224,0)</f>
        <v>18.557001321003963</v>
      </c>
      <c r="CC225" s="75">
        <f>PARAM!$C$26+MAX($G$22-CHOOSE(PARAM!$B$44,MAX(0,CD224*$F$1),0),0)*RATES!$L201/12+$H$22*(PARAM!$D$51/12)*RATES!$N201/100</f>
        <v>14.513853334819233</v>
      </c>
      <c r="CD225" s="16">
        <f t="shared" si="174"/>
        <v>581.42842165250477</v>
      </c>
      <c r="CE225" s="33">
        <f>IF(0=MOD(B225,12/PARAM!$D$51),1,0)</f>
        <v>1</v>
      </c>
      <c r="CF225" s="15">
        <f t="shared" si="149"/>
        <v>0</v>
      </c>
      <c r="CG225" s="75">
        <f>CF225*(1-PARAM!$C$27)*$R$3+(MOD($B225/12,5)=0)*($B225&gt;60)*HLOOKUP($B225/12,Loyalty,2)*$F$1*MAX(CI224,0)</f>
        <v>0</v>
      </c>
      <c r="CH225" s="75">
        <f>PARAM!$C$26+MAX($P$3-CHOOSE(PARAM!$B$44,MAX(0,CI224*$F$1),0),0)*RATES!$L201/12+$Q$3*(PARAM!$D$51/12)*RATES!$N201/100</f>
        <v>14.625</v>
      </c>
      <c r="CI225" s="16">
        <f>IF(CI224&gt;0,CI224*PARAM!$C$53,CI224)+CG225-CH225</f>
        <v>-2916.1249999999968</v>
      </c>
      <c r="CJ225" s="15">
        <f t="shared" si="175"/>
        <v>0</v>
      </c>
      <c r="CK225" s="75">
        <f>CJ225*(1-PARAM!$C$27)*$R$4+(MOD($B225/12,5)=0)*($B225&gt;60)*HLOOKUP($B225/12,Loyalty,2)*$F$1*MAX(CM224,0)</f>
        <v>0</v>
      </c>
      <c r="CL225" s="75">
        <f>PARAM!$C$26+MAX($P$4-CHOOSE(PARAM!$B$44,MAX(0,CM224*$F$1),0),0)*RATES!$L201/12+$Q$4*(PARAM!$D$51/12)*RATES!$N201/100</f>
        <v>14.625</v>
      </c>
      <c r="CM225" s="16">
        <f>IF(CM224&gt;0,CM224*PARAM!$C$53,CM224)+CK225-CL225</f>
        <v>-2916.1249999999968</v>
      </c>
      <c r="CO225" s="176"/>
    </row>
    <row r="226" spans="1:93" x14ac:dyDescent="0.2">
      <c r="A226" t="b">
        <f t="shared" si="150"/>
        <v>1</v>
      </c>
      <c r="B226" s="33">
        <v>199</v>
      </c>
      <c r="C226" s="15">
        <f t="shared" si="151"/>
        <v>20.081305947392778</v>
      </c>
      <c r="D226" s="75">
        <f>C226*(1-PARAM!$C$27)*$I$3+(MOD($B226,60)=PARAM!$B$56)*($B226&gt;(60-PARAM!$B$56))*HLOOKUP(($B226+PARAM!$B$56)/12,Loyalty,2)*$F$1*MAX(F225,0)</f>
        <v>16.808053077967756</v>
      </c>
      <c r="E226" s="75">
        <f>PARAM!$C$26+MAX($G$3-CHOOSE(PARAM!$B$44,MAX(0,F225*$F$1),0),0)*RATES!$L202/12+$H$3*(PARAM!$D$51/12)*RATES!$N202/100</f>
        <v>14.578402001767861</v>
      </c>
      <c r="F226" s="16">
        <f t="shared" si="152"/>
        <v>244.29717436003841</v>
      </c>
      <c r="G226" s="15">
        <f t="shared" si="153"/>
        <v>22.035289406060361</v>
      </c>
      <c r="H226" s="75">
        <f>G226*(1-PARAM!$C$27)*$I$4+(MOD($B226,60)=PARAM!$B$56)*($B226&gt;(60-PARAM!$B$56))*HLOOKUP(($B226+PARAM!$B$56)/12,Loyalty,2)*$F$1*MAX(J225,0)</f>
        <v>18.443537232872522</v>
      </c>
      <c r="I226" s="75">
        <f>PARAM!$C$26+MAX($G$4-CHOOSE(PARAM!$B$44,MAX(0,J225*$F$1),0),0)*RATES!$L202/12+$H$4*(PARAM!$D$51/12)*RATES!$N202/100</f>
        <v>14.517316104648721</v>
      </c>
      <c r="J226" s="16">
        <f t="shared" si="154"/>
        <v>563.32308009590656</v>
      </c>
      <c r="K226" s="15">
        <f t="shared" si="155"/>
        <v>22.170849845882874</v>
      </c>
      <c r="L226" s="75">
        <f>K226*(1-PARAM!$C$27)*$I$5+(MOD($B226,60)=PARAM!$B$56)*($B226&gt;(60-PARAM!$B$56))*HLOOKUP(($B226+PARAM!$B$56)/12,Loyalty,2)*$F$1*MAX(N225,0)</f>
        <v>18.557001321003963</v>
      </c>
      <c r="M226" s="75">
        <f>PARAM!$C$26+MAX($G$5-CHOOSE(PARAM!$B$44,MAX(0,N225*$F$1),0),0)*RATES!$L202/12+$H$5*(PARAM!$D$51/12)*RATES!$N202/100</f>
        <v>14.513075028831894</v>
      </c>
      <c r="N226" s="16">
        <f t="shared" si="156"/>
        <v>585.47234794467693</v>
      </c>
      <c r="O226" s="15">
        <f t="shared" si="157"/>
        <v>22.170849845882874</v>
      </c>
      <c r="P226" s="75">
        <f>O226*(1-PARAM!$C$27)*$I$6+(MOD($B226,60)=PARAM!$B$56)*($B226&gt;(60-PARAM!$B$56))*HLOOKUP(($B226+PARAM!$B$56)/12,Loyalty,2)*$F$1*MAX(R225,0)</f>
        <v>18.557001321003963</v>
      </c>
      <c r="Q226" s="75">
        <f>PARAM!$C$26+MAX($G$6-CHOOSE(PARAM!$B$44,MAX(0,R225*$F$1),0),0)*RATES!$L202/12+$H$6*(PARAM!$D$51/12)*RATES!$N202/100</f>
        <v>14.513075028831894</v>
      </c>
      <c r="R226" s="16">
        <f t="shared" si="158"/>
        <v>585.47234794467693</v>
      </c>
      <c r="S226" s="15">
        <f t="shared" si="133"/>
        <v>22.170849845882874</v>
      </c>
      <c r="T226" s="75">
        <f>S226*(1-PARAM!$C$27)*$I$7+(MOD($B226,60)=PARAM!$B$56)*($B226&gt;(60-PARAM!$B$56))*HLOOKUP(($B226+PARAM!$B$56)/12,Loyalty,2)*$F$1*MAX(V225,0)</f>
        <v>18.557001321003963</v>
      </c>
      <c r="U226" s="75">
        <f>PARAM!$C$26+MAX($G$7-CHOOSE(PARAM!$B$44,MAX(0,V225*$F$1),0),0)*RATES!$L202/12+$H$7*(PARAM!$D$51/12)*RATES!$N202/100</f>
        <v>14.513075028831894</v>
      </c>
      <c r="V226" s="16">
        <f t="shared" si="159"/>
        <v>585.47234794467693</v>
      </c>
      <c r="W226" s="15">
        <f t="shared" si="134"/>
        <v>22.170849845882874</v>
      </c>
      <c r="X226" s="75">
        <f>W226*(1-PARAM!$C$27)*$I$8+(MOD($B226,60)=PARAM!$B$56)*($B226&gt;(60-PARAM!$B$56))*HLOOKUP(($B226+PARAM!$B$56)/12,Loyalty,2)*$F$1*MAX(Z225,0)</f>
        <v>18.557001321003963</v>
      </c>
      <c r="Y226" s="75">
        <f>PARAM!$C$26+MAX($G$8-CHOOSE(PARAM!$B$44,MAX(0,Z225*$F$1),0),0)*RATES!$L202/12+$H$8*(PARAM!$D$51/12)*RATES!$N202/100</f>
        <v>14.513075028831894</v>
      </c>
      <c r="Z226" s="16">
        <f t="shared" si="160"/>
        <v>585.47234794467693</v>
      </c>
      <c r="AA226" s="15">
        <f t="shared" si="135"/>
        <v>22.170849845882874</v>
      </c>
      <c r="AB226" s="75">
        <f>AA226*(1-PARAM!$C$27)*$I$9+(MOD($B226,60)=PARAM!$B$56)*($B226&gt;(60-PARAM!$B$56))*HLOOKUP(($B226+PARAM!$B$56)/12,Loyalty,2)*$F$1*MAX(AD225,0)</f>
        <v>18.557001321003963</v>
      </c>
      <c r="AC226" s="75">
        <f>PARAM!$C$26+MAX($G$9-CHOOSE(PARAM!$B$44,MAX(0,AD225*$F$1),0),0)*RATES!$L202/12+$H$9*(PARAM!$D$51/12)*RATES!$N202/100</f>
        <v>14.513075028831894</v>
      </c>
      <c r="AD226" s="16">
        <f t="shared" si="161"/>
        <v>585.47234794467693</v>
      </c>
      <c r="AE226" s="15">
        <f t="shared" si="136"/>
        <v>22.170849845882874</v>
      </c>
      <c r="AF226" s="75">
        <f>AE226*(1-PARAM!$C$27)*$I$10+(MOD($B226,60)=PARAM!$B$56)*($B226&gt;(60-PARAM!$B$56))*HLOOKUP(($B226+PARAM!$B$56)/12,Loyalty,2)*$F$1*MAX(AH225,0)</f>
        <v>18.557001321003963</v>
      </c>
      <c r="AG226" s="75">
        <f>PARAM!$C$26+MAX($G$10-CHOOSE(PARAM!$B$44,MAX(0,AH225*$F$1),0),0)*RATES!$L202/12+$H$10*(PARAM!$D$51/12)*RATES!$N202/100</f>
        <v>14.513075028831894</v>
      </c>
      <c r="AH226" s="16">
        <f t="shared" si="162"/>
        <v>585.47234794467693</v>
      </c>
      <c r="AI226" s="15">
        <f t="shared" si="137"/>
        <v>22.170849845882874</v>
      </c>
      <c r="AJ226" s="75">
        <f>AI226*(1-PARAM!$C$27)*$I$11+(MOD($B226,60)=PARAM!$B$56)*($B226&gt;(60-PARAM!$B$56))*HLOOKUP(($B226+PARAM!$B$56)/12,Loyalty,2)*$F$1*MAX(AL225,0)</f>
        <v>18.557001321003963</v>
      </c>
      <c r="AK226" s="75">
        <f>PARAM!$C$26+MAX($G$11-CHOOSE(PARAM!$B$44,MAX(0,AL225*$F$1),0),0)*RATES!$L202/12+$H$11*(PARAM!$D$51/12)*RATES!$N202/100</f>
        <v>14.513075028831894</v>
      </c>
      <c r="AL226" s="16">
        <f t="shared" si="163"/>
        <v>585.47234794467693</v>
      </c>
      <c r="AM226" s="15">
        <f t="shared" si="138"/>
        <v>22.170849845882874</v>
      </c>
      <c r="AN226" s="75">
        <f>AM226*(1-PARAM!$C$27)*$I$12+(MOD($B226,60)=PARAM!$B$56)*($B226&gt;(60-PARAM!$B$56))*HLOOKUP(($B226+PARAM!$B$56)/12,Loyalty,2)*$F$1*MAX(AP225,0)</f>
        <v>18.557001321003963</v>
      </c>
      <c r="AO226" s="75">
        <f>PARAM!$C$26+MAX($G$12-CHOOSE(PARAM!$B$44,MAX(0,AP225*$F$1),0),0)*RATES!$L202/12+$H$12*(PARAM!$D$51/12)*RATES!$N202/100</f>
        <v>14.513075028831894</v>
      </c>
      <c r="AP226" s="16">
        <f t="shared" si="164"/>
        <v>585.47234794467693</v>
      </c>
      <c r="AQ226" s="15">
        <f t="shared" si="139"/>
        <v>22.170849845882874</v>
      </c>
      <c r="AR226" s="75">
        <f>AQ226*(1-PARAM!$C$27)*$I$13+(MOD($B226,60)=PARAM!$B$56)*($B226&gt;(60-PARAM!$B$56))*HLOOKUP(($B226+PARAM!$B$56)/12,Loyalty,2)*$F$1*MAX(AT225,0)</f>
        <v>18.557001321003963</v>
      </c>
      <c r="AS226" s="75">
        <f>PARAM!$C$26+MAX($G$13-CHOOSE(PARAM!$B$44,MAX(0,AT225*$F$1),0),0)*RATES!$L202/12+$H$13*(PARAM!$D$51/12)*RATES!$N202/100</f>
        <v>14.513075028831894</v>
      </c>
      <c r="AT226" s="16">
        <f t="shared" si="165"/>
        <v>585.47234794467693</v>
      </c>
      <c r="AU226" s="15">
        <f t="shared" si="140"/>
        <v>22.170849845882874</v>
      </c>
      <c r="AV226" s="75">
        <f>AU226*(1-PARAM!$C$27)*$I$14+(MOD($B226,60)=PARAM!$B$56)*($B226&gt;(60-PARAM!$B$56))*HLOOKUP(($B226+PARAM!$B$56)/12,Loyalty,2)*$F$1*MAX(AX225,0)</f>
        <v>18.557001321003963</v>
      </c>
      <c r="AW226" s="75">
        <f>PARAM!$C$26+MAX($G$14-CHOOSE(PARAM!$B$44,MAX(0,AX225*$F$1),0),0)*RATES!$L202/12+$H$14*(PARAM!$D$51/12)*RATES!$N202/100</f>
        <v>14.513075028831894</v>
      </c>
      <c r="AX226" s="16">
        <f t="shared" si="166"/>
        <v>585.47234794467693</v>
      </c>
      <c r="AY226" s="15">
        <f t="shared" si="141"/>
        <v>22.170849845882874</v>
      </c>
      <c r="AZ226" s="75">
        <f>AY226*(1-PARAM!$C$27)*$I$15+(MOD($B226,60)=PARAM!$B$56)*($B226&gt;(60-PARAM!$B$56))*HLOOKUP(($B226+PARAM!$B$56)/12,Loyalty,2)*$F$1*MAX(BB225,0)</f>
        <v>18.557001321003963</v>
      </c>
      <c r="BA226" s="75">
        <f>PARAM!$C$26+MAX($G$15-CHOOSE(PARAM!$B$44,MAX(0,BB225*$F$1),0),0)*RATES!$L202/12+$H$15*(PARAM!$D$51/12)*RATES!$N202/100</f>
        <v>14.513075028831894</v>
      </c>
      <c r="BB226" s="16">
        <f t="shared" si="167"/>
        <v>585.47234794467693</v>
      </c>
      <c r="BC226" s="15">
        <f t="shared" si="142"/>
        <v>22.170849845882874</v>
      </c>
      <c r="BD226" s="75">
        <f>BC226*(1-PARAM!$C$27)*$I$16+(MOD($B226,60)=PARAM!$B$56)*($B226&gt;(60-PARAM!$B$56))*HLOOKUP(($B226+PARAM!$B$56)/12,Loyalty,2)*$F$1*MAX(BF225,0)</f>
        <v>18.557001321003963</v>
      </c>
      <c r="BE226" s="75">
        <f>PARAM!$C$26+MAX($G$16-CHOOSE(PARAM!$B$44,MAX(0,BF225*$F$1),0),0)*RATES!$L202/12+$H$16*(PARAM!$D$51/12)*RATES!$N202/100</f>
        <v>14.513075028831894</v>
      </c>
      <c r="BF226" s="16">
        <f t="shared" si="168"/>
        <v>585.47234794467693</v>
      </c>
      <c r="BG226" s="15">
        <f t="shared" si="143"/>
        <v>22.170849845882874</v>
      </c>
      <c r="BH226" s="75">
        <f>BG226*(1-PARAM!$C$27)*$I$17+(MOD($B226,60)=PARAM!$B$56)*($B226&gt;(60-PARAM!$B$56))*HLOOKUP(($B226+PARAM!$B$56)/12,Loyalty,2)*$F$1*MAX(BJ225,0)</f>
        <v>18.557001321003963</v>
      </c>
      <c r="BI226" s="75">
        <f>PARAM!$C$26+MAX($G$17-CHOOSE(PARAM!$B$44,MAX(0,BJ225*$F$1),0),0)*RATES!$L202/12+$H$17*(PARAM!$D$51/12)*RATES!$N202/100</f>
        <v>14.513075028831894</v>
      </c>
      <c r="BJ226" s="16">
        <f t="shared" si="169"/>
        <v>585.47234794467693</v>
      </c>
      <c r="BK226" s="15">
        <f t="shared" si="144"/>
        <v>22.170849845882874</v>
      </c>
      <c r="BL226" s="75">
        <f>BK226*(1-PARAM!$C$27)*$I$18+(MOD($B226,60)=PARAM!$B$56)*($B226&gt;(60-PARAM!$B$56))*HLOOKUP(($B226+PARAM!$B$56)/12,Loyalty,2)*$F$1*MAX(BN225,0)</f>
        <v>18.557001321003963</v>
      </c>
      <c r="BM226" s="75">
        <f>PARAM!$C$26+MAX($G$18-CHOOSE(PARAM!$B$44,MAX(0,BN225*$F$1),0),0)*RATES!$L202/12+$H$18*(PARAM!$D$51/12)*RATES!$N202/100</f>
        <v>14.513075028831894</v>
      </c>
      <c r="BN226" s="16">
        <f t="shared" si="170"/>
        <v>585.47234794467693</v>
      </c>
      <c r="BO226" s="15">
        <f t="shared" si="145"/>
        <v>22.170849845882874</v>
      </c>
      <c r="BP226" s="75">
        <f>BO226*(1-PARAM!$C$27)*$I$19+(MOD($B226,60)=PARAM!$B$56)*($B226&gt;(60-PARAM!$B$56))*HLOOKUP(($B226+PARAM!$B$56)/12,Loyalty,2)*$F$1*MAX(BR225,0)</f>
        <v>18.557001321003963</v>
      </c>
      <c r="BQ226" s="75">
        <f>PARAM!$C$26+MAX($G$19-CHOOSE(PARAM!$B$44,MAX(0,BR225*$F$1),0),0)*RATES!$L202/12+$H$19*(PARAM!$D$51/12)*RATES!$N202/100</f>
        <v>14.513075028831894</v>
      </c>
      <c r="BR226" s="16">
        <f t="shared" si="171"/>
        <v>585.47234794467693</v>
      </c>
      <c r="BS226" s="15">
        <f t="shared" si="146"/>
        <v>22.170849845882874</v>
      </c>
      <c r="BT226" s="75">
        <f>BS226*(1-PARAM!$C$27)*$I$20+(MOD($B226,60)=PARAM!$B$56)*($B226&gt;(60-PARAM!$B$56))*HLOOKUP(($B226+PARAM!$B$56)/12,Loyalty,2)*$F$1*MAX(BV225,0)</f>
        <v>18.557001321003963</v>
      </c>
      <c r="BU226" s="75">
        <f>PARAM!$C$26+MAX($G$20-CHOOSE(PARAM!$B$44,MAX(0,BV225*$F$1),0),0)*RATES!$L202/12+$H$20*(PARAM!$D$51/12)*RATES!$N202/100</f>
        <v>14.513075028831894</v>
      </c>
      <c r="BV226" s="16">
        <f t="shared" si="172"/>
        <v>585.47234794467693</v>
      </c>
      <c r="BW226" s="15">
        <f t="shared" si="147"/>
        <v>22.170849845882874</v>
      </c>
      <c r="BX226" s="75">
        <f>BW226*(1-PARAM!$C$27)*$I$21+(MOD($B226,60)=PARAM!$B$56)*($B226&gt;(60-PARAM!$B$56))*HLOOKUP(($B226+PARAM!$B$56)/12,Loyalty,2)*$F$1*MAX(BZ225,0)</f>
        <v>18.557001321003963</v>
      </c>
      <c r="BY226" s="75">
        <f>PARAM!$C$26+MAX($G$21-CHOOSE(PARAM!$B$44,MAX(0,BZ225*$F$1),0),0)*RATES!$L202/12+$H$21*(PARAM!$D$51/12)*RATES!$N202/100</f>
        <v>14.513075028831894</v>
      </c>
      <c r="BZ226" s="16">
        <f t="shared" si="173"/>
        <v>585.47234794467693</v>
      </c>
      <c r="CA226" s="15">
        <f t="shared" si="148"/>
        <v>22.170849845882874</v>
      </c>
      <c r="CB226" s="75">
        <f>CA226*(1-PARAM!$C$27)*$I$22+(MOD($B226,60)=PARAM!$B$56)*($B226&gt;(60-PARAM!$B$56))*HLOOKUP(($B226+PARAM!$B$56)/12,Loyalty,2)*$F$1*MAX(CD225,0)</f>
        <v>18.557001321003963</v>
      </c>
      <c r="CC226" s="75">
        <f>PARAM!$C$26+MAX($G$22-CHOOSE(PARAM!$B$44,MAX(0,CD225*$F$1),0),0)*RATES!$L202/12+$H$22*(PARAM!$D$51/12)*RATES!$N202/100</f>
        <v>14.513075028831894</v>
      </c>
      <c r="CD226" s="16">
        <f t="shared" si="174"/>
        <v>585.47234794467693</v>
      </c>
      <c r="CE226" s="33">
        <f>IF(0=MOD(B226,12/PARAM!$D$51),1,0)</f>
        <v>1</v>
      </c>
      <c r="CF226" s="15">
        <f t="shared" si="149"/>
        <v>0</v>
      </c>
      <c r="CG226" s="75">
        <f>CF226*(1-PARAM!$C$27)*$R$3+(MOD($B226/12,5)=0)*($B226&gt;60)*HLOOKUP($B226/12,Loyalty,2)*$F$1*MAX(CI225,0)</f>
        <v>0</v>
      </c>
      <c r="CH226" s="75">
        <f>PARAM!$C$26+MAX($P$3-CHOOSE(PARAM!$B$44,MAX(0,CI225*$F$1),0),0)*RATES!$L202/12+$Q$3*(PARAM!$D$51/12)*RATES!$N202/100</f>
        <v>14.625</v>
      </c>
      <c r="CI226" s="16">
        <f>IF(CI225&gt;0,CI225*PARAM!$C$53,CI225)+CG226-CH226</f>
        <v>-2930.7499999999968</v>
      </c>
      <c r="CJ226" s="15">
        <f t="shared" si="175"/>
        <v>0</v>
      </c>
      <c r="CK226" s="75">
        <f>CJ226*(1-PARAM!$C$27)*$R$4+(MOD($B226/12,5)=0)*($B226&gt;60)*HLOOKUP($B226/12,Loyalty,2)*$F$1*MAX(CM225,0)</f>
        <v>0</v>
      </c>
      <c r="CL226" s="75">
        <f>PARAM!$C$26+MAX($P$4-CHOOSE(PARAM!$B$44,MAX(0,CM225*$F$1),0),0)*RATES!$L202/12+$Q$4*(PARAM!$D$51/12)*RATES!$N202/100</f>
        <v>14.625</v>
      </c>
      <c r="CM226" s="16">
        <f>IF(CM225&gt;0,CM225*PARAM!$C$53,CM225)+CK226-CL226</f>
        <v>-2930.7499999999968</v>
      </c>
      <c r="CO226" s="176"/>
    </row>
    <row r="227" spans="1:93" x14ac:dyDescent="0.2">
      <c r="A227" t="b">
        <f t="shared" si="150"/>
        <v>1</v>
      </c>
      <c r="B227" s="33">
        <v>200</v>
      </c>
      <c r="C227" s="15">
        <f t="shared" si="151"/>
        <v>20.081305947392778</v>
      </c>
      <c r="D227" s="75">
        <f>C227*(1-PARAM!$C$27)*$I$3+(MOD($B227,60)=PARAM!$B$56)*($B227&gt;(60-PARAM!$B$56))*HLOOKUP(($B227+PARAM!$B$56)/12,Loyalty,2)*$F$1*MAX(F226,0)</f>
        <v>16.808053077967756</v>
      </c>
      <c r="E227" s="75">
        <f>PARAM!$C$26+MAX($G$3-CHOOSE(PARAM!$B$44,MAX(0,F226*$F$1),0),0)*RATES!$L203/12+$H$3*(PARAM!$D$51/12)*RATES!$N203/100</f>
        <v>14.577972793935693</v>
      </c>
      <c r="F227" s="16">
        <f t="shared" si="152"/>
        <v>246.5272546440705</v>
      </c>
      <c r="G227" s="15">
        <f t="shared" si="153"/>
        <v>22.035289406060361</v>
      </c>
      <c r="H227" s="75">
        <f>G227*(1-PARAM!$C$27)*$I$4+(MOD($B227,60)=PARAM!$B$56)*($B227&gt;(60-PARAM!$B$56))*HLOOKUP(($B227+PARAM!$B$56)/12,Loyalty,2)*$F$1*MAX(J226,0)</f>
        <v>18.443537232872522</v>
      </c>
      <c r="I227" s="75">
        <f>PARAM!$C$26+MAX($G$4-CHOOSE(PARAM!$B$44,MAX(0,J226*$F$1),0),0)*RATES!$L203/12+$H$4*(PARAM!$D$51/12)*RATES!$N203/100</f>
        <v>14.516560307081539</v>
      </c>
      <c r="J227" s="16">
        <f t="shared" si="154"/>
        <v>567.25005702169744</v>
      </c>
      <c r="K227" s="15">
        <f t="shared" si="155"/>
        <v>22.170849845882874</v>
      </c>
      <c r="L227" s="75">
        <f>K227*(1-PARAM!$C$27)*$I$5+(MOD($B227,60)=PARAM!$B$56)*($B227&gt;(60-PARAM!$B$56))*HLOOKUP(($B227+PARAM!$B$56)/12,Loyalty,2)*$F$1*MAX(N226,0)</f>
        <v>18.557001321003963</v>
      </c>
      <c r="M227" s="75">
        <f>PARAM!$C$26+MAX($G$5-CHOOSE(PARAM!$B$44,MAX(0,N226*$F$1),0),0)*RATES!$L203/12+$H$5*(PARAM!$D$51/12)*RATES!$N203/100</f>
        <v>14.512296573020651</v>
      </c>
      <c r="N227" s="16">
        <f t="shared" si="156"/>
        <v>589.51705269266029</v>
      </c>
      <c r="O227" s="15">
        <f t="shared" si="157"/>
        <v>22.170849845882874</v>
      </c>
      <c r="P227" s="75">
        <f>O227*(1-PARAM!$C$27)*$I$6+(MOD($B227,60)=PARAM!$B$56)*($B227&gt;(60-PARAM!$B$56))*HLOOKUP(($B227+PARAM!$B$56)/12,Loyalty,2)*$F$1*MAX(R226,0)</f>
        <v>18.557001321003963</v>
      </c>
      <c r="Q227" s="75">
        <f>PARAM!$C$26+MAX($G$6-CHOOSE(PARAM!$B$44,MAX(0,R226*$F$1),0),0)*RATES!$L203/12+$H$6*(PARAM!$D$51/12)*RATES!$N203/100</f>
        <v>14.512296573020651</v>
      </c>
      <c r="R227" s="16">
        <f t="shared" si="158"/>
        <v>589.51705269266029</v>
      </c>
      <c r="S227" s="15">
        <f t="shared" si="133"/>
        <v>22.170849845882874</v>
      </c>
      <c r="T227" s="75">
        <f>S227*(1-PARAM!$C$27)*$I$7+(MOD($B227,60)=PARAM!$B$56)*($B227&gt;(60-PARAM!$B$56))*HLOOKUP(($B227+PARAM!$B$56)/12,Loyalty,2)*$F$1*MAX(V226,0)</f>
        <v>18.557001321003963</v>
      </c>
      <c r="U227" s="75">
        <f>PARAM!$C$26+MAX($G$7-CHOOSE(PARAM!$B$44,MAX(0,V226*$F$1),0),0)*RATES!$L203/12+$H$7*(PARAM!$D$51/12)*RATES!$N203/100</f>
        <v>14.512296573020651</v>
      </c>
      <c r="V227" s="16">
        <f t="shared" si="159"/>
        <v>589.51705269266029</v>
      </c>
      <c r="W227" s="15">
        <f t="shared" si="134"/>
        <v>22.170849845882874</v>
      </c>
      <c r="X227" s="75">
        <f>W227*(1-PARAM!$C$27)*$I$8+(MOD($B227,60)=PARAM!$B$56)*($B227&gt;(60-PARAM!$B$56))*HLOOKUP(($B227+PARAM!$B$56)/12,Loyalty,2)*$F$1*MAX(Z226,0)</f>
        <v>18.557001321003963</v>
      </c>
      <c r="Y227" s="75">
        <f>PARAM!$C$26+MAX($G$8-CHOOSE(PARAM!$B$44,MAX(0,Z226*$F$1),0),0)*RATES!$L203/12+$H$8*(PARAM!$D$51/12)*RATES!$N203/100</f>
        <v>14.512296573020651</v>
      </c>
      <c r="Z227" s="16">
        <f t="shared" si="160"/>
        <v>589.51705269266029</v>
      </c>
      <c r="AA227" s="15">
        <f t="shared" si="135"/>
        <v>22.170849845882874</v>
      </c>
      <c r="AB227" s="75">
        <f>AA227*(1-PARAM!$C$27)*$I$9+(MOD($B227,60)=PARAM!$B$56)*($B227&gt;(60-PARAM!$B$56))*HLOOKUP(($B227+PARAM!$B$56)/12,Loyalty,2)*$F$1*MAX(AD226,0)</f>
        <v>18.557001321003963</v>
      </c>
      <c r="AC227" s="75">
        <f>PARAM!$C$26+MAX($G$9-CHOOSE(PARAM!$B$44,MAX(0,AD226*$F$1),0),0)*RATES!$L203/12+$H$9*(PARAM!$D$51/12)*RATES!$N203/100</f>
        <v>14.512296573020651</v>
      </c>
      <c r="AD227" s="16">
        <f t="shared" si="161"/>
        <v>589.51705269266029</v>
      </c>
      <c r="AE227" s="15">
        <f t="shared" si="136"/>
        <v>22.170849845882874</v>
      </c>
      <c r="AF227" s="75">
        <f>AE227*(1-PARAM!$C$27)*$I$10+(MOD($B227,60)=PARAM!$B$56)*($B227&gt;(60-PARAM!$B$56))*HLOOKUP(($B227+PARAM!$B$56)/12,Loyalty,2)*$F$1*MAX(AH226,0)</f>
        <v>18.557001321003963</v>
      </c>
      <c r="AG227" s="75">
        <f>PARAM!$C$26+MAX($G$10-CHOOSE(PARAM!$B$44,MAX(0,AH226*$F$1),0),0)*RATES!$L203/12+$H$10*(PARAM!$D$51/12)*RATES!$N203/100</f>
        <v>14.512296573020651</v>
      </c>
      <c r="AH227" s="16">
        <f t="shared" si="162"/>
        <v>589.51705269266029</v>
      </c>
      <c r="AI227" s="15">
        <f t="shared" si="137"/>
        <v>22.170849845882874</v>
      </c>
      <c r="AJ227" s="75">
        <f>AI227*(1-PARAM!$C$27)*$I$11+(MOD($B227,60)=PARAM!$B$56)*($B227&gt;(60-PARAM!$B$56))*HLOOKUP(($B227+PARAM!$B$56)/12,Loyalty,2)*$F$1*MAX(AL226,0)</f>
        <v>18.557001321003963</v>
      </c>
      <c r="AK227" s="75">
        <f>PARAM!$C$26+MAX($G$11-CHOOSE(PARAM!$B$44,MAX(0,AL226*$F$1),0),0)*RATES!$L203/12+$H$11*(PARAM!$D$51/12)*RATES!$N203/100</f>
        <v>14.512296573020651</v>
      </c>
      <c r="AL227" s="16">
        <f t="shared" si="163"/>
        <v>589.51705269266029</v>
      </c>
      <c r="AM227" s="15">
        <f t="shared" si="138"/>
        <v>22.170849845882874</v>
      </c>
      <c r="AN227" s="75">
        <f>AM227*(1-PARAM!$C$27)*$I$12+(MOD($B227,60)=PARAM!$B$56)*($B227&gt;(60-PARAM!$B$56))*HLOOKUP(($B227+PARAM!$B$56)/12,Loyalty,2)*$F$1*MAX(AP226,0)</f>
        <v>18.557001321003963</v>
      </c>
      <c r="AO227" s="75">
        <f>PARAM!$C$26+MAX($G$12-CHOOSE(PARAM!$B$44,MAX(0,AP226*$F$1),0),0)*RATES!$L203/12+$H$12*(PARAM!$D$51/12)*RATES!$N203/100</f>
        <v>14.512296573020651</v>
      </c>
      <c r="AP227" s="16">
        <f t="shared" si="164"/>
        <v>589.51705269266029</v>
      </c>
      <c r="AQ227" s="15">
        <f t="shared" si="139"/>
        <v>22.170849845882874</v>
      </c>
      <c r="AR227" s="75">
        <f>AQ227*(1-PARAM!$C$27)*$I$13+(MOD($B227,60)=PARAM!$B$56)*($B227&gt;(60-PARAM!$B$56))*HLOOKUP(($B227+PARAM!$B$56)/12,Loyalty,2)*$F$1*MAX(AT226,0)</f>
        <v>18.557001321003963</v>
      </c>
      <c r="AS227" s="75">
        <f>PARAM!$C$26+MAX($G$13-CHOOSE(PARAM!$B$44,MAX(0,AT226*$F$1),0),0)*RATES!$L203/12+$H$13*(PARAM!$D$51/12)*RATES!$N203/100</f>
        <v>14.512296573020651</v>
      </c>
      <c r="AT227" s="16">
        <f t="shared" si="165"/>
        <v>589.51705269266029</v>
      </c>
      <c r="AU227" s="15">
        <f t="shared" si="140"/>
        <v>22.170849845882874</v>
      </c>
      <c r="AV227" s="75">
        <f>AU227*(1-PARAM!$C$27)*$I$14+(MOD($B227,60)=PARAM!$B$56)*($B227&gt;(60-PARAM!$B$56))*HLOOKUP(($B227+PARAM!$B$56)/12,Loyalty,2)*$F$1*MAX(AX226,0)</f>
        <v>18.557001321003963</v>
      </c>
      <c r="AW227" s="75">
        <f>PARAM!$C$26+MAX($G$14-CHOOSE(PARAM!$B$44,MAX(0,AX226*$F$1),0),0)*RATES!$L203/12+$H$14*(PARAM!$D$51/12)*RATES!$N203/100</f>
        <v>14.512296573020651</v>
      </c>
      <c r="AX227" s="16">
        <f t="shared" si="166"/>
        <v>589.51705269266029</v>
      </c>
      <c r="AY227" s="15">
        <f t="shared" si="141"/>
        <v>22.170849845882874</v>
      </c>
      <c r="AZ227" s="75">
        <f>AY227*(1-PARAM!$C$27)*$I$15+(MOD($B227,60)=PARAM!$B$56)*($B227&gt;(60-PARAM!$B$56))*HLOOKUP(($B227+PARAM!$B$56)/12,Loyalty,2)*$F$1*MAX(BB226,0)</f>
        <v>18.557001321003963</v>
      </c>
      <c r="BA227" s="75">
        <f>PARAM!$C$26+MAX($G$15-CHOOSE(PARAM!$B$44,MAX(0,BB226*$F$1),0),0)*RATES!$L203/12+$H$15*(PARAM!$D$51/12)*RATES!$N203/100</f>
        <v>14.512296573020651</v>
      </c>
      <c r="BB227" s="16">
        <f t="shared" si="167"/>
        <v>589.51705269266029</v>
      </c>
      <c r="BC227" s="15">
        <f t="shared" si="142"/>
        <v>22.170849845882874</v>
      </c>
      <c r="BD227" s="75">
        <f>BC227*(1-PARAM!$C$27)*$I$16+(MOD($B227,60)=PARAM!$B$56)*($B227&gt;(60-PARAM!$B$56))*HLOOKUP(($B227+PARAM!$B$56)/12,Loyalty,2)*$F$1*MAX(BF226,0)</f>
        <v>18.557001321003963</v>
      </c>
      <c r="BE227" s="75">
        <f>PARAM!$C$26+MAX($G$16-CHOOSE(PARAM!$B$44,MAX(0,BF226*$F$1),0),0)*RATES!$L203/12+$H$16*(PARAM!$D$51/12)*RATES!$N203/100</f>
        <v>14.512296573020651</v>
      </c>
      <c r="BF227" s="16">
        <f t="shared" si="168"/>
        <v>589.51705269266029</v>
      </c>
      <c r="BG227" s="15">
        <f t="shared" si="143"/>
        <v>22.170849845882874</v>
      </c>
      <c r="BH227" s="75">
        <f>BG227*(1-PARAM!$C$27)*$I$17+(MOD($B227,60)=PARAM!$B$56)*($B227&gt;(60-PARAM!$B$56))*HLOOKUP(($B227+PARAM!$B$56)/12,Loyalty,2)*$F$1*MAX(BJ226,0)</f>
        <v>18.557001321003963</v>
      </c>
      <c r="BI227" s="75">
        <f>PARAM!$C$26+MAX($G$17-CHOOSE(PARAM!$B$44,MAX(0,BJ226*$F$1),0),0)*RATES!$L203/12+$H$17*(PARAM!$D$51/12)*RATES!$N203/100</f>
        <v>14.512296573020651</v>
      </c>
      <c r="BJ227" s="16">
        <f t="shared" si="169"/>
        <v>589.51705269266029</v>
      </c>
      <c r="BK227" s="15">
        <f t="shared" si="144"/>
        <v>22.170849845882874</v>
      </c>
      <c r="BL227" s="75">
        <f>BK227*(1-PARAM!$C$27)*$I$18+(MOD($B227,60)=PARAM!$B$56)*($B227&gt;(60-PARAM!$B$56))*HLOOKUP(($B227+PARAM!$B$56)/12,Loyalty,2)*$F$1*MAX(BN226,0)</f>
        <v>18.557001321003963</v>
      </c>
      <c r="BM227" s="75">
        <f>PARAM!$C$26+MAX($G$18-CHOOSE(PARAM!$B$44,MAX(0,BN226*$F$1),0),0)*RATES!$L203/12+$H$18*(PARAM!$D$51/12)*RATES!$N203/100</f>
        <v>14.512296573020651</v>
      </c>
      <c r="BN227" s="16">
        <f t="shared" si="170"/>
        <v>589.51705269266029</v>
      </c>
      <c r="BO227" s="15">
        <f t="shared" si="145"/>
        <v>22.170849845882874</v>
      </c>
      <c r="BP227" s="75">
        <f>BO227*(1-PARAM!$C$27)*$I$19+(MOD($B227,60)=PARAM!$B$56)*($B227&gt;(60-PARAM!$B$56))*HLOOKUP(($B227+PARAM!$B$56)/12,Loyalty,2)*$F$1*MAX(BR226,0)</f>
        <v>18.557001321003963</v>
      </c>
      <c r="BQ227" s="75">
        <f>PARAM!$C$26+MAX($G$19-CHOOSE(PARAM!$B$44,MAX(0,BR226*$F$1),0),0)*RATES!$L203/12+$H$19*(PARAM!$D$51/12)*RATES!$N203/100</f>
        <v>14.512296573020651</v>
      </c>
      <c r="BR227" s="16">
        <f t="shared" si="171"/>
        <v>589.51705269266029</v>
      </c>
      <c r="BS227" s="15">
        <f t="shared" si="146"/>
        <v>22.170849845882874</v>
      </c>
      <c r="BT227" s="75">
        <f>BS227*(1-PARAM!$C$27)*$I$20+(MOD($B227,60)=PARAM!$B$56)*($B227&gt;(60-PARAM!$B$56))*HLOOKUP(($B227+PARAM!$B$56)/12,Loyalty,2)*$F$1*MAX(BV226,0)</f>
        <v>18.557001321003963</v>
      </c>
      <c r="BU227" s="75">
        <f>PARAM!$C$26+MAX($G$20-CHOOSE(PARAM!$B$44,MAX(0,BV226*$F$1),0),0)*RATES!$L203/12+$H$20*(PARAM!$D$51/12)*RATES!$N203/100</f>
        <v>14.512296573020651</v>
      </c>
      <c r="BV227" s="16">
        <f t="shared" si="172"/>
        <v>589.51705269266029</v>
      </c>
      <c r="BW227" s="15">
        <f t="shared" si="147"/>
        <v>22.170849845882874</v>
      </c>
      <c r="BX227" s="75">
        <f>BW227*(1-PARAM!$C$27)*$I$21+(MOD($B227,60)=PARAM!$B$56)*($B227&gt;(60-PARAM!$B$56))*HLOOKUP(($B227+PARAM!$B$56)/12,Loyalty,2)*$F$1*MAX(BZ226,0)</f>
        <v>18.557001321003963</v>
      </c>
      <c r="BY227" s="75">
        <f>PARAM!$C$26+MAX($G$21-CHOOSE(PARAM!$B$44,MAX(0,BZ226*$F$1),0),0)*RATES!$L203/12+$H$21*(PARAM!$D$51/12)*RATES!$N203/100</f>
        <v>14.512296573020651</v>
      </c>
      <c r="BZ227" s="16">
        <f t="shared" si="173"/>
        <v>589.51705269266029</v>
      </c>
      <c r="CA227" s="15">
        <f t="shared" si="148"/>
        <v>22.170849845882874</v>
      </c>
      <c r="CB227" s="75">
        <f>CA227*(1-PARAM!$C$27)*$I$22+(MOD($B227,60)=PARAM!$B$56)*($B227&gt;(60-PARAM!$B$56))*HLOOKUP(($B227+PARAM!$B$56)/12,Loyalty,2)*$F$1*MAX(CD226,0)</f>
        <v>18.557001321003963</v>
      </c>
      <c r="CC227" s="75">
        <f>PARAM!$C$26+MAX($G$22-CHOOSE(PARAM!$B$44,MAX(0,CD226*$F$1),0),0)*RATES!$L203/12+$H$22*(PARAM!$D$51/12)*RATES!$N203/100</f>
        <v>14.512296573020651</v>
      </c>
      <c r="CD227" s="16">
        <f t="shared" si="174"/>
        <v>589.51705269266029</v>
      </c>
      <c r="CE227" s="33">
        <f>IF(0=MOD(B227,12/PARAM!$D$51),1,0)</f>
        <v>1</v>
      </c>
      <c r="CF227" s="15">
        <f t="shared" si="149"/>
        <v>0</v>
      </c>
      <c r="CG227" s="75">
        <f>CF227*(1-PARAM!$C$27)*$R$3+(MOD($B227/12,5)=0)*($B227&gt;60)*HLOOKUP($B227/12,Loyalty,2)*$F$1*MAX(CI226,0)</f>
        <v>0</v>
      </c>
      <c r="CH227" s="75">
        <f>PARAM!$C$26+MAX($P$3-CHOOSE(PARAM!$B$44,MAX(0,CI226*$F$1),0),0)*RATES!$L203/12+$Q$3*(PARAM!$D$51/12)*RATES!$N203/100</f>
        <v>14.625</v>
      </c>
      <c r="CI227" s="16">
        <f>IF(CI226&gt;0,CI226*PARAM!$C$53,CI226)+CG227-CH227</f>
        <v>-2945.3749999999968</v>
      </c>
      <c r="CJ227" s="15">
        <f t="shared" si="175"/>
        <v>0</v>
      </c>
      <c r="CK227" s="75">
        <f>CJ227*(1-PARAM!$C$27)*$R$4+(MOD($B227/12,5)=0)*($B227&gt;60)*HLOOKUP($B227/12,Loyalty,2)*$F$1*MAX(CM226,0)</f>
        <v>0</v>
      </c>
      <c r="CL227" s="75">
        <f>PARAM!$C$26+MAX($P$4-CHOOSE(PARAM!$B$44,MAX(0,CM226*$F$1),0),0)*RATES!$L203/12+$Q$4*(PARAM!$D$51/12)*RATES!$N203/100</f>
        <v>14.625</v>
      </c>
      <c r="CM227" s="16">
        <f>IF(CM226&gt;0,CM226*PARAM!$C$53,CM226)+CK227-CL227</f>
        <v>-2945.3749999999968</v>
      </c>
      <c r="CO227" s="176"/>
    </row>
    <row r="228" spans="1:93" x14ac:dyDescent="0.2">
      <c r="A228" t="b">
        <f t="shared" si="150"/>
        <v>1</v>
      </c>
      <c r="B228" s="33">
        <v>201</v>
      </c>
      <c r="C228" s="15">
        <f t="shared" si="151"/>
        <v>20.081305947392778</v>
      </c>
      <c r="D228" s="75">
        <f>C228*(1-PARAM!$C$27)*$I$3+(MOD($B228,60)=PARAM!$B$56)*($B228&gt;(60-PARAM!$B$56))*HLOOKUP(($B228+PARAM!$B$56)/12,Loyalty,2)*$F$1*MAX(F227,0)</f>
        <v>16.808053077967756</v>
      </c>
      <c r="E228" s="75">
        <f>PARAM!$C$26+MAX($G$3-CHOOSE(PARAM!$B$44,MAX(0,F227*$F$1),0),0)*RATES!$L204/12+$H$3*(PARAM!$D$51/12)*RATES!$N204/100</f>
        <v>14.577543503481017</v>
      </c>
      <c r="F228" s="16">
        <f t="shared" si="152"/>
        <v>248.75776421855721</v>
      </c>
      <c r="G228" s="15">
        <f t="shared" si="153"/>
        <v>22.035289406060361</v>
      </c>
      <c r="H228" s="75">
        <f>G228*(1-PARAM!$C$27)*$I$4+(MOD($B228,60)=PARAM!$B$56)*($B228&gt;(60-PARAM!$B$56))*HLOOKUP(($B228+PARAM!$B$56)/12,Loyalty,2)*$F$1*MAX(J227,0)</f>
        <v>18.443537232872522</v>
      </c>
      <c r="I228" s="75">
        <f>PARAM!$C$26+MAX($G$4-CHOOSE(PARAM!$B$44,MAX(0,J227*$F$1),0),0)*RATES!$L204/12+$H$4*(PARAM!$D$51/12)*RATES!$N204/100</f>
        <v>14.515804364023323</v>
      </c>
      <c r="J228" s="16">
        <f t="shared" si="154"/>
        <v>571.17778989054659</v>
      </c>
      <c r="K228" s="15">
        <f t="shared" si="155"/>
        <v>22.170849845882874</v>
      </c>
      <c r="L228" s="75">
        <f>K228*(1-PARAM!$C$27)*$I$5+(MOD($B228,60)=PARAM!$B$56)*($B228&gt;(60-PARAM!$B$56))*HLOOKUP(($B228+PARAM!$B$56)/12,Loyalty,2)*$F$1*MAX(N227,0)</f>
        <v>18.557001321003963</v>
      </c>
      <c r="M228" s="75">
        <f>PARAM!$C$26+MAX($G$5-CHOOSE(PARAM!$B$44,MAX(0,N227*$F$1),0),0)*RATES!$L204/12+$H$5*(PARAM!$D$51/12)*RATES!$N204/100</f>
        <v>14.511517967356662</v>
      </c>
      <c r="N228" s="16">
        <f t="shared" si="156"/>
        <v>593.56253604630763</v>
      </c>
      <c r="O228" s="15">
        <f t="shared" si="157"/>
        <v>22.170849845882874</v>
      </c>
      <c r="P228" s="75">
        <f>O228*(1-PARAM!$C$27)*$I$6+(MOD($B228,60)=PARAM!$B$56)*($B228&gt;(60-PARAM!$B$56))*HLOOKUP(($B228+PARAM!$B$56)/12,Loyalty,2)*$F$1*MAX(R227,0)</f>
        <v>18.557001321003963</v>
      </c>
      <c r="Q228" s="75">
        <f>PARAM!$C$26+MAX($G$6-CHOOSE(PARAM!$B$44,MAX(0,R227*$F$1),0),0)*RATES!$L204/12+$H$6*(PARAM!$D$51/12)*RATES!$N204/100</f>
        <v>14.511517967356662</v>
      </c>
      <c r="R228" s="16">
        <f t="shared" si="158"/>
        <v>593.56253604630763</v>
      </c>
      <c r="S228" s="15">
        <f t="shared" si="133"/>
        <v>22.170849845882874</v>
      </c>
      <c r="T228" s="75">
        <f>S228*(1-PARAM!$C$27)*$I$7+(MOD($B228,60)=PARAM!$B$56)*($B228&gt;(60-PARAM!$B$56))*HLOOKUP(($B228+PARAM!$B$56)/12,Loyalty,2)*$F$1*MAX(V227,0)</f>
        <v>18.557001321003963</v>
      </c>
      <c r="U228" s="75">
        <f>PARAM!$C$26+MAX($G$7-CHOOSE(PARAM!$B$44,MAX(0,V227*$F$1),0),0)*RATES!$L204/12+$H$7*(PARAM!$D$51/12)*RATES!$N204/100</f>
        <v>14.511517967356662</v>
      </c>
      <c r="V228" s="16">
        <f t="shared" si="159"/>
        <v>593.56253604630763</v>
      </c>
      <c r="W228" s="15">
        <f t="shared" si="134"/>
        <v>22.170849845882874</v>
      </c>
      <c r="X228" s="75">
        <f>W228*(1-PARAM!$C$27)*$I$8+(MOD($B228,60)=PARAM!$B$56)*($B228&gt;(60-PARAM!$B$56))*HLOOKUP(($B228+PARAM!$B$56)/12,Loyalty,2)*$F$1*MAX(Z227,0)</f>
        <v>18.557001321003963</v>
      </c>
      <c r="Y228" s="75">
        <f>PARAM!$C$26+MAX($G$8-CHOOSE(PARAM!$B$44,MAX(0,Z227*$F$1),0),0)*RATES!$L204/12+$H$8*(PARAM!$D$51/12)*RATES!$N204/100</f>
        <v>14.511517967356662</v>
      </c>
      <c r="Z228" s="16">
        <f t="shared" si="160"/>
        <v>593.56253604630763</v>
      </c>
      <c r="AA228" s="15">
        <f t="shared" si="135"/>
        <v>22.170849845882874</v>
      </c>
      <c r="AB228" s="75">
        <f>AA228*(1-PARAM!$C$27)*$I$9+(MOD($B228,60)=PARAM!$B$56)*($B228&gt;(60-PARAM!$B$56))*HLOOKUP(($B228+PARAM!$B$56)/12,Loyalty,2)*$F$1*MAX(AD227,0)</f>
        <v>18.557001321003963</v>
      </c>
      <c r="AC228" s="75">
        <f>PARAM!$C$26+MAX($G$9-CHOOSE(PARAM!$B$44,MAX(0,AD227*$F$1),0),0)*RATES!$L204/12+$H$9*(PARAM!$D$51/12)*RATES!$N204/100</f>
        <v>14.511517967356662</v>
      </c>
      <c r="AD228" s="16">
        <f t="shared" si="161"/>
        <v>593.56253604630763</v>
      </c>
      <c r="AE228" s="15">
        <f t="shared" si="136"/>
        <v>22.170849845882874</v>
      </c>
      <c r="AF228" s="75">
        <f>AE228*(1-PARAM!$C$27)*$I$10+(MOD($B228,60)=PARAM!$B$56)*($B228&gt;(60-PARAM!$B$56))*HLOOKUP(($B228+PARAM!$B$56)/12,Loyalty,2)*$F$1*MAX(AH227,0)</f>
        <v>18.557001321003963</v>
      </c>
      <c r="AG228" s="75">
        <f>PARAM!$C$26+MAX($G$10-CHOOSE(PARAM!$B$44,MAX(0,AH227*$F$1),0),0)*RATES!$L204/12+$H$10*(PARAM!$D$51/12)*RATES!$N204/100</f>
        <v>14.511517967356662</v>
      </c>
      <c r="AH228" s="16">
        <f t="shared" si="162"/>
        <v>593.56253604630763</v>
      </c>
      <c r="AI228" s="15">
        <f t="shared" si="137"/>
        <v>22.170849845882874</v>
      </c>
      <c r="AJ228" s="75">
        <f>AI228*(1-PARAM!$C$27)*$I$11+(MOD($B228,60)=PARAM!$B$56)*($B228&gt;(60-PARAM!$B$56))*HLOOKUP(($B228+PARAM!$B$56)/12,Loyalty,2)*$F$1*MAX(AL227,0)</f>
        <v>18.557001321003963</v>
      </c>
      <c r="AK228" s="75">
        <f>PARAM!$C$26+MAX($G$11-CHOOSE(PARAM!$B$44,MAX(0,AL227*$F$1),0),0)*RATES!$L204/12+$H$11*(PARAM!$D$51/12)*RATES!$N204/100</f>
        <v>14.511517967356662</v>
      </c>
      <c r="AL228" s="16">
        <f t="shared" si="163"/>
        <v>593.56253604630763</v>
      </c>
      <c r="AM228" s="15">
        <f t="shared" si="138"/>
        <v>22.170849845882874</v>
      </c>
      <c r="AN228" s="75">
        <f>AM228*(1-PARAM!$C$27)*$I$12+(MOD($B228,60)=PARAM!$B$56)*($B228&gt;(60-PARAM!$B$56))*HLOOKUP(($B228+PARAM!$B$56)/12,Loyalty,2)*$F$1*MAX(AP227,0)</f>
        <v>18.557001321003963</v>
      </c>
      <c r="AO228" s="75">
        <f>PARAM!$C$26+MAX($G$12-CHOOSE(PARAM!$B$44,MAX(0,AP227*$F$1),0),0)*RATES!$L204/12+$H$12*(PARAM!$D$51/12)*RATES!$N204/100</f>
        <v>14.511517967356662</v>
      </c>
      <c r="AP228" s="16">
        <f t="shared" si="164"/>
        <v>593.56253604630763</v>
      </c>
      <c r="AQ228" s="15">
        <f t="shared" si="139"/>
        <v>22.170849845882874</v>
      </c>
      <c r="AR228" s="75">
        <f>AQ228*(1-PARAM!$C$27)*$I$13+(MOD($B228,60)=PARAM!$B$56)*($B228&gt;(60-PARAM!$B$56))*HLOOKUP(($B228+PARAM!$B$56)/12,Loyalty,2)*$F$1*MAX(AT227,0)</f>
        <v>18.557001321003963</v>
      </c>
      <c r="AS228" s="75">
        <f>PARAM!$C$26+MAX($G$13-CHOOSE(PARAM!$B$44,MAX(0,AT227*$F$1),0),0)*RATES!$L204/12+$H$13*(PARAM!$D$51/12)*RATES!$N204/100</f>
        <v>14.511517967356662</v>
      </c>
      <c r="AT228" s="16">
        <f t="shared" si="165"/>
        <v>593.56253604630763</v>
      </c>
      <c r="AU228" s="15">
        <f t="shared" si="140"/>
        <v>22.170849845882874</v>
      </c>
      <c r="AV228" s="75">
        <f>AU228*(1-PARAM!$C$27)*$I$14+(MOD($B228,60)=PARAM!$B$56)*($B228&gt;(60-PARAM!$B$56))*HLOOKUP(($B228+PARAM!$B$56)/12,Loyalty,2)*$F$1*MAX(AX227,0)</f>
        <v>18.557001321003963</v>
      </c>
      <c r="AW228" s="75">
        <f>PARAM!$C$26+MAX($G$14-CHOOSE(PARAM!$B$44,MAX(0,AX227*$F$1),0),0)*RATES!$L204/12+$H$14*(PARAM!$D$51/12)*RATES!$N204/100</f>
        <v>14.511517967356662</v>
      </c>
      <c r="AX228" s="16">
        <f t="shared" si="166"/>
        <v>593.56253604630763</v>
      </c>
      <c r="AY228" s="15">
        <f t="shared" si="141"/>
        <v>22.170849845882874</v>
      </c>
      <c r="AZ228" s="75">
        <f>AY228*(1-PARAM!$C$27)*$I$15+(MOD($B228,60)=PARAM!$B$56)*($B228&gt;(60-PARAM!$B$56))*HLOOKUP(($B228+PARAM!$B$56)/12,Loyalty,2)*$F$1*MAX(BB227,0)</f>
        <v>18.557001321003963</v>
      </c>
      <c r="BA228" s="75">
        <f>PARAM!$C$26+MAX($G$15-CHOOSE(PARAM!$B$44,MAX(0,BB227*$F$1),0),0)*RATES!$L204/12+$H$15*(PARAM!$D$51/12)*RATES!$N204/100</f>
        <v>14.511517967356662</v>
      </c>
      <c r="BB228" s="16">
        <f t="shared" si="167"/>
        <v>593.56253604630763</v>
      </c>
      <c r="BC228" s="15">
        <f t="shared" si="142"/>
        <v>22.170849845882874</v>
      </c>
      <c r="BD228" s="75">
        <f>BC228*(1-PARAM!$C$27)*$I$16+(MOD($B228,60)=PARAM!$B$56)*($B228&gt;(60-PARAM!$B$56))*HLOOKUP(($B228+PARAM!$B$56)/12,Loyalty,2)*$F$1*MAX(BF227,0)</f>
        <v>18.557001321003963</v>
      </c>
      <c r="BE228" s="75">
        <f>PARAM!$C$26+MAX($G$16-CHOOSE(PARAM!$B$44,MAX(0,BF227*$F$1),0),0)*RATES!$L204/12+$H$16*(PARAM!$D$51/12)*RATES!$N204/100</f>
        <v>14.511517967356662</v>
      </c>
      <c r="BF228" s="16">
        <f t="shared" si="168"/>
        <v>593.56253604630763</v>
      </c>
      <c r="BG228" s="15">
        <f t="shared" si="143"/>
        <v>22.170849845882874</v>
      </c>
      <c r="BH228" s="75">
        <f>BG228*(1-PARAM!$C$27)*$I$17+(MOD($B228,60)=PARAM!$B$56)*($B228&gt;(60-PARAM!$B$56))*HLOOKUP(($B228+PARAM!$B$56)/12,Loyalty,2)*$F$1*MAX(BJ227,0)</f>
        <v>18.557001321003963</v>
      </c>
      <c r="BI228" s="75">
        <f>PARAM!$C$26+MAX($G$17-CHOOSE(PARAM!$B$44,MAX(0,BJ227*$F$1),0),0)*RATES!$L204/12+$H$17*(PARAM!$D$51/12)*RATES!$N204/100</f>
        <v>14.511517967356662</v>
      </c>
      <c r="BJ228" s="16">
        <f t="shared" si="169"/>
        <v>593.56253604630763</v>
      </c>
      <c r="BK228" s="15">
        <f t="shared" si="144"/>
        <v>22.170849845882874</v>
      </c>
      <c r="BL228" s="75">
        <f>BK228*(1-PARAM!$C$27)*$I$18+(MOD($B228,60)=PARAM!$B$56)*($B228&gt;(60-PARAM!$B$56))*HLOOKUP(($B228+PARAM!$B$56)/12,Loyalty,2)*$F$1*MAX(BN227,0)</f>
        <v>18.557001321003963</v>
      </c>
      <c r="BM228" s="75">
        <f>PARAM!$C$26+MAX($G$18-CHOOSE(PARAM!$B$44,MAX(0,BN227*$F$1),0),0)*RATES!$L204/12+$H$18*(PARAM!$D$51/12)*RATES!$N204/100</f>
        <v>14.511517967356662</v>
      </c>
      <c r="BN228" s="16">
        <f t="shared" si="170"/>
        <v>593.56253604630763</v>
      </c>
      <c r="BO228" s="15">
        <f t="shared" si="145"/>
        <v>22.170849845882874</v>
      </c>
      <c r="BP228" s="75">
        <f>BO228*(1-PARAM!$C$27)*$I$19+(MOD($B228,60)=PARAM!$B$56)*($B228&gt;(60-PARAM!$B$56))*HLOOKUP(($B228+PARAM!$B$56)/12,Loyalty,2)*$F$1*MAX(BR227,0)</f>
        <v>18.557001321003963</v>
      </c>
      <c r="BQ228" s="75">
        <f>PARAM!$C$26+MAX($G$19-CHOOSE(PARAM!$B$44,MAX(0,BR227*$F$1),0),0)*RATES!$L204/12+$H$19*(PARAM!$D$51/12)*RATES!$N204/100</f>
        <v>14.511517967356662</v>
      </c>
      <c r="BR228" s="16">
        <f t="shared" si="171"/>
        <v>593.56253604630763</v>
      </c>
      <c r="BS228" s="15">
        <f t="shared" si="146"/>
        <v>22.170849845882874</v>
      </c>
      <c r="BT228" s="75">
        <f>BS228*(1-PARAM!$C$27)*$I$20+(MOD($B228,60)=PARAM!$B$56)*($B228&gt;(60-PARAM!$B$56))*HLOOKUP(($B228+PARAM!$B$56)/12,Loyalty,2)*$F$1*MAX(BV227,0)</f>
        <v>18.557001321003963</v>
      </c>
      <c r="BU228" s="75">
        <f>PARAM!$C$26+MAX($G$20-CHOOSE(PARAM!$B$44,MAX(0,BV227*$F$1),0),0)*RATES!$L204/12+$H$20*(PARAM!$D$51/12)*RATES!$N204/100</f>
        <v>14.511517967356662</v>
      </c>
      <c r="BV228" s="16">
        <f t="shared" si="172"/>
        <v>593.56253604630763</v>
      </c>
      <c r="BW228" s="15">
        <f t="shared" si="147"/>
        <v>22.170849845882874</v>
      </c>
      <c r="BX228" s="75">
        <f>BW228*(1-PARAM!$C$27)*$I$21+(MOD($B228,60)=PARAM!$B$56)*($B228&gt;(60-PARAM!$B$56))*HLOOKUP(($B228+PARAM!$B$56)/12,Loyalty,2)*$F$1*MAX(BZ227,0)</f>
        <v>18.557001321003963</v>
      </c>
      <c r="BY228" s="75">
        <f>PARAM!$C$26+MAX($G$21-CHOOSE(PARAM!$B$44,MAX(0,BZ227*$F$1),0),0)*RATES!$L204/12+$H$21*(PARAM!$D$51/12)*RATES!$N204/100</f>
        <v>14.511517967356662</v>
      </c>
      <c r="BZ228" s="16">
        <f t="shared" si="173"/>
        <v>593.56253604630763</v>
      </c>
      <c r="CA228" s="15">
        <f t="shared" si="148"/>
        <v>22.170849845882874</v>
      </c>
      <c r="CB228" s="75">
        <f>CA228*(1-PARAM!$C$27)*$I$22+(MOD($B228,60)=PARAM!$B$56)*($B228&gt;(60-PARAM!$B$56))*HLOOKUP(($B228+PARAM!$B$56)/12,Loyalty,2)*$F$1*MAX(CD227,0)</f>
        <v>18.557001321003963</v>
      </c>
      <c r="CC228" s="75">
        <f>PARAM!$C$26+MAX($G$22-CHOOSE(PARAM!$B$44,MAX(0,CD227*$F$1),0),0)*RATES!$L204/12+$H$22*(PARAM!$D$51/12)*RATES!$N204/100</f>
        <v>14.511517967356662</v>
      </c>
      <c r="CD228" s="16">
        <f t="shared" si="174"/>
        <v>593.56253604630763</v>
      </c>
      <c r="CE228" s="33">
        <f>IF(0=MOD(B228,12/PARAM!$D$51),1,0)</f>
        <v>1</v>
      </c>
      <c r="CF228" s="15">
        <f t="shared" si="149"/>
        <v>0</v>
      </c>
      <c r="CG228" s="75">
        <f>CF228*(1-PARAM!$C$27)*$R$3+(MOD($B228/12,5)=0)*($B228&gt;60)*HLOOKUP($B228/12,Loyalty,2)*$F$1*MAX(CI227,0)</f>
        <v>0</v>
      </c>
      <c r="CH228" s="75">
        <f>PARAM!$C$26+MAX($P$3-CHOOSE(PARAM!$B$44,MAX(0,CI227*$F$1),0),0)*RATES!$L204/12+$Q$3*(PARAM!$D$51/12)*RATES!$N204/100</f>
        <v>14.625</v>
      </c>
      <c r="CI228" s="16">
        <f>IF(CI227&gt;0,CI227*PARAM!$C$53,CI227)+CG228-CH228</f>
        <v>-2959.9999999999968</v>
      </c>
      <c r="CJ228" s="15">
        <f t="shared" si="175"/>
        <v>0</v>
      </c>
      <c r="CK228" s="75">
        <f>CJ228*(1-PARAM!$C$27)*$R$4+(MOD($B228/12,5)=0)*($B228&gt;60)*HLOOKUP($B228/12,Loyalty,2)*$F$1*MAX(CM227,0)</f>
        <v>0</v>
      </c>
      <c r="CL228" s="75">
        <f>PARAM!$C$26+MAX($P$4-CHOOSE(PARAM!$B$44,MAX(0,CM227*$F$1),0),0)*RATES!$L204/12+$Q$4*(PARAM!$D$51/12)*RATES!$N204/100</f>
        <v>14.625</v>
      </c>
      <c r="CM228" s="16">
        <f>IF(CM227&gt;0,CM227*PARAM!$C$53,CM227)+CK228-CL228</f>
        <v>-2959.9999999999968</v>
      </c>
      <c r="CO228" s="176"/>
    </row>
    <row r="229" spans="1:93" x14ac:dyDescent="0.2">
      <c r="A229" t="b">
        <f t="shared" si="150"/>
        <v>1</v>
      </c>
      <c r="B229" s="33">
        <v>202</v>
      </c>
      <c r="C229" s="15">
        <f t="shared" si="151"/>
        <v>20.081305947392778</v>
      </c>
      <c r="D229" s="75">
        <f>C229*(1-PARAM!$C$27)*$I$3+(MOD($B229,60)=PARAM!$B$56)*($B229&gt;(60-PARAM!$B$56))*HLOOKUP(($B229+PARAM!$B$56)/12,Loyalty,2)*$F$1*MAX(F228,0)</f>
        <v>16.808053077967756</v>
      </c>
      <c r="E229" s="75">
        <f>PARAM!$C$26+MAX($G$3-CHOOSE(PARAM!$B$44,MAX(0,F228*$F$1),0),0)*RATES!$L205/12+$H$3*(PARAM!$D$51/12)*RATES!$N205/100</f>
        <v>14.577114130387928</v>
      </c>
      <c r="F229" s="16">
        <f t="shared" si="152"/>
        <v>250.98870316613704</v>
      </c>
      <c r="G229" s="15">
        <f t="shared" si="153"/>
        <v>22.035289406060361</v>
      </c>
      <c r="H229" s="75">
        <f>G229*(1-PARAM!$C$27)*$I$4+(MOD($B229,60)=PARAM!$B$56)*($B229&gt;(60-PARAM!$B$56))*HLOOKUP(($B229+PARAM!$B$56)/12,Loyalty,2)*$F$1*MAX(J228,0)</f>
        <v>18.443537232872522</v>
      </c>
      <c r="I229" s="75">
        <f>PARAM!$C$26+MAX($G$4-CHOOSE(PARAM!$B$44,MAX(0,J228*$F$1),0),0)*RATES!$L205/12+$H$4*(PARAM!$D$51/12)*RATES!$N205/100</f>
        <v>14.51504827544607</v>
      </c>
      <c r="J229" s="16">
        <f t="shared" si="154"/>
        <v>575.10627884797304</v>
      </c>
      <c r="K229" s="15">
        <f t="shared" si="155"/>
        <v>22.170849845882874</v>
      </c>
      <c r="L229" s="75">
        <f>K229*(1-PARAM!$C$27)*$I$5+(MOD($B229,60)=PARAM!$B$56)*($B229&gt;(60-PARAM!$B$56))*HLOOKUP(($B229+PARAM!$B$56)/12,Loyalty,2)*$F$1*MAX(N228,0)</f>
        <v>18.557001321003963</v>
      </c>
      <c r="M229" s="75">
        <f>PARAM!$C$26+MAX($G$5-CHOOSE(PARAM!$B$44,MAX(0,N228*$F$1),0),0)*RATES!$L205/12+$H$5*(PARAM!$D$51/12)*RATES!$N205/100</f>
        <v>14.510739211811085</v>
      </c>
      <c r="N229" s="16">
        <f t="shared" si="156"/>
        <v>597.60879815550061</v>
      </c>
      <c r="O229" s="15">
        <f t="shared" si="157"/>
        <v>22.170849845882874</v>
      </c>
      <c r="P229" s="75">
        <f>O229*(1-PARAM!$C$27)*$I$6+(MOD($B229,60)=PARAM!$B$56)*($B229&gt;(60-PARAM!$B$56))*HLOOKUP(($B229+PARAM!$B$56)/12,Loyalty,2)*$F$1*MAX(R228,0)</f>
        <v>18.557001321003963</v>
      </c>
      <c r="Q229" s="75">
        <f>PARAM!$C$26+MAX($G$6-CHOOSE(PARAM!$B$44,MAX(0,R228*$F$1),0),0)*RATES!$L205/12+$H$6*(PARAM!$D$51/12)*RATES!$N205/100</f>
        <v>14.510739211811085</v>
      </c>
      <c r="R229" s="16">
        <f t="shared" si="158"/>
        <v>597.60879815550061</v>
      </c>
      <c r="S229" s="15">
        <f t="shared" si="133"/>
        <v>22.170849845882874</v>
      </c>
      <c r="T229" s="75">
        <f>S229*(1-PARAM!$C$27)*$I$7+(MOD($B229,60)=PARAM!$B$56)*($B229&gt;(60-PARAM!$B$56))*HLOOKUP(($B229+PARAM!$B$56)/12,Loyalty,2)*$F$1*MAX(V228,0)</f>
        <v>18.557001321003963</v>
      </c>
      <c r="U229" s="75">
        <f>PARAM!$C$26+MAX($G$7-CHOOSE(PARAM!$B$44,MAX(0,V228*$F$1),0),0)*RATES!$L205/12+$H$7*(PARAM!$D$51/12)*RATES!$N205/100</f>
        <v>14.510739211811085</v>
      </c>
      <c r="V229" s="16">
        <f t="shared" si="159"/>
        <v>597.60879815550061</v>
      </c>
      <c r="W229" s="15">
        <f t="shared" si="134"/>
        <v>22.170849845882874</v>
      </c>
      <c r="X229" s="75">
        <f>W229*(1-PARAM!$C$27)*$I$8+(MOD($B229,60)=PARAM!$B$56)*($B229&gt;(60-PARAM!$B$56))*HLOOKUP(($B229+PARAM!$B$56)/12,Loyalty,2)*$F$1*MAX(Z228,0)</f>
        <v>18.557001321003963</v>
      </c>
      <c r="Y229" s="75">
        <f>PARAM!$C$26+MAX($G$8-CHOOSE(PARAM!$B$44,MAX(0,Z228*$F$1),0),0)*RATES!$L205/12+$H$8*(PARAM!$D$51/12)*RATES!$N205/100</f>
        <v>14.510739211811085</v>
      </c>
      <c r="Z229" s="16">
        <f t="shared" si="160"/>
        <v>597.60879815550061</v>
      </c>
      <c r="AA229" s="15">
        <f t="shared" si="135"/>
        <v>22.170849845882874</v>
      </c>
      <c r="AB229" s="75">
        <f>AA229*(1-PARAM!$C$27)*$I$9+(MOD($B229,60)=PARAM!$B$56)*($B229&gt;(60-PARAM!$B$56))*HLOOKUP(($B229+PARAM!$B$56)/12,Loyalty,2)*$F$1*MAX(AD228,0)</f>
        <v>18.557001321003963</v>
      </c>
      <c r="AC229" s="75">
        <f>PARAM!$C$26+MAX($G$9-CHOOSE(PARAM!$B$44,MAX(0,AD228*$F$1),0),0)*RATES!$L205/12+$H$9*(PARAM!$D$51/12)*RATES!$N205/100</f>
        <v>14.510739211811085</v>
      </c>
      <c r="AD229" s="16">
        <f t="shared" si="161"/>
        <v>597.60879815550061</v>
      </c>
      <c r="AE229" s="15">
        <f t="shared" si="136"/>
        <v>22.170849845882874</v>
      </c>
      <c r="AF229" s="75">
        <f>AE229*(1-PARAM!$C$27)*$I$10+(MOD($B229,60)=PARAM!$B$56)*($B229&gt;(60-PARAM!$B$56))*HLOOKUP(($B229+PARAM!$B$56)/12,Loyalty,2)*$F$1*MAX(AH228,0)</f>
        <v>18.557001321003963</v>
      </c>
      <c r="AG229" s="75">
        <f>PARAM!$C$26+MAX($G$10-CHOOSE(PARAM!$B$44,MAX(0,AH228*$F$1),0),0)*RATES!$L205/12+$H$10*(PARAM!$D$51/12)*RATES!$N205/100</f>
        <v>14.510739211811085</v>
      </c>
      <c r="AH229" s="16">
        <f t="shared" si="162"/>
        <v>597.60879815550061</v>
      </c>
      <c r="AI229" s="15">
        <f t="shared" si="137"/>
        <v>22.170849845882874</v>
      </c>
      <c r="AJ229" s="75">
        <f>AI229*(1-PARAM!$C$27)*$I$11+(MOD($B229,60)=PARAM!$B$56)*($B229&gt;(60-PARAM!$B$56))*HLOOKUP(($B229+PARAM!$B$56)/12,Loyalty,2)*$F$1*MAX(AL228,0)</f>
        <v>18.557001321003963</v>
      </c>
      <c r="AK229" s="75">
        <f>PARAM!$C$26+MAX($G$11-CHOOSE(PARAM!$B$44,MAX(0,AL228*$F$1),0),0)*RATES!$L205/12+$H$11*(PARAM!$D$51/12)*RATES!$N205/100</f>
        <v>14.510739211811085</v>
      </c>
      <c r="AL229" s="16">
        <f t="shared" si="163"/>
        <v>597.60879815550061</v>
      </c>
      <c r="AM229" s="15">
        <f t="shared" si="138"/>
        <v>22.170849845882874</v>
      </c>
      <c r="AN229" s="75">
        <f>AM229*(1-PARAM!$C$27)*$I$12+(MOD($B229,60)=PARAM!$B$56)*($B229&gt;(60-PARAM!$B$56))*HLOOKUP(($B229+PARAM!$B$56)/12,Loyalty,2)*$F$1*MAX(AP228,0)</f>
        <v>18.557001321003963</v>
      </c>
      <c r="AO229" s="75">
        <f>PARAM!$C$26+MAX($G$12-CHOOSE(PARAM!$B$44,MAX(0,AP228*$F$1),0),0)*RATES!$L205/12+$H$12*(PARAM!$D$51/12)*RATES!$N205/100</f>
        <v>14.510739211811085</v>
      </c>
      <c r="AP229" s="16">
        <f t="shared" si="164"/>
        <v>597.60879815550061</v>
      </c>
      <c r="AQ229" s="15">
        <f t="shared" si="139"/>
        <v>22.170849845882874</v>
      </c>
      <c r="AR229" s="75">
        <f>AQ229*(1-PARAM!$C$27)*$I$13+(MOD($B229,60)=PARAM!$B$56)*($B229&gt;(60-PARAM!$B$56))*HLOOKUP(($B229+PARAM!$B$56)/12,Loyalty,2)*$F$1*MAX(AT228,0)</f>
        <v>18.557001321003963</v>
      </c>
      <c r="AS229" s="75">
        <f>PARAM!$C$26+MAX($G$13-CHOOSE(PARAM!$B$44,MAX(0,AT228*$F$1),0),0)*RATES!$L205/12+$H$13*(PARAM!$D$51/12)*RATES!$N205/100</f>
        <v>14.510739211811085</v>
      </c>
      <c r="AT229" s="16">
        <f t="shared" si="165"/>
        <v>597.60879815550061</v>
      </c>
      <c r="AU229" s="15">
        <f t="shared" si="140"/>
        <v>22.170849845882874</v>
      </c>
      <c r="AV229" s="75">
        <f>AU229*(1-PARAM!$C$27)*$I$14+(MOD($B229,60)=PARAM!$B$56)*($B229&gt;(60-PARAM!$B$56))*HLOOKUP(($B229+PARAM!$B$56)/12,Loyalty,2)*$F$1*MAX(AX228,0)</f>
        <v>18.557001321003963</v>
      </c>
      <c r="AW229" s="75">
        <f>PARAM!$C$26+MAX($G$14-CHOOSE(PARAM!$B$44,MAX(0,AX228*$F$1),0),0)*RATES!$L205/12+$H$14*(PARAM!$D$51/12)*RATES!$N205/100</f>
        <v>14.510739211811085</v>
      </c>
      <c r="AX229" s="16">
        <f t="shared" si="166"/>
        <v>597.60879815550061</v>
      </c>
      <c r="AY229" s="15">
        <f t="shared" si="141"/>
        <v>22.170849845882874</v>
      </c>
      <c r="AZ229" s="75">
        <f>AY229*(1-PARAM!$C$27)*$I$15+(MOD($B229,60)=PARAM!$B$56)*($B229&gt;(60-PARAM!$B$56))*HLOOKUP(($B229+PARAM!$B$56)/12,Loyalty,2)*$F$1*MAX(BB228,0)</f>
        <v>18.557001321003963</v>
      </c>
      <c r="BA229" s="75">
        <f>PARAM!$C$26+MAX($G$15-CHOOSE(PARAM!$B$44,MAX(0,BB228*$F$1),0),0)*RATES!$L205/12+$H$15*(PARAM!$D$51/12)*RATES!$N205/100</f>
        <v>14.510739211811085</v>
      </c>
      <c r="BB229" s="16">
        <f t="shared" si="167"/>
        <v>597.60879815550061</v>
      </c>
      <c r="BC229" s="15">
        <f t="shared" si="142"/>
        <v>22.170849845882874</v>
      </c>
      <c r="BD229" s="75">
        <f>BC229*(1-PARAM!$C$27)*$I$16+(MOD($B229,60)=PARAM!$B$56)*($B229&gt;(60-PARAM!$B$56))*HLOOKUP(($B229+PARAM!$B$56)/12,Loyalty,2)*$F$1*MAX(BF228,0)</f>
        <v>18.557001321003963</v>
      </c>
      <c r="BE229" s="75">
        <f>PARAM!$C$26+MAX($G$16-CHOOSE(PARAM!$B$44,MAX(0,BF228*$F$1),0),0)*RATES!$L205/12+$H$16*(PARAM!$D$51/12)*RATES!$N205/100</f>
        <v>14.510739211811085</v>
      </c>
      <c r="BF229" s="16">
        <f t="shared" si="168"/>
        <v>597.60879815550061</v>
      </c>
      <c r="BG229" s="15">
        <f t="shared" si="143"/>
        <v>22.170849845882874</v>
      </c>
      <c r="BH229" s="75">
        <f>BG229*(1-PARAM!$C$27)*$I$17+(MOD($B229,60)=PARAM!$B$56)*($B229&gt;(60-PARAM!$B$56))*HLOOKUP(($B229+PARAM!$B$56)/12,Loyalty,2)*$F$1*MAX(BJ228,0)</f>
        <v>18.557001321003963</v>
      </c>
      <c r="BI229" s="75">
        <f>PARAM!$C$26+MAX($G$17-CHOOSE(PARAM!$B$44,MAX(0,BJ228*$F$1),0),0)*RATES!$L205/12+$H$17*(PARAM!$D$51/12)*RATES!$N205/100</f>
        <v>14.510739211811085</v>
      </c>
      <c r="BJ229" s="16">
        <f t="shared" si="169"/>
        <v>597.60879815550061</v>
      </c>
      <c r="BK229" s="15">
        <f t="shared" si="144"/>
        <v>22.170849845882874</v>
      </c>
      <c r="BL229" s="75">
        <f>BK229*(1-PARAM!$C$27)*$I$18+(MOD($B229,60)=PARAM!$B$56)*($B229&gt;(60-PARAM!$B$56))*HLOOKUP(($B229+PARAM!$B$56)/12,Loyalty,2)*$F$1*MAX(BN228,0)</f>
        <v>18.557001321003963</v>
      </c>
      <c r="BM229" s="75">
        <f>PARAM!$C$26+MAX($G$18-CHOOSE(PARAM!$B$44,MAX(0,BN228*$F$1),0),0)*RATES!$L205/12+$H$18*(PARAM!$D$51/12)*RATES!$N205/100</f>
        <v>14.510739211811085</v>
      </c>
      <c r="BN229" s="16">
        <f t="shared" si="170"/>
        <v>597.60879815550061</v>
      </c>
      <c r="BO229" s="15">
        <f t="shared" si="145"/>
        <v>22.170849845882874</v>
      </c>
      <c r="BP229" s="75">
        <f>BO229*(1-PARAM!$C$27)*$I$19+(MOD($B229,60)=PARAM!$B$56)*($B229&gt;(60-PARAM!$B$56))*HLOOKUP(($B229+PARAM!$B$56)/12,Loyalty,2)*$F$1*MAX(BR228,0)</f>
        <v>18.557001321003963</v>
      </c>
      <c r="BQ229" s="75">
        <f>PARAM!$C$26+MAX($G$19-CHOOSE(PARAM!$B$44,MAX(0,BR228*$F$1),0),0)*RATES!$L205/12+$H$19*(PARAM!$D$51/12)*RATES!$N205/100</f>
        <v>14.510739211811085</v>
      </c>
      <c r="BR229" s="16">
        <f t="shared" si="171"/>
        <v>597.60879815550061</v>
      </c>
      <c r="BS229" s="15">
        <f t="shared" si="146"/>
        <v>22.170849845882874</v>
      </c>
      <c r="BT229" s="75">
        <f>BS229*(1-PARAM!$C$27)*$I$20+(MOD($B229,60)=PARAM!$B$56)*($B229&gt;(60-PARAM!$B$56))*HLOOKUP(($B229+PARAM!$B$56)/12,Loyalty,2)*$F$1*MAX(BV228,0)</f>
        <v>18.557001321003963</v>
      </c>
      <c r="BU229" s="75">
        <f>PARAM!$C$26+MAX($G$20-CHOOSE(PARAM!$B$44,MAX(0,BV228*$F$1),0),0)*RATES!$L205/12+$H$20*(PARAM!$D$51/12)*RATES!$N205/100</f>
        <v>14.510739211811085</v>
      </c>
      <c r="BV229" s="16">
        <f t="shared" si="172"/>
        <v>597.60879815550061</v>
      </c>
      <c r="BW229" s="15">
        <f t="shared" si="147"/>
        <v>22.170849845882874</v>
      </c>
      <c r="BX229" s="75">
        <f>BW229*(1-PARAM!$C$27)*$I$21+(MOD($B229,60)=PARAM!$B$56)*($B229&gt;(60-PARAM!$B$56))*HLOOKUP(($B229+PARAM!$B$56)/12,Loyalty,2)*$F$1*MAX(BZ228,0)</f>
        <v>18.557001321003963</v>
      </c>
      <c r="BY229" s="75">
        <f>PARAM!$C$26+MAX($G$21-CHOOSE(PARAM!$B$44,MAX(0,BZ228*$F$1),0),0)*RATES!$L205/12+$H$21*(PARAM!$D$51/12)*RATES!$N205/100</f>
        <v>14.510739211811085</v>
      </c>
      <c r="BZ229" s="16">
        <f t="shared" si="173"/>
        <v>597.60879815550061</v>
      </c>
      <c r="CA229" s="15">
        <f t="shared" si="148"/>
        <v>22.170849845882874</v>
      </c>
      <c r="CB229" s="75">
        <f>CA229*(1-PARAM!$C$27)*$I$22+(MOD($B229,60)=PARAM!$B$56)*($B229&gt;(60-PARAM!$B$56))*HLOOKUP(($B229+PARAM!$B$56)/12,Loyalty,2)*$F$1*MAX(CD228,0)</f>
        <v>18.557001321003963</v>
      </c>
      <c r="CC229" s="75">
        <f>PARAM!$C$26+MAX($G$22-CHOOSE(PARAM!$B$44,MAX(0,CD228*$F$1),0),0)*RATES!$L205/12+$H$22*(PARAM!$D$51/12)*RATES!$N205/100</f>
        <v>14.510739211811085</v>
      </c>
      <c r="CD229" s="16">
        <f t="shared" si="174"/>
        <v>597.60879815550061</v>
      </c>
      <c r="CE229" s="33">
        <f>IF(0=MOD(B229,12/PARAM!$D$51),1,0)</f>
        <v>1</v>
      </c>
      <c r="CF229" s="15">
        <f t="shared" si="149"/>
        <v>0</v>
      </c>
      <c r="CG229" s="75">
        <f>CF229*(1-PARAM!$C$27)*$R$3+(MOD($B229/12,5)=0)*($B229&gt;60)*HLOOKUP($B229/12,Loyalty,2)*$F$1*MAX(CI228,0)</f>
        <v>0</v>
      </c>
      <c r="CH229" s="75">
        <f>PARAM!$C$26+MAX($P$3-CHOOSE(PARAM!$B$44,MAX(0,CI228*$F$1),0),0)*RATES!$L205/12+$Q$3*(PARAM!$D$51/12)*RATES!$N205/100</f>
        <v>14.625</v>
      </c>
      <c r="CI229" s="16">
        <f>IF(CI228&gt;0,CI228*PARAM!$C$53,CI228)+CG229-CH229</f>
        <v>-2974.6249999999968</v>
      </c>
      <c r="CJ229" s="15">
        <f t="shared" si="175"/>
        <v>0</v>
      </c>
      <c r="CK229" s="75">
        <f>CJ229*(1-PARAM!$C$27)*$R$4+(MOD($B229/12,5)=0)*($B229&gt;60)*HLOOKUP($B229/12,Loyalty,2)*$F$1*MAX(CM228,0)</f>
        <v>0</v>
      </c>
      <c r="CL229" s="75">
        <f>PARAM!$C$26+MAX($P$4-CHOOSE(PARAM!$B$44,MAX(0,CM228*$F$1),0),0)*RATES!$L205/12+$Q$4*(PARAM!$D$51/12)*RATES!$N205/100</f>
        <v>14.625</v>
      </c>
      <c r="CM229" s="16">
        <f>IF(CM228&gt;0,CM228*PARAM!$C$53,CM228)+CK229-CL229</f>
        <v>-2974.6249999999968</v>
      </c>
      <c r="CO229" s="176"/>
    </row>
    <row r="230" spans="1:93" x14ac:dyDescent="0.2">
      <c r="A230" t="b">
        <f t="shared" si="150"/>
        <v>1</v>
      </c>
      <c r="B230" s="33">
        <v>203</v>
      </c>
      <c r="C230" s="15">
        <f t="shared" si="151"/>
        <v>20.081305947392778</v>
      </c>
      <c r="D230" s="75">
        <f>C230*(1-PARAM!$C$27)*$I$3+(MOD($B230,60)=PARAM!$B$56)*($B230&gt;(60-PARAM!$B$56))*HLOOKUP(($B230+PARAM!$B$56)/12,Loyalty,2)*$F$1*MAX(F229,0)</f>
        <v>16.808053077967756</v>
      </c>
      <c r="E230" s="75">
        <f>PARAM!$C$26+MAX($G$3-CHOOSE(PARAM!$B$44,MAX(0,F229*$F$1),0),0)*RATES!$L206/12+$H$3*(PARAM!$D$51/12)*RATES!$N206/100</f>
        <v>14.57668467464052</v>
      </c>
      <c r="F230" s="16">
        <f t="shared" si="152"/>
        <v>253.2200715694643</v>
      </c>
      <c r="G230" s="15">
        <f t="shared" si="153"/>
        <v>22.035289406060361</v>
      </c>
      <c r="H230" s="75">
        <f>G230*(1-PARAM!$C$27)*$I$4+(MOD($B230,60)=PARAM!$B$56)*($B230&gt;(60-PARAM!$B$56))*HLOOKUP(($B230+PARAM!$B$56)/12,Loyalty,2)*$F$1*MAX(J229,0)</f>
        <v>18.443537232872522</v>
      </c>
      <c r="I230" s="75">
        <f>PARAM!$C$26+MAX($G$4-CHOOSE(PARAM!$B$44,MAX(0,J229*$F$1),0),0)*RATES!$L206/12+$H$4*(PARAM!$D$51/12)*RATES!$N206/100</f>
        <v>14.514292041321765</v>
      </c>
      <c r="J230" s="16">
        <f t="shared" si="154"/>
        <v>579.03552403952381</v>
      </c>
      <c r="K230" s="15">
        <f t="shared" si="155"/>
        <v>22.170849845882874</v>
      </c>
      <c r="L230" s="75">
        <f>K230*(1-PARAM!$C$27)*$I$5+(MOD($B230,60)=PARAM!$B$56)*($B230&gt;(60-PARAM!$B$56))*HLOOKUP(($B230+PARAM!$B$56)/12,Loyalty,2)*$F$1*MAX(N229,0)</f>
        <v>18.557001321003963</v>
      </c>
      <c r="M230" s="75">
        <f>PARAM!$C$26+MAX($G$5-CHOOSE(PARAM!$B$44,MAX(0,N229*$F$1),0),0)*RATES!$L206/12+$H$5*(PARAM!$D$51/12)*RATES!$N206/100</f>
        <v>14.509960306355065</v>
      </c>
      <c r="N230" s="16">
        <f t="shared" si="156"/>
        <v>601.65583917014953</v>
      </c>
      <c r="O230" s="15">
        <f t="shared" si="157"/>
        <v>22.170849845882874</v>
      </c>
      <c r="P230" s="75">
        <f>O230*(1-PARAM!$C$27)*$I$6+(MOD($B230,60)=PARAM!$B$56)*($B230&gt;(60-PARAM!$B$56))*HLOOKUP(($B230+PARAM!$B$56)/12,Loyalty,2)*$F$1*MAX(R229,0)</f>
        <v>18.557001321003963</v>
      </c>
      <c r="Q230" s="75">
        <f>PARAM!$C$26+MAX($G$6-CHOOSE(PARAM!$B$44,MAX(0,R229*$F$1),0),0)*RATES!$L206/12+$H$6*(PARAM!$D$51/12)*RATES!$N206/100</f>
        <v>14.509960306355065</v>
      </c>
      <c r="R230" s="16">
        <f t="shared" si="158"/>
        <v>601.65583917014953</v>
      </c>
      <c r="S230" s="15">
        <f t="shared" si="133"/>
        <v>22.170849845882874</v>
      </c>
      <c r="T230" s="75">
        <f>S230*(1-PARAM!$C$27)*$I$7+(MOD($B230,60)=PARAM!$B$56)*($B230&gt;(60-PARAM!$B$56))*HLOOKUP(($B230+PARAM!$B$56)/12,Loyalty,2)*$F$1*MAX(V229,0)</f>
        <v>18.557001321003963</v>
      </c>
      <c r="U230" s="75">
        <f>PARAM!$C$26+MAX($G$7-CHOOSE(PARAM!$B$44,MAX(0,V229*$F$1),0),0)*RATES!$L206/12+$H$7*(PARAM!$D$51/12)*RATES!$N206/100</f>
        <v>14.509960306355065</v>
      </c>
      <c r="V230" s="16">
        <f t="shared" si="159"/>
        <v>601.65583917014953</v>
      </c>
      <c r="W230" s="15">
        <f t="shared" si="134"/>
        <v>22.170849845882874</v>
      </c>
      <c r="X230" s="75">
        <f>W230*(1-PARAM!$C$27)*$I$8+(MOD($B230,60)=PARAM!$B$56)*($B230&gt;(60-PARAM!$B$56))*HLOOKUP(($B230+PARAM!$B$56)/12,Loyalty,2)*$F$1*MAX(Z229,0)</f>
        <v>18.557001321003963</v>
      </c>
      <c r="Y230" s="75">
        <f>PARAM!$C$26+MAX($G$8-CHOOSE(PARAM!$B$44,MAX(0,Z229*$F$1),0),0)*RATES!$L206/12+$H$8*(PARAM!$D$51/12)*RATES!$N206/100</f>
        <v>14.509960306355065</v>
      </c>
      <c r="Z230" s="16">
        <f t="shared" si="160"/>
        <v>601.65583917014953</v>
      </c>
      <c r="AA230" s="15">
        <f t="shared" si="135"/>
        <v>22.170849845882874</v>
      </c>
      <c r="AB230" s="75">
        <f>AA230*(1-PARAM!$C$27)*$I$9+(MOD($B230,60)=PARAM!$B$56)*($B230&gt;(60-PARAM!$B$56))*HLOOKUP(($B230+PARAM!$B$56)/12,Loyalty,2)*$F$1*MAX(AD229,0)</f>
        <v>18.557001321003963</v>
      </c>
      <c r="AC230" s="75">
        <f>PARAM!$C$26+MAX($G$9-CHOOSE(PARAM!$B$44,MAX(0,AD229*$F$1),0),0)*RATES!$L206/12+$H$9*(PARAM!$D$51/12)*RATES!$N206/100</f>
        <v>14.509960306355065</v>
      </c>
      <c r="AD230" s="16">
        <f t="shared" si="161"/>
        <v>601.65583917014953</v>
      </c>
      <c r="AE230" s="15">
        <f t="shared" si="136"/>
        <v>22.170849845882874</v>
      </c>
      <c r="AF230" s="75">
        <f>AE230*(1-PARAM!$C$27)*$I$10+(MOD($B230,60)=PARAM!$B$56)*($B230&gt;(60-PARAM!$B$56))*HLOOKUP(($B230+PARAM!$B$56)/12,Loyalty,2)*$F$1*MAX(AH229,0)</f>
        <v>18.557001321003963</v>
      </c>
      <c r="AG230" s="75">
        <f>PARAM!$C$26+MAX($G$10-CHOOSE(PARAM!$B$44,MAX(0,AH229*$F$1),0),0)*RATES!$L206/12+$H$10*(PARAM!$D$51/12)*RATES!$N206/100</f>
        <v>14.509960306355065</v>
      </c>
      <c r="AH230" s="16">
        <f t="shared" si="162"/>
        <v>601.65583917014953</v>
      </c>
      <c r="AI230" s="15">
        <f t="shared" si="137"/>
        <v>22.170849845882874</v>
      </c>
      <c r="AJ230" s="75">
        <f>AI230*(1-PARAM!$C$27)*$I$11+(MOD($B230,60)=PARAM!$B$56)*($B230&gt;(60-PARAM!$B$56))*HLOOKUP(($B230+PARAM!$B$56)/12,Loyalty,2)*$F$1*MAX(AL229,0)</f>
        <v>18.557001321003963</v>
      </c>
      <c r="AK230" s="75">
        <f>PARAM!$C$26+MAX($G$11-CHOOSE(PARAM!$B$44,MAX(0,AL229*$F$1),0),0)*RATES!$L206/12+$H$11*(PARAM!$D$51/12)*RATES!$N206/100</f>
        <v>14.509960306355065</v>
      </c>
      <c r="AL230" s="16">
        <f t="shared" si="163"/>
        <v>601.65583917014953</v>
      </c>
      <c r="AM230" s="15">
        <f t="shared" si="138"/>
        <v>22.170849845882874</v>
      </c>
      <c r="AN230" s="75">
        <f>AM230*(1-PARAM!$C$27)*$I$12+(MOD($B230,60)=PARAM!$B$56)*($B230&gt;(60-PARAM!$B$56))*HLOOKUP(($B230+PARAM!$B$56)/12,Loyalty,2)*$F$1*MAX(AP229,0)</f>
        <v>18.557001321003963</v>
      </c>
      <c r="AO230" s="75">
        <f>PARAM!$C$26+MAX($G$12-CHOOSE(PARAM!$B$44,MAX(0,AP229*$F$1),0),0)*RATES!$L206/12+$H$12*(PARAM!$D$51/12)*RATES!$N206/100</f>
        <v>14.509960306355065</v>
      </c>
      <c r="AP230" s="16">
        <f t="shared" si="164"/>
        <v>601.65583917014953</v>
      </c>
      <c r="AQ230" s="15">
        <f t="shared" si="139"/>
        <v>22.170849845882874</v>
      </c>
      <c r="AR230" s="75">
        <f>AQ230*(1-PARAM!$C$27)*$I$13+(MOD($B230,60)=PARAM!$B$56)*($B230&gt;(60-PARAM!$B$56))*HLOOKUP(($B230+PARAM!$B$56)/12,Loyalty,2)*$F$1*MAX(AT229,0)</f>
        <v>18.557001321003963</v>
      </c>
      <c r="AS230" s="75">
        <f>PARAM!$C$26+MAX($G$13-CHOOSE(PARAM!$B$44,MAX(0,AT229*$F$1),0),0)*RATES!$L206/12+$H$13*(PARAM!$D$51/12)*RATES!$N206/100</f>
        <v>14.509960306355065</v>
      </c>
      <c r="AT230" s="16">
        <f t="shared" si="165"/>
        <v>601.65583917014953</v>
      </c>
      <c r="AU230" s="15">
        <f t="shared" si="140"/>
        <v>22.170849845882874</v>
      </c>
      <c r="AV230" s="75">
        <f>AU230*(1-PARAM!$C$27)*$I$14+(MOD($B230,60)=PARAM!$B$56)*($B230&gt;(60-PARAM!$B$56))*HLOOKUP(($B230+PARAM!$B$56)/12,Loyalty,2)*$F$1*MAX(AX229,0)</f>
        <v>18.557001321003963</v>
      </c>
      <c r="AW230" s="75">
        <f>PARAM!$C$26+MAX($G$14-CHOOSE(PARAM!$B$44,MAX(0,AX229*$F$1),0),0)*RATES!$L206/12+$H$14*(PARAM!$D$51/12)*RATES!$N206/100</f>
        <v>14.509960306355065</v>
      </c>
      <c r="AX230" s="16">
        <f t="shared" si="166"/>
        <v>601.65583917014953</v>
      </c>
      <c r="AY230" s="15">
        <f t="shared" si="141"/>
        <v>22.170849845882874</v>
      </c>
      <c r="AZ230" s="75">
        <f>AY230*(1-PARAM!$C$27)*$I$15+(MOD($B230,60)=PARAM!$B$56)*($B230&gt;(60-PARAM!$B$56))*HLOOKUP(($B230+PARAM!$B$56)/12,Loyalty,2)*$F$1*MAX(BB229,0)</f>
        <v>18.557001321003963</v>
      </c>
      <c r="BA230" s="75">
        <f>PARAM!$C$26+MAX($G$15-CHOOSE(PARAM!$B$44,MAX(0,BB229*$F$1),0),0)*RATES!$L206/12+$H$15*(PARAM!$D$51/12)*RATES!$N206/100</f>
        <v>14.509960306355065</v>
      </c>
      <c r="BB230" s="16">
        <f t="shared" si="167"/>
        <v>601.65583917014953</v>
      </c>
      <c r="BC230" s="15">
        <f t="shared" si="142"/>
        <v>22.170849845882874</v>
      </c>
      <c r="BD230" s="75">
        <f>BC230*(1-PARAM!$C$27)*$I$16+(MOD($B230,60)=PARAM!$B$56)*($B230&gt;(60-PARAM!$B$56))*HLOOKUP(($B230+PARAM!$B$56)/12,Loyalty,2)*$F$1*MAX(BF229,0)</f>
        <v>18.557001321003963</v>
      </c>
      <c r="BE230" s="75">
        <f>PARAM!$C$26+MAX($G$16-CHOOSE(PARAM!$B$44,MAX(0,BF229*$F$1),0),0)*RATES!$L206/12+$H$16*(PARAM!$D$51/12)*RATES!$N206/100</f>
        <v>14.509960306355065</v>
      </c>
      <c r="BF230" s="16">
        <f t="shared" si="168"/>
        <v>601.65583917014953</v>
      </c>
      <c r="BG230" s="15">
        <f t="shared" si="143"/>
        <v>22.170849845882874</v>
      </c>
      <c r="BH230" s="75">
        <f>BG230*(1-PARAM!$C$27)*$I$17+(MOD($B230,60)=PARAM!$B$56)*($B230&gt;(60-PARAM!$B$56))*HLOOKUP(($B230+PARAM!$B$56)/12,Loyalty,2)*$F$1*MAX(BJ229,0)</f>
        <v>18.557001321003963</v>
      </c>
      <c r="BI230" s="75">
        <f>PARAM!$C$26+MAX($G$17-CHOOSE(PARAM!$B$44,MAX(0,BJ229*$F$1),0),0)*RATES!$L206/12+$H$17*(PARAM!$D$51/12)*RATES!$N206/100</f>
        <v>14.509960306355065</v>
      </c>
      <c r="BJ230" s="16">
        <f t="shared" si="169"/>
        <v>601.65583917014953</v>
      </c>
      <c r="BK230" s="15">
        <f t="shared" si="144"/>
        <v>22.170849845882874</v>
      </c>
      <c r="BL230" s="75">
        <f>BK230*(1-PARAM!$C$27)*$I$18+(MOD($B230,60)=PARAM!$B$56)*($B230&gt;(60-PARAM!$B$56))*HLOOKUP(($B230+PARAM!$B$56)/12,Loyalty,2)*$F$1*MAX(BN229,0)</f>
        <v>18.557001321003963</v>
      </c>
      <c r="BM230" s="75">
        <f>PARAM!$C$26+MAX($G$18-CHOOSE(PARAM!$B$44,MAX(0,BN229*$F$1),0),0)*RATES!$L206/12+$H$18*(PARAM!$D$51/12)*RATES!$N206/100</f>
        <v>14.509960306355065</v>
      </c>
      <c r="BN230" s="16">
        <f t="shared" si="170"/>
        <v>601.65583917014953</v>
      </c>
      <c r="BO230" s="15">
        <f t="shared" si="145"/>
        <v>22.170849845882874</v>
      </c>
      <c r="BP230" s="75">
        <f>BO230*(1-PARAM!$C$27)*$I$19+(MOD($B230,60)=PARAM!$B$56)*($B230&gt;(60-PARAM!$B$56))*HLOOKUP(($B230+PARAM!$B$56)/12,Loyalty,2)*$F$1*MAX(BR229,0)</f>
        <v>18.557001321003963</v>
      </c>
      <c r="BQ230" s="75">
        <f>PARAM!$C$26+MAX($G$19-CHOOSE(PARAM!$B$44,MAX(0,BR229*$F$1),0),0)*RATES!$L206/12+$H$19*(PARAM!$D$51/12)*RATES!$N206/100</f>
        <v>14.509960306355065</v>
      </c>
      <c r="BR230" s="16">
        <f t="shared" si="171"/>
        <v>601.65583917014953</v>
      </c>
      <c r="BS230" s="15">
        <f t="shared" si="146"/>
        <v>22.170849845882874</v>
      </c>
      <c r="BT230" s="75">
        <f>BS230*(1-PARAM!$C$27)*$I$20+(MOD($B230,60)=PARAM!$B$56)*($B230&gt;(60-PARAM!$B$56))*HLOOKUP(($B230+PARAM!$B$56)/12,Loyalty,2)*$F$1*MAX(BV229,0)</f>
        <v>18.557001321003963</v>
      </c>
      <c r="BU230" s="75">
        <f>PARAM!$C$26+MAX($G$20-CHOOSE(PARAM!$B$44,MAX(0,BV229*$F$1),0),0)*RATES!$L206/12+$H$20*(PARAM!$D$51/12)*RATES!$N206/100</f>
        <v>14.509960306355065</v>
      </c>
      <c r="BV230" s="16">
        <f t="shared" si="172"/>
        <v>601.65583917014953</v>
      </c>
      <c r="BW230" s="15">
        <f t="shared" si="147"/>
        <v>22.170849845882874</v>
      </c>
      <c r="BX230" s="75">
        <f>BW230*(1-PARAM!$C$27)*$I$21+(MOD($B230,60)=PARAM!$B$56)*($B230&gt;(60-PARAM!$B$56))*HLOOKUP(($B230+PARAM!$B$56)/12,Loyalty,2)*$F$1*MAX(BZ229,0)</f>
        <v>18.557001321003963</v>
      </c>
      <c r="BY230" s="75">
        <f>PARAM!$C$26+MAX($G$21-CHOOSE(PARAM!$B$44,MAX(0,BZ229*$F$1),0),0)*RATES!$L206/12+$H$21*(PARAM!$D$51/12)*RATES!$N206/100</f>
        <v>14.509960306355065</v>
      </c>
      <c r="BZ230" s="16">
        <f t="shared" si="173"/>
        <v>601.65583917014953</v>
      </c>
      <c r="CA230" s="15">
        <f t="shared" si="148"/>
        <v>22.170849845882874</v>
      </c>
      <c r="CB230" s="75">
        <f>CA230*(1-PARAM!$C$27)*$I$22+(MOD($B230,60)=PARAM!$B$56)*($B230&gt;(60-PARAM!$B$56))*HLOOKUP(($B230+PARAM!$B$56)/12,Loyalty,2)*$F$1*MAX(CD229,0)</f>
        <v>18.557001321003963</v>
      </c>
      <c r="CC230" s="75">
        <f>PARAM!$C$26+MAX($G$22-CHOOSE(PARAM!$B$44,MAX(0,CD229*$F$1),0),0)*RATES!$L206/12+$H$22*(PARAM!$D$51/12)*RATES!$N206/100</f>
        <v>14.509960306355065</v>
      </c>
      <c r="CD230" s="16">
        <f t="shared" si="174"/>
        <v>601.65583917014953</v>
      </c>
      <c r="CE230" s="33">
        <f>IF(0=MOD(B230,12/PARAM!$D$51),1,0)</f>
        <v>1</v>
      </c>
      <c r="CF230" s="15">
        <f t="shared" si="149"/>
        <v>0</v>
      </c>
      <c r="CG230" s="75">
        <f>CF230*(1-PARAM!$C$27)*$R$3+(MOD($B230/12,5)=0)*($B230&gt;60)*HLOOKUP($B230/12,Loyalty,2)*$F$1*MAX(CI229,0)</f>
        <v>0</v>
      </c>
      <c r="CH230" s="75">
        <f>PARAM!$C$26+MAX($P$3-CHOOSE(PARAM!$B$44,MAX(0,CI229*$F$1),0),0)*RATES!$L206/12+$Q$3*(PARAM!$D$51/12)*RATES!$N206/100</f>
        <v>14.625</v>
      </c>
      <c r="CI230" s="16">
        <f>IF(CI229&gt;0,CI229*PARAM!$C$53,CI229)+CG230-CH230</f>
        <v>-2989.2499999999968</v>
      </c>
      <c r="CJ230" s="15">
        <f t="shared" si="175"/>
        <v>0</v>
      </c>
      <c r="CK230" s="75">
        <f>CJ230*(1-PARAM!$C$27)*$R$4+(MOD($B230/12,5)=0)*($B230&gt;60)*HLOOKUP($B230/12,Loyalty,2)*$F$1*MAX(CM229,0)</f>
        <v>0</v>
      </c>
      <c r="CL230" s="75">
        <f>PARAM!$C$26+MAX($P$4-CHOOSE(PARAM!$B$44,MAX(0,CM229*$F$1),0),0)*RATES!$L206/12+$Q$4*(PARAM!$D$51/12)*RATES!$N206/100</f>
        <v>14.625</v>
      </c>
      <c r="CM230" s="16">
        <f>IF(CM229&gt;0,CM229*PARAM!$C$53,CM229)+CK230-CL230</f>
        <v>-2989.2499999999968</v>
      </c>
      <c r="CO230" s="176"/>
    </row>
    <row r="231" spans="1:93" x14ac:dyDescent="0.2">
      <c r="A231" t="b">
        <f t="shared" si="150"/>
        <v>1</v>
      </c>
      <c r="B231" s="33">
        <v>204</v>
      </c>
      <c r="C231" s="15">
        <f t="shared" si="151"/>
        <v>20.081305947392778</v>
      </c>
      <c r="D231" s="75">
        <f>C231*(1-PARAM!$C$27)*$I$3+(MOD($B231,60)=PARAM!$B$56)*($B231&gt;(60-PARAM!$B$56))*HLOOKUP(($B231+PARAM!$B$56)/12,Loyalty,2)*$F$1*MAX(F230,0)</f>
        <v>16.808053077967756</v>
      </c>
      <c r="E231" s="75">
        <f>PARAM!$C$26+MAX($G$3-CHOOSE(PARAM!$B$44,MAX(0,F230*$F$1),0),0)*RATES!$L207/12+$H$3*(PARAM!$D$51/12)*RATES!$N207/100</f>
        <v>14.576255136222878</v>
      </c>
      <c r="F231" s="16">
        <f t="shared" si="152"/>
        <v>255.45186951120917</v>
      </c>
      <c r="G231" s="15">
        <f t="shared" si="153"/>
        <v>22.035289406060361</v>
      </c>
      <c r="H231" s="75">
        <f>G231*(1-PARAM!$C$27)*$I$4+(MOD($B231,60)=PARAM!$B$56)*($B231&gt;(60-PARAM!$B$56))*HLOOKUP(($B231+PARAM!$B$56)/12,Loyalty,2)*$F$1*MAX(J230,0)</f>
        <v>18.443537232872522</v>
      </c>
      <c r="I231" s="75">
        <f>PARAM!$C$26+MAX($G$4-CHOOSE(PARAM!$B$44,MAX(0,J230*$F$1),0),0)*RATES!$L207/12+$H$4*(PARAM!$D$51/12)*RATES!$N207/100</f>
        <v>14.513535661622392</v>
      </c>
      <c r="J231" s="16">
        <f t="shared" si="154"/>
        <v>582.96552561077385</v>
      </c>
      <c r="K231" s="15">
        <f t="shared" si="155"/>
        <v>22.170849845882874</v>
      </c>
      <c r="L231" s="75">
        <f>K231*(1-PARAM!$C$27)*$I$5+(MOD($B231,60)=PARAM!$B$56)*($B231&gt;(60-PARAM!$B$56))*HLOOKUP(($B231+PARAM!$B$56)/12,Loyalty,2)*$F$1*MAX(N230,0)</f>
        <v>18.557001321003963</v>
      </c>
      <c r="M231" s="75">
        <f>PARAM!$C$26+MAX($G$5-CHOOSE(PARAM!$B$44,MAX(0,N230*$F$1),0),0)*RATES!$L207/12+$H$5*(PARAM!$D$51/12)*RATES!$N207/100</f>
        <v>14.509181250959747</v>
      </c>
      <c r="N231" s="16">
        <f t="shared" si="156"/>
        <v>605.70365924019382</v>
      </c>
      <c r="O231" s="15">
        <f t="shared" si="157"/>
        <v>22.170849845882874</v>
      </c>
      <c r="P231" s="75">
        <f>O231*(1-PARAM!$C$27)*$I$6+(MOD($B231,60)=PARAM!$B$56)*($B231&gt;(60-PARAM!$B$56))*HLOOKUP(($B231+PARAM!$B$56)/12,Loyalty,2)*$F$1*MAX(R230,0)</f>
        <v>18.557001321003963</v>
      </c>
      <c r="Q231" s="75">
        <f>PARAM!$C$26+MAX($G$6-CHOOSE(PARAM!$B$44,MAX(0,R230*$F$1),0),0)*RATES!$L207/12+$H$6*(PARAM!$D$51/12)*RATES!$N207/100</f>
        <v>14.509181250959747</v>
      </c>
      <c r="R231" s="16">
        <f t="shared" si="158"/>
        <v>605.70365924019382</v>
      </c>
      <c r="S231" s="15">
        <f t="shared" si="133"/>
        <v>22.170849845882874</v>
      </c>
      <c r="T231" s="75">
        <f>S231*(1-PARAM!$C$27)*$I$7+(MOD($B231,60)=PARAM!$B$56)*($B231&gt;(60-PARAM!$B$56))*HLOOKUP(($B231+PARAM!$B$56)/12,Loyalty,2)*$F$1*MAX(V230,0)</f>
        <v>18.557001321003963</v>
      </c>
      <c r="U231" s="75">
        <f>PARAM!$C$26+MAX($G$7-CHOOSE(PARAM!$B$44,MAX(0,V230*$F$1),0),0)*RATES!$L207/12+$H$7*(PARAM!$D$51/12)*RATES!$N207/100</f>
        <v>14.509181250959747</v>
      </c>
      <c r="V231" s="16">
        <f t="shared" si="159"/>
        <v>605.70365924019382</v>
      </c>
      <c r="W231" s="15">
        <f t="shared" si="134"/>
        <v>22.170849845882874</v>
      </c>
      <c r="X231" s="75">
        <f>W231*(1-PARAM!$C$27)*$I$8+(MOD($B231,60)=PARAM!$B$56)*($B231&gt;(60-PARAM!$B$56))*HLOOKUP(($B231+PARAM!$B$56)/12,Loyalty,2)*$F$1*MAX(Z230,0)</f>
        <v>18.557001321003963</v>
      </c>
      <c r="Y231" s="75">
        <f>PARAM!$C$26+MAX($G$8-CHOOSE(PARAM!$B$44,MAX(0,Z230*$F$1),0),0)*RATES!$L207/12+$H$8*(PARAM!$D$51/12)*RATES!$N207/100</f>
        <v>14.509181250959747</v>
      </c>
      <c r="Z231" s="16">
        <f t="shared" si="160"/>
        <v>605.70365924019382</v>
      </c>
      <c r="AA231" s="15">
        <f t="shared" si="135"/>
        <v>22.170849845882874</v>
      </c>
      <c r="AB231" s="75">
        <f>AA231*(1-PARAM!$C$27)*$I$9+(MOD($B231,60)=PARAM!$B$56)*($B231&gt;(60-PARAM!$B$56))*HLOOKUP(($B231+PARAM!$B$56)/12,Loyalty,2)*$F$1*MAX(AD230,0)</f>
        <v>18.557001321003963</v>
      </c>
      <c r="AC231" s="75">
        <f>PARAM!$C$26+MAX($G$9-CHOOSE(PARAM!$B$44,MAX(0,AD230*$F$1),0),0)*RATES!$L207/12+$H$9*(PARAM!$D$51/12)*RATES!$N207/100</f>
        <v>14.509181250959747</v>
      </c>
      <c r="AD231" s="16">
        <f t="shared" si="161"/>
        <v>605.70365924019382</v>
      </c>
      <c r="AE231" s="15">
        <f t="shared" si="136"/>
        <v>22.170849845882874</v>
      </c>
      <c r="AF231" s="75">
        <f>AE231*(1-PARAM!$C$27)*$I$10+(MOD($B231,60)=PARAM!$B$56)*($B231&gt;(60-PARAM!$B$56))*HLOOKUP(($B231+PARAM!$B$56)/12,Loyalty,2)*$F$1*MAX(AH230,0)</f>
        <v>18.557001321003963</v>
      </c>
      <c r="AG231" s="75">
        <f>PARAM!$C$26+MAX($G$10-CHOOSE(PARAM!$B$44,MAX(0,AH230*$F$1),0),0)*RATES!$L207/12+$H$10*(PARAM!$D$51/12)*RATES!$N207/100</f>
        <v>14.509181250959747</v>
      </c>
      <c r="AH231" s="16">
        <f t="shared" si="162"/>
        <v>605.70365924019382</v>
      </c>
      <c r="AI231" s="15">
        <f t="shared" si="137"/>
        <v>22.170849845882874</v>
      </c>
      <c r="AJ231" s="75">
        <f>AI231*(1-PARAM!$C$27)*$I$11+(MOD($B231,60)=PARAM!$B$56)*($B231&gt;(60-PARAM!$B$56))*HLOOKUP(($B231+PARAM!$B$56)/12,Loyalty,2)*$F$1*MAX(AL230,0)</f>
        <v>18.557001321003963</v>
      </c>
      <c r="AK231" s="75">
        <f>PARAM!$C$26+MAX($G$11-CHOOSE(PARAM!$B$44,MAX(0,AL230*$F$1),0),0)*RATES!$L207/12+$H$11*(PARAM!$D$51/12)*RATES!$N207/100</f>
        <v>14.509181250959747</v>
      </c>
      <c r="AL231" s="16">
        <f t="shared" si="163"/>
        <v>605.70365924019382</v>
      </c>
      <c r="AM231" s="15">
        <f t="shared" si="138"/>
        <v>22.170849845882874</v>
      </c>
      <c r="AN231" s="75">
        <f>AM231*(1-PARAM!$C$27)*$I$12+(MOD($B231,60)=PARAM!$B$56)*($B231&gt;(60-PARAM!$B$56))*HLOOKUP(($B231+PARAM!$B$56)/12,Loyalty,2)*$F$1*MAX(AP230,0)</f>
        <v>18.557001321003963</v>
      </c>
      <c r="AO231" s="75">
        <f>PARAM!$C$26+MAX($G$12-CHOOSE(PARAM!$B$44,MAX(0,AP230*$F$1),0),0)*RATES!$L207/12+$H$12*(PARAM!$D$51/12)*RATES!$N207/100</f>
        <v>14.509181250959747</v>
      </c>
      <c r="AP231" s="16">
        <f t="shared" si="164"/>
        <v>605.70365924019382</v>
      </c>
      <c r="AQ231" s="15">
        <f t="shared" si="139"/>
        <v>22.170849845882874</v>
      </c>
      <c r="AR231" s="75">
        <f>AQ231*(1-PARAM!$C$27)*$I$13+(MOD($B231,60)=PARAM!$B$56)*($B231&gt;(60-PARAM!$B$56))*HLOOKUP(($B231+PARAM!$B$56)/12,Loyalty,2)*$F$1*MAX(AT230,0)</f>
        <v>18.557001321003963</v>
      </c>
      <c r="AS231" s="75">
        <f>PARAM!$C$26+MAX($G$13-CHOOSE(PARAM!$B$44,MAX(0,AT230*$F$1),0),0)*RATES!$L207/12+$H$13*(PARAM!$D$51/12)*RATES!$N207/100</f>
        <v>14.509181250959747</v>
      </c>
      <c r="AT231" s="16">
        <f t="shared" si="165"/>
        <v>605.70365924019382</v>
      </c>
      <c r="AU231" s="15">
        <f t="shared" si="140"/>
        <v>22.170849845882874</v>
      </c>
      <c r="AV231" s="75">
        <f>AU231*(1-PARAM!$C$27)*$I$14+(MOD($B231,60)=PARAM!$B$56)*($B231&gt;(60-PARAM!$B$56))*HLOOKUP(($B231+PARAM!$B$56)/12,Loyalty,2)*$F$1*MAX(AX230,0)</f>
        <v>18.557001321003963</v>
      </c>
      <c r="AW231" s="75">
        <f>PARAM!$C$26+MAX($G$14-CHOOSE(PARAM!$B$44,MAX(0,AX230*$F$1),0),0)*RATES!$L207/12+$H$14*(PARAM!$D$51/12)*RATES!$N207/100</f>
        <v>14.509181250959747</v>
      </c>
      <c r="AX231" s="16">
        <f t="shared" si="166"/>
        <v>605.70365924019382</v>
      </c>
      <c r="AY231" s="15">
        <f t="shared" si="141"/>
        <v>22.170849845882874</v>
      </c>
      <c r="AZ231" s="75">
        <f>AY231*(1-PARAM!$C$27)*$I$15+(MOD($B231,60)=PARAM!$B$56)*($B231&gt;(60-PARAM!$B$56))*HLOOKUP(($B231+PARAM!$B$56)/12,Loyalty,2)*$F$1*MAX(BB230,0)</f>
        <v>18.557001321003963</v>
      </c>
      <c r="BA231" s="75">
        <f>PARAM!$C$26+MAX($G$15-CHOOSE(PARAM!$B$44,MAX(0,BB230*$F$1),0),0)*RATES!$L207/12+$H$15*(PARAM!$D$51/12)*RATES!$N207/100</f>
        <v>14.509181250959747</v>
      </c>
      <c r="BB231" s="16">
        <f t="shared" si="167"/>
        <v>605.70365924019382</v>
      </c>
      <c r="BC231" s="15">
        <f t="shared" si="142"/>
        <v>22.170849845882874</v>
      </c>
      <c r="BD231" s="75">
        <f>BC231*(1-PARAM!$C$27)*$I$16+(MOD($B231,60)=PARAM!$B$56)*($B231&gt;(60-PARAM!$B$56))*HLOOKUP(($B231+PARAM!$B$56)/12,Loyalty,2)*$F$1*MAX(BF230,0)</f>
        <v>18.557001321003963</v>
      </c>
      <c r="BE231" s="75">
        <f>PARAM!$C$26+MAX($G$16-CHOOSE(PARAM!$B$44,MAX(0,BF230*$F$1),0),0)*RATES!$L207/12+$H$16*(PARAM!$D$51/12)*RATES!$N207/100</f>
        <v>14.509181250959747</v>
      </c>
      <c r="BF231" s="16">
        <f t="shared" si="168"/>
        <v>605.70365924019382</v>
      </c>
      <c r="BG231" s="15">
        <f t="shared" si="143"/>
        <v>22.170849845882874</v>
      </c>
      <c r="BH231" s="75">
        <f>BG231*(1-PARAM!$C$27)*$I$17+(MOD($B231,60)=PARAM!$B$56)*($B231&gt;(60-PARAM!$B$56))*HLOOKUP(($B231+PARAM!$B$56)/12,Loyalty,2)*$F$1*MAX(BJ230,0)</f>
        <v>18.557001321003963</v>
      </c>
      <c r="BI231" s="75">
        <f>PARAM!$C$26+MAX($G$17-CHOOSE(PARAM!$B$44,MAX(0,BJ230*$F$1),0),0)*RATES!$L207/12+$H$17*(PARAM!$D$51/12)*RATES!$N207/100</f>
        <v>14.509181250959747</v>
      </c>
      <c r="BJ231" s="16">
        <f t="shared" si="169"/>
        <v>605.70365924019382</v>
      </c>
      <c r="BK231" s="15">
        <f t="shared" si="144"/>
        <v>22.170849845882874</v>
      </c>
      <c r="BL231" s="75">
        <f>BK231*(1-PARAM!$C$27)*$I$18+(MOD($B231,60)=PARAM!$B$56)*($B231&gt;(60-PARAM!$B$56))*HLOOKUP(($B231+PARAM!$B$56)/12,Loyalty,2)*$F$1*MAX(BN230,0)</f>
        <v>18.557001321003963</v>
      </c>
      <c r="BM231" s="75">
        <f>PARAM!$C$26+MAX($G$18-CHOOSE(PARAM!$B$44,MAX(0,BN230*$F$1),0),0)*RATES!$L207/12+$H$18*(PARAM!$D$51/12)*RATES!$N207/100</f>
        <v>14.509181250959747</v>
      </c>
      <c r="BN231" s="16">
        <f t="shared" si="170"/>
        <v>605.70365924019382</v>
      </c>
      <c r="BO231" s="15">
        <f t="shared" si="145"/>
        <v>22.170849845882874</v>
      </c>
      <c r="BP231" s="75">
        <f>BO231*(1-PARAM!$C$27)*$I$19+(MOD($B231,60)=PARAM!$B$56)*($B231&gt;(60-PARAM!$B$56))*HLOOKUP(($B231+PARAM!$B$56)/12,Loyalty,2)*$F$1*MAX(BR230,0)</f>
        <v>18.557001321003963</v>
      </c>
      <c r="BQ231" s="75">
        <f>PARAM!$C$26+MAX($G$19-CHOOSE(PARAM!$B$44,MAX(0,BR230*$F$1),0),0)*RATES!$L207/12+$H$19*(PARAM!$D$51/12)*RATES!$N207/100</f>
        <v>14.509181250959747</v>
      </c>
      <c r="BR231" s="16">
        <f t="shared" si="171"/>
        <v>605.70365924019382</v>
      </c>
      <c r="BS231" s="15">
        <f t="shared" si="146"/>
        <v>22.170849845882874</v>
      </c>
      <c r="BT231" s="75">
        <f>BS231*(1-PARAM!$C$27)*$I$20+(MOD($B231,60)=PARAM!$B$56)*($B231&gt;(60-PARAM!$B$56))*HLOOKUP(($B231+PARAM!$B$56)/12,Loyalty,2)*$F$1*MAX(BV230,0)</f>
        <v>18.557001321003963</v>
      </c>
      <c r="BU231" s="75">
        <f>PARAM!$C$26+MAX($G$20-CHOOSE(PARAM!$B$44,MAX(0,BV230*$F$1),0),0)*RATES!$L207/12+$H$20*(PARAM!$D$51/12)*RATES!$N207/100</f>
        <v>14.509181250959747</v>
      </c>
      <c r="BV231" s="16">
        <f t="shared" si="172"/>
        <v>605.70365924019382</v>
      </c>
      <c r="BW231" s="15">
        <f t="shared" si="147"/>
        <v>22.170849845882874</v>
      </c>
      <c r="BX231" s="75">
        <f>BW231*(1-PARAM!$C$27)*$I$21+(MOD($B231,60)=PARAM!$B$56)*($B231&gt;(60-PARAM!$B$56))*HLOOKUP(($B231+PARAM!$B$56)/12,Loyalty,2)*$F$1*MAX(BZ230,0)</f>
        <v>18.557001321003963</v>
      </c>
      <c r="BY231" s="75">
        <f>PARAM!$C$26+MAX($G$21-CHOOSE(PARAM!$B$44,MAX(0,BZ230*$F$1),0),0)*RATES!$L207/12+$H$21*(PARAM!$D$51/12)*RATES!$N207/100</f>
        <v>14.509181250959747</v>
      </c>
      <c r="BZ231" s="16">
        <f t="shared" si="173"/>
        <v>605.70365924019382</v>
      </c>
      <c r="CA231" s="15">
        <f t="shared" si="148"/>
        <v>22.170849845882874</v>
      </c>
      <c r="CB231" s="75">
        <f>CA231*(1-PARAM!$C$27)*$I$22+(MOD($B231,60)=PARAM!$B$56)*($B231&gt;(60-PARAM!$B$56))*HLOOKUP(($B231+PARAM!$B$56)/12,Loyalty,2)*$F$1*MAX(CD230,0)</f>
        <v>18.557001321003963</v>
      </c>
      <c r="CC231" s="75">
        <f>PARAM!$C$26+MAX($G$22-CHOOSE(PARAM!$B$44,MAX(0,CD230*$F$1),0),0)*RATES!$L207/12+$H$22*(PARAM!$D$51/12)*RATES!$N207/100</f>
        <v>14.509181250959747</v>
      </c>
      <c r="CD231" s="16">
        <f t="shared" si="174"/>
        <v>605.70365924019382</v>
      </c>
      <c r="CE231" s="33">
        <f>IF(0=MOD(B231,12/PARAM!$D$51),1,0)</f>
        <v>1</v>
      </c>
      <c r="CF231" s="15">
        <f t="shared" si="149"/>
        <v>0</v>
      </c>
      <c r="CG231" s="75">
        <f>CF231*(1-PARAM!$C$27)*$R$3+(MOD($B231/12,5)=0)*($B231&gt;60)*HLOOKUP($B231/12,Loyalty,2)*$F$1*MAX(CI230,0)</f>
        <v>0</v>
      </c>
      <c r="CH231" s="75">
        <f>PARAM!$C$26+MAX($P$3-CHOOSE(PARAM!$B$44,MAX(0,CI230*$F$1),0),0)*RATES!$L207/12+$Q$3*(PARAM!$D$51/12)*RATES!$N207/100</f>
        <v>14.625</v>
      </c>
      <c r="CI231" s="16">
        <f>IF(CI230&gt;0,CI230*PARAM!$C$53,CI230)+CG231-CH231</f>
        <v>-3003.8749999999968</v>
      </c>
      <c r="CJ231" s="15">
        <f t="shared" si="175"/>
        <v>0</v>
      </c>
      <c r="CK231" s="75">
        <f>CJ231*(1-PARAM!$C$27)*$R$4+(MOD($B231/12,5)=0)*($B231&gt;60)*HLOOKUP($B231/12,Loyalty,2)*$F$1*MAX(CM230,0)</f>
        <v>0</v>
      </c>
      <c r="CL231" s="75">
        <f>PARAM!$C$26+MAX($P$4-CHOOSE(PARAM!$B$44,MAX(0,CM230*$F$1),0),0)*RATES!$L207/12+$Q$4*(PARAM!$D$51/12)*RATES!$N207/100</f>
        <v>14.625</v>
      </c>
      <c r="CM231" s="16">
        <f>IF(CM230&gt;0,CM230*PARAM!$C$53,CM230)+CK231-CL231</f>
        <v>-3003.8749999999968</v>
      </c>
      <c r="CO231" s="176"/>
    </row>
    <row r="232" spans="1:93" x14ac:dyDescent="0.2">
      <c r="A232" t="b">
        <f t="shared" si="150"/>
        <v>1</v>
      </c>
      <c r="B232" s="33">
        <v>205</v>
      </c>
      <c r="C232" s="15">
        <f t="shared" si="151"/>
        <v>20.081305947392778</v>
      </c>
      <c r="D232" s="75">
        <f>C232*(1-PARAM!$C$27)*$I$3+(MOD($B232,60)=PARAM!$B$56)*($B232&gt;(60-PARAM!$B$56))*HLOOKUP(($B232+PARAM!$B$56)/12,Loyalty,2)*$F$1*MAX(F231,0)</f>
        <v>16.808053077967756</v>
      </c>
      <c r="E232" s="75">
        <f>PARAM!$C$26+MAX($G$3-CHOOSE(PARAM!$B$44,MAX(0,F231*$F$1),0),0)*RATES!$L208/12+$H$3*(PARAM!$D$51/12)*RATES!$N208/100</f>
        <v>14.575825515119092</v>
      </c>
      <c r="F232" s="16">
        <f t="shared" si="152"/>
        <v>257.68409707405783</v>
      </c>
      <c r="G232" s="15">
        <f t="shared" si="153"/>
        <v>22.035289406060361</v>
      </c>
      <c r="H232" s="75">
        <f>G232*(1-PARAM!$C$27)*$I$4+(MOD($B232,60)=PARAM!$B$56)*($B232&gt;(60-PARAM!$B$56))*HLOOKUP(($B232+PARAM!$B$56)/12,Loyalty,2)*$F$1*MAX(J231,0)</f>
        <v>18.443537232872522</v>
      </c>
      <c r="I232" s="75">
        <f>PARAM!$C$26+MAX($G$4-CHOOSE(PARAM!$B$44,MAX(0,J231*$F$1),0),0)*RATES!$L208/12+$H$4*(PARAM!$D$51/12)*RATES!$N208/100</f>
        <v>14.512779136319926</v>
      </c>
      <c r="J232" s="16">
        <f t="shared" si="154"/>
        <v>586.89628370732635</v>
      </c>
      <c r="K232" s="15">
        <f t="shared" si="155"/>
        <v>22.170849845882874</v>
      </c>
      <c r="L232" s="75">
        <f>K232*(1-PARAM!$C$27)*$I$5+(MOD($B232,60)=PARAM!$B$56)*($B232&gt;(60-PARAM!$B$56))*HLOOKUP(($B232+PARAM!$B$56)/12,Loyalty,2)*$F$1*MAX(N231,0)</f>
        <v>18.557001321003963</v>
      </c>
      <c r="M232" s="75">
        <f>PARAM!$C$26+MAX($G$5-CHOOSE(PARAM!$B$44,MAX(0,N231*$F$1),0),0)*RATES!$L208/12+$H$5*(PARAM!$D$51/12)*RATES!$N208/100</f>
        <v>14.508402045596263</v>
      </c>
      <c r="N232" s="16">
        <f t="shared" si="156"/>
        <v>609.75225851560151</v>
      </c>
      <c r="O232" s="15">
        <f t="shared" si="157"/>
        <v>22.170849845882874</v>
      </c>
      <c r="P232" s="75">
        <f>O232*(1-PARAM!$C$27)*$I$6+(MOD($B232,60)=PARAM!$B$56)*($B232&gt;(60-PARAM!$B$56))*HLOOKUP(($B232+PARAM!$B$56)/12,Loyalty,2)*$F$1*MAX(R231,0)</f>
        <v>18.557001321003963</v>
      </c>
      <c r="Q232" s="75">
        <f>PARAM!$C$26+MAX($G$6-CHOOSE(PARAM!$B$44,MAX(0,R231*$F$1),0),0)*RATES!$L208/12+$H$6*(PARAM!$D$51/12)*RATES!$N208/100</f>
        <v>14.508402045596263</v>
      </c>
      <c r="R232" s="16">
        <f t="shared" si="158"/>
        <v>609.75225851560151</v>
      </c>
      <c r="S232" s="15">
        <f t="shared" si="133"/>
        <v>22.170849845882874</v>
      </c>
      <c r="T232" s="75">
        <f>S232*(1-PARAM!$C$27)*$I$7+(MOD($B232,60)=PARAM!$B$56)*($B232&gt;(60-PARAM!$B$56))*HLOOKUP(($B232+PARAM!$B$56)/12,Loyalty,2)*$F$1*MAX(V231,0)</f>
        <v>18.557001321003963</v>
      </c>
      <c r="U232" s="75">
        <f>PARAM!$C$26+MAX($G$7-CHOOSE(PARAM!$B$44,MAX(0,V231*$F$1),0),0)*RATES!$L208/12+$H$7*(PARAM!$D$51/12)*RATES!$N208/100</f>
        <v>14.508402045596263</v>
      </c>
      <c r="V232" s="16">
        <f t="shared" si="159"/>
        <v>609.75225851560151</v>
      </c>
      <c r="W232" s="15">
        <f t="shared" si="134"/>
        <v>22.170849845882874</v>
      </c>
      <c r="X232" s="75">
        <f>W232*(1-PARAM!$C$27)*$I$8+(MOD($B232,60)=PARAM!$B$56)*($B232&gt;(60-PARAM!$B$56))*HLOOKUP(($B232+PARAM!$B$56)/12,Loyalty,2)*$F$1*MAX(Z231,0)</f>
        <v>18.557001321003963</v>
      </c>
      <c r="Y232" s="75">
        <f>PARAM!$C$26+MAX($G$8-CHOOSE(PARAM!$B$44,MAX(0,Z231*$F$1),0),0)*RATES!$L208/12+$H$8*(PARAM!$D$51/12)*RATES!$N208/100</f>
        <v>14.508402045596263</v>
      </c>
      <c r="Z232" s="16">
        <f t="shared" si="160"/>
        <v>609.75225851560151</v>
      </c>
      <c r="AA232" s="15">
        <f t="shared" si="135"/>
        <v>22.170849845882874</v>
      </c>
      <c r="AB232" s="75">
        <f>AA232*(1-PARAM!$C$27)*$I$9+(MOD($B232,60)=PARAM!$B$56)*($B232&gt;(60-PARAM!$B$56))*HLOOKUP(($B232+PARAM!$B$56)/12,Loyalty,2)*$F$1*MAX(AD231,0)</f>
        <v>18.557001321003963</v>
      </c>
      <c r="AC232" s="75">
        <f>PARAM!$C$26+MAX($G$9-CHOOSE(PARAM!$B$44,MAX(0,AD231*$F$1),0),0)*RATES!$L208/12+$H$9*(PARAM!$D$51/12)*RATES!$N208/100</f>
        <v>14.508402045596263</v>
      </c>
      <c r="AD232" s="16">
        <f t="shared" si="161"/>
        <v>609.75225851560151</v>
      </c>
      <c r="AE232" s="15">
        <f t="shared" si="136"/>
        <v>22.170849845882874</v>
      </c>
      <c r="AF232" s="75">
        <f>AE232*(1-PARAM!$C$27)*$I$10+(MOD($B232,60)=PARAM!$B$56)*($B232&gt;(60-PARAM!$B$56))*HLOOKUP(($B232+PARAM!$B$56)/12,Loyalty,2)*$F$1*MAX(AH231,0)</f>
        <v>18.557001321003963</v>
      </c>
      <c r="AG232" s="75">
        <f>PARAM!$C$26+MAX($G$10-CHOOSE(PARAM!$B$44,MAX(0,AH231*$F$1),0),0)*RATES!$L208/12+$H$10*(PARAM!$D$51/12)*RATES!$N208/100</f>
        <v>14.508402045596263</v>
      </c>
      <c r="AH232" s="16">
        <f t="shared" si="162"/>
        <v>609.75225851560151</v>
      </c>
      <c r="AI232" s="15">
        <f t="shared" si="137"/>
        <v>22.170849845882874</v>
      </c>
      <c r="AJ232" s="75">
        <f>AI232*(1-PARAM!$C$27)*$I$11+(MOD($B232,60)=PARAM!$B$56)*($B232&gt;(60-PARAM!$B$56))*HLOOKUP(($B232+PARAM!$B$56)/12,Loyalty,2)*$F$1*MAX(AL231,0)</f>
        <v>18.557001321003963</v>
      </c>
      <c r="AK232" s="75">
        <f>PARAM!$C$26+MAX($G$11-CHOOSE(PARAM!$B$44,MAX(0,AL231*$F$1),0),0)*RATES!$L208/12+$H$11*(PARAM!$D$51/12)*RATES!$N208/100</f>
        <v>14.508402045596263</v>
      </c>
      <c r="AL232" s="16">
        <f t="shared" si="163"/>
        <v>609.75225851560151</v>
      </c>
      <c r="AM232" s="15">
        <f t="shared" si="138"/>
        <v>22.170849845882874</v>
      </c>
      <c r="AN232" s="75">
        <f>AM232*(1-PARAM!$C$27)*$I$12+(MOD($B232,60)=PARAM!$B$56)*($B232&gt;(60-PARAM!$B$56))*HLOOKUP(($B232+PARAM!$B$56)/12,Loyalty,2)*$F$1*MAX(AP231,0)</f>
        <v>18.557001321003963</v>
      </c>
      <c r="AO232" s="75">
        <f>PARAM!$C$26+MAX($G$12-CHOOSE(PARAM!$B$44,MAX(0,AP231*$F$1),0),0)*RATES!$L208/12+$H$12*(PARAM!$D$51/12)*RATES!$N208/100</f>
        <v>14.508402045596263</v>
      </c>
      <c r="AP232" s="16">
        <f t="shared" si="164"/>
        <v>609.75225851560151</v>
      </c>
      <c r="AQ232" s="15">
        <f t="shared" si="139"/>
        <v>22.170849845882874</v>
      </c>
      <c r="AR232" s="75">
        <f>AQ232*(1-PARAM!$C$27)*$I$13+(MOD($B232,60)=PARAM!$B$56)*($B232&gt;(60-PARAM!$B$56))*HLOOKUP(($B232+PARAM!$B$56)/12,Loyalty,2)*$F$1*MAX(AT231,0)</f>
        <v>18.557001321003963</v>
      </c>
      <c r="AS232" s="75">
        <f>PARAM!$C$26+MAX($G$13-CHOOSE(PARAM!$B$44,MAX(0,AT231*$F$1),0),0)*RATES!$L208/12+$H$13*(PARAM!$D$51/12)*RATES!$N208/100</f>
        <v>14.508402045596263</v>
      </c>
      <c r="AT232" s="16">
        <f t="shared" si="165"/>
        <v>609.75225851560151</v>
      </c>
      <c r="AU232" s="15">
        <f t="shared" si="140"/>
        <v>22.170849845882874</v>
      </c>
      <c r="AV232" s="75">
        <f>AU232*(1-PARAM!$C$27)*$I$14+(MOD($B232,60)=PARAM!$B$56)*($B232&gt;(60-PARAM!$B$56))*HLOOKUP(($B232+PARAM!$B$56)/12,Loyalty,2)*$F$1*MAX(AX231,0)</f>
        <v>18.557001321003963</v>
      </c>
      <c r="AW232" s="75">
        <f>PARAM!$C$26+MAX($G$14-CHOOSE(PARAM!$B$44,MAX(0,AX231*$F$1),0),0)*RATES!$L208/12+$H$14*(PARAM!$D$51/12)*RATES!$N208/100</f>
        <v>14.508402045596263</v>
      </c>
      <c r="AX232" s="16">
        <f t="shared" si="166"/>
        <v>609.75225851560151</v>
      </c>
      <c r="AY232" s="15">
        <f t="shared" si="141"/>
        <v>22.170849845882874</v>
      </c>
      <c r="AZ232" s="75">
        <f>AY232*(1-PARAM!$C$27)*$I$15+(MOD($B232,60)=PARAM!$B$56)*($B232&gt;(60-PARAM!$B$56))*HLOOKUP(($B232+PARAM!$B$56)/12,Loyalty,2)*$F$1*MAX(BB231,0)</f>
        <v>18.557001321003963</v>
      </c>
      <c r="BA232" s="75">
        <f>PARAM!$C$26+MAX($G$15-CHOOSE(PARAM!$B$44,MAX(0,BB231*$F$1),0),0)*RATES!$L208/12+$H$15*(PARAM!$D$51/12)*RATES!$N208/100</f>
        <v>14.508402045596263</v>
      </c>
      <c r="BB232" s="16">
        <f t="shared" si="167"/>
        <v>609.75225851560151</v>
      </c>
      <c r="BC232" s="15">
        <f t="shared" si="142"/>
        <v>22.170849845882874</v>
      </c>
      <c r="BD232" s="75">
        <f>BC232*(1-PARAM!$C$27)*$I$16+(MOD($B232,60)=PARAM!$B$56)*($B232&gt;(60-PARAM!$B$56))*HLOOKUP(($B232+PARAM!$B$56)/12,Loyalty,2)*$F$1*MAX(BF231,0)</f>
        <v>18.557001321003963</v>
      </c>
      <c r="BE232" s="75">
        <f>PARAM!$C$26+MAX($G$16-CHOOSE(PARAM!$B$44,MAX(0,BF231*$F$1),0),0)*RATES!$L208/12+$H$16*(PARAM!$D$51/12)*RATES!$N208/100</f>
        <v>14.508402045596263</v>
      </c>
      <c r="BF232" s="16">
        <f t="shared" si="168"/>
        <v>609.75225851560151</v>
      </c>
      <c r="BG232" s="15">
        <f t="shared" si="143"/>
        <v>22.170849845882874</v>
      </c>
      <c r="BH232" s="75">
        <f>BG232*(1-PARAM!$C$27)*$I$17+(MOD($B232,60)=PARAM!$B$56)*($B232&gt;(60-PARAM!$B$56))*HLOOKUP(($B232+PARAM!$B$56)/12,Loyalty,2)*$F$1*MAX(BJ231,0)</f>
        <v>18.557001321003963</v>
      </c>
      <c r="BI232" s="75">
        <f>PARAM!$C$26+MAX($G$17-CHOOSE(PARAM!$B$44,MAX(0,BJ231*$F$1),0),0)*RATES!$L208/12+$H$17*(PARAM!$D$51/12)*RATES!$N208/100</f>
        <v>14.508402045596263</v>
      </c>
      <c r="BJ232" s="16">
        <f t="shared" si="169"/>
        <v>609.75225851560151</v>
      </c>
      <c r="BK232" s="15">
        <f t="shared" si="144"/>
        <v>22.170849845882874</v>
      </c>
      <c r="BL232" s="75">
        <f>BK232*(1-PARAM!$C$27)*$I$18+(MOD($B232,60)=PARAM!$B$56)*($B232&gt;(60-PARAM!$B$56))*HLOOKUP(($B232+PARAM!$B$56)/12,Loyalty,2)*$F$1*MAX(BN231,0)</f>
        <v>18.557001321003963</v>
      </c>
      <c r="BM232" s="75">
        <f>PARAM!$C$26+MAX($G$18-CHOOSE(PARAM!$B$44,MAX(0,BN231*$F$1),0),0)*RATES!$L208/12+$H$18*(PARAM!$D$51/12)*RATES!$N208/100</f>
        <v>14.508402045596263</v>
      </c>
      <c r="BN232" s="16">
        <f t="shared" si="170"/>
        <v>609.75225851560151</v>
      </c>
      <c r="BO232" s="15">
        <f t="shared" si="145"/>
        <v>22.170849845882874</v>
      </c>
      <c r="BP232" s="75">
        <f>BO232*(1-PARAM!$C$27)*$I$19+(MOD($B232,60)=PARAM!$B$56)*($B232&gt;(60-PARAM!$B$56))*HLOOKUP(($B232+PARAM!$B$56)/12,Loyalty,2)*$F$1*MAX(BR231,0)</f>
        <v>18.557001321003963</v>
      </c>
      <c r="BQ232" s="75">
        <f>PARAM!$C$26+MAX($G$19-CHOOSE(PARAM!$B$44,MAX(0,BR231*$F$1),0),0)*RATES!$L208/12+$H$19*(PARAM!$D$51/12)*RATES!$N208/100</f>
        <v>14.508402045596263</v>
      </c>
      <c r="BR232" s="16">
        <f t="shared" si="171"/>
        <v>609.75225851560151</v>
      </c>
      <c r="BS232" s="15">
        <f t="shared" si="146"/>
        <v>22.170849845882874</v>
      </c>
      <c r="BT232" s="75">
        <f>BS232*(1-PARAM!$C$27)*$I$20+(MOD($B232,60)=PARAM!$B$56)*($B232&gt;(60-PARAM!$B$56))*HLOOKUP(($B232+PARAM!$B$56)/12,Loyalty,2)*$F$1*MAX(BV231,0)</f>
        <v>18.557001321003963</v>
      </c>
      <c r="BU232" s="75">
        <f>PARAM!$C$26+MAX($G$20-CHOOSE(PARAM!$B$44,MAX(0,BV231*$F$1),0),0)*RATES!$L208/12+$H$20*(PARAM!$D$51/12)*RATES!$N208/100</f>
        <v>14.508402045596263</v>
      </c>
      <c r="BV232" s="16">
        <f t="shared" si="172"/>
        <v>609.75225851560151</v>
      </c>
      <c r="BW232" s="15">
        <f t="shared" si="147"/>
        <v>22.170849845882874</v>
      </c>
      <c r="BX232" s="75">
        <f>BW232*(1-PARAM!$C$27)*$I$21+(MOD($B232,60)=PARAM!$B$56)*($B232&gt;(60-PARAM!$B$56))*HLOOKUP(($B232+PARAM!$B$56)/12,Loyalty,2)*$F$1*MAX(BZ231,0)</f>
        <v>18.557001321003963</v>
      </c>
      <c r="BY232" s="75">
        <f>PARAM!$C$26+MAX($G$21-CHOOSE(PARAM!$B$44,MAX(0,BZ231*$F$1),0),0)*RATES!$L208/12+$H$21*(PARAM!$D$51/12)*RATES!$N208/100</f>
        <v>14.508402045596263</v>
      </c>
      <c r="BZ232" s="16">
        <f t="shared" si="173"/>
        <v>609.75225851560151</v>
      </c>
      <c r="CA232" s="15">
        <f t="shared" si="148"/>
        <v>22.170849845882874</v>
      </c>
      <c r="CB232" s="75">
        <f>CA232*(1-PARAM!$C$27)*$I$22+(MOD($B232,60)=PARAM!$B$56)*($B232&gt;(60-PARAM!$B$56))*HLOOKUP(($B232+PARAM!$B$56)/12,Loyalty,2)*$F$1*MAX(CD231,0)</f>
        <v>18.557001321003963</v>
      </c>
      <c r="CC232" s="75">
        <f>PARAM!$C$26+MAX($G$22-CHOOSE(PARAM!$B$44,MAX(0,CD231*$F$1),0),0)*RATES!$L208/12+$H$22*(PARAM!$D$51/12)*RATES!$N208/100</f>
        <v>14.508402045596263</v>
      </c>
      <c r="CD232" s="16">
        <f t="shared" si="174"/>
        <v>609.75225851560151</v>
      </c>
      <c r="CE232" s="33">
        <f>IF(0=MOD(B232,12/PARAM!$D$51),1,0)</f>
        <v>1</v>
      </c>
      <c r="CF232" s="15">
        <f t="shared" si="149"/>
        <v>0</v>
      </c>
      <c r="CG232" s="75">
        <f>CF232*(1-PARAM!$C$27)*$R$3+(MOD($B232/12,5)=0)*($B232&gt;60)*HLOOKUP($B232/12,Loyalty,2)*$F$1*MAX(CI231,0)</f>
        <v>0</v>
      </c>
      <c r="CH232" s="75">
        <f>PARAM!$C$26+MAX($P$3-CHOOSE(PARAM!$B$44,MAX(0,CI231*$F$1),0),0)*RATES!$L208/12+$Q$3*(PARAM!$D$51/12)*RATES!$N208/100</f>
        <v>14.625</v>
      </c>
      <c r="CI232" s="16">
        <f>IF(CI231&gt;0,CI231*PARAM!$C$53,CI231)+CG232-CH232</f>
        <v>-3018.4999999999968</v>
      </c>
      <c r="CJ232" s="15">
        <f t="shared" si="175"/>
        <v>0</v>
      </c>
      <c r="CK232" s="75">
        <f>CJ232*(1-PARAM!$C$27)*$R$4+(MOD($B232/12,5)=0)*($B232&gt;60)*HLOOKUP($B232/12,Loyalty,2)*$F$1*MAX(CM231,0)</f>
        <v>0</v>
      </c>
      <c r="CL232" s="75">
        <f>PARAM!$C$26+MAX($P$4-CHOOSE(PARAM!$B$44,MAX(0,CM231*$F$1),0),0)*RATES!$L208/12+$Q$4*(PARAM!$D$51/12)*RATES!$N208/100</f>
        <v>14.625</v>
      </c>
      <c r="CM232" s="16">
        <f>IF(CM231&gt;0,CM231*PARAM!$C$53,CM231)+CK232-CL232</f>
        <v>-3018.4999999999968</v>
      </c>
      <c r="CO232" s="176"/>
    </row>
    <row r="233" spans="1:93" x14ac:dyDescent="0.2">
      <c r="A233" t="b">
        <f t="shared" si="150"/>
        <v>1</v>
      </c>
      <c r="B233" s="33">
        <v>206</v>
      </c>
      <c r="C233" s="15">
        <f t="shared" si="151"/>
        <v>20.081305947392778</v>
      </c>
      <c r="D233" s="75">
        <f>C233*(1-PARAM!$C$27)*$I$3+(MOD($B233,60)=PARAM!$B$56)*($B233&gt;(60-PARAM!$B$56))*HLOOKUP(($B233+PARAM!$B$56)/12,Loyalty,2)*$F$1*MAX(F232,0)</f>
        <v>16.808053077967756</v>
      </c>
      <c r="E233" s="75">
        <f>PARAM!$C$26+MAX($G$3-CHOOSE(PARAM!$B$44,MAX(0,F232*$F$1),0),0)*RATES!$L209/12+$H$3*(PARAM!$D$51/12)*RATES!$N209/100</f>
        <v>14.575395811313244</v>
      </c>
      <c r="F233" s="16">
        <f t="shared" si="152"/>
        <v>259.91675434071237</v>
      </c>
      <c r="G233" s="15">
        <f t="shared" si="153"/>
        <v>22.035289406060361</v>
      </c>
      <c r="H233" s="75">
        <f>G233*(1-PARAM!$C$27)*$I$4+(MOD($B233,60)=PARAM!$B$56)*($B233&gt;(60-PARAM!$B$56))*HLOOKUP(($B233+PARAM!$B$56)/12,Loyalty,2)*$F$1*MAX(J232,0)</f>
        <v>18.443537232872522</v>
      </c>
      <c r="I233" s="75">
        <f>PARAM!$C$26+MAX($G$4-CHOOSE(PARAM!$B$44,MAX(0,J232*$F$1),0),0)*RATES!$L209/12+$H$4*(PARAM!$D$51/12)*RATES!$N209/100</f>
        <v>14.512022465386339</v>
      </c>
      <c r="J233" s="16">
        <f t="shared" si="154"/>
        <v>590.82779847481243</v>
      </c>
      <c r="K233" s="15">
        <f t="shared" si="155"/>
        <v>22.170849845882874</v>
      </c>
      <c r="L233" s="75">
        <f>K233*(1-PARAM!$C$27)*$I$5+(MOD($B233,60)=PARAM!$B$56)*($B233&gt;(60-PARAM!$B$56))*HLOOKUP(($B233+PARAM!$B$56)/12,Loyalty,2)*$F$1*MAX(N232,0)</f>
        <v>18.557001321003963</v>
      </c>
      <c r="M233" s="75">
        <f>PARAM!$C$26+MAX($G$5-CHOOSE(PARAM!$B$44,MAX(0,N232*$F$1),0),0)*RATES!$L209/12+$H$5*(PARAM!$D$51/12)*RATES!$N209/100</f>
        <v>14.507622690235747</v>
      </c>
      <c r="N233" s="16">
        <f t="shared" si="156"/>
        <v>613.80163714636979</v>
      </c>
      <c r="O233" s="15">
        <f t="shared" si="157"/>
        <v>22.170849845882874</v>
      </c>
      <c r="P233" s="75">
        <f>O233*(1-PARAM!$C$27)*$I$6+(MOD($B233,60)=PARAM!$B$56)*($B233&gt;(60-PARAM!$B$56))*HLOOKUP(($B233+PARAM!$B$56)/12,Loyalty,2)*$F$1*MAX(R232,0)</f>
        <v>18.557001321003963</v>
      </c>
      <c r="Q233" s="75">
        <f>PARAM!$C$26+MAX($G$6-CHOOSE(PARAM!$B$44,MAX(0,R232*$F$1),0),0)*RATES!$L209/12+$H$6*(PARAM!$D$51/12)*RATES!$N209/100</f>
        <v>14.507622690235747</v>
      </c>
      <c r="R233" s="16">
        <f t="shared" si="158"/>
        <v>613.80163714636979</v>
      </c>
      <c r="S233" s="15">
        <f t="shared" si="133"/>
        <v>22.170849845882874</v>
      </c>
      <c r="T233" s="75">
        <f>S233*(1-PARAM!$C$27)*$I$7+(MOD($B233,60)=PARAM!$B$56)*($B233&gt;(60-PARAM!$B$56))*HLOOKUP(($B233+PARAM!$B$56)/12,Loyalty,2)*$F$1*MAX(V232,0)</f>
        <v>18.557001321003963</v>
      </c>
      <c r="U233" s="75">
        <f>PARAM!$C$26+MAX($G$7-CHOOSE(PARAM!$B$44,MAX(0,V232*$F$1),0),0)*RATES!$L209/12+$H$7*(PARAM!$D$51/12)*RATES!$N209/100</f>
        <v>14.507622690235747</v>
      </c>
      <c r="V233" s="16">
        <f t="shared" si="159"/>
        <v>613.80163714636979</v>
      </c>
      <c r="W233" s="15">
        <f t="shared" si="134"/>
        <v>22.170849845882874</v>
      </c>
      <c r="X233" s="75">
        <f>W233*(1-PARAM!$C$27)*$I$8+(MOD($B233,60)=PARAM!$B$56)*($B233&gt;(60-PARAM!$B$56))*HLOOKUP(($B233+PARAM!$B$56)/12,Loyalty,2)*$F$1*MAX(Z232,0)</f>
        <v>18.557001321003963</v>
      </c>
      <c r="Y233" s="75">
        <f>PARAM!$C$26+MAX($G$8-CHOOSE(PARAM!$B$44,MAX(0,Z232*$F$1),0),0)*RATES!$L209/12+$H$8*(PARAM!$D$51/12)*RATES!$N209/100</f>
        <v>14.507622690235747</v>
      </c>
      <c r="Z233" s="16">
        <f t="shared" si="160"/>
        <v>613.80163714636979</v>
      </c>
      <c r="AA233" s="15">
        <f t="shared" si="135"/>
        <v>22.170849845882874</v>
      </c>
      <c r="AB233" s="75">
        <f>AA233*(1-PARAM!$C$27)*$I$9+(MOD($B233,60)=PARAM!$B$56)*($B233&gt;(60-PARAM!$B$56))*HLOOKUP(($B233+PARAM!$B$56)/12,Loyalty,2)*$F$1*MAX(AD232,0)</f>
        <v>18.557001321003963</v>
      </c>
      <c r="AC233" s="75">
        <f>PARAM!$C$26+MAX($G$9-CHOOSE(PARAM!$B$44,MAX(0,AD232*$F$1),0),0)*RATES!$L209/12+$H$9*(PARAM!$D$51/12)*RATES!$N209/100</f>
        <v>14.507622690235747</v>
      </c>
      <c r="AD233" s="16">
        <f t="shared" si="161"/>
        <v>613.80163714636979</v>
      </c>
      <c r="AE233" s="15">
        <f t="shared" si="136"/>
        <v>22.170849845882874</v>
      </c>
      <c r="AF233" s="75">
        <f>AE233*(1-PARAM!$C$27)*$I$10+(MOD($B233,60)=PARAM!$B$56)*($B233&gt;(60-PARAM!$B$56))*HLOOKUP(($B233+PARAM!$B$56)/12,Loyalty,2)*$F$1*MAX(AH232,0)</f>
        <v>18.557001321003963</v>
      </c>
      <c r="AG233" s="75">
        <f>PARAM!$C$26+MAX($G$10-CHOOSE(PARAM!$B$44,MAX(0,AH232*$F$1),0),0)*RATES!$L209/12+$H$10*(PARAM!$D$51/12)*RATES!$N209/100</f>
        <v>14.507622690235747</v>
      </c>
      <c r="AH233" s="16">
        <f t="shared" si="162"/>
        <v>613.80163714636979</v>
      </c>
      <c r="AI233" s="15">
        <f t="shared" si="137"/>
        <v>22.170849845882874</v>
      </c>
      <c r="AJ233" s="75">
        <f>AI233*(1-PARAM!$C$27)*$I$11+(MOD($B233,60)=PARAM!$B$56)*($B233&gt;(60-PARAM!$B$56))*HLOOKUP(($B233+PARAM!$B$56)/12,Loyalty,2)*$F$1*MAX(AL232,0)</f>
        <v>18.557001321003963</v>
      </c>
      <c r="AK233" s="75">
        <f>PARAM!$C$26+MAX($G$11-CHOOSE(PARAM!$B$44,MAX(0,AL232*$F$1),0),0)*RATES!$L209/12+$H$11*(PARAM!$D$51/12)*RATES!$N209/100</f>
        <v>14.507622690235747</v>
      </c>
      <c r="AL233" s="16">
        <f t="shared" si="163"/>
        <v>613.80163714636979</v>
      </c>
      <c r="AM233" s="15">
        <f t="shared" si="138"/>
        <v>22.170849845882874</v>
      </c>
      <c r="AN233" s="75">
        <f>AM233*(1-PARAM!$C$27)*$I$12+(MOD($B233,60)=PARAM!$B$56)*($B233&gt;(60-PARAM!$B$56))*HLOOKUP(($B233+PARAM!$B$56)/12,Loyalty,2)*$F$1*MAX(AP232,0)</f>
        <v>18.557001321003963</v>
      </c>
      <c r="AO233" s="75">
        <f>PARAM!$C$26+MAX($G$12-CHOOSE(PARAM!$B$44,MAX(0,AP232*$F$1),0),0)*RATES!$L209/12+$H$12*(PARAM!$D$51/12)*RATES!$N209/100</f>
        <v>14.507622690235747</v>
      </c>
      <c r="AP233" s="16">
        <f t="shared" si="164"/>
        <v>613.80163714636979</v>
      </c>
      <c r="AQ233" s="15">
        <f t="shared" si="139"/>
        <v>22.170849845882874</v>
      </c>
      <c r="AR233" s="75">
        <f>AQ233*(1-PARAM!$C$27)*$I$13+(MOD($B233,60)=PARAM!$B$56)*($B233&gt;(60-PARAM!$B$56))*HLOOKUP(($B233+PARAM!$B$56)/12,Loyalty,2)*$F$1*MAX(AT232,0)</f>
        <v>18.557001321003963</v>
      </c>
      <c r="AS233" s="75">
        <f>PARAM!$C$26+MAX($G$13-CHOOSE(PARAM!$B$44,MAX(0,AT232*$F$1),0),0)*RATES!$L209/12+$H$13*(PARAM!$D$51/12)*RATES!$N209/100</f>
        <v>14.507622690235747</v>
      </c>
      <c r="AT233" s="16">
        <f t="shared" si="165"/>
        <v>613.80163714636979</v>
      </c>
      <c r="AU233" s="15">
        <f t="shared" si="140"/>
        <v>22.170849845882874</v>
      </c>
      <c r="AV233" s="75">
        <f>AU233*(1-PARAM!$C$27)*$I$14+(MOD($B233,60)=PARAM!$B$56)*($B233&gt;(60-PARAM!$B$56))*HLOOKUP(($B233+PARAM!$B$56)/12,Loyalty,2)*$F$1*MAX(AX232,0)</f>
        <v>18.557001321003963</v>
      </c>
      <c r="AW233" s="75">
        <f>PARAM!$C$26+MAX($G$14-CHOOSE(PARAM!$B$44,MAX(0,AX232*$F$1),0),0)*RATES!$L209/12+$H$14*(PARAM!$D$51/12)*RATES!$N209/100</f>
        <v>14.507622690235747</v>
      </c>
      <c r="AX233" s="16">
        <f t="shared" si="166"/>
        <v>613.80163714636979</v>
      </c>
      <c r="AY233" s="15">
        <f t="shared" si="141"/>
        <v>22.170849845882874</v>
      </c>
      <c r="AZ233" s="75">
        <f>AY233*(1-PARAM!$C$27)*$I$15+(MOD($B233,60)=PARAM!$B$56)*($B233&gt;(60-PARAM!$B$56))*HLOOKUP(($B233+PARAM!$B$56)/12,Loyalty,2)*$F$1*MAX(BB232,0)</f>
        <v>18.557001321003963</v>
      </c>
      <c r="BA233" s="75">
        <f>PARAM!$C$26+MAX($G$15-CHOOSE(PARAM!$B$44,MAX(0,BB232*$F$1),0),0)*RATES!$L209/12+$H$15*(PARAM!$D$51/12)*RATES!$N209/100</f>
        <v>14.507622690235747</v>
      </c>
      <c r="BB233" s="16">
        <f t="shared" si="167"/>
        <v>613.80163714636979</v>
      </c>
      <c r="BC233" s="15">
        <f t="shared" si="142"/>
        <v>22.170849845882874</v>
      </c>
      <c r="BD233" s="75">
        <f>BC233*(1-PARAM!$C$27)*$I$16+(MOD($B233,60)=PARAM!$B$56)*($B233&gt;(60-PARAM!$B$56))*HLOOKUP(($B233+PARAM!$B$56)/12,Loyalty,2)*$F$1*MAX(BF232,0)</f>
        <v>18.557001321003963</v>
      </c>
      <c r="BE233" s="75">
        <f>PARAM!$C$26+MAX($G$16-CHOOSE(PARAM!$B$44,MAX(0,BF232*$F$1),0),0)*RATES!$L209/12+$H$16*(PARAM!$D$51/12)*RATES!$N209/100</f>
        <v>14.507622690235747</v>
      </c>
      <c r="BF233" s="16">
        <f t="shared" si="168"/>
        <v>613.80163714636979</v>
      </c>
      <c r="BG233" s="15">
        <f t="shared" si="143"/>
        <v>22.170849845882874</v>
      </c>
      <c r="BH233" s="75">
        <f>BG233*(1-PARAM!$C$27)*$I$17+(MOD($B233,60)=PARAM!$B$56)*($B233&gt;(60-PARAM!$B$56))*HLOOKUP(($B233+PARAM!$B$56)/12,Loyalty,2)*$F$1*MAX(BJ232,0)</f>
        <v>18.557001321003963</v>
      </c>
      <c r="BI233" s="75">
        <f>PARAM!$C$26+MAX($G$17-CHOOSE(PARAM!$B$44,MAX(0,BJ232*$F$1),0),0)*RATES!$L209/12+$H$17*(PARAM!$D$51/12)*RATES!$N209/100</f>
        <v>14.507622690235747</v>
      </c>
      <c r="BJ233" s="16">
        <f t="shared" si="169"/>
        <v>613.80163714636979</v>
      </c>
      <c r="BK233" s="15">
        <f t="shared" si="144"/>
        <v>22.170849845882874</v>
      </c>
      <c r="BL233" s="75">
        <f>BK233*(1-PARAM!$C$27)*$I$18+(MOD($B233,60)=PARAM!$B$56)*($B233&gt;(60-PARAM!$B$56))*HLOOKUP(($B233+PARAM!$B$56)/12,Loyalty,2)*$F$1*MAX(BN232,0)</f>
        <v>18.557001321003963</v>
      </c>
      <c r="BM233" s="75">
        <f>PARAM!$C$26+MAX($G$18-CHOOSE(PARAM!$B$44,MAX(0,BN232*$F$1),0),0)*RATES!$L209/12+$H$18*(PARAM!$D$51/12)*RATES!$N209/100</f>
        <v>14.507622690235747</v>
      </c>
      <c r="BN233" s="16">
        <f t="shared" si="170"/>
        <v>613.80163714636979</v>
      </c>
      <c r="BO233" s="15">
        <f t="shared" si="145"/>
        <v>22.170849845882874</v>
      </c>
      <c r="BP233" s="75">
        <f>BO233*(1-PARAM!$C$27)*$I$19+(MOD($B233,60)=PARAM!$B$56)*($B233&gt;(60-PARAM!$B$56))*HLOOKUP(($B233+PARAM!$B$56)/12,Loyalty,2)*$F$1*MAX(BR232,0)</f>
        <v>18.557001321003963</v>
      </c>
      <c r="BQ233" s="75">
        <f>PARAM!$C$26+MAX($G$19-CHOOSE(PARAM!$B$44,MAX(0,BR232*$F$1),0),0)*RATES!$L209/12+$H$19*(PARAM!$D$51/12)*RATES!$N209/100</f>
        <v>14.507622690235747</v>
      </c>
      <c r="BR233" s="16">
        <f t="shared" si="171"/>
        <v>613.80163714636979</v>
      </c>
      <c r="BS233" s="15">
        <f t="shared" si="146"/>
        <v>22.170849845882874</v>
      </c>
      <c r="BT233" s="75">
        <f>BS233*(1-PARAM!$C$27)*$I$20+(MOD($B233,60)=PARAM!$B$56)*($B233&gt;(60-PARAM!$B$56))*HLOOKUP(($B233+PARAM!$B$56)/12,Loyalty,2)*$F$1*MAX(BV232,0)</f>
        <v>18.557001321003963</v>
      </c>
      <c r="BU233" s="75">
        <f>PARAM!$C$26+MAX($G$20-CHOOSE(PARAM!$B$44,MAX(0,BV232*$F$1),0),0)*RATES!$L209/12+$H$20*(PARAM!$D$51/12)*RATES!$N209/100</f>
        <v>14.507622690235747</v>
      </c>
      <c r="BV233" s="16">
        <f t="shared" si="172"/>
        <v>613.80163714636979</v>
      </c>
      <c r="BW233" s="15">
        <f t="shared" si="147"/>
        <v>22.170849845882874</v>
      </c>
      <c r="BX233" s="75">
        <f>BW233*(1-PARAM!$C$27)*$I$21+(MOD($B233,60)=PARAM!$B$56)*($B233&gt;(60-PARAM!$B$56))*HLOOKUP(($B233+PARAM!$B$56)/12,Loyalty,2)*$F$1*MAX(BZ232,0)</f>
        <v>18.557001321003963</v>
      </c>
      <c r="BY233" s="75">
        <f>PARAM!$C$26+MAX($G$21-CHOOSE(PARAM!$B$44,MAX(0,BZ232*$F$1),0),0)*RATES!$L209/12+$H$21*(PARAM!$D$51/12)*RATES!$N209/100</f>
        <v>14.507622690235747</v>
      </c>
      <c r="BZ233" s="16">
        <f t="shared" si="173"/>
        <v>613.80163714636979</v>
      </c>
      <c r="CA233" s="15">
        <f t="shared" si="148"/>
        <v>22.170849845882874</v>
      </c>
      <c r="CB233" s="75">
        <f>CA233*(1-PARAM!$C$27)*$I$22+(MOD($B233,60)=PARAM!$B$56)*($B233&gt;(60-PARAM!$B$56))*HLOOKUP(($B233+PARAM!$B$56)/12,Loyalty,2)*$F$1*MAX(CD232,0)</f>
        <v>18.557001321003963</v>
      </c>
      <c r="CC233" s="75">
        <f>PARAM!$C$26+MAX($G$22-CHOOSE(PARAM!$B$44,MAX(0,CD232*$F$1),0),0)*RATES!$L209/12+$H$22*(PARAM!$D$51/12)*RATES!$N209/100</f>
        <v>14.507622690235747</v>
      </c>
      <c r="CD233" s="16">
        <f t="shared" si="174"/>
        <v>613.80163714636979</v>
      </c>
      <c r="CE233" s="33">
        <f>IF(0=MOD(B233,12/PARAM!$D$51),1,0)</f>
        <v>1</v>
      </c>
      <c r="CF233" s="15">
        <f t="shared" si="149"/>
        <v>0</v>
      </c>
      <c r="CG233" s="75">
        <f>CF233*(1-PARAM!$C$27)*$R$3+(MOD($B233/12,5)=0)*($B233&gt;60)*HLOOKUP($B233/12,Loyalty,2)*$F$1*MAX(CI232,0)</f>
        <v>0</v>
      </c>
      <c r="CH233" s="75">
        <f>PARAM!$C$26+MAX($P$3-CHOOSE(PARAM!$B$44,MAX(0,CI232*$F$1),0),0)*RATES!$L209/12+$Q$3*(PARAM!$D$51/12)*RATES!$N209/100</f>
        <v>14.625</v>
      </c>
      <c r="CI233" s="16">
        <f>IF(CI232&gt;0,CI232*PARAM!$C$53,CI232)+CG233-CH233</f>
        <v>-3033.1249999999968</v>
      </c>
      <c r="CJ233" s="15">
        <f t="shared" si="175"/>
        <v>0</v>
      </c>
      <c r="CK233" s="75">
        <f>CJ233*(1-PARAM!$C$27)*$R$4+(MOD($B233/12,5)=0)*($B233&gt;60)*HLOOKUP($B233/12,Loyalty,2)*$F$1*MAX(CM232,0)</f>
        <v>0</v>
      </c>
      <c r="CL233" s="75">
        <f>PARAM!$C$26+MAX($P$4-CHOOSE(PARAM!$B$44,MAX(0,CM232*$F$1),0),0)*RATES!$L209/12+$Q$4*(PARAM!$D$51/12)*RATES!$N209/100</f>
        <v>14.625</v>
      </c>
      <c r="CM233" s="16">
        <f>IF(CM232&gt;0,CM232*PARAM!$C$53,CM232)+CK233-CL233</f>
        <v>-3033.1249999999968</v>
      </c>
      <c r="CO233" s="176"/>
    </row>
    <row r="234" spans="1:93" x14ac:dyDescent="0.2">
      <c r="A234" t="b">
        <f t="shared" si="150"/>
        <v>1</v>
      </c>
      <c r="B234" s="33">
        <v>207</v>
      </c>
      <c r="C234" s="15">
        <f t="shared" si="151"/>
        <v>20.081305947392778</v>
      </c>
      <c r="D234" s="75">
        <f>C234*(1-PARAM!$C$27)*$I$3+(MOD($B234,60)=PARAM!$B$56)*($B234&gt;(60-PARAM!$B$56))*HLOOKUP(($B234+PARAM!$B$56)/12,Loyalty,2)*$F$1*MAX(F233,0)</f>
        <v>16.808053077967756</v>
      </c>
      <c r="E234" s="75">
        <f>PARAM!$C$26+MAX($G$3-CHOOSE(PARAM!$B$44,MAX(0,F233*$F$1),0),0)*RATES!$L210/12+$H$3*(PARAM!$D$51/12)*RATES!$N210/100</f>
        <v>14.574966024789413</v>
      </c>
      <c r="F234" s="16">
        <f t="shared" si="152"/>
        <v>262.14984139389071</v>
      </c>
      <c r="G234" s="15">
        <f t="shared" si="153"/>
        <v>22.035289406060361</v>
      </c>
      <c r="H234" s="75">
        <f>G234*(1-PARAM!$C$27)*$I$4+(MOD($B234,60)=PARAM!$B$56)*($B234&gt;(60-PARAM!$B$56))*HLOOKUP(($B234+PARAM!$B$56)/12,Loyalty,2)*$F$1*MAX(J233,0)</f>
        <v>18.443537232872522</v>
      </c>
      <c r="I234" s="75">
        <f>PARAM!$C$26+MAX($G$4-CHOOSE(PARAM!$B$44,MAX(0,J233*$F$1),0),0)*RATES!$L210/12+$H$4*(PARAM!$D$51/12)*RATES!$N210/100</f>
        <v>14.511265648793598</v>
      </c>
      <c r="J234" s="16">
        <f t="shared" si="154"/>
        <v>594.7600700588913</v>
      </c>
      <c r="K234" s="15">
        <f t="shared" si="155"/>
        <v>22.170849845882874</v>
      </c>
      <c r="L234" s="75">
        <f>K234*(1-PARAM!$C$27)*$I$5+(MOD($B234,60)=PARAM!$B$56)*($B234&gt;(60-PARAM!$B$56))*HLOOKUP(($B234+PARAM!$B$56)/12,Loyalty,2)*$F$1*MAX(N233,0)</f>
        <v>18.557001321003963</v>
      </c>
      <c r="M234" s="75">
        <f>PARAM!$C$26+MAX($G$5-CHOOSE(PARAM!$B$44,MAX(0,N233*$F$1),0),0)*RATES!$L210/12+$H$5*(PARAM!$D$51/12)*RATES!$N210/100</f>
        <v>14.506843184849325</v>
      </c>
      <c r="N234" s="16">
        <f t="shared" si="156"/>
        <v>617.85179528252445</v>
      </c>
      <c r="O234" s="15">
        <f t="shared" si="157"/>
        <v>22.170849845882874</v>
      </c>
      <c r="P234" s="75">
        <f>O234*(1-PARAM!$C$27)*$I$6+(MOD($B234,60)=PARAM!$B$56)*($B234&gt;(60-PARAM!$B$56))*HLOOKUP(($B234+PARAM!$B$56)/12,Loyalty,2)*$F$1*MAX(R233,0)</f>
        <v>18.557001321003963</v>
      </c>
      <c r="Q234" s="75">
        <f>PARAM!$C$26+MAX($G$6-CHOOSE(PARAM!$B$44,MAX(0,R233*$F$1),0),0)*RATES!$L210/12+$H$6*(PARAM!$D$51/12)*RATES!$N210/100</f>
        <v>14.506843184849325</v>
      </c>
      <c r="R234" s="16">
        <f t="shared" si="158"/>
        <v>617.85179528252445</v>
      </c>
      <c r="S234" s="15">
        <f t="shared" si="133"/>
        <v>22.170849845882874</v>
      </c>
      <c r="T234" s="75">
        <f>S234*(1-PARAM!$C$27)*$I$7+(MOD($B234,60)=PARAM!$B$56)*($B234&gt;(60-PARAM!$B$56))*HLOOKUP(($B234+PARAM!$B$56)/12,Loyalty,2)*$F$1*MAX(V233,0)</f>
        <v>18.557001321003963</v>
      </c>
      <c r="U234" s="75">
        <f>PARAM!$C$26+MAX($G$7-CHOOSE(PARAM!$B$44,MAX(0,V233*$F$1),0),0)*RATES!$L210/12+$H$7*(PARAM!$D$51/12)*RATES!$N210/100</f>
        <v>14.506843184849325</v>
      </c>
      <c r="V234" s="16">
        <f t="shared" si="159"/>
        <v>617.85179528252445</v>
      </c>
      <c r="W234" s="15">
        <f t="shared" si="134"/>
        <v>22.170849845882874</v>
      </c>
      <c r="X234" s="75">
        <f>W234*(1-PARAM!$C$27)*$I$8+(MOD($B234,60)=PARAM!$B$56)*($B234&gt;(60-PARAM!$B$56))*HLOOKUP(($B234+PARAM!$B$56)/12,Loyalty,2)*$F$1*MAX(Z233,0)</f>
        <v>18.557001321003963</v>
      </c>
      <c r="Y234" s="75">
        <f>PARAM!$C$26+MAX($G$8-CHOOSE(PARAM!$B$44,MAX(0,Z233*$F$1),0),0)*RATES!$L210/12+$H$8*(PARAM!$D$51/12)*RATES!$N210/100</f>
        <v>14.506843184849325</v>
      </c>
      <c r="Z234" s="16">
        <f t="shared" si="160"/>
        <v>617.85179528252445</v>
      </c>
      <c r="AA234" s="15">
        <f t="shared" si="135"/>
        <v>22.170849845882874</v>
      </c>
      <c r="AB234" s="75">
        <f>AA234*(1-PARAM!$C$27)*$I$9+(MOD($B234,60)=PARAM!$B$56)*($B234&gt;(60-PARAM!$B$56))*HLOOKUP(($B234+PARAM!$B$56)/12,Loyalty,2)*$F$1*MAX(AD233,0)</f>
        <v>18.557001321003963</v>
      </c>
      <c r="AC234" s="75">
        <f>PARAM!$C$26+MAX($G$9-CHOOSE(PARAM!$B$44,MAX(0,AD233*$F$1),0),0)*RATES!$L210/12+$H$9*(PARAM!$D$51/12)*RATES!$N210/100</f>
        <v>14.506843184849325</v>
      </c>
      <c r="AD234" s="16">
        <f t="shared" si="161"/>
        <v>617.85179528252445</v>
      </c>
      <c r="AE234" s="15">
        <f t="shared" si="136"/>
        <v>22.170849845882874</v>
      </c>
      <c r="AF234" s="75">
        <f>AE234*(1-PARAM!$C$27)*$I$10+(MOD($B234,60)=PARAM!$B$56)*($B234&gt;(60-PARAM!$B$56))*HLOOKUP(($B234+PARAM!$B$56)/12,Loyalty,2)*$F$1*MAX(AH233,0)</f>
        <v>18.557001321003963</v>
      </c>
      <c r="AG234" s="75">
        <f>PARAM!$C$26+MAX($G$10-CHOOSE(PARAM!$B$44,MAX(0,AH233*$F$1),0),0)*RATES!$L210/12+$H$10*(PARAM!$D$51/12)*RATES!$N210/100</f>
        <v>14.506843184849325</v>
      </c>
      <c r="AH234" s="16">
        <f t="shared" si="162"/>
        <v>617.85179528252445</v>
      </c>
      <c r="AI234" s="15">
        <f t="shared" si="137"/>
        <v>22.170849845882874</v>
      </c>
      <c r="AJ234" s="75">
        <f>AI234*(1-PARAM!$C$27)*$I$11+(MOD($B234,60)=PARAM!$B$56)*($B234&gt;(60-PARAM!$B$56))*HLOOKUP(($B234+PARAM!$B$56)/12,Loyalty,2)*$F$1*MAX(AL233,0)</f>
        <v>18.557001321003963</v>
      </c>
      <c r="AK234" s="75">
        <f>PARAM!$C$26+MAX($G$11-CHOOSE(PARAM!$B$44,MAX(0,AL233*$F$1),0),0)*RATES!$L210/12+$H$11*(PARAM!$D$51/12)*RATES!$N210/100</f>
        <v>14.506843184849325</v>
      </c>
      <c r="AL234" s="16">
        <f t="shared" si="163"/>
        <v>617.85179528252445</v>
      </c>
      <c r="AM234" s="15">
        <f t="shared" si="138"/>
        <v>22.170849845882874</v>
      </c>
      <c r="AN234" s="75">
        <f>AM234*(1-PARAM!$C$27)*$I$12+(MOD($B234,60)=PARAM!$B$56)*($B234&gt;(60-PARAM!$B$56))*HLOOKUP(($B234+PARAM!$B$56)/12,Loyalty,2)*$F$1*MAX(AP233,0)</f>
        <v>18.557001321003963</v>
      </c>
      <c r="AO234" s="75">
        <f>PARAM!$C$26+MAX($G$12-CHOOSE(PARAM!$B$44,MAX(0,AP233*$F$1),0),0)*RATES!$L210/12+$H$12*(PARAM!$D$51/12)*RATES!$N210/100</f>
        <v>14.506843184849325</v>
      </c>
      <c r="AP234" s="16">
        <f t="shared" si="164"/>
        <v>617.85179528252445</v>
      </c>
      <c r="AQ234" s="15">
        <f t="shared" si="139"/>
        <v>22.170849845882874</v>
      </c>
      <c r="AR234" s="75">
        <f>AQ234*(1-PARAM!$C$27)*$I$13+(MOD($B234,60)=PARAM!$B$56)*($B234&gt;(60-PARAM!$B$56))*HLOOKUP(($B234+PARAM!$B$56)/12,Loyalty,2)*$F$1*MAX(AT233,0)</f>
        <v>18.557001321003963</v>
      </c>
      <c r="AS234" s="75">
        <f>PARAM!$C$26+MAX($G$13-CHOOSE(PARAM!$B$44,MAX(0,AT233*$F$1),0),0)*RATES!$L210/12+$H$13*(PARAM!$D$51/12)*RATES!$N210/100</f>
        <v>14.506843184849325</v>
      </c>
      <c r="AT234" s="16">
        <f t="shared" si="165"/>
        <v>617.85179528252445</v>
      </c>
      <c r="AU234" s="15">
        <f t="shared" si="140"/>
        <v>22.170849845882874</v>
      </c>
      <c r="AV234" s="75">
        <f>AU234*(1-PARAM!$C$27)*$I$14+(MOD($B234,60)=PARAM!$B$56)*($B234&gt;(60-PARAM!$B$56))*HLOOKUP(($B234+PARAM!$B$56)/12,Loyalty,2)*$F$1*MAX(AX233,0)</f>
        <v>18.557001321003963</v>
      </c>
      <c r="AW234" s="75">
        <f>PARAM!$C$26+MAX($G$14-CHOOSE(PARAM!$B$44,MAX(0,AX233*$F$1),0),0)*RATES!$L210/12+$H$14*(PARAM!$D$51/12)*RATES!$N210/100</f>
        <v>14.506843184849325</v>
      </c>
      <c r="AX234" s="16">
        <f t="shared" si="166"/>
        <v>617.85179528252445</v>
      </c>
      <c r="AY234" s="15">
        <f t="shared" si="141"/>
        <v>22.170849845882874</v>
      </c>
      <c r="AZ234" s="75">
        <f>AY234*(1-PARAM!$C$27)*$I$15+(MOD($B234,60)=PARAM!$B$56)*($B234&gt;(60-PARAM!$B$56))*HLOOKUP(($B234+PARAM!$B$56)/12,Loyalty,2)*$F$1*MAX(BB233,0)</f>
        <v>18.557001321003963</v>
      </c>
      <c r="BA234" s="75">
        <f>PARAM!$C$26+MAX($G$15-CHOOSE(PARAM!$B$44,MAX(0,BB233*$F$1),0),0)*RATES!$L210/12+$H$15*(PARAM!$D$51/12)*RATES!$N210/100</f>
        <v>14.506843184849325</v>
      </c>
      <c r="BB234" s="16">
        <f t="shared" si="167"/>
        <v>617.85179528252445</v>
      </c>
      <c r="BC234" s="15">
        <f t="shared" si="142"/>
        <v>22.170849845882874</v>
      </c>
      <c r="BD234" s="75">
        <f>BC234*(1-PARAM!$C$27)*$I$16+(MOD($B234,60)=PARAM!$B$56)*($B234&gt;(60-PARAM!$B$56))*HLOOKUP(($B234+PARAM!$B$56)/12,Loyalty,2)*$F$1*MAX(BF233,0)</f>
        <v>18.557001321003963</v>
      </c>
      <c r="BE234" s="75">
        <f>PARAM!$C$26+MAX($G$16-CHOOSE(PARAM!$B$44,MAX(0,BF233*$F$1),0),0)*RATES!$L210/12+$H$16*(PARAM!$D$51/12)*RATES!$N210/100</f>
        <v>14.506843184849325</v>
      </c>
      <c r="BF234" s="16">
        <f t="shared" si="168"/>
        <v>617.85179528252445</v>
      </c>
      <c r="BG234" s="15">
        <f t="shared" si="143"/>
        <v>22.170849845882874</v>
      </c>
      <c r="BH234" s="75">
        <f>BG234*(1-PARAM!$C$27)*$I$17+(MOD($B234,60)=PARAM!$B$56)*($B234&gt;(60-PARAM!$B$56))*HLOOKUP(($B234+PARAM!$B$56)/12,Loyalty,2)*$F$1*MAX(BJ233,0)</f>
        <v>18.557001321003963</v>
      </c>
      <c r="BI234" s="75">
        <f>PARAM!$C$26+MAX($G$17-CHOOSE(PARAM!$B$44,MAX(0,BJ233*$F$1),0),0)*RATES!$L210/12+$H$17*(PARAM!$D$51/12)*RATES!$N210/100</f>
        <v>14.506843184849325</v>
      </c>
      <c r="BJ234" s="16">
        <f t="shared" si="169"/>
        <v>617.85179528252445</v>
      </c>
      <c r="BK234" s="15">
        <f t="shared" si="144"/>
        <v>22.170849845882874</v>
      </c>
      <c r="BL234" s="75">
        <f>BK234*(1-PARAM!$C$27)*$I$18+(MOD($B234,60)=PARAM!$B$56)*($B234&gt;(60-PARAM!$B$56))*HLOOKUP(($B234+PARAM!$B$56)/12,Loyalty,2)*$F$1*MAX(BN233,0)</f>
        <v>18.557001321003963</v>
      </c>
      <c r="BM234" s="75">
        <f>PARAM!$C$26+MAX($G$18-CHOOSE(PARAM!$B$44,MAX(0,BN233*$F$1),0),0)*RATES!$L210/12+$H$18*(PARAM!$D$51/12)*RATES!$N210/100</f>
        <v>14.506843184849325</v>
      </c>
      <c r="BN234" s="16">
        <f t="shared" si="170"/>
        <v>617.85179528252445</v>
      </c>
      <c r="BO234" s="15">
        <f t="shared" si="145"/>
        <v>22.170849845882874</v>
      </c>
      <c r="BP234" s="75">
        <f>BO234*(1-PARAM!$C$27)*$I$19+(MOD($B234,60)=PARAM!$B$56)*($B234&gt;(60-PARAM!$B$56))*HLOOKUP(($B234+PARAM!$B$56)/12,Loyalty,2)*$F$1*MAX(BR233,0)</f>
        <v>18.557001321003963</v>
      </c>
      <c r="BQ234" s="75">
        <f>PARAM!$C$26+MAX($G$19-CHOOSE(PARAM!$B$44,MAX(0,BR233*$F$1),0),0)*RATES!$L210/12+$H$19*(PARAM!$D$51/12)*RATES!$N210/100</f>
        <v>14.506843184849325</v>
      </c>
      <c r="BR234" s="16">
        <f t="shared" si="171"/>
        <v>617.85179528252445</v>
      </c>
      <c r="BS234" s="15">
        <f t="shared" si="146"/>
        <v>22.170849845882874</v>
      </c>
      <c r="BT234" s="75">
        <f>BS234*(1-PARAM!$C$27)*$I$20+(MOD($B234,60)=PARAM!$B$56)*($B234&gt;(60-PARAM!$B$56))*HLOOKUP(($B234+PARAM!$B$56)/12,Loyalty,2)*$F$1*MAX(BV233,0)</f>
        <v>18.557001321003963</v>
      </c>
      <c r="BU234" s="75">
        <f>PARAM!$C$26+MAX($G$20-CHOOSE(PARAM!$B$44,MAX(0,BV233*$F$1),0),0)*RATES!$L210/12+$H$20*(PARAM!$D$51/12)*RATES!$N210/100</f>
        <v>14.506843184849325</v>
      </c>
      <c r="BV234" s="16">
        <f t="shared" si="172"/>
        <v>617.85179528252445</v>
      </c>
      <c r="BW234" s="15">
        <f t="shared" si="147"/>
        <v>22.170849845882874</v>
      </c>
      <c r="BX234" s="75">
        <f>BW234*(1-PARAM!$C$27)*$I$21+(MOD($B234,60)=PARAM!$B$56)*($B234&gt;(60-PARAM!$B$56))*HLOOKUP(($B234+PARAM!$B$56)/12,Loyalty,2)*$F$1*MAX(BZ233,0)</f>
        <v>18.557001321003963</v>
      </c>
      <c r="BY234" s="75">
        <f>PARAM!$C$26+MAX($G$21-CHOOSE(PARAM!$B$44,MAX(0,BZ233*$F$1),0),0)*RATES!$L210/12+$H$21*(PARAM!$D$51/12)*RATES!$N210/100</f>
        <v>14.506843184849325</v>
      </c>
      <c r="BZ234" s="16">
        <f t="shared" si="173"/>
        <v>617.85179528252445</v>
      </c>
      <c r="CA234" s="15">
        <f t="shared" si="148"/>
        <v>22.170849845882874</v>
      </c>
      <c r="CB234" s="75">
        <f>CA234*(1-PARAM!$C$27)*$I$22+(MOD($B234,60)=PARAM!$B$56)*($B234&gt;(60-PARAM!$B$56))*HLOOKUP(($B234+PARAM!$B$56)/12,Loyalty,2)*$F$1*MAX(CD233,0)</f>
        <v>18.557001321003963</v>
      </c>
      <c r="CC234" s="75">
        <f>PARAM!$C$26+MAX($G$22-CHOOSE(PARAM!$B$44,MAX(0,CD233*$F$1),0),0)*RATES!$L210/12+$H$22*(PARAM!$D$51/12)*RATES!$N210/100</f>
        <v>14.506843184849325</v>
      </c>
      <c r="CD234" s="16">
        <f t="shared" si="174"/>
        <v>617.85179528252445</v>
      </c>
      <c r="CE234" s="33">
        <f>IF(0=MOD(B234,12/PARAM!$D$51),1,0)</f>
        <v>1</v>
      </c>
      <c r="CF234" s="15">
        <f t="shared" si="149"/>
        <v>0</v>
      </c>
      <c r="CG234" s="75">
        <f>CF234*(1-PARAM!$C$27)*$R$3+(MOD($B234/12,5)=0)*($B234&gt;60)*HLOOKUP($B234/12,Loyalty,2)*$F$1*MAX(CI233,0)</f>
        <v>0</v>
      </c>
      <c r="CH234" s="75">
        <f>PARAM!$C$26+MAX($P$3-CHOOSE(PARAM!$B$44,MAX(0,CI233*$F$1),0),0)*RATES!$L210/12+$Q$3*(PARAM!$D$51/12)*RATES!$N210/100</f>
        <v>14.625</v>
      </c>
      <c r="CI234" s="16">
        <f>IF(CI233&gt;0,CI233*PARAM!$C$53,CI233)+CG234-CH234</f>
        <v>-3047.7499999999968</v>
      </c>
      <c r="CJ234" s="15">
        <f t="shared" si="175"/>
        <v>0</v>
      </c>
      <c r="CK234" s="75">
        <f>CJ234*(1-PARAM!$C$27)*$R$4+(MOD($B234/12,5)=0)*($B234&gt;60)*HLOOKUP($B234/12,Loyalty,2)*$F$1*MAX(CM233,0)</f>
        <v>0</v>
      </c>
      <c r="CL234" s="75">
        <f>PARAM!$C$26+MAX($P$4-CHOOSE(PARAM!$B$44,MAX(0,CM233*$F$1),0),0)*RATES!$L210/12+$Q$4*(PARAM!$D$51/12)*RATES!$N210/100</f>
        <v>14.625</v>
      </c>
      <c r="CM234" s="16">
        <f>IF(CM233&gt;0,CM233*PARAM!$C$53,CM233)+CK234-CL234</f>
        <v>-3047.7499999999968</v>
      </c>
      <c r="CO234" s="176"/>
    </row>
    <row r="235" spans="1:93" x14ac:dyDescent="0.2">
      <c r="A235" t="b">
        <f t="shared" si="150"/>
        <v>1</v>
      </c>
      <c r="B235" s="33">
        <v>208</v>
      </c>
      <c r="C235" s="15">
        <f t="shared" si="151"/>
        <v>20.081305947392778</v>
      </c>
      <c r="D235" s="75">
        <f>C235*(1-PARAM!$C$27)*$I$3+(MOD($B235,60)=PARAM!$B$56)*($B235&gt;(60-PARAM!$B$56))*HLOOKUP(($B235+PARAM!$B$56)/12,Loyalty,2)*$F$1*MAX(F234,0)</f>
        <v>16.808053077967756</v>
      </c>
      <c r="E235" s="75">
        <f>PARAM!$C$26+MAX($G$3-CHOOSE(PARAM!$B$44,MAX(0,F234*$F$1),0),0)*RATES!$L211/12+$H$3*(PARAM!$D$51/12)*RATES!$N211/100</f>
        <v>14.574536155531677</v>
      </c>
      <c r="F235" s="16">
        <f t="shared" si="152"/>
        <v>264.38335831632679</v>
      </c>
      <c r="G235" s="15">
        <f t="shared" si="153"/>
        <v>22.035289406060361</v>
      </c>
      <c r="H235" s="75">
        <f>G235*(1-PARAM!$C$27)*$I$4+(MOD($B235,60)=PARAM!$B$56)*($B235&gt;(60-PARAM!$B$56))*HLOOKUP(($B235+PARAM!$B$56)/12,Loyalty,2)*$F$1*MAX(J234,0)</f>
        <v>18.443537232872522</v>
      </c>
      <c r="I235" s="75">
        <f>PARAM!$C$26+MAX($G$4-CHOOSE(PARAM!$B$44,MAX(0,J234*$F$1),0),0)*RATES!$L211/12+$H$4*(PARAM!$D$51/12)*RATES!$N211/100</f>
        <v>14.510508686513663</v>
      </c>
      <c r="J235" s="16">
        <f t="shared" si="154"/>
        <v>598.69309860525016</v>
      </c>
      <c r="K235" s="15">
        <f t="shared" si="155"/>
        <v>22.170849845882874</v>
      </c>
      <c r="L235" s="75">
        <f>K235*(1-PARAM!$C$27)*$I$5+(MOD($B235,60)=PARAM!$B$56)*($B235&gt;(60-PARAM!$B$56))*HLOOKUP(($B235+PARAM!$B$56)/12,Loyalty,2)*$F$1*MAX(N234,0)</f>
        <v>18.557001321003963</v>
      </c>
      <c r="M235" s="75">
        <f>PARAM!$C$26+MAX($G$5-CHOOSE(PARAM!$B$44,MAX(0,N234*$F$1),0),0)*RATES!$L211/12+$H$5*(PARAM!$D$51/12)*RATES!$N211/100</f>
        <v>14.506063529408113</v>
      </c>
      <c r="N235" s="16">
        <f t="shared" si="156"/>
        <v>621.90273307412031</v>
      </c>
      <c r="O235" s="15">
        <f t="shared" si="157"/>
        <v>22.170849845882874</v>
      </c>
      <c r="P235" s="75">
        <f>O235*(1-PARAM!$C$27)*$I$6+(MOD($B235,60)=PARAM!$B$56)*($B235&gt;(60-PARAM!$B$56))*HLOOKUP(($B235+PARAM!$B$56)/12,Loyalty,2)*$F$1*MAX(R234,0)</f>
        <v>18.557001321003963</v>
      </c>
      <c r="Q235" s="75">
        <f>PARAM!$C$26+MAX($G$6-CHOOSE(PARAM!$B$44,MAX(0,R234*$F$1),0),0)*RATES!$L211/12+$H$6*(PARAM!$D$51/12)*RATES!$N211/100</f>
        <v>14.506063529408113</v>
      </c>
      <c r="R235" s="16">
        <f t="shared" si="158"/>
        <v>621.90273307412031</v>
      </c>
      <c r="S235" s="15">
        <f t="shared" si="133"/>
        <v>22.170849845882874</v>
      </c>
      <c r="T235" s="75">
        <f>S235*(1-PARAM!$C$27)*$I$7+(MOD($B235,60)=PARAM!$B$56)*($B235&gt;(60-PARAM!$B$56))*HLOOKUP(($B235+PARAM!$B$56)/12,Loyalty,2)*$F$1*MAX(V234,0)</f>
        <v>18.557001321003963</v>
      </c>
      <c r="U235" s="75">
        <f>PARAM!$C$26+MAX($G$7-CHOOSE(PARAM!$B$44,MAX(0,V234*$F$1),0),0)*RATES!$L211/12+$H$7*(PARAM!$D$51/12)*RATES!$N211/100</f>
        <v>14.506063529408113</v>
      </c>
      <c r="V235" s="16">
        <f t="shared" si="159"/>
        <v>621.90273307412031</v>
      </c>
      <c r="W235" s="15">
        <f t="shared" si="134"/>
        <v>22.170849845882874</v>
      </c>
      <c r="X235" s="75">
        <f>W235*(1-PARAM!$C$27)*$I$8+(MOD($B235,60)=PARAM!$B$56)*($B235&gt;(60-PARAM!$B$56))*HLOOKUP(($B235+PARAM!$B$56)/12,Loyalty,2)*$F$1*MAX(Z234,0)</f>
        <v>18.557001321003963</v>
      </c>
      <c r="Y235" s="75">
        <f>PARAM!$C$26+MAX($G$8-CHOOSE(PARAM!$B$44,MAX(0,Z234*$F$1),0),0)*RATES!$L211/12+$H$8*(PARAM!$D$51/12)*RATES!$N211/100</f>
        <v>14.506063529408113</v>
      </c>
      <c r="Z235" s="16">
        <f t="shared" si="160"/>
        <v>621.90273307412031</v>
      </c>
      <c r="AA235" s="15">
        <f t="shared" si="135"/>
        <v>22.170849845882874</v>
      </c>
      <c r="AB235" s="75">
        <f>AA235*(1-PARAM!$C$27)*$I$9+(MOD($B235,60)=PARAM!$B$56)*($B235&gt;(60-PARAM!$B$56))*HLOOKUP(($B235+PARAM!$B$56)/12,Loyalty,2)*$F$1*MAX(AD234,0)</f>
        <v>18.557001321003963</v>
      </c>
      <c r="AC235" s="75">
        <f>PARAM!$C$26+MAX($G$9-CHOOSE(PARAM!$B$44,MAX(0,AD234*$F$1),0),0)*RATES!$L211/12+$H$9*(PARAM!$D$51/12)*RATES!$N211/100</f>
        <v>14.506063529408113</v>
      </c>
      <c r="AD235" s="16">
        <f t="shared" si="161"/>
        <v>621.90273307412031</v>
      </c>
      <c r="AE235" s="15">
        <f t="shared" si="136"/>
        <v>22.170849845882874</v>
      </c>
      <c r="AF235" s="75">
        <f>AE235*(1-PARAM!$C$27)*$I$10+(MOD($B235,60)=PARAM!$B$56)*($B235&gt;(60-PARAM!$B$56))*HLOOKUP(($B235+PARAM!$B$56)/12,Loyalty,2)*$F$1*MAX(AH234,0)</f>
        <v>18.557001321003963</v>
      </c>
      <c r="AG235" s="75">
        <f>PARAM!$C$26+MAX($G$10-CHOOSE(PARAM!$B$44,MAX(0,AH234*$F$1),0),0)*RATES!$L211/12+$H$10*(PARAM!$D$51/12)*RATES!$N211/100</f>
        <v>14.506063529408113</v>
      </c>
      <c r="AH235" s="16">
        <f t="shared" si="162"/>
        <v>621.90273307412031</v>
      </c>
      <c r="AI235" s="15">
        <f t="shared" si="137"/>
        <v>22.170849845882874</v>
      </c>
      <c r="AJ235" s="75">
        <f>AI235*(1-PARAM!$C$27)*$I$11+(MOD($B235,60)=PARAM!$B$56)*($B235&gt;(60-PARAM!$B$56))*HLOOKUP(($B235+PARAM!$B$56)/12,Loyalty,2)*$F$1*MAX(AL234,0)</f>
        <v>18.557001321003963</v>
      </c>
      <c r="AK235" s="75">
        <f>PARAM!$C$26+MAX($G$11-CHOOSE(PARAM!$B$44,MAX(0,AL234*$F$1),0),0)*RATES!$L211/12+$H$11*(PARAM!$D$51/12)*RATES!$N211/100</f>
        <v>14.506063529408113</v>
      </c>
      <c r="AL235" s="16">
        <f t="shared" si="163"/>
        <v>621.90273307412031</v>
      </c>
      <c r="AM235" s="15">
        <f t="shared" si="138"/>
        <v>22.170849845882874</v>
      </c>
      <c r="AN235" s="75">
        <f>AM235*(1-PARAM!$C$27)*$I$12+(MOD($B235,60)=PARAM!$B$56)*($B235&gt;(60-PARAM!$B$56))*HLOOKUP(($B235+PARAM!$B$56)/12,Loyalty,2)*$F$1*MAX(AP234,0)</f>
        <v>18.557001321003963</v>
      </c>
      <c r="AO235" s="75">
        <f>PARAM!$C$26+MAX($G$12-CHOOSE(PARAM!$B$44,MAX(0,AP234*$F$1),0),0)*RATES!$L211/12+$H$12*(PARAM!$D$51/12)*RATES!$N211/100</f>
        <v>14.506063529408113</v>
      </c>
      <c r="AP235" s="16">
        <f t="shared" si="164"/>
        <v>621.90273307412031</v>
      </c>
      <c r="AQ235" s="15">
        <f t="shared" si="139"/>
        <v>22.170849845882874</v>
      </c>
      <c r="AR235" s="75">
        <f>AQ235*(1-PARAM!$C$27)*$I$13+(MOD($B235,60)=PARAM!$B$56)*($B235&gt;(60-PARAM!$B$56))*HLOOKUP(($B235+PARAM!$B$56)/12,Loyalty,2)*$F$1*MAX(AT234,0)</f>
        <v>18.557001321003963</v>
      </c>
      <c r="AS235" s="75">
        <f>PARAM!$C$26+MAX($G$13-CHOOSE(PARAM!$B$44,MAX(0,AT234*$F$1),0),0)*RATES!$L211/12+$H$13*(PARAM!$D$51/12)*RATES!$N211/100</f>
        <v>14.506063529408113</v>
      </c>
      <c r="AT235" s="16">
        <f t="shared" si="165"/>
        <v>621.90273307412031</v>
      </c>
      <c r="AU235" s="15">
        <f t="shared" si="140"/>
        <v>22.170849845882874</v>
      </c>
      <c r="AV235" s="75">
        <f>AU235*(1-PARAM!$C$27)*$I$14+(MOD($B235,60)=PARAM!$B$56)*($B235&gt;(60-PARAM!$B$56))*HLOOKUP(($B235+PARAM!$B$56)/12,Loyalty,2)*$F$1*MAX(AX234,0)</f>
        <v>18.557001321003963</v>
      </c>
      <c r="AW235" s="75">
        <f>PARAM!$C$26+MAX($G$14-CHOOSE(PARAM!$B$44,MAX(0,AX234*$F$1),0),0)*RATES!$L211/12+$H$14*(PARAM!$D$51/12)*RATES!$N211/100</f>
        <v>14.506063529408113</v>
      </c>
      <c r="AX235" s="16">
        <f t="shared" si="166"/>
        <v>621.90273307412031</v>
      </c>
      <c r="AY235" s="15">
        <f t="shared" si="141"/>
        <v>22.170849845882874</v>
      </c>
      <c r="AZ235" s="75">
        <f>AY235*(1-PARAM!$C$27)*$I$15+(MOD($B235,60)=PARAM!$B$56)*($B235&gt;(60-PARAM!$B$56))*HLOOKUP(($B235+PARAM!$B$56)/12,Loyalty,2)*$F$1*MAX(BB234,0)</f>
        <v>18.557001321003963</v>
      </c>
      <c r="BA235" s="75">
        <f>PARAM!$C$26+MAX($G$15-CHOOSE(PARAM!$B$44,MAX(0,BB234*$F$1),0),0)*RATES!$L211/12+$H$15*(PARAM!$D$51/12)*RATES!$N211/100</f>
        <v>14.506063529408113</v>
      </c>
      <c r="BB235" s="16">
        <f t="shared" si="167"/>
        <v>621.90273307412031</v>
      </c>
      <c r="BC235" s="15">
        <f t="shared" si="142"/>
        <v>22.170849845882874</v>
      </c>
      <c r="BD235" s="75">
        <f>BC235*(1-PARAM!$C$27)*$I$16+(MOD($B235,60)=PARAM!$B$56)*($B235&gt;(60-PARAM!$B$56))*HLOOKUP(($B235+PARAM!$B$56)/12,Loyalty,2)*$F$1*MAX(BF234,0)</f>
        <v>18.557001321003963</v>
      </c>
      <c r="BE235" s="75">
        <f>PARAM!$C$26+MAX($G$16-CHOOSE(PARAM!$B$44,MAX(0,BF234*$F$1),0),0)*RATES!$L211/12+$H$16*(PARAM!$D$51/12)*RATES!$N211/100</f>
        <v>14.506063529408113</v>
      </c>
      <c r="BF235" s="16">
        <f t="shared" si="168"/>
        <v>621.90273307412031</v>
      </c>
      <c r="BG235" s="15">
        <f t="shared" si="143"/>
        <v>22.170849845882874</v>
      </c>
      <c r="BH235" s="75">
        <f>BG235*(1-PARAM!$C$27)*$I$17+(MOD($B235,60)=PARAM!$B$56)*($B235&gt;(60-PARAM!$B$56))*HLOOKUP(($B235+PARAM!$B$56)/12,Loyalty,2)*$F$1*MAX(BJ234,0)</f>
        <v>18.557001321003963</v>
      </c>
      <c r="BI235" s="75">
        <f>PARAM!$C$26+MAX($G$17-CHOOSE(PARAM!$B$44,MAX(0,BJ234*$F$1),0),0)*RATES!$L211/12+$H$17*(PARAM!$D$51/12)*RATES!$N211/100</f>
        <v>14.506063529408113</v>
      </c>
      <c r="BJ235" s="16">
        <f t="shared" si="169"/>
        <v>621.90273307412031</v>
      </c>
      <c r="BK235" s="15">
        <f t="shared" si="144"/>
        <v>22.170849845882874</v>
      </c>
      <c r="BL235" s="75">
        <f>BK235*(1-PARAM!$C$27)*$I$18+(MOD($B235,60)=PARAM!$B$56)*($B235&gt;(60-PARAM!$B$56))*HLOOKUP(($B235+PARAM!$B$56)/12,Loyalty,2)*$F$1*MAX(BN234,0)</f>
        <v>18.557001321003963</v>
      </c>
      <c r="BM235" s="75">
        <f>PARAM!$C$26+MAX($G$18-CHOOSE(PARAM!$B$44,MAX(0,BN234*$F$1),0),0)*RATES!$L211/12+$H$18*(PARAM!$D$51/12)*RATES!$N211/100</f>
        <v>14.506063529408113</v>
      </c>
      <c r="BN235" s="16">
        <f t="shared" si="170"/>
        <v>621.90273307412031</v>
      </c>
      <c r="BO235" s="15">
        <f t="shared" si="145"/>
        <v>22.170849845882874</v>
      </c>
      <c r="BP235" s="75">
        <f>BO235*(1-PARAM!$C$27)*$I$19+(MOD($B235,60)=PARAM!$B$56)*($B235&gt;(60-PARAM!$B$56))*HLOOKUP(($B235+PARAM!$B$56)/12,Loyalty,2)*$F$1*MAX(BR234,0)</f>
        <v>18.557001321003963</v>
      </c>
      <c r="BQ235" s="75">
        <f>PARAM!$C$26+MAX($G$19-CHOOSE(PARAM!$B$44,MAX(0,BR234*$F$1),0),0)*RATES!$L211/12+$H$19*(PARAM!$D$51/12)*RATES!$N211/100</f>
        <v>14.506063529408113</v>
      </c>
      <c r="BR235" s="16">
        <f t="shared" si="171"/>
        <v>621.90273307412031</v>
      </c>
      <c r="BS235" s="15">
        <f t="shared" si="146"/>
        <v>22.170849845882874</v>
      </c>
      <c r="BT235" s="75">
        <f>BS235*(1-PARAM!$C$27)*$I$20+(MOD($B235,60)=PARAM!$B$56)*($B235&gt;(60-PARAM!$B$56))*HLOOKUP(($B235+PARAM!$B$56)/12,Loyalty,2)*$F$1*MAX(BV234,0)</f>
        <v>18.557001321003963</v>
      </c>
      <c r="BU235" s="75">
        <f>PARAM!$C$26+MAX($G$20-CHOOSE(PARAM!$B$44,MAX(0,BV234*$F$1),0),0)*RATES!$L211/12+$H$20*(PARAM!$D$51/12)*RATES!$N211/100</f>
        <v>14.506063529408113</v>
      </c>
      <c r="BV235" s="16">
        <f t="shared" si="172"/>
        <v>621.90273307412031</v>
      </c>
      <c r="BW235" s="15">
        <f t="shared" si="147"/>
        <v>22.170849845882874</v>
      </c>
      <c r="BX235" s="75">
        <f>BW235*(1-PARAM!$C$27)*$I$21+(MOD($B235,60)=PARAM!$B$56)*($B235&gt;(60-PARAM!$B$56))*HLOOKUP(($B235+PARAM!$B$56)/12,Loyalty,2)*$F$1*MAX(BZ234,0)</f>
        <v>18.557001321003963</v>
      </c>
      <c r="BY235" s="75">
        <f>PARAM!$C$26+MAX($G$21-CHOOSE(PARAM!$B$44,MAX(0,BZ234*$F$1),0),0)*RATES!$L211/12+$H$21*(PARAM!$D$51/12)*RATES!$N211/100</f>
        <v>14.506063529408113</v>
      </c>
      <c r="BZ235" s="16">
        <f t="shared" si="173"/>
        <v>621.90273307412031</v>
      </c>
      <c r="CA235" s="15">
        <f t="shared" si="148"/>
        <v>22.170849845882874</v>
      </c>
      <c r="CB235" s="75">
        <f>CA235*(1-PARAM!$C$27)*$I$22+(MOD($B235,60)=PARAM!$B$56)*($B235&gt;(60-PARAM!$B$56))*HLOOKUP(($B235+PARAM!$B$56)/12,Loyalty,2)*$F$1*MAX(CD234,0)</f>
        <v>18.557001321003963</v>
      </c>
      <c r="CC235" s="75">
        <f>PARAM!$C$26+MAX($G$22-CHOOSE(PARAM!$B$44,MAX(0,CD234*$F$1),0),0)*RATES!$L211/12+$H$22*(PARAM!$D$51/12)*RATES!$N211/100</f>
        <v>14.506063529408113</v>
      </c>
      <c r="CD235" s="16">
        <f t="shared" si="174"/>
        <v>621.90273307412031</v>
      </c>
      <c r="CE235" s="33">
        <f>IF(0=MOD(B235,12/PARAM!$D$51),1,0)</f>
        <v>1</v>
      </c>
      <c r="CF235" s="15">
        <f t="shared" si="149"/>
        <v>0</v>
      </c>
      <c r="CG235" s="75">
        <f>CF235*(1-PARAM!$C$27)*$R$3+(MOD($B235/12,5)=0)*($B235&gt;60)*HLOOKUP($B235/12,Loyalty,2)*$F$1*MAX(CI234,0)</f>
        <v>0</v>
      </c>
      <c r="CH235" s="75">
        <f>PARAM!$C$26+MAX($P$3-CHOOSE(PARAM!$B$44,MAX(0,CI234*$F$1),0),0)*RATES!$L211/12+$Q$3*(PARAM!$D$51/12)*RATES!$N211/100</f>
        <v>14.625</v>
      </c>
      <c r="CI235" s="16">
        <f>IF(CI234&gt;0,CI234*PARAM!$C$53,CI234)+CG235-CH235</f>
        <v>-3062.3749999999968</v>
      </c>
      <c r="CJ235" s="15">
        <f t="shared" si="175"/>
        <v>0</v>
      </c>
      <c r="CK235" s="75">
        <f>CJ235*(1-PARAM!$C$27)*$R$4+(MOD($B235/12,5)=0)*($B235&gt;60)*HLOOKUP($B235/12,Loyalty,2)*$F$1*MAX(CM234,0)</f>
        <v>0</v>
      </c>
      <c r="CL235" s="75">
        <f>PARAM!$C$26+MAX($P$4-CHOOSE(PARAM!$B$44,MAX(0,CM234*$F$1),0),0)*RATES!$L211/12+$Q$4*(PARAM!$D$51/12)*RATES!$N211/100</f>
        <v>14.625</v>
      </c>
      <c r="CM235" s="16">
        <f>IF(CM234&gt;0,CM234*PARAM!$C$53,CM234)+CK235-CL235</f>
        <v>-3062.3749999999968</v>
      </c>
      <c r="CO235" s="176"/>
    </row>
    <row r="236" spans="1:93" x14ac:dyDescent="0.2">
      <c r="A236" t="b">
        <f t="shared" si="150"/>
        <v>1</v>
      </c>
      <c r="B236" s="33">
        <v>209</v>
      </c>
      <c r="C236" s="15">
        <f t="shared" si="151"/>
        <v>20.081305947392778</v>
      </c>
      <c r="D236" s="75">
        <f>C236*(1-PARAM!$C$27)*$I$3+(MOD($B236,60)=PARAM!$B$56)*($B236&gt;(60-PARAM!$B$56))*HLOOKUP(($B236+PARAM!$B$56)/12,Loyalty,2)*$F$1*MAX(F235,0)</f>
        <v>16.808053077967756</v>
      </c>
      <c r="E236" s="75">
        <f>PARAM!$C$26+MAX($G$3-CHOOSE(PARAM!$B$44,MAX(0,F235*$F$1),0),0)*RATES!$L212/12+$H$3*(PARAM!$D$51/12)*RATES!$N212/100</f>
        <v>14.574106203524106</v>
      </c>
      <c r="F236" s="16">
        <f t="shared" si="152"/>
        <v>266.61730519077048</v>
      </c>
      <c r="G236" s="15">
        <f t="shared" si="153"/>
        <v>22.035289406060361</v>
      </c>
      <c r="H236" s="75">
        <f>G236*(1-PARAM!$C$27)*$I$4+(MOD($B236,60)=PARAM!$B$56)*($B236&gt;(60-PARAM!$B$56))*HLOOKUP(($B236+PARAM!$B$56)/12,Loyalty,2)*$F$1*MAX(J235,0)</f>
        <v>18.443537232872522</v>
      </c>
      <c r="I236" s="75">
        <f>PARAM!$C$26+MAX($G$4-CHOOSE(PARAM!$B$44,MAX(0,J235*$F$1),0),0)*RATES!$L212/12+$H$4*(PARAM!$D$51/12)*RATES!$N212/100</f>
        <v>14.50975157851849</v>
      </c>
      <c r="J236" s="16">
        <f t="shared" si="154"/>
        <v>602.62688425960414</v>
      </c>
      <c r="K236" s="15">
        <f t="shared" si="155"/>
        <v>22.170849845882874</v>
      </c>
      <c r="L236" s="75">
        <f>K236*(1-PARAM!$C$27)*$I$5+(MOD($B236,60)=PARAM!$B$56)*($B236&gt;(60-PARAM!$B$56))*HLOOKUP(($B236+PARAM!$B$56)/12,Loyalty,2)*$F$1*MAX(N235,0)</f>
        <v>18.557001321003963</v>
      </c>
      <c r="M236" s="75">
        <f>PARAM!$C$26+MAX($G$5-CHOOSE(PARAM!$B$44,MAX(0,N235*$F$1),0),0)*RATES!$L212/12+$H$5*(PARAM!$D$51/12)*RATES!$N212/100</f>
        <v>14.505283723883231</v>
      </c>
      <c r="N236" s="16">
        <f t="shared" si="156"/>
        <v>625.95445067124103</v>
      </c>
      <c r="O236" s="15">
        <f t="shared" si="157"/>
        <v>22.170849845882874</v>
      </c>
      <c r="P236" s="75">
        <f>O236*(1-PARAM!$C$27)*$I$6+(MOD($B236,60)=PARAM!$B$56)*($B236&gt;(60-PARAM!$B$56))*HLOOKUP(($B236+PARAM!$B$56)/12,Loyalty,2)*$F$1*MAX(R235,0)</f>
        <v>18.557001321003963</v>
      </c>
      <c r="Q236" s="75">
        <f>PARAM!$C$26+MAX($G$6-CHOOSE(PARAM!$B$44,MAX(0,R235*$F$1),0),0)*RATES!$L212/12+$H$6*(PARAM!$D$51/12)*RATES!$N212/100</f>
        <v>14.505283723883231</v>
      </c>
      <c r="R236" s="16">
        <f t="shared" si="158"/>
        <v>625.95445067124103</v>
      </c>
      <c r="S236" s="15">
        <f t="shared" si="133"/>
        <v>22.170849845882874</v>
      </c>
      <c r="T236" s="75">
        <f>S236*(1-PARAM!$C$27)*$I$7+(MOD($B236,60)=PARAM!$B$56)*($B236&gt;(60-PARAM!$B$56))*HLOOKUP(($B236+PARAM!$B$56)/12,Loyalty,2)*$F$1*MAX(V235,0)</f>
        <v>18.557001321003963</v>
      </c>
      <c r="U236" s="75">
        <f>PARAM!$C$26+MAX($G$7-CHOOSE(PARAM!$B$44,MAX(0,V235*$F$1),0),0)*RATES!$L212/12+$H$7*(PARAM!$D$51/12)*RATES!$N212/100</f>
        <v>14.505283723883231</v>
      </c>
      <c r="V236" s="16">
        <f t="shared" si="159"/>
        <v>625.95445067124103</v>
      </c>
      <c r="W236" s="15">
        <f t="shared" si="134"/>
        <v>22.170849845882874</v>
      </c>
      <c r="X236" s="75">
        <f>W236*(1-PARAM!$C$27)*$I$8+(MOD($B236,60)=PARAM!$B$56)*($B236&gt;(60-PARAM!$B$56))*HLOOKUP(($B236+PARAM!$B$56)/12,Loyalty,2)*$F$1*MAX(Z235,0)</f>
        <v>18.557001321003963</v>
      </c>
      <c r="Y236" s="75">
        <f>PARAM!$C$26+MAX($G$8-CHOOSE(PARAM!$B$44,MAX(0,Z235*$F$1),0),0)*RATES!$L212/12+$H$8*(PARAM!$D$51/12)*RATES!$N212/100</f>
        <v>14.505283723883231</v>
      </c>
      <c r="Z236" s="16">
        <f t="shared" si="160"/>
        <v>625.95445067124103</v>
      </c>
      <c r="AA236" s="15">
        <f t="shared" si="135"/>
        <v>22.170849845882874</v>
      </c>
      <c r="AB236" s="75">
        <f>AA236*(1-PARAM!$C$27)*$I$9+(MOD($B236,60)=PARAM!$B$56)*($B236&gt;(60-PARAM!$B$56))*HLOOKUP(($B236+PARAM!$B$56)/12,Loyalty,2)*$F$1*MAX(AD235,0)</f>
        <v>18.557001321003963</v>
      </c>
      <c r="AC236" s="75">
        <f>PARAM!$C$26+MAX($G$9-CHOOSE(PARAM!$B$44,MAX(0,AD235*$F$1),0),0)*RATES!$L212/12+$H$9*(PARAM!$D$51/12)*RATES!$N212/100</f>
        <v>14.505283723883231</v>
      </c>
      <c r="AD236" s="16">
        <f t="shared" si="161"/>
        <v>625.95445067124103</v>
      </c>
      <c r="AE236" s="15">
        <f t="shared" si="136"/>
        <v>22.170849845882874</v>
      </c>
      <c r="AF236" s="75">
        <f>AE236*(1-PARAM!$C$27)*$I$10+(MOD($B236,60)=PARAM!$B$56)*($B236&gt;(60-PARAM!$B$56))*HLOOKUP(($B236+PARAM!$B$56)/12,Loyalty,2)*$F$1*MAX(AH235,0)</f>
        <v>18.557001321003963</v>
      </c>
      <c r="AG236" s="75">
        <f>PARAM!$C$26+MAX($G$10-CHOOSE(PARAM!$B$44,MAX(0,AH235*$F$1),0),0)*RATES!$L212/12+$H$10*(PARAM!$D$51/12)*RATES!$N212/100</f>
        <v>14.505283723883231</v>
      </c>
      <c r="AH236" s="16">
        <f t="shared" si="162"/>
        <v>625.95445067124103</v>
      </c>
      <c r="AI236" s="15">
        <f t="shared" si="137"/>
        <v>22.170849845882874</v>
      </c>
      <c r="AJ236" s="75">
        <f>AI236*(1-PARAM!$C$27)*$I$11+(MOD($B236,60)=PARAM!$B$56)*($B236&gt;(60-PARAM!$B$56))*HLOOKUP(($B236+PARAM!$B$56)/12,Loyalty,2)*$F$1*MAX(AL235,0)</f>
        <v>18.557001321003963</v>
      </c>
      <c r="AK236" s="75">
        <f>PARAM!$C$26+MAX($G$11-CHOOSE(PARAM!$B$44,MAX(0,AL235*$F$1),0),0)*RATES!$L212/12+$H$11*(PARAM!$D$51/12)*RATES!$N212/100</f>
        <v>14.505283723883231</v>
      </c>
      <c r="AL236" s="16">
        <f t="shared" si="163"/>
        <v>625.95445067124103</v>
      </c>
      <c r="AM236" s="15">
        <f t="shared" si="138"/>
        <v>22.170849845882874</v>
      </c>
      <c r="AN236" s="75">
        <f>AM236*(1-PARAM!$C$27)*$I$12+(MOD($B236,60)=PARAM!$B$56)*($B236&gt;(60-PARAM!$B$56))*HLOOKUP(($B236+PARAM!$B$56)/12,Loyalty,2)*$F$1*MAX(AP235,0)</f>
        <v>18.557001321003963</v>
      </c>
      <c r="AO236" s="75">
        <f>PARAM!$C$26+MAX($G$12-CHOOSE(PARAM!$B$44,MAX(0,AP235*$F$1),0),0)*RATES!$L212/12+$H$12*(PARAM!$D$51/12)*RATES!$N212/100</f>
        <v>14.505283723883231</v>
      </c>
      <c r="AP236" s="16">
        <f t="shared" si="164"/>
        <v>625.95445067124103</v>
      </c>
      <c r="AQ236" s="15">
        <f t="shared" si="139"/>
        <v>22.170849845882874</v>
      </c>
      <c r="AR236" s="75">
        <f>AQ236*(1-PARAM!$C$27)*$I$13+(MOD($B236,60)=PARAM!$B$56)*($B236&gt;(60-PARAM!$B$56))*HLOOKUP(($B236+PARAM!$B$56)/12,Loyalty,2)*$F$1*MAX(AT235,0)</f>
        <v>18.557001321003963</v>
      </c>
      <c r="AS236" s="75">
        <f>PARAM!$C$26+MAX($G$13-CHOOSE(PARAM!$B$44,MAX(0,AT235*$F$1),0),0)*RATES!$L212/12+$H$13*(PARAM!$D$51/12)*RATES!$N212/100</f>
        <v>14.505283723883231</v>
      </c>
      <c r="AT236" s="16">
        <f t="shared" si="165"/>
        <v>625.95445067124103</v>
      </c>
      <c r="AU236" s="15">
        <f t="shared" si="140"/>
        <v>22.170849845882874</v>
      </c>
      <c r="AV236" s="75">
        <f>AU236*(1-PARAM!$C$27)*$I$14+(MOD($B236,60)=PARAM!$B$56)*($B236&gt;(60-PARAM!$B$56))*HLOOKUP(($B236+PARAM!$B$56)/12,Loyalty,2)*$F$1*MAX(AX235,0)</f>
        <v>18.557001321003963</v>
      </c>
      <c r="AW236" s="75">
        <f>PARAM!$C$26+MAX($G$14-CHOOSE(PARAM!$B$44,MAX(0,AX235*$F$1),0),0)*RATES!$L212/12+$H$14*(PARAM!$D$51/12)*RATES!$N212/100</f>
        <v>14.505283723883231</v>
      </c>
      <c r="AX236" s="16">
        <f t="shared" si="166"/>
        <v>625.95445067124103</v>
      </c>
      <c r="AY236" s="15">
        <f t="shared" si="141"/>
        <v>22.170849845882874</v>
      </c>
      <c r="AZ236" s="75">
        <f>AY236*(1-PARAM!$C$27)*$I$15+(MOD($B236,60)=PARAM!$B$56)*($B236&gt;(60-PARAM!$B$56))*HLOOKUP(($B236+PARAM!$B$56)/12,Loyalty,2)*$F$1*MAX(BB235,0)</f>
        <v>18.557001321003963</v>
      </c>
      <c r="BA236" s="75">
        <f>PARAM!$C$26+MAX($G$15-CHOOSE(PARAM!$B$44,MAX(0,BB235*$F$1),0),0)*RATES!$L212/12+$H$15*(PARAM!$D$51/12)*RATES!$N212/100</f>
        <v>14.505283723883231</v>
      </c>
      <c r="BB236" s="16">
        <f t="shared" si="167"/>
        <v>625.95445067124103</v>
      </c>
      <c r="BC236" s="15">
        <f t="shared" si="142"/>
        <v>22.170849845882874</v>
      </c>
      <c r="BD236" s="75">
        <f>BC236*(1-PARAM!$C$27)*$I$16+(MOD($B236,60)=PARAM!$B$56)*($B236&gt;(60-PARAM!$B$56))*HLOOKUP(($B236+PARAM!$B$56)/12,Loyalty,2)*$F$1*MAX(BF235,0)</f>
        <v>18.557001321003963</v>
      </c>
      <c r="BE236" s="75">
        <f>PARAM!$C$26+MAX($G$16-CHOOSE(PARAM!$B$44,MAX(0,BF235*$F$1),0),0)*RATES!$L212/12+$H$16*(PARAM!$D$51/12)*RATES!$N212/100</f>
        <v>14.505283723883231</v>
      </c>
      <c r="BF236" s="16">
        <f t="shared" si="168"/>
        <v>625.95445067124103</v>
      </c>
      <c r="BG236" s="15">
        <f t="shared" si="143"/>
        <v>22.170849845882874</v>
      </c>
      <c r="BH236" s="75">
        <f>BG236*(1-PARAM!$C$27)*$I$17+(MOD($B236,60)=PARAM!$B$56)*($B236&gt;(60-PARAM!$B$56))*HLOOKUP(($B236+PARAM!$B$56)/12,Loyalty,2)*$F$1*MAX(BJ235,0)</f>
        <v>18.557001321003963</v>
      </c>
      <c r="BI236" s="75">
        <f>PARAM!$C$26+MAX($G$17-CHOOSE(PARAM!$B$44,MAX(0,BJ235*$F$1),0),0)*RATES!$L212/12+$H$17*(PARAM!$D$51/12)*RATES!$N212/100</f>
        <v>14.505283723883231</v>
      </c>
      <c r="BJ236" s="16">
        <f t="shared" si="169"/>
        <v>625.95445067124103</v>
      </c>
      <c r="BK236" s="15">
        <f t="shared" si="144"/>
        <v>22.170849845882874</v>
      </c>
      <c r="BL236" s="75">
        <f>BK236*(1-PARAM!$C$27)*$I$18+(MOD($B236,60)=PARAM!$B$56)*($B236&gt;(60-PARAM!$B$56))*HLOOKUP(($B236+PARAM!$B$56)/12,Loyalty,2)*$F$1*MAX(BN235,0)</f>
        <v>18.557001321003963</v>
      </c>
      <c r="BM236" s="75">
        <f>PARAM!$C$26+MAX($G$18-CHOOSE(PARAM!$B$44,MAX(0,BN235*$F$1),0),0)*RATES!$L212/12+$H$18*(PARAM!$D$51/12)*RATES!$N212/100</f>
        <v>14.505283723883231</v>
      </c>
      <c r="BN236" s="16">
        <f t="shared" si="170"/>
        <v>625.95445067124103</v>
      </c>
      <c r="BO236" s="15">
        <f t="shared" si="145"/>
        <v>22.170849845882874</v>
      </c>
      <c r="BP236" s="75">
        <f>BO236*(1-PARAM!$C$27)*$I$19+(MOD($B236,60)=PARAM!$B$56)*($B236&gt;(60-PARAM!$B$56))*HLOOKUP(($B236+PARAM!$B$56)/12,Loyalty,2)*$F$1*MAX(BR235,0)</f>
        <v>18.557001321003963</v>
      </c>
      <c r="BQ236" s="75">
        <f>PARAM!$C$26+MAX($G$19-CHOOSE(PARAM!$B$44,MAX(0,BR235*$F$1),0),0)*RATES!$L212/12+$H$19*(PARAM!$D$51/12)*RATES!$N212/100</f>
        <v>14.505283723883231</v>
      </c>
      <c r="BR236" s="16">
        <f t="shared" si="171"/>
        <v>625.95445067124103</v>
      </c>
      <c r="BS236" s="15">
        <f t="shared" si="146"/>
        <v>22.170849845882874</v>
      </c>
      <c r="BT236" s="75">
        <f>BS236*(1-PARAM!$C$27)*$I$20+(MOD($B236,60)=PARAM!$B$56)*($B236&gt;(60-PARAM!$B$56))*HLOOKUP(($B236+PARAM!$B$56)/12,Loyalty,2)*$F$1*MAX(BV235,0)</f>
        <v>18.557001321003963</v>
      </c>
      <c r="BU236" s="75">
        <f>PARAM!$C$26+MAX($G$20-CHOOSE(PARAM!$B$44,MAX(0,BV235*$F$1),0),0)*RATES!$L212/12+$H$20*(PARAM!$D$51/12)*RATES!$N212/100</f>
        <v>14.505283723883231</v>
      </c>
      <c r="BV236" s="16">
        <f t="shared" si="172"/>
        <v>625.95445067124103</v>
      </c>
      <c r="BW236" s="15">
        <f t="shared" si="147"/>
        <v>22.170849845882874</v>
      </c>
      <c r="BX236" s="75">
        <f>BW236*(1-PARAM!$C$27)*$I$21+(MOD($B236,60)=PARAM!$B$56)*($B236&gt;(60-PARAM!$B$56))*HLOOKUP(($B236+PARAM!$B$56)/12,Loyalty,2)*$F$1*MAX(BZ235,0)</f>
        <v>18.557001321003963</v>
      </c>
      <c r="BY236" s="75">
        <f>PARAM!$C$26+MAX($G$21-CHOOSE(PARAM!$B$44,MAX(0,BZ235*$F$1),0),0)*RATES!$L212/12+$H$21*(PARAM!$D$51/12)*RATES!$N212/100</f>
        <v>14.505283723883231</v>
      </c>
      <c r="BZ236" s="16">
        <f t="shared" si="173"/>
        <v>625.95445067124103</v>
      </c>
      <c r="CA236" s="15">
        <f t="shared" si="148"/>
        <v>22.170849845882874</v>
      </c>
      <c r="CB236" s="75">
        <f>CA236*(1-PARAM!$C$27)*$I$22+(MOD($B236,60)=PARAM!$B$56)*($B236&gt;(60-PARAM!$B$56))*HLOOKUP(($B236+PARAM!$B$56)/12,Loyalty,2)*$F$1*MAX(CD235,0)</f>
        <v>18.557001321003963</v>
      </c>
      <c r="CC236" s="75">
        <f>PARAM!$C$26+MAX($G$22-CHOOSE(PARAM!$B$44,MAX(0,CD235*$F$1),0),0)*RATES!$L212/12+$H$22*(PARAM!$D$51/12)*RATES!$N212/100</f>
        <v>14.505283723883231</v>
      </c>
      <c r="CD236" s="16">
        <f t="shared" si="174"/>
        <v>625.95445067124103</v>
      </c>
      <c r="CE236" s="33">
        <f>IF(0=MOD(B236,12/PARAM!$D$51),1,0)</f>
        <v>1</v>
      </c>
      <c r="CF236" s="15">
        <f t="shared" si="149"/>
        <v>0</v>
      </c>
      <c r="CG236" s="75">
        <f>CF236*(1-PARAM!$C$27)*$R$3+(MOD($B236/12,5)=0)*($B236&gt;60)*HLOOKUP($B236/12,Loyalty,2)*$F$1*MAX(CI235,0)</f>
        <v>0</v>
      </c>
      <c r="CH236" s="75">
        <f>PARAM!$C$26+MAX($P$3-CHOOSE(PARAM!$B$44,MAX(0,CI235*$F$1),0),0)*RATES!$L212/12+$Q$3*(PARAM!$D$51/12)*RATES!$N212/100</f>
        <v>14.625</v>
      </c>
      <c r="CI236" s="16">
        <f>IF(CI235&gt;0,CI235*PARAM!$C$53,CI235)+CG236-CH236</f>
        <v>-3076.9999999999968</v>
      </c>
      <c r="CJ236" s="15">
        <f t="shared" si="175"/>
        <v>0</v>
      </c>
      <c r="CK236" s="75">
        <f>CJ236*(1-PARAM!$C$27)*$R$4+(MOD($B236/12,5)=0)*($B236&gt;60)*HLOOKUP($B236/12,Loyalty,2)*$F$1*MAX(CM235,0)</f>
        <v>0</v>
      </c>
      <c r="CL236" s="75">
        <f>PARAM!$C$26+MAX($P$4-CHOOSE(PARAM!$B$44,MAX(0,CM235*$F$1),0),0)*RATES!$L212/12+$Q$4*(PARAM!$D$51/12)*RATES!$N212/100</f>
        <v>14.625</v>
      </c>
      <c r="CM236" s="16">
        <f>IF(CM235&gt;0,CM235*PARAM!$C$53,CM235)+CK236-CL236</f>
        <v>-3076.9999999999968</v>
      </c>
      <c r="CO236" s="176"/>
    </row>
    <row r="237" spans="1:93" x14ac:dyDescent="0.2">
      <c r="A237" t="b">
        <f t="shared" si="150"/>
        <v>1</v>
      </c>
      <c r="B237" s="33">
        <v>210</v>
      </c>
      <c r="C237" s="15">
        <f t="shared" si="151"/>
        <v>20.081305947392778</v>
      </c>
      <c r="D237" s="75">
        <f>C237*(1-PARAM!$C$27)*$I$3+(MOD($B237,60)=PARAM!$B$56)*($B237&gt;(60-PARAM!$B$56))*HLOOKUP(($B237+PARAM!$B$56)/12,Loyalty,2)*$F$1*MAX(F236,0)</f>
        <v>16.808053077967756</v>
      </c>
      <c r="E237" s="75">
        <f>PARAM!$C$26+MAX($G$3-CHOOSE(PARAM!$B$44,MAX(0,F236*$F$1),0),0)*RATES!$L213/12+$H$3*(PARAM!$D$51/12)*RATES!$N213/100</f>
        <v>15.734121764962993</v>
      </c>
      <c r="F237" s="16">
        <f t="shared" si="152"/>
        <v>267.69123650377526</v>
      </c>
      <c r="G237" s="15">
        <f t="shared" si="153"/>
        <v>22.035289406060361</v>
      </c>
      <c r="H237" s="75">
        <f>G237*(1-PARAM!$C$27)*$I$4+(MOD($B237,60)=PARAM!$B$56)*($B237&gt;(60-PARAM!$B$56))*HLOOKUP(($B237+PARAM!$B$56)/12,Loyalty,2)*$F$1*MAX(J236,0)</f>
        <v>18.443537232872522</v>
      </c>
      <c r="I237" s="75">
        <f>PARAM!$C$26+MAX($G$4-CHOOSE(PARAM!$B$44,MAX(0,J236*$F$1),0),0)*RATES!$L213/12+$H$4*(PARAM!$D$51/12)*RATES!$N213/100</f>
        <v>15.661599697480634</v>
      </c>
      <c r="J237" s="16">
        <f t="shared" si="154"/>
        <v>605.40882179499602</v>
      </c>
      <c r="K237" s="15">
        <f t="shared" si="155"/>
        <v>22.170849845882874</v>
      </c>
      <c r="L237" s="75">
        <f>K237*(1-PARAM!$C$27)*$I$5+(MOD($B237,60)=PARAM!$B$56)*($B237&gt;(60-PARAM!$B$56))*HLOOKUP(($B237+PARAM!$B$56)/12,Loyalty,2)*$F$1*MAX(N236,0)</f>
        <v>18.557001321003963</v>
      </c>
      <c r="M237" s="75">
        <f>PARAM!$C$26+MAX($G$5-CHOOSE(PARAM!$B$44,MAX(0,N236*$F$1),0),0)*RATES!$L213/12+$H$5*(PARAM!$D$51/12)*RATES!$N213/100</f>
        <v>15.656564831063458</v>
      </c>
      <c r="N237" s="16">
        <f t="shared" si="156"/>
        <v>628.85488716118164</v>
      </c>
      <c r="O237" s="15">
        <f t="shared" si="157"/>
        <v>22.170849845882874</v>
      </c>
      <c r="P237" s="75">
        <f>O237*(1-PARAM!$C$27)*$I$6+(MOD($B237,60)=PARAM!$B$56)*($B237&gt;(60-PARAM!$B$56))*HLOOKUP(($B237+PARAM!$B$56)/12,Loyalty,2)*$F$1*MAX(R236,0)</f>
        <v>18.557001321003963</v>
      </c>
      <c r="Q237" s="75">
        <f>PARAM!$C$26+MAX($G$6-CHOOSE(PARAM!$B$44,MAX(0,R236*$F$1),0),0)*RATES!$L213/12+$H$6*(PARAM!$D$51/12)*RATES!$N213/100</f>
        <v>15.656564831063458</v>
      </c>
      <c r="R237" s="16">
        <f t="shared" si="158"/>
        <v>628.85488716118164</v>
      </c>
      <c r="S237" s="15">
        <f t="shared" si="133"/>
        <v>22.170849845882874</v>
      </c>
      <c r="T237" s="75">
        <f>S237*(1-PARAM!$C$27)*$I$7+(MOD($B237,60)=PARAM!$B$56)*($B237&gt;(60-PARAM!$B$56))*HLOOKUP(($B237+PARAM!$B$56)/12,Loyalty,2)*$F$1*MAX(V236,0)</f>
        <v>18.557001321003963</v>
      </c>
      <c r="U237" s="75">
        <f>PARAM!$C$26+MAX($G$7-CHOOSE(PARAM!$B$44,MAX(0,V236*$F$1),0),0)*RATES!$L213/12+$H$7*(PARAM!$D$51/12)*RATES!$N213/100</f>
        <v>15.656564831063458</v>
      </c>
      <c r="V237" s="16">
        <f t="shared" si="159"/>
        <v>628.85488716118164</v>
      </c>
      <c r="W237" s="15">
        <f t="shared" si="134"/>
        <v>22.170849845882874</v>
      </c>
      <c r="X237" s="75">
        <f>W237*(1-PARAM!$C$27)*$I$8+(MOD($B237,60)=PARAM!$B$56)*($B237&gt;(60-PARAM!$B$56))*HLOOKUP(($B237+PARAM!$B$56)/12,Loyalty,2)*$F$1*MAX(Z236,0)</f>
        <v>18.557001321003963</v>
      </c>
      <c r="Y237" s="75">
        <f>PARAM!$C$26+MAX($G$8-CHOOSE(PARAM!$B$44,MAX(0,Z236*$F$1),0),0)*RATES!$L213/12+$H$8*(PARAM!$D$51/12)*RATES!$N213/100</f>
        <v>15.656564831063458</v>
      </c>
      <c r="Z237" s="16">
        <f t="shared" si="160"/>
        <v>628.85488716118164</v>
      </c>
      <c r="AA237" s="15">
        <f t="shared" si="135"/>
        <v>22.170849845882874</v>
      </c>
      <c r="AB237" s="75">
        <f>AA237*(1-PARAM!$C$27)*$I$9+(MOD($B237,60)=PARAM!$B$56)*($B237&gt;(60-PARAM!$B$56))*HLOOKUP(($B237+PARAM!$B$56)/12,Loyalty,2)*$F$1*MAX(AD236,0)</f>
        <v>18.557001321003963</v>
      </c>
      <c r="AC237" s="75">
        <f>PARAM!$C$26+MAX($G$9-CHOOSE(PARAM!$B$44,MAX(0,AD236*$F$1),0),0)*RATES!$L213/12+$H$9*(PARAM!$D$51/12)*RATES!$N213/100</f>
        <v>15.656564831063458</v>
      </c>
      <c r="AD237" s="16">
        <f t="shared" si="161"/>
        <v>628.85488716118164</v>
      </c>
      <c r="AE237" s="15">
        <f t="shared" si="136"/>
        <v>22.170849845882874</v>
      </c>
      <c r="AF237" s="75">
        <f>AE237*(1-PARAM!$C$27)*$I$10+(MOD($B237,60)=PARAM!$B$56)*($B237&gt;(60-PARAM!$B$56))*HLOOKUP(($B237+PARAM!$B$56)/12,Loyalty,2)*$F$1*MAX(AH236,0)</f>
        <v>18.557001321003963</v>
      </c>
      <c r="AG237" s="75">
        <f>PARAM!$C$26+MAX($G$10-CHOOSE(PARAM!$B$44,MAX(0,AH236*$F$1),0),0)*RATES!$L213/12+$H$10*(PARAM!$D$51/12)*RATES!$N213/100</f>
        <v>15.656564831063458</v>
      </c>
      <c r="AH237" s="16">
        <f t="shared" si="162"/>
        <v>628.85488716118164</v>
      </c>
      <c r="AI237" s="15">
        <f t="shared" si="137"/>
        <v>22.170849845882874</v>
      </c>
      <c r="AJ237" s="75">
        <f>AI237*(1-PARAM!$C$27)*$I$11+(MOD($B237,60)=PARAM!$B$56)*($B237&gt;(60-PARAM!$B$56))*HLOOKUP(($B237+PARAM!$B$56)/12,Loyalty,2)*$F$1*MAX(AL236,0)</f>
        <v>18.557001321003963</v>
      </c>
      <c r="AK237" s="75">
        <f>PARAM!$C$26+MAX($G$11-CHOOSE(PARAM!$B$44,MAX(0,AL236*$F$1),0),0)*RATES!$L213/12+$H$11*(PARAM!$D$51/12)*RATES!$N213/100</f>
        <v>15.656564831063458</v>
      </c>
      <c r="AL237" s="16">
        <f t="shared" si="163"/>
        <v>628.85488716118164</v>
      </c>
      <c r="AM237" s="15">
        <f t="shared" si="138"/>
        <v>22.170849845882874</v>
      </c>
      <c r="AN237" s="75">
        <f>AM237*(1-PARAM!$C$27)*$I$12+(MOD($B237,60)=PARAM!$B$56)*($B237&gt;(60-PARAM!$B$56))*HLOOKUP(($B237+PARAM!$B$56)/12,Loyalty,2)*$F$1*MAX(AP236,0)</f>
        <v>18.557001321003963</v>
      </c>
      <c r="AO237" s="75">
        <f>PARAM!$C$26+MAX($G$12-CHOOSE(PARAM!$B$44,MAX(0,AP236*$F$1),0),0)*RATES!$L213/12+$H$12*(PARAM!$D$51/12)*RATES!$N213/100</f>
        <v>15.656564831063458</v>
      </c>
      <c r="AP237" s="16">
        <f t="shared" si="164"/>
        <v>628.85488716118164</v>
      </c>
      <c r="AQ237" s="15">
        <f t="shared" si="139"/>
        <v>22.170849845882874</v>
      </c>
      <c r="AR237" s="75">
        <f>AQ237*(1-PARAM!$C$27)*$I$13+(MOD($B237,60)=PARAM!$B$56)*($B237&gt;(60-PARAM!$B$56))*HLOOKUP(($B237+PARAM!$B$56)/12,Loyalty,2)*$F$1*MAX(AT236,0)</f>
        <v>18.557001321003963</v>
      </c>
      <c r="AS237" s="75">
        <f>PARAM!$C$26+MAX($G$13-CHOOSE(PARAM!$B$44,MAX(0,AT236*$F$1),0),0)*RATES!$L213/12+$H$13*(PARAM!$D$51/12)*RATES!$N213/100</f>
        <v>15.656564831063458</v>
      </c>
      <c r="AT237" s="16">
        <f t="shared" si="165"/>
        <v>628.85488716118164</v>
      </c>
      <c r="AU237" s="15">
        <f t="shared" si="140"/>
        <v>22.170849845882874</v>
      </c>
      <c r="AV237" s="75">
        <f>AU237*(1-PARAM!$C$27)*$I$14+(MOD($B237,60)=PARAM!$B$56)*($B237&gt;(60-PARAM!$B$56))*HLOOKUP(($B237+PARAM!$B$56)/12,Loyalty,2)*$F$1*MAX(AX236,0)</f>
        <v>18.557001321003963</v>
      </c>
      <c r="AW237" s="75">
        <f>PARAM!$C$26+MAX($G$14-CHOOSE(PARAM!$B$44,MAX(0,AX236*$F$1),0),0)*RATES!$L213/12+$H$14*(PARAM!$D$51/12)*RATES!$N213/100</f>
        <v>15.656564831063458</v>
      </c>
      <c r="AX237" s="16">
        <f t="shared" si="166"/>
        <v>628.85488716118164</v>
      </c>
      <c r="AY237" s="15">
        <f t="shared" si="141"/>
        <v>22.170849845882874</v>
      </c>
      <c r="AZ237" s="75">
        <f>AY237*(1-PARAM!$C$27)*$I$15+(MOD($B237,60)=PARAM!$B$56)*($B237&gt;(60-PARAM!$B$56))*HLOOKUP(($B237+PARAM!$B$56)/12,Loyalty,2)*$F$1*MAX(BB236,0)</f>
        <v>18.557001321003963</v>
      </c>
      <c r="BA237" s="75">
        <f>PARAM!$C$26+MAX($G$15-CHOOSE(PARAM!$B$44,MAX(0,BB236*$F$1),0),0)*RATES!$L213/12+$H$15*(PARAM!$D$51/12)*RATES!$N213/100</f>
        <v>15.656564831063458</v>
      </c>
      <c r="BB237" s="16">
        <f t="shared" si="167"/>
        <v>628.85488716118164</v>
      </c>
      <c r="BC237" s="15">
        <f t="shared" si="142"/>
        <v>22.170849845882874</v>
      </c>
      <c r="BD237" s="75">
        <f>BC237*(1-PARAM!$C$27)*$I$16+(MOD($B237,60)=PARAM!$B$56)*($B237&gt;(60-PARAM!$B$56))*HLOOKUP(($B237+PARAM!$B$56)/12,Loyalty,2)*$F$1*MAX(BF236,0)</f>
        <v>18.557001321003963</v>
      </c>
      <c r="BE237" s="75">
        <f>PARAM!$C$26+MAX($G$16-CHOOSE(PARAM!$B$44,MAX(0,BF236*$F$1),0),0)*RATES!$L213/12+$H$16*(PARAM!$D$51/12)*RATES!$N213/100</f>
        <v>15.656564831063458</v>
      </c>
      <c r="BF237" s="16">
        <f t="shared" si="168"/>
        <v>628.85488716118164</v>
      </c>
      <c r="BG237" s="15">
        <f t="shared" si="143"/>
        <v>22.170849845882874</v>
      </c>
      <c r="BH237" s="75">
        <f>BG237*(1-PARAM!$C$27)*$I$17+(MOD($B237,60)=PARAM!$B$56)*($B237&gt;(60-PARAM!$B$56))*HLOOKUP(($B237+PARAM!$B$56)/12,Loyalty,2)*$F$1*MAX(BJ236,0)</f>
        <v>18.557001321003963</v>
      </c>
      <c r="BI237" s="75">
        <f>PARAM!$C$26+MAX($G$17-CHOOSE(PARAM!$B$44,MAX(0,BJ236*$F$1),0),0)*RATES!$L213/12+$H$17*(PARAM!$D$51/12)*RATES!$N213/100</f>
        <v>15.656564831063458</v>
      </c>
      <c r="BJ237" s="16">
        <f t="shared" si="169"/>
        <v>628.85488716118164</v>
      </c>
      <c r="BK237" s="15">
        <f t="shared" si="144"/>
        <v>22.170849845882874</v>
      </c>
      <c r="BL237" s="75">
        <f>BK237*(1-PARAM!$C$27)*$I$18+(MOD($B237,60)=PARAM!$B$56)*($B237&gt;(60-PARAM!$B$56))*HLOOKUP(($B237+PARAM!$B$56)/12,Loyalty,2)*$F$1*MAX(BN236,0)</f>
        <v>18.557001321003963</v>
      </c>
      <c r="BM237" s="75">
        <f>PARAM!$C$26+MAX($G$18-CHOOSE(PARAM!$B$44,MAX(0,BN236*$F$1),0),0)*RATES!$L213/12+$H$18*(PARAM!$D$51/12)*RATES!$N213/100</f>
        <v>15.656564831063458</v>
      </c>
      <c r="BN237" s="16">
        <f t="shared" si="170"/>
        <v>628.85488716118164</v>
      </c>
      <c r="BO237" s="15">
        <f t="shared" si="145"/>
        <v>22.170849845882874</v>
      </c>
      <c r="BP237" s="75">
        <f>BO237*(1-PARAM!$C$27)*$I$19+(MOD($B237,60)=PARAM!$B$56)*($B237&gt;(60-PARAM!$B$56))*HLOOKUP(($B237+PARAM!$B$56)/12,Loyalty,2)*$F$1*MAX(BR236,0)</f>
        <v>18.557001321003963</v>
      </c>
      <c r="BQ237" s="75">
        <f>PARAM!$C$26+MAX($G$19-CHOOSE(PARAM!$B$44,MAX(0,BR236*$F$1),0),0)*RATES!$L213/12+$H$19*(PARAM!$D$51/12)*RATES!$N213/100</f>
        <v>15.656564831063458</v>
      </c>
      <c r="BR237" s="16">
        <f t="shared" si="171"/>
        <v>628.85488716118164</v>
      </c>
      <c r="BS237" s="15">
        <f t="shared" si="146"/>
        <v>22.170849845882874</v>
      </c>
      <c r="BT237" s="75">
        <f>BS237*(1-PARAM!$C$27)*$I$20+(MOD($B237,60)=PARAM!$B$56)*($B237&gt;(60-PARAM!$B$56))*HLOOKUP(($B237+PARAM!$B$56)/12,Loyalty,2)*$F$1*MAX(BV236,0)</f>
        <v>18.557001321003963</v>
      </c>
      <c r="BU237" s="75">
        <f>PARAM!$C$26+MAX($G$20-CHOOSE(PARAM!$B$44,MAX(0,BV236*$F$1),0),0)*RATES!$L213/12+$H$20*(PARAM!$D$51/12)*RATES!$N213/100</f>
        <v>15.656564831063458</v>
      </c>
      <c r="BV237" s="16">
        <f t="shared" si="172"/>
        <v>628.85488716118164</v>
      </c>
      <c r="BW237" s="15">
        <f t="shared" si="147"/>
        <v>22.170849845882874</v>
      </c>
      <c r="BX237" s="75">
        <f>BW237*(1-PARAM!$C$27)*$I$21+(MOD($B237,60)=PARAM!$B$56)*($B237&gt;(60-PARAM!$B$56))*HLOOKUP(($B237+PARAM!$B$56)/12,Loyalty,2)*$F$1*MAX(BZ236,0)</f>
        <v>18.557001321003963</v>
      </c>
      <c r="BY237" s="75">
        <f>PARAM!$C$26+MAX($G$21-CHOOSE(PARAM!$B$44,MAX(0,BZ236*$F$1),0),0)*RATES!$L213/12+$H$21*(PARAM!$D$51/12)*RATES!$N213/100</f>
        <v>15.656564831063458</v>
      </c>
      <c r="BZ237" s="16">
        <f t="shared" si="173"/>
        <v>628.85488716118164</v>
      </c>
      <c r="CA237" s="15">
        <f t="shared" si="148"/>
        <v>22.170849845882874</v>
      </c>
      <c r="CB237" s="75">
        <f>CA237*(1-PARAM!$C$27)*$I$22+(MOD($B237,60)=PARAM!$B$56)*($B237&gt;(60-PARAM!$B$56))*HLOOKUP(($B237+PARAM!$B$56)/12,Loyalty,2)*$F$1*MAX(CD236,0)</f>
        <v>18.557001321003963</v>
      </c>
      <c r="CC237" s="75">
        <f>PARAM!$C$26+MAX($G$22-CHOOSE(PARAM!$B$44,MAX(0,CD236*$F$1),0),0)*RATES!$L213/12+$H$22*(PARAM!$D$51/12)*RATES!$N213/100</f>
        <v>15.656564831063458</v>
      </c>
      <c r="CD237" s="16">
        <f t="shared" si="174"/>
        <v>628.85488716118164</v>
      </c>
      <c r="CE237" s="33">
        <f>IF(0=MOD(B237,12/PARAM!$D$51),1,0)</f>
        <v>1</v>
      </c>
      <c r="CF237" s="15">
        <f t="shared" si="149"/>
        <v>0</v>
      </c>
      <c r="CG237" s="75">
        <f>CF237*(1-PARAM!$C$27)*$R$3+(MOD($B237/12,5)=0)*($B237&gt;60)*HLOOKUP($B237/12,Loyalty,2)*$F$1*MAX(CI236,0)</f>
        <v>0</v>
      </c>
      <c r="CH237" s="75">
        <f>PARAM!$C$26+MAX($P$3-CHOOSE(PARAM!$B$44,MAX(0,CI236*$F$1),0),0)*RATES!$L213/12+$Q$3*(PARAM!$D$51/12)*RATES!$N213/100</f>
        <v>15.791666666666666</v>
      </c>
      <c r="CI237" s="16">
        <f>IF(CI236&gt;0,CI236*PARAM!$C$53,CI236)+CG237-CH237</f>
        <v>-3092.7916666666633</v>
      </c>
      <c r="CJ237" s="15">
        <f t="shared" si="175"/>
        <v>0</v>
      </c>
      <c r="CK237" s="75">
        <f>CJ237*(1-PARAM!$C$27)*$R$4+(MOD($B237/12,5)=0)*($B237&gt;60)*HLOOKUP($B237/12,Loyalty,2)*$F$1*MAX(CM236,0)</f>
        <v>0</v>
      </c>
      <c r="CL237" s="75">
        <f>PARAM!$C$26+MAX($P$4-CHOOSE(PARAM!$B$44,MAX(0,CM236*$F$1),0),0)*RATES!$L213/12+$Q$4*(PARAM!$D$51/12)*RATES!$N213/100</f>
        <v>15.791666666666666</v>
      </c>
      <c r="CM237" s="16">
        <f>IF(CM236&gt;0,CM236*PARAM!$C$53,CM236)+CK237-CL237</f>
        <v>-3092.7916666666633</v>
      </c>
      <c r="CO237" s="176"/>
    </row>
    <row r="238" spans="1:93" x14ac:dyDescent="0.2">
      <c r="A238" t="b">
        <f t="shared" si="150"/>
        <v>1</v>
      </c>
      <c r="B238" s="33">
        <v>211</v>
      </c>
      <c r="C238" s="15">
        <f t="shared" si="151"/>
        <v>20.081305947392778</v>
      </c>
      <c r="D238" s="75">
        <f>C238*(1-PARAM!$C$27)*$I$3+(MOD($B238,60)=PARAM!$B$56)*($B238&gt;(60-PARAM!$B$56))*HLOOKUP(($B238+PARAM!$B$56)/12,Loyalty,2)*$F$1*MAX(F237,0)</f>
        <v>16.808053077967756</v>
      </c>
      <c r="E238" s="75">
        <f>PARAM!$C$26+MAX($G$3-CHOOSE(PARAM!$B$44,MAX(0,F237*$F$1),0),0)*RATES!$L214/12+$H$3*(PARAM!$D$51/12)*RATES!$N214/100</f>
        <v>15.733889974787933</v>
      </c>
      <c r="F238" s="16">
        <f t="shared" si="152"/>
        <v>268.7653996069551</v>
      </c>
      <c r="G238" s="15">
        <f t="shared" si="153"/>
        <v>22.035289406060361</v>
      </c>
      <c r="H238" s="75">
        <f>G238*(1-PARAM!$C$27)*$I$4+(MOD($B238,60)=PARAM!$B$56)*($B238&gt;(60-PARAM!$B$56))*HLOOKUP(($B238+PARAM!$B$56)/12,Loyalty,2)*$F$1*MAX(J237,0)</f>
        <v>18.443537232872522</v>
      </c>
      <c r="I238" s="75">
        <f>PARAM!$C$26+MAX($G$4-CHOOSE(PARAM!$B$44,MAX(0,J237*$F$1),0),0)*RATES!$L214/12+$H$4*(PARAM!$D$51/12)*RATES!$N214/100</f>
        <v>15.660999262629245</v>
      </c>
      <c r="J238" s="16">
        <f t="shared" si="154"/>
        <v>608.19135976523921</v>
      </c>
      <c r="K238" s="15">
        <f t="shared" si="155"/>
        <v>22.170849845882874</v>
      </c>
      <c r="L238" s="75">
        <f>K238*(1-PARAM!$C$27)*$I$5+(MOD($B238,60)=PARAM!$B$56)*($B238&gt;(60-PARAM!$B$56))*HLOOKUP(($B238+PARAM!$B$56)/12,Loyalty,2)*$F$1*MAX(N237,0)</f>
        <v>18.557001321003963</v>
      </c>
      <c r="M238" s="75">
        <f>PARAM!$C$26+MAX($G$5-CHOOSE(PARAM!$B$44,MAX(0,N237*$F$1),0),0)*RATES!$L214/12+$H$5*(PARAM!$D$51/12)*RATES!$N214/100</f>
        <v>15.655938820187712</v>
      </c>
      <c r="N238" s="16">
        <f t="shared" si="156"/>
        <v>631.75594966199799</v>
      </c>
      <c r="O238" s="15">
        <f t="shared" si="157"/>
        <v>22.170849845882874</v>
      </c>
      <c r="P238" s="75">
        <f>O238*(1-PARAM!$C$27)*$I$6+(MOD($B238,60)=PARAM!$B$56)*($B238&gt;(60-PARAM!$B$56))*HLOOKUP(($B238+PARAM!$B$56)/12,Loyalty,2)*$F$1*MAX(R237,0)</f>
        <v>18.557001321003963</v>
      </c>
      <c r="Q238" s="75">
        <f>PARAM!$C$26+MAX($G$6-CHOOSE(PARAM!$B$44,MAX(0,R237*$F$1),0),0)*RATES!$L214/12+$H$6*(PARAM!$D$51/12)*RATES!$N214/100</f>
        <v>15.655938820187712</v>
      </c>
      <c r="R238" s="16">
        <f t="shared" si="158"/>
        <v>631.75594966199799</v>
      </c>
      <c r="S238" s="15">
        <f t="shared" si="133"/>
        <v>22.170849845882874</v>
      </c>
      <c r="T238" s="75">
        <f>S238*(1-PARAM!$C$27)*$I$7+(MOD($B238,60)=PARAM!$B$56)*($B238&gt;(60-PARAM!$B$56))*HLOOKUP(($B238+PARAM!$B$56)/12,Loyalty,2)*$F$1*MAX(V237,0)</f>
        <v>18.557001321003963</v>
      </c>
      <c r="U238" s="75">
        <f>PARAM!$C$26+MAX($G$7-CHOOSE(PARAM!$B$44,MAX(0,V237*$F$1),0),0)*RATES!$L214/12+$H$7*(PARAM!$D$51/12)*RATES!$N214/100</f>
        <v>15.655938820187712</v>
      </c>
      <c r="V238" s="16">
        <f t="shared" si="159"/>
        <v>631.75594966199799</v>
      </c>
      <c r="W238" s="15">
        <f t="shared" si="134"/>
        <v>22.170849845882874</v>
      </c>
      <c r="X238" s="75">
        <f>W238*(1-PARAM!$C$27)*$I$8+(MOD($B238,60)=PARAM!$B$56)*($B238&gt;(60-PARAM!$B$56))*HLOOKUP(($B238+PARAM!$B$56)/12,Loyalty,2)*$F$1*MAX(Z237,0)</f>
        <v>18.557001321003963</v>
      </c>
      <c r="Y238" s="75">
        <f>PARAM!$C$26+MAX($G$8-CHOOSE(PARAM!$B$44,MAX(0,Z237*$F$1),0),0)*RATES!$L214/12+$H$8*(PARAM!$D$51/12)*RATES!$N214/100</f>
        <v>15.655938820187712</v>
      </c>
      <c r="Z238" s="16">
        <f t="shared" si="160"/>
        <v>631.75594966199799</v>
      </c>
      <c r="AA238" s="15">
        <f t="shared" si="135"/>
        <v>22.170849845882874</v>
      </c>
      <c r="AB238" s="75">
        <f>AA238*(1-PARAM!$C$27)*$I$9+(MOD($B238,60)=PARAM!$B$56)*($B238&gt;(60-PARAM!$B$56))*HLOOKUP(($B238+PARAM!$B$56)/12,Loyalty,2)*$F$1*MAX(AD237,0)</f>
        <v>18.557001321003963</v>
      </c>
      <c r="AC238" s="75">
        <f>PARAM!$C$26+MAX($G$9-CHOOSE(PARAM!$B$44,MAX(0,AD237*$F$1),0),0)*RATES!$L214/12+$H$9*(PARAM!$D$51/12)*RATES!$N214/100</f>
        <v>15.655938820187712</v>
      </c>
      <c r="AD238" s="16">
        <f t="shared" si="161"/>
        <v>631.75594966199799</v>
      </c>
      <c r="AE238" s="15">
        <f t="shared" si="136"/>
        <v>22.170849845882874</v>
      </c>
      <c r="AF238" s="75">
        <f>AE238*(1-PARAM!$C$27)*$I$10+(MOD($B238,60)=PARAM!$B$56)*($B238&gt;(60-PARAM!$B$56))*HLOOKUP(($B238+PARAM!$B$56)/12,Loyalty,2)*$F$1*MAX(AH237,0)</f>
        <v>18.557001321003963</v>
      </c>
      <c r="AG238" s="75">
        <f>PARAM!$C$26+MAX($G$10-CHOOSE(PARAM!$B$44,MAX(0,AH237*$F$1),0),0)*RATES!$L214/12+$H$10*(PARAM!$D$51/12)*RATES!$N214/100</f>
        <v>15.655938820187712</v>
      </c>
      <c r="AH238" s="16">
        <f t="shared" si="162"/>
        <v>631.75594966199799</v>
      </c>
      <c r="AI238" s="15">
        <f t="shared" si="137"/>
        <v>22.170849845882874</v>
      </c>
      <c r="AJ238" s="75">
        <f>AI238*(1-PARAM!$C$27)*$I$11+(MOD($B238,60)=PARAM!$B$56)*($B238&gt;(60-PARAM!$B$56))*HLOOKUP(($B238+PARAM!$B$56)/12,Loyalty,2)*$F$1*MAX(AL237,0)</f>
        <v>18.557001321003963</v>
      </c>
      <c r="AK238" s="75">
        <f>PARAM!$C$26+MAX($G$11-CHOOSE(PARAM!$B$44,MAX(0,AL237*$F$1),0),0)*RATES!$L214/12+$H$11*(PARAM!$D$51/12)*RATES!$N214/100</f>
        <v>15.655938820187712</v>
      </c>
      <c r="AL238" s="16">
        <f t="shared" si="163"/>
        <v>631.75594966199799</v>
      </c>
      <c r="AM238" s="15">
        <f t="shared" si="138"/>
        <v>22.170849845882874</v>
      </c>
      <c r="AN238" s="75">
        <f>AM238*(1-PARAM!$C$27)*$I$12+(MOD($B238,60)=PARAM!$B$56)*($B238&gt;(60-PARAM!$B$56))*HLOOKUP(($B238+PARAM!$B$56)/12,Loyalty,2)*$F$1*MAX(AP237,0)</f>
        <v>18.557001321003963</v>
      </c>
      <c r="AO238" s="75">
        <f>PARAM!$C$26+MAX($G$12-CHOOSE(PARAM!$B$44,MAX(0,AP237*$F$1),0),0)*RATES!$L214/12+$H$12*(PARAM!$D$51/12)*RATES!$N214/100</f>
        <v>15.655938820187712</v>
      </c>
      <c r="AP238" s="16">
        <f t="shared" si="164"/>
        <v>631.75594966199799</v>
      </c>
      <c r="AQ238" s="15">
        <f t="shared" si="139"/>
        <v>22.170849845882874</v>
      </c>
      <c r="AR238" s="75">
        <f>AQ238*(1-PARAM!$C$27)*$I$13+(MOD($B238,60)=PARAM!$B$56)*($B238&gt;(60-PARAM!$B$56))*HLOOKUP(($B238+PARAM!$B$56)/12,Loyalty,2)*$F$1*MAX(AT237,0)</f>
        <v>18.557001321003963</v>
      </c>
      <c r="AS238" s="75">
        <f>PARAM!$C$26+MAX($G$13-CHOOSE(PARAM!$B$44,MAX(0,AT237*$F$1),0),0)*RATES!$L214/12+$H$13*(PARAM!$D$51/12)*RATES!$N214/100</f>
        <v>15.655938820187712</v>
      </c>
      <c r="AT238" s="16">
        <f t="shared" si="165"/>
        <v>631.75594966199799</v>
      </c>
      <c r="AU238" s="15">
        <f t="shared" si="140"/>
        <v>22.170849845882874</v>
      </c>
      <c r="AV238" s="75">
        <f>AU238*(1-PARAM!$C$27)*$I$14+(MOD($B238,60)=PARAM!$B$56)*($B238&gt;(60-PARAM!$B$56))*HLOOKUP(($B238+PARAM!$B$56)/12,Loyalty,2)*$F$1*MAX(AX237,0)</f>
        <v>18.557001321003963</v>
      </c>
      <c r="AW238" s="75">
        <f>PARAM!$C$26+MAX($G$14-CHOOSE(PARAM!$B$44,MAX(0,AX237*$F$1),0),0)*RATES!$L214/12+$H$14*(PARAM!$D$51/12)*RATES!$N214/100</f>
        <v>15.655938820187712</v>
      </c>
      <c r="AX238" s="16">
        <f t="shared" si="166"/>
        <v>631.75594966199799</v>
      </c>
      <c r="AY238" s="15">
        <f t="shared" si="141"/>
        <v>22.170849845882874</v>
      </c>
      <c r="AZ238" s="75">
        <f>AY238*(1-PARAM!$C$27)*$I$15+(MOD($B238,60)=PARAM!$B$56)*($B238&gt;(60-PARAM!$B$56))*HLOOKUP(($B238+PARAM!$B$56)/12,Loyalty,2)*$F$1*MAX(BB237,0)</f>
        <v>18.557001321003963</v>
      </c>
      <c r="BA238" s="75">
        <f>PARAM!$C$26+MAX($G$15-CHOOSE(PARAM!$B$44,MAX(0,BB237*$F$1),0),0)*RATES!$L214/12+$H$15*(PARAM!$D$51/12)*RATES!$N214/100</f>
        <v>15.655938820187712</v>
      </c>
      <c r="BB238" s="16">
        <f t="shared" si="167"/>
        <v>631.75594966199799</v>
      </c>
      <c r="BC238" s="15">
        <f t="shared" si="142"/>
        <v>22.170849845882874</v>
      </c>
      <c r="BD238" s="75">
        <f>BC238*(1-PARAM!$C$27)*$I$16+(MOD($B238,60)=PARAM!$B$56)*($B238&gt;(60-PARAM!$B$56))*HLOOKUP(($B238+PARAM!$B$56)/12,Loyalty,2)*$F$1*MAX(BF237,0)</f>
        <v>18.557001321003963</v>
      </c>
      <c r="BE238" s="75">
        <f>PARAM!$C$26+MAX($G$16-CHOOSE(PARAM!$B$44,MAX(0,BF237*$F$1),0),0)*RATES!$L214/12+$H$16*(PARAM!$D$51/12)*RATES!$N214/100</f>
        <v>15.655938820187712</v>
      </c>
      <c r="BF238" s="16">
        <f t="shared" si="168"/>
        <v>631.75594966199799</v>
      </c>
      <c r="BG238" s="15">
        <f t="shared" si="143"/>
        <v>22.170849845882874</v>
      </c>
      <c r="BH238" s="75">
        <f>BG238*(1-PARAM!$C$27)*$I$17+(MOD($B238,60)=PARAM!$B$56)*($B238&gt;(60-PARAM!$B$56))*HLOOKUP(($B238+PARAM!$B$56)/12,Loyalty,2)*$F$1*MAX(BJ237,0)</f>
        <v>18.557001321003963</v>
      </c>
      <c r="BI238" s="75">
        <f>PARAM!$C$26+MAX($G$17-CHOOSE(PARAM!$B$44,MAX(0,BJ237*$F$1),0),0)*RATES!$L214/12+$H$17*(PARAM!$D$51/12)*RATES!$N214/100</f>
        <v>15.655938820187712</v>
      </c>
      <c r="BJ238" s="16">
        <f t="shared" si="169"/>
        <v>631.75594966199799</v>
      </c>
      <c r="BK238" s="15">
        <f t="shared" si="144"/>
        <v>22.170849845882874</v>
      </c>
      <c r="BL238" s="75">
        <f>BK238*(1-PARAM!$C$27)*$I$18+(MOD($B238,60)=PARAM!$B$56)*($B238&gt;(60-PARAM!$B$56))*HLOOKUP(($B238+PARAM!$B$56)/12,Loyalty,2)*$F$1*MAX(BN237,0)</f>
        <v>18.557001321003963</v>
      </c>
      <c r="BM238" s="75">
        <f>PARAM!$C$26+MAX($G$18-CHOOSE(PARAM!$B$44,MAX(0,BN237*$F$1),0),0)*RATES!$L214/12+$H$18*(PARAM!$D$51/12)*RATES!$N214/100</f>
        <v>15.655938820187712</v>
      </c>
      <c r="BN238" s="16">
        <f t="shared" si="170"/>
        <v>631.75594966199799</v>
      </c>
      <c r="BO238" s="15">
        <f t="shared" si="145"/>
        <v>22.170849845882874</v>
      </c>
      <c r="BP238" s="75">
        <f>BO238*(1-PARAM!$C$27)*$I$19+(MOD($B238,60)=PARAM!$B$56)*($B238&gt;(60-PARAM!$B$56))*HLOOKUP(($B238+PARAM!$B$56)/12,Loyalty,2)*$F$1*MAX(BR237,0)</f>
        <v>18.557001321003963</v>
      </c>
      <c r="BQ238" s="75">
        <f>PARAM!$C$26+MAX($G$19-CHOOSE(PARAM!$B$44,MAX(0,BR237*$F$1),0),0)*RATES!$L214/12+$H$19*(PARAM!$D$51/12)*RATES!$N214/100</f>
        <v>15.655938820187712</v>
      </c>
      <c r="BR238" s="16">
        <f t="shared" si="171"/>
        <v>631.75594966199799</v>
      </c>
      <c r="BS238" s="15">
        <f t="shared" si="146"/>
        <v>22.170849845882874</v>
      </c>
      <c r="BT238" s="75">
        <f>BS238*(1-PARAM!$C$27)*$I$20+(MOD($B238,60)=PARAM!$B$56)*($B238&gt;(60-PARAM!$B$56))*HLOOKUP(($B238+PARAM!$B$56)/12,Loyalty,2)*$F$1*MAX(BV237,0)</f>
        <v>18.557001321003963</v>
      </c>
      <c r="BU238" s="75">
        <f>PARAM!$C$26+MAX($G$20-CHOOSE(PARAM!$B$44,MAX(0,BV237*$F$1),0),0)*RATES!$L214/12+$H$20*(PARAM!$D$51/12)*RATES!$N214/100</f>
        <v>15.655938820187712</v>
      </c>
      <c r="BV238" s="16">
        <f t="shared" si="172"/>
        <v>631.75594966199799</v>
      </c>
      <c r="BW238" s="15">
        <f t="shared" si="147"/>
        <v>22.170849845882874</v>
      </c>
      <c r="BX238" s="75">
        <f>BW238*(1-PARAM!$C$27)*$I$21+(MOD($B238,60)=PARAM!$B$56)*($B238&gt;(60-PARAM!$B$56))*HLOOKUP(($B238+PARAM!$B$56)/12,Loyalty,2)*$F$1*MAX(BZ237,0)</f>
        <v>18.557001321003963</v>
      </c>
      <c r="BY238" s="75">
        <f>PARAM!$C$26+MAX($G$21-CHOOSE(PARAM!$B$44,MAX(0,BZ237*$F$1),0),0)*RATES!$L214/12+$H$21*(PARAM!$D$51/12)*RATES!$N214/100</f>
        <v>15.655938820187712</v>
      </c>
      <c r="BZ238" s="16">
        <f t="shared" si="173"/>
        <v>631.75594966199799</v>
      </c>
      <c r="CA238" s="15">
        <f t="shared" si="148"/>
        <v>22.170849845882874</v>
      </c>
      <c r="CB238" s="75">
        <f>CA238*(1-PARAM!$C$27)*$I$22+(MOD($B238,60)=PARAM!$B$56)*($B238&gt;(60-PARAM!$B$56))*HLOOKUP(($B238+PARAM!$B$56)/12,Loyalty,2)*$F$1*MAX(CD237,0)</f>
        <v>18.557001321003963</v>
      </c>
      <c r="CC238" s="75">
        <f>PARAM!$C$26+MAX($G$22-CHOOSE(PARAM!$B$44,MAX(0,CD237*$F$1),0),0)*RATES!$L214/12+$H$22*(PARAM!$D$51/12)*RATES!$N214/100</f>
        <v>15.655938820187712</v>
      </c>
      <c r="CD238" s="16">
        <f t="shared" si="174"/>
        <v>631.75594966199799</v>
      </c>
      <c r="CE238" s="33">
        <f>IF(0=MOD(B238,12/PARAM!$D$51),1,0)</f>
        <v>1</v>
      </c>
      <c r="CF238" s="15">
        <f t="shared" si="149"/>
        <v>0</v>
      </c>
      <c r="CG238" s="75">
        <f>CF238*(1-PARAM!$C$27)*$R$3+(MOD($B238/12,5)=0)*($B238&gt;60)*HLOOKUP($B238/12,Loyalty,2)*$F$1*MAX(CI237,0)</f>
        <v>0</v>
      </c>
      <c r="CH238" s="75">
        <f>PARAM!$C$26+MAX($P$3-CHOOSE(PARAM!$B$44,MAX(0,CI237*$F$1),0),0)*RATES!$L214/12+$Q$3*(PARAM!$D$51/12)*RATES!$N214/100</f>
        <v>15.791666666666666</v>
      </c>
      <c r="CI238" s="16">
        <f>IF(CI237&gt;0,CI237*PARAM!$C$53,CI237)+CG238-CH238</f>
        <v>-3108.5833333333298</v>
      </c>
      <c r="CJ238" s="15">
        <f t="shared" si="175"/>
        <v>0</v>
      </c>
      <c r="CK238" s="75">
        <f>CJ238*(1-PARAM!$C$27)*$R$4+(MOD($B238/12,5)=0)*($B238&gt;60)*HLOOKUP($B238/12,Loyalty,2)*$F$1*MAX(CM237,0)</f>
        <v>0</v>
      </c>
      <c r="CL238" s="75">
        <f>PARAM!$C$26+MAX($P$4-CHOOSE(PARAM!$B$44,MAX(0,CM237*$F$1),0),0)*RATES!$L214/12+$Q$4*(PARAM!$D$51/12)*RATES!$N214/100</f>
        <v>15.791666666666666</v>
      </c>
      <c r="CM238" s="16">
        <f>IF(CM237&gt;0,CM237*PARAM!$C$53,CM237)+CK238-CL238</f>
        <v>-3108.5833333333298</v>
      </c>
      <c r="CO238" s="176"/>
    </row>
    <row r="239" spans="1:93" x14ac:dyDescent="0.2">
      <c r="A239" t="b">
        <f t="shared" si="150"/>
        <v>1</v>
      </c>
      <c r="B239" s="33">
        <v>212</v>
      </c>
      <c r="C239" s="15">
        <f t="shared" si="151"/>
        <v>20.081305947392778</v>
      </c>
      <c r="D239" s="75">
        <f>C239*(1-PARAM!$C$27)*$I$3+(MOD($B239,60)=PARAM!$B$56)*($B239&gt;(60-PARAM!$B$56))*HLOOKUP(($B239+PARAM!$B$56)/12,Loyalty,2)*$F$1*MAX(F238,0)</f>
        <v>16.808053077967756</v>
      </c>
      <c r="E239" s="75">
        <f>PARAM!$C$26+MAX($G$3-CHOOSE(PARAM!$B$44,MAX(0,F238*$F$1),0),0)*RATES!$L215/12+$H$3*(PARAM!$D$51/12)*RATES!$N215/100</f>
        <v>15.733658134584831</v>
      </c>
      <c r="F239" s="16">
        <f t="shared" si="152"/>
        <v>269.83979455033801</v>
      </c>
      <c r="G239" s="15">
        <f t="shared" si="153"/>
        <v>22.035289406060361</v>
      </c>
      <c r="H239" s="75">
        <f>G239*(1-PARAM!$C$27)*$I$4+(MOD($B239,60)=PARAM!$B$56)*($B239&gt;(60-PARAM!$B$56))*HLOOKUP(($B239+PARAM!$B$56)/12,Loyalty,2)*$F$1*MAX(J238,0)</f>
        <v>18.443537232872522</v>
      </c>
      <c r="I239" s="75">
        <f>PARAM!$C$26+MAX($G$4-CHOOSE(PARAM!$B$44,MAX(0,J238*$F$1),0),0)*RATES!$L215/12+$H$4*(PARAM!$D$51/12)*RATES!$N215/100</f>
        <v>15.660398698184002</v>
      </c>
      <c r="J239" s="16">
        <f t="shared" si="154"/>
        <v>610.97449829992763</v>
      </c>
      <c r="K239" s="15">
        <f t="shared" si="155"/>
        <v>22.170849845882874</v>
      </c>
      <c r="L239" s="75">
        <f>K239*(1-PARAM!$C$27)*$I$5+(MOD($B239,60)=PARAM!$B$56)*($B239&gt;(60-PARAM!$B$56))*HLOOKUP(($B239+PARAM!$B$56)/12,Loyalty,2)*$F$1*MAX(N238,0)</f>
        <v>18.557001321003963</v>
      </c>
      <c r="M239" s="75">
        <f>PARAM!$C$26+MAX($G$5-CHOOSE(PARAM!$B$44,MAX(0,N238*$F$1),0),0)*RATES!$L215/12+$H$5*(PARAM!$D$51/12)*RATES!$N215/100</f>
        <v>15.655312674197951</v>
      </c>
      <c r="N239" s="16">
        <f t="shared" si="156"/>
        <v>634.65763830880405</v>
      </c>
      <c r="O239" s="15">
        <f t="shared" si="157"/>
        <v>22.170849845882874</v>
      </c>
      <c r="P239" s="75">
        <f>O239*(1-PARAM!$C$27)*$I$6+(MOD($B239,60)=PARAM!$B$56)*($B239&gt;(60-PARAM!$B$56))*HLOOKUP(($B239+PARAM!$B$56)/12,Loyalty,2)*$F$1*MAX(R238,0)</f>
        <v>18.557001321003963</v>
      </c>
      <c r="Q239" s="75">
        <f>PARAM!$C$26+MAX($G$6-CHOOSE(PARAM!$B$44,MAX(0,R238*$F$1),0),0)*RATES!$L215/12+$H$6*(PARAM!$D$51/12)*RATES!$N215/100</f>
        <v>15.655312674197951</v>
      </c>
      <c r="R239" s="16">
        <f t="shared" si="158"/>
        <v>634.65763830880405</v>
      </c>
      <c r="S239" s="15">
        <f t="shared" si="133"/>
        <v>22.170849845882874</v>
      </c>
      <c r="T239" s="75">
        <f>S239*(1-PARAM!$C$27)*$I$7+(MOD($B239,60)=PARAM!$B$56)*($B239&gt;(60-PARAM!$B$56))*HLOOKUP(($B239+PARAM!$B$56)/12,Loyalty,2)*$F$1*MAX(V238,0)</f>
        <v>18.557001321003963</v>
      </c>
      <c r="U239" s="75">
        <f>PARAM!$C$26+MAX($G$7-CHOOSE(PARAM!$B$44,MAX(0,V238*$F$1),0),0)*RATES!$L215/12+$H$7*(PARAM!$D$51/12)*RATES!$N215/100</f>
        <v>15.655312674197951</v>
      </c>
      <c r="V239" s="16">
        <f t="shared" si="159"/>
        <v>634.65763830880405</v>
      </c>
      <c r="W239" s="15">
        <f t="shared" si="134"/>
        <v>22.170849845882874</v>
      </c>
      <c r="X239" s="75">
        <f>W239*(1-PARAM!$C$27)*$I$8+(MOD($B239,60)=PARAM!$B$56)*($B239&gt;(60-PARAM!$B$56))*HLOOKUP(($B239+PARAM!$B$56)/12,Loyalty,2)*$F$1*MAX(Z238,0)</f>
        <v>18.557001321003963</v>
      </c>
      <c r="Y239" s="75">
        <f>PARAM!$C$26+MAX($G$8-CHOOSE(PARAM!$B$44,MAX(0,Z238*$F$1),0),0)*RATES!$L215/12+$H$8*(PARAM!$D$51/12)*RATES!$N215/100</f>
        <v>15.655312674197951</v>
      </c>
      <c r="Z239" s="16">
        <f t="shared" si="160"/>
        <v>634.65763830880405</v>
      </c>
      <c r="AA239" s="15">
        <f t="shared" si="135"/>
        <v>22.170849845882874</v>
      </c>
      <c r="AB239" s="75">
        <f>AA239*(1-PARAM!$C$27)*$I$9+(MOD($B239,60)=PARAM!$B$56)*($B239&gt;(60-PARAM!$B$56))*HLOOKUP(($B239+PARAM!$B$56)/12,Loyalty,2)*$F$1*MAX(AD238,0)</f>
        <v>18.557001321003963</v>
      </c>
      <c r="AC239" s="75">
        <f>PARAM!$C$26+MAX($G$9-CHOOSE(PARAM!$B$44,MAX(0,AD238*$F$1),0),0)*RATES!$L215/12+$H$9*(PARAM!$D$51/12)*RATES!$N215/100</f>
        <v>15.655312674197951</v>
      </c>
      <c r="AD239" s="16">
        <f t="shared" si="161"/>
        <v>634.65763830880405</v>
      </c>
      <c r="AE239" s="15">
        <f t="shared" si="136"/>
        <v>22.170849845882874</v>
      </c>
      <c r="AF239" s="75">
        <f>AE239*(1-PARAM!$C$27)*$I$10+(MOD($B239,60)=PARAM!$B$56)*($B239&gt;(60-PARAM!$B$56))*HLOOKUP(($B239+PARAM!$B$56)/12,Loyalty,2)*$F$1*MAX(AH238,0)</f>
        <v>18.557001321003963</v>
      </c>
      <c r="AG239" s="75">
        <f>PARAM!$C$26+MAX($G$10-CHOOSE(PARAM!$B$44,MAX(0,AH238*$F$1),0),0)*RATES!$L215/12+$H$10*(PARAM!$D$51/12)*RATES!$N215/100</f>
        <v>15.655312674197951</v>
      </c>
      <c r="AH239" s="16">
        <f t="shared" si="162"/>
        <v>634.65763830880405</v>
      </c>
      <c r="AI239" s="15">
        <f t="shared" si="137"/>
        <v>22.170849845882874</v>
      </c>
      <c r="AJ239" s="75">
        <f>AI239*(1-PARAM!$C$27)*$I$11+(MOD($B239,60)=PARAM!$B$56)*($B239&gt;(60-PARAM!$B$56))*HLOOKUP(($B239+PARAM!$B$56)/12,Loyalty,2)*$F$1*MAX(AL238,0)</f>
        <v>18.557001321003963</v>
      </c>
      <c r="AK239" s="75">
        <f>PARAM!$C$26+MAX($G$11-CHOOSE(PARAM!$B$44,MAX(0,AL238*$F$1),0),0)*RATES!$L215/12+$H$11*(PARAM!$D$51/12)*RATES!$N215/100</f>
        <v>15.655312674197951</v>
      </c>
      <c r="AL239" s="16">
        <f t="shared" si="163"/>
        <v>634.65763830880405</v>
      </c>
      <c r="AM239" s="15">
        <f t="shared" si="138"/>
        <v>22.170849845882874</v>
      </c>
      <c r="AN239" s="75">
        <f>AM239*(1-PARAM!$C$27)*$I$12+(MOD($B239,60)=PARAM!$B$56)*($B239&gt;(60-PARAM!$B$56))*HLOOKUP(($B239+PARAM!$B$56)/12,Loyalty,2)*$F$1*MAX(AP238,0)</f>
        <v>18.557001321003963</v>
      </c>
      <c r="AO239" s="75">
        <f>PARAM!$C$26+MAX($G$12-CHOOSE(PARAM!$B$44,MAX(0,AP238*$F$1),0),0)*RATES!$L215/12+$H$12*(PARAM!$D$51/12)*RATES!$N215/100</f>
        <v>15.655312674197951</v>
      </c>
      <c r="AP239" s="16">
        <f t="shared" si="164"/>
        <v>634.65763830880405</v>
      </c>
      <c r="AQ239" s="15">
        <f t="shared" si="139"/>
        <v>22.170849845882874</v>
      </c>
      <c r="AR239" s="75">
        <f>AQ239*(1-PARAM!$C$27)*$I$13+(MOD($B239,60)=PARAM!$B$56)*($B239&gt;(60-PARAM!$B$56))*HLOOKUP(($B239+PARAM!$B$56)/12,Loyalty,2)*$F$1*MAX(AT238,0)</f>
        <v>18.557001321003963</v>
      </c>
      <c r="AS239" s="75">
        <f>PARAM!$C$26+MAX($G$13-CHOOSE(PARAM!$B$44,MAX(0,AT238*$F$1),0),0)*RATES!$L215/12+$H$13*(PARAM!$D$51/12)*RATES!$N215/100</f>
        <v>15.655312674197951</v>
      </c>
      <c r="AT239" s="16">
        <f t="shared" si="165"/>
        <v>634.65763830880405</v>
      </c>
      <c r="AU239" s="15">
        <f t="shared" si="140"/>
        <v>22.170849845882874</v>
      </c>
      <c r="AV239" s="75">
        <f>AU239*(1-PARAM!$C$27)*$I$14+(MOD($B239,60)=PARAM!$B$56)*($B239&gt;(60-PARAM!$B$56))*HLOOKUP(($B239+PARAM!$B$56)/12,Loyalty,2)*$F$1*MAX(AX238,0)</f>
        <v>18.557001321003963</v>
      </c>
      <c r="AW239" s="75">
        <f>PARAM!$C$26+MAX($G$14-CHOOSE(PARAM!$B$44,MAX(0,AX238*$F$1),0),0)*RATES!$L215/12+$H$14*(PARAM!$D$51/12)*RATES!$N215/100</f>
        <v>15.655312674197951</v>
      </c>
      <c r="AX239" s="16">
        <f t="shared" si="166"/>
        <v>634.65763830880405</v>
      </c>
      <c r="AY239" s="15">
        <f t="shared" si="141"/>
        <v>22.170849845882874</v>
      </c>
      <c r="AZ239" s="75">
        <f>AY239*(1-PARAM!$C$27)*$I$15+(MOD($B239,60)=PARAM!$B$56)*($B239&gt;(60-PARAM!$B$56))*HLOOKUP(($B239+PARAM!$B$56)/12,Loyalty,2)*$F$1*MAX(BB238,0)</f>
        <v>18.557001321003963</v>
      </c>
      <c r="BA239" s="75">
        <f>PARAM!$C$26+MAX($G$15-CHOOSE(PARAM!$B$44,MAX(0,BB238*$F$1),0),0)*RATES!$L215/12+$H$15*(PARAM!$D$51/12)*RATES!$N215/100</f>
        <v>15.655312674197951</v>
      </c>
      <c r="BB239" s="16">
        <f t="shared" si="167"/>
        <v>634.65763830880405</v>
      </c>
      <c r="BC239" s="15">
        <f t="shared" si="142"/>
        <v>22.170849845882874</v>
      </c>
      <c r="BD239" s="75">
        <f>BC239*(1-PARAM!$C$27)*$I$16+(MOD($B239,60)=PARAM!$B$56)*($B239&gt;(60-PARAM!$B$56))*HLOOKUP(($B239+PARAM!$B$56)/12,Loyalty,2)*$F$1*MAX(BF238,0)</f>
        <v>18.557001321003963</v>
      </c>
      <c r="BE239" s="75">
        <f>PARAM!$C$26+MAX($G$16-CHOOSE(PARAM!$B$44,MAX(0,BF238*$F$1),0),0)*RATES!$L215/12+$H$16*(PARAM!$D$51/12)*RATES!$N215/100</f>
        <v>15.655312674197951</v>
      </c>
      <c r="BF239" s="16">
        <f t="shared" si="168"/>
        <v>634.65763830880405</v>
      </c>
      <c r="BG239" s="15">
        <f t="shared" si="143"/>
        <v>22.170849845882874</v>
      </c>
      <c r="BH239" s="75">
        <f>BG239*(1-PARAM!$C$27)*$I$17+(MOD($B239,60)=PARAM!$B$56)*($B239&gt;(60-PARAM!$B$56))*HLOOKUP(($B239+PARAM!$B$56)/12,Loyalty,2)*$F$1*MAX(BJ238,0)</f>
        <v>18.557001321003963</v>
      </c>
      <c r="BI239" s="75">
        <f>PARAM!$C$26+MAX($G$17-CHOOSE(PARAM!$B$44,MAX(0,BJ238*$F$1),0),0)*RATES!$L215/12+$H$17*(PARAM!$D$51/12)*RATES!$N215/100</f>
        <v>15.655312674197951</v>
      </c>
      <c r="BJ239" s="16">
        <f t="shared" si="169"/>
        <v>634.65763830880405</v>
      </c>
      <c r="BK239" s="15">
        <f t="shared" si="144"/>
        <v>22.170849845882874</v>
      </c>
      <c r="BL239" s="75">
        <f>BK239*(1-PARAM!$C$27)*$I$18+(MOD($B239,60)=PARAM!$B$56)*($B239&gt;(60-PARAM!$B$56))*HLOOKUP(($B239+PARAM!$B$56)/12,Loyalty,2)*$F$1*MAX(BN238,0)</f>
        <v>18.557001321003963</v>
      </c>
      <c r="BM239" s="75">
        <f>PARAM!$C$26+MAX($G$18-CHOOSE(PARAM!$B$44,MAX(0,BN238*$F$1),0),0)*RATES!$L215/12+$H$18*(PARAM!$D$51/12)*RATES!$N215/100</f>
        <v>15.655312674197951</v>
      </c>
      <c r="BN239" s="16">
        <f t="shared" si="170"/>
        <v>634.65763830880405</v>
      </c>
      <c r="BO239" s="15">
        <f t="shared" si="145"/>
        <v>22.170849845882874</v>
      </c>
      <c r="BP239" s="75">
        <f>BO239*(1-PARAM!$C$27)*$I$19+(MOD($B239,60)=PARAM!$B$56)*($B239&gt;(60-PARAM!$B$56))*HLOOKUP(($B239+PARAM!$B$56)/12,Loyalty,2)*$F$1*MAX(BR238,0)</f>
        <v>18.557001321003963</v>
      </c>
      <c r="BQ239" s="75">
        <f>PARAM!$C$26+MAX($G$19-CHOOSE(PARAM!$B$44,MAX(0,BR238*$F$1),0),0)*RATES!$L215/12+$H$19*(PARAM!$D$51/12)*RATES!$N215/100</f>
        <v>15.655312674197951</v>
      </c>
      <c r="BR239" s="16">
        <f t="shared" si="171"/>
        <v>634.65763830880405</v>
      </c>
      <c r="BS239" s="15">
        <f t="shared" si="146"/>
        <v>22.170849845882874</v>
      </c>
      <c r="BT239" s="75">
        <f>BS239*(1-PARAM!$C$27)*$I$20+(MOD($B239,60)=PARAM!$B$56)*($B239&gt;(60-PARAM!$B$56))*HLOOKUP(($B239+PARAM!$B$56)/12,Loyalty,2)*$F$1*MAX(BV238,0)</f>
        <v>18.557001321003963</v>
      </c>
      <c r="BU239" s="75">
        <f>PARAM!$C$26+MAX($G$20-CHOOSE(PARAM!$B$44,MAX(0,BV238*$F$1),0),0)*RATES!$L215/12+$H$20*(PARAM!$D$51/12)*RATES!$N215/100</f>
        <v>15.655312674197951</v>
      </c>
      <c r="BV239" s="16">
        <f t="shared" si="172"/>
        <v>634.65763830880405</v>
      </c>
      <c r="BW239" s="15">
        <f t="shared" si="147"/>
        <v>22.170849845882874</v>
      </c>
      <c r="BX239" s="75">
        <f>BW239*(1-PARAM!$C$27)*$I$21+(MOD($B239,60)=PARAM!$B$56)*($B239&gt;(60-PARAM!$B$56))*HLOOKUP(($B239+PARAM!$B$56)/12,Loyalty,2)*$F$1*MAX(BZ238,0)</f>
        <v>18.557001321003963</v>
      </c>
      <c r="BY239" s="75">
        <f>PARAM!$C$26+MAX($G$21-CHOOSE(PARAM!$B$44,MAX(0,BZ238*$F$1),0),0)*RATES!$L215/12+$H$21*(PARAM!$D$51/12)*RATES!$N215/100</f>
        <v>15.655312674197951</v>
      </c>
      <c r="BZ239" s="16">
        <f t="shared" si="173"/>
        <v>634.65763830880405</v>
      </c>
      <c r="CA239" s="15">
        <f t="shared" si="148"/>
        <v>22.170849845882874</v>
      </c>
      <c r="CB239" s="75">
        <f>CA239*(1-PARAM!$C$27)*$I$22+(MOD($B239,60)=PARAM!$B$56)*($B239&gt;(60-PARAM!$B$56))*HLOOKUP(($B239+PARAM!$B$56)/12,Loyalty,2)*$F$1*MAX(CD238,0)</f>
        <v>18.557001321003963</v>
      </c>
      <c r="CC239" s="75">
        <f>PARAM!$C$26+MAX($G$22-CHOOSE(PARAM!$B$44,MAX(0,CD238*$F$1),0),0)*RATES!$L215/12+$H$22*(PARAM!$D$51/12)*RATES!$N215/100</f>
        <v>15.655312674197951</v>
      </c>
      <c r="CD239" s="16">
        <f t="shared" si="174"/>
        <v>634.65763830880405</v>
      </c>
      <c r="CE239" s="33">
        <f>IF(0=MOD(B239,12/PARAM!$D$51),1,0)</f>
        <v>1</v>
      </c>
      <c r="CF239" s="15">
        <f t="shared" si="149"/>
        <v>0</v>
      </c>
      <c r="CG239" s="75">
        <f>CF239*(1-PARAM!$C$27)*$R$3+(MOD($B239/12,5)=0)*($B239&gt;60)*HLOOKUP($B239/12,Loyalty,2)*$F$1*MAX(CI238,0)</f>
        <v>0</v>
      </c>
      <c r="CH239" s="75">
        <f>PARAM!$C$26+MAX($P$3-CHOOSE(PARAM!$B$44,MAX(0,CI238*$F$1),0),0)*RATES!$L215/12+$Q$3*(PARAM!$D$51/12)*RATES!$N215/100</f>
        <v>15.791666666666666</v>
      </c>
      <c r="CI239" s="16">
        <f>IF(CI238&gt;0,CI238*PARAM!$C$53,CI238)+CG239-CH239</f>
        <v>-3124.3749999999964</v>
      </c>
      <c r="CJ239" s="15">
        <f t="shared" si="175"/>
        <v>0</v>
      </c>
      <c r="CK239" s="75">
        <f>CJ239*(1-PARAM!$C$27)*$R$4+(MOD($B239/12,5)=0)*($B239&gt;60)*HLOOKUP($B239/12,Loyalty,2)*$F$1*MAX(CM238,0)</f>
        <v>0</v>
      </c>
      <c r="CL239" s="75">
        <f>PARAM!$C$26+MAX($P$4-CHOOSE(PARAM!$B$44,MAX(0,CM238*$F$1),0),0)*RATES!$L215/12+$Q$4*(PARAM!$D$51/12)*RATES!$N215/100</f>
        <v>15.791666666666666</v>
      </c>
      <c r="CM239" s="16">
        <f>IF(CM238&gt;0,CM238*PARAM!$C$53,CM238)+CK239-CL239</f>
        <v>-3124.3749999999964</v>
      </c>
      <c r="CO239" s="176"/>
    </row>
    <row r="240" spans="1:93" x14ac:dyDescent="0.2">
      <c r="A240" t="b">
        <f t="shared" si="150"/>
        <v>1</v>
      </c>
      <c r="B240" s="33">
        <v>213</v>
      </c>
      <c r="C240" s="15">
        <f t="shared" si="151"/>
        <v>20.081305947392778</v>
      </c>
      <c r="D240" s="75">
        <f>C240*(1-PARAM!$C$27)*$I$3+(MOD($B240,60)=PARAM!$B$56)*($B240&gt;(60-PARAM!$B$56))*HLOOKUP(($B240+PARAM!$B$56)/12,Loyalty,2)*$F$1*MAX(F239,0)</f>
        <v>16.808053077967756</v>
      </c>
      <c r="E240" s="75">
        <f>PARAM!$C$26+MAX($G$3-CHOOSE(PARAM!$B$44,MAX(0,F239*$F$1),0),0)*RATES!$L216/12+$H$3*(PARAM!$D$51/12)*RATES!$N216/100</f>
        <v>15.733426244342885</v>
      </c>
      <c r="F240" s="16">
        <f t="shared" si="152"/>
        <v>270.91442138396292</v>
      </c>
      <c r="G240" s="15">
        <f t="shared" si="153"/>
        <v>22.035289406060361</v>
      </c>
      <c r="H240" s="75">
        <f>G240*(1-PARAM!$C$27)*$I$4+(MOD($B240,60)=PARAM!$B$56)*($B240&gt;(60-PARAM!$B$56))*HLOOKUP(($B240+PARAM!$B$56)/12,Loyalty,2)*$F$1*MAX(J239,0)</f>
        <v>18.443537232872522</v>
      </c>
      <c r="I240" s="75">
        <f>PARAM!$C$26+MAX($G$4-CHOOSE(PARAM!$B$44,MAX(0,J239*$F$1),0),0)*RATES!$L216/12+$H$4*(PARAM!$D$51/12)*RATES!$N216/100</f>
        <v>15.659798004116931</v>
      </c>
      <c r="J240" s="16">
        <f t="shared" si="154"/>
        <v>613.75823752868314</v>
      </c>
      <c r="K240" s="15">
        <f t="shared" si="155"/>
        <v>22.170849845882874</v>
      </c>
      <c r="L240" s="75">
        <f>K240*(1-PARAM!$C$27)*$I$5+(MOD($B240,60)=PARAM!$B$56)*($B240&gt;(60-PARAM!$B$56))*HLOOKUP(($B240+PARAM!$B$56)/12,Loyalty,2)*$F$1*MAX(N239,0)</f>
        <v>18.557001321003963</v>
      </c>
      <c r="M240" s="75">
        <f>PARAM!$C$26+MAX($G$5-CHOOSE(PARAM!$B$44,MAX(0,N239*$F$1),0),0)*RATES!$L216/12+$H$5*(PARAM!$D$51/12)*RATES!$N216/100</f>
        <v>15.654686393065015</v>
      </c>
      <c r="N240" s="16">
        <f t="shared" si="156"/>
        <v>637.55995323674301</v>
      </c>
      <c r="O240" s="15">
        <f t="shared" si="157"/>
        <v>22.170849845882874</v>
      </c>
      <c r="P240" s="75">
        <f>O240*(1-PARAM!$C$27)*$I$6+(MOD($B240,60)=PARAM!$B$56)*($B240&gt;(60-PARAM!$B$56))*HLOOKUP(($B240+PARAM!$B$56)/12,Loyalty,2)*$F$1*MAX(R239,0)</f>
        <v>18.557001321003963</v>
      </c>
      <c r="Q240" s="75">
        <f>PARAM!$C$26+MAX($G$6-CHOOSE(PARAM!$B$44,MAX(0,R239*$F$1),0),0)*RATES!$L216/12+$H$6*(PARAM!$D$51/12)*RATES!$N216/100</f>
        <v>15.654686393065015</v>
      </c>
      <c r="R240" s="16">
        <f t="shared" si="158"/>
        <v>637.55995323674301</v>
      </c>
      <c r="S240" s="15">
        <f t="shared" si="133"/>
        <v>22.170849845882874</v>
      </c>
      <c r="T240" s="75">
        <f>S240*(1-PARAM!$C$27)*$I$7+(MOD($B240,60)=PARAM!$B$56)*($B240&gt;(60-PARAM!$B$56))*HLOOKUP(($B240+PARAM!$B$56)/12,Loyalty,2)*$F$1*MAX(V239,0)</f>
        <v>18.557001321003963</v>
      </c>
      <c r="U240" s="75">
        <f>PARAM!$C$26+MAX($G$7-CHOOSE(PARAM!$B$44,MAX(0,V239*$F$1),0),0)*RATES!$L216/12+$H$7*(PARAM!$D$51/12)*RATES!$N216/100</f>
        <v>15.654686393065015</v>
      </c>
      <c r="V240" s="16">
        <f t="shared" si="159"/>
        <v>637.55995323674301</v>
      </c>
      <c r="W240" s="15">
        <f t="shared" si="134"/>
        <v>22.170849845882874</v>
      </c>
      <c r="X240" s="75">
        <f>W240*(1-PARAM!$C$27)*$I$8+(MOD($B240,60)=PARAM!$B$56)*($B240&gt;(60-PARAM!$B$56))*HLOOKUP(($B240+PARAM!$B$56)/12,Loyalty,2)*$F$1*MAX(Z239,0)</f>
        <v>18.557001321003963</v>
      </c>
      <c r="Y240" s="75">
        <f>PARAM!$C$26+MAX($G$8-CHOOSE(PARAM!$B$44,MAX(0,Z239*$F$1),0),0)*RATES!$L216/12+$H$8*(PARAM!$D$51/12)*RATES!$N216/100</f>
        <v>15.654686393065015</v>
      </c>
      <c r="Z240" s="16">
        <f t="shared" si="160"/>
        <v>637.55995323674301</v>
      </c>
      <c r="AA240" s="15">
        <f t="shared" si="135"/>
        <v>22.170849845882874</v>
      </c>
      <c r="AB240" s="75">
        <f>AA240*(1-PARAM!$C$27)*$I$9+(MOD($B240,60)=PARAM!$B$56)*($B240&gt;(60-PARAM!$B$56))*HLOOKUP(($B240+PARAM!$B$56)/12,Loyalty,2)*$F$1*MAX(AD239,0)</f>
        <v>18.557001321003963</v>
      </c>
      <c r="AC240" s="75">
        <f>PARAM!$C$26+MAX($G$9-CHOOSE(PARAM!$B$44,MAX(0,AD239*$F$1),0),0)*RATES!$L216/12+$H$9*(PARAM!$D$51/12)*RATES!$N216/100</f>
        <v>15.654686393065015</v>
      </c>
      <c r="AD240" s="16">
        <f t="shared" si="161"/>
        <v>637.55995323674301</v>
      </c>
      <c r="AE240" s="15">
        <f t="shared" si="136"/>
        <v>22.170849845882874</v>
      </c>
      <c r="AF240" s="75">
        <f>AE240*(1-PARAM!$C$27)*$I$10+(MOD($B240,60)=PARAM!$B$56)*($B240&gt;(60-PARAM!$B$56))*HLOOKUP(($B240+PARAM!$B$56)/12,Loyalty,2)*$F$1*MAX(AH239,0)</f>
        <v>18.557001321003963</v>
      </c>
      <c r="AG240" s="75">
        <f>PARAM!$C$26+MAX($G$10-CHOOSE(PARAM!$B$44,MAX(0,AH239*$F$1),0),0)*RATES!$L216/12+$H$10*(PARAM!$D$51/12)*RATES!$N216/100</f>
        <v>15.654686393065015</v>
      </c>
      <c r="AH240" s="16">
        <f t="shared" si="162"/>
        <v>637.55995323674301</v>
      </c>
      <c r="AI240" s="15">
        <f t="shared" si="137"/>
        <v>22.170849845882874</v>
      </c>
      <c r="AJ240" s="75">
        <f>AI240*(1-PARAM!$C$27)*$I$11+(MOD($B240,60)=PARAM!$B$56)*($B240&gt;(60-PARAM!$B$56))*HLOOKUP(($B240+PARAM!$B$56)/12,Loyalty,2)*$F$1*MAX(AL239,0)</f>
        <v>18.557001321003963</v>
      </c>
      <c r="AK240" s="75">
        <f>PARAM!$C$26+MAX($G$11-CHOOSE(PARAM!$B$44,MAX(0,AL239*$F$1),0),0)*RATES!$L216/12+$H$11*(PARAM!$D$51/12)*RATES!$N216/100</f>
        <v>15.654686393065015</v>
      </c>
      <c r="AL240" s="16">
        <f t="shared" si="163"/>
        <v>637.55995323674301</v>
      </c>
      <c r="AM240" s="15">
        <f t="shared" si="138"/>
        <v>22.170849845882874</v>
      </c>
      <c r="AN240" s="75">
        <f>AM240*(1-PARAM!$C$27)*$I$12+(MOD($B240,60)=PARAM!$B$56)*($B240&gt;(60-PARAM!$B$56))*HLOOKUP(($B240+PARAM!$B$56)/12,Loyalty,2)*$F$1*MAX(AP239,0)</f>
        <v>18.557001321003963</v>
      </c>
      <c r="AO240" s="75">
        <f>PARAM!$C$26+MAX($G$12-CHOOSE(PARAM!$B$44,MAX(0,AP239*$F$1),0),0)*RATES!$L216/12+$H$12*(PARAM!$D$51/12)*RATES!$N216/100</f>
        <v>15.654686393065015</v>
      </c>
      <c r="AP240" s="16">
        <f t="shared" si="164"/>
        <v>637.55995323674301</v>
      </c>
      <c r="AQ240" s="15">
        <f t="shared" si="139"/>
        <v>22.170849845882874</v>
      </c>
      <c r="AR240" s="75">
        <f>AQ240*(1-PARAM!$C$27)*$I$13+(MOD($B240,60)=PARAM!$B$56)*($B240&gt;(60-PARAM!$B$56))*HLOOKUP(($B240+PARAM!$B$56)/12,Loyalty,2)*$F$1*MAX(AT239,0)</f>
        <v>18.557001321003963</v>
      </c>
      <c r="AS240" s="75">
        <f>PARAM!$C$26+MAX($G$13-CHOOSE(PARAM!$B$44,MAX(0,AT239*$F$1),0),0)*RATES!$L216/12+$H$13*(PARAM!$D$51/12)*RATES!$N216/100</f>
        <v>15.654686393065015</v>
      </c>
      <c r="AT240" s="16">
        <f t="shared" si="165"/>
        <v>637.55995323674301</v>
      </c>
      <c r="AU240" s="15">
        <f t="shared" si="140"/>
        <v>22.170849845882874</v>
      </c>
      <c r="AV240" s="75">
        <f>AU240*(1-PARAM!$C$27)*$I$14+(MOD($B240,60)=PARAM!$B$56)*($B240&gt;(60-PARAM!$B$56))*HLOOKUP(($B240+PARAM!$B$56)/12,Loyalty,2)*$F$1*MAX(AX239,0)</f>
        <v>18.557001321003963</v>
      </c>
      <c r="AW240" s="75">
        <f>PARAM!$C$26+MAX($G$14-CHOOSE(PARAM!$B$44,MAX(0,AX239*$F$1),0),0)*RATES!$L216/12+$H$14*(PARAM!$D$51/12)*RATES!$N216/100</f>
        <v>15.654686393065015</v>
      </c>
      <c r="AX240" s="16">
        <f t="shared" si="166"/>
        <v>637.55995323674301</v>
      </c>
      <c r="AY240" s="15">
        <f t="shared" si="141"/>
        <v>22.170849845882874</v>
      </c>
      <c r="AZ240" s="75">
        <f>AY240*(1-PARAM!$C$27)*$I$15+(MOD($B240,60)=PARAM!$B$56)*($B240&gt;(60-PARAM!$B$56))*HLOOKUP(($B240+PARAM!$B$56)/12,Loyalty,2)*$F$1*MAX(BB239,0)</f>
        <v>18.557001321003963</v>
      </c>
      <c r="BA240" s="75">
        <f>PARAM!$C$26+MAX($G$15-CHOOSE(PARAM!$B$44,MAX(0,BB239*$F$1),0),0)*RATES!$L216/12+$H$15*(PARAM!$D$51/12)*RATES!$N216/100</f>
        <v>15.654686393065015</v>
      </c>
      <c r="BB240" s="16">
        <f t="shared" si="167"/>
        <v>637.55995323674301</v>
      </c>
      <c r="BC240" s="15">
        <f t="shared" si="142"/>
        <v>22.170849845882874</v>
      </c>
      <c r="BD240" s="75">
        <f>BC240*(1-PARAM!$C$27)*$I$16+(MOD($B240,60)=PARAM!$B$56)*($B240&gt;(60-PARAM!$B$56))*HLOOKUP(($B240+PARAM!$B$56)/12,Loyalty,2)*$F$1*MAX(BF239,0)</f>
        <v>18.557001321003963</v>
      </c>
      <c r="BE240" s="75">
        <f>PARAM!$C$26+MAX($G$16-CHOOSE(PARAM!$B$44,MAX(0,BF239*$F$1),0),0)*RATES!$L216/12+$H$16*(PARAM!$D$51/12)*RATES!$N216/100</f>
        <v>15.654686393065015</v>
      </c>
      <c r="BF240" s="16">
        <f t="shared" si="168"/>
        <v>637.55995323674301</v>
      </c>
      <c r="BG240" s="15">
        <f t="shared" si="143"/>
        <v>22.170849845882874</v>
      </c>
      <c r="BH240" s="75">
        <f>BG240*(1-PARAM!$C$27)*$I$17+(MOD($B240,60)=PARAM!$B$56)*($B240&gt;(60-PARAM!$B$56))*HLOOKUP(($B240+PARAM!$B$56)/12,Loyalty,2)*$F$1*MAX(BJ239,0)</f>
        <v>18.557001321003963</v>
      </c>
      <c r="BI240" s="75">
        <f>PARAM!$C$26+MAX($G$17-CHOOSE(PARAM!$B$44,MAX(0,BJ239*$F$1),0),0)*RATES!$L216/12+$H$17*(PARAM!$D$51/12)*RATES!$N216/100</f>
        <v>15.654686393065015</v>
      </c>
      <c r="BJ240" s="16">
        <f t="shared" si="169"/>
        <v>637.55995323674301</v>
      </c>
      <c r="BK240" s="15">
        <f t="shared" si="144"/>
        <v>22.170849845882874</v>
      </c>
      <c r="BL240" s="75">
        <f>BK240*(1-PARAM!$C$27)*$I$18+(MOD($B240,60)=PARAM!$B$56)*($B240&gt;(60-PARAM!$B$56))*HLOOKUP(($B240+PARAM!$B$56)/12,Loyalty,2)*$F$1*MAX(BN239,0)</f>
        <v>18.557001321003963</v>
      </c>
      <c r="BM240" s="75">
        <f>PARAM!$C$26+MAX($G$18-CHOOSE(PARAM!$B$44,MAX(0,BN239*$F$1),0),0)*RATES!$L216/12+$H$18*(PARAM!$D$51/12)*RATES!$N216/100</f>
        <v>15.654686393065015</v>
      </c>
      <c r="BN240" s="16">
        <f t="shared" si="170"/>
        <v>637.55995323674301</v>
      </c>
      <c r="BO240" s="15">
        <f t="shared" si="145"/>
        <v>22.170849845882874</v>
      </c>
      <c r="BP240" s="75">
        <f>BO240*(1-PARAM!$C$27)*$I$19+(MOD($B240,60)=PARAM!$B$56)*($B240&gt;(60-PARAM!$B$56))*HLOOKUP(($B240+PARAM!$B$56)/12,Loyalty,2)*$F$1*MAX(BR239,0)</f>
        <v>18.557001321003963</v>
      </c>
      <c r="BQ240" s="75">
        <f>PARAM!$C$26+MAX($G$19-CHOOSE(PARAM!$B$44,MAX(0,BR239*$F$1),0),0)*RATES!$L216/12+$H$19*(PARAM!$D$51/12)*RATES!$N216/100</f>
        <v>15.654686393065015</v>
      </c>
      <c r="BR240" s="16">
        <f t="shared" si="171"/>
        <v>637.55995323674301</v>
      </c>
      <c r="BS240" s="15">
        <f t="shared" si="146"/>
        <v>22.170849845882874</v>
      </c>
      <c r="BT240" s="75">
        <f>BS240*(1-PARAM!$C$27)*$I$20+(MOD($B240,60)=PARAM!$B$56)*($B240&gt;(60-PARAM!$B$56))*HLOOKUP(($B240+PARAM!$B$56)/12,Loyalty,2)*$F$1*MAX(BV239,0)</f>
        <v>18.557001321003963</v>
      </c>
      <c r="BU240" s="75">
        <f>PARAM!$C$26+MAX($G$20-CHOOSE(PARAM!$B$44,MAX(0,BV239*$F$1),0),0)*RATES!$L216/12+$H$20*(PARAM!$D$51/12)*RATES!$N216/100</f>
        <v>15.654686393065015</v>
      </c>
      <c r="BV240" s="16">
        <f t="shared" si="172"/>
        <v>637.55995323674301</v>
      </c>
      <c r="BW240" s="15">
        <f t="shared" si="147"/>
        <v>22.170849845882874</v>
      </c>
      <c r="BX240" s="75">
        <f>BW240*(1-PARAM!$C$27)*$I$21+(MOD($B240,60)=PARAM!$B$56)*($B240&gt;(60-PARAM!$B$56))*HLOOKUP(($B240+PARAM!$B$56)/12,Loyalty,2)*$F$1*MAX(BZ239,0)</f>
        <v>18.557001321003963</v>
      </c>
      <c r="BY240" s="75">
        <f>PARAM!$C$26+MAX($G$21-CHOOSE(PARAM!$B$44,MAX(0,BZ239*$F$1),0),0)*RATES!$L216/12+$H$21*(PARAM!$D$51/12)*RATES!$N216/100</f>
        <v>15.654686393065015</v>
      </c>
      <c r="BZ240" s="16">
        <f t="shared" si="173"/>
        <v>637.55995323674301</v>
      </c>
      <c r="CA240" s="15">
        <f t="shared" si="148"/>
        <v>22.170849845882874</v>
      </c>
      <c r="CB240" s="75">
        <f>CA240*(1-PARAM!$C$27)*$I$22+(MOD($B240,60)=PARAM!$B$56)*($B240&gt;(60-PARAM!$B$56))*HLOOKUP(($B240+PARAM!$B$56)/12,Loyalty,2)*$F$1*MAX(CD239,0)</f>
        <v>18.557001321003963</v>
      </c>
      <c r="CC240" s="75">
        <f>PARAM!$C$26+MAX($G$22-CHOOSE(PARAM!$B$44,MAX(0,CD239*$F$1),0),0)*RATES!$L216/12+$H$22*(PARAM!$D$51/12)*RATES!$N216/100</f>
        <v>15.654686393065015</v>
      </c>
      <c r="CD240" s="16">
        <f t="shared" si="174"/>
        <v>637.55995323674301</v>
      </c>
      <c r="CE240" s="33">
        <f>IF(0=MOD(B240,12/PARAM!$D$51),1,0)</f>
        <v>1</v>
      </c>
      <c r="CF240" s="15">
        <f t="shared" si="149"/>
        <v>0</v>
      </c>
      <c r="CG240" s="75">
        <f>CF240*(1-PARAM!$C$27)*$R$3+(MOD($B240/12,5)=0)*($B240&gt;60)*HLOOKUP($B240/12,Loyalty,2)*$F$1*MAX(CI239,0)</f>
        <v>0</v>
      </c>
      <c r="CH240" s="75">
        <f>PARAM!$C$26+MAX($P$3-CHOOSE(PARAM!$B$44,MAX(0,CI239*$F$1),0),0)*RATES!$L216/12+$Q$3*(PARAM!$D$51/12)*RATES!$N216/100</f>
        <v>15.791666666666666</v>
      </c>
      <c r="CI240" s="16">
        <f>IF(CI239&gt;0,CI239*PARAM!$C$53,CI239)+CG240-CH240</f>
        <v>-3140.1666666666629</v>
      </c>
      <c r="CJ240" s="15">
        <f t="shared" si="175"/>
        <v>0</v>
      </c>
      <c r="CK240" s="75">
        <f>CJ240*(1-PARAM!$C$27)*$R$4+(MOD($B240/12,5)=0)*($B240&gt;60)*HLOOKUP($B240/12,Loyalty,2)*$F$1*MAX(CM239,0)</f>
        <v>0</v>
      </c>
      <c r="CL240" s="75">
        <f>PARAM!$C$26+MAX($P$4-CHOOSE(PARAM!$B$44,MAX(0,CM239*$F$1),0),0)*RATES!$L216/12+$Q$4*(PARAM!$D$51/12)*RATES!$N216/100</f>
        <v>15.791666666666666</v>
      </c>
      <c r="CM240" s="16">
        <f>IF(CM239&gt;0,CM239*PARAM!$C$53,CM239)+CK240-CL240</f>
        <v>-3140.1666666666629</v>
      </c>
      <c r="CO240" s="176"/>
    </row>
    <row r="241" spans="1:93" x14ac:dyDescent="0.2">
      <c r="A241" t="b">
        <f t="shared" si="150"/>
        <v>1</v>
      </c>
      <c r="B241" s="33">
        <v>214</v>
      </c>
      <c r="C241" s="15">
        <f t="shared" si="151"/>
        <v>20.081305947392778</v>
      </c>
      <c r="D241" s="75">
        <f>C241*(1-PARAM!$C$27)*$I$3+(MOD($B241,60)=PARAM!$B$56)*($B241&gt;(60-PARAM!$B$56))*HLOOKUP(($B241+PARAM!$B$56)/12,Loyalty,2)*$F$1*MAX(F240,0)</f>
        <v>16.808053077967756</v>
      </c>
      <c r="E241" s="75">
        <f>PARAM!$C$26+MAX($G$3-CHOOSE(PARAM!$B$44,MAX(0,F240*$F$1),0),0)*RATES!$L217/12+$H$3*(PARAM!$D$51/12)*RATES!$N217/100</f>
        <v>15.733194304051295</v>
      </c>
      <c r="F241" s="16">
        <f t="shared" si="152"/>
        <v>271.98928015787942</v>
      </c>
      <c r="G241" s="15">
        <f t="shared" si="153"/>
        <v>22.035289406060361</v>
      </c>
      <c r="H241" s="75">
        <f>G241*(1-PARAM!$C$27)*$I$4+(MOD($B241,60)=PARAM!$B$56)*($B241&gt;(60-PARAM!$B$56))*HLOOKUP(($B241+PARAM!$B$56)/12,Loyalty,2)*$F$1*MAX(J240,0)</f>
        <v>18.443537232872522</v>
      </c>
      <c r="I241" s="75">
        <f>PARAM!$C$26+MAX($G$4-CHOOSE(PARAM!$B$44,MAX(0,J240*$F$1),0),0)*RATES!$L217/12+$H$4*(PARAM!$D$51/12)*RATES!$N217/100</f>
        <v>15.659197180400058</v>
      </c>
      <c r="J241" s="16">
        <f t="shared" si="154"/>
        <v>616.54257758115557</v>
      </c>
      <c r="K241" s="15">
        <f t="shared" si="155"/>
        <v>22.170849845882874</v>
      </c>
      <c r="L241" s="75">
        <f>K241*(1-PARAM!$C$27)*$I$5+(MOD($B241,60)=PARAM!$B$56)*($B241&gt;(60-PARAM!$B$56))*HLOOKUP(($B241+PARAM!$B$56)/12,Loyalty,2)*$F$1*MAX(N240,0)</f>
        <v>18.557001321003963</v>
      </c>
      <c r="M241" s="75">
        <f>PARAM!$C$26+MAX($G$5-CHOOSE(PARAM!$B$44,MAX(0,N240*$F$1),0),0)*RATES!$L217/12+$H$5*(PARAM!$D$51/12)*RATES!$N217/100</f>
        <v>15.654059976759736</v>
      </c>
      <c r="N241" s="16">
        <f t="shared" si="156"/>
        <v>640.46289458098727</v>
      </c>
      <c r="O241" s="15">
        <f t="shared" si="157"/>
        <v>22.170849845882874</v>
      </c>
      <c r="P241" s="75">
        <f>O241*(1-PARAM!$C$27)*$I$6+(MOD($B241,60)=PARAM!$B$56)*($B241&gt;(60-PARAM!$B$56))*HLOOKUP(($B241+PARAM!$B$56)/12,Loyalty,2)*$F$1*MAX(R240,0)</f>
        <v>18.557001321003963</v>
      </c>
      <c r="Q241" s="75">
        <f>PARAM!$C$26+MAX($G$6-CHOOSE(PARAM!$B$44,MAX(0,R240*$F$1),0),0)*RATES!$L217/12+$H$6*(PARAM!$D$51/12)*RATES!$N217/100</f>
        <v>15.654059976759736</v>
      </c>
      <c r="R241" s="16">
        <f t="shared" si="158"/>
        <v>640.46289458098727</v>
      </c>
      <c r="S241" s="15">
        <f t="shared" si="133"/>
        <v>22.170849845882874</v>
      </c>
      <c r="T241" s="75">
        <f>S241*(1-PARAM!$C$27)*$I$7+(MOD($B241,60)=PARAM!$B$56)*($B241&gt;(60-PARAM!$B$56))*HLOOKUP(($B241+PARAM!$B$56)/12,Loyalty,2)*$F$1*MAX(V240,0)</f>
        <v>18.557001321003963</v>
      </c>
      <c r="U241" s="75">
        <f>PARAM!$C$26+MAX($G$7-CHOOSE(PARAM!$B$44,MAX(0,V240*$F$1),0),0)*RATES!$L217/12+$H$7*(PARAM!$D$51/12)*RATES!$N217/100</f>
        <v>15.654059976759736</v>
      </c>
      <c r="V241" s="16">
        <f t="shared" si="159"/>
        <v>640.46289458098727</v>
      </c>
      <c r="W241" s="15">
        <f t="shared" si="134"/>
        <v>22.170849845882874</v>
      </c>
      <c r="X241" s="75">
        <f>W241*(1-PARAM!$C$27)*$I$8+(MOD($B241,60)=PARAM!$B$56)*($B241&gt;(60-PARAM!$B$56))*HLOOKUP(($B241+PARAM!$B$56)/12,Loyalty,2)*$F$1*MAX(Z240,0)</f>
        <v>18.557001321003963</v>
      </c>
      <c r="Y241" s="75">
        <f>PARAM!$C$26+MAX($G$8-CHOOSE(PARAM!$B$44,MAX(0,Z240*$F$1),0),0)*RATES!$L217/12+$H$8*(PARAM!$D$51/12)*RATES!$N217/100</f>
        <v>15.654059976759736</v>
      </c>
      <c r="Z241" s="16">
        <f t="shared" si="160"/>
        <v>640.46289458098727</v>
      </c>
      <c r="AA241" s="15">
        <f t="shared" si="135"/>
        <v>22.170849845882874</v>
      </c>
      <c r="AB241" s="75">
        <f>AA241*(1-PARAM!$C$27)*$I$9+(MOD($B241,60)=PARAM!$B$56)*($B241&gt;(60-PARAM!$B$56))*HLOOKUP(($B241+PARAM!$B$56)/12,Loyalty,2)*$F$1*MAX(AD240,0)</f>
        <v>18.557001321003963</v>
      </c>
      <c r="AC241" s="75">
        <f>PARAM!$C$26+MAX($G$9-CHOOSE(PARAM!$B$44,MAX(0,AD240*$F$1),0),0)*RATES!$L217/12+$H$9*(PARAM!$D$51/12)*RATES!$N217/100</f>
        <v>15.654059976759736</v>
      </c>
      <c r="AD241" s="16">
        <f t="shared" si="161"/>
        <v>640.46289458098727</v>
      </c>
      <c r="AE241" s="15">
        <f t="shared" si="136"/>
        <v>22.170849845882874</v>
      </c>
      <c r="AF241" s="75">
        <f>AE241*(1-PARAM!$C$27)*$I$10+(MOD($B241,60)=PARAM!$B$56)*($B241&gt;(60-PARAM!$B$56))*HLOOKUP(($B241+PARAM!$B$56)/12,Loyalty,2)*$F$1*MAX(AH240,0)</f>
        <v>18.557001321003963</v>
      </c>
      <c r="AG241" s="75">
        <f>PARAM!$C$26+MAX($G$10-CHOOSE(PARAM!$B$44,MAX(0,AH240*$F$1),0),0)*RATES!$L217/12+$H$10*(PARAM!$D$51/12)*RATES!$N217/100</f>
        <v>15.654059976759736</v>
      </c>
      <c r="AH241" s="16">
        <f t="shared" si="162"/>
        <v>640.46289458098727</v>
      </c>
      <c r="AI241" s="15">
        <f t="shared" si="137"/>
        <v>22.170849845882874</v>
      </c>
      <c r="AJ241" s="75">
        <f>AI241*(1-PARAM!$C$27)*$I$11+(MOD($B241,60)=PARAM!$B$56)*($B241&gt;(60-PARAM!$B$56))*HLOOKUP(($B241+PARAM!$B$56)/12,Loyalty,2)*$F$1*MAX(AL240,0)</f>
        <v>18.557001321003963</v>
      </c>
      <c r="AK241" s="75">
        <f>PARAM!$C$26+MAX($G$11-CHOOSE(PARAM!$B$44,MAX(0,AL240*$F$1),0),0)*RATES!$L217/12+$H$11*(PARAM!$D$51/12)*RATES!$N217/100</f>
        <v>15.654059976759736</v>
      </c>
      <c r="AL241" s="16">
        <f t="shared" si="163"/>
        <v>640.46289458098727</v>
      </c>
      <c r="AM241" s="15">
        <f t="shared" si="138"/>
        <v>22.170849845882874</v>
      </c>
      <c r="AN241" s="75">
        <f>AM241*(1-PARAM!$C$27)*$I$12+(MOD($B241,60)=PARAM!$B$56)*($B241&gt;(60-PARAM!$B$56))*HLOOKUP(($B241+PARAM!$B$56)/12,Loyalty,2)*$F$1*MAX(AP240,0)</f>
        <v>18.557001321003963</v>
      </c>
      <c r="AO241" s="75">
        <f>PARAM!$C$26+MAX($G$12-CHOOSE(PARAM!$B$44,MAX(0,AP240*$F$1),0),0)*RATES!$L217/12+$H$12*(PARAM!$D$51/12)*RATES!$N217/100</f>
        <v>15.654059976759736</v>
      </c>
      <c r="AP241" s="16">
        <f t="shared" si="164"/>
        <v>640.46289458098727</v>
      </c>
      <c r="AQ241" s="15">
        <f t="shared" si="139"/>
        <v>22.170849845882874</v>
      </c>
      <c r="AR241" s="75">
        <f>AQ241*(1-PARAM!$C$27)*$I$13+(MOD($B241,60)=PARAM!$B$56)*($B241&gt;(60-PARAM!$B$56))*HLOOKUP(($B241+PARAM!$B$56)/12,Loyalty,2)*$F$1*MAX(AT240,0)</f>
        <v>18.557001321003963</v>
      </c>
      <c r="AS241" s="75">
        <f>PARAM!$C$26+MAX($G$13-CHOOSE(PARAM!$B$44,MAX(0,AT240*$F$1),0),0)*RATES!$L217/12+$H$13*(PARAM!$D$51/12)*RATES!$N217/100</f>
        <v>15.654059976759736</v>
      </c>
      <c r="AT241" s="16">
        <f t="shared" si="165"/>
        <v>640.46289458098727</v>
      </c>
      <c r="AU241" s="15">
        <f t="shared" si="140"/>
        <v>22.170849845882874</v>
      </c>
      <c r="AV241" s="75">
        <f>AU241*(1-PARAM!$C$27)*$I$14+(MOD($B241,60)=PARAM!$B$56)*($B241&gt;(60-PARAM!$B$56))*HLOOKUP(($B241+PARAM!$B$56)/12,Loyalty,2)*$F$1*MAX(AX240,0)</f>
        <v>18.557001321003963</v>
      </c>
      <c r="AW241" s="75">
        <f>PARAM!$C$26+MAX($G$14-CHOOSE(PARAM!$B$44,MAX(0,AX240*$F$1),0),0)*RATES!$L217/12+$H$14*(PARAM!$D$51/12)*RATES!$N217/100</f>
        <v>15.654059976759736</v>
      </c>
      <c r="AX241" s="16">
        <f t="shared" si="166"/>
        <v>640.46289458098727</v>
      </c>
      <c r="AY241" s="15">
        <f t="shared" si="141"/>
        <v>22.170849845882874</v>
      </c>
      <c r="AZ241" s="75">
        <f>AY241*(1-PARAM!$C$27)*$I$15+(MOD($B241,60)=PARAM!$B$56)*($B241&gt;(60-PARAM!$B$56))*HLOOKUP(($B241+PARAM!$B$56)/12,Loyalty,2)*$F$1*MAX(BB240,0)</f>
        <v>18.557001321003963</v>
      </c>
      <c r="BA241" s="75">
        <f>PARAM!$C$26+MAX($G$15-CHOOSE(PARAM!$B$44,MAX(0,BB240*$F$1),0),0)*RATES!$L217/12+$H$15*(PARAM!$D$51/12)*RATES!$N217/100</f>
        <v>15.654059976759736</v>
      </c>
      <c r="BB241" s="16">
        <f t="shared" si="167"/>
        <v>640.46289458098727</v>
      </c>
      <c r="BC241" s="15">
        <f t="shared" si="142"/>
        <v>22.170849845882874</v>
      </c>
      <c r="BD241" s="75">
        <f>BC241*(1-PARAM!$C$27)*$I$16+(MOD($B241,60)=PARAM!$B$56)*($B241&gt;(60-PARAM!$B$56))*HLOOKUP(($B241+PARAM!$B$56)/12,Loyalty,2)*$F$1*MAX(BF240,0)</f>
        <v>18.557001321003963</v>
      </c>
      <c r="BE241" s="75">
        <f>PARAM!$C$26+MAX($G$16-CHOOSE(PARAM!$B$44,MAX(0,BF240*$F$1),0),0)*RATES!$L217/12+$H$16*(PARAM!$D$51/12)*RATES!$N217/100</f>
        <v>15.654059976759736</v>
      </c>
      <c r="BF241" s="16">
        <f t="shared" si="168"/>
        <v>640.46289458098727</v>
      </c>
      <c r="BG241" s="15">
        <f t="shared" si="143"/>
        <v>22.170849845882874</v>
      </c>
      <c r="BH241" s="75">
        <f>BG241*(1-PARAM!$C$27)*$I$17+(MOD($B241,60)=PARAM!$B$56)*($B241&gt;(60-PARAM!$B$56))*HLOOKUP(($B241+PARAM!$B$56)/12,Loyalty,2)*$F$1*MAX(BJ240,0)</f>
        <v>18.557001321003963</v>
      </c>
      <c r="BI241" s="75">
        <f>PARAM!$C$26+MAX($G$17-CHOOSE(PARAM!$B$44,MAX(0,BJ240*$F$1),0),0)*RATES!$L217/12+$H$17*(PARAM!$D$51/12)*RATES!$N217/100</f>
        <v>15.654059976759736</v>
      </c>
      <c r="BJ241" s="16">
        <f t="shared" si="169"/>
        <v>640.46289458098727</v>
      </c>
      <c r="BK241" s="15">
        <f t="shared" si="144"/>
        <v>22.170849845882874</v>
      </c>
      <c r="BL241" s="75">
        <f>BK241*(1-PARAM!$C$27)*$I$18+(MOD($B241,60)=PARAM!$B$56)*($B241&gt;(60-PARAM!$B$56))*HLOOKUP(($B241+PARAM!$B$56)/12,Loyalty,2)*$F$1*MAX(BN240,0)</f>
        <v>18.557001321003963</v>
      </c>
      <c r="BM241" s="75">
        <f>PARAM!$C$26+MAX($G$18-CHOOSE(PARAM!$B$44,MAX(0,BN240*$F$1),0),0)*RATES!$L217/12+$H$18*(PARAM!$D$51/12)*RATES!$N217/100</f>
        <v>15.654059976759736</v>
      </c>
      <c r="BN241" s="16">
        <f t="shared" si="170"/>
        <v>640.46289458098727</v>
      </c>
      <c r="BO241" s="15">
        <f t="shared" si="145"/>
        <v>22.170849845882874</v>
      </c>
      <c r="BP241" s="75">
        <f>BO241*(1-PARAM!$C$27)*$I$19+(MOD($B241,60)=PARAM!$B$56)*($B241&gt;(60-PARAM!$B$56))*HLOOKUP(($B241+PARAM!$B$56)/12,Loyalty,2)*$F$1*MAX(BR240,0)</f>
        <v>18.557001321003963</v>
      </c>
      <c r="BQ241" s="75">
        <f>PARAM!$C$26+MAX($G$19-CHOOSE(PARAM!$B$44,MAX(0,BR240*$F$1),0),0)*RATES!$L217/12+$H$19*(PARAM!$D$51/12)*RATES!$N217/100</f>
        <v>15.654059976759736</v>
      </c>
      <c r="BR241" s="16">
        <f t="shared" si="171"/>
        <v>640.46289458098727</v>
      </c>
      <c r="BS241" s="15">
        <f t="shared" si="146"/>
        <v>22.170849845882874</v>
      </c>
      <c r="BT241" s="75">
        <f>BS241*(1-PARAM!$C$27)*$I$20+(MOD($B241,60)=PARAM!$B$56)*($B241&gt;(60-PARAM!$B$56))*HLOOKUP(($B241+PARAM!$B$56)/12,Loyalty,2)*$F$1*MAX(BV240,0)</f>
        <v>18.557001321003963</v>
      </c>
      <c r="BU241" s="75">
        <f>PARAM!$C$26+MAX($G$20-CHOOSE(PARAM!$B$44,MAX(0,BV240*$F$1),0),0)*RATES!$L217/12+$H$20*(PARAM!$D$51/12)*RATES!$N217/100</f>
        <v>15.654059976759736</v>
      </c>
      <c r="BV241" s="16">
        <f t="shared" si="172"/>
        <v>640.46289458098727</v>
      </c>
      <c r="BW241" s="15">
        <f t="shared" si="147"/>
        <v>22.170849845882874</v>
      </c>
      <c r="BX241" s="75">
        <f>BW241*(1-PARAM!$C$27)*$I$21+(MOD($B241,60)=PARAM!$B$56)*($B241&gt;(60-PARAM!$B$56))*HLOOKUP(($B241+PARAM!$B$56)/12,Loyalty,2)*$F$1*MAX(BZ240,0)</f>
        <v>18.557001321003963</v>
      </c>
      <c r="BY241" s="75">
        <f>PARAM!$C$26+MAX($G$21-CHOOSE(PARAM!$B$44,MAX(0,BZ240*$F$1),0),0)*RATES!$L217/12+$H$21*(PARAM!$D$51/12)*RATES!$N217/100</f>
        <v>15.654059976759736</v>
      </c>
      <c r="BZ241" s="16">
        <f t="shared" si="173"/>
        <v>640.46289458098727</v>
      </c>
      <c r="CA241" s="15">
        <f t="shared" si="148"/>
        <v>22.170849845882874</v>
      </c>
      <c r="CB241" s="75">
        <f>CA241*(1-PARAM!$C$27)*$I$22+(MOD($B241,60)=PARAM!$B$56)*($B241&gt;(60-PARAM!$B$56))*HLOOKUP(($B241+PARAM!$B$56)/12,Loyalty,2)*$F$1*MAX(CD240,0)</f>
        <v>18.557001321003963</v>
      </c>
      <c r="CC241" s="75">
        <f>PARAM!$C$26+MAX($G$22-CHOOSE(PARAM!$B$44,MAX(0,CD240*$F$1),0),0)*RATES!$L217/12+$H$22*(PARAM!$D$51/12)*RATES!$N217/100</f>
        <v>15.654059976759736</v>
      </c>
      <c r="CD241" s="16">
        <f t="shared" si="174"/>
        <v>640.46289458098727</v>
      </c>
      <c r="CE241" s="33">
        <f>IF(0=MOD(B241,12/PARAM!$D$51),1,0)</f>
        <v>1</v>
      </c>
      <c r="CF241" s="15">
        <f t="shared" si="149"/>
        <v>0</v>
      </c>
      <c r="CG241" s="75">
        <f>CF241*(1-PARAM!$C$27)*$R$3+(MOD($B241/12,5)=0)*($B241&gt;60)*HLOOKUP($B241/12,Loyalty,2)*$F$1*MAX(CI240,0)</f>
        <v>0</v>
      </c>
      <c r="CH241" s="75">
        <f>PARAM!$C$26+MAX($P$3-CHOOSE(PARAM!$B$44,MAX(0,CI240*$F$1),0),0)*RATES!$L217/12+$Q$3*(PARAM!$D$51/12)*RATES!$N217/100</f>
        <v>15.791666666666666</v>
      </c>
      <c r="CI241" s="16">
        <f>IF(CI240&gt;0,CI240*PARAM!$C$53,CI240)+CG241-CH241</f>
        <v>-3155.9583333333294</v>
      </c>
      <c r="CJ241" s="15">
        <f t="shared" si="175"/>
        <v>0</v>
      </c>
      <c r="CK241" s="75">
        <f>CJ241*(1-PARAM!$C$27)*$R$4+(MOD($B241/12,5)=0)*($B241&gt;60)*HLOOKUP($B241/12,Loyalty,2)*$F$1*MAX(CM240,0)</f>
        <v>0</v>
      </c>
      <c r="CL241" s="75">
        <f>PARAM!$C$26+MAX($P$4-CHOOSE(PARAM!$B$44,MAX(0,CM240*$F$1),0),0)*RATES!$L217/12+$Q$4*(PARAM!$D$51/12)*RATES!$N217/100</f>
        <v>15.791666666666666</v>
      </c>
      <c r="CM241" s="16">
        <f>IF(CM240&gt;0,CM240*PARAM!$C$53,CM240)+CK241-CL241</f>
        <v>-3155.9583333333294</v>
      </c>
      <c r="CO241" s="176"/>
    </row>
    <row r="242" spans="1:93" x14ac:dyDescent="0.2">
      <c r="A242" t="b">
        <f t="shared" si="150"/>
        <v>1</v>
      </c>
      <c r="B242" s="33">
        <v>215</v>
      </c>
      <c r="C242" s="15">
        <f t="shared" si="151"/>
        <v>20.081305947392778</v>
      </c>
      <c r="D242" s="75">
        <f>C242*(1-PARAM!$C$27)*$I$3+(MOD($B242,60)=PARAM!$B$56)*($B242&gt;(60-PARAM!$B$56))*HLOOKUP(($B242+PARAM!$B$56)/12,Loyalty,2)*$F$1*MAX(F241,0)</f>
        <v>16.808053077967756</v>
      </c>
      <c r="E242" s="75">
        <f>PARAM!$C$26+MAX($G$3-CHOOSE(PARAM!$B$44,MAX(0,F241*$F$1),0),0)*RATES!$L218/12+$H$3*(PARAM!$D$51/12)*RATES!$N218/100</f>
        <v>15.732962313699256</v>
      </c>
      <c r="F242" s="16">
        <f t="shared" si="152"/>
        <v>273.06437092214793</v>
      </c>
      <c r="G242" s="15">
        <f t="shared" si="153"/>
        <v>22.035289406060361</v>
      </c>
      <c r="H242" s="75">
        <f>G242*(1-PARAM!$C$27)*$I$4+(MOD($B242,60)=PARAM!$B$56)*($B242&gt;(60-PARAM!$B$56))*HLOOKUP(($B242+PARAM!$B$56)/12,Loyalty,2)*$F$1*MAX(J241,0)</f>
        <v>18.443537232872522</v>
      </c>
      <c r="I242" s="75">
        <f>PARAM!$C$26+MAX($G$4-CHOOSE(PARAM!$B$44,MAX(0,J241*$F$1),0),0)*RATES!$L218/12+$H$4*(PARAM!$D$51/12)*RATES!$N218/100</f>
        <v>15.6585962270054</v>
      </c>
      <c r="J242" s="16">
        <f t="shared" si="154"/>
        <v>619.32751858702261</v>
      </c>
      <c r="K242" s="15">
        <f t="shared" si="155"/>
        <v>22.170849845882874</v>
      </c>
      <c r="L242" s="75">
        <f>K242*(1-PARAM!$C$27)*$I$5+(MOD($B242,60)=PARAM!$B$56)*($B242&gt;(60-PARAM!$B$56))*HLOOKUP(($B242+PARAM!$B$56)/12,Loyalty,2)*$F$1*MAX(N241,0)</f>
        <v>18.557001321003963</v>
      </c>
      <c r="M242" s="75">
        <f>PARAM!$C$26+MAX($G$5-CHOOSE(PARAM!$B$44,MAX(0,N241*$F$1),0),0)*RATES!$L218/12+$H$5*(PARAM!$D$51/12)*RATES!$N218/100</f>
        <v>15.653433425252937</v>
      </c>
      <c r="N242" s="16">
        <f t="shared" si="156"/>
        <v>643.36646247673832</v>
      </c>
      <c r="O242" s="15">
        <f t="shared" si="157"/>
        <v>22.170849845882874</v>
      </c>
      <c r="P242" s="75">
        <f>O242*(1-PARAM!$C$27)*$I$6+(MOD($B242,60)=PARAM!$B$56)*($B242&gt;(60-PARAM!$B$56))*HLOOKUP(($B242+PARAM!$B$56)/12,Loyalty,2)*$F$1*MAX(R241,0)</f>
        <v>18.557001321003963</v>
      </c>
      <c r="Q242" s="75">
        <f>PARAM!$C$26+MAX($G$6-CHOOSE(PARAM!$B$44,MAX(0,R241*$F$1),0),0)*RATES!$L218/12+$H$6*(PARAM!$D$51/12)*RATES!$N218/100</f>
        <v>15.653433425252937</v>
      </c>
      <c r="R242" s="16">
        <f t="shared" si="158"/>
        <v>643.36646247673832</v>
      </c>
      <c r="S242" s="15">
        <f t="shared" si="133"/>
        <v>22.170849845882874</v>
      </c>
      <c r="T242" s="75">
        <f>S242*(1-PARAM!$C$27)*$I$7+(MOD($B242,60)=PARAM!$B$56)*($B242&gt;(60-PARAM!$B$56))*HLOOKUP(($B242+PARAM!$B$56)/12,Loyalty,2)*$F$1*MAX(V241,0)</f>
        <v>18.557001321003963</v>
      </c>
      <c r="U242" s="75">
        <f>PARAM!$C$26+MAX($G$7-CHOOSE(PARAM!$B$44,MAX(0,V241*$F$1),0),0)*RATES!$L218/12+$H$7*(PARAM!$D$51/12)*RATES!$N218/100</f>
        <v>15.653433425252937</v>
      </c>
      <c r="V242" s="16">
        <f t="shared" si="159"/>
        <v>643.36646247673832</v>
      </c>
      <c r="W242" s="15">
        <f t="shared" si="134"/>
        <v>22.170849845882874</v>
      </c>
      <c r="X242" s="75">
        <f>W242*(1-PARAM!$C$27)*$I$8+(MOD($B242,60)=PARAM!$B$56)*($B242&gt;(60-PARAM!$B$56))*HLOOKUP(($B242+PARAM!$B$56)/12,Loyalty,2)*$F$1*MAX(Z241,0)</f>
        <v>18.557001321003963</v>
      </c>
      <c r="Y242" s="75">
        <f>PARAM!$C$26+MAX($G$8-CHOOSE(PARAM!$B$44,MAX(0,Z241*$F$1),0),0)*RATES!$L218/12+$H$8*(PARAM!$D$51/12)*RATES!$N218/100</f>
        <v>15.653433425252937</v>
      </c>
      <c r="Z242" s="16">
        <f t="shared" si="160"/>
        <v>643.36646247673832</v>
      </c>
      <c r="AA242" s="15">
        <f t="shared" si="135"/>
        <v>22.170849845882874</v>
      </c>
      <c r="AB242" s="75">
        <f>AA242*(1-PARAM!$C$27)*$I$9+(MOD($B242,60)=PARAM!$B$56)*($B242&gt;(60-PARAM!$B$56))*HLOOKUP(($B242+PARAM!$B$56)/12,Loyalty,2)*$F$1*MAX(AD241,0)</f>
        <v>18.557001321003963</v>
      </c>
      <c r="AC242" s="75">
        <f>PARAM!$C$26+MAX($G$9-CHOOSE(PARAM!$B$44,MAX(0,AD241*$F$1),0),0)*RATES!$L218/12+$H$9*(PARAM!$D$51/12)*RATES!$N218/100</f>
        <v>15.653433425252937</v>
      </c>
      <c r="AD242" s="16">
        <f t="shared" si="161"/>
        <v>643.36646247673832</v>
      </c>
      <c r="AE242" s="15">
        <f t="shared" si="136"/>
        <v>22.170849845882874</v>
      </c>
      <c r="AF242" s="75">
        <f>AE242*(1-PARAM!$C$27)*$I$10+(MOD($B242,60)=PARAM!$B$56)*($B242&gt;(60-PARAM!$B$56))*HLOOKUP(($B242+PARAM!$B$56)/12,Loyalty,2)*$F$1*MAX(AH241,0)</f>
        <v>18.557001321003963</v>
      </c>
      <c r="AG242" s="75">
        <f>PARAM!$C$26+MAX($G$10-CHOOSE(PARAM!$B$44,MAX(0,AH241*$F$1),0),0)*RATES!$L218/12+$H$10*(PARAM!$D$51/12)*RATES!$N218/100</f>
        <v>15.653433425252937</v>
      </c>
      <c r="AH242" s="16">
        <f t="shared" si="162"/>
        <v>643.36646247673832</v>
      </c>
      <c r="AI242" s="15">
        <f t="shared" si="137"/>
        <v>22.170849845882874</v>
      </c>
      <c r="AJ242" s="75">
        <f>AI242*(1-PARAM!$C$27)*$I$11+(MOD($B242,60)=PARAM!$B$56)*($B242&gt;(60-PARAM!$B$56))*HLOOKUP(($B242+PARAM!$B$56)/12,Loyalty,2)*$F$1*MAX(AL241,0)</f>
        <v>18.557001321003963</v>
      </c>
      <c r="AK242" s="75">
        <f>PARAM!$C$26+MAX($G$11-CHOOSE(PARAM!$B$44,MAX(0,AL241*$F$1),0),0)*RATES!$L218/12+$H$11*(PARAM!$D$51/12)*RATES!$N218/100</f>
        <v>15.653433425252937</v>
      </c>
      <c r="AL242" s="16">
        <f t="shared" si="163"/>
        <v>643.36646247673832</v>
      </c>
      <c r="AM242" s="15">
        <f t="shared" si="138"/>
        <v>22.170849845882874</v>
      </c>
      <c r="AN242" s="75">
        <f>AM242*(1-PARAM!$C$27)*$I$12+(MOD($B242,60)=PARAM!$B$56)*($B242&gt;(60-PARAM!$B$56))*HLOOKUP(($B242+PARAM!$B$56)/12,Loyalty,2)*$F$1*MAX(AP241,0)</f>
        <v>18.557001321003963</v>
      </c>
      <c r="AO242" s="75">
        <f>PARAM!$C$26+MAX($G$12-CHOOSE(PARAM!$B$44,MAX(0,AP241*$F$1),0),0)*RATES!$L218/12+$H$12*(PARAM!$D$51/12)*RATES!$N218/100</f>
        <v>15.653433425252937</v>
      </c>
      <c r="AP242" s="16">
        <f t="shared" si="164"/>
        <v>643.36646247673832</v>
      </c>
      <c r="AQ242" s="15">
        <f t="shared" si="139"/>
        <v>22.170849845882874</v>
      </c>
      <c r="AR242" s="75">
        <f>AQ242*(1-PARAM!$C$27)*$I$13+(MOD($B242,60)=PARAM!$B$56)*($B242&gt;(60-PARAM!$B$56))*HLOOKUP(($B242+PARAM!$B$56)/12,Loyalty,2)*$F$1*MAX(AT241,0)</f>
        <v>18.557001321003963</v>
      </c>
      <c r="AS242" s="75">
        <f>PARAM!$C$26+MAX($G$13-CHOOSE(PARAM!$B$44,MAX(0,AT241*$F$1),0),0)*RATES!$L218/12+$H$13*(PARAM!$D$51/12)*RATES!$N218/100</f>
        <v>15.653433425252937</v>
      </c>
      <c r="AT242" s="16">
        <f t="shared" si="165"/>
        <v>643.36646247673832</v>
      </c>
      <c r="AU242" s="15">
        <f t="shared" si="140"/>
        <v>22.170849845882874</v>
      </c>
      <c r="AV242" s="75">
        <f>AU242*(1-PARAM!$C$27)*$I$14+(MOD($B242,60)=PARAM!$B$56)*($B242&gt;(60-PARAM!$B$56))*HLOOKUP(($B242+PARAM!$B$56)/12,Loyalty,2)*$F$1*MAX(AX241,0)</f>
        <v>18.557001321003963</v>
      </c>
      <c r="AW242" s="75">
        <f>PARAM!$C$26+MAX($G$14-CHOOSE(PARAM!$B$44,MAX(0,AX241*$F$1),0),0)*RATES!$L218/12+$H$14*(PARAM!$D$51/12)*RATES!$N218/100</f>
        <v>15.653433425252937</v>
      </c>
      <c r="AX242" s="16">
        <f t="shared" si="166"/>
        <v>643.36646247673832</v>
      </c>
      <c r="AY242" s="15">
        <f t="shared" si="141"/>
        <v>22.170849845882874</v>
      </c>
      <c r="AZ242" s="75">
        <f>AY242*(1-PARAM!$C$27)*$I$15+(MOD($B242,60)=PARAM!$B$56)*($B242&gt;(60-PARAM!$B$56))*HLOOKUP(($B242+PARAM!$B$56)/12,Loyalty,2)*$F$1*MAX(BB241,0)</f>
        <v>18.557001321003963</v>
      </c>
      <c r="BA242" s="75">
        <f>PARAM!$C$26+MAX($G$15-CHOOSE(PARAM!$B$44,MAX(0,BB241*$F$1),0),0)*RATES!$L218/12+$H$15*(PARAM!$D$51/12)*RATES!$N218/100</f>
        <v>15.653433425252937</v>
      </c>
      <c r="BB242" s="16">
        <f t="shared" si="167"/>
        <v>643.36646247673832</v>
      </c>
      <c r="BC242" s="15">
        <f t="shared" si="142"/>
        <v>22.170849845882874</v>
      </c>
      <c r="BD242" s="75">
        <f>BC242*(1-PARAM!$C$27)*$I$16+(MOD($B242,60)=PARAM!$B$56)*($B242&gt;(60-PARAM!$B$56))*HLOOKUP(($B242+PARAM!$B$56)/12,Loyalty,2)*$F$1*MAX(BF241,0)</f>
        <v>18.557001321003963</v>
      </c>
      <c r="BE242" s="75">
        <f>PARAM!$C$26+MAX($G$16-CHOOSE(PARAM!$B$44,MAX(0,BF241*$F$1),0),0)*RATES!$L218/12+$H$16*(PARAM!$D$51/12)*RATES!$N218/100</f>
        <v>15.653433425252937</v>
      </c>
      <c r="BF242" s="16">
        <f t="shared" si="168"/>
        <v>643.36646247673832</v>
      </c>
      <c r="BG242" s="15">
        <f t="shared" si="143"/>
        <v>22.170849845882874</v>
      </c>
      <c r="BH242" s="75">
        <f>BG242*(1-PARAM!$C$27)*$I$17+(MOD($B242,60)=PARAM!$B$56)*($B242&gt;(60-PARAM!$B$56))*HLOOKUP(($B242+PARAM!$B$56)/12,Loyalty,2)*$F$1*MAX(BJ241,0)</f>
        <v>18.557001321003963</v>
      </c>
      <c r="BI242" s="75">
        <f>PARAM!$C$26+MAX($G$17-CHOOSE(PARAM!$B$44,MAX(0,BJ241*$F$1),0),0)*RATES!$L218/12+$H$17*(PARAM!$D$51/12)*RATES!$N218/100</f>
        <v>15.653433425252937</v>
      </c>
      <c r="BJ242" s="16">
        <f t="shared" si="169"/>
        <v>643.36646247673832</v>
      </c>
      <c r="BK242" s="15">
        <f t="shared" si="144"/>
        <v>22.170849845882874</v>
      </c>
      <c r="BL242" s="75">
        <f>BK242*(1-PARAM!$C$27)*$I$18+(MOD($B242,60)=PARAM!$B$56)*($B242&gt;(60-PARAM!$B$56))*HLOOKUP(($B242+PARAM!$B$56)/12,Loyalty,2)*$F$1*MAX(BN241,0)</f>
        <v>18.557001321003963</v>
      </c>
      <c r="BM242" s="75">
        <f>PARAM!$C$26+MAX($G$18-CHOOSE(PARAM!$B$44,MAX(0,BN241*$F$1),0),0)*RATES!$L218/12+$H$18*(PARAM!$D$51/12)*RATES!$N218/100</f>
        <v>15.653433425252937</v>
      </c>
      <c r="BN242" s="16">
        <f t="shared" si="170"/>
        <v>643.36646247673832</v>
      </c>
      <c r="BO242" s="15">
        <f t="shared" si="145"/>
        <v>22.170849845882874</v>
      </c>
      <c r="BP242" s="75">
        <f>BO242*(1-PARAM!$C$27)*$I$19+(MOD($B242,60)=PARAM!$B$56)*($B242&gt;(60-PARAM!$B$56))*HLOOKUP(($B242+PARAM!$B$56)/12,Loyalty,2)*$F$1*MAX(BR241,0)</f>
        <v>18.557001321003963</v>
      </c>
      <c r="BQ242" s="75">
        <f>PARAM!$C$26+MAX($G$19-CHOOSE(PARAM!$B$44,MAX(0,BR241*$F$1),0),0)*RATES!$L218/12+$H$19*(PARAM!$D$51/12)*RATES!$N218/100</f>
        <v>15.653433425252937</v>
      </c>
      <c r="BR242" s="16">
        <f t="shared" si="171"/>
        <v>643.36646247673832</v>
      </c>
      <c r="BS242" s="15">
        <f t="shared" si="146"/>
        <v>22.170849845882874</v>
      </c>
      <c r="BT242" s="75">
        <f>BS242*(1-PARAM!$C$27)*$I$20+(MOD($B242,60)=PARAM!$B$56)*($B242&gt;(60-PARAM!$B$56))*HLOOKUP(($B242+PARAM!$B$56)/12,Loyalty,2)*$F$1*MAX(BV241,0)</f>
        <v>18.557001321003963</v>
      </c>
      <c r="BU242" s="75">
        <f>PARAM!$C$26+MAX($G$20-CHOOSE(PARAM!$B$44,MAX(0,BV241*$F$1),0),0)*RATES!$L218/12+$H$20*(PARAM!$D$51/12)*RATES!$N218/100</f>
        <v>15.653433425252937</v>
      </c>
      <c r="BV242" s="16">
        <f t="shared" si="172"/>
        <v>643.36646247673832</v>
      </c>
      <c r="BW242" s="15">
        <f t="shared" si="147"/>
        <v>22.170849845882874</v>
      </c>
      <c r="BX242" s="75">
        <f>BW242*(1-PARAM!$C$27)*$I$21+(MOD($B242,60)=PARAM!$B$56)*($B242&gt;(60-PARAM!$B$56))*HLOOKUP(($B242+PARAM!$B$56)/12,Loyalty,2)*$F$1*MAX(BZ241,0)</f>
        <v>18.557001321003963</v>
      </c>
      <c r="BY242" s="75">
        <f>PARAM!$C$26+MAX($G$21-CHOOSE(PARAM!$B$44,MAX(0,BZ241*$F$1),0),0)*RATES!$L218/12+$H$21*(PARAM!$D$51/12)*RATES!$N218/100</f>
        <v>15.653433425252937</v>
      </c>
      <c r="BZ242" s="16">
        <f t="shared" si="173"/>
        <v>643.36646247673832</v>
      </c>
      <c r="CA242" s="15">
        <f t="shared" si="148"/>
        <v>22.170849845882874</v>
      </c>
      <c r="CB242" s="75">
        <f>CA242*(1-PARAM!$C$27)*$I$22+(MOD($B242,60)=PARAM!$B$56)*($B242&gt;(60-PARAM!$B$56))*HLOOKUP(($B242+PARAM!$B$56)/12,Loyalty,2)*$F$1*MAX(CD241,0)</f>
        <v>18.557001321003963</v>
      </c>
      <c r="CC242" s="75">
        <f>PARAM!$C$26+MAX($G$22-CHOOSE(PARAM!$B$44,MAX(0,CD241*$F$1),0),0)*RATES!$L218/12+$H$22*(PARAM!$D$51/12)*RATES!$N218/100</f>
        <v>15.653433425252937</v>
      </c>
      <c r="CD242" s="16">
        <f t="shared" si="174"/>
        <v>643.36646247673832</v>
      </c>
      <c r="CE242" s="33">
        <f>IF(0=MOD(B242,12/PARAM!$D$51),1,0)</f>
        <v>1</v>
      </c>
      <c r="CF242" s="15">
        <f t="shared" si="149"/>
        <v>0</v>
      </c>
      <c r="CG242" s="75">
        <f>CF242*(1-PARAM!$C$27)*$R$3+(MOD($B242/12,5)=0)*($B242&gt;60)*HLOOKUP($B242/12,Loyalty,2)*$F$1*MAX(CI241,0)</f>
        <v>0</v>
      </c>
      <c r="CH242" s="75">
        <f>PARAM!$C$26+MAX($P$3-CHOOSE(PARAM!$B$44,MAX(0,CI241*$F$1),0),0)*RATES!$L218/12+$Q$3*(PARAM!$D$51/12)*RATES!$N218/100</f>
        <v>15.791666666666666</v>
      </c>
      <c r="CI242" s="16">
        <f>IF(CI241&gt;0,CI241*PARAM!$C$53,CI241)+CG242-CH242</f>
        <v>-3171.7499999999959</v>
      </c>
      <c r="CJ242" s="15">
        <f t="shared" si="175"/>
        <v>0</v>
      </c>
      <c r="CK242" s="75">
        <f>CJ242*(1-PARAM!$C$27)*$R$4+(MOD($B242/12,5)=0)*($B242&gt;60)*HLOOKUP($B242/12,Loyalty,2)*$F$1*MAX(CM241,0)</f>
        <v>0</v>
      </c>
      <c r="CL242" s="75">
        <f>PARAM!$C$26+MAX($P$4-CHOOSE(PARAM!$B$44,MAX(0,CM241*$F$1),0),0)*RATES!$L218/12+$Q$4*(PARAM!$D$51/12)*RATES!$N218/100</f>
        <v>15.791666666666666</v>
      </c>
      <c r="CM242" s="16">
        <f>IF(CM241&gt;0,CM241*PARAM!$C$53,CM241)+CK242-CL242</f>
        <v>-3171.7499999999959</v>
      </c>
      <c r="CO242" s="176"/>
    </row>
    <row r="243" spans="1:93" x14ac:dyDescent="0.2">
      <c r="A243" t="b">
        <f t="shared" si="150"/>
        <v>1</v>
      </c>
      <c r="B243" s="33">
        <v>216</v>
      </c>
      <c r="C243" s="15">
        <f t="shared" si="151"/>
        <v>20.081305947392778</v>
      </c>
      <c r="D243" s="75">
        <f>C243*(1-PARAM!$C$27)*$I$3+(MOD($B243,60)=PARAM!$B$56)*($B243&gt;(60-PARAM!$B$56))*HLOOKUP(($B243+PARAM!$B$56)/12,Loyalty,2)*$F$1*MAX(F242,0)</f>
        <v>16.808053077967756</v>
      </c>
      <c r="E243" s="75">
        <f>PARAM!$C$26+MAX($G$3-CHOOSE(PARAM!$B$44,MAX(0,F242*$F$1),0),0)*RATES!$L219/12+$H$3*(PARAM!$D$51/12)*RATES!$N219/100</f>
        <v>15.732730273275969</v>
      </c>
      <c r="F243" s="16">
        <f t="shared" si="152"/>
        <v>274.13969372683971</v>
      </c>
      <c r="G243" s="15">
        <f t="shared" si="153"/>
        <v>22.035289406060361</v>
      </c>
      <c r="H243" s="75">
        <f>G243*(1-PARAM!$C$27)*$I$4+(MOD($B243,60)=PARAM!$B$56)*($B243&gt;(60-PARAM!$B$56))*HLOOKUP(($B243+PARAM!$B$56)/12,Loyalty,2)*$F$1*MAX(J242,0)</f>
        <v>18.443537232872522</v>
      </c>
      <c r="I243" s="75">
        <f>PARAM!$C$26+MAX($G$4-CHOOSE(PARAM!$B$44,MAX(0,J242*$F$1),0),0)*RATES!$L219/12+$H$4*(PARAM!$D$51/12)*RATES!$N219/100</f>
        <v>15.657995143904968</v>
      </c>
      <c r="J243" s="16">
        <f t="shared" si="154"/>
        <v>622.11306067599014</v>
      </c>
      <c r="K243" s="15">
        <f t="shared" si="155"/>
        <v>22.170849845882874</v>
      </c>
      <c r="L243" s="75">
        <f>K243*(1-PARAM!$C$27)*$I$5+(MOD($B243,60)=PARAM!$B$56)*($B243&gt;(60-PARAM!$B$56))*HLOOKUP(($B243+PARAM!$B$56)/12,Loyalty,2)*$F$1*MAX(N242,0)</f>
        <v>18.557001321003963</v>
      </c>
      <c r="M243" s="75">
        <f>PARAM!$C$26+MAX($G$5-CHOOSE(PARAM!$B$44,MAX(0,N242*$F$1),0),0)*RATES!$L219/12+$H$5*(PARAM!$D$51/12)*RATES!$N219/100</f>
        <v>15.652806738515435</v>
      </c>
      <c r="N243" s="16">
        <f t="shared" si="156"/>
        <v>646.27065705922689</v>
      </c>
      <c r="O243" s="15">
        <f t="shared" si="157"/>
        <v>22.170849845882874</v>
      </c>
      <c r="P243" s="75">
        <f>O243*(1-PARAM!$C$27)*$I$6+(MOD($B243,60)=PARAM!$B$56)*($B243&gt;(60-PARAM!$B$56))*HLOOKUP(($B243+PARAM!$B$56)/12,Loyalty,2)*$F$1*MAX(R242,0)</f>
        <v>18.557001321003963</v>
      </c>
      <c r="Q243" s="75">
        <f>PARAM!$C$26+MAX($G$6-CHOOSE(PARAM!$B$44,MAX(0,R242*$F$1),0),0)*RATES!$L219/12+$H$6*(PARAM!$D$51/12)*RATES!$N219/100</f>
        <v>15.652806738515435</v>
      </c>
      <c r="R243" s="16">
        <f t="shared" si="158"/>
        <v>646.27065705922689</v>
      </c>
      <c r="S243" s="15">
        <f t="shared" si="133"/>
        <v>22.170849845882874</v>
      </c>
      <c r="T243" s="75">
        <f>S243*(1-PARAM!$C$27)*$I$7+(MOD($B243,60)=PARAM!$B$56)*($B243&gt;(60-PARAM!$B$56))*HLOOKUP(($B243+PARAM!$B$56)/12,Loyalty,2)*$F$1*MAX(V242,0)</f>
        <v>18.557001321003963</v>
      </c>
      <c r="U243" s="75">
        <f>PARAM!$C$26+MAX($G$7-CHOOSE(PARAM!$B$44,MAX(0,V242*$F$1),0),0)*RATES!$L219/12+$H$7*(PARAM!$D$51/12)*RATES!$N219/100</f>
        <v>15.652806738515435</v>
      </c>
      <c r="V243" s="16">
        <f t="shared" si="159"/>
        <v>646.27065705922689</v>
      </c>
      <c r="W243" s="15">
        <f t="shared" si="134"/>
        <v>22.170849845882874</v>
      </c>
      <c r="X243" s="75">
        <f>W243*(1-PARAM!$C$27)*$I$8+(MOD($B243,60)=PARAM!$B$56)*($B243&gt;(60-PARAM!$B$56))*HLOOKUP(($B243+PARAM!$B$56)/12,Loyalty,2)*$F$1*MAX(Z242,0)</f>
        <v>18.557001321003963</v>
      </c>
      <c r="Y243" s="75">
        <f>PARAM!$C$26+MAX($G$8-CHOOSE(PARAM!$B$44,MAX(0,Z242*$F$1),0),0)*RATES!$L219/12+$H$8*(PARAM!$D$51/12)*RATES!$N219/100</f>
        <v>15.652806738515435</v>
      </c>
      <c r="Z243" s="16">
        <f t="shared" si="160"/>
        <v>646.27065705922689</v>
      </c>
      <c r="AA243" s="15">
        <f t="shared" si="135"/>
        <v>22.170849845882874</v>
      </c>
      <c r="AB243" s="75">
        <f>AA243*(1-PARAM!$C$27)*$I$9+(MOD($B243,60)=PARAM!$B$56)*($B243&gt;(60-PARAM!$B$56))*HLOOKUP(($B243+PARAM!$B$56)/12,Loyalty,2)*$F$1*MAX(AD242,0)</f>
        <v>18.557001321003963</v>
      </c>
      <c r="AC243" s="75">
        <f>PARAM!$C$26+MAX($G$9-CHOOSE(PARAM!$B$44,MAX(0,AD242*$F$1),0),0)*RATES!$L219/12+$H$9*(PARAM!$D$51/12)*RATES!$N219/100</f>
        <v>15.652806738515435</v>
      </c>
      <c r="AD243" s="16">
        <f t="shared" si="161"/>
        <v>646.27065705922689</v>
      </c>
      <c r="AE243" s="15">
        <f t="shared" si="136"/>
        <v>22.170849845882874</v>
      </c>
      <c r="AF243" s="75">
        <f>AE243*(1-PARAM!$C$27)*$I$10+(MOD($B243,60)=PARAM!$B$56)*($B243&gt;(60-PARAM!$B$56))*HLOOKUP(($B243+PARAM!$B$56)/12,Loyalty,2)*$F$1*MAX(AH242,0)</f>
        <v>18.557001321003963</v>
      </c>
      <c r="AG243" s="75">
        <f>PARAM!$C$26+MAX($G$10-CHOOSE(PARAM!$B$44,MAX(0,AH242*$F$1),0),0)*RATES!$L219/12+$H$10*(PARAM!$D$51/12)*RATES!$N219/100</f>
        <v>15.652806738515435</v>
      </c>
      <c r="AH243" s="16">
        <f t="shared" si="162"/>
        <v>646.27065705922689</v>
      </c>
      <c r="AI243" s="15">
        <f t="shared" si="137"/>
        <v>22.170849845882874</v>
      </c>
      <c r="AJ243" s="75">
        <f>AI243*(1-PARAM!$C$27)*$I$11+(MOD($B243,60)=PARAM!$B$56)*($B243&gt;(60-PARAM!$B$56))*HLOOKUP(($B243+PARAM!$B$56)/12,Loyalty,2)*$F$1*MAX(AL242,0)</f>
        <v>18.557001321003963</v>
      </c>
      <c r="AK243" s="75">
        <f>PARAM!$C$26+MAX($G$11-CHOOSE(PARAM!$B$44,MAX(0,AL242*$F$1),0),0)*RATES!$L219/12+$H$11*(PARAM!$D$51/12)*RATES!$N219/100</f>
        <v>15.652806738515435</v>
      </c>
      <c r="AL243" s="16">
        <f t="shared" si="163"/>
        <v>646.27065705922689</v>
      </c>
      <c r="AM243" s="15">
        <f t="shared" si="138"/>
        <v>22.170849845882874</v>
      </c>
      <c r="AN243" s="75">
        <f>AM243*(1-PARAM!$C$27)*$I$12+(MOD($B243,60)=PARAM!$B$56)*($B243&gt;(60-PARAM!$B$56))*HLOOKUP(($B243+PARAM!$B$56)/12,Loyalty,2)*$F$1*MAX(AP242,0)</f>
        <v>18.557001321003963</v>
      </c>
      <c r="AO243" s="75">
        <f>PARAM!$C$26+MAX($G$12-CHOOSE(PARAM!$B$44,MAX(0,AP242*$F$1),0),0)*RATES!$L219/12+$H$12*(PARAM!$D$51/12)*RATES!$N219/100</f>
        <v>15.652806738515435</v>
      </c>
      <c r="AP243" s="16">
        <f t="shared" si="164"/>
        <v>646.27065705922689</v>
      </c>
      <c r="AQ243" s="15">
        <f t="shared" si="139"/>
        <v>22.170849845882874</v>
      </c>
      <c r="AR243" s="75">
        <f>AQ243*(1-PARAM!$C$27)*$I$13+(MOD($B243,60)=PARAM!$B$56)*($B243&gt;(60-PARAM!$B$56))*HLOOKUP(($B243+PARAM!$B$56)/12,Loyalty,2)*$F$1*MAX(AT242,0)</f>
        <v>18.557001321003963</v>
      </c>
      <c r="AS243" s="75">
        <f>PARAM!$C$26+MAX($G$13-CHOOSE(PARAM!$B$44,MAX(0,AT242*$F$1),0),0)*RATES!$L219/12+$H$13*(PARAM!$D$51/12)*RATES!$N219/100</f>
        <v>15.652806738515435</v>
      </c>
      <c r="AT243" s="16">
        <f t="shared" si="165"/>
        <v>646.27065705922689</v>
      </c>
      <c r="AU243" s="15">
        <f t="shared" si="140"/>
        <v>22.170849845882874</v>
      </c>
      <c r="AV243" s="75">
        <f>AU243*(1-PARAM!$C$27)*$I$14+(MOD($B243,60)=PARAM!$B$56)*($B243&gt;(60-PARAM!$B$56))*HLOOKUP(($B243+PARAM!$B$56)/12,Loyalty,2)*$F$1*MAX(AX242,0)</f>
        <v>18.557001321003963</v>
      </c>
      <c r="AW243" s="75">
        <f>PARAM!$C$26+MAX($G$14-CHOOSE(PARAM!$B$44,MAX(0,AX242*$F$1),0),0)*RATES!$L219/12+$H$14*(PARAM!$D$51/12)*RATES!$N219/100</f>
        <v>15.652806738515435</v>
      </c>
      <c r="AX243" s="16">
        <f t="shared" si="166"/>
        <v>646.27065705922689</v>
      </c>
      <c r="AY243" s="15">
        <f t="shared" si="141"/>
        <v>22.170849845882874</v>
      </c>
      <c r="AZ243" s="75">
        <f>AY243*(1-PARAM!$C$27)*$I$15+(MOD($B243,60)=PARAM!$B$56)*($B243&gt;(60-PARAM!$B$56))*HLOOKUP(($B243+PARAM!$B$56)/12,Loyalty,2)*$F$1*MAX(BB242,0)</f>
        <v>18.557001321003963</v>
      </c>
      <c r="BA243" s="75">
        <f>PARAM!$C$26+MAX($G$15-CHOOSE(PARAM!$B$44,MAX(0,BB242*$F$1),0),0)*RATES!$L219/12+$H$15*(PARAM!$D$51/12)*RATES!$N219/100</f>
        <v>15.652806738515435</v>
      </c>
      <c r="BB243" s="16">
        <f t="shared" si="167"/>
        <v>646.27065705922689</v>
      </c>
      <c r="BC243" s="15">
        <f t="shared" si="142"/>
        <v>22.170849845882874</v>
      </c>
      <c r="BD243" s="75">
        <f>BC243*(1-PARAM!$C$27)*$I$16+(MOD($B243,60)=PARAM!$B$56)*($B243&gt;(60-PARAM!$B$56))*HLOOKUP(($B243+PARAM!$B$56)/12,Loyalty,2)*$F$1*MAX(BF242,0)</f>
        <v>18.557001321003963</v>
      </c>
      <c r="BE243" s="75">
        <f>PARAM!$C$26+MAX($G$16-CHOOSE(PARAM!$B$44,MAX(0,BF242*$F$1),0),0)*RATES!$L219/12+$H$16*(PARAM!$D$51/12)*RATES!$N219/100</f>
        <v>15.652806738515435</v>
      </c>
      <c r="BF243" s="16">
        <f t="shared" si="168"/>
        <v>646.27065705922689</v>
      </c>
      <c r="BG243" s="15">
        <f t="shared" si="143"/>
        <v>22.170849845882874</v>
      </c>
      <c r="BH243" s="75">
        <f>BG243*(1-PARAM!$C$27)*$I$17+(MOD($B243,60)=PARAM!$B$56)*($B243&gt;(60-PARAM!$B$56))*HLOOKUP(($B243+PARAM!$B$56)/12,Loyalty,2)*$F$1*MAX(BJ242,0)</f>
        <v>18.557001321003963</v>
      </c>
      <c r="BI243" s="75">
        <f>PARAM!$C$26+MAX($G$17-CHOOSE(PARAM!$B$44,MAX(0,BJ242*$F$1),0),0)*RATES!$L219/12+$H$17*(PARAM!$D$51/12)*RATES!$N219/100</f>
        <v>15.652806738515435</v>
      </c>
      <c r="BJ243" s="16">
        <f t="shared" si="169"/>
        <v>646.27065705922689</v>
      </c>
      <c r="BK243" s="15">
        <f t="shared" si="144"/>
        <v>22.170849845882874</v>
      </c>
      <c r="BL243" s="75">
        <f>BK243*(1-PARAM!$C$27)*$I$18+(MOD($B243,60)=PARAM!$B$56)*($B243&gt;(60-PARAM!$B$56))*HLOOKUP(($B243+PARAM!$B$56)/12,Loyalty,2)*$F$1*MAX(BN242,0)</f>
        <v>18.557001321003963</v>
      </c>
      <c r="BM243" s="75">
        <f>PARAM!$C$26+MAX($G$18-CHOOSE(PARAM!$B$44,MAX(0,BN242*$F$1),0),0)*RATES!$L219/12+$H$18*(PARAM!$D$51/12)*RATES!$N219/100</f>
        <v>15.652806738515435</v>
      </c>
      <c r="BN243" s="16">
        <f t="shared" si="170"/>
        <v>646.27065705922689</v>
      </c>
      <c r="BO243" s="15">
        <f t="shared" si="145"/>
        <v>22.170849845882874</v>
      </c>
      <c r="BP243" s="75">
        <f>BO243*(1-PARAM!$C$27)*$I$19+(MOD($B243,60)=PARAM!$B$56)*($B243&gt;(60-PARAM!$B$56))*HLOOKUP(($B243+PARAM!$B$56)/12,Loyalty,2)*$F$1*MAX(BR242,0)</f>
        <v>18.557001321003963</v>
      </c>
      <c r="BQ243" s="75">
        <f>PARAM!$C$26+MAX($G$19-CHOOSE(PARAM!$B$44,MAX(0,BR242*$F$1),0),0)*RATES!$L219/12+$H$19*(PARAM!$D$51/12)*RATES!$N219/100</f>
        <v>15.652806738515435</v>
      </c>
      <c r="BR243" s="16">
        <f t="shared" si="171"/>
        <v>646.27065705922689</v>
      </c>
      <c r="BS243" s="15">
        <f t="shared" si="146"/>
        <v>22.170849845882874</v>
      </c>
      <c r="BT243" s="75">
        <f>BS243*(1-PARAM!$C$27)*$I$20+(MOD($B243,60)=PARAM!$B$56)*($B243&gt;(60-PARAM!$B$56))*HLOOKUP(($B243+PARAM!$B$56)/12,Loyalty,2)*$F$1*MAX(BV242,0)</f>
        <v>18.557001321003963</v>
      </c>
      <c r="BU243" s="75">
        <f>PARAM!$C$26+MAX($G$20-CHOOSE(PARAM!$B$44,MAX(0,BV242*$F$1),0),0)*RATES!$L219/12+$H$20*(PARAM!$D$51/12)*RATES!$N219/100</f>
        <v>15.652806738515435</v>
      </c>
      <c r="BV243" s="16">
        <f t="shared" si="172"/>
        <v>646.27065705922689</v>
      </c>
      <c r="BW243" s="15">
        <f t="shared" si="147"/>
        <v>22.170849845882874</v>
      </c>
      <c r="BX243" s="75">
        <f>BW243*(1-PARAM!$C$27)*$I$21+(MOD($B243,60)=PARAM!$B$56)*($B243&gt;(60-PARAM!$B$56))*HLOOKUP(($B243+PARAM!$B$56)/12,Loyalty,2)*$F$1*MAX(BZ242,0)</f>
        <v>18.557001321003963</v>
      </c>
      <c r="BY243" s="75">
        <f>PARAM!$C$26+MAX($G$21-CHOOSE(PARAM!$B$44,MAX(0,BZ242*$F$1),0),0)*RATES!$L219/12+$H$21*(PARAM!$D$51/12)*RATES!$N219/100</f>
        <v>15.652806738515435</v>
      </c>
      <c r="BZ243" s="16">
        <f t="shared" si="173"/>
        <v>646.27065705922689</v>
      </c>
      <c r="CA243" s="15">
        <f t="shared" si="148"/>
        <v>22.170849845882874</v>
      </c>
      <c r="CB243" s="75">
        <f>CA243*(1-PARAM!$C$27)*$I$22+(MOD($B243,60)=PARAM!$B$56)*($B243&gt;(60-PARAM!$B$56))*HLOOKUP(($B243+PARAM!$B$56)/12,Loyalty,2)*$F$1*MAX(CD242,0)</f>
        <v>18.557001321003963</v>
      </c>
      <c r="CC243" s="75">
        <f>PARAM!$C$26+MAX($G$22-CHOOSE(PARAM!$B$44,MAX(0,CD242*$F$1),0),0)*RATES!$L219/12+$H$22*(PARAM!$D$51/12)*RATES!$N219/100</f>
        <v>15.652806738515435</v>
      </c>
      <c r="CD243" s="16">
        <f t="shared" si="174"/>
        <v>646.27065705922689</v>
      </c>
      <c r="CE243" s="33">
        <f>IF(0=MOD(B243,12/PARAM!$D$51),1,0)</f>
        <v>1</v>
      </c>
      <c r="CF243" s="15">
        <f t="shared" si="149"/>
        <v>0</v>
      </c>
      <c r="CG243" s="75">
        <f>CF243*(1-PARAM!$C$27)*$R$3+(MOD($B243/12,5)=0)*($B243&gt;60)*HLOOKUP($B243/12,Loyalty,2)*$F$1*MAX(CI242,0)</f>
        <v>0</v>
      </c>
      <c r="CH243" s="75">
        <f>PARAM!$C$26+MAX($P$3-CHOOSE(PARAM!$B$44,MAX(0,CI242*$F$1),0),0)*RATES!$L219/12+$Q$3*(PARAM!$D$51/12)*RATES!$N219/100</f>
        <v>15.791666666666666</v>
      </c>
      <c r="CI243" s="16">
        <f>IF(CI242&gt;0,CI242*PARAM!$C$53,CI242)+CG243-CH243</f>
        <v>-3187.5416666666624</v>
      </c>
      <c r="CJ243" s="15">
        <f t="shared" si="175"/>
        <v>0</v>
      </c>
      <c r="CK243" s="75">
        <f>CJ243*(1-PARAM!$C$27)*$R$4+(MOD($B243/12,5)=0)*($B243&gt;60)*HLOOKUP($B243/12,Loyalty,2)*$F$1*MAX(CM242,0)</f>
        <v>0</v>
      </c>
      <c r="CL243" s="75">
        <f>PARAM!$C$26+MAX($P$4-CHOOSE(PARAM!$B$44,MAX(0,CM242*$F$1),0),0)*RATES!$L219/12+$Q$4*(PARAM!$D$51/12)*RATES!$N219/100</f>
        <v>15.791666666666666</v>
      </c>
      <c r="CM243" s="16">
        <f>IF(CM242&gt;0,CM242*PARAM!$C$53,CM242)+CK243-CL243</f>
        <v>-3187.5416666666624</v>
      </c>
      <c r="CO243" s="176"/>
    </row>
    <row r="244" spans="1:93" x14ac:dyDescent="0.2">
      <c r="A244" t="b">
        <f t="shared" si="150"/>
        <v>1</v>
      </c>
      <c r="B244" s="33">
        <v>217</v>
      </c>
      <c r="C244" s="15">
        <f t="shared" si="151"/>
        <v>20.081305947392778</v>
      </c>
      <c r="D244" s="75">
        <f>C244*(1-PARAM!$C$27)*$I$3+(MOD($B244,60)=PARAM!$B$56)*($B244&gt;(60-PARAM!$B$56))*HLOOKUP(($B244+PARAM!$B$56)/12,Loyalty,2)*$F$1*MAX(F243,0)</f>
        <v>16.808053077967756</v>
      </c>
      <c r="E244" s="75">
        <f>PARAM!$C$26+MAX($G$3-CHOOSE(PARAM!$B$44,MAX(0,F243*$F$1),0),0)*RATES!$L220/12+$H$3*(PARAM!$D$51/12)*RATES!$N220/100</f>
        <v>15.732498182770625</v>
      </c>
      <c r="F244" s="16">
        <f t="shared" si="152"/>
        <v>275.21524862203688</v>
      </c>
      <c r="G244" s="15">
        <f t="shared" si="153"/>
        <v>22.035289406060361</v>
      </c>
      <c r="H244" s="75">
        <f>G244*(1-PARAM!$C$27)*$I$4+(MOD($B244,60)=PARAM!$B$56)*($B244&gt;(60-PARAM!$B$56))*HLOOKUP(($B244+PARAM!$B$56)/12,Loyalty,2)*$F$1*MAX(J243,0)</f>
        <v>18.443537232872522</v>
      </c>
      <c r="I244" s="75">
        <f>PARAM!$C$26+MAX($G$4-CHOOSE(PARAM!$B$44,MAX(0,J243*$F$1),0),0)*RATES!$L220/12+$H$4*(PARAM!$D$51/12)*RATES!$N220/100</f>
        <v>15.657393931070764</v>
      </c>
      <c r="J244" s="16">
        <f t="shared" si="154"/>
        <v>624.8992039777919</v>
      </c>
      <c r="K244" s="15">
        <f t="shared" si="155"/>
        <v>22.170849845882874</v>
      </c>
      <c r="L244" s="75">
        <f>K244*(1-PARAM!$C$27)*$I$5+(MOD($B244,60)=PARAM!$B$56)*($B244&gt;(60-PARAM!$B$56))*HLOOKUP(($B244+PARAM!$B$56)/12,Loyalty,2)*$F$1*MAX(N243,0)</f>
        <v>18.557001321003963</v>
      </c>
      <c r="M244" s="75">
        <f>PARAM!$C$26+MAX($G$5-CHOOSE(PARAM!$B$44,MAX(0,N243*$F$1),0),0)*RATES!$L220/12+$H$5*(PARAM!$D$51/12)*RATES!$N220/100</f>
        <v>15.652179916518049</v>
      </c>
      <c r="N244" s="16">
        <f t="shared" si="156"/>
        <v>649.17547846371281</v>
      </c>
      <c r="O244" s="15">
        <f t="shared" si="157"/>
        <v>22.170849845882874</v>
      </c>
      <c r="P244" s="75">
        <f>O244*(1-PARAM!$C$27)*$I$6+(MOD($B244,60)=PARAM!$B$56)*($B244&gt;(60-PARAM!$B$56))*HLOOKUP(($B244+PARAM!$B$56)/12,Loyalty,2)*$F$1*MAX(R243,0)</f>
        <v>18.557001321003963</v>
      </c>
      <c r="Q244" s="75">
        <f>PARAM!$C$26+MAX($G$6-CHOOSE(PARAM!$B$44,MAX(0,R243*$F$1),0),0)*RATES!$L220/12+$H$6*(PARAM!$D$51/12)*RATES!$N220/100</f>
        <v>15.652179916518049</v>
      </c>
      <c r="R244" s="16">
        <f t="shared" si="158"/>
        <v>649.17547846371281</v>
      </c>
      <c r="S244" s="15">
        <f t="shared" si="133"/>
        <v>22.170849845882874</v>
      </c>
      <c r="T244" s="75">
        <f>S244*(1-PARAM!$C$27)*$I$7+(MOD($B244,60)=PARAM!$B$56)*($B244&gt;(60-PARAM!$B$56))*HLOOKUP(($B244+PARAM!$B$56)/12,Loyalty,2)*$F$1*MAX(V243,0)</f>
        <v>18.557001321003963</v>
      </c>
      <c r="U244" s="75">
        <f>PARAM!$C$26+MAX($G$7-CHOOSE(PARAM!$B$44,MAX(0,V243*$F$1),0),0)*RATES!$L220/12+$H$7*(PARAM!$D$51/12)*RATES!$N220/100</f>
        <v>15.652179916518049</v>
      </c>
      <c r="V244" s="16">
        <f t="shared" si="159"/>
        <v>649.17547846371281</v>
      </c>
      <c r="W244" s="15">
        <f t="shared" si="134"/>
        <v>22.170849845882874</v>
      </c>
      <c r="X244" s="75">
        <f>W244*(1-PARAM!$C$27)*$I$8+(MOD($B244,60)=PARAM!$B$56)*($B244&gt;(60-PARAM!$B$56))*HLOOKUP(($B244+PARAM!$B$56)/12,Loyalty,2)*$F$1*MAX(Z243,0)</f>
        <v>18.557001321003963</v>
      </c>
      <c r="Y244" s="75">
        <f>PARAM!$C$26+MAX($G$8-CHOOSE(PARAM!$B$44,MAX(0,Z243*$F$1),0),0)*RATES!$L220/12+$H$8*(PARAM!$D$51/12)*RATES!$N220/100</f>
        <v>15.652179916518049</v>
      </c>
      <c r="Z244" s="16">
        <f t="shared" si="160"/>
        <v>649.17547846371281</v>
      </c>
      <c r="AA244" s="15">
        <f t="shared" si="135"/>
        <v>22.170849845882874</v>
      </c>
      <c r="AB244" s="75">
        <f>AA244*(1-PARAM!$C$27)*$I$9+(MOD($B244,60)=PARAM!$B$56)*($B244&gt;(60-PARAM!$B$56))*HLOOKUP(($B244+PARAM!$B$56)/12,Loyalty,2)*$F$1*MAX(AD243,0)</f>
        <v>18.557001321003963</v>
      </c>
      <c r="AC244" s="75">
        <f>PARAM!$C$26+MAX($G$9-CHOOSE(PARAM!$B$44,MAX(0,AD243*$F$1),0),0)*RATES!$L220/12+$H$9*(PARAM!$D$51/12)*RATES!$N220/100</f>
        <v>15.652179916518049</v>
      </c>
      <c r="AD244" s="16">
        <f t="shared" si="161"/>
        <v>649.17547846371281</v>
      </c>
      <c r="AE244" s="15">
        <f t="shared" si="136"/>
        <v>22.170849845882874</v>
      </c>
      <c r="AF244" s="75">
        <f>AE244*(1-PARAM!$C$27)*$I$10+(MOD($B244,60)=PARAM!$B$56)*($B244&gt;(60-PARAM!$B$56))*HLOOKUP(($B244+PARAM!$B$56)/12,Loyalty,2)*$F$1*MAX(AH243,0)</f>
        <v>18.557001321003963</v>
      </c>
      <c r="AG244" s="75">
        <f>PARAM!$C$26+MAX($G$10-CHOOSE(PARAM!$B$44,MAX(0,AH243*$F$1),0),0)*RATES!$L220/12+$H$10*(PARAM!$D$51/12)*RATES!$N220/100</f>
        <v>15.652179916518049</v>
      </c>
      <c r="AH244" s="16">
        <f t="shared" si="162"/>
        <v>649.17547846371281</v>
      </c>
      <c r="AI244" s="15">
        <f t="shared" si="137"/>
        <v>22.170849845882874</v>
      </c>
      <c r="AJ244" s="75">
        <f>AI244*(1-PARAM!$C$27)*$I$11+(MOD($B244,60)=PARAM!$B$56)*($B244&gt;(60-PARAM!$B$56))*HLOOKUP(($B244+PARAM!$B$56)/12,Loyalty,2)*$F$1*MAX(AL243,0)</f>
        <v>18.557001321003963</v>
      </c>
      <c r="AK244" s="75">
        <f>PARAM!$C$26+MAX($G$11-CHOOSE(PARAM!$B$44,MAX(0,AL243*$F$1),0),0)*RATES!$L220/12+$H$11*(PARAM!$D$51/12)*RATES!$N220/100</f>
        <v>15.652179916518049</v>
      </c>
      <c r="AL244" s="16">
        <f t="shared" si="163"/>
        <v>649.17547846371281</v>
      </c>
      <c r="AM244" s="15">
        <f t="shared" si="138"/>
        <v>22.170849845882874</v>
      </c>
      <c r="AN244" s="75">
        <f>AM244*(1-PARAM!$C$27)*$I$12+(MOD($B244,60)=PARAM!$B$56)*($B244&gt;(60-PARAM!$B$56))*HLOOKUP(($B244+PARAM!$B$56)/12,Loyalty,2)*$F$1*MAX(AP243,0)</f>
        <v>18.557001321003963</v>
      </c>
      <c r="AO244" s="75">
        <f>PARAM!$C$26+MAX($G$12-CHOOSE(PARAM!$B$44,MAX(0,AP243*$F$1),0),0)*RATES!$L220/12+$H$12*(PARAM!$D$51/12)*RATES!$N220/100</f>
        <v>15.652179916518049</v>
      </c>
      <c r="AP244" s="16">
        <f t="shared" si="164"/>
        <v>649.17547846371281</v>
      </c>
      <c r="AQ244" s="15">
        <f t="shared" si="139"/>
        <v>22.170849845882874</v>
      </c>
      <c r="AR244" s="75">
        <f>AQ244*(1-PARAM!$C$27)*$I$13+(MOD($B244,60)=PARAM!$B$56)*($B244&gt;(60-PARAM!$B$56))*HLOOKUP(($B244+PARAM!$B$56)/12,Loyalty,2)*$F$1*MAX(AT243,0)</f>
        <v>18.557001321003963</v>
      </c>
      <c r="AS244" s="75">
        <f>PARAM!$C$26+MAX($G$13-CHOOSE(PARAM!$B$44,MAX(0,AT243*$F$1),0),0)*RATES!$L220/12+$H$13*(PARAM!$D$51/12)*RATES!$N220/100</f>
        <v>15.652179916518049</v>
      </c>
      <c r="AT244" s="16">
        <f t="shared" si="165"/>
        <v>649.17547846371281</v>
      </c>
      <c r="AU244" s="15">
        <f t="shared" si="140"/>
        <v>22.170849845882874</v>
      </c>
      <c r="AV244" s="75">
        <f>AU244*(1-PARAM!$C$27)*$I$14+(MOD($B244,60)=PARAM!$B$56)*($B244&gt;(60-PARAM!$B$56))*HLOOKUP(($B244+PARAM!$B$56)/12,Loyalty,2)*$F$1*MAX(AX243,0)</f>
        <v>18.557001321003963</v>
      </c>
      <c r="AW244" s="75">
        <f>PARAM!$C$26+MAX($G$14-CHOOSE(PARAM!$B$44,MAX(0,AX243*$F$1),0),0)*RATES!$L220/12+$H$14*(PARAM!$D$51/12)*RATES!$N220/100</f>
        <v>15.652179916518049</v>
      </c>
      <c r="AX244" s="16">
        <f t="shared" si="166"/>
        <v>649.17547846371281</v>
      </c>
      <c r="AY244" s="15">
        <f t="shared" si="141"/>
        <v>22.170849845882874</v>
      </c>
      <c r="AZ244" s="75">
        <f>AY244*(1-PARAM!$C$27)*$I$15+(MOD($B244,60)=PARAM!$B$56)*($B244&gt;(60-PARAM!$B$56))*HLOOKUP(($B244+PARAM!$B$56)/12,Loyalty,2)*$F$1*MAX(BB243,0)</f>
        <v>18.557001321003963</v>
      </c>
      <c r="BA244" s="75">
        <f>PARAM!$C$26+MAX($G$15-CHOOSE(PARAM!$B$44,MAX(0,BB243*$F$1),0),0)*RATES!$L220/12+$H$15*(PARAM!$D$51/12)*RATES!$N220/100</f>
        <v>15.652179916518049</v>
      </c>
      <c r="BB244" s="16">
        <f t="shared" si="167"/>
        <v>649.17547846371281</v>
      </c>
      <c r="BC244" s="15">
        <f t="shared" si="142"/>
        <v>22.170849845882874</v>
      </c>
      <c r="BD244" s="75">
        <f>BC244*(1-PARAM!$C$27)*$I$16+(MOD($B244,60)=PARAM!$B$56)*($B244&gt;(60-PARAM!$B$56))*HLOOKUP(($B244+PARAM!$B$56)/12,Loyalty,2)*$F$1*MAX(BF243,0)</f>
        <v>18.557001321003963</v>
      </c>
      <c r="BE244" s="75">
        <f>PARAM!$C$26+MAX($G$16-CHOOSE(PARAM!$B$44,MAX(0,BF243*$F$1),0),0)*RATES!$L220/12+$H$16*(PARAM!$D$51/12)*RATES!$N220/100</f>
        <v>15.652179916518049</v>
      </c>
      <c r="BF244" s="16">
        <f t="shared" si="168"/>
        <v>649.17547846371281</v>
      </c>
      <c r="BG244" s="15">
        <f t="shared" si="143"/>
        <v>22.170849845882874</v>
      </c>
      <c r="BH244" s="75">
        <f>BG244*(1-PARAM!$C$27)*$I$17+(MOD($B244,60)=PARAM!$B$56)*($B244&gt;(60-PARAM!$B$56))*HLOOKUP(($B244+PARAM!$B$56)/12,Loyalty,2)*$F$1*MAX(BJ243,0)</f>
        <v>18.557001321003963</v>
      </c>
      <c r="BI244" s="75">
        <f>PARAM!$C$26+MAX($G$17-CHOOSE(PARAM!$B$44,MAX(0,BJ243*$F$1),0),0)*RATES!$L220/12+$H$17*(PARAM!$D$51/12)*RATES!$N220/100</f>
        <v>15.652179916518049</v>
      </c>
      <c r="BJ244" s="16">
        <f t="shared" si="169"/>
        <v>649.17547846371281</v>
      </c>
      <c r="BK244" s="15">
        <f t="shared" si="144"/>
        <v>22.170849845882874</v>
      </c>
      <c r="BL244" s="75">
        <f>BK244*(1-PARAM!$C$27)*$I$18+(MOD($B244,60)=PARAM!$B$56)*($B244&gt;(60-PARAM!$B$56))*HLOOKUP(($B244+PARAM!$B$56)/12,Loyalty,2)*$F$1*MAX(BN243,0)</f>
        <v>18.557001321003963</v>
      </c>
      <c r="BM244" s="75">
        <f>PARAM!$C$26+MAX($G$18-CHOOSE(PARAM!$B$44,MAX(0,BN243*$F$1),0),0)*RATES!$L220/12+$H$18*(PARAM!$D$51/12)*RATES!$N220/100</f>
        <v>15.652179916518049</v>
      </c>
      <c r="BN244" s="16">
        <f t="shared" si="170"/>
        <v>649.17547846371281</v>
      </c>
      <c r="BO244" s="15">
        <f t="shared" si="145"/>
        <v>22.170849845882874</v>
      </c>
      <c r="BP244" s="75">
        <f>BO244*(1-PARAM!$C$27)*$I$19+(MOD($B244,60)=PARAM!$B$56)*($B244&gt;(60-PARAM!$B$56))*HLOOKUP(($B244+PARAM!$B$56)/12,Loyalty,2)*$F$1*MAX(BR243,0)</f>
        <v>18.557001321003963</v>
      </c>
      <c r="BQ244" s="75">
        <f>PARAM!$C$26+MAX($G$19-CHOOSE(PARAM!$B$44,MAX(0,BR243*$F$1),0),0)*RATES!$L220/12+$H$19*(PARAM!$D$51/12)*RATES!$N220/100</f>
        <v>15.652179916518049</v>
      </c>
      <c r="BR244" s="16">
        <f t="shared" si="171"/>
        <v>649.17547846371281</v>
      </c>
      <c r="BS244" s="15">
        <f t="shared" si="146"/>
        <v>22.170849845882874</v>
      </c>
      <c r="BT244" s="75">
        <f>BS244*(1-PARAM!$C$27)*$I$20+(MOD($B244,60)=PARAM!$B$56)*($B244&gt;(60-PARAM!$B$56))*HLOOKUP(($B244+PARAM!$B$56)/12,Loyalty,2)*$F$1*MAX(BV243,0)</f>
        <v>18.557001321003963</v>
      </c>
      <c r="BU244" s="75">
        <f>PARAM!$C$26+MAX($G$20-CHOOSE(PARAM!$B$44,MAX(0,BV243*$F$1),0),0)*RATES!$L220/12+$H$20*(PARAM!$D$51/12)*RATES!$N220/100</f>
        <v>15.652179916518049</v>
      </c>
      <c r="BV244" s="16">
        <f t="shared" si="172"/>
        <v>649.17547846371281</v>
      </c>
      <c r="BW244" s="15">
        <f t="shared" si="147"/>
        <v>22.170849845882874</v>
      </c>
      <c r="BX244" s="75">
        <f>BW244*(1-PARAM!$C$27)*$I$21+(MOD($B244,60)=PARAM!$B$56)*($B244&gt;(60-PARAM!$B$56))*HLOOKUP(($B244+PARAM!$B$56)/12,Loyalty,2)*$F$1*MAX(BZ243,0)</f>
        <v>18.557001321003963</v>
      </c>
      <c r="BY244" s="75">
        <f>PARAM!$C$26+MAX($G$21-CHOOSE(PARAM!$B$44,MAX(0,BZ243*$F$1),0),0)*RATES!$L220/12+$H$21*(PARAM!$D$51/12)*RATES!$N220/100</f>
        <v>15.652179916518049</v>
      </c>
      <c r="BZ244" s="16">
        <f t="shared" si="173"/>
        <v>649.17547846371281</v>
      </c>
      <c r="CA244" s="15">
        <f t="shared" si="148"/>
        <v>22.170849845882874</v>
      </c>
      <c r="CB244" s="75">
        <f>CA244*(1-PARAM!$C$27)*$I$22+(MOD($B244,60)=PARAM!$B$56)*($B244&gt;(60-PARAM!$B$56))*HLOOKUP(($B244+PARAM!$B$56)/12,Loyalty,2)*$F$1*MAX(CD243,0)</f>
        <v>18.557001321003963</v>
      </c>
      <c r="CC244" s="75">
        <f>PARAM!$C$26+MAX($G$22-CHOOSE(PARAM!$B$44,MAX(0,CD243*$F$1),0),0)*RATES!$L220/12+$H$22*(PARAM!$D$51/12)*RATES!$N220/100</f>
        <v>15.652179916518049</v>
      </c>
      <c r="CD244" s="16">
        <f t="shared" si="174"/>
        <v>649.17547846371281</v>
      </c>
      <c r="CE244" s="33">
        <f>IF(0=MOD(B244,12/PARAM!$D$51),1,0)</f>
        <v>1</v>
      </c>
      <c r="CF244" s="15">
        <f t="shared" si="149"/>
        <v>0</v>
      </c>
      <c r="CG244" s="75">
        <f>CF244*(1-PARAM!$C$27)*$R$3+(MOD($B244/12,5)=0)*($B244&gt;60)*HLOOKUP($B244/12,Loyalty,2)*$F$1*MAX(CI243,0)</f>
        <v>0</v>
      </c>
      <c r="CH244" s="75">
        <f>PARAM!$C$26+MAX($P$3-CHOOSE(PARAM!$B$44,MAX(0,CI243*$F$1),0),0)*RATES!$L220/12+$Q$3*(PARAM!$D$51/12)*RATES!$N220/100</f>
        <v>15.791666666666666</v>
      </c>
      <c r="CI244" s="16">
        <f>IF(CI243&gt;0,CI243*PARAM!$C$53,CI243)+CG244-CH244</f>
        <v>-3203.3333333333289</v>
      </c>
      <c r="CJ244" s="15">
        <f t="shared" si="175"/>
        <v>0</v>
      </c>
      <c r="CK244" s="75">
        <f>CJ244*(1-PARAM!$C$27)*$R$4+(MOD($B244/12,5)=0)*($B244&gt;60)*HLOOKUP($B244/12,Loyalty,2)*$F$1*MAX(CM243,0)</f>
        <v>0</v>
      </c>
      <c r="CL244" s="75">
        <f>PARAM!$C$26+MAX($P$4-CHOOSE(PARAM!$B$44,MAX(0,CM243*$F$1),0),0)*RATES!$L220/12+$Q$4*(PARAM!$D$51/12)*RATES!$N220/100</f>
        <v>15.791666666666666</v>
      </c>
      <c r="CM244" s="16">
        <f>IF(CM243&gt;0,CM243*PARAM!$C$53,CM243)+CK244-CL244</f>
        <v>-3203.3333333333289</v>
      </c>
      <c r="CO244" s="176"/>
    </row>
    <row r="245" spans="1:93" x14ac:dyDescent="0.2">
      <c r="A245" t="b">
        <f t="shared" si="150"/>
        <v>1</v>
      </c>
      <c r="B245" s="33">
        <v>218</v>
      </c>
      <c r="C245" s="15">
        <f t="shared" si="151"/>
        <v>20.081305947392778</v>
      </c>
      <c r="D245" s="75">
        <f>C245*(1-PARAM!$C$27)*$I$3+(MOD($B245,60)=PARAM!$B$56)*($B245&gt;(60-PARAM!$B$56))*HLOOKUP(($B245+PARAM!$B$56)/12,Loyalty,2)*$F$1*MAX(F244,0)</f>
        <v>16.808053077967756</v>
      </c>
      <c r="E245" s="75">
        <f>PARAM!$C$26+MAX($G$3-CHOOSE(PARAM!$B$44,MAX(0,F244*$F$1),0),0)*RATES!$L221/12+$H$3*(PARAM!$D$51/12)*RATES!$N221/100</f>
        <v>15.732266042172411</v>
      </c>
      <c r="F245" s="16">
        <f t="shared" si="152"/>
        <v>276.29103565783225</v>
      </c>
      <c r="G245" s="15">
        <f t="shared" si="153"/>
        <v>22.035289406060361</v>
      </c>
      <c r="H245" s="75">
        <f>G245*(1-PARAM!$C$27)*$I$4+(MOD($B245,60)=PARAM!$B$56)*($B245&gt;(60-PARAM!$B$56))*HLOOKUP(($B245+PARAM!$B$56)/12,Loyalty,2)*$F$1*MAX(J244,0)</f>
        <v>18.443537232872522</v>
      </c>
      <c r="I245" s="75">
        <f>PARAM!$C$26+MAX($G$4-CHOOSE(PARAM!$B$44,MAX(0,J244*$F$1),0),0)*RATES!$L221/12+$H$4*(PARAM!$D$51/12)*RATES!$N221/100</f>
        <v>15.656792588474792</v>
      </c>
      <c r="J245" s="16">
        <f t="shared" si="154"/>
        <v>627.68594862218958</v>
      </c>
      <c r="K245" s="15">
        <f t="shared" si="155"/>
        <v>22.170849845882874</v>
      </c>
      <c r="L245" s="75">
        <f>K245*(1-PARAM!$C$27)*$I$5+(MOD($B245,60)=PARAM!$B$56)*($B245&gt;(60-PARAM!$B$56))*HLOOKUP(($B245+PARAM!$B$56)/12,Loyalty,2)*$F$1*MAX(N244,0)</f>
        <v>18.557001321003963</v>
      </c>
      <c r="M245" s="75">
        <f>PARAM!$C$26+MAX($G$5-CHOOSE(PARAM!$B$44,MAX(0,N244*$F$1),0),0)*RATES!$L221/12+$H$5*(PARAM!$D$51/12)*RATES!$N221/100</f>
        <v>15.651552959231582</v>
      </c>
      <c r="N245" s="16">
        <f t="shared" si="156"/>
        <v>652.08092682548522</v>
      </c>
      <c r="O245" s="15">
        <f t="shared" si="157"/>
        <v>22.170849845882874</v>
      </c>
      <c r="P245" s="75">
        <f>O245*(1-PARAM!$C$27)*$I$6+(MOD($B245,60)=PARAM!$B$56)*($B245&gt;(60-PARAM!$B$56))*HLOOKUP(($B245+PARAM!$B$56)/12,Loyalty,2)*$F$1*MAX(R244,0)</f>
        <v>18.557001321003963</v>
      </c>
      <c r="Q245" s="75">
        <f>PARAM!$C$26+MAX($G$6-CHOOSE(PARAM!$B$44,MAX(0,R244*$F$1),0),0)*RATES!$L221/12+$H$6*(PARAM!$D$51/12)*RATES!$N221/100</f>
        <v>15.651552959231582</v>
      </c>
      <c r="R245" s="16">
        <f t="shared" si="158"/>
        <v>652.08092682548522</v>
      </c>
      <c r="S245" s="15">
        <f t="shared" si="133"/>
        <v>22.170849845882874</v>
      </c>
      <c r="T245" s="75">
        <f>S245*(1-PARAM!$C$27)*$I$7+(MOD($B245,60)=PARAM!$B$56)*($B245&gt;(60-PARAM!$B$56))*HLOOKUP(($B245+PARAM!$B$56)/12,Loyalty,2)*$F$1*MAX(V244,0)</f>
        <v>18.557001321003963</v>
      </c>
      <c r="U245" s="75">
        <f>PARAM!$C$26+MAX($G$7-CHOOSE(PARAM!$B$44,MAX(0,V244*$F$1),0),0)*RATES!$L221/12+$H$7*(PARAM!$D$51/12)*RATES!$N221/100</f>
        <v>15.651552959231582</v>
      </c>
      <c r="V245" s="16">
        <f t="shared" si="159"/>
        <v>652.08092682548522</v>
      </c>
      <c r="W245" s="15">
        <f t="shared" si="134"/>
        <v>22.170849845882874</v>
      </c>
      <c r="X245" s="75">
        <f>W245*(1-PARAM!$C$27)*$I$8+(MOD($B245,60)=PARAM!$B$56)*($B245&gt;(60-PARAM!$B$56))*HLOOKUP(($B245+PARAM!$B$56)/12,Loyalty,2)*$F$1*MAX(Z244,0)</f>
        <v>18.557001321003963</v>
      </c>
      <c r="Y245" s="75">
        <f>PARAM!$C$26+MAX($G$8-CHOOSE(PARAM!$B$44,MAX(0,Z244*$F$1),0),0)*RATES!$L221/12+$H$8*(PARAM!$D$51/12)*RATES!$N221/100</f>
        <v>15.651552959231582</v>
      </c>
      <c r="Z245" s="16">
        <f t="shared" si="160"/>
        <v>652.08092682548522</v>
      </c>
      <c r="AA245" s="15">
        <f t="shared" si="135"/>
        <v>22.170849845882874</v>
      </c>
      <c r="AB245" s="75">
        <f>AA245*(1-PARAM!$C$27)*$I$9+(MOD($B245,60)=PARAM!$B$56)*($B245&gt;(60-PARAM!$B$56))*HLOOKUP(($B245+PARAM!$B$56)/12,Loyalty,2)*$F$1*MAX(AD244,0)</f>
        <v>18.557001321003963</v>
      </c>
      <c r="AC245" s="75">
        <f>PARAM!$C$26+MAX($G$9-CHOOSE(PARAM!$B$44,MAX(0,AD244*$F$1),0),0)*RATES!$L221/12+$H$9*(PARAM!$D$51/12)*RATES!$N221/100</f>
        <v>15.651552959231582</v>
      </c>
      <c r="AD245" s="16">
        <f t="shared" si="161"/>
        <v>652.08092682548522</v>
      </c>
      <c r="AE245" s="15">
        <f t="shared" si="136"/>
        <v>22.170849845882874</v>
      </c>
      <c r="AF245" s="75">
        <f>AE245*(1-PARAM!$C$27)*$I$10+(MOD($B245,60)=PARAM!$B$56)*($B245&gt;(60-PARAM!$B$56))*HLOOKUP(($B245+PARAM!$B$56)/12,Loyalty,2)*$F$1*MAX(AH244,0)</f>
        <v>18.557001321003963</v>
      </c>
      <c r="AG245" s="75">
        <f>PARAM!$C$26+MAX($G$10-CHOOSE(PARAM!$B$44,MAX(0,AH244*$F$1),0),0)*RATES!$L221/12+$H$10*(PARAM!$D$51/12)*RATES!$N221/100</f>
        <v>15.651552959231582</v>
      </c>
      <c r="AH245" s="16">
        <f t="shared" si="162"/>
        <v>652.08092682548522</v>
      </c>
      <c r="AI245" s="15">
        <f t="shared" si="137"/>
        <v>22.170849845882874</v>
      </c>
      <c r="AJ245" s="75">
        <f>AI245*(1-PARAM!$C$27)*$I$11+(MOD($B245,60)=PARAM!$B$56)*($B245&gt;(60-PARAM!$B$56))*HLOOKUP(($B245+PARAM!$B$56)/12,Loyalty,2)*$F$1*MAX(AL244,0)</f>
        <v>18.557001321003963</v>
      </c>
      <c r="AK245" s="75">
        <f>PARAM!$C$26+MAX($G$11-CHOOSE(PARAM!$B$44,MAX(0,AL244*$F$1),0),0)*RATES!$L221/12+$H$11*(PARAM!$D$51/12)*RATES!$N221/100</f>
        <v>15.651552959231582</v>
      </c>
      <c r="AL245" s="16">
        <f t="shared" si="163"/>
        <v>652.08092682548522</v>
      </c>
      <c r="AM245" s="15">
        <f t="shared" si="138"/>
        <v>22.170849845882874</v>
      </c>
      <c r="AN245" s="75">
        <f>AM245*(1-PARAM!$C$27)*$I$12+(MOD($B245,60)=PARAM!$B$56)*($B245&gt;(60-PARAM!$B$56))*HLOOKUP(($B245+PARAM!$B$56)/12,Loyalty,2)*$F$1*MAX(AP244,0)</f>
        <v>18.557001321003963</v>
      </c>
      <c r="AO245" s="75">
        <f>PARAM!$C$26+MAX($G$12-CHOOSE(PARAM!$B$44,MAX(0,AP244*$F$1),0),0)*RATES!$L221/12+$H$12*(PARAM!$D$51/12)*RATES!$N221/100</f>
        <v>15.651552959231582</v>
      </c>
      <c r="AP245" s="16">
        <f t="shared" si="164"/>
        <v>652.08092682548522</v>
      </c>
      <c r="AQ245" s="15">
        <f t="shared" si="139"/>
        <v>22.170849845882874</v>
      </c>
      <c r="AR245" s="75">
        <f>AQ245*(1-PARAM!$C$27)*$I$13+(MOD($B245,60)=PARAM!$B$56)*($B245&gt;(60-PARAM!$B$56))*HLOOKUP(($B245+PARAM!$B$56)/12,Loyalty,2)*$F$1*MAX(AT244,0)</f>
        <v>18.557001321003963</v>
      </c>
      <c r="AS245" s="75">
        <f>PARAM!$C$26+MAX($G$13-CHOOSE(PARAM!$B$44,MAX(0,AT244*$F$1),0),0)*RATES!$L221/12+$H$13*(PARAM!$D$51/12)*RATES!$N221/100</f>
        <v>15.651552959231582</v>
      </c>
      <c r="AT245" s="16">
        <f t="shared" si="165"/>
        <v>652.08092682548522</v>
      </c>
      <c r="AU245" s="15">
        <f t="shared" si="140"/>
        <v>22.170849845882874</v>
      </c>
      <c r="AV245" s="75">
        <f>AU245*(1-PARAM!$C$27)*$I$14+(MOD($B245,60)=PARAM!$B$56)*($B245&gt;(60-PARAM!$B$56))*HLOOKUP(($B245+PARAM!$B$56)/12,Loyalty,2)*$F$1*MAX(AX244,0)</f>
        <v>18.557001321003963</v>
      </c>
      <c r="AW245" s="75">
        <f>PARAM!$C$26+MAX($G$14-CHOOSE(PARAM!$B$44,MAX(0,AX244*$F$1),0),0)*RATES!$L221/12+$H$14*(PARAM!$D$51/12)*RATES!$N221/100</f>
        <v>15.651552959231582</v>
      </c>
      <c r="AX245" s="16">
        <f t="shared" si="166"/>
        <v>652.08092682548522</v>
      </c>
      <c r="AY245" s="15">
        <f t="shared" si="141"/>
        <v>22.170849845882874</v>
      </c>
      <c r="AZ245" s="75">
        <f>AY245*(1-PARAM!$C$27)*$I$15+(MOD($B245,60)=PARAM!$B$56)*($B245&gt;(60-PARAM!$B$56))*HLOOKUP(($B245+PARAM!$B$56)/12,Loyalty,2)*$F$1*MAX(BB244,0)</f>
        <v>18.557001321003963</v>
      </c>
      <c r="BA245" s="75">
        <f>PARAM!$C$26+MAX($G$15-CHOOSE(PARAM!$B$44,MAX(0,BB244*$F$1),0),0)*RATES!$L221/12+$H$15*(PARAM!$D$51/12)*RATES!$N221/100</f>
        <v>15.651552959231582</v>
      </c>
      <c r="BB245" s="16">
        <f t="shared" si="167"/>
        <v>652.08092682548522</v>
      </c>
      <c r="BC245" s="15">
        <f t="shared" si="142"/>
        <v>22.170849845882874</v>
      </c>
      <c r="BD245" s="75">
        <f>BC245*(1-PARAM!$C$27)*$I$16+(MOD($B245,60)=PARAM!$B$56)*($B245&gt;(60-PARAM!$B$56))*HLOOKUP(($B245+PARAM!$B$56)/12,Loyalty,2)*$F$1*MAX(BF244,0)</f>
        <v>18.557001321003963</v>
      </c>
      <c r="BE245" s="75">
        <f>PARAM!$C$26+MAX($G$16-CHOOSE(PARAM!$B$44,MAX(0,BF244*$F$1),0),0)*RATES!$L221/12+$H$16*(PARAM!$D$51/12)*RATES!$N221/100</f>
        <v>15.651552959231582</v>
      </c>
      <c r="BF245" s="16">
        <f t="shared" si="168"/>
        <v>652.08092682548522</v>
      </c>
      <c r="BG245" s="15">
        <f t="shared" si="143"/>
        <v>22.170849845882874</v>
      </c>
      <c r="BH245" s="75">
        <f>BG245*(1-PARAM!$C$27)*$I$17+(MOD($B245,60)=PARAM!$B$56)*($B245&gt;(60-PARAM!$B$56))*HLOOKUP(($B245+PARAM!$B$56)/12,Loyalty,2)*$F$1*MAX(BJ244,0)</f>
        <v>18.557001321003963</v>
      </c>
      <c r="BI245" s="75">
        <f>PARAM!$C$26+MAX($G$17-CHOOSE(PARAM!$B$44,MAX(0,BJ244*$F$1),0),0)*RATES!$L221/12+$H$17*(PARAM!$D$51/12)*RATES!$N221/100</f>
        <v>15.651552959231582</v>
      </c>
      <c r="BJ245" s="16">
        <f t="shared" si="169"/>
        <v>652.08092682548522</v>
      </c>
      <c r="BK245" s="15">
        <f t="shared" si="144"/>
        <v>22.170849845882874</v>
      </c>
      <c r="BL245" s="75">
        <f>BK245*(1-PARAM!$C$27)*$I$18+(MOD($B245,60)=PARAM!$B$56)*($B245&gt;(60-PARAM!$B$56))*HLOOKUP(($B245+PARAM!$B$56)/12,Loyalty,2)*$F$1*MAX(BN244,0)</f>
        <v>18.557001321003963</v>
      </c>
      <c r="BM245" s="75">
        <f>PARAM!$C$26+MAX($G$18-CHOOSE(PARAM!$B$44,MAX(0,BN244*$F$1),0),0)*RATES!$L221/12+$H$18*(PARAM!$D$51/12)*RATES!$N221/100</f>
        <v>15.651552959231582</v>
      </c>
      <c r="BN245" s="16">
        <f t="shared" si="170"/>
        <v>652.08092682548522</v>
      </c>
      <c r="BO245" s="15">
        <f t="shared" si="145"/>
        <v>22.170849845882874</v>
      </c>
      <c r="BP245" s="75">
        <f>BO245*(1-PARAM!$C$27)*$I$19+(MOD($B245,60)=PARAM!$B$56)*($B245&gt;(60-PARAM!$B$56))*HLOOKUP(($B245+PARAM!$B$56)/12,Loyalty,2)*$F$1*MAX(BR244,0)</f>
        <v>18.557001321003963</v>
      </c>
      <c r="BQ245" s="75">
        <f>PARAM!$C$26+MAX($G$19-CHOOSE(PARAM!$B$44,MAX(0,BR244*$F$1),0),0)*RATES!$L221/12+$H$19*(PARAM!$D$51/12)*RATES!$N221/100</f>
        <v>15.651552959231582</v>
      </c>
      <c r="BR245" s="16">
        <f t="shared" si="171"/>
        <v>652.08092682548522</v>
      </c>
      <c r="BS245" s="15">
        <f t="shared" si="146"/>
        <v>22.170849845882874</v>
      </c>
      <c r="BT245" s="75">
        <f>BS245*(1-PARAM!$C$27)*$I$20+(MOD($B245,60)=PARAM!$B$56)*($B245&gt;(60-PARAM!$B$56))*HLOOKUP(($B245+PARAM!$B$56)/12,Loyalty,2)*$F$1*MAX(BV244,0)</f>
        <v>18.557001321003963</v>
      </c>
      <c r="BU245" s="75">
        <f>PARAM!$C$26+MAX($G$20-CHOOSE(PARAM!$B$44,MAX(0,BV244*$F$1),0),0)*RATES!$L221/12+$H$20*(PARAM!$D$51/12)*RATES!$N221/100</f>
        <v>15.651552959231582</v>
      </c>
      <c r="BV245" s="16">
        <f t="shared" si="172"/>
        <v>652.08092682548522</v>
      </c>
      <c r="BW245" s="15">
        <f t="shared" si="147"/>
        <v>22.170849845882874</v>
      </c>
      <c r="BX245" s="75">
        <f>BW245*(1-PARAM!$C$27)*$I$21+(MOD($B245,60)=PARAM!$B$56)*($B245&gt;(60-PARAM!$B$56))*HLOOKUP(($B245+PARAM!$B$56)/12,Loyalty,2)*$F$1*MAX(BZ244,0)</f>
        <v>18.557001321003963</v>
      </c>
      <c r="BY245" s="75">
        <f>PARAM!$C$26+MAX($G$21-CHOOSE(PARAM!$B$44,MAX(0,BZ244*$F$1),0),0)*RATES!$L221/12+$H$21*(PARAM!$D$51/12)*RATES!$N221/100</f>
        <v>15.651552959231582</v>
      </c>
      <c r="BZ245" s="16">
        <f t="shared" si="173"/>
        <v>652.08092682548522</v>
      </c>
      <c r="CA245" s="15">
        <f t="shared" si="148"/>
        <v>22.170849845882874</v>
      </c>
      <c r="CB245" s="75">
        <f>CA245*(1-PARAM!$C$27)*$I$22+(MOD($B245,60)=PARAM!$B$56)*($B245&gt;(60-PARAM!$B$56))*HLOOKUP(($B245+PARAM!$B$56)/12,Loyalty,2)*$F$1*MAX(CD244,0)</f>
        <v>18.557001321003963</v>
      </c>
      <c r="CC245" s="75">
        <f>PARAM!$C$26+MAX($G$22-CHOOSE(PARAM!$B$44,MAX(0,CD244*$F$1),0),0)*RATES!$L221/12+$H$22*(PARAM!$D$51/12)*RATES!$N221/100</f>
        <v>15.651552959231582</v>
      </c>
      <c r="CD245" s="16">
        <f t="shared" si="174"/>
        <v>652.08092682548522</v>
      </c>
      <c r="CE245" s="33">
        <f>IF(0=MOD(B245,12/PARAM!$D$51),1,0)</f>
        <v>1</v>
      </c>
      <c r="CF245" s="15">
        <f t="shared" si="149"/>
        <v>0</v>
      </c>
      <c r="CG245" s="75">
        <f>CF245*(1-PARAM!$C$27)*$R$3+(MOD($B245/12,5)=0)*($B245&gt;60)*HLOOKUP($B245/12,Loyalty,2)*$F$1*MAX(CI244,0)</f>
        <v>0</v>
      </c>
      <c r="CH245" s="75">
        <f>PARAM!$C$26+MAX($P$3-CHOOSE(PARAM!$B$44,MAX(0,CI244*$F$1),0),0)*RATES!$L221/12+$Q$3*(PARAM!$D$51/12)*RATES!$N221/100</f>
        <v>15.791666666666666</v>
      </c>
      <c r="CI245" s="16">
        <f>IF(CI244&gt;0,CI244*PARAM!$C$53,CI244)+CG245-CH245</f>
        <v>-3219.1249999999955</v>
      </c>
      <c r="CJ245" s="15">
        <f t="shared" si="175"/>
        <v>0</v>
      </c>
      <c r="CK245" s="75">
        <f>CJ245*(1-PARAM!$C$27)*$R$4+(MOD($B245/12,5)=0)*($B245&gt;60)*HLOOKUP($B245/12,Loyalty,2)*$F$1*MAX(CM244,0)</f>
        <v>0</v>
      </c>
      <c r="CL245" s="75">
        <f>PARAM!$C$26+MAX($P$4-CHOOSE(PARAM!$B$44,MAX(0,CM244*$F$1),0),0)*RATES!$L221/12+$Q$4*(PARAM!$D$51/12)*RATES!$N221/100</f>
        <v>15.791666666666666</v>
      </c>
      <c r="CM245" s="16">
        <f>IF(CM244&gt;0,CM244*PARAM!$C$53,CM244)+CK245-CL245</f>
        <v>-3219.1249999999955</v>
      </c>
      <c r="CO245" s="176"/>
    </row>
    <row r="246" spans="1:93" x14ac:dyDescent="0.2">
      <c r="A246" t="b">
        <f t="shared" si="150"/>
        <v>1</v>
      </c>
      <c r="B246" s="33">
        <v>219</v>
      </c>
      <c r="C246" s="15">
        <f t="shared" si="151"/>
        <v>20.081305947392778</v>
      </c>
      <c r="D246" s="75">
        <f>C246*(1-PARAM!$C$27)*$I$3+(MOD($B246,60)=PARAM!$B$56)*($B246&gt;(60-PARAM!$B$56))*HLOOKUP(($B246+PARAM!$B$56)/12,Loyalty,2)*$F$1*MAX(F245,0)</f>
        <v>16.808053077967756</v>
      </c>
      <c r="E246" s="75">
        <f>PARAM!$C$26+MAX($G$3-CHOOSE(PARAM!$B$44,MAX(0,F245*$F$1),0),0)*RATES!$L222/12+$H$3*(PARAM!$D$51/12)*RATES!$N222/100</f>
        <v>15.732033851470517</v>
      </c>
      <c r="F246" s="16">
        <f t="shared" si="152"/>
        <v>277.36705488432949</v>
      </c>
      <c r="G246" s="15">
        <f t="shared" si="153"/>
        <v>22.035289406060361</v>
      </c>
      <c r="H246" s="75">
        <f>G246*(1-PARAM!$C$27)*$I$4+(MOD($B246,60)=PARAM!$B$56)*($B246&gt;(60-PARAM!$B$56))*HLOOKUP(($B246+PARAM!$B$56)/12,Loyalty,2)*$F$1*MAX(J245,0)</f>
        <v>18.443537232872522</v>
      </c>
      <c r="I246" s="75">
        <f>PARAM!$C$26+MAX($G$4-CHOOSE(PARAM!$B$44,MAX(0,J245*$F$1),0),0)*RATES!$L222/12+$H$4*(PARAM!$D$51/12)*RATES!$N222/100</f>
        <v>15.656191116089044</v>
      </c>
      <c r="J246" s="16">
        <f t="shared" si="154"/>
        <v>630.47329473897298</v>
      </c>
      <c r="K246" s="15">
        <f t="shared" si="155"/>
        <v>22.170849845882874</v>
      </c>
      <c r="L246" s="75">
        <f>K246*(1-PARAM!$C$27)*$I$5+(MOD($B246,60)=PARAM!$B$56)*($B246&gt;(60-PARAM!$B$56))*HLOOKUP(($B246+PARAM!$B$56)/12,Loyalty,2)*$F$1*MAX(N245,0)</f>
        <v>18.557001321003963</v>
      </c>
      <c r="M246" s="75">
        <f>PARAM!$C$26+MAX($G$5-CHOOSE(PARAM!$B$44,MAX(0,N245*$F$1),0),0)*RATES!$L222/12+$H$5*(PARAM!$D$51/12)*RATES!$N222/100</f>
        <v>15.650925866626833</v>
      </c>
      <c r="N246" s="16">
        <f t="shared" si="156"/>
        <v>654.98700227986239</v>
      </c>
      <c r="O246" s="15">
        <f t="shared" si="157"/>
        <v>22.170849845882874</v>
      </c>
      <c r="P246" s="75">
        <f>O246*(1-PARAM!$C$27)*$I$6+(MOD($B246,60)=PARAM!$B$56)*($B246&gt;(60-PARAM!$B$56))*HLOOKUP(($B246+PARAM!$B$56)/12,Loyalty,2)*$F$1*MAX(R245,0)</f>
        <v>18.557001321003963</v>
      </c>
      <c r="Q246" s="75">
        <f>PARAM!$C$26+MAX($G$6-CHOOSE(PARAM!$B$44,MAX(0,R245*$F$1),0),0)*RATES!$L222/12+$H$6*(PARAM!$D$51/12)*RATES!$N222/100</f>
        <v>15.650925866626833</v>
      </c>
      <c r="R246" s="16">
        <f t="shared" si="158"/>
        <v>654.98700227986239</v>
      </c>
      <c r="S246" s="15">
        <f t="shared" si="133"/>
        <v>22.170849845882874</v>
      </c>
      <c r="T246" s="75">
        <f>S246*(1-PARAM!$C$27)*$I$7+(MOD($B246,60)=PARAM!$B$56)*($B246&gt;(60-PARAM!$B$56))*HLOOKUP(($B246+PARAM!$B$56)/12,Loyalty,2)*$F$1*MAX(V245,0)</f>
        <v>18.557001321003963</v>
      </c>
      <c r="U246" s="75">
        <f>PARAM!$C$26+MAX($G$7-CHOOSE(PARAM!$B$44,MAX(0,V245*$F$1),0),0)*RATES!$L222/12+$H$7*(PARAM!$D$51/12)*RATES!$N222/100</f>
        <v>15.650925866626833</v>
      </c>
      <c r="V246" s="16">
        <f t="shared" si="159"/>
        <v>654.98700227986239</v>
      </c>
      <c r="W246" s="15">
        <f t="shared" si="134"/>
        <v>22.170849845882874</v>
      </c>
      <c r="X246" s="75">
        <f>W246*(1-PARAM!$C$27)*$I$8+(MOD($B246,60)=PARAM!$B$56)*($B246&gt;(60-PARAM!$B$56))*HLOOKUP(($B246+PARAM!$B$56)/12,Loyalty,2)*$F$1*MAX(Z245,0)</f>
        <v>18.557001321003963</v>
      </c>
      <c r="Y246" s="75">
        <f>PARAM!$C$26+MAX($G$8-CHOOSE(PARAM!$B$44,MAX(0,Z245*$F$1),0),0)*RATES!$L222/12+$H$8*(PARAM!$D$51/12)*RATES!$N222/100</f>
        <v>15.650925866626833</v>
      </c>
      <c r="Z246" s="16">
        <f t="shared" si="160"/>
        <v>654.98700227986239</v>
      </c>
      <c r="AA246" s="15">
        <f t="shared" si="135"/>
        <v>22.170849845882874</v>
      </c>
      <c r="AB246" s="75">
        <f>AA246*(1-PARAM!$C$27)*$I$9+(MOD($B246,60)=PARAM!$B$56)*($B246&gt;(60-PARAM!$B$56))*HLOOKUP(($B246+PARAM!$B$56)/12,Loyalty,2)*$F$1*MAX(AD245,0)</f>
        <v>18.557001321003963</v>
      </c>
      <c r="AC246" s="75">
        <f>PARAM!$C$26+MAX($G$9-CHOOSE(PARAM!$B$44,MAX(0,AD245*$F$1),0),0)*RATES!$L222/12+$H$9*(PARAM!$D$51/12)*RATES!$N222/100</f>
        <v>15.650925866626833</v>
      </c>
      <c r="AD246" s="16">
        <f t="shared" si="161"/>
        <v>654.98700227986239</v>
      </c>
      <c r="AE246" s="15">
        <f t="shared" si="136"/>
        <v>22.170849845882874</v>
      </c>
      <c r="AF246" s="75">
        <f>AE246*(1-PARAM!$C$27)*$I$10+(MOD($B246,60)=PARAM!$B$56)*($B246&gt;(60-PARAM!$B$56))*HLOOKUP(($B246+PARAM!$B$56)/12,Loyalty,2)*$F$1*MAX(AH245,0)</f>
        <v>18.557001321003963</v>
      </c>
      <c r="AG246" s="75">
        <f>PARAM!$C$26+MAX($G$10-CHOOSE(PARAM!$B$44,MAX(0,AH245*$F$1),0),0)*RATES!$L222/12+$H$10*(PARAM!$D$51/12)*RATES!$N222/100</f>
        <v>15.650925866626833</v>
      </c>
      <c r="AH246" s="16">
        <f t="shared" si="162"/>
        <v>654.98700227986239</v>
      </c>
      <c r="AI246" s="15">
        <f t="shared" si="137"/>
        <v>22.170849845882874</v>
      </c>
      <c r="AJ246" s="75">
        <f>AI246*(1-PARAM!$C$27)*$I$11+(MOD($B246,60)=PARAM!$B$56)*($B246&gt;(60-PARAM!$B$56))*HLOOKUP(($B246+PARAM!$B$56)/12,Loyalty,2)*$F$1*MAX(AL245,0)</f>
        <v>18.557001321003963</v>
      </c>
      <c r="AK246" s="75">
        <f>PARAM!$C$26+MAX($G$11-CHOOSE(PARAM!$B$44,MAX(0,AL245*$F$1),0),0)*RATES!$L222/12+$H$11*(PARAM!$D$51/12)*RATES!$N222/100</f>
        <v>15.650925866626833</v>
      </c>
      <c r="AL246" s="16">
        <f t="shared" si="163"/>
        <v>654.98700227986239</v>
      </c>
      <c r="AM246" s="15">
        <f t="shared" si="138"/>
        <v>22.170849845882874</v>
      </c>
      <c r="AN246" s="75">
        <f>AM246*(1-PARAM!$C$27)*$I$12+(MOD($B246,60)=PARAM!$B$56)*($B246&gt;(60-PARAM!$B$56))*HLOOKUP(($B246+PARAM!$B$56)/12,Loyalty,2)*$F$1*MAX(AP245,0)</f>
        <v>18.557001321003963</v>
      </c>
      <c r="AO246" s="75">
        <f>PARAM!$C$26+MAX($G$12-CHOOSE(PARAM!$B$44,MAX(0,AP245*$F$1),0),0)*RATES!$L222/12+$H$12*(PARAM!$D$51/12)*RATES!$N222/100</f>
        <v>15.650925866626833</v>
      </c>
      <c r="AP246" s="16">
        <f t="shared" si="164"/>
        <v>654.98700227986239</v>
      </c>
      <c r="AQ246" s="15">
        <f t="shared" si="139"/>
        <v>22.170849845882874</v>
      </c>
      <c r="AR246" s="75">
        <f>AQ246*(1-PARAM!$C$27)*$I$13+(MOD($B246,60)=PARAM!$B$56)*($B246&gt;(60-PARAM!$B$56))*HLOOKUP(($B246+PARAM!$B$56)/12,Loyalty,2)*$F$1*MAX(AT245,0)</f>
        <v>18.557001321003963</v>
      </c>
      <c r="AS246" s="75">
        <f>PARAM!$C$26+MAX($G$13-CHOOSE(PARAM!$B$44,MAX(0,AT245*$F$1),0),0)*RATES!$L222/12+$H$13*(PARAM!$D$51/12)*RATES!$N222/100</f>
        <v>15.650925866626833</v>
      </c>
      <c r="AT246" s="16">
        <f t="shared" si="165"/>
        <v>654.98700227986239</v>
      </c>
      <c r="AU246" s="15">
        <f t="shared" si="140"/>
        <v>22.170849845882874</v>
      </c>
      <c r="AV246" s="75">
        <f>AU246*(1-PARAM!$C$27)*$I$14+(MOD($B246,60)=PARAM!$B$56)*($B246&gt;(60-PARAM!$B$56))*HLOOKUP(($B246+PARAM!$B$56)/12,Loyalty,2)*$F$1*MAX(AX245,0)</f>
        <v>18.557001321003963</v>
      </c>
      <c r="AW246" s="75">
        <f>PARAM!$C$26+MAX($G$14-CHOOSE(PARAM!$B$44,MAX(0,AX245*$F$1),0),0)*RATES!$L222/12+$H$14*(PARAM!$D$51/12)*RATES!$N222/100</f>
        <v>15.650925866626833</v>
      </c>
      <c r="AX246" s="16">
        <f t="shared" si="166"/>
        <v>654.98700227986239</v>
      </c>
      <c r="AY246" s="15">
        <f t="shared" si="141"/>
        <v>22.170849845882874</v>
      </c>
      <c r="AZ246" s="75">
        <f>AY246*(1-PARAM!$C$27)*$I$15+(MOD($B246,60)=PARAM!$B$56)*($B246&gt;(60-PARAM!$B$56))*HLOOKUP(($B246+PARAM!$B$56)/12,Loyalty,2)*$F$1*MAX(BB245,0)</f>
        <v>18.557001321003963</v>
      </c>
      <c r="BA246" s="75">
        <f>PARAM!$C$26+MAX($G$15-CHOOSE(PARAM!$B$44,MAX(0,BB245*$F$1),0),0)*RATES!$L222/12+$H$15*(PARAM!$D$51/12)*RATES!$N222/100</f>
        <v>15.650925866626833</v>
      </c>
      <c r="BB246" s="16">
        <f t="shared" si="167"/>
        <v>654.98700227986239</v>
      </c>
      <c r="BC246" s="15">
        <f t="shared" si="142"/>
        <v>22.170849845882874</v>
      </c>
      <c r="BD246" s="75">
        <f>BC246*(1-PARAM!$C$27)*$I$16+(MOD($B246,60)=PARAM!$B$56)*($B246&gt;(60-PARAM!$B$56))*HLOOKUP(($B246+PARAM!$B$56)/12,Loyalty,2)*$F$1*MAX(BF245,0)</f>
        <v>18.557001321003963</v>
      </c>
      <c r="BE246" s="75">
        <f>PARAM!$C$26+MAX($G$16-CHOOSE(PARAM!$B$44,MAX(0,BF245*$F$1),0),0)*RATES!$L222/12+$H$16*(PARAM!$D$51/12)*RATES!$N222/100</f>
        <v>15.650925866626833</v>
      </c>
      <c r="BF246" s="16">
        <f t="shared" si="168"/>
        <v>654.98700227986239</v>
      </c>
      <c r="BG246" s="15">
        <f t="shared" si="143"/>
        <v>22.170849845882874</v>
      </c>
      <c r="BH246" s="75">
        <f>BG246*(1-PARAM!$C$27)*$I$17+(MOD($B246,60)=PARAM!$B$56)*($B246&gt;(60-PARAM!$B$56))*HLOOKUP(($B246+PARAM!$B$56)/12,Loyalty,2)*$F$1*MAX(BJ245,0)</f>
        <v>18.557001321003963</v>
      </c>
      <c r="BI246" s="75">
        <f>PARAM!$C$26+MAX($G$17-CHOOSE(PARAM!$B$44,MAX(0,BJ245*$F$1),0),0)*RATES!$L222/12+$H$17*(PARAM!$D$51/12)*RATES!$N222/100</f>
        <v>15.650925866626833</v>
      </c>
      <c r="BJ246" s="16">
        <f t="shared" si="169"/>
        <v>654.98700227986239</v>
      </c>
      <c r="BK246" s="15">
        <f t="shared" si="144"/>
        <v>22.170849845882874</v>
      </c>
      <c r="BL246" s="75">
        <f>BK246*(1-PARAM!$C$27)*$I$18+(MOD($B246,60)=PARAM!$B$56)*($B246&gt;(60-PARAM!$B$56))*HLOOKUP(($B246+PARAM!$B$56)/12,Loyalty,2)*$F$1*MAX(BN245,0)</f>
        <v>18.557001321003963</v>
      </c>
      <c r="BM246" s="75">
        <f>PARAM!$C$26+MAX($G$18-CHOOSE(PARAM!$B$44,MAX(0,BN245*$F$1),0),0)*RATES!$L222/12+$H$18*(PARAM!$D$51/12)*RATES!$N222/100</f>
        <v>15.650925866626833</v>
      </c>
      <c r="BN246" s="16">
        <f t="shared" si="170"/>
        <v>654.98700227986239</v>
      </c>
      <c r="BO246" s="15">
        <f t="shared" si="145"/>
        <v>22.170849845882874</v>
      </c>
      <c r="BP246" s="75">
        <f>BO246*(1-PARAM!$C$27)*$I$19+(MOD($B246,60)=PARAM!$B$56)*($B246&gt;(60-PARAM!$B$56))*HLOOKUP(($B246+PARAM!$B$56)/12,Loyalty,2)*$F$1*MAX(BR245,0)</f>
        <v>18.557001321003963</v>
      </c>
      <c r="BQ246" s="75">
        <f>PARAM!$C$26+MAX($G$19-CHOOSE(PARAM!$B$44,MAX(0,BR245*$F$1),0),0)*RATES!$L222/12+$H$19*(PARAM!$D$51/12)*RATES!$N222/100</f>
        <v>15.650925866626833</v>
      </c>
      <c r="BR246" s="16">
        <f t="shared" si="171"/>
        <v>654.98700227986239</v>
      </c>
      <c r="BS246" s="15">
        <f t="shared" si="146"/>
        <v>22.170849845882874</v>
      </c>
      <c r="BT246" s="75">
        <f>BS246*(1-PARAM!$C$27)*$I$20+(MOD($B246,60)=PARAM!$B$56)*($B246&gt;(60-PARAM!$B$56))*HLOOKUP(($B246+PARAM!$B$56)/12,Loyalty,2)*$F$1*MAX(BV245,0)</f>
        <v>18.557001321003963</v>
      </c>
      <c r="BU246" s="75">
        <f>PARAM!$C$26+MAX($G$20-CHOOSE(PARAM!$B$44,MAX(0,BV245*$F$1),0),0)*RATES!$L222/12+$H$20*(PARAM!$D$51/12)*RATES!$N222/100</f>
        <v>15.650925866626833</v>
      </c>
      <c r="BV246" s="16">
        <f t="shared" si="172"/>
        <v>654.98700227986239</v>
      </c>
      <c r="BW246" s="15">
        <f t="shared" si="147"/>
        <v>22.170849845882874</v>
      </c>
      <c r="BX246" s="75">
        <f>BW246*(1-PARAM!$C$27)*$I$21+(MOD($B246,60)=PARAM!$B$56)*($B246&gt;(60-PARAM!$B$56))*HLOOKUP(($B246+PARAM!$B$56)/12,Loyalty,2)*$F$1*MAX(BZ245,0)</f>
        <v>18.557001321003963</v>
      </c>
      <c r="BY246" s="75">
        <f>PARAM!$C$26+MAX($G$21-CHOOSE(PARAM!$B$44,MAX(0,BZ245*$F$1),0),0)*RATES!$L222/12+$H$21*(PARAM!$D$51/12)*RATES!$N222/100</f>
        <v>15.650925866626833</v>
      </c>
      <c r="BZ246" s="16">
        <f t="shared" si="173"/>
        <v>654.98700227986239</v>
      </c>
      <c r="CA246" s="15">
        <f t="shared" si="148"/>
        <v>22.170849845882874</v>
      </c>
      <c r="CB246" s="75">
        <f>CA246*(1-PARAM!$C$27)*$I$22+(MOD($B246,60)=PARAM!$B$56)*($B246&gt;(60-PARAM!$B$56))*HLOOKUP(($B246+PARAM!$B$56)/12,Loyalty,2)*$F$1*MAX(CD245,0)</f>
        <v>18.557001321003963</v>
      </c>
      <c r="CC246" s="75">
        <f>PARAM!$C$26+MAX($G$22-CHOOSE(PARAM!$B$44,MAX(0,CD245*$F$1),0),0)*RATES!$L222/12+$H$22*(PARAM!$D$51/12)*RATES!$N222/100</f>
        <v>15.650925866626833</v>
      </c>
      <c r="CD246" s="16">
        <f t="shared" si="174"/>
        <v>654.98700227986239</v>
      </c>
      <c r="CE246" s="33">
        <f>IF(0=MOD(B246,12/PARAM!$D$51),1,0)</f>
        <v>1</v>
      </c>
      <c r="CF246" s="15">
        <f t="shared" si="149"/>
        <v>0</v>
      </c>
      <c r="CG246" s="75">
        <f>CF246*(1-PARAM!$C$27)*$R$3+(MOD($B246/12,5)=0)*($B246&gt;60)*HLOOKUP($B246/12,Loyalty,2)*$F$1*MAX(CI245,0)</f>
        <v>0</v>
      </c>
      <c r="CH246" s="75">
        <f>PARAM!$C$26+MAX($P$3-CHOOSE(PARAM!$B$44,MAX(0,CI245*$F$1),0),0)*RATES!$L222/12+$Q$3*(PARAM!$D$51/12)*RATES!$N222/100</f>
        <v>15.791666666666666</v>
      </c>
      <c r="CI246" s="16">
        <f>IF(CI245&gt;0,CI245*PARAM!$C$53,CI245)+CG246-CH246</f>
        <v>-3234.916666666662</v>
      </c>
      <c r="CJ246" s="15">
        <f t="shared" si="175"/>
        <v>0</v>
      </c>
      <c r="CK246" s="75">
        <f>CJ246*(1-PARAM!$C$27)*$R$4+(MOD($B246/12,5)=0)*($B246&gt;60)*HLOOKUP($B246/12,Loyalty,2)*$F$1*MAX(CM245,0)</f>
        <v>0</v>
      </c>
      <c r="CL246" s="75">
        <f>PARAM!$C$26+MAX($P$4-CHOOSE(PARAM!$B$44,MAX(0,CM245*$F$1),0),0)*RATES!$L222/12+$Q$4*(PARAM!$D$51/12)*RATES!$N222/100</f>
        <v>15.791666666666666</v>
      </c>
      <c r="CM246" s="16">
        <f>IF(CM245&gt;0,CM245*PARAM!$C$53,CM245)+CK246-CL246</f>
        <v>-3234.916666666662</v>
      </c>
      <c r="CO246" s="176"/>
    </row>
    <row r="247" spans="1:93" x14ac:dyDescent="0.2">
      <c r="A247" t="b">
        <f t="shared" si="150"/>
        <v>1</v>
      </c>
      <c r="B247" s="33">
        <v>220</v>
      </c>
      <c r="C247" s="15">
        <f t="shared" si="151"/>
        <v>20.081305947392778</v>
      </c>
      <c r="D247" s="75">
        <f>C247*(1-PARAM!$C$27)*$I$3+(MOD($B247,60)=PARAM!$B$56)*($B247&gt;(60-PARAM!$B$56))*HLOOKUP(($B247+PARAM!$B$56)/12,Loyalty,2)*$F$1*MAX(F246,0)</f>
        <v>16.808053077967756</v>
      </c>
      <c r="E247" s="75">
        <f>PARAM!$C$26+MAX($G$3-CHOOSE(PARAM!$B$44,MAX(0,F246*$F$1),0),0)*RATES!$L223/12+$H$3*(PARAM!$D$51/12)*RATES!$N223/100</f>
        <v>15.731801610654131</v>
      </c>
      <c r="F247" s="16">
        <f t="shared" si="152"/>
        <v>278.44330635164312</v>
      </c>
      <c r="G247" s="15">
        <f t="shared" si="153"/>
        <v>22.035289406060361</v>
      </c>
      <c r="H247" s="75">
        <f>G247*(1-PARAM!$C$27)*$I$4+(MOD($B247,60)=PARAM!$B$56)*($B247&gt;(60-PARAM!$B$56))*HLOOKUP(($B247+PARAM!$B$56)/12,Loyalty,2)*$F$1*MAX(J246,0)</f>
        <v>18.443537232872522</v>
      </c>
      <c r="I247" s="75">
        <f>PARAM!$C$26+MAX($G$4-CHOOSE(PARAM!$B$44,MAX(0,J246*$F$1),0),0)*RATES!$L223/12+$H$4*(PARAM!$D$51/12)*RATES!$N223/100</f>
        <v>15.655589513885504</v>
      </c>
      <c r="J247" s="16">
        <f t="shared" si="154"/>
        <v>633.26124245795995</v>
      </c>
      <c r="K247" s="15">
        <f t="shared" si="155"/>
        <v>22.170849845882874</v>
      </c>
      <c r="L247" s="75">
        <f>K247*(1-PARAM!$C$27)*$I$5+(MOD($B247,60)=PARAM!$B$56)*($B247&gt;(60-PARAM!$B$56))*HLOOKUP(($B247+PARAM!$B$56)/12,Loyalty,2)*$F$1*MAX(N246,0)</f>
        <v>18.557001321003963</v>
      </c>
      <c r="M247" s="75">
        <f>PARAM!$C$26+MAX($G$5-CHOOSE(PARAM!$B$44,MAX(0,N246*$F$1),0),0)*RATES!$L223/12+$H$5*(PARAM!$D$51/12)*RATES!$N223/100</f>
        <v>15.650298638674595</v>
      </c>
      <c r="N247" s="16">
        <f t="shared" si="156"/>
        <v>657.8937049621918</v>
      </c>
      <c r="O247" s="15">
        <f t="shared" si="157"/>
        <v>22.170849845882874</v>
      </c>
      <c r="P247" s="75">
        <f>O247*(1-PARAM!$C$27)*$I$6+(MOD($B247,60)=PARAM!$B$56)*($B247&gt;(60-PARAM!$B$56))*HLOOKUP(($B247+PARAM!$B$56)/12,Loyalty,2)*$F$1*MAX(R246,0)</f>
        <v>18.557001321003963</v>
      </c>
      <c r="Q247" s="75">
        <f>PARAM!$C$26+MAX($G$6-CHOOSE(PARAM!$B$44,MAX(0,R246*$F$1),0),0)*RATES!$L223/12+$H$6*(PARAM!$D$51/12)*RATES!$N223/100</f>
        <v>15.650298638674595</v>
      </c>
      <c r="R247" s="16">
        <f t="shared" si="158"/>
        <v>657.8937049621918</v>
      </c>
      <c r="S247" s="15">
        <f t="shared" si="133"/>
        <v>22.170849845882874</v>
      </c>
      <c r="T247" s="75">
        <f>S247*(1-PARAM!$C$27)*$I$7+(MOD($B247,60)=PARAM!$B$56)*($B247&gt;(60-PARAM!$B$56))*HLOOKUP(($B247+PARAM!$B$56)/12,Loyalty,2)*$F$1*MAX(V246,0)</f>
        <v>18.557001321003963</v>
      </c>
      <c r="U247" s="75">
        <f>PARAM!$C$26+MAX($G$7-CHOOSE(PARAM!$B$44,MAX(0,V246*$F$1),0),0)*RATES!$L223/12+$H$7*(PARAM!$D$51/12)*RATES!$N223/100</f>
        <v>15.650298638674595</v>
      </c>
      <c r="V247" s="16">
        <f t="shared" si="159"/>
        <v>657.8937049621918</v>
      </c>
      <c r="W247" s="15">
        <f t="shared" si="134"/>
        <v>22.170849845882874</v>
      </c>
      <c r="X247" s="75">
        <f>W247*(1-PARAM!$C$27)*$I$8+(MOD($B247,60)=PARAM!$B$56)*($B247&gt;(60-PARAM!$B$56))*HLOOKUP(($B247+PARAM!$B$56)/12,Loyalty,2)*$F$1*MAX(Z246,0)</f>
        <v>18.557001321003963</v>
      </c>
      <c r="Y247" s="75">
        <f>PARAM!$C$26+MAX($G$8-CHOOSE(PARAM!$B$44,MAX(0,Z246*$F$1),0),0)*RATES!$L223/12+$H$8*(PARAM!$D$51/12)*RATES!$N223/100</f>
        <v>15.650298638674595</v>
      </c>
      <c r="Z247" s="16">
        <f t="shared" si="160"/>
        <v>657.8937049621918</v>
      </c>
      <c r="AA247" s="15">
        <f t="shared" si="135"/>
        <v>22.170849845882874</v>
      </c>
      <c r="AB247" s="75">
        <f>AA247*(1-PARAM!$C$27)*$I$9+(MOD($B247,60)=PARAM!$B$56)*($B247&gt;(60-PARAM!$B$56))*HLOOKUP(($B247+PARAM!$B$56)/12,Loyalty,2)*$F$1*MAX(AD246,0)</f>
        <v>18.557001321003963</v>
      </c>
      <c r="AC247" s="75">
        <f>PARAM!$C$26+MAX($G$9-CHOOSE(PARAM!$B$44,MAX(0,AD246*$F$1),0),0)*RATES!$L223/12+$H$9*(PARAM!$D$51/12)*RATES!$N223/100</f>
        <v>15.650298638674595</v>
      </c>
      <c r="AD247" s="16">
        <f t="shared" si="161"/>
        <v>657.8937049621918</v>
      </c>
      <c r="AE247" s="15">
        <f t="shared" si="136"/>
        <v>22.170849845882874</v>
      </c>
      <c r="AF247" s="75">
        <f>AE247*(1-PARAM!$C$27)*$I$10+(MOD($B247,60)=PARAM!$B$56)*($B247&gt;(60-PARAM!$B$56))*HLOOKUP(($B247+PARAM!$B$56)/12,Loyalty,2)*$F$1*MAX(AH246,0)</f>
        <v>18.557001321003963</v>
      </c>
      <c r="AG247" s="75">
        <f>PARAM!$C$26+MAX($G$10-CHOOSE(PARAM!$B$44,MAX(0,AH246*$F$1),0),0)*RATES!$L223/12+$H$10*(PARAM!$D$51/12)*RATES!$N223/100</f>
        <v>15.650298638674595</v>
      </c>
      <c r="AH247" s="16">
        <f t="shared" si="162"/>
        <v>657.8937049621918</v>
      </c>
      <c r="AI247" s="15">
        <f t="shared" si="137"/>
        <v>22.170849845882874</v>
      </c>
      <c r="AJ247" s="75">
        <f>AI247*(1-PARAM!$C$27)*$I$11+(MOD($B247,60)=PARAM!$B$56)*($B247&gt;(60-PARAM!$B$56))*HLOOKUP(($B247+PARAM!$B$56)/12,Loyalty,2)*$F$1*MAX(AL246,0)</f>
        <v>18.557001321003963</v>
      </c>
      <c r="AK247" s="75">
        <f>PARAM!$C$26+MAX($G$11-CHOOSE(PARAM!$B$44,MAX(0,AL246*$F$1),0),0)*RATES!$L223/12+$H$11*(PARAM!$D$51/12)*RATES!$N223/100</f>
        <v>15.650298638674595</v>
      </c>
      <c r="AL247" s="16">
        <f t="shared" si="163"/>
        <v>657.8937049621918</v>
      </c>
      <c r="AM247" s="15">
        <f t="shared" si="138"/>
        <v>22.170849845882874</v>
      </c>
      <c r="AN247" s="75">
        <f>AM247*(1-PARAM!$C$27)*$I$12+(MOD($B247,60)=PARAM!$B$56)*($B247&gt;(60-PARAM!$B$56))*HLOOKUP(($B247+PARAM!$B$56)/12,Loyalty,2)*$F$1*MAX(AP246,0)</f>
        <v>18.557001321003963</v>
      </c>
      <c r="AO247" s="75">
        <f>PARAM!$C$26+MAX($G$12-CHOOSE(PARAM!$B$44,MAX(0,AP246*$F$1),0),0)*RATES!$L223/12+$H$12*(PARAM!$D$51/12)*RATES!$N223/100</f>
        <v>15.650298638674595</v>
      </c>
      <c r="AP247" s="16">
        <f t="shared" si="164"/>
        <v>657.8937049621918</v>
      </c>
      <c r="AQ247" s="15">
        <f t="shared" si="139"/>
        <v>22.170849845882874</v>
      </c>
      <c r="AR247" s="75">
        <f>AQ247*(1-PARAM!$C$27)*$I$13+(MOD($B247,60)=PARAM!$B$56)*($B247&gt;(60-PARAM!$B$56))*HLOOKUP(($B247+PARAM!$B$56)/12,Loyalty,2)*$F$1*MAX(AT246,0)</f>
        <v>18.557001321003963</v>
      </c>
      <c r="AS247" s="75">
        <f>PARAM!$C$26+MAX($G$13-CHOOSE(PARAM!$B$44,MAX(0,AT246*$F$1),0),0)*RATES!$L223/12+$H$13*(PARAM!$D$51/12)*RATES!$N223/100</f>
        <v>15.650298638674595</v>
      </c>
      <c r="AT247" s="16">
        <f t="shared" si="165"/>
        <v>657.8937049621918</v>
      </c>
      <c r="AU247" s="15">
        <f t="shared" si="140"/>
        <v>22.170849845882874</v>
      </c>
      <c r="AV247" s="75">
        <f>AU247*(1-PARAM!$C$27)*$I$14+(MOD($B247,60)=PARAM!$B$56)*($B247&gt;(60-PARAM!$B$56))*HLOOKUP(($B247+PARAM!$B$56)/12,Loyalty,2)*$F$1*MAX(AX246,0)</f>
        <v>18.557001321003963</v>
      </c>
      <c r="AW247" s="75">
        <f>PARAM!$C$26+MAX($G$14-CHOOSE(PARAM!$B$44,MAX(0,AX246*$F$1),0),0)*RATES!$L223/12+$H$14*(PARAM!$D$51/12)*RATES!$N223/100</f>
        <v>15.650298638674595</v>
      </c>
      <c r="AX247" s="16">
        <f t="shared" si="166"/>
        <v>657.8937049621918</v>
      </c>
      <c r="AY247" s="15">
        <f t="shared" si="141"/>
        <v>22.170849845882874</v>
      </c>
      <c r="AZ247" s="75">
        <f>AY247*(1-PARAM!$C$27)*$I$15+(MOD($B247,60)=PARAM!$B$56)*($B247&gt;(60-PARAM!$B$56))*HLOOKUP(($B247+PARAM!$B$56)/12,Loyalty,2)*$F$1*MAX(BB246,0)</f>
        <v>18.557001321003963</v>
      </c>
      <c r="BA247" s="75">
        <f>PARAM!$C$26+MAX($G$15-CHOOSE(PARAM!$B$44,MAX(0,BB246*$F$1),0),0)*RATES!$L223/12+$H$15*(PARAM!$D$51/12)*RATES!$N223/100</f>
        <v>15.650298638674595</v>
      </c>
      <c r="BB247" s="16">
        <f t="shared" si="167"/>
        <v>657.8937049621918</v>
      </c>
      <c r="BC247" s="15">
        <f t="shared" si="142"/>
        <v>22.170849845882874</v>
      </c>
      <c r="BD247" s="75">
        <f>BC247*(1-PARAM!$C$27)*$I$16+(MOD($B247,60)=PARAM!$B$56)*($B247&gt;(60-PARAM!$B$56))*HLOOKUP(($B247+PARAM!$B$56)/12,Loyalty,2)*$F$1*MAX(BF246,0)</f>
        <v>18.557001321003963</v>
      </c>
      <c r="BE247" s="75">
        <f>PARAM!$C$26+MAX($G$16-CHOOSE(PARAM!$B$44,MAX(0,BF246*$F$1),0),0)*RATES!$L223/12+$H$16*(PARAM!$D$51/12)*RATES!$N223/100</f>
        <v>15.650298638674595</v>
      </c>
      <c r="BF247" s="16">
        <f t="shared" si="168"/>
        <v>657.8937049621918</v>
      </c>
      <c r="BG247" s="15">
        <f t="shared" si="143"/>
        <v>22.170849845882874</v>
      </c>
      <c r="BH247" s="75">
        <f>BG247*(1-PARAM!$C$27)*$I$17+(MOD($B247,60)=PARAM!$B$56)*($B247&gt;(60-PARAM!$B$56))*HLOOKUP(($B247+PARAM!$B$56)/12,Loyalty,2)*$F$1*MAX(BJ246,0)</f>
        <v>18.557001321003963</v>
      </c>
      <c r="BI247" s="75">
        <f>PARAM!$C$26+MAX($G$17-CHOOSE(PARAM!$B$44,MAX(0,BJ246*$F$1),0),0)*RATES!$L223/12+$H$17*(PARAM!$D$51/12)*RATES!$N223/100</f>
        <v>15.650298638674595</v>
      </c>
      <c r="BJ247" s="16">
        <f t="shared" si="169"/>
        <v>657.8937049621918</v>
      </c>
      <c r="BK247" s="15">
        <f t="shared" si="144"/>
        <v>22.170849845882874</v>
      </c>
      <c r="BL247" s="75">
        <f>BK247*(1-PARAM!$C$27)*$I$18+(MOD($B247,60)=PARAM!$B$56)*($B247&gt;(60-PARAM!$B$56))*HLOOKUP(($B247+PARAM!$B$56)/12,Loyalty,2)*$F$1*MAX(BN246,0)</f>
        <v>18.557001321003963</v>
      </c>
      <c r="BM247" s="75">
        <f>PARAM!$C$26+MAX($G$18-CHOOSE(PARAM!$B$44,MAX(0,BN246*$F$1),0),0)*RATES!$L223/12+$H$18*(PARAM!$D$51/12)*RATES!$N223/100</f>
        <v>15.650298638674595</v>
      </c>
      <c r="BN247" s="16">
        <f t="shared" si="170"/>
        <v>657.8937049621918</v>
      </c>
      <c r="BO247" s="15">
        <f t="shared" si="145"/>
        <v>22.170849845882874</v>
      </c>
      <c r="BP247" s="75">
        <f>BO247*(1-PARAM!$C$27)*$I$19+(MOD($B247,60)=PARAM!$B$56)*($B247&gt;(60-PARAM!$B$56))*HLOOKUP(($B247+PARAM!$B$56)/12,Loyalty,2)*$F$1*MAX(BR246,0)</f>
        <v>18.557001321003963</v>
      </c>
      <c r="BQ247" s="75">
        <f>PARAM!$C$26+MAX($G$19-CHOOSE(PARAM!$B$44,MAX(0,BR246*$F$1),0),0)*RATES!$L223/12+$H$19*(PARAM!$D$51/12)*RATES!$N223/100</f>
        <v>15.650298638674595</v>
      </c>
      <c r="BR247" s="16">
        <f t="shared" si="171"/>
        <v>657.8937049621918</v>
      </c>
      <c r="BS247" s="15">
        <f t="shared" si="146"/>
        <v>22.170849845882874</v>
      </c>
      <c r="BT247" s="75">
        <f>BS247*(1-PARAM!$C$27)*$I$20+(MOD($B247,60)=PARAM!$B$56)*($B247&gt;(60-PARAM!$B$56))*HLOOKUP(($B247+PARAM!$B$56)/12,Loyalty,2)*$F$1*MAX(BV246,0)</f>
        <v>18.557001321003963</v>
      </c>
      <c r="BU247" s="75">
        <f>PARAM!$C$26+MAX($G$20-CHOOSE(PARAM!$B$44,MAX(0,BV246*$F$1),0),0)*RATES!$L223/12+$H$20*(PARAM!$D$51/12)*RATES!$N223/100</f>
        <v>15.650298638674595</v>
      </c>
      <c r="BV247" s="16">
        <f t="shared" si="172"/>
        <v>657.8937049621918</v>
      </c>
      <c r="BW247" s="15">
        <f t="shared" si="147"/>
        <v>22.170849845882874</v>
      </c>
      <c r="BX247" s="75">
        <f>BW247*(1-PARAM!$C$27)*$I$21+(MOD($B247,60)=PARAM!$B$56)*($B247&gt;(60-PARAM!$B$56))*HLOOKUP(($B247+PARAM!$B$56)/12,Loyalty,2)*$F$1*MAX(BZ246,0)</f>
        <v>18.557001321003963</v>
      </c>
      <c r="BY247" s="75">
        <f>PARAM!$C$26+MAX($G$21-CHOOSE(PARAM!$B$44,MAX(0,BZ246*$F$1),0),0)*RATES!$L223/12+$H$21*(PARAM!$D$51/12)*RATES!$N223/100</f>
        <v>15.650298638674595</v>
      </c>
      <c r="BZ247" s="16">
        <f t="shared" si="173"/>
        <v>657.8937049621918</v>
      </c>
      <c r="CA247" s="15">
        <f t="shared" si="148"/>
        <v>22.170849845882874</v>
      </c>
      <c r="CB247" s="75">
        <f>CA247*(1-PARAM!$C$27)*$I$22+(MOD($B247,60)=PARAM!$B$56)*($B247&gt;(60-PARAM!$B$56))*HLOOKUP(($B247+PARAM!$B$56)/12,Loyalty,2)*$F$1*MAX(CD246,0)</f>
        <v>18.557001321003963</v>
      </c>
      <c r="CC247" s="75">
        <f>PARAM!$C$26+MAX($G$22-CHOOSE(PARAM!$B$44,MAX(0,CD246*$F$1),0),0)*RATES!$L223/12+$H$22*(PARAM!$D$51/12)*RATES!$N223/100</f>
        <v>15.650298638674595</v>
      </c>
      <c r="CD247" s="16">
        <f t="shared" si="174"/>
        <v>657.8937049621918</v>
      </c>
      <c r="CE247" s="33">
        <f>IF(0=MOD(B247,12/PARAM!$D$51),1,0)</f>
        <v>1</v>
      </c>
      <c r="CF247" s="15">
        <f t="shared" si="149"/>
        <v>0</v>
      </c>
      <c r="CG247" s="75">
        <f>CF247*(1-PARAM!$C$27)*$R$3+(MOD($B247/12,5)=0)*($B247&gt;60)*HLOOKUP($B247/12,Loyalty,2)*$F$1*MAX(CI246,0)</f>
        <v>0</v>
      </c>
      <c r="CH247" s="75">
        <f>PARAM!$C$26+MAX($P$3-CHOOSE(PARAM!$B$44,MAX(0,CI246*$F$1),0),0)*RATES!$L223/12+$Q$3*(PARAM!$D$51/12)*RATES!$N223/100</f>
        <v>15.791666666666666</v>
      </c>
      <c r="CI247" s="16">
        <f>IF(CI246&gt;0,CI246*PARAM!$C$53,CI246)+CG247-CH247</f>
        <v>-3250.7083333333285</v>
      </c>
      <c r="CJ247" s="15">
        <f t="shared" si="175"/>
        <v>0</v>
      </c>
      <c r="CK247" s="75">
        <f>CJ247*(1-PARAM!$C$27)*$R$4+(MOD($B247/12,5)=0)*($B247&gt;60)*HLOOKUP($B247/12,Loyalty,2)*$F$1*MAX(CM246,0)</f>
        <v>0</v>
      </c>
      <c r="CL247" s="75">
        <f>PARAM!$C$26+MAX($P$4-CHOOSE(PARAM!$B$44,MAX(0,CM246*$F$1),0),0)*RATES!$L223/12+$Q$4*(PARAM!$D$51/12)*RATES!$N223/100</f>
        <v>15.791666666666666</v>
      </c>
      <c r="CM247" s="16">
        <f>IF(CM246&gt;0,CM246*PARAM!$C$53,CM246)+CK247-CL247</f>
        <v>-3250.7083333333285</v>
      </c>
      <c r="CO247" s="176"/>
    </row>
    <row r="248" spans="1:93" x14ac:dyDescent="0.2">
      <c r="A248" t="b">
        <f t="shared" si="150"/>
        <v>1</v>
      </c>
      <c r="B248" s="33">
        <v>221</v>
      </c>
      <c r="C248" s="15">
        <f t="shared" si="151"/>
        <v>20.081305947392778</v>
      </c>
      <c r="D248" s="75">
        <f>C248*(1-PARAM!$C$27)*$I$3+(MOD($B248,60)=PARAM!$B$56)*($B248&gt;(60-PARAM!$B$56))*HLOOKUP(($B248+PARAM!$B$56)/12,Loyalty,2)*$F$1*MAX(F247,0)</f>
        <v>16.808053077967756</v>
      </c>
      <c r="E248" s="75">
        <f>PARAM!$C$26+MAX($G$3-CHOOSE(PARAM!$B$44,MAX(0,F247*$F$1),0),0)*RATES!$L224/12+$H$3*(PARAM!$D$51/12)*RATES!$N224/100</f>
        <v>15.731569319712436</v>
      </c>
      <c r="F248" s="16">
        <f t="shared" si="152"/>
        <v>279.51979010989845</v>
      </c>
      <c r="G248" s="15">
        <f t="shared" si="153"/>
        <v>22.035289406060361</v>
      </c>
      <c r="H248" s="75">
        <f>G248*(1-PARAM!$C$27)*$I$4+(MOD($B248,60)=PARAM!$B$56)*($B248&gt;(60-PARAM!$B$56))*HLOOKUP(($B248+PARAM!$B$56)/12,Loyalty,2)*$F$1*MAX(J247,0)</f>
        <v>18.443537232872522</v>
      </c>
      <c r="I248" s="75">
        <f>PARAM!$C$26+MAX($G$4-CHOOSE(PARAM!$B$44,MAX(0,J247*$F$1),0),0)*RATES!$L224/12+$H$4*(PARAM!$D$51/12)*RATES!$N224/100</f>
        <v>15.654987781836157</v>
      </c>
      <c r="J248" s="16">
        <f t="shared" si="154"/>
        <v>636.04979190899621</v>
      </c>
      <c r="K248" s="15">
        <f t="shared" si="155"/>
        <v>22.170849845882874</v>
      </c>
      <c r="L248" s="75">
        <f>K248*(1-PARAM!$C$27)*$I$5+(MOD($B248,60)=PARAM!$B$56)*($B248&gt;(60-PARAM!$B$56))*HLOOKUP(($B248+PARAM!$B$56)/12,Loyalty,2)*$F$1*MAX(N247,0)</f>
        <v>18.557001321003963</v>
      </c>
      <c r="M248" s="75">
        <f>PARAM!$C$26+MAX($G$5-CHOOSE(PARAM!$B$44,MAX(0,N247*$F$1),0),0)*RATES!$L224/12+$H$5*(PARAM!$D$51/12)*RATES!$N224/100</f>
        <v>15.649671275345661</v>
      </c>
      <c r="N248" s="16">
        <f t="shared" si="156"/>
        <v>660.80103500785015</v>
      </c>
      <c r="O248" s="15">
        <f t="shared" si="157"/>
        <v>22.170849845882874</v>
      </c>
      <c r="P248" s="75">
        <f>O248*(1-PARAM!$C$27)*$I$6+(MOD($B248,60)=PARAM!$B$56)*($B248&gt;(60-PARAM!$B$56))*HLOOKUP(($B248+PARAM!$B$56)/12,Loyalty,2)*$F$1*MAX(R247,0)</f>
        <v>18.557001321003963</v>
      </c>
      <c r="Q248" s="75">
        <f>PARAM!$C$26+MAX($G$6-CHOOSE(PARAM!$B$44,MAX(0,R247*$F$1),0),0)*RATES!$L224/12+$H$6*(PARAM!$D$51/12)*RATES!$N224/100</f>
        <v>15.649671275345661</v>
      </c>
      <c r="R248" s="16">
        <f t="shared" si="158"/>
        <v>660.80103500785015</v>
      </c>
      <c r="S248" s="15">
        <f t="shared" si="133"/>
        <v>22.170849845882874</v>
      </c>
      <c r="T248" s="75">
        <f>S248*(1-PARAM!$C$27)*$I$7+(MOD($B248,60)=PARAM!$B$56)*($B248&gt;(60-PARAM!$B$56))*HLOOKUP(($B248+PARAM!$B$56)/12,Loyalty,2)*$F$1*MAX(V247,0)</f>
        <v>18.557001321003963</v>
      </c>
      <c r="U248" s="75">
        <f>PARAM!$C$26+MAX($G$7-CHOOSE(PARAM!$B$44,MAX(0,V247*$F$1),0),0)*RATES!$L224/12+$H$7*(PARAM!$D$51/12)*RATES!$N224/100</f>
        <v>15.649671275345661</v>
      </c>
      <c r="V248" s="16">
        <f t="shared" si="159"/>
        <v>660.80103500785015</v>
      </c>
      <c r="W248" s="15">
        <f t="shared" si="134"/>
        <v>22.170849845882874</v>
      </c>
      <c r="X248" s="75">
        <f>W248*(1-PARAM!$C$27)*$I$8+(MOD($B248,60)=PARAM!$B$56)*($B248&gt;(60-PARAM!$B$56))*HLOOKUP(($B248+PARAM!$B$56)/12,Loyalty,2)*$F$1*MAX(Z247,0)</f>
        <v>18.557001321003963</v>
      </c>
      <c r="Y248" s="75">
        <f>PARAM!$C$26+MAX($G$8-CHOOSE(PARAM!$B$44,MAX(0,Z247*$F$1),0),0)*RATES!$L224/12+$H$8*(PARAM!$D$51/12)*RATES!$N224/100</f>
        <v>15.649671275345661</v>
      </c>
      <c r="Z248" s="16">
        <f t="shared" si="160"/>
        <v>660.80103500785015</v>
      </c>
      <c r="AA248" s="15">
        <f t="shared" si="135"/>
        <v>22.170849845882874</v>
      </c>
      <c r="AB248" s="75">
        <f>AA248*(1-PARAM!$C$27)*$I$9+(MOD($B248,60)=PARAM!$B$56)*($B248&gt;(60-PARAM!$B$56))*HLOOKUP(($B248+PARAM!$B$56)/12,Loyalty,2)*$F$1*MAX(AD247,0)</f>
        <v>18.557001321003963</v>
      </c>
      <c r="AC248" s="75">
        <f>PARAM!$C$26+MAX($G$9-CHOOSE(PARAM!$B$44,MAX(0,AD247*$F$1),0),0)*RATES!$L224/12+$H$9*(PARAM!$D$51/12)*RATES!$N224/100</f>
        <v>15.649671275345661</v>
      </c>
      <c r="AD248" s="16">
        <f t="shared" si="161"/>
        <v>660.80103500785015</v>
      </c>
      <c r="AE248" s="15">
        <f t="shared" si="136"/>
        <v>22.170849845882874</v>
      </c>
      <c r="AF248" s="75">
        <f>AE248*(1-PARAM!$C$27)*$I$10+(MOD($B248,60)=PARAM!$B$56)*($B248&gt;(60-PARAM!$B$56))*HLOOKUP(($B248+PARAM!$B$56)/12,Loyalty,2)*$F$1*MAX(AH247,0)</f>
        <v>18.557001321003963</v>
      </c>
      <c r="AG248" s="75">
        <f>PARAM!$C$26+MAX($G$10-CHOOSE(PARAM!$B$44,MAX(0,AH247*$F$1),0),0)*RATES!$L224/12+$H$10*(PARAM!$D$51/12)*RATES!$N224/100</f>
        <v>15.649671275345661</v>
      </c>
      <c r="AH248" s="16">
        <f t="shared" si="162"/>
        <v>660.80103500785015</v>
      </c>
      <c r="AI248" s="15">
        <f t="shared" si="137"/>
        <v>22.170849845882874</v>
      </c>
      <c r="AJ248" s="75">
        <f>AI248*(1-PARAM!$C$27)*$I$11+(MOD($B248,60)=PARAM!$B$56)*($B248&gt;(60-PARAM!$B$56))*HLOOKUP(($B248+PARAM!$B$56)/12,Loyalty,2)*$F$1*MAX(AL247,0)</f>
        <v>18.557001321003963</v>
      </c>
      <c r="AK248" s="75">
        <f>PARAM!$C$26+MAX($G$11-CHOOSE(PARAM!$B$44,MAX(0,AL247*$F$1),0),0)*RATES!$L224/12+$H$11*(PARAM!$D$51/12)*RATES!$N224/100</f>
        <v>15.649671275345661</v>
      </c>
      <c r="AL248" s="16">
        <f t="shared" si="163"/>
        <v>660.80103500785015</v>
      </c>
      <c r="AM248" s="15">
        <f t="shared" si="138"/>
        <v>22.170849845882874</v>
      </c>
      <c r="AN248" s="75">
        <f>AM248*(1-PARAM!$C$27)*$I$12+(MOD($B248,60)=PARAM!$B$56)*($B248&gt;(60-PARAM!$B$56))*HLOOKUP(($B248+PARAM!$B$56)/12,Loyalty,2)*$F$1*MAX(AP247,0)</f>
        <v>18.557001321003963</v>
      </c>
      <c r="AO248" s="75">
        <f>PARAM!$C$26+MAX($G$12-CHOOSE(PARAM!$B$44,MAX(0,AP247*$F$1),0),0)*RATES!$L224/12+$H$12*(PARAM!$D$51/12)*RATES!$N224/100</f>
        <v>15.649671275345661</v>
      </c>
      <c r="AP248" s="16">
        <f t="shared" si="164"/>
        <v>660.80103500785015</v>
      </c>
      <c r="AQ248" s="15">
        <f t="shared" si="139"/>
        <v>22.170849845882874</v>
      </c>
      <c r="AR248" s="75">
        <f>AQ248*(1-PARAM!$C$27)*$I$13+(MOD($B248,60)=PARAM!$B$56)*($B248&gt;(60-PARAM!$B$56))*HLOOKUP(($B248+PARAM!$B$56)/12,Loyalty,2)*$F$1*MAX(AT247,0)</f>
        <v>18.557001321003963</v>
      </c>
      <c r="AS248" s="75">
        <f>PARAM!$C$26+MAX($G$13-CHOOSE(PARAM!$B$44,MAX(0,AT247*$F$1),0),0)*RATES!$L224/12+$H$13*(PARAM!$D$51/12)*RATES!$N224/100</f>
        <v>15.649671275345661</v>
      </c>
      <c r="AT248" s="16">
        <f t="shared" si="165"/>
        <v>660.80103500785015</v>
      </c>
      <c r="AU248" s="15">
        <f t="shared" si="140"/>
        <v>22.170849845882874</v>
      </c>
      <c r="AV248" s="75">
        <f>AU248*(1-PARAM!$C$27)*$I$14+(MOD($B248,60)=PARAM!$B$56)*($B248&gt;(60-PARAM!$B$56))*HLOOKUP(($B248+PARAM!$B$56)/12,Loyalty,2)*$F$1*MAX(AX247,0)</f>
        <v>18.557001321003963</v>
      </c>
      <c r="AW248" s="75">
        <f>PARAM!$C$26+MAX($G$14-CHOOSE(PARAM!$B$44,MAX(0,AX247*$F$1),0),0)*RATES!$L224/12+$H$14*(PARAM!$D$51/12)*RATES!$N224/100</f>
        <v>15.649671275345661</v>
      </c>
      <c r="AX248" s="16">
        <f t="shared" si="166"/>
        <v>660.80103500785015</v>
      </c>
      <c r="AY248" s="15">
        <f t="shared" si="141"/>
        <v>22.170849845882874</v>
      </c>
      <c r="AZ248" s="75">
        <f>AY248*(1-PARAM!$C$27)*$I$15+(MOD($B248,60)=PARAM!$B$56)*($B248&gt;(60-PARAM!$B$56))*HLOOKUP(($B248+PARAM!$B$56)/12,Loyalty,2)*$F$1*MAX(BB247,0)</f>
        <v>18.557001321003963</v>
      </c>
      <c r="BA248" s="75">
        <f>PARAM!$C$26+MAX($G$15-CHOOSE(PARAM!$B$44,MAX(0,BB247*$F$1),0),0)*RATES!$L224/12+$H$15*(PARAM!$D$51/12)*RATES!$N224/100</f>
        <v>15.649671275345661</v>
      </c>
      <c r="BB248" s="16">
        <f t="shared" si="167"/>
        <v>660.80103500785015</v>
      </c>
      <c r="BC248" s="15">
        <f t="shared" si="142"/>
        <v>22.170849845882874</v>
      </c>
      <c r="BD248" s="75">
        <f>BC248*(1-PARAM!$C$27)*$I$16+(MOD($B248,60)=PARAM!$B$56)*($B248&gt;(60-PARAM!$B$56))*HLOOKUP(($B248+PARAM!$B$56)/12,Loyalty,2)*$F$1*MAX(BF247,0)</f>
        <v>18.557001321003963</v>
      </c>
      <c r="BE248" s="75">
        <f>PARAM!$C$26+MAX($G$16-CHOOSE(PARAM!$B$44,MAX(0,BF247*$F$1),0),0)*RATES!$L224/12+$H$16*(PARAM!$D$51/12)*RATES!$N224/100</f>
        <v>15.649671275345661</v>
      </c>
      <c r="BF248" s="16">
        <f t="shared" si="168"/>
        <v>660.80103500785015</v>
      </c>
      <c r="BG248" s="15">
        <f t="shared" si="143"/>
        <v>22.170849845882874</v>
      </c>
      <c r="BH248" s="75">
        <f>BG248*(1-PARAM!$C$27)*$I$17+(MOD($B248,60)=PARAM!$B$56)*($B248&gt;(60-PARAM!$B$56))*HLOOKUP(($B248+PARAM!$B$56)/12,Loyalty,2)*$F$1*MAX(BJ247,0)</f>
        <v>18.557001321003963</v>
      </c>
      <c r="BI248" s="75">
        <f>PARAM!$C$26+MAX($G$17-CHOOSE(PARAM!$B$44,MAX(0,BJ247*$F$1),0),0)*RATES!$L224/12+$H$17*(PARAM!$D$51/12)*RATES!$N224/100</f>
        <v>15.649671275345661</v>
      </c>
      <c r="BJ248" s="16">
        <f t="shared" si="169"/>
        <v>660.80103500785015</v>
      </c>
      <c r="BK248" s="15">
        <f t="shared" si="144"/>
        <v>22.170849845882874</v>
      </c>
      <c r="BL248" s="75">
        <f>BK248*(1-PARAM!$C$27)*$I$18+(MOD($B248,60)=PARAM!$B$56)*($B248&gt;(60-PARAM!$B$56))*HLOOKUP(($B248+PARAM!$B$56)/12,Loyalty,2)*$F$1*MAX(BN247,0)</f>
        <v>18.557001321003963</v>
      </c>
      <c r="BM248" s="75">
        <f>PARAM!$C$26+MAX($G$18-CHOOSE(PARAM!$B$44,MAX(0,BN247*$F$1),0),0)*RATES!$L224/12+$H$18*(PARAM!$D$51/12)*RATES!$N224/100</f>
        <v>15.649671275345661</v>
      </c>
      <c r="BN248" s="16">
        <f t="shared" si="170"/>
        <v>660.80103500785015</v>
      </c>
      <c r="BO248" s="15">
        <f t="shared" si="145"/>
        <v>22.170849845882874</v>
      </c>
      <c r="BP248" s="75">
        <f>BO248*(1-PARAM!$C$27)*$I$19+(MOD($B248,60)=PARAM!$B$56)*($B248&gt;(60-PARAM!$B$56))*HLOOKUP(($B248+PARAM!$B$56)/12,Loyalty,2)*$F$1*MAX(BR247,0)</f>
        <v>18.557001321003963</v>
      </c>
      <c r="BQ248" s="75">
        <f>PARAM!$C$26+MAX($G$19-CHOOSE(PARAM!$B$44,MAX(0,BR247*$F$1),0),0)*RATES!$L224/12+$H$19*(PARAM!$D$51/12)*RATES!$N224/100</f>
        <v>15.649671275345661</v>
      </c>
      <c r="BR248" s="16">
        <f t="shared" si="171"/>
        <v>660.80103500785015</v>
      </c>
      <c r="BS248" s="15">
        <f t="shared" si="146"/>
        <v>22.170849845882874</v>
      </c>
      <c r="BT248" s="75">
        <f>BS248*(1-PARAM!$C$27)*$I$20+(MOD($B248,60)=PARAM!$B$56)*($B248&gt;(60-PARAM!$B$56))*HLOOKUP(($B248+PARAM!$B$56)/12,Loyalty,2)*$F$1*MAX(BV247,0)</f>
        <v>18.557001321003963</v>
      </c>
      <c r="BU248" s="75">
        <f>PARAM!$C$26+MAX($G$20-CHOOSE(PARAM!$B$44,MAX(0,BV247*$F$1),0),0)*RATES!$L224/12+$H$20*(PARAM!$D$51/12)*RATES!$N224/100</f>
        <v>15.649671275345661</v>
      </c>
      <c r="BV248" s="16">
        <f t="shared" si="172"/>
        <v>660.80103500785015</v>
      </c>
      <c r="BW248" s="15">
        <f t="shared" si="147"/>
        <v>22.170849845882874</v>
      </c>
      <c r="BX248" s="75">
        <f>BW248*(1-PARAM!$C$27)*$I$21+(MOD($B248,60)=PARAM!$B$56)*($B248&gt;(60-PARAM!$B$56))*HLOOKUP(($B248+PARAM!$B$56)/12,Loyalty,2)*$F$1*MAX(BZ247,0)</f>
        <v>18.557001321003963</v>
      </c>
      <c r="BY248" s="75">
        <f>PARAM!$C$26+MAX($G$21-CHOOSE(PARAM!$B$44,MAX(0,BZ247*$F$1),0),0)*RATES!$L224/12+$H$21*(PARAM!$D$51/12)*RATES!$N224/100</f>
        <v>15.649671275345661</v>
      </c>
      <c r="BZ248" s="16">
        <f t="shared" si="173"/>
        <v>660.80103500785015</v>
      </c>
      <c r="CA248" s="15">
        <f t="shared" si="148"/>
        <v>22.170849845882874</v>
      </c>
      <c r="CB248" s="75">
        <f>CA248*(1-PARAM!$C$27)*$I$22+(MOD($B248,60)=PARAM!$B$56)*($B248&gt;(60-PARAM!$B$56))*HLOOKUP(($B248+PARAM!$B$56)/12,Loyalty,2)*$F$1*MAX(CD247,0)</f>
        <v>18.557001321003963</v>
      </c>
      <c r="CC248" s="75">
        <f>PARAM!$C$26+MAX($G$22-CHOOSE(PARAM!$B$44,MAX(0,CD247*$F$1),0),0)*RATES!$L224/12+$H$22*(PARAM!$D$51/12)*RATES!$N224/100</f>
        <v>15.649671275345661</v>
      </c>
      <c r="CD248" s="16">
        <f t="shared" si="174"/>
        <v>660.80103500785015</v>
      </c>
      <c r="CE248" s="33">
        <f>IF(0=MOD(B248,12/PARAM!$D$51),1,0)</f>
        <v>1</v>
      </c>
      <c r="CF248" s="15">
        <f t="shared" si="149"/>
        <v>0</v>
      </c>
      <c r="CG248" s="75">
        <f>CF248*(1-PARAM!$C$27)*$R$3+(MOD($B248/12,5)=0)*($B248&gt;60)*HLOOKUP($B248/12,Loyalty,2)*$F$1*MAX(CI247,0)</f>
        <v>0</v>
      </c>
      <c r="CH248" s="75">
        <f>PARAM!$C$26+MAX($P$3-CHOOSE(PARAM!$B$44,MAX(0,CI247*$F$1),0),0)*RATES!$L224/12+$Q$3*(PARAM!$D$51/12)*RATES!$N224/100</f>
        <v>15.791666666666666</v>
      </c>
      <c r="CI248" s="16">
        <f>IF(CI247&gt;0,CI247*PARAM!$C$53,CI247)+CG248-CH248</f>
        <v>-3266.499999999995</v>
      </c>
      <c r="CJ248" s="15">
        <f t="shared" si="175"/>
        <v>0</v>
      </c>
      <c r="CK248" s="75">
        <f>CJ248*(1-PARAM!$C$27)*$R$4+(MOD($B248/12,5)=0)*($B248&gt;60)*HLOOKUP($B248/12,Loyalty,2)*$F$1*MAX(CM247,0)</f>
        <v>0</v>
      </c>
      <c r="CL248" s="75">
        <f>PARAM!$C$26+MAX($P$4-CHOOSE(PARAM!$B$44,MAX(0,CM247*$F$1),0),0)*RATES!$L224/12+$Q$4*(PARAM!$D$51/12)*RATES!$N224/100</f>
        <v>15.791666666666666</v>
      </c>
      <c r="CM248" s="16">
        <f>IF(CM247&gt;0,CM247*PARAM!$C$53,CM247)+CK248-CL248</f>
        <v>-3266.499999999995</v>
      </c>
      <c r="CO248" s="176"/>
    </row>
    <row r="249" spans="1:93" x14ac:dyDescent="0.2">
      <c r="A249" t="b">
        <f t="shared" si="150"/>
        <v>1</v>
      </c>
      <c r="B249" s="33">
        <v>222</v>
      </c>
      <c r="C249" s="15">
        <f t="shared" si="151"/>
        <v>20.081305947392778</v>
      </c>
      <c r="D249" s="75">
        <f>C249*(1-PARAM!$C$27)*$I$3+(MOD($B249,60)=PARAM!$B$56)*($B249&gt;(60-PARAM!$B$56))*HLOOKUP(($B249+PARAM!$B$56)/12,Loyalty,2)*$F$1*MAX(F248,0)</f>
        <v>16.808053077967756</v>
      </c>
      <c r="E249" s="75">
        <f>PARAM!$C$26+MAX($G$3-CHOOSE(PARAM!$B$44,MAX(0,F248*$F$1),0),0)*RATES!$L225/12+$H$3*(PARAM!$D$51/12)*RATES!$N225/100</f>
        <v>17.01578271739011</v>
      </c>
      <c r="F249" s="16">
        <f t="shared" si="152"/>
        <v>279.31206047047613</v>
      </c>
      <c r="G249" s="15">
        <f t="shared" si="153"/>
        <v>22.035289406060361</v>
      </c>
      <c r="H249" s="75">
        <f>G249*(1-PARAM!$C$27)*$I$4+(MOD($B249,60)=PARAM!$B$56)*($B249&gt;(60-PARAM!$B$56))*HLOOKUP(($B249+PARAM!$B$56)/12,Loyalty,2)*$F$1*MAX(J248,0)</f>
        <v>18.443537232872522</v>
      </c>
      <c r="I249" s="75">
        <f>PARAM!$C$26+MAX($G$4-CHOOSE(PARAM!$B$44,MAX(0,J248*$F$1),0),0)*RATES!$L225/12+$H$4*(PARAM!$D$51/12)*RATES!$N225/100</f>
        <v>16.929621300288659</v>
      </c>
      <c r="J249" s="16">
        <f t="shared" si="154"/>
        <v>637.56370784158003</v>
      </c>
      <c r="K249" s="15">
        <f t="shared" si="155"/>
        <v>22.170849845882874</v>
      </c>
      <c r="L249" s="75">
        <f>K249*(1-PARAM!$C$27)*$I$5+(MOD($B249,60)=PARAM!$B$56)*($B249&gt;(60-PARAM!$B$56))*HLOOKUP(($B249+PARAM!$B$56)/12,Loyalty,2)*$F$1*MAX(N248,0)</f>
        <v>18.557001321003963</v>
      </c>
      <c r="M249" s="75">
        <f>PARAM!$C$26+MAX($G$5-CHOOSE(PARAM!$B$44,MAX(0,N248*$F$1),0),0)*RATES!$L225/12+$H$5*(PARAM!$D$51/12)*RATES!$N225/100</f>
        <v>16.923639749873104</v>
      </c>
      <c r="N249" s="16">
        <f t="shared" si="156"/>
        <v>662.43439657898102</v>
      </c>
      <c r="O249" s="15">
        <f t="shared" si="157"/>
        <v>22.170849845882874</v>
      </c>
      <c r="P249" s="75">
        <f>O249*(1-PARAM!$C$27)*$I$6+(MOD($B249,60)=PARAM!$B$56)*($B249&gt;(60-PARAM!$B$56))*HLOOKUP(($B249+PARAM!$B$56)/12,Loyalty,2)*$F$1*MAX(R248,0)</f>
        <v>18.557001321003963</v>
      </c>
      <c r="Q249" s="75">
        <f>PARAM!$C$26+MAX($G$6-CHOOSE(PARAM!$B$44,MAX(0,R248*$F$1),0),0)*RATES!$L225/12+$H$6*(PARAM!$D$51/12)*RATES!$N225/100</f>
        <v>16.923639749873104</v>
      </c>
      <c r="R249" s="16">
        <f t="shared" si="158"/>
        <v>662.43439657898102</v>
      </c>
      <c r="S249" s="15">
        <f t="shared" si="133"/>
        <v>22.170849845882874</v>
      </c>
      <c r="T249" s="75">
        <f>S249*(1-PARAM!$C$27)*$I$7+(MOD($B249,60)=PARAM!$B$56)*($B249&gt;(60-PARAM!$B$56))*HLOOKUP(($B249+PARAM!$B$56)/12,Loyalty,2)*$F$1*MAX(V248,0)</f>
        <v>18.557001321003963</v>
      </c>
      <c r="U249" s="75">
        <f>PARAM!$C$26+MAX($G$7-CHOOSE(PARAM!$B$44,MAX(0,V248*$F$1),0),0)*RATES!$L225/12+$H$7*(PARAM!$D$51/12)*RATES!$N225/100</f>
        <v>16.923639749873104</v>
      </c>
      <c r="V249" s="16">
        <f t="shared" si="159"/>
        <v>662.43439657898102</v>
      </c>
      <c r="W249" s="15">
        <f t="shared" si="134"/>
        <v>22.170849845882874</v>
      </c>
      <c r="X249" s="75">
        <f>W249*(1-PARAM!$C$27)*$I$8+(MOD($B249,60)=PARAM!$B$56)*($B249&gt;(60-PARAM!$B$56))*HLOOKUP(($B249+PARAM!$B$56)/12,Loyalty,2)*$F$1*MAX(Z248,0)</f>
        <v>18.557001321003963</v>
      </c>
      <c r="Y249" s="75">
        <f>PARAM!$C$26+MAX($G$8-CHOOSE(PARAM!$B$44,MAX(0,Z248*$F$1),0),0)*RATES!$L225/12+$H$8*(PARAM!$D$51/12)*RATES!$N225/100</f>
        <v>16.923639749873104</v>
      </c>
      <c r="Z249" s="16">
        <f t="shared" si="160"/>
        <v>662.43439657898102</v>
      </c>
      <c r="AA249" s="15">
        <f t="shared" si="135"/>
        <v>22.170849845882874</v>
      </c>
      <c r="AB249" s="75">
        <f>AA249*(1-PARAM!$C$27)*$I$9+(MOD($B249,60)=PARAM!$B$56)*($B249&gt;(60-PARAM!$B$56))*HLOOKUP(($B249+PARAM!$B$56)/12,Loyalty,2)*$F$1*MAX(AD248,0)</f>
        <v>18.557001321003963</v>
      </c>
      <c r="AC249" s="75">
        <f>PARAM!$C$26+MAX($G$9-CHOOSE(PARAM!$B$44,MAX(0,AD248*$F$1),0),0)*RATES!$L225/12+$H$9*(PARAM!$D$51/12)*RATES!$N225/100</f>
        <v>16.923639749873104</v>
      </c>
      <c r="AD249" s="16">
        <f t="shared" si="161"/>
        <v>662.43439657898102</v>
      </c>
      <c r="AE249" s="15">
        <f t="shared" si="136"/>
        <v>22.170849845882874</v>
      </c>
      <c r="AF249" s="75">
        <f>AE249*(1-PARAM!$C$27)*$I$10+(MOD($B249,60)=PARAM!$B$56)*($B249&gt;(60-PARAM!$B$56))*HLOOKUP(($B249+PARAM!$B$56)/12,Loyalty,2)*$F$1*MAX(AH248,0)</f>
        <v>18.557001321003963</v>
      </c>
      <c r="AG249" s="75">
        <f>PARAM!$C$26+MAX($G$10-CHOOSE(PARAM!$B$44,MAX(0,AH248*$F$1),0),0)*RATES!$L225/12+$H$10*(PARAM!$D$51/12)*RATES!$N225/100</f>
        <v>16.923639749873104</v>
      </c>
      <c r="AH249" s="16">
        <f t="shared" si="162"/>
        <v>662.43439657898102</v>
      </c>
      <c r="AI249" s="15">
        <f t="shared" si="137"/>
        <v>22.170849845882874</v>
      </c>
      <c r="AJ249" s="75">
        <f>AI249*(1-PARAM!$C$27)*$I$11+(MOD($B249,60)=PARAM!$B$56)*($B249&gt;(60-PARAM!$B$56))*HLOOKUP(($B249+PARAM!$B$56)/12,Loyalty,2)*$F$1*MAX(AL248,0)</f>
        <v>18.557001321003963</v>
      </c>
      <c r="AK249" s="75">
        <f>PARAM!$C$26+MAX($G$11-CHOOSE(PARAM!$B$44,MAX(0,AL248*$F$1),0),0)*RATES!$L225/12+$H$11*(PARAM!$D$51/12)*RATES!$N225/100</f>
        <v>16.923639749873104</v>
      </c>
      <c r="AL249" s="16">
        <f t="shared" si="163"/>
        <v>662.43439657898102</v>
      </c>
      <c r="AM249" s="15">
        <f t="shared" si="138"/>
        <v>22.170849845882874</v>
      </c>
      <c r="AN249" s="75">
        <f>AM249*(1-PARAM!$C$27)*$I$12+(MOD($B249,60)=PARAM!$B$56)*($B249&gt;(60-PARAM!$B$56))*HLOOKUP(($B249+PARAM!$B$56)/12,Loyalty,2)*$F$1*MAX(AP248,0)</f>
        <v>18.557001321003963</v>
      </c>
      <c r="AO249" s="75">
        <f>PARAM!$C$26+MAX($G$12-CHOOSE(PARAM!$B$44,MAX(0,AP248*$F$1),0),0)*RATES!$L225/12+$H$12*(PARAM!$D$51/12)*RATES!$N225/100</f>
        <v>16.923639749873104</v>
      </c>
      <c r="AP249" s="16">
        <f t="shared" si="164"/>
        <v>662.43439657898102</v>
      </c>
      <c r="AQ249" s="15">
        <f t="shared" si="139"/>
        <v>22.170849845882874</v>
      </c>
      <c r="AR249" s="75">
        <f>AQ249*(1-PARAM!$C$27)*$I$13+(MOD($B249,60)=PARAM!$B$56)*($B249&gt;(60-PARAM!$B$56))*HLOOKUP(($B249+PARAM!$B$56)/12,Loyalty,2)*$F$1*MAX(AT248,0)</f>
        <v>18.557001321003963</v>
      </c>
      <c r="AS249" s="75">
        <f>PARAM!$C$26+MAX($G$13-CHOOSE(PARAM!$B$44,MAX(0,AT248*$F$1),0),0)*RATES!$L225/12+$H$13*(PARAM!$D$51/12)*RATES!$N225/100</f>
        <v>16.923639749873104</v>
      </c>
      <c r="AT249" s="16">
        <f t="shared" si="165"/>
        <v>662.43439657898102</v>
      </c>
      <c r="AU249" s="15">
        <f t="shared" si="140"/>
        <v>22.170849845882874</v>
      </c>
      <c r="AV249" s="75">
        <f>AU249*(1-PARAM!$C$27)*$I$14+(MOD($B249,60)=PARAM!$B$56)*($B249&gt;(60-PARAM!$B$56))*HLOOKUP(($B249+PARAM!$B$56)/12,Loyalty,2)*$F$1*MAX(AX248,0)</f>
        <v>18.557001321003963</v>
      </c>
      <c r="AW249" s="75">
        <f>PARAM!$C$26+MAX($G$14-CHOOSE(PARAM!$B$44,MAX(0,AX248*$F$1),0),0)*RATES!$L225/12+$H$14*(PARAM!$D$51/12)*RATES!$N225/100</f>
        <v>16.923639749873104</v>
      </c>
      <c r="AX249" s="16">
        <f t="shared" si="166"/>
        <v>662.43439657898102</v>
      </c>
      <c r="AY249" s="15">
        <f t="shared" si="141"/>
        <v>22.170849845882874</v>
      </c>
      <c r="AZ249" s="75">
        <f>AY249*(1-PARAM!$C$27)*$I$15+(MOD($B249,60)=PARAM!$B$56)*($B249&gt;(60-PARAM!$B$56))*HLOOKUP(($B249+PARAM!$B$56)/12,Loyalty,2)*$F$1*MAX(BB248,0)</f>
        <v>18.557001321003963</v>
      </c>
      <c r="BA249" s="75">
        <f>PARAM!$C$26+MAX($G$15-CHOOSE(PARAM!$B$44,MAX(0,BB248*$F$1),0),0)*RATES!$L225/12+$H$15*(PARAM!$D$51/12)*RATES!$N225/100</f>
        <v>16.923639749873104</v>
      </c>
      <c r="BB249" s="16">
        <f t="shared" si="167"/>
        <v>662.43439657898102</v>
      </c>
      <c r="BC249" s="15">
        <f t="shared" si="142"/>
        <v>22.170849845882874</v>
      </c>
      <c r="BD249" s="75">
        <f>BC249*(1-PARAM!$C$27)*$I$16+(MOD($B249,60)=PARAM!$B$56)*($B249&gt;(60-PARAM!$B$56))*HLOOKUP(($B249+PARAM!$B$56)/12,Loyalty,2)*$F$1*MAX(BF248,0)</f>
        <v>18.557001321003963</v>
      </c>
      <c r="BE249" s="75">
        <f>PARAM!$C$26+MAX($G$16-CHOOSE(PARAM!$B$44,MAX(0,BF248*$F$1),0),0)*RATES!$L225/12+$H$16*(PARAM!$D$51/12)*RATES!$N225/100</f>
        <v>16.923639749873104</v>
      </c>
      <c r="BF249" s="16">
        <f t="shared" si="168"/>
        <v>662.43439657898102</v>
      </c>
      <c r="BG249" s="15">
        <f t="shared" si="143"/>
        <v>22.170849845882874</v>
      </c>
      <c r="BH249" s="75">
        <f>BG249*(1-PARAM!$C$27)*$I$17+(MOD($B249,60)=PARAM!$B$56)*($B249&gt;(60-PARAM!$B$56))*HLOOKUP(($B249+PARAM!$B$56)/12,Loyalty,2)*$F$1*MAX(BJ248,0)</f>
        <v>18.557001321003963</v>
      </c>
      <c r="BI249" s="75">
        <f>PARAM!$C$26+MAX($G$17-CHOOSE(PARAM!$B$44,MAX(0,BJ248*$F$1),0),0)*RATES!$L225/12+$H$17*(PARAM!$D$51/12)*RATES!$N225/100</f>
        <v>16.923639749873104</v>
      </c>
      <c r="BJ249" s="16">
        <f t="shared" si="169"/>
        <v>662.43439657898102</v>
      </c>
      <c r="BK249" s="15">
        <f t="shared" si="144"/>
        <v>22.170849845882874</v>
      </c>
      <c r="BL249" s="75">
        <f>BK249*(1-PARAM!$C$27)*$I$18+(MOD($B249,60)=PARAM!$B$56)*($B249&gt;(60-PARAM!$B$56))*HLOOKUP(($B249+PARAM!$B$56)/12,Loyalty,2)*$F$1*MAX(BN248,0)</f>
        <v>18.557001321003963</v>
      </c>
      <c r="BM249" s="75">
        <f>PARAM!$C$26+MAX($G$18-CHOOSE(PARAM!$B$44,MAX(0,BN248*$F$1),0),0)*RATES!$L225/12+$H$18*(PARAM!$D$51/12)*RATES!$N225/100</f>
        <v>16.923639749873104</v>
      </c>
      <c r="BN249" s="16">
        <f t="shared" si="170"/>
        <v>662.43439657898102</v>
      </c>
      <c r="BO249" s="15">
        <f t="shared" si="145"/>
        <v>22.170849845882874</v>
      </c>
      <c r="BP249" s="75">
        <f>BO249*(1-PARAM!$C$27)*$I$19+(MOD($B249,60)=PARAM!$B$56)*($B249&gt;(60-PARAM!$B$56))*HLOOKUP(($B249+PARAM!$B$56)/12,Loyalty,2)*$F$1*MAX(BR248,0)</f>
        <v>18.557001321003963</v>
      </c>
      <c r="BQ249" s="75">
        <f>PARAM!$C$26+MAX($G$19-CHOOSE(PARAM!$B$44,MAX(0,BR248*$F$1),0),0)*RATES!$L225/12+$H$19*(PARAM!$D$51/12)*RATES!$N225/100</f>
        <v>16.923639749873104</v>
      </c>
      <c r="BR249" s="16">
        <f t="shared" si="171"/>
        <v>662.43439657898102</v>
      </c>
      <c r="BS249" s="15">
        <f t="shared" si="146"/>
        <v>22.170849845882874</v>
      </c>
      <c r="BT249" s="75">
        <f>BS249*(1-PARAM!$C$27)*$I$20+(MOD($B249,60)=PARAM!$B$56)*($B249&gt;(60-PARAM!$B$56))*HLOOKUP(($B249+PARAM!$B$56)/12,Loyalty,2)*$F$1*MAX(BV248,0)</f>
        <v>18.557001321003963</v>
      </c>
      <c r="BU249" s="75">
        <f>PARAM!$C$26+MAX($G$20-CHOOSE(PARAM!$B$44,MAX(0,BV248*$F$1),0),0)*RATES!$L225/12+$H$20*(PARAM!$D$51/12)*RATES!$N225/100</f>
        <v>16.923639749873104</v>
      </c>
      <c r="BV249" s="16">
        <f t="shared" si="172"/>
        <v>662.43439657898102</v>
      </c>
      <c r="BW249" s="15">
        <f t="shared" si="147"/>
        <v>22.170849845882874</v>
      </c>
      <c r="BX249" s="75">
        <f>BW249*(1-PARAM!$C$27)*$I$21+(MOD($B249,60)=PARAM!$B$56)*($B249&gt;(60-PARAM!$B$56))*HLOOKUP(($B249+PARAM!$B$56)/12,Loyalty,2)*$F$1*MAX(BZ248,0)</f>
        <v>18.557001321003963</v>
      </c>
      <c r="BY249" s="75">
        <f>PARAM!$C$26+MAX($G$21-CHOOSE(PARAM!$B$44,MAX(0,BZ248*$F$1),0),0)*RATES!$L225/12+$H$21*(PARAM!$D$51/12)*RATES!$N225/100</f>
        <v>16.923639749873104</v>
      </c>
      <c r="BZ249" s="16">
        <f t="shared" si="173"/>
        <v>662.43439657898102</v>
      </c>
      <c r="CA249" s="15">
        <f t="shared" si="148"/>
        <v>22.170849845882874</v>
      </c>
      <c r="CB249" s="75">
        <f>CA249*(1-PARAM!$C$27)*$I$22+(MOD($B249,60)=PARAM!$B$56)*($B249&gt;(60-PARAM!$B$56))*HLOOKUP(($B249+PARAM!$B$56)/12,Loyalty,2)*$F$1*MAX(CD248,0)</f>
        <v>18.557001321003963</v>
      </c>
      <c r="CC249" s="75">
        <f>PARAM!$C$26+MAX($G$22-CHOOSE(PARAM!$B$44,MAX(0,CD248*$F$1),0),0)*RATES!$L225/12+$H$22*(PARAM!$D$51/12)*RATES!$N225/100</f>
        <v>16.923639749873104</v>
      </c>
      <c r="CD249" s="16">
        <f t="shared" si="174"/>
        <v>662.43439657898102</v>
      </c>
      <c r="CE249" s="33">
        <f>IF(0=MOD(B249,12/PARAM!$D$51),1,0)</f>
        <v>1</v>
      </c>
      <c r="CF249" s="15">
        <f t="shared" si="149"/>
        <v>0</v>
      </c>
      <c r="CG249" s="75">
        <f>CF249*(1-PARAM!$C$27)*$R$3+(MOD($B249/12,5)=0)*($B249&gt;60)*HLOOKUP($B249/12,Loyalty,2)*$F$1*MAX(CI248,0)</f>
        <v>0</v>
      </c>
      <c r="CH249" s="75">
        <f>PARAM!$C$26+MAX($P$3-CHOOSE(PARAM!$B$44,MAX(0,CI248*$F$1),0),0)*RATES!$L225/12+$Q$3*(PARAM!$D$51/12)*RATES!$N225/100</f>
        <v>17.083333333333336</v>
      </c>
      <c r="CI249" s="16">
        <f>IF(CI248&gt;0,CI248*PARAM!$C$53,CI248)+CG249-CH249</f>
        <v>-3283.5833333333285</v>
      </c>
      <c r="CJ249" s="15">
        <f t="shared" si="175"/>
        <v>0</v>
      </c>
      <c r="CK249" s="75">
        <f>CJ249*(1-PARAM!$C$27)*$R$4+(MOD($B249/12,5)=0)*($B249&gt;60)*HLOOKUP($B249/12,Loyalty,2)*$F$1*MAX(CM248,0)</f>
        <v>0</v>
      </c>
      <c r="CL249" s="75">
        <f>PARAM!$C$26+MAX($P$4-CHOOSE(PARAM!$B$44,MAX(0,CM248*$F$1),0),0)*RATES!$L225/12+$Q$4*(PARAM!$D$51/12)*RATES!$N225/100</f>
        <v>17.083333333333336</v>
      </c>
      <c r="CM249" s="16">
        <f>IF(CM248&gt;0,CM248*PARAM!$C$53,CM248)+CK249-CL249</f>
        <v>-3283.5833333333285</v>
      </c>
      <c r="CO249" s="176"/>
    </row>
    <row r="250" spans="1:93" x14ac:dyDescent="0.2">
      <c r="A250" t="b">
        <f t="shared" si="150"/>
        <v>1</v>
      </c>
      <c r="B250" s="33">
        <v>223</v>
      </c>
      <c r="C250" s="15">
        <f t="shared" si="151"/>
        <v>20.081305947392778</v>
      </c>
      <c r="D250" s="75">
        <f>C250*(1-PARAM!$C$27)*$I$3+(MOD($B250,60)=PARAM!$B$56)*($B250&gt;(60-PARAM!$B$56))*HLOOKUP(($B250+PARAM!$B$56)/12,Loyalty,2)*$F$1*MAX(F249,0)</f>
        <v>16.808053077967756</v>
      </c>
      <c r="E250" s="75">
        <f>PARAM!$C$26+MAX($G$3-CHOOSE(PARAM!$B$44,MAX(0,F249*$F$1),0),0)*RATES!$L226/12+$H$3*(PARAM!$D$51/12)*RATES!$N226/100</f>
        <v>17.015832918719632</v>
      </c>
      <c r="F250" s="16">
        <f t="shared" si="152"/>
        <v>279.10428062972426</v>
      </c>
      <c r="G250" s="15">
        <f t="shared" si="153"/>
        <v>22.035289406060361</v>
      </c>
      <c r="H250" s="75">
        <f>G250*(1-PARAM!$C$27)*$I$4+(MOD($B250,60)=PARAM!$B$56)*($B250&gt;(60-PARAM!$B$56))*HLOOKUP(($B250+PARAM!$B$56)/12,Loyalty,2)*$F$1*MAX(J249,0)</f>
        <v>18.443537232872522</v>
      </c>
      <c r="I250" s="75">
        <f>PARAM!$C$26+MAX($G$4-CHOOSE(PARAM!$B$44,MAX(0,J249*$F$1),0),0)*RATES!$L226/12+$H$4*(PARAM!$D$51/12)*RATES!$N226/100</f>
        <v>16.929255437271614</v>
      </c>
      <c r="J250" s="16">
        <f t="shared" si="154"/>
        <v>639.07798963718085</v>
      </c>
      <c r="K250" s="15">
        <f t="shared" si="155"/>
        <v>22.170849845882874</v>
      </c>
      <c r="L250" s="75">
        <f>K250*(1-PARAM!$C$27)*$I$5+(MOD($B250,60)=PARAM!$B$56)*($B250&gt;(60-PARAM!$B$56))*HLOOKUP(($B250+PARAM!$B$56)/12,Loyalty,2)*$F$1*MAX(N249,0)</f>
        <v>18.557001321003963</v>
      </c>
      <c r="M250" s="75">
        <f>PARAM!$C$26+MAX($G$5-CHOOSE(PARAM!$B$44,MAX(0,N249*$F$1),0),0)*RATES!$L226/12+$H$5*(PARAM!$D$51/12)*RATES!$N226/100</f>
        <v>16.923245020826748</v>
      </c>
      <c r="N250" s="16">
        <f t="shared" si="156"/>
        <v>664.06815287915833</v>
      </c>
      <c r="O250" s="15">
        <f t="shared" si="157"/>
        <v>22.170849845882874</v>
      </c>
      <c r="P250" s="75">
        <f>O250*(1-PARAM!$C$27)*$I$6+(MOD($B250,60)=PARAM!$B$56)*($B250&gt;(60-PARAM!$B$56))*HLOOKUP(($B250+PARAM!$B$56)/12,Loyalty,2)*$F$1*MAX(R249,0)</f>
        <v>18.557001321003963</v>
      </c>
      <c r="Q250" s="75">
        <f>PARAM!$C$26+MAX($G$6-CHOOSE(PARAM!$B$44,MAX(0,R249*$F$1),0),0)*RATES!$L226/12+$H$6*(PARAM!$D$51/12)*RATES!$N226/100</f>
        <v>16.923245020826748</v>
      </c>
      <c r="R250" s="16">
        <f t="shared" si="158"/>
        <v>664.06815287915833</v>
      </c>
      <c r="S250" s="15">
        <f t="shared" si="133"/>
        <v>22.170849845882874</v>
      </c>
      <c r="T250" s="75">
        <f>S250*(1-PARAM!$C$27)*$I$7+(MOD($B250,60)=PARAM!$B$56)*($B250&gt;(60-PARAM!$B$56))*HLOOKUP(($B250+PARAM!$B$56)/12,Loyalty,2)*$F$1*MAX(V249,0)</f>
        <v>18.557001321003963</v>
      </c>
      <c r="U250" s="75">
        <f>PARAM!$C$26+MAX($G$7-CHOOSE(PARAM!$B$44,MAX(0,V249*$F$1),0),0)*RATES!$L226/12+$H$7*(PARAM!$D$51/12)*RATES!$N226/100</f>
        <v>16.923245020826748</v>
      </c>
      <c r="V250" s="16">
        <f t="shared" si="159"/>
        <v>664.06815287915833</v>
      </c>
      <c r="W250" s="15">
        <f t="shared" si="134"/>
        <v>22.170849845882874</v>
      </c>
      <c r="X250" s="75">
        <f>W250*(1-PARAM!$C$27)*$I$8+(MOD($B250,60)=PARAM!$B$56)*($B250&gt;(60-PARAM!$B$56))*HLOOKUP(($B250+PARAM!$B$56)/12,Loyalty,2)*$F$1*MAX(Z249,0)</f>
        <v>18.557001321003963</v>
      </c>
      <c r="Y250" s="75">
        <f>PARAM!$C$26+MAX($G$8-CHOOSE(PARAM!$B$44,MAX(0,Z249*$F$1),0),0)*RATES!$L226/12+$H$8*(PARAM!$D$51/12)*RATES!$N226/100</f>
        <v>16.923245020826748</v>
      </c>
      <c r="Z250" s="16">
        <f t="shared" si="160"/>
        <v>664.06815287915833</v>
      </c>
      <c r="AA250" s="15">
        <f t="shared" si="135"/>
        <v>22.170849845882874</v>
      </c>
      <c r="AB250" s="75">
        <f>AA250*(1-PARAM!$C$27)*$I$9+(MOD($B250,60)=PARAM!$B$56)*($B250&gt;(60-PARAM!$B$56))*HLOOKUP(($B250+PARAM!$B$56)/12,Loyalty,2)*$F$1*MAX(AD249,0)</f>
        <v>18.557001321003963</v>
      </c>
      <c r="AC250" s="75">
        <f>PARAM!$C$26+MAX($G$9-CHOOSE(PARAM!$B$44,MAX(0,AD249*$F$1),0),0)*RATES!$L226/12+$H$9*(PARAM!$D$51/12)*RATES!$N226/100</f>
        <v>16.923245020826748</v>
      </c>
      <c r="AD250" s="16">
        <f t="shared" si="161"/>
        <v>664.06815287915833</v>
      </c>
      <c r="AE250" s="15">
        <f t="shared" si="136"/>
        <v>22.170849845882874</v>
      </c>
      <c r="AF250" s="75">
        <f>AE250*(1-PARAM!$C$27)*$I$10+(MOD($B250,60)=PARAM!$B$56)*($B250&gt;(60-PARAM!$B$56))*HLOOKUP(($B250+PARAM!$B$56)/12,Loyalty,2)*$F$1*MAX(AH249,0)</f>
        <v>18.557001321003963</v>
      </c>
      <c r="AG250" s="75">
        <f>PARAM!$C$26+MAX($G$10-CHOOSE(PARAM!$B$44,MAX(0,AH249*$F$1),0),0)*RATES!$L226/12+$H$10*(PARAM!$D$51/12)*RATES!$N226/100</f>
        <v>16.923245020826748</v>
      </c>
      <c r="AH250" s="16">
        <f t="shared" si="162"/>
        <v>664.06815287915833</v>
      </c>
      <c r="AI250" s="15">
        <f t="shared" si="137"/>
        <v>22.170849845882874</v>
      </c>
      <c r="AJ250" s="75">
        <f>AI250*(1-PARAM!$C$27)*$I$11+(MOD($B250,60)=PARAM!$B$56)*($B250&gt;(60-PARAM!$B$56))*HLOOKUP(($B250+PARAM!$B$56)/12,Loyalty,2)*$F$1*MAX(AL249,0)</f>
        <v>18.557001321003963</v>
      </c>
      <c r="AK250" s="75">
        <f>PARAM!$C$26+MAX($G$11-CHOOSE(PARAM!$B$44,MAX(0,AL249*$F$1),0),0)*RATES!$L226/12+$H$11*(PARAM!$D$51/12)*RATES!$N226/100</f>
        <v>16.923245020826748</v>
      </c>
      <c r="AL250" s="16">
        <f t="shared" si="163"/>
        <v>664.06815287915833</v>
      </c>
      <c r="AM250" s="15">
        <f t="shared" si="138"/>
        <v>22.170849845882874</v>
      </c>
      <c r="AN250" s="75">
        <f>AM250*(1-PARAM!$C$27)*$I$12+(MOD($B250,60)=PARAM!$B$56)*($B250&gt;(60-PARAM!$B$56))*HLOOKUP(($B250+PARAM!$B$56)/12,Loyalty,2)*$F$1*MAX(AP249,0)</f>
        <v>18.557001321003963</v>
      </c>
      <c r="AO250" s="75">
        <f>PARAM!$C$26+MAX($G$12-CHOOSE(PARAM!$B$44,MAX(0,AP249*$F$1),0),0)*RATES!$L226/12+$H$12*(PARAM!$D$51/12)*RATES!$N226/100</f>
        <v>16.923245020826748</v>
      </c>
      <c r="AP250" s="16">
        <f t="shared" si="164"/>
        <v>664.06815287915833</v>
      </c>
      <c r="AQ250" s="15">
        <f t="shared" si="139"/>
        <v>22.170849845882874</v>
      </c>
      <c r="AR250" s="75">
        <f>AQ250*(1-PARAM!$C$27)*$I$13+(MOD($B250,60)=PARAM!$B$56)*($B250&gt;(60-PARAM!$B$56))*HLOOKUP(($B250+PARAM!$B$56)/12,Loyalty,2)*$F$1*MAX(AT249,0)</f>
        <v>18.557001321003963</v>
      </c>
      <c r="AS250" s="75">
        <f>PARAM!$C$26+MAX($G$13-CHOOSE(PARAM!$B$44,MAX(0,AT249*$F$1),0),0)*RATES!$L226/12+$H$13*(PARAM!$D$51/12)*RATES!$N226/100</f>
        <v>16.923245020826748</v>
      </c>
      <c r="AT250" s="16">
        <f t="shared" si="165"/>
        <v>664.06815287915833</v>
      </c>
      <c r="AU250" s="15">
        <f t="shared" si="140"/>
        <v>22.170849845882874</v>
      </c>
      <c r="AV250" s="75">
        <f>AU250*(1-PARAM!$C$27)*$I$14+(MOD($B250,60)=PARAM!$B$56)*($B250&gt;(60-PARAM!$B$56))*HLOOKUP(($B250+PARAM!$B$56)/12,Loyalty,2)*$F$1*MAX(AX249,0)</f>
        <v>18.557001321003963</v>
      </c>
      <c r="AW250" s="75">
        <f>PARAM!$C$26+MAX($G$14-CHOOSE(PARAM!$B$44,MAX(0,AX249*$F$1),0),0)*RATES!$L226/12+$H$14*(PARAM!$D$51/12)*RATES!$N226/100</f>
        <v>16.923245020826748</v>
      </c>
      <c r="AX250" s="16">
        <f t="shared" si="166"/>
        <v>664.06815287915833</v>
      </c>
      <c r="AY250" s="15">
        <f t="shared" si="141"/>
        <v>22.170849845882874</v>
      </c>
      <c r="AZ250" s="75">
        <f>AY250*(1-PARAM!$C$27)*$I$15+(MOD($B250,60)=PARAM!$B$56)*($B250&gt;(60-PARAM!$B$56))*HLOOKUP(($B250+PARAM!$B$56)/12,Loyalty,2)*$F$1*MAX(BB249,0)</f>
        <v>18.557001321003963</v>
      </c>
      <c r="BA250" s="75">
        <f>PARAM!$C$26+MAX($G$15-CHOOSE(PARAM!$B$44,MAX(0,BB249*$F$1),0),0)*RATES!$L226/12+$H$15*(PARAM!$D$51/12)*RATES!$N226/100</f>
        <v>16.923245020826748</v>
      </c>
      <c r="BB250" s="16">
        <f t="shared" si="167"/>
        <v>664.06815287915833</v>
      </c>
      <c r="BC250" s="15">
        <f t="shared" si="142"/>
        <v>22.170849845882874</v>
      </c>
      <c r="BD250" s="75">
        <f>BC250*(1-PARAM!$C$27)*$I$16+(MOD($B250,60)=PARAM!$B$56)*($B250&gt;(60-PARAM!$B$56))*HLOOKUP(($B250+PARAM!$B$56)/12,Loyalty,2)*$F$1*MAX(BF249,0)</f>
        <v>18.557001321003963</v>
      </c>
      <c r="BE250" s="75">
        <f>PARAM!$C$26+MAX($G$16-CHOOSE(PARAM!$B$44,MAX(0,BF249*$F$1),0),0)*RATES!$L226/12+$H$16*(PARAM!$D$51/12)*RATES!$N226/100</f>
        <v>16.923245020826748</v>
      </c>
      <c r="BF250" s="16">
        <f t="shared" si="168"/>
        <v>664.06815287915833</v>
      </c>
      <c r="BG250" s="15">
        <f t="shared" si="143"/>
        <v>22.170849845882874</v>
      </c>
      <c r="BH250" s="75">
        <f>BG250*(1-PARAM!$C$27)*$I$17+(MOD($B250,60)=PARAM!$B$56)*($B250&gt;(60-PARAM!$B$56))*HLOOKUP(($B250+PARAM!$B$56)/12,Loyalty,2)*$F$1*MAX(BJ249,0)</f>
        <v>18.557001321003963</v>
      </c>
      <c r="BI250" s="75">
        <f>PARAM!$C$26+MAX($G$17-CHOOSE(PARAM!$B$44,MAX(0,BJ249*$F$1),0),0)*RATES!$L226/12+$H$17*(PARAM!$D$51/12)*RATES!$N226/100</f>
        <v>16.923245020826748</v>
      </c>
      <c r="BJ250" s="16">
        <f t="shared" si="169"/>
        <v>664.06815287915833</v>
      </c>
      <c r="BK250" s="15">
        <f t="shared" si="144"/>
        <v>22.170849845882874</v>
      </c>
      <c r="BL250" s="75">
        <f>BK250*(1-PARAM!$C$27)*$I$18+(MOD($B250,60)=PARAM!$B$56)*($B250&gt;(60-PARAM!$B$56))*HLOOKUP(($B250+PARAM!$B$56)/12,Loyalty,2)*$F$1*MAX(BN249,0)</f>
        <v>18.557001321003963</v>
      </c>
      <c r="BM250" s="75">
        <f>PARAM!$C$26+MAX($G$18-CHOOSE(PARAM!$B$44,MAX(0,BN249*$F$1),0),0)*RATES!$L226/12+$H$18*(PARAM!$D$51/12)*RATES!$N226/100</f>
        <v>16.923245020826748</v>
      </c>
      <c r="BN250" s="16">
        <f t="shared" si="170"/>
        <v>664.06815287915833</v>
      </c>
      <c r="BO250" s="15">
        <f t="shared" si="145"/>
        <v>22.170849845882874</v>
      </c>
      <c r="BP250" s="75">
        <f>BO250*(1-PARAM!$C$27)*$I$19+(MOD($B250,60)=PARAM!$B$56)*($B250&gt;(60-PARAM!$B$56))*HLOOKUP(($B250+PARAM!$B$56)/12,Loyalty,2)*$F$1*MAX(BR249,0)</f>
        <v>18.557001321003963</v>
      </c>
      <c r="BQ250" s="75">
        <f>PARAM!$C$26+MAX($G$19-CHOOSE(PARAM!$B$44,MAX(0,BR249*$F$1),0),0)*RATES!$L226/12+$H$19*(PARAM!$D$51/12)*RATES!$N226/100</f>
        <v>16.923245020826748</v>
      </c>
      <c r="BR250" s="16">
        <f t="shared" si="171"/>
        <v>664.06815287915833</v>
      </c>
      <c r="BS250" s="15">
        <f t="shared" si="146"/>
        <v>22.170849845882874</v>
      </c>
      <c r="BT250" s="75">
        <f>BS250*(1-PARAM!$C$27)*$I$20+(MOD($B250,60)=PARAM!$B$56)*($B250&gt;(60-PARAM!$B$56))*HLOOKUP(($B250+PARAM!$B$56)/12,Loyalty,2)*$F$1*MAX(BV249,0)</f>
        <v>18.557001321003963</v>
      </c>
      <c r="BU250" s="75">
        <f>PARAM!$C$26+MAX($G$20-CHOOSE(PARAM!$B$44,MAX(0,BV249*$F$1),0),0)*RATES!$L226/12+$H$20*(PARAM!$D$51/12)*RATES!$N226/100</f>
        <v>16.923245020826748</v>
      </c>
      <c r="BV250" s="16">
        <f t="shared" si="172"/>
        <v>664.06815287915833</v>
      </c>
      <c r="BW250" s="15">
        <f t="shared" si="147"/>
        <v>22.170849845882874</v>
      </c>
      <c r="BX250" s="75">
        <f>BW250*(1-PARAM!$C$27)*$I$21+(MOD($B250,60)=PARAM!$B$56)*($B250&gt;(60-PARAM!$B$56))*HLOOKUP(($B250+PARAM!$B$56)/12,Loyalty,2)*$F$1*MAX(BZ249,0)</f>
        <v>18.557001321003963</v>
      </c>
      <c r="BY250" s="75">
        <f>PARAM!$C$26+MAX($G$21-CHOOSE(PARAM!$B$44,MAX(0,BZ249*$F$1),0),0)*RATES!$L226/12+$H$21*(PARAM!$D$51/12)*RATES!$N226/100</f>
        <v>16.923245020826748</v>
      </c>
      <c r="BZ250" s="16">
        <f t="shared" si="173"/>
        <v>664.06815287915833</v>
      </c>
      <c r="CA250" s="15">
        <f t="shared" si="148"/>
        <v>22.170849845882874</v>
      </c>
      <c r="CB250" s="75">
        <f>CA250*(1-PARAM!$C$27)*$I$22+(MOD($B250,60)=PARAM!$B$56)*($B250&gt;(60-PARAM!$B$56))*HLOOKUP(($B250+PARAM!$B$56)/12,Loyalty,2)*$F$1*MAX(CD249,0)</f>
        <v>18.557001321003963</v>
      </c>
      <c r="CC250" s="75">
        <f>PARAM!$C$26+MAX($G$22-CHOOSE(PARAM!$B$44,MAX(0,CD249*$F$1),0),0)*RATES!$L226/12+$H$22*(PARAM!$D$51/12)*RATES!$N226/100</f>
        <v>16.923245020826748</v>
      </c>
      <c r="CD250" s="16">
        <f t="shared" si="174"/>
        <v>664.06815287915833</v>
      </c>
      <c r="CE250" s="33">
        <f>IF(0=MOD(B250,12/PARAM!$D$51),1,0)</f>
        <v>1</v>
      </c>
      <c r="CF250" s="15">
        <f t="shared" si="149"/>
        <v>0</v>
      </c>
      <c r="CG250" s="75">
        <f>CF250*(1-PARAM!$C$27)*$R$3+(MOD($B250/12,5)=0)*($B250&gt;60)*HLOOKUP($B250/12,Loyalty,2)*$F$1*MAX(CI249,0)</f>
        <v>0</v>
      </c>
      <c r="CH250" s="75">
        <f>PARAM!$C$26+MAX($P$3-CHOOSE(PARAM!$B$44,MAX(0,CI249*$F$1),0),0)*RATES!$L226/12+$Q$3*(PARAM!$D$51/12)*RATES!$N226/100</f>
        <v>17.083333333333336</v>
      </c>
      <c r="CI250" s="16">
        <f>IF(CI249&gt;0,CI249*PARAM!$C$53,CI249)+CG250-CH250</f>
        <v>-3300.666666666662</v>
      </c>
      <c r="CJ250" s="15">
        <f t="shared" si="175"/>
        <v>0</v>
      </c>
      <c r="CK250" s="75">
        <f>CJ250*(1-PARAM!$C$27)*$R$4+(MOD($B250/12,5)=0)*($B250&gt;60)*HLOOKUP($B250/12,Loyalty,2)*$F$1*MAX(CM249,0)</f>
        <v>0</v>
      </c>
      <c r="CL250" s="75">
        <f>PARAM!$C$26+MAX($P$4-CHOOSE(PARAM!$B$44,MAX(0,CM249*$F$1),0),0)*RATES!$L226/12+$Q$4*(PARAM!$D$51/12)*RATES!$N226/100</f>
        <v>17.083333333333336</v>
      </c>
      <c r="CM250" s="16">
        <f>IF(CM249&gt;0,CM249*PARAM!$C$53,CM249)+CK250-CL250</f>
        <v>-3300.666666666662</v>
      </c>
      <c r="CO250" s="176"/>
    </row>
    <row r="251" spans="1:93" x14ac:dyDescent="0.2">
      <c r="A251" t="b">
        <f t="shared" si="150"/>
        <v>1</v>
      </c>
      <c r="B251" s="33">
        <v>224</v>
      </c>
      <c r="C251" s="15">
        <f t="shared" si="151"/>
        <v>20.081305947392778</v>
      </c>
      <c r="D251" s="75">
        <f>C251*(1-PARAM!$C$27)*$I$3+(MOD($B251,60)=PARAM!$B$56)*($B251&gt;(60-PARAM!$B$56))*HLOOKUP(($B251+PARAM!$B$56)/12,Loyalty,2)*$F$1*MAX(F250,0)</f>
        <v>16.808053077967756</v>
      </c>
      <c r="E251" s="75">
        <f>PARAM!$C$26+MAX($G$3-CHOOSE(PARAM!$B$44,MAX(0,F250*$F$1),0),0)*RATES!$L227/12+$H$3*(PARAM!$D$51/12)*RATES!$N227/100</f>
        <v>17.015883132181152</v>
      </c>
      <c r="F251" s="16">
        <f t="shared" si="152"/>
        <v>278.89645057551087</v>
      </c>
      <c r="G251" s="15">
        <f t="shared" si="153"/>
        <v>22.035289406060361</v>
      </c>
      <c r="H251" s="75">
        <f>G251*(1-PARAM!$C$27)*$I$4+(MOD($B251,60)=PARAM!$B$56)*($B251&gt;(60-PARAM!$B$56))*HLOOKUP(($B251+PARAM!$B$56)/12,Loyalty,2)*$F$1*MAX(J250,0)</f>
        <v>18.443537232872522</v>
      </c>
      <c r="I251" s="75">
        <f>PARAM!$C$26+MAX($G$4-CHOOSE(PARAM!$B$44,MAX(0,J250*$F$1),0),0)*RATES!$L227/12+$H$4*(PARAM!$D$51/12)*RATES!$N227/100</f>
        <v>16.928889485837679</v>
      </c>
      <c r="J251" s="16">
        <f t="shared" si="154"/>
        <v>640.59263738421566</v>
      </c>
      <c r="K251" s="15">
        <f t="shared" si="155"/>
        <v>22.170849845882874</v>
      </c>
      <c r="L251" s="75">
        <f>K251*(1-PARAM!$C$27)*$I$5+(MOD($B251,60)=PARAM!$B$56)*($B251&gt;(60-PARAM!$B$56))*HLOOKUP(($B251+PARAM!$B$56)/12,Loyalty,2)*$F$1*MAX(N250,0)</f>
        <v>18.557001321003963</v>
      </c>
      <c r="M251" s="75">
        <f>PARAM!$C$26+MAX($G$5-CHOOSE(PARAM!$B$44,MAX(0,N250*$F$1),0),0)*RATES!$L227/12+$H$5*(PARAM!$D$51/12)*RATES!$N227/100</f>
        <v>16.922850196387536</v>
      </c>
      <c r="N251" s="16">
        <f t="shared" si="156"/>
        <v>665.70230400377477</v>
      </c>
      <c r="O251" s="15">
        <f t="shared" si="157"/>
        <v>22.170849845882874</v>
      </c>
      <c r="P251" s="75">
        <f>O251*(1-PARAM!$C$27)*$I$6+(MOD($B251,60)=PARAM!$B$56)*($B251&gt;(60-PARAM!$B$56))*HLOOKUP(($B251+PARAM!$B$56)/12,Loyalty,2)*$F$1*MAX(R250,0)</f>
        <v>18.557001321003963</v>
      </c>
      <c r="Q251" s="75">
        <f>PARAM!$C$26+MAX($G$6-CHOOSE(PARAM!$B$44,MAX(0,R250*$F$1),0),0)*RATES!$L227/12+$H$6*(PARAM!$D$51/12)*RATES!$N227/100</f>
        <v>16.922850196387536</v>
      </c>
      <c r="R251" s="16">
        <f t="shared" si="158"/>
        <v>665.70230400377477</v>
      </c>
      <c r="S251" s="15">
        <f t="shared" si="133"/>
        <v>22.170849845882874</v>
      </c>
      <c r="T251" s="75">
        <f>S251*(1-PARAM!$C$27)*$I$7+(MOD($B251,60)=PARAM!$B$56)*($B251&gt;(60-PARAM!$B$56))*HLOOKUP(($B251+PARAM!$B$56)/12,Loyalty,2)*$F$1*MAX(V250,0)</f>
        <v>18.557001321003963</v>
      </c>
      <c r="U251" s="75">
        <f>PARAM!$C$26+MAX($G$7-CHOOSE(PARAM!$B$44,MAX(0,V250*$F$1),0),0)*RATES!$L227/12+$H$7*(PARAM!$D$51/12)*RATES!$N227/100</f>
        <v>16.922850196387536</v>
      </c>
      <c r="V251" s="16">
        <f t="shared" si="159"/>
        <v>665.70230400377477</v>
      </c>
      <c r="W251" s="15">
        <f t="shared" si="134"/>
        <v>22.170849845882874</v>
      </c>
      <c r="X251" s="75">
        <f>W251*(1-PARAM!$C$27)*$I$8+(MOD($B251,60)=PARAM!$B$56)*($B251&gt;(60-PARAM!$B$56))*HLOOKUP(($B251+PARAM!$B$56)/12,Loyalty,2)*$F$1*MAX(Z250,0)</f>
        <v>18.557001321003963</v>
      </c>
      <c r="Y251" s="75">
        <f>PARAM!$C$26+MAX($G$8-CHOOSE(PARAM!$B$44,MAX(0,Z250*$F$1),0),0)*RATES!$L227/12+$H$8*(PARAM!$D$51/12)*RATES!$N227/100</f>
        <v>16.922850196387536</v>
      </c>
      <c r="Z251" s="16">
        <f t="shared" si="160"/>
        <v>665.70230400377477</v>
      </c>
      <c r="AA251" s="15">
        <f t="shared" si="135"/>
        <v>22.170849845882874</v>
      </c>
      <c r="AB251" s="75">
        <f>AA251*(1-PARAM!$C$27)*$I$9+(MOD($B251,60)=PARAM!$B$56)*($B251&gt;(60-PARAM!$B$56))*HLOOKUP(($B251+PARAM!$B$56)/12,Loyalty,2)*$F$1*MAX(AD250,0)</f>
        <v>18.557001321003963</v>
      </c>
      <c r="AC251" s="75">
        <f>PARAM!$C$26+MAX($G$9-CHOOSE(PARAM!$B$44,MAX(0,AD250*$F$1),0),0)*RATES!$L227/12+$H$9*(PARAM!$D$51/12)*RATES!$N227/100</f>
        <v>16.922850196387536</v>
      </c>
      <c r="AD251" s="16">
        <f t="shared" si="161"/>
        <v>665.70230400377477</v>
      </c>
      <c r="AE251" s="15">
        <f t="shared" si="136"/>
        <v>22.170849845882874</v>
      </c>
      <c r="AF251" s="75">
        <f>AE251*(1-PARAM!$C$27)*$I$10+(MOD($B251,60)=PARAM!$B$56)*($B251&gt;(60-PARAM!$B$56))*HLOOKUP(($B251+PARAM!$B$56)/12,Loyalty,2)*$F$1*MAX(AH250,0)</f>
        <v>18.557001321003963</v>
      </c>
      <c r="AG251" s="75">
        <f>PARAM!$C$26+MAX($G$10-CHOOSE(PARAM!$B$44,MAX(0,AH250*$F$1),0),0)*RATES!$L227/12+$H$10*(PARAM!$D$51/12)*RATES!$N227/100</f>
        <v>16.922850196387536</v>
      </c>
      <c r="AH251" s="16">
        <f t="shared" si="162"/>
        <v>665.70230400377477</v>
      </c>
      <c r="AI251" s="15">
        <f t="shared" si="137"/>
        <v>22.170849845882874</v>
      </c>
      <c r="AJ251" s="75">
        <f>AI251*(1-PARAM!$C$27)*$I$11+(MOD($B251,60)=PARAM!$B$56)*($B251&gt;(60-PARAM!$B$56))*HLOOKUP(($B251+PARAM!$B$56)/12,Loyalty,2)*$F$1*MAX(AL250,0)</f>
        <v>18.557001321003963</v>
      </c>
      <c r="AK251" s="75">
        <f>PARAM!$C$26+MAX($G$11-CHOOSE(PARAM!$B$44,MAX(0,AL250*$F$1),0),0)*RATES!$L227/12+$H$11*(PARAM!$D$51/12)*RATES!$N227/100</f>
        <v>16.922850196387536</v>
      </c>
      <c r="AL251" s="16">
        <f t="shared" si="163"/>
        <v>665.70230400377477</v>
      </c>
      <c r="AM251" s="15">
        <f t="shared" si="138"/>
        <v>22.170849845882874</v>
      </c>
      <c r="AN251" s="75">
        <f>AM251*(1-PARAM!$C$27)*$I$12+(MOD($B251,60)=PARAM!$B$56)*($B251&gt;(60-PARAM!$B$56))*HLOOKUP(($B251+PARAM!$B$56)/12,Loyalty,2)*$F$1*MAX(AP250,0)</f>
        <v>18.557001321003963</v>
      </c>
      <c r="AO251" s="75">
        <f>PARAM!$C$26+MAX($G$12-CHOOSE(PARAM!$B$44,MAX(0,AP250*$F$1),0),0)*RATES!$L227/12+$H$12*(PARAM!$D$51/12)*RATES!$N227/100</f>
        <v>16.922850196387536</v>
      </c>
      <c r="AP251" s="16">
        <f t="shared" si="164"/>
        <v>665.70230400377477</v>
      </c>
      <c r="AQ251" s="15">
        <f t="shared" si="139"/>
        <v>22.170849845882874</v>
      </c>
      <c r="AR251" s="75">
        <f>AQ251*(1-PARAM!$C$27)*$I$13+(MOD($B251,60)=PARAM!$B$56)*($B251&gt;(60-PARAM!$B$56))*HLOOKUP(($B251+PARAM!$B$56)/12,Loyalty,2)*$F$1*MAX(AT250,0)</f>
        <v>18.557001321003963</v>
      </c>
      <c r="AS251" s="75">
        <f>PARAM!$C$26+MAX($G$13-CHOOSE(PARAM!$B$44,MAX(0,AT250*$F$1),0),0)*RATES!$L227/12+$H$13*(PARAM!$D$51/12)*RATES!$N227/100</f>
        <v>16.922850196387536</v>
      </c>
      <c r="AT251" s="16">
        <f t="shared" si="165"/>
        <v>665.70230400377477</v>
      </c>
      <c r="AU251" s="15">
        <f t="shared" si="140"/>
        <v>22.170849845882874</v>
      </c>
      <c r="AV251" s="75">
        <f>AU251*(1-PARAM!$C$27)*$I$14+(MOD($B251,60)=PARAM!$B$56)*($B251&gt;(60-PARAM!$B$56))*HLOOKUP(($B251+PARAM!$B$56)/12,Loyalty,2)*$F$1*MAX(AX250,0)</f>
        <v>18.557001321003963</v>
      </c>
      <c r="AW251" s="75">
        <f>PARAM!$C$26+MAX($G$14-CHOOSE(PARAM!$B$44,MAX(0,AX250*$F$1),0),0)*RATES!$L227/12+$H$14*(PARAM!$D$51/12)*RATES!$N227/100</f>
        <v>16.922850196387536</v>
      </c>
      <c r="AX251" s="16">
        <f t="shared" si="166"/>
        <v>665.70230400377477</v>
      </c>
      <c r="AY251" s="15">
        <f t="shared" si="141"/>
        <v>22.170849845882874</v>
      </c>
      <c r="AZ251" s="75">
        <f>AY251*(1-PARAM!$C$27)*$I$15+(MOD($B251,60)=PARAM!$B$56)*($B251&gt;(60-PARAM!$B$56))*HLOOKUP(($B251+PARAM!$B$56)/12,Loyalty,2)*$F$1*MAX(BB250,0)</f>
        <v>18.557001321003963</v>
      </c>
      <c r="BA251" s="75">
        <f>PARAM!$C$26+MAX($G$15-CHOOSE(PARAM!$B$44,MAX(0,BB250*$F$1),0),0)*RATES!$L227/12+$H$15*(PARAM!$D$51/12)*RATES!$N227/100</f>
        <v>16.922850196387536</v>
      </c>
      <c r="BB251" s="16">
        <f t="shared" si="167"/>
        <v>665.70230400377477</v>
      </c>
      <c r="BC251" s="15">
        <f t="shared" si="142"/>
        <v>22.170849845882874</v>
      </c>
      <c r="BD251" s="75">
        <f>BC251*(1-PARAM!$C$27)*$I$16+(MOD($B251,60)=PARAM!$B$56)*($B251&gt;(60-PARAM!$B$56))*HLOOKUP(($B251+PARAM!$B$56)/12,Loyalty,2)*$F$1*MAX(BF250,0)</f>
        <v>18.557001321003963</v>
      </c>
      <c r="BE251" s="75">
        <f>PARAM!$C$26+MAX($G$16-CHOOSE(PARAM!$B$44,MAX(0,BF250*$F$1),0),0)*RATES!$L227/12+$H$16*(PARAM!$D$51/12)*RATES!$N227/100</f>
        <v>16.922850196387536</v>
      </c>
      <c r="BF251" s="16">
        <f t="shared" si="168"/>
        <v>665.70230400377477</v>
      </c>
      <c r="BG251" s="15">
        <f t="shared" si="143"/>
        <v>22.170849845882874</v>
      </c>
      <c r="BH251" s="75">
        <f>BG251*(1-PARAM!$C$27)*$I$17+(MOD($B251,60)=PARAM!$B$56)*($B251&gt;(60-PARAM!$B$56))*HLOOKUP(($B251+PARAM!$B$56)/12,Loyalty,2)*$F$1*MAX(BJ250,0)</f>
        <v>18.557001321003963</v>
      </c>
      <c r="BI251" s="75">
        <f>PARAM!$C$26+MAX($G$17-CHOOSE(PARAM!$B$44,MAX(0,BJ250*$F$1),0),0)*RATES!$L227/12+$H$17*(PARAM!$D$51/12)*RATES!$N227/100</f>
        <v>16.922850196387536</v>
      </c>
      <c r="BJ251" s="16">
        <f t="shared" si="169"/>
        <v>665.70230400377477</v>
      </c>
      <c r="BK251" s="15">
        <f t="shared" si="144"/>
        <v>22.170849845882874</v>
      </c>
      <c r="BL251" s="75">
        <f>BK251*(1-PARAM!$C$27)*$I$18+(MOD($B251,60)=PARAM!$B$56)*($B251&gt;(60-PARAM!$B$56))*HLOOKUP(($B251+PARAM!$B$56)/12,Loyalty,2)*$F$1*MAX(BN250,0)</f>
        <v>18.557001321003963</v>
      </c>
      <c r="BM251" s="75">
        <f>PARAM!$C$26+MAX($G$18-CHOOSE(PARAM!$B$44,MAX(0,BN250*$F$1),0),0)*RATES!$L227/12+$H$18*(PARAM!$D$51/12)*RATES!$N227/100</f>
        <v>16.922850196387536</v>
      </c>
      <c r="BN251" s="16">
        <f t="shared" si="170"/>
        <v>665.70230400377477</v>
      </c>
      <c r="BO251" s="15">
        <f t="shared" si="145"/>
        <v>22.170849845882874</v>
      </c>
      <c r="BP251" s="75">
        <f>BO251*(1-PARAM!$C$27)*$I$19+(MOD($B251,60)=PARAM!$B$56)*($B251&gt;(60-PARAM!$B$56))*HLOOKUP(($B251+PARAM!$B$56)/12,Loyalty,2)*$F$1*MAX(BR250,0)</f>
        <v>18.557001321003963</v>
      </c>
      <c r="BQ251" s="75">
        <f>PARAM!$C$26+MAX($G$19-CHOOSE(PARAM!$B$44,MAX(0,BR250*$F$1),0),0)*RATES!$L227/12+$H$19*(PARAM!$D$51/12)*RATES!$N227/100</f>
        <v>16.922850196387536</v>
      </c>
      <c r="BR251" s="16">
        <f t="shared" si="171"/>
        <v>665.70230400377477</v>
      </c>
      <c r="BS251" s="15">
        <f t="shared" si="146"/>
        <v>22.170849845882874</v>
      </c>
      <c r="BT251" s="75">
        <f>BS251*(1-PARAM!$C$27)*$I$20+(MOD($B251,60)=PARAM!$B$56)*($B251&gt;(60-PARAM!$B$56))*HLOOKUP(($B251+PARAM!$B$56)/12,Loyalty,2)*$F$1*MAX(BV250,0)</f>
        <v>18.557001321003963</v>
      </c>
      <c r="BU251" s="75">
        <f>PARAM!$C$26+MAX($G$20-CHOOSE(PARAM!$B$44,MAX(0,BV250*$F$1),0),0)*RATES!$L227/12+$H$20*(PARAM!$D$51/12)*RATES!$N227/100</f>
        <v>16.922850196387536</v>
      </c>
      <c r="BV251" s="16">
        <f t="shared" si="172"/>
        <v>665.70230400377477</v>
      </c>
      <c r="BW251" s="15">
        <f t="shared" si="147"/>
        <v>22.170849845882874</v>
      </c>
      <c r="BX251" s="75">
        <f>BW251*(1-PARAM!$C$27)*$I$21+(MOD($B251,60)=PARAM!$B$56)*($B251&gt;(60-PARAM!$B$56))*HLOOKUP(($B251+PARAM!$B$56)/12,Loyalty,2)*$F$1*MAX(BZ250,0)</f>
        <v>18.557001321003963</v>
      </c>
      <c r="BY251" s="75">
        <f>PARAM!$C$26+MAX($G$21-CHOOSE(PARAM!$B$44,MAX(0,BZ250*$F$1),0),0)*RATES!$L227/12+$H$21*(PARAM!$D$51/12)*RATES!$N227/100</f>
        <v>16.922850196387536</v>
      </c>
      <c r="BZ251" s="16">
        <f t="shared" si="173"/>
        <v>665.70230400377477</v>
      </c>
      <c r="CA251" s="15">
        <f t="shared" si="148"/>
        <v>22.170849845882874</v>
      </c>
      <c r="CB251" s="75">
        <f>CA251*(1-PARAM!$C$27)*$I$22+(MOD($B251,60)=PARAM!$B$56)*($B251&gt;(60-PARAM!$B$56))*HLOOKUP(($B251+PARAM!$B$56)/12,Loyalty,2)*$F$1*MAX(CD250,0)</f>
        <v>18.557001321003963</v>
      </c>
      <c r="CC251" s="75">
        <f>PARAM!$C$26+MAX($G$22-CHOOSE(PARAM!$B$44,MAX(0,CD250*$F$1),0),0)*RATES!$L227/12+$H$22*(PARAM!$D$51/12)*RATES!$N227/100</f>
        <v>16.922850196387536</v>
      </c>
      <c r="CD251" s="16">
        <f t="shared" si="174"/>
        <v>665.70230400377477</v>
      </c>
      <c r="CE251" s="33">
        <f>IF(0=MOD(B251,12/PARAM!$D$51),1,0)</f>
        <v>1</v>
      </c>
      <c r="CF251" s="15">
        <f t="shared" si="149"/>
        <v>0</v>
      </c>
      <c r="CG251" s="75">
        <f>CF251*(1-PARAM!$C$27)*$R$3+(MOD($B251/12,5)=0)*($B251&gt;60)*HLOOKUP($B251/12,Loyalty,2)*$F$1*MAX(CI250,0)</f>
        <v>0</v>
      </c>
      <c r="CH251" s="75">
        <f>PARAM!$C$26+MAX($P$3-CHOOSE(PARAM!$B$44,MAX(0,CI250*$F$1),0),0)*RATES!$L227/12+$Q$3*(PARAM!$D$51/12)*RATES!$N227/100</f>
        <v>17.083333333333336</v>
      </c>
      <c r="CI251" s="16">
        <f>IF(CI250&gt;0,CI250*PARAM!$C$53,CI250)+CG251-CH251</f>
        <v>-3317.7499999999955</v>
      </c>
      <c r="CJ251" s="15">
        <f t="shared" si="175"/>
        <v>0</v>
      </c>
      <c r="CK251" s="75">
        <f>CJ251*(1-PARAM!$C$27)*$R$4+(MOD($B251/12,5)=0)*($B251&gt;60)*HLOOKUP($B251/12,Loyalty,2)*$F$1*MAX(CM250,0)</f>
        <v>0</v>
      </c>
      <c r="CL251" s="75">
        <f>PARAM!$C$26+MAX($P$4-CHOOSE(PARAM!$B$44,MAX(0,CM250*$F$1),0),0)*RATES!$L227/12+$Q$4*(PARAM!$D$51/12)*RATES!$N227/100</f>
        <v>17.083333333333336</v>
      </c>
      <c r="CM251" s="16">
        <f>IF(CM250&gt;0,CM250*PARAM!$C$53,CM250)+CK251-CL251</f>
        <v>-3317.7499999999955</v>
      </c>
      <c r="CO251" s="176"/>
    </row>
    <row r="252" spans="1:93" x14ac:dyDescent="0.2">
      <c r="A252" t="b">
        <f t="shared" si="150"/>
        <v>1</v>
      </c>
      <c r="B252" s="33">
        <v>225</v>
      </c>
      <c r="C252" s="15">
        <f t="shared" si="151"/>
        <v>20.081305947392778</v>
      </c>
      <c r="D252" s="75">
        <f>C252*(1-PARAM!$C$27)*$I$3+(MOD($B252,60)=PARAM!$B$56)*($B252&gt;(60-PARAM!$B$56))*HLOOKUP(($B252+PARAM!$B$56)/12,Loyalty,2)*$F$1*MAX(F251,0)</f>
        <v>16.808053077967756</v>
      </c>
      <c r="E252" s="75">
        <f>PARAM!$C$26+MAX($G$3-CHOOSE(PARAM!$B$44,MAX(0,F251*$F$1),0),0)*RATES!$L228/12+$H$3*(PARAM!$D$51/12)*RATES!$N228/100</f>
        <v>17.015933357777584</v>
      </c>
      <c r="F252" s="16">
        <f t="shared" si="152"/>
        <v>278.68857029570108</v>
      </c>
      <c r="G252" s="15">
        <f t="shared" si="153"/>
        <v>22.035289406060361</v>
      </c>
      <c r="H252" s="75">
        <f>G252*(1-PARAM!$C$27)*$I$4+(MOD($B252,60)=PARAM!$B$56)*($B252&gt;(60-PARAM!$B$56))*HLOOKUP(($B252+PARAM!$B$56)/12,Loyalty,2)*$F$1*MAX(J251,0)</f>
        <v>18.443537232872522</v>
      </c>
      <c r="I252" s="75">
        <f>PARAM!$C$26+MAX($G$4-CHOOSE(PARAM!$B$44,MAX(0,J251*$F$1),0),0)*RATES!$L228/12+$H$4*(PARAM!$D$51/12)*RATES!$N228/100</f>
        <v>16.928523445965482</v>
      </c>
      <c r="J252" s="16">
        <f t="shared" si="154"/>
        <v>642.1076511711226</v>
      </c>
      <c r="K252" s="15">
        <f t="shared" si="155"/>
        <v>22.170849845882874</v>
      </c>
      <c r="L252" s="75">
        <f>K252*(1-PARAM!$C$27)*$I$5+(MOD($B252,60)=PARAM!$B$56)*($B252&gt;(60-PARAM!$B$56))*HLOOKUP(($B252+PARAM!$B$56)/12,Loyalty,2)*$F$1*MAX(N251,0)</f>
        <v>18.557001321003963</v>
      </c>
      <c r="M252" s="75">
        <f>PARAM!$C$26+MAX($G$5-CHOOSE(PARAM!$B$44,MAX(0,N251*$F$1),0),0)*RATES!$L228/12+$H$5*(PARAM!$D$51/12)*RATES!$N228/100</f>
        <v>16.922455276532418</v>
      </c>
      <c r="N252" s="16">
        <f t="shared" si="156"/>
        <v>667.33685004824633</v>
      </c>
      <c r="O252" s="15">
        <f t="shared" si="157"/>
        <v>22.170849845882874</v>
      </c>
      <c r="P252" s="75">
        <f>O252*(1-PARAM!$C$27)*$I$6+(MOD($B252,60)=PARAM!$B$56)*($B252&gt;(60-PARAM!$B$56))*HLOOKUP(($B252+PARAM!$B$56)/12,Loyalty,2)*$F$1*MAX(R251,0)</f>
        <v>18.557001321003963</v>
      </c>
      <c r="Q252" s="75">
        <f>PARAM!$C$26+MAX($G$6-CHOOSE(PARAM!$B$44,MAX(0,R251*$F$1),0),0)*RATES!$L228/12+$H$6*(PARAM!$D$51/12)*RATES!$N228/100</f>
        <v>16.922455276532418</v>
      </c>
      <c r="R252" s="16">
        <f t="shared" si="158"/>
        <v>667.33685004824633</v>
      </c>
      <c r="S252" s="15">
        <f t="shared" si="133"/>
        <v>22.170849845882874</v>
      </c>
      <c r="T252" s="75">
        <f>S252*(1-PARAM!$C$27)*$I$7+(MOD($B252,60)=PARAM!$B$56)*($B252&gt;(60-PARAM!$B$56))*HLOOKUP(($B252+PARAM!$B$56)/12,Loyalty,2)*$F$1*MAX(V251,0)</f>
        <v>18.557001321003963</v>
      </c>
      <c r="U252" s="75">
        <f>PARAM!$C$26+MAX($G$7-CHOOSE(PARAM!$B$44,MAX(0,V251*$F$1),0),0)*RATES!$L228/12+$H$7*(PARAM!$D$51/12)*RATES!$N228/100</f>
        <v>16.922455276532418</v>
      </c>
      <c r="V252" s="16">
        <f t="shared" si="159"/>
        <v>667.33685004824633</v>
      </c>
      <c r="W252" s="15">
        <f t="shared" si="134"/>
        <v>22.170849845882874</v>
      </c>
      <c r="X252" s="75">
        <f>W252*(1-PARAM!$C$27)*$I$8+(MOD($B252,60)=PARAM!$B$56)*($B252&gt;(60-PARAM!$B$56))*HLOOKUP(($B252+PARAM!$B$56)/12,Loyalty,2)*$F$1*MAX(Z251,0)</f>
        <v>18.557001321003963</v>
      </c>
      <c r="Y252" s="75">
        <f>PARAM!$C$26+MAX($G$8-CHOOSE(PARAM!$B$44,MAX(0,Z251*$F$1),0),0)*RATES!$L228/12+$H$8*(PARAM!$D$51/12)*RATES!$N228/100</f>
        <v>16.922455276532418</v>
      </c>
      <c r="Z252" s="16">
        <f t="shared" si="160"/>
        <v>667.33685004824633</v>
      </c>
      <c r="AA252" s="15">
        <f t="shared" si="135"/>
        <v>22.170849845882874</v>
      </c>
      <c r="AB252" s="75">
        <f>AA252*(1-PARAM!$C$27)*$I$9+(MOD($B252,60)=PARAM!$B$56)*($B252&gt;(60-PARAM!$B$56))*HLOOKUP(($B252+PARAM!$B$56)/12,Loyalty,2)*$F$1*MAX(AD251,0)</f>
        <v>18.557001321003963</v>
      </c>
      <c r="AC252" s="75">
        <f>PARAM!$C$26+MAX($G$9-CHOOSE(PARAM!$B$44,MAX(0,AD251*$F$1),0),0)*RATES!$L228/12+$H$9*(PARAM!$D$51/12)*RATES!$N228/100</f>
        <v>16.922455276532418</v>
      </c>
      <c r="AD252" s="16">
        <f t="shared" si="161"/>
        <v>667.33685004824633</v>
      </c>
      <c r="AE252" s="15">
        <f t="shared" si="136"/>
        <v>22.170849845882874</v>
      </c>
      <c r="AF252" s="75">
        <f>AE252*(1-PARAM!$C$27)*$I$10+(MOD($B252,60)=PARAM!$B$56)*($B252&gt;(60-PARAM!$B$56))*HLOOKUP(($B252+PARAM!$B$56)/12,Loyalty,2)*$F$1*MAX(AH251,0)</f>
        <v>18.557001321003963</v>
      </c>
      <c r="AG252" s="75">
        <f>PARAM!$C$26+MAX($G$10-CHOOSE(PARAM!$B$44,MAX(0,AH251*$F$1),0),0)*RATES!$L228/12+$H$10*(PARAM!$D$51/12)*RATES!$N228/100</f>
        <v>16.922455276532418</v>
      </c>
      <c r="AH252" s="16">
        <f t="shared" si="162"/>
        <v>667.33685004824633</v>
      </c>
      <c r="AI252" s="15">
        <f t="shared" si="137"/>
        <v>22.170849845882874</v>
      </c>
      <c r="AJ252" s="75">
        <f>AI252*(1-PARAM!$C$27)*$I$11+(MOD($B252,60)=PARAM!$B$56)*($B252&gt;(60-PARAM!$B$56))*HLOOKUP(($B252+PARAM!$B$56)/12,Loyalty,2)*$F$1*MAX(AL251,0)</f>
        <v>18.557001321003963</v>
      </c>
      <c r="AK252" s="75">
        <f>PARAM!$C$26+MAX($G$11-CHOOSE(PARAM!$B$44,MAX(0,AL251*$F$1),0),0)*RATES!$L228/12+$H$11*(PARAM!$D$51/12)*RATES!$N228/100</f>
        <v>16.922455276532418</v>
      </c>
      <c r="AL252" s="16">
        <f t="shared" si="163"/>
        <v>667.33685004824633</v>
      </c>
      <c r="AM252" s="15">
        <f t="shared" si="138"/>
        <v>22.170849845882874</v>
      </c>
      <c r="AN252" s="75">
        <f>AM252*(1-PARAM!$C$27)*$I$12+(MOD($B252,60)=PARAM!$B$56)*($B252&gt;(60-PARAM!$B$56))*HLOOKUP(($B252+PARAM!$B$56)/12,Loyalty,2)*$F$1*MAX(AP251,0)</f>
        <v>18.557001321003963</v>
      </c>
      <c r="AO252" s="75">
        <f>PARAM!$C$26+MAX($G$12-CHOOSE(PARAM!$B$44,MAX(0,AP251*$F$1),0),0)*RATES!$L228/12+$H$12*(PARAM!$D$51/12)*RATES!$N228/100</f>
        <v>16.922455276532418</v>
      </c>
      <c r="AP252" s="16">
        <f t="shared" si="164"/>
        <v>667.33685004824633</v>
      </c>
      <c r="AQ252" s="15">
        <f t="shared" si="139"/>
        <v>22.170849845882874</v>
      </c>
      <c r="AR252" s="75">
        <f>AQ252*(1-PARAM!$C$27)*$I$13+(MOD($B252,60)=PARAM!$B$56)*($B252&gt;(60-PARAM!$B$56))*HLOOKUP(($B252+PARAM!$B$56)/12,Loyalty,2)*$F$1*MAX(AT251,0)</f>
        <v>18.557001321003963</v>
      </c>
      <c r="AS252" s="75">
        <f>PARAM!$C$26+MAX($G$13-CHOOSE(PARAM!$B$44,MAX(0,AT251*$F$1),0),0)*RATES!$L228/12+$H$13*(PARAM!$D$51/12)*RATES!$N228/100</f>
        <v>16.922455276532418</v>
      </c>
      <c r="AT252" s="16">
        <f t="shared" si="165"/>
        <v>667.33685004824633</v>
      </c>
      <c r="AU252" s="15">
        <f t="shared" si="140"/>
        <v>22.170849845882874</v>
      </c>
      <c r="AV252" s="75">
        <f>AU252*(1-PARAM!$C$27)*$I$14+(MOD($B252,60)=PARAM!$B$56)*($B252&gt;(60-PARAM!$B$56))*HLOOKUP(($B252+PARAM!$B$56)/12,Loyalty,2)*$F$1*MAX(AX251,0)</f>
        <v>18.557001321003963</v>
      </c>
      <c r="AW252" s="75">
        <f>PARAM!$C$26+MAX($G$14-CHOOSE(PARAM!$B$44,MAX(0,AX251*$F$1),0),0)*RATES!$L228/12+$H$14*(PARAM!$D$51/12)*RATES!$N228/100</f>
        <v>16.922455276532418</v>
      </c>
      <c r="AX252" s="16">
        <f t="shared" si="166"/>
        <v>667.33685004824633</v>
      </c>
      <c r="AY252" s="15">
        <f t="shared" si="141"/>
        <v>22.170849845882874</v>
      </c>
      <c r="AZ252" s="75">
        <f>AY252*(1-PARAM!$C$27)*$I$15+(MOD($B252,60)=PARAM!$B$56)*($B252&gt;(60-PARAM!$B$56))*HLOOKUP(($B252+PARAM!$B$56)/12,Loyalty,2)*$F$1*MAX(BB251,0)</f>
        <v>18.557001321003963</v>
      </c>
      <c r="BA252" s="75">
        <f>PARAM!$C$26+MAX($G$15-CHOOSE(PARAM!$B$44,MAX(0,BB251*$F$1),0),0)*RATES!$L228/12+$H$15*(PARAM!$D$51/12)*RATES!$N228/100</f>
        <v>16.922455276532418</v>
      </c>
      <c r="BB252" s="16">
        <f t="shared" si="167"/>
        <v>667.33685004824633</v>
      </c>
      <c r="BC252" s="15">
        <f t="shared" si="142"/>
        <v>22.170849845882874</v>
      </c>
      <c r="BD252" s="75">
        <f>BC252*(1-PARAM!$C$27)*$I$16+(MOD($B252,60)=PARAM!$B$56)*($B252&gt;(60-PARAM!$B$56))*HLOOKUP(($B252+PARAM!$B$56)/12,Loyalty,2)*$F$1*MAX(BF251,0)</f>
        <v>18.557001321003963</v>
      </c>
      <c r="BE252" s="75">
        <f>PARAM!$C$26+MAX($G$16-CHOOSE(PARAM!$B$44,MAX(0,BF251*$F$1),0),0)*RATES!$L228/12+$H$16*(PARAM!$D$51/12)*RATES!$N228/100</f>
        <v>16.922455276532418</v>
      </c>
      <c r="BF252" s="16">
        <f t="shared" si="168"/>
        <v>667.33685004824633</v>
      </c>
      <c r="BG252" s="15">
        <f t="shared" si="143"/>
        <v>22.170849845882874</v>
      </c>
      <c r="BH252" s="75">
        <f>BG252*(1-PARAM!$C$27)*$I$17+(MOD($B252,60)=PARAM!$B$56)*($B252&gt;(60-PARAM!$B$56))*HLOOKUP(($B252+PARAM!$B$56)/12,Loyalty,2)*$F$1*MAX(BJ251,0)</f>
        <v>18.557001321003963</v>
      </c>
      <c r="BI252" s="75">
        <f>PARAM!$C$26+MAX($G$17-CHOOSE(PARAM!$B$44,MAX(0,BJ251*$F$1),0),0)*RATES!$L228/12+$H$17*(PARAM!$D$51/12)*RATES!$N228/100</f>
        <v>16.922455276532418</v>
      </c>
      <c r="BJ252" s="16">
        <f t="shared" si="169"/>
        <v>667.33685004824633</v>
      </c>
      <c r="BK252" s="15">
        <f t="shared" si="144"/>
        <v>22.170849845882874</v>
      </c>
      <c r="BL252" s="75">
        <f>BK252*(1-PARAM!$C$27)*$I$18+(MOD($B252,60)=PARAM!$B$56)*($B252&gt;(60-PARAM!$B$56))*HLOOKUP(($B252+PARAM!$B$56)/12,Loyalty,2)*$F$1*MAX(BN251,0)</f>
        <v>18.557001321003963</v>
      </c>
      <c r="BM252" s="75">
        <f>PARAM!$C$26+MAX($G$18-CHOOSE(PARAM!$B$44,MAX(0,BN251*$F$1),0),0)*RATES!$L228/12+$H$18*(PARAM!$D$51/12)*RATES!$N228/100</f>
        <v>16.922455276532418</v>
      </c>
      <c r="BN252" s="16">
        <f t="shared" si="170"/>
        <v>667.33685004824633</v>
      </c>
      <c r="BO252" s="15">
        <f t="shared" si="145"/>
        <v>22.170849845882874</v>
      </c>
      <c r="BP252" s="75">
        <f>BO252*(1-PARAM!$C$27)*$I$19+(MOD($B252,60)=PARAM!$B$56)*($B252&gt;(60-PARAM!$B$56))*HLOOKUP(($B252+PARAM!$B$56)/12,Loyalty,2)*$F$1*MAX(BR251,0)</f>
        <v>18.557001321003963</v>
      </c>
      <c r="BQ252" s="75">
        <f>PARAM!$C$26+MAX($G$19-CHOOSE(PARAM!$B$44,MAX(0,BR251*$F$1),0),0)*RATES!$L228/12+$H$19*(PARAM!$D$51/12)*RATES!$N228/100</f>
        <v>16.922455276532418</v>
      </c>
      <c r="BR252" s="16">
        <f t="shared" si="171"/>
        <v>667.33685004824633</v>
      </c>
      <c r="BS252" s="15">
        <f t="shared" si="146"/>
        <v>22.170849845882874</v>
      </c>
      <c r="BT252" s="75">
        <f>BS252*(1-PARAM!$C$27)*$I$20+(MOD($B252,60)=PARAM!$B$56)*($B252&gt;(60-PARAM!$B$56))*HLOOKUP(($B252+PARAM!$B$56)/12,Loyalty,2)*$F$1*MAX(BV251,0)</f>
        <v>18.557001321003963</v>
      </c>
      <c r="BU252" s="75">
        <f>PARAM!$C$26+MAX($G$20-CHOOSE(PARAM!$B$44,MAX(0,BV251*$F$1),0),0)*RATES!$L228/12+$H$20*(PARAM!$D$51/12)*RATES!$N228/100</f>
        <v>16.922455276532418</v>
      </c>
      <c r="BV252" s="16">
        <f t="shared" si="172"/>
        <v>667.33685004824633</v>
      </c>
      <c r="BW252" s="15">
        <f t="shared" si="147"/>
        <v>22.170849845882874</v>
      </c>
      <c r="BX252" s="75">
        <f>BW252*(1-PARAM!$C$27)*$I$21+(MOD($B252,60)=PARAM!$B$56)*($B252&gt;(60-PARAM!$B$56))*HLOOKUP(($B252+PARAM!$B$56)/12,Loyalty,2)*$F$1*MAX(BZ251,0)</f>
        <v>18.557001321003963</v>
      </c>
      <c r="BY252" s="75">
        <f>PARAM!$C$26+MAX($G$21-CHOOSE(PARAM!$B$44,MAX(0,BZ251*$F$1),0),0)*RATES!$L228/12+$H$21*(PARAM!$D$51/12)*RATES!$N228/100</f>
        <v>16.922455276532418</v>
      </c>
      <c r="BZ252" s="16">
        <f t="shared" si="173"/>
        <v>667.33685004824633</v>
      </c>
      <c r="CA252" s="15">
        <f t="shared" si="148"/>
        <v>22.170849845882874</v>
      </c>
      <c r="CB252" s="75">
        <f>CA252*(1-PARAM!$C$27)*$I$22+(MOD($B252,60)=PARAM!$B$56)*($B252&gt;(60-PARAM!$B$56))*HLOOKUP(($B252+PARAM!$B$56)/12,Loyalty,2)*$F$1*MAX(CD251,0)</f>
        <v>18.557001321003963</v>
      </c>
      <c r="CC252" s="75">
        <f>PARAM!$C$26+MAX($G$22-CHOOSE(PARAM!$B$44,MAX(0,CD251*$F$1),0),0)*RATES!$L228/12+$H$22*(PARAM!$D$51/12)*RATES!$N228/100</f>
        <v>16.922455276532418</v>
      </c>
      <c r="CD252" s="16">
        <f t="shared" si="174"/>
        <v>667.33685004824633</v>
      </c>
      <c r="CE252" s="33">
        <f>IF(0=MOD(B252,12/PARAM!$D$51),1,0)</f>
        <v>1</v>
      </c>
      <c r="CF252" s="15">
        <f t="shared" si="149"/>
        <v>0</v>
      </c>
      <c r="CG252" s="75">
        <f>CF252*(1-PARAM!$C$27)*$R$3+(MOD($B252/12,5)=0)*($B252&gt;60)*HLOOKUP($B252/12,Loyalty,2)*$F$1*MAX(CI251,0)</f>
        <v>0</v>
      </c>
      <c r="CH252" s="75">
        <f>PARAM!$C$26+MAX($P$3-CHOOSE(PARAM!$B$44,MAX(0,CI251*$F$1),0),0)*RATES!$L228/12+$Q$3*(PARAM!$D$51/12)*RATES!$N228/100</f>
        <v>17.083333333333336</v>
      </c>
      <c r="CI252" s="16">
        <f>IF(CI251&gt;0,CI251*PARAM!$C$53,CI251)+CG252-CH252</f>
        <v>-3334.8333333333289</v>
      </c>
      <c r="CJ252" s="15">
        <f t="shared" si="175"/>
        <v>0</v>
      </c>
      <c r="CK252" s="75">
        <f>CJ252*(1-PARAM!$C$27)*$R$4+(MOD($B252/12,5)=0)*($B252&gt;60)*HLOOKUP($B252/12,Loyalty,2)*$F$1*MAX(CM251,0)</f>
        <v>0</v>
      </c>
      <c r="CL252" s="75">
        <f>PARAM!$C$26+MAX($P$4-CHOOSE(PARAM!$B$44,MAX(0,CM251*$F$1),0),0)*RATES!$L228/12+$Q$4*(PARAM!$D$51/12)*RATES!$N228/100</f>
        <v>17.083333333333336</v>
      </c>
      <c r="CM252" s="16">
        <f>IF(CM251&gt;0,CM251*PARAM!$C$53,CM251)+CK252-CL252</f>
        <v>-3334.8333333333289</v>
      </c>
      <c r="CO252" s="176"/>
    </row>
    <row r="253" spans="1:93" x14ac:dyDescent="0.2">
      <c r="A253" t="b">
        <f t="shared" si="150"/>
        <v>1</v>
      </c>
      <c r="B253" s="33">
        <v>226</v>
      </c>
      <c r="C253" s="15">
        <f t="shared" si="151"/>
        <v>20.081305947392778</v>
      </c>
      <c r="D253" s="75">
        <f>C253*(1-PARAM!$C$27)*$I$3+(MOD($B253,60)=PARAM!$B$56)*($B253&gt;(60-PARAM!$B$56))*HLOOKUP(($B253+PARAM!$B$56)/12,Loyalty,2)*$F$1*MAX(F252,0)</f>
        <v>16.808053077967756</v>
      </c>
      <c r="E253" s="75">
        <f>PARAM!$C$26+MAX($G$3-CHOOSE(PARAM!$B$44,MAX(0,F252*$F$1),0),0)*RATES!$L229/12+$H$3*(PARAM!$D$51/12)*RATES!$N229/100</f>
        <v>17.015983595511869</v>
      </c>
      <c r="F253" s="16">
        <f t="shared" si="152"/>
        <v>278.48063977815696</v>
      </c>
      <c r="G253" s="15">
        <f t="shared" si="153"/>
        <v>22.035289406060361</v>
      </c>
      <c r="H253" s="75">
        <f>G253*(1-PARAM!$C$27)*$I$4+(MOD($B253,60)=PARAM!$B$56)*($B253&gt;(60-PARAM!$B$56))*HLOOKUP(($B253+PARAM!$B$56)/12,Loyalty,2)*$F$1*MAX(J252,0)</f>
        <v>18.443537232872522</v>
      </c>
      <c r="I253" s="75">
        <f>PARAM!$C$26+MAX($G$4-CHOOSE(PARAM!$B$44,MAX(0,J252*$F$1),0),0)*RATES!$L229/12+$H$4*(PARAM!$D$51/12)*RATES!$N229/100</f>
        <v>16.928157317633648</v>
      </c>
      <c r="J253" s="16">
        <f t="shared" si="154"/>
        <v>643.62303108636138</v>
      </c>
      <c r="K253" s="15">
        <f t="shared" si="155"/>
        <v>22.170849845882874</v>
      </c>
      <c r="L253" s="75">
        <f>K253*(1-PARAM!$C$27)*$I$5+(MOD($B253,60)=PARAM!$B$56)*($B253&gt;(60-PARAM!$B$56))*HLOOKUP(($B253+PARAM!$B$56)/12,Loyalty,2)*$F$1*MAX(N252,0)</f>
        <v>18.557001321003963</v>
      </c>
      <c r="M253" s="75">
        <f>PARAM!$C$26+MAX($G$5-CHOOSE(PARAM!$B$44,MAX(0,N252*$F$1),0),0)*RATES!$L229/12+$H$5*(PARAM!$D$51/12)*RATES!$N229/100</f>
        <v>16.922060261238343</v>
      </c>
      <c r="N253" s="16">
        <f t="shared" si="156"/>
        <v>668.97179110801198</v>
      </c>
      <c r="O253" s="15">
        <f t="shared" si="157"/>
        <v>22.170849845882874</v>
      </c>
      <c r="P253" s="75">
        <f>O253*(1-PARAM!$C$27)*$I$6+(MOD($B253,60)=PARAM!$B$56)*($B253&gt;(60-PARAM!$B$56))*HLOOKUP(($B253+PARAM!$B$56)/12,Loyalty,2)*$F$1*MAX(R252,0)</f>
        <v>18.557001321003963</v>
      </c>
      <c r="Q253" s="75">
        <f>PARAM!$C$26+MAX($G$6-CHOOSE(PARAM!$B$44,MAX(0,R252*$F$1),0),0)*RATES!$L229/12+$H$6*(PARAM!$D$51/12)*RATES!$N229/100</f>
        <v>16.922060261238343</v>
      </c>
      <c r="R253" s="16">
        <f t="shared" si="158"/>
        <v>668.97179110801198</v>
      </c>
      <c r="S253" s="15">
        <f t="shared" si="133"/>
        <v>22.170849845882874</v>
      </c>
      <c r="T253" s="75">
        <f>S253*(1-PARAM!$C$27)*$I$7+(MOD($B253,60)=PARAM!$B$56)*($B253&gt;(60-PARAM!$B$56))*HLOOKUP(($B253+PARAM!$B$56)/12,Loyalty,2)*$F$1*MAX(V252,0)</f>
        <v>18.557001321003963</v>
      </c>
      <c r="U253" s="75">
        <f>PARAM!$C$26+MAX($G$7-CHOOSE(PARAM!$B$44,MAX(0,V252*$F$1),0),0)*RATES!$L229/12+$H$7*(PARAM!$D$51/12)*RATES!$N229/100</f>
        <v>16.922060261238343</v>
      </c>
      <c r="V253" s="16">
        <f t="shared" si="159"/>
        <v>668.97179110801198</v>
      </c>
      <c r="W253" s="15">
        <f t="shared" si="134"/>
        <v>22.170849845882874</v>
      </c>
      <c r="X253" s="75">
        <f>W253*(1-PARAM!$C$27)*$I$8+(MOD($B253,60)=PARAM!$B$56)*($B253&gt;(60-PARAM!$B$56))*HLOOKUP(($B253+PARAM!$B$56)/12,Loyalty,2)*$F$1*MAX(Z252,0)</f>
        <v>18.557001321003963</v>
      </c>
      <c r="Y253" s="75">
        <f>PARAM!$C$26+MAX($G$8-CHOOSE(PARAM!$B$44,MAX(0,Z252*$F$1),0),0)*RATES!$L229/12+$H$8*(PARAM!$D$51/12)*RATES!$N229/100</f>
        <v>16.922060261238343</v>
      </c>
      <c r="Z253" s="16">
        <f t="shared" si="160"/>
        <v>668.97179110801198</v>
      </c>
      <c r="AA253" s="15">
        <f t="shared" si="135"/>
        <v>22.170849845882874</v>
      </c>
      <c r="AB253" s="75">
        <f>AA253*(1-PARAM!$C$27)*$I$9+(MOD($B253,60)=PARAM!$B$56)*($B253&gt;(60-PARAM!$B$56))*HLOOKUP(($B253+PARAM!$B$56)/12,Loyalty,2)*$F$1*MAX(AD252,0)</f>
        <v>18.557001321003963</v>
      </c>
      <c r="AC253" s="75">
        <f>PARAM!$C$26+MAX($G$9-CHOOSE(PARAM!$B$44,MAX(0,AD252*$F$1),0),0)*RATES!$L229/12+$H$9*(PARAM!$D$51/12)*RATES!$N229/100</f>
        <v>16.922060261238343</v>
      </c>
      <c r="AD253" s="16">
        <f t="shared" si="161"/>
        <v>668.97179110801198</v>
      </c>
      <c r="AE253" s="15">
        <f t="shared" si="136"/>
        <v>22.170849845882874</v>
      </c>
      <c r="AF253" s="75">
        <f>AE253*(1-PARAM!$C$27)*$I$10+(MOD($B253,60)=PARAM!$B$56)*($B253&gt;(60-PARAM!$B$56))*HLOOKUP(($B253+PARAM!$B$56)/12,Loyalty,2)*$F$1*MAX(AH252,0)</f>
        <v>18.557001321003963</v>
      </c>
      <c r="AG253" s="75">
        <f>PARAM!$C$26+MAX($G$10-CHOOSE(PARAM!$B$44,MAX(0,AH252*$F$1),0),0)*RATES!$L229/12+$H$10*(PARAM!$D$51/12)*RATES!$N229/100</f>
        <v>16.922060261238343</v>
      </c>
      <c r="AH253" s="16">
        <f t="shared" si="162"/>
        <v>668.97179110801198</v>
      </c>
      <c r="AI253" s="15">
        <f t="shared" si="137"/>
        <v>22.170849845882874</v>
      </c>
      <c r="AJ253" s="75">
        <f>AI253*(1-PARAM!$C$27)*$I$11+(MOD($B253,60)=PARAM!$B$56)*($B253&gt;(60-PARAM!$B$56))*HLOOKUP(($B253+PARAM!$B$56)/12,Loyalty,2)*$F$1*MAX(AL252,0)</f>
        <v>18.557001321003963</v>
      </c>
      <c r="AK253" s="75">
        <f>PARAM!$C$26+MAX($G$11-CHOOSE(PARAM!$B$44,MAX(0,AL252*$F$1),0),0)*RATES!$L229/12+$H$11*(PARAM!$D$51/12)*RATES!$N229/100</f>
        <v>16.922060261238343</v>
      </c>
      <c r="AL253" s="16">
        <f t="shared" si="163"/>
        <v>668.97179110801198</v>
      </c>
      <c r="AM253" s="15">
        <f t="shared" si="138"/>
        <v>22.170849845882874</v>
      </c>
      <c r="AN253" s="75">
        <f>AM253*(1-PARAM!$C$27)*$I$12+(MOD($B253,60)=PARAM!$B$56)*($B253&gt;(60-PARAM!$B$56))*HLOOKUP(($B253+PARAM!$B$56)/12,Loyalty,2)*$F$1*MAX(AP252,0)</f>
        <v>18.557001321003963</v>
      </c>
      <c r="AO253" s="75">
        <f>PARAM!$C$26+MAX($G$12-CHOOSE(PARAM!$B$44,MAX(0,AP252*$F$1),0),0)*RATES!$L229/12+$H$12*(PARAM!$D$51/12)*RATES!$N229/100</f>
        <v>16.922060261238343</v>
      </c>
      <c r="AP253" s="16">
        <f t="shared" si="164"/>
        <v>668.97179110801198</v>
      </c>
      <c r="AQ253" s="15">
        <f t="shared" si="139"/>
        <v>22.170849845882874</v>
      </c>
      <c r="AR253" s="75">
        <f>AQ253*(1-PARAM!$C$27)*$I$13+(MOD($B253,60)=PARAM!$B$56)*($B253&gt;(60-PARAM!$B$56))*HLOOKUP(($B253+PARAM!$B$56)/12,Loyalty,2)*$F$1*MAX(AT252,0)</f>
        <v>18.557001321003963</v>
      </c>
      <c r="AS253" s="75">
        <f>PARAM!$C$26+MAX($G$13-CHOOSE(PARAM!$B$44,MAX(0,AT252*$F$1),0),0)*RATES!$L229/12+$H$13*(PARAM!$D$51/12)*RATES!$N229/100</f>
        <v>16.922060261238343</v>
      </c>
      <c r="AT253" s="16">
        <f t="shared" si="165"/>
        <v>668.97179110801198</v>
      </c>
      <c r="AU253" s="15">
        <f t="shared" si="140"/>
        <v>22.170849845882874</v>
      </c>
      <c r="AV253" s="75">
        <f>AU253*(1-PARAM!$C$27)*$I$14+(MOD($B253,60)=PARAM!$B$56)*($B253&gt;(60-PARAM!$B$56))*HLOOKUP(($B253+PARAM!$B$56)/12,Loyalty,2)*$F$1*MAX(AX252,0)</f>
        <v>18.557001321003963</v>
      </c>
      <c r="AW253" s="75">
        <f>PARAM!$C$26+MAX($G$14-CHOOSE(PARAM!$B$44,MAX(0,AX252*$F$1),0),0)*RATES!$L229/12+$H$14*(PARAM!$D$51/12)*RATES!$N229/100</f>
        <v>16.922060261238343</v>
      </c>
      <c r="AX253" s="16">
        <f t="shared" si="166"/>
        <v>668.97179110801198</v>
      </c>
      <c r="AY253" s="15">
        <f t="shared" si="141"/>
        <v>22.170849845882874</v>
      </c>
      <c r="AZ253" s="75">
        <f>AY253*(1-PARAM!$C$27)*$I$15+(MOD($B253,60)=PARAM!$B$56)*($B253&gt;(60-PARAM!$B$56))*HLOOKUP(($B253+PARAM!$B$56)/12,Loyalty,2)*$F$1*MAX(BB252,0)</f>
        <v>18.557001321003963</v>
      </c>
      <c r="BA253" s="75">
        <f>PARAM!$C$26+MAX($G$15-CHOOSE(PARAM!$B$44,MAX(0,BB252*$F$1),0),0)*RATES!$L229/12+$H$15*(PARAM!$D$51/12)*RATES!$N229/100</f>
        <v>16.922060261238343</v>
      </c>
      <c r="BB253" s="16">
        <f t="shared" si="167"/>
        <v>668.97179110801198</v>
      </c>
      <c r="BC253" s="15">
        <f t="shared" si="142"/>
        <v>22.170849845882874</v>
      </c>
      <c r="BD253" s="75">
        <f>BC253*(1-PARAM!$C$27)*$I$16+(MOD($B253,60)=PARAM!$B$56)*($B253&gt;(60-PARAM!$B$56))*HLOOKUP(($B253+PARAM!$B$56)/12,Loyalty,2)*$F$1*MAX(BF252,0)</f>
        <v>18.557001321003963</v>
      </c>
      <c r="BE253" s="75">
        <f>PARAM!$C$26+MAX($G$16-CHOOSE(PARAM!$B$44,MAX(0,BF252*$F$1),0),0)*RATES!$L229/12+$H$16*(PARAM!$D$51/12)*RATES!$N229/100</f>
        <v>16.922060261238343</v>
      </c>
      <c r="BF253" s="16">
        <f t="shared" si="168"/>
        <v>668.97179110801198</v>
      </c>
      <c r="BG253" s="15">
        <f t="shared" si="143"/>
        <v>22.170849845882874</v>
      </c>
      <c r="BH253" s="75">
        <f>BG253*(1-PARAM!$C$27)*$I$17+(MOD($B253,60)=PARAM!$B$56)*($B253&gt;(60-PARAM!$B$56))*HLOOKUP(($B253+PARAM!$B$56)/12,Loyalty,2)*$F$1*MAX(BJ252,0)</f>
        <v>18.557001321003963</v>
      </c>
      <c r="BI253" s="75">
        <f>PARAM!$C$26+MAX($G$17-CHOOSE(PARAM!$B$44,MAX(0,BJ252*$F$1),0),0)*RATES!$L229/12+$H$17*(PARAM!$D$51/12)*RATES!$N229/100</f>
        <v>16.922060261238343</v>
      </c>
      <c r="BJ253" s="16">
        <f t="shared" si="169"/>
        <v>668.97179110801198</v>
      </c>
      <c r="BK253" s="15">
        <f t="shared" si="144"/>
        <v>22.170849845882874</v>
      </c>
      <c r="BL253" s="75">
        <f>BK253*(1-PARAM!$C$27)*$I$18+(MOD($B253,60)=PARAM!$B$56)*($B253&gt;(60-PARAM!$B$56))*HLOOKUP(($B253+PARAM!$B$56)/12,Loyalty,2)*$F$1*MAX(BN252,0)</f>
        <v>18.557001321003963</v>
      </c>
      <c r="BM253" s="75">
        <f>PARAM!$C$26+MAX($G$18-CHOOSE(PARAM!$B$44,MAX(0,BN252*$F$1),0),0)*RATES!$L229/12+$H$18*(PARAM!$D$51/12)*RATES!$N229/100</f>
        <v>16.922060261238343</v>
      </c>
      <c r="BN253" s="16">
        <f t="shared" si="170"/>
        <v>668.97179110801198</v>
      </c>
      <c r="BO253" s="15">
        <f t="shared" si="145"/>
        <v>22.170849845882874</v>
      </c>
      <c r="BP253" s="75">
        <f>BO253*(1-PARAM!$C$27)*$I$19+(MOD($B253,60)=PARAM!$B$56)*($B253&gt;(60-PARAM!$B$56))*HLOOKUP(($B253+PARAM!$B$56)/12,Loyalty,2)*$F$1*MAX(BR252,0)</f>
        <v>18.557001321003963</v>
      </c>
      <c r="BQ253" s="75">
        <f>PARAM!$C$26+MAX($G$19-CHOOSE(PARAM!$B$44,MAX(0,BR252*$F$1),0),0)*RATES!$L229/12+$H$19*(PARAM!$D$51/12)*RATES!$N229/100</f>
        <v>16.922060261238343</v>
      </c>
      <c r="BR253" s="16">
        <f t="shared" si="171"/>
        <v>668.97179110801198</v>
      </c>
      <c r="BS253" s="15">
        <f t="shared" si="146"/>
        <v>22.170849845882874</v>
      </c>
      <c r="BT253" s="75">
        <f>BS253*(1-PARAM!$C$27)*$I$20+(MOD($B253,60)=PARAM!$B$56)*($B253&gt;(60-PARAM!$B$56))*HLOOKUP(($B253+PARAM!$B$56)/12,Loyalty,2)*$F$1*MAX(BV252,0)</f>
        <v>18.557001321003963</v>
      </c>
      <c r="BU253" s="75">
        <f>PARAM!$C$26+MAX($G$20-CHOOSE(PARAM!$B$44,MAX(0,BV252*$F$1),0),0)*RATES!$L229/12+$H$20*(PARAM!$D$51/12)*RATES!$N229/100</f>
        <v>16.922060261238343</v>
      </c>
      <c r="BV253" s="16">
        <f t="shared" si="172"/>
        <v>668.97179110801198</v>
      </c>
      <c r="BW253" s="15">
        <f t="shared" si="147"/>
        <v>22.170849845882874</v>
      </c>
      <c r="BX253" s="75">
        <f>BW253*(1-PARAM!$C$27)*$I$21+(MOD($B253,60)=PARAM!$B$56)*($B253&gt;(60-PARAM!$B$56))*HLOOKUP(($B253+PARAM!$B$56)/12,Loyalty,2)*$F$1*MAX(BZ252,0)</f>
        <v>18.557001321003963</v>
      </c>
      <c r="BY253" s="75">
        <f>PARAM!$C$26+MAX($G$21-CHOOSE(PARAM!$B$44,MAX(0,BZ252*$F$1),0),0)*RATES!$L229/12+$H$21*(PARAM!$D$51/12)*RATES!$N229/100</f>
        <v>16.922060261238343</v>
      </c>
      <c r="BZ253" s="16">
        <f t="shared" si="173"/>
        <v>668.97179110801198</v>
      </c>
      <c r="CA253" s="15">
        <f t="shared" si="148"/>
        <v>22.170849845882874</v>
      </c>
      <c r="CB253" s="75">
        <f>CA253*(1-PARAM!$C$27)*$I$22+(MOD($B253,60)=PARAM!$B$56)*($B253&gt;(60-PARAM!$B$56))*HLOOKUP(($B253+PARAM!$B$56)/12,Loyalty,2)*$F$1*MAX(CD252,0)</f>
        <v>18.557001321003963</v>
      </c>
      <c r="CC253" s="75">
        <f>PARAM!$C$26+MAX($G$22-CHOOSE(PARAM!$B$44,MAX(0,CD252*$F$1),0),0)*RATES!$L229/12+$H$22*(PARAM!$D$51/12)*RATES!$N229/100</f>
        <v>16.922060261238343</v>
      </c>
      <c r="CD253" s="16">
        <f t="shared" si="174"/>
        <v>668.97179110801198</v>
      </c>
      <c r="CE253" s="33">
        <f>IF(0=MOD(B253,12/PARAM!$D$51),1,0)</f>
        <v>1</v>
      </c>
      <c r="CF253" s="15">
        <f t="shared" si="149"/>
        <v>0</v>
      </c>
      <c r="CG253" s="75">
        <f>CF253*(1-PARAM!$C$27)*$R$3+(MOD($B253/12,5)=0)*($B253&gt;60)*HLOOKUP($B253/12,Loyalty,2)*$F$1*MAX(CI252,0)</f>
        <v>0</v>
      </c>
      <c r="CH253" s="75">
        <f>PARAM!$C$26+MAX($P$3-CHOOSE(PARAM!$B$44,MAX(0,CI252*$F$1),0),0)*RATES!$L229/12+$Q$3*(PARAM!$D$51/12)*RATES!$N229/100</f>
        <v>17.083333333333336</v>
      </c>
      <c r="CI253" s="16">
        <f>IF(CI252&gt;0,CI252*PARAM!$C$53,CI252)+CG253-CH253</f>
        <v>-3351.9166666666624</v>
      </c>
      <c r="CJ253" s="15">
        <f t="shared" si="175"/>
        <v>0</v>
      </c>
      <c r="CK253" s="75">
        <f>CJ253*(1-PARAM!$C$27)*$R$4+(MOD($B253/12,5)=0)*($B253&gt;60)*HLOOKUP($B253/12,Loyalty,2)*$F$1*MAX(CM252,0)</f>
        <v>0</v>
      </c>
      <c r="CL253" s="75">
        <f>PARAM!$C$26+MAX($P$4-CHOOSE(PARAM!$B$44,MAX(0,CM252*$F$1),0),0)*RATES!$L229/12+$Q$4*(PARAM!$D$51/12)*RATES!$N229/100</f>
        <v>17.083333333333336</v>
      </c>
      <c r="CM253" s="16">
        <f>IF(CM252&gt;0,CM252*PARAM!$C$53,CM252)+CK253-CL253</f>
        <v>-3351.9166666666624</v>
      </c>
      <c r="CO253" s="176"/>
    </row>
    <row r="254" spans="1:93" x14ac:dyDescent="0.2">
      <c r="A254" t="b">
        <f t="shared" si="150"/>
        <v>1</v>
      </c>
      <c r="B254" s="33">
        <v>227</v>
      </c>
      <c r="C254" s="15">
        <f t="shared" si="151"/>
        <v>20.081305947392778</v>
      </c>
      <c r="D254" s="75">
        <f>C254*(1-PARAM!$C$27)*$I$3+(MOD($B254,60)=PARAM!$B$56)*($B254&gt;(60-PARAM!$B$56))*HLOOKUP(($B254+PARAM!$B$56)/12,Loyalty,2)*$F$1*MAX(F253,0)</f>
        <v>16.808053077967756</v>
      </c>
      <c r="E254" s="75">
        <f>PARAM!$C$26+MAX($G$3-CHOOSE(PARAM!$B$44,MAX(0,F253*$F$1),0),0)*RATES!$L230/12+$H$3*(PARAM!$D$51/12)*RATES!$N230/100</f>
        <v>17.016033845386943</v>
      </c>
      <c r="F254" s="16">
        <f t="shared" si="152"/>
        <v>278.27265901073781</v>
      </c>
      <c r="G254" s="15">
        <f t="shared" si="153"/>
        <v>22.035289406060361</v>
      </c>
      <c r="H254" s="75">
        <f>G254*(1-PARAM!$C$27)*$I$4+(MOD($B254,60)=PARAM!$B$56)*($B254&gt;(60-PARAM!$B$56))*HLOOKUP(($B254+PARAM!$B$56)/12,Loyalty,2)*$F$1*MAX(J253,0)</f>
        <v>18.443537232872522</v>
      </c>
      <c r="I254" s="75">
        <f>PARAM!$C$26+MAX($G$4-CHOOSE(PARAM!$B$44,MAX(0,J253*$F$1),0),0)*RATES!$L230/12+$H$4*(PARAM!$D$51/12)*RATES!$N230/100</f>
        <v>16.927791100820798</v>
      </c>
      <c r="J254" s="16">
        <f t="shared" si="154"/>
        <v>645.138777218413</v>
      </c>
      <c r="K254" s="15">
        <f t="shared" si="155"/>
        <v>22.170849845882874</v>
      </c>
      <c r="L254" s="75">
        <f>K254*(1-PARAM!$C$27)*$I$5+(MOD($B254,60)=PARAM!$B$56)*($B254&gt;(60-PARAM!$B$56))*HLOOKUP(($B254+PARAM!$B$56)/12,Loyalty,2)*$F$1*MAX(N253,0)</f>
        <v>18.557001321003963</v>
      </c>
      <c r="M254" s="75">
        <f>PARAM!$C$26+MAX($G$5-CHOOSE(PARAM!$B$44,MAX(0,N253*$F$1),0),0)*RATES!$L230/12+$H$5*(PARAM!$D$51/12)*RATES!$N230/100</f>
        <v>16.921665150482227</v>
      </c>
      <c r="N254" s="16">
        <f t="shared" si="156"/>
        <v>670.60712727853377</v>
      </c>
      <c r="O254" s="15">
        <f t="shared" si="157"/>
        <v>22.170849845882874</v>
      </c>
      <c r="P254" s="75">
        <f>O254*(1-PARAM!$C$27)*$I$6+(MOD($B254,60)=PARAM!$B$56)*($B254&gt;(60-PARAM!$B$56))*HLOOKUP(($B254+PARAM!$B$56)/12,Loyalty,2)*$F$1*MAX(R253,0)</f>
        <v>18.557001321003963</v>
      </c>
      <c r="Q254" s="75">
        <f>PARAM!$C$26+MAX($G$6-CHOOSE(PARAM!$B$44,MAX(0,R253*$F$1),0),0)*RATES!$L230/12+$H$6*(PARAM!$D$51/12)*RATES!$N230/100</f>
        <v>16.921665150482227</v>
      </c>
      <c r="R254" s="16">
        <f t="shared" si="158"/>
        <v>670.60712727853377</v>
      </c>
      <c r="S254" s="15">
        <f t="shared" si="133"/>
        <v>22.170849845882874</v>
      </c>
      <c r="T254" s="75">
        <f>S254*(1-PARAM!$C$27)*$I$7+(MOD($B254,60)=PARAM!$B$56)*($B254&gt;(60-PARAM!$B$56))*HLOOKUP(($B254+PARAM!$B$56)/12,Loyalty,2)*$F$1*MAX(V253,0)</f>
        <v>18.557001321003963</v>
      </c>
      <c r="U254" s="75">
        <f>PARAM!$C$26+MAX($G$7-CHOOSE(PARAM!$B$44,MAX(0,V253*$F$1),0),0)*RATES!$L230/12+$H$7*(PARAM!$D$51/12)*RATES!$N230/100</f>
        <v>16.921665150482227</v>
      </c>
      <c r="V254" s="16">
        <f t="shared" si="159"/>
        <v>670.60712727853377</v>
      </c>
      <c r="W254" s="15">
        <f t="shared" si="134"/>
        <v>22.170849845882874</v>
      </c>
      <c r="X254" s="75">
        <f>W254*(1-PARAM!$C$27)*$I$8+(MOD($B254,60)=PARAM!$B$56)*($B254&gt;(60-PARAM!$B$56))*HLOOKUP(($B254+PARAM!$B$56)/12,Loyalty,2)*$F$1*MAX(Z253,0)</f>
        <v>18.557001321003963</v>
      </c>
      <c r="Y254" s="75">
        <f>PARAM!$C$26+MAX($G$8-CHOOSE(PARAM!$B$44,MAX(0,Z253*$F$1),0),0)*RATES!$L230/12+$H$8*(PARAM!$D$51/12)*RATES!$N230/100</f>
        <v>16.921665150482227</v>
      </c>
      <c r="Z254" s="16">
        <f t="shared" si="160"/>
        <v>670.60712727853377</v>
      </c>
      <c r="AA254" s="15">
        <f t="shared" si="135"/>
        <v>22.170849845882874</v>
      </c>
      <c r="AB254" s="75">
        <f>AA254*(1-PARAM!$C$27)*$I$9+(MOD($B254,60)=PARAM!$B$56)*($B254&gt;(60-PARAM!$B$56))*HLOOKUP(($B254+PARAM!$B$56)/12,Loyalty,2)*$F$1*MAX(AD253,0)</f>
        <v>18.557001321003963</v>
      </c>
      <c r="AC254" s="75">
        <f>PARAM!$C$26+MAX($G$9-CHOOSE(PARAM!$B$44,MAX(0,AD253*$F$1),0),0)*RATES!$L230/12+$H$9*(PARAM!$D$51/12)*RATES!$N230/100</f>
        <v>16.921665150482227</v>
      </c>
      <c r="AD254" s="16">
        <f t="shared" si="161"/>
        <v>670.60712727853377</v>
      </c>
      <c r="AE254" s="15">
        <f t="shared" si="136"/>
        <v>22.170849845882874</v>
      </c>
      <c r="AF254" s="75">
        <f>AE254*(1-PARAM!$C$27)*$I$10+(MOD($B254,60)=PARAM!$B$56)*($B254&gt;(60-PARAM!$B$56))*HLOOKUP(($B254+PARAM!$B$56)/12,Loyalty,2)*$F$1*MAX(AH253,0)</f>
        <v>18.557001321003963</v>
      </c>
      <c r="AG254" s="75">
        <f>PARAM!$C$26+MAX($G$10-CHOOSE(PARAM!$B$44,MAX(0,AH253*$F$1),0),0)*RATES!$L230/12+$H$10*(PARAM!$D$51/12)*RATES!$N230/100</f>
        <v>16.921665150482227</v>
      </c>
      <c r="AH254" s="16">
        <f t="shared" si="162"/>
        <v>670.60712727853377</v>
      </c>
      <c r="AI254" s="15">
        <f t="shared" si="137"/>
        <v>22.170849845882874</v>
      </c>
      <c r="AJ254" s="75">
        <f>AI254*(1-PARAM!$C$27)*$I$11+(MOD($B254,60)=PARAM!$B$56)*($B254&gt;(60-PARAM!$B$56))*HLOOKUP(($B254+PARAM!$B$56)/12,Loyalty,2)*$F$1*MAX(AL253,0)</f>
        <v>18.557001321003963</v>
      </c>
      <c r="AK254" s="75">
        <f>PARAM!$C$26+MAX($G$11-CHOOSE(PARAM!$B$44,MAX(0,AL253*$F$1),0),0)*RATES!$L230/12+$H$11*(PARAM!$D$51/12)*RATES!$N230/100</f>
        <v>16.921665150482227</v>
      </c>
      <c r="AL254" s="16">
        <f t="shared" si="163"/>
        <v>670.60712727853377</v>
      </c>
      <c r="AM254" s="15">
        <f t="shared" si="138"/>
        <v>22.170849845882874</v>
      </c>
      <c r="AN254" s="75">
        <f>AM254*(1-PARAM!$C$27)*$I$12+(MOD($B254,60)=PARAM!$B$56)*($B254&gt;(60-PARAM!$B$56))*HLOOKUP(($B254+PARAM!$B$56)/12,Loyalty,2)*$F$1*MAX(AP253,0)</f>
        <v>18.557001321003963</v>
      </c>
      <c r="AO254" s="75">
        <f>PARAM!$C$26+MAX($G$12-CHOOSE(PARAM!$B$44,MAX(0,AP253*$F$1),0),0)*RATES!$L230/12+$H$12*(PARAM!$D$51/12)*RATES!$N230/100</f>
        <v>16.921665150482227</v>
      </c>
      <c r="AP254" s="16">
        <f t="shared" si="164"/>
        <v>670.60712727853377</v>
      </c>
      <c r="AQ254" s="15">
        <f t="shared" si="139"/>
        <v>22.170849845882874</v>
      </c>
      <c r="AR254" s="75">
        <f>AQ254*(1-PARAM!$C$27)*$I$13+(MOD($B254,60)=PARAM!$B$56)*($B254&gt;(60-PARAM!$B$56))*HLOOKUP(($B254+PARAM!$B$56)/12,Loyalty,2)*$F$1*MAX(AT253,0)</f>
        <v>18.557001321003963</v>
      </c>
      <c r="AS254" s="75">
        <f>PARAM!$C$26+MAX($G$13-CHOOSE(PARAM!$B$44,MAX(0,AT253*$F$1),0),0)*RATES!$L230/12+$H$13*(PARAM!$D$51/12)*RATES!$N230/100</f>
        <v>16.921665150482227</v>
      </c>
      <c r="AT254" s="16">
        <f t="shared" si="165"/>
        <v>670.60712727853377</v>
      </c>
      <c r="AU254" s="15">
        <f t="shared" si="140"/>
        <v>22.170849845882874</v>
      </c>
      <c r="AV254" s="75">
        <f>AU254*(1-PARAM!$C$27)*$I$14+(MOD($B254,60)=PARAM!$B$56)*($B254&gt;(60-PARAM!$B$56))*HLOOKUP(($B254+PARAM!$B$56)/12,Loyalty,2)*$F$1*MAX(AX253,0)</f>
        <v>18.557001321003963</v>
      </c>
      <c r="AW254" s="75">
        <f>PARAM!$C$26+MAX($G$14-CHOOSE(PARAM!$B$44,MAX(0,AX253*$F$1),0),0)*RATES!$L230/12+$H$14*(PARAM!$D$51/12)*RATES!$N230/100</f>
        <v>16.921665150482227</v>
      </c>
      <c r="AX254" s="16">
        <f t="shared" si="166"/>
        <v>670.60712727853377</v>
      </c>
      <c r="AY254" s="15">
        <f t="shared" si="141"/>
        <v>22.170849845882874</v>
      </c>
      <c r="AZ254" s="75">
        <f>AY254*(1-PARAM!$C$27)*$I$15+(MOD($B254,60)=PARAM!$B$56)*($B254&gt;(60-PARAM!$B$56))*HLOOKUP(($B254+PARAM!$B$56)/12,Loyalty,2)*$F$1*MAX(BB253,0)</f>
        <v>18.557001321003963</v>
      </c>
      <c r="BA254" s="75">
        <f>PARAM!$C$26+MAX($G$15-CHOOSE(PARAM!$B$44,MAX(0,BB253*$F$1),0),0)*RATES!$L230/12+$H$15*(PARAM!$D$51/12)*RATES!$N230/100</f>
        <v>16.921665150482227</v>
      </c>
      <c r="BB254" s="16">
        <f t="shared" si="167"/>
        <v>670.60712727853377</v>
      </c>
      <c r="BC254" s="15">
        <f t="shared" si="142"/>
        <v>22.170849845882874</v>
      </c>
      <c r="BD254" s="75">
        <f>BC254*(1-PARAM!$C$27)*$I$16+(MOD($B254,60)=PARAM!$B$56)*($B254&gt;(60-PARAM!$B$56))*HLOOKUP(($B254+PARAM!$B$56)/12,Loyalty,2)*$F$1*MAX(BF253,0)</f>
        <v>18.557001321003963</v>
      </c>
      <c r="BE254" s="75">
        <f>PARAM!$C$26+MAX($G$16-CHOOSE(PARAM!$B$44,MAX(0,BF253*$F$1),0),0)*RATES!$L230/12+$H$16*(PARAM!$D$51/12)*RATES!$N230/100</f>
        <v>16.921665150482227</v>
      </c>
      <c r="BF254" s="16">
        <f t="shared" si="168"/>
        <v>670.60712727853377</v>
      </c>
      <c r="BG254" s="15">
        <f t="shared" si="143"/>
        <v>22.170849845882874</v>
      </c>
      <c r="BH254" s="75">
        <f>BG254*(1-PARAM!$C$27)*$I$17+(MOD($B254,60)=PARAM!$B$56)*($B254&gt;(60-PARAM!$B$56))*HLOOKUP(($B254+PARAM!$B$56)/12,Loyalty,2)*$F$1*MAX(BJ253,0)</f>
        <v>18.557001321003963</v>
      </c>
      <c r="BI254" s="75">
        <f>PARAM!$C$26+MAX($G$17-CHOOSE(PARAM!$B$44,MAX(0,BJ253*$F$1),0),0)*RATES!$L230/12+$H$17*(PARAM!$D$51/12)*RATES!$N230/100</f>
        <v>16.921665150482227</v>
      </c>
      <c r="BJ254" s="16">
        <f t="shared" si="169"/>
        <v>670.60712727853377</v>
      </c>
      <c r="BK254" s="15">
        <f t="shared" si="144"/>
        <v>22.170849845882874</v>
      </c>
      <c r="BL254" s="75">
        <f>BK254*(1-PARAM!$C$27)*$I$18+(MOD($B254,60)=PARAM!$B$56)*($B254&gt;(60-PARAM!$B$56))*HLOOKUP(($B254+PARAM!$B$56)/12,Loyalty,2)*$F$1*MAX(BN253,0)</f>
        <v>18.557001321003963</v>
      </c>
      <c r="BM254" s="75">
        <f>PARAM!$C$26+MAX($G$18-CHOOSE(PARAM!$B$44,MAX(0,BN253*$F$1),0),0)*RATES!$L230/12+$H$18*(PARAM!$D$51/12)*RATES!$N230/100</f>
        <v>16.921665150482227</v>
      </c>
      <c r="BN254" s="16">
        <f t="shared" si="170"/>
        <v>670.60712727853377</v>
      </c>
      <c r="BO254" s="15">
        <f t="shared" si="145"/>
        <v>22.170849845882874</v>
      </c>
      <c r="BP254" s="75">
        <f>BO254*(1-PARAM!$C$27)*$I$19+(MOD($B254,60)=PARAM!$B$56)*($B254&gt;(60-PARAM!$B$56))*HLOOKUP(($B254+PARAM!$B$56)/12,Loyalty,2)*$F$1*MAX(BR253,0)</f>
        <v>18.557001321003963</v>
      </c>
      <c r="BQ254" s="75">
        <f>PARAM!$C$26+MAX($G$19-CHOOSE(PARAM!$B$44,MAX(0,BR253*$F$1),0),0)*RATES!$L230/12+$H$19*(PARAM!$D$51/12)*RATES!$N230/100</f>
        <v>16.921665150482227</v>
      </c>
      <c r="BR254" s="16">
        <f t="shared" si="171"/>
        <v>670.60712727853377</v>
      </c>
      <c r="BS254" s="15">
        <f t="shared" si="146"/>
        <v>22.170849845882874</v>
      </c>
      <c r="BT254" s="75">
        <f>BS254*(1-PARAM!$C$27)*$I$20+(MOD($B254,60)=PARAM!$B$56)*($B254&gt;(60-PARAM!$B$56))*HLOOKUP(($B254+PARAM!$B$56)/12,Loyalty,2)*$F$1*MAX(BV253,0)</f>
        <v>18.557001321003963</v>
      </c>
      <c r="BU254" s="75">
        <f>PARAM!$C$26+MAX($G$20-CHOOSE(PARAM!$B$44,MAX(0,BV253*$F$1),0),0)*RATES!$L230/12+$H$20*(PARAM!$D$51/12)*RATES!$N230/100</f>
        <v>16.921665150482227</v>
      </c>
      <c r="BV254" s="16">
        <f t="shared" si="172"/>
        <v>670.60712727853377</v>
      </c>
      <c r="BW254" s="15">
        <f t="shared" si="147"/>
        <v>22.170849845882874</v>
      </c>
      <c r="BX254" s="75">
        <f>BW254*(1-PARAM!$C$27)*$I$21+(MOD($B254,60)=PARAM!$B$56)*($B254&gt;(60-PARAM!$B$56))*HLOOKUP(($B254+PARAM!$B$56)/12,Loyalty,2)*$F$1*MAX(BZ253,0)</f>
        <v>18.557001321003963</v>
      </c>
      <c r="BY254" s="75">
        <f>PARAM!$C$26+MAX($G$21-CHOOSE(PARAM!$B$44,MAX(0,BZ253*$F$1),0),0)*RATES!$L230/12+$H$21*(PARAM!$D$51/12)*RATES!$N230/100</f>
        <v>16.921665150482227</v>
      </c>
      <c r="BZ254" s="16">
        <f t="shared" si="173"/>
        <v>670.60712727853377</v>
      </c>
      <c r="CA254" s="15">
        <f t="shared" si="148"/>
        <v>22.170849845882874</v>
      </c>
      <c r="CB254" s="75">
        <f>CA254*(1-PARAM!$C$27)*$I$22+(MOD($B254,60)=PARAM!$B$56)*($B254&gt;(60-PARAM!$B$56))*HLOOKUP(($B254+PARAM!$B$56)/12,Loyalty,2)*$F$1*MAX(CD253,0)</f>
        <v>18.557001321003963</v>
      </c>
      <c r="CC254" s="75">
        <f>PARAM!$C$26+MAX($G$22-CHOOSE(PARAM!$B$44,MAX(0,CD253*$F$1),0),0)*RATES!$L230/12+$H$22*(PARAM!$D$51/12)*RATES!$N230/100</f>
        <v>16.921665150482227</v>
      </c>
      <c r="CD254" s="16">
        <f t="shared" si="174"/>
        <v>670.60712727853377</v>
      </c>
      <c r="CE254" s="33">
        <f>IF(0=MOD(B254,12/PARAM!$D$51),1,0)</f>
        <v>1</v>
      </c>
      <c r="CF254" s="15">
        <f t="shared" si="149"/>
        <v>0</v>
      </c>
      <c r="CG254" s="75">
        <f>CF254*(1-PARAM!$C$27)*$R$3+(MOD($B254/12,5)=0)*($B254&gt;60)*HLOOKUP($B254/12,Loyalty,2)*$F$1*MAX(CI253,0)</f>
        <v>0</v>
      </c>
      <c r="CH254" s="75">
        <f>PARAM!$C$26+MAX($P$3-CHOOSE(PARAM!$B$44,MAX(0,CI253*$F$1),0),0)*RATES!$L230/12+$Q$3*(PARAM!$D$51/12)*RATES!$N230/100</f>
        <v>17.083333333333336</v>
      </c>
      <c r="CI254" s="16">
        <f>IF(CI253&gt;0,CI253*PARAM!$C$53,CI253)+CG254-CH254</f>
        <v>-3368.9999999999959</v>
      </c>
      <c r="CJ254" s="15">
        <f t="shared" si="175"/>
        <v>0</v>
      </c>
      <c r="CK254" s="75">
        <f>CJ254*(1-PARAM!$C$27)*$R$4+(MOD($B254/12,5)=0)*($B254&gt;60)*HLOOKUP($B254/12,Loyalty,2)*$F$1*MAX(CM253,0)</f>
        <v>0</v>
      </c>
      <c r="CL254" s="75">
        <f>PARAM!$C$26+MAX($P$4-CHOOSE(PARAM!$B$44,MAX(0,CM253*$F$1),0),0)*RATES!$L230/12+$Q$4*(PARAM!$D$51/12)*RATES!$N230/100</f>
        <v>17.083333333333336</v>
      </c>
      <c r="CM254" s="16">
        <f>IF(CM253&gt;0,CM253*PARAM!$C$53,CM253)+CK254-CL254</f>
        <v>-3368.9999999999959</v>
      </c>
      <c r="CO254" s="176"/>
    </row>
    <row r="255" spans="1:93" x14ac:dyDescent="0.2">
      <c r="A255" t="b">
        <f t="shared" si="150"/>
        <v>1</v>
      </c>
      <c r="B255" s="33">
        <v>228</v>
      </c>
      <c r="C255" s="15">
        <f t="shared" si="151"/>
        <v>20.081305947392778</v>
      </c>
      <c r="D255" s="75">
        <f>C255*(1-PARAM!$C$27)*$I$3+(MOD($B255,60)=PARAM!$B$56)*($B255&gt;(60-PARAM!$B$56))*HLOOKUP(($B255+PARAM!$B$56)/12,Loyalty,2)*$F$1*MAX(F254,0)</f>
        <v>16.808053077967756</v>
      </c>
      <c r="E255" s="75">
        <f>PARAM!$C$26+MAX($G$3-CHOOSE(PARAM!$B$44,MAX(0,F254*$F$1),0),0)*RATES!$L231/12+$H$3*(PARAM!$D$51/12)*RATES!$N231/100</f>
        <v>17.016084107405739</v>
      </c>
      <c r="F255" s="16">
        <f t="shared" si="152"/>
        <v>278.06462798129985</v>
      </c>
      <c r="G255" s="15">
        <f t="shared" si="153"/>
        <v>22.035289406060361</v>
      </c>
      <c r="H255" s="75">
        <f>G255*(1-PARAM!$C$27)*$I$4+(MOD($B255,60)=PARAM!$B$56)*($B255&gt;(60-PARAM!$B$56))*HLOOKUP(($B255+PARAM!$B$56)/12,Loyalty,2)*$F$1*MAX(J254,0)</f>
        <v>18.443537232872522</v>
      </c>
      <c r="I255" s="75">
        <f>PARAM!$C$26+MAX($G$4-CHOOSE(PARAM!$B$44,MAX(0,J254*$F$1),0),0)*RATES!$L231/12+$H$4*(PARAM!$D$51/12)*RATES!$N231/100</f>
        <v>16.927424795505551</v>
      </c>
      <c r="J255" s="16">
        <f t="shared" si="154"/>
        <v>646.65488965577993</v>
      </c>
      <c r="K255" s="15">
        <f t="shared" si="155"/>
        <v>22.170849845882874</v>
      </c>
      <c r="L255" s="75">
        <f>K255*(1-PARAM!$C$27)*$I$5+(MOD($B255,60)=PARAM!$B$56)*($B255&gt;(60-PARAM!$B$56))*HLOOKUP(($B255+PARAM!$B$56)/12,Loyalty,2)*$F$1*MAX(N254,0)</f>
        <v>18.557001321003963</v>
      </c>
      <c r="M255" s="75">
        <f>PARAM!$C$26+MAX($G$5-CHOOSE(PARAM!$B$44,MAX(0,N254*$F$1),0),0)*RATES!$L231/12+$H$5*(PARAM!$D$51/12)*RATES!$N231/100</f>
        <v>16.921269944241018</v>
      </c>
      <c r="N255" s="16">
        <f t="shared" si="156"/>
        <v>672.2428586552968</v>
      </c>
      <c r="O255" s="15">
        <f t="shared" si="157"/>
        <v>22.170849845882874</v>
      </c>
      <c r="P255" s="75">
        <f>O255*(1-PARAM!$C$27)*$I$6+(MOD($B255,60)=PARAM!$B$56)*($B255&gt;(60-PARAM!$B$56))*HLOOKUP(($B255+PARAM!$B$56)/12,Loyalty,2)*$F$1*MAX(R254,0)</f>
        <v>18.557001321003963</v>
      </c>
      <c r="Q255" s="75">
        <f>PARAM!$C$26+MAX($G$6-CHOOSE(PARAM!$B$44,MAX(0,R254*$F$1),0),0)*RATES!$L231/12+$H$6*(PARAM!$D$51/12)*RATES!$N231/100</f>
        <v>16.921269944241018</v>
      </c>
      <c r="R255" s="16">
        <f t="shared" si="158"/>
        <v>672.2428586552968</v>
      </c>
      <c r="S255" s="15">
        <f t="shared" si="133"/>
        <v>22.170849845882874</v>
      </c>
      <c r="T255" s="75">
        <f>S255*(1-PARAM!$C$27)*$I$7+(MOD($B255,60)=PARAM!$B$56)*($B255&gt;(60-PARAM!$B$56))*HLOOKUP(($B255+PARAM!$B$56)/12,Loyalty,2)*$F$1*MAX(V254,0)</f>
        <v>18.557001321003963</v>
      </c>
      <c r="U255" s="75">
        <f>PARAM!$C$26+MAX($G$7-CHOOSE(PARAM!$B$44,MAX(0,V254*$F$1),0),0)*RATES!$L231/12+$H$7*(PARAM!$D$51/12)*RATES!$N231/100</f>
        <v>16.921269944241018</v>
      </c>
      <c r="V255" s="16">
        <f t="shared" si="159"/>
        <v>672.2428586552968</v>
      </c>
      <c r="W255" s="15">
        <f t="shared" si="134"/>
        <v>22.170849845882874</v>
      </c>
      <c r="X255" s="75">
        <f>W255*(1-PARAM!$C$27)*$I$8+(MOD($B255,60)=PARAM!$B$56)*($B255&gt;(60-PARAM!$B$56))*HLOOKUP(($B255+PARAM!$B$56)/12,Loyalty,2)*$F$1*MAX(Z254,0)</f>
        <v>18.557001321003963</v>
      </c>
      <c r="Y255" s="75">
        <f>PARAM!$C$26+MAX($G$8-CHOOSE(PARAM!$B$44,MAX(0,Z254*$F$1),0),0)*RATES!$L231/12+$H$8*(PARAM!$D$51/12)*RATES!$N231/100</f>
        <v>16.921269944241018</v>
      </c>
      <c r="Z255" s="16">
        <f t="shared" si="160"/>
        <v>672.2428586552968</v>
      </c>
      <c r="AA255" s="15">
        <f t="shared" si="135"/>
        <v>22.170849845882874</v>
      </c>
      <c r="AB255" s="75">
        <f>AA255*(1-PARAM!$C$27)*$I$9+(MOD($B255,60)=PARAM!$B$56)*($B255&gt;(60-PARAM!$B$56))*HLOOKUP(($B255+PARAM!$B$56)/12,Loyalty,2)*$F$1*MAX(AD254,0)</f>
        <v>18.557001321003963</v>
      </c>
      <c r="AC255" s="75">
        <f>PARAM!$C$26+MAX($G$9-CHOOSE(PARAM!$B$44,MAX(0,AD254*$F$1),0),0)*RATES!$L231/12+$H$9*(PARAM!$D$51/12)*RATES!$N231/100</f>
        <v>16.921269944241018</v>
      </c>
      <c r="AD255" s="16">
        <f t="shared" si="161"/>
        <v>672.2428586552968</v>
      </c>
      <c r="AE255" s="15">
        <f t="shared" si="136"/>
        <v>22.170849845882874</v>
      </c>
      <c r="AF255" s="75">
        <f>AE255*(1-PARAM!$C$27)*$I$10+(MOD($B255,60)=PARAM!$B$56)*($B255&gt;(60-PARAM!$B$56))*HLOOKUP(($B255+PARAM!$B$56)/12,Loyalty,2)*$F$1*MAX(AH254,0)</f>
        <v>18.557001321003963</v>
      </c>
      <c r="AG255" s="75">
        <f>PARAM!$C$26+MAX($G$10-CHOOSE(PARAM!$B$44,MAX(0,AH254*$F$1),0),0)*RATES!$L231/12+$H$10*(PARAM!$D$51/12)*RATES!$N231/100</f>
        <v>16.921269944241018</v>
      </c>
      <c r="AH255" s="16">
        <f t="shared" si="162"/>
        <v>672.2428586552968</v>
      </c>
      <c r="AI255" s="15">
        <f t="shared" si="137"/>
        <v>22.170849845882874</v>
      </c>
      <c r="AJ255" s="75">
        <f>AI255*(1-PARAM!$C$27)*$I$11+(MOD($B255,60)=PARAM!$B$56)*($B255&gt;(60-PARAM!$B$56))*HLOOKUP(($B255+PARAM!$B$56)/12,Loyalty,2)*$F$1*MAX(AL254,0)</f>
        <v>18.557001321003963</v>
      </c>
      <c r="AK255" s="75">
        <f>PARAM!$C$26+MAX($G$11-CHOOSE(PARAM!$B$44,MAX(0,AL254*$F$1),0),0)*RATES!$L231/12+$H$11*(PARAM!$D$51/12)*RATES!$N231/100</f>
        <v>16.921269944241018</v>
      </c>
      <c r="AL255" s="16">
        <f t="shared" si="163"/>
        <v>672.2428586552968</v>
      </c>
      <c r="AM255" s="15">
        <f t="shared" si="138"/>
        <v>22.170849845882874</v>
      </c>
      <c r="AN255" s="75">
        <f>AM255*(1-PARAM!$C$27)*$I$12+(MOD($B255,60)=PARAM!$B$56)*($B255&gt;(60-PARAM!$B$56))*HLOOKUP(($B255+PARAM!$B$56)/12,Loyalty,2)*$F$1*MAX(AP254,0)</f>
        <v>18.557001321003963</v>
      </c>
      <c r="AO255" s="75">
        <f>PARAM!$C$26+MAX($G$12-CHOOSE(PARAM!$B$44,MAX(0,AP254*$F$1),0),0)*RATES!$L231/12+$H$12*(PARAM!$D$51/12)*RATES!$N231/100</f>
        <v>16.921269944241018</v>
      </c>
      <c r="AP255" s="16">
        <f t="shared" si="164"/>
        <v>672.2428586552968</v>
      </c>
      <c r="AQ255" s="15">
        <f t="shared" si="139"/>
        <v>22.170849845882874</v>
      </c>
      <c r="AR255" s="75">
        <f>AQ255*(1-PARAM!$C$27)*$I$13+(MOD($B255,60)=PARAM!$B$56)*($B255&gt;(60-PARAM!$B$56))*HLOOKUP(($B255+PARAM!$B$56)/12,Loyalty,2)*$F$1*MAX(AT254,0)</f>
        <v>18.557001321003963</v>
      </c>
      <c r="AS255" s="75">
        <f>PARAM!$C$26+MAX($G$13-CHOOSE(PARAM!$B$44,MAX(0,AT254*$F$1),0),0)*RATES!$L231/12+$H$13*(PARAM!$D$51/12)*RATES!$N231/100</f>
        <v>16.921269944241018</v>
      </c>
      <c r="AT255" s="16">
        <f t="shared" si="165"/>
        <v>672.2428586552968</v>
      </c>
      <c r="AU255" s="15">
        <f t="shared" si="140"/>
        <v>22.170849845882874</v>
      </c>
      <c r="AV255" s="75">
        <f>AU255*(1-PARAM!$C$27)*$I$14+(MOD($B255,60)=PARAM!$B$56)*($B255&gt;(60-PARAM!$B$56))*HLOOKUP(($B255+PARAM!$B$56)/12,Loyalty,2)*$F$1*MAX(AX254,0)</f>
        <v>18.557001321003963</v>
      </c>
      <c r="AW255" s="75">
        <f>PARAM!$C$26+MAX($G$14-CHOOSE(PARAM!$B$44,MAX(0,AX254*$F$1),0),0)*RATES!$L231/12+$H$14*(PARAM!$D$51/12)*RATES!$N231/100</f>
        <v>16.921269944241018</v>
      </c>
      <c r="AX255" s="16">
        <f t="shared" si="166"/>
        <v>672.2428586552968</v>
      </c>
      <c r="AY255" s="15">
        <f t="shared" si="141"/>
        <v>22.170849845882874</v>
      </c>
      <c r="AZ255" s="75">
        <f>AY255*(1-PARAM!$C$27)*$I$15+(MOD($B255,60)=PARAM!$B$56)*($B255&gt;(60-PARAM!$B$56))*HLOOKUP(($B255+PARAM!$B$56)/12,Loyalty,2)*$F$1*MAX(BB254,0)</f>
        <v>18.557001321003963</v>
      </c>
      <c r="BA255" s="75">
        <f>PARAM!$C$26+MAX($G$15-CHOOSE(PARAM!$B$44,MAX(0,BB254*$F$1),0),0)*RATES!$L231/12+$H$15*(PARAM!$D$51/12)*RATES!$N231/100</f>
        <v>16.921269944241018</v>
      </c>
      <c r="BB255" s="16">
        <f t="shared" si="167"/>
        <v>672.2428586552968</v>
      </c>
      <c r="BC255" s="15">
        <f t="shared" si="142"/>
        <v>22.170849845882874</v>
      </c>
      <c r="BD255" s="75">
        <f>BC255*(1-PARAM!$C$27)*$I$16+(MOD($B255,60)=PARAM!$B$56)*($B255&gt;(60-PARAM!$B$56))*HLOOKUP(($B255+PARAM!$B$56)/12,Loyalty,2)*$F$1*MAX(BF254,0)</f>
        <v>18.557001321003963</v>
      </c>
      <c r="BE255" s="75">
        <f>PARAM!$C$26+MAX($G$16-CHOOSE(PARAM!$B$44,MAX(0,BF254*$F$1),0),0)*RATES!$L231/12+$H$16*(PARAM!$D$51/12)*RATES!$N231/100</f>
        <v>16.921269944241018</v>
      </c>
      <c r="BF255" s="16">
        <f t="shared" si="168"/>
        <v>672.2428586552968</v>
      </c>
      <c r="BG255" s="15">
        <f t="shared" si="143"/>
        <v>22.170849845882874</v>
      </c>
      <c r="BH255" s="75">
        <f>BG255*(1-PARAM!$C$27)*$I$17+(MOD($B255,60)=PARAM!$B$56)*($B255&gt;(60-PARAM!$B$56))*HLOOKUP(($B255+PARAM!$B$56)/12,Loyalty,2)*$F$1*MAX(BJ254,0)</f>
        <v>18.557001321003963</v>
      </c>
      <c r="BI255" s="75">
        <f>PARAM!$C$26+MAX($G$17-CHOOSE(PARAM!$B$44,MAX(0,BJ254*$F$1),0),0)*RATES!$L231/12+$H$17*(PARAM!$D$51/12)*RATES!$N231/100</f>
        <v>16.921269944241018</v>
      </c>
      <c r="BJ255" s="16">
        <f t="shared" si="169"/>
        <v>672.2428586552968</v>
      </c>
      <c r="BK255" s="15">
        <f t="shared" si="144"/>
        <v>22.170849845882874</v>
      </c>
      <c r="BL255" s="75">
        <f>BK255*(1-PARAM!$C$27)*$I$18+(MOD($B255,60)=PARAM!$B$56)*($B255&gt;(60-PARAM!$B$56))*HLOOKUP(($B255+PARAM!$B$56)/12,Loyalty,2)*$F$1*MAX(BN254,0)</f>
        <v>18.557001321003963</v>
      </c>
      <c r="BM255" s="75">
        <f>PARAM!$C$26+MAX($G$18-CHOOSE(PARAM!$B$44,MAX(0,BN254*$F$1),0),0)*RATES!$L231/12+$H$18*(PARAM!$D$51/12)*RATES!$N231/100</f>
        <v>16.921269944241018</v>
      </c>
      <c r="BN255" s="16">
        <f t="shared" si="170"/>
        <v>672.2428586552968</v>
      </c>
      <c r="BO255" s="15">
        <f t="shared" si="145"/>
        <v>22.170849845882874</v>
      </c>
      <c r="BP255" s="75">
        <f>BO255*(1-PARAM!$C$27)*$I$19+(MOD($B255,60)=PARAM!$B$56)*($B255&gt;(60-PARAM!$B$56))*HLOOKUP(($B255+PARAM!$B$56)/12,Loyalty,2)*$F$1*MAX(BR254,0)</f>
        <v>18.557001321003963</v>
      </c>
      <c r="BQ255" s="75">
        <f>PARAM!$C$26+MAX($G$19-CHOOSE(PARAM!$B$44,MAX(0,BR254*$F$1),0),0)*RATES!$L231/12+$H$19*(PARAM!$D$51/12)*RATES!$N231/100</f>
        <v>16.921269944241018</v>
      </c>
      <c r="BR255" s="16">
        <f t="shared" si="171"/>
        <v>672.2428586552968</v>
      </c>
      <c r="BS255" s="15">
        <f t="shared" si="146"/>
        <v>22.170849845882874</v>
      </c>
      <c r="BT255" s="75">
        <f>BS255*(1-PARAM!$C$27)*$I$20+(MOD($B255,60)=PARAM!$B$56)*($B255&gt;(60-PARAM!$B$56))*HLOOKUP(($B255+PARAM!$B$56)/12,Loyalty,2)*$F$1*MAX(BV254,0)</f>
        <v>18.557001321003963</v>
      </c>
      <c r="BU255" s="75">
        <f>PARAM!$C$26+MAX($G$20-CHOOSE(PARAM!$B$44,MAX(0,BV254*$F$1),0),0)*RATES!$L231/12+$H$20*(PARAM!$D$51/12)*RATES!$N231/100</f>
        <v>16.921269944241018</v>
      </c>
      <c r="BV255" s="16">
        <f t="shared" si="172"/>
        <v>672.2428586552968</v>
      </c>
      <c r="BW255" s="15">
        <f t="shared" si="147"/>
        <v>22.170849845882874</v>
      </c>
      <c r="BX255" s="75">
        <f>BW255*(1-PARAM!$C$27)*$I$21+(MOD($B255,60)=PARAM!$B$56)*($B255&gt;(60-PARAM!$B$56))*HLOOKUP(($B255+PARAM!$B$56)/12,Loyalty,2)*$F$1*MAX(BZ254,0)</f>
        <v>18.557001321003963</v>
      </c>
      <c r="BY255" s="75">
        <f>PARAM!$C$26+MAX($G$21-CHOOSE(PARAM!$B$44,MAX(0,BZ254*$F$1),0),0)*RATES!$L231/12+$H$21*(PARAM!$D$51/12)*RATES!$N231/100</f>
        <v>16.921269944241018</v>
      </c>
      <c r="BZ255" s="16">
        <f t="shared" si="173"/>
        <v>672.2428586552968</v>
      </c>
      <c r="CA255" s="15">
        <f t="shared" si="148"/>
        <v>22.170849845882874</v>
      </c>
      <c r="CB255" s="75">
        <f>CA255*(1-PARAM!$C$27)*$I$22+(MOD($B255,60)=PARAM!$B$56)*($B255&gt;(60-PARAM!$B$56))*HLOOKUP(($B255+PARAM!$B$56)/12,Loyalty,2)*$F$1*MAX(CD254,0)</f>
        <v>18.557001321003963</v>
      </c>
      <c r="CC255" s="75">
        <f>PARAM!$C$26+MAX($G$22-CHOOSE(PARAM!$B$44,MAX(0,CD254*$F$1),0),0)*RATES!$L231/12+$H$22*(PARAM!$D$51/12)*RATES!$N231/100</f>
        <v>16.921269944241018</v>
      </c>
      <c r="CD255" s="16">
        <f t="shared" si="174"/>
        <v>672.2428586552968</v>
      </c>
      <c r="CE255" s="33">
        <f>IF(0=MOD(B255,12/PARAM!$D$51),1,0)</f>
        <v>1</v>
      </c>
      <c r="CF255" s="15">
        <f t="shared" si="149"/>
        <v>0</v>
      </c>
      <c r="CG255" s="75">
        <f>CF255*(1-PARAM!$C$27)*$R$3+(MOD($B255/12,5)=0)*($B255&gt;60)*HLOOKUP($B255/12,Loyalty,2)*$F$1*MAX(CI254,0)</f>
        <v>0</v>
      </c>
      <c r="CH255" s="75">
        <f>PARAM!$C$26+MAX($P$3-CHOOSE(PARAM!$B$44,MAX(0,CI254*$F$1),0),0)*RATES!$L231/12+$Q$3*(PARAM!$D$51/12)*RATES!$N231/100</f>
        <v>17.083333333333336</v>
      </c>
      <c r="CI255" s="16">
        <f>IF(CI254&gt;0,CI254*PARAM!$C$53,CI254)+CG255-CH255</f>
        <v>-3386.0833333333294</v>
      </c>
      <c r="CJ255" s="15">
        <f t="shared" si="175"/>
        <v>0</v>
      </c>
      <c r="CK255" s="75">
        <f>CJ255*(1-PARAM!$C$27)*$R$4+(MOD($B255/12,5)=0)*($B255&gt;60)*HLOOKUP($B255/12,Loyalty,2)*$F$1*MAX(CM254,0)</f>
        <v>0</v>
      </c>
      <c r="CL255" s="75">
        <f>PARAM!$C$26+MAX($P$4-CHOOSE(PARAM!$B$44,MAX(0,CM254*$F$1),0),0)*RATES!$L231/12+$Q$4*(PARAM!$D$51/12)*RATES!$N231/100</f>
        <v>17.083333333333336</v>
      </c>
      <c r="CM255" s="16">
        <f>IF(CM254&gt;0,CM254*PARAM!$C$53,CM254)+CK255-CL255</f>
        <v>-3386.0833333333294</v>
      </c>
      <c r="CO255" s="176"/>
    </row>
    <row r="256" spans="1:93" x14ac:dyDescent="0.2">
      <c r="A256" t="b">
        <f t="shared" si="150"/>
        <v>1</v>
      </c>
      <c r="B256" s="33">
        <v>229</v>
      </c>
      <c r="C256" s="15">
        <f t="shared" si="151"/>
        <v>20.081305947392778</v>
      </c>
      <c r="D256" s="75">
        <f>C256*(1-PARAM!$C$27)*$I$3+(MOD($B256,60)=PARAM!$B$56)*($B256&gt;(60-PARAM!$B$56))*HLOOKUP(($B256+PARAM!$B$56)/12,Loyalty,2)*$F$1*MAX(F255,0)</f>
        <v>16.808053077967756</v>
      </c>
      <c r="E256" s="75">
        <f>PARAM!$C$26+MAX($G$3-CHOOSE(PARAM!$B$44,MAX(0,F255*$F$1),0),0)*RATES!$L232/12+$H$3*(PARAM!$D$51/12)*RATES!$N232/100</f>
        <v>17.016134381571185</v>
      </c>
      <c r="F256" s="16">
        <f t="shared" si="152"/>
        <v>277.85654667769643</v>
      </c>
      <c r="G256" s="15">
        <f t="shared" si="153"/>
        <v>22.035289406060361</v>
      </c>
      <c r="H256" s="75">
        <f>G256*(1-PARAM!$C$27)*$I$4+(MOD($B256,60)=PARAM!$B$56)*($B256&gt;(60-PARAM!$B$56))*HLOOKUP(($B256+PARAM!$B$56)/12,Loyalty,2)*$F$1*MAX(J255,0)</f>
        <v>18.443537232872522</v>
      </c>
      <c r="I256" s="75">
        <f>PARAM!$C$26+MAX($G$4-CHOOSE(PARAM!$B$44,MAX(0,J255*$F$1),0),0)*RATES!$L232/12+$H$4*(PARAM!$D$51/12)*RATES!$N232/100</f>
        <v>16.927058401666521</v>
      </c>
      <c r="J256" s="16">
        <f t="shared" si="154"/>
        <v>648.1713684869859</v>
      </c>
      <c r="K256" s="15">
        <f t="shared" si="155"/>
        <v>22.170849845882874</v>
      </c>
      <c r="L256" s="75">
        <f>K256*(1-PARAM!$C$27)*$I$5+(MOD($B256,60)=PARAM!$B$56)*($B256&gt;(60-PARAM!$B$56))*HLOOKUP(($B256+PARAM!$B$56)/12,Loyalty,2)*$F$1*MAX(N255,0)</f>
        <v>18.557001321003963</v>
      </c>
      <c r="M256" s="75">
        <f>PARAM!$C$26+MAX($G$5-CHOOSE(PARAM!$B$44,MAX(0,N255*$F$1),0),0)*RATES!$L232/12+$H$5*(PARAM!$D$51/12)*RATES!$N232/100</f>
        <v>16.920874642491633</v>
      </c>
      <c r="N256" s="16">
        <f t="shared" si="156"/>
        <v>673.87898533380917</v>
      </c>
      <c r="O256" s="15">
        <f t="shared" si="157"/>
        <v>22.170849845882874</v>
      </c>
      <c r="P256" s="75">
        <f>O256*(1-PARAM!$C$27)*$I$6+(MOD($B256,60)=PARAM!$B$56)*($B256&gt;(60-PARAM!$B$56))*HLOOKUP(($B256+PARAM!$B$56)/12,Loyalty,2)*$F$1*MAX(R255,0)</f>
        <v>18.557001321003963</v>
      </c>
      <c r="Q256" s="75">
        <f>PARAM!$C$26+MAX($G$6-CHOOSE(PARAM!$B$44,MAX(0,R255*$F$1),0),0)*RATES!$L232/12+$H$6*(PARAM!$D$51/12)*RATES!$N232/100</f>
        <v>16.920874642491633</v>
      </c>
      <c r="R256" s="16">
        <f t="shared" si="158"/>
        <v>673.87898533380917</v>
      </c>
      <c r="S256" s="15">
        <f t="shared" si="133"/>
        <v>22.170849845882874</v>
      </c>
      <c r="T256" s="75">
        <f>S256*(1-PARAM!$C$27)*$I$7+(MOD($B256,60)=PARAM!$B$56)*($B256&gt;(60-PARAM!$B$56))*HLOOKUP(($B256+PARAM!$B$56)/12,Loyalty,2)*$F$1*MAX(V255,0)</f>
        <v>18.557001321003963</v>
      </c>
      <c r="U256" s="75">
        <f>PARAM!$C$26+MAX($G$7-CHOOSE(PARAM!$B$44,MAX(0,V255*$F$1),0),0)*RATES!$L232/12+$H$7*(PARAM!$D$51/12)*RATES!$N232/100</f>
        <v>16.920874642491633</v>
      </c>
      <c r="V256" s="16">
        <f t="shared" si="159"/>
        <v>673.87898533380917</v>
      </c>
      <c r="W256" s="15">
        <f t="shared" si="134"/>
        <v>22.170849845882874</v>
      </c>
      <c r="X256" s="75">
        <f>W256*(1-PARAM!$C$27)*$I$8+(MOD($B256,60)=PARAM!$B$56)*($B256&gt;(60-PARAM!$B$56))*HLOOKUP(($B256+PARAM!$B$56)/12,Loyalty,2)*$F$1*MAX(Z255,0)</f>
        <v>18.557001321003963</v>
      </c>
      <c r="Y256" s="75">
        <f>PARAM!$C$26+MAX($G$8-CHOOSE(PARAM!$B$44,MAX(0,Z255*$F$1),0),0)*RATES!$L232/12+$H$8*(PARAM!$D$51/12)*RATES!$N232/100</f>
        <v>16.920874642491633</v>
      </c>
      <c r="Z256" s="16">
        <f t="shared" si="160"/>
        <v>673.87898533380917</v>
      </c>
      <c r="AA256" s="15">
        <f t="shared" si="135"/>
        <v>22.170849845882874</v>
      </c>
      <c r="AB256" s="75">
        <f>AA256*(1-PARAM!$C$27)*$I$9+(MOD($B256,60)=PARAM!$B$56)*($B256&gt;(60-PARAM!$B$56))*HLOOKUP(($B256+PARAM!$B$56)/12,Loyalty,2)*$F$1*MAX(AD255,0)</f>
        <v>18.557001321003963</v>
      </c>
      <c r="AC256" s="75">
        <f>PARAM!$C$26+MAX($G$9-CHOOSE(PARAM!$B$44,MAX(0,AD255*$F$1),0),0)*RATES!$L232/12+$H$9*(PARAM!$D$51/12)*RATES!$N232/100</f>
        <v>16.920874642491633</v>
      </c>
      <c r="AD256" s="16">
        <f t="shared" si="161"/>
        <v>673.87898533380917</v>
      </c>
      <c r="AE256" s="15">
        <f t="shared" si="136"/>
        <v>22.170849845882874</v>
      </c>
      <c r="AF256" s="75">
        <f>AE256*(1-PARAM!$C$27)*$I$10+(MOD($B256,60)=PARAM!$B$56)*($B256&gt;(60-PARAM!$B$56))*HLOOKUP(($B256+PARAM!$B$56)/12,Loyalty,2)*$F$1*MAX(AH255,0)</f>
        <v>18.557001321003963</v>
      </c>
      <c r="AG256" s="75">
        <f>PARAM!$C$26+MAX($G$10-CHOOSE(PARAM!$B$44,MAX(0,AH255*$F$1),0),0)*RATES!$L232/12+$H$10*(PARAM!$D$51/12)*RATES!$N232/100</f>
        <v>16.920874642491633</v>
      </c>
      <c r="AH256" s="16">
        <f t="shared" si="162"/>
        <v>673.87898533380917</v>
      </c>
      <c r="AI256" s="15">
        <f t="shared" si="137"/>
        <v>22.170849845882874</v>
      </c>
      <c r="AJ256" s="75">
        <f>AI256*(1-PARAM!$C$27)*$I$11+(MOD($B256,60)=PARAM!$B$56)*($B256&gt;(60-PARAM!$B$56))*HLOOKUP(($B256+PARAM!$B$56)/12,Loyalty,2)*$F$1*MAX(AL255,0)</f>
        <v>18.557001321003963</v>
      </c>
      <c r="AK256" s="75">
        <f>PARAM!$C$26+MAX($G$11-CHOOSE(PARAM!$B$44,MAX(0,AL255*$F$1),0),0)*RATES!$L232/12+$H$11*(PARAM!$D$51/12)*RATES!$N232/100</f>
        <v>16.920874642491633</v>
      </c>
      <c r="AL256" s="16">
        <f t="shared" si="163"/>
        <v>673.87898533380917</v>
      </c>
      <c r="AM256" s="15">
        <f t="shared" si="138"/>
        <v>22.170849845882874</v>
      </c>
      <c r="AN256" s="75">
        <f>AM256*(1-PARAM!$C$27)*$I$12+(MOD($B256,60)=PARAM!$B$56)*($B256&gt;(60-PARAM!$B$56))*HLOOKUP(($B256+PARAM!$B$56)/12,Loyalty,2)*$F$1*MAX(AP255,0)</f>
        <v>18.557001321003963</v>
      </c>
      <c r="AO256" s="75">
        <f>PARAM!$C$26+MAX($G$12-CHOOSE(PARAM!$B$44,MAX(0,AP255*$F$1),0),0)*RATES!$L232/12+$H$12*(PARAM!$D$51/12)*RATES!$N232/100</f>
        <v>16.920874642491633</v>
      </c>
      <c r="AP256" s="16">
        <f t="shared" si="164"/>
        <v>673.87898533380917</v>
      </c>
      <c r="AQ256" s="15">
        <f t="shared" si="139"/>
        <v>22.170849845882874</v>
      </c>
      <c r="AR256" s="75">
        <f>AQ256*(1-PARAM!$C$27)*$I$13+(MOD($B256,60)=PARAM!$B$56)*($B256&gt;(60-PARAM!$B$56))*HLOOKUP(($B256+PARAM!$B$56)/12,Loyalty,2)*$F$1*MAX(AT255,0)</f>
        <v>18.557001321003963</v>
      </c>
      <c r="AS256" s="75">
        <f>PARAM!$C$26+MAX($G$13-CHOOSE(PARAM!$B$44,MAX(0,AT255*$F$1),0),0)*RATES!$L232/12+$H$13*(PARAM!$D$51/12)*RATES!$N232/100</f>
        <v>16.920874642491633</v>
      </c>
      <c r="AT256" s="16">
        <f t="shared" si="165"/>
        <v>673.87898533380917</v>
      </c>
      <c r="AU256" s="15">
        <f t="shared" si="140"/>
        <v>22.170849845882874</v>
      </c>
      <c r="AV256" s="75">
        <f>AU256*(1-PARAM!$C$27)*$I$14+(MOD($B256,60)=PARAM!$B$56)*($B256&gt;(60-PARAM!$B$56))*HLOOKUP(($B256+PARAM!$B$56)/12,Loyalty,2)*$F$1*MAX(AX255,0)</f>
        <v>18.557001321003963</v>
      </c>
      <c r="AW256" s="75">
        <f>PARAM!$C$26+MAX($G$14-CHOOSE(PARAM!$B$44,MAX(0,AX255*$F$1),0),0)*RATES!$L232/12+$H$14*(PARAM!$D$51/12)*RATES!$N232/100</f>
        <v>16.920874642491633</v>
      </c>
      <c r="AX256" s="16">
        <f t="shared" si="166"/>
        <v>673.87898533380917</v>
      </c>
      <c r="AY256" s="15">
        <f t="shared" si="141"/>
        <v>22.170849845882874</v>
      </c>
      <c r="AZ256" s="75">
        <f>AY256*(1-PARAM!$C$27)*$I$15+(MOD($B256,60)=PARAM!$B$56)*($B256&gt;(60-PARAM!$B$56))*HLOOKUP(($B256+PARAM!$B$56)/12,Loyalty,2)*$F$1*MAX(BB255,0)</f>
        <v>18.557001321003963</v>
      </c>
      <c r="BA256" s="75">
        <f>PARAM!$C$26+MAX($G$15-CHOOSE(PARAM!$B$44,MAX(0,BB255*$F$1),0),0)*RATES!$L232/12+$H$15*(PARAM!$D$51/12)*RATES!$N232/100</f>
        <v>16.920874642491633</v>
      </c>
      <c r="BB256" s="16">
        <f t="shared" si="167"/>
        <v>673.87898533380917</v>
      </c>
      <c r="BC256" s="15">
        <f t="shared" si="142"/>
        <v>22.170849845882874</v>
      </c>
      <c r="BD256" s="75">
        <f>BC256*(1-PARAM!$C$27)*$I$16+(MOD($B256,60)=PARAM!$B$56)*($B256&gt;(60-PARAM!$B$56))*HLOOKUP(($B256+PARAM!$B$56)/12,Loyalty,2)*$F$1*MAX(BF255,0)</f>
        <v>18.557001321003963</v>
      </c>
      <c r="BE256" s="75">
        <f>PARAM!$C$26+MAX($G$16-CHOOSE(PARAM!$B$44,MAX(0,BF255*$F$1),0),0)*RATES!$L232/12+$H$16*(PARAM!$D$51/12)*RATES!$N232/100</f>
        <v>16.920874642491633</v>
      </c>
      <c r="BF256" s="16">
        <f t="shared" si="168"/>
        <v>673.87898533380917</v>
      </c>
      <c r="BG256" s="15">
        <f t="shared" si="143"/>
        <v>22.170849845882874</v>
      </c>
      <c r="BH256" s="75">
        <f>BG256*(1-PARAM!$C$27)*$I$17+(MOD($B256,60)=PARAM!$B$56)*($B256&gt;(60-PARAM!$B$56))*HLOOKUP(($B256+PARAM!$B$56)/12,Loyalty,2)*$F$1*MAX(BJ255,0)</f>
        <v>18.557001321003963</v>
      </c>
      <c r="BI256" s="75">
        <f>PARAM!$C$26+MAX($G$17-CHOOSE(PARAM!$B$44,MAX(0,BJ255*$F$1),0),0)*RATES!$L232/12+$H$17*(PARAM!$D$51/12)*RATES!$N232/100</f>
        <v>16.920874642491633</v>
      </c>
      <c r="BJ256" s="16">
        <f t="shared" si="169"/>
        <v>673.87898533380917</v>
      </c>
      <c r="BK256" s="15">
        <f t="shared" si="144"/>
        <v>22.170849845882874</v>
      </c>
      <c r="BL256" s="75">
        <f>BK256*(1-PARAM!$C$27)*$I$18+(MOD($B256,60)=PARAM!$B$56)*($B256&gt;(60-PARAM!$B$56))*HLOOKUP(($B256+PARAM!$B$56)/12,Loyalty,2)*$F$1*MAX(BN255,0)</f>
        <v>18.557001321003963</v>
      </c>
      <c r="BM256" s="75">
        <f>PARAM!$C$26+MAX($G$18-CHOOSE(PARAM!$B$44,MAX(0,BN255*$F$1),0),0)*RATES!$L232/12+$H$18*(PARAM!$D$51/12)*RATES!$N232/100</f>
        <v>16.920874642491633</v>
      </c>
      <c r="BN256" s="16">
        <f t="shared" si="170"/>
        <v>673.87898533380917</v>
      </c>
      <c r="BO256" s="15">
        <f t="shared" si="145"/>
        <v>22.170849845882874</v>
      </c>
      <c r="BP256" s="75">
        <f>BO256*(1-PARAM!$C$27)*$I$19+(MOD($B256,60)=PARAM!$B$56)*($B256&gt;(60-PARAM!$B$56))*HLOOKUP(($B256+PARAM!$B$56)/12,Loyalty,2)*$F$1*MAX(BR255,0)</f>
        <v>18.557001321003963</v>
      </c>
      <c r="BQ256" s="75">
        <f>PARAM!$C$26+MAX($G$19-CHOOSE(PARAM!$B$44,MAX(0,BR255*$F$1),0),0)*RATES!$L232/12+$H$19*(PARAM!$D$51/12)*RATES!$N232/100</f>
        <v>16.920874642491633</v>
      </c>
      <c r="BR256" s="16">
        <f t="shared" si="171"/>
        <v>673.87898533380917</v>
      </c>
      <c r="BS256" s="15">
        <f t="shared" si="146"/>
        <v>22.170849845882874</v>
      </c>
      <c r="BT256" s="75">
        <f>BS256*(1-PARAM!$C$27)*$I$20+(MOD($B256,60)=PARAM!$B$56)*($B256&gt;(60-PARAM!$B$56))*HLOOKUP(($B256+PARAM!$B$56)/12,Loyalty,2)*$F$1*MAX(BV255,0)</f>
        <v>18.557001321003963</v>
      </c>
      <c r="BU256" s="75">
        <f>PARAM!$C$26+MAX($G$20-CHOOSE(PARAM!$B$44,MAX(0,BV255*$F$1),0),0)*RATES!$L232/12+$H$20*(PARAM!$D$51/12)*RATES!$N232/100</f>
        <v>16.920874642491633</v>
      </c>
      <c r="BV256" s="16">
        <f t="shared" si="172"/>
        <v>673.87898533380917</v>
      </c>
      <c r="BW256" s="15">
        <f t="shared" si="147"/>
        <v>22.170849845882874</v>
      </c>
      <c r="BX256" s="75">
        <f>BW256*(1-PARAM!$C$27)*$I$21+(MOD($B256,60)=PARAM!$B$56)*($B256&gt;(60-PARAM!$B$56))*HLOOKUP(($B256+PARAM!$B$56)/12,Loyalty,2)*$F$1*MAX(BZ255,0)</f>
        <v>18.557001321003963</v>
      </c>
      <c r="BY256" s="75">
        <f>PARAM!$C$26+MAX($G$21-CHOOSE(PARAM!$B$44,MAX(0,BZ255*$F$1),0),0)*RATES!$L232/12+$H$21*(PARAM!$D$51/12)*RATES!$N232/100</f>
        <v>16.920874642491633</v>
      </c>
      <c r="BZ256" s="16">
        <f t="shared" si="173"/>
        <v>673.87898533380917</v>
      </c>
      <c r="CA256" s="15">
        <f t="shared" si="148"/>
        <v>22.170849845882874</v>
      </c>
      <c r="CB256" s="75">
        <f>CA256*(1-PARAM!$C$27)*$I$22+(MOD($B256,60)=PARAM!$B$56)*($B256&gt;(60-PARAM!$B$56))*HLOOKUP(($B256+PARAM!$B$56)/12,Loyalty,2)*$F$1*MAX(CD255,0)</f>
        <v>18.557001321003963</v>
      </c>
      <c r="CC256" s="75">
        <f>PARAM!$C$26+MAX($G$22-CHOOSE(PARAM!$B$44,MAX(0,CD255*$F$1),0),0)*RATES!$L232/12+$H$22*(PARAM!$D$51/12)*RATES!$N232/100</f>
        <v>16.920874642491633</v>
      </c>
      <c r="CD256" s="16">
        <f t="shared" si="174"/>
        <v>673.87898533380917</v>
      </c>
      <c r="CE256" s="33">
        <f>IF(0=MOD(B256,12/PARAM!$D$51),1,0)</f>
        <v>1</v>
      </c>
      <c r="CF256" s="15">
        <f t="shared" si="149"/>
        <v>0</v>
      </c>
      <c r="CG256" s="75">
        <f>CF256*(1-PARAM!$C$27)*$R$3+(MOD($B256/12,5)=0)*($B256&gt;60)*HLOOKUP($B256/12,Loyalty,2)*$F$1*MAX(CI255,0)</f>
        <v>0</v>
      </c>
      <c r="CH256" s="75">
        <f>PARAM!$C$26+MAX($P$3-CHOOSE(PARAM!$B$44,MAX(0,CI255*$F$1),0),0)*RATES!$L232/12+$Q$3*(PARAM!$D$51/12)*RATES!$N232/100</f>
        <v>17.083333333333336</v>
      </c>
      <c r="CI256" s="16">
        <f>IF(CI255&gt;0,CI255*PARAM!$C$53,CI255)+CG256-CH256</f>
        <v>-3403.1666666666629</v>
      </c>
      <c r="CJ256" s="15">
        <f t="shared" si="175"/>
        <v>0</v>
      </c>
      <c r="CK256" s="75">
        <f>CJ256*(1-PARAM!$C$27)*$R$4+(MOD($B256/12,5)=0)*($B256&gt;60)*HLOOKUP($B256/12,Loyalty,2)*$F$1*MAX(CM255,0)</f>
        <v>0</v>
      </c>
      <c r="CL256" s="75">
        <f>PARAM!$C$26+MAX($P$4-CHOOSE(PARAM!$B$44,MAX(0,CM255*$F$1),0),0)*RATES!$L232/12+$Q$4*(PARAM!$D$51/12)*RATES!$N232/100</f>
        <v>17.083333333333336</v>
      </c>
      <c r="CM256" s="16">
        <f>IF(CM255&gt;0,CM255*PARAM!$C$53,CM255)+CK256-CL256</f>
        <v>-3403.1666666666629</v>
      </c>
      <c r="CO256" s="176"/>
    </row>
    <row r="257" spans="1:93" x14ac:dyDescent="0.2">
      <c r="A257" t="b">
        <f t="shared" si="150"/>
        <v>1</v>
      </c>
      <c r="B257" s="33">
        <v>230</v>
      </c>
      <c r="C257" s="15">
        <f t="shared" si="151"/>
        <v>20.081305947392778</v>
      </c>
      <c r="D257" s="75">
        <f>C257*(1-PARAM!$C$27)*$I$3+(MOD($B257,60)=PARAM!$B$56)*($B257&gt;(60-PARAM!$B$56))*HLOOKUP(($B257+PARAM!$B$56)/12,Loyalty,2)*$F$1*MAX(F256,0)</f>
        <v>16.808053077967756</v>
      </c>
      <c r="E257" s="75">
        <f>PARAM!$C$26+MAX($G$3-CHOOSE(PARAM!$B$44,MAX(0,F256*$F$1),0),0)*RATES!$L233/12+$H$3*(PARAM!$D$51/12)*RATES!$N233/100</f>
        <v>17.016184667886222</v>
      </c>
      <c r="F257" s="16">
        <f t="shared" si="152"/>
        <v>277.64841508777795</v>
      </c>
      <c r="G257" s="15">
        <f t="shared" si="153"/>
        <v>22.035289406060361</v>
      </c>
      <c r="H257" s="75">
        <f>G257*(1-PARAM!$C$27)*$I$4+(MOD($B257,60)=PARAM!$B$56)*($B257&gt;(60-PARAM!$B$56))*HLOOKUP(($B257+PARAM!$B$56)/12,Loyalty,2)*$F$1*MAX(J256,0)</f>
        <v>18.443537232872522</v>
      </c>
      <c r="I257" s="75">
        <f>PARAM!$C$26+MAX($G$4-CHOOSE(PARAM!$B$44,MAX(0,J256*$F$1),0),0)*RATES!$L233/12+$H$4*(PARAM!$D$51/12)*RATES!$N233/100</f>
        <v>16.926691919282312</v>
      </c>
      <c r="J257" s="16">
        <f t="shared" si="154"/>
        <v>649.68821380057602</v>
      </c>
      <c r="K257" s="15">
        <f t="shared" si="155"/>
        <v>22.170849845882874</v>
      </c>
      <c r="L257" s="75">
        <f>K257*(1-PARAM!$C$27)*$I$5+(MOD($B257,60)=PARAM!$B$56)*($B257&gt;(60-PARAM!$B$56))*HLOOKUP(($B257+PARAM!$B$56)/12,Loyalty,2)*$F$1*MAX(N256,0)</f>
        <v>18.557001321003963</v>
      </c>
      <c r="M257" s="75">
        <f>PARAM!$C$26+MAX($G$5-CHOOSE(PARAM!$B$44,MAX(0,N256*$F$1),0),0)*RATES!$L233/12+$H$5*(PARAM!$D$51/12)*RATES!$N233/100</f>
        <v>16.920479245210998</v>
      </c>
      <c r="N257" s="16">
        <f t="shared" si="156"/>
        <v>675.51550740960215</v>
      </c>
      <c r="O257" s="15">
        <f t="shared" si="157"/>
        <v>22.170849845882874</v>
      </c>
      <c r="P257" s="75">
        <f>O257*(1-PARAM!$C$27)*$I$6+(MOD($B257,60)=PARAM!$B$56)*($B257&gt;(60-PARAM!$B$56))*HLOOKUP(($B257+PARAM!$B$56)/12,Loyalty,2)*$F$1*MAX(R256,0)</f>
        <v>18.557001321003963</v>
      </c>
      <c r="Q257" s="75">
        <f>PARAM!$C$26+MAX($G$6-CHOOSE(PARAM!$B$44,MAX(0,R256*$F$1),0),0)*RATES!$L233/12+$H$6*(PARAM!$D$51/12)*RATES!$N233/100</f>
        <v>16.920479245210998</v>
      </c>
      <c r="R257" s="16">
        <f t="shared" si="158"/>
        <v>675.51550740960215</v>
      </c>
      <c r="S257" s="15">
        <f t="shared" si="133"/>
        <v>22.170849845882874</v>
      </c>
      <c r="T257" s="75">
        <f>S257*(1-PARAM!$C$27)*$I$7+(MOD($B257,60)=PARAM!$B$56)*($B257&gt;(60-PARAM!$B$56))*HLOOKUP(($B257+PARAM!$B$56)/12,Loyalty,2)*$F$1*MAX(V256,0)</f>
        <v>18.557001321003963</v>
      </c>
      <c r="U257" s="75">
        <f>PARAM!$C$26+MAX($G$7-CHOOSE(PARAM!$B$44,MAX(0,V256*$F$1),0),0)*RATES!$L233/12+$H$7*(PARAM!$D$51/12)*RATES!$N233/100</f>
        <v>16.920479245210998</v>
      </c>
      <c r="V257" s="16">
        <f t="shared" si="159"/>
        <v>675.51550740960215</v>
      </c>
      <c r="W257" s="15">
        <f t="shared" si="134"/>
        <v>22.170849845882874</v>
      </c>
      <c r="X257" s="75">
        <f>W257*(1-PARAM!$C$27)*$I$8+(MOD($B257,60)=PARAM!$B$56)*($B257&gt;(60-PARAM!$B$56))*HLOOKUP(($B257+PARAM!$B$56)/12,Loyalty,2)*$F$1*MAX(Z256,0)</f>
        <v>18.557001321003963</v>
      </c>
      <c r="Y257" s="75">
        <f>PARAM!$C$26+MAX($G$8-CHOOSE(PARAM!$B$44,MAX(0,Z256*$F$1),0),0)*RATES!$L233/12+$H$8*(PARAM!$D$51/12)*RATES!$N233/100</f>
        <v>16.920479245210998</v>
      </c>
      <c r="Z257" s="16">
        <f t="shared" si="160"/>
        <v>675.51550740960215</v>
      </c>
      <c r="AA257" s="15">
        <f t="shared" si="135"/>
        <v>22.170849845882874</v>
      </c>
      <c r="AB257" s="75">
        <f>AA257*(1-PARAM!$C$27)*$I$9+(MOD($B257,60)=PARAM!$B$56)*($B257&gt;(60-PARAM!$B$56))*HLOOKUP(($B257+PARAM!$B$56)/12,Loyalty,2)*$F$1*MAX(AD256,0)</f>
        <v>18.557001321003963</v>
      </c>
      <c r="AC257" s="75">
        <f>PARAM!$C$26+MAX($G$9-CHOOSE(PARAM!$B$44,MAX(0,AD256*$F$1),0),0)*RATES!$L233/12+$H$9*(PARAM!$D$51/12)*RATES!$N233/100</f>
        <v>16.920479245210998</v>
      </c>
      <c r="AD257" s="16">
        <f t="shared" si="161"/>
        <v>675.51550740960215</v>
      </c>
      <c r="AE257" s="15">
        <f t="shared" si="136"/>
        <v>22.170849845882874</v>
      </c>
      <c r="AF257" s="75">
        <f>AE257*(1-PARAM!$C$27)*$I$10+(MOD($B257,60)=PARAM!$B$56)*($B257&gt;(60-PARAM!$B$56))*HLOOKUP(($B257+PARAM!$B$56)/12,Loyalty,2)*$F$1*MAX(AH256,0)</f>
        <v>18.557001321003963</v>
      </c>
      <c r="AG257" s="75">
        <f>PARAM!$C$26+MAX($G$10-CHOOSE(PARAM!$B$44,MAX(0,AH256*$F$1),0),0)*RATES!$L233/12+$H$10*(PARAM!$D$51/12)*RATES!$N233/100</f>
        <v>16.920479245210998</v>
      </c>
      <c r="AH257" s="16">
        <f t="shared" si="162"/>
        <v>675.51550740960215</v>
      </c>
      <c r="AI257" s="15">
        <f t="shared" si="137"/>
        <v>22.170849845882874</v>
      </c>
      <c r="AJ257" s="75">
        <f>AI257*(1-PARAM!$C$27)*$I$11+(MOD($B257,60)=PARAM!$B$56)*($B257&gt;(60-PARAM!$B$56))*HLOOKUP(($B257+PARAM!$B$56)/12,Loyalty,2)*$F$1*MAX(AL256,0)</f>
        <v>18.557001321003963</v>
      </c>
      <c r="AK257" s="75">
        <f>PARAM!$C$26+MAX($G$11-CHOOSE(PARAM!$B$44,MAX(0,AL256*$F$1),0),0)*RATES!$L233/12+$H$11*(PARAM!$D$51/12)*RATES!$N233/100</f>
        <v>16.920479245210998</v>
      </c>
      <c r="AL257" s="16">
        <f t="shared" si="163"/>
        <v>675.51550740960215</v>
      </c>
      <c r="AM257" s="15">
        <f t="shared" si="138"/>
        <v>22.170849845882874</v>
      </c>
      <c r="AN257" s="75">
        <f>AM257*(1-PARAM!$C$27)*$I$12+(MOD($B257,60)=PARAM!$B$56)*($B257&gt;(60-PARAM!$B$56))*HLOOKUP(($B257+PARAM!$B$56)/12,Loyalty,2)*$F$1*MAX(AP256,0)</f>
        <v>18.557001321003963</v>
      </c>
      <c r="AO257" s="75">
        <f>PARAM!$C$26+MAX($G$12-CHOOSE(PARAM!$B$44,MAX(0,AP256*$F$1),0),0)*RATES!$L233/12+$H$12*(PARAM!$D$51/12)*RATES!$N233/100</f>
        <v>16.920479245210998</v>
      </c>
      <c r="AP257" s="16">
        <f t="shared" si="164"/>
        <v>675.51550740960215</v>
      </c>
      <c r="AQ257" s="15">
        <f t="shared" si="139"/>
        <v>22.170849845882874</v>
      </c>
      <c r="AR257" s="75">
        <f>AQ257*(1-PARAM!$C$27)*$I$13+(MOD($B257,60)=PARAM!$B$56)*($B257&gt;(60-PARAM!$B$56))*HLOOKUP(($B257+PARAM!$B$56)/12,Loyalty,2)*$F$1*MAX(AT256,0)</f>
        <v>18.557001321003963</v>
      </c>
      <c r="AS257" s="75">
        <f>PARAM!$C$26+MAX($G$13-CHOOSE(PARAM!$B$44,MAX(0,AT256*$F$1),0),0)*RATES!$L233/12+$H$13*(PARAM!$D$51/12)*RATES!$N233/100</f>
        <v>16.920479245210998</v>
      </c>
      <c r="AT257" s="16">
        <f t="shared" si="165"/>
        <v>675.51550740960215</v>
      </c>
      <c r="AU257" s="15">
        <f t="shared" si="140"/>
        <v>22.170849845882874</v>
      </c>
      <c r="AV257" s="75">
        <f>AU257*(1-PARAM!$C$27)*$I$14+(MOD($B257,60)=PARAM!$B$56)*($B257&gt;(60-PARAM!$B$56))*HLOOKUP(($B257+PARAM!$B$56)/12,Loyalty,2)*$F$1*MAX(AX256,0)</f>
        <v>18.557001321003963</v>
      </c>
      <c r="AW257" s="75">
        <f>PARAM!$C$26+MAX($G$14-CHOOSE(PARAM!$B$44,MAX(0,AX256*$F$1),0),0)*RATES!$L233/12+$H$14*(PARAM!$D$51/12)*RATES!$N233/100</f>
        <v>16.920479245210998</v>
      </c>
      <c r="AX257" s="16">
        <f t="shared" si="166"/>
        <v>675.51550740960215</v>
      </c>
      <c r="AY257" s="15">
        <f t="shared" si="141"/>
        <v>22.170849845882874</v>
      </c>
      <c r="AZ257" s="75">
        <f>AY257*(1-PARAM!$C$27)*$I$15+(MOD($B257,60)=PARAM!$B$56)*($B257&gt;(60-PARAM!$B$56))*HLOOKUP(($B257+PARAM!$B$56)/12,Loyalty,2)*$F$1*MAX(BB256,0)</f>
        <v>18.557001321003963</v>
      </c>
      <c r="BA257" s="75">
        <f>PARAM!$C$26+MAX($G$15-CHOOSE(PARAM!$B$44,MAX(0,BB256*$F$1),0),0)*RATES!$L233/12+$H$15*(PARAM!$D$51/12)*RATES!$N233/100</f>
        <v>16.920479245210998</v>
      </c>
      <c r="BB257" s="16">
        <f t="shared" si="167"/>
        <v>675.51550740960215</v>
      </c>
      <c r="BC257" s="15">
        <f t="shared" si="142"/>
        <v>22.170849845882874</v>
      </c>
      <c r="BD257" s="75">
        <f>BC257*(1-PARAM!$C$27)*$I$16+(MOD($B257,60)=PARAM!$B$56)*($B257&gt;(60-PARAM!$B$56))*HLOOKUP(($B257+PARAM!$B$56)/12,Loyalty,2)*$F$1*MAX(BF256,0)</f>
        <v>18.557001321003963</v>
      </c>
      <c r="BE257" s="75">
        <f>PARAM!$C$26+MAX($G$16-CHOOSE(PARAM!$B$44,MAX(0,BF256*$F$1),0),0)*RATES!$L233/12+$H$16*(PARAM!$D$51/12)*RATES!$N233/100</f>
        <v>16.920479245210998</v>
      </c>
      <c r="BF257" s="16">
        <f t="shared" si="168"/>
        <v>675.51550740960215</v>
      </c>
      <c r="BG257" s="15">
        <f t="shared" si="143"/>
        <v>22.170849845882874</v>
      </c>
      <c r="BH257" s="75">
        <f>BG257*(1-PARAM!$C$27)*$I$17+(MOD($B257,60)=PARAM!$B$56)*($B257&gt;(60-PARAM!$B$56))*HLOOKUP(($B257+PARAM!$B$56)/12,Loyalty,2)*$F$1*MAX(BJ256,0)</f>
        <v>18.557001321003963</v>
      </c>
      <c r="BI257" s="75">
        <f>PARAM!$C$26+MAX($G$17-CHOOSE(PARAM!$B$44,MAX(0,BJ256*$F$1),0),0)*RATES!$L233/12+$H$17*(PARAM!$D$51/12)*RATES!$N233/100</f>
        <v>16.920479245210998</v>
      </c>
      <c r="BJ257" s="16">
        <f t="shared" si="169"/>
        <v>675.51550740960215</v>
      </c>
      <c r="BK257" s="15">
        <f t="shared" si="144"/>
        <v>22.170849845882874</v>
      </c>
      <c r="BL257" s="75">
        <f>BK257*(1-PARAM!$C$27)*$I$18+(MOD($B257,60)=PARAM!$B$56)*($B257&gt;(60-PARAM!$B$56))*HLOOKUP(($B257+PARAM!$B$56)/12,Loyalty,2)*$F$1*MAX(BN256,0)</f>
        <v>18.557001321003963</v>
      </c>
      <c r="BM257" s="75">
        <f>PARAM!$C$26+MAX($G$18-CHOOSE(PARAM!$B$44,MAX(0,BN256*$F$1),0),0)*RATES!$L233/12+$H$18*(PARAM!$D$51/12)*RATES!$N233/100</f>
        <v>16.920479245210998</v>
      </c>
      <c r="BN257" s="16">
        <f t="shared" si="170"/>
        <v>675.51550740960215</v>
      </c>
      <c r="BO257" s="15">
        <f t="shared" si="145"/>
        <v>22.170849845882874</v>
      </c>
      <c r="BP257" s="75">
        <f>BO257*(1-PARAM!$C$27)*$I$19+(MOD($B257,60)=PARAM!$B$56)*($B257&gt;(60-PARAM!$B$56))*HLOOKUP(($B257+PARAM!$B$56)/12,Loyalty,2)*$F$1*MAX(BR256,0)</f>
        <v>18.557001321003963</v>
      </c>
      <c r="BQ257" s="75">
        <f>PARAM!$C$26+MAX($G$19-CHOOSE(PARAM!$B$44,MAX(0,BR256*$F$1),0),0)*RATES!$L233/12+$H$19*(PARAM!$D$51/12)*RATES!$N233/100</f>
        <v>16.920479245210998</v>
      </c>
      <c r="BR257" s="16">
        <f t="shared" si="171"/>
        <v>675.51550740960215</v>
      </c>
      <c r="BS257" s="15">
        <f t="shared" si="146"/>
        <v>22.170849845882874</v>
      </c>
      <c r="BT257" s="75">
        <f>BS257*(1-PARAM!$C$27)*$I$20+(MOD($B257,60)=PARAM!$B$56)*($B257&gt;(60-PARAM!$B$56))*HLOOKUP(($B257+PARAM!$B$56)/12,Loyalty,2)*$F$1*MAX(BV256,0)</f>
        <v>18.557001321003963</v>
      </c>
      <c r="BU257" s="75">
        <f>PARAM!$C$26+MAX($G$20-CHOOSE(PARAM!$B$44,MAX(0,BV256*$F$1),0),0)*RATES!$L233/12+$H$20*(PARAM!$D$51/12)*RATES!$N233/100</f>
        <v>16.920479245210998</v>
      </c>
      <c r="BV257" s="16">
        <f t="shared" si="172"/>
        <v>675.51550740960215</v>
      </c>
      <c r="BW257" s="15">
        <f t="shared" si="147"/>
        <v>22.170849845882874</v>
      </c>
      <c r="BX257" s="75">
        <f>BW257*(1-PARAM!$C$27)*$I$21+(MOD($B257,60)=PARAM!$B$56)*($B257&gt;(60-PARAM!$B$56))*HLOOKUP(($B257+PARAM!$B$56)/12,Loyalty,2)*$F$1*MAX(BZ256,0)</f>
        <v>18.557001321003963</v>
      </c>
      <c r="BY257" s="75">
        <f>PARAM!$C$26+MAX($G$21-CHOOSE(PARAM!$B$44,MAX(0,BZ256*$F$1),0),0)*RATES!$L233/12+$H$21*(PARAM!$D$51/12)*RATES!$N233/100</f>
        <v>16.920479245210998</v>
      </c>
      <c r="BZ257" s="16">
        <f t="shared" si="173"/>
        <v>675.51550740960215</v>
      </c>
      <c r="CA257" s="15">
        <f t="shared" si="148"/>
        <v>22.170849845882874</v>
      </c>
      <c r="CB257" s="75">
        <f>CA257*(1-PARAM!$C$27)*$I$22+(MOD($B257,60)=PARAM!$B$56)*($B257&gt;(60-PARAM!$B$56))*HLOOKUP(($B257+PARAM!$B$56)/12,Loyalty,2)*$F$1*MAX(CD256,0)</f>
        <v>18.557001321003963</v>
      </c>
      <c r="CC257" s="75">
        <f>PARAM!$C$26+MAX($G$22-CHOOSE(PARAM!$B$44,MAX(0,CD256*$F$1),0),0)*RATES!$L233/12+$H$22*(PARAM!$D$51/12)*RATES!$N233/100</f>
        <v>16.920479245210998</v>
      </c>
      <c r="CD257" s="16">
        <f t="shared" si="174"/>
        <v>675.51550740960215</v>
      </c>
      <c r="CE257" s="33">
        <f>IF(0=MOD(B257,12/PARAM!$D$51),1,0)</f>
        <v>1</v>
      </c>
      <c r="CF257" s="15">
        <f t="shared" si="149"/>
        <v>0</v>
      </c>
      <c r="CG257" s="75">
        <f>CF257*(1-PARAM!$C$27)*$R$3+(MOD($B257/12,5)=0)*($B257&gt;60)*HLOOKUP($B257/12,Loyalty,2)*$F$1*MAX(CI256,0)</f>
        <v>0</v>
      </c>
      <c r="CH257" s="75">
        <f>PARAM!$C$26+MAX($P$3-CHOOSE(PARAM!$B$44,MAX(0,CI256*$F$1),0),0)*RATES!$L233/12+$Q$3*(PARAM!$D$51/12)*RATES!$N233/100</f>
        <v>17.083333333333336</v>
      </c>
      <c r="CI257" s="16">
        <f>IF(CI256&gt;0,CI256*PARAM!$C$53,CI256)+CG257-CH257</f>
        <v>-3420.2499999999964</v>
      </c>
      <c r="CJ257" s="15">
        <f t="shared" si="175"/>
        <v>0</v>
      </c>
      <c r="CK257" s="75">
        <f>CJ257*(1-PARAM!$C$27)*$R$4+(MOD($B257/12,5)=0)*($B257&gt;60)*HLOOKUP($B257/12,Loyalty,2)*$F$1*MAX(CM256,0)</f>
        <v>0</v>
      </c>
      <c r="CL257" s="75">
        <f>PARAM!$C$26+MAX($P$4-CHOOSE(PARAM!$B$44,MAX(0,CM256*$F$1),0),0)*RATES!$L233/12+$Q$4*(PARAM!$D$51/12)*RATES!$N233/100</f>
        <v>17.083333333333336</v>
      </c>
      <c r="CM257" s="16">
        <f>IF(CM256&gt;0,CM256*PARAM!$C$53,CM256)+CK257-CL257</f>
        <v>-3420.2499999999964</v>
      </c>
      <c r="CO257" s="176"/>
    </row>
    <row r="258" spans="1:93" x14ac:dyDescent="0.2">
      <c r="A258" t="b">
        <f t="shared" si="150"/>
        <v>1</v>
      </c>
      <c r="B258" s="33">
        <v>231</v>
      </c>
      <c r="C258" s="15">
        <f t="shared" si="151"/>
        <v>20.081305947392778</v>
      </c>
      <c r="D258" s="75">
        <f>C258*(1-PARAM!$C$27)*$I$3+(MOD($B258,60)=PARAM!$B$56)*($B258&gt;(60-PARAM!$B$56))*HLOOKUP(($B258+PARAM!$B$56)/12,Loyalty,2)*$F$1*MAX(F257,0)</f>
        <v>16.808053077967756</v>
      </c>
      <c r="E258" s="75">
        <f>PARAM!$C$26+MAX($G$3-CHOOSE(PARAM!$B$44,MAX(0,F257*$F$1),0),0)*RATES!$L234/12+$H$3*(PARAM!$D$51/12)*RATES!$N234/100</f>
        <v>17.016234966353785</v>
      </c>
      <c r="F258" s="16">
        <f t="shared" si="152"/>
        <v>277.44023319939191</v>
      </c>
      <c r="G258" s="15">
        <f t="shared" si="153"/>
        <v>22.035289406060361</v>
      </c>
      <c r="H258" s="75">
        <f>G258*(1-PARAM!$C$27)*$I$4+(MOD($B258,60)=PARAM!$B$56)*($B258&gt;(60-PARAM!$B$56))*HLOOKUP(($B258+PARAM!$B$56)/12,Loyalty,2)*$F$1*MAX(J257,0)</f>
        <v>18.443537232872522</v>
      </c>
      <c r="I258" s="75">
        <f>PARAM!$C$26+MAX($G$4-CHOOSE(PARAM!$B$44,MAX(0,J257*$F$1),0),0)*RATES!$L234/12+$H$4*(PARAM!$D$51/12)*RATES!$N234/100</f>
        <v>16.926325348331524</v>
      </c>
      <c r="J258" s="16">
        <f t="shared" si="154"/>
        <v>651.20542568511701</v>
      </c>
      <c r="K258" s="15">
        <f t="shared" si="155"/>
        <v>22.170849845882874</v>
      </c>
      <c r="L258" s="75">
        <f>K258*(1-PARAM!$C$27)*$I$5+(MOD($B258,60)=PARAM!$B$56)*($B258&gt;(60-PARAM!$B$56))*HLOOKUP(($B258+PARAM!$B$56)/12,Loyalty,2)*$F$1*MAX(N257,0)</f>
        <v>18.557001321003963</v>
      </c>
      <c r="M258" s="75">
        <f>PARAM!$C$26+MAX($G$5-CHOOSE(PARAM!$B$44,MAX(0,N257*$F$1),0),0)*RATES!$L234/12+$H$5*(PARAM!$D$51/12)*RATES!$N234/100</f>
        <v>16.920083752376009</v>
      </c>
      <c r="N258" s="16">
        <f t="shared" si="156"/>
        <v>677.1524249782301</v>
      </c>
      <c r="O258" s="15">
        <f t="shared" si="157"/>
        <v>22.170849845882874</v>
      </c>
      <c r="P258" s="75">
        <f>O258*(1-PARAM!$C$27)*$I$6+(MOD($B258,60)=PARAM!$B$56)*($B258&gt;(60-PARAM!$B$56))*HLOOKUP(($B258+PARAM!$B$56)/12,Loyalty,2)*$F$1*MAX(R257,0)</f>
        <v>18.557001321003963</v>
      </c>
      <c r="Q258" s="75">
        <f>PARAM!$C$26+MAX($G$6-CHOOSE(PARAM!$B$44,MAX(0,R257*$F$1),0),0)*RATES!$L234/12+$H$6*(PARAM!$D$51/12)*RATES!$N234/100</f>
        <v>16.920083752376009</v>
      </c>
      <c r="R258" s="16">
        <f t="shared" si="158"/>
        <v>677.1524249782301</v>
      </c>
      <c r="S258" s="15">
        <f t="shared" si="133"/>
        <v>22.170849845882874</v>
      </c>
      <c r="T258" s="75">
        <f>S258*(1-PARAM!$C$27)*$I$7+(MOD($B258,60)=PARAM!$B$56)*($B258&gt;(60-PARAM!$B$56))*HLOOKUP(($B258+PARAM!$B$56)/12,Loyalty,2)*$F$1*MAX(V257,0)</f>
        <v>18.557001321003963</v>
      </c>
      <c r="U258" s="75">
        <f>PARAM!$C$26+MAX($G$7-CHOOSE(PARAM!$B$44,MAX(0,V257*$F$1),0),0)*RATES!$L234/12+$H$7*(PARAM!$D$51/12)*RATES!$N234/100</f>
        <v>16.920083752376009</v>
      </c>
      <c r="V258" s="16">
        <f t="shared" si="159"/>
        <v>677.1524249782301</v>
      </c>
      <c r="W258" s="15">
        <f t="shared" si="134"/>
        <v>22.170849845882874</v>
      </c>
      <c r="X258" s="75">
        <f>W258*(1-PARAM!$C$27)*$I$8+(MOD($B258,60)=PARAM!$B$56)*($B258&gt;(60-PARAM!$B$56))*HLOOKUP(($B258+PARAM!$B$56)/12,Loyalty,2)*$F$1*MAX(Z257,0)</f>
        <v>18.557001321003963</v>
      </c>
      <c r="Y258" s="75">
        <f>PARAM!$C$26+MAX($G$8-CHOOSE(PARAM!$B$44,MAX(0,Z257*$F$1),0),0)*RATES!$L234/12+$H$8*(PARAM!$D$51/12)*RATES!$N234/100</f>
        <v>16.920083752376009</v>
      </c>
      <c r="Z258" s="16">
        <f t="shared" si="160"/>
        <v>677.1524249782301</v>
      </c>
      <c r="AA258" s="15">
        <f t="shared" si="135"/>
        <v>22.170849845882874</v>
      </c>
      <c r="AB258" s="75">
        <f>AA258*(1-PARAM!$C$27)*$I$9+(MOD($B258,60)=PARAM!$B$56)*($B258&gt;(60-PARAM!$B$56))*HLOOKUP(($B258+PARAM!$B$56)/12,Loyalty,2)*$F$1*MAX(AD257,0)</f>
        <v>18.557001321003963</v>
      </c>
      <c r="AC258" s="75">
        <f>PARAM!$C$26+MAX($G$9-CHOOSE(PARAM!$B$44,MAX(0,AD257*$F$1),0),0)*RATES!$L234/12+$H$9*(PARAM!$D$51/12)*RATES!$N234/100</f>
        <v>16.920083752376009</v>
      </c>
      <c r="AD258" s="16">
        <f t="shared" si="161"/>
        <v>677.1524249782301</v>
      </c>
      <c r="AE258" s="15">
        <f t="shared" si="136"/>
        <v>22.170849845882874</v>
      </c>
      <c r="AF258" s="75">
        <f>AE258*(1-PARAM!$C$27)*$I$10+(MOD($B258,60)=PARAM!$B$56)*($B258&gt;(60-PARAM!$B$56))*HLOOKUP(($B258+PARAM!$B$56)/12,Loyalty,2)*$F$1*MAX(AH257,0)</f>
        <v>18.557001321003963</v>
      </c>
      <c r="AG258" s="75">
        <f>PARAM!$C$26+MAX($G$10-CHOOSE(PARAM!$B$44,MAX(0,AH257*$F$1),0),0)*RATES!$L234/12+$H$10*(PARAM!$D$51/12)*RATES!$N234/100</f>
        <v>16.920083752376009</v>
      </c>
      <c r="AH258" s="16">
        <f t="shared" si="162"/>
        <v>677.1524249782301</v>
      </c>
      <c r="AI258" s="15">
        <f t="shared" si="137"/>
        <v>22.170849845882874</v>
      </c>
      <c r="AJ258" s="75">
        <f>AI258*(1-PARAM!$C$27)*$I$11+(MOD($B258,60)=PARAM!$B$56)*($B258&gt;(60-PARAM!$B$56))*HLOOKUP(($B258+PARAM!$B$56)/12,Loyalty,2)*$F$1*MAX(AL257,0)</f>
        <v>18.557001321003963</v>
      </c>
      <c r="AK258" s="75">
        <f>PARAM!$C$26+MAX($G$11-CHOOSE(PARAM!$B$44,MAX(0,AL257*$F$1),0),0)*RATES!$L234/12+$H$11*(PARAM!$D$51/12)*RATES!$N234/100</f>
        <v>16.920083752376009</v>
      </c>
      <c r="AL258" s="16">
        <f t="shared" si="163"/>
        <v>677.1524249782301</v>
      </c>
      <c r="AM258" s="15">
        <f t="shared" si="138"/>
        <v>22.170849845882874</v>
      </c>
      <c r="AN258" s="75">
        <f>AM258*(1-PARAM!$C$27)*$I$12+(MOD($B258,60)=PARAM!$B$56)*($B258&gt;(60-PARAM!$B$56))*HLOOKUP(($B258+PARAM!$B$56)/12,Loyalty,2)*$F$1*MAX(AP257,0)</f>
        <v>18.557001321003963</v>
      </c>
      <c r="AO258" s="75">
        <f>PARAM!$C$26+MAX($G$12-CHOOSE(PARAM!$B$44,MAX(0,AP257*$F$1),0),0)*RATES!$L234/12+$H$12*(PARAM!$D$51/12)*RATES!$N234/100</f>
        <v>16.920083752376009</v>
      </c>
      <c r="AP258" s="16">
        <f t="shared" si="164"/>
        <v>677.1524249782301</v>
      </c>
      <c r="AQ258" s="15">
        <f t="shared" si="139"/>
        <v>22.170849845882874</v>
      </c>
      <c r="AR258" s="75">
        <f>AQ258*(1-PARAM!$C$27)*$I$13+(MOD($B258,60)=PARAM!$B$56)*($B258&gt;(60-PARAM!$B$56))*HLOOKUP(($B258+PARAM!$B$56)/12,Loyalty,2)*$F$1*MAX(AT257,0)</f>
        <v>18.557001321003963</v>
      </c>
      <c r="AS258" s="75">
        <f>PARAM!$C$26+MAX($G$13-CHOOSE(PARAM!$B$44,MAX(0,AT257*$F$1),0),0)*RATES!$L234/12+$H$13*(PARAM!$D$51/12)*RATES!$N234/100</f>
        <v>16.920083752376009</v>
      </c>
      <c r="AT258" s="16">
        <f t="shared" si="165"/>
        <v>677.1524249782301</v>
      </c>
      <c r="AU258" s="15">
        <f t="shared" si="140"/>
        <v>22.170849845882874</v>
      </c>
      <c r="AV258" s="75">
        <f>AU258*(1-PARAM!$C$27)*$I$14+(MOD($B258,60)=PARAM!$B$56)*($B258&gt;(60-PARAM!$B$56))*HLOOKUP(($B258+PARAM!$B$56)/12,Loyalty,2)*$F$1*MAX(AX257,0)</f>
        <v>18.557001321003963</v>
      </c>
      <c r="AW258" s="75">
        <f>PARAM!$C$26+MAX($G$14-CHOOSE(PARAM!$B$44,MAX(0,AX257*$F$1),0),0)*RATES!$L234/12+$H$14*(PARAM!$D$51/12)*RATES!$N234/100</f>
        <v>16.920083752376009</v>
      </c>
      <c r="AX258" s="16">
        <f t="shared" si="166"/>
        <v>677.1524249782301</v>
      </c>
      <c r="AY258" s="15">
        <f t="shared" si="141"/>
        <v>22.170849845882874</v>
      </c>
      <c r="AZ258" s="75">
        <f>AY258*(1-PARAM!$C$27)*$I$15+(MOD($B258,60)=PARAM!$B$56)*($B258&gt;(60-PARAM!$B$56))*HLOOKUP(($B258+PARAM!$B$56)/12,Loyalty,2)*$F$1*MAX(BB257,0)</f>
        <v>18.557001321003963</v>
      </c>
      <c r="BA258" s="75">
        <f>PARAM!$C$26+MAX($G$15-CHOOSE(PARAM!$B$44,MAX(0,BB257*$F$1),0),0)*RATES!$L234/12+$H$15*(PARAM!$D$51/12)*RATES!$N234/100</f>
        <v>16.920083752376009</v>
      </c>
      <c r="BB258" s="16">
        <f t="shared" si="167"/>
        <v>677.1524249782301</v>
      </c>
      <c r="BC258" s="15">
        <f t="shared" si="142"/>
        <v>22.170849845882874</v>
      </c>
      <c r="BD258" s="75">
        <f>BC258*(1-PARAM!$C$27)*$I$16+(MOD($B258,60)=PARAM!$B$56)*($B258&gt;(60-PARAM!$B$56))*HLOOKUP(($B258+PARAM!$B$56)/12,Loyalty,2)*$F$1*MAX(BF257,0)</f>
        <v>18.557001321003963</v>
      </c>
      <c r="BE258" s="75">
        <f>PARAM!$C$26+MAX($G$16-CHOOSE(PARAM!$B$44,MAX(0,BF257*$F$1),0),0)*RATES!$L234/12+$H$16*(PARAM!$D$51/12)*RATES!$N234/100</f>
        <v>16.920083752376009</v>
      </c>
      <c r="BF258" s="16">
        <f t="shared" si="168"/>
        <v>677.1524249782301</v>
      </c>
      <c r="BG258" s="15">
        <f t="shared" si="143"/>
        <v>22.170849845882874</v>
      </c>
      <c r="BH258" s="75">
        <f>BG258*(1-PARAM!$C$27)*$I$17+(MOD($B258,60)=PARAM!$B$56)*($B258&gt;(60-PARAM!$B$56))*HLOOKUP(($B258+PARAM!$B$56)/12,Loyalty,2)*$F$1*MAX(BJ257,0)</f>
        <v>18.557001321003963</v>
      </c>
      <c r="BI258" s="75">
        <f>PARAM!$C$26+MAX($G$17-CHOOSE(PARAM!$B$44,MAX(0,BJ257*$F$1),0),0)*RATES!$L234/12+$H$17*(PARAM!$D$51/12)*RATES!$N234/100</f>
        <v>16.920083752376009</v>
      </c>
      <c r="BJ258" s="16">
        <f t="shared" si="169"/>
        <v>677.1524249782301</v>
      </c>
      <c r="BK258" s="15">
        <f t="shared" si="144"/>
        <v>22.170849845882874</v>
      </c>
      <c r="BL258" s="75">
        <f>BK258*(1-PARAM!$C$27)*$I$18+(MOD($B258,60)=PARAM!$B$56)*($B258&gt;(60-PARAM!$B$56))*HLOOKUP(($B258+PARAM!$B$56)/12,Loyalty,2)*$F$1*MAX(BN257,0)</f>
        <v>18.557001321003963</v>
      </c>
      <c r="BM258" s="75">
        <f>PARAM!$C$26+MAX($G$18-CHOOSE(PARAM!$B$44,MAX(0,BN257*$F$1),0),0)*RATES!$L234/12+$H$18*(PARAM!$D$51/12)*RATES!$N234/100</f>
        <v>16.920083752376009</v>
      </c>
      <c r="BN258" s="16">
        <f t="shared" si="170"/>
        <v>677.1524249782301</v>
      </c>
      <c r="BO258" s="15">
        <f t="shared" si="145"/>
        <v>22.170849845882874</v>
      </c>
      <c r="BP258" s="75">
        <f>BO258*(1-PARAM!$C$27)*$I$19+(MOD($B258,60)=PARAM!$B$56)*($B258&gt;(60-PARAM!$B$56))*HLOOKUP(($B258+PARAM!$B$56)/12,Loyalty,2)*$F$1*MAX(BR257,0)</f>
        <v>18.557001321003963</v>
      </c>
      <c r="BQ258" s="75">
        <f>PARAM!$C$26+MAX($G$19-CHOOSE(PARAM!$B$44,MAX(0,BR257*$F$1),0),0)*RATES!$L234/12+$H$19*(PARAM!$D$51/12)*RATES!$N234/100</f>
        <v>16.920083752376009</v>
      </c>
      <c r="BR258" s="16">
        <f t="shared" si="171"/>
        <v>677.1524249782301</v>
      </c>
      <c r="BS258" s="15">
        <f t="shared" si="146"/>
        <v>22.170849845882874</v>
      </c>
      <c r="BT258" s="75">
        <f>BS258*(1-PARAM!$C$27)*$I$20+(MOD($B258,60)=PARAM!$B$56)*($B258&gt;(60-PARAM!$B$56))*HLOOKUP(($B258+PARAM!$B$56)/12,Loyalty,2)*$F$1*MAX(BV257,0)</f>
        <v>18.557001321003963</v>
      </c>
      <c r="BU258" s="75">
        <f>PARAM!$C$26+MAX($G$20-CHOOSE(PARAM!$B$44,MAX(0,BV257*$F$1),0),0)*RATES!$L234/12+$H$20*(PARAM!$D$51/12)*RATES!$N234/100</f>
        <v>16.920083752376009</v>
      </c>
      <c r="BV258" s="16">
        <f t="shared" si="172"/>
        <v>677.1524249782301</v>
      </c>
      <c r="BW258" s="15">
        <f t="shared" si="147"/>
        <v>22.170849845882874</v>
      </c>
      <c r="BX258" s="75">
        <f>BW258*(1-PARAM!$C$27)*$I$21+(MOD($B258,60)=PARAM!$B$56)*($B258&gt;(60-PARAM!$B$56))*HLOOKUP(($B258+PARAM!$B$56)/12,Loyalty,2)*$F$1*MAX(BZ257,0)</f>
        <v>18.557001321003963</v>
      </c>
      <c r="BY258" s="75">
        <f>PARAM!$C$26+MAX($G$21-CHOOSE(PARAM!$B$44,MAX(0,BZ257*$F$1),0),0)*RATES!$L234/12+$H$21*(PARAM!$D$51/12)*RATES!$N234/100</f>
        <v>16.920083752376009</v>
      </c>
      <c r="BZ258" s="16">
        <f t="shared" si="173"/>
        <v>677.1524249782301</v>
      </c>
      <c r="CA258" s="15">
        <f t="shared" si="148"/>
        <v>22.170849845882874</v>
      </c>
      <c r="CB258" s="75">
        <f>CA258*(1-PARAM!$C$27)*$I$22+(MOD($B258,60)=PARAM!$B$56)*($B258&gt;(60-PARAM!$B$56))*HLOOKUP(($B258+PARAM!$B$56)/12,Loyalty,2)*$F$1*MAX(CD257,0)</f>
        <v>18.557001321003963</v>
      </c>
      <c r="CC258" s="75">
        <f>PARAM!$C$26+MAX($G$22-CHOOSE(PARAM!$B$44,MAX(0,CD257*$F$1),0),0)*RATES!$L234/12+$H$22*(PARAM!$D$51/12)*RATES!$N234/100</f>
        <v>16.920083752376009</v>
      </c>
      <c r="CD258" s="16">
        <f t="shared" si="174"/>
        <v>677.1524249782301</v>
      </c>
      <c r="CE258" s="33">
        <f>IF(0=MOD(B258,12/PARAM!$D$51),1,0)</f>
        <v>1</v>
      </c>
      <c r="CF258" s="15">
        <f t="shared" si="149"/>
        <v>0</v>
      </c>
      <c r="CG258" s="75">
        <f>CF258*(1-PARAM!$C$27)*$R$3+(MOD($B258/12,5)=0)*($B258&gt;60)*HLOOKUP($B258/12,Loyalty,2)*$F$1*MAX(CI257,0)</f>
        <v>0</v>
      </c>
      <c r="CH258" s="75">
        <f>PARAM!$C$26+MAX($P$3-CHOOSE(PARAM!$B$44,MAX(0,CI257*$F$1),0),0)*RATES!$L234/12+$Q$3*(PARAM!$D$51/12)*RATES!$N234/100</f>
        <v>17.083333333333336</v>
      </c>
      <c r="CI258" s="16">
        <f>IF(CI257&gt;0,CI257*PARAM!$C$53,CI257)+CG258-CH258</f>
        <v>-3437.3333333333298</v>
      </c>
      <c r="CJ258" s="15">
        <f t="shared" si="175"/>
        <v>0</v>
      </c>
      <c r="CK258" s="75">
        <f>CJ258*(1-PARAM!$C$27)*$R$4+(MOD($B258/12,5)=0)*($B258&gt;60)*HLOOKUP($B258/12,Loyalty,2)*$F$1*MAX(CM257,0)</f>
        <v>0</v>
      </c>
      <c r="CL258" s="75">
        <f>PARAM!$C$26+MAX($P$4-CHOOSE(PARAM!$B$44,MAX(0,CM257*$F$1),0),0)*RATES!$L234/12+$Q$4*(PARAM!$D$51/12)*RATES!$N234/100</f>
        <v>17.083333333333336</v>
      </c>
      <c r="CM258" s="16">
        <f>IF(CM257&gt;0,CM257*PARAM!$C$53,CM257)+CK258-CL258</f>
        <v>-3437.3333333333298</v>
      </c>
      <c r="CO258" s="176"/>
    </row>
    <row r="259" spans="1:93" x14ac:dyDescent="0.2">
      <c r="A259" t="b">
        <f t="shared" si="150"/>
        <v>1</v>
      </c>
      <c r="B259" s="33">
        <v>232</v>
      </c>
      <c r="C259" s="15">
        <f t="shared" si="151"/>
        <v>20.081305947392778</v>
      </c>
      <c r="D259" s="75">
        <f>C259*(1-PARAM!$C$27)*$I$3+(MOD($B259,60)=PARAM!$B$56)*($B259&gt;(60-PARAM!$B$56))*HLOOKUP(($B259+PARAM!$B$56)/12,Loyalty,2)*$F$1*MAX(F258,0)</f>
        <v>16.808053077967756</v>
      </c>
      <c r="E259" s="75">
        <f>PARAM!$C$26+MAX($G$3-CHOOSE(PARAM!$B$44,MAX(0,F258*$F$1),0),0)*RATES!$L235/12+$H$3*(PARAM!$D$51/12)*RATES!$N235/100</f>
        <v>17.016285276976809</v>
      </c>
      <c r="F259" s="16">
        <f t="shared" si="152"/>
        <v>277.23200100038287</v>
      </c>
      <c r="G259" s="15">
        <f t="shared" si="153"/>
        <v>22.035289406060361</v>
      </c>
      <c r="H259" s="75">
        <f>G259*(1-PARAM!$C$27)*$I$4+(MOD($B259,60)=PARAM!$B$56)*($B259&gt;(60-PARAM!$B$56))*HLOOKUP(($B259+PARAM!$B$56)/12,Loyalty,2)*$F$1*MAX(J258,0)</f>
        <v>18.443537232872522</v>
      </c>
      <c r="I259" s="75">
        <f>PARAM!$C$26+MAX($G$4-CHOOSE(PARAM!$B$44,MAX(0,J258*$F$1),0),0)*RATES!$L235/12+$H$4*(PARAM!$D$51/12)*RATES!$N235/100</f>
        <v>16.925958688792761</v>
      </c>
      <c r="J259" s="16">
        <f t="shared" si="154"/>
        <v>652.7230042291967</v>
      </c>
      <c r="K259" s="15">
        <f t="shared" si="155"/>
        <v>22.170849845882874</v>
      </c>
      <c r="L259" s="75">
        <f>K259*(1-PARAM!$C$27)*$I$5+(MOD($B259,60)=PARAM!$B$56)*($B259&gt;(60-PARAM!$B$56))*HLOOKUP(($B259+PARAM!$B$56)/12,Loyalty,2)*$F$1*MAX(N258,0)</f>
        <v>18.557001321003963</v>
      </c>
      <c r="M259" s="75">
        <f>PARAM!$C$26+MAX($G$5-CHOOSE(PARAM!$B$44,MAX(0,N258*$F$1),0),0)*RATES!$L235/12+$H$5*(PARAM!$D$51/12)*RATES!$N235/100</f>
        <v>16.919688163963592</v>
      </c>
      <c r="N259" s="16">
        <f t="shared" si="156"/>
        <v>678.78973813527057</v>
      </c>
      <c r="O259" s="15">
        <f t="shared" si="157"/>
        <v>22.170849845882874</v>
      </c>
      <c r="P259" s="75">
        <f>O259*(1-PARAM!$C$27)*$I$6+(MOD($B259,60)=PARAM!$B$56)*($B259&gt;(60-PARAM!$B$56))*HLOOKUP(($B259+PARAM!$B$56)/12,Loyalty,2)*$F$1*MAX(R258,0)</f>
        <v>18.557001321003963</v>
      </c>
      <c r="Q259" s="75">
        <f>PARAM!$C$26+MAX($G$6-CHOOSE(PARAM!$B$44,MAX(0,R258*$F$1),0),0)*RATES!$L235/12+$H$6*(PARAM!$D$51/12)*RATES!$N235/100</f>
        <v>16.919688163963592</v>
      </c>
      <c r="R259" s="16">
        <f t="shared" si="158"/>
        <v>678.78973813527057</v>
      </c>
      <c r="S259" s="15">
        <f t="shared" si="133"/>
        <v>22.170849845882874</v>
      </c>
      <c r="T259" s="75">
        <f>S259*(1-PARAM!$C$27)*$I$7+(MOD($B259,60)=PARAM!$B$56)*($B259&gt;(60-PARAM!$B$56))*HLOOKUP(($B259+PARAM!$B$56)/12,Loyalty,2)*$F$1*MAX(V258,0)</f>
        <v>18.557001321003963</v>
      </c>
      <c r="U259" s="75">
        <f>PARAM!$C$26+MAX($G$7-CHOOSE(PARAM!$B$44,MAX(0,V258*$F$1),0),0)*RATES!$L235/12+$H$7*(PARAM!$D$51/12)*RATES!$N235/100</f>
        <v>16.919688163963592</v>
      </c>
      <c r="V259" s="16">
        <f t="shared" si="159"/>
        <v>678.78973813527057</v>
      </c>
      <c r="W259" s="15">
        <f t="shared" si="134"/>
        <v>22.170849845882874</v>
      </c>
      <c r="X259" s="75">
        <f>W259*(1-PARAM!$C$27)*$I$8+(MOD($B259,60)=PARAM!$B$56)*($B259&gt;(60-PARAM!$B$56))*HLOOKUP(($B259+PARAM!$B$56)/12,Loyalty,2)*$F$1*MAX(Z258,0)</f>
        <v>18.557001321003963</v>
      </c>
      <c r="Y259" s="75">
        <f>PARAM!$C$26+MAX($G$8-CHOOSE(PARAM!$B$44,MAX(0,Z258*$F$1),0),0)*RATES!$L235/12+$H$8*(PARAM!$D$51/12)*RATES!$N235/100</f>
        <v>16.919688163963592</v>
      </c>
      <c r="Z259" s="16">
        <f t="shared" si="160"/>
        <v>678.78973813527057</v>
      </c>
      <c r="AA259" s="15">
        <f t="shared" si="135"/>
        <v>22.170849845882874</v>
      </c>
      <c r="AB259" s="75">
        <f>AA259*(1-PARAM!$C$27)*$I$9+(MOD($B259,60)=PARAM!$B$56)*($B259&gt;(60-PARAM!$B$56))*HLOOKUP(($B259+PARAM!$B$56)/12,Loyalty,2)*$F$1*MAX(AD258,0)</f>
        <v>18.557001321003963</v>
      </c>
      <c r="AC259" s="75">
        <f>PARAM!$C$26+MAX($G$9-CHOOSE(PARAM!$B$44,MAX(0,AD258*$F$1),0),0)*RATES!$L235/12+$H$9*(PARAM!$D$51/12)*RATES!$N235/100</f>
        <v>16.919688163963592</v>
      </c>
      <c r="AD259" s="16">
        <f t="shared" si="161"/>
        <v>678.78973813527057</v>
      </c>
      <c r="AE259" s="15">
        <f t="shared" si="136"/>
        <v>22.170849845882874</v>
      </c>
      <c r="AF259" s="75">
        <f>AE259*(1-PARAM!$C$27)*$I$10+(MOD($B259,60)=PARAM!$B$56)*($B259&gt;(60-PARAM!$B$56))*HLOOKUP(($B259+PARAM!$B$56)/12,Loyalty,2)*$F$1*MAX(AH258,0)</f>
        <v>18.557001321003963</v>
      </c>
      <c r="AG259" s="75">
        <f>PARAM!$C$26+MAX($G$10-CHOOSE(PARAM!$B$44,MAX(0,AH258*$F$1),0),0)*RATES!$L235/12+$H$10*(PARAM!$D$51/12)*RATES!$N235/100</f>
        <v>16.919688163963592</v>
      </c>
      <c r="AH259" s="16">
        <f t="shared" si="162"/>
        <v>678.78973813527057</v>
      </c>
      <c r="AI259" s="15">
        <f t="shared" si="137"/>
        <v>22.170849845882874</v>
      </c>
      <c r="AJ259" s="75">
        <f>AI259*(1-PARAM!$C$27)*$I$11+(MOD($B259,60)=PARAM!$B$56)*($B259&gt;(60-PARAM!$B$56))*HLOOKUP(($B259+PARAM!$B$56)/12,Loyalty,2)*$F$1*MAX(AL258,0)</f>
        <v>18.557001321003963</v>
      </c>
      <c r="AK259" s="75">
        <f>PARAM!$C$26+MAX($G$11-CHOOSE(PARAM!$B$44,MAX(0,AL258*$F$1),0),0)*RATES!$L235/12+$H$11*(PARAM!$D$51/12)*RATES!$N235/100</f>
        <v>16.919688163963592</v>
      </c>
      <c r="AL259" s="16">
        <f t="shared" si="163"/>
        <v>678.78973813527057</v>
      </c>
      <c r="AM259" s="15">
        <f t="shared" si="138"/>
        <v>22.170849845882874</v>
      </c>
      <c r="AN259" s="75">
        <f>AM259*(1-PARAM!$C$27)*$I$12+(MOD($B259,60)=PARAM!$B$56)*($B259&gt;(60-PARAM!$B$56))*HLOOKUP(($B259+PARAM!$B$56)/12,Loyalty,2)*$F$1*MAX(AP258,0)</f>
        <v>18.557001321003963</v>
      </c>
      <c r="AO259" s="75">
        <f>PARAM!$C$26+MAX($G$12-CHOOSE(PARAM!$B$44,MAX(0,AP258*$F$1),0),0)*RATES!$L235/12+$H$12*(PARAM!$D$51/12)*RATES!$N235/100</f>
        <v>16.919688163963592</v>
      </c>
      <c r="AP259" s="16">
        <f t="shared" si="164"/>
        <v>678.78973813527057</v>
      </c>
      <c r="AQ259" s="15">
        <f t="shared" si="139"/>
        <v>22.170849845882874</v>
      </c>
      <c r="AR259" s="75">
        <f>AQ259*(1-PARAM!$C$27)*$I$13+(MOD($B259,60)=PARAM!$B$56)*($B259&gt;(60-PARAM!$B$56))*HLOOKUP(($B259+PARAM!$B$56)/12,Loyalty,2)*$F$1*MAX(AT258,0)</f>
        <v>18.557001321003963</v>
      </c>
      <c r="AS259" s="75">
        <f>PARAM!$C$26+MAX($G$13-CHOOSE(PARAM!$B$44,MAX(0,AT258*$F$1),0),0)*RATES!$L235/12+$H$13*(PARAM!$D$51/12)*RATES!$N235/100</f>
        <v>16.919688163963592</v>
      </c>
      <c r="AT259" s="16">
        <f t="shared" si="165"/>
        <v>678.78973813527057</v>
      </c>
      <c r="AU259" s="15">
        <f t="shared" si="140"/>
        <v>22.170849845882874</v>
      </c>
      <c r="AV259" s="75">
        <f>AU259*(1-PARAM!$C$27)*$I$14+(MOD($B259,60)=PARAM!$B$56)*($B259&gt;(60-PARAM!$B$56))*HLOOKUP(($B259+PARAM!$B$56)/12,Loyalty,2)*$F$1*MAX(AX258,0)</f>
        <v>18.557001321003963</v>
      </c>
      <c r="AW259" s="75">
        <f>PARAM!$C$26+MAX($G$14-CHOOSE(PARAM!$B$44,MAX(0,AX258*$F$1),0),0)*RATES!$L235/12+$H$14*(PARAM!$D$51/12)*RATES!$N235/100</f>
        <v>16.919688163963592</v>
      </c>
      <c r="AX259" s="16">
        <f t="shared" si="166"/>
        <v>678.78973813527057</v>
      </c>
      <c r="AY259" s="15">
        <f t="shared" si="141"/>
        <v>22.170849845882874</v>
      </c>
      <c r="AZ259" s="75">
        <f>AY259*(1-PARAM!$C$27)*$I$15+(MOD($B259,60)=PARAM!$B$56)*($B259&gt;(60-PARAM!$B$56))*HLOOKUP(($B259+PARAM!$B$56)/12,Loyalty,2)*$F$1*MAX(BB258,0)</f>
        <v>18.557001321003963</v>
      </c>
      <c r="BA259" s="75">
        <f>PARAM!$C$26+MAX($G$15-CHOOSE(PARAM!$B$44,MAX(0,BB258*$F$1),0),0)*RATES!$L235/12+$H$15*(PARAM!$D$51/12)*RATES!$N235/100</f>
        <v>16.919688163963592</v>
      </c>
      <c r="BB259" s="16">
        <f t="shared" si="167"/>
        <v>678.78973813527057</v>
      </c>
      <c r="BC259" s="15">
        <f t="shared" si="142"/>
        <v>22.170849845882874</v>
      </c>
      <c r="BD259" s="75">
        <f>BC259*(1-PARAM!$C$27)*$I$16+(MOD($B259,60)=PARAM!$B$56)*($B259&gt;(60-PARAM!$B$56))*HLOOKUP(($B259+PARAM!$B$56)/12,Loyalty,2)*$F$1*MAX(BF258,0)</f>
        <v>18.557001321003963</v>
      </c>
      <c r="BE259" s="75">
        <f>PARAM!$C$26+MAX($G$16-CHOOSE(PARAM!$B$44,MAX(0,BF258*$F$1),0),0)*RATES!$L235/12+$H$16*(PARAM!$D$51/12)*RATES!$N235/100</f>
        <v>16.919688163963592</v>
      </c>
      <c r="BF259" s="16">
        <f t="shared" si="168"/>
        <v>678.78973813527057</v>
      </c>
      <c r="BG259" s="15">
        <f t="shared" si="143"/>
        <v>22.170849845882874</v>
      </c>
      <c r="BH259" s="75">
        <f>BG259*(1-PARAM!$C$27)*$I$17+(MOD($B259,60)=PARAM!$B$56)*($B259&gt;(60-PARAM!$B$56))*HLOOKUP(($B259+PARAM!$B$56)/12,Loyalty,2)*$F$1*MAX(BJ258,0)</f>
        <v>18.557001321003963</v>
      </c>
      <c r="BI259" s="75">
        <f>PARAM!$C$26+MAX($G$17-CHOOSE(PARAM!$B$44,MAX(0,BJ258*$F$1),0),0)*RATES!$L235/12+$H$17*(PARAM!$D$51/12)*RATES!$N235/100</f>
        <v>16.919688163963592</v>
      </c>
      <c r="BJ259" s="16">
        <f t="shared" si="169"/>
        <v>678.78973813527057</v>
      </c>
      <c r="BK259" s="15">
        <f t="shared" si="144"/>
        <v>22.170849845882874</v>
      </c>
      <c r="BL259" s="75">
        <f>BK259*(1-PARAM!$C$27)*$I$18+(MOD($B259,60)=PARAM!$B$56)*($B259&gt;(60-PARAM!$B$56))*HLOOKUP(($B259+PARAM!$B$56)/12,Loyalty,2)*$F$1*MAX(BN258,0)</f>
        <v>18.557001321003963</v>
      </c>
      <c r="BM259" s="75">
        <f>PARAM!$C$26+MAX($G$18-CHOOSE(PARAM!$B$44,MAX(0,BN258*$F$1),0),0)*RATES!$L235/12+$H$18*(PARAM!$D$51/12)*RATES!$N235/100</f>
        <v>16.919688163963592</v>
      </c>
      <c r="BN259" s="16">
        <f t="shared" si="170"/>
        <v>678.78973813527057</v>
      </c>
      <c r="BO259" s="15">
        <f t="shared" si="145"/>
        <v>22.170849845882874</v>
      </c>
      <c r="BP259" s="75">
        <f>BO259*(1-PARAM!$C$27)*$I$19+(MOD($B259,60)=PARAM!$B$56)*($B259&gt;(60-PARAM!$B$56))*HLOOKUP(($B259+PARAM!$B$56)/12,Loyalty,2)*$F$1*MAX(BR258,0)</f>
        <v>18.557001321003963</v>
      </c>
      <c r="BQ259" s="75">
        <f>PARAM!$C$26+MAX($G$19-CHOOSE(PARAM!$B$44,MAX(0,BR258*$F$1),0),0)*RATES!$L235/12+$H$19*(PARAM!$D$51/12)*RATES!$N235/100</f>
        <v>16.919688163963592</v>
      </c>
      <c r="BR259" s="16">
        <f t="shared" si="171"/>
        <v>678.78973813527057</v>
      </c>
      <c r="BS259" s="15">
        <f t="shared" si="146"/>
        <v>22.170849845882874</v>
      </c>
      <c r="BT259" s="75">
        <f>BS259*(1-PARAM!$C$27)*$I$20+(MOD($B259,60)=PARAM!$B$56)*($B259&gt;(60-PARAM!$B$56))*HLOOKUP(($B259+PARAM!$B$56)/12,Loyalty,2)*$F$1*MAX(BV258,0)</f>
        <v>18.557001321003963</v>
      </c>
      <c r="BU259" s="75">
        <f>PARAM!$C$26+MAX($G$20-CHOOSE(PARAM!$B$44,MAX(0,BV258*$F$1),0),0)*RATES!$L235/12+$H$20*(PARAM!$D$51/12)*RATES!$N235/100</f>
        <v>16.919688163963592</v>
      </c>
      <c r="BV259" s="16">
        <f t="shared" si="172"/>
        <v>678.78973813527057</v>
      </c>
      <c r="BW259" s="15">
        <f t="shared" si="147"/>
        <v>22.170849845882874</v>
      </c>
      <c r="BX259" s="75">
        <f>BW259*(1-PARAM!$C$27)*$I$21+(MOD($B259,60)=PARAM!$B$56)*($B259&gt;(60-PARAM!$B$56))*HLOOKUP(($B259+PARAM!$B$56)/12,Loyalty,2)*$F$1*MAX(BZ258,0)</f>
        <v>18.557001321003963</v>
      </c>
      <c r="BY259" s="75">
        <f>PARAM!$C$26+MAX($G$21-CHOOSE(PARAM!$B$44,MAX(0,BZ258*$F$1),0),0)*RATES!$L235/12+$H$21*(PARAM!$D$51/12)*RATES!$N235/100</f>
        <v>16.919688163963592</v>
      </c>
      <c r="BZ259" s="16">
        <f t="shared" si="173"/>
        <v>678.78973813527057</v>
      </c>
      <c r="CA259" s="15">
        <f t="shared" si="148"/>
        <v>22.170849845882874</v>
      </c>
      <c r="CB259" s="75">
        <f>CA259*(1-PARAM!$C$27)*$I$22+(MOD($B259,60)=PARAM!$B$56)*($B259&gt;(60-PARAM!$B$56))*HLOOKUP(($B259+PARAM!$B$56)/12,Loyalty,2)*$F$1*MAX(CD258,0)</f>
        <v>18.557001321003963</v>
      </c>
      <c r="CC259" s="75">
        <f>PARAM!$C$26+MAX($G$22-CHOOSE(PARAM!$B$44,MAX(0,CD258*$F$1),0),0)*RATES!$L235/12+$H$22*(PARAM!$D$51/12)*RATES!$N235/100</f>
        <v>16.919688163963592</v>
      </c>
      <c r="CD259" s="16">
        <f t="shared" si="174"/>
        <v>678.78973813527057</v>
      </c>
      <c r="CE259" s="33">
        <f>IF(0=MOD(B259,12/PARAM!$D$51),1,0)</f>
        <v>1</v>
      </c>
      <c r="CF259" s="15">
        <f t="shared" si="149"/>
        <v>0</v>
      </c>
      <c r="CG259" s="75">
        <f>CF259*(1-PARAM!$C$27)*$R$3+(MOD($B259/12,5)=0)*($B259&gt;60)*HLOOKUP($B259/12,Loyalty,2)*$F$1*MAX(CI258,0)</f>
        <v>0</v>
      </c>
      <c r="CH259" s="75">
        <f>PARAM!$C$26+MAX($P$3-CHOOSE(PARAM!$B$44,MAX(0,CI258*$F$1),0),0)*RATES!$L235/12+$Q$3*(PARAM!$D$51/12)*RATES!$N235/100</f>
        <v>17.083333333333336</v>
      </c>
      <c r="CI259" s="16">
        <f>IF(CI258&gt;0,CI258*PARAM!$C$53,CI258)+CG259-CH259</f>
        <v>-3454.4166666666633</v>
      </c>
      <c r="CJ259" s="15">
        <f t="shared" si="175"/>
        <v>0</v>
      </c>
      <c r="CK259" s="75">
        <f>CJ259*(1-PARAM!$C$27)*$R$4+(MOD($B259/12,5)=0)*($B259&gt;60)*HLOOKUP($B259/12,Loyalty,2)*$F$1*MAX(CM258,0)</f>
        <v>0</v>
      </c>
      <c r="CL259" s="75">
        <f>PARAM!$C$26+MAX($P$4-CHOOSE(PARAM!$B$44,MAX(0,CM258*$F$1),0),0)*RATES!$L235/12+$Q$4*(PARAM!$D$51/12)*RATES!$N235/100</f>
        <v>17.083333333333336</v>
      </c>
      <c r="CM259" s="16">
        <f>IF(CM258&gt;0,CM258*PARAM!$C$53,CM258)+CK259-CL259</f>
        <v>-3454.4166666666633</v>
      </c>
      <c r="CO259" s="176"/>
    </row>
    <row r="260" spans="1:93" x14ac:dyDescent="0.2">
      <c r="A260" t="b">
        <f t="shared" si="150"/>
        <v>1</v>
      </c>
      <c r="B260" s="33">
        <v>233</v>
      </c>
      <c r="C260" s="15">
        <f t="shared" si="151"/>
        <v>20.081305947392778</v>
      </c>
      <c r="D260" s="75">
        <f>C260*(1-PARAM!$C$27)*$I$3+(MOD($B260,60)=PARAM!$B$56)*($B260&gt;(60-PARAM!$B$56))*HLOOKUP(($B260+PARAM!$B$56)/12,Loyalty,2)*$F$1*MAX(F259,0)</f>
        <v>16.808053077967756</v>
      </c>
      <c r="E260" s="75">
        <f>PARAM!$C$26+MAX($G$3-CHOOSE(PARAM!$B$44,MAX(0,F259*$F$1),0),0)*RATES!$L236/12+$H$3*(PARAM!$D$51/12)*RATES!$N236/100</f>
        <v>17.016335599758243</v>
      </c>
      <c r="F260" s="16">
        <f t="shared" si="152"/>
        <v>277.0237184785924</v>
      </c>
      <c r="G260" s="15">
        <f t="shared" si="153"/>
        <v>22.035289406060361</v>
      </c>
      <c r="H260" s="75">
        <f>G260*(1-PARAM!$C$27)*$I$4+(MOD($B260,60)=PARAM!$B$56)*($B260&gt;(60-PARAM!$B$56))*HLOOKUP(($B260+PARAM!$B$56)/12,Loyalty,2)*$F$1*MAX(J259,0)</f>
        <v>18.443537232872522</v>
      </c>
      <c r="I260" s="75">
        <f>PARAM!$C$26+MAX($G$4-CHOOSE(PARAM!$B$44,MAX(0,J259*$F$1),0),0)*RATES!$L236/12+$H$4*(PARAM!$D$51/12)*RATES!$N236/100</f>
        <v>16.925591940644608</v>
      </c>
      <c r="J260" s="16">
        <f t="shared" si="154"/>
        <v>654.24094952142457</v>
      </c>
      <c r="K260" s="15">
        <f t="shared" si="155"/>
        <v>22.170849845882874</v>
      </c>
      <c r="L260" s="75">
        <f>K260*(1-PARAM!$C$27)*$I$5+(MOD($B260,60)=PARAM!$B$56)*($B260&gt;(60-PARAM!$B$56))*HLOOKUP(($B260+PARAM!$B$56)/12,Loyalty,2)*$F$1*MAX(N259,0)</f>
        <v>18.557001321003963</v>
      </c>
      <c r="M260" s="75">
        <f>PARAM!$C$26+MAX($G$5-CHOOSE(PARAM!$B$44,MAX(0,N259*$F$1),0),0)*RATES!$L236/12+$H$5*(PARAM!$D$51/12)*RATES!$N236/100</f>
        <v>16.919292479950641</v>
      </c>
      <c r="N260" s="16">
        <f t="shared" si="156"/>
        <v>680.42744697632395</v>
      </c>
      <c r="O260" s="15">
        <f t="shared" si="157"/>
        <v>22.170849845882874</v>
      </c>
      <c r="P260" s="75">
        <f>O260*(1-PARAM!$C$27)*$I$6+(MOD($B260,60)=PARAM!$B$56)*($B260&gt;(60-PARAM!$B$56))*HLOOKUP(($B260+PARAM!$B$56)/12,Loyalty,2)*$F$1*MAX(R259,0)</f>
        <v>18.557001321003963</v>
      </c>
      <c r="Q260" s="75">
        <f>PARAM!$C$26+MAX($G$6-CHOOSE(PARAM!$B$44,MAX(0,R259*$F$1),0),0)*RATES!$L236/12+$H$6*(PARAM!$D$51/12)*RATES!$N236/100</f>
        <v>16.919292479950641</v>
      </c>
      <c r="R260" s="16">
        <f t="shared" si="158"/>
        <v>680.42744697632395</v>
      </c>
      <c r="S260" s="15">
        <f t="shared" si="133"/>
        <v>22.170849845882874</v>
      </c>
      <c r="T260" s="75">
        <f>S260*(1-PARAM!$C$27)*$I$7+(MOD($B260,60)=PARAM!$B$56)*($B260&gt;(60-PARAM!$B$56))*HLOOKUP(($B260+PARAM!$B$56)/12,Loyalty,2)*$F$1*MAX(V259,0)</f>
        <v>18.557001321003963</v>
      </c>
      <c r="U260" s="75">
        <f>PARAM!$C$26+MAX($G$7-CHOOSE(PARAM!$B$44,MAX(0,V259*$F$1),0),0)*RATES!$L236/12+$H$7*(PARAM!$D$51/12)*RATES!$N236/100</f>
        <v>16.919292479950641</v>
      </c>
      <c r="V260" s="16">
        <f t="shared" si="159"/>
        <v>680.42744697632395</v>
      </c>
      <c r="W260" s="15">
        <f t="shared" si="134"/>
        <v>22.170849845882874</v>
      </c>
      <c r="X260" s="75">
        <f>W260*(1-PARAM!$C$27)*$I$8+(MOD($B260,60)=PARAM!$B$56)*($B260&gt;(60-PARAM!$B$56))*HLOOKUP(($B260+PARAM!$B$56)/12,Loyalty,2)*$F$1*MAX(Z259,0)</f>
        <v>18.557001321003963</v>
      </c>
      <c r="Y260" s="75">
        <f>PARAM!$C$26+MAX($G$8-CHOOSE(PARAM!$B$44,MAX(0,Z259*$F$1),0),0)*RATES!$L236/12+$H$8*(PARAM!$D$51/12)*RATES!$N236/100</f>
        <v>16.919292479950641</v>
      </c>
      <c r="Z260" s="16">
        <f t="shared" si="160"/>
        <v>680.42744697632395</v>
      </c>
      <c r="AA260" s="15">
        <f t="shared" si="135"/>
        <v>22.170849845882874</v>
      </c>
      <c r="AB260" s="75">
        <f>AA260*(1-PARAM!$C$27)*$I$9+(MOD($B260,60)=PARAM!$B$56)*($B260&gt;(60-PARAM!$B$56))*HLOOKUP(($B260+PARAM!$B$56)/12,Loyalty,2)*$F$1*MAX(AD259,0)</f>
        <v>18.557001321003963</v>
      </c>
      <c r="AC260" s="75">
        <f>PARAM!$C$26+MAX($G$9-CHOOSE(PARAM!$B$44,MAX(0,AD259*$F$1),0),0)*RATES!$L236/12+$H$9*(PARAM!$D$51/12)*RATES!$N236/100</f>
        <v>16.919292479950641</v>
      </c>
      <c r="AD260" s="16">
        <f t="shared" si="161"/>
        <v>680.42744697632395</v>
      </c>
      <c r="AE260" s="15">
        <f t="shared" si="136"/>
        <v>22.170849845882874</v>
      </c>
      <c r="AF260" s="75">
        <f>AE260*(1-PARAM!$C$27)*$I$10+(MOD($B260,60)=PARAM!$B$56)*($B260&gt;(60-PARAM!$B$56))*HLOOKUP(($B260+PARAM!$B$56)/12,Loyalty,2)*$F$1*MAX(AH259,0)</f>
        <v>18.557001321003963</v>
      </c>
      <c r="AG260" s="75">
        <f>PARAM!$C$26+MAX($G$10-CHOOSE(PARAM!$B$44,MAX(0,AH259*$F$1),0),0)*RATES!$L236/12+$H$10*(PARAM!$D$51/12)*RATES!$N236/100</f>
        <v>16.919292479950641</v>
      </c>
      <c r="AH260" s="16">
        <f t="shared" si="162"/>
        <v>680.42744697632395</v>
      </c>
      <c r="AI260" s="15">
        <f t="shared" si="137"/>
        <v>22.170849845882874</v>
      </c>
      <c r="AJ260" s="75">
        <f>AI260*(1-PARAM!$C$27)*$I$11+(MOD($B260,60)=PARAM!$B$56)*($B260&gt;(60-PARAM!$B$56))*HLOOKUP(($B260+PARAM!$B$56)/12,Loyalty,2)*$F$1*MAX(AL259,0)</f>
        <v>18.557001321003963</v>
      </c>
      <c r="AK260" s="75">
        <f>PARAM!$C$26+MAX($G$11-CHOOSE(PARAM!$B$44,MAX(0,AL259*$F$1),0),0)*RATES!$L236/12+$H$11*(PARAM!$D$51/12)*RATES!$N236/100</f>
        <v>16.919292479950641</v>
      </c>
      <c r="AL260" s="16">
        <f t="shared" si="163"/>
        <v>680.42744697632395</v>
      </c>
      <c r="AM260" s="15">
        <f t="shared" si="138"/>
        <v>22.170849845882874</v>
      </c>
      <c r="AN260" s="75">
        <f>AM260*(1-PARAM!$C$27)*$I$12+(MOD($B260,60)=PARAM!$B$56)*($B260&gt;(60-PARAM!$B$56))*HLOOKUP(($B260+PARAM!$B$56)/12,Loyalty,2)*$F$1*MAX(AP259,0)</f>
        <v>18.557001321003963</v>
      </c>
      <c r="AO260" s="75">
        <f>PARAM!$C$26+MAX($G$12-CHOOSE(PARAM!$B$44,MAX(0,AP259*$F$1),0),0)*RATES!$L236/12+$H$12*(PARAM!$D$51/12)*RATES!$N236/100</f>
        <v>16.919292479950641</v>
      </c>
      <c r="AP260" s="16">
        <f t="shared" si="164"/>
        <v>680.42744697632395</v>
      </c>
      <c r="AQ260" s="15">
        <f t="shared" si="139"/>
        <v>22.170849845882874</v>
      </c>
      <c r="AR260" s="75">
        <f>AQ260*(1-PARAM!$C$27)*$I$13+(MOD($B260,60)=PARAM!$B$56)*($B260&gt;(60-PARAM!$B$56))*HLOOKUP(($B260+PARAM!$B$56)/12,Loyalty,2)*$F$1*MAX(AT259,0)</f>
        <v>18.557001321003963</v>
      </c>
      <c r="AS260" s="75">
        <f>PARAM!$C$26+MAX($G$13-CHOOSE(PARAM!$B$44,MAX(0,AT259*$F$1),0),0)*RATES!$L236/12+$H$13*(PARAM!$D$51/12)*RATES!$N236/100</f>
        <v>16.919292479950641</v>
      </c>
      <c r="AT260" s="16">
        <f t="shared" si="165"/>
        <v>680.42744697632395</v>
      </c>
      <c r="AU260" s="15">
        <f t="shared" si="140"/>
        <v>22.170849845882874</v>
      </c>
      <c r="AV260" s="75">
        <f>AU260*(1-PARAM!$C$27)*$I$14+(MOD($B260,60)=PARAM!$B$56)*($B260&gt;(60-PARAM!$B$56))*HLOOKUP(($B260+PARAM!$B$56)/12,Loyalty,2)*$F$1*MAX(AX259,0)</f>
        <v>18.557001321003963</v>
      </c>
      <c r="AW260" s="75">
        <f>PARAM!$C$26+MAX($G$14-CHOOSE(PARAM!$B$44,MAX(0,AX259*$F$1),0),0)*RATES!$L236/12+$H$14*(PARAM!$D$51/12)*RATES!$N236/100</f>
        <v>16.919292479950641</v>
      </c>
      <c r="AX260" s="16">
        <f t="shared" si="166"/>
        <v>680.42744697632395</v>
      </c>
      <c r="AY260" s="15">
        <f t="shared" si="141"/>
        <v>22.170849845882874</v>
      </c>
      <c r="AZ260" s="75">
        <f>AY260*(1-PARAM!$C$27)*$I$15+(MOD($B260,60)=PARAM!$B$56)*($B260&gt;(60-PARAM!$B$56))*HLOOKUP(($B260+PARAM!$B$56)/12,Loyalty,2)*$F$1*MAX(BB259,0)</f>
        <v>18.557001321003963</v>
      </c>
      <c r="BA260" s="75">
        <f>PARAM!$C$26+MAX($G$15-CHOOSE(PARAM!$B$44,MAX(0,BB259*$F$1),0),0)*RATES!$L236/12+$H$15*(PARAM!$D$51/12)*RATES!$N236/100</f>
        <v>16.919292479950641</v>
      </c>
      <c r="BB260" s="16">
        <f t="shared" si="167"/>
        <v>680.42744697632395</v>
      </c>
      <c r="BC260" s="15">
        <f t="shared" si="142"/>
        <v>22.170849845882874</v>
      </c>
      <c r="BD260" s="75">
        <f>BC260*(1-PARAM!$C$27)*$I$16+(MOD($B260,60)=PARAM!$B$56)*($B260&gt;(60-PARAM!$B$56))*HLOOKUP(($B260+PARAM!$B$56)/12,Loyalty,2)*$F$1*MAX(BF259,0)</f>
        <v>18.557001321003963</v>
      </c>
      <c r="BE260" s="75">
        <f>PARAM!$C$26+MAX($G$16-CHOOSE(PARAM!$B$44,MAX(0,BF259*$F$1),0),0)*RATES!$L236/12+$H$16*(PARAM!$D$51/12)*RATES!$N236/100</f>
        <v>16.919292479950641</v>
      </c>
      <c r="BF260" s="16">
        <f t="shared" si="168"/>
        <v>680.42744697632395</v>
      </c>
      <c r="BG260" s="15">
        <f t="shared" si="143"/>
        <v>22.170849845882874</v>
      </c>
      <c r="BH260" s="75">
        <f>BG260*(1-PARAM!$C$27)*$I$17+(MOD($B260,60)=PARAM!$B$56)*($B260&gt;(60-PARAM!$B$56))*HLOOKUP(($B260+PARAM!$B$56)/12,Loyalty,2)*$F$1*MAX(BJ259,0)</f>
        <v>18.557001321003963</v>
      </c>
      <c r="BI260" s="75">
        <f>PARAM!$C$26+MAX($G$17-CHOOSE(PARAM!$B$44,MAX(0,BJ259*$F$1),0),0)*RATES!$L236/12+$H$17*(PARAM!$D$51/12)*RATES!$N236/100</f>
        <v>16.919292479950641</v>
      </c>
      <c r="BJ260" s="16">
        <f t="shared" si="169"/>
        <v>680.42744697632395</v>
      </c>
      <c r="BK260" s="15">
        <f t="shared" si="144"/>
        <v>22.170849845882874</v>
      </c>
      <c r="BL260" s="75">
        <f>BK260*(1-PARAM!$C$27)*$I$18+(MOD($B260,60)=PARAM!$B$56)*($B260&gt;(60-PARAM!$B$56))*HLOOKUP(($B260+PARAM!$B$56)/12,Loyalty,2)*$F$1*MAX(BN259,0)</f>
        <v>18.557001321003963</v>
      </c>
      <c r="BM260" s="75">
        <f>PARAM!$C$26+MAX($G$18-CHOOSE(PARAM!$B$44,MAX(0,BN259*$F$1),0),0)*RATES!$L236/12+$H$18*(PARAM!$D$51/12)*RATES!$N236/100</f>
        <v>16.919292479950641</v>
      </c>
      <c r="BN260" s="16">
        <f t="shared" si="170"/>
        <v>680.42744697632395</v>
      </c>
      <c r="BO260" s="15">
        <f t="shared" si="145"/>
        <v>22.170849845882874</v>
      </c>
      <c r="BP260" s="75">
        <f>BO260*(1-PARAM!$C$27)*$I$19+(MOD($B260,60)=PARAM!$B$56)*($B260&gt;(60-PARAM!$B$56))*HLOOKUP(($B260+PARAM!$B$56)/12,Loyalty,2)*$F$1*MAX(BR259,0)</f>
        <v>18.557001321003963</v>
      </c>
      <c r="BQ260" s="75">
        <f>PARAM!$C$26+MAX($G$19-CHOOSE(PARAM!$B$44,MAX(0,BR259*$F$1),0),0)*RATES!$L236/12+$H$19*(PARAM!$D$51/12)*RATES!$N236/100</f>
        <v>16.919292479950641</v>
      </c>
      <c r="BR260" s="16">
        <f t="shared" si="171"/>
        <v>680.42744697632395</v>
      </c>
      <c r="BS260" s="15">
        <f t="shared" si="146"/>
        <v>22.170849845882874</v>
      </c>
      <c r="BT260" s="75">
        <f>BS260*(1-PARAM!$C$27)*$I$20+(MOD($B260,60)=PARAM!$B$56)*($B260&gt;(60-PARAM!$B$56))*HLOOKUP(($B260+PARAM!$B$56)/12,Loyalty,2)*$F$1*MAX(BV259,0)</f>
        <v>18.557001321003963</v>
      </c>
      <c r="BU260" s="75">
        <f>PARAM!$C$26+MAX($G$20-CHOOSE(PARAM!$B$44,MAX(0,BV259*$F$1),0),0)*RATES!$L236/12+$H$20*(PARAM!$D$51/12)*RATES!$N236/100</f>
        <v>16.919292479950641</v>
      </c>
      <c r="BV260" s="16">
        <f t="shared" si="172"/>
        <v>680.42744697632395</v>
      </c>
      <c r="BW260" s="15">
        <f t="shared" si="147"/>
        <v>22.170849845882874</v>
      </c>
      <c r="BX260" s="75">
        <f>BW260*(1-PARAM!$C$27)*$I$21+(MOD($B260,60)=PARAM!$B$56)*($B260&gt;(60-PARAM!$B$56))*HLOOKUP(($B260+PARAM!$B$56)/12,Loyalty,2)*$F$1*MAX(BZ259,0)</f>
        <v>18.557001321003963</v>
      </c>
      <c r="BY260" s="75">
        <f>PARAM!$C$26+MAX($G$21-CHOOSE(PARAM!$B$44,MAX(0,BZ259*$F$1),0),0)*RATES!$L236/12+$H$21*(PARAM!$D$51/12)*RATES!$N236/100</f>
        <v>16.919292479950641</v>
      </c>
      <c r="BZ260" s="16">
        <f t="shared" si="173"/>
        <v>680.42744697632395</v>
      </c>
      <c r="CA260" s="15">
        <f t="shared" si="148"/>
        <v>22.170849845882874</v>
      </c>
      <c r="CB260" s="75">
        <f>CA260*(1-PARAM!$C$27)*$I$22+(MOD($B260,60)=PARAM!$B$56)*($B260&gt;(60-PARAM!$B$56))*HLOOKUP(($B260+PARAM!$B$56)/12,Loyalty,2)*$F$1*MAX(CD259,0)</f>
        <v>18.557001321003963</v>
      </c>
      <c r="CC260" s="75">
        <f>PARAM!$C$26+MAX($G$22-CHOOSE(PARAM!$B$44,MAX(0,CD259*$F$1),0),0)*RATES!$L236/12+$H$22*(PARAM!$D$51/12)*RATES!$N236/100</f>
        <v>16.919292479950641</v>
      </c>
      <c r="CD260" s="16">
        <f t="shared" si="174"/>
        <v>680.42744697632395</v>
      </c>
      <c r="CE260" s="33">
        <f>IF(0=MOD(B260,12/PARAM!$D$51),1,0)</f>
        <v>1</v>
      </c>
      <c r="CF260" s="15">
        <f t="shared" si="149"/>
        <v>0</v>
      </c>
      <c r="CG260" s="75">
        <f>CF260*(1-PARAM!$C$27)*$R$3+(MOD($B260/12,5)=0)*($B260&gt;60)*HLOOKUP($B260/12,Loyalty,2)*$F$1*MAX(CI259,0)</f>
        <v>0</v>
      </c>
      <c r="CH260" s="75">
        <f>PARAM!$C$26+MAX($P$3-CHOOSE(PARAM!$B$44,MAX(0,CI259*$F$1),0),0)*RATES!$L236/12+$Q$3*(PARAM!$D$51/12)*RATES!$N236/100</f>
        <v>17.083333333333336</v>
      </c>
      <c r="CI260" s="16">
        <f>IF(CI259&gt;0,CI259*PARAM!$C$53,CI259)+CG260-CH260</f>
        <v>-3471.4999999999968</v>
      </c>
      <c r="CJ260" s="15">
        <f t="shared" si="175"/>
        <v>0</v>
      </c>
      <c r="CK260" s="75">
        <f>CJ260*(1-PARAM!$C$27)*$R$4+(MOD($B260/12,5)=0)*($B260&gt;60)*HLOOKUP($B260/12,Loyalty,2)*$F$1*MAX(CM259,0)</f>
        <v>0</v>
      </c>
      <c r="CL260" s="75">
        <f>PARAM!$C$26+MAX($P$4-CHOOSE(PARAM!$B$44,MAX(0,CM259*$F$1),0),0)*RATES!$L236/12+$Q$4*(PARAM!$D$51/12)*RATES!$N236/100</f>
        <v>17.083333333333336</v>
      </c>
      <c r="CM260" s="16">
        <f>IF(CM259&gt;0,CM259*PARAM!$C$53,CM259)+CK260-CL260</f>
        <v>-3471.4999999999968</v>
      </c>
      <c r="CO260" s="176"/>
    </row>
    <row r="261" spans="1:93" x14ac:dyDescent="0.2">
      <c r="A261" t="b">
        <f t="shared" si="150"/>
        <v>1</v>
      </c>
      <c r="B261" s="33">
        <v>234</v>
      </c>
      <c r="C261" s="15">
        <f t="shared" si="151"/>
        <v>20.081305947392778</v>
      </c>
      <c r="D261" s="75">
        <f>C261*(1-PARAM!$C$27)*$I$3+(MOD($B261,60)=PARAM!$B$56)*($B261&gt;(60-PARAM!$B$56))*HLOOKUP(($B261+PARAM!$B$56)/12,Loyalty,2)*$F$1*MAX(F260,0)</f>
        <v>16.808053077967756</v>
      </c>
      <c r="E261" s="75">
        <f>PARAM!$C$26+MAX($G$3-CHOOSE(PARAM!$B$44,MAX(0,F260*$F$1),0),0)*RATES!$L237/12+$H$3*(PARAM!$D$51/12)*RATES!$N237/100</f>
        <v>18.466639409578711</v>
      </c>
      <c r="F261" s="16">
        <f t="shared" si="152"/>
        <v>275.36513214698147</v>
      </c>
      <c r="G261" s="15">
        <f t="shared" si="153"/>
        <v>22.035289406060361</v>
      </c>
      <c r="H261" s="75">
        <f>G261*(1-PARAM!$C$27)*$I$4+(MOD($B261,60)=PARAM!$B$56)*($B261&gt;(60-PARAM!$B$56))*HLOOKUP(($B261+PARAM!$B$56)/12,Loyalty,2)*$F$1*MAX(J260,0)</f>
        <v>18.443537232872522</v>
      </c>
      <c r="I261" s="75">
        <f>PARAM!$C$26+MAX($G$4-CHOOSE(PARAM!$B$44,MAX(0,J260*$F$1),0),0)*RATES!$L237/12+$H$4*(PARAM!$D$51/12)*RATES!$N237/100</f>
        <v>18.364476409504611</v>
      </c>
      <c r="J261" s="16">
        <f t="shared" si="154"/>
        <v>654.32001034479242</v>
      </c>
      <c r="K261" s="15">
        <f t="shared" si="155"/>
        <v>22.170849845882874</v>
      </c>
      <c r="L261" s="75">
        <f>K261*(1-PARAM!$C$27)*$I$5+(MOD($B261,60)=PARAM!$B$56)*($B261&gt;(60-PARAM!$B$56))*HLOOKUP(($B261+PARAM!$B$56)/12,Loyalty,2)*$F$1*MAX(N260,0)</f>
        <v>18.557001321003963</v>
      </c>
      <c r="M261" s="75">
        <f>PARAM!$C$26+MAX($G$5-CHOOSE(PARAM!$B$44,MAX(0,N260*$F$1),0),0)*RATES!$L237/12+$H$5*(PARAM!$D$51/12)*RATES!$N237/100</f>
        <v>18.357384233110579</v>
      </c>
      <c r="N261" s="16">
        <f t="shared" si="156"/>
        <v>680.62706406421739</v>
      </c>
      <c r="O261" s="15">
        <f t="shared" si="157"/>
        <v>22.170849845882874</v>
      </c>
      <c r="P261" s="75">
        <f>O261*(1-PARAM!$C$27)*$I$6+(MOD($B261,60)=PARAM!$B$56)*($B261&gt;(60-PARAM!$B$56))*HLOOKUP(($B261+PARAM!$B$56)/12,Loyalty,2)*$F$1*MAX(R260,0)</f>
        <v>18.557001321003963</v>
      </c>
      <c r="Q261" s="75">
        <f>PARAM!$C$26+MAX($G$6-CHOOSE(PARAM!$B$44,MAX(0,R260*$F$1),0),0)*RATES!$L237/12+$H$6*(PARAM!$D$51/12)*RATES!$N237/100</f>
        <v>18.357384233110579</v>
      </c>
      <c r="R261" s="16">
        <f t="shared" si="158"/>
        <v>680.62706406421739</v>
      </c>
      <c r="S261" s="15">
        <f t="shared" si="133"/>
        <v>22.170849845882874</v>
      </c>
      <c r="T261" s="75">
        <f>S261*(1-PARAM!$C$27)*$I$7+(MOD($B261,60)=PARAM!$B$56)*($B261&gt;(60-PARAM!$B$56))*HLOOKUP(($B261+PARAM!$B$56)/12,Loyalty,2)*$F$1*MAX(V260,0)</f>
        <v>18.557001321003963</v>
      </c>
      <c r="U261" s="75">
        <f>PARAM!$C$26+MAX($G$7-CHOOSE(PARAM!$B$44,MAX(0,V260*$F$1),0),0)*RATES!$L237/12+$H$7*(PARAM!$D$51/12)*RATES!$N237/100</f>
        <v>18.357384233110579</v>
      </c>
      <c r="V261" s="16">
        <f t="shared" si="159"/>
        <v>680.62706406421739</v>
      </c>
      <c r="W261" s="15">
        <f t="shared" si="134"/>
        <v>22.170849845882874</v>
      </c>
      <c r="X261" s="75">
        <f>W261*(1-PARAM!$C$27)*$I$8+(MOD($B261,60)=PARAM!$B$56)*($B261&gt;(60-PARAM!$B$56))*HLOOKUP(($B261+PARAM!$B$56)/12,Loyalty,2)*$F$1*MAX(Z260,0)</f>
        <v>18.557001321003963</v>
      </c>
      <c r="Y261" s="75">
        <f>PARAM!$C$26+MAX($G$8-CHOOSE(PARAM!$B$44,MAX(0,Z260*$F$1),0),0)*RATES!$L237/12+$H$8*(PARAM!$D$51/12)*RATES!$N237/100</f>
        <v>18.357384233110579</v>
      </c>
      <c r="Z261" s="16">
        <f t="shared" si="160"/>
        <v>680.62706406421739</v>
      </c>
      <c r="AA261" s="15">
        <f t="shared" si="135"/>
        <v>22.170849845882874</v>
      </c>
      <c r="AB261" s="75">
        <f>AA261*(1-PARAM!$C$27)*$I$9+(MOD($B261,60)=PARAM!$B$56)*($B261&gt;(60-PARAM!$B$56))*HLOOKUP(($B261+PARAM!$B$56)/12,Loyalty,2)*$F$1*MAX(AD260,0)</f>
        <v>18.557001321003963</v>
      </c>
      <c r="AC261" s="75">
        <f>PARAM!$C$26+MAX($G$9-CHOOSE(PARAM!$B$44,MAX(0,AD260*$F$1),0),0)*RATES!$L237/12+$H$9*(PARAM!$D$51/12)*RATES!$N237/100</f>
        <v>18.357384233110579</v>
      </c>
      <c r="AD261" s="16">
        <f t="shared" si="161"/>
        <v>680.62706406421739</v>
      </c>
      <c r="AE261" s="15">
        <f t="shared" si="136"/>
        <v>22.170849845882874</v>
      </c>
      <c r="AF261" s="75">
        <f>AE261*(1-PARAM!$C$27)*$I$10+(MOD($B261,60)=PARAM!$B$56)*($B261&gt;(60-PARAM!$B$56))*HLOOKUP(($B261+PARAM!$B$56)/12,Loyalty,2)*$F$1*MAX(AH260,0)</f>
        <v>18.557001321003963</v>
      </c>
      <c r="AG261" s="75">
        <f>PARAM!$C$26+MAX($G$10-CHOOSE(PARAM!$B$44,MAX(0,AH260*$F$1),0),0)*RATES!$L237/12+$H$10*(PARAM!$D$51/12)*RATES!$N237/100</f>
        <v>18.357384233110579</v>
      </c>
      <c r="AH261" s="16">
        <f t="shared" si="162"/>
        <v>680.62706406421739</v>
      </c>
      <c r="AI261" s="15">
        <f t="shared" si="137"/>
        <v>22.170849845882874</v>
      </c>
      <c r="AJ261" s="75">
        <f>AI261*(1-PARAM!$C$27)*$I$11+(MOD($B261,60)=PARAM!$B$56)*($B261&gt;(60-PARAM!$B$56))*HLOOKUP(($B261+PARAM!$B$56)/12,Loyalty,2)*$F$1*MAX(AL260,0)</f>
        <v>18.557001321003963</v>
      </c>
      <c r="AK261" s="75">
        <f>PARAM!$C$26+MAX($G$11-CHOOSE(PARAM!$B$44,MAX(0,AL260*$F$1),0),0)*RATES!$L237/12+$H$11*(PARAM!$D$51/12)*RATES!$N237/100</f>
        <v>18.357384233110579</v>
      </c>
      <c r="AL261" s="16">
        <f t="shared" si="163"/>
        <v>680.62706406421739</v>
      </c>
      <c r="AM261" s="15">
        <f t="shared" si="138"/>
        <v>22.170849845882874</v>
      </c>
      <c r="AN261" s="75">
        <f>AM261*(1-PARAM!$C$27)*$I$12+(MOD($B261,60)=PARAM!$B$56)*($B261&gt;(60-PARAM!$B$56))*HLOOKUP(($B261+PARAM!$B$56)/12,Loyalty,2)*$F$1*MAX(AP260,0)</f>
        <v>18.557001321003963</v>
      </c>
      <c r="AO261" s="75">
        <f>PARAM!$C$26+MAX($G$12-CHOOSE(PARAM!$B$44,MAX(0,AP260*$F$1),0),0)*RATES!$L237/12+$H$12*(PARAM!$D$51/12)*RATES!$N237/100</f>
        <v>18.357384233110579</v>
      </c>
      <c r="AP261" s="16">
        <f t="shared" si="164"/>
        <v>680.62706406421739</v>
      </c>
      <c r="AQ261" s="15">
        <f t="shared" si="139"/>
        <v>22.170849845882874</v>
      </c>
      <c r="AR261" s="75">
        <f>AQ261*(1-PARAM!$C$27)*$I$13+(MOD($B261,60)=PARAM!$B$56)*($B261&gt;(60-PARAM!$B$56))*HLOOKUP(($B261+PARAM!$B$56)/12,Loyalty,2)*$F$1*MAX(AT260,0)</f>
        <v>18.557001321003963</v>
      </c>
      <c r="AS261" s="75">
        <f>PARAM!$C$26+MAX($G$13-CHOOSE(PARAM!$B$44,MAX(0,AT260*$F$1),0),0)*RATES!$L237/12+$H$13*(PARAM!$D$51/12)*RATES!$N237/100</f>
        <v>18.357384233110579</v>
      </c>
      <c r="AT261" s="16">
        <f t="shared" si="165"/>
        <v>680.62706406421739</v>
      </c>
      <c r="AU261" s="15">
        <f t="shared" si="140"/>
        <v>22.170849845882874</v>
      </c>
      <c r="AV261" s="75">
        <f>AU261*(1-PARAM!$C$27)*$I$14+(MOD($B261,60)=PARAM!$B$56)*($B261&gt;(60-PARAM!$B$56))*HLOOKUP(($B261+PARAM!$B$56)/12,Loyalty,2)*$F$1*MAX(AX260,0)</f>
        <v>18.557001321003963</v>
      </c>
      <c r="AW261" s="75">
        <f>PARAM!$C$26+MAX($G$14-CHOOSE(PARAM!$B$44,MAX(0,AX260*$F$1),0),0)*RATES!$L237/12+$H$14*(PARAM!$D$51/12)*RATES!$N237/100</f>
        <v>18.357384233110579</v>
      </c>
      <c r="AX261" s="16">
        <f t="shared" si="166"/>
        <v>680.62706406421739</v>
      </c>
      <c r="AY261" s="15">
        <f t="shared" si="141"/>
        <v>22.170849845882874</v>
      </c>
      <c r="AZ261" s="75">
        <f>AY261*(1-PARAM!$C$27)*$I$15+(MOD($B261,60)=PARAM!$B$56)*($B261&gt;(60-PARAM!$B$56))*HLOOKUP(($B261+PARAM!$B$56)/12,Loyalty,2)*$F$1*MAX(BB260,0)</f>
        <v>18.557001321003963</v>
      </c>
      <c r="BA261" s="75">
        <f>PARAM!$C$26+MAX($G$15-CHOOSE(PARAM!$B$44,MAX(0,BB260*$F$1),0),0)*RATES!$L237/12+$H$15*(PARAM!$D$51/12)*RATES!$N237/100</f>
        <v>18.357384233110579</v>
      </c>
      <c r="BB261" s="16">
        <f t="shared" si="167"/>
        <v>680.62706406421739</v>
      </c>
      <c r="BC261" s="15">
        <f t="shared" si="142"/>
        <v>22.170849845882874</v>
      </c>
      <c r="BD261" s="75">
        <f>BC261*(1-PARAM!$C$27)*$I$16+(MOD($B261,60)=PARAM!$B$56)*($B261&gt;(60-PARAM!$B$56))*HLOOKUP(($B261+PARAM!$B$56)/12,Loyalty,2)*$F$1*MAX(BF260,0)</f>
        <v>18.557001321003963</v>
      </c>
      <c r="BE261" s="75">
        <f>PARAM!$C$26+MAX($G$16-CHOOSE(PARAM!$B$44,MAX(0,BF260*$F$1),0),0)*RATES!$L237/12+$H$16*(PARAM!$D$51/12)*RATES!$N237/100</f>
        <v>18.357384233110579</v>
      </c>
      <c r="BF261" s="16">
        <f t="shared" si="168"/>
        <v>680.62706406421739</v>
      </c>
      <c r="BG261" s="15">
        <f t="shared" si="143"/>
        <v>22.170849845882874</v>
      </c>
      <c r="BH261" s="75">
        <f>BG261*(1-PARAM!$C$27)*$I$17+(MOD($B261,60)=PARAM!$B$56)*($B261&gt;(60-PARAM!$B$56))*HLOOKUP(($B261+PARAM!$B$56)/12,Loyalty,2)*$F$1*MAX(BJ260,0)</f>
        <v>18.557001321003963</v>
      </c>
      <c r="BI261" s="75">
        <f>PARAM!$C$26+MAX($G$17-CHOOSE(PARAM!$B$44,MAX(0,BJ260*$F$1),0),0)*RATES!$L237/12+$H$17*(PARAM!$D$51/12)*RATES!$N237/100</f>
        <v>18.357384233110579</v>
      </c>
      <c r="BJ261" s="16">
        <f t="shared" si="169"/>
        <v>680.62706406421739</v>
      </c>
      <c r="BK261" s="15">
        <f t="shared" si="144"/>
        <v>22.170849845882874</v>
      </c>
      <c r="BL261" s="75">
        <f>BK261*(1-PARAM!$C$27)*$I$18+(MOD($B261,60)=PARAM!$B$56)*($B261&gt;(60-PARAM!$B$56))*HLOOKUP(($B261+PARAM!$B$56)/12,Loyalty,2)*$F$1*MAX(BN260,0)</f>
        <v>18.557001321003963</v>
      </c>
      <c r="BM261" s="75">
        <f>PARAM!$C$26+MAX($G$18-CHOOSE(PARAM!$B$44,MAX(0,BN260*$F$1),0),0)*RATES!$L237/12+$H$18*(PARAM!$D$51/12)*RATES!$N237/100</f>
        <v>18.357384233110579</v>
      </c>
      <c r="BN261" s="16">
        <f t="shared" si="170"/>
        <v>680.62706406421739</v>
      </c>
      <c r="BO261" s="15">
        <f t="shared" si="145"/>
        <v>22.170849845882874</v>
      </c>
      <c r="BP261" s="75">
        <f>BO261*(1-PARAM!$C$27)*$I$19+(MOD($B261,60)=PARAM!$B$56)*($B261&gt;(60-PARAM!$B$56))*HLOOKUP(($B261+PARAM!$B$56)/12,Loyalty,2)*$F$1*MAX(BR260,0)</f>
        <v>18.557001321003963</v>
      </c>
      <c r="BQ261" s="75">
        <f>PARAM!$C$26+MAX($G$19-CHOOSE(PARAM!$B$44,MAX(0,BR260*$F$1),0),0)*RATES!$L237/12+$H$19*(PARAM!$D$51/12)*RATES!$N237/100</f>
        <v>18.357384233110579</v>
      </c>
      <c r="BR261" s="16">
        <f t="shared" si="171"/>
        <v>680.62706406421739</v>
      </c>
      <c r="BS261" s="15">
        <f t="shared" si="146"/>
        <v>22.170849845882874</v>
      </c>
      <c r="BT261" s="75">
        <f>BS261*(1-PARAM!$C$27)*$I$20+(MOD($B261,60)=PARAM!$B$56)*($B261&gt;(60-PARAM!$B$56))*HLOOKUP(($B261+PARAM!$B$56)/12,Loyalty,2)*$F$1*MAX(BV260,0)</f>
        <v>18.557001321003963</v>
      </c>
      <c r="BU261" s="75">
        <f>PARAM!$C$26+MAX($G$20-CHOOSE(PARAM!$B$44,MAX(0,BV260*$F$1),0),0)*RATES!$L237/12+$H$20*(PARAM!$D$51/12)*RATES!$N237/100</f>
        <v>18.357384233110579</v>
      </c>
      <c r="BV261" s="16">
        <f t="shared" si="172"/>
        <v>680.62706406421739</v>
      </c>
      <c r="BW261" s="15">
        <f t="shared" si="147"/>
        <v>22.170849845882874</v>
      </c>
      <c r="BX261" s="75">
        <f>BW261*(1-PARAM!$C$27)*$I$21+(MOD($B261,60)=PARAM!$B$56)*($B261&gt;(60-PARAM!$B$56))*HLOOKUP(($B261+PARAM!$B$56)/12,Loyalty,2)*$F$1*MAX(BZ260,0)</f>
        <v>18.557001321003963</v>
      </c>
      <c r="BY261" s="75">
        <f>PARAM!$C$26+MAX($G$21-CHOOSE(PARAM!$B$44,MAX(0,BZ260*$F$1),0),0)*RATES!$L237/12+$H$21*(PARAM!$D$51/12)*RATES!$N237/100</f>
        <v>18.357384233110579</v>
      </c>
      <c r="BZ261" s="16">
        <f t="shared" si="173"/>
        <v>680.62706406421739</v>
      </c>
      <c r="CA261" s="15">
        <f t="shared" si="148"/>
        <v>22.170849845882874</v>
      </c>
      <c r="CB261" s="75">
        <f>CA261*(1-PARAM!$C$27)*$I$22+(MOD($B261,60)=PARAM!$B$56)*($B261&gt;(60-PARAM!$B$56))*HLOOKUP(($B261+PARAM!$B$56)/12,Loyalty,2)*$F$1*MAX(CD260,0)</f>
        <v>18.557001321003963</v>
      </c>
      <c r="CC261" s="75">
        <f>PARAM!$C$26+MAX($G$22-CHOOSE(PARAM!$B$44,MAX(0,CD260*$F$1),0),0)*RATES!$L237/12+$H$22*(PARAM!$D$51/12)*RATES!$N237/100</f>
        <v>18.357384233110579</v>
      </c>
      <c r="CD261" s="16">
        <f t="shared" si="174"/>
        <v>680.62706406421739</v>
      </c>
      <c r="CE261" s="33">
        <f>IF(0=MOD(B261,12/PARAM!$D$51),1,0)</f>
        <v>1</v>
      </c>
      <c r="CF261" s="15">
        <f t="shared" si="149"/>
        <v>0</v>
      </c>
      <c r="CG261" s="75">
        <f>CF261*(1-PARAM!$C$27)*$R$3+(MOD($B261/12,5)=0)*($B261&gt;60)*HLOOKUP($B261/12,Loyalty,2)*$F$1*MAX(CI260,0)</f>
        <v>0</v>
      </c>
      <c r="CH261" s="75">
        <f>PARAM!$C$26+MAX($P$3-CHOOSE(PARAM!$B$44,MAX(0,CI260*$F$1),0),0)*RATES!$L237/12+$Q$3*(PARAM!$D$51/12)*RATES!$N237/100</f>
        <v>18.541666666666664</v>
      </c>
      <c r="CI261" s="16">
        <f>IF(CI260&gt;0,CI260*PARAM!$C$53,CI260)+CG261-CH261</f>
        <v>-3490.0416666666633</v>
      </c>
      <c r="CJ261" s="15">
        <f t="shared" si="175"/>
        <v>0</v>
      </c>
      <c r="CK261" s="75">
        <f>CJ261*(1-PARAM!$C$27)*$R$4+(MOD($B261/12,5)=0)*($B261&gt;60)*HLOOKUP($B261/12,Loyalty,2)*$F$1*MAX(CM260,0)</f>
        <v>0</v>
      </c>
      <c r="CL261" s="75">
        <f>PARAM!$C$26+MAX($P$4-CHOOSE(PARAM!$B$44,MAX(0,CM260*$F$1),0),0)*RATES!$L237/12+$Q$4*(PARAM!$D$51/12)*RATES!$N237/100</f>
        <v>18.541666666666664</v>
      </c>
      <c r="CM261" s="16">
        <f>IF(CM260&gt;0,CM260*PARAM!$C$53,CM260)+CK261-CL261</f>
        <v>-3490.0416666666633</v>
      </c>
      <c r="CO261" s="176"/>
    </row>
    <row r="262" spans="1:93" x14ac:dyDescent="0.2">
      <c r="A262" t="b">
        <f t="shared" si="150"/>
        <v>1</v>
      </c>
      <c r="B262" s="33">
        <v>235</v>
      </c>
      <c r="C262" s="15">
        <f t="shared" si="151"/>
        <v>20.081305947392778</v>
      </c>
      <c r="D262" s="75">
        <f>C262*(1-PARAM!$C$27)*$I$3+(MOD($B262,60)=PARAM!$B$56)*($B262&gt;(60-PARAM!$B$56))*HLOOKUP(($B262+PARAM!$B$56)/12,Loyalty,2)*$F$1*MAX(F261,0)</f>
        <v>16.808053077967756</v>
      </c>
      <c r="E262" s="75">
        <f>PARAM!$C$26+MAX($G$3-CHOOSE(PARAM!$B$44,MAX(0,F261*$F$1),0),0)*RATES!$L238/12+$H$3*(PARAM!$D$51/12)*RATES!$N238/100</f>
        <v>18.467088610043525</v>
      </c>
      <c r="F262" s="16">
        <f t="shared" si="152"/>
        <v>273.70609661490573</v>
      </c>
      <c r="G262" s="15">
        <f t="shared" si="153"/>
        <v>22.035289406060361</v>
      </c>
      <c r="H262" s="75">
        <f>G262*(1-PARAM!$C$27)*$I$4+(MOD($B262,60)=PARAM!$B$56)*($B262&gt;(60-PARAM!$B$56))*HLOOKUP(($B262+PARAM!$B$56)/12,Loyalty,2)*$F$1*MAX(J261,0)</f>
        <v>18.443537232872522</v>
      </c>
      <c r="I262" s="75">
        <f>PARAM!$C$26+MAX($G$4-CHOOSE(PARAM!$B$44,MAX(0,J261*$F$1),0),0)*RATES!$L238/12+$H$4*(PARAM!$D$51/12)*RATES!$N238/100</f>
        <v>18.364454997198287</v>
      </c>
      <c r="J262" s="16">
        <f t="shared" si="154"/>
        <v>654.39909258046657</v>
      </c>
      <c r="K262" s="15">
        <f t="shared" si="155"/>
        <v>22.170849845882874</v>
      </c>
      <c r="L262" s="75">
        <f>K262*(1-PARAM!$C$27)*$I$5+(MOD($B262,60)=PARAM!$B$56)*($B262&gt;(60-PARAM!$B$56))*HLOOKUP(($B262+PARAM!$B$56)/12,Loyalty,2)*$F$1*MAX(N261,0)</f>
        <v>18.557001321003963</v>
      </c>
      <c r="M262" s="75">
        <f>PARAM!$C$26+MAX($G$5-CHOOSE(PARAM!$B$44,MAX(0,N261*$F$1),0),0)*RATES!$L238/12+$H$5*(PARAM!$D$51/12)*RATES!$N238/100</f>
        <v>18.357330170149275</v>
      </c>
      <c r="N262" s="16">
        <f t="shared" si="156"/>
        <v>680.82673521507218</v>
      </c>
      <c r="O262" s="15">
        <f t="shared" si="157"/>
        <v>22.170849845882874</v>
      </c>
      <c r="P262" s="75">
        <f>O262*(1-PARAM!$C$27)*$I$6+(MOD($B262,60)=PARAM!$B$56)*($B262&gt;(60-PARAM!$B$56))*HLOOKUP(($B262+PARAM!$B$56)/12,Loyalty,2)*$F$1*MAX(R261,0)</f>
        <v>18.557001321003963</v>
      </c>
      <c r="Q262" s="75">
        <f>PARAM!$C$26+MAX($G$6-CHOOSE(PARAM!$B$44,MAX(0,R261*$F$1),0),0)*RATES!$L238/12+$H$6*(PARAM!$D$51/12)*RATES!$N238/100</f>
        <v>18.357330170149275</v>
      </c>
      <c r="R262" s="16">
        <f t="shared" si="158"/>
        <v>680.82673521507218</v>
      </c>
      <c r="S262" s="15">
        <f t="shared" si="133"/>
        <v>22.170849845882874</v>
      </c>
      <c r="T262" s="75">
        <f>S262*(1-PARAM!$C$27)*$I$7+(MOD($B262,60)=PARAM!$B$56)*($B262&gt;(60-PARAM!$B$56))*HLOOKUP(($B262+PARAM!$B$56)/12,Loyalty,2)*$F$1*MAX(V261,0)</f>
        <v>18.557001321003963</v>
      </c>
      <c r="U262" s="75">
        <f>PARAM!$C$26+MAX($G$7-CHOOSE(PARAM!$B$44,MAX(0,V261*$F$1),0),0)*RATES!$L238/12+$H$7*(PARAM!$D$51/12)*RATES!$N238/100</f>
        <v>18.357330170149275</v>
      </c>
      <c r="V262" s="16">
        <f t="shared" si="159"/>
        <v>680.82673521507218</v>
      </c>
      <c r="W262" s="15">
        <f t="shared" si="134"/>
        <v>22.170849845882874</v>
      </c>
      <c r="X262" s="75">
        <f>W262*(1-PARAM!$C$27)*$I$8+(MOD($B262,60)=PARAM!$B$56)*($B262&gt;(60-PARAM!$B$56))*HLOOKUP(($B262+PARAM!$B$56)/12,Loyalty,2)*$F$1*MAX(Z261,0)</f>
        <v>18.557001321003963</v>
      </c>
      <c r="Y262" s="75">
        <f>PARAM!$C$26+MAX($G$8-CHOOSE(PARAM!$B$44,MAX(0,Z261*$F$1),0),0)*RATES!$L238/12+$H$8*(PARAM!$D$51/12)*RATES!$N238/100</f>
        <v>18.357330170149275</v>
      </c>
      <c r="Z262" s="16">
        <f t="shared" si="160"/>
        <v>680.82673521507218</v>
      </c>
      <c r="AA262" s="15">
        <f t="shared" si="135"/>
        <v>22.170849845882874</v>
      </c>
      <c r="AB262" s="75">
        <f>AA262*(1-PARAM!$C$27)*$I$9+(MOD($B262,60)=PARAM!$B$56)*($B262&gt;(60-PARAM!$B$56))*HLOOKUP(($B262+PARAM!$B$56)/12,Loyalty,2)*$F$1*MAX(AD261,0)</f>
        <v>18.557001321003963</v>
      </c>
      <c r="AC262" s="75">
        <f>PARAM!$C$26+MAX($G$9-CHOOSE(PARAM!$B$44,MAX(0,AD261*$F$1),0),0)*RATES!$L238/12+$H$9*(PARAM!$D$51/12)*RATES!$N238/100</f>
        <v>18.357330170149275</v>
      </c>
      <c r="AD262" s="16">
        <f t="shared" si="161"/>
        <v>680.82673521507218</v>
      </c>
      <c r="AE262" s="15">
        <f t="shared" si="136"/>
        <v>22.170849845882874</v>
      </c>
      <c r="AF262" s="75">
        <f>AE262*(1-PARAM!$C$27)*$I$10+(MOD($B262,60)=PARAM!$B$56)*($B262&gt;(60-PARAM!$B$56))*HLOOKUP(($B262+PARAM!$B$56)/12,Loyalty,2)*$F$1*MAX(AH261,0)</f>
        <v>18.557001321003963</v>
      </c>
      <c r="AG262" s="75">
        <f>PARAM!$C$26+MAX($G$10-CHOOSE(PARAM!$B$44,MAX(0,AH261*$F$1),0),0)*RATES!$L238/12+$H$10*(PARAM!$D$51/12)*RATES!$N238/100</f>
        <v>18.357330170149275</v>
      </c>
      <c r="AH262" s="16">
        <f t="shared" si="162"/>
        <v>680.82673521507218</v>
      </c>
      <c r="AI262" s="15">
        <f t="shared" si="137"/>
        <v>22.170849845882874</v>
      </c>
      <c r="AJ262" s="75">
        <f>AI262*(1-PARAM!$C$27)*$I$11+(MOD($B262,60)=PARAM!$B$56)*($B262&gt;(60-PARAM!$B$56))*HLOOKUP(($B262+PARAM!$B$56)/12,Loyalty,2)*$F$1*MAX(AL261,0)</f>
        <v>18.557001321003963</v>
      </c>
      <c r="AK262" s="75">
        <f>PARAM!$C$26+MAX($G$11-CHOOSE(PARAM!$B$44,MAX(0,AL261*$F$1),0),0)*RATES!$L238/12+$H$11*(PARAM!$D$51/12)*RATES!$N238/100</f>
        <v>18.357330170149275</v>
      </c>
      <c r="AL262" s="16">
        <f t="shared" si="163"/>
        <v>680.82673521507218</v>
      </c>
      <c r="AM262" s="15">
        <f t="shared" si="138"/>
        <v>22.170849845882874</v>
      </c>
      <c r="AN262" s="75">
        <f>AM262*(1-PARAM!$C$27)*$I$12+(MOD($B262,60)=PARAM!$B$56)*($B262&gt;(60-PARAM!$B$56))*HLOOKUP(($B262+PARAM!$B$56)/12,Loyalty,2)*$F$1*MAX(AP261,0)</f>
        <v>18.557001321003963</v>
      </c>
      <c r="AO262" s="75">
        <f>PARAM!$C$26+MAX($G$12-CHOOSE(PARAM!$B$44,MAX(0,AP261*$F$1),0),0)*RATES!$L238/12+$H$12*(PARAM!$D$51/12)*RATES!$N238/100</f>
        <v>18.357330170149275</v>
      </c>
      <c r="AP262" s="16">
        <f t="shared" si="164"/>
        <v>680.82673521507218</v>
      </c>
      <c r="AQ262" s="15">
        <f t="shared" si="139"/>
        <v>22.170849845882874</v>
      </c>
      <c r="AR262" s="75">
        <f>AQ262*(1-PARAM!$C$27)*$I$13+(MOD($B262,60)=PARAM!$B$56)*($B262&gt;(60-PARAM!$B$56))*HLOOKUP(($B262+PARAM!$B$56)/12,Loyalty,2)*$F$1*MAX(AT261,0)</f>
        <v>18.557001321003963</v>
      </c>
      <c r="AS262" s="75">
        <f>PARAM!$C$26+MAX($G$13-CHOOSE(PARAM!$B$44,MAX(0,AT261*$F$1),0),0)*RATES!$L238/12+$H$13*(PARAM!$D$51/12)*RATES!$N238/100</f>
        <v>18.357330170149275</v>
      </c>
      <c r="AT262" s="16">
        <f t="shared" si="165"/>
        <v>680.82673521507218</v>
      </c>
      <c r="AU262" s="15">
        <f t="shared" si="140"/>
        <v>22.170849845882874</v>
      </c>
      <c r="AV262" s="75">
        <f>AU262*(1-PARAM!$C$27)*$I$14+(MOD($B262,60)=PARAM!$B$56)*($B262&gt;(60-PARAM!$B$56))*HLOOKUP(($B262+PARAM!$B$56)/12,Loyalty,2)*$F$1*MAX(AX261,0)</f>
        <v>18.557001321003963</v>
      </c>
      <c r="AW262" s="75">
        <f>PARAM!$C$26+MAX($G$14-CHOOSE(PARAM!$B$44,MAX(0,AX261*$F$1),0),0)*RATES!$L238/12+$H$14*(PARAM!$D$51/12)*RATES!$N238/100</f>
        <v>18.357330170149275</v>
      </c>
      <c r="AX262" s="16">
        <f t="shared" si="166"/>
        <v>680.82673521507218</v>
      </c>
      <c r="AY262" s="15">
        <f t="shared" si="141"/>
        <v>22.170849845882874</v>
      </c>
      <c r="AZ262" s="75">
        <f>AY262*(1-PARAM!$C$27)*$I$15+(MOD($B262,60)=PARAM!$B$56)*($B262&gt;(60-PARAM!$B$56))*HLOOKUP(($B262+PARAM!$B$56)/12,Loyalty,2)*$F$1*MAX(BB261,0)</f>
        <v>18.557001321003963</v>
      </c>
      <c r="BA262" s="75">
        <f>PARAM!$C$26+MAX($G$15-CHOOSE(PARAM!$B$44,MAX(0,BB261*$F$1),0),0)*RATES!$L238/12+$H$15*(PARAM!$D$51/12)*RATES!$N238/100</f>
        <v>18.357330170149275</v>
      </c>
      <c r="BB262" s="16">
        <f t="shared" si="167"/>
        <v>680.82673521507218</v>
      </c>
      <c r="BC262" s="15">
        <f t="shared" si="142"/>
        <v>22.170849845882874</v>
      </c>
      <c r="BD262" s="75">
        <f>BC262*(1-PARAM!$C$27)*$I$16+(MOD($B262,60)=PARAM!$B$56)*($B262&gt;(60-PARAM!$B$56))*HLOOKUP(($B262+PARAM!$B$56)/12,Loyalty,2)*$F$1*MAX(BF261,0)</f>
        <v>18.557001321003963</v>
      </c>
      <c r="BE262" s="75">
        <f>PARAM!$C$26+MAX($G$16-CHOOSE(PARAM!$B$44,MAX(0,BF261*$F$1),0),0)*RATES!$L238/12+$H$16*(PARAM!$D$51/12)*RATES!$N238/100</f>
        <v>18.357330170149275</v>
      </c>
      <c r="BF262" s="16">
        <f t="shared" si="168"/>
        <v>680.82673521507218</v>
      </c>
      <c r="BG262" s="15">
        <f t="shared" si="143"/>
        <v>22.170849845882874</v>
      </c>
      <c r="BH262" s="75">
        <f>BG262*(1-PARAM!$C$27)*$I$17+(MOD($B262,60)=PARAM!$B$56)*($B262&gt;(60-PARAM!$B$56))*HLOOKUP(($B262+PARAM!$B$56)/12,Loyalty,2)*$F$1*MAX(BJ261,0)</f>
        <v>18.557001321003963</v>
      </c>
      <c r="BI262" s="75">
        <f>PARAM!$C$26+MAX($G$17-CHOOSE(PARAM!$B$44,MAX(0,BJ261*$F$1),0),0)*RATES!$L238/12+$H$17*(PARAM!$D$51/12)*RATES!$N238/100</f>
        <v>18.357330170149275</v>
      </c>
      <c r="BJ262" s="16">
        <f t="shared" si="169"/>
        <v>680.82673521507218</v>
      </c>
      <c r="BK262" s="15">
        <f t="shared" si="144"/>
        <v>22.170849845882874</v>
      </c>
      <c r="BL262" s="75">
        <f>BK262*(1-PARAM!$C$27)*$I$18+(MOD($B262,60)=PARAM!$B$56)*($B262&gt;(60-PARAM!$B$56))*HLOOKUP(($B262+PARAM!$B$56)/12,Loyalty,2)*$F$1*MAX(BN261,0)</f>
        <v>18.557001321003963</v>
      </c>
      <c r="BM262" s="75">
        <f>PARAM!$C$26+MAX($G$18-CHOOSE(PARAM!$B$44,MAX(0,BN261*$F$1),0),0)*RATES!$L238/12+$H$18*(PARAM!$D$51/12)*RATES!$N238/100</f>
        <v>18.357330170149275</v>
      </c>
      <c r="BN262" s="16">
        <f t="shared" si="170"/>
        <v>680.82673521507218</v>
      </c>
      <c r="BO262" s="15">
        <f t="shared" si="145"/>
        <v>22.170849845882874</v>
      </c>
      <c r="BP262" s="75">
        <f>BO262*(1-PARAM!$C$27)*$I$19+(MOD($B262,60)=PARAM!$B$56)*($B262&gt;(60-PARAM!$B$56))*HLOOKUP(($B262+PARAM!$B$56)/12,Loyalty,2)*$F$1*MAX(BR261,0)</f>
        <v>18.557001321003963</v>
      </c>
      <c r="BQ262" s="75">
        <f>PARAM!$C$26+MAX($G$19-CHOOSE(PARAM!$B$44,MAX(0,BR261*$F$1),0),0)*RATES!$L238/12+$H$19*(PARAM!$D$51/12)*RATES!$N238/100</f>
        <v>18.357330170149275</v>
      </c>
      <c r="BR262" s="16">
        <f t="shared" si="171"/>
        <v>680.82673521507218</v>
      </c>
      <c r="BS262" s="15">
        <f t="shared" si="146"/>
        <v>22.170849845882874</v>
      </c>
      <c r="BT262" s="75">
        <f>BS262*(1-PARAM!$C$27)*$I$20+(MOD($B262,60)=PARAM!$B$56)*($B262&gt;(60-PARAM!$B$56))*HLOOKUP(($B262+PARAM!$B$56)/12,Loyalty,2)*$F$1*MAX(BV261,0)</f>
        <v>18.557001321003963</v>
      </c>
      <c r="BU262" s="75">
        <f>PARAM!$C$26+MAX($G$20-CHOOSE(PARAM!$B$44,MAX(0,BV261*$F$1),0),0)*RATES!$L238/12+$H$20*(PARAM!$D$51/12)*RATES!$N238/100</f>
        <v>18.357330170149275</v>
      </c>
      <c r="BV262" s="16">
        <f t="shared" si="172"/>
        <v>680.82673521507218</v>
      </c>
      <c r="BW262" s="15">
        <f t="shared" si="147"/>
        <v>22.170849845882874</v>
      </c>
      <c r="BX262" s="75">
        <f>BW262*(1-PARAM!$C$27)*$I$21+(MOD($B262,60)=PARAM!$B$56)*($B262&gt;(60-PARAM!$B$56))*HLOOKUP(($B262+PARAM!$B$56)/12,Loyalty,2)*$F$1*MAX(BZ261,0)</f>
        <v>18.557001321003963</v>
      </c>
      <c r="BY262" s="75">
        <f>PARAM!$C$26+MAX($G$21-CHOOSE(PARAM!$B$44,MAX(0,BZ261*$F$1),0),0)*RATES!$L238/12+$H$21*(PARAM!$D$51/12)*RATES!$N238/100</f>
        <v>18.357330170149275</v>
      </c>
      <c r="BZ262" s="16">
        <f t="shared" si="173"/>
        <v>680.82673521507218</v>
      </c>
      <c r="CA262" s="15">
        <f t="shared" si="148"/>
        <v>22.170849845882874</v>
      </c>
      <c r="CB262" s="75">
        <f>CA262*(1-PARAM!$C$27)*$I$22+(MOD($B262,60)=PARAM!$B$56)*($B262&gt;(60-PARAM!$B$56))*HLOOKUP(($B262+PARAM!$B$56)/12,Loyalty,2)*$F$1*MAX(CD261,0)</f>
        <v>18.557001321003963</v>
      </c>
      <c r="CC262" s="75">
        <f>PARAM!$C$26+MAX($G$22-CHOOSE(PARAM!$B$44,MAX(0,CD261*$F$1),0),0)*RATES!$L238/12+$H$22*(PARAM!$D$51/12)*RATES!$N238/100</f>
        <v>18.357330170149275</v>
      </c>
      <c r="CD262" s="16">
        <f t="shared" si="174"/>
        <v>680.82673521507218</v>
      </c>
      <c r="CE262" s="33">
        <f>IF(0=MOD(B262,12/PARAM!$D$51),1,0)</f>
        <v>1</v>
      </c>
      <c r="CF262" s="15">
        <f t="shared" si="149"/>
        <v>0</v>
      </c>
      <c r="CG262" s="75">
        <f>CF262*(1-PARAM!$C$27)*$R$3+(MOD($B262/12,5)=0)*($B262&gt;60)*HLOOKUP($B262/12,Loyalty,2)*$F$1*MAX(CI261,0)</f>
        <v>0</v>
      </c>
      <c r="CH262" s="75">
        <f>PARAM!$C$26+MAX($P$3-CHOOSE(PARAM!$B$44,MAX(0,CI261*$F$1),0),0)*RATES!$L238/12+$Q$3*(PARAM!$D$51/12)*RATES!$N238/100</f>
        <v>18.541666666666664</v>
      </c>
      <c r="CI262" s="16">
        <f>IF(CI261&gt;0,CI261*PARAM!$C$53,CI261)+CG262-CH262</f>
        <v>-3508.5833333333298</v>
      </c>
      <c r="CJ262" s="15">
        <f t="shared" si="175"/>
        <v>0</v>
      </c>
      <c r="CK262" s="75">
        <f>CJ262*(1-PARAM!$C$27)*$R$4+(MOD($B262/12,5)=0)*($B262&gt;60)*HLOOKUP($B262/12,Loyalty,2)*$F$1*MAX(CM261,0)</f>
        <v>0</v>
      </c>
      <c r="CL262" s="75">
        <f>PARAM!$C$26+MAX($P$4-CHOOSE(PARAM!$B$44,MAX(0,CM261*$F$1),0),0)*RATES!$L238/12+$Q$4*(PARAM!$D$51/12)*RATES!$N238/100</f>
        <v>18.541666666666664</v>
      </c>
      <c r="CM262" s="16">
        <f>IF(CM261&gt;0,CM261*PARAM!$C$53,CM261)+CK262-CL262</f>
        <v>-3508.5833333333298</v>
      </c>
      <c r="CO262" s="176"/>
    </row>
    <row r="263" spans="1:93" x14ac:dyDescent="0.2">
      <c r="A263" t="b">
        <f t="shared" si="150"/>
        <v>1</v>
      </c>
      <c r="B263" s="33">
        <v>236</v>
      </c>
      <c r="C263" s="15">
        <f t="shared" si="151"/>
        <v>20.081305947392778</v>
      </c>
      <c r="D263" s="75">
        <f>C263*(1-PARAM!$C$27)*$I$3+(MOD($B263,60)=PARAM!$B$56)*($B263&gt;(60-PARAM!$B$56))*HLOOKUP(($B263+PARAM!$B$56)/12,Loyalty,2)*$F$1*MAX(F262,0)</f>
        <v>16.808053077967756</v>
      </c>
      <c r="E263" s="75">
        <f>PARAM!$C$26+MAX($G$3-CHOOSE(PARAM!$B$44,MAX(0,F262*$F$1),0),0)*RATES!$L239/12+$H$3*(PARAM!$D$51/12)*RATES!$N239/100</f>
        <v>18.467537932166792</v>
      </c>
      <c r="F263" s="16">
        <f t="shared" si="152"/>
        <v>272.0466117607067</v>
      </c>
      <c r="G263" s="15">
        <f t="shared" si="153"/>
        <v>22.035289406060361</v>
      </c>
      <c r="H263" s="75">
        <f>G263*(1-PARAM!$C$27)*$I$4+(MOD($B263,60)=PARAM!$B$56)*($B263&gt;(60-PARAM!$B$56))*HLOOKUP(($B263+PARAM!$B$56)/12,Loyalty,2)*$F$1*MAX(J262,0)</f>
        <v>18.443537232872522</v>
      </c>
      <c r="I263" s="75">
        <f>PARAM!$C$26+MAX($G$4-CHOOSE(PARAM!$B$44,MAX(0,J262*$F$1),0),0)*RATES!$L239/12+$H$4*(PARAM!$D$51/12)*RATES!$N239/100</f>
        <v>18.36443357909279</v>
      </c>
      <c r="J263" s="16">
        <f t="shared" si="154"/>
        <v>654.4781962342463</v>
      </c>
      <c r="K263" s="15">
        <f t="shared" si="155"/>
        <v>22.170849845882874</v>
      </c>
      <c r="L263" s="75">
        <f>K263*(1-PARAM!$C$27)*$I$5+(MOD($B263,60)=PARAM!$B$56)*($B263&gt;(60-PARAM!$B$56))*HLOOKUP(($B263+PARAM!$B$56)/12,Loyalty,2)*$F$1*MAX(N262,0)</f>
        <v>18.557001321003963</v>
      </c>
      <c r="M263" s="75">
        <f>PARAM!$C$26+MAX($G$5-CHOOSE(PARAM!$B$44,MAX(0,N262*$F$1),0),0)*RATES!$L239/12+$H$5*(PARAM!$D$51/12)*RATES!$N239/100</f>
        <v>18.357276092545916</v>
      </c>
      <c r="N263" s="16">
        <f t="shared" si="156"/>
        <v>681.02646044353025</v>
      </c>
      <c r="O263" s="15">
        <f t="shared" si="157"/>
        <v>22.170849845882874</v>
      </c>
      <c r="P263" s="75">
        <f>O263*(1-PARAM!$C$27)*$I$6+(MOD($B263,60)=PARAM!$B$56)*($B263&gt;(60-PARAM!$B$56))*HLOOKUP(($B263+PARAM!$B$56)/12,Loyalty,2)*$F$1*MAX(R262,0)</f>
        <v>18.557001321003963</v>
      </c>
      <c r="Q263" s="75">
        <f>PARAM!$C$26+MAX($G$6-CHOOSE(PARAM!$B$44,MAX(0,R262*$F$1),0),0)*RATES!$L239/12+$H$6*(PARAM!$D$51/12)*RATES!$N239/100</f>
        <v>18.357276092545916</v>
      </c>
      <c r="R263" s="16">
        <f t="shared" si="158"/>
        <v>681.02646044353025</v>
      </c>
      <c r="S263" s="15">
        <f t="shared" si="133"/>
        <v>22.170849845882874</v>
      </c>
      <c r="T263" s="75">
        <f>S263*(1-PARAM!$C$27)*$I$7+(MOD($B263,60)=PARAM!$B$56)*($B263&gt;(60-PARAM!$B$56))*HLOOKUP(($B263+PARAM!$B$56)/12,Loyalty,2)*$F$1*MAX(V262,0)</f>
        <v>18.557001321003963</v>
      </c>
      <c r="U263" s="75">
        <f>PARAM!$C$26+MAX($G$7-CHOOSE(PARAM!$B$44,MAX(0,V262*$F$1),0),0)*RATES!$L239/12+$H$7*(PARAM!$D$51/12)*RATES!$N239/100</f>
        <v>18.357276092545916</v>
      </c>
      <c r="V263" s="16">
        <f t="shared" si="159"/>
        <v>681.02646044353025</v>
      </c>
      <c r="W263" s="15">
        <f t="shared" si="134"/>
        <v>22.170849845882874</v>
      </c>
      <c r="X263" s="75">
        <f>W263*(1-PARAM!$C$27)*$I$8+(MOD($B263,60)=PARAM!$B$56)*($B263&gt;(60-PARAM!$B$56))*HLOOKUP(($B263+PARAM!$B$56)/12,Loyalty,2)*$F$1*MAX(Z262,0)</f>
        <v>18.557001321003963</v>
      </c>
      <c r="Y263" s="75">
        <f>PARAM!$C$26+MAX($G$8-CHOOSE(PARAM!$B$44,MAX(0,Z262*$F$1),0),0)*RATES!$L239/12+$H$8*(PARAM!$D$51/12)*RATES!$N239/100</f>
        <v>18.357276092545916</v>
      </c>
      <c r="Z263" s="16">
        <f t="shared" si="160"/>
        <v>681.02646044353025</v>
      </c>
      <c r="AA263" s="15">
        <f t="shared" si="135"/>
        <v>22.170849845882874</v>
      </c>
      <c r="AB263" s="75">
        <f>AA263*(1-PARAM!$C$27)*$I$9+(MOD($B263,60)=PARAM!$B$56)*($B263&gt;(60-PARAM!$B$56))*HLOOKUP(($B263+PARAM!$B$56)/12,Loyalty,2)*$F$1*MAX(AD262,0)</f>
        <v>18.557001321003963</v>
      </c>
      <c r="AC263" s="75">
        <f>PARAM!$C$26+MAX($G$9-CHOOSE(PARAM!$B$44,MAX(0,AD262*$F$1),0),0)*RATES!$L239/12+$H$9*(PARAM!$D$51/12)*RATES!$N239/100</f>
        <v>18.357276092545916</v>
      </c>
      <c r="AD263" s="16">
        <f t="shared" si="161"/>
        <v>681.02646044353025</v>
      </c>
      <c r="AE263" s="15">
        <f t="shared" si="136"/>
        <v>22.170849845882874</v>
      </c>
      <c r="AF263" s="75">
        <f>AE263*(1-PARAM!$C$27)*$I$10+(MOD($B263,60)=PARAM!$B$56)*($B263&gt;(60-PARAM!$B$56))*HLOOKUP(($B263+PARAM!$B$56)/12,Loyalty,2)*$F$1*MAX(AH262,0)</f>
        <v>18.557001321003963</v>
      </c>
      <c r="AG263" s="75">
        <f>PARAM!$C$26+MAX($G$10-CHOOSE(PARAM!$B$44,MAX(0,AH262*$F$1),0),0)*RATES!$L239/12+$H$10*(PARAM!$D$51/12)*RATES!$N239/100</f>
        <v>18.357276092545916</v>
      </c>
      <c r="AH263" s="16">
        <f t="shared" si="162"/>
        <v>681.02646044353025</v>
      </c>
      <c r="AI263" s="15">
        <f t="shared" si="137"/>
        <v>22.170849845882874</v>
      </c>
      <c r="AJ263" s="75">
        <f>AI263*(1-PARAM!$C$27)*$I$11+(MOD($B263,60)=PARAM!$B$56)*($B263&gt;(60-PARAM!$B$56))*HLOOKUP(($B263+PARAM!$B$56)/12,Loyalty,2)*$F$1*MAX(AL262,0)</f>
        <v>18.557001321003963</v>
      </c>
      <c r="AK263" s="75">
        <f>PARAM!$C$26+MAX($G$11-CHOOSE(PARAM!$B$44,MAX(0,AL262*$F$1),0),0)*RATES!$L239/12+$H$11*(PARAM!$D$51/12)*RATES!$N239/100</f>
        <v>18.357276092545916</v>
      </c>
      <c r="AL263" s="16">
        <f t="shared" si="163"/>
        <v>681.02646044353025</v>
      </c>
      <c r="AM263" s="15">
        <f t="shared" si="138"/>
        <v>22.170849845882874</v>
      </c>
      <c r="AN263" s="75">
        <f>AM263*(1-PARAM!$C$27)*$I$12+(MOD($B263,60)=PARAM!$B$56)*($B263&gt;(60-PARAM!$B$56))*HLOOKUP(($B263+PARAM!$B$56)/12,Loyalty,2)*$F$1*MAX(AP262,0)</f>
        <v>18.557001321003963</v>
      </c>
      <c r="AO263" s="75">
        <f>PARAM!$C$26+MAX($G$12-CHOOSE(PARAM!$B$44,MAX(0,AP262*$F$1),0),0)*RATES!$L239/12+$H$12*(PARAM!$D$51/12)*RATES!$N239/100</f>
        <v>18.357276092545916</v>
      </c>
      <c r="AP263" s="16">
        <f t="shared" si="164"/>
        <v>681.02646044353025</v>
      </c>
      <c r="AQ263" s="15">
        <f t="shared" si="139"/>
        <v>22.170849845882874</v>
      </c>
      <c r="AR263" s="75">
        <f>AQ263*(1-PARAM!$C$27)*$I$13+(MOD($B263,60)=PARAM!$B$56)*($B263&gt;(60-PARAM!$B$56))*HLOOKUP(($B263+PARAM!$B$56)/12,Loyalty,2)*$F$1*MAX(AT262,0)</f>
        <v>18.557001321003963</v>
      </c>
      <c r="AS263" s="75">
        <f>PARAM!$C$26+MAX($G$13-CHOOSE(PARAM!$B$44,MAX(0,AT262*$F$1),0),0)*RATES!$L239/12+$H$13*(PARAM!$D$51/12)*RATES!$N239/100</f>
        <v>18.357276092545916</v>
      </c>
      <c r="AT263" s="16">
        <f t="shared" si="165"/>
        <v>681.02646044353025</v>
      </c>
      <c r="AU263" s="15">
        <f t="shared" si="140"/>
        <v>22.170849845882874</v>
      </c>
      <c r="AV263" s="75">
        <f>AU263*(1-PARAM!$C$27)*$I$14+(MOD($B263,60)=PARAM!$B$56)*($B263&gt;(60-PARAM!$B$56))*HLOOKUP(($B263+PARAM!$B$56)/12,Loyalty,2)*$F$1*MAX(AX262,0)</f>
        <v>18.557001321003963</v>
      </c>
      <c r="AW263" s="75">
        <f>PARAM!$C$26+MAX($G$14-CHOOSE(PARAM!$B$44,MAX(0,AX262*$F$1),0),0)*RATES!$L239/12+$H$14*(PARAM!$D$51/12)*RATES!$N239/100</f>
        <v>18.357276092545916</v>
      </c>
      <c r="AX263" s="16">
        <f t="shared" si="166"/>
        <v>681.02646044353025</v>
      </c>
      <c r="AY263" s="15">
        <f t="shared" si="141"/>
        <v>22.170849845882874</v>
      </c>
      <c r="AZ263" s="75">
        <f>AY263*(1-PARAM!$C$27)*$I$15+(MOD($B263,60)=PARAM!$B$56)*($B263&gt;(60-PARAM!$B$56))*HLOOKUP(($B263+PARAM!$B$56)/12,Loyalty,2)*$F$1*MAX(BB262,0)</f>
        <v>18.557001321003963</v>
      </c>
      <c r="BA263" s="75">
        <f>PARAM!$C$26+MAX($G$15-CHOOSE(PARAM!$B$44,MAX(0,BB262*$F$1),0),0)*RATES!$L239/12+$H$15*(PARAM!$D$51/12)*RATES!$N239/100</f>
        <v>18.357276092545916</v>
      </c>
      <c r="BB263" s="16">
        <f t="shared" si="167"/>
        <v>681.02646044353025</v>
      </c>
      <c r="BC263" s="15">
        <f t="shared" si="142"/>
        <v>22.170849845882874</v>
      </c>
      <c r="BD263" s="75">
        <f>BC263*(1-PARAM!$C$27)*$I$16+(MOD($B263,60)=PARAM!$B$56)*($B263&gt;(60-PARAM!$B$56))*HLOOKUP(($B263+PARAM!$B$56)/12,Loyalty,2)*$F$1*MAX(BF262,0)</f>
        <v>18.557001321003963</v>
      </c>
      <c r="BE263" s="75">
        <f>PARAM!$C$26+MAX($G$16-CHOOSE(PARAM!$B$44,MAX(0,BF262*$F$1),0),0)*RATES!$L239/12+$H$16*(PARAM!$D$51/12)*RATES!$N239/100</f>
        <v>18.357276092545916</v>
      </c>
      <c r="BF263" s="16">
        <f t="shared" si="168"/>
        <v>681.02646044353025</v>
      </c>
      <c r="BG263" s="15">
        <f t="shared" si="143"/>
        <v>22.170849845882874</v>
      </c>
      <c r="BH263" s="75">
        <f>BG263*(1-PARAM!$C$27)*$I$17+(MOD($B263,60)=PARAM!$B$56)*($B263&gt;(60-PARAM!$B$56))*HLOOKUP(($B263+PARAM!$B$56)/12,Loyalty,2)*$F$1*MAX(BJ262,0)</f>
        <v>18.557001321003963</v>
      </c>
      <c r="BI263" s="75">
        <f>PARAM!$C$26+MAX($G$17-CHOOSE(PARAM!$B$44,MAX(0,BJ262*$F$1),0),0)*RATES!$L239/12+$H$17*(PARAM!$D$51/12)*RATES!$N239/100</f>
        <v>18.357276092545916</v>
      </c>
      <c r="BJ263" s="16">
        <f t="shared" si="169"/>
        <v>681.02646044353025</v>
      </c>
      <c r="BK263" s="15">
        <f t="shared" si="144"/>
        <v>22.170849845882874</v>
      </c>
      <c r="BL263" s="75">
        <f>BK263*(1-PARAM!$C$27)*$I$18+(MOD($B263,60)=PARAM!$B$56)*($B263&gt;(60-PARAM!$B$56))*HLOOKUP(($B263+PARAM!$B$56)/12,Loyalty,2)*$F$1*MAX(BN262,0)</f>
        <v>18.557001321003963</v>
      </c>
      <c r="BM263" s="75">
        <f>PARAM!$C$26+MAX($G$18-CHOOSE(PARAM!$B$44,MAX(0,BN262*$F$1),0),0)*RATES!$L239/12+$H$18*(PARAM!$D$51/12)*RATES!$N239/100</f>
        <v>18.357276092545916</v>
      </c>
      <c r="BN263" s="16">
        <f t="shared" si="170"/>
        <v>681.02646044353025</v>
      </c>
      <c r="BO263" s="15">
        <f t="shared" si="145"/>
        <v>22.170849845882874</v>
      </c>
      <c r="BP263" s="75">
        <f>BO263*(1-PARAM!$C$27)*$I$19+(MOD($B263,60)=PARAM!$B$56)*($B263&gt;(60-PARAM!$B$56))*HLOOKUP(($B263+PARAM!$B$56)/12,Loyalty,2)*$F$1*MAX(BR262,0)</f>
        <v>18.557001321003963</v>
      </c>
      <c r="BQ263" s="75">
        <f>PARAM!$C$26+MAX($G$19-CHOOSE(PARAM!$B$44,MAX(0,BR262*$F$1),0),0)*RATES!$L239/12+$H$19*(PARAM!$D$51/12)*RATES!$N239/100</f>
        <v>18.357276092545916</v>
      </c>
      <c r="BR263" s="16">
        <f t="shared" si="171"/>
        <v>681.02646044353025</v>
      </c>
      <c r="BS263" s="15">
        <f t="shared" si="146"/>
        <v>22.170849845882874</v>
      </c>
      <c r="BT263" s="75">
        <f>BS263*(1-PARAM!$C$27)*$I$20+(MOD($B263,60)=PARAM!$B$56)*($B263&gt;(60-PARAM!$B$56))*HLOOKUP(($B263+PARAM!$B$56)/12,Loyalty,2)*$F$1*MAX(BV262,0)</f>
        <v>18.557001321003963</v>
      </c>
      <c r="BU263" s="75">
        <f>PARAM!$C$26+MAX($G$20-CHOOSE(PARAM!$B$44,MAX(0,BV262*$F$1),0),0)*RATES!$L239/12+$H$20*(PARAM!$D$51/12)*RATES!$N239/100</f>
        <v>18.357276092545916</v>
      </c>
      <c r="BV263" s="16">
        <f t="shared" si="172"/>
        <v>681.02646044353025</v>
      </c>
      <c r="BW263" s="15">
        <f t="shared" si="147"/>
        <v>22.170849845882874</v>
      </c>
      <c r="BX263" s="75">
        <f>BW263*(1-PARAM!$C$27)*$I$21+(MOD($B263,60)=PARAM!$B$56)*($B263&gt;(60-PARAM!$B$56))*HLOOKUP(($B263+PARAM!$B$56)/12,Loyalty,2)*$F$1*MAX(BZ262,0)</f>
        <v>18.557001321003963</v>
      </c>
      <c r="BY263" s="75">
        <f>PARAM!$C$26+MAX($G$21-CHOOSE(PARAM!$B$44,MAX(0,BZ262*$F$1),0),0)*RATES!$L239/12+$H$21*(PARAM!$D$51/12)*RATES!$N239/100</f>
        <v>18.357276092545916</v>
      </c>
      <c r="BZ263" s="16">
        <f t="shared" si="173"/>
        <v>681.02646044353025</v>
      </c>
      <c r="CA263" s="15">
        <f t="shared" si="148"/>
        <v>22.170849845882874</v>
      </c>
      <c r="CB263" s="75">
        <f>CA263*(1-PARAM!$C$27)*$I$22+(MOD($B263,60)=PARAM!$B$56)*($B263&gt;(60-PARAM!$B$56))*HLOOKUP(($B263+PARAM!$B$56)/12,Loyalty,2)*$F$1*MAX(CD262,0)</f>
        <v>18.557001321003963</v>
      </c>
      <c r="CC263" s="75">
        <f>PARAM!$C$26+MAX($G$22-CHOOSE(PARAM!$B$44,MAX(0,CD262*$F$1),0),0)*RATES!$L239/12+$H$22*(PARAM!$D$51/12)*RATES!$N239/100</f>
        <v>18.357276092545916</v>
      </c>
      <c r="CD263" s="16">
        <f t="shared" si="174"/>
        <v>681.02646044353025</v>
      </c>
      <c r="CE263" s="33">
        <f>IF(0=MOD(B263,12/PARAM!$D$51),1,0)</f>
        <v>1</v>
      </c>
      <c r="CF263" s="15">
        <f t="shared" si="149"/>
        <v>0</v>
      </c>
      <c r="CG263" s="75">
        <f>CF263*(1-PARAM!$C$27)*$R$3+(MOD($B263/12,5)=0)*($B263&gt;60)*HLOOKUP($B263/12,Loyalty,2)*$F$1*MAX(CI262,0)</f>
        <v>0</v>
      </c>
      <c r="CH263" s="75">
        <f>PARAM!$C$26+MAX($P$3-CHOOSE(PARAM!$B$44,MAX(0,CI262*$F$1),0),0)*RATES!$L239/12+$Q$3*(PARAM!$D$51/12)*RATES!$N239/100</f>
        <v>18.541666666666664</v>
      </c>
      <c r="CI263" s="16">
        <f>IF(CI262&gt;0,CI262*PARAM!$C$53,CI262)+CG263-CH263</f>
        <v>-3527.1249999999964</v>
      </c>
      <c r="CJ263" s="15">
        <f t="shared" si="175"/>
        <v>0</v>
      </c>
      <c r="CK263" s="75">
        <f>CJ263*(1-PARAM!$C$27)*$R$4+(MOD($B263/12,5)=0)*($B263&gt;60)*HLOOKUP($B263/12,Loyalty,2)*$F$1*MAX(CM262,0)</f>
        <v>0</v>
      </c>
      <c r="CL263" s="75">
        <f>PARAM!$C$26+MAX($P$4-CHOOSE(PARAM!$B$44,MAX(0,CM262*$F$1),0),0)*RATES!$L239/12+$Q$4*(PARAM!$D$51/12)*RATES!$N239/100</f>
        <v>18.541666666666664</v>
      </c>
      <c r="CM263" s="16">
        <f>IF(CM262&gt;0,CM262*PARAM!$C$53,CM262)+CK263-CL263</f>
        <v>-3527.1249999999964</v>
      </c>
      <c r="CO263" s="176"/>
    </row>
    <row r="264" spans="1:93" x14ac:dyDescent="0.2">
      <c r="A264" t="b">
        <f t="shared" si="150"/>
        <v>1</v>
      </c>
      <c r="B264" s="33">
        <v>237</v>
      </c>
      <c r="C264" s="15">
        <f t="shared" si="151"/>
        <v>20.081305947392778</v>
      </c>
      <c r="D264" s="75">
        <f>C264*(1-PARAM!$C$27)*$I$3+(MOD($B264,60)=PARAM!$B$56)*($B264&gt;(60-PARAM!$B$56))*HLOOKUP(($B264+PARAM!$B$56)/12,Loyalty,2)*$F$1*MAX(F263,0)</f>
        <v>16.808053077967756</v>
      </c>
      <c r="E264" s="75">
        <f>PARAM!$C$26+MAX($G$3-CHOOSE(PARAM!$B$44,MAX(0,F263*$F$1),0),0)*RATES!$L240/12+$H$3*(PARAM!$D$51/12)*RATES!$N240/100</f>
        <v>18.467987375981473</v>
      </c>
      <c r="F264" s="16">
        <f t="shared" si="152"/>
        <v>270.386677462693</v>
      </c>
      <c r="G264" s="15">
        <f t="shared" si="153"/>
        <v>22.035289406060361</v>
      </c>
      <c r="H264" s="75">
        <f>G264*(1-PARAM!$C$27)*$I$4+(MOD($B264,60)=PARAM!$B$56)*($B264&gt;(60-PARAM!$B$56))*HLOOKUP(($B264+PARAM!$B$56)/12,Loyalty,2)*$F$1*MAX(J263,0)</f>
        <v>18.443537232872522</v>
      </c>
      <c r="I264" s="75">
        <f>PARAM!$C$26+MAX($G$4-CHOOSE(PARAM!$B$44,MAX(0,J263*$F$1),0),0)*RATES!$L240/12+$H$4*(PARAM!$D$51/12)*RATES!$N240/100</f>
        <v>18.364412155186557</v>
      </c>
      <c r="J264" s="16">
        <f t="shared" si="154"/>
        <v>654.55732131193224</v>
      </c>
      <c r="K264" s="15">
        <f t="shared" si="155"/>
        <v>22.170849845882874</v>
      </c>
      <c r="L264" s="75">
        <f>K264*(1-PARAM!$C$27)*$I$5+(MOD($B264,60)=PARAM!$B$56)*($B264&gt;(60-PARAM!$B$56))*HLOOKUP(($B264+PARAM!$B$56)/12,Loyalty,2)*$F$1*MAX(N263,0)</f>
        <v>18.557001321003963</v>
      </c>
      <c r="M264" s="75">
        <f>PARAM!$C$26+MAX($G$5-CHOOSE(PARAM!$B$44,MAX(0,N263*$F$1),0),0)*RATES!$L240/12+$H$5*(PARAM!$D$51/12)*RATES!$N240/100</f>
        <v>18.357222000296545</v>
      </c>
      <c r="N264" s="16">
        <f t="shared" si="156"/>
        <v>681.22623976423768</v>
      </c>
      <c r="O264" s="15">
        <f t="shared" si="157"/>
        <v>22.170849845882874</v>
      </c>
      <c r="P264" s="75">
        <f>O264*(1-PARAM!$C$27)*$I$6+(MOD($B264,60)=PARAM!$B$56)*($B264&gt;(60-PARAM!$B$56))*HLOOKUP(($B264+PARAM!$B$56)/12,Loyalty,2)*$F$1*MAX(R263,0)</f>
        <v>18.557001321003963</v>
      </c>
      <c r="Q264" s="75">
        <f>PARAM!$C$26+MAX($G$6-CHOOSE(PARAM!$B$44,MAX(0,R263*$F$1),0),0)*RATES!$L240/12+$H$6*(PARAM!$D$51/12)*RATES!$N240/100</f>
        <v>18.357222000296545</v>
      </c>
      <c r="R264" s="16">
        <f t="shared" si="158"/>
        <v>681.22623976423768</v>
      </c>
      <c r="S264" s="15">
        <f t="shared" si="133"/>
        <v>22.170849845882874</v>
      </c>
      <c r="T264" s="75">
        <f>S264*(1-PARAM!$C$27)*$I$7+(MOD($B264,60)=PARAM!$B$56)*($B264&gt;(60-PARAM!$B$56))*HLOOKUP(($B264+PARAM!$B$56)/12,Loyalty,2)*$F$1*MAX(V263,0)</f>
        <v>18.557001321003963</v>
      </c>
      <c r="U264" s="75">
        <f>PARAM!$C$26+MAX($G$7-CHOOSE(PARAM!$B$44,MAX(0,V263*$F$1),0),0)*RATES!$L240/12+$H$7*(PARAM!$D$51/12)*RATES!$N240/100</f>
        <v>18.357222000296545</v>
      </c>
      <c r="V264" s="16">
        <f t="shared" si="159"/>
        <v>681.22623976423768</v>
      </c>
      <c r="W264" s="15">
        <f t="shared" si="134"/>
        <v>22.170849845882874</v>
      </c>
      <c r="X264" s="75">
        <f>W264*(1-PARAM!$C$27)*$I$8+(MOD($B264,60)=PARAM!$B$56)*($B264&gt;(60-PARAM!$B$56))*HLOOKUP(($B264+PARAM!$B$56)/12,Loyalty,2)*$F$1*MAX(Z263,0)</f>
        <v>18.557001321003963</v>
      </c>
      <c r="Y264" s="75">
        <f>PARAM!$C$26+MAX($G$8-CHOOSE(PARAM!$B$44,MAX(0,Z263*$F$1),0),0)*RATES!$L240/12+$H$8*(PARAM!$D$51/12)*RATES!$N240/100</f>
        <v>18.357222000296545</v>
      </c>
      <c r="Z264" s="16">
        <f t="shared" si="160"/>
        <v>681.22623976423768</v>
      </c>
      <c r="AA264" s="15">
        <f t="shared" si="135"/>
        <v>22.170849845882874</v>
      </c>
      <c r="AB264" s="75">
        <f>AA264*(1-PARAM!$C$27)*$I$9+(MOD($B264,60)=PARAM!$B$56)*($B264&gt;(60-PARAM!$B$56))*HLOOKUP(($B264+PARAM!$B$56)/12,Loyalty,2)*$F$1*MAX(AD263,0)</f>
        <v>18.557001321003963</v>
      </c>
      <c r="AC264" s="75">
        <f>PARAM!$C$26+MAX($G$9-CHOOSE(PARAM!$B$44,MAX(0,AD263*$F$1),0),0)*RATES!$L240/12+$H$9*(PARAM!$D$51/12)*RATES!$N240/100</f>
        <v>18.357222000296545</v>
      </c>
      <c r="AD264" s="16">
        <f t="shared" si="161"/>
        <v>681.22623976423768</v>
      </c>
      <c r="AE264" s="15">
        <f t="shared" si="136"/>
        <v>22.170849845882874</v>
      </c>
      <c r="AF264" s="75">
        <f>AE264*(1-PARAM!$C$27)*$I$10+(MOD($B264,60)=PARAM!$B$56)*($B264&gt;(60-PARAM!$B$56))*HLOOKUP(($B264+PARAM!$B$56)/12,Loyalty,2)*$F$1*MAX(AH263,0)</f>
        <v>18.557001321003963</v>
      </c>
      <c r="AG264" s="75">
        <f>PARAM!$C$26+MAX($G$10-CHOOSE(PARAM!$B$44,MAX(0,AH263*$F$1),0),0)*RATES!$L240/12+$H$10*(PARAM!$D$51/12)*RATES!$N240/100</f>
        <v>18.357222000296545</v>
      </c>
      <c r="AH264" s="16">
        <f t="shared" si="162"/>
        <v>681.22623976423768</v>
      </c>
      <c r="AI264" s="15">
        <f t="shared" si="137"/>
        <v>22.170849845882874</v>
      </c>
      <c r="AJ264" s="75">
        <f>AI264*(1-PARAM!$C$27)*$I$11+(MOD($B264,60)=PARAM!$B$56)*($B264&gt;(60-PARAM!$B$56))*HLOOKUP(($B264+PARAM!$B$56)/12,Loyalty,2)*$F$1*MAX(AL263,0)</f>
        <v>18.557001321003963</v>
      </c>
      <c r="AK264" s="75">
        <f>PARAM!$C$26+MAX($G$11-CHOOSE(PARAM!$B$44,MAX(0,AL263*$F$1),0),0)*RATES!$L240/12+$H$11*(PARAM!$D$51/12)*RATES!$N240/100</f>
        <v>18.357222000296545</v>
      </c>
      <c r="AL264" s="16">
        <f t="shared" si="163"/>
        <v>681.22623976423768</v>
      </c>
      <c r="AM264" s="15">
        <f t="shared" si="138"/>
        <v>22.170849845882874</v>
      </c>
      <c r="AN264" s="75">
        <f>AM264*(1-PARAM!$C$27)*$I$12+(MOD($B264,60)=PARAM!$B$56)*($B264&gt;(60-PARAM!$B$56))*HLOOKUP(($B264+PARAM!$B$56)/12,Loyalty,2)*$F$1*MAX(AP263,0)</f>
        <v>18.557001321003963</v>
      </c>
      <c r="AO264" s="75">
        <f>PARAM!$C$26+MAX($G$12-CHOOSE(PARAM!$B$44,MAX(0,AP263*$F$1),0),0)*RATES!$L240/12+$H$12*(PARAM!$D$51/12)*RATES!$N240/100</f>
        <v>18.357222000296545</v>
      </c>
      <c r="AP264" s="16">
        <f t="shared" si="164"/>
        <v>681.22623976423768</v>
      </c>
      <c r="AQ264" s="15">
        <f t="shared" si="139"/>
        <v>22.170849845882874</v>
      </c>
      <c r="AR264" s="75">
        <f>AQ264*(1-PARAM!$C$27)*$I$13+(MOD($B264,60)=PARAM!$B$56)*($B264&gt;(60-PARAM!$B$56))*HLOOKUP(($B264+PARAM!$B$56)/12,Loyalty,2)*$F$1*MAX(AT263,0)</f>
        <v>18.557001321003963</v>
      </c>
      <c r="AS264" s="75">
        <f>PARAM!$C$26+MAX($G$13-CHOOSE(PARAM!$B$44,MAX(0,AT263*$F$1),0),0)*RATES!$L240/12+$H$13*(PARAM!$D$51/12)*RATES!$N240/100</f>
        <v>18.357222000296545</v>
      </c>
      <c r="AT264" s="16">
        <f t="shared" si="165"/>
        <v>681.22623976423768</v>
      </c>
      <c r="AU264" s="15">
        <f t="shared" si="140"/>
        <v>22.170849845882874</v>
      </c>
      <c r="AV264" s="75">
        <f>AU264*(1-PARAM!$C$27)*$I$14+(MOD($B264,60)=PARAM!$B$56)*($B264&gt;(60-PARAM!$B$56))*HLOOKUP(($B264+PARAM!$B$56)/12,Loyalty,2)*$F$1*MAX(AX263,0)</f>
        <v>18.557001321003963</v>
      </c>
      <c r="AW264" s="75">
        <f>PARAM!$C$26+MAX($G$14-CHOOSE(PARAM!$B$44,MAX(0,AX263*$F$1),0),0)*RATES!$L240/12+$H$14*(PARAM!$D$51/12)*RATES!$N240/100</f>
        <v>18.357222000296545</v>
      </c>
      <c r="AX264" s="16">
        <f t="shared" si="166"/>
        <v>681.22623976423768</v>
      </c>
      <c r="AY264" s="15">
        <f t="shared" si="141"/>
        <v>22.170849845882874</v>
      </c>
      <c r="AZ264" s="75">
        <f>AY264*(1-PARAM!$C$27)*$I$15+(MOD($B264,60)=PARAM!$B$56)*($B264&gt;(60-PARAM!$B$56))*HLOOKUP(($B264+PARAM!$B$56)/12,Loyalty,2)*$F$1*MAX(BB263,0)</f>
        <v>18.557001321003963</v>
      </c>
      <c r="BA264" s="75">
        <f>PARAM!$C$26+MAX($G$15-CHOOSE(PARAM!$B$44,MAX(0,BB263*$F$1),0),0)*RATES!$L240/12+$H$15*(PARAM!$D$51/12)*RATES!$N240/100</f>
        <v>18.357222000296545</v>
      </c>
      <c r="BB264" s="16">
        <f t="shared" si="167"/>
        <v>681.22623976423768</v>
      </c>
      <c r="BC264" s="15">
        <f t="shared" si="142"/>
        <v>22.170849845882874</v>
      </c>
      <c r="BD264" s="75">
        <f>BC264*(1-PARAM!$C$27)*$I$16+(MOD($B264,60)=PARAM!$B$56)*($B264&gt;(60-PARAM!$B$56))*HLOOKUP(($B264+PARAM!$B$56)/12,Loyalty,2)*$F$1*MAX(BF263,0)</f>
        <v>18.557001321003963</v>
      </c>
      <c r="BE264" s="75">
        <f>PARAM!$C$26+MAX($G$16-CHOOSE(PARAM!$B$44,MAX(0,BF263*$F$1),0),0)*RATES!$L240/12+$H$16*(PARAM!$D$51/12)*RATES!$N240/100</f>
        <v>18.357222000296545</v>
      </c>
      <c r="BF264" s="16">
        <f t="shared" si="168"/>
        <v>681.22623976423768</v>
      </c>
      <c r="BG264" s="15">
        <f t="shared" si="143"/>
        <v>22.170849845882874</v>
      </c>
      <c r="BH264" s="75">
        <f>BG264*(1-PARAM!$C$27)*$I$17+(MOD($B264,60)=PARAM!$B$56)*($B264&gt;(60-PARAM!$B$56))*HLOOKUP(($B264+PARAM!$B$56)/12,Loyalty,2)*$F$1*MAX(BJ263,0)</f>
        <v>18.557001321003963</v>
      </c>
      <c r="BI264" s="75">
        <f>PARAM!$C$26+MAX($G$17-CHOOSE(PARAM!$B$44,MAX(0,BJ263*$F$1),0),0)*RATES!$L240/12+$H$17*(PARAM!$D$51/12)*RATES!$N240/100</f>
        <v>18.357222000296545</v>
      </c>
      <c r="BJ264" s="16">
        <f t="shared" si="169"/>
        <v>681.22623976423768</v>
      </c>
      <c r="BK264" s="15">
        <f t="shared" si="144"/>
        <v>22.170849845882874</v>
      </c>
      <c r="BL264" s="75">
        <f>BK264*(1-PARAM!$C$27)*$I$18+(MOD($B264,60)=PARAM!$B$56)*($B264&gt;(60-PARAM!$B$56))*HLOOKUP(($B264+PARAM!$B$56)/12,Loyalty,2)*$F$1*MAX(BN263,0)</f>
        <v>18.557001321003963</v>
      </c>
      <c r="BM264" s="75">
        <f>PARAM!$C$26+MAX($G$18-CHOOSE(PARAM!$B$44,MAX(0,BN263*$F$1),0),0)*RATES!$L240/12+$H$18*(PARAM!$D$51/12)*RATES!$N240/100</f>
        <v>18.357222000296545</v>
      </c>
      <c r="BN264" s="16">
        <f t="shared" si="170"/>
        <v>681.22623976423768</v>
      </c>
      <c r="BO264" s="15">
        <f t="shared" si="145"/>
        <v>22.170849845882874</v>
      </c>
      <c r="BP264" s="75">
        <f>BO264*(1-PARAM!$C$27)*$I$19+(MOD($B264,60)=PARAM!$B$56)*($B264&gt;(60-PARAM!$B$56))*HLOOKUP(($B264+PARAM!$B$56)/12,Loyalty,2)*$F$1*MAX(BR263,0)</f>
        <v>18.557001321003963</v>
      </c>
      <c r="BQ264" s="75">
        <f>PARAM!$C$26+MAX($G$19-CHOOSE(PARAM!$B$44,MAX(0,BR263*$F$1),0),0)*RATES!$L240/12+$H$19*(PARAM!$D$51/12)*RATES!$N240/100</f>
        <v>18.357222000296545</v>
      </c>
      <c r="BR264" s="16">
        <f t="shared" si="171"/>
        <v>681.22623976423768</v>
      </c>
      <c r="BS264" s="15">
        <f t="shared" si="146"/>
        <v>22.170849845882874</v>
      </c>
      <c r="BT264" s="75">
        <f>BS264*(1-PARAM!$C$27)*$I$20+(MOD($B264,60)=PARAM!$B$56)*($B264&gt;(60-PARAM!$B$56))*HLOOKUP(($B264+PARAM!$B$56)/12,Loyalty,2)*$F$1*MAX(BV263,0)</f>
        <v>18.557001321003963</v>
      </c>
      <c r="BU264" s="75">
        <f>PARAM!$C$26+MAX($G$20-CHOOSE(PARAM!$B$44,MAX(0,BV263*$F$1),0),0)*RATES!$L240/12+$H$20*(PARAM!$D$51/12)*RATES!$N240/100</f>
        <v>18.357222000296545</v>
      </c>
      <c r="BV264" s="16">
        <f t="shared" si="172"/>
        <v>681.22623976423768</v>
      </c>
      <c r="BW264" s="15">
        <f t="shared" si="147"/>
        <v>22.170849845882874</v>
      </c>
      <c r="BX264" s="75">
        <f>BW264*(1-PARAM!$C$27)*$I$21+(MOD($B264,60)=PARAM!$B$56)*($B264&gt;(60-PARAM!$B$56))*HLOOKUP(($B264+PARAM!$B$56)/12,Loyalty,2)*$F$1*MAX(BZ263,0)</f>
        <v>18.557001321003963</v>
      </c>
      <c r="BY264" s="75">
        <f>PARAM!$C$26+MAX($G$21-CHOOSE(PARAM!$B$44,MAX(0,BZ263*$F$1),0),0)*RATES!$L240/12+$H$21*(PARAM!$D$51/12)*RATES!$N240/100</f>
        <v>18.357222000296545</v>
      </c>
      <c r="BZ264" s="16">
        <f t="shared" si="173"/>
        <v>681.22623976423768</v>
      </c>
      <c r="CA264" s="15">
        <f t="shared" si="148"/>
        <v>22.170849845882874</v>
      </c>
      <c r="CB264" s="75">
        <f>CA264*(1-PARAM!$C$27)*$I$22+(MOD($B264,60)=PARAM!$B$56)*($B264&gt;(60-PARAM!$B$56))*HLOOKUP(($B264+PARAM!$B$56)/12,Loyalty,2)*$F$1*MAX(CD263,0)</f>
        <v>18.557001321003963</v>
      </c>
      <c r="CC264" s="75">
        <f>PARAM!$C$26+MAX($G$22-CHOOSE(PARAM!$B$44,MAX(0,CD263*$F$1),0),0)*RATES!$L240/12+$H$22*(PARAM!$D$51/12)*RATES!$N240/100</f>
        <v>18.357222000296545</v>
      </c>
      <c r="CD264" s="16">
        <f t="shared" si="174"/>
        <v>681.22623976423768</v>
      </c>
      <c r="CE264" s="33">
        <f>IF(0=MOD(B264,12/PARAM!$D$51),1,0)</f>
        <v>1</v>
      </c>
      <c r="CF264" s="15">
        <f t="shared" si="149"/>
        <v>0</v>
      </c>
      <c r="CG264" s="75">
        <f>CF264*(1-PARAM!$C$27)*$R$3+(MOD($B264/12,5)=0)*($B264&gt;60)*HLOOKUP($B264/12,Loyalty,2)*$F$1*MAX(CI263,0)</f>
        <v>0</v>
      </c>
      <c r="CH264" s="75">
        <f>PARAM!$C$26+MAX($P$3-CHOOSE(PARAM!$B$44,MAX(0,CI263*$F$1),0),0)*RATES!$L240/12+$Q$3*(PARAM!$D$51/12)*RATES!$N240/100</f>
        <v>18.541666666666664</v>
      </c>
      <c r="CI264" s="16">
        <f>IF(CI263&gt;0,CI263*PARAM!$C$53,CI263)+CG264-CH264</f>
        <v>-3545.6666666666629</v>
      </c>
      <c r="CJ264" s="15">
        <f t="shared" si="175"/>
        <v>0</v>
      </c>
      <c r="CK264" s="75">
        <f>CJ264*(1-PARAM!$C$27)*$R$4+(MOD($B264/12,5)=0)*($B264&gt;60)*HLOOKUP($B264/12,Loyalty,2)*$F$1*MAX(CM263,0)</f>
        <v>0</v>
      </c>
      <c r="CL264" s="75">
        <f>PARAM!$C$26+MAX($P$4-CHOOSE(PARAM!$B$44,MAX(0,CM263*$F$1),0),0)*RATES!$L240/12+$Q$4*(PARAM!$D$51/12)*RATES!$N240/100</f>
        <v>18.541666666666664</v>
      </c>
      <c r="CM264" s="16">
        <f>IF(CM263&gt;0,CM263*PARAM!$C$53,CM263)+CK264-CL264</f>
        <v>-3545.6666666666629</v>
      </c>
      <c r="CO264" s="176"/>
    </row>
    <row r="265" spans="1:93" x14ac:dyDescent="0.2">
      <c r="A265" t="b">
        <f t="shared" si="150"/>
        <v>1</v>
      </c>
      <c r="B265" s="33">
        <v>238</v>
      </c>
      <c r="C265" s="15">
        <f t="shared" si="151"/>
        <v>20.081305947392778</v>
      </c>
      <c r="D265" s="75">
        <f>C265*(1-PARAM!$C$27)*$I$3+(MOD($B265,60)=PARAM!$B$56)*($B265&gt;(60-PARAM!$B$56))*HLOOKUP(($B265+PARAM!$B$56)/12,Loyalty,2)*$F$1*MAX(F264,0)</f>
        <v>16.808053077967756</v>
      </c>
      <c r="E265" s="75">
        <f>PARAM!$C$26+MAX($G$3-CHOOSE(PARAM!$B$44,MAX(0,F264*$F$1),0),0)*RATES!$L241/12+$H$3*(PARAM!$D$51/12)*RATES!$N241/100</f>
        <v>18.468436941520523</v>
      </c>
      <c r="F265" s="16">
        <f t="shared" si="152"/>
        <v>268.72629359914026</v>
      </c>
      <c r="G265" s="15">
        <f t="shared" si="153"/>
        <v>22.035289406060361</v>
      </c>
      <c r="H265" s="75">
        <f>G265*(1-PARAM!$C$27)*$I$4+(MOD($B265,60)=PARAM!$B$56)*($B265&gt;(60-PARAM!$B$56))*HLOOKUP(($B265+PARAM!$B$56)/12,Loyalty,2)*$F$1*MAX(J264,0)</f>
        <v>18.443537232872522</v>
      </c>
      <c r="I265" s="75">
        <f>PARAM!$C$26+MAX($G$4-CHOOSE(PARAM!$B$44,MAX(0,J264*$F$1),0),0)*RATES!$L241/12+$H$4*(PARAM!$D$51/12)*RATES!$N241/100</f>
        <v>18.364390725478017</v>
      </c>
      <c r="J265" s="16">
        <f t="shared" si="154"/>
        <v>654.63646781932675</v>
      </c>
      <c r="K265" s="15">
        <f t="shared" si="155"/>
        <v>22.170849845882874</v>
      </c>
      <c r="L265" s="75">
        <f>K265*(1-PARAM!$C$27)*$I$5+(MOD($B265,60)=PARAM!$B$56)*($B265&gt;(60-PARAM!$B$56))*HLOOKUP(($B265+PARAM!$B$56)/12,Loyalty,2)*$F$1*MAX(N264,0)</f>
        <v>18.557001321003963</v>
      </c>
      <c r="M265" s="75">
        <f>PARAM!$C$26+MAX($G$5-CHOOSE(PARAM!$B$44,MAX(0,N264*$F$1),0),0)*RATES!$L241/12+$H$5*(PARAM!$D$51/12)*RATES!$N241/100</f>
        <v>18.357167893397182</v>
      </c>
      <c r="N265" s="16">
        <f t="shared" si="156"/>
        <v>681.42607319184447</v>
      </c>
      <c r="O265" s="15">
        <f t="shared" si="157"/>
        <v>22.170849845882874</v>
      </c>
      <c r="P265" s="75">
        <f>O265*(1-PARAM!$C$27)*$I$6+(MOD($B265,60)=PARAM!$B$56)*($B265&gt;(60-PARAM!$B$56))*HLOOKUP(($B265+PARAM!$B$56)/12,Loyalty,2)*$F$1*MAX(R264,0)</f>
        <v>18.557001321003963</v>
      </c>
      <c r="Q265" s="75">
        <f>PARAM!$C$26+MAX($G$6-CHOOSE(PARAM!$B$44,MAX(0,R264*$F$1),0),0)*RATES!$L241/12+$H$6*(PARAM!$D$51/12)*RATES!$N241/100</f>
        <v>18.357167893397182</v>
      </c>
      <c r="R265" s="16">
        <f t="shared" si="158"/>
        <v>681.42607319184447</v>
      </c>
      <c r="S265" s="15">
        <f t="shared" si="133"/>
        <v>22.170849845882874</v>
      </c>
      <c r="T265" s="75">
        <f>S265*(1-PARAM!$C$27)*$I$7+(MOD($B265,60)=PARAM!$B$56)*($B265&gt;(60-PARAM!$B$56))*HLOOKUP(($B265+PARAM!$B$56)/12,Loyalty,2)*$F$1*MAX(V264,0)</f>
        <v>18.557001321003963</v>
      </c>
      <c r="U265" s="75">
        <f>PARAM!$C$26+MAX($G$7-CHOOSE(PARAM!$B$44,MAX(0,V264*$F$1),0),0)*RATES!$L241/12+$H$7*(PARAM!$D$51/12)*RATES!$N241/100</f>
        <v>18.357167893397182</v>
      </c>
      <c r="V265" s="16">
        <f t="shared" si="159"/>
        <v>681.42607319184447</v>
      </c>
      <c r="W265" s="15">
        <f t="shared" si="134"/>
        <v>22.170849845882874</v>
      </c>
      <c r="X265" s="75">
        <f>W265*(1-PARAM!$C$27)*$I$8+(MOD($B265,60)=PARAM!$B$56)*($B265&gt;(60-PARAM!$B$56))*HLOOKUP(($B265+PARAM!$B$56)/12,Loyalty,2)*$F$1*MAX(Z264,0)</f>
        <v>18.557001321003963</v>
      </c>
      <c r="Y265" s="75">
        <f>PARAM!$C$26+MAX($G$8-CHOOSE(PARAM!$B$44,MAX(0,Z264*$F$1),0),0)*RATES!$L241/12+$H$8*(PARAM!$D$51/12)*RATES!$N241/100</f>
        <v>18.357167893397182</v>
      </c>
      <c r="Z265" s="16">
        <f t="shared" si="160"/>
        <v>681.42607319184447</v>
      </c>
      <c r="AA265" s="15">
        <f t="shared" si="135"/>
        <v>22.170849845882874</v>
      </c>
      <c r="AB265" s="75">
        <f>AA265*(1-PARAM!$C$27)*$I$9+(MOD($B265,60)=PARAM!$B$56)*($B265&gt;(60-PARAM!$B$56))*HLOOKUP(($B265+PARAM!$B$56)/12,Loyalty,2)*$F$1*MAX(AD264,0)</f>
        <v>18.557001321003963</v>
      </c>
      <c r="AC265" s="75">
        <f>PARAM!$C$26+MAX($G$9-CHOOSE(PARAM!$B$44,MAX(0,AD264*$F$1),0),0)*RATES!$L241/12+$H$9*(PARAM!$D$51/12)*RATES!$N241/100</f>
        <v>18.357167893397182</v>
      </c>
      <c r="AD265" s="16">
        <f t="shared" si="161"/>
        <v>681.42607319184447</v>
      </c>
      <c r="AE265" s="15">
        <f t="shared" si="136"/>
        <v>22.170849845882874</v>
      </c>
      <c r="AF265" s="75">
        <f>AE265*(1-PARAM!$C$27)*$I$10+(MOD($B265,60)=PARAM!$B$56)*($B265&gt;(60-PARAM!$B$56))*HLOOKUP(($B265+PARAM!$B$56)/12,Loyalty,2)*$F$1*MAX(AH264,0)</f>
        <v>18.557001321003963</v>
      </c>
      <c r="AG265" s="75">
        <f>PARAM!$C$26+MAX($G$10-CHOOSE(PARAM!$B$44,MAX(0,AH264*$F$1),0),0)*RATES!$L241/12+$H$10*(PARAM!$D$51/12)*RATES!$N241/100</f>
        <v>18.357167893397182</v>
      </c>
      <c r="AH265" s="16">
        <f t="shared" si="162"/>
        <v>681.42607319184447</v>
      </c>
      <c r="AI265" s="15">
        <f t="shared" si="137"/>
        <v>22.170849845882874</v>
      </c>
      <c r="AJ265" s="75">
        <f>AI265*(1-PARAM!$C$27)*$I$11+(MOD($B265,60)=PARAM!$B$56)*($B265&gt;(60-PARAM!$B$56))*HLOOKUP(($B265+PARAM!$B$56)/12,Loyalty,2)*$F$1*MAX(AL264,0)</f>
        <v>18.557001321003963</v>
      </c>
      <c r="AK265" s="75">
        <f>PARAM!$C$26+MAX($G$11-CHOOSE(PARAM!$B$44,MAX(0,AL264*$F$1),0),0)*RATES!$L241/12+$H$11*(PARAM!$D$51/12)*RATES!$N241/100</f>
        <v>18.357167893397182</v>
      </c>
      <c r="AL265" s="16">
        <f t="shared" si="163"/>
        <v>681.42607319184447</v>
      </c>
      <c r="AM265" s="15">
        <f t="shared" si="138"/>
        <v>22.170849845882874</v>
      </c>
      <c r="AN265" s="75">
        <f>AM265*(1-PARAM!$C$27)*$I$12+(MOD($B265,60)=PARAM!$B$56)*($B265&gt;(60-PARAM!$B$56))*HLOOKUP(($B265+PARAM!$B$56)/12,Loyalty,2)*$F$1*MAX(AP264,0)</f>
        <v>18.557001321003963</v>
      </c>
      <c r="AO265" s="75">
        <f>PARAM!$C$26+MAX($G$12-CHOOSE(PARAM!$B$44,MAX(0,AP264*$F$1),0),0)*RATES!$L241/12+$H$12*(PARAM!$D$51/12)*RATES!$N241/100</f>
        <v>18.357167893397182</v>
      </c>
      <c r="AP265" s="16">
        <f t="shared" si="164"/>
        <v>681.42607319184447</v>
      </c>
      <c r="AQ265" s="15">
        <f t="shared" si="139"/>
        <v>22.170849845882874</v>
      </c>
      <c r="AR265" s="75">
        <f>AQ265*(1-PARAM!$C$27)*$I$13+(MOD($B265,60)=PARAM!$B$56)*($B265&gt;(60-PARAM!$B$56))*HLOOKUP(($B265+PARAM!$B$56)/12,Loyalty,2)*$F$1*MAX(AT264,0)</f>
        <v>18.557001321003963</v>
      </c>
      <c r="AS265" s="75">
        <f>PARAM!$C$26+MAX($G$13-CHOOSE(PARAM!$B$44,MAX(0,AT264*$F$1),0),0)*RATES!$L241/12+$H$13*(PARAM!$D$51/12)*RATES!$N241/100</f>
        <v>18.357167893397182</v>
      </c>
      <c r="AT265" s="16">
        <f t="shared" si="165"/>
        <v>681.42607319184447</v>
      </c>
      <c r="AU265" s="15">
        <f t="shared" si="140"/>
        <v>22.170849845882874</v>
      </c>
      <c r="AV265" s="75">
        <f>AU265*(1-PARAM!$C$27)*$I$14+(MOD($B265,60)=PARAM!$B$56)*($B265&gt;(60-PARAM!$B$56))*HLOOKUP(($B265+PARAM!$B$56)/12,Loyalty,2)*$F$1*MAX(AX264,0)</f>
        <v>18.557001321003963</v>
      </c>
      <c r="AW265" s="75">
        <f>PARAM!$C$26+MAX($G$14-CHOOSE(PARAM!$B$44,MAX(0,AX264*$F$1),0),0)*RATES!$L241/12+$H$14*(PARAM!$D$51/12)*RATES!$N241/100</f>
        <v>18.357167893397182</v>
      </c>
      <c r="AX265" s="16">
        <f t="shared" si="166"/>
        <v>681.42607319184447</v>
      </c>
      <c r="AY265" s="15">
        <f t="shared" si="141"/>
        <v>22.170849845882874</v>
      </c>
      <c r="AZ265" s="75">
        <f>AY265*(1-PARAM!$C$27)*$I$15+(MOD($B265,60)=PARAM!$B$56)*($B265&gt;(60-PARAM!$B$56))*HLOOKUP(($B265+PARAM!$B$56)/12,Loyalty,2)*$F$1*MAX(BB264,0)</f>
        <v>18.557001321003963</v>
      </c>
      <c r="BA265" s="75">
        <f>PARAM!$C$26+MAX($G$15-CHOOSE(PARAM!$B$44,MAX(0,BB264*$F$1),0),0)*RATES!$L241/12+$H$15*(PARAM!$D$51/12)*RATES!$N241/100</f>
        <v>18.357167893397182</v>
      </c>
      <c r="BB265" s="16">
        <f t="shared" si="167"/>
        <v>681.42607319184447</v>
      </c>
      <c r="BC265" s="15">
        <f t="shared" si="142"/>
        <v>22.170849845882874</v>
      </c>
      <c r="BD265" s="75">
        <f>BC265*(1-PARAM!$C$27)*$I$16+(MOD($B265,60)=PARAM!$B$56)*($B265&gt;(60-PARAM!$B$56))*HLOOKUP(($B265+PARAM!$B$56)/12,Loyalty,2)*$F$1*MAX(BF264,0)</f>
        <v>18.557001321003963</v>
      </c>
      <c r="BE265" s="75">
        <f>PARAM!$C$26+MAX($G$16-CHOOSE(PARAM!$B$44,MAX(0,BF264*$F$1),0),0)*RATES!$L241/12+$H$16*(PARAM!$D$51/12)*RATES!$N241/100</f>
        <v>18.357167893397182</v>
      </c>
      <c r="BF265" s="16">
        <f t="shared" si="168"/>
        <v>681.42607319184447</v>
      </c>
      <c r="BG265" s="15">
        <f t="shared" si="143"/>
        <v>22.170849845882874</v>
      </c>
      <c r="BH265" s="75">
        <f>BG265*(1-PARAM!$C$27)*$I$17+(MOD($B265,60)=PARAM!$B$56)*($B265&gt;(60-PARAM!$B$56))*HLOOKUP(($B265+PARAM!$B$56)/12,Loyalty,2)*$F$1*MAX(BJ264,0)</f>
        <v>18.557001321003963</v>
      </c>
      <c r="BI265" s="75">
        <f>PARAM!$C$26+MAX($G$17-CHOOSE(PARAM!$B$44,MAX(0,BJ264*$F$1),0),0)*RATES!$L241/12+$H$17*(PARAM!$D$51/12)*RATES!$N241/100</f>
        <v>18.357167893397182</v>
      </c>
      <c r="BJ265" s="16">
        <f t="shared" si="169"/>
        <v>681.42607319184447</v>
      </c>
      <c r="BK265" s="15">
        <f t="shared" si="144"/>
        <v>22.170849845882874</v>
      </c>
      <c r="BL265" s="75">
        <f>BK265*(1-PARAM!$C$27)*$I$18+(MOD($B265,60)=PARAM!$B$56)*($B265&gt;(60-PARAM!$B$56))*HLOOKUP(($B265+PARAM!$B$56)/12,Loyalty,2)*$F$1*MAX(BN264,0)</f>
        <v>18.557001321003963</v>
      </c>
      <c r="BM265" s="75">
        <f>PARAM!$C$26+MAX($G$18-CHOOSE(PARAM!$B$44,MAX(0,BN264*$F$1),0),0)*RATES!$L241/12+$H$18*(PARAM!$D$51/12)*RATES!$N241/100</f>
        <v>18.357167893397182</v>
      </c>
      <c r="BN265" s="16">
        <f t="shared" si="170"/>
        <v>681.42607319184447</v>
      </c>
      <c r="BO265" s="15">
        <f t="shared" si="145"/>
        <v>22.170849845882874</v>
      </c>
      <c r="BP265" s="75">
        <f>BO265*(1-PARAM!$C$27)*$I$19+(MOD($B265,60)=PARAM!$B$56)*($B265&gt;(60-PARAM!$B$56))*HLOOKUP(($B265+PARAM!$B$56)/12,Loyalty,2)*$F$1*MAX(BR264,0)</f>
        <v>18.557001321003963</v>
      </c>
      <c r="BQ265" s="75">
        <f>PARAM!$C$26+MAX($G$19-CHOOSE(PARAM!$B$44,MAX(0,BR264*$F$1),0),0)*RATES!$L241/12+$H$19*(PARAM!$D$51/12)*RATES!$N241/100</f>
        <v>18.357167893397182</v>
      </c>
      <c r="BR265" s="16">
        <f t="shared" si="171"/>
        <v>681.42607319184447</v>
      </c>
      <c r="BS265" s="15">
        <f t="shared" si="146"/>
        <v>22.170849845882874</v>
      </c>
      <c r="BT265" s="75">
        <f>BS265*(1-PARAM!$C$27)*$I$20+(MOD($B265,60)=PARAM!$B$56)*($B265&gt;(60-PARAM!$B$56))*HLOOKUP(($B265+PARAM!$B$56)/12,Loyalty,2)*$F$1*MAX(BV264,0)</f>
        <v>18.557001321003963</v>
      </c>
      <c r="BU265" s="75">
        <f>PARAM!$C$26+MAX($G$20-CHOOSE(PARAM!$B$44,MAX(0,BV264*$F$1),0),0)*RATES!$L241/12+$H$20*(PARAM!$D$51/12)*RATES!$N241/100</f>
        <v>18.357167893397182</v>
      </c>
      <c r="BV265" s="16">
        <f t="shared" si="172"/>
        <v>681.42607319184447</v>
      </c>
      <c r="BW265" s="15">
        <f t="shared" si="147"/>
        <v>22.170849845882874</v>
      </c>
      <c r="BX265" s="75">
        <f>BW265*(1-PARAM!$C$27)*$I$21+(MOD($B265,60)=PARAM!$B$56)*($B265&gt;(60-PARAM!$B$56))*HLOOKUP(($B265+PARAM!$B$56)/12,Loyalty,2)*$F$1*MAX(BZ264,0)</f>
        <v>18.557001321003963</v>
      </c>
      <c r="BY265" s="75">
        <f>PARAM!$C$26+MAX($G$21-CHOOSE(PARAM!$B$44,MAX(0,BZ264*$F$1),0),0)*RATES!$L241/12+$H$21*(PARAM!$D$51/12)*RATES!$N241/100</f>
        <v>18.357167893397182</v>
      </c>
      <c r="BZ265" s="16">
        <f t="shared" si="173"/>
        <v>681.42607319184447</v>
      </c>
      <c r="CA265" s="15">
        <f t="shared" si="148"/>
        <v>22.170849845882874</v>
      </c>
      <c r="CB265" s="75">
        <f>CA265*(1-PARAM!$C$27)*$I$22+(MOD($B265,60)=PARAM!$B$56)*($B265&gt;(60-PARAM!$B$56))*HLOOKUP(($B265+PARAM!$B$56)/12,Loyalty,2)*$F$1*MAX(CD264,0)</f>
        <v>18.557001321003963</v>
      </c>
      <c r="CC265" s="75">
        <f>PARAM!$C$26+MAX($G$22-CHOOSE(PARAM!$B$44,MAX(0,CD264*$F$1),0),0)*RATES!$L241/12+$H$22*(PARAM!$D$51/12)*RATES!$N241/100</f>
        <v>18.357167893397182</v>
      </c>
      <c r="CD265" s="16">
        <f t="shared" si="174"/>
        <v>681.42607319184447</v>
      </c>
      <c r="CE265" s="33">
        <f>IF(0=MOD(B265,12/PARAM!$D$51),1,0)</f>
        <v>1</v>
      </c>
      <c r="CF265" s="15">
        <f t="shared" si="149"/>
        <v>0</v>
      </c>
      <c r="CG265" s="75">
        <f>CF265*(1-PARAM!$C$27)*$R$3+(MOD($B265/12,5)=0)*($B265&gt;60)*HLOOKUP($B265/12,Loyalty,2)*$F$1*MAX(CI264,0)</f>
        <v>0</v>
      </c>
      <c r="CH265" s="75">
        <f>PARAM!$C$26+MAX($P$3-CHOOSE(PARAM!$B$44,MAX(0,CI264*$F$1),0),0)*RATES!$L241/12+$Q$3*(PARAM!$D$51/12)*RATES!$N241/100</f>
        <v>18.541666666666664</v>
      </c>
      <c r="CI265" s="16">
        <f>IF(CI264&gt;0,CI264*PARAM!$C$53,CI264)+CG265-CH265</f>
        <v>-3564.2083333333294</v>
      </c>
      <c r="CJ265" s="15">
        <f t="shared" si="175"/>
        <v>0</v>
      </c>
      <c r="CK265" s="75">
        <f>CJ265*(1-PARAM!$C$27)*$R$4+(MOD($B265/12,5)=0)*($B265&gt;60)*HLOOKUP($B265/12,Loyalty,2)*$F$1*MAX(CM264,0)</f>
        <v>0</v>
      </c>
      <c r="CL265" s="75">
        <f>PARAM!$C$26+MAX($P$4-CHOOSE(PARAM!$B$44,MAX(0,CM264*$F$1),0),0)*RATES!$L241/12+$Q$4*(PARAM!$D$51/12)*RATES!$N241/100</f>
        <v>18.541666666666664</v>
      </c>
      <c r="CM265" s="16">
        <f>IF(CM264&gt;0,CM264*PARAM!$C$53,CM264)+CK265-CL265</f>
        <v>-3564.2083333333294</v>
      </c>
      <c r="CO265" s="176"/>
    </row>
    <row r="266" spans="1:93" x14ac:dyDescent="0.2">
      <c r="A266" t="b">
        <f t="shared" si="150"/>
        <v>1</v>
      </c>
      <c r="B266" s="33">
        <v>239</v>
      </c>
      <c r="C266" s="15">
        <f t="shared" si="151"/>
        <v>20.081305947392778</v>
      </c>
      <c r="D266" s="75">
        <f>C266*(1-PARAM!$C$27)*$I$3+(MOD($B266,60)=PARAM!$B$56)*($B266&gt;(60-PARAM!$B$56))*HLOOKUP(($B266+PARAM!$B$56)/12,Loyalty,2)*$F$1*MAX(F265,0)</f>
        <v>16.808053077967756</v>
      </c>
      <c r="E266" s="75">
        <f>PARAM!$C$26+MAX($G$3-CHOOSE(PARAM!$B$44,MAX(0,F265*$F$1),0),0)*RATES!$L242/12+$H$3*(PARAM!$D$51/12)*RATES!$N242/100</f>
        <v>18.468886628816897</v>
      </c>
      <c r="F266" s="16">
        <f t="shared" si="152"/>
        <v>267.06546004829113</v>
      </c>
      <c r="G266" s="15">
        <f t="shared" si="153"/>
        <v>22.035289406060361</v>
      </c>
      <c r="H266" s="75">
        <f>G266*(1-PARAM!$C$27)*$I$4+(MOD($B266,60)=PARAM!$B$56)*($B266&gt;(60-PARAM!$B$56))*HLOOKUP(($B266+PARAM!$B$56)/12,Loyalty,2)*$F$1*MAX(J265,0)</f>
        <v>18.443537232872522</v>
      </c>
      <c r="I266" s="75">
        <f>PARAM!$C$26+MAX($G$4-CHOOSE(PARAM!$B$44,MAX(0,J265*$F$1),0),0)*RATES!$L242/12+$H$4*(PARAM!$D$51/12)*RATES!$N242/100</f>
        <v>18.364369289965602</v>
      </c>
      <c r="J266" s="16">
        <f t="shared" si="154"/>
        <v>654.71563576223366</v>
      </c>
      <c r="K266" s="15">
        <f t="shared" si="155"/>
        <v>22.170849845882874</v>
      </c>
      <c r="L266" s="75">
        <f>K266*(1-PARAM!$C$27)*$I$5+(MOD($B266,60)=PARAM!$B$56)*($B266&gt;(60-PARAM!$B$56))*HLOOKUP(($B266+PARAM!$B$56)/12,Loyalty,2)*$F$1*MAX(N265,0)</f>
        <v>18.557001321003963</v>
      </c>
      <c r="M266" s="75">
        <f>PARAM!$C$26+MAX($G$5-CHOOSE(PARAM!$B$44,MAX(0,N265*$F$1),0),0)*RATES!$L242/12+$H$5*(PARAM!$D$51/12)*RATES!$N242/100</f>
        <v>18.357113771843871</v>
      </c>
      <c r="N266" s="16">
        <f t="shared" si="156"/>
        <v>681.62596074100463</v>
      </c>
      <c r="O266" s="15">
        <f t="shared" si="157"/>
        <v>22.170849845882874</v>
      </c>
      <c r="P266" s="75">
        <f>O266*(1-PARAM!$C$27)*$I$6+(MOD($B266,60)=PARAM!$B$56)*($B266&gt;(60-PARAM!$B$56))*HLOOKUP(($B266+PARAM!$B$56)/12,Loyalty,2)*$F$1*MAX(R265,0)</f>
        <v>18.557001321003963</v>
      </c>
      <c r="Q266" s="75">
        <f>PARAM!$C$26+MAX($G$6-CHOOSE(PARAM!$B$44,MAX(0,R265*$F$1),0),0)*RATES!$L242/12+$H$6*(PARAM!$D$51/12)*RATES!$N242/100</f>
        <v>18.357113771843871</v>
      </c>
      <c r="R266" s="16">
        <f t="shared" si="158"/>
        <v>681.62596074100463</v>
      </c>
      <c r="S266" s="15">
        <f t="shared" si="133"/>
        <v>22.170849845882874</v>
      </c>
      <c r="T266" s="75">
        <f>S266*(1-PARAM!$C$27)*$I$7+(MOD($B266,60)=PARAM!$B$56)*($B266&gt;(60-PARAM!$B$56))*HLOOKUP(($B266+PARAM!$B$56)/12,Loyalty,2)*$F$1*MAX(V265,0)</f>
        <v>18.557001321003963</v>
      </c>
      <c r="U266" s="75">
        <f>PARAM!$C$26+MAX($G$7-CHOOSE(PARAM!$B$44,MAX(0,V265*$F$1),0),0)*RATES!$L242/12+$H$7*(PARAM!$D$51/12)*RATES!$N242/100</f>
        <v>18.357113771843871</v>
      </c>
      <c r="V266" s="16">
        <f t="shared" si="159"/>
        <v>681.62596074100463</v>
      </c>
      <c r="W266" s="15">
        <f t="shared" si="134"/>
        <v>22.170849845882874</v>
      </c>
      <c r="X266" s="75">
        <f>W266*(1-PARAM!$C$27)*$I$8+(MOD($B266,60)=PARAM!$B$56)*($B266&gt;(60-PARAM!$B$56))*HLOOKUP(($B266+PARAM!$B$56)/12,Loyalty,2)*$F$1*MAX(Z265,0)</f>
        <v>18.557001321003963</v>
      </c>
      <c r="Y266" s="75">
        <f>PARAM!$C$26+MAX($G$8-CHOOSE(PARAM!$B$44,MAX(0,Z265*$F$1),0),0)*RATES!$L242/12+$H$8*(PARAM!$D$51/12)*RATES!$N242/100</f>
        <v>18.357113771843871</v>
      </c>
      <c r="Z266" s="16">
        <f t="shared" si="160"/>
        <v>681.62596074100463</v>
      </c>
      <c r="AA266" s="15">
        <f t="shared" si="135"/>
        <v>22.170849845882874</v>
      </c>
      <c r="AB266" s="75">
        <f>AA266*(1-PARAM!$C$27)*$I$9+(MOD($B266,60)=PARAM!$B$56)*($B266&gt;(60-PARAM!$B$56))*HLOOKUP(($B266+PARAM!$B$56)/12,Loyalty,2)*$F$1*MAX(AD265,0)</f>
        <v>18.557001321003963</v>
      </c>
      <c r="AC266" s="75">
        <f>PARAM!$C$26+MAX($G$9-CHOOSE(PARAM!$B$44,MAX(0,AD265*$F$1),0),0)*RATES!$L242/12+$H$9*(PARAM!$D$51/12)*RATES!$N242/100</f>
        <v>18.357113771843871</v>
      </c>
      <c r="AD266" s="16">
        <f t="shared" si="161"/>
        <v>681.62596074100463</v>
      </c>
      <c r="AE266" s="15">
        <f t="shared" si="136"/>
        <v>22.170849845882874</v>
      </c>
      <c r="AF266" s="75">
        <f>AE266*(1-PARAM!$C$27)*$I$10+(MOD($B266,60)=PARAM!$B$56)*($B266&gt;(60-PARAM!$B$56))*HLOOKUP(($B266+PARAM!$B$56)/12,Loyalty,2)*$F$1*MAX(AH265,0)</f>
        <v>18.557001321003963</v>
      </c>
      <c r="AG266" s="75">
        <f>PARAM!$C$26+MAX($G$10-CHOOSE(PARAM!$B$44,MAX(0,AH265*$F$1),0),0)*RATES!$L242/12+$H$10*(PARAM!$D$51/12)*RATES!$N242/100</f>
        <v>18.357113771843871</v>
      </c>
      <c r="AH266" s="16">
        <f t="shared" si="162"/>
        <v>681.62596074100463</v>
      </c>
      <c r="AI266" s="15">
        <f t="shared" si="137"/>
        <v>22.170849845882874</v>
      </c>
      <c r="AJ266" s="75">
        <f>AI266*(1-PARAM!$C$27)*$I$11+(MOD($B266,60)=PARAM!$B$56)*($B266&gt;(60-PARAM!$B$56))*HLOOKUP(($B266+PARAM!$B$56)/12,Loyalty,2)*$F$1*MAX(AL265,0)</f>
        <v>18.557001321003963</v>
      </c>
      <c r="AK266" s="75">
        <f>PARAM!$C$26+MAX($G$11-CHOOSE(PARAM!$B$44,MAX(0,AL265*$F$1),0),0)*RATES!$L242/12+$H$11*(PARAM!$D$51/12)*RATES!$N242/100</f>
        <v>18.357113771843871</v>
      </c>
      <c r="AL266" s="16">
        <f t="shared" si="163"/>
        <v>681.62596074100463</v>
      </c>
      <c r="AM266" s="15">
        <f t="shared" si="138"/>
        <v>22.170849845882874</v>
      </c>
      <c r="AN266" s="75">
        <f>AM266*(1-PARAM!$C$27)*$I$12+(MOD($B266,60)=PARAM!$B$56)*($B266&gt;(60-PARAM!$B$56))*HLOOKUP(($B266+PARAM!$B$56)/12,Loyalty,2)*$F$1*MAX(AP265,0)</f>
        <v>18.557001321003963</v>
      </c>
      <c r="AO266" s="75">
        <f>PARAM!$C$26+MAX($G$12-CHOOSE(PARAM!$B$44,MAX(0,AP265*$F$1),0),0)*RATES!$L242/12+$H$12*(PARAM!$D$51/12)*RATES!$N242/100</f>
        <v>18.357113771843871</v>
      </c>
      <c r="AP266" s="16">
        <f t="shared" si="164"/>
        <v>681.62596074100463</v>
      </c>
      <c r="AQ266" s="15">
        <f t="shared" si="139"/>
        <v>22.170849845882874</v>
      </c>
      <c r="AR266" s="75">
        <f>AQ266*(1-PARAM!$C$27)*$I$13+(MOD($B266,60)=PARAM!$B$56)*($B266&gt;(60-PARAM!$B$56))*HLOOKUP(($B266+PARAM!$B$56)/12,Loyalty,2)*$F$1*MAX(AT265,0)</f>
        <v>18.557001321003963</v>
      </c>
      <c r="AS266" s="75">
        <f>PARAM!$C$26+MAX($G$13-CHOOSE(PARAM!$B$44,MAX(0,AT265*$F$1),0),0)*RATES!$L242/12+$H$13*(PARAM!$D$51/12)*RATES!$N242/100</f>
        <v>18.357113771843871</v>
      </c>
      <c r="AT266" s="16">
        <f t="shared" si="165"/>
        <v>681.62596074100463</v>
      </c>
      <c r="AU266" s="15">
        <f t="shared" si="140"/>
        <v>22.170849845882874</v>
      </c>
      <c r="AV266" s="75">
        <f>AU266*(1-PARAM!$C$27)*$I$14+(MOD($B266,60)=PARAM!$B$56)*($B266&gt;(60-PARAM!$B$56))*HLOOKUP(($B266+PARAM!$B$56)/12,Loyalty,2)*$F$1*MAX(AX265,0)</f>
        <v>18.557001321003963</v>
      </c>
      <c r="AW266" s="75">
        <f>PARAM!$C$26+MAX($G$14-CHOOSE(PARAM!$B$44,MAX(0,AX265*$F$1),0),0)*RATES!$L242/12+$H$14*(PARAM!$D$51/12)*RATES!$N242/100</f>
        <v>18.357113771843871</v>
      </c>
      <c r="AX266" s="16">
        <f t="shared" si="166"/>
        <v>681.62596074100463</v>
      </c>
      <c r="AY266" s="15">
        <f t="shared" si="141"/>
        <v>22.170849845882874</v>
      </c>
      <c r="AZ266" s="75">
        <f>AY266*(1-PARAM!$C$27)*$I$15+(MOD($B266,60)=PARAM!$B$56)*($B266&gt;(60-PARAM!$B$56))*HLOOKUP(($B266+PARAM!$B$56)/12,Loyalty,2)*$F$1*MAX(BB265,0)</f>
        <v>18.557001321003963</v>
      </c>
      <c r="BA266" s="75">
        <f>PARAM!$C$26+MAX($G$15-CHOOSE(PARAM!$B$44,MAX(0,BB265*$F$1),0),0)*RATES!$L242/12+$H$15*(PARAM!$D$51/12)*RATES!$N242/100</f>
        <v>18.357113771843871</v>
      </c>
      <c r="BB266" s="16">
        <f t="shared" si="167"/>
        <v>681.62596074100463</v>
      </c>
      <c r="BC266" s="15">
        <f t="shared" si="142"/>
        <v>22.170849845882874</v>
      </c>
      <c r="BD266" s="75">
        <f>BC266*(1-PARAM!$C$27)*$I$16+(MOD($B266,60)=PARAM!$B$56)*($B266&gt;(60-PARAM!$B$56))*HLOOKUP(($B266+PARAM!$B$56)/12,Loyalty,2)*$F$1*MAX(BF265,0)</f>
        <v>18.557001321003963</v>
      </c>
      <c r="BE266" s="75">
        <f>PARAM!$C$26+MAX($G$16-CHOOSE(PARAM!$B$44,MAX(0,BF265*$F$1),0),0)*RATES!$L242/12+$H$16*(PARAM!$D$51/12)*RATES!$N242/100</f>
        <v>18.357113771843871</v>
      </c>
      <c r="BF266" s="16">
        <f t="shared" si="168"/>
        <v>681.62596074100463</v>
      </c>
      <c r="BG266" s="15">
        <f t="shared" si="143"/>
        <v>22.170849845882874</v>
      </c>
      <c r="BH266" s="75">
        <f>BG266*(1-PARAM!$C$27)*$I$17+(MOD($B266,60)=PARAM!$B$56)*($B266&gt;(60-PARAM!$B$56))*HLOOKUP(($B266+PARAM!$B$56)/12,Loyalty,2)*$F$1*MAX(BJ265,0)</f>
        <v>18.557001321003963</v>
      </c>
      <c r="BI266" s="75">
        <f>PARAM!$C$26+MAX($G$17-CHOOSE(PARAM!$B$44,MAX(0,BJ265*$F$1),0),0)*RATES!$L242/12+$H$17*(PARAM!$D$51/12)*RATES!$N242/100</f>
        <v>18.357113771843871</v>
      </c>
      <c r="BJ266" s="16">
        <f t="shared" si="169"/>
        <v>681.62596074100463</v>
      </c>
      <c r="BK266" s="15">
        <f t="shared" si="144"/>
        <v>22.170849845882874</v>
      </c>
      <c r="BL266" s="75">
        <f>BK266*(1-PARAM!$C$27)*$I$18+(MOD($B266,60)=PARAM!$B$56)*($B266&gt;(60-PARAM!$B$56))*HLOOKUP(($B266+PARAM!$B$56)/12,Loyalty,2)*$F$1*MAX(BN265,0)</f>
        <v>18.557001321003963</v>
      </c>
      <c r="BM266" s="75">
        <f>PARAM!$C$26+MAX($G$18-CHOOSE(PARAM!$B$44,MAX(0,BN265*$F$1),0),0)*RATES!$L242/12+$H$18*(PARAM!$D$51/12)*RATES!$N242/100</f>
        <v>18.357113771843871</v>
      </c>
      <c r="BN266" s="16">
        <f t="shared" si="170"/>
        <v>681.62596074100463</v>
      </c>
      <c r="BO266" s="15">
        <f t="shared" si="145"/>
        <v>22.170849845882874</v>
      </c>
      <c r="BP266" s="75">
        <f>BO266*(1-PARAM!$C$27)*$I$19+(MOD($B266,60)=PARAM!$B$56)*($B266&gt;(60-PARAM!$B$56))*HLOOKUP(($B266+PARAM!$B$56)/12,Loyalty,2)*$F$1*MAX(BR265,0)</f>
        <v>18.557001321003963</v>
      </c>
      <c r="BQ266" s="75">
        <f>PARAM!$C$26+MAX($G$19-CHOOSE(PARAM!$B$44,MAX(0,BR265*$F$1),0),0)*RATES!$L242/12+$H$19*(PARAM!$D$51/12)*RATES!$N242/100</f>
        <v>18.357113771843871</v>
      </c>
      <c r="BR266" s="16">
        <f t="shared" si="171"/>
        <v>681.62596074100463</v>
      </c>
      <c r="BS266" s="15">
        <f t="shared" si="146"/>
        <v>22.170849845882874</v>
      </c>
      <c r="BT266" s="75">
        <f>BS266*(1-PARAM!$C$27)*$I$20+(MOD($B266,60)=PARAM!$B$56)*($B266&gt;(60-PARAM!$B$56))*HLOOKUP(($B266+PARAM!$B$56)/12,Loyalty,2)*$F$1*MAX(BV265,0)</f>
        <v>18.557001321003963</v>
      </c>
      <c r="BU266" s="75">
        <f>PARAM!$C$26+MAX($G$20-CHOOSE(PARAM!$B$44,MAX(0,BV265*$F$1),0),0)*RATES!$L242/12+$H$20*(PARAM!$D$51/12)*RATES!$N242/100</f>
        <v>18.357113771843871</v>
      </c>
      <c r="BV266" s="16">
        <f t="shared" si="172"/>
        <v>681.62596074100463</v>
      </c>
      <c r="BW266" s="15">
        <f t="shared" si="147"/>
        <v>22.170849845882874</v>
      </c>
      <c r="BX266" s="75">
        <f>BW266*(1-PARAM!$C$27)*$I$21+(MOD($B266,60)=PARAM!$B$56)*($B266&gt;(60-PARAM!$B$56))*HLOOKUP(($B266+PARAM!$B$56)/12,Loyalty,2)*$F$1*MAX(BZ265,0)</f>
        <v>18.557001321003963</v>
      </c>
      <c r="BY266" s="75">
        <f>PARAM!$C$26+MAX($G$21-CHOOSE(PARAM!$B$44,MAX(0,BZ265*$F$1),0),0)*RATES!$L242/12+$H$21*(PARAM!$D$51/12)*RATES!$N242/100</f>
        <v>18.357113771843871</v>
      </c>
      <c r="BZ266" s="16">
        <f t="shared" si="173"/>
        <v>681.62596074100463</v>
      </c>
      <c r="CA266" s="15">
        <f t="shared" si="148"/>
        <v>22.170849845882874</v>
      </c>
      <c r="CB266" s="75">
        <f>CA266*(1-PARAM!$C$27)*$I$22+(MOD($B266,60)=PARAM!$B$56)*($B266&gt;(60-PARAM!$B$56))*HLOOKUP(($B266+PARAM!$B$56)/12,Loyalty,2)*$F$1*MAX(CD265,0)</f>
        <v>18.557001321003963</v>
      </c>
      <c r="CC266" s="75">
        <f>PARAM!$C$26+MAX($G$22-CHOOSE(PARAM!$B$44,MAX(0,CD265*$F$1),0),0)*RATES!$L242/12+$H$22*(PARAM!$D$51/12)*RATES!$N242/100</f>
        <v>18.357113771843871</v>
      </c>
      <c r="CD266" s="16">
        <f t="shared" si="174"/>
        <v>681.62596074100463</v>
      </c>
      <c r="CE266" s="33">
        <f>IF(0=MOD(B266,12/PARAM!$D$51),1,0)</f>
        <v>1</v>
      </c>
      <c r="CF266" s="15">
        <f t="shared" si="149"/>
        <v>0</v>
      </c>
      <c r="CG266" s="75">
        <f>CF266*(1-PARAM!$C$27)*$R$3+(MOD($B266/12,5)=0)*($B266&gt;60)*HLOOKUP($B266/12,Loyalty,2)*$F$1*MAX(CI265,0)</f>
        <v>0</v>
      </c>
      <c r="CH266" s="75">
        <f>PARAM!$C$26+MAX($P$3-CHOOSE(PARAM!$B$44,MAX(0,CI265*$F$1),0),0)*RATES!$L242/12+$Q$3*(PARAM!$D$51/12)*RATES!$N242/100</f>
        <v>18.541666666666664</v>
      </c>
      <c r="CI266" s="16">
        <f>IF(CI265&gt;0,CI265*PARAM!$C$53,CI265)+CG266-CH266</f>
        <v>-3582.7499999999959</v>
      </c>
      <c r="CJ266" s="15">
        <f t="shared" si="175"/>
        <v>0</v>
      </c>
      <c r="CK266" s="75">
        <f>CJ266*(1-PARAM!$C$27)*$R$4+(MOD($B266/12,5)=0)*($B266&gt;60)*HLOOKUP($B266/12,Loyalty,2)*$F$1*MAX(CM265,0)</f>
        <v>0</v>
      </c>
      <c r="CL266" s="75">
        <f>PARAM!$C$26+MAX($P$4-CHOOSE(PARAM!$B$44,MAX(0,CM265*$F$1),0),0)*RATES!$L242/12+$Q$4*(PARAM!$D$51/12)*RATES!$N242/100</f>
        <v>18.541666666666664</v>
      </c>
      <c r="CM266" s="16">
        <f>IF(CM265&gt;0,CM265*PARAM!$C$53,CM265)+CK266-CL266</f>
        <v>-3582.7499999999959</v>
      </c>
      <c r="CO266" s="176"/>
    </row>
    <row r="267" spans="1:93" x14ac:dyDescent="0.2">
      <c r="A267" t="b">
        <f t="shared" si="150"/>
        <v>1</v>
      </c>
      <c r="B267" s="33">
        <v>240</v>
      </c>
      <c r="C267" s="15">
        <f t="shared" si="151"/>
        <v>20.081305947392778</v>
      </c>
      <c r="D267" s="75">
        <f>C267*(1-PARAM!$C$27)*$I$3+(MOD($B267,60)=PARAM!$B$56)*($B267&gt;(60-PARAM!$B$56))*HLOOKUP(($B267+PARAM!$B$56)/12,Loyalty,2)*$F$1*MAX(F266,0)</f>
        <v>24.820016879416489</v>
      </c>
      <c r="E267" s="75">
        <f>PARAM!$C$26+MAX($G$3-CHOOSE(PARAM!$B$44,MAX(0,F266*$F$1),0),0)*RATES!$L243/12+$H$3*(PARAM!$D$51/12)*RATES!$N243/100</f>
        <v>18.469336437903586</v>
      </c>
      <c r="F267" s="16">
        <f t="shared" si="152"/>
        <v>273.41614048980404</v>
      </c>
      <c r="G267" s="15">
        <f t="shared" si="153"/>
        <v>22.035289406060361</v>
      </c>
      <c r="H267" s="75">
        <f>G267*(1-PARAM!$C$27)*$I$4+(MOD($B267,60)=PARAM!$B$56)*($B267&gt;(60-PARAM!$B$56))*HLOOKUP(($B267+PARAM!$B$56)/12,Loyalty,2)*$F$1*MAX(J266,0)</f>
        <v>38.085006305739526</v>
      </c>
      <c r="I267" s="75">
        <f>PARAM!$C$26+MAX($G$4-CHOOSE(PARAM!$B$44,MAX(0,J266*$F$1),0),0)*RATES!$L243/12+$H$4*(PARAM!$D$51/12)*RATES!$N243/100</f>
        <v>18.364347848647725</v>
      </c>
      <c r="J267" s="16">
        <f t="shared" si="154"/>
        <v>674.43629421932542</v>
      </c>
      <c r="K267" s="15">
        <f t="shared" si="155"/>
        <v>22.170849845882874</v>
      </c>
      <c r="L267" s="75">
        <f>K267*(1-PARAM!$C$27)*$I$5+(MOD($B267,60)=PARAM!$B$56)*($B267&gt;(60-PARAM!$B$56))*HLOOKUP(($B267+PARAM!$B$56)/12,Loyalty,2)*$F$1*MAX(N266,0)</f>
        <v>39.005780143234105</v>
      </c>
      <c r="M267" s="75">
        <f>PARAM!$C$26+MAX($G$5-CHOOSE(PARAM!$B$44,MAX(0,N266*$F$1),0),0)*RATES!$L243/12+$H$5*(PARAM!$D$51/12)*RATES!$N243/100</f>
        <v>18.357059635632645</v>
      </c>
      <c r="N267" s="16">
        <f t="shared" si="156"/>
        <v>702.27468124860616</v>
      </c>
      <c r="O267" s="15">
        <f t="shared" si="157"/>
        <v>22.170849845882874</v>
      </c>
      <c r="P267" s="75">
        <f>O267*(1-PARAM!$C$27)*$I$6+(MOD($B267,60)=PARAM!$B$56)*($B267&gt;(60-PARAM!$B$56))*HLOOKUP(($B267+PARAM!$B$56)/12,Loyalty,2)*$F$1*MAX(R266,0)</f>
        <v>39.005780143234105</v>
      </c>
      <c r="Q267" s="75">
        <f>PARAM!$C$26+MAX($G$6-CHOOSE(PARAM!$B$44,MAX(0,R266*$F$1),0),0)*RATES!$L243/12+$H$6*(PARAM!$D$51/12)*RATES!$N243/100</f>
        <v>18.357059635632645</v>
      </c>
      <c r="R267" s="16">
        <f t="shared" si="158"/>
        <v>702.27468124860616</v>
      </c>
      <c r="S267" s="15">
        <f t="shared" si="133"/>
        <v>22.170849845882874</v>
      </c>
      <c r="T267" s="75">
        <f>S267*(1-PARAM!$C$27)*$I$7+(MOD($B267,60)=PARAM!$B$56)*($B267&gt;(60-PARAM!$B$56))*HLOOKUP(($B267+PARAM!$B$56)/12,Loyalty,2)*$F$1*MAX(V266,0)</f>
        <v>39.005780143234105</v>
      </c>
      <c r="U267" s="75">
        <f>PARAM!$C$26+MAX($G$7-CHOOSE(PARAM!$B$44,MAX(0,V266*$F$1),0),0)*RATES!$L243/12+$H$7*(PARAM!$D$51/12)*RATES!$N243/100</f>
        <v>18.357059635632645</v>
      </c>
      <c r="V267" s="16">
        <f t="shared" si="159"/>
        <v>702.27468124860616</v>
      </c>
      <c r="W267" s="15">
        <f t="shared" si="134"/>
        <v>22.170849845882874</v>
      </c>
      <c r="X267" s="75">
        <f>W267*(1-PARAM!$C$27)*$I$8+(MOD($B267,60)=PARAM!$B$56)*($B267&gt;(60-PARAM!$B$56))*HLOOKUP(($B267+PARAM!$B$56)/12,Loyalty,2)*$F$1*MAX(Z266,0)</f>
        <v>39.005780143234105</v>
      </c>
      <c r="Y267" s="75">
        <f>PARAM!$C$26+MAX($G$8-CHOOSE(PARAM!$B$44,MAX(0,Z266*$F$1),0),0)*RATES!$L243/12+$H$8*(PARAM!$D$51/12)*RATES!$N243/100</f>
        <v>18.357059635632645</v>
      </c>
      <c r="Z267" s="16">
        <f t="shared" si="160"/>
        <v>702.27468124860616</v>
      </c>
      <c r="AA267" s="15">
        <f t="shared" si="135"/>
        <v>22.170849845882874</v>
      </c>
      <c r="AB267" s="75">
        <f>AA267*(1-PARAM!$C$27)*$I$9+(MOD($B267,60)=PARAM!$B$56)*($B267&gt;(60-PARAM!$B$56))*HLOOKUP(($B267+PARAM!$B$56)/12,Loyalty,2)*$F$1*MAX(AD266,0)</f>
        <v>39.005780143234105</v>
      </c>
      <c r="AC267" s="75">
        <f>PARAM!$C$26+MAX($G$9-CHOOSE(PARAM!$B$44,MAX(0,AD266*$F$1),0),0)*RATES!$L243/12+$H$9*(PARAM!$D$51/12)*RATES!$N243/100</f>
        <v>18.357059635632645</v>
      </c>
      <c r="AD267" s="16">
        <f t="shared" si="161"/>
        <v>702.27468124860616</v>
      </c>
      <c r="AE267" s="15">
        <f t="shared" si="136"/>
        <v>22.170849845882874</v>
      </c>
      <c r="AF267" s="75">
        <f>AE267*(1-PARAM!$C$27)*$I$10+(MOD($B267,60)=PARAM!$B$56)*($B267&gt;(60-PARAM!$B$56))*HLOOKUP(($B267+PARAM!$B$56)/12,Loyalty,2)*$F$1*MAX(AH266,0)</f>
        <v>39.005780143234105</v>
      </c>
      <c r="AG267" s="75">
        <f>PARAM!$C$26+MAX($G$10-CHOOSE(PARAM!$B$44,MAX(0,AH266*$F$1),0),0)*RATES!$L243/12+$H$10*(PARAM!$D$51/12)*RATES!$N243/100</f>
        <v>18.357059635632645</v>
      </c>
      <c r="AH267" s="16">
        <f t="shared" si="162"/>
        <v>702.27468124860616</v>
      </c>
      <c r="AI267" s="15">
        <f t="shared" si="137"/>
        <v>22.170849845882874</v>
      </c>
      <c r="AJ267" s="75">
        <f>AI267*(1-PARAM!$C$27)*$I$11+(MOD($B267,60)=PARAM!$B$56)*($B267&gt;(60-PARAM!$B$56))*HLOOKUP(($B267+PARAM!$B$56)/12,Loyalty,2)*$F$1*MAX(AL266,0)</f>
        <v>39.005780143234105</v>
      </c>
      <c r="AK267" s="75">
        <f>PARAM!$C$26+MAX($G$11-CHOOSE(PARAM!$B$44,MAX(0,AL266*$F$1),0),0)*RATES!$L243/12+$H$11*(PARAM!$D$51/12)*RATES!$N243/100</f>
        <v>18.357059635632645</v>
      </c>
      <c r="AL267" s="16">
        <f t="shared" si="163"/>
        <v>702.27468124860616</v>
      </c>
      <c r="AM267" s="15">
        <f t="shared" si="138"/>
        <v>22.170849845882874</v>
      </c>
      <c r="AN267" s="75">
        <f>AM267*(1-PARAM!$C$27)*$I$12+(MOD($B267,60)=PARAM!$B$56)*($B267&gt;(60-PARAM!$B$56))*HLOOKUP(($B267+PARAM!$B$56)/12,Loyalty,2)*$F$1*MAX(AP266,0)</f>
        <v>39.005780143234105</v>
      </c>
      <c r="AO267" s="75">
        <f>PARAM!$C$26+MAX($G$12-CHOOSE(PARAM!$B$44,MAX(0,AP266*$F$1),0),0)*RATES!$L243/12+$H$12*(PARAM!$D$51/12)*RATES!$N243/100</f>
        <v>18.357059635632645</v>
      </c>
      <c r="AP267" s="16">
        <f t="shared" si="164"/>
        <v>702.27468124860616</v>
      </c>
      <c r="AQ267" s="15">
        <f t="shared" si="139"/>
        <v>22.170849845882874</v>
      </c>
      <c r="AR267" s="75">
        <f>AQ267*(1-PARAM!$C$27)*$I$13+(MOD($B267,60)=PARAM!$B$56)*($B267&gt;(60-PARAM!$B$56))*HLOOKUP(($B267+PARAM!$B$56)/12,Loyalty,2)*$F$1*MAX(AT266,0)</f>
        <v>39.005780143234105</v>
      </c>
      <c r="AS267" s="75">
        <f>PARAM!$C$26+MAX($G$13-CHOOSE(PARAM!$B$44,MAX(0,AT266*$F$1),0),0)*RATES!$L243/12+$H$13*(PARAM!$D$51/12)*RATES!$N243/100</f>
        <v>18.357059635632645</v>
      </c>
      <c r="AT267" s="16">
        <f t="shared" si="165"/>
        <v>702.27468124860616</v>
      </c>
      <c r="AU267" s="15">
        <f t="shared" si="140"/>
        <v>22.170849845882874</v>
      </c>
      <c r="AV267" s="75">
        <f>AU267*(1-PARAM!$C$27)*$I$14+(MOD($B267,60)=PARAM!$B$56)*($B267&gt;(60-PARAM!$B$56))*HLOOKUP(($B267+PARAM!$B$56)/12,Loyalty,2)*$F$1*MAX(AX266,0)</f>
        <v>39.005780143234105</v>
      </c>
      <c r="AW267" s="75">
        <f>PARAM!$C$26+MAX($G$14-CHOOSE(PARAM!$B$44,MAX(0,AX266*$F$1),0),0)*RATES!$L243/12+$H$14*(PARAM!$D$51/12)*RATES!$N243/100</f>
        <v>18.357059635632645</v>
      </c>
      <c r="AX267" s="16">
        <f t="shared" si="166"/>
        <v>702.27468124860616</v>
      </c>
      <c r="AY267" s="15">
        <f t="shared" si="141"/>
        <v>22.170849845882874</v>
      </c>
      <c r="AZ267" s="75">
        <f>AY267*(1-PARAM!$C$27)*$I$15+(MOD($B267,60)=PARAM!$B$56)*($B267&gt;(60-PARAM!$B$56))*HLOOKUP(($B267+PARAM!$B$56)/12,Loyalty,2)*$F$1*MAX(BB266,0)</f>
        <v>39.005780143234105</v>
      </c>
      <c r="BA267" s="75">
        <f>PARAM!$C$26+MAX($G$15-CHOOSE(PARAM!$B$44,MAX(0,BB266*$F$1),0),0)*RATES!$L243/12+$H$15*(PARAM!$D$51/12)*RATES!$N243/100</f>
        <v>18.357059635632645</v>
      </c>
      <c r="BB267" s="16">
        <f t="shared" si="167"/>
        <v>702.27468124860616</v>
      </c>
      <c r="BC267" s="15">
        <f t="shared" si="142"/>
        <v>22.170849845882874</v>
      </c>
      <c r="BD267" s="75">
        <f>BC267*(1-PARAM!$C$27)*$I$16+(MOD($B267,60)=PARAM!$B$56)*($B267&gt;(60-PARAM!$B$56))*HLOOKUP(($B267+PARAM!$B$56)/12,Loyalty,2)*$F$1*MAX(BF266,0)</f>
        <v>39.005780143234105</v>
      </c>
      <c r="BE267" s="75">
        <f>PARAM!$C$26+MAX($G$16-CHOOSE(PARAM!$B$44,MAX(0,BF266*$F$1),0),0)*RATES!$L243/12+$H$16*(PARAM!$D$51/12)*RATES!$N243/100</f>
        <v>18.357059635632645</v>
      </c>
      <c r="BF267" s="16">
        <f t="shared" si="168"/>
        <v>702.27468124860616</v>
      </c>
      <c r="BG267" s="15">
        <f t="shared" si="143"/>
        <v>22.170849845882874</v>
      </c>
      <c r="BH267" s="75">
        <f>BG267*(1-PARAM!$C$27)*$I$17+(MOD($B267,60)=PARAM!$B$56)*($B267&gt;(60-PARAM!$B$56))*HLOOKUP(($B267+PARAM!$B$56)/12,Loyalty,2)*$F$1*MAX(BJ266,0)</f>
        <v>39.005780143234105</v>
      </c>
      <c r="BI267" s="75">
        <f>PARAM!$C$26+MAX($G$17-CHOOSE(PARAM!$B$44,MAX(0,BJ266*$F$1),0),0)*RATES!$L243/12+$H$17*(PARAM!$D$51/12)*RATES!$N243/100</f>
        <v>18.357059635632645</v>
      </c>
      <c r="BJ267" s="16">
        <f t="shared" si="169"/>
        <v>702.27468124860616</v>
      </c>
      <c r="BK267" s="15">
        <f t="shared" si="144"/>
        <v>22.170849845882874</v>
      </c>
      <c r="BL267" s="75">
        <f>BK267*(1-PARAM!$C$27)*$I$18+(MOD($B267,60)=PARAM!$B$56)*($B267&gt;(60-PARAM!$B$56))*HLOOKUP(($B267+PARAM!$B$56)/12,Loyalty,2)*$F$1*MAX(BN266,0)</f>
        <v>39.005780143234105</v>
      </c>
      <c r="BM267" s="75">
        <f>PARAM!$C$26+MAX($G$18-CHOOSE(PARAM!$B$44,MAX(0,BN266*$F$1),0),0)*RATES!$L243/12+$H$18*(PARAM!$D$51/12)*RATES!$N243/100</f>
        <v>18.357059635632645</v>
      </c>
      <c r="BN267" s="16">
        <f t="shared" si="170"/>
        <v>702.27468124860616</v>
      </c>
      <c r="BO267" s="15">
        <f t="shared" si="145"/>
        <v>22.170849845882874</v>
      </c>
      <c r="BP267" s="75">
        <f>BO267*(1-PARAM!$C$27)*$I$19+(MOD($B267,60)=PARAM!$B$56)*($B267&gt;(60-PARAM!$B$56))*HLOOKUP(($B267+PARAM!$B$56)/12,Loyalty,2)*$F$1*MAX(BR266,0)</f>
        <v>39.005780143234105</v>
      </c>
      <c r="BQ267" s="75">
        <f>PARAM!$C$26+MAX($G$19-CHOOSE(PARAM!$B$44,MAX(0,BR266*$F$1),0),0)*RATES!$L243/12+$H$19*(PARAM!$D$51/12)*RATES!$N243/100</f>
        <v>18.357059635632645</v>
      </c>
      <c r="BR267" s="16">
        <f t="shared" si="171"/>
        <v>702.27468124860616</v>
      </c>
      <c r="BS267" s="15">
        <f t="shared" si="146"/>
        <v>22.170849845882874</v>
      </c>
      <c r="BT267" s="75">
        <f>BS267*(1-PARAM!$C$27)*$I$20+(MOD($B267,60)=PARAM!$B$56)*($B267&gt;(60-PARAM!$B$56))*HLOOKUP(($B267+PARAM!$B$56)/12,Loyalty,2)*$F$1*MAX(BV266,0)</f>
        <v>39.005780143234105</v>
      </c>
      <c r="BU267" s="75">
        <f>PARAM!$C$26+MAX($G$20-CHOOSE(PARAM!$B$44,MAX(0,BV266*$F$1),0),0)*RATES!$L243/12+$H$20*(PARAM!$D$51/12)*RATES!$N243/100</f>
        <v>18.357059635632645</v>
      </c>
      <c r="BV267" s="16">
        <f t="shared" si="172"/>
        <v>702.27468124860616</v>
      </c>
      <c r="BW267" s="15">
        <f t="shared" si="147"/>
        <v>22.170849845882874</v>
      </c>
      <c r="BX267" s="75">
        <f>BW267*(1-PARAM!$C$27)*$I$21+(MOD($B267,60)=PARAM!$B$56)*($B267&gt;(60-PARAM!$B$56))*HLOOKUP(($B267+PARAM!$B$56)/12,Loyalty,2)*$F$1*MAX(BZ266,0)</f>
        <v>39.005780143234105</v>
      </c>
      <c r="BY267" s="75">
        <f>PARAM!$C$26+MAX($G$21-CHOOSE(PARAM!$B$44,MAX(0,BZ266*$F$1),0),0)*RATES!$L243/12+$H$21*(PARAM!$D$51/12)*RATES!$N243/100</f>
        <v>18.357059635632645</v>
      </c>
      <c r="BZ267" s="16">
        <f t="shared" si="173"/>
        <v>702.27468124860616</v>
      </c>
      <c r="CA267" s="15">
        <f t="shared" si="148"/>
        <v>22.170849845882874</v>
      </c>
      <c r="CB267" s="75">
        <f>CA267*(1-PARAM!$C$27)*$I$22+(MOD($B267,60)=PARAM!$B$56)*($B267&gt;(60-PARAM!$B$56))*HLOOKUP(($B267+PARAM!$B$56)/12,Loyalty,2)*$F$1*MAX(CD266,0)</f>
        <v>39.005780143234105</v>
      </c>
      <c r="CC267" s="75">
        <f>PARAM!$C$26+MAX($G$22-CHOOSE(PARAM!$B$44,MAX(0,CD266*$F$1),0),0)*RATES!$L243/12+$H$22*(PARAM!$D$51/12)*RATES!$N243/100</f>
        <v>18.357059635632645</v>
      </c>
      <c r="CD267" s="16">
        <f t="shared" si="174"/>
        <v>702.27468124860616</v>
      </c>
      <c r="CE267" s="33">
        <f>IF(0=MOD(B267,12/PARAM!$D$51),1,0)</f>
        <v>1</v>
      </c>
      <c r="CF267" s="15">
        <f t="shared" si="149"/>
        <v>0</v>
      </c>
      <c r="CG267" s="75">
        <f>CF267*(1-PARAM!$C$27)*$R$3+(MOD($B267/12,5)=0)*($B267&gt;60)*HLOOKUP($B267/12,Loyalty,2)*$F$1*MAX(CI266,0)</f>
        <v>0</v>
      </c>
      <c r="CH267" s="75">
        <f>PARAM!$C$26+MAX($P$3-CHOOSE(PARAM!$B$44,MAX(0,CI266*$F$1),0),0)*RATES!$L243/12+$Q$3*(PARAM!$D$51/12)*RATES!$N243/100</f>
        <v>18.541666666666664</v>
      </c>
      <c r="CI267" s="16">
        <f>IF(CI266&gt;0,CI266*PARAM!$C$53,CI266)+CG267-CH267</f>
        <v>-3601.2916666666624</v>
      </c>
      <c r="CJ267" s="15">
        <f t="shared" si="175"/>
        <v>0</v>
      </c>
      <c r="CK267" s="75">
        <f>CJ267*(1-PARAM!$C$27)*$R$4+(MOD($B267/12,5)=0)*($B267&gt;60)*HLOOKUP($B267/12,Loyalty,2)*$F$1*MAX(CM266,0)</f>
        <v>0</v>
      </c>
      <c r="CL267" s="75">
        <f>PARAM!$C$26+MAX($P$4-CHOOSE(PARAM!$B$44,MAX(0,CM266*$F$1),0),0)*RATES!$L243/12+$Q$4*(PARAM!$D$51/12)*RATES!$N243/100</f>
        <v>18.541666666666664</v>
      </c>
      <c r="CM267" s="16">
        <f>IF(CM266&gt;0,CM266*PARAM!$C$53,CM266)+CK267-CL267</f>
        <v>-3601.2916666666624</v>
      </c>
      <c r="CO267" s="176"/>
    </row>
    <row r="268" spans="1:93" x14ac:dyDescent="0.2">
      <c r="A268" t="b">
        <f t="shared" si="150"/>
        <v>1</v>
      </c>
      <c r="B268" s="33">
        <v>241</v>
      </c>
      <c r="C268" s="15">
        <f t="shared" si="151"/>
        <v>20.081305947392778</v>
      </c>
      <c r="D268" s="75">
        <f>C268*(1-PARAM!$C$27)*$I$3+(MOD($B268,60)=PARAM!$B$56)*($B268&gt;(60-PARAM!$B$56))*HLOOKUP(($B268+PARAM!$B$56)/12,Loyalty,2)*$F$1*MAX(F267,0)</f>
        <v>16.808053077967756</v>
      </c>
      <c r="E268" s="75">
        <f>PARAM!$C$26+MAX($G$3-CHOOSE(PARAM!$B$44,MAX(0,F267*$F$1),0),0)*RATES!$L244/12+$H$3*(PARAM!$D$51/12)*RATES!$N244/100</f>
        <v>18.467616461950676</v>
      </c>
      <c r="F268" s="16">
        <f t="shared" si="152"/>
        <v>271.75657710582112</v>
      </c>
      <c r="G268" s="15">
        <f t="shared" si="153"/>
        <v>22.035289406060361</v>
      </c>
      <c r="H268" s="75">
        <f>G268*(1-PARAM!$C$27)*$I$4+(MOD($B268,60)=PARAM!$B$56)*($B268&gt;(60-PARAM!$B$56))*HLOOKUP(($B268+PARAM!$B$56)/12,Loyalty,2)*$F$1*MAX(J267,0)</f>
        <v>18.443537232872522</v>
      </c>
      <c r="I268" s="75">
        <f>PARAM!$C$26+MAX($G$4-CHOOSE(PARAM!$B$44,MAX(0,J267*$F$1),0),0)*RATES!$L244/12+$H$4*(PARAM!$D$51/12)*RATES!$N244/100</f>
        <v>18.359006836982267</v>
      </c>
      <c r="J268" s="16">
        <f t="shared" si="154"/>
        <v>674.52082461521559</v>
      </c>
      <c r="K268" s="15">
        <f t="shared" si="155"/>
        <v>22.170849845882874</v>
      </c>
      <c r="L268" s="75">
        <f>K268*(1-PARAM!$C$27)*$I$5+(MOD($B268,60)=PARAM!$B$56)*($B268&gt;(60-PARAM!$B$56))*HLOOKUP(($B268+PARAM!$B$56)/12,Loyalty,2)*$F$1*MAX(N267,0)</f>
        <v>18.557001321003963</v>
      </c>
      <c r="M268" s="75">
        <f>PARAM!$C$26+MAX($G$5-CHOOSE(PARAM!$B$44,MAX(0,N267*$F$1),0),0)*RATES!$L244/12+$H$5*(PARAM!$D$51/12)*RATES!$N244/100</f>
        <v>18.351467273828504</v>
      </c>
      <c r="N268" s="16">
        <f t="shared" si="156"/>
        <v>702.4802152957817</v>
      </c>
      <c r="O268" s="15">
        <f t="shared" si="157"/>
        <v>22.170849845882874</v>
      </c>
      <c r="P268" s="75">
        <f>O268*(1-PARAM!$C$27)*$I$6+(MOD($B268,60)=PARAM!$B$56)*($B268&gt;(60-PARAM!$B$56))*HLOOKUP(($B268+PARAM!$B$56)/12,Loyalty,2)*$F$1*MAX(R267,0)</f>
        <v>18.557001321003963</v>
      </c>
      <c r="Q268" s="75">
        <f>PARAM!$C$26+MAX($G$6-CHOOSE(PARAM!$B$44,MAX(0,R267*$F$1),0),0)*RATES!$L244/12+$H$6*(PARAM!$D$51/12)*RATES!$N244/100</f>
        <v>18.351467273828504</v>
      </c>
      <c r="R268" s="16">
        <f t="shared" si="158"/>
        <v>702.4802152957817</v>
      </c>
      <c r="S268" s="15">
        <f t="shared" si="133"/>
        <v>22.170849845882874</v>
      </c>
      <c r="T268" s="75">
        <f>S268*(1-PARAM!$C$27)*$I$7+(MOD($B268,60)=PARAM!$B$56)*($B268&gt;(60-PARAM!$B$56))*HLOOKUP(($B268+PARAM!$B$56)/12,Loyalty,2)*$F$1*MAX(V267,0)</f>
        <v>18.557001321003963</v>
      </c>
      <c r="U268" s="75">
        <f>PARAM!$C$26+MAX($G$7-CHOOSE(PARAM!$B$44,MAX(0,V267*$F$1),0),0)*RATES!$L244/12+$H$7*(PARAM!$D$51/12)*RATES!$N244/100</f>
        <v>18.351467273828504</v>
      </c>
      <c r="V268" s="16">
        <f t="shared" si="159"/>
        <v>702.4802152957817</v>
      </c>
      <c r="W268" s="15">
        <f t="shared" si="134"/>
        <v>22.170849845882874</v>
      </c>
      <c r="X268" s="75">
        <f>W268*(1-PARAM!$C$27)*$I$8+(MOD($B268,60)=PARAM!$B$56)*($B268&gt;(60-PARAM!$B$56))*HLOOKUP(($B268+PARAM!$B$56)/12,Loyalty,2)*$F$1*MAX(Z267,0)</f>
        <v>18.557001321003963</v>
      </c>
      <c r="Y268" s="75">
        <f>PARAM!$C$26+MAX($G$8-CHOOSE(PARAM!$B$44,MAX(0,Z267*$F$1),0),0)*RATES!$L244/12+$H$8*(PARAM!$D$51/12)*RATES!$N244/100</f>
        <v>18.351467273828504</v>
      </c>
      <c r="Z268" s="16">
        <f t="shared" si="160"/>
        <v>702.4802152957817</v>
      </c>
      <c r="AA268" s="15">
        <f t="shared" si="135"/>
        <v>22.170849845882874</v>
      </c>
      <c r="AB268" s="75">
        <f>AA268*(1-PARAM!$C$27)*$I$9+(MOD($B268,60)=PARAM!$B$56)*($B268&gt;(60-PARAM!$B$56))*HLOOKUP(($B268+PARAM!$B$56)/12,Loyalty,2)*$F$1*MAX(AD267,0)</f>
        <v>18.557001321003963</v>
      </c>
      <c r="AC268" s="75">
        <f>PARAM!$C$26+MAX($G$9-CHOOSE(PARAM!$B$44,MAX(0,AD267*$F$1),0),0)*RATES!$L244/12+$H$9*(PARAM!$D$51/12)*RATES!$N244/100</f>
        <v>18.351467273828504</v>
      </c>
      <c r="AD268" s="16">
        <f t="shared" si="161"/>
        <v>702.4802152957817</v>
      </c>
      <c r="AE268" s="15">
        <f t="shared" si="136"/>
        <v>22.170849845882874</v>
      </c>
      <c r="AF268" s="75">
        <f>AE268*(1-PARAM!$C$27)*$I$10+(MOD($B268,60)=PARAM!$B$56)*($B268&gt;(60-PARAM!$B$56))*HLOOKUP(($B268+PARAM!$B$56)/12,Loyalty,2)*$F$1*MAX(AH267,0)</f>
        <v>18.557001321003963</v>
      </c>
      <c r="AG268" s="75">
        <f>PARAM!$C$26+MAX($G$10-CHOOSE(PARAM!$B$44,MAX(0,AH267*$F$1),0),0)*RATES!$L244/12+$H$10*(PARAM!$D$51/12)*RATES!$N244/100</f>
        <v>18.351467273828504</v>
      </c>
      <c r="AH268" s="16">
        <f t="shared" si="162"/>
        <v>702.4802152957817</v>
      </c>
      <c r="AI268" s="15">
        <f t="shared" si="137"/>
        <v>22.170849845882874</v>
      </c>
      <c r="AJ268" s="75">
        <f>AI268*(1-PARAM!$C$27)*$I$11+(MOD($B268,60)=PARAM!$B$56)*($B268&gt;(60-PARAM!$B$56))*HLOOKUP(($B268+PARAM!$B$56)/12,Loyalty,2)*$F$1*MAX(AL267,0)</f>
        <v>18.557001321003963</v>
      </c>
      <c r="AK268" s="75">
        <f>PARAM!$C$26+MAX($G$11-CHOOSE(PARAM!$B$44,MAX(0,AL267*$F$1),0),0)*RATES!$L244/12+$H$11*(PARAM!$D$51/12)*RATES!$N244/100</f>
        <v>18.351467273828504</v>
      </c>
      <c r="AL268" s="16">
        <f t="shared" si="163"/>
        <v>702.4802152957817</v>
      </c>
      <c r="AM268" s="15">
        <f t="shared" si="138"/>
        <v>22.170849845882874</v>
      </c>
      <c r="AN268" s="75">
        <f>AM268*(1-PARAM!$C$27)*$I$12+(MOD($B268,60)=PARAM!$B$56)*($B268&gt;(60-PARAM!$B$56))*HLOOKUP(($B268+PARAM!$B$56)/12,Loyalty,2)*$F$1*MAX(AP267,0)</f>
        <v>18.557001321003963</v>
      </c>
      <c r="AO268" s="75">
        <f>PARAM!$C$26+MAX($G$12-CHOOSE(PARAM!$B$44,MAX(0,AP267*$F$1),0),0)*RATES!$L244/12+$H$12*(PARAM!$D$51/12)*RATES!$N244/100</f>
        <v>18.351467273828504</v>
      </c>
      <c r="AP268" s="16">
        <f t="shared" si="164"/>
        <v>702.4802152957817</v>
      </c>
      <c r="AQ268" s="15">
        <f t="shared" si="139"/>
        <v>22.170849845882874</v>
      </c>
      <c r="AR268" s="75">
        <f>AQ268*(1-PARAM!$C$27)*$I$13+(MOD($B268,60)=PARAM!$B$56)*($B268&gt;(60-PARAM!$B$56))*HLOOKUP(($B268+PARAM!$B$56)/12,Loyalty,2)*$F$1*MAX(AT267,0)</f>
        <v>18.557001321003963</v>
      </c>
      <c r="AS268" s="75">
        <f>PARAM!$C$26+MAX($G$13-CHOOSE(PARAM!$B$44,MAX(0,AT267*$F$1),0),0)*RATES!$L244/12+$H$13*(PARAM!$D$51/12)*RATES!$N244/100</f>
        <v>18.351467273828504</v>
      </c>
      <c r="AT268" s="16">
        <f t="shared" si="165"/>
        <v>702.4802152957817</v>
      </c>
      <c r="AU268" s="15">
        <f t="shared" si="140"/>
        <v>22.170849845882874</v>
      </c>
      <c r="AV268" s="75">
        <f>AU268*(1-PARAM!$C$27)*$I$14+(MOD($B268,60)=PARAM!$B$56)*($B268&gt;(60-PARAM!$B$56))*HLOOKUP(($B268+PARAM!$B$56)/12,Loyalty,2)*$F$1*MAX(AX267,0)</f>
        <v>18.557001321003963</v>
      </c>
      <c r="AW268" s="75">
        <f>PARAM!$C$26+MAX($G$14-CHOOSE(PARAM!$B$44,MAX(0,AX267*$F$1),0),0)*RATES!$L244/12+$H$14*(PARAM!$D$51/12)*RATES!$N244/100</f>
        <v>18.351467273828504</v>
      </c>
      <c r="AX268" s="16">
        <f t="shared" si="166"/>
        <v>702.4802152957817</v>
      </c>
      <c r="AY268" s="15">
        <f t="shared" si="141"/>
        <v>22.170849845882874</v>
      </c>
      <c r="AZ268" s="75">
        <f>AY268*(1-PARAM!$C$27)*$I$15+(MOD($B268,60)=PARAM!$B$56)*($B268&gt;(60-PARAM!$B$56))*HLOOKUP(($B268+PARAM!$B$56)/12,Loyalty,2)*$F$1*MAX(BB267,0)</f>
        <v>18.557001321003963</v>
      </c>
      <c r="BA268" s="75">
        <f>PARAM!$C$26+MAX($G$15-CHOOSE(PARAM!$B$44,MAX(0,BB267*$F$1),0),0)*RATES!$L244/12+$H$15*(PARAM!$D$51/12)*RATES!$N244/100</f>
        <v>18.351467273828504</v>
      </c>
      <c r="BB268" s="16">
        <f t="shared" si="167"/>
        <v>702.4802152957817</v>
      </c>
      <c r="BC268" s="15">
        <f t="shared" si="142"/>
        <v>22.170849845882874</v>
      </c>
      <c r="BD268" s="75">
        <f>BC268*(1-PARAM!$C$27)*$I$16+(MOD($B268,60)=PARAM!$B$56)*($B268&gt;(60-PARAM!$B$56))*HLOOKUP(($B268+PARAM!$B$56)/12,Loyalty,2)*$F$1*MAX(BF267,0)</f>
        <v>18.557001321003963</v>
      </c>
      <c r="BE268" s="75">
        <f>PARAM!$C$26+MAX($G$16-CHOOSE(PARAM!$B$44,MAX(0,BF267*$F$1),0),0)*RATES!$L244/12+$H$16*(PARAM!$D$51/12)*RATES!$N244/100</f>
        <v>18.351467273828504</v>
      </c>
      <c r="BF268" s="16">
        <f t="shared" si="168"/>
        <v>702.4802152957817</v>
      </c>
      <c r="BG268" s="15">
        <f t="shared" si="143"/>
        <v>22.170849845882874</v>
      </c>
      <c r="BH268" s="75">
        <f>BG268*(1-PARAM!$C$27)*$I$17+(MOD($B268,60)=PARAM!$B$56)*($B268&gt;(60-PARAM!$B$56))*HLOOKUP(($B268+PARAM!$B$56)/12,Loyalty,2)*$F$1*MAX(BJ267,0)</f>
        <v>18.557001321003963</v>
      </c>
      <c r="BI268" s="75">
        <f>PARAM!$C$26+MAX($G$17-CHOOSE(PARAM!$B$44,MAX(0,BJ267*$F$1),0),0)*RATES!$L244/12+$H$17*(PARAM!$D$51/12)*RATES!$N244/100</f>
        <v>18.351467273828504</v>
      </c>
      <c r="BJ268" s="16">
        <f t="shared" si="169"/>
        <v>702.4802152957817</v>
      </c>
      <c r="BK268" s="15">
        <f t="shared" si="144"/>
        <v>22.170849845882874</v>
      </c>
      <c r="BL268" s="75">
        <f>BK268*(1-PARAM!$C$27)*$I$18+(MOD($B268,60)=PARAM!$B$56)*($B268&gt;(60-PARAM!$B$56))*HLOOKUP(($B268+PARAM!$B$56)/12,Loyalty,2)*$F$1*MAX(BN267,0)</f>
        <v>18.557001321003963</v>
      </c>
      <c r="BM268" s="75">
        <f>PARAM!$C$26+MAX($G$18-CHOOSE(PARAM!$B$44,MAX(0,BN267*$F$1),0),0)*RATES!$L244/12+$H$18*(PARAM!$D$51/12)*RATES!$N244/100</f>
        <v>18.351467273828504</v>
      </c>
      <c r="BN268" s="16">
        <f t="shared" si="170"/>
        <v>702.4802152957817</v>
      </c>
      <c r="BO268" s="15">
        <f t="shared" si="145"/>
        <v>22.170849845882874</v>
      </c>
      <c r="BP268" s="75">
        <f>BO268*(1-PARAM!$C$27)*$I$19+(MOD($B268,60)=PARAM!$B$56)*($B268&gt;(60-PARAM!$B$56))*HLOOKUP(($B268+PARAM!$B$56)/12,Loyalty,2)*$F$1*MAX(BR267,0)</f>
        <v>18.557001321003963</v>
      </c>
      <c r="BQ268" s="75">
        <f>PARAM!$C$26+MAX($G$19-CHOOSE(PARAM!$B$44,MAX(0,BR267*$F$1),0),0)*RATES!$L244/12+$H$19*(PARAM!$D$51/12)*RATES!$N244/100</f>
        <v>18.351467273828504</v>
      </c>
      <c r="BR268" s="16">
        <f t="shared" si="171"/>
        <v>702.4802152957817</v>
      </c>
      <c r="BS268" s="15">
        <f t="shared" si="146"/>
        <v>22.170849845882874</v>
      </c>
      <c r="BT268" s="75">
        <f>BS268*(1-PARAM!$C$27)*$I$20+(MOD($B268,60)=PARAM!$B$56)*($B268&gt;(60-PARAM!$B$56))*HLOOKUP(($B268+PARAM!$B$56)/12,Loyalty,2)*$F$1*MAX(BV267,0)</f>
        <v>18.557001321003963</v>
      </c>
      <c r="BU268" s="75">
        <f>PARAM!$C$26+MAX($G$20-CHOOSE(PARAM!$B$44,MAX(0,BV267*$F$1),0),0)*RATES!$L244/12+$H$20*(PARAM!$D$51/12)*RATES!$N244/100</f>
        <v>18.351467273828504</v>
      </c>
      <c r="BV268" s="16">
        <f t="shared" si="172"/>
        <v>702.4802152957817</v>
      </c>
      <c r="BW268" s="15">
        <f t="shared" si="147"/>
        <v>22.170849845882874</v>
      </c>
      <c r="BX268" s="75">
        <f>BW268*(1-PARAM!$C$27)*$I$21+(MOD($B268,60)=PARAM!$B$56)*($B268&gt;(60-PARAM!$B$56))*HLOOKUP(($B268+PARAM!$B$56)/12,Loyalty,2)*$F$1*MAX(BZ267,0)</f>
        <v>18.557001321003963</v>
      </c>
      <c r="BY268" s="75">
        <f>PARAM!$C$26+MAX($G$21-CHOOSE(PARAM!$B$44,MAX(0,BZ267*$F$1),0),0)*RATES!$L244/12+$H$21*(PARAM!$D$51/12)*RATES!$N244/100</f>
        <v>18.351467273828504</v>
      </c>
      <c r="BZ268" s="16">
        <f t="shared" si="173"/>
        <v>702.4802152957817</v>
      </c>
      <c r="CA268" s="15">
        <f t="shared" si="148"/>
        <v>22.170849845882874</v>
      </c>
      <c r="CB268" s="75">
        <f>CA268*(1-PARAM!$C$27)*$I$22+(MOD($B268,60)=PARAM!$B$56)*($B268&gt;(60-PARAM!$B$56))*HLOOKUP(($B268+PARAM!$B$56)/12,Loyalty,2)*$F$1*MAX(CD267,0)</f>
        <v>18.557001321003963</v>
      </c>
      <c r="CC268" s="75">
        <f>PARAM!$C$26+MAX($G$22-CHOOSE(PARAM!$B$44,MAX(0,CD267*$F$1),0),0)*RATES!$L244/12+$H$22*(PARAM!$D$51/12)*RATES!$N244/100</f>
        <v>18.351467273828504</v>
      </c>
      <c r="CD268" s="16">
        <f t="shared" si="174"/>
        <v>702.4802152957817</v>
      </c>
      <c r="CE268" s="33">
        <f>IF(0=MOD(B268,12/PARAM!$D$51),1,0)</f>
        <v>1</v>
      </c>
      <c r="CF268" s="15">
        <f t="shared" si="149"/>
        <v>0</v>
      </c>
      <c r="CG268" s="75">
        <f>CF268*(1-PARAM!$C$27)*$R$3+(MOD($B268/12,5)=0)*($B268&gt;60)*HLOOKUP($B268/12,Loyalty,2)*$F$1*MAX(CI267,0)</f>
        <v>0</v>
      </c>
      <c r="CH268" s="75">
        <f>PARAM!$C$26+MAX($P$3-CHOOSE(PARAM!$B$44,MAX(0,CI267*$F$1),0),0)*RATES!$L244/12+$Q$3*(PARAM!$D$51/12)*RATES!$N244/100</f>
        <v>18.541666666666664</v>
      </c>
      <c r="CI268" s="16">
        <f>IF(CI267&gt;0,CI267*PARAM!$C$53,CI267)+CG268-CH268</f>
        <v>-3619.8333333333289</v>
      </c>
      <c r="CJ268" s="15">
        <f t="shared" si="175"/>
        <v>0</v>
      </c>
      <c r="CK268" s="75">
        <f>CJ268*(1-PARAM!$C$27)*$R$4+(MOD($B268/12,5)=0)*($B268&gt;60)*HLOOKUP($B268/12,Loyalty,2)*$F$1*MAX(CM267,0)</f>
        <v>0</v>
      </c>
      <c r="CL268" s="75">
        <f>PARAM!$C$26+MAX($P$4-CHOOSE(PARAM!$B$44,MAX(0,CM267*$F$1),0),0)*RATES!$L244/12+$Q$4*(PARAM!$D$51/12)*RATES!$N244/100</f>
        <v>18.541666666666664</v>
      </c>
      <c r="CM268" s="16">
        <f>IF(CM267&gt;0,CM267*PARAM!$C$53,CM267)+CK268-CL268</f>
        <v>-3619.8333333333289</v>
      </c>
      <c r="CO268" s="176"/>
    </row>
    <row r="269" spans="1:93" x14ac:dyDescent="0.2">
      <c r="A269" t="b">
        <f t="shared" si="150"/>
        <v>1</v>
      </c>
      <c r="B269" s="33">
        <v>242</v>
      </c>
      <c r="C269" s="15">
        <f t="shared" si="151"/>
        <v>20.081305947392778</v>
      </c>
      <c r="D269" s="75">
        <f>C269*(1-PARAM!$C$27)*$I$3+(MOD($B269,60)=PARAM!$B$56)*($B269&gt;(60-PARAM!$B$56))*HLOOKUP(($B269+PARAM!$B$56)/12,Loyalty,2)*$F$1*MAX(F268,0)</f>
        <v>16.808053077967756</v>
      </c>
      <c r="E269" s="75">
        <f>PARAM!$C$26+MAX($G$3-CHOOSE(PARAM!$B$44,MAX(0,F268*$F$1),0),0)*RATES!$L245/12+$H$3*(PARAM!$D$51/12)*RATES!$N245/100</f>
        <v>18.468065927033841</v>
      </c>
      <c r="F269" s="16">
        <f t="shared" si="152"/>
        <v>270.09656425675507</v>
      </c>
      <c r="G269" s="15">
        <f t="shared" si="153"/>
        <v>22.035289406060361</v>
      </c>
      <c r="H269" s="75">
        <f>G269*(1-PARAM!$C$27)*$I$4+(MOD($B269,60)=PARAM!$B$56)*($B269&gt;(60-PARAM!$B$56))*HLOOKUP(($B269+PARAM!$B$56)/12,Loyalty,2)*$F$1*MAX(J268,0)</f>
        <v>18.443537232872522</v>
      </c>
      <c r="I269" s="75">
        <f>PARAM!$C$26+MAX($G$4-CHOOSE(PARAM!$B$44,MAX(0,J268*$F$1),0),0)*RATES!$L245/12+$H$4*(PARAM!$D$51/12)*RATES!$N245/100</f>
        <v>18.358983943333378</v>
      </c>
      <c r="J269" s="16">
        <f t="shared" si="154"/>
        <v>674.60537790475473</v>
      </c>
      <c r="K269" s="15">
        <f t="shared" si="155"/>
        <v>22.170849845882874</v>
      </c>
      <c r="L269" s="75">
        <f>K269*(1-PARAM!$C$27)*$I$5+(MOD($B269,60)=PARAM!$B$56)*($B269&gt;(60-PARAM!$B$56))*HLOOKUP(($B269+PARAM!$B$56)/12,Loyalty,2)*$F$1*MAX(N268,0)</f>
        <v>18.557001321003963</v>
      </c>
      <c r="M269" s="75">
        <f>PARAM!$C$26+MAX($G$5-CHOOSE(PARAM!$B$44,MAX(0,N268*$F$1),0),0)*RATES!$L245/12+$H$5*(PARAM!$D$51/12)*RATES!$N245/100</f>
        <v>18.351411608357395</v>
      </c>
      <c r="N269" s="16">
        <f t="shared" si="156"/>
        <v>702.68580500842836</v>
      </c>
      <c r="O269" s="15">
        <f t="shared" si="157"/>
        <v>22.170849845882874</v>
      </c>
      <c r="P269" s="75">
        <f>O269*(1-PARAM!$C$27)*$I$6+(MOD($B269,60)=PARAM!$B$56)*($B269&gt;(60-PARAM!$B$56))*HLOOKUP(($B269+PARAM!$B$56)/12,Loyalty,2)*$F$1*MAX(R268,0)</f>
        <v>18.557001321003963</v>
      </c>
      <c r="Q269" s="75">
        <f>PARAM!$C$26+MAX($G$6-CHOOSE(PARAM!$B$44,MAX(0,R268*$F$1),0),0)*RATES!$L245/12+$H$6*(PARAM!$D$51/12)*RATES!$N245/100</f>
        <v>18.351411608357395</v>
      </c>
      <c r="R269" s="16">
        <f t="shared" si="158"/>
        <v>702.68580500842836</v>
      </c>
      <c r="S269" s="15">
        <f t="shared" si="133"/>
        <v>22.170849845882874</v>
      </c>
      <c r="T269" s="75">
        <f>S269*(1-PARAM!$C$27)*$I$7+(MOD($B269,60)=PARAM!$B$56)*($B269&gt;(60-PARAM!$B$56))*HLOOKUP(($B269+PARAM!$B$56)/12,Loyalty,2)*$F$1*MAX(V268,0)</f>
        <v>18.557001321003963</v>
      </c>
      <c r="U269" s="75">
        <f>PARAM!$C$26+MAX($G$7-CHOOSE(PARAM!$B$44,MAX(0,V268*$F$1),0),0)*RATES!$L245/12+$H$7*(PARAM!$D$51/12)*RATES!$N245/100</f>
        <v>18.351411608357395</v>
      </c>
      <c r="V269" s="16">
        <f t="shared" si="159"/>
        <v>702.68580500842836</v>
      </c>
      <c r="W269" s="15">
        <f t="shared" si="134"/>
        <v>22.170849845882874</v>
      </c>
      <c r="X269" s="75">
        <f>W269*(1-PARAM!$C$27)*$I$8+(MOD($B269,60)=PARAM!$B$56)*($B269&gt;(60-PARAM!$B$56))*HLOOKUP(($B269+PARAM!$B$56)/12,Loyalty,2)*$F$1*MAX(Z268,0)</f>
        <v>18.557001321003963</v>
      </c>
      <c r="Y269" s="75">
        <f>PARAM!$C$26+MAX($G$8-CHOOSE(PARAM!$B$44,MAX(0,Z268*$F$1),0),0)*RATES!$L245/12+$H$8*(PARAM!$D$51/12)*RATES!$N245/100</f>
        <v>18.351411608357395</v>
      </c>
      <c r="Z269" s="16">
        <f t="shared" si="160"/>
        <v>702.68580500842836</v>
      </c>
      <c r="AA269" s="15">
        <f t="shared" si="135"/>
        <v>22.170849845882874</v>
      </c>
      <c r="AB269" s="75">
        <f>AA269*(1-PARAM!$C$27)*$I$9+(MOD($B269,60)=PARAM!$B$56)*($B269&gt;(60-PARAM!$B$56))*HLOOKUP(($B269+PARAM!$B$56)/12,Loyalty,2)*$F$1*MAX(AD268,0)</f>
        <v>18.557001321003963</v>
      </c>
      <c r="AC269" s="75">
        <f>PARAM!$C$26+MAX($G$9-CHOOSE(PARAM!$B$44,MAX(0,AD268*$F$1),0),0)*RATES!$L245/12+$H$9*(PARAM!$D$51/12)*RATES!$N245/100</f>
        <v>18.351411608357395</v>
      </c>
      <c r="AD269" s="16">
        <f t="shared" si="161"/>
        <v>702.68580500842836</v>
      </c>
      <c r="AE269" s="15">
        <f t="shared" si="136"/>
        <v>22.170849845882874</v>
      </c>
      <c r="AF269" s="75">
        <f>AE269*(1-PARAM!$C$27)*$I$10+(MOD($B269,60)=PARAM!$B$56)*($B269&gt;(60-PARAM!$B$56))*HLOOKUP(($B269+PARAM!$B$56)/12,Loyalty,2)*$F$1*MAX(AH268,0)</f>
        <v>18.557001321003963</v>
      </c>
      <c r="AG269" s="75">
        <f>PARAM!$C$26+MAX($G$10-CHOOSE(PARAM!$B$44,MAX(0,AH268*$F$1),0),0)*RATES!$L245/12+$H$10*(PARAM!$D$51/12)*RATES!$N245/100</f>
        <v>18.351411608357395</v>
      </c>
      <c r="AH269" s="16">
        <f t="shared" si="162"/>
        <v>702.68580500842836</v>
      </c>
      <c r="AI269" s="15">
        <f t="shared" si="137"/>
        <v>22.170849845882874</v>
      </c>
      <c r="AJ269" s="75">
        <f>AI269*(1-PARAM!$C$27)*$I$11+(MOD($B269,60)=PARAM!$B$56)*($B269&gt;(60-PARAM!$B$56))*HLOOKUP(($B269+PARAM!$B$56)/12,Loyalty,2)*$F$1*MAX(AL268,0)</f>
        <v>18.557001321003963</v>
      </c>
      <c r="AK269" s="75">
        <f>PARAM!$C$26+MAX($G$11-CHOOSE(PARAM!$B$44,MAX(0,AL268*$F$1),0),0)*RATES!$L245/12+$H$11*(PARAM!$D$51/12)*RATES!$N245/100</f>
        <v>18.351411608357395</v>
      </c>
      <c r="AL269" s="16">
        <f t="shared" si="163"/>
        <v>702.68580500842836</v>
      </c>
      <c r="AM269" s="15">
        <f t="shared" si="138"/>
        <v>22.170849845882874</v>
      </c>
      <c r="AN269" s="75">
        <f>AM269*(1-PARAM!$C$27)*$I$12+(MOD($B269,60)=PARAM!$B$56)*($B269&gt;(60-PARAM!$B$56))*HLOOKUP(($B269+PARAM!$B$56)/12,Loyalty,2)*$F$1*MAX(AP268,0)</f>
        <v>18.557001321003963</v>
      </c>
      <c r="AO269" s="75">
        <f>PARAM!$C$26+MAX($G$12-CHOOSE(PARAM!$B$44,MAX(0,AP268*$F$1),0),0)*RATES!$L245/12+$H$12*(PARAM!$D$51/12)*RATES!$N245/100</f>
        <v>18.351411608357395</v>
      </c>
      <c r="AP269" s="16">
        <f t="shared" si="164"/>
        <v>702.68580500842836</v>
      </c>
      <c r="AQ269" s="15">
        <f t="shared" si="139"/>
        <v>22.170849845882874</v>
      </c>
      <c r="AR269" s="75">
        <f>AQ269*(1-PARAM!$C$27)*$I$13+(MOD($B269,60)=PARAM!$B$56)*($B269&gt;(60-PARAM!$B$56))*HLOOKUP(($B269+PARAM!$B$56)/12,Loyalty,2)*$F$1*MAX(AT268,0)</f>
        <v>18.557001321003963</v>
      </c>
      <c r="AS269" s="75">
        <f>PARAM!$C$26+MAX($G$13-CHOOSE(PARAM!$B$44,MAX(0,AT268*$F$1),0),0)*RATES!$L245/12+$H$13*(PARAM!$D$51/12)*RATES!$N245/100</f>
        <v>18.351411608357395</v>
      </c>
      <c r="AT269" s="16">
        <f t="shared" si="165"/>
        <v>702.68580500842836</v>
      </c>
      <c r="AU269" s="15">
        <f t="shared" si="140"/>
        <v>22.170849845882874</v>
      </c>
      <c r="AV269" s="75">
        <f>AU269*(1-PARAM!$C$27)*$I$14+(MOD($B269,60)=PARAM!$B$56)*($B269&gt;(60-PARAM!$B$56))*HLOOKUP(($B269+PARAM!$B$56)/12,Loyalty,2)*$F$1*MAX(AX268,0)</f>
        <v>18.557001321003963</v>
      </c>
      <c r="AW269" s="75">
        <f>PARAM!$C$26+MAX($G$14-CHOOSE(PARAM!$B$44,MAX(0,AX268*$F$1),0),0)*RATES!$L245/12+$H$14*(PARAM!$D$51/12)*RATES!$N245/100</f>
        <v>18.351411608357395</v>
      </c>
      <c r="AX269" s="16">
        <f t="shared" si="166"/>
        <v>702.68580500842836</v>
      </c>
      <c r="AY269" s="15">
        <f t="shared" si="141"/>
        <v>22.170849845882874</v>
      </c>
      <c r="AZ269" s="75">
        <f>AY269*(1-PARAM!$C$27)*$I$15+(MOD($B269,60)=PARAM!$B$56)*($B269&gt;(60-PARAM!$B$56))*HLOOKUP(($B269+PARAM!$B$56)/12,Loyalty,2)*$F$1*MAX(BB268,0)</f>
        <v>18.557001321003963</v>
      </c>
      <c r="BA269" s="75">
        <f>PARAM!$C$26+MAX($G$15-CHOOSE(PARAM!$B$44,MAX(0,BB268*$F$1),0),0)*RATES!$L245/12+$H$15*(PARAM!$D$51/12)*RATES!$N245/100</f>
        <v>18.351411608357395</v>
      </c>
      <c r="BB269" s="16">
        <f t="shared" si="167"/>
        <v>702.68580500842836</v>
      </c>
      <c r="BC269" s="15">
        <f t="shared" si="142"/>
        <v>22.170849845882874</v>
      </c>
      <c r="BD269" s="75">
        <f>BC269*(1-PARAM!$C$27)*$I$16+(MOD($B269,60)=PARAM!$B$56)*($B269&gt;(60-PARAM!$B$56))*HLOOKUP(($B269+PARAM!$B$56)/12,Loyalty,2)*$F$1*MAX(BF268,0)</f>
        <v>18.557001321003963</v>
      </c>
      <c r="BE269" s="75">
        <f>PARAM!$C$26+MAX($G$16-CHOOSE(PARAM!$B$44,MAX(0,BF268*$F$1),0),0)*RATES!$L245/12+$H$16*(PARAM!$D$51/12)*RATES!$N245/100</f>
        <v>18.351411608357395</v>
      </c>
      <c r="BF269" s="16">
        <f t="shared" si="168"/>
        <v>702.68580500842836</v>
      </c>
      <c r="BG269" s="15">
        <f t="shared" si="143"/>
        <v>22.170849845882874</v>
      </c>
      <c r="BH269" s="75">
        <f>BG269*(1-PARAM!$C$27)*$I$17+(MOD($B269,60)=PARAM!$B$56)*($B269&gt;(60-PARAM!$B$56))*HLOOKUP(($B269+PARAM!$B$56)/12,Loyalty,2)*$F$1*MAX(BJ268,0)</f>
        <v>18.557001321003963</v>
      </c>
      <c r="BI269" s="75">
        <f>PARAM!$C$26+MAX($G$17-CHOOSE(PARAM!$B$44,MAX(0,BJ268*$F$1),0),0)*RATES!$L245/12+$H$17*(PARAM!$D$51/12)*RATES!$N245/100</f>
        <v>18.351411608357395</v>
      </c>
      <c r="BJ269" s="16">
        <f t="shared" si="169"/>
        <v>702.68580500842836</v>
      </c>
      <c r="BK269" s="15">
        <f t="shared" si="144"/>
        <v>22.170849845882874</v>
      </c>
      <c r="BL269" s="75">
        <f>BK269*(1-PARAM!$C$27)*$I$18+(MOD($B269,60)=PARAM!$B$56)*($B269&gt;(60-PARAM!$B$56))*HLOOKUP(($B269+PARAM!$B$56)/12,Loyalty,2)*$F$1*MAX(BN268,0)</f>
        <v>18.557001321003963</v>
      </c>
      <c r="BM269" s="75">
        <f>PARAM!$C$26+MAX($G$18-CHOOSE(PARAM!$B$44,MAX(0,BN268*$F$1),0),0)*RATES!$L245/12+$H$18*(PARAM!$D$51/12)*RATES!$N245/100</f>
        <v>18.351411608357395</v>
      </c>
      <c r="BN269" s="16">
        <f t="shared" si="170"/>
        <v>702.68580500842836</v>
      </c>
      <c r="BO269" s="15">
        <f t="shared" si="145"/>
        <v>22.170849845882874</v>
      </c>
      <c r="BP269" s="75">
        <f>BO269*(1-PARAM!$C$27)*$I$19+(MOD($B269,60)=PARAM!$B$56)*($B269&gt;(60-PARAM!$B$56))*HLOOKUP(($B269+PARAM!$B$56)/12,Loyalty,2)*$F$1*MAX(BR268,0)</f>
        <v>18.557001321003963</v>
      </c>
      <c r="BQ269" s="75">
        <f>PARAM!$C$26+MAX($G$19-CHOOSE(PARAM!$B$44,MAX(0,BR268*$F$1),0),0)*RATES!$L245/12+$H$19*(PARAM!$D$51/12)*RATES!$N245/100</f>
        <v>18.351411608357395</v>
      </c>
      <c r="BR269" s="16">
        <f t="shared" si="171"/>
        <v>702.68580500842836</v>
      </c>
      <c r="BS269" s="15">
        <f t="shared" si="146"/>
        <v>22.170849845882874</v>
      </c>
      <c r="BT269" s="75">
        <f>BS269*(1-PARAM!$C$27)*$I$20+(MOD($B269,60)=PARAM!$B$56)*($B269&gt;(60-PARAM!$B$56))*HLOOKUP(($B269+PARAM!$B$56)/12,Loyalty,2)*$F$1*MAX(BV268,0)</f>
        <v>18.557001321003963</v>
      </c>
      <c r="BU269" s="75">
        <f>PARAM!$C$26+MAX($G$20-CHOOSE(PARAM!$B$44,MAX(0,BV268*$F$1),0),0)*RATES!$L245/12+$H$20*(PARAM!$D$51/12)*RATES!$N245/100</f>
        <v>18.351411608357395</v>
      </c>
      <c r="BV269" s="16">
        <f t="shared" si="172"/>
        <v>702.68580500842836</v>
      </c>
      <c r="BW269" s="15">
        <f t="shared" si="147"/>
        <v>22.170849845882874</v>
      </c>
      <c r="BX269" s="75">
        <f>BW269*(1-PARAM!$C$27)*$I$21+(MOD($B269,60)=PARAM!$B$56)*($B269&gt;(60-PARAM!$B$56))*HLOOKUP(($B269+PARAM!$B$56)/12,Loyalty,2)*$F$1*MAX(BZ268,0)</f>
        <v>18.557001321003963</v>
      </c>
      <c r="BY269" s="75">
        <f>PARAM!$C$26+MAX($G$21-CHOOSE(PARAM!$B$44,MAX(0,BZ268*$F$1),0),0)*RATES!$L245/12+$H$21*(PARAM!$D$51/12)*RATES!$N245/100</f>
        <v>18.351411608357395</v>
      </c>
      <c r="BZ269" s="16">
        <f t="shared" si="173"/>
        <v>702.68580500842836</v>
      </c>
      <c r="CA269" s="15">
        <f t="shared" si="148"/>
        <v>22.170849845882874</v>
      </c>
      <c r="CB269" s="75">
        <f>CA269*(1-PARAM!$C$27)*$I$22+(MOD($B269,60)=PARAM!$B$56)*($B269&gt;(60-PARAM!$B$56))*HLOOKUP(($B269+PARAM!$B$56)/12,Loyalty,2)*$F$1*MAX(CD268,0)</f>
        <v>18.557001321003963</v>
      </c>
      <c r="CC269" s="75">
        <f>PARAM!$C$26+MAX($G$22-CHOOSE(PARAM!$B$44,MAX(0,CD268*$F$1),0),0)*RATES!$L245/12+$H$22*(PARAM!$D$51/12)*RATES!$N245/100</f>
        <v>18.351411608357395</v>
      </c>
      <c r="CD269" s="16">
        <f t="shared" si="174"/>
        <v>702.68580500842836</v>
      </c>
      <c r="CE269" s="33">
        <f>IF(0=MOD(B269,12/PARAM!$D$51),1,0)</f>
        <v>1</v>
      </c>
      <c r="CF269" s="15">
        <f t="shared" si="149"/>
        <v>0</v>
      </c>
      <c r="CG269" s="75">
        <f>CF269*(1-PARAM!$C$27)*$R$3+(MOD($B269/12,5)=0)*($B269&gt;60)*HLOOKUP($B269/12,Loyalty,2)*$F$1*MAX(CI268,0)</f>
        <v>0</v>
      </c>
      <c r="CH269" s="75">
        <f>PARAM!$C$26+MAX($P$3-CHOOSE(PARAM!$B$44,MAX(0,CI268*$F$1),0),0)*RATES!$L245/12+$Q$3*(PARAM!$D$51/12)*RATES!$N245/100</f>
        <v>18.541666666666664</v>
      </c>
      <c r="CI269" s="16">
        <f>IF(CI268&gt;0,CI268*PARAM!$C$53,CI268)+CG269-CH269</f>
        <v>-3638.3749999999955</v>
      </c>
      <c r="CJ269" s="15">
        <f t="shared" si="175"/>
        <v>0</v>
      </c>
      <c r="CK269" s="75">
        <f>CJ269*(1-PARAM!$C$27)*$R$4+(MOD($B269/12,5)=0)*($B269&gt;60)*HLOOKUP($B269/12,Loyalty,2)*$F$1*MAX(CM268,0)</f>
        <v>0</v>
      </c>
      <c r="CL269" s="75">
        <f>PARAM!$C$26+MAX($P$4-CHOOSE(PARAM!$B$44,MAX(0,CM268*$F$1),0),0)*RATES!$L245/12+$Q$4*(PARAM!$D$51/12)*RATES!$N245/100</f>
        <v>18.541666666666664</v>
      </c>
      <c r="CM269" s="16">
        <f>IF(CM268&gt;0,CM268*PARAM!$C$53,CM268)+CK269-CL269</f>
        <v>-3638.3749999999955</v>
      </c>
      <c r="CO269" s="176"/>
    </row>
    <row r="270" spans="1:93" x14ac:dyDescent="0.2">
      <c r="A270" t="b">
        <f t="shared" si="150"/>
        <v>1</v>
      </c>
      <c r="B270" s="33">
        <v>243</v>
      </c>
      <c r="C270" s="15">
        <f t="shared" si="151"/>
        <v>20.081305947392778</v>
      </c>
      <c r="D270" s="75">
        <f>C270*(1-PARAM!$C$27)*$I$3+(MOD($B270,60)=PARAM!$B$56)*($B270&gt;(60-PARAM!$B$56))*HLOOKUP(($B270+PARAM!$B$56)/12,Loyalty,2)*$F$1*MAX(F269,0)</f>
        <v>16.808053077967756</v>
      </c>
      <c r="E270" s="75">
        <f>PARAM!$C$26+MAX($G$3-CHOOSE(PARAM!$B$44,MAX(0,F269*$F$1),0),0)*RATES!$L246/12+$H$3*(PARAM!$D$51/12)*RATES!$N246/100</f>
        <v>18.46851551384713</v>
      </c>
      <c r="F270" s="16">
        <f t="shared" si="152"/>
        <v>268.43610182087571</v>
      </c>
      <c r="G270" s="15">
        <f t="shared" si="153"/>
        <v>22.035289406060361</v>
      </c>
      <c r="H270" s="75">
        <f>G270*(1-PARAM!$C$27)*$I$4+(MOD($B270,60)=PARAM!$B$56)*($B270&gt;(60-PARAM!$B$56))*HLOOKUP(($B270+PARAM!$B$56)/12,Loyalty,2)*$F$1*MAX(J269,0)</f>
        <v>18.443537232872522</v>
      </c>
      <c r="I270" s="75">
        <f>PARAM!$C$26+MAX($G$4-CHOOSE(PARAM!$B$44,MAX(0,J269*$F$1),0),0)*RATES!$L246/12+$H$4*(PARAM!$D$51/12)*RATES!$N246/100</f>
        <v>18.358961043484129</v>
      </c>
      <c r="J270" s="16">
        <f t="shared" si="154"/>
        <v>674.6899540941431</v>
      </c>
      <c r="K270" s="15">
        <f t="shared" si="155"/>
        <v>22.170849845882874</v>
      </c>
      <c r="L270" s="75">
        <f>K270*(1-PARAM!$C$27)*$I$5+(MOD($B270,60)=PARAM!$B$56)*($B270&gt;(60-PARAM!$B$56))*HLOOKUP(($B270+PARAM!$B$56)/12,Loyalty,2)*$F$1*MAX(N269,0)</f>
        <v>18.557001321003963</v>
      </c>
      <c r="M270" s="75">
        <f>PARAM!$C$26+MAX($G$5-CHOOSE(PARAM!$B$44,MAX(0,N269*$F$1),0),0)*RATES!$L246/12+$H$5*(PARAM!$D$51/12)*RATES!$N246/100</f>
        <v>18.351355927810218</v>
      </c>
      <c r="N270" s="16">
        <f t="shared" si="156"/>
        <v>702.89145040162214</v>
      </c>
      <c r="O270" s="15">
        <f t="shared" si="157"/>
        <v>22.170849845882874</v>
      </c>
      <c r="P270" s="75">
        <f>O270*(1-PARAM!$C$27)*$I$6+(MOD($B270,60)=PARAM!$B$56)*($B270&gt;(60-PARAM!$B$56))*HLOOKUP(($B270+PARAM!$B$56)/12,Loyalty,2)*$F$1*MAX(R269,0)</f>
        <v>18.557001321003963</v>
      </c>
      <c r="Q270" s="75">
        <f>PARAM!$C$26+MAX($G$6-CHOOSE(PARAM!$B$44,MAX(0,R269*$F$1),0),0)*RATES!$L246/12+$H$6*(PARAM!$D$51/12)*RATES!$N246/100</f>
        <v>18.351355927810218</v>
      </c>
      <c r="R270" s="16">
        <f t="shared" si="158"/>
        <v>702.89145040162214</v>
      </c>
      <c r="S270" s="15">
        <f t="shared" si="133"/>
        <v>22.170849845882874</v>
      </c>
      <c r="T270" s="75">
        <f>S270*(1-PARAM!$C$27)*$I$7+(MOD($B270,60)=PARAM!$B$56)*($B270&gt;(60-PARAM!$B$56))*HLOOKUP(($B270+PARAM!$B$56)/12,Loyalty,2)*$F$1*MAX(V269,0)</f>
        <v>18.557001321003963</v>
      </c>
      <c r="U270" s="75">
        <f>PARAM!$C$26+MAX($G$7-CHOOSE(PARAM!$B$44,MAX(0,V269*$F$1),0),0)*RATES!$L246/12+$H$7*(PARAM!$D$51/12)*RATES!$N246/100</f>
        <v>18.351355927810218</v>
      </c>
      <c r="V270" s="16">
        <f t="shared" si="159"/>
        <v>702.89145040162214</v>
      </c>
      <c r="W270" s="15">
        <f t="shared" si="134"/>
        <v>22.170849845882874</v>
      </c>
      <c r="X270" s="75">
        <f>W270*(1-PARAM!$C$27)*$I$8+(MOD($B270,60)=PARAM!$B$56)*($B270&gt;(60-PARAM!$B$56))*HLOOKUP(($B270+PARAM!$B$56)/12,Loyalty,2)*$F$1*MAX(Z269,0)</f>
        <v>18.557001321003963</v>
      </c>
      <c r="Y270" s="75">
        <f>PARAM!$C$26+MAX($G$8-CHOOSE(PARAM!$B$44,MAX(0,Z269*$F$1),0),0)*RATES!$L246/12+$H$8*(PARAM!$D$51/12)*RATES!$N246/100</f>
        <v>18.351355927810218</v>
      </c>
      <c r="Z270" s="16">
        <f t="shared" si="160"/>
        <v>702.89145040162214</v>
      </c>
      <c r="AA270" s="15">
        <f t="shared" si="135"/>
        <v>22.170849845882874</v>
      </c>
      <c r="AB270" s="75">
        <f>AA270*(1-PARAM!$C$27)*$I$9+(MOD($B270,60)=PARAM!$B$56)*($B270&gt;(60-PARAM!$B$56))*HLOOKUP(($B270+PARAM!$B$56)/12,Loyalty,2)*$F$1*MAX(AD269,0)</f>
        <v>18.557001321003963</v>
      </c>
      <c r="AC270" s="75">
        <f>PARAM!$C$26+MAX($G$9-CHOOSE(PARAM!$B$44,MAX(0,AD269*$F$1),0),0)*RATES!$L246/12+$H$9*(PARAM!$D$51/12)*RATES!$N246/100</f>
        <v>18.351355927810218</v>
      </c>
      <c r="AD270" s="16">
        <f t="shared" si="161"/>
        <v>702.89145040162214</v>
      </c>
      <c r="AE270" s="15">
        <f t="shared" si="136"/>
        <v>22.170849845882874</v>
      </c>
      <c r="AF270" s="75">
        <f>AE270*(1-PARAM!$C$27)*$I$10+(MOD($B270,60)=PARAM!$B$56)*($B270&gt;(60-PARAM!$B$56))*HLOOKUP(($B270+PARAM!$B$56)/12,Loyalty,2)*$F$1*MAX(AH269,0)</f>
        <v>18.557001321003963</v>
      </c>
      <c r="AG270" s="75">
        <f>PARAM!$C$26+MAX($G$10-CHOOSE(PARAM!$B$44,MAX(0,AH269*$F$1),0),0)*RATES!$L246/12+$H$10*(PARAM!$D$51/12)*RATES!$N246/100</f>
        <v>18.351355927810218</v>
      </c>
      <c r="AH270" s="16">
        <f t="shared" si="162"/>
        <v>702.89145040162214</v>
      </c>
      <c r="AI270" s="15">
        <f t="shared" si="137"/>
        <v>22.170849845882874</v>
      </c>
      <c r="AJ270" s="75">
        <f>AI270*(1-PARAM!$C$27)*$I$11+(MOD($B270,60)=PARAM!$B$56)*($B270&gt;(60-PARAM!$B$56))*HLOOKUP(($B270+PARAM!$B$56)/12,Loyalty,2)*$F$1*MAX(AL269,0)</f>
        <v>18.557001321003963</v>
      </c>
      <c r="AK270" s="75">
        <f>PARAM!$C$26+MAX($G$11-CHOOSE(PARAM!$B$44,MAX(0,AL269*$F$1),0),0)*RATES!$L246/12+$H$11*(PARAM!$D$51/12)*RATES!$N246/100</f>
        <v>18.351355927810218</v>
      </c>
      <c r="AL270" s="16">
        <f t="shared" si="163"/>
        <v>702.89145040162214</v>
      </c>
      <c r="AM270" s="15">
        <f t="shared" si="138"/>
        <v>22.170849845882874</v>
      </c>
      <c r="AN270" s="75">
        <f>AM270*(1-PARAM!$C$27)*$I$12+(MOD($B270,60)=PARAM!$B$56)*($B270&gt;(60-PARAM!$B$56))*HLOOKUP(($B270+PARAM!$B$56)/12,Loyalty,2)*$F$1*MAX(AP269,0)</f>
        <v>18.557001321003963</v>
      </c>
      <c r="AO270" s="75">
        <f>PARAM!$C$26+MAX($G$12-CHOOSE(PARAM!$B$44,MAX(0,AP269*$F$1),0),0)*RATES!$L246/12+$H$12*(PARAM!$D$51/12)*RATES!$N246/100</f>
        <v>18.351355927810218</v>
      </c>
      <c r="AP270" s="16">
        <f t="shared" si="164"/>
        <v>702.89145040162214</v>
      </c>
      <c r="AQ270" s="15">
        <f t="shared" si="139"/>
        <v>22.170849845882874</v>
      </c>
      <c r="AR270" s="75">
        <f>AQ270*(1-PARAM!$C$27)*$I$13+(MOD($B270,60)=PARAM!$B$56)*($B270&gt;(60-PARAM!$B$56))*HLOOKUP(($B270+PARAM!$B$56)/12,Loyalty,2)*$F$1*MAX(AT269,0)</f>
        <v>18.557001321003963</v>
      </c>
      <c r="AS270" s="75">
        <f>PARAM!$C$26+MAX($G$13-CHOOSE(PARAM!$B$44,MAX(0,AT269*$F$1),0),0)*RATES!$L246/12+$H$13*(PARAM!$D$51/12)*RATES!$N246/100</f>
        <v>18.351355927810218</v>
      </c>
      <c r="AT270" s="16">
        <f t="shared" si="165"/>
        <v>702.89145040162214</v>
      </c>
      <c r="AU270" s="15">
        <f t="shared" si="140"/>
        <v>22.170849845882874</v>
      </c>
      <c r="AV270" s="75">
        <f>AU270*(1-PARAM!$C$27)*$I$14+(MOD($B270,60)=PARAM!$B$56)*($B270&gt;(60-PARAM!$B$56))*HLOOKUP(($B270+PARAM!$B$56)/12,Loyalty,2)*$F$1*MAX(AX269,0)</f>
        <v>18.557001321003963</v>
      </c>
      <c r="AW270" s="75">
        <f>PARAM!$C$26+MAX($G$14-CHOOSE(PARAM!$B$44,MAX(0,AX269*$F$1),0),0)*RATES!$L246/12+$H$14*(PARAM!$D$51/12)*RATES!$N246/100</f>
        <v>18.351355927810218</v>
      </c>
      <c r="AX270" s="16">
        <f t="shared" si="166"/>
        <v>702.89145040162214</v>
      </c>
      <c r="AY270" s="15">
        <f t="shared" si="141"/>
        <v>22.170849845882874</v>
      </c>
      <c r="AZ270" s="75">
        <f>AY270*(1-PARAM!$C$27)*$I$15+(MOD($B270,60)=PARAM!$B$56)*($B270&gt;(60-PARAM!$B$56))*HLOOKUP(($B270+PARAM!$B$56)/12,Loyalty,2)*$F$1*MAX(BB269,0)</f>
        <v>18.557001321003963</v>
      </c>
      <c r="BA270" s="75">
        <f>PARAM!$C$26+MAX($G$15-CHOOSE(PARAM!$B$44,MAX(0,BB269*$F$1),0),0)*RATES!$L246/12+$H$15*(PARAM!$D$51/12)*RATES!$N246/100</f>
        <v>18.351355927810218</v>
      </c>
      <c r="BB270" s="16">
        <f t="shared" si="167"/>
        <v>702.89145040162214</v>
      </c>
      <c r="BC270" s="15">
        <f t="shared" si="142"/>
        <v>22.170849845882874</v>
      </c>
      <c r="BD270" s="75">
        <f>BC270*(1-PARAM!$C$27)*$I$16+(MOD($B270,60)=PARAM!$B$56)*($B270&gt;(60-PARAM!$B$56))*HLOOKUP(($B270+PARAM!$B$56)/12,Loyalty,2)*$F$1*MAX(BF269,0)</f>
        <v>18.557001321003963</v>
      </c>
      <c r="BE270" s="75">
        <f>PARAM!$C$26+MAX($G$16-CHOOSE(PARAM!$B$44,MAX(0,BF269*$F$1),0),0)*RATES!$L246/12+$H$16*(PARAM!$D$51/12)*RATES!$N246/100</f>
        <v>18.351355927810218</v>
      </c>
      <c r="BF270" s="16">
        <f t="shared" si="168"/>
        <v>702.89145040162214</v>
      </c>
      <c r="BG270" s="15">
        <f t="shared" si="143"/>
        <v>22.170849845882874</v>
      </c>
      <c r="BH270" s="75">
        <f>BG270*(1-PARAM!$C$27)*$I$17+(MOD($B270,60)=PARAM!$B$56)*($B270&gt;(60-PARAM!$B$56))*HLOOKUP(($B270+PARAM!$B$56)/12,Loyalty,2)*$F$1*MAX(BJ269,0)</f>
        <v>18.557001321003963</v>
      </c>
      <c r="BI270" s="75">
        <f>PARAM!$C$26+MAX($G$17-CHOOSE(PARAM!$B$44,MAX(0,BJ269*$F$1),0),0)*RATES!$L246/12+$H$17*(PARAM!$D$51/12)*RATES!$N246/100</f>
        <v>18.351355927810218</v>
      </c>
      <c r="BJ270" s="16">
        <f t="shared" si="169"/>
        <v>702.89145040162214</v>
      </c>
      <c r="BK270" s="15">
        <f t="shared" si="144"/>
        <v>22.170849845882874</v>
      </c>
      <c r="BL270" s="75">
        <f>BK270*(1-PARAM!$C$27)*$I$18+(MOD($B270,60)=PARAM!$B$56)*($B270&gt;(60-PARAM!$B$56))*HLOOKUP(($B270+PARAM!$B$56)/12,Loyalty,2)*$F$1*MAX(BN269,0)</f>
        <v>18.557001321003963</v>
      </c>
      <c r="BM270" s="75">
        <f>PARAM!$C$26+MAX($G$18-CHOOSE(PARAM!$B$44,MAX(0,BN269*$F$1),0),0)*RATES!$L246/12+$H$18*(PARAM!$D$51/12)*RATES!$N246/100</f>
        <v>18.351355927810218</v>
      </c>
      <c r="BN270" s="16">
        <f t="shared" si="170"/>
        <v>702.89145040162214</v>
      </c>
      <c r="BO270" s="15">
        <f t="shared" si="145"/>
        <v>22.170849845882874</v>
      </c>
      <c r="BP270" s="75">
        <f>BO270*(1-PARAM!$C$27)*$I$19+(MOD($B270,60)=PARAM!$B$56)*($B270&gt;(60-PARAM!$B$56))*HLOOKUP(($B270+PARAM!$B$56)/12,Loyalty,2)*$F$1*MAX(BR269,0)</f>
        <v>18.557001321003963</v>
      </c>
      <c r="BQ270" s="75">
        <f>PARAM!$C$26+MAX($G$19-CHOOSE(PARAM!$B$44,MAX(0,BR269*$F$1),0),0)*RATES!$L246/12+$H$19*(PARAM!$D$51/12)*RATES!$N246/100</f>
        <v>18.351355927810218</v>
      </c>
      <c r="BR270" s="16">
        <f t="shared" si="171"/>
        <v>702.89145040162214</v>
      </c>
      <c r="BS270" s="15">
        <f t="shared" si="146"/>
        <v>22.170849845882874</v>
      </c>
      <c r="BT270" s="75">
        <f>BS270*(1-PARAM!$C$27)*$I$20+(MOD($B270,60)=PARAM!$B$56)*($B270&gt;(60-PARAM!$B$56))*HLOOKUP(($B270+PARAM!$B$56)/12,Loyalty,2)*$F$1*MAX(BV269,0)</f>
        <v>18.557001321003963</v>
      </c>
      <c r="BU270" s="75">
        <f>PARAM!$C$26+MAX($G$20-CHOOSE(PARAM!$B$44,MAX(0,BV269*$F$1),0),0)*RATES!$L246/12+$H$20*(PARAM!$D$51/12)*RATES!$N246/100</f>
        <v>18.351355927810218</v>
      </c>
      <c r="BV270" s="16">
        <f t="shared" si="172"/>
        <v>702.89145040162214</v>
      </c>
      <c r="BW270" s="15">
        <f t="shared" si="147"/>
        <v>22.170849845882874</v>
      </c>
      <c r="BX270" s="75">
        <f>BW270*(1-PARAM!$C$27)*$I$21+(MOD($B270,60)=PARAM!$B$56)*($B270&gt;(60-PARAM!$B$56))*HLOOKUP(($B270+PARAM!$B$56)/12,Loyalty,2)*$F$1*MAX(BZ269,0)</f>
        <v>18.557001321003963</v>
      </c>
      <c r="BY270" s="75">
        <f>PARAM!$C$26+MAX($G$21-CHOOSE(PARAM!$B$44,MAX(0,BZ269*$F$1),0),0)*RATES!$L246/12+$H$21*(PARAM!$D$51/12)*RATES!$N246/100</f>
        <v>18.351355927810218</v>
      </c>
      <c r="BZ270" s="16">
        <f t="shared" si="173"/>
        <v>702.89145040162214</v>
      </c>
      <c r="CA270" s="15">
        <f t="shared" si="148"/>
        <v>22.170849845882874</v>
      </c>
      <c r="CB270" s="75">
        <f>CA270*(1-PARAM!$C$27)*$I$22+(MOD($B270,60)=PARAM!$B$56)*($B270&gt;(60-PARAM!$B$56))*HLOOKUP(($B270+PARAM!$B$56)/12,Loyalty,2)*$F$1*MAX(CD269,0)</f>
        <v>18.557001321003963</v>
      </c>
      <c r="CC270" s="75">
        <f>PARAM!$C$26+MAX($G$22-CHOOSE(PARAM!$B$44,MAX(0,CD269*$F$1),0),0)*RATES!$L246/12+$H$22*(PARAM!$D$51/12)*RATES!$N246/100</f>
        <v>18.351355927810218</v>
      </c>
      <c r="CD270" s="16">
        <f t="shared" si="174"/>
        <v>702.89145040162214</v>
      </c>
      <c r="CE270" s="33">
        <f>IF(0=MOD(B270,12/PARAM!$D$51),1,0)</f>
        <v>1</v>
      </c>
      <c r="CF270" s="15">
        <f t="shared" si="149"/>
        <v>0</v>
      </c>
      <c r="CG270" s="75">
        <f>CF270*(1-PARAM!$C$27)*$R$3+(MOD($B270/12,5)=0)*($B270&gt;60)*HLOOKUP($B270/12,Loyalty,2)*$F$1*MAX(CI269,0)</f>
        <v>0</v>
      </c>
      <c r="CH270" s="75">
        <f>PARAM!$C$26+MAX($P$3-CHOOSE(PARAM!$B$44,MAX(0,CI269*$F$1),0),0)*RATES!$L246/12+$Q$3*(PARAM!$D$51/12)*RATES!$N246/100</f>
        <v>18.541666666666664</v>
      </c>
      <c r="CI270" s="16">
        <f>IF(CI269&gt;0,CI269*PARAM!$C$53,CI269)+CG270-CH270</f>
        <v>-3656.916666666662</v>
      </c>
      <c r="CJ270" s="15">
        <f t="shared" si="175"/>
        <v>0</v>
      </c>
      <c r="CK270" s="75">
        <f>CJ270*(1-PARAM!$C$27)*$R$4+(MOD($B270/12,5)=0)*($B270&gt;60)*HLOOKUP($B270/12,Loyalty,2)*$F$1*MAX(CM269,0)</f>
        <v>0</v>
      </c>
      <c r="CL270" s="75">
        <f>PARAM!$C$26+MAX($P$4-CHOOSE(PARAM!$B$44,MAX(0,CM269*$F$1),0),0)*RATES!$L246/12+$Q$4*(PARAM!$D$51/12)*RATES!$N246/100</f>
        <v>18.541666666666664</v>
      </c>
      <c r="CM270" s="16">
        <f>IF(CM269&gt;0,CM269*PARAM!$C$53,CM269)+CK270-CL270</f>
        <v>-3656.916666666662</v>
      </c>
      <c r="CO270" s="176"/>
    </row>
    <row r="271" spans="1:93" x14ac:dyDescent="0.2">
      <c r="A271" t="b">
        <f t="shared" si="150"/>
        <v>1</v>
      </c>
      <c r="B271" s="33">
        <v>244</v>
      </c>
      <c r="C271" s="15">
        <f t="shared" si="151"/>
        <v>20.081305947392778</v>
      </c>
      <c r="D271" s="75">
        <f>C271*(1-PARAM!$C$27)*$I$3+(MOD($B271,60)=PARAM!$B$56)*($B271&gt;(60-PARAM!$B$56))*HLOOKUP(($B271+PARAM!$B$56)/12,Loyalty,2)*$F$1*MAX(F270,0)</f>
        <v>16.808053077967756</v>
      </c>
      <c r="E271" s="75">
        <f>PARAM!$C$26+MAX($G$3-CHOOSE(PARAM!$B$44,MAX(0,F270*$F$1),0),0)*RATES!$L247/12+$H$3*(PARAM!$D$51/12)*RATES!$N247/100</f>
        <v>18.468965222423513</v>
      </c>
      <c r="F271" s="16">
        <f t="shared" si="152"/>
        <v>266.77518967641998</v>
      </c>
      <c r="G271" s="15">
        <f t="shared" si="153"/>
        <v>22.035289406060361</v>
      </c>
      <c r="H271" s="75">
        <f>G271*(1-PARAM!$C$27)*$I$4+(MOD($B271,60)=PARAM!$B$56)*($B271&gt;(60-PARAM!$B$56))*HLOOKUP(($B271+PARAM!$B$56)/12,Loyalty,2)*$F$1*MAX(J270,0)</f>
        <v>18.443537232872522</v>
      </c>
      <c r="I271" s="75">
        <f>PARAM!$C$26+MAX($G$4-CHOOSE(PARAM!$B$44,MAX(0,J270*$F$1),0),0)*RATES!$L247/12+$H$4*(PARAM!$D$51/12)*RATES!$N247/100</f>
        <v>18.358938137432837</v>
      </c>
      <c r="J271" s="16">
        <f t="shared" si="154"/>
        <v>674.77455318958278</v>
      </c>
      <c r="K271" s="15">
        <f t="shared" si="155"/>
        <v>22.170849845882874</v>
      </c>
      <c r="L271" s="75">
        <f>K271*(1-PARAM!$C$27)*$I$5+(MOD($B271,60)=PARAM!$B$56)*($B271&gt;(60-PARAM!$B$56))*HLOOKUP(($B271+PARAM!$B$56)/12,Loyalty,2)*$F$1*MAX(N270,0)</f>
        <v>18.557001321003963</v>
      </c>
      <c r="M271" s="75">
        <f>PARAM!$C$26+MAX($G$5-CHOOSE(PARAM!$B$44,MAX(0,N270*$F$1),0),0)*RATES!$L247/12+$H$5*(PARAM!$D$51/12)*RATES!$N247/100</f>
        <v>18.351300232182894</v>
      </c>
      <c r="N271" s="16">
        <f t="shared" si="156"/>
        <v>703.09715149044325</v>
      </c>
      <c r="O271" s="15">
        <f t="shared" si="157"/>
        <v>22.170849845882874</v>
      </c>
      <c r="P271" s="75">
        <f>O271*(1-PARAM!$C$27)*$I$6+(MOD($B271,60)=PARAM!$B$56)*($B271&gt;(60-PARAM!$B$56))*HLOOKUP(($B271+PARAM!$B$56)/12,Loyalty,2)*$F$1*MAX(R270,0)</f>
        <v>18.557001321003963</v>
      </c>
      <c r="Q271" s="75">
        <f>PARAM!$C$26+MAX($G$6-CHOOSE(PARAM!$B$44,MAX(0,R270*$F$1),0),0)*RATES!$L247/12+$H$6*(PARAM!$D$51/12)*RATES!$N247/100</f>
        <v>18.351300232182894</v>
      </c>
      <c r="R271" s="16">
        <f t="shared" si="158"/>
        <v>703.09715149044325</v>
      </c>
      <c r="S271" s="15">
        <f t="shared" si="133"/>
        <v>22.170849845882874</v>
      </c>
      <c r="T271" s="75">
        <f>S271*(1-PARAM!$C$27)*$I$7+(MOD($B271,60)=PARAM!$B$56)*($B271&gt;(60-PARAM!$B$56))*HLOOKUP(($B271+PARAM!$B$56)/12,Loyalty,2)*$F$1*MAX(V270,0)</f>
        <v>18.557001321003963</v>
      </c>
      <c r="U271" s="75">
        <f>PARAM!$C$26+MAX($G$7-CHOOSE(PARAM!$B$44,MAX(0,V270*$F$1),0),0)*RATES!$L247/12+$H$7*(PARAM!$D$51/12)*RATES!$N247/100</f>
        <v>18.351300232182894</v>
      </c>
      <c r="V271" s="16">
        <f t="shared" si="159"/>
        <v>703.09715149044325</v>
      </c>
      <c r="W271" s="15">
        <f t="shared" si="134"/>
        <v>22.170849845882874</v>
      </c>
      <c r="X271" s="75">
        <f>W271*(1-PARAM!$C$27)*$I$8+(MOD($B271,60)=PARAM!$B$56)*($B271&gt;(60-PARAM!$B$56))*HLOOKUP(($B271+PARAM!$B$56)/12,Loyalty,2)*$F$1*MAX(Z270,0)</f>
        <v>18.557001321003963</v>
      </c>
      <c r="Y271" s="75">
        <f>PARAM!$C$26+MAX($G$8-CHOOSE(PARAM!$B$44,MAX(0,Z270*$F$1),0),0)*RATES!$L247/12+$H$8*(PARAM!$D$51/12)*RATES!$N247/100</f>
        <v>18.351300232182894</v>
      </c>
      <c r="Z271" s="16">
        <f t="shared" si="160"/>
        <v>703.09715149044325</v>
      </c>
      <c r="AA271" s="15">
        <f t="shared" si="135"/>
        <v>22.170849845882874</v>
      </c>
      <c r="AB271" s="75">
        <f>AA271*(1-PARAM!$C$27)*$I$9+(MOD($B271,60)=PARAM!$B$56)*($B271&gt;(60-PARAM!$B$56))*HLOOKUP(($B271+PARAM!$B$56)/12,Loyalty,2)*$F$1*MAX(AD270,0)</f>
        <v>18.557001321003963</v>
      </c>
      <c r="AC271" s="75">
        <f>PARAM!$C$26+MAX($G$9-CHOOSE(PARAM!$B$44,MAX(0,AD270*$F$1),0),0)*RATES!$L247/12+$H$9*(PARAM!$D$51/12)*RATES!$N247/100</f>
        <v>18.351300232182894</v>
      </c>
      <c r="AD271" s="16">
        <f t="shared" si="161"/>
        <v>703.09715149044325</v>
      </c>
      <c r="AE271" s="15">
        <f t="shared" si="136"/>
        <v>22.170849845882874</v>
      </c>
      <c r="AF271" s="75">
        <f>AE271*(1-PARAM!$C$27)*$I$10+(MOD($B271,60)=PARAM!$B$56)*($B271&gt;(60-PARAM!$B$56))*HLOOKUP(($B271+PARAM!$B$56)/12,Loyalty,2)*$F$1*MAX(AH270,0)</f>
        <v>18.557001321003963</v>
      </c>
      <c r="AG271" s="75">
        <f>PARAM!$C$26+MAX($G$10-CHOOSE(PARAM!$B$44,MAX(0,AH270*$F$1),0),0)*RATES!$L247/12+$H$10*(PARAM!$D$51/12)*RATES!$N247/100</f>
        <v>18.351300232182894</v>
      </c>
      <c r="AH271" s="16">
        <f t="shared" si="162"/>
        <v>703.09715149044325</v>
      </c>
      <c r="AI271" s="15">
        <f t="shared" si="137"/>
        <v>22.170849845882874</v>
      </c>
      <c r="AJ271" s="75">
        <f>AI271*(1-PARAM!$C$27)*$I$11+(MOD($B271,60)=PARAM!$B$56)*($B271&gt;(60-PARAM!$B$56))*HLOOKUP(($B271+PARAM!$B$56)/12,Loyalty,2)*$F$1*MAX(AL270,0)</f>
        <v>18.557001321003963</v>
      </c>
      <c r="AK271" s="75">
        <f>PARAM!$C$26+MAX($G$11-CHOOSE(PARAM!$B$44,MAX(0,AL270*$F$1),0),0)*RATES!$L247/12+$H$11*(PARAM!$D$51/12)*RATES!$N247/100</f>
        <v>18.351300232182894</v>
      </c>
      <c r="AL271" s="16">
        <f t="shared" si="163"/>
        <v>703.09715149044325</v>
      </c>
      <c r="AM271" s="15">
        <f t="shared" si="138"/>
        <v>22.170849845882874</v>
      </c>
      <c r="AN271" s="75">
        <f>AM271*(1-PARAM!$C$27)*$I$12+(MOD($B271,60)=PARAM!$B$56)*($B271&gt;(60-PARAM!$B$56))*HLOOKUP(($B271+PARAM!$B$56)/12,Loyalty,2)*$F$1*MAX(AP270,0)</f>
        <v>18.557001321003963</v>
      </c>
      <c r="AO271" s="75">
        <f>PARAM!$C$26+MAX($G$12-CHOOSE(PARAM!$B$44,MAX(0,AP270*$F$1),0),0)*RATES!$L247/12+$H$12*(PARAM!$D$51/12)*RATES!$N247/100</f>
        <v>18.351300232182894</v>
      </c>
      <c r="AP271" s="16">
        <f t="shared" si="164"/>
        <v>703.09715149044325</v>
      </c>
      <c r="AQ271" s="15">
        <f t="shared" si="139"/>
        <v>22.170849845882874</v>
      </c>
      <c r="AR271" s="75">
        <f>AQ271*(1-PARAM!$C$27)*$I$13+(MOD($B271,60)=PARAM!$B$56)*($B271&gt;(60-PARAM!$B$56))*HLOOKUP(($B271+PARAM!$B$56)/12,Loyalty,2)*$F$1*MAX(AT270,0)</f>
        <v>18.557001321003963</v>
      </c>
      <c r="AS271" s="75">
        <f>PARAM!$C$26+MAX($G$13-CHOOSE(PARAM!$B$44,MAX(0,AT270*$F$1),0),0)*RATES!$L247/12+$H$13*(PARAM!$D$51/12)*RATES!$N247/100</f>
        <v>18.351300232182894</v>
      </c>
      <c r="AT271" s="16">
        <f t="shared" si="165"/>
        <v>703.09715149044325</v>
      </c>
      <c r="AU271" s="15">
        <f t="shared" si="140"/>
        <v>22.170849845882874</v>
      </c>
      <c r="AV271" s="75">
        <f>AU271*(1-PARAM!$C$27)*$I$14+(MOD($B271,60)=PARAM!$B$56)*($B271&gt;(60-PARAM!$B$56))*HLOOKUP(($B271+PARAM!$B$56)/12,Loyalty,2)*$F$1*MAX(AX270,0)</f>
        <v>18.557001321003963</v>
      </c>
      <c r="AW271" s="75">
        <f>PARAM!$C$26+MAX($G$14-CHOOSE(PARAM!$B$44,MAX(0,AX270*$F$1),0),0)*RATES!$L247/12+$H$14*(PARAM!$D$51/12)*RATES!$N247/100</f>
        <v>18.351300232182894</v>
      </c>
      <c r="AX271" s="16">
        <f t="shared" si="166"/>
        <v>703.09715149044325</v>
      </c>
      <c r="AY271" s="15">
        <f t="shared" si="141"/>
        <v>22.170849845882874</v>
      </c>
      <c r="AZ271" s="75">
        <f>AY271*(1-PARAM!$C$27)*$I$15+(MOD($B271,60)=PARAM!$B$56)*($B271&gt;(60-PARAM!$B$56))*HLOOKUP(($B271+PARAM!$B$56)/12,Loyalty,2)*$F$1*MAX(BB270,0)</f>
        <v>18.557001321003963</v>
      </c>
      <c r="BA271" s="75">
        <f>PARAM!$C$26+MAX($G$15-CHOOSE(PARAM!$B$44,MAX(0,BB270*$F$1),0),0)*RATES!$L247/12+$H$15*(PARAM!$D$51/12)*RATES!$N247/100</f>
        <v>18.351300232182894</v>
      </c>
      <c r="BB271" s="16">
        <f t="shared" si="167"/>
        <v>703.09715149044325</v>
      </c>
      <c r="BC271" s="15">
        <f t="shared" si="142"/>
        <v>22.170849845882874</v>
      </c>
      <c r="BD271" s="75">
        <f>BC271*(1-PARAM!$C$27)*$I$16+(MOD($B271,60)=PARAM!$B$56)*($B271&gt;(60-PARAM!$B$56))*HLOOKUP(($B271+PARAM!$B$56)/12,Loyalty,2)*$F$1*MAX(BF270,0)</f>
        <v>18.557001321003963</v>
      </c>
      <c r="BE271" s="75">
        <f>PARAM!$C$26+MAX($G$16-CHOOSE(PARAM!$B$44,MAX(0,BF270*$F$1),0),0)*RATES!$L247/12+$H$16*(PARAM!$D$51/12)*RATES!$N247/100</f>
        <v>18.351300232182894</v>
      </c>
      <c r="BF271" s="16">
        <f t="shared" si="168"/>
        <v>703.09715149044325</v>
      </c>
      <c r="BG271" s="15">
        <f t="shared" si="143"/>
        <v>22.170849845882874</v>
      </c>
      <c r="BH271" s="75">
        <f>BG271*(1-PARAM!$C$27)*$I$17+(MOD($B271,60)=PARAM!$B$56)*($B271&gt;(60-PARAM!$B$56))*HLOOKUP(($B271+PARAM!$B$56)/12,Loyalty,2)*$F$1*MAX(BJ270,0)</f>
        <v>18.557001321003963</v>
      </c>
      <c r="BI271" s="75">
        <f>PARAM!$C$26+MAX($G$17-CHOOSE(PARAM!$B$44,MAX(0,BJ270*$F$1),0),0)*RATES!$L247/12+$H$17*(PARAM!$D$51/12)*RATES!$N247/100</f>
        <v>18.351300232182894</v>
      </c>
      <c r="BJ271" s="16">
        <f t="shared" si="169"/>
        <v>703.09715149044325</v>
      </c>
      <c r="BK271" s="15">
        <f t="shared" si="144"/>
        <v>22.170849845882874</v>
      </c>
      <c r="BL271" s="75">
        <f>BK271*(1-PARAM!$C$27)*$I$18+(MOD($B271,60)=PARAM!$B$56)*($B271&gt;(60-PARAM!$B$56))*HLOOKUP(($B271+PARAM!$B$56)/12,Loyalty,2)*$F$1*MAX(BN270,0)</f>
        <v>18.557001321003963</v>
      </c>
      <c r="BM271" s="75">
        <f>PARAM!$C$26+MAX($G$18-CHOOSE(PARAM!$B$44,MAX(0,BN270*$F$1),0),0)*RATES!$L247/12+$H$18*(PARAM!$D$51/12)*RATES!$N247/100</f>
        <v>18.351300232182894</v>
      </c>
      <c r="BN271" s="16">
        <f t="shared" si="170"/>
        <v>703.09715149044325</v>
      </c>
      <c r="BO271" s="15">
        <f t="shared" si="145"/>
        <v>22.170849845882874</v>
      </c>
      <c r="BP271" s="75">
        <f>BO271*(1-PARAM!$C$27)*$I$19+(MOD($B271,60)=PARAM!$B$56)*($B271&gt;(60-PARAM!$B$56))*HLOOKUP(($B271+PARAM!$B$56)/12,Loyalty,2)*$F$1*MAX(BR270,0)</f>
        <v>18.557001321003963</v>
      </c>
      <c r="BQ271" s="75">
        <f>PARAM!$C$26+MAX($G$19-CHOOSE(PARAM!$B$44,MAX(0,BR270*$F$1),0),0)*RATES!$L247/12+$H$19*(PARAM!$D$51/12)*RATES!$N247/100</f>
        <v>18.351300232182894</v>
      </c>
      <c r="BR271" s="16">
        <f t="shared" si="171"/>
        <v>703.09715149044325</v>
      </c>
      <c r="BS271" s="15">
        <f t="shared" si="146"/>
        <v>22.170849845882874</v>
      </c>
      <c r="BT271" s="75">
        <f>BS271*(1-PARAM!$C$27)*$I$20+(MOD($B271,60)=PARAM!$B$56)*($B271&gt;(60-PARAM!$B$56))*HLOOKUP(($B271+PARAM!$B$56)/12,Loyalty,2)*$F$1*MAX(BV270,0)</f>
        <v>18.557001321003963</v>
      </c>
      <c r="BU271" s="75">
        <f>PARAM!$C$26+MAX($G$20-CHOOSE(PARAM!$B$44,MAX(0,BV270*$F$1),0),0)*RATES!$L247/12+$H$20*(PARAM!$D$51/12)*RATES!$N247/100</f>
        <v>18.351300232182894</v>
      </c>
      <c r="BV271" s="16">
        <f t="shared" si="172"/>
        <v>703.09715149044325</v>
      </c>
      <c r="BW271" s="15">
        <f t="shared" si="147"/>
        <v>22.170849845882874</v>
      </c>
      <c r="BX271" s="75">
        <f>BW271*(1-PARAM!$C$27)*$I$21+(MOD($B271,60)=PARAM!$B$56)*($B271&gt;(60-PARAM!$B$56))*HLOOKUP(($B271+PARAM!$B$56)/12,Loyalty,2)*$F$1*MAX(BZ270,0)</f>
        <v>18.557001321003963</v>
      </c>
      <c r="BY271" s="75">
        <f>PARAM!$C$26+MAX($G$21-CHOOSE(PARAM!$B$44,MAX(0,BZ270*$F$1),0),0)*RATES!$L247/12+$H$21*(PARAM!$D$51/12)*RATES!$N247/100</f>
        <v>18.351300232182894</v>
      </c>
      <c r="BZ271" s="16">
        <f t="shared" si="173"/>
        <v>703.09715149044325</v>
      </c>
      <c r="CA271" s="15">
        <f t="shared" si="148"/>
        <v>22.170849845882874</v>
      </c>
      <c r="CB271" s="75">
        <f>CA271*(1-PARAM!$C$27)*$I$22+(MOD($B271,60)=PARAM!$B$56)*($B271&gt;(60-PARAM!$B$56))*HLOOKUP(($B271+PARAM!$B$56)/12,Loyalty,2)*$F$1*MAX(CD270,0)</f>
        <v>18.557001321003963</v>
      </c>
      <c r="CC271" s="75">
        <f>PARAM!$C$26+MAX($G$22-CHOOSE(PARAM!$B$44,MAX(0,CD270*$F$1),0),0)*RATES!$L247/12+$H$22*(PARAM!$D$51/12)*RATES!$N247/100</f>
        <v>18.351300232182894</v>
      </c>
      <c r="CD271" s="16">
        <f t="shared" si="174"/>
        <v>703.09715149044325</v>
      </c>
      <c r="CE271" s="33">
        <f>IF(0=MOD(B271,12/PARAM!$D$51),1,0)</f>
        <v>1</v>
      </c>
      <c r="CF271" s="15">
        <f t="shared" si="149"/>
        <v>0</v>
      </c>
      <c r="CG271" s="75">
        <f>CF271*(1-PARAM!$C$27)*$R$3+(MOD($B271/12,5)=0)*($B271&gt;60)*HLOOKUP($B271/12,Loyalty,2)*$F$1*MAX(CI270,0)</f>
        <v>0</v>
      </c>
      <c r="CH271" s="75">
        <f>PARAM!$C$26+MAX($P$3-CHOOSE(PARAM!$B$44,MAX(0,CI270*$F$1),0),0)*RATES!$L247/12+$Q$3*(PARAM!$D$51/12)*RATES!$N247/100</f>
        <v>18.541666666666664</v>
      </c>
      <c r="CI271" s="16">
        <f>IF(CI270&gt;0,CI270*PARAM!$C$53,CI270)+CG271-CH271</f>
        <v>-3675.4583333333285</v>
      </c>
      <c r="CJ271" s="15">
        <f t="shared" si="175"/>
        <v>0</v>
      </c>
      <c r="CK271" s="75">
        <f>CJ271*(1-PARAM!$C$27)*$R$4+(MOD($B271/12,5)=0)*($B271&gt;60)*HLOOKUP($B271/12,Loyalty,2)*$F$1*MAX(CM270,0)</f>
        <v>0</v>
      </c>
      <c r="CL271" s="75">
        <f>PARAM!$C$26+MAX($P$4-CHOOSE(PARAM!$B$44,MAX(0,CM270*$F$1),0),0)*RATES!$L247/12+$Q$4*(PARAM!$D$51/12)*RATES!$N247/100</f>
        <v>18.541666666666664</v>
      </c>
      <c r="CM271" s="16">
        <f>IF(CM270&gt;0,CM270*PARAM!$C$53,CM270)+CK271-CL271</f>
        <v>-3675.4583333333285</v>
      </c>
      <c r="CO271" s="176"/>
    </row>
    <row r="272" spans="1:93" x14ac:dyDescent="0.2">
      <c r="A272" t="b">
        <f t="shared" si="150"/>
        <v>1</v>
      </c>
      <c r="B272" s="33">
        <v>245</v>
      </c>
      <c r="C272" s="15">
        <f t="shared" si="151"/>
        <v>20.081305947392778</v>
      </c>
      <c r="D272" s="75">
        <f>C272*(1-PARAM!$C$27)*$I$3+(MOD($B272,60)=PARAM!$B$56)*($B272&gt;(60-PARAM!$B$56))*HLOOKUP(($B272+PARAM!$B$56)/12,Loyalty,2)*$F$1*MAX(F271,0)</f>
        <v>16.808053077967756</v>
      </c>
      <c r="E272" s="75">
        <f>PARAM!$C$26+MAX($G$3-CHOOSE(PARAM!$B$44,MAX(0,F271*$F$1),0),0)*RATES!$L248/12+$H$3*(PARAM!$D$51/12)*RATES!$N248/100</f>
        <v>18.469415052795966</v>
      </c>
      <c r="F272" s="16">
        <f t="shared" si="152"/>
        <v>265.11382770159179</v>
      </c>
      <c r="G272" s="15">
        <f t="shared" si="153"/>
        <v>22.035289406060361</v>
      </c>
      <c r="H272" s="75">
        <f>G272*(1-PARAM!$C$27)*$I$4+(MOD($B272,60)=PARAM!$B$56)*($B272&gt;(60-PARAM!$B$56))*HLOOKUP(($B272+PARAM!$B$56)/12,Loyalty,2)*$F$1*MAX(J271,0)</f>
        <v>18.443537232872522</v>
      </c>
      <c r="I272" s="75">
        <f>PARAM!$C$26+MAX($G$4-CHOOSE(PARAM!$B$44,MAX(0,J271*$F$1),0),0)*RATES!$L248/12+$H$4*(PARAM!$D$51/12)*RATES!$N248/100</f>
        <v>18.358915225177817</v>
      </c>
      <c r="J272" s="16">
        <f t="shared" si="154"/>
        <v>674.85917519727741</v>
      </c>
      <c r="K272" s="15">
        <f t="shared" si="155"/>
        <v>22.170849845882874</v>
      </c>
      <c r="L272" s="75">
        <f>K272*(1-PARAM!$C$27)*$I$5+(MOD($B272,60)=PARAM!$B$56)*($B272&gt;(60-PARAM!$B$56))*HLOOKUP(($B272+PARAM!$B$56)/12,Loyalty,2)*$F$1*MAX(N271,0)</f>
        <v>18.557001321003963</v>
      </c>
      <c r="M272" s="75">
        <f>PARAM!$C$26+MAX($G$5-CHOOSE(PARAM!$B$44,MAX(0,N271*$F$1),0),0)*RATES!$L248/12+$H$5*(PARAM!$D$51/12)*RATES!$N248/100</f>
        <v>18.351244521471337</v>
      </c>
      <c r="N272" s="16">
        <f t="shared" si="156"/>
        <v>703.3029082899759</v>
      </c>
      <c r="O272" s="15">
        <f t="shared" si="157"/>
        <v>22.170849845882874</v>
      </c>
      <c r="P272" s="75">
        <f>O272*(1-PARAM!$C$27)*$I$6+(MOD($B272,60)=PARAM!$B$56)*($B272&gt;(60-PARAM!$B$56))*HLOOKUP(($B272+PARAM!$B$56)/12,Loyalty,2)*$F$1*MAX(R271,0)</f>
        <v>18.557001321003963</v>
      </c>
      <c r="Q272" s="75">
        <f>PARAM!$C$26+MAX($G$6-CHOOSE(PARAM!$B$44,MAX(0,R271*$F$1),0),0)*RATES!$L248/12+$H$6*(PARAM!$D$51/12)*RATES!$N248/100</f>
        <v>18.351244521471337</v>
      </c>
      <c r="R272" s="16">
        <f t="shared" si="158"/>
        <v>703.3029082899759</v>
      </c>
      <c r="S272" s="15">
        <f t="shared" si="133"/>
        <v>22.170849845882874</v>
      </c>
      <c r="T272" s="75">
        <f>S272*(1-PARAM!$C$27)*$I$7+(MOD($B272,60)=PARAM!$B$56)*($B272&gt;(60-PARAM!$B$56))*HLOOKUP(($B272+PARAM!$B$56)/12,Loyalty,2)*$F$1*MAX(V271,0)</f>
        <v>18.557001321003963</v>
      </c>
      <c r="U272" s="75">
        <f>PARAM!$C$26+MAX($G$7-CHOOSE(PARAM!$B$44,MAX(0,V271*$F$1),0),0)*RATES!$L248/12+$H$7*(PARAM!$D$51/12)*RATES!$N248/100</f>
        <v>18.351244521471337</v>
      </c>
      <c r="V272" s="16">
        <f t="shared" si="159"/>
        <v>703.3029082899759</v>
      </c>
      <c r="W272" s="15">
        <f t="shared" si="134"/>
        <v>22.170849845882874</v>
      </c>
      <c r="X272" s="75">
        <f>W272*(1-PARAM!$C$27)*$I$8+(MOD($B272,60)=PARAM!$B$56)*($B272&gt;(60-PARAM!$B$56))*HLOOKUP(($B272+PARAM!$B$56)/12,Loyalty,2)*$F$1*MAX(Z271,0)</f>
        <v>18.557001321003963</v>
      </c>
      <c r="Y272" s="75">
        <f>PARAM!$C$26+MAX($G$8-CHOOSE(PARAM!$B$44,MAX(0,Z271*$F$1),0),0)*RATES!$L248/12+$H$8*(PARAM!$D$51/12)*RATES!$N248/100</f>
        <v>18.351244521471337</v>
      </c>
      <c r="Z272" s="16">
        <f t="shared" si="160"/>
        <v>703.3029082899759</v>
      </c>
      <c r="AA272" s="15">
        <f t="shared" si="135"/>
        <v>22.170849845882874</v>
      </c>
      <c r="AB272" s="75">
        <f>AA272*(1-PARAM!$C$27)*$I$9+(MOD($B272,60)=PARAM!$B$56)*($B272&gt;(60-PARAM!$B$56))*HLOOKUP(($B272+PARAM!$B$56)/12,Loyalty,2)*$F$1*MAX(AD271,0)</f>
        <v>18.557001321003963</v>
      </c>
      <c r="AC272" s="75">
        <f>PARAM!$C$26+MAX($G$9-CHOOSE(PARAM!$B$44,MAX(0,AD271*$F$1),0),0)*RATES!$L248/12+$H$9*(PARAM!$D$51/12)*RATES!$N248/100</f>
        <v>18.351244521471337</v>
      </c>
      <c r="AD272" s="16">
        <f t="shared" si="161"/>
        <v>703.3029082899759</v>
      </c>
      <c r="AE272" s="15">
        <f t="shared" si="136"/>
        <v>22.170849845882874</v>
      </c>
      <c r="AF272" s="75">
        <f>AE272*(1-PARAM!$C$27)*$I$10+(MOD($B272,60)=PARAM!$B$56)*($B272&gt;(60-PARAM!$B$56))*HLOOKUP(($B272+PARAM!$B$56)/12,Loyalty,2)*$F$1*MAX(AH271,0)</f>
        <v>18.557001321003963</v>
      </c>
      <c r="AG272" s="75">
        <f>PARAM!$C$26+MAX($G$10-CHOOSE(PARAM!$B$44,MAX(0,AH271*$F$1),0),0)*RATES!$L248/12+$H$10*(PARAM!$D$51/12)*RATES!$N248/100</f>
        <v>18.351244521471337</v>
      </c>
      <c r="AH272" s="16">
        <f t="shared" si="162"/>
        <v>703.3029082899759</v>
      </c>
      <c r="AI272" s="15">
        <f t="shared" si="137"/>
        <v>22.170849845882874</v>
      </c>
      <c r="AJ272" s="75">
        <f>AI272*(1-PARAM!$C$27)*$I$11+(MOD($B272,60)=PARAM!$B$56)*($B272&gt;(60-PARAM!$B$56))*HLOOKUP(($B272+PARAM!$B$56)/12,Loyalty,2)*$F$1*MAX(AL271,0)</f>
        <v>18.557001321003963</v>
      </c>
      <c r="AK272" s="75">
        <f>PARAM!$C$26+MAX($G$11-CHOOSE(PARAM!$B$44,MAX(0,AL271*$F$1),0),0)*RATES!$L248/12+$H$11*(PARAM!$D$51/12)*RATES!$N248/100</f>
        <v>18.351244521471337</v>
      </c>
      <c r="AL272" s="16">
        <f t="shared" si="163"/>
        <v>703.3029082899759</v>
      </c>
      <c r="AM272" s="15">
        <f t="shared" si="138"/>
        <v>22.170849845882874</v>
      </c>
      <c r="AN272" s="75">
        <f>AM272*(1-PARAM!$C$27)*$I$12+(MOD($B272,60)=PARAM!$B$56)*($B272&gt;(60-PARAM!$B$56))*HLOOKUP(($B272+PARAM!$B$56)/12,Loyalty,2)*$F$1*MAX(AP271,0)</f>
        <v>18.557001321003963</v>
      </c>
      <c r="AO272" s="75">
        <f>PARAM!$C$26+MAX($G$12-CHOOSE(PARAM!$B$44,MAX(0,AP271*$F$1),0),0)*RATES!$L248/12+$H$12*(PARAM!$D$51/12)*RATES!$N248/100</f>
        <v>18.351244521471337</v>
      </c>
      <c r="AP272" s="16">
        <f t="shared" si="164"/>
        <v>703.3029082899759</v>
      </c>
      <c r="AQ272" s="15">
        <f t="shared" si="139"/>
        <v>22.170849845882874</v>
      </c>
      <c r="AR272" s="75">
        <f>AQ272*(1-PARAM!$C$27)*$I$13+(MOD($B272,60)=PARAM!$B$56)*($B272&gt;(60-PARAM!$B$56))*HLOOKUP(($B272+PARAM!$B$56)/12,Loyalty,2)*$F$1*MAX(AT271,0)</f>
        <v>18.557001321003963</v>
      </c>
      <c r="AS272" s="75">
        <f>PARAM!$C$26+MAX($G$13-CHOOSE(PARAM!$B$44,MAX(0,AT271*$F$1),0),0)*RATES!$L248/12+$H$13*(PARAM!$D$51/12)*RATES!$N248/100</f>
        <v>18.351244521471337</v>
      </c>
      <c r="AT272" s="16">
        <f t="shared" si="165"/>
        <v>703.3029082899759</v>
      </c>
      <c r="AU272" s="15">
        <f t="shared" si="140"/>
        <v>22.170849845882874</v>
      </c>
      <c r="AV272" s="75">
        <f>AU272*(1-PARAM!$C$27)*$I$14+(MOD($B272,60)=PARAM!$B$56)*($B272&gt;(60-PARAM!$B$56))*HLOOKUP(($B272+PARAM!$B$56)/12,Loyalty,2)*$F$1*MAX(AX271,0)</f>
        <v>18.557001321003963</v>
      </c>
      <c r="AW272" s="75">
        <f>PARAM!$C$26+MAX($G$14-CHOOSE(PARAM!$B$44,MAX(0,AX271*$F$1),0),0)*RATES!$L248/12+$H$14*(PARAM!$D$51/12)*RATES!$N248/100</f>
        <v>18.351244521471337</v>
      </c>
      <c r="AX272" s="16">
        <f t="shared" si="166"/>
        <v>703.3029082899759</v>
      </c>
      <c r="AY272" s="15">
        <f t="shared" si="141"/>
        <v>22.170849845882874</v>
      </c>
      <c r="AZ272" s="75">
        <f>AY272*(1-PARAM!$C$27)*$I$15+(MOD($B272,60)=PARAM!$B$56)*($B272&gt;(60-PARAM!$B$56))*HLOOKUP(($B272+PARAM!$B$56)/12,Loyalty,2)*$F$1*MAX(BB271,0)</f>
        <v>18.557001321003963</v>
      </c>
      <c r="BA272" s="75">
        <f>PARAM!$C$26+MAX($G$15-CHOOSE(PARAM!$B$44,MAX(0,BB271*$F$1),0),0)*RATES!$L248/12+$H$15*(PARAM!$D$51/12)*RATES!$N248/100</f>
        <v>18.351244521471337</v>
      </c>
      <c r="BB272" s="16">
        <f t="shared" si="167"/>
        <v>703.3029082899759</v>
      </c>
      <c r="BC272" s="15">
        <f t="shared" si="142"/>
        <v>22.170849845882874</v>
      </c>
      <c r="BD272" s="75">
        <f>BC272*(1-PARAM!$C$27)*$I$16+(MOD($B272,60)=PARAM!$B$56)*($B272&gt;(60-PARAM!$B$56))*HLOOKUP(($B272+PARAM!$B$56)/12,Loyalty,2)*$F$1*MAX(BF271,0)</f>
        <v>18.557001321003963</v>
      </c>
      <c r="BE272" s="75">
        <f>PARAM!$C$26+MAX($G$16-CHOOSE(PARAM!$B$44,MAX(0,BF271*$F$1),0),0)*RATES!$L248/12+$H$16*(PARAM!$D$51/12)*RATES!$N248/100</f>
        <v>18.351244521471337</v>
      </c>
      <c r="BF272" s="16">
        <f t="shared" si="168"/>
        <v>703.3029082899759</v>
      </c>
      <c r="BG272" s="15">
        <f t="shared" si="143"/>
        <v>22.170849845882874</v>
      </c>
      <c r="BH272" s="75">
        <f>BG272*(1-PARAM!$C$27)*$I$17+(MOD($B272,60)=PARAM!$B$56)*($B272&gt;(60-PARAM!$B$56))*HLOOKUP(($B272+PARAM!$B$56)/12,Loyalty,2)*$F$1*MAX(BJ271,0)</f>
        <v>18.557001321003963</v>
      </c>
      <c r="BI272" s="75">
        <f>PARAM!$C$26+MAX($G$17-CHOOSE(PARAM!$B$44,MAX(0,BJ271*$F$1),0),0)*RATES!$L248/12+$H$17*(PARAM!$D$51/12)*RATES!$N248/100</f>
        <v>18.351244521471337</v>
      </c>
      <c r="BJ272" s="16">
        <f t="shared" si="169"/>
        <v>703.3029082899759</v>
      </c>
      <c r="BK272" s="15">
        <f t="shared" si="144"/>
        <v>22.170849845882874</v>
      </c>
      <c r="BL272" s="75">
        <f>BK272*(1-PARAM!$C$27)*$I$18+(MOD($B272,60)=PARAM!$B$56)*($B272&gt;(60-PARAM!$B$56))*HLOOKUP(($B272+PARAM!$B$56)/12,Loyalty,2)*$F$1*MAX(BN271,0)</f>
        <v>18.557001321003963</v>
      </c>
      <c r="BM272" s="75">
        <f>PARAM!$C$26+MAX($G$18-CHOOSE(PARAM!$B$44,MAX(0,BN271*$F$1),0),0)*RATES!$L248/12+$H$18*(PARAM!$D$51/12)*RATES!$N248/100</f>
        <v>18.351244521471337</v>
      </c>
      <c r="BN272" s="16">
        <f t="shared" si="170"/>
        <v>703.3029082899759</v>
      </c>
      <c r="BO272" s="15">
        <f t="shared" si="145"/>
        <v>22.170849845882874</v>
      </c>
      <c r="BP272" s="75">
        <f>BO272*(1-PARAM!$C$27)*$I$19+(MOD($B272,60)=PARAM!$B$56)*($B272&gt;(60-PARAM!$B$56))*HLOOKUP(($B272+PARAM!$B$56)/12,Loyalty,2)*$F$1*MAX(BR271,0)</f>
        <v>18.557001321003963</v>
      </c>
      <c r="BQ272" s="75">
        <f>PARAM!$C$26+MAX($G$19-CHOOSE(PARAM!$B$44,MAX(0,BR271*$F$1),0),0)*RATES!$L248/12+$H$19*(PARAM!$D$51/12)*RATES!$N248/100</f>
        <v>18.351244521471337</v>
      </c>
      <c r="BR272" s="16">
        <f t="shared" si="171"/>
        <v>703.3029082899759</v>
      </c>
      <c r="BS272" s="15">
        <f t="shared" si="146"/>
        <v>22.170849845882874</v>
      </c>
      <c r="BT272" s="75">
        <f>BS272*(1-PARAM!$C$27)*$I$20+(MOD($B272,60)=PARAM!$B$56)*($B272&gt;(60-PARAM!$B$56))*HLOOKUP(($B272+PARAM!$B$56)/12,Loyalty,2)*$F$1*MAX(BV271,0)</f>
        <v>18.557001321003963</v>
      </c>
      <c r="BU272" s="75">
        <f>PARAM!$C$26+MAX($G$20-CHOOSE(PARAM!$B$44,MAX(0,BV271*$F$1),0),0)*RATES!$L248/12+$H$20*(PARAM!$D$51/12)*RATES!$N248/100</f>
        <v>18.351244521471337</v>
      </c>
      <c r="BV272" s="16">
        <f t="shared" si="172"/>
        <v>703.3029082899759</v>
      </c>
      <c r="BW272" s="15">
        <f t="shared" si="147"/>
        <v>22.170849845882874</v>
      </c>
      <c r="BX272" s="75">
        <f>BW272*(1-PARAM!$C$27)*$I$21+(MOD($B272,60)=PARAM!$B$56)*($B272&gt;(60-PARAM!$B$56))*HLOOKUP(($B272+PARAM!$B$56)/12,Loyalty,2)*$F$1*MAX(BZ271,0)</f>
        <v>18.557001321003963</v>
      </c>
      <c r="BY272" s="75">
        <f>PARAM!$C$26+MAX($G$21-CHOOSE(PARAM!$B$44,MAX(0,BZ271*$F$1),0),0)*RATES!$L248/12+$H$21*(PARAM!$D$51/12)*RATES!$N248/100</f>
        <v>18.351244521471337</v>
      </c>
      <c r="BZ272" s="16">
        <f t="shared" si="173"/>
        <v>703.3029082899759</v>
      </c>
      <c r="CA272" s="15">
        <f t="shared" si="148"/>
        <v>22.170849845882874</v>
      </c>
      <c r="CB272" s="75">
        <f>CA272*(1-PARAM!$C$27)*$I$22+(MOD($B272,60)=PARAM!$B$56)*($B272&gt;(60-PARAM!$B$56))*HLOOKUP(($B272+PARAM!$B$56)/12,Loyalty,2)*$F$1*MAX(CD271,0)</f>
        <v>18.557001321003963</v>
      </c>
      <c r="CC272" s="75">
        <f>PARAM!$C$26+MAX($G$22-CHOOSE(PARAM!$B$44,MAX(0,CD271*$F$1),0),0)*RATES!$L248/12+$H$22*(PARAM!$D$51/12)*RATES!$N248/100</f>
        <v>18.351244521471337</v>
      </c>
      <c r="CD272" s="16">
        <f t="shared" si="174"/>
        <v>703.3029082899759</v>
      </c>
      <c r="CE272" s="33">
        <f>IF(0=MOD(B272,12/PARAM!$D$51),1,0)</f>
        <v>1</v>
      </c>
      <c r="CF272" s="15">
        <f t="shared" si="149"/>
        <v>0</v>
      </c>
      <c r="CG272" s="75">
        <f>CF272*(1-PARAM!$C$27)*$R$3+(MOD($B272/12,5)=0)*($B272&gt;60)*HLOOKUP($B272/12,Loyalty,2)*$F$1*MAX(CI271,0)</f>
        <v>0</v>
      </c>
      <c r="CH272" s="75">
        <f>PARAM!$C$26+MAX($P$3-CHOOSE(PARAM!$B$44,MAX(0,CI271*$F$1),0),0)*RATES!$L248/12+$Q$3*(PARAM!$D$51/12)*RATES!$N248/100</f>
        <v>18.541666666666664</v>
      </c>
      <c r="CI272" s="16">
        <f>IF(CI271&gt;0,CI271*PARAM!$C$53,CI271)+CG272-CH272</f>
        <v>-3693.999999999995</v>
      </c>
      <c r="CJ272" s="15">
        <f t="shared" si="175"/>
        <v>0</v>
      </c>
      <c r="CK272" s="75">
        <f>CJ272*(1-PARAM!$C$27)*$R$4+(MOD($B272/12,5)=0)*($B272&gt;60)*HLOOKUP($B272/12,Loyalty,2)*$F$1*MAX(CM271,0)</f>
        <v>0</v>
      </c>
      <c r="CL272" s="75">
        <f>PARAM!$C$26+MAX($P$4-CHOOSE(PARAM!$B$44,MAX(0,CM271*$F$1),0),0)*RATES!$L248/12+$Q$4*(PARAM!$D$51/12)*RATES!$N248/100</f>
        <v>18.541666666666664</v>
      </c>
      <c r="CM272" s="16">
        <f>IF(CM271&gt;0,CM271*PARAM!$C$53,CM271)+CK272-CL272</f>
        <v>-3693.999999999995</v>
      </c>
      <c r="CO272" s="176"/>
    </row>
    <row r="273" spans="1:93" x14ac:dyDescent="0.2">
      <c r="A273" t="b">
        <f t="shared" si="150"/>
        <v>1</v>
      </c>
      <c r="B273" s="33">
        <v>246</v>
      </c>
      <c r="C273" s="15">
        <f t="shared" si="151"/>
        <v>20.081305947392778</v>
      </c>
      <c r="D273" s="75">
        <f>C273*(1-PARAM!$C$27)*$I$3+(MOD($B273,60)=PARAM!$B$56)*($B273&gt;(60-PARAM!$B$56))*HLOOKUP(($B273+PARAM!$B$56)/12,Loyalty,2)*$F$1*MAX(F272,0)</f>
        <v>16.808053077967756</v>
      </c>
      <c r="E273" s="75">
        <f>PARAM!$C$26+MAX($G$3-CHOOSE(PARAM!$B$44,MAX(0,F272*$F$1),0),0)*RATES!$L249/12+$H$3*(PARAM!$D$51/12)*RATES!$N249/100</f>
        <v>20.086248805597187</v>
      </c>
      <c r="F273" s="16">
        <f t="shared" si="152"/>
        <v>261.83563197396239</v>
      </c>
      <c r="G273" s="15">
        <f t="shared" si="153"/>
        <v>22.035289406060361</v>
      </c>
      <c r="H273" s="75">
        <f>G273*(1-PARAM!$C$27)*$I$4+(MOD($B273,60)=PARAM!$B$56)*($B273&gt;(60-PARAM!$B$56))*HLOOKUP(($B273+PARAM!$B$56)/12,Loyalty,2)*$F$1*MAX(J272,0)</f>
        <v>18.443537232872522</v>
      </c>
      <c r="I273" s="75">
        <f>PARAM!$C$26+MAX($G$4-CHOOSE(PARAM!$B$44,MAX(0,J272*$F$1),0),0)*RATES!$L249/12+$H$4*(PARAM!$D$51/12)*RATES!$N249/100</f>
        <v>19.961959383523492</v>
      </c>
      <c r="J273" s="16">
        <f t="shared" si="154"/>
        <v>673.34075304662633</v>
      </c>
      <c r="K273" s="15">
        <f t="shared" si="155"/>
        <v>22.170849845882874</v>
      </c>
      <c r="L273" s="75">
        <f>K273*(1-PARAM!$C$27)*$I$5+(MOD($B273,60)=PARAM!$B$56)*($B273&gt;(60-PARAM!$B$56))*HLOOKUP(($B273+PARAM!$B$56)/12,Loyalty,2)*$F$1*MAX(N272,0)</f>
        <v>18.557001321003963</v>
      </c>
      <c r="M273" s="75">
        <f>PARAM!$C$26+MAX($G$5-CHOOSE(PARAM!$B$44,MAX(0,N272*$F$1),0),0)*RATES!$L249/12+$H$5*(PARAM!$D$51/12)*RATES!$N249/100</f>
        <v>19.953331451152039</v>
      </c>
      <c r="N273" s="16">
        <f t="shared" si="156"/>
        <v>701.90657815982786</v>
      </c>
      <c r="O273" s="15">
        <f t="shared" si="157"/>
        <v>22.170849845882874</v>
      </c>
      <c r="P273" s="75">
        <f>O273*(1-PARAM!$C$27)*$I$6+(MOD($B273,60)=PARAM!$B$56)*($B273&gt;(60-PARAM!$B$56))*HLOOKUP(($B273+PARAM!$B$56)/12,Loyalty,2)*$F$1*MAX(R272,0)</f>
        <v>18.557001321003963</v>
      </c>
      <c r="Q273" s="75">
        <f>PARAM!$C$26+MAX($G$6-CHOOSE(PARAM!$B$44,MAX(0,R272*$F$1),0),0)*RATES!$L249/12+$H$6*(PARAM!$D$51/12)*RATES!$N249/100</f>
        <v>19.953331451152039</v>
      </c>
      <c r="R273" s="16">
        <f t="shared" si="158"/>
        <v>701.90657815982786</v>
      </c>
      <c r="S273" s="15">
        <f t="shared" si="133"/>
        <v>22.170849845882874</v>
      </c>
      <c r="T273" s="75">
        <f>S273*(1-PARAM!$C$27)*$I$7+(MOD($B273,60)=PARAM!$B$56)*($B273&gt;(60-PARAM!$B$56))*HLOOKUP(($B273+PARAM!$B$56)/12,Loyalty,2)*$F$1*MAX(V272,0)</f>
        <v>18.557001321003963</v>
      </c>
      <c r="U273" s="75">
        <f>PARAM!$C$26+MAX($G$7-CHOOSE(PARAM!$B$44,MAX(0,V272*$F$1),0),0)*RATES!$L249/12+$H$7*(PARAM!$D$51/12)*RATES!$N249/100</f>
        <v>19.953331451152039</v>
      </c>
      <c r="V273" s="16">
        <f t="shared" si="159"/>
        <v>701.90657815982786</v>
      </c>
      <c r="W273" s="15">
        <f t="shared" si="134"/>
        <v>22.170849845882874</v>
      </c>
      <c r="X273" s="75">
        <f>W273*(1-PARAM!$C$27)*$I$8+(MOD($B273,60)=PARAM!$B$56)*($B273&gt;(60-PARAM!$B$56))*HLOOKUP(($B273+PARAM!$B$56)/12,Loyalty,2)*$F$1*MAX(Z272,0)</f>
        <v>18.557001321003963</v>
      </c>
      <c r="Y273" s="75">
        <f>PARAM!$C$26+MAX($G$8-CHOOSE(PARAM!$B$44,MAX(0,Z272*$F$1),0),0)*RATES!$L249/12+$H$8*(PARAM!$D$51/12)*RATES!$N249/100</f>
        <v>19.953331451152039</v>
      </c>
      <c r="Z273" s="16">
        <f t="shared" si="160"/>
        <v>701.90657815982786</v>
      </c>
      <c r="AA273" s="15">
        <f t="shared" si="135"/>
        <v>22.170849845882874</v>
      </c>
      <c r="AB273" s="75">
        <f>AA273*(1-PARAM!$C$27)*$I$9+(MOD($B273,60)=PARAM!$B$56)*($B273&gt;(60-PARAM!$B$56))*HLOOKUP(($B273+PARAM!$B$56)/12,Loyalty,2)*$F$1*MAX(AD272,0)</f>
        <v>18.557001321003963</v>
      </c>
      <c r="AC273" s="75">
        <f>PARAM!$C$26+MAX($G$9-CHOOSE(PARAM!$B$44,MAX(0,AD272*$F$1),0),0)*RATES!$L249/12+$H$9*(PARAM!$D$51/12)*RATES!$N249/100</f>
        <v>19.953331451152039</v>
      </c>
      <c r="AD273" s="16">
        <f t="shared" si="161"/>
        <v>701.90657815982786</v>
      </c>
      <c r="AE273" s="15">
        <f t="shared" si="136"/>
        <v>22.170849845882874</v>
      </c>
      <c r="AF273" s="75">
        <f>AE273*(1-PARAM!$C$27)*$I$10+(MOD($B273,60)=PARAM!$B$56)*($B273&gt;(60-PARAM!$B$56))*HLOOKUP(($B273+PARAM!$B$56)/12,Loyalty,2)*$F$1*MAX(AH272,0)</f>
        <v>18.557001321003963</v>
      </c>
      <c r="AG273" s="75">
        <f>PARAM!$C$26+MAX($G$10-CHOOSE(PARAM!$B$44,MAX(0,AH272*$F$1),0),0)*RATES!$L249/12+$H$10*(PARAM!$D$51/12)*RATES!$N249/100</f>
        <v>19.953331451152039</v>
      </c>
      <c r="AH273" s="16">
        <f t="shared" si="162"/>
        <v>701.90657815982786</v>
      </c>
      <c r="AI273" s="15">
        <f t="shared" si="137"/>
        <v>22.170849845882874</v>
      </c>
      <c r="AJ273" s="75">
        <f>AI273*(1-PARAM!$C$27)*$I$11+(MOD($B273,60)=PARAM!$B$56)*($B273&gt;(60-PARAM!$B$56))*HLOOKUP(($B273+PARAM!$B$56)/12,Loyalty,2)*$F$1*MAX(AL272,0)</f>
        <v>18.557001321003963</v>
      </c>
      <c r="AK273" s="75">
        <f>PARAM!$C$26+MAX($G$11-CHOOSE(PARAM!$B$44,MAX(0,AL272*$F$1),0),0)*RATES!$L249/12+$H$11*(PARAM!$D$51/12)*RATES!$N249/100</f>
        <v>19.953331451152039</v>
      </c>
      <c r="AL273" s="16">
        <f t="shared" si="163"/>
        <v>701.90657815982786</v>
      </c>
      <c r="AM273" s="15">
        <f t="shared" si="138"/>
        <v>22.170849845882874</v>
      </c>
      <c r="AN273" s="75">
        <f>AM273*(1-PARAM!$C$27)*$I$12+(MOD($B273,60)=PARAM!$B$56)*($B273&gt;(60-PARAM!$B$56))*HLOOKUP(($B273+PARAM!$B$56)/12,Loyalty,2)*$F$1*MAX(AP272,0)</f>
        <v>18.557001321003963</v>
      </c>
      <c r="AO273" s="75">
        <f>PARAM!$C$26+MAX($G$12-CHOOSE(PARAM!$B$44,MAX(0,AP272*$F$1),0),0)*RATES!$L249/12+$H$12*(PARAM!$D$51/12)*RATES!$N249/100</f>
        <v>19.953331451152039</v>
      </c>
      <c r="AP273" s="16">
        <f t="shared" si="164"/>
        <v>701.90657815982786</v>
      </c>
      <c r="AQ273" s="15">
        <f t="shared" si="139"/>
        <v>22.170849845882874</v>
      </c>
      <c r="AR273" s="75">
        <f>AQ273*(1-PARAM!$C$27)*$I$13+(MOD($B273,60)=PARAM!$B$56)*($B273&gt;(60-PARAM!$B$56))*HLOOKUP(($B273+PARAM!$B$56)/12,Loyalty,2)*$F$1*MAX(AT272,0)</f>
        <v>18.557001321003963</v>
      </c>
      <c r="AS273" s="75">
        <f>PARAM!$C$26+MAX($G$13-CHOOSE(PARAM!$B$44,MAX(0,AT272*$F$1),0),0)*RATES!$L249/12+$H$13*(PARAM!$D$51/12)*RATES!$N249/100</f>
        <v>19.953331451152039</v>
      </c>
      <c r="AT273" s="16">
        <f t="shared" si="165"/>
        <v>701.90657815982786</v>
      </c>
      <c r="AU273" s="15">
        <f t="shared" si="140"/>
        <v>22.170849845882874</v>
      </c>
      <c r="AV273" s="75">
        <f>AU273*(1-PARAM!$C$27)*$I$14+(MOD($B273,60)=PARAM!$B$56)*($B273&gt;(60-PARAM!$B$56))*HLOOKUP(($B273+PARAM!$B$56)/12,Loyalty,2)*$F$1*MAX(AX272,0)</f>
        <v>18.557001321003963</v>
      </c>
      <c r="AW273" s="75">
        <f>PARAM!$C$26+MAX($G$14-CHOOSE(PARAM!$B$44,MAX(0,AX272*$F$1),0),0)*RATES!$L249/12+$H$14*(PARAM!$D$51/12)*RATES!$N249/100</f>
        <v>19.953331451152039</v>
      </c>
      <c r="AX273" s="16">
        <f t="shared" si="166"/>
        <v>701.90657815982786</v>
      </c>
      <c r="AY273" s="15">
        <f t="shared" si="141"/>
        <v>22.170849845882874</v>
      </c>
      <c r="AZ273" s="75">
        <f>AY273*(1-PARAM!$C$27)*$I$15+(MOD($B273,60)=PARAM!$B$56)*($B273&gt;(60-PARAM!$B$56))*HLOOKUP(($B273+PARAM!$B$56)/12,Loyalty,2)*$F$1*MAX(BB272,0)</f>
        <v>18.557001321003963</v>
      </c>
      <c r="BA273" s="75">
        <f>PARAM!$C$26+MAX($G$15-CHOOSE(PARAM!$B$44,MAX(0,BB272*$F$1),0),0)*RATES!$L249/12+$H$15*(PARAM!$D$51/12)*RATES!$N249/100</f>
        <v>19.953331451152039</v>
      </c>
      <c r="BB273" s="16">
        <f t="shared" si="167"/>
        <v>701.90657815982786</v>
      </c>
      <c r="BC273" s="15">
        <f t="shared" si="142"/>
        <v>22.170849845882874</v>
      </c>
      <c r="BD273" s="75">
        <f>BC273*(1-PARAM!$C$27)*$I$16+(MOD($B273,60)=PARAM!$B$56)*($B273&gt;(60-PARAM!$B$56))*HLOOKUP(($B273+PARAM!$B$56)/12,Loyalty,2)*$F$1*MAX(BF272,0)</f>
        <v>18.557001321003963</v>
      </c>
      <c r="BE273" s="75">
        <f>PARAM!$C$26+MAX($G$16-CHOOSE(PARAM!$B$44,MAX(0,BF272*$F$1),0),0)*RATES!$L249/12+$H$16*(PARAM!$D$51/12)*RATES!$N249/100</f>
        <v>19.953331451152039</v>
      </c>
      <c r="BF273" s="16">
        <f t="shared" si="168"/>
        <v>701.90657815982786</v>
      </c>
      <c r="BG273" s="15">
        <f t="shared" si="143"/>
        <v>22.170849845882874</v>
      </c>
      <c r="BH273" s="75">
        <f>BG273*(1-PARAM!$C$27)*$I$17+(MOD($B273,60)=PARAM!$B$56)*($B273&gt;(60-PARAM!$B$56))*HLOOKUP(($B273+PARAM!$B$56)/12,Loyalty,2)*$F$1*MAX(BJ272,0)</f>
        <v>18.557001321003963</v>
      </c>
      <c r="BI273" s="75">
        <f>PARAM!$C$26+MAX($G$17-CHOOSE(PARAM!$B$44,MAX(0,BJ272*$F$1),0),0)*RATES!$L249/12+$H$17*(PARAM!$D$51/12)*RATES!$N249/100</f>
        <v>19.953331451152039</v>
      </c>
      <c r="BJ273" s="16">
        <f t="shared" si="169"/>
        <v>701.90657815982786</v>
      </c>
      <c r="BK273" s="15">
        <f t="shared" si="144"/>
        <v>22.170849845882874</v>
      </c>
      <c r="BL273" s="75">
        <f>BK273*(1-PARAM!$C$27)*$I$18+(MOD($B273,60)=PARAM!$B$56)*($B273&gt;(60-PARAM!$B$56))*HLOOKUP(($B273+PARAM!$B$56)/12,Loyalty,2)*$F$1*MAX(BN272,0)</f>
        <v>18.557001321003963</v>
      </c>
      <c r="BM273" s="75">
        <f>PARAM!$C$26+MAX($G$18-CHOOSE(PARAM!$B$44,MAX(0,BN272*$F$1),0),0)*RATES!$L249/12+$H$18*(PARAM!$D$51/12)*RATES!$N249/100</f>
        <v>19.953331451152039</v>
      </c>
      <c r="BN273" s="16">
        <f t="shared" si="170"/>
        <v>701.90657815982786</v>
      </c>
      <c r="BO273" s="15">
        <f t="shared" si="145"/>
        <v>22.170849845882874</v>
      </c>
      <c r="BP273" s="75">
        <f>BO273*(1-PARAM!$C$27)*$I$19+(MOD($B273,60)=PARAM!$B$56)*($B273&gt;(60-PARAM!$B$56))*HLOOKUP(($B273+PARAM!$B$56)/12,Loyalty,2)*$F$1*MAX(BR272,0)</f>
        <v>18.557001321003963</v>
      </c>
      <c r="BQ273" s="75">
        <f>PARAM!$C$26+MAX($G$19-CHOOSE(PARAM!$B$44,MAX(0,BR272*$F$1),0),0)*RATES!$L249/12+$H$19*(PARAM!$D$51/12)*RATES!$N249/100</f>
        <v>19.953331451152039</v>
      </c>
      <c r="BR273" s="16">
        <f t="shared" si="171"/>
        <v>701.90657815982786</v>
      </c>
      <c r="BS273" s="15">
        <f t="shared" si="146"/>
        <v>22.170849845882874</v>
      </c>
      <c r="BT273" s="75">
        <f>BS273*(1-PARAM!$C$27)*$I$20+(MOD($B273,60)=PARAM!$B$56)*($B273&gt;(60-PARAM!$B$56))*HLOOKUP(($B273+PARAM!$B$56)/12,Loyalty,2)*$F$1*MAX(BV272,0)</f>
        <v>18.557001321003963</v>
      </c>
      <c r="BU273" s="75">
        <f>PARAM!$C$26+MAX($G$20-CHOOSE(PARAM!$B$44,MAX(0,BV272*$F$1),0),0)*RATES!$L249/12+$H$20*(PARAM!$D$51/12)*RATES!$N249/100</f>
        <v>19.953331451152039</v>
      </c>
      <c r="BV273" s="16">
        <f t="shared" si="172"/>
        <v>701.90657815982786</v>
      </c>
      <c r="BW273" s="15">
        <f t="shared" si="147"/>
        <v>22.170849845882874</v>
      </c>
      <c r="BX273" s="75">
        <f>BW273*(1-PARAM!$C$27)*$I$21+(MOD($B273,60)=PARAM!$B$56)*($B273&gt;(60-PARAM!$B$56))*HLOOKUP(($B273+PARAM!$B$56)/12,Loyalty,2)*$F$1*MAX(BZ272,0)</f>
        <v>18.557001321003963</v>
      </c>
      <c r="BY273" s="75">
        <f>PARAM!$C$26+MAX($G$21-CHOOSE(PARAM!$B$44,MAX(0,BZ272*$F$1),0),0)*RATES!$L249/12+$H$21*(PARAM!$D$51/12)*RATES!$N249/100</f>
        <v>19.953331451152039</v>
      </c>
      <c r="BZ273" s="16">
        <f t="shared" si="173"/>
        <v>701.90657815982786</v>
      </c>
      <c r="CA273" s="15">
        <f t="shared" si="148"/>
        <v>22.170849845882874</v>
      </c>
      <c r="CB273" s="75">
        <f>CA273*(1-PARAM!$C$27)*$I$22+(MOD($B273,60)=PARAM!$B$56)*($B273&gt;(60-PARAM!$B$56))*HLOOKUP(($B273+PARAM!$B$56)/12,Loyalty,2)*$F$1*MAX(CD272,0)</f>
        <v>18.557001321003963</v>
      </c>
      <c r="CC273" s="75">
        <f>PARAM!$C$26+MAX($G$22-CHOOSE(PARAM!$B$44,MAX(0,CD272*$F$1),0),0)*RATES!$L249/12+$H$22*(PARAM!$D$51/12)*RATES!$N249/100</f>
        <v>19.953331451152039</v>
      </c>
      <c r="CD273" s="16">
        <f t="shared" si="174"/>
        <v>701.90657815982786</v>
      </c>
      <c r="CE273" s="33">
        <f>IF(0=MOD(B273,12/PARAM!$D$51),1,0)</f>
        <v>1</v>
      </c>
      <c r="CF273" s="15">
        <f t="shared" si="149"/>
        <v>0</v>
      </c>
      <c r="CG273" s="75">
        <f>CF273*(1-PARAM!$C$27)*$R$3+(MOD($B273/12,5)=0)*($B273&gt;60)*HLOOKUP($B273/12,Loyalty,2)*$F$1*MAX(CI272,0)</f>
        <v>0</v>
      </c>
      <c r="CH273" s="75">
        <f>PARAM!$C$26+MAX($P$3-CHOOSE(PARAM!$B$44,MAX(0,CI272*$F$1),0),0)*RATES!$L249/12+$Q$3*(PARAM!$D$51/12)*RATES!$N249/100</f>
        <v>20.166666666666664</v>
      </c>
      <c r="CI273" s="16">
        <f>IF(CI272&gt;0,CI272*PARAM!$C$53,CI272)+CG273-CH273</f>
        <v>-3714.1666666666615</v>
      </c>
      <c r="CJ273" s="15">
        <f t="shared" si="175"/>
        <v>0</v>
      </c>
      <c r="CK273" s="75">
        <f>CJ273*(1-PARAM!$C$27)*$R$4+(MOD($B273/12,5)=0)*($B273&gt;60)*HLOOKUP($B273/12,Loyalty,2)*$F$1*MAX(CM272,0)</f>
        <v>0</v>
      </c>
      <c r="CL273" s="75">
        <f>PARAM!$C$26+MAX($P$4-CHOOSE(PARAM!$B$44,MAX(0,CM272*$F$1),0),0)*RATES!$L249/12+$Q$4*(PARAM!$D$51/12)*RATES!$N249/100</f>
        <v>20.166666666666664</v>
      </c>
      <c r="CM273" s="16">
        <f>IF(CM272&gt;0,CM272*PARAM!$C$53,CM272)+CK273-CL273</f>
        <v>-3714.1666666666615</v>
      </c>
      <c r="CO273" s="176"/>
    </row>
    <row r="274" spans="1:93" x14ac:dyDescent="0.2">
      <c r="A274" t="b">
        <f t="shared" si="150"/>
        <v>1</v>
      </c>
      <c r="B274" s="33">
        <v>247</v>
      </c>
      <c r="C274" s="15">
        <f t="shared" si="151"/>
        <v>20.081305947392778</v>
      </c>
      <c r="D274" s="75">
        <f>C274*(1-PARAM!$C$27)*$I$3+(MOD($B274,60)=PARAM!$B$56)*($B274&gt;(60-PARAM!$B$56))*HLOOKUP(($B274+PARAM!$B$56)/12,Loyalty,2)*$F$1*MAX(F273,0)</f>
        <v>16.808053077967756</v>
      </c>
      <c r="E274" s="75">
        <f>PARAM!$C$26+MAX($G$3-CHOOSE(PARAM!$B$44,MAX(0,F273*$F$1),0),0)*RATES!$L250/12+$H$3*(PARAM!$D$51/12)*RATES!$N250/100</f>
        <v>20.087243191634563</v>
      </c>
      <c r="F274" s="16">
        <f t="shared" si="152"/>
        <v>258.55644186029559</v>
      </c>
      <c r="G274" s="15">
        <f t="shared" si="153"/>
        <v>22.035289406060361</v>
      </c>
      <c r="H274" s="75">
        <f>G274*(1-PARAM!$C$27)*$I$4+(MOD($B274,60)=PARAM!$B$56)*($B274&gt;(60-PARAM!$B$56))*HLOOKUP(($B274+PARAM!$B$56)/12,Loyalty,2)*$F$1*MAX(J273,0)</f>
        <v>18.443537232872522</v>
      </c>
      <c r="I274" s="75">
        <f>PARAM!$C$26+MAX($G$4-CHOOSE(PARAM!$B$44,MAX(0,J273*$F$1),0),0)*RATES!$L250/12+$H$4*(PARAM!$D$51/12)*RATES!$N250/100</f>
        <v>19.962419971575855</v>
      </c>
      <c r="J274" s="16">
        <f t="shared" si="154"/>
        <v>671.82187030792295</v>
      </c>
      <c r="K274" s="15">
        <f t="shared" si="155"/>
        <v>22.170849845882874</v>
      </c>
      <c r="L274" s="75">
        <f>K274*(1-PARAM!$C$27)*$I$5+(MOD($B274,60)=PARAM!$B$56)*($B274&gt;(60-PARAM!$B$56))*HLOOKUP(($B274+PARAM!$B$56)/12,Loyalty,2)*$F$1*MAX(N273,0)</f>
        <v>18.557001321003963</v>
      </c>
      <c r="M274" s="75">
        <f>PARAM!$C$26+MAX($G$5-CHOOSE(PARAM!$B$44,MAX(0,N273*$F$1),0),0)*RATES!$L250/12+$H$5*(PARAM!$D$51/12)*RATES!$N250/100</f>
        <v>19.953755004624853</v>
      </c>
      <c r="N274" s="16">
        <f t="shared" si="156"/>
        <v>700.50982447620697</v>
      </c>
      <c r="O274" s="15">
        <f t="shared" si="157"/>
        <v>22.170849845882874</v>
      </c>
      <c r="P274" s="75">
        <f>O274*(1-PARAM!$C$27)*$I$6+(MOD($B274,60)=PARAM!$B$56)*($B274&gt;(60-PARAM!$B$56))*HLOOKUP(($B274+PARAM!$B$56)/12,Loyalty,2)*$F$1*MAX(R273,0)</f>
        <v>18.557001321003963</v>
      </c>
      <c r="Q274" s="75">
        <f>PARAM!$C$26+MAX($G$6-CHOOSE(PARAM!$B$44,MAX(0,R273*$F$1),0),0)*RATES!$L250/12+$H$6*(PARAM!$D$51/12)*RATES!$N250/100</f>
        <v>19.953755004624853</v>
      </c>
      <c r="R274" s="16">
        <f t="shared" si="158"/>
        <v>700.50982447620697</v>
      </c>
      <c r="S274" s="15">
        <f t="shared" si="133"/>
        <v>22.170849845882874</v>
      </c>
      <c r="T274" s="75">
        <f>S274*(1-PARAM!$C$27)*$I$7+(MOD($B274,60)=PARAM!$B$56)*($B274&gt;(60-PARAM!$B$56))*HLOOKUP(($B274+PARAM!$B$56)/12,Loyalty,2)*$F$1*MAX(V273,0)</f>
        <v>18.557001321003963</v>
      </c>
      <c r="U274" s="75">
        <f>PARAM!$C$26+MAX($G$7-CHOOSE(PARAM!$B$44,MAX(0,V273*$F$1),0),0)*RATES!$L250/12+$H$7*(PARAM!$D$51/12)*RATES!$N250/100</f>
        <v>19.953755004624853</v>
      </c>
      <c r="V274" s="16">
        <f t="shared" si="159"/>
        <v>700.50982447620697</v>
      </c>
      <c r="W274" s="15">
        <f t="shared" si="134"/>
        <v>22.170849845882874</v>
      </c>
      <c r="X274" s="75">
        <f>W274*(1-PARAM!$C$27)*$I$8+(MOD($B274,60)=PARAM!$B$56)*($B274&gt;(60-PARAM!$B$56))*HLOOKUP(($B274+PARAM!$B$56)/12,Loyalty,2)*$F$1*MAX(Z273,0)</f>
        <v>18.557001321003963</v>
      </c>
      <c r="Y274" s="75">
        <f>PARAM!$C$26+MAX($G$8-CHOOSE(PARAM!$B$44,MAX(0,Z273*$F$1),0),0)*RATES!$L250/12+$H$8*(PARAM!$D$51/12)*RATES!$N250/100</f>
        <v>19.953755004624853</v>
      </c>
      <c r="Z274" s="16">
        <f t="shared" si="160"/>
        <v>700.50982447620697</v>
      </c>
      <c r="AA274" s="15">
        <f t="shared" si="135"/>
        <v>22.170849845882874</v>
      </c>
      <c r="AB274" s="75">
        <f>AA274*(1-PARAM!$C$27)*$I$9+(MOD($B274,60)=PARAM!$B$56)*($B274&gt;(60-PARAM!$B$56))*HLOOKUP(($B274+PARAM!$B$56)/12,Loyalty,2)*$F$1*MAX(AD273,0)</f>
        <v>18.557001321003963</v>
      </c>
      <c r="AC274" s="75">
        <f>PARAM!$C$26+MAX($G$9-CHOOSE(PARAM!$B$44,MAX(0,AD273*$F$1),0),0)*RATES!$L250/12+$H$9*(PARAM!$D$51/12)*RATES!$N250/100</f>
        <v>19.953755004624853</v>
      </c>
      <c r="AD274" s="16">
        <f t="shared" si="161"/>
        <v>700.50982447620697</v>
      </c>
      <c r="AE274" s="15">
        <f t="shared" si="136"/>
        <v>22.170849845882874</v>
      </c>
      <c r="AF274" s="75">
        <f>AE274*(1-PARAM!$C$27)*$I$10+(MOD($B274,60)=PARAM!$B$56)*($B274&gt;(60-PARAM!$B$56))*HLOOKUP(($B274+PARAM!$B$56)/12,Loyalty,2)*$F$1*MAX(AH273,0)</f>
        <v>18.557001321003963</v>
      </c>
      <c r="AG274" s="75">
        <f>PARAM!$C$26+MAX($G$10-CHOOSE(PARAM!$B$44,MAX(0,AH273*$F$1),0),0)*RATES!$L250/12+$H$10*(PARAM!$D$51/12)*RATES!$N250/100</f>
        <v>19.953755004624853</v>
      </c>
      <c r="AH274" s="16">
        <f t="shared" si="162"/>
        <v>700.50982447620697</v>
      </c>
      <c r="AI274" s="15">
        <f t="shared" si="137"/>
        <v>22.170849845882874</v>
      </c>
      <c r="AJ274" s="75">
        <f>AI274*(1-PARAM!$C$27)*$I$11+(MOD($B274,60)=PARAM!$B$56)*($B274&gt;(60-PARAM!$B$56))*HLOOKUP(($B274+PARAM!$B$56)/12,Loyalty,2)*$F$1*MAX(AL273,0)</f>
        <v>18.557001321003963</v>
      </c>
      <c r="AK274" s="75">
        <f>PARAM!$C$26+MAX($G$11-CHOOSE(PARAM!$B$44,MAX(0,AL273*$F$1),0),0)*RATES!$L250/12+$H$11*(PARAM!$D$51/12)*RATES!$N250/100</f>
        <v>19.953755004624853</v>
      </c>
      <c r="AL274" s="16">
        <f t="shared" si="163"/>
        <v>700.50982447620697</v>
      </c>
      <c r="AM274" s="15">
        <f t="shared" si="138"/>
        <v>22.170849845882874</v>
      </c>
      <c r="AN274" s="75">
        <f>AM274*(1-PARAM!$C$27)*$I$12+(MOD($B274,60)=PARAM!$B$56)*($B274&gt;(60-PARAM!$B$56))*HLOOKUP(($B274+PARAM!$B$56)/12,Loyalty,2)*$F$1*MAX(AP273,0)</f>
        <v>18.557001321003963</v>
      </c>
      <c r="AO274" s="75">
        <f>PARAM!$C$26+MAX($G$12-CHOOSE(PARAM!$B$44,MAX(0,AP273*$F$1),0),0)*RATES!$L250/12+$H$12*(PARAM!$D$51/12)*RATES!$N250/100</f>
        <v>19.953755004624853</v>
      </c>
      <c r="AP274" s="16">
        <f t="shared" si="164"/>
        <v>700.50982447620697</v>
      </c>
      <c r="AQ274" s="15">
        <f t="shared" si="139"/>
        <v>22.170849845882874</v>
      </c>
      <c r="AR274" s="75">
        <f>AQ274*(1-PARAM!$C$27)*$I$13+(MOD($B274,60)=PARAM!$B$56)*($B274&gt;(60-PARAM!$B$56))*HLOOKUP(($B274+PARAM!$B$56)/12,Loyalty,2)*$F$1*MAX(AT273,0)</f>
        <v>18.557001321003963</v>
      </c>
      <c r="AS274" s="75">
        <f>PARAM!$C$26+MAX($G$13-CHOOSE(PARAM!$B$44,MAX(0,AT273*$F$1),0),0)*RATES!$L250/12+$H$13*(PARAM!$D$51/12)*RATES!$N250/100</f>
        <v>19.953755004624853</v>
      </c>
      <c r="AT274" s="16">
        <f t="shared" si="165"/>
        <v>700.50982447620697</v>
      </c>
      <c r="AU274" s="15">
        <f t="shared" si="140"/>
        <v>22.170849845882874</v>
      </c>
      <c r="AV274" s="75">
        <f>AU274*(1-PARAM!$C$27)*$I$14+(MOD($B274,60)=PARAM!$B$56)*($B274&gt;(60-PARAM!$B$56))*HLOOKUP(($B274+PARAM!$B$56)/12,Loyalty,2)*$F$1*MAX(AX273,0)</f>
        <v>18.557001321003963</v>
      </c>
      <c r="AW274" s="75">
        <f>PARAM!$C$26+MAX($G$14-CHOOSE(PARAM!$B$44,MAX(0,AX273*$F$1),0),0)*RATES!$L250/12+$H$14*(PARAM!$D$51/12)*RATES!$N250/100</f>
        <v>19.953755004624853</v>
      </c>
      <c r="AX274" s="16">
        <f t="shared" si="166"/>
        <v>700.50982447620697</v>
      </c>
      <c r="AY274" s="15">
        <f t="shared" si="141"/>
        <v>22.170849845882874</v>
      </c>
      <c r="AZ274" s="75">
        <f>AY274*(1-PARAM!$C$27)*$I$15+(MOD($B274,60)=PARAM!$B$56)*($B274&gt;(60-PARAM!$B$56))*HLOOKUP(($B274+PARAM!$B$56)/12,Loyalty,2)*$F$1*MAX(BB273,0)</f>
        <v>18.557001321003963</v>
      </c>
      <c r="BA274" s="75">
        <f>PARAM!$C$26+MAX($G$15-CHOOSE(PARAM!$B$44,MAX(0,BB273*$F$1),0),0)*RATES!$L250/12+$H$15*(PARAM!$D$51/12)*RATES!$N250/100</f>
        <v>19.953755004624853</v>
      </c>
      <c r="BB274" s="16">
        <f t="shared" si="167"/>
        <v>700.50982447620697</v>
      </c>
      <c r="BC274" s="15">
        <f t="shared" si="142"/>
        <v>22.170849845882874</v>
      </c>
      <c r="BD274" s="75">
        <f>BC274*(1-PARAM!$C$27)*$I$16+(MOD($B274,60)=PARAM!$B$56)*($B274&gt;(60-PARAM!$B$56))*HLOOKUP(($B274+PARAM!$B$56)/12,Loyalty,2)*$F$1*MAX(BF273,0)</f>
        <v>18.557001321003963</v>
      </c>
      <c r="BE274" s="75">
        <f>PARAM!$C$26+MAX($G$16-CHOOSE(PARAM!$B$44,MAX(0,BF273*$F$1),0),0)*RATES!$L250/12+$H$16*(PARAM!$D$51/12)*RATES!$N250/100</f>
        <v>19.953755004624853</v>
      </c>
      <c r="BF274" s="16">
        <f t="shared" si="168"/>
        <v>700.50982447620697</v>
      </c>
      <c r="BG274" s="15">
        <f t="shared" si="143"/>
        <v>22.170849845882874</v>
      </c>
      <c r="BH274" s="75">
        <f>BG274*(1-PARAM!$C$27)*$I$17+(MOD($B274,60)=PARAM!$B$56)*($B274&gt;(60-PARAM!$B$56))*HLOOKUP(($B274+PARAM!$B$56)/12,Loyalty,2)*$F$1*MAX(BJ273,0)</f>
        <v>18.557001321003963</v>
      </c>
      <c r="BI274" s="75">
        <f>PARAM!$C$26+MAX($G$17-CHOOSE(PARAM!$B$44,MAX(0,BJ273*$F$1),0),0)*RATES!$L250/12+$H$17*(PARAM!$D$51/12)*RATES!$N250/100</f>
        <v>19.953755004624853</v>
      </c>
      <c r="BJ274" s="16">
        <f t="shared" si="169"/>
        <v>700.50982447620697</v>
      </c>
      <c r="BK274" s="15">
        <f t="shared" si="144"/>
        <v>22.170849845882874</v>
      </c>
      <c r="BL274" s="75">
        <f>BK274*(1-PARAM!$C$27)*$I$18+(MOD($B274,60)=PARAM!$B$56)*($B274&gt;(60-PARAM!$B$56))*HLOOKUP(($B274+PARAM!$B$56)/12,Loyalty,2)*$F$1*MAX(BN273,0)</f>
        <v>18.557001321003963</v>
      </c>
      <c r="BM274" s="75">
        <f>PARAM!$C$26+MAX($G$18-CHOOSE(PARAM!$B$44,MAX(0,BN273*$F$1),0),0)*RATES!$L250/12+$H$18*(PARAM!$D$51/12)*RATES!$N250/100</f>
        <v>19.953755004624853</v>
      </c>
      <c r="BN274" s="16">
        <f t="shared" si="170"/>
        <v>700.50982447620697</v>
      </c>
      <c r="BO274" s="15">
        <f t="shared" si="145"/>
        <v>22.170849845882874</v>
      </c>
      <c r="BP274" s="75">
        <f>BO274*(1-PARAM!$C$27)*$I$19+(MOD($B274,60)=PARAM!$B$56)*($B274&gt;(60-PARAM!$B$56))*HLOOKUP(($B274+PARAM!$B$56)/12,Loyalty,2)*$F$1*MAX(BR273,0)</f>
        <v>18.557001321003963</v>
      </c>
      <c r="BQ274" s="75">
        <f>PARAM!$C$26+MAX($G$19-CHOOSE(PARAM!$B$44,MAX(0,BR273*$F$1),0),0)*RATES!$L250/12+$H$19*(PARAM!$D$51/12)*RATES!$N250/100</f>
        <v>19.953755004624853</v>
      </c>
      <c r="BR274" s="16">
        <f t="shared" si="171"/>
        <v>700.50982447620697</v>
      </c>
      <c r="BS274" s="15">
        <f t="shared" si="146"/>
        <v>22.170849845882874</v>
      </c>
      <c r="BT274" s="75">
        <f>BS274*(1-PARAM!$C$27)*$I$20+(MOD($B274,60)=PARAM!$B$56)*($B274&gt;(60-PARAM!$B$56))*HLOOKUP(($B274+PARAM!$B$56)/12,Loyalty,2)*$F$1*MAX(BV273,0)</f>
        <v>18.557001321003963</v>
      </c>
      <c r="BU274" s="75">
        <f>PARAM!$C$26+MAX($G$20-CHOOSE(PARAM!$B$44,MAX(0,BV273*$F$1),0),0)*RATES!$L250/12+$H$20*(PARAM!$D$51/12)*RATES!$N250/100</f>
        <v>19.953755004624853</v>
      </c>
      <c r="BV274" s="16">
        <f t="shared" si="172"/>
        <v>700.50982447620697</v>
      </c>
      <c r="BW274" s="15">
        <f t="shared" si="147"/>
        <v>22.170849845882874</v>
      </c>
      <c r="BX274" s="75">
        <f>BW274*(1-PARAM!$C$27)*$I$21+(MOD($B274,60)=PARAM!$B$56)*($B274&gt;(60-PARAM!$B$56))*HLOOKUP(($B274+PARAM!$B$56)/12,Loyalty,2)*$F$1*MAX(BZ273,0)</f>
        <v>18.557001321003963</v>
      </c>
      <c r="BY274" s="75">
        <f>PARAM!$C$26+MAX($G$21-CHOOSE(PARAM!$B$44,MAX(0,BZ273*$F$1),0),0)*RATES!$L250/12+$H$21*(PARAM!$D$51/12)*RATES!$N250/100</f>
        <v>19.953755004624853</v>
      </c>
      <c r="BZ274" s="16">
        <f t="shared" si="173"/>
        <v>700.50982447620697</v>
      </c>
      <c r="CA274" s="15">
        <f t="shared" si="148"/>
        <v>22.170849845882874</v>
      </c>
      <c r="CB274" s="75">
        <f>CA274*(1-PARAM!$C$27)*$I$22+(MOD($B274,60)=PARAM!$B$56)*($B274&gt;(60-PARAM!$B$56))*HLOOKUP(($B274+PARAM!$B$56)/12,Loyalty,2)*$F$1*MAX(CD273,0)</f>
        <v>18.557001321003963</v>
      </c>
      <c r="CC274" s="75">
        <f>PARAM!$C$26+MAX($G$22-CHOOSE(PARAM!$B$44,MAX(0,CD273*$F$1),0),0)*RATES!$L250/12+$H$22*(PARAM!$D$51/12)*RATES!$N250/100</f>
        <v>19.953755004624853</v>
      </c>
      <c r="CD274" s="16">
        <f t="shared" si="174"/>
        <v>700.50982447620697</v>
      </c>
      <c r="CE274" s="33">
        <f>IF(0=MOD(B274,12/PARAM!$D$51),1,0)</f>
        <v>1</v>
      </c>
      <c r="CF274" s="15">
        <f t="shared" si="149"/>
        <v>0</v>
      </c>
      <c r="CG274" s="75">
        <f>CF274*(1-PARAM!$C$27)*$R$3+(MOD($B274/12,5)=0)*($B274&gt;60)*HLOOKUP($B274/12,Loyalty,2)*$F$1*MAX(CI273,0)</f>
        <v>0</v>
      </c>
      <c r="CH274" s="75">
        <f>PARAM!$C$26+MAX($P$3-CHOOSE(PARAM!$B$44,MAX(0,CI273*$F$1),0),0)*RATES!$L250/12+$Q$3*(PARAM!$D$51/12)*RATES!$N250/100</f>
        <v>20.166666666666664</v>
      </c>
      <c r="CI274" s="16">
        <f>IF(CI273&gt;0,CI273*PARAM!$C$53,CI273)+CG274-CH274</f>
        <v>-3734.333333333328</v>
      </c>
      <c r="CJ274" s="15">
        <f t="shared" si="175"/>
        <v>0</v>
      </c>
      <c r="CK274" s="75">
        <f>CJ274*(1-PARAM!$C$27)*$R$4+(MOD($B274/12,5)=0)*($B274&gt;60)*HLOOKUP($B274/12,Loyalty,2)*$F$1*MAX(CM273,0)</f>
        <v>0</v>
      </c>
      <c r="CL274" s="75">
        <f>PARAM!$C$26+MAX($P$4-CHOOSE(PARAM!$B$44,MAX(0,CM273*$F$1),0),0)*RATES!$L250/12+$Q$4*(PARAM!$D$51/12)*RATES!$N250/100</f>
        <v>20.166666666666664</v>
      </c>
      <c r="CM274" s="16">
        <f>IF(CM273&gt;0,CM273*PARAM!$C$53,CM273)+CK274-CL274</f>
        <v>-3734.333333333328</v>
      </c>
      <c r="CO274" s="176"/>
    </row>
    <row r="275" spans="1:93" x14ac:dyDescent="0.2">
      <c r="A275" t="b">
        <f t="shared" si="150"/>
        <v>1</v>
      </c>
      <c r="B275" s="33">
        <v>248</v>
      </c>
      <c r="C275" s="15">
        <f t="shared" si="151"/>
        <v>20.081305947392778</v>
      </c>
      <c r="D275" s="75">
        <f>C275*(1-PARAM!$C$27)*$I$3+(MOD($B275,60)=PARAM!$B$56)*($B275&gt;(60-PARAM!$B$56))*HLOOKUP(($B275+PARAM!$B$56)/12,Loyalty,2)*$F$1*MAX(F274,0)</f>
        <v>16.808053077967756</v>
      </c>
      <c r="E275" s="75">
        <f>PARAM!$C$26+MAX($G$3-CHOOSE(PARAM!$B$44,MAX(0,F274*$F$1),0),0)*RATES!$L251/12+$H$3*(PARAM!$D$51/12)*RATES!$N251/100</f>
        <v>20.088237879302376</v>
      </c>
      <c r="F275" s="16">
        <f t="shared" si="152"/>
        <v>255.27625705896099</v>
      </c>
      <c r="G275" s="15">
        <f t="shared" si="153"/>
        <v>22.035289406060361</v>
      </c>
      <c r="H275" s="75">
        <f>G275*(1-PARAM!$C$27)*$I$4+(MOD($B275,60)=PARAM!$B$56)*($B275&gt;(60-PARAM!$B$56))*HLOOKUP(($B275+PARAM!$B$56)/12,Loyalty,2)*$F$1*MAX(J274,0)</f>
        <v>18.443537232872522</v>
      </c>
      <c r="I275" s="75">
        <f>PARAM!$C$26+MAX($G$4-CHOOSE(PARAM!$B$44,MAX(0,J274*$F$1),0),0)*RATES!$L251/12+$H$4*(PARAM!$D$51/12)*RATES!$N251/100</f>
        <v>19.962880699339927</v>
      </c>
      <c r="J275" s="16">
        <f t="shared" si="154"/>
        <v>670.30252684145546</v>
      </c>
      <c r="K275" s="15">
        <f t="shared" si="155"/>
        <v>22.170849845882874</v>
      </c>
      <c r="L275" s="75">
        <f>K275*(1-PARAM!$C$27)*$I$5+(MOD($B275,60)=PARAM!$B$56)*($B275&gt;(60-PARAM!$B$56))*HLOOKUP(($B275+PARAM!$B$56)/12,Loyalty,2)*$F$1*MAX(N274,0)</f>
        <v>18.557001321003963</v>
      </c>
      <c r="M275" s="75">
        <f>PARAM!$C$26+MAX($G$5-CHOOSE(PARAM!$B$44,MAX(0,N274*$F$1),0),0)*RATES!$L251/12+$H$5*(PARAM!$D$51/12)*RATES!$N251/100</f>
        <v>19.954178686575553</v>
      </c>
      <c r="N275" s="16">
        <f t="shared" si="156"/>
        <v>699.11264711063541</v>
      </c>
      <c r="O275" s="15">
        <f t="shared" si="157"/>
        <v>22.170849845882874</v>
      </c>
      <c r="P275" s="75">
        <f>O275*(1-PARAM!$C$27)*$I$6+(MOD($B275,60)=PARAM!$B$56)*($B275&gt;(60-PARAM!$B$56))*HLOOKUP(($B275+PARAM!$B$56)/12,Loyalty,2)*$F$1*MAX(R274,0)</f>
        <v>18.557001321003963</v>
      </c>
      <c r="Q275" s="75">
        <f>PARAM!$C$26+MAX($G$6-CHOOSE(PARAM!$B$44,MAX(0,R274*$F$1),0),0)*RATES!$L251/12+$H$6*(PARAM!$D$51/12)*RATES!$N251/100</f>
        <v>19.954178686575553</v>
      </c>
      <c r="R275" s="16">
        <f t="shared" si="158"/>
        <v>699.11264711063541</v>
      </c>
      <c r="S275" s="15">
        <f t="shared" si="133"/>
        <v>22.170849845882874</v>
      </c>
      <c r="T275" s="75">
        <f>S275*(1-PARAM!$C$27)*$I$7+(MOD($B275,60)=PARAM!$B$56)*($B275&gt;(60-PARAM!$B$56))*HLOOKUP(($B275+PARAM!$B$56)/12,Loyalty,2)*$F$1*MAX(V274,0)</f>
        <v>18.557001321003963</v>
      </c>
      <c r="U275" s="75">
        <f>PARAM!$C$26+MAX($G$7-CHOOSE(PARAM!$B$44,MAX(0,V274*$F$1),0),0)*RATES!$L251/12+$H$7*(PARAM!$D$51/12)*RATES!$N251/100</f>
        <v>19.954178686575553</v>
      </c>
      <c r="V275" s="16">
        <f t="shared" si="159"/>
        <v>699.11264711063541</v>
      </c>
      <c r="W275" s="15">
        <f t="shared" si="134"/>
        <v>22.170849845882874</v>
      </c>
      <c r="X275" s="75">
        <f>W275*(1-PARAM!$C$27)*$I$8+(MOD($B275,60)=PARAM!$B$56)*($B275&gt;(60-PARAM!$B$56))*HLOOKUP(($B275+PARAM!$B$56)/12,Loyalty,2)*$F$1*MAX(Z274,0)</f>
        <v>18.557001321003963</v>
      </c>
      <c r="Y275" s="75">
        <f>PARAM!$C$26+MAX($G$8-CHOOSE(PARAM!$B$44,MAX(0,Z274*$F$1),0),0)*RATES!$L251/12+$H$8*(PARAM!$D$51/12)*RATES!$N251/100</f>
        <v>19.954178686575553</v>
      </c>
      <c r="Z275" s="16">
        <f t="shared" si="160"/>
        <v>699.11264711063541</v>
      </c>
      <c r="AA275" s="15">
        <f t="shared" si="135"/>
        <v>22.170849845882874</v>
      </c>
      <c r="AB275" s="75">
        <f>AA275*(1-PARAM!$C$27)*$I$9+(MOD($B275,60)=PARAM!$B$56)*($B275&gt;(60-PARAM!$B$56))*HLOOKUP(($B275+PARAM!$B$56)/12,Loyalty,2)*$F$1*MAX(AD274,0)</f>
        <v>18.557001321003963</v>
      </c>
      <c r="AC275" s="75">
        <f>PARAM!$C$26+MAX($G$9-CHOOSE(PARAM!$B$44,MAX(0,AD274*$F$1),0),0)*RATES!$L251/12+$H$9*(PARAM!$D$51/12)*RATES!$N251/100</f>
        <v>19.954178686575553</v>
      </c>
      <c r="AD275" s="16">
        <f t="shared" si="161"/>
        <v>699.11264711063541</v>
      </c>
      <c r="AE275" s="15">
        <f t="shared" si="136"/>
        <v>22.170849845882874</v>
      </c>
      <c r="AF275" s="75">
        <f>AE275*(1-PARAM!$C$27)*$I$10+(MOD($B275,60)=PARAM!$B$56)*($B275&gt;(60-PARAM!$B$56))*HLOOKUP(($B275+PARAM!$B$56)/12,Loyalty,2)*$F$1*MAX(AH274,0)</f>
        <v>18.557001321003963</v>
      </c>
      <c r="AG275" s="75">
        <f>PARAM!$C$26+MAX($G$10-CHOOSE(PARAM!$B$44,MAX(0,AH274*$F$1),0),0)*RATES!$L251/12+$H$10*(PARAM!$D$51/12)*RATES!$N251/100</f>
        <v>19.954178686575553</v>
      </c>
      <c r="AH275" s="16">
        <f t="shared" si="162"/>
        <v>699.11264711063541</v>
      </c>
      <c r="AI275" s="15">
        <f t="shared" si="137"/>
        <v>22.170849845882874</v>
      </c>
      <c r="AJ275" s="75">
        <f>AI275*(1-PARAM!$C$27)*$I$11+(MOD($B275,60)=PARAM!$B$56)*($B275&gt;(60-PARAM!$B$56))*HLOOKUP(($B275+PARAM!$B$56)/12,Loyalty,2)*$F$1*MAX(AL274,0)</f>
        <v>18.557001321003963</v>
      </c>
      <c r="AK275" s="75">
        <f>PARAM!$C$26+MAX($G$11-CHOOSE(PARAM!$B$44,MAX(0,AL274*$F$1),0),0)*RATES!$L251/12+$H$11*(PARAM!$D$51/12)*RATES!$N251/100</f>
        <v>19.954178686575553</v>
      </c>
      <c r="AL275" s="16">
        <f t="shared" si="163"/>
        <v>699.11264711063541</v>
      </c>
      <c r="AM275" s="15">
        <f t="shared" si="138"/>
        <v>22.170849845882874</v>
      </c>
      <c r="AN275" s="75">
        <f>AM275*(1-PARAM!$C$27)*$I$12+(MOD($B275,60)=PARAM!$B$56)*($B275&gt;(60-PARAM!$B$56))*HLOOKUP(($B275+PARAM!$B$56)/12,Loyalty,2)*$F$1*MAX(AP274,0)</f>
        <v>18.557001321003963</v>
      </c>
      <c r="AO275" s="75">
        <f>PARAM!$C$26+MAX($G$12-CHOOSE(PARAM!$B$44,MAX(0,AP274*$F$1),0),0)*RATES!$L251/12+$H$12*(PARAM!$D$51/12)*RATES!$N251/100</f>
        <v>19.954178686575553</v>
      </c>
      <c r="AP275" s="16">
        <f t="shared" si="164"/>
        <v>699.11264711063541</v>
      </c>
      <c r="AQ275" s="15">
        <f t="shared" si="139"/>
        <v>22.170849845882874</v>
      </c>
      <c r="AR275" s="75">
        <f>AQ275*(1-PARAM!$C$27)*$I$13+(MOD($B275,60)=PARAM!$B$56)*($B275&gt;(60-PARAM!$B$56))*HLOOKUP(($B275+PARAM!$B$56)/12,Loyalty,2)*$F$1*MAX(AT274,0)</f>
        <v>18.557001321003963</v>
      </c>
      <c r="AS275" s="75">
        <f>PARAM!$C$26+MAX($G$13-CHOOSE(PARAM!$B$44,MAX(0,AT274*$F$1),0),0)*RATES!$L251/12+$H$13*(PARAM!$D$51/12)*RATES!$N251/100</f>
        <v>19.954178686575553</v>
      </c>
      <c r="AT275" s="16">
        <f t="shared" si="165"/>
        <v>699.11264711063541</v>
      </c>
      <c r="AU275" s="15">
        <f t="shared" si="140"/>
        <v>22.170849845882874</v>
      </c>
      <c r="AV275" s="75">
        <f>AU275*(1-PARAM!$C$27)*$I$14+(MOD($B275,60)=PARAM!$B$56)*($B275&gt;(60-PARAM!$B$56))*HLOOKUP(($B275+PARAM!$B$56)/12,Loyalty,2)*$F$1*MAX(AX274,0)</f>
        <v>18.557001321003963</v>
      </c>
      <c r="AW275" s="75">
        <f>PARAM!$C$26+MAX($G$14-CHOOSE(PARAM!$B$44,MAX(0,AX274*$F$1),0),0)*RATES!$L251/12+$H$14*(PARAM!$D$51/12)*RATES!$N251/100</f>
        <v>19.954178686575553</v>
      </c>
      <c r="AX275" s="16">
        <f t="shared" si="166"/>
        <v>699.11264711063541</v>
      </c>
      <c r="AY275" s="15">
        <f t="shared" si="141"/>
        <v>22.170849845882874</v>
      </c>
      <c r="AZ275" s="75">
        <f>AY275*(1-PARAM!$C$27)*$I$15+(MOD($B275,60)=PARAM!$B$56)*($B275&gt;(60-PARAM!$B$56))*HLOOKUP(($B275+PARAM!$B$56)/12,Loyalty,2)*$F$1*MAX(BB274,0)</f>
        <v>18.557001321003963</v>
      </c>
      <c r="BA275" s="75">
        <f>PARAM!$C$26+MAX($G$15-CHOOSE(PARAM!$B$44,MAX(0,BB274*$F$1),0),0)*RATES!$L251/12+$H$15*(PARAM!$D$51/12)*RATES!$N251/100</f>
        <v>19.954178686575553</v>
      </c>
      <c r="BB275" s="16">
        <f t="shared" si="167"/>
        <v>699.11264711063541</v>
      </c>
      <c r="BC275" s="15">
        <f t="shared" si="142"/>
        <v>22.170849845882874</v>
      </c>
      <c r="BD275" s="75">
        <f>BC275*(1-PARAM!$C$27)*$I$16+(MOD($B275,60)=PARAM!$B$56)*($B275&gt;(60-PARAM!$B$56))*HLOOKUP(($B275+PARAM!$B$56)/12,Loyalty,2)*$F$1*MAX(BF274,0)</f>
        <v>18.557001321003963</v>
      </c>
      <c r="BE275" s="75">
        <f>PARAM!$C$26+MAX($G$16-CHOOSE(PARAM!$B$44,MAX(0,BF274*$F$1),0),0)*RATES!$L251/12+$H$16*(PARAM!$D$51/12)*RATES!$N251/100</f>
        <v>19.954178686575553</v>
      </c>
      <c r="BF275" s="16">
        <f t="shared" si="168"/>
        <v>699.11264711063541</v>
      </c>
      <c r="BG275" s="15">
        <f t="shared" si="143"/>
        <v>22.170849845882874</v>
      </c>
      <c r="BH275" s="75">
        <f>BG275*(1-PARAM!$C$27)*$I$17+(MOD($B275,60)=PARAM!$B$56)*($B275&gt;(60-PARAM!$B$56))*HLOOKUP(($B275+PARAM!$B$56)/12,Loyalty,2)*$F$1*MAX(BJ274,0)</f>
        <v>18.557001321003963</v>
      </c>
      <c r="BI275" s="75">
        <f>PARAM!$C$26+MAX($G$17-CHOOSE(PARAM!$B$44,MAX(0,BJ274*$F$1),0),0)*RATES!$L251/12+$H$17*(PARAM!$D$51/12)*RATES!$N251/100</f>
        <v>19.954178686575553</v>
      </c>
      <c r="BJ275" s="16">
        <f t="shared" si="169"/>
        <v>699.11264711063541</v>
      </c>
      <c r="BK275" s="15">
        <f t="shared" si="144"/>
        <v>22.170849845882874</v>
      </c>
      <c r="BL275" s="75">
        <f>BK275*(1-PARAM!$C$27)*$I$18+(MOD($B275,60)=PARAM!$B$56)*($B275&gt;(60-PARAM!$B$56))*HLOOKUP(($B275+PARAM!$B$56)/12,Loyalty,2)*$F$1*MAX(BN274,0)</f>
        <v>18.557001321003963</v>
      </c>
      <c r="BM275" s="75">
        <f>PARAM!$C$26+MAX($G$18-CHOOSE(PARAM!$B$44,MAX(0,BN274*$F$1),0),0)*RATES!$L251/12+$H$18*(PARAM!$D$51/12)*RATES!$N251/100</f>
        <v>19.954178686575553</v>
      </c>
      <c r="BN275" s="16">
        <f t="shared" si="170"/>
        <v>699.11264711063541</v>
      </c>
      <c r="BO275" s="15">
        <f t="shared" si="145"/>
        <v>22.170849845882874</v>
      </c>
      <c r="BP275" s="75">
        <f>BO275*(1-PARAM!$C$27)*$I$19+(MOD($B275,60)=PARAM!$B$56)*($B275&gt;(60-PARAM!$B$56))*HLOOKUP(($B275+PARAM!$B$56)/12,Loyalty,2)*$F$1*MAX(BR274,0)</f>
        <v>18.557001321003963</v>
      </c>
      <c r="BQ275" s="75">
        <f>PARAM!$C$26+MAX($G$19-CHOOSE(PARAM!$B$44,MAX(0,BR274*$F$1),0),0)*RATES!$L251/12+$H$19*(PARAM!$D$51/12)*RATES!$N251/100</f>
        <v>19.954178686575553</v>
      </c>
      <c r="BR275" s="16">
        <f t="shared" si="171"/>
        <v>699.11264711063541</v>
      </c>
      <c r="BS275" s="15">
        <f t="shared" si="146"/>
        <v>22.170849845882874</v>
      </c>
      <c r="BT275" s="75">
        <f>BS275*(1-PARAM!$C$27)*$I$20+(MOD($B275,60)=PARAM!$B$56)*($B275&gt;(60-PARAM!$B$56))*HLOOKUP(($B275+PARAM!$B$56)/12,Loyalty,2)*$F$1*MAX(BV274,0)</f>
        <v>18.557001321003963</v>
      </c>
      <c r="BU275" s="75">
        <f>PARAM!$C$26+MAX($G$20-CHOOSE(PARAM!$B$44,MAX(0,BV274*$F$1),0),0)*RATES!$L251/12+$H$20*(PARAM!$D$51/12)*RATES!$N251/100</f>
        <v>19.954178686575553</v>
      </c>
      <c r="BV275" s="16">
        <f t="shared" si="172"/>
        <v>699.11264711063541</v>
      </c>
      <c r="BW275" s="15">
        <f t="shared" si="147"/>
        <v>22.170849845882874</v>
      </c>
      <c r="BX275" s="75">
        <f>BW275*(1-PARAM!$C$27)*$I$21+(MOD($B275,60)=PARAM!$B$56)*($B275&gt;(60-PARAM!$B$56))*HLOOKUP(($B275+PARAM!$B$56)/12,Loyalty,2)*$F$1*MAX(BZ274,0)</f>
        <v>18.557001321003963</v>
      </c>
      <c r="BY275" s="75">
        <f>PARAM!$C$26+MAX($G$21-CHOOSE(PARAM!$B$44,MAX(0,BZ274*$F$1),0),0)*RATES!$L251/12+$H$21*(PARAM!$D$51/12)*RATES!$N251/100</f>
        <v>19.954178686575553</v>
      </c>
      <c r="BZ275" s="16">
        <f t="shared" si="173"/>
        <v>699.11264711063541</v>
      </c>
      <c r="CA275" s="15">
        <f t="shared" si="148"/>
        <v>22.170849845882874</v>
      </c>
      <c r="CB275" s="75">
        <f>CA275*(1-PARAM!$C$27)*$I$22+(MOD($B275,60)=PARAM!$B$56)*($B275&gt;(60-PARAM!$B$56))*HLOOKUP(($B275+PARAM!$B$56)/12,Loyalty,2)*$F$1*MAX(CD274,0)</f>
        <v>18.557001321003963</v>
      </c>
      <c r="CC275" s="75">
        <f>PARAM!$C$26+MAX($G$22-CHOOSE(PARAM!$B$44,MAX(0,CD274*$F$1),0),0)*RATES!$L251/12+$H$22*(PARAM!$D$51/12)*RATES!$N251/100</f>
        <v>19.954178686575553</v>
      </c>
      <c r="CD275" s="16">
        <f t="shared" si="174"/>
        <v>699.11264711063541</v>
      </c>
      <c r="CE275" s="33">
        <f>IF(0=MOD(B275,12/PARAM!$D$51),1,0)</f>
        <v>1</v>
      </c>
      <c r="CF275" s="15">
        <f t="shared" si="149"/>
        <v>0</v>
      </c>
      <c r="CG275" s="75">
        <f>CF275*(1-PARAM!$C$27)*$R$3+(MOD($B275/12,5)=0)*($B275&gt;60)*HLOOKUP($B275/12,Loyalty,2)*$F$1*MAX(CI274,0)</f>
        <v>0</v>
      </c>
      <c r="CH275" s="75">
        <f>PARAM!$C$26+MAX($P$3-CHOOSE(PARAM!$B$44,MAX(0,CI274*$F$1),0),0)*RATES!$L251/12+$Q$3*(PARAM!$D$51/12)*RATES!$N251/100</f>
        <v>20.166666666666664</v>
      </c>
      <c r="CI275" s="16">
        <f>IF(CI274&gt;0,CI274*PARAM!$C$53,CI274)+CG275-CH275</f>
        <v>-3754.4999999999945</v>
      </c>
      <c r="CJ275" s="15">
        <f t="shared" si="175"/>
        <v>0</v>
      </c>
      <c r="CK275" s="75">
        <f>CJ275*(1-PARAM!$C$27)*$R$4+(MOD($B275/12,5)=0)*($B275&gt;60)*HLOOKUP($B275/12,Loyalty,2)*$F$1*MAX(CM274,0)</f>
        <v>0</v>
      </c>
      <c r="CL275" s="75">
        <f>PARAM!$C$26+MAX($P$4-CHOOSE(PARAM!$B$44,MAX(0,CM274*$F$1),0),0)*RATES!$L251/12+$Q$4*(PARAM!$D$51/12)*RATES!$N251/100</f>
        <v>20.166666666666664</v>
      </c>
      <c r="CM275" s="16">
        <f>IF(CM274&gt;0,CM274*PARAM!$C$53,CM274)+CK275-CL275</f>
        <v>-3754.4999999999945</v>
      </c>
      <c r="CO275" s="176"/>
    </row>
    <row r="276" spans="1:93" x14ac:dyDescent="0.2">
      <c r="A276" t="b">
        <f t="shared" si="150"/>
        <v>1</v>
      </c>
      <c r="B276" s="33">
        <v>249</v>
      </c>
      <c r="C276" s="15">
        <f t="shared" si="151"/>
        <v>20.081305947392778</v>
      </c>
      <c r="D276" s="75">
        <f>C276*(1-PARAM!$C$27)*$I$3+(MOD($B276,60)=PARAM!$B$56)*($B276&gt;(60-PARAM!$B$56))*HLOOKUP(($B276+PARAM!$B$56)/12,Loyalty,2)*$F$1*MAX(F275,0)</f>
        <v>16.808053077967756</v>
      </c>
      <c r="E276" s="75">
        <f>PARAM!$C$26+MAX($G$3-CHOOSE(PARAM!$B$44,MAX(0,F275*$F$1),0),0)*RATES!$L252/12+$H$3*(PARAM!$D$51/12)*RATES!$N252/100</f>
        <v>20.089232868692115</v>
      </c>
      <c r="F276" s="16">
        <f t="shared" si="152"/>
        <v>251.99507726823666</v>
      </c>
      <c r="G276" s="15">
        <f t="shared" si="153"/>
        <v>22.035289406060361</v>
      </c>
      <c r="H276" s="75">
        <f>G276*(1-PARAM!$C$27)*$I$4+(MOD($B276,60)=PARAM!$B$56)*($B276&gt;(60-PARAM!$B$56))*HLOOKUP(($B276+PARAM!$B$56)/12,Loyalty,2)*$F$1*MAX(J275,0)</f>
        <v>18.443537232872522</v>
      </c>
      <c r="I276" s="75">
        <f>PARAM!$C$26+MAX($G$4-CHOOSE(PARAM!$B$44,MAX(0,J275*$F$1),0),0)*RATES!$L252/12+$H$4*(PARAM!$D$51/12)*RATES!$N252/100</f>
        <v>19.963341566858091</v>
      </c>
      <c r="J276" s="16">
        <f t="shared" si="154"/>
        <v>668.78272250746988</v>
      </c>
      <c r="K276" s="15">
        <f t="shared" si="155"/>
        <v>22.170849845882874</v>
      </c>
      <c r="L276" s="75">
        <f>K276*(1-PARAM!$C$27)*$I$5+(MOD($B276,60)=PARAM!$B$56)*($B276&gt;(60-PARAM!$B$56))*HLOOKUP(($B276+PARAM!$B$56)/12,Loyalty,2)*$F$1*MAX(N275,0)</f>
        <v>18.557001321003963</v>
      </c>
      <c r="M276" s="75">
        <f>PARAM!$C$26+MAX($G$5-CHOOSE(PARAM!$B$44,MAX(0,N275*$F$1),0),0)*RATES!$L252/12+$H$5*(PARAM!$D$51/12)*RATES!$N252/100</f>
        <v>19.954602497043105</v>
      </c>
      <c r="N276" s="16">
        <f t="shared" si="156"/>
        <v>697.71504593459633</v>
      </c>
      <c r="O276" s="15">
        <f t="shared" si="157"/>
        <v>22.170849845882874</v>
      </c>
      <c r="P276" s="75">
        <f>O276*(1-PARAM!$C$27)*$I$6+(MOD($B276,60)=PARAM!$B$56)*($B276&gt;(60-PARAM!$B$56))*HLOOKUP(($B276+PARAM!$B$56)/12,Loyalty,2)*$F$1*MAX(R275,0)</f>
        <v>18.557001321003963</v>
      </c>
      <c r="Q276" s="75">
        <f>PARAM!$C$26+MAX($G$6-CHOOSE(PARAM!$B$44,MAX(0,R275*$F$1),0),0)*RATES!$L252/12+$H$6*(PARAM!$D$51/12)*RATES!$N252/100</f>
        <v>19.954602497043105</v>
      </c>
      <c r="R276" s="16">
        <f t="shared" si="158"/>
        <v>697.71504593459633</v>
      </c>
      <c r="S276" s="15">
        <f t="shared" si="133"/>
        <v>22.170849845882874</v>
      </c>
      <c r="T276" s="75">
        <f>S276*(1-PARAM!$C$27)*$I$7+(MOD($B276,60)=PARAM!$B$56)*($B276&gt;(60-PARAM!$B$56))*HLOOKUP(($B276+PARAM!$B$56)/12,Loyalty,2)*$F$1*MAX(V275,0)</f>
        <v>18.557001321003963</v>
      </c>
      <c r="U276" s="75">
        <f>PARAM!$C$26+MAX($G$7-CHOOSE(PARAM!$B$44,MAX(0,V275*$F$1),0),0)*RATES!$L252/12+$H$7*(PARAM!$D$51/12)*RATES!$N252/100</f>
        <v>19.954602497043105</v>
      </c>
      <c r="V276" s="16">
        <f t="shared" si="159"/>
        <v>697.71504593459633</v>
      </c>
      <c r="W276" s="15">
        <f t="shared" si="134"/>
        <v>22.170849845882874</v>
      </c>
      <c r="X276" s="75">
        <f>W276*(1-PARAM!$C$27)*$I$8+(MOD($B276,60)=PARAM!$B$56)*($B276&gt;(60-PARAM!$B$56))*HLOOKUP(($B276+PARAM!$B$56)/12,Loyalty,2)*$F$1*MAX(Z275,0)</f>
        <v>18.557001321003963</v>
      </c>
      <c r="Y276" s="75">
        <f>PARAM!$C$26+MAX($G$8-CHOOSE(PARAM!$B$44,MAX(0,Z275*$F$1),0),0)*RATES!$L252/12+$H$8*(PARAM!$D$51/12)*RATES!$N252/100</f>
        <v>19.954602497043105</v>
      </c>
      <c r="Z276" s="16">
        <f t="shared" si="160"/>
        <v>697.71504593459633</v>
      </c>
      <c r="AA276" s="15">
        <f t="shared" si="135"/>
        <v>22.170849845882874</v>
      </c>
      <c r="AB276" s="75">
        <f>AA276*(1-PARAM!$C$27)*$I$9+(MOD($B276,60)=PARAM!$B$56)*($B276&gt;(60-PARAM!$B$56))*HLOOKUP(($B276+PARAM!$B$56)/12,Loyalty,2)*$F$1*MAX(AD275,0)</f>
        <v>18.557001321003963</v>
      </c>
      <c r="AC276" s="75">
        <f>PARAM!$C$26+MAX($G$9-CHOOSE(PARAM!$B$44,MAX(0,AD275*$F$1),0),0)*RATES!$L252/12+$H$9*(PARAM!$D$51/12)*RATES!$N252/100</f>
        <v>19.954602497043105</v>
      </c>
      <c r="AD276" s="16">
        <f t="shared" si="161"/>
        <v>697.71504593459633</v>
      </c>
      <c r="AE276" s="15">
        <f t="shared" si="136"/>
        <v>22.170849845882874</v>
      </c>
      <c r="AF276" s="75">
        <f>AE276*(1-PARAM!$C$27)*$I$10+(MOD($B276,60)=PARAM!$B$56)*($B276&gt;(60-PARAM!$B$56))*HLOOKUP(($B276+PARAM!$B$56)/12,Loyalty,2)*$F$1*MAX(AH275,0)</f>
        <v>18.557001321003963</v>
      </c>
      <c r="AG276" s="75">
        <f>PARAM!$C$26+MAX($G$10-CHOOSE(PARAM!$B$44,MAX(0,AH275*$F$1),0),0)*RATES!$L252/12+$H$10*(PARAM!$D$51/12)*RATES!$N252/100</f>
        <v>19.954602497043105</v>
      </c>
      <c r="AH276" s="16">
        <f t="shared" si="162"/>
        <v>697.71504593459633</v>
      </c>
      <c r="AI276" s="15">
        <f t="shared" si="137"/>
        <v>22.170849845882874</v>
      </c>
      <c r="AJ276" s="75">
        <f>AI276*(1-PARAM!$C$27)*$I$11+(MOD($B276,60)=PARAM!$B$56)*($B276&gt;(60-PARAM!$B$56))*HLOOKUP(($B276+PARAM!$B$56)/12,Loyalty,2)*$F$1*MAX(AL275,0)</f>
        <v>18.557001321003963</v>
      </c>
      <c r="AK276" s="75">
        <f>PARAM!$C$26+MAX($G$11-CHOOSE(PARAM!$B$44,MAX(0,AL275*$F$1),0),0)*RATES!$L252/12+$H$11*(PARAM!$D$51/12)*RATES!$N252/100</f>
        <v>19.954602497043105</v>
      </c>
      <c r="AL276" s="16">
        <f t="shared" si="163"/>
        <v>697.71504593459633</v>
      </c>
      <c r="AM276" s="15">
        <f t="shared" si="138"/>
        <v>22.170849845882874</v>
      </c>
      <c r="AN276" s="75">
        <f>AM276*(1-PARAM!$C$27)*$I$12+(MOD($B276,60)=PARAM!$B$56)*($B276&gt;(60-PARAM!$B$56))*HLOOKUP(($B276+PARAM!$B$56)/12,Loyalty,2)*$F$1*MAX(AP275,0)</f>
        <v>18.557001321003963</v>
      </c>
      <c r="AO276" s="75">
        <f>PARAM!$C$26+MAX($G$12-CHOOSE(PARAM!$B$44,MAX(0,AP275*$F$1),0),0)*RATES!$L252/12+$H$12*(PARAM!$D$51/12)*RATES!$N252/100</f>
        <v>19.954602497043105</v>
      </c>
      <c r="AP276" s="16">
        <f t="shared" si="164"/>
        <v>697.71504593459633</v>
      </c>
      <c r="AQ276" s="15">
        <f t="shared" si="139"/>
        <v>22.170849845882874</v>
      </c>
      <c r="AR276" s="75">
        <f>AQ276*(1-PARAM!$C$27)*$I$13+(MOD($B276,60)=PARAM!$B$56)*($B276&gt;(60-PARAM!$B$56))*HLOOKUP(($B276+PARAM!$B$56)/12,Loyalty,2)*$F$1*MAX(AT275,0)</f>
        <v>18.557001321003963</v>
      </c>
      <c r="AS276" s="75">
        <f>PARAM!$C$26+MAX($G$13-CHOOSE(PARAM!$B$44,MAX(0,AT275*$F$1),0),0)*RATES!$L252/12+$H$13*(PARAM!$D$51/12)*RATES!$N252/100</f>
        <v>19.954602497043105</v>
      </c>
      <c r="AT276" s="16">
        <f t="shared" si="165"/>
        <v>697.71504593459633</v>
      </c>
      <c r="AU276" s="15">
        <f t="shared" si="140"/>
        <v>22.170849845882874</v>
      </c>
      <c r="AV276" s="75">
        <f>AU276*(1-PARAM!$C$27)*$I$14+(MOD($B276,60)=PARAM!$B$56)*($B276&gt;(60-PARAM!$B$56))*HLOOKUP(($B276+PARAM!$B$56)/12,Loyalty,2)*$F$1*MAX(AX275,0)</f>
        <v>18.557001321003963</v>
      </c>
      <c r="AW276" s="75">
        <f>PARAM!$C$26+MAX($G$14-CHOOSE(PARAM!$B$44,MAX(0,AX275*$F$1),0),0)*RATES!$L252/12+$H$14*(PARAM!$D$51/12)*RATES!$N252/100</f>
        <v>19.954602497043105</v>
      </c>
      <c r="AX276" s="16">
        <f t="shared" si="166"/>
        <v>697.71504593459633</v>
      </c>
      <c r="AY276" s="15">
        <f t="shared" si="141"/>
        <v>22.170849845882874</v>
      </c>
      <c r="AZ276" s="75">
        <f>AY276*(1-PARAM!$C$27)*$I$15+(MOD($B276,60)=PARAM!$B$56)*($B276&gt;(60-PARAM!$B$56))*HLOOKUP(($B276+PARAM!$B$56)/12,Loyalty,2)*$F$1*MAX(BB275,0)</f>
        <v>18.557001321003963</v>
      </c>
      <c r="BA276" s="75">
        <f>PARAM!$C$26+MAX($G$15-CHOOSE(PARAM!$B$44,MAX(0,BB275*$F$1),0),0)*RATES!$L252/12+$H$15*(PARAM!$D$51/12)*RATES!$N252/100</f>
        <v>19.954602497043105</v>
      </c>
      <c r="BB276" s="16">
        <f t="shared" si="167"/>
        <v>697.71504593459633</v>
      </c>
      <c r="BC276" s="15">
        <f t="shared" si="142"/>
        <v>22.170849845882874</v>
      </c>
      <c r="BD276" s="75">
        <f>BC276*(1-PARAM!$C$27)*$I$16+(MOD($B276,60)=PARAM!$B$56)*($B276&gt;(60-PARAM!$B$56))*HLOOKUP(($B276+PARAM!$B$56)/12,Loyalty,2)*$F$1*MAX(BF275,0)</f>
        <v>18.557001321003963</v>
      </c>
      <c r="BE276" s="75">
        <f>PARAM!$C$26+MAX($G$16-CHOOSE(PARAM!$B$44,MAX(0,BF275*$F$1),0),0)*RATES!$L252/12+$H$16*(PARAM!$D$51/12)*RATES!$N252/100</f>
        <v>19.954602497043105</v>
      </c>
      <c r="BF276" s="16">
        <f t="shared" si="168"/>
        <v>697.71504593459633</v>
      </c>
      <c r="BG276" s="15">
        <f t="shared" si="143"/>
        <v>22.170849845882874</v>
      </c>
      <c r="BH276" s="75">
        <f>BG276*(1-PARAM!$C$27)*$I$17+(MOD($B276,60)=PARAM!$B$56)*($B276&gt;(60-PARAM!$B$56))*HLOOKUP(($B276+PARAM!$B$56)/12,Loyalty,2)*$F$1*MAX(BJ275,0)</f>
        <v>18.557001321003963</v>
      </c>
      <c r="BI276" s="75">
        <f>PARAM!$C$26+MAX($G$17-CHOOSE(PARAM!$B$44,MAX(0,BJ275*$F$1),0),0)*RATES!$L252/12+$H$17*(PARAM!$D$51/12)*RATES!$N252/100</f>
        <v>19.954602497043105</v>
      </c>
      <c r="BJ276" s="16">
        <f t="shared" si="169"/>
        <v>697.71504593459633</v>
      </c>
      <c r="BK276" s="15">
        <f t="shared" si="144"/>
        <v>22.170849845882874</v>
      </c>
      <c r="BL276" s="75">
        <f>BK276*(1-PARAM!$C$27)*$I$18+(MOD($B276,60)=PARAM!$B$56)*($B276&gt;(60-PARAM!$B$56))*HLOOKUP(($B276+PARAM!$B$56)/12,Loyalty,2)*$F$1*MAX(BN275,0)</f>
        <v>18.557001321003963</v>
      </c>
      <c r="BM276" s="75">
        <f>PARAM!$C$26+MAX($G$18-CHOOSE(PARAM!$B$44,MAX(0,BN275*$F$1),0),0)*RATES!$L252/12+$H$18*(PARAM!$D$51/12)*RATES!$N252/100</f>
        <v>19.954602497043105</v>
      </c>
      <c r="BN276" s="16">
        <f t="shared" si="170"/>
        <v>697.71504593459633</v>
      </c>
      <c r="BO276" s="15">
        <f t="shared" si="145"/>
        <v>22.170849845882874</v>
      </c>
      <c r="BP276" s="75">
        <f>BO276*(1-PARAM!$C$27)*$I$19+(MOD($B276,60)=PARAM!$B$56)*($B276&gt;(60-PARAM!$B$56))*HLOOKUP(($B276+PARAM!$B$56)/12,Loyalty,2)*$F$1*MAX(BR275,0)</f>
        <v>18.557001321003963</v>
      </c>
      <c r="BQ276" s="75">
        <f>PARAM!$C$26+MAX($G$19-CHOOSE(PARAM!$B$44,MAX(0,BR275*$F$1),0),0)*RATES!$L252/12+$H$19*(PARAM!$D$51/12)*RATES!$N252/100</f>
        <v>19.954602497043105</v>
      </c>
      <c r="BR276" s="16">
        <f t="shared" si="171"/>
        <v>697.71504593459633</v>
      </c>
      <c r="BS276" s="15">
        <f t="shared" si="146"/>
        <v>22.170849845882874</v>
      </c>
      <c r="BT276" s="75">
        <f>BS276*(1-PARAM!$C$27)*$I$20+(MOD($B276,60)=PARAM!$B$56)*($B276&gt;(60-PARAM!$B$56))*HLOOKUP(($B276+PARAM!$B$56)/12,Loyalty,2)*$F$1*MAX(BV275,0)</f>
        <v>18.557001321003963</v>
      </c>
      <c r="BU276" s="75">
        <f>PARAM!$C$26+MAX($G$20-CHOOSE(PARAM!$B$44,MAX(0,BV275*$F$1),0),0)*RATES!$L252/12+$H$20*(PARAM!$D$51/12)*RATES!$N252/100</f>
        <v>19.954602497043105</v>
      </c>
      <c r="BV276" s="16">
        <f t="shared" si="172"/>
        <v>697.71504593459633</v>
      </c>
      <c r="BW276" s="15">
        <f t="shared" si="147"/>
        <v>22.170849845882874</v>
      </c>
      <c r="BX276" s="75">
        <f>BW276*(1-PARAM!$C$27)*$I$21+(MOD($B276,60)=PARAM!$B$56)*($B276&gt;(60-PARAM!$B$56))*HLOOKUP(($B276+PARAM!$B$56)/12,Loyalty,2)*$F$1*MAX(BZ275,0)</f>
        <v>18.557001321003963</v>
      </c>
      <c r="BY276" s="75">
        <f>PARAM!$C$26+MAX($G$21-CHOOSE(PARAM!$B$44,MAX(0,BZ275*$F$1),0),0)*RATES!$L252/12+$H$21*(PARAM!$D$51/12)*RATES!$N252/100</f>
        <v>19.954602497043105</v>
      </c>
      <c r="BZ276" s="16">
        <f t="shared" si="173"/>
        <v>697.71504593459633</v>
      </c>
      <c r="CA276" s="15">
        <f t="shared" si="148"/>
        <v>22.170849845882874</v>
      </c>
      <c r="CB276" s="75">
        <f>CA276*(1-PARAM!$C$27)*$I$22+(MOD($B276,60)=PARAM!$B$56)*($B276&gt;(60-PARAM!$B$56))*HLOOKUP(($B276+PARAM!$B$56)/12,Loyalty,2)*$F$1*MAX(CD275,0)</f>
        <v>18.557001321003963</v>
      </c>
      <c r="CC276" s="75">
        <f>PARAM!$C$26+MAX($G$22-CHOOSE(PARAM!$B$44,MAX(0,CD275*$F$1),0),0)*RATES!$L252/12+$H$22*(PARAM!$D$51/12)*RATES!$N252/100</f>
        <v>19.954602497043105</v>
      </c>
      <c r="CD276" s="16">
        <f t="shared" si="174"/>
        <v>697.71504593459633</v>
      </c>
      <c r="CE276" s="33">
        <f>IF(0=MOD(B276,12/PARAM!$D$51),1,0)</f>
        <v>1</v>
      </c>
      <c r="CF276" s="15">
        <f t="shared" si="149"/>
        <v>0</v>
      </c>
      <c r="CG276" s="75">
        <f>CF276*(1-PARAM!$C$27)*$R$3+(MOD($B276/12,5)=0)*($B276&gt;60)*HLOOKUP($B276/12,Loyalty,2)*$F$1*MAX(CI275,0)</f>
        <v>0</v>
      </c>
      <c r="CH276" s="75">
        <f>PARAM!$C$26+MAX($P$3-CHOOSE(PARAM!$B$44,MAX(0,CI275*$F$1),0),0)*RATES!$L252/12+$Q$3*(PARAM!$D$51/12)*RATES!$N252/100</f>
        <v>20.166666666666664</v>
      </c>
      <c r="CI276" s="16">
        <f>IF(CI275&gt;0,CI275*PARAM!$C$53,CI275)+CG276-CH276</f>
        <v>-3774.6666666666611</v>
      </c>
      <c r="CJ276" s="15">
        <f t="shared" si="175"/>
        <v>0</v>
      </c>
      <c r="CK276" s="75">
        <f>CJ276*(1-PARAM!$C$27)*$R$4+(MOD($B276/12,5)=0)*($B276&gt;60)*HLOOKUP($B276/12,Loyalty,2)*$F$1*MAX(CM275,0)</f>
        <v>0</v>
      </c>
      <c r="CL276" s="75">
        <f>PARAM!$C$26+MAX($P$4-CHOOSE(PARAM!$B$44,MAX(0,CM275*$F$1),0),0)*RATES!$L252/12+$Q$4*(PARAM!$D$51/12)*RATES!$N252/100</f>
        <v>20.166666666666664</v>
      </c>
      <c r="CM276" s="16">
        <f>IF(CM275&gt;0,CM275*PARAM!$C$53,CM275)+CK276-CL276</f>
        <v>-3774.6666666666611</v>
      </c>
      <c r="CO276" s="176"/>
    </row>
    <row r="277" spans="1:93" x14ac:dyDescent="0.2">
      <c r="A277" t="b">
        <f t="shared" si="150"/>
        <v>1</v>
      </c>
      <c r="B277" s="33">
        <v>250</v>
      </c>
      <c r="C277" s="15">
        <f t="shared" si="151"/>
        <v>20.081305947392778</v>
      </c>
      <c r="D277" s="75">
        <f>C277*(1-PARAM!$C$27)*$I$3+(MOD($B277,60)=PARAM!$B$56)*($B277&gt;(60-PARAM!$B$56))*HLOOKUP(($B277+PARAM!$B$56)/12,Loyalty,2)*$F$1*MAX(F276,0)</f>
        <v>16.808053077967756</v>
      </c>
      <c r="E277" s="75">
        <f>PARAM!$C$26+MAX($G$3-CHOOSE(PARAM!$B$44,MAX(0,F276*$F$1),0),0)*RATES!$L253/12+$H$3*(PARAM!$D$51/12)*RATES!$N253/100</f>
        <v>20.090228159895304</v>
      </c>
      <c r="F277" s="16">
        <f t="shared" si="152"/>
        <v>248.71290218630909</v>
      </c>
      <c r="G277" s="15">
        <f t="shared" si="153"/>
        <v>22.035289406060361</v>
      </c>
      <c r="H277" s="75">
        <f>G277*(1-PARAM!$C$27)*$I$4+(MOD($B277,60)=PARAM!$B$56)*($B277&gt;(60-PARAM!$B$56))*HLOOKUP(($B277+PARAM!$B$56)/12,Loyalty,2)*$F$1*MAX(J276,0)</f>
        <v>18.443537232872522</v>
      </c>
      <c r="I277" s="75">
        <f>PARAM!$C$26+MAX($G$4-CHOOSE(PARAM!$B$44,MAX(0,J276*$F$1),0),0)*RATES!$L253/12+$H$4*(PARAM!$D$51/12)*RATES!$N253/100</f>
        <v>19.963802574172732</v>
      </c>
      <c r="J277" s="16">
        <f t="shared" si="154"/>
        <v>667.26245716616961</v>
      </c>
      <c r="K277" s="15">
        <f t="shared" si="155"/>
        <v>22.170849845882874</v>
      </c>
      <c r="L277" s="75">
        <f>K277*(1-PARAM!$C$27)*$I$5+(MOD($B277,60)=PARAM!$B$56)*($B277&gt;(60-PARAM!$B$56))*HLOOKUP(($B277+PARAM!$B$56)/12,Loyalty,2)*$F$1*MAX(N276,0)</f>
        <v>18.557001321003963</v>
      </c>
      <c r="M277" s="75">
        <f>PARAM!$C$26+MAX($G$5-CHOOSE(PARAM!$B$44,MAX(0,N276*$F$1),0),0)*RATES!$L253/12+$H$5*(PARAM!$D$51/12)*RATES!$N253/100</f>
        <v>19.955026436066504</v>
      </c>
      <c r="N277" s="16">
        <f t="shared" si="156"/>
        <v>696.31702081953381</v>
      </c>
      <c r="O277" s="15">
        <f t="shared" si="157"/>
        <v>22.170849845882874</v>
      </c>
      <c r="P277" s="75">
        <f>O277*(1-PARAM!$C$27)*$I$6+(MOD($B277,60)=PARAM!$B$56)*($B277&gt;(60-PARAM!$B$56))*HLOOKUP(($B277+PARAM!$B$56)/12,Loyalty,2)*$F$1*MAX(R276,0)</f>
        <v>18.557001321003963</v>
      </c>
      <c r="Q277" s="75">
        <f>PARAM!$C$26+MAX($G$6-CHOOSE(PARAM!$B$44,MAX(0,R276*$F$1),0),0)*RATES!$L253/12+$H$6*(PARAM!$D$51/12)*RATES!$N253/100</f>
        <v>19.955026436066504</v>
      </c>
      <c r="R277" s="16">
        <f t="shared" si="158"/>
        <v>696.31702081953381</v>
      </c>
      <c r="S277" s="15">
        <f t="shared" si="133"/>
        <v>22.170849845882874</v>
      </c>
      <c r="T277" s="75">
        <f>S277*(1-PARAM!$C$27)*$I$7+(MOD($B277,60)=PARAM!$B$56)*($B277&gt;(60-PARAM!$B$56))*HLOOKUP(($B277+PARAM!$B$56)/12,Loyalty,2)*$F$1*MAX(V276,0)</f>
        <v>18.557001321003963</v>
      </c>
      <c r="U277" s="75">
        <f>PARAM!$C$26+MAX($G$7-CHOOSE(PARAM!$B$44,MAX(0,V276*$F$1),0),0)*RATES!$L253/12+$H$7*(PARAM!$D$51/12)*RATES!$N253/100</f>
        <v>19.955026436066504</v>
      </c>
      <c r="V277" s="16">
        <f t="shared" si="159"/>
        <v>696.31702081953381</v>
      </c>
      <c r="W277" s="15">
        <f t="shared" si="134"/>
        <v>22.170849845882874</v>
      </c>
      <c r="X277" s="75">
        <f>W277*(1-PARAM!$C$27)*$I$8+(MOD($B277,60)=PARAM!$B$56)*($B277&gt;(60-PARAM!$B$56))*HLOOKUP(($B277+PARAM!$B$56)/12,Loyalty,2)*$F$1*MAX(Z276,0)</f>
        <v>18.557001321003963</v>
      </c>
      <c r="Y277" s="75">
        <f>PARAM!$C$26+MAX($G$8-CHOOSE(PARAM!$B$44,MAX(0,Z276*$F$1),0),0)*RATES!$L253/12+$H$8*(PARAM!$D$51/12)*RATES!$N253/100</f>
        <v>19.955026436066504</v>
      </c>
      <c r="Z277" s="16">
        <f t="shared" si="160"/>
        <v>696.31702081953381</v>
      </c>
      <c r="AA277" s="15">
        <f t="shared" si="135"/>
        <v>22.170849845882874</v>
      </c>
      <c r="AB277" s="75">
        <f>AA277*(1-PARAM!$C$27)*$I$9+(MOD($B277,60)=PARAM!$B$56)*($B277&gt;(60-PARAM!$B$56))*HLOOKUP(($B277+PARAM!$B$56)/12,Loyalty,2)*$F$1*MAX(AD276,0)</f>
        <v>18.557001321003963</v>
      </c>
      <c r="AC277" s="75">
        <f>PARAM!$C$26+MAX($G$9-CHOOSE(PARAM!$B$44,MAX(0,AD276*$F$1),0),0)*RATES!$L253/12+$H$9*(PARAM!$D$51/12)*RATES!$N253/100</f>
        <v>19.955026436066504</v>
      </c>
      <c r="AD277" s="16">
        <f t="shared" si="161"/>
        <v>696.31702081953381</v>
      </c>
      <c r="AE277" s="15">
        <f t="shared" si="136"/>
        <v>22.170849845882874</v>
      </c>
      <c r="AF277" s="75">
        <f>AE277*(1-PARAM!$C$27)*$I$10+(MOD($B277,60)=PARAM!$B$56)*($B277&gt;(60-PARAM!$B$56))*HLOOKUP(($B277+PARAM!$B$56)/12,Loyalty,2)*$F$1*MAX(AH276,0)</f>
        <v>18.557001321003963</v>
      </c>
      <c r="AG277" s="75">
        <f>PARAM!$C$26+MAX($G$10-CHOOSE(PARAM!$B$44,MAX(0,AH276*$F$1),0),0)*RATES!$L253/12+$H$10*(PARAM!$D$51/12)*RATES!$N253/100</f>
        <v>19.955026436066504</v>
      </c>
      <c r="AH277" s="16">
        <f t="shared" si="162"/>
        <v>696.31702081953381</v>
      </c>
      <c r="AI277" s="15">
        <f t="shared" si="137"/>
        <v>22.170849845882874</v>
      </c>
      <c r="AJ277" s="75">
        <f>AI277*(1-PARAM!$C$27)*$I$11+(MOD($B277,60)=PARAM!$B$56)*($B277&gt;(60-PARAM!$B$56))*HLOOKUP(($B277+PARAM!$B$56)/12,Loyalty,2)*$F$1*MAX(AL276,0)</f>
        <v>18.557001321003963</v>
      </c>
      <c r="AK277" s="75">
        <f>PARAM!$C$26+MAX($G$11-CHOOSE(PARAM!$B$44,MAX(0,AL276*$F$1),0),0)*RATES!$L253/12+$H$11*(PARAM!$D$51/12)*RATES!$N253/100</f>
        <v>19.955026436066504</v>
      </c>
      <c r="AL277" s="16">
        <f t="shared" si="163"/>
        <v>696.31702081953381</v>
      </c>
      <c r="AM277" s="15">
        <f t="shared" si="138"/>
        <v>22.170849845882874</v>
      </c>
      <c r="AN277" s="75">
        <f>AM277*(1-PARAM!$C$27)*$I$12+(MOD($B277,60)=PARAM!$B$56)*($B277&gt;(60-PARAM!$B$56))*HLOOKUP(($B277+PARAM!$B$56)/12,Loyalty,2)*$F$1*MAX(AP276,0)</f>
        <v>18.557001321003963</v>
      </c>
      <c r="AO277" s="75">
        <f>PARAM!$C$26+MAX($G$12-CHOOSE(PARAM!$B$44,MAX(0,AP276*$F$1),0),0)*RATES!$L253/12+$H$12*(PARAM!$D$51/12)*RATES!$N253/100</f>
        <v>19.955026436066504</v>
      </c>
      <c r="AP277" s="16">
        <f t="shared" si="164"/>
        <v>696.31702081953381</v>
      </c>
      <c r="AQ277" s="15">
        <f t="shared" si="139"/>
        <v>22.170849845882874</v>
      </c>
      <c r="AR277" s="75">
        <f>AQ277*(1-PARAM!$C$27)*$I$13+(MOD($B277,60)=PARAM!$B$56)*($B277&gt;(60-PARAM!$B$56))*HLOOKUP(($B277+PARAM!$B$56)/12,Loyalty,2)*$F$1*MAX(AT276,0)</f>
        <v>18.557001321003963</v>
      </c>
      <c r="AS277" s="75">
        <f>PARAM!$C$26+MAX($G$13-CHOOSE(PARAM!$B$44,MAX(0,AT276*$F$1),0),0)*RATES!$L253/12+$H$13*(PARAM!$D$51/12)*RATES!$N253/100</f>
        <v>19.955026436066504</v>
      </c>
      <c r="AT277" s="16">
        <f t="shared" si="165"/>
        <v>696.31702081953381</v>
      </c>
      <c r="AU277" s="15">
        <f t="shared" si="140"/>
        <v>22.170849845882874</v>
      </c>
      <c r="AV277" s="75">
        <f>AU277*(1-PARAM!$C$27)*$I$14+(MOD($B277,60)=PARAM!$B$56)*($B277&gt;(60-PARAM!$B$56))*HLOOKUP(($B277+PARAM!$B$56)/12,Loyalty,2)*$F$1*MAX(AX276,0)</f>
        <v>18.557001321003963</v>
      </c>
      <c r="AW277" s="75">
        <f>PARAM!$C$26+MAX($G$14-CHOOSE(PARAM!$B$44,MAX(0,AX276*$F$1),0),0)*RATES!$L253/12+$H$14*(PARAM!$D$51/12)*RATES!$N253/100</f>
        <v>19.955026436066504</v>
      </c>
      <c r="AX277" s="16">
        <f t="shared" si="166"/>
        <v>696.31702081953381</v>
      </c>
      <c r="AY277" s="15">
        <f t="shared" si="141"/>
        <v>22.170849845882874</v>
      </c>
      <c r="AZ277" s="75">
        <f>AY277*(1-PARAM!$C$27)*$I$15+(MOD($B277,60)=PARAM!$B$56)*($B277&gt;(60-PARAM!$B$56))*HLOOKUP(($B277+PARAM!$B$56)/12,Loyalty,2)*$F$1*MAX(BB276,0)</f>
        <v>18.557001321003963</v>
      </c>
      <c r="BA277" s="75">
        <f>PARAM!$C$26+MAX($G$15-CHOOSE(PARAM!$B$44,MAX(0,BB276*$F$1),0),0)*RATES!$L253/12+$H$15*(PARAM!$D$51/12)*RATES!$N253/100</f>
        <v>19.955026436066504</v>
      </c>
      <c r="BB277" s="16">
        <f t="shared" si="167"/>
        <v>696.31702081953381</v>
      </c>
      <c r="BC277" s="15">
        <f t="shared" si="142"/>
        <v>22.170849845882874</v>
      </c>
      <c r="BD277" s="75">
        <f>BC277*(1-PARAM!$C$27)*$I$16+(MOD($B277,60)=PARAM!$B$56)*($B277&gt;(60-PARAM!$B$56))*HLOOKUP(($B277+PARAM!$B$56)/12,Loyalty,2)*$F$1*MAX(BF276,0)</f>
        <v>18.557001321003963</v>
      </c>
      <c r="BE277" s="75">
        <f>PARAM!$C$26+MAX($G$16-CHOOSE(PARAM!$B$44,MAX(0,BF276*$F$1),0),0)*RATES!$L253/12+$H$16*(PARAM!$D$51/12)*RATES!$N253/100</f>
        <v>19.955026436066504</v>
      </c>
      <c r="BF277" s="16">
        <f t="shared" si="168"/>
        <v>696.31702081953381</v>
      </c>
      <c r="BG277" s="15">
        <f t="shared" si="143"/>
        <v>22.170849845882874</v>
      </c>
      <c r="BH277" s="75">
        <f>BG277*(1-PARAM!$C$27)*$I$17+(MOD($B277,60)=PARAM!$B$56)*($B277&gt;(60-PARAM!$B$56))*HLOOKUP(($B277+PARAM!$B$56)/12,Loyalty,2)*$F$1*MAX(BJ276,0)</f>
        <v>18.557001321003963</v>
      </c>
      <c r="BI277" s="75">
        <f>PARAM!$C$26+MAX($G$17-CHOOSE(PARAM!$B$44,MAX(0,BJ276*$F$1),0),0)*RATES!$L253/12+$H$17*(PARAM!$D$51/12)*RATES!$N253/100</f>
        <v>19.955026436066504</v>
      </c>
      <c r="BJ277" s="16">
        <f t="shared" si="169"/>
        <v>696.31702081953381</v>
      </c>
      <c r="BK277" s="15">
        <f t="shared" si="144"/>
        <v>22.170849845882874</v>
      </c>
      <c r="BL277" s="75">
        <f>BK277*(1-PARAM!$C$27)*$I$18+(MOD($B277,60)=PARAM!$B$56)*($B277&gt;(60-PARAM!$B$56))*HLOOKUP(($B277+PARAM!$B$56)/12,Loyalty,2)*$F$1*MAX(BN276,0)</f>
        <v>18.557001321003963</v>
      </c>
      <c r="BM277" s="75">
        <f>PARAM!$C$26+MAX($G$18-CHOOSE(PARAM!$B$44,MAX(0,BN276*$F$1),0),0)*RATES!$L253/12+$H$18*(PARAM!$D$51/12)*RATES!$N253/100</f>
        <v>19.955026436066504</v>
      </c>
      <c r="BN277" s="16">
        <f t="shared" si="170"/>
        <v>696.31702081953381</v>
      </c>
      <c r="BO277" s="15">
        <f t="shared" si="145"/>
        <v>22.170849845882874</v>
      </c>
      <c r="BP277" s="75">
        <f>BO277*(1-PARAM!$C$27)*$I$19+(MOD($B277,60)=PARAM!$B$56)*($B277&gt;(60-PARAM!$B$56))*HLOOKUP(($B277+PARAM!$B$56)/12,Loyalty,2)*$F$1*MAX(BR276,0)</f>
        <v>18.557001321003963</v>
      </c>
      <c r="BQ277" s="75">
        <f>PARAM!$C$26+MAX($G$19-CHOOSE(PARAM!$B$44,MAX(0,BR276*$F$1),0),0)*RATES!$L253/12+$H$19*(PARAM!$D$51/12)*RATES!$N253/100</f>
        <v>19.955026436066504</v>
      </c>
      <c r="BR277" s="16">
        <f t="shared" si="171"/>
        <v>696.31702081953381</v>
      </c>
      <c r="BS277" s="15">
        <f t="shared" si="146"/>
        <v>22.170849845882874</v>
      </c>
      <c r="BT277" s="75">
        <f>BS277*(1-PARAM!$C$27)*$I$20+(MOD($B277,60)=PARAM!$B$56)*($B277&gt;(60-PARAM!$B$56))*HLOOKUP(($B277+PARAM!$B$56)/12,Loyalty,2)*$F$1*MAX(BV276,0)</f>
        <v>18.557001321003963</v>
      </c>
      <c r="BU277" s="75">
        <f>PARAM!$C$26+MAX($G$20-CHOOSE(PARAM!$B$44,MAX(0,BV276*$F$1),0),0)*RATES!$L253/12+$H$20*(PARAM!$D$51/12)*RATES!$N253/100</f>
        <v>19.955026436066504</v>
      </c>
      <c r="BV277" s="16">
        <f t="shared" si="172"/>
        <v>696.31702081953381</v>
      </c>
      <c r="BW277" s="15">
        <f t="shared" si="147"/>
        <v>22.170849845882874</v>
      </c>
      <c r="BX277" s="75">
        <f>BW277*(1-PARAM!$C$27)*$I$21+(MOD($B277,60)=PARAM!$B$56)*($B277&gt;(60-PARAM!$B$56))*HLOOKUP(($B277+PARAM!$B$56)/12,Loyalty,2)*$F$1*MAX(BZ276,0)</f>
        <v>18.557001321003963</v>
      </c>
      <c r="BY277" s="75">
        <f>PARAM!$C$26+MAX($G$21-CHOOSE(PARAM!$B$44,MAX(0,BZ276*$F$1),0),0)*RATES!$L253/12+$H$21*(PARAM!$D$51/12)*RATES!$N253/100</f>
        <v>19.955026436066504</v>
      </c>
      <c r="BZ277" s="16">
        <f t="shared" si="173"/>
        <v>696.31702081953381</v>
      </c>
      <c r="CA277" s="15">
        <f t="shared" si="148"/>
        <v>22.170849845882874</v>
      </c>
      <c r="CB277" s="75">
        <f>CA277*(1-PARAM!$C$27)*$I$22+(MOD($B277,60)=PARAM!$B$56)*($B277&gt;(60-PARAM!$B$56))*HLOOKUP(($B277+PARAM!$B$56)/12,Loyalty,2)*$F$1*MAX(CD276,0)</f>
        <v>18.557001321003963</v>
      </c>
      <c r="CC277" s="75">
        <f>PARAM!$C$26+MAX($G$22-CHOOSE(PARAM!$B$44,MAX(0,CD276*$F$1),0),0)*RATES!$L253/12+$H$22*(PARAM!$D$51/12)*RATES!$N253/100</f>
        <v>19.955026436066504</v>
      </c>
      <c r="CD277" s="16">
        <f t="shared" si="174"/>
        <v>696.31702081953381</v>
      </c>
      <c r="CE277" s="33">
        <f>IF(0=MOD(B277,12/PARAM!$D$51),1,0)</f>
        <v>1</v>
      </c>
      <c r="CF277" s="15">
        <f t="shared" si="149"/>
        <v>0</v>
      </c>
      <c r="CG277" s="75">
        <f>CF277*(1-PARAM!$C$27)*$R$3+(MOD($B277/12,5)=0)*($B277&gt;60)*HLOOKUP($B277/12,Loyalty,2)*$F$1*MAX(CI276,0)</f>
        <v>0</v>
      </c>
      <c r="CH277" s="75">
        <f>PARAM!$C$26+MAX($P$3-CHOOSE(PARAM!$B$44,MAX(0,CI276*$F$1),0),0)*RATES!$L253/12+$Q$3*(PARAM!$D$51/12)*RATES!$N253/100</f>
        <v>20.166666666666664</v>
      </c>
      <c r="CI277" s="16">
        <f>IF(CI276&gt;0,CI276*PARAM!$C$53,CI276)+CG277-CH277</f>
        <v>-3794.8333333333276</v>
      </c>
      <c r="CJ277" s="15">
        <f t="shared" si="175"/>
        <v>0</v>
      </c>
      <c r="CK277" s="75">
        <f>CJ277*(1-PARAM!$C$27)*$R$4+(MOD($B277/12,5)=0)*($B277&gt;60)*HLOOKUP($B277/12,Loyalty,2)*$F$1*MAX(CM276,0)</f>
        <v>0</v>
      </c>
      <c r="CL277" s="75">
        <f>PARAM!$C$26+MAX($P$4-CHOOSE(PARAM!$B$44,MAX(0,CM276*$F$1),0),0)*RATES!$L253/12+$Q$4*(PARAM!$D$51/12)*RATES!$N253/100</f>
        <v>20.166666666666664</v>
      </c>
      <c r="CM277" s="16">
        <f>IF(CM276&gt;0,CM276*PARAM!$C$53,CM276)+CK277-CL277</f>
        <v>-3794.8333333333276</v>
      </c>
      <c r="CO277" s="176"/>
    </row>
    <row r="278" spans="1:93" x14ac:dyDescent="0.2">
      <c r="A278" t="b">
        <f t="shared" si="150"/>
        <v>1</v>
      </c>
      <c r="B278" s="33">
        <v>251</v>
      </c>
      <c r="C278" s="15">
        <f t="shared" si="151"/>
        <v>20.081305947392778</v>
      </c>
      <c r="D278" s="75">
        <f>C278*(1-PARAM!$C$27)*$I$3+(MOD($B278,60)=PARAM!$B$56)*($B278&gt;(60-PARAM!$B$56))*HLOOKUP(($B278+PARAM!$B$56)/12,Loyalty,2)*$F$1*MAX(F277,0)</f>
        <v>16.808053077967756</v>
      </c>
      <c r="E278" s="75">
        <f>PARAM!$C$26+MAX($G$3-CHOOSE(PARAM!$B$44,MAX(0,F277*$F$1),0),0)*RATES!$L254/12+$H$3*(PARAM!$D$51/12)*RATES!$N254/100</f>
        <v>20.09122375300349</v>
      </c>
      <c r="F278" s="16">
        <f t="shared" si="152"/>
        <v>245.42973151127336</v>
      </c>
      <c r="G278" s="15">
        <f t="shared" si="153"/>
        <v>22.035289406060361</v>
      </c>
      <c r="H278" s="75">
        <f>G278*(1-PARAM!$C$27)*$I$4+(MOD($B278,60)=PARAM!$B$56)*($B278&gt;(60-PARAM!$B$56))*HLOOKUP(($B278+PARAM!$B$56)/12,Loyalty,2)*$F$1*MAX(J277,0)</f>
        <v>18.443537232872522</v>
      </c>
      <c r="I278" s="75">
        <f>PARAM!$C$26+MAX($G$4-CHOOSE(PARAM!$B$44,MAX(0,J277*$F$1),0),0)*RATES!$L254/12+$H$4*(PARAM!$D$51/12)*RATES!$N254/100</f>
        <v>19.964263721326262</v>
      </c>
      <c r="J278" s="16">
        <f t="shared" si="154"/>
        <v>665.74173067771585</v>
      </c>
      <c r="K278" s="15">
        <f t="shared" si="155"/>
        <v>22.170849845882874</v>
      </c>
      <c r="L278" s="75">
        <f>K278*(1-PARAM!$C$27)*$I$5+(MOD($B278,60)=PARAM!$B$56)*($B278&gt;(60-PARAM!$B$56))*HLOOKUP(($B278+PARAM!$B$56)/12,Loyalty,2)*$F$1*MAX(N277,0)</f>
        <v>18.557001321003963</v>
      </c>
      <c r="M278" s="75">
        <f>PARAM!$C$26+MAX($G$5-CHOOSE(PARAM!$B$44,MAX(0,N277*$F$1),0),0)*RATES!$L254/12+$H$5*(PARAM!$D$51/12)*RATES!$N254/100</f>
        <v>19.955450503684737</v>
      </c>
      <c r="N278" s="16">
        <f t="shared" si="156"/>
        <v>694.91857163685313</v>
      </c>
      <c r="O278" s="15">
        <f t="shared" si="157"/>
        <v>22.170849845882874</v>
      </c>
      <c r="P278" s="75">
        <f>O278*(1-PARAM!$C$27)*$I$6+(MOD($B278,60)=PARAM!$B$56)*($B278&gt;(60-PARAM!$B$56))*HLOOKUP(($B278+PARAM!$B$56)/12,Loyalty,2)*$F$1*MAX(R277,0)</f>
        <v>18.557001321003963</v>
      </c>
      <c r="Q278" s="75">
        <f>PARAM!$C$26+MAX($G$6-CHOOSE(PARAM!$B$44,MAX(0,R277*$F$1),0),0)*RATES!$L254/12+$H$6*(PARAM!$D$51/12)*RATES!$N254/100</f>
        <v>19.955450503684737</v>
      </c>
      <c r="R278" s="16">
        <f t="shared" si="158"/>
        <v>694.91857163685313</v>
      </c>
      <c r="S278" s="15">
        <f t="shared" si="133"/>
        <v>22.170849845882874</v>
      </c>
      <c r="T278" s="75">
        <f>S278*(1-PARAM!$C$27)*$I$7+(MOD($B278,60)=PARAM!$B$56)*($B278&gt;(60-PARAM!$B$56))*HLOOKUP(($B278+PARAM!$B$56)/12,Loyalty,2)*$F$1*MAX(V277,0)</f>
        <v>18.557001321003963</v>
      </c>
      <c r="U278" s="75">
        <f>PARAM!$C$26+MAX($G$7-CHOOSE(PARAM!$B$44,MAX(0,V277*$F$1),0),0)*RATES!$L254/12+$H$7*(PARAM!$D$51/12)*RATES!$N254/100</f>
        <v>19.955450503684737</v>
      </c>
      <c r="V278" s="16">
        <f t="shared" si="159"/>
        <v>694.91857163685313</v>
      </c>
      <c r="W278" s="15">
        <f t="shared" si="134"/>
        <v>22.170849845882874</v>
      </c>
      <c r="X278" s="75">
        <f>W278*(1-PARAM!$C$27)*$I$8+(MOD($B278,60)=PARAM!$B$56)*($B278&gt;(60-PARAM!$B$56))*HLOOKUP(($B278+PARAM!$B$56)/12,Loyalty,2)*$F$1*MAX(Z277,0)</f>
        <v>18.557001321003963</v>
      </c>
      <c r="Y278" s="75">
        <f>PARAM!$C$26+MAX($G$8-CHOOSE(PARAM!$B$44,MAX(0,Z277*$F$1),0),0)*RATES!$L254/12+$H$8*(PARAM!$D$51/12)*RATES!$N254/100</f>
        <v>19.955450503684737</v>
      </c>
      <c r="Z278" s="16">
        <f t="shared" si="160"/>
        <v>694.91857163685313</v>
      </c>
      <c r="AA278" s="15">
        <f t="shared" si="135"/>
        <v>22.170849845882874</v>
      </c>
      <c r="AB278" s="75">
        <f>AA278*(1-PARAM!$C$27)*$I$9+(MOD($B278,60)=PARAM!$B$56)*($B278&gt;(60-PARAM!$B$56))*HLOOKUP(($B278+PARAM!$B$56)/12,Loyalty,2)*$F$1*MAX(AD277,0)</f>
        <v>18.557001321003963</v>
      </c>
      <c r="AC278" s="75">
        <f>PARAM!$C$26+MAX($G$9-CHOOSE(PARAM!$B$44,MAX(0,AD277*$F$1),0),0)*RATES!$L254/12+$H$9*(PARAM!$D$51/12)*RATES!$N254/100</f>
        <v>19.955450503684737</v>
      </c>
      <c r="AD278" s="16">
        <f t="shared" si="161"/>
        <v>694.91857163685313</v>
      </c>
      <c r="AE278" s="15">
        <f t="shared" si="136"/>
        <v>22.170849845882874</v>
      </c>
      <c r="AF278" s="75">
        <f>AE278*(1-PARAM!$C$27)*$I$10+(MOD($B278,60)=PARAM!$B$56)*($B278&gt;(60-PARAM!$B$56))*HLOOKUP(($B278+PARAM!$B$56)/12,Loyalty,2)*$F$1*MAX(AH277,0)</f>
        <v>18.557001321003963</v>
      </c>
      <c r="AG278" s="75">
        <f>PARAM!$C$26+MAX($G$10-CHOOSE(PARAM!$B$44,MAX(0,AH277*$F$1),0),0)*RATES!$L254/12+$H$10*(PARAM!$D$51/12)*RATES!$N254/100</f>
        <v>19.955450503684737</v>
      </c>
      <c r="AH278" s="16">
        <f t="shared" si="162"/>
        <v>694.91857163685313</v>
      </c>
      <c r="AI278" s="15">
        <f t="shared" si="137"/>
        <v>22.170849845882874</v>
      </c>
      <c r="AJ278" s="75">
        <f>AI278*(1-PARAM!$C$27)*$I$11+(MOD($B278,60)=PARAM!$B$56)*($B278&gt;(60-PARAM!$B$56))*HLOOKUP(($B278+PARAM!$B$56)/12,Loyalty,2)*$F$1*MAX(AL277,0)</f>
        <v>18.557001321003963</v>
      </c>
      <c r="AK278" s="75">
        <f>PARAM!$C$26+MAX($G$11-CHOOSE(PARAM!$B$44,MAX(0,AL277*$F$1),0),0)*RATES!$L254/12+$H$11*(PARAM!$D$51/12)*RATES!$N254/100</f>
        <v>19.955450503684737</v>
      </c>
      <c r="AL278" s="16">
        <f t="shared" si="163"/>
        <v>694.91857163685313</v>
      </c>
      <c r="AM278" s="15">
        <f t="shared" si="138"/>
        <v>22.170849845882874</v>
      </c>
      <c r="AN278" s="75">
        <f>AM278*(1-PARAM!$C$27)*$I$12+(MOD($B278,60)=PARAM!$B$56)*($B278&gt;(60-PARAM!$B$56))*HLOOKUP(($B278+PARAM!$B$56)/12,Loyalty,2)*$F$1*MAX(AP277,0)</f>
        <v>18.557001321003963</v>
      </c>
      <c r="AO278" s="75">
        <f>PARAM!$C$26+MAX($G$12-CHOOSE(PARAM!$B$44,MAX(0,AP277*$F$1),0),0)*RATES!$L254/12+$H$12*(PARAM!$D$51/12)*RATES!$N254/100</f>
        <v>19.955450503684737</v>
      </c>
      <c r="AP278" s="16">
        <f t="shared" si="164"/>
        <v>694.91857163685313</v>
      </c>
      <c r="AQ278" s="15">
        <f t="shared" si="139"/>
        <v>22.170849845882874</v>
      </c>
      <c r="AR278" s="75">
        <f>AQ278*(1-PARAM!$C$27)*$I$13+(MOD($B278,60)=PARAM!$B$56)*($B278&gt;(60-PARAM!$B$56))*HLOOKUP(($B278+PARAM!$B$56)/12,Loyalty,2)*$F$1*MAX(AT277,0)</f>
        <v>18.557001321003963</v>
      </c>
      <c r="AS278" s="75">
        <f>PARAM!$C$26+MAX($G$13-CHOOSE(PARAM!$B$44,MAX(0,AT277*$F$1),0),0)*RATES!$L254/12+$H$13*(PARAM!$D$51/12)*RATES!$N254/100</f>
        <v>19.955450503684737</v>
      </c>
      <c r="AT278" s="16">
        <f t="shared" si="165"/>
        <v>694.91857163685313</v>
      </c>
      <c r="AU278" s="15">
        <f t="shared" si="140"/>
        <v>22.170849845882874</v>
      </c>
      <c r="AV278" s="75">
        <f>AU278*(1-PARAM!$C$27)*$I$14+(MOD($B278,60)=PARAM!$B$56)*($B278&gt;(60-PARAM!$B$56))*HLOOKUP(($B278+PARAM!$B$56)/12,Loyalty,2)*$F$1*MAX(AX277,0)</f>
        <v>18.557001321003963</v>
      </c>
      <c r="AW278" s="75">
        <f>PARAM!$C$26+MAX($G$14-CHOOSE(PARAM!$B$44,MAX(0,AX277*$F$1),0),0)*RATES!$L254/12+$H$14*(PARAM!$D$51/12)*RATES!$N254/100</f>
        <v>19.955450503684737</v>
      </c>
      <c r="AX278" s="16">
        <f t="shared" si="166"/>
        <v>694.91857163685313</v>
      </c>
      <c r="AY278" s="15">
        <f t="shared" si="141"/>
        <v>22.170849845882874</v>
      </c>
      <c r="AZ278" s="75">
        <f>AY278*(1-PARAM!$C$27)*$I$15+(MOD($B278,60)=PARAM!$B$56)*($B278&gt;(60-PARAM!$B$56))*HLOOKUP(($B278+PARAM!$B$56)/12,Loyalty,2)*$F$1*MAX(BB277,0)</f>
        <v>18.557001321003963</v>
      </c>
      <c r="BA278" s="75">
        <f>PARAM!$C$26+MAX($G$15-CHOOSE(PARAM!$B$44,MAX(0,BB277*$F$1),0),0)*RATES!$L254/12+$H$15*(PARAM!$D$51/12)*RATES!$N254/100</f>
        <v>19.955450503684737</v>
      </c>
      <c r="BB278" s="16">
        <f t="shared" si="167"/>
        <v>694.91857163685313</v>
      </c>
      <c r="BC278" s="15">
        <f t="shared" si="142"/>
        <v>22.170849845882874</v>
      </c>
      <c r="BD278" s="75">
        <f>BC278*(1-PARAM!$C$27)*$I$16+(MOD($B278,60)=PARAM!$B$56)*($B278&gt;(60-PARAM!$B$56))*HLOOKUP(($B278+PARAM!$B$56)/12,Loyalty,2)*$F$1*MAX(BF277,0)</f>
        <v>18.557001321003963</v>
      </c>
      <c r="BE278" s="75">
        <f>PARAM!$C$26+MAX($G$16-CHOOSE(PARAM!$B$44,MAX(0,BF277*$F$1),0),0)*RATES!$L254/12+$H$16*(PARAM!$D$51/12)*RATES!$N254/100</f>
        <v>19.955450503684737</v>
      </c>
      <c r="BF278" s="16">
        <f t="shared" si="168"/>
        <v>694.91857163685313</v>
      </c>
      <c r="BG278" s="15">
        <f t="shared" si="143"/>
        <v>22.170849845882874</v>
      </c>
      <c r="BH278" s="75">
        <f>BG278*(1-PARAM!$C$27)*$I$17+(MOD($B278,60)=PARAM!$B$56)*($B278&gt;(60-PARAM!$B$56))*HLOOKUP(($B278+PARAM!$B$56)/12,Loyalty,2)*$F$1*MAX(BJ277,0)</f>
        <v>18.557001321003963</v>
      </c>
      <c r="BI278" s="75">
        <f>PARAM!$C$26+MAX($G$17-CHOOSE(PARAM!$B$44,MAX(0,BJ277*$F$1),0),0)*RATES!$L254/12+$H$17*(PARAM!$D$51/12)*RATES!$N254/100</f>
        <v>19.955450503684737</v>
      </c>
      <c r="BJ278" s="16">
        <f t="shared" si="169"/>
        <v>694.91857163685313</v>
      </c>
      <c r="BK278" s="15">
        <f t="shared" si="144"/>
        <v>22.170849845882874</v>
      </c>
      <c r="BL278" s="75">
        <f>BK278*(1-PARAM!$C$27)*$I$18+(MOD($B278,60)=PARAM!$B$56)*($B278&gt;(60-PARAM!$B$56))*HLOOKUP(($B278+PARAM!$B$56)/12,Loyalty,2)*$F$1*MAX(BN277,0)</f>
        <v>18.557001321003963</v>
      </c>
      <c r="BM278" s="75">
        <f>PARAM!$C$26+MAX($G$18-CHOOSE(PARAM!$B$44,MAX(0,BN277*$F$1),0),0)*RATES!$L254/12+$H$18*(PARAM!$D$51/12)*RATES!$N254/100</f>
        <v>19.955450503684737</v>
      </c>
      <c r="BN278" s="16">
        <f t="shared" si="170"/>
        <v>694.91857163685313</v>
      </c>
      <c r="BO278" s="15">
        <f t="shared" si="145"/>
        <v>22.170849845882874</v>
      </c>
      <c r="BP278" s="75">
        <f>BO278*(1-PARAM!$C$27)*$I$19+(MOD($B278,60)=PARAM!$B$56)*($B278&gt;(60-PARAM!$B$56))*HLOOKUP(($B278+PARAM!$B$56)/12,Loyalty,2)*$F$1*MAX(BR277,0)</f>
        <v>18.557001321003963</v>
      </c>
      <c r="BQ278" s="75">
        <f>PARAM!$C$26+MAX($G$19-CHOOSE(PARAM!$B$44,MAX(0,BR277*$F$1),0),0)*RATES!$L254/12+$H$19*(PARAM!$D$51/12)*RATES!$N254/100</f>
        <v>19.955450503684737</v>
      </c>
      <c r="BR278" s="16">
        <f t="shared" si="171"/>
        <v>694.91857163685313</v>
      </c>
      <c r="BS278" s="15">
        <f t="shared" si="146"/>
        <v>22.170849845882874</v>
      </c>
      <c r="BT278" s="75">
        <f>BS278*(1-PARAM!$C$27)*$I$20+(MOD($B278,60)=PARAM!$B$56)*($B278&gt;(60-PARAM!$B$56))*HLOOKUP(($B278+PARAM!$B$56)/12,Loyalty,2)*$F$1*MAX(BV277,0)</f>
        <v>18.557001321003963</v>
      </c>
      <c r="BU278" s="75">
        <f>PARAM!$C$26+MAX($G$20-CHOOSE(PARAM!$B$44,MAX(0,BV277*$F$1),0),0)*RATES!$L254/12+$H$20*(PARAM!$D$51/12)*RATES!$N254/100</f>
        <v>19.955450503684737</v>
      </c>
      <c r="BV278" s="16">
        <f t="shared" si="172"/>
        <v>694.91857163685313</v>
      </c>
      <c r="BW278" s="15">
        <f t="shared" si="147"/>
        <v>22.170849845882874</v>
      </c>
      <c r="BX278" s="75">
        <f>BW278*(1-PARAM!$C$27)*$I$21+(MOD($B278,60)=PARAM!$B$56)*($B278&gt;(60-PARAM!$B$56))*HLOOKUP(($B278+PARAM!$B$56)/12,Loyalty,2)*$F$1*MAX(BZ277,0)</f>
        <v>18.557001321003963</v>
      </c>
      <c r="BY278" s="75">
        <f>PARAM!$C$26+MAX($G$21-CHOOSE(PARAM!$B$44,MAX(0,BZ277*$F$1),0),0)*RATES!$L254/12+$H$21*(PARAM!$D$51/12)*RATES!$N254/100</f>
        <v>19.955450503684737</v>
      </c>
      <c r="BZ278" s="16">
        <f t="shared" si="173"/>
        <v>694.91857163685313</v>
      </c>
      <c r="CA278" s="15">
        <f t="shared" si="148"/>
        <v>22.170849845882874</v>
      </c>
      <c r="CB278" s="75">
        <f>CA278*(1-PARAM!$C$27)*$I$22+(MOD($B278,60)=PARAM!$B$56)*($B278&gt;(60-PARAM!$B$56))*HLOOKUP(($B278+PARAM!$B$56)/12,Loyalty,2)*$F$1*MAX(CD277,0)</f>
        <v>18.557001321003963</v>
      </c>
      <c r="CC278" s="75">
        <f>PARAM!$C$26+MAX($G$22-CHOOSE(PARAM!$B$44,MAX(0,CD277*$F$1),0),0)*RATES!$L254/12+$H$22*(PARAM!$D$51/12)*RATES!$N254/100</f>
        <v>19.955450503684737</v>
      </c>
      <c r="CD278" s="16">
        <f t="shared" si="174"/>
        <v>694.91857163685313</v>
      </c>
      <c r="CE278" s="33">
        <f>IF(0=MOD(B278,12/PARAM!$D$51),1,0)</f>
        <v>1</v>
      </c>
      <c r="CF278" s="15">
        <f t="shared" si="149"/>
        <v>0</v>
      </c>
      <c r="CG278" s="75">
        <f>CF278*(1-PARAM!$C$27)*$R$3+(MOD($B278/12,5)=0)*($B278&gt;60)*HLOOKUP($B278/12,Loyalty,2)*$F$1*MAX(CI277,0)</f>
        <v>0</v>
      </c>
      <c r="CH278" s="75">
        <f>PARAM!$C$26+MAX($P$3-CHOOSE(PARAM!$B$44,MAX(0,CI277*$F$1),0),0)*RATES!$L254/12+$Q$3*(PARAM!$D$51/12)*RATES!$N254/100</f>
        <v>20.166666666666664</v>
      </c>
      <c r="CI278" s="16">
        <f>IF(CI277&gt;0,CI277*PARAM!$C$53,CI277)+CG278-CH278</f>
        <v>-3814.9999999999941</v>
      </c>
      <c r="CJ278" s="15">
        <f t="shared" si="175"/>
        <v>0</v>
      </c>
      <c r="CK278" s="75">
        <f>CJ278*(1-PARAM!$C$27)*$R$4+(MOD($B278/12,5)=0)*($B278&gt;60)*HLOOKUP($B278/12,Loyalty,2)*$F$1*MAX(CM277,0)</f>
        <v>0</v>
      </c>
      <c r="CL278" s="75">
        <f>PARAM!$C$26+MAX($P$4-CHOOSE(PARAM!$B$44,MAX(0,CM277*$F$1),0),0)*RATES!$L254/12+$Q$4*(PARAM!$D$51/12)*RATES!$N254/100</f>
        <v>20.166666666666664</v>
      </c>
      <c r="CM278" s="16">
        <f>IF(CM277&gt;0,CM277*PARAM!$C$53,CM277)+CK278-CL278</f>
        <v>-3814.9999999999941</v>
      </c>
      <c r="CO278" s="176"/>
    </row>
    <row r="279" spans="1:93" x14ac:dyDescent="0.2">
      <c r="A279" t="b">
        <f t="shared" si="150"/>
        <v>1</v>
      </c>
      <c r="B279" s="33">
        <v>252</v>
      </c>
      <c r="C279" s="15">
        <f t="shared" si="151"/>
        <v>20.081305947392778</v>
      </c>
      <c r="D279" s="75">
        <f>C279*(1-PARAM!$C$27)*$I$3+(MOD($B279,60)=PARAM!$B$56)*($B279&gt;(60-PARAM!$B$56))*HLOOKUP(($B279+PARAM!$B$56)/12,Loyalty,2)*$F$1*MAX(F278,0)</f>
        <v>16.808053077967756</v>
      </c>
      <c r="E279" s="75">
        <f>PARAM!$C$26+MAX($G$3-CHOOSE(PARAM!$B$44,MAX(0,F278*$F$1),0),0)*RATES!$L255/12+$H$3*(PARAM!$D$51/12)*RATES!$N255/100</f>
        <v>20.092219648108248</v>
      </c>
      <c r="F279" s="16">
        <f t="shared" si="152"/>
        <v>242.14556494113287</v>
      </c>
      <c r="G279" s="15">
        <f t="shared" si="153"/>
        <v>22.035289406060361</v>
      </c>
      <c r="H279" s="75">
        <f>G279*(1-PARAM!$C$27)*$I$4+(MOD($B279,60)=PARAM!$B$56)*($B279&gt;(60-PARAM!$B$56))*HLOOKUP(($B279+PARAM!$B$56)/12,Loyalty,2)*$F$1*MAX(J278,0)</f>
        <v>18.443537232872522</v>
      </c>
      <c r="I279" s="75">
        <f>PARAM!$C$26+MAX($G$4-CHOOSE(PARAM!$B$44,MAX(0,J278*$F$1),0),0)*RATES!$L255/12+$H$4*(PARAM!$D$51/12)*RATES!$N255/100</f>
        <v>19.964725008361093</v>
      </c>
      <c r="J279" s="16">
        <f t="shared" si="154"/>
        <v>664.22054290222718</v>
      </c>
      <c r="K279" s="15">
        <f t="shared" si="155"/>
        <v>22.170849845882874</v>
      </c>
      <c r="L279" s="75">
        <f>K279*(1-PARAM!$C$27)*$I$5+(MOD($B279,60)=PARAM!$B$56)*($B279&gt;(60-PARAM!$B$56))*HLOOKUP(($B279+PARAM!$B$56)/12,Loyalty,2)*$F$1*MAX(N278,0)</f>
        <v>18.557001321003963</v>
      </c>
      <c r="M279" s="75">
        <f>PARAM!$C$26+MAX($G$5-CHOOSE(PARAM!$B$44,MAX(0,N278*$F$1),0),0)*RATES!$L255/12+$H$5*(PARAM!$D$51/12)*RATES!$N255/100</f>
        <v>19.955874699936821</v>
      </c>
      <c r="N279" s="16">
        <f t="shared" si="156"/>
        <v>693.51969825792037</v>
      </c>
      <c r="O279" s="15">
        <f t="shared" si="157"/>
        <v>22.170849845882874</v>
      </c>
      <c r="P279" s="75">
        <f>O279*(1-PARAM!$C$27)*$I$6+(MOD($B279,60)=PARAM!$B$56)*($B279&gt;(60-PARAM!$B$56))*HLOOKUP(($B279+PARAM!$B$56)/12,Loyalty,2)*$F$1*MAX(R278,0)</f>
        <v>18.557001321003963</v>
      </c>
      <c r="Q279" s="75">
        <f>PARAM!$C$26+MAX($G$6-CHOOSE(PARAM!$B$44,MAX(0,R278*$F$1),0),0)*RATES!$L255/12+$H$6*(PARAM!$D$51/12)*RATES!$N255/100</f>
        <v>19.955874699936821</v>
      </c>
      <c r="R279" s="16">
        <f t="shared" si="158"/>
        <v>693.51969825792037</v>
      </c>
      <c r="S279" s="15">
        <f t="shared" si="133"/>
        <v>22.170849845882874</v>
      </c>
      <c r="T279" s="75">
        <f>S279*(1-PARAM!$C$27)*$I$7+(MOD($B279,60)=PARAM!$B$56)*($B279&gt;(60-PARAM!$B$56))*HLOOKUP(($B279+PARAM!$B$56)/12,Loyalty,2)*$F$1*MAX(V278,0)</f>
        <v>18.557001321003963</v>
      </c>
      <c r="U279" s="75">
        <f>PARAM!$C$26+MAX($G$7-CHOOSE(PARAM!$B$44,MAX(0,V278*$F$1),0),0)*RATES!$L255/12+$H$7*(PARAM!$D$51/12)*RATES!$N255/100</f>
        <v>19.955874699936821</v>
      </c>
      <c r="V279" s="16">
        <f t="shared" si="159"/>
        <v>693.51969825792037</v>
      </c>
      <c r="W279" s="15">
        <f t="shared" si="134"/>
        <v>22.170849845882874</v>
      </c>
      <c r="X279" s="75">
        <f>W279*(1-PARAM!$C$27)*$I$8+(MOD($B279,60)=PARAM!$B$56)*($B279&gt;(60-PARAM!$B$56))*HLOOKUP(($B279+PARAM!$B$56)/12,Loyalty,2)*$F$1*MAX(Z278,0)</f>
        <v>18.557001321003963</v>
      </c>
      <c r="Y279" s="75">
        <f>PARAM!$C$26+MAX($G$8-CHOOSE(PARAM!$B$44,MAX(0,Z278*$F$1),0),0)*RATES!$L255/12+$H$8*(PARAM!$D$51/12)*RATES!$N255/100</f>
        <v>19.955874699936821</v>
      </c>
      <c r="Z279" s="16">
        <f t="shared" si="160"/>
        <v>693.51969825792037</v>
      </c>
      <c r="AA279" s="15">
        <f t="shared" si="135"/>
        <v>22.170849845882874</v>
      </c>
      <c r="AB279" s="75">
        <f>AA279*(1-PARAM!$C$27)*$I$9+(MOD($B279,60)=PARAM!$B$56)*($B279&gt;(60-PARAM!$B$56))*HLOOKUP(($B279+PARAM!$B$56)/12,Loyalty,2)*$F$1*MAX(AD278,0)</f>
        <v>18.557001321003963</v>
      </c>
      <c r="AC279" s="75">
        <f>PARAM!$C$26+MAX($G$9-CHOOSE(PARAM!$B$44,MAX(0,AD278*$F$1),0),0)*RATES!$L255/12+$H$9*(PARAM!$D$51/12)*RATES!$N255/100</f>
        <v>19.955874699936821</v>
      </c>
      <c r="AD279" s="16">
        <f t="shared" si="161"/>
        <v>693.51969825792037</v>
      </c>
      <c r="AE279" s="15">
        <f t="shared" si="136"/>
        <v>22.170849845882874</v>
      </c>
      <c r="AF279" s="75">
        <f>AE279*(1-PARAM!$C$27)*$I$10+(MOD($B279,60)=PARAM!$B$56)*($B279&gt;(60-PARAM!$B$56))*HLOOKUP(($B279+PARAM!$B$56)/12,Loyalty,2)*$F$1*MAX(AH278,0)</f>
        <v>18.557001321003963</v>
      </c>
      <c r="AG279" s="75">
        <f>PARAM!$C$26+MAX($G$10-CHOOSE(PARAM!$B$44,MAX(0,AH278*$F$1),0),0)*RATES!$L255/12+$H$10*(PARAM!$D$51/12)*RATES!$N255/100</f>
        <v>19.955874699936821</v>
      </c>
      <c r="AH279" s="16">
        <f t="shared" si="162"/>
        <v>693.51969825792037</v>
      </c>
      <c r="AI279" s="15">
        <f t="shared" si="137"/>
        <v>22.170849845882874</v>
      </c>
      <c r="AJ279" s="75">
        <f>AI279*(1-PARAM!$C$27)*$I$11+(MOD($B279,60)=PARAM!$B$56)*($B279&gt;(60-PARAM!$B$56))*HLOOKUP(($B279+PARAM!$B$56)/12,Loyalty,2)*$F$1*MAX(AL278,0)</f>
        <v>18.557001321003963</v>
      </c>
      <c r="AK279" s="75">
        <f>PARAM!$C$26+MAX($G$11-CHOOSE(PARAM!$B$44,MAX(0,AL278*$F$1),0),0)*RATES!$L255/12+$H$11*(PARAM!$D$51/12)*RATES!$N255/100</f>
        <v>19.955874699936821</v>
      </c>
      <c r="AL279" s="16">
        <f t="shared" si="163"/>
        <v>693.51969825792037</v>
      </c>
      <c r="AM279" s="15">
        <f t="shared" si="138"/>
        <v>22.170849845882874</v>
      </c>
      <c r="AN279" s="75">
        <f>AM279*(1-PARAM!$C$27)*$I$12+(MOD($B279,60)=PARAM!$B$56)*($B279&gt;(60-PARAM!$B$56))*HLOOKUP(($B279+PARAM!$B$56)/12,Loyalty,2)*$F$1*MAX(AP278,0)</f>
        <v>18.557001321003963</v>
      </c>
      <c r="AO279" s="75">
        <f>PARAM!$C$26+MAX($G$12-CHOOSE(PARAM!$B$44,MAX(0,AP278*$F$1),0),0)*RATES!$L255/12+$H$12*(PARAM!$D$51/12)*RATES!$N255/100</f>
        <v>19.955874699936821</v>
      </c>
      <c r="AP279" s="16">
        <f t="shared" si="164"/>
        <v>693.51969825792037</v>
      </c>
      <c r="AQ279" s="15">
        <f t="shared" si="139"/>
        <v>22.170849845882874</v>
      </c>
      <c r="AR279" s="75">
        <f>AQ279*(1-PARAM!$C$27)*$I$13+(MOD($B279,60)=PARAM!$B$56)*($B279&gt;(60-PARAM!$B$56))*HLOOKUP(($B279+PARAM!$B$56)/12,Loyalty,2)*$F$1*MAX(AT278,0)</f>
        <v>18.557001321003963</v>
      </c>
      <c r="AS279" s="75">
        <f>PARAM!$C$26+MAX($G$13-CHOOSE(PARAM!$B$44,MAX(0,AT278*$F$1),0),0)*RATES!$L255/12+$H$13*(PARAM!$D$51/12)*RATES!$N255/100</f>
        <v>19.955874699936821</v>
      </c>
      <c r="AT279" s="16">
        <f t="shared" si="165"/>
        <v>693.51969825792037</v>
      </c>
      <c r="AU279" s="15">
        <f t="shared" si="140"/>
        <v>22.170849845882874</v>
      </c>
      <c r="AV279" s="75">
        <f>AU279*(1-PARAM!$C$27)*$I$14+(MOD($B279,60)=PARAM!$B$56)*($B279&gt;(60-PARAM!$B$56))*HLOOKUP(($B279+PARAM!$B$56)/12,Loyalty,2)*$F$1*MAX(AX278,0)</f>
        <v>18.557001321003963</v>
      </c>
      <c r="AW279" s="75">
        <f>PARAM!$C$26+MAX($G$14-CHOOSE(PARAM!$B$44,MAX(0,AX278*$F$1),0),0)*RATES!$L255/12+$H$14*(PARAM!$D$51/12)*RATES!$N255/100</f>
        <v>19.955874699936821</v>
      </c>
      <c r="AX279" s="16">
        <f t="shared" si="166"/>
        <v>693.51969825792037</v>
      </c>
      <c r="AY279" s="15">
        <f t="shared" si="141"/>
        <v>22.170849845882874</v>
      </c>
      <c r="AZ279" s="75">
        <f>AY279*(1-PARAM!$C$27)*$I$15+(MOD($B279,60)=PARAM!$B$56)*($B279&gt;(60-PARAM!$B$56))*HLOOKUP(($B279+PARAM!$B$56)/12,Loyalty,2)*$F$1*MAX(BB278,0)</f>
        <v>18.557001321003963</v>
      </c>
      <c r="BA279" s="75">
        <f>PARAM!$C$26+MAX($G$15-CHOOSE(PARAM!$B$44,MAX(0,BB278*$F$1),0),0)*RATES!$L255/12+$H$15*(PARAM!$D$51/12)*RATES!$N255/100</f>
        <v>19.955874699936821</v>
      </c>
      <c r="BB279" s="16">
        <f t="shared" si="167"/>
        <v>693.51969825792037</v>
      </c>
      <c r="BC279" s="15">
        <f t="shared" si="142"/>
        <v>22.170849845882874</v>
      </c>
      <c r="BD279" s="75">
        <f>BC279*(1-PARAM!$C$27)*$I$16+(MOD($B279,60)=PARAM!$B$56)*($B279&gt;(60-PARAM!$B$56))*HLOOKUP(($B279+PARAM!$B$56)/12,Loyalty,2)*$F$1*MAX(BF278,0)</f>
        <v>18.557001321003963</v>
      </c>
      <c r="BE279" s="75">
        <f>PARAM!$C$26+MAX($G$16-CHOOSE(PARAM!$B$44,MAX(0,BF278*$F$1),0),0)*RATES!$L255/12+$H$16*(PARAM!$D$51/12)*RATES!$N255/100</f>
        <v>19.955874699936821</v>
      </c>
      <c r="BF279" s="16">
        <f t="shared" si="168"/>
        <v>693.51969825792037</v>
      </c>
      <c r="BG279" s="15">
        <f t="shared" si="143"/>
        <v>22.170849845882874</v>
      </c>
      <c r="BH279" s="75">
        <f>BG279*(1-PARAM!$C$27)*$I$17+(MOD($B279,60)=PARAM!$B$56)*($B279&gt;(60-PARAM!$B$56))*HLOOKUP(($B279+PARAM!$B$56)/12,Loyalty,2)*$F$1*MAX(BJ278,0)</f>
        <v>18.557001321003963</v>
      </c>
      <c r="BI279" s="75">
        <f>PARAM!$C$26+MAX($G$17-CHOOSE(PARAM!$B$44,MAX(0,BJ278*$F$1),0),0)*RATES!$L255/12+$H$17*(PARAM!$D$51/12)*RATES!$N255/100</f>
        <v>19.955874699936821</v>
      </c>
      <c r="BJ279" s="16">
        <f t="shared" si="169"/>
        <v>693.51969825792037</v>
      </c>
      <c r="BK279" s="15">
        <f t="shared" si="144"/>
        <v>22.170849845882874</v>
      </c>
      <c r="BL279" s="75">
        <f>BK279*(1-PARAM!$C$27)*$I$18+(MOD($B279,60)=PARAM!$B$56)*($B279&gt;(60-PARAM!$B$56))*HLOOKUP(($B279+PARAM!$B$56)/12,Loyalty,2)*$F$1*MAX(BN278,0)</f>
        <v>18.557001321003963</v>
      </c>
      <c r="BM279" s="75">
        <f>PARAM!$C$26+MAX($G$18-CHOOSE(PARAM!$B$44,MAX(0,BN278*$F$1),0),0)*RATES!$L255/12+$H$18*(PARAM!$D$51/12)*RATES!$N255/100</f>
        <v>19.955874699936821</v>
      </c>
      <c r="BN279" s="16">
        <f t="shared" si="170"/>
        <v>693.51969825792037</v>
      </c>
      <c r="BO279" s="15">
        <f t="shared" si="145"/>
        <v>22.170849845882874</v>
      </c>
      <c r="BP279" s="75">
        <f>BO279*(1-PARAM!$C$27)*$I$19+(MOD($B279,60)=PARAM!$B$56)*($B279&gt;(60-PARAM!$B$56))*HLOOKUP(($B279+PARAM!$B$56)/12,Loyalty,2)*$F$1*MAX(BR278,0)</f>
        <v>18.557001321003963</v>
      </c>
      <c r="BQ279" s="75">
        <f>PARAM!$C$26+MAX($G$19-CHOOSE(PARAM!$B$44,MAX(0,BR278*$F$1),0),0)*RATES!$L255/12+$H$19*(PARAM!$D$51/12)*RATES!$N255/100</f>
        <v>19.955874699936821</v>
      </c>
      <c r="BR279" s="16">
        <f t="shared" si="171"/>
        <v>693.51969825792037</v>
      </c>
      <c r="BS279" s="15">
        <f t="shared" si="146"/>
        <v>22.170849845882874</v>
      </c>
      <c r="BT279" s="75">
        <f>BS279*(1-PARAM!$C$27)*$I$20+(MOD($B279,60)=PARAM!$B$56)*($B279&gt;(60-PARAM!$B$56))*HLOOKUP(($B279+PARAM!$B$56)/12,Loyalty,2)*$F$1*MAX(BV278,0)</f>
        <v>18.557001321003963</v>
      </c>
      <c r="BU279" s="75">
        <f>PARAM!$C$26+MAX($G$20-CHOOSE(PARAM!$B$44,MAX(0,BV278*$F$1),0),0)*RATES!$L255/12+$H$20*(PARAM!$D$51/12)*RATES!$N255/100</f>
        <v>19.955874699936821</v>
      </c>
      <c r="BV279" s="16">
        <f t="shared" si="172"/>
        <v>693.51969825792037</v>
      </c>
      <c r="BW279" s="15">
        <f t="shared" si="147"/>
        <v>22.170849845882874</v>
      </c>
      <c r="BX279" s="75">
        <f>BW279*(1-PARAM!$C$27)*$I$21+(MOD($B279,60)=PARAM!$B$56)*($B279&gt;(60-PARAM!$B$56))*HLOOKUP(($B279+PARAM!$B$56)/12,Loyalty,2)*$F$1*MAX(BZ278,0)</f>
        <v>18.557001321003963</v>
      </c>
      <c r="BY279" s="75">
        <f>PARAM!$C$26+MAX($G$21-CHOOSE(PARAM!$B$44,MAX(0,BZ278*$F$1),0),0)*RATES!$L255/12+$H$21*(PARAM!$D$51/12)*RATES!$N255/100</f>
        <v>19.955874699936821</v>
      </c>
      <c r="BZ279" s="16">
        <f t="shared" si="173"/>
        <v>693.51969825792037</v>
      </c>
      <c r="CA279" s="15">
        <f t="shared" si="148"/>
        <v>22.170849845882874</v>
      </c>
      <c r="CB279" s="75">
        <f>CA279*(1-PARAM!$C$27)*$I$22+(MOD($B279,60)=PARAM!$B$56)*($B279&gt;(60-PARAM!$B$56))*HLOOKUP(($B279+PARAM!$B$56)/12,Loyalty,2)*$F$1*MAX(CD278,0)</f>
        <v>18.557001321003963</v>
      </c>
      <c r="CC279" s="75">
        <f>PARAM!$C$26+MAX($G$22-CHOOSE(PARAM!$B$44,MAX(0,CD278*$F$1),0),0)*RATES!$L255/12+$H$22*(PARAM!$D$51/12)*RATES!$N255/100</f>
        <v>19.955874699936821</v>
      </c>
      <c r="CD279" s="16">
        <f t="shared" si="174"/>
        <v>693.51969825792037</v>
      </c>
      <c r="CE279" s="33">
        <f>IF(0=MOD(B279,12/PARAM!$D$51),1,0)</f>
        <v>1</v>
      </c>
      <c r="CF279" s="15">
        <f t="shared" si="149"/>
        <v>0</v>
      </c>
      <c r="CG279" s="75">
        <f>CF279*(1-PARAM!$C$27)*$R$3+(MOD($B279/12,5)=0)*($B279&gt;60)*HLOOKUP($B279/12,Loyalty,2)*$F$1*MAX(CI278,0)</f>
        <v>0</v>
      </c>
      <c r="CH279" s="75">
        <f>PARAM!$C$26+MAX($P$3-CHOOSE(PARAM!$B$44,MAX(0,CI278*$F$1),0),0)*RATES!$L255/12+$Q$3*(PARAM!$D$51/12)*RATES!$N255/100</f>
        <v>20.166666666666664</v>
      </c>
      <c r="CI279" s="16">
        <f>IF(CI278&gt;0,CI278*PARAM!$C$53,CI278)+CG279-CH279</f>
        <v>-3835.1666666666606</v>
      </c>
      <c r="CJ279" s="15">
        <f t="shared" si="175"/>
        <v>0</v>
      </c>
      <c r="CK279" s="75">
        <f>CJ279*(1-PARAM!$C$27)*$R$4+(MOD($B279/12,5)=0)*($B279&gt;60)*HLOOKUP($B279/12,Loyalty,2)*$F$1*MAX(CM278,0)</f>
        <v>0</v>
      </c>
      <c r="CL279" s="75">
        <f>PARAM!$C$26+MAX($P$4-CHOOSE(PARAM!$B$44,MAX(0,CM278*$F$1),0),0)*RATES!$L255/12+$Q$4*(PARAM!$D$51/12)*RATES!$N255/100</f>
        <v>20.166666666666664</v>
      </c>
      <c r="CM279" s="16">
        <f>IF(CM278&gt;0,CM278*PARAM!$C$53,CM278)+CK279-CL279</f>
        <v>-3835.1666666666606</v>
      </c>
      <c r="CO279" s="176"/>
    </row>
    <row r="280" spans="1:93" x14ac:dyDescent="0.2">
      <c r="A280" t="b">
        <f t="shared" si="150"/>
        <v>1</v>
      </c>
      <c r="B280" s="33">
        <v>253</v>
      </c>
      <c r="C280" s="15">
        <f t="shared" si="151"/>
        <v>20.081305947392778</v>
      </c>
      <c r="D280" s="75">
        <f>C280*(1-PARAM!$C$27)*$I$3+(MOD($B280,60)=PARAM!$B$56)*($B280&gt;(60-PARAM!$B$56))*HLOOKUP(($B280+PARAM!$B$56)/12,Loyalty,2)*$F$1*MAX(F279,0)</f>
        <v>16.808053077967756</v>
      </c>
      <c r="E280" s="75">
        <f>PARAM!$C$26+MAX($G$3-CHOOSE(PARAM!$B$44,MAX(0,F279*$F$1),0),0)*RATES!$L256/12+$H$3*(PARAM!$D$51/12)*RATES!$N256/100</f>
        <v>20.093215845301188</v>
      </c>
      <c r="F280" s="16">
        <f t="shared" si="152"/>
        <v>238.86040217379946</v>
      </c>
      <c r="G280" s="15">
        <f t="shared" si="153"/>
        <v>22.035289406060361</v>
      </c>
      <c r="H280" s="75">
        <f>G280*(1-PARAM!$C$27)*$I$4+(MOD($B280,60)=PARAM!$B$56)*($B280&gt;(60-PARAM!$B$56))*HLOOKUP(($B280+PARAM!$B$56)/12,Loyalty,2)*$F$1*MAX(J279,0)</f>
        <v>18.443537232872522</v>
      </c>
      <c r="I280" s="75">
        <f>PARAM!$C$26+MAX($G$4-CHOOSE(PARAM!$B$44,MAX(0,J279*$F$1),0),0)*RATES!$L256/12+$H$4*(PARAM!$D$51/12)*RATES!$N256/100</f>
        <v>19.965186435319659</v>
      </c>
      <c r="J280" s="16">
        <f t="shared" si="154"/>
        <v>662.69889369978</v>
      </c>
      <c r="K280" s="15">
        <f t="shared" si="155"/>
        <v>22.170849845882874</v>
      </c>
      <c r="L280" s="75">
        <f>K280*(1-PARAM!$C$27)*$I$5+(MOD($B280,60)=PARAM!$B$56)*($B280&gt;(60-PARAM!$B$56))*HLOOKUP(($B280+PARAM!$B$56)/12,Loyalty,2)*$F$1*MAX(N279,0)</f>
        <v>18.557001321003963</v>
      </c>
      <c r="M280" s="75">
        <f>PARAM!$C$26+MAX($G$5-CHOOSE(PARAM!$B$44,MAX(0,N279*$F$1),0),0)*RATES!$L256/12+$H$5*(PARAM!$D$51/12)*RATES!$N256/100</f>
        <v>19.956299024861764</v>
      </c>
      <c r="N280" s="16">
        <f t="shared" si="156"/>
        <v>692.1204005540626</v>
      </c>
      <c r="O280" s="15">
        <f t="shared" si="157"/>
        <v>22.170849845882874</v>
      </c>
      <c r="P280" s="75">
        <f>O280*(1-PARAM!$C$27)*$I$6+(MOD($B280,60)=PARAM!$B$56)*($B280&gt;(60-PARAM!$B$56))*HLOOKUP(($B280+PARAM!$B$56)/12,Loyalty,2)*$F$1*MAX(R279,0)</f>
        <v>18.557001321003963</v>
      </c>
      <c r="Q280" s="75">
        <f>PARAM!$C$26+MAX($G$6-CHOOSE(PARAM!$B$44,MAX(0,R279*$F$1),0),0)*RATES!$L256/12+$H$6*(PARAM!$D$51/12)*RATES!$N256/100</f>
        <v>19.956299024861764</v>
      </c>
      <c r="R280" s="16">
        <f t="shared" si="158"/>
        <v>692.1204005540626</v>
      </c>
      <c r="S280" s="15">
        <f t="shared" si="133"/>
        <v>22.170849845882874</v>
      </c>
      <c r="T280" s="75">
        <f>S280*(1-PARAM!$C$27)*$I$7+(MOD($B280,60)=PARAM!$B$56)*($B280&gt;(60-PARAM!$B$56))*HLOOKUP(($B280+PARAM!$B$56)/12,Loyalty,2)*$F$1*MAX(V279,0)</f>
        <v>18.557001321003963</v>
      </c>
      <c r="U280" s="75">
        <f>PARAM!$C$26+MAX($G$7-CHOOSE(PARAM!$B$44,MAX(0,V279*$F$1),0),0)*RATES!$L256/12+$H$7*(PARAM!$D$51/12)*RATES!$N256/100</f>
        <v>19.956299024861764</v>
      </c>
      <c r="V280" s="16">
        <f t="shared" si="159"/>
        <v>692.1204005540626</v>
      </c>
      <c r="W280" s="15">
        <f t="shared" si="134"/>
        <v>22.170849845882874</v>
      </c>
      <c r="X280" s="75">
        <f>W280*(1-PARAM!$C$27)*$I$8+(MOD($B280,60)=PARAM!$B$56)*($B280&gt;(60-PARAM!$B$56))*HLOOKUP(($B280+PARAM!$B$56)/12,Loyalty,2)*$F$1*MAX(Z279,0)</f>
        <v>18.557001321003963</v>
      </c>
      <c r="Y280" s="75">
        <f>PARAM!$C$26+MAX($G$8-CHOOSE(PARAM!$B$44,MAX(0,Z279*$F$1),0),0)*RATES!$L256/12+$H$8*(PARAM!$D$51/12)*RATES!$N256/100</f>
        <v>19.956299024861764</v>
      </c>
      <c r="Z280" s="16">
        <f t="shared" si="160"/>
        <v>692.1204005540626</v>
      </c>
      <c r="AA280" s="15">
        <f t="shared" si="135"/>
        <v>22.170849845882874</v>
      </c>
      <c r="AB280" s="75">
        <f>AA280*(1-PARAM!$C$27)*$I$9+(MOD($B280,60)=PARAM!$B$56)*($B280&gt;(60-PARAM!$B$56))*HLOOKUP(($B280+PARAM!$B$56)/12,Loyalty,2)*$F$1*MAX(AD279,0)</f>
        <v>18.557001321003963</v>
      </c>
      <c r="AC280" s="75">
        <f>PARAM!$C$26+MAX($G$9-CHOOSE(PARAM!$B$44,MAX(0,AD279*$F$1),0),0)*RATES!$L256/12+$H$9*(PARAM!$D$51/12)*RATES!$N256/100</f>
        <v>19.956299024861764</v>
      </c>
      <c r="AD280" s="16">
        <f t="shared" si="161"/>
        <v>692.1204005540626</v>
      </c>
      <c r="AE280" s="15">
        <f t="shared" si="136"/>
        <v>22.170849845882874</v>
      </c>
      <c r="AF280" s="75">
        <f>AE280*(1-PARAM!$C$27)*$I$10+(MOD($B280,60)=PARAM!$B$56)*($B280&gt;(60-PARAM!$B$56))*HLOOKUP(($B280+PARAM!$B$56)/12,Loyalty,2)*$F$1*MAX(AH279,0)</f>
        <v>18.557001321003963</v>
      </c>
      <c r="AG280" s="75">
        <f>PARAM!$C$26+MAX($G$10-CHOOSE(PARAM!$B$44,MAX(0,AH279*$F$1),0),0)*RATES!$L256/12+$H$10*(PARAM!$D$51/12)*RATES!$N256/100</f>
        <v>19.956299024861764</v>
      </c>
      <c r="AH280" s="16">
        <f t="shared" si="162"/>
        <v>692.1204005540626</v>
      </c>
      <c r="AI280" s="15">
        <f t="shared" si="137"/>
        <v>22.170849845882874</v>
      </c>
      <c r="AJ280" s="75">
        <f>AI280*(1-PARAM!$C$27)*$I$11+(MOD($B280,60)=PARAM!$B$56)*($B280&gt;(60-PARAM!$B$56))*HLOOKUP(($B280+PARAM!$B$56)/12,Loyalty,2)*$F$1*MAX(AL279,0)</f>
        <v>18.557001321003963</v>
      </c>
      <c r="AK280" s="75">
        <f>PARAM!$C$26+MAX($G$11-CHOOSE(PARAM!$B$44,MAX(0,AL279*$F$1),0),0)*RATES!$L256/12+$H$11*(PARAM!$D$51/12)*RATES!$N256/100</f>
        <v>19.956299024861764</v>
      </c>
      <c r="AL280" s="16">
        <f t="shared" si="163"/>
        <v>692.1204005540626</v>
      </c>
      <c r="AM280" s="15">
        <f t="shared" si="138"/>
        <v>22.170849845882874</v>
      </c>
      <c r="AN280" s="75">
        <f>AM280*(1-PARAM!$C$27)*$I$12+(MOD($B280,60)=PARAM!$B$56)*($B280&gt;(60-PARAM!$B$56))*HLOOKUP(($B280+PARAM!$B$56)/12,Loyalty,2)*$F$1*MAX(AP279,0)</f>
        <v>18.557001321003963</v>
      </c>
      <c r="AO280" s="75">
        <f>PARAM!$C$26+MAX($G$12-CHOOSE(PARAM!$B$44,MAX(0,AP279*$F$1),0),0)*RATES!$L256/12+$H$12*(PARAM!$D$51/12)*RATES!$N256/100</f>
        <v>19.956299024861764</v>
      </c>
      <c r="AP280" s="16">
        <f t="shared" si="164"/>
        <v>692.1204005540626</v>
      </c>
      <c r="AQ280" s="15">
        <f t="shared" si="139"/>
        <v>22.170849845882874</v>
      </c>
      <c r="AR280" s="75">
        <f>AQ280*(1-PARAM!$C$27)*$I$13+(MOD($B280,60)=PARAM!$B$56)*($B280&gt;(60-PARAM!$B$56))*HLOOKUP(($B280+PARAM!$B$56)/12,Loyalty,2)*$F$1*MAX(AT279,0)</f>
        <v>18.557001321003963</v>
      </c>
      <c r="AS280" s="75">
        <f>PARAM!$C$26+MAX($G$13-CHOOSE(PARAM!$B$44,MAX(0,AT279*$F$1),0),0)*RATES!$L256/12+$H$13*(PARAM!$D$51/12)*RATES!$N256/100</f>
        <v>19.956299024861764</v>
      </c>
      <c r="AT280" s="16">
        <f t="shared" si="165"/>
        <v>692.1204005540626</v>
      </c>
      <c r="AU280" s="15">
        <f t="shared" si="140"/>
        <v>22.170849845882874</v>
      </c>
      <c r="AV280" s="75">
        <f>AU280*(1-PARAM!$C$27)*$I$14+(MOD($B280,60)=PARAM!$B$56)*($B280&gt;(60-PARAM!$B$56))*HLOOKUP(($B280+PARAM!$B$56)/12,Loyalty,2)*$F$1*MAX(AX279,0)</f>
        <v>18.557001321003963</v>
      </c>
      <c r="AW280" s="75">
        <f>PARAM!$C$26+MAX($G$14-CHOOSE(PARAM!$B$44,MAX(0,AX279*$F$1),0),0)*RATES!$L256/12+$H$14*(PARAM!$D$51/12)*RATES!$N256/100</f>
        <v>19.956299024861764</v>
      </c>
      <c r="AX280" s="16">
        <f t="shared" si="166"/>
        <v>692.1204005540626</v>
      </c>
      <c r="AY280" s="15">
        <f t="shared" si="141"/>
        <v>22.170849845882874</v>
      </c>
      <c r="AZ280" s="75">
        <f>AY280*(1-PARAM!$C$27)*$I$15+(MOD($B280,60)=PARAM!$B$56)*($B280&gt;(60-PARAM!$B$56))*HLOOKUP(($B280+PARAM!$B$56)/12,Loyalty,2)*$F$1*MAX(BB279,0)</f>
        <v>18.557001321003963</v>
      </c>
      <c r="BA280" s="75">
        <f>PARAM!$C$26+MAX($G$15-CHOOSE(PARAM!$B$44,MAX(0,BB279*$F$1),0),0)*RATES!$L256/12+$H$15*(PARAM!$D$51/12)*RATES!$N256/100</f>
        <v>19.956299024861764</v>
      </c>
      <c r="BB280" s="16">
        <f t="shared" si="167"/>
        <v>692.1204005540626</v>
      </c>
      <c r="BC280" s="15">
        <f t="shared" si="142"/>
        <v>22.170849845882874</v>
      </c>
      <c r="BD280" s="75">
        <f>BC280*(1-PARAM!$C$27)*$I$16+(MOD($B280,60)=PARAM!$B$56)*($B280&gt;(60-PARAM!$B$56))*HLOOKUP(($B280+PARAM!$B$56)/12,Loyalty,2)*$F$1*MAX(BF279,0)</f>
        <v>18.557001321003963</v>
      </c>
      <c r="BE280" s="75">
        <f>PARAM!$C$26+MAX($G$16-CHOOSE(PARAM!$B$44,MAX(0,BF279*$F$1),0),0)*RATES!$L256/12+$H$16*(PARAM!$D$51/12)*RATES!$N256/100</f>
        <v>19.956299024861764</v>
      </c>
      <c r="BF280" s="16">
        <f t="shared" si="168"/>
        <v>692.1204005540626</v>
      </c>
      <c r="BG280" s="15">
        <f t="shared" si="143"/>
        <v>22.170849845882874</v>
      </c>
      <c r="BH280" s="75">
        <f>BG280*(1-PARAM!$C$27)*$I$17+(MOD($B280,60)=PARAM!$B$56)*($B280&gt;(60-PARAM!$B$56))*HLOOKUP(($B280+PARAM!$B$56)/12,Loyalty,2)*$F$1*MAX(BJ279,0)</f>
        <v>18.557001321003963</v>
      </c>
      <c r="BI280" s="75">
        <f>PARAM!$C$26+MAX($G$17-CHOOSE(PARAM!$B$44,MAX(0,BJ279*$F$1),0),0)*RATES!$L256/12+$H$17*(PARAM!$D$51/12)*RATES!$N256/100</f>
        <v>19.956299024861764</v>
      </c>
      <c r="BJ280" s="16">
        <f t="shared" si="169"/>
        <v>692.1204005540626</v>
      </c>
      <c r="BK280" s="15">
        <f t="shared" si="144"/>
        <v>22.170849845882874</v>
      </c>
      <c r="BL280" s="75">
        <f>BK280*(1-PARAM!$C$27)*$I$18+(MOD($B280,60)=PARAM!$B$56)*($B280&gt;(60-PARAM!$B$56))*HLOOKUP(($B280+PARAM!$B$56)/12,Loyalty,2)*$F$1*MAX(BN279,0)</f>
        <v>18.557001321003963</v>
      </c>
      <c r="BM280" s="75">
        <f>PARAM!$C$26+MAX($G$18-CHOOSE(PARAM!$B$44,MAX(0,BN279*$F$1),0),0)*RATES!$L256/12+$H$18*(PARAM!$D$51/12)*RATES!$N256/100</f>
        <v>19.956299024861764</v>
      </c>
      <c r="BN280" s="16">
        <f t="shared" si="170"/>
        <v>692.1204005540626</v>
      </c>
      <c r="BO280" s="15">
        <f t="shared" si="145"/>
        <v>22.170849845882874</v>
      </c>
      <c r="BP280" s="75">
        <f>BO280*(1-PARAM!$C$27)*$I$19+(MOD($B280,60)=PARAM!$B$56)*($B280&gt;(60-PARAM!$B$56))*HLOOKUP(($B280+PARAM!$B$56)/12,Loyalty,2)*$F$1*MAX(BR279,0)</f>
        <v>18.557001321003963</v>
      </c>
      <c r="BQ280" s="75">
        <f>PARAM!$C$26+MAX($G$19-CHOOSE(PARAM!$B$44,MAX(0,BR279*$F$1),0),0)*RATES!$L256/12+$H$19*(PARAM!$D$51/12)*RATES!$N256/100</f>
        <v>19.956299024861764</v>
      </c>
      <c r="BR280" s="16">
        <f t="shared" si="171"/>
        <v>692.1204005540626</v>
      </c>
      <c r="BS280" s="15">
        <f t="shared" si="146"/>
        <v>22.170849845882874</v>
      </c>
      <c r="BT280" s="75">
        <f>BS280*(1-PARAM!$C$27)*$I$20+(MOD($B280,60)=PARAM!$B$56)*($B280&gt;(60-PARAM!$B$56))*HLOOKUP(($B280+PARAM!$B$56)/12,Loyalty,2)*$F$1*MAX(BV279,0)</f>
        <v>18.557001321003963</v>
      </c>
      <c r="BU280" s="75">
        <f>PARAM!$C$26+MAX($G$20-CHOOSE(PARAM!$B$44,MAX(0,BV279*$F$1),0),0)*RATES!$L256/12+$H$20*(PARAM!$D$51/12)*RATES!$N256/100</f>
        <v>19.956299024861764</v>
      </c>
      <c r="BV280" s="16">
        <f t="shared" si="172"/>
        <v>692.1204005540626</v>
      </c>
      <c r="BW280" s="15">
        <f t="shared" si="147"/>
        <v>22.170849845882874</v>
      </c>
      <c r="BX280" s="75">
        <f>BW280*(1-PARAM!$C$27)*$I$21+(MOD($B280,60)=PARAM!$B$56)*($B280&gt;(60-PARAM!$B$56))*HLOOKUP(($B280+PARAM!$B$56)/12,Loyalty,2)*$F$1*MAX(BZ279,0)</f>
        <v>18.557001321003963</v>
      </c>
      <c r="BY280" s="75">
        <f>PARAM!$C$26+MAX($G$21-CHOOSE(PARAM!$B$44,MAX(0,BZ279*$F$1),0),0)*RATES!$L256/12+$H$21*(PARAM!$D$51/12)*RATES!$N256/100</f>
        <v>19.956299024861764</v>
      </c>
      <c r="BZ280" s="16">
        <f t="shared" si="173"/>
        <v>692.1204005540626</v>
      </c>
      <c r="CA280" s="15">
        <f t="shared" si="148"/>
        <v>22.170849845882874</v>
      </c>
      <c r="CB280" s="75">
        <f>CA280*(1-PARAM!$C$27)*$I$22+(MOD($B280,60)=PARAM!$B$56)*($B280&gt;(60-PARAM!$B$56))*HLOOKUP(($B280+PARAM!$B$56)/12,Loyalty,2)*$F$1*MAX(CD279,0)</f>
        <v>18.557001321003963</v>
      </c>
      <c r="CC280" s="75">
        <f>PARAM!$C$26+MAX($G$22-CHOOSE(PARAM!$B$44,MAX(0,CD279*$F$1),0),0)*RATES!$L256/12+$H$22*(PARAM!$D$51/12)*RATES!$N256/100</f>
        <v>19.956299024861764</v>
      </c>
      <c r="CD280" s="16">
        <f t="shared" si="174"/>
        <v>692.1204005540626</v>
      </c>
      <c r="CE280" s="33">
        <f>IF(0=MOD(B280,12/PARAM!$D$51),1,0)</f>
        <v>1</v>
      </c>
      <c r="CF280" s="15">
        <f t="shared" si="149"/>
        <v>0</v>
      </c>
      <c r="CG280" s="75">
        <f>CF280*(1-PARAM!$C$27)*$R$3+(MOD($B280/12,5)=0)*($B280&gt;60)*HLOOKUP($B280/12,Loyalty,2)*$F$1*MAX(CI279,0)</f>
        <v>0</v>
      </c>
      <c r="CH280" s="75">
        <f>PARAM!$C$26+MAX($P$3-CHOOSE(PARAM!$B$44,MAX(0,CI279*$F$1),0),0)*RATES!$L256/12+$Q$3*(PARAM!$D$51/12)*RATES!$N256/100</f>
        <v>20.166666666666664</v>
      </c>
      <c r="CI280" s="16">
        <f>IF(CI279&gt;0,CI279*PARAM!$C$53,CI279)+CG280-CH280</f>
        <v>-3855.3333333333271</v>
      </c>
      <c r="CJ280" s="15">
        <f t="shared" si="175"/>
        <v>0</v>
      </c>
      <c r="CK280" s="75">
        <f>CJ280*(1-PARAM!$C$27)*$R$4+(MOD($B280/12,5)=0)*($B280&gt;60)*HLOOKUP($B280/12,Loyalty,2)*$F$1*MAX(CM279,0)</f>
        <v>0</v>
      </c>
      <c r="CL280" s="75">
        <f>PARAM!$C$26+MAX($P$4-CHOOSE(PARAM!$B$44,MAX(0,CM279*$F$1),0),0)*RATES!$L256/12+$Q$4*(PARAM!$D$51/12)*RATES!$N256/100</f>
        <v>20.166666666666664</v>
      </c>
      <c r="CM280" s="16">
        <f>IF(CM279&gt;0,CM279*PARAM!$C$53,CM279)+CK280-CL280</f>
        <v>-3855.3333333333271</v>
      </c>
      <c r="CO280" s="176"/>
    </row>
    <row r="281" spans="1:93" x14ac:dyDescent="0.2">
      <c r="A281" t="b">
        <f t="shared" si="150"/>
        <v>1</v>
      </c>
      <c r="B281" s="33">
        <v>254</v>
      </c>
      <c r="C281" s="15">
        <f t="shared" si="151"/>
        <v>20.081305947392778</v>
      </c>
      <c r="D281" s="75">
        <f>C281*(1-PARAM!$C$27)*$I$3+(MOD($B281,60)=PARAM!$B$56)*($B281&gt;(60-PARAM!$B$56))*HLOOKUP(($B281+PARAM!$B$56)/12,Loyalty,2)*$F$1*MAX(F280,0)</f>
        <v>16.808053077967756</v>
      </c>
      <c r="E281" s="75">
        <f>PARAM!$C$26+MAX($G$3-CHOOSE(PARAM!$B$44,MAX(0,F280*$F$1),0),0)*RATES!$L257/12+$H$3*(PARAM!$D$51/12)*RATES!$N257/100</f>
        <v>20.094212344673949</v>
      </c>
      <c r="F281" s="16">
        <f t="shared" si="152"/>
        <v>235.57424290709326</v>
      </c>
      <c r="G281" s="15">
        <f t="shared" si="153"/>
        <v>22.035289406060361</v>
      </c>
      <c r="H281" s="75">
        <f>G281*(1-PARAM!$C$27)*$I$4+(MOD($B281,60)=PARAM!$B$56)*($B281&gt;(60-PARAM!$B$56))*HLOOKUP(($B281+PARAM!$B$56)/12,Loyalty,2)*$F$1*MAX(J280,0)</f>
        <v>18.443537232872522</v>
      </c>
      <c r="I281" s="75">
        <f>PARAM!$C$26+MAX($G$4-CHOOSE(PARAM!$B$44,MAX(0,J280*$F$1),0),0)*RATES!$L257/12+$H$4*(PARAM!$D$51/12)*RATES!$N257/100</f>
        <v>19.9656480022444</v>
      </c>
      <c r="J281" s="16">
        <f t="shared" si="154"/>
        <v>661.17678293040808</v>
      </c>
      <c r="K281" s="15">
        <f t="shared" si="155"/>
        <v>22.170849845882874</v>
      </c>
      <c r="L281" s="75">
        <f>K281*(1-PARAM!$C$27)*$I$5+(MOD($B281,60)=PARAM!$B$56)*($B281&gt;(60-PARAM!$B$56))*HLOOKUP(($B281+PARAM!$B$56)/12,Loyalty,2)*$F$1*MAX(N280,0)</f>
        <v>18.557001321003963</v>
      </c>
      <c r="M281" s="75">
        <f>PARAM!$C$26+MAX($G$5-CHOOSE(PARAM!$B$44,MAX(0,N280*$F$1),0),0)*RATES!$L257/12+$H$5*(PARAM!$D$51/12)*RATES!$N257/100</f>
        <v>19.956723478498603</v>
      </c>
      <c r="N281" s="16">
        <f t="shared" si="156"/>
        <v>690.72067839656802</v>
      </c>
      <c r="O281" s="15">
        <f t="shared" si="157"/>
        <v>22.170849845882874</v>
      </c>
      <c r="P281" s="75">
        <f>O281*(1-PARAM!$C$27)*$I$6+(MOD($B281,60)=PARAM!$B$56)*($B281&gt;(60-PARAM!$B$56))*HLOOKUP(($B281+PARAM!$B$56)/12,Loyalty,2)*$F$1*MAX(R280,0)</f>
        <v>18.557001321003963</v>
      </c>
      <c r="Q281" s="75">
        <f>PARAM!$C$26+MAX($G$6-CHOOSE(PARAM!$B$44,MAX(0,R280*$F$1),0),0)*RATES!$L257/12+$H$6*(PARAM!$D$51/12)*RATES!$N257/100</f>
        <v>19.956723478498603</v>
      </c>
      <c r="R281" s="16">
        <f t="shared" si="158"/>
        <v>690.72067839656802</v>
      </c>
      <c r="S281" s="15">
        <f t="shared" si="133"/>
        <v>22.170849845882874</v>
      </c>
      <c r="T281" s="75">
        <f>S281*(1-PARAM!$C$27)*$I$7+(MOD($B281,60)=PARAM!$B$56)*($B281&gt;(60-PARAM!$B$56))*HLOOKUP(($B281+PARAM!$B$56)/12,Loyalty,2)*$F$1*MAX(V280,0)</f>
        <v>18.557001321003963</v>
      </c>
      <c r="U281" s="75">
        <f>PARAM!$C$26+MAX($G$7-CHOOSE(PARAM!$B$44,MAX(0,V280*$F$1),0),0)*RATES!$L257/12+$H$7*(PARAM!$D$51/12)*RATES!$N257/100</f>
        <v>19.956723478498603</v>
      </c>
      <c r="V281" s="16">
        <f t="shared" si="159"/>
        <v>690.72067839656802</v>
      </c>
      <c r="W281" s="15">
        <f t="shared" si="134"/>
        <v>22.170849845882874</v>
      </c>
      <c r="X281" s="75">
        <f>W281*(1-PARAM!$C$27)*$I$8+(MOD($B281,60)=PARAM!$B$56)*($B281&gt;(60-PARAM!$B$56))*HLOOKUP(($B281+PARAM!$B$56)/12,Loyalty,2)*$F$1*MAX(Z280,0)</f>
        <v>18.557001321003963</v>
      </c>
      <c r="Y281" s="75">
        <f>PARAM!$C$26+MAX($G$8-CHOOSE(PARAM!$B$44,MAX(0,Z280*$F$1),0),0)*RATES!$L257/12+$H$8*(PARAM!$D$51/12)*RATES!$N257/100</f>
        <v>19.956723478498603</v>
      </c>
      <c r="Z281" s="16">
        <f t="shared" si="160"/>
        <v>690.72067839656802</v>
      </c>
      <c r="AA281" s="15">
        <f t="shared" si="135"/>
        <v>22.170849845882874</v>
      </c>
      <c r="AB281" s="75">
        <f>AA281*(1-PARAM!$C$27)*$I$9+(MOD($B281,60)=PARAM!$B$56)*($B281&gt;(60-PARAM!$B$56))*HLOOKUP(($B281+PARAM!$B$56)/12,Loyalty,2)*$F$1*MAX(AD280,0)</f>
        <v>18.557001321003963</v>
      </c>
      <c r="AC281" s="75">
        <f>PARAM!$C$26+MAX($G$9-CHOOSE(PARAM!$B$44,MAX(0,AD280*$F$1),0),0)*RATES!$L257/12+$H$9*(PARAM!$D$51/12)*RATES!$N257/100</f>
        <v>19.956723478498603</v>
      </c>
      <c r="AD281" s="16">
        <f t="shared" si="161"/>
        <v>690.72067839656802</v>
      </c>
      <c r="AE281" s="15">
        <f t="shared" si="136"/>
        <v>22.170849845882874</v>
      </c>
      <c r="AF281" s="75">
        <f>AE281*(1-PARAM!$C$27)*$I$10+(MOD($B281,60)=PARAM!$B$56)*($B281&gt;(60-PARAM!$B$56))*HLOOKUP(($B281+PARAM!$B$56)/12,Loyalty,2)*$F$1*MAX(AH280,0)</f>
        <v>18.557001321003963</v>
      </c>
      <c r="AG281" s="75">
        <f>PARAM!$C$26+MAX($G$10-CHOOSE(PARAM!$B$44,MAX(0,AH280*$F$1),0),0)*RATES!$L257/12+$H$10*(PARAM!$D$51/12)*RATES!$N257/100</f>
        <v>19.956723478498603</v>
      </c>
      <c r="AH281" s="16">
        <f t="shared" si="162"/>
        <v>690.72067839656802</v>
      </c>
      <c r="AI281" s="15">
        <f t="shared" si="137"/>
        <v>22.170849845882874</v>
      </c>
      <c r="AJ281" s="75">
        <f>AI281*(1-PARAM!$C$27)*$I$11+(MOD($B281,60)=PARAM!$B$56)*($B281&gt;(60-PARAM!$B$56))*HLOOKUP(($B281+PARAM!$B$56)/12,Loyalty,2)*$F$1*MAX(AL280,0)</f>
        <v>18.557001321003963</v>
      </c>
      <c r="AK281" s="75">
        <f>PARAM!$C$26+MAX($G$11-CHOOSE(PARAM!$B$44,MAX(0,AL280*$F$1),0),0)*RATES!$L257/12+$H$11*(PARAM!$D$51/12)*RATES!$N257/100</f>
        <v>19.956723478498603</v>
      </c>
      <c r="AL281" s="16">
        <f t="shared" si="163"/>
        <v>690.72067839656802</v>
      </c>
      <c r="AM281" s="15">
        <f t="shared" si="138"/>
        <v>22.170849845882874</v>
      </c>
      <c r="AN281" s="75">
        <f>AM281*(1-PARAM!$C$27)*$I$12+(MOD($B281,60)=PARAM!$B$56)*($B281&gt;(60-PARAM!$B$56))*HLOOKUP(($B281+PARAM!$B$56)/12,Loyalty,2)*$F$1*MAX(AP280,0)</f>
        <v>18.557001321003963</v>
      </c>
      <c r="AO281" s="75">
        <f>PARAM!$C$26+MAX($G$12-CHOOSE(PARAM!$B$44,MAX(0,AP280*$F$1),0),0)*RATES!$L257/12+$H$12*(PARAM!$D$51/12)*RATES!$N257/100</f>
        <v>19.956723478498603</v>
      </c>
      <c r="AP281" s="16">
        <f t="shared" si="164"/>
        <v>690.72067839656802</v>
      </c>
      <c r="AQ281" s="15">
        <f t="shared" si="139"/>
        <v>22.170849845882874</v>
      </c>
      <c r="AR281" s="75">
        <f>AQ281*(1-PARAM!$C$27)*$I$13+(MOD($B281,60)=PARAM!$B$56)*($B281&gt;(60-PARAM!$B$56))*HLOOKUP(($B281+PARAM!$B$56)/12,Loyalty,2)*$F$1*MAX(AT280,0)</f>
        <v>18.557001321003963</v>
      </c>
      <c r="AS281" s="75">
        <f>PARAM!$C$26+MAX($G$13-CHOOSE(PARAM!$B$44,MAX(0,AT280*$F$1),0),0)*RATES!$L257/12+$H$13*(PARAM!$D$51/12)*RATES!$N257/100</f>
        <v>19.956723478498603</v>
      </c>
      <c r="AT281" s="16">
        <f t="shared" si="165"/>
        <v>690.72067839656802</v>
      </c>
      <c r="AU281" s="15">
        <f t="shared" si="140"/>
        <v>22.170849845882874</v>
      </c>
      <c r="AV281" s="75">
        <f>AU281*(1-PARAM!$C$27)*$I$14+(MOD($B281,60)=PARAM!$B$56)*($B281&gt;(60-PARAM!$B$56))*HLOOKUP(($B281+PARAM!$B$56)/12,Loyalty,2)*$F$1*MAX(AX280,0)</f>
        <v>18.557001321003963</v>
      </c>
      <c r="AW281" s="75">
        <f>PARAM!$C$26+MAX($G$14-CHOOSE(PARAM!$B$44,MAX(0,AX280*$F$1),0),0)*RATES!$L257/12+$H$14*(PARAM!$D$51/12)*RATES!$N257/100</f>
        <v>19.956723478498603</v>
      </c>
      <c r="AX281" s="16">
        <f t="shared" si="166"/>
        <v>690.72067839656802</v>
      </c>
      <c r="AY281" s="15">
        <f t="shared" si="141"/>
        <v>22.170849845882874</v>
      </c>
      <c r="AZ281" s="75">
        <f>AY281*(1-PARAM!$C$27)*$I$15+(MOD($B281,60)=PARAM!$B$56)*($B281&gt;(60-PARAM!$B$56))*HLOOKUP(($B281+PARAM!$B$56)/12,Loyalty,2)*$F$1*MAX(BB280,0)</f>
        <v>18.557001321003963</v>
      </c>
      <c r="BA281" s="75">
        <f>PARAM!$C$26+MAX($G$15-CHOOSE(PARAM!$B$44,MAX(0,BB280*$F$1),0),0)*RATES!$L257/12+$H$15*(PARAM!$D$51/12)*RATES!$N257/100</f>
        <v>19.956723478498603</v>
      </c>
      <c r="BB281" s="16">
        <f t="shared" si="167"/>
        <v>690.72067839656802</v>
      </c>
      <c r="BC281" s="15">
        <f t="shared" si="142"/>
        <v>22.170849845882874</v>
      </c>
      <c r="BD281" s="75">
        <f>BC281*(1-PARAM!$C$27)*$I$16+(MOD($B281,60)=PARAM!$B$56)*($B281&gt;(60-PARAM!$B$56))*HLOOKUP(($B281+PARAM!$B$56)/12,Loyalty,2)*$F$1*MAX(BF280,0)</f>
        <v>18.557001321003963</v>
      </c>
      <c r="BE281" s="75">
        <f>PARAM!$C$26+MAX($G$16-CHOOSE(PARAM!$B$44,MAX(0,BF280*$F$1),0),0)*RATES!$L257/12+$H$16*(PARAM!$D$51/12)*RATES!$N257/100</f>
        <v>19.956723478498603</v>
      </c>
      <c r="BF281" s="16">
        <f t="shared" si="168"/>
        <v>690.72067839656802</v>
      </c>
      <c r="BG281" s="15">
        <f t="shared" si="143"/>
        <v>22.170849845882874</v>
      </c>
      <c r="BH281" s="75">
        <f>BG281*(1-PARAM!$C$27)*$I$17+(MOD($B281,60)=PARAM!$B$56)*($B281&gt;(60-PARAM!$B$56))*HLOOKUP(($B281+PARAM!$B$56)/12,Loyalty,2)*$F$1*MAX(BJ280,0)</f>
        <v>18.557001321003963</v>
      </c>
      <c r="BI281" s="75">
        <f>PARAM!$C$26+MAX($G$17-CHOOSE(PARAM!$B$44,MAX(0,BJ280*$F$1),0),0)*RATES!$L257/12+$H$17*(PARAM!$D$51/12)*RATES!$N257/100</f>
        <v>19.956723478498603</v>
      </c>
      <c r="BJ281" s="16">
        <f t="shared" si="169"/>
        <v>690.72067839656802</v>
      </c>
      <c r="BK281" s="15">
        <f t="shared" si="144"/>
        <v>22.170849845882874</v>
      </c>
      <c r="BL281" s="75">
        <f>BK281*(1-PARAM!$C$27)*$I$18+(MOD($B281,60)=PARAM!$B$56)*($B281&gt;(60-PARAM!$B$56))*HLOOKUP(($B281+PARAM!$B$56)/12,Loyalty,2)*$F$1*MAX(BN280,0)</f>
        <v>18.557001321003963</v>
      </c>
      <c r="BM281" s="75">
        <f>PARAM!$C$26+MAX($G$18-CHOOSE(PARAM!$B$44,MAX(0,BN280*$F$1),0),0)*RATES!$L257/12+$H$18*(PARAM!$D$51/12)*RATES!$N257/100</f>
        <v>19.956723478498603</v>
      </c>
      <c r="BN281" s="16">
        <f t="shared" si="170"/>
        <v>690.72067839656802</v>
      </c>
      <c r="BO281" s="15">
        <f t="shared" si="145"/>
        <v>22.170849845882874</v>
      </c>
      <c r="BP281" s="75">
        <f>BO281*(1-PARAM!$C$27)*$I$19+(MOD($B281,60)=PARAM!$B$56)*($B281&gt;(60-PARAM!$B$56))*HLOOKUP(($B281+PARAM!$B$56)/12,Loyalty,2)*$F$1*MAX(BR280,0)</f>
        <v>18.557001321003963</v>
      </c>
      <c r="BQ281" s="75">
        <f>PARAM!$C$26+MAX($G$19-CHOOSE(PARAM!$B$44,MAX(0,BR280*$F$1),0),0)*RATES!$L257/12+$H$19*(PARAM!$D$51/12)*RATES!$N257/100</f>
        <v>19.956723478498603</v>
      </c>
      <c r="BR281" s="16">
        <f t="shared" si="171"/>
        <v>690.72067839656802</v>
      </c>
      <c r="BS281" s="15">
        <f t="shared" si="146"/>
        <v>22.170849845882874</v>
      </c>
      <c r="BT281" s="75">
        <f>BS281*(1-PARAM!$C$27)*$I$20+(MOD($B281,60)=PARAM!$B$56)*($B281&gt;(60-PARAM!$B$56))*HLOOKUP(($B281+PARAM!$B$56)/12,Loyalty,2)*$F$1*MAX(BV280,0)</f>
        <v>18.557001321003963</v>
      </c>
      <c r="BU281" s="75">
        <f>PARAM!$C$26+MAX($G$20-CHOOSE(PARAM!$B$44,MAX(0,BV280*$F$1),0),0)*RATES!$L257/12+$H$20*(PARAM!$D$51/12)*RATES!$N257/100</f>
        <v>19.956723478498603</v>
      </c>
      <c r="BV281" s="16">
        <f t="shared" si="172"/>
        <v>690.72067839656802</v>
      </c>
      <c r="BW281" s="15">
        <f t="shared" si="147"/>
        <v>22.170849845882874</v>
      </c>
      <c r="BX281" s="75">
        <f>BW281*(1-PARAM!$C$27)*$I$21+(MOD($B281,60)=PARAM!$B$56)*($B281&gt;(60-PARAM!$B$56))*HLOOKUP(($B281+PARAM!$B$56)/12,Loyalty,2)*$F$1*MAX(BZ280,0)</f>
        <v>18.557001321003963</v>
      </c>
      <c r="BY281" s="75">
        <f>PARAM!$C$26+MAX($G$21-CHOOSE(PARAM!$B$44,MAX(0,BZ280*$F$1),0),0)*RATES!$L257/12+$H$21*(PARAM!$D$51/12)*RATES!$N257/100</f>
        <v>19.956723478498603</v>
      </c>
      <c r="BZ281" s="16">
        <f t="shared" si="173"/>
        <v>690.72067839656802</v>
      </c>
      <c r="CA281" s="15">
        <f t="shared" si="148"/>
        <v>22.170849845882874</v>
      </c>
      <c r="CB281" s="75">
        <f>CA281*(1-PARAM!$C$27)*$I$22+(MOD($B281,60)=PARAM!$B$56)*($B281&gt;(60-PARAM!$B$56))*HLOOKUP(($B281+PARAM!$B$56)/12,Loyalty,2)*$F$1*MAX(CD280,0)</f>
        <v>18.557001321003963</v>
      </c>
      <c r="CC281" s="75">
        <f>PARAM!$C$26+MAX($G$22-CHOOSE(PARAM!$B$44,MAX(0,CD280*$F$1),0),0)*RATES!$L257/12+$H$22*(PARAM!$D$51/12)*RATES!$N257/100</f>
        <v>19.956723478498603</v>
      </c>
      <c r="CD281" s="16">
        <f t="shared" si="174"/>
        <v>690.72067839656802</v>
      </c>
      <c r="CE281" s="33">
        <f>IF(0=MOD(B281,12/PARAM!$D$51),1,0)</f>
        <v>1</v>
      </c>
      <c r="CF281" s="15">
        <f t="shared" si="149"/>
        <v>0</v>
      </c>
      <c r="CG281" s="75">
        <f>CF281*(1-PARAM!$C$27)*$R$3+(MOD($B281/12,5)=0)*($B281&gt;60)*HLOOKUP($B281/12,Loyalty,2)*$F$1*MAX(CI280,0)</f>
        <v>0</v>
      </c>
      <c r="CH281" s="75">
        <f>PARAM!$C$26+MAX($P$3-CHOOSE(PARAM!$B$44,MAX(0,CI280*$F$1),0),0)*RATES!$L257/12+$Q$3*(PARAM!$D$51/12)*RATES!$N257/100</f>
        <v>20.166666666666664</v>
      </c>
      <c r="CI281" s="16">
        <f>IF(CI280&gt;0,CI280*PARAM!$C$53,CI280)+CG281-CH281</f>
        <v>-3875.4999999999936</v>
      </c>
      <c r="CJ281" s="15">
        <f t="shared" si="175"/>
        <v>0</v>
      </c>
      <c r="CK281" s="75">
        <f>CJ281*(1-PARAM!$C$27)*$R$4+(MOD($B281/12,5)=0)*($B281&gt;60)*HLOOKUP($B281/12,Loyalty,2)*$F$1*MAX(CM280,0)</f>
        <v>0</v>
      </c>
      <c r="CL281" s="75">
        <f>PARAM!$C$26+MAX($P$4-CHOOSE(PARAM!$B$44,MAX(0,CM280*$F$1),0),0)*RATES!$L257/12+$Q$4*(PARAM!$D$51/12)*RATES!$N257/100</f>
        <v>20.166666666666664</v>
      </c>
      <c r="CM281" s="16">
        <f>IF(CM280&gt;0,CM280*PARAM!$C$53,CM280)+CK281-CL281</f>
        <v>-3875.4999999999936</v>
      </c>
      <c r="CO281" s="176"/>
    </row>
    <row r="282" spans="1:93" x14ac:dyDescent="0.2">
      <c r="A282" t="b">
        <f t="shared" si="150"/>
        <v>1</v>
      </c>
      <c r="B282" s="33">
        <v>255</v>
      </c>
      <c r="C282" s="15">
        <f t="shared" si="151"/>
        <v>20.081305947392778</v>
      </c>
      <c r="D282" s="75">
        <f>C282*(1-PARAM!$C$27)*$I$3+(MOD($B282,60)=PARAM!$B$56)*($B282&gt;(60-PARAM!$B$56))*HLOOKUP(($B282+PARAM!$B$56)/12,Loyalty,2)*$F$1*MAX(F281,0)</f>
        <v>16.808053077967756</v>
      </c>
      <c r="E282" s="75">
        <f>PARAM!$C$26+MAX($G$3-CHOOSE(PARAM!$B$44,MAX(0,F281*$F$1),0),0)*RATES!$L258/12+$H$3*(PARAM!$D$51/12)*RATES!$N258/100</f>
        <v>20.095209146318183</v>
      </c>
      <c r="F282" s="16">
        <f t="shared" si="152"/>
        <v>232.28708683874285</v>
      </c>
      <c r="G282" s="15">
        <f t="shared" si="153"/>
        <v>22.035289406060361</v>
      </c>
      <c r="H282" s="75">
        <f>G282*(1-PARAM!$C$27)*$I$4+(MOD($B282,60)=PARAM!$B$56)*($B282&gt;(60-PARAM!$B$56))*HLOOKUP(($B282+PARAM!$B$56)/12,Loyalty,2)*$F$1*MAX(J281,0)</f>
        <v>18.443537232872522</v>
      </c>
      <c r="I282" s="75">
        <f>PARAM!$C$26+MAX($G$4-CHOOSE(PARAM!$B$44,MAX(0,J281*$F$1),0),0)*RATES!$L258/12+$H$4*(PARAM!$D$51/12)*RATES!$N258/100</f>
        <v>19.966109709177779</v>
      </c>
      <c r="J282" s="16">
        <f t="shared" si="154"/>
        <v>659.65421045410278</v>
      </c>
      <c r="K282" s="15">
        <f t="shared" si="155"/>
        <v>22.170849845882874</v>
      </c>
      <c r="L282" s="75">
        <f>K282*(1-PARAM!$C$27)*$I$5+(MOD($B282,60)=PARAM!$B$56)*($B282&gt;(60-PARAM!$B$56))*HLOOKUP(($B282+PARAM!$B$56)/12,Loyalty,2)*$F$1*MAX(N281,0)</f>
        <v>18.557001321003963</v>
      </c>
      <c r="M282" s="75">
        <f>PARAM!$C$26+MAX($G$5-CHOOSE(PARAM!$B$44,MAX(0,N281*$F$1),0),0)*RATES!$L258/12+$H$5*(PARAM!$D$51/12)*RATES!$N258/100</f>
        <v>19.957148060886375</v>
      </c>
      <c r="N282" s="16">
        <f t="shared" si="156"/>
        <v>689.3205316566856</v>
      </c>
      <c r="O282" s="15">
        <f t="shared" si="157"/>
        <v>22.170849845882874</v>
      </c>
      <c r="P282" s="75">
        <f>O282*(1-PARAM!$C$27)*$I$6+(MOD($B282,60)=PARAM!$B$56)*($B282&gt;(60-PARAM!$B$56))*HLOOKUP(($B282+PARAM!$B$56)/12,Loyalty,2)*$F$1*MAX(R281,0)</f>
        <v>18.557001321003963</v>
      </c>
      <c r="Q282" s="75">
        <f>PARAM!$C$26+MAX($G$6-CHOOSE(PARAM!$B$44,MAX(0,R281*$F$1),0),0)*RATES!$L258/12+$H$6*(PARAM!$D$51/12)*RATES!$N258/100</f>
        <v>19.957148060886375</v>
      </c>
      <c r="R282" s="16">
        <f t="shared" si="158"/>
        <v>689.3205316566856</v>
      </c>
      <c r="S282" s="15">
        <f t="shared" si="133"/>
        <v>22.170849845882874</v>
      </c>
      <c r="T282" s="75">
        <f>S282*(1-PARAM!$C$27)*$I$7+(MOD($B282,60)=PARAM!$B$56)*($B282&gt;(60-PARAM!$B$56))*HLOOKUP(($B282+PARAM!$B$56)/12,Loyalty,2)*$F$1*MAX(V281,0)</f>
        <v>18.557001321003963</v>
      </c>
      <c r="U282" s="75">
        <f>PARAM!$C$26+MAX($G$7-CHOOSE(PARAM!$B$44,MAX(0,V281*$F$1),0),0)*RATES!$L258/12+$H$7*(PARAM!$D$51/12)*RATES!$N258/100</f>
        <v>19.957148060886375</v>
      </c>
      <c r="V282" s="16">
        <f t="shared" si="159"/>
        <v>689.3205316566856</v>
      </c>
      <c r="W282" s="15">
        <f t="shared" si="134"/>
        <v>22.170849845882874</v>
      </c>
      <c r="X282" s="75">
        <f>W282*(1-PARAM!$C$27)*$I$8+(MOD($B282,60)=PARAM!$B$56)*($B282&gt;(60-PARAM!$B$56))*HLOOKUP(($B282+PARAM!$B$56)/12,Loyalty,2)*$F$1*MAX(Z281,0)</f>
        <v>18.557001321003963</v>
      </c>
      <c r="Y282" s="75">
        <f>PARAM!$C$26+MAX($G$8-CHOOSE(PARAM!$B$44,MAX(0,Z281*$F$1),0),0)*RATES!$L258/12+$H$8*(PARAM!$D$51/12)*RATES!$N258/100</f>
        <v>19.957148060886375</v>
      </c>
      <c r="Z282" s="16">
        <f t="shared" si="160"/>
        <v>689.3205316566856</v>
      </c>
      <c r="AA282" s="15">
        <f t="shared" si="135"/>
        <v>22.170849845882874</v>
      </c>
      <c r="AB282" s="75">
        <f>AA282*(1-PARAM!$C$27)*$I$9+(MOD($B282,60)=PARAM!$B$56)*($B282&gt;(60-PARAM!$B$56))*HLOOKUP(($B282+PARAM!$B$56)/12,Loyalty,2)*$F$1*MAX(AD281,0)</f>
        <v>18.557001321003963</v>
      </c>
      <c r="AC282" s="75">
        <f>PARAM!$C$26+MAX($G$9-CHOOSE(PARAM!$B$44,MAX(0,AD281*$F$1),0),0)*RATES!$L258/12+$H$9*(PARAM!$D$51/12)*RATES!$N258/100</f>
        <v>19.957148060886375</v>
      </c>
      <c r="AD282" s="16">
        <f t="shared" si="161"/>
        <v>689.3205316566856</v>
      </c>
      <c r="AE282" s="15">
        <f t="shared" si="136"/>
        <v>22.170849845882874</v>
      </c>
      <c r="AF282" s="75">
        <f>AE282*(1-PARAM!$C$27)*$I$10+(MOD($B282,60)=PARAM!$B$56)*($B282&gt;(60-PARAM!$B$56))*HLOOKUP(($B282+PARAM!$B$56)/12,Loyalty,2)*$F$1*MAX(AH281,0)</f>
        <v>18.557001321003963</v>
      </c>
      <c r="AG282" s="75">
        <f>PARAM!$C$26+MAX($G$10-CHOOSE(PARAM!$B$44,MAX(0,AH281*$F$1),0),0)*RATES!$L258/12+$H$10*(PARAM!$D$51/12)*RATES!$N258/100</f>
        <v>19.957148060886375</v>
      </c>
      <c r="AH282" s="16">
        <f t="shared" si="162"/>
        <v>689.3205316566856</v>
      </c>
      <c r="AI282" s="15">
        <f t="shared" si="137"/>
        <v>22.170849845882874</v>
      </c>
      <c r="AJ282" s="75">
        <f>AI282*(1-PARAM!$C$27)*$I$11+(MOD($B282,60)=PARAM!$B$56)*($B282&gt;(60-PARAM!$B$56))*HLOOKUP(($B282+PARAM!$B$56)/12,Loyalty,2)*$F$1*MAX(AL281,0)</f>
        <v>18.557001321003963</v>
      </c>
      <c r="AK282" s="75">
        <f>PARAM!$C$26+MAX($G$11-CHOOSE(PARAM!$B$44,MAX(0,AL281*$F$1),0),0)*RATES!$L258/12+$H$11*(PARAM!$D$51/12)*RATES!$N258/100</f>
        <v>19.957148060886375</v>
      </c>
      <c r="AL282" s="16">
        <f t="shared" si="163"/>
        <v>689.3205316566856</v>
      </c>
      <c r="AM282" s="15">
        <f t="shared" si="138"/>
        <v>22.170849845882874</v>
      </c>
      <c r="AN282" s="75">
        <f>AM282*(1-PARAM!$C$27)*$I$12+(MOD($B282,60)=PARAM!$B$56)*($B282&gt;(60-PARAM!$B$56))*HLOOKUP(($B282+PARAM!$B$56)/12,Loyalty,2)*$F$1*MAX(AP281,0)</f>
        <v>18.557001321003963</v>
      </c>
      <c r="AO282" s="75">
        <f>PARAM!$C$26+MAX($G$12-CHOOSE(PARAM!$B$44,MAX(0,AP281*$F$1),0),0)*RATES!$L258/12+$H$12*(PARAM!$D$51/12)*RATES!$N258/100</f>
        <v>19.957148060886375</v>
      </c>
      <c r="AP282" s="16">
        <f t="shared" si="164"/>
        <v>689.3205316566856</v>
      </c>
      <c r="AQ282" s="15">
        <f t="shared" si="139"/>
        <v>22.170849845882874</v>
      </c>
      <c r="AR282" s="75">
        <f>AQ282*(1-PARAM!$C$27)*$I$13+(MOD($B282,60)=PARAM!$B$56)*($B282&gt;(60-PARAM!$B$56))*HLOOKUP(($B282+PARAM!$B$56)/12,Loyalty,2)*$F$1*MAX(AT281,0)</f>
        <v>18.557001321003963</v>
      </c>
      <c r="AS282" s="75">
        <f>PARAM!$C$26+MAX($G$13-CHOOSE(PARAM!$B$44,MAX(0,AT281*$F$1),0),0)*RATES!$L258/12+$H$13*(PARAM!$D$51/12)*RATES!$N258/100</f>
        <v>19.957148060886375</v>
      </c>
      <c r="AT282" s="16">
        <f t="shared" si="165"/>
        <v>689.3205316566856</v>
      </c>
      <c r="AU282" s="15">
        <f t="shared" si="140"/>
        <v>22.170849845882874</v>
      </c>
      <c r="AV282" s="75">
        <f>AU282*(1-PARAM!$C$27)*$I$14+(MOD($B282,60)=PARAM!$B$56)*($B282&gt;(60-PARAM!$B$56))*HLOOKUP(($B282+PARAM!$B$56)/12,Loyalty,2)*$F$1*MAX(AX281,0)</f>
        <v>18.557001321003963</v>
      </c>
      <c r="AW282" s="75">
        <f>PARAM!$C$26+MAX($G$14-CHOOSE(PARAM!$B$44,MAX(0,AX281*$F$1),0),0)*RATES!$L258/12+$H$14*(PARAM!$D$51/12)*RATES!$N258/100</f>
        <v>19.957148060886375</v>
      </c>
      <c r="AX282" s="16">
        <f t="shared" si="166"/>
        <v>689.3205316566856</v>
      </c>
      <c r="AY282" s="15">
        <f t="shared" si="141"/>
        <v>22.170849845882874</v>
      </c>
      <c r="AZ282" s="75">
        <f>AY282*(1-PARAM!$C$27)*$I$15+(MOD($B282,60)=PARAM!$B$56)*($B282&gt;(60-PARAM!$B$56))*HLOOKUP(($B282+PARAM!$B$56)/12,Loyalty,2)*$F$1*MAX(BB281,0)</f>
        <v>18.557001321003963</v>
      </c>
      <c r="BA282" s="75">
        <f>PARAM!$C$26+MAX($G$15-CHOOSE(PARAM!$B$44,MAX(0,BB281*$F$1),0),0)*RATES!$L258/12+$H$15*(PARAM!$D$51/12)*RATES!$N258/100</f>
        <v>19.957148060886375</v>
      </c>
      <c r="BB282" s="16">
        <f t="shared" si="167"/>
        <v>689.3205316566856</v>
      </c>
      <c r="BC282" s="15">
        <f t="shared" si="142"/>
        <v>22.170849845882874</v>
      </c>
      <c r="BD282" s="75">
        <f>BC282*(1-PARAM!$C$27)*$I$16+(MOD($B282,60)=PARAM!$B$56)*($B282&gt;(60-PARAM!$B$56))*HLOOKUP(($B282+PARAM!$B$56)/12,Loyalty,2)*$F$1*MAX(BF281,0)</f>
        <v>18.557001321003963</v>
      </c>
      <c r="BE282" s="75">
        <f>PARAM!$C$26+MAX($G$16-CHOOSE(PARAM!$B$44,MAX(0,BF281*$F$1),0),0)*RATES!$L258/12+$H$16*(PARAM!$D$51/12)*RATES!$N258/100</f>
        <v>19.957148060886375</v>
      </c>
      <c r="BF282" s="16">
        <f t="shared" si="168"/>
        <v>689.3205316566856</v>
      </c>
      <c r="BG282" s="15">
        <f t="shared" si="143"/>
        <v>22.170849845882874</v>
      </c>
      <c r="BH282" s="75">
        <f>BG282*(1-PARAM!$C$27)*$I$17+(MOD($B282,60)=PARAM!$B$56)*($B282&gt;(60-PARAM!$B$56))*HLOOKUP(($B282+PARAM!$B$56)/12,Loyalty,2)*$F$1*MAX(BJ281,0)</f>
        <v>18.557001321003963</v>
      </c>
      <c r="BI282" s="75">
        <f>PARAM!$C$26+MAX($G$17-CHOOSE(PARAM!$B$44,MAX(0,BJ281*$F$1),0),0)*RATES!$L258/12+$H$17*(PARAM!$D$51/12)*RATES!$N258/100</f>
        <v>19.957148060886375</v>
      </c>
      <c r="BJ282" s="16">
        <f t="shared" si="169"/>
        <v>689.3205316566856</v>
      </c>
      <c r="BK282" s="15">
        <f t="shared" si="144"/>
        <v>22.170849845882874</v>
      </c>
      <c r="BL282" s="75">
        <f>BK282*(1-PARAM!$C$27)*$I$18+(MOD($B282,60)=PARAM!$B$56)*($B282&gt;(60-PARAM!$B$56))*HLOOKUP(($B282+PARAM!$B$56)/12,Loyalty,2)*$F$1*MAX(BN281,0)</f>
        <v>18.557001321003963</v>
      </c>
      <c r="BM282" s="75">
        <f>PARAM!$C$26+MAX($G$18-CHOOSE(PARAM!$B$44,MAX(0,BN281*$F$1),0),0)*RATES!$L258/12+$H$18*(PARAM!$D$51/12)*RATES!$N258/100</f>
        <v>19.957148060886375</v>
      </c>
      <c r="BN282" s="16">
        <f t="shared" si="170"/>
        <v>689.3205316566856</v>
      </c>
      <c r="BO282" s="15">
        <f t="shared" si="145"/>
        <v>22.170849845882874</v>
      </c>
      <c r="BP282" s="75">
        <f>BO282*(1-PARAM!$C$27)*$I$19+(MOD($B282,60)=PARAM!$B$56)*($B282&gt;(60-PARAM!$B$56))*HLOOKUP(($B282+PARAM!$B$56)/12,Loyalty,2)*$F$1*MAX(BR281,0)</f>
        <v>18.557001321003963</v>
      </c>
      <c r="BQ282" s="75">
        <f>PARAM!$C$26+MAX($G$19-CHOOSE(PARAM!$B$44,MAX(0,BR281*$F$1),0),0)*RATES!$L258/12+$H$19*(PARAM!$D$51/12)*RATES!$N258/100</f>
        <v>19.957148060886375</v>
      </c>
      <c r="BR282" s="16">
        <f t="shared" si="171"/>
        <v>689.3205316566856</v>
      </c>
      <c r="BS282" s="15">
        <f t="shared" si="146"/>
        <v>22.170849845882874</v>
      </c>
      <c r="BT282" s="75">
        <f>BS282*(1-PARAM!$C$27)*$I$20+(MOD($B282,60)=PARAM!$B$56)*($B282&gt;(60-PARAM!$B$56))*HLOOKUP(($B282+PARAM!$B$56)/12,Loyalty,2)*$F$1*MAX(BV281,0)</f>
        <v>18.557001321003963</v>
      </c>
      <c r="BU282" s="75">
        <f>PARAM!$C$26+MAX($G$20-CHOOSE(PARAM!$B$44,MAX(0,BV281*$F$1),0),0)*RATES!$L258/12+$H$20*(PARAM!$D$51/12)*RATES!$N258/100</f>
        <v>19.957148060886375</v>
      </c>
      <c r="BV282" s="16">
        <f t="shared" si="172"/>
        <v>689.3205316566856</v>
      </c>
      <c r="BW282" s="15">
        <f t="shared" si="147"/>
        <v>22.170849845882874</v>
      </c>
      <c r="BX282" s="75">
        <f>BW282*(1-PARAM!$C$27)*$I$21+(MOD($B282,60)=PARAM!$B$56)*($B282&gt;(60-PARAM!$B$56))*HLOOKUP(($B282+PARAM!$B$56)/12,Loyalty,2)*$F$1*MAX(BZ281,0)</f>
        <v>18.557001321003963</v>
      </c>
      <c r="BY282" s="75">
        <f>PARAM!$C$26+MAX($G$21-CHOOSE(PARAM!$B$44,MAX(0,BZ281*$F$1),0),0)*RATES!$L258/12+$H$21*(PARAM!$D$51/12)*RATES!$N258/100</f>
        <v>19.957148060886375</v>
      </c>
      <c r="BZ282" s="16">
        <f t="shared" si="173"/>
        <v>689.3205316566856</v>
      </c>
      <c r="CA282" s="15">
        <f t="shared" si="148"/>
        <v>22.170849845882874</v>
      </c>
      <c r="CB282" s="75">
        <f>CA282*(1-PARAM!$C$27)*$I$22+(MOD($B282,60)=PARAM!$B$56)*($B282&gt;(60-PARAM!$B$56))*HLOOKUP(($B282+PARAM!$B$56)/12,Loyalty,2)*$F$1*MAX(CD281,0)</f>
        <v>18.557001321003963</v>
      </c>
      <c r="CC282" s="75">
        <f>PARAM!$C$26+MAX($G$22-CHOOSE(PARAM!$B$44,MAX(0,CD281*$F$1),0),0)*RATES!$L258/12+$H$22*(PARAM!$D$51/12)*RATES!$N258/100</f>
        <v>19.957148060886375</v>
      </c>
      <c r="CD282" s="16">
        <f t="shared" si="174"/>
        <v>689.3205316566856</v>
      </c>
      <c r="CE282" s="33">
        <f>IF(0=MOD(B282,12/PARAM!$D$51),1,0)</f>
        <v>1</v>
      </c>
      <c r="CF282" s="15">
        <f t="shared" si="149"/>
        <v>0</v>
      </c>
      <c r="CG282" s="75">
        <f>CF282*(1-PARAM!$C$27)*$R$3+(MOD($B282/12,5)=0)*($B282&gt;60)*HLOOKUP($B282/12,Loyalty,2)*$F$1*MAX(CI281,0)</f>
        <v>0</v>
      </c>
      <c r="CH282" s="75">
        <f>PARAM!$C$26+MAX($P$3-CHOOSE(PARAM!$B$44,MAX(0,CI281*$F$1),0),0)*RATES!$L258/12+$Q$3*(PARAM!$D$51/12)*RATES!$N258/100</f>
        <v>20.166666666666664</v>
      </c>
      <c r="CI282" s="16">
        <f>IF(CI281&gt;0,CI281*PARAM!$C$53,CI281)+CG282-CH282</f>
        <v>-3895.6666666666601</v>
      </c>
      <c r="CJ282" s="15">
        <f t="shared" si="175"/>
        <v>0</v>
      </c>
      <c r="CK282" s="75">
        <f>CJ282*(1-PARAM!$C$27)*$R$4+(MOD($B282/12,5)=0)*($B282&gt;60)*HLOOKUP($B282/12,Loyalty,2)*$F$1*MAX(CM281,0)</f>
        <v>0</v>
      </c>
      <c r="CL282" s="75">
        <f>PARAM!$C$26+MAX($P$4-CHOOSE(PARAM!$B$44,MAX(0,CM281*$F$1),0),0)*RATES!$L258/12+$Q$4*(PARAM!$D$51/12)*RATES!$N258/100</f>
        <v>20.166666666666664</v>
      </c>
      <c r="CM282" s="16">
        <f>IF(CM281&gt;0,CM281*PARAM!$C$53,CM281)+CK282-CL282</f>
        <v>-3895.6666666666601</v>
      </c>
      <c r="CO282" s="176"/>
    </row>
    <row r="283" spans="1:93" x14ac:dyDescent="0.2">
      <c r="A283" t="b">
        <f t="shared" si="150"/>
        <v>1</v>
      </c>
      <c r="B283" s="33">
        <v>256</v>
      </c>
      <c r="C283" s="15">
        <f t="shared" si="151"/>
        <v>20.081305947392778</v>
      </c>
      <c r="D283" s="75">
        <f>C283*(1-PARAM!$C$27)*$I$3+(MOD($B283,60)=PARAM!$B$56)*($B283&gt;(60-PARAM!$B$56))*HLOOKUP(($B283+PARAM!$B$56)/12,Loyalty,2)*$F$1*MAX(F282,0)</f>
        <v>16.808053077967756</v>
      </c>
      <c r="E283" s="75">
        <f>PARAM!$C$26+MAX($G$3-CHOOSE(PARAM!$B$44,MAX(0,F282*$F$1),0),0)*RATES!$L259/12+$H$3*(PARAM!$D$51/12)*RATES!$N259/100</f>
        <v>20.096206250325579</v>
      </c>
      <c r="F283" s="16">
        <f t="shared" si="152"/>
        <v>228.99893366638503</v>
      </c>
      <c r="G283" s="15">
        <f t="shared" si="153"/>
        <v>22.035289406060361</v>
      </c>
      <c r="H283" s="75">
        <f>G283*(1-PARAM!$C$27)*$I$4+(MOD($B283,60)=PARAM!$B$56)*($B283&gt;(60-PARAM!$B$56))*HLOOKUP(($B283+PARAM!$B$56)/12,Loyalty,2)*$F$1*MAX(J282,0)</f>
        <v>18.443537232872522</v>
      </c>
      <c r="I283" s="75">
        <f>PARAM!$C$26+MAX($G$4-CHOOSE(PARAM!$B$44,MAX(0,J282*$F$1),0),0)*RATES!$L259/12+$H$4*(PARAM!$D$51/12)*RATES!$N259/100</f>
        <v>19.966571556162258</v>
      </c>
      <c r="J283" s="16">
        <f t="shared" si="154"/>
        <v>658.13117613081295</v>
      </c>
      <c r="K283" s="15">
        <f t="shared" si="155"/>
        <v>22.170849845882874</v>
      </c>
      <c r="L283" s="75">
        <f>K283*(1-PARAM!$C$27)*$I$5+(MOD($B283,60)=PARAM!$B$56)*($B283&gt;(60-PARAM!$B$56))*HLOOKUP(($B283+PARAM!$B$56)/12,Loyalty,2)*$F$1*MAX(N282,0)</f>
        <v>18.557001321003963</v>
      </c>
      <c r="M283" s="75">
        <f>PARAM!$C$26+MAX($G$5-CHOOSE(PARAM!$B$44,MAX(0,N282*$F$1),0),0)*RATES!$L259/12+$H$5*(PARAM!$D$51/12)*RATES!$N259/100</f>
        <v>19.95757277206414</v>
      </c>
      <c r="N283" s="16">
        <f t="shared" si="156"/>
        <v>687.91996020562544</v>
      </c>
      <c r="O283" s="15">
        <f t="shared" si="157"/>
        <v>22.170849845882874</v>
      </c>
      <c r="P283" s="75">
        <f>O283*(1-PARAM!$C$27)*$I$6+(MOD($B283,60)=PARAM!$B$56)*($B283&gt;(60-PARAM!$B$56))*HLOOKUP(($B283+PARAM!$B$56)/12,Loyalty,2)*$F$1*MAX(R282,0)</f>
        <v>18.557001321003963</v>
      </c>
      <c r="Q283" s="75">
        <f>PARAM!$C$26+MAX($G$6-CHOOSE(PARAM!$B$44,MAX(0,R282*$F$1),0),0)*RATES!$L259/12+$H$6*(PARAM!$D$51/12)*RATES!$N259/100</f>
        <v>19.95757277206414</v>
      </c>
      <c r="R283" s="16">
        <f t="shared" si="158"/>
        <v>687.91996020562544</v>
      </c>
      <c r="S283" s="15">
        <f t="shared" ref="S283:S346" si="176">$H$7*$CE283</f>
        <v>22.170849845882874</v>
      </c>
      <c r="T283" s="75">
        <f>S283*(1-PARAM!$C$27)*$I$7+(MOD($B283,60)=PARAM!$B$56)*($B283&gt;(60-PARAM!$B$56))*HLOOKUP(($B283+PARAM!$B$56)/12,Loyalty,2)*$F$1*MAX(V282,0)</f>
        <v>18.557001321003963</v>
      </c>
      <c r="U283" s="75">
        <f>PARAM!$C$26+MAX($G$7-CHOOSE(PARAM!$B$44,MAX(0,V282*$F$1),0),0)*RATES!$L259/12+$H$7*(PARAM!$D$51/12)*RATES!$N259/100</f>
        <v>19.95757277206414</v>
      </c>
      <c r="V283" s="16">
        <f t="shared" si="159"/>
        <v>687.91996020562544</v>
      </c>
      <c r="W283" s="15">
        <f t="shared" ref="W283:W346" si="177">$H$8*$CE283</f>
        <v>22.170849845882874</v>
      </c>
      <c r="X283" s="75">
        <f>W283*(1-PARAM!$C$27)*$I$8+(MOD($B283,60)=PARAM!$B$56)*($B283&gt;(60-PARAM!$B$56))*HLOOKUP(($B283+PARAM!$B$56)/12,Loyalty,2)*$F$1*MAX(Z282,0)</f>
        <v>18.557001321003963</v>
      </c>
      <c r="Y283" s="75">
        <f>PARAM!$C$26+MAX($G$8-CHOOSE(PARAM!$B$44,MAX(0,Z282*$F$1),0),0)*RATES!$L259/12+$H$8*(PARAM!$D$51/12)*RATES!$N259/100</f>
        <v>19.95757277206414</v>
      </c>
      <c r="Z283" s="16">
        <f t="shared" si="160"/>
        <v>687.91996020562544</v>
      </c>
      <c r="AA283" s="15">
        <f t="shared" ref="AA283:AA346" si="178">$H$9*$CE283</f>
        <v>22.170849845882874</v>
      </c>
      <c r="AB283" s="75">
        <f>AA283*(1-PARAM!$C$27)*$I$9+(MOD($B283,60)=PARAM!$B$56)*($B283&gt;(60-PARAM!$B$56))*HLOOKUP(($B283+PARAM!$B$56)/12,Loyalty,2)*$F$1*MAX(AD282,0)</f>
        <v>18.557001321003963</v>
      </c>
      <c r="AC283" s="75">
        <f>PARAM!$C$26+MAX($G$9-CHOOSE(PARAM!$B$44,MAX(0,AD282*$F$1),0),0)*RATES!$L259/12+$H$9*(PARAM!$D$51/12)*RATES!$N259/100</f>
        <v>19.95757277206414</v>
      </c>
      <c r="AD283" s="16">
        <f t="shared" si="161"/>
        <v>687.91996020562544</v>
      </c>
      <c r="AE283" s="15">
        <f t="shared" ref="AE283:AE346" si="179">$H$10*$CE283</f>
        <v>22.170849845882874</v>
      </c>
      <c r="AF283" s="75">
        <f>AE283*(1-PARAM!$C$27)*$I$10+(MOD($B283,60)=PARAM!$B$56)*($B283&gt;(60-PARAM!$B$56))*HLOOKUP(($B283+PARAM!$B$56)/12,Loyalty,2)*$F$1*MAX(AH282,0)</f>
        <v>18.557001321003963</v>
      </c>
      <c r="AG283" s="75">
        <f>PARAM!$C$26+MAX($G$10-CHOOSE(PARAM!$B$44,MAX(0,AH282*$F$1),0),0)*RATES!$L259/12+$H$10*(PARAM!$D$51/12)*RATES!$N259/100</f>
        <v>19.95757277206414</v>
      </c>
      <c r="AH283" s="16">
        <f t="shared" si="162"/>
        <v>687.91996020562544</v>
      </c>
      <c r="AI283" s="15">
        <f t="shared" ref="AI283:AI346" si="180">$H$11*$CE283</f>
        <v>22.170849845882874</v>
      </c>
      <c r="AJ283" s="75">
        <f>AI283*(1-PARAM!$C$27)*$I$11+(MOD($B283,60)=PARAM!$B$56)*($B283&gt;(60-PARAM!$B$56))*HLOOKUP(($B283+PARAM!$B$56)/12,Loyalty,2)*$F$1*MAX(AL282,0)</f>
        <v>18.557001321003963</v>
      </c>
      <c r="AK283" s="75">
        <f>PARAM!$C$26+MAX($G$11-CHOOSE(PARAM!$B$44,MAX(0,AL282*$F$1),0),0)*RATES!$L259/12+$H$11*(PARAM!$D$51/12)*RATES!$N259/100</f>
        <v>19.95757277206414</v>
      </c>
      <c r="AL283" s="16">
        <f t="shared" si="163"/>
        <v>687.91996020562544</v>
      </c>
      <c r="AM283" s="15">
        <f t="shared" ref="AM283:AM346" si="181">$H$12*$CE283</f>
        <v>22.170849845882874</v>
      </c>
      <c r="AN283" s="75">
        <f>AM283*(1-PARAM!$C$27)*$I$12+(MOD($B283,60)=PARAM!$B$56)*($B283&gt;(60-PARAM!$B$56))*HLOOKUP(($B283+PARAM!$B$56)/12,Loyalty,2)*$F$1*MAX(AP282,0)</f>
        <v>18.557001321003963</v>
      </c>
      <c r="AO283" s="75">
        <f>PARAM!$C$26+MAX($G$12-CHOOSE(PARAM!$B$44,MAX(0,AP282*$F$1),0),0)*RATES!$L259/12+$H$12*(PARAM!$D$51/12)*RATES!$N259/100</f>
        <v>19.95757277206414</v>
      </c>
      <c r="AP283" s="16">
        <f t="shared" si="164"/>
        <v>687.91996020562544</v>
      </c>
      <c r="AQ283" s="15">
        <f t="shared" ref="AQ283:AQ346" si="182">$H$13*$CE283</f>
        <v>22.170849845882874</v>
      </c>
      <c r="AR283" s="75">
        <f>AQ283*(1-PARAM!$C$27)*$I$13+(MOD($B283,60)=PARAM!$B$56)*($B283&gt;(60-PARAM!$B$56))*HLOOKUP(($B283+PARAM!$B$56)/12,Loyalty,2)*$F$1*MAX(AT282,0)</f>
        <v>18.557001321003963</v>
      </c>
      <c r="AS283" s="75">
        <f>PARAM!$C$26+MAX($G$13-CHOOSE(PARAM!$B$44,MAX(0,AT282*$F$1),0),0)*RATES!$L259/12+$H$13*(PARAM!$D$51/12)*RATES!$N259/100</f>
        <v>19.95757277206414</v>
      </c>
      <c r="AT283" s="16">
        <f t="shared" si="165"/>
        <v>687.91996020562544</v>
      </c>
      <c r="AU283" s="15">
        <f t="shared" ref="AU283:AU346" si="183">$H$14*$CE283</f>
        <v>22.170849845882874</v>
      </c>
      <c r="AV283" s="75">
        <f>AU283*(1-PARAM!$C$27)*$I$14+(MOD($B283,60)=PARAM!$B$56)*($B283&gt;(60-PARAM!$B$56))*HLOOKUP(($B283+PARAM!$B$56)/12,Loyalty,2)*$F$1*MAX(AX282,0)</f>
        <v>18.557001321003963</v>
      </c>
      <c r="AW283" s="75">
        <f>PARAM!$C$26+MAX($G$14-CHOOSE(PARAM!$B$44,MAX(0,AX282*$F$1),0),0)*RATES!$L259/12+$H$14*(PARAM!$D$51/12)*RATES!$N259/100</f>
        <v>19.95757277206414</v>
      </c>
      <c r="AX283" s="16">
        <f t="shared" si="166"/>
        <v>687.91996020562544</v>
      </c>
      <c r="AY283" s="15">
        <f t="shared" ref="AY283:AY346" si="184">$H$15*$CE283</f>
        <v>22.170849845882874</v>
      </c>
      <c r="AZ283" s="75">
        <f>AY283*(1-PARAM!$C$27)*$I$15+(MOD($B283,60)=PARAM!$B$56)*($B283&gt;(60-PARAM!$B$56))*HLOOKUP(($B283+PARAM!$B$56)/12,Loyalty,2)*$F$1*MAX(BB282,0)</f>
        <v>18.557001321003963</v>
      </c>
      <c r="BA283" s="75">
        <f>PARAM!$C$26+MAX($G$15-CHOOSE(PARAM!$B$44,MAX(0,BB282*$F$1),0),0)*RATES!$L259/12+$H$15*(PARAM!$D$51/12)*RATES!$N259/100</f>
        <v>19.95757277206414</v>
      </c>
      <c r="BB283" s="16">
        <f t="shared" si="167"/>
        <v>687.91996020562544</v>
      </c>
      <c r="BC283" s="15">
        <f t="shared" ref="BC283:BC346" si="185">$H$16*$CE283</f>
        <v>22.170849845882874</v>
      </c>
      <c r="BD283" s="75">
        <f>BC283*(1-PARAM!$C$27)*$I$16+(MOD($B283,60)=PARAM!$B$56)*($B283&gt;(60-PARAM!$B$56))*HLOOKUP(($B283+PARAM!$B$56)/12,Loyalty,2)*$F$1*MAX(BF282,0)</f>
        <v>18.557001321003963</v>
      </c>
      <c r="BE283" s="75">
        <f>PARAM!$C$26+MAX($G$16-CHOOSE(PARAM!$B$44,MAX(0,BF282*$F$1),0),0)*RATES!$L259/12+$H$16*(PARAM!$D$51/12)*RATES!$N259/100</f>
        <v>19.95757277206414</v>
      </c>
      <c r="BF283" s="16">
        <f t="shared" si="168"/>
        <v>687.91996020562544</v>
      </c>
      <c r="BG283" s="15">
        <f t="shared" ref="BG283:BG346" si="186">$H$17*$CE283</f>
        <v>22.170849845882874</v>
      </c>
      <c r="BH283" s="75">
        <f>BG283*(1-PARAM!$C$27)*$I$17+(MOD($B283,60)=PARAM!$B$56)*($B283&gt;(60-PARAM!$B$56))*HLOOKUP(($B283+PARAM!$B$56)/12,Loyalty,2)*$F$1*MAX(BJ282,0)</f>
        <v>18.557001321003963</v>
      </c>
      <c r="BI283" s="75">
        <f>PARAM!$C$26+MAX($G$17-CHOOSE(PARAM!$B$44,MAX(0,BJ282*$F$1),0),0)*RATES!$L259/12+$H$17*(PARAM!$D$51/12)*RATES!$N259/100</f>
        <v>19.95757277206414</v>
      </c>
      <c r="BJ283" s="16">
        <f t="shared" si="169"/>
        <v>687.91996020562544</v>
      </c>
      <c r="BK283" s="15">
        <f t="shared" ref="BK283:BK346" si="187">$H$18*$CE283</f>
        <v>22.170849845882874</v>
      </c>
      <c r="BL283" s="75">
        <f>BK283*(1-PARAM!$C$27)*$I$18+(MOD($B283,60)=PARAM!$B$56)*($B283&gt;(60-PARAM!$B$56))*HLOOKUP(($B283+PARAM!$B$56)/12,Loyalty,2)*$F$1*MAX(BN282,0)</f>
        <v>18.557001321003963</v>
      </c>
      <c r="BM283" s="75">
        <f>PARAM!$C$26+MAX($G$18-CHOOSE(PARAM!$B$44,MAX(0,BN282*$F$1),0),0)*RATES!$L259/12+$H$18*(PARAM!$D$51/12)*RATES!$N259/100</f>
        <v>19.95757277206414</v>
      </c>
      <c r="BN283" s="16">
        <f t="shared" si="170"/>
        <v>687.91996020562544</v>
      </c>
      <c r="BO283" s="15">
        <f t="shared" ref="BO283:BO346" si="188">$H$19*$CE283</f>
        <v>22.170849845882874</v>
      </c>
      <c r="BP283" s="75">
        <f>BO283*(1-PARAM!$C$27)*$I$19+(MOD($B283,60)=PARAM!$B$56)*($B283&gt;(60-PARAM!$B$56))*HLOOKUP(($B283+PARAM!$B$56)/12,Loyalty,2)*$F$1*MAX(BR282,0)</f>
        <v>18.557001321003963</v>
      </c>
      <c r="BQ283" s="75">
        <f>PARAM!$C$26+MAX($G$19-CHOOSE(PARAM!$B$44,MAX(0,BR282*$F$1),0),0)*RATES!$L259/12+$H$19*(PARAM!$D$51/12)*RATES!$N259/100</f>
        <v>19.95757277206414</v>
      </c>
      <c r="BR283" s="16">
        <f t="shared" si="171"/>
        <v>687.91996020562544</v>
      </c>
      <c r="BS283" s="15">
        <f t="shared" ref="BS283:BS346" si="189">$H$20*$CE283</f>
        <v>22.170849845882874</v>
      </c>
      <c r="BT283" s="75">
        <f>BS283*(1-PARAM!$C$27)*$I$20+(MOD($B283,60)=PARAM!$B$56)*($B283&gt;(60-PARAM!$B$56))*HLOOKUP(($B283+PARAM!$B$56)/12,Loyalty,2)*$F$1*MAX(BV282,0)</f>
        <v>18.557001321003963</v>
      </c>
      <c r="BU283" s="75">
        <f>PARAM!$C$26+MAX($G$20-CHOOSE(PARAM!$B$44,MAX(0,BV282*$F$1),0),0)*RATES!$L259/12+$H$20*(PARAM!$D$51/12)*RATES!$N259/100</f>
        <v>19.95757277206414</v>
      </c>
      <c r="BV283" s="16">
        <f t="shared" si="172"/>
        <v>687.91996020562544</v>
      </c>
      <c r="BW283" s="15">
        <f t="shared" ref="BW283:BW346" si="190">$H$21*$CE283</f>
        <v>22.170849845882874</v>
      </c>
      <c r="BX283" s="75">
        <f>BW283*(1-PARAM!$C$27)*$I$21+(MOD($B283,60)=PARAM!$B$56)*($B283&gt;(60-PARAM!$B$56))*HLOOKUP(($B283+PARAM!$B$56)/12,Loyalty,2)*$F$1*MAX(BZ282,0)</f>
        <v>18.557001321003963</v>
      </c>
      <c r="BY283" s="75">
        <f>PARAM!$C$26+MAX($G$21-CHOOSE(PARAM!$B$44,MAX(0,BZ282*$F$1),0),0)*RATES!$L259/12+$H$21*(PARAM!$D$51/12)*RATES!$N259/100</f>
        <v>19.95757277206414</v>
      </c>
      <c r="BZ283" s="16">
        <f t="shared" si="173"/>
        <v>687.91996020562544</v>
      </c>
      <c r="CA283" s="15">
        <f t="shared" ref="CA283:CA346" si="191">$H$22*$CE283</f>
        <v>22.170849845882874</v>
      </c>
      <c r="CB283" s="75">
        <f>CA283*(1-PARAM!$C$27)*$I$22+(MOD($B283,60)=PARAM!$B$56)*($B283&gt;(60-PARAM!$B$56))*HLOOKUP(($B283+PARAM!$B$56)/12,Loyalty,2)*$F$1*MAX(CD282,0)</f>
        <v>18.557001321003963</v>
      </c>
      <c r="CC283" s="75">
        <f>PARAM!$C$26+MAX($G$22-CHOOSE(PARAM!$B$44,MAX(0,CD282*$F$1),0),0)*RATES!$L259/12+$H$22*(PARAM!$D$51/12)*RATES!$N259/100</f>
        <v>19.95757277206414</v>
      </c>
      <c r="CD283" s="16">
        <f t="shared" si="174"/>
        <v>687.91996020562544</v>
      </c>
      <c r="CE283" s="33">
        <f>IF(0=MOD(B283,12/PARAM!$D$51),1,0)</f>
        <v>1</v>
      </c>
      <c r="CF283" s="15">
        <f t="shared" ref="CF283:CF346" si="192">$Q$3*CE283</f>
        <v>0</v>
      </c>
      <c r="CG283" s="75">
        <f>CF283*(1-PARAM!$C$27)*$R$3+(MOD($B283/12,5)=0)*($B283&gt;60)*HLOOKUP($B283/12,Loyalty,2)*$F$1*MAX(CI282,0)</f>
        <v>0</v>
      </c>
      <c r="CH283" s="75">
        <f>PARAM!$C$26+MAX($P$3-CHOOSE(PARAM!$B$44,MAX(0,CI282*$F$1),0),0)*RATES!$L259/12+$Q$3*(PARAM!$D$51/12)*RATES!$N259/100</f>
        <v>20.166666666666664</v>
      </c>
      <c r="CI283" s="16">
        <f>IF(CI282&gt;0,CI282*PARAM!$C$53,CI282)+CG283-CH283</f>
        <v>-3915.8333333333267</v>
      </c>
      <c r="CJ283" s="15">
        <f t="shared" si="175"/>
        <v>0</v>
      </c>
      <c r="CK283" s="75">
        <f>CJ283*(1-PARAM!$C$27)*$R$4+(MOD($B283/12,5)=0)*($B283&gt;60)*HLOOKUP($B283/12,Loyalty,2)*$F$1*MAX(CM282,0)</f>
        <v>0</v>
      </c>
      <c r="CL283" s="75">
        <f>PARAM!$C$26+MAX($P$4-CHOOSE(PARAM!$B$44,MAX(0,CM282*$F$1),0),0)*RATES!$L259/12+$Q$4*(PARAM!$D$51/12)*RATES!$N259/100</f>
        <v>20.166666666666664</v>
      </c>
      <c r="CM283" s="16">
        <f>IF(CM282&gt;0,CM282*PARAM!$C$53,CM282)+CK283-CL283</f>
        <v>-3915.8333333333267</v>
      </c>
      <c r="CO283" s="176"/>
    </row>
    <row r="284" spans="1:93" x14ac:dyDescent="0.2">
      <c r="A284" t="b">
        <f t="shared" ref="A284:A347" si="193">F284&gt;0</f>
        <v>1</v>
      </c>
      <c r="B284" s="33">
        <v>257</v>
      </c>
      <c r="C284" s="15">
        <f t="shared" ref="C284:C347" si="194">$H$3*$CE284</f>
        <v>20.081305947392778</v>
      </c>
      <c r="D284" s="75">
        <f>C284*(1-PARAM!$C$27)*$I$3+(MOD($B284,60)=PARAM!$B$56)*($B284&gt;(60-PARAM!$B$56))*HLOOKUP(($B284+PARAM!$B$56)/12,Loyalty,2)*$F$1*MAX(F283,0)</f>
        <v>16.808053077967756</v>
      </c>
      <c r="E284" s="75">
        <f>PARAM!$C$26+MAX($G$3-CHOOSE(PARAM!$B$44,MAX(0,F283*$F$1),0),0)*RATES!$L260/12+$H$3*(PARAM!$D$51/12)*RATES!$N260/100</f>
        <v>20.097203656787862</v>
      </c>
      <c r="F284" s="16">
        <f t="shared" ref="F284:F347" si="195">IF(F283&gt;0,F283*$F$1,F283)+D284-E284</f>
        <v>225.70978308756494</v>
      </c>
      <c r="G284" s="15">
        <f t="shared" ref="G284:G347" si="196">$H$4*$CE284</f>
        <v>22.035289406060361</v>
      </c>
      <c r="H284" s="75">
        <f>G284*(1-PARAM!$C$27)*$I$4+(MOD($B284,60)=PARAM!$B$56)*($B284&gt;(60-PARAM!$B$56))*HLOOKUP(($B284+PARAM!$B$56)/12,Loyalty,2)*$F$1*MAX(J283,0)</f>
        <v>18.443537232872522</v>
      </c>
      <c r="I284" s="75">
        <f>PARAM!$C$26+MAX($G$4-CHOOSE(PARAM!$B$44,MAX(0,J283*$F$1),0),0)*RATES!$L260/12+$H$4*(PARAM!$D$51/12)*RATES!$N260/100</f>
        <v>19.967033543240319</v>
      </c>
      <c r="J284" s="16">
        <f t="shared" ref="J284:J347" si="197">IF(J283&gt;0,J283*$F$1,J283)+H284-I284</f>
        <v>656.60767982044513</v>
      </c>
      <c r="K284" s="15">
        <f t="shared" ref="K284:K347" si="198">$H$5*$CE284</f>
        <v>22.170849845882874</v>
      </c>
      <c r="L284" s="75">
        <f>K284*(1-PARAM!$C$27)*$I$5+(MOD($B284,60)=PARAM!$B$56)*($B284&gt;(60-PARAM!$B$56))*HLOOKUP(($B284+PARAM!$B$56)/12,Loyalty,2)*$F$1*MAX(N283,0)</f>
        <v>18.557001321003963</v>
      </c>
      <c r="M284" s="75">
        <f>PARAM!$C$26+MAX($G$5-CHOOSE(PARAM!$B$44,MAX(0,N283*$F$1),0),0)*RATES!$L260/12+$H$5*(PARAM!$D$51/12)*RATES!$N260/100</f>
        <v>19.957997612070962</v>
      </c>
      <c r="N284" s="16">
        <f t="shared" ref="N284:N347" si="199">IF(N283&gt;0,N283*$F$1,N283)+L284-M284</f>
        <v>686.51896391455853</v>
      </c>
      <c r="O284" s="15">
        <f t="shared" ref="O284:O347" si="200">$H$6*$CE284</f>
        <v>22.170849845882874</v>
      </c>
      <c r="P284" s="75">
        <f>O284*(1-PARAM!$C$27)*$I$6+(MOD($B284,60)=PARAM!$B$56)*($B284&gt;(60-PARAM!$B$56))*HLOOKUP(($B284+PARAM!$B$56)/12,Loyalty,2)*$F$1*MAX(R283,0)</f>
        <v>18.557001321003963</v>
      </c>
      <c r="Q284" s="75">
        <f>PARAM!$C$26+MAX($G$6-CHOOSE(PARAM!$B$44,MAX(0,R283*$F$1),0),0)*RATES!$L260/12+$H$6*(PARAM!$D$51/12)*RATES!$N260/100</f>
        <v>19.957997612070962</v>
      </c>
      <c r="R284" s="16">
        <f t="shared" ref="R284:R347" si="201">IF(R283&gt;0,R283*$F$1,R283)+P284-Q284</f>
        <v>686.51896391455853</v>
      </c>
      <c r="S284" s="15">
        <f t="shared" si="176"/>
        <v>22.170849845882874</v>
      </c>
      <c r="T284" s="75">
        <f>S284*(1-PARAM!$C$27)*$I$7+(MOD($B284,60)=PARAM!$B$56)*($B284&gt;(60-PARAM!$B$56))*HLOOKUP(($B284+PARAM!$B$56)/12,Loyalty,2)*$F$1*MAX(V283,0)</f>
        <v>18.557001321003963</v>
      </c>
      <c r="U284" s="75">
        <f>PARAM!$C$26+MAX($G$7-CHOOSE(PARAM!$B$44,MAX(0,V283*$F$1),0),0)*RATES!$L260/12+$H$7*(PARAM!$D$51/12)*RATES!$N260/100</f>
        <v>19.957997612070962</v>
      </c>
      <c r="V284" s="16">
        <f t="shared" ref="V284:V347" si="202">IF(V283&gt;0,V283*$F$1,V283)+T284-U284</f>
        <v>686.51896391455853</v>
      </c>
      <c r="W284" s="15">
        <f t="shared" si="177"/>
        <v>22.170849845882874</v>
      </c>
      <c r="X284" s="75">
        <f>W284*(1-PARAM!$C$27)*$I$8+(MOD($B284,60)=PARAM!$B$56)*($B284&gt;(60-PARAM!$B$56))*HLOOKUP(($B284+PARAM!$B$56)/12,Loyalty,2)*$F$1*MAX(Z283,0)</f>
        <v>18.557001321003963</v>
      </c>
      <c r="Y284" s="75">
        <f>PARAM!$C$26+MAX($G$8-CHOOSE(PARAM!$B$44,MAX(0,Z283*$F$1),0),0)*RATES!$L260/12+$H$8*(PARAM!$D$51/12)*RATES!$N260/100</f>
        <v>19.957997612070962</v>
      </c>
      <c r="Z284" s="16">
        <f t="shared" ref="Z284:Z347" si="203">IF(Z283&gt;0,Z283*$F$1,Z283)+X284-Y284</f>
        <v>686.51896391455853</v>
      </c>
      <c r="AA284" s="15">
        <f t="shared" si="178"/>
        <v>22.170849845882874</v>
      </c>
      <c r="AB284" s="75">
        <f>AA284*(1-PARAM!$C$27)*$I$9+(MOD($B284,60)=PARAM!$B$56)*($B284&gt;(60-PARAM!$B$56))*HLOOKUP(($B284+PARAM!$B$56)/12,Loyalty,2)*$F$1*MAX(AD283,0)</f>
        <v>18.557001321003963</v>
      </c>
      <c r="AC284" s="75">
        <f>PARAM!$C$26+MAX($G$9-CHOOSE(PARAM!$B$44,MAX(0,AD283*$F$1),0),0)*RATES!$L260/12+$H$9*(PARAM!$D$51/12)*RATES!$N260/100</f>
        <v>19.957997612070962</v>
      </c>
      <c r="AD284" s="16">
        <f t="shared" ref="AD284:AD347" si="204">IF(AD283&gt;0,AD283*$F$1,AD283)+AB284-AC284</f>
        <v>686.51896391455853</v>
      </c>
      <c r="AE284" s="15">
        <f t="shared" si="179"/>
        <v>22.170849845882874</v>
      </c>
      <c r="AF284" s="75">
        <f>AE284*(1-PARAM!$C$27)*$I$10+(MOD($B284,60)=PARAM!$B$56)*($B284&gt;(60-PARAM!$B$56))*HLOOKUP(($B284+PARAM!$B$56)/12,Loyalty,2)*$F$1*MAX(AH283,0)</f>
        <v>18.557001321003963</v>
      </c>
      <c r="AG284" s="75">
        <f>PARAM!$C$26+MAX($G$10-CHOOSE(PARAM!$B$44,MAX(0,AH283*$F$1),0),0)*RATES!$L260/12+$H$10*(PARAM!$D$51/12)*RATES!$N260/100</f>
        <v>19.957997612070962</v>
      </c>
      <c r="AH284" s="16">
        <f t="shared" ref="AH284:AH347" si="205">IF(AH283&gt;0,AH283*$F$1,AH283)+AF284-AG284</f>
        <v>686.51896391455853</v>
      </c>
      <c r="AI284" s="15">
        <f t="shared" si="180"/>
        <v>22.170849845882874</v>
      </c>
      <c r="AJ284" s="75">
        <f>AI284*(1-PARAM!$C$27)*$I$11+(MOD($B284,60)=PARAM!$B$56)*($B284&gt;(60-PARAM!$B$56))*HLOOKUP(($B284+PARAM!$B$56)/12,Loyalty,2)*$F$1*MAX(AL283,0)</f>
        <v>18.557001321003963</v>
      </c>
      <c r="AK284" s="75">
        <f>PARAM!$C$26+MAX($G$11-CHOOSE(PARAM!$B$44,MAX(0,AL283*$F$1),0),0)*RATES!$L260/12+$H$11*(PARAM!$D$51/12)*RATES!$N260/100</f>
        <v>19.957997612070962</v>
      </c>
      <c r="AL284" s="16">
        <f t="shared" ref="AL284:AL347" si="206">IF(AL283&gt;0,AL283*$F$1,AL283)+AJ284-AK284</f>
        <v>686.51896391455853</v>
      </c>
      <c r="AM284" s="15">
        <f t="shared" si="181"/>
        <v>22.170849845882874</v>
      </c>
      <c r="AN284" s="75">
        <f>AM284*(1-PARAM!$C$27)*$I$12+(MOD($B284,60)=PARAM!$B$56)*($B284&gt;(60-PARAM!$B$56))*HLOOKUP(($B284+PARAM!$B$56)/12,Loyalty,2)*$F$1*MAX(AP283,0)</f>
        <v>18.557001321003963</v>
      </c>
      <c r="AO284" s="75">
        <f>PARAM!$C$26+MAX($G$12-CHOOSE(PARAM!$B$44,MAX(0,AP283*$F$1),0),0)*RATES!$L260/12+$H$12*(PARAM!$D$51/12)*RATES!$N260/100</f>
        <v>19.957997612070962</v>
      </c>
      <c r="AP284" s="16">
        <f t="shared" ref="AP284:AP347" si="207">IF(AP283&gt;0,AP283*$F$1,AP283)+AN284-AO284</f>
        <v>686.51896391455853</v>
      </c>
      <c r="AQ284" s="15">
        <f t="shared" si="182"/>
        <v>22.170849845882874</v>
      </c>
      <c r="AR284" s="75">
        <f>AQ284*(1-PARAM!$C$27)*$I$13+(MOD($B284,60)=PARAM!$B$56)*($B284&gt;(60-PARAM!$B$56))*HLOOKUP(($B284+PARAM!$B$56)/12,Loyalty,2)*$F$1*MAX(AT283,0)</f>
        <v>18.557001321003963</v>
      </c>
      <c r="AS284" s="75">
        <f>PARAM!$C$26+MAX($G$13-CHOOSE(PARAM!$B$44,MAX(0,AT283*$F$1),0),0)*RATES!$L260/12+$H$13*(PARAM!$D$51/12)*RATES!$N260/100</f>
        <v>19.957997612070962</v>
      </c>
      <c r="AT284" s="16">
        <f t="shared" ref="AT284:AT347" si="208">IF(AT283&gt;0,AT283*$F$1,AT283)+AR284-AS284</f>
        <v>686.51896391455853</v>
      </c>
      <c r="AU284" s="15">
        <f t="shared" si="183"/>
        <v>22.170849845882874</v>
      </c>
      <c r="AV284" s="75">
        <f>AU284*(1-PARAM!$C$27)*$I$14+(MOD($B284,60)=PARAM!$B$56)*($B284&gt;(60-PARAM!$B$56))*HLOOKUP(($B284+PARAM!$B$56)/12,Loyalty,2)*$F$1*MAX(AX283,0)</f>
        <v>18.557001321003963</v>
      </c>
      <c r="AW284" s="75">
        <f>PARAM!$C$26+MAX($G$14-CHOOSE(PARAM!$B$44,MAX(0,AX283*$F$1),0),0)*RATES!$L260/12+$H$14*(PARAM!$D$51/12)*RATES!$N260/100</f>
        <v>19.957997612070962</v>
      </c>
      <c r="AX284" s="16">
        <f t="shared" ref="AX284:AX347" si="209">IF(AX283&gt;0,AX283*$F$1,AX283)+AV284-AW284</f>
        <v>686.51896391455853</v>
      </c>
      <c r="AY284" s="15">
        <f t="shared" si="184"/>
        <v>22.170849845882874</v>
      </c>
      <c r="AZ284" s="75">
        <f>AY284*(1-PARAM!$C$27)*$I$15+(MOD($B284,60)=PARAM!$B$56)*($B284&gt;(60-PARAM!$B$56))*HLOOKUP(($B284+PARAM!$B$56)/12,Loyalty,2)*$F$1*MAX(BB283,0)</f>
        <v>18.557001321003963</v>
      </c>
      <c r="BA284" s="75">
        <f>PARAM!$C$26+MAX($G$15-CHOOSE(PARAM!$B$44,MAX(0,BB283*$F$1),0),0)*RATES!$L260/12+$H$15*(PARAM!$D$51/12)*RATES!$N260/100</f>
        <v>19.957997612070962</v>
      </c>
      <c r="BB284" s="16">
        <f t="shared" ref="BB284:BB347" si="210">IF(BB283&gt;0,BB283*$F$1,BB283)+AZ284-BA284</f>
        <v>686.51896391455853</v>
      </c>
      <c r="BC284" s="15">
        <f t="shared" si="185"/>
        <v>22.170849845882874</v>
      </c>
      <c r="BD284" s="75">
        <f>BC284*(1-PARAM!$C$27)*$I$16+(MOD($B284,60)=PARAM!$B$56)*($B284&gt;(60-PARAM!$B$56))*HLOOKUP(($B284+PARAM!$B$56)/12,Loyalty,2)*$F$1*MAX(BF283,0)</f>
        <v>18.557001321003963</v>
      </c>
      <c r="BE284" s="75">
        <f>PARAM!$C$26+MAX($G$16-CHOOSE(PARAM!$B$44,MAX(0,BF283*$F$1),0),0)*RATES!$L260/12+$H$16*(PARAM!$D$51/12)*RATES!$N260/100</f>
        <v>19.957997612070962</v>
      </c>
      <c r="BF284" s="16">
        <f t="shared" ref="BF284:BF347" si="211">IF(BF283&gt;0,BF283*$F$1,BF283)+BD284-BE284</f>
        <v>686.51896391455853</v>
      </c>
      <c r="BG284" s="15">
        <f t="shared" si="186"/>
        <v>22.170849845882874</v>
      </c>
      <c r="BH284" s="75">
        <f>BG284*(1-PARAM!$C$27)*$I$17+(MOD($B284,60)=PARAM!$B$56)*($B284&gt;(60-PARAM!$B$56))*HLOOKUP(($B284+PARAM!$B$56)/12,Loyalty,2)*$F$1*MAX(BJ283,0)</f>
        <v>18.557001321003963</v>
      </c>
      <c r="BI284" s="75">
        <f>PARAM!$C$26+MAX($G$17-CHOOSE(PARAM!$B$44,MAX(0,BJ283*$F$1),0),0)*RATES!$L260/12+$H$17*(PARAM!$D$51/12)*RATES!$N260/100</f>
        <v>19.957997612070962</v>
      </c>
      <c r="BJ284" s="16">
        <f t="shared" ref="BJ284:BJ347" si="212">IF(BJ283&gt;0,BJ283*$F$1,BJ283)+BH284-BI284</f>
        <v>686.51896391455853</v>
      </c>
      <c r="BK284" s="15">
        <f t="shared" si="187"/>
        <v>22.170849845882874</v>
      </c>
      <c r="BL284" s="75">
        <f>BK284*(1-PARAM!$C$27)*$I$18+(MOD($B284,60)=PARAM!$B$56)*($B284&gt;(60-PARAM!$B$56))*HLOOKUP(($B284+PARAM!$B$56)/12,Loyalty,2)*$F$1*MAX(BN283,0)</f>
        <v>18.557001321003963</v>
      </c>
      <c r="BM284" s="75">
        <f>PARAM!$C$26+MAX($G$18-CHOOSE(PARAM!$B$44,MAX(0,BN283*$F$1),0),0)*RATES!$L260/12+$H$18*(PARAM!$D$51/12)*RATES!$N260/100</f>
        <v>19.957997612070962</v>
      </c>
      <c r="BN284" s="16">
        <f t="shared" ref="BN284:BN347" si="213">IF(BN283&gt;0,BN283*$F$1,BN283)+BL284-BM284</f>
        <v>686.51896391455853</v>
      </c>
      <c r="BO284" s="15">
        <f t="shared" si="188"/>
        <v>22.170849845882874</v>
      </c>
      <c r="BP284" s="75">
        <f>BO284*(1-PARAM!$C$27)*$I$19+(MOD($B284,60)=PARAM!$B$56)*($B284&gt;(60-PARAM!$B$56))*HLOOKUP(($B284+PARAM!$B$56)/12,Loyalty,2)*$F$1*MAX(BR283,0)</f>
        <v>18.557001321003963</v>
      </c>
      <c r="BQ284" s="75">
        <f>PARAM!$C$26+MAX($G$19-CHOOSE(PARAM!$B$44,MAX(0,BR283*$F$1),0),0)*RATES!$L260/12+$H$19*(PARAM!$D$51/12)*RATES!$N260/100</f>
        <v>19.957997612070962</v>
      </c>
      <c r="BR284" s="16">
        <f t="shared" ref="BR284:BR347" si="214">IF(BR283&gt;0,BR283*$F$1,BR283)+BP284-BQ284</f>
        <v>686.51896391455853</v>
      </c>
      <c r="BS284" s="15">
        <f t="shared" si="189"/>
        <v>22.170849845882874</v>
      </c>
      <c r="BT284" s="75">
        <f>BS284*(1-PARAM!$C$27)*$I$20+(MOD($B284,60)=PARAM!$B$56)*($B284&gt;(60-PARAM!$B$56))*HLOOKUP(($B284+PARAM!$B$56)/12,Loyalty,2)*$F$1*MAX(BV283,0)</f>
        <v>18.557001321003963</v>
      </c>
      <c r="BU284" s="75">
        <f>PARAM!$C$26+MAX($G$20-CHOOSE(PARAM!$B$44,MAX(0,BV283*$F$1),0),0)*RATES!$L260/12+$H$20*(PARAM!$D$51/12)*RATES!$N260/100</f>
        <v>19.957997612070962</v>
      </c>
      <c r="BV284" s="16">
        <f t="shared" ref="BV284:BV347" si="215">IF(BV283&gt;0,BV283*$F$1,BV283)+BT284-BU284</f>
        <v>686.51896391455853</v>
      </c>
      <c r="BW284" s="15">
        <f t="shared" si="190"/>
        <v>22.170849845882874</v>
      </c>
      <c r="BX284" s="75">
        <f>BW284*(1-PARAM!$C$27)*$I$21+(MOD($B284,60)=PARAM!$B$56)*($B284&gt;(60-PARAM!$B$56))*HLOOKUP(($B284+PARAM!$B$56)/12,Loyalty,2)*$F$1*MAX(BZ283,0)</f>
        <v>18.557001321003963</v>
      </c>
      <c r="BY284" s="75">
        <f>PARAM!$C$26+MAX($G$21-CHOOSE(PARAM!$B$44,MAX(0,BZ283*$F$1),0),0)*RATES!$L260/12+$H$21*(PARAM!$D$51/12)*RATES!$N260/100</f>
        <v>19.957997612070962</v>
      </c>
      <c r="BZ284" s="16">
        <f t="shared" ref="BZ284:BZ347" si="216">IF(BZ283&gt;0,BZ283*$F$1,BZ283)+BX284-BY284</f>
        <v>686.51896391455853</v>
      </c>
      <c r="CA284" s="15">
        <f t="shared" si="191"/>
        <v>22.170849845882874</v>
      </c>
      <c r="CB284" s="75">
        <f>CA284*(1-PARAM!$C$27)*$I$22+(MOD($B284,60)=PARAM!$B$56)*($B284&gt;(60-PARAM!$B$56))*HLOOKUP(($B284+PARAM!$B$56)/12,Loyalty,2)*$F$1*MAX(CD283,0)</f>
        <v>18.557001321003963</v>
      </c>
      <c r="CC284" s="75">
        <f>PARAM!$C$26+MAX($G$22-CHOOSE(PARAM!$B$44,MAX(0,CD283*$F$1),0),0)*RATES!$L260/12+$H$22*(PARAM!$D$51/12)*RATES!$N260/100</f>
        <v>19.957997612070962</v>
      </c>
      <c r="CD284" s="16">
        <f t="shared" ref="CD284:CD347" si="217">IF(CD283&gt;0,CD283*$F$1,CD283)+CB284-CC284</f>
        <v>686.51896391455853</v>
      </c>
      <c r="CE284" s="33">
        <f>IF(0=MOD(B284,12/PARAM!$D$51),1,0)</f>
        <v>1</v>
      </c>
      <c r="CF284" s="15">
        <f t="shared" si="192"/>
        <v>0</v>
      </c>
      <c r="CG284" s="75">
        <f>CF284*(1-PARAM!$C$27)*$R$3+(MOD($B284/12,5)=0)*($B284&gt;60)*HLOOKUP($B284/12,Loyalty,2)*$F$1*MAX(CI283,0)</f>
        <v>0</v>
      </c>
      <c r="CH284" s="75">
        <f>PARAM!$C$26+MAX($P$3-CHOOSE(PARAM!$B$44,MAX(0,CI283*$F$1),0),0)*RATES!$L260/12+$Q$3*(PARAM!$D$51/12)*RATES!$N260/100</f>
        <v>20.166666666666664</v>
      </c>
      <c r="CI284" s="16">
        <f>IF(CI283&gt;0,CI283*PARAM!$C$53,CI283)+CG284-CH284</f>
        <v>-3935.9999999999932</v>
      </c>
      <c r="CJ284" s="15">
        <f t="shared" ref="CJ284:CJ347" si="218">$Q$4*CE284</f>
        <v>0</v>
      </c>
      <c r="CK284" s="75">
        <f>CJ284*(1-PARAM!$C$27)*$R$4+(MOD($B284/12,5)=0)*($B284&gt;60)*HLOOKUP($B284/12,Loyalty,2)*$F$1*MAX(CM283,0)</f>
        <v>0</v>
      </c>
      <c r="CL284" s="75">
        <f>PARAM!$C$26+MAX($P$4-CHOOSE(PARAM!$B$44,MAX(0,CM283*$F$1),0),0)*RATES!$L260/12+$Q$4*(PARAM!$D$51/12)*RATES!$N260/100</f>
        <v>20.166666666666664</v>
      </c>
      <c r="CM284" s="16">
        <f>IF(CM283&gt;0,CM283*PARAM!$C$53,CM283)+CK284-CL284</f>
        <v>-3935.9999999999932</v>
      </c>
      <c r="CO284" s="176"/>
    </row>
    <row r="285" spans="1:93" x14ac:dyDescent="0.2">
      <c r="A285" t="b">
        <f t="shared" si="193"/>
        <v>1</v>
      </c>
      <c r="B285" s="33">
        <v>258</v>
      </c>
      <c r="C285" s="15">
        <f t="shared" si="194"/>
        <v>20.081305947392778</v>
      </c>
      <c r="D285" s="75">
        <f>C285*(1-PARAM!$C$27)*$I$3+(MOD($B285,60)=PARAM!$B$56)*($B285&gt;(60-PARAM!$B$56))*HLOOKUP(($B285+PARAM!$B$56)/12,Loyalty,2)*$F$1*MAX(F284,0)</f>
        <v>16.808053077967756</v>
      </c>
      <c r="E285" s="75">
        <f>PARAM!$C$26+MAX($G$3-CHOOSE(PARAM!$B$44,MAX(0,F284*$F$1),0),0)*RATES!$L261/12+$H$3*(PARAM!$D$51/12)*RATES!$N261/100</f>
        <v>21.881780098569472</v>
      </c>
      <c r="F285" s="16">
        <f t="shared" si="195"/>
        <v>220.63605606696322</v>
      </c>
      <c r="G285" s="15">
        <f t="shared" si="196"/>
        <v>22.035289406060361</v>
      </c>
      <c r="H285" s="75">
        <f>G285*(1-PARAM!$C$27)*$I$4+(MOD($B285,60)=PARAM!$B$56)*($B285&gt;(60-PARAM!$B$56))*HLOOKUP(($B285+PARAM!$B$56)/12,Loyalty,2)*$F$1*MAX(J284,0)</f>
        <v>18.443537232872522</v>
      </c>
      <c r="I285" s="75">
        <f>PARAM!$C$26+MAX($G$4-CHOOSE(PARAM!$B$44,MAX(0,J284*$F$1),0),0)*RATES!$L261/12+$H$4*(PARAM!$D$51/12)*RATES!$N261/100</f>
        <v>21.7356338952609</v>
      </c>
      <c r="J285" s="16">
        <f t="shared" si="197"/>
        <v>653.31558315805671</v>
      </c>
      <c r="K285" s="15">
        <f t="shared" si="198"/>
        <v>22.170849845882874</v>
      </c>
      <c r="L285" s="75">
        <f>K285*(1-PARAM!$C$27)*$I$5+(MOD($B285,60)=PARAM!$B$56)*($B285&gt;(60-PARAM!$B$56))*HLOOKUP(($B285+PARAM!$B$56)/12,Loyalty,2)*$F$1*MAX(N284,0)</f>
        <v>18.557001321003963</v>
      </c>
      <c r="M285" s="75">
        <f>PARAM!$C$26+MAX($G$5-CHOOSE(PARAM!$B$44,MAX(0,N284*$F$1),0),0)*RATES!$L261/12+$H$5*(PARAM!$D$51/12)*RATES!$N261/100</f>
        <v>21.72548898473898</v>
      </c>
      <c r="N285" s="16">
        <f t="shared" si="199"/>
        <v>683.35047625082359</v>
      </c>
      <c r="O285" s="15">
        <f t="shared" si="200"/>
        <v>22.170849845882874</v>
      </c>
      <c r="P285" s="75">
        <f>O285*(1-PARAM!$C$27)*$I$6+(MOD($B285,60)=PARAM!$B$56)*($B285&gt;(60-PARAM!$B$56))*HLOOKUP(($B285+PARAM!$B$56)/12,Loyalty,2)*$F$1*MAX(R284,0)</f>
        <v>18.557001321003963</v>
      </c>
      <c r="Q285" s="75">
        <f>PARAM!$C$26+MAX($G$6-CHOOSE(PARAM!$B$44,MAX(0,R284*$F$1),0),0)*RATES!$L261/12+$H$6*(PARAM!$D$51/12)*RATES!$N261/100</f>
        <v>21.72548898473898</v>
      </c>
      <c r="R285" s="16">
        <f t="shared" si="201"/>
        <v>683.35047625082359</v>
      </c>
      <c r="S285" s="15">
        <f t="shared" si="176"/>
        <v>22.170849845882874</v>
      </c>
      <c r="T285" s="75">
        <f>S285*(1-PARAM!$C$27)*$I$7+(MOD($B285,60)=PARAM!$B$56)*($B285&gt;(60-PARAM!$B$56))*HLOOKUP(($B285+PARAM!$B$56)/12,Loyalty,2)*$F$1*MAX(V284,0)</f>
        <v>18.557001321003963</v>
      </c>
      <c r="U285" s="75">
        <f>PARAM!$C$26+MAX($G$7-CHOOSE(PARAM!$B$44,MAX(0,V284*$F$1),0),0)*RATES!$L261/12+$H$7*(PARAM!$D$51/12)*RATES!$N261/100</f>
        <v>21.72548898473898</v>
      </c>
      <c r="V285" s="16">
        <f t="shared" si="202"/>
        <v>683.35047625082359</v>
      </c>
      <c r="W285" s="15">
        <f t="shared" si="177"/>
        <v>22.170849845882874</v>
      </c>
      <c r="X285" s="75">
        <f>W285*(1-PARAM!$C$27)*$I$8+(MOD($B285,60)=PARAM!$B$56)*($B285&gt;(60-PARAM!$B$56))*HLOOKUP(($B285+PARAM!$B$56)/12,Loyalty,2)*$F$1*MAX(Z284,0)</f>
        <v>18.557001321003963</v>
      </c>
      <c r="Y285" s="75">
        <f>PARAM!$C$26+MAX($G$8-CHOOSE(PARAM!$B$44,MAX(0,Z284*$F$1),0),0)*RATES!$L261/12+$H$8*(PARAM!$D$51/12)*RATES!$N261/100</f>
        <v>21.72548898473898</v>
      </c>
      <c r="Z285" s="16">
        <f t="shared" si="203"/>
        <v>683.35047625082359</v>
      </c>
      <c r="AA285" s="15">
        <f t="shared" si="178"/>
        <v>22.170849845882874</v>
      </c>
      <c r="AB285" s="75">
        <f>AA285*(1-PARAM!$C$27)*$I$9+(MOD($B285,60)=PARAM!$B$56)*($B285&gt;(60-PARAM!$B$56))*HLOOKUP(($B285+PARAM!$B$56)/12,Loyalty,2)*$F$1*MAX(AD284,0)</f>
        <v>18.557001321003963</v>
      </c>
      <c r="AC285" s="75">
        <f>PARAM!$C$26+MAX($G$9-CHOOSE(PARAM!$B$44,MAX(0,AD284*$F$1),0),0)*RATES!$L261/12+$H$9*(PARAM!$D$51/12)*RATES!$N261/100</f>
        <v>21.72548898473898</v>
      </c>
      <c r="AD285" s="16">
        <f t="shared" si="204"/>
        <v>683.35047625082359</v>
      </c>
      <c r="AE285" s="15">
        <f t="shared" si="179"/>
        <v>22.170849845882874</v>
      </c>
      <c r="AF285" s="75">
        <f>AE285*(1-PARAM!$C$27)*$I$10+(MOD($B285,60)=PARAM!$B$56)*($B285&gt;(60-PARAM!$B$56))*HLOOKUP(($B285+PARAM!$B$56)/12,Loyalty,2)*$F$1*MAX(AH284,0)</f>
        <v>18.557001321003963</v>
      </c>
      <c r="AG285" s="75">
        <f>PARAM!$C$26+MAX($G$10-CHOOSE(PARAM!$B$44,MAX(0,AH284*$F$1),0),0)*RATES!$L261/12+$H$10*(PARAM!$D$51/12)*RATES!$N261/100</f>
        <v>21.72548898473898</v>
      </c>
      <c r="AH285" s="16">
        <f t="shared" si="205"/>
        <v>683.35047625082359</v>
      </c>
      <c r="AI285" s="15">
        <f t="shared" si="180"/>
        <v>22.170849845882874</v>
      </c>
      <c r="AJ285" s="75">
        <f>AI285*(1-PARAM!$C$27)*$I$11+(MOD($B285,60)=PARAM!$B$56)*($B285&gt;(60-PARAM!$B$56))*HLOOKUP(($B285+PARAM!$B$56)/12,Loyalty,2)*$F$1*MAX(AL284,0)</f>
        <v>18.557001321003963</v>
      </c>
      <c r="AK285" s="75">
        <f>PARAM!$C$26+MAX($G$11-CHOOSE(PARAM!$B$44,MAX(0,AL284*$F$1),0),0)*RATES!$L261/12+$H$11*(PARAM!$D$51/12)*RATES!$N261/100</f>
        <v>21.72548898473898</v>
      </c>
      <c r="AL285" s="16">
        <f t="shared" si="206"/>
        <v>683.35047625082359</v>
      </c>
      <c r="AM285" s="15">
        <f t="shared" si="181"/>
        <v>22.170849845882874</v>
      </c>
      <c r="AN285" s="75">
        <f>AM285*(1-PARAM!$C$27)*$I$12+(MOD($B285,60)=PARAM!$B$56)*($B285&gt;(60-PARAM!$B$56))*HLOOKUP(($B285+PARAM!$B$56)/12,Loyalty,2)*$F$1*MAX(AP284,0)</f>
        <v>18.557001321003963</v>
      </c>
      <c r="AO285" s="75">
        <f>PARAM!$C$26+MAX($G$12-CHOOSE(PARAM!$B$44,MAX(0,AP284*$F$1),0),0)*RATES!$L261/12+$H$12*(PARAM!$D$51/12)*RATES!$N261/100</f>
        <v>21.72548898473898</v>
      </c>
      <c r="AP285" s="16">
        <f t="shared" si="207"/>
        <v>683.35047625082359</v>
      </c>
      <c r="AQ285" s="15">
        <f t="shared" si="182"/>
        <v>22.170849845882874</v>
      </c>
      <c r="AR285" s="75">
        <f>AQ285*(1-PARAM!$C$27)*$I$13+(MOD($B285,60)=PARAM!$B$56)*($B285&gt;(60-PARAM!$B$56))*HLOOKUP(($B285+PARAM!$B$56)/12,Loyalty,2)*$F$1*MAX(AT284,0)</f>
        <v>18.557001321003963</v>
      </c>
      <c r="AS285" s="75">
        <f>PARAM!$C$26+MAX($G$13-CHOOSE(PARAM!$B$44,MAX(0,AT284*$F$1),0),0)*RATES!$L261/12+$H$13*(PARAM!$D$51/12)*RATES!$N261/100</f>
        <v>21.72548898473898</v>
      </c>
      <c r="AT285" s="16">
        <f t="shared" si="208"/>
        <v>683.35047625082359</v>
      </c>
      <c r="AU285" s="15">
        <f t="shared" si="183"/>
        <v>22.170849845882874</v>
      </c>
      <c r="AV285" s="75">
        <f>AU285*(1-PARAM!$C$27)*$I$14+(MOD($B285,60)=PARAM!$B$56)*($B285&gt;(60-PARAM!$B$56))*HLOOKUP(($B285+PARAM!$B$56)/12,Loyalty,2)*$F$1*MAX(AX284,0)</f>
        <v>18.557001321003963</v>
      </c>
      <c r="AW285" s="75">
        <f>PARAM!$C$26+MAX($G$14-CHOOSE(PARAM!$B$44,MAX(0,AX284*$F$1),0),0)*RATES!$L261/12+$H$14*(PARAM!$D$51/12)*RATES!$N261/100</f>
        <v>21.72548898473898</v>
      </c>
      <c r="AX285" s="16">
        <f t="shared" si="209"/>
        <v>683.35047625082359</v>
      </c>
      <c r="AY285" s="15">
        <f t="shared" si="184"/>
        <v>22.170849845882874</v>
      </c>
      <c r="AZ285" s="75">
        <f>AY285*(1-PARAM!$C$27)*$I$15+(MOD($B285,60)=PARAM!$B$56)*($B285&gt;(60-PARAM!$B$56))*HLOOKUP(($B285+PARAM!$B$56)/12,Loyalty,2)*$F$1*MAX(BB284,0)</f>
        <v>18.557001321003963</v>
      </c>
      <c r="BA285" s="75">
        <f>PARAM!$C$26+MAX($G$15-CHOOSE(PARAM!$B$44,MAX(0,BB284*$F$1),0),0)*RATES!$L261/12+$H$15*(PARAM!$D$51/12)*RATES!$N261/100</f>
        <v>21.72548898473898</v>
      </c>
      <c r="BB285" s="16">
        <f t="shared" si="210"/>
        <v>683.35047625082359</v>
      </c>
      <c r="BC285" s="15">
        <f t="shared" si="185"/>
        <v>22.170849845882874</v>
      </c>
      <c r="BD285" s="75">
        <f>BC285*(1-PARAM!$C$27)*$I$16+(MOD($B285,60)=PARAM!$B$56)*($B285&gt;(60-PARAM!$B$56))*HLOOKUP(($B285+PARAM!$B$56)/12,Loyalty,2)*$F$1*MAX(BF284,0)</f>
        <v>18.557001321003963</v>
      </c>
      <c r="BE285" s="75">
        <f>PARAM!$C$26+MAX($G$16-CHOOSE(PARAM!$B$44,MAX(0,BF284*$F$1),0),0)*RATES!$L261/12+$H$16*(PARAM!$D$51/12)*RATES!$N261/100</f>
        <v>21.72548898473898</v>
      </c>
      <c r="BF285" s="16">
        <f t="shared" si="211"/>
        <v>683.35047625082359</v>
      </c>
      <c r="BG285" s="15">
        <f t="shared" si="186"/>
        <v>22.170849845882874</v>
      </c>
      <c r="BH285" s="75">
        <f>BG285*(1-PARAM!$C$27)*$I$17+(MOD($B285,60)=PARAM!$B$56)*($B285&gt;(60-PARAM!$B$56))*HLOOKUP(($B285+PARAM!$B$56)/12,Loyalty,2)*$F$1*MAX(BJ284,0)</f>
        <v>18.557001321003963</v>
      </c>
      <c r="BI285" s="75">
        <f>PARAM!$C$26+MAX($G$17-CHOOSE(PARAM!$B$44,MAX(0,BJ284*$F$1),0),0)*RATES!$L261/12+$H$17*(PARAM!$D$51/12)*RATES!$N261/100</f>
        <v>21.72548898473898</v>
      </c>
      <c r="BJ285" s="16">
        <f t="shared" si="212"/>
        <v>683.35047625082359</v>
      </c>
      <c r="BK285" s="15">
        <f t="shared" si="187"/>
        <v>22.170849845882874</v>
      </c>
      <c r="BL285" s="75">
        <f>BK285*(1-PARAM!$C$27)*$I$18+(MOD($B285,60)=PARAM!$B$56)*($B285&gt;(60-PARAM!$B$56))*HLOOKUP(($B285+PARAM!$B$56)/12,Loyalty,2)*$F$1*MAX(BN284,0)</f>
        <v>18.557001321003963</v>
      </c>
      <c r="BM285" s="75">
        <f>PARAM!$C$26+MAX($G$18-CHOOSE(PARAM!$B$44,MAX(0,BN284*$F$1),0),0)*RATES!$L261/12+$H$18*(PARAM!$D$51/12)*RATES!$N261/100</f>
        <v>21.72548898473898</v>
      </c>
      <c r="BN285" s="16">
        <f t="shared" si="213"/>
        <v>683.35047625082359</v>
      </c>
      <c r="BO285" s="15">
        <f t="shared" si="188"/>
        <v>22.170849845882874</v>
      </c>
      <c r="BP285" s="75">
        <f>BO285*(1-PARAM!$C$27)*$I$19+(MOD($B285,60)=PARAM!$B$56)*($B285&gt;(60-PARAM!$B$56))*HLOOKUP(($B285+PARAM!$B$56)/12,Loyalty,2)*$F$1*MAX(BR284,0)</f>
        <v>18.557001321003963</v>
      </c>
      <c r="BQ285" s="75">
        <f>PARAM!$C$26+MAX($G$19-CHOOSE(PARAM!$B$44,MAX(0,BR284*$F$1),0),0)*RATES!$L261/12+$H$19*(PARAM!$D$51/12)*RATES!$N261/100</f>
        <v>21.72548898473898</v>
      </c>
      <c r="BR285" s="16">
        <f t="shared" si="214"/>
        <v>683.35047625082359</v>
      </c>
      <c r="BS285" s="15">
        <f t="shared" si="189"/>
        <v>22.170849845882874</v>
      </c>
      <c r="BT285" s="75">
        <f>BS285*(1-PARAM!$C$27)*$I$20+(MOD($B285,60)=PARAM!$B$56)*($B285&gt;(60-PARAM!$B$56))*HLOOKUP(($B285+PARAM!$B$56)/12,Loyalty,2)*$F$1*MAX(BV284,0)</f>
        <v>18.557001321003963</v>
      </c>
      <c r="BU285" s="75">
        <f>PARAM!$C$26+MAX($G$20-CHOOSE(PARAM!$B$44,MAX(0,BV284*$F$1),0),0)*RATES!$L261/12+$H$20*(PARAM!$D$51/12)*RATES!$N261/100</f>
        <v>21.72548898473898</v>
      </c>
      <c r="BV285" s="16">
        <f t="shared" si="215"/>
        <v>683.35047625082359</v>
      </c>
      <c r="BW285" s="15">
        <f t="shared" si="190"/>
        <v>22.170849845882874</v>
      </c>
      <c r="BX285" s="75">
        <f>BW285*(1-PARAM!$C$27)*$I$21+(MOD($B285,60)=PARAM!$B$56)*($B285&gt;(60-PARAM!$B$56))*HLOOKUP(($B285+PARAM!$B$56)/12,Loyalty,2)*$F$1*MAX(BZ284,0)</f>
        <v>18.557001321003963</v>
      </c>
      <c r="BY285" s="75">
        <f>PARAM!$C$26+MAX($G$21-CHOOSE(PARAM!$B$44,MAX(0,BZ284*$F$1),0),0)*RATES!$L261/12+$H$21*(PARAM!$D$51/12)*RATES!$N261/100</f>
        <v>21.72548898473898</v>
      </c>
      <c r="BZ285" s="16">
        <f t="shared" si="216"/>
        <v>683.35047625082359</v>
      </c>
      <c r="CA285" s="15">
        <f t="shared" si="191"/>
        <v>22.170849845882874</v>
      </c>
      <c r="CB285" s="75">
        <f>CA285*(1-PARAM!$C$27)*$I$22+(MOD($B285,60)=PARAM!$B$56)*($B285&gt;(60-PARAM!$B$56))*HLOOKUP(($B285+PARAM!$B$56)/12,Loyalty,2)*$F$1*MAX(CD284,0)</f>
        <v>18.557001321003963</v>
      </c>
      <c r="CC285" s="75">
        <f>PARAM!$C$26+MAX($G$22-CHOOSE(PARAM!$B$44,MAX(0,CD284*$F$1),0),0)*RATES!$L261/12+$H$22*(PARAM!$D$51/12)*RATES!$N261/100</f>
        <v>21.72548898473898</v>
      </c>
      <c r="CD285" s="16">
        <f t="shared" si="217"/>
        <v>683.35047625082359</v>
      </c>
      <c r="CE285" s="33">
        <f>IF(0=MOD(B285,12/PARAM!$D$51),1,0)</f>
        <v>1</v>
      </c>
      <c r="CF285" s="15">
        <f t="shared" si="192"/>
        <v>0</v>
      </c>
      <c r="CG285" s="75">
        <f>CF285*(1-PARAM!$C$27)*$R$3+(MOD($B285/12,5)=0)*($B285&gt;60)*HLOOKUP($B285/12,Loyalty,2)*$F$1*MAX(CI284,0)</f>
        <v>0</v>
      </c>
      <c r="CH285" s="75">
        <f>PARAM!$C$26+MAX($P$3-CHOOSE(PARAM!$B$44,MAX(0,CI284*$F$1),0),0)*RATES!$L261/12+$Q$3*(PARAM!$D$51/12)*RATES!$N261/100</f>
        <v>21.958333333333336</v>
      </c>
      <c r="CI285" s="16">
        <f>IF(CI284&gt;0,CI284*PARAM!$C$53,CI284)+CG285-CH285</f>
        <v>-3957.9583333333267</v>
      </c>
      <c r="CJ285" s="15">
        <f t="shared" si="218"/>
        <v>0</v>
      </c>
      <c r="CK285" s="75">
        <f>CJ285*(1-PARAM!$C$27)*$R$4+(MOD($B285/12,5)=0)*($B285&gt;60)*HLOOKUP($B285/12,Loyalty,2)*$F$1*MAX(CM284,0)</f>
        <v>0</v>
      </c>
      <c r="CL285" s="75">
        <f>PARAM!$C$26+MAX($P$4-CHOOSE(PARAM!$B$44,MAX(0,CM284*$F$1),0),0)*RATES!$L261/12+$Q$4*(PARAM!$D$51/12)*RATES!$N261/100</f>
        <v>21.958333333333336</v>
      </c>
      <c r="CM285" s="16">
        <f>IF(CM284&gt;0,CM284*PARAM!$C$53,CM284)+CK285-CL285</f>
        <v>-3957.9583333333267</v>
      </c>
      <c r="CO285" s="176"/>
    </row>
    <row r="286" spans="1:93" x14ac:dyDescent="0.2">
      <c r="A286" t="b">
        <f t="shared" si="193"/>
        <v>1</v>
      </c>
      <c r="B286" s="33">
        <v>259</v>
      </c>
      <c r="C286" s="15">
        <f t="shared" si="194"/>
        <v>20.081305947392778</v>
      </c>
      <c r="D286" s="75">
        <f>C286*(1-PARAM!$C$27)*$I$3+(MOD($B286,60)=PARAM!$B$56)*($B286&gt;(60-PARAM!$B$56))*HLOOKUP(($B286+PARAM!$B$56)/12,Loyalty,2)*$F$1*MAX(F285,0)</f>
        <v>16.808053077967756</v>
      </c>
      <c r="E286" s="75">
        <f>PARAM!$C$26+MAX($G$3-CHOOSE(PARAM!$B$44,MAX(0,F285*$F$1),0),0)*RATES!$L262/12+$H$3*(PARAM!$D$51/12)*RATES!$N262/100</f>
        <v>21.883500937650624</v>
      </c>
      <c r="F286" s="16">
        <f t="shared" si="195"/>
        <v>215.56060820728032</v>
      </c>
      <c r="G286" s="15">
        <f t="shared" si="196"/>
        <v>22.035289406060361</v>
      </c>
      <c r="H286" s="75">
        <f>G286*(1-PARAM!$C$27)*$I$4+(MOD($B286,60)=PARAM!$B$56)*($B286&gt;(60-PARAM!$B$56))*HLOOKUP(($B286+PARAM!$B$56)/12,Loyalty,2)*$F$1*MAX(J285,0)</f>
        <v>18.443537232872522</v>
      </c>
      <c r="I286" s="75">
        <f>PARAM!$C$26+MAX($G$4-CHOOSE(PARAM!$B$44,MAX(0,J285*$F$1),0),0)*RATES!$L262/12+$H$4*(PARAM!$D$51/12)*RATES!$N262/100</f>
        <v>21.736750464712227</v>
      </c>
      <c r="J286" s="16">
        <f t="shared" si="197"/>
        <v>650.02236992621692</v>
      </c>
      <c r="K286" s="15">
        <f t="shared" si="198"/>
        <v>22.170849845882874</v>
      </c>
      <c r="L286" s="75">
        <f>K286*(1-PARAM!$C$27)*$I$5+(MOD($B286,60)=PARAM!$B$56)*($B286&gt;(60-PARAM!$B$56))*HLOOKUP(($B286+PARAM!$B$56)/12,Loyalty,2)*$F$1*MAX(N285,0)</f>
        <v>18.557001321003963</v>
      </c>
      <c r="M286" s="75">
        <f>PARAM!$C$26+MAX($G$5-CHOOSE(PARAM!$B$44,MAX(0,N285*$F$1),0),0)*RATES!$L262/12+$H$5*(PARAM!$D$51/12)*RATES!$N262/100</f>
        <v>21.726563630138266</v>
      </c>
      <c r="N286" s="16">
        <f t="shared" si="199"/>
        <v>680.18091394168937</v>
      </c>
      <c r="O286" s="15">
        <f t="shared" si="200"/>
        <v>22.170849845882874</v>
      </c>
      <c r="P286" s="75">
        <f>O286*(1-PARAM!$C$27)*$I$6+(MOD($B286,60)=PARAM!$B$56)*($B286&gt;(60-PARAM!$B$56))*HLOOKUP(($B286+PARAM!$B$56)/12,Loyalty,2)*$F$1*MAX(R285,0)</f>
        <v>18.557001321003963</v>
      </c>
      <c r="Q286" s="75">
        <f>PARAM!$C$26+MAX($G$6-CHOOSE(PARAM!$B$44,MAX(0,R285*$F$1),0),0)*RATES!$L262/12+$H$6*(PARAM!$D$51/12)*RATES!$N262/100</f>
        <v>21.726563630138266</v>
      </c>
      <c r="R286" s="16">
        <f t="shared" si="201"/>
        <v>680.18091394168937</v>
      </c>
      <c r="S286" s="15">
        <f t="shared" si="176"/>
        <v>22.170849845882874</v>
      </c>
      <c r="T286" s="75">
        <f>S286*(1-PARAM!$C$27)*$I$7+(MOD($B286,60)=PARAM!$B$56)*($B286&gt;(60-PARAM!$B$56))*HLOOKUP(($B286+PARAM!$B$56)/12,Loyalty,2)*$F$1*MAX(V285,0)</f>
        <v>18.557001321003963</v>
      </c>
      <c r="U286" s="75">
        <f>PARAM!$C$26+MAX($G$7-CHOOSE(PARAM!$B$44,MAX(0,V285*$F$1),0),0)*RATES!$L262/12+$H$7*(PARAM!$D$51/12)*RATES!$N262/100</f>
        <v>21.726563630138266</v>
      </c>
      <c r="V286" s="16">
        <f t="shared" si="202"/>
        <v>680.18091394168937</v>
      </c>
      <c r="W286" s="15">
        <f t="shared" si="177"/>
        <v>22.170849845882874</v>
      </c>
      <c r="X286" s="75">
        <f>W286*(1-PARAM!$C$27)*$I$8+(MOD($B286,60)=PARAM!$B$56)*($B286&gt;(60-PARAM!$B$56))*HLOOKUP(($B286+PARAM!$B$56)/12,Loyalty,2)*$F$1*MAX(Z285,0)</f>
        <v>18.557001321003963</v>
      </c>
      <c r="Y286" s="75">
        <f>PARAM!$C$26+MAX($G$8-CHOOSE(PARAM!$B$44,MAX(0,Z285*$F$1),0),0)*RATES!$L262/12+$H$8*(PARAM!$D$51/12)*RATES!$N262/100</f>
        <v>21.726563630138266</v>
      </c>
      <c r="Z286" s="16">
        <f t="shared" si="203"/>
        <v>680.18091394168937</v>
      </c>
      <c r="AA286" s="15">
        <f t="shared" si="178"/>
        <v>22.170849845882874</v>
      </c>
      <c r="AB286" s="75">
        <f>AA286*(1-PARAM!$C$27)*$I$9+(MOD($B286,60)=PARAM!$B$56)*($B286&gt;(60-PARAM!$B$56))*HLOOKUP(($B286+PARAM!$B$56)/12,Loyalty,2)*$F$1*MAX(AD285,0)</f>
        <v>18.557001321003963</v>
      </c>
      <c r="AC286" s="75">
        <f>PARAM!$C$26+MAX($G$9-CHOOSE(PARAM!$B$44,MAX(0,AD285*$F$1),0),0)*RATES!$L262/12+$H$9*(PARAM!$D$51/12)*RATES!$N262/100</f>
        <v>21.726563630138266</v>
      </c>
      <c r="AD286" s="16">
        <f t="shared" si="204"/>
        <v>680.18091394168937</v>
      </c>
      <c r="AE286" s="15">
        <f t="shared" si="179"/>
        <v>22.170849845882874</v>
      </c>
      <c r="AF286" s="75">
        <f>AE286*(1-PARAM!$C$27)*$I$10+(MOD($B286,60)=PARAM!$B$56)*($B286&gt;(60-PARAM!$B$56))*HLOOKUP(($B286+PARAM!$B$56)/12,Loyalty,2)*$F$1*MAX(AH285,0)</f>
        <v>18.557001321003963</v>
      </c>
      <c r="AG286" s="75">
        <f>PARAM!$C$26+MAX($G$10-CHOOSE(PARAM!$B$44,MAX(0,AH285*$F$1),0),0)*RATES!$L262/12+$H$10*(PARAM!$D$51/12)*RATES!$N262/100</f>
        <v>21.726563630138266</v>
      </c>
      <c r="AH286" s="16">
        <f t="shared" si="205"/>
        <v>680.18091394168937</v>
      </c>
      <c r="AI286" s="15">
        <f t="shared" si="180"/>
        <v>22.170849845882874</v>
      </c>
      <c r="AJ286" s="75">
        <f>AI286*(1-PARAM!$C$27)*$I$11+(MOD($B286,60)=PARAM!$B$56)*($B286&gt;(60-PARAM!$B$56))*HLOOKUP(($B286+PARAM!$B$56)/12,Loyalty,2)*$F$1*MAX(AL285,0)</f>
        <v>18.557001321003963</v>
      </c>
      <c r="AK286" s="75">
        <f>PARAM!$C$26+MAX($G$11-CHOOSE(PARAM!$B$44,MAX(0,AL285*$F$1),0),0)*RATES!$L262/12+$H$11*(PARAM!$D$51/12)*RATES!$N262/100</f>
        <v>21.726563630138266</v>
      </c>
      <c r="AL286" s="16">
        <f t="shared" si="206"/>
        <v>680.18091394168937</v>
      </c>
      <c r="AM286" s="15">
        <f t="shared" si="181"/>
        <v>22.170849845882874</v>
      </c>
      <c r="AN286" s="75">
        <f>AM286*(1-PARAM!$C$27)*$I$12+(MOD($B286,60)=PARAM!$B$56)*($B286&gt;(60-PARAM!$B$56))*HLOOKUP(($B286+PARAM!$B$56)/12,Loyalty,2)*$F$1*MAX(AP285,0)</f>
        <v>18.557001321003963</v>
      </c>
      <c r="AO286" s="75">
        <f>PARAM!$C$26+MAX($G$12-CHOOSE(PARAM!$B$44,MAX(0,AP285*$F$1),0),0)*RATES!$L262/12+$H$12*(PARAM!$D$51/12)*RATES!$N262/100</f>
        <v>21.726563630138266</v>
      </c>
      <c r="AP286" s="16">
        <f t="shared" si="207"/>
        <v>680.18091394168937</v>
      </c>
      <c r="AQ286" s="15">
        <f t="shared" si="182"/>
        <v>22.170849845882874</v>
      </c>
      <c r="AR286" s="75">
        <f>AQ286*(1-PARAM!$C$27)*$I$13+(MOD($B286,60)=PARAM!$B$56)*($B286&gt;(60-PARAM!$B$56))*HLOOKUP(($B286+PARAM!$B$56)/12,Loyalty,2)*$F$1*MAX(AT285,0)</f>
        <v>18.557001321003963</v>
      </c>
      <c r="AS286" s="75">
        <f>PARAM!$C$26+MAX($G$13-CHOOSE(PARAM!$B$44,MAX(0,AT285*$F$1),0),0)*RATES!$L262/12+$H$13*(PARAM!$D$51/12)*RATES!$N262/100</f>
        <v>21.726563630138266</v>
      </c>
      <c r="AT286" s="16">
        <f t="shared" si="208"/>
        <v>680.18091394168937</v>
      </c>
      <c r="AU286" s="15">
        <f t="shared" si="183"/>
        <v>22.170849845882874</v>
      </c>
      <c r="AV286" s="75">
        <f>AU286*(1-PARAM!$C$27)*$I$14+(MOD($B286,60)=PARAM!$B$56)*($B286&gt;(60-PARAM!$B$56))*HLOOKUP(($B286+PARAM!$B$56)/12,Loyalty,2)*$F$1*MAX(AX285,0)</f>
        <v>18.557001321003963</v>
      </c>
      <c r="AW286" s="75">
        <f>PARAM!$C$26+MAX($G$14-CHOOSE(PARAM!$B$44,MAX(0,AX285*$F$1),0),0)*RATES!$L262/12+$H$14*(PARAM!$D$51/12)*RATES!$N262/100</f>
        <v>21.726563630138266</v>
      </c>
      <c r="AX286" s="16">
        <f t="shared" si="209"/>
        <v>680.18091394168937</v>
      </c>
      <c r="AY286" s="15">
        <f t="shared" si="184"/>
        <v>22.170849845882874</v>
      </c>
      <c r="AZ286" s="75">
        <f>AY286*(1-PARAM!$C$27)*$I$15+(MOD($B286,60)=PARAM!$B$56)*($B286&gt;(60-PARAM!$B$56))*HLOOKUP(($B286+PARAM!$B$56)/12,Loyalty,2)*$F$1*MAX(BB285,0)</f>
        <v>18.557001321003963</v>
      </c>
      <c r="BA286" s="75">
        <f>PARAM!$C$26+MAX($G$15-CHOOSE(PARAM!$B$44,MAX(0,BB285*$F$1),0),0)*RATES!$L262/12+$H$15*(PARAM!$D$51/12)*RATES!$N262/100</f>
        <v>21.726563630138266</v>
      </c>
      <c r="BB286" s="16">
        <f t="shared" si="210"/>
        <v>680.18091394168937</v>
      </c>
      <c r="BC286" s="15">
        <f t="shared" si="185"/>
        <v>22.170849845882874</v>
      </c>
      <c r="BD286" s="75">
        <f>BC286*(1-PARAM!$C$27)*$I$16+(MOD($B286,60)=PARAM!$B$56)*($B286&gt;(60-PARAM!$B$56))*HLOOKUP(($B286+PARAM!$B$56)/12,Loyalty,2)*$F$1*MAX(BF285,0)</f>
        <v>18.557001321003963</v>
      </c>
      <c r="BE286" s="75">
        <f>PARAM!$C$26+MAX($G$16-CHOOSE(PARAM!$B$44,MAX(0,BF285*$F$1),0),0)*RATES!$L262/12+$H$16*(PARAM!$D$51/12)*RATES!$N262/100</f>
        <v>21.726563630138266</v>
      </c>
      <c r="BF286" s="16">
        <f t="shared" si="211"/>
        <v>680.18091394168937</v>
      </c>
      <c r="BG286" s="15">
        <f t="shared" si="186"/>
        <v>22.170849845882874</v>
      </c>
      <c r="BH286" s="75">
        <f>BG286*(1-PARAM!$C$27)*$I$17+(MOD($B286,60)=PARAM!$B$56)*($B286&gt;(60-PARAM!$B$56))*HLOOKUP(($B286+PARAM!$B$56)/12,Loyalty,2)*$F$1*MAX(BJ285,0)</f>
        <v>18.557001321003963</v>
      </c>
      <c r="BI286" s="75">
        <f>PARAM!$C$26+MAX($G$17-CHOOSE(PARAM!$B$44,MAX(0,BJ285*$F$1),0),0)*RATES!$L262/12+$H$17*(PARAM!$D$51/12)*RATES!$N262/100</f>
        <v>21.726563630138266</v>
      </c>
      <c r="BJ286" s="16">
        <f t="shared" si="212"/>
        <v>680.18091394168937</v>
      </c>
      <c r="BK286" s="15">
        <f t="shared" si="187"/>
        <v>22.170849845882874</v>
      </c>
      <c r="BL286" s="75">
        <f>BK286*(1-PARAM!$C$27)*$I$18+(MOD($B286,60)=PARAM!$B$56)*($B286&gt;(60-PARAM!$B$56))*HLOOKUP(($B286+PARAM!$B$56)/12,Loyalty,2)*$F$1*MAX(BN285,0)</f>
        <v>18.557001321003963</v>
      </c>
      <c r="BM286" s="75">
        <f>PARAM!$C$26+MAX($G$18-CHOOSE(PARAM!$B$44,MAX(0,BN285*$F$1),0),0)*RATES!$L262/12+$H$18*(PARAM!$D$51/12)*RATES!$N262/100</f>
        <v>21.726563630138266</v>
      </c>
      <c r="BN286" s="16">
        <f t="shared" si="213"/>
        <v>680.18091394168937</v>
      </c>
      <c r="BO286" s="15">
        <f t="shared" si="188"/>
        <v>22.170849845882874</v>
      </c>
      <c r="BP286" s="75">
        <f>BO286*(1-PARAM!$C$27)*$I$19+(MOD($B286,60)=PARAM!$B$56)*($B286&gt;(60-PARAM!$B$56))*HLOOKUP(($B286+PARAM!$B$56)/12,Loyalty,2)*$F$1*MAX(BR285,0)</f>
        <v>18.557001321003963</v>
      </c>
      <c r="BQ286" s="75">
        <f>PARAM!$C$26+MAX($G$19-CHOOSE(PARAM!$B$44,MAX(0,BR285*$F$1),0),0)*RATES!$L262/12+$H$19*(PARAM!$D$51/12)*RATES!$N262/100</f>
        <v>21.726563630138266</v>
      </c>
      <c r="BR286" s="16">
        <f t="shared" si="214"/>
        <v>680.18091394168937</v>
      </c>
      <c r="BS286" s="15">
        <f t="shared" si="189"/>
        <v>22.170849845882874</v>
      </c>
      <c r="BT286" s="75">
        <f>BS286*(1-PARAM!$C$27)*$I$20+(MOD($B286,60)=PARAM!$B$56)*($B286&gt;(60-PARAM!$B$56))*HLOOKUP(($B286+PARAM!$B$56)/12,Loyalty,2)*$F$1*MAX(BV285,0)</f>
        <v>18.557001321003963</v>
      </c>
      <c r="BU286" s="75">
        <f>PARAM!$C$26+MAX($G$20-CHOOSE(PARAM!$B$44,MAX(0,BV285*$F$1),0),0)*RATES!$L262/12+$H$20*(PARAM!$D$51/12)*RATES!$N262/100</f>
        <v>21.726563630138266</v>
      </c>
      <c r="BV286" s="16">
        <f t="shared" si="215"/>
        <v>680.18091394168937</v>
      </c>
      <c r="BW286" s="15">
        <f t="shared" si="190"/>
        <v>22.170849845882874</v>
      </c>
      <c r="BX286" s="75">
        <f>BW286*(1-PARAM!$C$27)*$I$21+(MOD($B286,60)=PARAM!$B$56)*($B286&gt;(60-PARAM!$B$56))*HLOOKUP(($B286+PARAM!$B$56)/12,Loyalty,2)*$F$1*MAX(BZ285,0)</f>
        <v>18.557001321003963</v>
      </c>
      <c r="BY286" s="75">
        <f>PARAM!$C$26+MAX($G$21-CHOOSE(PARAM!$B$44,MAX(0,BZ285*$F$1),0),0)*RATES!$L262/12+$H$21*(PARAM!$D$51/12)*RATES!$N262/100</f>
        <v>21.726563630138266</v>
      </c>
      <c r="BZ286" s="16">
        <f t="shared" si="216"/>
        <v>680.18091394168937</v>
      </c>
      <c r="CA286" s="15">
        <f t="shared" si="191"/>
        <v>22.170849845882874</v>
      </c>
      <c r="CB286" s="75">
        <f>CA286*(1-PARAM!$C$27)*$I$22+(MOD($B286,60)=PARAM!$B$56)*($B286&gt;(60-PARAM!$B$56))*HLOOKUP(($B286+PARAM!$B$56)/12,Loyalty,2)*$F$1*MAX(CD285,0)</f>
        <v>18.557001321003963</v>
      </c>
      <c r="CC286" s="75">
        <f>PARAM!$C$26+MAX($G$22-CHOOSE(PARAM!$B$44,MAX(0,CD285*$F$1),0),0)*RATES!$L262/12+$H$22*(PARAM!$D$51/12)*RATES!$N262/100</f>
        <v>21.726563630138266</v>
      </c>
      <c r="CD286" s="16">
        <f t="shared" si="217"/>
        <v>680.18091394168937</v>
      </c>
      <c r="CE286" s="33">
        <f>IF(0=MOD(B286,12/PARAM!$D$51),1,0)</f>
        <v>1</v>
      </c>
      <c r="CF286" s="15">
        <f t="shared" si="192"/>
        <v>0</v>
      </c>
      <c r="CG286" s="75">
        <f>CF286*(1-PARAM!$C$27)*$R$3+(MOD($B286/12,5)=0)*($B286&gt;60)*HLOOKUP($B286/12,Loyalty,2)*$F$1*MAX(CI285,0)</f>
        <v>0</v>
      </c>
      <c r="CH286" s="75">
        <f>PARAM!$C$26+MAX($P$3-CHOOSE(PARAM!$B$44,MAX(0,CI285*$F$1),0),0)*RATES!$L262/12+$Q$3*(PARAM!$D$51/12)*RATES!$N262/100</f>
        <v>21.958333333333336</v>
      </c>
      <c r="CI286" s="16">
        <f>IF(CI285&gt;0,CI285*PARAM!$C$53,CI285)+CG286-CH286</f>
        <v>-3979.9166666666601</v>
      </c>
      <c r="CJ286" s="15">
        <f t="shared" si="218"/>
        <v>0</v>
      </c>
      <c r="CK286" s="75">
        <f>CJ286*(1-PARAM!$C$27)*$R$4+(MOD($B286/12,5)=0)*($B286&gt;60)*HLOOKUP($B286/12,Loyalty,2)*$F$1*MAX(CM285,0)</f>
        <v>0</v>
      </c>
      <c r="CL286" s="75">
        <f>PARAM!$C$26+MAX($P$4-CHOOSE(PARAM!$B$44,MAX(0,CM285*$F$1),0),0)*RATES!$L262/12+$Q$4*(PARAM!$D$51/12)*RATES!$N262/100</f>
        <v>21.958333333333336</v>
      </c>
      <c r="CM286" s="16">
        <f>IF(CM285&gt;0,CM285*PARAM!$C$53,CM285)+CK286-CL286</f>
        <v>-3979.9166666666601</v>
      </c>
      <c r="CO286" s="176"/>
    </row>
    <row r="287" spans="1:93" x14ac:dyDescent="0.2">
      <c r="A287" t="b">
        <f t="shared" si="193"/>
        <v>1</v>
      </c>
      <c r="B287" s="33">
        <v>260</v>
      </c>
      <c r="C287" s="15">
        <f t="shared" si="194"/>
        <v>20.081305947392778</v>
      </c>
      <c r="D287" s="75">
        <f>C287*(1-PARAM!$C$27)*$I$3+(MOD($B287,60)=PARAM!$B$56)*($B287&gt;(60-PARAM!$B$56))*HLOOKUP(($B287+PARAM!$B$56)/12,Loyalty,2)*$F$1*MAX(F286,0)</f>
        <v>16.808053077967756</v>
      </c>
      <c r="E287" s="75">
        <f>PARAM!$C$26+MAX($G$3-CHOOSE(PARAM!$B$44,MAX(0,F286*$F$1),0),0)*RATES!$L263/12+$H$3*(PARAM!$D$51/12)*RATES!$N263/100</f>
        <v>21.885222360383036</v>
      </c>
      <c r="F287" s="16">
        <f t="shared" si="195"/>
        <v>210.48343892486506</v>
      </c>
      <c r="G287" s="15">
        <f t="shared" si="196"/>
        <v>22.035289406060361</v>
      </c>
      <c r="H287" s="75">
        <f>G287*(1-PARAM!$C$27)*$I$4+(MOD($B287,60)=PARAM!$B$56)*($B287&gt;(60-PARAM!$B$56))*HLOOKUP(($B287+PARAM!$B$56)/12,Loyalty,2)*$F$1*MAX(J286,0)</f>
        <v>18.443537232872522</v>
      </c>
      <c r="I287" s="75">
        <f>PARAM!$C$26+MAX($G$4-CHOOSE(PARAM!$B$44,MAX(0,J286*$F$1),0),0)*RATES!$L263/12+$H$4*(PARAM!$D$51/12)*RATES!$N263/100</f>
        <v>21.737867412866695</v>
      </c>
      <c r="J287" s="16">
        <f t="shared" si="197"/>
        <v>646.72803974622275</v>
      </c>
      <c r="K287" s="15">
        <f t="shared" si="198"/>
        <v>22.170849845882874</v>
      </c>
      <c r="L287" s="75">
        <f>K287*(1-PARAM!$C$27)*$I$5+(MOD($B287,60)=PARAM!$B$56)*($B287&gt;(60-PARAM!$B$56))*HLOOKUP(($B287+PARAM!$B$56)/12,Loyalty,2)*$F$1*MAX(N286,0)</f>
        <v>18.557001321003963</v>
      </c>
      <c r="M287" s="75">
        <f>PARAM!$C$26+MAX($G$5-CHOOSE(PARAM!$B$44,MAX(0,N286*$F$1),0),0)*RATES!$L263/12+$H$5*(PARAM!$D$51/12)*RATES!$N263/100</f>
        <v>21.727638640021446</v>
      </c>
      <c r="N287" s="16">
        <f t="shared" si="199"/>
        <v>677.01027662267188</v>
      </c>
      <c r="O287" s="15">
        <f t="shared" si="200"/>
        <v>22.170849845882874</v>
      </c>
      <c r="P287" s="75">
        <f>O287*(1-PARAM!$C$27)*$I$6+(MOD($B287,60)=PARAM!$B$56)*($B287&gt;(60-PARAM!$B$56))*HLOOKUP(($B287+PARAM!$B$56)/12,Loyalty,2)*$F$1*MAX(R286,0)</f>
        <v>18.557001321003963</v>
      </c>
      <c r="Q287" s="75">
        <f>PARAM!$C$26+MAX($G$6-CHOOSE(PARAM!$B$44,MAX(0,R286*$F$1),0),0)*RATES!$L263/12+$H$6*(PARAM!$D$51/12)*RATES!$N263/100</f>
        <v>21.727638640021446</v>
      </c>
      <c r="R287" s="16">
        <f t="shared" si="201"/>
        <v>677.01027662267188</v>
      </c>
      <c r="S287" s="15">
        <f t="shared" si="176"/>
        <v>22.170849845882874</v>
      </c>
      <c r="T287" s="75">
        <f>S287*(1-PARAM!$C$27)*$I$7+(MOD($B287,60)=PARAM!$B$56)*($B287&gt;(60-PARAM!$B$56))*HLOOKUP(($B287+PARAM!$B$56)/12,Loyalty,2)*$F$1*MAX(V286,0)</f>
        <v>18.557001321003963</v>
      </c>
      <c r="U287" s="75">
        <f>PARAM!$C$26+MAX($G$7-CHOOSE(PARAM!$B$44,MAX(0,V286*$F$1),0),0)*RATES!$L263/12+$H$7*(PARAM!$D$51/12)*RATES!$N263/100</f>
        <v>21.727638640021446</v>
      </c>
      <c r="V287" s="16">
        <f t="shared" si="202"/>
        <v>677.01027662267188</v>
      </c>
      <c r="W287" s="15">
        <f t="shared" si="177"/>
        <v>22.170849845882874</v>
      </c>
      <c r="X287" s="75">
        <f>W287*(1-PARAM!$C$27)*$I$8+(MOD($B287,60)=PARAM!$B$56)*($B287&gt;(60-PARAM!$B$56))*HLOOKUP(($B287+PARAM!$B$56)/12,Loyalty,2)*$F$1*MAX(Z286,0)</f>
        <v>18.557001321003963</v>
      </c>
      <c r="Y287" s="75">
        <f>PARAM!$C$26+MAX($G$8-CHOOSE(PARAM!$B$44,MAX(0,Z286*$F$1),0),0)*RATES!$L263/12+$H$8*(PARAM!$D$51/12)*RATES!$N263/100</f>
        <v>21.727638640021446</v>
      </c>
      <c r="Z287" s="16">
        <f t="shared" si="203"/>
        <v>677.01027662267188</v>
      </c>
      <c r="AA287" s="15">
        <f t="shared" si="178"/>
        <v>22.170849845882874</v>
      </c>
      <c r="AB287" s="75">
        <f>AA287*(1-PARAM!$C$27)*$I$9+(MOD($B287,60)=PARAM!$B$56)*($B287&gt;(60-PARAM!$B$56))*HLOOKUP(($B287+PARAM!$B$56)/12,Loyalty,2)*$F$1*MAX(AD286,0)</f>
        <v>18.557001321003963</v>
      </c>
      <c r="AC287" s="75">
        <f>PARAM!$C$26+MAX($G$9-CHOOSE(PARAM!$B$44,MAX(0,AD286*$F$1),0),0)*RATES!$L263/12+$H$9*(PARAM!$D$51/12)*RATES!$N263/100</f>
        <v>21.727638640021446</v>
      </c>
      <c r="AD287" s="16">
        <f t="shared" si="204"/>
        <v>677.01027662267188</v>
      </c>
      <c r="AE287" s="15">
        <f t="shared" si="179"/>
        <v>22.170849845882874</v>
      </c>
      <c r="AF287" s="75">
        <f>AE287*(1-PARAM!$C$27)*$I$10+(MOD($B287,60)=PARAM!$B$56)*($B287&gt;(60-PARAM!$B$56))*HLOOKUP(($B287+PARAM!$B$56)/12,Loyalty,2)*$F$1*MAX(AH286,0)</f>
        <v>18.557001321003963</v>
      </c>
      <c r="AG287" s="75">
        <f>PARAM!$C$26+MAX($G$10-CHOOSE(PARAM!$B$44,MAX(0,AH286*$F$1),0),0)*RATES!$L263/12+$H$10*(PARAM!$D$51/12)*RATES!$N263/100</f>
        <v>21.727638640021446</v>
      </c>
      <c r="AH287" s="16">
        <f t="shared" si="205"/>
        <v>677.01027662267188</v>
      </c>
      <c r="AI287" s="15">
        <f t="shared" si="180"/>
        <v>22.170849845882874</v>
      </c>
      <c r="AJ287" s="75">
        <f>AI287*(1-PARAM!$C$27)*$I$11+(MOD($B287,60)=PARAM!$B$56)*($B287&gt;(60-PARAM!$B$56))*HLOOKUP(($B287+PARAM!$B$56)/12,Loyalty,2)*$F$1*MAX(AL286,0)</f>
        <v>18.557001321003963</v>
      </c>
      <c r="AK287" s="75">
        <f>PARAM!$C$26+MAX($G$11-CHOOSE(PARAM!$B$44,MAX(0,AL286*$F$1),0),0)*RATES!$L263/12+$H$11*(PARAM!$D$51/12)*RATES!$N263/100</f>
        <v>21.727638640021446</v>
      </c>
      <c r="AL287" s="16">
        <f t="shared" si="206"/>
        <v>677.01027662267188</v>
      </c>
      <c r="AM287" s="15">
        <f t="shared" si="181"/>
        <v>22.170849845882874</v>
      </c>
      <c r="AN287" s="75">
        <f>AM287*(1-PARAM!$C$27)*$I$12+(MOD($B287,60)=PARAM!$B$56)*($B287&gt;(60-PARAM!$B$56))*HLOOKUP(($B287+PARAM!$B$56)/12,Loyalty,2)*$F$1*MAX(AP286,0)</f>
        <v>18.557001321003963</v>
      </c>
      <c r="AO287" s="75">
        <f>PARAM!$C$26+MAX($G$12-CHOOSE(PARAM!$B$44,MAX(0,AP286*$F$1),0),0)*RATES!$L263/12+$H$12*(PARAM!$D$51/12)*RATES!$N263/100</f>
        <v>21.727638640021446</v>
      </c>
      <c r="AP287" s="16">
        <f t="shared" si="207"/>
        <v>677.01027662267188</v>
      </c>
      <c r="AQ287" s="15">
        <f t="shared" si="182"/>
        <v>22.170849845882874</v>
      </c>
      <c r="AR287" s="75">
        <f>AQ287*(1-PARAM!$C$27)*$I$13+(MOD($B287,60)=PARAM!$B$56)*($B287&gt;(60-PARAM!$B$56))*HLOOKUP(($B287+PARAM!$B$56)/12,Loyalty,2)*$F$1*MAX(AT286,0)</f>
        <v>18.557001321003963</v>
      </c>
      <c r="AS287" s="75">
        <f>PARAM!$C$26+MAX($G$13-CHOOSE(PARAM!$B$44,MAX(0,AT286*$F$1),0),0)*RATES!$L263/12+$H$13*(PARAM!$D$51/12)*RATES!$N263/100</f>
        <v>21.727638640021446</v>
      </c>
      <c r="AT287" s="16">
        <f t="shared" si="208"/>
        <v>677.01027662267188</v>
      </c>
      <c r="AU287" s="15">
        <f t="shared" si="183"/>
        <v>22.170849845882874</v>
      </c>
      <c r="AV287" s="75">
        <f>AU287*(1-PARAM!$C$27)*$I$14+(MOD($B287,60)=PARAM!$B$56)*($B287&gt;(60-PARAM!$B$56))*HLOOKUP(($B287+PARAM!$B$56)/12,Loyalty,2)*$F$1*MAX(AX286,0)</f>
        <v>18.557001321003963</v>
      </c>
      <c r="AW287" s="75">
        <f>PARAM!$C$26+MAX($G$14-CHOOSE(PARAM!$B$44,MAX(0,AX286*$F$1),0),0)*RATES!$L263/12+$H$14*(PARAM!$D$51/12)*RATES!$N263/100</f>
        <v>21.727638640021446</v>
      </c>
      <c r="AX287" s="16">
        <f t="shared" si="209"/>
        <v>677.01027662267188</v>
      </c>
      <c r="AY287" s="15">
        <f t="shared" si="184"/>
        <v>22.170849845882874</v>
      </c>
      <c r="AZ287" s="75">
        <f>AY287*(1-PARAM!$C$27)*$I$15+(MOD($B287,60)=PARAM!$B$56)*($B287&gt;(60-PARAM!$B$56))*HLOOKUP(($B287+PARAM!$B$56)/12,Loyalty,2)*$F$1*MAX(BB286,0)</f>
        <v>18.557001321003963</v>
      </c>
      <c r="BA287" s="75">
        <f>PARAM!$C$26+MAX($G$15-CHOOSE(PARAM!$B$44,MAX(0,BB286*$F$1),0),0)*RATES!$L263/12+$H$15*(PARAM!$D$51/12)*RATES!$N263/100</f>
        <v>21.727638640021446</v>
      </c>
      <c r="BB287" s="16">
        <f t="shared" si="210"/>
        <v>677.01027662267188</v>
      </c>
      <c r="BC287" s="15">
        <f t="shared" si="185"/>
        <v>22.170849845882874</v>
      </c>
      <c r="BD287" s="75">
        <f>BC287*(1-PARAM!$C$27)*$I$16+(MOD($B287,60)=PARAM!$B$56)*($B287&gt;(60-PARAM!$B$56))*HLOOKUP(($B287+PARAM!$B$56)/12,Loyalty,2)*$F$1*MAX(BF286,0)</f>
        <v>18.557001321003963</v>
      </c>
      <c r="BE287" s="75">
        <f>PARAM!$C$26+MAX($G$16-CHOOSE(PARAM!$B$44,MAX(0,BF286*$F$1),0),0)*RATES!$L263/12+$H$16*(PARAM!$D$51/12)*RATES!$N263/100</f>
        <v>21.727638640021446</v>
      </c>
      <c r="BF287" s="16">
        <f t="shared" si="211"/>
        <v>677.01027662267188</v>
      </c>
      <c r="BG287" s="15">
        <f t="shared" si="186"/>
        <v>22.170849845882874</v>
      </c>
      <c r="BH287" s="75">
        <f>BG287*(1-PARAM!$C$27)*$I$17+(MOD($B287,60)=PARAM!$B$56)*($B287&gt;(60-PARAM!$B$56))*HLOOKUP(($B287+PARAM!$B$56)/12,Loyalty,2)*$F$1*MAX(BJ286,0)</f>
        <v>18.557001321003963</v>
      </c>
      <c r="BI287" s="75">
        <f>PARAM!$C$26+MAX($G$17-CHOOSE(PARAM!$B$44,MAX(0,BJ286*$F$1),0),0)*RATES!$L263/12+$H$17*(PARAM!$D$51/12)*RATES!$N263/100</f>
        <v>21.727638640021446</v>
      </c>
      <c r="BJ287" s="16">
        <f t="shared" si="212"/>
        <v>677.01027662267188</v>
      </c>
      <c r="BK287" s="15">
        <f t="shared" si="187"/>
        <v>22.170849845882874</v>
      </c>
      <c r="BL287" s="75">
        <f>BK287*(1-PARAM!$C$27)*$I$18+(MOD($B287,60)=PARAM!$B$56)*($B287&gt;(60-PARAM!$B$56))*HLOOKUP(($B287+PARAM!$B$56)/12,Loyalty,2)*$F$1*MAX(BN286,0)</f>
        <v>18.557001321003963</v>
      </c>
      <c r="BM287" s="75">
        <f>PARAM!$C$26+MAX($G$18-CHOOSE(PARAM!$B$44,MAX(0,BN286*$F$1),0),0)*RATES!$L263/12+$H$18*(PARAM!$D$51/12)*RATES!$N263/100</f>
        <v>21.727638640021446</v>
      </c>
      <c r="BN287" s="16">
        <f t="shared" si="213"/>
        <v>677.01027662267188</v>
      </c>
      <c r="BO287" s="15">
        <f t="shared" si="188"/>
        <v>22.170849845882874</v>
      </c>
      <c r="BP287" s="75">
        <f>BO287*(1-PARAM!$C$27)*$I$19+(MOD($B287,60)=PARAM!$B$56)*($B287&gt;(60-PARAM!$B$56))*HLOOKUP(($B287+PARAM!$B$56)/12,Loyalty,2)*$F$1*MAX(BR286,0)</f>
        <v>18.557001321003963</v>
      </c>
      <c r="BQ287" s="75">
        <f>PARAM!$C$26+MAX($G$19-CHOOSE(PARAM!$B$44,MAX(0,BR286*$F$1),0),0)*RATES!$L263/12+$H$19*(PARAM!$D$51/12)*RATES!$N263/100</f>
        <v>21.727638640021446</v>
      </c>
      <c r="BR287" s="16">
        <f t="shared" si="214"/>
        <v>677.01027662267188</v>
      </c>
      <c r="BS287" s="15">
        <f t="shared" si="189"/>
        <v>22.170849845882874</v>
      </c>
      <c r="BT287" s="75">
        <f>BS287*(1-PARAM!$C$27)*$I$20+(MOD($B287,60)=PARAM!$B$56)*($B287&gt;(60-PARAM!$B$56))*HLOOKUP(($B287+PARAM!$B$56)/12,Loyalty,2)*$F$1*MAX(BV286,0)</f>
        <v>18.557001321003963</v>
      </c>
      <c r="BU287" s="75">
        <f>PARAM!$C$26+MAX($G$20-CHOOSE(PARAM!$B$44,MAX(0,BV286*$F$1),0),0)*RATES!$L263/12+$H$20*(PARAM!$D$51/12)*RATES!$N263/100</f>
        <v>21.727638640021446</v>
      </c>
      <c r="BV287" s="16">
        <f t="shared" si="215"/>
        <v>677.01027662267188</v>
      </c>
      <c r="BW287" s="15">
        <f t="shared" si="190"/>
        <v>22.170849845882874</v>
      </c>
      <c r="BX287" s="75">
        <f>BW287*(1-PARAM!$C$27)*$I$21+(MOD($B287,60)=PARAM!$B$56)*($B287&gt;(60-PARAM!$B$56))*HLOOKUP(($B287+PARAM!$B$56)/12,Loyalty,2)*$F$1*MAX(BZ286,0)</f>
        <v>18.557001321003963</v>
      </c>
      <c r="BY287" s="75">
        <f>PARAM!$C$26+MAX($G$21-CHOOSE(PARAM!$B$44,MAX(0,BZ286*$F$1),0),0)*RATES!$L263/12+$H$21*(PARAM!$D$51/12)*RATES!$N263/100</f>
        <v>21.727638640021446</v>
      </c>
      <c r="BZ287" s="16">
        <f t="shared" si="216"/>
        <v>677.01027662267188</v>
      </c>
      <c r="CA287" s="15">
        <f t="shared" si="191"/>
        <v>22.170849845882874</v>
      </c>
      <c r="CB287" s="75">
        <f>CA287*(1-PARAM!$C$27)*$I$22+(MOD($B287,60)=PARAM!$B$56)*($B287&gt;(60-PARAM!$B$56))*HLOOKUP(($B287+PARAM!$B$56)/12,Loyalty,2)*$F$1*MAX(CD286,0)</f>
        <v>18.557001321003963</v>
      </c>
      <c r="CC287" s="75">
        <f>PARAM!$C$26+MAX($G$22-CHOOSE(PARAM!$B$44,MAX(0,CD286*$F$1),0),0)*RATES!$L263/12+$H$22*(PARAM!$D$51/12)*RATES!$N263/100</f>
        <v>21.727638640021446</v>
      </c>
      <c r="CD287" s="16">
        <f t="shared" si="217"/>
        <v>677.01027662267188</v>
      </c>
      <c r="CE287" s="33">
        <f>IF(0=MOD(B287,12/PARAM!$D$51),1,0)</f>
        <v>1</v>
      </c>
      <c r="CF287" s="15">
        <f t="shared" si="192"/>
        <v>0</v>
      </c>
      <c r="CG287" s="75">
        <f>CF287*(1-PARAM!$C$27)*$R$3+(MOD($B287/12,5)=0)*($B287&gt;60)*HLOOKUP($B287/12,Loyalty,2)*$F$1*MAX(CI286,0)</f>
        <v>0</v>
      </c>
      <c r="CH287" s="75">
        <f>PARAM!$C$26+MAX($P$3-CHOOSE(PARAM!$B$44,MAX(0,CI286*$F$1),0),0)*RATES!$L263/12+$Q$3*(PARAM!$D$51/12)*RATES!$N263/100</f>
        <v>21.958333333333336</v>
      </c>
      <c r="CI287" s="16">
        <f>IF(CI286&gt;0,CI286*PARAM!$C$53,CI286)+CG287-CH287</f>
        <v>-4001.8749999999936</v>
      </c>
      <c r="CJ287" s="15">
        <f t="shared" si="218"/>
        <v>0</v>
      </c>
      <c r="CK287" s="75">
        <f>CJ287*(1-PARAM!$C$27)*$R$4+(MOD($B287/12,5)=0)*($B287&gt;60)*HLOOKUP($B287/12,Loyalty,2)*$F$1*MAX(CM286,0)</f>
        <v>0</v>
      </c>
      <c r="CL287" s="75">
        <f>PARAM!$C$26+MAX($P$4-CHOOSE(PARAM!$B$44,MAX(0,CM286*$F$1),0),0)*RATES!$L263/12+$Q$4*(PARAM!$D$51/12)*RATES!$N263/100</f>
        <v>21.958333333333336</v>
      </c>
      <c r="CM287" s="16">
        <f>IF(CM286&gt;0,CM286*PARAM!$C$53,CM286)+CK287-CL287</f>
        <v>-4001.8749999999936</v>
      </c>
      <c r="CO287" s="176"/>
    </row>
    <row r="288" spans="1:93" x14ac:dyDescent="0.2">
      <c r="A288" t="b">
        <f t="shared" si="193"/>
        <v>1</v>
      </c>
      <c r="B288" s="33">
        <v>261</v>
      </c>
      <c r="C288" s="15">
        <f t="shared" si="194"/>
        <v>20.081305947392778</v>
      </c>
      <c r="D288" s="75">
        <f>C288*(1-PARAM!$C$27)*$I$3+(MOD($B288,60)=PARAM!$B$56)*($B288&gt;(60-PARAM!$B$56))*HLOOKUP(($B288+PARAM!$B$56)/12,Loyalty,2)*$F$1*MAX(F287,0)</f>
        <v>16.808053077967756</v>
      </c>
      <c r="E288" s="75">
        <f>PARAM!$C$26+MAX($G$3-CHOOSE(PARAM!$B$44,MAX(0,F287*$F$1),0),0)*RATES!$L264/12+$H$3*(PARAM!$D$51/12)*RATES!$N264/100</f>
        <v>21.886944366964652</v>
      </c>
      <c r="F288" s="16">
        <f t="shared" si="195"/>
        <v>205.40454763586814</v>
      </c>
      <c r="G288" s="15">
        <f t="shared" si="196"/>
        <v>22.035289406060361</v>
      </c>
      <c r="H288" s="75">
        <f>G288*(1-PARAM!$C$27)*$I$4+(MOD($B288,60)=PARAM!$B$56)*($B288&gt;(60-PARAM!$B$56))*HLOOKUP(($B288+PARAM!$B$56)/12,Loyalty,2)*$F$1*MAX(J287,0)</f>
        <v>18.443537232872522</v>
      </c>
      <c r="I288" s="75">
        <f>PARAM!$C$26+MAX($G$4-CHOOSE(PARAM!$B$44,MAX(0,J287*$F$1),0),0)*RATES!$L264/12+$H$4*(PARAM!$D$51/12)*RATES!$N264/100</f>
        <v>21.738984739852743</v>
      </c>
      <c r="J288" s="16">
        <f t="shared" si="197"/>
        <v>643.43259223924247</v>
      </c>
      <c r="K288" s="15">
        <f t="shared" si="198"/>
        <v>22.170849845882874</v>
      </c>
      <c r="L288" s="75">
        <f>K288*(1-PARAM!$C$27)*$I$5+(MOD($B288,60)=PARAM!$B$56)*($B288&gt;(60-PARAM!$B$56))*HLOOKUP(($B288+PARAM!$B$56)/12,Loyalty,2)*$F$1*MAX(N287,0)</f>
        <v>18.557001321003963</v>
      </c>
      <c r="M288" s="75">
        <f>PARAM!$C$26+MAX($G$5-CHOOSE(PARAM!$B$44,MAX(0,N287*$F$1),0),0)*RATES!$L264/12+$H$5*(PARAM!$D$51/12)*RATES!$N264/100</f>
        <v>21.728714014512146</v>
      </c>
      <c r="N288" s="16">
        <f t="shared" si="199"/>
        <v>673.8385639291638</v>
      </c>
      <c r="O288" s="15">
        <f t="shared" si="200"/>
        <v>22.170849845882874</v>
      </c>
      <c r="P288" s="75">
        <f>O288*(1-PARAM!$C$27)*$I$6+(MOD($B288,60)=PARAM!$B$56)*($B288&gt;(60-PARAM!$B$56))*HLOOKUP(($B288+PARAM!$B$56)/12,Loyalty,2)*$F$1*MAX(R287,0)</f>
        <v>18.557001321003963</v>
      </c>
      <c r="Q288" s="75">
        <f>PARAM!$C$26+MAX($G$6-CHOOSE(PARAM!$B$44,MAX(0,R287*$F$1),0),0)*RATES!$L264/12+$H$6*(PARAM!$D$51/12)*RATES!$N264/100</f>
        <v>21.728714014512146</v>
      </c>
      <c r="R288" s="16">
        <f t="shared" si="201"/>
        <v>673.8385639291638</v>
      </c>
      <c r="S288" s="15">
        <f t="shared" si="176"/>
        <v>22.170849845882874</v>
      </c>
      <c r="T288" s="75">
        <f>S288*(1-PARAM!$C$27)*$I$7+(MOD($B288,60)=PARAM!$B$56)*($B288&gt;(60-PARAM!$B$56))*HLOOKUP(($B288+PARAM!$B$56)/12,Loyalty,2)*$F$1*MAX(V287,0)</f>
        <v>18.557001321003963</v>
      </c>
      <c r="U288" s="75">
        <f>PARAM!$C$26+MAX($G$7-CHOOSE(PARAM!$B$44,MAX(0,V287*$F$1),0),0)*RATES!$L264/12+$H$7*(PARAM!$D$51/12)*RATES!$N264/100</f>
        <v>21.728714014512146</v>
      </c>
      <c r="V288" s="16">
        <f t="shared" si="202"/>
        <v>673.8385639291638</v>
      </c>
      <c r="W288" s="15">
        <f t="shared" si="177"/>
        <v>22.170849845882874</v>
      </c>
      <c r="X288" s="75">
        <f>W288*(1-PARAM!$C$27)*$I$8+(MOD($B288,60)=PARAM!$B$56)*($B288&gt;(60-PARAM!$B$56))*HLOOKUP(($B288+PARAM!$B$56)/12,Loyalty,2)*$F$1*MAX(Z287,0)</f>
        <v>18.557001321003963</v>
      </c>
      <c r="Y288" s="75">
        <f>PARAM!$C$26+MAX($G$8-CHOOSE(PARAM!$B$44,MAX(0,Z287*$F$1),0),0)*RATES!$L264/12+$H$8*(PARAM!$D$51/12)*RATES!$N264/100</f>
        <v>21.728714014512146</v>
      </c>
      <c r="Z288" s="16">
        <f t="shared" si="203"/>
        <v>673.8385639291638</v>
      </c>
      <c r="AA288" s="15">
        <f t="shared" si="178"/>
        <v>22.170849845882874</v>
      </c>
      <c r="AB288" s="75">
        <f>AA288*(1-PARAM!$C$27)*$I$9+(MOD($B288,60)=PARAM!$B$56)*($B288&gt;(60-PARAM!$B$56))*HLOOKUP(($B288+PARAM!$B$56)/12,Loyalty,2)*$F$1*MAX(AD287,0)</f>
        <v>18.557001321003963</v>
      </c>
      <c r="AC288" s="75">
        <f>PARAM!$C$26+MAX($G$9-CHOOSE(PARAM!$B$44,MAX(0,AD287*$F$1),0),0)*RATES!$L264/12+$H$9*(PARAM!$D$51/12)*RATES!$N264/100</f>
        <v>21.728714014512146</v>
      </c>
      <c r="AD288" s="16">
        <f t="shared" si="204"/>
        <v>673.8385639291638</v>
      </c>
      <c r="AE288" s="15">
        <f t="shared" si="179"/>
        <v>22.170849845882874</v>
      </c>
      <c r="AF288" s="75">
        <f>AE288*(1-PARAM!$C$27)*$I$10+(MOD($B288,60)=PARAM!$B$56)*($B288&gt;(60-PARAM!$B$56))*HLOOKUP(($B288+PARAM!$B$56)/12,Loyalty,2)*$F$1*MAX(AH287,0)</f>
        <v>18.557001321003963</v>
      </c>
      <c r="AG288" s="75">
        <f>PARAM!$C$26+MAX($G$10-CHOOSE(PARAM!$B$44,MAX(0,AH287*$F$1),0),0)*RATES!$L264/12+$H$10*(PARAM!$D$51/12)*RATES!$N264/100</f>
        <v>21.728714014512146</v>
      </c>
      <c r="AH288" s="16">
        <f t="shared" si="205"/>
        <v>673.8385639291638</v>
      </c>
      <c r="AI288" s="15">
        <f t="shared" si="180"/>
        <v>22.170849845882874</v>
      </c>
      <c r="AJ288" s="75">
        <f>AI288*(1-PARAM!$C$27)*$I$11+(MOD($B288,60)=PARAM!$B$56)*($B288&gt;(60-PARAM!$B$56))*HLOOKUP(($B288+PARAM!$B$56)/12,Loyalty,2)*$F$1*MAX(AL287,0)</f>
        <v>18.557001321003963</v>
      </c>
      <c r="AK288" s="75">
        <f>PARAM!$C$26+MAX($G$11-CHOOSE(PARAM!$B$44,MAX(0,AL287*$F$1),0),0)*RATES!$L264/12+$H$11*(PARAM!$D$51/12)*RATES!$N264/100</f>
        <v>21.728714014512146</v>
      </c>
      <c r="AL288" s="16">
        <f t="shared" si="206"/>
        <v>673.8385639291638</v>
      </c>
      <c r="AM288" s="15">
        <f t="shared" si="181"/>
        <v>22.170849845882874</v>
      </c>
      <c r="AN288" s="75">
        <f>AM288*(1-PARAM!$C$27)*$I$12+(MOD($B288,60)=PARAM!$B$56)*($B288&gt;(60-PARAM!$B$56))*HLOOKUP(($B288+PARAM!$B$56)/12,Loyalty,2)*$F$1*MAX(AP287,0)</f>
        <v>18.557001321003963</v>
      </c>
      <c r="AO288" s="75">
        <f>PARAM!$C$26+MAX($G$12-CHOOSE(PARAM!$B$44,MAX(0,AP287*$F$1),0),0)*RATES!$L264/12+$H$12*(PARAM!$D$51/12)*RATES!$N264/100</f>
        <v>21.728714014512146</v>
      </c>
      <c r="AP288" s="16">
        <f t="shared" si="207"/>
        <v>673.8385639291638</v>
      </c>
      <c r="AQ288" s="15">
        <f t="shared" si="182"/>
        <v>22.170849845882874</v>
      </c>
      <c r="AR288" s="75">
        <f>AQ288*(1-PARAM!$C$27)*$I$13+(MOD($B288,60)=PARAM!$B$56)*($B288&gt;(60-PARAM!$B$56))*HLOOKUP(($B288+PARAM!$B$56)/12,Loyalty,2)*$F$1*MAX(AT287,0)</f>
        <v>18.557001321003963</v>
      </c>
      <c r="AS288" s="75">
        <f>PARAM!$C$26+MAX($G$13-CHOOSE(PARAM!$B$44,MAX(0,AT287*$F$1),0),0)*RATES!$L264/12+$H$13*(PARAM!$D$51/12)*RATES!$N264/100</f>
        <v>21.728714014512146</v>
      </c>
      <c r="AT288" s="16">
        <f t="shared" si="208"/>
        <v>673.8385639291638</v>
      </c>
      <c r="AU288" s="15">
        <f t="shared" si="183"/>
        <v>22.170849845882874</v>
      </c>
      <c r="AV288" s="75">
        <f>AU288*(1-PARAM!$C$27)*$I$14+(MOD($B288,60)=PARAM!$B$56)*($B288&gt;(60-PARAM!$B$56))*HLOOKUP(($B288+PARAM!$B$56)/12,Loyalty,2)*$F$1*MAX(AX287,0)</f>
        <v>18.557001321003963</v>
      </c>
      <c r="AW288" s="75">
        <f>PARAM!$C$26+MAX($G$14-CHOOSE(PARAM!$B$44,MAX(0,AX287*$F$1),0),0)*RATES!$L264/12+$H$14*(PARAM!$D$51/12)*RATES!$N264/100</f>
        <v>21.728714014512146</v>
      </c>
      <c r="AX288" s="16">
        <f t="shared" si="209"/>
        <v>673.8385639291638</v>
      </c>
      <c r="AY288" s="15">
        <f t="shared" si="184"/>
        <v>22.170849845882874</v>
      </c>
      <c r="AZ288" s="75">
        <f>AY288*(1-PARAM!$C$27)*$I$15+(MOD($B288,60)=PARAM!$B$56)*($B288&gt;(60-PARAM!$B$56))*HLOOKUP(($B288+PARAM!$B$56)/12,Loyalty,2)*$F$1*MAX(BB287,0)</f>
        <v>18.557001321003963</v>
      </c>
      <c r="BA288" s="75">
        <f>PARAM!$C$26+MAX($G$15-CHOOSE(PARAM!$B$44,MAX(0,BB287*$F$1),0),0)*RATES!$L264/12+$H$15*(PARAM!$D$51/12)*RATES!$N264/100</f>
        <v>21.728714014512146</v>
      </c>
      <c r="BB288" s="16">
        <f t="shared" si="210"/>
        <v>673.8385639291638</v>
      </c>
      <c r="BC288" s="15">
        <f t="shared" si="185"/>
        <v>22.170849845882874</v>
      </c>
      <c r="BD288" s="75">
        <f>BC288*(1-PARAM!$C$27)*$I$16+(MOD($B288,60)=PARAM!$B$56)*($B288&gt;(60-PARAM!$B$56))*HLOOKUP(($B288+PARAM!$B$56)/12,Loyalty,2)*$F$1*MAX(BF287,0)</f>
        <v>18.557001321003963</v>
      </c>
      <c r="BE288" s="75">
        <f>PARAM!$C$26+MAX($G$16-CHOOSE(PARAM!$B$44,MAX(0,BF287*$F$1),0),0)*RATES!$L264/12+$H$16*(PARAM!$D$51/12)*RATES!$N264/100</f>
        <v>21.728714014512146</v>
      </c>
      <c r="BF288" s="16">
        <f t="shared" si="211"/>
        <v>673.8385639291638</v>
      </c>
      <c r="BG288" s="15">
        <f t="shared" si="186"/>
        <v>22.170849845882874</v>
      </c>
      <c r="BH288" s="75">
        <f>BG288*(1-PARAM!$C$27)*$I$17+(MOD($B288,60)=PARAM!$B$56)*($B288&gt;(60-PARAM!$B$56))*HLOOKUP(($B288+PARAM!$B$56)/12,Loyalty,2)*$F$1*MAX(BJ287,0)</f>
        <v>18.557001321003963</v>
      </c>
      <c r="BI288" s="75">
        <f>PARAM!$C$26+MAX($G$17-CHOOSE(PARAM!$B$44,MAX(0,BJ287*$F$1),0),0)*RATES!$L264/12+$H$17*(PARAM!$D$51/12)*RATES!$N264/100</f>
        <v>21.728714014512146</v>
      </c>
      <c r="BJ288" s="16">
        <f t="shared" si="212"/>
        <v>673.8385639291638</v>
      </c>
      <c r="BK288" s="15">
        <f t="shared" si="187"/>
        <v>22.170849845882874</v>
      </c>
      <c r="BL288" s="75">
        <f>BK288*(1-PARAM!$C$27)*$I$18+(MOD($B288,60)=PARAM!$B$56)*($B288&gt;(60-PARAM!$B$56))*HLOOKUP(($B288+PARAM!$B$56)/12,Loyalty,2)*$F$1*MAX(BN287,0)</f>
        <v>18.557001321003963</v>
      </c>
      <c r="BM288" s="75">
        <f>PARAM!$C$26+MAX($G$18-CHOOSE(PARAM!$B$44,MAX(0,BN287*$F$1),0),0)*RATES!$L264/12+$H$18*(PARAM!$D$51/12)*RATES!$N264/100</f>
        <v>21.728714014512146</v>
      </c>
      <c r="BN288" s="16">
        <f t="shared" si="213"/>
        <v>673.8385639291638</v>
      </c>
      <c r="BO288" s="15">
        <f t="shared" si="188"/>
        <v>22.170849845882874</v>
      </c>
      <c r="BP288" s="75">
        <f>BO288*(1-PARAM!$C$27)*$I$19+(MOD($B288,60)=PARAM!$B$56)*($B288&gt;(60-PARAM!$B$56))*HLOOKUP(($B288+PARAM!$B$56)/12,Loyalty,2)*$F$1*MAX(BR287,0)</f>
        <v>18.557001321003963</v>
      </c>
      <c r="BQ288" s="75">
        <f>PARAM!$C$26+MAX($G$19-CHOOSE(PARAM!$B$44,MAX(0,BR287*$F$1),0),0)*RATES!$L264/12+$H$19*(PARAM!$D$51/12)*RATES!$N264/100</f>
        <v>21.728714014512146</v>
      </c>
      <c r="BR288" s="16">
        <f t="shared" si="214"/>
        <v>673.8385639291638</v>
      </c>
      <c r="BS288" s="15">
        <f t="shared" si="189"/>
        <v>22.170849845882874</v>
      </c>
      <c r="BT288" s="75">
        <f>BS288*(1-PARAM!$C$27)*$I$20+(MOD($B288,60)=PARAM!$B$56)*($B288&gt;(60-PARAM!$B$56))*HLOOKUP(($B288+PARAM!$B$56)/12,Loyalty,2)*$F$1*MAX(BV287,0)</f>
        <v>18.557001321003963</v>
      </c>
      <c r="BU288" s="75">
        <f>PARAM!$C$26+MAX($G$20-CHOOSE(PARAM!$B$44,MAX(0,BV287*$F$1),0),0)*RATES!$L264/12+$H$20*(PARAM!$D$51/12)*RATES!$N264/100</f>
        <v>21.728714014512146</v>
      </c>
      <c r="BV288" s="16">
        <f t="shared" si="215"/>
        <v>673.8385639291638</v>
      </c>
      <c r="BW288" s="15">
        <f t="shared" si="190"/>
        <v>22.170849845882874</v>
      </c>
      <c r="BX288" s="75">
        <f>BW288*(1-PARAM!$C$27)*$I$21+(MOD($B288,60)=PARAM!$B$56)*($B288&gt;(60-PARAM!$B$56))*HLOOKUP(($B288+PARAM!$B$56)/12,Loyalty,2)*$F$1*MAX(BZ287,0)</f>
        <v>18.557001321003963</v>
      </c>
      <c r="BY288" s="75">
        <f>PARAM!$C$26+MAX($G$21-CHOOSE(PARAM!$B$44,MAX(0,BZ287*$F$1),0),0)*RATES!$L264/12+$H$21*(PARAM!$D$51/12)*RATES!$N264/100</f>
        <v>21.728714014512146</v>
      </c>
      <c r="BZ288" s="16">
        <f t="shared" si="216"/>
        <v>673.8385639291638</v>
      </c>
      <c r="CA288" s="15">
        <f t="shared" si="191"/>
        <v>22.170849845882874</v>
      </c>
      <c r="CB288" s="75">
        <f>CA288*(1-PARAM!$C$27)*$I$22+(MOD($B288,60)=PARAM!$B$56)*($B288&gt;(60-PARAM!$B$56))*HLOOKUP(($B288+PARAM!$B$56)/12,Loyalty,2)*$F$1*MAX(CD287,0)</f>
        <v>18.557001321003963</v>
      </c>
      <c r="CC288" s="75">
        <f>PARAM!$C$26+MAX($G$22-CHOOSE(PARAM!$B$44,MAX(0,CD287*$F$1),0),0)*RATES!$L264/12+$H$22*(PARAM!$D$51/12)*RATES!$N264/100</f>
        <v>21.728714014512146</v>
      </c>
      <c r="CD288" s="16">
        <f t="shared" si="217"/>
        <v>673.8385639291638</v>
      </c>
      <c r="CE288" s="33">
        <f>IF(0=MOD(B288,12/PARAM!$D$51),1,0)</f>
        <v>1</v>
      </c>
      <c r="CF288" s="15">
        <f t="shared" si="192"/>
        <v>0</v>
      </c>
      <c r="CG288" s="75">
        <f>CF288*(1-PARAM!$C$27)*$R$3+(MOD($B288/12,5)=0)*($B288&gt;60)*HLOOKUP($B288/12,Loyalty,2)*$F$1*MAX(CI287,0)</f>
        <v>0</v>
      </c>
      <c r="CH288" s="75">
        <f>PARAM!$C$26+MAX($P$3-CHOOSE(PARAM!$B$44,MAX(0,CI287*$F$1),0),0)*RATES!$L264/12+$Q$3*(PARAM!$D$51/12)*RATES!$N264/100</f>
        <v>21.958333333333336</v>
      </c>
      <c r="CI288" s="16">
        <f>IF(CI287&gt;0,CI287*PARAM!$C$53,CI287)+CG288-CH288</f>
        <v>-4023.8333333333271</v>
      </c>
      <c r="CJ288" s="15">
        <f t="shared" si="218"/>
        <v>0</v>
      </c>
      <c r="CK288" s="75">
        <f>CJ288*(1-PARAM!$C$27)*$R$4+(MOD($B288/12,5)=0)*($B288&gt;60)*HLOOKUP($B288/12,Loyalty,2)*$F$1*MAX(CM287,0)</f>
        <v>0</v>
      </c>
      <c r="CL288" s="75">
        <f>PARAM!$C$26+MAX($P$4-CHOOSE(PARAM!$B$44,MAX(0,CM287*$F$1),0),0)*RATES!$L264/12+$Q$4*(PARAM!$D$51/12)*RATES!$N264/100</f>
        <v>21.958333333333336</v>
      </c>
      <c r="CM288" s="16">
        <f>IF(CM287&gt;0,CM287*PARAM!$C$53,CM287)+CK288-CL288</f>
        <v>-4023.8333333333271</v>
      </c>
      <c r="CO288" s="176"/>
    </row>
    <row r="289" spans="1:93" x14ac:dyDescent="0.2">
      <c r="A289" t="b">
        <f t="shared" si="193"/>
        <v>1</v>
      </c>
      <c r="B289" s="33">
        <v>262</v>
      </c>
      <c r="C289" s="15">
        <f t="shared" si="194"/>
        <v>20.081305947392778</v>
      </c>
      <c r="D289" s="75">
        <f>C289*(1-PARAM!$C$27)*$I$3+(MOD($B289,60)=PARAM!$B$56)*($B289&gt;(60-PARAM!$B$56))*HLOOKUP(($B289+PARAM!$B$56)/12,Loyalty,2)*$F$1*MAX(F288,0)</f>
        <v>16.808053077967756</v>
      </c>
      <c r="E289" s="75">
        <f>PARAM!$C$26+MAX($G$3-CHOOSE(PARAM!$B$44,MAX(0,F288*$F$1),0),0)*RATES!$L265/12+$H$3*(PARAM!$D$51/12)*RATES!$N265/100</f>
        <v>21.888666957593504</v>
      </c>
      <c r="F289" s="16">
        <f t="shared" si="195"/>
        <v>200.32393375624241</v>
      </c>
      <c r="G289" s="15">
        <f t="shared" si="196"/>
        <v>22.035289406060361</v>
      </c>
      <c r="H289" s="75">
        <f>G289*(1-PARAM!$C$27)*$I$4+(MOD($B289,60)=PARAM!$B$56)*($B289&gt;(60-PARAM!$B$56))*HLOOKUP(($B289+PARAM!$B$56)/12,Loyalty,2)*$F$1*MAX(J288,0)</f>
        <v>18.443537232872522</v>
      </c>
      <c r="I289" s="75">
        <f>PARAM!$C$26+MAX($G$4-CHOOSE(PARAM!$B$44,MAX(0,J288*$F$1),0),0)*RATES!$L265/12+$H$4*(PARAM!$D$51/12)*RATES!$N265/100</f>
        <v>21.740102445798858</v>
      </c>
      <c r="J289" s="16">
        <f t="shared" si="197"/>
        <v>640.13602702631613</v>
      </c>
      <c r="K289" s="15">
        <f t="shared" si="198"/>
        <v>22.170849845882874</v>
      </c>
      <c r="L289" s="75">
        <f>K289*(1-PARAM!$C$27)*$I$5+(MOD($B289,60)=PARAM!$B$56)*($B289&gt;(60-PARAM!$B$56))*HLOOKUP(($B289+PARAM!$B$56)/12,Loyalty,2)*$F$1*MAX(N288,0)</f>
        <v>18.557001321003963</v>
      </c>
      <c r="M289" s="75">
        <f>PARAM!$C$26+MAX($G$5-CHOOSE(PARAM!$B$44,MAX(0,N288*$F$1),0),0)*RATES!$L265/12+$H$5*(PARAM!$D$51/12)*RATES!$N265/100</f>
        <v>21.729789753734028</v>
      </c>
      <c r="N289" s="16">
        <f t="shared" si="199"/>
        <v>670.66577549643375</v>
      </c>
      <c r="O289" s="15">
        <f t="shared" si="200"/>
        <v>22.170849845882874</v>
      </c>
      <c r="P289" s="75">
        <f>O289*(1-PARAM!$C$27)*$I$6+(MOD($B289,60)=PARAM!$B$56)*($B289&gt;(60-PARAM!$B$56))*HLOOKUP(($B289+PARAM!$B$56)/12,Loyalty,2)*$F$1*MAX(R288,0)</f>
        <v>18.557001321003963</v>
      </c>
      <c r="Q289" s="75">
        <f>PARAM!$C$26+MAX($G$6-CHOOSE(PARAM!$B$44,MAX(0,R288*$F$1),0),0)*RATES!$L265/12+$H$6*(PARAM!$D$51/12)*RATES!$N265/100</f>
        <v>21.729789753734028</v>
      </c>
      <c r="R289" s="16">
        <f t="shared" si="201"/>
        <v>670.66577549643375</v>
      </c>
      <c r="S289" s="15">
        <f t="shared" si="176"/>
        <v>22.170849845882874</v>
      </c>
      <c r="T289" s="75">
        <f>S289*(1-PARAM!$C$27)*$I$7+(MOD($B289,60)=PARAM!$B$56)*($B289&gt;(60-PARAM!$B$56))*HLOOKUP(($B289+PARAM!$B$56)/12,Loyalty,2)*$F$1*MAX(V288,0)</f>
        <v>18.557001321003963</v>
      </c>
      <c r="U289" s="75">
        <f>PARAM!$C$26+MAX($G$7-CHOOSE(PARAM!$B$44,MAX(0,V288*$F$1),0),0)*RATES!$L265/12+$H$7*(PARAM!$D$51/12)*RATES!$N265/100</f>
        <v>21.729789753734028</v>
      </c>
      <c r="V289" s="16">
        <f t="shared" si="202"/>
        <v>670.66577549643375</v>
      </c>
      <c r="W289" s="15">
        <f t="shared" si="177"/>
        <v>22.170849845882874</v>
      </c>
      <c r="X289" s="75">
        <f>W289*(1-PARAM!$C$27)*$I$8+(MOD($B289,60)=PARAM!$B$56)*($B289&gt;(60-PARAM!$B$56))*HLOOKUP(($B289+PARAM!$B$56)/12,Loyalty,2)*$F$1*MAX(Z288,0)</f>
        <v>18.557001321003963</v>
      </c>
      <c r="Y289" s="75">
        <f>PARAM!$C$26+MAX($G$8-CHOOSE(PARAM!$B$44,MAX(0,Z288*$F$1),0),0)*RATES!$L265/12+$H$8*(PARAM!$D$51/12)*RATES!$N265/100</f>
        <v>21.729789753734028</v>
      </c>
      <c r="Z289" s="16">
        <f t="shared" si="203"/>
        <v>670.66577549643375</v>
      </c>
      <c r="AA289" s="15">
        <f t="shared" si="178"/>
        <v>22.170849845882874</v>
      </c>
      <c r="AB289" s="75">
        <f>AA289*(1-PARAM!$C$27)*$I$9+(MOD($B289,60)=PARAM!$B$56)*($B289&gt;(60-PARAM!$B$56))*HLOOKUP(($B289+PARAM!$B$56)/12,Loyalty,2)*$F$1*MAX(AD288,0)</f>
        <v>18.557001321003963</v>
      </c>
      <c r="AC289" s="75">
        <f>PARAM!$C$26+MAX($G$9-CHOOSE(PARAM!$B$44,MAX(0,AD288*$F$1),0),0)*RATES!$L265/12+$H$9*(PARAM!$D$51/12)*RATES!$N265/100</f>
        <v>21.729789753734028</v>
      </c>
      <c r="AD289" s="16">
        <f t="shared" si="204"/>
        <v>670.66577549643375</v>
      </c>
      <c r="AE289" s="15">
        <f t="shared" si="179"/>
        <v>22.170849845882874</v>
      </c>
      <c r="AF289" s="75">
        <f>AE289*(1-PARAM!$C$27)*$I$10+(MOD($B289,60)=PARAM!$B$56)*($B289&gt;(60-PARAM!$B$56))*HLOOKUP(($B289+PARAM!$B$56)/12,Loyalty,2)*$F$1*MAX(AH288,0)</f>
        <v>18.557001321003963</v>
      </c>
      <c r="AG289" s="75">
        <f>PARAM!$C$26+MAX($G$10-CHOOSE(PARAM!$B$44,MAX(0,AH288*$F$1),0),0)*RATES!$L265/12+$H$10*(PARAM!$D$51/12)*RATES!$N265/100</f>
        <v>21.729789753734028</v>
      </c>
      <c r="AH289" s="16">
        <f t="shared" si="205"/>
        <v>670.66577549643375</v>
      </c>
      <c r="AI289" s="15">
        <f t="shared" si="180"/>
        <v>22.170849845882874</v>
      </c>
      <c r="AJ289" s="75">
        <f>AI289*(1-PARAM!$C$27)*$I$11+(MOD($B289,60)=PARAM!$B$56)*($B289&gt;(60-PARAM!$B$56))*HLOOKUP(($B289+PARAM!$B$56)/12,Loyalty,2)*$F$1*MAX(AL288,0)</f>
        <v>18.557001321003963</v>
      </c>
      <c r="AK289" s="75">
        <f>PARAM!$C$26+MAX($G$11-CHOOSE(PARAM!$B$44,MAX(0,AL288*$F$1),0),0)*RATES!$L265/12+$H$11*(PARAM!$D$51/12)*RATES!$N265/100</f>
        <v>21.729789753734028</v>
      </c>
      <c r="AL289" s="16">
        <f t="shared" si="206"/>
        <v>670.66577549643375</v>
      </c>
      <c r="AM289" s="15">
        <f t="shared" si="181"/>
        <v>22.170849845882874</v>
      </c>
      <c r="AN289" s="75">
        <f>AM289*(1-PARAM!$C$27)*$I$12+(MOD($B289,60)=PARAM!$B$56)*($B289&gt;(60-PARAM!$B$56))*HLOOKUP(($B289+PARAM!$B$56)/12,Loyalty,2)*$F$1*MAX(AP288,0)</f>
        <v>18.557001321003963</v>
      </c>
      <c r="AO289" s="75">
        <f>PARAM!$C$26+MAX($G$12-CHOOSE(PARAM!$B$44,MAX(0,AP288*$F$1),0),0)*RATES!$L265/12+$H$12*(PARAM!$D$51/12)*RATES!$N265/100</f>
        <v>21.729789753734028</v>
      </c>
      <c r="AP289" s="16">
        <f t="shared" si="207"/>
        <v>670.66577549643375</v>
      </c>
      <c r="AQ289" s="15">
        <f t="shared" si="182"/>
        <v>22.170849845882874</v>
      </c>
      <c r="AR289" s="75">
        <f>AQ289*(1-PARAM!$C$27)*$I$13+(MOD($B289,60)=PARAM!$B$56)*($B289&gt;(60-PARAM!$B$56))*HLOOKUP(($B289+PARAM!$B$56)/12,Loyalty,2)*$F$1*MAX(AT288,0)</f>
        <v>18.557001321003963</v>
      </c>
      <c r="AS289" s="75">
        <f>PARAM!$C$26+MAX($G$13-CHOOSE(PARAM!$B$44,MAX(0,AT288*$F$1),0),0)*RATES!$L265/12+$H$13*(PARAM!$D$51/12)*RATES!$N265/100</f>
        <v>21.729789753734028</v>
      </c>
      <c r="AT289" s="16">
        <f t="shared" si="208"/>
        <v>670.66577549643375</v>
      </c>
      <c r="AU289" s="15">
        <f t="shared" si="183"/>
        <v>22.170849845882874</v>
      </c>
      <c r="AV289" s="75">
        <f>AU289*(1-PARAM!$C$27)*$I$14+(MOD($B289,60)=PARAM!$B$56)*($B289&gt;(60-PARAM!$B$56))*HLOOKUP(($B289+PARAM!$B$56)/12,Loyalty,2)*$F$1*MAX(AX288,0)</f>
        <v>18.557001321003963</v>
      </c>
      <c r="AW289" s="75">
        <f>PARAM!$C$26+MAX($G$14-CHOOSE(PARAM!$B$44,MAX(0,AX288*$F$1),0),0)*RATES!$L265/12+$H$14*(PARAM!$D$51/12)*RATES!$N265/100</f>
        <v>21.729789753734028</v>
      </c>
      <c r="AX289" s="16">
        <f t="shared" si="209"/>
        <v>670.66577549643375</v>
      </c>
      <c r="AY289" s="15">
        <f t="shared" si="184"/>
        <v>22.170849845882874</v>
      </c>
      <c r="AZ289" s="75">
        <f>AY289*(1-PARAM!$C$27)*$I$15+(MOD($B289,60)=PARAM!$B$56)*($B289&gt;(60-PARAM!$B$56))*HLOOKUP(($B289+PARAM!$B$56)/12,Loyalty,2)*$F$1*MAX(BB288,0)</f>
        <v>18.557001321003963</v>
      </c>
      <c r="BA289" s="75">
        <f>PARAM!$C$26+MAX($G$15-CHOOSE(PARAM!$B$44,MAX(0,BB288*$F$1),0),0)*RATES!$L265/12+$H$15*(PARAM!$D$51/12)*RATES!$N265/100</f>
        <v>21.729789753734028</v>
      </c>
      <c r="BB289" s="16">
        <f t="shared" si="210"/>
        <v>670.66577549643375</v>
      </c>
      <c r="BC289" s="15">
        <f t="shared" si="185"/>
        <v>22.170849845882874</v>
      </c>
      <c r="BD289" s="75">
        <f>BC289*(1-PARAM!$C$27)*$I$16+(MOD($B289,60)=PARAM!$B$56)*($B289&gt;(60-PARAM!$B$56))*HLOOKUP(($B289+PARAM!$B$56)/12,Loyalty,2)*$F$1*MAX(BF288,0)</f>
        <v>18.557001321003963</v>
      </c>
      <c r="BE289" s="75">
        <f>PARAM!$C$26+MAX($G$16-CHOOSE(PARAM!$B$44,MAX(0,BF288*$F$1),0),0)*RATES!$L265/12+$H$16*(PARAM!$D$51/12)*RATES!$N265/100</f>
        <v>21.729789753734028</v>
      </c>
      <c r="BF289" s="16">
        <f t="shared" si="211"/>
        <v>670.66577549643375</v>
      </c>
      <c r="BG289" s="15">
        <f t="shared" si="186"/>
        <v>22.170849845882874</v>
      </c>
      <c r="BH289" s="75">
        <f>BG289*(1-PARAM!$C$27)*$I$17+(MOD($B289,60)=PARAM!$B$56)*($B289&gt;(60-PARAM!$B$56))*HLOOKUP(($B289+PARAM!$B$56)/12,Loyalty,2)*$F$1*MAX(BJ288,0)</f>
        <v>18.557001321003963</v>
      </c>
      <c r="BI289" s="75">
        <f>PARAM!$C$26+MAX($G$17-CHOOSE(PARAM!$B$44,MAX(0,BJ288*$F$1),0),0)*RATES!$L265/12+$H$17*(PARAM!$D$51/12)*RATES!$N265/100</f>
        <v>21.729789753734028</v>
      </c>
      <c r="BJ289" s="16">
        <f t="shared" si="212"/>
        <v>670.66577549643375</v>
      </c>
      <c r="BK289" s="15">
        <f t="shared" si="187"/>
        <v>22.170849845882874</v>
      </c>
      <c r="BL289" s="75">
        <f>BK289*(1-PARAM!$C$27)*$I$18+(MOD($B289,60)=PARAM!$B$56)*($B289&gt;(60-PARAM!$B$56))*HLOOKUP(($B289+PARAM!$B$56)/12,Loyalty,2)*$F$1*MAX(BN288,0)</f>
        <v>18.557001321003963</v>
      </c>
      <c r="BM289" s="75">
        <f>PARAM!$C$26+MAX($G$18-CHOOSE(PARAM!$B$44,MAX(0,BN288*$F$1),0),0)*RATES!$L265/12+$H$18*(PARAM!$D$51/12)*RATES!$N265/100</f>
        <v>21.729789753734028</v>
      </c>
      <c r="BN289" s="16">
        <f t="shared" si="213"/>
        <v>670.66577549643375</v>
      </c>
      <c r="BO289" s="15">
        <f t="shared" si="188"/>
        <v>22.170849845882874</v>
      </c>
      <c r="BP289" s="75">
        <f>BO289*(1-PARAM!$C$27)*$I$19+(MOD($B289,60)=PARAM!$B$56)*($B289&gt;(60-PARAM!$B$56))*HLOOKUP(($B289+PARAM!$B$56)/12,Loyalty,2)*$F$1*MAX(BR288,0)</f>
        <v>18.557001321003963</v>
      </c>
      <c r="BQ289" s="75">
        <f>PARAM!$C$26+MAX($G$19-CHOOSE(PARAM!$B$44,MAX(0,BR288*$F$1),0),0)*RATES!$L265/12+$H$19*(PARAM!$D$51/12)*RATES!$N265/100</f>
        <v>21.729789753734028</v>
      </c>
      <c r="BR289" s="16">
        <f t="shared" si="214"/>
        <v>670.66577549643375</v>
      </c>
      <c r="BS289" s="15">
        <f t="shared" si="189"/>
        <v>22.170849845882874</v>
      </c>
      <c r="BT289" s="75">
        <f>BS289*(1-PARAM!$C$27)*$I$20+(MOD($B289,60)=PARAM!$B$56)*($B289&gt;(60-PARAM!$B$56))*HLOOKUP(($B289+PARAM!$B$56)/12,Loyalty,2)*$F$1*MAX(BV288,0)</f>
        <v>18.557001321003963</v>
      </c>
      <c r="BU289" s="75">
        <f>PARAM!$C$26+MAX($G$20-CHOOSE(PARAM!$B$44,MAX(0,BV288*$F$1),0),0)*RATES!$L265/12+$H$20*(PARAM!$D$51/12)*RATES!$N265/100</f>
        <v>21.729789753734028</v>
      </c>
      <c r="BV289" s="16">
        <f t="shared" si="215"/>
        <v>670.66577549643375</v>
      </c>
      <c r="BW289" s="15">
        <f t="shared" si="190"/>
        <v>22.170849845882874</v>
      </c>
      <c r="BX289" s="75">
        <f>BW289*(1-PARAM!$C$27)*$I$21+(MOD($B289,60)=PARAM!$B$56)*($B289&gt;(60-PARAM!$B$56))*HLOOKUP(($B289+PARAM!$B$56)/12,Loyalty,2)*$F$1*MAX(BZ288,0)</f>
        <v>18.557001321003963</v>
      </c>
      <c r="BY289" s="75">
        <f>PARAM!$C$26+MAX($G$21-CHOOSE(PARAM!$B$44,MAX(0,BZ288*$F$1),0),0)*RATES!$L265/12+$H$21*(PARAM!$D$51/12)*RATES!$N265/100</f>
        <v>21.729789753734028</v>
      </c>
      <c r="BZ289" s="16">
        <f t="shared" si="216"/>
        <v>670.66577549643375</v>
      </c>
      <c r="CA289" s="15">
        <f t="shared" si="191"/>
        <v>22.170849845882874</v>
      </c>
      <c r="CB289" s="75">
        <f>CA289*(1-PARAM!$C$27)*$I$22+(MOD($B289,60)=PARAM!$B$56)*($B289&gt;(60-PARAM!$B$56))*HLOOKUP(($B289+PARAM!$B$56)/12,Loyalty,2)*$F$1*MAX(CD288,0)</f>
        <v>18.557001321003963</v>
      </c>
      <c r="CC289" s="75">
        <f>PARAM!$C$26+MAX($G$22-CHOOSE(PARAM!$B$44,MAX(0,CD288*$F$1),0),0)*RATES!$L265/12+$H$22*(PARAM!$D$51/12)*RATES!$N265/100</f>
        <v>21.729789753734028</v>
      </c>
      <c r="CD289" s="16">
        <f t="shared" si="217"/>
        <v>670.66577549643375</v>
      </c>
      <c r="CE289" s="33">
        <f>IF(0=MOD(B289,12/PARAM!$D$51),1,0)</f>
        <v>1</v>
      </c>
      <c r="CF289" s="15">
        <f t="shared" si="192"/>
        <v>0</v>
      </c>
      <c r="CG289" s="75">
        <f>CF289*(1-PARAM!$C$27)*$R$3+(MOD($B289/12,5)=0)*($B289&gt;60)*HLOOKUP($B289/12,Loyalty,2)*$F$1*MAX(CI288,0)</f>
        <v>0</v>
      </c>
      <c r="CH289" s="75">
        <f>PARAM!$C$26+MAX($P$3-CHOOSE(PARAM!$B$44,MAX(0,CI288*$F$1),0),0)*RATES!$L265/12+$Q$3*(PARAM!$D$51/12)*RATES!$N265/100</f>
        <v>21.958333333333336</v>
      </c>
      <c r="CI289" s="16">
        <f>IF(CI288&gt;0,CI288*PARAM!$C$53,CI288)+CG289-CH289</f>
        <v>-4045.7916666666606</v>
      </c>
      <c r="CJ289" s="15">
        <f t="shared" si="218"/>
        <v>0</v>
      </c>
      <c r="CK289" s="75">
        <f>CJ289*(1-PARAM!$C$27)*$R$4+(MOD($B289/12,5)=0)*($B289&gt;60)*HLOOKUP($B289/12,Loyalty,2)*$F$1*MAX(CM288,0)</f>
        <v>0</v>
      </c>
      <c r="CL289" s="75">
        <f>PARAM!$C$26+MAX($P$4-CHOOSE(PARAM!$B$44,MAX(0,CM288*$F$1),0),0)*RATES!$L265/12+$Q$4*(PARAM!$D$51/12)*RATES!$N265/100</f>
        <v>21.958333333333336</v>
      </c>
      <c r="CM289" s="16">
        <f>IF(CM288&gt;0,CM288*PARAM!$C$53,CM288)+CK289-CL289</f>
        <v>-4045.7916666666606</v>
      </c>
      <c r="CO289" s="176"/>
    </row>
    <row r="290" spans="1:93" x14ac:dyDescent="0.2">
      <c r="A290" t="b">
        <f t="shared" si="193"/>
        <v>1</v>
      </c>
      <c r="B290" s="33">
        <v>263</v>
      </c>
      <c r="C290" s="15">
        <f t="shared" si="194"/>
        <v>20.081305947392778</v>
      </c>
      <c r="D290" s="75">
        <f>C290*(1-PARAM!$C$27)*$I$3+(MOD($B290,60)=PARAM!$B$56)*($B290&gt;(60-PARAM!$B$56))*HLOOKUP(($B290+PARAM!$B$56)/12,Loyalty,2)*$F$1*MAX(F289,0)</f>
        <v>16.808053077967756</v>
      </c>
      <c r="E290" s="75">
        <f>PARAM!$C$26+MAX($G$3-CHOOSE(PARAM!$B$44,MAX(0,F289*$F$1),0),0)*RATES!$L266/12+$H$3*(PARAM!$D$51/12)*RATES!$N266/100</f>
        <v>21.890390132467676</v>
      </c>
      <c r="F290" s="16">
        <f t="shared" si="195"/>
        <v>195.24159670174251</v>
      </c>
      <c r="G290" s="15">
        <f t="shared" si="196"/>
        <v>22.035289406060361</v>
      </c>
      <c r="H290" s="75">
        <f>G290*(1-PARAM!$C$27)*$I$4+(MOD($B290,60)=PARAM!$B$56)*($B290&gt;(60-PARAM!$B$56))*HLOOKUP(($B290+PARAM!$B$56)/12,Loyalty,2)*$F$1*MAX(J289,0)</f>
        <v>18.443537232872522</v>
      </c>
      <c r="I290" s="75">
        <f>PARAM!$C$26+MAX($G$4-CHOOSE(PARAM!$B$44,MAX(0,J289*$F$1),0),0)*RATES!$L266/12+$H$4*(PARAM!$D$51/12)*RATES!$N266/100</f>
        <v>21.741220530833576</v>
      </c>
      <c r="J290" s="16">
        <f t="shared" si="197"/>
        <v>636.83834372835497</v>
      </c>
      <c r="K290" s="15">
        <f t="shared" si="198"/>
        <v>22.170849845882874</v>
      </c>
      <c r="L290" s="75">
        <f>K290*(1-PARAM!$C$27)*$I$5+(MOD($B290,60)=PARAM!$B$56)*($B290&gt;(60-PARAM!$B$56))*HLOOKUP(($B290+PARAM!$B$56)/12,Loyalty,2)*$F$1*MAX(N289,0)</f>
        <v>18.557001321003963</v>
      </c>
      <c r="M290" s="75">
        <f>PARAM!$C$26+MAX($G$5-CHOOSE(PARAM!$B$44,MAX(0,N289*$F$1),0),0)*RATES!$L266/12+$H$5*(PARAM!$D$51/12)*RATES!$N266/100</f>
        <v>21.730865857810794</v>
      </c>
      <c r="N290" s="16">
        <f t="shared" si="199"/>
        <v>667.49191095962692</v>
      </c>
      <c r="O290" s="15">
        <f t="shared" si="200"/>
        <v>22.170849845882874</v>
      </c>
      <c r="P290" s="75">
        <f>O290*(1-PARAM!$C$27)*$I$6+(MOD($B290,60)=PARAM!$B$56)*($B290&gt;(60-PARAM!$B$56))*HLOOKUP(($B290+PARAM!$B$56)/12,Loyalty,2)*$F$1*MAX(R289,0)</f>
        <v>18.557001321003963</v>
      </c>
      <c r="Q290" s="75">
        <f>PARAM!$C$26+MAX($G$6-CHOOSE(PARAM!$B$44,MAX(0,R289*$F$1),0),0)*RATES!$L266/12+$H$6*(PARAM!$D$51/12)*RATES!$N266/100</f>
        <v>21.730865857810794</v>
      </c>
      <c r="R290" s="16">
        <f t="shared" si="201"/>
        <v>667.49191095962692</v>
      </c>
      <c r="S290" s="15">
        <f t="shared" si="176"/>
        <v>22.170849845882874</v>
      </c>
      <c r="T290" s="75">
        <f>S290*(1-PARAM!$C$27)*$I$7+(MOD($B290,60)=PARAM!$B$56)*($B290&gt;(60-PARAM!$B$56))*HLOOKUP(($B290+PARAM!$B$56)/12,Loyalty,2)*$F$1*MAX(V289,0)</f>
        <v>18.557001321003963</v>
      </c>
      <c r="U290" s="75">
        <f>PARAM!$C$26+MAX($G$7-CHOOSE(PARAM!$B$44,MAX(0,V289*$F$1),0),0)*RATES!$L266/12+$H$7*(PARAM!$D$51/12)*RATES!$N266/100</f>
        <v>21.730865857810794</v>
      </c>
      <c r="V290" s="16">
        <f t="shared" si="202"/>
        <v>667.49191095962692</v>
      </c>
      <c r="W290" s="15">
        <f t="shared" si="177"/>
        <v>22.170849845882874</v>
      </c>
      <c r="X290" s="75">
        <f>W290*(1-PARAM!$C$27)*$I$8+(MOD($B290,60)=PARAM!$B$56)*($B290&gt;(60-PARAM!$B$56))*HLOOKUP(($B290+PARAM!$B$56)/12,Loyalty,2)*$F$1*MAX(Z289,0)</f>
        <v>18.557001321003963</v>
      </c>
      <c r="Y290" s="75">
        <f>PARAM!$C$26+MAX($G$8-CHOOSE(PARAM!$B$44,MAX(0,Z289*$F$1),0),0)*RATES!$L266/12+$H$8*(PARAM!$D$51/12)*RATES!$N266/100</f>
        <v>21.730865857810794</v>
      </c>
      <c r="Z290" s="16">
        <f t="shared" si="203"/>
        <v>667.49191095962692</v>
      </c>
      <c r="AA290" s="15">
        <f t="shared" si="178"/>
        <v>22.170849845882874</v>
      </c>
      <c r="AB290" s="75">
        <f>AA290*(1-PARAM!$C$27)*$I$9+(MOD($B290,60)=PARAM!$B$56)*($B290&gt;(60-PARAM!$B$56))*HLOOKUP(($B290+PARAM!$B$56)/12,Loyalty,2)*$F$1*MAX(AD289,0)</f>
        <v>18.557001321003963</v>
      </c>
      <c r="AC290" s="75">
        <f>PARAM!$C$26+MAX($G$9-CHOOSE(PARAM!$B$44,MAX(0,AD289*$F$1),0),0)*RATES!$L266/12+$H$9*(PARAM!$D$51/12)*RATES!$N266/100</f>
        <v>21.730865857810794</v>
      </c>
      <c r="AD290" s="16">
        <f t="shared" si="204"/>
        <v>667.49191095962692</v>
      </c>
      <c r="AE290" s="15">
        <f t="shared" si="179"/>
        <v>22.170849845882874</v>
      </c>
      <c r="AF290" s="75">
        <f>AE290*(1-PARAM!$C$27)*$I$10+(MOD($B290,60)=PARAM!$B$56)*($B290&gt;(60-PARAM!$B$56))*HLOOKUP(($B290+PARAM!$B$56)/12,Loyalty,2)*$F$1*MAX(AH289,0)</f>
        <v>18.557001321003963</v>
      </c>
      <c r="AG290" s="75">
        <f>PARAM!$C$26+MAX($G$10-CHOOSE(PARAM!$B$44,MAX(0,AH289*$F$1),0),0)*RATES!$L266/12+$H$10*(PARAM!$D$51/12)*RATES!$N266/100</f>
        <v>21.730865857810794</v>
      </c>
      <c r="AH290" s="16">
        <f t="shared" si="205"/>
        <v>667.49191095962692</v>
      </c>
      <c r="AI290" s="15">
        <f t="shared" si="180"/>
        <v>22.170849845882874</v>
      </c>
      <c r="AJ290" s="75">
        <f>AI290*(1-PARAM!$C$27)*$I$11+(MOD($B290,60)=PARAM!$B$56)*($B290&gt;(60-PARAM!$B$56))*HLOOKUP(($B290+PARAM!$B$56)/12,Loyalty,2)*$F$1*MAX(AL289,0)</f>
        <v>18.557001321003963</v>
      </c>
      <c r="AK290" s="75">
        <f>PARAM!$C$26+MAX($G$11-CHOOSE(PARAM!$B$44,MAX(0,AL289*$F$1),0),0)*RATES!$L266/12+$H$11*(PARAM!$D$51/12)*RATES!$N266/100</f>
        <v>21.730865857810794</v>
      </c>
      <c r="AL290" s="16">
        <f t="shared" si="206"/>
        <v>667.49191095962692</v>
      </c>
      <c r="AM290" s="15">
        <f t="shared" si="181"/>
        <v>22.170849845882874</v>
      </c>
      <c r="AN290" s="75">
        <f>AM290*(1-PARAM!$C$27)*$I$12+(MOD($B290,60)=PARAM!$B$56)*($B290&gt;(60-PARAM!$B$56))*HLOOKUP(($B290+PARAM!$B$56)/12,Loyalty,2)*$F$1*MAX(AP289,0)</f>
        <v>18.557001321003963</v>
      </c>
      <c r="AO290" s="75">
        <f>PARAM!$C$26+MAX($G$12-CHOOSE(PARAM!$B$44,MAX(0,AP289*$F$1),0),0)*RATES!$L266/12+$H$12*(PARAM!$D$51/12)*RATES!$N266/100</f>
        <v>21.730865857810794</v>
      </c>
      <c r="AP290" s="16">
        <f t="shared" si="207"/>
        <v>667.49191095962692</v>
      </c>
      <c r="AQ290" s="15">
        <f t="shared" si="182"/>
        <v>22.170849845882874</v>
      </c>
      <c r="AR290" s="75">
        <f>AQ290*(1-PARAM!$C$27)*$I$13+(MOD($B290,60)=PARAM!$B$56)*($B290&gt;(60-PARAM!$B$56))*HLOOKUP(($B290+PARAM!$B$56)/12,Loyalty,2)*$F$1*MAX(AT289,0)</f>
        <v>18.557001321003963</v>
      </c>
      <c r="AS290" s="75">
        <f>PARAM!$C$26+MAX($G$13-CHOOSE(PARAM!$B$44,MAX(0,AT289*$F$1),0),0)*RATES!$L266/12+$H$13*(PARAM!$D$51/12)*RATES!$N266/100</f>
        <v>21.730865857810794</v>
      </c>
      <c r="AT290" s="16">
        <f t="shared" si="208"/>
        <v>667.49191095962692</v>
      </c>
      <c r="AU290" s="15">
        <f t="shared" si="183"/>
        <v>22.170849845882874</v>
      </c>
      <c r="AV290" s="75">
        <f>AU290*(1-PARAM!$C$27)*$I$14+(MOD($B290,60)=PARAM!$B$56)*($B290&gt;(60-PARAM!$B$56))*HLOOKUP(($B290+PARAM!$B$56)/12,Loyalty,2)*$F$1*MAX(AX289,0)</f>
        <v>18.557001321003963</v>
      </c>
      <c r="AW290" s="75">
        <f>PARAM!$C$26+MAX($G$14-CHOOSE(PARAM!$B$44,MAX(0,AX289*$F$1),0),0)*RATES!$L266/12+$H$14*(PARAM!$D$51/12)*RATES!$N266/100</f>
        <v>21.730865857810794</v>
      </c>
      <c r="AX290" s="16">
        <f t="shared" si="209"/>
        <v>667.49191095962692</v>
      </c>
      <c r="AY290" s="15">
        <f t="shared" si="184"/>
        <v>22.170849845882874</v>
      </c>
      <c r="AZ290" s="75">
        <f>AY290*(1-PARAM!$C$27)*$I$15+(MOD($B290,60)=PARAM!$B$56)*($B290&gt;(60-PARAM!$B$56))*HLOOKUP(($B290+PARAM!$B$56)/12,Loyalty,2)*$F$1*MAX(BB289,0)</f>
        <v>18.557001321003963</v>
      </c>
      <c r="BA290" s="75">
        <f>PARAM!$C$26+MAX($G$15-CHOOSE(PARAM!$B$44,MAX(0,BB289*$F$1),0),0)*RATES!$L266/12+$H$15*(PARAM!$D$51/12)*RATES!$N266/100</f>
        <v>21.730865857810794</v>
      </c>
      <c r="BB290" s="16">
        <f t="shared" si="210"/>
        <v>667.49191095962692</v>
      </c>
      <c r="BC290" s="15">
        <f t="shared" si="185"/>
        <v>22.170849845882874</v>
      </c>
      <c r="BD290" s="75">
        <f>BC290*(1-PARAM!$C$27)*$I$16+(MOD($B290,60)=PARAM!$B$56)*($B290&gt;(60-PARAM!$B$56))*HLOOKUP(($B290+PARAM!$B$56)/12,Loyalty,2)*$F$1*MAX(BF289,0)</f>
        <v>18.557001321003963</v>
      </c>
      <c r="BE290" s="75">
        <f>PARAM!$C$26+MAX($G$16-CHOOSE(PARAM!$B$44,MAX(0,BF289*$F$1),0),0)*RATES!$L266/12+$H$16*(PARAM!$D$51/12)*RATES!$N266/100</f>
        <v>21.730865857810794</v>
      </c>
      <c r="BF290" s="16">
        <f t="shared" si="211"/>
        <v>667.49191095962692</v>
      </c>
      <c r="BG290" s="15">
        <f t="shared" si="186"/>
        <v>22.170849845882874</v>
      </c>
      <c r="BH290" s="75">
        <f>BG290*(1-PARAM!$C$27)*$I$17+(MOD($B290,60)=PARAM!$B$56)*($B290&gt;(60-PARAM!$B$56))*HLOOKUP(($B290+PARAM!$B$56)/12,Loyalty,2)*$F$1*MAX(BJ289,0)</f>
        <v>18.557001321003963</v>
      </c>
      <c r="BI290" s="75">
        <f>PARAM!$C$26+MAX($G$17-CHOOSE(PARAM!$B$44,MAX(0,BJ289*$F$1),0),0)*RATES!$L266/12+$H$17*(PARAM!$D$51/12)*RATES!$N266/100</f>
        <v>21.730865857810794</v>
      </c>
      <c r="BJ290" s="16">
        <f t="shared" si="212"/>
        <v>667.49191095962692</v>
      </c>
      <c r="BK290" s="15">
        <f t="shared" si="187"/>
        <v>22.170849845882874</v>
      </c>
      <c r="BL290" s="75">
        <f>BK290*(1-PARAM!$C$27)*$I$18+(MOD($B290,60)=PARAM!$B$56)*($B290&gt;(60-PARAM!$B$56))*HLOOKUP(($B290+PARAM!$B$56)/12,Loyalty,2)*$F$1*MAX(BN289,0)</f>
        <v>18.557001321003963</v>
      </c>
      <c r="BM290" s="75">
        <f>PARAM!$C$26+MAX($G$18-CHOOSE(PARAM!$B$44,MAX(0,BN289*$F$1),0),0)*RATES!$L266/12+$H$18*(PARAM!$D$51/12)*RATES!$N266/100</f>
        <v>21.730865857810794</v>
      </c>
      <c r="BN290" s="16">
        <f t="shared" si="213"/>
        <v>667.49191095962692</v>
      </c>
      <c r="BO290" s="15">
        <f t="shared" si="188"/>
        <v>22.170849845882874</v>
      </c>
      <c r="BP290" s="75">
        <f>BO290*(1-PARAM!$C$27)*$I$19+(MOD($B290,60)=PARAM!$B$56)*($B290&gt;(60-PARAM!$B$56))*HLOOKUP(($B290+PARAM!$B$56)/12,Loyalty,2)*$F$1*MAX(BR289,0)</f>
        <v>18.557001321003963</v>
      </c>
      <c r="BQ290" s="75">
        <f>PARAM!$C$26+MAX($G$19-CHOOSE(PARAM!$B$44,MAX(0,BR289*$F$1),0),0)*RATES!$L266/12+$H$19*(PARAM!$D$51/12)*RATES!$N266/100</f>
        <v>21.730865857810794</v>
      </c>
      <c r="BR290" s="16">
        <f t="shared" si="214"/>
        <v>667.49191095962692</v>
      </c>
      <c r="BS290" s="15">
        <f t="shared" si="189"/>
        <v>22.170849845882874</v>
      </c>
      <c r="BT290" s="75">
        <f>BS290*(1-PARAM!$C$27)*$I$20+(MOD($B290,60)=PARAM!$B$56)*($B290&gt;(60-PARAM!$B$56))*HLOOKUP(($B290+PARAM!$B$56)/12,Loyalty,2)*$F$1*MAX(BV289,0)</f>
        <v>18.557001321003963</v>
      </c>
      <c r="BU290" s="75">
        <f>PARAM!$C$26+MAX($G$20-CHOOSE(PARAM!$B$44,MAX(0,BV289*$F$1),0),0)*RATES!$L266/12+$H$20*(PARAM!$D$51/12)*RATES!$N266/100</f>
        <v>21.730865857810794</v>
      </c>
      <c r="BV290" s="16">
        <f t="shared" si="215"/>
        <v>667.49191095962692</v>
      </c>
      <c r="BW290" s="15">
        <f t="shared" si="190"/>
        <v>22.170849845882874</v>
      </c>
      <c r="BX290" s="75">
        <f>BW290*(1-PARAM!$C$27)*$I$21+(MOD($B290,60)=PARAM!$B$56)*($B290&gt;(60-PARAM!$B$56))*HLOOKUP(($B290+PARAM!$B$56)/12,Loyalty,2)*$F$1*MAX(BZ289,0)</f>
        <v>18.557001321003963</v>
      </c>
      <c r="BY290" s="75">
        <f>PARAM!$C$26+MAX($G$21-CHOOSE(PARAM!$B$44,MAX(0,BZ289*$F$1),0),0)*RATES!$L266/12+$H$21*(PARAM!$D$51/12)*RATES!$N266/100</f>
        <v>21.730865857810794</v>
      </c>
      <c r="BZ290" s="16">
        <f t="shared" si="216"/>
        <v>667.49191095962692</v>
      </c>
      <c r="CA290" s="15">
        <f t="shared" si="191"/>
        <v>22.170849845882874</v>
      </c>
      <c r="CB290" s="75">
        <f>CA290*(1-PARAM!$C$27)*$I$22+(MOD($B290,60)=PARAM!$B$56)*($B290&gt;(60-PARAM!$B$56))*HLOOKUP(($B290+PARAM!$B$56)/12,Loyalty,2)*$F$1*MAX(CD289,0)</f>
        <v>18.557001321003963</v>
      </c>
      <c r="CC290" s="75">
        <f>PARAM!$C$26+MAX($G$22-CHOOSE(PARAM!$B$44,MAX(0,CD289*$F$1),0),0)*RATES!$L266/12+$H$22*(PARAM!$D$51/12)*RATES!$N266/100</f>
        <v>21.730865857810794</v>
      </c>
      <c r="CD290" s="16">
        <f t="shared" si="217"/>
        <v>667.49191095962692</v>
      </c>
      <c r="CE290" s="33">
        <f>IF(0=MOD(B290,12/PARAM!$D$51),1,0)</f>
        <v>1</v>
      </c>
      <c r="CF290" s="15">
        <f t="shared" si="192"/>
        <v>0</v>
      </c>
      <c r="CG290" s="75">
        <f>CF290*(1-PARAM!$C$27)*$R$3+(MOD($B290/12,5)=0)*($B290&gt;60)*HLOOKUP($B290/12,Loyalty,2)*$F$1*MAX(CI289,0)</f>
        <v>0</v>
      </c>
      <c r="CH290" s="75">
        <f>PARAM!$C$26+MAX($P$3-CHOOSE(PARAM!$B$44,MAX(0,CI289*$F$1),0),0)*RATES!$L266/12+$Q$3*(PARAM!$D$51/12)*RATES!$N266/100</f>
        <v>21.958333333333336</v>
      </c>
      <c r="CI290" s="16">
        <f>IF(CI289&gt;0,CI289*PARAM!$C$53,CI289)+CG290-CH290</f>
        <v>-4067.7499999999941</v>
      </c>
      <c r="CJ290" s="15">
        <f t="shared" si="218"/>
        <v>0</v>
      </c>
      <c r="CK290" s="75">
        <f>CJ290*(1-PARAM!$C$27)*$R$4+(MOD($B290/12,5)=0)*($B290&gt;60)*HLOOKUP($B290/12,Loyalty,2)*$F$1*MAX(CM289,0)</f>
        <v>0</v>
      </c>
      <c r="CL290" s="75">
        <f>PARAM!$C$26+MAX($P$4-CHOOSE(PARAM!$B$44,MAX(0,CM289*$F$1),0),0)*RATES!$L266/12+$Q$4*(PARAM!$D$51/12)*RATES!$N266/100</f>
        <v>21.958333333333336</v>
      </c>
      <c r="CM290" s="16">
        <f>IF(CM289&gt;0,CM289*PARAM!$C$53,CM289)+CK290-CL290</f>
        <v>-4067.7499999999941</v>
      </c>
      <c r="CO290" s="176"/>
    </row>
    <row r="291" spans="1:93" x14ac:dyDescent="0.2">
      <c r="A291" t="b">
        <f t="shared" si="193"/>
        <v>1</v>
      </c>
      <c r="B291" s="33">
        <v>264</v>
      </c>
      <c r="C291" s="15">
        <f t="shared" si="194"/>
        <v>20.081305947392778</v>
      </c>
      <c r="D291" s="75">
        <f>C291*(1-PARAM!$C$27)*$I$3+(MOD($B291,60)=PARAM!$B$56)*($B291&gt;(60-PARAM!$B$56))*HLOOKUP(($B291+PARAM!$B$56)/12,Loyalty,2)*$F$1*MAX(F290,0)</f>
        <v>16.808053077967756</v>
      </c>
      <c r="E291" s="75">
        <f>PARAM!$C$26+MAX($G$3-CHOOSE(PARAM!$B$44,MAX(0,F290*$F$1),0),0)*RATES!$L267/12+$H$3*(PARAM!$D$51/12)*RATES!$N267/100</f>
        <v>21.892113891785328</v>
      </c>
      <c r="F291" s="16">
        <f t="shared" si="195"/>
        <v>190.15753588792492</v>
      </c>
      <c r="G291" s="15">
        <f t="shared" si="196"/>
        <v>22.035289406060361</v>
      </c>
      <c r="H291" s="75">
        <f>G291*(1-PARAM!$C$27)*$I$4+(MOD($B291,60)=PARAM!$B$56)*($B291&gt;(60-PARAM!$B$56))*HLOOKUP(($B291+PARAM!$B$56)/12,Loyalty,2)*$F$1*MAX(J290,0)</f>
        <v>18.443537232872522</v>
      </c>
      <c r="I291" s="75">
        <f>PARAM!$C$26+MAX($G$4-CHOOSE(PARAM!$B$44,MAX(0,J290*$F$1),0),0)*RATES!$L267/12+$H$4*(PARAM!$D$51/12)*RATES!$N267/100</f>
        <v>21.742338995085468</v>
      </c>
      <c r="J291" s="16">
        <f t="shared" si="197"/>
        <v>633.539541966142</v>
      </c>
      <c r="K291" s="15">
        <f t="shared" si="198"/>
        <v>22.170849845882874</v>
      </c>
      <c r="L291" s="75">
        <f>K291*(1-PARAM!$C$27)*$I$5+(MOD($B291,60)=PARAM!$B$56)*($B291&gt;(60-PARAM!$B$56))*HLOOKUP(($B291+PARAM!$B$56)/12,Loyalty,2)*$F$1*MAX(N290,0)</f>
        <v>18.557001321003963</v>
      </c>
      <c r="M291" s="75">
        <f>PARAM!$C$26+MAX($G$5-CHOOSE(PARAM!$B$44,MAX(0,N290*$F$1),0),0)*RATES!$L267/12+$H$5*(PARAM!$D$51/12)*RATES!$N267/100</f>
        <v>21.731942326866193</v>
      </c>
      <c r="N291" s="16">
        <f t="shared" si="199"/>
        <v>664.31696995376478</v>
      </c>
      <c r="O291" s="15">
        <f t="shared" si="200"/>
        <v>22.170849845882874</v>
      </c>
      <c r="P291" s="75">
        <f>O291*(1-PARAM!$C$27)*$I$6+(MOD($B291,60)=PARAM!$B$56)*($B291&gt;(60-PARAM!$B$56))*HLOOKUP(($B291+PARAM!$B$56)/12,Loyalty,2)*$F$1*MAX(R290,0)</f>
        <v>18.557001321003963</v>
      </c>
      <c r="Q291" s="75">
        <f>PARAM!$C$26+MAX($G$6-CHOOSE(PARAM!$B$44,MAX(0,R290*$F$1),0),0)*RATES!$L267/12+$H$6*(PARAM!$D$51/12)*RATES!$N267/100</f>
        <v>21.731942326866193</v>
      </c>
      <c r="R291" s="16">
        <f t="shared" si="201"/>
        <v>664.31696995376478</v>
      </c>
      <c r="S291" s="15">
        <f t="shared" si="176"/>
        <v>22.170849845882874</v>
      </c>
      <c r="T291" s="75">
        <f>S291*(1-PARAM!$C$27)*$I$7+(MOD($B291,60)=PARAM!$B$56)*($B291&gt;(60-PARAM!$B$56))*HLOOKUP(($B291+PARAM!$B$56)/12,Loyalty,2)*$F$1*MAX(V290,0)</f>
        <v>18.557001321003963</v>
      </c>
      <c r="U291" s="75">
        <f>PARAM!$C$26+MAX($G$7-CHOOSE(PARAM!$B$44,MAX(0,V290*$F$1),0),0)*RATES!$L267/12+$H$7*(PARAM!$D$51/12)*RATES!$N267/100</f>
        <v>21.731942326866193</v>
      </c>
      <c r="V291" s="16">
        <f t="shared" si="202"/>
        <v>664.31696995376478</v>
      </c>
      <c r="W291" s="15">
        <f t="shared" si="177"/>
        <v>22.170849845882874</v>
      </c>
      <c r="X291" s="75">
        <f>W291*(1-PARAM!$C$27)*$I$8+(MOD($B291,60)=PARAM!$B$56)*($B291&gt;(60-PARAM!$B$56))*HLOOKUP(($B291+PARAM!$B$56)/12,Loyalty,2)*$F$1*MAX(Z290,0)</f>
        <v>18.557001321003963</v>
      </c>
      <c r="Y291" s="75">
        <f>PARAM!$C$26+MAX($G$8-CHOOSE(PARAM!$B$44,MAX(0,Z290*$F$1),0),0)*RATES!$L267/12+$H$8*(PARAM!$D$51/12)*RATES!$N267/100</f>
        <v>21.731942326866193</v>
      </c>
      <c r="Z291" s="16">
        <f t="shared" si="203"/>
        <v>664.31696995376478</v>
      </c>
      <c r="AA291" s="15">
        <f t="shared" si="178"/>
        <v>22.170849845882874</v>
      </c>
      <c r="AB291" s="75">
        <f>AA291*(1-PARAM!$C$27)*$I$9+(MOD($B291,60)=PARAM!$B$56)*($B291&gt;(60-PARAM!$B$56))*HLOOKUP(($B291+PARAM!$B$56)/12,Loyalty,2)*$F$1*MAX(AD290,0)</f>
        <v>18.557001321003963</v>
      </c>
      <c r="AC291" s="75">
        <f>PARAM!$C$26+MAX($G$9-CHOOSE(PARAM!$B$44,MAX(0,AD290*$F$1),0),0)*RATES!$L267/12+$H$9*(PARAM!$D$51/12)*RATES!$N267/100</f>
        <v>21.731942326866193</v>
      </c>
      <c r="AD291" s="16">
        <f t="shared" si="204"/>
        <v>664.31696995376478</v>
      </c>
      <c r="AE291" s="15">
        <f t="shared" si="179"/>
        <v>22.170849845882874</v>
      </c>
      <c r="AF291" s="75">
        <f>AE291*(1-PARAM!$C$27)*$I$10+(MOD($B291,60)=PARAM!$B$56)*($B291&gt;(60-PARAM!$B$56))*HLOOKUP(($B291+PARAM!$B$56)/12,Loyalty,2)*$F$1*MAX(AH290,0)</f>
        <v>18.557001321003963</v>
      </c>
      <c r="AG291" s="75">
        <f>PARAM!$C$26+MAX($G$10-CHOOSE(PARAM!$B$44,MAX(0,AH290*$F$1),0),0)*RATES!$L267/12+$H$10*(PARAM!$D$51/12)*RATES!$N267/100</f>
        <v>21.731942326866193</v>
      </c>
      <c r="AH291" s="16">
        <f t="shared" si="205"/>
        <v>664.31696995376478</v>
      </c>
      <c r="AI291" s="15">
        <f t="shared" si="180"/>
        <v>22.170849845882874</v>
      </c>
      <c r="AJ291" s="75">
        <f>AI291*(1-PARAM!$C$27)*$I$11+(MOD($B291,60)=PARAM!$B$56)*($B291&gt;(60-PARAM!$B$56))*HLOOKUP(($B291+PARAM!$B$56)/12,Loyalty,2)*$F$1*MAX(AL290,0)</f>
        <v>18.557001321003963</v>
      </c>
      <c r="AK291" s="75">
        <f>PARAM!$C$26+MAX($G$11-CHOOSE(PARAM!$B$44,MAX(0,AL290*$F$1),0),0)*RATES!$L267/12+$H$11*(PARAM!$D$51/12)*RATES!$N267/100</f>
        <v>21.731942326866193</v>
      </c>
      <c r="AL291" s="16">
        <f t="shared" si="206"/>
        <v>664.31696995376478</v>
      </c>
      <c r="AM291" s="15">
        <f t="shared" si="181"/>
        <v>22.170849845882874</v>
      </c>
      <c r="AN291" s="75">
        <f>AM291*(1-PARAM!$C$27)*$I$12+(MOD($B291,60)=PARAM!$B$56)*($B291&gt;(60-PARAM!$B$56))*HLOOKUP(($B291+PARAM!$B$56)/12,Loyalty,2)*$F$1*MAX(AP290,0)</f>
        <v>18.557001321003963</v>
      </c>
      <c r="AO291" s="75">
        <f>PARAM!$C$26+MAX($G$12-CHOOSE(PARAM!$B$44,MAX(0,AP290*$F$1),0),0)*RATES!$L267/12+$H$12*(PARAM!$D$51/12)*RATES!$N267/100</f>
        <v>21.731942326866193</v>
      </c>
      <c r="AP291" s="16">
        <f t="shared" si="207"/>
        <v>664.31696995376478</v>
      </c>
      <c r="AQ291" s="15">
        <f t="shared" si="182"/>
        <v>22.170849845882874</v>
      </c>
      <c r="AR291" s="75">
        <f>AQ291*(1-PARAM!$C$27)*$I$13+(MOD($B291,60)=PARAM!$B$56)*($B291&gt;(60-PARAM!$B$56))*HLOOKUP(($B291+PARAM!$B$56)/12,Loyalty,2)*$F$1*MAX(AT290,0)</f>
        <v>18.557001321003963</v>
      </c>
      <c r="AS291" s="75">
        <f>PARAM!$C$26+MAX($G$13-CHOOSE(PARAM!$B$44,MAX(0,AT290*$F$1),0),0)*RATES!$L267/12+$H$13*(PARAM!$D$51/12)*RATES!$N267/100</f>
        <v>21.731942326866193</v>
      </c>
      <c r="AT291" s="16">
        <f t="shared" si="208"/>
        <v>664.31696995376478</v>
      </c>
      <c r="AU291" s="15">
        <f t="shared" si="183"/>
        <v>22.170849845882874</v>
      </c>
      <c r="AV291" s="75">
        <f>AU291*(1-PARAM!$C$27)*$I$14+(MOD($B291,60)=PARAM!$B$56)*($B291&gt;(60-PARAM!$B$56))*HLOOKUP(($B291+PARAM!$B$56)/12,Loyalty,2)*$F$1*MAX(AX290,0)</f>
        <v>18.557001321003963</v>
      </c>
      <c r="AW291" s="75">
        <f>PARAM!$C$26+MAX($G$14-CHOOSE(PARAM!$B$44,MAX(0,AX290*$F$1),0),0)*RATES!$L267/12+$H$14*(PARAM!$D$51/12)*RATES!$N267/100</f>
        <v>21.731942326866193</v>
      </c>
      <c r="AX291" s="16">
        <f t="shared" si="209"/>
        <v>664.31696995376478</v>
      </c>
      <c r="AY291" s="15">
        <f t="shared" si="184"/>
        <v>22.170849845882874</v>
      </c>
      <c r="AZ291" s="75">
        <f>AY291*(1-PARAM!$C$27)*$I$15+(MOD($B291,60)=PARAM!$B$56)*($B291&gt;(60-PARAM!$B$56))*HLOOKUP(($B291+PARAM!$B$56)/12,Loyalty,2)*$F$1*MAX(BB290,0)</f>
        <v>18.557001321003963</v>
      </c>
      <c r="BA291" s="75">
        <f>PARAM!$C$26+MAX($G$15-CHOOSE(PARAM!$B$44,MAX(0,BB290*$F$1),0),0)*RATES!$L267/12+$H$15*(PARAM!$D$51/12)*RATES!$N267/100</f>
        <v>21.731942326866193</v>
      </c>
      <c r="BB291" s="16">
        <f t="shared" si="210"/>
        <v>664.31696995376478</v>
      </c>
      <c r="BC291" s="15">
        <f t="shared" si="185"/>
        <v>22.170849845882874</v>
      </c>
      <c r="BD291" s="75">
        <f>BC291*(1-PARAM!$C$27)*$I$16+(MOD($B291,60)=PARAM!$B$56)*($B291&gt;(60-PARAM!$B$56))*HLOOKUP(($B291+PARAM!$B$56)/12,Loyalty,2)*$F$1*MAX(BF290,0)</f>
        <v>18.557001321003963</v>
      </c>
      <c r="BE291" s="75">
        <f>PARAM!$C$26+MAX($G$16-CHOOSE(PARAM!$B$44,MAX(0,BF290*$F$1),0),0)*RATES!$L267/12+$H$16*(PARAM!$D$51/12)*RATES!$N267/100</f>
        <v>21.731942326866193</v>
      </c>
      <c r="BF291" s="16">
        <f t="shared" si="211"/>
        <v>664.31696995376478</v>
      </c>
      <c r="BG291" s="15">
        <f t="shared" si="186"/>
        <v>22.170849845882874</v>
      </c>
      <c r="BH291" s="75">
        <f>BG291*(1-PARAM!$C$27)*$I$17+(MOD($B291,60)=PARAM!$B$56)*($B291&gt;(60-PARAM!$B$56))*HLOOKUP(($B291+PARAM!$B$56)/12,Loyalty,2)*$F$1*MAX(BJ290,0)</f>
        <v>18.557001321003963</v>
      </c>
      <c r="BI291" s="75">
        <f>PARAM!$C$26+MAX($G$17-CHOOSE(PARAM!$B$44,MAX(0,BJ290*$F$1),0),0)*RATES!$L267/12+$H$17*(PARAM!$D$51/12)*RATES!$N267/100</f>
        <v>21.731942326866193</v>
      </c>
      <c r="BJ291" s="16">
        <f t="shared" si="212"/>
        <v>664.31696995376478</v>
      </c>
      <c r="BK291" s="15">
        <f t="shared" si="187"/>
        <v>22.170849845882874</v>
      </c>
      <c r="BL291" s="75">
        <f>BK291*(1-PARAM!$C$27)*$I$18+(MOD($B291,60)=PARAM!$B$56)*($B291&gt;(60-PARAM!$B$56))*HLOOKUP(($B291+PARAM!$B$56)/12,Loyalty,2)*$F$1*MAX(BN290,0)</f>
        <v>18.557001321003963</v>
      </c>
      <c r="BM291" s="75">
        <f>PARAM!$C$26+MAX($G$18-CHOOSE(PARAM!$B$44,MAX(0,BN290*$F$1),0),0)*RATES!$L267/12+$H$18*(PARAM!$D$51/12)*RATES!$N267/100</f>
        <v>21.731942326866193</v>
      </c>
      <c r="BN291" s="16">
        <f t="shared" si="213"/>
        <v>664.31696995376478</v>
      </c>
      <c r="BO291" s="15">
        <f t="shared" si="188"/>
        <v>22.170849845882874</v>
      </c>
      <c r="BP291" s="75">
        <f>BO291*(1-PARAM!$C$27)*$I$19+(MOD($B291,60)=PARAM!$B$56)*($B291&gt;(60-PARAM!$B$56))*HLOOKUP(($B291+PARAM!$B$56)/12,Loyalty,2)*$F$1*MAX(BR290,0)</f>
        <v>18.557001321003963</v>
      </c>
      <c r="BQ291" s="75">
        <f>PARAM!$C$26+MAX($G$19-CHOOSE(PARAM!$B$44,MAX(0,BR290*$F$1),0),0)*RATES!$L267/12+$H$19*(PARAM!$D$51/12)*RATES!$N267/100</f>
        <v>21.731942326866193</v>
      </c>
      <c r="BR291" s="16">
        <f t="shared" si="214"/>
        <v>664.31696995376478</v>
      </c>
      <c r="BS291" s="15">
        <f t="shared" si="189"/>
        <v>22.170849845882874</v>
      </c>
      <c r="BT291" s="75">
        <f>BS291*(1-PARAM!$C$27)*$I$20+(MOD($B291,60)=PARAM!$B$56)*($B291&gt;(60-PARAM!$B$56))*HLOOKUP(($B291+PARAM!$B$56)/12,Loyalty,2)*$F$1*MAX(BV290,0)</f>
        <v>18.557001321003963</v>
      </c>
      <c r="BU291" s="75">
        <f>PARAM!$C$26+MAX($G$20-CHOOSE(PARAM!$B$44,MAX(0,BV290*$F$1),0),0)*RATES!$L267/12+$H$20*(PARAM!$D$51/12)*RATES!$N267/100</f>
        <v>21.731942326866193</v>
      </c>
      <c r="BV291" s="16">
        <f t="shared" si="215"/>
        <v>664.31696995376478</v>
      </c>
      <c r="BW291" s="15">
        <f t="shared" si="190"/>
        <v>22.170849845882874</v>
      </c>
      <c r="BX291" s="75">
        <f>BW291*(1-PARAM!$C$27)*$I$21+(MOD($B291,60)=PARAM!$B$56)*($B291&gt;(60-PARAM!$B$56))*HLOOKUP(($B291+PARAM!$B$56)/12,Loyalty,2)*$F$1*MAX(BZ290,0)</f>
        <v>18.557001321003963</v>
      </c>
      <c r="BY291" s="75">
        <f>PARAM!$C$26+MAX($G$21-CHOOSE(PARAM!$B$44,MAX(0,BZ290*$F$1),0),0)*RATES!$L267/12+$H$21*(PARAM!$D$51/12)*RATES!$N267/100</f>
        <v>21.731942326866193</v>
      </c>
      <c r="BZ291" s="16">
        <f t="shared" si="216"/>
        <v>664.31696995376478</v>
      </c>
      <c r="CA291" s="15">
        <f t="shared" si="191"/>
        <v>22.170849845882874</v>
      </c>
      <c r="CB291" s="75">
        <f>CA291*(1-PARAM!$C$27)*$I$22+(MOD($B291,60)=PARAM!$B$56)*($B291&gt;(60-PARAM!$B$56))*HLOOKUP(($B291+PARAM!$B$56)/12,Loyalty,2)*$F$1*MAX(CD290,0)</f>
        <v>18.557001321003963</v>
      </c>
      <c r="CC291" s="75">
        <f>PARAM!$C$26+MAX($G$22-CHOOSE(PARAM!$B$44,MAX(0,CD290*$F$1),0),0)*RATES!$L267/12+$H$22*(PARAM!$D$51/12)*RATES!$N267/100</f>
        <v>21.731942326866193</v>
      </c>
      <c r="CD291" s="16">
        <f t="shared" si="217"/>
        <v>664.31696995376478</v>
      </c>
      <c r="CE291" s="33">
        <f>IF(0=MOD(B291,12/PARAM!$D$51),1,0)</f>
        <v>1</v>
      </c>
      <c r="CF291" s="15">
        <f t="shared" si="192"/>
        <v>0</v>
      </c>
      <c r="CG291" s="75">
        <f>CF291*(1-PARAM!$C$27)*$R$3+(MOD($B291/12,5)=0)*($B291&gt;60)*HLOOKUP($B291/12,Loyalty,2)*$F$1*MAX(CI290,0)</f>
        <v>0</v>
      </c>
      <c r="CH291" s="75">
        <f>PARAM!$C$26+MAX($P$3-CHOOSE(PARAM!$B$44,MAX(0,CI290*$F$1),0),0)*RATES!$L267/12+$Q$3*(PARAM!$D$51/12)*RATES!$N267/100</f>
        <v>21.958333333333336</v>
      </c>
      <c r="CI291" s="16">
        <f>IF(CI290&gt;0,CI290*PARAM!$C$53,CI290)+CG291-CH291</f>
        <v>-4089.7083333333276</v>
      </c>
      <c r="CJ291" s="15">
        <f t="shared" si="218"/>
        <v>0</v>
      </c>
      <c r="CK291" s="75">
        <f>CJ291*(1-PARAM!$C$27)*$R$4+(MOD($B291/12,5)=0)*($B291&gt;60)*HLOOKUP($B291/12,Loyalty,2)*$F$1*MAX(CM290,0)</f>
        <v>0</v>
      </c>
      <c r="CL291" s="75">
        <f>PARAM!$C$26+MAX($P$4-CHOOSE(PARAM!$B$44,MAX(0,CM290*$F$1),0),0)*RATES!$L267/12+$Q$4*(PARAM!$D$51/12)*RATES!$N267/100</f>
        <v>21.958333333333336</v>
      </c>
      <c r="CM291" s="16">
        <f>IF(CM290&gt;0,CM290*PARAM!$C$53,CM290)+CK291-CL291</f>
        <v>-4089.7083333333276</v>
      </c>
      <c r="CO291" s="176"/>
    </row>
    <row r="292" spans="1:93" x14ac:dyDescent="0.2">
      <c r="A292" t="b">
        <f t="shared" si="193"/>
        <v>1</v>
      </c>
      <c r="B292" s="33">
        <v>265</v>
      </c>
      <c r="C292" s="15">
        <f t="shared" si="194"/>
        <v>20.081305947392778</v>
      </c>
      <c r="D292" s="75">
        <f>C292*(1-PARAM!$C$27)*$I$3+(MOD($B292,60)=PARAM!$B$56)*($B292&gt;(60-PARAM!$B$56))*HLOOKUP(($B292+PARAM!$B$56)/12,Loyalty,2)*$F$1*MAX(F291,0)</f>
        <v>16.808053077967756</v>
      </c>
      <c r="E292" s="75">
        <f>PARAM!$C$26+MAX($G$3-CHOOSE(PARAM!$B$44,MAX(0,F291*$F$1),0),0)*RATES!$L268/12+$H$3*(PARAM!$D$51/12)*RATES!$N268/100</f>
        <v>21.893838235744681</v>
      </c>
      <c r="F292" s="16">
        <f t="shared" si="195"/>
        <v>185.07175073014798</v>
      </c>
      <c r="G292" s="15">
        <f t="shared" si="196"/>
        <v>22.035289406060361</v>
      </c>
      <c r="H292" s="75">
        <f>G292*(1-PARAM!$C$27)*$I$4+(MOD($B292,60)=PARAM!$B$56)*($B292&gt;(60-PARAM!$B$56))*HLOOKUP(($B292+PARAM!$B$56)/12,Loyalty,2)*$F$1*MAX(J291,0)</f>
        <v>18.443537232872522</v>
      </c>
      <c r="I292" s="75">
        <f>PARAM!$C$26+MAX($G$4-CHOOSE(PARAM!$B$44,MAX(0,J291*$F$1),0),0)*RATES!$L268/12+$H$4*(PARAM!$D$51/12)*RATES!$N268/100</f>
        <v>21.743457838683153</v>
      </c>
      <c r="J292" s="16">
        <f t="shared" si="197"/>
        <v>630.23962136033128</v>
      </c>
      <c r="K292" s="15">
        <f t="shared" si="198"/>
        <v>22.170849845882874</v>
      </c>
      <c r="L292" s="75">
        <f>K292*(1-PARAM!$C$27)*$I$5+(MOD($B292,60)=PARAM!$B$56)*($B292&gt;(60-PARAM!$B$56))*HLOOKUP(($B292+PARAM!$B$56)/12,Loyalty,2)*$F$1*MAX(N291,0)</f>
        <v>18.557001321003963</v>
      </c>
      <c r="M292" s="75">
        <f>PARAM!$C$26+MAX($G$5-CHOOSE(PARAM!$B$44,MAX(0,N291*$F$1),0),0)*RATES!$L268/12+$H$5*(PARAM!$D$51/12)*RATES!$N268/100</f>
        <v>21.733019161024014</v>
      </c>
      <c r="N292" s="16">
        <f t="shared" si="199"/>
        <v>661.14095211374479</v>
      </c>
      <c r="O292" s="15">
        <f t="shared" si="200"/>
        <v>22.170849845882874</v>
      </c>
      <c r="P292" s="75">
        <f>O292*(1-PARAM!$C$27)*$I$6+(MOD($B292,60)=PARAM!$B$56)*($B292&gt;(60-PARAM!$B$56))*HLOOKUP(($B292+PARAM!$B$56)/12,Loyalty,2)*$F$1*MAX(R291,0)</f>
        <v>18.557001321003963</v>
      </c>
      <c r="Q292" s="75">
        <f>PARAM!$C$26+MAX($G$6-CHOOSE(PARAM!$B$44,MAX(0,R291*$F$1),0),0)*RATES!$L268/12+$H$6*(PARAM!$D$51/12)*RATES!$N268/100</f>
        <v>21.733019161024014</v>
      </c>
      <c r="R292" s="16">
        <f t="shared" si="201"/>
        <v>661.14095211374479</v>
      </c>
      <c r="S292" s="15">
        <f t="shared" si="176"/>
        <v>22.170849845882874</v>
      </c>
      <c r="T292" s="75">
        <f>S292*(1-PARAM!$C$27)*$I$7+(MOD($B292,60)=PARAM!$B$56)*($B292&gt;(60-PARAM!$B$56))*HLOOKUP(($B292+PARAM!$B$56)/12,Loyalty,2)*$F$1*MAX(V291,0)</f>
        <v>18.557001321003963</v>
      </c>
      <c r="U292" s="75">
        <f>PARAM!$C$26+MAX($G$7-CHOOSE(PARAM!$B$44,MAX(0,V291*$F$1),0),0)*RATES!$L268/12+$H$7*(PARAM!$D$51/12)*RATES!$N268/100</f>
        <v>21.733019161024014</v>
      </c>
      <c r="V292" s="16">
        <f t="shared" si="202"/>
        <v>661.14095211374479</v>
      </c>
      <c r="W292" s="15">
        <f t="shared" si="177"/>
        <v>22.170849845882874</v>
      </c>
      <c r="X292" s="75">
        <f>W292*(1-PARAM!$C$27)*$I$8+(MOD($B292,60)=PARAM!$B$56)*($B292&gt;(60-PARAM!$B$56))*HLOOKUP(($B292+PARAM!$B$56)/12,Loyalty,2)*$F$1*MAX(Z291,0)</f>
        <v>18.557001321003963</v>
      </c>
      <c r="Y292" s="75">
        <f>PARAM!$C$26+MAX($G$8-CHOOSE(PARAM!$B$44,MAX(0,Z291*$F$1),0),0)*RATES!$L268/12+$H$8*(PARAM!$D$51/12)*RATES!$N268/100</f>
        <v>21.733019161024014</v>
      </c>
      <c r="Z292" s="16">
        <f t="shared" si="203"/>
        <v>661.14095211374479</v>
      </c>
      <c r="AA292" s="15">
        <f t="shared" si="178"/>
        <v>22.170849845882874</v>
      </c>
      <c r="AB292" s="75">
        <f>AA292*(1-PARAM!$C$27)*$I$9+(MOD($B292,60)=PARAM!$B$56)*($B292&gt;(60-PARAM!$B$56))*HLOOKUP(($B292+PARAM!$B$56)/12,Loyalty,2)*$F$1*MAX(AD291,0)</f>
        <v>18.557001321003963</v>
      </c>
      <c r="AC292" s="75">
        <f>PARAM!$C$26+MAX($G$9-CHOOSE(PARAM!$B$44,MAX(0,AD291*$F$1),0),0)*RATES!$L268/12+$H$9*(PARAM!$D$51/12)*RATES!$N268/100</f>
        <v>21.733019161024014</v>
      </c>
      <c r="AD292" s="16">
        <f t="shared" si="204"/>
        <v>661.14095211374479</v>
      </c>
      <c r="AE292" s="15">
        <f t="shared" si="179"/>
        <v>22.170849845882874</v>
      </c>
      <c r="AF292" s="75">
        <f>AE292*(1-PARAM!$C$27)*$I$10+(MOD($B292,60)=PARAM!$B$56)*($B292&gt;(60-PARAM!$B$56))*HLOOKUP(($B292+PARAM!$B$56)/12,Loyalty,2)*$F$1*MAX(AH291,0)</f>
        <v>18.557001321003963</v>
      </c>
      <c r="AG292" s="75">
        <f>PARAM!$C$26+MAX($G$10-CHOOSE(PARAM!$B$44,MAX(0,AH291*$F$1),0),0)*RATES!$L268/12+$H$10*(PARAM!$D$51/12)*RATES!$N268/100</f>
        <v>21.733019161024014</v>
      </c>
      <c r="AH292" s="16">
        <f t="shared" si="205"/>
        <v>661.14095211374479</v>
      </c>
      <c r="AI292" s="15">
        <f t="shared" si="180"/>
        <v>22.170849845882874</v>
      </c>
      <c r="AJ292" s="75">
        <f>AI292*(1-PARAM!$C$27)*$I$11+(MOD($B292,60)=PARAM!$B$56)*($B292&gt;(60-PARAM!$B$56))*HLOOKUP(($B292+PARAM!$B$56)/12,Loyalty,2)*$F$1*MAX(AL291,0)</f>
        <v>18.557001321003963</v>
      </c>
      <c r="AK292" s="75">
        <f>PARAM!$C$26+MAX($G$11-CHOOSE(PARAM!$B$44,MAX(0,AL291*$F$1),0),0)*RATES!$L268/12+$H$11*(PARAM!$D$51/12)*RATES!$N268/100</f>
        <v>21.733019161024014</v>
      </c>
      <c r="AL292" s="16">
        <f t="shared" si="206"/>
        <v>661.14095211374479</v>
      </c>
      <c r="AM292" s="15">
        <f t="shared" si="181"/>
        <v>22.170849845882874</v>
      </c>
      <c r="AN292" s="75">
        <f>AM292*(1-PARAM!$C$27)*$I$12+(MOD($B292,60)=PARAM!$B$56)*($B292&gt;(60-PARAM!$B$56))*HLOOKUP(($B292+PARAM!$B$56)/12,Loyalty,2)*$F$1*MAX(AP291,0)</f>
        <v>18.557001321003963</v>
      </c>
      <c r="AO292" s="75">
        <f>PARAM!$C$26+MAX($G$12-CHOOSE(PARAM!$B$44,MAX(0,AP291*$F$1),0),0)*RATES!$L268/12+$H$12*(PARAM!$D$51/12)*RATES!$N268/100</f>
        <v>21.733019161024014</v>
      </c>
      <c r="AP292" s="16">
        <f t="shared" si="207"/>
        <v>661.14095211374479</v>
      </c>
      <c r="AQ292" s="15">
        <f t="shared" si="182"/>
        <v>22.170849845882874</v>
      </c>
      <c r="AR292" s="75">
        <f>AQ292*(1-PARAM!$C$27)*$I$13+(MOD($B292,60)=PARAM!$B$56)*($B292&gt;(60-PARAM!$B$56))*HLOOKUP(($B292+PARAM!$B$56)/12,Loyalty,2)*$F$1*MAX(AT291,0)</f>
        <v>18.557001321003963</v>
      </c>
      <c r="AS292" s="75">
        <f>PARAM!$C$26+MAX($G$13-CHOOSE(PARAM!$B$44,MAX(0,AT291*$F$1),0),0)*RATES!$L268/12+$H$13*(PARAM!$D$51/12)*RATES!$N268/100</f>
        <v>21.733019161024014</v>
      </c>
      <c r="AT292" s="16">
        <f t="shared" si="208"/>
        <v>661.14095211374479</v>
      </c>
      <c r="AU292" s="15">
        <f t="shared" si="183"/>
        <v>22.170849845882874</v>
      </c>
      <c r="AV292" s="75">
        <f>AU292*(1-PARAM!$C$27)*$I$14+(MOD($B292,60)=PARAM!$B$56)*($B292&gt;(60-PARAM!$B$56))*HLOOKUP(($B292+PARAM!$B$56)/12,Loyalty,2)*$F$1*MAX(AX291,0)</f>
        <v>18.557001321003963</v>
      </c>
      <c r="AW292" s="75">
        <f>PARAM!$C$26+MAX($G$14-CHOOSE(PARAM!$B$44,MAX(0,AX291*$F$1),0),0)*RATES!$L268/12+$H$14*(PARAM!$D$51/12)*RATES!$N268/100</f>
        <v>21.733019161024014</v>
      </c>
      <c r="AX292" s="16">
        <f t="shared" si="209"/>
        <v>661.14095211374479</v>
      </c>
      <c r="AY292" s="15">
        <f t="shared" si="184"/>
        <v>22.170849845882874</v>
      </c>
      <c r="AZ292" s="75">
        <f>AY292*(1-PARAM!$C$27)*$I$15+(MOD($B292,60)=PARAM!$B$56)*($B292&gt;(60-PARAM!$B$56))*HLOOKUP(($B292+PARAM!$B$56)/12,Loyalty,2)*$F$1*MAX(BB291,0)</f>
        <v>18.557001321003963</v>
      </c>
      <c r="BA292" s="75">
        <f>PARAM!$C$26+MAX($G$15-CHOOSE(PARAM!$B$44,MAX(0,BB291*$F$1),0),0)*RATES!$L268/12+$H$15*(PARAM!$D$51/12)*RATES!$N268/100</f>
        <v>21.733019161024014</v>
      </c>
      <c r="BB292" s="16">
        <f t="shared" si="210"/>
        <v>661.14095211374479</v>
      </c>
      <c r="BC292" s="15">
        <f t="shared" si="185"/>
        <v>22.170849845882874</v>
      </c>
      <c r="BD292" s="75">
        <f>BC292*(1-PARAM!$C$27)*$I$16+(MOD($B292,60)=PARAM!$B$56)*($B292&gt;(60-PARAM!$B$56))*HLOOKUP(($B292+PARAM!$B$56)/12,Loyalty,2)*$F$1*MAX(BF291,0)</f>
        <v>18.557001321003963</v>
      </c>
      <c r="BE292" s="75">
        <f>PARAM!$C$26+MAX($G$16-CHOOSE(PARAM!$B$44,MAX(0,BF291*$F$1),0),0)*RATES!$L268/12+$H$16*(PARAM!$D$51/12)*RATES!$N268/100</f>
        <v>21.733019161024014</v>
      </c>
      <c r="BF292" s="16">
        <f t="shared" si="211"/>
        <v>661.14095211374479</v>
      </c>
      <c r="BG292" s="15">
        <f t="shared" si="186"/>
        <v>22.170849845882874</v>
      </c>
      <c r="BH292" s="75">
        <f>BG292*(1-PARAM!$C$27)*$I$17+(MOD($B292,60)=PARAM!$B$56)*($B292&gt;(60-PARAM!$B$56))*HLOOKUP(($B292+PARAM!$B$56)/12,Loyalty,2)*$F$1*MAX(BJ291,0)</f>
        <v>18.557001321003963</v>
      </c>
      <c r="BI292" s="75">
        <f>PARAM!$C$26+MAX($G$17-CHOOSE(PARAM!$B$44,MAX(0,BJ291*$F$1),0),0)*RATES!$L268/12+$H$17*(PARAM!$D$51/12)*RATES!$N268/100</f>
        <v>21.733019161024014</v>
      </c>
      <c r="BJ292" s="16">
        <f t="shared" si="212"/>
        <v>661.14095211374479</v>
      </c>
      <c r="BK292" s="15">
        <f t="shared" si="187"/>
        <v>22.170849845882874</v>
      </c>
      <c r="BL292" s="75">
        <f>BK292*(1-PARAM!$C$27)*$I$18+(MOD($B292,60)=PARAM!$B$56)*($B292&gt;(60-PARAM!$B$56))*HLOOKUP(($B292+PARAM!$B$56)/12,Loyalty,2)*$F$1*MAX(BN291,0)</f>
        <v>18.557001321003963</v>
      </c>
      <c r="BM292" s="75">
        <f>PARAM!$C$26+MAX($G$18-CHOOSE(PARAM!$B$44,MAX(0,BN291*$F$1),0),0)*RATES!$L268/12+$H$18*(PARAM!$D$51/12)*RATES!$N268/100</f>
        <v>21.733019161024014</v>
      </c>
      <c r="BN292" s="16">
        <f t="shared" si="213"/>
        <v>661.14095211374479</v>
      </c>
      <c r="BO292" s="15">
        <f t="shared" si="188"/>
        <v>22.170849845882874</v>
      </c>
      <c r="BP292" s="75">
        <f>BO292*(1-PARAM!$C$27)*$I$19+(MOD($B292,60)=PARAM!$B$56)*($B292&gt;(60-PARAM!$B$56))*HLOOKUP(($B292+PARAM!$B$56)/12,Loyalty,2)*$F$1*MAX(BR291,0)</f>
        <v>18.557001321003963</v>
      </c>
      <c r="BQ292" s="75">
        <f>PARAM!$C$26+MAX($G$19-CHOOSE(PARAM!$B$44,MAX(0,BR291*$F$1),0),0)*RATES!$L268/12+$H$19*(PARAM!$D$51/12)*RATES!$N268/100</f>
        <v>21.733019161024014</v>
      </c>
      <c r="BR292" s="16">
        <f t="shared" si="214"/>
        <v>661.14095211374479</v>
      </c>
      <c r="BS292" s="15">
        <f t="shared" si="189"/>
        <v>22.170849845882874</v>
      </c>
      <c r="BT292" s="75">
        <f>BS292*(1-PARAM!$C$27)*$I$20+(MOD($B292,60)=PARAM!$B$56)*($B292&gt;(60-PARAM!$B$56))*HLOOKUP(($B292+PARAM!$B$56)/12,Loyalty,2)*$F$1*MAX(BV291,0)</f>
        <v>18.557001321003963</v>
      </c>
      <c r="BU292" s="75">
        <f>PARAM!$C$26+MAX($G$20-CHOOSE(PARAM!$B$44,MAX(0,BV291*$F$1),0),0)*RATES!$L268/12+$H$20*(PARAM!$D$51/12)*RATES!$N268/100</f>
        <v>21.733019161024014</v>
      </c>
      <c r="BV292" s="16">
        <f t="shared" si="215"/>
        <v>661.14095211374479</v>
      </c>
      <c r="BW292" s="15">
        <f t="shared" si="190"/>
        <v>22.170849845882874</v>
      </c>
      <c r="BX292" s="75">
        <f>BW292*(1-PARAM!$C$27)*$I$21+(MOD($B292,60)=PARAM!$B$56)*($B292&gt;(60-PARAM!$B$56))*HLOOKUP(($B292+PARAM!$B$56)/12,Loyalty,2)*$F$1*MAX(BZ291,0)</f>
        <v>18.557001321003963</v>
      </c>
      <c r="BY292" s="75">
        <f>PARAM!$C$26+MAX($G$21-CHOOSE(PARAM!$B$44,MAX(0,BZ291*$F$1),0),0)*RATES!$L268/12+$H$21*(PARAM!$D$51/12)*RATES!$N268/100</f>
        <v>21.733019161024014</v>
      </c>
      <c r="BZ292" s="16">
        <f t="shared" si="216"/>
        <v>661.14095211374479</v>
      </c>
      <c r="CA292" s="15">
        <f t="shared" si="191"/>
        <v>22.170849845882874</v>
      </c>
      <c r="CB292" s="75">
        <f>CA292*(1-PARAM!$C$27)*$I$22+(MOD($B292,60)=PARAM!$B$56)*($B292&gt;(60-PARAM!$B$56))*HLOOKUP(($B292+PARAM!$B$56)/12,Loyalty,2)*$F$1*MAX(CD291,0)</f>
        <v>18.557001321003963</v>
      </c>
      <c r="CC292" s="75">
        <f>PARAM!$C$26+MAX($G$22-CHOOSE(PARAM!$B$44,MAX(0,CD291*$F$1),0),0)*RATES!$L268/12+$H$22*(PARAM!$D$51/12)*RATES!$N268/100</f>
        <v>21.733019161024014</v>
      </c>
      <c r="CD292" s="16">
        <f t="shared" si="217"/>
        <v>661.14095211374479</v>
      </c>
      <c r="CE292" s="33">
        <f>IF(0=MOD(B292,12/PARAM!$D$51),1,0)</f>
        <v>1</v>
      </c>
      <c r="CF292" s="15">
        <f t="shared" si="192"/>
        <v>0</v>
      </c>
      <c r="CG292" s="75">
        <f>CF292*(1-PARAM!$C$27)*$R$3+(MOD($B292/12,5)=0)*($B292&gt;60)*HLOOKUP($B292/12,Loyalty,2)*$F$1*MAX(CI291,0)</f>
        <v>0</v>
      </c>
      <c r="CH292" s="75">
        <f>PARAM!$C$26+MAX($P$3-CHOOSE(PARAM!$B$44,MAX(0,CI291*$F$1),0),0)*RATES!$L268/12+$Q$3*(PARAM!$D$51/12)*RATES!$N268/100</f>
        <v>21.958333333333336</v>
      </c>
      <c r="CI292" s="16">
        <f>IF(CI291&gt;0,CI291*PARAM!$C$53,CI291)+CG292-CH292</f>
        <v>-4111.6666666666606</v>
      </c>
      <c r="CJ292" s="15">
        <f t="shared" si="218"/>
        <v>0</v>
      </c>
      <c r="CK292" s="75">
        <f>CJ292*(1-PARAM!$C$27)*$R$4+(MOD($B292/12,5)=0)*($B292&gt;60)*HLOOKUP($B292/12,Loyalty,2)*$F$1*MAX(CM291,0)</f>
        <v>0</v>
      </c>
      <c r="CL292" s="75">
        <f>PARAM!$C$26+MAX($P$4-CHOOSE(PARAM!$B$44,MAX(0,CM291*$F$1),0),0)*RATES!$L268/12+$Q$4*(PARAM!$D$51/12)*RATES!$N268/100</f>
        <v>21.958333333333336</v>
      </c>
      <c r="CM292" s="16">
        <f>IF(CM291&gt;0,CM291*PARAM!$C$53,CM291)+CK292-CL292</f>
        <v>-4111.6666666666606</v>
      </c>
      <c r="CO292" s="176"/>
    </row>
    <row r="293" spans="1:93" x14ac:dyDescent="0.2">
      <c r="A293" t="b">
        <f t="shared" si="193"/>
        <v>1</v>
      </c>
      <c r="B293" s="33">
        <v>266</v>
      </c>
      <c r="C293" s="15">
        <f t="shared" si="194"/>
        <v>20.081305947392778</v>
      </c>
      <c r="D293" s="75">
        <f>C293*(1-PARAM!$C$27)*$I$3+(MOD($B293,60)=PARAM!$B$56)*($B293&gt;(60-PARAM!$B$56))*HLOOKUP(($B293+PARAM!$B$56)/12,Loyalty,2)*$F$1*MAX(F292,0)</f>
        <v>16.808053077967756</v>
      </c>
      <c r="E293" s="75">
        <f>PARAM!$C$26+MAX($G$3-CHOOSE(PARAM!$B$44,MAX(0,F292*$F$1),0),0)*RATES!$L269/12+$H$3*(PARAM!$D$51/12)*RATES!$N269/100</f>
        <v>21.895563164544029</v>
      </c>
      <c r="F293" s="16">
        <f t="shared" si="195"/>
        <v>179.98424064357172</v>
      </c>
      <c r="G293" s="15">
        <f t="shared" si="196"/>
        <v>22.035289406060361</v>
      </c>
      <c r="H293" s="75">
        <f>G293*(1-PARAM!$C$27)*$I$4+(MOD($B293,60)=PARAM!$B$56)*($B293&gt;(60-PARAM!$B$56))*HLOOKUP(($B293+PARAM!$B$56)/12,Loyalty,2)*$F$1*MAX(J292,0)</f>
        <v>18.443537232872522</v>
      </c>
      <c r="I293" s="75">
        <f>PARAM!$C$26+MAX($G$4-CHOOSE(PARAM!$B$44,MAX(0,J292*$F$1),0),0)*RATES!$L269/12+$H$4*(PARAM!$D$51/12)*RATES!$N269/100</f>
        <v>21.74457706175529</v>
      </c>
      <c r="J293" s="16">
        <f t="shared" si="197"/>
        <v>626.93858153144845</v>
      </c>
      <c r="K293" s="15">
        <f t="shared" si="198"/>
        <v>22.170849845882874</v>
      </c>
      <c r="L293" s="75">
        <f>K293*(1-PARAM!$C$27)*$I$5+(MOD($B293,60)=PARAM!$B$56)*($B293&gt;(60-PARAM!$B$56))*HLOOKUP(($B293+PARAM!$B$56)/12,Loyalty,2)*$F$1*MAX(N292,0)</f>
        <v>18.557001321003963</v>
      </c>
      <c r="M293" s="75">
        <f>PARAM!$C$26+MAX($G$5-CHOOSE(PARAM!$B$44,MAX(0,N292*$F$1),0),0)*RATES!$L269/12+$H$5*(PARAM!$D$51/12)*RATES!$N269/100</f>
        <v>21.734096360408092</v>
      </c>
      <c r="N293" s="16">
        <f t="shared" si="199"/>
        <v>657.96385707434069</v>
      </c>
      <c r="O293" s="15">
        <f t="shared" si="200"/>
        <v>22.170849845882874</v>
      </c>
      <c r="P293" s="75">
        <f>O293*(1-PARAM!$C$27)*$I$6+(MOD($B293,60)=PARAM!$B$56)*($B293&gt;(60-PARAM!$B$56))*HLOOKUP(($B293+PARAM!$B$56)/12,Loyalty,2)*$F$1*MAX(R292,0)</f>
        <v>18.557001321003963</v>
      </c>
      <c r="Q293" s="75">
        <f>PARAM!$C$26+MAX($G$6-CHOOSE(PARAM!$B$44,MAX(0,R292*$F$1),0),0)*RATES!$L269/12+$H$6*(PARAM!$D$51/12)*RATES!$N269/100</f>
        <v>21.734096360408092</v>
      </c>
      <c r="R293" s="16">
        <f t="shared" si="201"/>
        <v>657.96385707434069</v>
      </c>
      <c r="S293" s="15">
        <f t="shared" si="176"/>
        <v>22.170849845882874</v>
      </c>
      <c r="T293" s="75">
        <f>S293*(1-PARAM!$C$27)*$I$7+(MOD($B293,60)=PARAM!$B$56)*($B293&gt;(60-PARAM!$B$56))*HLOOKUP(($B293+PARAM!$B$56)/12,Loyalty,2)*$F$1*MAX(V292,0)</f>
        <v>18.557001321003963</v>
      </c>
      <c r="U293" s="75">
        <f>PARAM!$C$26+MAX($G$7-CHOOSE(PARAM!$B$44,MAX(0,V292*$F$1),0),0)*RATES!$L269/12+$H$7*(PARAM!$D$51/12)*RATES!$N269/100</f>
        <v>21.734096360408092</v>
      </c>
      <c r="V293" s="16">
        <f t="shared" si="202"/>
        <v>657.96385707434069</v>
      </c>
      <c r="W293" s="15">
        <f t="shared" si="177"/>
        <v>22.170849845882874</v>
      </c>
      <c r="X293" s="75">
        <f>W293*(1-PARAM!$C$27)*$I$8+(MOD($B293,60)=PARAM!$B$56)*($B293&gt;(60-PARAM!$B$56))*HLOOKUP(($B293+PARAM!$B$56)/12,Loyalty,2)*$F$1*MAX(Z292,0)</f>
        <v>18.557001321003963</v>
      </c>
      <c r="Y293" s="75">
        <f>PARAM!$C$26+MAX($G$8-CHOOSE(PARAM!$B$44,MAX(0,Z292*$F$1),0),0)*RATES!$L269/12+$H$8*(PARAM!$D$51/12)*RATES!$N269/100</f>
        <v>21.734096360408092</v>
      </c>
      <c r="Z293" s="16">
        <f t="shared" si="203"/>
        <v>657.96385707434069</v>
      </c>
      <c r="AA293" s="15">
        <f t="shared" si="178"/>
        <v>22.170849845882874</v>
      </c>
      <c r="AB293" s="75">
        <f>AA293*(1-PARAM!$C$27)*$I$9+(MOD($B293,60)=PARAM!$B$56)*($B293&gt;(60-PARAM!$B$56))*HLOOKUP(($B293+PARAM!$B$56)/12,Loyalty,2)*$F$1*MAX(AD292,0)</f>
        <v>18.557001321003963</v>
      </c>
      <c r="AC293" s="75">
        <f>PARAM!$C$26+MAX($G$9-CHOOSE(PARAM!$B$44,MAX(0,AD292*$F$1),0),0)*RATES!$L269/12+$H$9*(PARAM!$D$51/12)*RATES!$N269/100</f>
        <v>21.734096360408092</v>
      </c>
      <c r="AD293" s="16">
        <f t="shared" si="204"/>
        <v>657.96385707434069</v>
      </c>
      <c r="AE293" s="15">
        <f t="shared" si="179"/>
        <v>22.170849845882874</v>
      </c>
      <c r="AF293" s="75">
        <f>AE293*(1-PARAM!$C$27)*$I$10+(MOD($B293,60)=PARAM!$B$56)*($B293&gt;(60-PARAM!$B$56))*HLOOKUP(($B293+PARAM!$B$56)/12,Loyalty,2)*$F$1*MAX(AH292,0)</f>
        <v>18.557001321003963</v>
      </c>
      <c r="AG293" s="75">
        <f>PARAM!$C$26+MAX($G$10-CHOOSE(PARAM!$B$44,MAX(0,AH292*$F$1),0),0)*RATES!$L269/12+$H$10*(PARAM!$D$51/12)*RATES!$N269/100</f>
        <v>21.734096360408092</v>
      </c>
      <c r="AH293" s="16">
        <f t="shared" si="205"/>
        <v>657.96385707434069</v>
      </c>
      <c r="AI293" s="15">
        <f t="shared" si="180"/>
        <v>22.170849845882874</v>
      </c>
      <c r="AJ293" s="75">
        <f>AI293*(1-PARAM!$C$27)*$I$11+(MOD($B293,60)=PARAM!$B$56)*($B293&gt;(60-PARAM!$B$56))*HLOOKUP(($B293+PARAM!$B$56)/12,Loyalty,2)*$F$1*MAX(AL292,0)</f>
        <v>18.557001321003963</v>
      </c>
      <c r="AK293" s="75">
        <f>PARAM!$C$26+MAX($G$11-CHOOSE(PARAM!$B$44,MAX(0,AL292*$F$1),0),0)*RATES!$L269/12+$H$11*(PARAM!$D$51/12)*RATES!$N269/100</f>
        <v>21.734096360408092</v>
      </c>
      <c r="AL293" s="16">
        <f t="shared" si="206"/>
        <v>657.96385707434069</v>
      </c>
      <c r="AM293" s="15">
        <f t="shared" si="181"/>
        <v>22.170849845882874</v>
      </c>
      <c r="AN293" s="75">
        <f>AM293*(1-PARAM!$C$27)*$I$12+(MOD($B293,60)=PARAM!$B$56)*($B293&gt;(60-PARAM!$B$56))*HLOOKUP(($B293+PARAM!$B$56)/12,Loyalty,2)*$F$1*MAX(AP292,0)</f>
        <v>18.557001321003963</v>
      </c>
      <c r="AO293" s="75">
        <f>PARAM!$C$26+MAX($G$12-CHOOSE(PARAM!$B$44,MAX(0,AP292*$F$1),0),0)*RATES!$L269/12+$H$12*(PARAM!$D$51/12)*RATES!$N269/100</f>
        <v>21.734096360408092</v>
      </c>
      <c r="AP293" s="16">
        <f t="shared" si="207"/>
        <v>657.96385707434069</v>
      </c>
      <c r="AQ293" s="15">
        <f t="shared" si="182"/>
        <v>22.170849845882874</v>
      </c>
      <c r="AR293" s="75">
        <f>AQ293*(1-PARAM!$C$27)*$I$13+(MOD($B293,60)=PARAM!$B$56)*($B293&gt;(60-PARAM!$B$56))*HLOOKUP(($B293+PARAM!$B$56)/12,Loyalty,2)*$F$1*MAX(AT292,0)</f>
        <v>18.557001321003963</v>
      </c>
      <c r="AS293" s="75">
        <f>PARAM!$C$26+MAX($G$13-CHOOSE(PARAM!$B$44,MAX(0,AT292*$F$1),0),0)*RATES!$L269/12+$H$13*(PARAM!$D$51/12)*RATES!$N269/100</f>
        <v>21.734096360408092</v>
      </c>
      <c r="AT293" s="16">
        <f t="shared" si="208"/>
        <v>657.96385707434069</v>
      </c>
      <c r="AU293" s="15">
        <f t="shared" si="183"/>
        <v>22.170849845882874</v>
      </c>
      <c r="AV293" s="75">
        <f>AU293*(1-PARAM!$C$27)*$I$14+(MOD($B293,60)=PARAM!$B$56)*($B293&gt;(60-PARAM!$B$56))*HLOOKUP(($B293+PARAM!$B$56)/12,Loyalty,2)*$F$1*MAX(AX292,0)</f>
        <v>18.557001321003963</v>
      </c>
      <c r="AW293" s="75">
        <f>PARAM!$C$26+MAX($G$14-CHOOSE(PARAM!$B$44,MAX(0,AX292*$F$1),0),0)*RATES!$L269/12+$H$14*(PARAM!$D$51/12)*RATES!$N269/100</f>
        <v>21.734096360408092</v>
      </c>
      <c r="AX293" s="16">
        <f t="shared" si="209"/>
        <v>657.96385707434069</v>
      </c>
      <c r="AY293" s="15">
        <f t="shared" si="184"/>
        <v>22.170849845882874</v>
      </c>
      <c r="AZ293" s="75">
        <f>AY293*(1-PARAM!$C$27)*$I$15+(MOD($B293,60)=PARAM!$B$56)*($B293&gt;(60-PARAM!$B$56))*HLOOKUP(($B293+PARAM!$B$56)/12,Loyalty,2)*$F$1*MAX(BB292,0)</f>
        <v>18.557001321003963</v>
      </c>
      <c r="BA293" s="75">
        <f>PARAM!$C$26+MAX($G$15-CHOOSE(PARAM!$B$44,MAX(0,BB292*$F$1),0),0)*RATES!$L269/12+$H$15*(PARAM!$D$51/12)*RATES!$N269/100</f>
        <v>21.734096360408092</v>
      </c>
      <c r="BB293" s="16">
        <f t="shared" si="210"/>
        <v>657.96385707434069</v>
      </c>
      <c r="BC293" s="15">
        <f t="shared" si="185"/>
        <v>22.170849845882874</v>
      </c>
      <c r="BD293" s="75">
        <f>BC293*(1-PARAM!$C$27)*$I$16+(MOD($B293,60)=PARAM!$B$56)*($B293&gt;(60-PARAM!$B$56))*HLOOKUP(($B293+PARAM!$B$56)/12,Loyalty,2)*$F$1*MAX(BF292,0)</f>
        <v>18.557001321003963</v>
      </c>
      <c r="BE293" s="75">
        <f>PARAM!$C$26+MAX($G$16-CHOOSE(PARAM!$B$44,MAX(0,BF292*$F$1),0),0)*RATES!$L269/12+$H$16*(PARAM!$D$51/12)*RATES!$N269/100</f>
        <v>21.734096360408092</v>
      </c>
      <c r="BF293" s="16">
        <f t="shared" si="211"/>
        <v>657.96385707434069</v>
      </c>
      <c r="BG293" s="15">
        <f t="shared" si="186"/>
        <v>22.170849845882874</v>
      </c>
      <c r="BH293" s="75">
        <f>BG293*(1-PARAM!$C$27)*$I$17+(MOD($B293,60)=PARAM!$B$56)*($B293&gt;(60-PARAM!$B$56))*HLOOKUP(($B293+PARAM!$B$56)/12,Loyalty,2)*$F$1*MAX(BJ292,0)</f>
        <v>18.557001321003963</v>
      </c>
      <c r="BI293" s="75">
        <f>PARAM!$C$26+MAX($G$17-CHOOSE(PARAM!$B$44,MAX(0,BJ292*$F$1),0),0)*RATES!$L269/12+$H$17*(PARAM!$D$51/12)*RATES!$N269/100</f>
        <v>21.734096360408092</v>
      </c>
      <c r="BJ293" s="16">
        <f t="shared" si="212"/>
        <v>657.96385707434069</v>
      </c>
      <c r="BK293" s="15">
        <f t="shared" si="187"/>
        <v>22.170849845882874</v>
      </c>
      <c r="BL293" s="75">
        <f>BK293*(1-PARAM!$C$27)*$I$18+(MOD($B293,60)=PARAM!$B$56)*($B293&gt;(60-PARAM!$B$56))*HLOOKUP(($B293+PARAM!$B$56)/12,Loyalty,2)*$F$1*MAX(BN292,0)</f>
        <v>18.557001321003963</v>
      </c>
      <c r="BM293" s="75">
        <f>PARAM!$C$26+MAX($G$18-CHOOSE(PARAM!$B$44,MAX(0,BN292*$F$1),0),0)*RATES!$L269/12+$H$18*(PARAM!$D$51/12)*RATES!$N269/100</f>
        <v>21.734096360408092</v>
      </c>
      <c r="BN293" s="16">
        <f t="shared" si="213"/>
        <v>657.96385707434069</v>
      </c>
      <c r="BO293" s="15">
        <f t="shared" si="188"/>
        <v>22.170849845882874</v>
      </c>
      <c r="BP293" s="75">
        <f>BO293*(1-PARAM!$C$27)*$I$19+(MOD($B293,60)=PARAM!$B$56)*($B293&gt;(60-PARAM!$B$56))*HLOOKUP(($B293+PARAM!$B$56)/12,Loyalty,2)*$F$1*MAX(BR292,0)</f>
        <v>18.557001321003963</v>
      </c>
      <c r="BQ293" s="75">
        <f>PARAM!$C$26+MAX($G$19-CHOOSE(PARAM!$B$44,MAX(0,BR292*$F$1),0),0)*RATES!$L269/12+$H$19*(PARAM!$D$51/12)*RATES!$N269/100</f>
        <v>21.734096360408092</v>
      </c>
      <c r="BR293" s="16">
        <f t="shared" si="214"/>
        <v>657.96385707434069</v>
      </c>
      <c r="BS293" s="15">
        <f t="shared" si="189"/>
        <v>22.170849845882874</v>
      </c>
      <c r="BT293" s="75">
        <f>BS293*(1-PARAM!$C$27)*$I$20+(MOD($B293,60)=PARAM!$B$56)*($B293&gt;(60-PARAM!$B$56))*HLOOKUP(($B293+PARAM!$B$56)/12,Loyalty,2)*$F$1*MAX(BV292,0)</f>
        <v>18.557001321003963</v>
      </c>
      <c r="BU293" s="75">
        <f>PARAM!$C$26+MAX($G$20-CHOOSE(PARAM!$B$44,MAX(0,BV292*$F$1),0),0)*RATES!$L269/12+$H$20*(PARAM!$D$51/12)*RATES!$N269/100</f>
        <v>21.734096360408092</v>
      </c>
      <c r="BV293" s="16">
        <f t="shared" si="215"/>
        <v>657.96385707434069</v>
      </c>
      <c r="BW293" s="15">
        <f t="shared" si="190"/>
        <v>22.170849845882874</v>
      </c>
      <c r="BX293" s="75">
        <f>BW293*(1-PARAM!$C$27)*$I$21+(MOD($B293,60)=PARAM!$B$56)*($B293&gt;(60-PARAM!$B$56))*HLOOKUP(($B293+PARAM!$B$56)/12,Loyalty,2)*$F$1*MAX(BZ292,0)</f>
        <v>18.557001321003963</v>
      </c>
      <c r="BY293" s="75">
        <f>PARAM!$C$26+MAX($G$21-CHOOSE(PARAM!$B$44,MAX(0,BZ292*$F$1),0),0)*RATES!$L269/12+$H$21*(PARAM!$D$51/12)*RATES!$N269/100</f>
        <v>21.734096360408092</v>
      </c>
      <c r="BZ293" s="16">
        <f t="shared" si="216"/>
        <v>657.96385707434069</v>
      </c>
      <c r="CA293" s="15">
        <f t="shared" si="191"/>
        <v>22.170849845882874</v>
      </c>
      <c r="CB293" s="75">
        <f>CA293*(1-PARAM!$C$27)*$I$22+(MOD($B293,60)=PARAM!$B$56)*($B293&gt;(60-PARAM!$B$56))*HLOOKUP(($B293+PARAM!$B$56)/12,Loyalty,2)*$F$1*MAX(CD292,0)</f>
        <v>18.557001321003963</v>
      </c>
      <c r="CC293" s="75">
        <f>PARAM!$C$26+MAX($G$22-CHOOSE(PARAM!$B$44,MAX(0,CD292*$F$1),0),0)*RATES!$L269/12+$H$22*(PARAM!$D$51/12)*RATES!$N269/100</f>
        <v>21.734096360408092</v>
      </c>
      <c r="CD293" s="16">
        <f t="shared" si="217"/>
        <v>657.96385707434069</v>
      </c>
      <c r="CE293" s="33">
        <f>IF(0=MOD(B293,12/PARAM!$D$51),1,0)</f>
        <v>1</v>
      </c>
      <c r="CF293" s="15">
        <f t="shared" si="192"/>
        <v>0</v>
      </c>
      <c r="CG293" s="75">
        <f>CF293*(1-PARAM!$C$27)*$R$3+(MOD($B293/12,5)=0)*($B293&gt;60)*HLOOKUP($B293/12,Loyalty,2)*$F$1*MAX(CI292,0)</f>
        <v>0</v>
      </c>
      <c r="CH293" s="75">
        <f>PARAM!$C$26+MAX($P$3-CHOOSE(PARAM!$B$44,MAX(0,CI292*$F$1),0),0)*RATES!$L269/12+$Q$3*(PARAM!$D$51/12)*RATES!$N269/100</f>
        <v>21.958333333333336</v>
      </c>
      <c r="CI293" s="16">
        <f>IF(CI292&gt;0,CI292*PARAM!$C$53,CI292)+CG293-CH293</f>
        <v>-4133.6249999999936</v>
      </c>
      <c r="CJ293" s="15">
        <f t="shared" si="218"/>
        <v>0</v>
      </c>
      <c r="CK293" s="75">
        <f>CJ293*(1-PARAM!$C$27)*$R$4+(MOD($B293/12,5)=0)*($B293&gt;60)*HLOOKUP($B293/12,Loyalty,2)*$F$1*MAX(CM292,0)</f>
        <v>0</v>
      </c>
      <c r="CL293" s="75">
        <f>PARAM!$C$26+MAX($P$4-CHOOSE(PARAM!$B$44,MAX(0,CM292*$F$1),0),0)*RATES!$L269/12+$Q$4*(PARAM!$D$51/12)*RATES!$N269/100</f>
        <v>21.958333333333336</v>
      </c>
      <c r="CM293" s="16">
        <f>IF(CM292&gt;0,CM292*PARAM!$C$53,CM292)+CK293-CL293</f>
        <v>-4133.6249999999936</v>
      </c>
      <c r="CO293" s="176"/>
    </row>
    <row r="294" spans="1:93" x14ac:dyDescent="0.2">
      <c r="A294" t="b">
        <f t="shared" si="193"/>
        <v>1</v>
      </c>
      <c r="B294" s="33">
        <v>267</v>
      </c>
      <c r="C294" s="15">
        <f t="shared" si="194"/>
        <v>20.081305947392778</v>
      </c>
      <c r="D294" s="75">
        <f>C294*(1-PARAM!$C$27)*$I$3+(MOD($B294,60)=PARAM!$B$56)*($B294&gt;(60-PARAM!$B$56))*HLOOKUP(($B294+PARAM!$B$56)/12,Loyalty,2)*$F$1*MAX(F293,0)</f>
        <v>16.808053077967756</v>
      </c>
      <c r="E294" s="75">
        <f>PARAM!$C$26+MAX($G$3-CHOOSE(PARAM!$B$44,MAX(0,F293*$F$1),0),0)*RATES!$L270/12+$H$3*(PARAM!$D$51/12)*RATES!$N270/100</f>
        <v>21.897288678381724</v>
      </c>
      <c r="F294" s="16">
        <f t="shared" si="195"/>
        <v>174.89500504315774</v>
      </c>
      <c r="G294" s="15">
        <f t="shared" si="196"/>
        <v>22.035289406060361</v>
      </c>
      <c r="H294" s="75">
        <f>G294*(1-PARAM!$C$27)*$I$4+(MOD($B294,60)=PARAM!$B$56)*($B294&gt;(60-PARAM!$B$56))*HLOOKUP(($B294+PARAM!$B$56)/12,Loyalty,2)*$F$1*MAX(J293,0)</f>
        <v>18.443537232872522</v>
      </c>
      <c r="I294" s="75">
        <f>PARAM!$C$26+MAX($G$4-CHOOSE(PARAM!$B$44,MAX(0,J293*$F$1),0),0)*RATES!$L270/12+$H$4*(PARAM!$D$51/12)*RATES!$N270/100</f>
        <v>21.745696664430586</v>
      </c>
      <c r="J294" s="16">
        <f t="shared" si="197"/>
        <v>623.6364220998903</v>
      </c>
      <c r="K294" s="15">
        <f t="shared" si="198"/>
        <v>22.170849845882874</v>
      </c>
      <c r="L294" s="75">
        <f>K294*(1-PARAM!$C$27)*$I$5+(MOD($B294,60)=PARAM!$B$56)*($B294&gt;(60-PARAM!$B$56))*HLOOKUP(($B294+PARAM!$B$56)/12,Loyalty,2)*$F$1*MAX(N293,0)</f>
        <v>18.557001321003963</v>
      </c>
      <c r="M294" s="75">
        <f>PARAM!$C$26+MAX($G$5-CHOOSE(PARAM!$B$44,MAX(0,N293*$F$1),0),0)*RATES!$L270/12+$H$5*(PARAM!$D$51/12)*RATES!$N270/100</f>
        <v>21.735173925142288</v>
      </c>
      <c r="N294" s="16">
        <f t="shared" si="199"/>
        <v>654.78568447020245</v>
      </c>
      <c r="O294" s="15">
        <f t="shared" si="200"/>
        <v>22.170849845882874</v>
      </c>
      <c r="P294" s="75">
        <f>O294*(1-PARAM!$C$27)*$I$6+(MOD($B294,60)=PARAM!$B$56)*($B294&gt;(60-PARAM!$B$56))*HLOOKUP(($B294+PARAM!$B$56)/12,Loyalty,2)*$F$1*MAX(R293,0)</f>
        <v>18.557001321003963</v>
      </c>
      <c r="Q294" s="75">
        <f>PARAM!$C$26+MAX($G$6-CHOOSE(PARAM!$B$44,MAX(0,R293*$F$1),0),0)*RATES!$L270/12+$H$6*(PARAM!$D$51/12)*RATES!$N270/100</f>
        <v>21.735173925142288</v>
      </c>
      <c r="R294" s="16">
        <f t="shared" si="201"/>
        <v>654.78568447020245</v>
      </c>
      <c r="S294" s="15">
        <f t="shared" si="176"/>
        <v>22.170849845882874</v>
      </c>
      <c r="T294" s="75">
        <f>S294*(1-PARAM!$C$27)*$I$7+(MOD($B294,60)=PARAM!$B$56)*($B294&gt;(60-PARAM!$B$56))*HLOOKUP(($B294+PARAM!$B$56)/12,Loyalty,2)*$F$1*MAX(V293,0)</f>
        <v>18.557001321003963</v>
      </c>
      <c r="U294" s="75">
        <f>PARAM!$C$26+MAX($G$7-CHOOSE(PARAM!$B$44,MAX(0,V293*$F$1),0),0)*RATES!$L270/12+$H$7*(PARAM!$D$51/12)*RATES!$N270/100</f>
        <v>21.735173925142288</v>
      </c>
      <c r="V294" s="16">
        <f t="shared" si="202"/>
        <v>654.78568447020245</v>
      </c>
      <c r="W294" s="15">
        <f t="shared" si="177"/>
        <v>22.170849845882874</v>
      </c>
      <c r="X294" s="75">
        <f>W294*(1-PARAM!$C$27)*$I$8+(MOD($B294,60)=PARAM!$B$56)*($B294&gt;(60-PARAM!$B$56))*HLOOKUP(($B294+PARAM!$B$56)/12,Loyalty,2)*$F$1*MAX(Z293,0)</f>
        <v>18.557001321003963</v>
      </c>
      <c r="Y294" s="75">
        <f>PARAM!$C$26+MAX($G$8-CHOOSE(PARAM!$B$44,MAX(0,Z293*$F$1),0),0)*RATES!$L270/12+$H$8*(PARAM!$D$51/12)*RATES!$N270/100</f>
        <v>21.735173925142288</v>
      </c>
      <c r="Z294" s="16">
        <f t="shared" si="203"/>
        <v>654.78568447020245</v>
      </c>
      <c r="AA294" s="15">
        <f t="shared" si="178"/>
        <v>22.170849845882874</v>
      </c>
      <c r="AB294" s="75">
        <f>AA294*(1-PARAM!$C$27)*$I$9+(MOD($B294,60)=PARAM!$B$56)*($B294&gt;(60-PARAM!$B$56))*HLOOKUP(($B294+PARAM!$B$56)/12,Loyalty,2)*$F$1*MAX(AD293,0)</f>
        <v>18.557001321003963</v>
      </c>
      <c r="AC294" s="75">
        <f>PARAM!$C$26+MAX($G$9-CHOOSE(PARAM!$B$44,MAX(0,AD293*$F$1),0),0)*RATES!$L270/12+$H$9*(PARAM!$D$51/12)*RATES!$N270/100</f>
        <v>21.735173925142288</v>
      </c>
      <c r="AD294" s="16">
        <f t="shared" si="204"/>
        <v>654.78568447020245</v>
      </c>
      <c r="AE294" s="15">
        <f t="shared" si="179"/>
        <v>22.170849845882874</v>
      </c>
      <c r="AF294" s="75">
        <f>AE294*(1-PARAM!$C$27)*$I$10+(MOD($B294,60)=PARAM!$B$56)*($B294&gt;(60-PARAM!$B$56))*HLOOKUP(($B294+PARAM!$B$56)/12,Loyalty,2)*$F$1*MAX(AH293,0)</f>
        <v>18.557001321003963</v>
      </c>
      <c r="AG294" s="75">
        <f>PARAM!$C$26+MAX($G$10-CHOOSE(PARAM!$B$44,MAX(0,AH293*$F$1),0),0)*RATES!$L270/12+$H$10*(PARAM!$D$51/12)*RATES!$N270/100</f>
        <v>21.735173925142288</v>
      </c>
      <c r="AH294" s="16">
        <f t="shared" si="205"/>
        <v>654.78568447020245</v>
      </c>
      <c r="AI294" s="15">
        <f t="shared" si="180"/>
        <v>22.170849845882874</v>
      </c>
      <c r="AJ294" s="75">
        <f>AI294*(1-PARAM!$C$27)*$I$11+(MOD($B294,60)=PARAM!$B$56)*($B294&gt;(60-PARAM!$B$56))*HLOOKUP(($B294+PARAM!$B$56)/12,Loyalty,2)*$F$1*MAX(AL293,0)</f>
        <v>18.557001321003963</v>
      </c>
      <c r="AK294" s="75">
        <f>PARAM!$C$26+MAX($G$11-CHOOSE(PARAM!$B$44,MAX(0,AL293*$F$1),0),0)*RATES!$L270/12+$H$11*(PARAM!$D$51/12)*RATES!$N270/100</f>
        <v>21.735173925142288</v>
      </c>
      <c r="AL294" s="16">
        <f t="shared" si="206"/>
        <v>654.78568447020245</v>
      </c>
      <c r="AM294" s="15">
        <f t="shared" si="181"/>
        <v>22.170849845882874</v>
      </c>
      <c r="AN294" s="75">
        <f>AM294*(1-PARAM!$C$27)*$I$12+(MOD($B294,60)=PARAM!$B$56)*($B294&gt;(60-PARAM!$B$56))*HLOOKUP(($B294+PARAM!$B$56)/12,Loyalty,2)*$F$1*MAX(AP293,0)</f>
        <v>18.557001321003963</v>
      </c>
      <c r="AO294" s="75">
        <f>PARAM!$C$26+MAX($G$12-CHOOSE(PARAM!$B$44,MAX(0,AP293*$F$1),0),0)*RATES!$L270/12+$H$12*(PARAM!$D$51/12)*RATES!$N270/100</f>
        <v>21.735173925142288</v>
      </c>
      <c r="AP294" s="16">
        <f t="shared" si="207"/>
        <v>654.78568447020245</v>
      </c>
      <c r="AQ294" s="15">
        <f t="shared" si="182"/>
        <v>22.170849845882874</v>
      </c>
      <c r="AR294" s="75">
        <f>AQ294*(1-PARAM!$C$27)*$I$13+(MOD($B294,60)=PARAM!$B$56)*($B294&gt;(60-PARAM!$B$56))*HLOOKUP(($B294+PARAM!$B$56)/12,Loyalty,2)*$F$1*MAX(AT293,0)</f>
        <v>18.557001321003963</v>
      </c>
      <c r="AS294" s="75">
        <f>PARAM!$C$26+MAX($G$13-CHOOSE(PARAM!$B$44,MAX(0,AT293*$F$1),0),0)*RATES!$L270/12+$H$13*(PARAM!$D$51/12)*RATES!$N270/100</f>
        <v>21.735173925142288</v>
      </c>
      <c r="AT294" s="16">
        <f t="shared" si="208"/>
        <v>654.78568447020245</v>
      </c>
      <c r="AU294" s="15">
        <f t="shared" si="183"/>
        <v>22.170849845882874</v>
      </c>
      <c r="AV294" s="75">
        <f>AU294*(1-PARAM!$C$27)*$I$14+(MOD($B294,60)=PARAM!$B$56)*($B294&gt;(60-PARAM!$B$56))*HLOOKUP(($B294+PARAM!$B$56)/12,Loyalty,2)*$F$1*MAX(AX293,0)</f>
        <v>18.557001321003963</v>
      </c>
      <c r="AW294" s="75">
        <f>PARAM!$C$26+MAX($G$14-CHOOSE(PARAM!$B$44,MAX(0,AX293*$F$1),0),0)*RATES!$L270/12+$H$14*(PARAM!$D$51/12)*RATES!$N270/100</f>
        <v>21.735173925142288</v>
      </c>
      <c r="AX294" s="16">
        <f t="shared" si="209"/>
        <v>654.78568447020245</v>
      </c>
      <c r="AY294" s="15">
        <f t="shared" si="184"/>
        <v>22.170849845882874</v>
      </c>
      <c r="AZ294" s="75">
        <f>AY294*(1-PARAM!$C$27)*$I$15+(MOD($B294,60)=PARAM!$B$56)*($B294&gt;(60-PARAM!$B$56))*HLOOKUP(($B294+PARAM!$B$56)/12,Loyalty,2)*$F$1*MAX(BB293,0)</f>
        <v>18.557001321003963</v>
      </c>
      <c r="BA294" s="75">
        <f>PARAM!$C$26+MAX($G$15-CHOOSE(PARAM!$B$44,MAX(0,BB293*$F$1),0),0)*RATES!$L270/12+$H$15*(PARAM!$D$51/12)*RATES!$N270/100</f>
        <v>21.735173925142288</v>
      </c>
      <c r="BB294" s="16">
        <f t="shared" si="210"/>
        <v>654.78568447020245</v>
      </c>
      <c r="BC294" s="15">
        <f t="shared" si="185"/>
        <v>22.170849845882874</v>
      </c>
      <c r="BD294" s="75">
        <f>BC294*(1-PARAM!$C$27)*$I$16+(MOD($B294,60)=PARAM!$B$56)*($B294&gt;(60-PARAM!$B$56))*HLOOKUP(($B294+PARAM!$B$56)/12,Loyalty,2)*$F$1*MAX(BF293,0)</f>
        <v>18.557001321003963</v>
      </c>
      <c r="BE294" s="75">
        <f>PARAM!$C$26+MAX($G$16-CHOOSE(PARAM!$B$44,MAX(0,BF293*$F$1),0),0)*RATES!$L270/12+$H$16*(PARAM!$D$51/12)*RATES!$N270/100</f>
        <v>21.735173925142288</v>
      </c>
      <c r="BF294" s="16">
        <f t="shared" si="211"/>
        <v>654.78568447020245</v>
      </c>
      <c r="BG294" s="15">
        <f t="shared" si="186"/>
        <v>22.170849845882874</v>
      </c>
      <c r="BH294" s="75">
        <f>BG294*(1-PARAM!$C$27)*$I$17+(MOD($B294,60)=PARAM!$B$56)*($B294&gt;(60-PARAM!$B$56))*HLOOKUP(($B294+PARAM!$B$56)/12,Loyalty,2)*$F$1*MAX(BJ293,0)</f>
        <v>18.557001321003963</v>
      </c>
      <c r="BI294" s="75">
        <f>PARAM!$C$26+MAX($G$17-CHOOSE(PARAM!$B$44,MAX(0,BJ293*$F$1),0),0)*RATES!$L270/12+$H$17*(PARAM!$D$51/12)*RATES!$N270/100</f>
        <v>21.735173925142288</v>
      </c>
      <c r="BJ294" s="16">
        <f t="shared" si="212"/>
        <v>654.78568447020245</v>
      </c>
      <c r="BK294" s="15">
        <f t="shared" si="187"/>
        <v>22.170849845882874</v>
      </c>
      <c r="BL294" s="75">
        <f>BK294*(1-PARAM!$C$27)*$I$18+(MOD($B294,60)=PARAM!$B$56)*($B294&gt;(60-PARAM!$B$56))*HLOOKUP(($B294+PARAM!$B$56)/12,Loyalty,2)*$F$1*MAX(BN293,0)</f>
        <v>18.557001321003963</v>
      </c>
      <c r="BM294" s="75">
        <f>PARAM!$C$26+MAX($G$18-CHOOSE(PARAM!$B$44,MAX(0,BN293*$F$1),0),0)*RATES!$L270/12+$H$18*(PARAM!$D$51/12)*RATES!$N270/100</f>
        <v>21.735173925142288</v>
      </c>
      <c r="BN294" s="16">
        <f t="shared" si="213"/>
        <v>654.78568447020245</v>
      </c>
      <c r="BO294" s="15">
        <f t="shared" si="188"/>
        <v>22.170849845882874</v>
      </c>
      <c r="BP294" s="75">
        <f>BO294*(1-PARAM!$C$27)*$I$19+(MOD($B294,60)=PARAM!$B$56)*($B294&gt;(60-PARAM!$B$56))*HLOOKUP(($B294+PARAM!$B$56)/12,Loyalty,2)*$F$1*MAX(BR293,0)</f>
        <v>18.557001321003963</v>
      </c>
      <c r="BQ294" s="75">
        <f>PARAM!$C$26+MAX($G$19-CHOOSE(PARAM!$B$44,MAX(0,BR293*$F$1),0),0)*RATES!$L270/12+$H$19*(PARAM!$D$51/12)*RATES!$N270/100</f>
        <v>21.735173925142288</v>
      </c>
      <c r="BR294" s="16">
        <f t="shared" si="214"/>
        <v>654.78568447020245</v>
      </c>
      <c r="BS294" s="15">
        <f t="shared" si="189"/>
        <v>22.170849845882874</v>
      </c>
      <c r="BT294" s="75">
        <f>BS294*(1-PARAM!$C$27)*$I$20+(MOD($B294,60)=PARAM!$B$56)*($B294&gt;(60-PARAM!$B$56))*HLOOKUP(($B294+PARAM!$B$56)/12,Loyalty,2)*$F$1*MAX(BV293,0)</f>
        <v>18.557001321003963</v>
      </c>
      <c r="BU294" s="75">
        <f>PARAM!$C$26+MAX($G$20-CHOOSE(PARAM!$B$44,MAX(0,BV293*$F$1),0),0)*RATES!$L270/12+$H$20*(PARAM!$D$51/12)*RATES!$N270/100</f>
        <v>21.735173925142288</v>
      </c>
      <c r="BV294" s="16">
        <f t="shared" si="215"/>
        <v>654.78568447020245</v>
      </c>
      <c r="BW294" s="15">
        <f t="shared" si="190"/>
        <v>22.170849845882874</v>
      </c>
      <c r="BX294" s="75">
        <f>BW294*(1-PARAM!$C$27)*$I$21+(MOD($B294,60)=PARAM!$B$56)*($B294&gt;(60-PARAM!$B$56))*HLOOKUP(($B294+PARAM!$B$56)/12,Loyalty,2)*$F$1*MAX(BZ293,0)</f>
        <v>18.557001321003963</v>
      </c>
      <c r="BY294" s="75">
        <f>PARAM!$C$26+MAX($G$21-CHOOSE(PARAM!$B$44,MAX(0,BZ293*$F$1),0),0)*RATES!$L270/12+$H$21*(PARAM!$D$51/12)*RATES!$N270/100</f>
        <v>21.735173925142288</v>
      </c>
      <c r="BZ294" s="16">
        <f t="shared" si="216"/>
        <v>654.78568447020245</v>
      </c>
      <c r="CA294" s="15">
        <f t="shared" si="191"/>
        <v>22.170849845882874</v>
      </c>
      <c r="CB294" s="75">
        <f>CA294*(1-PARAM!$C$27)*$I$22+(MOD($B294,60)=PARAM!$B$56)*($B294&gt;(60-PARAM!$B$56))*HLOOKUP(($B294+PARAM!$B$56)/12,Loyalty,2)*$F$1*MAX(CD293,0)</f>
        <v>18.557001321003963</v>
      </c>
      <c r="CC294" s="75">
        <f>PARAM!$C$26+MAX($G$22-CHOOSE(PARAM!$B$44,MAX(0,CD293*$F$1),0),0)*RATES!$L270/12+$H$22*(PARAM!$D$51/12)*RATES!$N270/100</f>
        <v>21.735173925142288</v>
      </c>
      <c r="CD294" s="16">
        <f t="shared" si="217"/>
        <v>654.78568447020245</v>
      </c>
      <c r="CE294" s="33">
        <f>IF(0=MOD(B294,12/PARAM!$D$51),1,0)</f>
        <v>1</v>
      </c>
      <c r="CF294" s="15">
        <f t="shared" si="192"/>
        <v>0</v>
      </c>
      <c r="CG294" s="75">
        <f>CF294*(1-PARAM!$C$27)*$R$3+(MOD($B294/12,5)=0)*($B294&gt;60)*HLOOKUP($B294/12,Loyalty,2)*$F$1*MAX(CI293,0)</f>
        <v>0</v>
      </c>
      <c r="CH294" s="75">
        <f>PARAM!$C$26+MAX($P$3-CHOOSE(PARAM!$B$44,MAX(0,CI293*$F$1),0),0)*RATES!$L270/12+$Q$3*(PARAM!$D$51/12)*RATES!$N270/100</f>
        <v>21.958333333333336</v>
      </c>
      <c r="CI294" s="16">
        <f>IF(CI293&gt;0,CI293*PARAM!$C$53,CI293)+CG294-CH294</f>
        <v>-4155.5833333333267</v>
      </c>
      <c r="CJ294" s="15">
        <f t="shared" si="218"/>
        <v>0</v>
      </c>
      <c r="CK294" s="75">
        <f>CJ294*(1-PARAM!$C$27)*$R$4+(MOD($B294/12,5)=0)*($B294&gt;60)*HLOOKUP($B294/12,Loyalty,2)*$F$1*MAX(CM293,0)</f>
        <v>0</v>
      </c>
      <c r="CL294" s="75">
        <f>PARAM!$C$26+MAX($P$4-CHOOSE(PARAM!$B$44,MAX(0,CM293*$F$1),0),0)*RATES!$L270/12+$Q$4*(PARAM!$D$51/12)*RATES!$N270/100</f>
        <v>21.958333333333336</v>
      </c>
      <c r="CM294" s="16">
        <f>IF(CM293&gt;0,CM293*PARAM!$C$53,CM293)+CK294-CL294</f>
        <v>-4155.5833333333267</v>
      </c>
      <c r="CO294" s="176"/>
    </row>
    <row r="295" spans="1:93" x14ac:dyDescent="0.2">
      <c r="A295" t="b">
        <f t="shared" si="193"/>
        <v>1</v>
      </c>
      <c r="B295" s="33">
        <v>268</v>
      </c>
      <c r="C295" s="15">
        <f t="shared" si="194"/>
        <v>20.081305947392778</v>
      </c>
      <c r="D295" s="75">
        <f>C295*(1-PARAM!$C$27)*$I$3+(MOD($B295,60)=PARAM!$B$56)*($B295&gt;(60-PARAM!$B$56))*HLOOKUP(($B295+PARAM!$B$56)/12,Loyalty,2)*$F$1*MAX(F294,0)</f>
        <v>16.808053077967756</v>
      </c>
      <c r="E295" s="75">
        <f>PARAM!$C$26+MAX($G$3-CHOOSE(PARAM!$B$44,MAX(0,F294*$F$1),0),0)*RATES!$L271/12+$H$3*(PARAM!$D$51/12)*RATES!$N271/100</f>
        <v>21.899014777456198</v>
      </c>
      <c r="F295" s="16">
        <f t="shared" si="195"/>
        <v>169.80404334366929</v>
      </c>
      <c r="G295" s="15">
        <f t="shared" si="196"/>
        <v>22.035289406060361</v>
      </c>
      <c r="H295" s="75">
        <f>G295*(1-PARAM!$C$27)*$I$4+(MOD($B295,60)=PARAM!$B$56)*($B295&gt;(60-PARAM!$B$56))*HLOOKUP(($B295+PARAM!$B$56)/12,Loyalty,2)*$F$1*MAX(J294,0)</f>
        <v>18.443537232872522</v>
      </c>
      <c r="I295" s="75">
        <f>PARAM!$C$26+MAX($G$4-CHOOSE(PARAM!$B$44,MAX(0,J294*$F$1),0),0)*RATES!$L271/12+$H$4*(PARAM!$D$51/12)*RATES!$N271/100</f>
        <v>21.746816646837789</v>
      </c>
      <c r="J295" s="16">
        <f t="shared" si="197"/>
        <v>620.33314268592494</v>
      </c>
      <c r="K295" s="15">
        <f t="shared" si="198"/>
        <v>22.170849845882874</v>
      </c>
      <c r="L295" s="75">
        <f>K295*(1-PARAM!$C$27)*$I$5+(MOD($B295,60)=PARAM!$B$56)*($B295&gt;(60-PARAM!$B$56))*HLOOKUP(($B295+PARAM!$B$56)/12,Loyalty,2)*$F$1*MAX(N294,0)</f>
        <v>18.557001321003963</v>
      </c>
      <c r="M295" s="75">
        <f>PARAM!$C$26+MAX($G$5-CHOOSE(PARAM!$B$44,MAX(0,N294*$F$1),0),0)*RATES!$L271/12+$H$5*(PARAM!$D$51/12)*RATES!$N271/100</f>
        <v>21.736251855350528</v>
      </c>
      <c r="N295" s="16">
        <f t="shared" si="199"/>
        <v>651.60643393585599</v>
      </c>
      <c r="O295" s="15">
        <f t="shared" si="200"/>
        <v>22.170849845882874</v>
      </c>
      <c r="P295" s="75">
        <f>O295*(1-PARAM!$C$27)*$I$6+(MOD($B295,60)=PARAM!$B$56)*($B295&gt;(60-PARAM!$B$56))*HLOOKUP(($B295+PARAM!$B$56)/12,Loyalty,2)*$F$1*MAX(R294,0)</f>
        <v>18.557001321003963</v>
      </c>
      <c r="Q295" s="75">
        <f>PARAM!$C$26+MAX($G$6-CHOOSE(PARAM!$B$44,MAX(0,R294*$F$1),0),0)*RATES!$L271/12+$H$6*(PARAM!$D$51/12)*RATES!$N271/100</f>
        <v>21.736251855350528</v>
      </c>
      <c r="R295" s="16">
        <f t="shared" si="201"/>
        <v>651.60643393585599</v>
      </c>
      <c r="S295" s="15">
        <f t="shared" si="176"/>
        <v>22.170849845882874</v>
      </c>
      <c r="T295" s="75">
        <f>S295*(1-PARAM!$C$27)*$I$7+(MOD($B295,60)=PARAM!$B$56)*($B295&gt;(60-PARAM!$B$56))*HLOOKUP(($B295+PARAM!$B$56)/12,Loyalty,2)*$F$1*MAX(V294,0)</f>
        <v>18.557001321003963</v>
      </c>
      <c r="U295" s="75">
        <f>PARAM!$C$26+MAX($G$7-CHOOSE(PARAM!$B$44,MAX(0,V294*$F$1),0),0)*RATES!$L271/12+$H$7*(PARAM!$D$51/12)*RATES!$N271/100</f>
        <v>21.736251855350528</v>
      </c>
      <c r="V295" s="16">
        <f t="shared" si="202"/>
        <v>651.60643393585599</v>
      </c>
      <c r="W295" s="15">
        <f t="shared" si="177"/>
        <v>22.170849845882874</v>
      </c>
      <c r="X295" s="75">
        <f>W295*(1-PARAM!$C$27)*$I$8+(MOD($B295,60)=PARAM!$B$56)*($B295&gt;(60-PARAM!$B$56))*HLOOKUP(($B295+PARAM!$B$56)/12,Loyalty,2)*$F$1*MAX(Z294,0)</f>
        <v>18.557001321003963</v>
      </c>
      <c r="Y295" s="75">
        <f>PARAM!$C$26+MAX($G$8-CHOOSE(PARAM!$B$44,MAX(0,Z294*$F$1),0),0)*RATES!$L271/12+$H$8*(PARAM!$D$51/12)*RATES!$N271/100</f>
        <v>21.736251855350528</v>
      </c>
      <c r="Z295" s="16">
        <f t="shared" si="203"/>
        <v>651.60643393585599</v>
      </c>
      <c r="AA295" s="15">
        <f t="shared" si="178"/>
        <v>22.170849845882874</v>
      </c>
      <c r="AB295" s="75">
        <f>AA295*(1-PARAM!$C$27)*$I$9+(MOD($B295,60)=PARAM!$B$56)*($B295&gt;(60-PARAM!$B$56))*HLOOKUP(($B295+PARAM!$B$56)/12,Loyalty,2)*$F$1*MAX(AD294,0)</f>
        <v>18.557001321003963</v>
      </c>
      <c r="AC295" s="75">
        <f>PARAM!$C$26+MAX($G$9-CHOOSE(PARAM!$B$44,MAX(0,AD294*$F$1),0),0)*RATES!$L271/12+$H$9*(PARAM!$D$51/12)*RATES!$N271/100</f>
        <v>21.736251855350528</v>
      </c>
      <c r="AD295" s="16">
        <f t="shared" si="204"/>
        <v>651.60643393585599</v>
      </c>
      <c r="AE295" s="15">
        <f t="shared" si="179"/>
        <v>22.170849845882874</v>
      </c>
      <c r="AF295" s="75">
        <f>AE295*(1-PARAM!$C$27)*$I$10+(MOD($B295,60)=PARAM!$B$56)*($B295&gt;(60-PARAM!$B$56))*HLOOKUP(($B295+PARAM!$B$56)/12,Loyalty,2)*$F$1*MAX(AH294,0)</f>
        <v>18.557001321003963</v>
      </c>
      <c r="AG295" s="75">
        <f>PARAM!$C$26+MAX($G$10-CHOOSE(PARAM!$B$44,MAX(0,AH294*$F$1),0),0)*RATES!$L271/12+$H$10*(PARAM!$D$51/12)*RATES!$N271/100</f>
        <v>21.736251855350528</v>
      </c>
      <c r="AH295" s="16">
        <f t="shared" si="205"/>
        <v>651.60643393585599</v>
      </c>
      <c r="AI295" s="15">
        <f t="shared" si="180"/>
        <v>22.170849845882874</v>
      </c>
      <c r="AJ295" s="75">
        <f>AI295*(1-PARAM!$C$27)*$I$11+(MOD($B295,60)=PARAM!$B$56)*($B295&gt;(60-PARAM!$B$56))*HLOOKUP(($B295+PARAM!$B$56)/12,Loyalty,2)*$F$1*MAX(AL294,0)</f>
        <v>18.557001321003963</v>
      </c>
      <c r="AK295" s="75">
        <f>PARAM!$C$26+MAX($G$11-CHOOSE(PARAM!$B$44,MAX(0,AL294*$F$1),0),0)*RATES!$L271/12+$H$11*(PARAM!$D$51/12)*RATES!$N271/100</f>
        <v>21.736251855350528</v>
      </c>
      <c r="AL295" s="16">
        <f t="shared" si="206"/>
        <v>651.60643393585599</v>
      </c>
      <c r="AM295" s="15">
        <f t="shared" si="181"/>
        <v>22.170849845882874</v>
      </c>
      <c r="AN295" s="75">
        <f>AM295*(1-PARAM!$C$27)*$I$12+(MOD($B295,60)=PARAM!$B$56)*($B295&gt;(60-PARAM!$B$56))*HLOOKUP(($B295+PARAM!$B$56)/12,Loyalty,2)*$F$1*MAX(AP294,0)</f>
        <v>18.557001321003963</v>
      </c>
      <c r="AO295" s="75">
        <f>PARAM!$C$26+MAX($G$12-CHOOSE(PARAM!$B$44,MAX(0,AP294*$F$1),0),0)*RATES!$L271/12+$H$12*(PARAM!$D$51/12)*RATES!$N271/100</f>
        <v>21.736251855350528</v>
      </c>
      <c r="AP295" s="16">
        <f t="shared" si="207"/>
        <v>651.60643393585599</v>
      </c>
      <c r="AQ295" s="15">
        <f t="shared" si="182"/>
        <v>22.170849845882874</v>
      </c>
      <c r="AR295" s="75">
        <f>AQ295*(1-PARAM!$C$27)*$I$13+(MOD($B295,60)=PARAM!$B$56)*($B295&gt;(60-PARAM!$B$56))*HLOOKUP(($B295+PARAM!$B$56)/12,Loyalty,2)*$F$1*MAX(AT294,0)</f>
        <v>18.557001321003963</v>
      </c>
      <c r="AS295" s="75">
        <f>PARAM!$C$26+MAX($G$13-CHOOSE(PARAM!$B$44,MAX(0,AT294*$F$1),0),0)*RATES!$L271/12+$H$13*(PARAM!$D$51/12)*RATES!$N271/100</f>
        <v>21.736251855350528</v>
      </c>
      <c r="AT295" s="16">
        <f t="shared" si="208"/>
        <v>651.60643393585599</v>
      </c>
      <c r="AU295" s="15">
        <f t="shared" si="183"/>
        <v>22.170849845882874</v>
      </c>
      <c r="AV295" s="75">
        <f>AU295*(1-PARAM!$C$27)*$I$14+(MOD($B295,60)=PARAM!$B$56)*($B295&gt;(60-PARAM!$B$56))*HLOOKUP(($B295+PARAM!$B$56)/12,Loyalty,2)*$F$1*MAX(AX294,0)</f>
        <v>18.557001321003963</v>
      </c>
      <c r="AW295" s="75">
        <f>PARAM!$C$26+MAX($G$14-CHOOSE(PARAM!$B$44,MAX(0,AX294*$F$1),0),0)*RATES!$L271/12+$H$14*(PARAM!$D$51/12)*RATES!$N271/100</f>
        <v>21.736251855350528</v>
      </c>
      <c r="AX295" s="16">
        <f t="shared" si="209"/>
        <v>651.60643393585599</v>
      </c>
      <c r="AY295" s="15">
        <f t="shared" si="184"/>
        <v>22.170849845882874</v>
      </c>
      <c r="AZ295" s="75">
        <f>AY295*(1-PARAM!$C$27)*$I$15+(MOD($B295,60)=PARAM!$B$56)*($B295&gt;(60-PARAM!$B$56))*HLOOKUP(($B295+PARAM!$B$56)/12,Loyalty,2)*$F$1*MAX(BB294,0)</f>
        <v>18.557001321003963</v>
      </c>
      <c r="BA295" s="75">
        <f>PARAM!$C$26+MAX($G$15-CHOOSE(PARAM!$B$44,MAX(0,BB294*$F$1),0),0)*RATES!$L271/12+$H$15*(PARAM!$D$51/12)*RATES!$N271/100</f>
        <v>21.736251855350528</v>
      </c>
      <c r="BB295" s="16">
        <f t="shared" si="210"/>
        <v>651.60643393585599</v>
      </c>
      <c r="BC295" s="15">
        <f t="shared" si="185"/>
        <v>22.170849845882874</v>
      </c>
      <c r="BD295" s="75">
        <f>BC295*(1-PARAM!$C$27)*$I$16+(MOD($B295,60)=PARAM!$B$56)*($B295&gt;(60-PARAM!$B$56))*HLOOKUP(($B295+PARAM!$B$56)/12,Loyalty,2)*$F$1*MAX(BF294,0)</f>
        <v>18.557001321003963</v>
      </c>
      <c r="BE295" s="75">
        <f>PARAM!$C$26+MAX($G$16-CHOOSE(PARAM!$B$44,MAX(0,BF294*$F$1),0),0)*RATES!$L271/12+$H$16*(PARAM!$D$51/12)*RATES!$N271/100</f>
        <v>21.736251855350528</v>
      </c>
      <c r="BF295" s="16">
        <f t="shared" si="211"/>
        <v>651.60643393585599</v>
      </c>
      <c r="BG295" s="15">
        <f t="shared" si="186"/>
        <v>22.170849845882874</v>
      </c>
      <c r="BH295" s="75">
        <f>BG295*(1-PARAM!$C$27)*$I$17+(MOD($B295,60)=PARAM!$B$56)*($B295&gt;(60-PARAM!$B$56))*HLOOKUP(($B295+PARAM!$B$56)/12,Loyalty,2)*$F$1*MAX(BJ294,0)</f>
        <v>18.557001321003963</v>
      </c>
      <c r="BI295" s="75">
        <f>PARAM!$C$26+MAX($G$17-CHOOSE(PARAM!$B$44,MAX(0,BJ294*$F$1),0),0)*RATES!$L271/12+$H$17*(PARAM!$D$51/12)*RATES!$N271/100</f>
        <v>21.736251855350528</v>
      </c>
      <c r="BJ295" s="16">
        <f t="shared" si="212"/>
        <v>651.60643393585599</v>
      </c>
      <c r="BK295" s="15">
        <f t="shared" si="187"/>
        <v>22.170849845882874</v>
      </c>
      <c r="BL295" s="75">
        <f>BK295*(1-PARAM!$C$27)*$I$18+(MOD($B295,60)=PARAM!$B$56)*($B295&gt;(60-PARAM!$B$56))*HLOOKUP(($B295+PARAM!$B$56)/12,Loyalty,2)*$F$1*MAX(BN294,0)</f>
        <v>18.557001321003963</v>
      </c>
      <c r="BM295" s="75">
        <f>PARAM!$C$26+MAX($G$18-CHOOSE(PARAM!$B$44,MAX(0,BN294*$F$1),0),0)*RATES!$L271/12+$H$18*(PARAM!$D$51/12)*RATES!$N271/100</f>
        <v>21.736251855350528</v>
      </c>
      <c r="BN295" s="16">
        <f t="shared" si="213"/>
        <v>651.60643393585599</v>
      </c>
      <c r="BO295" s="15">
        <f t="shared" si="188"/>
        <v>22.170849845882874</v>
      </c>
      <c r="BP295" s="75">
        <f>BO295*(1-PARAM!$C$27)*$I$19+(MOD($B295,60)=PARAM!$B$56)*($B295&gt;(60-PARAM!$B$56))*HLOOKUP(($B295+PARAM!$B$56)/12,Loyalty,2)*$F$1*MAX(BR294,0)</f>
        <v>18.557001321003963</v>
      </c>
      <c r="BQ295" s="75">
        <f>PARAM!$C$26+MAX($G$19-CHOOSE(PARAM!$B$44,MAX(0,BR294*$F$1),0),0)*RATES!$L271/12+$H$19*(PARAM!$D$51/12)*RATES!$N271/100</f>
        <v>21.736251855350528</v>
      </c>
      <c r="BR295" s="16">
        <f t="shared" si="214"/>
        <v>651.60643393585599</v>
      </c>
      <c r="BS295" s="15">
        <f t="shared" si="189"/>
        <v>22.170849845882874</v>
      </c>
      <c r="BT295" s="75">
        <f>BS295*(1-PARAM!$C$27)*$I$20+(MOD($B295,60)=PARAM!$B$56)*($B295&gt;(60-PARAM!$B$56))*HLOOKUP(($B295+PARAM!$B$56)/12,Loyalty,2)*$F$1*MAX(BV294,0)</f>
        <v>18.557001321003963</v>
      </c>
      <c r="BU295" s="75">
        <f>PARAM!$C$26+MAX($G$20-CHOOSE(PARAM!$B$44,MAX(0,BV294*$F$1),0),0)*RATES!$L271/12+$H$20*(PARAM!$D$51/12)*RATES!$N271/100</f>
        <v>21.736251855350528</v>
      </c>
      <c r="BV295" s="16">
        <f t="shared" si="215"/>
        <v>651.60643393585599</v>
      </c>
      <c r="BW295" s="15">
        <f t="shared" si="190"/>
        <v>22.170849845882874</v>
      </c>
      <c r="BX295" s="75">
        <f>BW295*(1-PARAM!$C$27)*$I$21+(MOD($B295,60)=PARAM!$B$56)*($B295&gt;(60-PARAM!$B$56))*HLOOKUP(($B295+PARAM!$B$56)/12,Loyalty,2)*$F$1*MAX(BZ294,0)</f>
        <v>18.557001321003963</v>
      </c>
      <c r="BY295" s="75">
        <f>PARAM!$C$26+MAX($G$21-CHOOSE(PARAM!$B$44,MAX(0,BZ294*$F$1),0),0)*RATES!$L271/12+$H$21*(PARAM!$D$51/12)*RATES!$N271/100</f>
        <v>21.736251855350528</v>
      </c>
      <c r="BZ295" s="16">
        <f t="shared" si="216"/>
        <v>651.60643393585599</v>
      </c>
      <c r="CA295" s="15">
        <f t="shared" si="191"/>
        <v>22.170849845882874</v>
      </c>
      <c r="CB295" s="75">
        <f>CA295*(1-PARAM!$C$27)*$I$22+(MOD($B295,60)=PARAM!$B$56)*($B295&gt;(60-PARAM!$B$56))*HLOOKUP(($B295+PARAM!$B$56)/12,Loyalty,2)*$F$1*MAX(CD294,0)</f>
        <v>18.557001321003963</v>
      </c>
      <c r="CC295" s="75">
        <f>PARAM!$C$26+MAX($G$22-CHOOSE(PARAM!$B$44,MAX(0,CD294*$F$1),0),0)*RATES!$L271/12+$H$22*(PARAM!$D$51/12)*RATES!$N271/100</f>
        <v>21.736251855350528</v>
      </c>
      <c r="CD295" s="16">
        <f t="shared" si="217"/>
        <v>651.60643393585599</v>
      </c>
      <c r="CE295" s="33">
        <f>IF(0=MOD(B295,12/PARAM!$D$51),1,0)</f>
        <v>1</v>
      </c>
      <c r="CF295" s="15">
        <f t="shared" si="192"/>
        <v>0</v>
      </c>
      <c r="CG295" s="75">
        <f>CF295*(1-PARAM!$C$27)*$R$3+(MOD($B295/12,5)=0)*($B295&gt;60)*HLOOKUP($B295/12,Loyalty,2)*$F$1*MAX(CI294,0)</f>
        <v>0</v>
      </c>
      <c r="CH295" s="75">
        <f>PARAM!$C$26+MAX($P$3-CHOOSE(PARAM!$B$44,MAX(0,CI294*$F$1),0),0)*RATES!$L271/12+$Q$3*(PARAM!$D$51/12)*RATES!$N271/100</f>
        <v>21.958333333333336</v>
      </c>
      <c r="CI295" s="16">
        <f>IF(CI294&gt;0,CI294*PARAM!$C$53,CI294)+CG295-CH295</f>
        <v>-4177.5416666666597</v>
      </c>
      <c r="CJ295" s="15">
        <f t="shared" si="218"/>
        <v>0</v>
      </c>
      <c r="CK295" s="75">
        <f>CJ295*(1-PARAM!$C$27)*$R$4+(MOD($B295/12,5)=0)*($B295&gt;60)*HLOOKUP($B295/12,Loyalty,2)*$F$1*MAX(CM294,0)</f>
        <v>0</v>
      </c>
      <c r="CL295" s="75">
        <f>PARAM!$C$26+MAX($P$4-CHOOSE(PARAM!$B$44,MAX(0,CM294*$F$1),0),0)*RATES!$L271/12+$Q$4*(PARAM!$D$51/12)*RATES!$N271/100</f>
        <v>21.958333333333336</v>
      </c>
      <c r="CM295" s="16">
        <f>IF(CM294&gt;0,CM294*PARAM!$C$53,CM294)+CK295-CL295</f>
        <v>-4177.5416666666597</v>
      </c>
      <c r="CO295" s="176"/>
    </row>
    <row r="296" spans="1:93" x14ac:dyDescent="0.2">
      <c r="A296" t="b">
        <f t="shared" si="193"/>
        <v>1</v>
      </c>
      <c r="B296" s="33">
        <v>269</v>
      </c>
      <c r="C296" s="15">
        <f t="shared" si="194"/>
        <v>20.081305947392778</v>
      </c>
      <c r="D296" s="75">
        <f>C296*(1-PARAM!$C$27)*$I$3+(MOD($B296,60)=PARAM!$B$56)*($B296&gt;(60-PARAM!$B$56))*HLOOKUP(($B296+PARAM!$B$56)/12,Loyalty,2)*$F$1*MAX(F295,0)</f>
        <v>16.808053077967756</v>
      </c>
      <c r="E296" s="75">
        <f>PARAM!$C$26+MAX($G$3-CHOOSE(PARAM!$B$44,MAX(0,F295*$F$1),0),0)*RATES!$L272/12+$H$3*(PARAM!$D$51/12)*RATES!$N272/100</f>
        <v>21.900741461965943</v>
      </c>
      <c r="F296" s="16">
        <f t="shared" si="195"/>
        <v>164.7113549596711</v>
      </c>
      <c r="G296" s="15">
        <f t="shared" si="196"/>
        <v>22.035289406060361</v>
      </c>
      <c r="H296" s="75">
        <f>G296*(1-PARAM!$C$27)*$I$4+(MOD($B296,60)=PARAM!$B$56)*($B296&gt;(60-PARAM!$B$56))*HLOOKUP(($B296+PARAM!$B$56)/12,Loyalty,2)*$F$1*MAX(J295,0)</f>
        <v>18.443537232872522</v>
      </c>
      <c r="I296" s="75">
        <f>PARAM!$C$26+MAX($G$4-CHOOSE(PARAM!$B$44,MAX(0,J295*$F$1),0),0)*RATES!$L272/12+$H$4*(PARAM!$D$51/12)*RATES!$N272/100</f>
        <v>21.747937009105694</v>
      </c>
      <c r="J296" s="16">
        <f t="shared" si="197"/>
        <v>617.02874290969169</v>
      </c>
      <c r="K296" s="15">
        <f t="shared" si="198"/>
        <v>22.170849845882874</v>
      </c>
      <c r="L296" s="75">
        <f>K296*(1-PARAM!$C$27)*$I$5+(MOD($B296,60)=PARAM!$B$56)*($B296&gt;(60-PARAM!$B$56))*HLOOKUP(($B296+PARAM!$B$56)/12,Loyalty,2)*$F$1*MAX(N295,0)</f>
        <v>18.557001321003963</v>
      </c>
      <c r="M296" s="75">
        <f>PARAM!$C$26+MAX($G$5-CHOOSE(PARAM!$B$44,MAX(0,N295*$F$1),0),0)*RATES!$L272/12+$H$5*(PARAM!$D$51/12)*RATES!$N272/100</f>
        <v>21.737330151156758</v>
      </c>
      <c r="N296" s="16">
        <f t="shared" si="199"/>
        <v>648.42610510570319</v>
      </c>
      <c r="O296" s="15">
        <f t="shared" si="200"/>
        <v>22.170849845882874</v>
      </c>
      <c r="P296" s="75">
        <f>O296*(1-PARAM!$C$27)*$I$6+(MOD($B296,60)=PARAM!$B$56)*($B296&gt;(60-PARAM!$B$56))*HLOOKUP(($B296+PARAM!$B$56)/12,Loyalty,2)*$F$1*MAX(R295,0)</f>
        <v>18.557001321003963</v>
      </c>
      <c r="Q296" s="75">
        <f>PARAM!$C$26+MAX($G$6-CHOOSE(PARAM!$B$44,MAX(0,R295*$F$1),0),0)*RATES!$L272/12+$H$6*(PARAM!$D$51/12)*RATES!$N272/100</f>
        <v>21.737330151156758</v>
      </c>
      <c r="R296" s="16">
        <f t="shared" si="201"/>
        <v>648.42610510570319</v>
      </c>
      <c r="S296" s="15">
        <f t="shared" si="176"/>
        <v>22.170849845882874</v>
      </c>
      <c r="T296" s="75">
        <f>S296*(1-PARAM!$C$27)*$I$7+(MOD($B296,60)=PARAM!$B$56)*($B296&gt;(60-PARAM!$B$56))*HLOOKUP(($B296+PARAM!$B$56)/12,Loyalty,2)*$F$1*MAX(V295,0)</f>
        <v>18.557001321003963</v>
      </c>
      <c r="U296" s="75">
        <f>PARAM!$C$26+MAX($G$7-CHOOSE(PARAM!$B$44,MAX(0,V295*$F$1),0),0)*RATES!$L272/12+$H$7*(PARAM!$D$51/12)*RATES!$N272/100</f>
        <v>21.737330151156758</v>
      </c>
      <c r="V296" s="16">
        <f t="shared" si="202"/>
        <v>648.42610510570319</v>
      </c>
      <c r="W296" s="15">
        <f t="shared" si="177"/>
        <v>22.170849845882874</v>
      </c>
      <c r="X296" s="75">
        <f>W296*(1-PARAM!$C$27)*$I$8+(MOD($B296,60)=PARAM!$B$56)*($B296&gt;(60-PARAM!$B$56))*HLOOKUP(($B296+PARAM!$B$56)/12,Loyalty,2)*$F$1*MAX(Z295,0)</f>
        <v>18.557001321003963</v>
      </c>
      <c r="Y296" s="75">
        <f>PARAM!$C$26+MAX($G$8-CHOOSE(PARAM!$B$44,MAX(0,Z295*$F$1),0),0)*RATES!$L272/12+$H$8*(PARAM!$D$51/12)*RATES!$N272/100</f>
        <v>21.737330151156758</v>
      </c>
      <c r="Z296" s="16">
        <f t="shared" si="203"/>
        <v>648.42610510570319</v>
      </c>
      <c r="AA296" s="15">
        <f t="shared" si="178"/>
        <v>22.170849845882874</v>
      </c>
      <c r="AB296" s="75">
        <f>AA296*(1-PARAM!$C$27)*$I$9+(MOD($B296,60)=PARAM!$B$56)*($B296&gt;(60-PARAM!$B$56))*HLOOKUP(($B296+PARAM!$B$56)/12,Loyalty,2)*$F$1*MAX(AD295,0)</f>
        <v>18.557001321003963</v>
      </c>
      <c r="AC296" s="75">
        <f>PARAM!$C$26+MAX($G$9-CHOOSE(PARAM!$B$44,MAX(0,AD295*$F$1),0),0)*RATES!$L272/12+$H$9*(PARAM!$D$51/12)*RATES!$N272/100</f>
        <v>21.737330151156758</v>
      </c>
      <c r="AD296" s="16">
        <f t="shared" si="204"/>
        <v>648.42610510570319</v>
      </c>
      <c r="AE296" s="15">
        <f t="shared" si="179"/>
        <v>22.170849845882874</v>
      </c>
      <c r="AF296" s="75">
        <f>AE296*(1-PARAM!$C$27)*$I$10+(MOD($B296,60)=PARAM!$B$56)*($B296&gt;(60-PARAM!$B$56))*HLOOKUP(($B296+PARAM!$B$56)/12,Loyalty,2)*$F$1*MAX(AH295,0)</f>
        <v>18.557001321003963</v>
      </c>
      <c r="AG296" s="75">
        <f>PARAM!$C$26+MAX($G$10-CHOOSE(PARAM!$B$44,MAX(0,AH295*$F$1),0),0)*RATES!$L272/12+$H$10*(PARAM!$D$51/12)*RATES!$N272/100</f>
        <v>21.737330151156758</v>
      </c>
      <c r="AH296" s="16">
        <f t="shared" si="205"/>
        <v>648.42610510570319</v>
      </c>
      <c r="AI296" s="15">
        <f t="shared" si="180"/>
        <v>22.170849845882874</v>
      </c>
      <c r="AJ296" s="75">
        <f>AI296*(1-PARAM!$C$27)*$I$11+(MOD($B296,60)=PARAM!$B$56)*($B296&gt;(60-PARAM!$B$56))*HLOOKUP(($B296+PARAM!$B$56)/12,Loyalty,2)*$F$1*MAX(AL295,0)</f>
        <v>18.557001321003963</v>
      </c>
      <c r="AK296" s="75">
        <f>PARAM!$C$26+MAX($G$11-CHOOSE(PARAM!$B$44,MAX(0,AL295*$F$1),0),0)*RATES!$L272/12+$H$11*(PARAM!$D$51/12)*RATES!$N272/100</f>
        <v>21.737330151156758</v>
      </c>
      <c r="AL296" s="16">
        <f t="shared" si="206"/>
        <v>648.42610510570319</v>
      </c>
      <c r="AM296" s="15">
        <f t="shared" si="181"/>
        <v>22.170849845882874</v>
      </c>
      <c r="AN296" s="75">
        <f>AM296*(1-PARAM!$C$27)*$I$12+(MOD($B296,60)=PARAM!$B$56)*($B296&gt;(60-PARAM!$B$56))*HLOOKUP(($B296+PARAM!$B$56)/12,Loyalty,2)*$F$1*MAX(AP295,0)</f>
        <v>18.557001321003963</v>
      </c>
      <c r="AO296" s="75">
        <f>PARAM!$C$26+MAX($G$12-CHOOSE(PARAM!$B$44,MAX(0,AP295*$F$1),0),0)*RATES!$L272/12+$H$12*(PARAM!$D$51/12)*RATES!$N272/100</f>
        <v>21.737330151156758</v>
      </c>
      <c r="AP296" s="16">
        <f t="shared" si="207"/>
        <v>648.42610510570319</v>
      </c>
      <c r="AQ296" s="15">
        <f t="shared" si="182"/>
        <v>22.170849845882874</v>
      </c>
      <c r="AR296" s="75">
        <f>AQ296*(1-PARAM!$C$27)*$I$13+(MOD($B296,60)=PARAM!$B$56)*($B296&gt;(60-PARAM!$B$56))*HLOOKUP(($B296+PARAM!$B$56)/12,Loyalty,2)*$F$1*MAX(AT295,0)</f>
        <v>18.557001321003963</v>
      </c>
      <c r="AS296" s="75">
        <f>PARAM!$C$26+MAX($G$13-CHOOSE(PARAM!$B$44,MAX(0,AT295*$F$1),0),0)*RATES!$L272/12+$H$13*(PARAM!$D$51/12)*RATES!$N272/100</f>
        <v>21.737330151156758</v>
      </c>
      <c r="AT296" s="16">
        <f t="shared" si="208"/>
        <v>648.42610510570319</v>
      </c>
      <c r="AU296" s="15">
        <f t="shared" si="183"/>
        <v>22.170849845882874</v>
      </c>
      <c r="AV296" s="75">
        <f>AU296*(1-PARAM!$C$27)*$I$14+(MOD($B296,60)=PARAM!$B$56)*($B296&gt;(60-PARAM!$B$56))*HLOOKUP(($B296+PARAM!$B$56)/12,Loyalty,2)*$F$1*MAX(AX295,0)</f>
        <v>18.557001321003963</v>
      </c>
      <c r="AW296" s="75">
        <f>PARAM!$C$26+MAX($G$14-CHOOSE(PARAM!$B$44,MAX(0,AX295*$F$1),0),0)*RATES!$L272/12+$H$14*(PARAM!$D$51/12)*RATES!$N272/100</f>
        <v>21.737330151156758</v>
      </c>
      <c r="AX296" s="16">
        <f t="shared" si="209"/>
        <v>648.42610510570319</v>
      </c>
      <c r="AY296" s="15">
        <f t="shared" si="184"/>
        <v>22.170849845882874</v>
      </c>
      <c r="AZ296" s="75">
        <f>AY296*(1-PARAM!$C$27)*$I$15+(MOD($B296,60)=PARAM!$B$56)*($B296&gt;(60-PARAM!$B$56))*HLOOKUP(($B296+PARAM!$B$56)/12,Loyalty,2)*$F$1*MAX(BB295,0)</f>
        <v>18.557001321003963</v>
      </c>
      <c r="BA296" s="75">
        <f>PARAM!$C$26+MAX($G$15-CHOOSE(PARAM!$B$44,MAX(0,BB295*$F$1),0),0)*RATES!$L272/12+$H$15*(PARAM!$D$51/12)*RATES!$N272/100</f>
        <v>21.737330151156758</v>
      </c>
      <c r="BB296" s="16">
        <f t="shared" si="210"/>
        <v>648.42610510570319</v>
      </c>
      <c r="BC296" s="15">
        <f t="shared" si="185"/>
        <v>22.170849845882874</v>
      </c>
      <c r="BD296" s="75">
        <f>BC296*(1-PARAM!$C$27)*$I$16+(MOD($B296,60)=PARAM!$B$56)*($B296&gt;(60-PARAM!$B$56))*HLOOKUP(($B296+PARAM!$B$56)/12,Loyalty,2)*$F$1*MAX(BF295,0)</f>
        <v>18.557001321003963</v>
      </c>
      <c r="BE296" s="75">
        <f>PARAM!$C$26+MAX($G$16-CHOOSE(PARAM!$B$44,MAX(0,BF295*$F$1),0),0)*RATES!$L272/12+$H$16*(PARAM!$D$51/12)*RATES!$N272/100</f>
        <v>21.737330151156758</v>
      </c>
      <c r="BF296" s="16">
        <f t="shared" si="211"/>
        <v>648.42610510570319</v>
      </c>
      <c r="BG296" s="15">
        <f t="shared" si="186"/>
        <v>22.170849845882874</v>
      </c>
      <c r="BH296" s="75">
        <f>BG296*(1-PARAM!$C$27)*$I$17+(MOD($B296,60)=PARAM!$B$56)*($B296&gt;(60-PARAM!$B$56))*HLOOKUP(($B296+PARAM!$B$56)/12,Loyalty,2)*$F$1*MAX(BJ295,0)</f>
        <v>18.557001321003963</v>
      </c>
      <c r="BI296" s="75">
        <f>PARAM!$C$26+MAX($G$17-CHOOSE(PARAM!$B$44,MAX(0,BJ295*$F$1),0),0)*RATES!$L272/12+$H$17*(PARAM!$D$51/12)*RATES!$N272/100</f>
        <v>21.737330151156758</v>
      </c>
      <c r="BJ296" s="16">
        <f t="shared" si="212"/>
        <v>648.42610510570319</v>
      </c>
      <c r="BK296" s="15">
        <f t="shared" si="187"/>
        <v>22.170849845882874</v>
      </c>
      <c r="BL296" s="75">
        <f>BK296*(1-PARAM!$C$27)*$I$18+(MOD($B296,60)=PARAM!$B$56)*($B296&gt;(60-PARAM!$B$56))*HLOOKUP(($B296+PARAM!$B$56)/12,Loyalty,2)*$F$1*MAX(BN295,0)</f>
        <v>18.557001321003963</v>
      </c>
      <c r="BM296" s="75">
        <f>PARAM!$C$26+MAX($G$18-CHOOSE(PARAM!$B$44,MAX(0,BN295*$F$1),0),0)*RATES!$L272/12+$H$18*(PARAM!$D$51/12)*RATES!$N272/100</f>
        <v>21.737330151156758</v>
      </c>
      <c r="BN296" s="16">
        <f t="shared" si="213"/>
        <v>648.42610510570319</v>
      </c>
      <c r="BO296" s="15">
        <f t="shared" si="188"/>
        <v>22.170849845882874</v>
      </c>
      <c r="BP296" s="75">
        <f>BO296*(1-PARAM!$C$27)*$I$19+(MOD($B296,60)=PARAM!$B$56)*($B296&gt;(60-PARAM!$B$56))*HLOOKUP(($B296+PARAM!$B$56)/12,Loyalty,2)*$F$1*MAX(BR295,0)</f>
        <v>18.557001321003963</v>
      </c>
      <c r="BQ296" s="75">
        <f>PARAM!$C$26+MAX($G$19-CHOOSE(PARAM!$B$44,MAX(0,BR295*$F$1),0),0)*RATES!$L272/12+$H$19*(PARAM!$D$51/12)*RATES!$N272/100</f>
        <v>21.737330151156758</v>
      </c>
      <c r="BR296" s="16">
        <f t="shared" si="214"/>
        <v>648.42610510570319</v>
      </c>
      <c r="BS296" s="15">
        <f t="shared" si="189"/>
        <v>22.170849845882874</v>
      </c>
      <c r="BT296" s="75">
        <f>BS296*(1-PARAM!$C$27)*$I$20+(MOD($B296,60)=PARAM!$B$56)*($B296&gt;(60-PARAM!$B$56))*HLOOKUP(($B296+PARAM!$B$56)/12,Loyalty,2)*$F$1*MAX(BV295,0)</f>
        <v>18.557001321003963</v>
      </c>
      <c r="BU296" s="75">
        <f>PARAM!$C$26+MAX($G$20-CHOOSE(PARAM!$B$44,MAX(0,BV295*$F$1),0),0)*RATES!$L272/12+$H$20*(PARAM!$D$51/12)*RATES!$N272/100</f>
        <v>21.737330151156758</v>
      </c>
      <c r="BV296" s="16">
        <f t="shared" si="215"/>
        <v>648.42610510570319</v>
      </c>
      <c r="BW296" s="15">
        <f t="shared" si="190"/>
        <v>22.170849845882874</v>
      </c>
      <c r="BX296" s="75">
        <f>BW296*(1-PARAM!$C$27)*$I$21+(MOD($B296,60)=PARAM!$B$56)*($B296&gt;(60-PARAM!$B$56))*HLOOKUP(($B296+PARAM!$B$56)/12,Loyalty,2)*$F$1*MAX(BZ295,0)</f>
        <v>18.557001321003963</v>
      </c>
      <c r="BY296" s="75">
        <f>PARAM!$C$26+MAX($G$21-CHOOSE(PARAM!$B$44,MAX(0,BZ295*$F$1),0),0)*RATES!$L272/12+$H$21*(PARAM!$D$51/12)*RATES!$N272/100</f>
        <v>21.737330151156758</v>
      </c>
      <c r="BZ296" s="16">
        <f t="shared" si="216"/>
        <v>648.42610510570319</v>
      </c>
      <c r="CA296" s="15">
        <f t="shared" si="191"/>
        <v>22.170849845882874</v>
      </c>
      <c r="CB296" s="75">
        <f>CA296*(1-PARAM!$C$27)*$I$22+(MOD($B296,60)=PARAM!$B$56)*($B296&gt;(60-PARAM!$B$56))*HLOOKUP(($B296+PARAM!$B$56)/12,Loyalty,2)*$F$1*MAX(CD295,0)</f>
        <v>18.557001321003963</v>
      </c>
      <c r="CC296" s="75">
        <f>PARAM!$C$26+MAX($G$22-CHOOSE(PARAM!$B$44,MAX(0,CD295*$F$1),0),0)*RATES!$L272/12+$H$22*(PARAM!$D$51/12)*RATES!$N272/100</f>
        <v>21.737330151156758</v>
      </c>
      <c r="CD296" s="16">
        <f t="shared" si="217"/>
        <v>648.42610510570319</v>
      </c>
      <c r="CE296" s="33">
        <f>IF(0=MOD(B296,12/PARAM!$D$51),1,0)</f>
        <v>1</v>
      </c>
      <c r="CF296" s="15">
        <f t="shared" si="192"/>
        <v>0</v>
      </c>
      <c r="CG296" s="75">
        <f>CF296*(1-PARAM!$C$27)*$R$3+(MOD($B296/12,5)=0)*($B296&gt;60)*HLOOKUP($B296/12,Loyalty,2)*$F$1*MAX(CI295,0)</f>
        <v>0</v>
      </c>
      <c r="CH296" s="75">
        <f>PARAM!$C$26+MAX($P$3-CHOOSE(PARAM!$B$44,MAX(0,CI295*$F$1),0),0)*RATES!$L272/12+$Q$3*(PARAM!$D$51/12)*RATES!$N272/100</f>
        <v>21.958333333333336</v>
      </c>
      <c r="CI296" s="16">
        <f>IF(CI295&gt;0,CI295*PARAM!$C$53,CI295)+CG296-CH296</f>
        <v>-4199.4999999999927</v>
      </c>
      <c r="CJ296" s="15">
        <f t="shared" si="218"/>
        <v>0</v>
      </c>
      <c r="CK296" s="75">
        <f>CJ296*(1-PARAM!$C$27)*$R$4+(MOD($B296/12,5)=0)*($B296&gt;60)*HLOOKUP($B296/12,Loyalty,2)*$F$1*MAX(CM295,0)</f>
        <v>0</v>
      </c>
      <c r="CL296" s="75">
        <f>PARAM!$C$26+MAX($P$4-CHOOSE(PARAM!$B$44,MAX(0,CM295*$F$1),0),0)*RATES!$L272/12+$Q$4*(PARAM!$D$51/12)*RATES!$N272/100</f>
        <v>21.958333333333336</v>
      </c>
      <c r="CM296" s="16">
        <f>IF(CM295&gt;0,CM295*PARAM!$C$53,CM295)+CK296-CL296</f>
        <v>-4199.4999999999927</v>
      </c>
      <c r="CO296" s="176"/>
    </row>
    <row r="297" spans="1:93" x14ac:dyDescent="0.2">
      <c r="A297" t="b">
        <f t="shared" si="193"/>
        <v>1</v>
      </c>
      <c r="B297" s="33">
        <v>270</v>
      </c>
      <c r="C297" s="15">
        <f t="shared" si="194"/>
        <v>20.081305947392778</v>
      </c>
      <c r="D297" s="75">
        <f>C297*(1-PARAM!$C$27)*$I$3+(MOD($B297,60)=PARAM!$B$56)*($B297&gt;(60-PARAM!$B$56))*HLOOKUP(($B297+PARAM!$B$56)/12,Loyalty,2)*$F$1*MAX(F296,0)</f>
        <v>16.808053077967756</v>
      </c>
      <c r="E297" s="75">
        <f>PARAM!$C$26+MAX($G$3-CHOOSE(PARAM!$B$44,MAX(0,F296*$F$1),0),0)*RATES!$L273/12+$H$3*(PARAM!$D$51/12)*RATES!$N273/100</f>
        <v>23.937409685115323</v>
      </c>
      <c r="F297" s="16">
        <f t="shared" si="195"/>
        <v>157.58199835252356</v>
      </c>
      <c r="G297" s="15">
        <f t="shared" si="196"/>
        <v>22.035289406060361</v>
      </c>
      <c r="H297" s="75">
        <f>G297*(1-PARAM!$C$27)*$I$4+(MOD($B297,60)=PARAM!$B$56)*($B297&gt;(60-PARAM!$B$56))*HLOOKUP(($B297+PARAM!$B$56)/12,Loyalty,2)*$F$1*MAX(J296,0)</f>
        <v>18.443537232872522</v>
      </c>
      <c r="I297" s="75">
        <f>PARAM!$C$26+MAX($G$4-CHOOSE(PARAM!$B$44,MAX(0,J296*$F$1),0),0)*RATES!$L273/12+$H$4*(PARAM!$D$51/12)*RATES!$N273/100</f>
        <v>23.765529077694314</v>
      </c>
      <c r="J297" s="16">
        <f t="shared" si="197"/>
        <v>611.70675106486988</v>
      </c>
      <c r="K297" s="15">
        <f t="shared" si="198"/>
        <v>22.170849845882874</v>
      </c>
      <c r="L297" s="75">
        <f>K297*(1-PARAM!$C$27)*$I$5+(MOD($B297,60)=PARAM!$B$56)*($B297&gt;(60-PARAM!$B$56))*HLOOKUP(($B297+PARAM!$B$56)/12,Loyalty,2)*$F$1*MAX(N296,0)</f>
        <v>18.557001321003963</v>
      </c>
      <c r="M297" s="75">
        <f>PARAM!$C$26+MAX($G$5-CHOOSE(PARAM!$B$44,MAX(0,N296*$F$1),0),0)*RATES!$L273/12+$H$5*(PARAM!$D$51/12)*RATES!$N273/100</f>
        <v>23.753598080059831</v>
      </c>
      <c r="N297" s="16">
        <f t="shared" si="199"/>
        <v>643.22950834664732</v>
      </c>
      <c r="O297" s="15">
        <f t="shared" si="200"/>
        <v>22.170849845882874</v>
      </c>
      <c r="P297" s="75">
        <f>O297*(1-PARAM!$C$27)*$I$6+(MOD($B297,60)=PARAM!$B$56)*($B297&gt;(60-PARAM!$B$56))*HLOOKUP(($B297+PARAM!$B$56)/12,Loyalty,2)*$F$1*MAX(R296,0)</f>
        <v>18.557001321003963</v>
      </c>
      <c r="Q297" s="75">
        <f>PARAM!$C$26+MAX($G$6-CHOOSE(PARAM!$B$44,MAX(0,R296*$F$1),0),0)*RATES!$L273/12+$H$6*(PARAM!$D$51/12)*RATES!$N273/100</f>
        <v>23.753598080059831</v>
      </c>
      <c r="R297" s="16">
        <f t="shared" si="201"/>
        <v>643.22950834664732</v>
      </c>
      <c r="S297" s="15">
        <f t="shared" si="176"/>
        <v>22.170849845882874</v>
      </c>
      <c r="T297" s="75">
        <f>S297*(1-PARAM!$C$27)*$I$7+(MOD($B297,60)=PARAM!$B$56)*($B297&gt;(60-PARAM!$B$56))*HLOOKUP(($B297+PARAM!$B$56)/12,Loyalty,2)*$F$1*MAX(V296,0)</f>
        <v>18.557001321003963</v>
      </c>
      <c r="U297" s="75">
        <f>PARAM!$C$26+MAX($G$7-CHOOSE(PARAM!$B$44,MAX(0,V296*$F$1),0),0)*RATES!$L273/12+$H$7*(PARAM!$D$51/12)*RATES!$N273/100</f>
        <v>23.753598080059831</v>
      </c>
      <c r="V297" s="16">
        <f t="shared" si="202"/>
        <v>643.22950834664732</v>
      </c>
      <c r="W297" s="15">
        <f t="shared" si="177"/>
        <v>22.170849845882874</v>
      </c>
      <c r="X297" s="75">
        <f>W297*(1-PARAM!$C$27)*$I$8+(MOD($B297,60)=PARAM!$B$56)*($B297&gt;(60-PARAM!$B$56))*HLOOKUP(($B297+PARAM!$B$56)/12,Loyalty,2)*$F$1*MAX(Z296,0)</f>
        <v>18.557001321003963</v>
      </c>
      <c r="Y297" s="75">
        <f>PARAM!$C$26+MAX($G$8-CHOOSE(PARAM!$B$44,MAX(0,Z296*$F$1),0),0)*RATES!$L273/12+$H$8*(PARAM!$D$51/12)*RATES!$N273/100</f>
        <v>23.753598080059831</v>
      </c>
      <c r="Z297" s="16">
        <f t="shared" si="203"/>
        <v>643.22950834664732</v>
      </c>
      <c r="AA297" s="15">
        <f t="shared" si="178"/>
        <v>22.170849845882874</v>
      </c>
      <c r="AB297" s="75">
        <f>AA297*(1-PARAM!$C$27)*$I$9+(MOD($B297,60)=PARAM!$B$56)*($B297&gt;(60-PARAM!$B$56))*HLOOKUP(($B297+PARAM!$B$56)/12,Loyalty,2)*$F$1*MAX(AD296,0)</f>
        <v>18.557001321003963</v>
      </c>
      <c r="AC297" s="75">
        <f>PARAM!$C$26+MAX($G$9-CHOOSE(PARAM!$B$44,MAX(0,AD296*$F$1),0),0)*RATES!$L273/12+$H$9*(PARAM!$D$51/12)*RATES!$N273/100</f>
        <v>23.753598080059831</v>
      </c>
      <c r="AD297" s="16">
        <f t="shared" si="204"/>
        <v>643.22950834664732</v>
      </c>
      <c r="AE297" s="15">
        <f t="shared" si="179"/>
        <v>22.170849845882874</v>
      </c>
      <c r="AF297" s="75">
        <f>AE297*(1-PARAM!$C$27)*$I$10+(MOD($B297,60)=PARAM!$B$56)*($B297&gt;(60-PARAM!$B$56))*HLOOKUP(($B297+PARAM!$B$56)/12,Loyalty,2)*$F$1*MAX(AH296,0)</f>
        <v>18.557001321003963</v>
      </c>
      <c r="AG297" s="75">
        <f>PARAM!$C$26+MAX($G$10-CHOOSE(PARAM!$B$44,MAX(0,AH296*$F$1),0),0)*RATES!$L273/12+$H$10*(PARAM!$D$51/12)*RATES!$N273/100</f>
        <v>23.753598080059831</v>
      </c>
      <c r="AH297" s="16">
        <f t="shared" si="205"/>
        <v>643.22950834664732</v>
      </c>
      <c r="AI297" s="15">
        <f t="shared" si="180"/>
        <v>22.170849845882874</v>
      </c>
      <c r="AJ297" s="75">
        <f>AI297*(1-PARAM!$C$27)*$I$11+(MOD($B297,60)=PARAM!$B$56)*($B297&gt;(60-PARAM!$B$56))*HLOOKUP(($B297+PARAM!$B$56)/12,Loyalty,2)*$F$1*MAX(AL296,0)</f>
        <v>18.557001321003963</v>
      </c>
      <c r="AK297" s="75">
        <f>PARAM!$C$26+MAX($G$11-CHOOSE(PARAM!$B$44,MAX(0,AL296*$F$1),0),0)*RATES!$L273/12+$H$11*(PARAM!$D$51/12)*RATES!$N273/100</f>
        <v>23.753598080059831</v>
      </c>
      <c r="AL297" s="16">
        <f t="shared" si="206"/>
        <v>643.22950834664732</v>
      </c>
      <c r="AM297" s="15">
        <f t="shared" si="181"/>
        <v>22.170849845882874</v>
      </c>
      <c r="AN297" s="75">
        <f>AM297*(1-PARAM!$C$27)*$I$12+(MOD($B297,60)=PARAM!$B$56)*($B297&gt;(60-PARAM!$B$56))*HLOOKUP(($B297+PARAM!$B$56)/12,Loyalty,2)*$F$1*MAX(AP296,0)</f>
        <v>18.557001321003963</v>
      </c>
      <c r="AO297" s="75">
        <f>PARAM!$C$26+MAX($G$12-CHOOSE(PARAM!$B$44,MAX(0,AP296*$F$1),0),0)*RATES!$L273/12+$H$12*(PARAM!$D$51/12)*RATES!$N273/100</f>
        <v>23.753598080059831</v>
      </c>
      <c r="AP297" s="16">
        <f t="shared" si="207"/>
        <v>643.22950834664732</v>
      </c>
      <c r="AQ297" s="15">
        <f t="shared" si="182"/>
        <v>22.170849845882874</v>
      </c>
      <c r="AR297" s="75">
        <f>AQ297*(1-PARAM!$C$27)*$I$13+(MOD($B297,60)=PARAM!$B$56)*($B297&gt;(60-PARAM!$B$56))*HLOOKUP(($B297+PARAM!$B$56)/12,Loyalty,2)*$F$1*MAX(AT296,0)</f>
        <v>18.557001321003963</v>
      </c>
      <c r="AS297" s="75">
        <f>PARAM!$C$26+MAX($G$13-CHOOSE(PARAM!$B$44,MAX(0,AT296*$F$1),0),0)*RATES!$L273/12+$H$13*(PARAM!$D$51/12)*RATES!$N273/100</f>
        <v>23.753598080059831</v>
      </c>
      <c r="AT297" s="16">
        <f t="shared" si="208"/>
        <v>643.22950834664732</v>
      </c>
      <c r="AU297" s="15">
        <f t="shared" si="183"/>
        <v>22.170849845882874</v>
      </c>
      <c r="AV297" s="75">
        <f>AU297*(1-PARAM!$C$27)*$I$14+(MOD($B297,60)=PARAM!$B$56)*($B297&gt;(60-PARAM!$B$56))*HLOOKUP(($B297+PARAM!$B$56)/12,Loyalty,2)*$F$1*MAX(AX296,0)</f>
        <v>18.557001321003963</v>
      </c>
      <c r="AW297" s="75">
        <f>PARAM!$C$26+MAX($G$14-CHOOSE(PARAM!$B$44,MAX(0,AX296*$F$1),0),0)*RATES!$L273/12+$H$14*(PARAM!$D$51/12)*RATES!$N273/100</f>
        <v>23.753598080059831</v>
      </c>
      <c r="AX297" s="16">
        <f t="shared" si="209"/>
        <v>643.22950834664732</v>
      </c>
      <c r="AY297" s="15">
        <f t="shared" si="184"/>
        <v>22.170849845882874</v>
      </c>
      <c r="AZ297" s="75">
        <f>AY297*(1-PARAM!$C$27)*$I$15+(MOD($B297,60)=PARAM!$B$56)*($B297&gt;(60-PARAM!$B$56))*HLOOKUP(($B297+PARAM!$B$56)/12,Loyalty,2)*$F$1*MAX(BB296,0)</f>
        <v>18.557001321003963</v>
      </c>
      <c r="BA297" s="75">
        <f>PARAM!$C$26+MAX($G$15-CHOOSE(PARAM!$B$44,MAX(0,BB296*$F$1),0),0)*RATES!$L273/12+$H$15*(PARAM!$D$51/12)*RATES!$N273/100</f>
        <v>23.753598080059831</v>
      </c>
      <c r="BB297" s="16">
        <f t="shared" si="210"/>
        <v>643.22950834664732</v>
      </c>
      <c r="BC297" s="15">
        <f t="shared" si="185"/>
        <v>22.170849845882874</v>
      </c>
      <c r="BD297" s="75">
        <f>BC297*(1-PARAM!$C$27)*$I$16+(MOD($B297,60)=PARAM!$B$56)*($B297&gt;(60-PARAM!$B$56))*HLOOKUP(($B297+PARAM!$B$56)/12,Loyalty,2)*$F$1*MAX(BF296,0)</f>
        <v>18.557001321003963</v>
      </c>
      <c r="BE297" s="75">
        <f>PARAM!$C$26+MAX($G$16-CHOOSE(PARAM!$B$44,MAX(0,BF296*$F$1),0),0)*RATES!$L273/12+$H$16*(PARAM!$D$51/12)*RATES!$N273/100</f>
        <v>23.753598080059831</v>
      </c>
      <c r="BF297" s="16">
        <f t="shared" si="211"/>
        <v>643.22950834664732</v>
      </c>
      <c r="BG297" s="15">
        <f t="shared" si="186"/>
        <v>22.170849845882874</v>
      </c>
      <c r="BH297" s="75">
        <f>BG297*(1-PARAM!$C$27)*$I$17+(MOD($B297,60)=PARAM!$B$56)*($B297&gt;(60-PARAM!$B$56))*HLOOKUP(($B297+PARAM!$B$56)/12,Loyalty,2)*$F$1*MAX(BJ296,0)</f>
        <v>18.557001321003963</v>
      </c>
      <c r="BI297" s="75">
        <f>PARAM!$C$26+MAX($G$17-CHOOSE(PARAM!$B$44,MAX(0,BJ296*$F$1),0),0)*RATES!$L273/12+$H$17*(PARAM!$D$51/12)*RATES!$N273/100</f>
        <v>23.753598080059831</v>
      </c>
      <c r="BJ297" s="16">
        <f t="shared" si="212"/>
        <v>643.22950834664732</v>
      </c>
      <c r="BK297" s="15">
        <f t="shared" si="187"/>
        <v>22.170849845882874</v>
      </c>
      <c r="BL297" s="75">
        <f>BK297*(1-PARAM!$C$27)*$I$18+(MOD($B297,60)=PARAM!$B$56)*($B297&gt;(60-PARAM!$B$56))*HLOOKUP(($B297+PARAM!$B$56)/12,Loyalty,2)*$F$1*MAX(BN296,0)</f>
        <v>18.557001321003963</v>
      </c>
      <c r="BM297" s="75">
        <f>PARAM!$C$26+MAX($G$18-CHOOSE(PARAM!$B$44,MAX(0,BN296*$F$1),0),0)*RATES!$L273/12+$H$18*(PARAM!$D$51/12)*RATES!$N273/100</f>
        <v>23.753598080059831</v>
      </c>
      <c r="BN297" s="16">
        <f t="shared" si="213"/>
        <v>643.22950834664732</v>
      </c>
      <c r="BO297" s="15">
        <f t="shared" si="188"/>
        <v>22.170849845882874</v>
      </c>
      <c r="BP297" s="75">
        <f>BO297*(1-PARAM!$C$27)*$I$19+(MOD($B297,60)=PARAM!$B$56)*($B297&gt;(60-PARAM!$B$56))*HLOOKUP(($B297+PARAM!$B$56)/12,Loyalty,2)*$F$1*MAX(BR296,0)</f>
        <v>18.557001321003963</v>
      </c>
      <c r="BQ297" s="75">
        <f>PARAM!$C$26+MAX($G$19-CHOOSE(PARAM!$B$44,MAX(0,BR296*$F$1),0),0)*RATES!$L273/12+$H$19*(PARAM!$D$51/12)*RATES!$N273/100</f>
        <v>23.753598080059831</v>
      </c>
      <c r="BR297" s="16">
        <f t="shared" si="214"/>
        <v>643.22950834664732</v>
      </c>
      <c r="BS297" s="15">
        <f t="shared" si="189"/>
        <v>22.170849845882874</v>
      </c>
      <c r="BT297" s="75">
        <f>BS297*(1-PARAM!$C$27)*$I$20+(MOD($B297,60)=PARAM!$B$56)*($B297&gt;(60-PARAM!$B$56))*HLOOKUP(($B297+PARAM!$B$56)/12,Loyalty,2)*$F$1*MAX(BV296,0)</f>
        <v>18.557001321003963</v>
      </c>
      <c r="BU297" s="75">
        <f>PARAM!$C$26+MAX($G$20-CHOOSE(PARAM!$B$44,MAX(0,BV296*$F$1),0),0)*RATES!$L273/12+$H$20*(PARAM!$D$51/12)*RATES!$N273/100</f>
        <v>23.753598080059831</v>
      </c>
      <c r="BV297" s="16">
        <f t="shared" si="215"/>
        <v>643.22950834664732</v>
      </c>
      <c r="BW297" s="15">
        <f t="shared" si="190"/>
        <v>22.170849845882874</v>
      </c>
      <c r="BX297" s="75">
        <f>BW297*(1-PARAM!$C$27)*$I$21+(MOD($B297,60)=PARAM!$B$56)*($B297&gt;(60-PARAM!$B$56))*HLOOKUP(($B297+PARAM!$B$56)/12,Loyalty,2)*$F$1*MAX(BZ296,0)</f>
        <v>18.557001321003963</v>
      </c>
      <c r="BY297" s="75">
        <f>PARAM!$C$26+MAX($G$21-CHOOSE(PARAM!$B$44,MAX(0,BZ296*$F$1),0),0)*RATES!$L273/12+$H$21*(PARAM!$D$51/12)*RATES!$N273/100</f>
        <v>23.753598080059831</v>
      </c>
      <c r="BZ297" s="16">
        <f t="shared" si="216"/>
        <v>643.22950834664732</v>
      </c>
      <c r="CA297" s="15">
        <f t="shared" si="191"/>
        <v>22.170849845882874</v>
      </c>
      <c r="CB297" s="75">
        <f>CA297*(1-PARAM!$C$27)*$I$22+(MOD($B297,60)=PARAM!$B$56)*($B297&gt;(60-PARAM!$B$56))*HLOOKUP(($B297+PARAM!$B$56)/12,Loyalty,2)*$F$1*MAX(CD296,0)</f>
        <v>18.557001321003963</v>
      </c>
      <c r="CC297" s="75">
        <f>PARAM!$C$26+MAX($G$22-CHOOSE(PARAM!$B$44,MAX(0,CD296*$F$1),0),0)*RATES!$L273/12+$H$22*(PARAM!$D$51/12)*RATES!$N273/100</f>
        <v>23.753598080059831</v>
      </c>
      <c r="CD297" s="16">
        <f t="shared" si="217"/>
        <v>643.22950834664732</v>
      </c>
      <c r="CE297" s="33">
        <f>IF(0=MOD(B297,12/PARAM!$D$51),1,0)</f>
        <v>1</v>
      </c>
      <c r="CF297" s="15">
        <f t="shared" si="192"/>
        <v>0</v>
      </c>
      <c r="CG297" s="75">
        <f>CF297*(1-PARAM!$C$27)*$R$3+(MOD($B297/12,5)=0)*($B297&gt;60)*HLOOKUP($B297/12,Loyalty,2)*$F$1*MAX(CI296,0)</f>
        <v>0</v>
      </c>
      <c r="CH297" s="75">
        <f>PARAM!$C$26+MAX($P$3-CHOOSE(PARAM!$B$44,MAX(0,CI296*$F$1),0),0)*RATES!$L273/12+$Q$3*(PARAM!$D$51/12)*RATES!$N273/100</f>
        <v>24</v>
      </c>
      <c r="CI297" s="16">
        <f>IF(CI296&gt;0,CI296*PARAM!$C$53,CI296)+CG297-CH297</f>
        <v>-4223.4999999999927</v>
      </c>
      <c r="CJ297" s="15">
        <f t="shared" si="218"/>
        <v>0</v>
      </c>
      <c r="CK297" s="75">
        <f>CJ297*(1-PARAM!$C$27)*$R$4+(MOD($B297/12,5)=0)*($B297&gt;60)*HLOOKUP($B297/12,Loyalty,2)*$F$1*MAX(CM296,0)</f>
        <v>0</v>
      </c>
      <c r="CL297" s="75">
        <f>PARAM!$C$26+MAX($P$4-CHOOSE(PARAM!$B$44,MAX(0,CM296*$F$1),0),0)*RATES!$L273/12+$Q$4*(PARAM!$D$51/12)*RATES!$N273/100</f>
        <v>24</v>
      </c>
      <c r="CM297" s="16">
        <f>IF(CM296&gt;0,CM296*PARAM!$C$53,CM296)+CK297-CL297</f>
        <v>-4223.4999999999927</v>
      </c>
      <c r="CO297" s="176"/>
    </row>
    <row r="298" spans="1:93" x14ac:dyDescent="0.2">
      <c r="A298" t="b">
        <f t="shared" si="193"/>
        <v>1</v>
      </c>
      <c r="B298" s="33">
        <v>271</v>
      </c>
      <c r="C298" s="15">
        <f t="shared" si="194"/>
        <v>20.081305947392778</v>
      </c>
      <c r="D298" s="75">
        <f>C298*(1-PARAM!$C$27)*$I$3+(MOD($B298,60)=PARAM!$B$56)*($B298&gt;(60-PARAM!$B$56))*HLOOKUP(($B298+PARAM!$B$56)/12,Loyalty,2)*$F$1*MAX(F297,0)</f>
        <v>16.808053077967756</v>
      </c>
      <c r="E298" s="75">
        <f>PARAM!$C$26+MAX($G$3-CHOOSE(PARAM!$B$44,MAX(0,F297*$F$1),0),0)*RATES!$L274/12+$H$3*(PARAM!$D$51/12)*RATES!$N274/100</f>
        <v>23.940118840626042</v>
      </c>
      <c r="F298" s="16">
        <f t="shared" si="195"/>
        <v>150.44993258986528</v>
      </c>
      <c r="G298" s="15">
        <f t="shared" si="196"/>
        <v>22.035289406060361</v>
      </c>
      <c r="H298" s="75">
        <f>G298*(1-PARAM!$C$27)*$I$4+(MOD($B298,60)=PARAM!$B$56)*($B298&gt;(60-PARAM!$B$56))*HLOOKUP(($B298+PARAM!$B$56)/12,Loyalty,2)*$F$1*MAX(J297,0)</f>
        <v>18.443537232872522</v>
      </c>
      <c r="I298" s="75">
        <f>PARAM!$C$26+MAX($G$4-CHOOSE(PARAM!$B$44,MAX(0,J297*$F$1),0),0)*RATES!$L274/12+$H$4*(PARAM!$D$51/12)*RATES!$N274/100</f>
        <v>23.767551434595347</v>
      </c>
      <c r="J298" s="16">
        <f t="shared" si="197"/>
        <v>606.38273686314699</v>
      </c>
      <c r="K298" s="15">
        <f t="shared" si="198"/>
        <v>22.170849845882874</v>
      </c>
      <c r="L298" s="75">
        <f>K298*(1-PARAM!$C$27)*$I$5+(MOD($B298,60)=PARAM!$B$56)*($B298&gt;(60-PARAM!$B$56))*HLOOKUP(($B298+PARAM!$B$56)/12,Loyalty,2)*$F$1*MAX(N297,0)</f>
        <v>18.557001321003963</v>
      </c>
      <c r="M298" s="75">
        <f>PARAM!$C$26+MAX($G$5-CHOOSE(PARAM!$B$44,MAX(0,N297*$F$1),0),0)*RATES!$L274/12+$H$5*(PARAM!$D$51/12)*RATES!$N274/100</f>
        <v>23.755572786828274</v>
      </c>
      <c r="N298" s="16">
        <f t="shared" si="199"/>
        <v>638.03093688082311</v>
      </c>
      <c r="O298" s="15">
        <f t="shared" si="200"/>
        <v>22.170849845882874</v>
      </c>
      <c r="P298" s="75">
        <f>O298*(1-PARAM!$C$27)*$I$6+(MOD($B298,60)=PARAM!$B$56)*($B298&gt;(60-PARAM!$B$56))*HLOOKUP(($B298+PARAM!$B$56)/12,Loyalty,2)*$F$1*MAX(R297,0)</f>
        <v>18.557001321003963</v>
      </c>
      <c r="Q298" s="75">
        <f>PARAM!$C$26+MAX($G$6-CHOOSE(PARAM!$B$44,MAX(0,R297*$F$1),0),0)*RATES!$L274/12+$H$6*(PARAM!$D$51/12)*RATES!$N274/100</f>
        <v>23.755572786828274</v>
      </c>
      <c r="R298" s="16">
        <f t="shared" si="201"/>
        <v>638.03093688082311</v>
      </c>
      <c r="S298" s="15">
        <f t="shared" si="176"/>
        <v>22.170849845882874</v>
      </c>
      <c r="T298" s="75">
        <f>S298*(1-PARAM!$C$27)*$I$7+(MOD($B298,60)=PARAM!$B$56)*($B298&gt;(60-PARAM!$B$56))*HLOOKUP(($B298+PARAM!$B$56)/12,Loyalty,2)*$F$1*MAX(V297,0)</f>
        <v>18.557001321003963</v>
      </c>
      <c r="U298" s="75">
        <f>PARAM!$C$26+MAX($G$7-CHOOSE(PARAM!$B$44,MAX(0,V297*$F$1),0),0)*RATES!$L274/12+$H$7*(PARAM!$D$51/12)*RATES!$N274/100</f>
        <v>23.755572786828274</v>
      </c>
      <c r="V298" s="16">
        <f t="shared" si="202"/>
        <v>638.03093688082311</v>
      </c>
      <c r="W298" s="15">
        <f t="shared" si="177"/>
        <v>22.170849845882874</v>
      </c>
      <c r="X298" s="75">
        <f>W298*(1-PARAM!$C$27)*$I$8+(MOD($B298,60)=PARAM!$B$56)*($B298&gt;(60-PARAM!$B$56))*HLOOKUP(($B298+PARAM!$B$56)/12,Loyalty,2)*$F$1*MAX(Z297,0)</f>
        <v>18.557001321003963</v>
      </c>
      <c r="Y298" s="75">
        <f>PARAM!$C$26+MAX($G$8-CHOOSE(PARAM!$B$44,MAX(0,Z297*$F$1),0),0)*RATES!$L274/12+$H$8*(PARAM!$D$51/12)*RATES!$N274/100</f>
        <v>23.755572786828274</v>
      </c>
      <c r="Z298" s="16">
        <f t="shared" si="203"/>
        <v>638.03093688082311</v>
      </c>
      <c r="AA298" s="15">
        <f t="shared" si="178"/>
        <v>22.170849845882874</v>
      </c>
      <c r="AB298" s="75">
        <f>AA298*(1-PARAM!$C$27)*$I$9+(MOD($B298,60)=PARAM!$B$56)*($B298&gt;(60-PARAM!$B$56))*HLOOKUP(($B298+PARAM!$B$56)/12,Loyalty,2)*$F$1*MAX(AD297,0)</f>
        <v>18.557001321003963</v>
      </c>
      <c r="AC298" s="75">
        <f>PARAM!$C$26+MAX($G$9-CHOOSE(PARAM!$B$44,MAX(0,AD297*$F$1),0),0)*RATES!$L274/12+$H$9*(PARAM!$D$51/12)*RATES!$N274/100</f>
        <v>23.755572786828274</v>
      </c>
      <c r="AD298" s="16">
        <f t="shared" si="204"/>
        <v>638.03093688082311</v>
      </c>
      <c r="AE298" s="15">
        <f t="shared" si="179"/>
        <v>22.170849845882874</v>
      </c>
      <c r="AF298" s="75">
        <f>AE298*(1-PARAM!$C$27)*$I$10+(MOD($B298,60)=PARAM!$B$56)*($B298&gt;(60-PARAM!$B$56))*HLOOKUP(($B298+PARAM!$B$56)/12,Loyalty,2)*$F$1*MAX(AH297,0)</f>
        <v>18.557001321003963</v>
      </c>
      <c r="AG298" s="75">
        <f>PARAM!$C$26+MAX($G$10-CHOOSE(PARAM!$B$44,MAX(0,AH297*$F$1),0),0)*RATES!$L274/12+$H$10*(PARAM!$D$51/12)*RATES!$N274/100</f>
        <v>23.755572786828274</v>
      </c>
      <c r="AH298" s="16">
        <f t="shared" si="205"/>
        <v>638.03093688082311</v>
      </c>
      <c r="AI298" s="15">
        <f t="shared" si="180"/>
        <v>22.170849845882874</v>
      </c>
      <c r="AJ298" s="75">
        <f>AI298*(1-PARAM!$C$27)*$I$11+(MOD($B298,60)=PARAM!$B$56)*($B298&gt;(60-PARAM!$B$56))*HLOOKUP(($B298+PARAM!$B$56)/12,Loyalty,2)*$F$1*MAX(AL297,0)</f>
        <v>18.557001321003963</v>
      </c>
      <c r="AK298" s="75">
        <f>PARAM!$C$26+MAX($G$11-CHOOSE(PARAM!$B$44,MAX(0,AL297*$F$1),0),0)*RATES!$L274/12+$H$11*(PARAM!$D$51/12)*RATES!$N274/100</f>
        <v>23.755572786828274</v>
      </c>
      <c r="AL298" s="16">
        <f t="shared" si="206"/>
        <v>638.03093688082311</v>
      </c>
      <c r="AM298" s="15">
        <f t="shared" si="181"/>
        <v>22.170849845882874</v>
      </c>
      <c r="AN298" s="75">
        <f>AM298*(1-PARAM!$C$27)*$I$12+(MOD($B298,60)=PARAM!$B$56)*($B298&gt;(60-PARAM!$B$56))*HLOOKUP(($B298+PARAM!$B$56)/12,Loyalty,2)*$F$1*MAX(AP297,0)</f>
        <v>18.557001321003963</v>
      </c>
      <c r="AO298" s="75">
        <f>PARAM!$C$26+MAX($G$12-CHOOSE(PARAM!$B$44,MAX(0,AP297*$F$1),0),0)*RATES!$L274/12+$H$12*(PARAM!$D$51/12)*RATES!$N274/100</f>
        <v>23.755572786828274</v>
      </c>
      <c r="AP298" s="16">
        <f t="shared" si="207"/>
        <v>638.03093688082311</v>
      </c>
      <c r="AQ298" s="15">
        <f t="shared" si="182"/>
        <v>22.170849845882874</v>
      </c>
      <c r="AR298" s="75">
        <f>AQ298*(1-PARAM!$C$27)*$I$13+(MOD($B298,60)=PARAM!$B$56)*($B298&gt;(60-PARAM!$B$56))*HLOOKUP(($B298+PARAM!$B$56)/12,Loyalty,2)*$F$1*MAX(AT297,0)</f>
        <v>18.557001321003963</v>
      </c>
      <c r="AS298" s="75">
        <f>PARAM!$C$26+MAX($G$13-CHOOSE(PARAM!$B$44,MAX(0,AT297*$F$1),0),0)*RATES!$L274/12+$H$13*(PARAM!$D$51/12)*RATES!$N274/100</f>
        <v>23.755572786828274</v>
      </c>
      <c r="AT298" s="16">
        <f t="shared" si="208"/>
        <v>638.03093688082311</v>
      </c>
      <c r="AU298" s="15">
        <f t="shared" si="183"/>
        <v>22.170849845882874</v>
      </c>
      <c r="AV298" s="75">
        <f>AU298*(1-PARAM!$C$27)*$I$14+(MOD($B298,60)=PARAM!$B$56)*($B298&gt;(60-PARAM!$B$56))*HLOOKUP(($B298+PARAM!$B$56)/12,Loyalty,2)*$F$1*MAX(AX297,0)</f>
        <v>18.557001321003963</v>
      </c>
      <c r="AW298" s="75">
        <f>PARAM!$C$26+MAX($G$14-CHOOSE(PARAM!$B$44,MAX(0,AX297*$F$1),0),0)*RATES!$L274/12+$H$14*(PARAM!$D$51/12)*RATES!$N274/100</f>
        <v>23.755572786828274</v>
      </c>
      <c r="AX298" s="16">
        <f t="shared" si="209"/>
        <v>638.03093688082311</v>
      </c>
      <c r="AY298" s="15">
        <f t="shared" si="184"/>
        <v>22.170849845882874</v>
      </c>
      <c r="AZ298" s="75">
        <f>AY298*(1-PARAM!$C$27)*$I$15+(MOD($B298,60)=PARAM!$B$56)*($B298&gt;(60-PARAM!$B$56))*HLOOKUP(($B298+PARAM!$B$56)/12,Loyalty,2)*$F$1*MAX(BB297,0)</f>
        <v>18.557001321003963</v>
      </c>
      <c r="BA298" s="75">
        <f>PARAM!$C$26+MAX($G$15-CHOOSE(PARAM!$B$44,MAX(0,BB297*$F$1),0),0)*RATES!$L274/12+$H$15*(PARAM!$D$51/12)*RATES!$N274/100</f>
        <v>23.755572786828274</v>
      </c>
      <c r="BB298" s="16">
        <f t="shared" si="210"/>
        <v>638.03093688082311</v>
      </c>
      <c r="BC298" s="15">
        <f t="shared" si="185"/>
        <v>22.170849845882874</v>
      </c>
      <c r="BD298" s="75">
        <f>BC298*(1-PARAM!$C$27)*$I$16+(MOD($B298,60)=PARAM!$B$56)*($B298&gt;(60-PARAM!$B$56))*HLOOKUP(($B298+PARAM!$B$56)/12,Loyalty,2)*$F$1*MAX(BF297,0)</f>
        <v>18.557001321003963</v>
      </c>
      <c r="BE298" s="75">
        <f>PARAM!$C$26+MAX($G$16-CHOOSE(PARAM!$B$44,MAX(0,BF297*$F$1),0),0)*RATES!$L274/12+$H$16*(PARAM!$D$51/12)*RATES!$N274/100</f>
        <v>23.755572786828274</v>
      </c>
      <c r="BF298" s="16">
        <f t="shared" si="211"/>
        <v>638.03093688082311</v>
      </c>
      <c r="BG298" s="15">
        <f t="shared" si="186"/>
        <v>22.170849845882874</v>
      </c>
      <c r="BH298" s="75">
        <f>BG298*(1-PARAM!$C$27)*$I$17+(MOD($B298,60)=PARAM!$B$56)*($B298&gt;(60-PARAM!$B$56))*HLOOKUP(($B298+PARAM!$B$56)/12,Loyalty,2)*$F$1*MAX(BJ297,0)</f>
        <v>18.557001321003963</v>
      </c>
      <c r="BI298" s="75">
        <f>PARAM!$C$26+MAX($G$17-CHOOSE(PARAM!$B$44,MAX(0,BJ297*$F$1),0),0)*RATES!$L274/12+$H$17*(PARAM!$D$51/12)*RATES!$N274/100</f>
        <v>23.755572786828274</v>
      </c>
      <c r="BJ298" s="16">
        <f t="shared" si="212"/>
        <v>638.03093688082311</v>
      </c>
      <c r="BK298" s="15">
        <f t="shared" si="187"/>
        <v>22.170849845882874</v>
      </c>
      <c r="BL298" s="75">
        <f>BK298*(1-PARAM!$C$27)*$I$18+(MOD($B298,60)=PARAM!$B$56)*($B298&gt;(60-PARAM!$B$56))*HLOOKUP(($B298+PARAM!$B$56)/12,Loyalty,2)*$F$1*MAX(BN297,0)</f>
        <v>18.557001321003963</v>
      </c>
      <c r="BM298" s="75">
        <f>PARAM!$C$26+MAX($G$18-CHOOSE(PARAM!$B$44,MAX(0,BN297*$F$1),0),0)*RATES!$L274/12+$H$18*(PARAM!$D$51/12)*RATES!$N274/100</f>
        <v>23.755572786828274</v>
      </c>
      <c r="BN298" s="16">
        <f t="shared" si="213"/>
        <v>638.03093688082311</v>
      </c>
      <c r="BO298" s="15">
        <f t="shared" si="188"/>
        <v>22.170849845882874</v>
      </c>
      <c r="BP298" s="75">
        <f>BO298*(1-PARAM!$C$27)*$I$19+(MOD($B298,60)=PARAM!$B$56)*($B298&gt;(60-PARAM!$B$56))*HLOOKUP(($B298+PARAM!$B$56)/12,Loyalty,2)*$F$1*MAX(BR297,0)</f>
        <v>18.557001321003963</v>
      </c>
      <c r="BQ298" s="75">
        <f>PARAM!$C$26+MAX($G$19-CHOOSE(PARAM!$B$44,MAX(0,BR297*$F$1),0),0)*RATES!$L274/12+$H$19*(PARAM!$D$51/12)*RATES!$N274/100</f>
        <v>23.755572786828274</v>
      </c>
      <c r="BR298" s="16">
        <f t="shared" si="214"/>
        <v>638.03093688082311</v>
      </c>
      <c r="BS298" s="15">
        <f t="shared" si="189"/>
        <v>22.170849845882874</v>
      </c>
      <c r="BT298" s="75">
        <f>BS298*(1-PARAM!$C$27)*$I$20+(MOD($B298,60)=PARAM!$B$56)*($B298&gt;(60-PARAM!$B$56))*HLOOKUP(($B298+PARAM!$B$56)/12,Loyalty,2)*$F$1*MAX(BV297,0)</f>
        <v>18.557001321003963</v>
      </c>
      <c r="BU298" s="75">
        <f>PARAM!$C$26+MAX($G$20-CHOOSE(PARAM!$B$44,MAX(0,BV297*$F$1),0),0)*RATES!$L274/12+$H$20*(PARAM!$D$51/12)*RATES!$N274/100</f>
        <v>23.755572786828274</v>
      </c>
      <c r="BV298" s="16">
        <f t="shared" si="215"/>
        <v>638.03093688082311</v>
      </c>
      <c r="BW298" s="15">
        <f t="shared" si="190"/>
        <v>22.170849845882874</v>
      </c>
      <c r="BX298" s="75">
        <f>BW298*(1-PARAM!$C$27)*$I$21+(MOD($B298,60)=PARAM!$B$56)*($B298&gt;(60-PARAM!$B$56))*HLOOKUP(($B298+PARAM!$B$56)/12,Loyalty,2)*$F$1*MAX(BZ297,0)</f>
        <v>18.557001321003963</v>
      </c>
      <c r="BY298" s="75">
        <f>PARAM!$C$26+MAX($G$21-CHOOSE(PARAM!$B$44,MAX(0,BZ297*$F$1),0),0)*RATES!$L274/12+$H$21*(PARAM!$D$51/12)*RATES!$N274/100</f>
        <v>23.755572786828274</v>
      </c>
      <c r="BZ298" s="16">
        <f t="shared" si="216"/>
        <v>638.03093688082311</v>
      </c>
      <c r="CA298" s="15">
        <f t="shared" si="191"/>
        <v>22.170849845882874</v>
      </c>
      <c r="CB298" s="75">
        <f>CA298*(1-PARAM!$C$27)*$I$22+(MOD($B298,60)=PARAM!$B$56)*($B298&gt;(60-PARAM!$B$56))*HLOOKUP(($B298+PARAM!$B$56)/12,Loyalty,2)*$F$1*MAX(CD297,0)</f>
        <v>18.557001321003963</v>
      </c>
      <c r="CC298" s="75">
        <f>PARAM!$C$26+MAX($G$22-CHOOSE(PARAM!$B$44,MAX(0,CD297*$F$1),0),0)*RATES!$L274/12+$H$22*(PARAM!$D$51/12)*RATES!$N274/100</f>
        <v>23.755572786828274</v>
      </c>
      <c r="CD298" s="16">
        <f t="shared" si="217"/>
        <v>638.03093688082311</v>
      </c>
      <c r="CE298" s="33">
        <f>IF(0=MOD(B298,12/PARAM!$D$51),1,0)</f>
        <v>1</v>
      </c>
      <c r="CF298" s="15">
        <f t="shared" si="192"/>
        <v>0</v>
      </c>
      <c r="CG298" s="75">
        <f>CF298*(1-PARAM!$C$27)*$R$3+(MOD($B298/12,5)=0)*($B298&gt;60)*HLOOKUP($B298/12,Loyalty,2)*$F$1*MAX(CI297,0)</f>
        <v>0</v>
      </c>
      <c r="CH298" s="75">
        <f>PARAM!$C$26+MAX($P$3-CHOOSE(PARAM!$B$44,MAX(0,CI297*$F$1),0),0)*RATES!$L274/12+$Q$3*(PARAM!$D$51/12)*RATES!$N274/100</f>
        <v>24</v>
      </c>
      <c r="CI298" s="16">
        <f>IF(CI297&gt;0,CI297*PARAM!$C$53,CI297)+CG298-CH298</f>
        <v>-4247.4999999999927</v>
      </c>
      <c r="CJ298" s="15">
        <f t="shared" si="218"/>
        <v>0</v>
      </c>
      <c r="CK298" s="75">
        <f>CJ298*(1-PARAM!$C$27)*$R$4+(MOD($B298/12,5)=0)*($B298&gt;60)*HLOOKUP($B298/12,Loyalty,2)*$F$1*MAX(CM297,0)</f>
        <v>0</v>
      </c>
      <c r="CL298" s="75">
        <f>PARAM!$C$26+MAX($P$4-CHOOSE(PARAM!$B$44,MAX(0,CM297*$F$1),0),0)*RATES!$L274/12+$Q$4*(PARAM!$D$51/12)*RATES!$N274/100</f>
        <v>24</v>
      </c>
      <c r="CM298" s="16">
        <f>IF(CM297&gt;0,CM297*PARAM!$C$53,CM297)+CK298-CL298</f>
        <v>-4247.4999999999927</v>
      </c>
      <c r="CO298" s="176"/>
    </row>
    <row r="299" spans="1:93" x14ac:dyDescent="0.2">
      <c r="A299" t="b">
        <f t="shared" si="193"/>
        <v>1</v>
      </c>
      <c r="B299" s="33">
        <v>272</v>
      </c>
      <c r="C299" s="15">
        <f t="shared" si="194"/>
        <v>20.081305947392778</v>
      </c>
      <c r="D299" s="75">
        <f>C299*(1-PARAM!$C$27)*$I$3+(MOD($B299,60)=PARAM!$B$56)*($B299&gt;(60-PARAM!$B$56))*HLOOKUP(($B299+PARAM!$B$56)/12,Loyalty,2)*$F$1*MAX(F298,0)</f>
        <v>16.808053077967756</v>
      </c>
      <c r="E299" s="75">
        <f>PARAM!$C$26+MAX($G$3-CHOOSE(PARAM!$B$44,MAX(0,F298*$F$1),0),0)*RATES!$L275/12+$H$3*(PARAM!$D$51/12)*RATES!$N275/100</f>
        <v>23.94282902561585</v>
      </c>
      <c r="F299" s="16">
        <f t="shared" si="195"/>
        <v>143.3151566422172</v>
      </c>
      <c r="G299" s="15">
        <f t="shared" si="196"/>
        <v>22.035289406060361</v>
      </c>
      <c r="H299" s="75">
        <f>G299*(1-PARAM!$C$27)*$I$4+(MOD($B299,60)=PARAM!$B$56)*($B299&gt;(60-PARAM!$B$56))*HLOOKUP(($B299+PARAM!$B$56)/12,Loyalty,2)*$F$1*MAX(J298,0)</f>
        <v>18.443537232872522</v>
      </c>
      <c r="I299" s="75">
        <f>PARAM!$C$26+MAX($G$4-CHOOSE(PARAM!$B$44,MAX(0,J298*$F$1),0),0)*RATES!$L275/12+$H$4*(PARAM!$D$51/12)*RATES!$N275/100</f>
        <v>23.769574559992005</v>
      </c>
      <c r="J299" s="16">
        <f t="shared" si="197"/>
        <v>601.05669953602751</v>
      </c>
      <c r="K299" s="15">
        <f t="shared" si="198"/>
        <v>22.170849845882874</v>
      </c>
      <c r="L299" s="75">
        <f>K299*(1-PARAM!$C$27)*$I$5+(MOD($B299,60)=PARAM!$B$56)*($B299&gt;(60-PARAM!$B$56))*HLOOKUP(($B299+PARAM!$B$56)/12,Loyalty,2)*$F$1*MAX(N298,0)</f>
        <v>18.557001321003963</v>
      </c>
      <c r="M299" s="75">
        <f>PARAM!$C$26+MAX($G$5-CHOOSE(PARAM!$B$44,MAX(0,N298*$F$1),0),0)*RATES!$L275/12+$H$5*(PARAM!$D$51/12)*RATES!$N275/100</f>
        <v>23.757548243985287</v>
      </c>
      <c r="N299" s="16">
        <f t="shared" si="199"/>
        <v>632.83038995784182</v>
      </c>
      <c r="O299" s="15">
        <f t="shared" si="200"/>
        <v>22.170849845882874</v>
      </c>
      <c r="P299" s="75">
        <f>O299*(1-PARAM!$C$27)*$I$6+(MOD($B299,60)=PARAM!$B$56)*($B299&gt;(60-PARAM!$B$56))*HLOOKUP(($B299+PARAM!$B$56)/12,Loyalty,2)*$F$1*MAX(R298,0)</f>
        <v>18.557001321003963</v>
      </c>
      <c r="Q299" s="75">
        <f>PARAM!$C$26+MAX($G$6-CHOOSE(PARAM!$B$44,MAX(0,R298*$F$1),0),0)*RATES!$L275/12+$H$6*(PARAM!$D$51/12)*RATES!$N275/100</f>
        <v>23.757548243985287</v>
      </c>
      <c r="R299" s="16">
        <f t="shared" si="201"/>
        <v>632.83038995784182</v>
      </c>
      <c r="S299" s="15">
        <f t="shared" si="176"/>
        <v>22.170849845882874</v>
      </c>
      <c r="T299" s="75">
        <f>S299*(1-PARAM!$C$27)*$I$7+(MOD($B299,60)=PARAM!$B$56)*($B299&gt;(60-PARAM!$B$56))*HLOOKUP(($B299+PARAM!$B$56)/12,Loyalty,2)*$F$1*MAX(V298,0)</f>
        <v>18.557001321003963</v>
      </c>
      <c r="U299" s="75">
        <f>PARAM!$C$26+MAX($G$7-CHOOSE(PARAM!$B$44,MAX(0,V298*$F$1),0),0)*RATES!$L275/12+$H$7*(PARAM!$D$51/12)*RATES!$N275/100</f>
        <v>23.757548243985287</v>
      </c>
      <c r="V299" s="16">
        <f t="shared" si="202"/>
        <v>632.83038995784182</v>
      </c>
      <c r="W299" s="15">
        <f t="shared" si="177"/>
        <v>22.170849845882874</v>
      </c>
      <c r="X299" s="75">
        <f>W299*(1-PARAM!$C$27)*$I$8+(MOD($B299,60)=PARAM!$B$56)*($B299&gt;(60-PARAM!$B$56))*HLOOKUP(($B299+PARAM!$B$56)/12,Loyalty,2)*$F$1*MAX(Z298,0)</f>
        <v>18.557001321003963</v>
      </c>
      <c r="Y299" s="75">
        <f>PARAM!$C$26+MAX($G$8-CHOOSE(PARAM!$B$44,MAX(0,Z298*$F$1),0),0)*RATES!$L275/12+$H$8*(PARAM!$D$51/12)*RATES!$N275/100</f>
        <v>23.757548243985287</v>
      </c>
      <c r="Z299" s="16">
        <f t="shared" si="203"/>
        <v>632.83038995784182</v>
      </c>
      <c r="AA299" s="15">
        <f t="shared" si="178"/>
        <v>22.170849845882874</v>
      </c>
      <c r="AB299" s="75">
        <f>AA299*(1-PARAM!$C$27)*$I$9+(MOD($B299,60)=PARAM!$B$56)*($B299&gt;(60-PARAM!$B$56))*HLOOKUP(($B299+PARAM!$B$56)/12,Loyalty,2)*$F$1*MAX(AD298,0)</f>
        <v>18.557001321003963</v>
      </c>
      <c r="AC299" s="75">
        <f>PARAM!$C$26+MAX($G$9-CHOOSE(PARAM!$B$44,MAX(0,AD298*$F$1),0),0)*RATES!$L275/12+$H$9*(PARAM!$D$51/12)*RATES!$N275/100</f>
        <v>23.757548243985287</v>
      </c>
      <c r="AD299" s="16">
        <f t="shared" si="204"/>
        <v>632.83038995784182</v>
      </c>
      <c r="AE299" s="15">
        <f t="shared" si="179"/>
        <v>22.170849845882874</v>
      </c>
      <c r="AF299" s="75">
        <f>AE299*(1-PARAM!$C$27)*$I$10+(MOD($B299,60)=PARAM!$B$56)*($B299&gt;(60-PARAM!$B$56))*HLOOKUP(($B299+PARAM!$B$56)/12,Loyalty,2)*$F$1*MAX(AH298,0)</f>
        <v>18.557001321003963</v>
      </c>
      <c r="AG299" s="75">
        <f>PARAM!$C$26+MAX($G$10-CHOOSE(PARAM!$B$44,MAX(0,AH298*$F$1),0),0)*RATES!$L275/12+$H$10*(PARAM!$D$51/12)*RATES!$N275/100</f>
        <v>23.757548243985287</v>
      </c>
      <c r="AH299" s="16">
        <f t="shared" si="205"/>
        <v>632.83038995784182</v>
      </c>
      <c r="AI299" s="15">
        <f t="shared" si="180"/>
        <v>22.170849845882874</v>
      </c>
      <c r="AJ299" s="75">
        <f>AI299*(1-PARAM!$C$27)*$I$11+(MOD($B299,60)=PARAM!$B$56)*($B299&gt;(60-PARAM!$B$56))*HLOOKUP(($B299+PARAM!$B$56)/12,Loyalty,2)*$F$1*MAX(AL298,0)</f>
        <v>18.557001321003963</v>
      </c>
      <c r="AK299" s="75">
        <f>PARAM!$C$26+MAX($G$11-CHOOSE(PARAM!$B$44,MAX(0,AL298*$F$1),0),0)*RATES!$L275/12+$H$11*(PARAM!$D$51/12)*RATES!$N275/100</f>
        <v>23.757548243985287</v>
      </c>
      <c r="AL299" s="16">
        <f t="shared" si="206"/>
        <v>632.83038995784182</v>
      </c>
      <c r="AM299" s="15">
        <f t="shared" si="181"/>
        <v>22.170849845882874</v>
      </c>
      <c r="AN299" s="75">
        <f>AM299*(1-PARAM!$C$27)*$I$12+(MOD($B299,60)=PARAM!$B$56)*($B299&gt;(60-PARAM!$B$56))*HLOOKUP(($B299+PARAM!$B$56)/12,Loyalty,2)*$F$1*MAX(AP298,0)</f>
        <v>18.557001321003963</v>
      </c>
      <c r="AO299" s="75">
        <f>PARAM!$C$26+MAX($G$12-CHOOSE(PARAM!$B$44,MAX(0,AP298*$F$1),0),0)*RATES!$L275/12+$H$12*(PARAM!$D$51/12)*RATES!$N275/100</f>
        <v>23.757548243985287</v>
      </c>
      <c r="AP299" s="16">
        <f t="shared" si="207"/>
        <v>632.83038995784182</v>
      </c>
      <c r="AQ299" s="15">
        <f t="shared" si="182"/>
        <v>22.170849845882874</v>
      </c>
      <c r="AR299" s="75">
        <f>AQ299*(1-PARAM!$C$27)*$I$13+(MOD($B299,60)=PARAM!$B$56)*($B299&gt;(60-PARAM!$B$56))*HLOOKUP(($B299+PARAM!$B$56)/12,Loyalty,2)*$F$1*MAX(AT298,0)</f>
        <v>18.557001321003963</v>
      </c>
      <c r="AS299" s="75">
        <f>PARAM!$C$26+MAX($G$13-CHOOSE(PARAM!$B$44,MAX(0,AT298*$F$1),0),0)*RATES!$L275/12+$H$13*(PARAM!$D$51/12)*RATES!$N275/100</f>
        <v>23.757548243985287</v>
      </c>
      <c r="AT299" s="16">
        <f t="shared" si="208"/>
        <v>632.83038995784182</v>
      </c>
      <c r="AU299" s="15">
        <f t="shared" si="183"/>
        <v>22.170849845882874</v>
      </c>
      <c r="AV299" s="75">
        <f>AU299*(1-PARAM!$C$27)*$I$14+(MOD($B299,60)=PARAM!$B$56)*($B299&gt;(60-PARAM!$B$56))*HLOOKUP(($B299+PARAM!$B$56)/12,Loyalty,2)*$F$1*MAX(AX298,0)</f>
        <v>18.557001321003963</v>
      </c>
      <c r="AW299" s="75">
        <f>PARAM!$C$26+MAX($G$14-CHOOSE(PARAM!$B$44,MAX(0,AX298*$F$1),0),0)*RATES!$L275/12+$H$14*(PARAM!$D$51/12)*RATES!$N275/100</f>
        <v>23.757548243985287</v>
      </c>
      <c r="AX299" s="16">
        <f t="shared" si="209"/>
        <v>632.83038995784182</v>
      </c>
      <c r="AY299" s="15">
        <f t="shared" si="184"/>
        <v>22.170849845882874</v>
      </c>
      <c r="AZ299" s="75">
        <f>AY299*(1-PARAM!$C$27)*$I$15+(MOD($B299,60)=PARAM!$B$56)*($B299&gt;(60-PARAM!$B$56))*HLOOKUP(($B299+PARAM!$B$56)/12,Loyalty,2)*$F$1*MAX(BB298,0)</f>
        <v>18.557001321003963</v>
      </c>
      <c r="BA299" s="75">
        <f>PARAM!$C$26+MAX($G$15-CHOOSE(PARAM!$B$44,MAX(0,BB298*$F$1),0),0)*RATES!$L275/12+$H$15*(PARAM!$D$51/12)*RATES!$N275/100</f>
        <v>23.757548243985287</v>
      </c>
      <c r="BB299" s="16">
        <f t="shared" si="210"/>
        <v>632.83038995784182</v>
      </c>
      <c r="BC299" s="15">
        <f t="shared" si="185"/>
        <v>22.170849845882874</v>
      </c>
      <c r="BD299" s="75">
        <f>BC299*(1-PARAM!$C$27)*$I$16+(MOD($B299,60)=PARAM!$B$56)*($B299&gt;(60-PARAM!$B$56))*HLOOKUP(($B299+PARAM!$B$56)/12,Loyalty,2)*$F$1*MAX(BF298,0)</f>
        <v>18.557001321003963</v>
      </c>
      <c r="BE299" s="75">
        <f>PARAM!$C$26+MAX($G$16-CHOOSE(PARAM!$B$44,MAX(0,BF298*$F$1),0),0)*RATES!$L275/12+$H$16*(PARAM!$D$51/12)*RATES!$N275/100</f>
        <v>23.757548243985287</v>
      </c>
      <c r="BF299" s="16">
        <f t="shared" si="211"/>
        <v>632.83038995784182</v>
      </c>
      <c r="BG299" s="15">
        <f t="shared" si="186"/>
        <v>22.170849845882874</v>
      </c>
      <c r="BH299" s="75">
        <f>BG299*(1-PARAM!$C$27)*$I$17+(MOD($B299,60)=PARAM!$B$56)*($B299&gt;(60-PARAM!$B$56))*HLOOKUP(($B299+PARAM!$B$56)/12,Loyalty,2)*$F$1*MAX(BJ298,0)</f>
        <v>18.557001321003963</v>
      </c>
      <c r="BI299" s="75">
        <f>PARAM!$C$26+MAX($G$17-CHOOSE(PARAM!$B$44,MAX(0,BJ298*$F$1),0),0)*RATES!$L275/12+$H$17*(PARAM!$D$51/12)*RATES!$N275/100</f>
        <v>23.757548243985287</v>
      </c>
      <c r="BJ299" s="16">
        <f t="shared" si="212"/>
        <v>632.83038995784182</v>
      </c>
      <c r="BK299" s="15">
        <f t="shared" si="187"/>
        <v>22.170849845882874</v>
      </c>
      <c r="BL299" s="75">
        <f>BK299*(1-PARAM!$C$27)*$I$18+(MOD($B299,60)=PARAM!$B$56)*($B299&gt;(60-PARAM!$B$56))*HLOOKUP(($B299+PARAM!$B$56)/12,Loyalty,2)*$F$1*MAX(BN298,0)</f>
        <v>18.557001321003963</v>
      </c>
      <c r="BM299" s="75">
        <f>PARAM!$C$26+MAX($G$18-CHOOSE(PARAM!$B$44,MAX(0,BN298*$F$1),0),0)*RATES!$L275/12+$H$18*(PARAM!$D$51/12)*RATES!$N275/100</f>
        <v>23.757548243985287</v>
      </c>
      <c r="BN299" s="16">
        <f t="shared" si="213"/>
        <v>632.83038995784182</v>
      </c>
      <c r="BO299" s="15">
        <f t="shared" si="188"/>
        <v>22.170849845882874</v>
      </c>
      <c r="BP299" s="75">
        <f>BO299*(1-PARAM!$C$27)*$I$19+(MOD($B299,60)=PARAM!$B$56)*($B299&gt;(60-PARAM!$B$56))*HLOOKUP(($B299+PARAM!$B$56)/12,Loyalty,2)*$F$1*MAX(BR298,0)</f>
        <v>18.557001321003963</v>
      </c>
      <c r="BQ299" s="75">
        <f>PARAM!$C$26+MAX($G$19-CHOOSE(PARAM!$B$44,MAX(0,BR298*$F$1),0),0)*RATES!$L275/12+$H$19*(PARAM!$D$51/12)*RATES!$N275/100</f>
        <v>23.757548243985287</v>
      </c>
      <c r="BR299" s="16">
        <f t="shared" si="214"/>
        <v>632.83038995784182</v>
      </c>
      <c r="BS299" s="15">
        <f t="shared" si="189"/>
        <v>22.170849845882874</v>
      </c>
      <c r="BT299" s="75">
        <f>BS299*(1-PARAM!$C$27)*$I$20+(MOD($B299,60)=PARAM!$B$56)*($B299&gt;(60-PARAM!$B$56))*HLOOKUP(($B299+PARAM!$B$56)/12,Loyalty,2)*$F$1*MAX(BV298,0)</f>
        <v>18.557001321003963</v>
      </c>
      <c r="BU299" s="75">
        <f>PARAM!$C$26+MAX($G$20-CHOOSE(PARAM!$B$44,MAX(0,BV298*$F$1),0),0)*RATES!$L275/12+$H$20*(PARAM!$D$51/12)*RATES!$N275/100</f>
        <v>23.757548243985287</v>
      </c>
      <c r="BV299" s="16">
        <f t="shared" si="215"/>
        <v>632.83038995784182</v>
      </c>
      <c r="BW299" s="15">
        <f t="shared" si="190"/>
        <v>22.170849845882874</v>
      </c>
      <c r="BX299" s="75">
        <f>BW299*(1-PARAM!$C$27)*$I$21+(MOD($B299,60)=PARAM!$B$56)*($B299&gt;(60-PARAM!$B$56))*HLOOKUP(($B299+PARAM!$B$56)/12,Loyalty,2)*$F$1*MAX(BZ298,0)</f>
        <v>18.557001321003963</v>
      </c>
      <c r="BY299" s="75">
        <f>PARAM!$C$26+MAX($G$21-CHOOSE(PARAM!$B$44,MAX(0,BZ298*$F$1),0),0)*RATES!$L275/12+$H$21*(PARAM!$D$51/12)*RATES!$N275/100</f>
        <v>23.757548243985287</v>
      </c>
      <c r="BZ299" s="16">
        <f t="shared" si="216"/>
        <v>632.83038995784182</v>
      </c>
      <c r="CA299" s="15">
        <f t="shared" si="191"/>
        <v>22.170849845882874</v>
      </c>
      <c r="CB299" s="75">
        <f>CA299*(1-PARAM!$C$27)*$I$22+(MOD($B299,60)=PARAM!$B$56)*($B299&gt;(60-PARAM!$B$56))*HLOOKUP(($B299+PARAM!$B$56)/12,Loyalty,2)*$F$1*MAX(CD298,0)</f>
        <v>18.557001321003963</v>
      </c>
      <c r="CC299" s="75">
        <f>PARAM!$C$26+MAX($G$22-CHOOSE(PARAM!$B$44,MAX(0,CD298*$F$1),0),0)*RATES!$L275/12+$H$22*(PARAM!$D$51/12)*RATES!$N275/100</f>
        <v>23.757548243985287</v>
      </c>
      <c r="CD299" s="16">
        <f t="shared" si="217"/>
        <v>632.83038995784182</v>
      </c>
      <c r="CE299" s="33">
        <f>IF(0=MOD(B299,12/PARAM!$D$51),1,0)</f>
        <v>1</v>
      </c>
      <c r="CF299" s="15">
        <f t="shared" si="192"/>
        <v>0</v>
      </c>
      <c r="CG299" s="75">
        <f>CF299*(1-PARAM!$C$27)*$R$3+(MOD($B299/12,5)=0)*($B299&gt;60)*HLOOKUP($B299/12,Loyalty,2)*$F$1*MAX(CI298,0)</f>
        <v>0</v>
      </c>
      <c r="CH299" s="75">
        <f>PARAM!$C$26+MAX($P$3-CHOOSE(PARAM!$B$44,MAX(0,CI298*$F$1),0),0)*RATES!$L275/12+$Q$3*(PARAM!$D$51/12)*RATES!$N275/100</f>
        <v>24</v>
      </c>
      <c r="CI299" s="16">
        <f>IF(CI298&gt;0,CI298*PARAM!$C$53,CI298)+CG299-CH299</f>
        <v>-4271.4999999999927</v>
      </c>
      <c r="CJ299" s="15">
        <f t="shared" si="218"/>
        <v>0</v>
      </c>
      <c r="CK299" s="75">
        <f>CJ299*(1-PARAM!$C$27)*$R$4+(MOD($B299/12,5)=0)*($B299&gt;60)*HLOOKUP($B299/12,Loyalty,2)*$F$1*MAX(CM298,0)</f>
        <v>0</v>
      </c>
      <c r="CL299" s="75">
        <f>PARAM!$C$26+MAX($P$4-CHOOSE(PARAM!$B$44,MAX(0,CM298*$F$1),0),0)*RATES!$L275/12+$Q$4*(PARAM!$D$51/12)*RATES!$N275/100</f>
        <v>24</v>
      </c>
      <c r="CM299" s="16">
        <f>IF(CM298&gt;0,CM298*PARAM!$C$53,CM298)+CK299-CL299</f>
        <v>-4271.4999999999927</v>
      </c>
      <c r="CO299" s="176"/>
    </row>
    <row r="300" spans="1:93" x14ac:dyDescent="0.2">
      <c r="A300" t="b">
        <f t="shared" si="193"/>
        <v>1</v>
      </c>
      <c r="B300" s="33">
        <v>273</v>
      </c>
      <c r="C300" s="15">
        <f t="shared" si="194"/>
        <v>20.081305947392778</v>
      </c>
      <c r="D300" s="75">
        <f>C300*(1-PARAM!$C$27)*$I$3+(MOD($B300,60)=PARAM!$B$56)*($B300&gt;(60-PARAM!$B$56))*HLOOKUP(($B300+PARAM!$B$56)/12,Loyalty,2)*$F$1*MAX(F299,0)</f>
        <v>16.808053077967756</v>
      </c>
      <c r="E300" s="75">
        <f>PARAM!$C$26+MAX($G$3-CHOOSE(PARAM!$B$44,MAX(0,F299*$F$1),0),0)*RATES!$L276/12+$H$3*(PARAM!$D$51/12)*RATES!$N276/100</f>
        <v>23.945540240475957</v>
      </c>
      <c r="F300" s="16">
        <f t="shared" si="195"/>
        <v>136.17766947970898</v>
      </c>
      <c r="G300" s="15">
        <f t="shared" si="196"/>
        <v>22.035289406060361</v>
      </c>
      <c r="H300" s="75">
        <f>G300*(1-PARAM!$C$27)*$I$4+(MOD($B300,60)=PARAM!$B$56)*($B300&gt;(60-PARAM!$B$56))*HLOOKUP(($B300+PARAM!$B$56)/12,Loyalty,2)*$F$1*MAX(J299,0)</f>
        <v>18.443537232872522</v>
      </c>
      <c r="I300" s="75">
        <f>PARAM!$C$26+MAX($G$4-CHOOSE(PARAM!$B$44,MAX(0,J299*$F$1),0),0)*RATES!$L276/12+$H$4*(PARAM!$D$51/12)*RATES!$N276/100</f>
        <v>23.77159845417631</v>
      </c>
      <c r="J300" s="16">
        <f t="shared" si="197"/>
        <v>595.72863831472364</v>
      </c>
      <c r="K300" s="15">
        <f t="shared" si="198"/>
        <v>22.170849845882874</v>
      </c>
      <c r="L300" s="75">
        <f>K300*(1-PARAM!$C$27)*$I$5+(MOD($B300,60)=PARAM!$B$56)*($B300&gt;(60-PARAM!$B$56))*HLOOKUP(($B300+PARAM!$B$56)/12,Loyalty,2)*$F$1*MAX(N299,0)</f>
        <v>18.557001321003963</v>
      </c>
      <c r="M300" s="75">
        <f>PARAM!$C$26+MAX($G$5-CHOOSE(PARAM!$B$44,MAX(0,N299*$F$1),0),0)*RATES!$L276/12+$H$5*(PARAM!$D$51/12)*RATES!$N276/100</f>
        <v>23.75952445181602</v>
      </c>
      <c r="N300" s="16">
        <f t="shared" si="199"/>
        <v>627.62786682702983</v>
      </c>
      <c r="O300" s="15">
        <f t="shared" si="200"/>
        <v>22.170849845882874</v>
      </c>
      <c r="P300" s="75">
        <f>O300*(1-PARAM!$C$27)*$I$6+(MOD($B300,60)=PARAM!$B$56)*($B300&gt;(60-PARAM!$B$56))*HLOOKUP(($B300+PARAM!$B$56)/12,Loyalty,2)*$F$1*MAX(R299,0)</f>
        <v>18.557001321003963</v>
      </c>
      <c r="Q300" s="75">
        <f>PARAM!$C$26+MAX($G$6-CHOOSE(PARAM!$B$44,MAX(0,R299*$F$1),0),0)*RATES!$L276/12+$H$6*(PARAM!$D$51/12)*RATES!$N276/100</f>
        <v>23.75952445181602</v>
      </c>
      <c r="R300" s="16">
        <f t="shared" si="201"/>
        <v>627.62786682702983</v>
      </c>
      <c r="S300" s="15">
        <f t="shared" si="176"/>
        <v>22.170849845882874</v>
      </c>
      <c r="T300" s="75">
        <f>S300*(1-PARAM!$C$27)*$I$7+(MOD($B300,60)=PARAM!$B$56)*($B300&gt;(60-PARAM!$B$56))*HLOOKUP(($B300+PARAM!$B$56)/12,Loyalty,2)*$F$1*MAX(V299,0)</f>
        <v>18.557001321003963</v>
      </c>
      <c r="U300" s="75">
        <f>PARAM!$C$26+MAX($G$7-CHOOSE(PARAM!$B$44,MAX(0,V299*$F$1),0),0)*RATES!$L276/12+$H$7*(PARAM!$D$51/12)*RATES!$N276/100</f>
        <v>23.75952445181602</v>
      </c>
      <c r="V300" s="16">
        <f t="shared" si="202"/>
        <v>627.62786682702983</v>
      </c>
      <c r="W300" s="15">
        <f t="shared" si="177"/>
        <v>22.170849845882874</v>
      </c>
      <c r="X300" s="75">
        <f>W300*(1-PARAM!$C$27)*$I$8+(MOD($B300,60)=PARAM!$B$56)*($B300&gt;(60-PARAM!$B$56))*HLOOKUP(($B300+PARAM!$B$56)/12,Loyalty,2)*$F$1*MAX(Z299,0)</f>
        <v>18.557001321003963</v>
      </c>
      <c r="Y300" s="75">
        <f>PARAM!$C$26+MAX($G$8-CHOOSE(PARAM!$B$44,MAX(0,Z299*$F$1),0),0)*RATES!$L276/12+$H$8*(PARAM!$D$51/12)*RATES!$N276/100</f>
        <v>23.75952445181602</v>
      </c>
      <c r="Z300" s="16">
        <f t="shared" si="203"/>
        <v>627.62786682702983</v>
      </c>
      <c r="AA300" s="15">
        <f t="shared" si="178"/>
        <v>22.170849845882874</v>
      </c>
      <c r="AB300" s="75">
        <f>AA300*(1-PARAM!$C$27)*$I$9+(MOD($B300,60)=PARAM!$B$56)*($B300&gt;(60-PARAM!$B$56))*HLOOKUP(($B300+PARAM!$B$56)/12,Loyalty,2)*$F$1*MAX(AD299,0)</f>
        <v>18.557001321003963</v>
      </c>
      <c r="AC300" s="75">
        <f>PARAM!$C$26+MAX($G$9-CHOOSE(PARAM!$B$44,MAX(0,AD299*$F$1),0),0)*RATES!$L276/12+$H$9*(PARAM!$D$51/12)*RATES!$N276/100</f>
        <v>23.75952445181602</v>
      </c>
      <c r="AD300" s="16">
        <f t="shared" si="204"/>
        <v>627.62786682702983</v>
      </c>
      <c r="AE300" s="15">
        <f t="shared" si="179"/>
        <v>22.170849845882874</v>
      </c>
      <c r="AF300" s="75">
        <f>AE300*(1-PARAM!$C$27)*$I$10+(MOD($B300,60)=PARAM!$B$56)*($B300&gt;(60-PARAM!$B$56))*HLOOKUP(($B300+PARAM!$B$56)/12,Loyalty,2)*$F$1*MAX(AH299,0)</f>
        <v>18.557001321003963</v>
      </c>
      <c r="AG300" s="75">
        <f>PARAM!$C$26+MAX($G$10-CHOOSE(PARAM!$B$44,MAX(0,AH299*$F$1),0),0)*RATES!$L276/12+$H$10*(PARAM!$D$51/12)*RATES!$N276/100</f>
        <v>23.75952445181602</v>
      </c>
      <c r="AH300" s="16">
        <f t="shared" si="205"/>
        <v>627.62786682702983</v>
      </c>
      <c r="AI300" s="15">
        <f t="shared" si="180"/>
        <v>22.170849845882874</v>
      </c>
      <c r="AJ300" s="75">
        <f>AI300*(1-PARAM!$C$27)*$I$11+(MOD($B300,60)=PARAM!$B$56)*($B300&gt;(60-PARAM!$B$56))*HLOOKUP(($B300+PARAM!$B$56)/12,Loyalty,2)*$F$1*MAX(AL299,0)</f>
        <v>18.557001321003963</v>
      </c>
      <c r="AK300" s="75">
        <f>PARAM!$C$26+MAX($G$11-CHOOSE(PARAM!$B$44,MAX(0,AL299*$F$1),0),0)*RATES!$L276/12+$H$11*(PARAM!$D$51/12)*RATES!$N276/100</f>
        <v>23.75952445181602</v>
      </c>
      <c r="AL300" s="16">
        <f t="shared" si="206"/>
        <v>627.62786682702983</v>
      </c>
      <c r="AM300" s="15">
        <f t="shared" si="181"/>
        <v>22.170849845882874</v>
      </c>
      <c r="AN300" s="75">
        <f>AM300*(1-PARAM!$C$27)*$I$12+(MOD($B300,60)=PARAM!$B$56)*($B300&gt;(60-PARAM!$B$56))*HLOOKUP(($B300+PARAM!$B$56)/12,Loyalty,2)*$F$1*MAX(AP299,0)</f>
        <v>18.557001321003963</v>
      </c>
      <c r="AO300" s="75">
        <f>PARAM!$C$26+MAX($G$12-CHOOSE(PARAM!$B$44,MAX(0,AP299*$F$1),0),0)*RATES!$L276/12+$H$12*(PARAM!$D$51/12)*RATES!$N276/100</f>
        <v>23.75952445181602</v>
      </c>
      <c r="AP300" s="16">
        <f t="shared" si="207"/>
        <v>627.62786682702983</v>
      </c>
      <c r="AQ300" s="15">
        <f t="shared" si="182"/>
        <v>22.170849845882874</v>
      </c>
      <c r="AR300" s="75">
        <f>AQ300*(1-PARAM!$C$27)*$I$13+(MOD($B300,60)=PARAM!$B$56)*($B300&gt;(60-PARAM!$B$56))*HLOOKUP(($B300+PARAM!$B$56)/12,Loyalty,2)*$F$1*MAX(AT299,0)</f>
        <v>18.557001321003963</v>
      </c>
      <c r="AS300" s="75">
        <f>PARAM!$C$26+MAX($G$13-CHOOSE(PARAM!$B$44,MAX(0,AT299*$F$1),0),0)*RATES!$L276/12+$H$13*(PARAM!$D$51/12)*RATES!$N276/100</f>
        <v>23.75952445181602</v>
      </c>
      <c r="AT300" s="16">
        <f t="shared" si="208"/>
        <v>627.62786682702983</v>
      </c>
      <c r="AU300" s="15">
        <f t="shared" si="183"/>
        <v>22.170849845882874</v>
      </c>
      <c r="AV300" s="75">
        <f>AU300*(1-PARAM!$C$27)*$I$14+(MOD($B300,60)=PARAM!$B$56)*($B300&gt;(60-PARAM!$B$56))*HLOOKUP(($B300+PARAM!$B$56)/12,Loyalty,2)*$F$1*MAX(AX299,0)</f>
        <v>18.557001321003963</v>
      </c>
      <c r="AW300" s="75">
        <f>PARAM!$C$26+MAX($G$14-CHOOSE(PARAM!$B$44,MAX(0,AX299*$F$1),0),0)*RATES!$L276/12+$H$14*(PARAM!$D$51/12)*RATES!$N276/100</f>
        <v>23.75952445181602</v>
      </c>
      <c r="AX300" s="16">
        <f t="shared" si="209"/>
        <v>627.62786682702983</v>
      </c>
      <c r="AY300" s="15">
        <f t="shared" si="184"/>
        <v>22.170849845882874</v>
      </c>
      <c r="AZ300" s="75">
        <f>AY300*(1-PARAM!$C$27)*$I$15+(MOD($B300,60)=PARAM!$B$56)*($B300&gt;(60-PARAM!$B$56))*HLOOKUP(($B300+PARAM!$B$56)/12,Loyalty,2)*$F$1*MAX(BB299,0)</f>
        <v>18.557001321003963</v>
      </c>
      <c r="BA300" s="75">
        <f>PARAM!$C$26+MAX($G$15-CHOOSE(PARAM!$B$44,MAX(0,BB299*$F$1),0),0)*RATES!$L276/12+$H$15*(PARAM!$D$51/12)*RATES!$N276/100</f>
        <v>23.75952445181602</v>
      </c>
      <c r="BB300" s="16">
        <f t="shared" si="210"/>
        <v>627.62786682702983</v>
      </c>
      <c r="BC300" s="15">
        <f t="shared" si="185"/>
        <v>22.170849845882874</v>
      </c>
      <c r="BD300" s="75">
        <f>BC300*(1-PARAM!$C$27)*$I$16+(MOD($B300,60)=PARAM!$B$56)*($B300&gt;(60-PARAM!$B$56))*HLOOKUP(($B300+PARAM!$B$56)/12,Loyalty,2)*$F$1*MAX(BF299,0)</f>
        <v>18.557001321003963</v>
      </c>
      <c r="BE300" s="75">
        <f>PARAM!$C$26+MAX($G$16-CHOOSE(PARAM!$B$44,MAX(0,BF299*$F$1),0),0)*RATES!$L276/12+$H$16*(PARAM!$D$51/12)*RATES!$N276/100</f>
        <v>23.75952445181602</v>
      </c>
      <c r="BF300" s="16">
        <f t="shared" si="211"/>
        <v>627.62786682702983</v>
      </c>
      <c r="BG300" s="15">
        <f t="shared" si="186"/>
        <v>22.170849845882874</v>
      </c>
      <c r="BH300" s="75">
        <f>BG300*(1-PARAM!$C$27)*$I$17+(MOD($B300,60)=PARAM!$B$56)*($B300&gt;(60-PARAM!$B$56))*HLOOKUP(($B300+PARAM!$B$56)/12,Loyalty,2)*$F$1*MAX(BJ299,0)</f>
        <v>18.557001321003963</v>
      </c>
      <c r="BI300" s="75">
        <f>PARAM!$C$26+MAX($G$17-CHOOSE(PARAM!$B$44,MAX(0,BJ299*$F$1),0),0)*RATES!$L276/12+$H$17*(PARAM!$D$51/12)*RATES!$N276/100</f>
        <v>23.75952445181602</v>
      </c>
      <c r="BJ300" s="16">
        <f t="shared" si="212"/>
        <v>627.62786682702983</v>
      </c>
      <c r="BK300" s="15">
        <f t="shared" si="187"/>
        <v>22.170849845882874</v>
      </c>
      <c r="BL300" s="75">
        <f>BK300*(1-PARAM!$C$27)*$I$18+(MOD($B300,60)=PARAM!$B$56)*($B300&gt;(60-PARAM!$B$56))*HLOOKUP(($B300+PARAM!$B$56)/12,Loyalty,2)*$F$1*MAX(BN299,0)</f>
        <v>18.557001321003963</v>
      </c>
      <c r="BM300" s="75">
        <f>PARAM!$C$26+MAX($G$18-CHOOSE(PARAM!$B$44,MAX(0,BN299*$F$1),0),0)*RATES!$L276/12+$H$18*(PARAM!$D$51/12)*RATES!$N276/100</f>
        <v>23.75952445181602</v>
      </c>
      <c r="BN300" s="16">
        <f t="shared" si="213"/>
        <v>627.62786682702983</v>
      </c>
      <c r="BO300" s="15">
        <f t="shared" si="188"/>
        <v>22.170849845882874</v>
      </c>
      <c r="BP300" s="75">
        <f>BO300*(1-PARAM!$C$27)*$I$19+(MOD($B300,60)=PARAM!$B$56)*($B300&gt;(60-PARAM!$B$56))*HLOOKUP(($B300+PARAM!$B$56)/12,Loyalty,2)*$F$1*MAX(BR299,0)</f>
        <v>18.557001321003963</v>
      </c>
      <c r="BQ300" s="75">
        <f>PARAM!$C$26+MAX($G$19-CHOOSE(PARAM!$B$44,MAX(0,BR299*$F$1),0),0)*RATES!$L276/12+$H$19*(PARAM!$D$51/12)*RATES!$N276/100</f>
        <v>23.75952445181602</v>
      </c>
      <c r="BR300" s="16">
        <f t="shared" si="214"/>
        <v>627.62786682702983</v>
      </c>
      <c r="BS300" s="15">
        <f t="shared" si="189"/>
        <v>22.170849845882874</v>
      </c>
      <c r="BT300" s="75">
        <f>BS300*(1-PARAM!$C$27)*$I$20+(MOD($B300,60)=PARAM!$B$56)*($B300&gt;(60-PARAM!$B$56))*HLOOKUP(($B300+PARAM!$B$56)/12,Loyalty,2)*$F$1*MAX(BV299,0)</f>
        <v>18.557001321003963</v>
      </c>
      <c r="BU300" s="75">
        <f>PARAM!$C$26+MAX($G$20-CHOOSE(PARAM!$B$44,MAX(0,BV299*$F$1),0),0)*RATES!$L276/12+$H$20*(PARAM!$D$51/12)*RATES!$N276/100</f>
        <v>23.75952445181602</v>
      </c>
      <c r="BV300" s="16">
        <f t="shared" si="215"/>
        <v>627.62786682702983</v>
      </c>
      <c r="BW300" s="15">
        <f t="shared" si="190"/>
        <v>22.170849845882874</v>
      </c>
      <c r="BX300" s="75">
        <f>BW300*(1-PARAM!$C$27)*$I$21+(MOD($B300,60)=PARAM!$B$56)*($B300&gt;(60-PARAM!$B$56))*HLOOKUP(($B300+PARAM!$B$56)/12,Loyalty,2)*$F$1*MAX(BZ299,0)</f>
        <v>18.557001321003963</v>
      </c>
      <c r="BY300" s="75">
        <f>PARAM!$C$26+MAX($G$21-CHOOSE(PARAM!$B$44,MAX(0,BZ299*$F$1),0),0)*RATES!$L276/12+$H$21*(PARAM!$D$51/12)*RATES!$N276/100</f>
        <v>23.75952445181602</v>
      </c>
      <c r="BZ300" s="16">
        <f t="shared" si="216"/>
        <v>627.62786682702983</v>
      </c>
      <c r="CA300" s="15">
        <f t="shared" si="191"/>
        <v>22.170849845882874</v>
      </c>
      <c r="CB300" s="75">
        <f>CA300*(1-PARAM!$C$27)*$I$22+(MOD($B300,60)=PARAM!$B$56)*($B300&gt;(60-PARAM!$B$56))*HLOOKUP(($B300+PARAM!$B$56)/12,Loyalty,2)*$F$1*MAX(CD299,0)</f>
        <v>18.557001321003963</v>
      </c>
      <c r="CC300" s="75">
        <f>PARAM!$C$26+MAX($G$22-CHOOSE(PARAM!$B$44,MAX(0,CD299*$F$1),0),0)*RATES!$L276/12+$H$22*(PARAM!$D$51/12)*RATES!$N276/100</f>
        <v>23.75952445181602</v>
      </c>
      <c r="CD300" s="16">
        <f t="shared" si="217"/>
        <v>627.62786682702983</v>
      </c>
      <c r="CE300" s="33">
        <f>IF(0=MOD(B300,12/PARAM!$D$51),1,0)</f>
        <v>1</v>
      </c>
      <c r="CF300" s="15">
        <f t="shared" si="192"/>
        <v>0</v>
      </c>
      <c r="CG300" s="75">
        <f>CF300*(1-PARAM!$C$27)*$R$3+(MOD($B300/12,5)=0)*($B300&gt;60)*HLOOKUP($B300/12,Loyalty,2)*$F$1*MAX(CI299,0)</f>
        <v>0</v>
      </c>
      <c r="CH300" s="75">
        <f>PARAM!$C$26+MAX($P$3-CHOOSE(PARAM!$B$44,MAX(0,CI299*$F$1),0),0)*RATES!$L276/12+$Q$3*(PARAM!$D$51/12)*RATES!$N276/100</f>
        <v>24</v>
      </c>
      <c r="CI300" s="16">
        <f>IF(CI299&gt;0,CI299*PARAM!$C$53,CI299)+CG300-CH300</f>
        <v>-4295.4999999999927</v>
      </c>
      <c r="CJ300" s="15">
        <f t="shared" si="218"/>
        <v>0</v>
      </c>
      <c r="CK300" s="75">
        <f>CJ300*(1-PARAM!$C$27)*$R$4+(MOD($B300/12,5)=0)*($B300&gt;60)*HLOOKUP($B300/12,Loyalty,2)*$F$1*MAX(CM299,0)</f>
        <v>0</v>
      </c>
      <c r="CL300" s="75">
        <f>PARAM!$C$26+MAX($P$4-CHOOSE(PARAM!$B$44,MAX(0,CM299*$F$1),0),0)*RATES!$L276/12+$Q$4*(PARAM!$D$51/12)*RATES!$N276/100</f>
        <v>24</v>
      </c>
      <c r="CM300" s="16">
        <f>IF(CM299&gt;0,CM299*PARAM!$C$53,CM299)+CK300-CL300</f>
        <v>-4295.4999999999927</v>
      </c>
      <c r="CO300" s="176"/>
    </row>
    <row r="301" spans="1:93" x14ac:dyDescent="0.2">
      <c r="A301" t="b">
        <f t="shared" si="193"/>
        <v>1</v>
      </c>
      <c r="B301" s="33">
        <v>274</v>
      </c>
      <c r="C301" s="15">
        <f t="shared" si="194"/>
        <v>20.081305947392778</v>
      </c>
      <c r="D301" s="75">
        <f>C301*(1-PARAM!$C$27)*$I$3+(MOD($B301,60)=PARAM!$B$56)*($B301&gt;(60-PARAM!$B$56))*HLOOKUP(($B301+PARAM!$B$56)/12,Loyalty,2)*$F$1*MAX(F300,0)</f>
        <v>16.808053077967756</v>
      </c>
      <c r="E301" s="75">
        <f>PARAM!$C$26+MAX($G$3-CHOOSE(PARAM!$B$44,MAX(0,F300*$F$1),0),0)*RATES!$L277/12+$H$3*(PARAM!$D$51/12)*RATES!$N277/100</f>
        <v>23.94825248559771</v>
      </c>
      <c r="F301" s="16">
        <f t="shared" si="195"/>
        <v>129.03747007207903</v>
      </c>
      <c r="G301" s="15">
        <f t="shared" si="196"/>
        <v>22.035289406060361</v>
      </c>
      <c r="H301" s="75">
        <f>G301*(1-PARAM!$C$27)*$I$4+(MOD($B301,60)=PARAM!$B$56)*($B301&gt;(60-PARAM!$B$56))*HLOOKUP(($B301+PARAM!$B$56)/12,Loyalty,2)*$F$1*MAX(J300,0)</f>
        <v>18.443537232872522</v>
      </c>
      <c r="I301" s="75">
        <f>PARAM!$C$26+MAX($G$4-CHOOSE(PARAM!$B$44,MAX(0,J300*$F$1),0),0)*RATES!$L277/12+$H$4*(PARAM!$D$51/12)*RATES!$N277/100</f>
        <v>23.773623117440405</v>
      </c>
      <c r="J301" s="16">
        <f t="shared" si="197"/>
        <v>590.39855243015575</v>
      </c>
      <c r="K301" s="15">
        <f t="shared" si="198"/>
        <v>22.170849845882874</v>
      </c>
      <c r="L301" s="75">
        <f>K301*(1-PARAM!$C$27)*$I$5+(MOD($B301,60)=PARAM!$B$56)*($B301&gt;(60-PARAM!$B$56))*HLOOKUP(($B301+PARAM!$B$56)/12,Loyalty,2)*$F$1*MAX(N300,0)</f>
        <v>18.557001321003963</v>
      </c>
      <c r="M301" s="75">
        <f>PARAM!$C$26+MAX($G$5-CHOOSE(PARAM!$B$44,MAX(0,N300*$F$1),0),0)*RATES!$L277/12+$H$5*(PARAM!$D$51/12)*RATES!$N277/100</f>
        <v>23.761501410605728</v>
      </c>
      <c r="N301" s="16">
        <f t="shared" si="199"/>
        <v>622.42336673742807</v>
      </c>
      <c r="O301" s="15">
        <f t="shared" si="200"/>
        <v>22.170849845882874</v>
      </c>
      <c r="P301" s="75">
        <f>O301*(1-PARAM!$C$27)*$I$6+(MOD($B301,60)=PARAM!$B$56)*($B301&gt;(60-PARAM!$B$56))*HLOOKUP(($B301+PARAM!$B$56)/12,Loyalty,2)*$F$1*MAX(R300,0)</f>
        <v>18.557001321003963</v>
      </c>
      <c r="Q301" s="75">
        <f>PARAM!$C$26+MAX($G$6-CHOOSE(PARAM!$B$44,MAX(0,R300*$F$1),0),0)*RATES!$L277/12+$H$6*(PARAM!$D$51/12)*RATES!$N277/100</f>
        <v>23.761501410605728</v>
      </c>
      <c r="R301" s="16">
        <f t="shared" si="201"/>
        <v>622.42336673742807</v>
      </c>
      <c r="S301" s="15">
        <f t="shared" si="176"/>
        <v>22.170849845882874</v>
      </c>
      <c r="T301" s="75">
        <f>S301*(1-PARAM!$C$27)*$I$7+(MOD($B301,60)=PARAM!$B$56)*($B301&gt;(60-PARAM!$B$56))*HLOOKUP(($B301+PARAM!$B$56)/12,Loyalty,2)*$F$1*MAX(V300,0)</f>
        <v>18.557001321003963</v>
      </c>
      <c r="U301" s="75">
        <f>PARAM!$C$26+MAX($G$7-CHOOSE(PARAM!$B$44,MAX(0,V300*$F$1),0),0)*RATES!$L277/12+$H$7*(PARAM!$D$51/12)*RATES!$N277/100</f>
        <v>23.761501410605728</v>
      </c>
      <c r="V301" s="16">
        <f t="shared" si="202"/>
        <v>622.42336673742807</v>
      </c>
      <c r="W301" s="15">
        <f t="shared" si="177"/>
        <v>22.170849845882874</v>
      </c>
      <c r="X301" s="75">
        <f>W301*(1-PARAM!$C$27)*$I$8+(MOD($B301,60)=PARAM!$B$56)*($B301&gt;(60-PARAM!$B$56))*HLOOKUP(($B301+PARAM!$B$56)/12,Loyalty,2)*$F$1*MAX(Z300,0)</f>
        <v>18.557001321003963</v>
      </c>
      <c r="Y301" s="75">
        <f>PARAM!$C$26+MAX($G$8-CHOOSE(PARAM!$B$44,MAX(0,Z300*$F$1),0),0)*RATES!$L277/12+$H$8*(PARAM!$D$51/12)*RATES!$N277/100</f>
        <v>23.761501410605728</v>
      </c>
      <c r="Z301" s="16">
        <f t="shared" si="203"/>
        <v>622.42336673742807</v>
      </c>
      <c r="AA301" s="15">
        <f t="shared" si="178"/>
        <v>22.170849845882874</v>
      </c>
      <c r="AB301" s="75">
        <f>AA301*(1-PARAM!$C$27)*$I$9+(MOD($B301,60)=PARAM!$B$56)*($B301&gt;(60-PARAM!$B$56))*HLOOKUP(($B301+PARAM!$B$56)/12,Loyalty,2)*$F$1*MAX(AD300,0)</f>
        <v>18.557001321003963</v>
      </c>
      <c r="AC301" s="75">
        <f>PARAM!$C$26+MAX($G$9-CHOOSE(PARAM!$B$44,MAX(0,AD300*$F$1),0),0)*RATES!$L277/12+$H$9*(PARAM!$D$51/12)*RATES!$N277/100</f>
        <v>23.761501410605728</v>
      </c>
      <c r="AD301" s="16">
        <f t="shared" si="204"/>
        <v>622.42336673742807</v>
      </c>
      <c r="AE301" s="15">
        <f t="shared" si="179"/>
        <v>22.170849845882874</v>
      </c>
      <c r="AF301" s="75">
        <f>AE301*(1-PARAM!$C$27)*$I$10+(MOD($B301,60)=PARAM!$B$56)*($B301&gt;(60-PARAM!$B$56))*HLOOKUP(($B301+PARAM!$B$56)/12,Loyalty,2)*$F$1*MAX(AH300,0)</f>
        <v>18.557001321003963</v>
      </c>
      <c r="AG301" s="75">
        <f>PARAM!$C$26+MAX($G$10-CHOOSE(PARAM!$B$44,MAX(0,AH300*$F$1),0),0)*RATES!$L277/12+$H$10*(PARAM!$D$51/12)*RATES!$N277/100</f>
        <v>23.761501410605728</v>
      </c>
      <c r="AH301" s="16">
        <f t="shared" si="205"/>
        <v>622.42336673742807</v>
      </c>
      <c r="AI301" s="15">
        <f t="shared" si="180"/>
        <v>22.170849845882874</v>
      </c>
      <c r="AJ301" s="75">
        <f>AI301*(1-PARAM!$C$27)*$I$11+(MOD($B301,60)=PARAM!$B$56)*($B301&gt;(60-PARAM!$B$56))*HLOOKUP(($B301+PARAM!$B$56)/12,Loyalty,2)*$F$1*MAX(AL300,0)</f>
        <v>18.557001321003963</v>
      </c>
      <c r="AK301" s="75">
        <f>PARAM!$C$26+MAX($G$11-CHOOSE(PARAM!$B$44,MAX(0,AL300*$F$1),0),0)*RATES!$L277/12+$H$11*(PARAM!$D$51/12)*RATES!$N277/100</f>
        <v>23.761501410605728</v>
      </c>
      <c r="AL301" s="16">
        <f t="shared" si="206"/>
        <v>622.42336673742807</v>
      </c>
      <c r="AM301" s="15">
        <f t="shared" si="181"/>
        <v>22.170849845882874</v>
      </c>
      <c r="AN301" s="75">
        <f>AM301*(1-PARAM!$C$27)*$I$12+(MOD($B301,60)=PARAM!$B$56)*($B301&gt;(60-PARAM!$B$56))*HLOOKUP(($B301+PARAM!$B$56)/12,Loyalty,2)*$F$1*MAX(AP300,0)</f>
        <v>18.557001321003963</v>
      </c>
      <c r="AO301" s="75">
        <f>PARAM!$C$26+MAX($G$12-CHOOSE(PARAM!$B$44,MAX(0,AP300*$F$1),0),0)*RATES!$L277/12+$H$12*(PARAM!$D$51/12)*RATES!$N277/100</f>
        <v>23.761501410605728</v>
      </c>
      <c r="AP301" s="16">
        <f t="shared" si="207"/>
        <v>622.42336673742807</v>
      </c>
      <c r="AQ301" s="15">
        <f t="shared" si="182"/>
        <v>22.170849845882874</v>
      </c>
      <c r="AR301" s="75">
        <f>AQ301*(1-PARAM!$C$27)*$I$13+(MOD($B301,60)=PARAM!$B$56)*($B301&gt;(60-PARAM!$B$56))*HLOOKUP(($B301+PARAM!$B$56)/12,Loyalty,2)*$F$1*MAX(AT300,0)</f>
        <v>18.557001321003963</v>
      </c>
      <c r="AS301" s="75">
        <f>PARAM!$C$26+MAX($G$13-CHOOSE(PARAM!$B$44,MAX(0,AT300*$F$1),0),0)*RATES!$L277/12+$H$13*(PARAM!$D$51/12)*RATES!$N277/100</f>
        <v>23.761501410605728</v>
      </c>
      <c r="AT301" s="16">
        <f t="shared" si="208"/>
        <v>622.42336673742807</v>
      </c>
      <c r="AU301" s="15">
        <f t="shared" si="183"/>
        <v>22.170849845882874</v>
      </c>
      <c r="AV301" s="75">
        <f>AU301*(1-PARAM!$C$27)*$I$14+(MOD($B301,60)=PARAM!$B$56)*($B301&gt;(60-PARAM!$B$56))*HLOOKUP(($B301+PARAM!$B$56)/12,Loyalty,2)*$F$1*MAX(AX300,0)</f>
        <v>18.557001321003963</v>
      </c>
      <c r="AW301" s="75">
        <f>PARAM!$C$26+MAX($G$14-CHOOSE(PARAM!$B$44,MAX(0,AX300*$F$1),0),0)*RATES!$L277/12+$H$14*(PARAM!$D$51/12)*RATES!$N277/100</f>
        <v>23.761501410605728</v>
      </c>
      <c r="AX301" s="16">
        <f t="shared" si="209"/>
        <v>622.42336673742807</v>
      </c>
      <c r="AY301" s="15">
        <f t="shared" si="184"/>
        <v>22.170849845882874</v>
      </c>
      <c r="AZ301" s="75">
        <f>AY301*(1-PARAM!$C$27)*$I$15+(MOD($B301,60)=PARAM!$B$56)*($B301&gt;(60-PARAM!$B$56))*HLOOKUP(($B301+PARAM!$B$56)/12,Loyalty,2)*$F$1*MAX(BB300,0)</f>
        <v>18.557001321003963</v>
      </c>
      <c r="BA301" s="75">
        <f>PARAM!$C$26+MAX($G$15-CHOOSE(PARAM!$B$44,MAX(0,BB300*$F$1),0),0)*RATES!$L277/12+$H$15*(PARAM!$D$51/12)*RATES!$N277/100</f>
        <v>23.761501410605728</v>
      </c>
      <c r="BB301" s="16">
        <f t="shared" si="210"/>
        <v>622.42336673742807</v>
      </c>
      <c r="BC301" s="15">
        <f t="shared" si="185"/>
        <v>22.170849845882874</v>
      </c>
      <c r="BD301" s="75">
        <f>BC301*(1-PARAM!$C$27)*$I$16+(MOD($B301,60)=PARAM!$B$56)*($B301&gt;(60-PARAM!$B$56))*HLOOKUP(($B301+PARAM!$B$56)/12,Loyalty,2)*$F$1*MAX(BF300,0)</f>
        <v>18.557001321003963</v>
      </c>
      <c r="BE301" s="75">
        <f>PARAM!$C$26+MAX($G$16-CHOOSE(PARAM!$B$44,MAX(0,BF300*$F$1),0),0)*RATES!$L277/12+$H$16*(PARAM!$D$51/12)*RATES!$N277/100</f>
        <v>23.761501410605728</v>
      </c>
      <c r="BF301" s="16">
        <f t="shared" si="211"/>
        <v>622.42336673742807</v>
      </c>
      <c r="BG301" s="15">
        <f t="shared" si="186"/>
        <v>22.170849845882874</v>
      </c>
      <c r="BH301" s="75">
        <f>BG301*(1-PARAM!$C$27)*$I$17+(MOD($B301,60)=PARAM!$B$56)*($B301&gt;(60-PARAM!$B$56))*HLOOKUP(($B301+PARAM!$B$56)/12,Loyalty,2)*$F$1*MAX(BJ300,0)</f>
        <v>18.557001321003963</v>
      </c>
      <c r="BI301" s="75">
        <f>PARAM!$C$26+MAX($G$17-CHOOSE(PARAM!$B$44,MAX(0,BJ300*$F$1),0),0)*RATES!$L277/12+$H$17*(PARAM!$D$51/12)*RATES!$N277/100</f>
        <v>23.761501410605728</v>
      </c>
      <c r="BJ301" s="16">
        <f t="shared" si="212"/>
        <v>622.42336673742807</v>
      </c>
      <c r="BK301" s="15">
        <f t="shared" si="187"/>
        <v>22.170849845882874</v>
      </c>
      <c r="BL301" s="75">
        <f>BK301*(1-PARAM!$C$27)*$I$18+(MOD($B301,60)=PARAM!$B$56)*($B301&gt;(60-PARAM!$B$56))*HLOOKUP(($B301+PARAM!$B$56)/12,Loyalty,2)*$F$1*MAX(BN300,0)</f>
        <v>18.557001321003963</v>
      </c>
      <c r="BM301" s="75">
        <f>PARAM!$C$26+MAX($G$18-CHOOSE(PARAM!$B$44,MAX(0,BN300*$F$1),0),0)*RATES!$L277/12+$H$18*(PARAM!$D$51/12)*RATES!$N277/100</f>
        <v>23.761501410605728</v>
      </c>
      <c r="BN301" s="16">
        <f t="shared" si="213"/>
        <v>622.42336673742807</v>
      </c>
      <c r="BO301" s="15">
        <f t="shared" si="188"/>
        <v>22.170849845882874</v>
      </c>
      <c r="BP301" s="75">
        <f>BO301*(1-PARAM!$C$27)*$I$19+(MOD($B301,60)=PARAM!$B$56)*($B301&gt;(60-PARAM!$B$56))*HLOOKUP(($B301+PARAM!$B$56)/12,Loyalty,2)*$F$1*MAX(BR300,0)</f>
        <v>18.557001321003963</v>
      </c>
      <c r="BQ301" s="75">
        <f>PARAM!$C$26+MAX($G$19-CHOOSE(PARAM!$B$44,MAX(0,BR300*$F$1),0),0)*RATES!$L277/12+$H$19*(PARAM!$D$51/12)*RATES!$N277/100</f>
        <v>23.761501410605728</v>
      </c>
      <c r="BR301" s="16">
        <f t="shared" si="214"/>
        <v>622.42336673742807</v>
      </c>
      <c r="BS301" s="15">
        <f t="shared" si="189"/>
        <v>22.170849845882874</v>
      </c>
      <c r="BT301" s="75">
        <f>BS301*(1-PARAM!$C$27)*$I$20+(MOD($B301,60)=PARAM!$B$56)*($B301&gt;(60-PARAM!$B$56))*HLOOKUP(($B301+PARAM!$B$56)/12,Loyalty,2)*$F$1*MAX(BV300,0)</f>
        <v>18.557001321003963</v>
      </c>
      <c r="BU301" s="75">
        <f>PARAM!$C$26+MAX($G$20-CHOOSE(PARAM!$B$44,MAX(0,BV300*$F$1),0),0)*RATES!$L277/12+$H$20*(PARAM!$D$51/12)*RATES!$N277/100</f>
        <v>23.761501410605728</v>
      </c>
      <c r="BV301" s="16">
        <f t="shared" si="215"/>
        <v>622.42336673742807</v>
      </c>
      <c r="BW301" s="15">
        <f t="shared" si="190"/>
        <v>22.170849845882874</v>
      </c>
      <c r="BX301" s="75">
        <f>BW301*(1-PARAM!$C$27)*$I$21+(MOD($B301,60)=PARAM!$B$56)*($B301&gt;(60-PARAM!$B$56))*HLOOKUP(($B301+PARAM!$B$56)/12,Loyalty,2)*$F$1*MAX(BZ300,0)</f>
        <v>18.557001321003963</v>
      </c>
      <c r="BY301" s="75">
        <f>PARAM!$C$26+MAX($G$21-CHOOSE(PARAM!$B$44,MAX(0,BZ300*$F$1),0),0)*RATES!$L277/12+$H$21*(PARAM!$D$51/12)*RATES!$N277/100</f>
        <v>23.761501410605728</v>
      </c>
      <c r="BZ301" s="16">
        <f t="shared" si="216"/>
        <v>622.42336673742807</v>
      </c>
      <c r="CA301" s="15">
        <f t="shared" si="191"/>
        <v>22.170849845882874</v>
      </c>
      <c r="CB301" s="75">
        <f>CA301*(1-PARAM!$C$27)*$I$22+(MOD($B301,60)=PARAM!$B$56)*($B301&gt;(60-PARAM!$B$56))*HLOOKUP(($B301+PARAM!$B$56)/12,Loyalty,2)*$F$1*MAX(CD300,0)</f>
        <v>18.557001321003963</v>
      </c>
      <c r="CC301" s="75">
        <f>PARAM!$C$26+MAX($G$22-CHOOSE(PARAM!$B$44,MAX(0,CD300*$F$1),0),0)*RATES!$L277/12+$H$22*(PARAM!$D$51/12)*RATES!$N277/100</f>
        <v>23.761501410605728</v>
      </c>
      <c r="CD301" s="16">
        <f t="shared" si="217"/>
        <v>622.42336673742807</v>
      </c>
      <c r="CE301" s="33">
        <f>IF(0=MOD(B301,12/PARAM!$D$51),1,0)</f>
        <v>1</v>
      </c>
      <c r="CF301" s="15">
        <f t="shared" si="192"/>
        <v>0</v>
      </c>
      <c r="CG301" s="75">
        <f>CF301*(1-PARAM!$C$27)*$R$3+(MOD($B301/12,5)=0)*($B301&gt;60)*HLOOKUP($B301/12,Loyalty,2)*$F$1*MAX(CI300,0)</f>
        <v>0</v>
      </c>
      <c r="CH301" s="75">
        <f>PARAM!$C$26+MAX($P$3-CHOOSE(PARAM!$B$44,MAX(0,CI300*$F$1),0),0)*RATES!$L277/12+$Q$3*(PARAM!$D$51/12)*RATES!$N277/100</f>
        <v>24</v>
      </c>
      <c r="CI301" s="16">
        <f>IF(CI300&gt;0,CI300*PARAM!$C$53,CI300)+CG301-CH301</f>
        <v>-4319.4999999999927</v>
      </c>
      <c r="CJ301" s="15">
        <f t="shared" si="218"/>
        <v>0</v>
      </c>
      <c r="CK301" s="75">
        <f>CJ301*(1-PARAM!$C$27)*$R$4+(MOD($B301/12,5)=0)*($B301&gt;60)*HLOOKUP($B301/12,Loyalty,2)*$F$1*MAX(CM300,0)</f>
        <v>0</v>
      </c>
      <c r="CL301" s="75">
        <f>PARAM!$C$26+MAX($P$4-CHOOSE(PARAM!$B$44,MAX(0,CM300*$F$1),0),0)*RATES!$L277/12+$Q$4*(PARAM!$D$51/12)*RATES!$N277/100</f>
        <v>24</v>
      </c>
      <c r="CM301" s="16">
        <f>IF(CM300&gt;0,CM300*PARAM!$C$53,CM300)+CK301-CL301</f>
        <v>-4319.4999999999927</v>
      </c>
      <c r="CO301" s="176"/>
    </row>
    <row r="302" spans="1:93" x14ac:dyDescent="0.2">
      <c r="A302" t="b">
        <f t="shared" si="193"/>
        <v>1</v>
      </c>
      <c r="B302" s="33">
        <v>275</v>
      </c>
      <c r="C302" s="15">
        <f t="shared" si="194"/>
        <v>20.081305947392778</v>
      </c>
      <c r="D302" s="75">
        <f>C302*(1-PARAM!$C$27)*$I$3+(MOD($B302,60)=PARAM!$B$56)*($B302&gt;(60-PARAM!$B$56))*HLOOKUP(($B302+PARAM!$B$56)/12,Loyalty,2)*$F$1*MAX(F301,0)</f>
        <v>16.808053077967756</v>
      </c>
      <c r="E302" s="75">
        <f>PARAM!$C$26+MAX($G$3-CHOOSE(PARAM!$B$44,MAX(0,F301*$F$1),0),0)*RATES!$L278/12+$H$3*(PARAM!$D$51/12)*RATES!$N278/100</f>
        <v>23.950965761372611</v>
      </c>
      <c r="F302" s="16">
        <f t="shared" si="195"/>
        <v>121.89455738867419</v>
      </c>
      <c r="G302" s="15">
        <f t="shared" si="196"/>
        <v>22.035289406060361</v>
      </c>
      <c r="H302" s="75">
        <f>G302*(1-PARAM!$C$27)*$I$4+(MOD($B302,60)=PARAM!$B$56)*($B302&gt;(60-PARAM!$B$56))*HLOOKUP(($B302+PARAM!$B$56)/12,Loyalty,2)*$F$1*MAX(J301,0)</f>
        <v>18.443537232872522</v>
      </c>
      <c r="I302" s="75">
        <f>PARAM!$C$26+MAX($G$4-CHOOSE(PARAM!$B$44,MAX(0,J301*$F$1),0),0)*RATES!$L278/12+$H$4*(PARAM!$D$51/12)*RATES!$N278/100</f>
        <v>23.775648550076543</v>
      </c>
      <c r="J302" s="16">
        <f t="shared" si="197"/>
        <v>585.06644111295168</v>
      </c>
      <c r="K302" s="15">
        <f t="shared" si="198"/>
        <v>22.170849845882874</v>
      </c>
      <c r="L302" s="75">
        <f>K302*(1-PARAM!$C$27)*$I$5+(MOD($B302,60)=PARAM!$B$56)*($B302&gt;(60-PARAM!$B$56))*HLOOKUP(($B302+PARAM!$B$56)/12,Loyalty,2)*$F$1*MAX(N301,0)</f>
        <v>18.557001321003963</v>
      </c>
      <c r="M302" s="75">
        <f>PARAM!$C$26+MAX($G$5-CHOOSE(PARAM!$B$44,MAX(0,N301*$F$1),0),0)*RATES!$L278/12+$H$5*(PARAM!$D$51/12)*RATES!$N278/100</f>
        <v>23.763479120639776</v>
      </c>
      <c r="N302" s="16">
        <f t="shared" si="199"/>
        <v>617.21688893779231</v>
      </c>
      <c r="O302" s="15">
        <f t="shared" si="200"/>
        <v>22.170849845882874</v>
      </c>
      <c r="P302" s="75">
        <f>O302*(1-PARAM!$C$27)*$I$6+(MOD($B302,60)=PARAM!$B$56)*($B302&gt;(60-PARAM!$B$56))*HLOOKUP(($B302+PARAM!$B$56)/12,Loyalty,2)*$F$1*MAX(R301,0)</f>
        <v>18.557001321003963</v>
      </c>
      <c r="Q302" s="75">
        <f>PARAM!$C$26+MAX($G$6-CHOOSE(PARAM!$B$44,MAX(0,R301*$F$1),0),0)*RATES!$L278/12+$H$6*(PARAM!$D$51/12)*RATES!$N278/100</f>
        <v>23.763479120639776</v>
      </c>
      <c r="R302" s="16">
        <f t="shared" si="201"/>
        <v>617.21688893779231</v>
      </c>
      <c r="S302" s="15">
        <f t="shared" si="176"/>
        <v>22.170849845882874</v>
      </c>
      <c r="T302" s="75">
        <f>S302*(1-PARAM!$C$27)*$I$7+(MOD($B302,60)=PARAM!$B$56)*($B302&gt;(60-PARAM!$B$56))*HLOOKUP(($B302+PARAM!$B$56)/12,Loyalty,2)*$F$1*MAX(V301,0)</f>
        <v>18.557001321003963</v>
      </c>
      <c r="U302" s="75">
        <f>PARAM!$C$26+MAX($G$7-CHOOSE(PARAM!$B$44,MAX(0,V301*$F$1),0),0)*RATES!$L278/12+$H$7*(PARAM!$D$51/12)*RATES!$N278/100</f>
        <v>23.763479120639776</v>
      </c>
      <c r="V302" s="16">
        <f t="shared" si="202"/>
        <v>617.21688893779231</v>
      </c>
      <c r="W302" s="15">
        <f t="shared" si="177"/>
        <v>22.170849845882874</v>
      </c>
      <c r="X302" s="75">
        <f>W302*(1-PARAM!$C$27)*$I$8+(MOD($B302,60)=PARAM!$B$56)*($B302&gt;(60-PARAM!$B$56))*HLOOKUP(($B302+PARAM!$B$56)/12,Loyalty,2)*$F$1*MAX(Z301,0)</f>
        <v>18.557001321003963</v>
      </c>
      <c r="Y302" s="75">
        <f>PARAM!$C$26+MAX($G$8-CHOOSE(PARAM!$B$44,MAX(0,Z301*$F$1),0),0)*RATES!$L278/12+$H$8*(PARAM!$D$51/12)*RATES!$N278/100</f>
        <v>23.763479120639776</v>
      </c>
      <c r="Z302" s="16">
        <f t="shared" si="203"/>
        <v>617.21688893779231</v>
      </c>
      <c r="AA302" s="15">
        <f t="shared" si="178"/>
        <v>22.170849845882874</v>
      </c>
      <c r="AB302" s="75">
        <f>AA302*(1-PARAM!$C$27)*$I$9+(MOD($B302,60)=PARAM!$B$56)*($B302&gt;(60-PARAM!$B$56))*HLOOKUP(($B302+PARAM!$B$56)/12,Loyalty,2)*$F$1*MAX(AD301,0)</f>
        <v>18.557001321003963</v>
      </c>
      <c r="AC302" s="75">
        <f>PARAM!$C$26+MAX($G$9-CHOOSE(PARAM!$B$44,MAX(0,AD301*$F$1),0),0)*RATES!$L278/12+$H$9*(PARAM!$D$51/12)*RATES!$N278/100</f>
        <v>23.763479120639776</v>
      </c>
      <c r="AD302" s="16">
        <f t="shared" si="204"/>
        <v>617.21688893779231</v>
      </c>
      <c r="AE302" s="15">
        <f t="shared" si="179"/>
        <v>22.170849845882874</v>
      </c>
      <c r="AF302" s="75">
        <f>AE302*(1-PARAM!$C$27)*$I$10+(MOD($B302,60)=PARAM!$B$56)*($B302&gt;(60-PARAM!$B$56))*HLOOKUP(($B302+PARAM!$B$56)/12,Loyalty,2)*$F$1*MAX(AH301,0)</f>
        <v>18.557001321003963</v>
      </c>
      <c r="AG302" s="75">
        <f>PARAM!$C$26+MAX($G$10-CHOOSE(PARAM!$B$44,MAX(0,AH301*$F$1),0),0)*RATES!$L278/12+$H$10*(PARAM!$D$51/12)*RATES!$N278/100</f>
        <v>23.763479120639776</v>
      </c>
      <c r="AH302" s="16">
        <f t="shared" si="205"/>
        <v>617.21688893779231</v>
      </c>
      <c r="AI302" s="15">
        <f t="shared" si="180"/>
        <v>22.170849845882874</v>
      </c>
      <c r="AJ302" s="75">
        <f>AI302*(1-PARAM!$C$27)*$I$11+(MOD($B302,60)=PARAM!$B$56)*($B302&gt;(60-PARAM!$B$56))*HLOOKUP(($B302+PARAM!$B$56)/12,Loyalty,2)*$F$1*MAX(AL301,0)</f>
        <v>18.557001321003963</v>
      </c>
      <c r="AK302" s="75">
        <f>PARAM!$C$26+MAX($G$11-CHOOSE(PARAM!$B$44,MAX(0,AL301*$F$1),0),0)*RATES!$L278/12+$H$11*(PARAM!$D$51/12)*RATES!$N278/100</f>
        <v>23.763479120639776</v>
      </c>
      <c r="AL302" s="16">
        <f t="shared" si="206"/>
        <v>617.21688893779231</v>
      </c>
      <c r="AM302" s="15">
        <f t="shared" si="181"/>
        <v>22.170849845882874</v>
      </c>
      <c r="AN302" s="75">
        <f>AM302*(1-PARAM!$C$27)*$I$12+(MOD($B302,60)=PARAM!$B$56)*($B302&gt;(60-PARAM!$B$56))*HLOOKUP(($B302+PARAM!$B$56)/12,Loyalty,2)*$F$1*MAX(AP301,0)</f>
        <v>18.557001321003963</v>
      </c>
      <c r="AO302" s="75">
        <f>PARAM!$C$26+MAX($G$12-CHOOSE(PARAM!$B$44,MAX(0,AP301*$F$1),0),0)*RATES!$L278/12+$H$12*(PARAM!$D$51/12)*RATES!$N278/100</f>
        <v>23.763479120639776</v>
      </c>
      <c r="AP302" s="16">
        <f t="shared" si="207"/>
        <v>617.21688893779231</v>
      </c>
      <c r="AQ302" s="15">
        <f t="shared" si="182"/>
        <v>22.170849845882874</v>
      </c>
      <c r="AR302" s="75">
        <f>AQ302*(1-PARAM!$C$27)*$I$13+(MOD($B302,60)=PARAM!$B$56)*($B302&gt;(60-PARAM!$B$56))*HLOOKUP(($B302+PARAM!$B$56)/12,Loyalty,2)*$F$1*MAX(AT301,0)</f>
        <v>18.557001321003963</v>
      </c>
      <c r="AS302" s="75">
        <f>PARAM!$C$26+MAX($G$13-CHOOSE(PARAM!$B$44,MAX(0,AT301*$F$1),0),0)*RATES!$L278/12+$H$13*(PARAM!$D$51/12)*RATES!$N278/100</f>
        <v>23.763479120639776</v>
      </c>
      <c r="AT302" s="16">
        <f t="shared" si="208"/>
        <v>617.21688893779231</v>
      </c>
      <c r="AU302" s="15">
        <f t="shared" si="183"/>
        <v>22.170849845882874</v>
      </c>
      <c r="AV302" s="75">
        <f>AU302*(1-PARAM!$C$27)*$I$14+(MOD($B302,60)=PARAM!$B$56)*($B302&gt;(60-PARAM!$B$56))*HLOOKUP(($B302+PARAM!$B$56)/12,Loyalty,2)*$F$1*MAX(AX301,0)</f>
        <v>18.557001321003963</v>
      </c>
      <c r="AW302" s="75">
        <f>PARAM!$C$26+MAX($G$14-CHOOSE(PARAM!$B$44,MAX(0,AX301*$F$1),0),0)*RATES!$L278/12+$H$14*(PARAM!$D$51/12)*RATES!$N278/100</f>
        <v>23.763479120639776</v>
      </c>
      <c r="AX302" s="16">
        <f t="shared" si="209"/>
        <v>617.21688893779231</v>
      </c>
      <c r="AY302" s="15">
        <f t="shared" si="184"/>
        <v>22.170849845882874</v>
      </c>
      <c r="AZ302" s="75">
        <f>AY302*(1-PARAM!$C$27)*$I$15+(MOD($B302,60)=PARAM!$B$56)*($B302&gt;(60-PARAM!$B$56))*HLOOKUP(($B302+PARAM!$B$56)/12,Loyalty,2)*$F$1*MAX(BB301,0)</f>
        <v>18.557001321003963</v>
      </c>
      <c r="BA302" s="75">
        <f>PARAM!$C$26+MAX($G$15-CHOOSE(PARAM!$B$44,MAX(0,BB301*$F$1),0),0)*RATES!$L278/12+$H$15*(PARAM!$D$51/12)*RATES!$N278/100</f>
        <v>23.763479120639776</v>
      </c>
      <c r="BB302" s="16">
        <f t="shared" si="210"/>
        <v>617.21688893779231</v>
      </c>
      <c r="BC302" s="15">
        <f t="shared" si="185"/>
        <v>22.170849845882874</v>
      </c>
      <c r="BD302" s="75">
        <f>BC302*(1-PARAM!$C$27)*$I$16+(MOD($B302,60)=PARAM!$B$56)*($B302&gt;(60-PARAM!$B$56))*HLOOKUP(($B302+PARAM!$B$56)/12,Loyalty,2)*$F$1*MAX(BF301,0)</f>
        <v>18.557001321003963</v>
      </c>
      <c r="BE302" s="75">
        <f>PARAM!$C$26+MAX($G$16-CHOOSE(PARAM!$B$44,MAX(0,BF301*$F$1),0),0)*RATES!$L278/12+$H$16*(PARAM!$D$51/12)*RATES!$N278/100</f>
        <v>23.763479120639776</v>
      </c>
      <c r="BF302" s="16">
        <f t="shared" si="211"/>
        <v>617.21688893779231</v>
      </c>
      <c r="BG302" s="15">
        <f t="shared" si="186"/>
        <v>22.170849845882874</v>
      </c>
      <c r="BH302" s="75">
        <f>BG302*(1-PARAM!$C$27)*$I$17+(MOD($B302,60)=PARAM!$B$56)*($B302&gt;(60-PARAM!$B$56))*HLOOKUP(($B302+PARAM!$B$56)/12,Loyalty,2)*$F$1*MAX(BJ301,0)</f>
        <v>18.557001321003963</v>
      </c>
      <c r="BI302" s="75">
        <f>PARAM!$C$26+MAX($G$17-CHOOSE(PARAM!$B$44,MAX(0,BJ301*$F$1),0),0)*RATES!$L278/12+$H$17*(PARAM!$D$51/12)*RATES!$N278/100</f>
        <v>23.763479120639776</v>
      </c>
      <c r="BJ302" s="16">
        <f t="shared" si="212"/>
        <v>617.21688893779231</v>
      </c>
      <c r="BK302" s="15">
        <f t="shared" si="187"/>
        <v>22.170849845882874</v>
      </c>
      <c r="BL302" s="75">
        <f>BK302*(1-PARAM!$C$27)*$I$18+(MOD($B302,60)=PARAM!$B$56)*($B302&gt;(60-PARAM!$B$56))*HLOOKUP(($B302+PARAM!$B$56)/12,Loyalty,2)*$F$1*MAX(BN301,0)</f>
        <v>18.557001321003963</v>
      </c>
      <c r="BM302" s="75">
        <f>PARAM!$C$26+MAX($G$18-CHOOSE(PARAM!$B$44,MAX(0,BN301*$F$1),0),0)*RATES!$L278/12+$H$18*(PARAM!$D$51/12)*RATES!$N278/100</f>
        <v>23.763479120639776</v>
      </c>
      <c r="BN302" s="16">
        <f t="shared" si="213"/>
        <v>617.21688893779231</v>
      </c>
      <c r="BO302" s="15">
        <f t="shared" si="188"/>
        <v>22.170849845882874</v>
      </c>
      <c r="BP302" s="75">
        <f>BO302*(1-PARAM!$C$27)*$I$19+(MOD($B302,60)=PARAM!$B$56)*($B302&gt;(60-PARAM!$B$56))*HLOOKUP(($B302+PARAM!$B$56)/12,Loyalty,2)*$F$1*MAX(BR301,0)</f>
        <v>18.557001321003963</v>
      </c>
      <c r="BQ302" s="75">
        <f>PARAM!$C$26+MAX($G$19-CHOOSE(PARAM!$B$44,MAX(0,BR301*$F$1),0),0)*RATES!$L278/12+$H$19*(PARAM!$D$51/12)*RATES!$N278/100</f>
        <v>23.763479120639776</v>
      </c>
      <c r="BR302" s="16">
        <f t="shared" si="214"/>
        <v>617.21688893779231</v>
      </c>
      <c r="BS302" s="15">
        <f t="shared" si="189"/>
        <v>22.170849845882874</v>
      </c>
      <c r="BT302" s="75">
        <f>BS302*(1-PARAM!$C$27)*$I$20+(MOD($B302,60)=PARAM!$B$56)*($B302&gt;(60-PARAM!$B$56))*HLOOKUP(($B302+PARAM!$B$56)/12,Loyalty,2)*$F$1*MAX(BV301,0)</f>
        <v>18.557001321003963</v>
      </c>
      <c r="BU302" s="75">
        <f>PARAM!$C$26+MAX($G$20-CHOOSE(PARAM!$B$44,MAX(0,BV301*$F$1),0),0)*RATES!$L278/12+$H$20*(PARAM!$D$51/12)*RATES!$N278/100</f>
        <v>23.763479120639776</v>
      </c>
      <c r="BV302" s="16">
        <f t="shared" si="215"/>
        <v>617.21688893779231</v>
      </c>
      <c r="BW302" s="15">
        <f t="shared" si="190"/>
        <v>22.170849845882874</v>
      </c>
      <c r="BX302" s="75">
        <f>BW302*(1-PARAM!$C$27)*$I$21+(MOD($B302,60)=PARAM!$B$56)*($B302&gt;(60-PARAM!$B$56))*HLOOKUP(($B302+PARAM!$B$56)/12,Loyalty,2)*$F$1*MAX(BZ301,0)</f>
        <v>18.557001321003963</v>
      </c>
      <c r="BY302" s="75">
        <f>PARAM!$C$26+MAX($G$21-CHOOSE(PARAM!$B$44,MAX(0,BZ301*$F$1),0),0)*RATES!$L278/12+$H$21*(PARAM!$D$51/12)*RATES!$N278/100</f>
        <v>23.763479120639776</v>
      </c>
      <c r="BZ302" s="16">
        <f t="shared" si="216"/>
        <v>617.21688893779231</v>
      </c>
      <c r="CA302" s="15">
        <f t="shared" si="191"/>
        <v>22.170849845882874</v>
      </c>
      <c r="CB302" s="75">
        <f>CA302*(1-PARAM!$C$27)*$I$22+(MOD($B302,60)=PARAM!$B$56)*($B302&gt;(60-PARAM!$B$56))*HLOOKUP(($B302+PARAM!$B$56)/12,Loyalty,2)*$F$1*MAX(CD301,0)</f>
        <v>18.557001321003963</v>
      </c>
      <c r="CC302" s="75">
        <f>PARAM!$C$26+MAX($G$22-CHOOSE(PARAM!$B$44,MAX(0,CD301*$F$1),0),0)*RATES!$L278/12+$H$22*(PARAM!$D$51/12)*RATES!$N278/100</f>
        <v>23.763479120639776</v>
      </c>
      <c r="CD302" s="16">
        <f t="shared" si="217"/>
        <v>617.21688893779231</v>
      </c>
      <c r="CE302" s="33">
        <f>IF(0=MOD(B302,12/PARAM!$D$51),1,0)</f>
        <v>1</v>
      </c>
      <c r="CF302" s="15">
        <f t="shared" si="192"/>
        <v>0</v>
      </c>
      <c r="CG302" s="75">
        <f>CF302*(1-PARAM!$C$27)*$R$3+(MOD($B302/12,5)=0)*($B302&gt;60)*HLOOKUP($B302/12,Loyalty,2)*$F$1*MAX(CI301,0)</f>
        <v>0</v>
      </c>
      <c r="CH302" s="75">
        <f>PARAM!$C$26+MAX($P$3-CHOOSE(PARAM!$B$44,MAX(0,CI301*$F$1),0),0)*RATES!$L278/12+$Q$3*(PARAM!$D$51/12)*RATES!$N278/100</f>
        <v>24</v>
      </c>
      <c r="CI302" s="16">
        <f>IF(CI301&gt;0,CI301*PARAM!$C$53,CI301)+CG302-CH302</f>
        <v>-4343.4999999999927</v>
      </c>
      <c r="CJ302" s="15">
        <f t="shared" si="218"/>
        <v>0</v>
      </c>
      <c r="CK302" s="75">
        <f>CJ302*(1-PARAM!$C$27)*$R$4+(MOD($B302/12,5)=0)*($B302&gt;60)*HLOOKUP($B302/12,Loyalty,2)*$F$1*MAX(CM301,0)</f>
        <v>0</v>
      </c>
      <c r="CL302" s="75">
        <f>PARAM!$C$26+MAX($P$4-CHOOSE(PARAM!$B$44,MAX(0,CM301*$F$1),0),0)*RATES!$L278/12+$Q$4*(PARAM!$D$51/12)*RATES!$N278/100</f>
        <v>24</v>
      </c>
      <c r="CM302" s="16">
        <f>IF(CM301&gt;0,CM301*PARAM!$C$53,CM301)+CK302-CL302</f>
        <v>-4343.4999999999927</v>
      </c>
      <c r="CO302" s="176"/>
    </row>
    <row r="303" spans="1:93" x14ac:dyDescent="0.2">
      <c r="A303" t="b">
        <f t="shared" si="193"/>
        <v>1</v>
      </c>
      <c r="B303" s="33">
        <v>276</v>
      </c>
      <c r="C303" s="15">
        <f t="shared" si="194"/>
        <v>20.081305947392778</v>
      </c>
      <c r="D303" s="75">
        <f>C303*(1-PARAM!$C$27)*$I$3+(MOD($B303,60)=PARAM!$B$56)*($B303&gt;(60-PARAM!$B$56))*HLOOKUP(($B303+PARAM!$B$56)/12,Loyalty,2)*$F$1*MAX(F302,0)</f>
        <v>16.808053077967756</v>
      </c>
      <c r="E303" s="75">
        <f>PARAM!$C$26+MAX($G$3-CHOOSE(PARAM!$B$44,MAX(0,F302*$F$1),0),0)*RATES!$L279/12+$H$3*(PARAM!$D$51/12)*RATES!$N279/100</f>
        <v>23.953680068192302</v>
      </c>
      <c r="F303" s="16">
        <f t="shared" si="195"/>
        <v>114.74893039844964</v>
      </c>
      <c r="G303" s="15">
        <f t="shared" si="196"/>
        <v>22.035289406060361</v>
      </c>
      <c r="H303" s="75">
        <f>G303*(1-PARAM!$C$27)*$I$4+(MOD($B303,60)=PARAM!$B$56)*($B303&gt;(60-PARAM!$B$56))*HLOOKUP(($B303+PARAM!$B$56)/12,Loyalty,2)*$F$1*MAX(J302,0)</f>
        <v>18.443537232872522</v>
      </c>
      <c r="I303" s="75">
        <f>PARAM!$C$26+MAX($G$4-CHOOSE(PARAM!$B$44,MAX(0,J302*$F$1),0),0)*RATES!$L279/12+$H$4*(PARAM!$D$51/12)*RATES!$N279/100</f>
        <v>23.777674752377077</v>
      </c>
      <c r="J303" s="16">
        <f t="shared" si="197"/>
        <v>579.73230359344711</v>
      </c>
      <c r="K303" s="15">
        <f t="shared" si="198"/>
        <v>22.170849845882874</v>
      </c>
      <c r="L303" s="75">
        <f>K303*(1-PARAM!$C$27)*$I$5+(MOD($B303,60)=PARAM!$B$56)*($B303&gt;(60-PARAM!$B$56))*HLOOKUP(($B303+PARAM!$B$56)/12,Loyalty,2)*$F$1*MAX(N302,0)</f>
        <v>18.557001321003963</v>
      </c>
      <c r="M303" s="75">
        <f>PARAM!$C$26+MAX($G$5-CHOOSE(PARAM!$B$44,MAX(0,N302*$F$1),0),0)*RATES!$L279/12+$H$5*(PARAM!$D$51/12)*RATES!$N279/100</f>
        <v>23.765457582203638</v>
      </c>
      <c r="N303" s="16">
        <f t="shared" si="199"/>
        <v>612.00843267659263</v>
      </c>
      <c r="O303" s="15">
        <f t="shared" si="200"/>
        <v>22.170849845882874</v>
      </c>
      <c r="P303" s="75">
        <f>O303*(1-PARAM!$C$27)*$I$6+(MOD($B303,60)=PARAM!$B$56)*($B303&gt;(60-PARAM!$B$56))*HLOOKUP(($B303+PARAM!$B$56)/12,Loyalty,2)*$F$1*MAX(R302,0)</f>
        <v>18.557001321003963</v>
      </c>
      <c r="Q303" s="75">
        <f>PARAM!$C$26+MAX($G$6-CHOOSE(PARAM!$B$44,MAX(0,R302*$F$1),0),0)*RATES!$L279/12+$H$6*(PARAM!$D$51/12)*RATES!$N279/100</f>
        <v>23.765457582203638</v>
      </c>
      <c r="R303" s="16">
        <f t="shared" si="201"/>
        <v>612.00843267659263</v>
      </c>
      <c r="S303" s="15">
        <f t="shared" si="176"/>
        <v>22.170849845882874</v>
      </c>
      <c r="T303" s="75">
        <f>S303*(1-PARAM!$C$27)*$I$7+(MOD($B303,60)=PARAM!$B$56)*($B303&gt;(60-PARAM!$B$56))*HLOOKUP(($B303+PARAM!$B$56)/12,Loyalty,2)*$F$1*MAX(V302,0)</f>
        <v>18.557001321003963</v>
      </c>
      <c r="U303" s="75">
        <f>PARAM!$C$26+MAX($G$7-CHOOSE(PARAM!$B$44,MAX(0,V302*$F$1),0),0)*RATES!$L279/12+$H$7*(PARAM!$D$51/12)*RATES!$N279/100</f>
        <v>23.765457582203638</v>
      </c>
      <c r="V303" s="16">
        <f t="shared" si="202"/>
        <v>612.00843267659263</v>
      </c>
      <c r="W303" s="15">
        <f t="shared" si="177"/>
        <v>22.170849845882874</v>
      </c>
      <c r="X303" s="75">
        <f>W303*(1-PARAM!$C$27)*$I$8+(MOD($B303,60)=PARAM!$B$56)*($B303&gt;(60-PARAM!$B$56))*HLOOKUP(($B303+PARAM!$B$56)/12,Loyalty,2)*$F$1*MAX(Z302,0)</f>
        <v>18.557001321003963</v>
      </c>
      <c r="Y303" s="75">
        <f>PARAM!$C$26+MAX($G$8-CHOOSE(PARAM!$B$44,MAX(0,Z302*$F$1),0),0)*RATES!$L279/12+$H$8*(PARAM!$D$51/12)*RATES!$N279/100</f>
        <v>23.765457582203638</v>
      </c>
      <c r="Z303" s="16">
        <f t="shared" si="203"/>
        <v>612.00843267659263</v>
      </c>
      <c r="AA303" s="15">
        <f t="shared" si="178"/>
        <v>22.170849845882874</v>
      </c>
      <c r="AB303" s="75">
        <f>AA303*(1-PARAM!$C$27)*$I$9+(MOD($B303,60)=PARAM!$B$56)*($B303&gt;(60-PARAM!$B$56))*HLOOKUP(($B303+PARAM!$B$56)/12,Loyalty,2)*$F$1*MAX(AD302,0)</f>
        <v>18.557001321003963</v>
      </c>
      <c r="AC303" s="75">
        <f>PARAM!$C$26+MAX($G$9-CHOOSE(PARAM!$B$44,MAX(0,AD302*$F$1),0),0)*RATES!$L279/12+$H$9*(PARAM!$D$51/12)*RATES!$N279/100</f>
        <v>23.765457582203638</v>
      </c>
      <c r="AD303" s="16">
        <f t="shared" si="204"/>
        <v>612.00843267659263</v>
      </c>
      <c r="AE303" s="15">
        <f t="shared" si="179"/>
        <v>22.170849845882874</v>
      </c>
      <c r="AF303" s="75">
        <f>AE303*(1-PARAM!$C$27)*$I$10+(MOD($B303,60)=PARAM!$B$56)*($B303&gt;(60-PARAM!$B$56))*HLOOKUP(($B303+PARAM!$B$56)/12,Loyalty,2)*$F$1*MAX(AH302,0)</f>
        <v>18.557001321003963</v>
      </c>
      <c r="AG303" s="75">
        <f>PARAM!$C$26+MAX($G$10-CHOOSE(PARAM!$B$44,MAX(0,AH302*$F$1),0),0)*RATES!$L279/12+$H$10*(PARAM!$D$51/12)*RATES!$N279/100</f>
        <v>23.765457582203638</v>
      </c>
      <c r="AH303" s="16">
        <f t="shared" si="205"/>
        <v>612.00843267659263</v>
      </c>
      <c r="AI303" s="15">
        <f t="shared" si="180"/>
        <v>22.170849845882874</v>
      </c>
      <c r="AJ303" s="75">
        <f>AI303*(1-PARAM!$C$27)*$I$11+(MOD($B303,60)=PARAM!$B$56)*($B303&gt;(60-PARAM!$B$56))*HLOOKUP(($B303+PARAM!$B$56)/12,Loyalty,2)*$F$1*MAX(AL302,0)</f>
        <v>18.557001321003963</v>
      </c>
      <c r="AK303" s="75">
        <f>PARAM!$C$26+MAX($G$11-CHOOSE(PARAM!$B$44,MAX(0,AL302*$F$1),0),0)*RATES!$L279/12+$H$11*(PARAM!$D$51/12)*RATES!$N279/100</f>
        <v>23.765457582203638</v>
      </c>
      <c r="AL303" s="16">
        <f t="shared" si="206"/>
        <v>612.00843267659263</v>
      </c>
      <c r="AM303" s="15">
        <f t="shared" si="181"/>
        <v>22.170849845882874</v>
      </c>
      <c r="AN303" s="75">
        <f>AM303*(1-PARAM!$C$27)*$I$12+(MOD($B303,60)=PARAM!$B$56)*($B303&gt;(60-PARAM!$B$56))*HLOOKUP(($B303+PARAM!$B$56)/12,Loyalty,2)*$F$1*MAX(AP302,0)</f>
        <v>18.557001321003963</v>
      </c>
      <c r="AO303" s="75">
        <f>PARAM!$C$26+MAX($G$12-CHOOSE(PARAM!$B$44,MAX(0,AP302*$F$1),0),0)*RATES!$L279/12+$H$12*(PARAM!$D$51/12)*RATES!$N279/100</f>
        <v>23.765457582203638</v>
      </c>
      <c r="AP303" s="16">
        <f t="shared" si="207"/>
        <v>612.00843267659263</v>
      </c>
      <c r="AQ303" s="15">
        <f t="shared" si="182"/>
        <v>22.170849845882874</v>
      </c>
      <c r="AR303" s="75">
        <f>AQ303*(1-PARAM!$C$27)*$I$13+(MOD($B303,60)=PARAM!$B$56)*($B303&gt;(60-PARAM!$B$56))*HLOOKUP(($B303+PARAM!$B$56)/12,Loyalty,2)*$F$1*MAX(AT302,0)</f>
        <v>18.557001321003963</v>
      </c>
      <c r="AS303" s="75">
        <f>PARAM!$C$26+MAX($G$13-CHOOSE(PARAM!$B$44,MAX(0,AT302*$F$1),0),0)*RATES!$L279/12+$H$13*(PARAM!$D$51/12)*RATES!$N279/100</f>
        <v>23.765457582203638</v>
      </c>
      <c r="AT303" s="16">
        <f t="shared" si="208"/>
        <v>612.00843267659263</v>
      </c>
      <c r="AU303" s="15">
        <f t="shared" si="183"/>
        <v>22.170849845882874</v>
      </c>
      <c r="AV303" s="75">
        <f>AU303*(1-PARAM!$C$27)*$I$14+(MOD($B303,60)=PARAM!$B$56)*($B303&gt;(60-PARAM!$B$56))*HLOOKUP(($B303+PARAM!$B$56)/12,Loyalty,2)*$F$1*MAX(AX302,0)</f>
        <v>18.557001321003963</v>
      </c>
      <c r="AW303" s="75">
        <f>PARAM!$C$26+MAX($G$14-CHOOSE(PARAM!$B$44,MAX(0,AX302*$F$1),0),0)*RATES!$L279/12+$H$14*(PARAM!$D$51/12)*RATES!$N279/100</f>
        <v>23.765457582203638</v>
      </c>
      <c r="AX303" s="16">
        <f t="shared" si="209"/>
        <v>612.00843267659263</v>
      </c>
      <c r="AY303" s="15">
        <f t="shared" si="184"/>
        <v>22.170849845882874</v>
      </c>
      <c r="AZ303" s="75">
        <f>AY303*(1-PARAM!$C$27)*$I$15+(MOD($B303,60)=PARAM!$B$56)*($B303&gt;(60-PARAM!$B$56))*HLOOKUP(($B303+PARAM!$B$56)/12,Loyalty,2)*$F$1*MAX(BB302,0)</f>
        <v>18.557001321003963</v>
      </c>
      <c r="BA303" s="75">
        <f>PARAM!$C$26+MAX($G$15-CHOOSE(PARAM!$B$44,MAX(0,BB302*$F$1),0),0)*RATES!$L279/12+$H$15*(PARAM!$D$51/12)*RATES!$N279/100</f>
        <v>23.765457582203638</v>
      </c>
      <c r="BB303" s="16">
        <f t="shared" si="210"/>
        <v>612.00843267659263</v>
      </c>
      <c r="BC303" s="15">
        <f t="shared" si="185"/>
        <v>22.170849845882874</v>
      </c>
      <c r="BD303" s="75">
        <f>BC303*(1-PARAM!$C$27)*$I$16+(MOD($B303,60)=PARAM!$B$56)*($B303&gt;(60-PARAM!$B$56))*HLOOKUP(($B303+PARAM!$B$56)/12,Loyalty,2)*$F$1*MAX(BF302,0)</f>
        <v>18.557001321003963</v>
      </c>
      <c r="BE303" s="75">
        <f>PARAM!$C$26+MAX($G$16-CHOOSE(PARAM!$B$44,MAX(0,BF302*$F$1),0),0)*RATES!$L279/12+$H$16*(PARAM!$D$51/12)*RATES!$N279/100</f>
        <v>23.765457582203638</v>
      </c>
      <c r="BF303" s="16">
        <f t="shared" si="211"/>
        <v>612.00843267659263</v>
      </c>
      <c r="BG303" s="15">
        <f t="shared" si="186"/>
        <v>22.170849845882874</v>
      </c>
      <c r="BH303" s="75">
        <f>BG303*(1-PARAM!$C$27)*$I$17+(MOD($B303,60)=PARAM!$B$56)*($B303&gt;(60-PARAM!$B$56))*HLOOKUP(($B303+PARAM!$B$56)/12,Loyalty,2)*$F$1*MAX(BJ302,0)</f>
        <v>18.557001321003963</v>
      </c>
      <c r="BI303" s="75">
        <f>PARAM!$C$26+MAX($G$17-CHOOSE(PARAM!$B$44,MAX(0,BJ302*$F$1),0),0)*RATES!$L279/12+$H$17*(PARAM!$D$51/12)*RATES!$N279/100</f>
        <v>23.765457582203638</v>
      </c>
      <c r="BJ303" s="16">
        <f t="shared" si="212"/>
        <v>612.00843267659263</v>
      </c>
      <c r="BK303" s="15">
        <f t="shared" si="187"/>
        <v>22.170849845882874</v>
      </c>
      <c r="BL303" s="75">
        <f>BK303*(1-PARAM!$C$27)*$I$18+(MOD($B303,60)=PARAM!$B$56)*($B303&gt;(60-PARAM!$B$56))*HLOOKUP(($B303+PARAM!$B$56)/12,Loyalty,2)*$F$1*MAX(BN302,0)</f>
        <v>18.557001321003963</v>
      </c>
      <c r="BM303" s="75">
        <f>PARAM!$C$26+MAX($G$18-CHOOSE(PARAM!$B$44,MAX(0,BN302*$F$1),0),0)*RATES!$L279/12+$H$18*(PARAM!$D$51/12)*RATES!$N279/100</f>
        <v>23.765457582203638</v>
      </c>
      <c r="BN303" s="16">
        <f t="shared" si="213"/>
        <v>612.00843267659263</v>
      </c>
      <c r="BO303" s="15">
        <f t="shared" si="188"/>
        <v>22.170849845882874</v>
      </c>
      <c r="BP303" s="75">
        <f>BO303*(1-PARAM!$C$27)*$I$19+(MOD($B303,60)=PARAM!$B$56)*($B303&gt;(60-PARAM!$B$56))*HLOOKUP(($B303+PARAM!$B$56)/12,Loyalty,2)*$F$1*MAX(BR302,0)</f>
        <v>18.557001321003963</v>
      </c>
      <c r="BQ303" s="75">
        <f>PARAM!$C$26+MAX($G$19-CHOOSE(PARAM!$B$44,MAX(0,BR302*$F$1),0),0)*RATES!$L279/12+$H$19*(PARAM!$D$51/12)*RATES!$N279/100</f>
        <v>23.765457582203638</v>
      </c>
      <c r="BR303" s="16">
        <f t="shared" si="214"/>
        <v>612.00843267659263</v>
      </c>
      <c r="BS303" s="15">
        <f t="shared" si="189"/>
        <v>22.170849845882874</v>
      </c>
      <c r="BT303" s="75">
        <f>BS303*(1-PARAM!$C$27)*$I$20+(MOD($B303,60)=PARAM!$B$56)*($B303&gt;(60-PARAM!$B$56))*HLOOKUP(($B303+PARAM!$B$56)/12,Loyalty,2)*$F$1*MAX(BV302,0)</f>
        <v>18.557001321003963</v>
      </c>
      <c r="BU303" s="75">
        <f>PARAM!$C$26+MAX($G$20-CHOOSE(PARAM!$B$44,MAX(0,BV302*$F$1),0),0)*RATES!$L279/12+$H$20*(PARAM!$D$51/12)*RATES!$N279/100</f>
        <v>23.765457582203638</v>
      </c>
      <c r="BV303" s="16">
        <f t="shared" si="215"/>
        <v>612.00843267659263</v>
      </c>
      <c r="BW303" s="15">
        <f t="shared" si="190"/>
        <v>22.170849845882874</v>
      </c>
      <c r="BX303" s="75">
        <f>BW303*(1-PARAM!$C$27)*$I$21+(MOD($B303,60)=PARAM!$B$56)*($B303&gt;(60-PARAM!$B$56))*HLOOKUP(($B303+PARAM!$B$56)/12,Loyalty,2)*$F$1*MAX(BZ302,0)</f>
        <v>18.557001321003963</v>
      </c>
      <c r="BY303" s="75">
        <f>PARAM!$C$26+MAX($G$21-CHOOSE(PARAM!$B$44,MAX(0,BZ302*$F$1),0),0)*RATES!$L279/12+$H$21*(PARAM!$D$51/12)*RATES!$N279/100</f>
        <v>23.765457582203638</v>
      </c>
      <c r="BZ303" s="16">
        <f t="shared" si="216"/>
        <v>612.00843267659263</v>
      </c>
      <c r="CA303" s="15">
        <f t="shared" si="191"/>
        <v>22.170849845882874</v>
      </c>
      <c r="CB303" s="75">
        <f>CA303*(1-PARAM!$C$27)*$I$22+(MOD($B303,60)=PARAM!$B$56)*($B303&gt;(60-PARAM!$B$56))*HLOOKUP(($B303+PARAM!$B$56)/12,Loyalty,2)*$F$1*MAX(CD302,0)</f>
        <v>18.557001321003963</v>
      </c>
      <c r="CC303" s="75">
        <f>PARAM!$C$26+MAX($G$22-CHOOSE(PARAM!$B$44,MAX(0,CD302*$F$1),0),0)*RATES!$L279/12+$H$22*(PARAM!$D$51/12)*RATES!$N279/100</f>
        <v>23.765457582203638</v>
      </c>
      <c r="CD303" s="16">
        <f t="shared" si="217"/>
        <v>612.00843267659263</v>
      </c>
      <c r="CE303" s="33">
        <f>IF(0=MOD(B303,12/PARAM!$D$51),1,0)</f>
        <v>1</v>
      </c>
      <c r="CF303" s="15">
        <f t="shared" si="192"/>
        <v>0</v>
      </c>
      <c r="CG303" s="75">
        <f>CF303*(1-PARAM!$C$27)*$R$3+(MOD($B303/12,5)=0)*($B303&gt;60)*HLOOKUP($B303/12,Loyalty,2)*$F$1*MAX(CI302,0)</f>
        <v>0</v>
      </c>
      <c r="CH303" s="75">
        <f>PARAM!$C$26+MAX($P$3-CHOOSE(PARAM!$B$44,MAX(0,CI302*$F$1),0),0)*RATES!$L279/12+$Q$3*(PARAM!$D$51/12)*RATES!$N279/100</f>
        <v>24</v>
      </c>
      <c r="CI303" s="16">
        <f>IF(CI302&gt;0,CI302*PARAM!$C$53,CI302)+CG303-CH303</f>
        <v>-4367.4999999999927</v>
      </c>
      <c r="CJ303" s="15">
        <f t="shared" si="218"/>
        <v>0</v>
      </c>
      <c r="CK303" s="75">
        <f>CJ303*(1-PARAM!$C$27)*$R$4+(MOD($B303/12,5)=0)*($B303&gt;60)*HLOOKUP($B303/12,Loyalty,2)*$F$1*MAX(CM302,0)</f>
        <v>0</v>
      </c>
      <c r="CL303" s="75">
        <f>PARAM!$C$26+MAX($P$4-CHOOSE(PARAM!$B$44,MAX(0,CM302*$F$1),0),0)*RATES!$L279/12+$Q$4*(PARAM!$D$51/12)*RATES!$N279/100</f>
        <v>24</v>
      </c>
      <c r="CM303" s="16">
        <f>IF(CM302&gt;0,CM302*PARAM!$C$53,CM302)+CK303-CL303</f>
        <v>-4367.4999999999927</v>
      </c>
      <c r="CO303" s="176"/>
    </row>
    <row r="304" spans="1:93" x14ac:dyDescent="0.2">
      <c r="A304" t="b">
        <f t="shared" si="193"/>
        <v>1</v>
      </c>
      <c r="B304" s="33">
        <v>277</v>
      </c>
      <c r="C304" s="15">
        <f t="shared" si="194"/>
        <v>20.081305947392778</v>
      </c>
      <c r="D304" s="75">
        <f>C304*(1-PARAM!$C$27)*$I$3+(MOD($B304,60)=PARAM!$B$56)*($B304&gt;(60-PARAM!$B$56))*HLOOKUP(($B304+PARAM!$B$56)/12,Loyalty,2)*$F$1*MAX(F303,0)</f>
        <v>16.808053077967756</v>
      </c>
      <c r="E304" s="75">
        <f>PARAM!$C$26+MAX($G$3-CHOOSE(PARAM!$B$44,MAX(0,F303*$F$1),0),0)*RATES!$L280/12+$H$3*(PARAM!$D$51/12)*RATES!$N280/100</f>
        <v>23.956395406448589</v>
      </c>
      <c r="F304" s="16">
        <f t="shared" si="195"/>
        <v>107.60058806996881</v>
      </c>
      <c r="G304" s="15">
        <f t="shared" si="196"/>
        <v>22.035289406060361</v>
      </c>
      <c r="H304" s="75">
        <f>G304*(1-PARAM!$C$27)*$I$4+(MOD($B304,60)=PARAM!$B$56)*($B304&gt;(60-PARAM!$B$56))*HLOOKUP(($B304+PARAM!$B$56)/12,Loyalty,2)*$F$1*MAX(J303,0)</f>
        <v>18.443537232872522</v>
      </c>
      <c r="I304" s="75">
        <f>PARAM!$C$26+MAX($G$4-CHOOSE(PARAM!$B$44,MAX(0,J303*$F$1),0),0)*RATES!$L280/12+$H$4*(PARAM!$D$51/12)*RATES!$N280/100</f>
        <v>23.779701724634489</v>
      </c>
      <c r="J304" s="16">
        <f t="shared" si="197"/>
        <v>574.39613910168509</v>
      </c>
      <c r="K304" s="15">
        <f t="shared" si="198"/>
        <v>22.170849845882874</v>
      </c>
      <c r="L304" s="75">
        <f>K304*(1-PARAM!$C$27)*$I$5+(MOD($B304,60)=PARAM!$B$56)*($B304&gt;(60-PARAM!$B$56))*HLOOKUP(($B304+PARAM!$B$56)/12,Loyalty,2)*$F$1*MAX(N303,0)</f>
        <v>18.557001321003963</v>
      </c>
      <c r="M304" s="75">
        <f>PARAM!$C$26+MAX($G$5-CHOOSE(PARAM!$B$44,MAX(0,N303*$F$1),0),0)*RATES!$L280/12+$H$5*(PARAM!$D$51/12)*RATES!$N280/100</f>
        <v>23.767436795582892</v>
      </c>
      <c r="N304" s="16">
        <f t="shared" si="199"/>
        <v>606.79799720201379</v>
      </c>
      <c r="O304" s="15">
        <f t="shared" si="200"/>
        <v>22.170849845882874</v>
      </c>
      <c r="P304" s="75">
        <f>O304*(1-PARAM!$C$27)*$I$6+(MOD($B304,60)=PARAM!$B$56)*($B304&gt;(60-PARAM!$B$56))*HLOOKUP(($B304+PARAM!$B$56)/12,Loyalty,2)*$F$1*MAX(R303,0)</f>
        <v>18.557001321003963</v>
      </c>
      <c r="Q304" s="75">
        <f>PARAM!$C$26+MAX($G$6-CHOOSE(PARAM!$B$44,MAX(0,R303*$F$1),0),0)*RATES!$L280/12+$H$6*(PARAM!$D$51/12)*RATES!$N280/100</f>
        <v>23.767436795582892</v>
      </c>
      <c r="R304" s="16">
        <f t="shared" si="201"/>
        <v>606.79799720201379</v>
      </c>
      <c r="S304" s="15">
        <f t="shared" si="176"/>
        <v>22.170849845882874</v>
      </c>
      <c r="T304" s="75">
        <f>S304*(1-PARAM!$C$27)*$I$7+(MOD($B304,60)=PARAM!$B$56)*($B304&gt;(60-PARAM!$B$56))*HLOOKUP(($B304+PARAM!$B$56)/12,Loyalty,2)*$F$1*MAX(V303,0)</f>
        <v>18.557001321003963</v>
      </c>
      <c r="U304" s="75">
        <f>PARAM!$C$26+MAX($G$7-CHOOSE(PARAM!$B$44,MAX(0,V303*$F$1),0),0)*RATES!$L280/12+$H$7*(PARAM!$D$51/12)*RATES!$N280/100</f>
        <v>23.767436795582892</v>
      </c>
      <c r="V304" s="16">
        <f t="shared" si="202"/>
        <v>606.79799720201379</v>
      </c>
      <c r="W304" s="15">
        <f t="shared" si="177"/>
        <v>22.170849845882874</v>
      </c>
      <c r="X304" s="75">
        <f>W304*(1-PARAM!$C$27)*$I$8+(MOD($B304,60)=PARAM!$B$56)*($B304&gt;(60-PARAM!$B$56))*HLOOKUP(($B304+PARAM!$B$56)/12,Loyalty,2)*$F$1*MAX(Z303,0)</f>
        <v>18.557001321003963</v>
      </c>
      <c r="Y304" s="75">
        <f>PARAM!$C$26+MAX($G$8-CHOOSE(PARAM!$B$44,MAX(0,Z303*$F$1),0),0)*RATES!$L280/12+$H$8*(PARAM!$D$51/12)*RATES!$N280/100</f>
        <v>23.767436795582892</v>
      </c>
      <c r="Z304" s="16">
        <f t="shared" si="203"/>
        <v>606.79799720201379</v>
      </c>
      <c r="AA304" s="15">
        <f t="shared" si="178"/>
        <v>22.170849845882874</v>
      </c>
      <c r="AB304" s="75">
        <f>AA304*(1-PARAM!$C$27)*$I$9+(MOD($B304,60)=PARAM!$B$56)*($B304&gt;(60-PARAM!$B$56))*HLOOKUP(($B304+PARAM!$B$56)/12,Loyalty,2)*$F$1*MAX(AD303,0)</f>
        <v>18.557001321003963</v>
      </c>
      <c r="AC304" s="75">
        <f>PARAM!$C$26+MAX($G$9-CHOOSE(PARAM!$B$44,MAX(0,AD303*$F$1),0),0)*RATES!$L280/12+$H$9*(PARAM!$D$51/12)*RATES!$N280/100</f>
        <v>23.767436795582892</v>
      </c>
      <c r="AD304" s="16">
        <f t="shared" si="204"/>
        <v>606.79799720201379</v>
      </c>
      <c r="AE304" s="15">
        <f t="shared" si="179"/>
        <v>22.170849845882874</v>
      </c>
      <c r="AF304" s="75">
        <f>AE304*(1-PARAM!$C$27)*$I$10+(MOD($B304,60)=PARAM!$B$56)*($B304&gt;(60-PARAM!$B$56))*HLOOKUP(($B304+PARAM!$B$56)/12,Loyalty,2)*$F$1*MAX(AH303,0)</f>
        <v>18.557001321003963</v>
      </c>
      <c r="AG304" s="75">
        <f>PARAM!$C$26+MAX($G$10-CHOOSE(PARAM!$B$44,MAX(0,AH303*$F$1),0),0)*RATES!$L280/12+$H$10*(PARAM!$D$51/12)*RATES!$N280/100</f>
        <v>23.767436795582892</v>
      </c>
      <c r="AH304" s="16">
        <f t="shared" si="205"/>
        <v>606.79799720201379</v>
      </c>
      <c r="AI304" s="15">
        <f t="shared" si="180"/>
        <v>22.170849845882874</v>
      </c>
      <c r="AJ304" s="75">
        <f>AI304*(1-PARAM!$C$27)*$I$11+(MOD($B304,60)=PARAM!$B$56)*($B304&gt;(60-PARAM!$B$56))*HLOOKUP(($B304+PARAM!$B$56)/12,Loyalty,2)*$F$1*MAX(AL303,0)</f>
        <v>18.557001321003963</v>
      </c>
      <c r="AK304" s="75">
        <f>PARAM!$C$26+MAX($G$11-CHOOSE(PARAM!$B$44,MAX(0,AL303*$F$1),0),0)*RATES!$L280/12+$H$11*(PARAM!$D$51/12)*RATES!$N280/100</f>
        <v>23.767436795582892</v>
      </c>
      <c r="AL304" s="16">
        <f t="shared" si="206"/>
        <v>606.79799720201379</v>
      </c>
      <c r="AM304" s="15">
        <f t="shared" si="181"/>
        <v>22.170849845882874</v>
      </c>
      <c r="AN304" s="75">
        <f>AM304*(1-PARAM!$C$27)*$I$12+(MOD($B304,60)=PARAM!$B$56)*($B304&gt;(60-PARAM!$B$56))*HLOOKUP(($B304+PARAM!$B$56)/12,Loyalty,2)*$F$1*MAX(AP303,0)</f>
        <v>18.557001321003963</v>
      </c>
      <c r="AO304" s="75">
        <f>PARAM!$C$26+MAX($G$12-CHOOSE(PARAM!$B$44,MAX(0,AP303*$F$1),0),0)*RATES!$L280/12+$H$12*(PARAM!$D$51/12)*RATES!$N280/100</f>
        <v>23.767436795582892</v>
      </c>
      <c r="AP304" s="16">
        <f t="shared" si="207"/>
        <v>606.79799720201379</v>
      </c>
      <c r="AQ304" s="15">
        <f t="shared" si="182"/>
        <v>22.170849845882874</v>
      </c>
      <c r="AR304" s="75">
        <f>AQ304*(1-PARAM!$C$27)*$I$13+(MOD($B304,60)=PARAM!$B$56)*($B304&gt;(60-PARAM!$B$56))*HLOOKUP(($B304+PARAM!$B$56)/12,Loyalty,2)*$F$1*MAX(AT303,0)</f>
        <v>18.557001321003963</v>
      </c>
      <c r="AS304" s="75">
        <f>PARAM!$C$26+MAX($G$13-CHOOSE(PARAM!$B$44,MAX(0,AT303*$F$1),0),0)*RATES!$L280/12+$H$13*(PARAM!$D$51/12)*RATES!$N280/100</f>
        <v>23.767436795582892</v>
      </c>
      <c r="AT304" s="16">
        <f t="shared" si="208"/>
        <v>606.79799720201379</v>
      </c>
      <c r="AU304" s="15">
        <f t="shared" si="183"/>
        <v>22.170849845882874</v>
      </c>
      <c r="AV304" s="75">
        <f>AU304*(1-PARAM!$C$27)*$I$14+(MOD($B304,60)=PARAM!$B$56)*($B304&gt;(60-PARAM!$B$56))*HLOOKUP(($B304+PARAM!$B$56)/12,Loyalty,2)*$F$1*MAX(AX303,0)</f>
        <v>18.557001321003963</v>
      </c>
      <c r="AW304" s="75">
        <f>PARAM!$C$26+MAX($G$14-CHOOSE(PARAM!$B$44,MAX(0,AX303*$F$1),0),0)*RATES!$L280/12+$H$14*(PARAM!$D$51/12)*RATES!$N280/100</f>
        <v>23.767436795582892</v>
      </c>
      <c r="AX304" s="16">
        <f t="shared" si="209"/>
        <v>606.79799720201379</v>
      </c>
      <c r="AY304" s="15">
        <f t="shared" si="184"/>
        <v>22.170849845882874</v>
      </c>
      <c r="AZ304" s="75">
        <f>AY304*(1-PARAM!$C$27)*$I$15+(MOD($B304,60)=PARAM!$B$56)*($B304&gt;(60-PARAM!$B$56))*HLOOKUP(($B304+PARAM!$B$56)/12,Loyalty,2)*$F$1*MAX(BB303,0)</f>
        <v>18.557001321003963</v>
      </c>
      <c r="BA304" s="75">
        <f>PARAM!$C$26+MAX($G$15-CHOOSE(PARAM!$B$44,MAX(0,BB303*$F$1),0),0)*RATES!$L280/12+$H$15*(PARAM!$D$51/12)*RATES!$N280/100</f>
        <v>23.767436795582892</v>
      </c>
      <c r="BB304" s="16">
        <f t="shared" si="210"/>
        <v>606.79799720201379</v>
      </c>
      <c r="BC304" s="15">
        <f t="shared" si="185"/>
        <v>22.170849845882874</v>
      </c>
      <c r="BD304" s="75">
        <f>BC304*(1-PARAM!$C$27)*$I$16+(MOD($B304,60)=PARAM!$B$56)*($B304&gt;(60-PARAM!$B$56))*HLOOKUP(($B304+PARAM!$B$56)/12,Loyalty,2)*$F$1*MAX(BF303,0)</f>
        <v>18.557001321003963</v>
      </c>
      <c r="BE304" s="75">
        <f>PARAM!$C$26+MAX($G$16-CHOOSE(PARAM!$B$44,MAX(0,BF303*$F$1),0),0)*RATES!$L280/12+$H$16*(PARAM!$D$51/12)*RATES!$N280/100</f>
        <v>23.767436795582892</v>
      </c>
      <c r="BF304" s="16">
        <f t="shared" si="211"/>
        <v>606.79799720201379</v>
      </c>
      <c r="BG304" s="15">
        <f t="shared" si="186"/>
        <v>22.170849845882874</v>
      </c>
      <c r="BH304" s="75">
        <f>BG304*(1-PARAM!$C$27)*$I$17+(MOD($B304,60)=PARAM!$B$56)*($B304&gt;(60-PARAM!$B$56))*HLOOKUP(($B304+PARAM!$B$56)/12,Loyalty,2)*$F$1*MAX(BJ303,0)</f>
        <v>18.557001321003963</v>
      </c>
      <c r="BI304" s="75">
        <f>PARAM!$C$26+MAX($G$17-CHOOSE(PARAM!$B$44,MAX(0,BJ303*$F$1),0),0)*RATES!$L280/12+$H$17*(PARAM!$D$51/12)*RATES!$N280/100</f>
        <v>23.767436795582892</v>
      </c>
      <c r="BJ304" s="16">
        <f t="shared" si="212"/>
        <v>606.79799720201379</v>
      </c>
      <c r="BK304" s="15">
        <f t="shared" si="187"/>
        <v>22.170849845882874</v>
      </c>
      <c r="BL304" s="75">
        <f>BK304*(1-PARAM!$C$27)*$I$18+(MOD($B304,60)=PARAM!$B$56)*($B304&gt;(60-PARAM!$B$56))*HLOOKUP(($B304+PARAM!$B$56)/12,Loyalty,2)*$F$1*MAX(BN303,0)</f>
        <v>18.557001321003963</v>
      </c>
      <c r="BM304" s="75">
        <f>PARAM!$C$26+MAX($G$18-CHOOSE(PARAM!$B$44,MAX(0,BN303*$F$1),0),0)*RATES!$L280/12+$H$18*(PARAM!$D$51/12)*RATES!$N280/100</f>
        <v>23.767436795582892</v>
      </c>
      <c r="BN304" s="16">
        <f t="shared" si="213"/>
        <v>606.79799720201379</v>
      </c>
      <c r="BO304" s="15">
        <f t="shared" si="188"/>
        <v>22.170849845882874</v>
      </c>
      <c r="BP304" s="75">
        <f>BO304*(1-PARAM!$C$27)*$I$19+(MOD($B304,60)=PARAM!$B$56)*($B304&gt;(60-PARAM!$B$56))*HLOOKUP(($B304+PARAM!$B$56)/12,Loyalty,2)*$F$1*MAX(BR303,0)</f>
        <v>18.557001321003963</v>
      </c>
      <c r="BQ304" s="75">
        <f>PARAM!$C$26+MAX($G$19-CHOOSE(PARAM!$B$44,MAX(0,BR303*$F$1),0),0)*RATES!$L280/12+$H$19*(PARAM!$D$51/12)*RATES!$N280/100</f>
        <v>23.767436795582892</v>
      </c>
      <c r="BR304" s="16">
        <f t="shared" si="214"/>
        <v>606.79799720201379</v>
      </c>
      <c r="BS304" s="15">
        <f t="shared" si="189"/>
        <v>22.170849845882874</v>
      </c>
      <c r="BT304" s="75">
        <f>BS304*(1-PARAM!$C$27)*$I$20+(MOD($B304,60)=PARAM!$B$56)*($B304&gt;(60-PARAM!$B$56))*HLOOKUP(($B304+PARAM!$B$56)/12,Loyalty,2)*$F$1*MAX(BV303,0)</f>
        <v>18.557001321003963</v>
      </c>
      <c r="BU304" s="75">
        <f>PARAM!$C$26+MAX($G$20-CHOOSE(PARAM!$B$44,MAX(0,BV303*$F$1),0),0)*RATES!$L280/12+$H$20*(PARAM!$D$51/12)*RATES!$N280/100</f>
        <v>23.767436795582892</v>
      </c>
      <c r="BV304" s="16">
        <f t="shared" si="215"/>
        <v>606.79799720201379</v>
      </c>
      <c r="BW304" s="15">
        <f t="shared" si="190"/>
        <v>22.170849845882874</v>
      </c>
      <c r="BX304" s="75">
        <f>BW304*(1-PARAM!$C$27)*$I$21+(MOD($B304,60)=PARAM!$B$56)*($B304&gt;(60-PARAM!$B$56))*HLOOKUP(($B304+PARAM!$B$56)/12,Loyalty,2)*$F$1*MAX(BZ303,0)</f>
        <v>18.557001321003963</v>
      </c>
      <c r="BY304" s="75">
        <f>PARAM!$C$26+MAX($G$21-CHOOSE(PARAM!$B$44,MAX(0,BZ303*$F$1),0),0)*RATES!$L280/12+$H$21*(PARAM!$D$51/12)*RATES!$N280/100</f>
        <v>23.767436795582892</v>
      </c>
      <c r="BZ304" s="16">
        <f t="shared" si="216"/>
        <v>606.79799720201379</v>
      </c>
      <c r="CA304" s="15">
        <f t="shared" si="191"/>
        <v>22.170849845882874</v>
      </c>
      <c r="CB304" s="75">
        <f>CA304*(1-PARAM!$C$27)*$I$22+(MOD($B304,60)=PARAM!$B$56)*($B304&gt;(60-PARAM!$B$56))*HLOOKUP(($B304+PARAM!$B$56)/12,Loyalty,2)*$F$1*MAX(CD303,0)</f>
        <v>18.557001321003963</v>
      </c>
      <c r="CC304" s="75">
        <f>PARAM!$C$26+MAX($G$22-CHOOSE(PARAM!$B$44,MAX(0,CD303*$F$1),0),0)*RATES!$L280/12+$H$22*(PARAM!$D$51/12)*RATES!$N280/100</f>
        <v>23.767436795582892</v>
      </c>
      <c r="CD304" s="16">
        <f t="shared" si="217"/>
        <v>606.79799720201379</v>
      </c>
      <c r="CE304" s="33">
        <f>IF(0=MOD(B304,12/PARAM!$D$51),1,0)</f>
        <v>1</v>
      </c>
      <c r="CF304" s="15">
        <f t="shared" si="192"/>
        <v>0</v>
      </c>
      <c r="CG304" s="75">
        <f>CF304*(1-PARAM!$C$27)*$R$3+(MOD($B304/12,5)=0)*($B304&gt;60)*HLOOKUP($B304/12,Loyalty,2)*$F$1*MAX(CI303,0)</f>
        <v>0</v>
      </c>
      <c r="CH304" s="75">
        <f>PARAM!$C$26+MAX($P$3-CHOOSE(PARAM!$B$44,MAX(0,CI303*$F$1),0),0)*RATES!$L280/12+$Q$3*(PARAM!$D$51/12)*RATES!$N280/100</f>
        <v>24</v>
      </c>
      <c r="CI304" s="16">
        <f>IF(CI303&gt;0,CI303*PARAM!$C$53,CI303)+CG304-CH304</f>
        <v>-4391.4999999999927</v>
      </c>
      <c r="CJ304" s="15">
        <f t="shared" si="218"/>
        <v>0</v>
      </c>
      <c r="CK304" s="75">
        <f>CJ304*(1-PARAM!$C$27)*$R$4+(MOD($B304/12,5)=0)*($B304&gt;60)*HLOOKUP($B304/12,Loyalty,2)*$F$1*MAX(CM303,0)</f>
        <v>0</v>
      </c>
      <c r="CL304" s="75">
        <f>PARAM!$C$26+MAX($P$4-CHOOSE(PARAM!$B$44,MAX(0,CM303*$F$1),0),0)*RATES!$L280/12+$Q$4*(PARAM!$D$51/12)*RATES!$N280/100</f>
        <v>24</v>
      </c>
      <c r="CM304" s="16">
        <f>IF(CM303&gt;0,CM303*PARAM!$C$53,CM303)+CK304-CL304</f>
        <v>-4391.4999999999927</v>
      </c>
      <c r="CO304" s="176"/>
    </row>
    <row r="305" spans="1:93" x14ac:dyDescent="0.2">
      <c r="A305" t="b">
        <f t="shared" si="193"/>
        <v>1</v>
      </c>
      <c r="B305" s="33">
        <v>278</v>
      </c>
      <c r="C305" s="15">
        <f t="shared" si="194"/>
        <v>20.081305947392778</v>
      </c>
      <c r="D305" s="75">
        <f>C305*(1-PARAM!$C$27)*$I$3+(MOD($B305,60)=PARAM!$B$56)*($B305&gt;(60-PARAM!$B$56))*HLOOKUP(($B305+PARAM!$B$56)/12,Loyalty,2)*$F$1*MAX(F304,0)</f>
        <v>16.808053077967756</v>
      </c>
      <c r="E305" s="75">
        <f>PARAM!$C$26+MAX($G$3-CHOOSE(PARAM!$B$44,MAX(0,F304*$F$1),0),0)*RATES!$L281/12+$H$3*(PARAM!$D$51/12)*RATES!$N281/100</f>
        <v>23.959111776533412</v>
      </c>
      <c r="F305" s="16">
        <f t="shared" si="195"/>
        <v>100.44952937140314</v>
      </c>
      <c r="G305" s="15">
        <f t="shared" si="196"/>
        <v>22.035289406060361</v>
      </c>
      <c r="H305" s="75">
        <f>G305*(1-PARAM!$C$27)*$I$4+(MOD($B305,60)=PARAM!$B$56)*($B305&gt;(60-PARAM!$B$56))*HLOOKUP(($B305+PARAM!$B$56)/12,Loyalty,2)*$F$1*MAX(J304,0)</f>
        <v>18.443537232872522</v>
      </c>
      <c r="I305" s="75">
        <f>PARAM!$C$26+MAX($G$4-CHOOSE(PARAM!$B$44,MAX(0,J304*$F$1),0),0)*RATES!$L281/12+$H$4*(PARAM!$D$51/12)*RATES!$N281/100</f>
        <v>23.781729467141357</v>
      </c>
      <c r="J305" s="16">
        <f t="shared" si="197"/>
        <v>569.05794686741626</v>
      </c>
      <c r="K305" s="15">
        <f t="shared" si="198"/>
        <v>22.170849845882874</v>
      </c>
      <c r="L305" s="75">
        <f>K305*(1-PARAM!$C$27)*$I$5+(MOD($B305,60)=PARAM!$B$56)*($B305&gt;(60-PARAM!$B$56))*HLOOKUP(($B305+PARAM!$B$56)/12,Loyalty,2)*$F$1*MAX(N304,0)</f>
        <v>18.557001321003963</v>
      </c>
      <c r="M305" s="75">
        <f>PARAM!$C$26+MAX($G$5-CHOOSE(PARAM!$B$44,MAX(0,N304*$F$1),0),0)*RATES!$L281/12+$H$5*(PARAM!$D$51/12)*RATES!$N281/100</f>
        <v>23.769416761063237</v>
      </c>
      <c r="N305" s="16">
        <f t="shared" si="199"/>
        <v>601.58558176195459</v>
      </c>
      <c r="O305" s="15">
        <f t="shared" si="200"/>
        <v>22.170849845882874</v>
      </c>
      <c r="P305" s="75">
        <f>O305*(1-PARAM!$C$27)*$I$6+(MOD($B305,60)=PARAM!$B$56)*($B305&gt;(60-PARAM!$B$56))*HLOOKUP(($B305+PARAM!$B$56)/12,Loyalty,2)*$F$1*MAX(R304,0)</f>
        <v>18.557001321003963</v>
      </c>
      <c r="Q305" s="75">
        <f>PARAM!$C$26+MAX($G$6-CHOOSE(PARAM!$B$44,MAX(0,R304*$F$1),0),0)*RATES!$L281/12+$H$6*(PARAM!$D$51/12)*RATES!$N281/100</f>
        <v>23.769416761063237</v>
      </c>
      <c r="R305" s="16">
        <f t="shared" si="201"/>
        <v>601.58558176195459</v>
      </c>
      <c r="S305" s="15">
        <f t="shared" si="176"/>
        <v>22.170849845882874</v>
      </c>
      <c r="T305" s="75">
        <f>S305*(1-PARAM!$C$27)*$I$7+(MOD($B305,60)=PARAM!$B$56)*($B305&gt;(60-PARAM!$B$56))*HLOOKUP(($B305+PARAM!$B$56)/12,Loyalty,2)*$F$1*MAX(V304,0)</f>
        <v>18.557001321003963</v>
      </c>
      <c r="U305" s="75">
        <f>PARAM!$C$26+MAX($G$7-CHOOSE(PARAM!$B$44,MAX(0,V304*$F$1),0),0)*RATES!$L281/12+$H$7*(PARAM!$D$51/12)*RATES!$N281/100</f>
        <v>23.769416761063237</v>
      </c>
      <c r="V305" s="16">
        <f t="shared" si="202"/>
        <v>601.58558176195459</v>
      </c>
      <c r="W305" s="15">
        <f t="shared" si="177"/>
        <v>22.170849845882874</v>
      </c>
      <c r="X305" s="75">
        <f>W305*(1-PARAM!$C$27)*$I$8+(MOD($B305,60)=PARAM!$B$56)*($B305&gt;(60-PARAM!$B$56))*HLOOKUP(($B305+PARAM!$B$56)/12,Loyalty,2)*$F$1*MAX(Z304,0)</f>
        <v>18.557001321003963</v>
      </c>
      <c r="Y305" s="75">
        <f>PARAM!$C$26+MAX($G$8-CHOOSE(PARAM!$B$44,MAX(0,Z304*$F$1),0),0)*RATES!$L281/12+$H$8*(PARAM!$D$51/12)*RATES!$N281/100</f>
        <v>23.769416761063237</v>
      </c>
      <c r="Z305" s="16">
        <f t="shared" si="203"/>
        <v>601.58558176195459</v>
      </c>
      <c r="AA305" s="15">
        <f t="shared" si="178"/>
        <v>22.170849845882874</v>
      </c>
      <c r="AB305" s="75">
        <f>AA305*(1-PARAM!$C$27)*$I$9+(MOD($B305,60)=PARAM!$B$56)*($B305&gt;(60-PARAM!$B$56))*HLOOKUP(($B305+PARAM!$B$56)/12,Loyalty,2)*$F$1*MAX(AD304,0)</f>
        <v>18.557001321003963</v>
      </c>
      <c r="AC305" s="75">
        <f>PARAM!$C$26+MAX($G$9-CHOOSE(PARAM!$B$44,MAX(0,AD304*$F$1),0),0)*RATES!$L281/12+$H$9*(PARAM!$D$51/12)*RATES!$N281/100</f>
        <v>23.769416761063237</v>
      </c>
      <c r="AD305" s="16">
        <f t="shared" si="204"/>
        <v>601.58558176195459</v>
      </c>
      <c r="AE305" s="15">
        <f t="shared" si="179"/>
        <v>22.170849845882874</v>
      </c>
      <c r="AF305" s="75">
        <f>AE305*(1-PARAM!$C$27)*$I$10+(MOD($B305,60)=PARAM!$B$56)*($B305&gt;(60-PARAM!$B$56))*HLOOKUP(($B305+PARAM!$B$56)/12,Loyalty,2)*$F$1*MAX(AH304,0)</f>
        <v>18.557001321003963</v>
      </c>
      <c r="AG305" s="75">
        <f>PARAM!$C$26+MAX($G$10-CHOOSE(PARAM!$B$44,MAX(0,AH304*$F$1),0),0)*RATES!$L281/12+$H$10*(PARAM!$D$51/12)*RATES!$N281/100</f>
        <v>23.769416761063237</v>
      </c>
      <c r="AH305" s="16">
        <f t="shared" si="205"/>
        <v>601.58558176195459</v>
      </c>
      <c r="AI305" s="15">
        <f t="shared" si="180"/>
        <v>22.170849845882874</v>
      </c>
      <c r="AJ305" s="75">
        <f>AI305*(1-PARAM!$C$27)*$I$11+(MOD($B305,60)=PARAM!$B$56)*($B305&gt;(60-PARAM!$B$56))*HLOOKUP(($B305+PARAM!$B$56)/12,Loyalty,2)*$F$1*MAX(AL304,0)</f>
        <v>18.557001321003963</v>
      </c>
      <c r="AK305" s="75">
        <f>PARAM!$C$26+MAX($G$11-CHOOSE(PARAM!$B$44,MAX(0,AL304*$F$1),0),0)*RATES!$L281/12+$H$11*(PARAM!$D$51/12)*RATES!$N281/100</f>
        <v>23.769416761063237</v>
      </c>
      <c r="AL305" s="16">
        <f t="shared" si="206"/>
        <v>601.58558176195459</v>
      </c>
      <c r="AM305" s="15">
        <f t="shared" si="181"/>
        <v>22.170849845882874</v>
      </c>
      <c r="AN305" s="75">
        <f>AM305*(1-PARAM!$C$27)*$I$12+(MOD($B305,60)=PARAM!$B$56)*($B305&gt;(60-PARAM!$B$56))*HLOOKUP(($B305+PARAM!$B$56)/12,Loyalty,2)*$F$1*MAX(AP304,0)</f>
        <v>18.557001321003963</v>
      </c>
      <c r="AO305" s="75">
        <f>PARAM!$C$26+MAX($G$12-CHOOSE(PARAM!$B$44,MAX(0,AP304*$F$1),0),0)*RATES!$L281/12+$H$12*(PARAM!$D$51/12)*RATES!$N281/100</f>
        <v>23.769416761063237</v>
      </c>
      <c r="AP305" s="16">
        <f t="shared" si="207"/>
        <v>601.58558176195459</v>
      </c>
      <c r="AQ305" s="15">
        <f t="shared" si="182"/>
        <v>22.170849845882874</v>
      </c>
      <c r="AR305" s="75">
        <f>AQ305*(1-PARAM!$C$27)*$I$13+(MOD($B305,60)=PARAM!$B$56)*($B305&gt;(60-PARAM!$B$56))*HLOOKUP(($B305+PARAM!$B$56)/12,Loyalty,2)*$F$1*MAX(AT304,0)</f>
        <v>18.557001321003963</v>
      </c>
      <c r="AS305" s="75">
        <f>PARAM!$C$26+MAX($G$13-CHOOSE(PARAM!$B$44,MAX(0,AT304*$F$1),0),0)*RATES!$L281/12+$H$13*(PARAM!$D$51/12)*RATES!$N281/100</f>
        <v>23.769416761063237</v>
      </c>
      <c r="AT305" s="16">
        <f t="shared" si="208"/>
        <v>601.58558176195459</v>
      </c>
      <c r="AU305" s="15">
        <f t="shared" si="183"/>
        <v>22.170849845882874</v>
      </c>
      <c r="AV305" s="75">
        <f>AU305*(1-PARAM!$C$27)*$I$14+(MOD($B305,60)=PARAM!$B$56)*($B305&gt;(60-PARAM!$B$56))*HLOOKUP(($B305+PARAM!$B$56)/12,Loyalty,2)*$F$1*MAX(AX304,0)</f>
        <v>18.557001321003963</v>
      </c>
      <c r="AW305" s="75">
        <f>PARAM!$C$26+MAX($G$14-CHOOSE(PARAM!$B$44,MAX(0,AX304*$F$1),0),0)*RATES!$L281/12+$H$14*(PARAM!$D$51/12)*RATES!$N281/100</f>
        <v>23.769416761063237</v>
      </c>
      <c r="AX305" s="16">
        <f t="shared" si="209"/>
        <v>601.58558176195459</v>
      </c>
      <c r="AY305" s="15">
        <f t="shared" si="184"/>
        <v>22.170849845882874</v>
      </c>
      <c r="AZ305" s="75">
        <f>AY305*(1-PARAM!$C$27)*$I$15+(MOD($B305,60)=PARAM!$B$56)*($B305&gt;(60-PARAM!$B$56))*HLOOKUP(($B305+PARAM!$B$56)/12,Loyalty,2)*$F$1*MAX(BB304,0)</f>
        <v>18.557001321003963</v>
      </c>
      <c r="BA305" s="75">
        <f>PARAM!$C$26+MAX($G$15-CHOOSE(PARAM!$B$44,MAX(0,BB304*$F$1),0),0)*RATES!$L281/12+$H$15*(PARAM!$D$51/12)*RATES!$N281/100</f>
        <v>23.769416761063237</v>
      </c>
      <c r="BB305" s="16">
        <f t="shared" si="210"/>
        <v>601.58558176195459</v>
      </c>
      <c r="BC305" s="15">
        <f t="shared" si="185"/>
        <v>22.170849845882874</v>
      </c>
      <c r="BD305" s="75">
        <f>BC305*(1-PARAM!$C$27)*$I$16+(MOD($B305,60)=PARAM!$B$56)*($B305&gt;(60-PARAM!$B$56))*HLOOKUP(($B305+PARAM!$B$56)/12,Loyalty,2)*$F$1*MAX(BF304,0)</f>
        <v>18.557001321003963</v>
      </c>
      <c r="BE305" s="75">
        <f>PARAM!$C$26+MAX($G$16-CHOOSE(PARAM!$B$44,MAX(0,BF304*$F$1),0),0)*RATES!$L281/12+$H$16*(PARAM!$D$51/12)*RATES!$N281/100</f>
        <v>23.769416761063237</v>
      </c>
      <c r="BF305" s="16">
        <f t="shared" si="211"/>
        <v>601.58558176195459</v>
      </c>
      <c r="BG305" s="15">
        <f t="shared" si="186"/>
        <v>22.170849845882874</v>
      </c>
      <c r="BH305" s="75">
        <f>BG305*(1-PARAM!$C$27)*$I$17+(MOD($B305,60)=PARAM!$B$56)*($B305&gt;(60-PARAM!$B$56))*HLOOKUP(($B305+PARAM!$B$56)/12,Loyalty,2)*$F$1*MAX(BJ304,0)</f>
        <v>18.557001321003963</v>
      </c>
      <c r="BI305" s="75">
        <f>PARAM!$C$26+MAX($G$17-CHOOSE(PARAM!$B$44,MAX(0,BJ304*$F$1),0),0)*RATES!$L281/12+$H$17*(PARAM!$D$51/12)*RATES!$N281/100</f>
        <v>23.769416761063237</v>
      </c>
      <c r="BJ305" s="16">
        <f t="shared" si="212"/>
        <v>601.58558176195459</v>
      </c>
      <c r="BK305" s="15">
        <f t="shared" si="187"/>
        <v>22.170849845882874</v>
      </c>
      <c r="BL305" s="75">
        <f>BK305*(1-PARAM!$C$27)*$I$18+(MOD($B305,60)=PARAM!$B$56)*($B305&gt;(60-PARAM!$B$56))*HLOOKUP(($B305+PARAM!$B$56)/12,Loyalty,2)*$F$1*MAX(BN304,0)</f>
        <v>18.557001321003963</v>
      </c>
      <c r="BM305" s="75">
        <f>PARAM!$C$26+MAX($G$18-CHOOSE(PARAM!$B$44,MAX(0,BN304*$F$1),0),0)*RATES!$L281/12+$H$18*(PARAM!$D$51/12)*RATES!$N281/100</f>
        <v>23.769416761063237</v>
      </c>
      <c r="BN305" s="16">
        <f t="shared" si="213"/>
        <v>601.58558176195459</v>
      </c>
      <c r="BO305" s="15">
        <f t="shared" si="188"/>
        <v>22.170849845882874</v>
      </c>
      <c r="BP305" s="75">
        <f>BO305*(1-PARAM!$C$27)*$I$19+(MOD($B305,60)=PARAM!$B$56)*($B305&gt;(60-PARAM!$B$56))*HLOOKUP(($B305+PARAM!$B$56)/12,Loyalty,2)*$F$1*MAX(BR304,0)</f>
        <v>18.557001321003963</v>
      </c>
      <c r="BQ305" s="75">
        <f>PARAM!$C$26+MAX($G$19-CHOOSE(PARAM!$B$44,MAX(0,BR304*$F$1),0),0)*RATES!$L281/12+$H$19*(PARAM!$D$51/12)*RATES!$N281/100</f>
        <v>23.769416761063237</v>
      </c>
      <c r="BR305" s="16">
        <f t="shared" si="214"/>
        <v>601.58558176195459</v>
      </c>
      <c r="BS305" s="15">
        <f t="shared" si="189"/>
        <v>22.170849845882874</v>
      </c>
      <c r="BT305" s="75">
        <f>BS305*(1-PARAM!$C$27)*$I$20+(MOD($B305,60)=PARAM!$B$56)*($B305&gt;(60-PARAM!$B$56))*HLOOKUP(($B305+PARAM!$B$56)/12,Loyalty,2)*$F$1*MAX(BV304,0)</f>
        <v>18.557001321003963</v>
      </c>
      <c r="BU305" s="75">
        <f>PARAM!$C$26+MAX($G$20-CHOOSE(PARAM!$B$44,MAX(0,BV304*$F$1),0),0)*RATES!$L281/12+$H$20*(PARAM!$D$51/12)*RATES!$N281/100</f>
        <v>23.769416761063237</v>
      </c>
      <c r="BV305" s="16">
        <f t="shared" si="215"/>
        <v>601.58558176195459</v>
      </c>
      <c r="BW305" s="15">
        <f t="shared" si="190"/>
        <v>22.170849845882874</v>
      </c>
      <c r="BX305" s="75">
        <f>BW305*(1-PARAM!$C$27)*$I$21+(MOD($B305,60)=PARAM!$B$56)*($B305&gt;(60-PARAM!$B$56))*HLOOKUP(($B305+PARAM!$B$56)/12,Loyalty,2)*$F$1*MAX(BZ304,0)</f>
        <v>18.557001321003963</v>
      </c>
      <c r="BY305" s="75">
        <f>PARAM!$C$26+MAX($G$21-CHOOSE(PARAM!$B$44,MAX(0,BZ304*$F$1),0),0)*RATES!$L281/12+$H$21*(PARAM!$D$51/12)*RATES!$N281/100</f>
        <v>23.769416761063237</v>
      </c>
      <c r="BZ305" s="16">
        <f t="shared" si="216"/>
        <v>601.58558176195459</v>
      </c>
      <c r="CA305" s="15">
        <f t="shared" si="191"/>
        <v>22.170849845882874</v>
      </c>
      <c r="CB305" s="75">
        <f>CA305*(1-PARAM!$C$27)*$I$22+(MOD($B305,60)=PARAM!$B$56)*($B305&gt;(60-PARAM!$B$56))*HLOOKUP(($B305+PARAM!$B$56)/12,Loyalty,2)*$F$1*MAX(CD304,0)</f>
        <v>18.557001321003963</v>
      </c>
      <c r="CC305" s="75">
        <f>PARAM!$C$26+MAX($G$22-CHOOSE(PARAM!$B$44,MAX(0,CD304*$F$1),0),0)*RATES!$L281/12+$H$22*(PARAM!$D$51/12)*RATES!$N281/100</f>
        <v>23.769416761063237</v>
      </c>
      <c r="CD305" s="16">
        <f t="shared" si="217"/>
        <v>601.58558176195459</v>
      </c>
      <c r="CE305" s="33">
        <f>IF(0=MOD(B305,12/PARAM!$D$51),1,0)</f>
        <v>1</v>
      </c>
      <c r="CF305" s="15">
        <f t="shared" si="192"/>
        <v>0</v>
      </c>
      <c r="CG305" s="75">
        <f>CF305*(1-PARAM!$C$27)*$R$3+(MOD($B305/12,5)=0)*($B305&gt;60)*HLOOKUP($B305/12,Loyalty,2)*$F$1*MAX(CI304,0)</f>
        <v>0</v>
      </c>
      <c r="CH305" s="75">
        <f>PARAM!$C$26+MAX($P$3-CHOOSE(PARAM!$B$44,MAX(0,CI304*$F$1),0),0)*RATES!$L281/12+$Q$3*(PARAM!$D$51/12)*RATES!$N281/100</f>
        <v>24</v>
      </c>
      <c r="CI305" s="16">
        <f>IF(CI304&gt;0,CI304*PARAM!$C$53,CI304)+CG305-CH305</f>
        <v>-4415.4999999999927</v>
      </c>
      <c r="CJ305" s="15">
        <f t="shared" si="218"/>
        <v>0</v>
      </c>
      <c r="CK305" s="75">
        <f>CJ305*(1-PARAM!$C$27)*$R$4+(MOD($B305/12,5)=0)*($B305&gt;60)*HLOOKUP($B305/12,Loyalty,2)*$F$1*MAX(CM304,0)</f>
        <v>0</v>
      </c>
      <c r="CL305" s="75">
        <f>PARAM!$C$26+MAX($P$4-CHOOSE(PARAM!$B$44,MAX(0,CM304*$F$1),0),0)*RATES!$L281/12+$Q$4*(PARAM!$D$51/12)*RATES!$N281/100</f>
        <v>24</v>
      </c>
      <c r="CM305" s="16">
        <f>IF(CM304&gt;0,CM304*PARAM!$C$53,CM304)+CK305-CL305</f>
        <v>-4415.4999999999927</v>
      </c>
      <c r="CO305" s="176"/>
    </row>
    <row r="306" spans="1:93" x14ac:dyDescent="0.2">
      <c r="A306" t="b">
        <f t="shared" si="193"/>
        <v>1</v>
      </c>
      <c r="B306" s="33">
        <v>279</v>
      </c>
      <c r="C306" s="15">
        <f t="shared" si="194"/>
        <v>20.081305947392778</v>
      </c>
      <c r="D306" s="75">
        <f>C306*(1-PARAM!$C$27)*$I$3+(MOD($B306,60)=PARAM!$B$56)*($B306&gt;(60-PARAM!$B$56))*HLOOKUP(($B306+PARAM!$B$56)/12,Loyalty,2)*$F$1*MAX(F305,0)</f>
        <v>16.808053077967756</v>
      </c>
      <c r="E306" s="75">
        <f>PARAM!$C$26+MAX($G$3-CHOOSE(PARAM!$B$44,MAX(0,F305*$F$1),0),0)*RATES!$L282/12+$H$3*(PARAM!$D$51/12)*RATES!$N282/100</f>
        <v>23.961829178838865</v>
      </c>
      <c r="F306" s="16">
        <f t="shared" si="195"/>
        <v>93.295753270532032</v>
      </c>
      <c r="G306" s="15">
        <f t="shared" si="196"/>
        <v>22.035289406060361</v>
      </c>
      <c r="H306" s="75">
        <f>G306*(1-PARAM!$C$27)*$I$4+(MOD($B306,60)=PARAM!$B$56)*($B306&gt;(60-PARAM!$B$56))*HLOOKUP(($B306+PARAM!$B$56)/12,Loyalty,2)*$F$1*MAX(J305,0)</f>
        <v>18.443537232872522</v>
      </c>
      <c r="I306" s="75">
        <f>PARAM!$C$26+MAX($G$4-CHOOSE(PARAM!$B$44,MAX(0,J305*$F$1),0),0)*RATES!$L282/12+$H$4*(PARAM!$D$51/12)*RATES!$N282/100</f>
        <v>23.78375798019038</v>
      </c>
      <c r="J306" s="16">
        <f t="shared" si="197"/>
        <v>563.7177261200984</v>
      </c>
      <c r="K306" s="15">
        <f t="shared" si="198"/>
        <v>22.170849845882874</v>
      </c>
      <c r="L306" s="75">
        <f>K306*(1-PARAM!$C$27)*$I$5+(MOD($B306,60)=PARAM!$B$56)*($B306&gt;(60-PARAM!$B$56))*HLOOKUP(($B306+PARAM!$B$56)/12,Loyalty,2)*$F$1*MAX(N305,0)</f>
        <v>18.557001321003963</v>
      </c>
      <c r="M306" s="75">
        <f>PARAM!$C$26+MAX($G$5-CHOOSE(PARAM!$B$44,MAX(0,N305*$F$1),0),0)*RATES!$L282/12+$H$5*(PARAM!$D$51/12)*RATES!$N282/100</f>
        <v>23.771397478930457</v>
      </c>
      <c r="N306" s="16">
        <f t="shared" si="199"/>
        <v>596.37118560402814</v>
      </c>
      <c r="O306" s="15">
        <f t="shared" si="200"/>
        <v>22.170849845882874</v>
      </c>
      <c r="P306" s="75">
        <f>O306*(1-PARAM!$C$27)*$I$6+(MOD($B306,60)=PARAM!$B$56)*($B306&gt;(60-PARAM!$B$56))*HLOOKUP(($B306+PARAM!$B$56)/12,Loyalty,2)*$F$1*MAX(R305,0)</f>
        <v>18.557001321003963</v>
      </c>
      <c r="Q306" s="75">
        <f>PARAM!$C$26+MAX($G$6-CHOOSE(PARAM!$B$44,MAX(0,R305*$F$1),0),0)*RATES!$L282/12+$H$6*(PARAM!$D$51/12)*RATES!$N282/100</f>
        <v>23.771397478930457</v>
      </c>
      <c r="R306" s="16">
        <f t="shared" si="201"/>
        <v>596.37118560402814</v>
      </c>
      <c r="S306" s="15">
        <f t="shared" si="176"/>
        <v>22.170849845882874</v>
      </c>
      <c r="T306" s="75">
        <f>S306*(1-PARAM!$C$27)*$I$7+(MOD($B306,60)=PARAM!$B$56)*($B306&gt;(60-PARAM!$B$56))*HLOOKUP(($B306+PARAM!$B$56)/12,Loyalty,2)*$F$1*MAX(V305,0)</f>
        <v>18.557001321003963</v>
      </c>
      <c r="U306" s="75">
        <f>PARAM!$C$26+MAX($G$7-CHOOSE(PARAM!$B$44,MAX(0,V305*$F$1),0),0)*RATES!$L282/12+$H$7*(PARAM!$D$51/12)*RATES!$N282/100</f>
        <v>23.771397478930457</v>
      </c>
      <c r="V306" s="16">
        <f t="shared" si="202"/>
        <v>596.37118560402814</v>
      </c>
      <c r="W306" s="15">
        <f t="shared" si="177"/>
        <v>22.170849845882874</v>
      </c>
      <c r="X306" s="75">
        <f>W306*(1-PARAM!$C$27)*$I$8+(MOD($B306,60)=PARAM!$B$56)*($B306&gt;(60-PARAM!$B$56))*HLOOKUP(($B306+PARAM!$B$56)/12,Loyalty,2)*$F$1*MAX(Z305,0)</f>
        <v>18.557001321003963</v>
      </c>
      <c r="Y306" s="75">
        <f>PARAM!$C$26+MAX($G$8-CHOOSE(PARAM!$B$44,MAX(0,Z305*$F$1),0),0)*RATES!$L282/12+$H$8*(PARAM!$D$51/12)*RATES!$N282/100</f>
        <v>23.771397478930457</v>
      </c>
      <c r="Z306" s="16">
        <f t="shared" si="203"/>
        <v>596.37118560402814</v>
      </c>
      <c r="AA306" s="15">
        <f t="shared" si="178"/>
        <v>22.170849845882874</v>
      </c>
      <c r="AB306" s="75">
        <f>AA306*(1-PARAM!$C$27)*$I$9+(MOD($B306,60)=PARAM!$B$56)*($B306&gt;(60-PARAM!$B$56))*HLOOKUP(($B306+PARAM!$B$56)/12,Loyalty,2)*$F$1*MAX(AD305,0)</f>
        <v>18.557001321003963</v>
      </c>
      <c r="AC306" s="75">
        <f>PARAM!$C$26+MAX($G$9-CHOOSE(PARAM!$B$44,MAX(0,AD305*$F$1),0),0)*RATES!$L282/12+$H$9*(PARAM!$D$51/12)*RATES!$N282/100</f>
        <v>23.771397478930457</v>
      </c>
      <c r="AD306" s="16">
        <f t="shared" si="204"/>
        <v>596.37118560402814</v>
      </c>
      <c r="AE306" s="15">
        <f t="shared" si="179"/>
        <v>22.170849845882874</v>
      </c>
      <c r="AF306" s="75">
        <f>AE306*(1-PARAM!$C$27)*$I$10+(MOD($B306,60)=PARAM!$B$56)*($B306&gt;(60-PARAM!$B$56))*HLOOKUP(($B306+PARAM!$B$56)/12,Loyalty,2)*$F$1*MAX(AH305,0)</f>
        <v>18.557001321003963</v>
      </c>
      <c r="AG306" s="75">
        <f>PARAM!$C$26+MAX($G$10-CHOOSE(PARAM!$B$44,MAX(0,AH305*$F$1),0),0)*RATES!$L282/12+$H$10*(PARAM!$D$51/12)*RATES!$N282/100</f>
        <v>23.771397478930457</v>
      </c>
      <c r="AH306" s="16">
        <f t="shared" si="205"/>
        <v>596.37118560402814</v>
      </c>
      <c r="AI306" s="15">
        <f t="shared" si="180"/>
        <v>22.170849845882874</v>
      </c>
      <c r="AJ306" s="75">
        <f>AI306*(1-PARAM!$C$27)*$I$11+(MOD($B306,60)=PARAM!$B$56)*($B306&gt;(60-PARAM!$B$56))*HLOOKUP(($B306+PARAM!$B$56)/12,Loyalty,2)*$F$1*MAX(AL305,0)</f>
        <v>18.557001321003963</v>
      </c>
      <c r="AK306" s="75">
        <f>PARAM!$C$26+MAX($G$11-CHOOSE(PARAM!$B$44,MAX(0,AL305*$F$1),0),0)*RATES!$L282/12+$H$11*(PARAM!$D$51/12)*RATES!$N282/100</f>
        <v>23.771397478930457</v>
      </c>
      <c r="AL306" s="16">
        <f t="shared" si="206"/>
        <v>596.37118560402814</v>
      </c>
      <c r="AM306" s="15">
        <f t="shared" si="181"/>
        <v>22.170849845882874</v>
      </c>
      <c r="AN306" s="75">
        <f>AM306*(1-PARAM!$C$27)*$I$12+(MOD($B306,60)=PARAM!$B$56)*($B306&gt;(60-PARAM!$B$56))*HLOOKUP(($B306+PARAM!$B$56)/12,Loyalty,2)*$F$1*MAX(AP305,0)</f>
        <v>18.557001321003963</v>
      </c>
      <c r="AO306" s="75">
        <f>PARAM!$C$26+MAX($G$12-CHOOSE(PARAM!$B$44,MAX(0,AP305*$F$1),0),0)*RATES!$L282/12+$H$12*(PARAM!$D$51/12)*RATES!$N282/100</f>
        <v>23.771397478930457</v>
      </c>
      <c r="AP306" s="16">
        <f t="shared" si="207"/>
        <v>596.37118560402814</v>
      </c>
      <c r="AQ306" s="15">
        <f t="shared" si="182"/>
        <v>22.170849845882874</v>
      </c>
      <c r="AR306" s="75">
        <f>AQ306*(1-PARAM!$C$27)*$I$13+(MOD($B306,60)=PARAM!$B$56)*($B306&gt;(60-PARAM!$B$56))*HLOOKUP(($B306+PARAM!$B$56)/12,Loyalty,2)*$F$1*MAX(AT305,0)</f>
        <v>18.557001321003963</v>
      </c>
      <c r="AS306" s="75">
        <f>PARAM!$C$26+MAX($G$13-CHOOSE(PARAM!$B$44,MAX(0,AT305*$F$1),0),0)*RATES!$L282/12+$H$13*(PARAM!$D$51/12)*RATES!$N282/100</f>
        <v>23.771397478930457</v>
      </c>
      <c r="AT306" s="16">
        <f t="shared" si="208"/>
        <v>596.37118560402814</v>
      </c>
      <c r="AU306" s="15">
        <f t="shared" si="183"/>
        <v>22.170849845882874</v>
      </c>
      <c r="AV306" s="75">
        <f>AU306*(1-PARAM!$C$27)*$I$14+(MOD($B306,60)=PARAM!$B$56)*($B306&gt;(60-PARAM!$B$56))*HLOOKUP(($B306+PARAM!$B$56)/12,Loyalty,2)*$F$1*MAX(AX305,0)</f>
        <v>18.557001321003963</v>
      </c>
      <c r="AW306" s="75">
        <f>PARAM!$C$26+MAX($G$14-CHOOSE(PARAM!$B$44,MAX(0,AX305*$F$1),0),0)*RATES!$L282/12+$H$14*(PARAM!$D$51/12)*RATES!$N282/100</f>
        <v>23.771397478930457</v>
      </c>
      <c r="AX306" s="16">
        <f t="shared" si="209"/>
        <v>596.37118560402814</v>
      </c>
      <c r="AY306" s="15">
        <f t="shared" si="184"/>
        <v>22.170849845882874</v>
      </c>
      <c r="AZ306" s="75">
        <f>AY306*(1-PARAM!$C$27)*$I$15+(MOD($B306,60)=PARAM!$B$56)*($B306&gt;(60-PARAM!$B$56))*HLOOKUP(($B306+PARAM!$B$56)/12,Loyalty,2)*$F$1*MAX(BB305,0)</f>
        <v>18.557001321003963</v>
      </c>
      <c r="BA306" s="75">
        <f>PARAM!$C$26+MAX($G$15-CHOOSE(PARAM!$B$44,MAX(0,BB305*$F$1),0),0)*RATES!$L282/12+$H$15*(PARAM!$D$51/12)*RATES!$N282/100</f>
        <v>23.771397478930457</v>
      </c>
      <c r="BB306" s="16">
        <f t="shared" si="210"/>
        <v>596.37118560402814</v>
      </c>
      <c r="BC306" s="15">
        <f t="shared" si="185"/>
        <v>22.170849845882874</v>
      </c>
      <c r="BD306" s="75">
        <f>BC306*(1-PARAM!$C$27)*$I$16+(MOD($B306,60)=PARAM!$B$56)*($B306&gt;(60-PARAM!$B$56))*HLOOKUP(($B306+PARAM!$B$56)/12,Loyalty,2)*$F$1*MAX(BF305,0)</f>
        <v>18.557001321003963</v>
      </c>
      <c r="BE306" s="75">
        <f>PARAM!$C$26+MAX($G$16-CHOOSE(PARAM!$B$44,MAX(0,BF305*$F$1),0),0)*RATES!$L282/12+$H$16*(PARAM!$D$51/12)*RATES!$N282/100</f>
        <v>23.771397478930457</v>
      </c>
      <c r="BF306" s="16">
        <f t="shared" si="211"/>
        <v>596.37118560402814</v>
      </c>
      <c r="BG306" s="15">
        <f t="shared" si="186"/>
        <v>22.170849845882874</v>
      </c>
      <c r="BH306" s="75">
        <f>BG306*(1-PARAM!$C$27)*$I$17+(MOD($B306,60)=PARAM!$B$56)*($B306&gt;(60-PARAM!$B$56))*HLOOKUP(($B306+PARAM!$B$56)/12,Loyalty,2)*$F$1*MAX(BJ305,0)</f>
        <v>18.557001321003963</v>
      </c>
      <c r="BI306" s="75">
        <f>PARAM!$C$26+MAX($G$17-CHOOSE(PARAM!$B$44,MAX(0,BJ305*$F$1),0),0)*RATES!$L282/12+$H$17*(PARAM!$D$51/12)*RATES!$N282/100</f>
        <v>23.771397478930457</v>
      </c>
      <c r="BJ306" s="16">
        <f t="shared" si="212"/>
        <v>596.37118560402814</v>
      </c>
      <c r="BK306" s="15">
        <f t="shared" si="187"/>
        <v>22.170849845882874</v>
      </c>
      <c r="BL306" s="75">
        <f>BK306*(1-PARAM!$C$27)*$I$18+(MOD($B306,60)=PARAM!$B$56)*($B306&gt;(60-PARAM!$B$56))*HLOOKUP(($B306+PARAM!$B$56)/12,Loyalty,2)*$F$1*MAX(BN305,0)</f>
        <v>18.557001321003963</v>
      </c>
      <c r="BM306" s="75">
        <f>PARAM!$C$26+MAX($G$18-CHOOSE(PARAM!$B$44,MAX(0,BN305*$F$1),0),0)*RATES!$L282/12+$H$18*(PARAM!$D$51/12)*RATES!$N282/100</f>
        <v>23.771397478930457</v>
      </c>
      <c r="BN306" s="16">
        <f t="shared" si="213"/>
        <v>596.37118560402814</v>
      </c>
      <c r="BO306" s="15">
        <f t="shared" si="188"/>
        <v>22.170849845882874</v>
      </c>
      <c r="BP306" s="75">
        <f>BO306*(1-PARAM!$C$27)*$I$19+(MOD($B306,60)=PARAM!$B$56)*($B306&gt;(60-PARAM!$B$56))*HLOOKUP(($B306+PARAM!$B$56)/12,Loyalty,2)*$F$1*MAX(BR305,0)</f>
        <v>18.557001321003963</v>
      </c>
      <c r="BQ306" s="75">
        <f>PARAM!$C$26+MAX($G$19-CHOOSE(PARAM!$B$44,MAX(0,BR305*$F$1),0),0)*RATES!$L282/12+$H$19*(PARAM!$D$51/12)*RATES!$N282/100</f>
        <v>23.771397478930457</v>
      </c>
      <c r="BR306" s="16">
        <f t="shared" si="214"/>
        <v>596.37118560402814</v>
      </c>
      <c r="BS306" s="15">
        <f t="shared" si="189"/>
        <v>22.170849845882874</v>
      </c>
      <c r="BT306" s="75">
        <f>BS306*(1-PARAM!$C$27)*$I$20+(MOD($B306,60)=PARAM!$B$56)*($B306&gt;(60-PARAM!$B$56))*HLOOKUP(($B306+PARAM!$B$56)/12,Loyalty,2)*$F$1*MAX(BV305,0)</f>
        <v>18.557001321003963</v>
      </c>
      <c r="BU306" s="75">
        <f>PARAM!$C$26+MAX($G$20-CHOOSE(PARAM!$B$44,MAX(0,BV305*$F$1),0),0)*RATES!$L282/12+$H$20*(PARAM!$D$51/12)*RATES!$N282/100</f>
        <v>23.771397478930457</v>
      </c>
      <c r="BV306" s="16">
        <f t="shared" si="215"/>
        <v>596.37118560402814</v>
      </c>
      <c r="BW306" s="15">
        <f t="shared" si="190"/>
        <v>22.170849845882874</v>
      </c>
      <c r="BX306" s="75">
        <f>BW306*(1-PARAM!$C$27)*$I$21+(MOD($B306,60)=PARAM!$B$56)*($B306&gt;(60-PARAM!$B$56))*HLOOKUP(($B306+PARAM!$B$56)/12,Loyalty,2)*$F$1*MAX(BZ305,0)</f>
        <v>18.557001321003963</v>
      </c>
      <c r="BY306" s="75">
        <f>PARAM!$C$26+MAX($G$21-CHOOSE(PARAM!$B$44,MAX(0,BZ305*$F$1),0),0)*RATES!$L282/12+$H$21*(PARAM!$D$51/12)*RATES!$N282/100</f>
        <v>23.771397478930457</v>
      </c>
      <c r="BZ306" s="16">
        <f t="shared" si="216"/>
        <v>596.37118560402814</v>
      </c>
      <c r="CA306" s="15">
        <f t="shared" si="191"/>
        <v>22.170849845882874</v>
      </c>
      <c r="CB306" s="75">
        <f>CA306*(1-PARAM!$C$27)*$I$22+(MOD($B306,60)=PARAM!$B$56)*($B306&gt;(60-PARAM!$B$56))*HLOOKUP(($B306+PARAM!$B$56)/12,Loyalty,2)*$F$1*MAX(CD305,0)</f>
        <v>18.557001321003963</v>
      </c>
      <c r="CC306" s="75">
        <f>PARAM!$C$26+MAX($G$22-CHOOSE(PARAM!$B$44,MAX(0,CD305*$F$1),0),0)*RATES!$L282/12+$H$22*(PARAM!$D$51/12)*RATES!$N282/100</f>
        <v>23.771397478930457</v>
      </c>
      <c r="CD306" s="16">
        <f t="shared" si="217"/>
        <v>596.37118560402814</v>
      </c>
      <c r="CE306" s="33">
        <f>IF(0=MOD(B306,12/PARAM!$D$51),1,0)</f>
        <v>1</v>
      </c>
      <c r="CF306" s="15">
        <f t="shared" si="192"/>
        <v>0</v>
      </c>
      <c r="CG306" s="75">
        <f>CF306*(1-PARAM!$C$27)*$R$3+(MOD($B306/12,5)=0)*($B306&gt;60)*HLOOKUP($B306/12,Loyalty,2)*$F$1*MAX(CI305,0)</f>
        <v>0</v>
      </c>
      <c r="CH306" s="75">
        <f>PARAM!$C$26+MAX($P$3-CHOOSE(PARAM!$B$44,MAX(0,CI305*$F$1),0),0)*RATES!$L282/12+$Q$3*(PARAM!$D$51/12)*RATES!$N282/100</f>
        <v>24</v>
      </c>
      <c r="CI306" s="16">
        <f>IF(CI305&gt;0,CI305*PARAM!$C$53,CI305)+CG306-CH306</f>
        <v>-4439.4999999999927</v>
      </c>
      <c r="CJ306" s="15">
        <f t="shared" si="218"/>
        <v>0</v>
      </c>
      <c r="CK306" s="75">
        <f>CJ306*(1-PARAM!$C$27)*$R$4+(MOD($B306/12,5)=0)*($B306&gt;60)*HLOOKUP($B306/12,Loyalty,2)*$F$1*MAX(CM305,0)</f>
        <v>0</v>
      </c>
      <c r="CL306" s="75">
        <f>PARAM!$C$26+MAX($P$4-CHOOSE(PARAM!$B$44,MAX(0,CM305*$F$1),0),0)*RATES!$L282/12+$Q$4*(PARAM!$D$51/12)*RATES!$N282/100</f>
        <v>24</v>
      </c>
      <c r="CM306" s="16">
        <f>IF(CM305&gt;0,CM305*PARAM!$C$53,CM305)+CK306-CL306</f>
        <v>-4439.4999999999927</v>
      </c>
      <c r="CO306" s="176"/>
    </row>
    <row r="307" spans="1:93" x14ac:dyDescent="0.2">
      <c r="A307" t="b">
        <f t="shared" si="193"/>
        <v>1</v>
      </c>
      <c r="B307" s="33">
        <v>280</v>
      </c>
      <c r="C307" s="15">
        <f t="shared" si="194"/>
        <v>20.081305947392778</v>
      </c>
      <c r="D307" s="75">
        <f>C307*(1-PARAM!$C$27)*$I$3+(MOD($B307,60)=PARAM!$B$56)*($B307&gt;(60-PARAM!$B$56))*HLOOKUP(($B307+PARAM!$B$56)/12,Loyalty,2)*$F$1*MAX(F306,0)</f>
        <v>16.808053077967756</v>
      </c>
      <c r="E307" s="75">
        <f>PARAM!$C$26+MAX($G$3-CHOOSE(PARAM!$B$44,MAX(0,F306*$F$1),0),0)*RATES!$L283/12+$H$3*(PARAM!$D$51/12)*RATES!$N283/100</f>
        <v>23.964547613757198</v>
      </c>
      <c r="F307" s="16">
        <f t="shared" si="195"/>
        <v>86.139258734742583</v>
      </c>
      <c r="G307" s="15">
        <f t="shared" si="196"/>
        <v>22.035289406060361</v>
      </c>
      <c r="H307" s="75">
        <f>G307*(1-PARAM!$C$27)*$I$4+(MOD($B307,60)=PARAM!$B$56)*($B307&gt;(60-PARAM!$B$56))*HLOOKUP(($B307+PARAM!$B$56)/12,Loyalty,2)*$F$1*MAX(J306,0)</f>
        <v>18.443537232872522</v>
      </c>
      <c r="I307" s="75">
        <f>PARAM!$C$26+MAX($G$4-CHOOSE(PARAM!$B$44,MAX(0,J306*$F$1),0),0)*RATES!$L283/12+$H$4*(PARAM!$D$51/12)*RATES!$N283/100</f>
        <v>23.785787264074362</v>
      </c>
      <c r="J307" s="16">
        <f t="shared" si="197"/>
        <v>558.37547608889656</v>
      </c>
      <c r="K307" s="15">
        <f t="shared" si="198"/>
        <v>22.170849845882874</v>
      </c>
      <c r="L307" s="75">
        <f>K307*(1-PARAM!$C$27)*$I$5+(MOD($B307,60)=PARAM!$B$56)*($B307&gt;(60-PARAM!$B$56))*HLOOKUP(($B307+PARAM!$B$56)/12,Loyalty,2)*$F$1*MAX(N306,0)</f>
        <v>18.557001321003963</v>
      </c>
      <c r="M307" s="75">
        <f>PARAM!$C$26+MAX($G$5-CHOOSE(PARAM!$B$44,MAX(0,N306*$F$1),0),0)*RATES!$L283/12+$H$5*(PARAM!$D$51/12)*RATES!$N283/100</f>
        <v>23.773378949470466</v>
      </c>
      <c r="N307" s="16">
        <f t="shared" si="199"/>
        <v>591.15480797556165</v>
      </c>
      <c r="O307" s="15">
        <f t="shared" si="200"/>
        <v>22.170849845882874</v>
      </c>
      <c r="P307" s="75">
        <f>O307*(1-PARAM!$C$27)*$I$6+(MOD($B307,60)=PARAM!$B$56)*($B307&gt;(60-PARAM!$B$56))*HLOOKUP(($B307+PARAM!$B$56)/12,Loyalty,2)*$F$1*MAX(R306,0)</f>
        <v>18.557001321003963</v>
      </c>
      <c r="Q307" s="75">
        <f>PARAM!$C$26+MAX($G$6-CHOOSE(PARAM!$B$44,MAX(0,R306*$F$1),0),0)*RATES!$L283/12+$H$6*(PARAM!$D$51/12)*RATES!$N283/100</f>
        <v>23.773378949470466</v>
      </c>
      <c r="R307" s="16">
        <f t="shared" si="201"/>
        <v>591.15480797556165</v>
      </c>
      <c r="S307" s="15">
        <f t="shared" si="176"/>
        <v>22.170849845882874</v>
      </c>
      <c r="T307" s="75">
        <f>S307*(1-PARAM!$C$27)*$I$7+(MOD($B307,60)=PARAM!$B$56)*($B307&gt;(60-PARAM!$B$56))*HLOOKUP(($B307+PARAM!$B$56)/12,Loyalty,2)*$F$1*MAX(V306,0)</f>
        <v>18.557001321003963</v>
      </c>
      <c r="U307" s="75">
        <f>PARAM!$C$26+MAX($G$7-CHOOSE(PARAM!$B$44,MAX(0,V306*$F$1),0),0)*RATES!$L283/12+$H$7*(PARAM!$D$51/12)*RATES!$N283/100</f>
        <v>23.773378949470466</v>
      </c>
      <c r="V307" s="16">
        <f t="shared" si="202"/>
        <v>591.15480797556165</v>
      </c>
      <c r="W307" s="15">
        <f t="shared" si="177"/>
        <v>22.170849845882874</v>
      </c>
      <c r="X307" s="75">
        <f>W307*(1-PARAM!$C$27)*$I$8+(MOD($B307,60)=PARAM!$B$56)*($B307&gt;(60-PARAM!$B$56))*HLOOKUP(($B307+PARAM!$B$56)/12,Loyalty,2)*$F$1*MAX(Z306,0)</f>
        <v>18.557001321003963</v>
      </c>
      <c r="Y307" s="75">
        <f>PARAM!$C$26+MAX($G$8-CHOOSE(PARAM!$B$44,MAX(0,Z306*$F$1),0),0)*RATES!$L283/12+$H$8*(PARAM!$D$51/12)*RATES!$N283/100</f>
        <v>23.773378949470466</v>
      </c>
      <c r="Z307" s="16">
        <f t="shared" si="203"/>
        <v>591.15480797556165</v>
      </c>
      <c r="AA307" s="15">
        <f t="shared" si="178"/>
        <v>22.170849845882874</v>
      </c>
      <c r="AB307" s="75">
        <f>AA307*(1-PARAM!$C$27)*$I$9+(MOD($B307,60)=PARAM!$B$56)*($B307&gt;(60-PARAM!$B$56))*HLOOKUP(($B307+PARAM!$B$56)/12,Loyalty,2)*$F$1*MAX(AD306,0)</f>
        <v>18.557001321003963</v>
      </c>
      <c r="AC307" s="75">
        <f>PARAM!$C$26+MAX($G$9-CHOOSE(PARAM!$B$44,MAX(0,AD306*$F$1),0),0)*RATES!$L283/12+$H$9*(PARAM!$D$51/12)*RATES!$N283/100</f>
        <v>23.773378949470466</v>
      </c>
      <c r="AD307" s="16">
        <f t="shared" si="204"/>
        <v>591.15480797556165</v>
      </c>
      <c r="AE307" s="15">
        <f t="shared" si="179"/>
        <v>22.170849845882874</v>
      </c>
      <c r="AF307" s="75">
        <f>AE307*(1-PARAM!$C$27)*$I$10+(MOD($B307,60)=PARAM!$B$56)*($B307&gt;(60-PARAM!$B$56))*HLOOKUP(($B307+PARAM!$B$56)/12,Loyalty,2)*$F$1*MAX(AH306,0)</f>
        <v>18.557001321003963</v>
      </c>
      <c r="AG307" s="75">
        <f>PARAM!$C$26+MAX($G$10-CHOOSE(PARAM!$B$44,MAX(0,AH306*$F$1),0),0)*RATES!$L283/12+$H$10*(PARAM!$D$51/12)*RATES!$N283/100</f>
        <v>23.773378949470466</v>
      </c>
      <c r="AH307" s="16">
        <f t="shared" si="205"/>
        <v>591.15480797556165</v>
      </c>
      <c r="AI307" s="15">
        <f t="shared" si="180"/>
        <v>22.170849845882874</v>
      </c>
      <c r="AJ307" s="75">
        <f>AI307*(1-PARAM!$C$27)*$I$11+(MOD($B307,60)=PARAM!$B$56)*($B307&gt;(60-PARAM!$B$56))*HLOOKUP(($B307+PARAM!$B$56)/12,Loyalty,2)*$F$1*MAX(AL306,0)</f>
        <v>18.557001321003963</v>
      </c>
      <c r="AK307" s="75">
        <f>PARAM!$C$26+MAX($G$11-CHOOSE(PARAM!$B$44,MAX(0,AL306*$F$1),0),0)*RATES!$L283/12+$H$11*(PARAM!$D$51/12)*RATES!$N283/100</f>
        <v>23.773378949470466</v>
      </c>
      <c r="AL307" s="16">
        <f t="shared" si="206"/>
        <v>591.15480797556165</v>
      </c>
      <c r="AM307" s="15">
        <f t="shared" si="181"/>
        <v>22.170849845882874</v>
      </c>
      <c r="AN307" s="75">
        <f>AM307*(1-PARAM!$C$27)*$I$12+(MOD($B307,60)=PARAM!$B$56)*($B307&gt;(60-PARAM!$B$56))*HLOOKUP(($B307+PARAM!$B$56)/12,Loyalty,2)*$F$1*MAX(AP306,0)</f>
        <v>18.557001321003963</v>
      </c>
      <c r="AO307" s="75">
        <f>PARAM!$C$26+MAX($G$12-CHOOSE(PARAM!$B$44,MAX(0,AP306*$F$1),0),0)*RATES!$L283/12+$H$12*(PARAM!$D$51/12)*RATES!$N283/100</f>
        <v>23.773378949470466</v>
      </c>
      <c r="AP307" s="16">
        <f t="shared" si="207"/>
        <v>591.15480797556165</v>
      </c>
      <c r="AQ307" s="15">
        <f t="shared" si="182"/>
        <v>22.170849845882874</v>
      </c>
      <c r="AR307" s="75">
        <f>AQ307*(1-PARAM!$C$27)*$I$13+(MOD($B307,60)=PARAM!$B$56)*($B307&gt;(60-PARAM!$B$56))*HLOOKUP(($B307+PARAM!$B$56)/12,Loyalty,2)*$F$1*MAX(AT306,0)</f>
        <v>18.557001321003963</v>
      </c>
      <c r="AS307" s="75">
        <f>PARAM!$C$26+MAX($G$13-CHOOSE(PARAM!$B$44,MAX(0,AT306*$F$1),0),0)*RATES!$L283/12+$H$13*(PARAM!$D$51/12)*RATES!$N283/100</f>
        <v>23.773378949470466</v>
      </c>
      <c r="AT307" s="16">
        <f t="shared" si="208"/>
        <v>591.15480797556165</v>
      </c>
      <c r="AU307" s="15">
        <f t="shared" si="183"/>
        <v>22.170849845882874</v>
      </c>
      <c r="AV307" s="75">
        <f>AU307*(1-PARAM!$C$27)*$I$14+(MOD($B307,60)=PARAM!$B$56)*($B307&gt;(60-PARAM!$B$56))*HLOOKUP(($B307+PARAM!$B$56)/12,Loyalty,2)*$F$1*MAX(AX306,0)</f>
        <v>18.557001321003963</v>
      </c>
      <c r="AW307" s="75">
        <f>PARAM!$C$26+MAX($G$14-CHOOSE(PARAM!$B$44,MAX(0,AX306*$F$1),0),0)*RATES!$L283/12+$H$14*(PARAM!$D$51/12)*RATES!$N283/100</f>
        <v>23.773378949470466</v>
      </c>
      <c r="AX307" s="16">
        <f t="shared" si="209"/>
        <v>591.15480797556165</v>
      </c>
      <c r="AY307" s="15">
        <f t="shared" si="184"/>
        <v>22.170849845882874</v>
      </c>
      <c r="AZ307" s="75">
        <f>AY307*(1-PARAM!$C$27)*$I$15+(MOD($B307,60)=PARAM!$B$56)*($B307&gt;(60-PARAM!$B$56))*HLOOKUP(($B307+PARAM!$B$56)/12,Loyalty,2)*$F$1*MAX(BB306,0)</f>
        <v>18.557001321003963</v>
      </c>
      <c r="BA307" s="75">
        <f>PARAM!$C$26+MAX($G$15-CHOOSE(PARAM!$B$44,MAX(0,BB306*$F$1),0),0)*RATES!$L283/12+$H$15*(PARAM!$D$51/12)*RATES!$N283/100</f>
        <v>23.773378949470466</v>
      </c>
      <c r="BB307" s="16">
        <f t="shared" si="210"/>
        <v>591.15480797556165</v>
      </c>
      <c r="BC307" s="15">
        <f t="shared" si="185"/>
        <v>22.170849845882874</v>
      </c>
      <c r="BD307" s="75">
        <f>BC307*(1-PARAM!$C$27)*$I$16+(MOD($B307,60)=PARAM!$B$56)*($B307&gt;(60-PARAM!$B$56))*HLOOKUP(($B307+PARAM!$B$56)/12,Loyalty,2)*$F$1*MAX(BF306,0)</f>
        <v>18.557001321003963</v>
      </c>
      <c r="BE307" s="75">
        <f>PARAM!$C$26+MAX($G$16-CHOOSE(PARAM!$B$44,MAX(0,BF306*$F$1),0),0)*RATES!$L283/12+$H$16*(PARAM!$D$51/12)*RATES!$N283/100</f>
        <v>23.773378949470466</v>
      </c>
      <c r="BF307" s="16">
        <f t="shared" si="211"/>
        <v>591.15480797556165</v>
      </c>
      <c r="BG307" s="15">
        <f t="shared" si="186"/>
        <v>22.170849845882874</v>
      </c>
      <c r="BH307" s="75">
        <f>BG307*(1-PARAM!$C$27)*$I$17+(MOD($B307,60)=PARAM!$B$56)*($B307&gt;(60-PARAM!$B$56))*HLOOKUP(($B307+PARAM!$B$56)/12,Loyalty,2)*$F$1*MAX(BJ306,0)</f>
        <v>18.557001321003963</v>
      </c>
      <c r="BI307" s="75">
        <f>PARAM!$C$26+MAX($G$17-CHOOSE(PARAM!$B$44,MAX(0,BJ306*$F$1),0),0)*RATES!$L283/12+$H$17*(PARAM!$D$51/12)*RATES!$N283/100</f>
        <v>23.773378949470466</v>
      </c>
      <c r="BJ307" s="16">
        <f t="shared" si="212"/>
        <v>591.15480797556165</v>
      </c>
      <c r="BK307" s="15">
        <f t="shared" si="187"/>
        <v>22.170849845882874</v>
      </c>
      <c r="BL307" s="75">
        <f>BK307*(1-PARAM!$C$27)*$I$18+(MOD($B307,60)=PARAM!$B$56)*($B307&gt;(60-PARAM!$B$56))*HLOOKUP(($B307+PARAM!$B$56)/12,Loyalty,2)*$F$1*MAX(BN306,0)</f>
        <v>18.557001321003963</v>
      </c>
      <c r="BM307" s="75">
        <f>PARAM!$C$26+MAX($G$18-CHOOSE(PARAM!$B$44,MAX(0,BN306*$F$1),0),0)*RATES!$L283/12+$H$18*(PARAM!$D$51/12)*RATES!$N283/100</f>
        <v>23.773378949470466</v>
      </c>
      <c r="BN307" s="16">
        <f t="shared" si="213"/>
        <v>591.15480797556165</v>
      </c>
      <c r="BO307" s="15">
        <f t="shared" si="188"/>
        <v>22.170849845882874</v>
      </c>
      <c r="BP307" s="75">
        <f>BO307*(1-PARAM!$C$27)*$I$19+(MOD($B307,60)=PARAM!$B$56)*($B307&gt;(60-PARAM!$B$56))*HLOOKUP(($B307+PARAM!$B$56)/12,Loyalty,2)*$F$1*MAX(BR306,0)</f>
        <v>18.557001321003963</v>
      </c>
      <c r="BQ307" s="75">
        <f>PARAM!$C$26+MAX($G$19-CHOOSE(PARAM!$B$44,MAX(0,BR306*$F$1),0),0)*RATES!$L283/12+$H$19*(PARAM!$D$51/12)*RATES!$N283/100</f>
        <v>23.773378949470466</v>
      </c>
      <c r="BR307" s="16">
        <f t="shared" si="214"/>
        <v>591.15480797556165</v>
      </c>
      <c r="BS307" s="15">
        <f t="shared" si="189"/>
        <v>22.170849845882874</v>
      </c>
      <c r="BT307" s="75">
        <f>BS307*(1-PARAM!$C$27)*$I$20+(MOD($B307,60)=PARAM!$B$56)*($B307&gt;(60-PARAM!$B$56))*HLOOKUP(($B307+PARAM!$B$56)/12,Loyalty,2)*$F$1*MAX(BV306,0)</f>
        <v>18.557001321003963</v>
      </c>
      <c r="BU307" s="75">
        <f>PARAM!$C$26+MAX($G$20-CHOOSE(PARAM!$B$44,MAX(0,BV306*$F$1),0),0)*RATES!$L283/12+$H$20*(PARAM!$D$51/12)*RATES!$N283/100</f>
        <v>23.773378949470466</v>
      </c>
      <c r="BV307" s="16">
        <f t="shared" si="215"/>
        <v>591.15480797556165</v>
      </c>
      <c r="BW307" s="15">
        <f t="shared" si="190"/>
        <v>22.170849845882874</v>
      </c>
      <c r="BX307" s="75">
        <f>BW307*(1-PARAM!$C$27)*$I$21+(MOD($B307,60)=PARAM!$B$56)*($B307&gt;(60-PARAM!$B$56))*HLOOKUP(($B307+PARAM!$B$56)/12,Loyalty,2)*$F$1*MAX(BZ306,0)</f>
        <v>18.557001321003963</v>
      </c>
      <c r="BY307" s="75">
        <f>PARAM!$C$26+MAX($G$21-CHOOSE(PARAM!$B$44,MAX(0,BZ306*$F$1),0),0)*RATES!$L283/12+$H$21*(PARAM!$D$51/12)*RATES!$N283/100</f>
        <v>23.773378949470466</v>
      </c>
      <c r="BZ307" s="16">
        <f t="shared" si="216"/>
        <v>591.15480797556165</v>
      </c>
      <c r="CA307" s="15">
        <f t="shared" si="191"/>
        <v>22.170849845882874</v>
      </c>
      <c r="CB307" s="75">
        <f>CA307*(1-PARAM!$C$27)*$I$22+(MOD($B307,60)=PARAM!$B$56)*($B307&gt;(60-PARAM!$B$56))*HLOOKUP(($B307+PARAM!$B$56)/12,Loyalty,2)*$F$1*MAX(CD306,0)</f>
        <v>18.557001321003963</v>
      </c>
      <c r="CC307" s="75">
        <f>PARAM!$C$26+MAX($G$22-CHOOSE(PARAM!$B$44,MAX(0,CD306*$F$1),0),0)*RATES!$L283/12+$H$22*(PARAM!$D$51/12)*RATES!$N283/100</f>
        <v>23.773378949470466</v>
      </c>
      <c r="CD307" s="16">
        <f t="shared" si="217"/>
        <v>591.15480797556165</v>
      </c>
      <c r="CE307" s="33">
        <f>IF(0=MOD(B307,12/PARAM!$D$51),1,0)</f>
        <v>1</v>
      </c>
      <c r="CF307" s="15">
        <f t="shared" si="192"/>
        <v>0</v>
      </c>
      <c r="CG307" s="75">
        <f>CF307*(1-PARAM!$C$27)*$R$3+(MOD($B307/12,5)=0)*($B307&gt;60)*HLOOKUP($B307/12,Loyalty,2)*$F$1*MAX(CI306,0)</f>
        <v>0</v>
      </c>
      <c r="CH307" s="75">
        <f>PARAM!$C$26+MAX($P$3-CHOOSE(PARAM!$B$44,MAX(0,CI306*$F$1),0),0)*RATES!$L283/12+$Q$3*(PARAM!$D$51/12)*RATES!$N283/100</f>
        <v>24</v>
      </c>
      <c r="CI307" s="16">
        <f>IF(CI306&gt;0,CI306*PARAM!$C$53,CI306)+CG307-CH307</f>
        <v>-4463.4999999999927</v>
      </c>
      <c r="CJ307" s="15">
        <f t="shared" si="218"/>
        <v>0</v>
      </c>
      <c r="CK307" s="75">
        <f>CJ307*(1-PARAM!$C$27)*$R$4+(MOD($B307/12,5)=0)*($B307&gt;60)*HLOOKUP($B307/12,Loyalty,2)*$F$1*MAX(CM306,0)</f>
        <v>0</v>
      </c>
      <c r="CL307" s="75">
        <f>PARAM!$C$26+MAX($P$4-CHOOSE(PARAM!$B$44,MAX(0,CM306*$F$1),0),0)*RATES!$L283/12+$Q$4*(PARAM!$D$51/12)*RATES!$N283/100</f>
        <v>24</v>
      </c>
      <c r="CM307" s="16">
        <f>IF(CM306&gt;0,CM306*PARAM!$C$53,CM306)+CK307-CL307</f>
        <v>-4463.4999999999927</v>
      </c>
      <c r="CO307" s="176"/>
    </row>
    <row r="308" spans="1:93" x14ac:dyDescent="0.2">
      <c r="A308" t="b">
        <f t="shared" si="193"/>
        <v>1</v>
      </c>
      <c r="B308" s="33">
        <v>281</v>
      </c>
      <c r="C308" s="15">
        <f t="shared" si="194"/>
        <v>20.081305947392778</v>
      </c>
      <c r="D308" s="75">
        <f>C308*(1-PARAM!$C$27)*$I$3+(MOD($B308,60)=PARAM!$B$56)*($B308&gt;(60-PARAM!$B$56))*HLOOKUP(($B308+PARAM!$B$56)/12,Loyalty,2)*$F$1*MAX(F307,0)</f>
        <v>16.808053077967756</v>
      </c>
      <c r="E308" s="75">
        <f>PARAM!$C$26+MAX($G$3-CHOOSE(PARAM!$B$44,MAX(0,F307*$F$1),0),0)*RATES!$L284/12+$H$3*(PARAM!$D$51/12)*RATES!$N284/100</f>
        <v>23.967267081680799</v>
      </c>
      <c r="F308" s="16">
        <f t="shared" si="195"/>
        <v>78.980044731029537</v>
      </c>
      <c r="G308" s="15">
        <f t="shared" si="196"/>
        <v>22.035289406060361</v>
      </c>
      <c r="H308" s="75">
        <f>G308*(1-PARAM!$C$27)*$I$4+(MOD($B308,60)=PARAM!$B$56)*($B308&gt;(60-PARAM!$B$56))*HLOOKUP(($B308+PARAM!$B$56)/12,Loyalty,2)*$F$1*MAX(J307,0)</f>
        <v>18.443537232872522</v>
      </c>
      <c r="I308" s="75">
        <f>PARAM!$C$26+MAX($G$4-CHOOSE(PARAM!$B$44,MAX(0,J307*$F$1),0),0)*RATES!$L284/12+$H$4*(PARAM!$D$51/12)*RATES!$N284/100</f>
        <v>23.787817319086219</v>
      </c>
      <c r="J308" s="16">
        <f t="shared" si="197"/>
        <v>553.0311960026828</v>
      </c>
      <c r="K308" s="15">
        <f t="shared" si="198"/>
        <v>22.170849845882874</v>
      </c>
      <c r="L308" s="75">
        <f>K308*(1-PARAM!$C$27)*$I$5+(MOD($B308,60)=PARAM!$B$56)*($B308&gt;(60-PARAM!$B$56))*HLOOKUP(($B308+PARAM!$B$56)/12,Loyalty,2)*$F$1*MAX(N307,0)</f>
        <v>18.557001321003963</v>
      </c>
      <c r="M308" s="75">
        <f>PARAM!$C$26+MAX($G$5-CHOOSE(PARAM!$B$44,MAX(0,N307*$F$1),0),0)*RATES!$L284/12+$H$5*(PARAM!$D$51/12)*RATES!$N284/100</f>
        <v>23.775361172969287</v>
      </c>
      <c r="N308" s="16">
        <f t="shared" si="199"/>
        <v>585.93644812359639</v>
      </c>
      <c r="O308" s="15">
        <f t="shared" si="200"/>
        <v>22.170849845882874</v>
      </c>
      <c r="P308" s="75">
        <f>O308*(1-PARAM!$C$27)*$I$6+(MOD($B308,60)=PARAM!$B$56)*($B308&gt;(60-PARAM!$B$56))*HLOOKUP(($B308+PARAM!$B$56)/12,Loyalty,2)*$F$1*MAX(R307,0)</f>
        <v>18.557001321003963</v>
      </c>
      <c r="Q308" s="75">
        <f>PARAM!$C$26+MAX($G$6-CHOOSE(PARAM!$B$44,MAX(0,R307*$F$1),0),0)*RATES!$L284/12+$H$6*(PARAM!$D$51/12)*RATES!$N284/100</f>
        <v>23.775361172969287</v>
      </c>
      <c r="R308" s="16">
        <f t="shared" si="201"/>
        <v>585.93644812359639</v>
      </c>
      <c r="S308" s="15">
        <f t="shared" si="176"/>
        <v>22.170849845882874</v>
      </c>
      <c r="T308" s="75">
        <f>S308*(1-PARAM!$C$27)*$I$7+(MOD($B308,60)=PARAM!$B$56)*($B308&gt;(60-PARAM!$B$56))*HLOOKUP(($B308+PARAM!$B$56)/12,Loyalty,2)*$F$1*MAX(V307,0)</f>
        <v>18.557001321003963</v>
      </c>
      <c r="U308" s="75">
        <f>PARAM!$C$26+MAX($G$7-CHOOSE(PARAM!$B$44,MAX(0,V307*$F$1),0),0)*RATES!$L284/12+$H$7*(PARAM!$D$51/12)*RATES!$N284/100</f>
        <v>23.775361172969287</v>
      </c>
      <c r="V308" s="16">
        <f t="shared" si="202"/>
        <v>585.93644812359639</v>
      </c>
      <c r="W308" s="15">
        <f t="shared" si="177"/>
        <v>22.170849845882874</v>
      </c>
      <c r="X308" s="75">
        <f>W308*(1-PARAM!$C$27)*$I$8+(MOD($B308,60)=PARAM!$B$56)*($B308&gt;(60-PARAM!$B$56))*HLOOKUP(($B308+PARAM!$B$56)/12,Loyalty,2)*$F$1*MAX(Z307,0)</f>
        <v>18.557001321003963</v>
      </c>
      <c r="Y308" s="75">
        <f>PARAM!$C$26+MAX($G$8-CHOOSE(PARAM!$B$44,MAX(0,Z307*$F$1),0),0)*RATES!$L284/12+$H$8*(PARAM!$D$51/12)*RATES!$N284/100</f>
        <v>23.775361172969287</v>
      </c>
      <c r="Z308" s="16">
        <f t="shared" si="203"/>
        <v>585.93644812359639</v>
      </c>
      <c r="AA308" s="15">
        <f t="shared" si="178"/>
        <v>22.170849845882874</v>
      </c>
      <c r="AB308" s="75">
        <f>AA308*(1-PARAM!$C$27)*$I$9+(MOD($B308,60)=PARAM!$B$56)*($B308&gt;(60-PARAM!$B$56))*HLOOKUP(($B308+PARAM!$B$56)/12,Loyalty,2)*$F$1*MAX(AD307,0)</f>
        <v>18.557001321003963</v>
      </c>
      <c r="AC308" s="75">
        <f>PARAM!$C$26+MAX($G$9-CHOOSE(PARAM!$B$44,MAX(0,AD307*$F$1),0),0)*RATES!$L284/12+$H$9*(PARAM!$D$51/12)*RATES!$N284/100</f>
        <v>23.775361172969287</v>
      </c>
      <c r="AD308" s="16">
        <f t="shared" si="204"/>
        <v>585.93644812359639</v>
      </c>
      <c r="AE308" s="15">
        <f t="shared" si="179"/>
        <v>22.170849845882874</v>
      </c>
      <c r="AF308" s="75">
        <f>AE308*(1-PARAM!$C$27)*$I$10+(MOD($B308,60)=PARAM!$B$56)*($B308&gt;(60-PARAM!$B$56))*HLOOKUP(($B308+PARAM!$B$56)/12,Loyalty,2)*$F$1*MAX(AH307,0)</f>
        <v>18.557001321003963</v>
      </c>
      <c r="AG308" s="75">
        <f>PARAM!$C$26+MAX($G$10-CHOOSE(PARAM!$B$44,MAX(0,AH307*$F$1),0),0)*RATES!$L284/12+$H$10*(PARAM!$D$51/12)*RATES!$N284/100</f>
        <v>23.775361172969287</v>
      </c>
      <c r="AH308" s="16">
        <f t="shared" si="205"/>
        <v>585.93644812359639</v>
      </c>
      <c r="AI308" s="15">
        <f t="shared" si="180"/>
        <v>22.170849845882874</v>
      </c>
      <c r="AJ308" s="75">
        <f>AI308*(1-PARAM!$C$27)*$I$11+(MOD($B308,60)=PARAM!$B$56)*($B308&gt;(60-PARAM!$B$56))*HLOOKUP(($B308+PARAM!$B$56)/12,Loyalty,2)*$F$1*MAX(AL307,0)</f>
        <v>18.557001321003963</v>
      </c>
      <c r="AK308" s="75">
        <f>PARAM!$C$26+MAX($G$11-CHOOSE(PARAM!$B$44,MAX(0,AL307*$F$1),0),0)*RATES!$L284/12+$H$11*(PARAM!$D$51/12)*RATES!$N284/100</f>
        <v>23.775361172969287</v>
      </c>
      <c r="AL308" s="16">
        <f t="shared" si="206"/>
        <v>585.93644812359639</v>
      </c>
      <c r="AM308" s="15">
        <f t="shared" si="181"/>
        <v>22.170849845882874</v>
      </c>
      <c r="AN308" s="75">
        <f>AM308*(1-PARAM!$C$27)*$I$12+(MOD($B308,60)=PARAM!$B$56)*($B308&gt;(60-PARAM!$B$56))*HLOOKUP(($B308+PARAM!$B$56)/12,Loyalty,2)*$F$1*MAX(AP307,0)</f>
        <v>18.557001321003963</v>
      </c>
      <c r="AO308" s="75">
        <f>PARAM!$C$26+MAX($G$12-CHOOSE(PARAM!$B$44,MAX(0,AP307*$F$1),0),0)*RATES!$L284/12+$H$12*(PARAM!$D$51/12)*RATES!$N284/100</f>
        <v>23.775361172969287</v>
      </c>
      <c r="AP308" s="16">
        <f t="shared" si="207"/>
        <v>585.93644812359639</v>
      </c>
      <c r="AQ308" s="15">
        <f t="shared" si="182"/>
        <v>22.170849845882874</v>
      </c>
      <c r="AR308" s="75">
        <f>AQ308*(1-PARAM!$C$27)*$I$13+(MOD($B308,60)=PARAM!$B$56)*($B308&gt;(60-PARAM!$B$56))*HLOOKUP(($B308+PARAM!$B$56)/12,Loyalty,2)*$F$1*MAX(AT307,0)</f>
        <v>18.557001321003963</v>
      </c>
      <c r="AS308" s="75">
        <f>PARAM!$C$26+MAX($G$13-CHOOSE(PARAM!$B$44,MAX(0,AT307*$F$1),0),0)*RATES!$L284/12+$H$13*(PARAM!$D$51/12)*RATES!$N284/100</f>
        <v>23.775361172969287</v>
      </c>
      <c r="AT308" s="16">
        <f t="shared" si="208"/>
        <v>585.93644812359639</v>
      </c>
      <c r="AU308" s="15">
        <f t="shared" si="183"/>
        <v>22.170849845882874</v>
      </c>
      <c r="AV308" s="75">
        <f>AU308*(1-PARAM!$C$27)*$I$14+(MOD($B308,60)=PARAM!$B$56)*($B308&gt;(60-PARAM!$B$56))*HLOOKUP(($B308+PARAM!$B$56)/12,Loyalty,2)*$F$1*MAX(AX307,0)</f>
        <v>18.557001321003963</v>
      </c>
      <c r="AW308" s="75">
        <f>PARAM!$C$26+MAX($G$14-CHOOSE(PARAM!$B$44,MAX(0,AX307*$F$1),0),0)*RATES!$L284/12+$H$14*(PARAM!$D$51/12)*RATES!$N284/100</f>
        <v>23.775361172969287</v>
      </c>
      <c r="AX308" s="16">
        <f t="shared" si="209"/>
        <v>585.93644812359639</v>
      </c>
      <c r="AY308" s="15">
        <f t="shared" si="184"/>
        <v>22.170849845882874</v>
      </c>
      <c r="AZ308" s="75">
        <f>AY308*(1-PARAM!$C$27)*$I$15+(MOD($B308,60)=PARAM!$B$56)*($B308&gt;(60-PARAM!$B$56))*HLOOKUP(($B308+PARAM!$B$56)/12,Loyalty,2)*$F$1*MAX(BB307,0)</f>
        <v>18.557001321003963</v>
      </c>
      <c r="BA308" s="75">
        <f>PARAM!$C$26+MAX($G$15-CHOOSE(PARAM!$B$44,MAX(0,BB307*$F$1),0),0)*RATES!$L284/12+$H$15*(PARAM!$D$51/12)*RATES!$N284/100</f>
        <v>23.775361172969287</v>
      </c>
      <c r="BB308" s="16">
        <f t="shared" si="210"/>
        <v>585.93644812359639</v>
      </c>
      <c r="BC308" s="15">
        <f t="shared" si="185"/>
        <v>22.170849845882874</v>
      </c>
      <c r="BD308" s="75">
        <f>BC308*(1-PARAM!$C$27)*$I$16+(MOD($B308,60)=PARAM!$B$56)*($B308&gt;(60-PARAM!$B$56))*HLOOKUP(($B308+PARAM!$B$56)/12,Loyalty,2)*$F$1*MAX(BF307,0)</f>
        <v>18.557001321003963</v>
      </c>
      <c r="BE308" s="75">
        <f>PARAM!$C$26+MAX($G$16-CHOOSE(PARAM!$B$44,MAX(0,BF307*$F$1),0),0)*RATES!$L284/12+$H$16*(PARAM!$D$51/12)*RATES!$N284/100</f>
        <v>23.775361172969287</v>
      </c>
      <c r="BF308" s="16">
        <f t="shared" si="211"/>
        <v>585.93644812359639</v>
      </c>
      <c r="BG308" s="15">
        <f t="shared" si="186"/>
        <v>22.170849845882874</v>
      </c>
      <c r="BH308" s="75">
        <f>BG308*(1-PARAM!$C$27)*$I$17+(MOD($B308,60)=PARAM!$B$56)*($B308&gt;(60-PARAM!$B$56))*HLOOKUP(($B308+PARAM!$B$56)/12,Loyalty,2)*$F$1*MAX(BJ307,0)</f>
        <v>18.557001321003963</v>
      </c>
      <c r="BI308" s="75">
        <f>PARAM!$C$26+MAX($G$17-CHOOSE(PARAM!$B$44,MAX(0,BJ307*$F$1),0),0)*RATES!$L284/12+$H$17*(PARAM!$D$51/12)*RATES!$N284/100</f>
        <v>23.775361172969287</v>
      </c>
      <c r="BJ308" s="16">
        <f t="shared" si="212"/>
        <v>585.93644812359639</v>
      </c>
      <c r="BK308" s="15">
        <f t="shared" si="187"/>
        <v>22.170849845882874</v>
      </c>
      <c r="BL308" s="75">
        <f>BK308*(1-PARAM!$C$27)*$I$18+(MOD($B308,60)=PARAM!$B$56)*($B308&gt;(60-PARAM!$B$56))*HLOOKUP(($B308+PARAM!$B$56)/12,Loyalty,2)*$F$1*MAX(BN307,0)</f>
        <v>18.557001321003963</v>
      </c>
      <c r="BM308" s="75">
        <f>PARAM!$C$26+MAX($G$18-CHOOSE(PARAM!$B$44,MAX(0,BN307*$F$1),0),0)*RATES!$L284/12+$H$18*(PARAM!$D$51/12)*RATES!$N284/100</f>
        <v>23.775361172969287</v>
      </c>
      <c r="BN308" s="16">
        <f t="shared" si="213"/>
        <v>585.93644812359639</v>
      </c>
      <c r="BO308" s="15">
        <f t="shared" si="188"/>
        <v>22.170849845882874</v>
      </c>
      <c r="BP308" s="75">
        <f>BO308*(1-PARAM!$C$27)*$I$19+(MOD($B308,60)=PARAM!$B$56)*($B308&gt;(60-PARAM!$B$56))*HLOOKUP(($B308+PARAM!$B$56)/12,Loyalty,2)*$F$1*MAX(BR307,0)</f>
        <v>18.557001321003963</v>
      </c>
      <c r="BQ308" s="75">
        <f>PARAM!$C$26+MAX($G$19-CHOOSE(PARAM!$B$44,MAX(0,BR307*$F$1),0),0)*RATES!$L284/12+$H$19*(PARAM!$D$51/12)*RATES!$N284/100</f>
        <v>23.775361172969287</v>
      </c>
      <c r="BR308" s="16">
        <f t="shared" si="214"/>
        <v>585.93644812359639</v>
      </c>
      <c r="BS308" s="15">
        <f t="shared" si="189"/>
        <v>22.170849845882874</v>
      </c>
      <c r="BT308" s="75">
        <f>BS308*(1-PARAM!$C$27)*$I$20+(MOD($B308,60)=PARAM!$B$56)*($B308&gt;(60-PARAM!$B$56))*HLOOKUP(($B308+PARAM!$B$56)/12,Loyalty,2)*$F$1*MAX(BV307,0)</f>
        <v>18.557001321003963</v>
      </c>
      <c r="BU308" s="75">
        <f>PARAM!$C$26+MAX($G$20-CHOOSE(PARAM!$B$44,MAX(0,BV307*$F$1),0),0)*RATES!$L284/12+$H$20*(PARAM!$D$51/12)*RATES!$N284/100</f>
        <v>23.775361172969287</v>
      </c>
      <c r="BV308" s="16">
        <f t="shared" si="215"/>
        <v>585.93644812359639</v>
      </c>
      <c r="BW308" s="15">
        <f t="shared" si="190"/>
        <v>22.170849845882874</v>
      </c>
      <c r="BX308" s="75">
        <f>BW308*(1-PARAM!$C$27)*$I$21+(MOD($B308,60)=PARAM!$B$56)*($B308&gt;(60-PARAM!$B$56))*HLOOKUP(($B308+PARAM!$B$56)/12,Loyalty,2)*$F$1*MAX(BZ307,0)</f>
        <v>18.557001321003963</v>
      </c>
      <c r="BY308" s="75">
        <f>PARAM!$C$26+MAX($G$21-CHOOSE(PARAM!$B$44,MAX(0,BZ307*$F$1),0),0)*RATES!$L284/12+$H$21*(PARAM!$D$51/12)*RATES!$N284/100</f>
        <v>23.775361172969287</v>
      </c>
      <c r="BZ308" s="16">
        <f t="shared" si="216"/>
        <v>585.93644812359639</v>
      </c>
      <c r="CA308" s="15">
        <f t="shared" si="191"/>
        <v>22.170849845882874</v>
      </c>
      <c r="CB308" s="75">
        <f>CA308*(1-PARAM!$C$27)*$I$22+(MOD($B308,60)=PARAM!$B$56)*($B308&gt;(60-PARAM!$B$56))*HLOOKUP(($B308+PARAM!$B$56)/12,Loyalty,2)*$F$1*MAX(CD307,0)</f>
        <v>18.557001321003963</v>
      </c>
      <c r="CC308" s="75">
        <f>PARAM!$C$26+MAX($G$22-CHOOSE(PARAM!$B$44,MAX(0,CD307*$F$1),0),0)*RATES!$L284/12+$H$22*(PARAM!$D$51/12)*RATES!$N284/100</f>
        <v>23.775361172969287</v>
      </c>
      <c r="CD308" s="16">
        <f t="shared" si="217"/>
        <v>585.93644812359639</v>
      </c>
      <c r="CE308" s="33">
        <f>IF(0=MOD(B308,12/PARAM!$D$51),1,0)</f>
        <v>1</v>
      </c>
      <c r="CF308" s="15">
        <f t="shared" si="192"/>
        <v>0</v>
      </c>
      <c r="CG308" s="75">
        <f>CF308*(1-PARAM!$C$27)*$R$3+(MOD($B308/12,5)=0)*($B308&gt;60)*HLOOKUP($B308/12,Loyalty,2)*$F$1*MAX(CI307,0)</f>
        <v>0</v>
      </c>
      <c r="CH308" s="75">
        <f>PARAM!$C$26+MAX($P$3-CHOOSE(PARAM!$B$44,MAX(0,CI307*$F$1),0),0)*RATES!$L284/12+$Q$3*(PARAM!$D$51/12)*RATES!$N284/100</f>
        <v>24</v>
      </c>
      <c r="CI308" s="16">
        <f>IF(CI307&gt;0,CI307*PARAM!$C$53,CI307)+CG308-CH308</f>
        <v>-4487.4999999999927</v>
      </c>
      <c r="CJ308" s="15">
        <f t="shared" si="218"/>
        <v>0</v>
      </c>
      <c r="CK308" s="75">
        <f>CJ308*(1-PARAM!$C$27)*$R$4+(MOD($B308/12,5)=0)*($B308&gt;60)*HLOOKUP($B308/12,Loyalty,2)*$F$1*MAX(CM307,0)</f>
        <v>0</v>
      </c>
      <c r="CL308" s="75">
        <f>PARAM!$C$26+MAX($P$4-CHOOSE(PARAM!$B$44,MAX(0,CM307*$F$1),0),0)*RATES!$L284/12+$Q$4*(PARAM!$D$51/12)*RATES!$N284/100</f>
        <v>24</v>
      </c>
      <c r="CM308" s="16">
        <f>IF(CM307&gt;0,CM307*PARAM!$C$53,CM307)+CK308-CL308</f>
        <v>-4487.4999999999927</v>
      </c>
      <c r="CO308" s="176"/>
    </row>
    <row r="309" spans="1:93" x14ac:dyDescent="0.2">
      <c r="A309" t="b">
        <f t="shared" si="193"/>
        <v>1</v>
      </c>
      <c r="B309" s="33">
        <v>282</v>
      </c>
      <c r="C309" s="15">
        <f t="shared" si="194"/>
        <v>20.081305947392778</v>
      </c>
      <c r="D309" s="75">
        <f>C309*(1-PARAM!$C$27)*$I$3+(MOD($B309,60)=PARAM!$B$56)*($B309&gt;(60-PARAM!$B$56))*HLOOKUP(($B309+PARAM!$B$56)/12,Loyalty,2)*$F$1*MAX(F308,0)</f>
        <v>16.808053077967756</v>
      </c>
      <c r="E309" s="75">
        <f>PARAM!$C$26+MAX($G$3-CHOOSE(PARAM!$B$44,MAX(0,F308*$F$1),0),0)*RATES!$L285/12+$H$3*(PARAM!$D$51/12)*RATES!$N285/100</f>
        <v>26.258034330952039</v>
      </c>
      <c r="F309" s="16">
        <f t="shared" si="195"/>
        <v>69.53006347804525</v>
      </c>
      <c r="G309" s="15">
        <f t="shared" si="196"/>
        <v>22.035289406060361</v>
      </c>
      <c r="H309" s="75">
        <f>G309*(1-PARAM!$C$27)*$I$4+(MOD($B309,60)=PARAM!$B$56)*($B309&gt;(60-PARAM!$B$56))*HLOOKUP(($B309+PARAM!$B$56)/12,Loyalty,2)*$F$1*MAX(J308,0)</f>
        <v>18.443537232872522</v>
      </c>
      <c r="I309" s="75">
        <f>PARAM!$C$26+MAX($G$4-CHOOSE(PARAM!$B$44,MAX(0,J308*$F$1),0),0)*RATES!$L285/12+$H$4*(PARAM!$D$51/12)*RATES!$N285/100</f>
        <v>26.056167549035525</v>
      </c>
      <c r="J309" s="16">
        <f t="shared" si="197"/>
        <v>545.41856568651974</v>
      </c>
      <c r="K309" s="15">
        <f t="shared" si="198"/>
        <v>22.170849845882874</v>
      </c>
      <c r="L309" s="75">
        <f>K309*(1-PARAM!$C$27)*$I$5+(MOD($B309,60)=PARAM!$B$56)*($B309&gt;(60-PARAM!$B$56))*HLOOKUP(($B309+PARAM!$B$56)/12,Loyalty,2)*$F$1*MAX(N308,0)</f>
        <v>18.557001321003963</v>
      </c>
      <c r="M309" s="75">
        <f>PARAM!$C$26+MAX($G$5-CHOOSE(PARAM!$B$44,MAX(0,N308*$F$1),0),0)*RATES!$L285/12+$H$5*(PARAM!$D$51/12)*RATES!$N285/100</f>
        <v>26.042155395840702</v>
      </c>
      <c r="N309" s="16">
        <f t="shared" si="199"/>
        <v>578.45129404875968</v>
      </c>
      <c r="O309" s="15">
        <f t="shared" si="200"/>
        <v>22.170849845882874</v>
      </c>
      <c r="P309" s="75">
        <f>O309*(1-PARAM!$C$27)*$I$6+(MOD($B309,60)=PARAM!$B$56)*($B309&gt;(60-PARAM!$B$56))*HLOOKUP(($B309+PARAM!$B$56)/12,Loyalty,2)*$F$1*MAX(R308,0)</f>
        <v>18.557001321003963</v>
      </c>
      <c r="Q309" s="75">
        <f>PARAM!$C$26+MAX($G$6-CHOOSE(PARAM!$B$44,MAX(0,R308*$F$1),0),0)*RATES!$L285/12+$H$6*(PARAM!$D$51/12)*RATES!$N285/100</f>
        <v>26.042155395840702</v>
      </c>
      <c r="R309" s="16">
        <f t="shared" si="201"/>
        <v>578.45129404875968</v>
      </c>
      <c r="S309" s="15">
        <f t="shared" si="176"/>
        <v>22.170849845882874</v>
      </c>
      <c r="T309" s="75">
        <f>S309*(1-PARAM!$C$27)*$I$7+(MOD($B309,60)=PARAM!$B$56)*($B309&gt;(60-PARAM!$B$56))*HLOOKUP(($B309+PARAM!$B$56)/12,Loyalty,2)*$F$1*MAX(V308,0)</f>
        <v>18.557001321003963</v>
      </c>
      <c r="U309" s="75">
        <f>PARAM!$C$26+MAX($G$7-CHOOSE(PARAM!$B$44,MAX(0,V308*$F$1),0),0)*RATES!$L285/12+$H$7*(PARAM!$D$51/12)*RATES!$N285/100</f>
        <v>26.042155395840702</v>
      </c>
      <c r="V309" s="16">
        <f t="shared" si="202"/>
        <v>578.45129404875968</v>
      </c>
      <c r="W309" s="15">
        <f t="shared" si="177"/>
        <v>22.170849845882874</v>
      </c>
      <c r="X309" s="75">
        <f>W309*(1-PARAM!$C$27)*$I$8+(MOD($B309,60)=PARAM!$B$56)*($B309&gt;(60-PARAM!$B$56))*HLOOKUP(($B309+PARAM!$B$56)/12,Loyalty,2)*$F$1*MAX(Z308,0)</f>
        <v>18.557001321003963</v>
      </c>
      <c r="Y309" s="75">
        <f>PARAM!$C$26+MAX($G$8-CHOOSE(PARAM!$B$44,MAX(0,Z308*$F$1),0),0)*RATES!$L285/12+$H$8*(PARAM!$D$51/12)*RATES!$N285/100</f>
        <v>26.042155395840702</v>
      </c>
      <c r="Z309" s="16">
        <f t="shared" si="203"/>
        <v>578.45129404875968</v>
      </c>
      <c r="AA309" s="15">
        <f t="shared" si="178"/>
        <v>22.170849845882874</v>
      </c>
      <c r="AB309" s="75">
        <f>AA309*(1-PARAM!$C$27)*$I$9+(MOD($B309,60)=PARAM!$B$56)*($B309&gt;(60-PARAM!$B$56))*HLOOKUP(($B309+PARAM!$B$56)/12,Loyalty,2)*$F$1*MAX(AD308,0)</f>
        <v>18.557001321003963</v>
      </c>
      <c r="AC309" s="75">
        <f>PARAM!$C$26+MAX($G$9-CHOOSE(PARAM!$B$44,MAX(0,AD308*$F$1),0),0)*RATES!$L285/12+$H$9*(PARAM!$D$51/12)*RATES!$N285/100</f>
        <v>26.042155395840702</v>
      </c>
      <c r="AD309" s="16">
        <f t="shared" si="204"/>
        <v>578.45129404875968</v>
      </c>
      <c r="AE309" s="15">
        <f t="shared" si="179"/>
        <v>22.170849845882874</v>
      </c>
      <c r="AF309" s="75">
        <f>AE309*(1-PARAM!$C$27)*$I$10+(MOD($B309,60)=PARAM!$B$56)*($B309&gt;(60-PARAM!$B$56))*HLOOKUP(($B309+PARAM!$B$56)/12,Loyalty,2)*$F$1*MAX(AH308,0)</f>
        <v>18.557001321003963</v>
      </c>
      <c r="AG309" s="75">
        <f>PARAM!$C$26+MAX($G$10-CHOOSE(PARAM!$B$44,MAX(0,AH308*$F$1),0),0)*RATES!$L285/12+$H$10*(PARAM!$D$51/12)*RATES!$N285/100</f>
        <v>26.042155395840702</v>
      </c>
      <c r="AH309" s="16">
        <f t="shared" si="205"/>
        <v>578.45129404875968</v>
      </c>
      <c r="AI309" s="15">
        <f t="shared" si="180"/>
        <v>22.170849845882874</v>
      </c>
      <c r="AJ309" s="75">
        <f>AI309*(1-PARAM!$C$27)*$I$11+(MOD($B309,60)=PARAM!$B$56)*($B309&gt;(60-PARAM!$B$56))*HLOOKUP(($B309+PARAM!$B$56)/12,Loyalty,2)*$F$1*MAX(AL308,0)</f>
        <v>18.557001321003963</v>
      </c>
      <c r="AK309" s="75">
        <f>PARAM!$C$26+MAX($G$11-CHOOSE(PARAM!$B$44,MAX(0,AL308*$F$1),0),0)*RATES!$L285/12+$H$11*(PARAM!$D$51/12)*RATES!$N285/100</f>
        <v>26.042155395840702</v>
      </c>
      <c r="AL309" s="16">
        <f t="shared" si="206"/>
        <v>578.45129404875968</v>
      </c>
      <c r="AM309" s="15">
        <f t="shared" si="181"/>
        <v>22.170849845882874</v>
      </c>
      <c r="AN309" s="75">
        <f>AM309*(1-PARAM!$C$27)*$I$12+(MOD($B309,60)=PARAM!$B$56)*($B309&gt;(60-PARAM!$B$56))*HLOOKUP(($B309+PARAM!$B$56)/12,Loyalty,2)*$F$1*MAX(AP308,0)</f>
        <v>18.557001321003963</v>
      </c>
      <c r="AO309" s="75">
        <f>PARAM!$C$26+MAX($G$12-CHOOSE(PARAM!$B$44,MAX(0,AP308*$F$1),0),0)*RATES!$L285/12+$H$12*(PARAM!$D$51/12)*RATES!$N285/100</f>
        <v>26.042155395840702</v>
      </c>
      <c r="AP309" s="16">
        <f t="shared" si="207"/>
        <v>578.45129404875968</v>
      </c>
      <c r="AQ309" s="15">
        <f t="shared" si="182"/>
        <v>22.170849845882874</v>
      </c>
      <c r="AR309" s="75">
        <f>AQ309*(1-PARAM!$C$27)*$I$13+(MOD($B309,60)=PARAM!$B$56)*($B309&gt;(60-PARAM!$B$56))*HLOOKUP(($B309+PARAM!$B$56)/12,Loyalty,2)*$F$1*MAX(AT308,0)</f>
        <v>18.557001321003963</v>
      </c>
      <c r="AS309" s="75">
        <f>PARAM!$C$26+MAX($G$13-CHOOSE(PARAM!$B$44,MAX(0,AT308*$F$1),0),0)*RATES!$L285/12+$H$13*(PARAM!$D$51/12)*RATES!$N285/100</f>
        <v>26.042155395840702</v>
      </c>
      <c r="AT309" s="16">
        <f t="shared" si="208"/>
        <v>578.45129404875968</v>
      </c>
      <c r="AU309" s="15">
        <f t="shared" si="183"/>
        <v>22.170849845882874</v>
      </c>
      <c r="AV309" s="75">
        <f>AU309*(1-PARAM!$C$27)*$I$14+(MOD($B309,60)=PARAM!$B$56)*($B309&gt;(60-PARAM!$B$56))*HLOOKUP(($B309+PARAM!$B$56)/12,Loyalty,2)*$F$1*MAX(AX308,0)</f>
        <v>18.557001321003963</v>
      </c>
      <c r="AW309" s="75">
        <f>PARAM!$C$26+MAX($G$14-CHOOSE(PARAM!$B$44,MAX(0,AX308*$F$1),0),0)*RATES!$L285/12+$H$14*(PARAM!$D$51/12)*RATES!$N285/100</f>
        <v>26.042155395840702</v>
      </c>
      <c r="AX309" s="16">
        <f t="shared" si="209"/>
        <v>578.45129404875968</v>
      </c>
      <c r="AY309" s="15">
        <f t="shared" si="184"/>
        <v>22.170849845882874</v>
      </c>
      <c r="AZ309" s="75">
        <f>AY309*(1-PARAM!$C$27)*$I$15+(MOD($B309,60)=PARAM!$B$56)*($B309&gt;(60-PARAM!$B$56))*HLOOKUP(($B309+PARAM!$B$56)/12,Loyalty,2)*$F$1*MAX(BB308,0)</f>
        <v>18.557001321003963</v>
      </c>
      <c r="BA309" s="75">
        <f>PARAM!$C$26+MAX($G$15-CHOOSE(PARAM!$B$44,MAX(0,BB308*$F$1),0),0)*RATES!$L285/12+$H$15*(PARAM!$D$51/12)*RATES!$N285/100</f>
        <v>26.042155395840702</v>
      </c>
      <c r="BB309" s="16">
        <f t="shared" si="210"/>
        <v>578.45129404875968</v>
      </c>
      <c r="BC309" s="15">
        <f t="shared" si="185"/>
        <v>22.170849845882874</v>
      </c>
      <c r="BD309" s="75">
        <f>BC309*(1-PARAM!$C$27)*$I$16+(MOD($B309,60)=PARAM!$B$56)*($B309&gt;(60-PARAM!$B$56))*HLOOKUP(($B309+PARAM!$B$56)/12,Loyalty,2)*$F$1*MAX(BF308,0)</f>
        <v>18.557001321003963</v>
      </c>
      <c r="BE309" s="75">
        <f>PARAM!$C$26+MAX($G$16-CHOOSE(PARAM!$B$44,MAX(0,BF308*$F$1),0),0)*RATES!$L285/12+$H$16*(PARAM!$D$51/12)*RATES!$N285/100</f>
        <v>26.042155395840702</v>
      </c>
      <c r="BF309" s="16">
        <f t="shared" si="211"/>
        <v>578.45129404875968</v>
      </c>
      <c r="BG309" s="15">
        <f t="shared" si="186"/>
        <v>22.170849845882874</v>
      </c>
      <c r="BH309" s="75">
        <f>BG309*(1-PARAM!$C$27)*$I$17+(MOD($B309,60)=PARAM!$B$56)*($B309&gt;(60-PARAM!$B$56))*HLOOKUP(($B309+PARAM!$B$56)/12,Loyalty,2)*$F$1*MAX(BJ308,0)</f>
        <v>18.557001321003963</v>
      </c>
      <c r="BI309" s="75">
        <f>PARAM!$C$26+MAX($G$17-CHOOSE(PARAM!$B$44,MAX(0,BJ308*$F$1),0),0)*RATES!$L285/12+$H$17*(PARAM!$D$51/12)*RATES!$N285/100</f>
        <v>26.042155395840702</v>
      </c>
      <c r="BJ309" s="16">
        <f t="shared" si="212"/>
        <v>578.45129404875968</v>
      </c>
      <c r="BK309" s="15">
        <f t="shared" si="187"/>
        <v>22.170849845882874</v>
      </c>
      <c r="BL309" s="75">
        <f>BK309*(1-PARAM!$C$27)*$I$18+(MOD($B309,60)=PARAM!$B$56)*($B309&gt;(60-PARAM!$B$56))*HLOOKUP(($B309+PARAM!$B$56)/12,Loyalty,2)*$F$1*MAX(BN308,0)</f>
        <v>18.557001321003963</v>
      </c>
      <c r="BM309" s="75">
        <f>PARAM!$C$26+MAX($G$18-CHOOSE(PARAM!$B$44,MAX(0,BN308*$F$1),0),0)*RATES!$L285/12+$H$18*(PARAM!$D$51/12)*RATES!$N285/100</f>
        <v>26.042155395840702</v>
      </c>
      <c r="BN309" s="16">
        <f t="shared" si="213"/>
        <v>578.45129404875968</v>
      </c>
      <c r="BO309" s="15">
        <f t="shared" si="188"/>
        <v>22.170849845882874</v>
      </c>
      <c r="BP309" s="75">
        <f>BO309*(1-PARAM!$C$27)*$I$19+(MOD($B309,60)=PARAM!$B$56)*($B309&gt;(60-PARAM!$B$56))*HLOOKUP(($B309+PARAM!$B$56)/12,Loyalty,2)*$F$1*MAX(BR308,0)</f>
        <v>18.557001321003963</v>
      </c>
      <c r="BQ309" s="75">
        <f>PARAM!$C$26+MAX($G$19-CHOOSE(PARAM!$B$44,MAX(0,BR308*$F$1),0),0)*RATES!$L285/12+$H$19*(PARAM!$D$51/12)*RATES!$N285/100</f>
        <v>26.042155395840702</v>
      </c>
      <c r="BR309" s="16">
        <f t="shared" si="214"/>
        <v>578.45129404875968</v>
      </c>
      <c r="BS309" s="15">
        <f t="shared" si="189"/>
        <v>22.170849845882874</v>
      </c>
      <c r="BT309" s="75">
        <f>BS309*(1-PARAM!$C$27)*$I$20+(MOD($B309,60)=PARAM!$B$56)*($B309&gt;(60-PARAM!$B$56))*HLOOKUP(($B309+PARAM!$B$56)/12,Loyalty,2)*$F$1*MAX(BV308,0)</f>
        <v>18.557001321003963</v>
      </c>
      <c r="BU309" s="75">
        <f>PARAM!$C$26+MAX($G$20-CHOOSE(PARAM!$B$44,MAX(0,BV308*$F$1),0),0)*RATES!$L285/12+$H$20*(PARAM!$D$51/12)*RATES!$N285/100</f>
        <v>26.042155395840702</v>
      </c>
      <c r="BV309" s="16">
        <f t="shared" si="215"/>
        <v>578.45129404875968</v>
      </c>
      <c r="BW309" s="15">
        <f t="shared" si="190"/>
        <v>22.170849845882874</v>
      </c>
      <c r="BX309" s="75">
        <f>BW309*(1-PARAM!$C$27)*$I$21+(MOD($B309,60)=PARAM!$B$56)*($B309&gt;(60-PARAM!$B$56))*HLOOKUP(($B309+PARAM!$B$56)/12,Loyalty,2)*$F$1*MAX(BZ308,0)</f>
        <v>18.557001321003963</v>
      </c>
      <c r="BY309" s="75">
        <f>PARAM!$C$26+MAX($G$21-CHOOSE(PARAM!$B$44,MAX(0,BZ308*$F$1),0),0)*RATES!$L285/12+$H$21*(PARAM!$D$51/12)*RATES!$N285/100</f>
        <v>26.042155395840702</v>
      </c>
      <c r="BZ309" s="16">
        <f t="shared" si="216"/>
        <v>578.45129404875968</v>
      </c>
      <c r="CA309" s="15">
        <f t="shared" si="191"/>
        <v>22.170849845882874</v>
      </c>
      <c r="CB309" s="75">
        <f>CA309*(1-PARAM!$C$27)*$I$22+(MOD($B309,60)=PARAM!$B$56)*($B309&gt;(60-PARAM!$B$56))*HLOOKUP(($B309+PARAM!$B$56)/12,Loyalty,2)*$F$1*MAX(CD308,0)</f>
        <v>18.557001321003963</v>
      </c>
      <c r="CC309" s="75">
        <f>PARAM!$C$26+MAX($G$22-CHOOSE(PARAM!$B$44,MAX(0,CD308*$F$1),0),0)*RATES!$L285/12+$H$22*(PARAM!$D$51/12)*RATES!$N285/100</f>
        <v>26.042155395840702</v>
      </c>
      <c r="CD309" s="16">
        <f t="shared" si="217"/>
        <v>578.45129404875968</v>
      </c>
      <c r="CE309" s="33">
        <f>IF(0=MOD(B309,12/PARAM!$D$51),1,0)</f>
        <v>1</v>
      </c>
      <c r="CF309" s="15">
        <f t="shared" si="192"/>
        <v>0</v>
      </c>
      <c r="CG309" s="75">
        <f>CF309*(1-PARAM!$C$27)*$R$3+(MOD($B309/12,5)=0)*($B309&gt;60)*HLOOKUP($B309/12,Loyalty,2)*$F$1*MAX(CI308,0)</f>
        <v>0</v>
      </c>
      <c r="CH309" s="75">
        <f>PARAM!$C$26+MAX($P$3-CHOOSE(PARAM!$B$44,MAX(0,CI308*$F$1),0),0)*RATES!$L285/12+$Q$3*(PARAM!$D$51/12)*RATES!$N285/100</f>
        <v>26.291666666666668</v>
      </c>
      <c r="CI309" s="16">
        <f>IF(CI308&gt;0,CI308*PARAM!$C$53,CI308)+CG309-CH309</f>
        <v>-4513.7916666666597</v>
      </c>
      <c r="CJ309" s="15">
        <f t="shared" si="218"/>
        <v>0</v>
      </c>
      <c r="CK309" s="75">
        <f>CJ309*(1-PARAM!$C$27)*$R$4+(MOD($B309/12,5)=0)*($B309&gt;60)*HLOOKUP($B309/12,Loyalty,2)*$F$1*MAX(CM308,0)</f>
        <v>0</v>
      </c>
      <c r="CL309" s="75">
        <f>PARAM!$C$26+MAX($P$4-CHOOSE(PARAM!$B$44,MAX(0,CM308*$F$1),0),0)*RATES!$L285/12+$Q$4*(PARAM!$D$51/12)*RATES!$N285/100</f>
        <v>26.291666666666668</v>
      </c>
      <c r="CM309" s="16">
        <f>IF(CM308&gt;0,CM308*PARAM!$C$53,CM308)+CK309-CL309</f>
        <v>-4513.7916666666597</v>
      </c>
      <c r="CO309" s="176"/>
    </row>
    <row r="310" spans="1:93" x14ac:dyDescent="0.2">
      <c r="A310" t="b">
        <f t="shared" si="193"/>
        <v>1</v>
      </c>
      <c r="B310" s="33">
        <v>283</v>
      </c>
      <c r="C310" s="15">
        <f t="shared" si="194"/>
        <v>20.081305947392778</v>
      </c>
      <c r="D310" s="75">
        <f>C310*(1-PARAM!$C$27)*$I$3+(MOD($B310,60)=PARAM!$B$56)*($B310&gt;(60-PARAM!$B$56))*HLOOKUP(($B310+PARAM!$B$56)/12,Loyalty,2)*$F$1*MAX(F309,0)</f>
        <v>16.808053077967756</v>
      </c>
      <c r="E310" s="75">
        <f>PARAM!$C$26+MAX($G$3-CHOOSE(PARAM!$B$44,MAX(0,F309*$F$1),0),0)*RATES!$L286/12+$H$3*(PARAM!$D$51/12)*RATES!$N286/100</f>
        <v>26.262058447968933</v>
      </c>
      <c r="F310" s="16">
        <f t="shared" si="195"/>
        <v>60.076058108044073</v>
      </c>
      <c r="G310" s="15">
        <f t="shared" si="196"/>
        <v>22.035289406060361</v>
      </c>
      <c r="H310" s="75">
        <f>G310*(1-PARAM!$C$27)*$I$4+(MOD($B310,60)=PARAM!$B$56)*($B310&gt;(60-PARAM!$B$56))*HLOOKUP(($B310+PARAM!$B$56)/12,Loyalty,2)*$F$1*MAX(J309,0)</f>
        <v>18.443537232872522</v>
      </c>
      <c r="I310" s="75">
        <f>PARAM!$C$26+MAX($G$4-CHOOSE(PARAM!$B$44,MAX(0,J309*$F$1),0),0)*RATES!$L286/12+$H$4*(PARAM!$D$51/12)*RATES!$N286/100</f>
        <v>26.059409260778491</v>
      </c>
      <c r="J310" s="16">
        <f t="shared" si="197"/>
        <v>537.80269365861375</v>
      </c>
      <c r="K310" s="15">
        <f t="shared" si="198"/>
        <v>22.170849845882874</v>
      </c>
      <c r="L310" s="75">
        <f>K310*(1-PARAM!$C$27)*$I$5+(MOD($B310,60)=PARAM!$B$56)*($B310&gt;(60-PARAM!$B$56))*HLOOKUP(($B310+PARAM!$B$56)/12,Loyalty,2)*$F$1*MAX(N309,0)</f>
        <v>18.557001321003963</v>
      </c>
      <c r="M310" s="75">
        <f>PARAM!$C$26+MAX($G$5-CHOOSE(PARAM!$B$44,MAX(0,N309*$F$1),0),0)*RATES!$L286/12+$H$5*(PARAM!$D$51/12)*RATES!$N286/100</f>
        <v>26.0453428239509</v>
      </c>
      <c r="N310" s="16">
        <f t="shared" si="199"/>
        <v>570.96295254581275</v>
      </c>
      <c r="O310" s="15">
        <f t="shared" si="200"/>
        <v>22.170849845882874</v>
      </c>
      <c r="P310" s="75">
        <f>O310*(1-PARAM!$C$27)*$I$6+(MOD($B310,60)=PARAM!$B$56)*($B310&gt;(60-PARAM!$B$56))*HLOOKUP(($B310+PARAM!$B$56)/12,Loyalty,2)*$F$1*MAX(R309,0)</f>
        <v>18.557001321003963</v>
      </c>
      <c r="Q310" s="75">
        <f>PARAM!$C$26+MAX($G$6-CHOOSE(PARAM!$B$44,MAX(0,R309*$F$1),0),0)*RATES!$L286/12+$H$6*(PARAM!$D$51/12)*RATES!$N286/100</f>
        <v>26.0453428239509</v>
      </c>
      <c r="R310" s="16">
        <f t="shared" si="201"/>
        <v>570.96295254581275</v>
      </c>
      <c r="S310" s="15">
        <f t="shared" si="176"/>
        <v>22.170849845882874</v>
      </c>
      <c r="T310" s="75">
        <f>S310*(1-PARAM!$C$27)*$I$7+(MOD($B310,60)=PARAM!$B$56)*($B310&gt;(60-PARAM!$B$56))*HLOOKUP(($B310+PARAM!$B$56)/12,Loyalty,2)*$F$1*MAX(V309,0)</f>
        <v>18.557001321003963</v>
      </c>
      <c r="U310" s="75">
        <f>PARAM!$C$26+MAX($G$7-CHOOSE(PARAM!$B$44,MAX(0,V309*$F$1),0),0)*RATES!$L286/12+$H$7*(PARAM!$D$51/12)*RATES!$N286/100</f>
        <v>26.0453428239509</v>
      </c>
      <c r="V310" s="16">
        <f t="shared" si="202"/>
        <v>570.96295254581275</v>
      </c>
      <c r="W310" s="15">
        <f t="shared" si="177"/>
        <v>22.170849845882874</v>
      </c>
      <c r="X310" s="75">
        <f>W310*(1-PARAM!$C$27)*$I$8+(MOD($B310,60)=PARAM!$B$56)*($B310&gt;(60-PARAM!$B$56))*HLOOKUP(($B310+PARAM!$B$56)/12,Loyalty,2)*$F$1*MAX(Z309,0)</f>
        <v>18.557001321003963</v>
      </c>
      <c r="Y310" s="75">
        <f>PARAM!$C$26+MAX($G$8-CHOOSE(PARAM!$B$44,MAX(0,Z309*$F$1),0),0)*RATES!$L286/12+$H$8*(PARAM!$D$51/12)*RATES!$N286/100</f>
        <v>26.0453428239509</v>
      </c>
      <c r="Z310" s="16">
        <f t="shared" si="203"/>
        <v>570.96295254581275</v>
      </c>
      <c r="AA310" s="15">
        <f t="shared" si="178"/>
        <v>22.170849845882874</v>
      </c>
      <c r="AB310" s="75">
        <f>AA310*(1-PARAM!$C$27)*$I$9+(MOD($B310,60)=PARAM!$B$56)*($B310&gt;(60-PARAM!$B$56))*HLOOKUP(($B310+PARAM!$B$56)/12,Loyalty,2)*$F$1*MAX(AD309,0)</f>
        <v>18.557001321003963</v>
      </c>
      <c r="AC310" s="75">
        <f>PARAM!$C$26+MAX($G$9-CHOOSE(PARAM!$B$44,MAX(0,AD309*$F$1),0),0)*RATES!$L286/12+$H$9*(PARAM!$D$51/12)*RATES!$N286/100</f>
        <v>26.0453428239509</v>
      </c>
      <c r="AD310" s="16">
        <f t="shared" si="204"/>
        <v>570.96295254581275</v>
      </c>
      <c r="AE310" s="15">
        <f t="shared" si="179"/>
        <v>22.170849845882874</v>
      </c>
      <c r="AF310" s="75">
        <f>AE310*(1-PARAM!$C$27)*$I$10+(MOD($B310,60)=PARAM!$B$56)*($B310&gt;(60-PARAM!$B$56))*HLOOKUP(($B310+PARAM!$B$56)/12,Loyalty,2)*$F$1*MAX(AH309,0)</f>
        <v>18.557001321003963</v>
      </c>
      <c r="AG310" s="75">
        <f>PARAM!$C$26+MAX($G$10-CHOOSE(PARAM!$B$44,MAX(0,AH309*$F$1),0),0)*RATES!$L286/12+$H$10*(PARAM!$D$51/12)*RATES!$N286/100</f>
        <v>26.0453428239509</v>
      </c>
      <c r="AH310" s="16">
        <f t="shared" si="205"/>
        <v>570.96295254581275</v>
      </c>
      <c r="AI310" s="15">
        <f t="shared" si="180"/>
        <v>22.170849845882874</v>
      </c>
      <c r="AJ310" s="75">
        <f>AI310*(1-PARAM!$C$27)*$I$11+(MOD($B310,60)=PARAM!$B$56)*($B310&gt;(60-PARAM!$B$56))*HLOOKUP(($B310+PARAM!$B$56)/12,Loyalty,2)*$F$1*MAX(AL309,0)</f>
        <v>18.557001321003963</v>
      </c>
      <c r="AK310" s="75">
        <f>PARAM!$C$26+MAX($G$11-CHOOSE(PARAM!$B$44,MAX(0,AL309*$F$1),0),0)*RATES!$L286/12+$H$11*(PARAM!$D$51/12)*RATES!$N286/100</f>
        <v>26.0453428239509</v>
      </c>
      <c r="AL310" s="16">
        <f t="shared" si="206"/>
        <v>570.96295254581275</v>
      </c>
      <c r="AM310" s="15">
        <f t="shared" si="181"/>
        <v>22.170849845882874</v>
      </c>
      <c r="AN310" s="75">
        <f>AM310*(1-PARAM!$C$27)*$I$12+(MOD($B310,60)=PARAM!$B$56)*($B310&gt;(60-PARAM!$B$56))*HLOOKUP(($B310+PARAM!$B$56)/12,Loyalty,2)*$F$1*MAX(AP309,0)</f>
        <v>18.557001321003963</v>
      </c>
      <c r="AO310" s="75">
        <f>PARAM!$C$26+MAX($G$12-CHOOSE(PARAM!$B$44,MAX(0,AP309*$F$1),0),0)*RATES!$L286/12+$H$12*(PARAM!$D$51/12)*RATES!$N286/100</f>
        <v>26.0453428239509</v>
      </c>
      <c r="AP310" s="16">
        <f t="shared" si="207"/>
        <v>570.96295254581275</v>
      </c>
      <c r="AQ310" s="15">
        <f t="shared" si="182"/>
        <v>22.170849845882874</v>
      </c>
      <c r="AR310" s="75">
        <f>AQ310*(1-PARAM!$C$27)*$I$13+(MOD($B310,60)=PARAM!$B$56)*($B310&gt;(60-PARAM!$B$56))*HLOOKUP(($B310+PARAM!$B$56)/12,Loyalty,2)*$F$1*MAX(AT309,0)</f>
        <v>18.557001321003963</v>
      </c>
      <c r="AS310" s="75">
        <f>PARAM!$C$26+MAX($G$13-CHOOSE(PARAM!$B$44,MAX(0,AT309*$F$1),0),0)*RATES!$L286/12+$H$13*(PARAM!$D$51/12)*RATES!$N286/100</f>
        <v>26.0453428239509</v>
      </c>
      <c r="AT310" s="16">
        <f t="shared" si="208"/>
        <v>570.96295254581275</v>
      </c>
      <c r="AU310" s="15">
        <f t="shared" si="183"/>
        <v>22.170849845882874</v>
      </c>
      <c r="AV310" s="75">
        <f>AU310*(1-PARAM!$C$27)*$I$14+(MOD($B310,60)=PARAM!$B$56)*($B310&gt;(60-PARAM!$B$56))*HLOOKUP(($B310+PARAM!$B$56)/12,Loyalty,2)*$F$1*MAX(AX309,0)</f>
        <v>18.557001321003963</v>
      </c>
      <c r="AW310" s="75">
        <f>PARAM!$C$26+MAX($G$14-CHOOSE(PARAM!$B$44,MAX(0,AX309*$F$1),0),0)*RATES!$L286/12+$H$14*(PARAM!$D$51/12)*RATES!$N286/100</f>
        <v>26.0453428239509</v>
      </c>
      <c r="AX310" s="16">
        <f t="shared" si="209"/>
        <v>570.96295254581275</v>
      </c>
      <c r="AY310" s="15">
        <f t="shared" si="184"/>
        <v>22.170849845882874</v>
      </c>
      <c r="AZ310" s="75">
        <f>AY310*(1-PARAM!$C$27)*$I$15+(MOD($B310,60)=PARAM!$B$56)*($B310&gt;(60-PARAM!$B$56))*HLOOKUP(($B310+PARAM!$B$56)/12,Loyalty,2)*$F$1*MAX(BB309,0)</f>
        <v>18.557001321003963</v>
      </c>
      <c r="BA310" s="75">
        <f>PARAM!$C$26+MAX($G$15-CHOOSE(PARAM!$B$44,MAX(0,BB309*$F$1),0),0)*RATES!$L286/12+$H$15*(PARAM!$D$51/12)*RATES!$N286/100</f>
        <v>26.0453428239509</v>
      </c>
      <c r="BB310" s="16">
        <f t="shared" si="210"/>
        <v>570.96295254581275</v>
      </c>
      <c r="BC310" s="15">
        <f t="shared" si="185"/>
        <v>22.170849845882874</v>
      </c>
      <c r="BD310" s="75">
        <f>BC310*(1-PARAM!$C$27)*$I$16+(MOD($B310,60)=PARAM!$B$56)*($B310&gt;(60-PARAM!$B$56))*HLOOKUP(($B310+PARAM!$B$56)/12,Loyalty,2)*$F$1*MAX(BF309,0)</f>
        <v>18.557001321003963</v>
      </c>
      <c r="BE310" s="75">
        <f>PARAM!$C$26+MAX($G$16-CHOOSE(PARAM!$B$44,MAX(0,BF309*$F$1),0),0)*RATES!$L286/12+$H$16*(PARAM!$D$51/12)*RATES!$N286/100</f>
        <v>26.0453428239509</v>
      </c>
      <c r="BF310" s="16">
        <f t="shared" si="211"/>
        <v>570.96295254581275</v>
      </c>
      <c r="BG310" s="15">
        <f t="shared" si="186"/>
        <v>22.170849845882874</v>
      </c>
      <c r="BH310" s="75">
        <f>BG310*(1-PARAM!$C$27)*$I$17+(MOD($B310,60)=PARAM!$B$56)*($B310&gt;(60-PARAM!$B$56))*HLOOKUP(($B310+PARAM!$B$56)/12,Loyalty,2)*$F$1*MAX(BJ309,0)</f>
        <v>18.557001321003963</v>
      </c>
      <c r="BI310" s="75">
        <f>PARAM!$C$26+MAX($G$17-CHOOSE(PARAM!$B$44,MAX(0,BJ309*$F$1),0),0)*RATES!$L286/12+$H$17*(PARAM!$D$51/12)*RATES!$N286/100</f>
        <v>26.0453428239509</v>
      </c>
      <c r="BJ310" s="16">
        <f t="shared" si="212"/>
        <v>570.96295254581275</v>
      </c>
      <c r="BK310" s="15">
        <f t="shared" si="187"/>
        <v>22.170849845882874</v>
      </c>
      <c r="BL310" s="75">
        <f>BK310*(1-PARAM!$C$27)*$I$18+(MOD($B310,60)=PARAM!$B$56)*($B310&gt;(60-PARAM!$B$56))*HLOOKUP(($B310+PARAM!$B$56)/12,Loyalty,2)*$F$1*MAX(BN309,0)</f>
        <v>18.557001321003963</v>
      </c>
      <c r="BM310" s="75">
        <f>PARAM!$C$26+MAX($G$18-CHOOSE(PARAM!$B$44,MAX(0,BN309*$F$1),0),0)*RATES!$L286/12+$H$18*(PARAM!$D$51/12)*RATES!$N286/100</f>
        <v>26.0453428239509</v>
      </c>
      <c r="BN310" s="16">
        <f t="shared" si="213"/>
        <v>570.96295254581275</v>
      </c>
      <c r="BO310" s="15">
        <f t="shared" si="188"/>
        <v>22.170849845882874</v>
      </c>
      <c r="BP310" s="75">
        <f>BO310*(1-PARAM!$C$27)*$I$19+(MOD($B310,60)=PARAM!$B$56)*($B310&gt;(60-PARAM!$B$56))*HLOOKUP(($B310+PARAM!$B$56)/12,Loyalty,2)*$F$1*MAX(BR309,0)</f>
        <v>18.557001321003963</v>
      </c>
      <c r="BQ310" s="75">
        <f>PARAM!$C$26+MAX($G$19-CHOOSE(PARAM!$B$44,MAX(0,BR309*$F$1),0),0)*RATES!$L286/12+$H$19*(PARAM!$D$51/12)*RATES!$N286/100</f>
        <v>26.0453428239509</v>
      </c>
      <c r="BR310" s="16">
        <f t="shared" si="214"/>
        <v>570.96295254581275</v>
      </c>
      <c r="BS310" s="15">
        <f t="shared" si="189"/>
        <v>22.170849845882874</v>
      </c>
      <c r="BT310" s="75">
        <f>BS310*(1-PARAM!$C$27)*$I$20+(MOD($B310,60)=PARAM!$B$56)*($B310&gt;(60-PARAM!$B$56))*HLOOKUP(($B310+PARAM!$B$56)/12,Loyalty,2)*$F$1*MAX(BV309,0)</f>
        <v>18.557001321003963</v>
      </c>
      <c r="BU310" s="75">
        <f>PARAM!$C$26+MAX($G$20-CHOOSE(PARAM!$B$44,MAX(0,BV309*$F$1),0),0)*RATES!$L286/12+$H$20*(PARAM!$D$51/12)*RATES!$N286/100</f>
        <v>26.0453428239509</v>
      </c>
      <c r="BV310" s="16">
        <f t="shared" si="215"/>
        <v>570.96295254581275</v>
      </c>
      <c r="BW310" s="15">
        <f t="shared" si="190"/>
        <v>22.170849845882874</v>
      </c>
      <c r="BX310" s="75">
        <f>BW310*(1-PARAM!$C$27)*$I$21+(MOD($B310,60)=PARAM!$B$56)*($B310&gt;(60-PARAM!$B$56))*HLOOKUP(($B310+PARAM!$B$56)/12,Loyalty,2)*$F$1*MAX(BZ309,0)</f>
        <v>18.557001321003963</v>
      </c>
      <c r="BY310" s="75">
        <f>PARAM!$C$26+MAX($G$21-CHOOSE(PARAM!$B$44,MAX(0,BZ309*$F$1),0),0)*RATES!$L286/12+$H$21*(PARAM!$D$51/12)*RATES!$N286/100</f>
        <v>26.0453428239509</v>
      </c>
      <c r="BZ310" s="16">
        <f t="shared" si="216"/>
        <v>570.96295254581275</v>
      </c>
      <c r="CA310" s="15">
        <f t="shared" si="191"/>
        <v>22.170849845882874</v>
      </c>
      <c r="CB310" s="75">
        <f>CA310*(1-PARAM!$C$27)*$I$22+(MOD($B310,60)=PARAM!$B$56)*($B310&gt;(60-PARAM!$B$56))*HLOOKUP(($B310+PARAM!$B$56)/12,Loyalty,2)*$F$1*MAX(CD309,0)</f>
        <v>18.557001321003963</v>
      </c>
      <c r="CC310" s="75">
        <f>PARAM!$C$26+MAX($G$22-CHOOSE(PARAM!$B$44,MAX(0,CD309*$F$1),0),0)*RATES!$L286/12+$H$22*(PARAM!$D$51/12)*RATES!$N286/100</f>
        <v>26.0453428239509</v>
      </c>
      <c r="CD310" s="16">
        <f t="shared" si="217"/>
        <v>570.96295254581275</v>
      </c>
      <c r="CE310" s="33">
        <f>IF(0=MOD(B310,12/PARAM!$D$51),1,0)</f>
        <v>1</v>
      </c>
      <c r="CF310" s="15">
        <f t="shared" si="192"/>
        <v>0</v>
      </c>
      <c r="CG310" s="75">
        <f>CF310*(1-PARAM!$C$27)*$R$3+(MOD($B310/12,5)=0)*($B310&gt;60)*HLOOKUP($B310/12,Loyalty,2)*$F$1*MAX(CI309,0)</f>
        <v>0</v>
      </c>
      <c r="CH310" s="75">
        <f>PARAM!$C$26+MAX($P$3-CHOOSE(PARAM!$B$44,MAX(0,CI309*$F$1),0),0)*RATES!$L286/12+$Q$3*(PARAM!$D$51/12)*RATES!$N286/100</f>
        <v>26.291666666666668</v>
      </c>
      <c r="CI310" s="16">
        <f>IF(CI309&gt;0,CI309*PARAM!$C$53,CI309)+CG310-CH310</f>
        <v>-4540.0833333333267</v>
      </c>
      <c r="CJ310" s="15">
        <f t="shared" si="218"/>
        <v>0</v>
      </c>
      <c r="CK310" s="75">
        <f>CJ310*(1-PARAM!$C$27)*$R$4+(MOD($B310/12,5)=0)*($B310&gt;60)*HLOOKUP($B310/12,Loyalty,2)*$F$1*MAX(CM309,0)</f>
        <v>0</v>
      </c>
      <c r="CL310" s="75">
        <f>PARAM!$C$26+MAX($P$4-CHOOSE(PARAM!$B$44,MAX(0,CM309*$F$1),0),0)*RATES!$L286/12+$Q$4*(PARAM!$D$51/12)*RATES!$N286/100</f>
        <v>26.291666666666668</v>
      </c>
      <c r="CM310" s="16">
        <f>IF(CM309&gt;0,CM309*PARAM!$C$53,CM309)+CK310-CL310</f>
        <v>-4540.0833333333267</v>
      </c>
      <c r="CO310" s="176"/>
    </row>
    <row r="311" spans="1:93" x14ac:dyDescent="0.2">
      <c r="A311" t="b">
        <f t="shared" si="193"/>
        <v>1</v>
      </c>
      <c r="B311" s="33">
        <v>284</v>
      </c>
      <c r="C311" s="15">
        <f t="shared" si="194"/>
        <v>20.081305947392778</v>
      </c>
      <c r="D311" s="75">
        <f>C311*(1-PARAM!$C$27)*$I$3+(MOD($B311,60)=PARAM!$B$56)*($B311&gt;(60-PARAM!$B$56))*HLOOKUP(($B311+PARAM!$B$56)/12,Loyalty,2)*$F$1*MAX(F310,0)</f>
        <v>16.808053077967756</v>
      </c>
      <c r="E311" s="75">
        <f>PARAM!$C$26+MAX($G$3-CHOOSE(PARAM!$B$44,MAX(0,F310*$F$1),0),0)*RATES!$L287/12+$H$3*(PARAM!$D$51/12)*RATES!$N287/100</f>
        <v>26.266084278588988</v>
      </c>
      <c r="F311" s="16">
        <f t="shared" si="195"/>
        <v>50.618026907422845</v>
      </c>
      <c r="G311" s="15">
        <f t="shared" si="196"/>
        <v>22.035289406060361</v>
      </c>
      <c r="H311" s="75">
        <f>G311*(1-PARAM!$C$27)*$I$4+(MOD($B311,60)=PARAM!$B$56)*($B311&gt;(60-PARAM!$B$56))*HLOOKUP(($B311+PARAM!$B$56)/12,Loyalty,2)*$F$1*MAX(J310,0)</f>
        <v>18.443537232872522</v>
      </c>
      <c r="I311" s="75">
        <f>PARAM!$C$26+MAX($G$4-CHOOSE(PARAM!$B$44,MAX(0,J310*$F$1),0),0)*RATES!$L287/12+$H$4*(PARAM!$D$51/12)*RATES!$N287/100</f>
        <v>26.062652352950376</v>
      </c>
      <c r="J311" s="16">
        <f t="shared" si="197"/>
        <v>530.18357853853581</v>
      </c>
      <c r="K311" s="15">
        <f t="shared" si="198"/>
        <v>22.170849845882874</v>
      </c>
      <c r="L311" s="75">
        <f>K311*(1-PARAM!$C$27)*$I$5+(MOD($B311,60)=PARAM!$B$56)*($B311&gt;(60-PARAM!$B$56))*HLOOKUP(($B311+PARAM!$B$56)/12,Loyalty,2)*$F$1*MAX(N310,0)</f>
        <v>18.557001321003963</v>
      </c>
      <c r="M311" s="75">
        <f>PARAM!$C$26+MAX($G$5-CHOOSE(PARAM!$B$44,MAX(0,N310*$F$1),0),0)*RATES!$L287/12+$H$5*(PARAM!$D$51/12)*RATES!$N287/100</f>
        <v>26.048531609374241</v>
      </c>
      <c r="N311" s="16">
        <f t="shared" si="199"/>
        <v>563.47142225744255</v>
      </c>
      <c r="O311" s="15">
        <f t="shared" si="200"/>
        <v>22.170849845882874</v>
      </c>
      <c r="P311" s="75">
        <f>O311*(1-PARAM!$C$27)*$I$6+(MOD($B311,60)=PARAM!$B$56)*($B311&gt;(60-PARAM!$B$56))*HLOOKUP(($B311+PARAM!$B$56)/12,Loyalty,2)*$F$1*MAX(R310,0)</f>
        <v>18.557001321003963</v>
      </c>
      <c r="Q311" s="75">
        <f>PARAM!$C$26+MAX($G$6-CHOOSE(PARAM!$B$44,MAX(0,R310*$F$1),0),0)*RATES!$L287/12+$H$6*(PARAM!$D$51/12)*RATES!$N287/100</f>
        <v>26.048531609374241</v>
      </c>
      <c r="R311" s="16">
        <f t="shared" si="201"/>
        <v>563.47142225744255</v>
      </c>
      <c r="S311" s="15">
        <f t="shared" si="176"/>
        <v>22.170849845882874</v>
      </c>
      <c r="T311" s="75">
        <f>S311*(1-PARAM!$C$27)*$I$7+(MOD($B311,60)=PARAM!$B$56)*($B311&gt;(60-PARAM!$B$56))*HLOOKUP(($B311+PARAM!$B$56)/12,Loyalty,2)*$F$1*MAX(V310,0)</f>
        <v>18.557001321003963</v>
      </c>
      <c r="U311" s="75">
        <f>PARAM!$C$26+MAX($G$7-CHOOSE(PARAM!$B$44,MAX(0,V310*$F$1),0),0)*RATES!$L287/12+$H$7*(PARAM!$D$51/12)*RATES!$N287/100</f>
        <v>26.048531609374241</v>
      </c>
      <c r="V311" s="16">
        <f t="shared" si="202"/>
        <v>563.47142225744255</v>
      </c>
      <c r="W311" s="15">
        <f t="shared" si="177"/>
        <v>22.170849845882874</v>
      </c>
      <c r="X311" s="75">
        <f>W311*(1-PARAM!$C$27)*$I$8+(MOD($B311,60)=PARAM!$B$56)*($B311&gt;(60-PARAM!$B$56))*HLOOKUP(($B311+PARAM!$B$56)/12,Loyalty,2)*$F$1*MAX(Z310,0)</f>
        <v>18.557001321003963</v>
      </c>
      <c r="Y311" s="75">
        <f>PARAM!$C$26+MAX($G$8-CHOOSE(PARAM!$B$44,MAX(0,Z310*$F$1),0),0)*RATES!$L287/12+$H$8*(PARAM!$D$51/12)*RATES!$N287/100</f>
        <v>26.048531609374241</v>
      </c>
      <c r="Z311" s="16">
        <f t="shared" si="203"/>
        <v>563.47142225744255</v>
      </c>
      <c r="AA311" s="15">
        <f t="shared" si="178"/>
        <v>22.170849845882874</v>
      </c>
      <c r="AB311" s="75">
        <f>AA311*(1-PARAM!$C$27)*$I$9+(MOD($B311,60)=PARAM!$B$56)*($B311&gt;(60-PARAM!$B$56))*HLOOKUP(($B311+PARAM!$B$56)/12,Loyalty,2)*$F$1*MAX(AD310,0)</f>
        <v>18.557001321003963</v>
      </c>
      <c r="AC311" s="75">
        <f>PARAM!$C$26+MAX($G$9-CHOOSE(PARAM!$B$44,MAX(0,AD310*$F$1),0),0)*RATES!$L287/12+$H$9*(PARAM!$D$51/12)*RATES!$N287/100</f>
        <v>26.048531609374241</v>
      </c>
      <c r="AD311" s="16">
        <f t="shared" si="204"/>
        <v>563.47142225744255</v>
      </c>
      <c r="AE311" s="15">
        <f t="shared" si="179"/>
        <v>22.170849845882874</v>
      </c>
      <c r="AF311" s="75">
        <f>AE311*(1-PARAM!$C$27)*$I$10+(MOD($B311,60)=PARAM!$B$56)*($B311&gt;(60-PARAM!$B$56))*HLOOKUP(($B311+PARAM!$B$56)/12,Loyalty,2)*$F$1*MAX(AH310,0)</f>
        <v>18.557001321003963</v>
      </c>
      <c r="AG311" s="75">
        <f>PARAM!$C$26+MAX($G$10-CHOOSE(PARAM!$B$44,MAX(0,AH310*$F$1),0),0)*RATES!$L287/12+$H$10*(PARAM!$D$51/12)*RATES!$N287/100</f>
        <v>26.048531609374241</v>
      </c>
      <c r="AH311" s="16">
        <f t="shared" si="205"/>
        <v>563.47142225744255</v>
      </c>
      <c r="AI311" s="15">
        <f t="shared" si="180"/>
        <v>22.170849845882874</v>
      </c>
      <c r="AJ311" s="75">
        <f>AI311*(1-PARAM!$C$27)*$I$11+(MOD($B311,60)=PARAM!$B$56)*($B311&gt;(60-PARAM!$B$56))*HLOOKUP(($B311+PARAM!$B$56)/12,Loyalty,2)*$F$1*MAX(AL310,0)</f>
        <v>18.557001321003963</v>
      </c>
      <c r="AK311" s="75">
        <f>PARAM!$C$26+MAX($G$11-CHOOSE(PARAM!$B$44,MAX(0,AL310*$F$1),0),0)*RATES!$L287/12+$H$11*(PARAM!$D$51/12)*RATES!$N287/100</f>
        <v>26.048531609374241</v>
      </c>
      <c r="AL311" s="16">
        <f t="shared" si="206"/>
        <v>563.47142225744255</v>
      </c>
      <c r="AM311" s="15">
        <f t="shared" si="181"/>
        <v>22.170849845882874</v>
      </c>
      <c r="AN311" s="75">
        <f>AM311*(1-PARAM!$C$27)*$I$12+(MOD($B311,60)=PARAM!$B$56)*($B311&gt;(60-PARAM!$B$56))*HLOOKUP(($B311+PARAM!$B$56)/12,Loyalty,2)*$F$1*MAX(AP310,0)</f>
        <v>18.557001321003963</v>
      </c>
      <c r="AO311" s="75">
        <f>PARAM!$C$26+MAX($G$12-CHOOSE(PARAM!$B$44,MAX(0,AP310*$F$1),0),0)*RATES!$L287/12+$H$12*(PARAM!$D$51/12)*RATES!$N287/100</f>
        <v>26.048531609374241</v>
      </c>
      <c r="AP311" s="16">
        <f t="shared" si="207"/>
        <v>563.47142225744255</v>
      </c>
      <c r="AQ311" s="15">
        <f t="shared" si="182"/>
        <v>22.170849845882874</v>
      </c>
      <c r="AR311" s="75">
        <f>AQ311*(1-PARAM!$C$27)*$I$13+(MOD($B311,60)=PARAM!$B$56)*($B311&gt;(60-PARAM!$B$56))*HLOOKUP(($B311+PARAM!$B$56)/12,Loyalty,2)*$F$1*MAX(AT310,0)</f>
        <v>18.557001321003963</v>
      </c>
      <c r="AS311" s="75">
        <f>PARAM!$C$26+MAX($G$13-CHOOSE(PARAM!$B$44,MAX(0,AT310*$F$1),0),0)*RATES!$L287/12+$H$13*(PARAM!$D$51/12)*RATES!$N287/100</f>
        <v>26.048531609374241</v>
      </c>
      <c r="AT311" s="16">
        <f t="shared" si="208"/>
        <v>563.47142225744255</v>
      </c>
      <c r="AU311" s="15">
        <f t="shared" si="183"/>
        <v>22.170849845882874</v>
      </c>
      <c r="AV311" s="75">
        <f>AU311*(1-PARAM!$C$27)*$I$14+(MOD($B311,60)=PARAM!$B$56)*($B311&gt;(60-PARAM!$B$56))*HLOOKUP(($B311+PARAM!$B$56)/12,Loyalty,2)*$F$1*MAX(AX310,0)</f>
        <v>18.557001321003963</v>
      </c>
      <c r="AW311" s="75">
        <f>PARAM!$C$26+MAX($G$14-CHOOSE(PARAM!$B$44,MAX(0,AX310*$F$1),0),0)*RATES!$L287/12+$H$14*(PARAM!$D$51/12)*RATES!$N287/100</f>
        <v>26.048531609374241</v>
      </c>
      <c r="AX311" s="16">
        <f t="shared" si="209"/>
        <v>563.47142225744255</v>
      </c>
      <c r="AY311" s="15">
        <f t="shared" si="184"/>
        <v>22.170849845882874</v>
      </c>
      <c r="AZ311" s="75">
        <f>AY311*(1-PARAM!$C$27)*$I$15+(MOD($B311,60)=PARAM!$B$56)*($B311&gt;(60-PARAM!$B$56))*HLOOKUP(($B311+PARAM!$B$56)/12,Loyalty,2)*$F$1*MAX(BB310,0)</f>
        <v>18.557001321003963</v>
      </c>
      <c r="BA311" s="75">
        <f>PARAM!$C$26+MAX($G$15-CHOOSE(PARAM!$B$44,MAX(0,BB310*$F$1),0),0)*RATES!$L287/12+$H$15*(PARAM!$D$51/12)*RATES!$N287/100</f>
        <v>26.048531609374241</v>
      </c>
      <c r="BB311" s="16">
        <f t="shared" si="210"/>
        <v>563.47142225744255</v>
      </c>
      <c r="BC311" s="15">
        <f t="shared" si="185"/>
        <v>22.170849845882874</v>
      </c>
      <c r="BD311" s="75">
        <f>BC311*(1-PARAM!$C$27)*$I$16+(MOD($B311,60)=PARAM!$B$56)*($B311&gt;(60-PARAM!$B$56))*HLOOKUP(($B311+PARAM!$B$56)/12,Loyalty,2)*$F$1*MAX(BF310,0)</f>
        <v>18.557001321003963</v>
      </c>
      <c r="BE311" s="75">
        <f>PARAM!$C$26+MAX($G$16-CHOOSE(PARAM!$B$44,MAX(0,BF310*$F$1),0),0)*RATES!$L287/12+$H$16*(PARAM!$D$51/12)*RATES!$N287/100</f>
        <v>26.048531609374241</v>
      </c>
      <c r="BF311" s="16">
        <f t="shared" si="211"/>
        <v>563.47142225744255</v>
      </c>
      <c r="BG311" s="15">
        <f t="shared" si="186"/>
        <v>22.170849845882874</v>
      </c>
      <c r="BH311" s="75">
        <f>BG311*(1-PARAM!$C$27)*$I$17+(MOD($B311,60)=PARAM!$B$56)*($B311&gt;(60-PARAM!$B$56))*HLOOKUP(($B311+PARAM!$B$56)/12,Loyalty,2)*$F$1*MAX(BJ310,0)</f>
        <v>18.557001321003963</v>
      </c>
      <c r="BI311" s="75">
        <f>PARAM!$C$26+MAX($G$17-CHOOSE(PARAM!$B$44,MAX(0,BJ310*$F$1),0),0)*RATES!$L287/12+$H$17*(PARAM!$D$51/12)*RATES!$N287/100</f>
        <v>26.048531609374241</v>
      </c>
      <c r="BJ311" s="16">
        <f t="shared" si="212"/>
        <v>563.47142225744255</v>
      </c>
      <c r="BK311" s="15">
        <f t="shared" si="187"/>
        <v>22.170849845882874</v>
      </c>
      <c r="BL311" s="75">
        <f>BK311*(1-PARAM!$C$27)*$I$18+(MOD($B311,60)=PARAM!$B$56)*($B311&gt;(60-PARAM!$B$56))*HLOOKUP(($B311+PARAM!$B$56)/12,Loyalty,2)*$F$1*MAX(BN310,0)</f>
        <v>18.557001321003963</v>
      </c>
      <c r="BM311" s="75">
        <f>PARAM!$C$26+MAX($G$18-CHOOSE(PARAM!$B$44,MAX(0,BN310*$F$1),0),0)*RATES!$L287/12+$H$18*(PARAM!$D$51/12)*RATES!$N287/100</f>
        <v>26.048531609374241</v>
      </c>
      <c r="BN311" s="16">
        <f t="shared" si="213"/>
        <v>563.47142225744255</v>
      </c>
      <c r="BO311" s="15">
        <f t="shared" si="188"/>
        <v>22.170849845882874</v>
      </c>
      <c r="BP311" s="75">
        <f>BO311*(1-PARAM!$C$27)*$I$19+(MOD($B311,60)=PARAM!$B$56)*($B311&gt;(60-PARAM!$B$56))*HLOOKUP(($B311+PARAM!$B$56)/12,Loyalty,2)*$F$1*MAX(BR310,0)</f>
        <v>18.557001321003963</v>
      </c>
      <c r="BQ311" s="75">
        <f>PARAM!$C$26+MAX($G$19-CHOOSE(PARAM!$B$44,MAX(0,BR310*$F$1),0),0)*RATES!$L287/12+$H$19*(PARAM!$D$51/12)*RATES!$N287/100</f>
        <v>26.048531609374241</v>
      </c>
      <c r="BR311" s="16">
        <f t="shared" si="214"/>
        <v>563.47142225744255</v>
      </c>
      <c r="BS311" s="15">
        <f t="shared" si="189"/>
        <v>22.170849845882874</v>
      </c>
      <c r="BT311" s="75">
        <f>BS311*(1-PARAM!$C$27)*$I$20+(MOD($B311,60)=PARAM!$B$56)*($B311&gt;(60-PARAM!$B$56))*HLOOKUP(($B311+PARAM!$B$56)/12,Loyalty,2)*$F$1*MAX(BV310,0)</f>
        <v>18.557001321003963</v>
      </c>
      <c r="BU311" s="75">
        <f>PARAM!$C$26+MAX($G$20-CHOOSE(PARAM!$B$44,MAX(0,BV310*$F$1),0),0)*RATES!$L287/12+$H$20*(PARAM!$D$51/12)*RATES!$N287/100</f>
        <v>26.048531609374241</v>
      </c>
      <c r="BV311" s="16">
        <f t="shared" si="215"/>
        <v>563.47142225744255</v>
      </c>
      <c r="BW311" s="15">
        <f t="shared" si="190"/>
        <v>22.170849845882874</v>
      </c>
      <c r="BX311" s="75">
        <f>BW311*(1-PARAM!$C$27)*$I$21+(MOD($B311,60)=PARAM!$B$56)*($B311&gt;(60-PARAM!$B$56))*HLOOKUP(($B311+PARAM!$B$56)/12,Loyalty,2)*$F$1*MAX(BZ310,0)</f>
        <v>18.557001321003963</v>
      </c>
      <c r="BY311" s="75">
        <f>PARAM!$C$26+MAX($G$21-CHOOSE(PARAM!$B$44,MAX(0,BZ310*$F$1),0),0)*RATES!$L287/12+$H$21*(PARAM!$D$51/12)*RATES!$N287/100</f>
        <v>26.048531609374241</v>
      </c>
      <c r="BZ311" s="16">
        <f t="shared" si="216"/>
        <v>563.47142225744255</v>
      </c>
      <c r="CA311" s="15">
        <f t="shared" si="191"/>
        <v>22.170849845882874</v>
      </c>
      <c r="CB311" s="75">
        <f>CA311*(1-PARAM!$C$27)*$I$22+(MOD($B311,60)=PARAM!$B$56)*($B311&gt;(60-PARAM!$B$56))*HLOOKUP(($B311+PARAM!$B$56)/12,Loyalty,2)*$F$1*MAX(CD310,0)</f>
        <v>18.557001321003963</v>
      </c>
      <c r="CC311" s="75">
        <f>PARAM!$C$26+MAX($G$22-CHOOSE(PARAM!$B$44,MAX(0,CD310*$F$1),0),0)*RATES!$L287/12+$H$22*(PARAM!$D$51/12)*RATES!$N287/100</f>
        <v>26.048531609374241</v>
      </c>
      <c r="CD311" s="16">
        <f t="shared" si="217"/>
        <v>563.47142225744255</v>
      </c>
      <c r="CE311" s="33">
        <f>IF(0=MOD(B311,12/PARAM!$D$51),1,0)</f>
        <v>1</v>
      </c>
      <c r="CF311" s="15">
        <f t="shared" si="192"/>
        <v>0</v>
      </c>
      <c r="CG311" s="75">
        <f>CF311*(1-PARAM!$C$27)*$R$3+(MOD($B311/12,5)=0)*($B311&gt;60)*HLOOKUP($B311/12,Loyalty,2)*$F$1*MAX(CI310,0)</f>
        <v>0</v>
      </c>
      <c r="CH311" s="75">
        <f>PARAM!$C$26+MAX($P$3-CHOOSE(PARAM!$B$44,MAX(0,CI310*$F$1),0),0)*RATES!$L287/12+$Q$3*(PARAM!$D$51/12)*RATES!$N287/100</f>
        <v>26.291666666666668</v>
      </c>
      <c r="CI311" s="16">
        <f>IF(CI310&gt;0,CI310*PARAM!$C$53,CI310)+CG311-CH311</f>
        <v>-4566.3749999999936</v>
      </c>
      <c r="CJ311" s="15">
        <f t="shared" si="218"/>
        <v>0</v>
      </c>
      <c r="CK311" s="75">
        <f>CJ311*(1-PARAM!$C$27)*$R$4+(MOD($B311/12,5)=0)*($B311&gt;60)*HLOOKUP($B311/12,Loyalty,2)*$F$1*MAX(CM310,0)</f>
        <v>0</v>
      </c>
      <c r="CL311" s="75">
        <f>PARAM!$C$26+MAX($P$4-CHOOSE(PARAM!$B$44,MAX(0,CM310*$F$1),0),0)*RATES!$L287/12+$Q$4*(PARAM!$D$51/12)*RATES!$N287/100</f>
        <v>26.291666666666668</v>
      </c>
      <c r="CM311" s="16">
        <f>IF(CM310&gt;0,CM310*PARAM!$C$53,CM310)+CK311-CL311</f>
        <v>-4566.3749999999936</v>
      </c>
      <c r="CO311" s="176"/>
    </row>
    <row r="312" spans="1:93" x14ac:dyDescent="0.2">
      <c r="A312" t="b">
        <f t="shared" si="193"/>
        <v>1</v>
      </c>
      <c r="B312" s="33">
        <v>285</v>
      </c>
      <c r="C312" s="15">
        <f t="shared" si="194"/>
        <v>20.081305947392778</v>
      </c>
      <c r="D312" s="75">
        <f>C312*(1-PARAM!$C$27)*$I$3+(MOD($B312,60)=PARAM!$B$56)*($B312&gt;(60-PARAM!$B$56))*HLOOKUP(($B312+PARAM!$B$56)/12,Loyalty,2)*$F$1*MAX(F311,0)</f>
        <v>16.808053077967756</v>
      </c>
      <c r="E312" s="75">
        <f>PARAM!$C$26+MAX($G$3-CHOOSE(PARAM!$B$44,MAX(0,F311*$F$1),0),0)*RATES!$L288/12+$H$3*(PARAM!$D$51/12)*RATES!$N288/100</f>
        <v>26.270111823541921</v>
      </c>
      <c r="F312" s="16">
        <f t="shared" si="195"/>
        <v>41.155968161848676</v>
      </c>
      <c r="G312" s="15">
        <f t="shared" si="196"/>
        <v>22.035289406060361</v>
      </c>
      <c r="H312" s="75">
        <f>G312*(1-PARAM!$C$27)*$I$4+(MOD($B312,60)=PARAM!$B$56)*($B312&gt;(60-PARAM!$B$56))*HLOOKUP(($B312+PARAM!$B$56)/12,Loyalty,2)*$F$1*MAX(J311,0)</f>
        <v>18.443537232872522</v>
      </c>
      <c r="I312" s="75">
        <f>PARAM!$C$26+MAX($G$4-CHOOSE(PARAM!$B$44,MAX(0,J311*$F$1),0),0)*RATES!$L288/12+$H$4*(PARAM!$D$51/12)*RATES!$N288/100</f>
        <v>26.065896826139006</v>
      </c>
      <c r="J312" s="16">
        <f t="shared" si="197"/>
        <v>522.56121894526927</v>
      </c>
      <c r="K312" s="15">
        <f t="shared" si="198"/>
        <v>22.170849845882874</v>
      </c>
      <c r="L312" s="75">
        <f>K312*(1-PARAM!$C$27)*$I$5+(MOD($B312,60)=PARAM!$B$56)*($B312&gt;(60-PARAM!$B$56))*HLOOKUP(($B312+PARAM!$B$56)/12,Loyalty,2)*$F$1*MAX(N311,0)</f>
        <v>18.557001321003963</v>
      </c>
      <c r="M312" s="75">
        <f>PARAM!$C$26+MAX($G$5-CHOOSE(PARAM!$B$44,MAX(0,N311*$F$1),0),0)*RATES!$L288/12+$H$5*(PARAM!$D$51/12)*RATES!$N288/100</f>
        <v>26.051721752688707</v>
      </c>
      <c r="N312" s="16">
        <f t="shared" si="199"/>
        <v>555.9767018257578</v>
      </c>
      <c r="O312" s="15">
        <f t="shared" si="200"/>
        <v>22.170849845882874</v>
      </c>
      <c r="P312" s="75">
        <f>O312*(1-PARAM!$C$27)*$I$6+(MOD($B312,60)=PARAM!$B$56)*($B312&gt;(60-PARAM!$B$56))*HLOOKUP(($B312+PARAM!$B$56)/12,Loyalty,2)*$F$1*MAX(R311,0)</f>
        <v>18.557001321003963</v>
      </c>
      <c r="Q312" s="75">
        <f>PARAM!$C$26+MAX($G$6-CHOOSE(PARAM!$B$44,MAX(0,R311*$F$1),0),0)*RATES!$L288/12+$H$6*(PARAM!$D$51/12)*RATES!$N288/100</f>
        <v>26.051721752688707</v>
      </c>
      <c r="R312" s="16">
        <f t="shared" si="201"/>
        <v>555.9767018257578</v>
      </c>
      <c r="S312" s="15">
        <f t="shared" si="176"/>
        <v>22.170849845882874</v>
      </c>
      <c r="T312" s="75">
        <f>S312*(1-PARAM!$C$27)*$I$7+(MOD($B312,60)=PARAM!$B$56)*($B312&gt;(60-PARAM!$B$56))*HLOOKUP(($B312+PARAM!$B$56)/12,Loyalty,2)*$F$1*MAX(V311,0)</f>
        <v>18.557001321003963</v>
      </c>
      <c r="U312" s="75">
        <f>PARAM!$C$26+MAX($G$7-CHOOSE(PARAM!$B$44,MAX(0,V311*$F$1),0),0)*RATES!$L288/12+$H$7*(PARAM!$D$51/12)*RATES!$N288/100</f>
        <v>26.051721752688707</v>
      </c>
      <c r="V312" s="16">
        <f t="shared" si="202"/>
        <v>555.9767018257578</v>
      </c>
      <c r="W312" s="15">
        <f t="shared" si="177"/>
        <v>22.170849845882874</v>
      </c>
      <c r="X312" s="75">
        <f>W312*(1-PARAM!$C$27)*$I$8+(MOD($B312,60)=PARAM!$B$56)*($B312&gt;(60-PARAM!$B$56))*HLOOKUP(($B312+PARAM!$B$56)/12,Loyalty,2)*$F$1*MAX(Z311,0)</f>
        <v>18.557001321003963</v>
      </c>
      <c r="Y312" s="75">
        <f>PARAM!$C$26+MAX($G$8-CHOOSE(PARAM!$B$44,MAX(0,Z311*$F$1),0),0)*RATES!$L288/12+$H$8*(PARAM!$D$51/12)*RATES!$N288/100</f>
        <v>26.051721752688707</v>
      </c>
      <c r="Z312" s="16">
        <f t="shared" si="203"/>
        <v>555.9767018257578</v>
      </c>
      <c r="AA312" s="15">
        <f t="shared" si="178"/>
        <v>22.170849845882874</v>
      </c>
      <c r="AB312" s="75">
        <f>AA312*(1-PARAM!$C$27)*$I$9+(MOD($B312,60)=PARAM!$B$56)*($B312&gt;(60-PARAM!$B$56))*HLOOKUP(($B312+PARAM!$B$56)/12,Loyalty,2)*$F$1*MAX(AD311,0)</f>
        <v>18.557001321003963</v>
      </c>
      <c r="AC312" s="75">
        <f>PARAM!$C$26+MAX($G$9-CHOOSE(PARAM!$B$44,MAX(0,AD311*$F$1),0),0)*RATES!$L288/12+$H$9*(PARAM!$D$51/12)*RATES!$N288/100</f>
        <v>26.051721752688707</v>
      </c>
      <c r="AD312" s="16">
        <f t="shared" si="204"/>
        <v>555.9767018257578</v>
      </c>
      <c r="AE312" s="15">
        <f t="shared" si="179"/>
        <v>22.170849845882874</v>
      </c>
      <c r="AF312" s="75">
        <f>AE312*(1-PARAM!$C$27)*$I$10+(MOD($B312,60)=PARAM!$B$56)*($B312&gt;(60-PARAM!$B$56))*HLOOKUP(($B312+PARAM!$B$56)/12,Loyalty,2)*$F$1*MAX(AH311,0)</f>
        <v>18.557001321003963</v>
      </c>
      <c r="AG312" s="75">
        <f>PARAM!$C$26+MAX($G$10-CHOOSE(PARAM!$B$44,MAX(0,AH311*$F$1),0),0)*RATES!$L288/12+$H$10*(PARAM!$D$51/12)*RATES!$N288/100</f>
        <v>26.051721752688707</v>
      </c>
      <c r="AH312" s="16">
        <f t="shared" si="205"/>
        <v>555.9767018257578</v>
      </c>
      <c r="AI312" s="15">
        <f t="shared" si="180"/>
        <v>22.170849845882874</v>
      </c>
      <c r="AJ312" s="75">
        <f>AI312*(1-PARAM!$C$27)*$I$11+(MOD($B312,60)=PARAM!$B$56)*($B312&gt;(60-PARAM!$B$56))*HLOOKUP(($B312+PARAM!$B$56)/12,Loyalty,2)*$F$1*MAX(AL311,0)</f>
        <v>18.557001321003963</v>
      </c>
      <c r="AK312" s="75">
        <f>PARAM!$C$26+MAX($G$11-CHOOSE(PARAM!$B$44,MAX(0,AL311*$F$1),0),0)*RATES!$L288/12+$H$11*(PARAM!$D$51/12)*RATES!$N288/100</f>
        <v>26.051721752688707</v>
      </c>
      <c r="AL312" s="16">
        <f t="shared" si="206"/>
        <v>555.9767018257578</v>
      </c>
      <c r="AM312" s="15">
        <f t="shared" si="181"/>
        <v>22.170849845882874</v>
      </c>
      <c r="AN312" s="75">
        <f>AM312*(1-PARAM!$C$27)*$I$12+(MOD($B312,60)=PARAM!$B$56)*($B312&gt;(60-PARAM!$B$56))*HLOOKUP(($B312+PARAM!$B$56)/12,Loyalty,2)*$F$1*MAX(AP311,0)</f>
        <v>18.557001321003963</v>
      </c>
      <c r="AO312" s="75">
        <f>PARAM!$C$26+MAX($G$12-CHOOSE(PARAM!$B$44,MAX(0,AP311*$F$1),0),0)*RATES!$L288/12+$H$12*(PARAM!$D$51/12)*RATES!$N288/100</f>
        <v>26.051721752688707</v>
      </c>
      <c r="AP312" s="16">
        <f t="shared" si="207"/>
        <v>555.9767018257578</v>
      </c>
      <c r="AQ312" s="15">
        <f t="shared" si="182"/>
        <v>22.170849845882874</v>
      </c>
      <c r="AR312" s="75">
        <f>AQ312*(1-PARAM!$C$27)*$I$13+(MOD($B312,60)=PARAM!$B$56)*($B312&gt;(60-PARAM!$B$56))*HLOOKUP(($B312+PARAM!$B$56)/12,Loyalty,2)*$F$1*MAX(AT311,0)</f>
        <v>18.557001321003963</v>
      </c>
      <c r="AS312" s="75">
        <f>PARAM!$C$26+MAX($G$13-CHOOSE(PARAM!$B$44,MAX(0,AT311*$F$1),0),0)*RATES!$L288/12+$H$13*(PARAM!$D$51/12)*RATES!$N288/100</f>
        <v>26.051721752688707</v>
      </c>
      <c r="AT312" s="16">
        <f t="shared" si="208"/>
        <v>555.9767018257578</v>
      </c>
      <c r="AU312" s="15">
        <f t="shared" si="183"/>
        <v>22.170849845882874</v>
      </c>
      <c r="AV312" s="75">
        <f>AU312*(1-PARAM!$C$27)*$I$14+(MOD($B312,60)=PARAM!$B$56)*($B312&gt;(60-PARAM!$B$56))*HLOOKUP(($B312+PARAM!$B$56)/12,Loyalty,2)*$F$1*MAX(AX311,0)</f>
        <v>18.557001321003963</v>
      </c>
      <c r="AW312" s="75">
        <f>PARAM!$C$26+MAX($G$14-CHOOSE(PARAM!$B$44,MAX(0,AX311*$F$1),0),0)*RATES!$L288/12+$H$14*(PARAM!$D$51/12)*RATES!$N288/100</f>
        <v>26.051721752688707</v>
      </c>
      <c r="AX312" s="16">
        <f t="shared" si="209"/>
        <v>555.9767018257578</v>
      </c>
      <c r="AY312" s="15">
        <f t="shared" si="184"/>
        <v>22.170849845882874</v>
      </c>
      <c r="AZ312" s="75">
        <f>AY312*(1-PARAM!$C$27)*$I$15+(MOD($B312,60)=PARAM!$B$56)*($B312&gt;(60-PARAM!$B$56))*HLOOKUP(($B312+PARAM!$B$56)/12,Loyalty,2)*$F$1*MAX(BB311,0)</f>
        <v>18.557001321003963</v>
      </c>
      <c r="BA312" s="75">
        <f>PARAM!$C$26+MAX($G$15-CHOOSE(PARAM!$B$44,MAX(0,BB311*$F$1),0),0)*RATES!$L288/12+$H$15*(PARAM!$D$51/12)*RATES!$N288/100</f>
        <v>26.051721752688707</v>
      </c>
      <c r="BB312" s="16">
        <f t="shared" si="210"/>
        <v>555.9767018257578</v>
      </c>
      <c r="BC312" s="15">
        <f t="shared" si="185"/>
        <v>22.170849845882874</v>
      </c>
      <c r="BD312" s="75">
        <f>BC312*(1-PARAM!$C$27)*$I$16+(MOD($B312,60)=PARAM!$B$56)*($B312&gt;(60-PARAM!$B$56))*HLOOKUP(($B312+PARAM!$B$56)/12,Loyalty,2)*$F$1*MAX(BF311,0)</f>
        <v>18.557001321003963</v>
      </c>
      <c r="BE312" s="75">
        <f>PARAM!$C$26+MAX($G$16-CHOOSE(PARAM!$B$44,MAX(0,BF311*$F$1),0),0)*RATES!$L288/12+$H$16*(PARAM!$D$51/12)*RATES!$N288/100</f>
        <v>26.051721752688707</v>
      </c>
      <c r="BF312" s="16">
        <f t="shared" si="211"/>
        <v>555.9767018257578</v>
      </c>
      <c r="BG312" s="15">
        <f t="shared" si="186"/>
        <v>22.170849845882874</v>
      </c>
      <c r="BH312" s="75">
        <f>BG312*(1-PARAM!$C$27)*$I$17+(MOD($B312,60)=PARAM!$B$56)*($B312&gt;(60-PARAM!$B$56))*HLOOKUP(($B312+PARAM!$B$56)/12,Loyalty,2)*$F$1*MAX(BJ311,0)</f>
        <v>18.557001321003963</v>
      </c>
      <c r="BI312" s="75">
        <f>PARAM!$C$26+MAX($G$17-CHOOSE(PARAM!$B$44,MAX(0,BJ311*$F$1),0),0)*RATES!$L288/12+$H$17*(PARAM!$D$51/12)*RATES!$N288/100</f>
        <v>26.051721752688707</v>
      </c>
      <c r="BJ312" s="16">
        <f t="shared" si="212"/>
        <v>555.9767018257578</v>
      </c>
      <c r="BK312" s="15">
        <f t="shared" si="187"/>
        <v>22.170849845882874</v>
      </c>
      <c r="BL312" s="75">
        <f>BK312*(1-PARAM!$C$27)*$I$18+(MOD($B312,60)=PARAM!$B$56)*($B312&gt;(60-PARAM!$B$56))*HLOOKUP(($B312+PARAM!$B$56)/12,Loyalty,2)*$F$1*MAX(BN311,0)</f>
        <v>18.557001321003963</v>
      </c>
      <c r="BM312" s="75">
        <f>PARAM!$C$26+MAX($G$18-CHOOSE(PARAM!$B$44,MAX(0,BN311*$F$1),0),0)*RATES!$L288/12+$H$18*(PARAM!$D$51/12)*RATES!$N288/100</f>
        <v>26.051721752688707</v>
      </c>
      <c r="BN312" s="16">
        <f t="shared" si="213"/>
        <v>555.9767018257578</v>
      </c>
      <c r="BO312" s="15">
        <f t="shared" si="188"/>
        <v>22.170849845882874</v>
      </c>
      <c r="BP312" s="75">
        <f>BO312*(1-PARAM!$C$27)*$I$19+(MOD($B312,60)=PARAM!$B$56)*($B312&gt;(60-PARAM!$B$56))*HLOOKUP(($B312+PARAM!$B$56)/12,Loyalty,2)*$F$1*MAX(BR311,0)</f>
        <v>18.557001321003963</v>
      </c>
      <c r="BQ312" s="75">
        <f>PARAM!$C$26+MAX($G$19-CHOOSE(PARAM!$B$44,MAX(0,BR311*$F$1),0),0)*RATES!$L288/12+$H$19*(PARAM!$D$51/12)*RATES!$N288/100</f>
        <v>26.051721752688707</v>
      </c>
      <c r="BR312" s="16">
        <f t="shared" si="214"/>
        <v>555.9767018257578</v>
      </c>
      <c r="BS312" s="15">
        <f t="shared" si="189"/>
        <v>22.170849845882874</v>
      </c>
      <c r="BT312" s="75">
        <f>BS312*(1-PARAM!$C$27)*$I$20+(MOD($B312,60)=PARAM!$B$56)*($B312&gt;(60-PARAM!$B$56))*HLOOKUP(($B312+PARAM!$B$56)/12,Loyalty,2)*$F$1*MAX(BV311,0)</f>
        <v>18.557001321003963</v>
      </c>
      <c r="BU312" s="75">
        <f>PARAM!$C$26+MAX($G$20-CHOOSE(PARAM!$B$44,MAX(0,BV311*$F$1),0),0)*RATES!$L288/12+$H$20*(PARAM!$D$51/12)*RATES!$N288/100</f>
        <v>26.051721752688707</v>
      </c>
      <c r="BV312" s="16">
        <f t="shared" si="215"/>
        <v>555.9767018257578</v>
      </c>
      <c r="BW312" s="15">
        <f t="shared" si="190"/>
        <v>22.170849845882874</v>
      </c>
      <c r="BX312" s="75">
        <f>BW312*(1-PARAM!$C$27)*$I$21+(MOD($B312,60)=PARAM!$B$56)*($B312&gt;(60-PARAM!$B$56))*HLOOKUP(($B312+PARAM!$B$56)/12,Loyalty,2)*$F$1*MAX(BZ311,0)</f>
        <v>18.557001321003963</v>
      </c>
      <c r="BY312" s="75">
        <f>PARAM!$C$26+MAX($G$21-CHOOSE(PARAM!$B$44,MAX(0,BZ311*$F$1),0),0)*RATES!$L288/12+$H$21*(PARAM!$D$51/12)*RATES!$N288/100</f>
        <v>26.051721752688707</v>
      </c>
      <c r="BZ312" s="16">
        <f t="shared" si="216"/>
        <v>555.9767018257578</v>
      </c>
      <c r="CA312" s="15">
        <f t="shared" si="191"/>
        <v>22.170849845882874</v>
      </c>
      <c r="CB312" s="75">
        <f>CA312*(1-PARAM!$C$27)*$I$22+(MOD($B312,60)=PARAM!$B$56)*($B312&gt;(60-PARAM!$B$56))*HLOOKUP(($B312+PARAM!$B$56)/12,Loyalty,2)*$F$1*MAX(CD311,0)</f>
        <v>18.557001321003963</v>
      </c>
      <c r="CC312" s="75">
        <f>PARAM!$C$26+MAX($G$22-CHOOSE(PARAM!$B$44,MAX(0,CD311*$F$1),0),0)*RATES!$L288/12+$H$22*(PARAM!$D$51/12)*RATES!$N288/100</f>
        <v>26.051721752688707</v>
      </c>
      <c r="CD312" s="16">
        <f t="shared" si="217"/>
        <v>555.9767018257578</v>
      </c>
      <c r="CE312" s="33">
        <f>IF(0=MOD(B312,12/PARAM!$D$51),1,0)</f>
        <v>1</v>
      </c>
      <c r="CF312" s="15">
        <f t="shared" si="192"/>
        <v>0</v>
      </c>
      <c r="CG312" s="75">
        <f>CF312*(1-PARAM!$C$27)*$R$3+(MOD($B312/12,5)=0)*($B312&gt;60)*HLOOKUP($B312/12,Loyalty,2)*$F$1*MAX(CI311,0)</f>
        <v>0</v>
      </c>
      <c r="CH312" s="75">
        <f>PARAM!$C$26+MAX($P$3-CHOOSE(PARAM!$B$44,MAX(0,CI311*$F$1),0),0)*RATES!$L288/12+$Q$3*(PARAM!$D$51/12)*RATES!$N288/100</f>
        <v>26.291666666666668</v>
      </c>
      <c r="CI312" s="16">
        <f>IF(CI311&gt;0,CI311*PARAM!$C$53,CI311)+CG312-CH312</f>
        <v>-4592.6666666666606</v>
      </c>
      <c r="CJ312" s="15">
        <f t="shared" si="218"/>
        <v>0</v>
      </c>
      <c r="CK312" s="75">
        <f>CJ312*(1-PARAM!$C$27)*$R$4+(MOD($B312/12,5)=0)*($B312&gt;60)*HLOOKUP($B312/12,Loyalty,2)*$F$1*MAX(CM311,0)</f>
        <v>0</v>
      </c>
      <c r="CL312" s="75">
        <f>PARAM!$C$26+MAX($P$4-CHOOSE(PARAM!$B$44,MAX(0,CM311*$F$1),0),0)*RATES!$L288/12+$Q$4*(PARAM!$D$51/12)*RATES!$N288/100</f>
        <v>26.291666666666668</v>
      </c>
      <c r="CM312" s="16">
        <f>IF(CM311&gt;0,CM311*PARAM!$C$53,CM311)+CK312-CL312</f>
        <v>-4592.6666666666606</v>
      </c>
      <c r="CO312" s="176"/>
    </row>
    <row r="313" spans="1:93" x14ac:dyDescent="0.2">
      <c r="A313" t="b">
        <f t="shared" si="193"/>
        <v>1</v>
      </c>
      <c r="B313" s="33">
        <v>286</v>
      </c>
      <c r="C313" s="15">
        <f t="shared" si="194"/>
        <v>20.081305947392778</v>
      </c>
      <c r="D313" s="75">
        <f>C313*(1-PARAM!$C$27)*$I$3+(MOD($B313,60)=PARAM!$B$56)*($B313&gt;(60-PARAM!$B$56))*HLOOKUP(($B313+PARAM!$B$56)/12,Loyalty,2)*$F$1*MAX(F312,0)</f>
        <v>16.808053077967756</v>
      </c>
      <c r="E313" s="75">
        <f>PARAM!$C$26+MAX($G$3-CHOOSE(PARAM!$B$44,MAX(0,F312*$F$1),0),0)*RATES!$L289/12+$H$3*(PARAM!$D$51/12)*RATES!$N289/100</f>
        <v>26.274141083557748</v>
      </c>
      <c r="F313" s="16">
        <f t="shared" si="195"/>
        <v>31.689880156258685</v>
      </c>
      <c r="G313" s="15">
        <f t="shared" si="196"/>
        <v>22.035289406060361</v>
      </c>
      <c r="H313" s="75">
        <f>G313*(1-PARAM!$C$27)*$I$4+(MOD($B313,60)=PARAM!$B$56)*($B313&gt;(60-PARAM!$B$56))*HLOOKUP(($B313+PARAM!$B$56)/12,Loyalty,2)*$F$1*MAX(J312,0)</f>
        <v>18.443537232872522</v>
      </c>
      <c r="I313" s="75">
        <f>PARAM!$C$26+MAX($G$4-CHOOSE(PARAM!$B$44,MAX(0,J312*$F$1),0),0)*RATES!$L289/12+$H$4*(PARAM!$D$51/12)*RATES!$N289/100</f>
        <v>26.069142680932476</v>
      </c>
      <c r="J313" s="16">
        <f t="shared" si="197"/>
        <v>514.93561349720926</v>
      </c>
      <c r="K313" s="15">
        <f t="shared" si="198"/>
        <v>22.170849845882874</v>
      </c>
      <c r="L313" s="75">
        <f>K313*(1-PARAM!$C$27)*$I$5+(MOD($B313,60)=PARAM!$B$56)*($B313&gt;(60-PARAM!$B$56))*HLOOKUP(($B313+PARAM!$B$56)/12,Loyalty,2)*$F$1*MAX(N312,0)</f>
        <v>18.557001321003963</v>
      </c>
      <c r="M313" s="75">
        <f>PARAM!$C$26+MAX($G$5-CHOOSE(PARAM!$B$44,MAX(0,N312*$F$1),0),0)*RATES!$L289/12+$H$5*(PARAM!$D$51/12)*RATES!$N289/100</f>
        <v>26.054913254472535</v>
      </c>
      <c r="N313" s="16">
        <f t="shared" si="199"/>
        <v>548.47878989228923</v>
      </c>
      <c r="O313" s="15">
        <f t="shared" si="200"/>
        <v>22.170849845882874</v>
      </c>
      <c r="P313" s="75">
        <f>O313*(1-PARAM!$C$27)*$I$6+(MOD($B313,60)=PARAM!$B$56)*($B313&gt;(60-PARAM!$B$56))*HLOOKUP(($B313+PARAM!$B$56)/12,Loyalty,2)*$F$1*MAX(R312,0)</f>
        <v>18.557001321003963</v>
      </c>
      <c r="Q313" s="75">
        <f>PARAM!$C$26+MAX($G$6-CHOOSE(PARAM!$B$44,MAX(0,R312*$F$1),0),0)*RATES!$L289/12+$H$6*(PARAM!$D$51/12)*RATES!$N289/100</f>
        <v>26.054913254472535</v>
      </c>
      <c r="R313" s="16">
        <f t="shared" si="201"/>
        <v>548.47878989228923</v>
      </c>
      <c r="S313" s="15">
        <f t="shared" si="176"/>
        <v>22.170849845882874</v>
      </c>
      <c r="T313" s="75">
        <f>S313*(1-PARAM!$C$27)*$I$7+(MOD($B313,60)=PARAM!$B$56)*($B313&gt;(60-PARAM!$B$56))*HLOOKUP(($B313+PARAM!$B$56)/12,Loyalty,2)*$F$1*MAX(V312,0)</f>
        <v>18.557001321003963</v>
      </c>
      <c r="U313" s="75">
        <f>PARAM!$C$26+MAX($G$7-CHOOSE(PARAM!$B$44,MAX(0,V312*$F$1),0),0)*RATES!$L289/12+$H$7*(PARAM!$D$51/12)*RATES!$N289/100</f>
        <v>26.054913254472535</v>
      </c>
      <c r="V313" s="16">
        <f t="shared" si="202"/>
        <v>548.47878989228923</v>
      </c>
      <c r="W313" s="15">
        <f t="shared" si="177"/>
        <v>22.170849845882874</v>
      </c>
      <c r="X313" s="75">
        <f>W313*(1-PARAM!$C$27)*$I$8+(MOD($B313,60)=PARAM!$B$56)*($B313&gt;(60-PARAM!$B$56))*HLOOKUP(($B313+PARAM!$B$56)/12,Loyalty,2)*$F$1*MAX(Z312,0)</f>
        <v>18.557001321003963</v>
      </c>
      <c r="Y313" s="75">
        <f>PARAM!$C$26+MAX($G$8-CHOOSE(PARAM!$B$44,MAX(0,Z312*$F$1),0),0)*RATES!$L289/12+$H$8*(PARAM!$D$51/12)*RATES!$N289/100</f>
        <v>26.054913254472535</v>
      </c>
      <c r="Z313" s="16">
        <f t="shared" si="203"/>
        <v>548.47878989228923</v>
      </c>
      <c r="AA313" s="15">
        <f t="shared" si="178"/>
        <v>22.170849845882874</v>
      </c>
      <c r="AB313" s="75">
        <f>AA313*(1-PARAM!$C$27)*$I$9+(MOD($B313,60)=PARAM!$B$56)*($B313&gt;(60-PARAM!$B$56))*HLOOKUP(($B313+PARAM!$B$56)/12,Loyalty,2)*$F$1*MAX(AD312,0)</f>
        <v>18.557001321003963</v>
      </c>
      <c r="AC313" s="75">
        <f>PARAM!$C$26+MAX($G$9-CHOOSE(PARAM!$B$44,MAX(0,AD312*$F$1),0),0)*RATES!$L289/12+$H$9*(PARAM!$D$51/12)*RATES!$N289/100</f>
        <v>26.054913254472535</v>
      </c>
      <c r="AD313" s="16">
        <f t="shared" si="204"/>
        <v>548.47878989228923</v>
      </c>
      <c r="AE313" s="15">
        <f t="shared" si="179"/>
        <v>22.170849845882874</v>
      </c>
      <c r="AF313" s="75">
        <f>AE313*(1-PARAM!$C$27)*$I$10+(MOD($B313,60)=PARAM!$B$56)*($B313&gt;(60-PARAM!$B$56))*HLOOKUP(($B313+PARAM!$B$56)/12,Loyalty,2)*$F$1*MAX(AH312,0)</f>
        <v>18.557001321003963</v>
      </c>
      <c r="AG313" s="75">
        <f>PARAM!$C$26+MAX($G$10-CHOOSE(PARAM!$B$44,MAX(0,AH312*$F$1),0),0)*RATES!$L289/12+$H$10*(PARAM!$D$51/12)*RATES!$N289/100</f>
        <v>26.054913254472535</v>
      </c>
      <c r="AH313" s="16">
        <f t="shared" si="205"/>
        <v>548.47878989228923</v>
      </c>
      <c r="AI313" s="15">
        <f t="shared" si="180"/>
        <v>22.170849845882874</v>
      </c>
      <c r="AJ313" s="75">
        <f>AI313*(1-PARAM!$C$27)*$I$11+(MOD($B313,60)=PARAM!$B$56)*($B313&gt;(60-PARAM!$B$56))*HLOOKUP(($B313+PARAM!$B$56)/12,Loyalty,2)*$F$1*MAX(AL312,0)</f>
        <v>18.557001321003963</v>
      </c>
      <c r="AK313" s="75">
        <f>PARAM!$C$26+MAX($G$11-CHOOSE(PARAM!$B$44,MAX(0,AL312*$F$1),0),0)*RATES!$L289/12+$H$11*(PARAM!$D$51/12)*RATES!$N289/100</f>
        <v>26.054913254472535</v>
      </c>
      <c r="AL313" s="16">
        <f t="shared" si="206"/>
        <v>548.47878989228923</v>
      </c>
      <c r="AM313" s="15">
        <f t="shared" si="181"/>
        <v>22.170849845882874</v>
      </c>
      <c r="AN313" s="75">
        <f>AM313*(1-PARAM!$C$27)*$I$12+(MOD($B313,60)=PARAM!$B$56)*($B313&gt;(60-PARAM!$B$56))*HLOOKUP(($B313+PARAM!$B$56)/12,Loyalty,2)*$F$1*MAX(AP312,0)</f>
        <v>18.557001321003963</v>
      </c>
      <c r="AO313" s="75">
        <f>PARAM!$C$26+MAX($G$12-CHOOSE(PARAM!$B$44,MAX(0,AP312*$F$1),0),0)*RATES!$L289/12+$H$12*(PARAM!$D$51/12)*RATES!$N289/100</f>
        <v>26.054913254472535</v>
      </c>
      <c r="AP313" s="16">
        <f t="shared" si="207"/>
        <v>548.47878989228923</v>
      </c>
      <c r="AQ313" s="15">
        <f t="shared" si="182"/>
        <v>22.170849845882874</v>
      </c>
      <c r="AR313" s="75">
        <f>AQ313*(1-PARAM!$C$27)*$I$13+(MOD($B313,60)=PARAM!$B$56)*($B313&gt;(60-PARAM!$B$56))*HLOOKUP(($B313+PARAM!$B$56)/12,Loyalty,2)*$F$1*MAX(AT312,0)</f>
        <v>18.557001321003963</v>
      </c>
      <c r="AS313" s="75">
        <f>PARAM!$C$26+MAX($G$13-CHOOSE(PARAM!$B$44,MAX(0,AT312*$F$1),0),0)*RATES!$L289/12+$H$13*(PARAM!$D$51/12)*RATES!$N289/100</f>
        <v>26.054913254472535</v>
      </c>
      <c r="AT313" s="16">
        <f t="shared" si="208"/>
        <v>548.47878989228923</v>
      </c>
      <c r="AU313" s="15">
        <f t="shared" si="183"/>
        <v>22.170849845882874</v>
      </c>
      <c r="AV313" s="75">
        <f>AU313*(1-PARAM!$C$27)*$I$14+(MOD($B313,60)=PARAM!$B$56)*($B313&gt;(60-PARAM!$B$56))*HLOOKUP(($B313+PARAM!$B$56)/12,Loyalty,2)*$F$1*MAX(AX312,0)</f>
        <v>18.557001321003963</v>
      </c>
      <c r="AW313" s="75">
        <f>PARAM!$C$26+MAX($G$14-CHOOSE(PARAM!$B$44,MAX(0,AX312*$F$1),0),0)*RATES!$L289/12+$H$14*(PARAM!$D$51/12)*RATES!$N289/100</f>
        <v>26.054913254472535</v>
      </c>
      <c r="AX313" s="16">
        <f t="shared" si="209"/>
        <v>548.47878989228923</v>
      </c>
      <c r="AY313" s="15">
        <f t="shared" si="184"/>
        <v>22.170849845882874</v>
      </c>
      <c r="AZ313" s="75">
        <f>AY313*(1-PARAM!$C$27)*$I$15+(MOD($B313,60)=PARAM!$B$56)*($B313&gt;(60-PARAM!$B$56))*HLOOKUP(($B313+PARAM!$B$56)/12,Loyalty,2)*$F$1*MAX(BB312,0)</f>
        <v>18.557001321003963</v>
      </c>
      <c r="BA313" s="75">
        <f>PARAM!$C$26+MAX($G$15-CHOOSE(PARAM!$B$44,MAX(0,BB312*$F$1),0),0)*RATES!$L289/12+$H$15*(PARAM!$D$51/12)*RATES!$N289/100</f>
        <v>26.054913254472535</v>
      </c>
      <c r="BB313" s="16">
        <f t="shared" si="210"/>
        <v>548.47878989228923</v>
      </c>
      <c r="BC313" s="15">
        <f t="shared" si="185"/>
        <v>22.170849845882874</v>
      </c>
      <c r="BD313" s="75">
        <f>BC313*(1-PARAM!$C$27)*$I$16+(MOD($B313,60)=PARAM!$B$56)*($B313&gt;(60-PARAM!$B$56))*HLOOKUP(($B313+PARAM!$B$56)/12,Loyalty,2)*$F$1*MAX(BF312,0)</f>
        <v>18.557001321003963</v>
      </c>
      <c r="BE313" s="75">
        <f>PARAM!$C$26+MAX($G$16-CHOOSE(PARAM!$B$44,MAX(0,BF312*$F$1),0),0)*RATES!$L289/12+$H$16*(PARAM!$D$51/12)*RATES!$N289/100</f>
        <v>26.054913254472535</v>
      </c>
      <c r="BF313" s="16">
        <f t="shared" si="211"/>
        <v>548.47878989228923</v>
      </c>
      <c r="BG313" s="15">
        <f t="shared" si="186"/>
        <v>22.170849845882874</v>
      </c>
      <c r="BH313" s="75">
        <f>BG313*(1-PARAM!$C$27)*$I$17+(MOD($B313,60)=PARAM!$B$56)*($B313&gt;(60-PARAM!$B$56))*HLOOKUP(($B313+PARAM!$B$56)/12,Loyalty,2)*$F$1*MAX(BJ312,0)</f>
        <v>18.557001321003963</v>
      </c>
      <c r="BI313" s="75">
        <f>PARAM!$C$26+MAX($G$17-CHOOSE(PARAM!$B$44,MAX(0,BJ312*$F$1),0),0)*RATES!$L289/12+$H$17*(PARAM!$D$51/12)*RATES!$N289/100</f>
        <v>26.054913254472535</v>
      </c>
      <c r="BJ313" s="16">
        <f t="shared" si="212"/>
        <v>548.47878989228923</v>
      </c>
      <c r="BK313" s="15">
        <f t="shared" si="187"/>
        <v>22.170849845882874</v>
      </c>
      <c r="BL313" s="75">
        <f>BK313*(1-PARAM!$C$27)*$I$18+(MOD($B313,60)=PARAM!$B$56)*($B313&gt;(60-PARAM!$B$56))*HLOOKUP(($B313+PARAM!$B$56)/12,Loyalty,2)*$F$1*MAX(BN312,0)</f>
        <v>18.557001321003963</v>
      </c>
      <c r="BM313" s="75">
        <f>PARAM!$C$26+MAX($G$18-CHOOSE(PARAM!$B$44,MAX(0,BN312*$F$1),0),0)*RATES!$L289/12+$H$18*(PARAM!$D$51/12)*RATES!$N289/100</f>
        <v>26.054913254472535</v>
      </c>
      <c r="BN313" s="16">
        <f t="shared" si="213"/>
        <v>548.47878989228923</v>
      </c>
      <c r="BO313" s="15">
        <f t="shared" si="188"/>
        <v>22.170849845882874</v>
      </c>
      <c r="BP313" s="75">
        <f>BO313*(1-PARAM!$C$27)*$I$19+(MOD($B313,60)=PARAM!$B$56)*($B313&gt;(60-PARAM!$B$56))*HLOOKUP(($B313+PARAM!$B$56)/12,Loyalty,2)*$F$1*MAX(BR312,0)</f>
        <v>18.557001321003963</v>
      </c>
      <c r="BQ313" s="75">
        <f>PARAM!$C$26+MAX($G$19-CHOOSE(PARAM!$B$44,MAX(0,BR312*$F$1),0),0)*RATES!$L289/12+$H$19*(PARAM!$D$51/12)*RATES!$N289/100</f>
        <v>26.054913254472535</v>
      </c>
      <c r="BR313" s="16">
        <f t="shared" si="214"/>
        <v>548.47878989228923</v>
      </c>
      <c r="BS313" s="15">
        <f t="shared" si="189"/>
        <v>22.170849845882874</v>
      </c>
      <c r="BT313" s="75">
        <f>BS313*(1-PARAM!$C$27)*$I$20+(MOD($B313,60)=PARAM!$B$56)*($B313&gt;(60-PARAM!$B$56))*HLOOKUP(($B313+PARAM!$B$56)/12,Loyalty,2)*$F$1*MAX(BV312,0)</f>
        <v>18.557001321003963</v>
      </c>
      <c r="BU313" s="75">
        <f>PARAM!$C$26+MAX($G$20-CHOOSE(PARAM!$B$44,MAX(0,BV312*$F$1),0),0)*RATES!$L289/12+$H$20*(PARAM!$D$51/12)*RATES!$N289/100</f>
        <v>26.054913254472535</v>
      </c>
      <c r="BV313" s="16">
        <f t="shared" si="215"/>
        <v>548.47878989228923</v>
      </c>
      <c r="BW313" s="15">
        <f t="shared" si="190"/>
        <v>22.170849845882874</v>
      </c>
      <c r="BX313" s="75">
        <f>BW313*(1-PARAM!$C$27)*$I$21+(MOD($B313,60)=PARAM!$B$56)*($B313&gt;(60-PARAM!$B$56))*HLOOKUP(($B313+PARAM!$B$56)/12,Loyalty,2)*$F$1*MAX(BZ312,0)</f>
        <v>18.557001321003963</v>
      </c>
      <c r="BY313" s="75">
        <f>PARAM!$C$26+MAX($G$21-CHOOSE(PARAM!$B$44,MAX(0,BZ312*$F$1),0),0)*RATES!$L289/12+$H$21*(PARAM!$D$51/12)*RATES!$N289/100</f>
        <v>26.054913254472535</v>
      </c>
      <c r="BZ313" s="16">
        <f t="shared" si="216"/>
        <v>548.47878989228923</v>
      </c>
      <c r="CA313" s="15">
        <f t="shared" si="191"/>
        <v>22.170849845882874</v>
      </c>
      <c r="CB313" s="75">
        <f>CA313*(1-PARAM!$C$27)*$I$22+(MOD($B313,60)=PARAM!$B$56)*($B313&gt;(60-PARAM!$B$56))*HLOOKUP(($B313+PARAM!$B$56)/12,Loyalty,2)*$F$1*MAX(CD312,0)</f>
        <v>18.557001321003963</v>
      </c>
      <c r="CC313" s="75">
        <f>PARAM!$C$26+MAX($G$22-CHOOSE(PARAM!$B$44,MAX(0,CD312*$F$1),0),0)*RATES!$L289/12+$H$22*(PARAM!$D$51/12)*RATES!$N289/100</f>
        <v>26.054913254472535</v>
      </c>
      <c r="CD313" s="16">
        <f t="shared" si="217"/>
        <v>548.47878989228923</v>
      </c>
      <c r="CE313" s="33">
        <f>IF(0=MOD(B313,12/PARAM!$D$51),1,0)</f>
        <v>1</v>
      </c>
      <c r="CF313" s="15">
        <f t="shared" si="192"/>
        <v>0</v>
      </c>
      <c r="CG313" s="75">
        <f>CF313*(1-PARAM!$C$27)*$R$3+(MOD($B313/12,5)=0)*($B313&gt;60)*HLOOKUP($B313/12,Loyalty,2)*$F$1*MAX(CI312,0)</f>
        <v>0</v>
      </c>
      <c r="CH313" s="75">
        <f>PARAM!$C$26+MAX($P$3-CHOOSE(PARAM!$B$44,MAX(0,CI312*$F$1),0),0)*RATES!$L289/12+$Q$3*(PARAM!$D$51/12)*RATES!$N289/100</f>
        <v>26.291666666666668</v>
      </c>
      <c r="CI313" s="16">
        <f>IF(CI312&gt;0,CI312*PARAM!$C$53,CI312)+CG313-CH313</f>
        <v>-4618.9583333333276</v>
      </c>
      <c r="CJ313" s="15">
        <f t="shared" si="218"/>
        <v>0</v>
      </c>
      <c r="CK313" s="75">
        <f>CJ313*(1-PARAM!$C$27)*$R$4+(MOD($B313/12,5)=0)*($B313&gt;60)*HLOOKUP($B313/12,Loyalty,2)*$F$1*MAX(CM312,0)</f>
        <v>0</v>
      </c>
      <c r="CL313" s="75">
        <f>PARAM!$C$26+MAX($P$4-CHOOSE(PARAM!$B$44,MAX(0,CM312*$F$1),0),0)*RATES!$L289/12+$Q$4*(PARAM!$D$51/12)*RATES!$N289/100</f>
        <v>26.291666666666668</v>
      </c>
      <c r="CM313" s="16">
        <f>IF(CM312&gt;0,CM312*PARAM!$C$53,CM312)+CK313-CL313</f>
        <v>-4618.9583333333276</v>
      </c>
      <c r="CO313" s="176"/>
    </row>
    <row r="314" spans="1:93" x14ac:dyDescent="0.2">
      <c r="A314" t="b">
        <f t="shared" si="193"/>
        <v>1</v>
      </c>
      <c r="B314" s="33">
        <v>287</v>
      </c>
      <c r="C314" s="15">
        <f t="shared" si="194"/>
        <v>20.081305947392778</v>
      </c>
      <c r="D314" s="75">
        <f>C314*(1-PARAM!$C$27)*$I$3+(MOD($B314,60)=PARAM!$B$56)*($B314&gt;(60-PARAM!$B$56))*HLOOKUP(($B314+PARAM!$B$56)/12,Loyalty,2)*$F$1*MAX(F313,0)</f>
        <v>16.808053077967756</v>
      </c>
      <c r="E314" s="75">
        <f>PARAM!$C$26+MAX($G$3-CHOOSE(PARAM!$B$44,MAX(0,F313*$F$1),0),0)*RATES!$L290/12+$H$3*(PARAM!$D$51/12)*RATES!$N290/100</f>
        <v>26.278172059366792</v>
      </c>
      <c r="F314" s="16">
        <f t="shared" si="195"/>
        <v>22.219761174859645</v>
      </c>
      <c r="G314" s="15">
        <f t="shared" si="196"/>
        <v>22.035289406060361</v>
      </c>
      <c r="H314" s="75">
        <f>G314*(1-PARAM!$C$27)*$I$4+(MOD($B314,60)=PARAM!$B$56)*($B314&gt;(60-PARAM!$B$56))*HLOOKUP(($B314+PARAM!$B$56)/12,Loyalty,2)*$F$1*MAX(J313,0)</f>
        <v>18.443537232872522</v>
      </c>
      <c r="I314" s="75">
        <f>PARAM!$C$26+MAX($G$4-CHOOSE(PARAM!$B$44,MAX(0,J313*$F$1),0),0)*RATES!$L290/12+$H$4*(PARAM!$D$51/12)*RATES!$N290/100</f>
        <v>26.072389917919104</v>
      </c>
      <c r="J314" s="16">
        <f t="shared" si="197"/>
        <v>507.30676081216262</v>
      </c>
      <c r="K314" s="15">
        <f t="shared" si="198"/>
        <v>22.170849845882874</v>
      </c>
      <c r="L314" s="75">
        <f>K314*(1-PARAM!$C$27)*$I$5+(MOD($B314,60)=PARAM!$B$56)*($B314&gt;(60-PARAM!$B$56))*HLOOKUP(($B314+PARAM!$B$56)/12,Loyalty,2)*$F$1*MAX(N313,0)</f>
        <v>18.557001321003963</v>
      </c>
      <c r="M314" s="75">
        <f>PARAM!$C$26+MAX($G$5-CHOOSE(PARAM!$B$44,MAX(0,N313*$F$1),0),0)*RATES!$L290/12+$H$5*(PARAM!$D$51/12)*RATES!$N290/100</f>
        <v>26.058106115304202</v>
      </c>
      <c r="N314" s="16">
        <f t="shared" si="199"/>
        <v>540.97768509798902</v>
      </c>
      <c r="O314" s="15">
        <f t="shared" si="200"/>
        <v>22.170849845882874</v>
      </c>
      <c r="P314" s="75">
        <f>O314*(1-PARAM!$C$27)*$I$6+(MOD($B314,60)=PARAM!$B$56)*($B314&gt;(60-PARAM!$B$56))*HLOOKUP(($B314+PARAM!$B$56)/12,Loyalty,2)*$F$1*MAX(R313,0)</f>
        <v>18.557001321003963</v>
      </c>
      <c r="Q314" s="75">
        <f>PARAM!$C$26+MAX($G$6-CHOOSE(PARAM!$B$44,MAX(0,R313*$F$1),0),0)*RATES!$L290/12+$H$6*(PARAM!$D$51/12)*RATES!$N290/100</f>
        <v>26.058106115304202</v>
      </c>
      <c r="R314" s="16">
        <f t="shared" si="201"/>
        <v>540.97768509798902</v>
      </c>
      <c r="S314" s="15">
        <f t="shared" si="176"/>
        <v>22.170849845882874</v>
      </c>
      <c r="T314" s="75">
        <f>S314*(1-PARAM!$C$27)*$I$7+(MOD($B314,60)=PARAM!$B$56)*($B314&gt;(60-PARAM!$B$56))*HLOOKUP(($B314+PARAM!$B$56)/12,Loyalty,2)*$F$1*MAX(V313,0)</f>
        <v>18.557001321003963</v>
      </c>
      <c r="U314" s="75">
        <f>PARAM!$C$26+MAX($G$7-CHOOSE(PARAM!$B$44,MAX(0,V313*$F$1),0),0)*RATES!$L290/12+$H$7*(PARAM!$D$51/12)*RATES!$N290/100</f>
        <v>26.058106115304202</v>
      </c>
      <c r="V314" s="16">
        <f t="shared" si="202"/>
        <v>540.97768509798902</v>
      </c>
      <c r="W314" s="15">
        <f t="shared" si="177"/>
        <v>22.170849845882874</v>
      </c>
      <c r="X314" s="75">
        <f>W314*(1-PARAM!$C$27)*$I$8+(MOD($B314,60)=PARAM!$B$56)*($B314&gt;(60-PARAM!$B$56))*HLOOKUP(($B314+PARAM!$B$56)/12,Loyalty,2)*$F$1*MAX(Z313,0)</f>
        <v>18.557001321003963</v>
      </c>
      <c r="Y314" s="75">
        <f>PARAM!$C$26+MAX($G$8-CHOOSE(PARAM!$B$44,MAX(0,Z313*$F$1),0),0)*RATES!$L290/12+$H$8*(PARAM!$D$51/12)*RATES!$N290/100</f>
        <v>26.058106115304202</v>
      </c>
      <c r="Z314" s="16">
        <f t="shared" si="203"/>
        <v>540.97768509798902</v>
      </c>
      <c r="AA314" s="15">
        <f t="shared" si="178"/>
        <v>22.170849845882874</v>
      </c>
      <c r="AB314" s="75">
        <f>AA314*(1-PARAM!$C$27)*$I$9+(MOD($B314,60)=PARAM!$B$56)*($B314&gt;(60-PARAM!$B$56))*HLOOKUP(($B314+PARAM!$B$56)/12,Loyalty,2)*$F$1*MAX(AD313,0)</f>
        <v>18.557001321003963</v>
      </c>
      <c r="AC314" s="75">
        <f>PARAM!$C$26+MAX($G$9-CHOOSE(PARAM!$B$44,MAX(0,AD313*$F$1),0),0)*RATES!$L290/12+$H$9*(PARAM!$D$51/12)*RATES!$N290/100</f>
        <v>26.058106115304202</v>
      </c>
      <c r="AD314" s="16">
        <f t="shared" si="204"/>
        <v>540.97768509798902</v>
      </c>
      <c r="AE314" s="15">
        <f t="shared" si="179"/>
        <v>22.170849845882874</v>
      </c>
      <c r="AF314" s="75">
        <f>AE314*(1-PARAM!$C$27)*$I$10+(MOD($B314,60)=PARAM!$B$56)*($B314&gt;(60-PARAM!$B$56))*HLOOKUP(($B314+PARAM!$B$56)/12,Loyalty,2)*$F$1*MAX(AH313,0)</f>
        <v>18.557001321003963</v>
      </c>
      <c r="AG314" s="75">
        <f>PARAM!$C$26+MAX($G$10-CHOOSE(PARAM!$B$44,MAX(0,AH313*$F$1),0),0)*RATES!$L290/12+$H$10*(PARAM!$D$51/12)*RATES!$N290/100</f>
        <v>26.058106115304202</v>
      </c>
      <c r="AH314" s="16">
        <f t="shared" si="205"/>
        <v>540.97768509798902</v>
      </c>
      <c r="AI314" s="15">
        <f t="shared" si="180"/>
        <v>22.170849845882874</v>
      </c>
      <c r="AJ314" s="75">
        <f>AI314*(1-PARAM!$C$27)*$I$11+(MOD($B314,60)=PARAM!$B$56)*($B314&gt;(60-PARAM!$B$56))*HLOOKUP(($B314+PARAM!$B$56)/12,Loyalty,2)*$F$1*MAX(AL313,0)</f>
        <v>18.557001321003963</v>
      </c>
      <c r="AK314" s="75">
        <f>PARAM!$C$26+MAX($G$11-CHOOSE(PARAM!$B$44,MAX(0,AL313*$F$1),0),0)*RATES!$L290/12+$H$11*(PARAM!$D$51/12)*RATES!$N290/100</f>
        <v>26.058106115304202</v>
      </c>
      <c r="AL314" s="16">
        <f t="shared" si="206"/>
        <v>540.97768509798902</v>
      </c>
      <c r="AM314" s="15">
        <f t="shared" si="181"/>
        <v>22.170849845882874</v>
      </c>
      <c r="AN314" s="75">
        <f>AM314*(1-PARAM!$C$27)*$I$12+(MOD($B314,60)=PARAM!$B$56)*($B314&gt;(60-PARAM!$B$56))*HLOOKUP(($B314+PARAM!$B$56)/12,Loyalty,2)*$F$1*MAX(AP313,0)</f>
        <v>18.557001321003963</v>
      </c>
      <c r="AO314" s="75">
        <f>PARAM!$C$26+MAX($G$12-CHOOSE(PARAM!$B$44,MAX(0,AP313*$F$1),0),0)*RATES!$L290/12+$H$12*(PARAM!$D$51/12)*RATES!$N290/100</f>
        <v>26.058106115304202</v>
      </c>
      <c r="AP314" s="16">
        <f t="shared" si="207"/>
        <v>540.97768509798902</v>
      </c>
      <c r="AQ314" s="15">
        <f t="shared" si="182"/>
        <v>22.170849845882874</v>
      </c>
      <c r="AR314" s="75">
        <f>AQ314*(1-PARAM!$C$27)*$I$13+(MOD($B314,60)=PARAM!$B$56)*($B314&gt;(60-PARAM!$B$56))*HLOOKUP(($B314+PARAM!$B$56)/12,Loyalty,2)*$F$1*MAX(AT313,0)</f>
        <v>18.557001321003963</v>
      </c>
      <c r="AS314" s="75">
        <f>PARAM!$C$26+MAX($G$13-CHOOSE(PARAM!$B$44,MAX(0,AT313*$F$1),0),0)*RATES!$L290/12+$H$13*(PARAM!$D$51/12)*RATES!$N290/100</f>
        <v>26.058106115304202</v>
      </c>
      <c r="AT314" s="16">
        <f t="shared" si="208"/>
        <v>540.97768509798902</v>
      </c>
      <c r="AU314" s="15">
        <f t="shared" si="183"/>
        <v>22.170849845882874</v>
      </c>
      <c r="AV314" s="75">
        <f>AU314*(1-PARAM!$C$27)*$I$14+(MOD($B314,60)=PARAM!$B$56)*($B314&gt;(60-PARAM!$B$56))*HLOOKUP(($B314+PARAM!$B$56)/12,Loyalty,2)*$F$1*MAX(AX313,0)</f>
        <v>18.557001321003963</v>
      </c>
      <c r="AW314" s="75">
        <f>PARAM!$C$26+MAX($G$14-CHOOSE(PARAM!$B$44,MAX(0,AX313*$F$1),0),0)*RATES!$L290/12+$H$14*(PARAM!$D$51/12)*RATES!$N290/100</f>
        <v>26.058106115304202</v>
      </c>
      <c r="AX314" s="16">
        <f t="shared" si="209"/>
        <v>540.97768509798902</v>
      </c>
      <c r="AY314" s="15">
        <f t="shared" si="184"/>
        <v>22.170849845882874</v>
      </c>
      <c r="AZ314" s="75">
        <f>AY314*(1-PARAM!$C$27)*$I$15+(MOD($B314,60)=PARAM!$B$56)*($B314&gt;(60-PARAM!$B$56))*HLOOKUP(($B314+PARAM!$B$56)/12,Loyalty,2)*$F$1*MAX(BB313,0)</f>
        <v>18.557001321003963</v>
      </c>
      <c r="BA314" s="75">
        <f>PARAM!$C$26+MAX($G$15-CHOOSE(PARAM!$B$44,MAX(0,BB313*$F$1),0),0)*RATES!$L290/12+$H$15*(PARAM!$D$51/12)*RATES!$N290/100</f>
        <v>26.058106115304202</v>
      </c>
      <c r="BB314" s="16">
        <f t="shared" si="210"/>
        <v>540.97768509798902</v>
      </c>
      <c r="BC314" s="15">
        <f t="shared" si="185"/>
        <v>22.170849845882874</v>
      </c>
      <c r="BD314" s="75">
        <f>BC314*(1-PARAM!$C$27)*$I$16+(MOD($B314,60)=PARAM!$B$56)*($B314&gt;(60-PARAM!$B$56))*HLOOKUP(($B314+PARAM!$B$56)/12,Loyalty,2)*$F$1*MAX(BF313,0)</f>
        <v>18.557001321003963</v>
      </c>
      <c r="BE314" s="75">
        <f>PARAM!$C$26+MAX($G$16-CHOOSE(PARAM!$B$44,MAX(0,BF313*$F$1),0),0)*RATES!$L290/12+$H$16*(PARAM!$D$51/12)*RATES!$N290/100</f>
        <v>26.058106115304202</v>
      </c>
      <c r="BF314" s="16">
        <f t="shared" si="211"/>
        <v>540.97768509798902</v>
      </c>
      <c r="BG314" s="15">
        <f t="shared" si="186"/>
        <v>22.170849845882874</v>
      </c>
      <c r="BH314" s="75">
        <f>BG314*(1-PARAM!$C$27)*$I$17+(MOD($B314,60)=PARAM!$B$56)*($B314&gt;(60-PARAM!$B$56))*HLOOKUP(($B314+PARAM!$B$56)/12,Loyalty,2)*$F$1*MAX(BJ313,0)</f>
        <v>18.557001321003963</v>
      </c>
      <c r="BI314" s="75">
        <f>PARAM!$C$26+MAX($G$17-CHOOSE(PARAM!$B$44,MAX(0,BJ313*$F$1),0),0)*RATES!$L290/12+$H$17*(PARAM!$D$51/12)*RATES!$N290/100</f>
        <v>26.058106115304202</v>
      </c>
      <c r="BJ314" s="16">
        <f t="shared" si="212"/>
        <v>540.97768509798902</v>
      </c>
      <c r="BK314" s="15">
        <f t="shared" si="187"/>
        <v>22.170849845882874</v>
      </c>
      <c r="BL314" s="75">
        <f>BK314*(1-PARAM!$C$27)*$I$18+(MOD($B314,60)=PARAM!$B$56)*($B314&gt;(60-PARAM!$B$56))*HLOOKUP(($B314+PARAM!$B$56)/12,Loyalty,2)*$F$1*MAX(BN313,0)</f>
        <v>18.557001321003963</v>
      </c>
      <c r="BM314" s="75">
        <f>PARAM!$C$26+MAX($G$18-CHOOSE(PARAM!$B$44,MAX(0,BN313*$F$1),0),0)*RATES!$L290/12+$H$18*(PARAM!$D$51/12)*RATES!$N290/100</f>
        <v>26.058106115304202</v>
      </c>
      <c r="BN314" s="16">
        <f t="shared" si="213"/>
        <v>540.97768509798902</v>
      </c>
      <c r="BO314" s="15">
        <f t="shared" si="188"/>
        <v>22.170849845882874</v>
      </c>
      <c r="BP314" s="75">
        <f>BO314*(1-PARAM!$C$27)*$I$19+(MOD($B314,60)=PARAM!$B$56)*($B314&gt;(60-PARAM!$B$56))*HLOOKUP(($B314+PARAM!$B$56)/12,Loyalty,2)*$F$1*MAX(BR313,0)</f>
        <v>18.557001321003963</v>
      </c>
      <c r="BQ314" s="75">
        <f>PARAM!$C$26+MAX($G$19-CHOOSE(PARAM!$B$44,MAX(0,BR313*$F$1),0),0)*RATES!$L290/12+$H$19*(PARAM!$D$51/12)*RATES!$N290/100</f>
        <v>26.058106115304202</v>
      </c>
      <c r="BR314" s="16">
        <f t="shared" si="214"/>
        <v>540.97768509798902</v>
      </c>
      <c r="BS314" s="15">
        <f t="shared" si="189"/>
        <v>22.170849845882874</v>
      </c>
      <c r="BT314" s="75">
        <f>BS314*(1-PARAM!$C$27)*$I$20+(MOD($B314,60)=PARAM!$B$56)*($B314&gt;(60-PARAM!$B$56))*HLOOKUP(($B314+PARAM!$B$56)/12,Loyalty,2)*$F$1*MAX(BV313,0)</f>
        <v>18.557001321003963</v>
      </c>
      <c r="BU314" s="75">
        <f>PARAM!$C$26+MAX($G$20-CHOOSE(PARAM!$B$44,MAX(0,BV313*$F$1),0),0)*RATES!$L290/12+$H$20*(PARAM!$D$51/12)*RATES!$N290/100</f>
        <v>26.058106115304202</v>
      </c>
      <c r="BV314" s="16">
        <f t="shared" si="215"/>
        <v>540.97768509798902</v>
      </c>
      <c r="BW314" s="15">
        <f t="shared" si="190"/>
        <v>22.170849845882874</v>
      </c>
      <c r="BX314" s="75">
        <f>BW314*(1-PARAM!$C$27)*$I$21+(MOD($B314,60)=PARAM!$B$56)*($B314&gt;(60-PARAM!$B$56))*HLOOKUP(($B314+PARAM!$B$56)/12,Loyalty,2)*$F$1*MAX(BZ313,0)</f>
        <v>18.557001321003963</v>
      </c>
      <c r="BY314" s="75">
        <f>PARAM!$C$26+MAX($G$21-CHOOSE(PARAM!$B$44,MAX(0,BZ313*$F$1),0),0)*RATES!$L290/12+$H$21*(PARAM!$D$51/12)*RATES!$N290/100</f>
        <v>26.058106115304202</v>
      </c>
      <c r="BZ314" s="16">
        <f t="shared" si="216"/>
        <v>540.97768509798902</v>
      </c>
      <c r="CA314" s="15">
        <f t="shared" si="191"/>
        <v>22.170849845882874</v>
      </c>
      <c r="CB314" s="75">
        <f>CA314*(1-PARAM!$C$27)*$I$22+(MOD($B314,60)=PARAM!$B$56)*($B314&gt;(60-PARAM!$B$56))*HLOOKUP(($B314+PARAM!$B$56)/12,Loyalty,2)*$F$1*MAX(CD313,0)</f>
        <v>18.557001321003963</v>
      </c>
      <c r="CC314" s="75">
        <f>PARAM!$C$26+MAX($G$22-CHOOSE(PARAM!$B$44,MAX(0,CD313*$F$1),0),0)*RATES!$L290/12+$H$22*(PARAM!$D$51/12)*RATES!$N290/100</f>
        <v>26.058106115304202</v>
      </c>
      <c r="CD314" s="16">
        <f t="shared" si="217"/>
        <v>540.97768509798902</v>
      </c>
      <c r="CE314" s="33">
        <f>IF(0=MOD(B314,12/PARAM!$D$51),1,0)</f>
        <v>1</v>
      </c>
      <c r="CF314" s="15">
        <f t="shared" si="192"/>
        <v>0</v>
      </c>
      <c r="CG314" s="75">
        <f>CF314*(1-PARAM!$C$27)*$R$3+(MOD($B314/12,5)=0)*($B314&gt;60)*HLOOKUP($B314/12,Loyalty,2)*$F$1*MAX(CI313,0)</f>
        <v>0</v>
      </c>
      <c r="CH314" s="75">
        <f>PARAM!$C$26+MAX($P$3-CHOOSE(PARAM!$B$44,MAX(0,CI313*$F$1),0),0)*RATES!$L290/12+$Q$3*(PARAM!$D$51/12)*RATES!$N290/100</f>
        <v>26.291666666666668</v>
      </c>
      <c r="CI314" s="16">
        <f>IF(CI313&gt;0,CI313*PARAM!$C$53,CI313)+CG314-CH314</f>
        <v>-4645.2499999999945</v>
      </c>
      <c r="CJ314" s="15">
        <f t="shared" si="218"/>
        <v>0</v>
      </c>
      <c r="CK314" s="75">
        <f>CJ314*(1-PARAM!$C$27)*$R$4+(MOD($B314/12,5)=0)*($B314&gt;60)*HLOOKUP($B314/12,Loyalty,2)*$F$1*MAX(CM313,0)</f>
        <v>0</v>
      </c>
      <c r="CL314" s="75">
        <f>PARAM!$C$26+MAX($P$4-CHOOSE(PARAM!$B$44,MAX(0,CM313*$F$1),0),0)*RATES!$L290/12+$Q$4*(PARAM!$D$51/12)*RATES!$N290/100</f>
        <v>26.291666666666668</v>
      </c>
      <c r="CM314" s="16">
        <f>IF(CM313&gt;0,CM313*PARAM!$C$53,CM313)+CK314-CL314</f>
        <v>-4645.2499999999945</v>
      </c>
      <c r="CO314" s="176"/>
    </row>
    <row r="315" spans="1:93" x14ac:dyDescent="0.2">
      <c r="A315" t="b">
        <f t="shared" si="193"/>
        <v>1</v>
      </c>
      <c r="B315" s="33">
        <v>288</v>
      </c>
      <c r="C315" s="15">
        <f t="shared" si="194"/>
        <v>20.081305947392778</v>
      </c>
      <c r="D315" s="75">
        <f>C315*(1-PARAM!$C$27)*$I$3+(MOD($B315,60)=PARAM!$B$56)*($B315&gt;(60-PARAM!$B$56))*HLOOKUP(($B315+PARAM!$B$56)/12,Loyalty,2)*$F$1*MAX(F314,0)</f>
        <v>16.808053077967756</v>
      </c>
      <c r="E315" s="75">
        <f>PARAM!$C$26+MAX($G$3-CHOOSE(PARAM!$B$44,MAX(0,F314*$F$1),0),0)*RATES!$L291/12+$H$3*(PARAM!$D$51/12)*RATES!$N291/100</f>
        <v>26.282204751699705</v>
      </c>
      <c r="F315" s="16">
        <f t="shared" si="195"/>
        <v>12.745609501127692</v>
      </c>
      <c r="G315" s="15">
        <f t="shared" si="196"/>
        <v>22.035289406060361</v>
      </c>
      <c r="H315" s="75">
        <f>G315*(1-PARAM!$C$27)*$I$4+(MOD($B315,60)=PARAM!$B$56)*($B315&gt;(60-PARAM!$B$56))*HLOOKUP(($B315+PARAM!$B$56)/12,Loyalty,2)*$F$1*MAX(J314,0)</f>
        <v>18.443537232872522</v>
      </c>
      <c r="I315" s="75">
        <f>PARAM!$C$26+MAX($G$4-CHOOSE(PARAM!$B$44,MAX(0,J314*$F$1),0),0)*RATES!$L291/12+$H$4*(PARAM!$D$51/12)*RATES!$N291/100</f>
        <v>26.075638537687485</v>
      </c>
      <c r="J315" s="16">
        <f t="shared" si="197"/>
        <v>499.67465950734766</v>
      </c>
      <c r="K315" s="15">
        <f t="shared" si="198"/>
        <v>22.170849845882874</v>
      </c>
      <c r="L315" s="75">
        <f>K315*(1-PARAM!$C$27)*$I$5+(MOD($B315,60)=PARAM!$B$56)*($B315&gt;(60-PARAM!$B$56))*HLOOKUP(($B315+PARAM!$B$56)/12,Loyalty,2)*$F$1*MAX(N314,0)</f>
        <v>18.557001321003963</v>
      </c>
      <c r="M315" s="75">
        <f>PARAM!$C$26+MAX($G$5-CHOOSE(PARAM!$B$44,MAX(0,N314*$F$1),0),0)*RATES!$L291/12+$H$5*(PARAM!$D$51/12)*RATES!$N291/100</f>
        <v>26.061300335762439</v>
      </c>
      <c r="N315" s="16">
        <f t="shared" si="199"/>
        <v>533.47338608323059</v>
      </c>
      <c r="O315" s="15">
        <f t="shared" si="200"/>
        <v>22.170849845882874</v>
      </c>
      <c r="P315" s="75">
        <f>O315*(1-PARAM!$C$27)*$I$6+(MOD($B315,60)=PARAM!$B$56)*($B315&gt;(60-PARAM!$B$56))*HLOOKUP(($B315+PARAM!$B$56)/12,Loyalty,2)*$F$1*MAX(R314,0)</f>
        <v>18.557001321003963</v>
      </c>
      <c r="Q315" s="75">
        <f>PARAM!$C$26+MAX($G$6-CHOOSE(PARAM!$B$44,MAX(0,R314*$F$1),0),0)*RATES!$L291/12+$H$6*(PARAM!$D$51/12)*RATES!$N291/100</f>
        <v>26.061300335762439</v>
      </c>
      <c r="R315" s="16">
        <f t="shared" si="201"/>
        <v>533.47338608323059</v>
      </c>
      <c r="S315" s="15">
        <f t="shared" si="176"/>
        <v>22.170849845882874</v>
      </c>
      <c r="T315" s="75">
        <f>S315*(1-PARAM!$C$27)*$I$7+(MOD($B315,60)=PARAM!$B$56)*($B315&gt;(60-PARAM!$B$56))*HLOOKUP(($B315+PARAM!$B$56)/12,Loyalty,2)*$F$1*MAX(V314,0)</f>
        <v>18.557001321003963</v>
      </c>
      <c r="U315" s="75">
        <f>PARAM!$C$26+MAX($G$7-CHOOSE(PARAM!$B$44,MAX(0,V314*$F$1),0),0)*RATES!$L291/12+$H$7*(PARAM!$D$51/12)*RATES!$N291/100</f>
        <v>26.061300335762439</v>
      </c>
      <c r="V315" s="16">
        <f t="shared" si="202"/>
        <v>533.47338608323059</v>
      </c>
      <c r="W315" s="15">
        <f t="shared" si="177"/>
        <v>22.170849845882874</v>
      </c>
      <c r="X315" s="75">
        <f>W315*(1-PARAM!$C$27)*$I$8+(MOD($B315,60)=PARAM!$B$56)*($B315&gt;(60-PARAM!$B$56))*HLOOKUP(($B315+PARAM!$B$56)/12,Loyalty,2)*$F$1*MAX(Z314,0)</f>
        <v>18.557001321003963</v>
      </c>
      <c r="Y315" s="75">
        <f>PARAM!$C$26+MAX($G$8-CHOOSE(PARAM!$B$44,MAX(0,Z314*$F$1),0),0)*RATES!$L291/12+$H$8*(PARAM!$D$51/12)*RATES!$N291/100</f>
        <v>26.061300335762439</v>
      </c>
      <c r="Z315" s="16">
        <f t="shared" si="203"/>
        <v>533.47338608323059</v>
      </c>
      <c r="AA315" s="15">
        <f t="shared" si="178"/>
        <v>22.170849845882874</v>
      </c>
      <c r="AB315" s="75">
        <f>AA315*(1-PARAM!$C$27)*$I$9+(MOD($B315,60)=PARAM!$B$56)*($B315&gt;(60-PARAM!$B$56))*HLOOKUP(($B315+PARAM!$B$56)/12,Loyalty,2)*$F$1*MAX(AD314,0)</f>
        <v>18.557001321003963</v>
      </c>
      <c r="AC315" s="75">
        <f>PARAM!$C$26+MAX($G$9-CHOOSE(PARAM!$B$44,MAX(0,AD314*$F$1),0),0)*RATES!$L291/12+$H$9*(PARAM!$D$51/12)*RATES!$N291/100</f>
        <v>26.061300335762439</v>
      </c>
      <c r="AD315" s="16">
        <f t="shared" si="204"/>
        <v>533.47338608323059</v>
      </c>
      <c r="AE315" s="15">
        <f t="shared" si="179"/>
        <v>22.170849845882874</v>
      </c>
      <c r="AF315" s="75">
        <f>AE315*(1-PARAM!$C$27)*$I$10+(MOD($B315,60)=PARAM!$B$56)*($B315&gt;(60-PARAM!$B$56))*HLOOKUP(($B315+PARAM!$B$56)/12,Loyalty,2)*$F$1*MAX(AH314,0)</f>
        <v>18.557001321003963</v>
      </c>
      <c r="AG315" s="75">
        <f>PARAM!$C$26+MAX($G$10-CHOOSE(PARAM!$B$44,MAX(0,AH314*$F$1),0),0)*RATES!$L291/12+$H$10*(PARAM!$D$51/12)*RATES!$N291/100</f>
        <v>26.061300335762439</v>
      </c>
      <c r="AH315" s="16">
        <f t="shared" si="205"/>
        <v>533.47338608323059</v>
      </c>
      <c r="AI315" s="15">
        <f t="shared" si="180"/>
        <v>22.170849845882874</v>
      </c>
      <c r="AJ315" s="75">
        <f>AI315*(1-PARAM!$C$27)*$I$11+(MOD($B315,60)=PARAM!$B$56)*($B315&gt;(60-PARAM!$B$56))*HLOOKUP(($B315+PARAM!$B$56)/12,Loyalty,2)*$F$1*MAX(AL314,0)</f>
        <v>18.557001321003963</v>
      </c>
      <c r="AK315" s="75">
        <f>PARAM!$C$26+MAX($G$11-CHOOSE(PARAM!$B$44,MAX(0,AL314*$F$1),0),0)*RATES!$L291/12+$H$11*(PARAM!$D$51/12)*RATES!$N291/100</f>
        <v>26.061300335762439</v>
      </c>
      <c r="AL315" s="16">
        <f t="shared" si="206"/>
        <v>533.47338608323059</v>
      </c>
      <c r="AM315" s="15">
        <f t="shared" si="181"/>
        <v>22.170849845882874</v>
      </c>
      <c r="AN315" s="75">
        <f>AM315*(1-PARAM!$C$27)*$I$12+(MOD($B315,60)=PARAM!$B$56)*($B315&gt;(60-PARAM!$B$56))*HLOOKUP(($B315+PARAM!$B$56)/12,Loyalty,2)*$F$1*MAX(AP314,0)</f>
        <v>18.557001321003963</v>
      </c>
      <c r="AO315" s="75">
        <f>PARAM!$C$26+MAX($G$12-CHOOSE(PARAM!$B$44,MAX(0,AP314*$F$1),0),0)*RATES!$L291/12+$H$12*(PARAM!$D$51/12)*RATES!$N291/100</f>
        <v>26.061300335762439</v>
      </c>
      <c r="AP315" s="16">
        <f t="shared" si="207"/>
        <v>533.47338608323059</v>
      </c>
      <c r="AQ315" s="15">
        <f t="shared" si="182"/>
        <v>22.170849845882874</v>
      </c>
      <c r="AR315" s="75">
        <f>AQ315*(1-PARAM!$C$27)*$I$13+(MOD($B315,60)=PARAM!$B$56)*($B315&gt;(60-PARAM!$B$56))*HLOOKUP(($B315+PARAM!$B$56)/12,Loyalty,2)*$F$1*MAX(AT314,0)</f>
        <v>18.557001321003963</v>
      </c>
      <c r="AS315" s="75">
        <f>PARAM!$C$26+MAX($G$13-CHOOSE(PARAM!$B$44,MAX(0,AT314*$F$1),0),0)*RATES!$L291/12+$H$13*(PARAM!$D$51/12)*RATES!$N291/100</f>
        <v>26.061300335762439</v>
      </c>
      <c r="AT315" s="16">
        <f t="shared" si="208"/>
        <v>533.47338608323059</v>
      </c>
      <c r="AU315" s="15">
        <f t="shared" si="183"/>
        <v>22.170849845882874</v>
      </c>
      <c r="AV315" s="75">
        <f>AU315*(1-PARAM!$C$27)*$I$14+(MOD($B315,60)=PARAM!$B$56)*($B315&gt;(60-PARAM!$B$56))*HLOOKUP(($B315+PARAM!$B$56)/12,Loyalty,2)*$F$1*MAX(AX314,0)</f>
        <v>18.557001321003963</v>
      </c>
      <c r="AW315" s="75">
        <f>PARAM!$C$26+MAX($G$14-CHOOSE(PARAM!$B$44,MAX(0,AX314*$F$1),0),0)*RATES!$L291/12+$H$14*(PARAM!$D$51/12)*RATES!$N291/100</f>
        <v>26.061300335762439</v>
      </c>
      <c r="AX315" s="16">
        <f t="shared" si="209"/>
        <v>533.47338608323059</v>
      </c>
      <c r="AY315" s="15">
        <f t="shared" si="184"/>
        <v>22.170849845882874</v>
      </c>
      <c r="AZ315" s="75">
        <f>AY315*(1-PARAM!$C$27)*$I$15+(MOD($B315,60)=PARAM!$B$56)*($B315&gt;(60-PARAM!$B$56))*HLOOKUP(($B315+PARAM!$B$56)/12,Loyalty,2)*$F$1*MAX(BB314,0)</f>
        <v>18.557001321003963</v>
      </c>
      <c r="BA315" s="75">
        <f>PARAM!$C$26+MAX($G$15-CHOOSE(PARAM!$B$44,MAX(0,BB314*$F$1),0),0)*RATES!$L291/12+$H$15*(PARAM!$D$51/12)*RATES!$N291/100</f>
        <v>26.061300335762439</v>
      </c>
      <c r="BB315" s="16">
        <f t="shared" si="210"/>
        <v>533.47338608323059</v>
      </c>
      <c r="BC315" s="15">
        <f t="shared" si="185"/>
        <v>22.170849845882874</v>
      </c>
      <c r="BD315" s="75">
        <f>BC315*(1-PARAM!$C$27)*$I$16+(MOD($B315,60)=PARAM!$B$56)*($B315&gt;(60-PARAM!$B$56))*HLOOKUP(($B315+PARAM!$B$56)/12,Loyalty,2)*$F$1*MAX(BF314,0)</f>
        <v>18.557001321003963</v>
      </c>
      <c r="BE315" s="75">
        <f>PARAM!$C$26+MAX($G$16-CHOOSE(PARAM!$B$44,MAX(0,BF314*$F$1),0),0)*RATES!$L291/12+$H$16*(PARAM!$D$51/12)*RATES!$N291/100</f>
        <v>26.061300335762439</v>
      </c>
      <c r="BF315" s="16">
        <f t="shared" si="211"/>
        <v>533.47338608323059</v>
      </c>
      <c r="BG315" s="15">
        <f t="shared" si="186"/>
        <v>22.170849845882874</v>
      </c>
      <c r="BH315" s="75">
        <f>BG315*(1-PARAM!$C$27)*$I$17+(MOD($B315,60)=PARAM!$B$56)*($B315&gt;(60-PARAM!$B$56))*HLOOKUP(($B315+PARAM!$B$56)/12,Loyalty,2)*$F$1*MAX(BJ314,0)</f>
        <v>18.557001321003963</v>
      </c>
      <c r="BI315" s="75">
        <f>PARAM!$C$26+MAX($G$17-CHOOSE(PARAM!$B$44,MAX(0,BJ314*$F$1),0),0)*RATES!$L291/12+$H$17*(PARAM!$D$51/12)*RATES!$N291/100</f>
        <v>26.061300335762439</v>
      </c>
      <c r="BJ315" s="16">
        <f t="shared" si="212"/>
        <v>533.47338608323059</v>
      </c>
      <c r="BK315" s="15">
        <f t="shared" si="187"/>
        <v>22.170849845882874</v>
      </c>
      <c r="BL315" s="75">
        <f>BK315*(1-PARAM!$C$27)*$I$18+(MOD($B315,60)=PARAM!$B$56)*($B315&gt;(60-PARAM!$B$56))*HLOOKUP(($B315+PARAM!$B$56)/12,Loyalty,2)*$F$1*MAX(BN314,0)</f>
        <v>18.557001321003963</v>
      </c>
      <c r="BM315" s="75">
        <f>PARAM!$C$26+MAX($G$18-CHOOSE(PARAM!$B$44,MAX(0,BN314*$F$1),0),0)*RATES!$L291/12+$H$18*(PARAM!$D$51/12)*RATES!$N291/100</f>
        <v>26.061300335762439</v>
      </c>
      <c r="BN315" s="16">
        <f t="shared" si="213"/>
        <v>533.47338608323059</v>
      </c>
      <c r="BO315" s="15">
        <f t="shared" si="188"/>
        <v>22.170849845882874</v>
      </c>
      <c r="BP315" s="75">
        <f>BO315*(1-PARAM!$C$27)*$I$19+(MOD($B315,60)=PARAM!$B$56)*($B315&gt;(60-PARAM!$B$56))*HLOOKUP(($B315+PARAM!$B$56)/12,Loyalty,2)*$F$1*MAX(BR314,0)</f>
        <v>18.557001321003963</v>
      </c>
      <c r="BQ315" s="75">
        <f>PARAM!$C$26+MAX($G$19-CHOOSE(PARAM!$B$44,MAX(0,BR314*$F$1),0),0)*RATES!$L291/12+$H$19*(PARAM!$D$51/12)*RATES!$N291/100</f>
        <v>26.061300335762439</v>
      </c>
      <c r="BR315" s="16">
        <f t="shared" si="214"/>
        <v>533.47338608323059</v>
      </c>
      <c r="BS315" s="15">
        <f t="shared" si="189"/>
        <v>22.170849845882874</v>
      </c>
      <c r="BT315" s="75">
        <f>BS315*(1-PARAM!$C$27)*$I$20+(MOD($B315,60)=PARAM!$B$56)*($B315&gt;(60-PARAM!$B$56))*HLOOKUP(($B315+PARAM!$B$56)/12,Loyalty,2)*$F$1*MAX(BV314,0)</f>
        <v>18.557001321003963</v>
      </c>
      <c r="BU315" s="75">
        <f>PARAM!$C$26+MAX($G$20-CHOOSE(PARAM!$B$44,MAX(0,BV314*$F$1),0),0)*RATES!$L291/12+$H$20*(PARAM!$D$51/12)*RATES!$N291/100</f>
        <v>26.061300335762439</v>
      </c>
      <c r="BV315" s="16">
        <f t="shared" si="215"/>
        <v>533.47338608323059</v>
      </c>
      <c r="BW315" s="15">
        <f t="shared" si="190"/>
        <v>22.170849845882874</v>
      </c>
      <c r="BX315" s="75">
        <f>BW315*(1-PARAM!$C$27)*$I$21+(MOD($B315,60)=PARAM!$B$56)*($B315&gt;(60-PARAM!$B$56))*HLOOKUP(($B315+PARAM!$B$56)/12,Loyalty,2)*$F$1*MAX(BZ314,0)</f>
        <v>18.557001321003963</v>
      </c>
      <c r="BY315" s="75">
        <f>PARAM!$C$26+MAX($G$21-CHOOSE(PARAM!$B$44,MAX(0,BZ314*$F$1),0),0)*RATES!$L291/12+$H$21*(PARAM!$D$51/12)*RATES!$N291/100</f>
        <v>26.061300335762439</v>
      </c>
      <c r="BZ315" s="16">
        <f t="shared" si="216"/>
        <v>533.47338608323059</v>
      </c>
      <c r="CA315" s="15">
        <f t="shared" si="191"/>
        <v>22.170849845882874</v>
      </c>
      <c r="CB315" s="75">
        <f>CA315*(1-PARAM!$C$27)*$I$22+(MOD($B315,60)=PARAM!$B$56)*($B315&gt;(60-PARAM!$B$56))*HLOOKUP(($B315+PARAM!$B$56)/12,Loyalty,2)*$F$1*MAX(CD314,0)</f>
        <v>18.557001321003963</v>
      </c>
      <c r="CC315" s="75">
        <f>PARAM!$C$26+MAX($G$22-CHOOSE(PARAM!$B$44,MAX(0,CD314*$F$1),0),0)*RATES!$L291/12+$H$22*(PARAM!$D$51/12)*RATES!$N291/100</f>
        <v>26.061300335762439</v>
      </c>
      <c r="CD315" s="16">
        <f t="shared" si="217"/>
        <v>533.47338608323059</v>
      </c>
      <c r="CE315" s="33">
        <f>IF(0=MOD(B315,12/PARAM!$D$51),1,0)</f>
        <v>1</v>
      </c>
      <c r="CF315" s="15">
        <f t="shared" si="192"/>
        <v>0</v>
      </c>
      <c r="CG315" s="75">
        <f>CF315*(1-PARAM!$C$27)*$R$3+(MOD($B315/12,5)=0)*($B315&gt;60)*HLOOKUP($B315/12,Loyalty,2)*$F$1*MAX(CI314,0)</f>
        <v>0</v>
      </c>
      <c r="CH315" s="75">
        <f>PARAM!$C$26+MAX($P$3-CHOOSE(PARAM!$B$44,MAX(0,CI314*$F$1),0),0)*RATES!$L291/12+$Q$3*(PARAM!$D$51/12)*RATES!$N291/100</f>
        <v>26.291666666666668</v>
      </c>
      <c r="CI315" s="16">
        <f>IF(CI314&gt;0,CI314*PARAM!$C$53,CI314)+CG315-CH315</f>
        <v>-4671.5416666666615</v>
      </c>
      <c r="CJ315" s="15">
        <f t="shared" si="218"/>
        <v>0</v>
      </c>
      <c r="CK315" s="75">
        <f>CJ315*(1-PARAM!$C$27)*$R$4+(MOD($B315/12,5)=0)*($B315&gt;60)*HLOOKUP($B315/12,Loyalty,2)*$F$1*MAX(CM314,0)</f>
        <v>0</v>
      </c>
      <c r="CL315" s="75">
        <f>PARAM!$C$26+MAX($P$4-CHOOSE(PARAM!$B$44,MAX(0,CM314*$F$1),0),0)*RATES!$L291/12+$Q$4*(PARAM!$D$51/12)*RATES!$N291/100</f>
        <v>26.291666666666668</v>
      </c>
      <c r="CM315" s="16">
        <f>IF(CM314&gt;0,CM314*PARAM!$C$53,CM314)+CK315-CL315</f>
        <v>-4671.5416666666615</v>
      </c>
      <c r="CO315" s="176"/>
    </row>
    <row r="316" spans="1:93" x14ac:dyDescent="0.2">
      <c r="A316" t="b">
        <f t="shared" si="193"/>
        <v>1</v>
      </c>
      <c r="B316" s="33">
        <v>289</v>
      </c>
      <c r="C316" s="15">
        <f t="shared" si="194"/>
        <v>20.081305947392778</v>
      </c>
      <c r="D316" s="75">
        <f>C316*(1-PARAM!$C$27)*$I$3+(MOD($B316,60)=PARAM!$B$56)*($B316&gt;(60-PARAM!$B$56))*HLOOKUP(($B316+PARAM!$B$56)/12,Loyalty,2)*$F$1*MAX(F315,0)</f>
        <v>16.808053077967756</v>
      </c>
      <c r="E316" s="75">
        <f>PARAM!$C$26+MAX($G$3-CHOOSE(PARAM!$B$44,MAX(0,F315*$F$1),0),0)*RATES!$L292/12+$H$3*(PARAM!$D$51/12)*RATES!$N292/100</f>
        <v>26.286239161287437</v>
      </c>
      <c r="F316" s="16">
        <f t="shared" si="195"/>
        <v>3.2674234178080113</v>
      </c>
      <c r="G316" s="15">
        <f t="shared" si="196"/>
        <v>22.035289406060361</v>
      </c>
      <c r="H316" s="75">
        <f>G316*(1-PARAM!$C$27)*$I$4+(MOD($B316,60)=PARAM!$B$56)*($B316&gt;(60-PARAM!$B$56))*HLOOKUP(($B316+PARAM!$B$56)/12,Loyalty,2)*$F$1*MAX(J315,0)</f>
        <v>18.443537232872522</v>
      </c>
      <c r="I316" s="75">
        <f>PARAM!$C$26+MAX($G$4-CHOOSE(PARAM!$B$44,MAX(0,J315*$F$1),0),0)*RATES!$L292/12+$H$4*(PARAM!$D$51/12)*RATES!$N292/100</f>
        <v>26.078888540826455</v>
      </c>
      <c r="J316" s="16">
        <f t="shared" si="197"/>
        <v>492.03930819939364</v>
      </c>
      <c r="K316" s="15">
        <f t="shared" si="198"/>
        <v>22.170849845882874</v>
      </c>
      <c r="L316" s="75">
        <f>K316*(1-PARAM!$C$27)*$I$5+(MOD($B316,60)=PARAM!$B$56)*($B316&gt;(60-PARAM!$B$56))*HLOOKUP(($B316+PARAM!$B$56)/12,Loyalty,2)*$F$1*MAX(N315,0)</f>
        <v>18.557001321003963</v>
      </c>
      <c r="M316" s="75">
        <f>PARAM!$C$26+MAX($G$5-CHOOSE(PARAM!$B$44,MAX(0,N315*$F$1),0),0)*RATES!$L292/12+$H$5*(PARAM!$D$51/12)*RATES!$N292/100</f>
        <v>26.064495916426225</v>
      </c>
      <c r="N316" s="16">
        <f t="shared" si="199"/>
        <v>525.96589148780834</v>
      </c>
      <c r="O316" s="15">
        <f t="shared" si="200"/>
        <v>22.170849845882874</v>
      </c>
      <c r="P316" s="75">
        <f>O316*(1-PARAM!$C$27)*$I$6+(MOD($B316,60)=PARAM!$B$56)*($B316&gt;(60-PARAM!$B$56))*HLOOKUP(($B316+PARAM!$B$56)/12,Loyalty,2)*$F$1*MAX(R315,0)</f>
        <v>18.557001321003963</v>
      </c>
      <c r="Q316" s="75">
        <f>PARAM!$C$26+MAX($G$6-CHOOSE(PARAM!$B$44,MAX(0,R315*$F$1),0),0)*RATES!$L292/12+$H$6*(PARAM!$D$51/12)*RATES!$N292/100</f>
        <v>26.064495916426225</v>
      </c>
      <c r="R316" s="16">
        <f t="shared" si="201"/>
        <v>525.96589148780834</v>
      </c>
      <c r="S316" s="15">
        <f t="shared" si="176"/>
        <v>22.170849845882874</v>
      </c>
      <c r="T316" s="75">
        <f>S316*(1-PARAM!$C$27)*$I$7+(MOD($B316,60)=PARAM!$B$56)*($B316&gt;(60-PARAM!$B$56))*HLOOKUP(($B316+PARAM!$B$56)/12,Loyalty,2)*$F$1*MAX(V315,0)</f>
        <v>18.557001321003963</v>
      </c>
      <c r="U316" s="75">
        <f>PARAM!$C$26+MAX($G$7-CHOOSE(PARAM!$B$44,MAX(0,V315*$F$1),0),0)*RATES!$L292/12+$H$7*(PARAM!$D$51/12)*RATES!$N292/100</f>
        <v>26.064495916426225</v>
      </c>
      <c r="V316" s="16">
        <f t="shared" si="202"/>
        <v>525.96589148780834</v>
      </c>
      <c r="W316" s="15">
        <f t="shared" si="177"/>
        <v>22.170849845882874</v>
      </c>
      <c r="X316" s="75">
        <f>W316*(1-PARAM!$C$27)*$I$8+(MOD($B316,60)=PARAM!$B$56)*($B316&gt;(60-PARAM!$B$56))*HLOOKUP(($B316+PARAM!$B$56)/12,Loyalty,2)*$F$1*MAX(Z315,0)</f>
        <v>18.557001321003963</v>
      </c>
      <c r="Y316" s="75">
        <f>PARAM!$C$26+MAX($G$8-CHOOSE(PARAM!$B$44,MAX(0,Z315*$F$1),0),0)*RATES!$L292/12+$H$8*(PARAM!$D$51/12)*RATES!$N292/100</f>
        <v>26.064495916426225</v>
      </c>
      <c r="Z316" s="16">
        <f t="shared" si="203"/>
        <v>525.96589148780834</v>
      </c>
      <c r="AA316" s="15">
        <f t="shared" si="178"/>
        <v>22.170849845882874</v>
      </c>
      <c r="AB316" s="75">
        <f>AA316*(1-PARAM!$C$27)*$I$9+(MOD($B316,60)=PARAM!$B$56)*($B316&gt;(60-PARAM!$B$56))*HLOOKUP(($B316+PARAM!$B$56)/12,Loyalty,2)*$F$1*MAX(AD315,0)</f>
        <v>18.557001321003963</v>
      </c>
      <c r="AC316" s="75">
        <f>PARAM!$C$26+MAX($G$9-CHOOSE(PARAM!$B$44,MAX(0,AD315*$F$1),0),0)*RATES!$L292/12+$H$9*(PARAM!$D$51/12)*RATES!$N292/100</f>
        <v>26.064495916426225</v>
      </c>
      <c r="AD316" s="16">
        <f t="shared" si="204"/>
        <v>525.96589148780834</v>
      </c>
      <c r="AE316" s="15">
        <f t="shared" si="179"/>
        <v>22.170849845882874</v>
      </c>
      <c r="AF316" s="75">
        <f>AE316*(1-PARAM!$C$27)*$I$10+(MOD($B316,60)=PARAM!$B$56)*($B316&gt;(60-PARAM!$B$56))*HLOOKUP(($B316+PARAM!$B$56)/12,Loyalty,2)*$F$1*MAX(AH315,0)</f>
        <v>18.557001321003963</v>
      </c>
      <c r="AG316" s="75">
        <f>PARAM!$C$26+MAX($G$10-CHOOSE(PARAM!$B$44,MAX(0,AH315*$F$1),0),0)*RATES!$L292/12+$H$10*(PARAM!$D$51/12)*RATES!$N292/100</f>
        <v>26.064495916426225</v>
      </c>
      <c r="AH316" s="16">
        <f t="shared" si="205"/>
        <v>525.96589148780834</v>
      </c>
      <c r="AI316" s="15">
        <f t="shared" si="180"/>
        <v>22.170849845882874</v>
      </c>
      <c r="AJ316" s="75">
        <f>AI316*(1-PARAM!$C$27)*$I$11+(MOD($B316,60)=PARAM!$B$56)*($B316&gt;(60-PARAM!$B$56))*HLOOKUP(($B316+PARAM!$B$56)/12,Loyalty,2)*$F$1*MAX(AL315,0)</f>
        <v>18.557001321003963</v>
      </c>
      <c r="AK316" s="75">
        <f>PARAM!$C$26+MAX($G$11-CHOOSE(PARAM!$B$44,MAX(0,AL315*$F$1),0),0)*RATES!$L292/12+$H$11*(PARAM!$D$51/12)*RATES!$N292/100</f>
        <v>26.064495916426225</v>
      </c>
      <c r="AL316" s="16">
        <f t="shared" si="206"/>
        <v>525.96589148780834</v>
      </c>
      <c r="AM316" s="15">
        <f t="shared" si="181"/>
        <v>22.170849845882874</v>
      </c>
      <c r="AN316" s="75">
        <f>AM316*(1-PARAM!$C$27)*$I$12+(MOD($B316,60)=PARAM!$B$56)*($B316&gt;(60-PARAM!$B$56))*HLOOKUP(($B316+PARAM!$B$56)/12,Loyalty,2)*$F$1*MAX(AP315,0)</f>
        <v>18.557001321003963</v>
      </c>
      <c r="AO316" s="75">
        <f>PARAM!$C$26+MAX($G$12-CHOOSE(PARAM!$B$44,MAX(0,AP315*$F$1),0),0)*RATES!$L292/12+$H$12*(PARAM!$D$51/12)*RATES!$N292/100</f>
        <v>26.064495916426225</v>
      </c>
      <c r="AP316" s="16">
        <f t="shared" si="207"/>
        <v>525.96589148780834</v>
      </c>
      <c r="AQ316" s="15">
        <f t="shared" si="182"/>
        <v>22.170849845882874</v>
      </c>
      <c r="AR316" s="75">
        <f>AQ316*(1-PARAM!$C$27)*$I$13+(MOD($B316,60)=PARAM!$B$56)*($B316&gt;(60-PARAM!$B$56))*HLOOKUP(($B316+PARAM!$B$56)/12,Loyalty,2)*$F$1*MAX(AT315,0)</f>
        <v>18.557001321003963</v>
      </c>
      <c r="AS316" s="75">
        <f>PARAM!$C$26+MAX($G$13-CHOOSE(PARAM!$B$44,MAX(0,AT315*$F$1),0),0)*RATES!$L292/12+$H$13*(PARAM!$D$51/12)*RATES!$N292/100</f>
        <v>26.064495916426225</v>
      </c>
      <c r="AT316" s="16">
        <f t="shared" si="208"/>
        <v>525.96589148780834</v>
      </c>
      <c r="AU316" s="15">
        <f t="shared" si="183"/>
        <v>22.170849845882874</v>
      </c>
      <c r="AV316" s="75">
        <f>AU316*(1-PARAM!$C$27)*$I$14+(MOD($B316,60)=PARAM!$B$56)*($B316&gt;(60-PARAM!$B$56))*HLOOKUP(($B316+PARAM!$B$56)/12,Loyalty,2)*$F$1*MAX(AX315,0)</f>
        <v>18.557001321003963</v>
      </c>
      <c r="AW316" s="75">
        <f>PARAM!$C$26+MAX($G$14-CHOOSE(PARAM!$B$44,MAX(0,AX315*$F$1),0),0)*RATES!$L292/12+$H$14*(PARAM!$D$51/12)*RATES!$N292/100</f>
        <v>26.064495916426225</v>
      </c>
      <c r="AX316" s="16">
        <f t="shared" si="209"/>
        <v>525.96589148780834</v>
      </c>
      <c r="AY316" s="15">
        <f t="shared" si="184"/>
        <v>22.170849845882874</v>
      </c>
      <c r="AZ316" s="75">
        <f>AY316*(1-PARAM!$C$27)*$I$15+(MOD($B316,60)=PARAM!$B$56)*($B316&gt;(60-PARAM!$B$56))*HLOOKUP(($B316+PARAM!$B$56)/12,Loyalty,2)*$F$1*MAX(BB315,0)</f>
        <v>18.557001321003963</v>
      </c>
      <c r="BA316" s="75">
        <f>PARAM!$C$26+MAX($G$15-CHOOSE(PARAM!$B$44,MAX(0,BB315*$F$1),0),0)*RATES!$L292/12+$H$15*(PARAM!$D$51/12)*RATES!$N292/100</f>
        <v>26.064495916426225</v>
      </c>
      <c r="BB316" s="16">
        <f t="shared" si="210"/>
        <v>525.96589148780834</v>
      </c>
      <c r="BC316" s="15">
        <f t="shared" si="185"/>
        <v>22.170849845882874</v>
      </c>
      <c r="BD316" s="75">
        <f>BC316*(1-PARAM!$C$27)*$I$16+(MOD($B316,60)=PARAM!$B$56)*($B316&gt;(60-PARAM!$B$56))*HLOOKUP(($B316+PARAM!$B$56)/12,Loyalty,2)*$F$1*MAX(BF315,0)</f>
        <v>18.557001321003963</v>
      </c>
      <c r="BE316" s="75">
        <f>PARAM!$C$26+MAX($G$16-CHOOSE(PARAM!$B$44,MAX(0,BF315*$F$1),0),0)*RATES!$L292/12+$H$16*(PARAM!$D$51/12)*RATES!$N292/100</f>
        <v>26.064495916426225</v>
      </c>
      <c r="BF316" s="16">
        <f t="shared" si="211"/>
        <v>525.96589148780834</v>
      </c>
      <c r="BG316" s="15">
        <f t="shared" si="186"/>
        <v>22.170849845882874</v>
      </c>
      <c r="BH316" s="75">
        <f>BG316*(1-PARAM!$C$27)*$I$17+(MOD($B316,60)=PARAM!$B$56)*($B316&gt;(60-PARAM!$B$56))*HLOOKUP(($B316+PARAM!$B$56)/12,Loyalty,2)*$F$1*MAX(BJ315,0)</f>
        <v>18.557001321003963</v>
      </c>
      <c r="BI316" s="75">
        <f>PARAM!$C$26+MAX($G$17-CHOOSE(PARAM!$B$44,MAX(0,BJ315*$F$1),0),0)*RATES!$L292/12+$H$17*(PARAM!$D$51/12)*RATES!$N292/100</f>
        <v>26.064495916426225</v>
      </c>
      <c r="BJ316" s="16">
        <f t="shared" si="212"/>
        <v>525.96589148780834</v>
      </c>
      <c r="BK316" s="15">
        <f t="shared" si="187"/>
        <v>22.170849845882874</v>
      </c>
      <c r="BL316" s="75">
        <f>BK316*(1-PARAM!$C$27)*$I$18+(MOD($B316,60)=PARAM!$B$56)*($B316&gt;(60-PARAM!$B$56))*HLOOKUP(($B316+PARAM!$B$56)/12,Loyalty,2)*$F$1*MAX(BN315,0)</f>
        <v>18.557001321003963</v>
      </c>
      <c r="BM316" s="75">
        <f>PARAM!$C$26+MAX($G$18-CHOOSE(PARAM!$B$44,MAX(0,BN315*$F$1),0),0)*RATES!$L292/12+$H$18*(PARAM!$D$51/12)*RATES!$N292/100</f>
        <v>26.064495916426225</v>
      </c>
      <c r="BN316" s="16">
        <f t="shared" si="213"/>
        <v>525.96589148780834</v>
      </c>
      <c r="BO316" s="15">
        <f t="shared" si="188"/>
        <v>22.170849845882874</v>
      </c>
      <c r="BP316" s="75">
        <f>BO316*(1-PARAM!$C$27)*$I$19+(MOD($B316,60)=PARAM!$B$56)*($B316&gt;(60-PARAM!$B$56))*HLOOKUP(($B316+PARAM!$B$56)/12,Loyalty,2)*$F$1*MAX(BR315,0)</f>
        <v>18.557001321003963</v>
      </c>
      <c r="BQ316" s="75">
        <f>PARAM!$C$26+MAX($G$19-CHOOSE(PARAM!$B$44,MAX(0,BR315*$F$1),0),0)*RATES!$L292/12+$H$19*(PARAM!$D$51/12)*RATES!$N292/100</f>
        <v>26.064495916426225</v>
      </c>
      <c r="BR316" s="16">
        <f t="shared" si="214"/>
        <v>525.96589148780834</v>
      </c>
      <c r="BS316" s="15">
        <f t="shared" si="189"/>
        <v>22.170849845882874</v>
      </c>
      <c r="BT316" s="75">
        <f>BS316*(1-PARAM!$C$27)*$I$20+(MOD($B316,60)=PARAM!$B$56)*($B316&gt;(60-PARAM!$B$56))*HLOOKUP(($B316+PARAM!$B$56)/12,Loyalty,2)*$F$1*MAX(BV315,0)</f>
        <v>18.557001321003963</v>
      </c>
      <c r="BU316" s="75">
        <f>PARAM!$C$26+MAX($G$20-CHOOSE(PARAM!$B$44,MAX(0,BV315*$F$1),0),0)*RATES!$L292/12+$H$20*(PARAM!$D$51/12)*RATES!$N292/100</f>
        <v>26.064495916426225</v>
      </c>
      <c r="BV316" s="16">
        <f t="shared" si="215"/>
        <v>525.96589148780834</v>
      </c>
      <c r="BW316" s="15">
        <f t="shared" si="190"/>
        <v>22.170849845882874</v>
      </c>
      <c r="BX316" s="75">
        <f>BW316*(1-PARAM!$C$27)*$I$21+(MOD($B316,60)=PARAM!$B$56)*($B316&gt;(60-PARAM!$B$56))*HLOOKUP(($B316+PARAM!$B$56)/12,Loyalty,2)*$F$1*MAX(BZ315,0)</f>
        <v>18.557001321003963</v>
      </c>
      <c r="BY316" s="75">
        <f>PARAM!$C$26+MAX($G$21-CHOOSE(PARAM!$B$44,MAX(0,BZ315*$F$1),0),0)*RATES!$L292/12+$H$21*(PARAM!$D$51/12)*RATES!$N292/100</f>
        <v>26.064495916426225</v>
      </c>
      <c r="BZ316" s="16">
        <f t="shared" si="216"/>
        <v>525.96589148780834</v>
      </c>
      <c r="CA316" s="15">
        <f t="shared" si="191"/>
        <v>22.170849845882874</v>
      </c>
      <c r="CB316" s="75">
        <f>CA316*(1-PARAM!$C$27)*$I$22+(MOD($B316,60)=PARAM!$B$56)*($B316&gt;(60-PARAM!$B$56))*HLOOKUP(($B316+PARAM!$B$56)/12,Loyalty,2)*$F$1*MAX(CD315,0)</f>
        <v>18.557001321003963</v>
      </c>
      <c r="CC316" s="75">
        <f>PARAM!$C$26+MAX($G$22-CHOOSE(PARAM!$B$44,MAX(0,CD315*$F$1),0),0)*RATES!$L292/12+$H$22*(PARAM!$D$51/12)*RATES!$N292/100</f>
        <v>26.064495916426225</v>
      </c>
      <c r="CD316" s="16">
        <f t="shared" si="217"/>
        <v>525.96589148780834</v>
      </c>
      <c r="CE316" s="33">
        <f>IF(0=MOD(B316,12/PARAM!$D$51),1,0)</f>
        <v>1</v>
      </c>
      <c r="CF316" s="15">
        <f t="shared" si="192"/>
        <v>0</v>
      </c>
      <c r="CG316" s="75">
        <f>CF316*(1-PARAM!$C$27)*$R$3+(MOD($B316/12,5)=0)*($B316&gt;60)*HLOOKUP($B316/12,Loyalty,2)*$F$1*MAX(CI315,0)</f>
        <v>0</v>
      </c>
      <c r="CH316" s="75">
        <f>PARAM!$C$26+MAX($P$3-CHOOSE(PARAM!$B$44,MAX(0,CI315*$F$1),0),0)*RATES!$L292/12+$Q$3*(PARAM!$D$51/12)*RATES!$N292/100</f>
        <v>26.291666666666668</v>
      </c>
      <c r="CI316" s="16">
        <f>IF(CI315&gt;0,CI315*PARAM!$C$53,CI315)+CG316-CH316</f>
        <v>-4697.8333333333285</v>
      </c>
      <c r="CJ316" s="15">
        <f t="shared" si="218"/>
        <v>0</v>
      </c>
      <c r="CK316" s="75">
        <f>CJ316*(1-PARAM!$C$27)*$R$4+(MOD($B316/12,5)=0)*($B316&gt;60)*HLOOKUP($B316/12,Loyalty,2)*$F$1*MAX(CM315,0)</f>
        <v>0</v>
      </c>
      <c r="CL316" s="75">
        <f>PARAM!$C$26+MAX($P$4-CHOOSE(PARAM!$B$44,MAX(0,CM315*$F$1),0),0)*RATES!$L292/12+$Q$4*(PARAM!$D$51/12)*RATES!$N292/100</f>
        <v>26.291666666666668</v>
      </c>
      <c r="CM316" s="16">
        <f>IF(CM315&gt;0,CM315*PARAM!$C$53,CM315)+CK316-CL316</f>
        <v>-4697.8333333333285</v>
      </c>
      <c r="CO316" s="176"/>
    </row>
    <row r="317" spans="1:93" x14ac:dyDescent="0.2">
      <c r="A317" t="b">
        <f t="shared" si="193"/>
        <v>0</v>
      </c>
      <c r="B317" s="33">
        <v>290</v>
      </c>
      <c r="C317" s="15">
        <f t="shared" si="194"/>
        <v>20.081305947392778</v>
      </c>
      <c r="D317" s="75">
        <f>C317*(1-PARAM!$C$27)*$I$3+(MOD($B317,60)=PARAM!$B$56)*($B317&gt;(60-PARAM!$B$56))*HLOOKUP(($B317+PARAM!$B$56)/12,Loyalty,2)*$F$1*MAX(F316,0)</f>
        <v>16.808053077967756</v>
      </c>
      <c r="E317" s="75">
        <f>PARAM!$C$26+MAX($G$3-CHOOSE(PARAM!$B$44,MAX(0,F316*$F$1),0),0)*RATES!$L293/12+$H$3*(PARAM!$D$51/12)*RATES!$N293/100</f>
        <v>26.290275288861249</v>
      </c>
      <c r="F317" s="16">
        <f t="shared" si="195"/>
        <v>-6.2147987930854818</v>
      </c>
      <c r="G317" s="15">
        <f t="shared" si="196"/>
        <v>22.035289406060361</v>
      </c>
      <c r="H317" s="75">
        <f>G317*(1-PARAM!$C$27)*$I$4+(MOD($B317,60)=PARAM!$B$56)*($B317&gt;(60-PARAM!$B$56))*HLOOKUP(($B317+PARAM!$B$56)/12,Loyalty,2)*$F$1*MAX(J316,0)</f>
        <v>18.443537232872522</v>
      </c>
      <c r="I317" s="75">
        <f>PARAM!$C$26+MAX($G$4-CHOOSE(PARAM!$B$44,MAX(0,J316*$F$1),0),0)*RATES!$L293/12+$H$4*(PARAM!$D$51/12)*RATES!$N293/100</f>
        <v>26.082139927925088</v>
      </c>
      <c r="J317" s="16">
        <f t="shared" si="197"/>
        <v>484.40070550434109</v>
      </c>
      <c r="K317" s="15">
        <f t="shared" si="198"/>
        <v>22.170849845882874</v>
      </c>
      <c r="L317" s="75">
        <f>K317*(1-PARAM!$C$27)*$I$5+(MOD($B317,60)=PARAM!$B$56)*($B317&gt;(60-PARAM!$B$56))*HLOOKUP(($B317+PARAM!$B$56)/12,Loyalty,2)*$F$1*MAX(N316,0)</f>
        <v>18.557001321003963</v>
      </c>
      <c r="M317" s="75">
        <f>PARAM!$C$26+MAX($G$5-CHOOSE(PARAM!$B$44,MAX(0,N316*$F$1),0),0)*RATES!$L293/12+$H$5*(PARAM!$D$51/12)*RATES!$N293/100</f>
        <v>26.067692857874775</v>
      </c>
      <c r="N317" s="16">
        <f t="shared" si="199"/>
        <v>518.45519995093753</v>
      </c>
      <c r="O317" s="15">
        <f t="shared" si="200"/>
        <v>22.170849845882874</v>
      </c>
      <c r="P317" s="75">
        <f>O317*(1-PARAM!$C$27)*$I$6+(MOD($B317,60)=PARAM!$B$56)*($B317&gt;(60-PARAM!$B$56))*HLOOKUP(($B317+PARAM!$B$56)/12,Loyalty,2)*$F$1*MAX(R316,0)</f>
        <v>18.557001321003963</v>
      </c>
      <c r="Q317" s="75">
        <f>PARAM!$C$26+MAX($G$6-CHOOSE(PARAM!$B$44,MAX(0,R316*$F$1),0),0)*RATES!$L293/12+$H$6*(PARAM!$D$51/12)*RATES!$N293/100</f>
        <v>26.067692857874775</v>
      </c>
      <c r="R317" s="16">
        <f t="shared" si="201"/>
        <v>518.45519995093753</v>
      </c>
      <c r="S317" s="15">
        <f t="shared" si="176"/>
        <v>22.170849845882874</v>
      </c>
      <c r="T317" s="75">
        <f>S317*(1-PARAM!$C$27)*$I$7+(MOD($B317,60)=PARAM!$B$56)*($B317&gt;(60-PARAM!$B$56))*HLOOKUP(($B317+PARAM!$B$56)/12,Loyalty,2)*$F$1*MAX(V316,0)</f>
        <v>18.557001321003963</v>
      </c>
      <c r="U317" s="75">
        <f>PARAM!$C$26+MAX($G$7-CHOOSE(PARAM!$B$44,MAX(0,V316*$F$1),0),0)*RATES!$L293/12+$H$7*(PARAM!$D$51/12)*RATES!$N293/100</f>
        <v>26.067692857874775</v>
      </c>
      <c r="V317" s="16">
        <f t="shared" si="202"/>
        <v>518.45519995093753</v>
      </c>
      <c r="W317" s="15">
        <f t="shared" si="177"/>
        <v>22.170849845882874</v>
      </c>
      <c r="X317" s="75">
        <f>W317*(1-PARAM!$C$27)*$I$8+(MOD($B317,60)=PARAM!$B$56)*($B317&gt;(60-PARAM!$B$56))*HLOOKUP(($B317+PARAM!$B$56)/12,Loyalty,2)*$F$1*MAX(Z316,0)</f>
        <v>18.557001321003963</v>
      </c>
      <c r="Y317" s="75">
        <f>PARAM!$C$26+MAX($G$8-CHOOSE(PARAM!$B$44,MAX(0,Z316*$F$1),0),0)*RATES!$L293/12+$H$8*(PARAM!$D$51/12)*RATES!$N293/100</f>
        <v>26.067692857874775</v>
      </c>
      <c r="Z317" s="16">
        <f t="shared" si="203"/>
        <v>518.45519995093753</v>
      </c>
      <c r="AA317" s="15">
        <f t="shared" si="178"/>
        <v>22.170849845882874</v>
      </c>
      <c r="AB317" s="75">
        <f>AA317*(1-PARAM!$C$27)*$I$9+(MOD($B317,60)=PARAM!$B$56)*($B317&gt;(60-PARAM!$B$56))*HLOOKUP(($B317+PARAM!$B$56)/12,Loyalty,2)*$F$1*MAX(AD316,0)</f>
        <v>18.557001321003963</v>
      </c>
      <c r="AC317" s="75">
        <f>PARAM!$C$26+MAX($G$9-CHOOSE(PARAM!$B$44,MAX(0,AD316*$F$1),0),0)*RATES!$L293/12+$H$9*(PARAM!$D$51/12)*RATES!$N293/100</f>
        <v>26.067692857874775</v>
      </c>
      <c r="AD317" s="16">
        <f t="shared" si="204"/>
        <v>518.45519995093753</v>
      </c>
      <c r="AE317" s="15">
        <f t="shared" si="179"/>
        <v>22.170849845882874</v>
      </c>
      <c r="AF317" s="75">
        <f>AE317*(1-PARAM!$C$27)*$I$10+(MOD($B317,60)=PARAM!$B$56)*($B317&gt;(60-PARAM!$B$56))*HLOOKUP(($B317+PARAM!$B$56)/12,Loyalty,2)*$F$1*MAX(AH316,0)</f>
        <v>18.557001321003963</v>
      </c>
      <c r="AG317" s="75">
        <f>PARAM!$C$26+MAX($G$10-CHOOSE(PARAM!$B$44,MAX(0,AH316*$F$1),0),0)*RATES!$L293/12+$H$10*(PARAM!$D$51/12)*RATES!$N293/100</f>
        <v>26.067692857874775</v>
      </c>
      <c r="AH317" s="16">
        <f t="shared" si="205"/>
        <v>518.45519995093753</v>
      </c>
      <c r="AI317" s="15">
        <f t="shared" si="180"/>
        <v>22.170849845882874</v>
      </c>
      <c r="AJ317" s="75">
        <f>AI317*(1-PARAM!$C$27)*$I$11+(MOD($B317,60)=PARAM!$B$56)*($B317&gt;(60-PARAM!$B$56))*HLOOKUP(($B317+PARAM!$B$56)/12,Loyalty,2)*$F$1*MAX(AL316,0)</f>
        <v>18.557001321003963</v>
      </c>
      <c r="AK317" s="75">
        <f>PARAM!$C$26+MAX($G$11-CHOOSE(PARAM!$B$44,MAX(0,AL316*$F$1),0),0)*RATES!$L293/12+$H$11*(PARAM!$D$51/12)*RATES!$N293/100</f>
        <v>26.067692857874775</v>
      </c>
      <c r="AL317" s="16">
        <f t="shared" si="206"/>
        <v>518.45519995093753</v>
      </c>
      <c r="AM317" s="15">
        <f t="shared" si="181"/>
        <v>22.170849845882874</v>
      </c>
      <c r="AN317" s="75">
        <f>AM317*(1-PARAM!$C$27)*$I$12+(MOD($B317,60)=PARAM!$B$56)*($B317&gt;(60-PARAM!$B$56))*HLOOKUP(($B317+PARAM!$B$56)/12,Loyalty,2)*$F$1*MAX(AP316,0)</f>
        <v>18.557001321003963</v>
      </c>
      <c r="AO317" s="75">
        <f>PARAM!$C$26+MAX($G$12-CHOOSE(PARAM!$B$44,MAX(0,AP316*$F$1),0),0)*RATES!$L293/12+$H$12*(PARAM!$D$51/12)*RATES!$N293/100</f>
        <v>26.067692857874775</v>
      </c>
      <c r="AP317" s="16">
        <f t="shared" si="207"/>
        <v>518.45519995093753</v>
      </c>
      <c r="AQ317" s="15">
        <f t="shared" si="182"/>
        <v>22.170849845882874</v>
      </c>
      <c r="AR317" s="75">
        <f>AQ317*(1-PARAM!$C$27)*$I$13+(MOD($B317,60)=PARAM!$B$56)*($B317&gt;(60-PARAM!$B$56))*HLOOKUP(($B317+PARAM!$B$56)/12,Loyalty,2)*$F$1*MAX(AT316,0)</f>
        <v>18.557001321003963</v>
      </c>
      <c r="AS317" s="75">
        <f>PARAM!$C$26+MAX($G$13-CHOOSE(PARAM!$B$44,MAX(0,AT316*$F$1),0),0)*RATES!$L293/12+$H$13*(PARAM!$D$51/12)*RATES!$N293/100</f>
        <v>26.067692857874775</v>
      </c>
      <c r="AT317" s="16">
        <f t="shared" si="208"/>
        <v>518.45519995093753</v>
      </c>
      <c r="AU317" s="15">
        <f t="shared" si="183"/>
        <v>22.170849845882874</v>
      </c>
      <c r="AV317" s="75">
        <f>AU317*(1-PARAM!$C$27)*$I$14+(MOD($B317,60)=PARAM!$B$56)*($B317&gt;(60-PARAM!$B$56))*HLOOKUP(($B317+PARAM!$B$56)/12,Loyalty,2)*$F$1*MAX(AX316,0)</f>
        <v>18.557001321003963</v>
      </c>
      <c r="AW317" s="75">
        <f>PARAM!$C$26+MAX($G$14-CHOOSE(PARAM!$B$44,MAX(0,AX316*$F$1),0),0)*RATES!$L293/12+$H$14*(PARAM!$D$51/12)*RATES!$N293/100</f>
        <v>26.067692857874775</v>
      </c>
      <c r="AX317" s="16">
        <f t="shared" si="209"/>
        <v>518.45519995093753</v>
      </c>
      <c r="AY317" s="15">
        <f t="shared" si="184"/>
        <v>22.170849845882874</v>
      </c>
      <c r="AZ317" s="75">
        <f>AY317*(1-PARAM!$C$27)*$I$15+(MOD($B317,60)=PARAM!$B$56)*($B317&gt;(60-PARAM!$B$56))*HLOOKUP(($B317+PARAM!$B$56)/12,Loyalty,2)*$F$1*MAX(BB316,0)</f>
        <v>18.557001321003963</v>
      </c>
      <c r="BA317" s="75">
        <f>PARAM!$C$26+MAX($G$15-CHOOSE(PARAM!$B$44,MAX(0,BB316*$F$1),0),0)*RATES!$L293/12+$H$15*(PARAM!$D$51/12)*RATES!$N293/100</f>
        <v>26.067692857874775</v>
      </c>
      <c r="BB317" s="16">
        <f t="shared" si="210"/>
        <v>518.45519995093753</v>
      </c>
      <c r="BC317" s="15">
        <f t="shared" si="185"/>
        <v>22.170849845882874</v>
      </c>
      <c r="BD317" s="75">
        <f>BC317*(1-PARAM!$C$27)*$I$16+(MOD($B317,60)=PARAM!$B$56)*($B317&gt;(60-PARAM!$B$56))*HLOOKUP(($B317+PARAM!$B$56)/12,Loyalty,2)*$F$1*MAX(BF316,0)</f>
        <v>18.557001321003963</v>
      </c>
      <c r="BE317" s="75">
        <f>PARAM!$C$26+MAX($G$16-CHOOSE(PARAM!$B$44,MAX(0,BF316*$F$1),0),0)*RATES!$L293/12+$H$16*(PARAM!$D$51/12)*RATES!$N293/100</f>
        <v>26.067692857874775</v>
      </c>
      <c r="BF317" s="16">
        <f t="shared" si="211"/>
        <v>518.45519995093753</v>
      </c>
      <c r="BG317" s="15">
        <f t="shared" si="186"/>
        <v>22.170849845882874</v>
      </c>
      <c r="BH317" s="75">
        <f>BG317*(1-PARAM!$C$27)*$I$17+(MOD($B317,60)=PARAM!$B$56)*($B317&gt;(60-PARAM!$B$56))*HLOOKUP(($B317+PARAM!$B$56)/12,Loyalty,2)*$F$1*MAX(BJ316,0)</f>
        <v>18.557001321003963</v>
      </c>
      <c r="BI317" s="75">
        <f>PARAM!$C$26+MAX($G$17-CHOOSE(PARAM!$B$44,MAX(0,BJ316*$F$1),0),0)*RATES!$L293/12+$H$17*(PARAM!$D$51/12)*RATES!$N293/100</f>
        <v>26.067692857874775</v>
      </c>
      <c r="BJ317" s="16">
        <f t="shared" si="212"/>
        <v>518.45519995093753</v>
      </c>
      <c r="BK317" s="15">
        <f t="shared" si="187"/>
        <v>22.170849845882874</v>
      </c>
      <c r="BL317" s="75">
        <f>BK317*(1-PARAM!$C$27)*$I$18+(MOD($B317,60)=PARAM!$B$56)*($B317&gt;(60-PARAM!$B$56))*HLOOKUP(($B317+PARAM!$B$56)/12,Loyalty,2)*$F$1*MAX(BN316,0)</f>
        <v>18.557001321003963</v>
      </c>
      <c r="BM317" s="75">
        <f>PARAM!$C$26+MAX($G$18-CHOOSE(PARAM!$B$44,MAX(0,BN316*$F$1),0),0)*RATES!$L293/12+$H$18*(PARAM!$D$51/12)*RATES!$N293/100</f>
        <v>26.067692857874775</v>
      </c>
      <c r="BN317" s="16">
        <f t="shared" si="213"/>
        <v>518.45519995093753</v>
      </c>
      <c r="BO317" s="15">
        <f t="shared" si="188"/>
        <v>22.170849845882874</v>
      </c>
      <c r="BP317" s="75">
        <f>BO317*(1-PARAM!$C$27)*$I$19+(MOD($B317,60)=PARAM!$B$56)*($B317&gt;(60-PARAM!$B$56))*HLOOKUP(($B317+PARAM!$B$56)/12,Loyalty,2)*$F$1*MAX(BR316,0)</f>
        <v>18.557001321003963</v>
      </c>
      <c r="BQ317" s="75">
        <f>PARAM!$C$26+MAX($G$19-CHOOSE(PARAM!$B$44,MAX(0,BR316*$F$1),0),0)*RATES!$L293/12+$H$19*(PARAM!$D$51/12)*RATES!$N293/100</f>
        <v>26.067692857874775</v>
      </c>
      <c r="BR317" s="16">
        <f t="shared" si="214"/>
        <v>518.45519995093753</v>
      </c>
      <c r="BS317" s="15">
        <f t="shared" si="189"/>
        <v>22.170849845882874</v>
      </c>
      <c r="BT317" s="75">
        <f>BS317*(1-PARAM!$C$27)*$I$20+(MOD($B317,60)=PARAM!$B$56)*($B317&gt;(60-PARAM!$B$56))*HLOOKUP(($B317+PARAM!$B$56)/12,Loyalty,2)*$F$1*MAX(BV316,0)</f>
        <v>18.557001321003963</v>
      </c>
      <c r="BU317" s="75">
        <f>PARAM!$C$26+MAX($G$20-CHOOSE(PARAM!$B$44,MAX(0,BV316*$F$1),0),0)*RATES!$L293/12+$H$20*(PARAM!$D$51/12)*RATES!$N293/100</f>
        <v>26.067692857874775</v>
      </c>
      <c r="BV317" s="16">
        <f t="shared" si="215"/>
        <v>518.45519995093753</v>
      </c>
      <c r="BW317" s="15">
        <f t="shared" si="190"/>
        <v>22.170849845882874</v>
      </c>
      <c r="BX317" s="75">
        <f>BW317*(1-PARAM!$C$27)*$I$21+(MOD($B317,60)=PARAM!$B$56)*($B317&gt;(60-PARAM!$B$56))*HLOOKUP(($B317+PARAM!$B$56)/12,Loyalty,2)*$F$1*MAX(BZ316,0)</f>
        <v>18.557001321003963</v>
      </c>
      <c r="BY317" s="75">
        <f>PARAM!$C$26+MAX($G$21-CHOOSE(PARAM!$B$44,MAX(0,BZ316*$F$1),0),0)*RATES!$L293/12+$H$21*(PARAM!$D$51/12)*RATES!$N293/100</f>
        <v>26.067692857874775</v>
      </c>
      <c r="BZ317" s="16">
        <f t="shared" si="216"/>
        <v>518.45519995093753</v>
      </c>
      <c r="CA317" s="15">
        <f t="shared" si="191"/>
        <v>22.170849845882874</v>
      </c>
      <c r="CB317" s="75">
        <f>CA317*(1-PARAM!$C$27)*$I$22+(MOD($B317,60)=PARAM!$B$56)*($B317&gt;(60-PARAM!$B$56))*HLOOKUP(($B317+PARAM!$B$56)/12,Loyalty,2)*$F$1*MAX(CD316,0)</f>
        <v>18.557001321003963</v>
      </c>
      <c r="CC317" s="75">
        <f>PARAM!$C$26+MAX($G$22-CHOOSE(PARAM!$B$44,MAX(0,CD316*$F$1),0),0)*RATES!$L293/12+$H$22*(PARAM!$D$51/12)*RATES!$N293/100</f>
        <v>26.067692857874775</v>
      </c>
      <c r="CD317" s="16">
        <f t="shared" si="217"/>
        <v>518.45519995093753</v>
      </c>
      <c r="CE317" s="33">
        <f>IF(0=MOD(B317,12/PARAM!$D$51),1,0)</f>
        <v>1</v>
      </c>
      <c r="CF317" s="15">
        <f t="shared" si="192"/>
        <v>0</v>
      </c>
      <c r="CG317" s="75">
        <f>CF317*(1-PARAM!$C$27)*$R$3+(MOD($B317/12,5)=0)*($B317&gt;60)*HLOOKUP($B317/12,Loyalty,2)*$F$1*MAX(CI316,0)</f>
        <v>0</v>
      </c>
      <c r="CH317" s="75">
        <f>PARAM!$C$26+MAX($P$3-CHOOSE(PARAM!$B$44,MAX(0,CI316*$F$1),0),0)*RATES!$L293/12+$Q$3*(PARAM!$D$51/12)*RATES!$N293/100</f>
        <v>26.291666666666668</v>
      </c>
      <c r="CI317" s="16">
        <f>IF(CI316&gt;0,CI316*PARAM!$C$53,CI316)+CG317-CH317</f>
        <v>-4724.1249999999955</v>
      </c>
      <c r="CJ317" s="15">
        <f t="shared" si="218"/>
        <v>0</v>
      </c>
      <c r="CK317" s="75">
        <f>CJ317*(1-PARAM!$C$27)*$R$4+(MOD($B317/12,5)=0)*($B317&gt;60)*HLOOKUP($B317/12,Loyalty,2)*$F$1*MAX(CM316,0)</f>
        <v>0</v>
      </c>
      <c r="CL317" s="75">
        <f>PARAM!$C$26+MAX($P$4-CHOOSE(PARAM!$B$44,MAX(0,CM316*$F$1),0),0)*RATES!$L293/12+$Q$4*(PARAM!$D$51/12)*RATES!$N293/100</f>
        <v>26.291666666666668</v>
      </c>
      <c r="CM317" s="16">
        <f>IF(CM316&gt;0,CM316*PARAM!$C$53,CM316)+CK317-CL317</f>
        <v>-4724.1249999999955</v>
      </c>
      <c r="CO317" s="176"/>
    </row>
    <row r="318" spans="1:93" x14ac:dyDescent="0.2">
      <c r="A318" t="b">
        <f t="shared" si="193"/>
        <v>0</v>
      </c>
      <c r="B318" s="33">
        <v>291</v>
      </c>
      <c r="C318" s="15">
        <f t="shared" si="194"/>
        <v>20.081305947392778</v>
      </c>
      <c r="D318" s="75">
        <f>C318*(1-PARAM!$C$27)*$I$3+(MOD($B318,60)=PARAM!$B$56)*($B318&gt;(60-PARAM!$B$56))*HLOOKUP(($B318+PARAM!$B$56)/12,Loyalty,2)*$F$1*MAX(F317,0)</f>
        <v>16.808053077967756</v>
      </c>
      <c r="E318" s="75">
        <f>PARAM!$C$26+MAX($G$3-CHOOSE(PARAM!$B$44,MAX(0,F317*$F$1),0),0)*RATES!$L294/12+$H$3*(PARAM!$D$51/12)*RATES!$N294/100</f>
        <v>26.291666666666668</v>
      </c>
      <c r="F318" s="16">
        <f t="shared" si="195"/>
        <v>-15.698412381784394</v>
      </c>
      <c r="G318" s="15">
        <f t="shared" si="196"/>
        <v>22.035289406060361</v>
      </c>
      <c r="H318" s="75">
        <f>G318*(1-PARAM!$C$27)*$I$4+(MOD($B318,60)=PARAM!$B$56)*($B318&gt;(60-PARAM!$B$56))*HLOOKUP(($B318+PARAM!$B$56)/12,Loyalty,2)*$F$1*MAX(J317,0)</f>
        <v>18.443537232872522</v>
      </c>
      <c r="I318" s="75">
        <f>PARAM!$C$26+MAX($G$4-CHOOSE(PARAM!$B$44,MAX(0,J317*$F$1),0),0)*RATES!$L294/12+$H$4*(PARAM!$D$51/12)*RATES!$N294/100</f>
        <v>26.085392699572733</v>
      </c>
      <c r="J318" s="16">
        <f t="shared" si="197"/>
        <v>476.75885003764091</v>
      </c>
      <c r="K318" s="15">
        <f t="shared" si="198"/>
        <v>22.170849845882874</v>
      </c>
      <c r="L318" s="75">
        <f>K318*(1-PARAM!$C$27)*$I$5+(MOD($B318,60)=PARAM!$B$56)*($B318&gt;(60-PARAM!$B$56))*HLOOKUP(($B318+PARAM!$B$56)/12,Loyalty,2)*$F$1*MAX(N317,0)</f>
        <v>18.557001321003963</v>
      </c>
      <c r="M318" s="75">
        <f>PARAM!$C$26+MAX($G$5-CHOOSE(PARAM!$B$44,MAX(0,N317*$F$1),0),0)*RATES!$L294/12+$H$5*(PARAM!$D$51/12)*RATES!$N294/100</f>
        <v>26.070891160687562</v>
      </c>
      <c r="N318" s="16">
        <f t="shared" si="199"/>
        <v>510.94131011125398</v>
      </c>
      <c r="O318" s="15">
        <f t="shared" si="200"/>
        <v>22.170849845882874</v>
      </c>
      <c r="P318" s="75">
        <f>O318*(1-PARAM!$C$27)*$I$6+(MOD($B318,60)=PARAM!$B$56)*($B318&gt;(60-PARAM!$B$56))*HLOOKUP(($B318+PARAM!$B$56)/12,Loyalty,2)*$F$1*MAX(R317,0)</f>
        <v>18.557001321003963</v>
      </c>
      <c r="Q318" s="75">
        <f>PARAM!$C$26+MAX($G$6-CHOOSE(PARAM!$B$44,MAX(0,R317*$F$1),0),0)*RATES!$L294/12+$H$6*(PARAM!$D$51/12)*RATES!$N294/100</f>
        <v>26.070891160687562</v>
      </c>
      <c r="R318" s="16">
        <f t="shared" si="201"/>
        <v>510.94131011125398</v>
      </c>
      <c r="S318" s="15">
        <f t="shared" si="176"/>
        <v>22.170849845882874</v>
      </c>
      <c r="T318" s="75">
        <f>S318*(1-PARAM!$C$27)*$I$7+(MOD($B318,60)=PARAM!$B$56)*($B318&gt;(60-PARAM!$B$56))*HLOOKUP(($B318+PARAM!$B$56)/12,Loyalty,2)*$F$1*MAX(V317,0)</f>
        <v>18.557001321003963</v>
      </c>
      <c r="U318" s="75">
        <f>PARAM!$C$26+MAX($G$7-CHOOSE(PARAM!$B$44,MAX(0,V317*$F$1),0),0)*RATES!$L294/12+$H$7*(PARAM!$D$51/12)*RATES!$N294/100</f>
        <v>26.070891160687562</v>
      </c>
      <c r="V318" s="16">
        <f t="shared" si="202"/>
        <v>510.94131011125398</v>
      </c>
      <c r="W318" s="15">
        <f t="shared" si="177"/>
        <v>22.170849845882874</v>
      </c>
      <c r="X318" s="75">
        <f>W318*(1-PARAM!$C$27)*$I$8+(MOD($B318,60)=PARAM!$B$56)*($B318&gt;(60-PARAM!$B$56))*HLOOKUP(($B318+PARAM!$B$56)/12,Loyalty,2)*$F$1*MAX(Z317,0)</f>
        <v>18.557001321003963</v>
      </c>
      <c r="Y318" s="75">
        <f>PARAM!$C$26+MAX($G$8-CHOOSE(PARAM!$B$44,MAX(0,Z317*$F$1),0),0)*RATES!$L294/12+$H$8*(PARAM!$D$51/12)*RATES!$N294/100</f>
        <v>26.070891160687562</v>
      </c>
      <c r="Z318" s="16">
        <f t="shared" si="203"/>
        <v>510.94131011125398</v>
      </c>
      <c r="AA318" s="15">
        <f t="shared" si="178"/>
        <v>22.170849845882874</v>
      </c>
      <c r="AB318" s="75">
        <f>AA318*(1-PARAM!$C$27)*$I$9+(MOD($B318,60)=PARAM!$B$56)*($B318&gt;(60-PARAM!$B$56))*HLOOKUP(($B318+PARAM!$B$56)/12,Loyalty,2)*$F$1*MAX(AD317,0)</f>
        <v>18.557001321003963</v>
      </c>
      <c r="AC318" s="75">
        <f>PARAM!$C$26+MAX($G$9-CHOOSE(PARAM!$B$44,MAX(0,AD317*$F$1),0),0)*RATES!$L294/12+$H$9*(PARAM!$D$51/12)*RATES!$N294/100</f>
        <v>26.070891160687562</v>
      </c>
      <c r="AD318" s="16">
        <f t="shared" si="204"/>
        <v>510.94131011125398</v>
      </c>
      <c r="AE318" s="15">
        <f t="shared" si="179"/>
        <v>22.170849845882874</v>
      </c>
      <c r="AF318" s="75">
        <f>AE318*(1-PARAM!$C$27)*$I$10+(MOD($B318,60)=PARAM!$B$56)*($B318&gt;(60-PARAM!$B$56))*HLOOKUP(($B318+PARAM!$B$56)/12,Loyalty,2)*$F$1*MAX(AH317,0)</f>
        <v>18.557001321003963</v>
      </c>
      <c r="AG318" s="75">
        <f>PARAM!$C$26+MAX($G$10-CHOOSE(PARAM!$B$44,MAX(0,AH317*$F$1),0),0)*RATES!$L294/12+$H$10*(PARAM!$D$51/12)*RATES!$N294/100</f>
        <v>26.070891160687562</v>
      </c>
      <c r="AH318" s="16">
        <f t="shared" si="205"/>
        <v>510.94131011125398</v>
      </c>
      <c r="AI318" s="15">
        <f t="shared" si="180"/>
        <v>22.170849845882874</v>
      </c>
      <c r="AJ318" s="75">
        <f>AI318*(1-PARAM!$C$27)*$I$11+(MOD($B318,60)=PARAM!$B$56)*($B318&gt;(60-PARAM!$B$56))*HLOOKUP(($B318+PARAM!$B$56)/12,Loyalty,2)*$F$1*MAX(AL317,0)</f>
        <v>18.557001321003963</v>
      </c>
      <c r="AK318" s="75">
        <f>PARAM!$C$26+MAX($G$11-CHOOSE(PARAM!$B$44,MAX(0,AL317*$F$1),0),0)*RATES!$L294/12+$H$11*(PARAM!$D$51/12)*RATES!$N294/100</f>
        <v>26.070891160687562</v>
      </c>
      <c r="AL318" s="16">
        <f t="shared" si="206"/>
        <v>510.94131011125398</v>
      </c>
      <c r="AM318" s="15">
        <f t="shared" si="181"/>
        <v>22.170849845882874</v>
      </c>
      <c r="AN318" s="75">
        <f>AM318*(1-PARAM!$C$27)*$I$12+(MOD($B318,60)=PARAM!$B$56)*($B318&gt;(60-PARAM!$B$56))*HLOOKUP(($B318+PARAM!$B$56)/12,Loyalty,2)*$F$1*MAX(AP317,0)</f>
        <v>18.557001321003963</v>
      </c>
      <c r="AO318" s="75">
        <f>PARAM!$C$26+MAX($G$12-CHOOSE(PARAM!$B$44,MAX(0,AP317*$F$1),0),0)*RATES!$L294/12+$H$12*(PARAM!$D$51/12)*RATES!$N294/100</f>
        <v>26.070891160687562</v>
      </c>
      <c r="AP318" s="16">
        <f t="shared" si="207"/>
        <v>510.94131011125398</v>
      </c>
      <c r="AQ318" s="15">
        <f t="shared" si="182"/>
        <v>22.170849845882874</v>
      </c>
      <c r="AR318" s="75">
        <f>AQ318*(1-PARAM!$C$27)*$I$13+(MOD($B318,60)=PARAM!$B$56)*($B318&gt;(60-PARAM!$B$56))*HLOOKUP(($B318+PARAM!$B$56)/12,Loyalty,2)*$F$1*MAX(AT317,0)</f>
        <v>18.557001321003963</v>
      </c>
      <c r="AS318" s="75">
        <f>PARAM!$C$26+MAX($G$13-CHOOSE(PARAM!$B$44,MAX(0,AT317*$F$1),0),0)*RATES!$L294/12+$H$13*(PARAM!$D$51/12)*RATES!$N294/100</f>
        <v>26.070891160687562</v>
      </c>
      <c r="AT318" s="16">
        <f t="shared" si="208"/>
        <v>510.94131011125398</v>
      </c>
      <c r="AU318" s="15">
        <f t="shared" si="183"/>
        <v>22.170849845882874</v>
      </c>
      <c r="AV318" s="75">
        <f>AU318*(1-PARAM!$C$27)*$I$14+(MOD($B318,60)=PARAM!$B$56)*($B318&gt;(60-PARAM!$B$56))*HLOOKUP(($B318+PARAM!$B$56)/12,Loyalty,2)*$F$1*MAX(AX317,0)</f>
        <v>18.557001321003963</v>
      </c>
      <c r="AW318" s="75">
        <f>PARAM!$C$26+MAX($G$14-CHOOSE(PARAM!$B$44,MAX(0,AX317*$F$1),0),0)*RATES!$L294/12+$H$14*(PARAM!$D$51/12)*RATES!$N294/100</f>
        <v>26.070891160687562</v>
      </c>
      <c r="AX318" s="16">
        <f t="shared" si="209"/>
        <v>510.94131011125398</v>
      </c>
      <c r="AY318" s="15">
        <f t="shared" si="184"/>
        <v>22.170849845882874</v>
      </c>
      <c r="AZ318" s="75">
        <f>AY318*(1-PARAM!$C$27)*$I$15+(MOD($B318,60)=PARAM!$B$56)*($B318&gt;(60-PARAM!$B$56))*HLOOKUP(($B318+PARAM!$B$56)/12,Loyalty,2)*$F$1*MAX(BB317,0)</f>
        <v>18.557001321003963</v>
      </c>
      <c r="BA318" s="75">
        <f>PARAM!$C$26+MAX($G$15-CHOOSE(PARAM!$B$44,MAX(0,BB317*$F$1),0),0)*RATES!$L294/12+$H$15*(PARAM!$D$51/12)*RATES!$N294/100</f>
        <v>26.070891160687562</v>
      </c>
      <c r="BB318" s="16">
        <f t="shared" si="210"/>
        <v>510.94131011125398</v>
      </c>
      <c r="BC318" s="15">
        <f t="shared" si="185"/>
        <v>22.170849845882874</v>
      </c>
      <c r="BD318" s="75">
        <f>BC318*(1-PARAM!$C$27)*$I$16+(MOD($B318,60)=PARAM!$B$56)*($B318&gt;(60-PARAM!$B$56))*HLOOKUP(($B318+PARAM!$B$56)/12,Loyalty,2)*$F$1*MAX(BF317,0)</f>
        <v>18.557001321003963</v>
      </c>
      <c r="BE318" s="75">
        <f>PARAM!$C$26+MAX($G$16-CHOOSE(PARAM!$B$44,MAX(0,BF317*$F$1),0),0)*RATES!$L294/12+$H$16*(PARAM!$D$51/12)*RATES!$N294/100</f>
        <v>26.070891160687562</v>
      </c>
      <c r="BF318" s="16">
        <f t="shared" si="211"/>
        <v>510.94131011125398</v>
      </c>
      <c r="BG318" s="15">
        <f t="shared" si="186"/>
        <v>22.170849845882874</v>
      </c>
      <c r="BH318" s="75">
        <f>BG318*(1-PARAM!$C$27)*$I$17+(MOD($B318,60)=PARAM!$B$56)*($B318&gt;(60-PARAM!$B$56))*HLOOKUP(($B318+PARAM!$B$56)/12,Loyalty,2)*$F$1*MAX(BJ317,0)</f>
        <v>18.557001321003963</v>
      </c>
      <c r="BI318" s="75">
        <f>PARAM!$C$26+MAX($G$17-CHOOSE(PARAM!$B$44,MAX(0,BJ317*$F$1),0),0)*RATES!$L294/12+$H$17*(PARAM!$D$51/12)*RATES!$N294/100</f>
        <v>26.070891160687562</v>
      </c>
      <c r="BJ318" s="16">
        <f t="shared" si="212"/>
        <v>510.94131011125398</v>
      </c>
      <c r="BK318" s="15">
        <f t="shared" si="187"/>
        <v>22.170849845882874</v>
      </c>
      <c r="BL318" s="75">
        <f>BK318*(1-PARAM!$C$27)*$I$18+(MOD($B318,60)=PARAM!$B$56)*($B318&gt;(60-PARAM!$B$56))*HLOOKUP(($B318+PARAM!$B$56)/12,Loyalty,2)*$F$1*MAX(BN317,0)</f>
        <v>18.557001321003963</v>
      </c>
      <c r="BM318" s="75">
        <f>PARAM!$C$26+MAX($G$18-CHOOSE(PARAM!$B$44,MAX(0,BN317*$F$1),0),0)*RATES!$L294/12+$H$18*(PARAM!$D$51/12)*RATES!$N294/100</f>
        <v>26.070891160687562</v>
      </c>
      <c r="BN318" s="16">
        <f t="shared" si="213"/>
        <v>510.94131011125398</v>
      </c>
      <c r="BO318" s="15">
        <f t="shared" si="188"/>
        <v>22.170849845882874</v>
      </c>
      <c r="BP318" s="75">
        <f>BO318*(1-PARAM!$C$27)*$I$19+(MOD($B318,60)=PARAM!$B$56)*($B318&gt;(60-PARAM!$B$56))*HLOOKUP(($B318+PARAM!$B$56)/12,Loyalty,2)*$F$1*MAX(BR317,0)</f>
        <v>18.557001321003963</v>
      </c>
      <c r="BQ318" s="75">
        <f>PARAM!$C$26+MAX($G$19-CHOOSE(PARAM!$B$44,MAX(0,BR317*$F$1),0),0)*RATES!$L294/12+$H$19*(PARAM!$D$51/12)*RATES!$N294/100</f>
        <v>26.070891160687562</v>
      </c>
      <c r="BR318" s="16">
        <f t="shared" si="214"/>
        <v>510.94131011125398</v>
      </c>
      <c r="BS318" s="15">
        <f t="shared" si="189"/>
        <v>22.170849845882874</v>
      </c>
      <c r="BT318" s="75">
        <f>BS318*(1-PARAM!$C$27)*$I$20+(MOD($B318,60)=PARAM!$B$56)*($B318&gt;(60-PARAM!$B$56))*HLOOKUP(($B318+PARAM!$B$56)/12,Loyalty,2)*$F$1*MAX(BV317,0)</f>
        <v>18.557001321003963</v>
      </c>
      <c r="BU318" s="75">
        <f>PARAM!$C$26+MAX($G$20-CHOOSE(PARAM!$B$44,MAX(0,BV317*$F$1),0),0)*RATES!$L294/12+$H$20*(PARAM!$D$51/12)*RATES!$N294/100</f>
        <v>26.070891160687562</v>
      </c>
      <c r="BV318" s="16">
        <f t="shared" si="215"/>
        <v>510.94131011125398</v>
      </c>
      <c r="BW318" s="15">
        <f t="shared" si="190"/>
        <v>22.170849845882874</v>
      </c>
      <c r="BX318" s="75">
        <f>BW318*(1-PARAM!$C$27)*$I$21+(MOD($B318,60)=PARAM!$B$56)*($B318&gt;(60-PARAM!$B$56))*HLOOKUP(($B318+PARAM!$B$56)/12,Loyalty,2)*$F$1*MAX(BZ317,0)</f>
        <v>18.557001321003963</v>
      </c>
      <c r="BY318" s="75">
        <f>PARAM!$C$26+MAX($G$21-CHOOSE(PARAM!$B$44,MAX(0,BZ317*$F$1),0),0)*RATES!$L294/12+$H$21*(PARAM!$D$51/12)*RATES!$N294/100</f>
        <v>26.070891160687562</v>
      </c>
      <c r="BZ318" s="16">
        <f t="shared" si="216"/>
        <v>510.94131011125398</v>
      </c>
      <c r="CA318" s="15">
        <f t="shared" si="191"/>
        <v>22.170849845882874</v>
      </c>
      <c r="CB318" s="75">
        <f>CA318*(1-PARAM!$C$27)*$I$22+(MOD($B318,60)=PARAM!$B$56)*($B318&gt;(60-PARAM!$B$56))*HLOOKUP(($B318+PARAM!$B$56)/12,Loyalty,2)*$F$1*MAX(CD317,0)</f>
        <v>18.557001321003963</v>
      </c>
      <c r="CC318" s="75">
        <f>PARAM!$C$26+MAX($G$22-CHOOSE(PARAM!$B$44,MAX(0,CD317*$F$1),0),0)*RATES!$L294/12+$H$22*(PARAM!$D$51/12)*RATES!$N294/100</f>
        <v>26.070891160687562</v>
      </c>
      <c r="CD318" s="16">
        <f t="shared" si="217"/>
        <v>510.94131011125398</v>
      </c>
      <c r="CE318" s="33">
        <f>IF(0=MOD(B318,12/PARAM!$D$51),1,0)</f>
        <v>1</v>
      </c>
      <c r="CF318" s="15">
        <f t="shared" si="192"/>
        <v>0</v>
      </c>
      <c r="CG318" s="75">
        <f>CF318*(1-PARAM!$C$27)*$R$3+(MOD($B318/12,5)=0)*($B318&gt;60)*HLOOKUP($B318/12,Loyalty,2)*$F$1*MAX(CI317,0)</f>
        <v>0</v>
      </c>
      <c r="CH318" s="75">
        <f>PARAM!$C$26+MAX($P$3-CHOOSE(PARAM!$B$44,MAX(0,CI317*$F$1),0),0)*RATES!$L294/12+$Q$3*(PARAM!$D$51/12)*RATES!$N294/100</f>
        <v>26.291666666666668</v>
      </c>
      <c r="CI318" s="16">
        <f>IF(CI317&gt;0,CI317*PARAM!$C$53,CI317)+CG318-CH318</f>
        <v>-4750.4166666666624</v>
      </c>
      <c r="CJ318" s="15">
        <f t="shared" si="218"/>
        <v>0</v>
      </c>
      <c r="CK318" s="75">
        <f>CJ318*(1-PARAM!$C$27)*$R$4+(MOD($B318/12,5)=0)*($B318&gt;60)*HLOOKUP($B318/12,Loyalty,2)*$F$1*MAX(CM317,0)</f>
        <v>0</v>
      </c>
      <c r="CL318" s="75">
        <f>PARAM!$C$26+MAX($P$4-CHOOSE(PARAM!$B$44,MAX(0,CM317*$F$1),0),0)*RATES!$L294/12+$Q$4*(PARAM!$D$51/12)*RATES!$N294/100</f>
        <v>26.291666666666668</v>
      </c>
      <c r="CM318" s="16">
        <f>IF(CM317&gt;0,CM317*PARAM!$C$53,CM317)+CK318-CL318</f>
        <v>-4750.4166666666624</v>
      </c>
      <c r="CO318" s="176"/>
    </row>
    <row r="319" spans="1:93" x14ac:dyDescent="0.2">
      <c r="A319" t="b">
        <f t="shared" si="193"/>
        <v>0</v>
      </c>
      <c r="B319" s="33">
        <v>292</v>
      </c>
      <c r="C319" s="15">
        <f t="shared" si="194"/>
        <v>20.081305947392778</v>
      </c>
      <c r="D319" s="75">
        <f>C319*(1-PARAM!$C$27)*$I$3+(MOD($B319,60)=PARAM!$B$56)*($B319&gt;(60-PARAM!$B$56))*HLOOKUP(($B319+PARAM!$B$56)/12,Loyalty,2)*$F$1*MAX(F318,0)</f>
        <v>16.808053077967756</v>
      </c>
      <c r="E319" s="75">
        <f>PARAM!$C$26+MAX($G$3-CHOOSE(PARAM!$B$44,MAX(0,F318*$F$1),0),0)*RATES!$L295/12+$H$3*(PARAM!$D$51/12)*RATES!$N295/100</f>
        <v>26.291666666666668</v>
      </c>
      <c r="F319" s="16">
        <f t="shared" si="195"/>
        <v>-25.182025970483306</v>
      </c>
      <c r="G319" s="15">
        <f t="shared" si="196"/>
        <v>22.035289406060361</v>
      </c>
      <c r="H319" s="75">
        <f>G319*(1-PARAM!$C$27)*$I$4+(MOD($B319,60)=PARAM!$B$56)*($B319&gt;(60-PARAM!$B$56))*HLOOKUP(($B319+PARAM!$B$56)/12,Loyalty,2)*$F$1*MAX(J318,0)</f>
        <v>18.443537232872522</v>
      </c>
      <c r="I319" s="75">
        <f>PARAM!$C$26+MAX($G$4-CHOOSE(PARAM!$B$44,MAX(0,J318*$F$1),0),0)*RATES!$L295/12+$H$4*(PARAM!$D$51/12)*RATES!$N295/100</f>
        <v>26.08864685635897</v>
      </c>
      <c r="J319" s="16">
        <f t="shared" si="197"/>
        <v>469.11374041415445</v>
      </c>
      <c r="K319" s="15">
        <f t="shared" si="198"/>
        <v>22.170849845882874</v>
      </c>
      <c r="L319" s="75">
        <f>K319*(1-PARAM!$C$27)*$I$5+(MOD($B319,60)=PARAM!$B$56)*($B319&gt;(60-PARAM!$B$56))*HLOOKUP(($B319+PARAM!$B$56)/12,Loyalty,2)*$F$1*MAX(N318,0)</f>
        <v>18.557001321003963</v>
      </c>
      <c r="M319" s="75">
        <f>PARAM!$C$26+MAX($G$5-CHOOSE(PARAM!$B$44,MAX(0,N318*$F$1),0),0)*RATES!$L295/12+$H$5*(PARAM!$D$51/12)*RATES!$N295/100</f>
        <v>26.074090825444291</v>
      </c>
      <c r="N319" s="16">
        <f t="shared" si="199"/>
        <v>503.42422060681372</v>
      </c>
      <c r="O319" s="15">
        <f t="shared" si="200"/>
        <v>22.170849845882874</v>
      </c>
      <c r="P319" s="75">
        <f>O319*(1-PARAM!$C$27)*$I$6+(MOD($B319,60)=PARAM!$B$56)*($B319&gt;(60-PARAM!$B$56))*HLOOKUP(($B319+PARAM!$B$56)/12,Loyalty,2)*$F$1*MAX(R318,0)</f>
        <v>18.557001321003963</v>
      </c>
      <c r="Q319" s="75">
        <f>PARAM!$C$26+MAX($G$6-CHOOSE(PARAM!$B$44,MAX(0,R318*$F$1),0),0)*RATES!$L295/12+$H$6*(PARAM!$D$51/12)*RATES!$N295/100</f>
        <v>26.074090825444291</v>
      </c>
      <c r="R319" s="16">
        <f t="shared" si="201"/>
        <v>503.42422060681372</v>
      </c>
      <c r="S319" s="15">
        <f t="shared" si="176"/>
        <v>22.170849845882874</v>
      </c>
      <c r="T319" s="75">
        <f>S319*(1-PARAM!$C$27)*$I$7+(MOD($B319,60)=PARAM!$B$56)*($B319&gt;(60-PARAM!$B$56))*HLOOKUP(($B319+PARAM!$B$56)/12,Loyalty,2)*$F$1*MAX(V318,0)</f>
        <v>18.557001321003963</v>
      </c>
      <c r="U319" s="75">
        <f>PARAM!$C$26+MAX($G$7-CHOOSE(PARAM!$B$44,MAX(0,V318*$F$1),0),0)*RATES!$L295/12+$H$7*(PARAM!$D$51/12)*RATES!$N295/100</f>
        <v>26.074090825444291</v>
      </c>
      <c r="V319" s="16">
        <f t="shared" si="202"/>
        <v>503.42422060681372</v>
      </c>
      <c r="W319" s="15">
        <f t="shared" si="177"/>
        <v>22.170849845882874</v>
      </c>
      <c r="X319" s="75">
        <f>W319*(1-PARAM!$C$27)*$I$8+(MOD($B319,60)=PARAM!$B$56)*($B319&gt;(60-PARAM!$B$56))*HLOOKUP(($B319+PARAM!$B$56)/12,Loyalty,2)*$F$1*MAX(Z318,0)</f>
        <v>18.557001321003963</v>
      </c>
      <c r="Y319" s="75">
        <f>PARAM!$C$26+MAX($G$8-CHOOSE(PARAM!$B$44,MAX(0,Z318*$F$1),0),0)*RATES!$L295/12+$H$8*(PARAM!$D$51/12)*RATES!$N295/100</f>
        <v>26.074090825444291</v>
      </c>
      <c r="Z319" s="16">
        <f t="shared" si="203"/>
        <v>503.42422060681372</v>
      </c>
      <c r="AA319" s="15">
        <f t="shared" si="178"/>
        <v>22.170849845882874</v>
      </c>
      <c r="AB319" s="75">
        <f>AA319*(1-PARAM!$C$27)*$I$9+(MOD($B319,60)=PARAM!$B$56)*($B319&gt;(60-PARAM!$B$56))*HLOOKUP(($B319+PARAM!$B$56)/12,Loyalty,2)*$F$1*MAX(AD318,0)</f>
        <v>18.557001321003963</v>
      </c>
      <c r="AC319" s="75">
        <f>PARAM!$C$26+MAX($G$9-CHOOSE(PARAM!$B$44,MAX(0,AD318*$F$1),0),0)*RATES!$L295/12+$H$9*(PARAM!$D$51/12)*RATES!$N295/100</f>
        <v>26.074090825444291</v>
      </c>
      <c r="AD319" s="16">
        <f t="shared" si="204"/>
        <v>503.42422060681372</v>
      </c>
      <c r="AE319" s="15">
        <f t="shared" si="179"/>
        <v>22.170849845882874</v>
      </c>
      <c r="AF319" s="75">
        <f>AE319*(1-PARAM!$C$27)*$I$10+(MOD($B319,60)=PARAM!$B$56)*($B319&gt;(60-PARAM!$B$56))*HLOOKUP(($B319+PARAM!$B$56)/12,Loyalty,2)*$F$1*MAX(AH318,0)</f>
        <v>18.557001321003963</v>
      </c>
      <c r="AG319" s="75">
        <f>PARAM!$C$26+MAX($G$10-CHOOSE(PARAM!$B$44,MAX(0,AH318*$F$1),0),0)*RATES!$L295/12+$H$10*(PARAM!$D$51/12)*RATES!$N295/100</f>
        <v>26.074090825444291</v>
      </c>
      <c r="AH319" s="16">
        <f t="shared" si="205"/>
        <v>503.42422060681372</v>
      </c>
      <c r="AI319" s="15">
        <f t="shared" si="180"/>
        <v>22.170849845882874</v>
      </c>
      <c r="AJ319" s="75">
        <f>AI319*(1-PARAM!$C$27)*$I$11+(MOD($B319,60)=PARAM!$B$56)*($B319&gt;(60-PARAM!$B$56))*HLOOKUP(($B319+PARAM!$B$56)/12,Loyalty,2)*$F$1*MAX(AL318,0)</f>
        <v>18.557001321003963</v>
      </c>
      <c r="AK319" s="75">
        <f>PARAM!$C$26+MAX($G$11-CHOOSE(PARAM!$B$44,MAX(0,AL318*$F$1),0),0)*RATES!$L295/12+$H$11*(PARAM!$D$51/12)*RATES!$N295/100</f>
        <v>26.074090825444291</v>
      </c>
      <c r="AL319" s="16">
        <f t="shared" si="206"/>
        <v>503.42422060681372</v>
      </c>
      <c r="AM319" s="15">
        <f t="shared" si="181"/>
        <v>22.170849845882874</v>
      </c>
      <c r="AN319" s="75">
        <f>AM319*(1-PARAM!$C$27)*$I$12+(MOD($B319,60)=PARAM!$B$56)*($B319&gt;(60-PARAM!$B$56))*HLOOKUP(($B319+PARAM!$B$56)/12,Loyalty,2)*$F$1*MAX(AP318,0)</f>
        <v>18.557001321003963</v>
      </c>
      <c r="AO319" s="75">
        <f>PARAM!$C$26+MAX($G$12-CHOOSE(PARAM!$B$44,MAX(0,AP318*$F$1),0),0)*RATES!$L295/12+$H$12*(PARAM!$D$51/12)*RATES!$N295/100</f>
        <v>26.074090825444291</v>
      </c>
      <c r="AP319" s="16">
        <f t="shared" si="207"/>
        <v>503.42422060681372</v>
      </c>
      <c r="AQ319" s="15">
        <f t="shared" si="182"/>
        <v>22.170849845882874</v>
      </c>
      <c r="AR319" s="75">
        <f>AQ319*(1-PARAM!$C$27)*$I$13+(MOD($B319,60)=PARAM!$B$56)*($B319&gt;(60-PARAM!$B$56))*HLOOKUP(($B319+PARAM!$B$56)/12,Loyalty,2)*$F$1*MAX(AT318,0)</f>
        <v>18.557001321003963</v>
      </c>
      <c r="AS319" s="75">
        <f>PARAM!$C$26+MAX($G$13-CHOOSE(PARAM!$B$44,MAX(0,AT318*$F$1),0),0)*RATES!$L295/12+$H$13*(PARAM!$D$51/12)*RATES!$N295/100</f>
        <v>26.074090825444291</v>
      </c>
      <c r="AT319" s="16">
        <f t="shared" si="208"/>
        <v>503.42422060681372</v>
      </c>
      <c r="AU319" s="15">
        <f t="shared" si="183"/>
        <v>22.170849845882874</v>
      </c>
      <c r="AV319" s="75">
        <f>AU319*(1-PARAM!$C$27)*$I$14+(MOD($B319,60)=PARAM!$B$56)*($B319&gt;(60-PARAM!$B$56))*HLOOKUP(($B319+PARAM!$B$56)/12,Loyalty,2)*$F$1*MAX(AX318,0)</f>
        <v>18.557001321003963</v>
      </c>
      <c r="AW319" s="75">
        <f>PARAM!$C$26+MAX($G$14-CHOOSE(PARAM!$B$44,MAX(0,AX318*$F$1),0),0)*RATES!$L295/12+$H$14*(PARAM!$D$51/12)*RATES!$N295/100</f>
        <v>26.074090825444291</v>
      </c>
      <c r="AX319" s="16">
        <f t="shared" si="209"/>
        <v>503.42422060681372</v>
      </c>
      <c r="AY319" s="15">
        <f t="shared" si="184"/>
        <v>22.170849845882874</v>
      </c>
      <c r="AZ319" s="75">
        <f>AY319*(1-PARAM!$C$27)*$I$15+(MOD($B319,60)=PARAM!$B$56)*($B319&gt;(60-PARAM!$B$56))*HLOOKUP(($B319+PARAM!$B$56)/12,Loyalty,2)*$F$1*MAX(BB318,0)</f>
        <v>18.557001321003963</v>
      </c>
      <c r="BA319" s="75">
        <f>PARAM!$C$26+MAX($G$15-CHOOSE(PARAM!$B$44,MAX(0,BB318*$F$1),0),0)*RATES!$L295/12+$H$15*(PARAM!$D$51/12)*RATES!$N295/100</f>
        <v>26.074090825444291</v>
      </c>
      <c r="BB319" s="16">
        <f t="shared" si="210"/>
        <v>503.42422060681372</v>
      </c>
      <c r="BC319" s="15">
        <f t="shared" si="185"/>
        <v>22.170849845882874</v>
      </c>
      <c r="BD319" s="75">
        <f>BC319*(1-PARAM!$C$27)*$I$16+(MOD($B319,60)=PARAM!$B$56)*($B319&gt;(60-PARAM!$B$56))*HLOOKUP(($B319+PARAM!$B$56)/12,Loyalty,2)*$F$1*MAX(BF318,0)</f>
        <v>18.557001321003963</v>
      </c>
      <c r="BE319" s="75">
        <f>PARAM!$C$26+MAX($G$16-CHOOSE(PARAM!$B$44,MAX(0,BF318*$F$1),0),0)*RATES!$L295/12+$H$16*(PARAM!$D$51/12)*RATES!$N295/100</f>
        <v>26.074090825444291</v>
      </c>
      <c r="BF319" s="16">
        <f t="shared" si="211"/>
        <v>503.42422060681372</v>
      </c>
      <c r="BG319" s="15">
        <f t="shared" si="186"/>
        <v>22.170849845882874</v>
      </c>
      <c r="BH319" s="75">
        <f>BG319*(1-PARAM!$C$27)*$I$17+(MOD($B319,60)=PARAM!$B$56)*($B319&gt;(60-PARAM!$B$56))*HLOOKUP(($B319+PARAM!$B$56)/12,Loyalty,2)*$F$1*MAX(BJ318,0)</f>
        <v>18.557001321003963</v>
      </c>
      <c r="BI319" s="75">
        <f>PARAM!$C$26+MAX($G$17-CHOOSE(PARAM!$B$44,MAX(0,BJ318*$F$1),0),0)*RATES!$L295/12+$H$17*(PARAM!$D$51/12)*RATES!$N295/100</f>
        <v>26.074090825444291</v>
      </c>
      <c r="BJ319" s="16">
        <f t="shared" si="212"/>
        <v>503.42422060681372</v>
      </c>
      <c r="BK319" s="15">
        <f t="shared" si="187"/>
        <v>22.170849845882874</v>
      </c>
      <c r="BL319" s="75">
        <f>BK319*(1-PARAM!$C$27)*$I$18+(MOD($B319,60)=PARAM!$B$56)*($B319&gt;(60-PARAM!$B$56))*HLOOKUP(($B319+PARAM!$B$56)/12,Loyalty,2)*$F$1*MAX(BN318,0)</f>
        <v>18.557001321003963</v>
      </c>
      <c r="BM319" s="75">
        <f>PARAM!$C$26+MAX($G$18-CHOOSE(PARAM!$B$44,MAX(0,BN318*$F$1),0),0)*RATES!$L295/12+$H$18*(PARAM!$D$51/12)*RATES!$N295/100</f>
        <v>26.074090825444291</v>
      </c>
      <c r="BN319" s="16">
        <f t="shared" si="213"/>
        <v>503.42422060681372</v>
      </c>
      <c r="BO319" s="15">
        <f t="shared" si="188"/>
        <v>22.170849845882874</v>
      </c>
      <c r="BP319" s="75">
        <f>BO319*(1-PARAM!$C$27)*$I$19+(MOD($B319,60)=PARAM!$B$56)*($B319&gt;(60-PARAM!$B$56))*HLOOKUP(($B319+PARAM!$B$56)/12,Loyalty,2)*$F$1*MAX(BR318,0)</f>
        <v>18.557001321003963</v>
      </c>
      <c r="BQ319" s="75">
        <f>PARAM!$C$26+MAX($G$19-CHOOSE(PARAM!$B$44,MAX(0,BR318*$F$1),0),0)*RATES!$L295/12+$H$19*(PARAM!$D$51/12)*RATES!$N295/100</f>
        <v>26.074090825444291</v>
      </c>
      <c r="BR319" s="16">
        <f t="shared" si="214"/>
        <v>503.42422060681372</v>
      </c>
      <c r="BS319" s="15">
        <f t="shared" si="189"/>
        <v>22.170849845882874</v>
      </c>
      <c r="BT319" s="75">
        <f>BS319*(1-PARAM!$C$27)*$I$20+(MOD($B319,60)=PARAM!$B$56)*($B319&gt;(60-PARAM!$B$56))*HLOOKUP(($B319+PARAM!$B$56)/12,Loyalty,2)*$F$1*MAX(BV318,0)</f>
        <v>18.557001321003963</v>
      </c>
      <c r="BU319" s="75">
        <f>PARAM!$C$26+MAX($G$20-CHOOSE(PARAM!$B$44,MAX(0,BV318*$F$1),0),0)*RATES!$L295/12+$H$20*(PARAM!$D$51/12)*RATES!$N295/100</f>
        <v>26.074090825444291</v>
      </c>
      <c r="BV319" s="16">
        <f t="shared" si="215"/>
        <v>503.42422060681372</v>
      </c>
      <c r="BW319" s="15">
        <f t="shared" si="190"/>
        <v>22.170849845882874</v>
      </c>
      <c r="BX319" s="75">
        <f>BW319*(1-PARAM!$C$27)*$I$21+(MOD($B319,60)=PARAM!$B$56)*($B319&gt;(60-PARAM!$B$56))*HLOOKUP(($B319+PARAM!$B$56)/12,Loyalty,2)*$F$1*MAX(BZ318,0)</f>
        <v>18.557001321003963</v>
      </c>
      <c r="BY319" s="75">
        <f>PARAM!$C$26+MAX($G$21-CHOOSE(PARAM!$B$44,MAX(0,BZ318*$F$1),0),0)*RATES!$L295/12+$H$21*(PARAM!$D$51/12)*RATES!$N295/100</f>
        <v>26.074090825444291</v>
      </c>
      <c r="BZ319" s="16">
        <f t="shared" si="216"/>
        <v>503.42422060681372</v>
      </c>
      <c r="CA319" s="15">
        <f t="shared" si="191"/>
        <v>22.170849845882874</v>
      </c>
      <c r="CB319" s="75">
        <f>CA319*(1-PARAM!$C$27)*$I$22+(MOD($B319,60)=PARAM!$B$56)*($B319&gt;(60-PARAM!$B$56))*HLOOKUP(($B319+PARAM!$B$56)/12,Loyalty,2)*$F$1*MAX(CD318,0)</f>
        <v>18.557001321003963</v>
      </c>
      <c r="CC319" s="75">
        <f>PARAM!$C$26+MAX($G$22-CHOOSE(PARAM!$B$44,MAX(0,CD318*$F$1),0),0)*RATES!$L295/12+$H$22*(PARAM!$D$51/12)*RATES!$N295/100</f>
        <v>26.074090825444291</v>
      </c>
      <c r="CD319" s="16">
        <f t="shared" si="217"/>
        <v>503.42422060681372</v>
      </c>
      <c r="CE319" s="33">
        <f>IF(0=MOD(B319,12/PARAM!$D$51),1,0)</f>
        <v>1</v>
      </c>
      <c r="CF319" s="15">
        <f t="shared" si="192"/>
        <v>0</v>
      </c>
      <c r="CG319" s="75">
        <f>CF319*(1-PARAM!$C$27)*$R$3+(MOD($B319/12,5)=0)*($B319&gt;60)*HLOOKUP($B319/12,Loyalty,2)*$F$1*MAX(CI318,0)</f>
        <v>0</v>
      </c>
      <c r="CH319" s="75">
        <f>PARAM!$C$26+MAX($P$3-CHOOSE(PARAM!$B$44,MAX(0,CI318*$F$1),0),0)*RATES!$L295/12+$Q$3*(PARAM!$D$51/12)*RATES!$N295/100</f>
        <v>26.291666666666668</v>
      </c>
      <c r="CI319" s="16">
        <f>IF(CI318&gt;0,CI318*PARAM!$C$53,CI318)+CG319-CH319</f>
        <v>-4776.7083333333294</v>
      </c>
      <c r="CJ319" s="15">
        <f t="shared" si="218"/>
        <v>0</v>
      </c>
      <c r="CK319" s="75">
        <f>CJ319*(1-PARAM!$C$27)*$R$4+(MOD($B319/12,5)=0)*($B319&gt;60)*HLOOKUP($B319/12,Loyalty,2)*$F$1*MAX(CM318,0)</f>
        <v>0</v>
      </c>
      <c r="CL319" s="75">
        <f>PARAM!$C$26+MAX($P$4-CHOOSE(PARAM!$B$44,MAX(0,CM318*$F$1),0),0)*RATES!$L295/12+$Q$4*(PARAM!$D$51/12)*RATES!$N295/100</f>
        <v>26.291666666666668</v>
      </c>
      <c r="CM319" s="16">
        <f>IF(CM318&gt;0,CM318*PARAM!$C$53,CM318)+CK319-CL319</f>
        <v>-4776.7083333333294</v>
      </c>
      <c r="CO319" s="176"/>
    </row>
    <row r="320" spans="1:93" x14ac:dyDescent="0.2">
      <c r="A320" t="b">
        <f t="shared" si="193"/>
        <v>0</v>
      </c>
      <c r="B320" s="33">
        <v>293</v>
      </c>
      <c r="C320" s="15">
        <f t="shared" si="194"/>
        <v>20.081305947392778</v>
      </c>
      <c r="D320" s="75">
        <f>C320*(1-PARAM!$C$27)*$I$3+(MOD($B320,60)=PARAM!$B$56)*($B320&gt;(60-PARAM!$B$56))*HLOOKUP(($B320+PARAM!$B$56)/12,Loyalty,2)*$F$1*MAX(F319,0)</f>
        <v>16.808053077967756</v>
      </c>
      <c r="E320" s="75">
        <f>PARAM!$C$26+MAX($G$3-CHOOSE(PARAM!$B$44,MAX(0,F319*$F$1),0),0)*RATES!$L296/12+$H$3*(PARAM!$D$51/12)*RATES!$N296/100</f>
        <v>26.291666666666668</v>
      </c>
      <c r="F320" s="16">
        <f t="shared" si="195"/>
        <v>-34.665639559182218</v>
      </c>
      <c r="G320" s="15">
        <f t="shared" si="196"/>
        <v>22.035289406060361</v>
      </c>
      <c r="H320" s="75">
        <f>G320*(1-PARAM!$C$27)*$I$4+(MOD($B320,60)=PARAM!$B$56)*($B320&gt;(60-PARAM!$B$56))*HLOOKUP(($B320+PARAM!$B$56)/12,Loyalty,2)*$F$1*MAX(J319,0)</f>
        <v>18.443537232872522</v>
      </c>
      <c r="I320" s="75">
        <f>PARAM!$C$26+MAX($G$4-CHOOSE(PARAM!$B$44,MAX(0,J319*$F$1),0),0)*RATES!$L296/12+$H$4*(PARAM!$D$51/12)*RATES!$N296/100</f>
        <v>26.091902398873639</v>
      </c>
      <c r="J320" s="16">
        <f t="shared" si="197"/>
        <v>461.46537524815335</v>
      </c>
      <c r="K320" s="15">
        <f t="shared" si="198"/>
        <v>22.170849845882874</v>
      </c>
      <c r="L320" s="75">
        <f>K320*(1-PARAM!$C$27)*$I$5+(MOD($B320,60)=PARAM!$B$56)*($B320&gt;(60-PARAM!$B$56))*HLOOKUP(($B320+PARAM!$B$56)/12,Loyalty,2)*$F$1*MAX(N319,0)</f>
        <v>18.557001321003963</v>
      </c>
      <c r="M320" s="75">
        <f>PARAM!$C$26+MAX($G$5-CHOOSE(PARAM!$B$44,MAX(0,N319*$F$1),0),0)*RATES!$L296/12+$H$5*(PARAM!$D$51/12)*RATES!$N296/100</f>
        <v>26.07729185272493</v>
      </c>
      <c r="N320" s="16">
        <f t="shared" si="199"/>
        <v>495.90393007509277</v>
      </c>
      <c r="O320" s="15">
        <f t="shared" si="200"/>
        <v>22.170849845882874</v>
      </c>
      <c r="P320" s="75">
        <f>O320*(1-PARAM!$C$27)*$I$6+(MOD($B320,60)=PARAM!$B$56)*($B320&gt;(60-PARAM!$B$56))*HLOOKUP(($B320+PARAM!$B$56)/12,Loyalty,2)*$F$1*MAX(R319,0)</f>
        <v>18.557001321003963</v>
      </c>
      <c r="Q320" s="75">
        <f>PARAM!$C$26+MAX($G$6-CHOOSE(PARAM!$B$44,MAX(0,R319*$F$1),0),0)*RATES!$L296/12+$H$6*(PARAM!$D$51/12)*RATES!$N296/100</f>
        <v>26.07729185272493</v>
      </c>
      <c r="R320" s="16">
        <f t="shared" si="201"/>
        <v>495.90393007509277</v>
      </c>
      <c r="S320" s="15">
        <f t="shared" si="176"/>
        <v>22.170849845882874</v>
      </c>
      <c r="T320" s="75">
        <f>S320*(1-PARAM!$C$27)*$I$7+(MOD($B320,60)=PARAM!$B$56)*($B320&gt;(60-PARAM!$B$56))*HLOOKUP(($B320+PARAM!$B$56)/12,Loyalty,2)*$F$1*MAX(V319,0)</f>
        <v>18.557001321003963</v>
      </c>
      <c r="U320" s="75">
        <f>PARAM!$C$26+MAX($G$7-CHOOSE(PARAM!$B$44,MAX(0,V319*$F$1),0),0)*RATES!$L296/12+$H$7*(PARAM!$D$51/12)*RATES!$N296/100</f>
        <v>26.07729185272493</v>
      </c>
      <c r="V320" s="16">
        <f t="shared" si="202"/>
        <v>495.90393007509277</v>
      </c>
      <c r="W320" s="15">
        <f t="shared" si="177"/>
        <v>22.170849845882874</v>
      </c>
      <c r="X320" s="75">
        <f>W320*(1-PARAM!$C$27)*$I$8+(MOD($B320,60)=PARAM!$B$56)*($B320&gt;(60-PARAM!$B$56))*HLOOKUP(($B320+PARAM!$B$56)/12,Loyalty,2)*$F$1*MAX(Z319,0)</f>
        <v>18.557001321003963</v>
      </c>
      <c r="Y320" s="75">
        <f>PARAM!$C$26+MAX($G$8-CHOOSE(PARAM!$B$44,MAX(0,Z319*$F$1),0),0)*RATES!$L296/12+$H$8*(PARAM!$D$51/12)*RATES!$N296/100</f>
        <v>26.07729185272493</v>
      </c>
      <c r="Z320" s="16">
        <f t="shared" si="203"/>
        <v>495.90393007509277</v>
      </c>
      <c r="AA320" s="15">
        <f t="shared" si="178"/>
        <v>22.170849845882874</v>
      </c>
      <c r="AB320" s="75">
        <f>AA320*(1-PARAM!$C$27)*$I$9+(MOD($B320,60)=PARAM!$B$56)*($B320&gt;(60-PARAM!$B$56))*HLOOKUP(($B320+PARAM!$B$56)/12,Loyalty,2)*$F$1*MAX(AD319,0)</f>
        <v>18.557001321003963</v>
      </c>
      <c r="AC320" s="75">
        <f>PARAM!$C$26+MAX($G$9-CHOOSE(PARAM!$B$44,MAX(0,AD319*$F$1),0),0)*RATES!$L296/12+$H$9*(PARAM!$D$51/12)*RATES!$N296/100</f>
        <v>26.07729185272493</v>
      </c>
      <c r="AD320" s="16">
        <f t="shared" si="204"/>
        <v>495.90393007509277</v>
      </c>
      <c r="AE320" s="15">
        <f t="shared" si="179"/>
        <v>22.170849845882874</v>
      </c>
      <c r="AF320" s="75">
        <f>AE320*(1-PARAM!$C$27)*$I$10+(MOD($B320,60)=PARAM!$B$56)*($B320&gt;(60-PARAM!$B$56))*HLOOKUP(($B320+PARAM!$B$56)/12,Loyalty,2)*$F$1*MAX(AH319,0)</f>
        <v>18.557001321003963</v>
      </c>
      <c r="AG320" s="75">
        <f>PARAM!$C$26+MAX($G$10-CHOOSE(PARAM!$B$44,MAX(0,AH319*$F$1),0),0)*RATES!$L296/12+$H$10*(PARAM!$D$51/12)*RATES!$N296/100</f>
        <v>26.07729185272493</v>
      </c>
      <c r="AH320" s="16">
        <f t="shared" si="205"/>
        <v>495.90393007509277</v>
      </c>
      <c r="AI320" s="15">
        <f t="shared" si="180"/>
        <v>22.170849845882874</v>
      </c>
      <c r="AJ320" s="75">
        <f>AI320*(1-PARAM!$C$27)*$I$11+(MOD($B320,60)=PARAM!$B$56)*($B320&gt;(60-PARAM!$B$56))*HLOOKUP(($B320+PARAM!$B$56)/12,Loyalty,2)*$F$1*MAX(AL319,0)</f>
        <v>18.557001321003963</v>
      </c>
      <c r="AK320" s="75">
        <f>PARAM!$C$26+MAX($G$11-CHOOSE(PARAM!$B$44,MAX(0,AL319*$F$1),0),0)*RATES!$L296/12+$H$11*(PARAM!$D$51/12)*RATES!$N296/100</f>
        <v>26.07729185272493</v>
      </c>
      <c r="AL320" s="16">
        <f t="shared" si="206"/>
        <v>495.90393007509277</v>
      </c>
      <c r="AM320" s="15">
        <f t="shared" si="181"/>
        <v>22.170849845882874</v>
      </c>
      <c r="AN320" s="75">
        <f>AM320*(1-PARAM!$C$27)*$I$12+(MOD($B320,60)=PARAM!$B$56)*($B320&gt;(60-PARAM!$B$56))*HLOOKUP(($B320+PARAM!$B$56)/12,Loyalty,2)*$F$1*MAX(AP319,0)</f>
        <v>18.557001321003963</v>
      </c>
      <c r="AO320" s="75">
        <f>PARAM!$C$26+MAX($G$12-CHOOSE(PARAM!$B$44,MAX(0,AP319*$F$1),0),0)*RATES!$L296/12+$H$12*(PARAM!$D$51/12)*RATES!$N296/100</f>
        <v>26.07729185272493</v>
      </c>
      <c r="AP320" s="16">
        <f t="shared" si="207"/>
        <v>495.90393007509277</v>
      </c>
      <c r="AQ320" s="15">
        <f t="shared" si="182"/>
        <v>22.170849845882874</v>
      </c>
      <c r="AR320" s="75">
        <f>AQ320*(1-PARAM!$C$27)*$I$13+(MOD($B320,60)=PARAM!$B$56)*($B320&gt;(60-PARAM!$B$56))*HLOOKUP(($B320+PARAM!$B$56)/12,Loyalty,2)*$F$1*MAX(AT319,0)</f>
        <v>18.557001321003963</v>
      </c>
      <c r="AS320" s="75">
        <f>PARAM!$C$26+MAX($G$13-CHOOSE(PARAM!$B$44,MAX(0,AT319*$F$1),0),0)*RATES!$L296/12+$H$13*(PARAM!$D$51/12)*RATES!$N296/100</f>
        <v>26.07729185272493</v>
      </c>
      <c r="AT320" s="16">
        <f t="shared" si="208"/>
        <v>495.90393007509277</v>
      </c>
      <c r="AU320" s="15">
        <f t="shared" si="183"/>
        <v>22.170849845882874</v>
      </c>
      <c r="AV320" s="75">
        <f>AU320*(1-PARAM!$C$27)*$I$14+(MOD($B320,60)=PARAM!$B$56)*($B320&gt;(60-PARAM!$B$56))*HLOOKUP(($B320+PARAM!$B$56)/12,Loyalty,2)*$F$1*MAX(AX319,0)</f>
        <v>18.557001321003963</v>
      </c>
      <c r="AW320" s="75">
        <f>PARAM!$C$26+MAX($G$14-CHOOSE(PARAM!$B$44,MAX(0,AX319*$F$1),0),0)*RATES!$L296/12+$H$14*(PARAM!$D$51/12)*RATES!$N296/100</f>
        <v>26.07729185272493</v>
      </c>
      <c r="AX320" s="16">
        <f t="shared" si="209"/>
        <v>495.90393007509277</v>
      </c>
      <c r="AY320" s="15">
        <f t="shared" si="184"/>
        <v>22.170849845882874</v>
      </c>
      <c r="AZ320" s="75">
        <f>AY320*(1-PARAM!$C$27)*$I$15+(MOD($B320,60)=PARAM!$B$56)*($B320&gt;(60-PARAM!$B$56))*HLOOKUP(($B320+PARAM!$B$56)/12,Loyalty,2)*$F$1*MAX(BB319,0)</f>
        <v>18.557001321003963</v>
      </c>
      <c r="BA320" s="75">
        <f>PARAM!$C$26+MAX($G$15-CHOOSE(PARAM!$B$44,MAX(0,BB319*$F$1),0),0)*RATES!$L296/12+$H$15*(PARAM!$D$51/12)*RATES!$N296/100</f>
        <v>26.07729185272493</v>
      </c>
      <c r="BB320" s="16">
        <f t="shared" si="210"/>
        <v>495.90393007509277</v>
      </c>
      <c r="BC320" s="15">
        <f t="shared" si="185"/>
        <v>22.170849845882874</v>
      </c>
      <c r="BD320" s="75">
        <f>BC320*(1-PARAM!$C$27)*$I$16+(MOD($B320,60)=PARAM!$B$56)*($B320&gt;(60-PARAM!$B$56))*HLOOKUP(($B320+PARAM!$B$56)/12,Loyalty,2)*$F$1*MAX(BF319,0)</f>
        <v>18.557001321003963</v>
      </c>
      <c r="BE320" s="75">
        <f>PARAM!$C$26+MAX($G$16-CHOOSE(PARAM!$B$44,MAX(0,BF319*$F$1),0),0)*RATES!$L296/12+$H$16*(PARAM!$D$51/12)*RATES!$N296/100</f>
        <v>26.07729185272493</v>
      </c>
      <c r="BF320" s="16">
        <f t="shared" si="211"/>
        <v>495.90393007509277</v>
      </c>
      <c r="BG320" s="15">
        <f t="shared" si="186"/>
        <v>22.170849845882874</v>
      </c>
      <c r="BH320" s="75">
        <f>BG320*(1-PARAM!$C$27)*$I$17+(MOD($B320,60)=PARAM!$B$56)*($B320&gt;(60-PARAM!$B$56))*HLOOKUP(($B320+PARAM!$B$56)/12,Loyalty,2)*$F$1*MAX(BJ319,0)</f>
        <v>18.557001321003963</v>
      </c>
      <c r="BI320" s="75">
        <f>PARAM!$C$26+MAX($G$17-CHOOSE(PARAM!$B$44,MAX(0,BJ319*$F$1),0),0)*RATES!$L296/12+$H$17*(PARAM!$D$51/12)*RATES!$N296/100</f>
        <v>26.07729185272493</v>
      </c>
      <c r="BJ320" s="16">
        <f t="shared" si="212"/>
        <v>495.90393007509277</v>
      </c>
      <c r="BK320" s="15">
        <f t="shared" si="187"/>
        <v>22.170849845882874</v>
      </c>
      <c r="BL320" s="75">
        <f>BK320*(1-PARAM!$C$27)*$I$18+(MOD($B320,60)=PARAM!$B$56)*($B320&gt;(60-PARAM!$B$56))*HLOOKUP(($B320+PARAM!$B$56)/12,Loyalty,2)*$F$1*MAX(BN319,0)</f>
        <v>18.557001321003963</v>
      </c>
      <c r="BM320" s="75">
        <f>PARAM!$C$26+MAX($G$18-CHOOSE(PARAM!$B$44,MAX(0,BN319*$F$1),0),0)*RATES!$L296/12+$H$18*(PARAM!$D$51/12)*RATES!$N296/100</f>
        <v>26.07729185272493</v>
      </c>
      <c r="BN320" s="16">
        <f t="shared" si="213"/>
        <v>495.90393007509277</v>
      </c>
      <c r="BO320" s="15">
        <f t="shared" si="188"/>
        <v>22.170849845882874</v>
      </c>
      <c r="BP320" s="75">
        <f>BO320*(1-PARAM!$C$27)*$I$19+(MOD($B320,60)=PARAM!$B$56)*($B320&gt;(60-PARAM!$B$56))*HLOOKUP(($B320+PARAM!$B$56)/12,Loyalty,2)*$F$1*MAX(BR319,0)</f>
        <v>18.557001321003963</v>
      </c>
      <c r="BQ320" s="75">
        <f>PARAM!$C$26+MAX($G$19-CHOOSE(PARAM!$B$44,MAX(0,BR319*$F$1),0),0)*RATES!$L296/12+$H$19*(PARAM!$D$51/12)*RATES!$N296/100</f>
        <v>26.07729185272493</v>
      </c>
      <c r="BR320" s="16">
        <f t="shared" si="214"/>
        <v>495.90393007509277</v>
      </c>
      <c r="BS320" s="15">
        <f t="shared" si="189"/>
        <v>22.170849845882874</v>
      </c>
      <c r="BT320" s="75">
        <f>BS320*(1-PARAM!$C$27)*$I$20+(MOD($B320,60)=PARAM!$B$56)*($B320&gt;(60-PARAM!$B$56))*HLOOKUP(($B320+PARAM!$B$56)/12,Loyalty,2)*$F$1*MAX(BV319,0)</f>
        <v>18.557001321003963</v>
      </c>
      <c r="BU320" s="75">
        <f>PARAM!$C$26+MAX($G$20-CHOOSE(PARAM!$B$44,MAX(0,BV319*$F$1),0),0)*RATES!$L296/12+$H$20*(PARAM!$D$51/12)*RATES!$N296/100</f>
        <v>26.07729185272493</v>
      </c>
      <c r="BV320" s="16">
        <f t="shared" si="215"/>
        <v>495.90393007509277</v>
      </c>
      <c r="BW320" s="15">
        <f t="shared" si="190"/>
        <v>22.170849845882874</v>
      </c>
      <c r="BX320" s="75">
        <f>BW320*(1-PARAM!$C$27)*$I$21+(MOD($B320,60)=PARAM!$B$56)*($B320&gt;(60-PARAM!$B$56))*HLOOKUP(($B320+PARAM!$B$56)/12,Loyalty,2)*$F$1*MAX(BZ319,0)</f>
        <v>18.557001321003963</v>
      </c>
      <c r="BY320" s="75">
        <f>PARAM!$C$26+MAX($G$21-CHOOSE(PARAM!$B$44,MAX(0,BZ319*$F$1),0),0)*RATES!$L296/12+$H$21*(PARAM!$D$51/12)*RATES!$N296/100</f>
        <v>26.07729185272493</v>
      </c>
      <c r="BZ320" s="16">
        <f t="shared" si="216"/>
        <v>495.90393007509277</v>
      </c>
      <c r="CA320" s="15">
        <f t="shared" si="191"/>
        <v>22.170849845882874</v>
      </c>
      <c r="CB320" s="75">
        <f>CA320*(1-PARAM!$C$27)*$I$22+(MOD($B320,60)=PARAM!$B$56)*($B320&gt;(60-PARAM!$B$56))*HLOOKUP(($B320+PARAM!$B$56)/12,Loyalty,2)*$F$1*MAX(CD319,0)</f>
        <v>18.557001321003963</v>
      </c>
      <c r="CC320" s="75">
        <f>PARAM!$C$26+MAX($G$22-CHOOSE(PARAM!$B$44,MAX(0,CD319*$F$1),0),0)*RATES!$L296/12+$H$22*(PARAM!$D$51/12)*RATES!$N296/100</f>
        <v>26.07729185272493</v>
      </c>
      <c r="CD320" s="16">
        <f t="shared" si="217"/>
        <v>495.90393007509277</v>
      </c>
      <c r="CE320" s="33">
        <f>IF(0=MOD(B320,12/PARAM!$D$51),1,0)</f>
        <v>1</v>
      </c>
      <c r="CF320" s="15">
        <f t="shared" si="192"/>
        <v>0</v>
      </c>
      <c r="CG320" s="75">
        <f>CF320*(1-PARAM!$C$27)*$R$3+(MOD($B320/12,5)=0)*($B320&gt;60)*HLOOKUP($B320/12,Loyalty,2)*$F$1*MAX(CI319,0)</f>
        <v>0</v>
      </c>
      <c r="CH320" s="75">
        <f>PARAM!$C$26+MAX($P$3-CHOOSE(PARAM!$B$44,MAX(0,CI319*$F$1),0),0)*RATES!$L296/12+$Q$3*(PARAM!$D$51/12)*RATES!$N296/100</f>
        <v>26.291666666666668</v>
      </c>
      <c r="CI320" s="16">
        <f>IF(CI319&gt;0,CI319*PARAM!$C$53,CI319)+CG320-CH320</f>
        <v>-4802.9999999999964</v>
      </c>
      <c r="CJ320" s="15">
        <f t="shared" si="218"/>
        <v>0</v>
      </c>
      <c r="CK320" s="75">
        <f>CJ320*(1-PARAM!$C$27)*$R$4+(MOD($B320/12,5)=0)*($B320&gt;60)*HLOOKUP($B320/12,Loyalty,2)*$F$1*MAX(CM319,0)</f>
        <v>0</v>
      </c>
      <c r="CL320" s="75">
        <f>PARAM!$C$26+MAX($P$4-CHOOSE(PARAM!$B$44,MAX(0,CM319*$F$1),0),0)*RATES!$L296/12+$Q$4*(PARAM!$D$51/12)*RATES!$N296/100</f>
        <v>26.291666666666668</v>
      </c>
      <c r="CM320" s="16">
        <f>IF(CM319&gt;0,CM319*PARAM!$C$53,CM319)+CK320-CL320</f>
        <v>-4802.9999999999964</v>
      </c>
      <c r="CO320" s="176"/>
    </row>
    <row r="321" spans="1:93" x14ac:dyDescent="0.2">
      <c r="A321" t="b">
        <f t="shared" si="193"/>
        <v>0</v>
      </c>
      <c r="B321" s="33">
        <v>294</v>
      </c>
      <c r="C321" s="15">
        <f t="shared" si="194"/>
        <v>20.081305947392778</v>
      </c>
      <c r="D321" s="75">
        <f>C321*(1-PARAM!$C$27)*$I$3+(MOD($B321,60)=PARAM!$B$56)*($B321&gt;(60-PARAM!$B$56))*HLOOKUP(($B321+PARAM!$B$56)/12,Loyalty,2)*$F$1*MAX(F320,0)</f>
        <v>16.808053077967756</v>
      </c>
      <c r="E321" s="75">
        <f>PARAM!$C$26+MAX($G$3-CHOOSE(PARAM!$B$44,MAX(0,F320*$F$1),0),0)*RATES!$L297/12+$H$3*(PARAM!$D$51/12)*RATES!$N297/100</f>
        <v>28.833333333333329</v>
      </c>
      <c r="F321" s="16">
        <f t="shared" si="195"/>
        <v>-46.69091981454779</v>
      </c>
      <c r="G321" s="15">
        <f t="shared" si="196"/>
        <v>22.035289406060361</v>
      </c>
      <c r="H321" s="75">
        <f>G321*(1-PARAM!$C$27)*$I$4+(MOD($B321,60)=PARAM!$B$56)*($B321&gt;(60-PARAM!$B$56))*HLOOKUP(($B321+PARAM!$B$56)/12,Loyalty,2)*$F$1*MAX(J320,0)</f>
        <v>18.443537232872522</v>
      </c>
      <c r="I321" s="75">
        <f>PARAM!$C$26+MAX($G$4-CHOOSE(PARAM!$B$44,MAX(0,J320*$F$1),0),0)*RATES!$L297/12+$H$4*(PARAM!$D$51/12)*RATES!$N297/100</f>
        <v>28.613368171131711</v>
      </c>
      <c r="J321" s="16">
        <f t="shared" si="197"/>
        <v>451.29554430989418</v>
      </c>
      <c r="K321" s="15">
        <f t="shared" si="198"/>
        <v>22.170849845882874</v>
      </c>
      <c r="L321" s="75">
        <f>K321*(1-PARAM!$C$27)*$I$5+(MOD($B321,60)=PARAM!$B$56)*($B321&gt;(60-PARAM!$B$56))*HLOOKUP(($B321+PARAM!$B$56)/12,Loyalty,2)*$F$1*MAX(N320,0)</f>
        <v>18.557001321003963</v>
      </c>
      <c r="M321" s="75">
        <f>PARAM!$C$26+MAX($G$5-CHOOSE(PARAM!$B$44,MAX(0,N320*$F$1),0),0)*RATES!$L297/12+$H$5*(PARAM!$D$51/12)*RATES!$N297/100</f>
        <v>28.596952459997535</v>
      </c>
      <c r="N321" s="16">
        <f t="shared" si="199"/>
        <v>485.86397893609922</v>
      </c>
      <c r="O321" s="15">
        <f t="shared" si="200"/>
        <v>22.170849845882874</v>
      </c>
      <c r="P321" s="75">
        <f>O321*(1-PARAM!$C$27)*$I$6+(MOD($B321,60)=PARAM!$B$56)*($B321&gt;(60-PARAM!$B$56))*HLOOKUP(($B321+PARAM!$B$56)/12,Loyalty,2)*$F$1*MAX(R320,0)</f>
        <v>18.557001321003963</v>
      </c>
      <c r="Q321" s="75">
        <f>PARAM!$C$26+MAX($G$6-CHOOSE(PARAM!$B$44,MAX(0,R320*$F$1),0),0)*RATES!$L297/12+$H$6*(PARAM!$D$51/12)*RATES!$N297/100</f>
        <v>28.596952459997535</v>
      </c>
      <c r="R321" s="16">
        <f t="shared" si="201"/>
        <v>485.86397893609922</v>
      </c>
      <c r="S321" s="15">
        <f t="shared" si="176"/>
        <v>22.170849845882874</v>
      </c>
      <c r="T321" s="75">
        <f>S321*(1-PARAM!$C$27)*$I$7+(MOD($B321,60)=PARAM!$B$56)*($B321&gt;(60-PARAM!$B$56))*HLOOKUP(($B321+PARAM!$B$56)/12,Loyalty,2)*$F$1*MAX(V320,0)</f>
        <v>18.557001321003963</v>
      </c>
      <c r="U321" s="75">
        <f>PARAM!$C$26+MAX($G$7-CHOOSE(PARAM!$B$44,MAX(0,V320*$F$1),0),0)*RATES!$L297/12+$H$7*(PARAM!$D$51/12)*RATES!$N297/100</f>
        <v>28.596952459997535</v>
      </c>
      <c r="V321" s="16">
        <f t="shared" si="202"/>
        <v>485.86397893609922</v>
      </c>
      <c r="W321" s="15">
        <f t="shared" si="177"/>
        <v>22.170849845882874</v>
      </c>
      <c r="X321" s="75">
        <f>W321*(1-PARAM!$C$27)*$I$8+(MOD($B321,60)=PARAM!$B$56)*($B321&gt;(60-PARAM!$B$56))*HLOOKUP(($B321+PARAM!$B$56)/12,Loyalty,2)*$F$1*MAX(Z320,0)</f>
        <v>18.557001321003963</v>
      </c>
      <c r="Y321" s="75">
        <f>PARAM!$C$26+MAX($G$8-CHOOSE(PARAM!$B$44,MAX(0,Z320*$F$1),0),0)*RATES!$L297/12+$H$8*(PARAM!$D$51/12)*RATES!$N297/100</f>
        <v>28.596952459997535</v>
      </c>
      <c r="Z321" s="16">
        <f t="shared" si="203"/>
        <v>485.86397893609922</v>
      </c>
      <c r="AA321" s="15">
        <f t="shared" si="178"/>
        <v>22.170849845882874</v>
      </c>
      <c r="AB321" s="75">
        <f>AA321*(1-PARAM!$C$27)*$I$9+(MOD($B321,60)=PARAM!$B$56)*($B321&gt;(60-PARAM!$B$56))*HLOOKUP(($B321+PARAM!$B$56)/12,Loyalty,2)*$F$1*MAX(AD320,0)</f>
        <v>18.557001321003963</v>
      </c>
      <c r="AC321" s="75">
        <f>PARAM!$C$26+MAX($G$9-CHOOSE(PARAM!$B$44,MAX(0,AD320*$F$1),0),0)*RATES!$L297/12+$H$9*(PARAM!$D$51/12)*RATES!$N297/100</f>
        <v>28.596952459997535</v>
      </c>
      <c r="AD321" s="16">
        <f t="shared" si="204"/>
        <v>485.86397893609922</v>
      </c>
      <c r="AE321" s="15">
        <f t="shared" si="179"/>
        <v>22.170849845882874</v>
      </c>
      <c r="AF321" s="75">
        <f>AE321*(1-PARAM!$C$27)*$I$10+(MOD($B321,60)=PARAM!$B$56)*($B321&gt;(60-PARAM!$B$56))*HLOOKUP(($B321+PARAM!$B$56)/12,Loyalty,2)*$F$1*MAX(AH320,0)</f>
        <v>18.557001321003963</v>
      </c>
      <c r="AG321" s="75">
        <f>PARAM!$C$26+MAX($G$10-CHOOSE(PARAM!$B$44,MAX(0,AH320*$F$1),0),0)*RATES!$L297/12+$H$10*(PARAM!$D$51/12)*RATES!$N297/100</f>
        <v>28.596952459997535</v>
      </c>
      <c r="AH321" s="16">
        <f t="shared" si="205"/>
        <v>485.86397893609922</v>
      </c>
      <c r="AI321" s="15">
        <f t="shared" si="180"/>
        <v>22.170849845882874</v>
      </c>
      <c r="AJ321" s="75">
        <f>AI321*(1-PARAM!$C$27)*$I$11+(MOD($B321,60)=PARAM!$B$56)*($B321&gt;(60-PARAM!$B$56))*HLOOKUP(($B321+PARAM!$B$56)/12,Loyalty,2)*$F$1*MAX(AL320,0)</f>
        <v>18.557001321003963</v>
      </c>
      <c r="AK321" s="75">
        <f>PARAM!$C$26+MAX($G$11-CHOOSE(PARAM!$B$44,MAX(0,AL320*$F$1),0),0)*RATES!$L297/12+$H$11*(PARAM!$D$51/12)*RATES!$N297/100</f>
        <v>28.596952459997535</v>
      </c>
      <c r="AL321" s="16">
        <f t="shared" si="206"/>
        <v>485.86397893609922</v>
      </c>
      <c r="AM321" s="15">
        <f t="shared" si="181"/>
        <v>22.170849845882874</v>
      </c>
      <c r="AN321" s="75">
        <f>AM321*(1-PARAM!$C$27)*$I$12+(MOD($B321,60)=PARAM!$B$56)*($B321&gt;(60-PARAM!$B$56))*HLOOKUP(($B321+PARAM!$B$56)/12,Loyalty,2)*$F$1*MAX(AP320,0)</f>
        <v>18.557001321003963</v>
      </c>
      <c r="AO321" s="75">
        <f>PARAM!$C$26+MAX($G$12-CHOOSE(PARAM!$B$44,MAX(0,AP320*$F$1),0),0)*RATES!$L297/12+$H$12*(PARAM!$D$51/12)*RATES!$N297/100</f>
        <v>28.596952459997535</v>
      </c>
      <c r="AP321" s="16">
        <f t="shared" si="207"/>
        <v>485.86397893609922</v>
      </c>
      <c r="AQ321" s="15">
        <f t="shared" si="182"/>
        <v>22.170849845882874</v>
      </c>
      <c r="AR321" s="75">
        <f>AQ321*(1-PARAM!$C$27)*$I$13+(MOD($B321,60)=PARAM!$B$56)*($B321&gt;(60-PARAM!$B$56))*HLOOKUP(($B321+PARAM!$B$56)/12,Loyalty,2)*$F$1*MAX(AT320,0)</f>
        <v>18.557001321003963</v>
      </c>
      <c r="AS321" s="75">
        <f>PARAM!$C$26+MAX($G$13-CHOOSE(PARAM!$B$44,MAX(0,AT320*$F$1),0),0)*RATES!$L297/12+$H$13*(PARAM!$D$51/12)*RATES!$N297/100</f>
        <v>28.596952459997535</v>
      </c>
      <c r="AT321" s="16">
        <f t="shared" si="208"/>
        <v>485.86397893609922</v>
      </c>
      <c r="AU321" s="15">
        <f t="shared" si="183"/>
        <v>22.170849845882874</v>
      </c>
      <c r="AV321" s="75">
        <f>AU321*(1-PARAM!$C$27)*$I$14+(MOD($B321,60)=PARAM!$B$56)*($B321&gt;(60-PARAM!$B$56))*HLOOKUP(($B321+PARAM!$B$56)/12,Loyalty,2)*$F$1*MAX(AX320,0)</f>
        <v>18.557001321003963</v>
      </c>
      <c r="AW321" s="75">
        <f>PARAM!$C$26+MAX($G$14-CHOOSE(PARAM!$B$44,MAX(0,AX320*$F$1),0),0)*RATES!$L297/12+$H$14*(PARAM!$D$51/12)*RATES!$N297/100</f>
        <v>28.596952459997535</v>
      </c>
      <c r="AX321" s="16">
        <f t="shared" si="209"/>
        <v>485.86397893609922</v>
      </c>
      <c r="AY321" s="15">
        <f t="shared" si="184"/>
        <v>22.170849845882874</v>
      </c>
      <c r="AZ321" s="75">
        <f>AY321*(1-PARAM!$C$27)*$I$15+(MOD($B321,60)=PARAM!$B$56)*($B321&gt;(60-PARAM!$B$56))*HLOOKUP(($B321+PARAM!$B$56)/12,Loyalty,2)*$F$1*MAX(BB320,0)</f>
        <v>18.557001321003963</v>
      </c>
      <c r="BA321" s="75">
        <f>PARAM!$C$26+MAX($G$15-CHOOSE(PARAM!$B$44,MAX(0,BB320*$F$1),0),0)*RATES!$L297/12+$H$15*(PARAM!$D$51/12)*RATES!$N297/100</f>
        <v>28.596952459997535</v>
      </c>
      <c r="BB321" s="16">
        <f t="shared" si="210"/>
        <v>485.86397893609922</v>
      </c>
      <c r="BC321" s="15">
        <f t="shared" si="185"/>
        <v>22.170849845882874</v>
      </c>
      <c r="BD321" s="75">
        <f>BC321*(1-PARAM!$C$27)*$I$16+(MOD($B321,60)=PARAM!$B$56)*($B321&gt;(60-PARAM!$B$56))*HLOOKUP(($B321+PARAM!$B$56)/12,Loyalty,2)*$F$1*MAX(BF320,0)</f>
        <v>18.557001321003963</v>
      </c>
      <c r="BE321" s="75">
        <f>PARAM!$C$26+MAX($G$16-CHOOSE(PARAM!$B$44,MAX(0,BF320*$F$1),0),0)*RATES!$L297/12+$H$16*(PARAM!$D$51/12)*RATES!$N297/100</f>
        <v>28.596952459997535</v>
      </c>
      <c r="BF321" s="16">
        <f t="shared" si="211"/>
        <v>485.86397893609922</v>
      </c>
      <c r="BG321" s="15">
        <f t="shared" si="186"/>
        <v>22.170849845882874</v>
      </c>
      <c r="BH321" s="75">
        <f>BG321*(1-PARAM!$C$27)*$I$17+(MOD($B321,60)=PARAM!$B$56)*($B321&gt;(60-PARAM!$B$56))*HLOOKUP(($B321+PARAM!$B$56)/12,Loyalty,2)*$F$1*MAX(BJ320,0)</f>
        <v>18.557001321003963</v>
      </c>
      <c r="BI321" s="75">
        <f>PARAM!$C$26+MAX($G$17-CHOOSE(PARAM!$B$44,MAX(0,BJ320*$F$1),0),0)*RATES!$L297/12+$H$17*(PARAM!$D$51/12)*RATES!$N297/100</f>
        <v>28.596952459997535</v>
      </c>
      <c r="BJ321" s="16">
        <f t="shared" si="212"/>
        <v>485.86397893609922</v>
      </c>
      <c r="BK321" s="15">
        <f t="shared" si="187"/>
        <v>22.170849845882874</v>
      </c>
      <c r="BL321" s="75">
        <f>BK321*(1-PARAM!$C$27)*$I$18+(MOD($B321,60)=PARAM!$B$56)*($B321&gt;(60-PARAM!$B$56))*HLOOKUP(($B321+PARAM!$B$56)/12,Loyalty,2)*$F$1*MAX(BN320,0)</f>
        <v>18.557001321003963</v>
      </c>
      <c r="BM321" s="75">
        <f>PARAM!$C$26+MAX($G$18-CHOOSE(PARAM!$B$44,MAX(0,BN320*$F$1),0),0)*RATES!$L297/12+$H$18*(PARAM!$D$51/12)*RATES!$N297/100</f>
        <v>28.596952459997535</v>
      </c>
      <c r="BN321" s="16">
        <f t="shared" si="213"/>
        <v>485.86397893609922</v>
      </c>
      <c r="BO321" s="15">
        <f t="shared" si="188"/>
        <v>22.170849845882874</v>
      </c>
      <c r="BP321" s="75">
        <f>BO321*(1-PARAM!$C$27)*$I$19+(MOD($B321,60)=PARAM!$B$56)*($B321&gt;(60-PARAM!$B$56))*HLOOKUP(($B321+PARAM!$B$56)/12,Loyalty,2)*$F$1*MAX(BR320,0)</f>
        <v>18.557001321003963</v>
      </c>
      <c r="BQ321" s="75">
        <f>PARAM!$C$26+MAX($G$19-CHOOSE(PARAM!$B$44,MAX(0,BR320*$F$1),0),0)*RATES!$L297/12+$H$19*(PARAM!$D$51/12)*RATES!$N297/100</f>
        <v>28.596952459997535</v>
      </c>
      <c r="BR321" s="16">
        <f t="shared" si="214"/>
        <v>485.86397893609922</v>
      </c>
      <c r="BS321" s="15">
        <f t="shared" si="189"/>
        <v>22.170849845882874</v>
      </c>
      <c r="BT321" s="75">
        <f>BS321*(1-PARAM!$C$27)*$I$20+(MOD($B321,60)=PARAM!$B$56)*($B321&gt;(60-PARAM!$B$56))*HLOOKUP(($B321+PARAM!$B$56)/12,Loyalty,2)*$F$1*MAX(BV320,0)</f>
        <v>18.557001321003963</v>
      </c>
      <c r="BU321" s="75">
        <f>PARAM!$C$26+MAX($G$20-CHOOSE(PARAM!$B$44,MAX(0,BV320*$F$1),0),0)*RATES!$L297/12+$H$20*(PARAM!$D$51/12)*RATES!$N297/100</f>
        <v>28.596952459997535</v>
      </c>
      <c r="BV321" s="16">
        <f t="shared" si="215"/>
        <v>485.86397893609922</v>
      </c>
      <c r="BW321" s="15">
        <f t="shared" si="190"/>
        <v>22.170849845882874</v>
      </c>
      <c r="BX321" s="75">
        <f>BW321*(1-PARAM!$C$27)*$I$21+(MOD($B321,60)=PARAM!$B$56)*($B321&gt;(60-PARAM!$B$56))*HLOOKUP(($B321+PARAM!$B$56)/12,Loyalty,2)*$F$1*MAX(BZ320,0)</f>
        <v>18.557001321003963</v>
      </c>
      <c r="BY321" s="75">
        <f>PARAM!$C$26+MAX($G$21-CHOOSE(PARAM!$B$44,MAX(0,BZ320*$F$1),0),0)*RATES!$L297/12+$H$21*(PARAM!$D$51/12)*RATES!$N297/100</f>
        <v>28.596952459997535</v>
      </c>
      <c r="BZ321" s="16">
        <f t="shared" si="216"/>
        <v>485.86397893609922</v>
      </c>
      <c r="CA321" s="15">
        <f t="shared" si="191"/>
        <v>22.170849845882874</v>
      </c>
      <c r="CB321" s="75">
        <f>CA321*(1-PARAM!$C$27)*$I$22+(MOD($B321,60)=PARAM!$B$56)*($B321&gt;(60-PARAM!$B$56))*HLOOKUP(($B321+PARAM!$B$56)/12,Loyalty,2)*$F$1*MAX(CD320,0)</f>
        <v>18.557001321003963</v>
      </c>
      <c r="CC321" s="75">
        <f>PARAM!$C$26+MAX($G$22-CHOOSE(PARAM!$B$44,MAX(0,CD320*$F$1),0),0)*RATES!$L297/12+$H$22*(PARAM!$D$51/12)*RATES!$N297/100</f>
        <v>28.596952459997535</v>
      </c>
      <c r="CD321" s="16">
        <f t="shared" si="217"/>
        <v>485.86397893609922</v>
      </c>
      <c r="CE321" s="33">
        <f>IF(0=MOD(B321,12/PARAM!$D$51),1,0)</f>
        <v>1</v>
      </c>
      <c r="CF321" s="15">
        <f t="shared" si="192"/>
        <v>0</v>
      </c>
      <c r="CG321" s="75">
        <f>CF321*(1-PARAM!$C$27)*$R$3+(MOD($B321/12,5)=0)*($B321&gt;60)*HLOOKUP($B321/12,Loyalty,2)*$F$1*MAX(CI320,0)</f>
        <v>0</v>
      </c>
      <c r="CH321" s="75">
        <f>PARAM!$C$26+MAX($P$3-CHOOSE(PARAM!$B$44,MAX(0,CI320*$F$1),0),0)*RATES!$L297/12+$Q$3*(PARAM!$D$51/12)*RATES!$N297/100</f>
        <v>28.833333333333329</v>
      </c>
      <c r="CI321" s="16">
        <f>IF(CI320&gt;0,CI320*PARAM!$C$53,CI320)+CG321-CH321</f>
        <v>-4831.8333333333294</v>
      </c>
      <c r="CJ321" s="15">
        <f t="shared" si="218"/>
        <v>0</v>
      </c>
      <c r="CK321" s="75">
        <f>CJ321*(1-PARAM!$C$27)*$R$4+(MOD($B321/12,5)=0)*($B321&gt;60)*HLOOKUP($B321/12,Loyalty,2)*$F$1*MAX(CM320,0)</f>
        <v>0</v>
      </c>
      <c r="CL321" s="75">
        <f>PARAM!$C$26+MAX($P$4-CHOOSE(PARAM!$B$44,MAX(0,CM320*$F$1),0),0)*RATES!$L297/12+$Q$4*(PARAM!$D$51/12)*RATES!$N297/100</f>
        <v>28.833333333333329</v>
      </c>
      <c r="CM321" s="16">
        <f>IF(CM320&gt;0,CM320*PARAM!$C$53,CM320)+CK321-CL321</f>
        <v>-4831.8333333333294</v>
      </c>
      <c r="CO321" s="176"/>
    </row>
    <row r="322" spans="1:93" x14ac:dyDescent="0.2">
      <c r="A322" t="b">
        <f t="shared" si="193"/>
        <v>0</v>
      </c>
      <c r="B322" s="33">
        <v>295</v>
      </c>
      <c r="C322" s="15">
        <f t="shared" si="194"/>
        <v>20.081305947392778</v>
      </c>
      <c r="D322" s="75">
        <f>C322*(1-PARAM!$C$27)*$I$3+(MOD($B322,60)=PARAM!$B$56)*($B322&gt;(60-PARAM!$B$56))*HLOOKUP(($B322+PARAM!$B$56)/12,Loyalty,2)*$F$1*MAX(F321,0)</f>
        <v>16.808053077967756</v>
      </c>
      <c r="E322" s="75">
        <f>PARAM!$C$26+MAX($G$3-CHOOSE(PARAM!$B$44,MAX(0,F321*$F$1),0),0)*RATES!$L298/12+$H$3*(PARAM!$D$51/12)*RATES!$N298/100</f>
        <v>28.833333333333329</v>
      </c>
      <c r="F322" s="16">
        <f t="shared" si="195"/>
        <v>-58.716200069913363</v>
      </c>
      <c r="G322" s="15">
        <f t="shared" si="196"/>
        <v>22.035289406060361</v>
      </c>
      <c r="H322" s="75">
        <f>G322*(1-PARAM!$C$27)*$I$4+(MOD($B322,60)=PARAM!$B$56)*($B322&gt;(60-PARAM!$B$56))*HLOOKUP(($B322+PARAM!$B$56)/12,Loyalty,2)*$F$1*MAX(J321,0)</f>
        <v>18.443537232872522</v>
      </c>
      <c r="I322" s="75">
        <f>PARAM!$C$26+MAX($G$4-CHOOSE(PARAM!$B$44,MAX(0,J321*$F$1),0),0)*RATES!$L298/12+$H$4*(PARAM!$D$51/12)*RATES!$N298/100</f>
        <v>28.618215790545616</v>
      </c>
      <c r="J322" s="16">
        <f t="shared" si="197"/>
        <v>441.12086575222111</v>
      </c>
      <c r="K322" s="15">
        <f t="shared" si="198"/>
        <v>22.170849845882874</v>
      </c>
      <c r="L322" s="75">
        <f>K322*(1-PARAM!$C$27)*$I$5+(MOD($B322,60)=PARAM!$B$56)*($B322&gt;(60-PARAM!$B$56))*HLOOKUP(($B322+PARAM!$B$56)/12,Loyalty,2)*$F$1*MAX(N321,0)</f>
        <v>18.557001321003963</v>
      </c>
      <c r="M322" s="75">
        <f>PARAM!$C$26+MAX($G$5-CHOOSE(PARAM!$B$44,MAX(0,N321*$F$1),0),0)*RATES!$L298/12+$H$5*(PARAM!$D$51/12)*RATES!$N298/100</f>
        <v>28.601738170040459</v>
      </c>
      <c r="N322" s="16">
        <f t="shared" si="199"/>
        <v>475.81924208706272</v>
      </c>
      <c r="O322" s="15">
        <f t="shared" si="200"/>
        <v>22.170849845882874</v>
      </c>
      <c r="P322" s="75">
        <f>O322*(1-PARAM!$C$27)*$I$6+(MOD($B322,60)=PARAM!$B$56)*($B322&gt;(60-PARAM!$B$56))*HLOOKUP(($B322+PARAM!$B$56)/12,Loyalty,2)*$F$1*MAX(R321,0)</f>
        <v>18.557001321003963</v>
      </c>
      <c r="Q322" s="75">
        <f>PARAM!$C$26+MAX($G$6-CHOOSE(PARAM!$B$44,MAX(0,R321*$F$1),0),0)*RATES!$L298/12+$H$6*(PARAM!$D$51/12)*RATES!$N298/100</f>
        <v>28.601738170040459</v>
      </c>
      <c r="R322" s="16">
        <f t="shared" si="201"/>
        <v>475.81924208706272</v>
      </c>
      <c r="S322" s="15">
        <f t="shared" si="176"/>
        <v>22.170849845882874</v>
      </c>
      <c r="T322" s="75">
        <f>S322*(1-PARAM!$C$27)*$I$7+(MOD($B322,60)=PARAM!$B$56)*($B322&gt;(60-PARAM!$B$56))*HLOOKUP(($B322+PARAM!$B$56)/12,Loyalty,2)*$F$1*MAX(V321,0)</f>
        <v>18.557001321003963</v>
      </c>
      <c r="U322" s="75">
        <f>PARAM!$C$26+MAX($G$7-CHOOSE(PARAM!$B$44,MAX(0,V321*$F$1),0),0)*RATES!$L298/12+$H$7*(PARAM!$D$51/12)*RATES!$N298/100</f>
        <v>28.601738170040459</v>
      </c>
      <c r="V322" s="16">
        <f t="shared" si="202"/>
        <v>475.81924208706272</v>
      </c>
      <c r="W322" s="15">
        <f t="shared" si="177"/>
        <v>22.170849845882874</v>
      </c>
      <c r="X322" s="75">
        <f>W322*(1-PARAM!$C$27)*$I$8+(MOD($B322,60)=PARAM!$B$56)*($B322&gt;(60-PARAM!$B$56))*HLOOKUP(($B322+PARAM!$B$56)/12,Loyalty,2)*$F$1*MAX(Z321,0)</f>
        <v>18.557001321003963</v>
      </c>
      <c r="Y322" s="75">
        <f>PARAM!$C$26+MAX($G$8-CHOOSE(PARAM!$B$44,MAX(0,Z321*$F$1),0),0)*RATES!$L298/12+$H$8*(PARAM!$D$51/12)*RATES!$N298/100</f>
        <v>28.601738170040459</v>
      </c>
      <c r="Z322" s="16">
        <f t="shared" si="203"/>
        <v>475.81924208706272</v>
      </c>
      <c r="AA322" s="15">
        <f t="shared" si="178"/>
        <v>22.170849845882874</v>
      </c>
      <c r="AB322" s="75">
        <f>AA322*(1-PARAM!$C$27)*$I$9+(MOD($B322,60)=PARAM!$B$56)*($B322&gt;(60-PARAM!$B$56))*HLOOKUP(($B322+PARAM!$B$56)/12,Loyalty,2)*$F$1*MAX(AD321,0)</f>
        <v>18.557001321003963</v>
      </c>
      <c r="AC322" s="75">
        <f>PARAM!$C$26+MAX($G$9-CHOOSE(PARAM!$B$44,MAX(0,AD321*$F$1),0),0)*RATES!$L298/12+$H$9*(PARAM!$D$51/12)*RATES!$N298/100</f>
        <v>28.601738170040459</v>
      </c>
      <c r="AD322" s="16">
        <f t="shared" si="204"/>
        <v>475.81924208706272</v>
      </c>
      <c r="AE322" s="15">
        <f t="shared" si="179"/>
        <v>22.170849845882874</v>
      </c>
      <c r="AF322" s="75">
        <f>AE322*(1-PARAM!$C$27)*$I$10+(MOD($B322,60)=PARAM!$B$56)*($B322&gt;(60-PARAM!$B$56))*HLOOKUP(($B322+PARAM!$B$56)/12,Loyalty,2)*$F$1*MAX(AH321,0)</f>
        <v>18.557001321003963</v>
      </c>
      <c r="AG322" s="75">
        <f>PARAM!$C$26+MAX($G$10-CHOOSE(PARAM!$B$44,MAX(0,AH321*$F$1),0),0)*RATES!$L298/12+$H$10*(PARAM!$D$51/12)*RATES!$N298/100</f>
        <v>28.601738170040459</v>
      </c>
      <c r="AH322" s="16">
        <f t="shared" si="205"/>
        <v>475.81924208706272</v>
      </c>
      <c r="AI322" s="15">
        <f t="shared" si="180"/>
        <v>22.170849845882874</v>
      </c>
      <c r="AJ322" s="75">
        <f>AI322*(1-PARAM!$C$27)*$I$11+(MOD($B322,60)=PARAM!$B$56)*($B322&gt;(60-PARAM!$B$56))*HLOOKUP(($B322+PARAM!$B$56)/12,Loyalty,2)*$F$1*MAX(AL321,0)</f>
        <v>18.557001321003963</v>
      </c>
      <c r="AK322" s="75">
        <f>PARAM!$C$26+MAX($G$11-CHOOSE(PARAM!$B$44,MAX(0,AL321*$F$1),0),0)*RATES!$L298/12+$H$11*(PARAM!$D$51/12)*RATES!$N298/100</f>
        <v>28.601738170040459</v>
      </c>
      <c r="AL322" s="16">
        <f t="shared" si="206"/>
        <v>475.81924208706272</v>
      </c>
      <c r="AM322" s="15">
        <f t="shared" si="181"/>
        <v>22.170849845882874</v>
      </c>
      <c r="AN322" s="75">
        <f>AM322*(1-PARAM!$C$27)*$I$12+(MOD($B322,60)=PARAM!$B$56)*($B322&gt;(60-PARAM!$B$56))*HLOOKUP(($B322+PARAM!$B$56)/12,Loyalty,2)*$F$1*MAX(AP321,0)</f>
        <v>18.557001321003963</v>
      </c>
      <c r="AO322" s="75">
        <f>PARAM!$C$26+MAX($G$12-CHOOSE(PARAM!$B$44,MAX(0,AP321*$F$1),0),0)*RATES!$L298/12+$H$12*(PARAM!$D$51/12)*RATES!$N298/100</f>
        <v>28.601738170040459</v>
      </c>
      <c r="AP322" s="16">
        <f t="shared" si="207"/>
        <v>475.81924208706272</v>
      </c>
      <c r="AQ322" s="15">
        <f t="shared" si="182"/>
        <v>22.170849845882874</v>
      </c>
      <c r="AR322" s="75">
        <f>AQ322*(1-PARAM!$C$27)*$I$13+(MOD($B322,60)=PARAM!$B$56)*($B322&gt;(60-PARAM!$B$56))*HLOOKUP(($B322+PARAM!$B$56)/12,Loyalty,2)*$F$1*MAX(AT321,0)</f>
        <v>18.557001321003963</v>
      </c>
      <c r="AS322" s="75">
        <f>PARAM!$C$26+MAX($G$13-CHOOSE(PARAM!$B$44,MAX(0,AT321*$F$1),0),0)*RATES!$L298/12+$H$13*(PARAM!$D$51/12)*RATES!$N298/100</f>
        <v>28.601738170040459</v>
      </c>
      <c r="AT322" s="16">
        <f t="shared" si="208"/>
        <v>475.81924208706272</v>
      </c>
      <c r="AU322" s="15">
        <f t="shared" si="183"/>
        <v>22.170849845882874</v>
      </c>
      <c r="AV322" s="75">
        <f>AU322*(1-PARAM!$C$27)*$I$14+(MOD($B322,60)=PARAM!$B$56)*($B322&gt;(60-PARAM!$B$56))*HLOOKUP(($B322+PARAM!$B$56)/12,Loyalty,2)*$F$1*MAX(AX321,0)</f>
        <v>18.557001321003963</v>
      </c>
      <c r="AW322" s="75">
        <f>PARAM!$C$26+MAX($G$14-CHOOSE(PARAM!$B$44,MAX(0,AX321*$F$1),0),0)*RATES!$L298/12+$H$14*(PARAM!$D$51/12)*RATES!$N298/100</f>
        <v>28.601738170040459</v>
      </c>
      <c r="AX322" s="16">
        <f t="shared" si="209"/>
        <v>475.81924208706272</v>
      </c>
      <c r="AY322" s="15">
        <f t="shared" si="184"/>
        <v>22.170849845882874</v>
      </c>
      <c r="AZ322" s="75">
        <f>AY322*(1-PARAM!$C$27)*$I$15+(MOD($B322,60)=PARAM!$B$56)*($B322&gt;(60-PARAM!$B$56))*HLOOKUP(($B322+PARAM!$B$56)/12,Loyalty,2)*$F$1*MAX(BB321,0)</f>
        <v>18.557001321003963</v>
      </c>
      <c r="BA322" s="75">
        <f>PARAM!$C$26+MAX($G$15-CHOOSE(PARAM!$B$44,MAX(0,BB321*$F$1),0),0)*RATES!$L298/12+$H$15*(PARAM!$D$51/12)*RATES!$N298/100</f>
        <v>28.601738170040459</v>
      </c>
      <c r="BB322" s="16">
        <f t="shared" si="210"/>
        <v>475.81924208706272</v>
      </c>
      <c r="BC322" s="15">
        <f t="shared" si="185"/>
        <v>22.170849845882874</v>
      </c>
      <c r="BD322" s="75">
        <f>BC322*(1-PARAM!$C$27)*$I$16+(MOD($B322,60)=PARAM!$B$56)*($B322&gt;(60-PARAM!$B$56))*HLOOKUP(($B322+PARAM!$B$56)/12,Loyalty,2)*$F$1*MAX(BF321,0)</f>
        <v>18.557001321003963</v>
      </c>
      <c r="BE322" s="75">
        <f>PARAM!$C$26+MAX($G$16-CHOOSE(PARAM!$B$44,MAX(0,BF321*$F$1),0),0)*RATES!$L298/12+$H$16*(PARAM!$D$51/12)*RATES!$N298/100</f>
        <v>28.601738170040459</v>
      </c>
      <c r="BF322" s="16">
        <f t="shared" si="211"/>
        <v>475.81924208706272</v>
      </c>
      <c r="BG322" s="15">
        <f t="shared" si="186"/>
        <v>22.170849845882874</v>
      </c>
      <c r="BH322" s="75">
        <f>BG322*(1-PARAM!$C$27)*$I$17+(MOD($B322,60)=PARAM!$B$56)*($B322&gt;(60-PARAM!$B$56))*HLOOKUP(($B322+PARAM!$B$56)/12,Loyalty,2)*$F$1*MAX(BJ321,0)</f>
        <v>18.557001321003963</v>
      </c>
      <c r="BI322" s="75">
        <f>PARAM!$C$26+MAX($G$17-CHOOSE(PARAM!$B$44,MAX(0,BJ321*$F$1),0),0)*RATES!$L298/12+$H$17*(PARAM!$D$51/12)*RATES!$N298/100</f>
        <v>28.601738170040459</v>
      </c>
      <c r="BJ322" s="16">
        <f t="shared" si="212"/>
        <v>475.81924208706272</v>
      </c>
      <c r="BK322" s="15">
        <f t="shared" si="187"/>
        <v>22.170849845882874</v>
      </c>
      <c r="BL322" s="75">
        <f>BK322*(1-PARAM!$C$27)*$I$18+(MOD($B322,60)=PARAM!$B$56)*($B322&gt;(60-PARAM!$B$56))*HLOOKUP(($B322+PARAM!$B$56)/12,Loyalty,2)*$F$1*MAX(BN321,0)</f>
        <v>18.557001321003963</v>
      </c>
      <c r="BM322" s="75">
        <f>PARAM!$C$26+MAX($G$18-CHOOSE(PARAM!$B$44,MAX(0,BN321*$F$1),0),0)*RATES!$L298/12+$H$18*(PARAM!$D$51/12)*RATES!$N298/100</f>
        <v>28.601738170040459</v>
      </c>
      <c r="BN322" s="16">
        <f t="shared" si="213"/>
        <v>475.81924208706272</v>
      </c>
      <c r="BO322" s="15">
        <f t="shared" si="188"/>
        <v>22.170849845882874</v>
      </c>
      <c r="BP322" s="75">
        <f>BO322*(1-PARAM!$C$27)*$I$19+(MOD($B322,60)=PARAM!$B$56)*($B322&gt;(60-PARAM!$B$56))*HLOOKUP(($B322+PARAM!$B$56)/12,Loyalty,2)*$F$1*MAX(BR321,0)</f>
        <v>18.557001321003963</v>
      </c>
      <c r="BQ322" s="75">
        <f>PARAM!$C$26+MAX($G$19-CHOOSE(PARAM!$B$44,MAX(0,BR321*$F$1),0),0)*RATES!$L298/12+$H$19*(PARAM!$D$51/12)*RATES!$N298/100</f>
        <v>28.601738170040459</v>
      </c>
      <c r="BR322" s="16">
        <f t="shared" si="214"/>
        <v>475.81924208706272</v>
      </c>
      <c r="BS322" s="15">
        <f t="shared" si="189"/>
        <v>22.170849845882874</v>
      </c>
      <c r="BT322" s="75">
        <f>BS322*(1-PARAM!$C$27)*$I$20+(MOD($B322,60)=PARAM!$B$56)*($B322&gt;(60-PARAM!$B$56))*HLOOKUP(($B322+PARAM!$B$56)/12,Loyalty,2)*$F$1*MAX(BV321,0)</f>
        <v>18.557001321003963</v>
      </c>
      <c r="BU322" s="75">
        <f>PARAM!$C$26+MAX($G$20-CHOOSE(PARAM!$B$44,MAX(0,BV321*$F$1),0),0)*RATES!$L298/12+$H$20*(PARAM!$D$51/12)*RATES!$N298/100</f>
        <v>28.601738170040459</v>
      </c>
      <c r="BV322" s="16">
        <f t="shared" si="215"/>
        <v>475.81924208706272</v>
      </c>
      <c r="BW322" s="15">
        <f t="shared" si="190"/>
        <v>22.170849845882874</v>
      </c>
      <c r="BX322" s="75">
        <f>BW322*(1-PARAM!$C$27)*$I$21+(MOD($B322,60)=PARAM!$B$56)*($B322&gt;(60-PARAM!$B$56))*HLOOKUP(($B322+PARAM!$B$56)/12,Loyalty,2)*$F$1*MAX(BZ321,0)</f>
        <v>18.557001321003963</v>
      </c>
      <c r="BY322" s="75">
        <f>PARAM!$C$26+MAX($G$21-CHOOSE(PARAM!$B$44,MAX(0,BZ321*$F$1),0),0)*RATES!$L298/12+$H$21*(PARAM!$D$51/12)*RATES!$N298/100</f>
        <v>28.601738170040459</v>
      </c>
      <c r="BZ322" s="16">
        <f t="shared" si="216"/>
        <v>475.81924208706272</v>
      </c>
      <c r="CA322" s="15">
        <f t="shared" si="191"/>
        <v>22.170849845882874</v>
      </c>
      <c r="CB322" s="75">
        <f>CA322*(1-PARAM!$C$27)*$I$22+(MOD($B322,60)=PARAM!$B$56)*($B322&gt;(60-PARAM!$B$56))*HLOOKUP(($B322+PARAM!$B$56)/12,Loyalty,2)*$F$1*MAX(CD321,0)</f>
        <v>18.557001321003963</v>
      </c>
      <c r="CC322" s="75">
        <f>PARAM!$C$26+MAX($G$22-CHOOSE(PARAM!$B$44,MAX(0,CD321*$F$1),0),0)*RATES!$L298/12+$H$22*(PARAM!$D$51/12)*RATES!$N298/100</f>
        <v>28.601738170040459</v>
      </c>
      <c r="CD322" s="16">
        <f t="shared" si="217"/>
        <v>475.81924208706272</v>
      </c>
      <c r="CE322" s="33">
        <f>IF(0=MOD(B322,12/PARAM!$D$51),1,0)</f>
        <v>1</v>
      </c>
      <c r="CF322" s="15">
        <f t="shared" si="192"/>
        <v>0</v>
      </c>
      <c r="CG322" s="75">
        <f>CF322*(1-PARAM!$C$27)*$R$3+(MOD($B322/12,5)=0)*($B322&gt;60)*HLOOKUP($B322/12,Loyalty,2)*$F$1*MAX(CI321,0)</f>
        <v>0</v>
      </c>
      <c r="CH322" s="75">
        <f>PARAM!$C$26+MAX($P$3-CHOOSE(PARAM!$B$44,MAX(0,CI321*$F$1),0),0)*RATES!$L298/12+$Q$3*(PARAM!$D$51/12)*RATES!$N298/100</f>
        <v>28.833333333333329</v>
      </c>
      <c r="CI322" s="16">
        <f>IF(CI321&gt;0,CI321*PARAM!$C$53,CI321)+CG322-CH322</f>
        <v>-4860.6666666666624</v>
      </c>
      <c r="CJ322" s="15">
        <f t="shared" si="218"/>
        <v>0</v>
      </c>
      <c r="CK322" s="75">
        <f>CJ322*(1-PARAM!$C$27)*$R$4+(MOD($B322/12,5)=0)*($B322&gt;60)*HLOOKUP($B322/12,Loyalty,2)*$F$1*MAX(CM321,0)</f>
        <v>0</v>
      </c>
      <c r="CL322" s="75">
        <f>PARAM!$C$26+MAX($P$4-CHOOSE(PARAM!$B$44,MAX(0,CM321*$F$1),0),0)*RATES!$L298/12+$Q$4*(PARAM!$D$51/12)*RATES!$N298/100</f>
        <v>28.833333333333329</v>
      </c>
      <c r="CM322" s="16">
        <f>IF(CM321&gt;0,CM321*PARAM!$C$53,CM321)+CK322-CL322</f>
        <v>-4860.6666666666624</v>
      </c>
      <c r="CO322" s="176"/>
    </row>
    <row r="323" spans="1:93" x14ac:dyDescent="0.2">
      <c r="A323" t="b">
        <f t="shared" si="193"/>
        <v>0</v>
      </c>
      <c r="B323" s="33">
        <v>296</v>
      </c>
      <c r="C323" s="15">
        <f t="shared" si="194"/>
        <v>20.081305947392778</v>
      </c>
      <c r="D323" s="75">
        <f>C323*(1-PARAM!$C$27)*$I$3+(MOD($B323,60)=PARAM!$B$56)*($B323&gt;(60-PARAM!$B$56))*HLOOKUP(($B323+PARAM!$B$56)/12,Loyalty,2)*$F$1*MAX(F322,0)</f>
        <v>16.808053077967756</v>
      </c>
      <c r="E323" s="75">
        <f>PARAM!$C$26+MAX($G$3-CHOOSE(PARAM!$B$44,MAX(0,F322*$F$1),0),0)*RATES!$L299/12+$H$3*(PARAM!$D$51/12)*RATES!$N299/100</f>
        <v>28.833333333333329</v>
      </c>
      <c r="F323" s="16">
        <f t="shared" si="195"/>
        <v>-70.741480325278928</v>
      </c>
      <c r="G323" s="15">
        <f t="shared" si="196"/>
        <v>22.035289406060361</v>
      </c>
      <c r="H323" s="75">
        <f>G323*(1-PARAM!$C$27)*$I$4+(MOD($B323,60)=PARAM!$B$56)*($B323&gt;(60-PARAM!$B$56))*HLOOKUP(($B323+PARAM!$B$56)/12,Loyalty,2)*$F$1*MAX(J322,0)</f>
        <v>18.443537232872522</v>
      </c>
      <c r="I323" s="75">
        <f>PARAM!$C$26+MAX($G$4-CHOOSE(PARAM!$B$44,MAX(0,J322*$F$1),0),0)*RATES!$L299/12+$H$4*(PARAM!$D$51/12)*RATES!$N299/100</f>
        <v>28.623065720658104</v>
      </c>
      <c r="J323" s="16">
        <f t="shared" si="197"/>
        <v>430.94133726443556</v>
      </c>
      <c r="K323" s="15">
        <f t="shared" si="198"/>
        <v>22.170849845882874</v>
      </c>
      <c r="L323" s="75">
        <f>K323*(1-PARAM!$C$27)*$I$5+(MOD($B323,60)=PARAM!$B$56)*($B323&gt;(60-PARAM!$B$56))*HLOOKUP(($B323+PARAM!$B$56)/12,Loyalty,2)*$F$1*MAX(N322,0)</f>
        <v>18.557001321003963</v>
      </c>
      <c r="M323" s="75">
        <f>PARAM!$C$26+MAX($G$5-CHOOSE(PARAM!$B$44,MAX(0,N322*$F$1),0),0)*RATES!$L299/12+$H$5*(PARAM!$D$51/12)*RATES!$N299/100</f>
        <v>28.60652616127183</v>
      </c>
      <c r="N323" s="16">
        <f t="shared" si="199"/>
        <v>465.76971724679481</v>
      </c>
      <c r="O323" s="15">
        <f t="shared" si="200"/>
        <v>22.170849845882874</v>
      </c>
      <c r="P323" s="75">
        <f>O323*(1-PARAM!$C$27)*$I$6+(MOD($B323,60)=PARAM!$B$56)*($B323&gt;(60-PARAM!$B$56))*HLOOKUP(($B323+PARAM!$B$56)/12,Loyalty,2)*$F$1*MAX(R322,0)</f>
        <v>18.557001321003963</v>
      </c>
      <c r="Q323" s="75">
        <f>PARAM!$C$26+MAX($G$6-CHOOSE(PARAM!$B$44,MAX(0,R322*$F$1),0),0)*RATES!$L299/12+$H$6*(PARAM!$D$51/12)*RATES!$N299/100</f>
        <v>28.60652616127183</v>
      </c>
      <c r="R323" s="16">
        <f t="shared" si="201"/>
        <v>465.76971724679481</v>
      </c>
      <c r="S323" s="15">
        <f t="shared" si="176"/>
        <v>22.170849845882874</v>
      </c>
      <c r="T323" s="75">
        <f>S323*(1-PARAM!$C$27)*$I$7+(MOD($B323,60)=PARAM!$B$56)*($B323&gt;(60-PARAM!$B$56))*HLOOKUP(($B323+PARAM!$B$56)/12,Loyalty,2)*$F$1*MAX(V322,0)</f>
        <v>18.557001321003963</v>
      </c>
      <c r="U323" s="75">
        <f>PARAM!$C$26+MAX($G$7-CHOOSE(PARAM!$B$44,MAX(0,V322*$F$1),0),0)*RATES!$L299/12+$H$7*(PARAM!$D$51/12)*RATES!$N299/100</f>
        <v>28.60652616127183</v>
      </c>
      <c r="V323" s="16">
        <f t="shared" si="202"/>
        <v>465.76971724679481</v>
      </c>
      <c r="W323" s="15">
        <f t="shared" si="177"/>
        <v>22.170849845882874</v>
      </c>
      <c r="X323" s="75">
        <f>W323*(1-PARAM!$C$27)*$I$8+(MOD($B323,60)=PARAM!$B$56)*($B323&gt;(60-PARAM!$B$56))*HLOOKUP(($B323+PARAM!$B$56)/12,Loyalty,2)*$F$1*MAX(Z322,0)</f>
        <v>18.557001321003963</v>
      </c>
      <c r="Y323" s="75">
        <f>PARAM!$C$26+MAX($G$8-CHOOSE(PARAM!$B$44,MAX(0,Z322*$F$1),0),0)*RATES!$L299/12+$H$8*(PARAM!$D$51/12)*RATES!$N299/100</f>
        <v>28.60652616127183</v>
      </c>
      <c r="Z323" s="16">
        <f t="shared" si="203"/>
        <v>465.76971724679481</v>
      </c>
      <c r="AA323" s="15">
        <f t="shared" si="178"/>
        <v>22.170849845882874</v>
      </c>
      <c r="AB323" s="75">
        <f>AA323*(1-PARAM!$C$27)*$I$9+(MOD($B323,60)=PARAM!$B$56)*($B323&gt;(60-PARAM!$B$56))*HLOOKUP(($B323+PARAM!$B$56)/12,Loyalty,2)*$F$1*MAX(AD322,0)</f>
        <v>18.557001321003963</v>
      </c>
      <c r="AC323" s="75">
        <f>PARAM!$C$26+MAX($G$9-CHOOSE(PARAM!$B$44,MAX(0,AD322*$F$1),0),0)*RATES!$L299/12+$H$9*(PARAM!$D$51/12)*RATES!$N299/100</f>
        <v>28.60652616127183</v>
      </c>
      <c r="AD323" s="16">
        <f t="shared" si="204"/>
        <v>465.76971724679481</v>
      </c>
      <c r="AE323" s="15">
        <f t="shared" si="179"/>
        <v>22.170849845882874</v>
      </c>
      <c r="AF323" s="75">
        <f>AE323*(1-PARAM!$C$27)*$I$10+(MOD($B323,60)=PARAM!$B$56)*($B323&gt;(60-PARAM!$B$56))*HLOOKUP(($B323+PARAM!$B$56)/12,Loyalty,2)*$F$1*MAX(AH322,0)</f>
        <v>18.557001321003963</v>
      </c>
      <c r="AG323" s="75">
        <f>PARAM!$C$26+MAX($G$10-CHOOSE(PARAM!$B$44,MAX(0,AH322*$F$1),0),0)*RATES!$L299/12+$H$10*(PARAM!$D$51/12)*RATES!$N299/100</f>
        <v>28.60652616127183</v>
      </c>
      <c r="AH323" s="16">
        <f t="shared" si="205"/>
        <v>465.76971724679481</v>
      </c>
      <c r="AI323" s="15">
        <f t="shared" si="180"/>
        <v>22.170849845882874</v>
      </c>
      <c r="AJ323" s="75">
        <f>AI323*(1-PARAM!$C$27)*$I$11+(MOD($B323,60)=PARAM!$B$56)*($B323&gt;(60-PARAM!$B$56))*HLOOKUP(($B323+PARAM!$B$56)/12,Loyalty,2)*$F$1*MAX(AL322,0)</f>
        <v>18.557001321003963</v>
      </c>
      <c r="AK323" s="75">
        <f>PARAM!$C$26+MAX($G$11-CHOOSE(PARAM!$B$44,MAX(0,AL322*$F$1),0),0)*RATES!$L299/12+$H$11*(PARAM!$D$51/12)*RATES!$N299/100</f>
        <v>28.60652616127183</v>
      </c>
      <c r="AL323" s="16">
        <f t="shared" si="206"/>
        <v>465.76971724679481</v>
      </c>
      <c r="AM323" s="15">
        <f t="shared" si="181"/>
        <v>22.170849845882874</v>
      </c>
      <c r="AN323" s="75">
        <f>AM323*(1-PARAM!$C$27)*$I$12+(MOD($B323,60)=PARAM!$B$56)*($B323&gt;(60-PARAM!$B$56))*HLOOKUP(($B323+PARAM!$B$56)/12,Loyalty,2)*$F$1*MAX(AP322,0)</f>
        <v>18.557001321003963</v>
      </c>
      <c r="AO323" s="75">
        <f>PARAM!$C$26+MAX($G$12-CHOOSE(PARAM!$B$44,MAX(0,AP322*$F$1),0),0)*RATES!$L299/12+$H$12*(PARAM!$D$51/12)*RATES!$N299/100</f>
        <v>28.60652616127183</v>
      </c>
      <c r="AP323" s="16">
        <f t="shared" si="207"/>
        <v>465.76971724679481</v>
      </c>
      <c r="AQ323" s="15">
        <f t="shared" si="182"/>
        <v>22.170849845882874</v>
      </c>
      <c r="AR323" s="75">
        <f>AQ323*(1-PARAM!$C$27)*$I$13+(MOD($B323,60)=PARAM!$B$56)*($B323&gt;(60-PARAM!$B$56))*HLOOKUP(($B323+PARAM!$B$56)/12,Loyalty,2)*$F$1*MAX(AT322,0)</f>
        <v>18.557001321003963</v>
      </c>
      <c r="AS323" s="75">
        <f>PARAM!$C$26+MAX($G$13-CHOOSE(PARAM!$B$44,MAX(0,AT322*$F$1),0),0)*RATES!$L299/12+$H$13*(PARAM!$D$51/12)*RATES!$N299/100</f>
        <v>28.60652616127183</v>
      </c>
      <c r="AT323" s="16">
        <f t="shared" si="208"/>
        <v>465.76971724679481</v>
      </c>
      <c r="AU323" s="15">
        <f t="shared" si="183"/>
        <v>22.170849845882874</v>
      </c>
      <c r="AV323" s="75">
        <f>AU323*(1-PARAM!$C$27)*$I$14+(MOD($B323,60)=PARAM!$B$56)*($B323&gt;(60-PARAM!$B$56))*HLOOKUP(($B323+PARAM!$B$56)/12,Loyalty,2)*$F$1*MAX(AX322,0)</f>
        <v>18.557001321003963</v>
      </c>
      <c r="AW323" s="75">
        <f>PARAM!$C$26+MAX($G$14-CHOOSE(PARAM!$B$44,MAX(0,AX322*$F$1),0),0)*RATES!$L299/12+$H$14*(PARAM!$D$51/12)*RATES!$N299/100</f>
        <v>28.60652616127183</v>
      </c>
      <c r="AX323" s="16">
        <f t="shared" si="209"/>
        <v>465.76971724679481</v>
      </c>
      <c r="AY323" s="15">
        <f t="shared" si="184"/>
        <v>22.170849845882874</v>
      </c>
      <c r="AZ323" s="75">
        <f>AY323*(1-PARAM!$C$27)*$I$15+(MOD($B323,60)=PARAM!$B$56)*($B323&gt;(60-PARAM!$B$56))*HLOOKUP(($B323+PARAM!$B$56)/12,Loyalty,2)*$F$1*MAX(BB322,0)</f>
        <v>18.557001321003963</v>
      </c>
      <c r="BA323" s="75">
        <f>PARAM!$C$26+MAX($G$15-CHOOSE(PARAM!$B$44,MAX(0,BB322*$F$1),0),0)*RATES!$L299/12+$H$15*(PARAM!$D$51/12)*RATES!$N299/100</f>
        <v>28.60652616127183</v>
      </c>
      <c r="BB323" s="16">
        <f t="shared" si="210"/>
        <v>465.76971724679481</v>
      </c>
      <c r="BC323" s="15">
        <f t="shared" si="185"/>
        <v>22.170849845882874</v>
      </c>
      <c r="BD323" s="75">
        <f>BC323*(1-PARAM!$C$27)*$I$16+(MOD($B323,60)=PARAM!$B$56)*($B323&gt;(60-PARAM!$B$56))*HLOOKUP(($B323+PARAM!$B$56)/12,Loyalty,2)*$F$1*MAX(BF322,0)</f>
        <v>18.557001321003963</v>
      </c>
      <c r="BE323" s="75">
        <f>PARAM!$C$26+MAX($G$16-CHOOSE(PARAM!$B$44,MAX(0,BF322*$F$1),0),0)*RATES!$L299/12+$H$16*(PARAM!$D$51/12)*RATES!$N299/100</f>
        <v>28.60652616127183</v>
      </c>
      <c r="BF323" s="16">
        <f t="shared" si="211"/>
        <v>465.76971724679481</v>
      </c>
      <c r="BG323" s="15">
        <f t="shared" si="186"/>
        <v>22.170849845882874</v>
      </c>
      <c r="BH323" s="75">
        <f>BG323*(1-PARAM!$C$27)*$I$17+(MOD($B323,60)=PARAM!$B$56)*($B323&gt;(60-PARAM!$B$56))*HLOOKUP(($B323+PARAM!$B$56)/12,Loyalty,2)*$F$1*MAX(BJ322,0)</f>
        <v>18.557001321003963</v>
      </c>
      <c r="BI323" s="75">
        <f>PARAM!$C$26+MAX($G$17-CHOOSE(PARAM!$B$44,MAX(0,BJ322*$F$1),0),0)*RATES!$L299/12+$H$17*(PARAM!$D$51/12)*RATES!$N299/100</f>
        <v>28.60652616127183</v>
      </c>
      <c r="BJ323" s="16">
        <f t="shared" si="212"/>
        <v>465.76971724679481</v>
      </c>
      <c r="BK323" s="15">
        <f t="shared" si="187"/>
        <v>22.170849845882874</v>
      </c>
      <c r="BL323" s="75">
        <f>BK323*(1-PARAM!$C$27)*$I$18+(MOD($B323,60)=PARAM!$B$56)*($B323&gt;(60-PARAM!$B$56))*HLOOKUP(($B323+PARAM!$B$56)/12,Loyalty,2)*$F$1*MAX(BN322,0)</f>
        <v>18.557001321003963</v>
      </c>
      <c r="BM323" s="75">
        <f>PARAM!$C$26+MAX($G$18-CHOOSE(PARAM!$B$44,MAX(0,BN322*$F$1),0),0)*RATES!$L299/12+$H$18*(PARAM!$D$51/12)*RATES!$N299/100</f>
        <v>28.60652616127183</v>
      </c>
      <c r="BN323" s="16">
        <f t="shared" si="213"/>
        <v>465.76971724679481</v>
      </c>
      <c r="BO323" s="15">
        <f t="shared" si="188"/>
        <v>22.170849845882874</v>
      </c>
      <c r="BP323" s="75">
        <f>BO323*(1-PARAM!$C$27)*$I$19+(MOD($B323,60)=PARAM!$B$56)*($B323&gt;(60-PARAM!$B$56))*HLOOKUP(($B323+PARAM!$B$56)/12,Loyalty,2)*$F$1*MAX(BR322,0)</f>
        <v>18.557001321003963</v>
      </c>
      <c r="BQ323" s="75">
        <f>PARAM!$C$26+MAX($G$19-CHOOSE(PARAM!$B$44,MAX(0,BR322*$F$1),0),0)*RATES!$L299/12+$H$19*(PARAM!$D$51/12)*RATES!$N299/100</f>
        <v>28.60652616127183</v>
      </c>
      <c r="BR323" s="16">
        <f t="shared" si="214"/>
        <v>465.76971724679481</v>
      </c>
      <c r="BS323" s="15">
        <f t="shared" si="189"/>
        <v>22.170849845882874</v>
      </c>
      <c r="BT323" s="75">
        <f>BS323*(1-PARAM!$C$27)*$I$20+(MOD($B323,60)=PARAM!$B$56)*($B323&gt;(60-PARAM!$B$56))*HLOOKUP(($B323+PARAM!$B$56)/12,Loyalty,2)*$F$1*MAX(BV322,0)</f>
        <v>18.557001321003963</v>
      </c>
      <c r="BU323" s="75">
        <f>PARAM!$C$26+MAX($G$20-CHOOSE(PARAM!$B$44,MAX(0,BV322*$F$1),0),0)*RATES!$L299/12+$H$20*(PARAM!$D$51/12)*RATES!$N299/100</f>
        <v>28.60652616127183</v>
      </c>
      <c r="BV323" s="16">
        <f t="shared" si="215"/>
        <v>465.76971724679481</v>
      </c>
      <c r="BW323" s="15">
        <f t="shared" si="190"/>
        <v>22.170849845882874</v>
      </c>
      <c r="BX323" s="75">
        <f>BW323*(1-PARAM!$C$27)*$I$21+(MOD($B323,60)=PARAM!$B$56)*($B323&gt;(60-PARAM!$B$56))*HLOOKUP(($B323+PARAM!$B$56)/12,Loyalty,2)*$F$1*MAX(BZ322,0)</f>
        <v>18.557001321003963</v>
      </c>
      <c r="BY323" s="75">
        <f>PARAM!$C$26+MAX($G$21-CHOOSE(PARAM!$B$44,MAX(0,BZ322*$F$1),0),0)*RATES!$L299/12+$H$21*(PARAM!$D$51/12)*RATES!$N299/100</f>
        <v>28.60652616127183</v>
      </c>
      <c r="BZ323" s="16">
        <f t="shared" si="216"/>
        <v>465.76971724679481</v>
      </c>
      <c r="CA323" s="15">
        <f t="shared" si="191"/>
        <v>22.170849845882874</v>
      </c>
      <c r="CB323" s="75">
        <f>CA323*(1-PARAM!$C$27)*$I$22+(MOD($B323,60)=PARAM!$B$56)*($B323&gt;(60-PARAM!$B$56))*HLOOKUP(($B323+PARAM!$B$56)/12,Loyalty,2)*$F$1*MAX(CD322,0)</f>
        <v>18.557001321003963</v>
      </c>
      <c r="CC323" s="75">
        <f>PARAM!$C$26+MAX($G$22-CHOOSE(PARAM!$B$44,MAX(0,CD322*$F$1),0),0)*RATES!$L299/12+$H$22*(PARAM!$D$51/12)*RATES!$N299/100</f>
        <v>28.60652616127183</v>
      </c>
      <c r="CD323" s="16">
        <f t="shared" si="217"/>
        <v>465.76971724679481</v>
      </c>
      <c r="CE323" s="33">
        <f>IF(0=MOD(B323,12/PARAM!$D$51),1,0)</f>
        <v>1</v>
      </c>
      <c r="CF323" s="15">
        <f t="shared" si="192"/>
        <v>0</v>
      </c>
      <c r="CG323" s="75">
        <f>CF323*(1-PARAM!$C$27)*$R$3+(MOD($B323/12,5)=0)*($B323&gt;60)*HLOOKUP($B323/12,Loyalty,2)*$F$1*MAX(CI322,0)</f>
        <v>0</v>
      </c>
      <c r="CH323" s="75">
        <f>PARAM!$C$26+MAX($P$3-CHOOSE(PARAM!$B$44,MAX(0,CI322*$F$1),0),0)*RATES!$L299/12+$Q$3*(PARAM!$D$51/12)*RATES!$N299/100</f>
        <v>28.833333333333329</v>
      </c>
      <c r="CI323" s="16">
        <f>IF(CI322&gt;0,CI322*PARAM!$C$53,CI322)+CG323-CH323</f>
        <v>-4889.4999999999955</v>
      </c>
      <c r="CJ323" s="15">
        <f t="shared" si="218"/>
        <v>0</v>
      </c>
      <c r="CK323" s="75">
        <f>CJ323*(1-PARAM!$C$27)*$R$4+(MOD($B323/12,5)=0)*($B323&gt;60)*HLOOKUP($B323/12,Loyalty,2)*$F$1*MAX(CM322,0)</f>
        <v>0</v>
      </c>
      <c r="CL323" s="75">
        <f>PARAM!$C$26+MAX($P$4-CHOOSE(PARAM!$B$44,MAX(0,CM322*$F$1),0),0)*RATES!$L299/12+$Q$4*(PARAM!$D$51/12)*RATES!$N299/100</f>
        <v>28.833333333333329</v>
      </c>
      <c r="CM323" s="16">
        <f>IF(CM322&gt;0,CM322*PARAM!$C$53,CM322)+CK323-CL323</f>
        <v>-4889.4999999999955</v>
      </c>
      <c r="CO323" s="176"/>
    </row>
    <row r="324" spans="1:93" x14ac:dyDescent="0.2">
      <c r="A324" t="b">
        <f t="shared" si="193"/>
        <v>0</v>
      </c>
      <c r="B324" s="33">
        <v>297</v>
      </c>
      <c r="C324" s="15">
        <f t="shared" si="194"/>
        <v>20.081305947392778</v>
      </c>
      <c r="D324" s="75">
        <f>C324*(1-PARAM!$C$27)*$I$3+(MOD($B324,60)=PARAM!$B$56)*($B324&gt;(60-PARAM!$B$56))*HLOOKUP(($B324+PARAM!$B$56)/12,Loyalty,2)*$F$1*MAX(F323,0)</f>
        <v>16.808053077967756</v>
      </c>
      <c r="E324" s="75">
        <f>PARAM!$C$26+MAX($G$3-CHOOSE(PARAM!$B$44,MAX(0,F323*$F$1),0),0)*RATES!$L300/12+$H$3*(PARAM!$D$51/12)*RATES!$N300/100</f>
        <v>28.833333333333329</v>
      </c>
      <c r="F324" s="16">
        <f t="shared" si="195"/>
        <v>-82.766760580644501</v>
      </c>
      <c r="G324" s="15">
        <f t="shared" si="196"/>
        <v>22.035289406060361</v>
      </c>
      <c r="H324" s="75">
        <f>G324*(1-PARAM!$C$27)*$I$4+(MOD($B324,60)=PARAM!$B$56)*($B324&gt;(60-PARAM!$B$56))*HLOOKUP(($B324+PARAM!$B$56)/12,Loyalty,2)*$F$1*MAX(J323,0)</f>
        <v>18.443537232872522</v>
      </c>
      <c r="I324" s="75">
        <f>PARAM!$C$26+MAX($G$4-CHOOSE(PARAM!$B$44,MAX(0,J323*$F$1),0),0)*RATES!$L300/12+$H$4*(PARAM!$D$51/12)*RATES!$N300/100</f>
        <v>28.627917962570617</v>
      </c>
      <c r="J324" s="16">
        <f t="shared" si="197"/>
        <v>420.75695653473747</v>
      </c>
      <c r="K324" s="15">
        <f t="shared" si="198"/>
        <v>22.170849845882874</v>
      </c>
      <c r="L324" s="75">
        <f>K324*(1-PARAM!$C$27)*$I$5+(MOD($B324,60)=PARAM!$B$56)*($B324&gt;(60-PARAM!$B$56))*HLOOKUP(($B324+PARAM!$B$56)/12,Loyalty,2)*$F$1*MAX(N323,0)</f>
        <v>18.557001321003963</v>
      </c>
      <c r="M324" s="75">
        <f>PARAM!$C$26+MAX($G$5-CHOOSE(PARAM!$B$44,MAX(0,N323*$F$1),0),0)*RATES!$L300/12+$H$5*(PARAM!$D$51/12)*RATES!$N300/100</f>
        <v>28.611316434779024</v>
      </c>
      <c r="N324" s="16">
        <f t="shared" si="199"/>
        <v>455.71540213301972</v>
      </c>
      <c r="O324" s="15">
        <f t="shared" si="200"/>
        <v>22.170849845882874</v>
      </c>
      <c r="P324" s="75">
        <f>O324*(1-PARAM!$C$27)*$I$6+(MOD($B324,60)=PARAM!$B$56)*($B324&gt;(60-PARAM!$B$56))*HLOOKUP(($B324+PARAM!$B$56)/12,Loyalty,2)*$F$1*MAX(R323,0)</f>
        <v>18.557001321003963</v>
      </c>
      <c r="Q324" s="75">
        <f>PARAM!$C$26+MAX($G$6-CHOOSE(PARAM!$B$44,MAX(0,R323*$F$1),0),0)*RATES!$L300/12+$H$6*(PARAM!$D$51/12)*RATES!$N300/100</f>
        <v>28.611316434779024</v>
      </c>
      <c r="R324" s="16">
        <f t="shared" si="201"/>
        <v>455.71540213301972</v>
      </c>
      <c r="S324" s="15">
        <f t="shared" si="176"/>
        <v>22.170849845882874</v>
      </c>
      <c r="T324" s="75">
        <f>S324*(1-PARAM!$C$27)*$I$7+(MOD($B324,60)=PARAM!$B$56)*($B324&gt;(60-PARAM!$B$56))*HLOOKUP(($B324+PARAM!$B$56)/12,Loyalty,2)*$F$1*MAX(V323,0)</f>
        <v>18.557001321003963</v>
      </c>
      <c r="U324" s="75">
        <f>PARAM!$C$26+MAX($G$7-CHOOSE(PARAM!$B$44,MAX(0,V323*$F$1),0),0)*RATES!$L300/12+$H$7*(PARAM!$D$51/12)*RATES!$N300/100</f>
        <v>28.611316434779024</v>
      </c>
      <c r="V324" s="16">
        <f t="shared" si="202"/>
        <v>455.71540213301972</v>
      </c>
      <c r="W324" s="15">
        <f t="shared" si="177"/>
        <v>22.170849845882874</v>
      </c>
      <c r="X324" s="75">
        <f>W324*(1-PARAM!$C$27)*$I$8+(MOD($B324,60)=PARAM!$B$56)*($B324&gt;(60-PARAM!$B$56))*HLOOKUP(($B324+PARAM!$B$56)/12,Loyalty,2)*$F$1*MAX(Z323,0)</f>
        <v>18.557001321003963</v>
      </c>
      <c r="Y324" s="75">
        <f>PARAM!$C$26+MAX($G$8-CHOOSE(PARAM!$B$44,MAX(0,Z323*$F$1),0),0)*RATES!$L300/12+$H$8*(PARAM!$D$51/12)*RATES!$N300/100</f>
        <v>28.611316434779024</v>
      </c>
      <c r="Z324" s="16">
        <f t="shared" si="203"/>
        <v>455.71540213301972</v>
      </c>
      <c r="AA324" s="15">
        <f t="shared" si="178"/>
        <v>22.170849845882874</v>
      </c>
      <c r="AB324" s="75">
        <f>AA324*(1-PARAM!$C$27)*$I$9+(MOD($B324,60)=PARAM!$B$56)*($B324&gt;(60-PARAM!$B$56))*HLOOKUP(($B324+PARAM!$B$56)/12,Loyalty,2)*$F$1*MAX(AD323,0)</f>
        <v>18.557001321003963</v>
      </c>
      <c r="AC324" s="75">
        <f>PARAM!$C$26+MAX($G$9-CHOOSE(PARAM!$B$44,MAX(0,AD323*$F$1),0),0)*RATES!$L300/12+$H$9*(PARAM!$D$51/12)*RATES!$N300/100</f>
        <v>28.611316434779024</v>
      </c>
      <c r="AD324" s="16">
        <f t="shared" si="204"/>
        <v>455.71540213301972</v>
      </c>
      <c r="AE324" s="15">
        <f t="shared" si="179"/>
        <v>22.170849845882874</v>
      </c>
      <c r="AF324" s="75">
        <f>AE324*(1-PARAM!$C$27)*$I$10+(MOD($B324,60)=PARAM!$B$56)*($B324&gt;(60-PARAM!$B$56))*HLOOKUP(($B324+PARAM!$B$56)/12,Loyalty,2)*$F$1*MAX(AH323,0)</f>
        <v>18.557001321003963</v>
      </c>
      <c r="AG324" s="75">
        <f>PARAM!$C$26+MAX($G$10-CHOOSE(PARAM!$B$44,MAX(0,AH323*$F$1),0),0)*RATES!$L300/12+$H$10*(PARAM!$D$51/12)*RATES!$N300/100</f>
        <v>28.611316434779024</v>
      </c>
      <c r="AH324" s="16">
        <f t="shared" si="205"/>
        <v>455.71540213301972</v>
      </c>
      <c r="AI324" s="15">
        <f t="shared" si="180"/>
        <v>22.170849845882874</v>
      </c>
      <c r="AJ324" s="75">
        <f>AI324*(1-PARAM!$C$27)*$I$11+(MOD($B324,60)=PARAM!$B$56)*($B324&gt;(60-PARAM!$B$56))*HLOOKUP(($B324+PARAM!$B$56)/12,Loyalty,2)*$F$1*MAX(AL323,0)</f>
        <v>18.557001321003963</v>
      </c>
      <c r="AK324" s="75">
        <f>PARAM!$C$26+MAX($G$11-CHOOSE(PARAM!$B$44,MAX(0,AL323*$F$1),0),0)*RATES!$L300/12+$H$11*(PARAM!$D$51/12)*RATES!$N300/100</f>
        <v>28.611316434779024</v>
      </c>
      <c r="AL324" s="16">
        <f t="shared" si="206"/>
        <v>455.71540213301972</v>
      </c>
      <c r="AM324" s="15">
        <f t="shared" si="181"/>
        <v>22.170849845882874</v>
      </c>
      <c r="AN324" s="75">
        <f>AM324*(1-PARAM!$C$27)*$I$12+(MOD($B324,60)=PARAM!$B$56)*($B324&gt;(60-PARAM!$B$56))*HLOOKUP(($B324+PARAM!$B$56)/12,Loyalty,2)*$F$1*MAX(AP323,0)</f>
        <v>18.557001321003963</v>
      </c>
      <c r="AO324" s="75">
        <f>PARAM!$C$26+MAX($G$12-CHOOSE(PARAM!$B$44,MAX(0,AP323*$F$1),0),0)*RATES!$L300/12+$H$12*(PARAM!$D$51/12)*RATES!$N300/100</f>
        <v>28.611316434779024</v>
      </c>
      <c r="AP324" s="16">
        <f t="shared" si="207"/>
        <v>455.71540213301972</v>
      </c>
      <c r="AQ324" s="15">
        <f t="shared" si="182"/>
        <v>22.170849845882874</v>
      </c>
      <c r="AR324" s="75">
        <f>AQ324*(1-PARAM!$C$27)*$I$13+(MOD($B324,60)=PARAM!$B$56)*($B324&gt;(60-PARAM!$B$56))*HLOOKUP(($B324+PARAM!$B$56)/12,Loyalty,2)*$F$1*MAX(AT323,0)</f>
        <v>18.557001321003963</v>
      </c>
      <c r="AS324" s="75">
        <f>PARAM!$C$26+MAX($G$13-CHOOSE(PARAM!$B$44,MAX(0,AT323*$F$1),0),0)*RATES!$L300/12+$H$13*(PARAM!$D$51/12)*RATES!$N300/100</f>
        <v>28.611316434779024</v>
      </c>
      <c r="AT324" s="16">
        <f t="shared" si="208"/>
        <v>455.71540213301972</v>
      </c>
      <c r="AU324" s="15">
        <f t="shared" si="183"/>
        <v>22.170849845882874</v>
      </c>
      <c r="AV324" s="75">
        <f>AU324*(1-PARAM!$C$27)*$I$14+(MOD($B324,60)=PARAM!$B$56)*($B324&gt;(60-PARAM!$B$56))*HLOOKUP(($B324+PARAM!$B$56)/12,Loyalty,2)*$F$1*MAX(AX323,0)</f>
        <v>18.557001321003963</v>
      </c>
      <c r="AW324" s="75">
        <f>PARAM!$C$26+MAX($G$14-CHOOSE(PARAM!$B$44,MAX(0,AX323*$F$1),0),0)*RATES!$L300/12+$H$14*(PARAM!$D$51/12)*RATES!$N300/100</f>
        <v>28.611316434779024</v>
      </c>
      <c r="AX324" s="16">
        <f t="shared" si="209"/>
        <v>455.71540213301972</v>
      </c>
      <c r="AY324" s="15">
        <f t="shared" si="184"/>
        <v>22.170849845882874</v>
      </c>
      <c r="AZ324" s="75">
        <f>AY324*(1-PARAM!$C$27)*$I$15+(MOD($B324,60)=PARAM!$B$56)*($B324&gt;(60-PARAM!$B$56))*HLOOKUP(($B324+PARAM!$B$56)/12,Loyalty,2)*$F$1*MAX(BB323,0)</f>
        <v>18.557001321003963</v>
      </c>
      <c r="BA324" s="75">
        <f>PARAM!$C$26+MAX($G$15-CHOOSE(PARAM!$B$44,MAX(0,BB323*$F$1),0),0)*RATES!$L300/12+$H$15*(PARAM!$D$51/12)*RATES!$N300/100</f>
        <v>28.611316434779024</v>
      </c>
      <c r="BB324" s="16">
        <f t="shared" si="210"/>
        <v>455.71540213301972</v>
      </c>
      <c r="BC324" s="15">
        <f t="shared" si="185"/>
        <v>22.170849845882874</v>
      </c>
      <c r="BD324" s="75">
        <f>BC324*(1-PARAM!$C$27)*$I$16+(MOD($B324,60)=PARAM!$B$56)*($B324&gt;(60-PARAM!$B$56))*HLOOKUP(($B324+PARAM!$B$56)/12,Loyalty,2)*$F$1*MAX(BF323,0)</f>
        <v>18.557001321003963</v>
      </c>
      <c r="BE324" s="75">
        <f>PARAM!$C$26+MAX($G$16-CHOOSE(PARAM!$B$44,MAX(0,BF323*$F$1),0),0)*RATES!$L300/12+$H$16*(PARAM!$D$51/12)*RATES!$N300/100</f>
        <v>28.611316434779024</v>
      </c>
      <c r="BF324" s="16">
        <f t="shared" si="211"/>
        <v>455.71540213301972</v>
      </c>
      <c r="BG324" s="15">
        <f t="shared" si="186"/>
        <v>22.170849845882874</v>
      </c>
      <c r="BH324" s="75">
        <f>BG324*(1-PARAM!$C$27)*$I$17+(MOD($B324,60)=PARAM!$B$56)*($B324&gt;(60-PARAM!$B$56))*HLOOKUP(($B324+PARAM!$B$56)/12,Loyalty,2)*$F$1*MAX(BJ323,0)</f>
        <v>18.557001321003963</v>
      </c>
      <c r="BI324" s="75">
        <f>PARAM!$C$26+MAX($G$17-CHOOSE(PARAM!$B$44,MAX(0,BJ323*$F$1),0),0)*RATES!$L300/12+$H$17*(PARAM!$D$51/12)*RATES!$N300/100</f>
        <v>28.611316434779024</v>
      </c>
      <c r="BJ324" s="16">
        <f t="shared" si="212"/>
        <v>455.71540213301972</v>
      </c>
      <c r="BK324" s="15">
        <f t="shared" si="187"/>
        <v>22.170849845882874</v>
      </c>
      <c r="BL324" s="75">
        <f>BK324*(1-PARAM!$C$27)*$I$18+(MOD($B324,60)=PARAM!$B$56)*($B324&gt;(60-PARAM!$B$56))*HLOOKUP(($B324+PARAM!$B$56)/12,Loyalty,2)*$F$1*MAX(BN323,0)</f>
        <v>18.557001321003963</v>
      </c>
      <c r="BM324" s="75">
        <f>PARAM!$C$26+MAX($G$18-CHOOSE(PARAM!$B$44,MAX(0,BN323*$F$1),0),0)*RATES!$L300/12+$H$18*(PARAM!$D$51/12)*RATES!$N300/100</f>
        <v>28.611316434779024</v>
      </c>
      <c r="BN324" s="16">
        <f t="shared" si="213"/>
        <v>455.71540213301972</v>
      </c>
      <c r="BO324" s="15">
        <f t="shared" si="188"/>
        <v>22.170849845882874</v>
      </c>
      <c r="BP324" s="75">
        <f>BO324*(1-PARAM!$C$27)*$I$19+(MOD($B324,60)=PARAM!$B$56)*($B324&gt;(60-PARAM!$B$56))*HLOOKUP(($B324+PARAM!$B$56)/12,Loyalty,2)*$F$1*MAX(BR323,0)</f>
        <v>18.557001321003963</v>
      </c>
      <c r="BQ324" s="75">
        <f>PARAM!$C$26+MAX($G$19-CHOOSE(PARAM!$B$44,MAX(0,BR323*$F$1),0),0)*RATES!$L300/12+$H$19*(PARAM!$D$51/12)*RATES!$N300/100</f>
        <v>28.611316434779024</v>
      </c>
      <c r="BR324" s="16">
        <f t="shared" si="214"/>
        <v>455.71540213301972</v>
      </c>
      <c r="BS324" s="15">
        <f t="shared" si="189"/>
        <v>22.170849845882874</v>
      </c>
      <c r="BT324" s="75">
        <f>BS324*(1-PARAM!$C$27)*$I$20+(MOD($B324,60)=PARAM!$B$56)*($B324&gt;(60-PARAM!$B$56))*HLOOKUP(($B324+PARAM!$B$56)/12,Loyalty,2)*$F$1*MAX(BV323,0)</f>
        <v>18.557001321003963</v>
      </c>
      <c r="BU324" s="75">
        <f>PARAM!$C$26+MAX($G$20-CHOOSE(PARAM!$B$44,MAX(0,BV323*$F$1),0),0)*RATES!$L300/12+$H$20*(PARAM!$D$51/12)*RATES!$N300/100</f>
        <v>28.611316434779024</v>
      </c>
      <c r="BV324" s="16">
        <f t="shared" si="215"/>
        <v>455.71540213301972</v>
      </c>
      <c r="BW324" s="15">
        <f t="shared" si="190"/>
        <v>22.170849845882874</v>
      </c>
      <c r="BX324" s="75">
        <f>BW324*(1-PARAM!$C$27)*$I$21+(MOD($B324,60)=PARAM!$B$56)*($B324&gt;(60-PARAM!$B$56))*HLOOKUP(($B324+PARAM!$B$56)/12,Loyalty,2)*$F$1*MAX(BZ323,0)</f>
        <v>18.557001321003963</v>
      </c>
      <c r="BY324" s="75">
        <f>PARAM!$C$26+MAX($G$21-CHOOSE(PARAM!$B$44,MAX(0,BZ323*$F$1),0),0)*RATES!$L300/12+$H$21*(PARAM!$D$51/12)*RATES!$N300/100</f>
        <v>28.611316434779024</v>
      </c>
      <c r="BZ324" s="16">
        <f t="shared" si="216"/>
        <v>455.71540213301972</v>
      </c>
      <c r="CA324" s="15">
        <f t="shared" si="191"/>
        <v>22.170849845882874</v>
      </c>
      <c r="CB324" s="75">
        <f>CA324*(1-PARAM!$C$27)*$I$22+(MOD($B324,60)=PARAM!$B$56)*($B324&gt;(60-PARAM!$B$56))*HLOOKUP(($B324+PARAM!$B$56)/12,Loyalty,2)*$F$1*MAX(CD323,0)</f>
        <v>18.557001321003963</v>
      </c>
      <c r="CC324" s="75">
        <f>PARAM!$C$26+MAX($G$22-CHOOSE(PARAM!$B$44,MAX(0,CD323*$F$1),0),0)*RATES!$L300/12+$H$22*(PARAM!$D$51/12)*RATES!$N300/100</f>
        <v>28.611316434779024</v>
      </c>
      <c r="CD324" s="16">
        <f t="shared" si="217"/>
        <v>455.71540213301972</v>
      </c>
      <c r="CE324" s="33">
        <f>IF(0=MOD(B324,12/PARAM!$D$51),1,0)</f>
        <v>1</v>
      </c>
      <c r="CF324" s="15">
        <f t="shared" si="192"/>
        <v>0</v>
      </c>
      <c r="CG324" s="75">
        <f>CF324*(1-PARAM!$C$27)*$R$3+(MOD($B324/12,5)=0)*($B324&gt;60)*HLOOKUP($B324/12,Loyalty,2)*$F$1*MAX(CI323,0)</f>
        <v>0</v>
      </c>
      <c r="CH324" s="75">
        <f>PARAM!$C$26+MAX($P$3-CHOOSE(PARAM!$B$44,MAX(0,CI323*$F$1),0),0)*RATES!$L300/12+$Q$3*(PARAM!$D$51/12)*RATES!$N300/100</f>
        <v>28.833333333333329</v>
      </c>
      <c r="CI324" s="16">
        <f>IF(CI323&gt;0,CI323*PARAM!$C$53,CI323)+CG324-CH324</f>
        <v>-4918.3333333333285</v>
      </c>
      <c r="CJ324" s="15">
        <f t="shared" si="218"/>
        <v>0</v>
      </c>
      <c r="CK324" s="75">
        <f>CJ324*(1-PARAM!$C$27)*$R$4+(MOD($B324/12,5)=0)*($B324&gt;60)*HLOOKUP($B324/12,Loyalty,2)*$F$1*MAX(CM323,0)</f>
        <v>0</v>
      </c>
      <c r="CL324" s="75">
        <f>PARAM!$C$26+MAX($P$4-CHOOSE(PARAM!$B$44,MAX(0,CM323*$F$1),0),0)*RATES!$L300/12+$Q$4*(PARAM!$D$51/12)*RATES!$N300/100</f>
        <v>28.833333333333329</v>
      </c>
      <c r="CM324" s="16">
        <f>IF(CM323&gt;0,CM323*PARAM!$C$53,CM323)+CK324-CL324</f>
        <v>-4918.3333333333285</v>
      </c>
      <c r="CO324" s="176"/>
    </row>
    <row r="325" spans="1:93" x14ac:dyDescent="0.2">
      <c r="A325" t="b">
        <f t="shared" si="193"/>
        <v>0</v>
      </c>
      <c r="B325" s="33">
        <v>298</v>
      </c>
      <c r="C325" s="15">
        <f t="shared" si="194"/>
        <v>20.081305947392778</v>
      </c>
      <c r="D325" s="75">
        <f>C325*(1-PARAM!$C$27)*$I$3+(MOD($B325,60)=PARAM!$B$56)*($B325&gt;(60-PARAM!$B$56))*HLOOKUP(($B325+PARAM!$B$56)/12,Loyalty,2)*$F$1*MAX(F324,0)</f>
        <v>16.808053077967756</v>
      </c>
      <c r="E325" s="75">
        <f>PARAM!$C$26+MAX($G$3-CHOOSE(PARAM!$B$44,MAX(0,F324*$F$1),0),0)*RATES!$L301/12+$H$3*(PARAM!$D$51/12)*RATES!$N301/100</f>
        <v>28.833333333333329</v>
      </c>
      <c r="F325" s="16">
        <f t="shared" si="195"/>
        <v>-94.792040836010074</v>
      </c>
      <c r="G325" s="15">
        <f t="shared" si="196"/>
        <v>22.035289406060361</v>
      </c>
      <c r="H325" s="75">
        <f>G325*(1-PARAM!$C$27)*$I$4+(MOD($B325,60)=PARAM!$B$56)*($B325&gt;(60-PARAM!$B$56))*HLOOKUP(($B325+PARAM!$B$56)/12,Loyalty,2)*$F$1*MAX(J324,0)</f>
        <v>18.443537232872522</v>
      </c>
      <c r="I325" s="75">
        <f>PARAM!$C$26+MAX($G$4-CHOOSE(PARAM!$B$44,MAX(0,J324*$F$1),0),0)*RATES!$L301/12+$H$4*(PARAM!$D$51/12)*RATES!$N301/100</f>
        <v>28.632772517385106</v>
      </c>
      <c r="J325" s="16">
        <f t="shared" si="197"/>
        <v>410.56772125022491</v>
      </c>
      <c r="K325" s="15">
        <f t="shared" si="198"/>
        <v>22.170849845882874</v>
      </c>
      <c r="L325" s="75">
        <f>K325*(1-PARAM!$C$27)*$I$5+(MOD($B325,60)=PARAM!$B$56)*($B325&gt;(60-PARAM!$B$56))*HLOOKUP(($B325+PARAM!$B$56)/12,Loyalty,2)*$F$1*MAX(N324,0)</f>
        <v>18.557001321003963</v>
      </c>
      <c r="M325" s="75">
        <f>PARAM!$C$26+MAX($G$5-CHOOSE(PARAM!$B$44,MAX(0,N324*$F$1),0),0)*RATES!$L301/12+$H$5*(PARAM!$D$51/12)*RATES!$N301/100</f>
        <v>28.616108991649924</v>
      </c>
      <c r="N325" s="16">
        <f t="shared" si="199"/>
        <v>445.65629446237375</v>
      </c>
      <c r="O325" s="15">
        <f t="shared" si="200"/>
        <v>22.170849845882874</v>
      </c>
      <c r="P325" s="75">
        <f>O325*(1-PARAM!$C$27)*$I$6+(MOD($B325,60)=PARAM!$B$56)*($B325&gt;(60-PARAM!$B$56))*HLOOKUP(($B325+PARAM!$B$56)/12,Loyalty,2)*$F$1*MAX(R324,0)</f>
        <v>18.557001321003963</v>
      </c>
      <c r="Q325" s="75">
        <f>PARAM!$C$26+MAX($G$6-CHOOSE(PARAM!$B$44,MAX(0,R324*$F$1),0),0)*RATES!$L301/12+$H$6*(PARAM!$D$51/12)*RATES!$N301/100</f>
        <v>28.616108991649924</v>
      </c>
      <c r="R325" s="16">
        <f t="shared" si="201"/>
        <v>445.65629446237375</v>
      </c>
      <c r="S325" s="15">
        <f t="shared" si="176"/>
        <v>22.170849845882874</v>
      </c>
      <c r="T325" s="75">
        <f>S325*(1-PARAM!$C$27)*$I$7+(MOD($B325,60)=PARAM!$B$56)*($B325&gt;(60-PARAM!$B$56))*HLOOKUP(($B325+PARAM!$B$56)/12,Loyalty,2)*$F$1*MAX(V324,0)</f>
        <v>18.557001321003963</v>
      </c>
      <c r="U325" s="75">
        <f>PARAM!$C$26+MAX($G$7-CHOOSE(PARAM!$B$44,MAX(0,V324*$F$1),0),0)*RATES!$L301/12+$H$7*(PARAM!$D$51/12)*RATES!$N301/100</f>
        <v>28.616108991649924</v>
      </c>
      <c r="V325" s="16">
        <f t="shared" si="202"/>
        <v>445.65629446237375</v>
      </c>
      <c r="W325" s="15">
        <f t="shared" si="177"/>
        <v>22.170849845882874</v>
      </c>
      <c r="X325" s="75">
        <f>W325*(1-PARAM!$C$27)*$I$8+(MOD($B325,60)=PARAM!$B$56)*($B325&gt;(60-PARAM!$B$56))*HLOOKUP(($B325+PARAM!$B$56)/12,Loyalty,2)*$F$1*MAX(Z324,0)</f>
        <v>18.557001321003963</v>
      </c>
      <c r="Y325" s="75">
        <f>PARAM!$C$26+MAX($G$8-CHOOSE(PARAM!$B$44,MAX(0,Z324*$F$1),0),0)*RATES!$L301/12+$H$8*(PARAM!$D$51/12)*RATES!$N301/100</f>
        <v>28.616108991649924</v>
      </c>
      <c r="Z325" s="16">
        <f t="shared" si="203"/>
        <v>445.65629446237375</v>
      </c>
      <c r="AA325" s="15">
        <f t="shared" si="178"/>
        <v>22.170849845882874</v>
      </c>
      <c r="AB325" s="75">
        <f>AA325*(1-PARAM!$C$27)*$I$9+(MOD($B325,60)=PARAM!$B$56)*($B325&gt;(60-PARAM!$B$56))*HLOOKUP(($B325+PARAM!$B$56)/12,Loyalty,2)*$F$1*MAX(AD324,0)</f>
        <v>18.557001321003963</v>
      </c>
      <c r="AC325" s="75">
        <f>PARAM!$C$26+MAX($G$9-CHOOSE(PARAM!$B$44,MAX(0,AD324*$F$1),0),0)*RATES!$L301/12+$H$9*(PARAM!$D$51/12)*RATES!$N301/100</f>
        <v>28.616108991649924</v>
      </c>
      <c r="AD325" s="16">
        <f t="shared" si="204"/>
        <v>445.65629446237375</v>
      </c>
      <c r="AE325" s="15">
        <f t="shared" si="179"/>
        <v>22.170849845882874</v>
      </c>
      <c r="AF325" s="75">
        <f>AE325*(1-PARAM!$C$27)*$I$10+(MOD($B325,60)=PARAM!$B$56)*($B325&gt;(60-PARAM!$B$56))*HLOOKUP(($B325+PARAM!$B$56)/12,Loyalty,2)*$F$1*MAX(AH324,0)</f>
        <v>18.557001321003963</v>
      </c>
      <c r="AG325" s="75">
        <f>PARAM!$C$26+MAX($G$10-CHOOSE(PARAM!$B$44,MAX(0,AH324*$F$1),0),0)*RATES!$L301/12+$H$10*(PARAM!$D$51/12)*RATES!$N301/100</f>
        <v>28.616108991649924</v>
      </c>
      <c r="AH325" s="16">
        <f t="shared" si="205"/>
        <v>445.65629446237375</v>
      </c>
      <c r="AI325" s="15">
        <f t="shared" si="180"/>
        <v>22.170849845882874</v>
      </c>
      <c r="AJ325" s="75">
        <f>AI325*(1-PARAM!$C$27)*$I$11+(MOD($B325,60)=PARAM!$B$56)*($B325&gt;(60-PARAM!$B$56))*HLOOKUP(($B325+PARAM!$B$56)/12,Loyalty,2)*$F$1*MAX(AL324,0)</f>
        <v>18.557001321003963</v>
      </c>
      <c r="AK325" s="75">
        <f>PARAM!$C$26+MAX($G$11-CHOOSE(PARAM!$B$44,MAX(0,AL324*$F$1),0),0)*RATES!$L301/12+$H$11*(PARAM!$D$51/12)*RATES!$N301/100</f>
        <v>28.616108991649924</v>
      </c>
      <c r="AL325" s="16">
        <f t="shared" si="206"/>
        <v>445.65629446237375</v>
      </c>
      <c r="AM325" s="15">
        <f t="shared" si="181"/>
        <v>22.170849845882874</v>
      </c>
      <c r="AN325" s="75">
        <f>AM325*(1-PARAM!$C$27)*$I$12+(MOD($B325,60)=PARAM!$B$56)*($B325&gt;(60-PARAM!$B$56))*HLOOKUP(($B325+PARAM!$B$56)/12,Loyalty,2)*$F$1*MAX(AP324,0)</f>
        <v>18.557001321003963</v>
      </c>
      <c r="AO325" s="75">
        <f>PARAM!$C$26+MAX($G$12-CHOOSE(PARAM!$B$44,MAX(0,AP324*$F$1),0),0)*RATES!$L301/12+$H$12*(PARAM!$D$51/12)*RATES!$N301/100</f>
        <v>28.616108991649924</v>
      </c>
      <c r="AP325" s="16">
        <f t="shared" si="207"/>
        <v>445.65629446237375</v>
      </c>
      <c r="AQ325" s="15">
        <f t="shared" si="182"/>
        <v>22.170849845882874</v>
      </c>
      <c r="AR325" s="75">
        <f>AQ325*(1-PARAM!$C$27)*$I$13+(MOD($B325,60)=PARAM!$B$56)*($B325&gt;(60-PARAM!$B$56))*HLOOKUP(($B325+PARAM!$B$56)/12,Loyalty,2)*$F$1*MAX(AT324,0)</f>
        <v>18.557001321003963</v>
      </c>
      <c r="AS325" s="75">
        <f>PARAM!$C$26+MAX($G$13-CHOOSE(PARAM!$B$44,MAX(0,AT324*$F$1),0),0)*RATES!$L301/12+$H$13*(PARAM!$D$51/12)*RATES!$N301/100</f>
        <v>28.616108991649924</v>
      </c>
      <c r="AT325" s="16">
        <f t="shared" si="208"/>
        <v>445.65629446237375</v>
      </c>
      <c r="AU325" s="15">
        <f t="shared" si="183"/>
        <v>22.170849845882874</v>
      </c>
      <c r="AV325" s="75">
        <f>AU325*(1-PARAM!$C$27)*$I$14+(MOD($B325,60)=PARAM!$B$56)*($B325&gt;(60-PARAM!$B$56))*HLOOKUP(($B325+PARAM!$B$56)/12,Loyalty,2)*$F$1*MAX(AX324,0)</f>
        <v>18.557001321003963</v>
      </c>
      <c r="AW325" s="75">
        <f>PARAM!$C$26+MAX($G$14-CHOOSE(PARAM!$B$44,MAX(0,AX324*$F$1),0),0)*RATES!$L301/12+$H$14*(PARAM!$D$51/12)*RATES!$N301/100</f>
        <v>28.616108991649924</v>
      </c>
      <c r="AX325" s="16">
        <f t="shared" si="209"/>
        <v>445.65629446237375</v>
      </c>
      <c r="AY325" s="15">
        <f t="shared" si="184"/>
        <v>22.170849845882874</v>
      </c>
      <c r="AZ325" s="75">
        <f>AY325*(1-PARAM!$C$27)*$I$15+(MOD($B325,60)=PARAM!$B$56)*($B325&gt;(60-PARAM!$B$56))*HLOOKUP(($B325+PARAM!$B$56)/12,Loyalty,2)*$F$1*MAX(BB324,0)</f>
        <v>18.557001321003963</v>
      </c>
      <c r="BA325" s="75">
        <f>PARAM!$C$26+MAX($G$15-CHOOSE(PARAM!$B$44,MAX(0,BB324*$F$1),0),0)*RATES!$L301/12+$H$15*(PARAM!$D$51/12)*RATES!$N301/100</f>
        <v>28.616108991649924</v>
      </c>
      <c r="BB325" s="16">
        <f t="shared" si="210"/>
        <v>445.65629446237375</v>
      </c>
      <c r="BC325" s="15">
        <f t="shared" si="185"/>
        <v>22.170849845882874</v>
      </c>
      <c r="BD325" s="75">
        <f>BC325*(1-PARAM!$C$27)*$I$16+(MOD($B325,60)=PARAM!$B$56)*($B325&gt;(60-PARAM!$B$56))*HLOOKUP(($B325+PARAM!$B$56)/12,Loyalty,2)*$F$1*MAX(BF324,0)</f>
        <v>18.557001321003963</v>
      </c>
      <c r="BE325" s="75">
        <f>PARAM!$C$26+MAX($G$16-CHOOSE(PARAM!$B$44,MAX(0,BF324*$F$1),0),0)*RATES!$L301/12+$H$16*(PARAM!$D$51/12)*RATES!$N301/100</f>
        <v>28.616108991649924</v>
      </c>
      <c r="BF325" s="16">
        <f t="shared" si="211"/>
        <v>445.65629446237375</v>
      </c>
      <c r="BG325" s="15">
        <f t="shared" si="186"/>
        <v>22.170849845882874</v>
      </c>
      <c r="BH325" s="75">
        <f>BG325*(1-PARAM!$C$27)*$I$17+(MOD($B325,60)=PARAM!$B$56)*($B325&gt;(60-PARAM!$B$56))*HLOOKUP(($B325+PARAM!$B$56)/12,Loyalty,2)*$F$1*MAX(BJ324,0)</f>
        <v>18.557001321003963</v>
      </c>
      <c r="BI325" s="75">
        <f>PARAM!$C$26+MAX($G$17-CHOOSE(PARAM!$B$44,MAX(0,BJ324*$F$1),0),0)*RATES!$L301/12+$H$17*(PARAM!$D$51/12)*RATES!$N301/100</f>
        <v>28.616108991649924</v>
      </c>
      <c r="BJ325" s="16">
        <f t="shared" si="212"/>
        <v>445.65629446237375</v>
      </c>
      <c r="BK325" s="15">
        <f t="shared" si="187"/>
        <v>22.170849845882874</v>
      </c>
      <c r="BL325" s="75">
        <f>BK325*(1-PARAM!$C$27)*$I$18+(MOD($B325,60)=PARAM!$B$56)*($B325&gt;(60-PARAM!$B$56))*HLOOKUP(($B325+PARAM!$B$56)/12,Loyalty,2)*$F$1*MAX(BN324,0)</f>
        <v>18.557001321003963</v>
      </c>
      <c r="BM325" s="75">
        <f>PARAM!$C$26+MAX($G$18-CHOOSE(PARAM!$B$44,MAX(0,BN324*$F$1),0),0)*RATES!$L301/12+$H$18*(PARAM!$D$51/12)*RATES!$N301/100</f>
        <v>28.616108991649924</v>
      </c>
      <c r="BN325" s="16">
        <f t="shared" si="213"/>
        <v>445.65629446237375</v>
      </c>
      <c r="BO325" s="15">
        <f t="shared" si="188"/>
        <v>22.170849845882874</v>
      </c>
      <c r="BP325" s="75">
        <f>BO325*(1-PARAM!$C$27)*$I$19+(MOD($B325,60)=PARAM!$B$56)*($B325&gt;(60-PARAM!$B$56))*HLOOKUP(($B325+PARAM!$B$56)/12,Loyalty,2)*$F$1*MAX(BR324,0)</f>
        <v>18.557001321003963</v>
      </c>
      <c r="BQ325" s="75">
        <f>PARAM!$C$26+MAX($G$19-CHOOSE(PARAM!$B$44,MAX(0,BR324*$F$1),0),0)*RATES!$L301/12+$H$19*(PARAM!$D$51/12)*RATES!$N301/100</f>
        <v>28.616108991649924</v>
      </c>
      <c r="BR325" s="16">
        <f t="shared" si="214"/>
        <v>445.65629446237375</v>
      </c>
      <c r="BS325" s="15">
        <f t="shared" si="189"/>
        <v>22.170849845882874</v>
      </c>
      <c r="BT325" s="75">
        <f>BS325*(1-PARAM!$C$27)*$I$20+(MOD($B325,60)=PARAM!$B$56)*($B325&gt;(60-PARAM!$B$56))*HLOOKUP(($B325+PARAM!$B$56)/12,Loyalty,2)*$F$1*MAX(BV324,0)</f>
        <v>18.557001321003963</v>
      </c>
      <c r="BU325" s="75">
        <f>PARAM!$C$26+MAX($G$20-CHOOSE(PARAM!$B$44,MAX(0,BV324*$F$1),0),0)*RATES!$L301/12+$H$20*(PARAM!$D$51/12)*RATES!$N301/100</f>
        <v>28.616108991649924</v>
      </c>
      <c r="BV325" s="16">
        <f t="shared" si="215"/>
        <v>445.65629446237375</v>
      </c>
      <c r="BW325" s="15">
        <f t="shared" si="190"/>
        <v>22.170849845882874</v>
      </c>
      <c r="BX325" s="75">
        <f>BW325*(1-PARAM!$C$27)*$I$21+(MOD($B325,60)=PARAM!$B$56)*($B325&gt;(60-PARAM!$B$56))*HLOOKUP(($B325+PARAM!$B$56)/12,Loyalty,2)*$F$1*MAX(BZ324,0)</f>
        <v>18.557001321003963</v>
      </c>
      <c r="BY325" s="75">
        <f>PARAM!$C$26+MAX($G$21-CHOOSE(PARAM!$B$44,MAX(0,BZ324*$F$1),0),0)*RATES!$L301/12+$H$21*(PARAM!$D$51/12)*RATES!$N301/100</f>
        <v>28.616108991649924</v>
      </c>
      <c r="BZ325" s="16">
        <f t="shared" si="216"/>
        <v>445.65629446237375</v>
      </c>
      <c r="CA325" s="15">
        <f t="shared" si="191"/>
        <v>22.170849845882874</v>
      </c>
      <c r="CB325" s="75">
        <f>CA325*(1-PARAM!$C$27)*$I$22+(MOD($B325,60)=PARAM!$B$56)*($B325&gt;(60-PARAM!$B$56))*HLOOKUP(($B325+PARAM!$B$56)/12,Loyalty,2)*$F$1*MAX(CD324,0)</f>
        <v>18.557001321003963</v>
      </c>
      <c r="CC325" s="75">
        <f>PARAM!$C$26+MAX($G$22-CHOOSE(PARAM!$B$44,MAX(0,CD324*$F$1),0),0)*RATES!$L301/12+$H$22*(PARAM!$D$51/12)*RATES!$N301/100</f>
        <v>28.616108991649924</v>
      </c>
      <c r="CD325" s="16">
        <f t="shared" si="217"/>
        <v>445.65629446237375</v>
      </c>
      <c r="CE325" s="33">
        <f>IF(0=MOD(B325,12/PARAM!$D$51),1,0)</f>
        <v>1</v>
      </c>
      <c r="CF325" s="15">
        <f t="shared" si="192"/>
        <v>0</v>
      </c>
      <c r="CG325" s="75">
        <f>CF325*(1-PARAM!$C$27)*$R$3+(MOD($B325/12,5)=0)*($B325&gt;60)*HLOOKUP($B325/12,Loyalty,2)*$F$1*MAX(CI324,0)</f>
        <v>0</v>
      </c>
      <c r="CH325" s="75">
        <f>PARAM!$C$26+MAX($P$3-CHOOSE(PARAM!$B$44,MAX(0,CI324*$F$1),0),0)*RATES!$L301/12+$Q$3*(PARAM!$D$51/12)*RATES!$N301/100</f>
        <v>28.833333333333329</v>
      </c>
      <c r="CI325" s="16">
        <f>IF(CI324&gt;0,CI324*PARAM!$C$53,CI324)+CG325-CH325</f>
        <v>-4947.1666666666615</v>
      </c>
      <c r="CJ325" s="15">
        <f t="shared" si="218"/>
        <v>0</v>
      </c>
      <c r="CK325" s="75">
        <f>CJ325*(1-PARAM!$C$27)*$R$4+(MOD($B325/12,5)=0)*($B325&gt;60)*HLOOKUP($B325/12,Loyalty,2)*$F$1*MAX(CM324,0)</f>
        <v>0</v>
      </c>
      <c r="CL325" s="75">
        <f>PARAM!$C$26+MAX($P$4-CHOOSE(PARAM!$B$44,MAX(0,CM324*$F$1),0),0)*RATES!$L301/12+$Q$4*(PARAM!$D$51/12)*RATES!$N301/100</f>
        <v>28.833333333333329</v>
      </c>
      <c r="CM325" s="16">
        <f>IF(CM324&gt;0,CM324*PARAM!$C$53,CM324)+CK325-CL325</f>
        <v>-4947.1666666666615</v>
      </c>
      <c r="CO325" s="176"/>
    </row>
    <row r="326" spans="1:93" x14ac:dyDescent="0.2">
      <c r="A326" t="b">
        <f t="shared" si="193"/>
        <v>0</v>
      </c>
      <c r="B326" s="33">
        <v>299</v>
      </c>
      <c r="C326" s="15">
        <f t="shared" si="194"/>
        <v>20.081305947392778</v>
      </c>
      <c r="D326" s="75">
        <f>C326*(1-PARAM!$C$27)*$I$3+(MOD($B326,60)=PARAM!$B$56)*($B326&gt;(60-PARAM!$B$56))*HLOOKUP(($B326+PARAM!$B$56)/12,Loyalty,2)*$F$1*MAX(F325,0)</f>
        <v>16.808053077967756</v>
      </c>
      <c r="E326" s="75">
        <f>PARAM!$C$26+MAX($G$3-CHOOSE(PARAM!$B$44,MAX(0,F325*$F$1),0),0)*RATES!$L302/12+$H$3*(PARAM!$D$51/12)*RATES!$N302/100</f>
        <v>28.833333333333329</v>
      </c>
      <c r="F326" s="16">
        <f t="shared" si="195"/>
        <v>-106.81732109137565</v>
      </c>
      <c r="G326" s="15">
        <f t="shared" si="196"/>
        <v>22.035289406060361</v>
      </c>
      <c r="H326" s="75">
        <f>G326*(1-PARAM!$C$27)*$I$4+(MOD($B326,60)=PARAM!$B$56)*($B326&gt;(60-PARAM!$B$56))*HLOOKUP(($B326+PARAM!$B$56)/12,Loyalty,2)*$F$1*MAX(J325,0)</f>
        <v>18.443537232872522</v>
      </c>
      <c r="I326" s="75">
        <f>PARAM!$C$26+MAX($G$4-CHOOSE(PARAM!$B$44,MAX(0,J325*$F$1),0),0)*RATES!$L302/12+$H$4*(PARAM!$D$51/12)*RATES!$N302/100</f>
        <v>28.637629386204054</v>
      </c>
      <c r="J326" s="16">
        <f t="shared" si="197"/>
        <v>400.37362909689341</v>
      </c>
      <c r="K326" s="15">
        <f t="shared" si="198"/>
        <v>22.170849845882874</v>
      </c>
      <c r="L326" s="75">
        <f>K326*(1-PARAM!$C$27)*$I$5+(MOD($B326,60)=PARAM!$B$56)*($B326&gt;(60-PARAM!$B$56))*HLOOKUP(($B326+PARAM!$B$56)/12,Loyalty,2)*$F$1*MAX(N325,0)</f>
        <v>18.557001321003963</v>
      </c>
      <c r="M326" s="75">
        <f>PARAM!$C$26+MAX($G$5-CHOOSE(PARAM!$B$44,MAX(0,N325*$F$1),0),0)*RATES!$L302/12+$H$5*(PARAM!$D$51/12)*RATES!$N302/100</f>
        <v>28.620903832972932</v>
      </c>
      <c r="N326" s="16">
        <f t="shared" si="199"/>
        <v>435.59239195040476</v>
      </c>
      <c r="O326" s="15">
        <f t="shared" si="200"/>
        <v>22.170849845882874</v>
      </c>
      <c r="P326" s="75">
        <f>O326*(1-PARAM!$C$27)*$I$6+(MOD($B326,60)=PARAM!$B$56)*($B326&gt;(60-PARAM!$B$56))*HLOOKUP(($B326+PARAM!$B$56)/12,Loyalty,2)*$F$1*MAX(R325,0)</f>
        <v>18.557001321003963</v>
      </c>
      <c r="Q326" s="75">
        <f>PARAM!$C$26+MAX($G$6-CHOOSE(PARAM!$B$44,MAX(0,R325*$F$1),0),0)*RATES!$L302/12+$H$6*(PARAM!$D$51/12)*RATES!$N302/100</f>
        <v>28.620903832972932</v>
      </c>
      <c r="R326" s="16">
        <f t="shared" si="201"/>
        <v>435.59239195040476</v>
      </c>
      <c r="S326" s="15">
        <f t="shared" si="176"/>
        <v>22.170849845882874</v>
      </c>
      <c r="T326" s="75">
        <f>S326*(1-PARAM!$C$27)*$I$7+(MOD($B326,60)=PARAM!$B$56)*($B326&gt;(60-PARAM!$B$56))*HLOOKUP(($B326+PARAM!$B$56)/12,Loyalty,2)*$F$1*MAX(V325,0)</f>
        <v>18.557001321003963</v>
      </c>
      <c r="U326" s="75">
        <f>PARAM!$C$26+MAX($G$7-CHOOSE(PARAM!$B$44,MAX(0,V325*$F$1),0),0)*RATES!$L302/12+$H$7*(PARAM!$D$51/12)*RATES!$N302/100</f>
        <v>28.620903832972932</v>
      </c>
      <c r="V326" s="16">
        <f t="shared" si="202"/>
        <v>435.59239195040476</v>
      </c>
      <c r="W326" s="15">
        <f t="shared" si="177"/>
        <v>22.170849845882874</v>
      </c>
      <c r="X326" s="75">
        <f>W326*(1-PARAM!$C$27)*$I$8+(MOD($B326,60)=PARAM!$B$56)*($B326&gt;(60-PARAM!$B$56))*HLOOKUP(($B326+PARAM!$B$56)/12,Loyalty,2)*$F$1*MAX(Z325,0)</f>
        <v>18.557001321003963</v>
      </c>
      <c r="Y326" s="75">
        <f>PARAM!$C$26+MAX($G$8-CHOOSE(PARAM!$B$44,MAX(0,Z325*$F$1),0),0)*RATES!$L302/12+$H$8*(PARAM!$D$51/12)*RATES!$N302/100</f>
        <v>28.620903832972932</v>
      </c>
      <c r="Z326" s="16">
        <f t="shared" si="203"/>
        <v>435.59239195040476</v>
      </c>
      <c r="AA326" s="15">
        <f t="shared" si="178"/>
        <v>22.170849845882874</v>
      </c>
      <c r="AB326" s="75">
        <f>AA326*(1-PARAM!$C$27)*$I$9+(MOD($B326,60)=PARAM!$B$56)*($B326&gt;(60-PARAM!$B$56))*HLOOKUP(($B326+PARAM!$B$56)/12,Loyalty,2)*$F$1*MAX(AD325,0)</f>
        <v>18.557001321003963</v>
      </c>
      <c r="AC326" s="75">
        <f>PARAM!$C$26+MAX($G$9-CHOOSE(PARAM!$B$44,MAX(0,AD325*$F$1),0),0)*RATES!$L302/12+$H$9*(PARAM!$D$51/12)*RATES!$N302/100</f>
        <v>28.620903832972932</v>
      </c>
      <c r="AD326" s="16">
        <f t="shared" si="204"/>
        <v>435.59239195040476</v>
      </c>
      <c r="AE326" s="15">
        <f t="shared" si="179"/>
        <v>22.170849845882874</v>
      </c>
      <c r="AF326" s="75">
        <f>AE326*(1-PARAM!$C$27)*$I$10+(MOD($B326,60)=PARAM!$B$56)*($B326&gt;(60-PARAM!$B$56))*HLOOKUP(($B326+PARAM!$B$56)/12,Loyalty,2)*$F$1*MAX(AH325,0)</f>
        <v>18.557001321003963</v>
      </c>
      <c r="AG326" s="75">
        <f>PARAM!$C$26+MAX($G$10-CHOOSE(PARAM!$B$44,MAX(0,AH325*$F$1),0),0)*RATES!$L302/12+$H$10*(PARAM!$D$51/12)*RATES!$N302/100</f>
        <v>28.620903832972932</v>
      </c>
      <c r="AH326" s="16">
        <f t="shared" si="205"/>
        <v>435.59239195040476</v>
      </c>
      <c r="AI326" s="15">
        <f t="shared" si="180"/>
        <v>22.170849845882874</v>
      </c>
      <c r="AJ326" s="75">
        <f>AI326*(1-PARAM!$C$27)*$I$11+(MOD($B326,60)=PARAM!$B$56)*($B326&gt;(60-PARAM!$B$56))*HLOOKUP(($B326+PARAM!$B$56)/12,Loyalty,2)*$F$1*MAX(AL325,0)</f>
        <v>18.557001321003963</v>
      </c>
      <c r="AK326" s="75">
        <f>PARAM!$C$26+MAX($G$11-CHOOSE(PARAM!$B$44,MAX(0,AL325*$F$1),0),0)*RATES!$L302/12+$H$11*(PARAM!$D$51/12)*RATES!$N302/100</f>
        <v>28.620903832972932</v>
      </c>
      <c r="AL326" s="16">
        <f t="shared" si="206"/>
        <v>435.59239195040476</v>
      </c>
      <c r="AM326" s="15">
        <f t="shared" si="181"/>
        <v>22.170849845882874</v>
      </c>
      <c r="AN326" s="75">
        <f>AM326*(1-PARAM!$C$27)*$I$12+(MOD($B326,60)=PARAM!$B$56)*($B326&gt;(60-PARAM!$B$56))*HLOOKUP(($B326+PARAM!$B$56)/12,Loyalty,2)*$F$1*MAX(AP325,0)</f>
        <v>18.557001321003963</v>
      </c>
      <c r="AO326" s="75">
        <f>PARAM!$C$26+MAX($G$12-CHOOSE(PARAM!$B$44,MAX(0,AP325*$F$1),0),0)*RATES!$L302/12+$H$12*(PARAM!$D$51/12)*RATES!$N302/100</f>
        <v>28.620903832972932</v>
      </c>
      <c r="AP326" s="16">
        <f t="shared" si="207"/>
        <v>435.59239195040476</v>
      </c>
      <c r="AQ326" s="15">
        <f t="shared" si="182"/>
        <v>22.170849845882874</v>
      </c>
      <c r="AR326" s="75">
        <f>AQ326*(1-PARAM!$C$27)*$I$13+(MOD($B326,60)=PARAM!$B$56)*($B326&gt;(60-PARAM!$B$56))*HLOOKUP(($B326+PARAM!$B$56)/12,Loyalty,2)*$F$1*MAX(AT325,0)</f>
        <v>18.557001321003963</v>
      </c>
      <c r="AS326" s="75">
        <f>PARAM!$C$26+MAX($G$13-CHOOSE(PARAM!$B$44,MAX(0,AT325*$F$1),0),0)*RATES!$L302/12+$H$13*(PARAM!$D$51/12)*RATES!$N302/100</f>
        <v>28.620903832972932</v>
      </c>
      <c r="AT326" s="16">
        <f t="shared" si="208"/>
        <v>435.59239195040476</v>
      </c>
      <c r="AU326" s="15">
        <f t="shared" si="183"/>
        <v>22.170849845882874</v>
      </c>
      <c r="AV326" s="75">
        <f>AU326*(1-PARAM!$C$27)*$I$14+(MOD($B326,60)=PARAM!$B$56)*($B326&gt;(60-PARAM!$B$56))*HLOOKUP(($B326+PARAM!$B$56)/12,Loyalty,2)*$F$1*MAX(AX325,0)</f>
        <v>18.557001321003963</v>
      </c>
      <c r="AW326" s="75">
        <f>PARAM!$C$26+MAX($G$14-CHOOSE(PARAM!$B$44,MAX(0,AX325*$F$1),0),0)*RATES!$L302/12+$H$14*(PARAM!$D$51/12)*RATES!$N302/100</f>
        <v>28.620903832972932</v>
      </c>
      <c r="AX326" s="16">
        <f t="shared" si="209"/>
        <v>435.59239195040476</v>
      </c>
      <c r="AY326" s="15">
        <f t="shared" si="184"/>
        <v>22.170849845882874</v>
      </c>
      <c r="AZ326" s="75">
        <f>AY326*(1-PARAM!$C$27)*$I$15+(MOD($B326,60)=PARAM!$B$56)*($B326&gt;(60-PARAM!$B$56))*HLOOKUP(($B326+PARAM!$B$56)/12,Loyalty,2)*$F$1*MAX(BB325,0)</f>
        <v>18.557001321003963</v>
      </c>
      <c r="BA326" s="75">
        <f>PARAM!$C$26+MAX($G$15-CHOOSE(PARAM!$B$44,MAX(0,BB325*$F$1),0),0)*RATES!$L302/12+$H$15*(PARAM!$D$51/12)*RATES!$N302/100</f>
        <v>28.620903832972932</v>
      </c>
      <c r="BB326" s="16">
        <f t="shared" si="210"/>
        <v>435.59239195040476</v>
      </c>
      <c r="BC326" s="15">
        <f t="shared" si="185"/>
        <v>22.170849845882874</v>
      </c>
      <c r="BD326" s="75">
        <f>BC326*(1-PARAM!$C$27)*$I$16+(MOD($B326,60)=PARAM!$B$56)*($B326&gt;(60-PARAM!$B$56))*HLOOKUP(($B326+PARAM!$B$56)/12,Loyalty,2)*$F$1*MAX(BF325,0)</f>
        <v>18.557001321003963</v>
      </c>
      <c r="BE326" s="75">
        <f>PARAM!$C$26+MAX($G$16-CHOOSE(PARAM!$B$44,MAX(0,BF325*$F$1),0),0)*RATES!$L302/12+$H$16*(PARAM!$D$51/12)*RATES!$N302/100</f>
        <v>28.620903832972932</v>
      </c>
      <c r="BF326" s="16">
        <f t="shared" si="211"/>
        <v>435.59239195040476</v>
      </c>
      <c r="BG326" s="15">
        <f t="shared" si="186"/>
        <v>22.170849845882874</v>
      </c>
      <c r="BH326" s="75">
        <f>BG326*(1-PARAM!$C$27)*$I$17+(MOD($B326,60)=PARAM!$B$56)*($B326&gt;(60-PARAM!$B$56))*HLOOKUP(($B326+PARAM!$B$56)/12,Loyalty,2)*$F$1*MAX(BJ325,0)</f>
        <v>18.557001321003963</v>
      </c>
      <c r="BI326" s="75">
        <f>PARAM!$C$26+MAX($G$17-CHOOSE(PARAM!$B$44,MAX(0,BJ325*$F$1),0),0)*RATES!$L302/12+$H$17*(PARAM!$D$51/12)*RATES!$N302/100</f>
        <v>28.620903832972932</v>
      </c>
      <c r="BJ326" s="16">
        <f t="shared" si="212"/>
        <v>435.59239195040476</v>
      </c>
      <c r="BK326" s="15">
        <f t="shared" si="187"/>
        <v>22.170849845882874</v>
      </c>
      <c r="BL326" s="75">
        <f>BK326*(1-PARAM!$C$27)*$I$18+(MOD($B326,60)=PARAM!$B$56)*($B326&gt;(60-PARAM!$B$56))*HLOOKUP(($B326+PARAM!$B$56)/12,Loyalty,2)*$F$1*MAX(BN325,0)</f>
        <v>18.557001321003963</v>
      </c>
      <c r="BM326" s="75">
        <f>PARAM!$C$26+MAX($G$18-CHOOSE(PARAM!$B$44,MAX(0,BN325*$F$1),0),0)*RATES!$L302/12+$H$18*(PARAM!$D$51/12)*RATES!$N302/100</f>
        <v>28.620903832972932</v>
      </c>
      <c r="BN326" s="16">
        <f t="shared" si="213"/>
        <v>435.59239195040476</v>
      </c>
      <c r="BO326" s="15">
        <f t="shared" si="188"/>
        <v>22.170849845882874</v>
      </c>
      <c r="BP326" s="75">
        <f>BO326*(1-PARAM!$C$27)*$I$19+(MOD($B326,60)=PARAM!$B$56)*($B326&gt;(60-PARAM!$B$56))*HLOOKUP(($B326+PARAM!$B$56)/12,Loyalty,2)*$F$1*MAX(BR325,0)</f>
        <v>18.557001321003963</v>
      </c>
      <c r="BQ326" s="75">
        <f>PARAM!$C$26+MAX($G$19-CHOOSE(PARAM!$B$44,MAX(0,BR325*$F$1),0),0)*RATES!$L302/12+$H$19*(PARAM!$D$51/12)*RATES!$N302/100</f>
        <v>28.620903832972932</v>
      </c>
      <c r="BR326" s="16">
        <f t="shared" si="214"/>
        <v>435.59239195040476</v>
      </c>
      <c r="BS326" s="15">
        <f t="shared" si="189"/>
        <v>22.170849845882874</v>
      </c>
      <c r="BT326" s="75">
        <f>BS326*(1-PARAM!$C$27)*$I$20+(MOD($B326,60)=PARAM!$B$56)*($B326&gt;(60-PARAM!$B$56))*HLOOKUP(($B326+PARAM!$B$56)/12,Loyalty,2)*$F$1*MAX(BV325,0)</f>
        <v>18.557001321003963</v>
      </c>
      <c r="BU326" s="75">
        <f>PARAM!$C$26+MAX($G$20-CHOOSE(PARAM!$B$44,MAX(0,BV325*$F$1),0),0)*RATES!$L302/12+$H$20*(PARAM!$D$51/12)*RATES!$N302/100</f>
        <v>28.620903832972932</v>
      </c>
      <c r="BV326" s="16">
        <f t="shared" si="215"/>
        <v>435.59239195040476</v>
      </c>
      <c r="BW326" s="15">
        <f t="shared" si="190"/>
        <v>22.170849845882874</v>
      </c>
      <c r="BX326" s="75">
        <f>BW326*(1-PARAM!$C$27)*$I$21+(MOD($B326,60)=PARAM!$B$56)*($B326&gt;(60-PARAM!$B$56))*HLOOKUP(($B326+PARAM!$B$56)/12,Loyalty,2)*$F$1*MAX(BZ325,0)</f>
        <v>18.557001321003963</v>
      </c>
      <c r="BY326" s="75">
        <f>PARAM!$C$26+MAX($G$21-CHOOSE(PARAM!$B$44,MAX(0,BZ325*$F$1),0),0)*RATES!$L302/12+$H$21*(PARAM!$D$51/12)*RATES!$N302/100</f>
        <v>28.620903832972932</v>
      </c>
      <c r="BZ326" s="16">
        <f t="shared" si="216"/>
        <v>435.59239195040476</v>
      </c>
      <c r="CA326" s="15">
        <f t="shared" si="191"/>
        <v>22.170849845882874</v>
      </c>
      <c r="CB326" s="75">
        <f>CA326*(1-PARAM!$C$27)*$I$22+(MOD($B326,60)=PARAM!$B$56)*($B326&gt;(60-PARAM!$B$56))*HLOOKUP(($B326+PARAM!$B$56)/12,Loyalty,2)*$F$1*MAX(CD325,0)</f>
        <v>18.557001321003963</v>
      </c>
      <c r="CC326" s="75">
        <f>PARAM!$C$26+MAX($G$22-CHOOSE(PARAM!$B$44,MAX(0,CD325*$F$1),0),0)*RATES!$L302/12+$H$22*(PARAM!$D$51/12)*RATES!$N302/100</f>
        <v>28.620903832972932</v>
      </c>
      <c r="CD326" s="16">
        <f t="shared" si="217"/>
        <v>435.59239195040476</v>
      </c>
      <c r="CE326" s="33">
        <f>IF(0=MOD(B326,12/PARAM!$D$51),1,0)</f>
        <v>1</v>
      </c>
      <c r="CF326" s="15">
        <f t="shared" si="192"/>
        <v>0</v>
      </c>
      <c r="CG326" s="75">
        <f>CF326*(1-PARAM!$C$27)*$R$3+(MOD($B326/12,5)=0)*($B326&gt;60)*HLOOKUP($B326/12,Loyalty,2)*$F$1*MAX(CI325,0)</f>
        <v>0</v>
      </c>
      <c r="CH326" s="75">
        <f>PARAM!$C$26+MAX($P$3-CHOOSE(PARAM!$B$44,MAX(0,CI325*$F$1),0),0)*RATES!$L302/12+$Q$3*(PARAM!$D$51/12)*RATES!$N302/100</f>
        <v>28.833333333333329</v>
      </c>
      <c r="CI326" s="16">
        <f>IF(CI325&gt;0,CI325*PARAM!$C$53,CI325)+CG326-CH326</f>
        <v>-4975.9999999999945</v>
      </c>
      <c r="CJ326" s="15">
        <f t="shared" si="218"/>
        <v>0</v>
      </c>
      <c r="CK326" s="75">
        <f>CJ326*(1-PARAM!$C$27)*$R$4+(MOD($B326/12,5)=0)*($B326&gt;60)*HLOOKUP($B326/12,Loyalty,2)*$F$1*MAX(CM325,0)</f>
        <v>0</v>
      </c>
      <c r="CL326" s="75">
        <f>PARAM!$C$26+MAX($P$4-CHOOSE(PARAM!$B$44,MAX(0,CM325*$F$1),0),0)*RATES!$L302/12+$Q$4*(PARAM!$D$51/12)*RATES!$N302/100</f>
        <v>28.833333333333329</v>
      </c>
      <c r="CM326" s="16">
        <f>IF(CM325&gt;0,CM325*PARAM!$C$53,CM325)+CK326-CL326</f>
        <v>-4975.9999999999945</v>
      </c>
      <c r="CO326" s="176"/>
    </row>
    <row r="327" spans="1:93" x14ac:dyDescent="0.2">
      <c r="A327" t="b">
        <f t="shared" si="193"/>
        <v>0</v>
      </c>
      <c r="B327" s="33">
        <v>300</v>
      </c>
      <c r="C327" s="15">
        <f t="shared" si="194"/>
        <v>20.081305947392778</v>
      </c>
      <c r="D327" s="75">
        <f>C327*(1-PARAM!$C$27)*$I$3+(MOD($B327,60)=PARAM!$B$56)*($B327&gt;(60-PARAM!$B$56))*HLOOKUP(($B327+PARAM!$B$56)/12,Loyalty,2)*$F$1*MAX(F326,0)</f>
        <v>16.808053077967756</v>
      </c>
      <c r="E327" s="75">
        <f>PARAM!$C$26+MAX($G$3-CHOOSE(PARAM!$B$44,MAX(0,F326*$F$1),0),0)*RATES!$L303/12+$H$3*(PARAM!$D$51/12)*RATES!$N303/100</f>
        <v>28.833333333333329</v>
      </c>
      <c r="F327" s="16">
        <f t="shared" si="195"/>
        <v>-118.84260134674122</v>
      </c>
      <c r="G327" s="15">
        <f t="shared" si="196"/>
        <v>22.035289406060361</v>
      </c>
      <c r="H327" s="75">
        <f>G327*(1-PARAM!$C$27)*$I$4+(MOD($B327,60)=PARAM!$B$56)*($B327&gt;(60-PARAM!$B$56))*HLOOKUP(($B327+PARAM!$B$56)/12,Loyalty,2)*$F$1*MAX(J326,0)</f>
        <v>30.454746105779325</v>
      </c>
      <c r="I327" s="75">
        <f>PARAM!$C$26+MAX($G$4-CHOOSE(PARAM!$B$44,MAX(0,J326*$F$1),0),0)*RATES!$L303/12+$H$4*(PARAM!$D$51/12)*RATES!$N303/100</f>
        <v>28.642488570130478</v>
      </c>
      <c r="J327" s="16">
        <f t="shared" si="197"/>
        <v>402.18588663254229</v>
      </c>
      <c r="K327" s="15">
        <f t="shared" si="198"/>
        <v>22.170849845882874</v>
      </c>
      <c r="L327" s="75">
        <f>K327*(1-PARAM!$C$27)*$I$5+(MOD($B327,60)=PARAM!$B$56)*($B327&gt;(60-PARAM!$B$56))*HLOOKUP(($B327+PARAM!$B$56)/12,Loyalty,2)*$F$1*MAX(N326,0)</f>
        <v>31.624773079516103</v>
      </c>
      <c r="M327" s="75">
        <f>PARAM!$C$26+MAX($G$5-CHOOSE(PARAM!$B$44,MAX(0,N326*$F$1),0),0)*RATES!$L303/12+$H$5*(PARAM!$D$51/12)*RATES!$N303/100</f>
        <v>28.625700959836973</v>
      </c>
      <c r="N327" s="16">
        <f t="shared" si="199"/>
        <v>438.59146407008387</v>
      </c>
      <c r="O327" s="15">
        <f t="shared" si="200"/>
        <v>22.170849845882874</v>
      </c>
      <c r="P327" s="75">
        <f>O327*(1-PARAM!$C$27)*$I$6+(MOD($B327,60)=PARAM!$B$56)*($B327&gt;(60-PARAM!$B$56))*HLOOKUP(($B327+PARAM!$B$56)/12,Loyalty,2)*$F$1*MAX(R326,0)</f>
        <v>31.624773079516103</v>
      </c>
      <c r="Q327" s="75">
        <f>PARAM!$C$26+MAX($G$6-CHOOSE(PARAM!$B$44,MAX(0,R326*$F$1),0),0)*RATES!$L303/12+$H$6*(PARAM!$D$51/12)*RATES!$N303/100</f>
        <v>28.625700959836973</v>
      </c>
      <c r="R327" s="16">
        <f t="shared" si="201"/>
        <v>438.59146407008387</v>
      </c>
      <c r="S327" s="15">
        <f t="shared" si="176"/>
        <v>22.170849845882874</v>
      </c>
      <c r="T327" s="75">
        <f>S327*(1-PARAM!$C$27)*$I$7+(MOD($B327,60)=PARAM!$B$56)*($B327&gt;(60-PARAM!$B$56))*HLOOKUP(($B327+PARAM!$B$56)/12,Loyalty,2)*$F$1*MAX(V326,0)</f>
        <v>31.624773079516103</v>
      </c>
      <c r="U327" s="75">
        <f>PARAM!$C$26+MAX($G$7-CHOOSE(PARAM!$B$44,MAX(0,V326*$F$1),0),0)*RATES!$L303/12+$H$7*(PARAM!$D$51/12)*RATES!$N303/100</f>
        <v>28.625700959836973</v>
      </c>
      <c r="V327" s="16">
        <f t="shared" si="202"/>
        <v>438.59146407008387</v>
      </c>
      <c r="W327" s="15">
        <f t="shared" si="177"/>
        <v>22.170849845882874</v>
      </c>
      <c r="X327" s="75">
        <f>W327*(1-PARAM!$C$27)*$I$8+(MOD($B327,60)=PARAM!$B$56)*($B327&gt;(60-PARAM!$B$56))*HLOOKUP(($B327+PARAM!$B$56)/12,Loyalty,2)*$F$1*MAX(Z326,0)</f>
        <v>31.624773079516103</v>
      </c>
      <c r="Y327" s="75">
        <f>PARAM!$C$26+MAX($G$8-CHOOSE(PARAM!$B$44,MAX(0,Z326*$F$1),0),0)*RATES!$L303/12+$H$8*(PARAM!$D$51/12)*RATES!$N303/100</f>
        <v>28.625700959836973</v>
      </c>
      <c r="Z327" s="16">
        <f t="shared" si="203"/>
        <v>438.59146407008387</v>
      </c>
      <c r="AA327" s="15">
        <f t="shared" si="178"/>
        <v>22.170849845882874</v>
      </c>
      <c r="AB327" s="75">
        <f>AA327*(1-PARAM!$C$27)*$I$9+(MOD($B327,60)=PARAM!$B$56)*($B327&gt;(60-PARAM!$B$56))*HLOOKUP(($B327+PARAM!$B$56)/12,Loyalty,2)*$F$1*MAX(AD326,0)</f>
        <v>31.624773079516103</v>
      </c>
      <c r="AC327" s="75">
        <f>PARAM!$C$26+MAX($G$9-CHOOSE(PARAM!$B$44,MAX(0,AD326*$F$1),0),0)*RATES!$L303/12+$H$9*(PARAM!$D$51/12)*RATES!$N303/100</f>
        <v>28.625700959836973</v>
      </c>
      <c r="AD327" s="16">
        <f t="shared" si="204"/>
        <v>438.59146407008387</v>
      </c>
      <c r="AE327" s="15">
        <f t="shared" si="179"/>
        <v>22.170849845882874</v>
      </c>
      <c r="AF327" s="75">
        <f>AE327*(1-PARAM!$C$27)*$I$10+(MOD($B327,60)=PARAM!$B$56)*($B327&gt;(60-PARAM!$B$56))*HLOOKUP(($B327+PARAM!$B$56)/12,Loyalty,2)*$F$1*MAX(AH326,0)</f>
        <v>31.624773079516103</v>
      </c>
      <c r="AG327" s="75">
        <f>PARAM!$C$26+MAX($G$10-CHOOSE(PARAM!$B$44,MAX(0,AH326*$F$1),0),0)*RATES!$L303/12+$H$10*(PARAM!$D$51/12)*RATES!$N303/100</f>
        <v>28.625700959836973</v>
      </c>
      <c r="AH327" s="16">
        <f t="shared" si="205"/>
        <v>438.59146407008387</v>
      </c>
      <c r="AI327" s="15">
        <f t="shared" si="180"/>
        <v>22.170849845882874</v>
      </c>
      <c r="AJ327" s="75">
        <f>AI327*(1-PARAM!$C$27)*$I$11+(MOD($B327,60)=PARAM!$B$56)*($B327&gt;(60-PARAM!$B$56))*HLOOKUP(($B327+PARAM!$B$56)/12,Loyalty,2)*$F$1*MAX(AL326,0)</f>
        <v>31.624773079516103</v>
      </c>
      <c r="AK327" s="75">
        <f>PARAM!$C$26+MAX($G$11-CHOOSE(PARAM!$B$44,MAX(0,AL326*$F$1),0),0)*RATES!$L303/12+$H$11*(PARAM!$D$51/12)*RATES!$N303/100</f>
        <v>28.625700959836973</v>
      </c>
      <c r="AL327" s="16">
        <f t="shared" si="206"/>
        <v>438.59146407008387</v>
      </c>
      <c r="AM327" s="15">
        <f t="shared" si="181"/>
        <v>22.170849845882874</v>
      </c>
      <c r="AN327" s="75">
        <f>AM327*(1-PARAM!$C$27)*$I$12+(MOD($B327,60)=PARAM!$B$56)*($B327&gt;(60-PARAM!$B$56))*HLOOKUP(($B327+PARAM!$B$56)/12,Loyalty,2)*$F$1*MAX(AP326,0)</f>
        <v>31.624773079516103</v>
      </c>
      <c r="AO327" s="75">
        <f>PARAM!$C$26+MAX($G$12-CHOOSE(PARAM!$B$44,MAX(0,AP326*$F$1),0),0)*RATES!$L303/12+$H$12*(PARAM!$D$51/12)*RATES!$N303/100</f>
        <v>28.625700959836973</v>
      </c>
      <c r="AP327" s="16">
        <f t="shared" si="207"/>
        <v>438.59146407008387</v>
      </c>
      <c r="AQ327" s="15">
        <f t="shared" si="182"/>
        <v>22.170849845882874</v>
      </c>
      <c r="AR327" s="75">
        <f>AQ327*(1-PARAM!$C$27)*$I$13+(MOD($B327,60)=PARAM!$B$56)*($B327&gt;(60-PARAM!$B$56))*HLOOKUP(($B327+PARAM!$B$56)/12,Loyalty,2)*$F$1*MAX(AT326,0)</f>
        <v>31.624773079516103</v>
      </c>
      <c r="AS327" s="75">
        <f>PARAM!$C$26+MAX($G$13-CHOOSE(PARAM!$B$44,MAX(0,AT326*$F$1),0),0)*RATES!$L303/12+$H$13*(PARAM!$D$51/12)*RATES!$N303/100</f>
        <v>28.625700959836973</v>
      </c>
      <c r="AT327" s="16">
        <f t="shared" si="208"/>
        <v>438.59146407008387</v>
      </c>
      <c r="AU327" s="15">
        <f t="shared" si="183"/>
        <v>22.170849845882874</v>
      </c>
      <c r="AV327" s="75">
        <f>AU327*(1-PARAM!$C$27)*$I$14+(MOD($B327,60)=PARAM!$B$56)*($B327&gt;(60-PARAM!$B$56))*HLOOKUP(($B327+PARAM!$B$56)/12,Loyalty,2)*$F$1*MAX(AX326,0)</f>
        <v>31.624773079516103</v>
      </c>
      <c r="AW327" s="75">
        <f>PARAM!$C$26+MAX($G$14-CHOOSE(PARAM!$B$44,MAX(0,AX326*$F$1),0),0)*RATES!$L303/12+$H$14*(PARAM!$D$51/12)*RATES!$N303/100</f>
        <v>28.625700959836973</v>
      </c>
      <c r="AX327" s="16">
        <f t="shared" si="209"/>
        <v>438.59146407008387</v>
      </c>
      <c r="AY327" s="15">
        <f t="shared" si="184"/>
        <v>22.170849845882874</v>
      </c>
      <c r="AZ327" s="75">
        <f>AY327*(1-PARAM!$C$27)*$I$15+(MOD($B327,60)=PARAM!$B$56)*($B327&gt;(60-PARAM!$B$56))*HLOOKUP(($B327+PARAM!$B$56)/12,Loyalty,2)*$F$1*MAX(BB326,0)</f>
        <v>31.624773079516103</v>
      </c>
      <c r="BA327" s="75">
        <f>PARAM!$C$26+MAX($G$15-CHOOSE(PARAM!$B$44,MAX(0,BB326*$F$1),0),0)*RATES!$L303/12+$H$15*(PARAM!$D$51/12)*RATES!$N303/100</f>
        <v>28.625700959836973</v>
      </c>
      <c r="BB327" s="16">
        <f t="shared" si="210"/>
        <v>438.59146407008387</v>
      </c>
      <c r="BC327" s="15">
        <f t="shared" si="185"/>
        <v>22.170849845882874</v>
      </c>
      <c r="BD327" s="75">
        <f>BC327*(1-PARAM!$C$27)*$I$16+(MOD($B327,60)=PARAM!$B$56)*($B327&gt;(60-PARAM!$B$56))*HLOOKUP(($B327+PARAM!$B$56)/12,Loyalty,2)*$F$1*MAX(BF326,0)</f>
        <v>31.624773079516103</v>
      </c>
      <c r="BE327" s="75">
        <f>PARAM!$C$26+MAX($G$16-CHOOSE(PARAM!$B$44,MAX(0,BF326*$F$1),0),0)*RATES!$L303/12+$H$16*(PARAM!$D$51/12)*RATES!$N303/100</f>
        <v>28.625700959836973</v>
      </c>
      <c r="BF327" s="16">
        <f t="shared" si="211"/>
        <v>438.59146407008387</v>
      </c>
      <c r="BG327" s="15">
        <f t="shared" si="186"/>
        <v>22.170849845882874</v>
      </c>
      <c r="BH327" s="75">
        <f>BG327*(1-PARAM!$C$27)*$I$17+(MOD($B327,60)=PARAM!$B$56)*($B327&gt;(60-PARAM!$B$56))*HLOOKUP(($B327+PARAM!$B$56)/12,Loyalty,2)*$F$1*MAX(BJ326,0)</f>
        <v>31.624773079516103</v>
      </c>
      <c r="BI327" s="75">
        <f>PARAM!$C$26+MAX($G$17-CHOOSE(PARAM!$B$44,MAX(0,BJ326*$F$1),0),0)*RATES!$L303/12+$H$17*(PARAM!$D$51/12)*RATES!$N303/100</f>
        <v>28.625700959836973</v>
      </c>
      <c r="BJ327" s="16">
        <f t="shared" si="212"/>
        <v>438.59146407008387</v>
      </c>
      <c r="BK327" s="15">
        <f t="shared" si="187"/>
        <v>22.170849845882874</v>
      </c>
      <c r="BL327" s="75">
        <f>BK327*(1-PARAM!$C$27)*$I$18+(MOD($B327,60)=PARAM!$B$56)*($B327&gt;(60-PARAM!$B$56))*HLOOKUP(($B327+PARAM!$B$56)/12,Loyalty,2)*$F$1*MAX(BN326,0)</f>
        <v>31.624773079516103</v>
      </c>
      <c r="BM327" s="75">
        <f>PARAM!$C$26+MAX($G$18-CHOOSE(PARAM!$B$44,MAX(0,BN326*$F$1),0),0)*RATES!$L303/12+$H$18*(PARAM!$D$51/12)*RATES!$N303/100</f>
        <v>28.625700959836973</v>
      </c>
      <c r="BN327" s="16">
        <f t="shared" si="213"/>
        <v>438.59146407008387</v>
      </c>
      <c r="BO327" s="15">
        <f t="shared" si="188"/>
        <v>22.170849845882874</v>
      </c>
      <c r="BP327" s="75">
        <f>BO327*(1-PARAM!$C$27)*$I$19+(MOD($B327,60)=PARAM!$B$56)*($B327&gt;(60-PARAM!$B$56))*HLOOKUP(($B327+PARAM!$B$56)/12,Loyalty,2)*$F$1*MAX(BR326,0)</f>
        <v>31.624773079516103</v>
      </c>
      <c r="BQ327" s="75">
        <f>PARAM!$C$26+MAX($G$19-CHOOSE(PARAM!$B$44,MAX(0,BR326*$F$1),0),0)*RATES!$L303/12+$H$19*(PARAM!$D$51/12)*RATES!$N303/100</f>
        <v>28.625700959836973</v>
      </c>
      <c r="BR327" s="16">
        <f t="shared" si="214"/>
        <v>438.59146407008387</v>
      </c>
      <c r="BS327" s="15">
        <f t="shared" si="189"/>
        <v>22.170849845882874</v>
      </c>
      <c r="BT327" s="75">
        <f>BS327*(1-PARAM!$C$27)*$I$20+(MOD($B327,60)=PARAM!$B$56)*($B327&gt;(60-PARAM!$B$56))*HLOOKUP(($B327+PARAM!$B$56)/12,Loyalty,2)*$F$1*MAX(BV326,0)</f>
        <v>31.624773079516103</v>
      </c>
      <c r="BU327" s="75">
        <f>PARAM!$C$26+MAX($G$20-CHOOSE(PARAM!$B$44,MAX(0,BV326*$F$1),0),0)*RATES!$L303/12+$H$20*(PARAM!$D$51/12)*RATES!$N303/100</f>
        <v>28.625700959836973</v>
      </c>
      <c r="BV327" s="16">
        <f t="shared" si="215"/>
        <v>438.59146407008387</v>
      </c>
      <c r="BW327" s="15">
        <f t="shared" si="190"/>
        <v>22.170849845882874</v>
      </c>
      <c r="BX327" s="75">
        <f>BW327*(1-PARAM!$C$27)*$I$21+(MOD($B327,60)=PARAM!$B$56)*($B327&gt;(60-PARAM!$B$56))*HLOOKUP(($B327+PARAM!$B$56)/12,Loyalty,2)*$F$1*MAX(BZ326,0)</f>
        <v>31.624773079516103</v>
      </c>
      <c r="BY327" s="75">
        <f>PARAM!$C$26+MAX($G$21-CHOOSE(PARAM!$B$44,MAX(0,BZ326*$F$1),0),0)*RATES!$L303/12+$H$21*(PARAM!$D$51/12)*RATES!$N303/100</f>
        <v>28.625700959836973</v>
      </c>
      <c r="BZ327" s="16">
        <f t="shared" si="216"/>
        <v>438.59146407008387</v>
      </c>
      <c r="CA327" s="15">
        <f t="shared" si="191"/>
        <v>22.170849845882874</v>
      </c>
      <c r="CB327" s="75">
        <f>CA327*(1-PARAM!$C$27)*$I$22+(MOD($B327,60)=PARAM!$B$56)*($B327&gt;(60-PARAM!$B$56))*HLOOKUP(($B327+PARAM!$B$56)/12,Loyalty,2)*$F$1*MAX(CD326,0)</f>
        <v>31.624773079516103</v>
      </c>
      <c r="CC327" s="75">
        <f>PARAM!$C$26+MAX($G$22-CHOOSE(PARAM!$B$44,MAX(0,CD326*$F$1),0),0)*RATES!$L303/12+$H$22*(PARAM!$D$51/12)*RATES!$N303/100</f>
        <v>28.625700959836973</v>
      </c>
      <c r="CD327" s="16">
        <f t="shared" si="217"/>
        <v>438.59146407008387</v>
      </c>
      <c r="CE327" s="33">
        <f>IF(0=MOD(B327,12/PARAM!$D$51),1,0)</f>
        <v>1</v>
      </c>
      <c r="CF327" s="15">
        <f t="shared" si="192"/>
        <v>0</v>
      </c>
      <c r="CG327" s="75">
        <f>CF327*(1-PARAM!$C$27)*$R$3+(MOD($B327/12,5)=0)*($B327&gt;60)*HLOOKUP($B327/12,Loyalty,2)*$F$1*MAX(CI326,0)</f>
        <v>0</v>
      </c>
      <c r="CH327" s="75">
        <f>PARAM!$C$26+MAX($P$3-CHOOSE(PARAM!$B$44,MAX(0,CI326*$F$1),0),0)*RATES!$L303/12+$Q$3*(PARAM!$D$51/12)*RATES!$N303/100</f>
        <v>28.833333333333329</v>
      </c>
      <c r="CI327" s="16">
        <f>IF(CI326&gt;0,CI326*PARAM!$C$53,CI326)+CG327-CH327</f>
        <v>-5004.8333333333276</v>
      </c>
      <c r="CJ327" s="15">
        <f t="shared" si="218"/>
        <v>0</v>
      </c>
      <c r="CK327" s="75">
        <f>CJ327*(1-PARAM!$C$27)*$R$4+(MOD($B327/12,5)=0)*($B327&gt;60)*HLOOKUP($B327/12,Loyalty,2)*$F$1*MAX(CM326,0)</f>
        <v>0</v>
      </c>
      <c r="CL327" s="75">
        <f>PARAM!$C$26+MAX($P$4-CHOOSE(PARAM!$B$44,MAX(0,CM326*$F$1),0),0)*RATES!$L303/12+$Q$4*(PARAM!$D$51/12)*RATES!$N303/100</f>
        <v>28.833333333333329</v>
      </c>
      <c r="CM327" s="16">
        <f>IF(CM326&gt;0,CM326*PARAM!$C$53,CM326)+CK327-CL327</f>
        <v>-5004.8333333333276</v>
      </c>
      <c r="CO327" s="176"/>
    </row>
    <row r="328" spans="1:93" x14ac:dyDescent="0.2">
      <c r="A328" t="b">
        <f t="shared" si="193"/>
        <v>0</v>
      </c>
      <c r="B328" s="33">
        <v>301</v>
      </c>
      <c r="C328" s="15">
        <f t="shared" si="194"/>
        <v>20.081305947392778</v>
      </c>
      <c r="D328" s="75">
        <f>C328*(1-PARAM!$C$27)*$I$3+(MOD($B328,60)=PARAM!$B$56)*($B328&gt;(60-PARAM!$B$56))*HLOOKUP(($B328+PARAM!$B$56)/12,Loyalty,2)*$F$1*MAX(F327,0)</f>
        <v>16.808053077967756</v>
      </c>
      <c r="E328" s="75">
        <f>PARAM!$C$26+MAX($G$3-CHOOSE(PARAM!$B$44,MAX(0,F327*$F$1),0),0)*RATES!$L304/12+$H$3*(PARAM!$D$51/12)*RATES!$N304/100</f>
        <v>28.833333333333329</v>
      </c>
      <c r="F328" s="16">
        <f t="shared" si="195"/>
        <v>-130.86788160210679</v>
      </c>
      <c r="G328" s="15">
        <f t="shared" si="196"/>
        <v>22.035289406060361</v>
      </c>
      <c r="H328" s="75">
        <f>G328*(1-PARAM!$C$27)*$I$4+(MOD($B328,60)=PARAM!$B$56)*($B328&gt;(60-PARAM!$B$56))*HLOOKUP(($B328+PARAM!$B$56)/12,Loyalty,2)*$F$1*MAX(J327,0)</f>
        <v>18.443537232872522</v>
      </c>
      <c r="I328" s="75">
        <f>PARAM!$C$26+MAX($G$4-CHOOSE(PARAM!$B$44,MAX(0,J327*$F$1),0),0)*RATES!$L304/12+$H$4*(PARAM!$D$51/12)*RATES!$N304/100</f>
        <v>28.64162472737182</v>
      </c>
      <c r="J328" s="16">
        <f t="shared" si="197"/>
        <v>391.98779913804299</v>
      </c>
      <c r="K328" s="15">
        <f t="shared" si="198"/>
        <v>22.170849845882874</v>
      </c>
      <c r="L328" s="75">
        <f>K328*(1-PARAM!$C$27)*$I$5+(MOD($B328,60)=PARAM!$B$56)*($B328&gt;(60-PARAM!$B$56))*HLOOKUP(($B328+PARAM!$B$56)/12,Loyalty,2)*$F$1*MAX(N327,0)</f>
        <v>18.557001321003963</v>
      </c>
      <c r="M328" s="75">
        <f>PARAM!$C$26+MAX($G$5-CHOOSE(PARAM!$B$44,MAX(0,N327*$F$1),0),0)*RATES!$L304/12+$H$5*(PARAM!$D$51/12)*RATES!$N304/100</f>
        <v>28.624271402126592</v>
      </c>
      <c r="N328" s="16">
        <f t="shared" si="199"/>
        <v>428.52419398896126</v>
      </c>
      <c r="O328" s="15">
        <f t="shared" si="200"/>
        <v>22.170849845882874</v>
      </c>
      <c r="P328" s="75">
        <f>O328*(1-PARAM!$C$27)*$I$6+(MOD($B328,60)=PARAM!$B$56)*($B328&gt;(60-PARAM!$B$56))*HLOOKUP(($B328+PARAM!$B$56)/12,Loyalty,2)*$F$1*MAX(R327,0)</f>
        <v>18.557001321003963</v>
      </c>
      <c r="Q328" s="75">
        <f>PARAM!$C$26+MAX($G$6-CHOOSE(PARAM!$B$44,MAX(0,R327*$F$1),0),0)*RATES!$L304/12+$H$6*(PARAM!$D$51/12)*RATES!$N304/100</f>
        <v>28.624271402126592</v>
      </c>
      <c r="R328" s="16">
        <f t="shared" si="201"/>
        <v>428.52419398896126</v>
      </c>
      <c r="S328" s="15">
        <f t="shared" si="176"/>
        <v>22.170849845882874</v>
      </c>
      <c r="T328" s="75">
        <f>S328*(1-PARAM!$C$27)*$I$7+(MOD($B328,60)=PARAM!$B$56)*($B328&gt;(60-PARAM!$B$56))*HLOOKUP(($B328+PARAM!$B$56)/12,Loyalty,2)*$F$1*MAX(V327,0)</f>
        <v>18.557001321003963</v>
      </c>
      <c r="U328" s="75">
        <f>PARAM!$C$26+MAX($G$7-CHOOSE(PARAM!$B$44,MAX(0,V327*$F$1),0),0)*RATES!$L304/12+$H$7*(PARAM!$D$51/12)*RATES!$N304/100</f>
        <v>28.624271402126592</v>
      </c>
      <c r="V328" s="16">
        <f t="shared" si="202"/>
        <v>428.52419398896126</v>
      </c>
      <c r="W328" s="15">
        <f t="shared" si="177"/>
        <v>22.170849845882874</v>
      </c>
      <c r="X328" s="75">
        <f>W328*(1-PARAM!$C$27)*$I$8+(MOD($B328,60)=PARAM!$B$56)*($B328&gt;(60-PARAM!$B$56))*HLOOKUP(($B328+PARAM!$B$56)/12,Loyalty,2)*$F$1*MAX(Z327,0)</f>
        <v>18.557001321003963</v>
      </c>
      <c r="Y328" s="75">
        <f>PARAM!$C$26+MAX($G$8-CHOOSE(PARAM!$B$44,MAX(0,Z327*$F$1),0),0)*RATES!$L304/12+$H$8*(PARAM!$D$51/12)*RATES!$N304/100</f>
        <v>28.624271402126592</v>
      </c>
      <c r="Z328" s="16">
        <f t="shared" si="203"/>
        <v>428.52419398896126</v>
      </c>
      <c r="AA328" s="15">
        <f t="shared" si="178"/>
        <v>22.170849845882874</v>
      </c>
      <c r="AB328" s="75">
        <f>AA328*(1-PARAM!$C$27)*$I$9+(MOD($B328,60)=PARAM!$B$56)*($B328&gt;(60-PARAM!$B$56))*HLOOKUP(($B328+PARAM!$B$56)/12,Loyalty,2)*$F$1*MAX(AD327,0)</f>
        <v>18.557001321003963</v>
      </c>
      <c r="AC328" s="75">
        <f>PARAM!$C$26+MAX($G$9-CHOOSE(PARAM!$B$44,MAX(0,AD327*$F$1),0),0)*RATES!$L304/12+$H$9*(PARAM!$D$51/12)*RATES!$N304/100</f>
        <v>28.624271402126592</v>
      </c>
      <c r="AD328" s="16">
        <f t="shared" si="204"/>
        <v>428.52419398896126</v>
      </c>
      <c r="AE328" s="15">
        <f t="shared" si="179"/>
        <v>22.170849845882874</v>
      </c>
      <c r="AF328" s="75">
        <f>AE328*(1-PARAM!$C$27)*$I$10+(MOD($B328,60)=PARAM!$B$56)*($B328&gt;(60-PARAM!$B$56))*HLOOKUP(($B328+PARAM!$B$56)/12,Loyalty,2)*$F$1*MAX(AH327,0)</f>
        <v>18.557001321003963</v>
      </c>
      <c r="AG328" s="75">
        <f>PARAM!$C$26+MAX($G$10-CHOOSE(PARAM!$B$44,MAX(0,AH327*$F$1),0),0)*RATES!$L304/12+$H$10*(PARAM!$D$51/12)*RATES!$N304/100</f>
        <v>28.624271402126592</v>
      </c>
      <c r="AH328" s="16">
        <f t="shared" si="205"/>
        <v>428.52419398896126</v>
      </c>
      <c r="AI328" s="15">
        <f t="shared" si="180"/>
        <v>22.170849845882874</v>
      </c>
      <c r="AJ328" s="75">
        <f>AI328*(1-PARAM!$C$27)*$I$11+(MOD($B328,60)=PARAM!$B$56)*($B328&gt;(60-PARAM!$B$56))*HLOOKUP(($B328+PARAM!$B$56)/12,Loyalty,2)*$F$1*MAX(AL327,0)</f>
        <v>18.557001321003963</v>
      </c>
      <c r="AK328" s="75">
        <f>PARAM!$C$26+MAX($G$11-CHOOSE(PARAM!$B$44,MAX(0,AL327*$F$1),0),0)*RATES!$L304/12+$H$11*(PARAM!$D$51/12)*RATES!$N304/100</f>
        <v>28.624271402126592</v>
      </c>
      <c r="AL328" s="16">
        <f t="shared" si="206"/>
        <v>428.52419398896126</v>
      </c>
      <c r="AM328" s="15">
        <f t="shared" si="181"/>
        <v>22.170849845882874</v>
      </c>
      <c r="AN328" s="75">
        <f>AM328*(1-PARAM!$C$27)*$I$12+(MOD($B328,60)=PARAM!$B$56)*($B328&gt;(60-PARAM!$B$56))*HLOOKUP(($B328+PARAM!$B$56)/12,Loyalty,2)*$F$1*MAX(AP327,0)</f>
        <v>18.557001321003963</v>
      </c>
      <c r="AO328" s="75">
        <f>PARAM!$C$26+MAX($G$12-CHOOSE(PARAM!$B$44,MAX(0,AP327*$F$1),0),0)*RATES!$L304/12+$H$12*(PARAM!$D$51/12)*RATES!$N304/100</f>
        <v>28.624271402126592</v>
      </c>
      <c r="AP328" s="16">
        <f t="shared" si="207"/>
        <v>428.52419398896126</v>
      </c>
      <c r="AQ328" s="15">
        <f t="shared" si="182"/>
        <v>22.170849845882874</v>
      </c>
      <c r="AR328" s="75">
        <f>AQ328*(1-PARAM!$C$27)*$I$13+(MOD($B328,60)=PARAM!$B$56)*($B328&gt;(60-PARAM!$B$56))*HLOOKUP(($B328+PARAM!$B$56)/12,Loyalty,2)*$F$1*MAX(AT327,0)</f>
        <v>18.557001321003963</v>
      </c>
      <c r="AS328" s="75">
        <f>PARAM!$C$26+MAX($G$13-CHOOSE(PARAM!$B$44,MAX(0,AT327*$F$1),0),0)*RATES!$L304/12+$H$13*(PARAM!$D$51/12)*RATES!$N304/100</f>
        <v>28.624271402126592</v>
      </c>
      <c r="AT328" s="16">
        <f t="shared" si="208"/>
        <v>428.52419398896126</v>
      </c>
      <c r="AU328" s="15">
        <f t="shared" si="183"/>
        <v>22.170849845882874</v>
      </c>
      <c r="AV328" s="75">
        <f>AU328*(1-PARAM!$C$27)*$I$14+(MOD($B328,60)=PARAM!$B$56)*($B328&gt;(60-PARAM!$B$56))*HLOOKUP(($B328+PARAM!$B$56)/12,Loyalty,2)*$F$1*MAX(AX327,0)</f>
        <v>18.557001321003963</v>
      </c>
      <c r="AW328" s="75">
        <f>PARAM!$C$26+MAX($G$14-CHOOSE(PARAM!$B$44,MAX(0,AX327*$F$1),0),0)*RATES!$L304/12+$H$14*(PARAM!$D$51/12)*RATES!$N304/100</f>
        <v>28.624271402126592</v>
      </c>
      <c r="AX328" s="16">
        <f t="shared" si="209"/>
        <v>428.52419398896126</v>
      </c>
      <c r="AY328" s="15">
        <f t="shared" si="184"/>
        <v>22.170849845882874</v>
      </c>
      <c r="AZ328" s="75">
        <f>AY328*(1-PARAM!$C$27)*$I$15+(MOD($B328,60)=PARAM!$B$56)*($B328&gt;(60-PARAM!$B$56))*HLOOKUP(($B328+PARAM!$B$56)/12,Loyalty,2)*$F$1*MAX(BB327,0)</f>
        <v>18.557001321003963</v>
      </c>
      <c r="BA328" s="75">
        <f>PARAM!$C$26+MAX($G$15-CHOOSE(PARAM!$B$44,MAX(0,BB327*$F$1),0),0)*RATES!$L304/12+$H$15*(PARAM!$D$51/12)*RATES!$N304/100</f>
        <v>28.624271402126592</v>
      </c>
      <c r="BB328" s="16">
        <f t="shared" si="210"/>
        <v>428.52419398896126</v>
      </c>
      <c r="BC328" s="15">
        <f t="shared" si="185"/>
        <v>22.170849845882874</v>
      </c>
      <c r="BD328" s="75">
        <f>BC328*(1-PARAM!$C$27)*$I$16+(MOD($B328,60)=PARAM!$B$56)*($B328&gt;(60-PARAM!$B$56))*HLOOKUP(($B328+PARAM!$B$56)/12,Loyalty,2)*$F$1*MAX(BF327,0)</f>
        <v>18.557001321003963</v>
      </c>
      <c r="BE328" s="75">
        <f>PARAM!$C$26+MAX($G$16-CHOOSE(PARAM!$B$44,MAX(0,BF327*$F$1),0),0)*RATES!$L304/12+$H$16*(PARAM!$D$51/12)*RATES!$N304/100</f>
        <v>28.624271402126592</v>
      </c>
      <c r="BF328" s="16">
        <f t="shared" si="211"/>
        <v>428.52419398896126</v>
      </c>
      <c r="BG328" s="15">
        <f t="shared" si="186"/>
        <v>22.170849845882874</v>
      </c>
      <c r="BH328" s="75">
        <f>BG328*(1-PARAM!$C$27)*$I$17+(MOD($B328,60)=PARAM!$B$56)*($B328&gt;(60-PARAM!$B$56))*HLOOKUP(($B328+PARAM!$B$56)/12,Loyalty,2)*$F$1*MAX(BJ327,0)</f>
        <v>18.557001321003963</v>
      </c>
      <c r="BI328" s="75">
        <f>PARAM!$C$26+MAX($G$17-CHOOSE(PARAM!$B$44,MAX(0,BJ327*$F$1),0),0)*RATES!$L304/12+$H$17*(PARAM!$D$51/12)*RATES!$N304/100</f>
        <v>28.624271402126592</v>
      </c>
      <c r="BJ328" s="16">
        <f t="shared" si="212"/>
        <v>428.52419398896126</v>
      </c>
      <c r="BK328" s="15">
        <f t="shared" si="187"/>
        <v>22.170849845882874</v>
      </c>
      <c r="BL328" s="75">
        <f>BK328*(1-PARAM!$C$27)*$I$18+(MOD($B328,60)=PARAM!$B$56)*($B328&gt;(60-PARAM!$B$56))*HLOOKUP(($B328+PARAM!$B$56)/12,Loyalty,2)*$F$1*MAX(BN327,0)</f>
        <v>18.557001321003963</v>
      </c>
      <c r="BM328" s="75">
        <f>PARAM!$C$26+MAX($G$18-CHOOSE(PARAM!$B$44,MAX(0,BN327*$F$1),0),0)*RATES!$L304/12+$H$18*(PARAM!$D$51/12)*RATES!$N304/100</f>
        <v>28.624271402126592</v>
      </c>
      <c r="BN328" s="16">
        <f t="shared" si="213"/>
        <v>428.52419398896126</v>
      </c>
      <c r="BO328" s="15">
        <f t="shared" si="188"/>
        <v>22.170849845882874</v>
      </c>
      <c r="BP328" s="75">
        <f>BO328*(1-PARAM!$C$27)*$I$19+(MOD($B328,60)=PARAM!$B$56)*($B328&gt;(60-PARAM!$B$56))*HLOOKUP(($B328+PARAM!$B$56)/12,Loyalty,2)*$F$1*MAX(BR327,0)</f>
        <v>18.557001321003963</v>
      </c>
      <c r="BQ328" s="75">
        <f>PARAM!$C$26+MAX($G$19-CHOOSE(PARAM!$B$44,MAX(0,BR327*$F$1),0),0)*RATES!$L304/12+$H$19*(PARAM!$D$51/12)*RATES!$N304/100</f>
        <v>28.624271402126592</v>
      </c>
      <c r="BR328" s="16">
        <f t="shared" si="214"/>
        <v>428.52419398896126</v>
      </c>
      <c r="BS328" s="15">
        <f t="shared" si="189"/>
        <v>22.170849845882874</v>
      </c>
      <c r="BT328" s="75">
        <f>BS328*(1-PARAM!$C$27)*$I$20+(MOD($B328,60)=PARAM!$B$56)*($B328&gt;(60-PARAM!$B$56))*HLOOKUP(($B328+PARAM!$B$56)/12,Loyalty,2)*$F$1*MAX(BV327,0)</f>
        <v>18.557001321003963</v>
      </c>
      <c r="BU328" s="75">
        <f>PARAM!$C$26+MAX($G$20-CHOOSE(PARAM!$B$44,MAX(0,BV327*$F$1),0),0)*RATES!$L304/12+$H$20*(PARAM!$D$51/12)*RATES!$N304/100</f>
        <v>28.624271402126592</v>
      </c>
      <c r="BV328" s="16">
        <f t="shared" si="215"/>
        <v>428.52419398896126</v>
      </c>
      <c r="BW328" s="15">
        <f t="shared" si="190"/>
        <v>22.170849845882874</v>
      </c>
      <c r="BX328" s="75">
        <f>BW328*(1-PARAM!$C$27)*$I$21+(MOD($B328,60)=PARAM!$B$56)*($B328&gt;(60-PARAM!$B$56))*HLOOKUP(($B328+PARAM!$B$56)/12,Loyalty,2)*$F$1*MAX(BZ327,0)</f>
        <v>18.557001321003963</v>
      </c>
      <c r="BY328" s="75">
        <f>PARAM!$C$26+MAX($G$21-CHOOSE(PARAM!$B$44,MAX(0,BZ327*$F$1),0),0)*RATES!$L304/12+$H$21*(PARAM!$D$51/12)*RATES!$N304/100</f>
        <v>28.624271402126592</v>
      </c>
      <c r="BZ328" s="16">
        <f t="shared" si="216"/>
        <v>428.52419398896126</v>
      </c>
      <c r="CA328" s="15">
        <f t="shared" si="191"/>
        <v>22.170849845882874</v>
      </c>
      <c r="CB328" s="75">
        <f>CA328*(1-PARAM!$C$27)*$I$22+(MOD($B328,60)=PARAM!$B$56)*($B328&gt;(60-PARAM!$B$56))*HLOOKUP(($B328+PARAM!$B$56)/12,Loyalty,2)*$F$1*MAX(CD327,0)</f>
        <v>18.557001321003963</v>
      </c>
      <c r="CC328" s="75">
        <f>PARAM!$C$26+MAX($G$22-CHOOSE(PARAM!$B$44,MAX(0,CD327*$F$1),0),0)*RATES!$L304/12+$H$22*(PARAM!$D$51/12)*RATES!$N304/100</f>
        <v>28.624271402126592</v>
      </c>
      <c r="CD328" s="16">
        <f t="shared" si="217"/>
        <v>428.52419398896126</v>
      </c>
      <c r="CE328" s="33">
        <f>IF(0=MOD(B328,12/PARAM!$D$51),1,0)</f>
        <v>1</v>
      </c>
      <c r="CF328" s="15">
        <f t="shared" si="192"/>
        <v>0</v>
      </c>
      <c r="CG328" s="75">
        <f>CF328*(1-PARAM!$C$27)*$R$3+(MOD($B328/12,5)=0)*($B328&gt;60)*HLOOKUP($B328/12,Loyalty,2)*$F$1*MAX(CI327,0)</f>
        <v>0</v>
      </c>
      <c r="CH328" s="75">
        <f>PARAM!$C$26+MAX($P$3-CHOOSE(PARAM!$B$44,MAX(0,CI327*$F$1),0),0)*RATES!$L304/12+$Q$3*(PARAM!$D$51/12)*RATES!$N304/100</f>
        <v>28.833333333333329</v>
      </c>
      <c r="CI328" s="16">
        <f>IF(CI327&gt;0,CI327*PARAM!$C$53,CI327)+CG328-CH328</f>
        <v>-5033.6666666666606</v>
      </c>
      <c r="CJ328" s="15">
        <f t="shared" si="218"/>
        <v>0</v>
      </c>
      <c r="CK328" s="75">
        <f>CJ328*(1-PARAM!$C$27)*$R$4+(MOD($B328/12,5)=0)*($B328&gt;60)*HLOOKUP($B328/12,Loyalty,2)*$F$1*MAX(CM327,0)</f>
        <v>0</v>
      </c>
      <c r="CL328" s="75">
        <f>PARAM!$C$26+MAX($P$4-CHOOSE(PARAM!$B$44,MAX(0,CM327*$F$1),0),0)*RATES!$L304/12+$Q$4*(PARAM!$D$51/12)*RATES!$N304/100</f>
        <v>28.833333333333329</v>
      </c>
      <c r="CM328" s="16">
        <f>IF(CM327&gt;0,CM327*PARAM!$C$53,CM327)+CK328-CL328</f>
        <v>-5033.6666666666606</v>
      </c>
      <c r="CO328" s="176"/>
    </row>
    <row r="329" spans="1:93" x14ac:dyDescent="0.2">
      <c r="A329" t="b">
        <f t="shared" si="193"/>
        <v>0</v>
      </c>
      <c r="B329" s="33">
        <v>302</v>
      </c>
      <c r="C329" s="15">
        <f t="shared" si="194"/>
        <v>20.081305947392778</v>
      </c>
      <c r="D329" s="75">
        <f>C329*(1-PARAM!$C$27)*$I$3+(MOD($B329,60)=PARAM!$B$56)*($B329&gt;(60-PARAM!$B$56))*HLOOKUP(($B329+PARAM!$B$56)/12,Loyalty,2)*$F$1*MAX(F328,0)</f>
        <v>16.808053077967756</v>
      </c>
      <c r="E329" s="75">
        <f>PARAM!$C$26+MAX($G$3-CHOOSE(PARAM!$B$44,MAX(0,F328*$F$1),0),0)*RATES!$L305/12+$H$3*(PARAM!$D$51/12)*RATES!$N305/100</f>
        <v>28.833333333333329</v>
      </c>
      <c r="F329" s="16">
        <f t="shared" si="195"/>
        <v>-142.89316185747236</v>
      </c>
      <c r="G329" s="15">
        <f t="shared" si="196"/>
        <v>22.035289406060361</v>
      </c>
      <c r="H329" s="75">
        <f>G329*(1-PARAM!$C$27)*$I$4+(MOD($B329,60)=PARAM!$B$56)*($B329&gt;(60-PARAM!$B$56))*HLOOKUP(($B329+PARAM!$B$56)/12,Loyalty,2)*$F$1*MAX(J328,0)</f>
        <v>18.443537232872522</v>
      </c>
      <c r="I329" s="75">
        <f>PARAM!$C$26+MAX($G$4-CHOOSE(PARAM!$B$44,MAX(0,J328*$F$1),0),0)*RATES!$L305/12+$H$4*(PARAM!$D$51/12)*RATES!$N305/100</f>
        <v>28.646485815744199</v>
      </c>
      <c r="J329" s="16">
        <f t="shared" si="197"/>
        <v>381.78485055517132</v>
      </c>
      <c r="K329" s="15">
        <f t="shared" si="198"/>
        <v>22.170849845882874</v>
      </c>
      <c r="L329" s="75">
        <f>K329*(1-PARAM!$C$27)*$I$5+(MOD($B329,60)=PARAM!$B$56)*($B329&gt;(60-PARAM!$B$56))*HLOOKUP(($B329+PARAM!$B$56)/12,Loyalty,2)*$F$1*MAX(N328,0)</f>
        <v>18.557001321003963</v>
      </c>
      <c r="M329" s="75">
        <f>PARAM!$C$26+MAX($G$5-CHOOSE(PARAM!$B$44,MAX(0,N328*$F$1),0),0)*RATES!$L305/12+$H$5*(PARAM!$D$51/12)*RATES!$N305/100</f>
        <v>28.629070134198596</v>
      </c>
      <c r="N329" s="16">
        <f t="shared" si="199"/>
        <v>418.45212517576664</v>
      </c>
      <c r="O329" s="15">
        <f t="shared" si="200"/>
        <v>22.170849845882874</v>
      </c>
      <c r="P329" s="75">
        <f>O329*(1-PARAM!$C$27)*$I$6+(MOD($B329,60)=PARAM!$B$56)*($B329&gt;(60-PARAM!$B$56))*HLOOKUP(($B329+PARAM!$B$56)/12,Loyalty,2)*$F$1*MAX(R328,0)</f>
        <v>18.557001321003963</v>
      </c>
      <c r="Q329" s="75">
        <f>PARAM!$C$26+MAX($G$6-CHOOSE(PARAM!$B$44,MAX(0,R328*$F$1),0),0)*RATES!$L305/12+$H$6*(PARAM!$D$51/12)*RATES!$N305/100</f>
        <v>28.629070134198596</v>
      </c>
      <c r="R329" s="16">
        <f t="shared" si="201"/>
        <v>418.45212517576664</v>
      </c>
      <c r="S329" s="15">
        <f t="shared" si="176"/>
        <v>22.170849845882874</v>
      </c>
      <c r="T329" s="75">
        <f>S329*(1-PARAM!$C$27)*$I$7+(MOD($B329,60)=PARAM!$B$56)*($B329&gt;(60-PARAM!$B$56))*HLOOKUP(($B329+PARAM!$B$56)/12,Loyalty,2)*$F$1*MAX(V328,0)</f>
        <v>18.557001321003963</v>
      </c>
      <c r="U329" s="75">
        <f>PARAM!$C$26+MAX($G$7-CHOOSE(PARAM!$B$44,MAX(0,V328*$F$1),0),0)*RATES!$L305/12+$H$7*(PARAM!$D$51/12)*RATES!$N305/100</f>
        <v>28.629070134198596</v>
      </c>
      <c r="V329" s="16">
        <f t="shared" si="202"/>
        <v>418.45212517576664</v>
      </c>
      <c r="W329" s="15">
        <f t="shared" si="177"/>
        <v>22.170849845882874</v>
      </c>
      <c r="X329" s="75">
        <f>W329*(1-PARAM!$C$27)*$I$8+(MOD($B329,60)=PARAM!$B$56)*($B329&gt;(60-PARAM!$B$56))*HLOOKUP(($B329+PARAM!$B$56)/12,Loyalty,2)*$F$1*MAX(Z328,0)</f>
        <v>18.557001321003963</v>
      </c>
      <c r="Y329" s="75">
        <f>PARAM!$C$26+MAX($G$8-CHOOSE(PARAM!$B$44,MAX(0,Z328*$F$1),0),0)*RATES!$L305/12+$H$8*(PARAM!$D$51/12)*RATES!$N305/100</f>
        <v>28.629070134198596</v>
      </c>
      <c r="Z329" s="16">
        <f t="shared" si="203"/>
        <v>418.45212517576664</v>
      </c>
      <c r="AA329" s="15">
        <f t="shared" si="178"/>
        <v>22.170849845882874</v>
      </c>
      <c r="AB329" s="75">
        <f>AA329*(1-PARAM!$C$27)*$I$9+(MOD($B329,60)=PARAM!$B$56)*($B329&gt;(60-PARAM!$B$56))*HLOOKUP(($B329+PARAM!$B$56)/12,Loyalty,2)*$F$1*MAX(AD328,0)</f>
        <v>18.557001321003963</v>
      </c>
      <c r="AC329" s="75">
        <f>PARAM!$C$26+MAX($G$9-CHOOSE(PARAM!$B$44,MAX(0,AD328*$F$1),0),0)*RATES!$L305/12+$H$9*(PARAM!$D$51/12)*RATES!$N305/100</f>
        <v>28.629070134198596</v>
      </c>
      <c r="AD329" s="16">
        <f t="shared" si="204"/>
        <v>418.45212517576664</v>
      </c>
      <c r="AE329" s="15">
        <f t="shared" si="179"/>
        <v>22.170849845882874</v>
      </c>
      <c r="AF329" s="75">
        <f>AE329*(1-PARAM!$C$27)*$I$10+(MOD($B329,60)=PARAM!$B$56)*($B329&gt;(60-PARAM!$B$56))*HLOOKUP(($B329+PARAM!$B$56)/12,Loyalty,2)*$F$1*MAX(AH328,0)</f>
        <v>18.557001321003963</v>
      </c>
      <c r="AG329" s="75">
        <f>PARAM!$C$26+MAX($G$10-CHOOSE(PARAM!$B$44,MAX(0,AH328*$F$1),0),0)*RATES!$L305/12+$H$10*(PARAM!$D$51/12)*RATES!$N305/100</f>
        <v>28.629070134198596</v>
      </c>
      <c r="AH329" s="16">
        <f t="shared" si="205"/>
        <v>418.45212517576664</v>
      </c>
      <c r="AI329" s="15">
        <f t="shared" si="180"/>
        <v>22.170849845882874</v>
      </c>
      <c r="AJ329" s="75">
        <f>AI329*(1-PARAM!$C$27)*$I$11+(MOD($B329,60)=PARAM!$B$56)*($B329&gt;(60-PARAM!$B$56))*HLOOKUP(($B329+PARAM!$B$56)/12,Loyalty,2)*$F$1*MAX(AL328,0)</f>
        <v>18.557001321003963</v>
      </c>
      <c r="AK329" s="75">
        <f>PARAM!$C$26+MAX($G$11-CHOOSE(PARAM!$B$44,MAX(0,AL328*$F$1),0),0)*RATES!$L305/12+$H$11*(PARAM!$D$51/12)*RATES!$N305/100</f>
        <v>28.629070134198596</v>
      </c>
      <c r="AL329" s="16">
        <f t="shared" si="206"/>
        <v>418.45212517576664</v>
      </c>
      <c r="AM329" s="15">
        <f t="shared" si="181"/>
        <v>22.170849845882874</v>
      </c>
      <c r="AN329" s="75">
        <f>AM329*(1-PARAM!$C$27)*$I$12+(MOD($B329,60)=PARAM!$B$56)*($B329&gt;(60-PARAM!$B$56))*HLOOKUP(($B329+PARAM!$B$56)/12,Loyalty,2)*$F$1*MAX(AP328,0)</f>
        <v>18.557001321003963</v>
      </c>
      <c r="AO329" s="75">
        <f>PARAM!$C$26+MAX($G$12-CHOOSE(PARAM!$B$44,MAX(0,AP328*$F$1),0),0)*RATES!$L305/12+$H$12*(PARAM!$D$51/12)*RATES!$N305/100</f>
        <v>28.629070134198596</v>
      </c>
      <c r="AP329" s="16">
        <f t="shared" si="207"/>
        <v>418.45212517576664</v>
      </c>
      <c r="AQ329" s="15">
        <f t="shared" si="182"/>
        <v>22.170849845882874</v>
      </c>
      <c r="AR329" s="75">
        <f>AQ329*(1-PARAM!$C$27)*$I$13+(MOD($B329,60)=PARAM!$B$56)*($B329&gt;(60-PARAM!$B$56))*HLOOKUP(($B329+PARAM!$B$56)/12,Loyalty,2)*$F$1*MAX(AT328,0)</f>
        <v>18.557001321003963</v>
      </c>
      <c r="AS329" s="75">
        <f>PARAM!$C$26+MAX($G$13-CHOOSE(PARAM!$B$44,MAX(0,AT328*$F$1),0),0)*RATES!$L305/12+$H$13*(PARAM!$D$51/12)*RATES!$N305/100</f>
        <v>28.629070134198596</v>
      </c>
      <c r="AT329" s="16">
        <f t="shared" si="208"/>
        <v>418.45212517576664</v>
      </c>
      <c r="AU329" s="15">
        <f t="shared" si="183"/>
        <v>22.170849845882874</v>
      </c>
      <c r="AV329" s="75">
        <f>AU329*(1-PARAM!$C$27)*$I$14+(MOD($B329,60)=PARAM!$B$56)*($B329&gt;(60-PARAM!$B$56))*HLOOKUP(($B329+PARAM!$B$56)/12,Loyalty,2)*$F$1*MAX(AX328,0)</f>
        <v>18.557001321003963</v>
      </c>
      <c r="AW329" s="75">
        <f>PARAM!$C$26+MAX($G$14-CHOOSE(PARAM!$B$44,MAX(0,AX328*$F$1),0),0)*RATES!$L305/12+$H$14*(PARAM!$D$51/12)*RATES!$N305/100</f>
        <v>28.629070134198596</v>
      </c>
      <c r="AX329" s="16">
        <f t="shared" si="209"/>
        <v>418.45212517576664</v>
      </c>
      <c r="AY329" s="15">
        <f t="shared" si="184"/>
        <v>22.170849845882874</v>
      </c>
      <c r="AZ329" s="75">
        <f>AY329*(1-PARAM!$C$27)*$I$15+(MOD($B329,60)=PARAM!$B$56)*($B329&gt;(60-PARAM!$B$56))*HLOOKUP(($B329+PARAM!$B$56)/12,Loyalty,2)*$F$1*MAX(BB328,0)</f>
        <v>18.557001321003963</v>
      </c>
      <c r="BA329" s="75">
        <f>PARAM!$C$26+MAX($G$15-CHOOSE(PARAM!$B$44,MAX(0,BB328*$F$1),0),0)*RATES!$L305/12+$H$15*(PARAM!$D$51/12)*RATES!$N305/100</f>
        <v>28.629070134198596</v>
      </c>
      <c r="BB329" s="16">
        <f t="shared" si="210"/>
        <v>418.45212517576664</v>
      </c>
      <c r="BC329" s="15">
        <f t="shared" si="185"/>
        <v>22.170849845882874</v>
      </c>
      <c r="BD329" s="75">
        <f>BC329*(1-PARAM!$C$27)*$I$16+(MOD($B329,60)=PARAM!$B$56)*($B329&gt;(60-PARAM!$B$56))*HLOOKUP(($B329+PARAM!$B$56)/12,Loyalty,2)*$F$1*MAX(BF328,0)</f>
        <v>18.557001321003963</v>
      </c>
      <c r="BE329" s="75">
        <f>PARAM!$C$26+MAX($G$16-CHOOSE(PARAM!$B$44,MAX(0,BF328*$F$1),0),0)*RATES!$L305/12+$H$16*(PARAM!$D$51/12)*RATES!$N305/100</f>
        <v>28.629070134198596</v>
      </c>
      <c r="BF329" s="16">
        <f t="shared" si="211"/>
        <v>418.45212517576664</v>
      </c>
      <c r="BG329" s="15">
        <f t="shared" si="186"/>
        <v>22.170849845882874</v>
      </c>
      <c r="BH329" s="75">
        <f>BG329*(1-PARAM!$C$27)*$I$17+(MOD($B329,60)=PARAM!$B$56)*($B329&gt;(60-PARAM!$B$56))*HLOOKUP(($B329+PARAM!$B$56)/12,Loyalty,2)*$F$1*MAX(BJ328,0)</f>
        <v>18.557001321003963</v>
      </c>
      <c r="BI329" s="75">
        <f>PARAM!$C$26+MAX($G$17-CHOOSE(PARAM!$B$44,MAX(0,BJ328*$F$1),0),0)*RATES!$L305/12+$H$17*(PARAM!$D$51/12)*RATES!$N305/100</f>
        <v>28.629070134198596</v>
      </c>
      <c r="BJ329" s="16">
        <f t="shared" si="212"/>
        <v>418.45212517576664</v>
      </c>
      <c r="BK329" s="15">
        <f t="shared" si="187"/>
        <v>22.170849845882874</v>
      </c>
      <c r="BL329" s="75">
        <f>BK329*(1-PARAM!$C$27)*$I$18+(MOD($B329,60)=PARAM!$B$56)*($B329&gt;(60-PARAM!$B$56))*HLOOKUP(($B329+PARAM!$B$56)/12,Loyalty,2)*$F$1*MAX(BN328,0)</f>
        <v>18.557001321003963</v>
      </c>
      <c r="BM329" s="75">
        <f>PARAM!$C$26+MAX($G$18-CHOOSE(PARAM!$B$44,MAX(0,BN328*$F$1),0),0)*RATES!$L305/12+$H$18*(PARAM!$D$51/12)*RATES!$N305/100</f>
        <v>28.629070134198596</v>
      </c>
      <c r="BN329" s="16">
        <f t="shared" si="213"/>
        <v>418.45212517576664</v>
      </c>
      <c r="BO329" s="15">
        <f t="shared" si="188"/>
        <v>22.170849845882874</v>
      </c>
      <c r="BP329" s="75">
        <f>BO329*(1-PARAM!$C$27)*$I$19+(MOD($B329,60)=PARAM!$B$56)*($B329&gt;(60-PARAM!$B$56))*HLOOKUP(($B329+PARAM!$B$56)/12,Loyalty,2)*$F$1*MAX(BR328,0)</f>
        <v>18.557001321003963</v>
      </c>
      <c r="BQ329" s="75">
        <f>PARAM!$C$26+MAX($G$19-CHOOSE(PARAM!$B$44,MAX(0,BR328*$F$1),0),0)*RATES!$L305/12+$H$19*(PARAM!$D$51/12)*RATES!$N305/100</f>
        <v>28.629070134198596</v>
      </c>
      <c r="BR329" s="16">
        <f t="shared" si="214"/>
        <v>418.45212517576664</v>
      </c>
      <c r="BS329" s="15">
        <f t="shared" si="189"/>
        <v>22.170849845882874</v>
      </c>
      <c r="BT329" s="75">
        <f>BS329*(1-PARAM!$C$27)*$I$20+(MOD($B329,60)=PARAM!$B$56)*($B329&gt;(60-PARAM!$B$56))*HLOOKUP(($B329+PARAM!$B$56)/12,Loyalty,2)*$F$1*MAX(BV328,0)</f>
        <v>18.557001321003963</v>
      </c>
      <c r="BU329" s="75">
        <f>PARAM!$C$26+MAX($G$20-CHOOSE(PARAM!$B$44,MAX(0,BV328*$F$1),0),0)*RATES!$L305/12+$H$20*(PARAM!$D$51/12)*RATES!$N305/100</f>
        <v>28.629070134198596</v>
      </c>
      <c r="BV329" s="16">
        <f t="shared" si="215"/>
        <v>418.45212517576664</v>
      </c>
      <c r="BW329" s="15">
        <f t="shared" si="190"/>
        <v>22.170849845882874</v>
      </c>
      <c r="BX329" s="75">
        <f>BW329*(1-PARAM!$C$27)*$I$21+(MOD($B329,60)=PARAM!$B$56)*($B329&gt;(60-PARAM!$B$56))*HLOOKUP(($B329+PARAM!$B$56)/12,Loyalty,2)*$F$1*MAX(BZ328,0)</f>
        <v>18.557001321003963</v>
      </c>
      <c r="BY329" s="75">
        <f>PARAM!$C$26+MAX($G$21-CHOOSE(PARAM!$B$44,MAX(0,BZ328*$F$1),0),0)*RATES!$L305/12+$H$21*(PARAM!$D$51/12)*RATES!$N305/100</f>
        <v>28.629070134198596</v>
      </c>
      <c r="BZ329" s="16">
        <f t="shared" si="216"/>
        <v>418.45212517576664</v>
      </c>
      <c r="CA329" s="15">
        <f t="shared" si="191"/>
        <v>22.170849845882874</v>
      </c>
      <c r="CB329" s="75">
        <f>CA329*(1-PARAM!$C$27)*$I$22+(MOD($B329,60)=PARAM!$B$56)*($B329&gt;(60-PARAM!$B$56))*HLOOKUP(($B329+PARAM!$B$56)/12,Loyalty,2)*$F$1*MAX(CD328,0)</f>
        <v>18.557001321003963</v>
      </c>
      <c r="CC329" s="75">
        <f>PARAM!$C$26+MAX($G$22-CHOOSE(PARAM!$B$44,MAX(0,CD328*$F$1),0),0)*RATES!$L305/12+$H$22*(PARAM!$D$51/12)*RATES!$N305/100</f>
        <v>28.629070134198596</v>
      </c>
      <c r="CD329" s="16">
        <f t="shared" si="217"/>
        <v>418.45212517576664</v>
      </c>
      <c r="CE329" s="33">
        <f>IF(0=MOD(B329,12/PARAM!$D$51),1,0)</f>
        <v>1</v>
      </c>
      <c r="CF329" s="15">
        <f t="shared" si="192"/>
        <v>0</v>
      </c>
      <c r="CG329" s="75">
        <f>CF329*(1-PARAM!$C$27)*$R$3+(MOD($B329/12,5)=0)*($B329&gt;60)*HLOOKUP($B329/12,Loyalty,2)*$F$1*MAX(CI328,0)</f>
        <v>0</v>
      </c>
      <c r="CH329" s="75">
        <f>PARAM!$C$26+MAX($P$3-CHOOSE(PARAM!$B$44,MAX(0,CI328*$F$1),0),0)*RATES!$L305/12+$Q$3*(PARAM!$D$51/12)*RATES!$N305/100</f>
        <v>28.833333333333329</v>
      </c>
      <c r="CI329" s="16">
        <f>IF(CI328&gt;0,CI328*PARAM!$C$53,CI328)+CG329-CH329</f>
        <v>-5062.4999999999936</v>
      </c>
      <c r="CJ329" s="15">
        <f t="shared" si="218"/>
        <v>0</v>
      </c>
      <c r="CK329" s="75">
        <f>CJ329*(1-PARAM!$C$27)*$R$4+(MOD($B329/12,5)=0)*($B329&gt;60)*HLOOKUP($B329/12,Loyalty,2)*$F$1*MAX(CM328,0)</f>
        <v>0</v>
      </c>
      <c r="CL329" s="75">
        <f>PARAM!$C$26+MAX($P$4-CHOOSE(PARAM!$B$44,MAX(0,CM328*$F$1),0),0)*RATES!$L305/12+$Q$4*(PARAM!$D$51/12)*RATES!$N305/100</f>
        <v>28.833333333333329</v>
      </c>
      <c r="CM329" s="16">
        <f>IF(CM328&gt;0,CM328*PARAM!$C$53,CM328)+CK329-CL329</f>
        <v>-5062.4999999999936</v>
      </c>
      <c r="CO329" s="176"/>
    </row>
    <row r="330" spans="1:93" x14ac:dyDescent="0.2">
      <c r="A330" t="b">
        <f t="shared" si="193"/>
        <v>0</v>
      </c>
      <c r="B330" s="33">
        <v>303</v>
      </c>
      <c r="C330" s="15">
        <f t="shared" si="194"/>
        <v>20.081305947392778</v>
      </c>
      <c r="D330" s="75">
        <f>C330*(1-PARAM!$C$27)*$I$3+(MOD($B330,60)=PARAM!$B$56)*($B330&gt;(60-PARAM!$B$56))*HLOOKUP(($B330+PARAM!$B$56)/12,Loyalty,2)*$F$1*MAX(F329,0)</f>
        <v>16.808053077967756</v>
      </c>
      <c r="E330" s="75">
        <f>PARAM!$C$26+MAX($G$3-CHOOSE(PARAM!$B$44,MAX(0,F329*$F$1),0),0)*RATES!$L306/12+$H$3*(PARAM!$D$51/12)*RATES!$N306/100</f>
        <v>28.833333333333329</v>
      </c>
      <c r="F330" s="16">
        <f t="shared" si="195"/>
        <v>-154.91844211283794</v>
      </c>
      <c r="G330" s="15">
        <f t="shared" si="196"/>
        <v>22.035289406060361</v>
      </c>
      <c r="H330" s="75">
        <f>G330*(1-PARAM!$C$27)*$I$4+(MOD($B330,60)=PARAM!$B$56)*($B330&gt;(60-PARAM!$B$56))*HLOOKUP(($B330+PARAM!$B$56)/12,Loyalty,2)*$F$1*MAX(J329,0)</f>
        <v>18.443537232872522</v>
      </c>
      <c r="I330" s="75">
        <f>PARAM!$C$26+MAX($G$4-CHOOSE(PARAM!$B$44,MAX(0,J329*$F$1),0),0)*RATES!$L306/12+$H$4*(PARAM!$D$51/12)*RATES!$N306/100</f>
        <v>28.651349221235364</v>
      </c>
      <c r="J330" s="16">
        <f t="shared" si="197"/>
        <v>371.57703856680848</v>
      </c>
      <c r="K330" s="15">
        <f t="shared" si="198"/>
        <v>22.170849845882874</v>
      </c>
      <c r="L330" s="75">
        <f>K330*(1-PARAM!$C$27)*$I$5+(MOD($B330,60)=PARAM!$B$56)*($B330&gt;(60-PARAM!$B$56))*HLOOKUP(($B330+PARAM!$B$56)/12,Loyalty,2)*$F$1*MAX(N329,0)</f>
        <v>18.557001321003963</v>
      </c>
      <c r="M330" s="75">
        <f>PARAM!$C$26+MAX($G$5-CHOOSE(PARAM!$B$44,MAX(0,N329*$F$1),0),0)*RATES!$L306/12+$H$5*(PARAM!$D$51/12)*RATES!$N306/100</f>
        <v>28.633871153666217</v>
      </c>
      <c r="N330" s="16">
        <f t="shared" si="199"/>
        <v>408.37525534310436</v>
      </c>
      <c r="O330" s="15">
        <f t="shared" si="200"/>
        <v>22.170849845882874</v>
      </c>
      <c r="P330" s="75">
        <f>O330*(1-PARAM!$C$27)*$I$6+(MOD($B330,60)=PARAM!$B$56)*($B330&gt;(60-PARAM!$B$56))*HLOOKUP(($B330+PARAM!$B$56)/12,Loyalty,2)*$F$1*MAX(R329,0)</f>
        <v>18.557001321003963</v>
      </c>
      <c r="Q330" s="75">
        <f>PARAM!$C$26+MAX($G$6-CHOOSE(PARAM!$B$44,MAX(0,R329*$F$1),0),0)*RATES!$L306/12+$H$6*(PARAM!$D$51/12)*RATES!$N306/100</f>
        <v>28.633871153666217</v>
      </c>
      <c r="R330" s="16">
        <f t="shared" si="201"/>
        <v>408.37525534310436</v>
      </c>
      <c r="S330" s="15">
        <f t="shared" si="176"/>
        <v>22.170849845882874</v>
      </c>
      <c r="T330" s="75">
        <f>S330*(1-PARAM!$C$27)*$I$7+(MOD($B330,60)=PARAM!$B$56)*($B330&gt;(60-PARAM!$B$56))*HLOOKUP(($B330+PARAM!$B$56)/12,Loyalty,2)*$F$1*MAX(V329,0)</f>
        <v>18.557001321003963</v>
      </c>
      <c r="U330" s="75">
        <f>PARAM!$C$26+MAX($G$7-CHOOSE(PARAM!$B$44,MAX(0,V329*$F$1),0),0)*RATES!$L306/12+$H$7*(PARAM!$D$51/12)*RATES!$N306/100</f>
        <v>28.633871153666217</v>
      </c>
      <c r="V330" s="16">
        <f t="shared" si="202"/>
        <v>408.37525534310436</v>
      </c>
      <c r="W330" s="15">
        <f t="shared" si="177"/>
        <v>22.170849845882874</v>
      </c>
      <c r="X330" s="75">
        <f>W330*(1-PARAM!$C$27)*$I$8+(MOD($B330,60)=PARAM!$B$56)*($B330&gt;(60-PARAM!$B$56))*HLOOKUP(($B330+PARAM!$B$56)/12,Loyalty,2)*$F$1*MAX(Z329,0)</f>
        <v>18.557001321003963</v>
      </c>
      <c r="Y330" s="75">
        <f>PARAM!$C$26+MAX($G$8-CHOOSE(PARAM!$B$44,MAX(0,Z329*$F$1),0),0)*RATES!$L306/12+$H$8*(PARAM!$D$51/12)*RATES!$N306/100</f>
        <v>28.633871153666217</v>
      </c>
      <c r="Z330" s="16">
        <f t="shared" si="203"/>
        <v>408.37525534310436</v>
      </c>
      <c r="AA330" s="15">
        <f t="shared" si="178"/>
        <v>22.170849845882874</v>
      </c>
      <c r="AB330" s="75">
        <f>AA330*(1-PARAM!$C$27)*$I$9+(MOD($B330,60)=PARAM!$B$56)*($B330&gt;(60-PARAM!$B$56))*HLOOKUP(($B330+PARAM!$B$56)/12,Loyalty,2)*$F$1*MAX(AD329,0)</f>
        <v>18.557001321003963</v>
      </c>
      <c r="AC330" s="75">
        <f>PARAM!$C$26+MAX($G$9-CHOOSE(PARAM!$B$44,MAX(0,AD329*$F$1),0),0)*RATES!$L306/12+$H$9*(PARAM!$D$51/12)*RATES!$N306/100</f>
        <v>28.633871153666217</v>
      </c>
      <c r="AD330" s="16">
        <f t="shared" si="204"/>
        <v>408.37525534310436</v>
      </c>
      <c r="AE330" s="15">
        <f t="shared" si="179"/>
        <v>22.170849845882874</v>
      </c>
      <c r="AF330" s="75">
        <f>AE330*(1-PARAM!$C$27)*$I$10+(MOD($B330,60)=PARAM!$B$56)*($B330&gt;(60-PARAM!$B$56))*HLOOKUP(($B330+PARAM!$B$56)/12,Loyalty,2)*$F$1*MAX(AH329,0)</f>
        <v>18.557001321003963</v>
      </c>
      <c r="AG330" s="75">
        <f>PARAM!$C$26+MAX($G$10-CHOOSE(PARAM!$B$44,MAX(0,AH329*$F$1),0),0)*RATES!$L306/12+$H$10*(PARAM!$D$51/12)*RATES!$N306/100</f>
        <v>28.633871153666217</v>
      </c>
      <c r="AH330" s="16">
        <f t="shared" si="205"/>
        <v>408.37525534310436</v>
      </c>
      <c r="AI330" s="15">
        <f t="shared" si="180"/>
        <v>22.170849845882874</v>
      </c>
      <c r="AJ330" s="75">
        <f>AI330*(1-PARAM!$C$27)*$I$11+(MOD($B330,60)=PARAM!$B$56)*($B330&gt;(60-PARAM!$B$56))*HLOOKUP(($B330+PARAM!$B$56)/12,Loyalty,2)*$F$1*MAX(AL329,0)</f>
        <v>18.557001321003963</v>
      </c>
      <c r="AK330" s="75">
        <f>PARAM!$C$26+MAX($G$11-CHOOSE(PARAM!$B$44,MAX(0,AL329*$F$1),0),0)*RATES!$L306/12+$H$11*(PARAM!$D$51/12)*RATES!$N306/100</f>
        <v>28.633871153666217</v>
      </c>
      <c r="AL330" s="16">
        <f t="shared" si="206"/>
        <v>408.37525534310436</v>
      </c>
      <c r="AM330" s="15">
        <f t="shared" si="181"/>
        <v>22.170849845882874</v>
      </c>
      <c r="AN330" s="75">
        <f>AM330*(1-PARAM!$C$27)*$I$12+(MOD($B330,60)=PARAM!$B$56)*($B330&gt;(60-PARAM!$B$56))*HLOOKUP(($B330+PARAM!$B$56)/12,Loyalty,2)*$F$1*MAX(AP329,0)</f>
        <v>18.557001321003963</v>
      </c>
      <c r="AO330" s="75">
        <f>PARAM!$C$26+MAX($G$12-CHOOSE(PARAM!$B$44,MAX(0,AP329*$F$1),0),0)*RATES!$L306/12+$H$12*(PARAM!$D$51/12)*RATES!$N306/100</f>
        <v>28.633871153666217</v>
      </c>
      <c r="AP330" s="16">
        <f t="shared" si="207"/>
        <v>408.37525534310436</v>
      </c>
      <c r="AQ330" s="15">
        <f t="shared" si="182"/>
        <v>22.170849845882874</v>
      </c>
      <c r="AR330" s="75">
        <f>AQ330*(1-PARAM!$C$27)*$I$13+(MOD($B330,60)=PARAM!$B$56)*($B330&gt;(60-PARAM!$B$56))*HLOOKUP(($B330+PARAM!$B$56)/12,Loyalty,2)*$F$1*MAX(AT329,0)</f>
        <v>18.557001321003963</v>
      </c>
      <c r="AS330" s="75">
        <f>PARAM!$C$26+MAX($G$13-CHOOSE(PARAM!$B$44,MAX(0,AT329*$F$1),0),0)*RATES!$L306/12+$H$13*(PARAM!$D$51/12)*RATES!$N306/100</f>
        <v>28.633871153666217</v>
      </c>
      <c r="AT330" s="16">
        <f t="shared" si="208"/>
        <v>408.37525534310436</v>
      </c>
      <c r="AU330" s="15">
        <f t="shared" si="183"/>
        <v>22.170849845882874</v>
      </c>
      <c r="AV330" s="75">
        <f>AU330*(1-PARAM!$C$27)*$I$14+(MOD($B330,60)=PARAM!$B$56)*($B330&gt;(60-PARAM!$B$56))*HLOOKUP(($B330+PARAM!$B$56)/12,Loyalty,2)*$F$1*MAX(AX329,0)</f>
        <v>18.557001321003963</v>
      </c>
      <c r="AW330" s="75">
        <f>PARAM!$C$26+MAX($G$14-CHOOSE(PARAM!$B$44,MAX(0,AX329*$F$1),0),0)*RATES!$L306/12+$H$14*(PARAM!$D$51/12)*RATES!$N306/100</f>
        <v>28.633871153666217</v>
      </c>
      <c r="AX330" s="16">
        <f t="shared" si="209"/>
        <v>408.37525534310436</v>
      </c>
      <c r="AY330" s="15">
        <f t="shared" si="184"/>
        <v>22.170849845882874</v>
      </c>
      <c r="AZ330" s="75">
        <f>AY330*(1-PARAM!$C$27)*$I$15+(MOD($B330,60)=PARAM!$B$56)*($B330&gt;(60-PARAM!$B$56))*HLOOKUP(($B330+PARAM!$B$56)/12,Loyalty,2)*$F$1*MAX(BB329,0)</f>
        <v>18.557001321003963</v>
      </c>
      <c r="BA330" s="75">
        <f>PARAM!$C$26+MAX($G$15-CHOOSE(PARAM!$B$44,MAX(0,BB329*$F$1),0),0)*RATES!$L306/12+$H$15*(PARAM!$D$51/12)*RATES!$N306/100</f>
        <v>28.633871153666217</v>
      </c>
      <c r="BB330" s="16">
        <f t="shared" si="210"/>
        <v>408.37525534310436</v>
      </c>
      <c r="BC330" s="15">
        <f t="shared" si="185"/>
        <v>22.170849845882874</v>
      </c>
      <c r="BD330" s="75">
        <f>BC330*(1-PARAM!$C$27)*$I$16+(MOD($B330,60)=PARAM!$B$56)*($B330&gt;(60-PARAM!$B$56))*HLOOKUP(($B330+PARAM!$B$56)/12,Loyalty,2)*$F$1*MAX(BF329,0)</f>
        <v>18.557001321003963</v>
      </c>
      <c r="BE330" s="75">
        <f>PARAM!$C$26+MAX($G$16-CHOOSE(PARAM!$B$44,MAX(0,BF329*$F$1),0),0)*RATES!$L306/12+$H$16*(PARAM!$D$51/12)*RATES!$N306/100</f>
        <v>28.633871153666217</v>
      </c>
      <c r="BF330" s="16">
        <f t="shared" si="211"/>
        <v>408.37525534310436</v>
      </c>
      <c r="BG330" s="15">
        <f t="shared" si="186"/>
        <v>22.170849845882874</v>
      </c>
      <c r="BH330" s="75">
        <f>BG330*(1-PARAM!$C$27)*$I$17+(MOD($B330,60)=PARAM!$B$56)*($B330&gt;(60-PARAM!$B$56))*HLOOKUP(($B330+PARAM!$B$56)/12,Loyalty,2)*$F$1*MAX(BJ329,0)</f>
        <v>18.557001321003963</v>
      </c>
      <c r="BI330" s="75">
        <f>PARAM!$C$26+MAX($G$17-CHOOSE(PARAM!$B$44,MAX(0,BJ329*$F$1),0),0)*RATES!$L306/12+$H$17*(PARAM!$D$51/12)*RATES!$N306/100</f>
        <v>28.633871153666217</v>
      </c>
      <c r="BJ330" s="16">
        <f t="shared" si="212"/>
        <v>408.37525534310436</v>
      </c>
      <c r="BK330" s="15">
        <f t="shared" si="187"/>
        <v>22.170849845882874</v>
      </c>
      <c r="BL330" s="75">
        <f>BK330*(1-PARAM!$C$27)*$I$18+(MOD($B330,60)=PARAM!$B$56)*($B330&gt;(60-PARAM!$B$56))*HLOOKUP(($B330+PARAM!$B$56)/12,Loyalty,2)*$F$1*MAX(BN329,0)</f>
        <v>18.557001321003963</v>
      </c>
      <c r="BM330" s="75">
        <f>PARAM!$C$26+MAX($G$18-CHOOSE(PARAM!$B$44,MAX(0,BN329*$F$1),0),0)*RATES!$L306/12+$H$18*(PARAM!$D$51/12)*RATES!$N306/100</f>
        <v>28.633871153666217</v>
      </c>
      <c r="BN330" s="16">
        <f t="shared" si="213"/>
        <v>408.37525534310436</v>
      </c>
      <c r="BO330" s="15">
        <f t="shared" si="188"/>
        <v>22.170849845882874</v>
      </c>
      <c r="BP330" s="75">
        <f>BO330*(1-PARAM!$C$27)*$I$19+(MOD($B330,60)=PARAM!$B$56)*($B330&gt;(60-PARAM!$B$56))*HLOOKUP(($B330+PARAM!$B$56)/12,Loyalty,2)*$F$1*MAX(BR329,0)</f>
        <v>18.557001321003963</v>
      </c>
      <c r="BQ330" s="75">
        <f>PARAM!$C$26+MAX($G$19-CHOOSE(PARAM!$B$44,MAX(0,BR329*$F$1),0),0)*RATES!$L306/12+$H$19*(PARAM!$D$51/12)*RATES!$N306/100</f>
        <v>28.633871153666217</v>
      </c>
      <c r="BR330" s="16">
        <f t="shared" si="214"/>
        <v>408.37525534310436</v>
      </c>
      <c r="BS330" s="15">
        <f t="shared" si="189"/>
        <v>22.170849845882874</v>
      </c>
      <c r="BT330" s="75">
        <f>BS330*(1-PARAM!$C$27)*$I$20+(MOD($B330,60)=PARAM!$B$56)*($B330&gt;(60-PARAM!$B$56))*HLOOKUP(($B330+PARAM!$B$56)/12,Loyalty,2)*$F$1*MAX(BV329,0)</f>
        <v>18.557001321003963</v>
      </c>
      <c r="BU330" s="75">
        <f>PARAM!$C$26+MAX($G$20-CHOOSE(PARAM!$B$44,MAX(0,BV329*$F$1),0),0)*RATES!$L306/12+$H$20*(PARAM!$D$51/12)*RATES!$N306/100</f>
        <v>28.633871153666217</v>
      </c>
      <c r="BV330" s="16">
        <f t="shared" si="215"/>
        <v>408.37525534310436</v>
      </c>
      <c r="BW330" s="15">
        <f t="shared" si="190"/>
        <v>22.170849845882874</v>
      </c>
      <c r="BX330" s="75">
        <f>BW330*(1-PARAM!$C$27)*$I$21+(MOD($B330,60)=PARAM!$B$56)*($B330&gt;(60-PARAM!$B$56))*HLOOKUP(($B330+PARAM!$B$56)/12,Loyalty,2)*$F$1*MAX(BZ329,0)</f>
        <v>18.557001321003963</v>
      </c>
      <c r="BY330" s="75">
        <f>PARAM!$C$26+MAX($G$21-CHOOSE(PARAM!$B$44,MAX(0,BZ329*$F$1),0),0)*RATES!$L306/12+$H$21*(PARAM!$D$51/12)*RATES!$N306/100</f>
        <v>28.633871153666217</v>
      </c>
      <c r="BZ330" s="16">
        <f t="shared" si="216"/>
        <v>408.37525534310436</v>
      </c>
      <c r="CA330" s="15">
        <f t="shared" si="191"/>
        <v>22.170849845882874</v>
      </c>
      <c r="CB330" s="75">
        <f>CA330*(1-PARAM!$C$27)*$I$22+(MOD($B330,60)=PARAM!$B$56)*($B330&gt;(60-PARAM!$B$56))*HLOOKUP(($B330+PARAM!$B$56)/12,Loyalty,2)*$F$1*MAX(CD329,0)</f>
        <v>18.557001321003963</v>
      </c>
      <c r="CC330" s="75">
        <f>PARAM!$C$26+MAX($G$22-CHOOSE(PARAM!$B$44,MAX(0,CD329*$F$1),0),0)*RATES!$L306/12+$H$22*(PARAM!$D$51/12)*RATES!$N306/100</f>
        <v>28.633871153666217</v>
      </c>
      <c r="CD330" s="16">
        <f t="shared" si="217"/>
        <v>408.37525534310436</v>
      </c>
      <c r="CE330" s="33">
        <f>IF(0=MOD(B330,12/PARAM!$D$51),1,0)</f>
        <v>1</v>
      </c>
      <c r="CF330" s="15">
        <f t="shared" si="192"/>
        <v>0</v>
      </c>
      <c r="CG330" s="75">
        <f>CF330*(1-PARAM!$C$27)*$R$3+(MOD($B330/12,5)=0)*($B330&gt;60)*HLOOKUP($B330/12,Loyalty,2)*$F$1*MAX(CI329,0)</f>
        <v>0</v>
      </c>
      <c r="CH330" s="75">
        <f>PARAM!$C$26+MAX($P$3-CHOOSE(PARAM!$B$44,MAX(0,CI329*$F$1),0),0)*RATES!$L306/12+$Q$3*(PARAM!$D$51/12)*RATES!$N306/100</f>
        <v>28.833333333333329</v>
      </c>
      <c r="CI330" s="16">
        <f>IF(CI329&gt;0,CI329*PARAM!$C$53,CI329)+CG330-CH330</f>
        <v>-5091.3333333333267</v>
      </c>
      <c r="CJ330" s="15">
        <f t="shared" si="218"/>
        <v>0</v>
      </c>
      <c r="CK330" s="75">
        <f>CJ330*(1-PARAM!$C$27)*$R$4+(MOD($B330/12,5)=0)*($B330&gt;60)*HLOOKUP($B330/12,Loyalty,2)*$F$1*MAX(CM329,0)</f>
        <v>0</v>
      </c>
      <c r="CL330" s="75">
        <f>PARAM!$C$26+MAX($P$4-CHOOSE(PARAM!$B$44,MAX(0,CM329*$F$1),0),0)*RATES!$L306/12+$Q$4*(PARAM!$D$51/12)*RATES!$N306/100</f>
        <v>28.833333333333329</v>
      </c>
      <c r="CM330" s="16">
        <f>IF(CM329&gt;0,CM329*PARAM!$C$53,CM329)+CK330-CL330</f>
        <v>-5091.3333333333267</v>
      </c>
      <c r="CO330" s="176"/>
    </row>
    <row r="331" spans="1:93" x14ac:dyDescent="0.2">
      <c r="A331" t="b">
        <f t="shared" si="193"/>
        <v>0</v>
      </c>
      <c r="B331" s="33">
        <v>304</v>
      </c>
      <c r="C331" s="15">
        <f t="shared" si="194"/>
        <v>20.081305947392778</v>
      </c>
      <c r="D331" s="75">
        <f>C331*(1-PARAM!$C$27)*$I$3+(MOD($B331,60)=PARAM!$B$56)*($B331&gt;(60-PARAM!$B$56))*HLOOKUP(($B331+PARAM!$B$56)/12,Loyalty,2)*$F$1*MAX(F330,0)</f>
        <v>16.808053077967756</v>
      </c>
      <c r="E331" s="75">
        <f>PARAM!$C$26+MAX($G$3-CHOOSE(PARAM!$B$44,MAX(0,F330*$F$1),0),0)*RATES!$L307/12+$H$3*(PARAM!$D$51/12)*RATES!$N307/100</f>
        <v>28.833333333333329</v>
      </c>
      <c r="F331" s="16">
        <f t="shared" si="195"/>
        <v>-166.94372236820351</v>
      </c>
      <c r="G331" s="15">
        <f t="shared" si="196"/>
        <v>22.035289406060361</v>
      </c>
      <c r="H331" s="75">
        <f>G331*(1-PARAM!$C$27)*$I$4+(MOD($B331,60)=PARAM!$B$56)*($B331&gt;(60-PARAM!$B$56))*HLOOKUP(($B331+PARAM!$B$56)/12,Loyalty,2)*$F$1*MAX(J330,0)</f>
        <v>18.443537232872522</v>
      </c>
      <c r="I331" s="75">
        <f>PARAM!$C$26+MAX($G$4-CHOOSE(PARAM!$B$44,MAX(0,J330*$F$1),0),0)*RATES!$L307/12+$H$4*(PARAM!$D$51/12)*RATES!$N307/100</f>
        <v>28.65621494494982</v>
      </c>
      <c r="J331" s="16">
        <f t="shared" si="197"/>
        <v>361.36436085473122</v>
      </c>
      <c r="K331" s="15">
        <f t="shared" si="198"/>
        <v>22.170849845882874</v>
      </c>
      <c r="L331" s="75">
        <f>K331*(1-PARAM!$C$27)*$I$5+(MOD($B331,60)=PARAM!$B$56)*($B331&gt;(60-PARAM!$B$56))*HLOOKUP(($B331+PARAM!$B$56)/12,Loyalty,2)*$F$1*MAX(N330,0)</f>
        <v>18.557001321003963</v>
      </c>
      <c r="M331" s="75">
        <f>PARAM!$C$26+MAX($G$5-CHOOSE(PARAM!$B$44,MAX(0,N330*$F$1),0),0)*RATES!$L307/12+$H$5*(PARAM!$D$51/12)*RATES!$N307/100</f>
        <v>28.638674461619786</v>
      </c>
      <c r="N331" s="16">
        <f t="shared" si="199"/>
        <v>398.29358220248855</v>
      </c>
      <c r="O331" s="15">
        <f t="shared" si="200"/>
        <v>22.170849845882874</v>
      </c>
      <c r="P331" s="75">
        <f>O331*(1-PARAM!$C$27)*$I$6+(MOD($B331,60)=PARAM!$B$56)*($B331&gt;(60-PARAM!$B$56))*HLOOKUP(($B331+PARAM!$B$56)/12,Loyalty,2)*$F$1*MAX(R330,0)</f>
        <v>18.557001321003963</v>
      </c>
      <c r="Q331" s="75">
        <f>PARAM!$C$26+MAX($G$6-CHOOSE(PARAM!$B$44,MAX(0,R330*$F$1),0),0)*RATES!$L307/12+$H$6*(PARAM!$D$51/12)*RATES!$N307/100</f>
        <v>28.638674461619786</v>
      </c>
      <c r="R331" s="16">
        <f t="shared" si="201"/>
        <v>398.29358220248855</v>
      </c>
      <c r="S331" s="15">
        <f t="shared" si="176"/>
        <v>22.170849845882874</v>
      </c>
      <c r="T331" s="75">
        <f>S331*(1-PARAM!$C$27)*$I$7+(MOD($B331,60)=PARAM!$B$56)*($B331&gt;(60-PARAM!$B$56))*HLOOKUP(($B331+PARAM!$B$56)/12,Loyalty,2)*$F$1*MAX(V330,0)</f>
        <v>18.557001321003963</v>
      </c>
      <c r="U331" s="75">
        <f>PARAM!$C$26+MAX($G$7-CHOOSE(PARAM!$B$44,MAX(0,V330*$F$1),0),0)*RATES!$L307/12+$H$7*(PARAM!$D$51/12)*RATES!$N307/100</f>
        <v>28.638674461619786</v>
      </c>
      <c r="V331" s="16">
        <f t="shared" si="202"/>
        <v>398.29358220248855</v>
      </c>
      <c r="W331" s="15">
        <f t="shared" si="177"/>
        <v>22.170849845882874</v>
      </c>
      <c r="X331" s="75">
        <f>W331*(1-PARAM!$C$27)*$I$8+(MOD($B331,60)=PARAM!$B$56)*($B331&gt;(60-PARAM!$B$56))*HLOOKUP(($B331+PARAM!$B$56)/12,Loyalty,2)*$F$1*MAX(Z330,0)</f>
        <v>18.557001321003963</v>
      </c>
      <c r="Y331" s="75">
        <f>PARAM!$C$26+MAX($G$8-CHOOSE(PARAM!$B$44,MAX(0,Z330*$F$1),0),0)*RATES!$L307/12+$H$8*(PARAM!$D$51/12)*RATES!$N307/100</f>
        <v>28.638674461619786</v>
      </c>
      <c r="Z331" s="16">
        <f t="shared" si="203"/>
        <v>398.29358220248855</v>
      </c>
      <c r="AA331" s="15">
        <f t="shared" si="178"/>
        <v>22.170849845882874</v>
      </c>
      <c r="AB331" s="75">
        <f>AA331*(1-PARAM!$C$27)*$I$9+(MOD($B331,60)=PARAM!$B$56)*($B331&gt;(60-PARAM!$B$56))*HLOOKUP(($B331+PARAM!$B$56)/12,Loyalty,2)*$F$1*MAX(AD330,0)</f>
        <v>18.557001321003963</v>
      </c>
      <c r="AC331" s="75">
        <f>PARAM!$C$26+MAX($G$9-CHOOSE(PARAM!$B$44,MAX(0,AD330*$F$1),0),0)*RATES!$L307/12+$H$9*(PARAM!$D$51/12)*RATES!$N307/100</f>
        <v>28.638674461619786</v>
      </c>
      <c r="AD331" s="16">
        <f t="shared" si="204"/>
        <v>398.29358220248855</v>
      </c>
      <c r="AE331" s="15">
        <f t="shared" si="179"/>
        <v>22.170849845882874</v>
      </c>
      <c r="AF331" s="75">
        <f>AE331*(1-PARAM!$C$27)*$I$10+(MOD($B331,60)=PARAM!$B$56)*($B331&gt;(60-PARAM!$B$56))*HLOOKUP(($B331+PARAM!$B$56)/12,Loyalty,2)*$F$1*MAX(AH330,0)</f>
        <v>18.557001321003963</v>
      </c>
      <c r="AG331" s="75">
        <f>PARAM!$C$26+MAX($G$10-CHOOSE(PARAM!$B$44,MAX(0,AH330*$F$1),0),0)*RATES!$L307/12+$H$10*(PARAM!$D$51/12)*RATES!$N307/100</f>
        <v>28.638674461619786</v>
      </c>
      <c r="AH331" s="16">
        <f t="shared" si="205"/>
        <v>398.29358220248855</v>
      </c>
      <c r="AI331" s="15">
        <f t="shared" si="180"/>
        <v>22.170849845882874</v>
      </c>
      <c r="AJ331" s="75">
        <f>AI331*(1-PARAM!$C$27)*$I$11+(MOD($B331,60)=PARAM!$B$56)*($B331&gt;(60-PARAM!$B$56))*HLOOKUP(($B331+PARAM!$B$56)/12,Loyalty,2)*$F$1*MAX(AL330,0)</f>
        <v>18.557001321003963</v>
      </c>
      <c r="AK331" s="75">
        <f>PARAM!$C$26+MAX($G$11-CHOOSE(PARAM!$B$44,MAX(0,AL330*$F$1),0),0)*RATES!$L307/12+$H$11*(PARAM!$D$51/12)*RATES!$N307/100</f>
        <v>28.638674461619786</v>
      </c>
      <c r="AL331" s="16">
        <f t="shared" si="206"/>
        <v>398.29358220248855</v>
      </c>
      <c r="AM331" s="15">
        <f t="shared" si="181"/>
        <v>22.170849845882874</v>
      </c>
      <c r="AN331" s="75">
        <f>AM331*(1-PARAM!$C$27)*$I$12+(MOD($B331,60)=PARAM!$B$56)*($B331&gt;(60-PARAM!$B$56))*HLOOKUP(($B331+PARAM!$B$56)/12,Loyalty,2)*$F$1*MAX(AP330,0)</f>
        <v>18.557001321003963</v>
      </c>
      <c r="AO331" s="75">
        <f>PARAM!$C$26+MAX($G$12-CHOOSE(PARAM!$B$44,MAX(0,AP330*$F$1),0),0)*RATES!$L307/12+$H$12*(PARAM!$D$51/12)*RATES!$N307/100</f>
        <v>28.638674461619786</v>
      </c>
      <c r="AP331" s="16">
        <f t="shared" si="207"/>
        <v>398.29358220248855</v>
      </c>
      <c r="AQ331" s="15">
        <f t="shared" si="182"/>
        <v>22.170849845882874</v>
      </c>
      <c r="AR331" s="75">
        <f>AQ331*(1-PARAM!$C$27)*$I$13+(MOD($B331,60)=PARAM!$B$56)*($B331&gt;(60-PARAM!$B$56))*HLOOKUP(($B331+PARAM!$B$56)/12,Loyalty,2)*$F$1*MAX(AT330,0)</f>
        <v>18.557001321003963</v>
      </c>
      <c r="AS331" s="75">
        <f>PARAM!$C$26+MAX($G$13-CHOOSE(PARAM!$B$44,MAX(0,AT330*$F$1),0),0)*RATES!$L307/12+$H$13*(PARAM!$D$51/12)*RATES!$N307/100</f>
        <v>28.638674461619786</v>
      </c>
      <c r="AT331" s="16">
        <f t="shared" si="208"/>
        <v>398.29358220248855</v>
      </c>
      <c r="AU331" s="15">
        <f t="shared" si="183"/>
        <v>22.170849845882874</v>
      </c>
      <c r="AV331" s="75">
        <f>AU331*(1-PARAM!$C$27)*$I$14+(MOD($B331,60)=PARAM!$B$56)*($B331&gt;(60-PARAM!$B$56))*HLOOKUP(($B331+PARAM!$B$56)/12,Loyalty,2)*$F$1*MAX(AX330,0)</f>
        <v>18.557001321003963</v>
      </c>
      <c r="AW331" s="75">
        <f>PARAM!$C$26+MAX($G$14-CHOOSE(PARAM!$B$44,MAX(0,AX330*$F$1),0),0)*RATES!$L307/12+$H$14*(PARAM!$D$51/12)*RATES!$N307/100</f>
        <v>28.638674461619786</v>
      </c>
      <c r="AX331" s="16">
        <f t="shared" si="209"/>
        <v>398.29358220248855</v>
      </c>
      <c r="AY331" s="15">
        <f t="shared" si="184"/>
        <v>22.170849845882874</v>
      </c>
      <c r="AZ331" s="75">
        <f>AY331*(1-PARAM!$C$27)*$I$15+(MOD($B331,60)=PARAM!$B$56)*($B331&gt;(60-PARAM!$B$56))*HLOOKUP(($B331+PARAM!$B$56)/12,Loyalty,2)*$F$1*MAX(BB330,0)</f>
        <v>18.557001321003963</v>
      </c>
      <c r="BA331" s="75">
        <f>PARAM!$C$26+MAX($G$15-CHOOSE(PARAM!$B$44,MAX(0,BB330*$F$1),0),0)*RATES!$L307/12+$H$15*(PARAM!$D$51/12)*RATES!$N307/100</f>
        <v>28.638674461619786</v>
      </c>
      <c r="BB331" s="16">
        <f t="shared" si="210"/>
        <v>398.29358220248855</v>
      </c>
      <c r="BC331" s="15">
        <f t="shared" si="185"/>
        <v>22.170849845882874</v>
      </c>
      <c r="BD331" s="75">
        <f>BC331*(1-PARAM!$C$27)*$I$16+(MOD($B331,60)=PARAM!$B$56)*($B331&gt;(60-PARAM!$B$56))*HLOOKUP(($B331+PARAM!$B$56)/12,Loyalty,2)*$F$1*MAX(BF330,0)</f>
        <v>18.557001321003963</v>
      </c>
      <c r="BE331" s="75">
        <f>PARAM!$C$26+MAX($G$16-CHOOSE(PARAM!$B$44,MAX(0,BF330*$F$1),0),0)*RATES!$L307/12+$H$16*(PARAM!$D$51/12)*RATES!$N307/100</f>
        <v>28.638674461619786</v>
      </c>
      <c r="BF331" s="16">
        <f t="shared" si="211"/>
        <v>398.29358220248855</v>
      </c>
      <c r="BG331" s="15">
        <f t="shared" si="186"/>
        <v>22.170849845882874</v>
      </c>
      <c r="BH331" s="75">
        <f>BG331*(1-PARAM!$C$27)*$I$17+(MOD($B331,60)=PARAM!$B$56)*($B331&gt;(60-PARAM!$B$56))*HLOOKUP(($B331+PARAM!$B$56)/12,Loyalty,2)*$F$1*MAX(BJ330,0)</f>
        <v>18.557001321003963</v>
      </c>
      <c r="BI331" s="75">
        <f>PARAM!$C$26+MAX($G$17-CHOOSE(PARAM!$B$44,MAX(0,BJ330*$F$1),0),0)*RATES!$L307/12+$H$17*(PARAM!$D$51/12)*RATES!$N307/100</f>
        <v>28.638674461619786</v>
      </c>
      <c r="BJ331" s="16">
        <f t="shared" si="212"/>
        <v>398.29358220248855</v>
      </c>
      <c r="BK331" s="15">
        <f t="shared" si="187"/>
        <v>22.170849845882874</v>
      </c>
      <c r="BL331" s="75">
        <f>BK331*(1-PARAM!$C$27)*$I$18+(MOD($B331,60)=PARAM!$B$56)*($B331&gt;(60-PARAM!$B$56))*HLOOKUP(($B331+PARAM!$B$56)/12,Loyalty,2)*$F$1*MAX(BN330,0)</f>
        <v>18.557001321003963</v>
      </c>
      <c r="BM331" s="75">
        <f>PARAM!$C$26+MAX($G$18-CHOOSE(PARAM!$B$44,MAX(0,BN330*$F$1),0),0)*RATES!$L307/12+$H$18*(PARAM!$D$51/12)*RATES!$N307/100</f>
        <v>28.638674461619786</v>
      </c>
      <c r="BN331" s="16">
        <f t="shared" si="213"/>
        <v>398.29358220248855</v>
      </c>
      <c r="BO331" s="15">
        <f t="shared" si="188"/>
        <v>22.170849845882874</v>
      </c>
      <c r="BP331" s="75">
        <f>BO331*(1-PARAM!$C$27)*$I$19+(MOD($B331,60)=PARAM!$B$56)*($B331&gt;(60-PARAM!$B$56))*HLOOKUP(($B331+PARAM!$B$56)/12,Loyalty,2)*$F$1*MAX(BR330,0)</f>
        <v>18.557001321003963</v>
      </c>
      <c r="BQ331" s="75">
        <f>PARAM!$C$26+MAX($G$19-CHOOSE(PARAM!$B$44,MAX(0,BR330*$F$1),0),0)*RATES!$L307/12+$H$19*(PARAM!$D$51/12)*RATES!$N307/100</f>
        <v>28.638674461619786</v>
      </c>
      <c r="BR331" s="16">
        <f t="shared" si="214"/>
        <v>398.29358220248855</v>
      </c>
      <c r="BS331" s="15">
        <f t="shared" si="189"/>
        <v>22.170849845882874</v>
      </c>
      <c r="BT331" s="75">
        <f>BS331*(1-PARAM!$C$27)*$I$20+(MOD($B331,60)=PARAM!$B$56)*($B331&gt;(60-PARAM!$B$56))*HLOOKUP(($B331+PARAM!$B$56)/12,Loyalty,2)*$F$1*MAX(BV330,0)</f>
        <v>18.557001321003963</v>
      </c>
      <c r="BU331" s="75">
        <f>PARAM!$C$26+MAX($G$20-CHOOSE(PARAM!$B$44,MAX(0,BV330*$F$1),0),0)*RATES!$L307/12+$H$20*(PARAM!$D$51/12)*RATES!$N307/100</f>
        <v>28.638674461619786</v>
      </c>
      <c r="BV331" s="16">
        <f t="shared" si="215"/>
        <v>398.29358220248855</v>
      </c>
      <c r="BW331" s="15">
        <f t="shared" si="190"/>
        <v>22.170849845882874</v>
      </c>
      <c r="BX331" s="75">
        <f>BW331*(1-PARAM!$C$27)*$I$21+(MOD($B331,60)=PARAM!$B$56)*($B331&gt;(60-PARAM!$B$56))*HLOOKUP(($B331+PARAM!$B$56)/12,Loyalty,2)*$F$1*MAX(BZ330,0)</f>
        <v>18.557001321003963</v>
      </c>
      <c r="BY331" s="75">
        <f>PARAM!$C$26+MAX($G$21-CHOOSE(PARAM!$B$44,MAX(0,BZ330*$F$1),0),0)*RATES!$L307/12+$H$21*(PARAM!$D$51/12)*RATES!$N307/100</f>
        <v>28.638674461619786</v>
      </c>
      <c r="BZ331" s="16">
        <f t="shared" si="216"/>
        <v>398.29358220248855</v>
      </c>
      <c r="CA331" s="15">
        <f t="shared" si="191"/>
        <v>22.170849845882874</v>
      </c>
      <c r="CB331" s="75">
        <f>CA331*(1-PARAM!$C$27)*$I$22+(MOD($B331,60)=PARAM!$B$56)*($B331&gt;(60-PARAM!$B$56))*HLOOKUP(($B331+PARAM!$B$56)/12,Loyalty,2)*$F$1*MAX(CD330,0)</f>
        <v>18.557001321003963</v>
      </c>
      <c r="CC331" s="75">
        <f>PARAM!$C$26+MAX($G$22-CHOOSE(PARAM!$B$44,MAX(0,CD330*$F$1),0),0)*RATES!$L307/12+$H$22*(PARAM!$D$51/12)*RATES!$N307/100</f>
        <v>28.638674461619786</v>
      </c>
      <c r="CD331" s="16">
        <f t="shared" si="217"/>
        <v>398.29358220248855</v>
      </c>
      <c r="CE331" s="33">
        <f>IF(0=MOD(B331,12/PARAM!$D$51),1,0)</f>
        <v>1</v>
      </c>
      <c r="CF331" s="15">
        <f t="shared" si="192"/>
        <v>0</v>
      </c>
      <c r="CG331" s="75">
        <f>CF331*(1-PARAM!$C$27)*$R$3+(MOD($B331/12,5)=0)*($B331&gt;60)*HLOOKUP($B331/12,Loyalty,2)*$F$1*MAX(CI330,0)</f>
        <v>0</v>
      </c>
      <c r="CH331" s="75">
        <f>PARAM!$C$26+MAX($P$3-CHOOSE(PARAM!$B$44,MAX(0,CI330*$F$1),0),0)*RATES!$L307/12+$Q$3*(PARAM!$D$51/12)*RATES!$N307/100</f>
        <v>28.833333333333329</v>
      </c>
      <c r="CI331" s="16">
        <f>IF(CI330&gt;0,CI330*PARAM!$C$53,CI330)+CG331-CH331</f>
        <v>-5120.1666666666597</v>
      </c>
      <c r="CJ331" s="15">
        <f t="shared" si="218"/>
        <v>0</v>
      </c>
      <c r="CK331" s="75">
        <f>CJ331*(1-PARAM!$C$27)*$R$4+(MOD($B331/12,5)=0)*($B331&gt;60)*HLOOKUP($B331/12,Loyalty,2)*$F$1*MAX(CM330,0)</f>
        <v>0</v>
      </c>
      <c r="CL331" s="75">
        <f>PARAM!$C$26+MAX($P$4-CHOOSE(PARAM!$B$44,MAX(0,CM330*$F$1),0),0)*RATES!$L307/12+$Q$4*(PARAM!$D$51/12)*RATES!$N307/100</f>
        <v>28.833333333333329</v>
      </c>
      <c r="CM331" s="16">
        <f>IF(CM330&gt;0,CM330*PARAM!$C$53,CM330)+CK331-CL331</f>
        <v>-5120.1666666666597</v>
      </c>
      <c r="CO331" s="176"/>
    </row>
    <row r="332" spans="1:93" x14ac:dyDescent="0.2">
      <c r="A332" t="b">
        <f t="shared" si="193"/>
        <v>0</v>
      </c>
      <c r="B332" s="33">
        <v>305</v>
      </c>
      <c r="C332" s="15">
        <f t="shared" si="194"/>
        <v>20.081305947392778</v>
      </c>
      <c r="D332" s="75">
        <f>C332*(1-PARAM!$C$27)*$I$3+(MOD($B332,60)=PARAM!$B$56)*($B332&gt;(60-PARAM!$B$56))*HLOOKUP(($B332+PARAM!$B$56)/12,Loyalty,2)*$F$1*MAX(F331,0)</f>
        <v>16.808053077967756</v>
      </c>
      <c r="E332" s="75">
        <f>PARAM!$C$26+MAX($G$3-CHOOSE(PARAM!$B$44,MAX(0,F331*$F$1),0),0)*RATES!$L308/12+$H$3*(PARAM!$D$51/12)*RATES!$N308/100</f>
        <v>28.833333333333329</v>
      </c>
      <c r="F332" s="16">
        <f t="shared" si="195"/>
        <v>-178.96900262356905</v>
      </c>
      <c r="G332" s="15">
        <f t="shared" si="196"/>
        <v>22.035289406060361</v>
      </c>
      <c r="H332" s="75">
        <f>G332*(1-PARAM!$C$27)*$I$4+(MOD($B332,60)=PARAM!$B$56)*($B332&gt;(60-PARAM!$B$56))*HLOOKUP(($B332+PARAM!$B$56)/12,Loyalty,2)*$F$1*MAX(J331,0)</f>
        <v>18.443537232872522</v>
      </c>
      <c r="I332" s="75">
        <f>PARAM!$C$26+MAX($G$4-CHOOSE(PARAM!$B$44,MAX(0,J331*$F$1),0),0)*RATES!$L308/12+$H$4*(PARAM!$D$51/12)*RATES!$N308/100</f>
        <v>28.661082987992575</v>
      </c>
      <c r="J332" s="16">
        <f t="shared" si="197"/>
        <v>351.14681509961116</v>
      </c>
      <c r="K332" s="15">
        <f t="shared" si="198"/>
        <v>22.170849845882874</v>
      </c>
      <c r="L332" s="75">
        <f>K332*(1-PARAM!$C$27)*$I$5+(MOD($B332,60)=PARAM!$B$56)*($B332&gt;(60-PARAM!$B$56))*HLOOKUP(($B332+PARAM!$B$56)/12,Loyalty,2)*$F$1*MAX(N331,0)</f>
        <v>18.557001321003963</v>
      </c>
      <c r="M332" s="75">
        <f>PARAM!$C$26+MAX($G$5-CHOOSE(PARAM!$B$44,MAX(0,N331*$F$1),0),0)*RATES!$L308/12+$H$5*(PARAM!$D$51/12)*RATES!$N308/100</f>
        <v>28.643480059150146</v>
      </c>
      <c r="N332" s="16">
        <f t="shared" si="199"/>
        <v>388.20710346434237</v>
      </c>
      <c r="O332" s="15">
        <f t="shared" si="200"/>
        <v>22.170849845882874</v>
      </c>
      <c r="P332" s="75">
        <f>O332*(1-PARAM!$C$27)*$I$6+(MOD($B332,60)=PARAM!$B$56)*($B332&gt;(60-PARAM!$B$56))*HLOOKUP(($B332+PARAM!$B$56)/12,Loyalty,2)*$F$1*MAX(R331,0)</f>
        <v>18.557001321003963</v>
      </c>
      <c r="Q332" s="75">
        <f>PARAM!$C$26+MAX($G$6-CHOOSE(PARAM!$B$44,MAX(0,R331*$F$1),0),0)*RATES!$L308/12+$H$6*(PARAM!$D$51/12)*RATES!$N308/100</f>
        <v>28.643480059150146</v>
      </c>
      <c r="R332" s="16">
        <f t="shared" si="201"/>
        <v>388.20710346434237</v>
      </c>
      <c r="S332" s="15">
        <f t="shared" si="176"/>
        <v>22.170849845882874</v>
      </c>
      <c r="T332" s="75">
        <f>S332*(1-PARAM!$C$27)*$I$7+(MOD($B332,60)=PARAM!$B$56)*($B332&gt;(60-PARAM!$B$56))*HLOOKUP(($B332+PARAM!$B$56)/12,Loyalty,2)*$F$1*MAX(V331,0)</f>
        <v>18.557001321003963</v>
      </c>
      <c r="U332" s="75">
        <f>PARAM!$C$26+MAX($G$7-CHOOSE(PARAM!$B$44,MAX(0,V331*$F$1),0),0)*RATES!$L308/12+$H$7*(PARAM!$D$51/12)*RATES!$N308/100</f>
        <v>28.643480059150146</v>
      </c>
      <c r="V332" s="16">
        <f t="shared" si="202"/>
        <v>388.20710346434237</v>
      </c>
      <c r="W332" s="15">
        <f t="shared" si="177"/>
        <v>22.170849845882874</v>
      </c>
      <c r="X332" s="75">
        <f>W332*(1-PARAM!$C$27)*$I$8+(MOD($B332,60)=PARAM!$B$56)*($B332&gt;(60-PARAM!$B$56))*HLOOKUP(($B332+PARAM!$B$56)/12,Loyalty,2)*$F$1*MAX(Z331,0)</f>
        <v>18.557001321003963</v>
      </c>
      <c r="Y332" s="75">
        <f>PARAM!$C$26+MAX($G$8-CHOOSE(PARAM!$B$44,MAX(0,Z331*$F$1),0),0)*RATES!$L308/12+$H$8*(PARAM!$D$51/12)*RATES!$N308/100</f>
        <v>28.643480059150146</v>
      </c>
      <c r="Z332" s="16">
        <f t="shared" si="203"/>
        <v>388.20710346434237</v>
      </c>
      <c r="AA332" s="15">
        <f t="shared" si="178"/>
        <v>22.170849845882874</v>
      </c>
      <c r="AB332" s="75">
        <f>AA332*(1-PARAM!$C$27)*$I$9+(MOD($B332,60)=PARAM!$B$56)*($B332&gt;(60-PARAM!$B$56))*HLOOKUP(($B332+PARAM!$B$56)/12,Loyalty,2)*$F$1*MAX(AD331,0)</f>
        <v>18.557001321003963</v>
      </c>
      <c r="AC332" s="75">
        <f>PARAM!$C$26+MAX($G$9-CHOOSE(PARAM!$B$44,MAX(0,AD331*$F$1),0),0)*RATES!$L308/12+$H$9*(PARAM!$D$51/12)*RATES!$N308/100</f>
        <v>28.643480059150146</v>
      </c>
      <c r="AD332" s="16">
        <f t="shared" si="204"/>
        <v>388.20710346434237</v>
      </c>
      <c r="AE332" s="15">
        <f t="shared" si="179"/>
        <v>22.170849845882874</v>
      </c>
      <c r="AF332" s="75">
        <f>AE332*(1-PARAM!$C$27)*$I$10+(MOD($B332,60)=PARAM!$B$56)*($B332&gt;(60-PARAM!$B$56))*HLOOKUP(($B332+PARAM!$B$56)/12,Loyalty,2)*$F$1*MAX(AH331,0)</f>
        <v>18.557001321003963</v>
      </c>
      <c r="AG332" s="75">
        <f>PARAM!$C$26+MAX($G$10-CHOOSE(PARAM!$B$44,MAX(0,AH331*$F$1),0),0)*RATES!$L308/12+$H$10*(PARAM!$D$51/12)*RATES!$N308/100</f>
        <v>28.643480059150146</v>
      </c>
      <c r="AH332" s="16">
        <f t="shared" si="205"/>
        <v>388.20710346434237</v>
      </c>
      <c r="AI332" s="15">
        <f t="shared" si="180"/>
        <v>22.170849845882874</v>
      </c>
      <c r="AJ332" s="75">
        <f>AI332*(1-PARAM!$C$27)*$I$11+(MOD($B332,60)=PARAM!$B$56)*($B332&gt;(60-PARAM!$B$56))*HLOOKUP(($B332+PARAM!$B$56)/12,Loyalty,2)*$F$1*MAX(AL331,0)</f>
        <v>18.557001321003963</v>
      </c>
      <c r="AK332" s="75">
        <f>PARAM!$C$26+MAX($G$11-CHOOSE(PARAM!$B$44,MAX(0,AL331*$F$1),0),0)*RATES!$L308/12+$H$11*(PARAM!$D$51/12)*RATES!$N308/100</f>
        <v>28.643480059150146</v>
      </c>
      <c r="AL332" s="16">
        <f t="shared" si="206"/>
        <v>388.20710346434237</v>
      </c>
      <c r="AM332" s="15">
        <f t="shared" si="181"/>
        <v>22.170849845882874</v>
      </c>
      <c r="AN332" s="75">
        <f>AM332*(1-PARAM!$C$27)*$I$12+(MOD($B332,60)=PARAM!$B$56)*($B332&gt;(60-PARAM!$B$56))*HLOOKUP(($B332+PARAM!$B$56)/12,Loyalty,2)*$F$1*MAX(AP331,0)</f>
        <v>18.557001321003963</v>
      </c>
      <c r="AO332" s="75">
        <f>PARAM!$C$26+MAX($G$12-CHOOSE(PARAM!$B$44,MAX(0,AP331*$F$1),0),0)*RATES!$L308/12+$H$12*(PARAM!$D$51/12)*RATES!$N308/100</f>
        <v>28.643480059150146</v>
      </c>
      <c r="AP332" s="16">
        <f t="shared" si="207"/>
        <v>388.20710346434237</v>
      </c>
      <c r="AQ332" s="15">
        <f t="shared" si="182"/>
        <v>22.170849845882874</v>
      </c>
      <c r="AR332" s="75">
        <f>AQ332*(1-PARAM!$C$27)*$I$13+(MOD($B332,60)=PARAM!$B$56)*($B332&gt;(60-PARAM!$B$56))*HLOOKUP(($B332+PARAM!$B$56)/12,Loyalty,2)*$F$1*MAX(AT331,0)</f>
        <v>18.557001321003963</v>
      </c>
      <c r="AS332" s="75">
        <f>PARAM!$C$26+MAX($G$13-CHOOSE(PARAM!$B$44,MAX(0,AT331*$F$1),0),0)*RATES!$L308/12+$H$13*(PARAM!$D$51/12)*RATES!$N308/100</f>
        <v>28.643480059150146</v>
      </c>
      <c r="AT332" s="16">
        <f t="shared" si="208"/>
        <v>388.20710346434237</v>
      </c>
      <c r="AU332" s="15">
        <f t="shared" si="183"/>
        <v>22.170849845882874</v>
      </c>
      <c r="AV332" s="75">
        <f>AU332*(1-PARAM!$C$27)*$I$14+(MOD($B332,60)=PARAM!$B$56)*($B332&gt;(60-PARAM!$B$56))*HLOOKUP(($B332+PARAM!$B$56)/12,Loyalty,2)*$F$1*MAX(AX331,0)</f>
        <v>18.557001321003963</v>
      </c>
      <c r="AW332" s="75">
        <f>PARAM!$C$26+MAX($G$14-CHOOSE(PARAM!$B$44,MAX(0,AX331*$F$1),0),0)*RATES!$L308/12+$H$14*(PARAM!$D$51/12)*RATES!$N308/100</f>
        <v>28.643480059150146</v>
      </c>
      <c r="AX332" s="16">
        <f t="shared" si="209"/>
        <v>388.20710346434237</v>
      </c>
      <c r="AY332" s="15">
        <f t="shared" si="184"/>
        <v>22.170849845882874</v>
      </c>
      <c r="AZ332" s="75">
        <f>AY332*(1-PARAM!$C$27)*$I$15+(MOD($B332,60)=PARAM!$B$56)*($B332&gt;(60-PARAM!$B$56))*HLOOKUP(($B332+PARAM!$B$56)/12,Loyalty,2)*$F$1*MAX(BB331,0)</f>
        <v>18.557001321003963</v>
      </c>
      <c r="BA332" s="75">
        <f>PARAM!$C$26+MAX($G$15-CHOOSE(PARAM!$B$44,MAX(0,BB331*$F$1),0),0)*RATES!$L308/12+$H$15*(PARAM!$D$51/12)*RATES!$N308/100</f>
        <v>28.643480059150146</v>
      </c>
      <c r="BB332" s="16">
        <f t="shared" si="210"/>
        <v>388.20710346434237</v>
      </c>
      <c r="BC332" s="15">
        <f t="shared" si="185"/>
        <v>22.170849845882874</v>
      </c>
      <c r="BD332" s="75">
        <f>BC332*(1-PARAM!$C$27)*$I$16+(MOD($B332,60)=PARAM!$B$56)*($B332&gt;(60-PARAM!$B$56))*HLOOKUP(($B332+PARAM!$B$56)/12,Loyalty,2)*$F$1*MAX(BF331,0)</f>
        <v>18.557001321003963</v>
      </c>
      <c r="BE332" s="75">
        <f>PARAM!$C$26+MAX($G$16-CHOOSE(PARAM!$B$44,MAX(0,BF331*$F$1),0),0)*RATES!$L308/12+$H$16*(PARAM!$D$51/12)*RATES!$N308/100</f>
        <v>28.643480059150146</v>
      </c>
      <c r="BF332" s="16">
        <f t="shared" si="211"/>
        <v>388.20710346434237</v>
      </c>
      <c r="BG332" s="15">
        <f t="shared" si="186"/>
        <v>22.170849845882874</v>
      </c>
      <c r="BH332" s="75">
        <f>BG332*(1-PARAM!$C$27)*$I$17+(MOD($B332,60)=PARAM!$B$56)*($B332&gt;(60-PARAM!$B$56))*HLOOKUP(($B332+PARAM!$B$56)/12,Loyalty,2)*$F$1*MAX(BJ331,0)</f>
        <v>18.557001321003963</v>
      </c>
      <c r="BI332" s="75">
        <f>PARAM!$C$26+MAX($G$17-CHOOSE(PARAM!$B$44,MAX(0,BJ331*$F$1),0),0)*RATES!$L308/12+$H$17*(PARAM!$D$51/12)*RATES!$N308/100</f>
        <v>28.643480059150146</v>
      </c>
      <c r="BJ332" s="16">
        <f t="shared" si="212"/>
        <v>388.20710346434237</v>
      </c>
      <c r="BK332" s="15">
        <f t="shared" si="187"/>
        <v>22.170849845882874</v>
      </c>
      <c r="BL332" s="75">
        <f>BK332*(1-PARAM!$C$27)*$I$18+(MOD($B332,60)=PARAM!$B$56)*($B332&gt;(60-PARAM!$B$56))*HLOOKUP(($B332+PARAM!$B$56)/12,Loyalty,2)*$F$1*MAX(BN331,0)</f>
        <v>18.557001321003963</v>
      </c>
      <c r="BM332" s="75">
        <f>PARAM!$C$26+MAX($G$18-CHOOSE(PARAM!$B$44,MAX(0,BN331*$F$1),0),0)*RATES!$L308/12+$H$18*(PARAM!$D$51/12)*RATES!$N308/100</f>
        <v>28.643480059150146</v>
      </c>
      <c r="BN332" s="16">
        <f t="shared" si="213"/>
        <v>388.20710346434237</v>
      </c>
      <c r="BO332" s="15">
        <f t="shared" si="188"/>
        <v>22.170849845882874</v>
      </c>
      <c r="BP332" s="75">
        <f>BO332*(1-PARAM!$C$27)*$I$19+(MOD($B332,60)=PARAM!$B$56)*($B332&gt;(60-PARAM!$B$56))*HLOOKUP(($B332+PARAM!$B$56)/12,Loyalty,2)*$F$1*MAX(BR331,0)</f>
        <v>18.557001321003963</v>
      </c>
      <c r="BQ332" s="75">
        <f>PARAM!$C$26+MAX($G$19-CHOOSE(PARAM!$B$44,MAX(0,BR331*$F$1),0),0)*RATES!$L308/12+$H$19*(PARAM!$D$51/12)*RATES!$N308/100</f>
        <v>28.643480059150146</v>
      </c>
      <c r="BR332" s="16">
        <f t="shared" si="214"/>
        <v>388.20710346434237</v>
      </c>
      <c r="BS332" s="15">
        <f t="shared" si="189"/>
        <v>22.170849845882874</v>
      </c>
      <c r="BT332" s="75">
        <f>BS332*(1-PARAM!$C$27)*$I$20+(MOD($B332,60)=PARAM!$B$56)*($B332&gt;(60-PARAM!$B$56))*HLOOKUP(($B332+PARAM!$B$56)/12,Loyalty,2)*$F$1*MAX(BV331,0)</f>
        <v>18.557001321003963</v>
      </c>
      <c r="BU332" s="75">
        <f>PARAM!$C$26+MAX($G$20-CHOOSE(PARAM!$B$44,MAX(0,BV331*$F$1),0),0)*RATES!$L308/12+$H$20*(PARAM!$D$51/12)*RATES!$N308/100</f>
        <v>28.643480059150146</v>
      </c>
      <c r="BV332" s="16">
        <f t="shared" si="215"/>
        <v>388.20710346434237</v>
      </c>
      <c r="BW332" s="15">
        <f t="shared" si="190"/>
        <v>22.170849845882874</v>
      </c>
      <c r="BX332" s="75">
        <f>BW332*(1-PARAM!$C$27)*$I$21+(MOD($B332,60)=PARAM!$B$56)*($B332&gt;(60-PARAM!$B$56))*HLOOKUP(($B332+PARAM!$B$56)/12,Loyalty,2)*$F$1*MAX(BZ331,0)</f>
        <v>18.557001321003963</v>
      </c>
      <c r="BY332" s="75">
        <f>PARAM!$C$26+MAX($G$21-CHOOSE(PARAM!$B$44,MAX(0,BZ331*$F$1),0),0)*RATES!$L308/12+$H$21*(PARAM!$D$51/12)*RATES!$N308/100</f>
        <v>28.643480059150146</v>
      </c>
      <c r="BZ332" s="16">
        <f t="shared" si="216"/>
        <v>388.20710346434237</v>
      </c>
      <c r="CA332" s="15">
        <f t="shared" si="191"/>
        <v>22.170849845882874</v>
      </c>
      <c r="CB332" s="75">
        <f>CA332*(1-PARAM!$C$27)*$I$22+(MOD($B332,60)=PARAM!$B$56)*($B332&gt;(60-PARAM!$B$56))*HLOOKUP(($B332+PARAM!$B$56)/12,Loyalty,2)*$F$1*MAX(CD331,0)</f>
        <v>18.557001321003963</v>
      </c>
      <c r="CC332" s="75">
        <f>PARAM!$C$26+MAX($G$22-CHOOSE(PARAM!$B$44,MAX(0,CD331*$F$1),0),0)*RATES!$L308/12+$H$22*(PARAM!$D$51/12)*RATES!$N308/100</f>
        <v>28.643480059150146</v>
      </c>
      <c r="CD332" s="16">
        <f t="shared" si="217"/>
        <v>388.20710346434237</v>
      </c>
      <c r="CE332" s="33">
        <f>IF(0=MOD(B332,12/PARAM!$D$51),1,0)</f>
        <v>1</v>
      </c>
      <c r="CF332" s="15">
        <f t="shared" si="192"/>
        <v>0</v>
      </c>
      <c r="CG332" s="75">
        <f>CF332*(1-PARAM!$C$27)*$R$3+(MOD($B332/12,5)=0)*($B332&gt;60)*HLOOKUP($B332/12,Loyalty,2)*$F$1*MAX(CI331,0)</f>
        <v>0</v>
      </c>
      <c r="CH332" s="75">
        <f>PARAM!$C$26+MAX($P$3-CHOOSE(PARAM!$B$44,MAX(0,CI331*$F$1),0),0)*RATES!$L308/12+$Q$3*(PARAM!$D$51/12)*RATES!$N308/100</f>
        <v>28.833333333333329</v>
      </c>
      <c r="CI332" s="16">
        <f>IF(CI331&gt;0,CI331*PARAM!$C$53,CI331)+CG332-CH332</f>
        <v>-5148.9999999999927</v>
      </c>
      <c r="CJ332" s="15">
        <f t="shared" si="218"/>
        <v>0</v>
      </c>
      <c r="CK332" s="75">
        <f>CJ332*(1-PARAM!$C$27)*$R$4+(MOD($B332/12,5)=0)*($B332&gt;60)*HLOOKUP($B332/12,Loyalty,2)*$F$1*MAX(CM331,0)</f>
        <v>0</v>
      </c>
      <c r="CL332" s="75">
        <f>PARAM!$C$26+MAX($P$4-CHOOSE(PARAM!$B$44,MAX(0,CM331*$F$1),0),0)*RATES!$L308/12+$Q$4*(PARAM!$D$51/12)*RATES!$N308/100</f>
        <v>28.833333333333329</v>
      </c>
      <c r="CM332" s="16">
        <f>IF(CM331&gt;0,CM331*PARAM!$C$53,CM331)+CK332-CL332</f>
        <v>-5148.9999999999927</v>
      </c>
      <c r="CO332" s="176"/>
    </row>
    <row r="333" spans="1:93" x14ac:dyDescent="0.2">
      <c r="A333" t="b">
        <f t="shared" si="193"/>
        <v>0</v>
      </c>
      <c r="B333" s="33">
        <v>306</v>
      </c>
      <c r="C333" s="15">
        <f t="shared" si="194"/>
        <v>20.081305947392778</v>
      </c>
      <c r="D333" s="75">
        <f>C333*(1-PARAM!$C$27)*$I$3+(MOD($B333,60)=PARAM!$B$56)*($B333&gt;(60-PARAM!$B$56))*HLOOKUP(($B333+PARAM!$B$56)/12,Loyalty,2)*$F$1*MAX(F332,0)</f>
        <v>16.808053077967756</v>
      </c>
      <c r="E333" s="75">
        <f>PARAM!$C$26+MAX($G$3-CHOOSE(PARAM!$B$44,MAX(0,F332*$F$1),0),0)*RATES!$L309/12+$H$3*(PARAM!$D$51/12)*RATES!$N309/100</f>
        <v>31.625</v>
      </c>
      <c r="F333" s="16">
        <f t="shared" si="195"/>
        <v>-193.78594954560128</v>
      </c>
      <c r="G333" s="15">
        <f t="shared" si="196"/>
        <v>22.035289406060361</v>
      </c>
      <c r="H333" s="75">
        <f>G333*(1-PARAM!$C$27)*$I$4+(MOD($B333,60)=PARAM!$B$56)*($B333&gt;(60-PARAM!$B$56))*HLOOKUP(($B333+PARAM!$B$56)/12,Loyalty,2)*$F$1*MAX(J332,0)</f>
        <v>18.443537232872522</v>
      </c>
      <c r="I333" s="75">
        <f>PARAM!$C$26+MAX($G$4-CHOOSE(PARAM!$B$44,MAX(0,J332*$F$1),0),0)*RATES!$L309/12+$H$4*(PARAM!$D$51/12)*RATES!$N309/100</f>
        <v>31.438014320959457</v>
      </c>
      <c r="J333" s="16">
        <f t="shared" si="197"/>
        <v>338.15233801152425</v>
      </c>
      <c r="K333" s="15">
        <f t="shared" si="198"/>
        <v>22.170849845882874</v>
      </c>
      <c r="L333" s="75">
        <f>K333*(1-PARAM!$C$27)*$I$5+(MOD($B333,60)=PARAM!$B$56)*($B333&gt;(60-PARAM!$B$56))*HLOOKUP(($B333+PARAM!$B$56)/12,Loyalty,2)*$F$1*MAX(N332,0)</f>
        <v>18.557001321003963</v>
      </c>
      <c r="M333" s="75">
        <f>PARAM!$C$26+MAX($G$5-CHOOSE(PARAM!$B$44,MAX(0,N332*$F$1),0),0)*RATES!$L309/12+$H$5*(PARAM!$D$51/12)*RATES!$N309/100</f>
        <v>31.418279717405238</v>
      </c>
      <c r="N333" s="16">
        <f t="shared" si="199"/>
        <v>375.34582506794106</v>
      </c>
      <c r="O333" s="15">
        <f t="shared" si="200"/>
        <v>22.170849845882874</v>
      </c>
      <c r="P333" s="75">
        <f>O333*(1-PARAM!$C$27)*$I$6+(MOD($B333,60)=PARAM!$B$56)*($B333&gt;(60-PARAM!$B$56))*HLOOKUP(($B333+PARAM!$B$56)/12,Loyalty,2)*$F$1*MAX(R332,0)</f>
        <v>18.557001321003963</v>
      </c>
      <c r="Q333" s="75">
        <f>PARAM!$C$26+MAX($G$6-CHOOSE(PARAM!$B$44,MAX(0,R332*$F$1),0),0)*RATES!$L309/12+$H$6*(PARAM!$D$51/12)*RATES!$N309/100</f>
        <v>31.418279717405238</v>
      </c>
      <c r="R333" s="16">
        <f t="shared" si="201"/>
        <v>375.34582506794106</v>
      </c>
      <c r="S333" s="15">
        <f t="shared" si="176"/>
        <v>22.170849845882874</v>
      </c>
      <c r="T333" s="75">
        <f>S333*(1-PARAM!$C$27)*$I$7+(MOD($B333,60)=PARAM!$B$56)*($B333&gt;(60-PARAM!$B$56))*HLOOKUP(($B333+PARAM!$B$56)/12,Loyalty,2)*$F$1*MAX(V332,0)</f>
        <v>18.557001321003963</v>
      </c>
      <c r="U333" s="75">
        <f>PARAM!$C$26+MAX($G$7-CHOOSE(PARAM!$B$44,MAX(0,V332*$F$1),0),0)*RATES!$L309/12+$H$7*(PARAM!$D$51/12)*RATES!$N309/100</f>
        <v>31.418279717405238</v>
      </c>
      <c r="V333" s="16">
        <f t="shared" si="202"/>
        <v>375.34582506794106</v>
      </c>
      <c r="W333" s="15">
        <f t="shared" si="177"/>
        <v>22.170849845882874</v>
      </c>
      <c r="X333" s="75">
        <f>W333*(1-PARAM!$C$27)*$I$8+(MOD($B333,60)=PARAM!$B$56)*($B333&gt;(60-PARAM!$B$56))*HLOOKUP(($B333+PARAM!$B$56)/12,Loyalty,2)*$F$1*MAX(Z332,0)</f>
        <v>18.557001321003963</v>
      </c>
      <c r="Y333" s="75">
        <f>PARAM!$C$26+MAX($G$8-CHOOSE(PARAM!$B$44,MAX(0,Z332*$F$1),0),0)*RATES!$L309/12+$H$8*(PARAM!$D$51/12)*RATES!$N309/100</f>
        <v>31.418279717405238</v>
      </c>
      <c r="Z333" s="16">
        <f t="shared" si="203"/>
        <v>375.34582506794106</v>
      </c>
      <c r="AA333" s="15">
        <f t="shared" si="178"/>
        <v>22.170849845882874</v>
      </c>
      <c r="AB333" s="75">
        <f>AA333*(1-PARAM!$C$27)*$I$9+(MOD($B333,60)=PARAM!$B$56)*($B333&gt;(60-PARAM!$B$56))*HLOOKUP(($B333+PARAM!$B$56)/12,Loyalty,2)*$F$1*MAX(AD332,0)</f>
        <v>18.557001321003963</v>
      </c>
      <c r="AC333" s="75">
        <f>PARAM!$C$26+MAX($G$9-CHOOSE(PARAM!$B$44,MAX(0,AD332*$F$1),0),0)*RATES!$L309/12+$H$9*(PARAM!$D$51/12)*RATES!$N309/100</f>
        <v>31.418279717405238</v>
      </c>
      <c r="AD333" s="16">
        <f t="shared" si="204"/>
        <v>375.34582506794106</v>
      </c>
      <c r="AE333" s="15">
        <f t="shared" si="179"/>
        <v>22.170849845882874</v>
      </c>
      <c r="AF333" s="75">
        <f>AE333*(1-PARAM!$C$27)*$I$10+(MOD($B333,60)=PARAM!$B$56)*($B333&gt;(60-PARAM!$B$56))*HLOOKUP(($B333+PARAM!$B$56)/12,Loyalty,2)*$F$1*MAX(AH332,0)</f>
        <v>18.557001321003963</v>
      </c>
      <c r="AG333" s="75">
        <f>PARAM!$C$26+MAX($G$10-CHOOSE(PARAM!$B$44,MAX(0,AH332*$F$1),0),0)*RATES!$L309/12+$H$10*(PARAM!$D$51/12)*RATES!$N309/100</f>
        <v>31.418279717405238</v>
      </c>
      <c r="AH333" s="16">
        <f t="shared" si="205"/>
        <v>375.34582506794106</v>
      </c>
      <c r="AI333" s="15">
        <f t="shared" si="180"/>
        <v>22.170849845882874</v>
      </c>
      <c r="AJ333" s="75">
        <f>AI333*(1-PARAM!$C$27)*$I$11+(MOD($B333,60)=PARAM!$B$56)*($B333&gt;(60-PARAM!$B$56))*HLOOKUP(($B333+PARAM!$B$56)/12,Loyalty,2)*$F$1*MAX(AL332,0)</f>
        <v>18.557001321003963</v>
      </c>
      <c r="AK333" s="75">
        <f>PARAM!$C$26+MAX($G$11-CHOOSE(PARAM!$B$44,MAX(0,AL332*$F$1),0),0)*RATES!$L309/12+$H$11*(PARAM!$D$51/12)*RATES!$N309/100</f>
        <v>31.418279717405238</v>
      </c>
      <c r="AL333" s="16">
        <f t="shared" si="206"/>
        <v>375.34582506794106</v>
      </c>
      <c r="AM333" s="15">
        <f t="shared" si="181"/>
        <v>22.170849845882874</v>
      </c>
      <c r="AN333" s="75">
        <f>AM333*(1-PARAM!$C$27)*$I$12+(MOD($B333,60)=PARAM!$B$56)*($B333&gt;(60-PARAM!$B$56))*HLOOKUP(($B333+PARAM!$B$56)/12,Loyalty,2)*$F$1*MAX(AP332,0)</f>
        <v>18.557001321003963</v>
      </c>
      <c r="AO333" s="75">
        <f>PARAM!$C$26+MAX($G$12-CHOOSE(PARAM!$B$44,MAX(0,AP332*$F$1),0),0)*RATES!$L309/12+$H$12*(PARAM!$D$51/12)*RATES!$N309/100</f>
        <v>31.418279717405238</v>
      </c>
      <c r="AP333" s="16">
        <f t="shared" si="207"/>
        <v>375.34582506794106</v>
      </c>
      <c r="AQ333" s="15">
        <f t="shared" si="182"/>
        <v>22.170849845882874</v>
      </c>
      <c r="AR333" s="75">
        <f>AQ333*(1-PARAM!$C$27)*$I$13+(MOD($B333,60)=PARAM!$B$56)*($B333&gt;(60-PARAM!$B$56))*HLOOKUP(($B333+PARAM!$B$56)/12,Loyalty,2)*$F$1*MAX(AT332,0)</f>
        <v>18.557001321003963</v>
      </c>
      <c r="AS333" s="75">
        <f>PARAM!$C$26+MAX($G$13-CHOOSE(PARAM!$B$44,MAX(0,AT332*$F$1),0),0)*RATES!$L309/12+$H$13*(PARAM!$D$51/12)*RATES!$N309/100</f>
        <v>31.418279717405238</v>
      </c>
      <c r="AT333" s="16">
        <f t="shared" si="208"/>
        <v>375.34582506794106</v>
      </c>
      <c r="AU333" s="15">
        <f t="shared" si="183"/>
        <v>22.170849845882874</v>
      </c>
      <c r="AV333" s="75">
        <f>AU333*(1-PARAM!$C$27)*$I$14+(MOD($B333,60)=PARAM!$B$56)*($B333&gt;(60-PARAM!$B$56))*HLOOKUP(($B333+PARAM!$B$56)/12,Loyalty,2)*$F$1*MAX(AX332,0)</f>
        <v>18.557001321003963</v>
      </c>
      <c r="AW333" s="75">
        <f>PARAM!$C$26+MAX($G$14-CHOOSE(PARAM!$B$44,MAX(0,AX332*$F$1),0),0)*RATES!$L309/12+$H$14*(PARAM!$D$51/12)*RATES!$N309/100</f>
        <v>31.418279717405238</v>
      </c>
      <c r="AX333" s="16">
        <f t="shared" si="209"/>
        <v>375.34582506794106</v>
      </c>
      <c r="AY333" s="15">
        <f t="shared" si="184"/>
        <v>22.170849845882874</v>
      </c>
      <c r="AZ333" s="75">
        <f>AY333*(1-PARAM!$C$27)*$I$15+(MOD($B333,60)=PARAM!$B$56)*($B333&gt;(60-PARAM!$B$56))*HLOOKUP(($B333+PARAM!$B$56)/12,Loyalty,2)*$F$1*MAX(BB332,0)</f>
        <v>18.557001321003963</v>
      </c>
      <c r="BA333" s="75">
        <f>PARAM!$C$26+MAX($G$15-CHOOSE(PARAM!$B$44,MAX(0,BB332*$F$1),0),0)*RATES!$L309/12+$H$15*(PARAM!$D$51/12)*RATES!$N309/100</f>
        <v>31.418279717405238</v>
      </c>
      <c r="BB333" s="16">
        <f t="shared" si="210"/>
        <v>375.34582506794106</v>
      </c>
      <c r="BC333" s="15">
        <f t="shared" si="185"/>
        <v>22.170849845882874</v>
      </c>
      <c r="BD333" s="75">
        <f>BC333*(1-PARAM!$C$27)*$I$16+(MOD($B333,60)=PARAM!$B$56)*($B333&gt;(60-PARAM!$B$56))*HLOOKUP(($B333+PARAM!$B$56)/12,Loyalty,2)*$F$1*MAX(BF332,0)</f>
        <v>18.557001321003963</v>
      </c>
      <c r="BE333" s="75">
        <f>PARAM!$C$26+MAX($G$16-CHOOSE(PARAM!$B$44,MAX(0,BF332*$F$1),0),0)*RATES!$L309/12+$H$16*(PARAM!$D$51/12)*RATES!$N309/100</f>
        <v>31.418279717405238</v>
      </c>
      <c r="BF333" s="16">
        <f t="shared" si="211"/>
        <v>375.34582506794106</v>
      </c>
      <c r="BG333" s="15">
        <f t="shared" si="186"/>
        <v>22.170849845882874</v>
      </c>
      <c r="BH333" s="75">
        <f>BG333*(1-PARAM!$C$27)*$I$17+(MOD($B333,60)=PARAM!$B$56)*($B333&gt;(60-PARAM!$B$56))*HLOOKUP(($B333+PARAM!$B$56)/12,Loyalty,2)*$F$1*MAX(BJ332,0)</f>
        <v>18.557001321003963</v>
      </c>
      <c r="BI333" s="75">
        <f>PARAM!$C$26+MAX($G$17-CHOOSE(PARAM!$B$44,MAX(0,BJ332*$F$1),0),0)*RATES!$L309/12+$H$17*(PARAM!$D$51/12)*RATES!$N309/100</f>
        <v>31.418279717405238</v>
      </c>
      <c r="BJ333" s="16">
        <f t="shared" si="212"/>
        <v>375.34582506794106</v>
      </c>
      <c r="BK333" s="15">
        <f t="shared" si="187"/>
        <v>22.170849845882874</v>
      </c>
      <c r="BL333" s="75">
        <f>BK333*(1-PARAM!$C$27)*$I$18+(MOD($B333,60)=PARAM!$B$56)*($B333&gt;(60-PARAM!$B$56))*HLOOKUP(($B333+PARAM!$B$56)/12,Loyalty,2)*$F$1*MAX(BN332,0)</f>
        <v>18.557001321003963</v>
      </c>
      <c r="BM333" s="75">
        <f>PARAM!$C$26+MAX($G$18-CHOOSE(PARAM!$B$44,MAX(0,BN332*$F$1),0),0)*RATES!$L309/12+$H$18*(PARAM!$D$51/12)*RATES!$N309/100</f>
        <v>31.418279717405238</v>
      </c>
      <c r="BN333" s="16">
        <f t="shared" si="213"/>
        <v>375.34582506794106</v>
      </c>
      <c r="BO333" s="15">
        <f t="shared" si="188"/>
        <v>22.170849845882874</v>
      </c>
      <c r="BP333" s="75">
        <f>BO333*(1-PARAM!$C$27)*$I$19+(MOD($B333,60)=PARAM!$B$56)*($B333&gt;(60-PARAM!$B$56))*HLOOKUP(($B333+PARAM!$B$56)/12,Loyalty,2)*$F$1*MAX(BR332,0)</f>
        <v>18.557001321003963</v>
      </c>
      <c r="BQ333" s="75">
        <f>PARAM!$C$26+MAX($G$19-CHOOSE(PARAM!$B$44,MAX(0,BR332*$F$1),0),0)*RATES!$L309/12+$H$19*(PARAM!$D$51/12)*RATES!$N309/100</f>
        <v>31.418279717405238</v>
      </c>
      <c r="BR333" s="16">
        <f t="shared" si="214"/>
        <v>375.34582506794106</v>
      </c>
      <c r="BS333" s="15">
        <f t="shared" si="189"/>
        <v>22.170849845882874</v>
      </c>
      <c r="BT333" s="75">
        <f>BS333*(1-PARAM!$C$27)*$I$20+(MOD($B333,60)=PARAM!$B$56)*($B333&gt;(60-PARAM!$B$56))*HLOOKUP(($B333+PARAM!$B$56)/12,Loyalty,2)*$F$1*MAX(BV332,0)</f>
        <v>18.557001321003963</v>
      </c>
      <c r="BU333" s="75">
        <f>PARAM!$C$26+MAX($G$20-CHOOSE(PARAM!$B$44,MAX(0,BV332*$F$1),0),0)*RATES!$L309/12+$H$20*(PARAM!$D$51/12)*RATES!$N309/100</f>
        <v>31.418279717405238</v>
      </c>
      <c r="BV333" s="16">
        <f t="shared" si="215"/>
        <v>375.34582506794106</v>
      </c>
      <c r="BW333" s="15">
        <f t="shared" si="190"/>
        <v>22.170849845882874</v>
      </c>
      <c r="BX333" s="75">
        <f>BW333*(1-PARAM!$C$27)*$I$21+(MOD($B333,60)=PARAM!$B$56)*($B333&gt;(60-PARAM!$B$56))*HLOOKUP(($B333+PARAM!$B$56)/12,Loyalty,2)*$F$1*MAX(BZ332,0)</f>
        <v>18.557001321003963</v>
      </c>
      <c r="BY333" s="75">
        <f>PARAM!$C$26+MAX($G$21-CHOOSE(PARAM!$B$44,MAX(0,BZ332*$F$1),0),0)*RATES!$L309/12+$H$21*(PARAM!$D$51/12)*RATES!$N309/100</f>
        <v>31.418279717405238</v>
      </c>
      <c r="BZ333" s="16">
        <f t="shared" si="216"/>
        <v>375.34582506794106</v>
      </c>
      <c r="CA333" s="15">
        <f t="shared" si="191"/>
        <v>22.170849845882874</v>
      </c>
      <c r="CB333" s="75">
        <f>CA333*(1-PARAM!$C$27)*$I$22+(MOD($B333,60)=PARAM!$B$56)*($B333&gt;(60-PARAM!$B$56))*HLOOKUP(($B333+PARAM!$B$56)/12,Loyalty,2)*$F$1*MAX(CD332,0)</f>
        <v>18.557001321003963</v>
      </c>
      <c r="CC333" s="75">
        <f>PARAM!$C$26+MAX($G$22-CHOOSE(PARAM!$B$44,MAX(0,CD332*$F$1),0),0)*RATES!$L309/12+$H$22*(PARAM!$D$51/12)*RATES!$N309/100</f>
        <v>31.418279717405238</v>
      </c>
      <c r="CD333" s="16">
        <f t="shared" si="217"/>
        <v>375.34582506794106</v>
      </c>
      <c r="CE333" s="33">
        <f>IF(0=MOD(B333,12/PARAM!$D$51),1,0)</f>
        <v>1</v>
      </c>
      <c r="CF333" s="15">
        <f t="shared" si="192"/>
        <v>0</v>
      </c>
      <c r="CG333" s="75">
        <f>CF333*(1-PARAM!$C$27)*$R$3+(MOD($B333/12,5)=0)*($B333&gt;60)*HLOOKUP($B333/12,Loyalty,2)*$F$1*MAX(CI332,0)</f>
        <v>0</v>
      </c>
      <c r="CH333" s="75">
        <f>PARAM!$C$26+MAX($P$3-CHOOSE(PARAM!$B$44,MAX(0,CI332*$F$1),0),0)*RATES!$L309/12+$Q$3*(PARAM!$D$51/12)*RATES!$N309/100</f>
        <v>31.625</v>
      </c>
      <c r="CI333" s="16">
        <f>IF(CI332&gt;0,CI332*PARAM!$C$53,CI332)+CG333-CH333</f>
        <v>-5180.6249999999927</v>
      </c>
      <c r="CJ333" s="15">
        <f t="shared" si="218"/>
        <v>0</v>
      </c>
      <c r="CK333" s="75">
        <f>CJ333*(1-PARAM!$C$27)*$R$4+(MOD($B333/12,5)=0)*($B333&gt;60)*HLOOKUP($B333/12,Loyalty,2)*$F$1*MAX(CM332,0)</f>
        <v>0</v>
      </c>
      <c r="CL333" s="75">
        <f>PARAM!$C$26+MAX($P$4-CHOOSE(PARAM!$B$44,MAX(0,CM332*$F$1),0),0)*RATES!$L309/12+$Q$4*(PARAM!$D$51/12)*RATES!$N309/100</f>
        <v>31.625</v>
      </c>
      <c r="CM333" s="16">
        <f>IF(CM332&gt;0,CM332*PARAM!$C$53,CM332)+CK333-CL333</f>
        <v>-5180.6249999999927</v>
      </c>
      <c r="CO333" s="176"/>
    </row>
    <row r="334" spans="1:93" x14ac:dyDescent="0.2">
      <c r="A334" t="b">
        <f t="shared" si="193"/>
        <v>0</v>
      </c>
      <c r="B334" s="33">
        <v>307</v>
      </c>
      <c r="C334" s="15">
        <f t="shared" si="194"/>
        <v>20.081305947392778</v>
      </c>
      <c r="D334" s="75">
        <f>C334*(1-PARAM!$C$27)*$I$3+(MOD($B334,60)=PARAM!$B$56)*($B334&gt;(60-PARAM!$B$56))*HLOOKUP(($B334+PARAM!$B$56)/12,Loyalty,2)*$F$1*MAX(F333,0)</f>
        <v>16.808053077967756</v>
      </c>
      <c r="E334" s="75">
        <f>PARAM!$C$26+MAX($G$3-CHOOSE(PARAM!$B$44,MAX(0,F333*$F$1),0),0)*RATES!$L310/12+$H$3*(PARAM!$D$51/12)*RATES!$N310/100</f>
        <v>31.625</v>
      </c>
      <c r="F334" s="16">
        <f t="shared" si="195"/>
        <v>-208.60289646763351</v>
      </c>
      <c r="G334" s="15">
        <f t="shared" si="196"/>
        <v>22.035289406060361</v>
      </c>
      <c r="H334" s="75">
        <f>G334*(1-PARAM!$C$27)*$I$4+(MOD($B334,60)=PARAM!$B$56)*($B334&gt;(60-PARAM!$B$56))*HLOOKUP(($B334+PARAM!$B$56)/12,Loyalty,2)*$F$1*MAX(J333,0)</f>
        <v>18.443537232872522</v>
      </c>
      <c r="I334" s="75">
        <f>PARAM!$C$26+MAX($G$4-CHOOSE(PARAM!$B$44,MAX(0,J333*$F$1),0),0)*RATES!$L310/12+$H$4*(PARAM!$D$51/12)*RATES!$N310/100</f>
        <v>31.444933880008861</v>
      </c>
      <c r="J334" s="16">
        <f t="shared" si="197"/>
        <v>325.1509413643879</v>
      </c>
      <c r="K334" s="15">
        <f t="shared" si="198"/>
        <v>22.170849845882874</v>
      </c>
      <c r="L334" s="75">
        <f>K334*(1-PARAM!$C$27)*$I$5+(MOD($B334,60)=PARAM!$B$56)*($B334&gt;(60-PARAM!$B$56))*HLOOKUP(($B334+PARAM!$B$56)/12,Loyalty,2)*$F$1*MAX(N333,0)</f>
        <v>18.557001321003963</v>
      </c>
      <c r="M334" s="75">
        <f>PARAM!$C$26+MAX($G$5-CHOOSE(PARAM!$B$44,MAX(0,N333*$F$1),0),0)*RATES!$L310/12+$H$5*(PARAM!$D$51/12)*RATES!$N310/100</f>
        <v>31.425128348151322</v>
      </c>
      <c r="N334" s="16">
        <f t="shared" si="199"/>
        <v>362.47769804079371</v>
      </c>
      <c r="O334" s="15">
        <f t="shared" si="200"/>
        <v>22.170849845882874</v>
      </c>
      <c r="P334" s="75">
        <f>O334*(1-PARAM!$C$27)*$I$6+(MOD($B334,60)=PARAM!$B$56)*($B334&gt;(60-PARAM!$B$56))*HLOOKUP(($B334+PARAM!$B$56)/12,Loyalty,2)*$F$1*MAX(R333,0)</f>
        <v>18.557001321003963</v>
      </c>
      <c r="Q334" s="75">
        <f>PARAM!$C$26+MAX($G$6-CHOOSE(PARAM!$B$44,MAX(0,R333*$F$1),0),0)*RATES!$L310/12+$H$6*(PARAM!$D$51/12)*RATES!$N310/100</f>
        <v>31.425128348151322</v>
      </c>
      <c r="R334" s="16">
        <f t="shared" si="201"/>
        <v>362.47769804079371</v>
      </c>
      <c r="S334" s="15">
        <f t="shared" si="176"/>
        <v>22.170849845882874</v>
      </c>
      <c r="T334" s="75">
        <f>S334*(1-PARAM!$C$27)*$I$7+(MOD($B334,60)=PARAM!$B$56)*($B334&gt;(60-PARAM!$B$56))*HLOOKUP(($B334+PARAM!$B$56)/12,Loyalty,2)*$F$1*MAX(V333,0)</f>
        <v>18.557001321003963</v>
      </c>
      <c r="U334" s="75">
        <f>PARAM!$C$26+MAX($G$7-CHOOSE(PARAM!$B$44,MAX(0,V333*$F$1),0),0)*RATES!$L310/12+$H$7*(PARAM!$D$51/12)*RATES!$N310/100</f>
        <v>31.425128348151322</v>
      </c>
      <c r="V334" s="16">
        <f t="shared" si="202"/>
        <v>362.47769804079371</v>
      </c>
      <c r="W334" s="15">
        <f t="shared" si="177"/>
        <v>22.170849845882874</v>
      </c>
      <c r="X334" s="75">
        <f>W334*(1-PARAM!$C$27)*$I$8+(MOD($B334,60)=PARAM!$B$56)*($B334&gt;(60-PARAM!$B$56))*HLOOKUP(($B334+PARAM!$B$56)/12,Loyalty,2)*$F$1*MAX(Z333,0)</f>
        <v>18.557001321003963</v>
      </c>
      <c r="Y334" s="75">
        <f>PARAM!$C$26+MAX($G$8-CHOOSE(PARAM!$B$44,MAX(0,Z333*$F$1),0),0)*RATES!$L310/12+$H$8*(PARAM!$D$51/12)*RATES!$N310/100</f>
        <v>31.425128348151322</v>
      </c>
      <c r="Z334" s="16">
        <f t="shared" si="203"/>
        <v>362.47769804079371</v>
      </c>
      <c r="AA334" s="15">
        <f t="shared" si="178"/>
        <v>22.170849845882874</v>
      </c>
      <c r="AB334" s="75">
        <f>AA334*(1-PARAM!$C$27)*$I$9+(MOD($B334,60)=PARAM!$B$56)*($B334&gt;(60-PARAM!$B$56))*HLOOKUP(($B334+PARAM!$B$56)/12,Loyalty,2)*$F$1*MAX(AD333,0)</f>
        <v>18.557001321003963</v>
      </c>
      <c r="AC334" s="75">
        <f>PARAM!$C$26+MAX($G$9-CHOOSE(PARAM!$B$44,MAX(0,AD333*$F$1),0),0)*RATES!$L310/12+$H$9*(PARAM!$D$51/12)*RATES!$N310/100</f>
        <v>31.425128348151322</v>
      </c>
      <c r="AD334" s="16">
        <f t="shared" si="204"/>
        <v>362.47769804079371</v>
      </c>
      <c r="AE334" s="15">
        <f t="shared" si="179"/>
        <v>22.170849845882874</v>
      </c>
      <c r="AF334" s="75">
        <f>AE334*(1-PARAM!$C$27)*$I$10+(MOD($B334,60)=PARAM!$B$56)*($B334&gt;(60-PARAM!$B$56))*HLOOKUP(($B334+PARAM!$B$56)/12,Loyalty,2)*$F$1*MAX(AH333,0)</f>
        <v>18.557001321003963</v>
      </c>
      <c r="AG334" s="75">
        <f>PARAM!$C$26+MAX($G$10-CHOOSE(PARAM!$B$44,MAX(0,AH333*$F$1),0),0)*RATES!$L310/12+$H$10*(PARAM!$D$51/12)*RATES!$N310/100</f>
        <v>31.425128348151322</v>
      </c>
      <c r="AH334" s="16">
        <f t="shared" si="205"/>
        <v>362.47769804079371</v>
      </c>
      <c r="AI334" s="15">
        <f t="shared" si="180"/>
        <v>22.170849845882874</v>
      </c>
      <c r="AJ334" s="75">
        <f>AI334*(1-PARAM!$C$27)*$I$11+(MOD($B334,60)=PARAM!$B$56)*($B334&gt;(60-PARAM!$B$56))*HLOOKUP(($B334+PARAM!$B$56)/12,Loyalty,2)*$F$1*MAX(AL333,0)</f>
        <v>18.557001321003963</v>
      </c>
      <c r="AK334" s="75">
        <f>PARAM!$C$26+MAX($G$11-CHOOSE(PARAM!$B$44,MAX(0,AL333*$F$1),0),0)*RATES!$L310/12+$H$11*(PARAM!$D$51/12)*RATES!$N310/100</f>
        <v>31.425128348151322</v>
      </c>
      <c r="AL334" s="16">
        <f t="shared" si="206"/>
        <v>362.47769804079371</v>
      </c>
      <c r="AM334" s="15">
        <f t="shared" si="181"/>
        <v>22.170849845882874</v>
      </c>
      <c r="AN334" s="75">
        <f>AM334*(1-PARAM!$C$27)*$I$12+(MOD($B334,60)=PARAM!$B$56)*($B334&gt;(60-PARAM!$B$56))*HLOOKUP(($B334+PARAM!$B$56)/12,Loyalty,2)*$F$1*MAX(AP333,0)</f>
        <v>18.557001321003963</v>
      </c>
      <c r="AO334" s="75">
        <f>PARAM!$C$26+MAX($G$12-CHOOSE(PARAM!$B$44,MAX(0,AP333*$F$1),0),0)*RATES!$L310/12+$H$12*(PARAM!$D$51/12)*RATES!$N310/100</f>
        <v>31.425128348151322</v>
      </c>
      <c r="AP334" s="16">
        <f t="shared" si="207"/>
        <v>362.47769804079371</v>
      </c>
      <c r="AQ334" s="15">
        <f t="shared" si="182"/>
        <v>22.170849845882874</v>
      </c>
      <c r="AR334" s="75">
        <f>AQ334*(1-PARAM!$C$27)*$I$13+(MOD($B334,60)=PARAM!$B$56)*($B334&gt;(60-PARAM!$B$56))*HLOOKUP(($B334+PARAM!$B$56)/12,Loyalty,2)*$F$1*MAX(AT333,0)</f>
        <v>18.557001321003963</v>
      </c>
      <c r="AS334" s="75">
        <f>PARAM!$C$26+MAX($G$13-CHOOSE(PARAM!$B$44,MAX(0,AT333*$F$1),0),0)*RATES!$L310/12+$H$13*(PARAM!$D$51/12)*RATES!$N310/100</f>
        <v>31.425128348151322</v>
      </c>
      <c r="AT334" s="16">
        <f t="shared" si="208"/>
        <v>362.47769804079371</v>
      </c>
      <c r="AU334" s="15">
        <f t="shared" si="183"/>
        <v>22.170849845882874</v>
      </c>
      <c r="AV334" s="75">
        <f>AU334*(1-PARAM!$C$27)*$I$14+(MOD($B334,60)=PARAM!$B$56)*($B334&gt;(60-PARAM!$B$56))*HLOOKUP(($B334+PARAM!$B$56)/12,Loyalty,2)*$F$1*MAX(AX333,0)</f>
        <v>18.557001321003963</v>
      </c>
      <c r="AW334" s="75">
        <f>PARAM!$C$26+MAX($G$14-CHOOSE(PARAM!$B$44,MAX(0,AX333*$F$1),0),0)*RATES!$L310/12+$H$14*(PARAM!$D$51/12)*RATES!$N310/100</f>
        <v>31.425128348151322</v>
      </c>
      <c r="AX334" s="16">
        <f t="shared" si="209"/>
        <v>362.47769804079371</v>
      </c>
      <c r="AY334" s="15">
        <f t="shared" si="184"/>
        <v>22.170849845882874</v>
      </c>
      <c r="AZ334" s="75">
        <f>AY334*(1-PARAM!$C$27)*$I$15+(MOD($B334,60)=PARAM!$B$56)*($B334&gt;(60-PARAM!$B$56))*HLOOKUP(($B334+PARAM!$B$56)/12,Loyalty,2)*$F$1*MAX(BB333,0)</f>
        <v>18.557001321003963</v>
      </c>
      <c r="BA334" s="75">
        <f>PARAM!$C$26+MAX($G$15-CHOOSE(PARAM!$B$44,MAX(0,BB333*$F$1),0),0)*RATES!$L310/12+$H$15*(PARAM!$D$51/12)*RATES!$N310/100</f>
        <v>31.425128348151322</v>
      </c>
      <c r="BB334" s="16">
        <f t="shared" si="210"/>
        <v>362.47769804079371</v>
      </c>
      <c r="BC334" s="15">
        <f t="shared" si="185"/>
        <v>22.170849845882874</v>
      </c>
      <c r="BD334" s="75">
        <f>BC334*(1-PARAM!$C$27)*$I$16+(MOD($B334,60)=PARAM!$B$56)*($B334&gt;(60-PARAM!$B$56))*HLOOKUP(($B334+PARAM!$B$56)/12,Loyalty,2)*$F$1*MAX(BF333,0)</f>
        <v>18.557001321003963</v>
      </c>
      <c r="BE334" s="75">
        <f>PARAM!$C$26+MAX($G$16-CHOOSE(PARAM!$B$44,MAX(0,BF333*$F$1),0),0)*RATES!$L310/12+$H$16*(PARAM!$D$51/12)*RATES!$N310/100</f>
        <v>31.425128348151322</v>
      </c>
      <c r="BF334" s="16">
        <f t="shared" si="211"/>
        <v>362.47769804079371</v>
      </c>
      <c r="BG334" s="15">
        <f t="shared" si="186"/>
        <v>22.170849845882874</v>
      </c>
      <c r="BH334" s="75">
        <f>BG334*(1-PARAM!$C$27)*$I$17+(MOD($B334,60)=PARAM!$B$56)*($B334&gt;(60-PARAM!$B$56))*HLOOKUP(($B334+PARAM!$B$56)/12,Loyalty,2)*$F$1*MAX(BJ333,0)</f>
        <v>18.557001321003963</v>
      </c>
      <c r="BI334" s="75">
        <f>PARAM!$C$26+MAX($G$17-CHOOSE(PARAM!$B$44,MAX(0,BJ333*$F$1),0),0)*RATES!$L310/12+$H$17*(PARAM!$D$51/12)*RATES!$N310/100</f>
        <v>31.425128348151322</v>
      </c>
      <c r="BJ334" s="16">
        <f t="shared" si="212"/>
        <v>362.47769804079371</v>
      </c>
      <c r="BK334" s="15">
        <f t="shared" si="187"/>
        <v>22.170849845882874</v>
      </c>
      <c r="BL334" s="75">
        <f>BK334*(1-PARAM!$C$27)*$I$18+(MOD($B334,60)=PARAM!$B$56)*($B334&gt;(60-PARAM!$B$56))*HLOOKUP(($B334+PARAM!$B$56)/12,Loyalty,2)*$F$1*MAX(BN333,0)</f>
        <v>18.557001321003963</v>
      </c>
      <c r="BM334" s="75">
        <f>PARAM!$C$26+MAX($G$18-CHOOSE(PARAM!$B$44,MAX(0,BN333*$F$1),0),0)*RATES!$L310/12+$H$18*(PARAM!$D$51/12)*RATES!$N310/100</f>
        <v>31.425128348151322</v>
      </c>
      <c r="BN334" s="16">
        <f t="shared" si="213"/>
        <v>362.47769804079371</v>
      </c>
      <c r="BO334" s="15">
        <f t="shared" si="188"/>
        <v>22.170849845882874</v>
      </c>
      <c r="BP334" s="75">
        <f>BO334*(1-PARAM!$C$27)*$I$19+(MOD($B334,60)=PARAM!$B$56)*($B334&gt;(60-PARAM!$B$56))*HLOOKUP(($B334+PARAM!$B$56)/12,Loyalty,2)*$F$1*MAX(BR333,0)</f>
        <v>18.557001321003963</v>
      </c>
      <c r="BQ334" s="75">
        <f>PARAM!$C$26+MAX($G$19-CHOOSE(PARAM!$B$44,MAX(0,BR333*$F$1),0),0)*RATES!$L310/12+$H$19*(PARAM!$D$51/12)*RATES!$N310/100</f>
        <v>31.425128348151322</v>
      </c>
      <c r="BR334" s="16">
        <f t="shared" si="214"/>
        <v>362.47769804079371</v>
      </c>
      <c r="BS334" s="15">
        <f t="shared" si="189"/>
        <v>22.170849845882874</v>
      </c>
      <c r="BT334" s="75">
        <f>BS334*(1-PARAM!$C$27)*$I$20+(MOD($B334,60)=PARAM!$B$56)*($B334&gt;(60-PARAM!$B$56))*HLOOKUP(($B334+PARAM!$B$56)/12,Loyalty,2)*$F$1*MAX(BV333,0)</f>
        <v>18.557001321003963</v>
      </c>
      <c r="BU334" s="75">
        <f>PARAM!$C$26+MAX($G$20-CHOOSE(PARAM!$B$44,MAX(0,BV333*$F$1),0),0)*RATES!$L310/12+$H$20*(PARAM!$D$51/12)*RATES!$N310/100</f>
        <v>31.425128348151322</v>
      </c>
      <c r="BV334" s="16">
        <f t="shared" si="215"/>
        <v>362.47769804079371</v>
      </c>
      <c r="BW334" s="15">
        <f t="shared" si="190"/>
        <v>22.170849845882874</v>
      </c>
      <c r="BX334" s="75">
        <f>BW334*(1-PARAM!$C$27)*$I$21+(MOD($B334,60)=PARAM!$B$56)*($B334&gt;(60-PARAM!$B$56))*HLOOKUP(($B334+PARAM!$B$56)/12,Loyalty,2)*$F$1*MAX(BZ333,0)</f>
        <v>18.557001321003963</v>
      </c>
      <c r="BY334" s="75">
        <f>PARAM!$C$26+MAX($G$21-CHOOSE(PARAM!$B$44,MAX(0,BZ333*$F$1),0),0)*RATES!$L310/12+$H$21*(PARAM!$D$51/12)*RATES!$N310/100</f>
        <v>31.425128348151322</v>
      </c>
      <c r="BZ334" s="16">
        <f t="shared" si="216"/>
        <v>362.47769804079371</v>
      </c>
      <c r="CA334" s="15">
        <f t="shared" si="191"/>
        <v>22.170849845882874</v>
      </c>
      <c r="CB334" s="75">
        <f>CA334*(1-PARAM!$C$27)*$I$22+(MOD($B334,60)=PARAM!$B$56)*($B334&gt;(60-PARAM!$B$56))*HLOOKUP(($B334+PARAM!$B$56)/12,Loyalty,2)*$F$1*MAX(CD333,0)</f>
        <v>18.557001321003963</v>
      </c>
      <c r="CC334" s="75">
        <f>PARAM!$C$26+MAX($G$22-CHOOSE(PARAM!$B$44,MAX(0,CD333*$F$1),0),0)*RATES!$L310/12+$H$22*(PARAM!$D$51/12)*RATES!$N310/100</f>
        <v>31.425128348151322</v>
      </c>
      <c r="CD334" s="16">
        <f t="shared" si="217"/>
        <v>362.47769804079371</v>
      </c>
      <c r="CE334" s="33">
        <f>IF(0=MOD(B334,12/PARAM!$D$51),1,0)</f>
        <v>1</v>
      </c>
      <c r="CF334" s="15">
        <f t="shared" si="192"/>
        <v>0</v>
      </c>
      <c r="CG334" s="75">
        <f>CF334*(1-PARAM!$C$27)*$R$3+(MOD($B334/12,5)=0)*($B334&gt;60)*HLOOKUP($B334/12,Loyalty,2)*$F$1*MAX(CI333,0)</f>
        <v>0</v>
      </c>
      <c r="CH334" s="75">
        <f>PARAM!$C$26+MAX($P$3-CHOOSE(PARAM!$B$44,MAX(0,CI333*$F$1),0),0)*RATES!$L310/12+$Q$3*(PARAM!$D$51/12)*RATES!$N310/100</f>
        <v>31.625</v>
      </c>
      <c r="CI334" s="16">
        <f>IF(CI333&gt;0,CI333*PARAM!$C$53,CI333)+CG334-CH334</f>
        <v>-5212.2499999999927</v>
      </c>
      <c r="CJ334" s="15">
        <f t="shared" si="218"/>
        <v>0</v>
      </c>
      <c r="CK334" s="75">
        <f>CJ334*(1-PARAM!$C$27)*$R$4+(MOD($B334/12,5)=0)*($B334&gt;60)*HLOOKUP($B334/12,Loyalty,2)*$F$1*MAX(CM333,0)</f>
        <v>0</v>
      </c>
      <c r="CL334" s="75">
        <f>PARAM!$C$26+MAX($P$4-CHOOSE(PARAM!$B$44,MAX(0,CM333*$F$1),0),0)*RATES!$L310/12+$Q$4*(PARAM!$D$51/12)*RATES!$N310/100</f>
        <v>31.625</v>
      </c>
      <c r="CM334" s="16">
        <f>IF(CM333&gt;0,CM333*PARAM!$C$53,CM333)+CK334-CL334</f>
        <v>-5212.2499999999927</v>
      </c>
      <c r="CO334" s="176"/>
    </row>
    <row r="335" spans="1:93" x14ac:dyDescent="0.2">
      <c r="A335" t="b">
        <f t="shared" si="193"/>
        <v>0</v>
      </c>
      <c r="B335" s="33">
        <v>308</v>
      </c>
      <c r="C335" s="15">
        <f t="shared" si="194"/>
        <v>20.081305947392778</v>
      </c>
      <c r="D335" s="75">
        <f>C335*(1-PARAM!$C$27)*$I$3+(MOD($B335,60)=PARAM!$B$56)*($B335&gt;(60-PARAM!$B$56))*HLOOKUP(($B335+PARAM!$B$56)/12,Loyalty,2)*$F$1*MAX(F334,0)</f>
        <v>16.808053077967756</v>
      </c>
      <c r="E335" s="75">
        <f>PARAM!$C$26+MAX($G$3-CHOOSE(PARAM!$B$44,MAX(0,F334*$F$1),0),0)*RATES!$L311/12+$H$3*(PARAM!$D$51/12)*RATES!$N311/100</f>
        <v>31.625</v>
      </c>
      <c r="F335" s="16">
        <f t="shared" si="195"/>
        <v>-223.41984338966574</v>
      </c>
      <c r="G335" s="15">
        <f t="shared" si="196"/>
        <v>22.035289406060361</v>
      </c>
      <c r="H335" s="75">
        <f>G335*(1-PARAM!$C$27)*$I$4+(MOD($B335,60)=PARAM!$B$56)*($B335&gt;(60-PARAM!$B$56))*HLOOKUP(($B335+PARAM!$B$56)/12,Loyalty,2)*$F$1*MAX(J334,0)</f>
        <v>18.443537232872522</v>
      </c>
      <c r="I335" s="75">
        <f>PARAM!$C$26+MAX($G$4-CHOOSE(PARAM!$B$44,MAX(0,J334*$F$1),0),0)*RATES!$L311/12+$H$4*(PARAM!$D$51/12)*RATES!$N311/100</f>
        <v>31.45185712372346</v>
      </c>
      <c r="J335" s="16">
        <f t="shared" si="197"/>
        <v>312.14262147353696</v>
      </c>
      <c r="K335" s="15">
        <f t="shared" si="198"/>
        <v>22.170849845882874</v>
      </c>
      <c r="L335" s="75">
        <f>K335*(1-PARAM!$C$27)*$I$5+(MOD($B335,60)=PARAM!$B$56)*($B335&gt;(60-PARAM!$B$56))*HLOOKUP(($B335+PARAM!$B$56)/12,Loyalty,2)*$F$1*MAX(N334,0)</f>
        <v>18.557001321003963</v>
      </c>
      <c r="M335" s="75">
        <f>PARAM!$C$26+MAX($G$5-CHOOSE(PARAM!$B$44,MAX(0,N334*$F$1),0),0)*RATES!$L311/12+$H$5*(PARAM!$D$51/12)*RATES!$N311/100</f>
        <v>31.431980625793276</v>
      </c>
      <c r="N335" s="16">
        <f t="shared" si="199"/>
        <v>349.60271873600436</v>
      </c>
      <c r="O335" s="15">
        <f t="shared" si="200"/>
        <v>22.170849845882874</v>
      </c>
      <c r="P335" s="75">
        <f>O335*(1-PARAM!$C$27)*$I$6+(MOD($B335,60)=PARAM!$B$56)*($B335&gt;(60-PARAM!$B$56))*HLOOKUP(($B335+PARAM!$B$56)/12,Loyalty,2)*$F$1*MAX(R334,0)</f>
        <v>18.557001321003963</v>
      </c>
      <c r="Q335" s="75">
        <f>PARAM!$C$26+MAX($G$6-CHOOSE(PARAM!$B$44,MAX(0,R334*$F$1),0),0)*RATES!$L311/12+$H$6*(PARAM!$D$51/12)*RATES!$N311/100</f>
        <v>31.431980625793276</v>
      </c>
      <c r="R335" s="16">
        <f t="shared" si="201"/>
        <v>349.60271873600436</v>
      </c>
      <c r="S335" s="15">
        <f t="shared" si="176"/>
        <v>22.170849845882874</v>
      </c>
      <c r="T335" s="75">
        <f>S335*(1-PARAM!$C$27)*$I$7+(MOD($B335,60)=PARAM!$B$56)*($B335&gt;(60-PARAM!$B$56))*HLOOKUP(($B335+PARAM!$B$56)/12,Loyalty,2)*$F$1*MAX(V334,0)</f>
        <v>18.557001321003963</v>
      </c>
      <c r="U335" s="75">
        <f>PARAM!$C$26+MAX($G$7-CHOOSE(PARAM!$B$44,MAX(0,V334*$F$1),0),0)*RATES!$L311/12+$H$7*(PARAM!$D$51/12)*RATES!$N311/100</f>
        <v>31.431980625793276</v>
      </c>
      <c r="V335" s="16">
        <f t="shared" si="202"/>
        <v>349.60271873600436</v>
      </c>
      <c r="W335" s="15">
        <f t="shared" si="177"/>
        <v>22.170849845882874</v>
      </c>
      <c r="X335" s="75">
        <f>W335*(1-PARAM!$C$27)*$I$8+(MOD($B335,60)=PARAM!$B$56)*($B335&gt;(60-PARAM!$B$56))*HLOOKUP(($B335+PARAM!$B$56)/12,Loyalty,2)*$F$1*MAX(Z334,0)</f>
        <v>18.557001321003963</v>
      </c>
      <c r="Y335" s="75">
        <f>PARAM!$C$26+MAX($G$8-CHOOSE(PARAM!$B$44,MAX(0,Z334*$F$1),0),0)*RATES!$L311/12+$H$8*(PARAM!$D$51/12)*RATES!$N311/100</f>
        <v>31.431980625793276</v>
      </c>
      <c r="Z335" s="16">
        <f t="shared" si="203"/>
        <v>349.60271873600436</v>
      </c>
      <c r="AA335" s="15">
        <f t="shared" si="178"/>
        <v>22.170849845882874</v>
      </c>
      <c r="AB335" s="75">
        <f>AA335*(1-PARAM!$C$27)*$I$9+(MOD($B335,60)=PARAM!$B$56)*($B335&gt;(60-PARAM!$B$56))*HLOOKUP(($B335+PARAM!$B$56)/12,Loyalty,2)*$F$1*MAX(AD334,0)</f>
        <v>18.557001321003963</v>
      </c>
      <c r="AC335" s="75">
        <f>PARAM!$C$26+MAX($G$9-CHOOSE(PARAM!$B$44,MAX(0,AD334*$F$1),0),0)*RATES!$L311/12+$H$9*(PARAM!$D$51/12)*RATES!$N311/100</f>
        <v>31.431980625793276</v>
      </c>
      <c r="AD335" s="16">
        <f t="shared" si="204"/>
        <v>349.60271873600436</v>
      </c>
      <c r="AE335" s="15">
        <f t="shared" si="179"/>
        <v>22.170849845882874</v>
      </c>
      <c r="AF335" s="75">
        <f>AE335*(1-PARAM!$C$27)*$I$10+(MOD($B335,60)=PARAM!$B$56)*($B335&gt;(60-PARAM!$B$56))*HLOOKUP(($B335+PARAM!$B$56)/12,Loyalty,2)*$F$1*MAX(AH334,0)</f>
        <v>18.557001321003963</v>
      </c>
      <c r="AG335" s="75">
        <f>PARAM!$C$26+MAX($G$10-CHOOSE(PARAM!$B$44,MAX(0,AH334*$F$1),0),0)*RATES!$L311/12+$H$10*(PARAM!$D$51/12)*RATES!$N311/100</f>
        <v>31.431980625793276</v>
      </c>
      <c r="AH335" s="16">
        <f t="shared" si="205"/>
        <v>349.60271873600436</v>
      </c>
      <c r="AI335" s="15">
        <f t="shared" si="180"/>
        <v>22.170849845882874</v>
      </c>
      <c r="AJ335" s="75">
        <f>AI335*(1-PARAM!$C$27)*$I$11+(MOD($B335,60)=PARAM!$B$56)*($B335&gt;(60-PARAM!$B$56))*HLOOKUP(($B335+PARAM!$B$56)/12,Loyalty,2)*$F$1*MAX(AL334,0)</f>
        <v>18.557001321003963</v>
      </c>
      <c r="AK335" s="75">
        <f>PARAM!$C$26+MAX($G$11-CHOOSE(PARAM!$B$44,MAX(0,AL334*$F$1),0),0)*RATES!$L311/12+$H$11*(PARAM!$D$51/12)*RATES!$N311/100</f>
        <v>31.431980625793276</v>
      </c>
      <c r="AL335" s="16">
        <f t="shared" si="206"/>
        <v>349.60271873600436</v>
      </c>
      <c r="AM335" s="15">
        <f t="shared" si="181"/>
        <v>22.170849845882874</v>
      </c>
      <c r="AN335" s="75">
        <f>AM335*(1-PARAM!$C$27)*$I$12+(MOD($B335,60)=PARAM!$B$56)*($B335&gt;(60-PARAM!$B$56))*HLOOKUP(($B335+PARAM!$B$56)/12,Loyalty,2)*$F$1*MAX(AP334,0)</f>
        <v>18.557001321003963</v>
      </c>
      <c r="AO335" s="75">
        <f>PARAM!$C$26+MAX($G$12-CHOOSE(PARAM!$B$44,MAX(0,AP334*$F$1),0),0)*RATES!$L311/12+$H$12*(PARAM!$D$51/12)*RATES!$N311/100</f>
        <v>31.431980625793276</v>
      </c>
      <c r="AP335" s="16">
        <f t="shared" si="207"/>
        <v>349.60271873600436</v>
      </c>
      <c r="AQ335" s="15">
        <f t="shared" si="182"/>
        <v>22.170849845882874</v>
      </c>
      <c r="AR335" s="75">
        <f>AQ335*(1-PARAM!$C$27)*$I$13+(MOD($B335,60)=PARAM!$B$56)*($B335&gt;(60-PARAM!$B$56))*HLOOKUP(($B335+PARAM!$B$56)/12,Loyalty,2)*$F$1*MAX(AT334,0)</f>
        <v>18.557001321003963</v>
      </c>
      <c r="AS335" s="75">
        <f>PARAM!$C$26+MAX($G$13-CHOOSE(PARAM!$B$44,MAX(0,AT334*$F$1),0),0)*RATES!$L311/12+$H$13*(PARAM!$D$51/12)*RATES!$N311/100</f>
        <v>31.431980625793276</v>
      </c>
      <c r="AT335" s="16">
        <f t="shared" si="208"/>
        <v>349.60271873600436</v>
      </c>
      <c r="AU335" s="15">
        <f t="shared" si="183"/>
        <v>22.170849845882874</v>
      </c>
      <c r="AV335" s="75">
        <f>AU335*(1-PARAM!$C$27)*$I$14+(MOD($B335,60)=PARAM!$B$56)*($B335&gt;(60-PARAM!$B$56))*HLOOKUP(($B335+PARAM!$B$56)/12,Loyalty,2)*$F$1*MAX(AX334,0)</f>
        <v>18.557001321003963</v>
      </c>
      <c r="AW335" s="75">
        <f>PARAM!$C$26+MAX($G$14-CHOOSE(PARAM!$B$44,MAX(0,AX334*$F$1),0),0)*RATES!$L311/12+$H$14*(PARAM!$D$51/12)*RATES!$N311/100</f>
        <v>31.431980625793276</v>
      </c>
      <c r="AX335" s="16">
        <f t="shared" si="209"/>
        <v>349.60271873600436</v>
      </c>
      <c r="AY335" s="15">
        <f t="shared" si="184"/>
        <v>22.170849845882874</v>
      </c>
      <c r="AZ335" s="75">
        <f>AY335*(1-PARAM!$C$27)*$I$15+(MOD($B335,60)=PARAM!$B$56)*($B335&gt;(60-PARAM!$B$56))*HLOOKUP(($B335+PARAM!$B$56)/12,Loyalty,2)*$F$1*MAX(BB334,0)</f>
        <v>18.557001321003963</v>
      </c>
      <c r="BA335" s="75">
        <f>PARAM!$C$26+MAX($G$15-CHOOSE(PARAM!$B$44,MAX(0,BB334*$F$1),0),0)*RATES!$L311/12+$H$15*(PARAM!$D$51/12)*RATES!$N311/100</f>
        <v>31.431980625793276</v>
      </c>
      <c r="BB335" s="16">
        <f t="shared" si="210"/>
        <v>349.60271873600436</v>
      </c>
      <c r="BC335" s="15">
        <f t="shared" si="185"/>
        <v>22.170849845882874</v>
      </c>
      <c r="BD335" s="75">
        <f>BC335*(1-PARAM!$C$27)*$I$16+(MOD($B335,60)=PARAM!$B$56)*($B335&gt;(60-PARAM!$B$56))*HLOOKUP(($B335+PARAM!$B$56)/12,Loyalty,2)*$F$1*MAX(BF334,0)</f>
        <v>18.557001321003963</v>
      </c>
      <c r="BE335" s="75">
        <f>PARAM!$C$26+MAX($G$16-CHOOSE(PARAM!$B$44,MAX(0,BF334*$F$1),0),0)*RATES!$L311/12+$H$16*(PARAM!$D$51/12)*RATES!$N311/100</f>
        <v>31.431980625793276</v>
      </c>
      <c r="BF335" s="16">
        <f t="shared" si="211"/>
        <v>349.60271873600436</v>
      </c>
      <c r="BG335" s="15">
        <f t="shared" si="186"/>
        <v>22.170849845882874</v>
      </c>
      <c r="BH335" s="75">
        <f>BG335*(1-PARAM!$C$27)*$I$17+(MOD($B335,60)=PARAM!$B$56)*($B335&gt;(60-PARAM!$B$56))*HLOOKUP(($B335+PARAM!$B$56)/12,Loyalty,2)*$F$1*MAX(BJ334,0)</f>
        <v>18.557001321003963</v>
      </c>
      <c r="BI335" s="75">
        <f>PARAM!$C$26+MAX($G$17-CHOOSE(PARAM!$B$44,MAX(0,BJ334*$F$1),0),0)*RATES!$L311/12+$H$17*(PARAM!$D$51/12)*RATES!$N311/100</f>
        <v>31.431980625793276</v>
      </c>
      <c r="BJ335" s="16">
        <f t="shared" si="212"/>
        <v>349.60271873600436</v>
      </c>
      <c r="BK335" s="15">
        <f t="shared" si="187"/>
        <v>22.170849845882874</v>
      </c>
      <c r="BL335" s="75">
        <f>BK335*(1-PARAM!$C$27)*$I$18+(MOD($B335,60)=PARAM!$B$56)*($B335&gt;(60-PARAM!$B$56))*HLOOKUP(($B335+PARAM!$B$56)/12,Loyalty,2)*$F$1*MAX(BN334,0)</f>
        <v>18.557001321003963</v>
      </c>
      <c r="BM335" s="75">
        <f>PARAM!$C$26+MAX($G$18-CHOOSE(PARAM!$B$44,MAX(0,BN334*$F$1),0),0)*RATES!$L311/12+$H$18*(PARAM!$D$51/12)*RATES!$N311/100</f>
        <v>31.431980625793276</v>
      </c>
      <c r="BN335" s="16">
        <f t="shared" si="213"/>
        <v>349.60271873600436</v>
      </c>
      <c r="BO335" s="15">
        <f t="shared" si="188"/>
        <v>22.170849845882874</v>
      </c>
      <c r="BP335" s="75">
        <f>BO335*(1-PARAM!$C$27)*$I$19+(MOD($B335,60)=PARAM!$B$56)*($B335&gt;(60-PARAM!$B$56))*HLOOKUP(($B335+PARAM!$B$56)/12,Loyalty,2)*$F$1*MAX(BR334,0)</f>
        <v>18.557001321003963</v>
      </c>
      <c r="BQ335" s="75">
        <f>PARAM!$C$26+MAX($G$19-CHOOSE(PARAM!$B$44,MAX(0,BR334*$F$1),0),0)*RATES!$L311/12+$H$19*(PARAM!$D$51/12)*RATES!$N311/100</f>
        <v>31.431980625793276</v>
      </c>
      <c r="BR335" s="16">
        <f t="shared" si="214"/>
        <v>349.60271873600436</v>
      </c>
      <c r="BS335" s="15">
        <f t="shared" si="189"/>
        <v>22.170849845882874</v>
      </c>
      <c r="BT335" s="75">
        <f>BS335*(1-PARAM!$C$27)*$I$20+(MOD($B335,60)=PARAM!$B$56)*($B335&gt;(60-PARAM!$B$56))*HLOOKUP(($B335+PARAM!$B$56)/12,Loyalty,2)*$F$1*MAX(BV334,0)</f>
        <v>18.557001321003963</v>
      </c>
      <c r="BU335" s="75">
        <f>PARAM!$C$26+MAX($G$20-CHOOSE(PARAM!$B$44,MAX(0,BV334*$F$1),0),0)*RATES!$L311/12+$H$20*(PARAM!$D$51/12)*RATES!$N311/100</f>
        <v>31.431980625793276</v>
      </c>
      <c r="BV335" s="16">
        <f t="shared" si="215"/>
        <v>349.60271873600436</v>
      </c>
      <c r="BW335" s="15">
        <f t="shared" si="190"/>
        <v>22.170849845882874</v>
      </c>
      <c r="BX335" s="75">
        <f>BW335*(1-PARAM!$C$27)*$I$21+(MOD($B335,60)=PARAM!$B$56)*($B335&gt;(60-PARAM!$B$56))*HLOOKUP(($B335+PARAM!$B$56)/12,Loyalty,2)*$F$1*MAX(BZ334,0)</f>
        <v>18.557001321003963</v>
      </c>
      <c r="BY335" s="75">
        <f>PARAM!$C$26+MAX($G$21-CHOOSE(PARAM!$B$44,MAX(0,BZ334*$F$1),0),0)*RATES!$L311/12+$H$21*(PARAM!$D$51/12)*RATES!$N311/100</f>
        <v>31.431980625793276</v>
      </c>
      <c r="BZ335" s="16">
        <f t="shared" si="216"/>
        <v>349.60271873600436</v>
      </c>
      <c r="CA335" s="15">
        <f t="shared" si="191"/>
        <v>22.170849845882874</v>
      </c>
      <c r="CB335" s="75">
        <f>CA335*(1-PARAM!$C$27)*$I$22+(MOD($B335,60)=PARAM!$B$56)*($B335&gt;(60-PARAM!$B$56))*HLOOKUP(($B335+PARAM!$B$56)/12,Loyalty,2)*$F$1*MAX(CD334,0)</f>
        <v>18.557001321003963</v>
      </c>
      <c r="CC335" s="75">
        <f>PARAM!$C$26+MAX($G$22-CHOOSE(PARAM!$B$44,MAX(0,CD334*$F$1),0),0)*RATES!$L311/12+$H$22*(PARAM!$D$51/12)*RATES!$N311/100</f>
        <v>31.431980625793276</v>
      </c>
      <c r="CD335" s="16">
        <f t="shared" si="217"/>
        <v>349.60271873600436</v>
      </c>
      <c r="CE335" s="33">
        <f>IF(0=MOD(B335,12/PARAM!$D$51),1,0)</f>
        <v>1</v>
      </c>
      <c r="CF335" s="15">
        <f t="shared" si="192"/>
        <v>0</v>
      </c>
      <c r="CG335" s="75">
        <f>CF335*(1-PARAM!$C$27)*$R$3+(MOD($B335/12,5)=0)*($B335&gt;60)*HLOOKUP($B335/12,Loyalty,2)*$F$1*MAX(CI334,0)</f>
        <v>0</v>
      </c>
      <c r="CH335" s="75">
        <f>PARAM!$C$26+MAX($P$3-CHOOSE(PARAM!$B$44,MAX(0,CI334*$F$1),0),0)*RATES!$L311/12+$Q$3*(PARAM!$D$51/12)*RATES!$N311/100</f>
        <v>31.625</v>
      </c>
      <c r="CI335" s="16">
        <f>IF(CI334&gt;0,CI334*PARAM!$C$53,CI334)+CG335-CH335</f>
        <v>-5243.8749999999927</v>
      </c>
      <c r="CJ335" s="15">
        <f t="shared" si="218"/>
        <v>0</v>
      </c>
      <c r="CK335" s="75">
        <f>CJ335*(1-PARAM!$C$27)*$R$4+(MOD($B335/12,5)=0)*($B335&gt;60)*HLOOKUP($B335/12,Loyalty,2)*$F$1*MAX(CM334,0)</f>
        <v>0</v>
      </c>
      <c r="CL335" s="75">
        <f>PARAM!$C$26+MAX($P$4-CHOOSE(PARAM!$B$44,MAX(0,CM334*$F$1),0),0)*RATES!$L311/12+$Q$4*(PARAM!$D$51/12)*RATES!$N311/100</f>
        <v>31.625</v>
      </c>
      <c r="CM335" s="16">
        <f>IF(CM334&gt;0,CM334*PARAM!$C$53,CM334)+CK335-CL335</f>
        <v>-5243.8749999999927</v>
      </c>
      <c r="CO335" s="176"/>
    </row>
    <row r="336" spans="1:93" x14ac:dyDescent="0.2">
      <c r="A336" t="b">
        <f t="shared" si="193"/>
        <v>0</v>
      </c>
      <c r="B336" s="33">
        <v>309</v>
      </c>
      <c r="C336" s="15">
        <f t="shared" si="194"/>
        <v>20.081305947392778</v>
      </c>
      <c r="D336" s="75">
        <f>C336*(1-PARAM!$C$27)*$I$3+(MOD($B336,60)=PARAM!$B$56)*($B336&gt;(60-PARAM!$B$56))*HLOOKUP(($B336+PARAM!$B$56)/12,Loyalty,2)*$F$1*MAX(F335,0)</f>
        <v>16.808053077967756</v>
      </c>
      <c r="E336" s="75">
        <f>PARAM!$C$26+MAX($G$3-CHOOSE(PARAM!$B$44,MAX(0,F335*$F$1),0),0)*RATES!$L312/12+$H$3*(PARAM!$D$51/12)*RATES!$N312/100</f>
        <v>31.625</v>
      </c>
      <c r="F336" s="16">
        <f t="shared" si="195"/>
        <v>-238.23679031169797</v>
      </c>
      <c r="G336" s="15">
        <f t="shared" si="196"/>
        <v>22.035289406060361</v>
      </c>
      <c r="H336" s="75">
        <f>G336*(1-PARAM!$C$27)*$I$4+(MOD($B336,60)=PARAM!$B$56)*($B336&gt;(60-PARAM!$B$56))*HLOOKUP(($B336+PARAM!$B$56)/12,Loyalty,2)*$F$1*MAX(J335,0)</f>
        <v>18.443537232872522</v>
      </c>
      <c r="I336" s="75">
        <f>PARAM!$C$26+MAX($G$4-CHOOSE(PARAM!$B$44,MAX(0,J335*$F$1),0),0)*RATES!$L312/12+$H$4*(PARAM!$D$51/12)*RATES!$N312/100</f>
        <v>31.458784054065337</v>
      </c>
      <c r="J336" s="16">
        <f t="shared" si="197"/>
        <v>299.12737465234414</v>
      </c>
      <c r="K336" s="15">
        <f t="shared" si="198"/>
        <v>22.170849845882874</v>
      </c>
      <c r="L336" s="75">
        <f>K336*(1-PARAM!$C$27)*$I$5+(MOD($B336,60)=PARAM!$B$56)*($B336&gt;(60-PARAM!$B$56))*HLOOKUP(($B336+PARAM!$B$56)/12,Loyalty,2)*$F$1*MAX(N335,0)</f>
        <v>18.557001321003963</v>
      </c>
      <c r="M336" s="75">
        <f>PARAM!$C$26+MAX($G$5-CHOOSE(PARAM!$B$44,MAX(0,N335*$F$1),0),0)*RATES!$L312/12+$H$5*(PARAM!$D$51/12)*RATES!$N312/100</f>
        <v>31.438836552273077</v>
      </c>
      <c r="N336" s="16">
        <f t="shared" si="199"/>
        <v>336.72088350473524</v>
      </c>
      <c r="O336" s="15">
        <f t="shared" si="200"/>
        <v>22.170849845882874</v>
      </c>
      <c r="P336" s="75">
        <f>O336*(1-PARAM!$C$27)*$I$6+(MOD($B336,60)=PARAM!$B$56)*($B336&gt;(60-PARAM!$B$56))*HLOOKUP(($B336+PARAM!$B$56)/12,Loyalty,2)*$F$1*MAX(R335,0)</f>
        <v>18.557001321003963</v>
      </c>
      <c r="Q336" s="75">
        <f>PARAM!$C$26+MAX($G$6-CHOOSE(PARAM!$B$44,MAX(0,R335*$F$1),0),0)*RATES!$L312/12+$H$6*(PARAM!$D$51/12)*RATES!$N312/100</f>
        <v>31.438836552273077</v>
      </c>
      <c r="R336" s="16">
        <f t="shared" si="201"/>
        <v>336.72088350473524</v>
      </c>
      <c r="S336" s="15">
        <f t="shared" si="176"/>
        <v>22.170849845882874</v>
      </c>
      <c r="T336" s="75">
        <f>S336*(1-PARAM!$C$27)*$I$7+(MOD($B336,60)=PARAM!$B$56)*($B336&gt;(60-PARAM!$B$56))*HLOOKUP(($B336+PARAM!$B$56)/12,Loyalty,2)*$F$1*MAX(V335,0)</f>
        <v>18.557001321003963</v>
      </c>
      <c r="U336" s="75">
        <f>PARAM!$C$26+MAX($G$7-CHOOSE(PARAM!$B$44,MAX(0,V335*$F$1),0),0)*RATES!$L312/12+$H$7*(PARAM!$D$51/12)*RATES!$N312/100</f>
        <v>31.438836552273077</v>
      </c>
      <c r="V336" s="16">
        <f t="shared" si="202"/>
        <v>336.72088350473524</v>
      </c>
      <c r="W336" s="15">
        <f t="shared" si="177"/>
        <v>22.170849845882874</v>
      </c>
      <c r="X336" s="75">
        <f>W336*(1-PARAM!$C$27)*$I$8+(MOD($B336,60)=PARAM!$B$56)*($B336&gt;(60-PARAM!$B$56))*HLOOKUP(($B336+PARAM!$B$56)/12,Loyalty,2)*$F$1*MAX(Z335,0)</f>
        <v>18.557001321003963</v>
      </c>
      <c r="Y336" s="75">
        <f>PARAM!$C$26+MAX($G$8-CHOOSE(PARAM!$B$44,MAX(0,Z335*$F$1),0),0)*RATES!$L312/12+$H$8*(PARAM!$D$51/12)*RATES!$N312/100</f>
        <v>31.438836552273077</v>
      </c>
      <c r="Z336" s="16">
        <f t="shared" si="203"/>
        <v>336.72088350473524</v>
      </c>
      <c r="AA336" s="15">
        <f t="shared" si="178"/>
        <v>22.170849845882874</v>
      </c>
      <c r="AB336" s="75">
        <f>AA336*(1-PARAM!$C$27)*$I$9+(MOD($B336,60)=PARAM!$B$56)*($B336&gt;(60-PARAM!$B$56))*HLOOKUP(($B336+PARAM!$B$56)/12,Loyalty,2)*$F$1*MAX(AD335,0)</f>
        <v>18.557001321003963</v>
      </c>
      <c r="AC336" s="75">
        <f>PARAM!$C$26+MAX($G$9-CHOOSE(PARAM!$B$44,MAX(0,AD335*$F$1),0),0)*RATES!$L312/12+$H$9*(PARAM!$D$51/12)*RATES!$N312/100</f>
        <v>31.438836552273077</v>
      </c>
      <c r="AD336" s="16">
        <f t="shared" si="204"/>
        <v>336.72088350473524</v>
      </c>
      <c r="AE336" s="15">
        <f t="shared" si="179"/>
        <v>22.170849845882874</v>
      </c>
      <c r="AF336" s="75">
        <f>AE336*(1-PARAM!$C$27)*$I$10+(MOD($B336,60)=PARAM!$B$56)*($B336&gt;(60-PARAM!$B$56))*HLOOKUP(($B336+PARAM!$B$56)/12,Loyalty,2)*$F$1*MAX(AH335,0)</f>
        <v>18.557001321003963</v>
      </c>
      <c r="AG336" s="75">
        <f>PARAM!$C$26+MAX($G$10-CHOOSE(PARAM!$B$44,MAX(0,AH335*$F$1),0),0)*RATES!$L312/12+$H$10*(PARAM!$D$51/12)*RATES!$N312/100</f>
        <v>31.438836552273077</v>
      </c>
      <c r="AH336" s="16">
        <f t="shared" si="205"/>
        <v>336.72088350473524</v>
      </c>
      <c r="AI336" s="15">
        <f t="shared" si="180"/>
        <v>22.170849845882874</v>
      </c>
      <c r="AJ336" s="75">
        <f>AI336*(1-PARAM!$C$27)*$I$11+(MOD($B336,60)=PARAM!$B$56)*($B336&gt;(60-PARAM!$B$56))*HLOOKUP(($B336+PARAM!$B$56)/12,Loyalty,2)*$F$1*MAX(AL335,0)</f>
        <v>18.557001321003963</v>
      </c>
      <c r="AK336" s="75">
        <f>PARAM!$C$26+MAX($G$11-CHOOSE(PARAM!$B$44,MAX(0,AL335*$F$1),0),0)*RATES!$L312/12+$H$11*(PARAM!$D$51/12)*RATES!$N312/100</f>
        <v>31.438836552273077</v>
      </c>
      <c r="AL336" s="16">
        <f t="shared" si="206"/>
        <v>336.72088350473524</v>
      </c>
      <c r="AM336" s="15">
        <f t="shared" si="181"/>
        <v>22.170849845882874</v>
      </c>
      <c r="AN336" s="75">
        <f>AM336*(1-PARAM!$C$27)*$I$12+(MOD($B336,60)=PARAM!$B$56)*($B336&gt;(60-PARAM!$B$56))*HLOOKUP(($B336+PARAM!$B$56)/12,Loyalty,2)*$F$1*MAX(AP335,0)</f>
        <v>18.557001321003963</v>
      </c>
      <c r="AO336" s="75">
        <f>PARAM!$C$26+MAX($G$12-CHOOSE(PARAM!$B$44,MAX(0,AP335*$F$1),0),0)*RATES!$L312/12+$H$12*(PARAM!$D$51/12)*RATES!$N312/100</f>
        <v>31.438836552273077</v>
      </c>
      <c r="AP336" s="16">
        <f t="shared" si="207"/>
        <v>336.72088350473524</v>
      </c>
      <c r="AQ336" s="15">
        <f t="shared" si="182"/>
        <v>22.170849845882874</v>
      </c>
      <c r="AR336" s="75">
        <f>AQ336*(1-PARAM!$C$27)*$I$13+(MOD($B336,60)=PARAM!$B$56)*($B336&gt;(60-PARAM!$B$56))*HLOOKUP(($B336+PARAM!$B$56)/12,Loyalty,2)*$F$1*MAX(AT335,0)</f>
        <v>18.557001321003963</v>
      </c>
      <c r="AS336" s="75">
        <f>PARAM!$C$26+MAX($G$13-CHOOSE(PARAM!$B$44,MAX(0,AT335*$F$1),0),0)*RATES!$L312/12+$H$13*(PARAM!$D$51/12)*RATES!$N312/100</f>
        <v>31.438836552273077</v>
      </c>
      <c r="AT336" s="16">
        <f t="shared" si="208"/>
        <v>336.72088350473524</v>
      </c>
      <c r="AU336" s="15">
        <f t="shared" si="183"/>
        <v>22.170849845882874</v>
      </c>
      <c r="AV336" s="75">
        <f>AU336*(1-PARAM!$C$27)*$I$14+(MOD($B336,60)=PARAM!$B$56)*($B336&gt;(60-PARAM!$B$56))*HLOOKUP(($B336+PARAM!$B$56)/12,Loyalty,2)*$F$1*MAX(AX335,0)</f>
        <v>18.557001321003963</v>
      </c>
      <c r="AW336" s="75">
        <f>PARAM!$C$26+MAX($G$14-CHOOSE(PARAM!$B$44,MAX(0,AX335*$F$1),0),0)*RATES!$L312/12+$H$14*(PARAM!$D$51/12)*RATES!$N312/100</f>
        <v>31.438836552273077</v>
      </c>
      <c r="AX336" s="16">
        <f t="shared" si="209"/>
        <v>336.72088350473524</v>
      </c>
      <c r="AY336" s="15">
        <f t="shared" si="184"/>
        <v>22.170849845882874</v>
      </c>
      <c r="AZ336" s="75">
        <f>AY336*(1-PARAM!$C$27)*$I$15+(MOD($B336,60)=PARAM!$B$56)*($B336&gt;(60-PARAM!$B$56))*HLOOKUP(($B336+PARAM!$B$56)/12,Loyalty,2)*$F$1*MAX(BB335,0)</f>
        <v>18.557001321003963</v>
      </c>
      <c r="BA336" s="75">
        <f>PARAM!$C$26+MAX($G$15-CHOOSE(PARAM!$B$44,MAX(0,BB335*$F$1),0),0)*RATES!$L312/12+$H$15*(PARAM!$D$51/12)*RATES!$N312/100</f>
        <v>31.438836552273077</v>
      </c>
      <c r="BB336" s="16">
        <f t="shared" si="210"/>
        <v>336.72088350473524</v>
      </c>
      <c r="BC336" s="15">
        <f t="shared" si="185"/>
        <v>22.170849845882874</v>
      </c>
      <c r="BD336" s="75">
        <f>BC336*(1-PARAM!$C$27)*$I$16+(MOD($B336,60)=PARAM!$B$56)*($B336&gt;(60-PARAM!$B$56))*HLOOKUP(($B336+PARAM!$B$56)/12,Loyalty,2)*$F$1*MAX(BF335,0)</f>
        <v>18.557001321003963</v>
      </c>
      <c r="BE336" s="75">
        <f>PARAM!$C$26+MAX($G$16-CHOOSE(PARAM!$B$44,MAX(0,BF335*$F$1),0),0)*RATES!$L312/12+$H$16*(PARAM!$D$51/12)*RATES!$N312/100</f>
        <v>31.438836552273077</v>
      </c>
      <c r="BF336" s="16">
        <f t="shared" si="211"/>
        <v>336.72088350473524</v>
      </c>
      <c r="BG336" s="15">
        <f t="shared" si="186"/>
        <v>22.170849845882874</v>
      </c>
      <c r="BH336" s="75">
        <f>BG336*(1-PARAM!$C$27)*$I$17+(MOD($B336,60)=PARAM!$B$56)*($B336&gt;(60-PARAM!$B$56))*HLOOKUP(($B336+PARAM!$B$56)/12,Loyalty,2)*$F$1*MAX(BJ335,0)</f>
        <v>18.557001321003963</v>
      </c>
      <c r="BI336" s="75">
        <f>PARAM!$C$26+MAX($G$17-CHOOSE(PARAM!$B$44,MAX(0,BJ335*$F$1),0),0)*RATES!$L312/12+$H$17*(PARAM!$D$51/12)*RATES!$N312/100</f>
        <v>31.438836552273077</v>
      </c>
      <c r="BJ336" s="16">
        <f t="shared" si="212"/>
        <v>336.72088350473524</v>
      </c>
      <c r="BK336" s="15">
        <f t="shared" si="187"/>
        <v>22.170849845882874</v>
      </c>
      <c r="BL336" s="75">
        <f>BK336*(1-PARAM!$C$27)*$I$18+(MOD($B336,60)=PARAM!$B$56)*($B336&gt;(60-PARAM!$B$56))*HLOOKUP(($B336+PARAM!$B$56)/12,Loyalty,2)*$F$1*MAX(BN335,0)</f>
        <v>18.557001321003963</v>
      </c>
      <c r="BM336" s="75">
        <f>PARAM!$C$26+MAX($G$18-CHOOSE(PARAM!$B$44,MAX(0,BN335*$F$1),0),0)*RATES!$L312/12+$H$18*(PARAM!$D$51/12)*RATES!$N312/100</f>
        <v>31.438836552273077</v>
      </c>
      <c r="BN336" s="16">
        <f t="shared" si="213"/>
        <v>336.72088350473524</v>
      </c>
      <c r="BO336" s="15">
        <f t="shared" si="188"/>
        <v>22.170849845882874</v>
      </c>
      <c r="BP336" s="75">
        <f>BO336*(1-PARAM!$C$27)*$I$19+(MOD($B336,60)=PARAM!$B$56)*($B336&gt;(60-PARAM!$B$56))*HLOOKUP(($B336+PARAM!$B$56)/12,Loyalty,2)*$F$1*MAX(BR335,0)</f>
        <v>18.557001321003963</v>
      </c>
      <c r="BQ336" s="75">
        <f>PARAM!$C$26+MAX($G$19-CHOOSE(PARAM!$B$44,MAX(0,BR335*$F$1),0),0)*RATES!$L312/12+$H$19*(PARAM!$D$51/12)*RATES!$N312/100</f>
        <v>31.438836552273077</v>
      </c>
      <c r="BR336" s="16">
        <f t="shared" si="214"/>
        <v>336.72088350473524</v>
      </c>
      <c r="BS336" s="15">
        <f t="shared" si="189"/>
        <v>22.170849845882874</v>
      </c>
      <c r="BT336" s="75">
        <f>BS336*(1-PARAM!$C$27)*$I$20+(MOD($B336,60)=PARAM!$B$56)*($B336&gt;(60-PARAM!$B$56))*HLOOKUP(($B336+PARAM!$B$56)/12,Loyalty,2)*$F$1*MAX(BV335,0)</f>
        <v>18.557001321003963</v>
      </c>
      <c r="BU336" s="75">
        <f>PARAM!$C$26+MAX($G$20-CHOOSE(PARAM!$B$44,MAX(0,BV335*$F$1),0),0)*RATES!$L312/12+$H$20*(PARAM!$D$51/12)*RATES!$N312/100</f>
        <v>31.438836552273077</v>
      </c>
      <c r="BV336" s="16">
        <f t="shared" si="215"/>
        <v>336.72088350473524</v>
      </c>
      <c r="BW336" s="15">
        <f t="shared" si="190"/>
        <v>22.170849845882874</v>
      </c>
      <c r="BX336" s="75">
        <f>BW336*(1-PARAM!$C$27)*$I$21+(MOD($B336,60)=PARAM!$B$56)*($B336&gt;(60-PARAM!$B$56))*HLOOKUP(($B336+PARAM!$B$56)/12,Loyalty,2)*$F$1*MAX(BZ335,0)</f>
        <v>18.557001321003963</v>
      </c>
      <c r="BY336" s="75">
        <f>PARAM!$C$26+MAX($G$21-CHOOSE(PARAM!$B$44,MAX(0,BZ335*$F$1),0),0)*RATES!$L312/12+$H$21*(PARAM!$D$51/12)*RATES!$N312/100</f>
        <v>31.438836552273077</v>
      </c>
      <c r="BZ336" s="16">
        <f t="shared" si="216"/>
        <v>336.72088350473524</v>
      </c>
      <c r="CA336" s="15">
        <f t="shared" si="191"/>
        <v>22.170849845882874</v>
      </c>
      <c r="CB336" s="75">
        <f>CA336*(1-PARAM!$C$27)*$I$22+(MOD($B336,60)=PARAM!$B$56)*($B336&gt;(60-PARAM!$B$56))*HLOOKUP(($B336+PARAM!$B$56)/12,Loyalty,2)*$F$1*MAX(CD335,0)</f>
        <v>18.557001321003963</v>
      </c>
      <c r="CC336" s="75">
        <f>PARAM!$C$26+MAX($G$22-CHOOSE(PARAM!$B$44,MAX(0,CD335*$F$1),0),0)*RATES!$L312/12+$H$22*(PARAM!$D$51/12)*RATES!$N312/100</f>
        <v>31.438836552273077</v>
      </c>
      <c r="CD336" s="16">
        <f t="shared" si="217"/>
        <v>336.72088350473524</v>
      </c>
      <c r="CE336" s="33">
        <f>IF(0=MOD(B336,12/PARAM!$D$51),1,0)</f>
        <v>1</v>
      </c>
      <c r="CF336" s="15">
        <f t="shared" si="192"/>
        <v>0</v>
      </c>
      <c r="CG336" s="75">
        <f>CF336*(1-PARAM!$C$27)*$R$3+(MOD($B336/12,5)=0)*($B336&gt;60)*HLOOKUP($B336/12,Loyalty,2)*$F$1*MAX(CI335,0)</f>
        <v>0</v>
      </c>
      <c r="CH336" s="75">
        <f>PARAM!$C$26+MAX($P$3-CHOOSE(PARAM!$B$44,MAX(0,CI335*$F$1),0),0)*RATES!$L312/12+$Q$3*(PARAM!$D$51/12)*RATES!$N312/100</f>
        <v>31.625</v>
      </c>
      <c r="CI336" s="16">
        <f>IF(CI335&gt;0,CI335*PARAM!$C$53,CI335)+CG336-CH336</f>
        <v>-5275.4999999999927</v>
      </c>
      <c r="CJ336" s="15">
        <f t="shared" si="218"/>
        <v>0</v>
      </c>
      <c r="CK336" s="75">
        <f>CJ336*(1-PARAM!$C$27)*$R$4+(MOD($B336/12,5)=0)*($B336&gt;60)*HLOOKUP($B336/12,Loyalty,2)*$F$1*MAX(CM335,0)</f>
        <v>0</v>
      </c>
      <c r="CL336" s="75">
        <f>PARAM!$C$26+MAX($P$4-CHOOSE(PARAM!$B$44,MAX(0,CM335*$F$1),0),0)*RATES!$L312/12+$Q$4*(PARAM!$D$51/12)*RATES!$N312/100</f>
        <v>31.625</v>
      </c>
      <c r="CM336" s="16">
        <f>IF(CM335&gt;0,CM335*PARAM!$C$53,CM335)+CK336-CL336</f>
        <v>-5275.4999999999927</v>
      </c>
      <c r="CO336" s="176"/>
    </row>
    <row r="337" spans="1:93" x14ac:dyDescent="0.2">
      <c r="A337" t="b">
        <f t="shared" si="193"/>
        <v>0</v>
      </c>
      <c r="B337" s="33">
        <v>310</v>
      </c>
      <c r="C337" s="15">
        <f t="shared" si="194"/>
        <v>20.081305947392778</v>
      </c>
      <c r="D337" s="75">
        <f>C337*(1-PARAM!$C$27)*$I$3+(MOD($B337,60)=PARAM!$B$56)*($B337&gt;(60-PARAM!$B$56))*HLOOKUP(($B337+PARAM!$B$56)/12,Loyalty,2)*$F$1*MAX(F336,0)</f>
        <v>16.808053077967756</v>
      </c>
      <c r="E337" s="75">
        <f>PARAM!$C$26+MAX($G$3-CHOOSE(PARAM!$B$44,MAX(0,F336*$F$1),0),0)*RATES!$L313/12+$H$3*(PARAM!$D$51/12)*RATES!$N313/100</f>
        <v>31.625</v>
      </c>
      <c r="F337" s="16">
        <f t="shared" si="195"/>
        <v>-253.0537372337302</v>
      </c>
      <c r="G337" s="15">
        <f t="shared" si="196"/>
        <v>22.035289406060361</v>
      </c>
      <c r="H337" s="75">
        <f>G337*(1-PARAM!$C$27)*$I$4+(MOD($B337,60)=PARAM!$B$56)*($B337&gt;(60-PARAM!$B$56))*HLOOKUP(($B337+PARAM!$B$56)/12,Loyalty,2)*$F$1*MAX(J336,0)</f>
        <v>18.443537232872522</v>
      </c>
      <c r="I337" s="75">
        <f>PARAM!$C$26+MAX($G$4-CHOOSE(PARAM!$B$44,MAX(0,J336*$F$1),0),0)*RATES!$L313/12+$H$4*(PARAM!$D$51/12)*RATES!$N313/100</f>
        <v>31.465714672997624</v>
      </c>
      <c r="J337" s="16">
        <f t="shared" si="197"/>
        <v>286.10519721221903</v>
      </c>
      <c r="K337" s="15">
        <f t="shared" si="198"/>
        <v>22.170849845882874</v>
      </c>
      <c r="L337" s="75">
        <f>K337*(1-PARAM!$C$27)*$I$5+(MOD($B337,60)=PARAM!$B$56)*($B337&gt;(60-PARAM!$B$56))*HLOOKUP(($B337+PARAM!$B$56)/12,Loyalty,2)*$F$1*MAX(N336,0)</f>
        <v>18.557001321003963</v>
      </c>
      <c r="M337" s="75">
        <f>PARAM!$C$26+MAX($G$5-CHOOSE(PARAM!$B$44,MAX(0,N336*$F$1),0),0)*RATES!$L313/12+$H$5*(PARAM!$D$51/12)*RATES!$N313/100</f>
        <v>31.445696129533729</v>
      </c>
      <c r="N337" s="16">
        <f t="shared" si="199"/>
        <v>323.83218869620544</v>
      </c>
      <c r="O337" s="15">
        <f t="shared" si="200"/>
        <v>22.170849845882874</v>
      </c>
      <c r="P337" s="75">
        <f>O337*(1-PARAM!$C$27)*$I$6+(MOD($B337,60)=PARAM!$B$56)*($B337&gt;(60-PARAM!$B$56))*HLOOKUP(($B337+PARAM!$B$56)/12,Loyalty,2)*$F$1*MAX(R336,0)</f>
        <v>18.557001321003963</v>
      </c>
      <c r="Q337" s="75">
        <f>PARAM!$C$26+MAX($G$6-CHOOSE(PARAM!$B$44,MAX(0,R336*$F$1),0),0)*RATES!$L313/12+$H$6*(PARAM!$D$51/12)*RATES!$N313/100</f>
        <v>31.445696129533729</v>
      </c>
      <c r="R337" s="16">
        <f t="shared" si="201"/>
        <v>323.83218869620544</v>
      </c>
      <c r="S337" s="15">
        <f t="shared" si="176"/>
        <v>22.170849845882874</v>
      </c>
      <c r="T337" s="75">
        <f>S337*(1-PARAM!$C$27)*$I$7+(MOD($B337,60)=PARAM!$B$56)*($B337&gt;(60-PARAM!$B$56))*HLOOKUP(($B337+PARAM!$B$56)/12,Loyalty,2)*$F$1*MAX(V336,0)</f>
        <v>18.557001321003963</v>
      </c>
      <c r="U337" s="75">
        <f>PARAM!$C$26+MAX($G$7-CHOOSE(PARAM!$B$44,MAX(0,V336*$F$1),0),0)*RATES!$L313/12+$H$7*(PARAM!$D$51/12)*RATES!$N313/100</f>
        <v>31.445696129533729</v>
      </c>
      <c r="V337" s="16">
        <f t="shared" si="202"/>
        <v>323.83218869620544</v>
      </c>
      <c r="W337" s="15">
        <f t="shared" si="177"/>
        <v>22.170849845882874</v>
      </c>
      <c r="X337" s="75">
        <f>W337*(1-PARAM!$C$27)*$I$8+(MOD($B337,60)=PARAM!$B$56)*($B337&gt;(60-PARAM!$B$56))*HLOOKUP(($B337+PARAM!$B$56)/12,Loyalty,2)*$F$1*MAX(Z336,0)</f>
        <v>18.557001321003963</v>
      </c>
      <c r="Y337" s="75">
        <f>PARAM!$C$26+MAX($G$8-CHOOSE(PARAM!$B$44,MAX(0,Z336*$F$1),0),0)*RATES!$L313/12+$H$8*(PARAM!$D$51/12)*RATES!$N313/100</f>
        <v>31.445696129533729</v>
      </c>
      <c r="Z337" s="16">
        <f t="shared" si="203"/>
        <v>323.83218869620544</v>
      </c>
      <c r="AA337" s="15">
        <f t="shared" si="178"/>
        <v>22.170849845882874</v>
      </c>
      <c r="AB337" s="75">
        <f>AA337*(1-PARAM!$C$27)*$I$9+(MOD($B337,60)=PARAM!$B$56)*($B337&gt;(60-PARAM!$B$56))*HLOOKUP(($B337+PARAM!$B$56)/12,Loyalty,2)*$F$1*MAX(AD336,0)</f>
        <v>18.557001321003963</v>
      </c>
      <c r="AC337" s="75">
        <f>PARAM!$C$26+MAX($G$9-CHOOSE(PARAM!$B$44,MAX(0,AD336*$F$1),0),0)*RATES!$L313/12+$H$9*(PARAM!$D$51/12)*RATES!$N313/100</f>
        <v>31.445696129533729</v>
      </c>
      <c r="AD337" s="16">
        <f t="shared" si="204"/>
        <v>323.83218869620544</v>
      </c>
      <c r="AE337" s="15">
        <f t="shared" si="179"/>
        <v>22.170849845882874</v>
      </c>
      <c r="AF337" s="75">
        <f>AE337*(1-PARAM!$C$27)*$I$10+(MOD($B337,60)=PARAM!$B$56)*($B337&gt;(60-PARAM!$B$56))*HLOOKUP(($B337+PARAM!$B$56)/12,Loyalty,2)*$F$1*MAX(AH336,0)</f>
        <v>18.557001321003963</v>
      </c>
      <c r="AG337" s="75">
        <f>PARAM!$C$26+MAX($G$10-CHOOSE(PARAM!$B$44,MAX(0,AH336*$F$1),0),0)*RATES!$L313/12+$H$10*(PARAM!$D$51/12)*RATES!$N313/100</f>
        <v>31.445696129533729</v>
      </c>
      <c r="AH337" s="16">
        <f t="shared" si="205"/>
        <v>323.83218869620544</v>
      </c>
      <c r="AI337" s="15">
        <f t="shared" si="180"/>
        <v>22.170849845882874</v>
      </c>
      <c r="AJ337" s="75">
        <f>AI337*(1-PARAM!$C$27)*$I$11+(MOD($B337,60)=PARAM!$B$56)*($B337&gt;(60-PARAM!$B$56))*HLOOKUP(($B337+PARAM!$B$56)/12,Loyalty,2)*$F$1*MAX(AL336,0)</f>
        <v>18.557001321003963</v>
      </c>
      <c r="AK337" s="75">
        <f>PARAM!$C$26+MAX($G$11-CHOOSE(PARAM!$B$44,MAX(0,AL336*$F$1),0),0)*RATES!$L313/12+$H$11*(PARAM!$D$51/12)*RATES!$N313/100</f>
        <v>31.445696129533729</v>
      </c>
      <c r="AL337" s="16">
        <f t="shared" si="206"/>
        <v>323.83218869620544</v>
      </c>
      <c r="AM337" s="15">
        <f t="shared" si="181"/>
        <v>22.170849845882874</v>
      </c>
      <c r="AN337" s="75">
        <f>AM337*(1-PARAM!$C$27)*$I$12+(MOD($B337,60)=PARAM!$B$56)*($B337&gt;(60-PARAM!$B$56))*HLOOKUP(($B337+PARAM!$B$56)/12,Loyalty,2)*$F$1*MAX(AP336,0)</f>
        <v>18.557001321003963</v>
      </c>
      <c r="AO337" s="75">
        <f>PARAM!$C$26+MAX($G$12-CHOOSE(PARAM!$B$44,MAX(0,AP336*$F$1),0),0)*RATES!$L313/12+$H$12*(PARAM!$D$51/12)*RATES!$N313/100</f>
        <v>31.445696129533729</v>
      </c>
      <c r="AP337" s="16">
        <f t="shared" si="207"/>
        <v>323.83218869620544</v>
      </c>
      <c r="AQ337" s="15">
        <f t="shared" si="182"/>
        <v>22.170849845882874</v>
      </c>
      <c r="AR337" s="75">
        <f>AQ337*(1-PARAM!$C$27)*$I$13+(MOD($B337,60)=PARAM!$B$56)*($B337&gt;(60-PARAM!$B$56))*HLOOKUP(($B337+PARAM!$B$56)/12,Loyalty,2)*$F$1*MAX(AT336,0)</f>
        <v>18.557001321003963</v>
      </c>
      <c r="AS337" s="75">
        <f>PARAM!$C$26+MAX($G$13-CHOOSE(PARAM!$B$44,MAX(0,AT336*$F$1),0),0)*RATES!$L313/12+$H$13*(PARAM!$D$51/12)*RATES!$N313/100</f>
        <v>31.445696129533729</v>
      </c>
      <c r="AT337" s="16">
        <f t="shared" si="208"/>
        <v>323.83218869620544</v>
      </c>
      <c r="AU337" s="15">
        <f t="shared" si="183"/>
        <v>22.170849845882874</v>
      </c>
      <c r="AV337" s="75">
        <f>AU337*(1-PARAM!$C$27)*$I$14+(MOD($B337,60)=PARAM!$B$56)*($B337&gt;(60-PARAM!$B$56))*HLOOKUP(($B337+PARAM!$B$56)/12,Loyalty,2)*$F$1*MAX(AX336,0)</f>
        <v>18.557001321003963</v>
      </c>
      <c r="AW337" s="75">
        <f>PARAM!$C$26+MAX($G$14-CHOOSE(PARAM!$B$44,MAX(0,AX336*$F$1),0),0)*RATES!$L313/12+$H$14*(PARAM!$D$51/12)*RATES!$N313/100</f>
        <v>31.445696129533729</v>
      </c>
      <c r="AX337" s="16">
        <f t="shared" si="209"/>
        <v>323.83218869620544</v>
      </c>
      <c r="AY337" s="15">
        <f t="shared" si="184"/>
        <v>22.170849845882874</v>
      </c>
      <c r="AZ337" s="75">
        <f>AY337*(1-PARAM!$C$27)*$I$15+(MOD($B337,60)=PARAM!$B$56)*($B337&gt;(60-PARAM!$B$56))*HLOOKUP(($B337+PARAM!$B$56)/12,Loyalty,2)*$F$1*MAX(BB336,0)</f>
        <v>18.557001321003963</v>
      </c>
      <c r="BA337" s="75">
        <f>PARAM!$C$26+MAX($G$15-CHOOSE(PARAM!$B$44,MAX(0,BB336*$F$1),0),0)*RATES!$L313/12+$H$15*(PARAM!$D$51/12)*RATES!$N313/100</f>
        <v>31.445696129533729</v>
      </c>
      <c r="BB337" s="16">
        <f t="shared" si="210"/>
        <v>323.83218869620544</v>
      </c>
      <c r="BC337" s="15">
        <f t="shared" si="185"/>
        <v>22.170849845882874</v>
      </c>
      <c r="BD337" s="75">
        <f>BC337*(1-PARAM!$C$27)*$I$16+(MOD($B337,60)=PARAM!$B$56)*($B337&gt;(60-PARAM!$B$56))*HLOOKUP(($B337+PARAM!$B$56)/12,Loyalty,2)*$F$1*MAX(BF336,0)</f>
        <v>18.557001321003963</v>
      </c>
      <c r="BE337" s="75">
        <f>PARAM!$C$26+MAX($G$16-CHOOSE(PARAM!$B$44,MAX(0,BF336*$F$1),0),0)*RATES!$L313/12+$H$16*(PARAM!$D$51/12)*RATES!$N313/100</f>
        <v>31.445696129533729</v>
      </c>
      <c r="BF337" s="16">
        <f t="shared" si="211"/>
        <v>323.83218869620544</v>
      </c>
      <c r="BG337" s="15">
        <f t="shared" si="186"/>
        <v>22.170849845882874</v>
      </c>
      <c r="BH337" s="75">
        <f>BG337*(1-PARAM!$C$27)*$I$17+(MOD($B337,60)=PARAM!$B$56)*($B337&gt;(60-PARAM!$B$56))*HLOOKUP(($B337+PARAM!$B$56)/12,Loyalty,2)*$F$1*MAX(BJ336,0)</f>
        <v>18.557001321003963</v>
      </c>
      <c r="BI337" s="75">
        <f>PARAM!$C$26+MAX($G$17-CHOOSE(PARAM!$B$44,MAX(0,BJ336*$F$1),0),0)*RATES!$L313/12+$H$17*(PARAM!$D$51/12)*RATES!$N313/100</f>
        <v>31.445696129533729</v>
      </c>
      <c r="BJ337" s="16">
        <f t="shared" si="212"/>
        <v>323.83218869620544</v>
      </c>
      <c r="BK337" s="15">
        <f t="shared" si="187"/>
        <v>22.170849845882874</v>
      </c>
      <c r="BL337" s="75">
        <f>BK337*(1-PARAM!$C$27)*$I$18+(MOD($B337,60)=PARAM!$B$56)*($B337&gt;(60-PARAM!$B$56))*HLOOKUP(($B337+PARAM!$B$56)/12,Loyalty,2)*$F$1*MAX(BN336,0)</f>
        <v>18.557001321003963</v>
      </c>
      <c r="BM337" s="75">
        <f>PARAM!$C$26+MAX($G$18-CHOOSE(PARAM!$B$44,MAX(0,BN336*$F$1),0),0)*RATES!$L313/12+$H$18*(PARAM!$D$51/12)*RATES!$N313/100</f>
        <v>31.445696129533729</v>
      </c>
      <c r="BN337" s="16">
        <f t="shared" si="213"/>
        <v>323.83218869620544</v>
      </c>
      <c r="BO337" s="15">
        <f t="shared" si="188"/>
        <v>22.170849845882874</v>
      </c>
      <c r="BP337" s="75">
        <f>BO337*(1-PARAM!$C$27)*$I$19+(MOD($B337,60)=PARAM!$B$56)*($B337&gt;(60-PARAM!$B$56))*HLOOKUP(($B337+PARAM!$B$56)/12,Loyalty,2)*$F$1*MAX(BR336,0)</f>
        <v>18.557001321003963</v>
      </c>
      <c r="BQ337" s="75">
        <f>PARAM!$C$26+MAX($G$19-CHOOSE(PARAM!$B$44,MAX(0,BR336*$F$1),0),0)*RATES!$L313/12+$H$19*(PARAM!$D$51/12)*RATES!$N313/100</f>
        <v>31.445696129533729</v>
      </c>
      <c r="BR337" s="16">
        <f t="shared" si="214"/>
        <v>323.83218869620544</v>
      </c>
      <c r="BS337" s="15">
        <f t="shared" si="189"/>
        <v>22.170849845882874</v>
      </c>
      <c r="BT337" s="75">
        <f>BS337*(1-PARAM!$C$27)*$I$20+(MOD($B337,60)=PARAM!$B$56)*($B337&gt;(60-PARAM!$B$56))*HLOOKUP(($B337+PARAM!$B$56)/12,Loyalty,2)*$F$1*MAX(BV336,0)</f>
        <v>18.557001321003963</v>
      </c>
      <c r="BU337" s="75">
        <f>PARAM!$C$26+MAX($G$20-CHOOSE(PARAM!$B$44,MAX(0,BV336*$F$1),0),0)*RATES!$L313/12+$H$20*(PARAM!$D$51/12)*RATES!$N313/100</f>
        <v>31.445696129533729</v>
      </c>
      <c r="BV337" s="16">
        <f t="shared" si="215"/>
        <v>323.83218869620544</v>
      </c>
      <c r="BW337" s="15">
        <f t="shared" si="190"/>
        <v>22.170849845882874</v>
      </c>
      <c r="BX337" s="75">
        <f>BW337*(1-PARAM!$C$27)*$I$21+(MOD($B337,60)=PARAM!$B$56)*($B337&gt;(60-PARAM!$B$56))*HLOOKUP(($B337+PARAM!$B$56)/12,Loyalty,2)*$F$1*MAX(BZ336,0)</f>
        <v>18.557001321003963</v>
      </c>
      <c r="BY337" s="75">
        <f>PARAM!$C$26+MAX($G$21-CHOOSE(PARAM!$B$44,MAX(0,BZ336*$F$1),0),0)*RATES!$L313/12+$H$21*(PARAM!$D$51/12)*RATES!$N313/100</f>
        <v>31.445696129533729</v>
      </c>
      <c r="BZ337" s="16">
        <f t="shared" si="216"/>
        <v>323.83218869620544</v>
      </c>
      <c r="CA337" s="15">
        <f t="shared" si="191"/>
        <v>22.170849845882874</v>
      </c>
      <c r="CB337" s="75">
        <f>CA337*(1-PARAM!$C$27)*$I$22+(MOD($B337,60)=PARAM!$B$56)*($B337&gt;(60-PARAM!$B$56))*HLOOKUP(($B337+PARAM!$B$56)/12,Loyalty,2)*$F$1*MAX(CD336,0)</f>
        <v>18.557001321003963</v>
      </c>
      <c r="CC337" s="75">
        <f>PARAM!$C$26+MAX($G$22-CHOOSE(PARAM!$B$44,MAX(0,CD336*$F$1),0),0)*RATES!$L313/12+$H$22*(PARAM!$D$51/12)*RATES!$N313/100</f>
        <v>31.445696129533729</v>
      </c>
      <c r="CD337" s="16">
        <f t="shared" si="217"/>
        <v>323.83218869620544</v>
      </c>
      <c r="CE337" s="33">
        <f>IF(0=MOD(B337,12/PARAM!$D$51),1,0)</f>
        <v>1</v>
      </c>
      <c r="CF337" s="15">
        <f t="shared" si="192"/>
        <v>0</v>
      </c>
      <c r="CG337" s="75">
        <f>CF337*(1-PARAM!$C$27)*$R$3+(MOD($B337/12,5)=0)*($B337&gt;60)*HLOOKUP($B337/12,Loyalty,2)*$F$1*MAX(CI336,0)</f>
        <v>0</v>
      </c>
      <c r="CH337" s="75">
        <f>PARAM!$C$26+MAX($P$3-CHOOSE(PARAM!$B$44,MAX(0,CI336*$F$1),0),0)*RATES!$L313/12+$Q$3*(PARAM!$D$51/12)*RATES!$N313/100</f>
        <v>31.625</v>
      </c>
      <c r="CI337" s="16">
        <f>IF(CI336&gt;0,CI336*PARAM!$C$53,CI336)+CG337-CH337</f>
        <v>-5307.1249999999927</v>
      </c>
      <c r="CJ337" s="15">
        <f t="shared" si="218"/>
        <v>0</v>
      </c>
      <c r="CK337" s="75">
        <f>CJ337*(1-PARAM!$C$27)*$R$4+(MOD($B337/12,5)=0)*($B337&gt;60)*HLOOKUP($B337/12,Loyalty,2)*$F$1*MAX(CM336,0)</f>
        <v>0</v>
      </c>
      <c r="CL337" s="75">
        <f>PARAM!$C$26+MAX($P$4-CHOOSE(PARAM!$B$44,MAX(0,CM336*$F$1),0),0)*RATES!$L313/12+$Q$4*(PARAM!$D$51/12)*RATES!$N313/100</f>
        <v>31.625</v>
      </c>
      <c r="CM337" s="16">
        <f>IF(CM336&gt;0,CM336*PARAM!$C$53,CM336)+CK337-CL337</f>
        <v>-5307.1249999999927</v>
      </c>
      <c r="CO337" s="176"/>
    </row>
    <row r="338" spans="1:93" x14ac:dyDescent="0.2">
      <c r="A338" t="b">
        <f t="shared" si="193"/>
        <v>0</v>
      </c>
      <c r="B338" s="33">
        <v>311</v>
      </c>
      <c r="C338" s="15">
        <f t="shared" si="194"/>
        <v>20.081305947392778</v>
      </c>
      <c r="D338" s="75">
        <f>C338*(1-PARAM!$C$27)*$I$3+(MOD($B338,60)=PARAM!$B$56)*($B338&gt;(60-PARAM!$B$56))*HLOOKUP(($B338+PARAM!$B$56)/12,Loyalty,2)*$F$1*MAX(F337,0)</f>
        <v>16.808053077967756</v>
      </c>
      <c r="E338" s="75">
        <f>PARAM!$C$26+MAX($G$3-CHOOSE(PARAM!$B$44,MAX(0,F337*$F$1),0),0)*RATES!$L314/12+$H$3*(PARAM!$D$51/12)*RATES!$N314/100</f>
        <v>31.625</v>
      </c>
      <c r="F338" s="16">
        <f t="shared" si="195"/>
        <v>-267.87068415576243</v>
      </c>
      <c r="G338" s="15">
        <f t="shared" si="196"/>
        <v>22.035289406060361</v>
      </c>
      <c r="H338" s="75">
        <f>G338*(1-PARAM!$C$27)*$I$4+(MOD($B338,60)=PARAM!$B$56)*($B338&gt;(60-PARAM!$B$56))*HLOOKUP(($B338+PARAM!$B$56)/12,Loyalty,2)*$F$1*MAX(J337,0)</f>
        <v>18.443537232872522</v>
      </c>
      <c r="I338" s="75">
        <f>PARAM!$C$26+MAX($G$4-CHOOSE(PARAM!$B$44,MAX(0,J337*$F$1),0),0)*RATES!$L314/12+$H$4*(PARAM!$D$51/12)*RATES!$N314/100</f>
        <v>31.47264898248449</v>
      </c>
      <c r="J338" s="16">
        <f t="shared" si="197"/>
        <v>273.07608546260707</v>
      </c>
      <c r="K338" s="15">
        <f t="shared" si="198"/>
        <v>22.170849845882874</v>
      </c>
      <c r="L338" s="75">
        <f>K338*(1-PARAM!$C$27)*$I$5+(MOD($B338,60)=PARAM!$B$56)*($B338&gt;(60-PARAM!$B$56))*HLOOKUP(($B338+PARAM!$B$56)/12,Loyalty,2)*$F$1*MAX(N337,0)</f>
        <v>18.557001321003963</v>
      </c>
      <c r="M338" s="75">
        <f>PARAM!$C$26+MAX($G$5-CHOOSE(PARAM!$B$44,MAX(0,N337*$F$1),0),0)*RATES!$L314/12+$H$5*(PARAM!$D$51/12)*RATES!$N314/100</f>
        <v>31.45255935951927</v>
      </c>
      <c r="N338" s="16">
        <f t="shared" si="199"/>
        <v>310.9366306576901</v>
      </c>
      <c r="O338" s="15">
        <f t="shared" si="200"/>
        <v>22.170849845882874</v>
      </c>
      <c r="P338" s="75">
        <f>O338*(1-PARAM!$C$27)*$I$6+(MOD($B338,60)=PARAM!$B$56)*($B338&gt;(60-PARAM!$B$56))*HLOOKUP(($B338+PARAM!$B$56)/12,Loyalty,2)*$F$1*MAX(R337,0)</f>
        <v>18.557001321003963</v>
      </c>
      <c r="Q338" s="75">
        <f>PARAM!$C$26+MAX($G$6-CHOOSE(PARAM!$B$44,MAX(0,R337*$F$1),0),0)*RATES!$L314/12+$H$6*(PARAM!$D$51/12)*RATES!$N314/100</f>
        <v>31.45255935951927</v>
      </c>
      <c r="R338" s="16">
        <f t="shared" si="201"/>
        <v>310.9366306576901</v>
      </c>
      <c r="S338" s="15">
        <f t="shared" si="176"/>
        <v>22.170849845882874</v>
      </c>
      <c r="T338" s="75">
        <f>S338*(1-PARAM!$C$27)*$I$7+(MOD($B338,60)=PARAM!$B$56)*($B338&gt;(60-PARAM!$B$56))*HLOOKUP(($B338+PARAM!$B$56)/12,Loyalty,2)*$F$1*MAX(V337,0)</f>
        <v>18.557001321003963</v>
      </c>
      <c r="U338" s="75">
        <f>PARAM!$C$26+MAX($G$7-CHOOSE(PARAM!$B$44,MAX(0,V337*$F$1),0),0)*RATES!$L314/12+$H$7*(PARAM!$D$51/12)*RATES!$N314/100</f>
        <v>31.45255935951927</v>
      </c>
      <c r="V338" s="16">
        <f t="shared" si="202"/>
        <v>310.9366306576901</v>
      </c>
      <c r="W338" s="15">
        <f t="shared" si="177"/>
        <v>22.170849845882874</v>
      </c>
      <c r="X338" s="75">
        <f>W338*(1-PARAM!$C$27)*$I$8+(MOD($B338,60)=PARAM!$B$56)*($B338&gt;(60-PARAM!$B$56))*HLOOKUP(($B338+PARAM!$B$56)/12,Loyalty,2)*$F$1*MAX(Z337,0)</f>
        <v>18.557001321003963</v>
      </c>
      <c r="Y338" s="75">
        <f>PARAM!$C$26+MAX($G$8-CHOOSE(PARAM!$B$44,MAX(0,Z337*$F$1),0),0)*RATES!$L314/12+$H$8*(PARAM!$D$51/12)*RATES!$N314/100</f>
        <v>31.45255935951927</v>
      </c>
      <c r="Z338" s="16">
        <f t="shared" si="203"/>
        <v>310.9366306576901</v>
      </c>
      <c r="AA338" s="15">
        <f t="shared" si="178"/>
        <v>22.170849845882874</v>
      </c>
      <c r="AB338" s="75">
        <f>AA338*(1-PARAM!$C$27)*$I$9+(MOD($B338,60)=PARAM!$B$56)*($B338&gt;(60-PARAM!$B$56))*HLOOKUP(($B338+PARAM!$B$56)/12,Loyalty,2)*$F$1*MAX(AD337,0)</f>
        <v>18.557001321003963</v>
      </c>
      <c r="AC338" s="75">
        <f>PARAM!$C$26+MAX($G$9-CHOOSE(PARAM!$B$44,MAX(0,AD337*$F$1),0),0)*RATES!$L314/12+$H$9*(PARAM!$D$51/12)*RATES!$N314/100</f>
        <v>31.45255935951927</v>
      </c>
      <c r="AD338" s="16">
        <f t="shared" si="204"/>
        <v>310.9366306576901</v>
      </c>
      <c r="AE338" s="15">
        <f t="shared" si="179"/>
        <v>22.170849845882874</v>
      </c>
      <c r="AF338" s="75">
        <f>AE338*(1-PARAM!$C$27)*$I$10+(MOD($B338,60)=PARAM!$B$56)*($B338&gt;(60-PARAM!$B$56))*HLOOKUP(($B338+PARAM!$B$56)/12,Loyalty,2)*$F$1*MAX(AH337,0)</f>
        <v>18.557001321003963</v>
      </c>
      <c r="AG338" s="75">
        <f>PARAM!$C$26+MAX($G$10-CHOOSE(PARAM!$B$44,MAX(0,AH337*$F$1),0),0)*RATES!$L314/12+$H$10*(PARAM!$D$51/12)*RATES!$N314/100</f>
        <v>31.45255935951927</v>
      </c>
      <c r="AH338" s="16">
        <f t="shared" si="205"/>
        <v>310.9366306576901</v>
      </c>
      <c r="AI338" s="15">
        <f t="shared" si="180"/>
        <v>22.170849845882874</v>
      </c>
      <c r="AJ338" s="75">
        <f>AI338*(1-PARAM!$C$27)*$I$11+(MOD($B338,60)=PARAM!$B$56)*($B338&gt;(60-PARAM!$B$56))*HLOOKUP(($B338+PARAM!$B$56)/12,Loyalty,2)*$F$1*MAX(AL337,0)</f>
        <v>18.557001321003963</v>
      </c>
      <c r="AK338" s="75">
        <f>PARAM!$C$26+MAX($G$11-CHOOSE(PARAM!$B$44,MAX(0,AL337*$F$1),0),0)*RATES!$L314/12+$H$11*(PARAM!$D$51/12)*RATES!$N314/100</f>
        <v>31.45255935951927</v>
      </c>
      <c r="AL338" s="16">
        <f t="shared" si="206"/>
        <v>310.9366306576901</v>
      </c>
      <c r="AM338" s="15">
        <f t="shared" si="181"/>
        <v>22.170849845882874</v>
      </c>
      <c r="AN338" s="75">
        <f>AM338*(1-PARAM!$C$27)*$I$12+(MOD($B338,60)=PARAM!$B$56)*($B338&gt;(60-PARAM!$B$56))*HLOOKUP(($B338+PARAM!$B$56)/12,Loyalty,2)*$F$1*MAX(AP337,0)</f>
        <v>18.557001321003963</v>
      </c>
      <c r="AO338" s="75">
        <f>PARAM!$C$26+MAX($G$12-CHOOSE(PARAM!$B$44,MAX(0,AP337*$F$1),0),0)*RATES!$L314/12+$H$12*(PARAM!$D$51/12)*RATES!$N314/100</f>
        <v>31.45255935951927</v>
      </c>
      <c r="AP338" s="16">
        <f t="shared" si="207"/>
        <v>310.9366306576901</v>
      </c>
      <c r="AQ338" s="15">
        <f t="shared" si="182"/>
        <v>22.170849845882874</v>
      </c>
      <c r="AR338" s="75">
        <f>AQ338*(1-PARAM!$C$27)*$I$13+(MOD($B338,60)=PARAM!$B$56)*($B338&gt;(60-PARAM!$B$56))*HLOOKUP(($B338+PARAM!$B$56)/12,Loyalty,2)*$F$1*MAX(AT337,0)</f>
        <v>18.557001321003963</v>
      </c>
      <c r="AS338" s="75">
        <f>PARAM!$C$26+MAX($G$13-CHOOSE(PARAM!$B$44,MAX(0,AT337*$F$1),0),0)*RATES!$L314/12+$H$13*(PARAM!$D$51/12)*RATES!$N314/100</f>
        <v>31.45255935951927</v>
      </c>
      <c r="AT338" s="16">
        <f t="shared" si="208"/>
        <v>310.9366306576901</v>
      </c>
      <c r="AU338" s="15">
        <f t="shared" si="183"/>
        <v>22.170849845882874</v>
      </c>
      <c r="AV338" s="75">
        <f>AU338*(1-PARAM!$C$27)*$I$14+(MOD($B338,60)=PARAM!$B$56)*($B338&gt;(60-PARAM!$B$56))*HLOOKUP(($B338+PARAM!$B$56)/12,Loyalty,2)*$F$1*MAX(AX337,0)</f>
        <v>18.557001321003963</v>
      </c>
      <c r="AW338" s="75">
        <f>PARAM!$C$26+MAX($G$14-CHOOSE(PARAM!$B$44,MAX(0,AX337*$F$1),0),0)*RATES!$L314/12+$H$14*(PARAM!$D$51/12)*RATES!$N314/100</f>
        <v>31.45255935951927</v>
      </c>
      <c r="AX338" s="16">
        <f t="shared" si="209"/>
        <v>310.9366306576901</v>
      </c>
      <c r="AY338" s="15">
        <f t="shared" si="184"/>
        <v>22.170849845882874</v>
      </c>
      <c r="AZ338" s="75">
        <f>AY338*(1-PARAM!$C$27)*$I$15+(MOD($B338,60)=PARAM!$B$56)*($B338&gt;(60-PARAM!$B$56))*HLOOKUP(($B338+PARAM!$B$56)/12,Loyalty,2)*$F$1*MAX(BB337,0)</f>
        <v>18.557001321003963</v>
      </c>
      <c r="BA338" s="75">
        <f>PARAM!$C$26+MAX($G$15-CHOOSE(PARAM!$B$44,MAX(0,BB337*$F$1),0),0)*RATES!$L314/12+$H$15*(PARAM!$D$51/12)*RATES!$N314/100</f>
        <v>31.45255935951927</v>
      </c>
      <c r="BB338" s="16">
        <f t="shared" si="210"/>
        <v>310.9366306576901</v>
      </c>
      <c r="BC338" s="15">
        <f t="shared" si="185"/>
        <v>22.170849845882874</v>
      </c>
      <c r="BD338" s="75">
        <f>BC338*(1-PARAM!$C$27)*$I$16+(MOD($B338,60)=PARAM!$B$56)*($B338&gt;(60-PARAM!$B$56))*HLOOKUP(($B338+PARAM!$B$56)/12,Loyalty,2)*$F$1*MAX(BF337,0)</f>
        <v>18.557001321003963</v>
      </c>
      <c r="BE338" s="75">
        <f>PARAM!$C$26+MAX($G$16-CHOOSE(PARAM!$B$44,MAX(0,BF337*$F$1),0),0)*RATES!$L314/12+$H$16*(PARAM!$D$51/12)*RATES!$N314/100</f>
        <v>31.45255935951927</v>
      </c>
      <c r="BF338" s="16">
        <f t="shared" si="211"/>
        <v>310.9366306576901</v>
      </c>
      <c r="BG338" s="15">
        <f t="shared" si="186"/>
        <v>22.170849845882874</v>
      </c>
      <c r="BH338" s="75">
        <f>BG338*(1-PARAM!$C$27)*$I$17+(MOD($B338,60)=PARAM!$B$56)*($B338&gt;(60-PARAM!$B$56))*HLOOKUP(($B338+PARAM!$B$56)/12,Loyalty,2)*$F$1*MAX(BJ337,0)</f>
        <v>18.557001321003963</v>
      </c>
      <c r="BI338" s="75">
        <f>PARAM!$C$26+MAX($G$17-CHOOSE(PARAM!$B$44,MAX(0,BJ337*$F$1),0),0)*RATES!$L314/12+$H$17*(PARAM!$D$51/12)*RATES!$N314/100</f>
        <v>31.45255935951927</v>
      </c>
      <c r="BJ338" s="16">
        <f t="shared" si="212"/>
        <v>310.9366306576901</v>
      </c>
      <c r="BK338" s="15">
        <f t="shared" si="187"/>
        <v>22.170849845882874</v>
      </c>
      <c r="BL338" s="75">
        <f>BK338*(1-PARAM!$C$27)*$I$18+(MOD($B338,60)=PARAM!$B$56)*($B338&gt;(60-PARAM!$B$56))*HLOOKUP(($B338+PARAM!$B$56)/12,Loyalty,2)*$F$1*MAX(BN337,0)</f>
        <v>18.557001321003963</v>
      </c>
      <c r="BM338" s="75">
        <f>PARAM!$C$26+MAX($G$18-CHOOSE(PARAM!$B$44,MAX(0,BN337*$F$1),0),0)*RATES!$L314/12+$H$18*(PARAM!$D$51/12)*RATES!$N314/100</f>
        <v>31.45255935951927</v>
      </c>
      <c r="BN338" s="16">
        <f t="shared" si="213"/>
        <v>310.9366306576901</v>
      </c>
      <c r="BO338" s="15">
        <f t="shared" si="188"/>
        <v>22.170849845882874</v>
      </c>
      <c r="BP338" s="75">
        <f>BO338*(1-PARAM!$C$27)*$I$19+(MOD($B338,60)=PARAM!$B$56)*($B338&gt;(60-PARAM!$B$56))*HLOOKUP(($B338+PARAM!$B$56)/12,Loyalty,2)*$F$1*MAX(BR337,0)</f>
        <v>18.557001321003963</v>
      </c>
      <c r="BQ338" s="75">
        <f>PARAM!$C$26+MAX($G$19-CHOOSE(PARAM!$B$44,MAX(0,BR337*$F$1),0),0)*RATES!$L314/12+$H$19*(PARAM!$D$51/12)*RATES!$N314/100</f>
        <v>31.45255935951927</v>
      </c>
      <c r="BR338" s="16">
        <f t="shared" si="214"/>
        <v>310.9366306576901</v>
      </c>
      <c r="BS338" s="15">
        <f t="shared" si="189"/>
        <v>22.170849845882874</v>
      </c>
      <c r="BT338" s="75">
        <f>BS338*(1-PARAM!$C$27)*$I$20+(MOD($B338,60)=PARAM!$B$56)*($B338&gt;(60-PARAM!$B$56))*HLOOKUP(($B338+PARAM!$B$56)/12,Loyalty,2)*$F$1*MAX(BV337,0)</f>
        <v>18.557001321003963</v>
      </c>
      <c r="BU338" s="75">
        <f>PARAM!$C$26+MAX($G$20-CHOOSE(PARAM!$B$44,MAX(0,BV337*$F$1),0),0)*RATES!$L314/12+$H$20*(PARAM!$D$51/12)*RATES!$N314/100</f>
        <v>31.45255935951927</v>
      </c>
      <c r="BV338" s="16">
        <f t="shared" si="215"/>
        <v>310.9366306576901</v>
      </c>
      <c r="BW338" s="15">
        <f t="shared" si="190"/>
        <v>22.170849845882874</v>
      </c>
      <c r="BX338" s="75">
        <f>BW338*(1-PARAM!$C$27)*$I$21+(MOD($B338,60)=PARAM!$B$56)*($B338&gt;(60-PARAM!$B$56))*HLOOKUP(($B338+PARAM!$B$56)/12,Loyalty,2)*$F$1*MAX(BZ337,0)</f>
        <v>18.557001321003963</v>
      </c>
      <c r="BY338" s="75">
        <f>PARAM!$C$26+MAX($G$21-CHOOSE(PARAM!$B$44,MAX(0,BZ337*$F$1),0),0)*RATES!$L314/12+$H$21*(PARAM!$D$51/12)*RATES!$N314/100</f>
        <v>31.45255935951927</v>
      </c>
      <c r="BZ338" s="16">
        <f t="shared" si="216"/>
        <v>310.9366306576901</v>
      </c>
      <c r="CA338" s="15">
        <f t="shared" si="191"/>
        <v>22.170849845882874</v>
      </c>
      <c r="CB338" s="75">
        <f>CA338*(1-PARAM!$C$27)*$I$22+(MOD($B338,60)=PARAM!$B$56)*($B338&gt;(60-PARAM!$B$56))*HLOOKUP(($B338+PARAM!$B$56)/12,Loyalty,2)*$F$1*MAX(CD337,0)</f>
        <v>18.557001321003963</v>
      </c>
      <c r="CC338" s="75">
        <f>PARAM!$C$26+MAX($G$22-CHOOSE(PARAM!$B$44,MAX(0,CD337*$F$1),0),0)*RATES!$L314/12+$H$22*(PARAM!$D$51/12)*RATES!$N314/100</f>
        <v>31.45255935951927</v>
      </c>
      <c r="CD338" s="16">
        <f t="shared" si="217"/>
        <v>310.9366306576901</v>
      </c>
      <c r="CE338" s="33">
        <f>IF(0=MOD(B338,12/PARAM!$D$51),1,0)</f>
        <v>1</v>
      </c>
      <c r="CF338" s="15">
        <f t="shared" si="192"/>
        <v>0</v>
      </c>
      <c r="CG338" s="75">
        <f>CF338*(1-PARAM!$C$27)*$R$3+(MOD($B338/12,5)=0)*($B338&gt;60)*HLOOKUP($B338/12,Loyalty,2)*$F$1*MAX(CI337,0)</f>
        <v>0</v>
      </c>
      <c r="CH338" s="75">
        <f>PARAM!$C$26+MAX($P$3-CHOOSE(PARAM!$B$44,MAX(0,CI337*$F$1),0),0)*RATES!$L314/12+$Q$3*(PARAM!$D$51/12)*RATES!$N314/100</f>
        <v>31.625</v>
      </c>
      <c r="CI338" s="16">
        <f>IF(CI337&gt;0,CI337*PARAM!$C$53,CI337)+CG338-CH338</f>
        <v>-5338.7499999999927</v>
      </c>
      <c r="CJ338" s="15">
        <f t="shared" si="218"/>
        <v>0</v>
      </c>
      <c r="CK338" s="75">
        <f>CJ338*(1-PARAM!$C$27)*$R$4+(MOD($B338/12,5)=0)*($B338&gt;60)*HLOOKUP($B338/12,Loyalty,2)*$F$1*MAX(CM337,0)</f>
        <v>0</v>
      </c>
      <c r="CL338" s="75">
        <f>PARAM!$C$26+MAX($P$4-CHOOSE(PARAM!$B$44,MAX(0,CM337*$F$1),0),0)*RATES!$L314/12+$Q$4*(PARAM!$D$51/12)*RATES!$N314/100</f>
        <v>31.625</v>
      </c>
      <c r="CM338" s="16">
        <f>IF(CM337&gt;0,CM337*PARAM!$C$53,CM337)+CK338-CL338</f>
        <v>-5338.7499999999927</v>
      </c>
      <c r="CO338" s="176"/>
    </row>
    <row r="339" spans="1:93" x14ac:dyDescent="0.2">
      <c r="A339" t="b">
        <f t="shared" si="193"/>
        <v>0</v>
      </c>
      <c r="B339" s="33">
        <v>312</v>
      </c>
      <c r="C339" s="15">
        <f t="shared" si="194"/>
        <v>20.081305947392778</v>
      </c>
      <c r="D339" s="75">
        <f>C339*(1-PARAM!$C$27)*$I$3+(MOD($B339,60)=PARAM!$B$56)*($B339&gt;(60-PARAM!$B$56))*HLOOKUP(($B339+PARAM!$B$56)/12,Loyalty,2)*$F$1*MAX(F338,0)</f>
        <v>16.808053077967756</v>
      </c>
      <c r="E339" s="75">
        <f>PARAM!$C$26+MAX($G$3-CHOOSE(PARAM!$B$44,MAX(0,F338*$F$1),0),0)*RATES!$L315/12+$H$3*(PARAM!$D$51/12)*RATES!$N315/100</f>
        <v>31.625</v>
      </c>
      <c r="F339" s="16">
        <f t="shared" si="195"/>
        <v>-282.68763107779466</v>
      </c>
      <c r="G339" s="15">
        <f t="shared" si="196"/>
        <v>22.035289406060361</v>
      </c>
      <c r="H339" s="75">
        <f>G339*(1-PARAM!$C$27)*$I$4+(MOD($B339,60)=PARAM!$B$56)*($B339&gt;(60-PARAM!$B$56))*HLOOKUP(($B339+PARAM!$B$56)/12,Loyalty,2)*$F$1*MAX(J338,0)</f>
        <v>18.443537232872522</v>
      </c>
      <c r="I339" s="75">
        <f>PARAM!$C$26+MAX($G$4-CHOOSE(PARAM!$B$44,MAX(0,J338*$F$1),0),0)*RATES!$L315/12+$H$4*(PARAM!$D$51/12)*RATES!$N315/100</f>
        <v>31.479586984491164</v>
      </c>
      <c r="J339" s="16">
        <f t="shared" si="197"/>
        <v>260.04003571098843</v>
      </c>
      <c r="K339" s="15">
        <f t="shared" si="198"/>
        <v>22.170849845882874</v>
      </c>
      <c r="L339" s="75">
        <f>K339*(1-PARAM!$C$27)*$I$5+(MOD($B339,60)=PARAM!$B$56)*($B339&gt;(60-PARAM!$B$56))*HLOOKUP(($B339+PARAM!$B$56)/12,Loyalty,2)*$F$1*MAX(N338,0)</f>
        <v>18.557001321003963</v>
      </c>
      <c r="M339" s="75">
        <f>PARAM!$C$26+MAX($G$5-CHOOSE(PARAM!$B$44,MAX(0,N338*$F$1),0),0)*RATES!$L315/12+$H$5*(PARAM!$D$51/12)*RATES!$N315/100</f>
        <v>31.459426244174779</v>
      </c>
      <c r="N339" s="16">
        <f t="shared" si="199"/>
        <v>298.03420573451928</v>
      </c>
      <c r="O339" s="15">
        <f t="shared" si="200"/>
        <v>22.170849845882874</v>
      </c>
      <c r="P339" s="75">
        <f>O339*(1-PARAM!$C$27)*$I$6+(MOD($B339,60)=PARAM!$B$56)*($B339&gt;(60-PARAM!$B$56))*HLOOKUP(($B339+PARAM!$B$56)/12,Loyalty,2)*$F$1*MAX(R338,0)</f>
        <v>18.557001321003963</v>
      </c>
      <c r="Q339" s="75">
        <f>PARAM!$C$26+MAX($G$6-CHOOSE(PARAM!$B$44,MAX(0,R338*$F$1),0),0)*RATES!$L315/12+$H$6*(PARAM!$D$51/12)*RATES!$N315/100</f>
        <v>31.459426244174779</v>
      </c>
      <c r="R339" s="16">
        <f t="shared" si="201"/>
        <v>298.03420573451928</v>
      </c>
      <c r="S339" s="15">
        <f t="shared" si="176"/>
        <v>22.170849845882874</v>
      </c>
      <c r="T339" s="75">
        <f>S339*(1-PARAM!$C$27)*$I$7+(MOD($B339,60)=PARAM!$B$56)*($B339&gt;(60-PARAM!$B$56))*HLOOKUP(($B339+PARAM!$B$56)/12,Loyalty,2)*$F$1*MAX(V338,0)</f>
        <v>18.557001321003963</v>
      </c>
      <c r="U339" s="75">
        <f>PARAM!$C$26+MAX($G$7-CHOOSE(PARAM!$B$44,MAX(0,V338*$F$1),0),0)*RATES!$L315/12+$H$7*(PARAM!$D$51/12)*RATES!$N315/100</f>
        <v>31.459426244174779</v>
      </c>
      <c r="V339" s="16">
        <f t="shared" si="202"/>
        <v>298.03420573451928</v>
      </c>
      <c r="W339" s="15">
        <f t="shared" si="177"/>
        <v>22.170849845882874</v>
      </c>
      <c r="X339" s="75">
        <f>W339*(1-PARAM!$C$27)*$I$8+(MOD($B339,60)=PARAM!$B$56)*($B339&gt;(60-PARAM!$B$56))*HLOOKUP(($B339+PARAM!$B$56)/12,Loyalty,2)*$F$1*MAX(Z338,0)</f>
        <v>18.557001321003963</v>
      </c>
      <c r="Y339" s="75">
        <f>PARAM!$C$26+MAX($G$8-CHOOSE(PARAM!$B$44,MAX(0,Z338*$F$1),0),0)*RATES!$L315/12+$H$8*(PARAM!$D$51/12)*RATES!$N315/100</f>
        <v>31.459426244174779</v>
      </c>
      <c r="Z339" s="16">
        <f t="shared" si="203"/>
        <v>298.03420573451928</v>
      </c>
      <c r="AA339" s="15">
        <f t="shared" si="178"/>
        <v>22.170849845882874</v>
      </c>
      <c r="AB339" s="75">
        <f>AA339*(1-PARAM!$C$27)*$I$9+(MOD($B339,60)=PARAM!$B$56)*($B339&gt;(60-PARAM!$B$56))*HLOOKUP(($B339+PARAM!$B$56)/12,Loyalty,2)*$F$1*MAX(AD338,0)</f>
        <v>18.557001321003963</v>
      </c>
      <c r="AC339" s="75">
        <f>PARAM!$C$26+MAX($G$9-CHOOSE(PARAM!$B$44,MAX(0,AD338*$F$1),0),0)*RATES!$L315/12+$H$9*(PARAM!$D$51/12)*RATES!$N315/100</f>
        <v>31.459426244174779</v>
      </c>
      <c r="AD339" s="16">
        <f t="shared" si="204"/>
        <v>298.03420573451928</v>
      </c>
      <c r="AE339" s="15">
        <f t="shared" si="179"/>
        <v>22.170849845882874</v>
      </c>
      <c r="AF339" s="75">
        <f>AE339*(1-PARAM!$C$27)*$I$10+(MOD($B339,60)=PARAM!$B$56)*($B339&gt;(60-PARAM!$B$56))*HLOOKUP(($B339+PARAM!$B$56)/12,Loyalty,2)*$F$1*MAX(AH338,0)</f>
        <v>18.557001321003963</v>
      </c>
      <c r="AG339" s="75">
        <f>PARAM!$C$26+MAX($G$10-CHOOSE(PARAM!$B$44,MAX(0,AH338*$F$1),0),0)*RATES!$L315/12+$H$10*(PARAM!$D$51/12)*RATES!$N315/100</f>
        <v>31.459426244174779</v>
      </c>
      <c r="AH339" s="16">
        <f t="shared" si="205"/>
        <v>298.03420573451928</v>
      </c>
      <c r="AI339" s="15">
        <f t="shared" si="180"/>
        <v>22.170849845882874</v>
      </c>
      <c r="AJ339" s="75">
        <f>AI339*(1-PARAM!$C$27)*$I$11+(MOD($B339,60)=PARAM!$B$56)*($B339&gt;(60-PARAM!$B$56))*HLOOKUP(($B339+PARAM!$B$56)/12,Loyalty,2)*$F$1*MAX(AL338,0)</f>
        <v>18.557001321003963</v>
      </c>
      <c r="AK339" s="75">
        <f>PARAM!$C$26+MAX($G$11-CHOOSE(PARAM!$B$44,MAX(0,AL338*$F$1),0),0)*RATES!$L315/12+$H$11*(PARAM!$D$51/12)*RATES!$N315/100</f>
        <v>31.459426244174779</v>
      </c>
      <c r="AL339" s="16">
        <f t="shared" si="206"/>
        <v>298.03420573451928</v>
      </c>
      <c r="AM339" s="15">
        <f t="shared" si="181"/>
        <v>22.170849845882874</v>
      </c>
      <c r="AN339" s="75">
        <f>AM339*(1-PARAM!$C$27)*$I$12+(MOD($B339,60)=PARAM!$B$56)*($B339&gt;(60-PARAM!$B$56))*HLOOKUP(($B339+PARAM!$B$56)/12,Loyalty,2)*$F$1*MAX(AP338,0)</f>
        <v>18.557001321003963</v>
      </c>
      <c r="AO339" s="75">
        <f>PARAM!$C$26+MAX($G$12-CHOOSE(PARAM!$B$44,MAX(0,AP338*$F$1),0),0)*RATES!$L315/12+$H$12*(PARAM!$D$51/12)*RATES!$N315/100</f>
        <v>31.459426244174779</v>
      </c>
      <c r="AP339" s="16">
        <f t="shared" si="207"/>
        <v>298.03420573451928</v>
      </c>
      <c r="AQ339" s="15">
        <f t="shared" si="182"/>
        <v>22.170849845882874</v>
      </c>
      <c r="AR339" s="75">
        <f>AQ339*(1-PARAM!$C$27)*$I$13+(MOD($B339,60)=PARAM!$B$56)*($B339&gt;(60-PARAM!$B$56))*HLOOKUP(($B339+PARAM!$B$56)/12,Loyalty,2)*$F$1*MAX(AT338,0)</f>
        <v>18.557001321003963</v>
      </c>
      <c r="AS339" s="75">
        <f>PARAM!$C$26+MAX($G$13-CHOOSE(PARAM!$B$44,MAX(0,AT338*$F$1),0),0)*RATES!$L315/12+$H$13*(PARAM!$D$51/12)*RATES!$N315/100</f>
        <v>31.459426244174779</v>
      </c>
      <c r="AT339" s="16">
        <f t="shared" si="208"/>
        <v>298.03420573451928</v>
      </c>
      <c r="AU339" s="15">
        <f t="shared" si="183"/>
        <v>22.170849845882874</v>
      </c>
      <c r="AV339" s="75">
        <f>AU339*(1-PARAM!$C$27)*$I$14+(MOD($B339,60)=PARAM!$B$56)*($B339&gt;(60-PARAM!$B$56))*HLOOKUP(($B339+PARAM!$B$56)/12,Loyalty,2)*$F$1*MAX(AX338,0)</f>
        <v>18.557001321003963</v>
      </c>
      <c r="AW339" s="75">
        <f>PARAM!$C$26+MAX($G$14-CHOOSE(PARAM!$B$44,MAX(0,AX338*$F$1),0),0)*RATES!$L315/12+$H$14*(PARAM!$D$51/12)*RATES!$N315/100</f>
        <v>31.459426244174779</v>
      </c>
      <c r="AX339" s="16">
        <f t="shared" si="209"/>
        <v>298.03420573451928</v>
      </c>
      <c r="AY339" s="15">
        <f t="shared" si="184"/>
        <v>22.170849845882874</v>
      </c>
      <c r="AZ339" s="75">
        <f>AY339*(1-PARAM!$C$27)*$I$15+(MOD($B339,60)=PARAM!$B$56)*($B339&gt;(60-PARAM!$B$56))*HLOOKUP(($B339+PARAM!$B$56)/12,Loyalty,2)*$F$1*MAX(BB338,0)</f>
        <v>18.557001321003963</v>
      </c>
      <c r="BA339" s="75">
        <f>PARAM!$C$26+MAX($G$15-CHOOSE(PARAM!$B$44,MAX(0,BB338*$F$1),0),0)*RATES!$L315/12+$H$15*(PARAM!$D$51/12)*RATES!$N315/100</f>
        <v>31.459426244174779</v>
      </c>
      <c r="BB339" s="16">
        <f t="shared" si="210"/>
        <v>298.03420573451928</v>
      </c>
      <c r="BC339" s="15">
        <f t="shared" si="185"/>
        <v>22.170849845882874</v>
      </c>
      <c r="BD339" s="75">
        <f>BC339*(1-PARAM!$C$27)*$I$16+(MOD($B339,60)=PARAM!$B$56)*($B339&gt;(60-PARAM!$B$56))*HLOOKUP(($B339+PARAM!$B$56)/12,Loyalty,2)*$F$1*MAX(BF338,0)</f>
        <v>18.557001321003963</v>
      </c>
      <c r="BE339" s="75">
        <f>PARAM!$C$26+MAX($G$16-CHOOSE(PARAM!$B$44,MAX(0,BF338*$F$1),0),0)*RATES!$L315/12+$H$16*(PARAM!$D$51/12)*RATES!$N315/100</f>
        <v>31.459426244174779</v>
      </c>
      <c r="BF339" s="16">
        <f t="shared" si="211"/>
        <v>298.03420573451928</v>
      </c>
      <c r="BG339" s="15">
        <f t="shared" si="186"/>
        <v>22.170849845882874</v>
      </c>
      <c r="BH339" s="75">
        <f>BG339*(1-PARAM!$C$27)*$I$17+(MOD($B339,60)=PARAM!$B$56)*($B339&gt;(60-PARAM!$B$56))*HLOOKUP(($B339+PARAM!$B$56)/12,Loyalty,2)*$F$1*MAX(BJ338,0)</f>
        <v>18.557001321003963</v>
      </c>
      <c r="BI339" s="75">
        <f>PARAM!$C$26+MAX($G$17-CHOOSE(PARAM!$B$44,MAX(0,BJ338*$F$1),0),0)*RATES!$L315/12+$H$17*(PARAM!$D$51/12)*RATES!$N315/100</f>
        <v>31.459426244174779</v>
      </c>
      <c r="BJ339" s="16">
        <f t="shared" si="212"/>
        <v>298.03420573451928</v>
      </c>
      <c r="BK339" s="15">
        <f t="shared" si="187"/>
        <v>22.170849845882874</v>
      </c>
      <c r="BL339" s="75">
        <f>BK339*(1-PARAM!$C$27)*$I$18+(MOD($B339,60)=PARAM!$B$56)*($B339&gt;(60-PARAM!$B$56))*HLOOKUP(($B339+PARAM!$B$56)/12,Loyalty,2)*$F$1*MAX(BN338,0)</f>
        <v>18.557001321003963</v>
      </c>
      <c r="BM339" s="75">
        <f>PARAM!$C$26+MAX($G$18-CHOOSE(PARAM!$B$44,MAX(0,BN338*$F$1),0),0)*RATES!$L315/12+$H$18*(PARAM!$D$51/12)*RATES!$N315/100</f>
        <v>31.459426244174779</v>
      </c>
      <c r="BN339" s="16">
        <f t="shared" si="213"/>
        <v>298.03420573451928</v>
      </c>
      <c r="BO339" s="15">
        <f t="shared" si="188"/>
        <v>22.170849845882874</v>
      </c>
      <c r="BP339" s="75">
        <f>BO339*(1-PARAM!$C$27)*$I$19+(MOD($B339,60)=PARAM!$B$56)*($B339&gt;(60-PARAM!$B$56))*HLOOKUP(($B339+PARAM!$B$56)/12,Loyalty,2)*$F$1*MAX(BR338,0)</f>
        <v>18.557001321003963</v>
      </c>
      <c r="BQ339" s="75">
        <f>PARAM!$C$26+MAX($G$19-CHOOSE(PARAM!$B$44,MAX(0,BR338*$F$1),0),0)*RATES!$L315/12+$H$19*(PARAM!$D$51/12)*RATES!$N315/100</f>
        <v>31.459426244174779</v>
      </c>
      <c r="BR339" s="16">
        <f t="shared" si="214"/>
        <v>298.03420573451928</v>
      </c>
      <c r="BS339" s="15">
        <f t="shared" si="189"/>
        <v>22.170849845882874</v>
      </c>
      <c r="BT339" s="75">
        <f>BS339*(1-PARAM!$C$27)*$I$20+(MOD($B339,60)=PARAM!$B$56)*($B339&gt;(60-PARAM!$B$56))*HLOOKUP(($B339+PARAM!$B$56)/12,Loyalty,2)*$F$1*MAX(BV338,0)</f>
        <v>18.557001321003963</v>
      </c>
      <c r="BU339" s="75">
        <f>PARAM!$C$26+MAX($G$20-CHOOSE(PARAM!$B$44,MAX(0,BV338*$F$1),0),0)*RATES!$L315/12+$H$20*(PARAM!$D$51/12)*RATES!$N315/100</f>
        <v>31.459426244174779</v>
      </c>
      <c r="BV339" s="16">
        <f t="shared" si="215"/>
        <v>298.03420573451928</v>
      </c>
      <c r="BW339" s="15">
        <f t="shared" si="190"/>
        <v>22.170849845882874</v>
      </c>
      <c r="BX339" s="75">
        <f>BW339*(1-PARAM!$C$27)*$I$21+(MOD($B339,60)=PARAM!$B$56)*($B339&gt;(60-PARAM!$B$56))*HLOOKUP(($B339+PARAM!$B$56)/12,Loyalty,2)*$F$1*MAX(BZ338,0)</f>
        <v>18.557001321003963</v>
      </c>
      <c r="BY339" s="75">
        <f>PARAM!$C$26+MAX($G$21-CHOOSE(PARAM!$B$44,MAX(0,BZ338*$F$1),0),0)*RATES!$L315/12+$H$21*(PARAM!$D$51/12)*RATES!$N315/100</f>
        <v>31.459426244174779</v>
      </c>
      <c r="BZ339" s="16">
        <f t="shared" si="216"/>
        <v>298.03420573451928</v>
      </c>
      <c r="CA339" s="15">
        <f t="shared" si="191"/>
        <v>22.170849845882874</v>
      </c>
      <c r="CB339" s="75">
        <f>CA339*(1-PARAM!$C$27)*$I$22+(MOD($B339,60)=PARAM!$B$56)*($B339&gt;(60-PARAM!$B$56))*HLOOKUP(($B339+PARAM!$B$56)/12,Loyalty,2)*$F$1*MAX(CD338,0)</f>
        <v>18.557001321003963</v>
      </c>
      <c r="CC339" s="75">
        <f>PARAM!$C$26+MAX($G$22-CHOOSE(PARAM!$B$44,MAX(0,CD338*$F$1),0),0)*RATES!$L315/12+$H$22*(PARAM!$D$51/12)*RATES!$N315/100</f>
        <v>31.459426244174779</v>
      </c>
      <c r="CD339" s="16">
        <f t="shared" si="217"/>
        <v>298.03420573451928</v>
      </c>
      <c r="CE339" s="33">
        <f>IF(0=MOD(B339,12/PARAM!$D$51),1,0)</f>
        <v>1</v>
      </c>
      <c r="CF339" s="15">
        <f t="shared" si="192"/>
        <v>0</v>
      </c>
      <c r="CG339" s="75">
        <f>CF339*(1-PARAM!$C$27)*$R$3+(MOD($B339/12,5)=0)*($B339&gt;60)*HLOOKUP($B339/12,Loyalty,2)*$F$1*MAX(CI338,0)</f>
        <v>0</v>
      </c>
      <c r="CH339" s="75">
        <f>PARAM!$C$26+MAX($P$3-CHOOSE(PARAM!$B$44,MAX(0,CI338*$F$1),0),0)*RATES!$L315/12+$Q$3*(PARAM!$D$51/12)*RATES!$N315/100</f>
        <v>31.625</v>
      </c>
      <c r="CI339" s="16">
        <f>IF(CI338&gt;0,CI338*PARAM!$C$53,CI338)+CG339-CH339</f>
        <v>-5370.3749999999927</v>
      </c>
      <c r="CJ339" s="15">
        <f t="shared" si="218"/>
        <v>0</v>
      </c>
      <c r="CK339" s="75">
        <f>CJ339*(1-PARAM!$C$27)*$R$4+(MOD($B339/12,5)=0)*($B339&gt;60)*HLOOKUP($B339/12,Loyalty,2)*$F$1*MAX(CM338,0)</f>
        <v>0</v>
      </c>
      <c r="CL339" s="75">
        <f>PARAM!$C$26+MAX($P$4-CHOOSE(PARAM!$B$44,MAX(0,CM338*$F$1),0),0)*RATES!$L315/12+$Q$4*(PARAM!$D$51/12)*RATES!$N315/100</f>
        <v>31.625</v>
      </c>
      <c r="CM339" s="16">
        <f>IF(CM338&gt;0,CM338*PARAM!$C$53,CM338)+CK339-CL339</f>
        <v>-5370.3749999999927</v>
      </c>
      <c r="CO339" s="176"/>
    </row>
    <row r="340" spans="1:93" x14ac:dyDescent="0.2">
      <c r="A340" t="b">
        <f t="shared" si="193"/>
        <v>0</v>
      </c>
      <c r="B340" s="33">
        <v>313</v>
      </c>
      <c r="C340" s="15">
        <f t="shared" si="194"/>
        <v>20.081305947392778</v>
      </c>
      <c r="D340" s="75">
        <f>C340*(1-PARAM!$C$27)*$I$3+(MOD($B340,60)=PARAM!$B$56)*($B340&gt;(60-PARAM!$B$56))*HLOOKUP(($B340+PARAM!$B$56)/12,Loyalty,2)*$F$1*MAX(F339,0)</f>
        <v>16.808053077967756</v>
      </c>
      <c r="E340" s="75">
        <f>PARAM!$C$26+MAX($G$3-CHOOSE(PARAM!$B$44,MAX(0,F339*$F$1),0),0)*RATES!$L316/12+$H$3*(PARAM!$D$51/12)*RATES!$N316/100</f>
        <v>31.625</v>
      </c>
      <c r="F340" s="16">
        <f t="shared" si="195"/>
        <v>-297.50457799982689</v>
      </c>
      <c r="G340" s="15">
        <f t="shared" si="196"/>
        <v>22.035289406060361</v>
      </c>
      <c r="H340" s="75">
        <f>G340*(1-PARAM!$C$27)*$I$4+(MOD($B340,60)=PARAM!$B$56)*($B340&gt;(60-PARAM!$B$56))*HLOOKUP(($B340+PARAM!$B$56)/12,Loyalty,2)*$F$1*MAX(J339,0)</f>
        <v>18.443537232872522</v>
      </c>
      <c r="I340" s="75">
        <f>PARAM!$C$26+MAX($G$4-CHOOSE(PARAM!$B$44,MAX(0,J339*$F$1),0),0)*RATES!$L316/12+$H$4*(PARAM!$D$51/12)*RATES!$N316/100</f>
        <v>31.486528680983895</v>
      </c>
      <c r="J340" s="16">
        <f t="shared" si="197"/>
        <v>246.99704426287707</v>
      </c>
      <c r="K340" s="15">
        <f t="shared" si="198"/>
        <v>22.170849845882874</v>
      </c>
      <c r="L340" s="75">
        <f>K340*(1-PARAM!$C$27)*$I$5+(MOD($B340,60)=PARAM!$B$56)*($B340&gt;(60-PARAM!$B$56))*HLOOKUP(($B340+PARAM!$B$56)/12,Loyalty,2)*$F$1*MAX(N339,0)</f>
        <v>18.557001321003963</v>
      </c>
      <c r="M340" s="75">
        <f>PARAM!$C$26+MAX($G$5-CHOOSE(PARAM!$B$44,MAX(0,N339*$F$1),0),0)*RATES!$L316/12+$H$5*(PARAM!$D$51/12)*RATES!$N316/100</f>
        <v>31.466296785446371</v>
      </c>
      <c r="N340" s="16">
        <f t="shared" si="199"/>
        <v>285.12491027007684</v>
      </c>
      <c r="O340" s="15">
        <f t="shared" si="200"/>
        <v>22.170849845882874</v>
      </c>
      <c r="P340" s="75">
        <f>O340*(1-PARAM!$C$27)*$I$6+(MOD($B340,60)=PARAM!$B$56)*($B340&gt;(60-PARAM!$B$56))*HLOOKUP(($B340+PARAM!$B$56)/12,Loyalty,2)*$F$1*MAX(R339,0)</f>
        <v>18.557001321003963</v>
      </c>
      <c r="Q340" s="75">
        <f>PARAM!$C$26+MAX($G$6-CHOOSE(PARAM!$B$44,MAX(0,R339*$F$1),0),0)*RATES!$L316/12+$H$6*(PARAM!$D$51/12)*RATES!$N316/100</f>
        <v>31.466296785446371</v>
      </c>
      <c r="R340" s="16">
        <f t="shared" si="201"/>
        <v>285.12491027007684</v>
      </c>
      <c r="S340" s="15">
        <f t="shared" si="176"/>
        <v>22.170849845882874</v>
      </c>
      <c r="T340" s="75">
        <f>S340*(1-PARAM!$C$27)*$I$7+(MOD($B340,60)=PARAM!$B$56)*($B340&gt;(60-PARAM!$B$56))*HLOOKUP(($B340+PARAM!$B$56)/12,Loyalty,2)*$F$1*MAX(V339,0)</f>
        <v>18.557001321003963</v>
      </c>
      <c r="U340" s="75">
        <f>PARAM!$C$26+MAX($G$7-CHOOSE(PARAM!$B$44,MAX(0,V339*$F$1),0),0)*RATES!$L316/12+$H$7*(PARAM!$D$51/12)*RATES!$N316/100</f>
        <v>31.466296785446371</v>
      </c>
      <c r="V340" s="16">
        <f t="shared" si="202"/>
        <v>285.12491027007684</v>
      </c>
      <c r="W340" s="15">
        <f t="shared" si="177"/>
        <v>22.170849845882874</v>
      </c>
      <c r="X340" s="75">
        <f>W340*(1-PARAM!$C$27)*$I$8+(MOD($B340,60)=PARAM!$B$56)*($B340&gt;(60-PARAM!$B$56))*HLOOKUP(($B340+PARAM!$B$56)/12,Loyalty,2)*$F$1*MAX(Z339,0)</f>
        <v>18.557001321003963</v>
      </c>
      <c r="Y340" s="75">
        <f>PARAM!$C$26+MAX($G$8-CHOOSE(PARAM!$B$44,MAX(0,Z339*$F$1),0),0)*RATES!$L316/12+$H$8*(PARAM!$D$51/12)*RATES!$N316/100</f>
        <v>31.466296785446371</v>
      </c>
      <c r="Z340" s="16">
        <f t="shared" si="203"/>
        <v>285.12491027007684</v>
      </c>
      <c r="AA340" s="15">
        <f t="shared" si="178"/>
        <v>22.170849845882874</v>
      </c>
      <c r="AB340" s="75">
        <f>AA340*(1-PARAM!$C$27)*$I$9+(MOD($B340,60)=PARAM!$B$56)*($B340&gt;(60-PARAM!$B$56))*HLOOKUP(($B340+PARAM!$B$56)/12,Loyalty,2)*$F$1*MAX(AD339,0)</f>
        <v>18.557001321003963</v>
      </c>
      <c r="AC340" s="75">
        <f>PARAM!$C$26+MAX($G$9-CHOOSE(PARAM!$B$44,MAX(0,AD339*$F$1),0),0)*RATES!$L316/12+$H$9*(PARAM!$D$51/12)*RATES!$N316/100</f>
        <v>31.466296785446371</v>
      </c>
      <c r="AD340" s="16">
        <f t="shared" si="204"/>
        <v>285.12491027007684</v>
      </c>
      <c r="AE340" s="15">
        <f t="shared" si="179"/>
        <v>22.170849845882874</v>
      </c>
      <c r="AF340" s="75">
        <f>AE340*(1-PARAM!$C$27)*$I$10+(MOD($B340,60)=PARAM!$B$56)*($B340&gt;(60-PARAM!$B$56))*HLOOKUP(($B340+PARAM!$B$56)/12,Loyalty,2)*$F$1*MAX(AH339,0)</f>
        <v>18.557001321003963</v>
      </c>
      <c r="AG340" s="75">
        <f>PARAM!$C$26+MAX($G$10-CHOOSE(PARAM!$B$44,MAX(0,AH339*$F$1),0),0)*RATES!$L316/12+$H$10*(PARAM!$D$51/12)*RATES!$N316/100</f>
        <v>31.466296785446371</v>
      </c>
      <c r="AH340" s="16">
        <f t="shared" si="205"/>
        <v>285.12491027007684</v>
      </c>
      <c r="AI340" s="15">
        <f t="shared" si="180"/>
        <v>22.170849845882874</v>
      </c>
      <c r="AJ340" s="75">
        <f>AI340*(1-PARAM!$C$27)*$I$11+(MOD($B340,60)=PARAM!$B$56)*($B340&gt;(60-PARAM!$B$56))*HLOOKUP(($B340+PARAM!$B$56)/12,Loyalty,2)*$F$1*MAX(AL339,0)</f>
        <v>18.557001321003963</v>
      </c>
      <c r="AK340" s="75">
        <f>PARAM!$C$26+MAX($G$11-CHOOSE(PARAM!$B$44,MAX(0,AL339*$F$1),0),0)*RATES!$L316/12+$H$11*(PARAM!$D$51/12)*RATES!$N316/100</f>
        <v>31.466296785446371</v>
      </c>
      <c r="AL340" s="16">
        <f t="shared" si="206"/>
        <v>285.12491027007684</v>
      </c>
      <c r="AM340" s="15">
        <f t="shared" si="181"/>
        <v>22.170849845882874</v>
      </c>
      <c r="AN340" s="75">
        <f>AM340*(1-PARAM!$C$27)*$I$12+(MOD($B340,60)=PARAM!$B$56)*($B340&gt;(60-PARAM!$B$56))*HLOOKUP(($B340+PARAM!$B$56)/12,Loyalty,2)*$F$1*MAX(AP339,0)</f>
        <v>18.557001321003963</v>
      </c>
      <c r="AO340" s="75">
        <f>PARAM!$C$26+MAX($G$12-CHOOSE(PARAM!$B$44,MAX(0,AP339*$F$1),0),0)*RATES!$L316/12+$H$12*(PARAM!$D$51/12)*RATES!$N316/100</f>
        <v>31.466296785446371</v>
      </c>
      <c r="AP340" s="16">
        <f t="shared" si="207"/>
        <v>285.12491027007684</v>
      </c>
      <c r="AQ340" s="15">
        <f t="shared" si="182"/>
        <v>22.170849845882874</v>
      </c>
      <c r="AR340" s="75">
        <f>AQ340*(1-PARAM!$C$27)*$I$13+(MOD($B340,60)=PARAM!$B$56)*($B340&gt;(60-PARAM!$B$56))*HLOOKUP(($B340+PARAM!$B$56)/12,Loyalty,2)*$F$1*MAX(AT339,0)</f>
        <v>18.557001321003963</v>
      </c>
      <c r="AS340" s="75">
        <f>PARAM!$C$26+MAX($G$13-CHOOSE(PARAM!$B$44,MAX(0,AT339*$F$1),0),0)*RATES!$L316/12+$H$13*(PARAM!$D$51/12)*RATES!$N316/100</f>
        <v>31.466296785446371</v>
      </c>
      <c r="AT340" s="16">
        <f t="shared" si="208"/>
        <v>285.12491027007684</v>
      </c>
      <c r="AU340" s="15">
        <f t="shared" si="183"/>
        <v>22.170849845882874</v>
      </c>
      <c r="AV340" s="75">
        <f>AU340*(1-PARAM!$C$27)*$I$14+(MOD($B340,60)=PARAM!$B$56)*($B340&gt;(60-PARAM!$B$56))*HLOOKUP(($B340+PARAM!$B$56)/12,Loyalty,2)*$F$1*MAX(AX339,0)</f>
        <v>18.557001321003963</v>
      </c>
      <c r="AW340" s="75">
        <f>PARAM!$C$26+MAX($G$14-CHOOSE(PARAM!$B$44,MAX(0,AX339*$F$1),0),0)*RATES!$L316/12+$H$14*(PARAM!$D$51/12)*RATES!$N316/100</f>
        <v>31.466296785446371</v>
      </c>
      <c r="AX340" s="16">
        <f t="shared" si="209"/>
        <v>285.12491027007684</v>
      </c>
      <c r="AY340" s="15">
        <f t="shared" si="184"/>
        <v>22.170849845882874</v>
      </c>
      <c r="AZ340" s="75">
        <f>AY340*(1-PARAM!$C$27)*$I$15+(MOD($B340,60)=PARAM!$B$56)*($B340&gt;(60-PARAM!$B$56))*HLOOKUP(($B340+PARAM!$B$56)/12,Loyalty,2)*$F$1*MAX(BB339,0)</f>
        <v>18.557001321003963</v>
      </c>
      <c r="BA340" s="75">
        <f>PARAM!$C$26+MAX($G$15-CHOOSE(PARAM!$B$44,MAX(0,BB339*$F$1),0),0)*RATES!$L316/12+$H$15*(PARAM!$D$51/12)*RATES!$N316/100</f>
        <v>31.466296785446371</v>
      </c>
      <c r="BB340" s="16">
        <f t="shared" si="210"/>
        <v>285.12491027007684</v>
      </c>
      <c r="BC340" s="15">
        <f t="shared" si="185"/>
        <v>22.170849845882874</v>
      </c>
      <c r="BD340" s="75">
        <f>BC340*(1-PARAM!$C$27)*$I$16+(MOD($B340,60)=PARAM!$B$56)*($B340&gt;(60-PARAM!$B$56))*HLOOKUP(($B340+PARAM!$B$56)/12,Loyalty,2)*$F$1*MAX(BF339,0)</f>
        <v>18.557001321003963</v>
      </c>
      <c r="BE340" s="75">
        <f>PARAM!$C$26+MAX($G$16-CHOOSE(PARAM!$B$44,MAX(0,BF339*$F$1),0),0)*RATES!$L316/12+$H$16*(PARAM!$D$51/12)*RATES!$N316/100</f>
        <v>31.466296785446371</v>
      </c>
      <c r="BF340" s="16">
        <f t="shared" si="211"/>
        <v>285.12491027007684</v>
      </c>
      <c r="BG340" s="15">
        <f t="shared" si="186"/>
        <v>22.170849845882874</v>
      </c>
      <c r="BH340" s="75">
        <f>BG340*(1-PARAM!$C$27)*$I$17+(MOD($B340,60)=PARAM!$B$56)*($B340&gt;(60-PARAM!$B$56))*HLOOKUP(($B340+PARAM!$B$56)/12,Loyalty,2)*$F$1*MAX(BJ339,0)</f>
        <v>18.557001321003963</v>
      </c>
      <c r="BI340" s="75">
        <f>PARAM!$C$26+MAX($G$17-CHOOSE(PARAM!$B$44,MAX(0,BJ339*$F$1),0),0)*RATES!$L316/12+$H$17*(PARAM!$D$51/12)*RATES!$N316/100</f>
        <v>31.466296785446371</v>
      </c>
      <c r="BJ340" s="16">
        <f t="shared" si="212"/>
        <v>285.12491027007684</v>
      </c>
      <c r="BK340" s="15">
        <f t="shared" si="187"/>
        <v>22.170849845882874</v>
      </c>
      <c r="BL340" s="75">
        <f>BK340*(1-PARAM!$C$27)*$I$18+(MOD($B340,60)=PARAM!$B$56)*($B340&gt;(60-PARAM!$B$56))*HLOOKUP(($B340+PARAM!$B$56)/12,Loyalty,2)*$F$1*MAX(BN339,0)</f>
        <v>18.557001321003963</v>
      </c>
      <c r="BM340" s="75">
        <f>PARAM!$C$26+MAX($G$18-CHOOSE(PARAM!$B$44,MAX(0,BN339*$F$1),0),0)*RATES!$L316/12+$H$18*(PARAM!$D$51/12)*RATES!$N316/100</f>
        <v>31.466296785446371</v>
      </c>
      <c r="BN340" s="16">
        <f t="shared" si="213"/>
        <v>285.12491027007684</v>
      </c>
      <c r="BO340" s="15">
        <f t="shared" si="188"/>
        <v>22.170849845882874</v>
      </c>
      <c r="BP340" s="75">
        <f>BO340*(1-PARAM!$C$27)*$I$19+(MOD($B340,60)=PARAM!$B$56)*($B340&gt;(60-PARAM!$B$56))*HLOOKUP(($B340+PARAM!$B$56)/12,Loyalty,2)*$F$1*MAX(BR339,0)</f>
        <v>18.557001321003963</v>
      </c>
      <c r="BQ340" s="75">
        <f>PARAM!$C$26+MAX($G$19-CHOOSE(PARAM!$B$44,MAX(0,BR339*$F$1),0),0)*RATES!$L316/12+$H$19*(PARAM!$D$51/12)*RATES!$N316/100</f>
        <v>31.466296785446371</v>
      </c>
      <c r="BR340" s="16">
        <f t="shared" si="214"/>
        <v>285.12491027007684</v>
      </c>
      <c r="BS340" s="15">
        <f t="shared" si="189"/>
        <v>22.170849845882874</v>
      </c>
      <c r="BT340" s="75">
        <f>BS340*(1-PARAM!$C$27)*$I$20+(MOD($B340,60)=PARAM!$B$56)*($B340&gt;(60-PARAM!$B$56))*HLOOKUP(($B340+PARAM!$B$56)/12,Loyalty,2)*$F$1*MAX(BV339,0)</f>
        <v>18.557001321003963</v>
      </c>
      <c r="BU340" s="75">
        <f>PARAM!$C$26+MAX($G$20-CHOOSE(PARAM!$B$44,MAX(0,BV339*$F$1),0),0)*RATES!$L316/12+$H$20*(PARAM!$D$51/12)*RATES!$N316/100</f>
        <v>31.466296785446371</v>
      </c>
      <c r="BV340" s="16">
        <f t="shared" si="215"/>
        <v>285.12491027007684</v>
      </c>
      <c r="BW340" s="15">
        <f t="shared" si="190"/>
        <v>22.170849845882874</v>
      </c>
      <c r="BX340" s="75">
        <f>BW340*(1-PARAM!$C$27)*$I$21+(MOD($B340,60)=PARAM!$B$56)*($B340&gt;(60-PARAM!$B$56))*HLOOKUP(($B340+PARAM!$B$56)/12,Loyalty,2)*$F$1*MAX(BZ339,0)</f>
        <v>18.557001321003963</v>
      </c>
      <c r="BY340" s="75">
        <f>PARAM!$C$26+MAX($G$21-CHOOSE(PARAM!$B$44,MAX(0,BZ339*$F$1),0),0)*RATES!$L316/12+$H$21*(PARAM!$D$51/12)*RATES!$N316/100</f>
        <v>31.466296785446371</v>
      </c>
      <c r="BZ340" s="16">
        <f t="shared" si="216"/>
        <v>285.12491027007684</v>
      </c>
      <c r="CA340" s="15">
        <f t="shared" si="191"/>
        <v>22.170849845882874</v>
      </c>
      <c r="CB340" s="75">
        <f>CA340*(1-PARAM!$C$27)*$I$22+(MOD($B340,60)=PARAM!$B$56)*($B340&gt;(60-PARAM!$B$56))*HLOOKUP(($B340+PARAM!$B$56)/12,Loyalty,2)*$F$1*MAX(CD339,0)</f>
        <v>18.557001321003963</v>
      </c>
      <c r="CC340" s="75">
        <f>PARAM!$C$26+MAX($G$22-CHOOSE(PARAM!$B$44,MAX(0,CD339*$F$1),0),0)*RATES!$L316/12+$H$22*(PARAM!$D$51/12)*RATES!$N316/100</f>
        <v>31.466296785446371</v>
      </c>
      <c r="CD340" s="16">
        <f t="shared" si="217"/>
        <v>285.12491027007684</v>
      </c>
      <c r="CE340" s="33">
        <f>IF(0=MOD(B340,12/PARAM!$D$51),1,0)</f>
        <v>1</v>
      </c>
      <c r="CF340" s="15">
        <f t="shared" si="192"/>
        <v>0</v>
      </c>
      <c r="CG340" s="75">
        <f>CF340*(1-PARAM!$C$27)*$R$3+(MOD($B340/12,5)=0)*($B340&gt;60)*HLOOKUP($B340/12,Loyalty,2)*$F$1*MAX(CI339,0)</f>
        <v>0</v>
      </c>
      <c r="CH340" s="75">
        <f>PARAM!$C$26+MAX($P$3-CHOOSE(PARAM!$B$44,MAX(0,CI339*$F$1),0),0)*RATES!$L316/12+$Q$3*(PARAM!$D$51/12)*RATES!$N316/100</f>
        <v>31.625</v>
      </c>
      <c r="CI340" s="16">
        <f>IF(CI339&gt;0,CI339*PARAM!$C$53,CI339)+CG340-CH340</f>
        <v>-5401.9999999999927</v>
      </c>
      <c r="CJ340" s="15">
        <f t="shared" si="218"/>
        <v>0</v>
      </c>
      <c r="CK340" s="75">
        <f>CJ340*(1-PARAM!$C$27)*$R$4+(MOD($B340/12,5)=0)*($B340&gt;60)*HLOOKUP($B340/12,Loyalty,2)*$F$1*MAX(CM339,0)</f>
        <v>0</v>
      </c>
      <c r="CL340" s="75">
        <f>PARAM!$C$26+MAX($P$4-CHOOSE(PARAM!$B$44,MAX(0,CM339*$F$1),0),0)*RATES!$L316/12+$Q$4*(PARAM!$D$51/12)*RATES!$N316/100</f>
        <v>31.625</v>
      </c>
      <c r="CM340" s="16">
        <f>IF(CM339&gt;0,CM339*PARAM!$C$53,CM339)+CK340-CL340</f>
        <v>-5401.9999999999927</v>
      </c>
      <c r="CO340" s="176"/>
    </row>
    <row r="341" spans="1:93" x14ac:dyDescent="0.2">
      <c r="A341" t="b">
        <f t="shared" si="193"/>
        <v>0</v>
      </c>
      <c r="B341" s="33">
        <v>314</v>
      </c>
      <c r="C341" s="15">
        <f t="shared" si="194"/>
        <v>20.081305947392778</v>
      </c>
      <c r="D341" s="75">
        <f>C341*(1-PARAM!$C$27)*$I$3+(MOD($B341,60)=PARAM!$B$56)*($B341&gt;(60-PARAM!$B$56))*HLOOKUP(($B341+PARAM!$B$56)/12,Loyalty,2)*$F$1*MAX(F340,0)</f>
        <v>16.808053077967756</v>
      </c>
      <c r="E341" s="75">
        <f>PARAM!$C$26+MAX($G$3-CHOOSE(PARAM!$B$44,MAX(0,F340*$F$1),0),0)*RATES!$L317/12+$H$3*(PARAM!$D$51/12)*RATES!$N317/100</f>
        <v>31.625</v>
      </c>
      <c r="F341" s="16">
        <f t="shared" si="195"/>
        <v>-312.32152492185912</v>
      </c>
      <c r="G341" s="15">
        <f t="shared" si="196"/>
        <v>22.035289406060361</v>
      </c>
      <c r="H341" s="75">
        <f>G341*(1-PARAM!$C$27)*$I$4+(MOD($B341,60)=PARAM!$B$56)*($B341&gt;(60-PARAM!$B$56))*HLOOKUP(($B341+PARAM!$B$56)/12,Loyalty,2)*$F$1*MAX(J340,0)</f>
        <v>18.443537232872522</v>
      </c>
      <c r="I341" s="75">
        <f>PARAM!$C$26+MAX($G$4-CHOOSE(PARAM!$B$44,MAX(0,J340*$F$1),0),0)*RATES!$L317/12+$H$4*(PARAM!$D$51/12)*RATES!$N317/100</f>
        <v>31.493474073930017</v>
      </c>
      <c r="J341" s="16">
        <f t="shared" si="197"/>
        <v>233.94710742181957</v>
      </c>
      <c r="K341" s="15">
        <f t="shared" si="198"/>
        <v>22.170849845882874</v>
      </c>
      <c r="L341" s="75">
        <f>K341*(1-PARAM!$C$27)*$I$5+(MOD($B341,60)=PARAM!$B$56)*($B341&gt;(60-PARAM!$B$56))*HLOOKUP(($B341+PARAM!$B$56)/12,Loyalty,2)*$F$1*MAX(N340,0)</f>
        <v>18.557001321003963</v>
      </c>
      <c r="M341" s="75">
        <f>PARAM!$C$26+MAX($G$5-CHOOSE(PARAM!$B$44,MAX(0,N340*$F$1),0),0)*RATES!$L317/12+$H$5*(PARAM!$D$51/12)*RATES!$N317/100</f>
        <v>31.473170985281186</v>
      </c>
      <c r="N341" s="16">
        <f t="shared" si="199"/>
        <v>272.20874060579962</v>
      </c>
      <c r="O341" s="15">
        <f t="shared" si="200"/>
        <v>22.170849845882874</v>
      </c>
      <c r="P341" s="75">
        <f>O341*(1-PARAM!$C$27)*$I$6+(MOD($B341,60)=PARAM!$B$56)*($B341&gt;(60-PARAM!$B$56))*HLOOKUP(($B341+PARAM!$B$56)/12,Loyalty,2)*$F$1*MAX(R340,0)</f>
        <v>18.557001321003963</v>
      </c>
      <c r="Q341" s="75">
        <f>PARAM!$C$26+MAX($G$6-CHOOSE(PARAM!$B$44,MAX(0,R340*$F$1),0),0)*RATES!$L317/12+$H$6*(PARAM!$D$51/12)*RATES!$N317/100</f>
        <v>31.473170985281186</v>
      </c>
      <c r="R341" s="16">
        <f t="shared" si="201"/>
        <v>272.20874060579962</v>
      </c>
      <c r="S341" s="15">
        <f t="shared" si="176"/>
        <v>22.170849845882874</v>
      </c>
      <c r="T341" s="75">
        <f>S341*(1-PARAM!$C$27)*$I$7+(MOD($B341,60)=PARAM!$B$56)*($B341&gt;(60-PARAM!$B$56))*HLOOKUP(($B341+PARAM!$B$56)/12,Loyalty,2)*$F$1*MAX(V340,0)</f>
        <v>18.557001321003963</v>
      </c>
      <c r="U341" s="75">
        <f>PARAM!$C$26+MAX($G$7-CHOOSE(PARAM!$B$44,MAX(0,V340*$F$1),0),0)*RATES!$L317/12+$H$7*(PARAM!$D$51/12)*RATES!$N317/100</f>
        <v>31.473170985281186</v>
      </c>
      <c r="V341" s="16">
        <f t="shared" si="202"/>
        <v>272.20874060579962</v>
      </c>
      <c r="W341" s="15">
        <f t="shared" si="177"/>
        <v>22.170849845882874</v>
      </c>
      <c r="X341" s="75">
        <f>W341*(1-PARAM!$C$27)*$I$8+(MOD($B341,60)=PARAM!$B$56)*($B341&gt;(60-PARAM!$B$56))*HLOOKUP(($B341+PARAM!$B$56)/12,Loyalty,2)*$F$1*MAX(Z340,0)</f>
        <v>18.557001321003963</v>
      </c>
      <c r="Y341" s="75">
        <f>PARAM!$C$26+MAX($G$8-CHOOSE(PARAM!$B$44,MAX(0,Z340*$F$1),0),0)*RATES!$L317/12+$H$8*(PARAM!$D$51/12)*RATES!$N317/100</f>
        <v>31.473170985281186</v>
      </c>
      <c r="Z341" s="16">
        <f t="shared" si="203"/>
        <v>272.20874060579962</v>
      </c>
      <c r="AA341" s="15">
        <f t="shared" si="178"/>
        <v>22.170849845882874</v>
      </c>
      <c r="AB341" s="75">
        <f>AA341*(1-PARAM!$C$27)*$I$9+(MOD($B341,60)=PARAM!$B$56)*($B341&gt;(60-PARAM!$B$56))*HLOOKUP(($B341+PARAM!$B$56)/12,Loyalty,2)*$F$1*MAX(AD340,0)</f>
        <v>18.557001321003963</v>
      </c>
      <c r="AC341" s="75">
        <f>PARAM!$C$26+MAX($G$9-CHOOSE(PARAM!$B$44,MAX(0,AD340*$F$1),0),0)*RATES!$L317/12+$H$9*(PARAM!$D$51/12)*RATES!$N317/100</f>
        <v>31.473170985281186</v>
      </c>
      <c r="AD341" s="16">
        <f t="shared" si="204"/>
        <v>272.20874060579962</v>
      </c>
      <c r="AE341" s="15">
        <f t="shared" si="179"/>
        <v>22.170849845882874</v>
      </c>
      <c r="AF341" s="75">
        <f>AE341*(1-PARAM!$C$27)*$I$10+(MOD($B341,60)=PARAM!$B$56)*($B341&gt;(60-PARAM!$B$56))*HLOOKUP(($B341+PARAM!$B$56)/12,Loyalty,2)*$F$1*MAX(AH340,0)</f>
        <v>18.557001321003963</v>
      </c>
      <c r="AG341" s="75">
        <f>PARAM!$C$26+MAX($G$10-CHOOSE(PARAM!$B$44,MAX(0,AH340*$F$1),0),0)*RATES!$L317/12+$H$10*(PARAM!$D$51/12)*RATES!$N317/100</f>
        <v>31.473170985281186</v>
      </c>
      <c r="AH341" s="16">
        <f t="shared" si="205"/>
        <v>272.20874060579962</v>
      </c>
      <c r="AI341" s="15">
        <f t="shared" si="180"/>
        <v>22.170849845882874</v>
      </c>
      <c r="AJ341" s="75">
        <f>AI341*(1-PARAM!$C$27)*$I$11+(MOD($B341,60)=PARAM!$B$56)*($B341&gt;(60-PARAM!$B$56))*HLOOKUP(($B341+PARAM!$B$56)/12,Loyalty,2)*$F$1*MAX(AL340,0)</f>
        <v>18.557001321003963</v>
      </c>
      <c r="AK341" s="75">
        <f>PARAM!$C$26+MAX($G$11-CHOOSE(PARAM!$B$44,MAX(0,AL340*$F$1),0),0)*RATES!$L317/12+$H$11*(PARAM!$D$51/12)*RATES!$N317/100</f>
        <v>31.473170985281186</v>
      </c>
      <c r="AL341" s="16">
        <f t="shared" si="206"/>
        <v>272.20874060579962</v>
      </c>
      <c r="AM341" s="15">
        <f t="shared" si="181"/>
        <v>22.170849845882874</v>
      </c>
      <c r="AN341" s="75">
        <f>AM341*(1-PARAM!$C$27)*$I$12+(MOD($B341,60)=PARAM!$B$56)*($B341&gt;(60-PARAM!$B$56))*HLOOKUP(($B341+PARAM!$B$56)/12,Loyalty,2)*$F$1*MAX(AP340,0)</f>
        <v>18.557001321003963</v>
      </c>
      <c r="AO341" s="75">
        <f>PARAM!$C$26+MAX($G$12-CHOOSE(PARAM!$B$44,MAX(0,AP340*$F$1),0),0)*RATES!$L317/12+$H$12*(PARAM!$D$51/12)*RATES!$N317/100</f>
        <v>31.473170985281186</v>
      </c>
      <c r="AP341" s="16">
        <f t="shared" si="207"/>
        <v>272.20874060579962</v>
      </c>
      <c r="AQ341" s="15">
        <f t="shared" si="182"/>
        <v>22.170849845882874</v>
      </c>
      <c r="AR341" s="75">
        <f>AQ341*(1-PARAM!$C$27)*$I$13+(MOD($B341,60)=PARAM!$B$56)*($B341&gt;(60-PARAM!$B$56))*HLOOKUP(($B341+PARAM!$B$56)/12,Loyalty,2)*$F$1*MAX(AT340,0)</f>
        <v>18.557001321003963</v>
      </c>
      <c r="AS341" s="75">
        <f>PARAM!$C$26+MAX($G$13-CHOOSE(PARAM!$B$44,MAX(0,AT340*$F$1),0),0)*RATES!$L317/12+$H$13*(PARAM!$D$51/12)*RATES!$N317/100</f>
        <v>31.473170985281186</v>
      </c>
      <c r="AT341" s="16">
        <f t="shared" si="208"/>
        <v>272.20874060579962</v>
      </c>
      <c r="AU341" s="15">
        <f t="shared" si="183"/>
        <v>22.170849845882874</v>
      </c>
      <c r="AV341" s="75">
        <f>AU341*(1-PARAM!$C$27)*$I$14+(MOD($B341,60)=PARAM!$B$56)*($B341&gt;(60-PARAM!$B$56))*HLOOKUP(($B341+PARAM!$B$56)/12,Loyalty,2)*$F$1*MAX(AX340,0)</f>
        <v>18.557001321003963</v>
      </c>
      <c r="AW341" s="75">
        <f>PARAM!$C$26+MAX($G$14-CHOOSE(PARAM!$B$44,MAX(0,AX340*$F$1),0),0)*RATES!$L317/12+$H$14*(PARAM!$D$51/12)*RATES!$N317/100</f>
        <v>31.473170985281186</v>
      </c>
      <c r="AX341" s="16">
        <f t="shared" si="209"/>
        <v>272.20874060579962</v>
      </c>
      <c r="AY341" s="15">
        <f t="shared" si="184"/>
        <v>22.170849845882874</v>
      </c>
      <c r="AZ341" s="75">
        <f>AY341*(1-PARAM!$C$27)*$I$15+(MOD($B341,60)=PARAM!$B$56)*($B341&gt;(60-PARAM!$B$56))*HLOOKUP(($B341+PARAM!$B$56)/12,Loyalty,2)*$F$1*MAX(BB340,0)</f>
        <v>18.557001321003963</v>
      </c>
      <c r="BA341" s="75">
        <f>PARAM!$C$26+MAX($G$15-CHOOSE(PARAM!$B$44,MAX(0,BB340*$F$1),0),0)*RATES!$L317/12+$H$15*(PARAM!$D$51/12)*RATES!$N317/100</f>
        <v>31.473170985281186</v>
      </c>
      <c r="BB341" s="16">
        <f t="shared" si="210"/>
        <v>272.20874060579962</v>
      </c>
      <c r="BC341" s="15">
        <f t="shared" si="185"/>
        <v>22.170849845882874</v>
      </c>
      <c r="BD341" s="75">
        <f>BC341*(1-PARAM!$C$27)*$I$16+(MOD($B341,60)=PARAM!$B$56)*($B341&gt;(60-PARAM!$B$56))*HLOOKUP(($B341+PARAM!$B$56)/12,Loyalty,2)*$F$1*MAX(BF340,0)</f>
        <v>18.557001321003963</v>
      </c>
      <c r="BE341" s="75">
        <f>PARAM!$C$26+MAX($G$16-CHOOSE(PARAM!$B$44,MAX(0,BF340*$F$1),0),0)*RATES!$L317/12+$H$16*(PARAM!$D$51/12)*RATES!$N317/100</f>
        <v>31.473170985281186</v>
      </c>
      <c r="BF341" s="16">
        <f t="shared" si="211"/>
        <v>272.20874060579962</v>
      </c>
      <c r="BG341" s="15">
        <f t="shared" si="186"/>
        <v>22.170849845882874</v>
      </c>
      <c r="BH341" s="75">
        <f>BG341*(1-PARAM!$C$27)*$I$17+(MOD($B341,60)=PARAM!$B$56)*($B341&gt;(60-PARAM!$B$56))*HLOOKUP(($B341+PARAM!$B$56)/12,Loyalty,2)*$F$1*MAX(BJ340,0)</f>
        <v>18.557001321003963</v>
      </c>
      <c r="BI341" s="75">
        <f>PARAM!$C$26+MAX($G$17-CHOOSE(PARAM!$B$44,MAX(0,BJ340*$F$1),0),0)*RATES!$L317/12+$H$17*(PARAM!$D$51/12)*RATES!$N317/100</f>
        <v>31.473170985281186</v>
      </c>
      <c r="BJ341" s="16">
        <f t="shared" si="212"/>
        <v>272.20874060579962</v>
      </c>
      <c r="BK341" s="15">
        <f t="shared" si="187"/>
        <v>22.170849845882874</v>
      </c>
      <c r="BL341" s="75">
        <f>BK341*(1-PARAM!$C$27)*$I$18+(MOD($B341,60)=PARAM!$B$56)*($B341&gt;(60-PARAM!$B$56))*HLOOKUP(($B341+PARAM!$B$56)/12,Loyalty,2)*$F$1*MAX(BN340,0)</f>
        <v>18.557001321003963</v>
      </c>
      <c r="BM341" s="75">
        <f>PARAM!$C$26+MAX($G$18-CHOOSE(PARAM!$B$44,MAX(0,BN340*$F$1),0),0)*RATES!$L317/12+$H$18*(PARAM!$D$51/12)*RATES!$N317/100</f>
        <v>31.473170985281186</v>
      </c>
      <c r="BN341" s="16">
        <f t="shared" si="213"/>
        <v>272.20874060579962</v>
      </c>
      <c r="BO341" s="15">
        <f t="shared" si="188"/>
        <v>22.170849845882874</v>
      </c>
      <c r="BP341" s="75">
        <f>BO341*(1-PARAM!$C$27)*$I$19+(MOD($B341,60)=PARAM!$B$56)*($B341&gt;(60-PARAM!$B$56))*HLOOKUP(($B341+PARAM!$B$56)/12,Loyalty,2)*$F$1*MAX(BR340,0)</f>
        <v>18.557001321003963</v>
      </c>
      <c r="BQ341" s="75">
        <f>PARAM!$C$26+MAX($G$19-CHOOSE(PARAM!$B$44,MAX(0,BR340*$F$1),0),0)*RATES!$L317/12+$H$19*(PARAM!$D$51/12)*RATES!$N317/100</f>
        <v>31.473170985281186</v>
      </c>
      <c r="BR341" s="16">
        <f t="shared" si="214"/>
        <v>272.20874060579962</v>
      </c>
      <c r="BS341" s="15">
        <f t="shared" si="189"/>
        <v>22.170849845882874</v>
      </c>
      <c r="BT341" s="75">
        <f>BS341*(1-PARAM!$C$27)*$I$20+(MOD($B341,60)=PARAM!$B$56)*($B341&gt;(60-PARAM!$B$56))*HLOOKUP(($B341+PARAM!$B$56)/12,Loyalty,2)*$F$1*MAX(BV340,0)</f>
        <v>18.557001321003963</v>
      </c>
      <c r="BU341" s="75">
        <f>PARAM!$C$26+MAX($G$20-CHOOSE(PARAM!$B$44,MAX(0,BV340*$F$1),0),0)*RATES!$L317/12+$H$20*(PARAM!$D$51/12)*RATES!$N317/100</f>
        <v>31.473170985281186</v>
      </c>
      <c r="BV341" s="16">
        <f t="shared" si="215"/>
        <v>272.20874060579962</v>
      </c>
      <c r="BW341" s="15">
        <f t="shared" si="190"/>
        <v>22.170849845882874</v>
      </c>
      <c r="BX341" s="75">
        <f>BW341*(1-PARAM!$C$27)*$I$21+(MOD($B341,60)=PARAM!$B$56)*($B341&gt;(60-PARAM!$B$56))*HLOOKUP(($B341+PARAM!$B$56)/12,Loyalty,2)*$F$1*MAX(BZ340,0)</f>
        <v>18.557001321003963</v>
      </c>
      <c r="BY341" s="75">
        <f>PARAM!$C$26+MAX($G$21-CHOOSE(PARAM!$B$44,MAX(0,BZ340*$F$1),0),0)*RATES!$L317/12+$H$21*(PARAM!$D$51/12)*RATES!$N317/100</f>
        <v>31.473170985281186</v>
      </c>
      <c r="BZ341" s="16">
        <f t="shared" si="216"/>
        <v>272.20874060579962</v>
      </c>
      <c r="CA341" s="15">
        <f t="shared" si="191"/>
        <v>22.170849845882874</v>
      </c>
      <c r="CB341" s="75">
        <f>CA341*(1-PARAM!$C$27)*$I$22+(MOD($B341,60)=PARAM!$B$56)*($B341&gt;(60-PARAM!$B$56))*HLOOKUP(($B341+PARAM!$B$56)/12,Loyalty,2)*$F$1*MAX(CD340,0)</f>
        <v>18.557001321003963</v>
      </c>
      <c r="CC341" s="75">
        <f>PARAM!$C$26+MAX($G$22-CHOOSE(PARAM!$B$44,MAX(0,CD340*$F$1),0),0)*RATES!$L317/12+$H$22*(PARAM!$D$51/12)*RATES!$N317/100</f>
        <v>31.473170985281186</v>
      </c>
      <c r="CD341" s="16">
        <f t="shared" si="217"/>
        <v>272.20874060579962</v>
      </c>
      <c r="CE341" s="33">
        <f>IF(0=MOD(B341,12/PARAM!$D$51),1,0)</f>
        <v>1</v>
      </c>
      <c r="CF341" s="15">
        <f t="shared" si="192"/>
        <v>0</v>
      </c>
      <c r="CG341" s="75">
        <f>CF341*(1-PARAM!$C$27)*$R$3+(MOD($B341/12,5)=0)*($B341&gt;60)*HLOOKUP($B341/12,Loyalty,2)*$F$1*MAX(CI340,0)</f>
        <v>0</v>
      </c>
      <c r="CH341" s="75">
        <f>PARAM!$C$26+MAX($P$3-CHOOSE(PARAM!$B$44,MAX(0,CI340*$F$1),0),0)*RATES!$L317/12+$Q$3*(PARAM!$D$51/12)*RATES!$N317/100</f>
        <v>31.625</v>
      </c>
      <c r="CI341" s="16">
        <f>IF(CI340&gt;0,CI340*PARAM!$C$53,CI340)+CG341-CH341</f>
        <v>-5433.6249999999927</v>
      </c>
      <c r="CJ341" s="15">
        <f t="shared" si="218"/>
        <v>0</v>
      </c>
      <c r="CK341" s="75">
        <f>CJ341*(1-PARAM!$C$27)*$R$4+(MOD($B341/12,5)=0)*($B341&gt;60)*HLOOKUP($B341/12,Loyalty,2)*$F$1*MAX(CM340,0)</f>
        <v>0</v>
      </c>
      <c r="CL341" s="75">
        <f>PARAM!$C$26+MAX($P$4-CHOOSE(PARAM!$B$44,MAX(0,CM340*$F$1),0),0)*RATES!$L317/12+$Q$4*(PARAM!$D$51/12)*RATES!$N317/100</f>
        <v>31.625</v>
      </c>
      <c r="CM341" s="16">
        <f>IF(CM340&gt;0,CM340*PARAM!$C$53,CM340)+CK341-CL341</f>
        <v>-5433.6249999999927</v>
      </c>
      <c r="CO341" s="176"/>
    </row>
    <row r="342" spans="1:93" x14ac:dyDescent="0.2">
      <c r="A342" t="b">
        <f t="shared" si="193"/>
        <v>0</v>
      </c>
      <c r="B342" s="33">
        <v>315</v>
      </c>
      <c r="C342" s="15">
        <f t="shared" si="194"/>
        <v>20.081305947392778</v>
      </c>
      <c r="D342" s="75">
        <f>C342*(1-PARAM!$C$27)*$I$3+(MOD($B342,60)=PARAM!$B$56)*($B342&gt;(60-PARAM!$B$56))*HLOOKUP(($B342+PARAM!$B$56)/12,Loyalty,2)*$F$1*MAX(F341,0)</f>
        <v>16.808053077967756</v>
      </c>
      <c r="E342" s="75">
        <f>PARAM!$C$26+MAX($G$3-CHOOSE(PARAM!$B$44,MAX(0,F341*$F$1),0),0)*RATES!$L318/12+$H$3*(PARAM!$D$51/12)*RATES!$N318/100</f>
        <v>31.625</v>
      </c>
      <c r="F342" s="16">
        <f t="shared" si="195"/>
        <v>-327.13847184389135</v>
      </c>
      <c r="G342" s="15">
        <f t="shared" si="196"/>
        <v>22.035289406060361</v>
      </c>
      <c r="H342" s="75">
        <f>G342*(1-PARAM!$C$27)*$I$4+(MOD($B342,60)=PARAM!$B$56)*($B342&gt;(60-PARAM!$B$56))*HLOOKUP(($B342+PARAM!$B$56)/12,Loyalty,2)*$F$1*MAX(J341,0)</f>
        <v>18.443537232872522</v>
      </c>
      <c r="I342" s="75">
        <f>PARAM!$C$26+MAX($G$4-CHOOSE(PARAM!$B$44,MAX(0,J341*$F$1),0),0)*RATES!$L318/12+$H$4*(PARAM!$D$51/12)*RATES!$N318/100</f>
        <v>31.500423165297885</v>
      </c>
      <c r="J342" s="16">
        <f t="shared" si="197"/>
        <v>220.89022148939421</v>
      </c>
      <c r="K342" s="15">
        <f t="shared" si="198"/>
        <v>22.170849845882874</v>
      </c>
      <c r="L342" s="75">
        <f>K342*(1-PARAM!$C$27)*$I$5+(MOD($B342,60)=PARAM!$B$56)*($B342&gt;(60-PARAM!$B$56))*HLOOKUP(($B342+PARAM!$B$56)/12,Loyalty,2)*$F$1*MAX(N341,0)</f>
        <v>18.557001321003963</v>
      </c>
      <c r="M342" s="75">
        <f>PARAM!$C$26+MAX($G$5-CHOOSE(PARAM!$B$44,MAX(0,N341*$F$1),0),0)*RATES!$L318/12+$H$5*(PARAM!$D$51/12)*RATES!$N318/100</f>
        <v>31.480048845627412</v>
      </c>
      <c r="N342" s="16">
        <f t="shared" si="199"/>
        <v>259.28569308117613</v>
      </c>
      <c r="O342" s="15">
        <f t="shared" si="200"/>
        <v>22.170849845882874</v>
      </c>
      <c r="P342" s="75">
        <f>O342*(1-PARAM!$C$27)*$I$6+(MOD($B342,60)=PARAM!$B$56)*($B342&gt;(60-PARAM!$B$56))*HLOOKUP(($B342+PARAM!$B$56)/12,Loyalty,2)*$F$1*MAX(R341,0)</f>
        <v>18.557001321003963</v>
      </c>
      <c r="Q342" s="75">
        <f>PARAM!$C$26+MAX($G$6-CHOOSE(PARAM!$B$44,MAX(0,R341*$F$1),0),0)*RATES!$L318/12+$H$6*(PARAM!$D$51/12)*RATES!$N318/100</f>
        <v>31.480048845627412</v>
      </c>
      <c r="R342" s="16">
        <f t="shared" si="201"/>
        <v>259.28569308117613</v>
      </c>
      <c r="S342" s="15">
        <f t="shared" si="176"/>
        <v>22.170849845882874</v>
      </c>
      <c r="T342" s="75">
        <f>S342*(1-PARAM!$C$27)*$I$7+(MOD($B342,60)=PARAM!$B$56)*($B342&gt;(60-PARAM!$B$56))*HLOOKUP(($B342+PARAM!$B$56)/12,Loyalty,2)*$F$1*MAX(V341,0)</f>
        <v>18.557001321003963</v>
      </c>
      <c r="U342" s="75">
        <f>PARAM!$C$26+MAX($G$7-CHOOSE(PARAM!$B$44,MAX(0,V341*$F$1),0),0)*RATES!$L318/12+$H$7*(PARAM!$D$51/12)*RATES!$N318/100</f>
        <v>31.480048845627412</v>
      </c>
      <c r="V342" s="16">
        <f t="shared" si="202"/>
        <v>259.28569308117613</v>
      </c>
      <c r="W342" s="15">
        <f t="shared" si="177"/>
        <v>22.170849845882874</v>
      </c>
      <c r="X342" s="75">
        <f>W342*(1-PARAM!$C$27)*$I$8+(MOD($B342,60)=PARAM!$B$56)*($B342&gt;(60-PARAM!$B$56))*HLOOKUP(($B342+PARAM!$B$56)/12,Loyalty,2)*$F$1*MAX(Z341,0)</f>
        <v>18.557001321003963</v>
      </c>
      <c r="Y342" s="75">
        <f>PARAM!$C$26+MAX($G$8-CHOOSE(PARAM!$B$44,MAX(0,Z341*$F$1),0),0)*RATES!$L318/12+$H$8*(PARAM!$D$51/12)*RATES!$N318/100</f>
        <v>31.480048845627412</v>
      </c>
      <c r="Z342" s="16">
        <f t="shared" si="203"/>
        <v>259.28569308117613</v>
      </c>
      <c r="AA342" s="15">
        <f t="shared" si="178"/>
        <v>22.170849845882874</v>
      </c>
      <c r="AB342" s="75">
        <f>AA342*(1-PARAM!$C$27)*$I$9+(MOD($B342,60)=PARAM!$B$56)*($B342&gt;(60-PARAM!$B$56))*HLOOKUP(($B342+PARAM!$B$56)/12,Loyalty,2)*$F$1*MAX(AD341,0)</f>
        <v>18.557001321003963</v>
      </c>
      <c r="AC342" s="75">
        <f>PARAM!$C$26+MAX($G$9-CHOOSE(PARAM!$B$44,MAX(0,AD341*$F$1),0),0)*RATES!$L318/12+$H$9*(PARAM!$D$51/12)*RATES!$N318/100</f>
        <v>31.480048845627412</v>
      </c>
      <c r="AD342" s="16">
        <f t="shared" si="204"/>
        <v>259.28569308117613</v>
      </c>
      <c r="AE342" s="15">
        <f t="shared" si="179"/>
        <v>22.170849845882874</v>
      </c>
      <c r="AF342" s="75">
        <f>AE342*(1-PARAM!$C$27)*$I$10+(MOD($B342,60)=PARAM!$B$56)*($B342&gt;(60-PARAM!$B$56))*HLOOKUP(($B342+PARAM!$B$56)/12,Loyalty,2)*$F$1*MAX(AH341,0)</f>
        <v>18.557001321003963</v>
      </c>
      <c r="AG342" s="75">
        <f>PARAM!$C$26+MAX($G$10-CHOOSE(PARAM!$B$44,MAX(0,AH341*$F$1),0),0)*RATES!$L318/12+$H$10*(PARAM!$D$51/12)*RATES!$N318/100</f>
        <v>31.480048845627412</v>
      </c>
      <c r="AH342" s="16">
        <f t="shared" si="205"/>
        <v>259.28569308117613</v>
      </c>
      <c r="AI342" s="15">
        <f t="shared" si="180"/>
        <v>22.170849845882874</v>
      </c>
      <c r="AJ342" s="75">
        <f>AI342*(1-PARAM!$C$27)*$I$11+(MOD($B342,60)=PARAM!$B$56)*($B342&gt;(60-PARAM!$B$56))*HLOOKUP(($B342+PARAM!$B$56)/12,Loyalty,2)*$F$1*MAX(AL341,0)</f>
        <v>18.557001321003963</v>
      </c>
      <c r="AK342" s="75">
        <f>PARAM!$C$26+MAX($G$11-CHOOSE(PARAM!$B$44,MAX(0,AL341*$F$1),0),0)*RATES!$L318/12+$H$11*(PARAM!$D$51/12)*RATES!$N318/100</f>
        <v>31.480048845627412</v>
      </c>
      <c r="AL342" s="16">
        <f t="shared" si="206"/>
        <v>259.28569308117613</v>
      </c>
      <c r="AM342" s="15">
        <f t="shared" si="181"/>
        <v>22.170849845882874</v>
      </c>
      <c r="AN342" s="75">
        <f>AM342*(1-PARAM!$C$27)*$I$12+(MOD($B342,60)=PARAM!$B$56)*($B342&gt;(60-PARAM!$B$56))*HLOOKUP(($B342+PARAM!$B$56)/12,Loyalty,2)*$F$1*MAX(AP341,0)</f>
        <v>18.557001321003963</v>
      </c>
      <c r="AO342" s="75">
        <f>PARAM!$C$26+MAX($G$12-CHOOSE(PARAM!$B$44,MAX(0,AP341*$F$1),0),0)*RATES!$L318/12+$H$12*(PARAM!$D$51/12)*RATES!$N318/100</f>
        <v>31.480048845627412</v>
      </c>
      <c r="AP342" s="16">
        <f t="shared" si="207"/>
        <v>259.28569308117613</v>
      </c>
      <c r="AQ342" s="15">
        <f t="shared" si="182"/>
        <v>22.170849845882874</v>
      </c>
      <c r="AR342" s="75">
        <f>AQ342*(1-PARAM!$C$27)*$I$13+(MOD($B342,60)=PARAM!$B$56)*($B342&gt;(60-PARAM!$B$56))*HLOOKUP(($B342+PARAM!$B$56)/12,Loyalty,2)*$F$1*MAX(AT341,0)</f>
        <v>18.557001321003963</v>
      </c>
      <c r="AS342" s="75">
        <f>PARAM!$C$26+MAX($G$13-CHOOSE(PARAM!$B$44,MAX(0,AT341*$F$1),0),0)*RATES!$L318/12+$H$13*(PARAM!$D$51/12)*RATES!$N318/100</f>
        <v>31.480048845627412</v>
      </c>
      <c r="AT342" s="16">
        <f t="shared" si="208"/>
        <v>259.28569308117613</v>
      </c>
      <c r="AU342" s="15">
        <f t="shared" si="183"/>
        <v>22.170849845882874</v>
      </c>
      <c r="AV342" s="75">
        <f>AU342*(1-PARAM!$C$27)*$I$14+(MOD($B342,60)=PARAM!$B$56)*($B342&gt;(60-PARAM!$B$56))*HLOOKUP(($B342+PARAM!$B$56)/12,Loyalty,2)*$F$1*MAX(AX341,0)</f>
        <v>18.557001321003963</v>
      </c>
      <c r="AW342" s="75">
        <f>PARAM!$C$26+MAX($G$14-CHOOSE(PARAM!$B$44,MAX(0,AX341*$F$1),0),0)*RATES!$L318/12+$H$14*(PARAM!$D$51/12)*RATES!$N318/100</f>
        <v>31.480048845627412</v>
      </c>
      <c r="AX342" s="16">
        <f t="shared" si="209"/>
        <v>259.28569308117613</v>
      </c>
      <c r="AY342" s="15">
        <f t="shared" si="184"/>
        <v>22.170849845882874</v>
      </c>
      <c r="AZ342" s="75">
        <f>AY342*(1-PARAM!$C$27)*$I$15+(MOD($B342,60)=PARAM!$B$56)*($B342&gt;(60-PARAM!$B$56))*HLOOKUP(($B342+PARAM!$B$56)/12,Loyalty,2)*$F$1*MAX(BB341,0)</f>
        <v>18.557001321003963</v>
      </c>
      <c r="BA342" s="75">
        <f>PARAM!$C$26+MAX($G$15-CHOOSE(PARAM!$B$44,MAX(0,BB341*$F$1),0),0)*RATES!$L318/12+$H$15*(PARAM!$D$51/12)*RATES!$N318/100</f>
        <v>31.480048845627412</v>
      </c>
      <c r="BB342" s="16">
        <f t="shared" si="210"/>
        <v>259.28569308117613</v>
      </c>
      <c r="BC342" s="15">
        <f t="shared" si="185"/>
        <v>22.170849845882874</v>
      </c>
      <c r="BD342" s="75">
        <f>BC342*(1-PARAM!$C$27)*$I$16+(MOD($B342,60)=PARAM!$B$56)*($B342&gt;(60-PARAM!$B$56))*HLOOKUP(($B342+PARAM!$B$56)/12,Loyalty,2)*$F$1*MAX(BF341,0)</f>
        <v>18.557001321003963</v>
      </c>
      <c r="BE342" s="75">
        <f>PARAM!$C$26+MAX($G$16-CHOOSE(PARAM!$B$44,MAX(0,BF341*$F$1),0),0)*RATES!$L318/12+$H$16*(PARAM!$D$51/12)*RATES!$N318/100</f>
        <v>31.480048845627412</v>
      </c>
      <c r="BF342" s="16">
        <f t="shared" si="211"/>
        <v>259.28569308117613</v>
      </c>
      <c r="BG342" s="15">
        <f t="shared" si="186"/>
        <v>22.170849845882874</v>
      </c>
      <c r="BH342" s="75">
        <f>BG342*(1-PARAM!$C$27)*$I$17+(MOD($B342,60)=PARAM!$B$56)*($B342&gt;(60-PARAM!$B$56))*HLOOKUP(($B342+PARAM!$B$56)/12,Loyalty,2)*$F$1*MAX(BJ341,0)</f>
        <v>18.557001321003963</v>
      </c>
      <c r="BI342" s="75">
        <f>PARAM!$C$26+MAX($G$17-CHOOSE(PARAM!$B$44,MAX(0,BJ341*$F$1),0),0)*RATES!$L318/12+$H$17*(PARAM!$D$51/12)*RATES!$N318/100</f>
        <v>31.480048845627412</v>
      </c>
      <c r="BJ342" s="16">
        <f t="shared" si="212"/>
        <v>259.28569308117613</v>
      </c>
      <c r="BK342" s="15">
        <f t="shared" si="187"/>
        <v>22.170849845882874</v>
      </c>
      <c r="BL342" s="75">
        <f>BK342*(1-PARAM!$C$27)*$I$18+(MOD($B342,60)=PARAM!$B$56)*($B342&gt;(60-PARAM!$B$56))*HLOOKUP(($B342+PARAM!$B$56)/12,Loyalty,2)*$F$1*MAX(BN341,0)</f>
        <v>18.557001321003963</v>
      </c>
      <c r="BM342" s="75">
        <f>PARAM!$C$26+MAX($G$18-CHOOSE(PARAM!$B$44,MAX(0,BN341*$F$1),0),0)*RATES!$L318/12+$H$18*(PARAM!$D$51/12)*RATES!$N318/100</f>
        <v>31.480048845627412</v>
      </c>
      <c r="BN342" s="16">
        <f t="shared" si="213"/>
        <v>259.28569308117613</v>
      </c>
      <c r="BO342" s="15">
        <f t="shared" si="188"/>
        <v>22.170849845882874</v>
      </c>
      <c r="BP342" s="75">
        <f>BO342*(1-PARAM!$C$27)*$I$19+(MOD($B342,60)=PARAM!$B$56)*($B342&gt;(60-PARAM!$B$56))*HLOOKUP(($B342+PARAM!$B$56)/12,Loyalty,2)*$F$1*MAX(BR341,0)</f>
        <v>18.557001321003963</v>
      </c>
      <c r="BQ342" s="75">
        <f>PARAM!$C$26+MAX($G$19-CHOOSE(PARAM!$B$44,MAX(0,BR341*$F$1),0),0)*RATES!$L318/12+$H$19*(PARAM!$D$51/12)*RATES!$N318/100</f>
        <v>31.480048845627412</v>
      </c>
      <c r="BR342" s="16">
        <f t="shared" si="214"/>
        <v>259.28569308117613</v>
      </c>
      <c r="BS342" s="15">
        <f t="shared" si="189"/>
        <v>22.170849845882874</v>
      </c>
      <c r="BT342" s="75">
        <f>BS342*(1-PARAM!$C$27)*$I$20+(MOD($B342,60)=PARAM!$B$56)*($B342&gt;(60-PARAM!$B$56))*HLOOKUP(($B342+PARAM!$B$56)/12,Loyalty,2)*$F$1*MAX(BV341,0)</f>
        <v>18.557001321003963</v>
      </c>
      <c r="BU342" s="75">
        <f>PARAM!$C$26+MAX($G$20-CHOOSE(PARAM!$B$44,MAX(0,BV341*$F$1),0),0)*RATES!$L318/12+$H$20*(PARAM!$D$51/12)*RATES!$N318/100</f>
        <v>31.480048845627412</v>
      </c>
      <c r="BV342" s="16">
        <f t="shared" si="215"/>
        <v>259.28569308117613</v>
      </c>
      <c r="BW342" s="15">
        <f t="shared" si="190"/>
        <v>22.170849845882874</v>
      </c>
      <c r="BX342" s="75">
        <f>BW342*(1-PARAM!$C$27)*$I$21+(MOD($B342,60)=PARAM!$B$56)*($B342&gt;(60-PARAM!$B$56))*HLOOKUP(($B342+PARAM!$B$56)/12,Loyalty,2)*$F$1*MAX(BZ341,0)</f>
        <v>18.557001321003963</v>
      </c>
      <c r="BY342" s="75">
        <f>PARAM!$C$26+MAX($G$21-CHOOSE(PARAM!$B$44,MAX(0,BZ341*$F$1),0),0)*RATES!$L318/12+$H$21*(PARAM!$D$51/12)*RATES!$N318/100</f>
        <v>31.480048845627412</v>
      </c>
      <c r="BZ342" s="16">
        <f t="shared" si="216"/>
        <v>259.28569308117613</v>
      </c>
      <c r="CA342" s="15">
        <f t="shared" si="191"/>
        <v>22.170849845882874</v>
      </c>
      <c r="CB342" s="75">
        <f>CA342*(1-PARAM!$C$27)*$I$22+(MOD($B342,60)=PARAM!$B$56)*($B342&gt;(60-PARAM!$B$56))*HLOOKUP(($B342+PARAM!$B$56)/12,Loyalty,2)*$F$1*MAX(CD341,0)</f>
        <v>18.557001321003963</v>
      </c>
      <c r="CC342" s="75">
        <f>PARAM!$C$26+MAX($G$22-CHOOSE(PARAM!$B$44,MAX(0,CD341*$F$1),0),0)*RATES!$L318/12+$H$22*(PARAM!$D$51/12)*RATES!$N318/100</f>
        <v>31.480048845627412</v>
      </c>
      <c r="CD342" s="16">
        <f t="shared" si="217"/>
        <v>259.28569308117613</v>
      </c>
      <c r="CE342" s="33">
        <f>IF(0=MOD(B342,12/PARAM!$D$51),1,0)</f>
        <v>1</v>
      </c>
      <c r="CF342" s="15">
        <f t="shared" si="192"/>
        <v>0</v>
      </c>
      <c r="CG342" s="75">
        <f>CF342*(1-PARAM!$C$27)*$R$3+(MOD($B342/12,5)=0)*($B342&gt;60)*HLOOKUP($B342/12,Loyalty,2)*$F$1*MAX(CI341,0)</f>
        <v>0</v>
      </c>
      <c r="CH342" s="75">
        <f>PARAM!$C$26+MAX($P$3-CHOOSE(PARAM!$B$44,MAX(0,CI341*$F$1),0),0)*RATES!$L318/12+$Q$3*(PARAM!$D$51/12)*RATES!$N318/100</f>
        <v>31.625</v>
      </c>
      <c r="CI342" s="16">
        <f>IF(CI341&gt;0,CI341*PARAM!$C$53,CI341)+CG342-CH342</f>
        <v>-5465.2499999999927</v>
      </c>
      <c r="CJ342" s="15">
        <f t="shared" si="218"/>
        <v>0</v>
      </c>
      <c r="CK342" s="75">
        <f>CJ342*(1-PARAM!$C$27)*$R$4+(MOD($B342/12,5)=0)*($B342&gt;60)*HLOOKUP($B342/12,Loyalty,2)*$F$1*MAX(CM341,0)</f>
        <v>0</v>
      </c>
      <c r="CL342" s="75">
        <f>PARAM!$C$26+MAX($P$4-CHOOSE(PARAM!$B$44,MAX(0,CM341*$F$1),0),0)*RATES!$L318/12+$Q$4*(PARAM!$D$51/12)*RATES!$N318/100</f>
        <v>31.625</v>
      </c>
      <c r="CM342" s="16">
        <f>IF(CM341&gt;0,CM341*PARAM!$C$53,CM341)+CK342-CL342</f>
        <v>-5465.2499999999927</v>
      </c>
      <c r="CO342" s="176"/>
    </row>
    <row r="343" spans="1:93" x14ac:dyDescent="0.2">
      <c r="A343" t="b">
        <f t="shared" si="193"/>
        <v>0</v>
      </c>
      <c r="B343" s="33">
        <v>316</v>
      </c>
      <c r="C343" s="15">
        <f t="shared" si="194"/>
        <v>20.081305947392778</v>
      </c>
      <c r="D343" s="75">
        <f>C343*(1-PARAM!$C$27)*$I$3+(MOD($B343,60)=PARAM!$B$56)*($B343&gt;(60-PARAM!$B$56))*HLOOKUP(($B343+PARAM!$B$56)/12,Loyalty,2)*$F$1*MAX(F342,0)</f>
        <v>16.808053077967756</v>
      </c>
      <c r="E343" s="75">
        <f>PARAM!$C$26+MAX($G$3-CHOOSE(PARAM!$B$44,MAX(0,F342*$F$1),0),0)*RATES!$L319/12+$H$3*(PARAM!$D$51/12)*RATES!$N319/100</f>
        <v>31.625</v>
      </c>
      <c r="F343" s="16">
        <f t="shared" si="195"/>
        <v>-341.95541876592358</v>
      </c>
      <c r="G343" s="15">
        <f t="shared" si="196"/>
        <v>22.035289406060361</v>
      </c>
      <c r="H343" s="75">
        <f>G343*(1-PARAM!$C$27)*$I$4+(MOD($B343,60)=PARAM!$B$56)*($B343&gt;(60-PARAM!$B$56))*HLOOKUP(($B343+PARAM!$B$56)/12,Loyalty,2)*$F$1*MAX(J342,0)</f>
        <v>18.443537232872522</v>
      </c>
      <c r="I343" s="75">
        <f>PARAM!$C$26+MAX($G$4-CHOOSE(PARAM!$B$44,MAX(0,J342*$F$1),0),0)*RATES!$L319/12+$H$4*(PARAM!$D$51/12)*RATES!$N319/100</f>
        <v>31.507375957056894</v>
      </c>
      <c r="J343" s="16">
        <f t="shared" si="197"/>
        <v>207.82638276520984</v>
      </c>
      <c r="K343" s="15">
        <f t="shared" si="198"/>
        <v>22.170849845882874</v>
      </c>
      <c r="L343" s="75">
        <f>K343*(1-PARAM!$C$27)*$I$5+(MOD($B343,60)=PARAM!$B$56)*($B343&gt;(60-PARAM!$B$56))*HLOOKUP(($B343+PARAM!$B$56)/12,Loyalty,2)*$F$1*MAX(N342,0)</f>
        <v>18.557001321003963</v>
      </c>
      <c r="M343" s="75">
        <f>PARAM!$C$26+MAX($G$5-CHOOSE(PARAM!$B$44,MAX(0,N342*$F$1),0),0)*RATES!$L319/12+$H$5*(PARAM!$D$51/12)*RATES!$N319/100</f>
        <v>31.486930368434273</v>
      </c>
      <c r="N343" s="16">
        <f t="shared" si="199"/>
        <v>246.3557640337458</v>
      </c>
      <c r="O343" s="15">
        <f t="shared" si="200"/>
        <v>22.170849845882874</v>
      </c>
      <c r="P343" s="75">
        <f>O343*(1-PARAM!$C$27)*$I$6+(MOD($B343,60)=PARAM!$B$56)*($B343&gt;(60-PARAM!$B$56))*HLOOKUP(($B343+PARAM!$B$56)/12,Loyalty,2)*$F$1*MAX(R342,0)</f>
        <v>18.557001321003963</v>
      </c>
      <c r="Q343" s="75">
        <f>PARAM!$C$26+MAX($G$6-CHOOSE(PARAM!$B$44,MAX(0,R342*$F$1),0),0)*RATES!$L319/12+$H$6*(PARAM!$D$51/12)*RATES!$N319/100</f>
        <v>31.486930368434273</v>
      </c>
      <c r="R343" s="16">
        <f t="shared" si="201"/>
        <v>246.3557640337458</v>
      </c>
      <c r="S343" s="15">
        <f t="shared" si="176"/>
        <v>22.170849845882874</v>
      </c>
      <c r="T343" s="75">
        <f>S343*(1-PARAM!$C$27)*$I$7+(MOD($B343,60)=PARAM!$B$56)*($B343&gt;(60-PARAM!$B$56))*HLOOKUP(($B343+PARAM!$B$56)/12,Loyalty,2)*$F$1*MAX(V342,0)</f>
        <v>18.557001321003963</v>
      </c>
      <c r="U343" s="75">
        <f>PARAM!$C$26+MAX($G$7-CHOOSE(PARAM!$B$44,MAX(0,V342*$F$1),0),0)*RATES!$L319/12+$H$7*(PARAM!$D$51/12)*RATES!$N319/100</f>
        <v>31.486930368434273</v>
      </c>
      <c r="V343" s="16">
        <f t="shared" si="202"/>
        <v>246.3557640337458</v>
      </c>
      <c r="W343" s="15">
        <f t="shared" si="177"/>
        <v>22.170849845882874</v>
      </c>
      <c r="X343" s="75">
        <f>W343*(1-PARAM!$C$27)*$I$8+(MOD($B343,60)=PARAM!$B$56)*($B343&gt;(60-PARAM!$B$56))*HLOOKUP(($B343+PARAM!$B$56)/12,Loyalty,2)*$F$1*MAX(Z342,0)</f>
        <v>18.557001321003963</v>
      </c>
      <c r="Y343" s="75">
        <f>PARAM!$C$26+MAX($G$8-CHOOSE(PARAM!$B$44,MAX(0,Z342*$F$1),0),0)*RATES!$L319/12+$H$8*(PARAM!$D$51/12)*RATES!$N319/100</f>
        <v>31.486930368434273</v>
      </c>
      <c r="Z343" s="16">
        <f t="shared" si="203"/>
        <v>246.3557640337458</v>
      </c>
      <c r="AA343" s="15">
        <f t="shared" si="178"/>
        <v>22.170849845882874</v>
      </c>
      <c r="AB343" s="75">
        <f>AA343*(1-PARAM!$C$27)*$I$9+(MOD($B343,60)=PARAM!$B$56)*($B343&gt;(60-PARAM!$B$56))*HLOOKUP(($B343+PARAM!$B$56)/12,Loyalty,2)*$F$1*MAX(AD342,0)</f>
        <v>18.557001321003963</v>
      </c>
      <c r="AC343" s="75">
        <f>PARAM!$C$26+MAX($G$9-CHOOSE(PARAM!$B$44,MAX(0,AD342*$F$1),0),0)*RATES!$L319/12+$H$9*(PARAM!$D$51/12)*RATES!$N319/100</f>
        <v>31.486930368434273</v>
      </c>
      <c r="AD343" s="16">
        <f t="shared" si="204"/>
        <v>246.3557640337458</v>
      </c>
      <c r="AE343" s="15">
        <f t="shared" si="179"/>
        <v>22.170849845882874</v>
      </c>
      <c r="AF343" s="75">
        <f>AE343*(1-PARAM!$C$27)*$I$10+(MOD($B343,60)=PARAM!$B$56)*($B343&gt;(60-PARAM!$B$56))*HLOOKUP(($B343+PARAM!$B$56)/12,Loyalty,2)*$F$1*MAX(AH342,0)</f>
        <v>18.557001321003963</v>
      </c>
      <c r="AG343" s="75">
        <f>PARAM!$C$26+MAX($G$10-CHOOSE(PARAM!$B$44,MAX(0,AH342*$F$1),0),0)*RATES!$L319/12+$H$10*(PARAM!$D$51/12)*RATES!$N319/100</f>
        <v>31.486930368434273</v>
      </c>
      <c r="AH343" s="16">
        <f t="shared" si="205"/>
        <v>246.3557640337458</v>
      </c>
      <c r="AI343" s="15">
        <f t="shared" si="180"/>
        <v>22.170849845882874</v>
      </c>
      <c r="AJ343" s="75">
        <f>AI343*(1-PARAM!$C$27)*$I$11+(MOD($B343,60)=PARAM!$B$56)*($B343&gt;(60-PARAM!$B$56))*HLOOKUP(($B343+PARAM!$B$56)/12,Loyalty,2)*$F$1*MAX(AL342,0)</f>
        <v>18.557001321003963</v>
      </c>
      <c r="AK343" s="75">
        <f>PARAM!$C$26+MAX($G$11-CHOOSE(PARAM!$B$44,MAX(0,AL342*$F$1),0),0)*RATES!$L319/12+$H$11*(PARAM!$D$51/12)*RATES!$N319/100</f>
        <v>31.486930368434273</v>
      </c>
      <c r="AL343" s="16">
        <f t="shared" si="206"/>
        <v>246.3557640337458</v>
      </c>
      <c r="AM343" s="15">
        <f t="shared" si="181"/>
        <v>22.170849845882874</v>
      </c>
      <c r="AN343" s="75">
        <f>AM343*(1-PARAM!$C$27)*$I$12+(MOD($B343,60)=PARAM!$B$56)*($B343&gt;(60-PARAM!$B$56))*HLOOKUP(($B343+PARAM!$B$56)/12,Loyalty,2)*$F$1*MAX(AP342,0)</f>
        <v>18.557001321003963</v>
      </c>
      <c r="AO343" s="75">
        <f>PARAM!$C$26+MAX($G$12-CHOOSE(PARAM!$B$44,MAX(0,AP342*$F$1),0),0)*RATES!$L319/12+$H$12*(PARAM!$D$51/12)*RATES!$N319/100</f>
        <v>31.486930368434273</v>
      </c>
      <c r="AP343" s="16">
        <f t="shared" si="207"/>
        <v>246.3557640337458</v>
      </c>
      <c r="AQ343" s="15">
        <f t="shared" si="182"/>
        <v>22.170849845882874</v>
      </c>
      <c r="AR343" s="75">
        <f>AQ343*(1-PARAM!$C$27)*$I$13+(MOD($B343,60)=PARAM!$B$56)*($B343&gt;(60-PARAM!$B$56))*HLOOKUP(($B343+PARAM!$B$56)/12,Loyalty,2)*$F$1*MAX(AT342,0)</f>
        <v>18.557001321003963</v>
      </c>
      <c r="AS343" s="75">
        <f>PARAM!$C$26+MAX($G$13-CHOOSE(PARAM!$B$44,MAX(0,AT342*$F$1),0),0)*RATES!$L319/12+$H$13*(PARAM!$D$51/12)*RATES!$N319/100</f>
        <v>31.486930368434273</v>
      </c>
      <c r="AT343" s="16">
        <f t="shared" si="208"/>
        <v>246.3557640337458</v>
      </c>
      <c r="AU343" s="15">
        <f t="shared" si="183"/>
        <v>22.170849845882874</v>
      </c>
      <c r="AV343" s="75">
        <f>AU343*(1-PARAM!$C$27)*$I$14+(MOD($B343,60)=PARAM!$B$56)*($B343&gt;(60-PARAM!$B$56))*HLOOKUP(($B343+PARAM!$B$56)/12,Loyalty,2)*$F$1*MAX(AX342,0)</f>
        <v>18.557001321003963</v>
      </c>
      <c r="AW343" s="75">
        <f>PARAM!$C$26+MAX($G$14-CHOOSE(PARAM!$B$44,MAX(0,AX342*$F$1),0),0)*RATES!$L319/12+$H$14*(PARAM!$D$51/12)*RATES!$N319/100</f>
        <v>31.486930368434273</v>
      </c>
      <c r="AX343" s="16">
        <f t="shared" si="209"/>
        <v>246.3557640337458</v>
      </c>
      <c r="AY343" s="15">
        <f t="shared" si="184"/>
        <v>22.170849845882874</v>
      </c>
      <c r="AZ343" s="75">
        <f>AY343*(1-PARAM!$C$27)*$I$15+(MOD($B343,60)=PARAM!$B$56)*($B343&gt;(60-PARAM!$B$56))*HLOOKUP(($B343+PARAM!$B$56)/12,Loyalty,2)*$F$1*MAX(BB342,0)</f>
        <v>18.557001321003963</v>
      </c>
      <c r="BA343" s="75">
        <f>PARAM!$C$26+MAX($G$15-CHOOSE(PARAM!$B$44,MAX(0,BB342*$F$1),0),0)*RATES!$L319/12+$H$15*(PARAM!$D$51/12)*RATES!$N319/100</f>
        <v>31.486930368434273</v>
      </c>
      <c r="BB343" s="16">
        <f t="shared" si="210"/>
        <v>246.3557640337458</v>
      </c>
      <c r="BC343" s="15">
        <f t="shared" si="185"/>
        <v>22.170849845882874</v>
      </c>
      <c r="BD343" s="75">
        <f>BC343*(1-PARAM!$C$27)*$I$16+(MOD($B343,60)=PARAM!$B$56)*($B343&gt;(60-PARAM!$B$56))*HLOOKUP(($B343+PARAM!$B$56)/12,Loyalty,2)*$F$1*MAX(BF342,0)</f>
        <v>18.557001321003963</v>
      </c>
      <c r="BE343" s="75">
        <f>PARAM!$C$26+MAX($G$16-CHOOSE(PARAM!$B$44,MAX(0,BF342*$F$1),0),0)*RATES!$L319/12+$H$16*(PARAM!$D$51/12)*RATES!$N319/100</f>
        <v>31.486930368434273</v>
      </c>
      <c r="BF343" s="16">
        <f t="shared" si="211"/>
        <v>246.3557640337458</v>
      </c>
      <c r="BG343" s="15">
        <f t="shared" si="186"/>
        <v>22.170849845882874</v>
      </c>
      <c r="BH343" s="75">
        <f>BG343*(1-PARAM!$C$27)*$I$17+(MOD($B343,60)=PARAM!$B$56)*($B343&gt;(60-PARAM!$B$56))*HLOOKUP(($B343+PARAM!$B$56)/12,Loyalty,2)*$F$1*MAX(BJ342,0)</f>
        <v>18.557001321003963</v>
      </c>
      <c r="BI343" s="75">
        <f>PARAM!$C$26+MAX($G$17-CHOOSE(PARAM!$B$44,MAX(0,BJ342*$F$1),0),0)*RATES!$L319/12+$H$17*(PARAM!$D$51/12)*RATES!$N319/100</f>
        <v>31.486930368434273</v>
      </c>
      <c r="BJ343" s="16">
        <f t="shared" si="212"/>
        <v>246.3557640337458</v>
      </c>
      <c r="BK343" s="15">
        <f t="shared" si="187"/>
        <v>22.170849845882874</v>
      </c>
      <c r="BL343" s="75">
        <f>BK343*(1-PARAM!$C$27)*$I$18+(MOD($B343,60)=PARAM!$B$56)*($B343&gt;(60-PARAM!$B$56))*HLOOKUP(($B343+PARAM!$B$56)/12,Loyalty,2)*$F$1*MAX(BN342,0)</f>
        <v>18.557001321003963</v>
      </c>
      <c r="BM343" s="75">
        <f>PARAM!$C$26+MAX($G$18-CHOOSE(PARAM!$B$44,MAX(0,BN342*$F$1),0),0)*RATES!$L319/12+$H$18*(PARAM!$D$51/12)*RATES!$N319/100</f>
        <v>31.486930368434273</v>
      </c>
      <c r="BN343" s="16">
        <f t="shared" si="213"/>
        <v>246.3557640337458</v>
      </c>
      <c r="BO343" s="15">
        <f t="shared" si="188"/>
        <v>22.170849845882874</v>
      </c>
      <c r="BP343" s="75">
        <f>BO343*(1-PARAM!$C$27)*$I$19+(MOD($B343,60)=PARAM!$B$56)*($B343&gt;(60-PARAM!$B$56))*HLOOKUP(($B343+PARAM!$B$56)/12,Loyalty,2)*$F$1*MAX(BR342,0)</f>
        <v>18.557001321003963</v>
      </c>
      <c r="BQ343" s="75">
        <f>PARAM!$C$26+MAX($G$19-CHOOSE(PARAM!$B$44,MAX(0,BR342*$F$1),0),0)*RATES!$L319/12+$H$19*(PARAM!$D$51/12)*RATES!$N319/100</f>
        <v>31.486930368434273</v>
      </c>
      <c r="BR343" s="16">
        <f t="shared" si="214"/>
        <v>246.3557640337458</v>
      </c>
      <c r="BS343" s="15">
        <f t="shared" si="189"/>
        <v>22.170849845882874</v>
      </c>
      <c r="BT343" s="75">
        <f>BS343*(1-PARAM!$C$27)*$I$20+(MOD($B343,60)=PARAM!$B$56)*($B343&gt;(60-PARAM!$B$56))*HLOOKUP(($B343+PARAM!$B$56)/12,Loyalty,2)*$F$1*MAX(BV342,0)</f>
        <v>18.557001321003963</v>
      </c>
      <c r="BU343" s="75">
        <f>PARAM!$C$26+MAX($G$20-CHOOSE(PARAM!$B$44,MAX(0,BV342*$F$1),0),0)*RATES!$L319/12+$H$20*(PARAM!$D$51/12)*RATES!$N319/100</f>
        <v>31.486930368434273</v>
      </c>
      <c r="BV343" s="16">
        <f t="shared" si="215"/>
        <v>246.3557640337458</v>
      </c>
      <c r="BW343" s="15">
        <f t="shared" si="190"/>
        <v>22.170849845882874</v>
      </c>
      <c r="BX343" s="75">
        <f>BW343*(1-PARAM!$C$27)*$I$21+(MOD($B343,60)=PARAM!$B$56)*($B343&gt;(60-PARAM!$B$56))*HLOOKUP(($B343+PARAM!$B$56)/12,Loyalty,2)*$F$1*MAX(BZ342,0)</f>
        <v>18.557001321003963</v>
      </c>
      <c r="BY343" s="75">
        <f>PARAM!$C$26+MAX($G$21-CHOOSE(PARAM!$B$44,MAX(0,BZ342*$F$1),0),0)*RATES!$L319/12+$H$21*(PARAM!$D$51/12)*RATES!$N319/100</f>
        <v>31.486930368434273</v>
      </c>
      <c r="BZ343" s="16">
        <f t="shared" si="216"/>
        <v>246.3557640337458</v>
      </c>
      <c r="CA343" s="15">
        <f t="shared" si="191"/>
        <v>22.170849845882874</v>
      </c>
      <c r="CB343" s="75">
        <f>CA343*(1-PARAM!$C$27)*$I$22+(MOD($B343,60)=PARAM!$B$56)*($B343&gt;(60-PARAM!$B$56))*HLOOKUP(($B343+PARAM!$B$56)/12,Loyalty,2)*$F$1*MAX(CD342,0)</f>
        <v>18.557001321003963</v>
      </c>
      <c r="CC343" s="75">
        <f>PARAM!$C$26+MAX($G$22-CHOOSE(PARAM!$B$44,MAX(0,CD342*$F$1),0),0)*RATES!$L319/12+$H$22*(PARAM!$D$51/12)*RATES!$N319/100</f>
        <v>31.486930368434273</v>
      </c>
      <c r="CD343" s="16">
        <f t="shared" si="217"/>
        <v>246.3557640337458</v>
      </c>
      <c r="CE343" s="33">
        <f>IF(0=MOD(B343,12/PARAM!$D$51),1,0)</f>
        <v>1</v>
      </c>
      <c r="CF343" s="15">
        <f t="shared" si="192"/>
        <v>0</v>
      </c>
      <c r="CG343" s="75">
        <f>CF343*(1-PARAM!$C$27)*$R$3+(MOD($B343/12,5)=0)*($B343&gt;60)*HLOOKUP($B343/12,Loyalty,2)*$F$1*MAX(CI342,0)</f>
        <v>0</v>
      </c>
      <c r="CH343" s="75">
        <f>PARAM!$C$26+MAX($P$3-CHOOSE(PARAM!$B$44,MAX(0,CI342*$F$1),0),0)*RATES!$L319/12+$Q$3*(PARAM!$D$51/12)*RATES!$N319/100</f>
        <v>31.625</v>
      </c>
      <c r="CI343" s="16">
        <f>IF(CI342&gt;0,CI342*PARAM!$C$53,CI342)+CG343-CH343</f>
        <v>-5496.8749999999927</v>
      </c>
      <c r="CJ343" s="15">
        <f t="shared" si="218"/>
        <v>0</v>
      </c>
      <c r="CK343" s="75">
        <f>CJ343*(1-PARAM!$C$27)*$R$4+(MOD($B343/12,5)=0)*($B343&gt;60)*HLOOKUP($B343/12,Loyalty,2)*$F$1*MAX(CM342,0)</f>
        <v>0</v>
      </c>
      <c r="CL343" s="75">
        <f>PARAM!$C$26+MAX($P$4-CHOOSE(PARAM!$B$44,MAX(0,CM342*$F$1),0),0)*RATES!$L319/12+$Q$4*(PARAM!$D$51/12)*RATES!$N319/100</f>
        <v>31.625</v>
      </c>
      <c r="CM343" s="16">
        <f>IF(CM342&gt;0,CM342*PARAM!$C$53,CM342)+CK343-CL343</f>
        <v>-5496.8749999999927</v>
      </c>
      <c r="CO343" s="176"/>
    </row>
    <row r="344" spans="1:93" x14ac:dyDescent="0.2">
      <c r="A344" t="b">
        <f t="shared" si="193"/>
        <v>0</v>
      </c>
      <c r="B344" s="33">
        <v>317</v>
      </c>
      <c r="C344" s="15">
        <f t="shared" si="194"/>
        <v>20.081305947392778</v>
      </c>
      <c r="D344" s="75">
        <f>C344*(1-PARAM!$C$27)*$I$3+(MOD($B344,60)=PARAM!$B$56)*($B344&gt;(60-PARAM!$B$56))*HLOOKUP(($B344+PARAM!$B$56)/12,Loyalty,2)*$F$1*MAX(F343,0)</f>
        <v>16.808053077967756</v>
      </c>
      <c r="E344" s="75">
        <f>PARAM!$C$26+MAX($G$3-CHOOSE(PARAM!$B$44,MAX(0,F343*$F$1),0),0)*RATES!$L320/12+$H$3*(PARAM!$D$51/12)*RATES!$N320/100</f>
        <v>31.625</v>
      </c>
      <c r="F344" s="16">
        <f t="shared" si="195"/>
        <v>-356.77236568795581</v>
      </c>
      <c r="G344" s="15">
        <f t="shared" si="196"/>
        <v>22.035289406060361</v>
      </c>
      <c r="H344" s="75">
        <f>G344*(1-PARAM!$C$27)*$I$4+(MOD($B344,60)=PARAM!$B$56)*($B344&gt;(60-PARAM!$B$56))*HLOOKUP(($B344+PARAM!$B$56)/12,Loyalty,2)*$F$1*MAX(J343,0)</f>
        <v>18.443537232872522</v>
      </c>
      <c r="I344" s="75">
        <f>PARAM!$C$26+MAX($G$4-CHOOSE(PARAM!$B$44,MAX(0,J343*$F$1),0),0)*RATES!$L320/12+$H$4*(PARAM!$D$51/12)*RATES!$N320/100</f>
        <v>31.514332451177523</v>
      </c>
      <c r="J344" s="16">
        <f t="shared" si="197"/>
        <v>194.75558754690485</v>
      </c>
      <c r="K344" s="15">
        <f t="shared" si="198"/>
        <v>22.170849845882874</v>
      </c>
      <c r="L344" s="75">
        <f>K344*(1-PARAM!$C$27)*$I$5+(MOD($B344,60)=PARAM!$B$56)*($B344&gt;(60-PARAM!$B$56))*HLOOKUP(($B344+PARAM!$B$56)/12,Loyalty,2)*$F$1*MAX(N343,0)</f>
        <v>18.557001321003963</v>
      </c>
      <c r="M344" s="75">
        <f>PARAM!$C$26+MAX($G$5-CHOOSE(PARAM!$B$44,MAX(0,N343*$F$1),0),0)*RATES!$L320/12+$H$5*(PARAM!$D$51/12)*RATES!$N320/100</f>
        <v>31.493815555652031</v>
      </c>
      <c r="N344" s="16">
        <f t="shared" si="199"/>
        <v>233.41894979909773</v>
      </c>
      <c r="O344" s="15">
        <f t="shared" si="200"/>
        <v>22.170849845882874</v>
      </c>
      <c r="P344" s="75">
        <f>O344*(1-PARAM!$C$27)*$I$6+(MOD($B344,60)=PARAM!$B$56)*($B344&gt;(60-PARAM!$B$56))*HLOOKUP(($B344+PARAM!$B$56)/12,Loyalty,2)*$F$1*MAX(R343,0)</f>
        <v>18.557001321003963</v>
      </c>
      <c r="Q344" s="75">
        <f>PARAM!$C$26+MAX($G$6-CHOOSE(PARAM!$B$44,MAX(0,R343*$F$1),0),0)*RATES!$L320/12+$H$6*(PARAM!$D$51/12)*RATES!$N320/100</f>
        <v>31.493815555652031</v>
      </c>
      <c r="R344" s="16">
        <f t="shared" si="201"/>
        <v>233.41894979909773</v>
      </c>
      <c r="S344" s="15">
        <f t="shared" si="176"/>
        <v>22.170849845882874</v>
      </c>
      <c r="T344" s="75">
        <f>S344*(1-PARAM!$C$27)*$I$7+(MOD($B344,60)=PARAM!$B$56)*($B344&gt;(60-PARAM!$B$56))*HLOOKUP(($B344+PARAM!$B$56)/12,Loyalty,2)*$F$1*MAX(V343,0)</f>
        <v>18.557001321003963</v>
      </c>
      <c r="U344" s="75">
        <f>PARAM!$C$26+MAX($G$7-CHOOSE(PARAM!$B$44,MAX(0,V343*$F$1),0),0)*RATES!$L320/12+$H$7*(PARAM!$D$51/12)*RATES!$N320/100</f>
        <v>31.493815555652031</v>
      </c>
      <c r="V344" s="16">
        <f t="shared" si="202"/>
        <v>233.41894979909773</v>
      </c>
      <c r="W344" s="15">
        <f t="shared" si="177"/>
        <v>22.170849845882874</v>
      </c>
      <c r="X344" s="75">
        <f>W344*(1-PARAM!$C$27)*$I$8+(MOD($B344,60)=PARAM!$B$56)*($B344&gt;(60-PARAM!$B$56))*HLOOKUP(($B344+PARAM!$B$56)/12,Loyalty,2)*$F$1*MAX(Z343,0)</f>
        <v>18.557001321003963</v>
      </c>
      <c r="Y344" s="75">
        <f>PARAM!$C$26+MAX($G$8-CHOOSE(PARAM!$B$44,MAX(0,Z343*$F$1),0),0)*RATES!$L320/12+$H$8*(PARAM!$D$51/12)*RATES!$N320/100</f>
        <v>31.493815555652031</v>
      </c>
      <c r="Z344" s="16">
        <f t="shared" si="203"/>
        <v>233.41894979909773</v>
      </c>
      <c r="AA344" s="15">
        <f t="shared" si="178"/>
        <v>22.170849845882874</v>
      </c>
      <c r="AB344" s="75">
        <f>AA344*(1-PARAM!$C$27)*$I$9+(MOD($B344,60)=PARAM!$B$56)*($B344&gt;(60-PARAM!$B$56))*HLOOKUP(($B344+PARAM!$B$56)/12,Loyalty,2)*$F$1*MAX(AD343,0)</f>
        <v>18.557001321003963</v>
      </c>
      <c r="AC344" s="75">
        <f>PARAM!$C$26+MAX($G$9-CHOOSE(PARAM!$B$44,MAX(0,AD343*$F$1),0),0)*RATES!$L320/12+$H$9*(PARAM!$D$51/12)*RATES!$N320/100</f>
        <v>31.493815555652031</v>
      </c>
      <c r="AD344" s="16">
        <f t="shared" si="204"/>
        <v>233.41894979909773</v>
      </c>
      <c r="AE344" s="15">
        <f t="shared" si="179"/>
        <v>22.170849845882874</v>
      </c>
      <c r="AF344" s="75">
        <f>AE344*(1-PARAM!$C$27)*$I$10+(MOD($B344,60)=PARAM!$B$56)*($B344&gt;(60-PARAM!$B$56))*HLOOKUP(($B344+PARAM!$B$56)/12,Loyalty,2)*$F$1*MAX(AH343,0)</f>
        <v>18.557001321003963</v>
      </c>
      <c r="AG344" s="75">
        <f>PARAM!$C$26+MAX($G$10-CHOOSE(PARAM!$B$44,MAX(0,AH343*$F$1),0),0)*RATES!$L320/12+$H$10*(PARAM!$D$51/12)*RATES!$N320/100</f>
        <v>31.493815555652031</v>
      </c>
      <c r="AH344" s="16">
        <f t="shared" si="205"/>
        <v>233.41894979909773</v>
      </c>
      <c r="AI344" s="15">
        <f t="shared" si="180"/>
        <v>22.170849845882874</v>
      </c>
      <c r="AJ344" s="75">
        <f>AI344*(1-PARAM!$C$27)*$I$11+(MOD($B344,60)=PARAM!$B$56)*($B344&gt;(60-PARAM!$B$56))*HLOOKUP(($B344+PARAM!$B$56)/12,Loyalty,2)*$F$1*MAX(AL343,0)</f>
        <v>18.557001321003963</v>
      </c>
      <c r="AK344" s="75">
        <f>PARAM!$C$26+MAX($G$11-CHOOSE(PARAM!$B$44,MAX(0,AL343*$F$1),0),0)*RATES!$L320/12+$H$11*(PARAM!$D$51/12)*RATES!$N320/100</f>
        <v>31.493815555652031</v>
      </c>
      <c r="AL344" s="16">
        <f t="shared" si="206"/>
        <v>233.41894979909773</v>
      </c>
      <c r="AM344" s="15">
        <f t="shared" si="181"/>
        <v>22.170849845882874</v>
      </c>
      <c r="AN344" s="75">
        <f>AM344*(1-PARAM!$C$27)*$I$12+(MOD($B344,60)=PARAM!$B$56)*($B344&gt;(60-PARAM!$B$56))*HLOOKUP(($B344+PARAM!$B$56)/12,Loyalty,2)*$F$1*MAX(AP343,0)</f>
        <v>18.557001321003963</v>
      </c>
      <c r="AO344" s="75">
        <f>PARAM!$C$26+MAX($G$12-CHOOSE(PARAM!$B$44,MAX(0,AP343*$F$1),0),0)*RATES!$L320/12+$H$12*(PARAM!$D$51/12)*RATES!$N320/100</f>
        <v>31.493815555652031</v>
      </c>
      <c r="AP344" s="16">
        <f t="shared" si="207"/>
        <v>233.41894979909773</v>
      </c>
      <c r="AQ344" s="15">
        <f t="shared" si="182"/>
        <v>22.170849845882874</v>
      </c>
      <c r="AR344" s="75">
        <f>AQ344*(1-PARAM!$C$27)*$I$13+(MOD($B344,60)=PARAM!$B$56)*($B344&gt;(60-PARAM!$B$56))*HLOOKUP(($B344+PARAM!$B$56)/12,Loyalty,2)*$F$1*MAX(AT343,0)</f>
        <v>18.557001321003963</v>
      </c>
      <c r="AS344" s="75">
        <f>PARAM!$C$26+MAX($G$13-CHOOSE(PARAM!$B$44,MAX(0,AT343*$F$1),0),0)*RATES!$L320/12+$H$13*(PARAM!$D$51/12)*RATES!$N320/100</f>
        <v>31.493815555652031</v>
      </c>
      <c r="AT344" s="16">
        <f t="shared" si="208"/>
        <v>233.41894979909773</v>
      </c>
      <c r="AU344" s="15">
        <f t="shared" si="183"/>
        <v>22.170849845882874</v>
      </c>
      <c r="AV344" s="75">
        <f>AU344*(1-PARAM!$C$27)*$I$14+(MOD($B344,60)=PARAM!$B$56)*($B344&gt;(60-PARAM!$B$56))*HLOOKUP(($B344+PARAM!$B$56)/12,Loyalty,2)*$F$1*MAX(AX343,0)</f>
        <v>18.557001321003963</v>
      </c>
      <c r="AW344" s="75">
        <f>PARAM!$C$26+MAX($G$14-CHOOSE(PARAM!$B$44,MAX(0,AX343*$F$1),0),0)*RATES!$L320/12+$H$14*(PARAM!$D$51/12)*RATES!$N320/100</f>
        <v>31.493815555652031</v>
      </c>
      <c r="AX344" s="16">
        <f t="shared" si="209"/>
        <v>233.41894979909773</v>
      </c>
      <c r="AY344" s="15">
        <f t="shared" si="184"/>
        <v>22.170849845882874</v>
      </c>
      <c r="AZ344" s="75">
        <f>AY344*(1-PARAM!$C$27)*$I$15+(MOD($B344,60)=PARAM!$B$56)*($B344&gt;(60-PARAM!$B$56))*HLOOKUP(($B344+PARAM!$B$56)/12,Loyalty,2)*$F$1*MAX(BB343,0)</f>
        <v>18.557001321003963</v>
      </c>
      <c r="BA344" s="75">
        <f>PARAM!$C$26+MAX($G$15-CHOOSE(PARAM!$B$44,MAX(0,BB343*$F$1),0),0)*RATES!$L320/12+$H$15*(PARAM!$D$51/12)*RATES!$N320/100</f>
        <v>31.493815555652031</v>
      </c>
      <c r="BB344" s="16">
        <f t="shared" si="210"/>
        <v>233.41894979909773</v>
      </c>
      <c r="BC344" s="15">
        <f t="shared" si="185"/>
        <v>22.170849845882874</v>
      </c>
      <c r="BD344" s="75">
        <f>BC344*(1-PARAM!$C$27)*$I$16+(MOD($B344,60)=PARAM!$B$56)*($B344&gt;(60-PARAM!$B$56))*HLOOKUP(($B344+PARAM!$B$56)/12,Loyalty,2)*$F$1*MAX(BF343,0)</f>
        <v>18.557001321003963</v>
      </c>
      <c r="BE344" s="75">
        <f>PARAM!$C$26+MAX($G$16-CHOOSE(PARAM!$B$44,MAX(0,BF343*$F$1),0),0)*RATES!$L320/12+$H$16*(PARAM!$D$51/12)*RATES!$N320/100</f>
        <v>31.493815555652031</v>
      </c>
      <c r="BF344" s="16">
        <f t="shared" si="211"/>
        <v>233.41894979909773</v>
      </c>
      <c r="BG344" s="15">
        <f t="shared" si="186"/>
        <v>22.170849845882874</v>
      </c>
      <c r="BH344" s="75">
        <f>BG344*(1-PARAM!$C$27)*$I$17+(MOD($B344,60)=PARAM!$B$56)*($B344&gt;(60-PARAM!$B$56))*HLOOKUP(($B344+PARAM!$B$56)/12,Loyalty,2)*$F$1*MAX(BJ343,0)</f>
        <v>18.557001321003963</v>
      </c>
      <c r="BI344" s="75">
        <f>PARAM!$C$26+MAX($G$17-CHOOSE(PARAM!$B$44,MAX(0,BJ343*$F$1),0),0)*RATES!$L320/12+$H$17*(PARAM!$D$51/12)*RATES!$N320/100</f>
        <v>31.493815555652031</v>
      </c>
      <c r="BJ344" s="16">
        <f t="shared" si="212"/>
        <v>233.41894979909773</v>
      </c>
      <c r="BK344" s="15">
        <f t="shared" si="187"/>
        <v>22.170849845882874</v>
      </c>
      <c r="BL344" s="75">
        <f>BK344*(1-PARAM!$C$27)*$I$18+(MOD($B344,60)=PARAM!$B$56)*($B344&gt;(60-PARAM!$B$56))*HLOOKUP(($B344+PARAM!$B$56)/12,Loyalty,2)*$F$1*MAX(BN343,0)</f>
        <v>18.557001321003963</v>
      </c>
      <c r="BM344" s="75">
        <f>PARAM!$C$26+MAX($G$18-CHOOSE(PARAM!$B$44,MAX(0,BN343*$F$1),0),0)*RATES!$L320/12+$H$18*(PARAM!$D$51/12)*RATES!$N320/100</f>
        <v>31.493815555652031</v>
      </c>
      <c r="BN344" s="16">
        <f t="shared" si="213"/>
        <v>233.41894979909773</v>
      </c>
      <c r="BO344" s="15">
        <f t="shared" si="188"/>
        <v>22.170849845882874</v>
      </c>
      <c r="BP344" s="75">
        <f>BO344*(1-PARAM!$C$27)*$I$19+(MOD($B344,60)=PARAM!$B$56)*($B344&gt;(60-PARAM!$B$56))*HLOOKUP(($B344+PARAM!$B$56)/12,Loyalty,2)*$F$1*MAX(BR343,0)</f>
        <v>18.557001321003963</v>
      </c>
      <c r="BQ344" s="75">
        <f>PARAM!$C$26+MAX($G$19-CHOOSE(PARAM!$B$44,MAX(0,BR343*$F$1),0),0)*RATES!$L320/12+$H$19*(PARAM!$D$51/12)*RATES!$N320/100</f>
        <v>31.493815555652031</v>
      </c>
      <c r="BR344" s="16">
        <f t="shared" si="214"/>
        <v>233.41894979909773</v>
      </c>
      <c r="BS344" s="15">
        <f t="shared" si="189"/>
        <v>22.170849845882874</v>
      </c>
      <c r="BT344" s="75">
        <f>BS344*(1-PARAM!$C$27)*$I$20+(MOD($B344,60)=PARAM!$B$56)*($B344&gt;(60-PARAM!$B$56))*HLOOKUP(($B344+PARAM!$B$56)/12,Loyalty,2)*$F$1*MAX(BV343,0)</f>
        <v>18.557001321003963</v>
      </c>
      <c r="BU344" s="75">
        <f>PARAM!$C$26+MAX($G$20-CHOOSE(PARAM!$B$44,MAX(0,BV343*$F$1),0),0)*RATES!$L320/12+$H$20*(PARAM!$D$51/12)*RATES!$N320/100</f>
        <v>31.493815555652031</v>
      </c>
      <c r="BV344" s="16">
        <f t="shared" si="215"/>
        <v>233.41894979909773</v>
      </c>
      <c r="BW344" s="15">
        <f t="shared" si="190"/>
        <v>22.170849845882874</v>
      </c>
      <c r="BX344" s="75">
        <f>BW344*(1-PARAM!$C$27)*$I$21+(MOD($B344,60)=PARAM!$B$56)*($B344&gt;(60-PARAM!$B$56))*HLOOKUP(($B344+PARAM!$B$56)/12,Loyalty,2)*$F$1*MAX(BZ343,0)</f>
        <v>18.557001321003963</v>
      </c>
      <c r="BY344" s="75">
        <f>PARAM!$C$26+MAX($G$21-CHOOSE(PARAM!$B$44,MAX(0,BZ343*$F$1),0),0)*RATES!$L320/12+$H$21*(PARAM!$D$51/12)*RATES!$N320/100</f>
        <v>31.493815555652031</v>
      </c>
      <c r="BZ344" s="16">
        <f t="shared" si="216"/>
        <v>233.41894979909773</v>
      </c>
      <c r="CA344" s="15">
        <f t="shared" si="191"/>
        <v>22.170849845882874</v>
      </c>
      <c r="CB344" s="75">
        <f>CA344*(1-PARAM!$C$27)*$I$22+(MOD($B344,60)=PARAM!$B$56)*($B344&gt;(60-PARAM!$B$56))*HLOOKUP(($B344+PARAM!$B$56)/12,Loyalty,2)*$F$1*MAX(CD343,0)</f>
        <v>18.557001321003963</v>
      </c>
      <c r="CC344" s="75">
        <f>PARAM!$C$26+MAX($G$22-CHOOSE(PARAM!$B$44,MAX(0,CD343*$F$1),0),0)*RATES!$L320/12+$H$22*(PARAM!$D$51/12)*RATES!$N320/100</f>
        <v>31.493815555652031</v>
      </c>
      <c r="CD344" s="16">
        <f t="shared" si="217"/>
        <v>233.41894979909773</v>
      </c>
      <c r="CE344" s="33">
        <f>IF(0=MOD(B344,12/PARAM!$D$51),1,0)</f>
        <v>1</v>
      </c>
      <c r="CF344" s="15">
        <f t="shared" si="192"/>
        <v>0</v>
      </c>
      <c r="CG344" s="75">
        <f>CF344*(1-PARAM!$C$27)*$R$3+(MOD($B344/12,5)=0)*($B344&gt;60)*HLOOKUP($B344/12,Loyalty,2)*$F$1*MAX(CI343,0)</f>
        <v>0</v>
      </c>
      <c r="CH344" s="75">
        <f>PARAM!$C$26+MAX($P$3-CHOOSE(PARAM!$B$44,MAX(0,CI343*$F$1),0),0)*RATES!$L320/12+$Q$3*(PARAM!$D$51/12)*RATES!$N320/100</f>
        <v>31.625</v>
      </c>
      <c r="CI344" s="16">
        <f>IF(CI343&gt;0,CI343*PARAM!$C$53,CI343)+CG344-CH344</f>
        <v>-5528.4999999999927</v>
      </c>
      <c r="CJ344" s="15">
        <f t="shared" si="218"/>
        <v>0</v>
      </c>
      <c r="CK344" s="75">
        <f>CJ344*(1-PARAM!$C$27)*$R$4+(MOD($B344/12,5)=0)*($B344&gt;60)*HLOOKUP($B344/12,Loyalty,2)*$F$1*MAX(CM343,0)</f>
        <v>0</v>
      </c>
      <c r="CL344" s="75">
        <f>PARAM!$C$26+MAX($P$4-CHOOSE(PARAM!$B$44,MAX(0,CM343*$F$1),0),0)*RATES!$L320/12+$Q$4*(PARAM!$D$51/12)*RATES!$N320/100</f>
        <v>31.625</v>
      </c>
      <c r="CM344" s="16">
        <f>IF(CM343&gt;0,CM343*PARAM!$C$53,CM343)+CK344-CL344</f>
        <v>-5528.4999999999927</v>
      </c>
      <c r="CO344" s="176"/>
    </row>
    <row r="345" spans="1:93" x14ac:dyDescent="0.2">
      <c r="A345" t="b">
        <f t="shared" si="193"/>
        <v>0</v>
      </c>
      <c r="B345" s="33">
        <v>318</v>
      </c>
      <c r="C345" s="15">
        <f t="shared" si="194"/>
        <v>20.081305947392778</v>
      </c>
      <c r="D345" s="75">
        <f>C345*(1-PARAM!$C$27)*$I$3+(MOD($B345,60)=PARAM!$B$56)*($B345&gt;(60-PARAM!$B$56))*HLOOKUP(($B345+PARAM!$B$56)/12,Loyalty,2)*$F$1*MAX(F344,0)</f>
        <v>16.808053077967756</v>
      </c>
      <c r="E345" s="75">
        <f>PARAM!$C$26+MAX($G$3-CHOOSE(PARAM!$B$44,MAX(0,F344*$F$1),0),0)*RATES!$L321/12+$H$3*(PARAM!$D$51/12)*RATES!$N321/100</f>
        <v>34.75</v>
      </c>
      <c r="F345" s="16">
        <f t="shared" si="195"/>
        <v>-374.71431260998804</v>
      </c>
      <c r="G345" s="15">
        <f t="shared" si="196"/>
        <v>22.035289406060361</v>
      </c>
      <c r="H345" s="75">
        <f>G345*(1-PARAM!$C$27)*$I$4+(MOD($B345,60)=PARAM!$B$56)*($B345&gt;(60-PARAM!$B$56))*HLOOKUP(($B345+PARAM!$B$56)/12,Loyalty,2)*$F$1*MAX(J344,0)</f>
        <v>18.443537232872522</v>
      </c>
      <c r="I345" s="75">
        <f>PARAM!$C$26+MAX($G$4-CHOOSE(PARAM!$B$44,MAX(0,J344*$F$1),0),0)*RATES!$L321/12+$H$4*(PARAM!$D$51/12)*RATES!$N321/100</f>
        <v>34.634120425409591</v>
      </c>
      <c r="J345" s="16">
        <f t="shared" si="197"/>
        <v>178.56500435436777</v>
      </c>
      <c r="K345" s="15">
        <f t="shared" si="198"/>
        <v>22.170849845882874</v>
      </c>
      <c r="L345" s="75">
        <f>K345*(1-PARAM!$C$27)*$I$5+(MOD($B345,60)=PARAM!$B$56)*($B345&gt;(60-PARAM!$B$56))*HLOOKUP(($B345+PARAM!$B$56)/12,Loyalty,2)*$F$1*MAX(N344,0)</f>
        <v>18.557001321003963</v>
      </c>
      <c r="M345" s="75">
        <f>PARAM!$C$26+MAX($G$5-CHOOSE(PARAM!$B$44,MAX(0,N344*$F$1),0),0)*RATES!$L321/12+$H$5*(PARAM!$D$51/12)*RATES!$N321/100</f>
        <v>34.611115724869535</v>
      </c>
      <c r="N345" s="16">
        <f t="shared" si="199"/>
        <v>217.36483539523215</v>
      </c>
      <c r="O345" s="15">
        <f t="shared" si="200"/>
        <v>22.170849845882874</v>
      </c>
      <c r="P345" s="75">
        <f>O345*(1-PARAM!$C$27)*$I$6+(MOD($B345,60)=PARAM!$B$56)*($B345&gt;(60-PARAM!$B$56))*HLOOKUP(($B345+PARAM!$B$56)/12,Loyalty,2)*$F$1*MAX(R344,0)</f>
        <v>18.557001321003963</v>
      </c>
      <c r="Q345" s="75">
        <f>PARAM!$C$26+MAX($G$6-CHOOSE(PARAM!$B$44,MAX(0,R344*$F$1),0),0)*RATES!$L321/12+$H$6*(PARAM!$D$51/12)*RATES!$N321/100</f>
        <v>34.611115724869535</v>
      </c>
      <c r="R345" s="16">
        <f t="shared" si="201"/>
        <v>217.36483539523215</v>
      </c>
      <c r="S345" s="15">
        <f t="shared" si="176"/>
        <v>22.170849845882874</v>
      </c>
      <c r="T345" s="75">
        <f>S345*(1-PARAM!$C$27)*$I$7+(MOD($B345,60)=PARAM!$B$56)*($B345&gt;(60-PARAM!$B$56))*HLOOKUP(($B345+PARAM!$B$56)/12,Loyalty,2)*$F$1*MAX(V344,0)</f>
        <v>18.557001321003963</v>
      </c>
      <c r="U345" s="75">
        <f>PARAM!$C$26+MAX($G$7-CHOOSE(PARAM!$B$44,MAX(0,V344*$F$1),0),0)*RATES!$L321/12+$H$7*(PARAM!$D$51/12)*RATES!$N321/100</f>
        <v>34.611115724869535</v>
      </c>
      <c r="V345" s="16">
        <f t="shared" si="202"/>
        <v>217.36483539523215</v>
      </c>
      <c r="W345" s="15">
        <f t="shared" si="177"/>
        <v>22.170849845882874</v>
      </c>
      <c r="X345" s="75">
        <f>W345*(1-PARAM!$C$27)*$I$8+(MOD($B345,60)=PARAM!$B$56)*($B345&gt;(60-PARAM!$B$56))*HLOOKUP(($B345+PARAM!$B$56)/12,Loyalty,2)*$F$1*MAX(Z344,0)</f>
        <v>18.557001321003963</v>
      </c>
      <c r="Y345" s="75">
        <f>PARAM!$C$26+MAX($G$8-CHOOSE(PARAM!$B$44,MAX(0,Z344*$F$1),0),0)*RATES!$L321/12+$H$8*(PARAM!$D$51/12)*RATES!$N321/100</f>
        <v>34.611115724869535</v>
      </c>
      <c r="Z345" s="16">
        <f t="shared" si="203"/>
        <v>217.36483539523215</v>
      </c>
      <c r="AA345" s="15">
        <f t="shared" si="178"/>
        <v>22.170849845882874</v>
      </c>
      <c r="AB345" s="75">
        <f>AA345*(1-PARAM!$C$27)*$I$9+(MOD($B345,60)=PARAM!$B$56)*($B345&gt;(60-PARAM!$B$56))*HLOOKUP(($B345+PARAM!$B$56)/12,Loyalty,2)*$F$1*MAX(AD344,0)</f>
        <v>18.557001321003963</v>
      </c>
      <c r="AC345" s="75">
        <f>PARAM!$C$26+MAX($G$9-CHOOSE(PARAM!$B$44,MAX(0,AD344*$F$1),0),0)*RATES!$L321/12+$H$9*(PARAM!$D$51/12)*RATES!$N321/100</f>
        <v>34.611115724869535</v>
      </c>
      <c r="AD345" s="16">
        <f t="shared" si="204"/>
        <v>217.36483539523215</v>
      </c>
      <c r="AE345" s="15">
        <f t="shared" si="179"/>
        <v>22.170849845882874</v>
      </c>
      <c r="AF345" s="75">
        <f>AE345*(1-PARAM!$C$27)*$I$10+(MOD($B345,60)=PARAM!$B$56)*($B345&gt;(60-PARAM!$B$56))*HLOOKUP(($B345+PARAM!$B$56)/12,Loyalty,2)*$F$1*MAX(AH344,0)</f>
        <v>18.557001321003963</v>
      </c>
      <c r="AG345" s="75">
        <f>PARAM!$C$26+MAX($G$10-CHOOSE(PARAM!$B$44,MAX(0,AH344*$F$1),0),0)*RATES!$L321/12+$H$10*(PARAM!$D$51/12)*RATES!$N321/100</f>
        <v>34.611115724869535</v>
      </c>
      <c r="AH345" s="16">
        <f t="shared" si="205"/>
        <v>217.36483539523215</v>
      </c>
      <c r="AI345" s="15">
        <f t="shared" si="180"/>
        <v>22.170849845882874</v>
      </c>
      <c r="AJ345" s="75">
        <f>AI345*(1-PARAM!$C$27)*$I$11+(MOD($B345,60)=PARAM!$B$56)*($B345&gt;(60-PARAM!$B$56))*HLOOKUP(($B345+PARAM!$B$56)/12,Loyalty,2)*$F$1*MAX(AL344,0)</f>
        <v>18.557001321003963</v>
      </c>
      <c r="AK345" s="75">
        <f>PARAM!$C$26+MAX($G$11-CHOOSE(PARAM!$B$44,MAX(0,AL344*$F$1),0),0)*RATES!$L321/12+$H$11*(PARAM!$D$51/12)*RATES!$N321/100</f>
        <v>34.611115724869535</v>
      </c>
      <c r="AL345" s="16">
        <f t="shared" si="206"/>
        <v>217.36483539523215</v>
      </c>
      <c r="AM345" s="15">
        <f t="shared" si="181"/>
        <v>22.170849845882874</v>
      </c>
      <c r="AN345" s="75">
        <f>AM345*(1-PARAM!$C$27)*$I$12+(MOD($B345,60)=PARAM!$B$56)*($B345&gt;(60-PARAM!$B$56))*HLOOKUP(($B345+PARAM!$B$56)/12,Loyalty,2)*$F$1*MAX(AP344,0)</f>
        <v>18.557001321003963</v>
      </c>
      <c r="AO345" s="75">
        <f>PARAM!$C$26+MAX($G$12-CHOOSE(PARAM!$B$44,MAX(0,AP344*$F$1),0),0)*RATES!$L321/12+$H$12*(PARAM!$D$51/12)*RATES!$N321/100</f>
        <v>34.611115724869535</v>
      </c>
      <c r="AP345" s="16">
        <f t="shared" si="207"/>
        <v>217.36483539523215</v>
      </c>
      <c r="AQ345" s="15">
        <f t="shared" si="182"/>
        <v>22.170849845882874</v>
      </c>
      <c r="AR345" s="75">
        <f>AQ345*(1-PARAM!$C$27)*$I$13+(MOD($B345,60)=PARAM!$B$56)*($B345&gt;(60-PARAM!$B$56))*HLOOKUP(($B345+PARAM!$B$56)/12,Loyalty,2)*$F$1*MAX(AT344,0)</f>
        <v>18.557001321003963</v>
      </c>
      <c r="AS345" s="75">
        <f>PARAM!$C$26+MAX($G$13-CHOOSE(PARAM!$B$44,MAX(0,AT344*$F$1),0),0)*RATES!$L321/12+$H$13*(PARAM!$D$51/12)*RATES!$N321/100</f>
        <v>34.611115724869535</v>
      </c>
      <c r="AT345" s="16">
        <f t="shared" si="208"/>
        <v>217.36483539523215</v>
      </c>
      <c r="AU345" s="15">
        <f t="shared" si="183"/>
        <v>22.170849845882874</v>
      </c>
      <c r="AV345" s="75">
        <f>AU345*(1-PARAM!$C$27)*$I$14+(MOD($B345,60)=PARAM!$B$56)*($B345&gt;(60-PARAM!$B$56))*HLOOKUP(($B345+PARAM!$B$56)/12,Loyalty,2)*$F$1*MAX(AX344,0)</f>
        <v>18.557001321003963</v>
      </c>
      <c r="AW345" s="75">
        <f>PARAM!$C$26+MAX($G$14-CHOOSE(PARAM!$B$44,MAX(0,AX344*$F$1),0),0)*RATES!$L321/12+$H$14*(PARAM!$D$51/12)*RATES!$N321/100</f>
        <v>34.611115724869535</v>
      </c>
      <c r="AX345" s="16">
        <f t="shared" si="209"/>
        <v>217.36483539523215</v>
      </c>
      <c r="AY345" s="15">
        <f t="shared" si="184"/>
        <v>22.170849845882874</v>
      </c>
      <c r="AZ345" s="75">
        <f>AY345*(1-PARAM!$C$27)*$I$15+(MOD($B345,60)=PARAM!$B$56)*($B345&gt;(60-PARAM!$B$56))*HLOOKUP(($B345+PARAM!$B$56)/12,Loyalty,2)*$F$1*MAX(BB344,0)</f>
        <v>18.557001321003963</v>
      </c>
      <c r="BA345" s="75">
        <f>PARAM!$C$26+MAX($G$15-CHOOSE(PARAM!$B$44,MAX(0,BB344*$F$1),0),0)*RATES!$L321/12+$H$15*(PARAM!$D$51/12)*RATES!$N321/100</f>
        <v>34.611115724869535</v>
      </c>
      <c r="BB345" s="16">
        <f t="shared" si="210"/>
        <v>217.36483539523215</v>
      </c>
      <c r="BC345" s="15">
        <f t="shared" si="185"/>
        <v>22.170849845882874</v>
      </c>
      <c r="BD345" s="75">
        <f>BC345*(1-PARAM!$C$27)*$I$16+(MOD($B345,60)=PARAM!$B$56)*($B345&gt;(60-PARAM!$B$56))*HLOOKUP(($B345+PARAM!$B$56)/12,Loyalty,2)*$F$1*MAX(BF344,0)</f>
        <v>18.557001321003963</v>
      </c>
      <c r="BE345" s="75">
        <f>PARAM!$C$26+MAX($G$16-CHOOSE(PARAM!$B$44,MAX(0,BF344*$F$1),0),0)*RATES!$L321/12+$H$16*(PARAM!$D$51/12)*RATES!$N321/100</f>
        <v>34.611115724869535</v>
      </c>
      <c r="BF345" s="16">
        <f t="shared" si="211"/>
        <v>217.36483539523215</v>
      </c>
      <c r="BG345" s="15">
        <f t="shared" si="186"/>
        <v>22.170849845882874</v>
      </c>
      <c r="BH345" s="75">
        <f>BG345*(1-PARAM!$C$27)*$I$17+(MOD($B345,60)=PARAM!$B$56)*($B345&gt;(60-PARAM!$B$56))*HLOOKUP(($B345+PARAM!$B$56)/12,Loyalty,2)*$F$1*MAX(BJ344,0)</f>
        <v>18.557001321003963</v>
      </c>
      <c r="BI345" s="75">
        <f>PARAM!$C$26+MAX($G$17-CHOOSE(PARAM!$B$44,MAX(0,BJ344*$F$1),0),0)*RATES!$L321/12+$H$17*(PARAM!$D$51/12)*RATES!$N321/100</f>
        <v>34.611115724869535</v>
      </c>
      <c r="BJ345" s="16">
        <f t="shared" si="212"/>
        <v>217.36483539523215</v>
      </c>
      <c r="BK345" s="15">
        <f t="shared" si="187"/>
        <v>22.170849845882874</v>
      </c>
      <c r="BL345" s="75">
        <f>BK345*(1-PARAM!$C$27)*$I$18+(MOD($B345,60)=PARAM!$B$56)*($B345&gt;(60-PARAM!$B$56))*HLOOKUP(($B345+PARAM!$B$56)/12,Loyalty,2)*$F$1*MAX(BN344,0)</f>
        <v>18.557001321003963</v>
      </c>
      <c r="BM345" s="75">
        <f>PARAM!$C$26+MAX($G$18-CHOOSE(PARAM!$B$44,MAX(0,BN344*$F$1),0),0)*RATES!$L321/12+$H$18*(PARAM!$D$51/12)*RATES!$N321/100</f>
        <v>34.611115724869535</v>
      </c>
      <c r="BN345" s="16">
        <f t="shared" si="213"/>
        <v>217.36483539523215</v>
      </c>
      <c r="BO345" s="15">
        <f t="shared" si="188"/>
        <v>22.170849845882874</v>
      </c>
      <c r="BP345" s="75">
        <f>BO345*(1-PARAM!$C$27)*$I$19+(MOD($B345,60)=PARAM!$B$56)*($B345&gt;(60-PARAM!$B$56))*HLOOKUP(($B345+PARAM!$B$56)/12,Loyalty,2)*$F$1*MAX(BR344,0)</f>
        <v>18.557001321003963</v>
      </c>
      <c r="BQ345" s="75">
        <f>PARAM!$C$26+MAX($G$19-CHOOSE(PARAM!$B$44,MAX(0,BR344*$F$1),0),0)*RATES!$L321/12+$H$19*(PARAM!$D$51/12)*RATES!$N321/100</f>
        <v>34.611115724869535</v>
      </c>
      <c r="BR345" s="16">
        <f t="shared" si="214"/>
        <v>217.36483539523215</v>
      </c>
      <c r="BS345" s="15">
        <f t="shared" si="189"/>
        <v>22.170849845882874</v>
      </c>
      <c r="BT345" s="75">
        <f>BS345*(1-PARAM!$C$27)*$I$20+(MOD($B345,60)=PARAM!$B$56)*($B345&gt;(60-PARAM!$B$56))*HLOOKUP(($B345+PARAM!$B$56)/12,Loyalty,2)*$F$1*MAX(BV344,0)</f>
        <v>18.557001321003963</v>
      </c>
      <c r="BU345" s="75">
        <f>PARAM!$C$26+MAX($G$20-CHOOSE(PARAM!$B$44,MAX(0,BV344*$F$1),0),0)*RATES!$L321/12+$H$20*(PARAM!$D$51/12)*RATES!$N321/100</f>
        <v>34.611115724869535</v>
      </c>
      <c r="BV345" s="16">
        <f t="shared" si="215"/>
        <v>217.36483539523215</v>
      </c>
      <c r="BW345" s="15">
        <f t="shared" si="190"/>
        <v>22.170849845882874</v>
      </c>
      <c r="BX345" s="75">
        <f>BW345*(1-PARAM!$C$27)*$I$21+(MOD($B345,60)=PARAM!$B$56)*($B345&gt;(60-PARAM!$B$56))*HLOOKUP(($B345+PARAM!$B$56)/12,Loyalty,2)*$F$1*MAX(BZ344,0)</f>
        <v>18.557001321003963</v>
      </c>
      <c r="BY345" s="75">
        <f>PARAM!$C$26+MAX($G$21-CHOOSE(PARAM!$B$44,MAX(0,BZ344*$F$1),0),0)*RATES!$L321/12+$H$21*(PARAM!$D$51/12)*RATES!$N321/100</f>
        <v>34.611115724869535</v>
      </c>
      <c r="BZ345" s="16">
        <f t="shared" si="216"/>
        <v>217.36483539523215</v>
      </c>
      <c r="CA345" s="15">
        <f t="shared" si="191"/>
        <v>22.170849845882874</v>
      </c>
      <c r="CB345" s="75">
        <f>CA345*(1-PARAM!$C$27)*$I$22+(MOD($B345,60)=PARAM!$B$56)*($B345&gt;(60-PARAM!$B$56))*HLOOKUP(($B345+PARAM!$B$56)/12,Loyalty,2)*$F$1*MAX(CD344,0)</f>
        <v>18.557001321003963</v>
      </c>
      <c r="CC345" s="75">
        <f>PARAM!$C$26+MAX($G$22-CHOOSE(PARAM!$B$44,MAX(0,CD344*$F$1),0),0)*RATES!$L321/12+$H$22*(PARAM!$D$51/12)*RATES!$N321/100</f>
        <v>34.611115724869535</v>
      </c>
      <c r="CD345" s="16">
        <f t="shared" si="217"/>
        <v>217.36483539523215</v>
      </c>
      <c r="CE345" s="33">
        <f>IF(0=MOD(B345,12/PARAM!$D$51),1,0)</f>
        <v>1</v>
      </c>
      <c r="CF345" s="15">
        <f t="shared" si="192"/>
        <v>0</v>
      </c>
      <c r="CG345" s="75">
        <f>CF345*(1-PARAM!$C$27)*$R$3+(MOD($B345/12,5)=0)*($B345&gt;60)*HLOOKUP($B345/12,Loyalty,2)*$F$1*MAX(CI344,0)</f>
        <v>0</v>
      </c>
      <c r="CH345" s="75">
        <f>PARAM!$C$26+MAX($P$3-CHOOSE(PARAM!$B$44,MAX(0,CI344*$F$1),0),0)*RATES!$L321/12+$Q$3*(PARAM!$D$51/12)*RATES!$N321/100</f>
        <v>34.75</v>
      </c>
      <c r="CI345" s="16">
        <f>IF(CI344&gt;0,CI344*PARAM!$C$53,CI344)+CG345-CH345</f>
        <v>-5563.2499999999927</v>
      </c>
      <c r="CJ345" s="15">
        <f t="shared" si="218"/>
        <v>0</v>
      </c>
      <c r="CK345" s="75">
        <f>CJ345*(1-PARAM!$C$27)*$R$4+(MOD($B345/12,5)=0)*($B345&gt;60)*HLOOKUP($B345/12,Loyalty,2)*$F$1*MAX(CM344,0)</f>
        <v>0</v>
      </c>
      <c r="CL345" s="75">
        <f>PARAM!$C$26+MAX($P$4-CHOOSE(PARAM!$B$44,MAX(0,CM344*$F$1),0),0)*RATES!$L321/12+$Q$4*(PARAM!$D$51/12)*RATES!$N321/100</f>
        <v>34.75</v>
      </c>
      <c r="CM345" s="16">
        <f>IF(CM344&gt;0,CM344*PARAM!$C$53,CM344)+CK345-CL345</f>
        <v>-5563.2499999999927</v>
      </c>
      <c r="CO345" s="176"/>
    </row>
    <row r="346" spans="1:93" x14ac:dyDescent="0.2">
      <c r="A346" t="b">
        <f t="shared" si="193"/>
        <v>0</v>
      </c>
      <c r="B346" s="33">
        <v>319</v>
      </c>
      <c r="C346" s="15">
        <f t="shared" si="194"/>
        <v>20.081305947392778</v>
      </c>
      <c r="D346" s="75">
        <f>C346*(1-PARAM!$C$27)*$I$3+(MOD($B346,60)=PARAM!$B$56)*($B346&gt;(60-PARAM!$B$56))*HLOOKUP(($B346+PARAM!$B$56)/12,Loyalty,2)*$F$1*MAX(F345,0)</f>
        <v>16.808053077967756</v>
      </c>
      <c r="E346" s="75">
        <f>PARAM!$C$26+MAX($G$3-CHOOSE(PARAM!$B$44,MAX(0,F345*$F$1),0),0)*RATES!$L322/12+$H$3*(PARAM!$D$51/12)*RATES!$N322/100</f>
        <v>34.75</v>
      </c>
      <c r="F346" s="16">
        <f t="shared" si="195"/>
        <v>-392.65625953202027</v>
      </c>
      <c r="G346" s="15">
        <f t="shared" si="196"/>
        <v>22.035289406060361</v>
      </c>
      <c r="H346" s="75">
        <f>G346*(1-PARAM!$C$27)*$I$4+(MOD($B346,60)=PARAM!$B$56)*($B346&gt;(60-PARAM!$B$56))*HLOOKUP(($B346+PARAM!$B$56)/12,Loyalty,2)*$F$1*MAX(J345,0)</f>
        <v>18.443537232872522</v>
      </c>
      <c r="I346" s="75">
        <f>PARAM!$C$26+MAX($G$4-CHOOSE(PARAM!$B$44,MAX(0,J345*$F$1),0),0)*RATES!$L322/12+$H$4*(PARAM!$D$51/12)*RATES!$N322/100</f>
        <v>34.643753822409153</v>
      </c>
      <c r="J346" s="16">
        <f t="shared" si="197"/>
        <v>162.36478776483114</v>
      </c>
      <c r="K346" s="15">
        <f t="shared" si="198"/>
        <v>22.170849845882874</v>
      </c>
      <c r="L346" s="75">
        <f>K346*(1-PARAM!$C$27)*$I$5+(MOD($B346,60)=PARAM!$B$56)*($B346&gt;(60-PARAM!$B$56))*HLOOKUP(($B346+PARAM!$B$56)/12,Loyalty,2)*$F$1*MAX(N345,0)</f>
        <v>18.557001321003963</v>
      </c>
      <c r="M346" s="75">
        <f>PARAM!$C$26+MAX($G$5-CHOOSE(PARAM!$B$44,MAX(0,N345*$F$1),0),0)*RATES!$L322/12+$H$5*(PARAM!$D$51/12)*RATES!$N322/100</f>
        <v>34.62066792293983</v>
      </c>
      <c r="N346" s="16">
        <f t="shared" si="199"/>
        <v>201.30116879329626</v>
      </c>
      <c r="O346" s="15">
        <f t="shared" si="200"/>
        <v>22.170849845882874</v>
      </c>
      <c r="P346" s="75">
        <f>O346*(1-PARAM!$C$27)*$I$6+(MOD($B346,60)=PARAM!$B$56)*($B346&gt;(60-PARAM!$B$56))*HLOOKUP(($B346+PARAM!$B$56)/12,Loyalty,2)*$F$1*MAX(R345,0)</f>
        <v>18.557001321003963</v>
      </c>
      <c r="Q346" s="75">
        <f>PARAM!$C$26+MAX($G$6-CHOOSE(PARAM!$B$44,MAX(0,R345*$F$1),0),0)*RATES!$L322/12+$H$6*(PARAM!$D$51/12)*RATES!$N322/100</f>
        <v>34.62066792293983</v>
      </c>
      <c r="R346" s="16">
        <f t="shared" si="201"/>
        <v>201.30116879329626</v>
      </c>
      <c r="S346" s="15">
        <f t="shared" si="176"/>
        <v>22.170849845882874</v>
      </c>
      <c r="T346" s="75">
        <f>S346*(1-PARAM!$C$27)*$I$7+(MOD($B346,60)=PARAM!$B$56)*($B346&gt;(60-PARAM!$B$56))*HLOOKUP(($B346+PARAM!$B$56)/12,Loyalty,2)*$F$1*MAX(V345,0)</f>
        <v>18.557001321003963</v>
      </c>
      <c r="U346" s="75">
        <f>PARAM!$C$26+MAX($G$7-CHOOSE(PARAM!$B$44,MAX(0,V345*$F$1),0),0)*RATES!$L322/12+$H$7*(PARAM!$D$51/12)*RATES!$N322/100</f>
        <v>34.62066792293983</v>
      </c>
      <c r="V346" s="16">
        <f t="shared" si="202"/>
        <v>201.30116879329626</v>
      </c>
      <c r="W346" s="15">
        <f t="shared" si="177"/>
        <v>22.170849845882874</v>
      </c>
      <c r="X346" s="75">
        <f>W346*(1-PARAM!$C$27)*$I$8+(MOD($B346,60)=PARAM!$B$56)*($B346&gt;(60-PARAM!$B$56))*HLOOKUP(($B346+PARAM!$B$56)/12,Loyalty,2)*$F$1*MAX(Z345,0)</f>
        <v>18.557001321003963</v>
      </c>
      <c r="Y346" s="75">
        <f>PARAM!$C$26+MAX($G$8-CHOOSE(PARAM!$B$44,MAX(0,Z345*$F$1),0),0)*RATES!$L322/12+$H$8*(PARAM!$D$51/12)*RATES!$N322/100</f>
        <v>34.62066792293983</v>
      </c>
      <c r="Z346" s="16">
        <f t="shared" si="203"/>
        <v>201.30116879329626</v>
      </c>
      <c r="AA346" s="15">
        <f t="shared" si="178"/>
        <v>22.170849845882874</v>
      </c>
      <c r="AB346" s="75">
        <f>AA346*(1-PARAM!$C$27)*$I$9+(MOD($B346,60)=PARAM!$B$56)*($B346&gt;(60-PARAM!$B$56))*HLOOKUP(($B346+PARAM!$B$56)/12,Loyalty,2)*$F$1*MAX(AD345,0)</f>
        <v>18.557001321003963</v>
      </c>
      <c r="AC346" s="75">
        <f>PARAM!$C$26+MAX($G$9-CHOOSE(PARAM!$B$44,MAX(0,AD345*$F$1),0),0)*RATES!$L322/12+$H$9*(PARAM!$D$51/12)*RATES!$N322/100</f>
        <v>34.62066792293983</v>
      </c>
      <c r="AD346" s="16">
        <f t="shared" si="204"/>
        <v>201.30116879329626</v>
      </c>
      <c r="AE346" s="15">
        <f t="shared" si="179"/>
        <v>22.170849845882874</v>
      </c>
      <c r="AF346" s="75">
        <f>AE346*(1-PARAM!$C$27)*$I$10+(MOD($B346,60)=PARAM!$B$56)*($B346&gt;(60-PARAM!$B$56))*HLOOKUP(($B346+PARAM!$B$56)/12,Loyalty,2)*$F$1*MAX(AH345,0)</f>
        <v>18.557001321003963</v>
      </c>
      <c r="AG346" s="75">
        <f>PARAM!$C$26+MAX($G$10-CHOOSE(PARAM!$B$44,MAX(0,AH345*$F$1),0),0)*RATES!$L322/12+$H$10*(PARAM!$D$51/12)*RATES!$N322/100</f>
        <v>34.62066792293983</v>
      </c>
      <c r="AH346" s="16">
        <f t="shared" si="205"/>
        <v>201.30116879329626</v>
      </c>
      <c r="AI346" s="15">
        <f t="shared" si="180"/>
        <v>22.170849845882874</v>
      </c>
      <c r="AJ346" s="75">
        <f>AI346*(1-PARAM!$C$27)*$I$11+(MOD($B346,60)=PARAM!$B$56)*($B346&gt;(60-PARAM!$B$56))*HLOOKUP(($B346+PARAM!$B$56)/12,Loyalty,2)*$F$1*MAX(AL345,0)</f>
        <v>18.557001321003963</v>
      </c>
      <c r="AK346" s="75">
        <f>PARAM!$C$26+MAX($G$11-CHOOSE(PARAM!$B$44,MAX(0,AL345*$F$1),0),0)*RATES!$L322/12+$H$11*(PARAM!$D$51/12)*RATES!$N322/100</f>
        <v>34.62066792293983</v>
      </c>
      <c r="AL346" s="16">
        <f t="shared" si="206"/>
        <v>201.30116879329626</v>
      </c>
      <c r="AM346" s="15">
        <f t="shared" si="181"/>
        <v>22.170849845882874</v>
      </c>
      <c r="AN346" s="75">
        <f>AM346*(1-PARAM!$C$27)*$I$12+(MOD($B346,60)=PARAM!$B$56)*($B346&gt;(60-PARAM!$B$56))*HLOOKUP(($B346+PARAM!$B$56)/12,Loyalty,2)*$F$1*MAX(AP345,0)</f>
        <v>18.557001321003963</v>
      </c>
      <c r="AO346" s="75">
        <f>PARAM!$C$26+MAX($G$12-CHOOSE(PARAM!$B$44,MAX(0,AP345*$F$1),0),0)*RATES!$L322/12+$H$12*(PARAM!$D$51/12)*RATES!$N322/100</f>
        <v>34.62066792293983</v>
      </c>
      <c r="AP346" s="16">
        <f t="shared" si="207"/>
        <v>201.30116879329626</v>
      </c>
      <c r="AQ346" s="15">
        <f t="shared" si="182"/>
        <v>22.170849845882874</v>
      </c>
      <c r="AR346" s="75">
        <f>AQ346*(1-PARAM!$C$27)*$I$13+(MOD($B346,60)=PARAM!$B$56)*($B346&gt;(60-PARAM!$B$56))*HLOOKUP(($B346+PARAM!$B$56)/12,Loyalty,2)*$F$1*MAX(AT345,0)</f>
        <v>18.557001321003963</v>
      </c>
      <c r="AS346" s="75">
        <f>PARAM!$C$26+MAX($G$13-CHOOSE(PARAM!$B$44,MAX(0,AT345*$F$1),0),0)*RATES!$L322/12+$H$13*(PARAM!$D$51/12)*RATES!$N322/100</f>
        <v>34.62066792293983</v>
      </c>
      <c r="AT346" s="16">
        <f t="shared" si="208"/>
        <v>201.30116879329626</v>
      </c>
      <c r="AU346" s="15">
        <f t="shared" si="183"/>
        <v>22.170849845882874</v>
      </c>
      <c r="AV346" s="75">
        <f>AU346*(1-PARAM!$C$27)*$I$14+(MOD($B346,60)=PARAM!$B$56)*($B346&gt;(60-PARAM!$B$56))*HLOOKUP(($B346+PARAM!$B$56)/12,Loyalty,2)*$F$1*MAX(AX345,0)</f>
        <v>18.557001321003963</v>
      </c>
      <c r="AW346" s="75">
        <f>PARAM!$C$26+MAX($G$14-CHOOSE(PARAM!$B$44,MAX(0,AX345*$F$1),0),0)*RATES!$L322/12+$H$14*(PARAM!$D$51/12)*RATES!$N322/100</f>
        <v>34.62066792293983</v>
      </c>
      <c r="AX346" s="16">
        <f t="shared" si="209"/>
        <v>201.30116879329626</v>
      </c>
      <c r="AY346" s="15">
        <f t="shared" si="184"/>
        <v>22.170849845882874</v>
      </c>
      <c r="AZ346" s="75">
        <f>AY346*(1-PARAM!$C$27)*$I$15+(MOD($B346,60)=PARAM!$B$56)*($B346&gt;(60-PARAM!$B$56))*HLOOKUP(($B346+PARAM!$B$56)/12,Loyalty,2)*$F$1*MAX(BB345,0)</f>
        <v>18.557001321003963</v>
      </c>
      <c r="BA346" s="75">
        <f>PARAM!$C$26+MAX($G$15-CHOOSE(PARAM!$B$44,MAX(0,BB345*$F$1),0),0)*RATES!$L322/12+$H$15*(PARAM!$D$51/12)*RATES!$N322/100</f>
        <v>34.62066792293983</v>
      </c>
      <c r="BB346" s="16">
        <f t="shared" si="210"/>
        <v>201.30116879329626</v>
      </c>
      <c r="BC346" s="15">
        <f t="shared" si="185"/>
        <v>22.170849845882874</v>
      </c>
      <c r="BD346" s="75">
        <f>BC346*(1-PARAM!$C$27)*$I$16+(MOD($B346,60)=PARAM!$B$56)*($B346&gt;(60-PARAM!$B$56))*HLOOKUP(($B346+PARAM!$B$56)/12,Loyalty,2)*$F$1*MAX(BF345,0)</f>
        <v>18.557001321003963</v>
      </c>
      <c r="BE346" s="75">
        <f>PARAM!$C$26+MAX($G$16-CHOOSE(PARAM!$B$44,MAX(0,BF345*$F$1),0),0)*RATES!$L322/12+$H$16*(PARAM!$D$51/12)*RATES!$N322/100</f>
        <v>34.62066792293983</v>
      </c>
      <c r="BF346" s="16">
        <f t="shared" si="211"/>
        <v>201.30116879329626</v>
      </c>
      <c r="BG346" s="15">
        <f t="shared" si="186"/>
        <v>22.170849845882874</v>
      </c>
      <c r="BH346" s="75">
        <f>BG346*(1-PARAM!$C$27)*$I$17+(MOD($B346,60)=PARAM!$B$56)*($B346&gt;(60-PARAM!$B$56))*HLOOKUP(($B346+PARAM!$B$56)/12,Loyalty,2)*$F$1*MAX(BJ345,0)</f>
        <v>18.557001321003963</v>
      </c>
      <c r="BI346" s="75">
        <f>PARAM!$C$26+MAX($G$17-CHOOSE(PARAM!$B$44,MAX(0,BJ345*$F$1),0),0)*RATES!$L322/12+$H$17*(PARAM!$D$51/12)*RATES!$N322/100</f>
        <v>34.62066792293983</v>
      </c>
      <c r="BJ346" s="16">
        <f t="shared" si="212"/>
        <v>201.30116879329626</v>
      </c>
      <c r="BK346" s="15">
        <f t="shared" si="187"/>
        <v>22.170849845882874</v>
      </c>
      <c r="BL346" s="75">
        <f>BK346*(1-PARAM!$C$27)*$I$18+(MOD($B346,60)=PARAM!$B$56)*($B346&gt;(60-PARAM!$B$56))*HLOOKUP(($B346+PARAM!$B$56)/12,Loyalty,2)*$F$1*MAX(BN345,0)</f>
        <v>18.557001321003963</v>
      </c>
      <c r="BM346" s="75">
        <f>PARAM!$C$26+MAX($G$18-CHOOSE(PARAM!$B$44,MAX(0,BN345*$F$1),0),0)*RATES!$L322/12+$H$18*(PARAM!$D$51/12)*RATES!$N322/100</f>
        <v>34.62066792293983</v>
      </c>
      <c r="BN346" s="16">
        <f t="shared" si="213"/>
        <v>201.30116879329626</v>
      </c>
      <c r="BO346" s="15">
        <f t="shared" si="188"/>
        <v>22.170849845882874</v>
      </c>
      <c r="BP346" s="75">
        <f>BO346*(1-PARAM!$C$27)*$I$19+(MOD($B346,60)=PARAM!$B$56)*($B346&gt;(60-PARAM!$B$56))*HLOOKUP(($B346+PARAM!$B$56)/12,Loyalty,2)*$F$1*MAX(BR345,0)</f>
        <v>18.557001321003963</v>
      </c>
      <c r="BQ346" s="75">
        <f>PARAM!$C$26+MAX($G$19-CHOOSE(PARAM!$B$44,MAX(0,BR345*$F$1),0),0)*RATES!$L322/12+$H$19*(PARAM!$D$51/12)*RATES!$N322/100</f>
        <v>34.62066792293983</v>
      </c>
      <c r="BR346" s="16">
        <f t="shared" si="214"/>
        <v>201.30116879329626</v>
      </c>
      <c r="BS346" s="15">
        <f t="shared" si="189"/>
        <v>22.170849845882874</v>
      </c>
      <c r="BT346" s="75">
        <f>BS346*(1-PARAM!$C$27)*$I$20+(MOD($B346,60)=PARAM!$B$56)*($B346&gt;(60-PARAM!$B$56))*HLOOKUP(($B346+PARAM!$B$56)/12,Loyalty,2)*$F$1*MAX(BV345,0)</f>
        <v>18.557001321003963</v>
      </c>
      <c r="BU346" s="75">
        <f>PARAM!$C$26+MAX($G$20-CHOOSE(PARAM!$B$44,MAX(0,BV345*$F$1),0),0)*RATES!$L322/12+$H$20*(PARAM!$D$51/12)*RATES!$N322/100</f>
        <v>34.62066792293983</v>
      </c>
      <c r="BV346" s="16">
        <f t="shared" si="215"/>
        <v>201.30116879329626</v>
      </c>
      <c r="BW346" s="15">
        <f t="shared" si="190"/>
        <v>22.170849845882874</v>
      </c>
      <c r="BX346" s="75">
        <f>BW346*(1-PARAM!$C$27)*$I$21+(MOD($B346,60)=PARAM!$B$56)*($B346&gt;(60-PARAM!$B$56))*HLOOKUP(($B346+PARAM!$B$56)/12,Loyalty,2)*$F$1*MAX(BZ345,0)</f>
        <v>18.557001321003963</v>
      </c>
      <c r="BY346" s="75">
        <f>PARAM!$C$26+MAX($G$21-CHOOSE(PARAM!$B$44,MAX(0,BZ345*$F$1),0),0)*RATES!$L322/12+$H$21*(PARAM!$D$51/12)*RATES!$N322/100</f>
        <v>34.62066792293983</v>
      </c>
      <c r="BZ346" s="16">
        <f t="shared" si="216"/>
        <v>201.30116879329626</v>
      </c>
      <c r="CA346" s="15">
        <f t="shared" si="191"/>
        <v>22.170849845882874</v>
      </c>
      <c r="CB346" s="75">
        <f>CA346*(1-PARAM!$C$27)*$I$22+(MOD($B346,60)=PARAM!$B$56)*($B346&gt;(60-PARAM!$B$56))*HLOOKUP(($B346+PARAM!$B$56)/12,Loyalty,2)*$F$1*MAX(CD345,0)</f>
        <v>18.557001321003963</v>
      </c>
      <c r="CC346" s="75">
        <f>PARAM!$C$26+MAX($G$22-CHOOSE(PARAM!$B$44,MAX(0,CD345*$F$1),0),0)*RATES!$L322/12+$H$22*(PARAM!$D$51/12)*RATES!$N322/100</f>
        <v>34.62066792293983</v>
      </c>
      <c r="CD346" s="16">
        <f t="shared" si="217"/>
        <v>201.30116879329626</v>
      </c>
      <c r="CE346" s="33">
        <f>IF(0=MOD(B346,12/PARAM!$D$51),1,0)</f>
        <v>1</v>
      </c>
      <c r="CF346" s="15">
        <f t="shared" si="192"/>
        <v>0</v>
      </c>
      <c r="CG346" s="75">
        <f>CF346*(1-PARAM!$C$27)*$R$3+(MOD($B346/12,5)=0)*($B346&gt;60)*HLOOKUP($B346/12,Loyalty,2)*$F$1*MAX(CI345,0)</f>
        <v>0</v>
      </c>
      <c r="CH346" s="75">
        <f>PARAM!$C$26+MAX($P$3-CHOOSE(PARAM!$B$44,MAX(0,CI345*$F$1),0),0)*RATES!$L322/12+$Q$3*(PARAM!$D$51/12)*RATES!$N322/100</f>
        <v>34.75</v>
      </c>
      <c r="CI346" s="16">
        <f>IF(CI345&gt;0,CI345*PARAM!$C$53,CI345)+CG346-CH346</f>
        <v>-5597.9999999999927</v>
      </c>
      <c r="CJ346" s="15">
        <f t="shared" si="218"/>
        <v>0</v>
      </c>
      <c r="CK346" s="75">
        <f>CJ346*(1-PARAM!$C$27)*$R$4+(MOD($B346/12,5)=0)*($B346&gt;60)*HLOOKUP($B346/12,Loyalty,2)*$F$1*MAX(CM345,0)</f>
        <v>0</v>
      </c>
      <c r="CL346" s="75">
        <f>PARAM!$C$26+MAX($P$4-CHOOSE(PARAM!$B$44,MAX(0,CM345*$F$1),0),0)*RATES!$L322/12+$Q$4*(PARAM!$D$51/12)*RATES!$N322/100</f>
        <v>34.75</v>
      </c>
      <c r="CM346" s="16">
        <f>IF(CM345&gt;0,CM345*PARAM!$C$53,CM345)+CK346-CL346</f>
        <v>-5597.9999999999927</v>
      </c>
      <c r="CO346" s="176"/>
    </row>
    <row r="347" spans="1:93" x14ac:dyDescent="0.2">
      <c r="A347" t="b">
        <f t="shared" si="193"/>
        <v>0</v>
      </c>
      <c r="B347" s="33">
        <v>320</v>
      </c>
      <c r="C347" s="15">
        <f t="shared" si="194"/>
        <v>20.081305947392778</v>
      </c>
      <c r="D347" s="75">
        <f>C347*(1-PARAM!$C$27)*$I$3+(MOD($B347,60)=PARAM!$B$56)*($B347&gt;(60-PARAM!$B$56))*HLOOKUP(($B347+PARAM!$B$56)/12,Loyalty,2)*$F$1*MAX(F346,0)</f>
        <v>16.808053077967756</v>
      </c>
      <c r="E347" s="75">
        <f>PARAM!$C$26+MAX($G$3-CHOOSE(PARAM!$B$44,MAX(0,F346*$F$1),0),0)*RATES!$L323/12+$H$3*(PARAM!$D$51/12)*RATES!$N323/100</f>
        <v>34.75</v>
      </c>
      <c r="F347" s="16">
        <f t="shared" si="195"/>
        <v>-410.5982064540525</v>
      </c>
      <c r="G347" s="15">
        <f t="shared" si="196"/>
        <v>22.035289406060361</v>
      </c>
      <c r="H347" s="75">
        <f>G347*(1-PARAM!$C$27)*$I$4+(MOD($B347,60)=PARAM!$B$56)*($B347&gt;(60-PARAM!$B$56))*HLOOKUP(($B347+PARAM!$B$56)/12,Loyalty,2)*$F$1*MAX(J346,0)</f>
        <v>18.443537232872522</v>
      </c>
      <c r="I347" s="75">
        <f>PARAM!$C$26+MAX($G$4-CHOOSE(PARAM!$B$44,MAX(0,J346*$F$1),0),0)*RATES!$L323/12+$H$4*(PARAM!$D$51/12)*RATES!$N323/100</f>
        <v>34.653392951279926</v>
      </c>
      <c r="J347" s="16">
        <f t="shared" si="197"/>
        <v>146.15493204642374</v>
      </c>
      <c r="K347" s="15">
        <f t="shared" si="198"/>
        <v>22.170849845882874</v>
      </c>
      <c r="L347" s="75">
        <f>K347*(1-PARAM!$C$27)*$I$5+(MOD($B347,60)=PARAM!$B$56)*($B347&gt;(60-PARAM!$B$56))*HLOOKUP(($B347+PARAM!$B$56)/12,Loyalty,2)*$F$1*MAX(N346,0)</f>
        <v>18.557001321003963</v>
      </c>
      <c r="M347" s="75">
        <f>PARAM!$C$26+MAX($G$5-CHOOSE(PARAM!$B$44,MAX(0,N346*$F$1),0),0)*RATES!$L323/12+$H$5*(PARAM!$D$51/12)*RATES!$N323/100</f>
        <v>34.630225804567985</v>
      </c>
      <c r="N347" s="16">
        <f t="shared" si="199"/>
        <v>185.22794430973221</v>
      </c>
      <c r="O347" s="15">
        <f t="shared" si="200"/>
        <v>22.170849845882874</v>
      </c>
      <c r="P347" s="75">
        <f>O347*(1-PARAM!$C$27)*$I$6+(MOD($B347,60)=PARAM!$B$56)*($B347&gt;(60-PARAM!$B$56))*HLOOKUP(($B347+PARAM!$B$56)/12,Loyalty,2)*$F$1*MAX(R346,0)</f>
        <v>18.557001321003963</v>
      </c>
      <c r="Q347" s="75">
        <f>PARAM!$C$26+MAX($G$6-CHOOSE(PARAM!$B$44,MAX(0,R346*$F$1),0),0)*RATES!$L323/12+$H$6*(PARAM!$D$51/12)*RATES!$N323/100</f>
        <v>34.630225804567985</v>
      </c>
      <c r="R347" s="16">
        <f t="shared" si="201"/>
        <v>185.22794430973221</v>
      </c>
      <c r="S347" s="15">
        <f t="shared" ref="S347:S410" si="219">$H$7*$CE347</f>
        <v>22.170849845882874</v>
      </c>
      <c r="T347" s="75">
        <f>S347*(1-PARAM!$C$27)*$I$7+(MOD($B347,60)=PARAM!$B$56)*($B347&gt;(60-PARAM!$B$56))*HLOOKUP(($B347+PARAM!$B$56)/12,Loyalty,2)*$F$1*MAX(V346,0)</f>
        <v>18.557001321003963</v>
      </c>
      <c r="U347" s="75">
        <f>PARAM!$C$26+MAX($G$7-CHOOSE(PARAM!$B$44,MAX(0,V346*$F$1),0),0)*RATES!$L323/12+$H$7*(PARAM!$D$51/12)*RATES!$N323/100</f>
        <v>34.630225804567985</v>
      </c>
      <c r="V347" s="16">
        <f t="shared" si="202"/>
        <v>185.22794430973221</v>
      </c>
      <c r="W347" s="15">
        <f t="shared" ref="W347:W410" si="220">$H$8*$CE347</f>
        <v>22.170849845882874</v>
      </c>
      <c r="X347" s="75">
        <f>W347*(1-PARAM!$C$27)*$I$8+(MOD($B347,60)=PARAM!$B$56)*($B347&gt;(60-PARAM!$B$56))*HLOOKUP(($B347+PARAM!$B$56)/12,Loyalty,2)*$F$1*MAX(Z346,0)</f>
        <v>18.557001321003963</v>
      </c>
      <c r="Y347" s="75">
        <f>PARAM!$C$26+MAX($G$8-CHOOSE(PARAM!$B$44,MAX(0,Z346*$F$1),0),0)*RATES!$L323/12+$H$8*(PARAM!$D$51/12)*RATES!$N323/100</f>
        <v>34.630225804567985</v>
      </c>
      <c r="Z347" s="16">
        <f t="shared" si="203"/>
        <v>185.22794430973221</v>
      </c>
      <c r="AA347" s="15">
        <f t="shared" ref="AA347:AA410" si="221">$H$9*$CE347</f>
        <v>22.170849845882874</v>
      </c>
      <c r="AB347" s="75">
        <f>AA347*(1-PARAM!$C$27)*$I$9+(MOD($B347,60)=PARAM!$B$56)*($B347&gt;(60-PARAM!$B$56))*HLOOKUP(($B347+PARAM!$B$56)/12,Loyalty,2)*$F$1*MAX(AD346,0)</f>
        <v>18.557001321003963</v>
      </c>
      <c r="AC347" s="75">
        <f>PARAM!$C$26+MAX($G$9-CHOOSE(PARAM!$B$44,MAX(0,AD346*$F$1),0),0)*RATES!$L323/12+$H$9*(PARAM!$D$51/12)*RATES!$N323/100</f>
        <v>34.630225804567985</v>
      </c>
      <c r="AD347" s="16">
        <f t="shared" si="204"/>
        <v>185.22794430973221</v>
      </c>
      <c r="AE347" s="15">
        <f t="shared" ref="AE347:AE410" si="222">$H$10*$CE347</f>
        <v>22.170849845882874</v>
      </c>
      <c r="AF347" s="75">
        <f>AE347*(1-PARAM!$C$27)*$I$10+(MOD($B347,60)=PARAM!$B$56)*($B347&gt;(60-PARAM!$B$56))*HLOOKUP(($B347+PARAM!$B$56)/12,Loyalty,2)*$F$1*MAX(AH346,0)</f>
        <v>18.557001321003963</v>
      </c>
      <c r="AG347" s="75">
        <f>PARAM!$C$26+MAX($G$10-CHOOSE(PARAM!$B$44,MAX(0,AH346*$F$1),0),0)*RATES!$L323/12+$H$10*(PARAM!$D$51/12)*RATES!$N323/100</f>
        <v>34.630225804567985</v>
      </c>
      <c r="AH347" s="16">
        <f t="shared" si="205"/>
        <v>185.22794430973221</v>
      </c>
      <c r="AI347" s="15">
        <f t="shared" ref="AI347:AI410" si="223">$H$11*$CE347</f>
        <v>22.170849845882874</v>
      </c>
      <c r="AJ347" s="75">
        <f>AI347*(1-PARAM!$C$27)*$I$11+(MOD($B347,60)=PARAM!$B$56)*($B347&gt;(60-PARAM!$B$56))*HLOOKUP(($B347+PARAM!$B$56)/12,Loyalty,2)*$F$1*MAX(AL346,0)</f>
        <v>18.557001321003963</v>
      </c>
      <c r="AK347" s="75">
        <f>PARAM!$C$26+MAX($G$11-CHOOSE(PARAM!$B$44,MAX(0,AL346*$F$1),0),0)*RATES!$L323/12+$H$11*(PARAM!$D$51/12)*RATES!$N323/100</f>
        <v>34.630225804567985</v>
      </c>
      <c r="AL347" s="16">
        <f t="shared" si="206"/>
        <v>185.22794430973221</v>
      </c>
      <c r="AM347" s="15">
        <f t="shared" ref="AM347:AM410" si="224">$H$12*$CE347</f>
        <v>22.170849845882874</v>
      </c>
      <c r="AN347" s="75">
        <f>AM347*(1-PARAM!$C$27)*$I$12+(MOD($B347,60)=PARAM!$B$56)*($B347&gt;(60-PARAM!$B$56))*HLOOKUP(($B347+PARAM!$B$56)/12,Loyalty,2)*$F$1*MAX(AP346,0)</f>
        <v>18.557001321003963</v>
      </c>
      <c r="AO347" s="75">
        <f>PARAM!$C$26+MAX($G$12-CHOOSE(PARAM!$B$44,MAX(0,AP346*$F$1),0),0)*RATES!$L323/12+$H$12*(PARAM!$D$51/12)*RATES!$N323/100</f>
        <v>34.630225804567985</v>
      </c>
      <c r="AP347" s="16">
        <f t="shared" si="207"/>
        <v>185.22794430973221</v>
      </c>
      <c r="AQ347" s="15">
        <f t="shared" ref="AQ347:AQ410" si="225">$H$13*$CE347</f>
        <v>22.170849845882874</v>
      </c>
      <c r="AR347" s="75">
        <f>AQ347*(1-PARAM!$C$27)*$I$13+(MOD($B347,60)=PARAM!$B$56)*($B347&gt;(60-PARAM!$B$56))*HLOOKUP(($B347+PARAM!$B$56)/12,Loyalty,2)*$F$1*MAX(AT346,0)</f>
        <v>18.557001321003963</v>
      </c>
      <c r="AS347" s="75">
        <f>PARAM!$C$26+MAX($G$13-CHOOSE(PARAM!$B$44,MAX(0,AT346*$F$1),0),0)*RATES!$L323/12+$H$13*(PARAM!$D$51/12)*RATES!$N323/100</f>
        <v>34.630225804567985</v>
      </c>
      <c r="AT347" s="16">
        <f t="shared" si="208"/>
        <v>185.22794430973221</v>
      </c>
      <c r="AU347" s="15">
        <f t="shared" ref="AU347:AU410" si="226">$H$14*$CE347</f>
        <v>22.170849845882874</v>
      </c>
      <c r="AV347" s="75">
        <f>AU347*(1-PARAM!$C$27)*$I$14+(MOD($B347,60)=PARAM!$B$56)*($B347&gt;(60-PARAM!$B$56))*HLOOKUP(($B347+PARAM!$B$56)/12,Loyalty,2)*$F$1*MAX(AX346,0)</f>
        <v>18.557001321003963</v>
      </c>
      <c r="AW347" s="75">
        <f>PARAM!$C$26+MAX($G$14-CHOOSE(PARAM!$B$44,MAX(0,AX346*$F$1),0),0)*RATES!$L323/12+$H$14*(PARAM!$D$51/12)*RATES!$N323/100</f>
        <v>34.630225804567985</v>
      </c>
      <c r="AX347" s="16">
        <f t="shared" si="209"/>
        <v>185.22794430973221</v>
      </c>
      <c r="AY347" s="15">
        <f t="shared" ref="AY347:AY410" si="227">$H$15*$CE347</f>
        <v>22.170849845882874</v>
      </c>
      <c r="AZ347" s="75">
        <f>AY347*(1-PARAM!$C$27)*$I$15+(MOD($B347,60)=PARAM!$B$56)*($B347&gt;(60-PARAM!$B$56))*HLOOKUP(($B347+PARAM!$B$56)/12,Loyalty,2)*$F$1*MAX(BB346,0)</f>
        <v>18.557001321003963</v>
      </c>
      <c r="BA347" s="75">
        <f>PARAM!$C$26+MAX($G$15-CHOOSE(PARAM!$B$44,MAX(0,BB346*$F$1),0),0)*RATES!$L323/12+$H$15*(PARAM!$D$51/12)*RATES!$N323/100</f>
        <v>34.630225804567985</v>
      </c>
      <c r="BB347" s="16">
        <f t="shared" si="210"/>
        <v>185.22794430973221</v>
      </c>
      <c r="BC347" s="15">
        <f t="shared" ref="BC347:BC410" si="228">$H$16*$CE347</f>
        <v>22.170849845882874</v>
      </c>
      <c r="BD347" s="75">
        <f>BC347*(1-PARAM!$C$27)*$I$16+(MOD($B347,60)=PARAM!$B$56)*($B347&gt;(60-PARAM!$B$56))*HLOOKUP(($B347+PARAM!$B$56)/12,Loyalty,2)*$F$1*MAX(BF346,0)</f>
        <v>18.557001321003963</v>
      </c>
      <c r="BE347" s="75">
        <f>PARAM!$C$26+MAX($G$16-CHOOSE(PARAM!$B$44,MAX(0,BF346*$F$1),0),0)*RATES!$L323/12+$H$16*(PARAM!$D$51/12)*RATES!$N323/100</f>
        <v>34.630225804567985</v>
      </c>
      <c r="BF347" s="16">
        <f t="shared" si="211"/>
        <v>185.22794430973221</v>
      </c>
      <c r="BG347" s="15">
        <f t="shared" ref="BG347:BG410" si="229">$H$17*$CE347</f>
        <v>22.170849845882874</v>
      </c>
      <c r="BH347" s="75">
        <f>BG347*(1-PARAM!$C$27)*$I$17+(MOD($B347,60)=PARAM!$B$56)*($B347&gt;(60-PARAM!$B$56))*HLOOKUP(($B347+PARAM!$B$56)/12,Loyalty,2)*$F$1*MAX(BJ346,0)</f>
        <v>18.557001321003963</v>
      </c>
      <c r="BI347" s="75">
        <f>PARAM!$C$26+MAX($G$17-CHOOSE(PARAM!$B$44,MAX(0,BJ346*$F$1),0),0)*RATES!$L323/12+$H$17*(PARAM!$D$51/12)*RATES!$N323/100</f>
        <v>34.630225804567985</v>
      </c>
      <c r="BJ347" s="16">
        <f t="shared" si="212"/>
        <v>185.22794430973221</v>
      </c>
      <c r="BK347" s="15">
        <f t="shared" ref="BK347:BK410" si="230">$H$18*$CE347</f>
        <v>22.170849845882874</v>
      </c>
      <c r="BL347" s="75">
        <f>BK347*(1-PARAM!$C$27)*$I$18+(MOD($B347,60)=PARAM!$B$56)*($B347&gt;(60-PARAM!$B$56))*HLOOKUP(($B347+PARAM!$B$56)/12,Loyalty,2)*$F$1*MAX(BN346,0)</f>
        <v>18.557001321003963</v>
      </c>
      <c r="BM347" s="75">
        <f>PARAM!$C$26+MAX($G$18-CHOOSE(PARAM!$B$44,MAX(0,BN346*$F$1),0),0)*RATES!$L323/12+$H$18*(PARAM!$D$51/12)*RATES!$N323/100</f>
        <v>34.630225804567985</v>
      </c>
      <c r="BN347" s="16">
        <f t="shared" si="213"/>
        <v>185.22794430973221</v>
      </c>
      <c r="BO347" s="15">
        <f t="shared" ref="BO347:BO410" si="231">$H$19*$CE347</f>
        <v>22.170849845882874</v>
      </c>
      <c r="BP347" s="75">
        <f>BO347*(1-PARAM!$C$27)*$I$19+(MOD($B347,60)=PARAM!$B$56)*($B347&gt;(60-PARAM!$B$56))*HLOOKUP(($B347+PARAM!$B$56)/12,Loyalty,2)*$F$1*MAX(BR346,0)</f>
        <v>18.557001321003963</v>
      </c>
      <c r="BQ347" s="75">
        <f>PARAM!$C$26+MAX($G$19-CHOOSE(PARAM!$B$44,MAX(0,BR346*$F$1),0),0)*RATES!$L323/12+$H$19*(PARAM!$D$51/12)*RATES!$N323/100</f>
        <v>34.630225804567985</v>
      </c>
      <c r="BR347" s="16">
        <f t="shared" si="214"/>
        <v>185.22794430973221</v>
      </c>
      <c r="BS347" s="15">
        <f t="shared" ref="BS347:BS410" si="232">$H$20*$CE347</f>
        <v>22.170849845882874</v>
      </c>
      <c r="BT347" s="75">
        <f>BS347*(1-PARAM!$C$27)*$I$20+(MOD($B347,60)=PARAM!$B$56)*($B347&gt;(60-PARAM!$B$56))*HLOOKUP(($B347+PARAM!$B$56)/12,Loyalty,2)*$F$1*MAX(BV346,0)</f>
        <v>18.557001321003963</v>
      </c>
      <c r="BU347" s="75">
        <f>PARAM!$C$26+MAX($G$20-CHOOSE(PARAM!$B$44,MAX(0,BV346*$F$1),0),0)*RATES!$L323/12+$H$20*(PARAM!$D$51/12)*RATES!$N323/100</f>
        <v>34.630225804567985</v>
      </c>
      <c r="BV347" s="16">
        <f t="shared" si="215"/>
        <v>185.22794430973221</v>
      </c>
      <c r="BW347" s="15">
        <f t="shared" ref="BW347:BW410" si="233">$H$21*$CE347</f>
        <v>22.170849845882874</v>
      </c>
      <c r="BX347" s="75">
        <f>BW347*(1-PARAM!$C$27)*$I$21+(MOD($B347,60)=PARAM!$B$56)*($B347&gt;(60-PARAM!$B$56))*HLOOKUP(($B347+PARAM!$B$56)/12,Loyalty,2)*$F$1*MAX(BZ346,0)</f>
        <v>18.557001321003963</v>
      </c>
      <c r="BY347" s="75">
        <f>PARAM!$C$26+MAX($G$21-CHOOSE(PARAM!$B$44,MAX(0,BZ346*$F$1),0),0)*RATES!$L323/12+$H$21*(PARAM!$D$51/12)*RATES!$N323/100</f>
        <v>34.630225804567985</v>
      </c>
      <c r="BZ347" s="16">
        <f t="shared" si="216"/>
        <v>185.22794430973221</v>
      </c>
      <c r="CA347" s="15">
        <f t="shared" ref="CA347:CA410" si="234">$H$22*$CE347</f>
        <v>22.170849845882874</v>
      </c>
      <c r="CB347" s="75">
        <f>CA347*(1-PARAM!$C$27)*$I$22+(MOD($B347,60)=PARAM!$B$56)*($B347&gt;(60-PARAM!$B$56))*HLOOKUP(($B347+PARAM!$B$56)/12,Loyalty,2)*$F$1*MAX(CD346,0)</f>
        <v>18.557001321003963</v>
      </c>
      <c r="CC347" s="75">
        <f>PARAM!$C$26+MAX($G$22-CHOOSE(PARAM!$B$44,MAX(0,CD346*$F$1),0),0)*RATES!$L323/12+$H$22*(PARAM!$D$51/12)*RATES!$N323/100</f>
        <v>34.630225804567985</v>
      </c>
      <c r="CD347" s="16">
        <f t="shared" si="217"/>
        <v>185.22794430973221</v>
      </c>
      <c r="CE347" s="33">
        <f>IF(0=MOD(B347,12/PARAM!$D$51),1,0)</f>
        <v>1</v>
      </c>
      <c r="CF347" s="15">
        <f t="shared" ref="CF347:CF410" si="235">$Q$3*CE347</f>
        <v>0</v>
      </c>
      <c r="CG347" s="75">
        <f>CF347*(1-PARAM!$C$27)*$R$3+(MOD($B347/12,5)=0)*($B347&gt;60)*HLOOKUP($B347/12,Loyalty,2)*$F$1*MAX(CI346,0)</f>
        <v>0</v>
      </c>
      <c r="CH347" s="75">
        <f>PARAM!$C$26+MAX($P$3-CHOOSE(PARAM!$B$44,MAX(0,CI346*$F$1),0),0)*RATES!$L323/12+$Q$3*(PARAM!$D$51/12)*RATES!$N323/100</f>
        <v>34.75</v>
      </c>
      <c r="CI347" s="16">
        <f>IF(CI346&gt;0,CI346*PARAM!$C$53,CI346)+CG347-CH347</f>
        <v>-5632.7499999999927</v>
      </c>
      <c r="CJ347" s="15">
        <f t="shared" si="218"/>
        <v>0</v>
      </c>
      <c r="CK347" s="75">
        <f>CJ347*(1-PARAM!$C$27)*$R$4+(MOD($B347/12,5)=0)*($B347&gt;60)*HLOOKUP($B347/12,Loyalty,2)*$F$1*MAX(CM346,0)</f>
        <v>0</v>
      </c>
      <c r="CL347" s="75">
        <f>PARAM!$C$26+MAX($P$4-CHOOSE(PARAM!$B$44,MAX(0,CM346*$F$1),0),0)*RATES!$L323/12+$Q$4*(PARAM!$D$51/12)*RATES!$N323/100</f>
        <v>34.75</v>
      </c>
      <c r="CM347" s="16">
        <f>IF(CM346&gt;0,CM346*PARAM!$C$53,CM346)+CK347-CL347</f>
        <v>-5632.7499999999927</v>
      </c>
      <c r="CO347" s="176"/>
    </row>
    <row r="348" spans="1:93" x14ac:dyDescent="0.2">
      <c r="A348" t="b">
        <f t="shared" ref="A348:A411" si="236">F348&gt;0</f>
        <v>0</v>
      </c>
      <c r="B348" s="33">
        <v>321</v>
      </c>
      <c r="C348" s="15">
        <f t="shared" ref="C348:C411" si="237">$H$3*$CE348</f>
        <v>20.081305947392778</v>
      </c>
      <c r="D348" s="75">
        <f>C348*(1-PARAM!$C$27)*$I$3+(MOD($B348,60)=PARAM!$B$56)*($B348&gt;(60-PARAM!$B$56))*HLOOKUP(($B348+PARAM!$B$56)/12,Loyalty,2)*$F$1*MAX(F347,0)</f>
        <v>16.808053077967756</v>
      </c>
      <c r="E348" s="75">
        <f>PARAM!$C$26+MAX($G$3-CHOOSE(PARAM!$B$44,MAX(0,F347*$F$1),0),0)*RATES!$L324/12+$H$3*(PARAM!$D$51/12)*RATES!$N324/100</f>
        <v>34.75</v>
      </c>
      <c r="F348" s="16">
        <f t="shared" ref="F348:F411" si="238">IF(F347&gt;0,F347*$F$1,F347)+D348-E348</f>
        <v>-428.54015337608473</v>
      </c>
      <c r="G348" s="15">
        <f t="shared" ref="G348:G411" si="239">$H$4*$CE348</f>
        <v>22.035289406060361</v>
      </c>
      <c r="H348" s="75">
        <f>G348*(1-PARAM!$C$27)*$I$4+(MOD($B348,60)=PARAM!$B$56)*($B348&gt;(60-PARAM!$B$56))*HLOOKUP(($B348+PARAM!$B$56)/12,Loyalty,2)*$F$1*MAX(J347,0)</f>
        <v>18.443537232872522</v>
      </c>
      <c r="I348" s="75">
        <f>PARAM!$C$26+MAX($G$4-CHOOSE(PARAM!$B$44,MAX(0,J347*$F$1),0),0)*RATES!$L324/12+$H$4*(PARAM!$D$51/12)*RATES!$N324/100</f>
        <v>34.663037815432375</v>
      </c>
      <c r="J348" s="16">
        <f t="shared" ref="J348:J411" si="240">IF(J347&gt;0,J347*$F$1,J347)+H348-I348</f>
        <v>129.93543146386389</v>
      </c>
      <c r="K348" s="15">
        <f t="shared" ref="K348:K411" si="241">$H$5*$CE348</f>
        <v>22.170849845882874</v>
      </c>
      <c r="L348" s="75">
        <f>K348*(1-PARAM!$C$27)*$I$5+(MOD($B348,60)=PARAM!$B$56)*($B348&gt;(60-PARAM!$B$56))*HLOOKUP(($B348+PARAM!$B$56)/12,Loyalty,2)*$F$1*MAX(N347,0)</f>
        <v>18.557001321003963</v>
      </c>
      <c r="M348" s="75">
        <f>PARAM!$C$26+MAX($G$5-CHOOSE(PARAM!$B$44,MAX(0,N347*$F$1),0),0)*RATES!$L324/12+$H$5*(PARAM!$D$51/12)*RATES!$N324/100</f>
        <v>34.639789373135713</v>
      </c>
      <c r="N348" s="16">
        <f t="shared" ref="N348:N411" si="242">IF(N347&gt;0,N347*$F$1,N347)+L348-M348</f>
        <v>169.14515625760043</v>
      </c>
      <c r="O348" s="15">
        <f t="shared" ref="O348:O411" si="243">$H$6*$CE348</f>
        <v>22.170849845882874</v>
      </c>
      <c r="P348" s="75">
        <f>O348*(1-PARAM!$C$27)*$I$6+(MOD($B348,60)=PARAM!$B$56)*($B348&gt;(60-PARAM!$B$56))*HLOOKUP(($B348+PARAM!$B$56)/12,Loyalty,2)*$F$1*MAX(R347,0)</f>
        <v>18.557001321003963</v>
      </c>
      <c r="Q348" s="75">
        <f>PARAM!$C$26+MAX($G$6-CHOOSE(PARAM!$B$44,MAX(0,R347*$F$1),0),0)*RATES!$L324/12+$H$6*(PARAM!$D$51/12)*RATES!$N324/100</f>
        <v>34.639789373135713</v>
      </c>
      <c r="R348" s="16">
        <f t="shared" ref="R348:R411" si="244">IF(R347&gt;0,R347*$F$1,R347)+P348-Q348</f>
        <v>169.14515625760043</v>
      </c>
      <c r="S348" s="15">
        <f t="shared" si="219"/>
        <v>22.170849845882874</v>
      </c>
      <c r="T348" s="75">
        <f>S348*(1-PARAM!$C$27)*$I$7+(MOD($B348,60)=PARAM!$B$56)*($B348&gt;(60-PARAM!$B$56))*HLOOKUP(($B348+PARAM!$B$56)/12,Loyalty,2)*$F$1*MAX(V347,0)</f>
        <v>18.557001321003963</v>
      </c>
      <c r="U348" s="75">
        <f>PARAM!$C$26+MAX($G$7-CHOOSE(PARAM!$B$44,MAX(0,V347*$F$1),0),0)*RATES!$L324/12+$H$7*(PARAM!$D$51/12)*RATES!$N324/100</f>
        <v>34.639789373135713</v>
      </c>
      <c r="V348" s="16">
        <f t="shared" ref="V348:V411" si="245">IF(V347&gt;0,V347*$F$1,V347)+T348-U348</f>
        <v>169.14515625760043</v>
      </c>
      <c r="W348" s="15">
        <f t="shared" si="220"/>
        <v>22.170849845882874</v>
      </c>
      <c r="X348" s="75">
        <f>W348*(1-PARAM!$C$27)*$I$8+(MOD($B348,60)=PARAM!$B$56)*($B348&gt;(60-PARAM!$B$56))*HLOOKUP(($B348+PARAM!$B$56)/12,Loyalty,2)*$F$1*MAX(Z347,0)</f>
        <v>18.557001321003963</v>
      </c>
      <c r="Y348" s="75">
        <f>PARAM!$C$26+MAX($G$8-CHOOSE(PARAM!$B$44,MAX(0,Z347*$F$1),0),0)*RATES!$L324/12+$H$8*(PARAM!$D$51/12)*RATES!$N324/100</f>
        <v>34.639789373135713</v>
      </c>
      <c r="Z348" s="16">
        <f t="shared" ref="Z348:Z411" si="246">IF(Z347&gt;0,Z347*$F$1,Z347)+X348-Y348</f>
        <v>169.14515625760043</v>
      </c>
      <c r="AA348" s="15">
        <f t="shared" si="221"/>
        <v>22.170849845882874</v>
      </c>
      <c r="AB348" s="75">
        <f>AA348*(1-PARAM!$C$27)*$I$9+(MOD($B348,60)=PARAM!$B$56)*($B348&gt;(60-PARAM!$B$56))*HLOOKUP(($B348+PARAM!$B$56)/12,Loyalty,2)*$F$1*MAX(AD347,0)</f>
        <v>18.557001321003963</v>
      </c>
      <c r="AC348" s="75">
        <f>PARAM!$C$26+MAX($G$9-CHOOSE(PARAM!$B$44,MAX(0,AD347*$F$1),0),0)*RATES!$L324/12+$H$9*(PARAM!$D$51/12)*RATES!$N324/100</f>
        <v>34.639789373135713</v>
      </c>
      <c r="AD348" s="16">
        <f t="shared" ref="AD348:AD411" si="247">IF(AD347&gt;0,AD347*$F$1,AD347)+AB348-AC348</f>
        <v>169.14515625760043</v>
      </c>
      <c r="AE348" s="15">
        <f t="shared" si="222"/>
        <v>22.170849845882874</v>
      </c>
      <c r="AF348" s="75">
        <f>AE348*(1-PARAM!$C$27)*$I$10+(MOD($B348,60)=PARAM!$B$56)*($B348&gt;(60-PARAM!$B$56))*HLOOKUP(($B348+PARAM!$B$56)/12,Loyalty,2)*$F$1*MAX(AH347,0)</f>
        <v>18.557001321003963</v>
      </c>
      <c r="AG348" s="75">
        <f>PARAM!$C$26+MAX($G$10-CHOOSE(PARAM!$B$44,MAX(0,AH347*$F$1),0),0)*RATES!$L324/12+$H$10*(PARAM!$D$51/12)*RATES!$N324/100</f>
        <v>34.639789373135713</v>
      </c>
      <c r="AH348" s="16">
        <f t="shared" ref="AH348:AH411" si="248">IF(AH347&gt;0,AH347*$F$1,AH347)+AF348-AG348</f>
        <v>169.14515625760043</v>
      </c>
      <c r="AI348" s="15">
        <f t="shared" si="223"/>
        <v>22.170849845882874</v>
      </c>
      <c r="AJ348" s="75">
        <f>AI348*(1-PARAM!$C$27)*$I$11+(MOD($B348,60)=PARAM!$B$56)*($B348&gt;(60-PARAM!$B$56))*HLOOKUP(($B348+PARAM!$B$56)/12,Loyalty,2)*$F$1*MAX(AL347,0)</f>
        <v>18.557001321003963</v>
      </c>
      <c r="AK348" s="75">
        <f>PARAM!$C$26+MAX($G$11-CHOOSE(PARAM!$B$44,MAX(0,AL347*$F$1),0),0)*RATES!$L324/12+$H$11*(PARAM!$D$51/12)*RATES!$N324/100</f>
        <v>34.639789373135713</v>
      </c>
      <c r="AL348" s="16">
        <f t="shared" ref="AL348:AL411" si="249">IF(AL347&gt;0,AL347*$F$1,AL347)+AJ348-AK348</f>
        <v>169.14515625760043</v>
      </c>
      <c r="AM348" s="15">
        <f t="shared" si="224"/>
        <v>22.170849845882874</v>
      </c>
      <c r="AN348" s="75">
        <f>AM348*(1-PARAM!$C$27)*$I$12+(MOD($B348,60)=PARAM!$B$56)*($B348&gt;(60-PARAM!$B$56))*HLOOKUP(($B348+PARAM!$B$56)/12,Loyalty,2)*$F$1*MAX(AP347,0)</f>
        <v>18.557001321003963</v>
      </c>
      <c r="AO348" s="75">
        <f>PARAM!$C$26+MAX($G$12-CHOOSE(PARAM!$B$44,MAX(0,AP347*$F$1),0),0)*RATES!$L324/12+$H$12*(PARAM!$D$51/12)*RATES!$N324/100</f>
        <v>34.639789373135713</v>
      </c>
      <c r="AP348" s="16">
        <f t="shared" ref="AP348:AP411" si="250">IF(AP347&gt;0,AP347*$F$1,AP347)+AN348-AO348</f>
        <v>169.14515625760043</v>
      </c>
      <c r="AQ348" s="15">
        <f t="shared" si="225"/>
        <v>22.170849845882874</v>
      </c>
      <c r="AR348" s="75">
        <f>AQ348*(1-PARAM!$C$27)*$I$13+(MOD($B348,60)=PARAM!$B$56)*($B348&gt;(60-PARAM!$B$56))*HLOOKUP(($B348+PARAM!$B$56)/12,Loyalty,2)*$F$1*MAX(AT347,0)</f>
        <v>18.557001321003963</v>
      </c>
      <c r="AS348" s="75">
        <f>PARAM!$C$26+MAX($G$13-CHOOSE(PARAM!$B$44,MAX(0,AT347*$F$1),0),0)*RATES!$L324/12+$H$13*(PARAM!$D$51/12)*RATES!$N324/100</f>
        <v>34.639789373135713</v>
      </c>
      <c r="AT348" s="16">
        <f t="shared" ref="AT348:AT411" si="251">IF(AT347&gt;0,AT347*$F$1,AT347)+AR348-AS348</f>
        <v>169.14515625760043</v>
      </c>
      <c r="AU348" s="15">
        <f t="shared" si="226"/>
        <v>22.170849845882874</v>
      </c>
      <c r="AV348" s="75">
        <f>AU348*(1-PARAM!$C$27)*$I$14+(MOD($B348,60)=PARAM!$B$56)*($B348&gt;(60-PARAM!$B$56))*HLOOKUP(($B348+PARAM!$B$56)/12,Loyalty,2)*$F$1*MAX(AX347,0)</f>
        <v>18.557001321003963</v>
      </c>
      <c r="AW348" s="75">
        <f>PARAM!$C$26+MAX($G$14-CHOOSE(PARAM!$B$44,MAX(0,AX347*$F$1),0),0)*RATES!$L324/12+$H$14*(PARAM!$D$51/12)*RATES!$N324/100</f>
        <v>34.639789373135713</v>
      </c>
      <c r="AX348" s="16">
        <f t="shared" ref="AX348:AX411" si="252">IF(AX347&gt;0,AX347*$F$1,AX347)+AV348-AW348</f>
        <v>169.14515625760043</v>
      </c>
      <c r="AY348" s="15">
        <f t="shared" si="227"/>
        <v>22.170849845882874</v>
      </c>
      <c r="AZ348" s="75">
        <f>AY348*(1-PARAM!$C$27)*$I$15+(MOD($B348,60)=PARAM!$B$56)*($B348&gt;(60-PARAM!$B$56))*HLOOKUP(($B348+PARAM!$B$56)/12,Loyalty,2)*$F$1*MAX(BB347,0)</f>
        <v>18.557001321003963</v>
      </c>
      <c r="BA348" s="75">
        <f>PARAM!$C$26+MAX($G$15-CHOOSE(PARAM!$B$44,MAX(0,BB347*$F$1),0),0)*RATES!$L324/12+$H$15*(PARAM!$D$51/12)*RATES!$N324/100</f>
        <v>34.639789373135713</v>
      </c>
      <c r="BB348" s="16">
        <f t="shared" ref="BB348:BB411" si="253">IF(BB347&gt;0,BB347*$F$1,BB347)+AZ348-BA348</f>
        <v>169.14515625760043</v>
      </c>
      <c r="BC348" s="15">
        <f t="shared" si="228"/>
        <v>22.170849845882874</v>
      </c>
      <c r="BD348" s="75">
        <f>BC348*(1-PARAM!$C$27)*$I$16+(MOD($B348,60)=PARAM!$B$56)*($B348&gt;(60-PARAM!$B$56))*HLOOKUP(($B348+PARAM!$B$56)/12,Loyalty,2)*$F$1*MAX(BF347,0)</f>
        <v>18.557001321003963</v>
      </c>
      <c r="BE348" s="75">
        <f>PARAM!$C$26+MAX($G$16-CHOOSE(PARAM!$B$44,MAX(0,BF347*$F$1),0),0)*RATES!$L324/12+$H$16*(PARAM!$D$51/12)*RATES!$N324/100</f>
        <v>34.639789373135713</v>
      </c>
      <c r="BF348" s="16">
        <f t="shared" ref="BF348:BF411" si="254">IF(BF347&gt;0,BF347*$F$1,BF347)+BD348-BE348</f>
        <v>169.14515625760043</v>
      </c>
      <c r="BG348" s="15">
        <f t="shared" si="229"/>
        <v>22.170849845882874</v>
      </c>
      <c r="BH348" s="75">
        <f>BG348*(1-PARAM!$C$27)*$I$17+(MOD($B348,60)=PARAM!$B$56)*($B348&gt;(60-PARAM!$B$56))*HLOOKUP(($B348+PARAM!$B$56)/12,Loyalty,2)*$F$1*MAX(BJ347,0)</f>
        <v>18.557001321003963</v>
      </c>
      <c r="BI348" s="75">
        <f>PARAM!$C$26+MAX($G$17-CHOOSE(PARAM!$B$44,MAX(0,BJ347*$F$1),0),0)*RATES!$L324/12+$H$17*(PARAM!$D$51/12)*RATES!$N324/100</f>
        <v>34.639789373135713</v>
      </c>
      <c r="BJ348" s="16">
        <f t="shared" ref="BJ348:BJ411" si="255">IF(BJ347&gt;0,BJ347*$F$1,BJ347)+BH348-BI348</f>
        <v>169.14515625760043</v>
      </c>
      <c r="BK348" s="15">
        <f t="shared" si="230"/>
        <v>22.170849845882874</v>
      </c>
      <c r="BL348" s="75">
        <f>BK348*(1-PARAM!$C$27)*$I$18+(MOD($B348,60)=PARAM!$B$56)*($B348&gt;(60-PARAM!$B$56))*HLOOKUP(($B348+PARAM!$B$56)/12,Loyalty,2)*$F$1*MAX(BN347,0)</f>
        <v>18.557001321003963</v>
      </c>
      <c r="BM348" s="75">
        <f>PARAM!$C$26+MAX($G$18-CHOOSE(PARAM!$B$44,MAX(0,BN347*$F$1),0),0)*RATES!$L324/12+$H$18*(PARAM!$D$51/12)*RATES!$N324/100</f>
        <v>34.639789373135713</v>
      </c>
      <c r="BN348" s="16">
        <f t="shared" ref="BN348:BN411" si="256">IF(BN347&gt;0,BN347*$F$1,BN347)+BL348-BM348</f>
        <v>169.14515625760043</v>
      </c>
      <c r="BO348" s="15">
        <f t="shared" si="231"/>
        <v>22.170849845882874</v>
      </c>
      <c r="BP348" s="75">
        <f>BO348*(1-PARAM!$C$27)*$I$19+(MOD($B348,60)=PARAM!$B$56)*($B348&gt;(60-PARAM!$B$56))*HLOOKUP(($B348+PARAM!$B$56)/12,Loyalty,2)*$F$1*MAX(BR347,0)</f>
        <v>18.557001321003963</v>
      </c>
      <c r="BQ348" s="75">
        <f>PARAM!$C$26+MAX($G$19-CHOOSE(PARAM!$B$44,MAX(0,BR347*$F$1),0),0)*RATES!$L324/12+$H$19*(PARAM!$D$51/12)*RATES!$N324/100</f>
        <v>34.639789373135713</v>
      </c>
      <c r="BR348" s="16">
        <f t="shared" ref="BR348:BR411" si="257">IF(BR347&gt;0,BR347*$F$1,BR347)+BP348-BQ348</f>
        <v>169.14515625760043</v>
      </c>
      <c r="BS348" s="15">
        <f t="shared" si="232"/>
        <v>22.170849845882874</v>
      </c>
      <c r="BT348" s="75">
        <f>BS348*(1-PARAM!$C$27)*$I$20+(MOD($B348,60)=PARAM!$B$56)*($B348&gt;(60-PARAM!$B$56))*HLOOKUP(($B348+PARAM!$B$56)/12,Loyalty,2)*$F$1*MAX(BV347,0)</f>
        <v>18.557001321003963</v>
      </c>
      <c r="BU348" s="75">
        <f>PARAM!$C$26+MAX($G$20-CHOOSE(PARAM!$B$44,MAX(0,BV347*$F$1),0),0)*RATES!$L324/12+$H$20*(PARAM!$D$51/12)*RATES!$N324/100</f>
        <v>34.639789373135713</v>
      </c>
      <c r="BV348" s="16">
        <f t="shared" ref="BV348:BV411" si="258">IF(BV347&gt;0,BV347*$F$1,BV347)+BT348-BU348</f>
        <v>169.14515625760043</v>
      </c>
      <c r="BW348" s="15">
        <f t="shared" si="233"/>
        <v>22.170849845882874</v>
      </c>
      <c r="BX348" s="75">
        <f>BW348*(1-PARAM!$C$27)*$I$21+(MOD($B348,60)=PARAM!$B$56)*($B348&gt;(60-PARAM!$B$56))*HLOOKUP(($B348+PARAM!$B$56)/12,Loyalty,2)*$F$1*MAX(BZ347,0)</f>
        <v>18.557001321003963</v>
      </c>
      <c r="BY348" s="75">
        <f>PARAM!$C$26+MAX($G$21-CHOOSE(PARAM!$B$44,MAX(0,BZ347*$F$1),0),0)*RATES!$L324/12+$H$21*(PARAM!$D$51/12)*RATES!$N324/100</f>
        <v>34.639789373135713</v>
      </c>
      <c r="BZ348" s="16">
        <f t="shared" ref="BZ348:BZ411" si="259">IF(BZ347&gt;0,BZ347*$F$1,BZ347)+BX348-BY348</f>
        <v>169.14515625760043</v>
      </c>
      <c r="CA348" s="15">
        <f t="shared" si="234"/>
        <v>22.170849845882874</v>
      </c>
      <c r="CB348" s="75">
        <f>CA348*(1-PARAM!$C$27)*$I$22+(MOD($B348,60)=PARAM!$B$56)*($B348&gt;(60-PARAM!$B$56))*HLOOKUP(($B348+PARAM!$B$56)/12,Loyalty,2)*$F$1*MAX(CD347,0)</f>
        <v>18.557001321003963</v>
      </c>
      <c r="CC348" s="75">
        <f>PARAM!$C$26+MAX($G$22-CHOOSE(PARAM!$B$44,MAX(0,CD347*$F$1),0),0)*RATES!$L324/12+$H$22*(PARAM!$D$51/12)*RATES!$N324/100</f>
        <v>34.639789373135713</v>
      </c>
      <c r="CD348" s="16">
        <f t="shared" ref="CD348:CD411" si="260">IF(CD347&gt;0,CD347*$F$1,CD347)+CB348-CC348</f>
        <v>169.14515625760043</v>
      </c>
      <c r="CE348" s="33">
        <f>IF(0=MOD(B348,12/PARAM!$D$51),1,0)</f>
        <v>1</v>
      </c>
      <c r="CF348" s="15">
        <f t="shared" si="235"/>
        <v>0</v>
      </c>
      <c r="CG348" s="75">
        <f>CF348*(1-PARAM!$C$27)*$R$3+(MOD($B348/12,5)=0)*($B348&gt;60)*HLOOKUP($B348/12,Loyalty,2)*$F$1*MAX(CI347,0)</f>
        <v>0</v>
      </c>
      <c r="CH348" s="75">
        <f>PARAM!$C$26+MAX($P$3-CHOOSE(PARAM!$B$44,MAX(0,CI347*$F$1),0),0)*RATES!$L324/12+$Q$3*(PARAM!$D$51/12)*RATES!$N324/100</f>
        <v>34.75</v>
      </c>
      <c r="CI348" s="16">
        <f>IF(CI347&gt;0,CI347*PARAM!$C$53,CI347)+CG348-CH348</f>
        <v>-5667.4999999999927</v>
      </c>
      <c r="CJ348" s="15">
        <f t="shared" ref="CJ348:CJ411" si="261">$Q$4*CE348</f>
        <v>0</v>
      </c>
      <c r="CK348" s="75">
        <f>CJ348*(1-PARAM!$C$27)*$R$4+(MOD($B348/12,5)=0)*($B348&gt;60)*HLOOKUP($B348/12,Loyalty,2)*$F$1*MAX(CM347,0)</f>
        <v>0</v>
      </c>
      <c r="CL348" s="75">
        <f>PARAM!$C$26+MAX($P$4-CHOOSE(PARAM!$B$44,MAX(0,CM347*$F$1),0),0)*RATES!$L324/12+$Q$4*(PARAM!$D$51/12)*RATES!$N324/100</f>
        <v>34.75</v>
      </c>
      <c r="CM348" s="16">
        <f>IF(CM347&gt;0,CM347*PARAM!$C$53,CM347)+CK348-CL348</f>
        <v>-5667.4999999999927</v>
      </c>
      <c r="CO348" s="176"/>
    </row>
    <row r="349" spans="1:93" x14ac:dyDescent="0.2">
      <c r="A349" t="b">
        <f t="shared" si="236"/>
        <v>0</v>
      </c>
      <c r="B349" s="33">
        <v>322</v>
      </c>
      <c r="C349" s="15">
        <f t="shared" si="237"/>
        <v>20.081305947392778</v>
      </c>
      <c r="D349" s="75">
        <f>C349*(1-PARAM!$C$27)*$I$3+(MOD($B349,60)=PARAM!$B$56)*($B349&gt;(60-PARAM!$B$56))*HLOOKUP(($B349+PARAM!$B$56)/12,Loyalty,2)*$F$1*MAX(F348,0)</f>
        <v>16.808053077967756</v>
      </c>
      <c r="E349" s="75">
        <f>PARAM!$C$26+MAX($G$3-CHOOSE(PARAM!$B$44,MAX(0,F348*$F$1),0),0)*RATES!$L325/12+$H$3*(PARAM!$D$51/12)*RATES!$N325/100</f>
        <v>34.75</v>
      </c>
      <c r="F349" s="16">
        <f t="shared" si="238"/>
        <v>-446.48210029811696</v>
      </c>
      <c r="G349" s="15">
        <f t="shared" si="239"/>
        <v>22.035289406060361</v>
      </c>
      <c r="H349" s="75">
        <f>G349*(1-PARAM!$C$27)*$I$4+(MOD($B349,60)=PARAM!$B$56)*($B349&gt;(60-PARAM!$B$56))*HLOOKUP(($B349+PARAM!$B$56)/12,Loyalty,2)*$F$1*MAX(J348,0)</f>
        <v>18.443537232872522</v>
      </c>
      <c r="I349" s="75">
        <f>PARAM!$C$26+MAX($G$4-CHOOSE(PARAM!$B$44,MAX(0,J348*$F$1),0),0)*RATES!$L325/12+$H$4*(PARAM!$D$51/12)*RATES!$N325/100</f>
        <v>34.672688418278995</v>
      </c>
      <c r="J349" s="16">
        <f t="shared" si="240"/>
        <v>113.70628027845743</v>
      </c>
      <c r="K349" s="15">
        <f t="shared" si="241"/>
        <v>22.170849845882874</v>
      </c>
      <c r="L349" s="75">
        <f>K349*(1-PARAM!$C$27)*$I$5+(MOD($B349,60)=PARAM!$B$56)*($B349&gt;(60-PARAM!$B$56))*HLOOKUP(($B349+PARAM!$B$56)/12,Loyalty,2)*$F$1*MAX(N348,0)</f>
        <v>18.557001321003963</v>
      </c>
      <c r="M349" s="75">
        <f>PARAM!$C$26+MAX($G$5-CHOOSE(PARAM!$B$44,MAX(0,N348*$F$1),0),0)*RATES!$L325/12+$H$5*(PARAM!$D$51/12)*RATES!$N325/100</f>
        <v>34.649358632026718</v>
      </c>
      <c r="N349" s="16">
        <f t="shared" si="242"/>
        <v>153.05279894657767</v>
      </c>
      <c r="O349" s="15">
        <f t="shared" si="243"/>
        <v>22.170849845882874</v>
      </c>
      <c r="P349" s="75">
        <f>O349*(1-PARAM!$C$27)*$I$6+(MOD($B349,60)=PARAM!$B$56)*($B349&gt;(60-PARAM!$B$56))*HLOOKUP(($B349+PARAM!$B$56)/12,Loyalty,2)*$F$1*MAX(R348,0)</f>
        <v>18.557001321003963</v>
      </c>
      <c r="Q349" s="75">
        <f>PARAM!$C$26+MAX($G$6-CHOOSE(PARAM!$B$44,MAX(0,R348*$F$1),0),0)*RATES!$L325/12+$H$6*(PARAM!$D$51/12)*RATES!$N325/100</f>
        <v>34.649358632026718</v>
      </c>
      <c r="R349" s="16">
        <f t="shared" si="244"/>
        <v>153.05279894657767</v>
      </c>
      <c r="S349" s="15">
        <f t="shared" si="219"/>
        <v>22.170849845882874</v>
      </c>
      <c r="T349" s="75">
        <f>S349*(1-PARAM!$C$27)*$I$7+(MOD($B349,60)=PARAM!$B$56)*($B349&gt;(60-PARAM!$B$56))*HLOOKUP(($B349+PARAM!$B$56)/12,Loyalty,2)*$F$1*MAX(V348,0)</f>
        <v>18.557001321003963</v>
      </c>
      <c r="U349" s="75">
        <f>PARAM!$C$26+MAX($G$7-CHOOSE(PARAM!$B$44,MAX(0,V348*$F$1),0),0)*RATES!$L325/12+$H$7*(PARAM!$D$51/12)*RATES!$N325/100</f>
        <v>34.649358632026718</v>
      </c>
      <c r="V349" s="16">
        <f t="shared" si="245"/>
        <v>153.05279894657767</v>
      </c>
      <c r="W349" s="15">
        <f t="shared" si="220"/>
        <v>22.170849845882874</v>
      </c>
      <c r="X349" s="75">
        <f>W349*(1-PARAM!$C$27)*$I$8+(MOD($B349,60)=PARAM!$B$56)*($B349&gt;(60-PARAM!$B$56))*HLOOKUP(($B349+PARAM!$B$56)/12,Loyalty,2)*$F$1*MAX(Z348,0)</f>
        <v>18.557001321003963</v>
      </c>
      <c r="Y349" s="75">
        <f>PARAM!$C$26+MAX($G$8-CHOOSE(PARAM!$B$44,MAX(0,Z348*$F$1),0),0)*RATES!$L325/12+$H$8*(PARAM!$D$51/12)*RATES!$N325/100</f>
        <v>34.649358632026718</v>
      </c>
      <c r="Z349" s="16">
        <f t="shared" si="246"/>
        <v>153.05279894657767</v>
      </c>
      <c r="AA349" s="15">
        <f t="shared" si="221"/>
        <v>22.170849845882874</v>
      </c>
      <c r="AB349" s="75">
        <f>AA349*(1-PARAM!$C$27)*$I$9+(MOD($B349,60)=PARAM!$B$56)*($B349&gt;(60-PARAM!$B$56))*HLOOKUP(($B349+PARAM!$B$56)/12,Loyalty,2)*$F$1*MAX(AD348,0)</f>
        <v>18.557001321003963</v>
      </c>
      <c r="AC349" s="75">
        <f>PARAM!$C$26+MAX($G$9-CHOOSE(PARAM!$B$44,MAX(0,AD348*$F$1),0),0)*RATES!$L325/12+$H$9*(PARAM!$D$51/12)*RATES!$N325/100</f>
        <v>34.649358632026718</v>
      </c>
      <c r="AD349" s="16">
        <f t="shared" si="247"/>
        <v>153.05279894657767</v>
      </c>
      <c r="AE349" s="15">
        <f t="shared" si="222"/>
        <v>22.170849845882874</v>
      </c>
      <c r="AF349" s="75">
        <f>AE349*(1-PARAM!$C$27)*$I$10+(MOD($B349,60)=PARAM!$B$56)*($B349&gt;(60-PARAM!$B$56))*HLOOKUP(($B349+PARAM!$B$56)/12,Loyalty,2)*$F$1*MAX(AH348,0)</f>
        <v>18.557001321003963</v>
      </c>
      <c r="AG349" s="75">
        <f>PARAM!$C$26+MAX($G$10-CHOOSE(PARAM!$B$44,MAX(0,AH348*$F$1),0),0)*RATES!$L325/12+$H$10*(PARAM!$D$51/12)*RATES!$N325/100</f>
        <v>34.649358632026718</v>
      </c>
      <c r="AH349" s="16">
        <f t="shared" si="248"/>
        <v>153.05279894657767</v>
      </c>
      <c r="AI349" s="15">
        <f t="shared" si="223"/>
        <v>22.170849845882874</v>
      </c>
      <c r="AJ349" s="75">
        <f>AI349*(1-PARAM!$C$27)*$I$11+(MOD($B349,60)=PARAM!$B$56)*($B349&gt;(60-PARAM!$B$56))*HLOOKUP(($B349+PARAM!$B$56)/12,Loyalty,2)*$F$1*MAX(AL348,0)</f>
        <v>18.557001321003963</v>
      </c>
      <c r="AK349" s="75">
        <f>PARAM!$C$26+MAX($G$11-CHOOSE(PARAM!$B$44,MAX(0,AL348*$F$1),0),0)*RATES!$L325/12+$H$11*(PARAM!$D$51/12)*RATES!$N325/100</f>
        <v>34.649358632026718</v>
      </c>
      <c r="AL349" s="16">
        <f t="shared" si="249"/>
        <v>153.05279894657767</v>
      </c>
      <c r="AM349" s="15">
        <f t="shared" si="224"/>
        <v>22.170849845882874</v>
      </c>
      <c r="AN349" s="75">
        <f>AM349*(1-PARAM!$C$27)*$I$12+(MOD($B349,60)=PARAM!$B$56)*($B349&gt;(60-PARAM!$B$56))*HLOOKUP(($B349+PARAM!$B$56)/12,Loyalty,2)*$F$1*MAX(AP348,0)</f>
        <v>18.557001321003963</v>
      </c>
      <c r="AO349" s="75">
        <f>PARAM!$C$26+MAX($G$12-CHOOSE(PARAM!$B$44,MAX(0,AP348*$F$1),0),0)*RATES!$L325/12+$H$12*(PARAM!$D$51/12)*RATES!$N325/100</f>
        <v>34.649358632026718</v>
      </c>
      <c r="AP349" s="16">
        <f t="shared" si="250"/>
        <v>153.05279894657767</v>
      </c>
      <c r="AQ349" s="15">
        <f t="shared" si="225"/>
        <v>22.170849845882874</v>
      </c>
      <c r="AR349" s="75">
        <f>AQ349*(1-PARAM!$C$27)*$I$13+(MOD($B349,60)=PARAM!$B$56)*($B349&gt;(60-PARAM!$B$56))*HLOOKUP(($B349+PARAM!$B$56)/12,Loyalty,2)*$F$1*MAX(AT348,0)</f>
        <v>18.557001321003963</v>
      </c>
      <c r="AS349" s="75">
        <f>PARAM!$C$26+MAX($G$13-CHOOSE(PARAM!$B$44,MAX(0,AT348*$F$1),0),0)*RATES!$L325/12+$H$13*(PARAM!$D$51/12)*RATES!$N325/100</f>
        <v>34.649358632026718</v>
      </c>
      <c r="AT349" s="16">
        <f t="shared" si="251"/>
        <v>153.05279894657767</v>
      </c>
      <c r="AU349" s="15">
        <f t="shared" si="226"/>
        <v>22.170849845882874</v>
      </c>
      <c r="AV349" s="75">
        <f>AU349*(1-PARAM!$C$27)*$I$14+(MOD($B349,60)=PARAM!$B$56)*($B349&gt;(60-PARAM!$B$56))*HLOOKUP(($B349+PARAM!$B$56)/12,Loyalty,2)*$F$1*MAX(AX348,0)</f>
        <v>18.557001321003963</v>
      </c>
      <c r="AW349" s="75">
        <f>PARAM!$C$26+MAX($G$14-CHOOSE(PARAM!$B$44,MAX(0,AX348*$F$1),0),0)*RATES!$L325/12+$H$14*(PARAM!$D$51/12)*RATES!$N325/100</f>
        <v>34.649358632026718</v>
      </c>
      <c r="AX349" s="16">
        <f t="shared" si="252"/>
        <v>153.05279894657767</v>
      </c>
      <c r="AY349" s="15">
        <f t="shared" si="227"/>
        <v>22.170849845882874</v>
      </c>
      <c r="AZ349" s="75">
        <f>AY349*(1-PARAM!$C$27)*$I$15+(MOD($B349,60)=PARAM!$B$56)*($B349&gt;(60-PARAM!$B$56))*HLOOKUP(($B349+PARAM!$B$56)/12,Loyalty,2)*$F$1*MAX(BB348,0)</f>
        <v>18.557001321003963</v>
      </c>
      <c r="BA349" s="75">
        <f>PARAM!$C$26+MAX($G$15-CHOOSE(PARAM!$B$44,MAX(0,BB348*$F$1),0),0)*RATES!$L325/12+$H$15*(PARAM!$D$51/12)*RATES!$N325/100</f>
        <v>34.649358632026718</v>
      </c>
      <c r="BB349" s="16">
        <f t="shared" si="253"/>
        <v>153.05279894657767</v>
      </c>
      <c r="BC349" s="15">
        <f t="shared" si="228"/>
        <v>22.170849845882874</v>
      </c>
      <c r="BD349" s="75">
        <f>BC349*(1-PARAM!$C$27)*$I$16+(MOD($B349,60)=PARAM!$B$56)*($B349&gt;(60-PARAM!$B$56))*HLOOKUP(($B349+PARAM!$B$56)/12,Loyalty,2)*$F$1*MAX(BF348,0)</f>
        <v>18.557001321003963</v>
      </c>
      <c r="BE349" s="75">
        <f>PARAM!$C$26+MAX($G$16-CHOOSE(PARAM!$B$44,MAX(0,BF348*$F$1),0),0)*RATES!$L325/12+$H$16*(PARAM!$D$51/12)*RATES!$N325/100</f>
        <v>34.649358632026718</v>
      </c>
      <c r="BF349" s="16">
        <f t="shared" si="254"/>
        <v>153.05279894657767</v>
      </c>
      <c r="BG349" s="15">
        <f t="shared" si="229"/>
        <v>22.170849845882874</v>
      </c>
      <c r="BH349" s="75">
        <f>BG349*(1-PARAM!$C$27)*$I$17+(MOD($B349,60)=PARAM!$B$56)*($B349&gt;(60-PARAM!$B$56))*HLOOKUP(($B349+PARAM!$B$56)/12,Loyalty,2)*$F$1*MAX(BJ348,0)</f>
        <v>18.557001321003963</v>
      </c>
      <c r="BI349" s="75">
        <f>PARAM!$C$26+MAX($G$17-CHOOSE(PARAM!$B$44,MAX(0,BJ348*$F$1),0),0)*RATES!$L325/12+$H$17*(PARAM!$D$51/12)*RATES!$N325/100</f>
        <v>34.649358632026718</v>
      </c>
      <c r="BJ349" s="16">
        <f t="shared" si="255"/>
        <v>153.05279894657767</v>
      </c>
      <c r="BK349" s="15">
        <f t="shared" si="230"/>
        <v>22.170849845882874</v>
      </c>
      <c r="BL349" s="75">
        <f>BK349*(1-PARAM!$C$27)*$I$18+(MOD($B349,60)=PARAM!$B$56)*($B349&gt;(60-PARAM!$B$56))*HLOOKUP(($B349+PARAM!$B$56)/12,Loyalty,2)*$F$1*MAX(BN348,0)</f>
        <v>18.557001321003963</v>
      </c>
      <c r="BM349" s="75">
        <f>PARAM!$C$26+MAX($G$18-CHOOSE(PARAM!$B$44,MAX(0,BN348*$F$1),0),0)*RATES!$L325/12+$H$18*(PARAM!$D$51/12)*RATES!$N325/100</f>
        <v>34.649358632026718</v>
      </c>
      <c r="BN349" s="16">
        <f t="shared" si="256"/>
        <v>153.05279894657767</v>
      </c>
      <c r="BO349" s="15">
        <f t="shared" si="231"/>
        <v>22.170849845882874</v>
      </c>
      <c r="BP349" s="75">
        <f>BO349*(1-PARAM!$C$27)*$I$19+(MOD($B349,60)=PARAM!$B$56)*($B349&gt;(60-PARAM!$B$56))*HLOOKUP(($B349+PARAM!$B$56)/12,Loyalty,2)*$F$1*MAX(BR348,0)</f>
        <v>18.557001321003963</v>
      </c>
      <c r="BQ349" s="75">
        <f>PARAM!$C$26+MAX($G$19-CHOOSE(PARAM!$B$44,MAX(0,BR348*$F$1),0),0)*RATES!$L325/12+$H$19*(PARAM!$D$51/12)*RATES!$N325/100</f>
        <v>34.649358632026718</v>
      </c>
      <c r="BR349" s="16">
        <f t="shared" si="257"/>
        <v>153.05279894657767</v>
      </c>
      <c r="BS349" s="15">
        <f t="shared" si="232"/>
        <v>22.170849845882874</v>
      </c>
      <c r="BT349" s="75">
        <f>BS349*(1-PARAM!$C$27)*$I$20+(MOD($B349,60)=PARAM!$B$56)*($B349&gt;(60-PARAM!$B$56))*HLOOKUP(($B349+PARAM!$B$56)/12,Loyalty,2)*$F$1*MAX(BV348,0)</f>
        <v>18.557001321003963</v>
      </c>
      <c r="BU349" s="75">
        <f>PARAM!$C$26+MAX($G$20-CHOOSE(PARAM!$B$44,MAX(0,BV348*$F$1),0),0)*RATES!$L325/12+$H$20*(PARAM!$D$51/12)*RATES!$N325/100</f>
        <v>34.649358632026718</v>
      </c>
      <c r="BV349" s="16">
        <f t="shared" si="258"/>
        <v>153.05279894657767</v>
      </c>
      <c r="BW349" s="15">
        <f t="shared" si="233"/>
        <v>22.170849845882874</v>
      </c>
      <c r="BX349" s="75">
        <f>BW349*(1-PARAM!$C$27)*$I$21+(MOD($B349,60)=PARAM!$B$56)*($B349&gt;(60-PARAM!$B$56))*HLOOKUP(($B349+PARAM!$B$56)/12,Loyalty,2)*$F$1*MAX(BZ348,0)</f>
        <v>18.557001321003963</v>
      </c>
      <c r="BY349" s="75">
        <f>PARAM!$C$26+MAX($G$21-CHOOSE(PARAM!$B$44,MAX(0,BZ348*$F$1),0),0)*RATES!$L325/12+$H$21*(PARAM!$D$51/12)*RATES!$N325/100</f>
        <v>34.649358632026718</v>
      </c>
      <c r="BZ349" s="16">
        <f t="shared" si="259"/>
        <v>153.05279894657767</v>
      </c>
      <c r="CA349" s="15">
        <f t="shared" si="234"/>
        <v>22.170849845882874</v>
      </c>
      <c r="CB349" s="75">
        <f>CA349*(1-PARAM!$C$27)*$I$22+(MOD($B349,60)=PARAM!$B$56)*($B349&gt;(60-PARAM!$B$56))*HLOOKUP(($B349+PARAM!$B$56)/12,Loyalty,2)*$F$1*MAX(CD348,0)</f>
        <v>18.557001321003963</v>
      </c>
      <c r="CC349" s="75">
        <f>PARAM!$C$26+MAX($G$22-CHOOSE(PARAM!$B$44,MAX(0,CD348*$F$1),0),0)*RATES!$L325/12+$H$22*(PARAM!$D$51/12)*RATES!$N325/100</f>
        <v>34.649358632026718</v>
      </c>
      <c r="CD349" s="16">
        <f t="shared" si="260"/>
        <v>153.05279894657767</v>
      </c>
      <c r="CE349" s="33">
        <f>IF(0=MOD(B349,12/PARAM!$D$51),1,0)</f>
        <v>1</v>
      </c>
      <c r="CF349" s="15">
        <f t="shared" si="235"/>
        <v>0</v>
      </c>
      <c r="CG349" s="75">
        <f>CF349*(1-PARAM!$C$27)*$R$3+(MOD($B349/12,5)=0)*($B349&gt;60)*HLOOKUP($B349/12,Loyalty,2)*$F$1*MAX(CI348,0)</f>
        <v>0</v>
      </c>
      <c r="CH349" s="75">
        <f>PARAM!$C$26+MAX($P$3-CHOOSE(PARAM!$B$44,MAX(0,CI348*$F$1),0),0)*RATES!$L325/12+$Q$3*(PARAM!$D$51/12)*RATES!$N325/100</f>
        <v>34.75</v>
      </c>
      <c r="CI349" s="16">
        <f>IF(CI348&gt;0,CI348*PARAM!$C$53,CI348)+CG349-CH349</f>
        <v>-5702.2499999999927</v>
      </c>
      <c r="CJ349" s="15">
        <f t="shared" si="261"/>
        <v>0</v>
      </c>
      <c r="CK349" s="75">
        <f>CJ349*(1-PARAM!$C$27)*$R$4+(MOD($B349/12,5)=0)*($B349&gt;60)*HLOOKUP($B349/12,Loyalty,2)*$F$1*MAX(CM348,0)</f>
        <v>0</v>
      </c>
      <c r="CL349" s="75">
        <f>PARAM!$C$26+MAX($P$4-CHOOSE(PARAM!$B$44,MAX(0,CM348*$F$1),0),0)*RATES!$L325/12+$Q$4*(PARAM!$D$51/12)*RATES!$N325/100</f>
        <v>34.75</v>
      </c>
      <c r="CM349" s="16">
        <f>IF(CM348&gt;0,CM348*PARAM!$C$53,CM348)+CK349-CL349</f>
        <v>-5702.2499999999927</v>
      </c>
      <c r="CO349" s="176"/>
    </row>
    <row r="350" spans="1:93" x14ac:dyDescent="0.2">
      <c r="A350" t="b">
        <f t="shared" si="236"/>
        <v>0</v>
      </c>
      <c r="B350" s="33">
        <v>323</v>
      </c>
      <c r="C350" s="15">
        <f t="shared" si="237"/>
        <v>20.081305947392778</v>
      </c>
      <c r="D350" s="75">
        <f>C350*(1-PARAM!$C$27)*$I$3+(MOD($B350,60)=PARAM!$B$56)*($B350&gt;(60-PARAM!$B$56))*HLOOKUP(($B350+PARAM!$B$56)/12,Loyalty,2)*$F$1*MAX(F349,0)</f>
        <v>16.808053077967756</v>
      </c>
      <c r="E350" s="75">
        <f>PARAM!$C$26+MAX($G$3-CHOOSE(PARAM!$B$44,MAX(0,F349*$F$1),0),0)*RATES!$L326/12+$H$3*(PARAM!$D$51/12)*RATES!$N326/100</f>
        <v>34.75</v>
      </c>
      <c r="F350" s="16">
        <f t="shared" si="238"/>
        <v>-464.42404722014919</v>
      </c>
      <c r="G350" s="15">
        <f t="shared" si="239"/>
        <v>22.035289406060361</v>
      </c>
      <c r="H350" s="75">
        <f>G350*(1-PARAM!$C$27)*$I$4+(MOD($B350,60)=PARAM!$B$56)*($B350&gt;(60-PARAM!$B$56))*HLOOKUP(($B350+PARAM!$B$56)/12,Loyalty,2)*$F$1*MAX(J349,0)</f>
        <v>18.443537232872522</v>
      </c>
      <c r="I350" s="75">
        <f>PARAM!$C$26+MAX($G$4-CHOOSE(PARAM!$B$44,MAX(0,J349*$F$1),0),0)*RATES!$L326/12+$H$4*(PARAM!$D$51/12)*RATES!$N326/100</f>
        <v>34.682344763234312</v>
      </c>
      <c r="J350" s="16">
        <f t="shared" si="240"/>
        <v>97.467472748095645</v>
      </c>
      <c r="K350" s="15">
        <f t="shared" si="241"/>
        <v>22.170849845882874</v>
      </c>
      <c r="L350" s="75">
        <f>K350*(1-PARAM!$C$27)*$I$5+(MOD($B350,60)=PARAM!$B$56)*($B350&gt;(60-PARAM!$B$56))*HLOOKUP(($B350+PARAM!$B$56)/12,Loyalty,2)*$F$1*MAX(N349,0)</f>
        <v>18.557001321003963</v>
      </c>
      <c r="M350" s="75">
        <f>PARAM!$C$26+MAX($G$5-CHOOSE(PARAM!$B$44,MAX(0,N349*$F$1),0),0)*RATES!$L326/12+$H$5*(PARAM!$D$51/12)*RATES!$N326/100</f>
        <v>34.65893358462678</v>
      </c>
      <c r="N350" s="16">
        <f t="shared" si="242"/>
        <v>136.95086668295482</v>
      </c>
      <c r="O350" s="15">
        <f t="shared" si="243"/>
        <v>22.170849845882874</v>
      </c>
      <c r="P350" s="75">
        <f>O350*(1-PARAM!$C$27)*$I$6+(MOD($B350,60)=PARAM!$B$56)*($B350&gt;(60-PARAM!$B$56))*HLOOKUP(($B350+PARAM!$B$56)/12,Loyalty,2)*$F$1*MAX(R349,0)</f>
        <v>18.557001321003963</v>
      </c>
      <c r="Q350" s="75">
        <f>PARAM!$C$26+MAX($G$6-CHOOSE(PARAM!$B$44,MAX(0,R349*$F$1),0),0)*RATES!$L326/12+$H$6*(PARAM!$D$51/12)*RATES!$N326/100</f>
        <v>34.65893358462678</v>
      </c>
      <c r="R350" s="16">
        <f t="shared" si="244"/>
        <v>136.95086668295482</v>
      </c>
      <c r="S350" s="15">
        <f t="shared" si="219"/>
        <v>22.170849845882874</v>
      </c>
      <c r="T350" s="75">
        <f>S350*(1-PARAM!$C$27)*$I$7+(MOD($B350,60)=PARAM!$B$56)*($B350&gt;(60-PARAM!$B$56))*HLOOKUP(($B350+PARAM!$B$56)/12,Loyalty,2)*$F$1*MAX(V349,0)</f>
        <v>18.557001321003963</v>
      </c>
      <c r="U350" s="75">
        <f>PARAM!$C$26+MAX($G$7-CHOOSE(PARAM!$B$44,MAX(0,V349*$F$1),0),0)*RATES!$L326/12+$H$7*(PARAM!$D$51/12)*RATES!$N326/100</f>
        <v>34.65893358462678</v>
      </c>
      <c r="V350" s="16">
        <f t="shared" si="245"/>
        <v>136.95086668295482</v>
      </c>
      <c r="W350" s="15">
        <f t="shared" si="220"/>
        <v>22.170849845882874</v>
      </c>
      <c r="X350" s="75">
        <f>W350*(1-PARAM!$C$27)*$I$8+(MOD($B350,60)=PARAM!$B$56)*($B350&gt;(60-PARAM!$B$56))*HLOOKUP(($B350+PARAM!$B$56)/12,Loyalty,2)*$F$1*MAX(Z349,0)</f>
        <v>18.557001321003963</v>
      </c>
      <c r="Y350" s="75">
        <f>PARAM!$C$26+MAX($G$8-CHOOSE(PARAM!$B$44,MAX(0,Z349*$F$1),0),0)*RATES!$L326/12+$H$8*(PARAM!$D$51/12)*RATES!$N326/100</f>
        <v>34.65893358462678</v>
      </c>
      <c r="Z350" s="16">
        <f t="shared" si="246"/>
        <v>136.95086668295482</v>
      </c>
      <c r="AA350" s="15">
        <f t="shared" si="221"/>
        <v>22.170849845882874</v>
      </c>
      <c r="AB350" s="75">
        <f>AA350*(1-PARAM!$C$27)*$I$9+(MOD($B350,60)=PARAM!$B$56)*($B350&gt;(60-PARAM!$B$56))*HLOOKUP(($B350+PARAM!$B$56)/12,Loyalty,2)*$F$1*MAX(AD349,0)</f>
        <v>18.557001321003963</v>
      </c>
      <c r="AC350" s="75">
        <f>PARAM!$C$26+MAX($G$9-CHOOSE(PARAM!$B$44,MAX(0,AD349*$F$1),0),0)*RATES!$L326/12+$H$9*(PARAM!$D$51/12)*RATES!$N326/100</f>
        <v>34.65893358462678</v>
      </c>
      <c r="AD350" s="16">
        <f t="shared" si="247"/>
        <v>136.95086668295482</v>
      </c>
      <c r="AE350" s="15">
        <f t="shared" si="222"/>
        <v>22.170849845882874</v>
      </c>
      <c r="AF350" s="75">
        <f>AE350*(1-PARAM!$C$27)*$I$10+(MOD($B350,60)=PARAM!$B$56)*($B350&gt;(60-PARAM!$B$56))*HLOOKUP(($B350+PARAM!$B$56)/12,Loyalty,2)*$F$1*MAX(AH349,0)</f>
        <v>18.557001321003963</v>
      </c>
      <c r="AG350" s="75">
        <f>PARAM!$C$26+MAX($G$10-CHOOSE(PARAM!$B$44,MAX(0,AH349*$F$1),0),0)*RATES!$L326/12+$H$10*(PARAM!$D$51/12)*RATES!$N326/100</f>
        <v>34.65893358462678</v>
      </c>
      <c r="AH350" s="16">
        <f t="shared" si="248"/>
        <v>136.95086668295482</v>
      </c>
      <c r="AI350" s="15">
        <f t="shared" si="223"/>
        <v>22.170849845882874</v>
      </c>
      <c r="AJ350" s="75">
        <f>AI350*(1-PARAM!$C$27)*$I$11+(MOD($B350,60)=PARAM!$B$56)*($B350&gt;(60-PARAM!$B$56))*HLOOKUP(($B350+PARAM!$B$56)/12,Loyalty,2)*$F$1*MAX(AL349,0)</f>
        <v>18.557001321003963</v>
      </c>
      <c r="AK350" s="75">
        <f>PARAM!$C$26+MAX($G$11-CHOOSE(PARAM!$B$44,MAX(0,AL349*$F$1),0),0)*RATES!$L326/12+$H$11*(PARAM!$D$51/12)*RATES!$N326/100</f>
        <v>34.65893358462678</v>
      </c>
      <c r="AL350" s="16">
        <f t="shared" si="249"/>
        <v>136.95086668295482</v>
      </c>
      <c r="AM350" s="15">
        <f t="shared" si="224"/>
        <v>22.170849845882874</v>
      </c>
      <c r="AN350" s="75">
        <f>AM350*(1-PARAM!$C$27)*$I$12+(MOD($B350,60)=PARAM!$B$56)*($B350&gt;(60-PARAM!$B$56))*HLOOKUP(($B350+PARAM!$B$56)/12,Loyalty,2)*$F$1*MAX(AP349,0)</f>
        <v>18.557001321003963</v>
      </c>
      <c r="AO350" s="75">
        <f>PARAM!$C$26+MAX($G$12-CHOOSE(PARAM!$B$44,MAX(0,AP349*$F$1),0),0)*RATES!$L326/12+$H$12*(PARAM!$D$51/12)*RATES!$N326/100</f>
        <v>34.65893358462678</v>
      </c>
      <c r="AP350" s="16">
        <f t="shared" si="250"/>
        <v>136.95086668295482</v>
      </c>
      <c r="AQ350" s="15">
        <f t="shared" si="225"/>
        <v>22.170849845882874</v>
      </c>
      <c r="AR350" s="75">
        <f>AQ350*(1-PARAM!$C$27)*$I$13+(MOD($B350,60)=PARAM!$B$56)*($B350&gt;(60-PARAM!$B$56))*HLOOKUP(($B350+PARAM!$B$56)/12,Loyalty,2)*$F$1*MAX(AT349,0)</f>
        <v>18.557001321003963</v>
      </c>
      <c r="AS350" s="75">
        <f>PARAM!$C$26+MAX($G$13-CHOOSE(PARAM!$B$44,MAX(0,AT349*$F$1),0),0)*RATES!$L326/12+$H$13*(PARAM!$D$51/12)*RATES!$N326/100</f>
        <v>34.65893358462678</v>
      </c>
      <c r="AT350" s="16">
        <f t="shared" si="251"/>
        <v>136.95086668295482</v>
      </c>
      <c r="AU350" s="15">
        <f t="shared" si="226"/>
        <v>22.170849845882874</v>
      </c>
      <c r="AV350" s="75">
        <f>AU350*(1-PARAM!$C$27)*$I$14+(MOD($B350,60)=PARAM!$B$56)*($B350&gt;(60-PARAM!$B$56))*HLOOKUP(($B350+PARAM!$B$56)/12,Loyalty,2)*$F$1*MAX(AX349,0)</f>
        <v>18.557001321003963</v>
      </c>
      <c r="AW350" s="75">
        <f>PARAM!$C$26+MAX($G$14-CHOOSE(PARAM!$B$44,MAX(0,AX349*$F$1),0),0)*RATES!$L326/12+$H$14*(PARAM!$D$51/12)*RATES!$N326/100</f>
        <v>34.65893358462678</v>
      </c>
      <c r="AX350" s="16">
        <f t="shared" si="252"/>
        <v>136.95086668295482</v>
      </c>
      <c r="AY350" s="15">
        <f t="shared" si="227"/>
        <v>22.170849845882874</v>
      </c>
      <c r="AZ350" s="75">
        <f>AY350*(1-PARAM!$C$27)*$I$15+(MOD($B350,60)=PARAM!$B$56)*($B350&gt;(60-PARAM!$B$56))*HLOOKUP(($B350+PARAM!$B$56)/12,Loyalty,2)*$F$1*MAX(BB349,0)</f>
        <v>18.557001321003963</v>
      </c>
      <c r="BA350" s="75">
        <f>PARAM!$C$26+MAX($G$15-CHOOSE(PARAM!$B$44,MAX(0,BB349*$F$1),0),0)*RATES!$L326/12+$H$15*(PARAM!$D$51/12)*RATES!$N326/100</f>
        <v>34.65893358462678</v>
      </c>
      <c r="BB350" s="16">
        <f t="shared" si="253"/>
        <v>136.95086668295482</v>
      </c>
      <c r="BC350" s="15">
        <f t="shared" si="228"/>
        <v>22.170849845882874</v>
      </c>
      <c r="BD350" s="75">
        <f>BC350*(1-PARAM!$C$27)*$I$16+(MOD($B350,60)=PARAM!$B$56)*($B350&gt;(60-PARAM!$B$56))*HLOOKUP(($B350+PARAM!$B$56)/12,Loyalty,2)*$F$1*MAX(BF349,0)</f>
        <v>18.557001321003963</v>
      </c>
      <c r="BE350" s="75">
        <f>PARAM!$C$26+MAX($G$16-CHOOSE(PARAM!$B$44,MAX(0,BF349*$F$1),0),0)*RATES!$L326/12+$H$16*(PARAM!$D$51/12)*RATES!$N326/100</f>
        <v>34.65893358462678</v>
      </c>
      <c r="BF350" s="16">
        <f t="shared" si="254"/>
        <v>136.95086668295482</v>
      </c>
      <c r="BG350" s="15">
        <f t="shared" si="229"/>
        <v>22.170849845882874</v>
      </c>
      <c r="BH350" s="75">
        <f>BG350*(1-PARAM!$C$27)*$I$17+(MOD($B350,60)=PARAM!$B$56)*($B350&gt;(60-PARAM!$B$56))*HLOOKUP(($B350+PARAM!$B$56)/12,Loyalty,2)*$F$1*MAX(BJ349,0)</f>
        <v>18.557001321003963</v>
      </c>
      <c r="BI350" s="75">
        <f>PARAM!$C$26+MAX($G$17-CHOOSE(PARAM!$B$44,MAX(0,BJ349*$F$1),0),0)*RATES!$L326/12+$H$17*(PARAM!$D$51/12)*RATES!$N326/100</f>
        <v>34.65893358462678</v>
      </c>
      <c r="BJ350" s="16">
        <f t="shared" si="255"/>
        <v>136.95086668295482</v>
      </c>
      <c r="BK350" s="15">
        <f t="shared" si="230"/>
        <v>22.170849845882874</v>
      </c>
      <c r="BL350" s="75">
        <f>BK350*(1-PARAM!$C$27)*$I$18+(MOD($B350,60)=PARAM!$B$56)*($B350&gt;(60-PARAM!$B$56))*HLOOKUP(($B350+PARAM!$B$56)/12,Loyalty,2)*$F$1*MAX(BN349,0)</f>
        <v>18.557001321003963</v>
      </c>
      <c r="BM350" s="75">
        <f>PARAM!$C$26+MAX($G$18-CHOOSE(PARAM!$B$44,MAX(0,BN349*$F$1),0),0)*RATES!$L326/12+$H$18*(PARAM!$D$51/12)*RATES!$N326/100</f>
        <v>34.65893358462678</v>
      </c>
      <c r="BN350" s="16">
        <f t="shared" si="256"/>
        <v>136.95086668295482</v>
      </c>
      <c r="BO350" s="15">
        <f t="shared" si="231"/>
        <v>22.170849845882874</v>
      </c>
      <c r="BP350" s="75">
        <f>BO350*(1-PARAM!$C$27)*$I$19+(MOD($B350,60)=PARAM!$B$56)*($B350&gt;(60-PARAM!$B$56))*HLOOKUP(($B350+PARAM!$B$56)/12,Loyalty,2)*$F$1*MAX(BR349,0)</f>
        <v>18.557001321003963</v>
      </c>
      <c r="BQ350" s="75">
        <f>PARAM!$C$26+MAX($G$19-CHOOSE(PARAM!$B$44,MAX(0,BR349*$F$1),0),0)*RATES!$L326/12+$H$19*(PARAM!$D$51/12)*RATES!$N326/100</f>
        <v>34.65893358462678</v>
      </c>
      <c r="BR350" s="16">
        <f t="shared" si="257"/>
        <v>136.95086668295482</v>
      </c>
      <c r="BS350" s="15">
        <f t="shared" si="232"/>
        <v>22.170849845882874</v>
      </c>
      <c r="BT350" s="75">
        <f>BS350*(1-PARAM!$C$27)*$I$20+(MOD($B350,60)=PARAM!$B$56)*($B350&gt;(60-PARAM!$B$56))*HLOOKUP(($B350+PARAM!$B$56)/12,Loyalty,2)*$F$1*MAX(BV349,0)</f>
        <v>18.557001321003963</v>
      </c>
      <c r="BU350" s="75">
        <f>PARAM!$C$26+MAX($G$20-CHOOSE(PARAM!$B$44,MAX(0,BV349*$F$1),0),0)*RATES!$L326/12+$H$20*(PARAM!$D$51/12)*RATES!$N326/100</f>
        <v>34.65893358462678</v>
      </c>
      <c r="BV350" s="16">
        <f t="shared" si="258"/>
        <v>136.95086668295482</v>
      </c>
      <c r="BW350" s="15">
        <f t="shared" si="233"/>
        <v>22.170849845882874</v>
      </c>
      <c r="BX350" s="75">
        <f>BW350*(1-PARAM!$C$27)*$I$21+(MOD($B350,60)=PARAM!$B$56)*($B350&gt;(60-PARAM!$B$56))*HLOOKUP(($B350+PARAM!$B$56)/12,Loyalty,2)*$F$1*MAX(BZ349,0)</f>
        <v>18.557001321003963</v>
      </c>
      <c r="BY350" s="75">
        <f>PARAM!$C$26+MAX($G$21-CHOOSE(PARAM!$B$44,MAX(0,BZ349*$F$1),0),0)*RATES!$L326/12+$H$21*(PARAM!$D$51/12)*RATES!$N326/100</f>
        <v>34.65893358462678</v>
      </c>
      <c r="BZ350" s="16">
        <f t="shared" si="259"/>
        <v>136.95086668295482</v>
      </c>
      <c r="CA350" s="15">
        <f t="shared" si="234"/>
        <v>22.170849845882874</v>
      </c>
      <c r="CB350" s="75">
        <f>CA350*(1-PARAM!$C$27)*$I$22+(MOD($B350,60)=PARAM!$B$56)*($B350&gt;(60-PARAM!$B$56))*HLOOKUP(($B350+PARAM!$B$56)/12,Loyalty,2)*$F$1*MAX(CD349,0)</f>
        <v>18.557001321003963</v>
      </c>
      <c r="CC350" s="75">
        <f>PARAM!$C$26+MAX($G$22-CHOOSE(PARAM!$B$44,MAX(0,CD349*$F$1),0),0)*RATES!$L326/12+$H$22*(PARAM!$D$51/12)*RATES!$N326/100</f>
        <v>34.65893358462678</v>
      </c>
      <c r="CD350" s="16">
        <f t="shared" si="260"/>
        <v>136.95086668295482</v>
      </c>
      <c r="CE350" s="33">
        <f>IF(0=MOD(B350,12/PARAM!$D$51),1,0)</f>
        <v>1</v>
      </c>
      <c r="CF350" s="15">
        <f t="shared" si="235"/>
        <v>0</v>
      </c>
      <c r="CG350" s="75">
        <f>CF350*(1-PARAM!$C$27)*$R$3+(MOD($B350/12,5)=0)*($B350&gt;60)*HLOOKUP($B350/12,Loyalty,2)*$F$1*MAX(CI349,0)</f>
        <v>0</v>
      </c>
      <c r="CH350" s="75">
        <f>PARAM!$C$26+MAX($P$3-CHOOSE(PARAM!$B$44,MAX(0,CI349*$F$1),0),0)*RATES!$L326/12+$Q$3*(PARAM!$D$51/12)*RATES!$N326/100</f>
        <v>34.75</v>
      </c>
      <c r="CI350" s="16">
        <f>IF(CI349&gt;0,CI349*PARAM!$C$53,CI349)+CG350-CH350</f>
        <v>-5736.9999999999927</v>
      </c>
      <c r="CJ350" s="15">
        <f t="shared" si="261"/>
        <v>0</v>
      </c>
      <c r="CK350" s="75">
        <f>CJ350*(1-PARAM!$C$27)*$R$4+(MOD($B350/12,5)=0)*($B350&gt;60)*HLOOKUP($B350/12,Loyalty,2)*$F$1*MAX(CM349,0)</f>
        <v>0</v>
      </c>
      <c r="CL350" s="75">
        <f>PARAM!$C$26+MAX($P$4-CHOOSE(PARAM!$B$44,MAX(0,CM349*$F$1),0),0)*RATES!$L326/12+$Q$4*(PARAM!$D$51/12)*RATES!$N326/100</f>
        <v>34.75</v>
      </c>
      <c r="CM350" s="16">
        <f>IF(CM349&gt;0,CM349*PARAM!$C$53,CM349)+CK350-CL350</f>
        <v>-5736.9999999999927</v>
      </c>
      <c r="CO350" s="176"/>
    </row>
    <row r="351" spans="1:93" x14ac:dyDescent="0.2">
      <c r="A351" t="b">
        <f t="shared" si="236"/>
        <v>0</v>
      </c>
      <c r="B351" s="33">
        <v>324</v>
      </c>
      <c r="C351" s="15">
        <f t="shared" si="237"/>
        <v>20.081305947392778</v>
      </c>
      <c r="D351" s="75">
        <f>C351*(1-PARAM!$C$27)*$I$3+(MOD($B351,60)=PARAM!$B$56)*($B351&gt;(60-PARAM!$B$56))*HLOOKUP(($B351+PARAM!$B$56)/12,Loyalty,2)*$F$1*MAX(F350,0)</f>
        <v>16.808053077967756</v>
      </c>
      <c r="E351" s="75">
        <f>PARAM!$C$26+MAX($G$3-CHOOSE(PARAM!$B$44,MAX(0,F350*$F$1),0),0)*RATES!$L327/12+$H$3*(PARAM!$D$51/12)*RATES!$N327/100</f>
        <v>34.75</v>
      </c>
      <c r="F351" s="16">
        <f t="shared" si="238"/>
        <v>-482.36599414218142</v>
      </c>
      <c r="G351" s="15">
        <f t="shared" si="239"/>
        <v>22.035289406060361</v>
      </c>
      <c r="H351" s="75">
        <f>G351*(1-PARAM!$C$27)*$I$4+(MOD($B351,60)=PARAM!$B$56)*($B351&gt;(60-PARAM!$B$56))*HLOOKUP(($B351+PARAM!$B$56)/12,Loyalty,2)*$F$1*MAX(J350,0)</f>
        <v>18.443537232872522</v>
      </c>
      <c r="I351" s="75">
        <f>PARAM!$C$26+MAX($G$4-CHOOSE(PARAM!$B$44,MAX(0,J350*$F$1),0),0)*RATES!$L327/12+$H$4*(PARAM!$D$51/12)*RATES!$N327/100</f>
        <v>34.692006853714886</v>
      </c>
      <c r="J351" s="16">
        <f t="shared" si="240"/>
        <v>81.219003127253288</v>
      </c>
      <c r="K351" s="15">
        <f t="shared" si="241"/>
        <v>22.170849845882874</v>
      </c>
      <c r="L351" s="75">
        <f>K351*(1-PARAM!$C$27)*$I$5+(MOD($B351,60)=PARAM!$B$56)*($B351&gt;(60-PARAM!$B$56))*HLOOKUP(($B351+PARAM!$B$56)/12,Loyalty,2)*$F$1*MAX(N350,0)</f>
        <v>18.557001321003963</v>
      </c>
      <c r="M351" s="75">
        <f>PARAM!$C$26+MAX($G$5-CHOOSE(PARAM!$B$44,MAX(0,N350*$F$1),0),0)*RATES!$L327/12+$H$5*(PARAM!$D$51/12)*RATES!$N327/100</f>
        <v>34.668514234323638</v>
      </c>
      <c r="N351" s="16">
        <f t="shared" si="242"/>
        <v>120.83935376963514</v>
      </c>
      <c r="O351" s="15">
        <f t="shared" si="243"/>
        <v>22.170849845882874</v>
      </c>
      <c r="P351" s="75">
        <f>O351*(1-PARAM!$C$27)*$I$6+(MOD($B351,60)=PARAM!$B$56)*($B351&gt;(60-PARAM!$B$56))*HLOOKUP(($B351+PARAM!$B$56)/12,Loyalty,2)*$F$1*MAX(R350,0)</f>
        <v>18.557001321003963</v>
      </c>
      <c r="Q351" s="75">
        <f>PARAM!$C$26+MAX($G$6-CHOOSE(PARAM!$B$44,MAX(0,R350*$F$1),0),0)*RATES!$L327/12+$H$6*(PARAM!$D$51/12)*RATES!$N327/100</f>
        <v>34.668514234323638</v>
      </c>
      <c r="R351" s="16">
        <f t="shared" si="244"/>
        <v>120.83935376963514</v>
      </c>
      <c r="S351" s="15">
        <f t="shared" si="219"/>
        <v>22.170849845882874</v>
      </c>
      <c r="T351" s="75">
        <f>S351*(1-PARAM!$C$27)*$I$7+(MOD($B351,60)=PARAM!$B$56)*($B351&gt;(60-PARAM!$B$56))*HLOOKUP(($B351+PARAM!$B$56)/12,Loyalty,2)*$F$1*MAX(V350,0)</f>
        <v>18.557001321003963</v>
      </c>
      <c r="U351" s="75">
        <f>PARAM!$C$26+MAX($G$7-CHOOSE(PARAM!$B$44,MAX(0,V350*$F$1),0),0)*RATES!$L327/12+$H$7*(PARAM!$D$51/12)*RATES!$N327/100</f>
        <v>34.668514234323638</v>
      </c>
      <c r="V351" s="16">
        <f t="shared" si="245"/>
        <v>120.83935376963514</v>
      </c>
      <c r="W351" s="15">
        <f t="shared" si="220"/>
        <v>22.170849845882874</v>
      </c>
      <c r="X351" s="75">
        <f>W351*(1-PARAM!$C$27)*$I$8+(MOD($B351,60)=PARAM!$B$56)*($B351&gt;(60-PARAM!$B$56))*HLOOKUP(($B351+PARAM!$B$56)/12,Loyalty,2)*$F$1*MAX(Z350,0)</f>
        <v>18.557001321003963</v>
      </c>
      <c r="Y351" s="75">
        <f>PARAM!$C$26+MAX($G$8-CHOOSE(PARAM!$B$44,MAX(0,Z350*$F$1),0),0)*RATES!$L327/12+$H$8*(PARAM!$D$51/12)*RATES!$N327/100</f>
        <v>34.668514234323638</v>
      </c>
      <c r="Z351" s="16">
        <f t="shared" si="246"/>
        <v>120.83935376963514</v>
      </c>
      <c r="AA351" s="15">
        <f t="shared" si="221"/>
        <v>22.170849845882874</v>
      </c>
      <c r="AB351" s="75">
        <f>AA351*(1-PARAM!$C$27)*$I$9+(MOD($B351,60)=PARAM!$B$56)*($B351&gt;(60-PARAM!$B$56))*HLOOKUP(($B351+PARAM!$B$56)/12,Loyalty,2)*$F$1*MAX(AD350,0)</f>
        <v>18.557001321003963</v>
      </c>
      <c r="AC351" s="75">
        <f>PARAM!$C$26+MAX($G$9-CHOOSE(PARAM!$B$44,MAX(0,AD350*$F$1),0),0)*RATES!$L327/12+$H$9*(PARAM!$D$51/12)*RATES!$N327/100</f>
        <v>34.668514234323638</v>
      </c>
      <c r="AD351" s="16">
        <f t="shared" si="247"/>
        <v>120.83935376963514</v>
      </c>
      <c r="AE351" s="15">
        <f t="shared" si="222"/>
        <v>22.170849845882874</v>
      </c>
      <c r="AF351" s="75">
        <f>AE351*(1-PARAM!$C$27)*$I$10+(MOD($B351,60)=PARAM!$B$56)*($B351&gt;(60-PARAM!$B$56))*HLOOKUP(($B351+PARAM!$B$56)/12,Loyalty,2)*$F$1*MAX(AH350,0)</f>
        <v>18.557001321003963</v>
      </c>
      <c r="AG351" s="75">
        <f>PARAM!$C$26+MAX($G$10-CHOOSE(PARAM!$B$44,MAX(0,AH350*$F$1),0),0)*RATES!$L327/12+$H$10*(PARAM!$D$51/12)*RATES!$N327/100</f>
        <v>34.668514234323638</v>
      </c>
      <c r="AH351" s="16">
        <f t="shared" si="248"/>
        <v>120.83935376963514</v>
      </c>
      <c r="AI351" s="15">
        <f t="shared" si="223"/>
        <v>22.170849845882874</v>
      </c>
      <c r="AJ351" s="75">
        <f>AI351*(1-PARAM!$C$27)*$I$11+(MOD($B351,60)=PARAM!$B$56)*($B351&gt;(60-PARAM!$B$56))*HLOOKUP(($B351+PARAM!$B$56)/12,Loyalty,2)*$F$1*MAX(AL350,0)</f>
        <v>18.557001321003963</v>
      </c>
      <c r="AK351" s="75">
        <f>PARAM!$C$26+MAX($G$11-CHOOSE(PARAM!$B$44,MAX(0,AL350*$F$1),0),0)*RATES!$L327/12+$H$11*(PARAM!$D$51/12)*RATES!$N327/100</f>
        <v>34.668514234323638</v>
      </c>
      <c r="AL351" s="16">
        <f t="shared" si="249"/>
        <v>120.83935376963514</v>
      </c>
      <c r="AM351" s="15">
        <f t="shared" si="224"/>
        <v>22.170849845882874</v>
      </c>
      <c r="AN351" s="75">
        <f>AM351*(1-PARAM!$C$27)*$I$12+(MOD($B351,60)=PARAM!$B$56)*($B351&gt;(60-PARAM!$B$56))*HLOOKUP(($B351+PARAM!$B$56)/12,Loyalty,2)*$F$1*MAX(AP350,0)</f>
        <v>18.557001321003963</v>
      </c>
      <c r="AO351" s="75">
        <f>PARAM!$C$26+MAX($G$12-CHOOSE(PARAM!$B$44,MAX(0,AP350*$F$1),0),0)*RATES!$L327/12+$H$12*(PARAM!$D$51/12)*RATES!$N327/100</f>
        <v>34.668514234323638</v>
      </c>
      <c r="AP351" s="16">
        <f t="shared" si="250"/>
        <v>120.83935376963514</v>
      </c>
      <c r="AQ351" s="15">
        <f t="shared" si="225"/>
        <v>22.170849845882874</v>
      </c>
      <c r="AR351" s="75">
        <f>AQ351*(1-PARAM!$C$27)*$I$13+(MOD($B351,60)=PARAM!$B$56)*($B351&gt;(60-PARAM!$B$56))*HLOOKUP(($B351+PARAM!$B$56)/12,Loyalty,2)*$F$1*MAX(AT350,0)</f>
        <v>18.557001321003963</v>
      </c>
      <c r="AS351" s="75">
        <f>PARAM!$C$26+MAX($G$13-CHOOSE(PARAM!$B$44,MAX(0,AT350*$F$1),0),0)*RATES!$L327/12+$H$13*(PARAM!$D$51/12)*RATES!$N327/100</f>
        <v>34.668514234323638</v>
      </c>
      <c r="AT351" s="16">
        <f t="shared" si="251"/>
        <v>120.83935376963514</v>
      </c>
      <c r="AU351" s="15">
        <f t="shared" si="226"/>
        <v>22.170849845882874</v>
      </c>
      <c r="AV351" s="75">
        <f>AU351*(1-PARAM!$C$27)*$I$14+(MOD($B351,60)=PARAM!$B$56)*($B351&gt;(60-PARAM!$B$56))*HLOOKUP(($B351+PARAM!$B$56)/12,Loyalty,2)*$F$1*MAX(AX350,0)</f>
        <v>18.557001321003963</v>
      </c>
      <c r="AW351" s="75">
        <f>PARAM!$C$26+MAX($G$14-CHOOSE(PARAM!$B$44,MAX(0,AX350*$F$1),0),0)*RATES!$L327/12+$H$14*(PARAM!$D$51/12)*RATES!$N327/100</f>
        <v>34.668514234323638</v>
      </c>
      <c r="AX351" s="16">
        <f t="shared" si="252"/>
        <v>120.83935376963514</v>
      </c>
      <c r="AY351" s="15">
        <f t="shared" si="227"/>
        <v>22.170849845882874</v>
      </c>
      <c r="AZ351" s="75">
        <f>AY351*(1-PARAM!$C$27)*$I$15+(MOD($B351,60)=PARAM!$B$56)*($B351&gt;(60-PARAM!$B$56))*HLOOKUP(($B351+PARAM!$B$56)/12,Loyalty,2)*$F$1*MAX(BB350,0)</f>
        <v>18.557001321003963</v>
      </c>
      <c r="BA351" s="75">
        <f>PARAM!$C$26+MAX($G$15-CHOOSE(PARAM!$B$44,MAX(0,BB350*$F$1),0),0)*RATES!$L327/12+$H$15*(PARAM!$D$51/12)*RATES!$N327/100</f>
        <v>34.668514234323638</v>
      </c>
      <c r="BB351" s="16">
        <f t="shared" si="253"/>
        <v>120.83935376963514</v>
      </c>
      <c r="BC351" s="15">
        <f t="shared" si="228"/>
        <v>22.170849845882874</v>
      </c>
      <c r="BD351" s="75">
        <f>BC351*(1-PARAM!$C$27)*$I$16+(MOD($B351,60)=PARAM!$B$56)*($B351&gt;(60-PARAM!$B$56))*HLOOKUP(($B351+PARAM!$B$56)/12,Loyalty,2)*$F$1*MAX(BF350,0)</f>
        <v>18.557001321003963</v>
      </c>
      <c r="BE351" s="75">
        <f>PARAM!$C$26+MAX($G$16-CHOOSE(PARAM!$B$44,MAX(0,BF350*$F$1),0),0)*RATES!$L327/12+$H$16*(PARAM!$D$51/12)*RATES!$N327/100</f>
        <v>34.668514234323638</v>
      </c>
      <c r="BF351" s="16">
        <f t="shared" si="254"/>
        <v>120.83935376963514</v>
      </c>
      <c r="BG351" s="15">
        <f t="shared" si="229"/>
        <v>22.170849845882874</v>
      </c>
      <c r="BH351" s="75">
        <f>BG351*(1-PARAM!$C$27)*$I$17+(MOD($B351,60)=PARAM!$B$56)*($B351&gt;(60-PARAM!$B$56))*HLOOKUP(($B351+PARAM!$B$56)/12,Loyalty,2)*$F$1*MAX(BJ350,0)</f>
        <v>18.557001321003963</v>
      </c>
      <c r="BI351" s="75">
        <f>PARAM!$C$26+MAX($G$17-CHOOSE(PARAM!$B$44,MAX(0,BJ350*$F$1),0),0)*RATES!$L327/12+$H$17*(PARAM!$D$51/12)*RATES!$N327/100</f>
        <v>34.668514234323638</v>
      </c>
      <c r="BJ351" s="16">
        <f t="shared" si="255"/>
        <v>120.83935376963514</v>
      </c>
      <c r="BK351" s="15">
        <f t="shared" si="230"/>
        <v>22.170849845882874</v>
      </c>
      <c r="BL351" s="75">
        <f>BK351*(1-PARAM!$C$27)*$I$18+(MOD($B351,60)=PARAM!$B$56)*($B351&gt;(60-PARAM!$B$56))*HLOOKUP(($B351+PARAM!$B$56)/12,Loyalty,2)*$F$1*MAX(BN350,0)</f>
        <v>18.557001321003963</v>
      </c>
      <c r="BM351" s="75">
        <f>PARAM!$C$26+MAX($G$18-CHOOSE(PARAM!$B$44,MAX(0,BN350*$F$1),0),0)*RATES!$L327/12+$H$18*(PARAM!$D$51/12)*RATES!$N327/100</f>
        <v>34.668514234323638</v>
      </c>
      <c r="BN351" s="16">
        <f t="shared" si="256"/>
        <v>120.83935376963514</v>
      </c>
      <c r="BO351" s="15">
        <f t="shared" si="231"/>
        <v>22.170849845882874</v>
      </c>
      <c r="BP351" s="75">
        <f>BO351*(1-PARAM!$C$27)*$I$19+(MOD($B351,60)=PARAM!$B$56)*($B351&gt;(60-PARAM!$B$56))*HLOOKUP(($B351+PARAM!$B$56)/12,Loyalty,2)*$F$1*MAX(BR350,0)</f>
        <v>18.557001321003963</v>
      </c>
      <c r="BQ351" s="75">
        <f>PARAM!$C$26+MAX($G$19-CHOOSE(PARAM!$B$44,MAX(0,BR350*$F$1),0),0)*RATES!$L327/12+$H$19*(PARAM!$D$51/12)*RATES!$N327/100</f>
        <v>34.668514234323638</v>
      </c>
      <c r="BR351" s="16">
        <f t="shared" si="257"/>
        <v>120.83935376963514</v>
      </c>
      <c r="BS351" s="15">
        <f t="shared" si="232"/>
        <v>22.170849845882874</v>
      </c>
      <c r="BT351" s="75">
        <f>BS351*(1-PARAM!$C$27)*$I$20+(MOD($B351,60)=PARAM!$B$56)*($B351&gt;(60-PARAM!$B$56))*HLOOKUP(($B351+PARAM!$B$56)/12,Loyalty,2)*$F$1*MAX(BV350,0)</f>
        <v>18.557001321003963</v>
      </c>
      <c r="BU351" s="75">
        <f>PARAM!$C$26+MAX($G$20-CHOOSE(PARAM!$B$44,MAX(0,BV350*$F$1),0),0)*RATES!$L327/12+$H$20*(PARAM!$D$51/12)*RATES!$N327/100</f>
        <v>34.668514234323638</v>
      </c>
      <c r="BV351" s="16">
        <f t="shared" si="258"/>
        <v>120.83935376963514</v>
      </c>
      <c r="BW351" s="15">
        <f t="shared" si="233"/>
        <v>22.170849845882874</v>
      </c>
      <c r="BX351" s="75">
        <f>BW351*(1-PARAM!$C$27)*$I$21+(MOD($B351,60)=PARAM!$B$56)*($B351&gt;(60-PARAM!$B$56))*HLOOKUP(($B351+PARAM!$B$56)/12,Loyalty,2)*$F$1*MAX(BZ350,0)</f>
        <v>18.557001321003963</v>
      </c>
      <c r="BY351" s="75">
        <f>PARAM!$C$26+MAX($G$21-CHOOSE(PARAM!$B$44,MAX(0,BZ350*$F$1),0),0)*RATES!$L327/12+$H$21*(PARAM!$D$51/12)*RATES!$N327/100</f>
        <v>34.668514234323638</v>
      </c>
      <c r="BZ351" s="16">
        <f t="shared" si="259"/>
        <v>120.83935376963514</v>
      </c>
      <c r="CA351" s="15">
        <f t="shared" si="234"/>
        <v>22.170849845882874</v>
      </c>
      <c r="CB351" s="75">
        <f>CA351*(1-PARAM!$C$27)*$I$22+(MOD($B351,60)=PARAM!$B$56)*($B351&gt;(60-PARAM!$B$56))*HLOOKUP(($B351+PARAM!$B$56)/12,Loyalty,2)*$F$1*MAX(CD350,0)</f>
        <v>18.557001321003963</v>
      </c>
      <c r="CC351" s="75">
        <f>PARAM!$C$26+MAX($G$22-CHOOSE(PARAM!$B$44,MAX(0,CD350*$F$1),0),0)*RATES!$L327/12+$H$22*(PARAM!$D$51/12)*RATES!$N327/100</f>
        <v>34.668514234323638</v>
      </c>
      <c r="CD351" s="16">
        <f t="shared" si="260"/>
        <v>120.83935376963514</v>
      </c>
      <c r="CE351" s="33">
        <f>IF(0=MOD(B351,12/PARAM!$D$51),1,0)</f>
        <v>1</v>
      </c>
      <c r="CF351" s="15">
        <f t="shared" si="235"/>
        <v>0</v>
      </c>
      <c r="CG351" s="75">
        <f>CF351*(1-PARAM!$C$27)*$R$3+(MOD($B351/12,5)=0)*($B351&gt;60)*HLOOKUP($B351/12,Loyalty,2)*$F$1*MAX(CI350,0)</f>
        <v>0</v>
      </c>
      <c r="CH351" s="75">
        <f>PARAM!$C$26+MAX($P$3-CHOOSE(PARAM!$B$44,MAX(0,CI350*$F$1),0),0)*RATES!$L327/12+$Q$3*(PARAM!$D$51/12)*RATES!$N327/100</f>
        <v>34.75</v>
      </c>
      <c r="CI351" s="16">
        <f>IF(CI350&gt;0,CI350*PARAM!$C$53,CI350)+CG351-CH351</f>
        <v>-5771.7499999999927</v>
      </c>
      <c r="CJ351" s="15">
        <f t="shared" si="261"/>
        <v>0</v>
      </c>
      <c r="CK351" s="75">
        <f>CJ351*(1-PARAM!$C$27)*$R$4+(MOD($B351/12,5)=0)*($B351&gt;60)*HLOOKUP($B351/12,Loyalty,2)*$F$1*MAX(CM350,0)</f>
        <v>0</v>
      </c>
      <c r="CL351" s="75">
        <f>PARAM!$C$26+MAX($P$4-CHOOSE(PARAM!$B$44,MAX(0,CM350*$F$1),0),0)*RATES!$L327/12+$Q$4*(PARAM!$D$51/12)*RATES!$N327/100</f>
        <v>34.75</v>
      </c>
      <c r="CM351" s="16">
        <f>IF(CM350&gt;0,CM350*PARAM!$C$53,CM350)+CK351-CL351</f>
        <v>-5771.7499999999927</v>
      </c>
      <c r="CO351" s="176"/>
    </row>
    <row r="352" spans="1:93" x14ac:dyDescent="0.2">
      <c r="A352" t="b">
        <f t="shared" si="236"/>
        <v>0</v>
      </c>
      <c r="B352" s="33">
        <v>325</v>
      </c>
      <c r="C352" s="15">
        <f t="shared" si="237"/>
        <v>20.081305947392778</v>
      </c>
      <c r="D352" s="75">
        <f>C352*(1-PARAM!$C$27)*$I$3+(MOD($B352,60)=PARAM!$B$56)*($B352&gt;(60-PARAM!$B$56))*HLOOKUP(($B352+PARAM!$B$56)/12,Loyalty,2)*$F$1*MAX(F351,0)</f>
        <v>16.808053077967756</v>
      </c>
      <c r="E352" s="75">
        <f>PARAM!$C$26+MAX($G$3-CHOOSE(PARAM!$B$44,MAX(0,F351*$F$1),0),0)*RATES!$L328/12+$H$3*(PARAM!$D$51/12)*RATES!$N328/100</f>
        <v>34.75</v>
      </c>
      <c r="F352" s="16">
        <f t="shared" si="238"/>
        <v>-500.30794106421365</v>
      </c>
      <c r="G352" s="15">
        <f t="shared" si="239"/>
        <v>22.035289406060361</v>
      </c>
      <c r="H352" s="75">
        <f>G352*(1-PARAM!$C$27)*$I$4+(MOD($B352,60)=PARAM!$B$56)*($B352&gt;(60-PARAM!$B$56))*HLOOKUP(($B352+PARAM!$B$56)/12,Loyalty,2)*$F$1*MAX(J351,0)</f>
        <v>18.443537232872522</v>
      </c>
      <c r="I352" s="75">
        <f>PARAM!$C$26+MAX($G$4-CHOOSE(PARAM!$B$44,MAX(0,J351*$F$1),0),0)*RATES!$L328/12+$H$4*(PARAM!$D$51/12)*RATES!$N328/100</f>
        <v>34.701674693139282</v>
      </c>
      <c r="J352" s="16">
        <f t="shared" si="240"/>
        <v>64.960865666986521</v>
      </c>
      <c r="K352" s="15">
        <f t="shared" si="241"/>
        <v>22.170849845882874</v>
      </c>
      <c r="L352" s="75">
        <f>K352*(1-PARAM!$C$27)*$I$5+(MOD($B352,60)=PARAM!$B$56)*($B352&gt;(60-PARAM!$B$56))*HLOOKUP(($B352+PARAM!$B$56)/12,Loyalty,2)*$F$1*MAX(N351,0)</f>
        <v>18.557001321003963</v>
      </c>
      <c r="M352" s="75">
        <f>PARAM!$C$26+MAX($G$5-CHOOSE(PARAM!$B$44,MAX(0,N351*$F$1),0),0)*RATES!$L328/12+$H$5*(PARAM!$D$51/12)*RATES!$N328/100</f>
        <v>34.678100584507064</v>
      </c>
      <c r="N352" s="16">
        <f t="shared" si="242"/>
        <v>104.71825450613204</v>
      </c>
      <c r="O352" s="15">
        <f t="shared" si="243"/>
        <v>22.170849845882874</v>
      </c>
      <c r="P352" s="75">
        <f>O352*(1-PARAM!$C$27)*$I$6+(MOD($B352,60)=PARAM!$B$56)*($B352&gt;(60-PARAM!$B$56))*HLOOKUP(($B352+PARAM!$B$56)/12,Loyalty,2)*$F$1*MAX(R351,0)</f>
        <v>18.557001321003963</v>
      </c>
      <c r="Q352" s="75">
        <f>PARAM!$C$26+MAX($G$6-CHOOSE(PARAM!$B$44,MAX(0,R351*$F$1),0),0)*RATES!$L328/12+$H$6*(PARAM!$D$51/12)*RATES!$N328/100</f>
        <v>34.678100584507064</v>
      </c>
      <c r="R352" s="16">
        <f t="shared" si="244"/>
        <v>104.71825450613204</v>
      </c>
      <c r="S352" s="15">
        <f t="shared" si="219"/>
        <v>22.170849845882874</v>
      </c>
      <c r="T352" s="75">
        <f>S352*(1-PARAM!$C$27)*$I$7+(MOD($B352,60)=PARAM!$B$56)*($B352&gt;(60-PARAM!$B$56))*HLOOKUP(($B352+PARAM!$B$56)/12,Loyalty,2)*$F$1*MAX(V351,0)</f>
        <v>18.557001321003963</v>
      </c>
      <c r="U352" s="75">
        <f>PARAM!$C$26+MAX($G$7-CHOOSE(PARAM!$B$44,MAX(0,V351*$F$1),0),0)*RATES!$L328/12+$H$7*(PARAM!$D$51/12)*RATES!$N328/100</f>
        <v>34.678100584507064</v>
      </c>
      <c r="V352" s="16">
        <f t="shared" si="245"/>
        <v>104.71825450613204</v>
      </c>
      <c r="W352" s="15">
        <f t="shared" si="220"/>
        <v>22.170849845882874</v>
      </c>
      <c r="X352" s="75">
        <f>W352*(1-PARAM!$C$27)*$I$8+(MOD($B352,60)=PARAM!$B$56)*($B352&gt;(60-PARAM!$B$56))*HLOOKUP(($B352+PARAM!$B$56)/12,Loyalty,2)*$F$1*MAX(Z351,0)</f>
        <v>18.557001321003963</v>
      </c>
      <c r="Y352" s="75">
        <f>PARAM!$C$26+MAX($G$8-CHOOSE(PARAM!$B$44,MAX(0,Z351*$F$1),0),0)*RATES!$L328/12+$H$8*(PARAM!$D$51/12)*RATES!$N328/100</f>
        <v>34.678100584507064</v>
      </c>
      <c r="Z352" s="16">
        <f t="shared" si="246"/>
        <v>104.71825450613204</v>
      </c>
      <c r="AA352" s="15">
        <f t="shared" si="221"/>
        <v>22.170849845882874</v>
      </c>
      <c r="AB352" s="75">
        <f>AA352*(1-PARAM!$C$27)*$I$9+(MOD($B352,60)=PARAM!$B$56)*($B352&gt;(60-PARAM!$B$56))*HLOOKUP(($B352+PARAM!$B$56)/12,Loyalty,2)*$F$1*MAX(AD351,0)</f>
        <v>18.557001321003963</v>
      </c>
      <c r="AC352" s="75">
        <f>PARAM!$C$26+MAX($G$9-CHOOSE(PARAM!$B$44,MAX(0,AD351*$F$1),0),0)*RATES!$L328/12+$H$9*(PARAM!$D$51/12)*RATES!$N328/100</f>
        <v>34.678100584507064</v>
      </c>
      <c r="AD352" s="16">
        <f t="shared" si="247"/>
        <v>104.71825450613204</v>
      </c>
      <c r="AE352" s="15">
        <f t="shared" si="222"/>
        <v>22.170849845882874</v>
      </c>
      <c r="AF352" s="75">
        <f>AE352*(1-PARAM!$C$27)*$I$10+(MOD($B352,60)=PARAM!$B$56)*($B352&gt;(60-PARAM!$B$56))*HLOOKUP(($B352+PARAM!$B$56)/12,Loyalty,2)*$F$1*MAX(AH351,0)</f>
        <v>18.557001321003963</v>
      </c>
      <c r="AG352" s="75">
        <f>PARAM!$C$26+MAX($G$10-CHOOSE(PARAM!$B$44,MAX(0,AH351*$F$1),0),0)*RATES!$L328/12+$H$10*(PARAM!$D$51/12)*RATES!$N328/100</f>
        <v>34.678100584507064</v>
      </c>
      <c r="AH352" s="16">
        <f t="shared" si="248"/>
        <v>104.71825450613204</v>
      </c>
      <c r="AI352" s="15">
        <f t="shared" si="223"/>
        <v>22.170849845882874</v>
      </c>
      <c r="AJ352" s="75">
        <f>AI352*(1-PARAM!$C$27)*$I$11+(MOD($B352,60)=PARAM!$B$56)*($B352&gt;(60-PARAM!$B$56))*HLOOKUP(($B352+PARAM!$B$56)/12,Loyalty,2)*$F$1*MAX(AL351,0)</f>
        <v>18.557001321003963</v>
      </c>
      <c r="AK352" s="75">
        <f>PARAM!$C$26+MAX($G$11-CHOOSE(PARAM!$B$44,MAX(0,AL351*$F$1),0),0)*RATES!$L328/12+$H$11*(PARAM!$D$51/12)*RATES!$N328/100</f>
        <v>34.678100584507064</v>
      </c>
      <c r="AL352" s="16">
        <f t="shared" si="249"/>
        <v>104.71825450613204</v>
      </c>
      <c r="AM352" s="15">
        <f t="shared" si="224"/>
        <v>22.170849845882874</v>
      </c>
      <c r="AN352" s="75">
        <f>AM352*(1-PARAM!$C$27)*$I$12+(MOD($B352,60)=PARAM!$B$56)*($B352&gt;(60-PARAM!$B$56))*HLOOKUP(($B352+PARAM!$B$56)/12,Loyalty,2)*$F$1*MAX(AP351,0)</f>
        <v>18.557001321003963</v>
      </c>
      <c r="AO352" s="75">
        <f>PARAM!$C$26+MAX($G$12-CHOOSE(PARAM!$B$44,MAX(0,AP351*$F$1),0),0)*RATES!$L328/12+$H$12*(PARAM!$D$51/12)*RATES!$N328/100</f>
        <v>34.678100584507064</v>
      </c>
      <c r="AP352" s="16">
        <f t="shared" si="250"/>
        <v>104.71825450613204</v>
      </c>
      <c r="AQ352" s="15">
        <f t="shared" si="225"/>
        <v>22.170849845882874</v>
      </c>
      <c r="AR352" s="75">
        <f>AQ352*(1-PARAM!$C$27)*$I$13+(MOD($B352,60)=PARAM!$B$56)*($B352&gt;(60-PARAM!$B$56))*HLOOKUP(($B352+PARAM!$B$56)/12,Loyalty,2)*$F$1*MAX(AT351,0)</f>
        <v>18.557001321003963</v>
      </c>
      <c r="AS352" s="75">
        <f>PARAM!$C$26+MAX($G$13-CHOOSE(PARAM!$B$44,MAX(0,AT351*$F$1),0),0)*RATES!$L328/12+$H$13*(PARAM!$D$51/12)*RATES!$N328/100</f>
        <v>34.678100584507064</v>
      </c>
      <c r="AT352" s="16">
        <f t="shared" si="251"/>
        <v>104.71825450613204</v>
      </c>
      <c r="AU352" s="15">
        <f t="shared" si="226"/>
        <v>22.170849845882874</v>
      </c>
      <c r="AV352" s="75">
        <f>AU352*(1-PARAM!$C$27)*$I$14+(MOD($B352,60)=PARAM!$B$56)*($B352&gt;(60-PARAM!$B$56))*HLOOKUP(($B352+PARAM!$B$56)/12,Loyalty,2)*$F$1*MAX(AX351,0)</f>
        <v>18.557001321003963</v>
      </c>
      <c r="AW352" s="75">
        <f>PARAM!$C$26+MAX($G$14-CHOOSE(PARAM!$B$44,MAX(0,AX351*$F$1),0),0)*RATES!$L328/12+$H$14*(PARAM!$D$51/12)*RATES!$N328/100</f>
        <v>34.678100584507064</v>
      </c>
      <c r="AX352" s="16">
        <f t="shared" si="252"/>
        <v>104.71825450613204</v>
      </c>
      <c r="AY352" s="15">
        <f t="shared" si="227"/>
        <v>22.170849845882874</v>
      </c>
      <c r="AZ352" s="75">
        <f>AY352*(1-PARAM!$C$27)*$I$15+(MOD($B352,60)=PARAM!$B$56)*($B352&gt;(60-PARAM!$B$56))*HLOOKUP(($B352+PARAM!$B$56)/12,Loyalty,2)*$F$1*MAX(BB351,0)</f>
        <v>18.557001321003963</v>
      </c>
      <c r="BA352" s="75">
        <f>PARAM!$C$26+MAX($G$15-CHOOSE(PARAM!$B$44,MAX(0,BB351*$F$1),0),0)*RATES!$L328/12+$H$15*(PARAM!$D$51/12)*RATES!$N328/100</f>
        <v>34.678100584507064</v>
      </c>
      <c r="BB352" s="16">
        <f t="shared" si="253"/>
        <v>104.71825450613204</v>
      </c>
      <c r="BC352" s="15">
        <f t="shared" si="228"/>
        <v>22.170849845882874</v>
      </c>
      <c r="BD352" s="75">
        <f>BC352*(1-PARAM!$C$27)*$I$16+(MOD($B352,60)=PARAM!$B$56)*($B352&gt;(60-PARAM!$B$56))*HLOOKUP(($B352+PARAM!$B$56)/12,Loyalty,2)*$F$1*MAX(BF351,0)</f>
        <v>18.557001321003963</v>
      </c>
      <c r="BE352" s="75">
        <f>PARAM!$C$26+MAX($G$16-CHOOSE(PARAM!$B$44,MAX(0,BF351*$F$1),0),0)*RATES!$L328/12+$H$16*(PARAM!$D$51/12)*RATES!$N328/100</f>
        <v>34.678100584507064</v>
      </c>
      <c r="BF352" s="16">
        <f t="shared" si="254"/>
        <v>104.71825450613204</v>
      </c>
      <c r="BG352" s="15">
        <f t="shared" si="229"/>
        <v>22.170849845882874</v>
      </c>
      <c r="BH352" s="75">
        <f>BG352*(1-PARAM!$C$27)*$I$17+(MOD($B352,60)=PARAM!$B$56)*($B352&gt;(60-PARAM!$B$56))*HLOOKUP(($B352+PARAM!$B$56)/12,Loyalty,2)*$F$1*MAX(BJ351,0)</f>
        <v>18.557001321003963</v>
      </c>
      <c r="BI352" s="75">
        <f>PARAM!$C$26+MAX($G$17-CHOOSE(PARAM!$B$44,MAX(0,BJ351*$F$1),0),0)*RATES!$L328/12+$H$17*(PARAM!$D$51/12)*RATES!$N328/100</f>
        <v>34.678100584507064</v>
      </c>
      <c r="BJ352" s="16">
        <f t="shared" si="255"/>
        <v>104.71825450613204</v>
      </c>
      <c r="BK352" s="15">
        <f t="shared" si="230"/>
        <v>22.170849845882874</v>
      </c>
      <c r="BL352" s="75">
        <f>BK352*(1-PARAM!$C$27)*$I$18+(MOD($B352,60)=PARAM!$B$56)*($B352&gt;(60-PARAM!$B$56))*HLOOKUP(($B352+PARAM!$B$56)/12,Loyalty,2)*$F$1*MAX(BN351,0)</f>
        <v>18.557001321003963</v>
      </c>
      <c r="BM352" s="75">
        <f>PARAM!$C$26+MAX($G$18-CHOOSE(PARAM!$B$44,MAX(0,BN351*$F$1),0),0)*RATES!$L328/12+$H$18*(PARAM!$D$51/12)*RATES!$N328/100</f>
        <v>34.678100584507064</v>
      </c>
      <c r="BN352" s="16">
        <f t="shared" si="256"/>
        <v>104.71825450613204</v>
      </c>
      <c r="BO352" s="15">
        <f t="shared" si="231"/>
        <v>22.170849845882874</v>
      </c>
      <c r="BP352" s="75">
        <f>BO352*(1-PARAM!$C$27)*$I$19+(MOD($B352,60)=PARAM!$B$56)*($B352&gt;(60-PARAM!$B$56))*HLOOKUP(($B352+PARAM!$B$56)/12,Loyalty,2)*$F$1*MAX(BR351,0)</f>
        <v>18.557001321003963</v>
      </c>
      <c r="BQ352" s="75">
        <f>PARAM!$C$26+MAX($G$19-CHOOSE(PARAM!$B$44,MAX(0,BR351*$F$1),0),0)*RATES!$L328/12+$H$19*(PARAM!$D$51/12)*RATES!$N328/100</f>
        <v>34.678100584507064</v>
      </c>
      <c r="BR352" s="16">
        <f t="shared" si="257"/>
        <v>104.71825450613204</v>
      </c>
      <c r="BS352" s="15">
        <f t="shared" si="232"/>
        <v>22.170849845882874</v>
      </c>
      <c r="BT352" s="75">
        <f>BS352*(1-PARAM!$C$27)*$I$20+(MOD($B352,60)=PARAM!$B$56)*($B352&gt;(60-PARAM!$B$56))*HLOOKUP(($B352+PARAM!$B$56)/12,Loyalty,2)*$F$1*MAX(BV351,0)</f>
        <v>18.557001321003963</v>
      </c>
      <c r="BU352" s="75">
        <f>PARAM!$C$26+MAX($G$20-CHOOSE(PARAM!$B$44,MAX(0,BV351*$F$1),0),0)*RATES!$L328/12+$H$20*(PARAM!$D$51/12)*RATES!$N328/100</f>
        <v>34.678100584507064</v>
      </c>
      <c r="BV352" s="16">
        <f t="shared" si="258"/>
        <v>104.71825450613204</v>
      </c>
      <c r="BW352" s="15">
        <f t="shared" si="233"/>
        <v>22.170849845882874</v>
      </c>
      <c r="BX352" s="75">
        <f>BW352*(1-PARAM!$C$27)*$I$21+(MOD($B352,60)=PARAM!$B$56)*($B352&gt;(60-PARAM!$B$56))*HLOOKUP(($B352+PARAM!$B$56)/12,Loyalty,2)*$F$1*MAX(BZ351,0)</f>
        <v>18.557001321003963</v>
      </c>
      <c r="BY352" s="75">
        <f>PARAM!$C$26+MAX($G$21-CHOOSE(PARAM!$B$44,MAX(0,BZ351*$F$1),0),0)*RATES!$L328/12+$H$21*(PARAM!$D$51/12)*RATES!$N328/100</f>
        <v>34.678100584507064</v>
      </c>
      <c r="BZ352" s="16">
        <f t="shared" si="259"/>
        <v>104.71825450613204</v>
      </c>
      <c r="CA352" s="15">
        <f t="shared" si="234"/>
        <v>22.170849845882874</v>
      </c>
      <c r="CB352" s="75">
        <f>CA352*(1-PARAM!$C$27)*$I$22+(MOD($B352,60)=PARAM!$B$56)*($B352&gt;(60-PARAM!$B$56))*HLOOKUP(($B352+PARAM!$B$56)/12,Loyalty,2)*$F$1*MAX(CD351,0)</f>
        <v>18.557001321003963</v>
      </c>
      <c r="CC352" s="75">
        <f>PARAM!$C$26+MAX($G$22-CHOOSE(PARAM!$B$44,MAX(0,CD351*$F$1),0),0)*RATES!$L328/12+$H$22*(PARAM!$D$51/12)*RATES!$N328/100</f>
        <v>34.678100584507064</v>
      </c>
      <c r="CD352" s="16">
        <f t="shared" si="260"/>
        <v>104.71825450613204</v>
      </c>
      <c r="CE352" s="33">
        <f>IF(0=MOD(B352,12/PARAM!$D$51),1,0)</f>
        <v>1</v>
      </c>
      <c r="CF352" s="15">
        <f t="shared" si="235"/>
        <v>0</v>
      </c>
      <c r="CG352" s="75">
        <f>CF352*(1-PARAM!$C$27)*$R$3+(MOD($B352/12,5)=0)*($B352&gt;60)*HLOOKUP($B352/12,Loyalty,2)*$F$1*MAX(CI351,0)</f>
        <v>0</v>
      </c>
      <c r="CH352" s="75">
        <f>PARAM!$C$26+MAX($P$3-CHOOSE(PARAM!$B$44,MAX(0,CI351*$F$1),0),0)*RATES!$L328/12+$Q$3*(PARAM!$D$51/12)*RATES!$N328/100</f>
        <v>34.75</v>
      </c>
      <c r="CI352" s="16">
        <f>IF(CI351&gt;0,CI351*PARAM!$C$53,CI351)+CG352-CH352</f>
        <v>-5806.4999999999927</v>
      </c>
      <c r="CJ352" s="15">
        <f t="shared" si="261"/>
        <v>0</v>
      </c>
      <c r="CK352" s="75">
        <f>CJ352*(1-PARAM!$C$27)*$R$4+(MOD($B352/12,5)=0)*($B352&gt;60)*HLOOKUP($B352/12,Loyalty,2)*$F$1*MAX(CM351,0)</f>
        <v>0</v>
      </c>
      <c r="CL352" s="75">
        <f>PARAM!$C$26+MAX($P$4-CHOOSE(PARAM!$B$44,MAX(0,CM351*$F$1),0),0)*RATES!$L328/12+$Q$4*(PARAM!$D$51/12)*RATES!$N328/100</f>
        <v>34.75</v>
      </c>
      <c r="CM352" s="16">
        <f>IF(CM351&gt;0,CM351*PARAM!$C$53,CM351)+CK352-CL352</f>
        <v>-5806.4999999999927</v>
      </c>
      <c r="CO352" s="176"/>
    </row>
    <row r="353" spans="1:93" x14ac:dyDescent="0.2">
      <c r="A353" t="b">
        <f t="shared" si="236"/>
        <v>0</v>
      </c>
      <c r="B353" s="33">
        <v>326</v>
      </c>
      <c r="C353" s="15">
        <f t="shared" si="237"/>
        <v>20.081305947392778</v>
      </c>
      <c r="D353" s="75">
        <f>C353*(1-PARAM!$C$27)*$I$3+(MOD($B353,60)=PARAM!$B$56)*($B353&gt;(60-PARAM!$B$56))*HLOOKUP(($B353+PARAM!$B$56)/12,Loyalty,2)*$F$1*MAX(F352,0)</f>
        <v>16.808053077967756</v>
      </c>
      <c r="E353" s="75">
        <f>PARAM!$C$26+MAX($G$3-CHOOSE(PARAM!$B$44,MAX(0,F352*$F$1),0),0)*RATES!$L329/12+$H$3*(PARAM!$D$51/12)*RATES!$N329/100</f>
        <v>34.75</v>
      </c>
      <c r="F353" s="16">
        <f t="shared" si="238"/>
        <v>-518.24988798624588</v>
      </c>
      <c r="G353" s="15">
        <f t="shared" si="239"/>
        <v>22.035289406060361</v>
      </c>
      <c r="H353" s="75">
        <f>G353*(1-PARAM!$C$27)*$I$4+(MOD($B353,60)=PARAM!$B$56)*($B353&gt;(60-PARAM!$B$56))*HLOOKUP(($B353+PARAM!$B$56)/12,Loyalty,2)*$F$1*MAX(J352,0)</f>
        <v>18.443537232872522</v>
      </c>
      <c r="I353" s="75">
        <f>PARAM!$C$26+MAX($G$4-CHOOSE(PARAM!$B$44,MAX(0,J352*$F$1),0),0)*RATES!$L329/12+$H$4*(PARAM!$D$51/12)*RATES!$N329/100</f>
        <v>34.711348284928135</v>
      </c>
      <c r="J353" s="16">
        <f t="shared" si="240"/>
        <v>48.693054614930901</v>
      </c>
      <c r="K353" s="15">
        <f t="shared" si="241"/>
        <v>22.170849845882874</v>
      </c>
      <c r="L353" s="75">
        <f>K353*(1-PARAM!$C$27)*$I$5+(MOD($B353,60)=PARAM!$B$56)*($B353&gt;(60-PARAM!$B$56))*HLOOKUP(($B353+PARAM!$B$56)/12,Loyalty,2)*$F$1*MAX(N352,0)</f>
        <v>18.557001321003963</v>
      </c>
      <c r="M353" s="75">
        <f>PARAM!$C$26+MAX($G$5-CHOOSE(PARAM!$B$44,MAX(0,N352*$F$1),0),0)*RATES!$L329/12+$H$5*(PARAM!$D$51/12)*RATES!$N329/100</f>
        <v>34.687692638568848</v>
      </c>
      <c r="N353" s="16">
        <f t="shared" si="242"/>
        <v>88.58756318856716</v>
      </c>
      <c r="O353" s="15">
        <f t="shared" si="243"/>
        <v>22.170849845882874</v>
      </c>
      <c r="P353" s="75">
        <f>O353*(1-PARAM!$C$27)*$I$6+(MOD($B353,60)=PARAM!$B$56)*($B353&gt;(60-PARAM!$B$56))*HLOOKUP(($B353+PARAM!$B$56)/12,Loyalty,2)*$F$1*MAX(R352,0)</f>
        <v>18.557001321003963</v>
      </c>
      <c r="Q353" s="75">
        <f>PARAM!$C$26+MAX($G$6-CHOOSE(PARAM!$B$44,MAX(0,R352*$F$1),0),0)*RATES!$L329/12+$H$6*(PARAM!$D$51/12)*RATES!$N329/100</f>
        <v>34.687692638568848</v>
      </c>
      <c r="R353" s="16">
        <f t="shared" si="244"/>
        <v>88.58756318856716</v>
      </c>
      <c r="S353" s="15">
        <f t="shared" si="219"/>
        <v>22.170849845882874</v>
      </c>
      <c r="T353" s="75">
        <f>S353*(1-PARAM!$C$27)*$I$7+(MOD($B353,60)=PARAM!$B$56)*($B353&gt;(60-PARAM!$B$56))*HLOOKUP(($B353+PARAM!$B$56)/12,Loyalty,2)*$F$1*MAX(V352,0)</f>
        <v>18.557001321003963</v>
      </c>
      <c r="U353" s="75">
        <f>PARAM!$C$26+MAX($G$7-CHOOSE(PARAM!$B$44,MAX(0,V352*$F$1),0),0)*RATES!$L329/12+$H$7*(PARAM!$D$51/12)*RATES!$N329/100</f>
        <v>34.687692638568848</v>
      </c>
      <c r="V353" s="16">
        <f t="shared" si="245"/>
        <v>88.58756318856716</v>
      </c>
      <c r="W353" s="15">
        <f t="shared" si="220"/>
        <v>22.170849845882874</v>
      </c>
      <c r="X353" s="75">
        <f>W353*(1-PARAM!$C$27)*$I$8+(MOD($B353,60)=PARAM!$B$56)*($B353&gt;(60-PARAM!$B$56))*HLOOKUP(($B353+PARAM!$B$56)/12,Loyalty,2)*$F$1*MAX(Z352,0)</f>
        <v>18.557001321003963</v>
      </c>
      <c r="Y353" s="75">
        <f>PARAM!$C$26+MAX($G$8-CHOOSE(PARAM!$B$44,MAX(0,Z352*$F$1),0),0)*RATES!$L329/12+$H$8*(PARAM!$D$51/12)*RATES!$N329/100</f>
        <v>34.687692638568848</v>
      </c>
      <c r="Z353" s="16">
        <f t="shared" si="246"/>
        <v>88.58756318856716</v>
      </c>
      <c r="AA353" s="15">
        <f t="shared" si="221"/>
        <v>22.170849845882874</v>
      </c>
      <c r="AB353" s="75">
        <f>AA353*(1-PARAM!$C$27)*$I$9+(MOD($B353,60)=PARAM!$B$56)*($B353&gt;(60-PARAM!$B$56))*HLOOKUP(($B353+PARAM!$B$56)/12,Loyalty,2)*$F$1*MAX(AD352,0)</f>
        <v>18.557001321003963</v>
      </c>
      <c r="AC353" s="75">
        <f>PARAM!$C$26+MAX($G$9-CHOOSE(PARAM!$B$44,MAX(0,AD352*$F$1),0),0)*RATES!$L329/12+$H$9*(PARAM!$D$51/12)*RATES!$N329/100</f>
        <v>34.687692638568848</v>
      </c>
      <c r="AD353" s="16">
        <f t="shared" si="247"/>
        <v>88.58756318856716</v>
      </c>
      <c r="AE353" s="15">
        <f t="shared" si="222"/>
        <v>22.170849845882874</v>
      </c>
      <c r="AF353" s="75">
        <f>AE353*(1-PARAM!$C$27)*$I$10+(MOD($B353,60)=PARAM!$B$56)*($B353&gt;(60-PARAM!$B$56))*HLOOKUP(($B353+PARAM!$B$56)/12,Loyalty,2)*$F$1*MAX(AH352,0)</f>
        <v>18.557001321003963</v>
      </c>
      <c r="AG353" s="75">
        <f>PARAM!$C$26+MAX($G$10-CHOOSE(PARAM!$B$44,MAX(0,AH352*$F$1),0),0)*RATES!$L329/12+$H$10*(PARAM!$D$51/12)*RATES!$N329/100</f>
        <v>34.687692638568848</v>
      </c>
      <c r="AH353" s="16">
        <f t="shared" si="248"/>
        <v>88.58756318856716</v>
      </c>
      <c r="AI353" s="15">
        <f t="shared" si="223"/>
        <v>22.170849845882874</v>
      </c>
      <c r="AJ353" s="75">
        <f>AI353*(1-PARAM!$C$27)*$I$11+(MOD($B353,60)=PARAM!$B$56)*($B353&gt;(60-PARAM!$B$56))*HLOOKUP(($B353+PARAM!$B$56)/12,Loyalty,2)*$F$1*MAX(AL352,0)</f>
        <v>18.557001321003963</v>
      </c>
      <c r="AK353" s="75">
        <f>PARAM!$C$26+MAX($G$11-CHOOSE(PARAM!$B$44,MAX(0,AL352*$F$1),0),0)*RATES!$L329/12+$H$11*(PARAM!$D$51/12)*RATES!$N329/100</f>
        <v>34.687692638568848</v>
      </c>
      <c r="AL353" s="16">
        <f t="shared" si="249"/>
        <v>88.58756318856716</v>
      </c>
      <c r="AM353" s="15">
        <f t="shared" si="224"/>
        <v>22.170849845882874</v>
      </c>
      <c r="AN353" s="75">
        <f>AM353*(1-PARAM!$C$27)*$I$12+(MOD($B353,60)=PARAM!$B$56)*($B353&gt;(60-PARAM!$B$56))*HLOOKUP(($B353+PARAM!$B$56)/12,Loyalty,2)*$F$1*MAX(AP352,0)</f>
        <v>18.557001321003963</v>
      </c>
      <c r="AO353" s="75">
        <f>PARAM!$C$26+MAX($G$12-CHOOSE(PARAM!$B$44,MAX(0,AP352*$F$1),0),0)*RATES!$L329/12+$H$12*(PARAM!$D$51/12)*RATES!$N329/100</f>
        <v>34.687692638568848</v>
      </c>
      <c r="AP353" s="16">
        <f t="shared" si="250"/>
        <v>88.58756318856716</v>
      </c>
      <c r="AQ353" s="15">
        <f t="shared" si="225"/>
        <v>22.170849845882874</v>
      </c>
      <c r="AR353" s="75">
        <f>AQ353*(1-PARAM!$C$27)*$I$13+(MOD($B353,60)=PARAM!$B$56)*($B353&gt;(60-PARAM!$B$56))*HLOOKUP(($B353+PARAM!$B$56)/12,Loyalty,2)*$F$1*MAX(AT352,0)</f>
        <v>18.557001321003963</v>
      </c>
      <c r="AS353" s="75">
        <f>PARAM!$C$26+MAX($G$13-CHOOSE(PARAM!$B$44,MAX(0,AT352*$F$1),0),0)*RATES!$L329/12+$H$13*(PARAM!$D$51/12)*RATES!$N329/100</f>
        <v>34.687692638568848</v>
      </c>
      <c r="AT353" s="16">
        <f t="shared" si="251"/>
        <v>88.58756318856716</v>
      </c>
      <c r="AU353" s="15">
        <f t="shared" si="226"/>
        <v>22.170849845882874</v>
      </c>
      <c r="AV353" s="75">
        <f>AU353*(1-PARAM!$C$27)*$I$14+(MOD($B353,60)=PARAM!$B$56)*($B353&gt;(60-PARAM!$B$56))*HLOOKUP(($B353+PARAM!$B$56)/12,Loyalty,2)*$F$1*MAX(AX352,0)</f>
        <v>18.557001321003963</v>
      </c>
      <c r="AW353" s="75">
        <f>PARAM!$C$26+MAX($G$14-CHOOSE(PARAM!$B$44,MAX(0,AX352*$F$1),0),0)*RATES!$L329/12+$H$14*(PARAM!$D$51/12)*RATES!$N329/100</f>
        <v>34.687692638568848</v>
      </c>
      <c r="AX353" s="16">
        <f t="shared" si="252"/>
        <v>88.58756318856716</v>
      </c>
      <c r="AY353" s="15">
        <f t="shared" si="227"/>
        <v>22.170849845882874</v>
      </c>
      <c r="AZ353" s="75">
        <f>AY353*(1-PARAM!$C$27)*$I$15+(MOD($B353,60)=PARAM!$B$56)*($B353&gt;(60-PARAM!$B$56))*HLOOKUP(($B353+PARAM!$B$56)/12,Loyalty,2)*$F$1*MAX(BB352,0)</f>
        <v>18.557001321003963</v>
      </c>
      <c r="BA353" s="75">
        <f>PARAM!$C$26+MAX($G$15-CHOOSE(PARAM!$B$44,MAX(0,BB352*$F$1),0),0)*RATES!$L329/12+$H$15*(PARAM!$D$51/12)*RATES!$N329/100</f>
        <v>34.687692638568848</v>
      </c>
      <c r="BB353" s="16">
        <f t="shared" si="253"/>
        <v>88.58756318856716</v>
      </c>
      <c r="BC353" s="15">
        <f t="shared" si="228"/>
        <v>22.170849845882874</v>
      </c>
      <c r="BD353" s="75">
        <f>BC353*(1-PARAM!$C$27)*$I$16+(MOD($B353,60)=PARAM!$B$56)*($B353&gt;(60-PARAM!$B$56))*HLOOKUP(($B353+PARAM!$B$56)/12,Loyalty,2)*$F$1*MAX(BF352,0)</f>
        <v>18.557001321003963</v>
      </c>
      <c r="BE353" s="75">
        <f>PARAM!$C$26+MAX($G$16-CHOOSE(PARAM!$B$44,MAX(0,BF352*$F$1),0),0)*RATES!$L329/12+$H$16*(PARAM!$D$51/12)*RATES!$N329/100</f>
        <v>34.687692638568848</v>
      </c>
      <c r="BF353" s="16">
        <f t="shared" si="254"/>
        <v>88.58756318856716</v>
      </c>
      <c r="BG353" s="15">
        <f t="shared" si="229"/>
        <v>22.170849845882874</v>
      </c>
      <c r="BH353" s="75">
        <f>BG353*(1-PARAM!$C$27)*$I$17+(MOD($B353,60)=PARAM!$B$56)*($B353&gt;(60-PARAM!$B$56))*HLOOKUP(($B353+PARAM!$B$56)/12,Loyalty,2)*$F$1*MAX(BJ352,0)</f>
        <v>18.557001321003963</v>
      </c>
      <c r="BI353" s="75">
        <f>PARAM!$C$26+MAX($G$17-CHOOSE(PARAM!$B$44,MAX(0,BJ352*$F$1),0),0)*RATES!$L329/12+$H$17*(PARAM!$D$51/12)*RATES!$N329/100</f>
        <v>34.687692638568848</v>
      </c>
      <c r="BJ353" s="16">
        <f t="shared" si="255"/>
        <v>88.58756318856716</v>
      </c>
      <c r="BK353" s="15">
        <f t="shared" si="230"/>
        <v>22.170849845882874</v>
      </c>
      <c r="BL353" s="75">
        <f>BK353*(1-PARAM!$C$27)*$I$18+(MOD($B353,60)=PARAM!$B$56)*($B353&gt;(60-PARAM!$B$56))*HLOOKUP(($B353+PARAM!$B$56)/12,Loyalty,2)*$F$1*MAX(BN352,0)</f>
        <v>18.557001321003963</v>
      </c>
      <c r="BM353" s="75">
        <f>PARAM!$C$26+MAX($G$18-CHOOSE(PARAM!$B$44,MAX(0,BN352*$F$1),0),0)*RATES!$L329/12+$H$18*(PARAM!$D$51/12)*RATES!$N329/100</f>
        <v>34.687692638568848</v>
      </c>
      <c r="BN353" s="16">
        <f t="shared" si="256"/>
        <v>88.58756318856716</v>
      </c>
      <c r="BO353" s="15">
        <f t="shared" si="231"/>
        <v>22.170849845882874</v>
      </c>
      <c r="BP353" s="75">
        <f>BO353*(1-PARAM!$C$27)*$I$19+(MOD($B353,60)=PARAM!$B$56)*($B353&gt;(60-PARAM!$B$56))*HLOOKUP(($B353+PARAM!$B$56)/12,Loyalty,2)*$F$1*MAX(BR352,0)</f>
        <v>18.557001321003963</v>
      </c>
      <c r="BQ353" s="75">
        <f>PARAM!$C$26+MAX($G$19-CHOOSE(PARAM!$B$44,MAX(0,BR352*$F$1),0),0)*RATES!$L329/12+$H$19*(PARAM!$D$51/12)*RATES!$N329/100</f>
        <v>34.687692638568848</v>
      </c>
      <c r="BR353" s="16">
        <f t="shared" si="257"/>
        <v>88.58756318856716</v>
      </c>
      <c r="BS353" s="15">
        <f t="shared" si="232"/>
        <v>22.170849845882874</v>
      </c>
      <c r="BT353" s="75">
        <f>BS353*(1-PARAM!$C$27)*$I$20+(MOD($B353,60)=PARAM!$B$56)*($B353&gt;(60-PARAM!$B$56))*HLOOKUP(($B353+PARAM!$B$56)/12,Loyalty,2)*$F$1*MAX(BV352,0)</f>
        <v>18.557001321003963</v>
      </c>
      <c r="BU353" s="75">
        <f>PARAM!$C$26+MAX($G$20-CHOOSE(PARAM!$B$44,MAX(0,BV352*$F$1),0),0)*RATES!$L329/12+$H$20*(PARAM!$D$51/12)*RATES!$N329/100</f>
        <v>34.687692638568848</v>
      </c>
      <c r="BV353" s="16">
        <f t="shared" si="258"/>
        <v>88.58756318856716</v>
      </c>
      <c r="BW353" s="15">
        <f t="shared" si="233"/>
        <v>22.170849845882874</v>
      </c>
      <c r="BX353" s="75">
        <f>BW353*(1-PARAM!$C$27)*$I$21+(MOD($B353,60)=PARAM!$B$56)*($B353&gt;(60-PARAM!$B$56))*HLOOKUP(($B353+PARAM!$B$56)/12,Loyalty,2)*$F$1*MAX(BZ352,0)</f>
        <v>18.557001321003963</v>
      </c>
      <c r="BY353" s="75">
        <f>PARAM!$C$26+MAX($G$21-CHOOSE(PARAM!$B$44,MAX(0,BZ352*$F$1),0),0)*RATES!$L329/12+$H$21*(PARAM!$D$51/12)*RATES!$N329/100</f>
        <v>34.687692638568848</v>
      </c>
      <c r="BZ353" s="16">
        <f t="shared" si="259"/>
        <v>88.58756318856716</v>
      </c>
      <c r="CA353" s="15">
        <f t="shared" si="234"/>
        <v>22.170849845882874</v>
      </c>
      <c r="CB353" s="75">
        <f>CA353*(1-PARAM!$C$27)*$I$22+(MOD($B353,60)=PARAM!$B$56)*($B353&gt;(60-PARAM!$B$56))*HLOOKUP(($B353+PARAM!$B$56)/12,Loyalty,2)*$F$1*MAX(CD352,0)</f>
        <v>18.557001321003963</v>
      </c>
      <c r="CC353" s="75">
        <f>PARAM!$C$26+MAX($G$22-CHOOSE(PARAM!$B$44,MAX(0,CD352*$F$1),0),0)*RATES!$L329/12+$H$22*(PARAM!$D$51/12)*RATES!$N329/100</f>
        <v>34.687692638568848</v>
      </c>
      <c r="CD353" s="16">
        <f t="shared" si="260"/>
        <v>88.58756318856716</v>
      </c>
      <c r="CE353" s="33">
        <f>IF(0=MOD(B353,12/PARAM!$D$51),1,0)</f>
        <v>1</v>
      </c>
      <c r="CF353" s="15">
        <f t="shared" si="235"/>
        <v>0</v>
      </c>
      <c r="CG353" s="75">
        <f>CF353*(1-PARAM!$C$27)*$R$3+(MOD($B353/12,5)=0)*($B353&gt;60)*HLOOKUP($B353/12,Loyalty,2)*$F$1*MAX(CI352,0)</f>
        <v>0</v>
      </c>
      <c r="CH353" s="75">
        <f>PARAM!$C$26+MAX($P$3-CHOOSE(PARAM!$B$44,MAX(0,CI352*$F$1),0),0)*RATES!$L329/12+$Q$3*(PARAM!$D$51/12)*RATES!$N329/100</f>
        <v>34.75</v>
      </c>
      <c r="CI353" s="16">
        <f>IF(CI352&gt;0,CI352*PARAM!$C$53,CI352)+CG353-CH353</f>
        <v>-5841.2499999999927</v>
      </c>
      <c r="CJ353" s="15">
        <f t="shared" si="261"/>
        <v>0</v>
      </c>
      <c r="CK353" s="75">
        <f>CJ353*(1-PARAM!$C$27)*$R$4+(MOD($B353/12,5)=0)*($B353&gt;60)*HLOOKUP($B353/12,Loyalty,2)*$F$1*MAX(CM352,0)</f>
        <v>0</v>
      </c>
      <c r="CL353" s="75">
        <f>PARAM!$C$26+MAX($P$4-CHOOSE(PARAM!$B$44,MAX(0,CM352*$F$1),0),0)*RATES!$L329/12+$Q$4*(PARAM!$D$51/12)*RATES!$N329/100</f>
        <v>34.75</v>
      </c>
      <c r="CM353" s="16">
        <f>IF(CM352&gt;0,CM352*PARAM!$C$53,CM352)+CK353-CL353</f>
        <v>-5841.2499999999927</v>
      </c>
      <c r="CO353" s="176"/>
    </row>
    <row r="354" spans="1:93" x14ac:dyDescent="0.2">
      <c r="A354" t="b">
        <f t="shared" si="236"/>
        <v>0</v>
      </c>
      <c r="B354" s="33">
        <v>327</v>
      </c>
      <c r="C354" s="15">
        <f t="shared" si="237"/>
        <v>20.081305947392778</v>
      </c>
      <c r="D354" s="75">
        <f>C354*(1-PARAM!$C$27)*$I$3+(MOD($B354,60)=PARAM!$B$56)*($B354&gt;(60-PARAM!$B$56))*HLOOKUP(($B354+PARAM!$B$56)/12,Loyalty,2)*$F$1*MAX(F353,0)</f>
        <v>16.808053077967756</v>
      </c>
      <c r="E354" s="75">
        <f>PARAM!$C$26+MAX($G$3-CHOOSE(PARAM!$B$44,MAX(0,F353*$F$1),0),0)*RATES!$L330/12+$H$3*(PARAM!$D$51/12)*RATES!$N330/100</f>
        <v>34.75</v>
      </c>
      <c r="F354" s="16">
        <f t="shared" si="238"/>
        <v>-536.19183490827811</v>
      </c>
      <c r="G354" s="15">
        <f t="shared" si="239"/>
        <v>22.035289406060361</v>
      </c>
      <c r="H354" s="75">
        <f>G354*(1-PARAM!$C$27)*$I$4+(MOD($B354,60)=PARAM!$B$56)*($B354&gt;(60-PARAM!$B$56))*HLOOKUP(($B354+PARAM!$B$56)/12,Loyalty,2)*$F$1*MAX(J353,0)</f>
        <v>18.443537232872522</v>
      </c>
      <c r="I354" s="75">
        <f>PARAM!$C$26+MAX($G$4-CHOOSE(PARAM!$B$44,MAX(0,J353*$F$1),0),0)*RATES!$L330/12+$H$4*(PARAM!$D$51/12)*RATES!$N330/100</f>
        <v>34.721027632504118</v>
      </c>
      <c r="J354" s="16">
        <f t="shared" si="240"/>
        <v>32.415564215299312</v>
      </c>
      <c r="K354" s="15">
        <f t="shared" si="241"/>
        <v>22.170849845882874</v>
      </c>
      <c r="L354" s="75">
        <f>K354*(1-PARAM!$C$27)*$I$5+(MOD($B354,60)=PARAM!$B$56)*($B354&gt;(60-PARAM!$B$56))*HLOOKUP(($B354+PARAM!$B$56)/12,Loyalty,2)*$F$1*MAX(N353,0)</f>
        <v>18.557001321003963</v>
      </c>
      <c r="M354" s="75">
        <f>PARAM!$C$26+MAX($G$5-CHOOSE(PARAM!$B$44,MAX(0,N353*$F$1),0),0)*RATES!$L330/12+$H$5*(PARAM!$D$51/12)*RATES!$N330/100</f>
        <v>34.697290399902798</v>
      </c>
      <c r="N354" s="16">
        <f t="shared" si="242"/>
        <v>72.447274109668328</v>
      </c>
      <c r="O354" s="15">
        <f t="shared" si="243"/>
        <v>22.170849845882874</v>
      </c>
      <c r="P354" s="75">
        <f>O354*(1-PARAM!$C$27)*$I$6+(MOD($B354,60)=PARAM!$B$56)*($B354&gt;(60-PARAM!$B$56))*HLOOKUP(($B354+PARAM!$B$56)/12,Loyalty,2)*$F$1*MAX(R353,0)</f>
        <v>18.557001321003963</v>
      </c>
      <c r="Q354" s="75">
        <f>PARAM!$C$26+MAX($G$6-CHOOSE(PARAM!$B$44,MAX(0,R353*$F$1),0),0)*RATES!$L330/12+$H$6*(PARAM!$D$51/12)*RATES!$N330/100</f>
        <v>34.697290399902798</v>
      </c>
      <c r="R354" s="16">
        <f t="shared" si="244"/>
        <v>72.447274109668328</v>
      </c>
      <c r="S354" s="15">
        <f t="shared" si="219"/>
        <v>22.170849845882874</v>
      </c>
      <c r="T354" s="75">
        <f>S354*(1-PARAM!$C$27)*$I$7+(MOD($B354,60)=PARAM!$B$56)*($B354&gt;(60-PARAM!$B$56))*HLOOKUP(($B354+PARAM!$B$56)/12,Loyalty,2)*$F$1*MAX(V353,0)</f>
        <v>18.557001321003963</v>
      </c>
      <c r="U354" s="75">
        <f>PARAM!$C$26+MAX($G$7-CHOOSE(PARAM!$B$44,MAX(0,V353*$F$1),0),0)*RATES!$L330/12+$H$7*(PARAM!$D$51/12)*RATES!$N330/100</f>
        <v>34.697290399902798</v>
      </c>
      <c r="V354" s="16">
        <f t="shared" si="245"/>
        <v>72.447274109668328</v>
      </c>
      <c r="W354" s="15">
        <f t="shared" si="220"/>
        <v>22.170849845882874</v>
      </c>
      <c r="X354" s="75">
        <f>W354*(1-PARAM!$C$27)*$I$8+(MOD($B354,60)=PARAM!$B$56)*($B354&gt;(60-PARAM!$B$56))*HLOOKUP(($B354+PARAM!$B$56)/12,Loyalty,2)*$F$1*MAX(Z353,0)</f>
        <v>18.557001321003963</v>
      </c>
      <c r="Y354" s="75">
        <f>PARAM!$C$26+MAX($G$8-CHOOSE(PARAM!$B$44,MAX(0,Z353*$F$1),0),0)*RATES!$L330/12+$H$8*(PARAM!$D$51/12)*RATES!$N330/100</f>
        <v>34.697290399902798</v>
      </c>
      <c r="Z354" s="16">
        <f t="shared" si="246"/>
        <v>72.447274109668328</v>
      </c>
      <c r="AA354" s="15">
        <f t="shared" si="221"/>
        <v>22.170849845882874</v>
      </c>
      <c r="AB354" s="75">
        <f>AA354*(1-PARAM!$C$27)*$I$9+(MOD($B354,60)=PARAM!$B$56)*($B354&gt;(60-PARAM!$B$56))*HLOOKUP(($B354+PARAM!$B$56)/12,Loyalty,2)*$F$1*MAX(AD353,0)</f>
        <v>18.557001321003963</v>
      </c>
      <c r="AC354" s="75">
        <f>PARAM!$C$26+MAX($G$9-CHOOSE(PARAM!$B$44,MAX(0,AD353*$F$1),0),0)*RATES!$L330/12+$H$9*(PARAM!$D$51/12)*RATES!$N330/100</f>
        <v>34.697290399902798</v>
      </c>
      <c r="AD354" s="16">
        <f t="shared" si="247"/>
        <v>72.447274109668328</v>
      </c>
      <c r="AE354" s="15">
        <f t="shared" si="222"/>
        <v>22.170849845882874</v>
      </c>
      <c r="AF354" s="75">
        <f>AE354*(1-PARAM!$C$27)*$I$10+(MOD($B354,60)=PARAM!$B$56)*($B354&gt;(60-PARAM!$B$56))*HLOOKUP(($B354+PARAM!$B$56)/12,Loyalty,2)*$F$1*MAX(AH353,0)</f>
        <v>18.557001321003963</v>
      </c>
      <c r="AG354" s="75">
        <f>PARAM!$C$26+MAX($G$10-CHOOSE(PARAM!$B$44,MAX(0,AH353*$F$1),0),0)*RATES!$L330/12+$H$10*(PARAM!$D$51/12)*RATES!$N330/100</f>
        <v>34.697290399902798</v>
      </c>
      <c r="AH354" s="16">
        <f t="shared" si="248"/>
        <v>72.447274109668328</v>
      </c>
      <c r="AI354" s="15">
        <f t="shared" si="223"/>
        <v>22.170849845882874</v>
      </c>
      <c r="AJ354" s="75">
        <f>AI354*(1-PARAM!$C$27)*$I$11+(MOD($B354,60)=PARAM!$B$56)*($B354&gt;(60-PARAM!$B$56))*HLOOKUP(($B354+PARAM!$B$56)/12,Loyalty,2)*$F$1*MAX(AL353,0)</f>
        <v>18.557001321003963</v>
      </c>
      <c r="AK354" s="75">
        <f>PARAM!$C$26+MAX($G$11-CHOOSE(PARAM!$B$44,MAX(0,AL353*$F$1),0),0)*RATES!$L330/12+$H$11*(PARAM!$D$51/12)*RATES!$N330/100</f>
        <v>34.697290399902798</v>
      </c>
      <c r="AL354" s="16">
        <f t="shared" si="249"/>
        <v>72.447274109668328</v>
      </c>
      <c r="AM354" s="15">
        <f t="shared" si="224"/>
        <v>22.170849845882874</v>
      </c>
      <c r="AN354" s="75">
        <f>AM354*(1-PARAM!$C$27)*$I$12+(MOD($B354,60)=PARAM!$B$56)*($B354&gt;(60-PARAM!$B$56))*HLOOKUP(($B354+PARAM!$B$56)/12,Loyalty,2)*$F$1*MAX(AP353,0)</f>
        <v>18.557001321003963</v>
      </c>
      <c r="AO354" s="75">
        <f>PARAM!$C$26+MAX($G$12-CHOOSE(PARAM!$B$44,MAX(0,AP353*$F$1),0),0)*RATES!$L330/12+$H$12*(PARAM!$D$51/12)*RATES!$N330/100</f>
        <v>34.697290399902798</v>
      </c>
      <c r="AP354" s="16">
        <f t="shared" si="250"/>
        <v>72.447274109668328</v>
      </c>
      <c r="AQ354" s="15">
        <f t="shared" si="225"/>
        <v>22.170849845882874</v>
      </c>
      <c r="AR354" s="75">
        <f>AQ354*(1-PARAM!$C$27)*$I$13+(MOD($B354,60)=PARAM!$B$56)*($B354&gt;(60-PARAM!$B$56))*HLOOKUP(($B354+PARAM!$B$56)/12,Loyalty,2)*$F$1*MAX(AT353,0)</f>
        <v>18.557001321003963</v>
      </c>
      <c r="AS354" s="75">
        <f>PARAM!$C$26+MAX($G$13-CHOOSE(PARAM!$B$44,MAX(0,AT353*$F$1),0),0)*RATES!$L330/12+$H$13*(PARAM!$D$51/12)*RATES!$N330/100</f>
        <v>34.697290399902798</v>
      </c>
      <c r="AT354" s="16">
        <f t="shared" si="251"/>
        <v>72.447274109668328</v>
      </c>
      <c r="AU354" s="15">
        <f t="shared" si="226"/>
        <v>22.170849845882874</v>
      </c>
      <c r="AV354" s="75">
        <f>AU354*(1-PARAM!$C$27)*$I$14+(MOD($B354,60)=PARAM!$B$56)*($B354&gt;(60-PARAM!$B$56))*HLOOKUP(($B354+PARAM!$B$56)/12,Loyalty,2)*$F$1*MAX(AX353,0)</f>
        <v>18.557001321003963</v>
      </c>
      <c r="AW354" s="75">
        <f>PARAM!$C$26+MAX($G$14-CHOOSE(PARAM!$B$44,MAX(0,AX353*$F$1),0),0)*RATES!$L330/12+$H$14*(PARAM!$D$51/12)*RATES!$N330/100</f>
        <v>34.697290399902798</v>
      </c>
      <c r="AX354" s="16">
        <f t="shared" si="252"/>
        <v>72.447274109668328</v>
      </c>
      <c r="AY354" s="15">
        <f t="shared" si="227"/>
        <v>22.170849845882874</v>
      </c>
      <c r="AZ354" s="75">
        <f>AY354*(1-PARAM!$C$27)*$I$15+(MOD($B354,60)=PARAM!$B$56)*($B354&gt;(60-PARAM!$B$56))*HLOOKUP(($B354+PARAM!$B$56)/12,Loyalty,2)*$F$1*MAX(BB353,0)</f>
        <v>18.557001321003963</v>
      </c>
      <c r="BA354" s="75">
        <f>PARAM!$C$26+MAX($G$15-CHOOSE(PARAM!$B$44,MAX(0,BB353*$F$1),0),0)*RATES!$L330/12+$H$15*(PARAM!$D$51/12)*RATES!$N330/100</f>
        <v>34.697290399902798</v>
      </c>
      <c r="BB354" s="16">
        <f t="shared" si="253"/>
        <v>72.447274109668328</v>
      </c>
      <c r="BC354" s="15">
        <f t="shared" si="228"/>
        <v>22.170849845882874</v>
      </c>
      <c r="BD354" s="75">
        <f>BC354*(1-PARAM!$C$27)*$I$16+(MOD($B354,60)=PARAM!$B$56)*($B354&gt;(60-PARAM!$B$56))*HLOOKUP(($B354+PARAM!$B$56)/12,Loyalty,2)*$F$1*MAX(BF353,0)</f>
        <v>18.557001321003963</v>
      </c>
      <c r="BE354" s="75">
        <f>PARAM!$C$26+MAX($G$16-CHOOSE(PARAM!$B$44,MAX(0,BF353*$F$1),0),0)*RATES!$L330/12+$H$16*(PARAM!$D$51/12)*RATES!$N330/100</f>
        <v>34.697290399902798</v>
      </c>
      <c r="BF354" s="16">
        <f t="shared" si="254"/>
        <v>72.447274109668328</v>
      </c>
      <c r="BG354" s="15">
        <f t="shared" si="229"/>
        <v>22.170849845882874</v>
      </c>
      <c r="BH354" s="75">
        <f>BG354*(1-PARAM!$C$27)*$I$17+(MOD($B354,60)=PARAM!$B$56)*($B354&gt;(60-PARAM!$B$56))*HLOOKUP(($B354+PARAM!$B$56)/12,Loyalty,2)*$F$1*MAX(BJ353,0)</f>
        <v>18.557001321003963</v>
      </c>
      <c r="BI354" s="75">
        <f>PARAM!$C$26+MAX($G$17-CHOOSE(PARAM!$B$44,MAX(0,BJ353*$F$1),0),0)*RATES!$L330/12+$H$17*(PARAM!$D$51/12)*RATES!$N330/100</f>
        <v>34.697290399902798</v>
      </c>
      <c r="BJ354" s="16">
        <f t="shared" si="255"/>
        <v>72.447274109668328</v>
      </c>
      <c r="BK354" s="15">
        <f t="shared" si="230"/>
        <v>22.170849845882874</v>
      </c>
      <c r="BL354" s="75">
        <f>BK354*(1-PARAM!$C$27)*$I$18+(MOD($B354,60)=PARAM!$B$56)*($B354&gt;(60-PARAM!$B$56))*HLOOKUP(($B354+PARAM!$B$56)/12,Loyalty,2)*$F$1*MAX(BN353,0)</f>
        <v>18.557001321003963</v>
      </c>
      <c r="BM354" s="75">
        <f>PARAM!$C$26+MAX($G$18-CHOOSE(PARAM!$B$44,MAX(0,BN353*$F$1),0),0)*RATES!$L330/12+$H$18*(PARAM!$D$51/12)*RATES!$N330/100</f>
        <v>34.697290399902798</v>
      </c>
      <c r="BN354" s="16">
        <f t="shared" si="256"/>
        <v>72.447274109668328</v>
      </c>
      <c r="BO354" s="15">
        <f t="shared" si="231"/>
        <v>22.170849845882874</v>
      </c>
      <c r="BP354" s="75">
        <f>BO354*(1-PARAM!$C$27)*$I$19+(MOD($B354,60)=PARAM!$B$56)*($B354&gt;(60-PARAM!$B$56))*HLOOKUP(($B354+PARAM!$B$56)/12,Loyalty,2)*$F$1*MAX(BR353,0)</f>
        <v>18.557001321003963</v>
      </c>
      <c r="BQ354" s="75">
        <f>PARAM!$C$26+MAX($G$19-CHOOSE(PARAM!$B$44,MAX(0,BR353*$F$1),0),0)*RATES!$L330/12+$H$19*(PARAM!$D$51/12)*RATES!$N330/100</f>
        <v>34.697290399902798</v>
      </c>
      <c r="BR354" s="16">
        <f t="shared" si="257"/>
        <v>72.447274109668328</v>
      </c>
      <c r="BS354" s="15">
        <f t="shared" si="232"/>
        <v>22.170849845882874</v>
      </c>
      <c r="BT354" s="75">
        <f>BS354*(1-PARAM!$C$27)*$I$20+(MOD($B354,60)=PARAM!$B$56)*($B354&gt;(60-PARAM!$B$56))*HLOOKUP(($B354+PARAM!$B$56)/12,Loyalty,2)*$F$1*MAX(BV353,0)</f>
        <v>18.557001321003963</v>
      </c>
      <c r="BU354" s="75">
        <f>PARAM!$C$26+MAX($G$20-CHOOSE(PARAM!$B$44,MAX(0,BV353*$F$1),0),0)*RATES!$L330/12+$H$20*(PARAM!$D$51/12)*RATES!$N330/100</f>
        <v>34.697290399902798</v>
      </c>
      <c r="BV354" s="16">
        <f t="shared" si="258"/>
        <v>72.447274109668328</v>
      </c>
      <c r="BW354" s="15">
        <f t="shared" si="233"/>
        <v>22.170849845882874</v>
      </c>
      <c r="BX354" s="75">
        <f>BW354*(1-PARAM!$C$27)*$I$21+(MOD($B354,60)=PARAM!$B$56)*($B354&gt;(60-PARAM!$B$56))*HLOOKUP(($B354+PARAM!$B$56)/12,Loyalty,2)*$F$1*MAX(BZ353,0)</f>
        <v>18.557001321003963</v>
      </c>
      <c r="BY354" s="75">
        <f>PARAM!$C$26+MAX($G$21-CHOOSE(PARAM!$B$44,MAX(0,BZ353*$F$1),0),0)*RATES!$L330/12+$H$21*(PARAM!$D$51/12)*RATES!$N330/100</f>
        <v>34.697290399902798</v>
      </c>
      <c r="BZ354" s="16">
        <f t="shared" si="259"/>
        <v>72.447274109668328</v>
      </c>
      <c r="CA354" s="15">
        <f t="shared" si="234"/>
        <v>22.170849845882874</v>
      </c>
      <c r="CB354" s="75">
        <f>CA354*(1-PARAM!$C$27)*$I$22+(MOD($B354,60)=PARAM!$B$56)*($B354&gt;(60-PARAM!$B$56))*HLOOKUP(($B354+PARAM!$B$56)/12,Loyalty,2)*$F$1*MAX(CD353,0)</f>
        <v>18.557001321003963</v>
      </c>
      <c r="CC354" s="75">
        <f>PARAM!$C$26+MAX($G$22-CHOOSE(PARAM!$B$44,MAX(0,CD353*$F$1),0),0)*RATES!$L330/12+$H$22*(PARAM!$D$51/12)*RATES!$N330/100</f>
        <v>34.697290399902798</v>
      </c>
      <c r="CD354" s="16">
        <f t="shared" si="260"/>
        <v>72.447274109668328</v>
      </c>
      <c r="CE354" s="33">
        <f>IF(0=MOD(B354,12/PARAM!$D$51),1,0)</f>
        <v>1</v>
      </c>
      <c r="CF354" s="15">
        <f t="shared" si="235"/>
        <v>0</v>
      </c>
      <c r="CG354" s="75">
        <f>CF354*(1-PARAM!$C$27)*$R$3+(MOD($B354/12,5)=0)*($B354&gt;60)*HLOOKUP($B354/12,Loyalty,2)*$F$1*MAX(CI353,0)</f>
        <v>0</v>
      </c>
      <c r="CH354" s="75">
        <f>PARAM!$C$26+MAX($P$3-CHOOSE(PARAM!$B$44,MAX(0,CI353*$F$1),0),0)*RATES!$L330/12+$Q$3*(PARAM!$D$51/12)*RATES!$N330/100</f>
        <v>34.75</v>
      </c>
      <c r="CI354" s="16">
        <f>IF(CI353&gt;0,CI353*PARAM!$C$53,CI353)+CG354-CH354</f>
        <v>-5875.9999999999927</v>
      </c>
      <c r="CJ354" s="15">
        <f t="shared" si="261"/>
        <v>0</v>
      </c>
      <c r="CK354" s="75">
        <f>CJ354*(1-PARAM!$C$27)*$R$4+(MOD($B354/12,5)=0)*($B354&gt;60)*HLOOKUP($B354/12,Loyalty,2)*$F$1*MAX(CM353,0)</f>
        <v>0</v>
      </c>
      <c r="CL354" s="75">
        <f>PARAM!$C$26+MAX($P$4-CHOOSE(PARAM!$B$44,MAX(0,CM353*$F$1),0),0)*RATES!$L330/12+$Q$4*(PARAM!$D$51/12)*RATES!$N330/100</f>
        <v>34.75</v>
      </c>
      <c r="CM354" s="16">
        <f>IF(CM353&gt;0,CM353*PARAM!$C$53,CM353)+CK354-CL354</f>
        <v>-5875.9999999999927</v>
      </c>
      <c r="CO354" s="176"/>
    </row>
    <row r="355" spans="1:93" x14ac:dyDescent="0.2">
      <c r="A355" t="b">
        <f t="shared" si="236"/>
        <v>0</v>
      </c>
      <c r="B355" s="33">
        <v>328</v>
      </c>
      <c r="C355" s="15">
        <f t="shared" si="237"/>
        <v>20.081305947392778</v>
      </c>
      <c r="D355" s="75">
        <f>C355*(1-PARAM!$C$27)*$I$3+(MOD($B355,60)=PARAM!$B$56)*($B355&gt;(60-PARAM!$B$56))*HLOOKUP(($B355+PARAM!$B$56)/12,Loyalty,2)*$F$1*MAX(F354,0)</f>
        <v>16.808053077967756</v>
      </c>
      <c r="E355" s="75">
        <f>PARAM!$C$26+MAX($G$3-CHOOSE(PARAM!$B$44,MAX(0,F354*$F$1),0),0)*RATES!$L331/12+$H$3*(PARAM!$D$51/12)*RATES!$N331/100</f>
        <v>34.75</v>
      </c>
      <c r="F355" s="16">
        <f t="shared" si="238"/>
        <v>-554.13378183031034</v>
      </c>
      <c r="G355" s="15">
        <f t="shared" si="239"/>
        <v>22.035289406060361</v>
      </c>
      <c r="H355" s="75">
        <f>G355*(1-PARAM!$C$27)*$I$4+(MOD($B355,60)=PARAM!$B$56)*($B355&gt;(60-PARAM!$B$56))*HLOOKUP(($B355+PARAM!$B$56)/12,Loyalty,2)*$F$1*MAX(J354,0)</f>
        <v>18.443537232872522</v>
      </c>
      <c r="I355" s="75">
        <f>PARAM!$C$26+MAX($G$4-CHOOSE(PARAM!$B$44,MAX(0,J354*$F$1),0),0)*RATES!$L331/12+$H$4*(PARAM!$D$51/12)*RATES!$N331/100</f>
        <v>34.730712739291903</v>
      </c>
      <c r="J355" s="16">
        <f t="shared" si="240"/>
        <v>16.128388708879932</v>
      </c>
      <c r="K355" s="15">
        <f t="shared" si="241"/>
        <v>22.170849845882874</v>
      </c>
      <c r="L355" s="75">
        <f>K355*(1-PARAM!$C$27)*$I$5+(MOD($B355,60)=PARAM!$B$56)*($B355&gt;(60-PARAM!$B$56))*HLOOKUP(($B355+PARAM!$B$56)/12,Loyalty,2)*$F$1*MAX(N354,0)</f>
        <v>18.557001321003963</v>
      </c>
      <c r="M355" s="75">
        <f>PARAM!$C$26+MAX($G$5-CHOOSE(PARAM!$B$44,MAX(0,N354*$F$1),0),0)*RATES!$L331/12+$H$5*(PARAM!$D$51/12)*RATES!$N331/100</f>
        <v>34.70689387190474</v>
      </c>
      <c r="N355" s="16">
        <f t="shared" si="242"/>
        <v>56.297381558767555</v>
      </c>
      <c r="O355" s="15">
        <f t="shared" si="243"/>
        <v>22.170849845882874</v>
      </c>
      <c r="P355" s="75">
        <f>O355*(1-PARAM!$C$27)*$I$6+(MOD($B355,60)=PARAM!$B$56)*($B355&gt;(60-PARAM!$B$56))*HLOOKUP(($B355+PARAM!$B$56)/12,Loyalty,2)*$F$1*MAX(R354,0)</f>
        <v>18.557001321003963</v>
      </c>
      <c r="Q355" s="75">
        <f>PARAM!$C$26+MAX($G$6-CHOOSE(PARAM!$B$44,MAX(0,R354*$F$1),0),0)*RATES!$L331/12+$H$6*(PARAM!$D$51/12)*RATES!$N331/100</f>
        <v>34.70689387190474</v>
      </c>
      <c r="R355" s="16">
        <f t="shared" si="244"/>
        <v>56.297381558767555</v>
      </c>
      <c r="S355" s="15">
        <f t="shared" si="219"/>
        <v>22.170849845882874</v>
      </c>
      <c r="T355" s="75">
        <f>S355*(1-PARAM!$C$27)*$I$7+(MOD($B355,60)=PARAM!$B$56)*($B355&gt;(60-PARAM!$B$56))*HLOOKUP(($B355+PARAM!$B$56)/12,Loyalty,2)*$F$1*MAX(V354,0)</f>
        <v>18.557001321003963</v>
      </c>
      <c r="U355" s="75">
        <f>PARAM!$C$26+MAX($G$7-CHOOSE(PARAM!$B$44,MAX(0,V354*$F$1),0),0)*RATES!$L331/12+$H$7*(PARAM!$D$51/12)*RATES!$N331/100</f>
        <v>34.70689387190474</v>
      </c>
      <c r="V355" s="16">
        <f t="shared" si="245"/>
        <v>56.297381558767555</v>
      </c>
      <c r="W355" s="15">
        <f t="shared" si="220"/>
        <v>22.170849845882874</v>
      </c>
      <c r="X355" s="75">
        <f>W355*(1-PARAM!$C$27)*$I$8+(MOD($B355,60)=PARAM!$B$56)*($B355&gt;(60-PARAM!$B$56))*HLOOKUP(($B355+PARAM!$B$56)/12,Loyalty,2)*$F$1*MAX(Z354,0)</f>
        <v>18.557001321003963</v>
      </c>
      <c r="Y355" s="75">
        <f>PARAM!$C$26+MAX($G$8-CHOOSE(PARAM!$B$44,MAX(0,Z354*$F$1),0),0)*RATES!$L331/12+$H$8*(PARAM!$D$51/12)*RATES!$N331/100</f>
        <v>34.70689387190474</v>
      </c>
      <c r="Z355" s="16">
        <f t="shared" si="246"/>
        <v>56.297381558767555</v>
      </c>
      <c r="AA355" s="15">
        <f t="shared" si="221"/>
        <v>22.170849845882874</v>
      </c>
      <c r="AB355" s="75">
        <f>AA355*(1-PARAM!$C$27)*$I$9+(MOD($B355,60)=PARAM!$B$56)*($B355&gt;(60-PARAM!$B$56))*HLOOKUP(($B355+PARAM!$B$56)/12,Loyalty,2)*$F$1*MAX(AD354,0)</f>
        <v>18.557001321003963</v>
      </c>
      <c r="AC355" s="75">
        <f>PARAM!$C$26+MAX($G$9-CHOOSE(PARAM!$B$44,MAX(0,AD354*$F$1),0),0)*RATES!$L331/12+$H$9*(PARAM!$D$51/12)*RATES!$N331/100</f>
        <v>34.70689387190474</v>
      </c>
      <c r="AD355" s="16">
        <f t="shared" si="247"/>
        <v>56.297381558767555</v>
      </c>
      <c r="AE355" s="15">
        <f t="shared" si="222"/>
        <v>22.170849845882874</v>
      </c>
      <c r="AF355" s="75">
        <f>AE355*(1-PARAM!$C$27)*$I$10+(MOD($B355,60)=PARAM!$B$56)*($B355&gt;(60-PARAM!$B$56))*HLOOKUP(($B355+PARAM!$B$56)/12,Loyalty,2)*$F$1*MAX(AH354,0)</f>
        <v>18.557001321003963</v>
      </c>
      <c r="AG355" s="75">
        <f>PARAM!$C$26+MAX($G$10-CHOOSE(PARAM!$B$44,MAX(0,AH354*$F$1),0),0)*RATES!$L331/12+$H$10*(PARAM!$D$51/12)*RATES!$N331/100</f>
        <v>34.70689387190474</v>
      </c>
      <c r="AH355" s="16">
        <f t="shared" si="248"/>
        <v>56.297381558767555</v>
      </c>
      <c r="AI355" s="15">
        <f t="shared" si="223"/>
        <v>22.170849845882874</v>
      </c>
      <c r="AJ355" s="75">
        <f>AI355*(1-PARAM!$C$27)*$I$11+(MOD($B355,60)=PARAM!$B$56)*($B355&gt;(60-PARAM!$B$56))*HLOOKUP(($B355+PARAM!$B$56)/12,Loyalty,2)*$F$1*MAX(AL354,0)</f>
        <v>18.557001321003963</v>
      </c>
      <c r="AK355" s="75">
        <f>PARAM!$C$26+MAX($G$11-CHOOSE(PARAM!$B$44,MAX(0,AL354*$F$1),0),0)*RATES!$L331/12+$H$11*(PARAM!$D$51/12)*RATES!$N331/100</f>
        <v>34.70689387190474</v>
      </c>
      <c r="AL355" s="16">
        <f t="shared" si="249"/>
        <v>56.297381558767555</v>
      </c>
      <c r="AM355" s="15">
        <f t="shared" si="224"/>
        <v>22.170849845882874</v>
      </c>
      <c r="AN355" s="75">
        <f>AM355*(1-PARAM!$C$27)*$I$12+(MOD($B355,60)=PARAM!$B$56)*($B355&gt;(60-PARAM!$B$56))*HLOOKUP(($B355+PARAM!$B$56)/12,Loyalty,2)*$F$1*MAX(AP354,0)</f>
        <v>18.557001321003963</v>
      </c>
      <c r="AO355" s="75">
        <f>PARAM!$C$26+MAX($G$12-CHOOSE(PARAM!$B$44,MAX(0,AP354*$F$1),0),0)*RATES!$L331/12+$H$12*(PARAM!$D$51/12)*RATES!$N331/100</f>
        <v>34.70689387190474</v>
      </c>
      <c r="AP355" s="16">
        <f t="shared" si="250"/>
        <v>56.297381558767555</v>
      </c>
      <c r="AQ355" s="15">
        <f t="shared" si="225"/>
        <v>22.170849845882874</v>
      </c>
      <c r="AR355" s="75">
        <f>AQ355*(1-PARAM!$C$27)*$I$13+(MOD($B355,60)=PARAM!$B$56)*($B355&gt;(60-PARAM!$B$56))*HLOOKUP(($B355+PARAM!$B$56)/12,Loyalty,2)*$F$1*MAX(AT354,0)</f>
        <v>18.557001321003963</v>
      </c>
      <c r="AS355" s="75">
        <f>PARAM!$C$26+MAX($G$13-CHOOSE(PARAM!$B$44,MAX(0,AT354*$F$1),0),0)*RATES!$L331/12+$H$13*(PARAM!$D$51/12)*RATES!$N331/100</f>
        <v>34.70689387190474</v>
      </c>
      <c r="AT355" s="16">
        <f t="shared" si="251"/>
        <v>56.297381558767555</v>
      </c>
      <c r="AU355" s="15">
        <f t="shared" si="226"/>
        <v>22.170849845882874</v>
      </c>
      <c r="AV355" s="75">
        <f>AU355*(1-PARAM!$C$27)*$I$14+(MOD($B355,60)=PARAM!$B$56)*($B355&gt;(60-PARAM!$B$56))*HLOOKUP(($B355+PARAM!$B$56)/12,Loyalty,2)*$F$1*MAX(AX354,0)</f>
        <v>18.557001321003963</v>
      </c>
      <c r="AW355" s="75">
        <f>PARAM!$C$26+MAX($G$14-CHOOSE(PARAM!$B$44,MAX(0,AX354*$F$1),0),0)*RATES!$L331/12+$H$14*(PARAM!$D$51/12)*RATES!$N331/100</f>
        <v>34.70689387190474</v>
      </c>
      <c r="AX355" s="16">
        <f t="shared" si="252"/>
        <v>56.297381558767555</v>
      </c>
      <c r="AY355" s="15">
        <f t="shared" si="227"/>
        <v>22.170849845882874</v>
      </c>
      <c r="AZ355" s="75">
        <f>AY355*(1-PARAM!$C$27)*$I$15+(MOD($B355,60)=PARAM!$B$56)*($B355&gt;(60-PARAM!$B$56))*HLOOKUP(($B355+PARAM!$B$56)/12,Loyalty,2)*$F$1*MAX(BB354,0)</f>
        <v>18.557001321003963</v>
      </c>
      <c r="BA355" s="75">
        <f>PARAM!$C$26+MAX($G$15-CHOOSE(PARAM!$B$44,MAX(0,BB354*$F$1),0),0)*RATES!$L331/12+$H$15*(PARAM!$D$51/12)*RATES!$N331/100</f>
        <v>34.70689387190474</v>
      </c>
      <c r="BB355" s="16">
        <f t="shared" si="253"/>
        <v>56.297381558767555</v>
      </c>
      <c r="BC355" s="15">
        <f t="shared" si="228"/>
        <v>22.170849845882874</v>
      </c>
      <c r="BD355" s="75">
        <f>BC355*(1-PARAM!$C$27)*$I$16+(MOD($B355,60)=PARAM!$B$56)*($B355&gt;(60-PARAM!$B$56))*HLOOKUP(($B355+PARAM!$B$56)/12,Loyalty,2)*$F$1*MAX(BF354,0)</f>
        <v>18.557001321003963</v>
      </c>
      <c r="BE355" s="75">
        <f>PARAM!$C$26+MAX($G$16-CHOOSE(PARAM!$B$44,MAX(0,BF354*$F$1),0),0)*RATES!$L331/12+$H$16*(PARAM!$D$51/12)*RATES!$N331/100</f>
        <v>34.70689387190474</v>
      </c>
      <c r="BF355" s="16">
        <f t="shared" si="254"/>
        <v>56.297381558767555</v>
      </c>
      <c r="BG355" s="15">
        <f t="shared" si="229"/>
        <v>22.170849845882874</v>
      </c>
      <c r="BH355" s="75">
        <f>BG355*(1-PARAM!$C$27)*$I$17+(MOD($B355,60)=PARAM!$B$56)*($B355&gt;(60-PARAM!$B$56))*HLOOKUP(($B355+PARAM!$B$56)/12,Loyalty,2)*$F$1*MAX(BJ354,0)</f>
        <v>18.557001321003963</v>
      </c>
      <c r="BI355" s="75">
        <f>PARAM!$C$26+MAX($G$17-CHOOSE(PARAM!$B$44,MAX(0,BJ354*$F$1),0),0)*RATES!$L331/12+$H$17*(PARAM!$D$51/12)*RATES!$N331/100</f>
        <v>34.70689387190474</v>
      </c>
      <c r="BJ355" s="16">
        <f t="shared" si="255"/>
        <v>56.297381558767555</v>
      </c>
      <c r="BK355" s="15">
        <f t="shared" si="230"/>
        <v>22.170849845882874</v>
      </c>
      <c r="BL355" s="75">
        <f>BK355*(1-PARAM!$C$27)*$I$18+(MOD($B355,60)=PARAM!$B$56)*($B355&gt;(60-PARAM!$B$56))*HLOOKUP(($B355+PARAM!$B$56)/12,Loyalty,2)*$F$1*MAX(BN354,0)</f>
        <v>18.557001321003963</v>
      </c>
      <c r="BM355" s="75">
        <f>PARAM!$C$26+MAX($G$18-CHOOSE(PARAM!$B$44,MAX(0,BN354*$F$1),0),0)*RATES!$L331/12+$H$18*(PARAM!$D$51/12)*RATES!$N331/100</f>
        <v>34.70689387190474</v>
      </c>
      <c r="BN355" s="16">
        <f t="shared" si="256"/>
        <v>56.297381558767555</v>
      </c>
      <c r="BO355" s="15">
        <f t="shared" si="231"/>
        <v>22.170849845882874</v>
      </c>
      <c r="BP355" s="75">
        <f>BO355*(1-PARAM!$C$27)*$I$19+(MOD($B355,60)=PARAM!$B$56)*($B355&gt;(60-PARAM!$B$56))*HLOOKUP(($B355+PARAM!$B$56)/12,Loyalty,2)*$F$1*MAX(BR354,0)</f>
        <v>18.557001321003963</v>
      </c>
      <c r="BQ355" s="75">
        <f>PARAM!$C$26+MAX($G$19-CHOOSE(PARAM!$B$44,MAX(0,BR354*$F$1),0),0)*RATES!$L331/12+$H$19*(PARAM!$D$51/12)*RATES!$N331/100</f>
        <v>34.70689387190474</v>
      </c>
      <c r="BR355" s="16">
        <f t="shared" si="257"/>
        <v>56.297381558767555</v>
      </c>
      <c r="BS355" s="15">
        <f t="shared" si="232"/>
        <v>22.170849845882874</v>
      </c>
      <c r="BT355" s="75">
        <f>BS355*(1-PARAM!$C$27)*$I$20+(MOD($B355,60)=PARAM!$B$56)*($B355&gt;(60-PARAM!$B$56))*HLOOKUP(($B355+PARAM!$B$56)/12,Loyalty,2)*$F$1*MAX(BV354,0)</f>
        <v>18.557001321003963</v>
      </c>
      <c r="BU355" s="75">
        <f>PARAM!$C$26+MAX($G$20-CHOOSE(PARAM!$B$44,MAX(0,BV354*$F$1),0),0)*RATES!$L331/12+$H$20*(PARAM!$D$51/12)*RATES!$N331/100</f>
        <v>34.70689387190474</v>
      </c>
      <c r="BV355" s="16">
        <f t="shared" si="258"/>
        <v>56.297381558767555</v>
      </c>
      <c r="BW355" s="15">
        <f t="shared" si="233"/>
        <v>22.170849845882874</v>
      </c>
      <c r="BX355" s="75">
        <f>BW355*(1-PARAM!$C$27)*$I$21+(MOD($B355,60)=PARAM!$B$56)*($B355&gt;(60-PARAM!$B$56))*HLOOKUP(($B355+PARAM!$B$56)/12,Loyalty,2)*$F$1*MAX(BZ354,0)</f>
        <v>18.557001321003963</v>
      </c>
      <c r="BY355" s="75">
        <f>PARAM!$C$26+MAX($G$21-CHOOSE(PARAM!$B$44,MAX(0,BZ354*$F$1),0),0)*RATES!$L331/12+$H$21*(PARAM!$D$51/12)*RATES!$N331/100</f>
        <v>34.70689387190474</v>
      </c>
      <c r="BZ355" s="16">
        <f t="shared" si="259"/>
        <v>56.297381558767555</v>
      </c>
      <c r="CA355" s="15">
        <f t="shared" si="234"/>
        <v>22.170849845882874</v>
      </c>
      <c r="CB355" s="75">
        <f>CA355*(1-PARAM!$C$27)*$I$22+(MOD($B355,60)=PARAM!$B$56)*($B355&gt;(60-PARAM!$B$56))*HLOOKUP(($B355+PARAM!$B$56)/12,Loyalty,2)*$F$1*MAX(CD354,0)</f>
        <v>18.557001321003963</v>
      </c>
      <c r="CC355" s="75">
        <f>PARAM!$C$26+MAX($G$22-CHOOSE(PARAM!$B$44,MAX(0,CD354*$F$1),0),0)*RATES!$L331/12+$H$22*(PARAM!$D$51/12)*RATES!$N331/100</f>
        <v>34.70689387190474</v>
      </c>
      <c r="CD355" s="16">
        <f t="shared" si="260"/>
        <v>56.297381558767555</v>
      </c>
      <c r="CE355" s="33">
        <f>IF(0=MOD(B355,12/PARAM!$D$51),1,0)</f>
        <v>1</v>
      </c>
      <c r="CF355" s="15">
        <f t="shared" si="235"/>
        <v>0</v>
      </c>
      <c r="CG355" s="75">
        <f>CF355*(1-PARAM!$C$27)*$R$3+(MOD($B355/12,5)=0)*($B355&gt;60)*HLOOKUP($B355/12,Loyalty,2)*$F$1*MAX(CI354,0)</f>
        <v>0</v>
      </c>
      <c r="CH355" s="75">
        <f>PARAM!$C$26+MAX($P$3-CHOOSE(PARAM!$B$44,MAX(0,CI354*$F$1),0),0)*RATES!$L331/12+$Q$3*(PARAM!$D$51/12)*RATES!$N331/100</f>
        <v>34.75</v>
      </c>
      <c r="CI355" s="16">
        <f>IF(CI354&gt;0,CI354*PARAM!$C$53,CI354)+CG355-CH355</f>
        <v>-5910.7499999999927</v>
      </c>
      <c r="CJ355" s="15">
        <f t="shared" si="261"/>
        <v>0</v>
      </c>
      <c r="CK355" s="75">
        <f>CJ355*(1-PARAM!$C$27)*$R$4+(MOD($B355/12,5)=0)*($B355&gt;60)*HLOOKUP($B355/12,Loyalty,2)*$F$1*MAX(CM354,0)</f>
        <v>0</v>
      </c>
      <c r="CL355" s="75">
        <f>PARAM!$C$26+MAX($P$4-CHOOSE(PARAM!$B$44,MAX(0,CM354*$F$1),0),0)*RATES!$L331/12+$Q$4*(PARAM!$D$51/12)*RATES!$N331/100</f>
        <v>34.75</v>
      </c>
      <c r="CM355" s="16">
        <f>IF(CM354&gt;0,CM354*PARAM!$C$53,CM354)+CK355-CL355</f>
        <v>-5910.7499999999927</v>
      </c>
      <c r="CO355" s="176"/>
    </row>
    <row r="356" spans="1:93" x14ac:dyDescent="0.2">
      <c r="A356" t="b">
        <f t="shared" si="236"/>
        <v>0</v>
      </c>
      <c r="B356" s="33">
        <v>329</v>
      </c>
      <c r="C356" s="15">
        <f t="shared" si="237"/>
        <v>20.081305947392778</v>
      </c>
      <c r="D356" s="75">
        <f>C356*(1-PARAM!$C$27)*$I$3+(MOD($B356,60)=PARAM!$B$56)*($B356&gt;(60-PARAM!$B$56))*HLOOKUP(($B356+PARAM!$B$56)/12,Loyalty,2)*$F$1*MAX(F355,0)</f>
        <v>16.808053077967756</v>
      </c>
      <c r="E356" s="75">
        <f>PARAM!$C$26+MAX($G$3-CHOOSE(PARAM!$B$44,MAX(0,F355*$F$1),0),0)*RATES!$L332/12+$H$3*(PARAM!$D$51/12)*RATES!$N332/100</f>
        <v>34.75</v>
      </c>
      <c r="F356" s="16">
        <f t="shared" si="238"/>
        <v>-572.07572875234257</v>
      </c>
      <c r="G356" s="15">
        <f t="shared" si="239"/>
        <v>22.035289406060361</v>
      </c>
      <c r="H356" s="75">
        <f>G356*(1-PARAM!$C$27)*$I$4+(MOD($B356,60)=PARAM!$B$56)*($B356&gt;(60-PARAM!$B$56))*HLOOKUP(($B356+PARAM!$B$56)/12,Loyalty,2)*$F$1*MAX(J355,0)</f>
        <v>18.443537232872522</v>
      </c>
      <c r="I356" s="75">
        <f>PARAM!$C$26+MAX($G$4-CHOOSE(PARAM!$B$44,MAX(0,J355*$F$1),0),0)*RATES!$L332/12+$H$4*(PARAM!$D$51/12)*RATES!$N332/100</f>
        <v>34.740403608718211</v>
      </c>
      <c r="J356" s="16">
        <f t="shared" si="240"/>
        <v>-0.16847766696575661</v>
      </c>
      <c r="K356" s="15">
        <f t="shared" si="241"/>
        <v>22.170849845882874</v>
      </c>
      <c r="L356" s="75">
        <f>K356*(1-PARAM!$C$27)*$I$5+(MOD($B356,60)=PARAM!$B$56)*($B356&gt;(60-PARAM!$B$56))*HLOOKUP(($B356+PARAM!$B$56)/12,Loyalty,2)*$F$1*MAX(N355,0)</f>
        <v>18.557001321003963</v>
      </c>
      <c r="M356" s="75">
        <f>PARAM!$C$26+MAX($G$5-CHOOSE(PARAM!$B$44,MAX(0,N355*$F$1),0),0)*RATES!$L332/12+$H$5*(PARAM!$D$51/12)*RATES!$N332/100</f>
        <v>34.716503057972531</v>
      </c>
      <c r="N356" s="16">
        <f t="shared" si="242"/>
        <v>40.13787982179899</v>
      </c>
      <c r="O356" s="15">
        <f t="shared" si="243"/>
        <v>22.170849845882874</v>
      </c>
      <c r="P356" s="75">
        <f>O356*(1-PARAM!$C$27)*$I$6+(MOD($B356,60)=PARAM!$B$56)*($B356&gt;(60-PARAM!$B$56))*HLOOKUP(($B356+PARAM!$B$56)/12,Loyalty,2)*$F$1*MAX(R355,0)</f>
        <v>18.557001321003963</v>
      </c>
      <c r="Q356" s="75">
        <f>PARAM!$C$26+MAX($G$6-CHOOSE(PARAM!$B$44,MAX(0,R355*$F$1),0),0)*RATES!$L332/12+$H$6*(PARAM!$D$51/12)*RATES!$N332/100</f>
        <v>34.716503057972531</v>
      </c>
      <c r="R356" s="16">
        <f t="shared" si="244"/>
        <v>40.13787982179899</v>
      </c>
      <c r="S356" s="15">
        <f t="shared" si="219"/>
        <v>22.170849845882874</v>
      </c>
      <c r="T356" s="75">
        <f>S356*(1-PARAM!$C$27)*$I$7+(MOD($B356,60)=PARAM!$B$56)*($B356&gt;(60-PARAM!$B$56))*HLOOKUP(($B356+PARAM!$B$56)/12,Loyalty,2)*$F$1*MAX(V355,0)</f>
        <v>18.557001321003963</v>
      </c>
      <c r="U356" s="75">
        <f>PARAM!$C$26+MAX($G$7-CHOOSE(PARAM!$B$44,MAX(0,V355*$F$1),0),0)*RATES!$L332/12+$H$7*(PARAM!$D$51/12)*RATES!$N332/100</f>
        <v>34.716503057972531</v>
      </c>
      <c r="V356" s="16">
        <f t="shared" si="245"/>
        <v>40.13787982179899</v>
      </c>
      <c r="W356" s="15">
        <f t="shared" si="220"/>
        <v>22.170849845882874</v>
      </c>
      <c r="X356" s="75">
        <f>W356*(1-PARAM!$C$27)*$I$8+(MOD($B356,60)=PARAM!$B$56)*($B356&gt;(60-PARAM!$B$56))*HLOOKUP(($B356+PARAM!$B$56)/12,Loyalty,2)*$F$1*MAX(Z355,0)</f>
        <v>18.557001321003963</v>
      </c>
      <c r="Y356" s="75">
        <f>PARAM!$C$26+MAX($G$8-CHOOSE(PARAM!$B$44,MAX(0,Z355*$F$1),0),0)*RATES!$L332/12+$H$8*(PARAM!$D$51/12)*RATES!$N332/100</f>
        <v>34.716503057972531</v>
      </c>
      <c r="Z356" s="16">
        <f t="shared" si="246"/>
        <v>40.13787982179899</v>
      </c>
      <c r="AA356" s="15">
        <f t="shared" si="221"/>
        <v>22.170849845882874</v>
      </c>
      <c r="AB356" s="75">
        <f>AA356*(1-PARAM!$C$27)*$I$9+(MOD($B356,60)=PARAM!$B$56)*($B356&gt;(60-PARAM!$B$56))*HLOOKUP(($B356+PARAM!$B$56)/12,Loyalty,2)*$F$1*MAX(AD355,0)</f>
        <v>18.557001321003963</v>
      </c>
      <c r="AC356" s="75">
        <f>PARAM!$C$26+MAX($G$9-CHOOSE(PARAM!$B$44,MAX(0,AD355*$F$1),0),0)*RATES!$L332/12+$H$9*(PARAM!$D$51/12)*RATES!$N332/100</f>
        <v>34.716503057972531</v>
      </c>
      <c r="AD356" s="16">
        <f t="shared" si="247"/>
        <v>40.13787982179899</v>
      </c>
      <c r="AE356" s="15">
        <f t="shared" si="222"/>
        <v>22.170849845882874</v>
      </c>
      <c r="AF356" s="75">
        <f>AE356*(1-PARAM!$C$27)*$I$10+(MOD($B356,60)=PARAM!$B$56)*($B356&gt;(60-PARAM!$B$56))*HLOOKUP(($B356+PARAM!$B$56)/12,Loyalty,2)*$F$1*MAX(AH355,0)</f>
        <v>18.557001321003963</v>
      </c>
      <c r="AG356" s="75">
        <f>PARAM!$C$26+MAX($G$10-CHOOSE(PARAM!$B$44,MAX(0,AH355*$F$1),0),0)*RATES!$L332/12+$H$10*(PARAM!$D$51/12)*RATES!$N332/100</f>
        <v>34.716503057972531</v>
      </c>
      <c r="AH356" s="16">
        <f t="shared" si="248"/>
        <v>40.13787982179899</v>
      </c>
      <c r="AI356" s="15">
        <f t="shared" si="223"/>
        <v>22.170849845882874</v>
      </c>
      <c r="AJ356" s="75">
        <f>AI356*(1-PARAM!$C$27)*$I$11+(MOD($B356,60)=PARAM!$B$56)*($B356&gt;(60-PARAM!$B$56))*HLOOKUP(($B356+PARAM!$B$56)/12,Loyalty,2)*$F$1*MAX(AL355,0)</f>
        <v>18.557001321003963</v>
      </c>
      <c r="AK356" s="75">
        <f>PARAM!$C$26+MAX($G$11-CHOOSE(PARAM!$B$44,MAX(0,AL355*$F$1),0),0)*RATES!$L332/12+$H$11*(PARAM!$D$51/12)*RATES!$N332/100</f>
        <v>34.716503057972531</v>
      </c>
      <c r="AL356" s="16">
        <f t="shared" si="249"/>
        <v>40.13787982179899</v>
      </c>
      <c r="AM356" s="15">
        <f t="shared" si="224"/>
        <v>22.170849845882874</v>
      </c>
      <c r="AN356" s="75">
        <f>AM356*(1-PARAM!$C$27)*$I$12+(MOD($B356,60)=PARAM!$B$56)*($B356&gt;(60-PARAM!$B$56))*HLOOKUP(($B356+PARAM!$B$56)/12,Loyalty,2)*$F$1*MAX(AP355,0)</f>
        <v>18.557001321003963</v>
      </c>
      <c r="AO356" s="75">
        <f>PARAM!$C$26+MAX($G$12-CHOOSE(PARAM!$B$44,MAX(0,AP355*$F$1),0),0)*RATES!$L332/12+$H$12*(PARAM!$D$51/12)*RATES!$N332/100</f>
        <v>34.716503057972531</v>
      </c>
      <c r="AP356" s="16">
        <f t="shared" si="250"/>
        <v>40.13787982179899</v>
      </c>
      <c r="AQ356" s="15">
        <f t="shared" si="225"/>
        <v>22.170849845882874</v>
      </c>
      <c r="AR356" s="75">
        <f>AQ356*(1-PARAM!$C$27)*$I$13+(MOD($B356,60)=PARAM!$B$56)*($B356&gt;(60-PARAM!$B$56))*HLOOKUP(($B356+PARAM!$B$56)/12,Loyalty,2)*$F$1*MAX(AT355,0)</f>
        <v>18.557001321003963</v>
      </c>
      <c r="AS356" s="75">
        <f>PARAM!$C$26+MAX($G$13-CHOOSE(PARAM!$B$44,MAX(0,AT355*$F$1),0),0)*RATES!$L332/12+$H$13*(PARAM!$D$51/12)*RATES!$N332/100</f>
        <v>34.716503057972531</v>
      </c>
      <c r="AT356" s="16">
        <f t="shared" si="251"/>
        <v>40.13787982179899</v>
      </c>
      <c r="AU356" s="15">
        <f t="shared" si="226"/>
        <v>22.170849845882874</v>
      </c>
      <c r="AV356" s="75">
        <f>AU356*(1-PARAM!$C$27)*$I$14+(MOD($B356,60)=PARAM!$B$56)*($B356&gt;(60-PARAM!$B$56))*HLOOKUP(($B356+PARAM!$B$56)/12,Loyalty,2)*$F$1*MAX(AX355,0)</f>
        <v>18.557001321003963</v>
      </c>
      <c r="AW356" s="75">
        <f>PARAM!$C$26+MAX($G$14-CHOOSE(PARAM!$B$44,MAX(0,AX355*$F$1),0),0)*RATES!$L332/12+$H$14*(PARAM!$D$51/12)*RATES!$N332/100</f>
        <v>34.716503057972531</v>
      </c>
      <c r="AX356" s="16">
        <f t="shared" si="252"/>
        <v>40.13787982179899</v>
      </c>
      <c r="AY356" s="15">
        <f t="shared" si="227"/>
        <v>22.170849845882874</v>
      </c>
      <c r="AZ356" s="75">
        <f>AY356*(1-PARAM!$C$27)*$I$15+(MOD($B356,60)=PARAM!$B$56)*($B356&gt;(60-PARAM!$B$56))*HLOOKUP(($B356+PARAM!$B$56)/12,Loyalty,2)*$F$1*MAX(BB355,0)</f>
        <v>18.557001321003963</v>
      </c>
      <c r="BA356" s="75">
        <f>PARAM!$C$26+MAX($G$15-CHOOSE(PARAM!$B$44,MAX(0,BB355*$F$1),0),0)*RATES!$L332/12+$H$15*(PARAM!$D$51/12)*RATES!$N332/100</f>
        <v>34.716503057972531</v>
      </c>
      <c r="BB356" s="16">
        <f t="shared" si="253"/>
        <v>40.13787982179899</v>
      </c>
      <c r="BC356" s="15">
        <f t="shared" si="228"/>
        <v>22.170849845882874</v>
      </c>
      <c r="BD356" s="75">
        <f>BC356*(1-PARAM!$C$27)*$I$16+(MOD($B356,60)=PARAM!$B$56)*($B356&gt;(60-PARAM!$B$56))*HLOOKUP(($B356+PARAM!$B$56)/12,Loyalty,2)*$F$1*MAX(BF355,0)</f>
        <v>18.557001321003963</v>
      </c>
      <c r="BE356" s="75">
        <f>PARAM!$C$26+MAX($G$16-CHOOSE(PARAM!$B$44,MAX(0,BF355*$F$1),0),0)*RATES!$L332/12+$H$16*(PARAM!$D$51/12)*RATES!$N332/100</f>
        <v>34.716503057972531</v>
      </c>
      <c r="BF356" s="16">
        <f t="shared" si="254"/>
        <v>40.13787982179899</v>
      </c>
      <c r="BG356" s="15">
        <f t="shared" si="229"/>
        <v>22.170849845882874</v>
      </c>
      <c r="BH356" s="75">
        <f>BG356*(1-PARAM!$C$27)*$I$17+(MOD($B356,60)=PARAM!$B$56)*($B356&gt;(60-PARAM!$B$56))*HLOOKUP(($B356+PARAM!$B$56)/12,Loyalty,2)*$F$1*MAX(BJ355,0)</f>
        <v>18.557001321003963</v>
      </c>
      <c r="BI356" s="75">
        <f>PARAM!$C$26+MAX($G$17-CHOOSE(PARAM!$B$44,MAX(0,BJ355*$F$1),0),0)*RATES!$L332/12+$H$17*(PARAM!$D$51/12)*RATES!$N332/100</f>
        <v>34.716503057972531</v>
      </c>
      <c r="BJ356" s="16">
        <f t="shared" si="255"/>
        <v>40.13787982179899</v>
      </c>
      <c r="BK356" s="15">
        <f t="shared" si="230"/>
        <v>22.170849845882874</v>
      </c>
      <c r="BL356" s="75">
        <f>BK356*(1-PARAM!$C$27)*$I$18+(MOD($B356,60)=PARAM!$B$56)*($B356&gt;(60-PARAM!$B$56))*HLOOKUP(($B356+PARAM!$B$56)/12,Loyalty,2)*$F$1*MAX(BN355,0)</f>
        <v>18.557001321003963</v>
      </c>
      <c r="BM356" s="75">
        <f>PARAM!$C$26+MAX($G$18-CHOOSE(PARAM!$B$44,MAX(0,BN355*$F$1),0),0)*RATES!$L332/12+$H$18*(PARAM!$D$51/12)*RATES!$N332/100</f>
        <v>34.716503057972531</v>
      </c>
      <c r="BN356" s="16">
        <f t="shared" si="256"/>
        <v>40.13787982179899</v>
      </c>
      <c r="BO356" s="15">
        <f t="shared" si="231"/>
        <v>22.170849845882874</v>
      </c>
      <c r="BP356" s="75">
        <f>BO356*(1-PARAM!$C$27)*$I$19+(MOD($B356,60)=PARAM!$B$56)*($B356&gt;(60-PARAM!$B$56))*HLOOKUP(($B356+PARAM!$B$56)/12,Loyalty,2)*$F$1*MAX(BR355,0)</f>
        <v>18.557001321003963</v>
      </c>
      <c r="BQ356" s="75">
        <f>PARAM!$C$26+MAX($G$19-CHOOSE(PARAM!$B$44,MAX(0,BR355*$F$1),0),0)*RATES!$L332/12+$H$19*(PARAM!$D$51/12)*RATES!$N332/100</f>
        <v>34.716503057972531</v>
      </c>
      <c r="BR356" s="16">
        <f t="shared" si="257"/>
        <v>40.13787982179899</v>
      </c>
      <c r="BS356" s="15">
        <f t="shared" si="232"/>
        <v>22.170849845882874</v>
      </c>
      <c r="BT356" s="75">
        <f>BS356*(1-PARAM!$C$27)*$I$20+(MOD($B356,60)=PARAM!$B$56)*($B356&gt;(60-PARAM!$B$56))*HLOOKUP(($B356+PARAM!$B$56)/12,Loyalty,2)*$F$1*MAX(BV355,0)</f>
        <v>18.557001321003963</v>
      </c>
      <c r="BU356" s="75">
        <f>PARAM!$C$26+MAX($G$20-CHOOSE(PARAM!$B$44,MAX(0,BV355*$F$1),0),0)*RATES!$L332/12+$H$20*(PARAM!$D$51/12)*RATES!$N332/100</f>
        <v>34.716503057972531</v>
      </c>
      <c r="BV356" s="16">
        <f t="shared" si="258"/>
        <v>40.13787982179899</v>
      </c>
      <c r="BW356" s="15">
        <f t="shared" si="233"/>
        <v>22.170849845882874</v>
      </c>
      <c r="BX356" s="75">
        <f>BW356*(1-PARAM!$C$27)*$I$21+(MOD($B356,60)=PARAM!$B$56)*($B356&gt;(60-PARAM!$B$56))*HLOOKUP(($B356+PARAM!$B$56)/12,Loyalty,2)*$F$1*MAX(BZ355,0)</f>
        <v>18.557001321003963</v>
      </c>
      <c r="BY356" s="75">
        <f>PARAM!$C$26+MAX($G$21-CHOOSE(PARAM!$B$44,MAX(0,BZ355*$F$1),0),0)*RATES!$L332/12+$H$21*(PARAM!$D$51/12)*RATES!$N332/100</f>
        <v>34.716503057972531</v>
      </c>
      <c r="BZ356" s="16">
        <f t="shared" si="259"/>
        <v>40.13787982179899</v>
      </c>
      <c r="CA356" s="15">
        <f t="shared" si="234"/>
        <v>22.170849845882874</v>
      </c>
      <c r="CB356" s="75">
        <f>CA356*(1-PARAM!$C$27)*$I$22+(MOD($B356,60)=PARAM!$B$56)*($B356&gt;(60-PARAM!$B$56))*HLOOKUP(($B356+PARAM!$B$56)/12,Loyalty,2)*$F$1*MAX(CD355,0)</f>
        <v>18.557001321003963</v>
      </c>
      <c r="CC356" s="75">
        <f>PARAM!$C$26+MAX($G$22-CHOOSE(PARAM!$B$44,MAX(0,CD355*$F$1),0),0)*RATES!$L332/12+$H$22*(PARAM!$D$51/12)*RATES!$N332/100</f>
        <v>34.716503057972531</v>
      </c>
      <c r="CD356" s="16">
        <f t="shared" si="260"/>
        <v>40.13787982179899</v>
      </c>
      <c r="CE356" s="33">
        <f>IF(0=MOD(B356,12/PARAM!$D$51),1,0)</f>
        <v>1</v>
      </c>
      <c r="CF356" s="15">
        <f t="shared" si="235"/>
        <v>0</v>
      </c>
      <c r="CG356" s="75">
        <f>CF356*(1-PARAM!$C$27)*$R$3+(MOD($B356/12,5)=0)*($B356&gt;60)*HLOOKUP($B356/12,Loyalty,2)*$F$1*MAX(CI355,0)</f>
        <v>0</v>
      </c>
      <c r="CH356" s="75">
        <f>PARAM!$C$26+MAX($P$3-CHOOSE(PARAM!$B$44,MAX(0,CI355*$F$1),0),0)*RATES!$L332/12+$Q$3*(PARAM!$D$51/12)*RATES!$N332/100</f>
        <v>34.75</v>
      </c>
      <c r="CI356" s="16">
        <f>IF(CI355&gt;0,CI355*PARAM!$C$53,CI355)+CG356-CH356</f>
        <v>-5945.4999999999927</v>
      </c>
      <c r="CJ356" s="15">
        <f t="shared" si="261"/>
        <v>0</v>
      </c>
      <c r="CK356" s="75">
        <f>CJ356*(1-PARAM!$C$27)*$R$4+(MOD($B356/12,5)=0)*($B356&gt;60)*HLOOKUP($B356/12,Loyalty,2)*$F$1*MAX(CM355,0)</f>
        <v>0</v>
      </c>
      <c r="CL356" s="75">
        <f>PARAM!$C$26+MAX($P$4-CHOOSE(PARAM!$B$44,MAX(0,CM355*$F$1),0),0)*RATES!$L332/12+$Q$4*(PARAM!$D$51/12)*RATES!$N332/100</f>
        <v>34.75</v>
      </c>
      <c r="CM356" s="16">
        <f>IF(CM355&gt;0,CM355*PARAM!$C$53,CM355)+CK356-CL356</f>
        <v>-5945.4999999999927</v>
      </c>
      <c r="CO356" s="176"/>
    </row>
    <row r="357" spans="1:93" x14ac:dyDescent="0.2">
      <c r="A357" t="b">
        <f t="shared" si="236"/>
        <v>0</v>
      </c>
      <c r="B357" s="33">
        <v>330</v>
      </c>
      <c r="C357" s="15">
        <f t="shared" si="237"/>
        <v>20.081305947392778</v>
      </c>
      <c r="D357" s="75">
        <f>C357*(1-PARAM!$C$27)*$I$3+(MOD($B357,60)=PARAM!$B$56)*($B357&gt;(60-PARAM!$B$56))*HLOOKUP(($B357+PARAM!$B$56)/12,Loyalty,2)*$F$1*MAX(F356,0)</f>
        <v>16.808053077967756</v>
      </c>
      <c r="E357" s="75">
        <f>PARAM!$C$26+MAX($G$3-CHOOSE(PARAM!$B$44,MAX(0,F356*$F$1),0),0)*RATES!$L333/12+$H$3*(PARAM!$D$51/12)*RATES!$N333/100</f>
        <v>38.208333333333336</v>
      </c>
      <c r="F357" s="16">
        <f t="shared" si="238"/>
        <v>-593.47600900770817</v>
      </c>
      <c r="G357" s="15">
        <f t="shared" si="239"/>
        <v>22.035289406060361</v>
      </c>
      <c r="H357" s="75">
        <f>G357*(1-PARAM!$C$27)*$I$4+(MOD($B357,60)=PARAM!$B$56)*($B357&gt;(60-PARAM!$B$56))*HLOOKUP(($B357+PARAM!$B$56)/12,Loyalty,2)*$F$1*MAX(J356,0)</f>
        <v>18.443537232872522</v>
      </c>
      <c r="I357" s="75">
        <f>PARAM!$C$26+MAX($G$4-CHOOSE(PARAM!$B$44,MAX(0,J356*$F$1),0),0)*RATES!$L333/12+$H$4*(PARAM!$D$51/12)*RATES!$N333/100</f>
        <v>38.208333333333336</v>
      </c>
      <c r="J357" s="16">
        <f t="shared" si="240"/>
        <v>-19.93327376742657</v>
      </c>
      <c r="K357" s="15">
        <f t="shared" si="241"/>
        <v>22.170849845882874</v>
      </c>
      <c r="L357" s="75">
        <f>K357*(1-PARAM!$C$27)*$I$5+(MOD($B357,60)=PARAM!$B$56)*($B357&gt;(60-PARAM!$B$56))*HLOOKUP(($B357+PARAM!$B$56)/12,Loyalty,2)*$F$1*MAX(N356,0)</f>
        <v>18.557001321003963</v>
      </c>
      <c r="M357" s="75">
        <f>PARAM!$C$26+MAX($G$5-CHOOSE(PARAM!$B$44,MAX(0,N356*$F$1),0),0)*RATES!$L333/12+$H$5*(PARAM!$D$51/12)*RATES!$N333/100</f>
        <v>38.181675091485019</v>
      </c>
      <c r="N357" s="16">
        <f t="shared" si="242"/>
        <v>20.513206051317937</v>
      </c>
      <c r="O357" s="15">
        <f t="shared" si="243"/>
        <v>22.170849845882874</v>
      </c>
      <c r="P357" s="75">
        <f>O357*(1-PARAM!$C$27)*$I$6+(MOD($B357,60)=PARAM!$B$56)*($B357&gt;(60-PARAM!$B$56))*HLOOKUP(($B357+PARAM!$B$56)/12,Loyalty,2)*$F$1*MAX(R356,0)</f>
        <v>18.557001321003963</v>
      </c>
      <c r="Q357" s="75">
        <f>PARAM!$C$26+MAX($G$6-CHOOSE(PARAM!$B$44,MAX(0,R356*$F$1),0),0)*RATES!$L333/12+$H$6*(PARAM!$D$51/12)*RATES!$N333/100</f>
        <v>38.181675091485019</v>
      </c>
      <c r="R357" s="16">
        <f t="shared" si="244"/>
        <v>20.513206051317937</v>
      </c>
      <c r="S357" s="15">
        <f t="shared" si="219"/>
        <v>22.170849845882874</v>
      </c>
      <c r="T357" s="75">
        <f>S357*(1-PARAM!$C$27)*$I$7+(MOD($B357,60)=PARAM!$B$56)*($B357&gt;(60-PARAM!$B$56))*HLOOKUP(($B357+PARAM!$B$56)/12,Loyalty,2)*$F$1*MAX(V356,0)</f>
        <v>18.557001321003963</v>
      </c>
      <c r="U357" s="75">
        <f>PARAM!$C$26+MAX($G$7-CHOOSE(PARAM!$B$44,MAX(0,V356*$F$1),0),0)*RATES!$L333/12+$H$7*(PARAM!$D$51/12)*RATES!$N333/100</f>
        <v>38.181675091485019</v>
      </c>
      <c r="V357" s="16">
        <f t="shared" si="245"/>
        <v>20.513206051317937</v>
      </c>
      <c r="W357" s="15">
        <f t="shared" si="220"/>
        <v>22.170849845882874</v>
      </c>
      <c r="X357" s="75">
        <f>W357*(1-PARAM!$C$27)*$I$8+(MOD($B357,60)=PARAM!$B$56)*($B357&gt;(60-PARAM!$B$56))*HLOOKUP(($B357+PARAM!$B$56)/12,Loyalty,2)*$F$1*MAX(Z356,0)</f>
        <v>18.557001321003963</v>
      </c>
      <c r="Y357" s="75">
        <f>PARAM!$C$26+MAX($G$8-CHOOSE(PARAM!$B$44,MAX(0,Z356*$F$1),0),0)*RATES!$L333/12+$H$8*(PARAM!$D$51/12)*RATES!$N333/100</f>
        <v>38.181675091485019</v>
      </c>
      <c r="Z357" s="16">
        <f t="shared" si="246"/>
        <v>20.513206051317937</v>
      </c>
      <c r="AA357" s="15">
        <f t="shared" si="221"/>
        <v>22.170849845882874</v>
      </c>
      <c r="AB357" s="75">
        <f>AA357*(1-PARAM!$C$27)*$I$9+(MOD($B357,60)=PARAM!$B$56)*($B357&gt;(60-PARAM!$B$56))*HLOOKUP(($B357+PARAM!$B$56)/12,Loyalty,2)*$F$1*MAX(AD356,0)</f>
        <v>18.557001321003963</v>
      </c>
      <c r="AC357" s="75">
        <f>PARAM!$C$26+MAX($G$9-CHOOSE(PARAM!$B$44,MAX(0,AD356*$F$1),0),0)*RATES!$L333/12+$H$9*(PARAM!$D$51/12)*RATES!$N333/100</f>
        <v>38.181675091485019</v>
      </c>
      <c r="AD357" s="16">
        <f t="shared" si="247"/>
        <v>20.513206051317937</v>
      </c>
      <c r="AE357" s="15">
        <f t="shared" si="222"/>
        <v>22.170849845882874</v>
      </c>
      <c r="AF357" s="75">
        <f>AE357*(1-PARAM!$C$27)*$I$10+(MOD($B357,60)=PARAM!$B$56)*($B357&gt;(60-PARAM!$B$56))*HLOOKUP(($B357+PARAM!$B$56)/12,Loyalty,2)*$F$1*MAX(AH356,0)</f>
        <v>18.557001321003963</v>
      </c>
      <c r="AG357" s="75">
        <f>PARAM!$C$26+MAX($G$10-CHOOSE(PARAM!$B$44,MAX(0,AH356*$F$1),0),0)*RATES!$L333/12+$H$10*(PARAM!$D$51/12)*RATES!$N333/100</f>
        <v>38.181675091485019</v>
      </c>
      <c r="AH357" s="16">
        <f t="shared" si="248"/>
        <v>20.513206051317937</v>
      </c>
      <c r="AI357" s="15">
        <f t="shared" si="223"/>
        <v>22.170849845882874</v>
      </c>
      <c r="AJ357" s="75">
        <f>AI357*(1-PARAM!$C$27)*$I$11+(MOD($B357,60)=PARAM!$B$56)*($B357&gt;(60-PARAM!$B$56))*HLOOKUP(($B357+PARAM!$B$56)/12,Loyalty,2)*$F$1*MAX(AL356,0)</f>
        <v>18.557001321003963</v>
      </c>
      <c r="AK357" s="75">
        <f>PARAM!$C$26+MAX($G$11-CHOOSE(PARAM!$B$44,MAX(0,AL356*$F$1),0),0)*RATES!$L333/12+$H$11*(PARAM!$D$51/12)*RATES!$N333/100</f>
        <v>38.181675091485019</v>
      </c>
      <c r="AL357" s="16">
        <f t="shared" si="249"/>
        <v>20.513206051317937</v>
      </c>
      <c r="AM357" s="15">
        <f t="shared" si="224"/>
        <v>22.170849845882874</v>
      </c>
      <c r="AN357" s="75">
        <f>AM357*(1-PARAM!$C$27)*$I$12+(MOD($B357,60)=PARAM!$B$56)*($B357&gt;(60-PARAM!$B$56))*HLOOKUP(($B357+PARAM!$B$56)/12,Loyalty,2)*$F$1*MAX(AP356,0)</f>
        <v>18.557001321003963</v>
      </c>
      <c r="AO357" s="75">
        <f>PARAM!$C$26+MAX($G$12-CHOOSE(PARAM!$B$44,MAX(0,AP356*$F$1),0),0)*RATES!$L333/12+$H$12*(PARAM!$D$51/12)*RATES!$N333/100</f>
        <v>38.181675091485019</v>
      </c>
      <c r="AP357" s="16">
        <f t="shared" si="250"/>
        <v>20.513206051317937</v>
      </c>
      <c r="AQ357" s="15">
        <f t="shared" si="225"/>
        <v>22.170849845882874</v>
      </c>
      <c r="AR357" s="75">
        <f>AQ357*(1-PARAM!$C$27)*$I$13+(MOD($B357,60)=PARAM!$B$56)*($B357&gt;(60-PARAM!$B$56))*HLOOKUP(($B357+PARAM!$B$56)/12,Loyalty,2)*$F$1*MAX(AT356,0)</f>
        <v>18.557001321003963</v>
      </c>
      <c r="AS357" s="75">
        <f>PARAM!$C$26+MAX($G$13-CHOOSE(PARAM!$B$44,MAX(0,AT356*$F$1),0),0)*RATES!$L333/12+$H$13*(PARAM!$D$51/12)*RATES!$N333/100</f>
        <v>38.181675091485019</v>
      </c>
      <c r="AT357" s="16">
        <f t="shared" si="251"/>
        <v>20.513206051317937</v>
      </c>
      <c r="AU357" s="15">
        <f t="shared" si="226"/>
        <v>22.170849845882874</v>
      </c>
      <c r="AV357" s="75">
        <f>AU357*(1-PARAM!$C$27)*$I$14+(MOD($B357,60)=PARAM!$B$56)*($B357&gt;(60-PARAM!$B$56))*HLOOKUP(($B357+PARAM!$B$56)/12,Loyalty,2)*$F$1*MAX(AX356,0)</f>
        <v>18.557001321003963</v>
      </c>
      <c r="AW357" s="75">
        <f>PARAM!$C$26+MAX($G$14-CHOOSE(PARAM!$B$44,MAX(0,AX356*$F$1),0),0)*RATES!$L333/12+$H$14*(PARAM!$D$51/12)*RATES!$N333/100</f>
        <v>38.181675091485019</v>
      </c>
      <c r="AX357" s="16">
        <f t="shared" si="252"/>
        <v>20.513206051317937</v>
      </c>
      <c r="AY357" s="15">
        <f t="shared" si="227"/>
        <v>22.170849845882874</v>
      </c>
      <c r="AZ357" s="75">
        <f>AY357*(1-PARAM!$C$27)*$I$15+(MOD($B357,60)=PARAM!$B$56)*($B357&gt;(60-PARAM!$B$56))*HLOOKUP(($B357+PARAM!$B$56)/12,Loyalty,2)*$F$1*MAX(BB356,0)</f>
        <v>18.557001321003963</v>
      </c>
      <c r="BA357" s="75">
        <f>PARAM!$C$26+MAX($G$15-CHOOSE(PARAM!$B$44,MAX(0,BB356*$F$1),0),0)*RATES!$L333/12+$H$15*(PARAM!$D$51/12)*RATES!$N333/100</f>
        <v>38.181675091485019</v>
      </c>
      <c r="BB357" s="16">
        <f t="shared" si="253"/>
        <v>20.513206051317937</v>
      </c>
      <c r="BC357" s="15">
        <f t="shared" si="228"/>
        <v>22.170849845882874</v>
      </c>
      <c r="BD357" s="75">
        <f>BC357*(1-PARAM!$C$27)*$I$16+(MOD($B357,60)=PARAM!$B$56)*($B357&gt;(60-PARAM!$B$56))*HLOOKUP(($B357+PARAM!$B$56)/12,Loyalty,2)*$F$1*MAX(BF356,0)</f>
        <v>18.557001321003963</v>
      </c>
      <c r="BE357" s="75">
        <f>PARAM!$C$26+MAX($G$16-CHOOSE(PARAM!$B$44,MAX(0,BF356*$F$1),0),0)*RATES!$L333/12+$H$16*(PARAM!$D$51/12)*RATES!$N333/100</f>
        <v>38.181675091485019</v>
      </c>
      <c r="BF357" s="16">
        <f t="shared" si="254"/>
        <v>20.513206051317937</v>
      </c>
      <c r="BG357" s="15">
        <f t="shared" si="229"/>
        <v>22.170849845882874</v>
      </c>
      <c r="BH357" s="75">
        <f>BG357*(1-PARAM!$C$27)*$I$17+(MOD($B357,60)=PARAM!$B$56)*($B357&gt;(60-PARAM!$B$56))*HLOOKUP(($B357+PARAM!$B$56)/12,Loyalty,2)*$F$1*MAX(BJ356,0)</f>
        <v>18.557001321003963</v>
      </c>
      <c r="BI357" s="75">
        <f>PARAM!$C$26+MAX($G$17-CHOOSE(PARAM!$B$44,MAX(0,BJ356*$F$1),0),0)*RATES!$L333/12+$H$17*(PARAM!$D$51/12)*RATES!$N333/100</f>
        <v>38.181675091485019</v>
      </c>
      <c r="BJ357" s="16">
        <f t="shared" si="255"/>
        <v>20.513206051317937</v>
      </c>
      <c r="BK357" s="15">
        <f t="shared" si="230"/>
        <v>22.170849845882874</v>
      </c>
      <c r="BL357" s="75">
        <f>BK357*(1-PARAM!$C$27)*$I$18+(MOD($B357,60)=PARAM!$B$56)*($B357&gt;(60-PARAM!$B$56))*HLOOKUP(($B357+PARAM!$B$56)/12,Loyalty,2)*$F$1*MAX(BN356,0)</f>
        <v>18.557001321003963</v>
      </c>
      <c r="BM357" s="75">
        <f>PARAM!$C$26+MAX($G$18-CHOOSE(PARAM!$B$44,MAX(0,BN356*$F$1),0),0)*RATES!$L333/12+$H$18*(PARAM!$D$51/12)*RATES!$N333/100</f>
        <v>38.181675091485019</v>
      </c>
      <c r="BN357" s="16">
        <f t="shared" si="256"/>
        <v>20.513206051317937</v>
      </c>
      <c r="BO357" s="15">
        <f t="shared" si="231"/>
        <v>22.170849845882874</v>
      </c>
      <c r="BP357" s="75">
        <f>BO357*(1-PARAM!$C$27)*$I$19+(MOD($B357,60)=PARAM!$B$56)*($B357&gt;(60-PARAM!$B$56))*HLOOKUP(($B357+PARAM!$B$56)/12,Loyalty,2)*$F$1*MAX(BR356,0)</f>
        <v>18.557001321003963</v>
      </c>
      <c r="BQ357" s="75">
        <f>PARAM!$C$26+MAX($G$19-CHOOSE(PARAM!$B$44,MAX(0,BR356*$F$1),0),0)*RATES!$L333/12+$H$19*(PARAM!$D$51/12)*RATES!$N333/100</f>
        <v>38.181675091485019</v>
      </c>
      <c r="BR357" s="16">
        <f t="shared" si="257"/>
        <v>20.513206051317937</v>
      </c>
      <c r="BS357" s="15">
        <f t="shared" si="232"/>
        <v>22.170849845882874</v>
      </c>
      <c r="BT357" s="75">
        <f>BS357*(1-PARAM!$C$27)*$I$20+(MOD($B357,60)=PARAM!$B$56)*($B357&gt;(60-PARAM!$B$56))*HLOOKUP(($B357+PARAM!$B$56)/12,Loyalty,2)*$F$1*MAX(BV356,0)</f>
        <v>18.557001321003963</v>
      </c>
      <c r="BU357" s="75">
        <f>PARAM!$C$26+MAX($G$20-CHOOSE(PARAM!$B$44,MAX(0,BV356*$F$1),0),0)*RATES!$L333/12+$H$20*(PARAM!$D$51/12)*RATES!$N333/100</f>
        <v>38.181675091485019</v>
      </c>
      <c r="BV357" s="16">
        <f t="shared" si="258"/>
        <v>20.513206051317937</v>
      </c>
      <c r="BW357" s="15">
        <f t="shared" si="233"/>
        <v>22.170849845882874</v>
      </c>
      <c r="BX357" s="75">
        <f>BW357*(1-PARAM!$C$27)*$I$21+(MOD($B357,60)=PARAM!$B$56)*($B357&gt;(60-PARAM!$B$56))*HLOOKUP(($B357+PARAM!$B$56)/12,Loyalty,2)*$F$1*MAX(BZ356,0)</f>
        <v>18.557001321003963</v>
      </c>
      <c r="BY357" s="75">
        <f>PARAM!$C$26+MAX($G$21-CHOOSE(PARAM!$B$44,MAX(0,BZ356*$F$1),0),0)*RATES!$L333/12+$H$21*(PARAM!$D$51/12)*RATES!$N333/100</f>
        <v>38.181675091485019</v>
      </c>
      <c r="BZ357" s="16">
        <f t="shared" si="259"/>
        <v>20.513206051317937</v>
      </c>
      <c r="CA357" s="15">
        <f t="shared" si="234"/>
        <v>22.170849845882874</v>
      </c>
      <c r="CB357" s="75">
        <f>CA357*(1-PARAM!$C$27)*$I$22+(MOD($B357,60)=PARAM!$B$56)*($B357&gt;(60-PARAM!$B$56))*HLOOKUP(($B357+PARAM!$B$56)/12,Loyalty,2)*$F$1*MAX(CD356,0)</f>
        <v>18.557001321003963</v>
      </c>
      <c r="CC357" s="75">
        <f>PARAM!$C$26+MAX($G$22-CHOOSE(PARAM!$B$44,MAX(0,CD356*$F$1),0),0)*RATES!$L333/12+$H$22*(PARAM!$D$51/12)*RATES!$N333/100</f>
        <v>38.181675091485019</v>
      </c>
      <c r="CD357" s="16">
        <f t="shared" si="260"/>
        <v>20.513206051317937</v>
      </c>
      <c r="CE357" s="33">
        <f>IF(0=MOD(B357,12/PARAM!$D$51),1,0)</f>
        <v>1</v>
      </c>
      <c r="CF357" s="15">
        <f t="shared" si="235"/>
        <v>0</v>
      </c>
      <c r="CG357" s="75">
        <f>CF357*(1-PARAM!$C$27)*$R$3+(MOD($B357/12,5)=0)*($B357&gt;60)*HLOOKUP($B357/12,Loyalty,2)*$F$1*MAX(CI356,0)</f>
        <v>0</v>
      </c>
      <c r="CH357" s="75">
        <f>PARAM!$C$26+MAX($P$3-CHOOSE(PARAM!$B$44,MAX(0,CI356*$F$1),0),0)*RATES!$L333/12+$Q$3*(PARAM!$D$51/12)*RATES!$N333/100</f>
        <v>38.208333333333336</v>
      </c>
      <c r="CI357" s="16">
        <f>IF(CI356&gt;0,CI356*PARAM!$C$53,CI356)+CG357-CH357</f>
        <v>-5983.7083333333258</v>
      </c>
      <c r="CJ357" s="15">
        <f t="shared" si="261"/>
        <v>0</v>
      </c>
      <c r="CK357" s="75">
        <f>CJ357*(1-PARAM!$C$27)*$R$4+(MOD($B357/12,5)=0)*($B357&gt;60)*HLOOKUP($B357/12,Loyalty,2)*$F$1*MAX(CM356,0)</f>
        <v>0</v>
      </c>
      <c r="CL357" s="75">
        <f>PARAM!$C$26+MAX($P$4-CHOOSE(PARAM!$B$44,MAX(0,CM356*$F$1),0),0)*RATES!$L333/12+$Q$4*(PARAM!$D$51/12)*RATES!$N333/100</f>
        <v>38.208333333333336</v>
      </c>
      <c r="CM357" s="16">
        <f>IF(CM356&gt;0,CM356*PARAM!$C$53,CM356)+CK357-CL357</f>
        <v>-5983.7083333333258</v>
      </c>
      <c r="CO357" s="176"/>
    </row>
    <row r="358" spans="1:93" x14ac:dyDescent="0.2">
      <c r="A358" t="b">
        <f t="shared" si="236"/>
        <v>0</v>
      </c>
      <c r="B358" s="33">
        <v>331</v>
      </c>
      <c r="C358" s="15">
        <f t="shared" si="237"/>
        <v>20.081305947392778</v>
      </c>
      <c r="D358" s="75">
        <f>C358*(1-PARAM!$C$27)*$I$3+(MOD($B358,60)=PARAM!$B$56)*($B358&gt;(60-PARAM!$B$56))*HLOOKUP(($B358+PARAM!$B$56)/12,Loyalty,2)*$F$1*MAX(F357,0)</f>
        <v>16.808053077967756</v>
      </c>
      <c r="E358" s="75">
        <f>PARAM!$C$26+MAX($G$3-CHOOSE(PARAM!$B$44,MAX(0,F357*$F$1),0),0)*RATES!$L334/12+$H$3*(PARAM!$D$51/12)*RATES!$N334/100</f>
        <v>38.208333333333336</v>
      </c>
      <c r="F358" s="16">
        <f t="shared" si="238"/>
        <v>-614.87628926307377</v>
      </c>
      <c r="G358" s="15">
        <f t="shared" si="239"/>
        <v>22.035289406060361</v>
      </c>
      <c r="H358" s="75">
        <f>G358*(1-PARAM!$C$27)*$I$4+(MOD($B358,60)=PARAM!$B$56)*($B358&gt;(60-PARAM!$B$56))*HLOOKUP(($B358+PARAM!$B$56)/12,Loyalty,2)*$F$1*MAX(J357,0)</f>
        <v>18.443537232872522</v>
      </c>
      <c r="I358" s="75">
        <f>PARAM!$C$26+MAX($G$4-CHOOSE(PARAM!$B$44,MAX(0,J357*$F$1),0),0)*RATES!$L334/12+$H$4*(PARAM!$D$51/12)*RATES!$N334/100</f>
        <v>38.208333333333336</v>
      </c>
      <c r="J358" s="16">
        <f t="shared" si="240"/>
        <v>-39.698069867887384</v>
      </c>
      <c r="K358" s="15">
        <f t="shared" si="241"/>
        <v>22.170849845882874</v>
      </c>
      <c r="L358" s="75">
        <f>K358*(1-PARAM!$C$27)*$I$5+(MOD($B358,60)=PARAM!$B$56)*($B358&gt;(60-PARAM!$B$56))*HLOOKUP(($B358+PARAM!$B$56)/12,Loyalty,2)*$F$1*MAX(N357,0)</f>
        <v>18.557001321003963</v>
      </c>
      <c r="M358" s="75">
        <f>PARAM!$C$26+MAX($G$5-CHOOSE(PARAM!$B$44,MAX(0,N357*$F$1),0),0)*RATES!$L334/12+$H$5*(PARAM!$D$51/12)*RATES!$N334/100</f>
        <v>38.194709145647579</v>
      </c>
      <c r="N358" s="16">
        <f t="shared" si="242"/>
        <v>0.87549822667432409</v>
      </c>
      <c r="O358" s="15">
        <f t="shared" si="243"/>
        <v>22.170849845882874</v>
      </c>
      <c r="P358" s="75">
        <f>O358*(1-PARAM!$C$27)*$I$6+(MOD($B358,60)=PARAM!$B$56)*($B358&gt;(60-PARAM!$B$56))*HLOOKUP(($B358+PARAM!$B$56)/12,Loyalty,2)*$F$1*MAX(R357,0)</f>
        <v>18.557001321003963</v>
      </c>
      <c r="Q358" s="75">
        <f>PARAM!$C$26+MAX($G$6-CHOOSE(PARAM!$B$44,MAX(0,R357*$F$1),0),0)*RATES!$L334/12+$H$6*(PARAM!$D$51/12)*RATES!$N334/100</f>
        <v>38.194709145647579</v>
      </c>
      <c r="R358" s="16">
        <f t="shared" si="244"/>
        <v>0.87549822667432409</v>
      </c>
      <c r="S358" s="15">
        <f t="shared" si="219"/>
        <v>22.170849845882874</v>
      </c>
      <c r="T358" s="75">
        <f>S358*(1-PARAM!$C$27)*$I$7+(MOD($B358,60)=PARAM!$B$56)*($B358&gt;(60-PARAM!$B$56))*HLOOKUP(($B358+PARAM!$B$56)/12,Loyalty,2)*$F$1*MAX(V357,0)</f>
        <v>18.557001321003963</v>
      </c>
      <c r="U358" s="75">
        <f>PARAM!$C$26+MAX($G$7-CHOOSE(PARAM!$B$44,MAX(0,V357*$F$1),0),0)*RATES!$L334/12+$H$7*(PARAM!$D$51/12)*RATES!$N334/100</f>
        <v>38.194709145647579</v>
      </c>
      <c r="V358" s="16">
        <f t="shared" si="245"/>
        <v>0.87549822667432409</v>
      </c>
      <c r="W358" s="15">
        <f t="shared" si="220"/>
        <v>22.170849845882874</v>
      </c>
      <c r="X358" s="75">
        <f>W358*(1-PARAM!$C$27)*$I$8+(MOD($B358,60)=PARAM!$B$56)*($B358&gt;(60-PARAM!$B$56))*HLOOKUP(($B358+PARAM!$B$56)/12,Loyalty,2)*$F$1*MAX(Z357,0)</f>
        <v>18.557001321003963</v>
      </c>
      <c r="Y358" s="75">
        <f>PARAM!$C$26+MAX($G$8-CHOOSE(PARAM!$B$44,MAX(0,Z357*$F$1),0),0)*RATES!$L334/12+$H$8*(PARAM!$D$51/12)*RATES!$N334/100</f>
        <v>38.194709145647579</v>
      </c>
      <c r="Z358" s="16">
        <f t="shared" si="246"/>
        <v>0.87549822667432409</v>
      </c>
      <c r="AA358" s="15">
        <f t="shared" si="221"/>
        <v>22.170849845882874</v>
      </c>
      <c r="AB358" s="75">
        <f>AA358*(1-PARAM!$C$27)*$I$9+(MOD($B358,60)=PARAM!$B$56)*($B358&gt;(60-PARAM!$B$56))*HLOOKUP(($B358+PARAM!$B$56)/12,Loyalty,2)*$F$1*MAX(AD357,0)</f>
        <v>18.557001321003963</v>
      </c>
      <c r="AC358" s="75">
        <f>PARAM!$C$26+MAX($G$9-CHOOSE(PARAM!$B$44,MAX(0,AD357*$F$1),0),0)*RATES!$L334/12+$H$9*(PARAM!$D$51/12)*RATES!$N334/100</f>
        <v>38.194709145647579</v>
      </c>
      <c r="AD358" s="16">
        <f t="shared" si="247"/>
        <v>0.87549822667432409</v>
      </c>
      <c r="AE358" s="15">
        <f t="shared" si="222"/>
        <v>22.170849845882874</v>
      </c>
      <c r="AF358" s="75">
        <f>AE358*(1-PARAM!$C$27)*$I$10+(MOD($B358,60)=PARAM!$B$56)*($B358&gt;(60-PARAM!$B$56))*HLOOKUP(($B358+PARAM!$B$56)/12,Loyalty,2)*$F$1*MAX(AH357,0)</f>
        <v>18.557001321003963</v>
      </c>
      <c r="AG358" s="75">
        <f>PARAM!$C$26+MAX($G$10-CHOOSE(PARAM!$B$44,MAX(0,AH357*$F$1),0),0)*RATES!$L334/12+$H$10*(PARAM!$D$51/12)*RATES!$N334/100</f>
        <v>38.194709145647579</v>
      </c>
      <c r="AH358" s="16">
        <f t="shared" si="248"/>
        <v>0.87549822667432409</v>
      </c>
      <c r="AI358" s="15">
        <f t="shared" si="223"/>
        <v>22.170849845882874</v>
      </c>
      <c r="AJ358" s="75">
        <f>AI358*(1-PARAM!$C$27)*$I$11+(MOD($B358,60)=PARAM!$B$56)*($B358&gt;(60-PARAM!$B$56))*HLOOKUP(($B358+PARAM!$B$56)/12,Loyalty,2)*$F$1*MAX(AL357,0)</f>
        <v>18.557001321003963</v>
      </c>
      <c r="AK358" s="75">
        <f>PARAM!$C$26+MAX($G$11-CHOOSE(PARAM!$B$44,MAX(0,AL357*$F$1),0),0)*RATES!$L334/12+$H$11*(PARAM!$D$51/12)*RATES!$N334/100</f>
        <v>38.194709145647579</v>
      </c>
      <c r="AL358" s="16">
        <f t="shared" si="249"/>
        <v>0.87549822667432409</v>
      </c>
      <c r="AM358" s="15">
        <f t="shared" si="224"/>
        <v>22.170849845882874</v>
      </c>
      <c r="AN358" s="75">
        <f>AM358*(1-PARAM!$C$27)*$I$12+(MOD($B358,60)=PARAM!$B$56)*($B358&gt;(60-PARAM!$B$56))*HLOOKUP(($B358+PARAM!$B$56)/12,Loyalty,2)*$F$1*MAX(AP357,0)</f>
        <v>18.557001321003963</v>
      </c>
      <c r="AO358" s="75">
        <f>PARAM!$C$26+MAX($G$12-CHOOSE(PARAM!$B$44,MAX(0,AP357*$F$1),0),0)*RATES!$L334/12+$H$12*(PARAM!$D$51/12)*RATES!$N334/100</f>
        <v>38.194709145647579</v>
      </c>
      <c r="AP358" s="16">
        <f t="shared" si="250"/>
        <v>0.87549822667432409</v>
      </c>
      <c r="AQ358" s="15">
        <f t="shared" si="225"/>
        <v>22.170849845882874</v>
      </c>
      <c r="AR358" s="75">
        <f>AQ358*(1-PARAM!$C$27)*$I$13+(MOD($B358,60)=PARAM!$B$56)*($B358&gt;(60-PARAM!$B$56))*HLOOKUP(($B358+PARAM!$B$56)/12,Loyalty,2)*$F$1*MAX(AT357,0)</f>
        <v>18.557001321003963</v>
      </c>
      <c r="AS358" s="75">
        <f>PARAM!$C$26+MAX($G$13-CHOOSE(PARAM!$B$44,MAX(0,AT357*$F$1),0),0)*RATES!$L334/12+$H$13*(PARAM!$D$51/12)*RATES!$N334/100</f>
        <v>38.194709145647579</v>
      </c>
      <c r="AT358" s="16">
        <f t="shared" si="251"/>
        <v>0.87549822667432409</v>
      </c>
      <c r="AU358" s="15">
        <f t="shared" si="226"/>
        <v>22.170849845882874</v>
      </c>
      <c r="AV358" s="75">
        <f>AU358*(1-PARAM!$C$27)*$I$14+(MOD($B358,60)=PARAM!$B$56)*($B358&gt;(60-PARAM!$B$56))*HLOOKUP(($B358+PARAM!$B$56)/12,Loyalty,2)*$F$1*MAX(AX357,0)</f>
        <v>18.557001321003963</v>
      </c>
      <c r="AW358" s="75">
        <f>PARAM!$C$26+MAX($G$14-CHOOSE(PARAM!$B$44,MAX(0,AX357*$F$1),0),0)*RATES!$L334/12+$H$14*(PARAM!$D$51/12)*RATES!$N334/100</f>
        <v>38.194709145647579</v>
      </c>
      <c r="AX358" s="16">
        <f t="shared" si="252"/>
        <v>0.87549822667432409</v>
      </c>
      <c r="AY358" s="15">
        <f t="shared" si="227"/>
        <v>22.170849845882874</v>
      </c>
      <c r="AZ358" s="75">
        <f>AY358*(1-PARAM!$C$27)*$I$15+(MOD($B358,60)=PARAM!$B$56)*($B358&gt;(60-PARAM!$B$56))*HLOOKUP(($B358+PARAM!$B$56)/12,Loyalty,2)*$F$1*MAX(BB357,0)</f>
        <v>18.557001321003963</v>
      </c>
      <c r="BA358" s="75">
        <f>PARAM!$C$26+MAX($G$15-CHOOSE(PARAM!$B$44,MAX(0,BB357*$F$1),0),0)*RATES!$L334/12+$H$15*(PARAM!$D$51/12)*RATES!$N334/100</f>
        <v>38.194709145647579</v>
      </c>
      <c r="BB358" s="16">
        <f t="shared" si="253"/>
        <v>0.87549822667432409</v>
      </c>
      <c r="BC358" s="15">
        <f t="shared" si="228"/>
        <v>22.170849845882874</v>
      </c>
      <c r="BD358" s="75">
        <f>BC358*(1-PARAM!$C$27)*$I$16+(MOD($B358,60)=PARAM!$B$56)*($B358&gt;(60-PARAM!$B$56))*HLOOKUP(($B358+PARAM!$B$56)/12,Loyalty,2)*$F$1*MAX(BF357,0)</f>
        <v>18.557001321003963</v>
      </c>
      <c r="BE358" s="75">
        <f>PARAM!$C$26+MAX($G$16-CHOOSE(PARAM!$B$44,MAX(0,BF357*$F$1),0),0)*RATES!$L334/12+$H$16*(PARAM!$D$51/12)*RATES!$N334/100</f>
        <v>38.194709145647579</v>
      </c>
      <c r="BF358" s="16">
        <f t="shared" si="254"/>
        <v>0.87549822667432409</v>
      </c>
      <c r="BG358" s="15">
        <f t="shared" si="229"/>
        <v>22.170849845882874</v>
      </c>
      <c r="BH358" s="75">
        <f>BG358*(1-PARAM!$C$27)*$I$17+(MOD($B358,60)=PARAM!$B$56)*($B358&gt;(60-PARAM!$B$56))*HLOOKUP(($B358+PARAM!$B$56)/12,Loyalty,2)*$F$1*MAX(BJ357,0)</f>
        <v>18.557001321003963</v>
      </c>
      <c r="BI358" s="75">
        <f>PARAM!$C$26+MAX($G$17-CHOOSE(PARAM!$B$44,MAX(0,BJ357*$F$1),0),0)*RATES!$L334/12+$H$17*(PARAM!$D$51/12)*RATES!$N334/100</f>
        <v>38.194709145647579</v>
      </c>
      <c r="BJ358" s="16">
        <f t="shared" si="255"/>
        <v>0.87549822667432409</v>
      </c>
      <c r="BK358" s="15">
        <f t="shared" si="230"/>
        <v>22.170849845882874</v>
      </c>
      <c r="BL358" s="75">
        <f>BK358*(1-PARAM!$C$27)*$I$18+(MOD($B358,60)=PARAM!$B$56)*($B358&gt;(60-PARAM!$B$56))*HLOOKUP(($B358+PARAM!$B$56)/12,Loyalty,2)*$F$1*MAX(BN357,0)</f>
        <v>18.557001321003963</v>
      </c>
      <c r="BM358" s="75">
        <f>PARAM!$C$26+MAX($G$18-CHOOSE(PARAM!$B$44,MAX(0,BN357*$F$1),0),0)*RATES!$L334/12+$H$18*(PARAM!$D$51/12)*RATES!$N334/100</f>
        <v>38.194709145647579</v>
      </c>
      <c r="BN358" s="16">
        <f t="shared" si="256"/>
        <v>0.87549822667432409</v>
      </c>
      <c r="BO358" s="15">
        <f t="shared" si="231"/>
        <v>22.170849845882874</v>
      </c>
      <c r="BP358" s="75">
        <f>BO358*(1-PARAM!$C$27)*$I$19+(MOD($B358,60)=PARAM!$B$56)*($B358&gt;(60-PARAM!$B$56))*HLOOKUP(($B358+PARAM!$B$56)/12,Loyalty,2)*$F$1*MAX(BR357,0)</f>
        <v>18.557001321003963</v>
      </c>
      <c r="BQ358" s="75">
        <f>PARAM!$C$26+MAX($G$19-CHOOSE(PARAM!$B$44,MAX(0,BR357*$F$1),0),0)*RATES!$L334/12+$H$19*(PARAM!$D$51/12)*RATES!$N334/100</f>
        <v>38.194709145647579</v>
      </c>
      <c r="BR358" s="16">
        <f t="shared" si="257"/>
        <v>0.87549822667432409</v>
      </c>
      <c r="BS358" s="15">
        <f t="shared" si="232"/>
        <v>22.170849845882874</v>
      </c>
      <c r="BT358" s="75">
        <f>BS358*(1-PARAM!$C$27)*$I$20+(MOD($B358,60)=PARAM!$B$56)*($B358&gt;(60-PARAM!$B$56))*HLOOKUP(($B358+PARAM!$B$56)/12,Loyalty,2)*$F$1*MAX(BV357,0)</f>
        <v>18.557001321003963</v>
      </c>
      <c r="BU358" s="75">
        <f>PARAM!$C$26+MAX($G$20-CHOOSE(PARAM!$B$44,MAX(0,BV357*$F$1),0),0)*RATES!$L334/12+$H$20*(PARAM!$D$51/12)*RATES!$N334/100</f>
        <v>38.194709145647579</v>
      </c>
      <c r="BV358" s="16">
        <f t="shared" si="258"/>
        <v>0.87549822667432409</v>
      </c>
      <c r="BW358" s="15">
        <f t="shared" si="233"/>
        <v>22.170849845882874</v>
      </c>
      <c r="BX358" s="75">
        <f>BW358*(1-PARAM!$C$27)*$I$21+(MOD($B358,60)=PARAM!$B$56)*($B358&gt;(60-PARAM!$B$56))*HLOOKUP(($B358+PARAM!$B$56)/12,Loyalty,2)*$F$1*MAX(BZ357,0)</f>
        <v>18.557001321003963</v>
      </c>
      <c r="BY358" s="75">
        <f>PARAM!$C$26+MAX($G$21-CHOOSE(PARAM!$B$44,MAX(0,BZ357*$F$1),0),0)*RATES!$L334/12+$H$21*(PARAM!$D$51/12)*RATES!$N334/100</f>
        <v>38.194709145647579</v>
      </c>
      <c r="BZ358" s="16">
        <f t="shared" si="259"/>
        <v>0.87549822667432409</v>
      </c>
      <c r="CA358" s="15">
        <f t="shared" si="234"/>
        <v>22.170849845882874</v>
      </c>
      <c r="CB358" s="75">
        <f>CA358*(1-PARAM!$C$27)*$I$22+(MOD($B358,60)=PARAM!$B$56)*($B358&gt;(60-PARAM!$B$56))*HLOOKUP(($B358+PARAM!$B$56)/12,Loyalty,2)*$F$1*MAX(CD357,0)</f>
        <v>18.557001321003963</v>
      </c>
      <c r="CC358" s="75">
        <f>PARAM!$C$26+MAX($G$22-CHOOSE(PARAM!$B$44,MAX(0,CD357*$F$1),0),0)*RATES!$L334/12+$H$22*(PARAM!$D$51/12)*RATES!$N334/100</f>
        <v>38.194709145647579</v>
      </c>
      <c r="CD358" s="16">
        <f t="shared" si="260"/>
        <v>0.87549822667432409</v>
      </c>
      <c r="CE358" s="33">
        <f>IF(0=MOD(B358,12/PARAM!$D$51),1,0)</f>
        <v>1</v>
      </c>
      <c r="CF358" s="15">
        <f t="shared" si="235"/>
        <v>0</v>
      </c>
      <c r="CG358" s="75">
        <f>CF358*(1-PARAM!$C$27)*$R$3+(MOD($B358/12,5)=0)*($B358&gt;60)*HLOOKUP($B358/12,Loyalty,2)*$F$1*MAX(CI357,0)</f>
        <v>0</v>
      </c>
      <c r="CH358" s="75">
        <f>PARAM!$C$26+MAX($P$3-CHOOSE(PARAM!$B$44,MAX(0,CI357*$F$1),0),0)*RATES!$L334/12+$Q$3*(PARAM!$D$51/12)*RATES!$N334/100</f>
        <v>38.208333333333336</v>
      </c>
      <c r="CI358" s="16">
        <f>IF(CI357&gt;0,CI357*PARAM!$C$53,CI357)+CG358-CH358</f>
        <v>-6021.9166666666588</v>
      </c>
      <c r="CJ358" s="15">
        <f t="shared" si="261"/>
        <v>0</v>
      </c>
      <c r="CK358" s="75">
        <f>CJ358*(1-PARAM!$C$27)*$R$4+(MOD($B358/12,5)=0)*($B358&gt;60)*HLOOKUP($B358/12,Loyalty,2)*$F$1*MAX(CM357,0)</f>
        <v>0</v>
      </c>
      <c r="CL358" s="75">
        <f>PARAM!$C$26+MAX($P$4-CHOOSE(PARAM!$B$44,MAX(0,CM357*$F$1),0),0)*RATES!$L334/12+$Q$4*(PARAM!$D$51/12)*RATES!$N334/100</f>
        <v>38.208333333333336</v>
      </c>
      <c r="CM358" s="16">
        <f>IF(CM357&gt;0,CM357*PARAM!$C$53,CM357)+CK358-CL358</f>
        <v>-6021.9166666666588</v>
      </c>
      <c r="CO358" s="176"/>
    </row>
    <row r="359" spans="1:93" x14ac:dyDescent="0.2">
      <c r="A359" t="b">
        <f t="shared" si="236"/>
        <v>0</v>
      </c>
      <c r="B359" s="33">
        <v>332</v>
      </c>
      <c r="C359" s="15">
        <f t="shared" si="237"/>
        <v>20.081305947392778</v>
      </c>
      <c r="D359" s="75">
        <f>C359*(1-PARAM!$C$27)*$I$3+(MOD($B359,60)=PARAM!$B$56)*($B359&gt;(60-PARAM!$B$56))*HLOOKUP(($B359+PARAM!$B$56)/12,Loyalty,2)*$F$1*MAX(F358,0)</f>
        <v>16.808053077967756</v>
      </c>
      <c r="E359" s="75">
        <f>PARAM!$C$26+MAX($G$3-CHOOSE(PARAM!$B$44,MAX(0,F358*$F$1),0),0)*RATES!$L335/12+$H$3*(PARAM!$D$51/12)*RATES!$N335/100</f>
        <v>38.208333333333336</v>
      </c>
      <c r="F359" s="16">
        <f t="shared" si="238"/>
        <v>-636.27656951843937</v>
      </c>
      <c r="G359" s="15">
        <f t="shared" si="239"/>
        <v>22.035289406060361</v>
      </c>
      <c r="H359" s="75">
        <f>G359*(1-PARAM!$C$27)*$I$4+(MOD($B359,60)=PARAM!$B$56)*($B359&gt;(60-PARAM!$B$56))*HLOOKUP(($B359+PARAM!$B$56)/12,Loyalty,2)*$F$1*MAX(J358,0)</f>
        <v>18.443537232872522</v>
      </c>
      <c r="I359" s="75">
        <f>PARAM!$C$26+MAX($G$4-CHOOSE(PARAM!$B$44,MAX(0,J358*$F$1),0),0)*RATES!$L335/12+$H$4*(PARAM!$D$51/12)*RATES!$N335/100</f>
        <v>38.208333333333336</v>
      </c>
      <c r="J359" s="16">
        <f t="shared" si="240"/>
        <v>-59.462865968348197</v>
      </c>
      <c r="K359" s="15">
        <f t="shared" si="241"/>
        <v>22.170849845882874</v>
      </c>
      <c r="L359" s="75">
        <f>K359*(1-PARAM!$C$27)*$I$5+(MOD($B359,60)=PARAM!$B$56)*($B359&gt;(60-PARAM!$B$56))*HLOOKUP(($B359+PARAM!$B$56)/12,Loyalty,2)*$F$1*MAX(N358,0)</f>
        <v>18.557001321003963</v>
      </c>
      <c r="M359" s="75">
        <f>PARAM!$C$26+MAX($G$5-CHOOSE(PARAM!$B$44,MAX(0,N358*$F$1),0),0)*RATES!$L335/12+$H$5*(PARAM!$D$51/12)*RATES!$N335/100</f>
        <v>38.207751856594449</v>
      </c>
      <c r="N359" s="16">
        <f t="shared" si="242"/>
        <v>-18.775252308916162</v>
      </c>
      <c r="O359" s="15">
        <f t="shared" si="243"/>
        <v>22.170849845882874</v>
      </c>
      <c r="P359" s="75">
        <f>O359*(1-PARAM!$C$27)*$I$6+(MOD($B359,60)=PARAM!$B$56)*($B359&gt;(60-PARAM!$B$56))*HLOOKUP(($B359+PARAM!$B$56)/12,Loyalty,2)*$F$1*MAX(R358,0)</f>
        <v>18.557001321003963</v>
      </c>
      <c r="Q359" s="75">
        <f>PARAM!$C$26+MAX($G$6-CHOOSE(PARAM!$B$44,MAX(0,R358*$F$1),0),0)*RATES!$L335/12+$H$6*(PARAM!$D$51/12)*RATES!$N335/100</f>
        <v>38.207751856594449</v>
      </c>
      <c r="R359" s="16">
        <f t="shared" si="244"/>
        <v>-18.775252308916162</v>
      </c>
      <c r="S359" s="15">
        <f t="shared" si="219"/>
        <v>22.170849845882874</v>
      </c>
      <c r="T359" s="75">
        <f>S359*(1-PARAM!$C$27)*$I$7+(MOD($B359,60)=PARAM!$B$56)*($B359&gt;(60-PARAM!$B$56))*HLOOKUP(($B359+PARAM!$B$56)/12,Loyalty,2)*$F$1*MAX(V358,0)</f>
        <v>18.557001321003963</v>
      </c>
      <c r="U359" s="75">
        <f>PARAM!$C$26+MAX($G$7-CHOOSE(PARAM!$B$44,MAX(0,V358*$F$1),0),0)*RATES!$L335/12+$H$7*(PARAM!$D$51/12)*RATES!$N335/100</f>
        <v>38.207751856594449</v>
      </c>
      <c r="V359" s="16">
        <f t="shared" si="245"/>
        <v>-18.775252308916162</v>
      </c>
      <c r="W359" s="15">
        <f t="shared" si="220"/>
        <v>22.170849845882874</v>
      </c>
      <c r="X359" s="75">
        <f>W359*(1-PARAM!$C$27)*$I$8+(MOD($B359,60)=PARAM!$B$56)*($B359&gt;(60-PARAM!$B$56))*HLOOKUP(($B359+PARAM!$B$56)/12,Loyalty,2)*$F$1*MAX(Z358,0)</f>
        <v>18.557001321003963</v>
      </c>
      <c r="Y359" s="75">
        <f>PARAM!$C$26+MAX($G$8-CHOOSE(PARAM!$B$44,MAX(0,Z358*$F$1),0),0)*RATES!$L335/12+$H$8*(PARAM!$D$51/12)*RATES!$N335/100</f>
        <v>38.207751856594449</v>
      </c>
      <c r="Z359" s="16">
        <f t="shared" si="246"/>
        <v>-18.775252308916162</v>
      </c>
      <c r="AA359" s="15">
        <f t="shared" si="221"/>
        <v>22.170849845882874</v>
      </c>
      <c r="AB359" s="75">
        <f>AA359*(1-PARAM!$C$27)*$I$9+(MOD($B359,60)=PARAM!$B$56)*($B359&gt;(60-PARAM!$B$56))*HLOOKUP(($B359+PARAM!$B$56)/12,Loyalty,2)*$F$1*MAX(AD358,0)</f>
        <v>18.557001321003963</v>
      </c>
      <c r="AC359" s="75">
        <f>PARAM!$C$26+MAX($G$9-CHOOSE(PARAM!$B$44,MAX(0,AD358*$F$1),0),0)*RATES!$L335/12+$H$9*(PARAM!$D$51/12)*RATES!$N335/100</f>
        <v>38.207751856594449</v>
      </c>
      <c r="AD359" s="16">
        <f t="shared" si="247"/>
        <v>-18.775252308916162</v>
      </c>
      <c r="AE359" s="15">
        <f t="shared" si="222"/>
        <v>22.170849845882874</v>
      </c>
      <c r="AF359" s="75">
        <f>AE359*(1-PARAM!$C$27)*$I$10+(MOD($B359,60)=PARAM!$B$56)*($B359&gt;(60-PARAM!$B$56))*HLOOKUP(($B359+PARAM!$B$56)/12,Loyalty,2)*$F$1*MAX(AH358,0)</f>
        <v>18.557001321003963</v>
      </c>
      <c r="AG359" s="75">
        <f>PARAM!$C$26+MAX($G$10-CHOOSE(PARAM!$B$44,MAX(0,AH358*$F$1),0),0)*RATES!$L335/12+$H$10*(PARAM!$D$51/12)*RATES!$N335/100</f>
        <v>38.207751856594449</v>
      </c>
      <c r="AH359" s="16">
        <f t="shared" si="248"/>
        <v>-18.775252308916162</v>
      </c>
      <c r="AI359" s="15">
        <f t="shared" si="223"/>
        <v>22.170849845882874</v>
      </c>
      <c r="AJ359" s="75">
        <f>AI359*(1-PARAM!$C$27)*$I$11+(MOD($B359,60)=PARAM!$B$56)*($B359&gt;(60-PARAM!$B$56))*HLOOKUP(($B359+PARAM!$B$56)/12,Loyalty,2)*$F$1*MAX(AL358,0)</f>
        <v>18.557001321003963</v>
      </c>
      <c r="AK359" s="75">
        <f>PARAM!$C$26+MAX($G$11-CHOOSE(PARAM!$B$44,MAX(0,AL358*$F$1),0),0)*RATES!$L335/12+$H$11*(PARAM!$D$51/12)*RATES!$N335/100</f>
        <v>38.207751856594449</v>
      </c>
      <c r="AL359" s="16">
        <f t="shared" si="249"/>
        <v>-18.775252308916162</v>
      </c>
      <c r="AM359" s="15">
        <f t="shared" si="224"/>
        <v>22.170849845882874</v>
      </c>
      <c r="AN359" s="75">
        <f>AM359*(1-PARAM!$C$27)*$I$12+(MOD($B359,60)=PARAM!$B$56)*($B359&gt;(60-PARAM!$B$56))*HLOOKUP(($B359+PARAM!$B$56)/12,Loyalty,2)*$F$1*MAX(AP358,0)</f>
        <v>18.557001321003963</v>
      </c>
      <c r="AO359" s="75">
        <f>PARAM!$C$26+MAX($G$12-CHOOSE(PARAM!$B$44,MAX(0,AP358*$F$1),0),0)*RATES!$L335/12+$H$12*(PARAM!$D$51/12)*RATES!$N335/100</f>
        <v>38.207751856594449</v>
      </c>
      <c r="AP359" s="16">
        <f t="shared" si="250"/>
        <v>-18.775252308916162</v>
      </c>
      <c r="AQ359" s="15">
        <f t="shared" si="225"/>
        <v>22.170849845882874</v>
      </c>
      <c r="AR359" s="75">
        <f>AQ359*(1-PARAM!$C$27)*$I$13+(MOD($B359,60)=PARAM!$B$56)*($B359&gt;(60-PARAM!$B$56))*HLOOKUP(($B359+PARAM!$B$56)/12,Loyalty,2)*$F$1*MAX(AT358,0)</f>
        <v>18.557001321003963</v>
      </c>
      <c r="AS359" s="75">
        <f>PARAM!$C$26+MAX($G$13-CHOOSE(PARAM!$B$44,MAX(0,AT358*$F$1),0),0)*RATES!$L335/12+$H$13*(PARAM!$D$51/12)*RATES!$N335/100</f>
        <v>38.207751856594449</v>
      </c>
      <c r="AT359" s="16">
        <f t="shared" si="251"/>
        <v>-18.775252308916162</v>
      </c>
      <c r="AU359" s="15">
        <f t="shared" si="226"/>
        <v>22.170849845882874</v>
      </c>
      <c r="AV359" s="75">
        <f>AU359*(1-PARAM!$C$27)*$I$14+(MOD($B359,60)=PARAM!$B$56)*($B359&gt;(60-PARAM!$B$56))*HLOOKUP(($B359+PARAM!$B$56)/12,Loyalty,2)*$F$1*MAX(AX358,0)</f>
        <v>18.557001321003963</v>
      </c>
      <c r="AW359" s="75">
        <f>PARAM!$C$26+MAX($G$14-CHOOSE(PARAM!$B$44,MAX(0,AX358*$F$1),0),0)*RATES!$L335/12+$H$14*(PARAM!$D$51/12)*RATES!$N335/100</f>
        <v>38.207751856594449</v>
      </c>
      <c r="AX359" s="16">
        <f t="shared" si="252"/>
        <v>-18.775252308916162</v>
      </c>
      <c r="AY359" s="15">
        <f t="shared" si="227"/>
        <v>22.170849845882874</v>
      </c>
      <c r="AZ359" s="75">
        <f>AY359*(1-PARAM!$C$27)*$I$15+(MOD($B359,60)=PARAM!$B$56)*($B359&gt;(60-PARAM!$B$56))*HLOOKUP(($B359+PARAM!$B$56)/12,Loyalty,2)*$F$1*MAX(BB358,0)</f>
        <v>18.557001321003963</v>
      </c>
      <c r="BA359" s="75">
        <f>PARAM!$C$26+MAX($G$15-CHOOSE(PARAM!$B$44,MAX(0,BB358*$F$1),0),0)*RATES!$L335/12+$H$15*(PARAM!$D$51/12)*RATES!$N335/100</f>
        <v>38.207751856594449</v>
      </c>
      <c r="BB359" s="16">
        <f t="shared" si="253"/>
        <v>-18.775252308916162</v>
      </c>
      <c r="BC359" s="15">
        <f t="shared" si="228"/>
        <v>22.170849845882874</v>
      </c>
      <c r="BD359" s="75">
        <f>BC359*(1-PARAM!$C$27)*$I$16+(MOD($B359,60)=PARAM!$B$56)*($B359&gt;(60-PARAM!$B$56))*HLOOKUP(($B359+PARAM!$B$56)/12,Loyalty,2)*$F$1*MAX(BF358,0)</f>
        <v>18.557001321003963</v>
      </c>
      <c r="BE359" s="75">
        <f>PARAM!$C$26+MAX($G$16-CHOOSE(PARAM!$B$44,MAX(0,BF358*$F$1),0),0)*RATES!$L335/12+$H$16*(PARAM!$D$51/12)*RATES!$N335/100</f>
        <v>38.207751856594449</v>
      </c>
      <c r="BF359" s="16">
        <f t="shared" si="254"/>
        <v>-18.775252308916162</v>
      </c>
      <c r="BG359" s="15">
        <f t="shared" si="229"/>
        <v>22.170849845882874</v>
      </c>
      <c r="BH359" s="75">
        <f>BG359*(1-PARAM!$C$27)*$I$17+(MOD($B359,60)=PARAM!$B$56)*($B359&gt;(60-PARAM!$B$56))*HLOOKUP(($B359+PARAM!$B$56)/12,Loyalty,2)*$F$1*MAX(BJ358,0)</f>
        <v>18.557001321003963</v>
      </c>
      <c r="BI359" s="75">
        <f>PARAM!$C$26+MAX($G$17-CHOOSE(PARAM!$B$44,MAX(0,BJ358*$F$1),0),0)*RATES!$L335/12+$H$17*(PARAM!$D$51/12)*RATES!$N335/100</f>
        <v>38.207751856594449</v>
      </c>
      <c r="BJ359" s="16">
        <f t="shared" si="255"/>
        <v>-18.775252308916162</v>
      </c>
      <c r="BK359" s="15">
        <f t="shared" si="230"/>
        <v>22.170849845882874</v>
      </c>
      <c r="BL359" s="75">
        <f>BK359*(1-PARAM!$C$27)*$I$18+(MOD($B359,60)=PARAM!$B$56)*($B359&gt;(60-PARAM!$B$56))*HLOOKUP(($B359+PARAM!$B$56)/12,Loyalty,2)*$F$1*MAX(BN358,0)</f>
        <v>18.557001321003963</v>
      </c>
      <c r="BM359" s="75">
        <f>PARAM!$C$26+MAX($G$18-CHOOSE(PARAM!$B$44,MAX(0,BN358*$F$1),0),0)*RATES!$L335/12+$H$18*(PARAM!$D$51/12)*RATES!$N335/100</f>
        <v>38.207751856594449</v>
      </c>
      <c r="BN359" s="16">
        <f t="shared" si="256"/>
        <v>-18.775252308916162</v>
      </c>
      <c r="BO359" s="15">
        <f t="shared" si="231"/>
        <v>22.170849845882874</v>
      </c>
      <c r="BP359" s="75">
        <f>BO359*(1-PARAM!$C$27)*$I$19+(MOD($B359,60)=PARAM!$B$56)*($B359&gt;(60-PARAM!$B$56))*HLOOKUP(($B359+PARAM!$B$56)/12,Loyalty,2)*$F$1*MAX(BR358,0)</f>
        <v>18.557001321003963</v>
      </c>
      <c r="BQ359" s="75">
        <f>PARAM!$C$26+MAX($G$19-CHOOSE(PARAM!$B$44,MAX(0,BR358*$F$1),0),0)*RATES!$L335/12+$H$19*(PARAM!$D$51/12)*RATES!$N335/100</f>
        <v>38.207751856594449</v>
      </c>
      <c r="BR359" s="16">
        <f t="shared" si="257"/>
        <v>-18.775252308916162</v>
      </c>
      <c r="BS359" s="15">
        <f t="shared" si="232"/>
        <v>22.170849845882874</v>
      </c>
      <c r="BT359" s="75">
        <f>BS359*(1-PARAM!$C$27)*$I$20+(MOD($B359,60)=PARAM!$B$56)*($B359&gt;(60-PARAM!$B$56))*HLOOKUP(($B359+PARAM!$B$56)/12,Loyalty,2)*$F$1*MAX(BV358,0)</f>
        <v>18.557001321003963</v>
      </c>
      <c r="BU359" s="75">
        <f>PARAM!$C$26+MAX($G$20-CHOOSE(PARAM!$B$44,MAX(0,BV358*$F$1),0),0)*RATES!$L335/12+$H$20*(PARAM!$D$51/12)*RATES!$N335/100</f>
        <v>38.207751856594449</v>
      </c>
      <c r="BV359" s="16">
        <f t="shared" si="258"/>
        <v>-18.775252308916162</v>
      </c>
      <c r="BW359" s="15">
        <f t="shared" si="233"/>
        <v>22.170849845882874</v>
      </c>
      <c r="BX359" s="75">
        <f>BW359*(1-PARAM!$C$27)*$I$21+(MOD($B359,60)=PARAM!$B$56)*($B359&gt;(60-PARAM!$B$56))*HLOOKUP(($B359+PARAM!$B$56)/12,Loyalty,2)*$F$1*MAX(BZ358,0)</f>
        <v>18.557001321003963</v>
      </c>
      <c r="BY359" s="75">
        <f>PARAM!$C$26+MAX($G$21-CHOOSE(PARAM!$B$44,MAX(0,BZ358*$F$1),0),0)*RATES!$L335/12+$H$21*(PARAM!$D$51/12)*RATES!$N335/100</f>
        <v>38.207751856594449</v>
      </c>
      <c r="BZ359" s="16">
        <f t="shared" si="259"/>
        <v>-18.775252308916162</v>
      </c>
      <c r="CA359" s="15">
        <f t="shared" si="234"/>
        <v>22.170849845882874</v>
      </c>
      <c r="CB359" s="75">
        <f>CA359*(1-PARAM!$C$27)*$I$22+(MOD($B359,60)=PARAM!$B$56)*($B359&gt;(60-PARAM!$B$56))*HLOOKUP(($B359+PARAM!$B$56)/12,Loyalty,2)*$F$1*MAX(CD358,0)</f>
        <v>18.557001321003963</v>
      </c>
      <c r="CC359" s="75">
        <f>PARAM!$C$26+MAX($G$22-CHOOSE(PARAM!$B$44,MAX(0,CD358*$F$1),0),0)*RATES!$L335/12+$H$22*(PARAM!$D$51/12)*RATES!$N335/100</f>
        <v>38.207751856594449</v>
      </c>
      <c r="CD359" s="16">
        <f t="shared" si="260"/>
        <v>-18.775252308916162</v>
      </c>
      <c r="CE359" s="33">
        <f>IF(0=MOD(B359,12/PARAM!$D$51),1,0)</f>
        <v>1</v>
      </c>
      <c r="CF359" s="15">
        <f t="shared" si="235"/>
        <v>0</v>
      </c>
      <c r="CG359" s="75">
        <f>CF359*(1-PARAM!$C$27)*$R$3+(MOD($B359/12,5)=0)*($B359&gt;60)*HLOOKUP($B359/12,Loyalty,2)*$F$1*MAX(CI358,0)</f>
        <v>0</v>
      </c>
      <c r="CH359" s="75">
        <f>PARAM!$C$26+MAX($P$3-CHOOSE(PARAM!$B$44,MAX(0,CI358*$F$1),0),0)*RATES!$L335/12+$Q$3*(PARAM!$D$51/12)*RATES!$N335/100</f>
        <v>38.208333333333336</v>
      </c>
      <c r="CI359" s="16">
        <f>IF(CI358&gt;0,CI358*PARAM!$C$53,CI358)+CG359-CH359</f>
        <v>-6060.1249999999918</v>
      </c>
      <c r="CJ359" s="15">
        <f t="shared" si="261"/>
        <v>0</v>
      </c>
      <c r="CK359" s="75">
        <f>CJ359*(1-PARAM!$C$27)*$R$4+(MOD($B359/12,5)=0)*($B359&gt;60)*HLOOKUP($B359/12,Loyalty,2)*$F$1*MAX(CM358,0)</f>
        <v>0</v>
      </c>
      <c r="CL359" s="75">
        <f>PARAM!$C$26+MAX($P$4-CHOOSE(PARAM!$B$44,MAX(0,CM358*$F$1),0),0)*RATES!$L335/12+$Q$4*(PARAM!$D$51/12)*RATES!$N335/100</f>
        <v>38.208333333333336</v>
      </c>
      <c r="CM359" s="16">
        <f>IF(CM358&gt;0,CM358*PARAM!$C$53,CM358)+CK359-CL359</f>
        <v>-6060.1249999999918</v>
      </c>
      <c r="CO359" s="176"/>
    </row>
    <row r="360" spans="1:93" x14ac:dyDescent="0.2">
      <c r="A360" t="b">
        <f t="shared" si="236"/>
        <v>0</v>
      </c>
      <c r="B360" s="33">
        <v>333</v>
      </c>
      <c r="C360" s="15">
        <f t="shared" si="237"/>
        <v>20.081305947392778</v>
      </c>
      <c r="D360" s="75">
        <f>C360*(1-PARAM!$C$27)*$I$3+(MOD($B360,60)=PARAM!$B$56)*($B360&gt;(60-PARAM!$B$56))*HLOOKUP(($B360+PARAM!$B$56)/12,Loyalty,2)*$F$1*MAX(F359,0)</f>
        <v>16.808053077967756</v>
      </c>
      <c r="E360" s="75">
        <f>PARAM!$C$26+MAX($G$3-CHOOSE(PARAM!$B$44,MAX(0,F359*$F$1),0),0)*RATES!$L336/12+$H$3*(PARAM!$D$51/12)*RATES!$N336/100</f>
        <v>38.208333333333336</v>
      </c>
      <c r="F360" s="16">
        <f t="shared" si="238"/>
        <v>-657.67684977380497</v>
      </c>
      <c r="G360" s="15">
        <f t="shared" si="239"/>
        <v>22.035289406060361</v>
      </c>
      <c r="H360" s="75">
        <f>G360*(1-PARAM!$C$27)*$I$4+(MOD($B360,60)=PARAM!$B$56)*($B360&gt;(60-PARAM!$B$56))*HLOOKUP(($B360+PARAM!$B$56)/12,Loyalty,2)*$F$1*MAX(J359,0)</f>
        <v>18.443537232872522</v>
      </c>
      <c r="I360" s="75">
        <f>PARAM!$C$26+MAX($G$4-CHOOSE(PARAM!$B$44,MAX(0,J359*$F$1),0),0)*RATES!$L336/12+$H$4*(PARAM!$D$51/12)*RATES!$N336/100</f>
        <v>38.208333333333336</v>
      </c>
      <c r="J360" s="16">
        <f t="shared" si="240"/>
        <v>-79.227662068809011</v>
      </c>
      <c r="K360" s="15">
        <f t="shared" si="241"/>
        <v>22.170849845882874</v>
      </c>
      <c r="L360" s="75">
        <f>K360*(1-PARAM!$C$27)*$I$5+(MOD($B360,60)=PARAM!$B$56)*($B360&gt;(60-PARAM!$B$56))*HLOOKUP(($B360+PARAM!$B$56)/12,Loyalty,2)*$F$1*MAX(N359,0)</f>
        <v>18.557001321003963</v>
      </c>
      <c r="M360" s="75">
        <f>PARAM!$C$26+MAX($G$5-CHOOSE(PARAM!$B$44,MAX(0,N359*$F$1),0),0)*RATES!$L336/12+$H$5*(PARAM!$D$51/12)*RATES!$N336/100</f>
        <v>38.208333333333336</v>
      </c>
      <c r="N360" s="16">
        <f t="shared" si="242"/>
        <v>-38.426584321245535</v>
      </c>
      <c r="O360" s="15">
        <f t="shared" si="243"/>
        <v>22.170849845882874</v>
      </c>
      <c r="P360" s="75">
        <f>O360*(1-PARAM!$C$27)*$I$6+(MOD($B360,60)=PARAM!$B$56)*($B360&gt;(60-PARAM!$B$56))*HLOOKUP(($B360+PARAM!$B$56)/12,Loyalty,2)*$F$1*MAX(R359,0)</f>
        <v>18.557001321003963</v>
      </c>
      <c r="Q360" s="75">
        <f>PARAM!$C$26+MAX($G$6-CHOOSE(PARAM!$B$44,MAX(0,R359*$F$1),0),0)*RATES!$L336/12+$H$6*(PARAM!$D$51/12)*RATES!$N336/100</f>
        <v>38.208333333333336</v>
      </c>
      <c r="R360" s="16">
        <f t="shared" si="244"/>
        <v>-38.426584321245535</v>
      </c>
      <c r="S360" s="15">
        <f t="shared" si="219"/>
        <v>22.170849845882874</v>
      </c>
      <c r="T360" s="75">
        <f>S360*(1-PARAM!$C$27)*$I$7+(MOD($B360,60)=PARAM!$B$56)*($B360&gt;(60-PARAM!$B$56))*HLOOKUP(($B360+PARAM!$B$56)/12,Loyalty,2)*$F$1*MAX(V359,0)</f>
        <v>18.557001321003963</v>
      </c>
      <c r="U360" s="75">
        <f>PARAM!$C$26+MAX($G$7-CHOOSE(PARAM!$B$44,MAX(0,V359*$F$1),0),0)*RATES!$L336/12+$H$7*(PARAM!$D$51/12)*RATES!$N336/100</f>
        <v>38.208333333333336</v>
      </c>
      <c r="V360" s="16">
        <f t="shared" si="245"/>
        <v>-38.426584321245535</v>
      </c>
      <c r="W360" s="15">
        <f t="shared" si="220"/>
        <v>22.170849845882874</v>
      </c>
      <c r="X360" s="75">
        <f>W360*(1-PARAM!$C$27)*$I$8+(MOD($B360,60)=PARAM!$B$56)*($B360&gt;(60-PARAM!$B$56))*HLOOKUP(($B360+PARAM!$B$56)/12,Loyalty,2)*$F$1*MAX(Z359,0)</f>
        <v>18.557001321003963</v>
      </c>
      <c r="Y360" s="75">
        <f>PARAM!$C$26+MAX($G$8-CHOOSE(PARAM!$B$44,MAX(0,Z359*$F$1),0),0)*RATES!$L336/12+$H$8*(PARAM!$D$51/12)*RATES!$N336/100</f>
        <v>38.208333333333336</v>
      </c>
      <c r="Z360" s="16">
        <f t="shared" si="246"/>
        <v>-38.426584321245535</v>
      </c>
      <c r="AA360" s="15">
        <f t="shared" si="221"/>
        <v>22.170849845882874</v>
      </c>
      <c r="AB360" s="75">
        <f>AA360*(1-PARAM!$C$27)*$I$9+(MOD($B360,60)=PARAM!$B$56)*($B360&gt;(60-PARAM!$B$56))*HLOOKUP(($B360+PARAM!$B$56)/12,Loyalty,2)*$F$1*MAX(AD359,0)</f>
        <v>18.557001321003963</v>
      </c>
      <c r="AC360" s="75">
        <f>PARAM!$C$26+MAX($G$9-CHOOSE(PARAM!$B$44,MAX(0,AD359*$F$1),0),0)*RATES!$L336/12+$H$9*(PARAM!$D$51/12)*RATES!$N336/100</f>
        <v>38.208333333333336</v>
      </c>
      <c r="AD360" s="16">
        <f t="shared" si="247"/>
        <v>-38.426584321245535</v>
      </c>
      <c r="AE360" s="15">
        <f t="shared" si="222"/>
        <v>22.170849845882874</v>
      </c>
      <c r="AF360" s="75">
        <f>AE360*(1-PARAM!$C$27)*$I$10+(MOD($B360,60)=PARAM!$B$56)*($B360&gt;(60-PARAM!$B$56))*HLOOKUP(($B360+PARAM!$B$56)/12,Loyalty,2)*$F$1*MAX(AH359,0)</f>
        <v>18.557001321003963</v>
      </c>
      <c r="AG360" s="75">
        <f>PARAM!$C$26+MAX($G$10-CHOOSE(PARAM!$B$44,MAX(0,AH359*$F$1),0),0)*RATES!$L336/12+$H$10*(PARAM!$D$51/12)*RATES!$N336/100</f>
        <v>38.208333333333336</v>
      </c>
      <c r="AH360" s="16">
        <f t="shared" si="248"/>
        <v>-38.426584321245535</v>
      </c>
      <c r="AI360" s="15">
        <f t="shared" si="223"/>
        <v>22.170849845882874</v>
      </c>
      <c r="AJ360" s="75">
        <f>AI360*(1-PARAM!$C$27)*$I$11+(MOD($B360,60)=PARAM!$B$56)*($B360&gt;(60-PARAM!$B$56))*HLOOKUP(($B360+PARAM!$B$56)/12,Loyalty,2)*$F$1*MAX(AL359,0)</f>
        <v>18.557001321003963</v>
      </c>
      <c r="AK360" s="75">
        <f>PARAM!$C$26+MAX($G$11-CHOOSE(PARAM!$B$44,MAX(0,AL359*$F$1),0),0)*RATES!$L336/12+$H$11*(PARAM!$D$51/12)*RATES!$N336/100</f>
        <v>38.208333333333336</v>
      </c>
      <c r="AL360" s="16">
        <f t="shared" si="249"/>
        <v>-38.426584321245535</v>
      </c>
      <c r="AM360" s="15">
        <f t="shared" si="224"/>
        <v>22.170849845882874</v>
      </c>
      <c r="AN360" s="75">
        <f>AM360*(1-PARAM!$C$27)*$I$12+(MOD($B360,60)=PARAM!$B$56)*($B360&gt;(60-PARAM!$B$56))*HLOOKUP(($B360+PARAM!$B$56)/12,Loyalty,2)*$F$1*MAX(AP359,0)</f>
        <v>18.557001321003963</v>
      </c>
      <c r="AO360" s="75">
        <f>PARAM!$C$26+MAX($G$12-CHOOSE(PARAM!$B$44,MAX(0,AP359*$F$1),0),0)*RATES!$L336/12+$H$12*(PARAM!$D$51/12)*RATES!$N336/100</f>
        <v>38.208333333333336</v>
      </c>
      <c r="AP360" s="16">
        <f t="shared" si="250"/>
        <v>-38.426584321245535</v>
      </c>
      <c r="AQ360" s="15">
        <f t="shared" si="225"/>
        <v>22.170849845882874</v>
      </c>
      <c r="AR360" s="75">
        <f>AQ360*(1-PARAM!$C$27)*$I$13+(MOD($B360,60)=PARAM!$B$56)*($B360&gt;(60-PARAM!$B$56))*HLOOKUP(($B360+PARAM!$B$56)/12,Loyalty,2)*$F$1*MAX(AT359,0)</f>
        <v>18.557001321003963</v>
      </c>
      <c r="AS360" s="75">
        <f>PARAM!$C$26+MAX($G$13-CHOOSE(PARAM!$B$44,MAX(0,AT359*$F$1),0),0)*RATES!$L336/12+$H$13*(PARAM!$D$51/12)*RATES!$N336/100</f>
        <v>38.208333333333336</v>
      </c>
      <c r="AT360" s="16">
        <f t="shared" si="251"/>
        <v>-38.426584321245535</v>
      </c>
      <c r="AU360" s="15">
        <f t="shared" si="226"/>
        <v>22.170849845882874</v>
      </c>
      <c r="AV360" s="75">
        <f>AU360*(1-PARAM!$C$27)*$I$14+(MOD($B360,60)=PARAM!$B$56)*($B360&gt;(60-PARAM!$B$56))*HLOOKUP(($B360+PARAM!$B$56)/12,Loyalty,2)*$F$1*MAX(AX359,0)</f>
        <v>18.557001321003963</v>
      </c>
      <c r="AW360" s="75">
        <f>PARAM!$C$26+MAX($G$14-CHOOSE(PARAM!$B$44,MAX(0,AX359*$F$1),0),0)*RATES!$L336/12+$H$14*(PARAM!$D$51/12)*RATES!$N336/100</f>
        <v>38.208333333333336</v>
      </c>
      <c r="AX360" s="16">
        <f t="shared" si="252"/>
        <v>-38.426584321245535</v>
      </c>
      <c r="AY360" s="15">
        <f t="shared" si="227"/>
        <v>22.170849845882874</v>
      </c>
      <c r="AZ360" s="75">
        <f>AY360*(1-PARAM!$C$27)*$I$15+(MOD($B360,60)=PARAM!$B$56)*($B360&gt;(60-PARAM!$B$56))*HLOOKUP(($B360+PARAM!$B$56)/12,Loyalty,2)*$F$1*MAX(BB359,0)</f>
        <v>18.557001321003963</v>
      </c>
      <c r="BA360" s="75">
        <f>PARAM!$C$26+MAX($G$15-CHOOSE(PARAM!$B$44,MAX(0,BB359*$F$1),0),0)*RATES!$L336/12+$H$15*(PARAM!$D$51/12)*RATES!$N336/100</f>
        <v>38.208333333333336</v>
      </c>
      <c r="BB360" s="16">
        <f t="shared" si="253"/>
        <v>-38.426584321245535</v>
      </c>
      <c r="BC360" s="15">
        <f t="shared" si="228"/>
        <v>22.170849845882874</v>
      </c>
      <c r="BD360" s="75">
        <f>BC360*(1-PARAM!$C$27)*$I$16+(MOD($B360,60)=PARAM!$B$56)*($B360&gt;(60-PARAM!$B$56))*HLOOKUP(($B360+PARAM!$B$56)/12,Loyalty,2)*$F$1*MAX(BF359,0)</f>
        <v>18.557001321003963</v>
      </c>
      <c r="BE360" s="75">
        <f>PARAM!$C$26+MAX($G$16-CHOOSE(PARAM!$B$44,MAX(0,BF359*$F$1),0),0)*RATES!$L336/12+$H$16*(PARAM!$D$51/12)*RATES!$N336/100</f>
        <v>38.208333333333336</v>
      </c>
      <c r="BF360" s="16">
        <f t="shared" si="254"/>
        <v>-38.426584321245535</v>
      </c>
      <c r="BG360" s="15">
        <f t="shared" si="229"/>
        <v>22.170849845882874</v>
      </c>
      <c r="BH360" s="75">
        <f>BG360*(1-PARAM!$C$27)*$I$17+(MOD($B360,60)=PARAM!$B$56)*($B360&gt;(60-PARAM!$B$56))*HLOOKUP(($B360+PARAM!$B$56)/12,Loyalty,2)*$F$1*MAX(BJ359,0)</f>
        <v>18.557001321003963</v>
      </c>
      <c r="BI360" s="75">
        <f>PARAM!$C$26+MAX($G$17-CHOOSE(PARAM!$B$44,MAX(0,BJ359*$F$1),0),0)*RATES!$L336/12+$H$17*(PARAM!$D$51/12)*RATES!$N336/100</f>
        <v>38.208333333333336</v>
      </c>
      <c r="BJ360" s="16">
        <f t="shared" si="255"/>
        <v>-38.426584321245535</v>
      </c>
      <c r="BK360" s="15">
        <f t="shared" si="230"/>
        <v>22.170849845882874</v>
      </c>
      <c r="BL360" s="75">
        <f>BK360*(1-PARAM!$C$27)*$I$18+(MOD($B360,60)=PARAM!$B$56)*($B360&gt;(60-PARAM!$B$56))*HLOOKUP(($B360+PARAM!$B$56)/12,Loyalty,2)*$F$1*MAX(BN359,0)</f>
        <v>18.557001321003963</v>
      </c>
      <c r="BM360" s="75">
        <f>PARAM!$C$26+MAX($G$18-CHOOSE(PARAM!$B$44,MAX(0,BN359*$F$1),0),0)*RATES!$L336/12+$H$18*(PARAM!$D$51/12)*RATES!$N336/100</f>
        <v>38.208333333333336</v>
      </c>
      <c r="BN360" s="16">
        <f t="shared" si="256"/>
        <v>-38.426584321245535</v>
      </c>
      <c r="BO360" s="15">
        <f t="shared" si="231"/>
        <v>22.170849845882874</v>
      </c>
      <c r="BP360" s="75">
        <f>BO360*(1-PARAM!$C$27)*$I$19+(MOD($B360,60)=PARAM!$B$56)*($B360&gt;(60-PARAM!$B$56))*HLOOKUP(($B360+PARAM!$B$56)/12,Loyalty,2)*$F$1*MAX(BR359,0)</f>
        <v>18.557001321003963</v>
      </c>
      <c r="BQ360" s="75">
        <f>PARAM!$C$26+MAX($G$19-CHOOSE(PARAM!$B$44,MAX(0,BR359*$F$1),0),0)*RATES!$L336/12+$H$19*(PARAM!$D$51/12)*RATES!$N336/100</f>
        <v>38.208333333333336</v>
      </c>
      <c r="BR360" s="16">
        <f t="shared" si="257"/>
        <v>-38.426584321245535</v>
      </c>
      <c r="BS360" s="15">
        <f t="shared" si="232"/>
        <v>22.170849845882874</v>
      </c>
      <c r="BT360" s="75">
        <f>BS360*(1-PARAM!$C$27)*$I$20+(MOD($B360,60)=PARAM!$B$56)*($B360&gt;(60-PARAM!$B$56))*HLOOKUP(($B360+PARAM!$B$56)/12,Loyalty,2)*$F$1*MAX(BV359,0)</f>
        <v>18.557001321003963</v>
      </c>
      <c r="BU360" s="75">
        <f>PARAM!$C$26+MAX($G$20-CHOOSE(PARAM!$B$44,MAX(0,BV359*$F$1),0),0)*RATES!$L336/12+$H$20*(PARAM!$D$51/12)*RATES!$N336/100</f>
        <v>38.208333333333336</v>
      </c>
      <c r="BV360" s="16">
        <f t="shared" si="258"/>
        <v>-38.426584321245535</v>
      </c>
      <c r="BW360" s="15">
        <f t="shared" si="233"/>
        <v>22.170849845882874</v>
      </c>
      <c r="BX360" s="75">
        <f>BW360*(1-PARAM!$C$27)*$I$21+(MOD($B360,60)=PARAM!$B$56)*($B360&gt;(60-PARAM!$B$56))*HLOOKUP(($B360+PARAM!$B$56)/12,Loyalty,2)*$F$1*MAX(BZ359,0)</f>
        <v>18.557001321003963</v>
      </c>
      <c r="BY360" s="75">
        <f>PARAM!$C$26+MAX($G$21-CHOOSE(PARAM!$B$44,MAX(0,BZ359*$F$1),0),0)*RATES!$L336/12+$H$21*(PARAM!$D$51/12)*RATES!$N336/100</f>
        <v>38.208333333333336</v>
      </c>
      <c r="BZ360" s="16">
        <f t="shared" si="259"/>
        <v>-38.426584321245535</v>
      </c>
      <c r="CA360" s="15">
        <f t="shared" si="234"/>
        <v>22.170849845882874</v>
      </c>
      <c r="CB360" s="75">
        <f>CA360*(1-PARAM!$C$27)*$I$22+(MOD($B360,60)=PARAM!$B$56)*($B360&gt;(60-PARAM!$B$56))*HLOOKUP(($B360+PARAM!$B$56)/12,Loyalty,2)*$F$1*MAX(CD359,0)</f>
        <v>18.557001321003963</v>
      </c>
      <c r="CC360" s="75">
        <f>PARAM!$C$26+MAX($G$22-CHOOSE(PARAM!$B$44,MAX(0,CD359*$F$1),0),0)*RATES!$L336/12+$H$22*(PARAM!$D$51/12)*RATES!$N336/100</f>
        <v>38.208333333333336</v>
      </c>
      <c r="CD360" s="16">
        <f t="shared" si="260"/>
        <v>-38.426584321245535</v>
      </c>
      <c r="CE360" s="33">
        <f>IF(0=MOD(B360,12/PARAM!$D$51),1,0)</f>
        <v>1</v>
      </c>
      <c r="CF360" s="15">
        <f t="shared" si="235"/>
        <v>0</v>
      </c>
      <c r="CG360" s="75">
        <f>CF360*(1-PARAM!$C$27)*$R$3+(MOD($B360/12,5)=0)*($B360&gt;60)*HLOOKUP($B360/12,Loyalty,2)*$F$1*MAX(CI359,0)</f>
        <v>0</v>
      </c>
      <c r="CH360" s="75">
        <f>PARAM!$C$26+MAX($P$3-CHOOSE(PARAM!$B$44,MAX(0,CI359*$F$1),0),0)*RATES!$L336/12+$Q$3*(PARAM!$D$51/12)*RATES!$N336/100</f>
        <v>38.208333333333336</v>
      </c>
      <c r="CI360" s="16">
        <f>IF(CI359&gt;0,CI359*PARAM!$C$53,CI359)+CG360-CH360</f>
        <v>-6098.3333333333248</v>
      </c>
      <c r="CJ360" s="15">
        <f t="shared" si="261"/>
        <v>0</v>
      </c>
      <c r="CK360" s="75">
        <f>CJ360*(1-PARAM!$C$27)*$R$4+(MOD($B360/12,5)=0)*($B360&gt;60)*HLOOKUP($B360/12,Loyalty,2)*$F$1*MAX(CM359,0)</f>
        <v>0</v>
      </c>
      <c r="CL360" s="75">
        <f>PARAM!$C$26+MAX($P$4-CHOOSE(PARAM!$B$44,MAX(0,CM359*$F$1),0),0)*RATES!$L336/12+$Q$4*(PARAM!$D$51/12)*RATES!$N336/100</f>
        <v>38.208333333333336</v>
      </c>
      <c r="CM360" s="16">
        <f>IF(CM359&gt;0,CM359*PARAM!$C$53,CM359)+CK360-CL360</f>
        <v>-6098.3333333333248</v>
      </c>
      <c r="CO360" s="176"/>
    </row>
    <row r="361" spans="1:93" x14ac:dyDescent="0.2">
      <c r="A361" t="b">
        <f t="shared" si="236"/>
        <v>0</v>
      </c>
      <c r="B361" s="33">
        <v>334</v>
      </c>
      <c r="C361" s="15">
        <f t="shared" si="237"/>
        <v>20.081305947392778</v>
      </c>
      <c r="D361" s="75">
        <f>C361*(1-PARAM!$C$27)*$I$3+(MOD($B361,60)=PARAM!$B$56)*($B361&gt;(60-PARAM!$B$56))*HLOOKUP(($B361+PARAM!$B$56)/12,Loyalty,2)*$F$1*MAX(F360,0)</f>
        <v>16.808053077967756</v>
      </c>
      <c r="E361" s="75">
        <f>PARAM!$C$26+MAX($G$3-CHOOSE(PARAM!$B$44,MAX(0,F360*$F$1),0),0)*RATES!$L337/12+$H$3*(PARAM!$D$51/12)*RATES!$N337/100</f>
        <v>38.208333333333336</v>
      </c>
      <c r="F361" s="16">
        <f t="shared" si="238"/>
        <v>-679.07713002917058</v>
      </c>
      <c r="G361" s="15">
        <f t="shared" si="239"/>
        <v>22.035289406060361</v>
      </c>
      <c r="H361" s="75">
        <f>G361*(1-PARAM!$C$27)*$I$4+(MOD($B361,60)=PARAM!$B$56)*($B361&gt;(60-PARAM!$B$56))*HLOOKUP(($B361+PARAM!$B$56)/12,Loyalty,2)*$F$1*MAX(J360,0)</f>
        <v>18.443537232872522</v>
      </c>
      <c r="I361" s="75">
        <f>PARAM!$C$26+MAX($G$4-CHOOSE(PARAM!$B$44,MAX(0,J360*$F$1),0),0)*RATES!$L337/12+$H$4*(PARAM!$D$51/12)*RATES!$N337/100</f>
        <v>38.208333333333336</v>
      </c>
      <c r="J361" s="16">
        <f t="shared" si="240"/>
        <v>-98.992458169269824</v>
      </c>
      <c r="K361" s="15">
        <f t="shared" si="241"/>
        <v>22.170849845882874</v>
      </c>
      <c r="L361" s="75">
        <f>K361*(1-PARAM!$C$27)*$I$5+(MOD($B361,60)=PARAM!$B$56)*($B361&gt;(60-PARAM!$B$56))*HLOOKUP(($B361+PARAM!$B$56)/12,Loyalty,2)*$F$1*MAX(N360,0)</f>
        <v>18.557001321003963</v>
      </c>
      <c r="M361" s="75">
        <f>PARAM!$C$26+MAX($G$5-CHOOSE(PARAM!$B$44,MAX(0,N360*$F$1),0),0)*RATES!$L337/12+$H$5*(PARAM!$D$51/12)*RATES!$N337/100</f>
        <v>38.208333333333336</v>
      </c>
      <c r="N361" s="16">
        <f t="shared" si="242"/>
        <v>-58.077916333574905</v>
      </c>
      <c r="O361" s="15">
        <f t="shared" si="243"/>
        <v>22.170849845882874</v>
      </c>
      <c r="P361" s="75">
        <f>O361*(1-PARAM!$C$27)*$I$6+(MOD($B361,60)=PARAM!$B$56)*($B361&gt;(60-PARAM!$B$56))*HLOOKUP(($B361+PARAM!$B$56)/12,Loyalty,2)*$F$1*MAX(R360,0)</f>
        <v>18.557001321003963</v>
      </c>
      <c r="Q361" s="75">
        <f>PARAM!$C$26+MAX($G$6-CHOOSE(PARAM!$B$44,MAX(0,R360*$F$1),0),0)*RATES!$L337/12+$H$6*(PARAM!$D$51/12)*RATES!$N337/100</f>
        <v>38.208333333333336</v>
      </c>
      <c r="R361" s="16">
        <f t="shared" si="244"/>
        <v>-58.077916333574905</v>
      </c>
      <c r="S361" s="15">
        <f t="shared" si="219"/>
        <v>22.170849845882874</v>
      </c>
      <c r="T361" s="75">
        <f>S361*(1-PARAM!$C$27)*$I$7+(MOD($B361,60)=PARAM!$B$56)*($B361&gt;(60-PARAM!$B$56))*HLOOKUP(($B361+PARAM!$B$56)/12,Loyalty,2)*$F$1*MAX(V360,0)</f>
        <v>18.557001321003963</v>
      </c>
      <c r="U361" s="75">
        <f>PARAM!$C$26+MAX($G$7-CHOOSE(PARAM!$B$44,MAX(0,V360*$F$1),0),0)*RATES!$L337/12+$H$7*(PARAM!$D$51/12)*RATES!$N337/100</f>
        <v>38.208333333333336</v>
      </c>
      <c r="V361" s="16">
        <f t="shared" si="245"/>
        <v>-58.077916333574905</v>
      </c>
      <c r="W361" s="15">
        <f t="shared" si="220"/>
        <v>22.170849845882874</v>
      </c>
      <c r="X361" s="75">
        <f>W361*(1-PARAM!$C$27)*$I$8+(MOD($B361,60)=PARAM!$B$56)*($B361&gt;(60-PARAM!$B$56))*HLOOKUP(($B361+PARAM!$B$56)/12,Loyalty,2)*$F$1*MAX(Z360,0)</f>
        <v>18.557001321003963</v>
      </c>
      <c r="Y361" s="75">
        <f>PARAM!$C$26+MAX($G$8-CHOOSE(PARAM!$B$44,MAX(0,Z360*$F$1),0),0)*RATES!$L337/12+$H$8*(PARAM!$D$51/12)*RATES!$N337/100</f>
        <v>38.208333333333336</v>
      </c>
      <c r="Z361" s="16">
        <f t="shared" si="246"/>
        <v>-58.077916333574905</v>
      </c>
      <c r="AA361" s="15">
        <f t="shared" si="221"/>
        <v>22.170849845882874</v>
      </c>
      <c r="AB361" s="75">
        <f>AA361*(1-PARAM!$C$27)*$I$9+(MOD($B361,60)=PARAM!$B$56)*($B361&gt;(60-PARAM!$B$56))*HLOOKUP(($B361+PARAM!$B$56)/12,Loyalty,2)*$F$1*MAX(AD360,0)</f>
        <v>18.557001321003963</v>
      </c>
      <c r="AC361" s="75">
        <f>PARAM!$C$26+MAX($G$9-CHOOSE(PARAM!$B$44,MAX(0,AD360*$F$1),0),0)*RATES!$L337/12+$H$9*(PARAM!$D$51/12)*RATES!$N337/100</f>
        <v>38.208333333333336</v>
      </c>
      <c r="AD361" s="16">
        <f t="shared" si="247"/>
        <v>-58.077916333574905</v>
      </c>
      <c r="AE361" s="15">
        <f t="shared" si="222"/>
        <v>22.170849845882874</v>
      </c>
      <c r="AF361" s="75">
        <f>AE361*(1-PARAM!$C$27)*$I$10+(MOD($B361,60)=PARAM!$B$56)*($B361&gt;(60-PARAM!$B$56))*HLOOKUP(($B361+PARAM!$B$56)/12,Loyalty,2)*$F$1*MAX(AH360,0)</f>
        <v>18.557001321003963</v>
      </c>
      <c r="AG361" s="75">
        <f>PARAM!$C$26+MAX($G$10-CHOOSE(PARAM!$B$44,MAX(0,AH360*$F$1),0),0)*RATES!$L337/12+$H$10*(PARAM!$D$51/12)*RATES!$N337/100</f>
        <v>38.208333333333336</v>
      </c>
      <c r="AH361" s="16">
        <f t="shared" si="248"/>
        <v>-58.077916333574905</v>
      </c>
      <c r="AI361" s="15">
        <f t="shared" si="223"/>
        <v>22.170849845882874</v>
      </c>
      <c r="AJ361" s="75">
        <f>AI361*(1-PARAM!$C$27)*$I$11+(MOD($B361,60)=PARAM!$B$56)*($B361&gt;(60-PARAM!$B$56))*HLOOKUP(($B361+PARAM!$B$56)/12,Loyalty,2)*$F$1*MAX(AL360,0)</f>
        <v>18.557001321003963</v>
      </c>
      <c r="AK361" s="75">
        <f>PARAM!$C$26+MAX($G$11-CHOOSE(PARAM!$B$44,MAX(0,AL360*$F$1),0),0)*RATES!$L337/12+$H$11*(PARAM!$D$51/12)*RATES!$N337/100</f>
        <v>38.208333333333336</v>
      </c>
      <c r="AL361" s="16">
        <f t="shared" si="249"/>
        <v>-58.077916333574905</v>
      </c>
      <c r="AM361" s="15">
        <f t="shared" si="224"/>
        <v>22.170849845882874</v>
      </c>
      <c r="AN361" s="75">
        <f>AM361*(1-PARAM!$C$27)*$I$12+(MOD($B361,60)=PARAM!$B$56)*($B361&gt;(60-PARAM!$B$56))*HLOOKUP(($B361+PARAM!$B$56)/12,Loyalty,2)*$F$1*MAX(AP360,0)</f>
        <v>18.557001321003963</v>
      </c>
      <c r="AO361" s="75">
        <f>PARAM!$C$26+MAX($G$12-CHOOSE(PARAM!$B$44,MAX(0,AP360*$F$1),0),0)*RATES!$L337/12+$H$12*(PARAM!$D$51/12)*RATES!$N337/100</f>
        <v>38.208333333333336</v>
      </c>
      <c r="AP361" s="16">
        <f t="shared" si="250"/>
        <v>-58.077916333574905</v>
      </c>
      <c r="AQ361" s="15">
        <f t="shared" si="225"/>
        <v>22.170849845882874</v>
      </c>
      <c r="AR361" s="75">
        <f>AQ361*(1-PARAM!$C$27)*$I$13+(MOD($B361,60)=PARAM!$B$56)*($B361&gt;(60-PARAM!$B$56))*HLOOKUP(($B361+PARAM!$B$56)/12,Loyalty,2)*$F$1*MAX(AT360,0)</f>
        <v>18.557001321003963</v>
      </c>
      <c r="AS361" s="75">
        <f>PARAM!$C$26+MAX($G$13-CHOOSE(PARAM!$B$44,MAX(0,AT360*$F$1),0),0)*RATES!$L337/12+$H$13*(PARAM!$D$51/12)*RATES!$N337/100</f>
        <v>38.208333333333336</v>
      </c>
      <c r="AT361" s="16">
        <f t="shared" si="251"/>
        <v>-58.077916333574905</v>
      </c>
      <c r="AU361" s="15">
        <f t="shared" si="226"/>
        <v>22.170849845882874</v>
      </c>
      <c r="AV361" s="75">
        <f>AU361*(1-PARAM!$C$27)*$I$14+(MOD($B361,60)=PARAM!$B$56)*($B361&gt;(60-PARAM!$B$56))*HLOOKUP(($B361+PARAM!$B$56)/12,Loyalty,2)*$F$1*MAX(AX360,0)</f>
        <v>18.557001321003963</v>
      </c>
      <c r="AW361" s="75">
        <f>PARAM!$C$26+MAX($G$14-CHOOSE(PARAM!$B$44,MAX(0,AX360*$F$1),0),0)*RATES!$L337/12+$H$14*(PARAM!$D$51/12)*RATES!$N337/100</f>
        <v>38.208333333333336</v>
      </c>
      <c r="AX361" s="16">
        <f t="shared" si="252"/>
        <v>-58.077916333574905</v>
      </c>
      <c r="AY361" s="15">
        <f t="shared" si="227"/>
        <v>22.170849845882874</v>
      </c>
      <c r="AZ361" s="75">
        <f>AY361*(1-PARAM!$C$27)*$I$15+(MOD($B361,60)=PARAM!$B$56)*($B361&gt;(60-PARAM!$B$56))*HLOOKUP(($B361+PARAM!$B$56)/12,Loyalty,2)*$F$1*MAX(BB360,0)</f>
        <v>18.557001321003963</v>
      </c>
      <c r="BA361" s="75">
        <f>PARAM!$C$26+MAX($G$15-CHOOSE(PARAM!$B$44,MAX(0,BB360*$F$1),0),0)*RATES!$L337/12+$H$15*(PARAM!$D$51/12)*RATES!$N337/100</f>
        <v>38.208333333333336</v>
      </c>
      <c r="BB361" s="16">
        <f t="shared" si="253"/>
        <v>-58.077916333574905</v>
      </c>
      <c r="BC361" s="15">
        <f t="shared" si="228"/>
        <v>22.170849845882874</v>
      </c>
      <c r="BD361" s="75">
        <f>BC361*(1-PARAM!$C$27)*$I$16+(MOD($B361,60)=PARAM!$B$56)*($B361&gt;(60-PARAM!$B$56))*HLOOKUP(($B361+PARAM!$B$56)/12,Loyalty,2)*$F$1*MAX(BF360,0)</f>
        <v>18.557001321003963</v>
      </c>
      <c r="BE361" s="75">
        <f>PARAM!$C$26+MAX($G$16-CHOOSE(PARAM!$B$44,MAX(0,BF360*$F$1),0),0)*RATES!$L337/12+$H$16*(PARAM!$D$51/12)*RATES!$N337/100</f>
        <v>38.208333333333336</v>
      </c>
      <c r="BF361" s="16">
        <f t="shared" si="254"/>
        <v>-58.077916333574905</v>
      </c>
      <c r="BG361" s="15">
        <f t="shared" si="229"/>
        <v>22.170849845882874</v>
      </c>
      <c r="BH361" s="75">
        <f>BG361*(1-PARAM!$C$27)*$I$17+(MOD($B361,60)=PARAM!$B$56)*($B361&gt;(60-PARAM!$B$56))*HLOOKUP(($B361+PARAM!$B$56)/12,Loyalty,2)*$F$1*MAX(BJ360,0)</f>
        <v>18.557001321003963</v>
      </c>
      <c r="BI361" s="75">
        <f>PARAM!$C$26+MAX($G$17-CHOOSE(PARAM!$B$44,MAX(0,BJ360*$F$1),0),0)*RATES!$L337/12+$H$17*(PARAM!$D$51/12)*RATES!$N337/100</f>
        <v>38.208333333333336</v>
      </c>
      <c r="BJ361" s="16">
        <f t="shared" si="255"/>
        <v>-58.077916333574905</v>
      </c>
      <c r="BK361" s="15">
        <f t="shared" si="230"/>
        <v>22.170849845882874</v>
      </c>
      <c r="BL361" s="75">
        <f>BK361*(1-PARAM!$C$27)*$I$18+(MOD($B361,60)=PARAM!$B$56)*($B361&gt;(60-PARAM!$B$56))*HLOOKUP(($B361+PARAM!$B$56)/12,Loyalty,2)*$F$1*MAX(BN360,0)</f>
        <v>18.557001321003963</v>
      </c>
      <c r="BM361" s="75">
        <f>PARAM!$C$26+MAX($G$18-CHOOSE(PARAM!$B$44,MAX(0,BN360*$F$1),0),0)*RATES!$L337/12+$H$18*(PARAM!$D$51/12)*RATES!$N337/100</f>
        <v>38.208333333333336</v>
      </c>
      <c r="BN361" s="16">
        <f t="shared" si="256"/>
        <v>-58.077916333574905</v>
      </c>
      <c r="BO361" s="15">
        <f t="shared" si="231"/>
        <v>22.170849845882874</v>
      </c>
      <c r="BP361" s="75">
        <f>BO361*(1-PARAM!$C$27)*$I$19+(MOD($B361,60)=PARAM!$B$56)*($B361&gt;(60-PARAM!$B$56))*HLOOKUP(($B361+PARAM!$B$56)/12,Loyalty,2)*$F$1*MAX(BR360,0)</f>
        <v>18.557001321003963</v>
      </c>
      <c r="BQ361" s="75">
        <f>PARAM!$C$26+MAX($G$19-CHOOSE(PARAM!$B$44,MAX(0,BR360*$F$1),0),0)*RATES!$L337/12+$H$19*(PARAM!$D$51/12)*RATES!$N337/100</f>
        <v>38.208333333333336</v>
      </c>
      <c r="BR361" s="16">
        <f t="shared" si="257"/>
        <v>-58.077916333574905</v>
      </c>
      <c r="BS361" s="15">
        <f t="shared" si="232"/>
        <v>22.170849845882874</v>
      </c>
      <c r="BT361" s="75">
        <f>BS361*(1-PARAM!$C$27)*$I$20+(MOD($B361,60)=PARAM!$B$56)*($B361&gt;(60-PARAM!$B$56))*HLOOKUP(($B361+PARAM!$B$56)/12,Loyalty,2)*$F$1*MAX(BV360,0)</f>
        <v>18.557001321003963</v>
      </c>
      <c r="BU361" s="75">
        <f>PARAM!$C$26+MAX($G$20-CHOOSE(PARAM!$B$44,MAX(0,BV360*$F$1),0),0)*RATES!$L337/12+$H$20*(PARAM!$D$51/12)*RATES!$N337/100</f>
        <v>38.208333333333336</v>
      </c>
      <c r="BV361" s="16">
        <f t="shared" si="258"/>
        <v>-58.077916333574905</v>
      </c>
      <c r="BW361" s="15">
        <f t="shared" si="233"/>
        <v>22.170849845882874</v>
      </c>
      <c r="BX361" s="75">
        <f>BW361*(1-PARAM!$C$27)*$I$21+(MOD($B361,60)=PARAM!$B$56)*($B361&gt;(60-PARAM!$B$56))*HLOOKUP(($B361+PARAM!$B$56)/12,Loyalty,2)*$F$1*MAX(BZ360,0)</f>
        <v>18.557001321003963</v>
      </c>
      <c r="BY361" s="75">
        <f>PARAM!$C$26+MAX($G$21-CHOOSE(PARAM!$B$44,MAX(0,BZ360*$F$1),0),0)*RATES!$L337/12+$H$21*(PARAM!$D$51/12)*RATES!$N337/100</f>
        <v>38.208333333333336</v>
      </c>
      <c r="BZ361" s="16">
        <f t="shared" si="259"/>
        <v>-58.077916333574905</v>
      </c>
      <c r="CA361" s="15">
        <f t="shared" si="234"/>
        <v>22.170849845882874</v>
      </c>
      <c r="CB361" s="75">
        <f>CA361*(1-PARAM!$C$27)*$I$22+(MOD($B361,60)=PARAM!$B$56)*($B361&gt;(60-PARAM!$B$56))*HLOOKUP(($B361+PARAM!$B$56)/12,Loyalty,2)*$F$1*MAX(CD360,0)</f>
        <v>18.557001321003963</v>
      </c>
      <c r="CC361" s="75">
        <f>PARAM!$C$26+MAX($G$22-CHOOSE(PARAM!$B$44,MAX(0,CD360*$F$1),0),0)*RATES!$L337/12+$H$22*(PARAM!$D$51/12)*RATES!$N337/100</f>
        <v>38.208333333333336</v>
      </c>
      <c r="CD361" s="16">
        <f t="shared" si="260"/>
        <v>-58.077916333574905</v>
      </c>
      <c r="CE361" s="33">
        <f>IF(0=MOD(B361,12/PARAM!$D$51),1,0)</f>
        <v>1</v>
      </c>
      <c r="CF361" s="15">
        <f t="shared" si="235"/>
        <v>0</v>
      </c>
      <c r="CG361" s="75">
        <f>CF361*(1-PARAM!$C$27)*$R$3+(MOD($B361/12,5)=0)*($B361&gt;60)*HLOOKUP($B361/12,Loyalty,2)*$F$1*MAX(CI360,0)</f>
        <v>0</v>
      </c>
      <c r="CH361" s="75">
        <f>PARAM!$C$26+MAX($P$3-CHOOSE(PARAM!$B$44,MAX(0,CI360*$F$1),0),0)*RATES!$L337/12+$Q$3*(PARAM!$D$51/12)*RATES!$N337/100</f>
        <v>38.208333333333336</v>
      </c>
      <c r="CI361" s="16">
        <f>IF(CI360&gt;0,CI360*PARAM!$C$53,CI360)+CG361-CH361</f>
        <v>-6136.5416666666579</v>
      </c>
      <c r="CJ361" s="15">
        <f t="shared" si="261"/>
        <v>0</v>
      </c>
      <c r="CK361" s="75">
        <f>CJ361*(1-PARAM!$C$27)*$R$4+(MOD($B361/12,5)=0)*($B361&gt;60)*HLOOKUP($B361/12,Loyalty,2)*$F$1*MAX(CM360,0)</f>
        <v>0</v>
      </c>
      <c r="CL361" s="75">
        <f>PARAM!$C$26+MAX($P$4-CHOOSE(PARAM!$B$44,MAX(0,CM360*$F$1),0),0)*RATES!$L337/12+$Q$4*(PARAM!$D$51/12)*RATES!$N337/100</f>
        <v>38.208333333333336</v>
      </c>
      <c r="CM361" s="16">
        <f>IF(CM360&gt;0,CM360*PARAM!$C$53,CM360)+CK361-CL361</f>
        <v>-6136.5416666666579</v>
      </c>
      <c r="CO361" s="176"/>
    </row>
    <row r="362" spans="1:93" x14ac:dyDescent="0.2">
      <c r="A362" t="b">
        <f t="shared" si="236"/>
        <v>0</v>
      </c>
      <c r="B362" s="33">
        <v>335</v>
      </c>
      <c r="C362" s="15">
        <f t="shared" si="237"/>
        <v>20.081305947392778</v>
      </c>
      <c r="D362" s="75">
        <f>C362*(1-PARAM!$C$27)*$I$3+(MOD($B362,60)=PARAM!$B$56)*($B362&gt;(60-PARAM!$B$56))*HLOOKUP(($B362+PARAM!$B$56)/12,Loyalty,2)*$F$1*MAX(F361,0)</f>
        <v>16.808053077967756</v>
      </c>
      <c r="E362" s="75">
        <f>PARAM!$C$26+MAX($G$3-CHOOSE(PARAM!$B$44,MAX(0,F361*$F$1),0),0)*RATES!$L338/12+$H$3*(PARAM!$D$51/12)*RATES!$N338/100</f>
        <v>38.208333333333336</v>
      </c>
      <c r="F362" s="16">
        <f t="shared" si="238"/>
        <v>-700.47741028453618</v>
      </c>
      <c r="G362" s="15">
        <f t="shared" si="239"/>
        <v>22.035289406060361</v>
      </c>
      <c r="H362" s="75">
        <f>G362*(1-PARAM!$C$27)*$I$4+(MOD($B362,60)=PARAM!$B$56)*($B362&gt;(60-PARAM!$B$56))*HLOOKUP(($B362+PARAM!$B$56)/12,Loyalty,2)*$F$1*MAX(J361,0)</f>
        <v>18.443537232872522</v>
      </c>
      <c r="I362" s="75">
        <f>PARAM!$C$26+MAX($G$4-CHOOSE(PARAM!$B$44,MAX(0,J361*$F$1),0),0)*RATES!$L338/12+$H$4*(PARAM!$D$51/12)*RATES!$N338/100</f>
        <v>38.208333333333336</v>
      </c>
      <c r="J362" s="16">
        <f t="shared" si="240"/>
        <v>-118.75725426973065</v>
      </c>
      <c r="K362" s="15">
        <f t="shared" si="241"/>
        <v>22.170849845882874</v>
      </c>
      <c r="L362" s="75">
        <f>K362*(1-PARAM!$C$27)*$I$5+(MOD($B362,60)=PARAM!$B$56)*($B362&gt;(60-PARAM!$B$56))*HLOOKUP(($B362+PARAM!$B$56)/12,Loyalty,2)*$F$1*MAX(N361,0)</f>
        <v>18.557001321003963</v>
      </c>
      <c r="M362" s="75">
        <f>PARAM!$C$26+MAX($G$5-CHOOSE(PARAM!$B$44,MAX(0,N361*$F$1),0),0)*RATES!$L338/12+$H$5*(PARAM!$D$51/12)*RATES!$N338/100</f>
        <v>38.208333333333336</v>
      </c>
      <c r="N362" s="16">
        <f t="shared" si="242"/>
        <v>-77.729248345904267</v>
      </c>
      <c r="O362" s="15">
        <f t="shared" si="243"/>
        <v>22.170849845882874</v>
      </c>
      <c r="P362" s="75">
        <f>O362*(1-PARAM!$C$27)*$I$6+(MOD($B362,60)=PARAM!$B$56)*($B362&gt;(60-PARAM!$B$56))*HLOOKUP(($B362+PARAM!$B$56)/12,Loyalty,2)*$F$1*MAX(R361,0)</f>
        <v>18.557001321003963</v>
      </c>
      <c r="Q362" s="75">
        <f>PARAM!$C$26+MAX($G$6-CHOOSE(PARAM!$B$44,MAX(0,R361*$F$1),0),0)*RATES!$L338/12+$H$6*(PARAM!$D$51/12)*RATES!$N338/100</f>
        <v>38.208333333333336</v>
      </c>
      <c r="R362" s="16">
        <f t="shared" si="244"/>
        <v>-77.729248345904267</v>
      </c>
      <c r="S362" s="15">
        <f t="shared" si="219"/>
        <v>22.170849845882874</v>
      </c>
      <c r="T362" s="75">
        <f>S362*(1-PARAM!$C$27)*$I$7+(MOD($B362,60)=PARAM!$B$56)*($B362&gt;(60-PARAM!$B$56))*HLOOKUP(($B362+PARAM!$B$56)/12,Loyalty,2)*$F$1*MAX(V361,0)</f>
        <v>18.557001321003963</v>
      </c>
      <c r="U362" s="75">
        <f>PARAM!$C$26+MAX($G$7-CHOOSE(PARAM!$B$44,MAX(0,V361*$F$1),0),0)*RATES!$L338/12+$H$7*(PARAM!$D$51/12)*RATES!$N338/100</f>
        <v>38.208333333333336</v>
      </c>
      <c r="V362" s="16">
        <f t="shared" si="245"/>
        <v>-77.729248345904267</v>
      </c>
      <c r="W362" s="15">
        <f t="shared" si="220"/>
        <v>22.170849845882874</v>
      </c>
      <c r="X362" s="75">
        <f>W362*(1-PARAM!$C$27)*$I$8+(MOD($B362,60)=PARAM!$B$56)*($B362&gt;(60-PARAM!$B$56))*HLOOKUP(($B362+PARAM!$B$56)/12,Loyalty,2)*$F$1*MAX(Z361,0)</f>
        <v>18.557001321003963</v>
      </c>
      <c r="Y362" s="75">
        <f>PARAM!$C$26+MAX($G$8-CHOOSE(PARAM!$B$44,MAX(0,Z361*$F$1),0),0)*RATES!$L338/12+$H$8*(PARAM!$D$51/12)*RATES!$N338/100</f>
        <v>38.208333333333336</v>
      </c>
      <c r="Z362" s="16">
        <f t="shared" si="246"/>
        <v>-77.729248345904267</v>
      </c>
      <c r="AA362" s="15">
        <f t="shared" si="221"/>
        <v>22.170849845882874</v>
      </c>
      <c r="AB362" s="75">
        <f>AA362*(1-PARAM!$C$27)*$I$9+(MOD($B362,60)=PARAM!$B$56)*($B362&gt;(60-PARAM!$B$56))*HLOOKUP(($B362+PARAM!$B$56)/12,Loyalty,2)*$F$1*MAX(AD361,0)</f>
        <v>18.557001321003963</v>
      </c>
      <c r="AC362" s="75">
        <f>PARAM!$C$26+MAX($G$9-CHOOSE(PARAM!$B$44,MAX(0,AD361*$F$1),0),0)*RATES!$L338/12+$H$9*(PARAM!$D$51/12)*RATES!$N338/100</f>
        <v>38.208333333333336</v>
      </c>
      <c r="AD362" s="16">
        <f t="shared" si="247"/>
        <v>-77.729248345904267</v>
      </c>
      <c r="AE362" s="15">
        <f t="shared" si="222"/>
        <v>22.170849845882874</v>
      </c>
      <c r="AF362" s="75">
        <f>AE362*(1-PARAM!$C$27)*$I$10+(MOD($B362,60)=PARAM!$B$56)*($B362&gt;(60-PARAM!$B$56))*HLOOKUP(($B362+PARAM!$B$56)/12,Loyalty,2)*$F$1*MAX(AH361,0)</f>
        <v>18.557001321003963</v>
      </c>
      <c r="AG362" s="75">
        <f>PARAM!$C$26+MAX($G$10-CHOOSE(PARAM!$B$44,MAX(0,AH361*$F$1),0),0)*RATES!$L338/12+$H$10*(PARAM!$D$51/12)*RATES!$N338/100</f>
        <v>38.208333333333336</v>
      </c>
      <c r="AH362" s="16">
        <f t="shared" si="248"/>
        <v>-77.729248345904267</v>
      </c>
      <c r="AI362" s="15">
        <f t="shared" si="223"/>
        <v>22.170849845882874</v>
      </c>
      <c r="AJ362" s="75">
        <f>AI362*(1-PARAM!$C$27)*$I$11+(MOD($B362,60)=PARAM!$B$56)*($B362&gt;(60-PARAM!$B$56))*HLOOKUP(($B362+PARAM!$B$56)/12,Loyalty,2)*$F$1*MAX(AL361,0)</f>
        <v>18.557001321003963</v>
      </c>
      <c r="AK362" s="75">
        <f>PARAM!$C$26+MAX($G$11-CHOOSE(PARAM!$B$44,MAX(0,AL361*$F$1),0),0)*RATES!$L338/12+$H$11*(PARAM!$D$51/12)*RATES!$N338/100</f>
        <v>38.208333333333336</v>
      </c>
      <c r="AL362" s="16">
        <f t="shared" si="249"/>
        <v>-77.729248345904267</v>
      </c>
      <c r="AM362" s="15">
        <f t="shared" si="224"/>
        <v>22.170849845882874</v>
      </c>
      <c r="AN362" s="75">
        <f>AM362*(1-PARAM!$C$27)*$I$12+(MOD($B362,60)=PARAM!$B$56)*($B362&gt;(60-PARAM!$B$56))*HLOOKUP(($B362+PARAM!$B$56)/12,Loyalty,2)*$F$1*MAX(AP361,0)</f>
        <v>18.557001321003963</v>
      </c>
      <c r="AO362" s="75">
        <f>PARAM!$C$26+MAX($G$12-CHOOSE(PARAM!$B$44,MAX(0,AP361*$F$1),0),0)*RATES!$L338/12+$H$12*(PARAM!$D$51/12)*RATES!$N338/100</f>
        <v>38.208333333333336</v>
      </c>
      <c r="AP362" s="16">
        <f t="shared" si="250"/>
        <v>-77.729248345904267</v>
      </c>
      <c r="AQ362" s="15">
        <f t="shared" si="225"/>
        <v>22.170849845882874</v>
      </c>
      <c r="AR362" s="75">
        <f>AQ362*(1-PARAM!$C$27)*$I$13+(MOD($B362,60)=PARAM!$B$56)*($B362&gt;(60-PARAM!$B$56))*HLOOKUP(($B362+PARAM!$B$56)/12,Loyalty,2)*$F$1*MAX(AT361,0)</f>
        <v>18.557001321003963</v>
      </c>
      <c r="AS362" s="75">
        <f>PARAM!$C$26+MAX($G$13-CHOOSE(PARAM!$B$44,MAX(0,AT361*$F$1),0),0)*RATES!$L338/12+$H$13*(PARAM!$D$51/12)*RATES!$N338/100</f>
        <v>38.208333333333336</v>
      </c>
      <c r="AT362" s="16">
        <f t="shared" si="251"/>
        <v>-77.729248345904267</v>
      </c>
      <c r="AU362" s="15">
        <f t="shared" si="226"/>
        <v>22.170849845882874</v>
      </c>
      <c r="AV362" s="75">
        <f>AU362*(1-PARAM!$C$27)*$I$14+(MOD($B362,60)=PARAM!$B$56)*($B362&gt;(60-PARAM!$B$56))*HLOOKUP(($B362+PARAM!$B$56)/12,Loyalty,2)*$F$1*MAX(AX361,0)</f>
        <v>18.557001321003963</v>
      </c>
      <c r="AW362" s="75">
        <f>PARAM!$C$26+MAX($G$14-CHOOSE(PARAM!$B$44,MAX(0,AX361*$F$1),0),0)*RATES!$L338/12+$H$14*(PARAM!$D$51/12)*RATES!$N338/100</f>
        <v>38.208333333333336</v>
      </c>
      <c r="AX362" s="16">
        <f t="shared" si="252"/>
        <v>-77.729248345904267</v>
      </c>
      <c r="AY362" s="15">
        <f t="shared" si="227"/>
        <v>22.170849845882874</v>
      </c>
      <c r="AZ362" s="75">
        <f>AY362*(1-PARAM!$C$27)*$I$15+(MOD($B362,60)=PARAM!$B$56)*($B362&gt;(60-PARAM!$B$56))*HLOOKUP(($B362+PARAM!$B$56)/12,Loyalty,2)*$F$1*MAX(BB361,0)</f>
        <v>18.557001321003963</v>
      </c>
      <c r="BA362" s="75">
        <f>PARAM!$C$26+MAX($G$15-CHOOSE(PARAM!$B$44,MAX(0,BB361*$F$1),0),0)*RATES!$L338/12+$H$15*(PARAM!$D$51/12)*RATES!$N338/100</f>
        <v>38.208333333333336</v>
      </c>
      <c r="BB362" s="16">
        <f t="shared" si="253"/>
        <v>-77.729248345904267</v>
      </c>
      <c r="BC362" s="15">
        <f t="shared" si="228"/>
        <v>22.170849845882874</v>
      </c>
      <c r="BD362" s="75">
        <f>BC362*(1-PARAM!$C$27)*$I$16+(MOD($B362,60)=PARAM!$B$56)*($B362&gt;(60-PARAM!$B$56))*HLOOKUP(($B362+PARAM!$B$56)/12,Loyalty,2)*$F$1*MAX(BF361,0)</f>
        <v>18.557001321003963</v>
      </c>
      <c r="BE362" s="75">
        <f>PARAM!$C$26+MAX($G$16-CHOOSE(PARAM!$B$44,MAX(0,BF361*$F$1),0),0)*RATES!$L338/12+$H$16*(PARAM!$D$51/12)*RATES!$N338/100</f>
        <v>38.208333333333336</v>
      </c>
      <c r="BF362" s="16">
        <f t="shared" si="254"/>
        <v>-77.729248345904267</v>
      </c>
      <c r="BG362" s="15">
        <f t="shared" si="229"/>
        <v>22.170849845882874</v>
      </c>
      <c r="BH362" s="75">
        <f>BG362*(1-PARAM!$C$27)*$I$17+(MOD($B362,60)=PARAM!$B$56)*($B362&gt;(60-PARAM!$B$56))*HLOOKUP(($B362+PARAM!$B$56)/12,Loyalty,2)*$F$1*MAX(BJ361,0)</f>
        <v>18.557001321003963</v>
      </c>
      <c r="BI362" s="75">
        <f>PARAM!$C$26+MAX($G$17-CHOOSE(PARAM!$B$44,MAX(0,BJ361*$F$1),0),0)*RATES!$L338/12+$H$17*(PARAM!$D$51/12)*RATES!$N338/100</f>
        <v>38.208333333333336</v>
      </c>
      <c r="BJ362" s="16">
        <f t="shared" si="255"/>
        <v>-77.729248345904267</v>
      </c>
      <c r="BK362" s="15">
        <f t="shared" si="230"/>
        <v>22.170849845882874</v>
      </c>
      <c r="BL362" s="75">
        <f>BK362*(1-PARAM!$C$27)*$I$18+(MOD($B362,60)=PARAM!$B$56)*($B362&gt;(60-PARAM!$B$56))*HLOOKUP(($B362+PARAM!$B$56)/12,Loyalty,2)*$F$1*MAX(BN361,0)</f>
        <v>18.557001321003963</v>
      </c>
      <c r="BM362" s="75">
        <f>PARAM!$C$26+MAX($G$18-CHOOSE(PARAM!$B$44,MAX(0,BN361*$F$1),0),0)*RATES!$L338/12+$H$18*(PARAM!$D$51/12)*RATES!$N338/100</f>
        <v>38.208333333333336</v>
      </c>
      <c r="BN362" s="16">
        <f t="shared" si="256"/>
        <v>-77.729248345904267</v>
      </c>
      <c r="BO362" s="15">
        <f t="shared" si="231"/>
        <v>22.170849845882874</v>
      </c>
      <c r="BP362" s="75">
        <f>BO362*(1-PARAM!$C$27)*$I$19+(MOD($B362,60)=PARAM!$B$56)*($B362&gt;(60-PARAM!$B$56))*HLOOKUP(($B362+PARAM!$B$56)/12,Loyalty,2)*$F$1*MAX(BR361,0)</f>
        <v>18.557001321003963</v>
      </c>
      <c r="BQ362" s="75">
        <f>PARAM!$C$26+MAX($G$19-CHOOSE(PARAM!$B$44,MAX(0,BR361*$F$1),0),0)*RATES!$L338/12+$H$19*(PARAM!$D$51/12)*RATES!$N338/100</f>
        <v>38.208333333333336</v>
      </c>
      <c r="BR362" s="16">
        <f t="shared" si="257"/>
        <v>-77.729248345904267</v>
      </c>
      <c r="BS362" s="15">
        <f t="shared" si="232"/>
        <v>22.170849845882874</v>
      </c>
      <c r="BT362" s="75">
        <f>BS362*(1-PARAM!$C$27)*$I$20+(MOD($B362,60)=PARAM!$B$56)*($B362&gt;(60-PARAM!$B$56))*HLOOKUP(($B362+PARAM!$B$56)/12,Loyalty,2)*$F$1*MAX(BV361,0)</f>
        <v>18.557001321003963</v>
      </c>
      <c r="BU362" s="75">
        <f>PARAM!$C$26+MAX($G$20-CHOOSE(PARAM!$B$44,MAX(0,BV361*$F$1),0),0)*RATES!$L338/12+$H$20*(PARAM!$D$51/12)*RATES!$N338/100</f>
        <v>38.208333333333336</v>
      </c>
      <c r="BV362" s="16">
        <f t="shared" si="258"/>
        <v>-77.729248345904267</v>
      </c>
      <c r="BW362" s="15">
        <f t="shared" si="233"/>
        <v>22.170849845882874</v>
      </c>
      <c r="BX362" s="75">
        <f>BW362*(1-PARAM!$C$27)*$I$21+(MOD($B362,60)=PARAM!$B$56)*($B362&gt;(60-PARAM!$B$56))*HLOOKUP(($B362+PARAM!$B$56)/12,Loyalty,2)*$F$1*MAX(BZ361,0)</f>
        <v>18.557001321003963</v>
      </c>
      <c r="BY362" s="75">
        <f>PARAM!$C$26+MAX($G$21-CHOOSE(PARAM!$B$44,MAX(0,BZ361*$F$1),0),0)*RATES!$L338/12+$H$21*(PARAM!$D$51/12)*RATES!$N338/100</f>
        <v>38.208333333333336</v>
      </c>
      <c r="BZ362" s="16">
        <f t="shared" si="259"/>
        <v>-77.729248345904267</v>
      </c>
      <c r="CA362" s="15">
        <f t="shared" si="234"/>
        <v>22.170849845882874</v>
      </c>
      <c r="CB362" s="75">
        <f>CA362*(1-PARAM!$C$27)*$I$22+(MOD($B362,60)=PARAM!$B$56)*($B362&gt;(60-PARAM!$B$56))*HLOOKUP(($B362+PARAM!$B$56)/12,Loyalty,2)*$F$1*MAX(CD361,0)</f>
        <v>18.557001321003963</v>
      </c>
      <c r="CC362" s="75">
        <f>PARAM!$C$26+MAX($G$22-CHOOSE(PARAM!$B$44,MAX(0,CD361*$F$1),0),0)*RATES!$L338/12+$H$22*(PARAM!$D$51/12)*RATES!$N338/100</f>
        <v>38.208333333333336</v>
      </c>
      <c r="CD362" s="16">
        <f t="shared" si="260"/>
        <v>-77.729248345904267</v>
      </c>
      <c r="CE362" s="33">
        <f>IF(0=MOD(B362,12/PARAM!$D$51),1,0)</f>
        <v>1</v>
      </c>
      <c r="CF362" s="15">
        <f t="shared" si="235"/>
        <v>0</v>
      </c>
      <c r="CG362" s="75">
        <f>CF362*(1-PARAM!$C$27)*$R$3+(MOD($B362/12,5)=0)*($B362&gt;60)*HLOOKUP($B362/12,Loyalty,2)*$F$1*MAX(CI361,0)</f>
        <v>0</v>
      </c>
      <c r="CH362" s="75">
        <f>PARAM!$C$26+MAX($P$3-CHOOSE(PARAM!$B$44,MAX(0,CI361*$F$1),0),0)*RATES!$L338/12+$Q$3*(PARAM!$D$51/12)*RATES!$N338/100</f>
        <v>38.208333333333336</v>
      </c>
      <c r="CI362" s="16">
        <f>IF(CI361&gt;0,CI361*PARAM!$C$53,CI361)+CG362-CH362</f>
        <v>-6174.7499999999909</v>
      </c>
      <c r="CJ362" s="15">
        <f t="shared" si="261"/>
        <v>0</v>
      </c>
      <c r="CK362" s="75">
        <f>CJ362*(1-PARAM!$C$27)*$R$4+(MOD($B362/12,5)=0)*($B362&gt;60)*HLOOKUP($B362/12,Loyalty,2)*$F$1*MAX(CM361,0)</f>
        <v>0</v>
      </c>
      <c r="CL362" s="75">
        <f>PARAM!$C$26+MAX($P$4-CHOOSE(PARAM!$B$44,MAX(0,CM361*$F$1),0),0)*RATES!$L338/12+$Q$4*(PARAM!$D$51/12)*RATES!$N338/100</f>
        <v>38.208333333333336</v>
      </c>
      <c r="CM362" s="16">
        <f>IF(CM361&gt;0,CM361*PARAM!$C$53,CM361)+CK362-CL362</f>
        <v>-6174.7499999999909</v>
      </c>
      <c r="CO362" s="176"/>
    </row>
    <row r="363" spans="1:93" x14ac:dyDescent="0.2">
      <c r="A363" t="b">
        <f t="shared" si="236"/>
        <v>0</v>
      </c>
      <c r="B363" s="33">
        <v>336</v>
      </c>
      <c r="C363" s="15">
        <f t="shared" si="237"/>
        <v>20.081305947392778</v>
      </c>
      <c r="D363" s="75">
        <f>C363*(1-PARAM!$C$27)*$I$3+(MOD($B363,60)=PARAM!$B$56)*($B363&gt;(60-PARAM!$B$56))*HLOOKUP(($B363+PARAM!$B$56)/12,Loyalty,2)*$F$1*MAX(F362,0)</f>
        <v>16.808053077967756</v>
      </c>
      <c r="E363" s="75">
        <f>PARAM!$C$26+MAX($G$3-CHOOSE(PARAM!$B$44,MAX(0,F362*$F$1),0),0)*RATES!$L339/12+$H$3*(PARAM!$D$51/12)*RATES!$N339/100</f>
        <v>38.208333333333336</v>
      </c>
      <c r="F363" s="16">
        <f t="shared" si="238"/>
        <v>-721.87769053990178</v>
      </c>
      <c r="G363" s="15">
        <f t="shared" si="239"/>
        <v>22.035289406060361</v>
      </c>
      <c r="H363" s="75">
        <f>G363*(1-PARAM!$C$27)*$I$4+(MOD($B363,60)=PARAM!$B$56)*($B363&gt;(60-PARAM!$B$56))*HLOOKUP(($B363+PARAM!$B$56)/12,Loyalty,2)*$F$1*MAX(J362,0)</f>
        <v>18.443537232872522</v>
      </c>
      <c r="I363" s="75">
        <f>PARAM!$C$26+MAX($G$4-CHOOSE(PARAM!$B$44,MAX(0,J362*$F$1),0),0)*RATES!$L339/12+$H$4*(PARAM!$D$51/12)*RATES!$N339/100</f>
        <v>38.208333333333336</v>
      </c>
      <c r="J363" s="16">
        <f t="shared" si="240"/>
        <v>-138.52205037019147</v>
      </c>
      <c r="K363" s="15">
        <f t="shared" si="241"/>
        <v>22.170849845882874</v>
      </c>
      <c r="L363" s="75">
        <f>K363*(1-PARAM!$C$27)*$I$5+(MOD($B363,60)=PARAM!$B$56)*($B363&gt;(60-PARAM!$B$56))*HLOOKUP(($B363+PARAM!$B$56)/12,Loyalty,2)*$F$1*MAX(N362,0)</f>
        <v>18.557001321003963</v>
      </c>
      <c r="M363" s="75">
        <f>PARAM!$C$26+MAX($G$5-CHOOSE(PARAM!$B$44,MAX(0,N362*$F$1),0),0)*RATES!$L339/12+$H$5*(PARAM!$D$51/12)*RATES!$N339/100</f>
        <v>38.208333333333336</v>
      </c>
      <c r="N363" s="16">
        <f t="shared" si="242"/>
        <v>-97.38058035823363</v>
      </c>
      <c r="O363" s="15">
        <f t="shared" si="243"/>
        <v>22.170849845882874</v>
      </c>
      <c r="P363" s="75">
        <f>O363*(1-PARAM!$C$27)*$I$6+(MOD($B363,60)=PARAM!$B$56)*($B363&gt;(60-PARAM!$B$56))*HLOOKUP(($B363+PARAM!$B$56)/12,Loyalty,2)*$F$1*MAX(R362,0)</f>
        <v>18.557001321003963</v>
      </c>
      <c r="Q363" s="75">
        <f>PARAM!$C$26+MAX($G$6-CHOOSE(PARAM!$B$44,MAX(0,R362*$F$1),0),0)*RATES!$L339/12+$H$6*(PARAM!$D$51/12)*RATES!$N339/100</f>
        <v>38.208333333333336</v>
      </c>
      <c r="R363" s="16">
        <f t="shared" si="244"/>
        <v>-97.38058035823363</v>
      </c>
      <c r="S363" s="15">
        <f t="shared" si="219"/>
        <v>22.170849845882874</v>
      </c>
      <c r="T363" s="75">
        <f>S363*(1-PARAM!$C$27)*$I$7+(MOD($B363,60)=PARAM!$B$56)*($B363&gt;(60-PARAM!$B$56))*HLOOKUP(($B363+PARAM!$B$56)/12,Loyalty,2)*$F$1*MAX(V362,0)</f>
        <v>18.557001321003963</v>
      </c>
      <c r="U363" s="75">
        <f>PARAM!$C$26+MAX($G$7-CHOOSE(PARAM!$B$44,MAX(0,V362*$F$1),0),0)*RATES!$L339/12+$H$7*(PARAM!$D$51/12)*RATES!$N339/100</f>
        <v>38.208333333333336</v>
      </c>
      <c r="V363" s="16">
        <f t="shared" si="245"/>
        <v>-97.38058035823363</v>
      </c>
      <c r="W363" s="15">
        <f t="shared" si="220"/>
        <v>22.170849845882874</v>
      </c>
      <c r="X363" s="75">
        <f>W363*(1-PARAM!$C$27)*$I$8+(MOD($B363,60)=PARAM!$B$56)*($B363&gt;(60-PARAM!$B$56))*HLOOKUP(($B363+PARAM!$B$56)/12,Loyalty,2)*$F$1*MAX(Z362,0)</f>
        <v>18.557001321003963</v>
      </c>
      <c r="Y363" s="75">
        <f>PARAM!$C$26+MAX($G$8-CHOOSE(PARAM!$B$44,MAX(0,Z362*$F$1),0),0)*RATES!$L339/12+$H$8*(PARAM!$D$51/12)*RATES!$N339/100</f>
        <v>38.208333333333336</v>
      </c>
      <c r="Z363" s="16">
        <f t="shared" si="246"/>
        <v>-97.38058035823363</v>
      </c>
      <c r="AA363" s="15">
        <f t="shared" si="221"/>
        <v>22.170849845882874</v>
      </c>
      <c r="AB363" s="75">
        <f>AA363*(1-PARAM!$C$27)*$I$9+(MOD($B363,60)=PARAM!$B$56)*($B363&gt;(60-PARAM!$B$56))*HLOOKUP(($B363+PARAM!$B$56)/12,Loyalty,2)*$F$1*MAX(AD362,0)</f>
        <v>18.557001321003963</v>
      </c>
      <c r="AC363" s="75">
        <f>PARAM!$C$26+MAX($G$9-CHOOSE(PARAM!$B$44,MAX(0,AD362*$F$1),0),0)*RATES!$L339/12+$H$9*(PARAM!$D$51/12)*RATES!$N339/100</f>
        <v>38.208333333333336</v>
      </c>
      <c r="AD363" s="16">
        <f t="shared" si="247"/>
        <v>-97.38058035823363</v>
      </c>
      <c r="AE363" s="15">
        <f t="shared" si="222"/>
        <v>22.170849845882874</v>
      </c>
      <c r="AF363" s="75">
        <f>AE363*(1-PARAM!$C$27)*$I$10+(MOD($B363,60)=PARAM!$B$56)*($B363&gt;(60-PARAM!$B$56))*HLOOKUP(($B363+PARAM!$B$56)/12,Loyalty,2)*$F$1*MAX(AH362,0)</f>
        <v>18.557001321003963</v>
      </c>
      <c r="AG363" s="75">
        <f>PARAM!$C$26+MAX($G$10-CHOOSE(PARAM!$B$44,MAX(0,AH362*$F$1),0),0)*RATES!$L339/12+$H$10*(PARAM!$D$51/12)*RATES!$N339/100</f>
        <v>38.208333333333336</v>
      </c>
      <c r="AH363" s="16">
        <f t="shared" si="248"/>
        <v>-97.38058035823363</v>
      </c>
      <c r="AI363" s="15">
        <f t="shared" si="223"/>
        <v>22.170849845882874</v>
      </c>
      <c r="AJ363" s="75">
        <f>AI363*(1-PARAM!$C$27)*$I$11+(MOD($B363,60)=PARAM!$B$56)*($B363&gt;(60-PARAM!$B$56))*HLOOKUP(($B363+PARAM!$B$56)/12,Loyalty,2)*$F$1*MAX(AL362,0)</f>
        <v>18.557001321003963</v>
      </c>
      <c r="AK363" s="75">
        <f>PARAM!$C$26+MAX($G$11-CHOOSE(PARAM!$B$44,MAX(0,AL362*$F$1),0),0)*RATES!$L339/12+$H$11*(PARAM!$D$51/12)*RATES!$N339/100</f>
        <v>38.208333333333336</v>
      </c>
      <c r="AL363" s="16">
        <f t="shared" si="249"/>
        <v>-97.38058035823363</v>
      </c>
      <c r="AM363" s="15">
        <f t="shared" si="224"/>
        <v>22.170849845882874</v>
      </c>
      <c r="AN363" s="75">
        <f>AM363*(1-PARAM!$C$27)*$I$12+(MOD($B363,60)=PARAM!$B$56)*($B363&gt;(60-PARAM!$B$56))*HLOOKUP(($B363+PARAM!$B$56)/12,Loyalty,2)*$F$1*MAX(AP362,0)</f>
        <v>18.557001321003963</v>
      </c>
      <c r="AO363" s="75">
        <f>PARAM!$C$26+MAX($G$12-CHOOSE(PARAM!$B$44,MAX(0,AP362*$F$1),0),0)*RATES!$L339/12+$H$12*(PARAM!$D$51/12)*RATES!$N339/100</f>
        <v>38.208333333333336</v>
      </c>
      <c r="AP363" s="16">
        <f t="shared" si="250"/>
        <v>-97.38058035823363</v>
      </c>
      <c r="AQ363" s="15">
        <f t="shared" si="225"/>
        <v>22.170849845882874</v>
      </c>
      <c r="AR363" s="75">
        <f>AQ363*(1-PARAM!$C$27)*$I$13+(MOD($B363,60)=PARAM!$B$56)*($B363&gt;(60-PARAM!$B$56))*HLOOKUP(($B363+PARAM!$B$56)/12,Loyalty,2)*$F$1*MAX(AT362,0)</f>
        <v>18.557001321003963</v>
      </c>
      <c r="AS363" s="75">
        <f>PARAM!$C$26+MAX($G$13-CHOOSE(PARAM!$B$44,MAX(0,AT362*$F$1),0),0)*RATES!$L339/12+$H$13*(PARAM!$D$51/12)*RATES!$N339/100</f>
        <v>38.208333333333336</v>
      </c>
      <c r="AT363" s="16">
        <f t="shared" si="251"/>
        <v>-97.38058035823363</v>
      </c>
      <c r="AU363" s="15">
        <f t="shared" si="226"/>
        <v>22.170849845882874</v>
      </c>
      <c r="AV363" s="75">
        <f>AU363*(1-PARAM!$C$27)*$I$14+(MOD($B363,60)=PARAM!$B$56)*($B363&gt;(60-PARAM!$B$56))*HLOOKUP(($B363+PARAM!$B$56)/12,Loyalty,2)*$F$1*MAX(AX362,0)</f>
        <v>18.557001321003963</v>
      </c>
      <c r="AW363" s="75">
        <f>PARAM!$C$26+MAX($G$14-CHOOSE(PARAM!$B$44,MAX(0,AX362*$F$1),0),0)*RATES!$L339/12+$H$14*(PARAM!$D$51/12)*RATES!$N339/100</f>
        <v>38.208333333333336</v>
      </c>
      <c r="AX363" s="16">
        <f t="shared" si="252"/>
        <v>-97.38058035823363</v>
      </c>
      <c r="AY363" s="15">
        <f t="shared" si="227"/>
        <v>22.170849845882874</v>
      </c>
      <c r="AZ363" s="75">
        <f>AY363*(1-PARAM!$C$27)*$I$15+(MOD($B363,60)=PARAM!$B$56)*($B363&gt;(60-PARAM!$B$56))*HLOOKUP(($B363+PARAM!$B$56)/12,Loyalty,2)*$F$1*MAX(BB362,0)</f>
        <v>18.557001321003963</v>
      </c>
      <c r="BA363" s="75">
        <f>PARAM!$C$26+MAX($G$15-CHOOSE(PARAM!$B$44,MAX(0,BB362*$F$1),0),0)*RATES!$L339/12+$H$15*(PARAM!$D$51/12)*RATES!$N339/100</f>
        <v>38.208333333333336</v>
      </c>
      <c r="BB363" s="16">
        <f t="shared" si="253"/>
        <v>-97.38058035823363</v>
      </c>
      <c r="BC363" s="15">
        <f t="shared" si="228"/>
        <v>22.170849845882874</v>
      </c>
      <c r="BD363" s="75">
        <f>BC363*(1-PARAM!$C$27)*$I$16+(MOD($B363,60)=PARAM!$B$56)*($B363&gt;(60-PARAM!$B$56))*HLOOKUP(($B363+PARAM!$B$56)/12,Loyalty,2)*$F$1*MAX(BF362,0)</f>
        <v>18.557001321003963</v>
      </c>
      <c r="BE363" s="75">
        <f>PARAM!$C$26+MAX($G$16-CHOOSE(PARAM!$B$44,MAX(0,BF362*$F$1),0),0)*RATES!$L339/12+$H$16*(PARAM!$D$51/12)*RATES!$N339/100</f>
        <v>38.208333333333336</v>
      </c>
      <c r="BF363" s="16">
        <f t="shared" si="254"/>
        <v>-97.38058035823363</v>
      </c>
      <c r="BG363" s="15">
        <f t="shared" si="229"/>
        <v>22.170849845882874</v>
      </c>
      <c r="BH363" s="75">
        <f>BG363*(1-PARAM!$C$27)*$I$17+(MOD($B363,60)=PARAM!$B$56)*($B363&gt;(60-PARAM!$B$56))*HLOOKUP(($B363+PARAM!$B$56)/12,Loyalty,2)*$F$1*MAX(BJ362,0)</f>
        <v>18.557001321003963</v>
      </c>
      <c r="BI363" s="75">
        <f>PARAM!$C$26+MAX($G$17-CHOOSE(PARAM!$B$44,MAX(0,BJ362*$F$1),0),0)*RATES!$L339/12+$H$17*(PARAM!$D$51/12)*RATES!$N339/100</f>
        <v>38.208333333333336</v>
      </c>
      <c r="BJ363" s="16">
        <f t="shared" si="255"/>
        <v>-97.38058035823363</v>
      </c>
      <c r="BK363" s="15">
        <f t="shared" si="230"/>
        <v>22.170849845882874</v>
      </c>
      <c r="BL363" s="75">
        <f>BK363*(1-PARAM!$C$27)*$I$18+(MOD($B363,60)=PARAM!$B$56)*($B363&gt;(60-PARAM!$B$56))*HLOOKUP(($B363+PARAM!$B$56)/12,Loyalty,2)*$F$1*MAX(BN362,0)</f>
        <v>18.557001321003963</v>
      </c>
      <c r="BM363" s="75">
        <f>PARAM!$C$26+MAX($G$18-CHOOSE(PARAM!$B$44,MAX(0,BN362*$F$1),0),0)*RATES!$L339/12+$H$18*(PARAM!$D$51/12)*RATES!$N339/100</f>
        <v>38.208333333333336</v>
      </c>
      <c r="BN363" s="16">
        <f t="shared" si="256"/>
        <v>-97.38058035823363</v>
      </c>
      <c r="BO363" s="15">
        <f t="shared" si="231"/>
        <v>22.170849845882874</v>
      </c>
      <c r="BP363" s="75">
        <f>BO363*(1-PARAM!$C$27)*$I$19+(MOD($B363,60)=PARAM!$B$56)*($B363&gt;(60-PARAM!$B$56))*HLOOKUP(($B363+PARAM!$B$56)/12,Loyalty,2)*$F$1*MAX(BR362,0)</f>
        <v>18.557001321003963</v>
      </c>
      <c r="BQ363" s="75">
        <f>PARAM!$C$26+MAX($G$19-CHOOSE(PARAM!$B$44,MAX(0,BR362*$F$1),0),0)*RATES!$L339/12+$H$19*(PARAM!$D$51/12)*RATES!$N339/100</f>
        <v>38.208333333333336</v>
      </c>
      <c r="BR363" s="16">
        <f t="shared" si="257"/>
        <v>-97.38058035823363</v>
      </c>
      <c r="BS363" s="15">
        <f t="shared" si="232"/>
        <v>22.170849845882874</v>
      </c>
      <c r="BT363" s="75">
        <f>BS363*(1-PARAM!$C$27)*$I$20+(MOD($B363,60)=PARAM!$B$56)*($B363&gt;(60-PARAM!$B$56))*HLOOKUP(($B363+PARAM!$B$56)/12,Loyalty,2)*$F$1*MAX(BV362,0)</f>
        <v>18.557001321003963</v>
      </c>
      <c r="BU363" s="75">
        <f>PARAM!$C$26+MAX($G$20-CHOOSE(PARAM!$B$44,MAX(0,BV362*$F$1),0),0)*RATES!$L339/12+$H$20*(PARAM!$D$51/12)*RATES!$N339/100</f>
        <v>38.208333333333336</v>
      </c>
      <c r="BV363" s="16">
        <f t="shared" si="258"/>
        <v>-97.38058035823363</v>
      </c>
      <c r="BW363" s="15">
        <f t="shared" si="233"/>
        <v>22.170849845882874</v>
      </c>
      <c r="BX363" s="75">
        <f>BW363*(1-PARAM!$C$27)*$I$21+(MOD($B363,60)=PARAM!$B$56)*($B363&gt;(60-PARAM!$B$56))*HLOOKUP(($B363+PARAM!$B$56)/12,Loyalty,2)*$F$1*MAX(BZ362,0)</f>
        <v>18.557001321003963</v>
      </c>
      <c r="BY363" s="75">
        <f>PARAM!$C$26+MAX($G$21-CHOOSE(PARAM!$B$44,MAX(0,BZ362*$F$1),0),0)*RATES!$L339/12+$H$21*(PARAM!$D$51/12)*RATES!$N339/100</f>
        <v>38.208333333333336</v>
      </c>
      <c r="BZ363" s="16">
        <f t="shared" si="259"/>
        <v>-97.38058035823363</v>
      </c>
      <c r="CA363" s="15">
        <f t="shared" si="234"/>
        <v>22.170849845882874</v>
      </c>
      <c r="CB363" s="75">
        <f>CA363*(1-PARAM!$C$27)*$I$22+(MOD($B363,60)=PARAM!$B$56)*($B363&gt;(60-PARAM!$B$56))*HLOOKUP(($B363+PARAM!$B$56)/12,Loyalty,2)*$F$1*MAX(CD362,0)</f>
        <v>18.557001321003963</v>
      </c>
      <c r="CC363" s="75">
        <f>PARAM!$C$26+MAX($G$22-CHOOSE(PARAM!$B$44,MAX(0,CD362*$F$1),0),0)*RATES!$L339/12+$H$22*(PARAM!$D$51/12)*RATES!$N339/100</f>
        <v>38.208333333333336</v>
      </c>
      <c r="CD363" s="16">
        <f t="shared" si="260"/>
        <v>-97.38058035823363</v>
      </c>
      <c r="CE363" s="33">
        <f>IF(0=MOD(B363,12/PARAM!$D$51),1,0)</f>
        <v>1</v>
      </c>
      <c r="CF363" s="15">
        <f t="shared" si="235"/>
        <v>0</v>
      </c>
      <c r="CG363" s="75">
        <f>CF363*(1-PARAM!$C$27)*$R$3+(MOD($B363/12,5)=0)*($B363&gt;60)*HLOOKUP($B363/12,Loyalty,2)*$F$1*MAX(CI362,0)</f>
        <v>0</v>
      </c>
      <c r="CH363" s="75">
        <f>PARAM!$C$26+MAX($P$3-CHOOSE(PARAM!$B$44,MAX(0,CI362*$F$1),0),0)*RATES!$L339/12+$Q$3*(PARAM!$D$51/12)*RATES!$N339/100</f>
        <v>38.208333333333336</v>
      </c>
      <c r="CI363" s="16">
        <f>IF(CI362&gt;0,CI362*PARAM!$C$53,CI362)+CG363-CH363</f>
        <v>-6212.9583333333239</v>
      </c>
      <c r="CJ363" s="15">
        <f t="shared" si="261"/>
        <v>0</v>
      </c>
      <c r="CK363" s="75">
        <f>CJ363*(1-PARAM!$C$27)*$R$4+(MOD($B363/12,5)=0)*($B363&gt;60)*HLOOKUP($B363/12,Loyalty,2)*$F$1*MAX(CM362,0)</f>
        <v>0</v>
      </c>
      <c r="CL363" s="75">
        <f>PARAM!$C$26+MAX($P$4-CHOOSE(PARAM!$B$44,MAX(0,CM362*$F$1),0),0)*RATES!$L339/12+$Q$4*(PARAM!$D$51/12)*RATES!$N339/100</f>
        <v>38.208333333333336</v>
      </c>
      <c r="CM363" s="16">
        <f>IF(CM362&gt;0,CM362*PARAM!$C$53,CM362)+CK363-CL363</f>
        <v>-6212.9583333333239</v>
      </c>
      <c r="CO363" s="176"/>
    </row>
    <row r="364" spans="1:93" x14ac:dyDescent="0.2">
      <c r="A364" t="b">
        <f t="shared" si="236"/>
        <v>0</v>
      </c>
      <c r="B364" s="33">
        <v>337</v>
      </c>
      <c r="C364" s="15">
        <f t="shared" si="237"/>
        <v>20.081305947392778</v>
      </c>
      <c r="D364" s="75">
        <f>C364*(1-PARAM!$C$27)*$I$3+(MOD($B364,60)=PARAM!$B$56)*($B364&gt;(60-PARAM!$B$56))*HLOOKUP(($B364+PARAM!$B$56)/12,Loyalty,2)*$F$1*MAX(F363,0)</f>
        <v>16.808053077967756</v>
      </c>
      <c r="E364" s="75">
        <f>PARAM!$C$26+MAX($G$3-CHOOSE(PARAM!$B$44,MAX(0,F363*$F$1),0),0)*RATES!$L340/12+$H$3*(PARAM!$D$51/12)*RATES!$N340/100</f>
        <v>38.208333333333336</v>
      </c>
      <c r="F364" s="16">
        <f t="shared" si="238"/>
        <v>-743.27797079526738</v>
      </c>
      <c r="G364" s="15">
        <f t="shared" si="239"/>
        <v>22.035289406060361</v>
      </c>
      <c r="H364" s="75">
        <f>G364*(1-PARAM!$C$27)*$I$4+(MOD($B364,60)=PARAM!$B$56)*($B364&gt;(60-PARAM!$B$56))*HLOOKUP(($B364+PARAM!$B$56)/12,Loyalty,2)*$F$1*MAX(J363,0)</f>
        <v>18.443537232872522</v>
      </c>
      <c r="I364" s="75">
        <f>PARAM!$C$26+MAX($G$4-CHOOSE(PARAM!$B$44,MAX(0,J363*$F$1),0),0)*RATES!$L340/12+$H$4*(PARAM!$D$51/12)*RATES!$N340/100</f>
        <v>38.208333333333336</v>
      </c>
      <c r="J364" s="16">
        <f t="shared" si="240"/>
        <v>-158.28684647065228</v>
      </c>
      <c r="K364" s="15">
        <f t="shared" si="241"/>
        <v>22.170849845882874</v>
      </c>
      <c r="L364" s="75">
        <f>K364*(1-PARAM!$C$27)*$I$5+(MOD($B364,60)=PARAM!$B$56)*($B364&gt;(60-PARAM!$B$56))*HLOOKUP(($B364+PARAM!$B$56)/12,Loyalty,2)*$F$1*MAX(N363,0)</f>
        <v>18.557001321003963</v>
      </c>
      <c r="M364" s="75">
        <f>PARAM!$C$26+MAX($G$5-CHOOSE(PARAM!$B$44,MAX(0,N363*$F$1),0),0)*RATES!$L340/12+$H$5*(PARAM!$D$51/12)*RATES!$N340/100</f>
        <v>38.208333333333336</v>
      </c>
      <c r="N364" s="16">
        <f t="shared" si="242"/>
        <v>-117.03191237056299</v>
      </c>
      <c r="O364" s="15">
        <f t="shared" si="243"/>
        <v>22.170849845882874</v>
      </c>
      <c r="P364" s="75">
        <f>O364*(1-PARAM!$C$27)*$I$6+(MOD($B364,60)=PARAM!$B$56)*($B364&gt;(60-PARAM!$B$56))*HLOOKUP(($B364+PARAM!$B$56)/12,Loyalty,2)*$F$1*MAX(R363,0)</f>
        <v>18.557001321003963</v>
      </c>
      <c r="Q364" s="75">
        <f>PARAM!$C$26+MAX($G$6-CHOOSE(PARAM!$B$44,MAX(0,R363*$F$1),0),0)*RATES!$L340/12+$H$6*(PARAM!$D$51/12)*RATES!$N340/100</f>
        <v>38.208333333333336</v>
      </c>
      <c r="R364" s="16">
        <f t="shared" si="244"/>
        <v>-117.03191237056299</v>
      </c>
      <c r="S364" s="15">
        <f t="shared" si="219"/>
        <v>22.170849845882874</v>
      </c>
      <c r="T364" s="75">
        <f>S364*(1-PARAM!$C$27)*$I$7+(MOD($B364,60)=PARAM!$B$56)*($B364&gt;(60-PARAM!$B$56))*HLOOKUP(($B364+PARAM!$B$56)/12,Loyalty,2)*$F$1*MAX(V363,0)</f>
        <v>18.557001321003963</v>
      </c>
      <c r="U364" s="75">
        <f>PARAM!$C$26+MAX($G$7-CHOOSE(PARAM!$B$44,MAX(0,V363*$F$1),0),0)*RATES!$L340/12+$H$7*(PARAM!$D$51/12)*RATES!$N340/100</f>
        <v>38.208333333333336</v>
      </c>
      <c r="V364" s="16">
        <f t="shared" si="245"/>
        <v>-117.03191237056299</v>
      </c>
      <c r="W364" s="15">
        <f t="shared" si="220"/>
        <v>22.170849845882874</v>
      </c>
      <c r="X364" s="75">
        <f>W364*(1-PARAM!$C$27)*$I$8+(MOD($B364,60)=PARAM!$B$56)*($B364&gt;(60-PARAM!$B$56))*HLOOKUP(($B364+PARAM!$B$56)/12,Loyalty,2)*$F$1*MAX(Z363,0)</f>
        <v>18.557001321003963</v>
      </c>
      <c r="Y364" s="75">
        <f>PARAM!$C$26+MAX($G$8-CHOOSE(PARAM!$B$44,MAX(0,Z363*$F$1),0),0)*RATES!$L340/12+$H$8*(PARAM!$D$51/12)*RATES!$N340/100</f>
        <v>38.208333333333336</v>
      </c>
      <c r="Z364" s="16">
        <f t="shared" si="246"/>
        <v>-117.03191237056299</v>
      </c>
      <c r="AA364" s="15">
        <f t="shared" si="221"/>
        <v>22.170849845882874</v>
      </c>
      <c r="AB364" s="75">
        <f>AA364*(1-PARAM!$C$27)*$I$9+(MOD($B364,60)=PARAM!$B$56)*($B364&gt;(60-PARAM!$B$56))*HLOOKUP(($B364+PARAM!$B$56)/12,Loyalty,2)*$F$1*MAX(AD363,0)</f>
        <v>18.557001321003963</v>
      </c>
      <c r="AC364" s="75">
        <f>PARAM!$C$26+MAX($G$9-CHOOSE(PARAM!$B$44,MAX(0,AD363*$F$1),0),0)*RATES!$L340/12+$H$9*(PARAM!$D$51/12)*RATES!$N340/100</f>
        <v>38.208333333333336</v>
      </c>
      <c r="AD364" s="16">
        <f t="shared" si="247"/>
        <v>-117.03191237056299</v>
      </c>
      <c r="AE364" s="15">
        <f t="shared" si="222"/>
        <v>22.170849845882874</v>
      </c>
      <c r="AF364" s="75">
        <f>AE364*(1-PARAM!$C$27)*$I$10+(MOD($B364,60)=PARAM!$B$56)*($B364&gt;(60-PARAM!$B$56))*HLOOKUP(($B364+PARAM!$B$56)/12,Loyalty,2)*$F$1*MAX(AH363,0)</f>
        <v>18.557001321003963</v>
      </c>
      <c r="AG364" s="75">
        <f>PARAM!$C$26+MAX($G$10-CHOOSE(PARAM!$B$44,MAX(0,AH363*$F$1),0),0)*RATES!$L340/12+$H$10*(PARAM!$D$51/12)*RATES!$N340/100</f>
        <v>38.208333333333336</v>
      </c>
      <c r="AH364" s="16">
        <f t="shared" si="248"/>
        <v>-117.03191237056299</v>
      </c>
      <c r="AI364" s="15">
        <f t="shared" si="223"/>
        <v>22.170849845882874</v>
      </c>
      <c r="AJ364" s="75">
        <f>AI364*(1-PARAM!$C$27)*$I$11+(MOD($B364,60)=PARAM!$B$56)*($B364&gt;(60-PARAM!$B$56))*HLOOKUP(($B364+PARAM!$B$56)/12,Loyalty,2)*$F$1*MAX(AL363,0)</f>
        <v>18.557001321003963</v>
      </c>
      <c r="AK364" s="75">
        <f>PARAM!$C$26+MAX($G$11-CHOOSE(PARAM!$B$44,MAX(0,AL363*$F$1),0),0)*RATES!$L340/12+$H$11*(PARAM!$D$51/12)*RATES!$N340/100</f>
        <v>38.208333333333336</v>
      </c>
      <c r="AL364" s="16">
        <f t="shared" si="249"/>
        <v>-117.03191237056299</v>
      </c>
      <c r="AM364" s="15">
        <f t="shared" si="224"/>
        <v>22.170849845882874</v>
      </c>
      <c r="AN364" s="75">
        <f>AM364*(1-PARAM!$C$27)*$I$12+(MOD($B364,60)=PARAM!$B$56)*($B364&gt;(60-PARAM!$B$56))*HLOOKUP(($B364+PARAM!$B$56)/12,Loyalty,2)*$F$1*MAX(AP363,0)</f>
        <v>18.557001321003963</v>
      </c>
      <c r="AO364" s="75">
        <f>PARAM!$C$26+MAX($G$12-CHOOSE(PARAM!$B$44,MAX(0,AP363*$F$1),0),0)*RATES!$L340/12+$H$12*(PARAM!$D$51/12)*RATES!$N340/100</f>
        <v>38.208333333333336</v>
      </c>
      <c r="AP364" s="16">
        <f t="shared" si="250"/>
        <v>-117.03191237056299</v>
      </c>
      <c r="AQ364" s="15">
        <f t="shared" si="225"/>
        <v>22.170849845882874</v>
      </c>
      <c r="AR364" s="75">
        <f>AQ364*(1-PARAM!$C$27)*$I$13+(MOD($B364,60)=PARAM!$B$56)*($B364&gt;(60-PARAM!$B$56))*HLOOKUP(($B364+PARAM!$B$56)/12,Loyalty,2)*$F$1*MAX(AT363,0)</f>
        <v>18.557001321003963</v>
      </c>
      <c r="AS364" s="75">
        <f>PARAM!$C$26+MAX($G$13-CHOOSE(PARAM!$B$44,MAX(0,AT363*$F$1),0),0)*RATES!$L340/12+$H$13*(PARAM!$D$51/12)*RATES!$N340/100</f>
        <v>38.208333333333336</v>
      </c>
      <c r="AT364" s="16">
        <f t="shared" si="251"/>
        <v>-117.03191237056299</v>
      </c>
      <c r="AU364" s="15">
        <f t="shared" si="226"/>
        <v>22.170849845882874</v>
      </c>
      <c r="AV364" s="75">
        <f>AU364*(1-PARAM!$C$27)*$I$14+(MOD($B364,60)=PARAM!$B$56)*($B364&gt;(60-PARAM!$B$56))*HLOOKUP(($B364+PARAM!$B$56)/12,Loyalty,2)*$F$1*MAX(AX363,0)</f>
        <v>18.557001321003963</v>
      </c>
      <c r="AW364" s="75">
        <f>PARAM!$C$26+MAX($G$14-CHOOSE(PARAM!$B$44,MAX(0,AX363*$F$1),0),0)*RATES!$L340/12+$H$14*(PARAM!$D$51/12)*RATES!$N340/100</f>
        <v>38.208333333333336</v>
      </c>
      <c r="AX364" s="16">
        <f t="shared" si="252"/>
        <v>-117.03191237056299</v>
      </c>
      <c r="AY364" s="15">
        <f t="shared" si="227"/>
        <v>22.170849845882874</v>
      </c>
      <c r="AZ364" s="75">
        <f>AY364*(1-PARAM!$C$27)*$I$15+(MOD($B364,60)=PARAM!$B$56)*($B364&gt;(60-PARAM!$B$56))*HLOOKUP(($B364+PARAM!$B$56)/12,Loyalty,2)*$F$1*MAX(BB363,0)</f>
        <v>18.557001321003963</v>
      </c>
      <c r="BA364" s="75">
        <f>PARAM!$C$26+MAX($G$15-CHOOSE(PARAM!$B$44,MAX(0,BB363*$F$1),0),0)*RATES!$L340/12+$H$15*(PARAM!$D$51/12)*RATES!$N340/100</f>
        <v>38.208333333333336</v>
      </c>
      <c r="BB364" s="16">
        <f t="shared" si="253"/>
        <v>-117.03191237056299</v>
      </c>
      <c r="BC364" s="15">
        <f t="shared" si="228"/>
        <v>22.170849845882874</v>
      </c>
      <c r="BD364" s="75">
        <f>BC364*(1-PARAM!$C$27)*$I$16+(MOD($B364,60)=PARAM!$B$56)*($B364&gt;(60-PARAM!$B$56))*HLOOKUP(($B364+PARAM!$B$56)/12,Loyalty,2)*$F$1*MAX(BF363,0)</f>
        <v>18.557001321003963</v>
      </c>
      <c r="BE364" s="75">
        <f>PARAM!$C$26+MAX($G$16-CHOOSE(PARAM!$B$44,MAX(0,BF363*$F$1),0),0)*RATES!$L340/12+$H$16*(PARAM!$D$51/12)*RATES!$N340/100</f>
        <v>38.208333333333336</v>
      </c>
      <c r="BF364" s="16">
        <f t="shared" si="254"/>
        <v>-117.03191237056299</v>
      </c>
      <c r="BG364" s="15">
        <f t="shared" si="229"/>
        <v>22.170849845882874</v>
      </c>
      <c r="BH364" s="75">
        <f>BG364*(1-PARAM!$C$27)*$I$17+(MOD($B364,60)=PARAM!$B$56)*($B364&gt;(60-PARAM!$B$56))*HLOOKUP(($B364+PARAM!$B$56)/12,Loyalty,2)*$F$1*MAX(BJ363,0)</f>
        <v>18.557001321003963</v>
      </c>
      <c r="BI364" s="75">
        <f>PARAM!$C$26+MAX($G$17-CHOOSE(PARAM!$B$44,MAX(0,BJ363*$F$1),0),0)*RATES!$L340/12+$H$17*(PARAM!$D$51/12)*RATES!$N340/100</f>
        <v>38.208333333333336</v>
      </c>
      <c r="BJ364" s="16">
        <f t="shared" si="255"/>
        <v>-117.03191237056299</v>
      </c>
      <c r="BK364" s="15">
        <f t="shared" si="230"/>
        <v>22.170849845882874</v>
      </c>
      <c r="BL364" s="75">
        <f>BK364*(1-PARAM!$C$27)*$I$18+(MOD($B364,60)=PARAM!$B$56)*($B364&gt;(60-PARAM!$B$56))*HLOOKUP(($B364+PARAM!$B$56)/12,Loyalty,2)*$F$1*MAX(BN363,0)</f>
        <v>18.557001321003963</v>
      </c>
      <c r="BM364" s="75">
        <f>PARAM!$C$26+MAX($G$18-CHOOSE(PARAM!$B$44,MAX(0,BN363*$F$1),0),0)*RATES!$L340/12+$H$18*(PARAM!$D$51/12)*RATES!$N340/100</f>
        <v>38.208333333333336</v>
      </c>
      <c r="BN364" s="16">
        <f t="shared" si="256"/>
        <v>-117.03191237056299</v>
      </c>
      <c r="BO364" s="15">
        <f t="shared" si="231"/>
        <v>22.170849845882874</v>
      </c>
      <c r="BP364" s="75">
        <f>BO364*(1-PARAM!$C$27)*$I$19+(MOD($B364,60)=PARAM!$B$56)*($B364&gt;(60-PARAM!$B$56))*HLOOKUP(($B364+PARAM!$B$56)/12,Loyalty,2)*$F$1*MAX(BR363,0)</f>
        <v>18.557001321003963</v>
      </c>
      <c r="BQ364" s="75">
        <f>PARAM!$C$26+MAX($G$19-CHOOSE(PARAM!$B$44,MAX(0,BR363*$F$1),0),0)*RATES!$L340/12+$H$19*(PARAM!$D$51/12)*RATES!$N340/100</f>
        <v>38.208333333333336</v>
      </c>
      <c r="BR364" s="16">
        <f t="shared" si="257"/>
        <v>-117.03191237056299</v>
      </c>
      <c r="BS364" s="15">
        <f t="shared" si="232"/>
        <v>22.170849845882874</v>
      </c>
      <c r="BT364" s="75">
        <f>BS364*(1-PARAM!$C$27)*$I$20+(MOD($B364,60)=PARAM!$B$56)*($B364&gt;(60-PARAM!$B$56))*HLOOKUP(($B364+PARAM!$B$56)/12,Loyalty,2)*$F$1*MAX(BV363,0)</f>
        <v>18.557001321003963</v>
      </c>
      <c r="BU364" s="75">
        <f>PARAM!$C$26+MAX($G$20-CHOOSE(PARAM!$B$44,MAX(0,BV363*$F$1),0),0)*RATES!$L340/12+$H$20*(PARAM!$D$51/12)*RATES!$N340/100</f>
        <v>38.208333333333336</v>
      </c>
      <c r="BV364" s="16">
        <f t="shared" si="258"/>
        <v>-117.03191237056299</v>
      </c>
      <c r="BW364" s="15">
        <f t="shared" si="233"/>
        <v>22.170849845882874</v>
      </c>
      <c r="BX364" s="75">
        <f>BW364*(1-PARAM!$C$27)*$I$21+(MOD($B364,60)=PARAM!$B$56)*($B364&gt;(60-PARAM!$B$56))*HLOOKUP(($B364+PARAM!$B$56)/12,Loyalty,2)*$F$1*MAX(BZ363,0)</f>
        <v>18.557001321003963</v>
      </c>
      <c r="BY364" s="75">
        <f>PARAM!$C$26+MAX($G$21-CHOOSE(PARAM!$B$44,MAX(0,BZ363*$F$1),0),0)*RATES!$L340/12+$H$21*(PARAM!$D$51/12)*RATES!$N340/100</f>
        <v>38.208333333333336</v>
      </c>
      <c r="BZ364" s="16">
        <f t="shared" si="259"/>
        <v>-117.03191237056299</v>
      </c>
      <c r="CA364" s="15">
        <f t="shared" si="234"/>
        <v>22.170849845882874</v>
      </c>
      <c r="CB364" s="75">
        <f>CA364*(1-PARAM!$C$27)*$I$22+(MOD($B364,60)=PARAM!$B$56)*($B364&gt;(60-PARAM!$B$56))*HLOOKUP(($B364+PARAM!$B$56)/12,Loyalty,2)*$F$1*MAX(CD363,0)</f>
        <v>18.557001321003963</v>
      </c>
      <c r="CC364" s="75">
        <f>PARAM!$C$26+MAX($G$22-CHOOSE(PARAM!$B$44,MAX(0,CD363*$F$1),0),0)*RATES!$L340/12+$H$22*(PARAM!$D$51/12)*RATES!$N340/100</f>
        <v>38.208333333333336</v>
      </c>
      <c r="CD364" s="16">
        <f t="shared" si="260"/>
        <v>-117.03191237056299</v>
      </c>
      <c r="CE364" s="33">
        <f>IF(0=MOD(B364,12/PARAM!$D$51),1,0)</f>
        <v>1</v>
      </c>
      <c r="CF364" s="15">
        <f t="shared" si="235"/>
        <v>0</v>
      </c>
      <c r="CG364" s="75">
        <f>CF364*(1-PARAM!$C$27)*$R$3+(MOD($B364/12,5)=0)*($B364&gt;60)*HLOOKUP($B364/12,Loyalty,2)*$F$1*MAX(CI363,0)</f>
        <v>0</v>
      </c>
      <c r="CH364" s="75">
        <f>PARAM!$C$26+MAX($P$3-CHOOSE(PARAM!$B$44,MAX(0,CI363*$F$1),0),0)*RATES!$L340/12+$Q$3*(PARAM!$D$51/12)*RATES!$N340/100</f>
        <v>38.208333333333336</v>
      </c>
      <c r="CI364" s="16">
        <f>IF(CI363&gt;0,CI363*PARAM!$C$53,CI363)+CG364-CH364</f>
        <v>-6251.166666666657</v>
      </c>
      <c r="CJ364" s="15">
        <f t="shared" si="261"/>
        <v>0</v>
      </c>
      <c r="CK364" s="75">
        <f>CJ364*(1-PARAM!$C$27)*$R$4+(MOD($B364/12,5)=0)*($B364&gt;60)*HLOOKUP($B364/12,Loyalty,2)*$F$1*MAX(CM363,0)</f>
        <v>0</v>
      </c>
      <c r="CL364" s="75">
        <f>PARAM!$C$26+MAX($P$4-CHOOSE(PARAM!$B$44,MAX(0,CM363*$F$1),0),0)*RATES!$L340/12+$Q$4*(PARAM!$D$51/12)*RATES!$N340/100</f>
        <v>38.208333333333336</v>
      </c>
      <c r="CM364" s="16">
        <f>IF(CM363&gt;0,CM363*PARAM!$C$53,CM363)+CK364-CL364</f>
        <v>-6251.166666666657</v>
      </c>
      <c r="CO364" s="176"/>
    </row>
    <row r="365" spans="1:93" x14ac:dyDescent="0.2">
      <c r="A365" t="b">
        <f t="shared" si="236"/>
        <v>0</v>
      </c>
      <c r="B365" s="33">
        <v>338</v>
      </c>
      <c r="C365" s="15">
        <f t="shared" si="237"/>
        <v>20.081305947392778</v>
      </c>
      <c r="D365" s="75">
        <f>C365*(1-PARAM!$C$27)*$I$3+(MOD($B365,60)=PARAM!$B$56)*($B365&gt;(60-PARAM!$B$56))*HLOOKUP(($B365+PARAM!$B$56)/12,Loyalty,2)*$F$1*MAX(F364,0)</f>
        <v>16.808053077967756</v>
      </c>
      <c r="E365" s="75">
        <f>PARAM!$C$26+MAX($G$3-CHOOSE(PARAM!$B$44,MAX(0,F364*$F$1),0),0)*RATES!$L341/12+$H$3*(PARAM!$D$51/12)*RATES!$N341/100</f>
        <v>38.208333333333336</v>
      </c>
      <c r="F365" s="16">
        <f t="shared" si="238"/>
        <v>-764.67825105063298</v>
      </c>
      <c r="G365" s="15">
        <f t="shared" si="239"/>
        <v>22.035289406060361</v>
      </c>
      <c r="H365" s="75">
        <f>G365*(1-PARAM!$C$27)*$I$4+(MOD($B365,60)=PARAM!$B$56)*($B365&gt;(60-PARAM!$B$56))*HLOOKUP(($B365+PARAM!$B$56)/12,Loyalty,2)*$F$1*MAX(J364,0)</f>
        <v>18.443537232872522</v>
      </c>
      <c r="I365" s="75">
        <f>PARAM!$C$26+MAX($G$4-CHOOSE(PARAM!$B$44,MAX(0,J364*$F$1),0),0)*RATES!$L341/12+$H$4*(PARAM!$D$51/12)*RATES!$N341/100</f>
        <v>38.208333333333336</v>
      </c>
      <c r="J365" s="16">
        <f t="shared" si="240"/>
        <v>-178.05164257111309</v>
      </c>
      <c r="K365" s="15">
        <f t="shared" si="241"/>
        <v>22.170849845882874</v>
      </c>
      <c r="L365" s="75">
        <f>K365*(1-PARAM!$C$27)*$I$5+(MOD($B365,60)=PARAM!$B$56)*($B365&gt;(60-PARAM!$B$56))*HLOOKUP(($B365+PARAM!$B$56)/12,Loyalty,2)*$F$1*MAX(N364,0)</f>
        <v>18.557001321003963</v>
      </c>
      <c r="M365" s="75">
        <f>PARAM!$C$26+MAX($G$5-CHOOSE(PARAM!$B$44,MAX(0,N364*$F$1),0),0)*RATES!$L341/12+$H$5*(PARAM!$D$51/12)*RATES!$N341/100</f>
        <v>38.208333333333336</v>
      </c>
      <c r="N365" s="16">
        <f t="shared" si="242"/>
        <v>-136.68324438289235</v>
      </c>
      <c r="O365" s="15">
        <f t="shared" si="243"/>
        <v>22.170849845882874</v>
      </c>
      <c r="P365" s="75">
        <f>O365*(1-PARAM!$C$27)*$I$6+(MOD($B365,60)=PARAM!$B$56)*($B365&gt;(60-PARAM!$B$56))*HLOOKUP(($B365+PARAM!$B$56)/12,Loyalty,2)*$F$1*MAX(R364,0)</f>
        <v>18.557001321003963</v>
      </c>
      <c r="Q365" s="75">
        <f>PARAM!$C$26+MAX($G$6-CHOOSE(PARAM!$B$44,MAX(0,R364*$F$1),0),0)*RATES!$L341/12+$H$6*(PARAM!$D$51/12)*RATES!$N341/100</f>
        <v>38.208333333333336</v>
      </c>
      <c r="R365" s="16">
        <f t="shared" si="244"/>
        <v>-136.68324438289235</v>
      </c>
      <c r="S365" s="15">
        <f t="shared" si="219"/>
        <v>22.170849845882874</v>
      </c>
      <c r="T365" s="75">
        <f>S365*(1-PARAM!$C$27)*$I$7+(MOD($B365,60)=PARAM!$B$56)*($B365&gt;(60-PARAM!$B$56))*HLOOKUP(($B365+PARAM!$B$56)/12,Loyalty,2)*$F$1*MAX(V364,0)</f>
        <v>18.557001321003963</v>
      </c>
      <c r="U365" s="75">
        <f>PARAM!$C$26+MAX($G$7-CHOOSE(PARAM!$B$44,MAX(0,V364*$F$1),0),0)*RATES!$L341/12+$H$7*(PARAM!$D$51/12)*RATES!$N341/100</f>
        <v>38.208333333333336</v>
      </c>
      <c r="V365" s="16">
        <f t="shared" si="245"/>
        <v>-136.68324438289235</v>
      </c>
      <c r="W365" s="15">
        <f t="shared" si="220"/>
        <v>22.170849845882874</v>
      </c>
      <c r="X365" s="75">
        <f>W365*(1-PARAM!$C$27)*$I$8+(MOD($B365,60)=PARAM!$B$56)*($B365&gt;(60-PARAM!$B$56))*HLOOKUP(($B365+PARAM!$B$56)/12,Loyalty,2)*$F$1*MAX(Z364,0)</f>
        <v>18.557001321003963</v>
      </c>
      <c r="Y365" s="75">
        <f>PARAM!$C$26+MAX($G$8-CHOOSE(PARAM!$B$44,MAX(0,Z364*$F$1),0),0)*RATES!$L341/12+$H$8*(PARAM!$D$51/12)*RATES!$N341/100</f>
        <v>38.208333333333336</v>
      </c>
      <c r="Z365" s="16">
        <f t="shared" si="246"/>
        <v>-136.68324438289235</v>
      </c>
      <c r="AA365" s="15">
        <f t="shared" si="221"/>
        <v>22.170849845882874</v>
      </c>
      <c r="AB365" s="75">
        <f>AA365*(1-PARAM!$C$27)*$I$9+(MOD($B365,60)=PARAM!$B$56)*($B365&gt;(60-PARAM!$B$56))*HLOOKUP(($B365+PARAM!$B$56)/12,Loyalty,2)*$F$1*MAX(AD364,0)</f>
        <v>18.557001321003963</v>
      </c>
      <c r="AC365" s="75">
        <f>PARAM!$C$26+MAX($G$9-CHOOSE(PARAM!$B$44,MAX(0,AD364*$F$1),0),0)*RATES!$L341/12+$H$9*(PARAM!$D$51/12)*RATES!$N341/100</f>
        <v>38.208333333333336</v>
      </c>
      <c r="AD365" s="16">
        <f t="shared" si="247"/>
        <v>-136.68324438289235</v>
      </c>
      <c r="AE365" s="15">
        <f t="shared" si="222"/>
        <v>22.170849845882874</v>
      </c>
      <c r="AF365" s="75">
        <f>AE365*(1-PARAM!$C$27)*$I$10+(MOD($B365,60)=PARAM!$B$56)*($B365&gt;(60-PARAM!$B$56))*HLOOKUP(($B365+PARAM!$B$56)/12,Loyalty,2)*$F$1*MAX(AH364,0)</f>
        <v>18.557001321003963</v>
      </c>
      <c r="AG365" s="75">
        <f>PARAM!$C$26+MAX($G$10-CHOOSE(PARAM!$B$44,MAX(0,AH364*$F$1),0),0)*RATES!$L341/12+$H$10*(PARAM!$D$51/12)*RATES!$N341/100</f>
        <v>38.208333333333336</v>
      </c>
      <c r="AH365" s="16">
        <f t="shared" si="248"/>
        <v>-136.68324438289235</v>
      </c>
      <c r="AI365" s="15">
        <f t="shared" si="223"/>
        <v>22.170849845882874</v>
      </c>
      <c r="AJ365" s="75">
        <f>AI365*(1-PARAM!$C$27)*$I$11+(MOD($B365,60)=PARAM!$B$56)*($B365&gt;(60-PARAM!$B$56))*HLOOKUP(($B365+PARAM!$B$56)/12,Loyalty,2)*$F$1*MAX(AL364,0)</f>
        <v>18.557001321003963</v>
      </c>
      <c r="AK365" s="75">
        <f>PARAM!$C$26+MAX($G$11-CHOOSE(PARAM!$B$44,MAX(0,AL364*$F$1),0),0)*RATES!$L341/12+$H$11*(PARAM!$D$51/12)*RATES!$N341/100</f>
        <v>38.208333333333336</v>
      </c>
      <c r="AL365" s="16">
        <f t="shared" si="249"/>
        <v>-136.68324438289235</v>
      </c>
      <c r="AM365" s="15">
        <f t="shared" si="224"/>
        <v>22.170849845882874</v>
      </c>
      <c r="AN365" s="75">
        <f>AM365*(1-PARAM!$C$27)*$I$12+(MOD($B365,60)=PARAM!$B$56)*($B365&gt;(60-PARAM!$B$56))*HLOOKUP(($B365+PARAM!$B$56)/12,Loyalty,2)*$F$1*MAX(AP364,0)</f>
        <v>18.557001321003963</v>
      </c>
      <c r="AO365" s="75">
        <f>PARAM!$C$26+MAX($G$12-CHOOSE(PARAM!$B$44,MAX(0,AP364*$F$1),0),0)*RATES!$L341/12+$H$12*(PARAM!$D$51/12)*RATES!$N341/100</f>
        <v>38.208333333333336</v>
      </c>
      <c r="AP365" s="16">
        <f t="shared" si="250"/>
        <v>-136.68324438289235</v>
      </c>
      <c r="AQ365" s="15">
        <f t="shared" si="225"/>
        <v>22.170849845882874</v>
      </c>
      <c r="AR365" s="75">
        <f>AQ365*(1-PARAM!$C$27)*$I$13+(MOD($B365,60)=PARAM!$B$56)*($B365&gt;(60-PARAM!$B$56))*HLOOKUP(($B365+PARAM!$B$56)/12,Loyalty,2)*$F$1*MAX(AT364,0)</f>
        <v>18.557001321003963</v>
      </c>
      <c r="AS365" s="75">
        <f>PARAM!$C$26+MAX($G$13-CHOOSE(PARAM!$B$44,MAX(0,AT364*$F$1),0),0)*RATES!$L341/12+$H$13*(PARAM!$D$51/12)*RATES!$N341/100</f>
        <v>38.208333333333336</v>
      </c>
      <c r="AT365" s="16">
        <f t="shared" si="251"/>
        <v>-136.68324438289235</v>
      </c>
      <c r="AU365" s="15">
        <f t="shared" si="226"/>
        <v>22.170849845882874</v>
      </c>
      <c r="AV365" s="75">
        <f>AU365*(1-PARAM!$C$27)*$I$14+(MOD($B365,60)=PARAM!$B$56)*($B365&gt;(60-PARAM!$B$56))*HLOOKUP(($B365+PARAM!$B$56)/12,Loyalty,2)*$F$1*MAX(AX364,0)</f>
        <v>18.557001321003963</v>
      </c>
      <c r="AW365" s="75">
        <f>PARAM!$C$26+MAX($G$14-CHOOSE(PARAM!$B$44,MAX(0,AX364*$F$1),0),0)*RATES!$L341/12+$H$14*(PARAM!$D$51/12)*RATES!$N341/100</f>
        <v>38.208333333333336</v>
      </c>
      <c r="AX365" s="16">
        <f t="shared" si="252"/>
        <v>-136.68324438289235</v>
      </c>
      <c r="AY365" s="15">
        <f t="shared" si="227"/>
        <v>22.170849845882874</v>
      </c>
      <c r="AZ365" s="75">
        <f>AY365*(1-PARAM!$C$27)*$I$15+(MOD($B365,60)=PARAM!$B$56)*($B365&gt;(60-PARAM!$B$56))*HLOOKUP(($B365+PARAM!$B$56)/12,Loyalty,2)*$F$1*MAX(BB364,0)</f>
        <v>18.557001321003963</v>
      </c>
      <c r="BA365" s="75">
        <f>PARAM!$C$26+MAX($G$15-CHOOSE(PARAM!$B$44,MAX(0,BB364*$F$1),0),0)*RATES!$L341/12+$H$15*(PARAM!$D$51/12)*RATES!$N341/100</f>
        <v>38.208333333333336</v>
      </c>
      <c r="BB365" s="16">
        <f t="shared" si="253"/>
        <v>-136.68324438289235</v>
      </c>
      <c r="BC365" s="15">
        <f t="shared" si="228"/>
        <v>22.170849845882874</v>
      </c>
      <c r="BD365" s="75">
        <f>BC365*(1-PARAM!$C$27)*$I$16+(MOD($B365,60)=PARAM!$B$56)*($B365&gt;(60-PARAM!$B$56))*HLOOKUP(($B365+PARAM!$B$56)/12,Loyalty,2)*$F$1*MAX(BF364,0)</f>
        <v>18.557001321003963</v>
      </c>
      <c r="BE365" s="75">
        <f>PARAM!$C$26+MAX($G$16-CHOOSE(PARAM!$B$44,MAX(0,BF364*$F$1),0),0)*RATES!$L341/12+$H$16*(PARAM!$D$51/12)*RATES!$N341/100</f>
        <v>38.208333333333336</v>
      </c>
      <c r="BF365" s="16">
        <f t="shared" si="254"/>
        <v>-136.68324438289235</v>
      </c>
      <c r="BG365" s="15">
        <f t="shared" si="229"/>
        <v>22.170849845882874</v>
      </c>
      <c r="BH365" s="75">
        <f>BG365*(1-PARAM!$C$27)*$I$17+(MOD($B365,60)=PARAM!$B$56)*($B365&gt;(60-PARAM!$B$56))*HLOOKUP(($B365+PARAM!$B$56)/12,Loyalty,2)*$F$1*MAX(BJ364,0)</f>
        <v>18.557001321003963</v>
      </c>
      <c r="BI365" s="75">
        <f>PARAM!$C$26+MAX($G$17-CHOOSE(PARAM!$B$44,MAX(0,BJ364*$F$1),0),0)*RATES!$L341/12+$H$17*(PARAM!$D$51/12)*RATES!$N341/100</f>
        <v>38.208333333333336</v>
      </c>
      <c r="BJ365" s="16">
        <f t="shared" si="255"/>
        <v>-136.68324438289235</v>
      </c>
      <c r="BK365" s="15">
        <f t="shared" si="230"/>
        <v>22.170849845882874</v>
      </c>
      <c r="BL365" s="75">
        <f>BK365*(1-PARAM!$C$27)*$I$18+(MOD($B365,60)=PARAM!$B$56)*($B365&gt;(60-PARAM!$B$56))*HLOOKUP(($B365+PARAM!$B$56)/12,Loyalty,2)*$F$1*MAX(BN364,0)</f>
        <v>18.557001321003963</v>
      </c>
      <c r="BM365" s="75">
        <f>PARAM!$C$26+MAX($G$18-CHOOSE(PARAM!$B$44,MAX(0,BN364*$F$1),0),0)*RATES!$L341/12+$H$18*(PARAM!$D$51/12)*RATES!$N341/100</f>
        <v>38.208333333333336</v>
      </c>
      <c r="BN365" s="16">
        <f t="shared" si="256"/>
        <v>-136.68324438289235</v>
      </c>
      <c r="BO365" s="15">
        <f t="shared" si="231"/>
        <v>22.170849845882874</v>
      </c>
      <c r="BP365" s="75">
        <f>BO365*(1-PARAM!$C$27)*$I$19+(MOD($B365,60)=PARAM!$B$56)*($B365&gt;(60-PARAM!$B$56))*HLOOKUP(($B365+PARAM!$B$56)/12,Loyalty,2)*$F$1*MAX(BR364,0)</f>
        <v>18.557001321003963</v>
      </c>
      <c r="BQ365" s="75">
        <f>PARAM!$C$26+MAX($G$19-CHOOSE(PARAM!$B$44,MAX(0,BR364*$F$1),0),0)*RATES!$L341/12+$H$19*(PARAM!$D$51/12)*RATES!$N341/100</f>
        <v>38.208333333333336</v>
      </c>
      <c r="BR365" s="16">
        <f t="shared" si="257"/>
        <v>-136.68324438289235</v>
      </c>
      <c r="BS365" s="15">
        <f t="shared" si="232"/>
        <v>22.170849845882874</v>
      </c>
      <c r="BT365" s="75">
        <f>BS365*(1-PARAM!$C$27)*$I$20+(MOD($B365,60)=PARAM!$B$56)*($B365&gt;(60-PARAM!$B$56))*HLOOKUP(($B365+PARAM!$B$56)/12,Loyalty,2)*$F$1*MAX(BV364,0)</f>
        <v>18.557001321003963</v>
      </c>
      <c r="BU365" s="75">
        <f>PARAM!$C$26+MAX($G$20-CHOOSE(PARAM!$B$44,MAX(0,BV364*$F$1),0),0)*RATES!$L341/12+$H$20*(PARAM!$D$51/12)*RATES!$N341/100</f>
        <v>38.208333333333336</v>
      </c>
      <c r="BV365" s="16">
        <f t="shared" si="258"/>
        <v>-136.68324438289235</v>
      </c>
      <c r="BW365" s="15">
        <f t="shared" si="233"/>
        <v>22.170849845882874</v>
      </c>
      <c r="BX365" s="75">
        <f>BW365*(1-PARAM!$C$27)*$I$21+(MOD($B365,60)=PARAM!$B$56)*($B365&gt;(60-PARAM!$B$56))*HLOOKUP(($B365+PARAM!$B$56)/12,Loyalty,2)*$F$1*MAX(BZ364,0)</f>
        <v>18.557001321003963</v>
      </c>
      <c r="BY365" s="75">
        <f>PARAM!$C$26+MAX($G$21-CHOOSE(PARAM!$B$44,MAX(0,BZ364*$F$1),0),0)*RATES!$L341/12+$H$21*(PARAM!$D$51/12)*RATES!$N341/100</f>
        <v>38.208333333333336</v>
      </c>
      <c r="BZ365" s="16">
        <f t="shared" si="259"/>
        <v>-136.68324438289235</v>
      </c>
      <c r="CA365" s="15">
        <f t="shared" si="234"/>
        <v>22.170849845882874</v>
      </c>
      <c r="CB365" s="75">
        <f>CA365*(1-PARAM!$C$27)*$I$22+(MOD($B365,60)=PARAM!$B$56)*($B365&gt;(60-PARAM!$B$56))*HLOOKUP(($B365+PARAM!$B$56)/12,Loyalty,2)*$F$1*MAX(CD364,0)</f>
        <v>18.557001321003963</v>
      </c>
      <c r="CC365" s="75">
        <f>PARAM!$C$26+MAX($G$22-CHOOSE(PARAM!$B$44,MAX(0,CD364*$F$1),0),0)*RATES!$L341/12+$H$22*(PARAM!$D$51/12)*RATES!$N341/100</f>
        <v>38.208333333333336</v>
      </c>
      <c r="CD365" s="16">
        <f t="shared" si="260"/>
        <v>-136.68324438289235</v>
      </c>
      <c r="CE365" s="33">
        <f>IF(0=MOD(B365,12/PARAM!$D$51),1,0)</f>
        <v>1</v>
      </c>
      <c r="CF365" s="15">
        <f t="shared" si="235"/>
        <v>0</v>
      </c>
      <c r="CG365" s="75">
        <f>CF365*(1-PARAM!$C$27)*$R$3+(MOD($B365/12,5)=0)*($B365&gt;60)*HLOOKUP($B365/12,Loyalty,2)*$F$1*MAX(CI364,0)</f>
        <v>0</v>
      </c>
      <c r="CH365" s="75">
        <f>PARAM!$C$26+MAX($P$3-CHOOSE(PARAM!$B$44,MAX(0,CI364*$F$1),0),0)*RATES!$L341/12+$Q$3*(PARAM!$D$51/12)*RATES!$N341/100</f>
        <v>38.208333333333336</v>
      </c>
      <c r="CI365" s="16">
        <f>IF(CI364&gt;0,CI364*PARAM!$C$53,CI364)+CG365-CH365</f>
        <v>-6289.37499999999</v>
      </c>
      <c r="CJ365" s="15">
        <f t="shared" si="261"/>
        <v>0</v>
      </c>
      <c r="CK365" s="75">
        <f>CJ365*(1-PARAM!$C$27)*$R$4+(MOD($B365/12,5)=0)*($B365&gt;60)*HLOOKUP($B365/12,Loyalty,2)*$F$1*MAX(CM364,0)</f>
        <v>0</v>
      </c>
      <c r="CL365" s="75">
        <f>PARAM!$C$26+MAX($P$4-CHOOSE(PARAM!$B$44,MAX(0,CM364*$F$1),0),0)*RATES!$L341/12+$Q$4*(PARAM!$D$51/12)*RATES!$N341/100</f>
        <v>38.208333333333336</v>
      </c>
      <c r="CM365" s="16">
        <f>IF(CM364&gt;0,CM364*PARAM!$C$53,CM364)+CK365-CL365</f>
        <v>-6289.37499999999</v>
      </c>
      <c r="CO365" s="176"/>
    </row>
    <row r="366" spans="1:93" x14ac:dyDescent="0.2">
      <c r="A366" t="b">
        <f t="shared" si="236"/>
        <v>0</v>
      </c>
      <c r="B366" s="33">
        <v>339</v>
      </c>
      <c r="C366" s="15">
        <f t="shared" si="237"/>
        <v>20.081305947392778</v>
      </c>
      <c r="D366" s="75">
        <f>C366*(1-PARAM!$C$27)*$I$3+(MOD($B366,60)=PARAM!$B$56)*($B366&gt;(60-PARAM!$B$56))*HLOOKUP(($B366+PARAM!$B$56)/12,Loyalty,2)*$F$1*MAX(F365,0)</f>
        <v>16.808053077967756</v>
      </c>
      <c r="E366" s="75">
        <f>PARAM!$C$26+MAX($G$3-CHOOSE(PARAM!$B$44,MAX(0,F365*$F$1),0),0)*RATES!$L342/12+$H$3*(PARAM!$D$51/12)*RATES!$N342/100</f>
        <v>38.208333333333336</v>
      </c>
      <c r="F366" s="16">
        <f t="shared" si="238"/>
        <v>-786.07853130599858</v>
      </c>
      <c r="G366" s="15">
        <f t="shared" si="239"/>
        <v>22.035289406060361</v>
      </c>
      <c r="H366" s="75">
        <f>G366*(1-PARAM!$C$27)*$I$4+(MOD($B366,60)=PARAM!$B$56)*($B366&gt;(60-PARAM!$B$56))*HLOOKUP(($B366+PARAM!$B$56)/12,Loyalty,2)*$F$1*MAX(J365,0)</f>
        <v>18.443537232872522</v>
      </c>
      <c r="I366" s="75">
        <f>PARAM!$C$26+MAX($G$4-CHOOSE(PARAM!$B$44,MAX(0,J365*$F$1),0),0)*RATES!$L342/12+$H$4*(PARAM!$D$51/12)*RATES!$N342/100</f>
        <v>38.208333333333336</v>
      </c>
      <c r="J366" s="16">
        <f t="shared" si="240"/>
        <v>-197.81643867157391</v>
      </c>
      <c r="K366" s="15">
        <f t="shared" si="241"/>
        <v>22.170849845882874</v>
      </c>
      <c r="L366" s="75">
        <f>K366*(1-PARAM!$C$27)*$I$5+(MOD($B366,60)=PARAM!$B$56)*($B366&gt;(60-PARAM!$B$56))*HLOOKUP(($B366+PARAM!$B$56)/12,Loyalty,2)*$F$1*MAX(N365,0)</f>
        <v>18.557001321003963</v>
      </c>
      <c r="M366" s="75">
        <f>PARAM!$C$26+MAX($G$5-CHOOSE(PARAM!$B$44,MAX(0,N365*$F$1),0),0)*RATES!$L342/12+$H$5*(PARAM!$D$51/12)*RATES!$N342/100</f>
        <v>38.208333333333336</v>
      </c>
      <c r="N366" s="16">
        <f t="shared" si="242"/>
        <v>-156.33457639522172</v>
      </c>
      <c r="O366" s="15">
        <f t="shared" si="243"/>
        <v>22.170849845882874</v>
      </c>
      <c r="P366" s="75">
        <f>O366*(1-PARAM!$C$27)*$I$6+(MOD($B366,60)=PARAM!$B$56)*($B366&gt;(60-PARAM!$B$56))*HLOOKUP(($B366+PARAM!$B$56)/12,Loyalty,2)*$F$1*MAX(R365,0)</f>
        <v>18.557001321003963</v>
      </c>
      <c r="Q366" s="75">
        <f>PARAM!$C$26+MAX($G$6-CHOOSE(PARAM!$B$44,MAX(0,R365*$F$1),0),0)*RATES!$L342/12+$H$6*(PARAM!$D$51/12)*RATES!$N342/100</f>
        <v>38.208333333333336</v>
      </c>
      <c r="R366" s="16">
        <f t="shared" si="244"/>
        <v>-156.33457639522172</v>
      </c>
      <c r="S366" s="15">
        <f t="shared" si="219"/>
        <v>22.170849845882874</v>
      </c>
      <c r="T366" s="75">
        <f>S366*(1-PARAM!$C$27)*$I$7+(MOD($B366,60)=PARAM!$B$56)*($B366&gt;(60-PARAM!$B$56))*HLOOKUP(($B366+PARAM!$B$56)/12,Loyalty,2)*$F$1*MAX(V365,0)</f>
        <v>18.557001321003963</v>
      </c>
      <c r="U366" s="75">
        <f>PARAM!$C$26+MAX($G$7-CHOOSE(PARAM!$B$44,MAX(0,V365*$F$1),0),0)*RATES!$L342/12+$H$7*(PARAM!$D$51/12)*RATES!$N342/100</f>
        <v>38.208333333333336</v>
      </c>
      <c r="V366" s="16">
        <f t="shared" si="245"/>
        <v>-156.33457639522172</v>
      </c>
      <c r="W366" s="15">
        <f t="shared" si="220"/>
        <v>22.170849845882874</v>
      </c>
      <c r="X366" s="75">
        <f>W366*(1-PARAM!$C$27)*$I$8+(MOD($B366,60)=PARAM!$B$56)*($B366&gt;(60-PARAM!$B$56))*HLOOKUP(($B366+PARAM!$B$56)/12,Loyalty,2)*$F$1*MAX(Z365,0)</f>
        <v>18.557001321003963</v>
      </c>
      <c r="Y366" s="75">
        <f>PARAM!$C$26+MAX($G$8-CHOOSE(PARAM!$B$44,MAX(0,Z365*$F$1),0),0)*RATES!$L342/12+$H$8*(PARAM!$D$51/12)*RATES!$N342/100</f>
        <v>38.208333333333336</v>
      </c>
      <c r="Z366" s="16">
        <f t="shared" si="246"/>
        <v>-156.33457639522172</v>
      </c>
      <c r="AA366" s="15">
        <f t="shared" si="221"/>
        <v>22.170849845882874</v>
      </c>
      <c r="AB366" s="75">
        <f>AA366*(1-PARAM!$C$27)*$I$9+(MOD($B366,60)=PARAM!$B$56)*($B366&gt;(60-PARAM!$B$56))*HLOOKUP(($B366+PARAM!$B$56)/12,Loyalty,2)*$F$1*MAX(AD365,0)</f>
        <v>18.557001321003963</v>
      </c>
      <c r="AC366" s="75">
        <f>PARAM!$C$26+MAX($G$9-CHOOSE(PARAM!$B$44,MAX(0,AD365*$F$1),0),0)*RATES!$L342/12+$H$9*(PARAM!$D$51/12)*RATES!$N342/100</f>
        <v>38.208333333333336</v>
      </c>
      <c r="AD366" s="16">
        <f t="shared" si="247"/>
        <v>-156.33457639522172</v>
      </c>
      <c r="AE366" s="15">
        <f t="shared" si="222"/>
        <v>22.170849845882874</v>
      </c>
      <c r="AF366" s="75">
        <f>AE366*(1-PARAM!$C$27)*$I$10+(MOD($B366,60)=PARAM!$B$56)*($B366&gt;(60-PARAM!$B$56))*HLOOKUP(($B366+PARAM!$B$56)/12,Loyalty,2)*$F$1*MAX(AH365,0)</f>
        <v>18.557001321003963</v>
      </c>
      <c r="AG366" s="75">
        <f>PARAM!$C$26+MAX($G$10-CHOOSE(PARAM!$B$44,MAX(0,AH365*$F$1),0),0)*RATES!$L342/12+$H$10*(PARAM!$D$51/12)*RATES!$N342/100</f>
        <v>38.208333333333336</v>
      </c>
      <c r="AH366" s="16">
        <f t="shared" si="248"/>
        <v>-156.33457639522172</v>
      </c>
      <c r="AI366" s="15">
        <f t="shared" si="223"/>
        <v>22.170849845882874</v>
      </c>
      <c r="AJ366" s="75">
        <f>AI366*(1-PARAM!$C$27)*$I$11+(MOD($B366,60)=PARAM!$B$56)*($B366&gt;(60-PARAM!$B$56))*HLOOKUP(($B366+PARAM!$B$56)/12,Loyalty,2)*$F$1*MAX(AL365,0)</f>
        <v>18.557001321003963</v>
      </c>
      <c r="AK366" s="75">
        <f>PARAM!$C$26+MAX($G$11-CHOOSE(PARAM!$B$44,MAX(0,AL365*$F$1),0),0)*RATES!$L342/12+$H$11*(PARAM!$D$51/12)*RATES!$N342/100</f>
        <v>38.208333333333336</v>
      </c>
      <c r="AL366" s="16">
        <f t="shared" si="249"/>
        <v>-156.33457639522172</v>
      </c>
      <c r="AM366" s="15">
        <f t="shared" si="224"/>
        <v>22.170849845882874</v>
      </c>
      <c r="AN366" s="75">
        <f>AM366*(1-PARAM!$C$27)*$I$12+(MOD($B366,60)=PARAM!$B$56)*($B366&gt;(60-PARAM!$B$56))*HLOOKUP(($B366+PARAM!$B$56)/12,Loyalty,2)*$F$1*MAX(AP365,0)</f>
        <v>18.557001321003963</v>
      </c>
      <c r="AO366" s="75">
        <f>PARAM!$C$26+MAX($G$12-CHOOSE(PARAM!$B$44,MAX(0,AP365*$F$1),0),0)*RATES!$L342/12+$H$12*(PARAM!$D$51/12)*RATES!$N342/100</f>
        <v>38.208333333333336</v>
      </c>
      <c r="AP366" s="16">
        <f t="shared" si="250"/>
        <v>-156.33457639522172</v>
      </c>
      <c r="AQ366" s="15">
        <f t="shared" si="225"/>
        <v>22.170849845882874</v>
      </c>
      <c r="AR366" s="75">
        <f>AQ366*(1-PARAM!$C$27)*$I$13+(MOD($B366,60)=PARAM!$B$56)*($B366&gt;(60-PARAM!$B$56))*HLOOKUP(($B366+PARAM!$B$56)/12,Loyalty,2)*$F$1*MAX(AT365,0)</f>
        <v>18.557001321003963</v>
      </c>
      <c r="AS366" s="75">
        <f>PARAM!$C$26+MAX($G$13-CHOOSE(PARAM!$B$44,MAX(0,AT365*$F$1),0),0)*RATES!$L342/12+$H$13*(PARAM!$D$51/12)*RATES!$N342/100</f>
        <v>38.208333333333336</v>
      </c>
      <c r="AT366" s="16">
        <f t="shared" si="251"/>
        <v>-156.33457639522172</v>
      </c>
      <c r="AU366" s="15">
        <f t="shared" si="226"/>
        <v>22.170849845882874</v>
      </c>
      <c r="AV366" s="75">
        <f>AU366*(1-PARAM!$C$27)*$I$14+(MOD($B366,60)=PARAM!$B$56)*($B366&gt;(60-PARAM!$B$56))*HLOOKUP(($B366+PARAM!$B$56)/12,Loyalty,2)*$F$1*MAX(AX365,0)</f>
        <v>18.557001321003963</v>
      </c>
      <c r="AW366" s="75">
        <f>PARAM!$C$26+MAX($G$14-CHOOSE(PARAM!$B$44,MAX(0,AX365*$F$1),0),0)*RATES!$L342/12+$H$14*(PARAM!$D$51/12)*RATES!$N342/100</f>
        <v>38.208333333333336</v>
      </c>
      <c r="AX366" s="16">
        <f t="shared" si="252"/>
        <v>-156.33457639522172</v>
      </c>
      <c r="AY366" s="15">
        <f t="shared" si="227"/>
        <v>22.170849845882874</v>
      </c>
      <c r="AZ366" s="75">
        <f>AY366*(1-PARAM!$C$27)*$I$15+(MOD($B366,60)=PARAM!$B$56)*($B366&gt;(60-PARAM!$B$56))*HLOOKUP(($B366+PARAM!$B$56)/12,Loyalty,2)*$F$1*MAX(BB365,0)</f>
        <v>18.557001321003963</v>
      </c>
      <c r="BA366" s="75">
        <f>PARAM!$C$26+MAX($G$15-CHOOSE(PARAM!$B$44,MAX(0,BB365*$F$1),0),0)*RATES!$L342/12+$H$15*(PARAM!$D$51/12)*RATES!$N342/100</f>
        <v>38.208333333333336</v>
      </c>
      <c r="BB366" s="16">
        <f t="shared" si="253"/>
        <v>-156.33457639522172</v>
      </c>
      <c r="BC366" s="15">
        <f t="shared" si="228"/>
        <v>22.170849845882874</v>
      </c>
      <c r="BD366" s="75">
        <f>BC366*(1-PARAM!$C$27)*$I$16+(MOD($B366,60)=PARAM!$B$56)*($B366&gt;(60-PARAM!$B$56))*HLOOKUP(($B366+PARAM!$B$56)/12,Loyalty,2)*$F$1*MAX(BF365,0)</f>
        <v>18.557001321003963</v>
      </c>
      <c r="BE366" s="75">
        <f>PARAM!$C$26+MAX($G$16-CHOOSE(PARAM!$B$44,MAX(0,BF365*$F$1),0),0)*RATES!$L342/12+$H$16*(PARAM!$D$51/12)*RATES!$N342/100</f>
        <v>38.208333333333336</v>
      </c>
      <c r="BF366" s="16">
        <f t="shared" si="254"/>
        <v>-156.33457639522172</v>
      </c>
      <c r="BG366" s="15">
        <f t="shared" si="229"/>
        <v>22.170849845882874</v>
      </c>
      <c r="BH366" s="75">
        <f>BG366*(1-PARAM!$C$27)*$I$17+(MOD($B366,60)=PARAM!$B$56)*($B366&gt;(60-PARAM!$B$56))*HLOOKUP(($B366+PARAM!$B$56)/12,Loyalty,2)*$F$1*MAX(BJ365,0)</f>
        <v>18.557001321003963</v>
      </c>
      <c r="BI366" s="75">
        <f>PARAM!$C$26+MAX($G$17-CHOOSE(PARAM!$B$44,MAX(0,BJ365*$F$1),0),0)*RATES!$L342/12+$H$17*(PARAM!$D$51/12)*RATES!$N342/100</f>
        <v>38.208333333333336</v>
      </c>
      <c r="BJ366" s="16">
        <f t="shared" si="255"/>
        <v>-156.33457639522172</v>
      </c>
      <c r="BK366" s="15">
        <f t="shared" si="230"/>
        <v>22.170849845882874</v>
      </c>
      <c r="BL366" s="75">
        <f>BK366*(1-PARAM!$C$27)*$I$18+(MOD($B366,60)=PARAM!$B$56)*($B366&gt;(60-PARAM!$B$56))*HLOOKUP(($B366+PARAM!$B$56)/12,Loyalty,2)*$F$1*MAX(BN365,0)</f>
        <v>18.557001321003963</v>
      </c>
      <c r="BM366" s="75">
        <f>PARAM!$C$26+MAX($G$18-CHOOSE(PARAM!$B$44,MAX(0,BN365*$F$1),0),0)*RATES!$L342/12+$H$18*(PARAM!$D$51/12)*RATES!$N342/100</f>
        <v>38.208333333333336</v>
      </c>
      <c r="BN366" s="16">
        <f t="shared" si="256"/>
        <v>-156.33457639522172</v>
      </c>
      <c r="BO366" s="15">
        <f t="shared" si="231"/>
        <v>22.170849845882874</v>
      </c>
      <c r="BP366" s="75">
        <f>BO366*(1-PARAM!$C$27)*$I$19+(MOD($B366,60)=PARAM!$B$56)*($B366&gt;(60-PARAM!$B$56))*HLOOKUP(($B366+PARAM!$B$56)/12,Loyalty,2)*$F$1*MAX(BR365,0)</f>
        <v>18.557001321003963</v>
      </c>
      <c r="BQ366" s="75">
        <f>PARAM!$C$26+MAX($G$19-CHOOSE(PARAM!$B$44,MAX(0,BR365*$F$1),0),0)*RATES!$L342/12+$H$19*(PARAM!$D$51/12)*RATES!$N342/100</f>
        <v>38.208333333333336</v>
      </c>
      <c r="BR366" s="16">
        <f t="shared" si="257"/>
        <v>-156.33457639522172</v>
      </c>
      <c r="BS366" s="15">
        <f t="shared" si="232"/>
        <v>22.170849845882874</v>
      </c>
      <c r="BT366" s="75">
        <f>BS366*(1-PARAM!$C$27)*$I$20+(MOD($B366,60)=PARAM!$B$56)*($B366&gt;(60-PARAM!$B$56))*HLOOKUP(($B366+PARAM!$B$56)/12,Loyalty,2)*$F$1*MAX(BV365,0)</f>
        <v>18.557001321003963</v>
      </c>
      <c r="BU366" s="75">
        <f>PARAM!$C$26+MAX($G$20-CHOOSE(PARAM!$B$44,MAX(0,BV365*$F$1),0),0)*RATES!$L342/12+$H$20*(PARAM!$D$51/12)*RATES!$N342/100</f>
        <v>38.208333333333336</v>
      </c>
      <c r="BV366" s="16">
        <f t="shared" si="258"/>
        <v>-156.33457639522172</v>
      </c>
      <c r="BW366" s="15">
        <f t="shared" si="233"/>
        <v>22.170849845882874</v>
      </c>
      <c r="BX366" s="75">
        <f>BW366*(1-PARAM!$C$27)*$I$21+(MOD($B366,60)=PARAM!$B$56)*($B366&gt;(60-PARAM!$B$56))*HLOOKUP(($B366+PARAM!$B$56)/12,Loyalty,2)*$F$1*MAX(BZ365,0)</f>
        <v>18.557001321003963</v>
      </c>
      <c r="BY366" s="75">
        <f>PARAM!$C$26+MAX($G$21-CHOOSE(PARAM!$B$44,MAX(0,BZ365*$F$1),0),0)*RATES!$L342/12+$H$21*(PARAM!$D$51/12)*RATES!$N342/100</f>
        <v>38.208333333333336</v>
      </c>
      <c r="BZ366" s="16">
        <f t="shared" si="259"/>
        <v>-156.33457639522172</v>
      </c>
      <c r="CA366" s="15">
        <f t="shared" si="234"/>
        <v>22.170849845882874</v>
      </c>
      <c r="CB366" s="75">
        <f>CA366*(1-PARAM!$C$27)*$I$22+(MOD($B366,60)=PARAM!$B$56)*($B366&gt;(60-PARAM!$B$56))*HLOOKUP(($B366+PARAM!$B$56)/12,Loyalty,2)*$F$1*MAX(CD365,0)</f>
        <v>18.557001321003963</v>
      </c>
      <c r="CC366" s="75">
        <f>PARAM!$C$26+MAX($G$22-CHOOSE(PARAM!$B$44,MAX(0,CD365*$F$1),0),0)*RATES!$L342/12+$H$22*(PARAM!$D$51/12)*RATES!$N342/100</f>
        <v>38.208333333333336</v>
      </c>
      <c r="CD366" s="16">
        <f t="shared" si="260"/>
        <v>-156.33457639522172</v>
      </c>
      <c r="CE366" s="33">
        <f>IF(0=MOD(B366,12/PARAM!$D$51),1,0)</f>
        <v>1</v>
      </c>
      <c r="CF366" s="15">
        <f t="shared" si="235"/>
        <v>0</v>
      </c>
      <c r="CG366" s="75">
        <f>CF366*(1-PARAM!$C$27)*$R$3+(MOD($B366/12,5)=0)*($B366&gt;60)*HLOOKUP($B366/12,Loyalty,2)*$F$1*MAX(CI365,0)</f>
        <v>0</v>
      </c>
      <c r="CH366" s="75">
        <f>PARAM!$C$26+MAX($P$3-CHOOSE(PARAM!$B$44,MAX(0,CI365*$F$1),0),0)*RATES!$L342/12+$Q$3*(PARAM!$D$51/12)*RATES!$N342/100</f>
        <v>38.208333333333336</v>
      </c>
      <c r="CI366" s="16">
        <f>IF(CI365&gt;0,CI365*PARAM!$C$53,CI365)+CG366-CH366</f>
        <v>-6327.583333333323</v>
      </c>
      <c r="CJ366" s="15">
        <f t="shared" si="261"/>
        <v>0</v>
      </c>
      <c r="CK366" s="75">
        <f>CJ366*(1-PARAM!$C$27)*$R$4+(MOD($B366/12,5)=0)*($B366&gt;60)*HLOOKUP($B366/12,Loyalty,2)*$F$1*MAX(CM365,0)</f>
        <v>0</v>
      </c>
      <c r="CL366" s="75">
        <f>PARAM!$C$26+MAX($P$4-CHOOSE(PARAM!$B$44,MAX(0,CM365*$F$1),0),0)*RATES!$L342/12+$Q$4*(PARAM!$D$51/12)*RATES!$N342/100</f>
        <v>38.208333333333336</v>
      </c>
      <c r="CM366" s="16">
        <f>IF(CM365&gt;0,CM365*PARAM!$C$53,CM365)+CK366-CL366</f>
        <v>-6327.583333333323</v>
      </c>
      <c r="CO366" s="176"/>
    </row>
    <row r="367" spans="1:93" x14ac:dyDescent="0.2">
      <c r="A367" t="b">
        <f t="shared" si="236"/>
        <v>0</v>
      </c>
      <c r="B367" s="33">
        <v>340</v>
      </c>
      <c r="C367" s="15">
        <f t="shared" si="237"/>
        <v>20.081305947392778</v>
      </c>
      <c r="D367" s="75">
        <f>C367*(1-PARAM!$C$27)*$I$3+(MOD($B367,60)=PARAM!$B$56)*($B367&gt;(60-PARAM!$B$56))*HLOOKUP(($B367+PARAM!$B$56)/12,Loyalty,2)*$F$1*MAX(F366,0)</f>
        <v>16.808053077967756</v>
      </c>
      <c r="E367" s="75">
        <f>PARAM!$C$26+MAX($G$3-CHOOSE(PARAM!$B$44,MAX(0,F366*$F$1),0),0)*RATES!$L343/12+$H$3*(PARAM!$D$51/12)*RATES!$N343/100</f>
        <v>38.208333333333336</v>
      </c>
      <c r="F367" s="16">
        <f t="shared" si="238"/>
        <v>-807.47881156136418</v>
      </c>
      <c r="G367" s="15">
        <f t="shared" si="239"/>
        <v>22.035289406060361</v>
      </c>
      <c r="H367" s="75">
        <f>G367*(1-PARAM!$C$27)*$I$4+(MOD($B367,60)=PARAM!$B$56)*($B367&gt;(60-PARAM!$B$56))*HLOOKUP(($B367+PARAM!$B$56)/12,Loyalty,2)*$F$1*MAX(J366,0)</f>
        <v>18.443537232872522</v>
      </c>
      <c r="I367" s="75">
        <f>PARAM!$C$26+MAX($G$4-CHOOSE(PARAM!$B$44,MAX(0,J366*$F$1),0),0)*RATES!$L343/12+$H$4*(PARAM!$D$51/12)*RATES!$N343/100</f>
        <v>38.208333333333336</v>
      </c>
      <c r="J367" s="16">
        <f t="shared" si="240"/>
        <v>-217.58123477203472</v>
      </c>
      <c r="K367" s="15">
        <f t="shared" si="241"/>
        <v>22.170849845882874</v>
      </c>
      <c r="L367" s="75">
        <f>K367*(1-PARAM!$C$27)*$I$5+(MOD($B367,60)=PARAM!$B$56)*($B367&gt;(60-PARAM!$B$56))*HLOOKUP(($B367+PARAM!$B$56)/12,Loyalty,2)*$F$1*MAX(N366,0)</f>
        <v>18.557001321003963</v>
      </c>
      <c r="M367" s="75">
        <f>PARAM!$C$26+MAX($G$5-CHOOSE(PARAM!$B$44,MAX(0,N366*$F$1),0),0)*RATES!$L343/12+$H$5*(PARAM!$D$51/12)*RATES!$N343/100</f>
        <v>38.208333333333336</v>
      </c>
      <c r="N367" s="16">
        <f t="shared" si="242"/>
        <v>-175.98590840755111</v>
      </c>
      <c r="O367" s="15">
        <f t="shared" si="243"/>
        <v>22.170849845882874</v>
      </c>
      <c r="P367" s="75">
        <f>O367*(1-PARAM!$C$27)*$I$6+(MOD($B367,60)=PARAM!$B$56)*($B367&gt;(60-PARAM!$B$56))*HLOOKUP(($B367+PARAM!$B$56)/12,Loyalty,2)*$F$1*MAX(R366,0)</f>
        <v>18.557001321003963</v>
      </c>
      <c r="Q367" s="75">
        <f>PARAM!$C$26+MAX($G$6-CHOOSE(PARAM!$B$44,MAX(0,R366*$F$1),0),0)*RATES!$L343/12+$H$6*(PARAM!$D$51/12)*RATES!$N343/100</f>
        <v>38.208333333333336</v>
      </c>
      <c r="R367" s="16">
        <f t="shared" si="244"/>
        <v>-175.98590840755111</v>
      </c>
      <c r="S367" s="15">
        <f t="shared" si="219"/>
        <v>22.170849845882874</v>
      </c>
      <c r="T367" s="75">
        <f>S367*(1-PARAM!$C$27)*$I$7+(MOD($B367,60)=PARAM!$B$56)*($B367&gt;(60-PARAM!$B$56))*HLOOKUP(($B367+PARAM!$B$56)/12,Loyalty,2)*$F$1*MAX(V366,0)</f>
        <v>18.557001321003963</v>
      </c>
      <c r="U367" s="75">
        <f>PARAM!$C$26+MAX($G$7-CHOOSE(PARAM!$B$44,MAX(0,V366*$F$1),0),0)*RATES!$L343/12+$H$7*(PARAM!$D$51/12)*RATES!$N343/100</f>
        <v>38.208333333333336</v>
      </c>
      <c r="V367" s="16">
        <f t="shared" si="245"/>
        <v>-175.98590840755111</v>
      </c>
      <c r="W367" s="15">
        <f t="shared" si="220"/>
        <v>22.170849845882874</v>
      </c>
      <c r="X367" s="75">
        <f>W367*(1-PARAM!$C$27)*$I$8+(MOD($B367,60)=PARAM!$B$56)*($B367&gt;(60-PARAM!$B$56))*HLOOKUP(($B367+PARAM!$B$56)/12,Loyalty,2)*$F$1*MAX(Z366,0)</f>
        <v>18.557001321003963</v>
      </c>
      <c r="Y367" s="75">
        <f>PARAM!$C$26+MAX($G$8-CHOOSE(PARAM!$B$44,MAX(0,Z366*$F$1),0),0)*RATES!$L343/12+$H$8*(PARAM!$D$51/12)*RATES!$N343/100</f>
        <v>38.208333333333336</v>
      </c>
      <c r="Z367" s="16">
        <f t="shared" si="246"/>
        <v>-175.98590840755111</v>
      </c>
      <c r="AA367" s="15">
        <f t="shared" si="221"/>
        <v>22.170849845882874</v>
      </c>
      <c r="AB367" s="75">
        <f>AA367*(1-PARAM!$C$27)*$I$9+(MOD($B367,60)=PARAM!$B$56)*($B367&gt;(60-PARAM!$B$56))*HLOOKUP(($B367+PARAM!$B$56)/12,Loyalty,2)*$F$1*MAX(AD366,0)</f>
        <v>18.557001321003963</v>
      </c>
      <c r="AC367" s="75">
        <f>PARAM!$C$26+MAX($G$9-CHOOSE(PARAM!$B$44,MAX(0,AD366*$F$1),0),0)*RATES!$L343/12+$H$9*(PARAM!$D$51/12)*RATES!$N343/100</f>
        <v>38.208333333333336</v>
      </c>
      <c r="AD367" s="16">
        <f t="shared" si="247"/>
        <v>-175.98590840755111</v>
      </c>
      <c r="AE367" s="15">
        <f t="shared" si="222"/>
        <v>22.170849845882874</v>
      </c>
      <c r="AF367" s="75">
        <f>AE367*(1-PARAM!$C$27)*$I$10+(MOD($B367,60)=PARAM!$B$56)*($B367&gt;(60-PARAM!$B$56))*HLOOKUP(($B367+PARAM!$B$56)/12,Loyalty,2)*$F$1*MAX(AH366,0)</f>
        <v>18.557001321003963</v>
      </c>
      <c r="AG367" s="75">
        <f>PARAM!$C$26+MAX($G$10-CHOOSE(PARAM!$B$44,MAX(0,AH366*$F$1),0),0)*RATES!$L343/12+$H$10*(PARAM!$D$51/12)*RATES!$N343/100</f>
        <v>38.208333333333336</v>
      </c>
      <c r="AH367" s="16">
        <f t="shared" si="248"/>
        <v>-175.98590840755111</v>
      </c>
      <c r="AI367" s="15">
        <f t="shared" si="223"/>
        <v>22.170849845882874</v>
      </c>
      <c r="AJ367" s="75">
        <f>AI367*(1-PARAM!$C$27)*$I$11+(MOD($B367,60)=PARAM!$B$56)*($B367&gt;(60-PARAM!$B$56))*HLOOKUP(($B367+PARAM!$B$56)/12,Loyalty,2)*$F$1*MAX(AL366,0)</f>
        <v>18.557001321003963</v>
      </c>
      <c r="AK367" s="75">
        <f>PARAM!$C$26+MAX($G$11-CHOOSE(PARAM!$B$44,MAX(0,AL366*$F$1),0),0)*RATES!$L343/12+$H$11*(PARAM!$D$51/12)*RATES!$N343/100</f>
        <v>38.208333333333336</v>
      </c>
      <c r="AL367" s="16">
        <f t="shared" si="249"/>
        <v>-175.98590840755111</v>
      </c>
      <c r="AM367" s="15">
        <f t="shared" si="224"/>
        <v>22.170849845882874</v>
      </c>
      <c r="AN367" s="75">
        <f>AM367*(1-PARAM!$C$27)*$I$12+(MOD($B367,60)=PARAM!$B$56)*($B367&gt;(60-PARAM!$B$56))*HLOOKUP(($B367+PARAM!$B$56)/12,Loyalty,2)*$F$1*MAX(AP366,0)</f>
        <v>18.557001321003963</v>
      </c>
      <c r="AO367" s="75">
        <f>PARAM!$C$26+MAX($G$12-CHOOSE(PARAM!$B$44,MAX(0,AP366*$F$1),0),0)*RATES!$L343/12+$H$12*(PARAM!$D$51/12)*RATES!$N343/100</f>
        <v>38.208333333333336</v>
      </c>
      <c r="AP367" s="16">
        <f t="shared" si="250"/>
        <v>-175.98590840755111</v>
      </c>
      <c r="AQ367" s="15">
        <f t="shared" si="225"/>
        <v>22.170849845882874</v>
      </c>
      <c r="AR367" s="75">
        <f>AQ367*(1-PARAM!$C$27)*$I$13+(MOD($B367,60)=PARAM!$B$56)*($B367&gt;(60-PARAM!$B$56))*HLOOKUP(($B367+PARAM!$B$56)/12,Loyalty,2)*$F$1*MAX(AT366,0)</f>
        <v>18.557001321003963</v>
      </c>
      <c r="AS367" s="75">
        <f>PARAM!$C$26+MAX($G$13-CHOOSE(PARAM!$B$44,MAX(0,AT366*$F$1),0),0)*RATES!$L343/12+$H$13*(PARAM!$D$51/12)*RATES!$N343/100</f>
        <v>38.208333333333336</v>
      </c>
      <c r="AT367" s="16">
        <f t="shared" si="251"/>
        <v>-175.98590840755111</v>
      </c>
      <c r="AU367" s="15">
        <f t="shared" si="226"/>
        <v>22.170849845882874</v>
      </c>
      <c r="AV367" s="75">
        <f>AU367*(1-PARAM!$C$27)*$I$14+(MOD($B367,60)=PARAM!$B$56)*($B367&gt;(60-PARAM!$B$56))*HLOOKUP(($B367+PARAM!$B$56)/12,Loyalty,2)*$F$1*MAX(AX366,0)</f>
        <v>18.557001321003963</v>
      </c>
      <c r="AW367" s="75">
        <f>PARAM!$C$26+MAX($G$14-CHOOSE(PARAM!$B$44,MAX(0,AX366*$F$1),0),0)*RATES!$L343/12+$H$14*(PARAM!$D$51/12)*RATES!$N343/100</f>
        <v>38.208333333333336</v>
      </c>
      <c r="AX367" s="16">
        <f t="shared" si="252"/>
        <v>-175.98590840755111</v>
      </c>
      <c r="AY367" s="15">
        <f t="shared" si="227"/>
        <v>22.170849845882874</v>
      </c>
      <c r="AZ367" s="75">
        <f>AY367*(1-PARAM!$C$27)*$I$15+(MOD($B367,60)=PARAM!$B$56)*($B367&gt;(60-PARAM!$B$56))*HLOOKUP(($B367+PARAM!$B$56)/12,Loyalty,2)*$F$1*MAX(BB366,0)</f>
        <v>18.557001321003963</v>
      </c>
      <c r="BA367" s="75">
        <f>PARAM!$C$26+MAX($G$15-CHOOSE(PARAM!$B$44,MAX(0,BB366*$F$1),0),0)*RATES!$L343/12+$H$15*(PARAM!$D$51/12)*RATES!$N343/100</f>
        <v>38.208333333333336</v>
      </c>
      <c r="BB367" s="16">
        <f t="shared" si="253"/>
        <v>-175.98590840755111</v>
      </c>
      <c r="BC367" s="15">
        <f t="shared" si="228"/>
        <v>22.170849845882874</v>
      </c>
      <c r="BD367" s="75">
        <f>BC367*(1-PARAM!$C$27)*$I$16+(MOD($B367,60)=PARAM!$B$56)*($B367&gt;(60-PARAM!$B$56))*HLOOKUP(($B367+PARAM!$B$56)/12,Loyalty,2)*$F$1*MAX(BF366,0)</f>
        <v>18.557001321003963</v>
      </c>
      <c r="BE367" s="75">
        <f>PARAM!$C$26+MAX($G$16-CHOOSE(PARAM!$B$44,MAX(0,BF366*$F$1),0),0)*RATES!$L343/12+$H$16*(PARAM!$D$51/12)*RATES!$N343/100</f>
        <v>38.208333333333336</v>
      </c>
      <c r="BF367" s="16">
        <f t="shared" si="254"/>
        <v>-175.98590840755111</v>
      </c>
      <c r="BG367" s="15">
        <f t="shared" si="229"/>
        <v>22.170849845882874</v>
      </c>
      <c r="BH367" s="75">
        <f>BG367*(1-PARAM!$C$27)*$I$17+(MOD($B367,60)=PARAM!$B$56)*($B367&gt;(60-PARAM!$B$56))*HLOOKUP(($B367+PARAM!$B$56)/12,Loyalty,2)*$F$1*MAX(BJ366,0)</f>
        <v>18.557001321003963</v>
      </c>
      <c r="BI367" s="75">
        <f>PARAM!$C$26+MAX($G$17-CHOOSE(PARAM!$B$44,MAX(0,BJ366*$F$1),0),0)*RATES!$L343/12+$H$17*(PARAM!$D$51/12)*RATES!$N343/100</f>
        <v>38.208333333333336</v>
      </c>
      <c r="BJ367" s="16">
        <f t="shared" si="255"/>
        <v>-175.98590840755111</v>
      </c>
      <c r="BK367" s="15">
        <f t="shared" si="230"/>
        <v>22.170849845882874</v>
      </c>
      <c r="BL367" s="75">
        <f>BK367*(1-PARAM!$C$27)*$I$18+(MOD($B367,60)=PARAM!$B$56)*($B367&gt;(60-PARAM!$B$56))*HLOOKUP(($B367+PARAM!$B$56)/12,Loyalty,2)*$F$1*MAX(BN366,0)</f>
        <v>18.557001321003963</v>
      </c>
      <c r="BM367" s="75">
        <f>PARAM!$C$26+MAX($G$18-CHOOSE(PARAM!$B$44,MAX(0,BN366*$F$1),0),0)*RATES!$L343/12+$H$18*(PARAM!$D$51/12)*RATES!$N343/100</f>
        <v>38.208333333333336</v>
      </c>
      <c r="BN367" s="16">
        <f t="shared" si="256"/>
        <v>-175.98590840755111</v>
      </c>
      <c r="BO367" s="15">
        <f t="shared" si="231"/>
        <v>22.170849845882874</v>
      </c>
      <c r="BP367" s="75">
        <f>BO367*(1-PARAM!$C$27)*$I$19+(MOD($B367,60)=PARAM!$B$56)*($B367&gt;(60-PARAM!$B$56))*HLOOKUP(($B367+PARAM!$B$56)/12,Loyalty,2)*$F$1*MAX(BR366,0)</f>
        <v>18.557001321003963</v>
      </c>
      <c r="BQ367" s="75">
        <f>PARAM!$C$26+MAX($G$19-CHOOSE(PARAM!$B$44,MAX(0,BR366*$F$1),0),0)*RATES!$L343/12+$H$19*(PARAM!$D$51/12)*RATES!$N343/100</f>
        <v>38.208333333333336</v>
      </c>
      <c r="BR367" s="16">
        <f t="shared" si="257"/>
        <v>-175.98590840755111</v>
      </c>
      <c r="BS367" s="15">
        <f t="shared" si="232"/>
        <v>22.170849845882874</v>
      </c>
      <c r="BT367" s="75">
        <f>BS367*(1-PARAM!$C$27)*$I$20+(MOD($B367,60)=PARAM!$B$56)*($B367&gt;(60-PARAM!$B$56))*HLOOKUP(($B367+PARAM!$B$56)/12,Loyalty,2)*$F$1*MAX(BV366,0)</f>
        <v>18.557001321003963</v>
      </c>
      <c r="BU367" s="75">
        <f>PARAM!$C$26+MAX($G$20-CHOOSE(PARAM!$B$44,MAX(0,BV366*$F$1),0),0)*RATES!$L343/12+$H$20*(PARAM!$D$51/12)*RATES!$N343/100</f>
        <v>38.208333333333336</v>
      </c>
      <c r="BV367" s="16">
        <f t="shared" si="258"/>
        <v>-175.98590840755111</v>
      </c>
      <c r="BW367" s="15">
        <f t="shared" si="233"/>
        <v>22.170849845882874</v>
      </c>
      <c r="BX367" s="75">
        <f>BW367*(1-PARAM!$C$27)*$I$21+(MOD($B367,60)=PARAM!$B$56)*($B367&gt;(60-PARAM!$B$56))*HLOOKUP(($B367+PARAM!$B$56)/12,Loyalty,2)*$F$1*MAX(BZ366,0)</f>
        <v>18.557001321003963</v>
      </c>
      <c r="BY367" s="75">
        <f>PARAM!$C$26+MAX($G$21-CHOOSE(PARAM!$B$44,MAX(0,BZ366*$F$1),0),0)*RATES!$L343/12+$H$21*(PARAM!$D$51/12)*RATES!$N343/100</f>
        <v>38.208333333333336</v>
      </c>
      <c r="BZ367" s="16">
        <f t="shared" si="259"/>
        <v>-175.98590840755111</v>
      </c>
      <c r="CA367" s="15">
        <f t="shared" si="234"/>
        <v>22.170849845882874</v>
      </c>
      <c r="CB367" s="75">
        <f>CA367*(1-PARAM!$C$27)*$I$22+(MOD($B367,60)=PARAM!$B$56)*($B367&gt;(60-PARAM!$B$56))*HLOOKUP(($B367+PARAM!$B$56)/12,Loyalty,2)*$F$1*MAX(CD366,0)</f>
        <v>18.557001321003963</v>
      </c>
      <c r="CC367" s="75">
        <f>PARAM!$C$26+MAX($G$22-CHOOSE(PARAM!$B$44,MAX(0,CD366*$F$1),0),0)*RATES!$L343/12+$H$22*(PARAM!$D$51/12)*RATES!$N343/100</f>
        <v>38.208333333333336</v>
      </c>
      <c r="CD367" s="16">
        <f t="shared" si="260"/>
        <v>-175.98590840755111</v>
      </c>
      <c r="CE367" s="33">
        <f>IF(0=MOD(B367,12/PARAM!$D$51),1,0)</f>
        <v>1</v>
      </c>
      <c r="CF367" s="15">
        <f t="shared" si="235"/>
        <v>0</v>
      </c>
      <c r="CG367" s="75">
        <f>CF367*(1-PARAM!$C$27)*$R$3+(MOD($B367/12,5)=0)*($B367&gt;60)*HLOOKUP($B367/12,Loyalty,2)*$F$1*MAX(CI366,0)</f>
        <v>0</v>
      </c>
      <c r="CH367" s="75">
        <f>PARAM!$C$26+MAX($P$3-CHOOSE(PARAM!$B$44,MAX(0,CI366*$F$1),0),0)*RATES!$L343/12+$Q$3*(PARAM!$D$51/12)*RATES!$N343/100</f>
        <v>38.208333333333336</v>
      </c>
      <c r="CI367" s="16">
        <f>IF(CI366&gt;0,CI366*PARAM!$C$53,CI366)+CG367-CH367</f>
        <v>-6365.7916666666561</v>
      </c>
      <c r="CJ367" s="15">
        <f t="shared" si="261"/>
        <v>0</v>
      </c>
      <c r="CK367" s="75">
        <f>CJ367*(1-PARAM!$C$27)*$R$4+(MOD($B367/12,5)=0)*($B367&gt;60)*HLOOKUP($B367/12,Loyalty,2)*$F$1*MAX(CM366,0)</f>
        <v>0</v>
      </c>
      <c r="CL367" s="75">
        <f>PARAM!$C$26+MAX($P$4-CHOOSE(PARAM!$B$44,MAX(0,CM366*$F$1),0),0)*RATES!$L343/12+$Q$4*(PARAM!$D$51/12)*RATES!$N343/100</f>
        <v>38.208333333333336</v>
      </c>
      <c r="CM367" s="16">
        <f>IF(CM366&gt;0,CM366*PARAM!$C$53,CM366)+CK367-CL367</f>
        <v>-6365.7916666666561</v>
      </c>
      <c r="CO367" s="176"/>
    </row>
    <row r="368" spans="1:93" x14ac:dyDescent="0.2">
      <c r="A368" t="b">
        <f t="shared" si="236"/>
        <v>0</v>
      </c>
      <c r="B368" s="33">
        <v>341</v>
      </c>
      <c r="C368" s="15">
        <f t="shared" si="237"/>
        <v>20.081305947392778</v>
      </c>
      <c r="D368" s="75">
        <f>C368*(1-PARAM!$C$27)*$I$3+(MOD($B368,60)=PARAM!$B$56)*($B368&gt;(60-PARAM!$B$56))*HLOOKUP(($B368+PARAM!$B$56)/12,Loyalty,2)*$F$1*MAX(F367,0)</f>
        <v>16.808053077967756</v>
      </c>
      <c r="E368" s="75">
        <f>PARAM!$C$26+MAX($G$3-CHOOSE(PARAM!$B$44,MAX(0,F367*$F$1),0),0)*RATES!$L344/12+$H$3*(PARAM!$D$51/12)*RATES!$N344/100</f>
        <v>38.208333333333336</v>
      </c>
      <c r="F368" s="16">
        <f t="shared" si="238"/>
        <v>-828.87909181672978</v>
      </c>
      <c r="G368" s="15">
        <f t="shared" si="239"/>
        <v>22.035289406060361</v>
      </c>
      <c r="H368" s="75">
        <f>G368*(1-PARAM!$C$27)*$I$4+(MOD($B368,60)=PARAM!$B$56)*($B368&gt;(60-PARAM!$B$56))*HLOOKUP(($B368+PARAM!$B$56)/12,Loyalty,2)*$F$1*MAX(J367,0)</f>
        <v>18.443537232872522</v>
      </c>
      <c r="I368" s="75">
        <f>PARAM!$C$26+MAX($G$4-CHOOSE(PARAM!$B$44,MAX(0,J367*$F$1),0),0)*RATES!$L344/12+$H$4*(PARAM!$D$51/12)*RATES!$N344/100</f>
        <v>38.208333333333336</v>
      </c>
      <c r="J368" s="16">
        <f t="shared" si="240"/>
        <v>-237.34603087249553</v>
      </c>
      <c r="K368" s="15">
        <f t="shared" si="241"/>
        <v>22.170849845882874</v>
      </c>
      <c r="L368" s="75">
        <f>K368*(1-PARAM!$C$27)*$I$5+(MOD($B368,60)=PARAM!$B$56)*($B368&gt;(60-PARAM!$B$56))*HLOOKUP(($B368+PARAM!$B$56)/12,Loyalty,2)*$F$1*MAX(N367,0)</f>
        <v>18.557001321003963</v>
      </c>
      <c r="M368" s="75">
        <f>PARAM!$C$26+MAX($G$5-CHOOSE(PARAM!$B$44,MAX(0,N367*$F$1),0),0)*RATES!$L344/12+$H$5*(PARAM!$D$51/12)*RATES!$N344/100</f>
        <v>38.208333333333336</v>
      </c>
      <c r="N368" s="16">
        <f t="shared" si="242"/>
        <v>-195.6372404198805</v>
      </c>
      <c r="O368" s="15">
        <f t="shared" si="243"/>
        <v>22.170849845882874</v>
      </c>
      <c r="P368" s="75">
        <f>O368*(1-PARAM!$C$27)*$I$6+(MOD($B368,60)=PARAM!$B$56)*($B368&gt;(60-PARAM!$B$56))*HLOOKUP(($B368+PARAM!$B$56)/12,Loyalty,2)*$F$1*MAX(R367,0)</f>
        <v>18.557001321003963</v>
      </c>
      <c r="Q368" s="75">
        <f>PARAM!$C$26+MAX($G$6-CHOOSE(PARAM!$B$44,MAX(0,R367*$F$1),0),0)*RATES!$L344/12+$H$6*(PARAM!$D$51/12)*RATES!$N344/100</f>
        <v>38.208333333333336</v>
      </c>
      <c r="R368" s="16">
        <f t="shared" si="244"/>
        <v>-195.6372404198805</v>
      </c>
      <c r="S368" s="15">
        <f t="shared" si="219"/>
        <v>22.170849845882874</v>
      </c>
      <c r="T368" s="75">
        <f>S368*(1-PARAM!$C$27)*$I$7+(MOD($B368,60)=PARAM!$B$56)*($B368&gt;(60-PARAM!$B$56))*HLOOKUP(($B368+PARAM!$B$56)/12,Loyalty,2)*$F$1*MAX(V367,0)</f>
        <v>18.557001321003963</v>
      </c>
      <c r="U368" s="75">
        <f>PARAM!$C$26+MAX($G$7-CHOOSE(PARAM!$B$44,MAX(0,V367*$F$1),0),0)*RATES!$L344/12+$H$7*(PARAM!$D$51/12)*RATES!$N344/100</f>
        <v>38.208333333333336</v>
      </c>
      <c r="V368" s="16">
        <f t="shared" si="245"/>
        <v>-195.6372404198805</v>
      </c>
      <c r="W368" s="15">
        <f t="shared" si="220"/>
        <v>22.170849845882874</v>
      </c>
      <c r="X368" s="75">
        <f>W368*(1-PARAM!$C$27)*$I$8+(MOD($B368,60)=PARAM!$B$56)*($B368&gt;(60-PARAM!$B$56))*HLOOKUP(($B368+PARAM!$B$56)/12,Loyalty,2)*$F$1*MAX(Z367,0)</f>
        <v>18.557001321003963</v>
      </c>
      <c r="Y368" s="75">
        <f>PARAM!$C$26+MAX($G$8-CHOOSE(PARAM!$B$44,MAX(0,Z367*$F$1),0),0)*RATES!$L344/12+$H$8*(PARAM!$D$51/12)*RATES!$N344/100</f>
        <v>38.208333333333336</v>
      </c>
      <c r="Z368" s="16">
        <f t="shared" si="246"/>
        <v>-195.6372404198805</v>
      </c>
      <c r="AA368" s="15">
        <f t="shared" si="221"/>
        <v>22.170849845882874</v>
      </c>
      <c r="AB368" s="75">
        <f>AA368*(1-PARAM!$C$27)*$I$9+(MOD($B368,60)=PARAM!$B$56)*($B368&gt;(60-PARAM!$B$56))*HLOOKUP(($B368+PARAM!$B$56)/12,Loyalty,2)*$F$1*MAX(AD367,0)</f>
        <v>18.557001321003963</v>
      </c>
      <c r="AC368" s="75">
        <f>PARAM!$C$26+MAX($G$9-CHOOSE(PARAM!$B$44,MAX(0,AD367*$F$1),0),0)*RATES!$L344/12+$H$9*(PARAM!$D$51/12)*RATES!$N344/100</f>
        <v>38.208333333333336</v>
      </c>
      <c r="AD368" s="16">
        <f t="shared" si="247"/>
        <v>-195.6372404198805</v>
      </c>
      <c r="AE368" s="15">
        <f t="shared" si="222"/>
        <v>22.170849845882874</v>
      </c>
      <c r="AF368" s="75">
        <f>AE368*(1-PARAM!$C$27)*$I$10+(MOD($B368,60)=PARAM!$B$56)*($B368&gt;(60-PARAM!$B$56))*HLOOKUP(($B368+PARAM!$B$56)/12,Loyalty,2)*$F$1*MAX(AH367,0)</f>
        <v>18.557001321003963</v>
      </c>
      <c r="AG368" s="75">
        <f>PARAM!$C$26+MAX($G$10-CHOOSE(PARAM!$B$44,MAX(0,AH367*$F$1),0),0)*RATES!$L344/12+$H$10*(PARAM!$D$51/12)*RATES!$N344/100</f>
        <v>38.208333333333336</v>
      </c>
      <c r="AH368" s="16">
        <f t="shared" si="248"/>
        <v>-195.6372404198805</v>
      </c>
      <c r="AI368" s="15">
        <f t="shared" si="223"/>
        <v>22.170849845882874</v>
      </c>
      <c r="AJ368" s="75">
        <f>AI368*(1-PARAM!$C$27)*$I$11+(MOD($B368,60)=PARAM!$B$56)*($B368&gt;(60-PARAM!$B$56))*HLOOKUP(($B368+PARAM!$B$56)/12,Loyalty,2)*$F$1*MAX(AL367,0)</f>
        <v>18.557001321003963</v>
      </c>
      <c r="AK368" s="75">
        <f>PARAM!$C$26+MAX($G$11-CHOOSE(PARAM!$B$44,MAX(0,AL367*$F$1),0),0)*RATES!$L344/12+$H$11*(PARAM!$D$51/12)*RATES!$N344/100</f>
        <v>38.208333333333336</v>
      </c>
      <c r="AL368" s="16">
        <f t="shared" si="249"/>
        <v>-195.6372404198805</v>
      </c>
      <c r="AM368" s="15">
        <f t="shared" si="224"/>
        <v>22.170849845882874</v>
      </c>
      <c r="AN368" s="75">
        <f>AM368*(1-PARAM!$C$27)*$I$12+(MOD($B368,60)=PARAM!$B$56)*($B368&gt;(60-PARAM!$B$56))*HLOOKUP(($B368+PARAM!$B$56)/12,Loyalty,2)*$F$1*MAX(AP367,0)</f>
        <v>18.557001321003963</v>
      </c>
      <c r="AO368" s="75">
        <f>PARAM!$C$26+MAX($G$12-CHOOSE(PARAM!$B$44,MAX(0,AP367*$F$1),0),0)*RATES!$L344/12+$H$12*(PARAM!$D$51/12)*RATES!$N344/100</f>
        <v>38.208333333333336</v>
      </c>
      <c r="AP368" s="16">
        <f t="shared" si="250"/>
        <v>-195.6372404198805</v>
      </c>
      <c r="AQ368" s="15">
        <f t="shared" si="225"/>
        <v>22.170849845882874</v>
      </c>
      <c r="AR368" s="75">
        <f>AQ368*(1-PARAM!$C$27)*$I$13+(MOD($B368,60)=PARAM!$B$56)*($B368&gt;(60-PARAM!$B$56))*HLOOKUP(($B368+PARAM!$B$56)/12,Loyalty,2)*$F$1*MAX(AT367,0)</f>
        <v>18.557001321003963</v>
      </c>
      <c r="AS368" s="75">
        <f>PARAM!$C$26+MAX($G$13-CHOOSE(PARAM!$B$44,MAX(0,AT367*$F$1),0),0)*RATES!$L344/12+$H$13*(PARAM!$D$51/12)*RATES!$N344/100</f>
        <v>38.208333333333336</v>
      </c>
      <c r="AT368" s="16">
        <f t="shared" si="251"/>
        <v>-195.6372404198805</v>
      </c>
      <c r="AU368" s="15">
        <f t="shared" si="226"/>
        <v>22.170849845882874</v>
      </c>
      <c r="AV368" s="75">
        <f>AU368*(1-PARAM!$C$27)*$I$14+(MOD($B368,60)=PARAM!$B$56)*($B368&gt;(60-PARAM!$B$56))*HLOOKUP(($B368+PARAM!$B$56)/12,Loyalty,2)*$F$1*MAX(AX367,0)</f>
        <v>18.557001321003963</v>
      </c>
      <c r="AW368" s="75">
        <f>PARAM!$C$26+MAX($G$14-CHOOSE(PARAM!$B$44,MAX(0,AX367*$F$1),0),0)*RATES!$L344/12+$H$14*(PARAM!$D$51/12)*RATES!$N344/100</f>
        <v>38.208333333333336</v>
      </c>
      <c r="AX368" s="16">
        <f t="shared" si="252"/>
        <v>-195.6372404198805</v>
      </c>
      <c r="AY368" s="15">
        <f t="shared" si="227"/>
        <v>22.170849845882874</v>
      </c>
      <c r="AZ368" s="75">
        <f>AY368*(1-PARAM!$C$27)*$I$15+(MOD($B368,60)=PARAM!$B$56)*($B368&gt;(60-PARAM!$B$56))*HLOOKUP(($B368+PARAM!$B$56)/12,Loyalty,2)*$F$1*MAX(BB367,0)</f>
        <v>18.557001321003963</v>
      </c>
      <c r="BA368" s="75">
        <f>PARAM!$C$26+MAX($G$15-CHOOSE(PARAM!$B$44,MAX(0,BB367*$F$1),0),0)*RATES!$L344/12+$H$15*(PARAM!$D$51/12)*RATES!$N344/100</f>
        <v>38.208333333333336</v>
      </c>
      <c r="BB368" s="16">
        <f t="shared" si="253"/>
        <v>-195.6372404198805</v>
      </c>
      <c r="BC368" s="15">
        <f t="shared" si="228"/>
        <v>22.170849845882874</v>
      </c>
      <c r="BD368" s="75">
        <f>BC368*(1-PARAM!$C$27)*$I$16+(MOD($B368,60)=PARAM!$B$56)*($B368&gt;(60-PARAM!$B$56))*HLOOKUP(($B368+PARAM!$B$56)/12,Loyalty,2)*$F$1*MAX(BF367,0)</f>
        <v>18.557001321003963</v>
      </c>
      <c r="BE368" s="75">
        <f>PARAM!$C$26+MAX($G$16-CHOOSE(PARAM!$B$44,MAX(0,BF367*$F$1),0),0)*RATES!$L344/12+$H$16*(PARAM!$D$51/12)*RATES!$N344/100</f>
        <v>38.208333333333336</v>
      </c>
      <c r="BF368" s="16">
        <f t="shared" si="254"/>
        <v>-195.6372404198805</v>
      </c>
      <c r="BG368" s="15">
        <f t="shared" si="229"/>
        <v>22.170849845882874</v>
      </c>
      <c r="BH368" s="75">
        <f>BG368*(1-PARAM!$C$27)*$I$17+(MOD($B368,60)=PARAM!$B$56)*($B368&gt;(60-PARAM!$B$56))*HLOOKUP(($B368+PARAM!$B$56)/12,Loyalty,2)*$F$1*MAX(BJ367,0)</f>
        <v>18.557001321003963</v>
      </c>
      <c r="BI368" s="75">
        <f>PARAM!$C$26+MAX($G$17-CHOOSE(PARAM!$B$44,MAX(0,BJ367*$F$1),0),0)*RATES!$L344/12+$H$17*(PARAM!$D$51/12)*RATES!$N344/100</f>
        <v>38.208333333333336</v>
      </c>
      <c r="BJ368" s="16">
        <f t="shared" si="255"/>
        <v>-195.6372404198805</v>
      </c>
      <c r="BK368" s="15">
        <f t="shared" si="230"/>
        <v>22.170849845882874</v>
      </c>
      <c r="BL368" s="75">
        <f>BK368*(1-PARAM!$C$27)*$I$18+(MOD($B368,60)=PARAM!$B$56)*($B368&gt;(60-PARAM!$B$56))*HLOOKUP(($B368+PARAM!$B$56)/12,Loyalty,2)*$F$1*MAX(BN367,0)</f>
        <v>18.557001321003963</v>
      </c>
      <c r="BM368" s="75">
        <f>PARAM!$C$26+MAX($G$18-CHOOSE(PARAM!$B$44,MAX(0,BN367*$F$1),0),0)*RATES!$L344/12+$H$18*(PARAM!$D$51/12)*RATES!$N344/100</f>
        <v>38.208333333333336</v>
      </c>
      <c r="BN368" s="16">
        <f t="shared" si="256"/>
        <v>-195.6372404198805</v>
      </c>
      <c r="BO368" s="15">
        <f t="shared" si="231"/>
        <v>22.170849845882874</v>
      </c>
      <c r="BP368" s="75">
        <f>BO368*(1-PARAM!$C$27)*$I$19+(MOD($B368,60)=PARAM!$B$56)*($B368&gt;(60-PARAM!$B$56))*HLOOKUP(($B368+PARAM!$B$56)/12,Loyalty,2)*$F$1*MAX(BR367,0)</f>
        <v>18.557001321003963</v>
      </c>
      <c r="BQ368" s="75">
        <f>PARAM!$C$26+MAX($G$19-CHOOSE(PARAM!$B$44,MAX(0,BR367*$F$1),0),0)*RATES!$L344/12+$H$19*(PARAM!$D$51/12)*RATES!$N344/100</f>
        <v>38.208333333333336</v>
      </c>
      <c r="BR368" s="16">
        <f t="shared" si="257"/>
        <v>-195.6372404198805</v>
      </c>
      <c r="BS368" s="15">
        <f t="shared" si="232"/>
        <v>22.170849845882874</v>
      </c>
      <c r="BT368" s="75">
        <f>BS368*(1-PARAM!$C$27)*$I$20+(MOD($B368,60)=PARAM!$B$56)*($B368&gt;(60-PARAM!$B$56))*HLOOKUP(($B368+PARAM!$B$56)/12,Loyalty,2)*$F$1*MAX(BV367,0)</f>
        <v>18.557001321003963</v>
      </c>
      <c r="BU368" s="75">
        <f>PARAM!$C$26+MAX($G$20-CHOOSE(PARAM!$B$44,MAX(0,BV367*$F$1),0),0)*RATES!$L344/12+$H$20*(PARAM!$D$51/12)*RATES!$N344/100</f>
        <v>38.208333333333336</v>
      </c>
      <c r="BV368" s="16">
        <f t="shared" si="258"/>
        <v>-195.6372404198805</v>
      </c>
      <c r="BW368" s="15">
        <f t="shared" si="233"/>
        <v>22.170849845882874</v>
      </c>
      <c r="BX368" s="75">
        <f>BW368*(1-PARAM!$C$27)*$I$21+(MOD($B368,60)=PARAM!$B$56)*($B368&gt;(60-PARAM!$B$56))*HLOOKUP(($B368+PARAM!$B$56)/12,Loyalty,2)*$F$1*MAX(BZ367,0)</f>
        <v>18.557001321003963</v>
      </c>
      <c r="BY368" s="75">
        <f>PARAM!$C$26+MAX($G$21-CHOOSE(PARAM!$B$44,MAX(0,BZ367*$F$1),0),0)*RATES!$L344/12+$H$21*(PARAM!$D$51/12)*RATES!$N344/100</f>
        <v>38.208333333333336</v>
      </c>
      <c r="BZ368" s="16">
        <f t="shared" si="259"/>
        <v>-195.6372404198805</v>
      </c>
      <c r="CA368" s="15">
        <f t="shared" si="234"/>
        <v>22.170849845882874</v>
      </c>
      <c r="CB368" s="75">
        <f>CA368*(1-PARAM!$C$27)*$I$22+(MOD($B368,60)=PARAM!$B$56)*($B368&gt;(60-PARAM!$B$56))*HLOOKUP(($B368+PARAM!$B$56)/12,Loyalty,2)*$F$1*MAX(CD367,0)</f>
        <v>18.557001321003963</v>
      </c>
      <c r="CC368" s="75">
        <f>PARAM!$C$26+MAX($G$22-CHOOSE(PARAM!$B$44,MAX(0,CD367*$F$1),0),0)*RATES!$L344/12+$H$22*(PARAM!$D$51/12)*RATES!$N344/100</f>
        <v>38.208333333333336</v>
      </c>
      <c r="CD368" s="16">
        <f t="shared" si="260"/>
        <v>-195.6372404198805</v>
      </c>
      <c r="CE368" s="33">
        <f>IF(0=MOD(B368,12/PARAM!$D$51),1,0)</f>
        <v>1</v>
      </c>
      <c r="CF368" s="15">
        <f t="shared" si="235"/>
        <v>0</v>
      </c>
      <c r="CG368" s="75">
        <f>CF368*(1-PARAM!$C$27)*$R$3+(MOD($B368/12,5)=0)*($B368&gt;60)*HLOOKUP($B368/12,Loyalty,2)*$F$1*MAX(CI367,0)</f>
        <v>0</v>
      </c>
      <c r="CH368" s="75">
        <f>PARAM!$C$26+MAX($P$3-CHOOSE(PARAM!$B$44,MAX(0,CI367*$F$1),0),0)*RATES!$L344/12+$Q$3*(PARAM!$D$51/12)*RATES!$N344/100</f>
        <v>38.208333333333336</v>
      </c>
      <c r="CI368" s="16">
        <f>IF(CI367&gt;0,CI367*PARAM!$C$53,CI367)+CG368-CH368</f>
        <v>-6403.9999999999891</v>
      </c>
      <c r="CJ368" s="15">
        <f t="shared" si="261"/>
        <v>0</v>
      </c>
      <c r="CK368" s="75">
        <f>CJ368*(1-PARAM!$C$27)*$R$4+(MOD($B368/12,5)=0)*($B368&gt;60)*HLOOKUP($B368/12,Loyalty,2)*$F$1*MAX(CM367,0)</f>
        <v>0</v>
      </c>
      <c r="CL368" s="75">
        <f>PARAM!$C$26+MAX($P$4-CHOOSE(PARAM!$B$44,MAX(0,CM367*$F$1),0),0)*RATES!$L344/12+$Q$4*(PARAM!$D$51/12)*RATES!$N344/100</f>
        <v>38.208333333333336</v>
      </c>
      <c r="CM368" s="16">
        <f>IF(CM367&gt;0,CM367*PARAM!$C$53,CM367)+CK368-CL368</f>
        <v>-6403.9999999999891</v>
      </c>
      <c r="CO368" s="176"/>
    </row>
    <row r="369" spans="1:93" x14ac:dyDescent="0.2">
      <c r="A369" t="b">
        <f t="shared" si="236"/>
        <v>0</v>
      </c>
      <c r="B369" s="33">
        <v>342</v>
      </c>
      <c r="C369" s="15">
        <f t="shared" si="237"/>
        <v>20.081305947392778</v>
      </c>
      <c r="D369" s="75">
        <f>C369*(1-PARAM!$C$27)*$I$3+(MOD($B369,60)=PARAM!$B$56)*($B369&gt;(60-PARAM!$B$56))*HLOOKUP(($B369+PARAM!$B$56)/12,Loyalty,2)*$F$1*MAX(F368,0)</f>
        <v>16.808053077967756</v>
      </c>
      <c r="E369" s="75">
        <f>PARAM!$C$26+MAX($G$3-CHOOSE(PARAM!$B$44,MAX(0,F368*$F$1),0),0)*RATES!$L345/12+$H$3*(PARAM!$D$51/12)*RATES!$N345/100</f>
        <v>42.000000000000007</v>
      </c>
      <c r="F369" s="16">
        <f t="shared" si="238"/>
        <v>-854.07103873876201</v>
      </c>
      <c r="G369" s="15">
        <f t="shared" si="239"/>
        <v>22.035289406060361</v>
      </c>
      <c r="H369" s="75">
        <f>G369*(1-PARAM!$C$27)*$I$4+(MOD($B369,60)=PARAM!$B$56)*($B369&gt;(60-PARAM!$B$56))*HLOOKUP(($B369+PARAM!$B$56)/12,Loyalty,2)*$F$1*MAX(J368,0)</f>
        <v>18.443537232872522</v>
      </c>
      <c r="I369" s="75">
        <f>PARAM!$C$26+MAX($G$4-CHOOSE(PARAM!$B$44,MAX(0,J368*$F$1),0),0)*RATES!$L345/12+$H$4*(PARAM!$D$51/12)*RATES!$N345/100</f>
        <v>42.000000000000007</v>
      </c>
      <c r="J369" s="16">
        <f t="shared" si="240"/>
        <v>-260.902493639623</v>
      </c>
      <c r="K369" s="15">
        <f t="shared" si="241"/>
        <v>22.170849845882874</v>
      </c>
      <c r="L369" s="75">
        <f>K369*(1-PARAM!$C$27)*$I$5+(MOD($B369,60)=PARAM!$B$56)*($B369&gt;(60-PARAM!$B$56))*HLOOKUP(($B369+PARAM!$B$56)/12,Loyalty,2)*$F$1*MAX(N368,0)</f>
        <v>18.557001321003963</v>
      </c>
      <c r="M369" s="75">
        <f>PARAM!$C$26+MAX($G$5-CHOOSE(PARAM!$B$44,MAX(0,N368*$F$1),0),0)*RATES!$L345/12+$H$5*(PARAM!$D$51/12)*RATES!$N345/100</f>
        <v>42.000000000000007</v>
      </c>
      <c r="N369" s="16">
        <f t="shared" si="242"/>
        <v>-219.08023909887655</v>
      </c>
      <c r="O369" s="15">
        <f t="shared" si="243"/>
        <v>22.170849845882874</v>
      </c>
      <c r="P369" s="75">
        <f>O369*(1-PARAM!$C$27)*$I$6+(MOD($B369,60)=PARAM!$B$56)*($B369&gt;(60-PARAM!$B$56))*HLOOKUP(($B369+PARAM!$B$56)/12,Loyalty,2)*$F$1*MAX(R368,0)</f>
        <v>18.557001321003963</v>
      </c>
      <c r="Q369" s="75">
        <f>PARAM!$C$26+MAX($G$6-CHOOSE(PARAM!$B$44,MAX(0,R368*$F$1),0),0)*RATES!$L345/12+$H$6*(PARAM!$D$51/12)*RATES!$N345/100</f>
        <v>42.000000000000007</v>
      </c>
      <c r="R369" s="16">
        <f t="shared" si="244"/>
        <v>-219.08023909887655</v>
      </c>
      <c r="S369" s="15">
        <f t="shared" si="219"/>
        <v>22.170849845882874</v>
      </c>
      <c r="T369" s="75">
        <f>S369*(1-PARAM!$C$27)*$I$7+(MOD($B369,60)=PARAM!$B$56)*($B369&gt;(60-PARAM!$B$56))*HLOOKUP(($B369+PARAM!$B$56)/12,Loyalty,2)*$F$1*MAX(V368,0)</f>
        <v>18.557001321003963</v>
      </c>
      <c r="U369" s="75">
        <f>PARAM!$C$26+MAX($G$7-CHOOSE(PARAM!$B$44,MAX(0,V368*$F$1),0),0)*RATES!$L345/12+$H$7*(PARAM!$D$51/12)*RATES!$N345/100</f>
        <v>42.000000000000007</v>
      </c>
      <c r="V369" s="16">
        <f t="shared" si="245"/>
        <v>-219.08023909887655</v>
      </c>
      <c r="W369" s="15">
        <f t="shared" si="220"/>
        <v>22.170849845882874</v>
      </c>
      <c r="X369" s="75">
        <f>W369*(1-PARAM!$C$27)*$I$8+(MOD($B369,60)=PARAM!$B$56)*($B369&gt;(60-PARAM!$B$56))*HLOOKUP(($B369+PARAM!$B$56)/12,Loyalty,2)*$F$1*MAX(Z368,0)</f>
        <v>18.557001321003963</v>
      </c>
      <c r="Y369" s="75">
        <f>PARAM!$C$26+MAX($G$8-CHOOSE(PARAM!$B$44,MAX(0,Z368*$F$1),0),0)*RATES!$L345/12+$H$8*(PARAM!$D$51/12)*RATES!$N345/100</f>
        <v>42.000000000000007</v>
      </c>
      <c r="Z369" s="16">
        <f t="shared" si="246"/>
        <v>-219.08023909887655</v>
      </c>
      <c r="AA369" s="15">
        <f t="shared" si="221"/>
        <v>22.170849845882874</v>
      </c>
      <c r="AB369" s="75">
        <f>AA369*(1-PARAM!$C$27)*$I$9+(MOD($B369,60)=PARAM!$B$56)*($B369&gt;(60-PARAM!$B$56))*HLOOKUP(($B369+PARAM!$B$56)/12,Loyalty,2)*$F$1*MAX(AD368,0)</f>
        <v>18.557001321003963</v>
      </c>
      <c r="AC369" s="75">
        <f>PARAM!$C$26+MAX($G$9-CHOOSE(PARAM!$B$44,MAX(0,AD368*$F$1),0),0)*RATES!$L345/12+$H$9*(PARAM!$D$51/12)*RATES!$N345/100</f>
        <v>42.000000000000007</v>
      </c>
      <c r="AD369" s="16">
        <f t="shared" si="247"/>
        <v>-219.08023909887655</v>
      </c>
      <c r="AE369" s="15">
        <f t="shared" si="222"/>
        <v>22.170849845882874</v>
      </c>
      <c r="AF369" s="75">
        <f>AE369*(1-PARAM!$C$27)*$I$10+(MOD($B369,60)=PARAM!$B$56)*($B369&gt;(60-PARAM!$B$56))*HLOOKUP(($B369+PARAM!$B$56)/12,Loyalty,2)*$F$1*MAX(AH368,0)</f>
        <v>18.557001321003963</v>
      </c>
      <c r="AG369" s="75">
        <f>PARAM!$C$26+MAX($G$10-CHOOSE(PARAM!$B$44,MAX(0,AH368*$F$1),0),0)*RATES!$L345/12+$H$10*(PARAM!$D$51/12)*RATES!$N345/100</f>
        <v>42.000000000000007</v>
      </c>
      <c r="AH369" s="16">
        <f t="shared" si="248"/>
        <v>-219.08023909887655</v>
      </c>
      <c r="AI369" s="15">
        <f t="shared" si="223"/>
        <v>22.170849845882874</v>
      </c>
      <c r="AJ369" s="75">
        <f>AI369*(1-PARAM!$C$27)*$I$11+(MOD($B369,60)=PARAM!$B$56)*($B369&gt;(60-PARAM!$B$56))*HLOOKUP(($B369+PARAM!$B$56)/12,Loyalty,2)*$F$1*MAX(AL368,0)</f>
        <v>18.557001321003963</v>
      </c>
      <c r="AK369" s="75">
        <f>PARAM!$C$26+MAX($G$11-CHOOSE(PARAM!$B$44,MAX(0,AL368*$F$1),0),0)*RATES!$L345/12+$H$11*(PARAM!$D$51/12)*RATES!$N345/100</f>
        <v>42.000000000000007</v>
      </c>
      <c r="AL369" s="16">
        <f t="shared" si="249"/>
        <v>-219.08023909887655</v>
      </c>
      <c r="AM369" s="15">
        <f t="shared" si="224"/>
        <v>22.170849845882874</v>
      </c>
      <c r="AN369" s="75">
        <f>AM369*(1-PARAM!$C$27)*$I$12+(MOD($B369,60)=PARAM!$B$56)*($B369&gt;(60-PARAM!$B$56))*HLOOKUP(($B369+PARAM!$B$56)/12,Loyalty,2)*$F$1*MAX(AP368,0)</f>
        <v>18.557001321003963</v>
      </c>
      <c r="AO369" s="75">
        <f>PARAM!$C$26+MAX($G$12-CHOOSE(PARAM!$B$44,MAX(0,AP368*$F$1),0),0)*RATES!$L345/12+$H$12*(PARAM!$D$51/12)*RATES!$N345/100</f>
        <v>42.000000000000007</v>
      </c>
      <c r="AP369" s="16">
        <f t="shared" si="250"/>
        <v>-219.08023909887655</v>
      </c>
      <c r="AQ369" s="15">
        <f t="shared" si="225"/>
        <v>22.170849845882874</v>
      </c>
      <c r="AR369" s="75">
        <f>AQ369*(1-PARAM!$C$27)*$I$13+(MOD($B369,60)=PARAM!$B$56)*($B369&gt;(60-PARAM!$B$56))*HLOOKUP(($B369+PARAM!$B$56)/12,Loyalty,2)*$F$1*MAX(AT368,0)</f>
        <v>18.557001321003963</v>
      </c>
      <c r="AS369" s="75">
        <f>PARAM!$C$26+MAX($G$13-CHOOSE(PARAM!$B$44,MAX(0,AT368*$F$1),0),0)*RATES!$L345/12+$H$13*(PARAM!$D$51/12)*RATES!$N345/100</f>
        <v>42.000000000000007</v>
      </c>
      <c r="AT369" s="16">
        <f t="shared" si="251"/>
        <v>-219.08023909887655</v>
      </c>
      <c r="AU369" s="15">
        <f t="shared" si="226"/>
        <v>22.170849845882874</v>
      </c>
      <c r="AV369" s="75">
        <f>AU369*(1-PARAM!$C$27)*$I$14+(MOD($B369,60)=PARAM!$B$56)*($B369&gt;(60-PARAM!$B$56))*HLOOKUP(($B369+PARAM!$B$56)/12,Loyalty,2)*$F$1*MAX(AX368,0)</f>
        <v>18.557001321003963</v>
      </c>
      <c r="AW369" s="75">
        <f>PARAM!$C$26+MAX($G$14-CHOOSE(PARAM!$B$44,MAX(0,AX368*$F$1),0),0)*RATES!$L345/12+$H$14*(PARAM!$D$51/12)*RATES!$N345/100</f>
        <v>42.000000000000007</v>
      </c>
      <c r="AX369" s="16">
        <f t="shared" si="252"/>
        <v>-219.08023909887655</v>
      </c>
      <c r="AY369" s="15">
        <f t="shared" si="227"/>
        <v>22.170849845882874</v>
      </c>
      <c r="AZ369" s="75">
        <f>AY369*(1-PARAM!$C$27)*$I$15+(MOD($B369,60)=PARAM!$B$56)*($B369&gt;(60-PARAM!$B$56))*HLOOKUP(($B369+PARAM!$B$56)/12,Loyalty,2)*$F$1*MAX(BB368,0)</f>
        <v>18.557001321003963</v>
      </c>
      <c r="BA369" s="75">
        <f>PARAM!$C$26+MAX($G$15-CHOOSE(PARAM!$B$44,MAX(0,BB368*$F$1),0),0)*RATES!$L345/12+$H$15*(PARAM!$D$51/12)*RATES!$N345/100</f>
        <v>42.000000000000007</v>
      </c>
      <c r="BB369" s="16">
        <f t="shared" si="253"/>
        <v>-219.08023909887655</v>
      </c>
      <c r="BC369" s="15">
        <f t="shared" si="228"/>
        <v>22.170849845882874</v>
      </c>
      <c r="BD369" s="75">
        <f>BC369*(1-PARAM!$C$27)*$I$16+(MOD($B369,60)=PARAM!$B$56)*($B369&gt;(60-PARAM!$B$56))*HLOOKUP(($B369+PARAM!$B$56)/12,Loyalty,2)*$F$1*MAX(BF368,0)</f>
        <v>18.557001321003963</v>
      </c>
      <c r="BE369" s="75">
        <f>PARAM!$C$26+MAX($G$16-CHOOSE(PARAM!$B$44,MAX(0,BF368*$F$1),0),0)*RATES!$L345/12+$H$16*(PARAM!$D$51/12)*RATES!$N345/100</f>
        <v>42.000000000000007</v>
      </c>
      <c r="BF369" s="16">
        <f t="shared" si="254"/>
        <v>-219.08023909887655</v>
      </c>
      <c r="BG369" s="15">
        <f t="shared" si="229"/>
        <v>22.170849845882874</v>
      </c>
      <c r="BH369" s="75">
        <f>BG369*(1-PARAM!$C$27)*$I$17+(MOD($B369,60)=PARAM!$B$56)*($B369&gt;(60-PARAM!$B$56))*HLOOKUP(($B369+PARAM!$B$56)/12,Loyalty,2)*$F$1*MAX(BJ368,0)</f>
        <v>18.557001321003963</v>
      </c>
      <c r="BI369" s="75">
        <f>PARAM!$C$26+MAX($G$17-CHOOSE(PARAM!$B$44,MAX(0,BJ368*$F$1),0),0)*RATES!$L345/12+$H$17*(PARAM!$D$51/12)*RATES!$N345/100</f>
        <v>42.000000000000007</v>
      </c>
      <c r="BJ369" s="16">
        <f t="shared" si="255"/>
        <v>-219.08023909887655</v>
      </c>
      <c r="BK369" s="15">
        <f t="shared" si="230"/>
        <v>22.170849845882874</v>
      </c>
      <c r="BL369" s="75">
        <f>BK369*(1-PARAM!$C$27)*$I$18+(MOD($B369,60)=PARAM!$B$56)*($B369&gt;(60-PARAM!$B$56))*HLOOKUP(($B369+PARAM!$B$56)/12,Loyalty,2)*$F$1*MAX(BN368,0)</f>
        <v>18.557001321003963</v>
      </c>
      <c r="BM369" s="75">
        <f>PARAM!$C$26+MAX($G$18-CHOOSE(PARAM!$B$44,MAX(0,BN368*$F$1),0),0)*RATES!$L345/12+$H$18*(PARAM!$D$51/12)*RATES!$N345/100</f>
        <v>42.000000000000007</v>
      </c>
      <c r="BN369" s="16">
        <f t="shared" si="256"/>
        <v>-219.08023909887655</v>
      </c>
      <c r="BO369" s="15">
        <f t="shared" si="231"/>
        <v>22.170849845882874</v>
      </c>
      <c r="BP369" s="75">
        <f>BO369*(1-PARAM!$C$27)*$I$19+(MOD($B369,60)=PARAM!$B$56)*($B369&gt;(60-PARAM!$B$56))*HLOOKUP(($B369+PARAM!$B$56)/12,Loyalty,2)*$F$1*MAX(BR368,0)</f>
        <v>18.557001321003963</v>
      </c>
      <c r="BQ369" s="75">
        <f>PARAM!$C$26+MAX($G$19-CHOOSE(PARAM!$B$44,MAX(0,BR368*$F$1),0),0)*RATES!$L345/12+$H$19*(PARAM!$D$51/12)*RATES!$N345/100</f>
        <v>42.000000000000007</v>
      </c>
      <c r="BR369" s="16">
        <f t="shared" si="257"/>
        <v>-219.08023909887655</v>
      </c>
      <c r="BS369" s="15">
        <f t="shared" si="232"/>
        <v>22.170849845882874</v>
      </c>
      <c r="BT369" s="75">
        <f>BS369*(1-PARAM!$C$27)*$I$20+(MOD($B369,60)=PARAM!$B$56)*($B369&gt;(60-PARAM!$B$56))*HLOOKUP(($B369+PARAM!$B$56)/12,Loyalty,2)*$F$1*MAX(BV368,0)</f>
        <v>18.557001321003963</v>
      </c>
      <c r="BU369" s="75">
        <f>PARAM!$C$26+MAX($G$20-CHOOSE(PARAM!$B$44,MAX(0,BV368*$F$1),0),0)*RATES!$L345/12+$H$20*(PARAM!$D$51/12)*RATES!$N345/100</f>
        <v>42.000000000000007</v>
      </c>
      <c r="BV369" s="16">
        <f t="shared" si="258"/>
        <v>-219.08023909887655</v>
      </c>
      <c r="BW369" s="15">
        <f t="shared" si="233"/>
        <v>22.170849845882874</v>
      </c>
      <c r="BX369" s="75">
        <f>BW369*(1-PARAM!$C$27)*$I$21+(MOD($B369,60)=PARAM!$B$56)*($B369&gt;(60-PARAM!$B$56))*HLOOKUP(($B369+PARAM!$B$56)/12,Loyalty,2)*$F$1*MAX(BZ368,0)</f>
        <v>18.557001321003963</v>
      </c>
      <c r="BY369" s="75">
        <f>PARAM!$C$26+MAX($G$21-CHOOSE(PARAM!$B$44,MAX(0,BZ368*$F$1),0),0)*RATES!$L345/12+$H$21*(PARAM!$D$51/12)*RATES!$N345/100</f>
        <v>42.000000000000007</v>
      </c>
      <c r="BZ369" s="16">
        <f t="shared" si="259"/>
        <v>-219.08023909887655</v>
      </c>
      <c r="CA369" s="15">
        <f t="shared" si="234"/>
        <v>22.170849845882874</v>
      </c>
      <c r="CB369" s="75">
        <f>CA369*(1-PARAM!$C$27)*$I$22+(MOD($B369,60)=PARAM!$B$56)*($B369&gt;(60-PARAM!$B$56))*HLOOKUP(($B369+PARAM!$B$56)/12,Loyalty,2)*$F$1*MAX(CD368,0)</f>
        <v>18.557001321003963</v>
      </c>
      <c r="CC369" s="75">
        <f>PARAM!$C$26+MAX($G$22-CHOOSE(PARAM!$B$44,MAX(0,CD368*$F$1),0),0)*RATES!$L345/12+$H$22*(PARAM!$D$51/12)*RATES!$N345/100</f>
        <v>42.000000000000007</v>
      </c>
      <c r="CD369" s="16">
        <f t="shared" si="260"/>
        <v>-219.08023909887655</v>
      </c>
      <c r="CE369" s="33">
        <f>IF(0=MOD(B369,12/PARAM!$D$51),1,0)</f>
        <v>1</v>
      </c>
      <c r="CF369" s="15">
        <f t="shared" si="235"/>
        <v>0</v>
      </c>
      <c r="CG369" s="75">
        <f>CF369*(1-PARAM!$C$27)*$R$3+(MOD($B369/12,5)=0)*($B369&gt;60)*HLOOKUP($B369/12,Loyalty,2)*$F$1*MAX(CI368,0)</f>
        <v>0</v>
      </c>
      <c r="CH369" s="75">
        <f>PARAM!$C$26+MAX($P$3-CHOOSE(PARAM!$B$44,MAX(0,CI368*$F$1),0),0)*RATES!$L345/12+$Q$3*(PARAM!$D$51/12)*RATES!$N345/100</f>
        <v>42.000000000000007</v>
      </c>
      <c r="CI369" s="16">
        <f>IF(CI368&gt;0,CI368*PARAM!$C$53,CI368)+CG369-CH369</f>
        <v>-6445.9999999999891</v>
      </c>
      <c r="CJ369" s="15">
        <f t="shared" si="261"/>
        <v>0</v>
      </c>
      <c r="CK369" s="75">
        <f>CJ369*(1-PARAM!$C$27)*$R$4+(MOD($B369/12,5)=0)*($B369&gt;60)*HLOOKUP($B369/12,Loyalty,2)*$F$1*MAX(CM368,0)</f>
        <v>0</v>
      </c>
      <c r="CL369" s="75">
        <f>PARAM!$C$26+MAX($P$4-CHOOSE(PARAM!$B$44,MAX(0,CM368*$F$1),0),0)*RATES!$L345/12+$Q$4*(PARAM!$D$51/12)*RATES!$N345/100</f>
        <v>42.000000000000007</v>
      </c>
      <c r="CM369" s="16">
        <f>IF(CM368&gt;0,CM368*PARAM!$C$53,CM368)+CK369-CL369</f>
        <v>-6445.9999999999891</v>
      </c>
      <c r="CO369" s="176"/>
    </row>
    <row r="370" spans="1:93" x14ac:dyDescent="0.2">
      <c r="A370" t="b">
        <f t="shared" si="236"/>
        <v>0</v>
      </c>
      <c r="B370" s="33">
        <v>343</v>
      </c>
      <c r="C370" s="15">
        <f t="shared" si="237"/>
        <v>20.081305947392778</v>
      </c>
      <c r="D370" s="75">
        <f>C370*(1-PARAM!$C$27)*$I$3+(MOD($B370,60)=PARAM!$B$56)*($B370&gt;(60-PARAM!$B$56))*HLOOKUP(($B370+PARAM!$B$56)/12,Loyalty,2)*$F$1*MAX(F369,0)</f>
        <v>16.808053077967756</v>
      </c>
      <c r="E370" s="75">
        <f>PARAM!$C$26+MAX($G$3-CHOOSE(PARAM!$B$44,MAX(0,F369*$F$1),0),0)*RATES!$L346/12+$H$3*(PARAM!$D$51/12)*RATES!$N346/100</f>
        <v>42.000000000000007</v>
      </c>
      <c r="F370" s="16">
        <f t="shared" si="238"/>
        <v>-879.26298566079424</v>
      </c>
      <c r="G370" s="15">
        <f t="shared" si="239"/>
        <v>22.035289406060361</v>
      </c>
      <c r="H370" s="75">
        <f>G370*(1-PARAM!$C$27)*$I$4+(MOD($B370,60)=PARAM!$B$56)*($B370&gt;(60-PARAM!$B$56))*HLOOKUP(($B370+PARAM!$B$56)/12,Loyalty,2)*$F$1*MAX(J369,0)</f>
        <v>18.443537232872522</v>
      </c>
      <c r="I370" s="75">
        <f>PARAM!$C$26+MAX($G$4-CHOOSE(PARAM!$B$44,MAX(0,J369*$F$1),0),0)*RATES!$L346/12+$H$4*(PARAM!$D$51/12)*RATES!$N346/100</f>
        <v>42.000000000000007</v>
      </c>
      <c r="J370" s="16">
        <f t="shared" si="240"/>
        <v>-284.45895640675047</v>
      </c>
      <c r="K370" s="15">
        <f t="shared" si="241"/>
        <v>22.170849845882874</v>
      </c>
      <c r="L370" s="75">
        <f>K370*(1-PARAM!$C$27)*$I$5+(MOD($B370,60)=PARAM!$B$56)*($B370&gt;(60-PARAM!$B$56))*HLOOKUP(($B370+PARAM!$B$56)/12,Loyalty,2)*$F$1*MAX(N369,0)</f>
        <v>18.557001321003963</v>
      </c>
      <c r="M370" s="75">
        <f>PARAM!$C$26+MAX($G$5-CHOOSE(PARAM!$B$44,MAX(0,N369*$F$1),0),0)*RATES!$L346/12+$H$5*(PARAM!$D$51/12)*RATES!$N346/100</f>
        <v>42.000000000000007</v>
      </c>
      <c r="N370" s="16">
        <f t="shared" si="242"/>
        <v>-242.52323777787259</v>
      </c>
      <c r="O370" s="15">
        <f t="shared" si="243"/>
        <v>22.170849845882874</v>
      </c>
      <c r="P370" s="75">
        <f>O370*(1-PARAM!$C$27)*$I$6+(MOD($B370,60)=PARAM!$B$56)*($B370&gt;(60-PARAM!$B$56))*HLOOKUP(($B370+PARAM!$B$56)/12,Loyalty,2)*$F$1*MAX(R369,0)</f>
        <v>18.557001321003963</v>
      </c>
      <c r="Q370" s="75">
        <f>PARAM!$C$26+MAX($G$6-CHOOSE(PARAM!$B$44,MAX(0,R369*$F$1),0),0)*RATES!$L346/12+$H$6*(PARAM!$D$51/12)*RATES!$N346/100</f>
        <v>42.000000000000007</v>
      </c>
      <c r="R370" s="16">
        <f t="shared" si="244"/>
        <v>-242.52323777787259</v>
      </c>
      <c r="S370" s="15">
        <f t="shared" si="219"/>
        <v>22.170849845882874</v>
      </c>
      <c r="T370" s="75">
        <f>S370*(1-PARAM!$C$27)*$I$7+(MOD($B370,60)=PARAM!$B$56)*($B370&gt;(60-PARAM!$B$56))*HLOOKUP(($B370+PARAM!$B$56)/12,Loyalty,2)*$F$1*MAX(V369,0)</f>
        <v>18.557001321003963</v>
      </c>
      <c r="U370" s="75">
        <f>PARAM!$C$26+MAX($G$7-CHOOSE(PARAM!$B$44,MAX(0,V369*$F$1),0),0)*RATES!$L346/12+$H$7*(PARAM!$D$51/12)*RATES!$N346/100</f>
        <v>42.000000000000007</v>
      </c>
      <c r="V370" s="16">
        <f t="shared" si="245"/>
        <v>-242.52323777787259</v>
      </c>
      <c r="W370" s="15">
        <f t="shared" si="220"/>
        <v>22.170849845882874</v>
      </c>
      <c r="X370" s="75">
        <f>W370*(1-PARAM!$C$27)*$I$8+(MOD($B370,60)=PARAM!$B$56)*($B370&gt;(60-PARAM!$B$56))*HLOOKUP(($B370+PARAM!$B$56)/12,Loyalty,2)*$F$1*MAX(Z369,0)</f>
        <v>18.557001321003963</v>
      </c>
      <c r="Y370" s="75">
        <f>PARAM!$C$26+MAX($G$8-CHOOSE(PARAM!$B$44,MAX(0,Z369*$F$1),0),0)*RATES!$L346/12+$H$8*(PARAM!$D$51/12)*RATES!$N346/100</f>
        <v>42.000000000000007</v>
      </c>
      <c r="Z370" s="16">
        <f t="shared" si="246"/>
        <v>-242.52323777787259</v>
      </c>
      <c r="AA370" s="15">
        <f t="shared" si="221"/>
        <v>22.170849845882874</v>
      </c>
      <c r="AB370" s="75">
        <f>AA370*(1-PARAM!$C$27)*$I$9+(MOD($B370,60)=PARAM!$B$56)*($B370&gt;(60-PARAM!$B$56))*HLOOKUP(($B370+PARAM!$B$56)/12,Loyalty,2)*$F$1*MAX(AD369,0)</f>
        <v>18.557001321003963</v>
      </c>
      <c r="AC370" s="75">
        <f>PARAM!$C$26+MAX($G$9-CHOOSE(PARAM!$B$44,MAX(0,AD369*$F$1),0),0)*RATES!$L346/12+$H$9*(PARAM!$D$51/12)*RATES!$N346/100</f>
        <v>42.000000000000007</v>
      </c>
      <c r="AD370" s="16">
        <f t="shared" si="247"/>
        <v>-242.52323777787259</v>
      </c>
      <c r="AE370" s="15">
        <f t="shared" si="222"/>
        <v>22.170849845882874</v>
      </c>
      <c r="AF370" s="75">
        <f>AE370*(1-PARAM!$C$27)*$I$10+(MOD($B370,60)=PARAM!$B$56)*($B370&gt;(60-PARAM!$B$56))*HLOOKUP(($B370+PARAM!$B$56)/12,Loyalty,2)*$F$1*MAX(AH369,0)</f>
        <v>18.557001321003963</v>
      </c>
      <c r="AG370" s="75">
        <f>PARAM!$C$26+MAX($G$10-CHOOSE(PARAM!$B$44,MAX(0,AH369*$F$1),0),0)*RATES!$L346/12+$H$10*(PARAM!$D$51/12)*RATES!$N346/100</f>
        <v>42.000000000000007</v>
      </c>
      <c r="AH370" s="16">
        <f t="shared" si="248"/>
        <v>-242.52323777787259</v>
      </c>
      <c r="AI370" s="15">
        <f t="shared" si="223"/>
        <v>22.170849845882874</v>
      </c>
      <c r="AJ370" s="75">
        <f>AI370*(1-PARAM!$C$27)*$I$11+(MOD($B370,60)=PARAM!$B$56)*($B370&gt;(60-PARAM!$B$56))*HLOOKUP(($B370+PARAM!$B$56)/12,Loyalty,2)*$F$1*MAX(AL369,0)</f>
        <v>18.557001321003963</v>
      </c>
      <c r="AK370" s="75">
        <f>PARAM!$C$26+MAX($G$11-CHOOSE(PARAM!$B$44,MAX(0,AL369*$F$1),0),0)*RATES!$L346/12+$H$11*(PARAM!$D$51/12)*RATES!$N346/100</f>
        <v>42.000000000000007</v>
      </c>
      <c r="AL370" s="16">
        <f t="shared" si="249"/>
        <v>-242.52323777787259</v>
      </c>
      <c r="AM370" s="15">
        <f t="shared" si="224"/>
        <v>22.170849845882874</v>
      </c>
      <c r="AN370" s="75">
        <f>AM370*(1-PARAM!$C$27)*$I$12+(MOD($B370,60)=PARAM!$B$56)*($B370&gt;(60-PARAM!$B$56))*HLOOKUP(($B370+PARAM!$B$56)/12,Loyalty,2)*$F$1*MAX(AP369,0)</f>
        <v>18.557001321003963</v>
      </c>
      <c r="AO370" s="75">
        <f>PARAM!$C$26+MAX($G$12-CHOOSE(PARAM!$B$44,MAX(0,AP369*$F$1),0),0)*RATES!$L346/12+$H$12*(PARAM!$D$51/12)*RATES!$N346/100</f>
        <v>42.000000000000007</v>
      </c>
      <c r="AP370" s="16">
        <f t="shared" si="250"/>
        <v>-242.52323777787259</v>
      </c>
      <c r="AQ370" s="15">
        <f t="shared" si="225"/>
        <v>22.170849845882874</v>
      </c>
      <c r="AR370" s="75">
        <f>AQ370*(1-PARAM!$C$27)*$I$13+(MOD($B370,60)=PARAM!$B$56)*($B370&gt;(60-PARAM!$B$56))*HLOOKUP(($B370+PARAM!$B$56)/12,Loyalty,2)*$F$1*MAX(AT369,0)</f>
        <v>18.557001321003963</v>
      </c>
      <c r="AS370" s="75">
        <f>PARAM!$C$26+MAX($G$13-CHOOSE(PARAM!$B$44,MAX(0,AT369*$F$1),0),0)*RATES!$L346/12+$H$13*(PARAM!$D$51/12)*RATES!$N346/100</f>
        <v>42.000000000000007</v>
      </c>
      <c r="AT370" s="16">
        <f t="shared" si="251"/>
        <v>-242.52323777787259</v>
      </c>
      <c r="AU370" s="15">
        <f t="shared" si="226"/>
        <v>22.170849845882874</v>
      </c>
      <c r="AV370" s="75">
        <f>AU370*(1-PARAM!$C$27)*$I$14+(MOD($B370,60)=PARAM!$B$56)*($B370&gt;(60-PARAM!$B$56))*HLOOKUP(($B370+PARAM!$B$56)/12,Loyalty,2)*$F$1*MAX(AX369,0)</f>
        <v>18.557001321003963</v>
      </c>
      <c r="AW370" s="75">
        <f>PARAM!$C$26+MAX($G$14-CHOOSE(PARAM!$B$44,MAX(0,AX369*$F$1),0),0)*RATES!$L346/12+$H$14*(PARAM!$D$51/12)*RATES!$N346/100</f>
        <v>42.000000000000007</v>
      </c>
      <c r="AX370" s="16">
        <f t="shared" si="252"/>
        <v>-242.52323777787259</v>
      </c>
      <c r="AY370" s="15">
        <f t="shared" si="227"/>
        <v>22.170849845882874</v>
      </c>
      <c r="AZ370" s="75">
        <f>AY370*(1-PARAM!$C$27)*$I$15+(MOD($B370,60)=PARAM!$B$56)*($B370&gt;(60-PARAM!$B$56))*HLOOKUP(($B370+PARAM!$B$56)/12,Loyalty,2)*$F$1*MAX(BB369,0)</f>
        <v>18.557001321003963</v>
      </c>
      <c r="BA370" s="75">
        <f>PARAM!$C$26+MAX($G$15-CHOOSE(PARAM!$B$44,MAX(0,BB369*$F$1),0),0)*RATES!$L346/12+$H$15*(PARAM!$D$51/12)*RATES!$N346/100</f>
        <v>42.000000000000007</v>
      </c>
      <c r="BB370" s="16">
        <f t="shared" si="253"/>
        <v>-242.52323777787259</v>
      </c>
      <c r="BC370" s="15">
        <f t="shared" si="228"/>
        <v>22.170849845882874</v>
      </c>
      <c r="BD370" s="75">
        <f>BC370*(1-PARAM!$C$27)*$I$16+(MOD($B370,60)=PARAM!$B$56)*($B370&gt;(60-PARAM!$B$56))*HLOOKUP(($B370+PARAM!$B$56)/12,Loyalty,2)*$F$1*MAX(BF369,0)</f>
        <v>18.557001321003963</v>
      </c>
      <c r="BE370" s="75">
        <f>PARAM!$C$26+MAX($G$16-CHOOSE(PARAM!$B$44,MAX(0,BF369*$F$1),0),0)*RATES!$L346/12+$H$16*(PARAM!$D$51/12)*RATES!$N346/100</f>
        <v>42.000000000000007</v>
      </c>
      <c r="BF370" s="16">
        <f t="shared" si="254"/>
        <v>-242.52323777787259</v>
      </c>
      <c r="BG370" s="15">
        <f t="shared" si="229"/>
        <v>22.170849845882874</v>
      </c>
      <c r="BH370" s="75">
        <f>BG370*(1-PARAM!$C$27)*$I$17+(MOD($B370,60)=PARAM!$B$56)*($B370&gt;(60-PARAM!$B$56))*HLOOKUP(($B370+PARAM!$B$56)/12,Loyalty,2)*$F$1*MAX(BJ369,0)</f>
        <v>18.557001321003963</v>
      </c>
      <c r="BI370" s="75">
        <f>PARAM!$C$26+MAX($G$17-CHOOSE(PARAM!$B$44,MAX(0,BJ369*$F$1),0),0)*RATES!$L346/12+$H$17*(PARAM!$D$51/12)*RATES!$N346/100</f>
        <v>42.000000000000007</v>
      </c>
      <c r="BJ370" s="16">
        <f t="shared" si="255"/>
        <v>-242.52323777787259</v>
      </c>
      <c r="BK370" s="15">
        <f t="shared" si="230"/>
        <v>22.170849845882874</v>
      </c>
      <c r="BL370" s="75">
        <f>BK370*(1-PARAM!$C$27)*$I$18+(MOD($B370,60)=PARAM!$B$56)*($B370&gt;(60-PARAM!$B$56))*HLOOKUP(($B370+PARAM!$B$56)/12,Loyalty,2)*$F$1*MAX(BN369,0)</f>
        <v>18.557001321003963</v>
      </c>
      <c r="BM370" s="75">
        <f>PARAM!$C$26+MAX($G$18-CHOOSE(PARAM!$B$44,MAX(0,BN369*$F$1),0),0)*RATES!$L346/12+$H$18*(PARAM!$D$51/12)*RATES!$N346/100</f>
        <v>42.000000000000007</v>
      </c>
      <c r="BN370" s="16">
        <f t="shared" si="256"/>
        <v>-242.52323777787259</v>
      </c>
      <c r="BO370" s="15">
        <f t="shared" si="231"/>
        <v>22.170849845882874</v>
      </c>
      <c r="BP370" s="75">
        <f>BO370*(1-PARAM!$C$27)*$I$19+(MOD($B370,60)=PARAM!$B$56)*($B370&gt;(60-PARAM!$B$56))*HLOOKUP(($B370+PARAM!$B$56)/12,Loyalty,2)*$F$1*MAX(BR369,0)</f>
        <v>18.557001321003963</v>
      </c>
      <c r="BQ370" s="75">
        <f>PARAM!$C$26+MAX($G$19-CHOOSE(PARAM!$B$44,MAX(0,BR369*$F$1),0),0)*RATES!$L346/12+$H$19*(PARAM!$D$51/12)*RATES!$N346/100</f>
        <v>42.000000000000007</v>
      </c>
      <c r="BR370" s="16">
        <f t="shared" si="257"/>
        <v>-242.52323777787259</v>
      </c>
      <c r="BS370" s="15">
        <f t="shared" si="232"/>
        <v>22.170849845882874</v>
      </c>
      <c r="BT370" s="75">
        <f>BS370*(1-PARAM!$C$27)*$I$20+(MOD($B370,60)=PARAM!$B$56)*($B370&gt;(60-PARAM!$B$56))*HLOOKUP(($B370+PARAM!$B$56)/12,Loyalty,2)*$F$1*MAX(BV369,0)</f>
        <v>18.557001321003963</v>
      </c>
      <c r="BU370" s="75">
        <f>PARAM!$C$26+MAX($G$20-CHOOSE(PARAM!$B$44,MAX(0,BV369*$F$1),0),0)*RATES!$L346/12+$H$20*(PARAM!$D$51/12)*RATES!$N346/100</f>
        <v>42.000000000000007</v>
      </c>
      <c r="BV370" s="16">
        <f t="shared" si="258"/>
        <v>-242.52323777787259</v>
      </c>
      <c r="BW370" s="15">
        <f t="shared" si="233"/>
        <v>22.170849845882874</v>
      </c>
      <c r="BX370" s="75">
        <f>BW370*(1-PARAM!$C$27)*$I$21+(MOD($B370,60)=PARAM!$B$56)*($B370&gt;(60-PARAM!$B$56))*HLOOKUP(($B370+PARAM!$B$56)/12,Loyalty,2)*$F$1*MAX(BZ369,0)</f>
        <v>18.557001321003963</v>
      </c>
      <c r="BY370" s="75">
        <f>PARAM!$C$26+MAX($G$21-CHOOSE(PARAM!$B$44,MAX(0,BZ369*$F$1),0),0)*RATES!$L346/12+$H$21*(PARAM!$D$51/12)*RATES!$N346/100</f>
        <v>42.000000000000007</v>
      </c>
      <c r="BZ370" s="16">
        <f t="shared" si="259"/>
        <v>-242.52323777787259</v>
      </c>
      <c r="CA370" s="15">
        <f t="shared" si="234"/>
        <v>22.170849845882874</v>
      </c>
      <c r="CB370" s="75">
        <f>CA370*(1-PARAM!$C$27)*$I$22+(MOD($B370,60)=PARAM!$B$56)*($B370&gt;(60-PARAM!$B$56))*HLOOKUP(($B370+PARAM!$B$56)/12,Loyalty,2)*$F$1*MAX(CD369,0)</f>
        <v>18.557001321003963</v>
      </c>
      <c r="CC370" s="75">
        <f>PARAM!$C$26+MAX($G$22-CHOOSE(PARAM!$B$44,MAX(0,CD369*$F$1),0),0)*RATES!$L346/12+$H$22*(PARAM!$D$51/12)*RATES!$N346/100</f>
        <v>42.000000000000007</v>
      </c>
      <c r="CD370" s="16">
        <f t="shared" si="260"/>
        <v>-242.52323777787259</v>
      </c>
      <c r="CE370" s="33">
        <f>IF(0=MOD(B370,12/PARAM!$D$51),1,0)</f>
        <v>1</v>
      </c>
      <c r="CF370" s="15">
        <f t="shared" si="235"/>
        <v>0</v>
      </c>
      <c r="CG370" s="75">
        <f>CF370*(1-PARAM!$C$27)*$R$3+(MOD($B370/12,5)=0)*($B370&gt;60)*HLOOKUP($B370/12,Loyalty,2)*$F$1*MAX(CI369,0)</f>
        <v>0</v>
      </c>
      <c r="CH370" s="75">
        <f>PARAM!$C$26+MAX($P$3-CHOOSE(PARAM!$B$44,MAX(0,CI369*$F$1),0),0)*RATES!$L346/12+$Q$3*(PARAM!$D$51/12)*RATES!$N346/100</f>
        <v>42.000000000000007</v>
      </c>
      <c r="CI370" s="16">
        <f>IF(CI369&gt;0,CI369*PARAM!$C$53,CI369)+CG370-CH370</f>
        <v>-6487.9999999999891</v>
      </c>
      <c r="CJ370" s="15">
        <f t="shared" si="261"/>
        <v>0</v>
      </c>
      <c r="CK370" s="75">
        <f>CJ370*(1-PARAM!$C$27)*$R$4+(MOD($B370/12,5)=0)*($B370&gt;60)*HLOOKUP($B370/12,Loyalty,2)*$F$1*MAX(CM369,0)</f>
        <v>0</v>
      </c>
      <c r="CL370" s="75">
        <f>PARAM!$C$26+MAX($P$4-CHOOSE(PARAM!$B$44,MAX(0,CM369*$F$1),0),0)*RATES!$L346/12+$Q$4*(PARAM!$D$51/12)*RATES!$N346/100</f>
        <v>42.000000000000007</v>
      </c>
      <c r="CM370" s="16">
        <f>IF(CM369&gt;0,CM369*PARAM!$C$53,CM369)+CK370-CL370</f>
        <v>-6487.9999999999891</v>
      </c>
      <c r="CO370" s="176"/>
    </row>
    <row r="371" spans="1:93" x14ac:dyDescent="0.2">
      <c r="A371" t="b">
        <f t="shared" si="236"/>
        <v>0</v>
      </c>
      <c r="B371" s="33">
        <v>344</v>
      </c>
      <c r="C371" s="15">
        <f t="shared" si="237"/>
        <v>20.081305947392778</v>
      </c>
      <c r="D371" s="75">
        <f>C371*(1-PARAM!$C$27)*$I$3+(MOD($B371,60)=PARAM!$B$56)*($B371&gt;(60-PARAM!$B$56))*HLOOKUP(($B371+PARAM!$B$56)/12,Loyalty,2)*$F$1*MAX(F370,0)</f>
        <v>16.808053077967756</v>
      </c>
      <c r="E371" s="75">
        <f>PARAM!$C$26+MAX($G$3-CHOOSE(PARAM!$B$44,MAX(0,F370*$F$1),0),0)*RATES!$L347/12+$H$3*(PARAM!$D$51/12)*RATES!$N347/100</f>
        <v>42.000000000000007</v>
      </c>
      <c r="F371" s="16">
        <f t="shared" si="238"/>
        <v>-904.45493258282647</v>
      </c>
      <c r="G371" s="15">
        <f t="shared" si="239"/>
        <v>22.035289406060361</v>
      </c>
      <c r="H371" s="75">
        <f>G371*(1-PARAM!$C$27)*$I$4+(MOD($B371,60)=PARAM!$B$56)*($B371&gt;(60-PARAM!$B$56))*HLOOKUP(($B371+PARAM!$B$56)/12,Loyalty,2)*$F$1*MAX(J370,0)</f>
        <v>18.443537232872522</v>
      </c>
      <c r="I371" s="75">
        <f>PARAM!$C$26+MAX($G$4-CHOOSE(PARAM!$B$44,MAX(0,J370*$F$1),0),0)*RATES!$L347/12+$H$4*(PARAM!$D$51/12)*RATES!$N347/100</f>
        <v>42.000000000000007</v>
      </c>
      <c r="J371" s="16">
        <f t="shared" si="240"/>
        <v>-308.01541917387794</v>
      </c>
      <c r="K371" s="15">
        <f t="shared" si="241"/>
        <v>22.170849845882874</v>
      </c>
      <c r="L371" s="75">
        <f>K371*(1-PARAM!$C$27)*$I$5+(MOD($B371,60)=PARAM!$B$56)*($B371&gt;(60-PARAM!$B$56))*HLOOKUP(($B371+PARAM!$B$56)/12,Loyalty,2)*$F$1*MAX(N370,0)</f>
        <v>18.557001321003963</v>
      </c>
      <c r="M371" s="75">
        <f>PARAM!$C$26+MAX($G$5-CHOOSE(PARAM!$B$44,MAX(0,N370*$F$1),0),0)*RATES!$L347/12+$H$5*(PARAM!$D$51/12)*RATES!$N347/100</f>
        <v>42.000000000000007</v>
      </c>
      <c r="N371" s="16">
        <f t="shared" si="242"/>
        <v>-265.96623645686867</v>
      </c>
      <c r="O371" s="15">
        <f t="shared" si="243"/>
        <v>22.170849845882874</v>
      </c>
      <c r="P371" s="75">
        <f>O371*(1-PARAM!$C$27)*$I$6+(MOD($B371,60)=PARAM!$B$56)*($B371&gt;(60-PARAM!$B$56))*HLOOKUP(($B371+PARAM!$B$56)/12,Loyalty,2)*$F$1*MAX(R370,0)</f>
        <v>18.557001321003963</v>
      </c>
      <c r="Q371" s="75">
        <f>PARAM!$C$26+MAX($G$6-CHOOSE(PARAM!$B$44,MAX(0,R370*$F$1),0),0)*RATES!$L347/12+$H$6*(PARAM!$D$51/12)*RATES!$N347/100</f>
        <v>42.000000000000007</v>
      </c>
      <c r="R371" s="16">
        <f t="shared" si="244"/>
        <v>-265.96623645686867</v>
      </c>
      <c r="S371" s="15">
        <f t="shared" si="219"/>
        <v>22.170849845882874</v>
      </c>
      <c r="T371" s="75">
        <f>S371*(1-PARAM!$C$27)*$I$7+(MOD($B371,60)=PARAM!$B$56)*($B371&gt;(60-PARAM!$B$56))*HLOOKUP(($B371+PARAM!$B$56)/12,Loyalty,2)*$F$1*MAX(V370,0)</f>
        <v>18.557001321003963</v>
      </c>
      <c r="U371" s="75">
        <f>PARAM!$C$26+MAX($G$7-CHOOSE(PARAM!$B$44,MAX(0,V370*$F$1),0),0)*RATES!$L347/12+$H$7*(PARAM!$D$51/12)*RATES!$N347/100</f>
        <v>42.000000000000007</v>
      </c>
      <c r="V371" s="16">
        <f t="shared" si="245"/>
        <v>-265.96623645686867</v>
      </c>
      <c r="W371" s="15">
        <f t="shared" si="220"/>
        <v>22.170849845882874</v>
      </c>
      <c r="X371" s="75">
        <f>W371*(1-PARAM!$C$27)*$I$8+(MOD($B371,60)=PARAM!$B$56)*($B371&gt;(60-PARAM!$B$56))*HLOOKUP(($B371+PARAM!$B$56)/12,Loyalty,2)*$F$1*MAX(Z370,0)</f>
        <v>18.557001321003963</v>
      </c>
      <c r="Y371" s="75">
        <f>PARAM!$C$26+MAX($G$8-CHOOSE(PARAM!$B$44,MAX(0,Z370*$F$1),0),0)*RATES!$L347/12+$H$8*(PARAM!$D$51/12)*RATES!$N347/100</f>
        <v>42.000000000000007</v>
      </c>
      <c r="Z371" s="16">
        <f t="shared" si="246"/>
        <v>-265.96623645686867</v>
      </c>
      <c r="AA371" s="15">
        <f t="shared" si="221"/>
        <v>22.170849845882874</v>
      </c>
      <c r="AB371" s="75">
        <f>AA371*(1-PARAM!$C$27)*$I$9+(MOD($B371,60)=PARAM!$B$56)*($B371&gt;(60-PARAM!$B$56))*HLOOKUP(($B371+PARAM!$B$56)/12,Loyalty,2)*$F$1*MAX(AD370,0)</f>
        <v>18.557001321003963</v>
      </c>
      <c r="AC371" s="75">
        <f>PARAM!$C$26+MAX($G$9-CHOOSE(PARAM!$B$44,MAX(0,AD370*$F$1),0),0)*RATES!$L347/12+$H$9*(PARAM!$D$51/12)*RATES!$N347/100</f>
        <v>42.000000000000007</v>
      </c>
      <c r="AD371" s="16">
        <f t="shared" si="247"/>
        <v>-265.96623645686867</v>
      </c>
      <c r="AE371" s="15">
        <f t="shared" si="222"/>
        <v>22.170849845882874</v>
      </c>
      <c r="AF371" s="75">
        <f>AE371*(1-PARAM!$C$27)*$I$10+(MOD($B371,60)=PARAM!$B$56)*($B371&gt;(60-PARAM!$B$56))*HLOOKUP(($B371+PARAM!$B$56)/12,Loyalty,2)*$F$1*MAX(AH370,0)</f>
        <v>18.557001321003963</v>
      </c>
      <c r="AG371" s="75">
        <f>PARAM!$C$26+MAX($G$10-CHOOSE(PARAM!$B$44,MAX(0,AH370*$F$1),0),0)*RATES!$L347/12+$H$10*(PARAM!$D$51/12)*RATES!$N347/100</f>
        <v>42.000000000000007</v>
      </c>
      <c r="AH371" s="16">
        <f t="shared" si="248"/>
        <v>-265.96623645686867</v>
      </c>
      <c r="AI371" s="15">
        <f t="shared" si="223"/>
        <v>22.170849845882874</v>
      </c>
      <c r="AJ371" s="75">
        <f>AI371*(1-PARAM!$C$27)*$I$11+(MOD($B371,60)=PARAM!$B$56)*($B371&gt;(60-PARAM!$B$56))*HLOOKUP(($B371+PARAM!$B$56)/12,Loyalty,2)*$F$1*MAX(AL370,0)</f>
        <v>18.557001321003963</v>
      </c>
      <c r="AK371" s="75">
        <f>PARAM!$C$26+MAX($G$11-CHOOSE(PARAM!$B$44,MAX(0,AL370*$F$1),0),0)*RATES!$L347/12+$H$11*(PARAM!$D$51/12)*RATES!$N347/100</f>
        <v>42.000000000000007</v>
      </c>
      <c r="AL371" s="16">
        <f t="shared" si="249"/>
        <v>-265.96623645686867</v>
      </c>
      <c r="AM371" s="15">
        <f t="shared" si="224"/>
        <v>22.170849845882874</v>
      </c>
      <c r="AN371" s="75">
        <f>AM371*(1-PARAM!$C$27)*$I$12+(MOD($B371,60)=PARAM!$B$56)*($B371&gt;(60-PARAM!$B$56))*HLOOKUP(($B371+PARAM!$B$56)/12,Loyalty,2)*$F$1*MAX(AP370,0)</f>
        <v>18.557001321003963</v>
      </c>
      <c r="AO371" s="75">
        <f>PARAM!$C$26+MAX($G$12-CHOOSE(PARAM!$B$44,MAX(0,AP370*$F$1),0),0)*RATES!$L347/12+$H$12*(PARAM!$D$51/12)*RATES!$N347/100</f>
        <v>42.000000000000007</v>
      </c>
      <c r="AP371" s="16">
        <f t="shared" si="250"/>
        <v>-265.96623645686867</v>
      </c>
      <c r="AQ371" s="15">
        <f t="shared" si="225"/>
        <v>22.170849845882874</v>
      </c>
      <c r="AR371" s="75">
        <f>AQ371*(1-PARAM!$C$27)*$I$13+(MOD($B371,60)=PARAM!$B$56)*($B371&gt;(60-PARAM!$B$56))*HLOOKUP(($B371+PARAM!$B$56)/12,Loyalty,2)*$F$1*MAX(AT370,0)</f>
        <v>18.557001321003963</v>
      </c>
      <c r="AS371" s="75">
        <f>PARAM!$C$26+MAX($G$13-CHOOSE(PARAM!$B$44,MAX(0,AT370*$F$1),0),0)*RATES!$L347/12+$H$13*(PARAM!$D$51/12)*RATES!$N347/100</f>
        <v>42.000000000000007</v>
      </c>
      <c r="AT371" s="16">
        <f t="shared" si="251"/>
        <v>-265.96623645686867</v>
      </c>
      <c r="AU371" s="15">
        <f t="shared" si="226"/>
        <v>22.170849845882874</v>
      </c>
      <c r="AV371" s="75">
        <f>AU371*(1-PARAM!$C$27)*$I$14+(MOD($B371,60)=PARAM!$B$56)*($B371&gt;(60-PARAM!$B$56))*HLOOKUP(($B371+PARAM!$B$56)/12,Loyalty,2)*$F$1*MAX(AX370,0)</f>
        <v>18.557001321003963</v>
      </c>
      <c r="AW371" s="75">
        <f>PARAM!$C$26+MAX($G$14-CHOOSE(PARAM!$B$44,MAX(0,AX370*$F$1),0),0)*RATES!$L347/12+$H$14*(PARAM!$D$51/12)*RATES!$N347/100</f>
        <v>42.000000000000007</v>
      </c>
      <c r="AX371" s="16">
        <f t="shared" si="252"/>
        <v>-265.96623645686867</v>
      </c>
      <c r="AY371" s="15">
        <f t="shared" si="227"/>
        <v>22.170849845882874</v>
      </c>
      <c r="AZ371" s="75">
        <f>AY371*(1-PARAM!$C$27)*$I$15+(MOD($B371,60)=PARAM!$B$56)*($B371&gt;(60-PARAM!$B$56))*HLOOKUP(($B371+PARAM!$B$56)/12,Loyalty,2)*$F$1*MAX(BB370,0)</f>
        <v>18.557001321003963</v>
      </c>
      <c r="BA371" s="75">
        <f>PARAM!$C$26+MAX($G$15-CHOOSE(PARAM!$B$44,MAX(0,BB370*$F$1),0),0)*RATES!$L347/12+$H$15*(PARAM!$D$51/12)*RATES!$N347/100</f>
        <v>42.000000000000007</v>
      </c>
      <c r="BB371" s="16">
        <f t="shared" si="253"/>
        <v>-265.96623645686867</v>
      </c>
      <c r="BC371" s="15">
        <f t="shared" si="228"/>
        <v>22.170849845882874</v>
      </c>
      <c r="BD371" s="75">
        <f>BC371*(1-PARAM!$C$27)*$I$16+(MOD($B371,60)=PARAM!$B$56)*($B371&gt;(60-PARAM!$B$56))*HLOOKUP(($B371+PARAM!$B$56)/12,Loyalty,2)*$F$1*MAX(BF370,0)</f>
        <v>18.557001321003963</v>
      </c>
      <c r="BE371" s="75">
        <f>PARAM!$C$26+MAX($G$16-CHOOSE(PARAM!$B$44,MAX(0,BF370*$F$1),0),0)*RATES!$L347/12+$H$16*(PARAM!$D$51/12)*RATES!$N347/100</f>
        <v>42.000000000000007</v>
      </c>
      <c r="BF371" s="16">
        <f t="shared" si="254"/>
        <v>-265.96623645686867</v>
      </c>
      <c r="BG371" s="15">
        <f t="shared" si="229"/>
        <v>22.170849845882874</v>
      </c>
      <c r="BH371" s="75">
        <f>BG371*(1-PARAM!$C$27)*$I$17+(MOD($B371,60)=PARAM!$B$56)*($B371&gt;(60-PARAM!$B$56))*HLOOKUP(($B371+PARAM!$B$56)/12,Loyalty,2)*$F$1*MAX(BJ370,0)</f>
        <v>18.557001321003963</v>
      </c>
      <c r="BI371" s="75">
        <f>PARAM!$C$26+MAX($G$17-CHOOSE(PARAM!$B$44,MAX(0,BJ370*$F$1),0),0)*RATES!$L347/12+$H$17*(PARAM!$D$51/12)*RATES!$N347/100</f>
        <v>42.000000000000007</v>
      </c>
      <c r="BJ371" s="16">
        <f t="shared" si="255"/>
        <v>-265.96623645686867</v>
      </c>
      <c r="BK371" s="15">
        <f t="shared" si="230"/>
        <v>22.170849845882874</v>
      </c>
      <c r="BL371" s="75">
        <f>BK371*(1-PARAM!$C$27)*$I$18+(MOD($B371,60)=PARAM!$B$56)*($B371&gt;(60-PARAM!$B$56))*HLOOKUP(($B371+PARAM!$B$56)/12,Loyalty,2)*$F$1*MAX(BN370,0)</f>
        <v>18.557001321003963</v>
      </c>
      <c r="BM371" s="75">
        <f>PARAM!$C$26+MAX($G$18-CHOOSE(PARAM!$B$44,MAX(0,BN370*$F$1),0),0)*RATES!$L347/12+$H$18*(PARAM!$D$51/12)*RATES!$N347/100</f>
        <v>42.000000000000007</v>
      </c>
      <c r="BN371" s="16">
        <f t="shared" si="256"/>
        <v>-265.96623645686867</v>
      </c>
      <c r="BO371" s="15">
        <f t="shared" si="231"/>
        <v>22.170849845882874</v>
      </c>
      <c r="BP371" s="75">
        <f>BO371*(1-PARAM!$C$27)*$I$19+(MOD($B371,60)=PARAM!$B$56)*($B371&gt;(60-PARAM!$B$56))*HLOOKUP(($B371+PARAM!$B$56)/12,Loyalty,2)*$F$1*MAX(BR370,0)</f>
        <v>18.557001321003963</v>
      </c>
      <c r="BQ371" s="75">
        <f>PARAM!$C$26+MAX($G$19-CHOOSE(PARAM!$B$44,MAX(0,BR370*$F$1),0),0)*RATES!$L347/12+$H$19*(PARAM!$D$51/12)*RATES!$N347/100</f>
        <v>42.000000000000007</v>
      </c>
      <c r="BR371" s="16">
        <f t="shared" si="257"/>
        <v>-265.96623645686867</v>
      </c>
      <c r="BS371" s="15">
        <f t="shared" si="232"/>
        <v>22.170849845882874</v>
      </c>
      <c r="BT371" s="75">
        <f>BS371*(1-PARAM!$C$27)*$I$20+(MOD($B371,60)=PARAM!$B$56)*($B371&gt;(60-PARAM!$B$56))*HLOOKUP(($B371+PARAM!$B$56)/12,Loyalty,2)*$F$1*MAX(BV370,0)</f>
        <v>18.557001321003963</v>
      </c>
      <c r="BU371" s="75">
        <f>PARAM!$C$26+MAX($G$20-CHOOSE(PARAM!$B$44,MAX(0,BV370*$F$1),0),0)*RATES!$L347/12+$H$20*(PARAM!$D$51/12)*RATES!$N347/100</f>
        <v>42.000000000000007</v>
      </c>
      <c r="BV371" s="16">
        <f t="shared" si="258"/>
        <v>-265.96623645686867</v>
      </c>
      <c r="BW371" s="15">
        <f t="shared" si="233"/>
        <v>22.170849845882874</v>
      </c>
      <c r="BX371" s="75">
        <f>BW371*(1-PARAM!$C$27)*$I$21+(MOD($B371,60)=PARAM!$B$56)*($B371&gt;(60-PARAM!$B$56))*HLOOKUP(($B371+PARAM!$B$56)/12,Loyalty,2)*$F$1*MAX(BZ370,0)</f>
        <v>18.557001321003963</v>
      </c>
      <c r="BY371" s="75">
        <f>PARAM!$C$26+MAX($G$21-CHOOSE(PARAM!$B$44,MAX(0,BZ370*$F$1),0),0)*RATES!$L347/12+$H$21*(PARAM!$D$51/12)*RATES!$N347/100</f>
        <v>42.000000000000007</v>
      </c>
      <c r="BZ371" s="16">
        <f t="shared" si="259"/>
        <v>-265.96623645686867</v>
      </c>
      <c r="CA371" s="15">
        <f t="shared" si="234"/>
        <v>22.170849845882874</v>
      </c>
      <c r="CB371" s="75">
        <f>CA371*(1-PARAM!$C$27)*$I$22+(MOD($B371,60)=PARAM!$B$56)*($B371&gt;(60-PARAM!$B$56))*HLOOKUP(($B371+PARAM!$B$56)/12,Loyalty,2)*$F$1*MAX(CD370,0)</f>
        <v>18.557001321003963</v>
      </c>
      <c r="CC371" s="75">
        <f>PARAM!$C$26+MAX($G$22-CHOOSE(PARAM!$B$44,MAX(0,CD370*$F$1),0),0)*RATES!$L347/12+$H$22*(PARAM!$D$51/12)*RATES!$N347/100</f>
        <v>42.000000000000007</v>
      </c>
      <c r="CD371" s="16">
        <f t="shared" si="260"/>
        <v>-265.96623645686867</v>
      </c>
      <c r="CE371" s="33">
        <f>IF(0=MOD(B371,12/PARAM!$D$51),1,0)</f>
        <v>1</v>
      </c>
      <c r="CF371" s="15">
        <f t="shared" si="235"/>
        <v>0</v>
      </c>
      <c r="CG371" s="75">
        <f>CF371*(1-PARAM!$C$27)*$R$3+(MOD($B371/12,5)=0)*($B371&gt;60)*HLOOKUP($B371/12,Loyalty,2)*$F$1*MAX(CI370,0)</f>
        <v>0</v>
      </c>
      <c r="CH371" s="75">
        <f>PARAM!$C$26+MAX($P$3-CHOOSE(PARAM!$B$44,MAX(0,CI370*$F$1),0),0)*RATES!$L347/12+$Q$3*(PARAM!$D$51/12)*RATES!$N347/100</f>
        <v>42.000000000000007</v>
      </c>
      <c r="CI371" s="16">
        <f>IF(CI370&gt;0,CI370*PARAM!$C$53,CI370)+CG371-CH371</f>
        <v>-6529.9999999999891</v>
      </c>
      <c r="CJ371" s="15">
        <f t="shared" si="261"/>
        <v>0</v>
      </c>
      <c r="CK371" s="75">
        <f>CJ371*(1-PARAM!$C$27)*$R$4+(MOD($B371/12,5)=0)*($B371&gt;60)*HLOOKUP($B371/12,Loyalty,2)*$F$1*MAX(CM370,0)</f>
        <v>0</v>
      </c>
      <c r="CL371" s="75">
        <f>PARAM!$C$26+MAX($P$4-CHOOSE(PARAM!$B$44,MAX(0,CM370*$F$1),0),0)*RATES!$L347/12+$Q$4*(PARAM!$D$51/12)*RATES!$N347/100</f>
        <v>42.000000000000007</v>
      </c>
      <c r="CM371" s="16">
        <f>IF(CM370&gt;0,CM370*PARAM!$C$53,CM370)+CK371-CL371</f>
        <v>-6529.9999999999891</v>
      </c>
      <c r="CO371" s="176"/>
    </row>
    <row r="372" spans="1:93" x14ac:dyDescent="0.2">
      <c r="A372" t="b">
        <f t="shared" si="236"/>
        <v>0</v>
      </c>
      <c r="B372" s="33">
        <v>345</v>
      </c>
      <c r="C372" s="15">
        <f t="shared" si="237"/>
        <v>20.081305947392778</v>
      </c>
      <c r="D372" s="75">
        <f>C372*(1-PARAM!$C$27)*$I$3+(MOD($B372,60)=PARAM!$B$56)*($B372&gt;(60-PARAM!$B$56))*HLOOKUP(($B372+PARAM!$B$56)/12,Loyalty,2)*$F$1*MAX(F371,0)</f>
        <v>16.808053077967756</v>
      </c>
      <c r="E372" s="75">
        <f>PARAM!$C$26+MAX($G$3-CHOOSE(PARAM!$B$44,MAX(0,F371*$F$1),0),0)*RATES!$L348/12+$H$3*(PARAM!$D$51/12)*RATES!$N348/100</f>
        <v>42.000000000000007</v>
      </c>
      <c r="F372" s="16">
        <f t="shared" si="238"/>
        <v>-929.6468795048587</v>
      </c>
      <c r="G372" s="15">
        <f t="shared" si="239"/>
        <v>22.035289406060361</v>
      </c>
      <c r="H372" s="75">
        <f>G372*(1-PARAM!$C$27)*$I$4+(MOD($B372,60)=PARAM!$B$56)*($B372&gt;(60-PARAM!$B$56))*HLOOKUP(($B372+PARAM!$B$56)/12,Loyalty,2)*$F$1*MAX(J371,0)</f>
        <v>18.443537232872522</v>
      </c>
      <c r="I372" s="75">
        <f>PARAM!$C$26+MAX($G$4-CHOOSE(PARAM!$B$44,MAX(0,J371*$F$1),0),0)*RATES!$L348/12+$H$4*(PARAM!$D$51/12)*RATES!$N348/100</f>
        <v>42.000000000000007</v>
      </c>
      <c r="J372" s="16">
        <f t="shared" si="240"/>
        <v>-331.57188194100542</v>
      </c>
      <c r="K372" s="15">
        <f t="shared" si="241"/>
        <v>22.170849845882874</v>
      </c>
      <c r="L372" s="75">
        <f>K372*(1-PARAM!$C$27)*$I$5+(MOD($B372,60)=PARAM!$B$56)*($B372&gt;(60-PARAM!$B$56))*HLOOKUP(($B372+PARAM!$B$56)/12,Loyalty,2)*$F$1*MAX(N371,0)</f>
        <v>18.557001321003963</v>
      </c>
      <c r="M372" s="75">
        <f>PARAM!$C$26+MAX($G$5-CHOOSE(PARAM!$B$44,MAX(0,N371*$F$1),0),0)*RATES!$L348/12+$H$5*(PARAM!$D$51/12)*RATES!$N348/100</f>
        <v>42.000000000000007</v>
      </c>
      <c r="N372" s="16">
        <f t="shared" si="242"/>
        <v>-289.40923513586472</v>
      </c>
      <c r="O372" s="15">
        <f t="shared" si="243"/>
        <v>22.170849845882874</v>
      </c>
      <c r="P372" s="75">
        <f>O372*(1-PARAM!$C$27)*$I$6+(MOD($B372,60)=PARAM!$B$56)*($B372&gt;(60-PARAM!$B$56))*HLOOKUP(($B372+PARAM!$B$56)/12,Loyalty,2)*$F$1*MAX(R371,0)</f>
        <v>18.557001321003963</v>
      </c>
      <c r="Q372" s="75">
        <f>PARAM!$C$26+MAX($G$6-CHOOSE(PARAM!$B$44,MAX(0,R371*$F$1),0),0)*RATES!$L348/12+$H$6*(PARAM!$D$51/12)*RATES!$N348/100</f>
        <v>42.000000000000007</v>
      </c>
      <c r="R372" s="16">
        <f t="shared" si="244"/>
        <v>-289.40923513586472</v>
      </c>
      <c r="S372" s="15">
        <f t="shared" si="219"/>
        <v>22.170849845882874</v>
      </c>
      <c r="T372" s="75">
        <f>S372*(1-PARAM!$C$27)*$I$7+(MOD($B372,60)=PARAM!$B$56)*($B372&gt;(60-PARAM!$B$56))*HLOOKUP(($B372+PARAM!$B$56)/12,Loyalty,2)*$F$1*MAX(V371,0)</f>
        <v>18.557001321003963</v>
      </c>
      <c r="U372" s="75">
        <f>PARAM!$C$26+MAX($G$7-CHOOSE(PARAM!$B$44,MAX(0,V371*$F$1),0),0)*RATES!$L348/12+$H$7*(PARAM!$D$51/12)*RATES!$N348/100</f>
        <v>42.000000000000007</v>
      </c>
      <c r="V372" s="16">
        <f t="shared" si="245"/>
        <v>-289.40923513586472</v>
      </c>
      <c r="W372" s="15">
        <f t="shared" si="220"/>
        <v>22.170849845882874</v>
      </c>
      <c r="X372" s="75">
        <f>W372*(1-PARAM!$C$27)*$I$8+(MOD($B372,60)=PARAM!$B$56)*($B372&gt;(60-PARAM!$B$56))*HLOOKUP(($B372+PARAM!$B$56)/12,Loyalty,2)*$F$1*MAX(Z371,0)</f>
        <v>18.557001321003963</v>
      </c>
      <c r="Y372" s="75">
        <f>PARAM!$C$26+MAX($G$8-CHOOSE(PARAM!$B$44,MAX(0,Z371*$F$1),0),0)*RATES!$L348/12+$H$8*(PARAM!$D$51/12)*RATES!$N348/100</f>
        <v>42.000000000000007</v>
      </c>
      <c r="Z372" s="16">
        <f t="shared" si="246"/>
        <v>-289.40923513586472</v>
      </c>
      <c r="AA372" s="15">
        <f t="shared" si="221"/>
        <v>22.170849845882874</v>
      </c>
      <c r="AB372" s="75">
        <f>AA372*(1-PARAM!$C$27)*$I$9+(MOD($B372,60)=PARAM!$B$56)*($B372&gt;(60-PARAM!$B$56))*HLOOKUP(($B372+PARAM!$B$56)/12,Loyalty,2)*$F$1*MAX(AD371,0)</f>
        <v>18.557001321003963</v>
      </c>
      <c r="AC372" s="75">
        <f>PARAM!$C$26+MAX($G$9-CHOOSE(PARAM!$B$44,MAX(0,AD371*$F$1),0),0)*RATES!$L348/12+$H$9*(PARAM!$D$51/12)*RATES!$N348/100</f>
        <v>42.000000000000007</v>
      </c>
      <c r="AD372" s="16">
        <f t="shared" si="247"/>
        <v>-289.40923513586472</v>
      </c>
      <c r="AE372" s="15">
        <f t="shared" si="222"/>
        <v>22.170849845882874</v>
      </c>
      <c r="AF372" s="75">
        <f>AE372*(1-PARAM!$C$27)*$I$10+(MOD($B372,60)=PARAM!$B$56)*($B372&gt;(60-PARAM!$B$56))*HLOOKUP(($B372+PARAM!$B$56)/12,Loyalty,2)*$F$1*MAX(AH371,0)</f>
        <v>18.557001321003963</v>
      </c>
      <c r="AG372" s="75">
        <f>PARAM!$C$26+MAX($G$10-CHOOSE(PARAM!$B$44,MAX(0,AH371*$F$1),0),0)*RATES!$L348/12+$H$10*(PARAM!$D$51/12)*RATES!$N348/100</f>
        <v>42.000000000000007</v>
      </c>
      <c r="AH372" s="16">
        <f t="shared" si="248"/>
        <v>-289.40923513586472</v>
      </c>
      <c r="AI372" s="15">
        <f t="shared" si="223"/>
        <v>22.170849845882874</v>
      </c>
      <c r="AJ372" s="75">
        <f>AI372*(1-PARAM!$C$27)*$I$11+(MOD($B372,60)=PARAM!$B$56)*($B372&gt;(60-PARAM!$B$56))*HLOOKUP(($B372+PARAM!$B$56)/12,Loyalty,2)*$F$1*MAX(AL371,0)</f>
        <v>18.557001321003963</v>
      </c>
      <c r="AK372" s="75">
        <f>PARAM!$C$26+MAX($G$11-CHOOSE(PARAM!$B$44,MAX(0,AL371*$F$1),0),0)*RATES!$L348/12+$H$11*(PARAM!$D$51/12)*RATES!$N348/100</f>
        <v>42.000000000000007</v>
      </c>
      <c r="AL372" s="16">
        <f t="shared" si="249"/>
        <v>-289.40923513586472</v>
      </c>
      <c r="AM372" s="15">
        <f t="shared" si="224"/>
        <v>22.170849845882874</v>
      </c>
      <c r="AN372" s="75">
        <f>AM372*(1-PARAM!$C$27)*$I$12+(MOD($B372,60)=PARAM!$B$56)*($B372&gt;(60-PARAM!$B$56))*HLOOKUP(($B372+PARAM!$B$56)/12,Loyalty,2)*$F$1*MAX(AP371,0)</f>
        <v>18.557001321003963</v>
      </c>
      <c r="AO372" s="75">
        <f>PARAM!$C$26+MAX($G$12-CHOOSE(PARAM!$B$44,MAX(0,AP371*$F$1),0),0)*RATES!$L348/12+$H$12*(PARAM!$D$51/12)*RATES!$N348/100</f>
        <v>42.000000000000007</v>
      </c>
      <c r="AP372" s="16">
        <f t="shared" si="250"/>
        <v>-289.40923513586472</v>
      </c>
      <c r="AQ372" s="15">
        <f t="shared" si="225"/>
        <v>22.170849845882874</v>
      </c>
      <c r="AR372" s="75">
        <f>AQ372*(1-PARAM!$C$27)*$I$13+(MOD($B372,60)=PARAM!$B$56)*($B372&gt;(60-PARAM!$B$56))*HLOOKUP(($B372+PARAM!$B$56)/12,Loyalty,2)*$F$1*MAX(AT371,0)</f>
        <v>18.557001321003963</v>
      </c>
      <c r="AS372" s="75">
        <f>PARAM!$C$26+MAX($G$13-CHOOSE(PARAM!$B$44,MAX(0,AT371*$F$1),0),0)*RATES!$L348/12+$H$13*(PARAM!$D$51/12)*RATES!$N348/100</f>
        <v>42.000000000000007</v>
      </c>
      <c r="AT372" s="16">
        <f t="shared" si="251"/>
        <v>-289.40923513586472</v>
      </c>
      <c r="AU372" s="15">
        <f t="shared" si="226"/>
        <v>22.170849845882874</v>
      </c>
      <c r="AV372" s="75">
        <f>AU372*(1-PARAM!$C$27)*$I$14+(MOD($B372,60)=PARAM!$B$56)*($B372&gt;(60-PARAM!$B$56))*HLOOKUP(($B372+PARAM!$B$56)/12,Loyalty,2)*$F$1*MAX(AX371,0)</f>
        <v>18.557001321003963</v>
      </c>
      <c r="AW372" s="75">
        <f>PARAM!$C$26+MAX($G$14-CHOOSE(PARAM!$B$44,MAX(0,AX371*$F$1),0),0)*RATES!$L348/12+$H$14*(PARAM!$D$51/12)*RATES!$N348/100</f>
        <v>42.000000000000007</v>
      </c>
      <c r="AX372" s="16">
        <f t="shared" si="252"/>
        <v>-289.40923513586472</v>
      </c>
      <c r="AY372" s="15">
        <f t="shared" si="227"/>
        <v>22.170849845882874</v>
      </c>
      <c r="AZ372" s="75">
        <f>AY372*(1-PARAM!$C$27)*$I$15+(MOD($B372,60)=PARAM!$B$56)*($B372&gt;(60-PARAM!$B$56))*HLOOKUP(($B372+PARAM!$B$56)/12,Loyalty,2)*$F$1*MAX(BB371,0)</f>
        <v>18.557001321003963</v>
      </c>
      <c r="BA372" s="75">
        <f>PARAM!$C$26+MAX($G$15-CHOOSE(PARAM!$B$44,MAX(0,BB371*$F$1),0),0)*RATES!$L348/12+$H$15*(PARAM!$D$51/12)*RATES!$N348/100</f>
        <v>42.000000000000007</v>
      </c>
      <c r="BB372" s="16">
        <f t="shared" si="253"/>
        <v>-289.40923513586472</v>
      </c>
      <c r="BC372" s="15">
        <f t="shared" si="228"/>
        <v>22.170849845882874</v>
      </c>
      <c r="BD372" s="75">
        <f>BC372*(1-PARAM!$C$27)*$I$16+(MOD($B372,60)=PARAM!$B$56)*($B372&gt;(60-PARAM!$B$56))*HLOOKUP(($B372+PARAM!$B$56)/12,Loyalty,2)*$F$1*MAX(BF371,0)</f>
        <v>18.557001321003963</v>
      </c>
      <c r="BE372" s="75">
        <f>PARAM!$C$26+MAX($G$16-CHOOSE(PARAM!$B$44,MAX(0,BF371*$F$1),0),0)*RATES!$L348/12+$H$16*(PARAM!$D$51/12)*RATES!$N348/100</f>
        <v>42.000000000000007</v>
      </c>
      <c r="BF372" s="16">
        <f t="shared" si="254"/>
        <v>-289.40923513586472</v>
      </c>
      <c r="BG372" s="15">
        <f t="shared" si="229"/>
        <v>22.170849845882874</v>
      </c>
      <c r="BH372" s="75">
        <f>BG372*(1-PARAM!$C$27)*$I$17+(MOD($B372,60)=PARAM!$B$56)*($B372&gt;(60-PARAM!$B$56))*HLOOKUP(($B372+PARAM!$B$56)/12,Loyalty,2)*$F$1*MAX(BJ371,0)</f>
        <v>18.557001321003963</v>
      </c>
      <c r="BI372" s="75">
        <f>PARAM!$C$26+MAX($G$17-CHOOSE(PARAM!$B$44,MAX(0,BJ371*$F$1),0),0)*RATES!$L348/12+$H$17*(PARAM!$D$51/12)*RATES!$N348/100</f>
        <v>42.000000000000007</v>
      </c>
      <c r="BJ372" s="16">
        <f t="shared" si="255"/>
        <v>-289.40923513586472</v>
      </c>
      <c r="BK372" s="15">
        <f t="shared" si="230"/>
        <v>22.170849845882874</v>
      </c>
      <c r="BL372" s="75">
        <f>BK372*(1-PARAM!$C$27)*$I$18+(MOD($B372,60)=PARAM!$B$56)*($B372&gt;(60-PARAM!$B$56))*HLOOKUP(($B372+PARAM!$B$56)/12,Loyalty,2)*$F$1*MAX(BN371,0)</f>
        <v>18.557001321003963</v>
      </c>
      <c r="BM372" s="75">
        <f>PARAM!$C$26+MAX($G$18-CHOOSE(PARAM!$B$44,MAX(0,BN371*$F$1),0),0)*RATES!$L348/12+$H$18*(PARAM!$D$51/12)*RATES!$N348/100</f>
        <v>42.000000000000007</v>
      </c>
      <c r="BN372" s="16">
        <f t="shared" si="256"/>
        <v>-289.40923513586472</v>
      </c>
      <c r="BO372" s="15">
        <f t="shared" si="231"/>
        <v>22.170849845882874</v>
      </c>
      <c r="BP372" s="75">
        <f>BO372*(1-PARAM!$C$27)*$I$19+(MOD($B372,60)=PARAM!$B$56)*($B372&gt;(60-PARAM!$B$56))*HLOOKUP(($B372+PARAM!$B$56)/12,Loyalty,2)*$F$1*MAX(BR371,0)</f>
        <v>18.557001321003963</v>
      </c>
      <c r="BQ372" s="75">
        <f>PARAM!$C$26+MAX($G$19-CHOOSE(PARAM!$B$44,MAX(0,BR371*$F$1),0),0)*RATES!$L348/12+$H$19*(PARAM!$D$51/12)*RATES!$N348/100</f>
        <v>42.000000000000007</v>
      </c>
      <c r="BR372" s="16">
        <f t="shared" si="257"/>
        <v>-289.40923513586472</v>
      </c>
      <c r="BS372" s="15">
        <f t="shared" si="232"/>
        <v>22.170849845882874</v>
      </c>
      <c r="BT372" s="75">
        <f>BS372*(1-PARAM!$C$27)*$I$20+(MOD($B372,60)=PARAM!$B$56)*($B372&gt;(60-PARAM!$B$56))*HLOOKUP(($B372+PARAM!$B$56)/12,Loyalty,2)*$F$1*MAX(BV371,0)</f>
        <v>18.557001321003963</v>
      </c>
      <c r="BU372" s="75">
        <f>PARAM!$C$26+MAX($G$20-CHOOSE(PARAM!$B$44,MAX(0,BV371*$F$1),0),0)*RATES!$L348/12+$H$20*(PARAM!$D$51/12)*RATES!$N348/100</f>
        <v>42.000000000000007</v>
      </c>
      <c r="BV372" s="16">
        <f t="shared" si="258"/>
        <v>-289.40923513586472</v>
      </c>
      <c r="BW372" s="15">
        <f t="shared" si="233"/>
        <v>22.170849845882874</v>
      </c>
      <c r="BX372" s="75">
        <f>BW372*(1-PARAM!$C$27)*$I$21+(MOD($B372,60)=PARAM!$B$56)*($B372&gt;(60-PARAM!$B$56))*HLOOKUP(($B372+PARAM!$B$56)/12,Loyalty,2)*$F$1*MAX(BZ371,0)</f>
        <v>18.557001321003963</v>
      </c>
      <c r="BY372" s="75">
        <f>PARAM!$C$26+MAX($G$21-CHOOSE(PARAM!$B$44,MAX(0,BZ371*$F$1),0),0)*RATES!$L348/12+$H$21*(PARAM!$D$51/12)*RATES!$N348/100</f>
        <v>42.000000000000007</v>
      </c>
      <c r="BZ372" s="16">
        <f t="shared" si="259"/>
        <v>-289.40923513586472</v>
      </c>
      <c r="CA372" s="15">
        <f t="shared" si="234"/>
        <v>22.170849845882874</v>
      </c>
      <c r="CB372" s="75">
        <f>CA372*(1-PARAM!$C$27)*$I$22+(MOD($B372,60)=PARAM!$B$56)*($B372&gt;(60-PARAM!$B$56))*HLOOKUP(($B372+PARAM!$B$56)/12,Loyalty,2)*$F$1*MAX(CD371,0)</f>
        <v>18.557001321003963</v>
      </c>
      <c r="CC372" s="75">
        <f>PARAM!$C$26+MAX($G$22-CHOOSE(PARAM!$B$44,MAX(0,CD371*$F$1),0),0)*RATES!$L348/12+$H$22*(PARAM!$D$51/12)*RATES!$N348/100</f>
        <v>42.000000000000007</v>
      </c>
      <c r="CD372" s="16">
        <f t="shared" si="260"/>
        <v>-289.40923513586472</v>
      </c>
      <c r="CE372" s="33">
        <f>IF(0=MOD(B372,12/PARAM!$D$51),1,0)</f>
        <v>1</v>
      </c>
      <c r="CF372" s="15">
        <f t="shared" si="235"/>
        <v>0</v>
      </c>
      <c r="CG372" s="75">
        <f>CF372*(1-PARAM!$C$27)*$R$3+(MOD($B372/12,5)=0)*($B372&gt;60)*HLOOKUP($B372/12,Loyalty,2)*$F$1*MAX(CI371,0)</f>
        <v>0</v>
      </c>
      <c r="CH372" s="75">
        <f>PARAM!$C$26+MAX($P$3-CHOOSE(PARAM!$B$44,MAX(0,CI371*$F$1),0),0)*RATES!$L348/12+$Q$3*(PARAM!$D$51/12)*RATES!$N348/100</f>
        <v>42.000000000000007</v>
      </c>
      <c r="CI372" s="16">
        <f>IF(CI371&gt;0,CI371*PARAM!$C$53,CI371)+CG372-CH372</f>
        <v>-6571.9999999999891</v>
      </c>
      <c r="CJ372" s="15">
        <f t="shared" si="261"/>
        <v>0</v>
      </c>
      <c r="CK372" s="75">
        <f>CJ372*(1-PARAM!$C$27)*$R$4+(MOD($B372/12,5)=0)*($B372&gt;60)*HLOOKUP($B372/12,Loyalty,2)*$F$1*MAX(CM371,0)</f>
        <v>0</v>
      </c>
      <c r="CL372" s="75">
        <f>PARAM!$C$26+MAX($P$4-CHOOSE(PARAM!$B$44,MAX(0,CM371*$F$1),0),0)*RATES!$L348/12+$Q$4*(PARAM!$D$51/12)*RATES!$N348/100</f>
        <v>42.000000000000007</v>
      </c>
      <c r="CM372" s="16">
        <f>IF(CM371&gt;0,CM371*PARAM!$C$53,CM371)+CK372-CL372</f>
        <v>-6571.9999999999891</v>
      </c>
      <c r="CO372" s="176"/>
    </row>
    <row r="373" spans="1:93" x14ac:dyDescent="0.2">
      <c r="A373" t="b">
        <f t="shared" si="236"/>
        <v>0</v>
      </c>
      <c r="B373" s="33">
        <v>346</v>
      </c>
      <c r="C373" s="15">
        <f t="shared" si="237"/>
        <v>20.081305947392778</v>
      </c>
      <c r="D373" s="75">
        <f>C373*(1-PARAM!$C$27)*$I$3+(MOD($B373,60)=PARAM!$B$56)*($B373&gt;(60-PARAM!$B$56))*HLOOKUP(($B373+PARAM!$B$56)/12,Loyalty,2)*$F$1*MAX(F372,0)</f>
        <v>16.808053077967756</v>
      </c>
      <c r="E373" s="75">
        <f>PARAM!$C$26+MAX($G$3-CHOOSE(PARAM!$B$44,MAX(0,F372*$F$1),0),0)*RATES!$L349/12+$H$3*(PARAM!$D$51/12)*RATES!$N349/100</f>
        <v>42.000000000000007</v>
      </c>
      <c r="F373" s="16">
        <f t="shared" si="238"/>
        <v>-954.83882642689093</v>
      </c>
      <c r="G373" s="15">
        <f t="shared" si="239"/>
        <v>22.035289406060361</v>
      </c>
      <c r="H373" s="75">
        <f>G373*(1-PARAM!$C$27)*$I$4+(MOD($B373,60)=PARAM!$B$56)*($B373&gt;(60-PARAM!$B$56))*HLOOKUP(($B373+PARAM!$B$56)/12,Loyalty,2)*$F$1*MAX(J372,0)</f>
        <v>18.443537232872522</v>
      </c>
      <c r="I373" s="75">
        <f>PARAM!$C$26+MAX($G$4-CHOOSE(PARAM!$B$44,MAX(0,J372*$F$1),0),0)*RATES!$L349/12+$H$4*(PARAM!$D$51/12)*RATES!$N349/100</f>
        <v>42.000000000000007</v>
      </c>
      <c r="J373" s="16">
        <f t="shared" si="240"/>
        <v>-355.12834470813289</v>
      </c>
      <c r="K373" s="15">
        <f t="shared" si="241"/>
        <v>22.170849845882874</v>
      </c>
      <c r="L373" s="75">
        <f>K373*(1-PARAM!$C$27)*$I$5+(MOD($B373,60)=PARAM!$B$56)*($B373&gt;(60-PARAM!$B$56))*HLOOKUP(($B373+PARAM!$B$56)/12,Loyalty,2)*$F$1*MAX(N372,0)</f>
        <v>18.557001321003963</v>
      </c>
      <c r="M373" s="75">
        <f>PARAM!$C$26+MAX($G$5-CHOOSE(PARAM!$B$44,MAX(0,N372*$F$1),0),0)*RATES!$L349/12+$H$5*(PARAM!$D$51/12)*RATES!$N349/100</f>
        <v>42.000000000000007</v>
      </c>
      <c r="N373" s="16">
        <f t="shared" si="242"/>
        <v>-312.85223381486077</v>
      </c>
      <c r="O373" s="15">
        <f t="shared" si="243"/>
        <v>22.170849845882874</v>
      </c>
      <c r="P373" s="75">
        <f>O373*(1-PARAM!$C$27)*$I$6+(MOD($B373,60)=PARAM!$B$56)*($B373&gt;(60-PARAM!$B$56))*HLOOKUP(($B373+PARAM!$B$56)/12,Loyalty,2)*$F$1*MAX(R372,0)</f>
        <v>18.557001321003963</v>
      </c>
      <c r="Q373" s="75">
        <f>PARAM!$C$26+MAX($G$6-CHOOSE(PARAM!$B$44,MAX(0,R372*$F$1),0),0)*RATES!$L349/12+$H$6*(PARAM!$D$51/12)*RATES!$N349/100</f>
        <v>42.000000000000007</v>
      </c>
      <c r="R373" s="16">
        <f t="shared" si="244"/>
        <v>-312.85223381486077</v>
      </c>
      <c r="S373" s="15">
        <f t="shared" si="219"/>
        <v>22.170849845882874</v>
      </c>
      <c r="T373" s="75">
        <f>S373*(1-PARAM!$C$27)*$I$7+(MOD($B373,60)=PARAM!$B$56)*($B373&gt;(60-PARAM!$B$56))*HLOOKUP(($B373+PARAM!$B$56)/12,Loyalty,2)*$F$1*MAX(V372,0)</f>
        <v>18.557001321003963</v>
      </c>
      <c r="U373" s="75">
        <f>PARAM!$C$26+MAX($G$7-CHOOSE(PARAM!$B$44,MAX(0,V372*$F$1),0),0)*RATES!$L349/12+$H$7*(PARAM!$D$51/12)*RATES!$N349/100</f>
        <v>42.000000000000007</v>
      </c>
      <c r="V373" s="16">
        <f t="shared" si="245"/>
        <v>-312.85223381486077</v>
      </c>
      <c r="W373" s="15">
        <f t="shared" si="220"/>
        <v>22.170849845882874</v>
      </c>
      <c r="X373" s="75">
        <f>W373*(1-PARAM!$C$27)*$I$8+(MOD($B373,60)=PARAM!$B$56)*($B373&gt;(60-PARAM!$B$56))*HLOOKUP(($B373+PARAM!$B$56)/12,Loyalty,2)*$F$1*MAX(Z372,0)</f>
        <v>18.557001321003963</v>
      </c>
      <c r="Y373" s="75">
        <f>PARAM!$C$26+MAX($G$8-CHOOSE(PARAM!$B$44,MAX(0,Z372*$F$1),0),0)*RATES!$L349/12+$H$8*(PARAM!$D$51/12)*RATES!$N349/100</f>
        <v>42.000000000000007</v>
      </c>
      <c r="Z373" s="16">
        <f t="shared" si="246"/>
        <v>-312.85223381486077</v>
      </c>
      <c r="AA373" s="15">
        <f t="shared" si="221"/>
        <v>22.170849845882874</v>
      </c>
      <c r="AB373" s="75">
        <f>AA373*(1-PARAM!$C$27)*$I$9+(MOD($B373,60)=PARAM!$B$56)*($B373&gt;(60-PARAM!$B$56))*HLOOKUP(($B373+PARAM!$B$56)/12,Loyalty,2)*$F$1*MAX(AD372,0)</f>
        <v>18.557001321003963</v>
      </c>
      <c r="AC373" s="75">
        <f>PARAM!$C$26+MAX($G$9-CHOOSE(PARAM!$B$44,MAX(0,AD372*$F$1),0),0)*RATES!$L349/12+$H$9*(PARAM!$D$51/12)*RATES!$N349/100</f>
        <v>42.000000000000007</v>
      </c>
      <c r="AD373" s="16">
        <f t="shared" si="247"/>
        <v>-312.85223381486077</v>
      </c>
      <c r="AE373" s="15">
        <f t="shared" si="222"/>
        <v>22.170849845882874</v>
      </c>
      <c r="AF373" s="75">
        <f>AE373*(1-PARAM!$C$27)*$I$10+(MOD($B373,60)=PARAM!$B$56)*($B373&gt;(60-PARAM!$B$56))*HLOOKUP(($B373+PARAM!$B$56)/12,Loyalty,2)*$F$1*MAX(AH372,0)</f>
        <v>18.557001321003963</v>
      </c>
      <c r="AG373" s="75">
        <f>PARAM!$C$26+MAX($G$10-CHOOSE(PARAM!$B$44,MAX(0,AH372*$F$1),0),0)*RATES!$L349/12+$H$10*(PARAM!$D$51/12)*RATES!$N349/100</f>
        <v>42.000000000000007</v>
      </c>
      <c r="AH373" s="16">
        <f t="shared" si="248"/>
        <v>-312.85223381486077</v>
      </c>
      <c r="AI373" s="15">
        <f t="shared" si="223"/>
        <v>22.170849845882874</v>
      </c>
      <c r="AJ373" s="75">
        <f>AI373*(1-PARAM!$C$27)*$I$11+(MOD($B373,60)=PARAM!$B$56)*($B373&gt;(60-PARAM!$B$56))*HLOOKUP(($B373+PARAM!$B$56)/12,Loyalty,2)*$F$1*MAX(AL372,0)</f>
        <v>18.557001321003963</v>
      </c>
      <c r="AK373" s="75">
        <f>PARAM!$C$26+MAX($G$11-CHOOSE(PARAM!$B$44,MAX(0,AL372*$F$1),0),0)*RATES!$L349/12+$H$11*(PARAM!$D$51/12)*RATES!$N349/100</f>
        <v>42.000000000000007</v>
      </c>
      <c r="AL373" s="16">
        <f t="shared" si="249"/>
        <v>-312.85223381486077</v>
      </c>
      <c r="AM373" s="15">
        <f t="shared" si="224"/>
        <v>22.170849845882874</v>
      </c>
      <c r="AN373" s="75">
        <f>AM373*(1-PARAM!$C$27)*$I$12+(MOD($B373,60)=PARAM!$B$56)*($B373&gt;(60-PARAM!$B$56))*HLOOKUP(($B373+PARAM!$B$56)/12,Loyalty,2)*$F$1*MAX(AP372,0)</f>
        <v>18.557001321003963</v>
      </c>
      <c r="AO373" s="75">
        <f>PARAM!$C$26+MAX($G$12-CHOOSE(PARAM!$B$44,MAX(0,AP372*$F$1),0),0)*RATES!$L349/12+$H$12*(PARAM!$D$51/12)*RATES!$N349/100</f>
        <v>42.000000000000007</v>
      </c>
      <c r="AP373" s="16">
        <f t="shared" si="250"/>
        <v>-312.85223381486077</v>
      </c>
      <c r="AQ373" s="15">
        <f t="shared" si="225"/>
        <v>22.170849845882874</v>
      </c>
      <c r="AR373" s="75">
        <f>AQ373*(1-PARAM!$C$27)*$I$13+(MOD($B373,60)=PARAM!$B$56)*($B373&gt;(60-PARAM!$B$56))*HLOOKUP(($B373+PARAM!$B$56)/12,Loyalty,2)*$F$1*MAX(AT372,0)</f>
        <v>18.557001321003963</v>
      </c>
      <c r="AS373" s="75">
        <f>PARAM!$C$26+MAX($G$13-CHOOSE(PARAM!$B$44,MAX(0,AT372*$F$1),0),0)*RATES!$L349/12+$H$13*(PARAM!$D$51/12)*RATES!$N349/100</f>
        <v>42.000000000000007</v>
      </c>
      <c r="AT373" s="16">
        <f t="shared" si="251"/>
        <v>-312.85223381486077</v>
      </c>
      <c r="AU373" s="15">
        <f t="shared" si="226"/>
        <v>22.170849845882874</v>
      </c>
      <c r="AV373" s="75">
        <f>AU373*(1-PARAM!$C$27)*$I$14+(MOD($B373,60)=PARAM!$B$56)*($B373&gt;(60-PARAM!$B$56))*HLOOKUP(($B373+PARAM!$B$56)/12,Loyalty,2)*$F$1*MAX(AX372,0)</f>
        <v>18.557001321003963</v>
      </c>
      <c r="AW373" s="75">
        <f>PARAM!$C$26+MAX($G$14-CHOOSE(PARAM!$B$44,MAX(0,AX372*$F$1),0),0)*RATES!$L349/12+$H$14*(PARAM!$D$51/12)*RATES!$N349/100</f>
        <v>42.000000000000007</v>
      </c>
      <c r="AX373" s="16">
        <f t="shared" si="252"/>
        <v>-312.85223381486077</v>
      </c>
      <c r="AY373" s="15">
        <f t="shared" si="227"/>
        <v>22.170849845882874</v>
      </c>
      <c r="AZ373" s="75">
        <f>AY373*(1-PARAM!$C$27)*$I$15+(MOD($B373,60)=PARAM!$B$56)*($B373&gt;(60-PARAM!$B$56))*HLOOKUP(($B373+PARAM!$B$56)/12,Loyalty,2)*$F$1*MAX(BB372,0)</f>
        <v>18.557001321003963</v>
      </c>
      <c r="BA373" s="75">
        <f>PARAM!$C$26+MAX($G$15-CHOOSE(PARAM!$B$44,MAX(0,BB372*$F$1),0),0)*RATES!$L349/12+$H$15*(PARAM!$D$51/12)*RATES!$N349/100</f>
        <v>42.000000000000007</v>
      </c>
      <c r="BB373" s="16">
        <f t="shared" si="253"/>
        <v>-312.85223381486077</v>
      </c>
      <c r="BC373" s="15">
        <f t="shared" si="228"/>
        <v>22.170849845882874</v>
      </c>
      <c r="BD373" s="75">
        <f>BC373*(1-PARAM!$C$27)*$I$16+(MOD($B373,60)=PARAM!$B$56)*($B373&gt;(60-PARAM!$B$56))*HLOOKUP(($B373+PARAM!$B$56)/12,Loyalty,2)*$F$1*MAX(BF372,0)</f>
        <v>18.557001321003963</v>
      </c>
      <c r="BE373" s="75">
        <f>PARAM!$C$26+MAX($G$16-CHOOSE(PARAM!$B$44,MAX(0,BF372*$F$1),0),0)*RATES!$L349/12+$H$16*(PARAM!$D$51/12)*RATES!$N349/100</f>
        <v>42.000000000000007</v>
      </c>
      <c r="BF373" s="16">
        <f t="shared" si="254"/>
        <v>-312.85223381486077</v>
      </c>
      <c r="BG373" s="15">
        <f t="shared" si="229"/>
        <v>22.170849845882874</v>
      </c>
      <c r="BH373" s="75">
        <f>BG373*(1-PARAM!$C$27)*$I$17+(MOD($B373,60)=PARAM!$B$56)*($B373&gt;(60-PARAM!$B$56))*HLOOKUP(($B373+PARAM!$B$56)/12,Loyalty,2)*$F$1*MAX(BJ372,0)</f>
        <v>18.557001321003963</v>
      </c>
      <c r="BI373" s="75">
        <f>PARAM!$C$26+MAX($G$17-CHOOSE(PARAM!$B$44,MAX(0,BJ372*$F$1),0),0)*RATES!$L349/12+$H$17*(PARAM!$D$51/12)*RATES!$N349/100</f>
        <v>42.000000000000007</v>
      </c>
      <c r="BJ373" s="16">
        <f t="shared" si="255"/>
        <v>-312.85223381486077</v>
      </c>
      <c r="BK373" s="15">
        <f t="shared" si="230"/>
        <v>22.170849845882874</v>
      </c>
      <c r="BL373" s="75">
        <f>BK373*(1-PARAM!$C$27)*$I$18+(MOD($B373,60)=PARAM!$B$56)*($B373&gt;(60-PARAM!$B$56))*HLOOKUP(($B373+PARAM!$B$56)/12,Loyalty,2)*$F$1*MAX(BN372,0)</f>
        <v>18.557001321003963</v>
      </c>
      <c r="BM373" s="75">
        <f>PARAM!$C$26+MAX($G$18-CHOOSE(PARAM!$B$44,MAX(0,BN372*$F$1),0),0)*RATES!$L349/12+$H$18*(PARAM!$D$51/12)*RATES!$N349/100</f>
        <v>42.000000000000007</v>
      </c>
      <c r="BN373" s="16">
        <f t="shared" si="256"/>
        <v>-312.85223381486077</v>
      </c>
      <c r="BO373" s="15">
        <f t="shared" si="231"/>
        <v>22.170849845882874</v>
      </c>
      <c r="BP373" s="75">
        <f>BO373*(1-PARAM!$C$27)*$I$19+(MOD($B373,60)=PARAM!$B$56)*($B373&gt;(60-PARAM!$B$56))*HLOOKUP(($B373+PARAM!$B$56)/12,Loyalty,2)*$F$1*MAX(BR372,0)</f>
        <v>18.557001321003963</v>
      </c>
      <c r="BQ373" s="75">
        <f>PARAM!$C$26+MAX($G$19-CHOOSE(PARAM!$B$44,MAX(0,BR372*$F$1),0),0)*RATES!$L349/12+$H$19*(PARAM!$D$51/12)*RATES!$N349/100</f>
        <v>42.000000000000007</v>
      </c>
      <c r="BR373" s="16">
        <f t="shared" si="257"/>
        <v>-312.85223381486077</v>
      </c>
      <c r="BS373" s="15">
        <f t="shared" si="232"/>
        <v>22.170849845882874</v>
      </c>
      <c r="BT373" s="75">
        <f>BS373*(1-PARAM!$C$27)*$I$20+(MOD($B373,60)=PARAM!$B$56)*($B373&gt;(60-PARAM!$B$56))*HLOOKUP(($B373+PARAM!$B$56)/12,Loyalty,2)*$F$1*MAX(BV372,0)</f>
        <v>18.557001321003963</v>
      </c>
      <c r="BU373" s="75">
        <f>PARAM!$C$26+MAX($G$20-CHOOSE(PARAM!$B$44,MAX(0,BV372*$F$1),0),0)*RATES!$L349/12+$H$20*(PARAM!$D$51/12)*RATES!$N349/100</f>
        <v>42.000000000000007</v>
      </c>
      <c r="BV373" s="16">
        <f t="shared" si="258"/>
        <v>-312.85223381486077</v>
      </c>
      <c r="BW373" s="15">
        <f t="shared" si="233"/>
        <v>22.170849845882874</v>
      </c>
      <c r="BX373" s="75">
        <f>BW373*(1-PARAM!$C$27)*$I$21+(MOD($B373,60)=PARAM!$B$56)*($B373&gt;(60-PARAM!$B$56))*HLOOKUP(($B373+PARAM!$B$56)/12,Loyalty,2)*$F$1*MAX(BZ372,0)</f>
        <v>18.557001321003963</v>
      </c>
      <c r="BY373" s="75">
        <f>PARAM!$C$26+MAX($G$21-CHOOSE(PARAM!$B$44,MAX(0,BZ372*$F$1),0),0)*RATES!$L349/12+$H$21*(PARAM!$D$51/12)*RATES!$N349/100</f>
        <v>42.000000000000007</v>
      </c>
      <c r="BZ373" s="16">
        <f t="shared" si="259"/>
        <v>-312.85223381486077</v>
      </c>
      <c r="CA373" s="15">
        <f t="shared" si="234"/>
        <v>22.170849845882874</v>
      </c>
      <c r="CB373" s="75">
        <f>CA373*(1-PARAM!$C$27)*$I$22+(MOD($B373,60)=PARAM!$B$56)*($B373&gt;(60-PARAM!$B$56))*HLOOKUP(($B373+PARAM!$B$56)/12,Loyalty,2)*$F$1*MAX(CD372,0)</f>
        <v>18.557001321003963</v>
      </c>
      <c r="CC373" s="75">
        <f>PARAM!$C$26+MAX($G$22-CHOOSE(PARAM!$B$44,MAX(0,CD372*$F$1),0),0)*RATES!$L349/12+$H$22*(PARAM!$D$51/12)*RATES!$N349/100</f>
        <v>42.000000000000007</v>
      </c>
      <c r="CD373" s="16">
        <f t="shared" si="260"/>
        <v>-312.85223381486077</v>
      </c>
      <c r="CE373" s="33">
        <f>IF(0=MOD(B373,12/PARAM!$D$51),1,0)</f>
        <v>1</v>
      </c>
      <c r="CF373" s="15">
        <f t="shared" si="235"/>
        <v>0</v>
      </c>
      <c r="CG373" s="75">
        <f>CF373*(1-PARAM!$C$27)*$R$3+(MOD($B373/12,5)=0)*($B373&gt;60)*HLOOKUP($B373/12,Loyalty,2)*$F$1*MAX(CI372,0)</f>
        <v>0</v>
      </c>
      <c r="CH373" s="75">
        <f>PARAM!$C$26+MAX($P$3-CHOOSE(PARAM!$B$44,MAX(0,CI372*$F$1),0),0)*RATES!$L349/12+$Q$3*(PARAM!$D$51/12)*RATES!$N349/100</f>
        <v>42.000000000000007</v>
      </c>
      <c r="CI373" s="16">
        <f>IF(CI372&gt;0,CI372*PARAM!$C$53,CI372)+CG373-CH373</f>
        <v>-6613.9999999999891</v>
      </c>
      <c r="CJ373" s="15">
        <f t="shared" si="261"/>
        <v>0</v>
      </c>
      <c r="CK373" s="75">
        <f>CJ373*(1-PARAM!$C$27)*$R$4+(MOD($B373/12,5)=0)*($B373&gt;60)*HLOOKUP($B373/12,Loyalty,2)*$F$1*MAX(CM372,0)</f>
        <v>0</v>
      </c>
      <c r="CL373" s="75">
        <f>PARAM!$C$26+MAX($P$4-CHOOSE(PARAM!$B$44,MAX(0,CM372*$F$1),0),0)*RATES!$L349/12+$Q$4*(PARAM!$D$51/12)*RATES!$N349/100</f>
        <v>42.000000000000007</v>
      </c>
      <c r="CM373" s="16">
        <f>IF(CM372&gt;0,CM372*PARAM!$C$53,CM372)+CK373-CL373</f>
        <v>-6613.9999999999891</v>
      </c>
      <c r="CO373" s="176"/>
    </row>
    <row r="374" spans="1:93" x14ac:dyDescent="0.2">
      <c r="A374" t="b">
        <f t="shared" si="236"/>
        <v>0</v>
      </c>
      <c r="B374" s="33">
        <v>347</v>
      </c>
      <c r="C374" s="15">
        <f t="shared" si="237"/>
        <v>20.081305947392778</v>
      </c>
      <c r="D374" s="75">
        <f>C374*(1-PARAM!$C$27)*$I$3+(MOD($B374,60)=PARAM!$B$56)*($B374&gt;(60-PARAM!$B$56))*HLOOKUP(($B374+PARAM!$B$56)/12,Loyalty,2)*$F$1*MAX(F373,0)</f>
        <v>16.808053077967756</v>
      </c>
      <c r="E374" s="75">
        <f>PARAM!$C$26+MAX($G$3-CHOOSE(PARAM!$B$44,MAX(0,F373*$F$1),0),0)*RATES!$L350/12+$H$3*(PARAM!$D$51/12)*RATES!$N350/100</f>
        <v>42.000000000000007</v>
      </c>
      <c r="F374" s="16">
        <f t="shared" si="238"/>
        <v>-980.03077334892316</v>
      </c>
      <c r="G374" s="15">
        <f t="shared" si="239"/>
        <v>22.035289406060361</v>
      </c>
      <c r="H374" s="75">
        <f>G374*(1-PARAM!$C$27)*$I$4+(MOD($B374,60)=PARAM!$B$56)*($B374&gt;(60-PARAM!$B$56))*HLOOKUP(($B374+PARAM!$B$56)/12,Loyalty,2)*$F$1*MAX(J373,0)</f>
        <v>18.443537232872522</v>
      </c>
      <c r="I374" s="75">
        <f>PARAM!$C$26+MAX($G$4-CHOOSE(PARAM!$B$44,MAX(0,J373*$F$1),0),0)*RATES!$L350/12+$H$4*(PARAM!$D$51/12)*RATES!$N350/100</f>
        <v>42.000000000000007</v>
      </c>
      <c r="J374" s="16">
        <f t="shared" si="240"/>
        <v>-378.68480747526036</v>
      </c>
      <c r="K374" s="15">
        <f t="shared" si="241"/>
        <v>22.170849845882874</v>
      </c>
      <c r="L374" s="75">
        <f>K374*(1-PARAM!$C$27)*$I$5+(MOD($B374,60)=PARAM!$B$56)*($B374&gt;(60-PARAM!$B$56))*HLOOKUP(($B374+PARAM!$B$56)/12,Loyalty,2)*$F$1*MAX(N373,0)</f>
        <v>18.557001321003963</v>
      </c>
      <c r="M374" s="75">
        <f>PARAM!$C$26+MAX($G$5-CHOOSE(PARAM!$B$44,MAX(0,N373*$F$1),0),0)*RATES!$L350/12+$H$5*(PARAM!$D$51/12)*RATES!$N350/100</f>
        <v>42.000000000000007</v>
      </c>
      <c r="N374" s="16">
        <f t="shared" si="242"/>
        <v>-336.29523249385682</v>
      </c>
      <c r="O374" s="15">
        <f t="shared" si="243"/>
        <v>22.170849845882874</v>
      </c>
      <c r="P374" s="75">
        <f>O374*(1-PARAM!$C$27)*$I$6+(MOD($B374,60)=PARAM!$B$56)*($B374&gt;(60-PARAM!$B$56))*HLOOKUP(($B374+PARAM!$B$56)/12,Loyalty,2)*$F$1*MAX(R373,0)</f>
        <v>18.557001321003963</v>
      </c>
      <c r="Q374" s="75">
        <f>PARAM!$C$26+MAX($G$6-CHOOSE(PARAM!$B$44,MAX(0,R373*$F$1),0),0)*RATES!$L350/12+$H$6*(PARAM!$D$51/12)*RATES!$N350/100</f>
        <v>42.000000000000007</v>
      </c>
      <c r="R374" s="16">
        <f t="shared" si="244"/>
        <v>-336.29523249385682</v>
      </c>
      <c r="S374" s="15">
        <f t="shared" si="219"/>
        <v>22.170849845882874</v>
      </c>
      <c r="T374" s="75">
        <f>S374*(1-PARAM!$C$27)*$I$7+(MOD($B374,60)=PARAM!$B$56)*($B374&gt;(60-PARAM!$B$56))*HLOOKUP(($B374+PARAM!$B$56)/12,Loyalty,2)*$F$1*MAX(V373,0)</f>
        <v>18.557001321003963</v>
      </c>
      <c r="U374" s="75">
        <f>PARAM!$C$26+MAX($G$7-CHOOSE(PARAM!$B$44,MAX(0,V373*$F$1),0),0)*RATES!$L350/12+$H$7*(PARAM!$D$51/12)*RATES!$N350/100</f>
        <v>42.000000000000007</v>
      </c>
      <c r="V374" s="16">
        <f t="shared" si="245"/>
        <v>-336.29523249385682</v>
      </c>
      <c r="W374" s="15">
        <f t="shared" si="220"/>
        <v>22.170849845882874</v>
      </c>
      <c r="X374" s="75">
        <f>W374*(1-PARAM!$C$27)*$I$8+(MOD($B374,60)=PARAM!$B$56)*($B374&gt;(60-PARAM!$B$56))*HLOOKUP(($B374+PARAM!$B$56)/12,Loyalty,2)*$F$1*MAX(Z373,0)</f>
        <v>18.557001321003963</v>
      </c>
      <c r="Y374" s="75">
        <f>PARAM!$C$26+MAX($G$8-CHOOSE(PARAM!$B$44,MAX(0,Z373*$F$1),0),0)*RATES!$L350/12+$H$8*(PARAM!$D$51/12)*RATES!$N350/100</f>
        <v>42.000000000000007</v>
      </c>
      <c r="Z374" s="16">
        <f t="shared" si="246"/>
        <v>-336.29523249385682</v>
      </c>
      <c r="AA374" s="15">
        <f t="shared" si="221"/>
        <v>22.170849845882874</v>
      </c>
      <c r="AB374" s="75">
        <f>AA374*(1-PARAM!$C$27)*$I$9+(MOD($B374,60)=PARAM!$B$56)*($B374&gt;(60-PARAM!$B$56))*HLOOKUP(($B374+PARAM!$B$56)/12,Loyalty,2)*$F$1*MAX(AD373,0)</f>
        <v>18.557001321003963</v>
      </c>
      <c r="AC374" s="75">
        <f>PARAM!$C$26+MAX($G$9-CHOOSE(PARAM!$B$44,MAX(0,AD373*$F$1),0),0)*RATES!$L350/12+$H$9*(PARAM!$D$51/12)*RATES!$N350/100</f>
        <v>42.000000000000007</v>
      </c>
      <c r="AD374" s="16">
        <f t="shared" si="247"/>
        <v>-336.29523249385682</v>
      </c>
      <c r="AE374" s="15">
        <f t="shared" si="222"/>
        <v>22.170849845882874</v>
      </c>
      <c r="AF374" s="75">
        <f>AE374*(1-PARAM!$C$27)*$I$10+(MOD($B374,60)=PARAM!$B$56)*($B374&gt;(60-PARAM!$B$56))*HLOOKUP(($B374+PARAM!$B$56)/12,Loyalty,2)*$F$1*MAX(AH373,0)</f>
        <v>18.557001321003963</v>
      </c>
      <c r="AG374" s="75">
        <f>PARAM!$C$26+MAX($G$10-CHOOSE(PARAM!$B$44,MAX(0,AH373*$F$1),0),0)*RATES!$L350/12+$H$10*(PARAM!$D$51/12)*RATES!$N350/100</f>
        <v>42.000000000000007</v>
      </c>
      <c r="AH374" s="16">
        <f t="shared" si="248"/>
        <v>-336.29523249385682</v>
      </c>
      <c r="AI374" s="15">
        <f t="shared" si="223"/>
        <v>22.170849845882874</v>
      </c>
      <c r="AJ374" s="75">
        <f>AI374*(1-PARAM!$C$27)*$I$11+(MOD($B374,60)=PARAM!$B$56)*($B374&gt;(60-PARAM!$B$56))*HLOOKUP(($B374+PARAM!$B$56)/12,Loyalty,2)*$F$1*MAX(AL373,0)</f>
        <v>18.557001321003963</v>
      </c>
      <c r="AK374" s="75">
        <f>PARAM!$C$26+MAX($G$11-CHOOSE(PARAM!$B$44,MAX(0,AL373*$F$1),0),0)*RATES!$L350/12+$H$11*(PARAM!$D$51/12)*RATES!$N350/100</f>
        <v>42.000000000000007</v>
      </c>
      <c r="AL374" s="16">
        <f t="shared" si="249"/>
        <v>-336.29523249385682</v>
      </c>
      <c r="AM374" s="15">
        <f t="shared" si="224"/>
        <v>22.170849845882874</v>
      </c>
      <c r="AN374" s="75">
        <f>AM374*(1-PARAM!$C$27)*$I$12+(MOD($B374,60)=PARAM!$B$56)*($B374&gt;(60-PARAM!$B$56))*HLOOKUP(($B374+PARAM!$B$56)/12,Loyalty,2)*$F$1*MAX(AP373,0)</f>
        <v>18.557001321003963</v>
      </c>
      <c r="AO374" s="75">
        <f>PARAM!$C$26+MAX($G$12-CHOOSE(PARAM!$B$44,MAX(0,AP373*$F$1),0),0)*RATES!$L350/12+$H$12*(PARAM!$D$51/12)*RATES!$N350/100</f>
        <v>42.000000000000007</v>
      </c>
      <c r="AP374" s="16">
        <f t="shared" si="250"/>
        <v>-336.29523249385682</v>
      </c>
      <c r="AQ374" s="15">
        <f t="shared" si="225"/>
        <v>22.170849845882874</v>
      </c>
      <c r="AR374" s="75">
        <f>AQ374*(1-PARAM!$C$27)*$I$13+(MOD($B374,60)=PARAM!$B$56)*($B374&gt;(60-PARAM!$B$56))*HLOOKUP(($B374+PARAM!$B$56)/12,Loyalty,2)*$F$1*MAX(AT373,0)</f>
        <v>18.557001321003963</v>
      </c>
      <c r="AS374" s="75">
        <f>PARAM!$C$26+MAX($G$13-CHOOSE(PARAM!$B$44,MAX(0,AT373*$F$1),0),0)*RATES!$L350/12+$H$13*(PARAM!$D$51/12)*RATES!$N350/100</f>
        <v>42.000000000000007</v>
      </c>
      <c r="AT374" s="16">
        <f t="shared" si="251"/>
        <v>-336.29523249385682</v>
      </c>
      <c r="AU374" s="15">
        <f t="shared" si="226"/>
        <v>22.170849845882874</v>
      </c>
      <c r="AV374" s="75">
        <f>AU374*(1-PARAM!$C$27)*$I$14+(MOD($B374,60)=PARAM!$B$56)*($B374&gt;(60-PARAM!$B$56))*HLOOKUP(($B374+PARAM!$B$56)/12,Loyalty,2)*$F$1*MAX(AX373,0)</f>
        <v>18.557001321003963</v>
      </c>
      <c r="AW374" s="75">
        <f>PARAM!$C$26+MAX($G$14-CHOOSE(PARAM!$B$44,MAX(0,AX373*$F$1),0),0)*RATES!$L350/12+$H$14*(PARAM!$D$51/12)*RATES!$N350/100</f>
        <v>42.000000000000007</v>
      </c>
      <c r="AX374" s="16">
        <f t="shared" si="252"/>
        <v>-336.29523249385682</v>
      </c>
      <c r="AY374" s="15">
        <f t="shared" si="227"/>
        <v>22.170849845882874</v>
      </c>
      <c r="AZ374" s="75">
        <f>AY374*(1-PARAM!$C$27)*$I$15+(MOD($B374,60)=PARAM!$B$56)*($B374&gt;(60-PARAM!$B$56))*HLOOKUP(($B374+PARAM!$B$56)/12,Loyalty,2)*$F$1*MAX(BB373,0)</f>
        <v>18.557001321003963</v>
      </c>
      <c r="BA374" s="75">
        <f>PARAM!$C$26+MAX($G$15-CHOOSE(PARAM!$B$44,MAX(0,BB373*$F$1),0),0)*RATES!$L350/12+$H$15*(PARAM!$D$51/12)*RATES!$N350/100</f>
        <v>42.000000000000007</v>
      </c>
      <c r="BB374" s="16">
        <f t="shared" si="253"/>
        <v>-336.29523249385682</v>
      </c>
      <c r="BC374" s="15">
        <f t="shared" si="228"/>
        <v>22.170849845882874</v>
      </c>
      <c r="BD374" s="75">
        <f>BC374*(1-PARAM!$C$27)*$I$16+(MOD($B374,60)=PARAM!$B$56)*($B374&gt;(60-PARAM!$B$56))*HLOOKUP(($B374+PARAM!$B$56)/12,Loyalty,2)*$F$1*MAX(BF373,0)</f>
        <v>18.557001321003963</v>
      </c>
      <c r="BE374" s="75">
        <f>PARAM!$C$26+MAX($G$16-CHOOSE(PARAM!$B$44,MAX(0,BF373*$F$1),0),0)*RATES!$L350/12+$H$16*(PARAM!$D$51/12)*RATES!$N350/100</f>
        <v>42.000000000000007</v>
      </c>
      <c r="BF374" s="16">
        <f t="shared" si="254"/>
        <v>-336.29523249385682</v>
      </c>
      <c r="BG374" s="15">
        <f t="shared" si="229"/>
        <v>22.170849845882874</v>
      </c>
      <c r="BH374" s="75">
        <f>BG374*(1-PARAM!$C$27)*$I$17+(MOD($B374,60)=PARAM!$B$56)*($B374&gt;(60-PARAM!$B$56))*HLOOKUP(($B374+PARAM!$B$56)/12,Loyalty,2)*$F$1*MAX(BJ373,0)</f>
        <v>18.557001321003963</v>
      </c>
      <c r="BI374" s="75">
        <f>PARAM!$C$26+MAX($G$17-CHOOSE(PARAM!$B$44,MAX(0,BJ373*$F$1),0),0)*RATES!$L350/12+$H$17*(PARAM!$D$51/12)*RATES!$N350/100</f>
        <v>42.000000000000007</v>
      </c>
      <c r="BJ374" s="16">
        <f t="shared" si="255"/>
        <v>-336.29523249385682</v>
      </c>
      <c r="BK374" s="15">
        <f t="shared" si="230"/>
        <v>22.170849845882874</v>
      </c>
      <c r="BL374" s="75">
        <f>BK374*(1-PARAM!$C$27)*$I$18+(MOD($B374,60)=PARAM!$B$56)*($B374&gt;(60-PARAM!$B$56))*HLOOKUP(($B374+PARAM!$B$56)/12,Loyalty,2)*$F$1*MAX(BN373,0)</f>
        <v>18.557001321003963</v>
      </c>
      <c r="BM374" s="75">
        <f>PARAM!$C$26+MAX($G$18-CHOOSE(PARAM!$B$44,MAX(0,BN373*$F$1),0),0)*RATES!$L350/12+$H$18*(PARAM!$D$51/12)*RATES!$N350/100</f>
        <v>42.000000000000007</v>
      </c>
      <c r="BN374" s="16">
        <f t="shared" si="256"/>
        <v>-336.29523249385682</v>
      </c>
      <c r="BO374" s="15">
        <f t="shared" si="231"/>
        <v>22.170849845882874</v>
      </c>
      <c r="BP374" s="75">
        <f>BO374*(1-PARAM!$C$27)*$I$19+(MOD($B374,60)=PARAM!$B$56)*($B374&gt;(60-PARAM!$B$56))*HLOOKUP(($B374+PARAM!$B$56)/12,Loyalty,2)*$F$1*MAX(BR373,0)</f>
        <v>18.557001321003963</v>
      </c>
      <c r="BQ374" s="75">
        <f>PARAM!$C$26+MAX($G$19-CHOOSE(PARAM!$B$44,MAX(0,BR373*$F$1),0),0)*RATES!$L350/12+$H$19*(PARAM!$D$51/12)*RATES!$N350/100</f>
        <v>42.000000000000007</v>
      </c>
      <c r="BR374" s="16">
        <f t="shared" si="257"/>
        <v>-336.29523249385682</v>
      </c>
      <c r="BS374" s="15">
        <f t="shared" si="232"/>
        <v>22.170849845882874</v>
      </c>
      <c r="BT374" s="75">
        <f>BS374*(1-PARAM!$C$27)*$I$20+(MOD($B374,60)=PARAM!$B$56)*($B374&gt;(60-PARAM!$B$56))*HLOOKUP(($B374+PARAM!$B$56)/12,Loyalty,2)*$F$1*MAX(BV373,0)</f>
        <v>18.557001321003963</v>
      </c>
      <c r="BU374" s="75">
        <f>PARAM!$C$26+MAX($G$20-CHOOSE(PARAM!$B$44,MAX(0,BV373*$F$1),0),0)*RATES!$L350/12+$H$20*(PARAM!$D$51/12)*RATES!$N350/100</f>
        <v>42.000000000000007</v>
      </c>
      <c r="BV374" s="16">
        <f t="shared" si="258"/>
        <v>-336.29523249385682</v>
      </c>
      <c r="BW374" s="15">
        <f t="shared" si="233"/>
        <v>22.170849845882874</v>
      </c>
      <c r="BX374" s="75">
        <f>BW374*(1-PARAM!$C$27)*$I$21+(MOD($B374,60)=PARAM!$B$56)*($B374&gt;(60-PARAM!$B$56))*HLOOKUP(($B374+PARAM!$B$56)/12,Loyalty,2)*$F$1*MAX(BZ373,0)</f>
        <v>18.557001321003963</v>
      </c>
      <c r="BY374" s="75">
        <f>PARAM!$C$26+MAX($G$21-CHOOSE(PARAM!$B$44,MAX(0,BZ373*$F$1),0),0)*RATES!$L350/12+$H$21*(PARAM!$D$51/12)*RATES!$N350/100</f>
        <v>42.000000000000007</v>
      </c>
      <c r="BZ374" s="16">
        <f t="shared" si="259"/>
        <v>-336.29523249385682</v>
      </c>
      <c r="CA374" s="15">
        <f t="shared" si="234"/>
        <v>22.170849845882874</v>
      </c>
      <c r="CB374" s="75">
        <f>CA374*(1-PARAM!$C$27)*$I$22+(MOD($B374,60)=PARAM!$B$56)*($B374&gt;(60-PARAM!$B$56))*HLOOKUP(($B374+PARAM!$B$56)/12,Loyalty,2)*$F$1*MAX(CD373,0)</f>
        <v>18.557001321003963</v>
      </c>
      <c r="CC374" s="75">
        <f>PARAM!$C$26+MAX($G$22-CHOOSE(PARAM!$B$44,MAX(0,CD373*$F$1),0),0)*RATES!$L350/12+$H$22*(PARAM!$D$51/12)*RATES!$N350/100</f>
        <v>42.000000000000007</v>
      </c>
      <c r="CD374" s="16">
        <f t="shared" si="260"/>
        <v>-336.29523249385682</v>
      </c>
      <c r="CE374" s="33">
        <f>IF(0=MOD(B374,12/PARAM!$D$51),1,0)</f>
        <v>1</v>
      </c>
      <c r="CF374" s="15">
        <f t="shared" si="235"/>
        <v>0</v>
      </c>
      <c r="CG374" s="75">
        <f>CF374*(1-PARAM!$C$27)*$R$3+(MOD($B374/12,5)=0)*($B374&gt;60)*HLOOKUP($B374/12,Loyalty,2)*$F$1*MAX(CI373,0)</f>
        <v>0</v>
      </c>
      <c r="CH374" s="75">
        <f>PARAM!$C$26+MAX($P$3-CHOOSE(PARAM!$B$44,MAX(0,CI373*$F$1),0),0)*RATES!$L350/12+$Q$3*(PARAM!$D$51/12)*RATES!$N350/100</f>
        <v>42.000000000000007</v>
      </c>
      <c r="CI374" s="16">
        <f>IF(CI373&gt;0,CI373*PARAM!$C$53,CI373)+CG374-CH374</f>
        <v>-6655.9999999999891</v>
      </c>
      <c r="CJ374" s="15">
        <f t="shared" si="261"/>
        <v>0</v>
      </c>
      <c r="CK374" s="75">
        <f>CJ374*(1-PARAM!$C$27)*$R$4+(MOD($B374/12,5)=0)*($B374&gt;60)*HLOOKUP($B374/12,Loyalty,2)*$F$1*MAX(CM373,0)</f>
        <v>0</v>
      </c>
      <c r="CL374" s="75">
        <f>PARAM!$C$26+MAX($P$4-CHOOSE(PARAM!$B$44,MAX(0,CM373*$F$1),0),0)*RATES!$L350/12+$Q$4*(PARAM!$D$51/12)*RATES!$N350/100</f>
        <v>42.000000000000007</v>
      </c>
      <c r="CM374" s="16">
        <f>IF(CM373&gt;0,CM373*PARAM!$C$53,CM373)+CK374-CL374</f>
        <v>-6655.9999999999891</v>
      </c>
      <c r="CO374" s="176"/>
    </row>
    <row r="375" spans="1:93" x14ac:dyDescent="0.2">
      <c r="A375" t="b">
        <f t="shared" si="236"/>
        <v>0</v>
      </c>
      <c r="B375" s="33">
        <v>348</v>
      </c>
      <c r="C375" s="15">
        <f t="shared" si="237"/>
        <v>20.081305947392778</v>
      </c>
      <c r="D375" s="75">
        <f>C375*(1-PARAM!$C$27)*$I$3+(MOD($B375,60)=PARAM!$B$56)*($B375&gt;(60-PARAM!$B$56))*HLOOKUP(($B375+PARAM!$B$56)/12,Loyalty,2)*$F$1*MAX(F374,0)</f>
        <v>16.808053077967756</v>
      </c>
      <c r="E375" s="75">
        <f>PARAM!$C$26+MAX($G$3-CHOOSE(PARAM!$B$44,MAX(0,F374*$F$1),0),0)*RATES!$L351/12+$H$3*(PARAM!$D$51/12)*RATES!$N351/100</f>
        <v>42.000000000000007</v>
      </c>
      <c r="F375" s="16">
        <f t="shared" si="238"/>
        <v>-1005.2227202709554</v>
      </c>
      <c r="G375" s="15">
        <f t="shared" si="239"/>
        <v>22.035289406060361</v>
      </c>
      <c r="H375" s="75">
        <f>G375*(1-PARAM!$C$27)*$I$4+(MOD($B375,60)=PARAM!$B$56)*($B375&gt;(60-PARAM!$B$56))*HLOOKUP(($B375+PARAM!$B$56)/12,Loyalty,2)*$F$1*MAX(J374,0)</f>
        <v>18.443537232872522</v>
      </c>
      <c r="I375" s="75">
        <f>PARAM!$C$26+MAX($G$4-CHOOSE(PARAM!$B$44,MAX(0,J374*$F$1),0),0)*RATES!$L351/12+$H$4*(PARAM!$D$51/12)*RATES!$N351/100</f>
        <v>42.000000000000007</v>
      </c>
      <c r="J375" s="16">
        <f t="shared" si="240"/>
        <v>-402.24127024238783</v>
      </c>
      <c r="K375" s="15">
        <f t="shared" si="241"/>
        <v>22.170849845882874</v>
      </c>
      <c r="L375" s="75">
        <f>K375*(1-PARAM!$C$27)*$I$5+(MOD($B375,60)=PARAM!$B$56)*($B375&gt;(60-PARAM!$B$56))*HLOOKUP(($B375+PARAM!$B$56)/12,Loyalty,2)*$F$1*MAX(N374,0)</f>
        <v>18.557001321003963</v>
      </c>
      <c r="M375" s="75">
        <f>PARAM!$C$26+MAX($G$5-CHOOSE(PARAM!$B$44,MAX(0,N374*$F$1),0),0)*RATES!$L351/12+$H$5*(PARAM!$D$51/12)*RATES!$N351/100</f>
        <v>42.000000000000007</v>
      </c>
      <c r="N375" s="16">
        <f t="shared" si="242"/>
        <v>-359.73823117285286</v>
      </c>
      <c r="O375" s="15">
        <f t="shared" si="243"/>
        <v>22.170849845882874</v>
      </c>
      <c r="P375" s="75">
        <f>O375*(1-PARAM!$C$27)*$I$6+(MOD($B375,60)=PARAM!$B$56)*($B375&gt;(60-PARAM!$B$56))*HLOOKUP(($B375+PARAM!$B$56)/12,Loyalty,2)*$F$1*MAX(R374,0)</f>
        <v>18.557001321003963</v>
      </c>
      <c r="Q375" s="75">
        <f>PARAM!$C$26+MAX($G$6-CHOOSE(PARAM!$B$44,MAX(0,R374*$F$1),0),0)*RATES!$L351/12+$H$6*(PARAM!$D$51/12)*RATES!$N351/100</f>
        <v>42.000000000000007</v>
      </c>
      <c r="R375" s="16">
        <f t="shared" si="244"/>
        <v>-359.73823117285286</v>
      </c>
      <c r="S375" s="15">
        <f t="shared" si="219"/>
        <v>22.170849845882874</v>
      </c>
      <c r="T375" s="75">
        <f>S375*(1-PARAM!$C$27)*$I$7+(MOD($B375,60)=PARAM!$B$56)*($B375&gt;(60-PARAM!$B$56))*HLOOKUP(($B375+PARAM!$B$56)/12,Loyalty,2)*$F$1*MAX(V374,0)</f>
        <v>18.557001321003963</v>
      </c>
      <c r="U375" s="75">
        <f>PARAM!$C$26+MAX($G$7-CHOOSE(PARAM!$B$44,MAX(0,V374*$F$1),0),0)*RATES!$L351/12+$H$7*(PARAM!$D$51/12)*RATES!$N351/100</f>
        <v>42.000000000000007</v>
      </c>
      <c r="V375" s="16">
        <f t="shared" si="245"/>
        <v>-359.73823117285286</v>
      </c>
      <c r="W375" s="15">
        <f t="shared" si="220"/>
        <v>22.170849845882874</v>
      </c>
      <c r="X375" s="75">
        <f>W375*(1-PARAM!$C$27)*$I$8+(MOD($B375,60)=PARAM!$B$56)*($B375&gt;(60-PARAM!$B$56))*HLOOKUP(($B375+PARAM!$B$56)/12,Loyalty,2)*$F$1*MAX(Z374,0)</f>
        <v>18.557001321003963</v>
      </c>
      <c r="Y375" s="75">
        <f>PARAM!$C$26+MAX($G$8-CHOOSE(PARAM!$B$44,MAX(0,Z374*$F$1),0),0)*RATES!$L351/12+$H$8*(PARAM!$D$51/12)*RATES!$N351/100</f>
        <v>42.000000000000007</v>
      </c>
      <c r="Z375" s="16">
        <f t="shared" si="246"/>
        <v>-359.73823117285286</v>
      </c>
      <c r="AA375" s="15">
        <f t="shared" si="221"/>
        <v>22.170849845882874</v>
      </c>
      <c r="AB375" s="75">
        <f>AA375*(1-PARAM!$C$27)*$I$9+(MOD($B375,60)=PARAM!$B$56)*($B375&gt;(60-PARAM!$B$56))*HLOOKUP(($B375+PARAM!$B$56)/12,Loyalty,2)*$F$1*MAX(AD374,0)</f>
        <v>18.557001321003963</v>
      </c>
      <c r="AC375" s="75">
        <f>PARAM!$C$26+MAX($G$9-CHOOSE(PARAM!$B$44,MAX(0,AD374*$F$1),0),0)*RATES!$L351/12+$H$9*(PARAM!$D$51/12)*RATES!$N351/100</f>
        <v>42.000000000000007</v>
      </c>
      <c r="AD375" s="16">
        <f t="shared" si="247"/>
        <v>-359.73823117285286</v>
      </c>
      <c r="AE375" s="15">
        <f t="shared" si="222"/>
        <v>22.170849845882874</v>
      </c>
      <c r="AF375" s="75">
        <f>AE375*(1-PARAM!$C$27)*$I$10+(MOD($B375,60)=PARAM!$B$56)*($B375&gt;(60-PARAM!$B$56))*HLOOKUP(($B375+PARAM!$B$56)/12,Loyalty,2)*$F$1*MAX(AH374,0)</f>
        <v>18.557001321003963</v>
      </c>
      <c r="AG375" s="75">
        <f>PARAM!$C$26+MAX($G$10-CHOOSE(PARAM!$B$44,MAX(0,AH374*$F$1),0),0)*RATES!$L351/12+$H$10*(PARAM!$D$51/12)*RATES!$N351/100</f>
        <v>42.000000000000007</v>
      </c>
      <c r="AH375" s="16">
        <f t="shared" si="248"/>
        <v>-359.73823117285286</v>
      </c>
      <c r="AI375" s="15">
        <f t="shared" si="223"/>
        <v>22.170849845882874</v>
      </c>
      <c r="AJ375" s="75">
        <f>AI375*(1-PARAM!$C$27)*$I$11+(MOD($B375,60)=PARAM!$B$56)*($B375&gt;(60-PARAM!$B$56))*HLOOKUP(($B375+PARAM!$B$56)/12,Loyalty,2)*$F$1*MAX(AL374,0)</f>
        <v>18.557001321003963</v>
      </c>
      <c r="AK375" s="75">
        <f>PARAM!$C$26+MAX($G$11-CHOOSE(PARAM!$B$44,MAX(0,AL374*$F$1),0),0)*RATES!$L351/12+$H$11*(PARAM!$D$51/12)*RATES!$N351/100</f>
        <v>42.000000000000007</v>
      </c>
      <c r="AL375" s="16">
        <f t="shared" si="249"/>
        <v>-359.73823117285286</v>
      </c>
      <c r="AM375" s="15">
        <f t="shared" si="224"/>
        <v>22.170849845882874</v>
      </c>
      <c r="AN375" s="75">
        <f>AM375*(1-PARAM!$C$27)*$I$12+(MOD($B375,60)=PARAM!$B$56)*($B375&gt;(60-PARAM!$B$56))*HLOOKUP(($B375+PARAM!$B$56)/12,Loyalty,2)*$F$1*MAX(AP374,0)</f>
        <v>18.557001321003963</v>
      </c>
      <c r="AO375" s="75">
        <f>PARAM!$C$26+MAX($G$12-CHOOSE(PARAM!$B$44,MAX(0,AP374*$F$1),0),0)*RATES!$L351/12+$H$12*(PARAM!$D$51/12)*RATES!$N351/100</f>
        <v>42.000000000000007</v>
      </c>
      <c r="AP375" s="16">
        <f t="shared" si="250"/>
        <v>-359.73823117285286</v>
      </c>
      <c r="AQ375" s="15">
        <f t="shared" si="225"/>
        <v>22.170849845882874</v>
      </c>
      <c r="AR375" s="75">
        <f>AQ375*(1-PARAM!$C$27)*$I$13+(MOD($B375,60)=PARAM!$B$56)*($B375&gt;(60-PARAM!$B$56))*HLOOKUP(($B375+PARAM!$B$56)/12,Loyalty,2)*$F$1*MAX(AT374,0)</f>
        <v>18.557001321003963</v>
      </c>
      <c r="AS375" s="75">
        <f>PARAM!$C$26+MAX($G$13-CHOOSE(PARAM!$B$44,MAX(0,AT374*$F$1),0),0)*RATES!$L351/12+$H$13*(PARAM!$D$51/12)*RATES!$N351/100</f>
        <v>42.000000000000007</v>
      </c>
      <c r="AT375" s="16">
        <f t="shared" si="251"/>
        <v>-359.73823117285286</v>
      </c>
      <c r="AU375" s="15">
        <f t="shared" si="226"/>
        <v>22.170849845882874</v>
      </c>
      <c r="AV375" s="75">
        <f>AU375*(1-PARAM!$C$27)*$I$14+(MOD($B375,60)=PARAM!$B$56)*($B375&gt;(60-PARAM!$B$56))*HLOOKUP(($B375+PARAM!$B$56)/12,Loyalty,2)*$F$1*MAX(AX374,0)</f>
        <v>18.557001321003963</v>
      </c>
      <c r="AW375" s="75">
        <f>PARAM!$C$26+MAX($G$14-CHOOSE(PARAM!$B$44,MAX(0,AX374*$F$1),0),0)*RATES!$L351/12+$H$14*(PARAM!$D$51/12)*RATES!$N351/100</f>
        <v>42.000000000000007</v>
      </c>
      <c r="AX375" s="16">
        <f t="shared" si="252"/>
        <v>-359.73823117285286</v>
      </c>
      <c r="AY375" s="15">
        <f t="shared" si="227"/>
        <v>22.170849845882874</v>
      </c>
      <c r="AZ375" s="75">
        <f>AY375*(1-PARAM!$C$27)*$I$15+(MOD($B375,60)=PARAM!$B$56)*($B375&gt;(60-PARAM!$B$56))*HLOOKUP(($B375+PARAM!$B$56)/12,Loyalty,2)*$F$1*MAX(BB374,0)</f>
        <v>18.557001321003963</v>
      </c>
      <c r="BA375" s="75">
        <f>PARAM!$C$26+MAX($G$15-CHOOSE(PARAM!$B$44,MAX(0,BB374*$F$1),0),0)*RATES!$L351/12+$H$15*(PARAM!$D$51/12)*RATES!$N351/100</f>
        <v>42.000000000000007</v>
      </c>
      <c r="BB375" s="16">
        <f t="shared" si="253"/>
        <v>-359.73823117285286</v>
      </c>
      <c r="BC375" s="15">
        <f t="shared" si="228"/>
        <v>22.170849845882874</v>
      </c>
      <c r="BD375" s="75">
        <f>BC375*(1-PARAM!$C$27)*$I$16+(MOD($B375,60)=PARAM!$B$56)*($B375&gt;(60-PARAM!$B$56))*HLOOKUP(($B375+PARAM!$B$56)/12,Loyalty,2)*$F$1*MAX(BF374,0)</f>
        <v>18.557001321003963</v>
      </c>
      <c r="BE375" s="75">
        <f>PARAM!$C$26+MAX($G$16-CHOOSE(PARAM!$B$44,MAX(0,BF374*$F$1),0),0)*RATES!$L351/12+$H$16*(PARAM!$D$51/12)*RATES!$N351/100</f>
        <v>42.000000000000007</v>
      </c>
      <c r="BF375" s="16">
        <f t="shared" si="254"/>
        <v>-359.73823117285286</v>
      </c>
      <c r="BG375" s="15">
        <f t="shared" si="229"/>
        <v>22.170849845882874</v>
      </c>
      <c r="BH375" s="75">
        <f>BG375*(1-PARAM!$C$27)*$I$17+(MOD($B375,60)=PARAM!$B$56)*($B375&gt;(60-PARAM!$B$56))*HLOOKUP(($B375+PARAM!$B$56)/12,Loyalty,2)*$F$1*MAX(BJ374,0)</f>
        <v>18.557001321003963</v>
      </c>
      <c r="BI375" s="75">
        <f>PARAM!$C$26+MAX($G$17-CHOOSE(PARAM!$B$44,MAX(0,BJ374*$F$1),0),0)*RATES!$L351/12+$H$17*(PARAM!$D$51/12)*RATES!$N351/100</f>
        <v>42.000000000000007</v>
      </c>
      <c r="BJ375" s="16">
        <f t="shared" si="255"/>
        <v>-359.73823117285286</v>
      </c>
      <c r="BK375" s="15">
        <f t="shared" si="230"/>
        <v>22.170849845882874</v>
      </c>
      <c r="BL375" s="75">
        <f>BK375*(1-PARAM!$C$27)*$I$18+(MOD($B375,60)=PARAM!$B$56)*($B375&gt;(60-PARAM!$B$56))*HLOOKUP(($B375+PARAM!$B$56)/12,Loyalty,2)*$F$1*MAX(BN374,0)</f>
        <v>18.557001321003963</v>
      </c>
      <c r="BM375" s="75">
        <f>PARAM!$C$26+MAX($G$18-CHOOSE(PARAM!$B$44,MAX(0,BN374*$F$1),0),0)*RATES!$L351/12+$H$18*(PARAM!$D$51/12)*RATES!$N351/100</f>
        <v>42.000000000000007</v>
      </c>
      <c r="BN375" s="16">
        <f t="shared" si="256"/>
        <v>-359.73823117285286</v>
      </c>
      <c r="BO375" s="15">
        <f t="shared" si="231"/>
        <v>22.170849845882874</v>
      </c>
      <c r="BP375" s="75">
        <f>BO375*(1-PARAM!$C$27)*$I$19+(MOD($B375,60)=PARAM!$B$56)*($B375&gt;(60-PARAM!$B$56))*HLOOKUP(($B375+PARAM!$B$56)/12,Loyalty,2)*$F$1*MAX(BR374,0)</f>
        <v>18.557001321003963</v>
      </c>
      <c r="BQ375" s="75">
        <f>PARAM!$C$26+MAX($G$19-CHOOSE(PARAM!$B$44,MAX(0,BR374*$F$1),0),0)*RATES!$L351/12+$H$19*(PARAM!$D$51/12)*RATES!$N351/100</f>
        <v>42.000000000000007</v>
      </c>
      <c r="BR375" s="16">
        <f t="shared" si="257"/>
        <v>-359.73823117285286</v>
      </c>
      <c r="BS375" s="15">
        <f t="shared" si="232"/>
        <v>22.170849845882874</v>
      </c>
      <c r="BT375" s="75">
        <f>BS375*(1-PARAM!$C$27)*$I$20+(MOD($B375,60)=PARAM!$B$56)*($B375&gt;(60-PARAM!$B$56))*HLOOKUP(($B375+PARAM!$B$56)/12,Loyalty,2)*$F$1*MAX(BV374,0)</f>
        <v>18.557001321003963</v>
      </c>
      <c r="BU375" s="75">
        <f>PARAM!$C$26+MAX($G$20-CHOOSE(PARAM!$B$44,MAX(0,BV374*$F$1),0),0)*RATES!$L351/12+$H$20*(PARAM!$D$51/12)*RATES!$N351/100</f>
        <v>42.000000000000007</v>
      </c>
      <c r="BV375" s="16">
        <f t="shared" si="258"/>
        <v>-359.73823117285286</v>
      </c>
      <c r="BW375" s="15">
        <f t="shared" si="233"/>
        <v>22.170849845882874</v>
      </c>
      <c r="BX375" s="75">
        <f>BW375*(1-PARAM!$C$27)*$I$21+(MOD($B375,60)=PARAM!$B$56)*($B375&gt;(60-PARAM!$B$56))*HLOOKUP(($B375+PARAM!$B$56)/12,Loyalty,2)*$F$1*MAX(BZ374,0)</f>
        <v>18.557001321003963</v>
      </c>
      <c r="BY375" s="75">
        <f>PARAM!$C$26+MAX($G$21-CHOOSE(PARAM!$B$44,MAX(0,BZ374*$F$1),0),0)*RATES!$L351/12+$H$21*(PARAM!$D$51/12)*RATES!$N351/100</f>
        <v>42.000000000000007</v>
      </c>
      <c r="BZ375" s="16">
        <f t="shared" si="259"/>
        <v>-359.73823117285286</v>
      </c>
      <c r="CA375" s="15">
        <f t="shared" si="234"/>
        <v>22.170849845882874</v>
      </c>
      <c r="CB375" s="75">
        <f>CA375*(1-PARAM!$C$27)*$I$22+(MOD($B375,60)=PARAM!$B$56)*($B375&gt;(60-PARAM!$B$56))*HLOOKUP(($B375+PARAM!$B$56)/12,Loyalty,2)*$F$1*MAX(CD374,0)</f>
        <v>18.557001321003963</v>
      </c>
      <c r="CC375" s="75">
        <f>PARAM!$C$26+MAX($G$22-CHOOSE(PARAM!$B$44,MAX(0,CD374*$F$1),0),0)*RATES!$L351/12+$H$22*(PARAM!$D$51/12)*RATES!$N351/100</f>
        <v>42.000000000000007</v>
      </c>
      <c r="CD375" s="16">
        <f t="shared" si="260"/>
        <v>-359.73823117285286</v>
      </c>
      <c r="CE375" s="33">
        <f>IF(0=MOD(B375,12/PARAM!$D$51),1,0)</f>
        <v>1</v>
      </c>
      <c r="CF375" s="15">
        <f t="shared" si="235"/>
        <v>0</v>
      </c>
      <c r="CG375" s="75">
        <f>CF375*(1-PARAM!$C$27)*$R$3+(MOD($B375/12,5)=0)*($B375&gt;60)*HLOOKUP($B375/12,Loyalty,2)*$F$1*MAX(CI374,0)</f>
        <v>0</v>
      </c>
      <c r="CH375" s="75">
        <f>PARAM!$C$26+MAX($P$3-CHOOSE(PARAM!$B$44,MAX(0,CI374*$F$1),0),0)*RATES!$L351/12+$Q$3*(PARAM!$D$51/12)*RATES!$N351/100</f>
        <v>42.000000000000007</v>
      </c>
      <c r="CI375" s="16">
        <f>IF(CI374&gt;0,CI374*PARAM!$C$53,CI374)+CG375-CH375</f>
        <v>-6697.9999999999891</v>
      </c>
      <c r="CJ375" s="15">
        <f t="shared" si="261"/>
        <v>0</v>
      </c>
      <c r="CK375" s="75">
        <f>CJ375*(1-PARAM!$C$27)*$R$4+(MOD($B375/12,5)=0)*($B375&gt;60)*HLOOKUP($B375/12,Loyalty,2)*$F$1*MAX(CM374,0)</f>
        <v>0</v>
      </c>
      <c r="CL375" s="75">
        <f>PARAM!$C$26+MAX($P$4-CHOOSE(PARAM!$B$44,MAX(0,CM374*$F$1),0),0)*RATES!$L351/12+$Q$4*(PARAM!$D$51/12)*RATES!$N351/100</f>
        <v>42.000000000000007</v>
      </c>
      <c r="CM375" s="16">
        <f>IF(CM374&gt;0,CM374*PARAM!$C$53,CM374)+CK375-CL375</f>
        <v>-6697.9999999999891</v>
      </c>
      <c r="CO375" s="176"/>
    </row>
    <row r="376" spans="1:93" x14ac:dyDescent="0.2">
      <c r="A376" t="b">
        <f t="shared" si="236"/>
        <v>0</v>
      </c>
      <c r="B376" s="33">
        <v>349</v>
      </c>
      <c r="C376" s="15">
        <f t="shared" si="237"/>
        <v>20.081305947392778</v>
      </c>
      <c r="D376" s="75">
        <f>C376*(1-PARAM!$C$27)*$I$3+(MOD($B376,60)=PARAM!$B$56)*($B376&gt;(60-PARAM!$B$56))*HLOOKUP(($B376+PARAM!$B$56)/12,Loyalty,2)*$F$1*MAX(F375,0)</f>
        <v>16.808053077967756</v>
      </c>
      <c r="E376" s="75">
        <f>PARAM!$C$26+MAX($G$3-CHOOSE(PARAM!$B$44,MAX(0,F375*$F$1),0),0)*RATES!$L352/12+$H$3*(PARAM!$D$51/12)*RATES!$N352/100</f>
        <v>42.000000000000007</v>
      </c>
      <c r="F376" s="16">
        <f t="shared" si="238"/>
        <v>-1030.4146671929877</v>
      </c>
      <c r="G376" s="15">
        <f t="shared" si="239"/>
        <v>22.035289406060361</v>
      </c>
      <c r="H376" s="75">
        <f>G376*(1-PARAM!$C$27)*$I$4+(MOD($B376,60)=PARAM!$B$56)*($B376&gt;(60-PARAM!$B$56))*HLOOKUP(($B376+PARAM!$B$56)/12,Loyalty,2)*$F$1*MAX(J375,0)</f>
        <v>18.443537232872522</v>
      </c>
      <c r="I376" s="75">
        <f>PARAM!$C$26+MAX($G$4-CHOOSE(PARAM!$B$44,MAX(0,J375*$F$1),0),0)*RATES!$L352/12+$H$4*(PARAM!$D$51/12)*RATES!$N352/100</f>
        <v>42.000000000000007</v>
      </c>
      <c r="J376" s="16">
        <f t="shared" si="240"/>
        <v>-425.7977330095153</v>
      </c>
      <c r="K376" s="15">
        <f t="shared" si="241"/>
        <v>22.170849845882874</v>
      </c>
      <c r="L376" s="75">
        <f>K376*(1-PARAM!$C$27)*$I$5+(MOD($B376,60)=PARAM!$B$56)*($B376&gt;(60-PARAM!$B$56))*HLOOKUP(($B376+PARAM!$B$56)/12,Loyalty,2)*$F$1*MAX(N375,0)</f>
        <v>18.557001321003963</v>
      </c>
      <c r="M376" s="75">
        <f>PARAM!$C$26+MAX($G$5-CHOOSE(PARAM!$B$44,MAX(0,N375*$F$1),0),0)*RATES!$L352/12+$H$5*(PARAM!$D$51/12)*RATES!$N352/100</f>
        <v>42.000000000000007</v>
      </c>
      <c r="N376" s="16">
        <f t="shared" si="242"/>
        <v>-383.18122985184891</v>
      </c>
      <c r="O376" s="15">
        <f t="shared" si="243"/>
        <v>22.170849845882874</v>
      </c>
      <c r="P376" s="75">
        <f>O376*(1-PARAM!$C$27)*$I$6+(MOD($B376,60)=PARAM!$B$56)*($B376&gt;(60-PARAM!$B$56))*HLOOKUP(($B376+PARAM!$B$56)/12,Loyalty,2)*$F$1*MAX(R375,0)</f>
        <v>18.557001321003963</v>
      </c>
      <c r="Q376" s="75">
        <f>PARAM!$C$26+MAX($G$6-CHOOSE(PARAM!$B$44,MAX(0,R375*$F$1),0),0)*RATES!$L352/12+$H$6*(PARAM!$D$51/12)*RATES!$N352/100</f>
        <v>42.000000000000007</v>
      </c>
      <c r="R376" s="16">
        <f t="shared" si="244"/>
        <v>-383.18122985184891</v>
      </c>
      <c r="S376" s="15">
        <f t="shared" si="219"/>
        <v>22.170849845882874</v>
      </c>
      <c r="T376" s="75">
        <f>S376*(1-PARAM!$C$27)*$I$7+(MOD($B376,60)=PARAM!$B$56)*($B376&gt;(60-PARAM!$B$56))*HLOOKUP(($B376+PARAM!$B$56)/12,Loyalty,2)*$F$1*MAX(V375,0)</f>
        <v>18.557001321003963</v>
      </c>
      <c r="U376" s="75">
        <f>PARAM!$C$26+MAX($G$7-CHOOSE(PARAM!$B$44,MAX(0,V375*$F$1),0),0)*RATES!$L352/12+$H$7*(PARAM!$D$51/12)*RATES!$N352/100</f>
        <v>42.000000000000007</v>
      </c>
      <c r="V376" s="16">
        <f t="shared" si="245"/>
        <v>-383.18122985184891</v>
      </c>
      <c r="W376" s="15">
        <f t="shared" si="220"/>
        <v>22.170849845882874</v>
      </c>
      <c r="X376" s="75">
        <f>W376*(1-PARAM!$C$27)*$I$8+(MOD($B376,60)=PARAM!$B$56)*($B376&gt;(60-PARAM!$B$56))*HLOOKUP(($B376+PARAM!$B$56)/12,Loyalty,2)*$F$1*MAX(Z375,0)</f>
        <v>18.557001321003963</v>
      </c>
      <c r="Y376" s="75">
        <f>PARAM!$C$26+MAX($G$8-CHOOSE(PARAM!$B$44,MAX(0,Z375*$F$1),0),0)*RATES!$L352/12+$H$8*(PARAM!$D$51/12)*RATES!$N352/100</f>
        <v>42.000000000000007</v>
      </c>
      <c r="Z376" s="16">
        <f t="shared" si="246"/>
        <v>-383.18122985184891</v>
      </c>
      <c r="AA376" s="15">
        <f t="shared" si="221"/>
        <v>22.170849845882874</v>
      </c>
      <c r="AB376" s="75">
        <f>AA376*(1-PARAM!$C$27)*$I$9+(MOD($B376,60)=PARAM!$B$56)*($B376&gt;(60-PARAM!$B$56))*HLOOKUP(($B376+PARAM!$B$56)/12,Loyalty,2)*$F$1*MAX(AD375,0)</f>
        <v>18.557001321003963</v>
      </c>
      <c r="AC376" s="75">
        <f>PARAM!$C$26+MAX($G$9-CHOOSE(PARAM!$B$44,MAX(0,AD375*$F$1),0),0)*RATES!$L352/12+$H$9*(PARAM!$D$51/12)*RATES!$N352/100</f>
        <v>42.000000000000007</v>
      </c>
      <c r="AD376" s="16">
        <f t="shared" si="247"/>
        <v>-383.18122985184891</v>
      </c>
      <c r="AE376" s="15">
        <f t="shared" si="222"/>
        <v>22.170849845882874</v>
      </c>
      <c r="AF376" s="75">
        <f>AE376*(1-PARAM!$C$27)*$I$10+(MOD($B376,60)=PARAM!$B$56)*($B376&gt;(60-PARAM!$B$56))*HLOOKUP(($B376+PARAM!$B$56)/12,Loyalty,2)*$F$1*MAX(AH375,0)</f>
        <v>18.557001321003963</v>
      </c>
      <c r="AG376" s="75">
        <f>PARAM!$C$26+MAX($G$10-CHOOSE(PARAM!$B$44,MAX(0,AH375*$F$1),0),0)*RATES!$L352/12+$H$10*(PARAM!$D$51/12)*RATES!$N352/100</f>
        <v>42.000000000000007</v>
      </c>
      <c r="AH376" s="16">
        <f t="shared" si="248"/>
        <v>-383.18122985184891</v>
      </c>
      <c r="AI376" s="15">
        <f t="shared" si="223"/>
        <v>22.170849845882874</v>
      </c>
      <c r="AJ376" s="75">
        <f>AI376*(1-PARAM!$C$27)*$I$11+(MOD($B376,60)=PARAM!$B$56)*($B376&gt;(60-PARAM!$B$56))*HLOOKUP(($B376+PARAM!$B$56)/12,Loyalty,2)*$F$1*MAX(AL375,0)</f>
        <v>18.557001321003963</v>
      </c>
      <c r="AK376" s="75">
        <f>PARAM!$C$26+MAX($G$11-CHOOSE(PARAM!$B$44,MAX(0,AL375*$F$1),0),0)*RATES!$L352/12+$H$11*(PARAM!$D$51/12)*RATES!$N352/100</f>
        <v>42.000000000000007</v>
      </c>
      <c r="AL376" s="16">
        <f t="shared" si="249"/>
        <v>-383.18122985184891</v>
      </c>
      <c r="AM376" s="15">
        <f t="shared" si="224"/>
        <v>22.170849845882874</v>
      </c>
      <c r="AN376" s="75">
        <f>AM376*(1-PARAM!$C$27)*$I$12+(MOD($B376,60)=PARAM!$B$56)*($B376&gt;(60-PARAM!$B$56))*HLOOKUP(($B376+PARAM!$B$56)/12,Loyalty,2)*$F$1*MAX(AP375,0)</f>
        <v>18.557001321003963</v>
      </c>
      <c r="AO376" s="75">
        <f>PARAM!$C$26+MAX($G$12-CHOOSE(PARAM!$B$44,MAX(0,AP375*$F$1),0),0)*RATES!$L352/12+$H$12*(PARAM!$D$51/12)*RATES!$N352/100</f>
        <v>42.000000000000007</v>
      </c>
      <c r="AP376" s="16">
        <f t="shared" si="250"/>
        <v>-383.18122985184891</v>
      </c>
      <c r="AQ376" s="15">
        <f t="shared" si="225"/>
        <v>22.170849845882874</v>
      </c>
      <c r="AR376" s="75">
        <f>AQ376*(1-PARAM!$C$27)*$I$13+(MOD($B376,60)=PARAM!$B$56)*($B376&gt;(60-PARAM!$B$56))*HLOOKUP(($B376+PARAM!$B$56)/12,Loyalty,2)*$F$1*MAX(AT375,0)</f>
        <v>18.557001321003963</v>
      </c>
      <c r="AS376" s="75">
        <f>PARAM!$C$26+MAX($G$13-CHOOSE(PARAM!$B$44,MAX(0,AT375*$F$1),0),0)*RATES!$L352/12+$H$13*(PARAM!$D$51/12)*RATES!$N352/100</f>
        <v>42.000000000000007</v>
      </c>
      <c r="AT376" s="16">
        <f t="shared" si="251"/>
        <v>-383.18122985184891</v>
      </c>
      <c r="AU376" s="15">
        <f t="shared" si="226"/>
        <v>22.170849845882874</v>
      </c>
      <c r="AV376" s="75">
        <f>AU376*(1-PARAM!$C$27)*$I$14+(MOD($B376,60)=PARAM!$B$56)*($B376&gt;(60-PARAM!$B$56))*HLOOKUP(($B376+PARAM!$B$56)/12,Loyalty,2)*$F$1*MAX(AX375,0)</f>
        <v>18.557001321003963</v>
      </c>
      <c r="AW376" s="75">
        <f>PARAM!$C$26+MAX($G$14-CHOOSE(PARAM!$B$44,MAX(0,AX375*$F$1),0),0)*RATES!$L352/12+$H$14*(PARAM!$D$51/12)*RATES!$N352/100</f>
        <v>42.000000000000007</v>
      </c>
      <c r="AX376" s="16">
        <f t="shared" si="252"/>
        <v>-383.18122985184891</v>
      </c>
      <c r="AY376" s="15">
        <f t="shared" si="227"/>
        <v>22.170849845882874</v>
      </c>
      <c r="AZ376" s="75">
        <f>AY376*(1-PARAM!$C$27)*$I$15+(MOD($B376,60)=PARAM!$B$56)*($B376&gt;(60-PARAM!$B$56))*HLOOKUP(($B376+PARAM!$B$56)/12,Loyalty,2)*$F$1*MAX(BB375,0)</f>
        <v>18.557001321003963</v>
      </c>
      <c r="BA376" s="75">
        <f>PARAM!$C$26+MAX($G$15-CHOOSE(PARAM!$B$44,MAX(0,BB375*$F$1),0),0)*RATES!$L352/12+$H$15*(PARAM!$D$51/12)*RATES!$N352/100</f>
        <v>42.000000000000007</v>
      </c>
      <c r="BB376" s="16">
        <f t="shared" si="253"/>
        <v>-383.18122985184891</v>
      </c>
      <c r="BC376" s="15">
        <f t="shared" si="228"/>
        <v>22.170849845882874</v>
      </c>
      <c r="BD376" s="75">
        <f>BC376*(1-PARAM!$C$27)*$I$16+(MOD($B376,60)=PARAM!$B$56)*($B376&gt;(60-PARAM!$B$56))*HLOOKUP(($B376+PARAM!$B$56)/12,Loyalty,2)*$F$1*MAX(BF375,0)</f>
        <v>18.557001321003963</v>
      </c>
      <c r="BE376" s="75">
        <f>PARAM!$C$26+MAX($G$16-CHOOSE(PARAM!$B$44,MAX(0,BF375*$F$1),0),0)*RATES!$L352/12+$H$16*(PARAM!$D$51/12)*RATES!$N352/100</f>
        <v>42.000000000000007</v>
      </c>
      <c r="BF376" s="16">
        <f t="shared" si="254"/>
        <v>-383.18122985184891</v>
      </c>
      <c r="BG376" s="15">
        <f t="shared" si="229"/>
        <v>22.170849845882874</v>
      </c>
      <c r="BH376" s="75">
        <f>BG376*(1-PARAM!$C$27)*$I$17+(MOD($B376,60)=PARAM!$B$56)*($B376&gt;(60-PARAM!$B$56))*HLOOKUP(($B376+PARAM!$B$56)/12,Loyalty,2)*$F$1*MAX(BJ375,0)</f>
        <v>18.557001321003963</v>
      </c>
      <c r="BI376" s="75">
        <f>PARAM!$C$26+MAX($G$17-CHOOSE(PARAM!$B$44,MAX(0,BJ375*$F$1),0),0)*RATES!$L352/12+$H$17*(PARAM!$D$51/12)*RATES!$N352/100</f>
        <v>42.000000000000007</v>
      </c>
      <c r="BJ376" s="16">
        <f t="shared" si="255"/>
        <v>-383.18122985184891</v>
      </c>
      <c r="BK376" s="15">
        <f t="shared" si="230"/>
        <v>22.170849845882874</v>
      </c>
      <c r="BL376" s="75">
        <f>BK376*(1-PARAM!$C$27)*$I$18+(MOD($B376,60)=PARAM!$B$56)*($B376&gt;(60-PARAM!$B$56))*HLOOKUP(($B376+PARAM!$B$56)/12,Loyalty,2)*$F$1*MAX(BN375,0)</f>
        <v>18.557001321003963</v>
      </c>
      <c r="BM376" s="75">
        <f>PARAM!$C$26+MAX($G$18-CHOOSE(PARAM!$B$44,MAX(0,BN375*$F$1),0),0)*RATES!$L352/12+$H$18*(PARAM!$D$51/12)*RATES!$N352/100</f>
        <v>42.000000000000007</v>
      </c>
      <c r="BN376" s="16">
        <f t="shared" si="256"/>
        <v>-383.18122985184891</v>
      </c>
      <c r="BO376" s="15">
        <f t="shared" si="231"/>
        <v>22.170849845882874</v>
      </c>
      <c r="BP376" s="75">
        <f>BO376*(1-PARAM!$C$27)*$I$19+(MOD($B376,60)=PARAM!$B$56)*($B376&gt;(60-PARAM!$B$56))*HLOOKUP(($B376+PARAM!$B$56)/12,Loyalty,2)*$F$1*MAX(BR375,0)</f>
        <v>18.557001321003963</v>
      </c>
      <c r="BQ376" s="75">
        <f>PARAM!$C$26+MAX($G$19-CHOOSE(PARAM!$B$44,MAX(0,BR375*$F$1),0),0)*RATES!$L352/12+$H$19*(PARAM!$D$51/12)*RATES!$N352/100</f>
        <v>42.000000000000007</v>
      </c>
      <c r="BR376" s="16">
        <f t="shared" si="257"/>
        <v>-383.18122985184891</v>
      </c>
      <c r="BS376" s="15">
        <f t="shared" si="232"/>
        <v>22.170849845882874</v>
      </c>
      <c r="BT376" s="75">
        <f>BS376*(1-PARAM!$C$27)*$I$20+(MOD($B376,60)=PARAM!$B$56)*($B376&gt;(60-PARAM!$B$56))*HLOOKUP(($B376+PARAM!$B$56)/12,Loyalty,2)*$F$1*MAX(BV375,0)</f>
        <v>18.557001321003963</v>
      </c>
      <c r="BU376" s="75">
        <f>PARAM!$C$26+MAX($G$20-CHOOSE(PARAM!$B$44,MAX(0,BV375*$F$1),0),0)*RATES!$L352/12+$H$20*(PARAM!$D$51/12)*RATES!$N352/100</f>
        <v>42.000000000000007</v>
      </c>
      <c r="BV376" s="16">
        <f t="shared" si="258"/>
        <v>-383.18122985184891</v>
      </c>
      <c r="BW376" s="15">
        <f t="shared" si="233"/>
        <v>22.170849845882874</v>
      </c>
      <c r="BX376" s="75">
        <f>BW376*(1-PARAM!$C$27)*$I$21+(MOD($B376,60)=PARAM!$B$56)*($B376&gt;(60-PARAM!$B$56))*HLOOKUP(($B376+PARAM!$B$56)/12,Loyalty,2)*$F$1*MAX(BZ375,0)</f>
        <v>18.557001321003963</v>
      </c>
      <c r="BY376" s="75">
        <f>PARAM!$C$26+MAX($G$21-CHOOSE(PARAM!$B$44,MAX(0,BZ375*$F$1),0),0)*RATES!$L352/12+$H$21*(PARAM!$D$51/12)*RATES!$N352/100</f>
        <v>42.000000000000007</v>
      </c>
      <c r="BZ376" s="16">
        <f t="shared" si="259"/>
        <v>-383.18122985184891</v>
      </c>
      <c r="CA376" s="15">
        <f t="shared" si="234"/>
        <v>22.170849845882874</v>
      </c>
      <c r="CB376" s="75">
        <f>CA376*(1-PARAM!$C$27)*$I$22+(MOD($B376,60)=PARAM!$B$56)*($B376&gt;(60-PARAM!$B$56))*HLOOKUP(($B376+PARAM!$B$56)/12,Loyalty,2)*$F$1*MAX(CD375,0)</f>
        <v>18.557001321003963</v>
      </c>
      <c r="CC376" s="75">
        <f>PARAM!$C$26+MAX($G$22-CHOOSE(PARAM!$B$44,MAX(0,CD375*$F$1),0),0)*RATES!$L352/12+$H$22*(PARAM!$D$51/12)*RATES!$N352/100</f>
        <v>42.000000000000007</v>
      </c>
      <c r="CD376" s="16">
        <f t="shared" si="260"/>
        <v>-383.18122985184891</v>
      </c>
      <c r="CE376" s="33">
        <f>IF(0=MOD(B376,12/PARAM!$D$51),1,0)</f>
        <v>1</v>
      </c>
      <c r="CF376" s="15">
        <f t="shared" si="235"/>
        <v>0</v>
      </c>
      <c r="CG376" s="75">
        <f>CF376*(1-PARAM!$C$27)*$R$3+(MOD($B376/12,5)=0)*($B376&gt;60)*HLOOKUP($B376/12,Loyalty,2)*$F$1*MAX(CI375,0)</f>
        <v>0</v>
      </c>
      <c r="CH376" s="75">
        <f>PARAM!$C$26+MAX($P$3-CHOOSE(PARAM!$B$44,MAX(0,CI375*$F$1),0),0)*RATES!$L352/12+$Q$3*(PARAM!$D$51/12)*RATES!$N352/100</f>
        <v>42.000000000000007</v>
      </c>
      <c r="CI376" s="16">
        <f>IF(CI375&gt;0,CI375*PARAM!$C$53,CI375)+CG376-CH376</f>
        <v>-6739.9999999999891</v>
      </c>
      <c r="CJ376" s="15">
        <f t="shared" si="261"/>
        <v>0</v>
      </c>
      <c r="CK376" s="75">
        <f>CJ376*(1-PARAM!$C$27)*$R$4+(MOD($B376/12,5)=0)*($B376&gt;60)*HLOOKUP($B376/12,Loyalty,2)*$F$1*MAX(CM375,0)</f>
        <v>0</v>
      </c>
      <c r="CL376" s="75">
        <f>PARAM!$C$26+MAX($P$4-CHOOSE(PARAM!$B$44,MAX(0,CM375*$F$1),0),0)*RATES!$L352/12+$Q$4*(PARAM!$D$51/12)*RATES!$N352/100</f>
        <v>42.000000000000007</v>
      </c>
      <c r="CM376" s="16">
        <f>IF(CM375&gt;0,CM375*PARAM!$C$53,CM375)+CK376-CL376</f>
        <v>-6739.9999999999891</v>
      </c>
      <c r="CO376" s="176"/>
    </row>
    <row r="377" spans="1:93" x14ac:dyDescent="0.2">
      <c r="A377" t="b">
        <f t="shared" si="236"/>
        <v>0</v>
      </c>
      <c r="B377" s="33">
        <v>350</v>
      </c>
      <c r="C377" s="15">
        <f t="shared" si="237"/>
        <v>20.081305947392778</v>
      </c>
      <c r="D377" s="75">
        <f>C377*(1-PARAM!$C$27)*$I$3+(MOD($B377,60)=PARAM!$B$56)*($B377&gt;(60-PARAM!$B$56))*HLOOKUP(($B377+PARAM!$B$56)/12,Loyalty,2)*$F$1*MAX(F376,0)</f>
        <v>16.808053077967756</v>
      </c>
      <c r="E377" s="75">
        <f>PARAM!$C$26+MAX($G$3-CHOOSE(PARAM!$B$44,MAX(0,F376*$F$1),0),0)*RATES!$L353/12+$H$3*(PARAM!$D$51/12)*RATES!$N353/100</f>
        <v>42.000000000000007</v>
      </c>
      <c r="F377" s="16">
        <f t="shared" si="238"/>
        <v>-1055.60661411502</v>
      </c>
      <c r="G377" s="15">
        <f t="shared" si="239"/>
        <v>22.035289406060361</v>
      </c>
      <c r="H377" s="75">
        <f>G377*(1-PARAM!$C$27)*$I$4+(MOD($B377,60)=PARAM!$B$56)*($B377&gt;(60-PARAM!$B$56))*HLOOKUP(($B377+PARAM!$B$56)/12,Loyalty,2)*$F$1*MAX(J376,0)</f>
        <v>18.443537232872522</v>
      </c>
      <c r="I377" s="75">
        <f>PARAM!$C$26+MAX($G$4-CHOOSE(PARAM!$B$44,MAX(0,J376*$F$1),0),0)*RATES!$L353/12+$H$4*(PARAM!$D$51/12)*RATES!$N353/100</f>
        <v>42.000000000000007</v>
      </c>
      <c r="J377" s="16">
        <f t="shared" si="240"/>
        <v>-449.35419577664277</v>
      </c>
      <c r="K377" s="15">
        <f t="shared" si="241"/>
        <v>22.170849845882874</v>
      </c>
      <c r="L377" s="75">
        <f>K377*(1-PARAM!$C$27)*$I$5+(MOD($B377,60)=PARAM!$B$56)*($B377&gt;(60-PARAM!$B$56))*HLOOKUP(($B377+PARAM!$B$56)/12,Loyalty,2)*$F$1*MAX(N376,0)</f>
        <v>18.557001321003963</v>
      </c>
      <c r="M377" s="75">
        <f>PARAM!$C$26+MAX($G$5-CHOOSE(PARAM!$B$44,MAX(0,N376*$F$1),0),0)*RATES!$L353/12+$H$5*(PARAM!$D$51/12)*RATES!$N353/100</f>
        <v>42.000000000000007</v>
      </c>
      <c r="N377" s="16">
        <f t="shared" si="242"/>
        <v>-406.62422853084496</v>
      </c>
      <c r="O377" s="15">
        <f t="shared" si="243"/>
        <v>22.170849845882874</v>
      </c>
      <c r="P377" s="75">
        <f>O377*(1-PARAM!$C$27)*$I$6+(MOD($B377,60)=PARAM!$B$56)*($B377&gt;(60-PARAM!$B$56))*HLOOKUP(($B377+PARAM!$B$56)/12,Loyalty,2)*$F$1*MAX(R376,0)</f>
        <v>18.557001321003963</v>
      </c>
      <c r="Q377" s="75">
        <f>PARAM!$C$26+MAX($G$6-CHOOSE(PARAM!$B$44,MAX(0,R376*$F$1),0),0)*RATES!$L353/12+$H$6*(PARAM!$D$51/12)*RATES!$N353/100</f>
        <v>42.000000000000007</v>
      </c>
      <c r="R377" s="16">
        <f t="shared" si="244"/>
        <v>-406.62422853084496</v>
      </c>
      <c r="S377" s="15">
        <f t="shared" si="219"/>
        <v>22.170849845882874</v>
      </c>
      <c r="T377" s="75">
        <f>S377*(1-PARAM!$C$27)*$I$7+(MOD($B377,60)=PARAM!$B$56)*($B377&gt;(60-PARAM!$B$56))*HLOOKUP(($B377+PARAM!$B$56)/12,Loyalty,2)*$F$1*MAX(V376,0)</f>
        <v>18.557001321003963</v>
      </c>
      <c r="U377" s="75">
        <f>PARAM!$C$26+MAX($G$7-CHOOSE(PARAM!$B$44,MAX(0,V376*$F$1),0),0)*RATES!$L353/12+$H$7*(PARAM!$D$51/12)*RATES!$N353/100</f>
        <v>42.000000000000007</v>
      </c>
      <c r="V377" s="16">
        <f t="shared" si="245"/>
        <v>-406.62422853084496</v>
      </c>
      <c r="W377" s="15">
        <f t="shared" si="220"/>
        <v>22.170849845882874</v>
      </c>
      <c r="X377" s="75">
        <f>W377*(1-PARAM!$C$27)*$I$8+(MOD($B377,60)=PARAM!$B$56)*($B377&gt;(60-PARAM!$B$56))*HLOOKUP(($B377+PARAM!$B$56)/12,Loyalty,2)*$F$1*MAX(Z376,0)</f>
        <v>18.557001321003963</v>
      </c>
      <c r="Y377" s="75">
        <f>PARAM!$C$26+MAX($G$8-CHOOSE(PARAM!$B$44,MAX(0,Z376*$F$1),0),0)*RATES!$L353/12+$H$8*(PARAM!$D$51/12)*RATES!$N353/100</f>
        <v>42.000000000000007</v>
      </c>
      <c r="Z377" s="16">
        <f t="shared" si="246"/>
        <v>-406.62422853084496</v>
      </c>
      <c r="AA377" s="15">
        <f t="shared" si="221"/>
        <v>22.170849845882874</v>
      </c>
      <c r="AB377" s="75">
        <f>AA377*(1-PARAM!$C$27)*$I$9+(MOD($B377,60)=PARAM!$B$56)*($B377&gt;(60-PARAM!$B$56))*HLOOKUP(($B377+PARAM!$B$56)/12,Loyalty,2)*$F$1*MAX(AD376,0)</f>
        <v>18.557001321003963</v>
      </c>
      <c r="AC377" s="75">
        <f>PARAM!$C$26+MAX($G$9-CHOOSE(PARAM!$B$44,MAX(0,AD376*$F$1),0),0)*RATES!$L353/12+$H$9*(PARAM!$D$51/12)*RATES!$N353/100</f>
        <v>42.000000000000007</v>
      </c>
      <c r="AD377" s="16">
        <f t="shared" si="247"/>
        <v>-406.62422853084496</v>
      </c>
      <c r="AE377" s="15">
        <f t="shared" si="222"/>
        <v>22.170849845882874</v>
      </c>
      <c r="AF377" s="75">
        <f>AE377*(1-PARAM!$C$27)*$I$10+(MOD($B377,60)=PARAM!$B$56)*($B377&gt;(60-PARAM!$B$56))*HLOOKUP(($B377+PARAM!$B$56)/12,Loyalty,2)*$F$1*MAX(AH376,0)</f>
        <v>18.557001321003963</v>
      </c>
      <c r="AG377" s="75">
        <f>PARAM!$C$26+MAX($G$10-CHOOSE(PARAM!$B$44,MAX(0,AH376*$F$1),0),0)*RATES!$L353/12+$H$10*(PARAM!$D$51/12)*RATES!$N353/100</f>
        <v>42.000000000000007</v>
      </c>
      <c r="AH377" s="16">
        <f t="shared" si="248"/>
        <v>-406.62422853084496</v>
      </c>
      <c r="AI377" s="15">
        <f t="shared" si="223"/>
        <v>22.170849845882874</v>
      </c>
      <c r="AJ377" s="75">
        <f>AI377*(1-PARAM!$C$27)*$I$11+(MOD($B377,60)=PARAM!$B$56)*($B377&gt;(60-PARAM!$B$56))*HLOOKUP(($B377+PARAM!$B$56)/12,Loyalty,2)*$F$1*MAX(AL376,0)</f>
        <v>18.557001321003963</v>
      </c>
      <c r="AK377" s="75">
        <f>PARAM!$C$26+MAX($G$11-CHOOSE(PARAM!$B$44,MAX(0,AL376*$F$1),0),0)*RATES!$L353/12+$H$11*(PARAM!$D$51/12)*RATES!$N353/100</f>
        <v>42.000000000000007</v>
      </c>
      <c r="AL377" s="16">
        <f t="shared" si="249"/>
        <v>-406.62422853084496</v>
      </c>
      <c r="AM377" s="15">
        <f t="shared" si="224"/>
        <v>22.170849845882874</v>
      </c>
      <c r="AN377" s="75">
        <f>AM377*(1-PARAM!$C$27)*$I$12+(MOD($B377,60)=PARAM!$B$56)*($B377&gt;(60-PARAM!$B$56))*HLOOKUP(($B377+PARAM!$B$56)/12,Loyalty,2)*$F$1*MAX(AP376,0)</f>
        <v>18.557001321003963</v>
      </c>
      <c r="AO377" s="75">
        <f>PARAM!$C$26+MAX($G$12-CHOOSE(PARAM!$B$44,MAX(0,AP376*$F$1),0),0)*RATES!$L353/12+$H$12*(PARAM!$D$51/12)*RATES!$N353/100</f>
        <v>42.000000000000007</v>
      </c>
      <c r="AP377" s="16">
        <f t="shared" si="250"/>
        <v>-406.62422853084496</v>
      </c>
      <c r="AQ377" s="15">
        <f t="shared" si="225"/>
        <v>22.170849845882874</v>
      </c>
      <c r="AR377" s="75">
        <f>AQ377*(1-PARAM!$C$27)*$I$13+(MOD($B377,60)=PARAM!$B$56)*($B377&gt;(60-PARAM!$B$56))*HLOOKUP(($B377+PARAM!$B$56)/12,Loyalty,2)*$F$1*MAX(AT376,0)</f>
        <v>18.557001321003963</v>
      </c>
      <c r="AS377" s="75">
        <f>PARAM!$C$26+MAX($G$13-CHOOSE(PARAM!$B$44,MAX(0,AT376*$F$1),0),0)*RATES!$L353/12+$H$13*(PARAM!$D$51/12)*RATES!$N353/100</f>
        <v>42.000000000000007</v>
      </c>
      <c r="AT377" s="16">
        <f t="shared" si="251"/>
        <v>-406.62422853084496</v>
      </c>
      <c r="AU377" s="15">
        <f t="shared" si="226"/>
        <v>22.170849845882874</v>
      </c>
      <c r="AV377" s="75">
        <f>AU377*(1-PARAM!$C$27)*$I$14+(MOD($B377,60)=PARAM!$B$56)*($B377&gt;(60-PARAM!$B$56))*HLOOKUP(($B377+PARAM!$B$56)/12,Loyalty,2)*$F$1*MAX(AX376,0)</f>
        <v>18.557001321003963</v>
      </c>
      <c r="AW377" s="75">
        <f>PARAM!$C$26+MAX($G$14-CHOOSE(PARAM!$B$44,MAX(0,AX376*$F$1),0),0)*RATES!$L353/12+$H$14*(PARAM!$D$51/12)*RATES!$N353/100</f>
        <v>42.000000000000007</v>
      </c>
      <c r="AX377" s="16">
        <f t="shared" si="252"/>
        <v>-406.62422853084496</v>
      </c>
      <c r="AY377" s="15">
        <f t="shared" si="227"/>
        <v>22.170849845882874</v>
      </c>
      <c r="AZ377" s="75">
        <f>AY377*(1-PARAM!$C$27)*$I$15+(MOD($B377,60)=PARAM!$B$56)*($B377&gt;(60-PARAM!$B$56))*HLOOKUP(($B377+PARAM!$B$56)/12,Loyalty,2)*$F$1*MAX(BB376,0)</f>
        <v>18.557001321003963</v>
      </c>
      <c r="BA377" s="75">
        <f>PARAM!$C$26+MAX($G$15-CHOOSE(PARAM!$B$44,MAX(0,BB376*$F$1),0),0)*RATES!$L353/12+$H$15*(PARAM!$D$51/12)*RATES!$N353/100</f>
        <v>42.000000000000007</v>
      </c>
      <c r="BB377" s="16">
        <f t="shared" si="253"/>
        <v>-406.62422853084496</v>
      </c>
      <c r="BC377" s="15">
        <f t="shared" si="228"/>
        <v>22.170849845882874</v>
      </c>
      <c r="BD377" s="75">
        <f>BC377*(1-PARAM!$C$27)*$I$16+(MOD($B377,60)=PARAM!$B$56)*($B377&gt;(60-PARAM!$B$56))*HLOOKUP(($B377+PARAM!$B$56)/12,Loyalty,2)*$F$1*MAX(BF376,0)</f>
        <v>18.557001321003963</v>
      </c>
      <c r="BE377" s="75">
        <f>PARAM!$C$26+MAX($G$16-CHOOSE(PARAM!$B$44,MAX(0,BF376*$F$1),0),0)*RATES!$L353/12+$H$16*(PARAM!$D$51/12)*RATES!$N353/100</f>
        <v>42.000000000000007</v>
      </c>
      <c r="BF377" s="16">
        <f t="shared" si="254"/>
        <v>-406.62422853084496</v>
      </c>
      <c r="BG377" s="15">
        <f t="shared" si="229"/>
        <v>22.170849845882874</v>
      </c>
      <c r="BH377" s="75">
        <f>BG377*(1-PARAM!$C$27)*$I$17+(MOD($B377,60)=PARAM!$B$56)*($B377&gt;(60-PARAM!$B$56))*HLOOKUP(($B377+PARAM!$B$56)/12,Loyalty,2)*$F$1*MAX(BJ376,0)</f>
        <v>18.557001321003963</v>
      </c>
      <c r="BI377" s="75">
        <f>PARAM!$C$26+MAX($G$17-CHOOSE(PARAM!$B$44,MAX(0,BJ376*$F$1),0),0)*RATES!$L353/12+$H$17*(PARAM!$D$51/12)*RATES!$N353/100</f>
        <v>42.000000000000007</v>
      </c>
      <c r="BJ377" s="16">
        <f t="shared" si="255"/>
        <v>-406.62422853084496</v>
      </c>
      <c r="BK377" s="15">
        <f t="shared" si="230"/>
        <v>22.170849845882874</v>
      </c>
      <c r="BL377" s="75">
        <f>BK377*(1-PARAM!$C$27)*$I$18+(MOD($B377,60)=PARAM!$B$56)*($B377&gt;(60-PARAM!$B$56))*HLOOKUP(($B377+PARAM!$B$56)/12,Loyalty,2)*$F$1*MAX(BN376,0)</f>
        <v>18.557001321003963</v>
      </c>
      <c r="BM377" s="75">
        <f>PARAM!$C$26+MAX($G$18-CHOOSE(PARAM!$B$44,MAX(0,BN376*$F$1),0),0)*RATES!$L353/12+$H$18*(PARAM!$D$51/12)*RATES!$N353/100</f>
        <v>42.000000000000007</v>
      </c>
      <c r="BN377" s="16">
        <f t="shared" si="256"/>
        <v>-406.62422853084496</v>
      </c>
      <c r="BO377" s="15">
        <f t="shared" si="231"/>
        <v>22.170849845882874</v>
      </c>
      <c r="BP377" s="75">
        <f>BO377*(1-PARAM!$C$27)*$I$19+(MOD($B377,60)=PARAM!$B$56)*($B377&gt;(60-PARAM!$B$56))*HLOOKUP(($B377+PARAM!$B$56)/12,Loyalty,2)*$F$1*MAX(BR376,0)</f>
        <v>18.557001321003963</v>
      </c>
      <c r="BQ377" s="75">
        <f>PARAM!$C$26+MAX($G$19-CHOOSE(PARAM!$B$44,MAX(0,BR376*$F$1),0),0)*RATES!$L353/12+$H$19*(PARAM!$D$51/12)*RATES!$N353/100</f>
        <v>42.000000000000007</v>
      </c>
      <c r="BR377" s="16">
        <f t="shared" si="257"/>
        <v>-406.62422853084496</v>
      </c>
      <c r="BS377" s="15">
        <f t="shared" si="232"/>
        <v>22.170849845882874</v>
      </c>
      <c r="BT377" s="75">
        <f>BS377*(1-PARAM!$C$27)*$I$20+(MOD($B377,60)=PARAM!$B$56)*($B377&gt;(60-PARAM!$B$56))*HLOOKUP(($B377+PARAM!$B$56)/12,Loyalty,2)*$F$1*MAX(BV376,0)</f>
        <v>18.557001321003963</v>
      </c>
      <c r="BU377" s="75">
        <f>PARAM!$C$26+MAX($G$20-CHOOSE(PARAM!$B$44,MAX(0,BV376*$F$1),0),0)*RATES!$L353/12+$H$20*(PARAM!$D$51/12)*RATES!$N353/100</f>
        <v>42.000000000000007</v>
      </c>
      <c r="BV377" s="16">
        <f t="shared" si="258"/>
        <v>-406.62422853084496</v>
      </c>
      <c r="BW377" s="15">
        <f t="shared" si="233"/>
        <v>22.170849845882874</v>
      </c>
      <c r="BX377" s="75">
        <f>BW377*(1-PARAM!$C$27)*$I$21+(MOD($B377,60)=PARAM!$B$56)*($B377&gt;(60-PARAM!$B$56))*HLOOKUP(($B377+PARAM!$B$56)/12,Loyalty,2)*$F$1*MAX(BZ376,0)</f>
        <v>18.557001321003963</v>
      </c>
      <c r="BY377" s="75">
        <f>PARAM!$C$26+MAX($G$21-CHOOSE(PARAM!$B$44,MAX(0,BZ376*$F$1),0),0)*RATES!$L353/12+$H$21*(PARAM!$D$51/12)*RATES!$N353/100</f>
        <v>42.000000000000007</v>
      </c>
      <c r="BZ377" s="16">
        <f t="shared" si="259"/>
        <v>-406.62422853084496</v>
      </c>
      <c r="CA377" s="15">
        <f t="shared" si="234"/>
        <v>22.170849845882874</v>
      </c>
      <c r="CB377" s="75">
        <f>CA377*(1-PARAM!$C$27)*$I$22+(MOD($B377,60)=PARAM!$B$56)*($B377&gt;(60-PARAM!$B$56))*HLOOKUP(($B377+PARAM!$B$56)/12,Loyalty,2)*$F$1*MAX(CD376,0)</f>
        <v>18.557001321003963</v>
      </c>
      <c r="CC377" s="75">
        <f>PARAM!$C$26+MAX($G$22-CHOOSE(PARAM!$B$44,MAX(0,CD376*$F$1),0),0)*RATES!$L353/12+$H$22*(PARAM!$D$51/12)*RATES!$N353/100</f>
        <v>42.000000000000007</v>
      </c>
      <c r="CD377" s="16">
        <f t="shared" si="260"/>
        <v>-406.62422853084496</v>
      </c>
      <c r="CE377" s="33">
        <f>IF(0=MOD(B377,12/PARAM!$D$51),1,0)</f>
        <v>1</v>
      </c>
      <c r="CF377" s="15">
        <f t="shared" si="235"/>
        <v>0</v>
      </c>
      <c r="CG377" s="75">
        <f>CF377*(1-PARAM!$C$27)*$R$3+(MOD($B377/12,5)=0)*($B377&gt;60)*HLOOKUP($B377/12,Loyalty,2)*$F$1*MAX(CI376,0)</f>
        <v>0</v>
      </c>
      <c r="CH377" s="75">
        <f>PARAM!$C$26+MAX($P$3-CHOOSE(PARAM!$B$44,MAX(0,CI376*$F$1),0),0)*RATES!$L353/12+$Q$3*(PARAM!$D$51/12)*RATES!$N353/100</f>
        <v>42.000000000000007</v>
      </c>
      <c r="CI377" s="16">
        <f>IF(CI376&gt;0,CI376*PARAM!$C$53,CI376)+CG377-CH377</f>
        <v>-6781.9999999999891</v>
      </c>
      <c r="CJ377" s="15">
        <f t="shared" si="261"/>
        <v>0</v>
      </c>
      <c r="CK377" s="75">
        <f>CJ377*(1-PARAM!$C$27)*$R$4+(MOD($B377/12,5)=0)*($B377&gt;60)*HLOOKUP($B377/12,Loyalty,2)*$F$1*MAX(CM376,0)</f>
        <v>0</v>
      </c>
      <c r="CL377" s="75">
        <f>PARAM!$C$26+MAX($P$4-CHOOSE(PARAM!$B$44,MAX(0,CM376*$F$1),0),0)*RATES!$L353/12+$Q$4*(PARAM!$D$51/12)*RATES!$N353/100</f>
        <v>42.000000000000007</v>
      </c>
      <c r="CM377" s="16">
        <f>IF(CM376&gt;0,CM376*PARAM!$C$53,CM376)+CK377-CL377</f>
        <v>-6781.9999999999891</v>
      </c>
      <c r="CO377" s="176"/>
    </row>
    <row r="378" spans="1:93" x14ac:dyDescent="0.2">
      <c r="A378" t="b">
        <f t="shared" si="236"/>
        <v>0</v>
      </c>
      <c r="B378" s="33">
        <v>351</v>
      </c>
      <c r="C378" s="15">
        <f t="shared" si="237"/>
        <v>20.081305947392778</v>
      </c>
      <c r="D378" s="75">
        <f>C378*(1-PARAM!$C$27)*$I$3+(MOD($B378,60)=PARAM!$B$56)*($B378&gt;(60-PARAM!$B$56))*HLOOKUP(($B378+PARAM!$B$56)/12,Loyalty,2)*$F$1*MAX(F377,0)</f>
        <v>16.808053077967756</v>
      </c>
      <c r="E378" s="75">
        <f>PARAM!$C$26+MAX($G$3-CHOOSE(PARAM!$B$44,MAX(0,F377*$F$1),0),0)*RATES!$L354/12+$H$3*(PARAM!$D$51/12)*RATES!$N354/100</f>
        <v>42.000000000000007</v>
      </c>
      <c r="F378" s="16">
        <f t="shared" si="238"/>
        <v>-1080.7985610370522</v>
      </c>
      <c r="G378" s="15">
        <f t="shared" si="239"/>
        <v>22.035289406060361</v>
      </c>
      <c r="H378" s="75">
        <f>G378*(1-PARAM!$C$27)*$I$4+(MOD($B378,60)=PARAM!$B$56)*($B378&gt;(60-PARAM!$B$56))*HLOOKUP(($B378+PARAM!$B$56)/12,Loyalty,2)*$F$1*MAX(J377,0)</f>
        <v>18.443537232872522</v>
      </c>
      <c r="I378" s="75">
        <f>PARAM!$C$26+MAX($G$4-CHOOSE(PARAM!$B$44,MAX(0,J377*$F$1),0),0)*RATES!$L354/12+$H$4*(PARAM!$D$51/12)*RATES!$N354/100</f>
        <v>42.000000000000007</v>
      </c>
      <c r="J378" s="16">
        <f t="shared" si="240"/>
        <v>-472.91065854377024</v>
      </c>
      <c r="K378" s="15">
        <f t="shared" si="241"/>
        <v>22.170849845882874</v>
      </c>
      <c r="L378" s="75">
        <f>K378*(1-PARAM!$C$27)*$I$5+(MOD($B378,60)=PARAM!$B$56)*($B378&gt;(60-PARAM!$B$56))*HLOOKUP(($B378+PARAM!$B$56)/12,Loyalty,2)*$F$1*MAX(N377,0)</f>
        <v>18.557001321003963</v>
      </c>
      <c r="M378" s="75">
        <f>PARAM!$C$26+MAX($G$5-CHOOSE(PARAM!$B$44,MAX(0,N377*$F$1),0),0)*RATES!$L354/12+$H$5*(PARAM!$D$51/12)*RATES!$N354/100</f>
        <v>42.000000000000007</v>
      </c>
      <c r="N378" s="16">
        <f t="shared" si="242"/>
        <v>-430.06722720984101</v>
      </c>
      <c r="O378" s="15">
        <f t="shared" si="243"/>
        <v>22.170849845882874</v>
      </c>
      <c r="P378" s="75">
        <f>O378*(1-PARAM!$C$27)*$I$6+(MOD($B378,60)=PARAM!$B$56)*($B378&gt;(60-PARAM!$B$56))*HLOOKUP(($B378+PARAM!$B$56)/12,Loyalty,2)*$F$1*MAX(R377,0)</f>
        <v>18.557001321003963</v>
      </c>
      <c r="Q378" s="75">
        <f>PARAM!$C$26+MAX($G$6-CHOOSE(PARAM!$B$44,MAX(0,R377*$F$1),0),0)*RATES!$L354/12+$H$6*(PARAM!$D$51/12)*RATES!$N354/100</f>
        <v>42.000000000000007</v>
      </c>
      <c r="R378" s="16">
        <f t="shared" si="244"/>
        <v>-430.06722720984101</v>
      </c>
      <c r="S378" s="15">
        <f t="shared" si="219"/>
        <v>22.170849845882874</v>
      </c>
      <c r="T378" s="75">
        <f>S378*(1-PARAM!$C$27)*$I$7+(MOD($B378,60)=PARAM!$B$56)*($B378&gt;(60-PARAM!$B$56))*HLOOKUP(($B378+PARAM!$B$56)/12,Loyalty,2)*$F$1*MAX(V377,0)</f>
        <v>18.557001321003963</v>
      </c>
      <c r="U378" s="75">
        <f>PARAM!$C$26+MAX($G$7-CHOOSE(PARAM!$B$44,MAX(0,V377*$F$1),0),0)*RATES!$L354/12+$H$7*(PARAM!$D$51/12)*RATES!$N354/100</f>
        <v>42.000000000000007</v>
      </c>
      <c r="V378" s="16">
        <f t="shared" si="245"/>
        <v>-430.06722720984101</v>
      </c>
      <c r="W378" s="15">
        <f t="shared" si="220"/>
        <v>22.170849845882874</v>
      </c>
      <c r="X378" s="75">
        <f>W378*(1-PARAM!$C$27)*$I$8+(MOD($B378,60)=PARAM!$B$56)*($B378&gt;(60-PARAM!$B$56))*HLOOKUP(($B378+PARAM!$B$56)/12,Loyalty,2)*$F$1*MAX(Z377,0)</f>
        <v>18.557001321003963</v>
      </c>
      <c r="Y378" s="75">
        <f>PARAM!$C$26+MAX($G$8-CHOOSE(PARAM!$B$44,MAX(0,Z377*$F$1),0),0)*RATES!$L354/12+$H$8*(PARAM!$D$51/12)*RATES!$N354/100</f>
        <v>42.000000000000007</v>
      </c>
      <c r="Z378" s="16">
        <f t="shared" si="246"/>
        <v>-430.06722720984101</v>
      </c>
      <c r="AA378" s="15">
        <f t="shared" si="221"/>
        <v>22.170849845882874</v>
      </c>
      <c r="AB378" s="75">
        <f>AA378*(1-PARAM!$C$27)*$I$9+(MOD($B378,60)=PARAM!$B$56)*($B378&gt;(60-PARAM!$B$56))*HLOOKUP(($B378+PARAM!$B$56)/12,Loyalty,2)*$F$1*MAX(AD377,0)</f>
        <v>18.557001321003963</v>
      </c>
      <c r="AC378" s="75">
        <f>PARAM!$C$26+MAX($G$9-CHOOSE(PARAM!$B$44,MAX(0,AD377*$F$1),0),0)*RATES!$L354/12+$H$9*(PARAM!$D$51/12)*RATES!$N354/100</f>
        <v>42.000000000000007</v>
      </c>
      <c r="AD378" s="16">
        <f t="shared" si="247"/>
        <v>-430.06722720984101</v>
      </c>
      <c r="AE378" s="15">
        <f t="shared" si="222"/>
        <v>22.170849845882874</v>
      </c>
      <c r="AF378" s="75">
        <f>AE378*(1-PARAM!$C$27)*$I$10+(MOD($B378,60)=PARAM!$B$56)*($B378&gt;(60-PARAM!$B$56))*HLOOKUP(($B378+PARAM!$B$56)/12,Loyalty,2)*$F$1*MAX(AH377,0)</f>
        <v>18.557001321003963</v>
      </c>
      <c r="AG378" s="75">
        <f>PARAM!$C$26+MAX($G$10-CHOOSE(PARAM!$B$44,MAX(0,AH377*$F$1),0),0)*RATES!$L354/12+$H$10*(PARAM!$D$51/12)*RATES!$N354/100</f>
        <v>42.000000000000007</v>
      </c>
      <c r="AH378" s="16">
        <f t="shared" si="248"/>
        <v>-430.06722720984101</v>
      </c>
      <c r="AI378" s="15">
        <f t="shared" si="223"/>
        <v>22.170849845882874</v>
      </c>
      <c r="AJ378" s="75">
        <f>AI378*(1-PARAM!$C$27)*$I$11+(MOD($B378,60)=PARAM!$B$56)*($B378&gt;(60-PARAM!$B$56))*HLOOKUP(($B378+PARAM!$B$56)/12,Loyalty,2)*$F$1*MAX(AL377,0)</f>
        <v>18.557001321003963</v>
      </c>
      <c r="AK378" s="75">
        <f>PARAM!$C$26+MAX($G$11-CHOOSE(PARAM!$B$44,MAX(0,AL377*$F$1),0),0)*RATES!$L354/12+$H$11*(PARAM!$D$51/12)*RATES!$N354/100</f>
        <v>42.000000000000007</v>
      </c>
      <c r="AL378" s="16">
        <f t="shared" si="249"/>
        <v>-430.06722720984101</v>
      </c>
      <c r="AM378" s="15">
        <f t="shared" si="224"/>
        <v>22.170849845882874</v>
      </c>
      <c r="AN378" s="75">
        <f>AM378*(1-PARAM!$C$27)*$I$12+(MOD($B378,60)=PARAM!$B$56)*($B378&gt;(60-PARAM!$B$56))*HLOOKUP(($B378+PARAM!$B$56)/12,Loyalty,2)*$F$1*MAX(AP377,0)</f>
        <v>18.557001321003963</v>
      </c>
      <c r="AO378" s="75">
        <f>PARAM!$C$26+MAX($G$12-CHOOSE(PARAM!$B$44,MAX(0,AP377*$F$1),0),0)*RATES!$L354/12+$H$12*(PARAM!$D$51/12)*RATES!$N354/100</f>
        <v>42.000000000000007</v>
      </c>
      <c r="AP378" s="16">
        <f t="shared" si="250"/>
        <v>-430.06722720984101</v>
      </c>
      <c r="AQ378" s="15">
        <f t="shared" si="225"/>
        <v>22.170849845882874</v>
      </c>
      <c r="AR378" s="75">
        <f>AQ378*(1-PARAM!$C$27)*$I$13+(MOD($B378,60)=PARAM!$B$56)*($B378&gt;(60-PARAM!$B$56))*HLOOKUP(($B378+PARAM!$B$56)/12,Loyalty,2)*$F$1*MAX(AT377,0)</f>
        <v>18.557001321003963</v>
      </c>
      <c r="AS378" s="75">
        <f>PARAM!$C$26+MAX($G$13-CHOOSE(PARAM!$B$44,MAX(0,AT377*$F$1),0),0)*RATES!$L354/12+$H$13*(PARAM!$D$51/12)*RATES!$N354/100</f>
        <v>42.000000000000007</v>
      </c>
      <c r="AT378" s="16">
        <f t="shared" si="251"/>
        <v>-430.06722720984101</v>
      </c>
      <c r="AU378" s="15">
        <f t="shared" si="226"/>
        <v>22.170849845882874</v>
      </c>
      <c r="AV378" s="75">
        <f>AU378*(1-PARAM!$C$27)*$I$14+(MOD($B378,60)=PARAM!$B$56)*($B378&gt;(60-PARAM!$B$56))*HLOOKUP(($B378+PARAM!$B$56)/12,Loyalty,2)*$F$1*MAX(AX377,0)</f>
        <v>18.557001321003963</v>
      </c>
      <c r="AW378" s="75">
        <f>PARAM!$C$26+MAX($G$14-CHOOSE(PARAM!$B$44,MAX(0,AX377*$F$1),0),0)*RATES!$L354/12+$H$14*(PARAM!$D$51/12)*RATES!$N354/100</f>
        <v>42.000000000000007</v>
      </c>
      <c r="AX378" s="16">
        <f t="shared" si="252"/>
        <v>-430.06722720984101</v>
      </c>
      <c r="AY378" s="15">
        <f t="shared" si="227"/>
        <v>22.170849845882874</v>
      </c>
      <c r="AZ378" s="75">
        <f>AY378*(1-PARAM!$C$27)*$I$15+(MOD($B378,60)=PARAM!$B$56)*($B378&gt;(60-PARAM!$B$56))*HLOOKUP(($B378+PARAM!$B$56)/12,Loyalty,2)*$F$1*MAX(BB377,0)</f>
        <v>18.557001321003963</v>
      </c>
      <c r="BA378" s="75">
        <f>PARAM!$C$26+MAX($G$15-CHOOSE(PARAM!$B$44,MAX(0,BB377*$F$1),0),0)*RATES!$L354/12+$H$15*(PARAM!$D$51/12)*RATES!$N354/100</f>
        <v>42.000000000000007</v>
      </c>
      <c r="BB378" s="16">
        <f t="shared" si="253"/>
        <v>-430.06722720984101</v>
      </c>
      <c r="BC378" s="15">
        <f t="shared" si="228"/>
        <v>22.170849845882874</v>
      </c>
      <c r="BD378" s="75">
        <f>BC378*(1-PARAM!$C$27)*$I$16+(MOD($B378,60)=PARAM!$B$56)*($B378&gt;(60-PARAM!$B$56))*HLOOKUP(($B378+PARAM!$B$56)/12,Loyalty,2)*$F$1*MAX(BF377,0)</f>
        <v>18.557001321003963</v>
      </c>
      <c r="BE378" s="75">
        <f>PARAM!$C$26+MAX($G$16-CHOOSE(PARAM!$B$44,MAX(0,BF377*$F$1),0),0)*RATES!$L354/12+$H$16*(PARAM!$D$51/12)*RATES!$N354/100</f>
        <v>42.000000000000007</v>
      </c>
      <c r="BF378" s="16">
        <f t="shared" si="254"/>
        <v>-430.06722720984101</v>
      </c>
      <c r="BG378" s="15">
        <f t="shared" si="229"/>
        <v>22.170849845882874</v>
      </c>
      <c r="BH378" s="75">
        <f>BG378*(1-PARAM!$C$27)*$I$17+(MOD($B378,60)=PARAM!$B$56)*($B378&gt;(60-PARAM!$B$56))*HLOOKUP(($B378+PARAM!$B$56)/12,Loyalty,2)*$F$1*MAX(BJ377,0)</f>
        <v>18.557001321003963</v>
      </c>
      <c r="BI378" s="75">
        <f>PARAM!$C$26+MAX($G$17-CHOOSE(PARAM!$B$44,MAX(0,BJ377*$F$1),0),0)*RATES!$L354/12+$H$17*(PARAM!$D$51/12)*RATES!$N354/100</f>
        <v>42.000000000000007</v>
      </c>
      <c r="BJ378" s="16">
        <f t="shared" si="255"/>
        <v>-430.06722720984101</v>
      </c>
      <c r="BK378" s="15">
        <f t="shared" si="230"/>
        <v>22.170849845882874</v>
      </c>
      <c r="BL378" s="75">
        <f>BK378*(1-PARAM!$C$27)*$I$18+(MOD($B378,60)=PARAM!$B$56)*($B378&gt;(60-PARAM!$B$56))*HLOOKUP(($B378+PARAM!$B$56)/12,Loyalty,2)*$F$1*MAX(BN377,0)</f>
        <v>18.557001321003963</v>
      </c>
      <c r="BM378" s="75">
        <f>PARAM!$C$26+MAX($G$18-CHOOSE(PARAM!$B$44,MAX(0,BN377*$F$1),0),0)*RATES!$L354/12+$H$18*(PARAM!$D$51/12)*RATES!$N354/100</f>
        <v>42.000000000000007</v>
      </c>
      <c r="BN378" s="16">
        <f t="shared" si="256"/>
        <v>-430.06722720984101</v>
      </c>
      <c r="BO378" s="15">
        <f t="shared" si="231"/>
        <v>22.170849845882874</v>
      </c>
      <c r="BP378" s="75">
        <f>BO378*(1-PARAM!$C$27)*$I$19+(MOD($B378,60)=PARAM!$B$56)*($B378&gt;(60-PARAM!$B$56))*HLOOKUP(($B378+PARAM!$B$56)/12,Loyalty,2)*$F$1*MAX(BR377,0)</f>
        <v>18.557001321003963</v>
      </c>
      <c r="BQ378" s="75">
        <f>PARAM!$C$26+MAX($G$19-CHOOSE(PARAM!$B$44,MAX(0,BR377*$F$1),0),0)*RATES!$L354/12+$H$19*(PARAM!$D$51/12)*RATES!$N354/100</f>
        <v>42.000000000000007</v>
      </c>
      <c r="BR378" s="16">
        <f t="shared" si="257"/>
        <v>-430.06722720984101</v>
      </c>
      <c r="BS378" s="15">
        <f t="shared" si="232"/>
        <v>22.170849845882874</v>
      </c>
      <c r="BT378" s="75">
        <f>BS378*(1-PARAM!$C$27)*$I$20+(MOD($B378,60)=PARAM!$B$56)*($B378&gt;(60-PARAM!$B$56))*HLOOKUP(($B378+PARAM!$B$56)/12,Loyalty,2)*$F$1*MAX(BV377,0)</f>
        <v>18.557001321003963</v>
      </c>
      <c r="BU378" s="75">
        <f>PARAM!$C$26+MAX($G$20-CHOOSE(PARAM!$B$44,MAX(0,BV377*$F$1),0),0)*RATES!$L354/12+$H$20*(PARAM!$D$51/12)*RATES!$N354/100</f>
        <v>42.000000000000007</v>
      </c>
      <c r="BV378" s="16">
        <f t="shared" si="258"/>
        <v>-430.06722720984101</v>
      </c>
      <c r="BW378" s="15">
        <f t="shared" si="233"/>
        <v>22.170849845882874</v>
      </c>
      <c r="BX378" s="75">
        <f>BW378*(1-PARAM!$C$27)*$I$21+(MOD($B378,60)=PARAM!$B$56)*($B378&gt;(60-PARAM!$B$56))*HLOOKUP(($B378+PARAM!$B$56)/12,Loyalty,2)*$F$1*MAX(BZ377,0)</f>
        <v>18.557001321003963</v>
      </c>
      <c r="BY378" s="75">
        <f>PARAM!$C$26+MAX($G$21-CHOOSE(PARAM!$B$44,MAX(0,BZ377*$F$1),0),0)*RATES!$L354/12+$H$21*(PARAM!$D$51/12)*RATES!$N354/100</f>
        <v>42.000000000000007</v>
      </c>
      <c r="BZ378" s="16">
        <f t="shared" si="259"/>
        <v>-430.06722720984101</v>
      </c>
      <c r="CA378" s="15">
        <f t="shared" si="234"/>
        <v>22.170849845882874</v>
      </c>
      <c r="CB378" s="75">
        <f>CA378*(1-PARAM!$C$27)*$I$22+(MOD($B378,60)=PARAM!$B$56)*($B378&gt;(60-PARAM!$B$56))*HLOOKUP(($B378+PARAM!$B$56)/12,Loyalty,2)*$F$1*MAX(CD377,0)</f>
        <v>18.557001321003963</v>
      </c>
      <c r="CC378" s="75">
        <f>PARAM!$C$26+MAX($G$22-CHOOSE(PARAM!$B$44,MAX(0,CD377*$F$1),0),0)*RATES!$L354/12+$H$22*(PARAM!$D$51/12)*RATES!$N354/100</f>
        <v>42.000000000000007</v>
      </c>
      <c r="CD378" s="16">
        <f t="shared" si="260"/>
        <v>-430.06722720984101</v>
      </c>
      <c r="CE378" s="33">
        <f>IF(0=MOD(B378,12/PARAM!$D$51),1,0)</f>
        <v>1</v>
      </c>
      <c r="CF378" s="15">
        <f t="shared" si="235"/>
        <v>0</v>
      </c>
      <c r="CG378" s="75">
        <f>CF378*(1-PARAM!$C$27)*$R$3+(MOD($B378/12,5)=0)*($B378&gt;60)*HLOOKUP($B378/12,Loyalty,2)*$F$1*MAX(CI377,0)</f>
        <v>0</v>
      </c>
      <c r="CH378" s="75">
        <f>PARAM!$C$26+MAX($P$3-CHOOSE(PARAM!$B$44,MAX(0,CI377*$F$1),0),0)*RATES!$L354/12+$Q$3*(PARAM!$D$51/12)*RATES!$N354/100</f>
        <v>42.000000000000007</v>
      </c>
      <c r="CI378" s="16">
        <f>IF(CI377&gt;0,CI377*PARAM!$C$53,CI377)+CG378-CH378</f>
        <v>-6823.9999999999891</v>
      </c>
      <c r="CJ378" s="15">
        <f t="shared" si="261"/>
        <v>0</v>
      </c>
      <c r="CK378" s="75">
        <f>CJ378*(1-PARAM!$C$27)*$R$4+(MOD($B378/12,5)=0)*($B378&gt;60)*HLOOKUP($B378/12,Loyalty,2)*$F$1*MAX(CM377,0)</f>
        <v>0</v>
      </c>
      <c r="CL378" s="75">
        <f>PARAM!$C$26+MAX($P$4-CHOOSE(PARAM!$B$44,MAX(0,CM377*$F$1),0),0)*RATES!$L354/12+$Q$4*(PARAM!$D$51/12)*RATES!$N354/100</f>
        <v>42.000000000000007</v>
      </c>
      <c r="CM378" s="16">
        <f>IF(CM377&gt;0,CM377*PARAM!$C$53,CM377)+CK378-CL378</f>
        <v>-6823.9999999999891</v>
      </c>
      <c r="CO378" s="176"/>
    </row>
    <row r="379" spans="1:93" x14ac:dyDescent="0.2">
      <c r="A379" t="b">
        <f t="shared" si="236"/>
        <v>0</v>
      </c>
      <c r="B379" s="33">
        <v>352</v>
      </c>
      <c r="C379" s="15">
        <f t="shared" si="237"/>
        <v>20.081305947392778</v>
      </c>
      <c r="D379" s="75">
        <f>C379*(1-PARAM!$C$27)*$I$3+(MOD($B379,60)=PARAM!$B$56)*($B379&gt;(60-PARAM!$B$56))*HLOOKUP(($B379+PARAM!$B$56)/12,Loyalty,2)*$F$1*MAX(F378,0)</f>
        <v>16.808053077967756</v>
      </c>
      <c r="E379" s="75">
        <f>PARAM!$C$26+MAX($G$3-CHOOSE(PARAM!$B$44,MAX(0,F378*$F$1),0),0)*RATES!$L355/12+$H$3*(PARAM!$D$51/12)*RATES!$N355/100</f>
        <v>42.000000000000007</v>
      </c>
      <c r="F379" s="16">
        <f t="shared" si="238"/>
        <v>-1105.9905079590844</v>
      </c>
      <c r="G379" s="15">
        <f t="shared" si="239"/>
        <v>22.035289406060361</v>
      </c>
      <c r="H379" s="75">
        <f>G379*(1-PARAM!$C$27)*$I$4+(MOD($B379,60)=PARAM!$B$56)*($B379&gt;(60-PARAM!$B$56))*HLOOKUP(($B379+PARAM!$B$56)/12,Loyalty,2)*$F$1*MAX(J378,0)</f>
        <v>18.443537232872522</v>
      </c>
      <c r="I379" s="75">
        <f>PARAM!$C$26+MAX($G$4-CHOOSE(PARAM!$B$44,MAX(0,J378*$F$1),0),0)*RATES!$L355/12+$H$4*(PARAM!$D$51/12)*RATES!$N355/100</f>
        <v>42.000000000000007</v>
      </c>
      <c r="J379" s="16">
        <f t="shared" si="240"/>
        <v>-496.46712131089771</v>
      </c>
      <c r="K379" s="15">
        <f t="shared" si="241"/>
        <v>22.170849845882874</v>
      </c>
      <c r="L379" s="75">
        <f>K379*(1-PARAM!$C$27)*$I$5+(MOD($B379,60)=PARAM!$B$56)*($B379&gt;(60-PARAM!$B$56))*HLOOKUP(($B379+PARAM!$B$56)/12,Loyalty,2)*$F$1*MAX(N378,0)</f>
        <v>18.557001321003963</v>
      </c>
      <c r="M379" s="75">
        <f>PARAM!$C$26+MAX($G$5-CHOOSE(PARAM!$B$44,MAX(0,N378*$F$1),0),0)*RATES!$L355/12+$H$5*(PARAM!$D$51/12)*RATES!$N355/100</f>
        <v>42.000000000000007</v>
      </c>
      <c r="N379" s="16">
        <f t="shared" si="242"/>
        <v>-453.51022588883706</v>
      </c>
      <c r="O379" s="15">
        <f t="shared" si="243"/>
        <v>22.170849845882874</v>
      </c>
      <c r="P379" s="75">
        <f>O379*(1-PARAM!$C$27)*$I$6+(MOD($B379,60)=PARAM!$B$56)*($B379&gt;(60-PARAM!$B$56))*HLOOKUP(($B379+PARAM!$B$56)/12,Loyalty,2)*$F$1*MAX(R378,0)</f>
        <v>18.557001321003963</v>
      </c>
      <c r="Q379" s="75">
        <f>PARAM!$C$26+MAX($G$6-CHOOSE(PARAM!$B$44,MAX(0,R378*$F$1),0),0)*RATES!$L355/12+$H$6*(PARAM!$D$51/12)*RATES!$N355/100</f>
        <v>42.000000000000007</v>
      </c>
      <c r="R379" s="16">
        <f t="shared" si="244"/>
        <v>-453.51022588883706</v>
      </c>
      <c r="S379" s="15">
        <f t="shared" si="219"/>
        <v>22.170849845882874</v>
      </c>
      <c r="T379" s="75">
        <f>S379*(1-PARAM!$C$27)*$I$7+(MOD($B379,60)=PARAM!$B$56)*($B379&gt;(60-PARAM!$B$56))*HLOOKUP(($B379+PARAM!$B$56)/12,Loyalty,2)*$F$1*MAX(V378,0)</f>
        <v>18.557001321003963</v>
      </c>
      <c r="U379" s="75">
        <f>PARAM!$C$26+MAX($G$7-CHOOSE(PARAM!$B$44,MAX(0,V378*$F$1),0),0)*RATES!$L355/12+$H$7*(PARAM!$D$51/12)*RATES!$N355/100</f>
        <v>42.000000000000007</v>
      </c>
      <c r="V379" s="16">
        <f t="shared" si="245"/>
        <v>-453.51022588883706</v>
      </c>
      <c r="W379" s="15">
        <f t="shared" si="220"/>
        <v>22.170849845882874</v>
      </c>
      <c r="X379" s="75">
        <f>W379*(1-PARAM!$C$27)*$I$8+(MOD($B379,60)=PARAM!$B$56)*($B379&gt;(60-PARAM!$B$56))*HLOOKUP(($B379+PARAM!$B$56)/12,Loyalty,2)*$F$1*MAX(Z378,0)</f>
        <v>18.557001321003963</v>
      </c>
      <c r="Y379" s="75">
        <f>PARAM!$C$26+MAX($G$8-CHOOSE(PARAM!$B$44,MAX(0,Z378*$F$1),0),0)*RATES!$L355/12+$H$8*(PARAM!$D$51/12)*RATES!$N355/100</f>
        <v>42.000000000000007</v>
      </c>
      <c r="Z379" s="16">
        <f t="shared" si="246"/>
        <v>-453.51022588883706</v>
      </c>
      <c r="AA379" s="15">
        <f t="shared" si="221"/>
        <v>22.170849845882874</v>
      </c>
      <c r="AB379" s="75">
        <f>AA379*(1-PARAM!$C$27)*$I$9+(MOD($B379,60)=PARAM!$B$56)*($B379&gt;(60-PARAM!$B$56))*HLOOKUP(($B379+PARAM!$B$56)/12,Loyalty,2)*$F$1*MAX(AD378,0)</f>
        <v>18.557001321003963</v>
      </c>
      <c r="AC379" s="75">
        <f>PARAM!$C$26+MAX($G$9-CHOOSE(PARAM!$B$44,MAX(0,AD378*$F$1),0),0)*RATES!$L355/12+$H$9*(PARAM!$D$51/12)*RATES!$N355/100</f>
        <v>42.000000000000007</v>
      </c>
      <c r="AD379" s="16">
        <f t="shared" si="247"/>
        <v>-453.51022588883706</v>
      </c>
      <c r="AE379" s="15">
        <f t="shared" si="222"/>
        <v>22.170849845882874</v>
      </c>
      <c r="AF379" s="75">
        <f>AE379*(1-PARAM!$C$27)*$I$10+(MOD($B379,60)=PARAM!$B$56)*($B379&gt;(60-PARAM!$B$56))*HLOOKUP(($B379+PARAM!$B$56)/12,Loyalty,2)*$F$1*MAX(AH378,0)</f>
        <v>18.557001321003963</v>
      </c>
      <c r="AG379" s="75">
        <f>PARAM!$C$26+MAX($G$10-CHOOSE(PARAM!$B$44,MAX(0,AH378*$F$1),0),0)*RATES!$L355/12+$H$10*(PARAM!$D$51/12)*RATES!$N355/100</f>
        <v>42.000000000000007</v>
      </c>
      <c r="AH379" s="16">
        <f t="shared" si="248"/>
        <v>-453.51022588883706</v>
      </c>
      <c r="AI379" s="15">
        <f t="shared" si="223"/>
        <v>22.170849845882874</v>
      </c>
      <c r="AJ379" s="75">
        <f>AI379*(1-PARAM!$C$27)*$I$11+(MOD($B379,60)=PARAM!$B$56)*($B379&gt;(60-PARAM!$B$56))*HLOOKUP(($B379+PARAM!$B$56)/12,Loyalty,2)*$F$1*MAX(AL378,0)</f>
        <v>18.557001321003963</v>
      </c>
      <c r="AK379" s="75">
        <f>PARAM!$C$26+MAX($G$11-CHOOSE(PARAM!$B$44,MAX(0,AL378*$F$1),0),0)*RATES!$L355/12+$H$11*(PARAM!$D$51/12)*RATES!$N355/100</f>
        <v>42.000000000000007</v>
      </c>
      <c r="AL379" s="16">
        <f t="shared" si="249"/>
        <v>-453.51022588883706</v>
      </c>
      <c r="AM379" s="15">
        <f t="shared" si="224"/>
        <v>22.170849845882874</v>
      </c>
      <c r="AN379" s="75">
        <f>AM379*(1-PARAM!$C$27)*$I$12+(MOD($B379,60)=PARAM!$B$56)*($B379&gt;(60-PARAM!$B$56))*HLOOKUP(($B379+PARAM!$B$56)/12,Loyalty,2)*$F$1*MAX(AP378,0)</f>
        <v>18.557001321003963</v>
      </c>
      <c r="AO379" s="75">
        <f>PARAM!$C$26+MAX($G$12-CHOOSE(PARAM!$B$44,MAX(0,AP378*$F$1),0),0)*RATES!$L355/12+$H$12*(PARAM!$D$51/12)*RATES!$N355/100</f>
        <v>42.000000000000007</v>
      </c>
      <c r="AP379" s="16">
        <f t="shared" si="250"/>
        <v>-453.51022588883706</v>
      </c>
      <c r="AQ379" s="15">
        <f t="shared" si="225"/>
        <v>22.170849845882874</v>
      </c>
      <c r="AR379" s="75">
        <f>AQ379*(1-PARAM!$C$27)*$I$13+(MOD($B379,60)=PARAM!$B$56)*($B379&gt;(60-PARAM!$B$56))*HLOOKUP(($B379+PARAM!$B$56)/12,Loyalty,2)*$F$1*MAX(AT378,0)</f>
        <v>18.557001321003963</v>
      </c>
      <c r="AS379" s="75">
        <f>PARAM!$C$26+MAX($G$13-CHOOSE(PARAM!$B$44,MAX(0,AT378*$F$1),0),0)*RATES!$L355/12+$H$13*(PARAM!$D$51/12)*RATES!$N355/100</f>
        <v>42.000000000000007</v>
      </c>
      <c r="AT379" s="16">
        <f t="shared" si="251"/>
        <v>-453.51022588883706</v>
      </c>
      <c r="AU379" s="15">
        <f t="shared" si="226"/>
        <v>22.170849845882874</v>
      </c>
      <c r="AV379" s="75">
        <f>AU379*(1-PARAM!$C$27)*$I$14+(MOD($B379,60)=PARAM!$B$56)*($B379&gt;(60-PARAM!$B$56))*HLOOKUP(($B379+PARAM!$B$56)/12,Loyalty,2)*$F$1*MAX(AX378,0)</f>
        <v>18.557001321003963</v>
      </c>
      <c r="AW379" s="75">
        <f>PARAM!$C$26+MAX($G$14-CHOOSE(PARAM!$B$44,MAX(0,AX378*$F$1),0),0)*RATES!$L355/12+$H$14*(PARAM!$D$51/12)*RATES!$N355/100</f>
        <v>42.000000000000007</v>
      </c>
      <c r="AX379" s="16">
        <f t="shared" si="252"/>
        <v>-453.51022588883706</v>
      </c>
      <c r="AY379" s="15">
        <f t="shared" si="227"/>
        <v>22.170849845882874</v>
      </c>
      <c r="AZ379" s="75">
        <f>AY379*(1-PARAM!$C$27)*$I$15+(MOD($B379,60)=PARAM!$B$56)*($B379&gt;(60-PARAM!$B$56))*HLOOKUP(($B379+PARAM!$B$56)/12,Loyalty,2)*$F$1*MAX(BB378,0)</f>
        <v>18.557001321003963</v>
      </c>
      <c r="BA379" s="75">
        <f>PARAM!$C$26+MAX($G$15-CHOOSE(PARAM!$B$44,MAX(0,BB378*$F$1),0),0)*RATES!$L355/12+$H$15*(PARAM!$D$51/12)*RATES!$N355/100</f>
        <v>42.000000000000007</v>
      </c>
      <c r="BB379" s="16">
        <f t="shared" si="253"/>
        <v>-453.51022588883706</v>
      </c>
      <c r="BC379" s="15">
        <f t="shared" si="228"/>
        <v>22.170849845882874</v>
      </c>
      <c r="BD379" s="75">
        <f>BC379*(1-PARAM!$C$27)*$I$16+(MOD($B379,60)=PARAM!$B$56)*($B379&gt;(60-PARAM!$B$56))*HLOOKUP(($B379+PARAM!$B$56)/12,Loyalty,2)*$F$1*MAX(BF378,0)</f>
        <v>18.557001321003963</v>
      </c>
      <c r="BE379" s="75">
        <f>PARAM!$C$26+MAX($G$16-CHOOSE(PARAM!$B$44,MAX(0,BF378*$F$1),0),0)*RATES!$L355/12+$H$16*(PARAM!$D$51/12)*RATES!$N355/100</f>
        <v>42.000000000000007</v>
      </c>
      <c r="BF379" s="16">
        <f t="shared" si="254"/>
        <v>-453.51022588883706</v>
      </c>
      <c r="BG379" s="15">
        <f t="shared" si="229"/>
        <v>22.170849845882874</v>
      </c>
      <c r="BH379" s="75">
        <f>BG379*(1-PARAM!$C$27)*$I$17+(MOD($B379,60)=PARAM!$B$56)*($B379&gt;(60-PARAM!$B$56))*HLOOKUP(($B379+PARAM!$B$56)/12,Loyalty,2)*$F$1*MAX(BJ378,0)</f>
        <v>18.557001321003963</v>
      </c>
      <c r="BI379" s="75">
        <f>PARAM!$C$26+MAX($G$17-CHOOSE(PARAM!$B$44,MAX(0,BJ378*$F$1),0),0)*RATES!$L355/12+$H$17*(PARAM!$D$51/12)*RATES!$N355/100</f>
        <v>42.000000000000007</v>
      </c>
      <c r="BJ379" s="16">
        <f t="shared" si="255"/>
        <v>-453.51022588883706</v>
      </c>
      <c r="BK379" s="15">
        <f t="shared" si="230"/>
        <v>22.170849845882874</v>
      </c>
      <c r="BL379" s="75">
        <f>BK379*(1-PARAM!$C$27)*$I$18+(MOD($B379,60)=PARAM!$B$56)*($B379&gt;(60-PARAM!$B$56))*HLOOKUP(($B379+PARAM!$B$56)/12,Loyalty,2)*$F$1*MAX(BN378,0)</f>
        <v>18.557001321003963</v>
      </c>
      <c r="BM379" s="75">
        <f>PARAM!$C$26+MAX($G$18-CHOOSE(PARAM!$B$44,MAX(0,BN378*$F$1),0),0)*RATES!$L355/12+$H$18*(PARAM!$D$51/12)*RATES!$N355/100</f>
        <v>42.000000000000007</v>
      </c>
      <c r="BN379" s="16">
        <f t="shared" si="256"/>
        <v>-453.51022588883706</v>
      </c>
      <c r="BO379" s="15">
        <f t="shared" si="231"/>
        <v>22.170849845882874</v>
      </c>
      <c r="BP379" s="75">
        <f>BO379*(1-PARAM!$C$27)*$I$19+(MOD($B379,60)=PARAM!$B$56)*($B379&gt;(60-PARAM!$B$56))*HLOOKUP(($B379+PARAM!$B$56)/12,Loyalty,2)*$F$1*MAX(BR378,0)</f>
        <v>18.557001321003963</v>
      </c>
      <c r="BQ379" s="75">
        <f>PARAM!$C$26+MAX($G$19-CHOOSE(PARAM!$B$44,MAX(0,BR378*$F$1),0),0)*RATES!$L355/12+$H$19*(PARAM!$D$51/12)*RATES!$N355/100</f>
        <v>42.000000000000007</v>
      </c>
      <c r="BR379" s="16">
        <f t="shared" si="257"/>
        <v>-453.51022588883706</v>
      </c>
      <c r="BS379" s="15">
        <f t="shared" si="232"/>
        <v>22.170849845882874</v>
      </c>
      <c r="BT379" s="75">
        <f>BS379*(1-PARAM!$C$27)*$I$20+(MOD($B379,60)=PARAM!$B$56)*($B379&gt;(60-PARAM!$B$56))*HLOOKUP(($B379+PARAM!$B$56)/12,Loyalty,2)*$F$1*MAX(BV378,0)</f>
        <v>18.557001321003963</v>
      </c>
      <c r="BU379" s="75">
        <f>PARAM!$C$26+MAX($G$20-CHOOSE(PARAM!$B$44,MAX(0,BV378*$F$1),0),0)*RATES!$L355/12+$H$20*(PARAM!$D$51/12)*RATES!$N355/100</f>
        <v>42.000000000000007</v>
      </c>
      <c r="BV379" s="16">
        <f t="shared" si="258"/>
        <v>-453.51022588883706</v>
      </c>
      <c r="BW379" s="15">
        <f t="shared" si="233"/>
        <v>22.170849845882874</v>
      </c>
      <c r="BX379" s="75">
        <f>BW379*(1-PARAM!$C$27)*$I$21+(MOD($B379,60)=PARAM!$B$56)*($B379&gt;(60-PARAM!$B$56))*HLOOKUP(($B379+PARAM!$B$56)/12,Loyalty,2)*$F$1*MAX(BZ378,0)</f>
        <v>18.557001321003963</v>
      </c>
      <c r="BY379" s="75">
        <f>PARAM!$C$26+MAX($G$21-CHOOSE(PARAM!$B$44,MAX(0,BZ378*$F$1),0),0)*RATES!$L355/12+$H$21*(PARAM!$D$51/12)*RATES!$N355/100</f>
        <v>42.000000000000007</v>
      </c>
      <c r="BZ379" s="16">
        <f t="shared" si="259"/>
        <v>-453.51022588883706</v>
      </c>
      <c r="CA379" s="15">
        <f t="shared" si="234"/>
        <v>22.170849845882874</v>
      </c>
      <c r="CB379" s="75">
        <f>CA379*(1-PARAM!$C$27)*$I$22+(MOD($B379,60)=PARAM!$B$56)*($B379&gt;(60-PARAM!$B$56))*HLOOKUP(($B379+PARAM!$B$56)/12,Loyalty,2)*$F$1*MAX(CD378,0)</f>
        <v>18.557001321003963</v>
      </c>
      <c r="CC379" s="75">
        <f>PARAM!$C$26+MAX($G$22-CHOOSE(PARAM!$B$44,MAX(0,CD378*$F$1),0),0)*RATES!$L355/12+$H$22*(PARAM!$D$51/12)*RATES!$N355/100</f>
        <v>42.000000000000007</v>
      </c>
      <c r="CD379" s="16">
        <f t="shared" si="260"/>
        <v>-453.51022588883706</v>
      </c>
      <c r="CE379" s="33">
        <f>IF(0=MOD(B379,12/PARAM!$D$51),1,0)</f>
        <v>1</v>
      </c>
      <c r="CF379" s="15">
        <f t="shared" si="235"/>
        <v>0</v>
      </c>
      <c r="CG379" s="75">
        <f>CF379*(1-PARAM!$C$27)*$R$3+(MOD($B379/12,5)=0)*($B379&gt;60)*HLOOKUP($B379/12,Loyalty,2)*$F$1*MAX(CI378,0)</f>
        <v>0</v>
      </c>
      <c r="CH379" s="75">
        <f>PARAM!$C$26+MAX($P$3-CHOOSE(PARAM!$B$44,MAX(0,CI378*$F$1),0),0)*RATES!$L355/12+$Q$3*(PARAM!$D$51/12)*RATES!$N355/100</f>
        <v>42.000000000000007</v>
      </c>
      <c r="CI379" s="16">
        <f>IF(CI378&gt;0,CI378*PARAM!$C$53,CI378)+CG379-CH379</f>
        <v>-6865.9999999999891</v>
      </c>
      <c r="CJ379" s="15">
        <f t="shared" si="261"/>
        <v>0</v>
      </c>
      <c r="CK379" s="75">
        <f>CJ379*(1-PARAM!$C$27)*$R$4+(MOD($B379/12,5)=0)*($B379&gt;60)*HLOOKUP($B379/12,Loyalty,2)*$F$1*MAX(CM378,0)</f>
        <v>0</v>
      </c>
      <c r="CL379" s="75">
        <f>PARAM!$C$26+MAX($P$4-CHOOSE(PARAM!$B$44,MAX(0,CM378*$F$1),0),0)*RATES!$L355/12+$Q$4*(PARAM!$D$51/12)*RATES!$N355/100</f>
        <v>42.000000000000007</v>
      </c>
      <c r="CM379" s="16">
        <f>IF(CM378&gt;0,CM378*PARAM!$C$53,CM378)+CK379-CL379</f>
        <v>-6865.9999999999891</v>
      </c>
      <c r="CO379" s="176"/>
    </row>
    <row r="380" spans="1:93" x14ac:dyDescent="0.2">
      <c r="A380" t="b">
        <f t="shared" si="236"/>
        <v>0</v>
      </c>
      <c r="B380" s="33">
        <v>353</v>
      </c>
      <c r="C380" s="15">
        <f t="shared" si="237"/>
        <v>20.081305947392778</v>
      </c>
      <c r="D380" s="75">
        <f>C380*(1-PARAM!$C$27)*$I$3+(MOD($B380,60)=PARAM!$B$56)*($B380&gt;(60-PARAM!$B$56))*HLOOKUP(($B380+PARAM!$B$56)/12,Loyalty,2)*$F$1*MAX(F379,0)</f>
        <v>16.808053077967756</v>
      </c>
      <c r="E380" s="75">
        <f>PARAM!$C$26+MAX($G$3-CHOOSE(PARAM!$B$44,MAX(0,F379*$F$1),0),0)*RATES!$L356/12+$H$3*(PARAM!$D$51/12)*RATES!$N356/100</f>
        <v>42.000000000000007</v>
      </c>
      <c r="F380" s="16">
        <f t="shared" si="238"/>
        <v>-1131.1824548811167</v>
      </c>
      <c r="G380" s="15">
        <f t="shared" si="239"/>
        <v>22.035289406060361</v>
      </c>
      <c r="H380" s="75">
        <f>G380*(1-PARAM!$C$27)*$I$4+(MOD($B380,60)=PARAM!$B$56)*($B380&gt;(60-PARAM!$B$56))*HLOOKUP(($B380+PARAM!$B$56)/12,Loyalty,2)*$F$1*MAX(J379,0)</f>
        <v>18.443537232872522</v>
      </c>
      <c r="I380" s="75">
        <f>PARAM!$C$26+MAX($G$4-CHOOSE(PARAM!$B$44,MAX(0,J379*$F$1),0),0)*RATES!$L356/12+$H$4*(PARAM!$D$51/12)*RATES!$N356/100</f>
        <v>42.000000000000007</v>
      </c>
      <c r="J380" s="16">
        <f t="shared" si="240"/>
        <v>-520.02358407802524</v>
      </c>
      <c r="K380" s="15">
        <f t="shared" si="241"/>
        <v>22.170849845882874</v>
      </c>
      <c r="L380" s="75">
        <f>K380*(1-PARAM!$C$27)*$I$5+(MOD($B380,60)=PARAM!$B$56)*($B380&gt;(60-PARAM!$B$56))*HLOOKUP(($B380+PARAM!$B$56)/12,Loyalty,2)*$F$1*MAX(N379,0)</f>
        <v>18.557001321003963</v>
      </c>
      <c r="M380" s="75">
        <f>PARAM!$C$26+MAX($G$5-CHOOSE(PARAM!$B$44,MAX(0,N379*$F$1),0),0)*RATES!$L356/12+$H$5*(PARAM!$D$51/12)*RATES!$N356/100</f>
        <v>42.000000000000007</v>
      </c>
      <c r="N380" s="16">
        <f t="shared" si="242"/>
        <v>-476.9532245678331</v>
      </c>
      <c r="O380" s="15">
        <f t="shared" si="243"/>
        <v>22.170849845882874</v>
      </c>
      <c r="P380" s="75">
        <f>O380*(1-PARAM!$C$27)*$I$6+(MOD($B380,60)=PARAM!$B$56)*($B380&gt;(60-PARAM!$B$56))*HLOOKUP(($B380+PARAM!$B$56)/12,Loyalty,2)*$F$1*MAX(R379,0)</f>
        <v>18.557001321003963</v>
      </c>
      <c r="Q380" s="75">
        <f>PARAM!$C$26+MAX($G$6-CHOOSE(PARAM!$B$44,MAX(0,R379*$F$1),0),0)*RATES!$L356/12+$H$6*(PARAM!$D$51/12)*RATES!$N356/100</f>
        <v>42.000000000000007</v>
      </c>
      <c r="R380" s="16">
        <f t="shared" si="244"/>
        <v>-476.9532245678331</v>
      </c>
      <c r="S380" s="15">
        <f t="shared" si="219"/>
        <v>22.170849845882874</v>
      </c>
      <c r="T380" s="75">
        <f>S380*(1-PARAM!$C$27)*$I$7+(MOD($B380,60)=PARAM!$B$56)*($B380&gt;(60-PARAM!$B$56))*HLOOKUP(($B380+PARAM!$B$56)/12,Loyalty,2)*$F$1*MAX(V379,0)</f>
        <v>18.557001321003963</v>
      </c>
      <c r="U380" s="75">
        <f>PARAM!$C$26+MAX($G$7-CHOOSE(PARAM!$B$44,MAX(0,V379*$F$1),0),0)*RATES!$L356/12+$H$7*(PARAM!$D$51/12)*RATES!$N356/100</f>
        <v>42.000000000000007</v>
      </c>
      <c r="V380" s="16">
        <f t="shared" si="245"/>
        <v>-476.9532245678331</v>
      </c>
      <c r="W380" s="15">
        <f t="shared" si="220"/>
        <v>22.170849845882874</v>
      </c>
      <c r="X380" s="75">
        <f>W380*(1-PARAM!$C$27)*$I$8+(MOD($B380,60)=PARAM!$B$56)*($B380&gt;(60-PARAM!$B$56))*HLOOKUP(($B380+PARAM!$B$56)/12,Loyalty,2)*$F$1*MAX(Z379,0)</f>
        <v>18.557001321003963</v>
      </c>
      <c r="Y380" s="75">
        <f>PARAM!$C$26+MAX($G$8-CHOOSE(PARAM!$B$44,MAX(0,Z379*$F$1),0),0)*RATES!$L356/12+$H$8*(PARAM!$D$51/12)*RATES!$N356/100</f>
        <v>42.000000000000007</v>
      </c>
      <c r="Z380" s="16">
        <f t="shared" si="246"/>
        <v>-476.9532245678331</v>
      </c>
      <c r="AA380" s="15">
        <f t="shared" si="221"/>
        <v>22.170849845882874</v>
      </c>
      <c r="AB380" s="75">
        <f>AA380*(1-PARAM!$C$27)*$I$9+(MOD($B380,60)=PARAM!$B$56)*($B380&gt;(60-PARAM!$B$56))*HLOOKUP(($B380+PARAM!$B$56)/12,Loyalty,2)*$F$1*MAX(AD379,0)</f>
        <v>18.557001321003963</v>
      </c>
      <c r="AC380" s="75">
        <f>PARAM!$C$26+MAX($G$9-CHOOSE(PARAM!$B$44,MAX(0,AD379*$F$1),0),0)*RATES!$L356/12+$H$9*(PARAM!$D$51/12)*RATES!$N356/100</f>
        <v>42.000000000000007</v>
      </c>
      <c r="AD380" s="16">
        <f t="shared" si="247"/>
        <v>-476.9532245678331</v>
      </c>
      <c r="AE380" s="15">
        <f t="shared" si="222"/>
        <v>22.170849845882874</v>
      </c>
      <c r="AF380" s="75">
        <f>AE380*(1-PARAM!$C$27)*$I$10+(MOD($B380,60)=PARAM!$B$56)*($B380&gt;(60-PARAM!$B$56))*HLOOKUP(($B380+PARAM!$B$56)/12,Loyalty,2)*$F$1*MAX(AH379,0)</f>
        <v>18.557001321003963</v>
      </c>
      <c r="AG380" s="75">
        <f>PARAM!$C$26+MAX($G$10-CHOOSE(PARAM!$B$44,MAX(0,AH379*$F$1),0),0)*RATES!$L356/12+$H$10*(PARAM!$D$51/12)*RATES!$N356/100</f>
        <v>42.000000000000007</v>
      </c>
      <c r="AH380" s="16">
        <f t="shared" si="248"/>
        <v>-476.9532245678331</v>
      </c>
      <c r="AI380" s="15">
        <f t="shared" si="223"/>
        <v>22.170849845882874</v>
      </c>
      <c r="AJ380" s="75">
        <f>AI380*(1-PARAM!$C$27)*$I$11+(MOD($B380,60)=PARAM!$B$56)*($B380&gt;(60-PARAM!$B$56))*HLOOKUP(($B380+PARAM!$B$56)/12,Loyalty,2)*$F$1*MAX(AL379,0)</f>
        <v>18.557001321003963</v>
      </c>
      <c r="AK380" s="75">
        <f>PARAM!$C$26+MAX($G$11-CHOOSE(PARAM!$B$44,MAX(0,AL379*$F$1),0),0)*RATES!$L356/12+$H$11*(PARAM!$D$51/12)*RATES!$N356/100</f>
        <v>42.000000000000007</v>
      </c>
      <c r="AL380" s="16">
        <f t="shared" si="249"/>
        <v>-476.9532245678331</v>
      </c>
      <c r="AM380" s="15">
        <f t="shared" si="224"/>
        <v>22.170849845882874</v>
      </c>
      <c r="AN380" s="75">
        <f>AM380*(1-PARAM!$C$27)*$I$12+(MOD($B380,60)=PARAM!$B$56)*($B380&gt;(60-PARAM!$B$56))*HLOOKUP(($B380+PARAM!$B$56)/12,Loyalty,2)*$F$1*MAX(AP379,0)</f>
        <v>18.557001321003963</v>
      </c>
      <c r="AO380" s="75">
        <f>PARAM!$C$26+MAX($G$12-CHOOSE(PARAM!$B$44,MAX(0,AP379*$F$1),0),0)*RATES!$L356/12+$H$12*(PARAM!$D$51/12)*RATES!$N356/100</f>
        <v>42.000000000000007</v>
      </c>
      <c r="AP380" s="16">
        <f t="shared" si="250"/>
        <v>-476.9532245678331</v>
      </c>
      <c r="AQ380" s="15">
        <f t="shared" si="225"/>
        <v>22.170849845882874</v>
      </c>
      <c r="AR380" s="75">
        <f>AQ380*(1-PARAM!$C$27)*$I$13+(MOD($B380,60)=PARAM!$B$56)*($B380&gt;(60-PARAM!$B$56))*HLOOKUP(($B380+PARAM!$B$56)/12,Loyalty,2)*$F$1*MAX(AT379,0)</f>
        <v>18.557001321003963</v>
      </c>
      <c r="AS380" s="75">
        <f>PARAM!$C$26+MAX($G$13-CHOOSE(PARAM!$B$44,MAX(0,AT379*$F$1),0),0)*RATES!$L356/12+$H$13*(PARAM!$D$51/12)*RATES!$N356/100</f>
        <v>42.000000000000007</v>
      </c>
      <c r="AT380" s="16">
        <f t="shared" si="251"/>
        <v>-476.9532245678331</v>
      </c>
      <c r="AU380" s="15">
        <f t="shared" si="226"/>
        <v>22.170849845882874</v>
      </c>
      <c r="AV380" s="75">
        <f>AU380*(1-PARAM!$C$27)*$I$14+(MOD($B380,60)=PARAM!$B$56)*($B380&gt;(60-PARAM!$B$56))*HLOOKUP(($B380+PARAM!$B$56)/12,Loyalty,2)*$F$1*MAX(AX379,0)</f>
        <v>18.557001321003963</v>
      </c>
      <c r="AW380" s="75">
        <f>PARAM!$C$26+MAX($G$14-CHOOSE(PARAM!$B$44,MAX(0,AX379*$F$1),0),0)*RATES!$L356/12+$H$14*(PARAM!$D$51/12)*RATES!$N356/100</f>
        <v>42.000000000000007</v>
      </c>
      <c r="AX380" s="16">
        <f t="shared" si="252"/>
        <v>-476.9532245678331</v>
      </c>
      <c r="AY380" s="15">
        <f t="shared" si="227"/>
        <v>22.170849845882874</v>
      </c>
      <c r="AZ380" s="75">
        <f>AY380*(1-PARAM!$C$27)*$I$15+(MOD($B380,60)=PARAM!$B$56)*($B380&gt;(60-PARAM!$B$56))*HLOOKUP(($B380+PARAM!$B$56)/12,Loyalty,2)*$F$1*MAX(BB379,0)</f>
        <v>18.557001321003963</v>
      </c>
      <c r="BA380" s="75">
        <f>PARAM!$C$26+MAX($G$15-CHOOSE(PARAM!$B$44,MAX(0,BB379*$F$1),0),0)*RATES!$L356/12+$H$15*(PARAM!$D$51/12)*RATES!$N356/100</f>
        <v>42.000000000000007</v>
      </c>
      <c r="BB380" s="16">
        <f t="shared" si="253"/>
        <v>-476.9532245678331</v>
      </c>
      <c r="BC380" s="15">
        <f t="shared" si="228"/>
        <v>22.170849845882874</v>
      </c>
      <c r="BD380" s="75">
        <f>BC380*(1-PARAM!$C$27)*$I$16+(MOD($B380,60)=PARAM!$B$56)*($B380&gt;(60-PARAM!$B$56))*HLOOKUP(($B380+PARAM!$B$56)/12,Loyalty,2)*$F$1*MAX(BF379,0)</f>
        <v>18.557001321003963</v>
      </c>
      <c r="BE380" s="75">
        <f>PARAM!$C$26+MAX($G$16-CHOOSE(PARAM!$B$44,MAX(0,BF379*$F$1),0),0)*RATES!$L356/12+$H$16*(PARAM!$D$51/12)*RATES!$N356/100</f>
        <v>42.000000000000007</v>
      </c>
      <c r="BF380" s="16">
        <f t="shared" si="254"/>
        <v>-476.9532245678331</v>
      </c>
      <c r="BG380" s="15">
        <f t="shared" si="229"/>
        <v>22.170849845882874</v>
      </c>
      <c r="BH380" s="75">
        <f>BG380*(1-PARAM!$C$27)*$I$17+(MOD($B380,60)=PARAM!$B$56)*($B380&gt;(60-PARAM!$B$56))*HLOOKUP(($B380+PARAM!$B$56)/12,Loyalty,2)*$F$1*MAX(BJ379,0)</f>
        <v>18.557001321003963</v>
      </c>
      <c r="BI380" s="75">
        <f>PARAM!$C$26+MAX($G$17-CHOOSE(PARAM!$B$44,MAX(0,BJ379*$F$1),0),0)*RATES!$L356/12+$H$17*(PARAM!$D$51/12)*RATES!$N356/100</f>
        <v>42.000000000000007</v>
      </c>
      <c r="BJ380" s="16">
        <f t="shared" si="255"/>
        <v>-476.9532245678331</v>
      </c>
      <c r="BK380" s="15">
        <f t="shared" si="230"/>
        <v>22.170849845882874</v>
      </c>
      <c r="BL380" s="75">
        <f>BK380*(1-PARAM!$C$27)*$I$18+(MOD($B380,60)=PARAM!$B$56)*($B380&gt;(60-PARAM!$B$56))*HLOOKUP(($B380+PARAM!$B$56)/12,Loyalty,2)*$F$1*MAX(BN379,0)</f>
        <v>18.557001321003963</v>
      </c>
      <c r="BM380" s="75">
        <f>PARAM!$C$26+MAX($G$18-CHOOSE(PARAM!$B$44,MAX(0,BN379*$F$1),0),0)*RATES!$L356/12+$H$18*(PARAM!$D$51/12)*RATES!$N356/100</f>
        <v>42.000000000000007</v>
      </c>
      <c r="BN380" s="16">
        <f t="shared" si="256"/>
        <v>-476.9532245678331</v>
      </c>
      <c r="BO380" s="15">
        <f t="shared" si="231"/>
        <v>22.170849845882874</v>
      </c>
      <c r="BP380" s="75">
        <f>BO380*(1-PARAM!$C$27)*$I$19+(MOD($B380,60)=PARAM!$B$56)*($B380&gt;(60-PARAM!$B$56))*HLOOKUP(($B380+PARAM!$B$56)/12,Loyalty,2)*$F$1*MAX(BR379,0)</f>
        <v>18.557001321003963</v>
      </c>
      <c r="BQ380" s="75">
        <f>PARAM!$C$26+MAX($G$19-CHOOSE(PARAM!$B$44,MAX(0,BR379*$F$1),0),0)*RATES!$L356/12+$H$19*(PARAM!$D$51/12)*RATES!$N356/100</f>
        <v>42.000000000000007</v>
      </c>
      <c r="BR380" s="16">
        <f t="shared" si="257"/>
        <v>-476.9532245678331</v>
      </c>
      <c r="BS380" s="15">
        <f t="shared" si="232"/>
        <v>22.170849845882874</v>
      </c>
      <c r="BT380" s="75">
        <f>BS380*(1-PARAM!$C$27)*$I$20+(MOD($B380,60)=PARAM!$B$56)*($B380&gt;(60-PARAM!$B$56))*HLOOKUP(($B380+PARAM!$B$56)/12,Loyalty,2)*$F$1*MAX(BV379,0)</f>
        <v>18.557001321003963</v>
      </c>
      <c r="BU380" s="75">
        <f>PARAM!$C$26+MAX($G$20-CHOOSE(PARAM!$B$44,MAX(0,BV379*$F$1),0),0)*RATES!$L356/12+$H$20*(PARAM!$D$51/12)*RATES!$N356/100</f>
        <v>42.000000000000007</v>
      </c>
      <c r="BV380" s="16">
        <f t="shared" si="258"/>
        <v>-476.9532245678331</v>
      </c>
      <c r="BW380" s="15">
        <f t="shared" si="233"/>
        <v>22.170849845882874</v>
      </c>
      <c r="BX380" s="75">
        <f>BW380*(1-PARAM!$C$27)*$I$21+(MOD($B380,60)=PARAM!$B$56)*($B380&gt;(60-PARAM!$B$56))*HLOOKUP(($B380+PARAM!$B$56)/12,Loyalty,2)*$F$1*MAX(BZ379,0)</f>
        <v>18.557001321003963</v>
      </c>
      <c r="BY380" s="75">
        <f>PARAM!$C$26+MAX($G$21-CHOOSE(PARAM!$B$44,MAX(0,BZ379*$F$1),0),0)*RATES!$L356/12+$H$21*(PARAM!$D$51/12)*RATES!$N356/100</f>
        <v>42.000000000000007</v>
      </c>
      <c r="BZ380" s="16">
        <f t="shared" si="259"/>
        <v>-476.9532245678331</v>
      </c>
      <c r="CA380" s="15">
        <f t="shared" si="234"/>
        <v>22.170849845882874</v>
      </c>
      <c r="CB380" s="75">
        <f>CA380*(1-PARAM!$C$27)*$I$22+(MOD($B380,60)=PARAM!$B$56)*($B380&gt;(60-PARAM!$B$56))*HLOOKUP(($B380+PARAM!$B$56)/12,Loyalty,2)*$F$1*MAX(CD379,0)</f>
        <v>18.557001321003963</v>
      </c>
      <c r="CC380" s="75">
        <f>PARAM!$C$26+MAX($G$22-CHOOSE(PARAM!$B$44,MAX(0,CD379*$F$1),0),0)*RATES!$L356/12+$H$22*(PARAM!$D$51/12)*RATES!$N356/100</f>
        <v>42.000000000000007</v>
      </c>
      <c r="CD380" s="16">
        <f t="shared" si="260"/>
        <v>-476.9532245678331</v>
      </c>
      <c r="CE380" s="33">
        <f>IF(0=MOD(B380,12/PARAM!$D$51),1,0)</f>
        <v>1</v>
      </c>
      <c r="CF380" s="15">
        <f t="shared" si="235"/>
        <v>0</v>
      </c>
      <c r="CG380" s="75">
        <f>CF380*(1-PARAM!$C$27)*$R$3+(MOD($B380/12,5)=0)*($B380&gt;60)*HLOOKUP($B380/12,Loyalty,2)*$F$1*MAX(CI379,0)</f>
        <v>0</v>
      </c>
      <c r="CH380" s="75">
        <f>PARAM!$C$26+MAX($P$3-CHOOSE(PARAM!$B$44,MAX(0,CI379*$F$1),0),0)*RATES!$L356/12+$Q$3*(PARAM!$D$51/12)*RATES!$N356/100</f>
        <v>42.000000000000007</v>
      </c>
      <c r="CI380" s="16">
        <f>IF(CI379&gt;0,CI379*PARAM!$C$53,CI379)+CG380-CH380</f>
        <v>-6907.9999999999891</v>
      </c>
      <c r="CJ380" s="15">
        <f t="shared" si="261"/>
        <v>0</v>
      </c>
      <c r="CK380" s="75">
        <f>CJ380*(1-PARAM!$C$27)*$R$4+(MOD($B380/12,5)=0)*($B380&gt;60)*HLOOKUP($B380/12,Loyalty,2)*$F$1*MAX(CM379,0)</f>
        <v>0</v>
      </c>
      <c r="CL380" s="75">
        <f>PARAM!$C$26+MAX($P$4-CHOOSE(PARAM!$B$44,MAX(0,CM379*$F$1),0),0)*RATES!$L356/12+$Q$4*(PARAM!$D$51/12)*RATES!$N356/100</f>
        <v>42.000000000000007</v>
      </c>
      <c r="CM380" s="16">
        <f>IF(CM379&gt;0,CM379*PARAM!$C$53,CM379)+CK380-CL380</f>
        <v>-6907.9999999999891</v>
      </c>
      <c r="CO380" s="176"/>
    </row>
    <row r="381" spans="1:93" x14ac:dyDescent="0.2">
      <c r="A381" t="b">
        <f t="shared" si="236"/>
        <v>0</v>
      </c>
      <c r="B381" s="33">
        <v>354</v>
      </c>
      <c r="C381" s="15">
        <f t="shared" si="237"/>
        <v>20.081305947392778</v>
      </c>
      <c r="D381" s="75">
        <f>C381*(1-PARAM!$C$27)*$I$3+(MOD($B381,60)=PARAM!$B$56)*($B381&gt;(60-PARAM!$B$56))*HLOOKUP(($B381+PARAM!$B$56)/12,Loyalty,2)*$F$1*MAX(F380,0)</f>
        <v>16.808053077967756</v>
      </c>
      <c r="E381" s="75">
        <f>PARAM!$C$26+MAX($G$3-CHOOSE(PARAM!$B$44,MAX(0,F380*$F$1),0),0)*RATES!$L357/12+$H$3*(PARAM!$D$51/12)*RATES!$N357/100</f>
        <v>46.208333333333336</v>
      </c>
      <c r="F381" s="16">
        <f t="shared" si="238"/>
        <v>-1160.5827351364821</v>
      </c>
      <c r="G381" s="15">
        <f t="shared" si="239"/>
        <v>22.035289406060361</v>
      </c>
      <c r="H381" s="75">
        <f>G381*(1-PARAM!$C$27)*$I$4+(MOD($B381,60)=PARAM!$B$56)*($B381&gt;(60-PARAM!$B$56))*HLOOKUP(($B381+PARAM!$B$56)/12,Loyalty,2)*$F$1*MAX(J380,0)</f>
        <v>18.443537232872522</v>
      </c>
      <c r="I381" s="75">
        <f>PARAM!$C$26+MAX($G$4-CHOOSE(PARAM!$B$44,MAX(0,J380*$F$1),0),0)*RATES!$L357/12+$H$4*(PARAM!$D$51/12)*RATES!$N357/100</f>
        <v>46.208333333333336</v>
      </c>
      <c r="J381" s="16">
        <f t="shared" si="240"/>
        <v>-547.78838017848602</v>
      </c>
      <c r="K381" s="15">
        <f t="shared" si="241"/>
        <v>22.170849845882874</v>
      </c>
      <c r="L381" s="75">
        <f>K381*(1-PARAM!$C$27)*$I$5+(MOD($B381,60)=PARAM!$B$56)*($B381&gt;(60-PARAM!$B$56))*HLOOKUP(($B381+PARAM!$B$56)/12,Loyalty,2)*$F$1*MAX(N380,0)</f>
        <v>18.557001321003963</v>
      </c>
      <c r="M381" s="75">
        <f>PARAM!$C$26+MAX($G$5-CHOOSE(PARAM!$B$44,MAX(0,N380*$F$1),0),0)*RATES!$L357/12+$H$5*(PARAM!$D$51/12)*RATES!$N357/100</f>
        <v>46.208333333333336</v>
      </c>
      <c r="N381" s="16">
        <f t="shared" si="242"/>
        <v>-504.60455658016247</v>
      </c>
      <c r="O381" s="15">
        <f t="shared" si="243"/>
        <v>22.170849845882874</v>
      </c>
      <c r="P381" s="75">
        <f>O381*(1-PARAM!$C$27)*$I$6+(MOD($B381,60)=PARAM!$B$56)*($B381&gt;(60-PARAM!$B$56))*HLOOKUP(($B381+PARAM!$B$56)/12,Loyalty,2)*$F$1*MAX(R380,0)</f>
        <v>18.557001321003963</v>
      </c>
      <c r="Q381" s="75">
        <f>PARAM!$C$26+MAX($G$6-CHOOSE(PARAM!$B$44,MAX(0,R380*$F$1),0),0)*RATES!$L357/12+$H$6*(PARAM!$D$51/12)*RATES!$N357/100</f>
        <v>46.208333333333336</v>
      </c>
      <c r="R381" s="16">
        <f t="shared" si="244"/>
        <v>-504.60455658016247</v>
      </c>
      <c r="S381" s="15">
        <f t="shared" si="219"/>
        <v>22.170849845882874</v>
      </c>
      <c r="T381" s="75">
        <f>S381*(1-PARAM!$C$27)*$I$7+(MOD($B381,60)=PARAM!$B$56)*($B381&gt;(60-PARAM!$B$56))*HLOOKUP(($B381+PARAM!$B$56)/12,Loyalty,2)*$F$1*MAX(V380,0)</f>
        <v>18.557001321003963</v>
      </c>
      <c r="U381" s="75">
        <f>PARAM!$C$26+MAX($G$7-CHOOSE(PARAM!$B$44,MAX(0,V380*$F$1),0),0)*RATES!$L357/12+$H$7*(PARAM!$D$51/12)*RATES!$N357/100</f>
        <v>46.208333333333336</v>
      </c>
      <c r="V381" s="16">
        <f t="shared" si="245"/>
        <v>-504.60455658016247</v>
      </c>
      <c r="W381" s="15">
        <f t="shared" si="220"/>
        <v>22.170849845882874</v>
      </c>
      <c r="X381" s="75">
        <f>W381*(1-PARAM!$C$27)*$I$8+(MOD($B381,60)=PARAM!$B$56)*($B381&gt;(60-PARAM!$B$56))*HLOOKUP(($B381+PARAM!$B$56)/12,Loyalty,2)*$F$1*MAX(Z380,0)</f>
        <v>18.557001321003963</v>
      </c>
      <c r="Y381" s="75">
        <f>PARAM!$C$26+MAX($G$8-CHOOSE(PARAM!$B$44,MAX(0,Z380*$F$1),0),0)*RATES!$L357/12+$H$8*(PARAM!$D$51/12)*RATES!$N357/100</f>
        <v>46.208333333333336</v>
      </c>
      <c r="Z381" s="16">
        <f t="shared" si="246"/>
        <v>-504.60455658016247</v>
      </c>
      <c r="AA381" s="15">
        <f t="shared" si="221"/>
        <v>22.170849845882874</v>
      </c>
      <c r="AB381" s="75">
        <f>AA381*(1-PARAM!$C$27)*$I$9+(MOD($B381,60)=PARAM!$B$56)*($B381&gt;(60-PARAM!$B$56))*HLOOKUP(($B381+PARAM!$B$56)/12,Loyalty,2)*$F$1*MAX(AD380,0)</f>
        <v>18.557001321003963</v>
      </c>
      <c r="AC381" s="75">
        <f>PARAM!$C$26+MAX($G$9-CHOOSE(PARAM!$B$44,MAX(0,AD380*$F$1),0),0)*RATES!$L357/12+$H$9*(PARAM!$D$51/12)*RATES!$N357/100</f>
        <v>46.208333333333336</v>
      </c>
      <c r="AD381" s="16">
        <f t="shared" si="247"/>
        <v>-504.60455658016247</v>
      </c>
      <c r="AE381" s="15">
        <f t="shared" si="222"/>
        <v>22.170849845882874</v>
      </c>
      <c r="AF381" s="75">
        <f>AE381*(1-PARAM!$C$27)*$I$10+(MOD($B381,60)=PARAM!$B$56)*($B381&gt;(60-PARAM!$B$56))*HLOOKUP(($B381+PARAM!$B$56)/12,Loyalty,2)*$F$1*MAX(AH380,0)</f>
        <v>18.557001321003963</v>
      </c>
      <c r="AG381" s="75">
        <f>PARAM!$C$26+MAX($G$10-CHOOSE(PARAM!$B$44,MAX(0,AH380*$F$1),0),0)*RATES!$L357/12+$H$10*(PARAM!$D$51/12)*RATES!$N357/100</f>
        <v>46.208333333333336</v>
      </c>
      <c r="AH381" s="16">
        <f t="shared" si="248"/>
        <v>-504.60455658016247</v>
      </c>
      <c r="AI381" s="15">
        <f t="shared" si="223"/>
        <v>22.170849845882874</v>
      </c>
      <c r="AJ381" s="75">
        <f>AI381*(1-PARAM!$C$27)*$I$11+(MOD($B381,60)=PARAM!$B$56)*($B381&gt;(60-PARAM!$B$56))*HLOOKUP(($B381+PARAM!$B$56)/12,Loyalty,2)*$F$1*MAX(AL380,0)</f>
        <v>18.557001321003963</v>
      </c>
      <c r="AK381" s="75">
        <f>PARAM!$C$26+MAX($G$11-CHOOSE(PARAM!$B$44,MAX(0,AL380*$F$1),0),0)*RATES!$L357/12+$H$11*(PARAM!$D$51/12)*RATES!$N357/100</f>
        <v>46.208333333333336</v>
      </c>
      <c r="AL381" s="16">
        <f t="shared" si="249"/>
        <v>-504.60455658016247</v>
      </c>
      <c r="AM381" s="15">
        <f t="shared" si="224"/>
        <v>22.170849845882874</v>
      </c>
      <c r="AN381" s="75">
        <f>AM381*(1-PARAM!$C$27)*$I$12+(MOD($B381,60)=PARAM!$B$56)*($B381&gt;(60-PARAM!$B$56))*HLOOKUP(($B381+PARAM!$B$56)/12,Loyalty,2)*$F$1*MAX(AP380,0)</f>
        <v>18.557001321003963</v>
      </c>
      <c r="AO381" s="75">
        <f>PARAM!$C$26+MAX($G$12-CHOOSE(PARAM!$B$44,MAX(0,AP380*$F$1),0),0)*RATES!$L357/12+$H$12*(PARAM!$D$51/12)*RATES!$N357/100</f>
        <v>46.208333333333336</v>
      </c>
      <c r="AP381" s="16">
        <f t="shared" si="250"/>
        <v>-504.60455658016247</v>
      </c>
      <c r="AQ381" s="15">
        <f t="shared" si="225"/>
        <v>22.170849845882874</v>
      </c>
      <c r="AR381" s="75">
        <f>AQ381*(1-PARAM!$C$27)*$I$13+(MOD($B381,60)=PARAM!$B$56)*($B381&gt;(60-PARAM!$B$56))*HLOOKUP(($B381+PARAM!$B$56)/12,Loyalty,2)*$F$1*MAX(AT380,0)</f>
        <v>18.557001321003963</v>
      </c>
      <c r="AS381" s="75">
        <f>PARAM!$C$26+MAX($G$13-CHOOSE(PARAM!$B$44,MAX(0,AT380*$F$1),0),0)*RATES!$L357/12+$H$13*(PARAM!$D$51/12)*RATES!$N357/100</f>
        <v>46.208333333333336</v>
      </c>
      <c r="AT381" s="16">
        <f t="shared" si="251"/>
        <v>-504.60455658016247</v>
      </c>
      <c r="AU381" s="15">
        <f t="shared" si="226"/>
        <v>22.170849845882874</v>
      </c>
      <c r="AV381" s="75">
        <f>AU381*(1-PARAM!$C$27)*$I$14+(MOD($B381,60)=PARAM!$B$56)*($B381&gt;(60-PARAM!$B$56))*HLOOKUP(($B381+PARAM!$B$56)/12,Loyalty,2)*$F$1*MAX(AX380,0)</f>
        <v>18.557001321003963</v>
      </c>
      <c r="AW381" s="75">
        <f>PARAM!$C$26+MAX($G$14-CHOOSE(PARAM!$B$44,MAX(0,AX380*$F$1),0),0)*RATES!$L357/12+$H$14*(PARAM!$D$51/12)*RATES!$N357/100</f>
        <v>46.208333333333336</v>
      </c>
      <c r="AX381" s="16">
        <f t="shared" si="252"/>
        <v>-504.60455658016247</v>
      </c>
      <c r="AY381" s="15">
        <f t="shared" si="227"/>
        <v>22.170849845882874</v>
      </c>
      <c r="AZ381" s="75">
        <f>AY381*(1-PARAM!$C$27)*$I$15+(MOD($B381,60)=PARAM!$B$56)*($B381&gt;(60-PARAM!$B$56))*HLOOKUP(($B381+PARAM!$B$56)/12,Loyalty,2)*$F$1*MAX(BB380,0)</f>
        <v>18.557001321003963</v>
      </c>
      <c r="BA381" s="75">
        <f>PARAM!$C$26+MAX($G$15-CHOOSE(PARAM!$B$44,MAX(0,BB380*$F$1),0),0)*RATES!$L357/12+$H$15*(PARAM!$D$51/12)*RATES!$N357/100</f>
        <v>46.208333333333336</v>
      </c>
      <c r="BB381" s="16">
        <f t="shared" si="253"/>
        <v>-504.60455658016247</v>
      </c>
      <c r="BC381" s="15">
        <f t="shared" si="228"/>
        <v>22.170849845882874</v>
      </c>
      <c r="BD381" s="75">
        <f>BC381*(1-PARAM!$C$27)*$I$16+(MOD($B381,60)=PARAM!$B$56)*($B381&gt;(60-PARAM!$B$56))*HLOOKUP(($B381+PARAM!$B$56)/12,Loyalty,2)*$F$1*MAX(BF380,0)</f>
        <v>18.557001321003963</v>
      </c>
      <c r="BE381" s="75">
        <f>PARAM!$C$26+MAX($G$16-CHOOSE(PARAM!$B$44,MAX(0,BF380*$F$1),0),0)*RATES!$L357/12+$H$16*(PARAM!$D$51/12)*RATES!$N357/100</f>
        <v>46.208333333333336</v>
      </c>
      <c r="BF381" s="16">
        <f t="shared" si="254"/>
        <v>-504.60455658016247</v>
      </c>
      <c r="BG381" s="15">
        <f t="shared" si="229"/>
        <v>22.170849845882874</v>
      </c>
      <c r="BH381" s="75">
        <f>BG381*(1-PARAM!$C$27)*$I$17+(MOD($B381,60)=PARAM!$B$56)*($B381&gt;(60-PARAM!$B$56))*HLOOKUP(($B381+PARAM!$B$56)/12,Loyalty,2)*$F$1*MAX(BJ380,0)</f>
        <v>18.557001321003963</v>
      </c>
      <c r="BI381" s="75">
        <f>PARAM!$C$26+MAX($G$17-CHOOSE(PARAM!$B$44,MAX(0,BJ380*$F$1),0),0)*RATES!$L357/12+$H$17*(PARAM!$D$51/12)*RATES!$N357/100</f>
        <v>46.208333333333336</v>
      </c>
      <c r="BJ381" s="16">
        <f t="shared" si="255"/>
        <v>-504.60455658016247</v>
      </c>
      <c r="BK381" s="15">
        <f t="shared" si="230"/>
        <v>22.170849845882874</v>
      </c>
      <c r="BL381" s="75">
        <f>BK381*(1-PARAM!$C$27)*$I$18+(MOD($B381,60)=PARAM!$B$56)*($B381&gt;(60-PARAM!$B$56))*HLOOKUP(($B381+PARAM!$B$56)/12,Loyalty,2)*$F$1*MAX(BN380,0)</f>
        <v>18.557001321003963</v>
      </c>
      <c r="BM381" s="75">
        <f>PARAM!$C$26+MAX($G$18-CHOOSE(PARAM!$B$44,MAX(0,BN380*$F$1),0),0)*RATES!$L357/12+$H$18*(PARAM!$D$51/12)*RATES!$N357/100</f>
        <v>46.208333333333336</v>
      </c>
      <c r="BN381" s="16">
        <f t="shared" si="256"/>
        <v>-504.60455658016247</v>
      </c>
      <c r="BO381" s="15">
        <f t="shared" si="231"/>
        <v>22.170849845882874</v>
      </c>
      <c r="BP381" s="75">
        <f>BO381*(1-PARAM!$C$27)*$I$19+(MOD($B381,60)=PARAM!$B$56)*($B381&gt;(60-PARAM!$B$56))*HLOOKUP(($B381+PARAM!$B$56)/12,Loyalty,2)*$F$1*MAX(BR380,0)</f>
        <v>18.557001321003963</v>
      </c>
      <c r="BQ381" s="75">
        <f>PARAM!$C$26+MAX($G$19-CHOOSE(PARAM!$B$44,MAX(0,BR380*$F$1),0),0)*RATES!$L357/12+$H$19*(PARAM!$D$51/12)*RATES!$N357/100</f>
        <v>46.208333333333336</v>
      </c>
      <c r="BR381" s="16">
        <f t="shared" si="257"/>
        <v>-504.60455658016247</v>
      </c>
      <c r="BS381" s="15">
        <f t="shared" si="232"/>
        <v>22.170849845882874</v>
      </c>
      <c r="BT381" s="75">
        <f>BS381*(1-PARAM!$C$27)*$I$20+(MOD($B381,60)=PARAM!$B$56)*($B381&gt;(60-PARAM!$B$56))*HLOOKUP(($B381+PARAM!$B$56)/12,Loyalty,2)*$F$1*MAX(BV380,0)</f>
        <v>18.557001321003963</v>
      </c>
      <c r="BU381" s="75">
        <f>PARAM!$C$26+MAX($G$20-CHOOSE(PARAM!$B$44,MAX(0,BV380*$F$1),0),0)*RATES!$L357/12+$H$20*(PARAM!$D$51/12)*RATES!$N357/100</f>
        <v>46.208333333333336</v>
      </c>
      <c r="BV381" s="16">
        <f t="shared" si="258"/>
        <v>-504.60455658016247</v>
      </c>
      <c r="BW381" s="15">
        <f t="shared" si="233"/>
        <v>22.170849845882874</v>
      </c>
      <c r="BX381" s="75">
        <f>BW381*(1-PARAM!$C$27)*$I$21+(MOD($B381,60)=PARAM!$B$56)*($B381&gt;(60-PARAM!$B$56))*HLOOKUP(($B381+PARAM!$B$56)/12,Loyalty,2)*$F$1*MAX(BZ380,0)</f>
        <v>18.557001321003963</v>
      </c>
      <c r="BY381" s="75">
        <f>PARAM!$C$26+MAX($G$21-CHOOSE(PARAM!$B$44,MAX(0,BZ380*$F$1),0),0)*RATES!$L357/12+$H$21*(PARAM!$D$51/12)*RATES!$N357/100</f>
        <v>46.208333333333336</v>
      </c>
      <c r="BZ381" s="16">
        <f t="shared" si="259"/>
        <v>-504.60455658016247</v>
      </c>
      <c r="CA381" s="15">
        <f t="shared" si="234"/>
        <v>22.170849845882874</v>
      </c>
      <c r="CB381" s="75">
        <f>CA381*(1-PARAM!$C$27)*$I$22+(MOD($B381,60)=PARAM!$B$56)*($B381&gt;(60-PARAM!$B$56))*HLOOKUP(($B381+PARAM!$B$56)/12,Loyalty,2)*$F$1*MAX(CD380,0)</f>
        <v>18.557001321003963</v>
      </c>
      <c r="CC381" s="75">
        <f>PARAM!$C$26+MAX($G$22-CHOOSE(PARAM!$B$44,MAX(0,CD380*$F$1),0),0)*RATES!$L357/12+$H$22*(PARAM!$D$51/12)*RATES!$N357/100</f>
        <v>46.208333333333336</v>
      </c>
      <c r="CD381" s="16">
        <f t="shared" si="260"/>
        <v>-504.60455658016247</v>
      </c>
      <c r="CE381" s="33">
        <f>IF(0=MOD(B381,12/PARAM!$D$51),1,0)</f>
        <v>1</v>
      </c>
      <c r="CF381" s="15">
        <f t="shared" si="235"/>
        <v>0</v>
      </c>
      <c r="CG381" s="75">
        <f>CF381*(1-PARAM!$C$27)*$R$3+(MOD($B381/12,5)=0)*($B381&gt;60)*HLOOKUP($B381/12,Loyalty,2)*$F$1*MAX(CI380,0)</f>
        <v>0</v>
      </c>
      <c r="CH381" s="75">
        <f>PARAM!$C$26+MAX($P$3-CHOOSE(PARAM!$B$44,MAX(0,CI380*$F$1),0),0)*RATES!$L357/12+$Q$3*(PARAM!$D$51/12)*RATES!$N357/100</f>
        <v>46.208333333333336</v>
      </c>
      <c r="CI381" s="16">
        <f>IF(CI380&gt;0,CI380*PARAM!$C$53,CI380)+CG381-CH381</f>
        <v>-6954.2083333333221</v>
      </c>
      <c r="CJ381" s="15">
        <f t="shared" si="261"/>
        <v>0</v>
      </c>
      <c r="CK381" s="75">
        <f>CJ381*(1-PARAM!$C$27)*$R$4+(MOD($B381/12,5)=0)*($B381&gt;60)*HLOOKUP($B381/12,Loyalty,2)*$F$1*MAX(CM380,0)</f>
        <v>0</v>
      </c>
      <c r="CL381" s="75">
        <f>PARAM!$C$26+MAX($P$4-CHOOSE(PARAM!$B$44,MAX(0,CM380*$F$1),0),0)*RATES!$L357/12+$Q$4*(PARAM!$D$51/12)*RATES!$N357/100</f>
        <v>46.208333333333336</v>
      </c>
      <c r="CM381" s="16">
        <f>IF(CM380&gt;0,CM380*PARAM!$C$53,CM380)+CK381-CL381</f>
        <v>-6954.2083333333221</v>
      </c>
      <c r="CO381" s="176"/>
    </row>
    <row r="382" spans="1:93" x14ac:dyDescent="0.2">
      <c r="A382" t="b">
        <f t="shared" si="236"/>
        <v>0</v>
      </c>
      <c r="B382" s="33">
        <v>355</v>
      </c>
      <c r="C382" s="15">
        <f t="shared" si="237"/>
        <v>20.081305947392778</v>
      </c>
      <c r="D382" s="75">
        <f>C382*(1-PARAM!$C$27)*$I$3+(MOD($B382,60)=PARAM!$B$56)*($B382&gt;(60-PARAM!$B$56))*HLOOKUP(($B382+PARAM!$B$56)/12,Loyalty,2)*$F$1*MAX(F381,0)</f>
        <v>16.808053077967756</v>
      </c>
      <c r="E382" s="75">
        <f>PARAM!$C$26+MAX($G$3-CHOOSE(PARAM!$B$44,MAX(0,F381*$F$1),0),0)*RATES!$L358/12+$H$3*(PARAM!$D$51/12)*RATES!$N358/100</f>
        <v>46.208333333333336</v>
      </c>
      <c r="F382" s="16">
        <f t="shared" si="238"/>
        <v>-1189.9830153918476</v>
      </c>
      <c r="G382" s="15">
        <f t="shared" si="239"/>
        <v>22.035289406060361</v>
      </c>
      <c r="H382" s="75">
        <f>G382*(1-PARAM!$C$27)*$I$4+(MOD($B382,60)=PARAM!$B$56)*($B382&gt;(60-PARAM!$B$56))*HLOOKUP(($B382+PARAM!$B$56)/12,Loyalty,2)*$F$1*MAX(J381,0)</f>
        <v>18.443537232872522</v>
      </c>
      <c r="I382" s="75">
        <f>PARAM!$C$26+MAX($G$4-CHOOSE(PARAM!$B$44,MAX(0,J381*$F$1),0),0)*RATES!$L358/12+$H$4*(PARAM!$D$51/12)*RATES!$N358/100</f>
        <v>46.208333333333336</v>
      </c>
      <c r="J382" s="16">
        <f t="shared" si="240"/>
        <v>-575.55317627894692</v>
      </c>
      <c r="K382" s="15">
        <f t="shared" si="241"/>
        <v>22.170849845882874</v>
      </c>
      <c r="L382" s="75">
        <f>K382*(1-PARAM!$C$27)*$I$5+(MOD($B382,60)=PARAM!$B$56)*($B382&gt;(60-PARAM!$B$56))*HLOOKUP(($B382+PARAM!$B$56)/12,Loyalty,2)*$F$1*MAX(N381,0)</f>
        <v>18.557001321003963</v>
      </c>
      <c r="M382" s="75">
        <f>PARAM!$C$26+MAX($G$5-CHOOSE(PARAM!$B$44,MAX(0,N381*$F$1),0),0)*RATES!$L358/12+$H$5*(PARAM!$D$51/12)*RATES!$N358/100</f>
        <v>46.208333333333336</v>
      </c>
      <c r="N382" s="16">
        <f t="shared" si="242"/>
        <v>-532.25588859249183</v>
      </c>
      <c r="O382" s="15">
        <f t="shared" si="243"/>
        <v>22.170849845882874</v>
      </c>
      <c r="P382" s="75">
        <f>O382*(1-PARAM!$C$27)*$I$6+(MOD($B382,60)=PARAM!$B$56)*($B382&gt;(60-PARAM!$B$56))*HLOOKUP(($B382+PARAM!$B$56)/12,Loyalty,2)*$F$1*MAX(R381,0)</f>
        <v>18.557001321003963</v>
      </c>
      <c r="Q382" s="75">
        <f>PARAM!$C$26+MAX($G$6-CHOOSE(PARAM!$B$44,MAX(0,R381*$F$1),0),0)*RATES!$L358/12+$H$6*(PARAM!$D$51/12)*RATES!$N358/100</f>
        <v>46.208333333333336</v>
      </c>
      <c r="R382" s="16">
        <f t="shared" si="244"/>
        <v>-532.25588859249183</v>
      </c>
      <c r="S382" s="15">
        <f t="shared" si="219"/>
        <v>22.170849845882874</v>
      </c>
      <c r="T382" s="75">
        <f>S382*(1-PARAM!$C$27)*$I$7+(MOD($B382,60)=PARAM!$B$56)*($B382&gt;(60-PARAM!$B$56))*HLOOKUP(($B382+PARAM!$B$56)/12,Loyalty,2)*$F$1*MAX(V381,0)</f>
        <v>18.557001321003963</v>
      </c>
      <c r="U382" s="75">
        <f>PARAM!$C$26+MAX($G$7-CHOOSE(PARAM!$B$44,MAX(0,V381*$F$1),0),0)*RATES!$L358/12+$H$7*(PARAM!$D$51/12)*RATES!$N358/100</f>
        <v>46.208333333333336</v>
      </c>
      <c r="V382" s="16">
        <f t="shared" si="245"/>
        <v>-532.25588859249183</v>
      </c>
      <c r="W382" s="15">
        <f t="shared" si="220"/>
        <v>22.170849845882874</v>
      </c>
      <c r="X382" s="75">
        <f>W382*(1-PARAM!$C$27)*$I$8+(MOD($B382,60)=PARAM!$B$56)*($B382&gt;(60-PARAM!$B$56))*HLOOKUP(($B382+PARAM!$B$56)/12,Loyalty,2)*$F$1*MAX(Z381,0)</f>
        <v>18.557001321003963</v>
      </c>
      <c r="Y382" s="75">
        <f>PARAM!$C$26+MAX($G$8-CHOOSE(PARAM!$B$44,MAX(0,Z381*$F$1),0),0)*RATES!$L358/12+$H$8*(PARAM!$D$51/12)*RATES!$N358/100</f>
        <v>46.208333333333336</v>
      </c>
      <c r="Z382" s="16">
        <f t="shared" si="246"/>
        <v>-532.25588859249183</v>
      </c>
      <c r="AA382" s="15">
        <f t="shared" si="221"/>
        <v>22.170849845882874</v>
      </c>
      <c r="AB382" s="75">
        <f>AA382*(1-PARAM!$C$27)*$I$9+(MOD($B382,60)=PARAM!$B$56)*($B382&gt;(60-PARAM!$B$56))*HLOOKUP(($B382+PARAM!$B$56)/12,Loyalty,2)*$F$1*MAX(AD381,0)</f>
        <v>18.557001321003963</v>
      </c>
      <c r="AC382" s="75">
        <f>PARAM!$C$26+MAX($G$9-CHOOSE(PARAM!$B$44,MAX(0,AD381*$F$1),0),0)*RATES!$L358/12+$H$9*(PARAM!$D$51/12)*RATES!$N358/100</f>
        <v>46.208333333333336</v>
      </c>
      <c r="AD382" s="16">
        <f t="shared" si="247"/>
        <v>-532.25588859249183</v>
      </c>
      <c r="AE382" s="15">
        <f t="shared" si="222"/>
        <v>22.170849845882874</v>
      </c>
      <c r="AF382" s="75">
        <f>AE382*(1-PARAM!$C$27)*$I$10+(MOD($B382,60)=PARAM!$B$56)*($B382&gt;(60-PARAM!$B$56))*HLOOKUP(($B382+PARAM!$B$56)/12,Loyalty,2)*$F$1*MAX(AH381,0)</f>
        <v>18.557001321003963</v>
      </c>
      <c r="AG382" s="75">
        <f>PARAM!$C$26+MAX($G$10-CHOOSE(PARAM!$B$44,MAX(0,AH381*$F$1),0),0)*RATES!$L358/12+$H$10*(PARAM!$D$51/12)*RATES!$N358/100</f>
        <v>46.208333333333336</v>
      </c>
      <c r="AH382" s="16">
        <f t="shared" si="248"/>
        <v>-532.25588859249183</v>
      </c>
      <c r="AI382" s="15">
        <f t="shared" si="223"/>
        <v>22.170849845882874</v>
      </c>
      <c r="AJ382" s="75">
        <f>AI382*(1-PARAM!$C$27)*$I$11+(MOD($B382,60)=PARAM!$B$56)*($B382&gt;(60-PARAM!$B$56))*HLOOKUP(($B382+PARAM!$B$56)/12,Loyalty,2)*$F$1*MAX(AL381,0)</f>
        <v>18.557001321003963</v>
      </c>
      <c r="AK382" s="75">
        <f>PARAM!$C$26+MAX($G$11-CHOOSE(PARAM!$B$44,MAX(0,AL381*$F$1),0),0)*RATES!$L358/12+$H$11*(PARAM!$D$51/12)*RATES!$N358/100</f>
        <v>46.208333333333336</v>
      </c>
      <c r="AL382" s="16">
        <f t="shared" si="249"/>
        <v>-532.25588859249183</v>
      </c>
      <c r="AM382" s="15">
        <f t="shared" si="224"/>
        <v>22.170849845882874</v>
      </c>
      <c r="AN382" s="75">
        <f>AM382*(1-PARAM!$C$27)*$I$12+(MOD($B382,60)=PARAM!$B$56)*($B382&gt;(60-PARAM!$B$56))*HLOOKUP(($B382+PARAM!$B$56)/12,Loyalty,2)*$F$1*MAX(AP381,0)</f>
        <v>18.557001321003963</v>
      </c>
      <c r="AO382" s="75">
        <f>PARAM!$C$26+MAX($G$12-CHOOSE(PARAM!$B$44,MAX(0,AP381*$F$1),0),0)*RATES!$L358/12+$H$12*(PARAM!$D$51/12)*RATES!$N358/100</f>
        <v>46.208333333333336</v>
      </c>
      <c r="AP382" s="16">
        <f t="shared" si="250"/>
        <v>-532.25588859249183</v>
      </c>
      <c r="AQ382" s="15">
        <f t="shared" si="225"/>
        <v>22.170849845882874</v>
      </c>
      <c r="AR382" s="75">
        <f>AQ382*(1-PARAM!$C$27)*$I$13+(MOD($B382,60)=PARAM!$B$56)*($B382&gt;(60-PARAM!$B$56))*HLOOKUP(($B382+PARAM!$B$56)/12,Loyalty,2)*$F$1*MAX(AT381,0)</f>
        <v>18.557001321003963</v>
      </c>
      <c r="AS382" s="75">
        <f>PARAM!$C$26+MAX($G$13-CHOOSE(PARAM!$B$44,MAX(0,AT381*$F$1),0),0)*RATES!$L358/12+$H$13*(PARAM!$D$51/12)*RATES!$N358/100</f>
        <v>46.208333333333336</v>
      </c>
      <c r="AT382" s="16">
        <f t="shared" si="251"/>
        <v>-532.25588859249183</v>
      </c>
      <c r="AU382" s="15">
        <f t="shared" si="226"/>
        <v>22.170849845882874</v>
      </c>
      <c r="AV382" s="75">
        <f>AU382*(1-PARAM!$C$27)*$I$14+(MOD($B382,60)=PARAM!$B$56)*($B382&gt;(60-PARAM!$B$56))*HLOOKUP(($B382+PARAM!$B$56)/12,Loyalty,2)*$F$1*MAX(AX381,0)</f>
        <v>18.557001321003963</v>
      </c>
      <c r="AW382" s="75">
        <f>PARAM!$C$26+MAX($G$14-CHOOSE(PARAM!$B$44,MAX(0,AX381*$F$1),0),0)*RATES!$L358/12+$H$14*(PARAM!$D$51/12)*RATES!$N358/100</f>
        <v>46.208333333333336</v>
      </c>
      <c r="AX382" s="16">
        <f t="shared" si="252"/>
        <v>-532.25588859249183</v>
      </c>
      <c r="AY382" s="15">
        <f t="shared" si="227"/>
        <v>22.170849845882874</v>
      </c>
      <c r="AZ382" s="75">
        <f>AY382*(1-PARAM!$C$27)*$I$15+(MOD($B382,60)=PARAM!$B$56)*($B382&gt;(60-PARAM!$B$56))*HLOOKUP(($B382+PARAM!$B$56)/12,Loyalty,2)*$F$1*MAX(BB381,0)</f>
        <v>18.557001321003963</v>
      </c>
      <c r="BA382" s="75">
        <f>PARAM!$C$26+MAX($G$15-CHOOSE(PARAM!$B$44,MAX(0,BB381*$F$1),0),0)*RATES!$L358/12+$H$15*(PARAM!$D$51/12)*RATES!$N358/100</f>
        <v>46.208333333333336</v>
      </c>
      <c r="BB382" s="16">
        <f t="shared" si="253"/>
        <v>-532.25588859249183</v>
      </c>
      <c r="BC382" s="15">
        <f t="shared" si="228"/>
        <v>22.170849845882874</v>
      </c>
      <c r="BD382" s="75">
        <f>BC382*(1-PARAM!$C$27)*$I$16+(MOD($B382,60)=PARAM!$B$56)*($B382&gt;(60-PARAM!$B$56))*HLOOKUP(($B382+PARAM!$B$56)/12,Loyalty,2)*$F$1*MAX(BF381,0)</f>
        <v>18.557001321003963</v>
      </c>
      <c r="BE382" s="75">
        <f>PARAM!$C$26+MAX($G$16-CHOOSE(PARAM!$B$44,MAX(0,BF381*$F$1),0),0)*RATES!$L358/12+$H$16*(PARAM!$D$51/12)*RATES!$N358/100</f>
        <v>46.208333333333336</v>
      </c>
      <c r="BF382" s="16">
        <f t="shared" si="254"/>
        <v>-532.25588859249183</v>
      </c>
      <c r="BG382" s="15">
        <f t="shared" si="229"/>
        <v>22.170849845882874</v>
      </c>
      <c r="BH382" s="75">
        <f>BG382*(1-PARAM!$C$27)*$I$17+(MOD($B382,60)=PARAM!$B$56)*($B382&gt;(60-PARAM!$B$56))*HLOOKUP(($B382+PARAM!$B$56)/12,Loyalty,2)*$F$1*MAX(BJ381,0)</f>
        <v>18.557001321003963</v>
      </c>
      <c r="BI382" s="75">
        <f>PARAM!$C$26+MAX($G$17-CHOOSE(PARAM!$B$44,MAX(0,BJ381*$F$1),0),0)*RATES!$L358/12+$H$17*(PARAM!$D$51/12)*RATES!$N358/100</f>
        <v>46.208333333333336</v>
      </c>
      <c r="BJ382" s="16">
        <f t="shared" si="255"/>
        <v>-532.25588859249183</v>
      </c>
      <c r="BK382" s="15">
        <f t="shared" si="230"/>
        <v>22.170849845882874</v>
      </c>
      <c r="BL382" s="75">
        <f>BK382*(1-PARAM!$C$27)*$I$18+(MOD($B382,60)=PARAM!$B$56)*($B382&gt;(60-PARAM!$B$56))*HLOOKUP(($B382+PARAM!$B$56)/12,Loyalty,2)*$F$1*MAX(BN381,0)</f>
        <v>18.557001321003963</v>
      </c>
      <c r="BM382" s="75">
        <f>PARAM!$C$26+MAX($G$18-CHOOSE(PARAM!$B$44,MAX(0,BN381*$F$1),0),0)*RATES!$L358/12+$H$18*(PARAM!$D$51/12)*RATES!$N358/100</f>
        <v>46.208333333333336</v>
      </c>
      <c r="BN382" s="16">
        <f t="shared" si="256"/>
        <v>-532.25588859249183</v>
      </c>
      <c r="BO382" s="15">
        <f t="shared" si="231"/>
        <v>22.170849845882874</v>
      </c>
      <c r="BP382" s="75">
        <f>BO382*(1-PARAM!$C$27)*$I$19+(MOD($B382,60)=PARAM!$B$56)*($B382&gt;(60-PARAM!$B$56))*HLOOKUP(($B382+PARAM!$B$56)/12,Loyalty,2)*$F$1*MAX(BR381,0)</f>
        <v>18.557001321003963</v>
      </c>
      <c r="BQ382" s="75">
        <f>PARAM!$C$26+MAX($G$19-CHOOSE(PARAM!$B$44,MAX(0,BR381*$F$1),0),0)*RATES!$L358/12+$H$19*(PARAM!$D$51/12)*RATES!$N358/100</f>
        <v>46.208333333333336</v>
      </c>
      <c r="BR382" s="16">
        <f t="shared" si="257"/>
        <v>-532.25588859249183</v>
      </c>
      <c r="BS382" s="15">
        <f t="shared" si="232"/>
        <v>22.170849845882874</v>
      </c>
      <c r="BT382" s="75">
        <f>BS382*(1-PARAM!$C$27)*$I$20+(MOD($B382,60)=PARAM!$B$56)*($B382&gt;(60-PARAM!$B$56))*HLOOKUP(($B382+PARAM!$B$56)/12,Loyalty,2)*$F$1*MAX(BV381,0)</f>
        <v>18.557001321003963</v>
      </c>
      <c r="BU382" s="75">
        <f>PARAM!$C$26+MAX($G$20-CHOOSE(PARAM!$B$44,MAX(0,BV381*$F$1),0),0)*RATES!$L358/12+$H$20*(PARAM!$D$51/12)*RATES!$N358/100</f>
        <v>46.208333333333336</v>
      </c>
      <c r="BV382" s="16">
        <f t="shared" si="258"/>
        <v>-532.25588859249183</v>
      </c>
      <c r="BW382" s="15">
        <f t="shared" si="233"/>
        <v>22.170849845882874</v>
      </c>
      <c r="BX382" s="75">
        <f>BW382*(1-PARAM!$C$27)*$I$21+(MOD($B382,60)=PARAM!$B$56)*($B382&gt;(60-PARAM!$B$56))*HLOOKUP(($B382+PARAM!$B$56)/12,Loyalty,2)*$F$1*MAX(BZ381,0)</f>
        <v>18.557001321003963</v>
      </c>
      <c r="BY382" s="75">
        <f>PARAM!$C$26+MAX($G$21-CHOOSE(PARAM!$B$44,MAX(0,BZ381*$F$1),0),0)*RATES!$L358/12+$H$21*(PARAM!$D$51/12)*RATES!$N358/100</f>
        <v>46.208333333333336</v>
      </c>
      <c r="BZ382" s="16">
        <f t="shared" si="259"/>
        <v>-532.25588859249183</v>
      </c>
      <c r="CA382" s="15">
        <f t="shared" si="234"/>
        <v>22.170849845882874</v>
      </c>
      <c r="CB382" s="75">
        <f>CA382*(1-PARAM!$C$27)*$I$22+(MOD($B382,60)=PARAM!$B$56)*($B382&gt;(60-PARAM!$B$56))*HLOOKUP(($B382+PARAM!$B$56)/12,Loyalty,2)*$F$1*MAX(CD381,0)</f>
        <v>18.557001321003963</v>
      </c>
      <c r="CC382" s="75">
        <f>PARAM!$C$26+MAX($G$22-CHOOSE(PARAM!$B$44,MAX(0,CD381*$F$1),0),0)*RATES!$L358/12+$H$22*(PARAM!$D$51/12)*RATES!$N358/100</f>
        <v>46.208333333333336</v>
      </c>
      <c r="CD382" s="16">
        <f t="shared" si="260"/>
        <v>-532.25588859249183</v>
      </c>
      <c r="CE382" s="33">
        <f>IF(0=MOD(B382,12/PARAM!$D$51),1,0)</f>
        <v>1</v>
      </c>
      <c r="CF382" s="15">
        <f t="shared" si="235"/>
        <v>0</v>
      </c>
      <c r="CG382" s="75">
        <f>CF382*(1-PARAM!$C$27)*$R$3+(MOD($B382/12,5)=0)*($B382&gt;60)*HLOOKUP($B382/12,Loyalty,2)*$F$1*MAX(CI381,0)</f>
        <v>0</v>
      </c>
      <c r="CH382" s="75">
        <f>PARAM!$C$26+MAX($P$3-CHOOSE(PARAM!$B$44,MAX(0,CI381*$F$1),0),0)*RATES!$L358/12+$Q$3*(PARAM!$D$51/12)*RATES!$N358/100</f>
        <v>46.208333333333336</v>
      </c>
      <c r="CI382" s="16">
        <f>IF(CI381&gt;0,CI381*PARAM!$C$53,CI381)+CG382-CH382</f>
        <v>-7000.4166666666551</v>
      </c>
      <c r="CJ382" s="15">
        <f t="shared" si="261"/>
        <v>0</v>
      </c>
      <c r="CK382" s="75">
        <f>CJ382*(1-PARAM!$C$27)*$R$4+(MOD($B382/12,5)=0)*($B382&gt;60)*HLOOKUP($B382/12,Loyalty,2)*$F$1*MAX(CM381,0)</f>
        <v>0</v>
      </c>
      <c r="CL382" s="75">
        <f>PARAM!$C$26+MAX($P$4-CHOOSE(PARAM!$B$44,MAX(0,CM381*$F$1),0),0)*RATES!$L358/12+$Q$4*(PARAM!$D$51/12)*RATES!$N358/100</f>
        <v>46.208333333333336</v>
      </c>
      <c r="CM382" s="16">
        <f>IF(CM381&gt;0,CM381*PARAM!$C$53,CM381)+CK382-CL382</f>
        <v>-7000.4166666666551</v>
      </c>
      <c r="CO382" s="176"/>
    </row>
    <row r="383" spans="1:93" x14ac:dyDescent="0.2">
      <c r="A383" t="b">
        <f t="shared" si="236"/>
        <v>0</v>
      </c>
      <c r="B383" s="33">
        <v>356</v>
      </c>
      <c r="C383" s="15">
        <f t="shared" si="237"/>
        <v>20.081305947392778</v>
      </c>
      <c r="D383" s="75">
        <f>C383*(1-PARAM!$C$27)*$I$3+(MOD($B383,60)=PARAM!$B$56)*($B383&gt;(60-PARAM!$B$56))*HLOOKUP(($B383+PARAM!$B$56)/12,Loyalty,2)*$F$1*MAX(F382,0)</f>
        <v>16.808053077967756</v>
      </c>
      <c r="E383" s="75">
        <f>PARAM!$C$26+MAX($G$3-CHOOSE(PARAM!$B$44,MAX(0,F382*$F$1),0),0)*RATES!$L359/12+$H$3*(PARAM!$D$51/12)*RATES!$N359/100</f>
        <v>46.208333333333336</v>
      </c>
      <c r="F383" s="16">
        <f t="shared" si="238"/>
        <v>-1219.3832956472131</v>
      </c>
      <c r="G383" s="15">
        <f t="shared" si="239"/>
        <v>22.035289406060361</v>
      </c>
      <c r="H383" s="75">
        <f>G383*(1-PARAM!$C$27)*$I$4+(MOD($B383,60)=PARAM!$B$56)*($B383&gt;(60-PARAM!$B$56))*HLOOKUP(($B383+PARAM!$B$56)/12,Loyalty,2)*$F$1*MAX(J382,0)</f>
        <v>18.443537232872522</v>
      </c>
      <c r="I383" s="75">
        <f>PARAM!$C$26+MAX($G$4-CHOOSE(PARAM!$B$44,MAX(0,J382*$F$1),0),0)*RATES!$L359/12+$H$4*(PARAM!$D$51/12)*RATES!$N359/100</f>
        <v>46.208333333333336</v>
      </c>
      <c r="J383" s="16">
        <f t="shared" si="240"/>
        <v>-603.31797237940782</v>
      </c>
      <c r="K383" s="15">
        <f t="shared" si="241"/>
        <v>22.170849845882874</v>
      </c>
      <c r="L383" s="75">
        <f>K383*(1-PARAM!$C$27)*$I$5+(MOD($B383,60)=PARAM!$B$56)*($B383&gt;(60-PARAM!$B$56))*HLOOKUP(($B383+PARAM!$B$56)/12,Loyalty,2)*$F$1*MAX(N382,0)</f>
        <v>18.557001321003963</v>
      </c>
      <c r="M383" s="75">
        <f>PARAM!$C$26+MAX($G$5-CHOOSE(PARAM!$B$44,MAX(0,N382*$F$1),0),0)*RATES!$L359/12+$H$5*(PARAM!$D$51/12)*RATES!$N359/100</f>
        <v>46.208333333333336</v>
      </c>
      <c r="N383" s="16">
        <f t="shared" si="242"/>
        <v>-559.90722060482119</v>
      </c>
      <c r="O383" s="15">
        <f t="shared" si="243"/>
        <v>22.170849845882874</v>
      </c>
      <c r="P383" s="75">
        <f>O383*(1-PARAM!$C$27)*$I$6+(MOD($B383,60)=PARAM!$B$56)*($B383&gt;(60-PARAM!$B$56))*HLOOKUP(($B383+PARAM!$B$56)/12,Loyalty,2)*$F$1*MAX(R382,0)</f>
        <v>18.557001321003963</v>
      </c>
      <c r="Q383" s="75">
        <f>PARAM!$C$26+MAX($G$6-CHOOSE(PARAM!$B$44,MAX(0,R382*$F$1),0),0)*RATES!$L359/12+$H$6*(PARAM!$D$51/12)*RATES!$N359/100</f>
        <v>46.208333333333336</v>
      </c>
      <c r="R383" s="16">
        <f t="shared" si="244"/>
        <v>-559.90722060482119</v>
      </c>
      <c r="S383" s="15">
        <f t="shared" si="219"/>
        <v>22.170849845882874</v>
      </c>
      <c r="T383" s="75">
        <f>S383*(1-PARAM!$C$27)*$I$7+(MOD($B383,60)=PARAM!$B$56)*($B383&gt;(60-PARAM!$B$56))*HLOOKUP(($B383+PARAM!$B$56)/12,Loyalty,2)*$F$1*MAX(V382,0)</f>
        <v>18.557001321003963</v>
      </c>
      <c r="U383" s="75">
        <f>PARAM!$C$26+MAX($G$7-CHOOSE(PARAM!$B$44,MAX(0,V382*$F$1),0),0)*RATES!$L359/12+$H$7*(PARAM!$D$51/12)*RATES!$N359/100</f>
        <v>46.208333333333336</v>
      </c>
      <c r="V383" s="16">
        <f t="shared" si="245"/>
        <v>-559.90722060482119</v>
      </c>
      <c r="W383" s="15">
        <f t="shared" si="220"/>
        <v>22.170849845882874</v>
      </c>
      <c r="X383" s="75">
        <f>W383*(1-PARAM!$C$27)*$I$8+(MOD($B383,60)=PARAM!$B$56)*($B383&gt;(60-PARAM!$B$56))*HLOOKUP(($B383+PARAM!$B$56)/12,Loyalty,2)*$F$1*MAX(Z382,0)</f>
        <v>18.557001321003963</v>
      </c>
      <c r="Y383" s="75">
        <f>PARAM!$C$26+MAX($G$8-CHOOSE(PARAM!$B$44,MAX(0,Z382*$F$1),0),0)*RATES!$L359/12+$H$8*(PARAM!$D$51/12)*RATES!$N359/100</f>
        <v>46.208333333333336</v>
      </c>
      <c r="Z383" s="16">
        <f t="shared" si="246"/>
        <v>-559.90722060482119</v>
      </c>
      <c r="AA383" s="15">
        <f t="shared" si="221"/>
        <v>22.170849845882874</v>
      </c>
      <c r="AB383" s="75">
        <f>AA383*(1-PARAM!$C$27)*$I$9+(MOD($B383,60)=PARAM!$B$56)*($B383&gt;(60-PARAM!$B$56))*HLOOKUP(($B383+PARAM!$B$56)/12,Loyalty,2)*$F$1*MAX(AD382,0)</f>
        <v>18.557001321003963</v>
      </c>
      <c r="AC383" s="75">
        <f>PARAM!$C$26+MAX($G$9-CHOOSE(PARAM!$B$44,MAX(0,AD382*$F$1),0),0)*RATES!$L359/12+$H$9*(PARAM!$D$51/12)*RATES!$N359/100</f>
        <v>46.208333333333336</v>
      </c>
      <c r="AD383" s="16">
        <f t="shared" si="247"/>
        <v>-559.90722060482119</v>
      </c>
      <c r="AE383" s="15">
        <f t="shared" si="222"/>
        <v>22.170849845882874</v>
      </c>
      <c r="AF383" s="75">
        <f>AE383*(1-PARAM!$C$27)*$I$10+(MOD($B383,60)=PARAM!$B$56)*($B383&gt;(60-PARAM!$B$56))*HLOOKUP(($B383+PARAM!$B$56)/12,Loyalty,2)*$F$1*MAX(AH382,0)</f>
        <v>18.557001321003963</v>
      </c>
      <c r="AG383" s="75">
        <f>PARAM!$C$26+MAX($G$10-CHOOSE(PARAM!$B$44,MAX(0,AH382*$F$1),0),0)*RATES!$L359/12+$H$10*(PARAM!$D$51/12)*RATES!$N359/100</f>
        <v>46.208333333333336</v>
      </c>
      <c r="AH383" s="16">
        <f t="shared" si="248"/>
        <v>-559.90722060482119</v>
      </c>
      <c r="AI383" s="15">
        <f t="shared" si="223"/>
        <v>22.170849845882874</v>
      </c>
      <c r="AJ383" s="75">
        <f>AI383*(1-PARAM!$C$27)*$I$11+(MOD($B383,60)=PARAM!$B$56)*($B383&gt;(60-PARAM!$B$56))*HLOOKUP(($B383+PARAM!$B$56)/12,Loyalty,2)*$F$1*MAX(AL382,0)</f>
        <v>18.557001321003963</v>
      </c>
      <c r="AK383" s="75">
        <f>PARAM!$C$26+MAX($G$11-CHOOSE(PARAM!$B$44,MAX(0,AL382*$F$1),0),0)*RATES!$L359/12+$H$11*(PARAM!$D$51/12)*RATES!$N359/100</f>
        <v>46.208333333333336</v>
      </c>
      <c r="AL383" s="16">
        <f t="shared" si="249"/>
        <v>-559.90722060482119</v>
      </c>
      <c r="AM383" s="15">
        <f t="shared" si="224"/>
        <v>22.170849845882874</v>
      </c>
      <c r="AN383" s="75">
        <f>AM383*(1-PARAM!$C$27)*$I$12+(MOD($B383,60)=PARAM!$B$56)*($B383&gt;(60-PARAM!$B$56))*HLOOKUP(($B383+PARAM!$B$56)/12,Loyalty,2)*$F$1*MAX(AP382,0)</f>
        <v>18.557001321003963</v>
      </c>
      <c r="AO383" s="75">
        <f>PARAM!$C$26+MAX($G$12-CHOOSE(PARAM!$B$44,MAX(0,AP382*$F$1),0),0)*RATES!$L359/12+$H$12*(PARAM!$D$51/12)*RATES!$N359/100</f>
        <v>46.208333333333336</v>
      </c>
      <c r="AP383" s="16">
        <f t="shared" si="250"/>
        <v>-559.90722060482119</v>
      </c>
      <c r="AQ383" s="15">
        <f t="shared" si="225"/>
        <v>22.170849845882874</v>
      </c>
      <c r="AR383" s="75">
        <f>AQ383*(1-PARAM!$C$27)*$I$13+(MOD($B383,60)=PARAM!$B$56)*($B383&gt;(60-PARAM!$B$56))*HLOOKUP(($B383+PARAM!$B$56)/12,Loyalty,2)*$F$1*MAX(AT382,0)</f>
        <v>18.557001321003963</v>
      </c>
      <c r="AS383" s="75">
        <f>PARAM!$C$26+MAX($G$13-CHOOSE(PARAM!$B$44,MAX(0,AT382*$F$1),0),0)*RATES!$L359/12+$H$13*(PARAM!$D$51/12)*RATES!$N359/100</f>
        <v>46.208333333333336</v>
      </c>
      <c r="AT383" s="16">
        <f t="shared" si="251"/>
        <v>-559.90722060482119</v>
      </c>
      <c r="AU383" s="15">
        <f t="shared" si="226"/>
        <v>22.170849845882874</v>
      </c>
      <c r="AV383" s="75">
        <f>AU383*(1-PARAM!$C$27)*$I$14+(MOD($B383,60)=PARAM!$B$56)*($B383&gt;(60-PARAM!$B$56))*HLOOKUP(($B383+PARAM!$B$56)/12,Loyalty,2)*$F$1*MAX(AX382,0)</f>
        <v>18.557001321003963</v>
      </c>
      <c r="AW383" s="75">
        <f>PARAM!$C$26+MAX($G$14-CHOOSE(PARAM!$B$44,MAX(0,AX382*$F$1),0),0)*RATES!$L359/12+$H$14*(PARAM!$D$51/12)*RATES!$N359/100</f>
        <v>46.208333333333336</v>
      </c>
      <c r="AX383" s="16">
        <f t="shared" si="252"/>
        <v>-559.90722060482119</v>
      </c>
      <c r="AY383" s="15">
        <f t="shared" si="227"/>
        <v>22.170849845882874</v>
      </c>
      <c r="AZ383" s="75">
        <f>AY383*(1-PARAM!$C$27)*$I$15+(MOD($B383,60)=PARAM!$B$56)*($B383&gt;(60-PARAM!$B$56))*HLOOKUP(($B383+PARAM!$B$56)/12,Loyalty,2)*$F$1*MAX(BB382,0)</f>
        <v>18.557001321003963</v>
      </c>
      <c r="BA383" s="75">
        <f>PARAM!$C$26+MAX($G$15-CHOOSE(PARAM!$B$44,MAX(0,BB382*$F$1),0),0)*RATES!$L359/12+$H$15*(PARAM!$D$51/12)*RATES!$N359/100</f>
        <v>46.208333333333336</v>
      </c>
      <c r="BB383" s="16">
        <f t="shared" si="253"/>
        <v>-559.90722060482119</v>
      </c>
      <c r="BC383" s="15">
        <f t="shared" si="228"/>
        <v>22.170849845882874</v>
      </c>
      <c r="BD383" s="75">
        <f>BC383*(1-PARAM!$C$27)*$I$16+(MOD($B383,60)=PARAM!$B$56)*($B383&gt;(60-PARAM!$B$56))*HLOOKUP(($B383+PARAM!$B$56)/12,Loyalty,2)*$F$1*MAX(BF382,0)</f>
        <v>18.557001321003963</v>
      </c>
      <c r="BE383" s="75">
        <f>PARAM!$C$26+MAX($G$16-CHOOSE(PARAM!$B$44,MAX(0,BF382*$F$1),0),0)*RATES!$L359/12+$H$16*(PARAM!$D$51/12)*RATES!$N359/100</f>
        <v>46.208333333333336</v>
      </c>
      <c r="BF383" s="16">
        <f t="shared" si="254"/>
        <v>-559.90722060482119</v>
      </c>
      <c r="BG383" s="15">
        <f t="shared" si="229"/>
        <v>22.170849845882874</v>
      </c>
      <c r="BH383" s="75">
        <f>BG383*(1-PARAM!$C$27)*$I$17+(MOD($B383,60)=PARAM!$B$56)*($B383&gt;(60-PARAM!$B$56))*HLOOKUP(($B383+PARAM!$B$56)/12,Loyalty,2)*$F$1*MAX(BJ382,0)</f>
        <v>18.557001321003963</v>
      </c>
      <c r="BI383" s="75">
        <f>PARAM!$C$26+MAX($G$17-CHOOSE(PARAM!$B$44,MAX(0,BJ382*$F$1),0),0)*RATES!$L359/12+$H$17*(PARAM!$D$51/12)*RATES!$N359/100</f>
        <v>46.208333333333336</v>
      </c>
      <c r="BJ383" s="16">
        <f t="shared" si="255"/>
        <v>-559.90722060482119</v>
      </c>
      <c r="BK383" s="15">
        <f t="shared" si="230"/>
        <v>22.170849845882874</v>
      </c>
      <c r="BL383" s="75">
        <f>BK383*(1-PARAM!$C$27)*$I$18+(MOD($B383,60)=PARAM!$B$56)*($B383&gt;(60-PARAM!$B$56))*HLOOKUP(($B383+PARAM!$B$56)/12,Loyalty,2)*$F$1*MAX(BN382,0)</f>
        <v>18.557001321003963</v>
      </c>
      <c r="BM383" s="75">
        <f>PARAM!$C$26+MAX($G$18-CHOOSE(PARAM!$B$44,MAX(0,BN382*$F$1),0),0)*RATES!$L359/12+$H$18*(PARAM!$D$51/12)*RATES!$N359/100</f>
        <v>46.208333333333336</v>
      </c>
      <c r="BN383" s="16">
        <f t="shared" si="256"/>
        <v>-559.90722060482119</v>
      </c>
      <c r="BO383" s="15">
        <f t="shared" si="231"/>
        <v>22.170849845882874</v>
      </c>
      <c r="BP383" s="75">
        <f>BO383*(1-PARAM!$C$27)*$I$19+(MOD($B383,60)=PARAM!$B$56)*($B383&gt;(60-PARAM!$B$56))*HLOOKUP(($B383+PARAM!$B$56)/12,Loyalty,2)*$F$1*MAX(BR382,0)</f>
        <v>18.557001321003963</v>
      </c>
      <c r="BQ383" s="75">
        <f>PARAM!$C$26+MAX($G$19-CHOOSE(PARAM!$B$44,MAX(0,BR382*$F$1),0),0)*RATES!$L359/12+$H$19*(PARAM!$D$51/12)*RATES!$N359/100</f>
        <v>46.208333333333336</v>
      </c>
      <c r="BR383" s="16">
        <f t="shared" si="257"/>
        <v>-559.90722060482119</v>
      </c>
      <c r="BS383" s="15">
        <f t="shared" si="232"/>
        <v>22.170849845882874</v>
      </c>
      <c r="BT383" s="75">
        <f>BS383*(1-PARAM!$C$27)*$I$20+(MOD($B383,60)=PARAM!$B$56)*($B383&gt;(60-PARAM!$B$56))*HLOOKUP(($B383+PARAM!$B$56)/12,Loyalty,2)*$F$1*MAX(BV382,0)</f>
        <v>18.557001321003963</v>
      </c>
      <c r="BU383" s="75">
        <f>PARAM!$C$26+MAX($G$20-CHOOSE(PARAM!$B$44,MAX(0,BV382*$F$1),0),0)*RATES!$L359/12+$H$20*(PARAM!$D$51/12)*RATES!$N359/100</f>
        <v>46.208333333333336</v>
      </c>
      <c r="BV383" s="16">
        <f t="shared" si="258"/>
        <v>-559.90722060482119</v>
      </c>
      <c r="BW383" s="15">
        <f t="shared" si="233"/>
        <v>22.170849845882874</v>
      </c>
      <c r="BX383" s="75">
        <f>BW383*(1-PARAM!$C$27)*$I$21+(MOD($B383,60)=PARAM!$B$56)*($B383&gt;(60-PARAM!$B$56))*HLOOKUP(($B383+PARAM!$B$56)/12,Loyalty,2)*$F$1*MAX(BZ382,0)</f>
        <v>18.557001321003963</v>
      </c>
      <c r="BY383" s="75">
        <f>PARAM!$C$26+MAX($G$21-CHOOSE(PARAM!$B$44,MAX(0,BZ382*$F$1),0),0)*RATES!$L359/12+$H$21*(PARAM!$D$51/12)*RATES!$N359/100</f>
        <v>46.208333333333336</v>
      </c>
      <c r="BZ383" s="16">
        <f t="shared" si="259"/>
        <v>-559.90722060482119</v>
      </c>
      <c r="CA383" s="15">
        <f t="shared" si="234"/>
        <v>22.170849845882874</v>
      </c>
      <c r="CB383" s="75">
        <f>CA383*(1-PARAM!$C$27)*$I$22+(MOD($B383,60)=PARAM!$B$56)*($B383&gt;(60-PARAM!$B$56))*HLOOKUP(($B383+PARAM!$B$56)/12,Loyalty,2)*$F$1*MAX(CD382,0)</f>
        <v>18.557001321003963</v>
      </c>
      <c r="CC383" s="75">
        <f>PARAM!$C$26+MAX($G$22-CHOOSE(PARAM!$B$44,MAX(0,CD382*$F$1),0),0)*RATES!$L359/12+$H$22*(PARAM!$D$51/12)*RATES!$N359/100</f>
        <v>46.208333333333336</v>
      </c>
      <c r="CD383" s="16">
        <f t="shared" si="260"/>
        <v>-559.90722060482119</v>
      </c>
      <c r="CE383" s="33">
        <f>IF(0=MOD(B383,12/PARAM!$D$51),1,0)</f>
        <v>1</v>
      </c>
      <c r="CF383" s="15">
        <f t="shared" si="235"/>
        <v>0</v>
      </c>
      <c r="CG383" s="75">
        <f>CF383*(1-PARAM!$C$27)*$R$3+(MOD($B383/12,5)=0)*($B383&gt;60)*HLOOKUP($B383/12,Loyalty,2)*$F$1*MAX(CI382,0)</f>
        <v>0</v>
      </c>
      <c r="CH383" s="75">
        <f>PARAM!$C$26+MAX($P$3-CHOOSE(PARAM!$B$44,MAX(0,CI382*$F$1),0),0)*RATES!$L359/12+$Q$3*(PARAM!$D$51/12)*RATES!$N359/100</f>
        <v>46.208333333333336</v>
      </c>
      <c r="CI383" s="16">
        <f>IF(CI382&gt;0,CI382*PARAM!$C$53,CI382)+CG383-CH383</f>
        <v>-7046.6249999999882</v>
      </c>
      <c r="CJ383" s="15">
        <f t="shared" si="261"/>
        <v>0</v>
      </c>
      <c r="CK383" s="75">
        <f>CJ383*(1-PARAM!$C$27)*$R$4+(MOD($B383/12,5)=0)*($B383&gt;60)*HLOOKUP($B383/12,Loyalty,2)*$F$1*MAX(CM382,0)</f>
        <v>0</v>
      </c>
      <c r="CL383" s="75">
        <f>PARAM!$C$26+MAX($P$4-CHOOSE(PARAM!$B$44,MAX(0,CM382*$F$1),0),0)*RATES!$L359/12+$Q$4*(PARAM!$D$51/12)*RATES!$N359/100</f>
        <v>46.208333333333336</v>
      </c>
      <c r="CM383" s="16">
        <f>IF(CM382&gt;0,CM382*PARAM!$C$53,CM382)+CK383-CL383</f>
        <v>-7046.6249999999882</v>
      </c>
      <c r="CO383" s="176"/>
    </row>
    <row r="384" spans="1:93" x14ac:dyDescent="0.2">
      <c r="A384" t="b">
        <f t="shared" si="236"/>
        <v>0</v>
      </c>
      <c r="B384" s="33">
        <v>357</v>
      </c>
      <c r="C384" s="15">
        <f t="shared" si="237"/>
        <v>20.081305947392778</v>
      </c>
      <c r="D384" s="75">
        <f>C384*(1-PARAM!$C$27)*$I$3+(MOD($B384,60)=PARAM!$B$56)*($B384&gt;(60-PARAM!$B$56))*HLOOKUP(($B384+PARAM!$B$56)/12,Loyalty,2)*$F$1*MAX(F383,0)</f>
        <v>16.808053077967756</v>
      </c>
      <c r="E384" s="75">
        <f>PARAM!$C$26+MAX($G$3-CHOOSE(PARAM!$B$44,MAX(0,F383*$F$1),0),0)*RATES!$L360/12+$H$3*(PARAM!$D$51/12)*RATES!$N360/100</f>
        <v>46.208333333333336</v>
      </c>
      <c r="F384" s="16">
        <f t="shared" si="238"/>
        <v>-1248.7835759025786</v>
      </c>
      <c r="G384" s="15">
        <f t="shared" si="239"/>
        <v>22.035289406060361</v>
      </c>
      <c r="H384" s="75">
        <f>G384*(1-PARAM!$C$27)*$I$4+(MOD($B384,60)=PARAM!$B$56)*($B384&gt;(60-PARAM!$B$56))*HLOOKUP(($B384+PARAM!$B$56)/12,Loyalty,2)*$F$1*MAX(J383,0)</f>
        <v>18.443537232872522</v>
      </c>
      <c r="I384" s="75">
        <f>PARAM!$C$26+MAX($G$4-CHOOSE(PARAM!$B$44,MAX(0,J383*$F$1),0),0)*RATES!$L360/12+$H$4*(PARAM!$D$51/12)*RATES!$N360/100</f>
        <v>46.208333333333336</v>
      </c>
      <c r="J384" s="16">
        <f t="shared" si="240"/>
        <v>-631.08276847986872</v>
      </c>
      <c r="K384" s="15">
        <f t="shared" si="241"/>
        <v>22.170849845882874</v>
      </c>
      <c r="L384" s="75">
        <f>K384*(1-PARAM!$C$27)*$I$5+(MOD($B384,60)=PARAM!$B$56)*($B384&gt;(60-PARAM!$B$56))*HLOOKUP(($B384+PARAM!$B$56)/12,Loyalty,2)*$F$1*MAX(N383,0)</f>
        <v>18.557001321003963</v>
      </c>
      <c r="M384" s="75">
        <f>PARAM!$C$26+MAX($G$5-CHOOSE(PARAM!$B$44,MAX(0,N383*$F$1),0),0)*RATES!$L360/12+$H$5*(PARAM!$D$51/12)*RATES!$N360/100</f>
        <v>46.208333333333336</v>
      </c>
      <c r="N384" s="16">
        <f t="shared" si="242"/>
        <v>-587.55855261715055</v>
      </c>
      <c r="O384" s="15">
        <f t="shared" si="243"/>
        <v>22.170849845882874</v>
      </c>
      <c r="P384" s="75">
        <f>O384*(1-PARAM!$C$27)*$I$6+(MOD($B384,60)=PARAM!$B$56)*($B384&gt;(60-PARAM!$B$56))*HLOOKUP(($B384+PARAM!$B$56)/12,Loyalty,2)*$F$1*MAX(R383,0)</f>
        <v>18.557001321003963</v>
      </c>
      <c r="Q384" s="75">
        <f>PARAM!$C$26+MAX($G$6-CHOOSE(PARAM!$B$44,MAX(0,R383*$F$1),0),0)*RATES!$L360/12+$H$6*(PARAM!$D$51/12)*RATES!$N360/100</f>
        <v>46.208333333333336</v>
      </c>
      <c r="R384" s="16">
        <f t="shared" si="244"/>
        <v>-587.55855261715055</v>
      </c>
      <c r="S384" s="15">
        <f t="shared" si="219"/>
        <v>22.170849845882874</v>
      </c>
      <c r="T384" s="75">
        <f>S384*(1-PARAM!$C$27)*$I$7+(MOD($B384,60)=PARAM!$B$56)*($B384&gt;(60-PARAM!$B$56))*HLOOKUP(($B384+PARAM!$B$56)/12,Loyalty,2)*$F$1*MAX(V383,0)</f>
        <v>18.557001321003963</v>
      </c>
      <c r="U384" s="75">
        <f>PARAM!$C$26+MAX($G$7-CHOOSE(PARAM!$B$44,MAX(0,V383*$F$1),0),0)*RATES!$L360/12+$H$7*(PARAM!$D$51/12)*RATES!$N360/100</f>
        <v>46.208333333333336</v>
      </c>
      <c r="V384" s="16">
        <f t="shared" si="245"/>
        <v>-587.55855261715055</v>
      </c>
      <c r="W384" s="15">
        <f t="shared" si="220"/>
        <v>22.170849845882874</v>
      </c>
      <c r="X384" s="75">
        <f>W384*(1-PARAM!$C$27)*$I$8+(MOD($B384,60)=PARAM!$B$56)*($B384&gt;(60-PARAM!$B$56))*HLOOKUP(($B384+PARAM!$B$56)/12,Loyalty,2)*$F$1*MAX(Z383,0)</f>
        <v>18.557001321003963</v>
      </c>
      <c r="Y384" s="75">
        <f>PARAM!$C$26+MAX($G$8-CHOOSE(PARAM!$B$44,MAX(0,Z383*$F$1),0),0)*RATES!$L360/12+$H$8*(PARAM!$D$51/12)*RATES!$N360/100</f>
        <v>46.208333333333336</v>
      </c>
      <c r="Z384" s="16">
        <f t="shared" si="246"/>
        <v>-587.55855261715055</v>
      </c>
      <c r="AA384" s="15">
        <f t="shared" si="221"/>
        <v>22.170849845882874</v>
      </c>
      <c r="AB384" s="75">
        <f>AA384*(1-PARAM!$C$27)*$I$9+(MOD($B384,60)=PARAM!$B$56)*($B384&gt;(60-PARAM!$B$56))*HLOOKUP(($B384+PARAM!$B$56)/12,Loyalty,2)*$F$1*MAX(AD383,0)</f>
        <v>18.557001321003963</v>
      </c>
      <c r="AC384" s="75">
        <f>PARAM!$C$26+MAX($G$9-CHOOSE(PARAM!$B$44,MAX(0,AD383*$F$1),0),0)*RATES!$L360/12+$H$9*(PARAM!$D$51/12)*RATES!$N360/100</f>
        <v>46.208333333333336</v>
      </c>
      <c r="AD384" s="16">
        <f t="shared" si="247"/>
        <v>-587.55855261715055</v>
      </c>
      <c r="AE384" s="15">
        <f t="shared" si="222"/>
        <v>22.170849845882874</v>
      </c>
      <c r="AF384" s="75">
        <f>AE384*(1-PARAM!$C$27)*$I$10+(MOD($B384,60)=PARAM!$B$56)*($B384&gt;(60-PARAM!$B$56))*HLOOKUP(($B384+PARAM!$B$56)/12,Loyalty,2)*$F$1*MAX(AH383,0)</f>
        <v>18.557001321003963</v>
      </c>
      <c r="AG384" s="75">
        <f>PARAM!$C$26+MAX($G$10-CHOOSE(PARAM!$B$44,MAX(0,AH383*$F$1),0),0)*RATES!$L360/12+$H$10*(PARAM!$D$51/12)*RATES!$N360/100</f>
        <v>46.208333333333336</v>
      </c>
      <c r="AH384" s="16">
        <f t="shared" si="248"/>
        <v>-587.55855261715055</v>
      </c>
      <c r="AI384" s="15">
        <f t="shared" si="223"/>
        <v>22.170849845882874</v>
      </c>
      <c r="AJ384" s="75">
        <f>AI384*(1-PARAM!$C$27)*$I$11+(MOD($B384,60)=PARAM!$B$56)*($B384&gt;(60-PARAM!$B$56))*HLOOKUP(($B384+PARAM!$B$56)/12,Loyalty,2)*$F$1*MAX(AL383,0)</f>
        <v>18.557001321003963</v>
      </c>
      <c r="AK384" s="75">
        <f>PARAM!$C$26+MAX($G$11-CHOOSE(PARAM!$B$44,MAX(0,AL383*$F$1),0),0)*RATES!$L360/12+$H$11*(PARAM!$D$51/12)*RATES!$N360/100</f>
        <v>46.208333333333336</v>
      </c>
      <c r="AL384" s="16">
        <f t="shared" si="249"/>
        <v>-587.55855261715055</v>
      </c>
      <c r="AM384" s="15">
        <f t="shared" si="224"/>
        <v>22.170849845882874</v>
      </c>
      <c r="AN384" s="75">
        <f>AM384*(1-PARAM!$C$27)*$I$12+(MOD($B384,60)=PARAM!$B$56)*($B384&gt;(60-PARAM!$B$56))*HLOOKUP(($B384+PARAM!$B$56)/12,Loyalty,2)*$F$1*MAX(AP383,0)</f>
        <v>18.557001321003963</v>
      </c>
      <c r="AO384" s="75">
        <f>PARAM!$C$26+MAX($G$12-CHOOSE(PARAM!$B$44,MAX(0,AP383*$F$1),0),0)*RATES!$L360/12+$H$12*(PARAM!$D$51/12)*RATES!$N360/100</f>
        <v>46.208333333333336</v>
      </c>
      <c r="AP384" s="16">
        <f t="shared" si="250"/>
        <v>-587.55855261715055</v>
      </c>
      <c r="AQ384" s="15">
        <f t="shared" si="225"/>
        <v>22.170849845882874</v>
      </c>
      <c r="AR384" s="75">
        <f>AQ384*(1-PARAM!$C$27)*$I$13+(MOD($B384,60)=PARAM!$B$56)*($B384&gt;(60-PARAM!$B$56))*HLOOKUP(($B384+PARAM!$B$56)/12,Loyalty,2)*$F$1*MAX(AT383,0)</f>
        <v>18.557001321003963</v>
      </c>
      <c r="AS384" s="75">
        <f>PARAM!$C$26+MAX($G$13-CHOOSE(PARAM!$B$44,MAX(0,AT383*$F$1),0),0)*RATES!$L360/12+$H$13*(PARAM!$D$51/12)*RATES!$N360/100</f>
        <v>46.208333333333336</v>
      </c>
      <c r="AT384" s="16">
        <f t="shared" si="251"/>
        <v>-587.55855261715055</v>
      </c>
      <c r="AU384" s="15">
        <f t="shared" si="226"/>
        <v>22.170849845882874</v>
      </c>
      <c r="AV384" s="75">
        <f>AU384*(1-PARAM!$C$27)*$I$14+(MOD($B384,60)=PARAM!$B$56)*($B384&gt;(60-PARAM!$B$56))*HLOOKUP(($B384+PARAM!$B$56)/12,Loyalty,2)*$F$1*MAX(AX383,0)</f>
        <v>18.557001321003963</v>
      </c>
      <c r="AW384" s="75">
        <f>PARAM!$C$26+MAX($G$14-CHOOSE(PARAM!$B$44,MAX(0,AX383*$F$1),0),0)*RATES!$L360/12+$H$14*(PARAM!$D$51/12)*RATES!$N360/100</f>
        <v>46.208333333333336</v>
      </c>
      <c r="AX384" s="16">
        <f t="shared" si="252"/>
        <v>-587.55855261715055</v>
      </c>
      <c r="AY384" s="15">
        <f t="shared" si="227"/>
        <v>22.170849845882874</v>
      </c>
      <c r="AZ384" s="75">
        <f>AY384*(1-PARAM!$C$27)*$I$15+(MOD($B384,60)=PARAM!$B$56)*($B384&gt;(60-PARAM!$B$56))*HLOOKUP(($B384+PARAM!$B$56)/12,Loyalty,2)*$F$1*MAX(BB383,0)</f>
        <v>18.557001321003963</v>
      </c>
      <c r="BA384" s="75">
        <f>PARAM!$C$26+MAX($G$15-CHOOSE(PARAM!$B$44,MAX(0,BB383*$F$1),0),0)*RATES!$L360/12+$H$15*(PARAM!$D$51/12)*RATES!$N360/100</f>
        <v>46.208333333333336</v>
      </c>
      <c r="BB384" s="16">
        <f t="shared" si="253"/>
        <v>-587.55855261715055</v>
      </c>
      <c r="BC384" s="15">
        <f t="shared" si="228"/>
        <v>22.170849845882874</v>
      </c>
      <c r="BD384" s="75">
        <f>BC384*(1-PARAM!$C$27)*$I$16+(MOD($B384,60)=PARAM!$B$56)*($B384&gt;(60-PARAM!$B$56))*HLOOKUP(($B384+PARAM!$B$56)/12,Loyalty,2)*$F$1*MAX(BF383,0)</f>
        <v>18.557001321003963</v>
      </c>
      <c r="BE384" s="75">
        <f>PARAM!$C$26+MAX($G$16-CHOOSE(PARAM!$B$44,MAX(0,BF383*$F$1),0),0)*RATES!$L360/12+$H$16*(PARAM!$D$51/12)*RATES!$N360/100</f>
        <v>46.208333333333336</v>
      </c>
      <c r="BF384" s="16">
        <f t="shared" si="254"/>
        <v>-587.55855261715055</v>
      </c>
      <c r="BG384" s="15">
        <f t="shared" si="229"/>
        <v>22.170849845882874</v>
      </c>
      <c r="BH384" s="75">
        <f>BG384*(1-PARAM!$C$27)*$I$17+(MOD($B384,60)=PARAM!$B$56)*($B384&gt;(60-PARAM!$B$56))*HLOOKUP(($B384+PARAM!$B$56)/12,Loyalty,2)*$F$1*MAX(BJ383,0)</f>
        <v>18.557001321003963</v>
      </c>
      <c r="BI384" s="75">
        <f>PARAM!$C$26+MAX($G$17-CHOOSE(PARAM!$B$44,MAX(0,BJ383*$F$1),0),0)*RATES!$L360/12+$H$17*(PARAM!$D$51/12)*RATES!$N360/100</f>
        <v>46.208333333333336</v>
      </c>
      <c r="BJ384" s="16">
        <f t="shared" si="255"/>
        <v>-587.55855261715055</v>
      </c>
      <c r="BK384" s="15">
        <f t="shared" si="230"/>
        <v>22.170849845882874</v>
      </c>
      <c r="BL384" s="75">
        <f>BK384*(1-PARAM!$C$27)*$I$18+(MOD($B384,60)=PARAM!$B$56)*($B384&gt;(60-PARAM!$B$56))*HLOOKUP(($B384+PARAM!$B$56)/12,Loyalty,2)*$F$1*MAX(BN383,0)</f>
        <v>18.557001321003963</v>
      </c>
      <c r="BM384" s="75">
        <f>PARAM!$C$26+MAX($G$18-CHOOSE(PARAM!$B$44,MAX(0,BN383*$F$1),0),0)*RATES!$L360/12+$H$18*(PARAM!$D$51/12)*RATES!$N360/100</f>
        <v>46.208333333333336</v>
      </c>
      <c r="BN384" s="16">
        <f t="shared" si="256"/>
        <v>-587.55855261715055</v>
      </c>
      <c r="BO384" s="15">
        <f t="shared" si="231"/>
        <v>22.170849845882874</v>
      </c>
      <c r="BP384" s="75">
        <f>BO384*(1-PARAM!$C$27)*$I$19+(MOD($B384,60)=PARAM!$B$56)*($B384&gt;(60-PARAM!$B$56))*HLOOKUP(($B384+PARAM!$B$56)/12,Loyalty,2)*$F$1*MAX(BR383,0)</f>
        <v>18.557001321003963</v>
      </c>
      <c r="BQ384" s="75">
        <f>PARAM!$C$26+MAX($G$19-CHOOSE(PARAM!$B$44,MAX(0,BR383*$F$1),0),0)*RATES!$L360/12+$H$19*(PARAM!$D$51/12)*RATES!$N360/100</f>
        <v>46.208333333333336</v>
      </c>
      <c r="BR384" s="16">
        <f t="shared" si="257"/>
        <v>-587.55855261715055</v>
      </c>
      <c r="BS384" s="15">
        <f t="shared" si="232"/>
        <v>22.170849845882874</v>
      </c>
      <c r="BT384" s="75">
        <f>BS384*(1-PARAM!$C$27)*$I$20+(MOD($B384,60)=PARAM!$B$56)*($B384&gt;(60-PARAM!$B$56))*HLOOKUP(($B384+PARAM!$B$56)/12,Loyalty,2)*$F$1*MAX(BV383,0)</f>
        <v>18.557001321003963</v>
      </c>
      <c r="BU384" s="75">
        <f>PARAM!$C$26+MAX($G$20-CHOOSE(PARAM!$B$44,MAX(0,BV383*$F$1),0),0)*RATES!$L360/12+$H$20*(PARAM!$D$51/12)*RATES!$N360/100</f>
        <v>46.208333333333336</v>
      </c>
      <c r="BV384" s="16">
        <f t="shared" si="258"/>
        <v>-587.55855261715055</v>
      </c>
      <c r="BW384" s="15">
        <f t="shared" si="233"/>
        <v>22.170849845882874</v>
      </c>
      <c r="BX384" s="75">
        <f>BW384*(1-PARAM!$C$27)*$I$21+(MOD($B384,60)=PARAM!$B$56)*($B384&gt;(60-PARAM!$B$56))*HLOOKUP(($B384+PARAM!$B$56)/12,Loyalty,2)*$F$1*MAX(BZ383,0)</f>
        <v>18.557001321003963</v>
      </c>
      <c r="BY384" s="75">
        <f>PARAM!$C$26+MAX($G$21-CHOOSE(PARAM!$B$44,MAX(0,BZ383*$F$1),0),0)*RATES!$L360/12+$H$21*(PARAM!$D$51/12)*RATES!$N360/100</f>
        <v>46.208333333333336</v>
      </c>
      <c r="BZ384" s="16">
        <f t="shared" si="259"/>
        <v>-587.55855261715055</v>
      </c>
      <c r="CA384" s="15">
        <f t="shared" si="234"/>
        <v>22.170849845882874</v>
      </c>
      <c r="CB384" s="75">
        <f>CA384*(1-PARAM!$C$27)*$I$22+(MOD($B384,60)=PARAM!$B$56)*($B384&gt;(60-PARAM!$B$56))*HLOOKUP(($B384+PARAM!$B$56)/12,Loyalty,2)*$F$1*MAX(CD383,0)</f>
        <v>18.557001321003963</v>
      </c>
      <c r="CC384" s="75">
        <f>PARAM!$C$26+MAX($G$22-CHOOSE(PARAM!$B$44,MAX(0,CD383*$F$1),0),0)*RATES!$L360/12+$H$22*(PARAM!$D$51/12)*RATES!$N360/100</f>
        <v>46.208333333333336</v>
      </c>
      <c r="CD384" s="16">
        <f t="shared" si="260"/>
        <v>-587.55855261715055</v>
      </c>
      <c r="CE384" s="33">
        <f>IF(0=MOD(B384,12/PARAM!$D$51),1,0)</f>
        <v>1</v>
      </c>
      <c r="CF384" s="15">
        <f t="shared" si="235"/>
        <v>0</v>
      </c>
      <c r="CG384" s="75">
        <f>CF384*(1-PARAM!$C$27)*$R$3+(MOD($B384/12,5)=0)*($B384&gt;60)*HLOOKUP($B384/12,Loyalty,2)*$F$1*MAX(CI383,0)</f>
        <v>0</v>
      </c>
      <c r="CH384" s="75">
        <f>PARAM!$C$26+MAX($P$3-CHOOSE(PARAM!$B$44,MAX(0,CI383*$F$1),0),0)*RATES!$L360/12+$Q$3*(PARAM!$D$51/12)*RATES!$N360/100</f>
        <v>46.208333333333336</v>
      </c>
      <c r="CI384" s="16">
        <f>IF(CI383&gt;0,CI383*PARAM!$C$53,CI383)+CG384-CH384</f>
        <v>-7092.8333333333212</v>
      </c>
      <c r="CJ384" s="15">
        <f t="shared" si="261"/>
        <v>0</v>
      </c>
      <c r="CK384" s="75">
        <f>CJ384*(1-PARAM!$C$27)*$R$4+(MOD($B384/12,5)=0)*($B384&gt;60)*HLOOKUP($B384/12,Loyalty,2)*$F$1*MAX(CM383,0)</f>
        <v>0</v>
      </c>
      <c r="CL384" s="75">
        <f>PARAM!$C$26+MAX($P$4-CHOOSE(PARAM!$B$44,MAX(0,CM383*$F$1),0),0)*RATES!$L360/12+$Q$4*(PARAM!$D$51/12)*RATES!$N360/100</f>
        <v>46.208333333333336</v>
      </c>
      <c r="CM384" s="16">
        <f>IF(CM383&gt;0,CM383*PARAM!$C$53,CM383)+CK384-CL384</f>
        <v>-7092.8333333333212</v>
      </c>
      <c r="CO384" s="176"/>
    </row>
    <row r="385" spans="1:93" x14ac:dyDescent="0.2">
      <c r="A385" t="b">
        <f t="shared" si="236"/>
        <v>0</v>
      </c>
      <c r="B385" s="33">
        <v>358</v>
      </c>
      <c r="C385" s="15">
        <f t="shared" si="237"/>
        <v>20.081305947392778</v>
      </c>
      <c r="D385" s="75">
        <f>C385*(1-PARAM!$C$27)*$I$3+(MOD($B385,60)=PARAM!$B$56)*($B385&gt;(60-PARAM!$B$56))*HLOOKUP(($B385+PARAM!$B$56)/12,Loyalty,2)*$F$1*MAX(F384,0)</f>
        <v>16.808053077967756</v>
      </c>
      <c r="E385" s="75">
        <f>PARAM!$C$26+MAX($G$3-CHOOSE(PARAM!$B$44,MAX(0,F384*$F$1),0),0)*RATES!$L361/12+$H$3*(PARAM!$D$51/12)*RATES!$N361/100</f>
        <v>46.208333333333336</v>
      </c>
      <c r="F385" s="16">
        <f t="shared" si="238"/>
        <v>-1278.1838561579441</v>
      </c>
      <c r="G385" s="15">
        <f t="shared" si="239"/>
        <v>22.035289406060361</v>
      </c>
      <c r="H385" s="75">
        <f>G385*(1-PARAM!$C$27)*$I$4+(MOD($B385,60)=PARAM!$B$56)*($B385&gt;(60-PARAM!$B$56))*HLOOKUP(($B385+PARAM!$B$56)/12,Loyalty,2)*$F$1*MAX(J384,0)</f>
        <v>18.443537232872522</v>
      </c>
      <c r="I385" s="75">
        <f>PARAM!$C$26+MAX($G$4-CHOOSE(PARAM!$B$44,MAX(0,J384*$F$1),0),0)*RATES!$L361/12+$H$4*(PARAM!$D$51/12)*RATES!$N361/100</f>
        <v>46.208333333333336</v>
      </c>
      <c r="J385" s="16">
        <f t="shared" si="240"/>
        <v>-658.84756458032962</v>
      </c>
      <c r="K385" s="15">
        <f t="shared" si="241"/>
        <v>22.170849845882874</v>
      </c>
      <c r="L385" s="75">
        <f>K385*(1-PARAM!$C$27)*$I$5+(MOD($B385,60)=PARAM!$B$56)*($B385&gt;(60-PARAM!$B$56))*HLOOKUP(($B385+PARAM!$B$56)/12,Loyalty,2)*$F$1*MAX(N384,0)</f>
        <v>18.557001321003963</v>
      </c>
      <c r="M385" s="75">
        <f>PARAM!$C$26+MAX($G$5-CHOOSE(PARAM!$B$44,MAX(0,N384*$F$1),0),0)*RATES!$L361/12+$H$5*(PARAM!$D$51/12)*RATES!$N361/100</f>
        <v>46.208333333333336</v>
      </c>
      <c r="N385" s="16">
        <f t="shared" si="242"/>
        <v>-615.20988462947992</v>
      </c>
      <c r="O385" s="15">
        <f t="shared" si="243"/>
        <v>22.170849845882874</v>
      </c>
      <c r="P385" s="75">
        <f>O385*(1-PARAM!$C$27)*$I$6+(MOD($B385,60)=PARAM!$B$56)*($B385&gt;(60-PARAM!$B$56))*HLOOKUP(($B385+PARAM!$B$56)/12,Loyalty,2)*$F$1*MAX(R384,0)</f>
        <v>18.557001321003963</v>
      </c>
      <c r="Q385" s="75">
        <f>PARAM!$C$26+MAX($G$6-CHOOSE(PARAM!$B$44,MAX(0,R384*$F$1),0),0)*RATES!$L361/12+$H$6*(PARAM!$D$51/12)*RATES!$N361/100</f>
        <v>46.208333333333336</v>
      </c>
      <c r="R385" s="16">
        <f t="shared" si="244"/>
        <v>-615.20988462947992</v>
      </c>
      <c r="S385" s="15">
        <f t="shared" si="219"/>
        <v>22.170849845882874</v>
      </c>
      <c r="T385" s="75">
        <f>S385*(1-PARAM!$C$27)*$I$7+(MOD($B385,60)=PARAM!$B$56)*($B385&gt;(60-PARAM!$B$56))*HLOOKUP(($B385+PARAM!$B$56)/12,Loyalty,2)*$F$1*MAX(V384,0)</f>
        <v>18.557001321003963</v>
      </c>
      <c r="U385" s="75">
        <f>PARAM!$C$26+MAX($G$7-CHOOSE(PARAM!$B$44,MAX(0,V384*$F$1),0),0)*RATES!$L361/12+$H$7*(PARAM!$D$51/12)*RATES!$N361/100</f>
        <v>46.208333333333336</v>
      </c>
      <c r="V385" s="16">
        <f t="shared" si="245"/>
        <v>-615.20988462947992</v>
      </c>
      <c r="W385" s="15">
        <f t="shared" si="220"/>
        <v>22.170849845882874</v>
      </c>
      <c r="X385" s="75">
        <f>W385*(1-PARAM!$C$27)*$I$8+(MOD($B385,60)=PARAM!$B$56)*($B385&gt;(60-PARAM!$B$56))*HLOOKUP(($B385+PARAM!$B$56)/12,Loyalty,2)*$F$1*MAX(Z384,0)</f>
        <v>18.557001321003963</v>
      </c>
      <c r="Y385" s="75">
        <f>PARAM!$C$26+MAX($G$8-CHOOSE(PARAM!$B$44,MAX(0,Z384*$F$1),0),0)*RATES!$L361/12+$H$8*(PARAM!$D$51/12)*RATES!$N361/100</f>
        <v>46.208333333333336</v>
      </c>
      <c r="Z385" s="16">
        <f t="shared" si="246"/>
        <v>-615.20988462947992</v>
      </c>
      <c r="AA385" s="15">
        <f t="shared" si="221"/>
        <v>22.170849845882874</v>
      </c>
      <c r="AB385" s="75">
        <f>AA385*(1-PARAM!$C$27)*$I$9+(MOD($B385,60)=PARAM!$B$56)*($B385&gt;(60-PARAM!$B$56))*HLOOKUP(($B385+PARAM!$B$56)/12,Loyalty,2)*$F$1*MAX(AD384,0)</f>
        <v>18.557001321003963</v>
      </c>
      <c r="AC385" s="75">
        <f>PARAM!$C$26+MAX($G$9-CHOOSE(PARAM!$B$44,MAX(0,AD384*$F$1),0),0)*RATES!$L361/12+$H$9*(PARAM!$D$51/12)*RATES!$N361/100</f>
        <v>46.208333333333336</v>
      </c>
      <c r="AD385" s="16">
        <f t="shared" si="247"/>
        <v>-615.20988462947992</v>
      </c>
      <c r="AE385" s="15">
        <f t="shared" si="222"/>
        <v>22.170849845882874</v>
      </c>
      <c r="AF385" s="75">
        <f>AE385*(1-PARAM!$C$27)*$I$10+(MOD($B385,60)=PARAM!$B$56)*($B385&gt;(60-PARAM!$B$56))*HLOOKUP(($B385+PARAM!$B$56)/12,Loyalty,2)*$F$1*MAX(AH384,0)</f>
        <v>18.557001321003963</v>
      </c>
      <c r="AG385" s="75">
        <f>PARAM!$C$26+MAX($G$10-CHOOSE(PARAM!$B$44,MAX(0,AH384*$F$1),0),0)*RATES!$L361/12+$H$10*(PARAM!$D$51/12)*RATES!$N361/100</f>
        <v>46.208333333333336</v>
      </c>
      <c r="AH385" s="16">
        <f t="shared" si="248"/>
        <v>-615.20988462947992</v>
      </c>
      <c r="AI385" s="15">
        <f t="shared" si="223"/>
        <v>22.170849845882874</v>
      </c>
      <c r="AJ385" s="75">
        <f>AI385*(1-PARAM!$C$27)*$I$11+(MOD($B385,60)=PARAM!$B$56)*($B385&gt;(60-PARAM!$B$56))*HLOOKUP(($B385+PARAM!$B$56)/12,Loyalty,2)*$F$1*MAX(AL384,0)</f>
        <v>18.557001321003963</v>
      </c>
      <c r="AK385" s="75">
        <f>PARAM!$C$26+MAX($G$11-CHOOSE(PARAM!$B$44,MAX(0,AL384*$F$1),0),0)*RATES!$L361/12+$H$11*(PARAM!$D$51/12)*RATES!$N361/100</f>
        <v>46.208333333333336</v>
      </c>
      <c r="AL385" s="16">
        <f t="shared" si="249"/>
        <v>-615.20988462947992</v>
      </c>
      <c r="AM385" s="15">
        <f t="shared" si="224"/>
        <v>22.170849845882874</v>
      </c>
      <c r="AN385" s="75">
        <f>AM385*(1-PARAM!$C$27)*$I$12+(MOD($B385,60)=PARAM!$B$56)*($B385&gt;(60-PARAM!$B$56))*HLOOKUP(($B385+PARAM!$B$56)/12,Loyalty,2)*$F$1*MAX(AP384,0)</f>
        <v>18.557001321003963</v>
      </c>
      <c r="AO385" s="75">
        <f>PARAM!$C$26+MAX($G$12-CHOOSE(PARAM!$B$44,MAX(0,AP384*$F$1),0),0)*RATES!$L361/12+$H$12*(PARAM!$D$51/12)*RATES!$N361/100</f>
        <v>46.208333333333336</v>
      </c>
      <c r="AP385" s="16">
        <f t="shared" si="250"/>
        <v>-615.20988462947992</v>
      </c>
      <c r="AQ385" s="15">
        <f t="shared" si="225"/>
        <v>22.170849845882874</v>
      </c>
      <c r="AR385" s="75">
        <f>AQ385*(1-PARAM!$C$27)*$I$13+(MOD($B385,60)=PARAM!$B$56)*($B385&gt;(60-PARAM!$B$56))*HLOOKUP(($B385+PARAM!$B$56)/12,Loyalty,2)*$F$1*MAX(AT384,0)</f>
        <v>18.557001321003963</v>
      </c>
      <c r="AS385" s="75">
        <f>PARAM!$C$26+MAX($G$13-CHOOSE(PARAM!$B$44,MAX(0,AT384*$F$1),0),0)*RATES!$L361/12+$H$13*(PARAM!$D$51/12)*RATES!$N361/100</f>
        <v>46.208333333333336</v>
      </c>
      <c r="AT385" s="16">
        <f t="shared" si="251"/>
        <v>-615.20988462947992</v>
      </c>
      <c r="AU385" s="15">
        <f t="shared" si="226"/>
        <v>22.170849845882874</v>
      </c>
      <c r="AV385" s="75">
        <f>AU385*(1-PARAM!$C$27)*$I$14+(MOD($B385,60)=PARAM!$B$56)*($B385&gt;(60-PARAM!$B$56))*HLOOKUP(($B385+PARAM!$B$56)/12,Loyalty,2)*$F$1*MAX(AX384,0)</f>
        <v>18.557001321003963</v>
      </c>
      <c r="AW385" s="75">
        <f>PARAM!$C$26+MAX($G$14-CHOOSE(PARAM!$B$44,MAX(0,AX384*$F$1),0),0)*RATES!$L361/12+$H$14*(PARAM!$D$51/12)*RATES!$N361/100</f>
        <v>46.208333333333336</v>
      </c>
      <c r="AX385" s="16">
        <f t="shared" si="252"/>
        <v>-615.20988462947992</v>
      </c>
      <c r="AY385" s="15">
        <f t="shared" si="227"/>
        <v>22.170849845882874</v>
      </c>
      <c r="AZ385" s="75">
        <f>AY385*(1-PARAM!$C$27)*$I$15+(MOD($B385,60)=PARAM!$B$56)*($B385&gt;(60-PARAM!$B$56))*HLOOKUP(($B385+PARAM!$B$56)/12,Loyalty,2)*$F$1*MAX(BB384,0)</f>
        <v>18.557001321003963</v>
      </c>
      <c r="BA385" s="75">
        <f>PARAM!$C$26+MAX($G$15-CHOOSE(PARAM!$B$44,MAX(0,BB384*$F$1),0),0)*RATES!$L361/12+$H$15*(PARAM!$D$51/12)*RATES!$N361/100</f>
        <v>46.208333333333336</v>
      </c>
      <c r="BB385" s="16">
        <f t="shared" si="253"/>
        <v>-615.20988462947992</v>
      </c>
      <c r="BC385" s="15">
        <f t="shared" si="228"/>
        <v>22.170849845882874</v>
      </c>
      <c r="BD385" s="75">
        <f>BC385*(1-PARAM!$C$27)*$I$16+(MOD($B385,60)=PARAM!$B$56)*($B385&gt;(60-PARAM!$B$56))*HLOOKUP(($B385+PARAM!$B$56)/12,Loyalty,2)*$F$1*MAX(BF384,0)</f>
        <v>18.557001321003963</v>
      </c>
      <c r="BE385" s="75">
        <f>PARAM!$C$26+MAX($G$16-CHOOSE(PARAM!$B$44,MAX(0,BF384*$F$1),0),0)*RATES!$L361/12+$H$16*(PARAM!$D$51/12)*RATES!$N361/100</f>
        <v>46.208333333333336</v>
      </c>
      <c r="BF385" s="16">
        <f t="shared" si="254"/>
        <v>-615.20988462947992</v>
      </c>
      <c r="BG385" s="15">
        <f t="shared" si="229"/>
        <v>22.170849845882874</v>
      </c>
      <c r="BH385" s="75">
        <f>BG385*(1-PARAM!$C$27)*$I$17+(MOD($B385,60)=PARAM!$B$56)*($B385&gt;(60-PARAM!$B$56))*HLOOKUP(($B385+PARAM!$B$56)/12,Loyalty,2)*$F$1*MAX(BJ384,0)</f>
        <v>18.557001321003963</v>
      </c>
      <c r="BI385" s="75">
        <f>PARAM!$C$26+MAX($G$17-CHOOSE(PARAM!$B$44,MAX(0,BJ384*$F$1),0),0)*RATES!$L361/12+$H$17*(PARAM!$D$51/12)*RATES!$N361/100</f>
        <v>46.208333333333336</v>
      </c>
      <c r="BJ385" s="16">
        <f t="shared" si="255"/>
        <v>-615.20988462947992</v>
      </c>
      <c r="BK385" s="15">
        <f t="shared" si="230"/>
        <v>22.170849845882874</v>
      </c>
      <c r="BL385" s="75">
        <f>BK385*(1-PARAM!$C$27)*$I$18+(MOD($B385,60)=PARAM!$B$56)*($B385&gt;(60-PARAM!$B$56))*HLOOKUP(($B385+PARAM!$B$56)/12,Loyalty,2)*$F$1*MAX(BN384,0)</f>
        <v>18.557001321003963</v>
      </c>
      <c r="BM385" s="75">
        <f>PARAM!$C$26+MAX($G$18-CHOOSE(PARAM!$B$44,MAX(0,BN384*$F$1),0),0)*RATES!$L361/12+$H$18*(PARAM!$D$51/12)*RATES!$N361/100</f>
        <v>46.208333333333336</v>
      </c>
      <c r="BN385" s="16">
        <f t="shared" si="256"/>
        <v>-615.20988462947992</v>
      </c>
      <c r="BO385" s="15">
        <f t="shared" si="231"/>
        <v>22.170849845882874</v>
      </c>
      <c r="BP385" s="75">
        <f>BO385*(1-PARAM!$C$27)*$I$19+(MOD($B385,60)=PARAM!$B$56)*($B385&gt;(60-PARAM!$B$56))*HLOOKUP(($B385+PARAM!$B$56)/12,Loyalty,2)*$F$1*MAX(BR384,0)</f>
        <v>18.557001321003963</v>
      </c>
      <c r="BQ385" s="75">
        <f>PARAM!$C$26+MAX($G$19-CHOOSE(PARAM!$B$44,MAX(0,BR384*$F$1),0),0)*RATES!$L361/12+$H$19*(PARAM!$D$51/12)*RATES!$N361/100</f>
        <v>46.208333333333336</v>
      </c>
      <c r="BR385" s="16">
        <f t="shared" si="257"/>
        <v>-615.20988462947992</v>
      </c>
      <c r="BS385" s="15">
        <f t="shared" si="232"/>
        <v>22.170849845882874</v>
      </c>
      <c r="BT385" s="75">
        <f>BS385*(1-PARAM!$C$27)*$I$20+(MOD($B385,60)=PARAM!$B$56)*($B385&gt;(60-PARAM!$B$56))*HLOOKUP(($B385+PARAM!$B$56)/12,Loyalty,2)*$F$1*MAX(BV384,0)</f>
        <v>18.557001321003963</v>
      </c>
      <c r="BU385" s="75">
        <f>PARAM!$C$26+MAX($G$20-CHOOSE(PARAM!$B$44,MAX(0,BV384*$F$1),0),0)*RATES!$L361/12+$H$20*(PARAM!$D$51/12)*RATES!$N361/100</f>
        <v>46.208333333333336</v>
      </c>
      <c r="BV385" s="16">
        <f t="shared" si="258"/>
        <v>-615.20988462947992</v>
      </c>
      <c r="BW385" s="15">
        <f t="shared" si="233"/>
        <v>22.170849845882874</v>
      </c>
      <c r="BX385" s="75">
        <f>BW385*(1-PARAM!$C$27)*$I$21+(MOD($B385,60)=PARAM!$B$56)*($B385&gt;(60-PARAM!$B$56))*HLOOKUP(($B385+PARAM!$B$56)/12,Loyalty,2)*$F$1*MAX(BZ384,0)</f>
        <v>18.557001321003963</v>
      </c>
      <c r="BY385" s="75">
        <f>PARAM!$C$26+MAX($G$21-CHOOSE(PARAM!$B$44,MAX(0,BZ384*$F$1),0),0)*RATES!$L361/12+$H$21*(PARAM!$D$51/12)*RATES!$N361/100</f>
        <v>46.208333333333336</v>
      </c>
      <c r="BZ385" s="16">
        <f t="shared" si="259"/>
        <v>-615.20988462947992</v>
      </c>
      <c r="CA385" s="15">
        <f t="shared" si="234"/>
        <v>22.170849845882874</v>
      </c>
      <c r="CB385" s="75">
        <f>CA385*(1-PARAM!$C$27)*$I$22+(MOD($B385,60)=PARAM!$B$56)*($B385&gt;(60-PARAM!$B$56))*HLOOKUP(($B385+PARAM!$B$56)/12,Loyalty,2)*$F$1*MAX(CD384,0)</f>
        <v>18.557001321003963</v>
      </c>
      <c r="CC385" s="75">
        <f>PARAM!$C$26+MAX($G$22-CHOOSE(PARAM!$B$44,MAX(0,CD384*$F$1),0),0)*RATES!$L361/12+$H$22*(PARAM!$D$51/12)*RATES!$N361/100</f>
        <v>46.208333333333336</v>
      </c>
      <c r="CD385" s="16">
        <f t="shared" si="260"/>
        <v>-615.20988462947992</v>
      </c>
      <c r="CE385" s="33">
        <f>IF(0=MOD(B385,12/PARAM!$D$51),1,0)</f>
        <v>1</v>
      </c>
      <c r="CF385" s="15">
        <f t="shared" si="235"/>
        <v>0</v>
      </c>
      <c r="CG385" s="75">
        <f>CF385*(1-PARAM!$C$27)*$R$3+(MOD($B385/12,5)=0)*($B385&gt;60)*HLOOKUP($B385/12,Loyalty,2)*$F$1*MAX(CI384,0)</f>
        <v>0</v>
      </c>
      <c r="CH385" s="75">
        <f>PARAM!$C$26+MAX($P$3-CHOOSE(PARAM!$B$44,MAX(0,CI384*$F$1),0),0)*RATES!$L361/12+$Q$3*(PARAM!$D$51/12)*RATES!$N361/100</f>
        <v>46.208333333333336</v>
      </c>
      <c r="CI385" s="16">
        <f>IF(CI384&gt;0,CI384*PARAM!$C$53,CI384)+CG385-CH385</f>
        <v>-7139.0416666666542</v>
      </c>
      <c r="CJ385" s="15">
        <f t="shared" si="261"/>
        <v>0</v>
      </c>
      <c r="CK385" s="75">
        <f>CJ385*(1-PARAM!$C$27)*$R$4+(MOD($B385/12,5)=0)*($B385&gt;60)*HLOOKUP($B385/12,Loyalty,2)*$F$1*MAX(CM384,0)</f>
        <v>0</v>
      </c>
      <c r="CL385" s="75">
        <f>PARAM!$C$26+MAX($P$4-CHOOSE(PARAM!$B$44,MAX(0,CM384*$F$1),0),0)*RATES!$L361/12+$Q$4*(PARAM!$D$51/12)*RATES!$N361/100</f>
        <v>46.208333333333336</v>
      </c>
      <c r="CM385" s="16">
        <f>IF(CM384&gt;0,CM384*PARAM!$C$53,CM384)+CK385-CL385</f>
        <v>-7139.0416666666542</v>
      </c>
      <c r="CO385" s="176"/>
    </row>
    <row r="386" spans="1:93" x14ac:dyDescent="0.2">
      <c r="A386" t="b">
        <f t="shared" si="236"/>
        <v>0</v>
      </c>
      <c r="B386" s="33">
        <v>359</v>
      </c>
      <c r="C386" s="15">
        <f t="shared" si="237"/>
        <v>20.081305947392778</v>
      </c>
      <c r="D386" s="75">
        <f>C386*(1-PARAM!$C$27)*$I$3+(MOD($B386,60)=PARAM!$B$56)*($B386&gt;(60-PARAM!$B$56))*HLOOKUP(($B386+PARAM!$B$56)/12,Loyalty,2)*$F$1*MAX(F385,0)</f>
        <v>16.808053077967756</v>
      </c>
      <c r="E386" s="75">
        <f>PARAM!$C$26+MAX($G$3-CHOOSE(PARAM!$B$44,MAX(0,F385*$F$1),0),0)*RATES!$L362/12+$H$3*(PARAM!$D$51/12)*RATES!$N362/100</f>
        <v>46.208333333333336</v>
      </c>
      <c r="F386" s="16">
        <f t="shared" si="238"/>
        <v>-1307.5841364133096</v>
      </c>
      <c r="G386" s="15">
        <f t="shared" si="239"/>
        <v>22.035289406060361</v>
      </c>
      <c r="H386" s="75">
        <f>G386*(1-PARAM!$C$27)*$I$4+(MOD($B386,60)=PARAM!$B$56)*($B386&gt;(60-PARAM!$B$56))*HLOOKUP(($B386+PARAM!$B$56)/12,Loyalty,2)*$F$1*MAX(J385,0)</f>
        <v>18.443537232872522</v>
      </c>
      <c r="I386" s="75">
        <f>PARAM!$C$26+MAX($G$4-CHOOSE(PARAM!$B$44,MAX(0,J385*$F$1),0),0)*RATES!$L362/12+$H$4*(PARAM!$D$51/12)*RATES!$N362/100</f>
        <v>46.208333333333336</v>
      </c>
      <c r="J386" s="16">
        <f t="shared" si="240"/>
        <v>-686.61236068079052</v>
      </c>
      <c r="K386" s="15">
        <f t="shared" si="241"/>
        <v>22.170849845882874</v>
      </c>
      <c r="L386" s="75">
        <f>K386*(1-PARAM!$C$27)*$I$5+(MOD($B386,60)=PARAM!$B$56)*($B386&gt;(60-PARAM!$B$56))*HLOOKUP(($B386+PARAM!$B$56)/12,Loyalty,2)*$F$1*MAX(N385,0)</f>
        <v>18.557001321003963</v>
      </c>
      <c r="M386" s="75">
        <f>PARAM!$C$26+MAX($G$5-CHOOSE(PARAM!$B$44,MAX(0,N385*$F$1),0),0)*RATES!$L362/12+$H$5*(PARAM!$D$51/12)*RATES!$N362/100</f>
        <v>46.208333333333336</v>
      </c>
      <c r="N386" s="16">
        <f t="shared" si="242"/>
        <v>-642.86121664180928</v>
      </c>
      <c r="O386" s="15">
        <f t="shared" si="243"/>
        <v>22.170849845882874</v>
      </c>
      <c r="P386" s="75">
        <f>O386*(1-PARAM!$C$27)*$I$6+(MOD($B386,60)=PARAM!$B$56)*($B386&gt;(60-PARAM!$B$56))*HLOOKUP(($B386+PARAM!$B$56)/12,Loyalty,2)*$F$1*MAX(R385,0)</f>
        <v>18.557001321003963</v>
      </c>
      <c r="Q386" s="75">
        <f>PARAM!$C$26+MAX($G$6-CHOOSE(PARAM!$B$44,MAX(0,R385*$F$1),0),0)*RATES!$L362/12+$H$6*(PARAM!$D$51/12)*RATES!$N362/100</f>
        <v>46.208333333333336</v>
      </c>
      <c r="R386" s="16">
        <f t="shared" si="244"/>
        <v>-642.86121664180928</v>
      </c>
      <c r="S386" s="15">
        <f t="shared" si="219"/>
        <v>22.170849845882874</v>
      </c>
      <c r="T386" s="75">
        <f>S386*(1-PARAM!$C$27)*$I$7+(MOD($B386,60)=PARAM!$B$56)*($B386&gt;(60-PARAM!$B$56))*HLOOKUP(($B386+PARAM!$B$56)/12,Loyalty,2)*$F$1*MAX(V385,0)</f>
        <v>18.557001321003963</v>
      </c>
      <c r="U386" s="75">
        <f>PARAM!$C$26+MAX($G$7-CHOOSE(PARAM!$B$44,MAX(0,V385*$F$1),0),0)*RATES!$L362/12+$H$7*(PARAM!$D$51/12)*RATES!$N362/100</f>
        <v>46.208333333333336</v>
      </c>
      <c r="V386" s="16">
        <f t="shared" si="245"/>
        <v>-642.86121664180928</v>
      </c>
      <c r="W386" s="15">
        <f t="shared" si="220"/>
        <v>22.170849845882874</v>
      </c>
      <c r="X386" s="75">
        <f>W386*(1-PARAM!$C$27)*$I$8+(MOD($B386,60)=PARAM!$B$56)*($B386&gt;(60-PARAM!$B$56))*HLOOKUP(($B386+PARAM!$B$56)/12,Loyalty,2)*$F$1*MAX(Z385,0)</f>
        <v>18.557001321003963</v>
      </c>
      <c r="Y386" s="75">
        <f>PARAM!$C$26+MAX($G$8-CHOOSE(PARAM!$B$44,MAX(0,Z385*$F$1),0),0)*RATES!$L362/12+$H$8*(PARAM!$D$51/12)*RATES!$N362/100</f>
        <v>46.208333333333336</v>
      </c>
      <c r="Z386" s="16">
        <f t="shared" si="246"/>
        <v>-642.86121664180928</v>
      </c>
      <c r="AA386" s="15">
        <f t="shared" si="221"/>
        <v>22.170849845882874</v>
      </c>
      <c r="AB386" s="75">
        <f>AA386*(1-PARAM!$C$27)*$I$9+(MOD($B386,60)=PARAM!$B$56)*($B386&gt;(60-PARAM!$B$56))*HLOOKUP(($B386+PARAM!$B$56)/12,Loyalty,2)*$F$1*MAX(AD385,0)</f>
        <v>18.557001321003963</v>
      </c>
      <c r="AC386" s="75">
        <f>PARAM!$C$26+MAX($G$9-CHOOSE(PARAM!$B$44,MAX(0,AD385*$F$1),0),0)*RATES!$L362/12+$H$9*(PARAM!$D$51/12)*RATES!$N362/100</f>
        <v>46.208333333333336</v>
      </c>
      <c r="AD386" s="16">
        <f t="shared" si="247"/>
        <v>-642.86121664180928</v>
      </c>
      <c r="AE386" s="15">
        <f t="shared" si="222"/>
        <v>22.170849845882874</v>
      </c>
      <c r="AF386" s="75">
        <f>AE386*(1-PARAM!$C$27)*$I$10+(MOD($B386,60)=PARAM!$B$56)*($B386&gt;(60-PARAM!$B$56))*HLOOKUP(($B386+PARAM!$B$56)/12,Loyalty,2)*$F$1*MAX(AH385,0)</f>
        <v>18.557001321003963</v>
      </c>
      <c r="AG386" s="75">
        <f>PARAM!$C$26+MAX($G$10-CHOOSE(PARAM!$B$44,MAX(0,AH385*$F$1),0),0)*RATES!$L362/12+$H$10*(PARAM!$D$51/12)*RATES!$N362/100</f>
        <v>46.208333333333336</v>
      </c>
      <c r="AH386" s="16">
        <f t="shared" si="248"/>
        <v>-642.86121664180928</v>
      </c>
      <c r="AI386" s="15">
        <f t="shared" si="223"/>
        <v>22.170849845882874</v>
      </c>
      <c r="AJ386" s="75">
        <f>AI386*(1-PARAM!$C$27)*$I$11+(MOD($B386,60)=PARAM!$B$56)*($B386&gt;(60-PARAM!$B$56))*HLOOKUP(($B386+PARAM!$B$56)/12,Loyalty,2)*$F$1*MAX(AL385,0)</f>
        <v>18.557001321003963</v>
      </c>
      <c r="AK386" s="75">
        <f>PARAM!$C$26+MAX($G$11-CHOOSE(PARAM!$B$44,MAX(0,AL385*$F$1),0),0)*RATES!$L362/12+$H$11*(PARAM!$D$51/12)*RATES!$N362/100</f>
        <v>46.208333333333336</v>
      </c>
      <c r="AL386" s="16">
        <f t="shared" si="249"/>
        <v>-642.86121664180928</v>
      </c>
      <c r="AM386" s="15">
        <f t="shared" si="224"/>
        <v>22.170849845882874</v>
      </c>
      <c r="AN386" s="75">
        <f>AM386*(1-PARAM!$C$27)*$I$12+(MOD($B386,60)=PARAM!$B$56)*($B386&gt;(60-PARAM!$B$56))*HLOOKUP(($B386+PARAM!$B$56)/12,Loyalty,2)*$F$1*MAX(AP385,0)</f>
        <v>18.557001321003963</v>
      </c>
      <c r="AO386" s="75">
        <f>PARAM!$C$26+MAX($G$12-CHOOSE(PARAM!$B$44,MAX(0,AP385*$F$1),0),0)*RATES!$L362/12+$H$12*(PARAM!$D$51/12)*RATES!$N362/100</f>
        <v>46.208333333333336</v>
      </c>
      <c r="AP386" s="16">
        <f t="shared" si="250"/>
        <v>-642.86121664180928</v>
      </c>
      <c r="AQ386" s="15">
        <f t="shared" si="225"/>
        <v>22.170849845882874</v>
      </c>
      <c r="AR386" s="75">
        <f>AQ386*(1-PARAM!$C$27)*$I$13+(MOD($B386,60)=PARAM!$B$56)*($B386&gt;(60-PARAM!$B$56))*HLOOKUP(($B386+PARAM!$B$56)/12,Loyalty,2)*$F$1*MAX(AT385,0)</f>
        <v>18.557001321003963</v>
      </c>
      <c r="AS386" s="75">
        <f>PARAM!$C$26+MAX($G$13-CHOOSE(PARAM!$B$44,MAX(0,AT385*$F$1),0),0)*RATES!$L362/12+$H$13*(PARAM!$D$51/12)*RATES!$N362/100</f>
        <v>46.208333333333336</v>
      </c>
      <c r="AT386" s="16">
        <f t="shared" si="251"/>
        <v>-642.86121664180928</v>
      </c>
      <c r="AU386" s="15">
        <f t="shared" si="226"/>
        <v>22.170849845882874</v>
      </c>
      <c r="AV386" s="75">
        <f>AU386*(1-PARAM!$C$27)*$I$14+(MOD($B386,60)=PARAM!$B$56)*($B386&gt;(60-PARAM!$B$56))*HLOOKUP(($B386+PARAM!$B$56)/12,Loyalty,2)*$F$1*MAX(AX385,0)</f>
        <v>18.557001321003963</v>
      </c>
      <c r="AW386" s="75">
        <f>PARAM!$C$26+MAX($G$14-CHOOSE(PARAM!$B$44,MAX(0,AX385*$F$1),0),0)*RATES!$L362/12+$H$14*(PARAM!$D$51/12)*RATES!$N362/100</f>
        <v>46.208333333333336</v>
      </c>
      <c r="AX386" s="16">
        <f t="shared" si="252"/>
        <v>-642.86121664180928</v>
      </c>
      <c r="AY386" s="15">
        <f t="shared" si="227"/>
        <v>22.170849845882874</v>
      </c>
      <c r="AZ386" s="75">
        <f>AY386*(1-PARAM!$C$27)*$I$15+(MOD($B386,60)=PARAM!$B$56)*($B386&gt;(60-PARAM!$B$56))*HLOOKUP(($B386+PARAM!$B$56)/12,Loyalty,2)*$F$1*MAX(BB385,0)</f>
        <v>18.557001321003963</v>
      </c>
      <c r="BA386" s="75">
        <f>PARAM!$C$26+MAX($G$15-CHOOSE(PARAM!$B$44,MAX(0,BB385*$F$1),0),0)*RATES!$L362/12+$H$15*(PARAM!$D$51/12)*RATES!$N362/100</f>
        <v>46.208333333333336</v>
      </c>
      <c r="BB386" s="16">
        <f t="shared" si="253"/>
        <v>-642.86121664180928</v>
      </c>
      <c r="BC386" s="15">
        <f t="shared" si="228"/>
        <v>22.170849845882874</v>
      </c>
      <c r="BD386" s="75">
        <f>BC386*(1-PARAM!$C$27)*$I$16+(MOD($B386,60)=PARAM!$B$56)*($B386&gt;(60-PARAM!$B$56))*HLOOKUP(($B386+PARAM!$B$56)/12,Loyalty,2)*$F$1*MAX(BF385,0)</f>
        <v>18.557001321003963</v>
      </c>
      <c r="BE386" s="75">
        <f>PARAM!$C$26+MAX($G$16-CHOOSE(PARAM!$B$44,MAX(0,BF385*$F$1),0),0)*RATES!$L362/12+$H$16*(PARAM!$D$51/12)*RATES!$N362/100</f>
        <v>46.208333333333336</v>
      </c>
      <c r="BF386" s="16">
        <f t="shared" si="254"/>
        <v>-642.86121664180928</v>
      </c>
      <c r="BG386" s="15">
        <f t="shared" si="229"/>
        <v>22.170849845882874</v>
      </c>
      <c r="BH386" s="75">
        <f>BG386*(1-PARAM!$C$27)*$I$17+(MOD($B386,60)=PARAM!$B$56)*($B386&gt;(60-PARAM!$B$56))*HLOOKUP(($B386+PARAM!$B$56)/12,Loyalty,2)*$F$1*MAX(BJ385,0)</f>
        <v>18.557001321003963</v>
      </c>
      <c r="BI386" s="75">
        <f>PARAM!$C$26+MAX($G$17-CHOOSE(PARAM!$B$44,MAX(0,BJ385*$F$1),0),0)*RATES!$L362/12+$H$17*(PARAM!$D$51/12)*RATES!$N362/100</f>
        <v>46.208333333333336</v>
      </c>
      <c r="BJ386" s="16">
        <f t="shared" si="255"/>
        <v>-642.86121664180928</v>
      </c>
      <c r="BK386" s="15">
        <f t="shared" si="230"/>
        <v>22.170849845882874</v>
      </c>
      <c r="BL386" s="75">
        <f>BK386*(1-PARAM!$C$27)*$I$18+(MOD($B386,60)=PARAM!$B$56)*($B386&gt;(60-PARAM!$B$56))*HLOOKUP(($B386+PARAM!$B$56)/12,Loyalty,2)*$F$1*MAX(BN385,0)</f>
        <v>18.557001321003963</v>
      </c>
      <c r="BM386" s="75">
        <f>PARAM!$C$26+MAX($G$18-CHOOSE(PARAM!$B$44,MAX(0,BN385*$F$1),0),0)*RATES!$L362/12+$H$18*(PARAM!$D$51/12)*RATES!$N362/100</f>
        <v>46.208333333333336</v>
      </c>
      <c r="BN386" s="16">
        <f t="shared" si="256"/>
        <v>-642.86121664180928</v>
      </c>
      <c r="BO386" s="15">
        <f t="shared" si="231"/>
        <v>22.170849845882874</v>
      </c>
      <c r="BP386" s="75">
        <f>BO386*(1-PARAM!$C$27)*$I$19+(MOD($B386,60)=PARAM!$B$56)*($B386&gt;(60-PARAM!$B$56))*HLOOKUP(($B386+PARAM!$B$56)/12,Loyalty,2)*$F$1*MAX(BR385,0)</f>
        <v>18.557001321003963</v>
      </c>
      <c r="BQ386" s="75">
        <f>PARAM!$C$26+MAX($G$19-CHOOSE(PARAM!$B$44,MAX(0,BR385*$F$1),0),0)*RATES!$L362/12+$H$19*(PARAM!$D$51/12)*RATES!$N362/100</f>
        <v>46.208333333333336</v>
      </c>
      <c r="BR386" s="16">
        <f t="shared" si="257"/>
        <v>-642.86121664180928</v>
      </c>
      <c r="BS386" s="15">
        <f t="shared" si="232"/>
        <v>22.170849845882874</v>
      </c>
      <c r="BT386" s="75">
        <f>BS386*(1-PARAM!$C$27)*$I$20+(MOD($B386,60)=PARAM!$B$56)*($B386&gt;(60-PARAM!$B$56))*HLOOKUP(($B386+PARAM!$B$56)/12,Loyalty,2)*$F$1*MAX(BV385,0)</f>
        <v>18.557001321003963</v>
      </c>
      <c r="BU386" s="75">
        <f>PARAM!$C$26+MAX($G$20-CHOOSE(PARAM!$B$44,MAX(0,BV385*$F$1),0),0)*RATES!$L362/12+$H$20*(PARAM!$D$51/12)*RATES!$N362/100</f>
        <v>46.208333333333336</v>
      </c>
      <c r="BV386" s="16">
        <f t="shared" si="258"/>
        <v>-642.86121664180928</v>
      </c>
      <c r="BW386" s="15">
        <f t="shared" si="233"/>
        <v>22.170849845882874</v>
      </c>
      <c r="BX386" s="75">
        <f>BW386*(1-PARAM!$C$27)*$I$21+(MOD($B386,60)=PARAM!$B$56)*($B386&gt;(60-PARAM!$B$56))*HLOOKUP(($B386+PARAM!$B$56)/12,Loyalty,2)*$F$1*MAX(BZ385,0)</f>
        <v>18.557001321003963</v>
      </c>
      <c r="BY386" s="75">
        <f>PARAM!$C$26+MAX($G$21-CHOOSE(PARAM!$B$44,MAX(0,BZ385*$F$1),0),0)*RATES!$L362/12+$H$21*(PARAM!$D$51/12)*RATES!$N362/100</f>
        <v>46.208333333333336</v>
      </c>
      <c r="BZ386" s="16">
        <f t="shared" si="259"/>
        <v>-642.86121664180928</v>
      </c>
      <c r="CA386" s="15">
        <f t="shared" si="234"/>
        <v>22.170849845882874</v>
      </c>
      <c r="CB386" s="75">
        <f>CA386*(1-PARAM!$C$27)*$I$22+(MOD($B386,60)=PARAM!$B$56)*($B386&gt;(60-PARAM!$B$56))*HLOOKUP(($B386+PARAM!$B$56)/12,Loyalty,2)*$F$1*MAX(CD385,0)</f>
        <v>18.557001321003963</v>
      </c>
      <c r="CC386" s="75">
        <f>PARAM!$C$26+MAX($G$22-CHOOSE(PARAM!$B$44,MAX(0,CD385*$F$1),0),0)*RATES!$L362/12+$H$22*(PARAM!$D$51/12)*RATES!$N362/100</f>
        <v>46.208333333333336</v>
      </c>
      <c r="CD386" s="16">
        <f t="shared" si="260"/>
        <v>-642.86121664180928</v>
      </c>
      <c r="CE386" s="33">
        <f>IF(0=MOD(B386,12/PARAM!$D$51),1,0)</f>
        <v>1</v>
      </c>
      <c r="CF386" s="15">
        <f t="shared" si="235"/>
        <v>0</v>
      </c>
      <c r="CG386" s="75">
        <f>CF386*(1-PARAM!$C$27)*$R$3+(MOD($B386/12,5)=0)*($B386&gt;60)*HLOOKUP($B386/12,Loyalty,2)*$F$1*MAX(CI385,0)</f>
        <v>0</v>
      </c>
      <c r="CH386" s="75">
        <f>PARAM!$C$26+MAX($P$3-CHOOSE(PARAM!$B$44,MAX(0,CI385*$F$1),0),0)*RATES!$L362/12+$Q$3*(PARAM!$D$51/12)*RATES!$N362/100</f>
        <v>46.208333333333336</v>
      </c>
      <c r="CI386" s="16">
        <f>IF(CI385&gt;0,CI385*PARAM!$C$53,CI385)+CG386-CH386</f>
        <v>-7185.2499999999873</v>
      </c>
      <c r="CJ386" s="15">
        <f t="shared" si="261"/>
        <v>0</v>
      </c>
      <c r="CK386" s="75">
        <f>CJ386*(1-PARAM!$C$27)*$R$4+(MOD($B386/12,5)=0)*($B386&gt;60)*HLOOKUP($B386/12,Loyalty,2)*$F$1*MAX(CM385,0)</f>
        <v>0</v>
      </c>
      <c r="CL386" s="75">
        <f>PARAM!$C$26+MAX($P$4-CHOOSE(PARAM!$B$44,MAX(0,CM385*$F$1),0),0)*RATES!$L362/12+$Q$4*(PARAM!$D$51/12)*RATES!$N362/100</f>
        <v>46.208333333333336</v>
      </c>
      <c r="CM386" s="16">
        <f>IF(CM385&gt;0,CM385*PARAM!$C$53,CM385)+CK386-CL386</f>
        <v>-7185.2499999999873</v>
      </c>
      <c r="CO386" s="176"/>
    </row>
    <row r="387" spans="1:93" x14ac:dyDescent="0.2">
      <c r="A387" t="b">
        <f t="shared" si="236"/>
        <v>0</v>
      </c>
      <c r="B387" s="33">
        <v>360</v>
      </c>
      <c r="C387" s="15">
        <f t="shared" si="237"/>
        <v>20.081305947392778</v>
      </c>
      <c r="D387" s="75">
        <f>C387*(1-PARAM!$C$27)*$I$3+(MOD($B387,60)=PARAM!$B$56)*($B387&gt;(60-PARAM!$B$56))*HLOOKUP(($B387+PARAM!$B$56)/12,Loyalty,2)*$F$1*MAX(F386,0)</f>
        <v>16.808053077967756</v>
      </c>
      <c r="E387" s="75">
        <f>PARAM!$C$26+MAX($G$3-CHOOSE(PARAM!$B$44,MAX(0,F386*$F$1),0),0)*RATES!$L363/12+$H$3*(PARAM!$D$51/12)*RATES!$N363/100</f>
        <v>46.208333333333336</v>
      </c>
      <c r="F387" s="16">
        <f t="shared" si="238"/>
        <v>-1336.9844166686751</v>
      </c>
      <c r="G387" s="15">
        <f t="shared" si="239"/>
        <v>22.035289406060361</v>
      </c>
      <c r="H387" s="75">
        <f>G387*(1-PARAM!$C$27)*$I$4+(MOD($B387,60)=PARAM!$B$56)*($B387&gt;(60-PARAM!$B$56))*HLOOKUP(($B387+PARAM!$B$56)/12,Loyalty,2)*$F$1*MAX(J386,0)</f>
        <v>18.443537232872522</v>
      </c>
      <c r="I387" s="75">
        <f>PARAM!$C$26+MAX($G$4-CHOOSE(PARAM!$B$44,MAX(0,J386*$F$1),0),0)*RATES!$L363/12+$H$4*(PARAM!$D$51/12)*RATES!$N363/100</f>
        <v>46.208333333333336</v>
      </c>
      <c r="J387" s="16">
        <f t="shared" si="240"/>
        <v>-714.37715678125141</v>
      </c>
      <c r="K387" s="15">
        <f t="shared" si="241"/>
        <v>22.170849845882874</v>
      </c>
      <c r="L387" s="75">
        <f>K387*(1-PARAM!$C$27)*$I$5+(MOD($B387,60)=PARAM!$B$56)*($B387&gt;(60-PARAM!$B$56))*HLOOKUP(($B387+PARAM!$B$56)/12,Loyalty,2)*$F$1*MAX(N386,0)</f>
        <v>18.557001321003963</v>
      </c>
      <c r="M387" s="75">
        <f>PARAM!$C$26+MAX($G$5-CHOOSE(PARAM!$B$44,MAX(0,N386*$F$1),0),0)*RATES!$L363/12+$H$5*(PARAM!$D$51/12)*RATES!$N363/100</f>
        <v>46.208333333333336</v>
      </c>
      <c r="N387" s="16">
        <f t="shared" si="242"/>
        <v>-670.51254865413864</v>
      </c>
      <c r="O387" s="15">
        <f t="shared" si="243"/>
        <v>22.170849845882874</v>
      </c>
      <c r="P387" s="75">
        <f>O387*(1-PARAM!$C$27)*$I$6+(MOD($B387,60)=PARAM!$B$56)*($B387&gt;(60-PARAM!$B$56))*HLOOKUP(($B387+PARAM!$B$56)/12,Loyalty,2)*$F$1*MAX(R386,0)</f>
        <v>18.557001321003963</v>
      </c>
      <c r="Q387" s="75">
        <f>PARAM!$C$26+MAX($G$6-CHOOSE(PARAM!$B$44,MAX(0,R386*$F$1),0),0)*RATES!$L363/12+$H$6*(PARAM!$D$51/12)*RATES!$N363/100</f>
        <v>46.208333333333336</v>
      </c>
      <c r="R387" s="16">
        <f t="shared" si="244"/>
        <v>-670.51254865413864</v>
      </c>
      <c r="S387" s="15">
        <f t="shared" si="219"/>
        <v>22.170849845882874</v>
      </c>
      <c r="T387" s="75">
        <f>S387*(1-PARAM!$C$27)*$I$7+(MOD($B387,60)=PARAM!$B$56)*($B387&gt;(60-PARAM!$B$56))*HLOOKUP(($B387+PARAM!$B$56)/12,Loyalty,2)*$F$1*MAX(V386,0)</f>
        <v>18.557001321003963</v>
      </c>
      <c r="U387" s="75">
        <f>PARAM!$C$26+MAX($G$7-CHOOSE(PARAM!$B$44,MAX(0,V386*$F$1),0),0)*RATES!$L363/12+$H$7*(PARAM!$D$51/12)*RATES!$N363/100</f>
        <v>46.208333333333336</v>
      </c>
      <c r="V387" s="16">
        <f t="shared" si="245"/>
        <v>-670.51254865413864</v>
      </c>
      <c r="W387" s="15">
        <f t="shared" si="220"/>
        <v>22.170849845882874</v>
      </c>
      <c r="X387" s="75">
        <f>W387*(1-PARAM!$C$27)*$I$8+(MOD($B387,60)=PARAM!$B$56)*($B387&gt;(60-PARAM!$B$56))*HLOOKUP(($B387+PARAM!$B$56)/12,Loyalty,2)*$F$1*MAX(Z386,0)</f>
        <v>18.557001321003963</v>
      </c>
      <c r="Y387" s="75">
        <f>PARAM!$C$26+MAX($G$8-CHOOSE(PARAM!$B$44,MAX(0,Z386*$F$1),0),0)*RATES!$L363/12+$H$8*(PARAM!$D$51/12)*RATES!$N363/100</f>
        <v>46.208333333333336</v>
      </c>
      <c r="Z387" s="16">
        <f t="shared" si="246"/>
        <v>-670.51254865413864</v>
      </c>
      <c r="AA387" s="15">
        <f t="shared" si="221"/>
        <v>22.170849845882874</v>
      </c>
      <c r="AB387" s="75">
        <f>AA387*(1-PARAM!$C$27)*$I$9+(MOD($B387,60)=PARAM!$B$56)*($B387&gt;(60-PARAM!$B$56))*HLOOKUP(($B387+PARAM!$B$56)/12,Loyalty,2)*$F$1*MAX(AD386,0)</f>
        <v>18.557001321003963</v>
      </c>
      <c r="AC387" s="75">
        <f>PARAM!$C$26+MAX($G$9-CHOOSE(PARAM!$B$44,MAX(0,AD386*$F$1),0),0)*RATES!$L363/12+$H$9*(PARAM!$D$51/12)*RATES!$N363/100</f>
        <v>46.208333333333336</v>
      </c>
      <c r="AD387" s="16">
        <f t="shared" si="247"/>
        <v>-670.51254865413864</v>
      </c>
      <c r="AE387" s="15">
        <f t="shared" si="222"/>
        <v>22.170849845882874</v>
      </c>
      <c r="AF387" s="75">
        <f>AE387*(1-PARAM!$C$27)*$I$10+(MOD($B387,60)=PARAM!$B$56)*($B387&gt;(60-PARAM!$B$56))*HLOOKUP(($B387+PARAM!$B$56)/12,Loyalty,2)*$F$1*MAX(AH386,0)</f>
        <v>18.557001321003963</v>
      </c>
      <c r="AG387" s="75">
        <f>PARAM!$C$26+MAX($G$10-CHOOSE(PARAM!$B$44,MAX(0,AH386*$F$1),0),0)*RATES!$L363/12+$H$10*(PARAM!$D$51/12)*RATES!$N363/100</f>
        <v>46.208333333333336</v>
      </c>
      <c r="AH387" s="16">
        <f t="shared" si="248"/>
        <v>-670.51254865413864</v>
      </c>
      <c r="AI387" s="15">
        <f t="shared" si="223"/>
        <v>22.170849845882874</v>
      </c>
      <c r="AJ387" s="75">
        <f>AI387*(1-PARAM!$C$27)*$I$11+(MOD($B387,60)=PARAM!$B$56)*($B387&gt;(60-PARAM!$B$56))*HLOOKUP(($B387+PARAM!$B$56)/12,Loyalty,2)*$F$1*MAX(AL386,0)</f>
        <v>18.557001321003963</v>
      </c>
      <c r="AK387" s="75">
        <f>PARAM!$C$26+MAX($G$11-CHOOSE(PARAM!$B$44,MAX(0,AL386*$F$1),0),0)*RATES!$L363/12+$H$11*(PARAM!$D$51/12)*RATES!$N363/100</f>
        <v>46.208333333333336</v>
      </c>
      <c r="AL387" s="16">
        <f t="shared" si="249"/>
        <v>-670.51254865413864</v>
      </c>
      <c r="AM387" s="15">
        <f t="shared" si="224"/>
        <v>22.170849845882874</v>
      </c>
      <c r="AN387" s="75">
        <f>AM387*(1-PARAM!$C$27)*$I$12+(MOD($B387,60)=PARAM!$B$56)*($B387&gt;(60-PARAM!$B$56))*HLOOKUP(($B387+PARAM!$B$56)/12,Loyalty,2)*$F$1*MAX(AP386,0)</f>
        <v>18.557001321003963</v>
      </c>
      <c r="AO387" s="75">
        <f>PARAM!$C$26+MAX($G$12-CHOOSE(PARAM!$B$44,MAX(0,AP386*$F$1),0),0)*RATES!$L363/12+$H$12*(PARAM!$D$51/12)*RATES!$N363/100</f>
        <v>46.208333333333336</v>
      </c>
      <c r="AP387" s="16">
        <f t="shared" si="250"/>
        <v>-670.51254865413864</v>
      </c>
      <c r="AQ387" s="15">
        <f t="shared" si="225"/>
        <v>22.170849845882874</v>
      </c>
      <c r="AR387" s="75">
        <f>AQ387*(1-PARAM!$C$27)*$I$13+(MOD($B387,60)=PARAM!$B$56)*($B387&gt;(60-PARAM!$B$56))*HLOOKUP(($B387+PARAM!$B$56)/12,Loyalty,2)*$F$1*MAX(AT386,0)</f>
        <v>18.557001321003963</v>
      </c>
      <c r="AS387" s="75">
        <f>PARAM!$C$26+MAX($G$13-CHOOSE(PARAM!$B$44,MAX(0,AT386*$F$1),0),0)*RATES!$L363/12+$H$13*(PARAM!$D$51/12)*RATES!$N363/100</f>
        <v>46.208333333333336</v>
      </c>
      <c r="AT387" s="16">
        <f t="shared" si="251"/>
        <v>-670.51254865413864</v>
      </c>
      <c r="AU387" s="15">
        <f t="shared" si="226"/>
        <v>22.170849845882874</v>
      </c>
      <c r="AV387" s="75">
        <f>AU387*(1-PARAM!$C$27)*$I$14+(MOD($B387,60)=PARAM!$B$56)*($B387&gt;(60-PARAM!$B$56))*HLOOKUP(($B387+PARAM!$B$56)/12,Loyalty,2)*$F$1*MAX(AX386,0)</f>
        <v>18.557001321003963</v>
      </c>
      <c r="AW387" s="75">
        <f>PARAM!$C$26+MAX($G$14-CHOOSE(PARAM!$B$44,MAX(0,AX386*$F$1),0),0)*RATES!$L363/12+$H$14*(PARAM!$D$51/12)*RATES!$N363/100</f>
        <v>46.208333333333336</v>
      </c>
      <c r="AX387" s="16">
        <f t="shared" si="252"/>
        <v>-670.51254865413864</v>
      </c>
      <c r="AY387" s="15">
        <f t="shared" si="227"/>
        <v>22.170849845882874</v>
      </c>
      <c r="AZ387" s="75">
        <f>AY387*(1-PARAM!$C$27)*$I$15+(MOD($B387,60)=PARAM!$B$56)*($B387&gt;(60-PARAM!$B$56))*HLOOKUP(($B387+PARAM!$B$56)/12,Loyalty,2)*$F$1*MAX(BB386,0)</f>
        <v>18.557001321003963</v>
      </c>
      <c r="BA387" s="75">
        <f>PARAM!$C$26+MAX($G$15-CHOOSE(PARAM!$B$44,MAX(0,BB386*$F$1),0),0)*RATES!$L363/12+$H$15*(PARAM!$D$51/12)*RATES!$N363/100</f>
        <v>46.208333333333336</v>
      </c>
      <c r="BB387" s="16">
        <f t="shared" si="253"/>
        <v>-670.51254865413864</v>
      </c>
      <c r="BC387" s="15">
        <f t="shared" si="228"/>
        <v>22.170849845882874</v>
      </c>
      <c r="BD387" s="75">
        <f>BC387*(1-PARAM!$C$27)*$I$16+(MOD($B387,60)=PARAM!$B$56)*($B387&gt;(60-PARAM!$B$56))*HLOOKUP(($B387+PARAM!$B$56)/12,Loyalty,2)*$F$1*MAX(BF386,0)</f>
        <v>18.557001321003963</v>
      </c>
      <c r="BE387" s="75">
        <f>PARAM!$C$26+MAX($G$16-CHOOSE(PARAM!$B$44,MAX(0,BF386*$F$1),0),0)*RATES!$L363/12+$H$16*(PARAM!$D$51/12)*RATES!$N363/100</f>
        <v>46.208333333333336</v>
      </c>
      <c r="BF387" s="16">
        <f t="shared" si="254"/>
        <v>-670.51254865413864</v>
      </c>
      <c r="BG387" s="15">
        <f t="shared" si="229"/>
        <v>22.170849845882874</v>
      </c>
      <c r="BH387" s="75">
        <f>BG387*(1-PARAM!$C$27)*$I$17+(MOD($B387,60)=PARAM!$B$56)*($B387&gt;(60-PARAM!$B$56))*HLOOKUP(($B387+PARAM!$B$56)/12,Loyalty,2)*$F$1*MAX(BJ386,0)</f>
        <v>18.557001321003963</v>
      </c>
      <c r="BI387" s="75">
        <f>PARAM!$C$26+MAX($G$17-CHOOSE(PARAM!$B$44,MAX(0,BJ386*$F$1),0),0)*RATES!$L363/12+$H$17*(PARAM!$D$51/12)*RATES!$N363/100</f>
        <v>46.208333333333336</v>
      </c>
      <c r="BJ387" s="16">
        <f t="shared" si="255"/>
        <v>-670.51254865413864</v>
      </c>
      <c r="BK387" s="15">
        <f t="shared" si="230"/>
        <v>22.170849845882874</v>
      </c>
      <c r="BL387" s="75">
        <f>BK387*(1-PARAM!$C$27)*$I$18+(MOD($B387,60)=PARAM!$B$56)*($B387&gt;(60-PARAM!$B$56))*HLOOKUP(($B387+PARAM!$B$56)/12,Loyalty,2)*$F$1*MAX(BN386,0)</f>
        <v>18.557001321003963</v>
      </c>
      <c r="BM387" s="75">
        <f>PARAM!$C$26+MAX($G$18-CHOOSE(PARAM!$B$44,MAX(0,BN386*$F$1),0),0)*RATES!$L363/12+$H$18*(PARAM!$D$51/12)*RATES!$N363/100</f>
        <v>46.208333333333336</v>
      </c>
      <c r="BN387" s="16">
        <f t="shared" si="256"/>
        <v>-670.51254865413864</v>
      </c>
      <c r="BO387" s="15">
        <f t="shared" si="231"/>
        <v>22.170849845882874</v>
      </c>
      <c r="BP387" s="75">
        <f>BO387*(1-PARAM!$C$27)*$I$19+(MOD($B387,60)=PARAM!$B$56)*($B387&gt;(60-PARAM!$B$56))*HLOOKUP(($B387+PARAM!$B$56)/12,Loyalty,2)*$F$1*MAX(BR386,0)</f>
        <v>18.557001321003963</v>
      </c>
      <c r="BQ387" s="75">
        <f>PARAM!$C$26+MAX($G$19-CHOOSE(PARAM!$B$44,MAX(0,BR386*$F$1),0),0)*RATES!$L363/12+$H$19*(PARAM!$D$51/12)*RATES!$N363/100</f>
        <v>46.208333333333336</v>
      </c>
      <c r="BR387" s="16">
        <f t="shared" si="257"/>
        <v>-670.51254865413864</v>
      </c>
      <c r="BS387" s="15">
        <f t="shared" si="232"/>
        <v>22.170849845882874</v>
      </c>
      <c r="BT387" s="75">
        <f>BS387*(1-PARAM!$C$27)*$I$20+(MOD($B387,60)=PARAM!$B$56)*($B387&gt;(60-PARAM!$B$56))*HLOOKUP(($B387+PARAM!$B$56)/12,Loyalty,2)*$F$1*MAX(BV386,0)</f>
        <v>18.557001321003963</v>
      </c>
      <c r="BU387" s="75">
        <f>PARAM!$C$26+MAX($G$20-CHOOSE(PARAM!$B$44,MAX(0,BV386*$F$1),0),0)*RATES!$L363/12+$H$20*(PARAM!$D$51/12)*RATES!$N363/100</f>
        <v>46.208333333333336</v>
      </c>
      <c r="BV387" s="16">
        <f t="shared" si="258"/>
        <v>-670.51254865413864</v>
      </c>
      <c r="BW387" s="15">
        <f t="shared" si="233"/>
        <v>22.170849845882874</v>
      </c>
      <c r="BX387" s="75">
        <f>BW387*(1-PARAM!$C$27)*$I$21+(MOD($B387,60)=PARAM!$B$56)*($B387&gt;(60-PARAM!$B$56))*HLOOKUP(($B387+PARAM!$B$56)/12,Loyalty,2)*$F$1*MAX(BZ386,0)</f>
        <v>18.557001321003963</v>
      </c>
      <c r="BY387" s="75">
        <f>PARAM!$C$26+MAX($G$21-CHOOSE(PARAM!$B$44,MAX(0,BZ386*$F$1),0),0)*RATES!$L363/12+$H$21*(PARAM!$D$51/12)*RATES!$N363/100</f>
        <v>46.208333333333336</v>
      </c>
      <c r="BZ387" s="16">
        <f t="shared" si="259"/>
        <v>-670.51254865413864</v>
      </c>
      <c r="CA387" s="15">
        <f t="shared" si="234"/>
        <v>22.170849845882874</v>
      </c>
      <c r="CB387" s="75">
        <f>CA387*(1-PARAM!$C$27)*$I$22+(MOD($B387,60)=PARAM!$B$56)*($B387&gt;(60-PARAM!$B$56))*HLOOKUP(($B387+PARAM!$B$56)/12,Loyalty,2)*$F$1*MAX(CD386,0)</f>
        <v>18.557001321003963</v>
      </c>
      <c r="CC387" s="75">
        <f>PARAM!$C$26+MAX($G$22-CHOOSE(PARAM!$B$44,MAX(0,CD386*$F$1),0),0)*RATES!$L363/12+$H$22*(PARAM!$D$51/12)*RATES!$N363/100</f>
        <v>46.208333333333336</v>
      </c>
      <c r="CD387" s="16">
        <f t="shared" si="260"/>
        <v>-670.51254865413864</v>
      </c>
      <c r="CE387" s="33">
        <f>IF(0=MOD(B387,12/PARAM!$D$51),1,0)</f>
        <v>1</v>
      </c>
      <c r="CF387" s="15">
        <f t="shared" si="235"/>
        <v>0</v>
      </c>
      <c r="CG387" s="75">
        <f>CF387*(1-PARAM!$C$27)*$R$3+(MOD($B387/12,5)=0)*($B387&gt;60)*HLOOKUP($B387/12,Loyalty,2)*$F$1*MAX(CI386,0)</f>
        <v>0</v>
      </c>
      <c r="CH387" s="75">
        <f>PARAM!$C$26+MAX($P$3-CHOOSE(PARAM!$B$44,MAX(0,CI386*$F$1),0),0)*RATES!$L363/12+$Q$3*(PARAM!$D$51/12)*RATES!$N363/100</f>
        <v>46.208333333333336</v>
      </c>
      <c r="CI387" s="16">
        <f>IF(CI386&gt;0,CI386*PARAM!$C$53,CI386)+CG387-CH387</f>
        <v>-7231.4583333333203</v>
      </c>
      <c r="CJ387" s="15">
        <f t="shared" si="261"/>
        <v>0</v>
      </c>
      <c r="CK387" s="75">
        <f>CJ387*(1-PARAM!$C$27)*$R$4+(MOD($B387/12,5)=0)*($B387&gt;60)*HLOOKUP($B387/12,Loyalty,2)*$F$1*MAX(CM386,0)</f>
        <v>0</v>
      </c>
      <c r="CL387" s="75">
        <f>PARAM!$C$26+MAX($P$4-CHOOSE(PARAM!$B$44,MAX(0,CM386*$F$1),0),0)*RATES!$L363/12+$Q$4*(PARAM!$D$51/12)*RATES!$N363/100</f>
        <v>46.208333333333336</v>
      </c>
      <c r="CM387" s="16">
        <f>IF(CM386&gt;0,CM386*PARAM!$C$53,CM386)+CK387-CL387</f>
        <v>-7231.4583333333203</v>
      </c>
      <c r="CO387" s="176"/>
    </row>
    <row r="388" spans="1:93" x14ac:dyDescent="0.2">
      <c r="A388" t="b">
        <f t="shared" si="236"/>
        <v>0</v>
      </c>
      <c r="B388" s="33">
        <v>361</v>
      </c>
      <c r="C388" s="15">
        <f t="shared" si="237"/>
        <v>20.081305947392778</v>
      </c>
      <c r="D388" s="75">
        <f>C388*(1-PARAM!$C$27)*$I$3+(MOD($B388,60)=PARAM!$B$56)*($B388&gt;(60-PARAM!$B$56))*HLOOKUP(($B388+PARAM!$B$56)/12,Loyalty,2)*$F$1*MAX(F387,0)</f>
        <v>16.808053077967756</v>
      </c>
      <c r="E388" s="75">
        <f>PARAM!$C$26+MAX($G$3-CHOOSE(PARAM!$B$44,MAX(0,F387*$F$1),0),0)*RATES!$L364/12+$H$3*(PARAM!$D$51/12)*RATES!$N364/100</f>
        <v>46.208333333333336</v>
      </c>
      <c r="F388" s="16">
        <f t="shared" si="238"/>
        <v>-1366.3846969240406</v>
      </c>
      <c r="G388" s="15">
        <f t="shared" si="239"/>
        <v>22.035289406060361</v>
      </c>
      <c r="H388" s="75">
        <f>G388*(1-PARAM!$C$27)*$I$4+(MOD($B388,60)=PARAM!$B$56)*($B388&gt;(60-PARAM!$B$56))*HLOOKUP(($B388+PARAM!$B$56)/12,Loyalty,2)*$F$1*MAX(J387,0)</f>
        <v>18.443537232872522</v>
      </c>
      <c r="I388" s="75">
        <f>PARAM!$C$26+MAX($G$4-CHOOSE(PARAM!$B$44,MAX(0,J387*$F$1),0),0)*RATES!$L364/12+$H$4*(PARAM!$D$51/12)*RATES!$N364/100</f>
        <v>46.208333333333336</v>
      </c>
      <c r="J388" s="16">
        <f t="shared" si="240"/>
        <v>-742.14195288171231</v>
      </c>
      <c r="K388" s="15">
        <f t="shared" si="241"/>
        <v>22.170849845882874</v>
      </c>
      <c r="L388" s="75">
        <f>K388*(1-PARAM!$C$27)*$I$5+(MOD($B388,60)=PARAM!$B$56)*($B388&gt;(60-PARAM!$B$56))*HLOOKUP(($B388+PARAM!$B$56)/12,Loyalty,2)*$F$1*MAX(N387,0)</f>
        <v>18.557001321003963</v>
      </c>
      <c r="M388" s="75">
        <f>PARAM!$C$26+MAX($G$5-CHOOSE(PARAM!$B$44,MAX(0,N387*$F$1),0),0)*RATES!$L364/12+$H$5*(PARAM!$D$51/12)*RATES!$N364/100</f>
        <v>46.208333333333336</v>
      </c>
      <c r="N388" s="16">
        <f t="shared" si="242"/>
        <v>-698.163880666468</v>
      </c>
      <c r="O388" s="15">
        <f t="shared" si="243"/>
        <v>22.170849845882874</v>
      </c>
      <c r="P388" s="75">
        <f>O388*(1-PARAM!$C$27)*$I$6+(MOD($B388,60)=PARAM!$B$56)*($B388&gt;(60-PARAM!$B$56))*HLOOKUP(($B388+PARAM!$B$56)/12,Loyalty,2)*$F$1*MAX(R387,0)</f>
        <v>18.557001321003963</v>
      </c>
      <c r="Q388" s="75">
        <f>PARAM!$C$26+MAX($G$6-CHOOSE(PARAM!$B$44,MAX(0,R387*$F$1),0),0)*RATES!$L364/12+$H$6*(PARAM!$D$51/12)*RATES!$N364/100</f>
        <v>46.208333333333336</v>
      </c>
      <c r="R388" s="16">
        <f t="shared" si="244"/>
        <v>-698.163880666468</v>
      </c>
      <c r="S388" s="15">
        <f t="shared" si="219"/>
        <v>22.170849845882874</v>
      </c>
      <c r="T388" s="75">
        <f>S388*(1-PARAM!$C$27)*$I$7+(MOD($B388,60)=PARAM!$B$56)*($B388&gt;(60-PARAM!$B$56))*HLOOKUP(($B388+PARAM!$B$56)/12,Loyalty,2)*$F$1*MAX(V387,0)</f>
        <v>18.557001321003963</v>
      </c>
      <c r="U388" s="75">
        <f>PARAM!$C$26+MAX($G$7-CHOOSE(PARAM!$B$44,MAX(0,V387*$F$1),0),0)*RATES!$L364/12+$H$7*(PARAM!$D$51/12)*RATES!$N364/100</f>
        <v>46.208333333333336</v>
      </c>
      <c r="V388" s="16">
        <f t="shared" si="245"/>
        <v>-698.163880666468</v>
      </c>
      <c r="W388" s="15">
        <f t="shared" si="220"/>
        <v>22.170849845882874</v>
      </c>
      <c r="X388" s="75">
        <f>W388*(1-PARAM!$C$27)*$I$8+(MOD($B388,60)=PARAM!$B$56)*($B388&gt;(60-PARAM!$B$56))*HLOOKUP(($B388+PARAM!$B$56)/12,Loyalty,2)*$F$1*MAX(Z387,0)</f>
        <v>18.557001321003963</v>
      </c>
      <c r="Y388" s="75">
        <f>PARAM!$C$26+MAX($G$8-CHOOSE(PARAM!$B$44,MAX(0,Z387*$F$1),0),0)*RATES!$L364/12+$H$8*(PARAM!$D$51/12)*RATES!$N364/100</f>
        <v>46.208333333333336</v>
      </c>
      <c r="Z388" s="16">
        <f t="shared" si="246"/>
        <v>-698.163880666468</v>
      </c>
      <c r="AA388" s="15">
        <f t="shared" si="221"/>
        <v>22.170849845882874</v>
      </c>
      <c r="AB388" s="75">
        <f>AA388*(1-PARAM!$C$27)*$I$9+(MOD($B388,60)=PARAM!$B$56)*($B388&gt;(60-PARAM!$B$56))*HLOOKUP(($B388+PARAM!$B$56)/12,Loyalty,2)*$F$1*MAX(AD387,0)</f>
        <v>18.557001321003963</v>
      </c>
      <c r="AC388" s="75">
        <f>PARAM!$C$26+MAX($G$9-CHOOSE(PARAM!$B$44,MAX(0,AD387*$F$1),0),0)*RATES!$L364/12+$H$9*(PARAM!$D$51/12)*RATES!$N364/100</f>
        <v>46.208333333333336</v>
      </c>
      <c r="AD388" s="16">
        <f t="shared" si="247"/>
        <v>-698.163880666468</v>
      </c>
      <c r="AE388" s="15">
        <f t="shared" si="222"/>
        <v>22.170849845882874</v>
      </c>
      <c r="AF388" s="75">
        <f>AE388*(1-PARAM!$C$27)*$I$10+(MOD($B388,60)=PARAM!$B$56)*($B388&gt;(60-PARAM!$B$56))*HLOOKUP(($B388+PARAM!$B$56)/12,Loyalty,2)*$F$1*MAX(AH387,0)</f>
        <v>18.557001321003963</v>
      </c>
      <c r="AG388" s="75">
        <f>PARAM!$C$26+MAX($G$10-CHOOSE(PARAM!$B$44,MAX(0,AH387*$F$1),0),0)*RATES!$L364/12+$H$10*(PARAM!$D$51/12)*RATES!$N364/100</f>
        <v>46.208333333333336</v>
      </c>
      <c r="AH388" s="16">
        <f t="shared" si="248"/>
        <v>-698.163880666468</v>
      </c>
      <c r="AI388" s="15">
        <f t="shared" si="223"/>
        <v>22.170849845882874</v>
      </c>
      <c r="AJ388" s="75">
        <f>AI388*(1-PARAM!$C$27)*$I$11+(MOD($B388,60)=PARAM!$B$56)*($B388&gt;(60-PARAM!$B$56))*HLOOKUP(($B388+PARAM!$B$56)/12,Loyalty,2)*$F$1*MAX(AL387,0)</f>
        <v>18.557001321003963</v>
      </c>
      <c r="AK388" s="75">
        <f>PARAM!$C$26+MAX($G$11-CHOOSE(PARAM!$B$44,MAX(0,AL387*$F$1),0),0)*RATES!$L364/12+$H$11*(PARAM!$D$51/12)*RATES!$N364/100</f>
        <v>46.208333333333336</v>
      </c>
      <c r="AL388" s="16">
        <f t="shared" si="249"/>
        <v>-698.163880666468</v>
      </c>
      <c r="AM388" s="15">
        <f t="shared" si="224"/>
        <v>22.170849845882874</v>
      </c>
      <c r="AN388" s="75">
        <f>AM388*(1-PARAM!$C$27)*$I$12+(MOD($B388,60)=PARAM!$B$56)*($B388&gt;(60-PARAM!$B$56))*HLOOKUP(($B388+PARAM!$B$56)/12,Loyalty,2)*$F$1*MAX(AP387,0)</f>
        <v>18.557001321003963</v>
      </c>
      <c r="AO388" s="75">
        <f>PARAM!$C$26+MAX($G$12-CHOOSE(PARAM!$B$44,MAX(0,AP387*$F$1),0),0)*RATES!$L364/12+$H$12*(PARAM!$D$51/12)*RATES!$N364/100</f>
        <v>46.208333333333336</v>
      </c>
      <c r="AP388" s="16">
        <f t="shared" si="250"/>
        <v>-698.163880666468</v>
      </c>
      <c r="AQ388" s="15">
        <f t="shared" si="225"/>
        <v>22.170849845882874</v>
      </c>
      <c r="AR388" s="75">
        <f>AQ388*(1-PARAM!$C$27)*$I$13+(MOD($B388,60)=PARAM!$B$56)*($B388&gt;(60-PARAM!$B$56))*HLOOKUP(($B388+PARAM!$B$56)/12,Loyalty,2)*$F$1*MAX(AT387,0)</f>
        <v>18.557001321003963</v>
      </c>
      <c r="AS388" s="75">
        <f>PARAM!$C$26+MAX($G$13-CHOOSE(PARAM!$B$44,MAX(0,AT387*$F$1),0),0)*RATES!$L364/12+$H$13*(PARAM!$D$51/12)*RATES!$N364/100</f>
        <v>46.208333333333336</v>
      </c>
      <c r="AT388" s="16">
        <f t="shared" si="251"/>
        <v>-698.163880666468</v>
      </c>
      <c r="AU388" s="15">
        <f t="shared" si="226"/>
        <v>22.170849845882874</v>
      </c>
      <c r="AV388" s="75">
        <f>AU388*(1-PARAM!$C$27)*$I$14+(MOD($B388,60)=PARAM!$B$56)*($B388&gt;(60-PARAM!$B$56))*HLOOKUP(($B388+PARAM!$B$56)/12,Loyalty,2)*$F$1*MAX(AX387,0)</f>
        <v>18.557001321003963</v>
      </c>
      <c r="AW388" s="75">
        <f>PARAM!$C$26+MAX($G$14-CHOOSE(PARAM!$B$44,MAX(0,AX387*$F$1),0),0)*RATES!$L364/12+$H$14*(PARAM!$D$51/12)*RATES!$N364/100</f>
        <v>46.208333333333336</v>
      </c>
      <c r="AX388" s="16">
        <f t="shared" si="252"/>
        <v>-698.163880666468</v>
      </c>
      <c r="AY388" s="15">
        <f t="shared" si="227"/>
        <v>22.170849845882874</v>
      </c>
      <c r="AZ388" s="75">
        <f>AY388*(1-PARAM!$C$27)*$I$15+(MOD($B388,60)=PARAM!$B$56)*($B388&gt;(60-PARAM!$B$56))*HLOOKUP(($B388+PARAM!$B$56)/12,Loyalty,2)*$F$1*MAX(BB387,0)</f>
        <v>18.557001321003963</v>
      </c>
      <c r="BA388" s="75">
        <f>PARAM!$C$26+MAX($G$15-CHOOSE(PARAM!$B$44,MAX(0,BB387*$F$1),0),0)*RATES!$L364/12+$H$15*(PARAM!$D$51/12)*RATES!$N364/100</f>
        <v>46.208333333333336</v>
      </c>
      <c r="BB388" s="16">
        <f t="shared" si="253"/>
        <v>-698.163880666468</v>
      </c>
      <c r="BC388" s="15">
        <f t="shared" si="228"/>
        <v>22.170849845882874</v>
      </c>
      <c r="BD388" s="75">
        <f>BC388*(1-PARAM!$C$27)*$I$16+(MOD($B388,60)=PARAM!$B$56)*($B388&gt;(60-PARAM!$B$56))*HLOOKUP(($B388+PARAM!$B$56)/12,Loyalty,2)*$F$1*MAX(BF387,0)</f>
        <v>18.557001321003963</v>
      </c>
      <c r="BE388" s="75">
        <f>PARAM!$C$26+MAX($G$16-CHOOSE(PARAM!$B$44,MAX(0,BF387*$F$1),0),0)*RATES!$L364/12+$H$16*(PARAM!$D$51/12)*RATES!$N364/100</f>
        <v>46.208333333333336</v>
      </c>
      <c r="BF388" s="16">
        <f t="shared" si="254"/>
        <v>-698.163880666468</v>
      </c>
      <c r="BG388" s="15">
        <f t="shared" si="229"/>
        <v>22.170849845882874</v>
      </c>
      <c r="BH388" s="75">
        <f>BG388*(1-PARAM!$C$27)*$I$17+(MOD($B388,60)=PARAM!$B$56)*($B388&gt;(60-PARAM!$B$56))*HLOOKUP(($B388+PARAM!$B$56)/12,Loyalty,2)*$F$1*MAX(BJ387,0)</f>
        <v>18.557001321003963</v>
      </c>
      <c r="BI388" s="75">
        <f>PARAM!$C$26+MAX($G$17-CHOOSE(PARAM!$B$44,MAX(0,BJ387*$F$1),0),0)*RATES!$L364/12+$H$17*(PARAM!$D$51/12)*RATES!$N364/100</f>
        <v>46.208333333333336</v>
      </c>
      <c r="BJ388" s="16">
        <f t="shared" si="255"/>
        <v>-698.163880666468</v>
      </c>
      <c r="BK388" s="15">
        <f t="shared" si="230"/>
        <v>22.170849845882874</v>
      </c>
      <c r="BL388" s="75">
        <f>BK388*(1-PARAM!$C$27)*$I$18+(MOD($B388,60)=PARAM!$B$56)*($B388&gt;(60-PARAM!$B$56))*HLOOKUP(($B388+PARAM!$B$56)/12,Loyalty,2)*$F$1*MAX(BN387,0)</f>
        <v>18.557001321003963</v>
      </c>
      <c r="BM388" s="75">
        <f>PARAM!$C$26+MAX($G$18-CHOOSE(PARAM!$B$44,MAX(0,BN387*$F$1),0),0)*RATES!$L364/12+$H$18*(PARAM!$D$51/12)*RATES!$N364/100</f>
        <v>46.208333333333336</v>
      </c>
      <c r="BN388" s="16">
        <f t="shared" si="256"/>
        <v>-698.163880666468</v>
      </c>
      <c r="BO388" s="15">
        <f t="shared" si="231"/>
        <v>22.170849845882874</v>
      </c>
      <c r="BP388" s="75">
        <f>BO388*(1-PARAM!$C$27)*$I$19+(MOD($B388,60)=PARAM!$B$56)*($B388&gt;(60-PARAM!$B$56))*HLOOKUP(($B388+PARAM!$B$56)/12,Loyalty,2)*$F$1*MAX(BR387,0)</f>
        <v>18.557001321003963</v>
      </c>
      <c r="BQ388" s="75">
        <f>PARAM!$C$26+MAX($G$19-CHOOSE(PARAM!$B$44,MAX(0,BR387*$F$1),0),0)*RATES!$L364/12+$H$19*(PARAM!$D$51/12)*RATES!$N364/100</f>
        <v>46.208333333333336</v>
      </c>
      <c r="BR388" s="16">
        <f t="shared" si="257"/>
        <v>-698.163880666468</v>
      </c>
      <c r="BS388" s="15">
        <f t="shared" si="232"/>
        <v>22.170849845882874</v>
      </c>
      <c r="BT388" s="75">
        <f>BS388*(1-PARAM!$C$27)*$I$20+(MOD($B388,60)=PARAM!$B$56)*($B388&gt;(60-PARAM!$B$56))*HLOOKUP(($B388+PARAM!$B$56)/12,Loyalty,2)*$F$1*MAX(BV387,0)</f>
        <v>18.557001321003963</v>
      </c>
      <c r="BU388" s="75">
        <f>PARAM!$C$26+MAX($G$20-CHOOSE(PARAM!$B$44,MAX(0,BV387*$F$1),0),0)*RATES!$L364/12+$H$20*(PARAM!$D$51/12)*RATES!$N364/100</f>
        <v>46.208333333333336</v>
      </c>
      <c r="BV388" s="16">
        <f t="shared" si="258"/>
        <v>-698.163880666468</v>
      </c>
      <c r="BW388" s="15">
        <f t="shared" si="233"/>
        <v>22.170849845882874</v>
      </c>
      <c r="BX388" s="75">
        <f>BW388*(1-PARAM!$C$27)*$I$21+(MOD($B388,60)=PARAM!$B$56)*($B388&gt;(60-PARAM!$B$56))*HLOOKUP(($B388+PARAM!$B$56)/12,Loyalty,2)*$F$1*MAX(BZ387,0)</f>
        <v>18.557001321003963</v>
      </c>
      <c r="BY388" s="75">
        <f>PARAM!$C$26+MAX($G$21-CHOOSE(PARAM!$B$44,MAX(0,BZ387*$F$1),0),0)*RATES!$L364/12+$H$21*(PARAM!$D$51/12)*RATES!$N364/100</f>
        <v>46.208333333333336</v>
      </c>
      <c r="BZ388" s="16">
        <f t="shared" si="259"/>
        <v>-698.163880666468</v>
      </c>
      <c r="CA388" s="15">
        <f t="shared" si="234"/>
        <v>22.170849845882874</v>
      </c>
      <c r="CB388" s="75">
        <f>CA388*(1-PARAM!$C$27)*$I$22+(MOD($B388,60)=PARAM!$B$56)*($B388&gt;(60-PARAM!$B$56))*HLOOKUP(($B388+PARAM!$B$56)/12,Loyalty,2)*$F$1*MAX(CD387,0)</f>
        <v>18.557001321003963</v>
      </c>
      <c r="CC388" s="75">
        <f>PARAM!$C$26+MAX($G$22-CHOOSE(PARAM!$B$44,MAX(0,CD387*$F$1),0),0)*RATES!$L364/12+$H$22*(PARAM!$D$51/12)*RATES!$N364/100</f>
        <v>46.208333333333336</v>
      </c>
      <c r="CD388" s="16">
        <f t="shared" si="260"/>
        <v>-698.163880666468</v>
      </c>
      <c r="CE388" s="33">
        <f>IF(0=MOD(B388,12/PARAM!$D$51),1,0)</f>
        <v>1</v>
      </c>
      <c r="CF388" s="15">
        <f t="shared" si="235"/>
        <v>0</v>
      </c>
      <c r="CG388" s="75">
        <f>CF388*(1-PARAM!$C$27)*$R$3+(MOD($B388/12,5)=0)*($B388&gt;60)*HLOOKUP($B388/12,Loyalty,2)*$F$1*MAX(CI387,0)</f>
        <v>0</v>
      </c>
      <c r="CH388" s="75">
        <f>PARAM!$C$26+MAX($P$3-CHOOSE(PARAM!$B$44,MAX(0,CI387*$F$1),0),0)*RATES!$L364/12+$Q$3*(PARAM!$D$51/12)*RATES!$N364/100</f>
        <v>46.208333333333336</v>
      </c>
      <c r="CI388" s="16">
        <f>IF(CI387&gt;0,CI387*PARAM!$C$53,CI387)+CG388-CH388</f>
        <v>-7277.6666666666533</v>
      </c>
      <c r="CJ388" s="15">
        <f t="shared" si="261"/>
        <v>0</v>
      </c>
      <c r="CK388" s="75">
        <f>CJ388*(1-PARAM!$C$27)*$R$4+(MOD($B388/12,5)=0)*($B388&gt;60)*HLOOKUP($B388/12,Loyalty,2)*$F$1*MAX(CM387,0)</f>
        <v>0</v>
      </c>
      <c r="CL388" s="75">
        <f>PARAM!$C$26+MAX($P$4-CHOOSE(PARAM!$B$44,MAX(0,CM387*$F$1),0),0)*RATES!$L364/12+$Q$4*(PARAM!$D$51/12)*RATES!$N364/100</f>
        <v>46.208333333333336</v>
      </c>
      <c r="CM388" s="16">
        <f>IF(CM387&gt;0,CM387*PARAM!$C$53,CM387)+CK388-CL388</f>
        <v>-7277.6666666666533</v>
      </c>
      <c r="CO388" s="176"/>
    </row>
    <row r="389" spans="1:93" x14ac:dyDescent="0.2">
      <c r="A389" t="b">
        <f t="shared" si="236"/>
        <v>0</v>
      </c>
      <c r="B389" s="33">
        <v>362</v>
      </c>
      <c r="C389" s="15">
        <f t="shared" si="237"/>
        <v>20.081305947392778</v>
      </c>
      <c r="D389" s="75">
        <f>C389*(1-PARAM!$C$27)*$I$3+(MOD($B389,60)=PARAM!$B$56)*($B389&gt;(60-PARAM!$B$56))*HLOOKUP(($B389+PARAM!$B$56)/12,Loyalty,2)*$F$1*MAX(F388,0)</f>
        <v>16.808053077967756</v>
      </c>
      <c r="E389" s="75">
        <f>PARAM!$C$26+MAX($G$3-CHOOSE(PARAM!$B$44,MAX(0,F388*$F$1),0),0)*RATES!$L365/12+$H$3*(PARAM!$D$51/12)*RATES!$N365/100</f>
        <v>46.208333333333336</v>
      </c>
      <c r="F389" s="16">
        <f t="shared" si="238"/>
        <v>-1395.784977179406</v>
      </c>
      <c r="G389" s="15">
        <f t="shared" si="239"/>
        <v>22.035289406060361</v>
      </c>
      <c r="H389" s="75">
        <f>G389*(1-PARAM!$C$27)*$I$4+(MOD($B389,60)=PARAM!$B$56)*($B389&gt;(60-PARAM!$B$56))*HLOOKUP(($B389+PARAM!$B$56)/12,Loyalty,2)*$F$1*MAX(J388,0)</f>
        <v>18.443537232872522</v>
      </c>
      <c r="I389" s="75">
        <f>PARAM!$C$26+MAX($G$4-CHOOSE(PARAM!$B$44,MAX(0,J388*$F$1),0),0)*RATES!$L365/12+$H$4*(PARAM!$D$51/12)*RATES!$N365/100</f>
        <v>46.208333333333336</v>
      </c>
      <c r="J389" s="16">
        <f t="shared" si="240"/>
        <v>-769.90674898217321</v>
      </c>
      <c r="K389" s="15">
        <f t="shared" si="241"/>
        <v>22.170849845882874</v>
      </c>
      <c r="L389" s="75">
        <f>K389*(1-PARAM!$C$27)*$I$5+(MOD($B389,60)=PARAM!$B$56)*($B389&gt;(60-PARAM!$B$56))*HLOOKUP(($B389+PARAM!$B$56)/12,Loyalty,2)*$F$1*MAX(N388,0)</f>
        <v>18.557001321003963</v>
      </c>
      <c r="M389" s="75">
        <f>PARAM!$C$26+MAX($G$5-CHOOSE(PARAM!$B$44,MAX(0,N388*$F$1),0),0)*RATES!$L365/12+$H$5*(PARAM!$D$51/12)*RATES!$N365/100</f>
        <v>46.208333333333336</v>
      </c>
      <c r="N389" s="16">
        <f t="shared" si="242"/>
        <v>-725.81521267879737</v>
      </c>
      <c r="O389" s="15">
        <f t="shared" si="243"/>
        <v>22.170849845882874</v>
      </c>
      <c r="P389" s="75">
        <f>O389*(1-PARAM!$C$27)*$I$6+(MOD($B389,60)=PARAM!$B$56)*($B389&gt;(60-PARAM!$B$56))*HLOOKUP(($B389+PARAM!$B$56)/12,Loyalty,2)*$F$1*MAX(R388,0)</f>
        <v>18.557001321003963</v>
      </c>
      <c r="Q389" s="75">
        <f>PARAM!$C$26+MAX($G$6-CHOOSE(PARAM!$B$44,MAX(0,R388*$F$1),0),0)*RATES!$L365/12+$H$6*(PARAM!$D$51/12)*RATES!$N365/100</f>
        <v>46.208333333333336</v>
      </c>
      <c r="R389" s="16">
        <f t="shared" si="244"/>
        <v>-725.81521267879737</v>
      </c>
      <c r="S389" s="15">
        <f t="shared" si="219"/>
        <v>22.170849845882874</v>
      </c>
      <c r="T389" s="75">
        <f>S389*(1-PARAM!$C$27)*$I$7+(MOD($B389,60)=PARAM!$B$56)*($B389&gt;(60-PARAM!$B$56))*HLOOKUP(($B389+PARAM!$B$56)/12,Loyalty,2)*$F$1*MAX(V388,0)</f>
        <v>18.557001321003963</v>
      </c>
      <c r="U389" s="75">
        <f>PARAM!$C$26+MAX($G$7-CHOOSE(PARAM!$B$44,MAX(0,V388*$F$1),0),0)*RATES!$L365/12+$H$7*(PARAM!$D$51/12)*RATES!$N365/100</f>
        <v>46.208333333333336</v>
      </c>
      <c r="V389" s="16">
        <f t="shared" si="245"/>
        <v>-725.81521267879737</v>
      </c>
      <c r="W389" s="15">
        <f t="shared" si="220"/>
        <v>22.170849845882874</v>
      </c>
      <c r="X389" s="75">
        <f>W389*(1-PARAM!$C$27)*$I$8+(MOD($B389,60)=PARAM!$B$56)*($B389&gt;(60-PARAM!$B$56))*HLOOKUP(($B389+PARAM!$B$56)/12,Loyalty,2)*$F$1*MAX(Z388,0)</f>
        <v>18.557001321003963</v>
      </c>
      <c r="Y389" s="75">
        <f>PARAM!$C$26+MAX($G$8-CHOOSE(PARAM!$B$44,MAX(0,Z388*$F$1),0),0)*RATES!$L365/12+$H$8*(PARAM!$D$51/12)*RATES!$N365/100</f>
        <v>46.208333333333336</v>
      </c>
      <c r="Z389" s="16">
        <f t="shared" si="246"/>
        <v>-725.81521267879737</v>
      </c>
      <c r="AA389" s="15">
        <f t="shared" si="221"/>
        <v>22.170849845882874</v>
      </c>
      <c r="AB389" s="75">
        <f>AA389*(1-PARAM!$C$27)*$I$9+(MOD($B389,60)=PARAM!$B$56)*($B389&gt;(60-PARAM!$B$56))*HLOOKUP(($B389+PARAM!$B$56)/12,Loyalty,2)*$F$1*MAX(AD388,0)</f>
        <v>18.557001321003963</v>
      </c>
      <c r="AC389" s="75">
        <f>PARAM!$C$26+MAX($G$9-CHOOSE(PARAM!$B$44,MAX(0,AD388*$F$1),0),0)*RATES!$L365/12+$H$9*(PARAM!$D$51/12)*RATES!$N365/100</f>
        <v>46.208333333333336</v>
      </c>
      <c r="AD389" s="16">
        <f t="shared" si="247"/>
        <v>-725.81521267879737</v>
      </c>
      <c r="AE389" s="15">
        <f t="shared" si="222"/>
        <v>22.170849845882874</v>
      </c>
      <c r="AF389" s="75">
        <f>AE389*(1-PARAM!$C$27)*$I$10+(MOD($B389,60)=PARAM!$B$56)*($B389&gt;(60-PARAM!$B$56))*HLOOKUP(($B389+PARAM!$B$56)/12,Loyalty,2)*$F$1*MAX(AH388,0)</f>
        <v>18.557001321003963</v>
      </c>
      <c r="AG389" s="75">
        <f>PARAM!$C$26+MAX($G$10-CHOOSE(PARAM!$B$44,MAX(0,AH388*$F$1),0),0)*RATES!$L365/12+$H$10*(PARAM!$D$51/12)*RATES!$N365/100</f>
        <v>46.208333333333336</v>
      </c>
      <c r="AH389" s="16">
        <f t="shared" si="248"/>
        <v>-725.81521267879737</v>
      </c>
      <c r="AI389" s="15">
        <f t="shared" si="223"/>
        <v>22.170849845882874</v>
      </c>
      <c r="AJ389" s="75">
        <f>AI389*(1-PARAM!$C$27)*$I$11+(MOD($B389,60)=PARAM!$B$56)*($B389&gt;(60-PARAM!$B$56))*HLOOKUP(($B389+PARAM!$B$56)/12,Loyalty,2)*$F$1*MAX(AL388,0)</f>
        <v>18.557001321003963</v>
      </c>
      <c r="AK389" s="75">
        <f>PARAM!$C$26+MAX($G$11-CHOOSE(PARAM!$B$44,MAX(0,AL388*$F$1),0),0)*RATES!$L365/12+$H$11*(PARAM!$D$51/12)*RATES!$N365/100</f>
        <v>46.208333333333336</v>
      </c>
      <c r="AL389" s="16">
        <f t="shared" si="249"/>
        <v>-725.81521267879737</v>
      </c>
      <c r="AM389" s="15">
        <f t="shared" si="224"/>
        <v>22.170849845882874</v>
      </c>
      <c r="AN389" s="75">
        <f>AM389*(1-PARAM!$C$27)*$I$12+(MOD($B389,60)=PARAM!$B$56)*($B389&gt;(60-PARAM!$B$56))*HLOOKUP(($B389+PARAM!$B$56)/12,Loyalty,2)*$F$1*MAX(AP388,0)</f>
        <v>18.557001321003963</v>
      </c>
      <c r="AO389" s="75">
        <f>PARAM!$C$26+MAX($G$12-CHOOSE(PARAM!$B$44,MAX(0,AP388*$F$1),0),0)*RATES!$L365/12+$H$12*(PARAM!$D$51/12)*RATES!$N365/100</f>
        <v>46.208333333333336</v>
      </c>
      <c r="AP389" s="16">
        <f t="shared" si="250"/>
        <v>-725.81521267879737</v>
      </c>
      <c r="AQ389" s="15">
        <f t="shared" si="225"/>
        <v>22.170849845882874</v>
      </c>
      <c r="AR389" s="75">
        <f>AQ389*(1-PARAM!$C$27)*$I$13+(MOD($B389,60)=PARAM!$B$56)*($B389&gt;(60-PARAM!$B$56))*HLOOKUP(($B389+PARAM!$B$56)/12,Loyalty,2)*$F$1*MAX(AT388,0)</f>
        <v>18.557001321003963</v>
      </c>
      <c r="AS389" s="75">
        <f>PARAM!$C$26+MAX($G$13-CHOOSE(PARAM!$B$44,MAX(0,AT388*$F$1),0),0)*RATES!$L365/12+$H$13*(PARAM!$D$51/12)*RATES!$N365/100</f>
        <v>46.208333333333336</v>
      </c>
      <c r="AT389" s="16">
        <f t="shared" si="251"/>
        <v>-725.81521267879737</v>
      </c>
      <c r="AU389" s="15">
        <f t="shared" si="226"/>
        <v>22.170849845882874</v>
      </c>
      <c r="AV389" s="75">
        <f>AU389*(1-PARAM!$C$27)*$I$14+(MOD($B389,60)=PARAM!$B$56)*($B389&gt;(60-PARAM!$B$56))*HLOOKUP(($B389+PARAM!$B$56)/12,Loyalty,2)*$F$1*MAX(AX388,0)</f>
        <v>18.557001321003963</v>
      </c>
      <c r="AW389" s="75">
        <f>PARAM!$C$26+MAX($G$14-CHOOSE(PARAM!$B$44,MAX(0,AX388*$F$1),0),0)*RATES!$L365/12+$H$14*(PARAM!$D$51/12)*RATES!$N365/100</f>
        <v>46.208333333333336</v>
      </c>
      <c r="AX389" s="16">
        <f t="shared" si="252"/>
        <v>-725.81521267879737</v>
      </c>
      <c r="AY389" s="15">
        <f t="shared" si="227"/>
        <v>22.170849845882874</v>
      </c>
      <c r="AZ389" s="75">
        <f>AY389*(1-PARAM!$C$27)*$I$15+(MOD($B389,60)=PARAM!$B$56)*($B389&gt;(60-PARAM!$B$56))*HLOOKUP(($B389+PARAM!$B$56)/12,Loyalty,2)*$F$1*MAX(BB388,0)</f>
        <v>18.557001321003963</v>
      </c>
      <c r="BA389" s="75">
        <f>PARAM!$C$26+MAX($G$15-CHOOSE(PARAM!$B$44,MAX(0,BB388*$F$1),0),0)*RATES!$L365/12+$H$15*(PARAM!$D$51/12)*RATES!$N365/100</f>
        <v>46.208333333333336</v>
      </c>
      <c r="BB389" s="16">
        <f t="shared" si="253"/>
        <v>-725.81521267879737</v>
      </c>
      <c r="BC389" s="15">
        <f t="shared" si="228"/>
        <v>22.170849845882874</v>
      </c>
      <c r="BD389" s="75">
        <f>BC389*(1-PARAM!$C$27)*$I$16+(MOD($B389,60)=PARAM!$B$56)*($B389&gt;(60-PARAM!$B$56))*HLOOKUP(($B389+PARAM!$B$56)/12,Loyalty,2)*$F$1*MAX(BF388,0)</f>
        <v>18.557001321003963</v>
      </c>
      <c r="BE389" s="75">
        <f>PARAM!$C$26+MAX($G$16-CHOOSE(PARAM!$B$44,MAX(0,BF388*$F$1),0),0)*RATES!$L365/12+$H$16*(PARAM!$D$51/12)*RATES!$N365/100</f>
        <v>46.208333333333336</v>
      </c>
      <c r="BF389" s="16">
        <f t="shared" si="254"/>
        <v>-725.81521267879737</v>
      </c>
      <c r="BG389" s="15">
        <f t="shared" si="229"/>
        <v>22.170849845882874</v>
      </c>
      <c r="BH389" s="75">
        <f>BG389*(1-PARAM!$C$27)*$I$17+(MOD($B389,60)=PARAM!$B$56)*($B389&gt;(60-PARAM!$B$56))*HLOOKUP(($B389+PARAM!$B$56)/12,Loyalty,2)*$F$1*MAX(BJ388,0)</f>
        <v>18.557001321003963</v>
      </c>
      <c r="BI389" s="75">
        <f>PARAM!$C$26+MAX($G$17-CHOOSE(PARAM!$B$44,MAX(0,BJ388*$F$1),0),0)*RATES!$L365/12+$H$17*(PARAM!$D$51/12)*RATES!$N365/100</f>
        <v>46.208333333333336</v>
      </c>
      <c r="BJ389" s="16">
        <f t="shared" si="255"/>
        <v>-725.81521267879737</v>
      </c>
      <c r="BK389" s="15">
        <f t="shared" si="230"/>
        <v>22.170849845882874</v>
      </c>
      <c r="BL389" s="75">
        <f>BK389*(1-PARAM!$C$27)*$I$18+(MOD($B389,60)=PARAM!$B$56)*($B389&gt;(60-PARAM!$B$56))*HLOOKUP(($B389+PARAM!$B$56)/12,Loyalty,2)*$F$1*MAX(BN388,0)</f>
        <v>18.557001321003963</v>
      </c>
      <c r="BM389" s="75">
        <f>PARAM!$C$26+MAX($G$18-CHOOSE(PARAM!$B$44,MAX(0,BN388*$F$1),0),0)*RATES!$L365/12+$H$18*(PARAM!$D$51/12)*RATES!$N365/100</f>
        <v>46.208333333333336</v>
      </c>
      <c r="BN389" s="16">
        <f t="shared" si="256"/>
        <v>-725.81521267879737</v>
      </c>
      <c r="BO389" s="15">
        <f t="shared" si="231"/>
        <v>22.170849845882874</v>
      </c>
      <c r="BP389" s="75">
        <f>BO389*(1-PARAM!$C$27)*$I$19+(MOD($B389,60)=PARAM!$B$56)*($B389&gt;(60-PARAM!$B$56))*HLOOKUP(($B389+PARAM!$B$56)/12,Loyalty,2)*$F$1*MAX(BR388,0)</f>
        <v>18.557001321003963</v>
      </c>
      <c r="BQ389" s="75">
        <f>PARAM!$C$26+MAX($G$19-CHOOSE(PARAM!$B$44,MAX(0,BR388*$F$1),0),0)*RATES!$L365/12+$H$19*(PARAM!$D$51/12)*RATES!$N365/100</f>
        <v>46.208333333333336</v>
      </c>
      <c r="BR389" s="16">
        <f t="shared" si="257"/>
        <v>-725.81521267879737</v>
      </c>
      <c r="BS389" s="15">
        <f t="shared" si="232"/>
        <v>22.170849845882874</v>
      </c>
      <c r="BT389" s="75">
        <f>BS389*(1-PARAM!$C$27)*$I$20+(MOD($B389,60)=PARAM!$B$56)*($B389&gt;(60-PARAM!$B$56))*HLOOKUP(($B389+PARAM!$B$56)/12,Loyalty,2)*$F$1*MAX(BV388,0)</f>
        <v>18.557001321003963</v>
      </c>
      <c r="BU389" s="75">
        <f>PARAM!$C$26+MAX($G$20-CHOOSE(PARAM!$B$44,MAX(0,BV388*$F$1),0),0)*RATES!$L365/12+$H$20*(PARAM!$D$51/12)*RATES!$N365/100</f>
        <v>46.208333333333336</v>
      </c>
      <c r="BV389" s="16">
        <f t="shared" si="258"/>
        <v>-725.81521267879737</v>
      </c>
      <c r="BW389" s="15">
        <f t="shared" si="233"/>
        <v>22.170849845882874</v>
      </c>
      <c r="BX389" s="75">
        <f>BW389*(1-PARAM!$C$27)*$I$21+(MOD($B389,60)=PARAM!$B$56)*($B389&gt;(60-PARAM!$B$56))*HLOOKUP(($B389+PARAM!$B$56)/12,Loyalty,2)*$F$1*MAX(BZ388,0)</f>
        <v>18.557001321003963</v>
      </c>
      <c r="BY389" s="75">
        <f>PARAM!$C$26+MAX($G$21-CHOOSE(PARAM!$B$44,MAX(0,BZ388*$F$1),0),0)*RATES!$L365/12+$H$21*(PARAM!$D$51/12)*RATES!$N365/100</f>
        <v>46.208333333333336</v>
      </c>
      <c r="BZ389" s="16">
        <f t="shared" si="259"/>
        <v>-725.81521267879737</v>
      </c>
      <c r="CA389" s="15">
        <f t="shared" si="234"/>
        <v>22.170849845882874</v>
      </c>
      <c r="CB389" s="75">
        <f>CA389*(1-PARAM!$C$27)*$I$22+(MOD($B389,60)=PARAM!$B$56)*($B389&gt;(60-PARAM!$B$56))*HLOOKUP(($B389+PARAM!$B$56)/12,Loyalty,2)*$F$1*MAX(CD388,0)</f>
        <v>18.557001321003963</v>
      </c>
      <c r="CC389" s="75">
        <f>PARAM!$C$26+MAX($G$22-CHOOSE(PARAM!$B$44,MAX(0,CD388*$F$1),0),0)*RATES!$L365/12+$H$22*(PARAM!$D$51/12)*RATES!$N365/100</f>
        <v>46.208333333333336</v>
      </c>
      <c r="CD389" s="16">
        <f t="shared" si="260"/>
        <v>-725.81521267879737</v>
      </c>
      <c r="CE389" s="33">
        <f>IF(0=MOD(B389,12/PARAM!$D$51),1,0)</f>
        <v>1</v>
      </c>
      <c r="CF389" s="15">
        <f t="shared" si="235"/>
        <v>0</v>
      </c>
      <c r="CG389" s="75">
        <f>CF389*(1-PARAM!$C$27)*$R$3+(MOD($B389/12,5)=0)*($B389&gt;60)*HLOOKUP($B389/12,Loyalty,2)*$F$1*MAX(CI388,0)</f>
        <v>0</v>
      </c>
      <c r="CH389" s="75">
        <f>PARAM!$C$26+MAX($P$3-CHOOSE(PARAM!$B$44,MAX(0,CI388*$F$1),0),0)*RATES!$L365/12+$Q$3*(PARAM!$D$51/12)*RATES!$N365/100</f>
        <v>46.208333333333336</v>
      </c>
      <c r="CI389" s="16">
        <f>IF(CI388&gt;0,CI388*PARAM!$C$53,CI388)+CG389-CH389</f>
        <v>-7323.8749999999864</v>
      </c>
      <c r="CJ389" s="15">
        <f t="shared" si="261"/>
        <v>0</v>
      </c>
      <c r="CK389" s="75">
        <f>CJ389*(1-PARAM!$C$27)*$R$4+(MOD($B389/12,5)=0)*($B389&gt;60)*HLOOKUP($B389/12,Loyalty,2)*$F$1*MAX(CM388,0)</f>
        <v>0</v>
      </c>
      <c r="CL389" s="75">
        <f>PARAM!$C$26+MAX($P$4-CHOOSE(PARAM!$B$44,MAX(0,CM388*$F$1),0),0)*RATES!$L365/12+$Q$4*(PARAM!$D$51/12)*RATES!$N365/100</f>
        <v>46.208333333333336</v>
      </c>
      <c r="CM389" s="16">
        <f>IF(CM388&gt;0,CM388*PARAM!$C$53,CM388)+CK389-CL389</f>
        <v>-7323.8749999999864</v>
      </c>
      <c r="CO389" s="176"/>
    </row>
    <row r="390" spans="1:93" x14ac:dyDescent="0.2">
      <c r="A390" t="b">
        <f t="shared" si="236"/>
        <v>0</v>
      </c>
      <c r="B390" s="33">
        <v>363</v>
      </c>
      <c r="C390" s="15">
        <f t="shared" si="237"/>
        <v>20.081305947392778</v>
      </c>
      <c r="D390" s="75">
        <f>C390*(1-PARAM!$C$27)*$I$3+(MOD($B390,60)=PARAM!$B$56)*($B390&gt;(60-PARAM!$B$56))*HLOOKUP(($B390+PARAM!$B$56)/12,Loyalty,2)*$F$1*MAX(F389,0)</f>
        <v>16.808053077967756</v>
      </c>
      <c r="E390" s="75">
        <f>PARAM!$C$26+MAX($G$3-CHOOSE(PARAM!$B$44,MAX(0,F389*$F$1),0),0)*RATES!$L366/12+$H$3*(PARAM!$D$51/12)*RATES!$N366/100</f>
        <v>46.208333333333336</v>
      </c>
      <c r="F390" s="16">
        <f t="shared" si="238"/>
        <v>-1425.1852574347715</v>
      </c>
      <c r="G390" s="15">
        <f t="shared" si="239"/>
        <v>22.035289406060361</v>
      </c>
      <c r="H390" s="75">
        <f>G390*(1-PARAM!$C$27)*$I$4+(MOD($B390,60)=PARAM!$B$56)*($B390&gt;(60-PARAM!$B$56))*HLOOKUP(($B390+PARAM!$B$56)/12,Loyalty,2)*$F$1*MAX(J389,0)</f>
        <v>18.443537232872522</v>
      </c>
      <c r="I390" s="75">
        <f>PARAM!$C$26+MAX($G$4-CHOOSE(PARAM!$B$44,MAX(0,J389*$F$1),0),0)*RATES!$L366/12+$H$4*(PARAM!$D$51/12)*RATES!$N366/100</f>
        <v>46.208333333333336</v>
      </c>
      <c r="J390" s="16">
        <f t="shared" si="240"/>
        <v>-797.67154508263411</v>
      </c>
      <c r="K390" s="15">
        <f t="shared" si="241"/>
        <v>22.170849845882874</v>
      </c>
      <c r="L390" s="75">
        <f>K390*(1-PARAM!$C$27)*$I$5+(MOD($B390,60)=PARAM!$B$56)*($B390&gt;(60-PARAM!$B$56))*HLOOKUP(($B390+PARAM!$B$56)/12,Loyalty,2)*$F$1*MAX(N389,0)</f>
        <v>18.557001321003963</v>
      </c>
      <c r="M390" s="75">
        <f>PARAM!$C$26+MAX($G$5-CHOOSE(PARAM!$B$44,MAX(0,N389*$F$1),0),0)*RATES!$L366/12+$H$5*(PARAM!$D$51/12)*RATES!$N366/100</f>
        <v>46.208333333333336</v>
      </c>
      <c r="N390" s="16">
        <f t="shared" si="242"/>
        <v>-753.46654469112673</v>
      </c>
      <c r="O390" s="15">
        <f t="shared" si="243"/>
        <v>22.170849845882874</v>
      </c>
      <c r="P390" s="75">
        <f>O390*(1-PARAM!$C$27)*$I$6+(MOD($B390,60)=PARAM!$B$56)*($B390&gt;(60-PARAM!$B$56))*HLOOKUP(($B390+PARAM!$B$56)/12,Loyalty,2)*$F$1*MAX(R389,0)</f>
        <v>18.557001321003963</v>
      </c>
      <c r="Q390" s="75">
        <f>PARAM!$C$26+MAX($G$6-CHOOSE(PARAM!$B$44,MAX(0,R389*$F$1),0),0)*RATES!$L366/12+$H$6*(PARAM!$D$51/12)*RATES!$N366/100</f>
        <v>46.208333333333336</v>
      </c>
      <c r="R390" s="16">
        <f t="shared" si="244"/>
        <v>-753.46654469112673</v>
      </c>
      <c r="S390" s="15">
        <f t="shared" si="219"/>
        <v>22.170849845882874</v>
      </c>
      <c r="T390" s="75">
        <f>S390*(1-PARAM!$C$27)*$I$7+(MOD($B390,60)=PARAM!$B$56)*($B390&gt;(60-PARAM!$B$56))*HLOOKUP(($B390+PARAM!$B$56)/12,Loyalty,2)*$F$1*MAX(V389,0)</f>
        <v>18.557001321003963</v>
      </c>
      <c r="U390" s="75">
        <f>PARAM!$C$26+MAX($G$7-CHOOSE(PARAM!$B$44,MAX(0,V389*$F$1),0),0)*RATES!$L366/12+$H$7*(PARAM!$D$51/12)*RATES!$N366/100</f>
        <v>46.208333333333336</v>
      </c>
      <c r="V390" s="16">
        <f t="shared" si="245"/>
        <v>-753.46654469112673</v>
      </c>
      <c r="W390" s="15">
        <f t="shared" si="220"/>
        <v>22.170849845882874</v>
      </c>
      <c r="X390" s="75">
        <f>W390*(1-PARAM!$C$27)*$I$8+(MOD($B390,60)=PARAM!$B$56)*($B390&gt;(60-PARAM!$B$56))*HLOOKUP(($B390+PARAM!$B$56)/12,Loyalty,2)*$F$1*MAX(Z389,0)</f>
        <v>18.557001321003963</v>
      </c>
      <c r="Y390" s="75">
        <f>PARAM!$C$26+MAX($G$8-CHOOSE(PARAM!$B$44,MAX(0,Z389*$F$1),0),0)*RATES!$L366/12+$H$8*(PARAM!$D$51/12)*RATES!$N366/100</f>
        <v>46.208333333333336</v>
      </c>
      <c r="Z390" s="16">
        <f t="shared" si="246"/>
        <v>-753.46654469112673</v>
      </c>
      <c r="AA390" s="15">
        <f t="shared" si="221"/>
        <v>22.170849845882874</v>
      </c>
      <c r="AB390" s="75">
        <f>AA390*(1-PARAM!$C$27)*$I$9+(MOD($B390,60)=PARAM!$B$56)*($B390&gt;(60-PARAM!$B$56))*HLOOKUP(($B390+PARAM!$B$56)/12,Loyalty,2)*$F$1*MAX(AD389,0)</f>
        <v>18.557001321003963</v>
      </c>
      <c r="AC390" s="75">
        <f>PARAM!$C$26+MAX($G$9-CHOOSE(PARAM!$B$44,MAX(0,AD389*$F$1),0),0)*RATES!$L366/12+$H$9*(PARAM!$D$51/12)*RATES!$N366/100</f>
        <v>46.208333333333336</v>
      </c>
      <c r="AD390" s="16">
        <f t="shared" si="247"/>
        <v>-753.46654469112673</v>
      </c>
      <c r="AE390" s="15">
        <f t="shared" si="222"/>
        <v>22.170849845882874</v>
      </c>
      <c r="AF390" s="75">
        <f>AE390*(1-PARAM!$C$27)*$I$10+(MOD($B390,60)=PARAM!$B$56)*($B390&gt;(60-PARAM!$B$56))*HLOOKUP(($B390+PARAM!$B$56)/12,Loyalty,2)*$F$1*MAX(AH389,0)</f>
        <v>18.557001321003963</v>
      </c>
      <c r="AG390" s="75">
        <f>PARAM!$C$26+MAX($G$10-CHOOSE(PARAM!$B$44,MAX(0,AH389*$F$1),0),0)*RATES!$L366/12+$H$10*(PARAM!$D$51/12)*RATES!$N366/100</f>
        <v>46.208333333333336</v>
      </c>
      <c r="AH390" s="16">
        <f t="shared" si="248"/>
        <v>-753.46654469112673</v>
      </c>
      <c r="AI390" s="15">
        <f t="shared" si="223"/>
        <v>22.170849845882874</v>
      </c>
      <c r="AJ390" s="75">
        <f>AI390*(1-PARAM!$C$27)*$I$11+(MOD($B390,60)=PARAM!$B$56)*($B390&gt;(60-PARAM!$B$56))*HLOOKUP(($B390+PARAM!$B$56)/12,Loyalty,2)*$F$1*MAX(AL389,0)</f>
        <v>18.557001321003963</v>
      </c>
      <c r="AK390" s="75">
        <f>PARAM!$C$26+MAX($G$11-CHOOSE(PARAM!$B$44,MAX(0,AL389*$F$1),0),0)*RATES!$L366/12+$H$11*(PARAM!$D$51/12)*RATES!$N366/100</f>
        <v>46.208333333333336</v>
      </c>
      <c r="AL390" s="16">
        <f t="shared" si="249"/>
        <v>-753.46654469112673</v>
      </c>
      <c r="AM390" s="15">
        <f t="shared" si="224"/>
        <v>22.170849845882874</v>
      </c>
      <c r="AN390" s="75">
        <f>AM390*(1-PARAM!$C$27)*$I$12+(MOD($B390,60)=PARAM!$B$56)*($B390&gt;(60-PARAM!$B$56))*HLOOKUP(($B390+PARAM!$B$56)/12,Loyalty,2)*$F$1*MAX(AP389,0)</f>
        <v>18.557001321003963</v>
      </c>
      <c r="AO390" s="75">
        <f>PARAM!$C$26+MAX($G$12-CHOOSE(PARAM!$B$44,MAX(0,AP389*$F$1),0),0)*RATES!$L366/12+$H$12*(PARAM!$D$51/12)*RATES!$N366/100</f>
        <v>46.208333333333336</v>
      </c>
      <c r="AP390" s="16">
        <f t="shared" si="250"/>
        <v>-753.46654469112673</v>
      </c>
      <c r="AQ390" s="15">
        <f t="shared" si="225"/>
        <v>22.170849845882874</v>
      </c>
      <c r="AR390" s="75">
        <f>AQ390*(1-PARAM!$C$27)*$I$13+(MOD($B390,60)=PARAM!$B$56)*($B390&gt;(60-PARAM!$B$56))*HLOOKUP(($B390+PARAM!$B$56)/12,Loyalty,2)*$F$1*MAX(AT389,0)</f>
        <v>18.557001321003963</v>
      </c>
      <c r="AS390" s="75">
        <f>PARAM!$C$26+MAX($G$13-CHOOSE(PARAM!$B$44,MAX(0,AT389*$F$1),0),0)*RATES!$L366/12+$H$13*(PARAM!$D$51/12)*RATES!$N366/100</f>
        <v>46.208333333333336</v>
      </c>
      <c r="AT390" s="16">
        <f t="shared" si="251"/>
        <v>-753.46654469112673</v>
      </c>
      <c r="AU390" s="15">
        <f t="shared" si="226"/>
        <v>22.170849845882874</v>
      </c>
      <c r="AV390" s="75">
        <f>AU390*(1-PARAM!$C$27)*$I$14+(MOD($B390,60)=PARAM!$B$56)*($B390&gt;(60-PARAM!$B$56))*HLOOKUP(($B390+PARAM!$B$56)/12,Loyalty,2)*$F$1*MAX(AX389,0)</f>
        <v>18.557001321003963</v>
      </c>
      <c r="AW390" s="75">
        <f>PARAM!$C$26+MAX($G$14-CHOOSE(PARAM!$B$44,MAX(0,AX389*$F$1),0),0)*RATES!$L366/12+$H$14*(PARAM!$D$51/12)*RATES!$N366/100</f>
        <v>46.208333333333336</v>
      </c>
      <c r="AX390" s="16">
        <f t="shared" si="252"/>
        <v>-753.46654469112673</v>
      </c>
      <c r="AY390" s="15">
        <f t="shared" si="227"/>
        <v>22.170849845882874</v>
      </c>
      <c r="AZ390" s="75">
        <f>AY390*(1-PARAM!$C$27)*$I$15+(MOD($B390,60)=PARAM!$B$56)*($B390&gt;(60-PARAM!$B$56))*HLOOKUP(($B390+PARAM!$B$56)/12,Loyalty,2)*$F$1*MAX(BB389,0)</f>
        <v>18.557001321003963</v>
      </c>
      <c r="BA390" s="75">
        <f>PARAM!$C$26+MAX($G$15-CHOOSE(PARAM!$B$44,MAX(0,BB389*$F$1),0),0)*RATES!$L366/12+$H$15*(PARAM!$D$51/12)*RATES!$N366/100</f>
        <v>46.208333333333336</v>
      </c>
      <c r="BB390" s="16">
        <f t="shared" si="253"/>
        <v>-753.46654469112673</v>
      </c>
      <c r="BC390" s="15">
        <f t="shared" si="228"/>
        <v>22.170849845882874</v>
      </c>
      <c r="BD390" s="75">
        <f>BC390*(1-PARAM!$C$27)*$I$16+(MOD($B390,60)=PARAM!$B$56)*($B390&gt;(60-PARAM!$B$56))*HLOOKUP(($B390+PARAM!$B$56)/12,Loyalty,2)*$F$1*MAX(BF389,0)</f>
        <v>18.557001321003963</v>
      </c>
      <c r="BE390" s="75">
        <f>PARAM!$C$26+MAX($G$16-CHOOSE(PARAM!$B$44,MAX(0,BF389*$F$1),0),0)*RATES!$L366/12+$H$16*(PARAM!$D$51/12)*RATES!$N366/100</f>
        <v>46.208333333333336</v>
      </c>
      <c r="BF390" s="16">
        <f t="shared" si="254"/>
        <v>-753.46654469112673</v>
      </c>
      <c r="BG390" s="15">
        <f t="shared" si="229"/>
        <v>22.170849845882874</v>
      </c>
      <c r="BH390" s="75">
        <f>BG390*(1-PARAM!$C$27)*$I$17+(MOD($B390,60)=PARAM!$B$56)*($B390&gt;(60-PARAM!$B$56))*HLOOKUP(($B390+PARAM!$B$56)/12,Loyalty,2)*$F$1*MAX(BJ389,0)</f>
        <v>18.557001321003963</v>
      </c>
      <c r="BI390" s="75">
        <f>PARAM!$C$26+MAX($G$17-CHOOSE(PARAM!$B$44,MAX(0,BJ389*$F$1),0),0)*RATES!$L366/12+$H$17*(PARAM!$D$51/12)*RATES!$N366/100</f>
        <v>46.208333333333336</v>
      </c>
      <c r="BJ390" s="16">
        <f t="shared" si="255"/>
        <v>-753.46654469112673</v>
      </c>
      <c r="BK390" s="15">
        <f t="shared" si="230"/>
        <v>22.170849845882874</v>
      </c>
      <c r="BL390" s="75">
        <f>BK390*(1-PARAM!$C$27)*$I$18+(MOD($B390,60)=PARAM!$B$56)*($B390&gt;(60-PARAM!$B$56))*HLOOKUP(($B390+PARAM!$B$56)/12,Loyalty,2)*$F$1*MAX(BN389,0)</f>
        <v>18.557001321003963</v>
      </c>
      <c r="BM390" s="75">
        <f>PARAM!$C$26+MAX($G$18-CHOOSE(PARAM!$B$44,MAX(0,BN389*$F$1),0),0)*RATES!$L366/12+$H$18*(PARAM!$D$51/12)*RATES!$N366/100</f>
        <v>46.208333333333336</v>
      </c>
      <c r="BN390" s="16">
        <f t="shared" si="256"/>
        <v>-753.46654469112673</v>
      </c>
      <c r="BO390" s="15">
        <f t="shared" si="231"/>
        <v>22.170849845882874</v>
      </c>
      <c r="BP390" s="75">
        <f>BO390*(1-PARAM!$C$27)*$I$19+(MOD($B390,60)=PARAM!$B$56)*($B390&gt;(60-PARAM!$B$56))*HLOOKUP(($B390+PARAM!$B$56)/12,Loyalty,2)*$F$1*MAX(BR389,0)</f>
        <v>18.557001321003963</v>
      </c>
      <c r="BQ390" s="75">
        <f>PARAM!$C$26+MAX($G$19-CHOOSE(PARAM!$B$44,MAX(0,BR389*$F$1),0),0)*RATES!$L366/12+$H$19*(PARAM!$D$51/12)*RATES!$N366/100</f>
        <v>46.208333333333336</v>
      </c>
      <c r="BR390" s="16">
        <f t="shared" si="257"/>
        <v>-753.46654469112673</v>
      </c>
      <c r="BS390" s="15">
        <f t="shared" si="232"/>
        <v>22.170849845882874</v>
      </c>
      <c r="BT390" s="75">
        <f>BS390*(1-PARAM!$C$27)*$I$20+(MOD($B390,60)=PARAM!$B$56)*($B390&gt;(60-PARAM!$B$56))*HLOOKUP(($B390+PARAM!$B$56)/12,Loyalty,2)*$F$1*MAX(BV389,0)</f>
        <v>18.557001321003963</v>
      </c>
      <c r="BU390" s="75">
        <f>PARAM!$C$26+MAX($G$20-CHOOSE(PARAM!$B$44,MAX(0,BV389*$F$1),0),0)*RATES!$L366/12+$H$20*(PARAM!$D$51/12)*RATES!$N366/100</f>
        <v>46.208333333333336</v>
      </c>
      <c r="BV390" s="16">
        <f t="shared" si="258"/>
        <v>-753.46654469112673</v>
      </c>
      <c r="BW390" s="15">
        <f t="shared" si="233"/>
        <v>22.170849845882874</v>
      </c>
      <c r="BX390" s="75">
        <f>BW390*(1-PARAM!$C$27)*$I$21+(MOD($B390,60)=PARAM!$B$56)*($B390&gt;(60-PARAM!$B$56))*HLOOKUP(($B390+PARAM!$B$56)/12,Loyalty,2)*$F$1*MAX(BZ389,0)</f>
        <v>18.557001321003963</v>
      </c>
      <c r="BY390" s="75">
        <f>PARAM!$C$26+MAX($G$21-CHOOSE(PARAM!$B$44,MAX(0,BZ389*$F$1),0),0)*RATES!$L366/12+$H$21*(PARAM!$D$51/12)*RATES!$N366/100</f>
        <v>46.208333333333336</v>
      </c>
      <c r="BZ390" s="16">
        <f t="shared" si="259"/>
        <v>-753.46654469112673</v>
      </c>
      <c r="CA390" s="15">
        <f t="shared" si="234"/>
        <v>22.170849845882874</v>
      </c>
      <c r="CB390" s="75">
        <f>CA390*(1-PARAM!$C$27)*$I$22+(MOD($B390,60)=PARAM!$B$56)*($B390&gt;(60-PARAM!$B$56))*HLOOKUP(($B390+PARAM!$B$56)/12,Loyalty,2)*$F$1*MAX(CD389,0)</f>
        <v>18.557001321003963</v>
      </c>
      <c r="CC390" s="75">
        <f>PARAM!$C$26+MAX($G$22-CHOOSE(PARAM!$B$44,MAX(0,CD389*$F$1),0),0)*RATES!$L366/12+$H$22*(PARAM!$D$51/12)*RATES!$N366/100</f>
        <v>46.208333333333336</v>
      </c>
      <c r="CD390" s="16">
        <f t="shared" si="260"/>
        <v>-753.46654469112673</v>
      </c>
      <c r="CE390" s="33">
        <f>IF(0=MOD(B390,12/PARAM!$D$51),1,0)</f>
        <v>1</v>
      </c>
      <c r="CF390" s="15">
        <f t="shared" si="235"/>
        <v>0</v>
      </c>
      <c r="CG390" s="75">
        <f>CF390*(1-PARAM!$C$27)*$R$3+(MOD($B390/12,5)=0)*($B390&gt;60)*HLOOKUP($B390/12,Loyalty,2)*$F$1*MAX(CI389,0)</f>
        <v>0</v>
      </c>
      <c r="CH390" s="75">
        <f>PARAM!$C$26+MAX($P$3-CHOOSE(PARAM!$B$44,MAX(0,CI389*$F$1),0),0)*RATES!$L366/12+$Q$3*(PARAM!$D$51/12)*RATES!$N366/100</f>
        <v>46.208333333333336</v>
      </c>
      <c r="CI390" s="16">
        <f>IF(CI389&gt;0,CI389*PARAM!$C$53,CI389)+CG390-CH390</f>
        <v>-7370.0833333333194</v>
      </c>
      <c r="CJ390" s="15">
        <f t="shared" si="261"/>
        <v>0</v>
      </c>
      <c r="CK390" s="75">
        <f>CJ390*(1-PARAM!$C$27)*$R$4+(MOD($B390/12,5)=0)*($B390&gt;60)*HLOOKUP($B390/12,Loyalty,2)*$F$1*MAX(CM389,0)</f>
        <v>0</v>
      </c>
      <c r="CL390" s="75">
        <f>PARAM!$C$26+MAX($P$4-CHOOSE(PARAM!$B$44,MAX(0,CM389*$F$1),0),0)*RATES!$L366/12+$Q$4*(PARAM!$D$51/12)*RATES!$N366/100</f>
        <v>46.208333333333336</v>
      </c>
      <c r="CM390" s="16">
        <f>IF(CM389&gt;0,CM389*PARAM!$C$53,CM389)+CK390-CL390</f>
        <v>-7370.0833333333194</v>
      </c>
      <c r="CO390" s="176"/>
    </row>
    <row r="391" spans="1:93" x14ac:dyDescent="0.2">
      <c r="A391" t="b">
        <f t="shared" si="236"/>
        <v>0</v>
      </c>
      <c r="B391" s="33">
        <v>364</v>
      </c>
      <c r="C391" s="15">
        <f t="shared" si="237"/>
        <v>20.081305947392778</v>
      </c>
      <c r="D391" s="75">
        <f>C391*(1-PARAM!$C$27)*$I$3+(MOD($B391,60)=PARAM!$B$56)*($B391&gt;(60-PARAM!$B$56))*HLOOKUP(($B391+PARAM!$B$56)/12,Loyalty,2)*$F$1*MAX(F390,0)</f>
        <v>16.808053077967756</v>
      </c>
      <c r="E391" s="75">
        <f>PARAM!$C$26+MAX($G$3-CHOOSE(PARAM!$B$44,MAX(0,F390*$F$1),0),0)*RATES!$L367/12+$H$3*(PARAM!$D$51/12)*RATES!$N367/100</f>
        <v>46.208333333333336</v>
      </c>
      <c r="F391" s="16">
        <f t="shared" si="238"/>
        <v>-1454.585537690137</v>
      </c>
      <c r="G391" s="15">
        <f t="shared" si="239"/>
        <v>22.035289406060361</v>
      </c>
      <c r="H391" s="75">
        <f>G391*(1-PARAM!$C$27)*$I$4+(MOD($B391,60)=PARAM!$B$56)*($B391&gt;(60-PARAM!$B$56))*HLOOKUP(($B391+PARAM!$B$56)/12,Loyalty,2)*$F$1*MAX(J390,0)</f>
        <v>18.443537232872522</v>
      </c>
      <c r="I391" s="75">
        <f>PARAM!$C$26+MAX($G$4-CHOOSE(PARAM!$B$44,MAX(0,J390*$F$1),0),0)*RATES!$L367/12+$H$4*(PARAM!$D$51/12)*RATES!$N367/100</f>
        <v>46.208333333333336</v>
      </c>
      <c r="J391" s="16">
        <f t="shared" si="240"/>
        <v>-825.43634118309501</v>
      </c>
      <c r="K391" s="15">
        <f t="shared" si="241"/>
        <v>22.170849845882874</v>
      </c>
      <c r="L391" s="75">
        <f>K391*(1-PARAM!$C$27)*$I$5+(MOD($B391,60)=PARAM!$B$56)*($B391&gt;(60-PARAM!$B$56))*HLOOKUP(($B391+PARAM!$B$56)/12,Loyalty,2)*$F$1*MAX(N390,0)</f>
        <v>18.557001321003963</v>
      </c>
      <c r="M391" s="75">
        <f>PARAM!$C$26+MAX($G$5-CHOOSE(PARAM!$B$44,MAX(0,N390*$F$1),0),0)*RATES!$L367/12+$H$5*(PARAM!$D$51/12)*RATES!$N367/100</f>
        <v>46.208333333333336</v>
      </c>
      <c r="N391" s="16">
        <f t="shared" si="242"/>
        <v>-781.11787670345609</v>
      </c>
      <c r="O391" s="15">
        <f t="shared" si="243"/>
        <v>22.170849845882874</v>
      </c>
      <c r="P391" s="75">
        <f>O391*(1-PARAM!$C$27)*$I$6+(MOD($B391,60)=PARAM!$B$56)*($B391&gt;(60-PARAM!$B$56))*HLOOKUP(($B391+PARAM!$B$56)/12,Loyalty,2)*$F$1*MAX(R390,0)</f>
        <v>18.557001321003963</v>
      </c>
      <c r="Q391" s="75">
        <f>PARAM!$C$26+MAX($G$6-CHOOSE(PARAM!$B$44,MAX(0,R390*$F$1),0),0)*RATES!$L367/12+$H$6*(PARAM!$D$51/12)*RATES!$N367/100</f>
        <v>46.208333333333336</v>
      </c>
      <c r="R391" s="16">
        <f t="shared" si="244"/>
        <v>-781.11787670345609</v>
      </c>
      <c r="S391" s="15">
        <f t="shared" si="219"/>
        <v>22.170849845882874</v>
      </c>
      <c r="T391" s="75">
        <f>S391*(1-PARAM!$C$27)*$I$7+(MOD($B391,60)=PARAM!$B$56)*($B391&gt;(60-PARAM!$B$56))*HLOOKUP(($B391+PARAM!$B$56)/12,Loyalty,2)*$F$1*MAX(V390,0)</f>
        <v>18.557001321003963</v>
      </c>
      <c r="U391" s="75">
        <f>PARAM!$C$26+MAX($G$7-CHOOSE(PARAM!$B$44,MAX(0,V390*$F$1),0),0)*RATES!$L367/12+$H$7*(PARAM!$D$51/12)*RATES!$N367/100</f>
        <v>46.208333333333336</v>
      </c>
      <c r="V391" s="16">
        <f t="shared" si="245"/>
        <v>-781.11787670345609</v>
      </c>
      <c r="W391" s="15">
        <f t="shared" si="220"/>
        <v>22.170849845882874</v>
      </c>
      <c r="X391" s="75">
        <f>W391*(1-PARAM!$C$27)*$I$8+(MOD($B391,60)=PARAM!$B$56)*($B391&gt;(60-PARAM!$B$56))*HLOOKUP(($B391+PARAM!$B$56)/12,Loyalty,2)*$F$1*MAX(Z390,0)</f>
        <v>18.557001321003963</v>
      </c>
      <c r="Y391" s="75">
        <f>PARAM!$C$26+MAX($G$8-CHOOSE(PARAM!$B$44,MAX(0,Z390*$F$1),0),0)*RATES!$L367/12+$H$8*(PARAM!$D$51/12)*RATES!$N367/100</f>
        <v>46.208333333333336</v>
      </c>
      <c r="Z391" s="16">
        <f t="shared" si="246"/>
        <v>-781.11787670345609</v>
      </c>
      <c r="AA391" s="15">
        <f t="shared" si="221"/>
        <v>22.170849845882874</v>
      </c>
      <c r="AB391" s="75">
        <f>AA391*(1-PARAM!$C$27)*$I$9+(MOD($B391,60)=PARAM!$B$56)*($B391&gt;(60-PARAM!$B$56))*HLOOKUP(($B391+PARAM!$B$56)/12,Loyalty,2)*$F$1*MAX(AD390,0)</f>
        <v>18.557001321003963</v>
      </c>
      <c r="AC391" s="75">
        <f>PARAM!$C$26+MAX($G$9-CHOOSE(PARAM!$B$44,MAX(0,AD390*$F$1),0),0)*RATES!$L367/12+$H$9*(PARAM!$D$51/12)*RATES!$N367/100</f>
        <v>46.208333333333336</v>
      </c>
      <c r="AD391" s="16">
        <f t="shared" si="247"/>
        <v>-781.11787670345609</v>
      </c>
      <c r="AE391" s="15">
        <f t="shared" si="222"/>
        <v>22.170849845882874</v>
      </c>
      <c r="AF391" s="75">
        <f>AE391*(1-PARAM!$C$27)*$I$10+(MOD($B391,60)=PARAM!$B$56)*($B391&gt;(60-PARAM!$B$56))*HLOOKUP(($B391+PARAM!$B$56)/12,Loyalty,2)*$F$1*MAX(AH390,0)</f>
        <v>18.557001321003963</v>
      </c>
      <c r="AG391" s="75">
        <f>PARAM!$C$26+MAX($G$10-CHOOSE(PARAM!$B$44,MAX(0,AH390*$F$1),0),0)*RATES!$L367/12+$H$10*(PARAM!$D$51/12)*RATES!$N367/100</f>
        <v>46.208333333333336</v>
      </c>
      <c r="AH391" s="16">
        <f t="shared" si="248"/>
        <v>-781.11787670345609</v>
      </c>
      <c r="AI391" s="15">
        <f t="shared" si="223"/>
        <v>22.170849845882874</v>
      </c>
      <c r="AJ391" s="75">
        <f>AI391*(1-PARAM!$C$27)*$I$11+(MOD($B391,60)=PARAM!$B$56)*($B391&gt;(60-PARAM!$B$56))*HLOOKUP(($B391+PARAM!$B$56)/12,Loyalty,2)*$F$1*MAX(AL390,0)</f>
        <v>18.557001321003963</v>
      </c>
      <c r="AK391" s="75">
        <f>PARAM!$C$26+MAX($G$11-CHOOSE(PARAM!$B$44,MAX(0,AL390*$F$1),0),0)*RATES!$L367/12+$H$11*(PARAM!$D$51/12)*RATES!$N367/100</f>
        <v>46.208333333333336</v>
      </c>
      <c r="AL391" s="16">
        <f t="shared" si="249"/>
        <v>-781.11787670345609</v>
      </c>
      <c r="AM391" s="15">
        <f t="shared" si="224"/>
        <v>22.170849845882874</v>
      </c>
      <c r="AN391" s="75">
        <f>AM391*(1-PARAM!$C$27)*$I$12+(MOD($B391,60)=PARAM!$B$56)*($B391&gt;(60-PARAM!$B$56))*HLOOKUP(($B391+PARAM!$B$56)/12,Loyalty,2)*$F$1*MAX(AP390,0)</f>
        <v>18.557001321003963</v>
      </c>
      <c r="AO391" s="75">
        <f>PARAM!$C$26+MAX($G$12-CHOOSE(PARAM!$B$44,MAX(0,AP390*$F$1),0),0)*RATES!$L367/12+$H$12*(PARAM!$D$51/12)*RATES!$N367/100</f>
        <v>46.208333333333336</v>
      </c>
      <c r="AP391" s="16">
        <f t="shared" si="250"/>
        <v>-781.11787670345609</v>
      </c>
      <c r="AQ391" s="15">
        <f t="shared" si="225"/>
        <v>22.170849845882874</v>
      </c>
      <c r="AR391" s="75">
        <f>AQ391*(1-PARAM!$C$27)*$I$13+(MOD($B391,60)=PARAM!$B$56)*($B391&gt;(60-PARAM!$B$56))*HLOOKUP(($B391+PARAM!$B$56)/12,Loyalty,2)*$F$1*MAX(AT390,0)</f>
        <v>18.557001321003963</v>
      </c>
      <c r="AS391" s="75">
        <f>PARAM!$C$26+MAX($G$13-CHOOSE(PARAM!$B$44,MAX(0,AT390*$F$1),0),0)*RATES!$L367/12+$H$13*(PARAM!$D$51/12)*RATES!$N367/100</f>
        <v>46.208333333333336</v>
      </c>
      <c r="AT391" s="16">
        <f t="shared" si="251"/>
        <v>-781.11787670345609</v>
      </c>
      <c r="AU391" s="15">
        <f t="shared" si="226"/>
        <v>22.170849845882874</v>
      </c>
      <c r="AV391" s="75">
        <f>AU391*(1-PARAM!$C$27)*$I$14+(MOD($B391,60)=PARAM!$B$56)*($B391&gt;(60-PARAM!$B$56))*HLOOKUP(($B391+PARAM!$B$56)/12,Loyalty,2)*$F$1*MAX(AX390,0)</f>
        <v>18.557001321003963</v>
      </c>
      <c r="AW391" s="75">
        <f>PARAM!$C$26+MAX($G$14-CHOOSE(PARAM!$B$44,MAX(0,AX390*$F$1),0),0)*RATES!$L367/12+$H$14*(PARAM!$D$51/12)*RATES!$N367/100</f>
        <v>46.208333333333336</v>
      </c>
      <c r="AX391" s="16">
        <f t="shared" si="252"/>
        <v>-781.11787670345609</v>
      </c>
      <c r="AY391" s="15">
        <f t="shared" si="227"/>
        <v>22.170849845882874</v>
      </c>
      <c r="AZ391" s="75">
        <f>AY391*(1-PARAM!$C$27)*$I$15+(MOD($B391,60)=PARAM!$B$56)*($B391&gt;(60-PARAM!$B$56))*HLOOKUP(($B391+PARAM!$B$56)/12,Loyalty,2)*$F$1*MAX(BB390,0)</f>
        <v>18.557001321003963</v>
      </c>
      <c r="BA391" s="75">
        <f>PARAM!$C$26+MAX($G$15-CHOOSE(PARAM!$B$44,MAX(0,BB390*$F$1),0),0)*RATES!$L367/12+$H$15*(PARAM!$D$51/12)*RATES!$N367/100</f>
        <v>46.208333333333336</v>
      </c>
      <c r="BB391" s="16">
        <f t="shared" si="253"/>
        <v>-781.11787670345609</v>
      </c>
      <c r="BC391" s="15">
        <f t="shared" si="228"/>
        <v>22.170849845882874</v>
      </c>
      <c r="BD391" s="75">
        <f>BC391*(1-PARAM!$C$27)*$I$16+(MOD($B391,60)=PARAM!$B$56)*($B391&gt;(60-PARAM!$B$56))*HLOOKUP(($B391+PARAM!$B$56)/12,Loyalty,2)*$F$1*MAX(BF390,0)</f>
        <v>18.557001321003963</v>
      </c>
      <c r="BE391" s="75">
        <f>PARAM!$C$26+MAX($G$16-CHOOSE(PARAM!$B$44,MAX(0,BF390*$F$1),0),0)*RATES!$L367/12+$H$16*(PARAM!$D$51/12)*RATES!$N367/100</f>
        <v>46.208333333333336</v>
      </c>
      <c r="BF391" s="16">
        <f t="shared" si="254"/>
        <v>-781.11787670345609</v>
      </c>
      <c r="BG391" s="15">
        <f t="shared" si="229"/>
        <v>22.170849845882874</v>
      </c>
      <c r="BH391" s="75">
        <f>BG391*(1-PARAM!$C$27)*$I$17+(MOD($B391,60)=PARAM!$B$56)*($B391&gt;(60-PARAM!$B$56))*HLOOKUP(($B391+PARAM!$B$56)/12,Loyalty,2)*$F$1*MAX(BJ390,0)</f>
        <v>18.557001321003963</v>
      </c>
      <c r="BI391" s="75">
        <f>PARAM!$C$26+MAX($G$17-CHOOSE(PARAM!$B$44,MAX(0,BJ390*$F$1),0),0)*RATES!$L367/12+$H$17*(PARAM!$D$51/12)*RATES!$N367/100</f>
        <v>46.208333333333336</v>
      </c>
      <c r="BJ391" s="16">
        <f t="shared" si="255"/>
        <v>-781.11787670345609</v>
      </c>
      <c r="BK391" s="15">
        <f t="shared" si="230"/>
        <v>22.170849845882874</v>
      </c>
      <c r="BL391" s="75">
        <f>BK391*(1-PARAM!$C$27)*$I$18+(MOD($B391,60)=PARAM!$B$56)*($B391&gt;(60-PARAM!$B$56))*HLOOKUP(($B391+PARAM!$B$56)/12,Loyalty,2)*$F$1*MAX(BN390,0)</f>
        <v>18.557001321003963</v>
      </c>
      <c r="BM391" s="75">
        <f>PARAM!$C$26+MAX($G$18-CHOOSE(PARAM!$B$44,MAX(0,BN390*$F$1),0),0)*RATES!$L367/12+$H$18*(PARAM!$D$51/12)*RATES!$N367/100</f>
        <v>46.208333333333336</v>
      </c>
      <c r="BN391" s="16">
        <f t="shared" si="256"/>
        <v>-781.11787670345609</v>
      </c>
      <c r="BO391" s="15">
        <f t="shared" si="231"/>
        <v>22.170849845882874</v>
      </c>
      <c r="BP391" s="75">
        <f>BO391*(1-PARAM!$C$27)*$I$19+(MOD($B391,60)=PARAM!$B$56)*($B391&gt;(60-PARAM!$B$56))*HLOOKUP(($B391+PARAM!$B$56)/12,Loyalty,2)*$F$1*MAX(BR390,0)</f>
        <v>18.557001321003963</v>
      </c>
      <c r="BQ391" s="75">
        <f>PARAM!$C$26+MAX($G$19-CHOOSE(PARAM!$B$44,MAX(0,BR390*$F$1),0),0)*RATES!$L367/12+$H$19*(PARAM!$D$51/12)*RATES!$N367/100</f>
        <v>46.208333333333336</v>
      </c>
      <c r="BR391" s="16">
        <f t="shared" si="257"/>
        <v>-781.11787670345609</v>
      </c>
      <c r="BS391" s="15">
        <f t="shared" si="232"/>
        <v>22.170849845882874</v>
      </c>
      <c r="BT391" s="75">
        <f>BS391*(1-PARAM!$C$27)*$I$20+(MOD($B391,60)=PARAM!$B$56)*($B391&gt;(60-PARAM!$B$56))*HLOOKUP(($B391+PARAM!$B$56)/12,Loyalty,2)*$F$1*MAX(BV390,0)</f>
        <v>18.557001321003963</v>
      </c>
      <c r="BU391" s="75">
        <f>PARAM!$C$26+MAX($G$20-CHOOSE(PARAM!$B$44,MAX(0,BV390*$F$1),0),0)*RATES!$L367/12+$H$20*(PARAM!$D$51/12)*RATES!$N367/100</f>
        <v>46.208333333333336</v>
      </c>
      <c r="BV391" s="16">
        <f t="shared" si="258"/>
        <v>-781.11787670345609</v>
      </c>
      <c r="BW391" s="15">
        <f t="shared" si="233"/>
        <v>22.170849845882874</v>
      </c>
      <c r="BX391" s="75">
        <f>BW391*(1-PARAM!$C$27)*$I$21+(MOD($B391,60)=PARAM!$B$56)*($B391&gt;(60-PARAM!$B$56))*HLOOKUP(($B391+PARAM!$B$56)/12,Loyalty,2)*$F$1*MAX(BZ390,0)</f>
        <v>18.557001321003963</v>
      </c>
      <c r="BY391" s="75">
        <f>PARAM!$C$26+MAX($G$21-CHOOSE(PARAM!$B$44,MAX(0,BZ390*$F$1),0),0)*RATES!$L367/12+$H$21*(PARAM!$D$51/12)*RATES!$N367/100</f>
        <v>46.208333333333336</v>
      </c>
      <c r="BZ391" s="16">
        <f t="shared" si="259"/>
        <v>-781.11787670345609</v>
      </c>
      <c r="CA391" s="15">
        <f t="shared" si="234"/>
        <v>22.170849845882874</v>
      </c>
      <c r="CB391" s="75">
        <f>CA391*(1-PARAM!$C$27)*$I$22+(MOD($B391,60)=PARAM!$B$56)*($B391&gt;(60-PARAM!$B$56))*HLOOKUP(($B391+PARAM!$B$56)/12,Loyalty,2)*$F$1*MAX(CD390,0)</f>
        <v>18.557001321003963</v>
      </c>
      <c r="CC391" s="75">
        <f>PARAM!$C$26+MAX($G$22-CHOOSE(PARAM!$B$44,MAX(0,CD390*$F$1),0),0)*RATES!$L367/12+$H$22*(PARAM!$D$51/12)*RATES!$N367/100</f>
        <v>46.208333333333336</v>
      </c>
      <c r="CD391" s="16">
        <f t="shared" si="260"/>
        <v>-781.11787670345609</v>
      </c>
      <c r="CE391" s="33">
        <f>IF(0=MOD(B391,12/PARAM!$D$51),1,0)</f>
        <v>1</v>
      </c>
      <c r="CF391" s="15">
        <f t="shared" si="235"/>
        <v>0</v>
      </c>
      <c r="CG391" s="75">
        <f>CF391*(1-PARAM!$C$27)*$R$3+(MOD($B391/12,5)=0)*($B391&gt;60)*HLOOKUP($B391/12,Loyalty,2)*$F$1*MAX(CI390,0)</f>
        <v>0</v>
      </c>
      <c r="CH391" s="75">
        <f>PARAM!$C$26+MAX($P$3-CHOOSE(PARAM!$B$44,MAX(0,CI390*$F$1),0),0)*RATES!$L367/12+$Q$3*(PARAM!$D$51/12)*RATES!$N367/100</f>
        <v>46.208333333333336</v>
      </c>
      <c r="CI391" s="16">
        <f>IF(CI390&gt;0,CI390*PARAM!$C$53,CI390)+CG391-CH391</f>
        <v>-7416.2916666666524</v>
      </c>
      <c r="CJ391" s="15">
        <f t="shared" si="261"/>
        <v>0</v>
      </c>
      <c r="CK391" s="75">
        <f>CJ391*(1-PARAM!$C$27)*$R$4+(MOD($B391/12,5)=0)*($B391&gt;60)*HLOOKUP($B391/12,Loyalty,2)*$F$1*MAX(CM390,0)</f>
        <v>0</v>
      </c>
      <c r="CL391" s="75">
        <f>PARAM!$C$26+MAX($P$4-CHOOSE(PARAM!$B$44,MAX(0,CM390*$F$1),0),0)*RATES!$L367/12+$Q$4*(PARAM!$D$51/12)*RATES!$N367/100</f>
        <v>46.208333333333336</v>
      </c>
      <c r="CM391" s="16">
        <f>IF(CM390&gt;0,CM390*PARAM!$C$53,CM390)+CK391-CL391</f>
        <v>-7416.2916666666524</v>
      </c>
      <c r="CO391" s="176"/>
    </row>
    <row r="392" spans="1:93" x14ac:dyDescent="0.2">
      <c r="A392" t="b">
        <f t="shared" si="236"/>
        <v>0</v>
      </c>
      <c r="B392" s="33">
        <v>365</v>
      </c>
      <c r="C392" s="15">
        <f t="shared" si="237"/>
        <v>20.081305947392778</v>
      </c>
      <c r="D392" s="75">
        <f>C392*(1-PARAM!$C$27)*$I$3+(MOD($B392,60)=PARAM!$B$56)*($B392&gt;(60-PARAM!$B$56))*HLOOKUP(($B392+PARAM!$B$56)/12,Loyalty,2)*$F$1*MAX(F391,0)</f>
        <v>16.808053077967756</v>
      </c>
      <c r="E392" s="75">
        <f>PARAM!$C$26+MAX($G$3-CHOOSE(PARAM!$B$44,MAX(0,F391*$F$1),0),0)*RATES!$L368/12+$H$3*(PARAM!$D$51/12)*RATES!$N368/100</f>
        <v>46.208333333333336</v>
      </c>
      <c r="F392" s="16">
        <f t="shared" si="238"/>
        <v>-1483.9858179455025</v>
      </c>
      <c r="G392" s="15">
        <f t="shared" si="239"/>
        <v>22.035289406060361</v>
      </c>
      <c r="H392" s="75">
        <f>G392*(1-PARAM!$C$27)*$I$4+(MOD($B392,60)=PARAM!$B$56)*($B392&gt;(60-PARAM!$B$56))*HLOOKUP(($B392+PARAM!$B$56)/12,Loyalty,2)*$F$1*MAX(J391,0)</f>
        <v>18.443537232872522</v>
      </c>
      <c r="I392" s="75">
        <f>PARAM!$C$26+MAX($G$4-CHOOSE(PARAM!$B$44,MAX(0,J391*$F$1),0),0)*RATES!$L368/12+$H$4*(PARAM!$D$51/12)*RATES!$N368/100</f>
        <v>46.208333333333336</v>
      </c>
      <c r="J392" s="16">
        <f t="shared" si="240"/>
        <v>-853.20113728355591</v>
      </c>
      <c r="K392" s="15">
        <f t="shared" si="241"/>
        <v>22.170849845882874</v>
      </c>
      <c r="L392" s="75">
        <f>K392*(1-PARAM!$C$27)*$I$5+(MOD($B392,60)=PARAM!$B$56)*($B392&gt;(60-PARAM!$B$56))*HLOOKUP(($B392+PARAM!$B$56)/12,Loyalty,2)*$F$1*MAX(N391,0)</f>
        <v>18.557001321003963</v>
      </c>
      <c r="M392" s="75">
        <f>PARAM!$C$26+MAX($G$5-CHOOSE(PARAM!$B$44,MAX(0,N391*$F$1),0),0)*RATES!$L368/12+$H$5*(PARAM!$D$51/12)*RATES!$N368/100</f>
        <v>46.208333333333336</v>
      </c>
      <c r="N392" s="16">
        <f t="shared" si="242"/>
        <v>-808.76920871578545</v>
      </c>
      <c r="O392" s="15">
        <f t="shared" si="243"/>
        <v>22.170849845882874</v>
      </c>
      <c r="P392" s="75">
        <f>O392*(1-PARAM!$C$27)*$I$6+(MOD($B392,60)=PARAM!$B$56)*($B392&gt;(60-PARAM!$B$56))*HLOOKUP(($B392+PARAM!$B$56)/12,Loyalty,2)*$F$1*MAX(R391,0)</f>
        <v>18.557001321003963</v>
      </c>
      <c r="Q392" s="75">
        <f>PARAM!$C$26+MAX($G$6-CHOOSE(PARAM!$B$44,MAX(0,R391*$F$1),0),0)*RATES!$L368/12+$H$6*(PARAM!$D$51/12)*RATES!$N368/100</f>
        <v>46.208333333333336</v>
      </c>
      <c r="R392" s="16">
        <f t="shared" si="244"/>
        <v>-808.76920871578545</v>
      </c>
      <c r="S392" s="15">
        <f t="shared" si="219"/>
        <v>22.170849845882874</v>
      </c>
      <c r="T392" s="75">
        <f>S392*(1-PARAM!$C$27)*$I$7+(MOD($B392,60)=PARAM!$B$56)*($B392&gt;(60-PARAM!$B$56))*HLOOKUP(($B392+PARAM!$B$56)/12,Loyalty,2)*$F$1*MAX(V391,0)</f>
        <v>18.557001321003963</v>
      </c>
      <c r="U392" s="75">
        <f>PARAM!$C$26+MAX($G$7-CHOOSE(PARAM!$B$44,MAX(0,V391*$F$1),0),0)*RATES!$L368/12+$H$7*(PARAM!$D$51/12)*RATES!$N368/100</f>
        <v>46.208333333333336</v>
      </c>
      <c r="V392" s="16">
        <f t="shared" si="245"/>
        <v>-808.76920871578545</v>
      </c>
      <c r="W392" s="15">
        <f t="shared" si="220"/>
        <v>22.170849845882874</v>
      </c>
      <c r="X392" s="75">
        <f>W392*(1-PARAM!$C$27)*$I$8+(MOD($B392,60)=PARAM!$B$56)*($B392&gt;(60-PARAM!$B$56))*HLOOKUP(($B392+PARAM!$B$56)/12,Loyalty,2)*$F$1*MAX(Z391,0)</f>
        <v>18.557001321003963</v>
      </c>
      <c r="Y392" s="75">
        <f>PARAM!$C$26+MAX($G$8-CHOOSE(PARAM!$B$44,MAX(0,Z391*$F$1),0),0)*RATES!$L368/12+$H$8*(PARAM!$D$51/12)*RATES!$N368/100</f>
        <v>46.208333333333336</v>
      </c>
      <c r="Z392" s="16">
        <f t="shared" si="246"/>
        <v>-808.76920871578545</v>
      </c>
      <c r="AA392" s="15">
        <f t="shared" si="221"/>
        <v>22.170849845882874</v>
      </c>
      <c r="AB392" s="75">
        <f>AA392*(1-PARAM!$C$27)*$I$9+(MOD($B392,60)=PARAM!$B$56)*($B392&gt;(60-PARAM!$B$56))*HLOOKUP(($B392+PARAM!$B$56)/12,Loyalty,2)*$F$1*MAX(AD391,0)</f>
        <v>18.557001321003963</v>
      </c>
      <c r="AC392" s="75">
        <f>PARAM!$C$26+MAX($G$9-CHOOSE(PARAM!$B$44,MAX(0,AD391*$F$1),0),0)*RATES!$L368/12+$H$9*(PARAM!$D$51/12)*RATES!$N368/100</f>
        <v>46.208333333333336</v>
      </c>
      <c r="AD392" s="16">
        <f t="shared" si="247"/>
        <v>-808.76920871578545</v>
      </c>
      <c r="AE392" s="15">
        <f t="shared" si="222"/>
        <v>22.170849845882874</v>
      </c>
      <c r="AF392" s="75">
        <f>AE392*(1-PARAM!$C$27)*$I$10+(MOD($B392,60)=PARAM!$B$56)*($B392&gt;(60-PARAM!$B$56))*HLOOKUP(($B392+PARAM!$B$56)/12,Loyalty,2)*$F$1*MAX(AH391,0)</f>
        <v>18.557001321003963</v>
      </c>
      <c r="AG392" s="75">
        <f>PARAM!$C$26+MAX($G$10-CHOOSE(PARAM!$B$44,MAX(0,AH391*$F$1),0),0)*RATES!$L368/12+$H$10*(PARAM!$D$51/12)*RATES!$N368/100</f>
        <v>46.208333333333336</v>
      </c>
      <c r="AH392" s="16">
        <f t="shared" si="248"/>
        <v>-808.76920871578545</v>
      </c>
      <c r="AI392" s="15">
        <f t="shared" si="223"/>
        <v>22.170849845882874</v>
      </c>
      <c r="AJ392" s="75">
        <f>AI392*(1-PARAM!$C$27)*$I$11+(MOD($B392,60)=PARAM!$B$56)*($B392&gt;(60-PARAM!$B$56))*HLOOKUP(($B392+PARAM!$B$56)/12,Loyalty,2)*$F$1*MAX(AL391,0)</f>
        <v>18.557001321003963</v>
      </c>
      <c r="AK392" s="75">
        <f>PARAM!$C$26+MAX($G$11-CHOOSE(PARAM!$B$44,MAX(0,AL391*$F$1),0),0)*RATES!$L368/12+$H$11*(PARAM!$D$51/12)*RATES!$N368/100</f>
        <v>46.208333333333336</v>
      </c>
      <c r="AL392" s="16">
        <f t="shared" si="249"/>
        <v>-808.76920871578545</v>
      </c>
      <c r="AM392" s="15">
        <f t="shared" si="224"/>
        <v>22.170849845882874</v>
      </c>
      <c r="AN392" s="75">
        <f>AM392*(1-PARAM!$C$27)*$I$12+(MOD($B392,60)=PARAM!$B$56)*($B392&gt;(60-PARAM!$B$56))*HLOOKUP(($B392+PARAM!$B$56)/12,Loyalty,2)*$F$1*MAX(AP391,0)</f>
        <v>18.557001321003963</v>
      </c>
      <c r="AO392" s="75">
        <f>PARAM!$C$26+MAX($G$12-CHOOSE(PARAM!$B$44,MAX(0,AP391*$F$1),0),0)*RATES!$L368/12+$H$12*(PARAM!$D$51/12)*RATES!$N368/100</f>
        <v>46.208333333333336</v>
      </c>
      <c r="AP392" s="16">
        <f t="shared" si="250"/>
        <v>-808.76920871578545</v>
      </c>
      <c r="AQ392" s="15">
        <f t="shared" si="225"/>
        <v>22.170849845882874</v>
      </c>
      <c r="AR392" s="75">
        <f>AQ392*(1-PARAM!$C$27)*$I$13+(MOD($B392,60)=PARAM!$B$56)*($B392&gt;(60-PARAM!$B$56))*HLOOKUP(($B392+PARAM!$B$56)/12,Loyalty,2)*$F$1*MAX(AT391,0)</f>
        <v>18.557001321003963</v>
      </c>
      <c r="AS392" s="75">
        <f>PARAM!$C$26+MAX($G$13-CHOOSE(PARAM!$B$44,MAX(0,AT391*$F$1),0),0)*RATES!$L368/12+$H$13*(PARAM!$D$51/12)*RATES!$N368/100</f>
        <v>46.208333333333336</v>
      </c>
      <c r="AT392" s="16">
        <f t="shared" si="251"/>
        <v>-808.76920871578545</v>
      </c>
      <c r="AU392" s="15">
        <f t="shared" si="226"/>
        <v>22.170849845882874</v>
      </c>
      <c r="AV392" s="75">
        <f>AU392*(1-PARAM!$C$27)*$I$14+(MOD($B392,60)=PARAM!$B$56)*($B392&gt;(60-PARAM!$B$56))*HLOOKUP(($B392+PARAM!$B$56)/12,Loyalty,2)*$F$1*MAX(AX391,0)</f>
        <v>18.557001321003963</v>
      </c>
      <c r="AW392" s="75">
        <f>PARAM!$C$26+MAX($G$14-CHOOSE(PARAM!$B$44,MAX(0,AX391*$F$1),0),0)*RATES!$L368/12+$H$14*(PARAM!$D$51/12)*RATES!$N368/100</f>
        <v>46.208333333333336</v>
      </c>
      <c r="AX392" s="16">
        <f t="shared" si="252"/>
        <v>-808.76920871578545</v>
      </c>
      <c r="AY392" s="15">
        <f t="shared" si="227"/>
        <v>22.170849845882874</v>
      </c>
      <c r="AZ392" s="75">
        <f>AY392*(1-PARAM!$C$27)*$I$15+(MOD($B392,60)=PARAM!$B$56)*($B392&gt;(60-PARAM!$B$56))*HLOOKUP(($B392+PARAM!$B$56)/12,Loyalty,2)*$F$1*MAX(BB391,0)</f>
        <v>18.557001321003963</v>
      </c>
      <c r="BA392" s="75">
        <f>PARAM!$C$26+MAX($G$15-CHOOSE(PARAM!$B$44,MAX(0,BB391*$F$1),0),0)*RATES!$L368/12+$H$15*(PARAM!$D$51/12)*RATES!$N368/100</f>
        <v>46.208333333333336</v>
      </c>
      <c r="BB392" s="16">
        <f t="shared" si="253"/>
        <v>-808.76920871578545</v>
      </c>
      <c r="BC392" s="15">
        <f t="shared" si="228"/>
        <v>22.170849845882874</v>
      </c>
      <c r="BD392" s="75">
        <f>BC392*(1-PARAM!$C$27)*$I$16+(MOD($B392,60)=PARAM!$B$56)*($B392&gt;(60-PARAM!$B$56))*HLOOKUP(($B392+PARAM!$B$56)/12,Loyalty,2)*$F$1*MAX(BF391,0)</f>
        <v>18.557001321003963</v>
      </c>
      <c r="BE392" s="75">
        <f>PARAM!$C$26+MAX($G$16-CHOOSE(PARAM!$B$44,MAX(0,BF391*$F$1),0),0)*RATES!$L368/12+$H$16*(PARAM!$D$51/12)*RATES!$N368/100</f>
        <v>46.208333333333336</v>
      </c>
      <c r="BF392" s="16">
        <f t="shared" si="254"/>
        <v>-808.76920871578545</v>
      </c>
      <c r="BG392" s="15">
        <f t="shared" si="229"/>
        <v>22.170849845882874</v>
      </c>
      <c r="BH392" s="75">
        <f>BG392*(1-PARAM!$C$27)*$I$17+(MOD($B392,60)=PARAM!$B$56)*($B392&gt;(60-PARAM!$B$56))*HLOOKUP(($B392+PARAM!$B$56)/12,Loyalty,2)*$F$1*MAX(BJ391,0)</f>
        <v>18.557001321003963</v>
      </c>
      <c r="BI392" s="75">
        <f>PARAM!$C$26+MAX($G$17-CHOOSE(PARAM!$B$44,MAX(0,BJ391*$F$1),0),0)*RATES!$L368/12+$H$17*(PARAM!$D$51/12)*RATES!$N368/100</f>
        <v>46.208333333333336</v>
      </c>
      <c r="BJ392" s="16">
        <f t="shared" si="255"/>
        <v>-808.76920871578545</v>
      </c>
      <c r="BK392" s="15">
        <f t="shared" si="230"/>
        <v>22.170849845882874</v>
      </c>
      <c r="BL392" s="75">
        <f>BK392*(1-PARAM!$C$27)*$I$18+(MOD($B392,60)=PARAM!$B$56)*($B392&gt;(60-PARAM!$B$56))*HLOOKUP(($B392+PARAM!$B$56)/12,Loyalty,2)*$F$1*MAX(BN391,0)</f>
        <v>18.557001321003963</v>
      </c>
      <c r="BM392" s="75">
        <f>PARAM!$C$26+MAX($G$18-CHOOSE(PARAM!$B$44,MAX(0,BN391*$F$1),0),0)*RATES!$L368/12+$H$18*(PARAM!$D$51/12)*RATES!$N368/100</f>
        <v>46.208333333333336</v>
      </c>
      <c r="BN392" s="16">
        <f t="shared" si="256"/>
        <v>-808.76920871578545</v>
      </c>
      <c r="BO392" s="15">
        <f t="shared" si="231"/>
        <v>22.170849845882874</v>
      </c>
      <c r="BP392" s="75">
        <f>BO392*(1-PARAM!$C$27)*$I$19+(MOD($B392,60)=PARAM!$B$56)*($B392&gt;(60-PARAM!$B$56))*HLOOKUP(($B392+PARAM!$B$56)/12,Loyalty,2)*$F$1*MAX(BR391,0)</f>
        <v>18.557001321003963</v>
      </c>
      <c r="BQ392" s="75">
        <f>PARAM!$C$26+MAX($G$19-CHOOSE(PARAM!$B$44,MAX(0,BR391*$F$1),0),0)*RATES!$L368/12+$H$19*(PARAM!$D$51/12)*RATES!$N368/100</f>
        <v>46.208333333333336</v>
      </c>
      <c r="BR392" s="16">
        <f t="shared" si="257"/>
        <v>-808.76920871578545</v>
      </c>
      <c r="BS392" s="15">
        <f t="shared" si="232"/>
        <v>22.170849845882874</v>
      </c>
      <c r="BT392" s="75">
        <f>BS392*(1-PARAM!$C$27)*$I$20+(MOD($B392,60)=PARAM!$B$56)*($B392&gt;(60-PARAM!$B$56))*HLOOKUP(($B392+PARAM!$B$56)/12,Loyalty,2)*$F$1*MAX(BV391,0)</f>
        <v>18.557001321003963</v>
      </c>
      <c r="BU392" s="75">
        <f>PARAM!$C$26+MAX($G$20-CHOOSE(PARAM!$B$44,MAX(0,BV391*$F$1),0),0)*RATES!$L368/12+$H$20*(PARAM!$D$51/12)*RATES!$N368/100</f>
        <v>46.208333333333336</v>
      </c>
      <c r="BV392" s="16">
        <f t="shared" si="258"/>
        <v>-808.76920871578545</v>
      </c>
      <c r="BW392" s="15">
        <f t="shared" si="233"/>
        <v>22.170849845882874</v>
      </c>
      <c r="BX392" s="75">
        <f>BW392*(1-PARAM!$C$27)*$I$21+(MOD($B392,60)=PARAM!$B$56)*($B392&gt;(60-PARAM!$B$56))*HLOOKUP(($B392+PARAM!$B$56)/12,Loyalty,2)*$F$1*MAX(BZ391,0)</f>
        <v>18.557001321003963</v>
      </c>
      <c r="BY392" s="75">
        <f>PARAM!$C$26+MAX($G$21-CHOOSE(PARAM!$B$44,MAX(0,BZ391*$F$1),0),0)*RATES!$L368/12+$H$21*(PARAM!$D$51/12)*RATES!$N368/100</f>
        <v>46.208333333333336</v>
      </c>
      <c r="BZ392" s="16">
        <f t="shared" si="259"/>
        <v>-808.76920871578545</v>
      </c>
      <c r="CA392" s="15">
        <f t="shared" si="234"/>
        <v>22.170849845882874</v>
      </c>
      <c r="CB392" s="75">
        <f>CA392*(1-PARAM!$C$27)*$I$22+(MOD($B392,60)=PARAM!$B$56)*($B392&gt;(60-PARAM!$B$56))*HLOOKUP(($B392+PARAM!$B$56)/12,Loyalty,2)*$F$1*MAX(CD391,0)</f>
        <v>18.557001321003963</v>
      </c>
      <c r="CC392" s="75">
        <f>PARAM!$C$26+MAX($G$22-CHOOSE(PARAM!$B$44,MAX(0,CD391*$F$1),0),0)*RATES!$L368/12+$H$22*(PARAM!$D$51/12)*RATES!$N368/100</f>
        <v>46.208333333333336</v>
      </c>
      <c r="CD392" s="16">
        <f t="shared" si="260"/>
        <v>-808.76920871578545</v>
      </c>
      <c r="CE392" s="33">
        <f>IF(0=MOD(B392,12/PARAM!$D$51),1,0)</f>
        <v>1</v>
      </c>
      <c r="CF392" s="15">
        <f t="shared" si="235"/>
        <v>0</v>
      </c>
      <c r="CG392" s="75">
        <f>CF392*(1-PARAM!$C$27)*$R$3+(MOD($B392/12,5)=0)*($B392&gt;60)*HLOOKUP($B392/12,Loyalty,2)*$F$1*MAX(CI391,0)</f>
        <v>0</v>
      </c>
      <c r="CH392" s="75">
        <f>PARAM!$C$26+MAX($P$3-CHOOSE(PARAM!$B$44,MAX(0,CI391*$F$1),0),0)*RATES!$L368/12+$Q$3*(PARAM!$D$51/12)*RATES!$N368/100</f>
        <v>46.208333333333336</v>
      </c>
      <c r="CI392" s="16">
        <f>IF(CI391&gt;0,CI391*PARAM!$C$53,CI391)+CG392-CH392</f>
        <v>-7462.4999999999854</v>
      </c>
      <c r="CJ392" s="15">
        <f t="shared" si="261"/>
        <v>0</v>
      </c>
      <c r="CK392" s="75">
        <f>CJ392*(1-PARAM!$C$27)*$R$4+(MOD($B392/12,5)=0)*($B392&gt;60)*HLOOKUP($B392/12,Loyalty,2)*$F$1*MAX(CM391,0)</f>
        <v>0</v>
      </c>
      <c r="CL392" s="75">
        <f>PARAM!$C$26+MAX($P$4-CHOOSE(PARAM!$B$44,MAX(0,CM391*$F$1),0),0)*RATES!$L368/12+$Q$4*(PARAM!$D$51/12)*RATES!$N368/100</f>
        <v>46.208333333333336</v>
      </c>
      <c r="CM392" s="16">
        <f>IF(CM391&gt;0,CM391*PARAM!$C$53,CM391)+CK392-CL392</f>
        <v>-7462.4999999999854</v>
      </c>
      <c r="CO392" s="176"/>
    </row>
    <row r="393" spans="1:93" x14ac:dyDescent="0.2">
      <c r="A393" t="b">
        <f t="shared" si="236"/>
        <v>0</v>
      </c>
      <c r="B393" s="33">
        <v>366</v>
      </c>
      <c r="C393" s="15">
        <f t="shared" si="237"/>
        <v>20.081305947392778</v>
      </c>
      <c r="D393" s="75">
        <f>C393*(1-PARAM!$C$27)*$I$3+(MOD($B393,60)=PARAM!$B$56)*($B393&gt;(60-PARAM!$B$56))*HLOOKUP(($B393+PARAM!$B$56)/12,Loyalty,2)*$F$1*MAX(F392,0)</f>
        <v>16.808053077967756</v>
      </c>
      <c r="E393" s="75">
        <f>PARAM!$C$26+MAX($G$3-CHOOSE(PARAM!$B$44,MAX(0,F392*$F$1),0),0)*RATES!$L369/12+$H$3*(PARAM!$D$51/12)*RATES!$N369/100</f>
        <v>50.833333333333336</v>
      </c>
      <c r="F393" s="16">
        <f t="shared" si="238"/>
        <v>-1518.011098200868</v>
      </c>
      <c r="G393" s="15">
        <f t="shared" si="239"/>
        <v>22.035289406060361</v>
      </c>
      <c r="H393" s="75">
        <f>G393*(1-PARAM!$C$27)*$I$4+(MOD($B393,60)=PARAM!$B$56)*($B393&gt;(60-PARAM!$B$56))*HLOOKUP(($B393+PARAM!$B$56)/12,Loyalty,2)*$F$1*MAX(J392,0)</f>
        <v>18.443537232872522</v>
      </c>
      <c r="I393" s="75">
        <f>PARAM!$C$26+MAX($G$4-CHOOSE(PARAM!$B$44,MAX(0,J392*$F$1),0),0)*RATES!$L369/12+$H$4*(PARAM!$D$51/12)*RATES!$N369/100</f>
        <v>50.833333333333336</v>
      </c>
      <c r="J393" s="16">
        <f t="shared" si="240"/>
        <v>-885.59093338401681</v>
      </c>
      <c r="K393" s="15">
        <f t="shared" si="241"/>
        <v>22.170849845882874</v>
      </c>
      <c r="L393" s="75">
        <f>K393*(1-PARAM!$C$27)*$I$5+(MOD($B393,60)=PARAM!$B$56)*($B393&gt;(60-PARAM!$B$56))*HLOOKUP(($B393+PARAM!$B$56)/12,Loyalty,2)*$F$1*MAX(N392,0)</f>
        <v>18.557001321003963</v>
      </c>
      <c r="M393" s="75">
        <f>PARAM!$C$26+MAX($G$5-CHOOSE(PARAM!$B$44,MAX(0,N392*$F$1),0),0)*RATES!$L369/12+$H$5*(PARAM!$D$51/12)*RATES!$N369/100</f>
        <v>50.833333333333336</v>
      </c>
      <c r="N393" s="16">
        <f t="shared" si="242"/>
        <v>-841.04554072811482</v>
      </c>
      <c r="O393" s="15">
        <f t="shared" si="243"/>
        <v>22.170849845882874</v>
      </c>
      <c r="P393" s="75">
        <f>O393*(1-PARAM!$C$27)*$I$6+(MOD($B393,60)=PARAM!$B$56)*($B393&gt;(60-PARAM!$B$56))*HLOOKUP(($B393+PARAM!$B$56)/12,Loyalty,2)*$F$1*MAX(R392,0)</f>
        <v>18.557001321003963</v>
      </c>
      <c r="Q393" s="75">
        <f>PARAM!$C$26+MAX($G$6-CHOOSE(PARAM!$B$44,MAX(0,R392*$F$1),0),0)*RATES!$L369/12+$H$6*(PARAM!$D$51/12)*RATES!$N369/100</f>
        <v>50.833333333333336</v>
      </c>
      <c r="R393" s="16">
        <f t="shared" si="244"/>
        <v>-841.04554072811482</v>
      </c>
      <c r="S393" s="15">
        <f t="shared" si="219"/>
        <v>22.170849845882874</v>
      </c>
      <c r="T393" s="75">
        <f>S393*(1-PARAM!$C$27)*$I$7+(MOD($B393,60)=PARAM!$B$56)*($B393&gt;(60-PARAM!$B$56))*HLOOKUP(($B393+PARAM!$B$56)/12,Loyalty,2)*$F$1*MAX(V392,0)</f>
        <v>18.557001321003963</v>
      </c>
      <c r="U393" s="75">
        <f>PARAM!$C$26+MAX($G$7-CHOOSE(PARAM!$B$44,MAX(0,V392*$F$1),0),0)*RATES!$L369/12+$H$7*(PARAM!$D$51/12)*RATES!$N369/100</f>
        <v>50.833333333333336</v>
      </c>
      <c r="V393" s="16">
        <f t="shared" si="245"/>
        <v>-841.04554072811482</v>
      </c>
      <c r="W393" s="15">
        <f t="shared" si="220"/>
        <v>22.170849845882874</v>
      </c>
      <c r="X393" s="75">
        <f>W393*(1-PARAM!$C$27)*$I$8+(MOD($B393,60)=PARAM!$B$56)*($B393&gt;(60-PARAM!$B$56))*HLOOKUP(($B393+PARAM!$B$56)/12,Loyalty,2)*$F$1*MAX(Z392,0)</f>
        <v>18.557001321003963</v>
      </c>
      <c r="Y393" s="75">
        <f>PARAM!$C$26+MAX($G$8-CHOOSE(PARAM!$B$44,MAX(0,Z392*$F$1),0),0)*RATES!$L369/12+$H$8*(PARAM!$D$51/12)*RATES!$N369/100</f>
        <v>50.833333333333336</v>
      </c>
      <c r="Z393" s="16">
        <f t="shared" si="246"/>
        <v>-841.04554072811482</v>
      </c>
      <c r="AA393" s="15">
        <f t="shared" si="221"/>
        <v>22.170849845882874</v>
      </c>
      <c r="AB393" s="75">
        <f>AA393*(1-PARAM!$C$27)*$I$9+(MOD($B393,60)=PARAM!$B$56)*($B393&gt;(60-PARAM!$B$56))*HLOOKUP(($B393+PARAM!$B$56)/12,Loyalty,2)*$F$1*MAX(AD392,0)</f>
        <v>18.557001321003963</v>
      </c>
      <c r="AC393" s="75">
        <f>PARAM!$C$26+MAX($G$9-CHOOSE(PARAM!$B$44,MAX(0,AD392*$F$1),0),0)*RATES!$L369/12+$H$9*(PARAM!$D$51/12)*RATES!$N369/100</f>
        <v>50.833333333333336</v>
      </c>
      <c r="AD393" s="16">
        <f t="shared" si="247"/>
        <v>-841.04554072811482</v>
      </c>
      <c r="AE393" s="15">
        <f t="shared" si="222"/>
        <v>22.170849845882874</v>
      </c>
      <c r="AF393" s="75">
        <f>AE393*(1-PARAM!$C$27)*$I$10+(MOD($B393,60)=PARAM!$B$56)*($B393&gt;(60-PARAM!$B$56))*HLOOKUP(($B393+PARAM!$B$56)/12,Loyalty,2)*$F$1*MAX(AH392,0)</f>
        <v>18.557001321003963</v>
      </c>
      <c r="AG393" s="75">
        <f>PARAM!$C$26+MAX($G$10-CHOOSE(PARAM!$B$44,MAX(0,AH392*$F$1),0),0)*RATES!$L369/12+$H$10*(PARAM!$D$51/12)*RATES!$N369/100</f>
        <v>50.833333333333336</v>
      </c>
      <c r="AH393" s="16">
        <f t="shared" si="248"/>
        <v>-841.04554072811482</v>
      </c>
      <c r="AI393" s="15">
        <f t="shared" si="223"/>
        <v>22.170849845882874</v>
      </c>
      <c r="AJ393" s="75">
        <f>AI393*(1-PARAM!$C$27)*$I$11+(MOD($B393,60)=PARAM!$B$56)*($B393&gt;(60-PARAM!$B$56))*HLOOKUP(($B393+PARAM!$B$56)/12,Loyalty,2)*$F$1*MAX(AL392,0)</f>
        <v>18.557001321003963</v>
      </c>
      <c r="AK393" s="75">
        <f>PARAM!$C$26+MAX($G$11-CHOOSE(PARAM!$B$44,MAX(0,AL392*$F$1),0),0)*RATES!$L369/12+$H$11*(PARAM!$D$51/12)*RATES!$N369/100</f>
        <v>50.833333333333336</v>
      </c>
      <c r="AL393" s="16">
        <f t="shared" si="249"/>
        <v>-841.04554072811482</v>
      </c>
      <c r="AM393" s="15">
        <f t="shared" si="224"/>
        <v>22.170849845882874</v>
      </c>
      <c r="AN393" s="75">
        <f>AM393*(1-PARAM!$C$27)*$I$12+(MOD($B393,60)=PARAM!$B$56)*($B393&gt;(60-PARAM!$B$56))*HLOOKUP(($B393+PARAM!$B$56)/12,Loyalty,2)*$F$1*MAX(AP392,0)</f>
        <v>18.557001321003963</v>
      </c>
      <c r="AO393" s="75">
        <f>PARAM!$C$26+MAX($G$12-CHOOSE(PARAM!$B$44,MAX(0,AP392*$F$1),0),0)*RATES!$L369/12+$H$12*(PARAM!$D$51/12)*RATES!$N369/100</f>
        <v>50.833333333333336</v>
      </c>
      <c r="AP393" s="16">
        <f t="shared" si="250"/>
        <v>-841.04554072811482</v>
      </c>
      <c r="AQ393" s="15">
        <f t="shared" si="225"/>
        <v>22.170849845882874</v>
      </c>
      <c r="AR393" s="75">
        <f>AQ393*(1-PARAM!$C$27)*$I$13+(MOD($B393,60)=PARAM!$B$56)*($B393&gt;(60-PARAM!$B$56))*HLOOKUP(($B393+PARAM!$B$56)/12,Loyalty,2)*$F$1*MAX(AT392,0)</f>
        <v>18.557001321003963</v>
      </c>
      <c r="AS393" s="75">
        <f>PARAM!$C$26+MAX($G$13-CHOOSE(PARAM!$B$44,MAX(0,AT392*$F$1),0),0)*RATES!$L369/12+$H$13*(PARAM!$D$51/12)*RATES!$N369/100</f>
        <v>50.833333333333336</v>
      </c>
      <c r="AT393" s="16">
        <f t="shared" si="251"/>
        <v>-841.04554072811482</v>
      </c>
      <c r="AU393" s="15">
        <f t="shared" si="226"/>
        <v>22.170849845882874</v>
      </c>
      <c r="AV393" s="75">
        <f>AU393*(1-PARAM!$C$27)*$I$14+(MOD($B393,60)=PARAM!$B$56)*($B393&gt;(60-PARAM!$B$56))*HLOOKUP(($B393+PARAM!$B$56)/12,Loyalty,2)*$F$1*MAX(AX392,0)</f>
        <v>18.557001321003963</v>
      </c>
      <c r="AW393" s="75">
        <f>PARAM!$C$26+MAX($G$14-CHOOSE(PARAM!$B$44,MAX(0,AX392*$F$1),0),0)*RATES!$L369/12+$H$14*(PARAM!$D$51/12)*RATES!$N369/100</f>
        <v>50.833333333333336</v>
      </c>
      <c r="AX393" s="16">
        <f t="shared" si="252"/>
        <v>-841.04554072811482</v>
      </c>
      <c r="AY393" s="15">
        <f t="shared" si="227"/>
        <v>22.170849845882874</v>
      </c>
      <c r="AZ393" s="75">
        <f>AY393*(1-PARAM!$C$27)*$I$15+(MOD($B393,60)=PARAM!$B$56)*($B393&gt;(60-PARAM!$B$56))*HLOOKUP(($B393+PARAM!$B$56)/12,Loyalty,2)*$F$1*MAX(BB392,0)</f>
        <v>18.557001321003963</v>
      </c>
      <c r="BA393" s="75">
        <f>PARAM!$C$26+MAX($G$15-CHOOSE(PARAM!$B$44,MAX(0,BB392*$F$1),0),0)*RATES!$L369/12+$H$15*(PARAM!$D$51/12)*RATES!$N369/100</f>
        <v>50.833333333333336</v>
      </c>
      <c r="BB393" s="16">
        <f t="shared" si="253"/>
        <v>-841.04554072811482</v>
      </c>
      <c r="BC393" s="15">
        <f t="shared" si="228"/>
        <v>22.170849845882874</v>
      </c>
      <c r="BD393" s="75">
        <f>BC393*(1-PARAM!$C$27)*$I$16+(MOD($B393,60)=PARAM!$B$56)*($B393&gt;(60-PARAM!$B$56))*HLOOKUP(($B393+PARAM!$B$56)/12,Loyalty,2)*$F$1*MAX(BF392,0)</f>
        <v>18.557001321003963</v>
      </c>
      <c r="BE393" s="75">
        <f>PARAM!$C$26+MAX($G$16-CHOOSE(PARAM!$B$44,MAX(0,BF392*$F$1),0),0)*RATES!$L369/12+$H$16*(PARAM!$D$51/12)*RATES!$N369/100</f>
        <v>50.833333333333336</v>
      </c>
      <c r="BF393" s="16">
        <f t="shared" si="254"/>
        <v>-841.04554072811482</v>
      </c>
      <c r="BG393" s="15">
        <f t="shared" si="229"/>
        <v>22.170849845882874</v>
      </c>
      <c r="BH393" s="75">
        <f>BG393*(1-PARAM!$C$27)*$I$17+(MOD($B393,60)=PARAM!$B$56)*($B393&gt;(60-PARAM!$B$56))*HLOOKUP(($B393+PARAM!$B$56)/12,Loyalty,2)*$F$1*MAX(BJ392,0)</f>
        <v>18.557001321003963</v>
      </c>
      <c r="BI393" s="75">
        <f>PARAM!$C$26+MAX($G$17-CHOOSE(PARAM!$B$44,MAX(0,BJ392*$F$1),0),0)*RATES!$L369/12+$H$17*(PARAM!$D$51/12)*RATES!$N369/100</f>
        <v>50.833333333333336</v>
      </c>
      <c r="BJ393" s="16">
        <f t="shared" si="255"/>
        <v>-841.04554072811482</v>
      </c>
      <c r="BK393" s="15">
        <f t="shared" si="230"/>
        <v>22.170849845882874</v>
      </c>
      <c r="BL393" s="75">
        <f>BK393*(1-PARAM!$C$27)*$I$18+(MOD($B393,60)=PARAM!$B$56)*($B393&gt;(60-PARAM!$B$56))*HLOOKUP(($B393+PARAM!$B$56)/12,Loyalty,2)*$F$1*MAX(BN392,0)</f>
        <v>18.557001321003963</v>
      </c>
      <c r="BM393" s="75">
        <f>PARAM!$C$26+MAX($G$18-CHOOSE(PARAM!$B$44,MAX(0,BN392*$F$1),0),0)*RATES!$L369/12+$H$18*(PARAM!$D$51/12)*RATES!$N369/100</f>
        <v>50.833333333333336</v>
      </c>
      <c r="BN393" s="16">
        <f t="shared" si="256"/>
        <v>-841.04554072811482</v>
      </c>
      <c r="BO393" s="15">
        <f t="shared" si="231"/>
        <v>22.170849845882874</v>
      </c>
      <c r="BP393" s="75">
        <f>BO393*(1-PARAM!$C$27)*$I$19+(MOD($B393,60)=PARAM!$B$56)*($B393&gt;(60-PARAM!$B$56))*HLOOKUP(($B393+PARAM!$B$56)/12,Loyalty,2)*$F$1*MAX(BR392,0)</f>
        <v>18.557001321003963</v>
      </c>
      <c r="BQ393" s="75">
        <f>PARAM!$C$26+MAX($G$19-CHOOSE(PARAM!$B$44,MAX(0,BR392*$F$1),0),0)*RATES!$L369/12+$H$19*(PARAM!$D$51/12)*RATES!$N369/100</f>
        <v>50.833333333333336</v>
      </c>
      <c r="BR393" s="16">
        <f t="shared" si="257"/>
        <v>-841.04554072811482</v>
      </c>
      <c r="BS393" s="15">
        <f t="shared" si="232"/>
        <v>22.170849845882874</v>
      </c>
      <c r="BT393" s="75">
        <f>BS393*(1-PARAM!$C$27)*$I$20+(MOD($B393,60)=PARAM!$B$56)*($B393&gt;(60-PARAM!$B$56))*HLOOKUP(($B393+PARAM!$B$56)/12,Loyalty,2)*$F$1*MAX(BV392,0)</f>
        <v>18.557001321003963</v>
      </c>
      <c r="BU393" s="75">
        <f>PARAM!$C$26+MAX($G$20-CHOOSE(PARAM!$B$44,MAX(0,BV392*$F$1),0),0)*RATES!$L369/12+$H$20*(PARAM!$D$51/12)*RATES!$N369/100</f>
        <v>50.833333333333336</v>
      </c>
      <c r="BV393" s="16">
        <f t="shared" si="258"/>
        <v>-841.04554072811482</v>
      </c>
      <c r="BW393" s="15">
        <f t="shared" si="233"/>
        <v>22.170849845882874</v>
      </c>
      <c r="BX393" s="75">
        <f>BW393*(1-PARAM!$C$27)*$I$21+(MOD($B393,60)=PARAM!$B$56)*($B393&gt;(60-PARAM!$B$56))*HLOOKUP(($B393+PARAM!$B$56)/12,Loyalty,2)*$F$1*MAX(BZ392,0)</f>
        <v>18.557001321003963</v>
      </c>
      <c r="BY393" s="75">
        <f>PARAM!$C$26+MAX($G$21-CHOOSE(PARAM!$B$44,MAX(0,BZ392*$F$1),0),0)*RATES!$L369/12+$H$21*(PARAM!$D$51/12)*RATES!$N369/100</f>
        <v>50.833333333333336</v>
      </c>
      <c r="BZ393" s="16">
        <f t="shared" si="259"/>
        <v>-841.04554072811482</v>
      </c>
      <c r="CA393" s="15">
        <f t="shared" si="234"/>
        <v>22.170849845882874</v>
      </c>
      <c r="CB393" s="75">
        <f>CA393*(1-PARAM!$C$27)*$I$22+(MOD($B393,60)=PARAM!$B$56)*($B393&gt;(60-PARAM!$B$56))*HLOOKUP(($B393+PARAM!$B$56)/12,Loyalty,2)*$F$1*MAX(CD392,0)</f>
        <v>18.557001321003963</v>
      </c>
      <c r="CC393" s="75">
        <f>PARAM!$C$26+MAX($G$22-CHOOSE(PARAM!$B$44,MAX(0,CD392*$F$1),0),0)*RATES!$L369/12+$H$22*(PARAM!$D$51/12)*RATES!$N369/100</f>
        <v>50.833333333333336</v>
      </c>
      <c r="CD393" s="16">
        <f t="shared" si="260"/>
        <v>-841.04554072811482</v>
      </c>
      <c r="CE393" s="33">
        <f>IF(0=MOD(B393,12/PARAM!$D$51),1,0)</f>
        <v>1</v>
      </c>
      <c r="CF393" s="15">
        <f t="shared" si="235"/>
        <v>0</v>
      </c>
      <c r="CG393" s="75">
        <f>CF393*(1-PARAM!$C$27)*$R$3+(MOD($B393/12,5)=0)*($B393&gt;60)*HLOOKUP($B393/12,Loyalty,2)*$F$1*MAX(CI392,0)</f>
        <v>0</v>
      </c>
      <c r="CH393" s="75">
        <f>PARAM!$C$26+MAX($P$3-CHOOSE(PARAM!$B$44,MAX(0,CI392*$F$1),0),0)*RATES!$L369/12+$Q$3*(PARAM!$D$51/12)*RATES!$N369/100</f>
        <v>50.833333333333336</v>
      </c>
      <c r="CI393" s="16">
        <f>IF(CI392&gt;0,CI392*PARAM!$C$53,CI392)+CG393-CH393</f>
        <v>-7513.3333333333185</v>
      </c>
      <c r="CJ393" s="15">
        <f t="shared" si="261"/>
        <v>0</v>
      </c>
      <c r="CK393" s="75">
        <f>CJ393*(1-PARAM!$C$27)*$R$4+(MOD($B393/12,5)=0)*($B393&gt;60)*HLOOKUP($B393/12,Loyalty,2)*$F$1*MAX(CM392,0)</f>
        <v>0</v>
      </c>
      <c r="CL393" s="75">
        <f>PARAM!$C$26+MAX($P$4-CHOOSE(PARAM!$B$44,MAX(0,CM392*$F$1),0),0)*RATES!$L369/12+$Q$4*(PARAM!$D$51/12)*RATES!$N369/100</f>
        <v>50.833333333333336</v>
      </c>
      <c r="CM393" s="16">
        <f>IF(CM392&gt;0,CM392*PARAM!$C$53,CM392)+CK393-CL393</f>
        <v>-7513.3333333333185</v>
      </c>
      <c r="CO393" s="176"/>
    </row>
    <row r="394" spans="1:93" x14ac:dyDescent="0.2">
      <c r="A394" t="b">
        <f t="shared" si="236"/>
        <v>0</v>
      </c>
      <c r="B394" s="33">
        <v>367</v>
      </c>
      <c r="C394" s="15">
        <f t="shared" si="237"/>
        <v>20.081305947392778</v>
      </c>
      <c r="D394" s="75">
        <f>C394*(1-PARAM!$C$27)*$I$3+(MOD($B394,60)=PARAM!$B$56)*($B394&gt;(60-PARAM!$B$56))*HLOOKUP(($B394+PARAM!$B$56)/12,Loyalty,2)*$F$1*MAX(F393,0)</f>
        <v>16.808053077967756</v>
      </c>
      <c r="E394" s="75">
        <f>PARAM!$C$26+MAX($G$3-CHOOSE(PARAM!$B$44,MAX(0,F393*$F$1),0),0)*RATES!$L370/12+$H$3*(PARAM!$D$51/12)*RATES!$N370/100</f>
        <v>50.833333333333336</v>
      </c>
      <c r="F394" s="16">
        <f t="shared" si="238"/>
        <v>-1552.0363784562335</v>
      </c>
      <c r="G394" s="15">
        <f t="shared" si="239"/>
        <v>22.035289406060361</v>
      </c>
      <c r="H394" s="75">
        <f>G394*(1-PARAM!$C$27)*$I$4+(MOD($B394,60)=PARAM!$B$56)*($B394&gt;(60-PARAM!$B$56))*HLOOKUP(($B394+PARAM!$B$56)/12,Loyalty,2)*$F$1*MAX(J393,0)</f>
        <v>18.443537232872522</v>
      </c>
      <c r="I394" s="75">
        <f>PARAM!$C$26+MAX($G$4-CHOOSE(PARAM!$B$44,MAX(0,J393*$F$1),0),0)*RATES!$L370/12+$H$4*(PARAM!$D$51/12)*RATES!$N370/100</f>
        <v>50.833333333333336</v>
      </c>
      <c r="J394" s="16">
        <f t="shared" si="240"/>
        <v>-917.98072948447771</v>
      </c>
      <c r="K394" s="15">
        <f t="shared" si="241"/>
        <v>22.170849845882874</v>
      </c>
      <c r="L394" s="75">
        <f>K394*(1-PARAM!$C$27)*$I$5+(MOD($B394,60)=PARAM!$B$56)*($B394&gt;(60-PARAM!$B$56))*HLOOKUP(($B394+PARAM!$B$56)/12,Loyalty,2)*$F$1*MAX(N393,0)</f>
        <v>18.557001321003963</v>
      </c>
      <c r="M394" s="75">
        <f>PARAM!$C$26+MAX($G$5-CHOOSE(PARAM!$B$44,MAX(0,N393*$F$1),0),0)*RATES!$L370/12+$H$5*(PARAM!$D$51/12)*RATES!$N370/100</f>
        <v>50.833333333333336</v>
      </c>
      <c r="N394" s="16">
        <f t="shared" si="242"/>
        <v>-873.32187274044418</v>
      </c>
      <c r="O394" s="15">
        <f t="shared" si="243"/>
        <v>22.170849845882874</v>
      </c>
      <c r="P394" s="75">
        <f>O394*(1-PARAM!$C$27)*$I$6+(MOD($B394,60)=PARAM!$B$56)*($B394&gt;(60-PARAM!$B$56))*HLOOKUP(($B394+PARAM!$B$56)/12,Loyalty,2)*$F$1*MAX(R393,0)</f>
        <v>18.557001321003963</v>
      </c>
      <c r="Q394" s="75">
        <f>PARAM!$C$26+MAX($G$6-CHOOSE(PARAM!$B$44,MAX(0,R393*$F$1),0),0)*RATES!$L370/12+$H$6*(PARAM!$D$51/12)*RATES!$N370/100</f>
        <v>50.833333333333336</v>
      </c>
      <c r="R394" s="16">
        <f t="shared" si="244"/>
        <v>-873.32187274044418</v>
      </c>
      <c r="S394" s="15">
        <f t="shared" si="219"/>
        <v>22.170849845882874</v>
      </c>
      <c r="T394" s="75">
        <f>S394*(1-PARAM!$C$27)*$I$7+(MOD($B394,60)=PARAM!$B$56)*($B394&gt;(60-PARAM!$B$56))*HLOOKUP(($B394+PARAM!$B$56)/12,Loyalty,2)*$F$1*MAX(V393,0)</f>
        <v>18.557001321003963</v>
      </c>
      <c r="U394" s="75">
        <f>PARAM!$C$26+MAX($G$7-CHOOSE(PARAM!$B$44,MAX(0,V393*$F$1),0),0)*RATES!$L370/12+$H$7*(PARAM!$D$51/12)*RATES!$N370/100</f>
        <v>50.833333333333336</v>
      </c>
      <c r="V394" s="16">
        <f t="shared" si="245"/>
        <v>-873.32187274044418</v>
      </c>
      <c r="W394" s="15">
        <f t="shared" si="220"/>
        <v>22.170849845882874</v>
      </c>
      <c r="X394" s="75">
        <f>W394*(1-PARAM!$C$27)*$I$8+(MOD($B394,60)=PARAM!$B$56)*($B394&gt;(60-PARAM!$B$56))*HLOOKUP(($B394+PARAM!$B$56)/12,Loyalty,2)*$F$1*MAX(Z393,0)</f>
        <v>18.557001321003963</v>
      </c>
      <c r="Y394" s="75">
        <f>PARAM!$C$26+MAX($G$8-CHOOSE(PARAM!$B$44,MAX(0,Z393*$F$1),0),0)*RATES!$L370/12+$H$8*(PARAM!$D$51/12)*RATES!$N370/100</f>
        <v>50.833333333333336</v>
      </c>
      <c r="Z394" s="16">
        <f t="shared" si="246"/>
        <v>-873.32187274044418</v>
      </c>
      <c r="AA394" s="15">
        <f t="shared" si="221"/>
        <v>22.170849845882874</v>
      </c>
      <c r="AB394" s="75">
        <f>AA394*(1-PARAM!$C$27)*$I$9+(MOD($B394,60)=PARAM!$B$56)*($B394&gt;(60-PARAM!$B$56))*HLOOKUP(($B394+PARAM!$B$56)/12,Loyalty,2)*$F$1*MAX(AD393,0)</f>
        <v>18.557001321003963</v>
      </c>
      <c r="AC394" s="75">
        <f>PARAM!$C$26+MAX($G$9-CHOOSE(PARAM!$B$44,MAX(0,AD393*$F$1),0),0)*RATES!$L370/12+$H$9*(PARAM!$D$51/12)*RATES!$N370/100</f>
        <v>50.833333333333336</v>
      </c>
      <c r="AD394" s="16">
        <f t="shared" si="247"/>
        <v>-873.32187274044418</v>
      </c>
      <c r="AE394" s="15">
        <f t="shared" si="222"/>
        <v>22.170849845882874</v>
      </c>
      <c r="AF394" s="75">
        <f>AE394*(1-PARAM!$C$27)*$I$10+(MOD($B394,60)=PARAM!$B$56)*($B394&gt;(60-PARAM!$B$56))*HLOOKUP(($B394+PARAM!$B$56)/12,Loyalty,2)*$F$1*MAX(AH393,0)</f>
        <v>18.557001321003963</v>
      </c>
      <c r="AG394" s="75">
        <f>PARAM!$C$26+MAX($G$10-CHOOSE(PARAM!$B$44,MAX(0,AH393*$F$1),0),0)*RATES!$L370/12+$H$10*(PARAM!$D$51/12)*RATES!$N370/100</f>
        <v>50.833333333333336</v>
      </c>
      <c r="AH394" s="16">
        <f t="shared" si="248"/>
        <v>-873.32187274044418</v>
      </c>
      <c r="AI394" s="15">
        <f t="shared" si="223"/>
        <v>22.170849845882874</v>
      </c>
      <c r="AJ394" s="75">
        <f>AI394*(1-PARAM!$C$27)*$I$11+(MOD($B394,60)=PARAM!$B$56)*($B394&gt;(60-PARAM!$B$56))*HLOOKUP(($B394+PARAM!$B$56)/12,Loyalty,2)*$F$1*MAX(AL393,0)</f>
        <v>18.557001321003963</v>
      </c>
      <c r="AK394" s="75">
        <f>PARAM!$C$26+MAX($G$11-CHOOSE(PARAM!$B$44,MAX(0,AL393*$F$1),0),0)*RATES!$L370/12+$H$11*(PARAM!$D$51/12)*RATES!$N370/100</f>
        <v>50.833333333333336</v>
      </c>
      <c r="AL394" s="16">
        <f t="shared" si="249"/>
        <v>-873.32187274044418</v>
      </c>
      <c r="AM394" s="15">
        <f t="shared" si="224"/>
        <v>22.170849845882874</v>
      </c>
      <c r="AN394" s="75">
        <f>AM394*(1-PARAM!$C$27)*$I$12+(MOD($B394,60)=PARAM!$B$56)*($B394&gt;(60-PARAM!$B$56))*HLOOKUP(($B394+PARAM!$B$56)/12,Loyalty,2)*$F$1*MAX(AP393,0)</f>
        <v>18.557001321003963</v>
      </c>
      <c r="AO394" s="75">
        <f>PARAM!$C$26+MAX($G$12-CHOOSE(PARAM!$B$44,MAX(0,AP393*$F$1),0),0)*RATES!$L370/12+$H$12*(PARAM!$D$51/12)*RATES!$N370/100</f>
        <v>50.833333333333336</v>
      </c>
      <c r="AP394" s="16">
        <f t="shared" si="250"/>
        <v>-873.32187274044418</v>
      </c>
      <c r="AQ394" s="15">
        <f t="shared" si="225"/>
        <v>22.170849845882874</v>
      </c>
      <c r="AR394" s="75">
        <f>AQ394*(1-PARAM!$C$27)*$I$13+(MOD($B394,60)=PARAM!$B$56)*($B394&gt;(60-PARAM!$B$56))*HLOOKUP(($B394+PARAM!$B$56)/12,Loyalty,2)*$F$1*MAX(AT393,0)</f>
        <v>18.557001321003963</v>
      </c>
      <c r="AS394" s="75">
        <f>PARAM!$C$26+MAX($G$13-CHOOSE(PARAM!$B$44,MAX(0,AT393*$F$1),0),0)*RATES!$L370/12+$H$13*(PARAM!$D$51/12)*RATES!$N370/100</f>
        <v>50.833333333333336</v>
      </c>
      <c r="AT394" s="16">
        <f t="shared" si="251"/>
        <v>-873.32187274044418</v>
      </c>
      <c r="AU394" s="15">
        <f t="shared" si="226"/>
        <v>22.170849845882874</v>
      </c>
      <c r="AV394" s="75">
        <f>AU394*(1-PARAM!$C$27)*$I$14+(MOD($B394,60)=PARAM!$B$56)*($B394&gt;(60-PARAM!$B$56))*HLOOKUP(($B394+PARAM!$B$56)/12,Loyalty,2)*$F$1*MAX(AX393,0)</f>
        <v>18.557001321003963</v>
      </c>
      <c r="AW394" s="75">
        <f>PARAM!$C$26+MAX($G$14-CHOOSE(PARAM!$B$44,MAX(0,AX393*$F$1),0),0)*RATES!$L370/12+$H$14*(PARAM!$D$51/12)*RATES!$N370/100</f>
        <v>50.833333333333336</v>
      </c>
      <c r="AX394" s="16">
        <f t="shared" si="252"/>
        <v>-873.32187274044418</v>
      </c>
      <c r="AY394" s="15">
        <f t="shared" si="227"/>
        <v>22.170849845882874</v>
      </c>
      <c r="AZ394" s="75">
        <f>AY394*(1-PARAM!$C$27)*$I$15+(MOD($B394,60)=PARAM!$B$56)*($B394&gt;(60-PARAM!$B$56))*HLOOKUP(($B394+PARAM!$B$56)/12,Loyalty,2)*$F$1*MAX(BB393,0)</f>
        <v>18.557001321003963</v>
      </c>
      <c r="BA394" s="75">
        <f>PARAM!$C$26+MAX($G$15-CHOOSE(PARAM!$B$44,MAX(0,BB393*$F$1),0),0)*RATES!$L370/12+$H$15*(PARAM!$D$51/12)*RATES!$N370/100</f>
        <v>50.833333333333336</v>
      </c>
      <c r="BB394" s="16">
        <f t="shared" si="253"/>
        <v>-873.32187274044418</v>
      </c>
      <c r="BC394" s="15">
        <f t="shared" si="228"/>
        <v>22.170849845882874</v>
      </c>
      <c r="BD394" s="75">
        <f>BC394*(1-PARAM!$C$27)*$I$16+(MOD($B394,60)=PARAM!$B$56)*($B394&gt;(60-PARAM!$B$56))*HLOOKUP(($B394+PARAM!$B$56)/12,Loyalty,2)*$F$1*MAX(BF393,0)</f>
        <v>18.557001321003963</v>
      </c>
      <c r="BE394" s="75">
        <f>PARAM!$C$26+MAX($G$16-CHOOSE(PARAM!$B$44,MAX(0,BF393*$F$1),0),0)*RATES!$L370/12+$H$16*(PARAM!$D$51/12)*RATES!$N370/100</f>
        <v>50.833333333333336</v>
      </c>
      <c r="BF394" s="16">
        <f t="shared" si="254"/>
        <v>-873.32187274044418</v>
      </c>
      <c r="BG394" s="15">
        <f t="shared" si="229"/>
        <v>22.170849845882874</v>
      </c>
      <c r="BH394" s="75">
        <f>BG394*(1-PARAM!$C$27)*$I$17+(MOD($B394,60)=PARAM!$B$56)*($B394&gt;(60-PARAM!$B$56))*HLOOKUP(($B394+PARAM!$B$56)/12,Loyalty,2)*$F$1*MAX(BJ393,0)</f>
        <v>18.557001321003963</v>
      </c>
      <c r="BI394" s="75">
        <f>PARAM!$C$26+MAX($G$17-CHOOSE(PARAM!$B$44,MAX(0,BJ393*$F$1),0),0)*RATES!$L370/12+$H$17*(PARAM!$D$51/12)*RATES!$N370/100</f>
        <v>50.833333333333336</v>
      </c>
      <c r="BJ394" s="16">
        <f t="shared" si="255"/>
        <v>-873.32187274044418</v>
      </c>
      <c r="BK394" s="15">
        <f t="shared" si="230"/>
        <v>22.170849845882874</v>
      </c>
      <c r="BL394" s="75">
        <f>BK394*(1-PARAM!$C$27)*$I$18+(MOD($B394,60)=PARAM!$B$56)*($B394&gt;(60-PARAM!$B$56))*HLOOKUP(($B394+PARAM!$B$56)/12,Loyalty,2)*$F$1*MAX(BN393,0)</f>
        <v>18.557001321003963</v>
      </c>
      <c r="BM394" s="75">
        <f>PARAM!$C$26+MAX($G$18-CHOOSE(PARAM!$B$44,MAX(0,BN393*$F$1),0),0)*RATES!$L370/12+$H$18*(PARAM!$D$51/12)*RATES!$N370/100</f>
        <v>50.833333333333336</v>
      </c>
      <c r="BN394" s="16">
        <f t="shared" si="256"/>
        <v>-873.32187274044418</v>
      </c>
      <c r="BO394" s="15">
        <f t="shared" si="231"/>
        <v>22.170849845882874</v>
      </c>
      <c r="BP394" s="75">
        <f>BO394*(1-PARAM!$C$27)*$I$19+(MOD($B394,60)=PARAM!$B$56)*($B394&gt;(60-PARAM!$B$56))*HLOOKUP(($B394+PARAM!$B$56)/12,Loyalty,2)*$F$1*MAX(BR393,0)</f>
        <v>18.557001321003963</v>
      </c>
      <c r="BQ394" s="75">
        <f>PARAM!$C$26+MAX($G$19-CHOOSE(PARAM!$B$44,MAX(0,BR393*$F$1),0),0)*RATES!$L370/12+$H$19*(PARAM!$D$51/12)*RATES!$N370/100</f>
        <v>50.833333333333336</v>
      </c>
      <c r="BR394" s="16">
        <f t="shared" si="257"/>
        <v>-873.32187274044418</v>
      </c>
      <c r="BS394" s="15">
        <f t="shared" si="232"/>
        <v>22.170849845882874</v>
      </c>
      <c r="BT394" s="75">
        <f>BS394*(1-PARAM!$C$27)*$I$20+(MOD($B394,60)=PARAM!$B$56)*($B394&gt;(60-PARAM!$B$56))*HLOOKUP(($B394+PARAM!$B$56)/12,Loyalty,2)*$F$1*MAX(BV393,0)</f>
        <v>18.557001321003963</v>
      </c>
      <c r="BU394" s="75">
        <f>PARAM!$C$26+MAX($G$20-CHOOSE(PARAM!$B$44,MAX(0,BV393*$F$1),0),0)*RATES!$L370/12+$H$20*(PARAM!$D$51/12)*RATES!$N370/100</f>
        <v>50.833333333333336</v>
      </c>
      <c r="BV394" s="16">
        <f t="shared" si="258"/>
        <v>-873.32187274044418</v>
      </c>
      <c r="BW394" s="15">
        <f t="shared" si="233"/>
        <v>22.170849845882874</v>
      </c>
      <c r="BX394" s="75">
        <f>BW394*(1-PARAM!$C$27)*$I$21+(MOD($B394,60)=PARAM!$B$56)*($B394&gt;(60-PARAM!$B$56))*HLOOKUP(($B394+PARAM!$B$56)/12,Loyalty,2)*$F$1*MAX(BZ393,0)</f>
        <v>18.557001321003963</v>
      </c>
      <c r="BY394" s="75">
        <f>PARAM!$C$26+MAX($G$21-CHOOSE(PARAM!$B$44,MAX(0,BZ393*$F$1),0),0)*RATES!$L370/12+$H$21*(PARAM!$D$51/12)*RATES!$N370/100</f>
        <v>50.833333333333336</v>
      </c>
      <c r="BZ394" s="16">
        <f t="shared" si="259"/>
        <v>-873.32187274044418</v>
      </c>
      <c r="CA394" s="15">
        <f t="shared" si="234"/>
        <v>22.170849845882874</v>
      </c>
      <c r="CB394" s="75">
        <f>CA394*(1-PARAM!$C$27)*$I$22+(MOD($B394,60)=PARAM!$B$56)*($B394&gt;(60-PARAM!$B$56))*HLOOKUP(($B394+PARAM!$B$56)/12,Loyalty,2)*$F$1*MAX(CD393,0)</f>
        <v>18.557001321003963</v>
      </c>
      <c r="CC394" s="75">
        <f>PARAM!$C$26+MAX($G$22-CHOOSE(PARAM!$B$44,MAX(0,CD393*$F$1),0),0)*RATES!$L370/12+$H$22*(PARAM!$D$51/12)*RATES!$N370/100</f>
        <v>50.833333333333336</v>
      </c>
      <c r="CD394" s="16">
        <f t="shared" si="260"/>
        <v>-873.32187274044418</v>
      </c>
      <c r="CE394" s="33">
        <f>IF(0=MOD(B394,12/PARAM!$D$51),1,0)</f>
        <v>1</v>
      </c>
      <c r="CF394" s="15">
        <f t="shared" si="235"/>
        <v>0</v>
      </c>
      <c r="CG394" s="75">
        <f>CF394*(1-PARAM!$C$27)*$R$3+(MOD($B394/12,5)=0)*($B394&gt;60)*HLOOKUP($B394/12,Loyalty,2)*$F$1*MAX(CI393,0)</f>
        <v>0</v>
      </c>
      <c r="CH394" s="75">
        <f>PARAM!$C$26+MAX($P$3-CHOOSE(PARAM!$B$44,MAX(0,CI393*$F$1),0),0)*RATES!$L370/12+$Q$3*(PARAM!$D$51/12)*RATES!$N370/100</f>
        <v>50.833333333333336</v>
      </c>
      <c r="CI394" s="16">
        <f>IF(CI393&gt;0,CI393*PARAM!$C$53,CI393)+CG394-CH394</f>
        <v>-7564.1666666666515</v>
      </c>
      <c r="CJ394" s="15">
        <f t="shared" si="261"/>
        <v>0</v>
      </c>
      <c r="CK394" s="75">
        <f>CJ394*(1-PARAM!$C$27)*$R$4+(MOD($B394/12,5)=0)*($B394&gt;60)*HLOOKUP($B394/12,Loyalty,2)*$F$1*MAX(CM393,0)</f>
        <v>0</v>
      </c>
      <c r="CL394" s="75">
        <f>PARAM!$C$26+MAX($P$4-CHOOSE(PARAM!$B$44,MAX(0,CM393*$F$1),0),0)*RATES!$L370/12+$Q$4*(PARAM!$D$51/12)*RATES!$N370/100</f>
        <v>50.833333333333336</v>
      </c>
      <c r="CM394" s="16">
        <f>IF(CM393&gt;0,CM393*PARAM!$C$53,CM393)+CK394-CL394</f>
        <v>-7564.1666666666515</v>
      </c>
      <c r="CO394" s="176"/>
    </row>
    <row r="395" spans="1:93" x14ac:dyDescent="0.2">
      <c r="A395" t="b">
        <f t="shared" si="236"/>
        <v>0</v>
      </c>
      <c r="B395" s="33">
        <v>368</v>
      </c>
      <c r="C395" s="15">
        <f t="shared" si="237"/>
        <v>20.081305947392778</v>
      </c>
      <c r="D395" s="75">
        <f>C395*(1-PARAM!$C$27)*$I$3+(MOD($B395,60)=PARAM!$B$56)*($B395&gt;(60-PARAM!$B$56))*HLOOKUP(($B395+PARAM!$B$56)/12,Loyalty,2)*$F$1*MAX(F394,0)</f>
        <v>16.808053077967756</v>
      </c>
      <c r="E395" s="75">
        <f>PARAM!$C$26+MAX($G$3-CHOOSE(PARAM!$B$44,MAX(0,F394*$F$1),0),0)*RATES!$L371/12+$H$3*(PARAM!$D$51/12)*RATES!$N371/100</f>
        <v>50.833333333333336</v>
      </c>
      <c r="F395" s="16">
        <f t="shared" si="238"/>
        <v>-1586.061658711599</v>
      </c>
      <c r="G395" s="15">
        <f t="shared" si="239"/>
        <v>22.035289406060361</v>
      </c>
      <c r="H395" s="75">
        <f>G395*(1-PARAM!$C$27)*$I$4+(MOD($B395,60)=PARAM!$B$56)*($B395&gt;(60-PARAM!$B$56))*HLOOKUP(($B395+PARAM!$B$56)/12,Loyalty,2)*$F$1*MAX(J394,0)</f>
        <v>18.443537232872522</v>
      </c>
      <c r="I395" s="75">
        <f>PARAM!$C$26+MAX($G$4-CHOOSE(PARAM!$B$44,MAX(0,J394*$F$1),0),0)*RATES!$L371/12+$H$4*(PARAM!$D$51/12)*RATES!$N371/100</f>
        <v>50.833333333333336</v>
      </c>
      <c r="J395" s="16">
        <f t="shared" si="240"/>
        <v>-950.3705255849386</v>
      </c>
      <c r="K395" s="15">
        <f t="shared" si="241"/>
        <v>22.170849845882874</v>
      </c>
      <c r="L395" s="75">
        <f>K395*(1-PARAM!$C$27)*$I$5+(MOD($B395,60)=PARAM!$B$56)*($B395&gt;(60-PARAM!$B$56))*HLOOKUP(($B395+PARAM!$B$56)/12,Loyalty,2)*$F$1*MAX(N394,0)</f>
        <v>18.557001321003963</v>
      </c>
      <c r="M395" s="75">
        <f>PARAM!$C$26+MAX($G$5-CHOOSE(PARAM!$B$44,MAX(0,N394*$F$1),0),0)*RATES!$L371/12+$H$5*(PARAM!$D$51/12)*RATES!$N371/100</f>
        <v>50.833333333333336</v>
      </c>
      <c r="N395" s="16">
        <f t="shared" si="242"/>
        <v>-905.59820475277354</v>
      </c>
      <c r="O395" s="15">
        <f t="shared" si="243"/>
        <v>22.170849845882874</v>
      </c>
      <c r="P395" s="75">
        <f>O395*(1-PARAM!$C$27)*$I$6+(MOD($B395,60)=PARAM!$B$56)*($B395&gt;(60-PARAM!$B$56))*HLOOKUP(($B395+PARAM!$B$56)/12,Loyalty,2)*$F$1*MAX(R394,0)</f>
        <v>18.557001321003963</v>
      </c>
      <c r="Q395" s="75">
        <f>PARAM!$C$26+MAX($G$6-CHOOSE(PARAM!$B$44,MAX(0,R394*$F$1),0),0)*RATES!$L371/12+$H$6*(PARAM!$D$51/12)*RATES!$N371/100</f>
        <v>50.833333333333336</v>
      </c>
      <c r="R395" s="16">
        <f t="shared" si="244"/>
        <v>-905.59820475277354</v>
      </c>
      <c r="S395" s="15">
        <f t="shared" si="219"/>
        <v>22.170849845882874</v>
      </c>
      <c r="T395" s="75">
        <f>S395*(1-PARAM!$C$27)*$I$7+(MOD($B395,60)=PARAM!$B$56)*($B395&gt;(60-PARAM!$B$56))*HLOOKUP(($B395+PARAM!$B$56)/12,Loyalty,2)*$F$1*MAX(V394,0)</f>
        <v>18.557001321003963</v>
      </c>
      <c r="U395" s="75">
        <f>PARAM!$C$26+MAX($G$7-CHOOSE(PARAM!$B$44,MAX(0,V394*$F$1),0),0)*RATES!$L371/12+$H$7*(PARAM!$D$51/12)*RATES!$N371/100</f>
        <v>50.833333333333336</v>
      </c>
      <c r="V395" s="16">
        <f t="shared" si="245"/>
        <v>-905.59820475277354</v>
      </c>
      <c r="W395" s="15">
        <f t="shared" si="220"/>
        <v>22.170849845882874</v>
      </c>
      <c r="X395" s="75">
        <f>W395*(1-PARAM!$C$27)*$I$8+(MOD($B395,60)=PARAM!$B$56)*($B395&gt;(60-PARAM!$B$56))*HLOOKUP(($B395+PARAM!$B$56)/12,Loyalty,2)*$F$1*MAX(Z394,0)</f>
        <v>18.557001321003963</v>
      </c>
      <c r="Y395" s="75">
        <f>PARAM!$C$26+MAX($G$8-CHOOSE(PARAM!$B$44,MAX(0,Z394*$F$1),0),0)*RATES!$L371/12+$H$8*(PARAM!$D$51/12)*RATES!$N371/100</f>
        <v>50.833333333333336</v>
      </c>
      <c r="Z395" s="16">
        <f t="shared" si="246"/>
        <v>-905.59820475277354</v>
      </c>
      <c r="AA395" s="15">
        <f t="shared" si="221"/>
        <v>22.170849845882874</v>
      </c>
      <c r="AB395" s="75">
        <f>AA395*(1-PARAM!$C$27)*$I$9+(MOD($B395,60)=PARAM!$B$56)*($B395&gt;(60-PARAM!$B$56))*HLOOKUP(($B395+PARAM!$B$56)/12,Loyalty,2)*$F$1*MAX(AD394,0)</f>
        <v>18.557001321003963</v>
      </c>
      <c r="AC395" s="75">
        <f>PARAM!$C$26+MAX($G$9-CHOOSE(PARAM!$B$44,MAX(0,AD394*$F$1),0),0)*RATES!$L371/12+$H$9*(PARAM!$D$51/12)*RATES!$N371/100</f>
        <v>50.833333333333336</v>
      </c>
      <c r="AD395" s="16">
        <f t="shared" si="247"/>
        <v>-905.59820475277354</v>
      </c>
      <c r="AE395" s="15">
        <f t="shared" si="222"/>
        <v>22.170849845882874</v>
      </c>
      <c r="AF395" s="75">
        <f>AE395*(1-PARAM!$C$27)*$I$10+(MOD($B395,60)=PARAM!$B$56)*($B395&gt;(60-PARAM!$B$56))*HLOOKUP(($B395+PARAM!$B$56)/12,Loyalty,2)*$F$1*MAX(AH394,0)</f>
        <v>18.557001321003963</v>
      </c>
      <c r="AG395" s="75">
        <f>PARAM!$C$26+MAX($G$10-CHOOSE(PARAM!$B$44,MAX(0,AH394*$F$1),0),0)*RATES!$L371/12+$H$10*(PARAM!$D$51/12)*RATES!$N371/100</f>
        <v>50.833333333333336</v>
      </c>
      <c r="AH395" s="16">
        <f t="shared" si="248"/>
        <v>-905.59820475277354</v>
      </c>
      <c r="AI395" s="15">
        <f t="shared" si="223"/>
        <v>22.170849845882874</v>
      </c>
      <c r="AJ395" s="75">
        <f>AI395*(1-PARAM!$C$27)*$I$11+(MOD($B395,60)=PARAM!$B$56)*($B395&gt;(60-PARAM!$B$56))*HLOOKUP(($B395+PARAM!$B$56)/12,Loyalty,2)*$F$1*MAX(AL394,0)</f>
        <v>18.557001321003963</v>
      </c>
      <c r="AK395" s="75">
        <f>PARAM!$C$26+MAX($G$11-CHOOSE(PARAM!$B$44,MAX(0,AL394*$F$1),0),0)*RATES!$L371/12+$H$11*(PARAM!$D$51/12)*RATES!$N371/100</f>
        <v>50.833333333333336</v>
      </c>
      <c r="AL395" s="16">
        <f t="shared" si="249"/>
        <v>-905.59820475277354</v>
      </c>
      <c r="AM395" s="15">
        <f t="shared" si="224"/>
        <v>22.170849845882874</v>
      </c>
      <c r="AN395" s="75">
        <f>AM395*(1-PARAM!$C$27)*$I$12+(MOD($B395,60)=PARAM!$B$56)*($B395&gt;(60-PARAM!$B$56))*HLOOKUP(($B395+PARAM!$B$56)/12,Loyalty,2)*$F$1*MAX(AP394,0)</f>
        <v>18.557001321003963</v>
      </c>
      <c r="AO395" s="75">
        <f>PARAM!$C$26+MAX($G$12-CHOOSE(PARAM!$B$44,MAX(0,AP394*$F$1),0),0)*RATES!$L371/12+$H$12*(PARAM!$D$51/12)*RATES!$N371/100</f>
        <v>50.833333333333336</v>
      </c>
      <c r="AP395" s="16">
        <f t="shared" si="250"/>
        <v>-905.59820475277354</v>
      </c>
      <c r="AQ395" s="15">
        <f t="shared" si="225"/>
        <v>22.170849845882874</v>
      </c>
      <c r="AR395" s="75">
        <f>AQ395*(1-PARAM!$C$27)*$I$13+(MOD($B395,60)=PARAM!$B$56)*($B395&gt;(60-PARAM!$B$56))*HLOOKUP(($B395+PARAM!$B$56)/12,Loyalty,2)*$F$1*MAX(AT394,0)</f>
        <v>18.557001321003963</v>
      </c>
      <c r="AS395" s="75">
        <f>PARAM!$C$26+MAX($G$13-CHOOSE(PARAM!$B$44,MAX(0,AT394*$F$1),0),0)*RATES!$L371/12+$H$13*(PARAM!$D$51/12)*RATES!$N371/100</f>
        <v>50.833333333333336</v>
      </c>
      <c r="AT395" s="16">
        <f t="shared" si="251"/>
        <v>-905.59820475277354</v>
      </c>
      <c r="AU395" s="15">
        <f t="shared" si="226"/>
        <v>22.170849845882874</v>
      </c>
      <c r="AV395" s="75">
        <f>AU395*(1-PARAM!$C$27)*$I$14+(MOD($B395,60)=PARAM!$B$56)*($B395&gt;(60-PARAM!$B$56))*HLOOKUP(($B395+PARAM!$B$56)/12,Loyalty,2)*$F$1*MAX(AX394,0)</f>
        <v>18.557001321003963</v>
      </c>
      <c r="AW395" s="75">
        <f>PARAM!$C$26+MAX($G$14-CHOOSE(PARAM!$B$44,MAX(0,AX394*$F$1),0),0)*RATES!$L371/12+$H$14*(PARAM!$D$51/12)*RATES!$N371/100</f>
        <v>50.833333333333336</v>
      </c>
      <c r="AX395" s="16">
        <f t="shared" si="252"/>
        <v>-905.59820475277354</v>
      </c>
      <c r="AY395" s="15">
        <f t="shared" si="227"/>
        <v>22.170849845882874</v>
      </c>
      <c r="AZ395" s="75">
        <f>AY395*(1-PARAM!$C$27)*$I$15+(MOD($B395,60)=PARAM!$B$56)*($B395&gt;(60-PARAM!$B$56))*HLOOKUP(($B395+PARAM!$B$56)/12,Loyalty,2)*$F$1*MAX(BB394,0)</f>
        <v>18.557001321003963</v>
      </c>
      <c r="BA395" s="75">
        <f>PARAM!$C$26+MAX($G$15-CHOOSE(PARAM!$B$44,MAX(0,BB394*$F$1),0),0)*RATES!$L371/12+$H$15*(PARAM!$D$51/12)*RATES!$N371/100</f>
        <v>50.833333333333336</v>
      </c>
      <c r="BB395" s="16">
        <f t="shared" si="253"/>
        <v>-905.59820475277354</v>
      </c>
      <c r="BC395" s="15">
        <f t="shared" si="228"/>
        <v>22.170849845882874</v>
      </c>
      <c r="BD395" s="75">
        <f>BC395*(1-PARAM!$C$27)*$I$16+(MOD($B395,60)=PARAM!$B$56)*($B395&gt;(60-PARAM!$B$56))*HLOOKUP(($B395+PARAM!$B$56)/12,Loyalty,2)*$F$1*MAX(BF394,0)</f>
        <v>18.557001321003963</v>
      </c>
      <c r="BE395" s="75">
        <f>PARAM!$C$26+MAX($G$16-CHOOSE(PARAM!$B$44,MAX(0,BF394*$F$1),0),0)*RATES!$L371/12+$H$16*(PARAM!$D$51/12)*RATES!$N371/100</f>
        <v>50.833333333333336</v>
      </c>
      <c r="BF395" s="16">
        <f t="shared" si="254"/>
        <v>-905.59820475277354</v>
      </c>
      <c r="BG395" s="15">
        <f t="shared" si="229"/>
        <v>22.170849845882874</v>
      </c>
      <c r="BH395" s="75">
        <f>BG395*(1-PARAM!$C$27)*$I$17+(MOD($B395,60)=PARAM!$B$56)*($B395&gt;(60-PARAM!$B$56))*HLOOKUP(($B395+PARAM!$B$56)/12,Loyalty,2)*$F$1*MAX(BJ394,0)</f>
        <v>18.557001321003963</v>
      </c>
      <c r="BI395" s="75">
        <f>PARAM!$C$26+MAX($G$17-CHOOSE(PARAM!$B$44,MAX(0,BJ394*$F$1),0),0)*RATES!$L371/12+$H$17*(PARAM!$D$51/12)*RATES!$N371/100</f>
        <v>50.833333333333336</v>
      </c>
      <c r="BJ395" s="16">
        <f t="shared" si="255"/>
        <v>-905.59820475277354</v>
      </c>
      <c r="BK395" s="15">
        <f t="shared" si="230"/>
        <v>22.170849845882874</v>
      </c>
      <c r="BL395" s="75">
        <f>BK395*(1-PARAM!$C$27)*$I$18+(MOD($B395,60)=PARAM!$B$56)*($B395&gt;(60-PARAM!$B$56))*HLOOKUP(($B395+PARAM!$B$56)/12,Loyalty,2)*$F$1*MAX(BN394,0)</f>
        <v>18.557001321003963</v>
      </c>
      <c r="BM395" s="75">
        <f>PARAM!$C$26+MAX($G$18-CHOOSE(PARAM!$B$44,MAX(0,BN394*$F$1),0),0)*RATES!$L371/12+$H$18*(PARAM!$D$51/12)*RATES!$N371/100</f>
        <v>50.833333333333336</v>
      </c>
      <c r="BN395" s="16">
        <f t="shared" si="256"/>
        <v>-905.59820475277354</v>
      </c>
      <c r="BO395" s="15">
        <f t="shared" si="231"/>
        <v>22.170849845882874</v>
      </c>
      <c r="BP395" s="75">
        <f>BO395*(1-PARAM!$C$27)*$I$19+(MOD($B395,60)=PARAM!$B$56)*($B395&gt;(60-PARAM!$B$56))*HLOOKUP(($B395+PARAM!$B$56)/12,Loyalty,2)*$F$1*MAX(BR394,0)</f>
        <v>18.557001321003963</v>
      </c>
      <c r="BQ395" s="75">
        <f>PARAM!$C$26+MAX($G$19-CHOOSE(PARAM!$B$44,MAX(0,BR394*$F$1),0),0)*RATES!$L371/12+$H$19*(PARAM!$D$51/12)*RATES!$N371/100</f>
        <v>50.833333333333336</v>
      </c>
      <c r="BR395" s="16">
        <f t="shared" si="257"/>
        <v>-905.59820475277354</v>
      </c>
      <c r="BS395" s="15">
        <f t="shared" si="232"/>
        <v>22.170849845882874</v>
      </c>
      <c r="BT395" s="75">
        <f>BS395*(1-PARAM!$C$27)*$I$20+(MOD($B395,60)=PARAM!$B$56)*($B395&gt;(60-PARAM!$B$56))*HLOOKUP(($B395+PARAM!$B$56)/12,Loyalty,2)*$F$1*MAX(BV394,0)</f>
        <v>18.557001321003963</v>
      </c>
      <c r="BU395" s="75">
        <f>PARAM!$C$26+MAX($G$20-CHOOSE(PARAM!$B$44,MAX(0,BV394*$F$1),0),0)*RATES!$L371/12+$H$20*(PARAM!$D$51/12)*RATES!$N371/100</f>
        <v>50.833333333333336</v>
      </c>
      <c r="BV395" s="16">
        <f t="shared" si="258"/>
        <v>-905.59820475277354</v>
      </c>
      <c r="BW395" s="15">
        <f t="shared" si="233"/>
        <v>22.170849845882874</v>
      </c>
      <c r="BX395" s="75">
        <f>BW395*(1-PARAM!$C$27)*$I$21+(MOD($B395,60)=PARAM!$B$56)*($B395&gt;(60-PARAM!$B$56))*HLOOKUP(($B395+PARAM!$B$56)/12,Loyalty,2)*$F$1*MAX(BZ394,0)</f>
        <v>18.557001321003963</v>
      </c>
      <c r="BY395" s="75">
        <f>PARAM!$C$26+MAX($G$21-CHOOSE(PARAM!$B$44,MAX(0,BZ394*$F$1),0),0)*RATES!$L371/12+$H$21*(PARAM!$D$51/12)*RATES!$N371/100</f>
        <v>50.833333333333336</v>
      </c>
      <c r="BZ395" s="16">
        <f t="shared" si="259"/>
        <v>-905.59820475277354</v>
      </c>
      <c r="CA395" s="15">
        <f t="shared" si="234"/>
        <v>22.170849845882874</v>
      </c>
      <c r="CB395" s="75">
        <f>CA395*(1-PARAM!$C$27)*$I$22+(MOD($B395,60)=PARAM!$B$56)*($B395&gt;(60-PARAM!$B$56))*HLOOKUP(($B395+PARAM!$B$56)/12,Loyalty,2)*$F$1*MAX(CD394,0)</f>
        <v>18.557001321003963</v>
      </c>
      <c r="CC395" s="75">
        <f>PARAM!$C$26+MAX($G$22-CHOOSE(PARAM!$B$44,MAX(0,CD394*$F$1),0),0)*RATES!$L371/12+$H$22*(PARAM!$D$51/12)*RATES!$N371/100</f>
        <v>50.833333333333336</v>
      </c>
      <c r="CD395" s="16">
        <f t="shared" si="260"/>
        <v>-905.59820475277354</v>
      </c>
      <c r="CE395" s="33">
        <f>IF(0=MOD(B395,12/PARAM!$D$51),1,0)</f>
        <v>1</v>
      </c>
      <c r="CF395" s="15">
        <f t="shared" si="235"/>
        <v>0</v>
      </c>
      <c r="CG395" s="75">
        <f>CF395*(1-PARAM!$C$27)*$R$3+(MOD($B395/12,5)=0)*($B395&gt;60)*HLOOKUP($B395/12,Loyalty,2)*$F$1*MAX(CI394,0)</f>
        <v>0</v>
      </c>
      <c r="CH395" s="75">
        <f>PARAM!$C$26+MAX($P$3-CHOOSE(PARAM!$B$44,MAX(0,CI394*$F$1),0),0)*RATES!$L371/12+$Q$3*(PARAM!$D$51/12)*RATES!$N371/100</f>
        <v>50.833333333333336</v>
      </c>
      <c r="CI395" s="16">
        <f>IF(CI394&gt;0,CI394*PARAM!$C$53,CI394)+CG395-CH395</f>
        <v>-7614.9999999999845</v>
      </c>
      <c r="CJ395" s="15">
        <f t="shared" si="261"/>
        <v>0</v>
      </c>
      <c r="CK395" s="75">
        <f>CJ395*(1-PARAM!$C$27)*$R$4+(MOD($B395/12,5)=0)*($B395&gt;60)*HLOOKUP($B395/12,Loyalty,2)*$F$1*MAX(CM394,0)</f>
        <v>0</v>
      </c>
      <c r="CL395" s="75">
        <f>PARAM!$C$26+MAX($P$4-CHOOSE(PARAM!$B$44,MAX(0,CM394*$F$1),0),0)*RATES!$L371/12+$Q$4*(PARAM!$D$51/12)*RATES!$N371/100</f>
        <v>50.833333333333336</v>
      </c>
      <c r="CM395" s="16">
        <f>IF(CM394&gt;0,CM394*PARAM!$C$53,CM394)+CK395-CL395</f>
        <v>-7614.9999999999845</v>
      </c>
      <c r="CO395" s="176"/>
    </row>
    <row r="396" spans="1:93" x14ac:dyDescent="0.2">
      <c r="A396" t="b">
        <f t="shared" si="236"/>
        <v>0</v>
      </c>
      <c r="B396" s="33">
        <v>369</v>
      </c>
      <c r="C396" s="15">
        <f t="shared" si="237"/>
        <v>20.081305947392778</v>
      </c>
      <c r="D396" s="75">
        <f>C396*(1-PARAM!$C$27)*$I$3+(MOD($B396,60)=PARAM!$B$56)*($B396&gt;(60-PARAM!$B$56))*HLOOKUP(($B396+PARAM!$B$56)/12,Loyalty,2)*$F$1*MAX(F395,0)</f>
        <v>16.808053077967756</v>
      </c>
      <c r="E396" s="75">
        <f>PARAM!$C$26+MAX($G$3-CHOOSE(PARAM!$B$44,MAX(0,F395*$F$1),0),0)*RATES!$L372/12+$H$3*(PARAM!$D$51/12)*RATES!$N372/100</f>
        <v>50.833333333333336</v>
      </c>
      <c r="F396" s="16">
        <f t="shared" si="238"/>
        <v>-1620.0869389669645</v>
      </c>
      <c r="G396" s="15">
        <f t="shared" si="239"/>
        <v>22.035289406060361</v>
      </c>
      <c r="H396" s="75">
        <f>G396*(1-PARAM!$C$27)*$I$4+(MOD($B396,60)=PARAM!$B$56)*($B396&gt;(60-PARAM!$B$56))*HLOOKUP(($B396+PARAM!$B$56)/12,Loyalty,2)*$F$1*MAX(J395,0)</f>
        <v>18.443537232872522</v>
      </c>
      <c r="I396" s="75">
        <f>PARAM!$C$26+MAX($G$4-CHOOSE(PARAM!$B$44,MAX(0,J395*$F$1),0),0)*RATES!$L372/12+$H$4*(PARAM!$D$51/12)*RATES!$N372/100</f>
        <v>50.833333333333336</v>
      </c>
      <c r="J396" s="16">
        <f t="shared" si="240"/>
        <v>-982.7603216853995</v>
      </c>
      <c r="K396" s="15">
        <f t="shared" si="241"/>
        <v>22.170849845882874</v>
      </c>
      <c r="L396" s="75">
        <f>K396*(1-PARAM!$C$27)*$I$5+(MOD($B396,60)=PARAM!$B$56)*($B396&gt;(60-PARAM!$B$56))*HLOOKUP(($B396+PARAM!$B$56)/12,Loyalty,2)*$F$1*MAX(N395,0)</f>
        <v>18.557001321003963</v>
      </c>
      <c r="M396" s="75">
        <f>PARAM!$C$26+MAX($G$5-CHOOSE(PARAM!$B$44,MAX(0,N395*$F$1),0),0)*RATES!$L372/12+$H$5*(PARAM!$D$51/12)*RATES!$N372/100</f>
        <v>50.833333333333336</v>
      </c>
      <c r="N396" s="16">
        <f t="shared" si="242"/>
        <v>-937.8745367651029</v>
      </c>
      <c r="O396" s="15">
        <f t="shared" si="243"/>
        <v>22.170849845882874</v>
      </c>
      <c r="P396" s="75">
        <f>O396*(1-PARAM!$C$27)*$I$6+(MOD($B396,60)=PARAM!$B$56)*($B396&gt;(60-PARAM!$B$56))*HLOOKUP(($B396+PARAM!$B$56)/12,Loyalty,2)*$F$1*MAX(R395,0)</f>
        <v>18.557001321003963</v>
      </c>
      <c r="Q396" s="75">
        <f>PARAM!$C$26+MAX($G$6-CHOOSE(PARAM!$B$44,MAX(0,R395*$F$1),0),0)*RATES!$L372/12+$H$6*(PARAM!$D$51/12)*RATES!$N372/100</f>
        <v>50.833333333333336</v>
      </c>
      <c r="R396" s="16">
        <f t="shared" si="244"/>
        <v>-937.8745367651029</v>
      </c>
      <c r="S396" s="15">
        <f t="shared" si="219"/>
        <v>22.170849845882874</v>
      </c>
      <c r="T396" s="75">
        <f>S396*(1-PARAM!$C$27)*$I$7+(MOD($B396,60)=PARAM!$B$56)*($B396&gt;(60-PARAM!$B$56))*HLOOKUP(($B396+PARAM!$B$56)/12,Loyalty,2)*$F$1*MAX(V395,0)</f>
        <v>18.557001321003963</v>
      </c>
      <c r="U396" s="75">
        <f>PARAM!$C$26+MAX($G$7-CHOOSE(PARAM!$B$44,MAX(0,V395*$F$1),0),0)*RATES!$L372/12+$H$7*(PARAM!$D$51/12)*RATES!$N372/100</f>
        <v>50.833333333333336</v>
      </c>
      <c r="V396" s="16">
        <f t="shared" si="245"/>
        <v>-937.8745367651029</v>
      </c>
      <c r="W396" s="15">
        <f t="shared" si="220"/>
        <v>22.170849845882874</v>
      </c>
      <c r="X396" s="75">
        <f>W396*(1-PARAM!$C$27)*$I$8+(MOD($B396,60)=PARAM!$B$56)*($B396&gt;(60-PARAM!$B$56))*HLOOKUP(($B396+PARAM!$B$56)/12,Loyalty,2)*$F$1*MAX(Z395,0)</f>
        <v>18.557001321003963</v>
      </c>
      <c r="Y396" s="75">
        <f>PARAM!$C$26+MAX($G$8-CHOOSE(PARAM!$B$44,MAX(0,Z395*$F$1),0),0)*RATES!$L372/12+$H$8*(PARAM!$D$51/12)*RATES!$N372/100</f>
        <v>50.833333333333336</v>
      </c>
      <c r="Z396" s="16">
        <f t="shared" si="246"/>
        <v>-937.8745367651029</v>
      </c>
      <c r="AA396" s="15">
        <f t="shared" si="221"/>
        <v>22.170849845882874</v>
      </c>
      <c r="AB396" s="75">
        <f>AA396*(1-PARAM!$C$27)*$I$9+(MOD($B396,60)=PARAM!$B$56)*($B396&gt;(60-PARAM!$B$56))*HLOOKUP(($B396+PARAM!$B$56)/12,Loyalty,2)*$F$1*MAX(AD395,0)</f>
        <v>18.557001321003963</v>
      </c>
      <c r="AC396" s="75">
        <f>PARAM!$C$26+MAX($G$9-CHOOSE(PARAM!$B$44,MAX(0,AD395*$F$1),0),0)*RATES!$L372/12+$H$9*(PARAM!$D$51/12)*RATES!$N372/100</f>
        <v>50.833333333333336</v>
      </c>
      <c r="AD396" s="16">
        <f t="shared" si="247"/>
        <v>-937.8745367651029</v>
      </c>
      <c r="AE396" s="15">
        <f t="shared" si="222"/>
        <v>22.170849845882874</v>
      </c>
      <c r="AF396" s="75">
        <f>AE396*(1-PARAM!$C$27)*$I$10+(MOD($B396,60)=PARAM!$B$56)*($B396&gt;(60-PARAM!$B$56))*HLOOKUP(($B396+PARAM!$B$56)/12,Loyalty,2)*$F$1*MAX(AH395,0)</f>
        <v>18.557001321003963</v>
      </c>
      <c r="AG396" s="75">
        <f>PARAM!$C$26+MAX($G$10-CHOOSE(PARAM!$B$44,MAX(0,AH395*$F$1),0),0)*RATES!$L372/12+$H$10*(PARAM!$D$51/12)*RATES!$N372/100</f>
        <v>50.833333333333336</v>
      </c>
      <c r="AH396" s="16">
        <f t="shared" si="248"/>
        <v>-937.8745367651029</v>
      </c>
      <c r="AI396" s="15">
        <f t="shared" si="223"/>
        <v>22.170849845882874</v>
      </c>
      <c r="AJ396" s="75">
        <f>AI396*(1-PARAM!$C$27)*$I$11+(MOD($B396,60)=PARAM!$B$56)*($B396&gt;(60-PARAM!$B$56))*HLOOKUP(($B396+PARAM!$B$56)/12,Loyalty,2)*$F$1*MAX(AL395,0)</f>
        <v>18.557001321003963</v>
      </c>
      <c r="AK396" s="75">
        <f>PARAM!$C$26+MAX($G$11-CHOOSE(PARAM!$B$44,MAX(0,AL395*$F$1),0),0)*RATES!$L372/12+$H$11*(PARAM!$D$51/12)*RATES!$N372/100</f>
        <v>50.833333333333336</v>
      </c>
      <c r="AL396" s="16">
        <f t="shared" si="249"/>
        <v>-937.8745367651029</v>
      </c>
      <c r="AM396" s="15">
        <f t="shared" si="224"/>
        <v>22.170849845882874</v>
      </c>
      <c r="AN396" s="75">
        <f>AM396*(1-PARAM!$C$27)*$I$12+(MOD($B396,60)=PARAM!$B$56)*($B396&gt;(60-PARAM!$B$56))*HLOOKUP(($B396+PARAM!$B$56)/12,Loyalty,2)*$F$1*MAX(AP395,0)</f>
        <v>18.557001321003963</v>
      </c>
      <c r="AO396" s="75">
        <f>PARAM!$C$26+MAX($G$12-CHOOSE(PARAM!$B$44,MAX(0,AP395*$F$1),0),0)*RATES!$L372/12+$H$12*(PARAM!$D$51/12)*RATES!$N372/100</f>
        <v>50.833333333333336</v>
      </c>
      <c r="AP396" s="16">
        <f t="shared" si="250"/>
        <v>-937.8745367651029</v>
      </c>
      <c r="AQ396" s="15">
        <f t="shared" si="225"/>
        <v>22.170849845882874</v>
      </c>
      <c r="AR396" s="75">
        <f>AQ396*(1-PARAM!$C$27)*$I$13+(MOD($B396,60)=PARAM!$B$56)*($B396&gt;(60-PARAM!$B$56))*HLOOKUP(($B396+PARAM!$B$56)/12,Loyalty,2)*$F$1*MAX(AT395,0)</f>
        <v>18.557001321003963</v>
      </c>
      <c r="AS396" s="75">
        <f>PARAM!$C$26+MAX($G$13-CHOOSE(PARAM!$B$44,MAX(0,AT395*$F$1),0),0)*RATES!$L372/12+$H$13*(PARAM!$D$51/12)*RATES!$N372/100</f>
        <v>50.833333333333336</v>
      </c>
      <c r="AT396" s="16">
        <f t="shared" si="251"/>
        <v>-937.8745367651029</v>
      </c>
      <c r="AU396" s="15">
        <f t="shared" si="226"/>
        <v>22.170849845882874</v>
      </c>
      <c r="AV396" s="75">
        <f>AU396*(1-PARAM!$C$27)*$I$14+(MOD($B396,60)=PARAM!$B$56)*($B396&gt;(60-PARAM!$B$56))*HLOOKUP(($B396+PARAM!$B$56)/12,Loyalty,2)*$F$1*MAX(AX395,0)</f>
        <v>18.557001321003963</v>
      </c>
      <c r="AW396" s="75">
        <f>PARAM!$C$26+MAX($G$14-CHOOSE(PARAM!$B$44,MAX(0,AX395*$F$1),0),0)*RATES!$L372/12+$H$14*(PARAM!$D$51/12)*RATES!$N372/100</f>
        <v>50.833333333333336</v>
      </c>
      <c r="AX396" s="16">
        <f t="shared" si="252"/>
        <v>-937.8745367651029</v>
      </c>
      <c r="AY396" s="15">
        <f t="shared" si="227"/>
        <v>22.170849845882874</v>
      </c>
      <c r="AZ396" s="75">
        <f>AY396*(1-PARAM!$C$27)*$I$15+(MOD($B396,60)=PARAM!$B$56)*($B396&gt;(60-PARAM!$B$56))*HLOOKUP(($B396+PARAM!$B$56)/12,Loyalty,2)*$F$1*MAX(BB395,0)</f>
        <v>18.557001321003963</v>
      </c>
      <c r="BA396" s="75">
        <f>PARAM!$C$26+MAX($G$15-CHOOSE(PARAM!$B$44,MAX(0,BB395*$F$1),0),0)*RATES!$L372/12+$H$15*(PARAM!$D$51/12)*RATES!$N372/100</f>
        <v>50.833333333333336</v>
      </c>
      <c r="BB396" s="16">
        <f t="shared" si="253"/>
        <v>-937.8745367651029</v>
      </c>
      <c r="BC396" s="15">
        <f t="shared" si="228"/>
        <v>22.170849845882874</v>
      </c>
      <c r="BD396" s="75">
        <f>BC396*(1-PARAM!$C$27)*$I$16+(MOD($B396,60)=PARAM!$B$56)*($B396&gt;(60-PARAM!$B$56))*HLOOKUP(($B396+PARAM!$B$56)/12,Loyalty,2)*$F$1*MAX(BF395,0)</f>
        <v>18.557001321003963</v>
      </c>
      <c r="BE396" s="75">
        <f>PARAM!$C$26+MAX($G$16-CHOOSE(PARAM!$B$44,MAX(0,BF395*$F$1),0),0)*RATES!$L372/12+$H$16*(PARAM!$D$51/12)*RATES!$N372/100</f>
        <v>50.833333333333336</v>
      </c>
      <c r="BF396" s="16">
        <f t="shared" si="254"/>
        <v>-937.8745367651029</v>
      </c>
      <c r="BG396" s="15">
        <f t="shared" si="229"/>
        <v>22.170849845882874</v>
      </c>
      <c r="BH396" s="75">
        <f>BG396*(1-PARAM!$C$27)*$I$17+(MOD($B396,60)=PARAM!$B$56)*($B396&gt;(60-PARAM!$B$56))*HLOOKUP(($B396+PARAM!$B$56)/12,Loyalty,2)*$F$1*MAX(BJ395,0)</f>
        <v>18.557001321003963</v>
      </c>
      <c r="BI396" s="75">
        <f>PARAM!$C$26+MAX($G$17-CHOOSE(PARAM!$B$44,MAX(0,BJ395*$F$1),0),0)*RATES!$L372/12+$H$17*(PARAM!$D$51/12)*RATES!$N372/100</f>
        <v>50.833333333333336</v>
      </c>
      <c r="BJ396" s="16">
        <f t="shared" si="255"/>
        <v>-937.8745367651029</v>
      </c>
      <c r="BK396" s="15">
        <f t="shared" si="230"/>
        <v>22.170849845882874</v>
      </c>
      <c r="BL396" s="75">
        <f>BK396*(1-PARAM!$C$27)*$I$18+(MOD($B396,60)=PARAM!$B$56)*($B396&gt;(60-PARAM!$B$56))*HLOOKUP(($B396+PARAM!$B$56)/12,Loyalty,2)*$F$1*MAX(BN395,0)</f>
        <v>18.557001321003963</v>
      </c>
      <c r="BM396" s="75">
        <f>PARAM!$C$26+MAX($G$18-CHOOSE(PARAM!$B$44,MAX(0,BN395*$F$1),0),0)*RATES!$L372/12+$H$18*(PARAM!$D$51/12)*RATES!$N372/100</f>
        <v>50.833333333333336</v>
      </c>
      <c r="BN396" s="16">
        <f t="shared" si="256"/>
        <v>-937.8745367651029</v>
      </c>
      <c r="BO396" s="15">
        <f t="shared" si="231"/>
        <v>22.170849845882874</v>
      </c>
      <c r="BP396" s="75">
        <f>BO396*(1-PARAM!$C$27)*$I$19+(MOD($B396,60)=PARAM!$B$56)*($B396&gt;(60-PARAM!$B$56))*HLOOKUP(($B396+PARAM!$B$56)/12,Loyalty,2)*$F$1*MAX(BR395,0)</f>
        <v>18.557001321003963</v>
      </c>
      <c r="BQ396" s="75">
        <f>PARAM!$C$26+MAX($G$19-CHOOSE(PARAM!$B$44,MAX(0,BR395*$F$1),0),0)*RATES!$L372/12+$H$19*(PARAM!$D$51/12)*RATES!$N372/100</f>
        <v>50.833333333333336</v>
      </c>
      <c r="BR396" s="16">
        <f t="shared" si="257"/>
        <v>-937.8745367651029</v>
      </c>
      <c r="BS396" s="15">
        <f t="shared" si="232"/>
        <v>22.170849845882874</v>
      </c>
      <c r="BT396" s="75">
        <f>BS396*(1-PARAM!$C$27)*$I$20+(MOD($B396,60)=PARAM!$B$56)*($B396&gt;(60-PARAM!$B$56))*HLOOKUP(($B396+PARAM!$B$56)/12,Loyalty,2)*$F$1*MAX(BV395,0)</f>
        <v>18.557001321003963</v>
      </c>
      <c r="BU396" s="75">
        <f>PARAM!$C$26+MAX($G$20-CHOOSE(PARAM!$B$44,MAX(0,BV395*$F$1),0),0)*RATES!$L372/12+$H$20*(PARAM!$D$51/12)*RATES!$N372/100</f>
        <v>50.833333333333336</v>
      </c>
      <c r="BV396" s="16">
        <f t="shared" si="258"/>
        <v>-937.8745367651029</v>
      </c>
      <c r="BW396" s="15">
        <f t="shared" si="233"/>
        <v>22.170849845882874</v>
      </c>
      <c r="BX396" s="75">
        <f>BW396*(1-PARAM!$C$27)*$I$21+(MOD($B396,60)=PARAM!$B$56)*($B396&gt;(60-PARAM!$B$56))*HLOOKUP(($B396+PARAM!$B$56)/12,Loyalty,2)*$F$1*MAX(BZ395,0)</f>
        <v>18.557001321003963</v>
      </c>
      <c r="BY396" s="75">
        <f>PARAM!$C$26+MAX($G$21-CHOOSE(PARAM!$B$44,MAX(0,BZ395*$F$1),0),0)*RATES!$L372/12+$H$21*(PARAM!$D$51/12)*RATES!$N372/100</f>
        <v>50.833333333333336</v>
      </c>
      <c r="BZ396" s="16">
        <f t="shared" si="259"/>
        <v>-937.8745367651029</v>
      </c>
      <c r="CA396" s="15">
        <f t="shared" si="234"/>
        <v>22.170849845882874</v>
      </c>
      <c r="CB396" s="75">
        <f>CA396*(1-PARAM!$C$27)*$I$22+(MOD($B396,60)=PARAM!$B$56)*($B396&gt;(60-PARAM!$B$56))*HLOOKUP(($B396+PARAM!$B$56)/12,Loyalty,2)*$F$1*MAX(CD395,0)</f>
        <v>18.557001321003963</v>
      </c>
      <c r="CC396" s="75">
        <f>PARAM!$C$26+MAX($G$22-CHOOSE(PARAM!$B$44,MAX(0,CD395*$F$1),0),0)*RATES!$L372/12+$H$22*(PARAM!$D$51/12)*RATES!$N372/100</f>
        <v>50.833333333333336</v>
      </c>
      <c r="CD396" s="16">
        <f t="shared" si="260"/>
        <v>-937.8745367651029</v>
      </c>
      <c r="CE396" s="33">
        <f>IF(0=MOD(B396,12/PARAM!$D$51),1,0)</f>
        <v>1</v>
      </c>
      <c r="CF396" s="15">
        <f t="shared" si="235"/>
        <v>0</v>
      </c>
      <c r="CG396" s="75">
        <f>CF396*(1-PARAM!$C$27)*$R$3+(MOD($B396/12,5)=0)*($B396&gt;60)*HLOOKUP($B396/12,Loyalty,2)*$F$1*MAX(CI395,0)</f>
        <v>0</v>
      </c>
      <c r="CH396" s="75">
        <f>PARAM!$C$26+MAX($P$3-CHOOSE(PARAM!$B$44,MAX(0,CI395*$F$1),0),0)*RATES!$L372/12+$Q$3*(PARAM!$D$51/12)*RATES!$N372/100</f>
        <v>50.833333333333336</v>
      </c>
      <c r="CI396" s="16">
        <f>IF(CI395&gt;0,CI395*PARAM!$C$53,CI395)+CG396-CH396</f>
        <v>-7665.8333333333176</v>
      </c>
      <c r="CJ396" s="15">
        <f t="shared" si="261"/>
        <v>0</v>
      </c>
      <c r="CK396" s="75">
        <f>CJ396*(1-PARAM!$C$27)*$R$4+(MOD($B396/12,5)=0)*($B396&gt;60)*HLOOKUP($B396/12,Loyalty,2)*$F$1*MAX(CM395,0)</f>
        <v>0</v>
      </c>
      <c r="CL396" s="75">
        <f>PARAM!$C$26+MAX($P$4-CHOOSE(PARAM!$B$44,MAX(0,CM395*$F$1),0),0)*RATES!$L372/12+$Q$4*(PARAM!$D$51/12)*RATES!$N372/100</f>
        <v>50.833333333333336</v>
      </c>
      <c r="CM396" s="16">
        <f>IF(CM395&gt;0,CM395*PARAM!$C$53,CM395)+CK396-CL396</f>
        <v>-7665.8333333333176</v>
      </c>
      <c r="CO396" s="176"/>
    </row>
    <row r="397" spans="1:93" x14ac:dyDescent="0.2">
      <c r="A397" t="b">
        <f t="shared" si="236"/>
        <v>0</v>
      </c>
      <c r="B397" s="33">
        <v>370</v>
      </c>
      <c r="C397" s="15">
        <f t="shared" si="237"/>
        <v>20.081305947392778</v>
      </c>
      <c r="D397" s="75">
        <f>C397*(1-PARAM!$C$27)*$I$3+(MOD($B397,60)=PARAM!$B$56)*($B397&gt;(60-PARAM!$B$56))*HLOOKUP(($B397+PARAM!$B$56)/12,Loyalty,2)*$F$1*MAX(F396,0)</f>
        <v>16.808053077967756</v>
      </c>
      <c r="E397" s="75">
        <f>PARAM!$C$26+MAX($G$3-CHOOSE(PARAM!$B$44,MAX(0,F396*$F$1),0),0)*RATES!$L373/12+$H$3*(PARAM!$D$51/12)*RATES!$N373/100</f>
        <v>50.833333333333336</v>
      </c>
      <c r="F397" s="16">
        <f t="shared" si="238"/>
        <v>-1654.1122192223299</v>
      </c>
      <c r="G397" s="15">
        <f t="shared" si="239"/>
        <v>22.035289406060361</v>
      </c>
      <c r="H397" s="75">
        <f>G397*(1-PARAM!$C$27)*$I$4+(MOD($B397,60)=PARAM!$B$56)*($B397&gt;(60-PARAM!$B$56))*HLOOKUP(($B397+PARAM!$B$56)/12,Loyalty,2)*$F$1*MAX(J396,0)</f>
        <v>18.443537232872522</v>
      </c>
      <c r="I397" s="75">
        <f>PARAM!$C$26+MAX($G$4-CHOOSE(PARAM!$B$44,MAX(0,J396*$F$1),0),0)*RATES!$L373/12+$H$4*(PARAM!$D$51/12)*RATES!$N373/100</f>
        <v>50.833333333333336</v>
      </c>
      <c r="J397" s="16">
        <f t="shared" si="240"/>
        <v>-1015.1501177858604</v>
      </c>
      <c r="K397" s="15">
        <f t="shared" si="241"/>
        <v>22.170849845882874</v>
      </c>
      <c r="L397" s="75">
        <f>K397*(1-PARAM!$C$27)*$I$5+(MOD($B397,60)=PARAM!$B$56)*($B397&gt;(60-PARAM!$B$56))*HLOOKUP(($B397+PARAM!$B$56)/12,Loyalty,2)*$F$1*MAX(N396,0)</f>
        <v>18.557001321003963</v>
      </c>
      <c r="M397" s="75">
        <f>PARAM!$C$26+MAX($G$5-CHOOSE(PARAM!$B$44,MAX(0,N396*$F$1),0),0)*RATES!$L373/12+$H$5*(PARAM!$D$51/12)*RATES!$N373/100</f>
        <v>50.833333333333336</v>
      </c>
      <c r="N397" s="16">
        <f t="shared" si="242"/>
        <v>-970.15086877743227</v>
      </c>
      <c r="O397" s="15">
        <f t="shared" si="243"/>
        <v>22.170849845882874</v>
      </c>
      <c r="P397" s="75">
        <f>O397*(1-PARAM!$C$27)*$I$6+(MOD($B397,60)=PARAM!$B$56)*($B397&gt;(60-PARAM!$B$56))*HLOOKUP(($B397+PARAM!$B$56)/12,Loyalty,2)*$F$1*MAX(R396,0)</f>
        <v>18.557001321003963</v>
      </c>
      <c r="Q397" s="75">
        <f>PARAM!$C$26+MAX($G$6-CHOOSE(PARAM!$B$44,MAX(0,R396*$F$1),0),0)*RATES!$L373/12+$H$6*(PARAM!$D$51/12)*RATES!$N373/100</f>
        <v>50.833333333333336</v>
      </c>
      <c r="R397" s="16">
        <f t="shared" si="244"/>
        <v>-970.15086877743227</v>
      </c>
      <c r="S397" s="15">
        <f t="shared" si="219"/>
        <v>22.170849845882874</v>
      </c>
      <c r="T397" s="75">
        <f>S397*(1-PARAM!$C$27)*$I$7+(MOD($B397,60)=PARAM!$B$56)*($B397&gt;(60-PARAM!$B$56))*HLOOKUP(($B397+PARAM!$B$56)/12,Loyalty,2)*$F$1*MAX(V396,0)</f>
        <v>18.557001321003963</v>
      </c>
      <c r="U397" s="75">
        <f>PARAM!$C$26+MAX($G$7-CHOOSE(PARAM!$B$44,MAX(0,V396*$F$1),0),0)*RATES!$L373/12+$H$7*(PARAM!$D$51/12)*RATES!$N373/100</f>
        <v>50.833333333333336</v>
      </c>
      <c r="V397" s="16">
        <f t="shared" si="245"/>
        <v>-970.15086877743227</v>
      </c>
      <c r="W397" s="15">
        <f t="shared" si="220"/>
        <v>22.170849845882874</v>
      </c>
      <c r="X397" s="75">
        <f>W397*(1-PARAM!$C$27)*$I$8+(MOD($B397,60)=PARAM!$B$56)*($B397&gt;(60-PARAM!$B$56))*HLOOKUP(($B397+PARAM!$B$56)/12,Loyalty,2)*$F$1*MAX(Z396,0)</f>
        <v>18.557001321003963</v>
      </c>
      <c r="Y397" s="75">
        <f>PARAM!$C$26+MAX($G$8-CHOOSE(PARAM!$B$44,MAX(0,Z396*$F$1),0),0)*RATES!$L373/12+$H$8*(PARAM!$D$51/12)*RATES!$N373/100</f>
        <v>50.833333333333336</v>
      </c>
      <c r="Z397" s="16">
        <f t="shared" si="246"/>
        <v>-970.15086877743227</v>
      </c>
      <c r="AA397" s="15">
        <f t="shared" si="221"/>
        <v>22.170849845882874</v>
      </c>
      <c r="AB397" s="75">
        <f>AA397*(1-PARAM!$C$27)*$I$9+(MOD($B397,60)=PARAM!$B$56)*($B397&gt;(60-PARAM!$B$56))*HLOOKUP(($B397+PARAM!$B$56)/12,Loyalty,2)*$F$1*MAX(AD396,0)</f>
        <v>18.557001321003963</v>
      </c>
      <c r="AC397" s="75">
        <f>PARAM!$C$26+MAX($G$9-CHOOSE(PARAM!$B$44,MAX(0,AD396*$F$1),0),0)*RATES!$L373/12+$H$9*(PARAM!$D$51/12)*RATES!$N373/100</f>
        <v>50.833333333333336</v>
      </c>
      <c r="AD397" s="16">
        <f t="shared" si="247"/>
        <v>-970.15086877743227</v>
      </c>
      <c r="AE397" s="15">
        <f t="shared" si="222"/>
        <v>22.170849845882874</v>
      </c>
      <c r="AF397" s="75">
        <f>AE397*(1-PARAM!$C$27)*$I$10+(MOD($B397,60)=PARAM!$B$56)*($B397&gt;(60-PARAM!$B$56))*HLOOKUP(($B397+PARAM!$B$56)/12,Loyalty,2)*$F$1*MAX(AH396,0)</f>
        <v>18.557001321003963</v>
      </c>
      <c r="AG397" s="75">
        <f>PARAM!$C$26+MAX($G$10-CHOOSE(PARAM!$B$44,MAX(0,AH396*$F$1),0),0)*RATES!$L373/12+$H$10*(PARAM!$D$51/12)*RATES!$N373/100</f>
        <v>50.833333333333336</v>
      </c>
      <c r="AH397" s="16">
        <f t="shared" si="248"/>
        <v>-970.15086877743227</v>
      </c>
      <c r="AI397" s="15">
        <f t="shared" si="223"/>
        <v>22.170849845882874</v>
      </c>
      <c r="AJ397" s="75">
        <f>AI397*(1-PARAM!$C$27)*$I$11+(MOD($B397,60)=PARAM!$B$56)*($B397&gt;(60-PARAM!$B$56))*HLOOKUP(($B397+PARAM!$B$56)/12,Loyalty,2)*$F$1*MAX(AL396,0)</f>
        <v>18.557001321003963</v>
      </c>
      <c r="AK397" s="75">
        <f>PARAM!$C$26+MAX($G$11-CHOOSE(PARAM!$B$44,MAX(0,AL396*$F$1),0),0)*RATES!$L373/12+$H$11*(PARAM!$D$51/12)*RATES!$N373/100</f>
        <v>50.833333333333336</v>
      </c>
      <c r="AL397" s="16">
        <f t="shared" si="249"/>
        <v>-970.15086877743227</v>
      </c>
      <c r="AM397" s="15">
        <f t="shared" si="224"/>
        <v>22.170849845882874</v>
      </c>
      <c r="AN397" s="75">
        <f>AM397*(1-PARAM!$C$27)*$I$12+(MOD($B397,60)=PARAM!$B$56)*($B397&gt;(60-PARAM!$B$56))*HLOOKUP(($B397+PARAM!$B$56)/12,Loyalty,2)*$F$1*MAX(AP396,0)</f>
        <v>18.557001321003963</v>
      </c>
      <c r="AO397" s="75">
        <f>PARAM!$C$26+MAX($G$12-CHOOSE(PARAM!$B$44,MAX(0,AP396*$F$1),0),0)*RATES!$L373/12+$H$12*(PARAM!$D$51/12)*RATES!$N373/100</f>
        <v>50.833333333333336</v>
      </c>
      <c r="AP397" s="16">
        <f t="shared" si="250"/>
        <v>-970.15086877743227</v>
      </c>
      <c r="AQ397" s="15">
        <f t="shared" si="225"/>
        <v>22.170849845882874</v>
      </c>
      <c r="AR397" s="75">
        <f>AQ397*(1-PARAM!$C$27)*$I$13+(MOD($B397,60)=PARAM!$B$56)*($B397&gt;(60-PARAM!$B$56))*HLOOKUP(($B397+PARAM!$B$56)/12,Loyalty,2)*$F$1*MAX(AT396,0)</f>
        <v>18.557001321003963</v>
      </c>
      <c r="AS397" s="75">
        <f>PARAM!$C$26+MAX($G$13-CHOOSE(PARAM!$B$44,MAX(0,AT396*$F$1),0),0)*RATES!$L373/12+$H$13*(PARAM!$D$51/12)*RATES!$N373/100</f>
        <v>50.833333333333336</v>
      </c>
      <c r="AT397" s="16">
        <f t="shared" si="251"/>
        <v>-970.15086877743227</v>
      </c>
      <c r="AU397" s="15">
        <f t="shared" si="226"/>
        <v>22.170849845882874</v>
      </c>
      <c r="AV397" s="75">
        <f>AU397*(1-PARAM!$C$27)*$I$14+(MOD($B397,60)=PARAM!$B$56)*($B397&gt;(60-PARAM!$B$56))*HLOOKUP(($B397+PARAM!$B$56)/12,Loyalty,2)*$F$1*MAX(AX396,0)</f>
        <v>18.557001321003963</v>
      </c>
      <c r="AW397" s="75">
        <f>PARAM!$C$26+MAX($G$14-CHOOSE(PARAM!$B$44,MAX(0,AX396*$F$1),0),0)*RATES!$L373/12+$H$14*(PARAM!$D$51/12)*RATES!$N373/100</f>
        <v>50.833333333333336</v>
      </c>
      <c r="AX397" s="16">
        <f t="shared" si="252"/>
        <v>-970.15086877743227</v>
      </c>
      <c r="AY397" s="15">
        <f t="shared" si="227"/>
        <v>22.170849845882874</v>
      </c>
      <c r="AZ397" s="75">
        <f>AY397*(1-PARAM!$C$27)*$I$15+(MOD($B397,60)=PARAM!$B$56)*($B397&gt;(60-PARAM!$B$56))*HLOOKUP(($B397+PARAM!$B$56)/12,Loyalty,2)*$F$1*MAX(BB396,0)</f>
        <v>18.557001321003963</v>
      </c>
      <c r="BA397" s="75">
        <f>PARAM!$C$26+MAX($G$15-CHOOSE(PARAM!$B$44,MAX(0,BB396*$F$1),0),0)*RATES!$L373/12+$H$15*(PARAM!$D$51/12)*RATES!$N373/100</f>
        <v>50.833333333333336</v>
      </c>
      <c r="BB397" s="16">
        <f t="shared" si="253"/>
        <v>-970.15086877743227</v>
      </c>
      <c r="BC397" s="15">
        <f t="shared" si="228"/>
        <v>22.170849845882874</v>
      </c>
      <c r="BD397" s="75">
        <f>BC397*(1-PARAM!$C$27)*$I$16+(MOD($B397,60)=PARAM!$B$56)*($B397&gt;(60-PARAM!$B$56))*HLOOKUP(($B397+PARAM!$B$56)/12,Loyalty,2)*$F$1*MAX(BF396,0)</f>
        <v>18.557001321003963</v>
      </c>
      <c r="BE397" s="75">
        <f>PARAM!$C$26+MAX($G$16-CHOOSE(PARAM!$B$44,MAX(0,BF396*$F$1),0),0)*RATES!$L373/12+$H$16*(PARAM!$D$51/12)*RATES!$N373/100</f>
        <v>50.833333333333336</v>
      </c>
      <c r="BF397" s="16">
        <f t="shared" si="254"/>
        <v>-970.15086877743227</v>
      </c>
      <c r="BG397" s="15">
        <f t="shared" si="229"/>
        <v>22.170849845882874</v>
      </c>
      <c r="BH397" s="75">
        <f>BG397*(1-PARAM!$C$27)*$I$17+(MOD($B397,60)=PARAM!$B$56)*($B397&gt;(60-PARAM!$B$56))*HLOOKUP(($B397+PARAM!$B$56)/12,Loyalty,2)*$F$1*MAX(BJ396,0)</f>
        <v>18.557001321003963</v>
      </c>
      <c r="BI397" s="75">
        <f>PARAM!$C$26+MAX($G$17-CHOOSE(PARAM!$B$44,MAX(0,BJ396*$F$1),0),0)*RATES!$L373/12+$H$17*(PARAM!$D$51/12)*RATES!$N373/100</f>
        <v>50.833333333333336</v>
      </c>
      <c r="BJ397" s="16">
        <f t="shared" si="255"/>
        <v>-970.15086877743227</v>
      </c>
      <c r="BK397" s="15">
        <f t="shared" si="230"/>
        <v>22.170849845882874</v>
      </c>
      <c r="BL397" s="75">
        <f>BK397*(1-PARAM!$C$27)*$I$18+(MOD($B397,60)=PARAM!$B$56)*($B397&gt;(60-PARAM!$B$56))*HLOOKUP(($B397+PARAM!$B$56)/12,Loyalty,2)*$F$1*MAX(BN396,0)</f>
        <v>18.557001321003963</v>
      </c>
      <c r="BM397" s="75">
        <f>PARAM!$C$26+MAX($G$18-CHOOSE(PARAM!$B$44,MAX(0,BN396*$F$1),0),0)*RATES!$L373/12+$H$18*(PARAM!$D$51/12)*RATES!$N373/100</f>
        <v>50.833333333333336</v>
      </c>
      <c r="BN397" s="16">
        <f t="shared" si="256"/>
        <v>-970.15086877743227</v>
      </c>
      <c r="BO397" s="15">
        <f t="shared" si="231"/>
        <v>22.170849845882874</v>
      </c>
      <c r="BP397" s="75">
        <f>BO397*(1-PARAM!$C$27)*$I$19+(MOD($B397,60)=PARAM!$B$56)*($B397&gt;(60-PARAM!$B$56))*HLOOKUP(($B397+PARAM!$B$56)/12,Loyalty,2)*$F$1*MAX(BR396,0)</f>
        <v>18.557001321003963</v>
      </c>
      <c r="BQ397" s="75">
        <f>PARAM!$C$26+MAX($G$19-CHOOSE(PARAM!$B$44,MAX(0,BR396*$F$1),0),0)*RATES!$L373/12+$H$19*(PARAM!$D$51/12)*RATES!$N373/100</f>
        <v>50.833333333333336</v>
      </c>
      <c r="BR397" s="16">
        <f t="shared" si="257"/>
        <v>-970.15086877743227</v>
      </c>
      <c r="BS397" s="15">
        <f t="shared" si="232"/>
        <v>22.170849845882874</v>
      </c>
      <c r="BT397" s="75">
        <f>BS397*(1-PARAM!$C$27)*$I$20+(MOD($B397,60)=PARAM!$B$56)*($B397&gt;(60-PARAM!$B$56))*HLOOKUP(($B397+PARAM!$B$56)/12,Loyalty,2)*$F$1*MAX(BV396,0)</f>
        <v>18.557001321003963</v>
      </c>
      <c r="BU397" s="75">
        <f>PARAM!$C$26+MAX($G$20-CHOOSE(PARAM!$B$44,MAX(0,BV396*$F$1),0),0)*RATES!$L373/12+$H$20*(PARAM!$D$51/12)*RATES!$N373/100</f>
        <v>50.833333333333336</v>
      </c>
      <c r="BV397" s="16">
        <f t="shared" si="258"/>
        <v>-970.15086877743227</v>
      </c>
      <c r="BW397" s="15">
        <f t="shared" si="233"/>
        <v>22.170849845882874</v>
      </c>
      <c r="BX397" s="75">
        <f>BW397*(1-PARAM!$C$27)*$I$21+(MOD($B397,60)=PARAM!$B$56)*($B397&gt;(60-PARAM!$B$56))*HLOOKUP(($B397+PARAM!$B$56)/12,Loyalty,2)*$F$1*MAX(BZ396,0)</f>
        <v>18.557001321003963</v>
      </c>
      <c r="BY397" s="75">
        <f>PARAM!$C$26+MAX($G$21-CHOOSE(PARAM!$B$44,MAX(0,BZ396*$F$1),0),0)*RATES!$L373/12+$H$21*(PARAM!$D$51/12)*RATES!$N373/100</f>
        <v>50.833333333333336</v>
      </c>
      <c r="BZ397" s="16">
        <f t="shared" si="259"/>
        <v>-970.15086877743227</v>
      </c>
      <c r="CA397" s="15">
        <f t="shared" si="234"/>
        <v>22.170849845882874</v>
      </c>
      <c r="CB397" s="75">
        <f>CA397*(1-PARAM!$C$27)*$I$22+(MOD($B397,60)=PARAM!$B$56)*($B397&gt;(60-PARAM!$B$56))*HLOOKUP(($B397+PARAM!$B$56)/12,Loyalty,2)*$F$1*MAX(CD396,0)</f>
        <v>18.557001321003963</v>
      </c>
      <c r="CC397" s="75">
        <f>PARAM!$C$26+MAX($G$22-CHOOSE(PARAM!$B$44,MAX(0,CD396*$F$1),0),0)*RATES!$L373/12+$H$22*(PARAM!$D$51/12)*RATES!$N373/100</f>
        <v>50.833333333333336</v>
      </c>
      <c r="CD397" s="16">
        <f t="shared" si="260"/>
        <v>-970.15086877743227</v>
      </c>
      <c r="CE397" s="33">
        <f>IF(0=MOD(B397,12/PARAM!$D$51),1,0)</f>
        <v>1</v>
      </c>
      <c r="CF397" s="15">
        <f t="shared" si="235"/>
        <v>0</v>
      </c>
      <c r="CG397" s="75">
        <f>CF397*(1-PARAM!$C$27)*$R$3+(MOD($B397/12,5)=0)*($B397&gt;60)*HLOOKUP($B397/12,Loyalty,2)*$F$1*MAX(CI396,0)</f>
        <v>0</v>
      </c>
      <c r="CH397" s="75">
        <f>PARAM!$C$26+MAX($P$3-CHOOSE(PARAM!$B$44,MAX(0,CI396*$F$1),0),0)*RATES!$L373/12+$Q$3*(PARAM!$D$51/12)*RATES!$N373/100</f>
        <v>50.833333333333336</v>
      </c>
      <c r="CI397" s="16">
        <f>IF(CI396&gt;0,CI396*PARAM!$C$53,CI396)+CG397-CH397</f>
        <v>-7716.6666666666506</v>
      </c>
      <c r="CJ397" s="15">
        <f t="shared" si="261"/>
        <v>0</v>
      </c>
      <c r="CK397" s="75">
        <f>CJ397*(1-PARAM!$C$27)*$R$4+(MOD($B397/12,5)=0)*($B397&gt;60)*HLOOKUP($B397/12,Loyalty,2)*$F$1*MAX(CM396,0)</f>
        <v>0</v>
      </c>
      <c r="CL397" s="75">
        <f>PARAM!$C$26+MAX($P$4-CHOOSE(PARAM!$B$44,MAX(0,CM396*$F$1),0),0)*RATES!$L373/12+$Q$4*(PARAM!$D$51/12)*RATES!$N373/100</f>
        <v>50.833333333333336</v>
      </c>
      <c r="CM397" s="16">
        <f>IF(CM396&gt;0,CM396*PARAM!$C$53,CM396)+CK397-CL397</f>
        <v>-7716.6666666666506</v>
      </c>
      <c r="CO397" s="176"/>
    </row>
    <row r="398" spans="1:93" x14ac:dyDescent="0.2">
      <c r="A398" t="b">
        <f t="shared" si="236"/>
        <v>0</v>
      </c>
      <c r="B398" s="33">
        <v>371</v>
      </c>
      <c r="C398" s="15">
        <f t="shared" si="237"/>
        <v>20.081305947392778</v>
      </c>
      <c r="D398" s="75">
        <f>C398*(1-PARAM!$C$27)*$I$3+(MOD($B398,60)=PARAM!$B$56)*($B398&gt;(60-PARAM!$B$56))*HLOOKUP(($B398+PARAM!$B$56)/12,Loyalty,2)*$F$1*MAX(F397,0)</f>
        <v>16.808053077967756</v>
      </c>
      <c r="E398" s="75">
        <f>PARAM!$C$26+MAX($G$3-CHOOSE(PARAM!$B$44,MAX(0,F397*$F$1),0),0)*RATES!$L374/12+$H$3*(PARAM!$D$51/12)*RATES!$N374/100</f>
        <v>50.833333333333336</v>
      </c>
      <c r="F398" s="16">
        <f t="shared" si="238"/>
        <v>-1688.1374994776954</v>
      </c>
      <c r="G398" s="15">
        <f t="shared" si="239"/>
        <v>22.035289406060361</v>
      </c>
      <c r="H398" s="75">
        <f>G398*(1-PARAM!$C$27)*$I$4+(MOD($B398,60)=PARAM!$B$56)*($B398&gt;(60-PARAM!$B$56))*HLOOKUP(($B398+PARAM!$B$56)/12,Loyalty,2)*$F$1*MAX(J397,0)</f>
        <v>18.443537232872522</v>
      </c>
      <c r="I398" s="75">
        <f>PARAM!$C$26+MAX($G$4-CHOOSE(PARAM!$B$44,MAX(0,J397*$F$1),0),0)*RATES!$L374/12+$H$4*(PARAM!$D$51/12)*RATES!$N374/100</f>
        <v>50.833333333333336</v>
      </c>
      <c r="J398" s="16">
        <f t="shared" si="240"/>
        <v>-1047.5399138863213</v>
      </c>
      <c r="K398" s="15">
        <f t="shared" si="241"/>
        <v>22.170849845882874</v>
      </c>
      <c r="L398" s="75">
        <f>K398*(1-PARAM!$C$27)*$I$5+(MOD($B398,60)=PARAM!$B$56)*($B398&gt;(60-PARAM!$B$56))*HLOOKUP(($B398+PARAM!$B$56)/12,Loyalty,2)*$F$1*MAX(N397,0)</f>
        <v>18.557001321003963</v>
      </c>
      <c r="M398" s="75">
        <f>PARAM!$C$26+MAX($G$5-CHOOSE(PARAM!$B$44,MAX(0,N397*$F$1),0),0)*RATES!$L374/12+$H$5*(PARAM!$D$51/12)*RATES!$N374/100</f>
        <v>50.833333333333336</v>
      </c>
      <c r="N398" s="16">
        <f t="shared" si="242"/>
        <v>-1002.4272007897616</v>
      </c>
      <c r="O398" s="15">
        <f t="shared" si="243"/>
        <v>22.170849845882874</v>
      </c>
      <c r="P398" s="75">
        <f>O398*(1-PARAM!$C$27)*$I$6+(MOD($B398,60)=PARAM!$B$56)*($B398&gt;(60-PARAM!$B$56))*HLOOKUP(($B398+PARAM!$B$56)/12,Loyalty,2)*$F$1*MAX(R397,0)</f>
        <v>18.557001321003963</v>
      </c>
      <c r="Q398" s="75">
        <f>PARAM!$C$26+MAX($G$6-CHOOSE(PARAM!$B$44,MAX(0,R397*$F$1),0),0)*RATES!$L374/12+$H$6*(PARAM!$D$51/12)*RATES!$N374/100</f>
        <v>50.833333333333336</v>
      </c>
      <c r="R398" s="16">
        <f t="shared" si="244"/>
        <v>-1002.4272007897616</v>
      </c>
      <c r="S398" s="15">
        <f t="shared" si="219"/>
        <v>22.170849845882874</v>
      </c>
      <c r="T398" s="75">
        <f>S398*(1-PARAM!$C$27)*$I$7+(MOD($B398,60)=PARAM!$B$56)*($B398&gt;(60-PARAM!$B$56))*HLOOKUP(($B398+PARAM!$B$56)/12,Loyalty,2)*$F$1*MAX(V397,0)</f>
        <v>18.557001321003963</v>
      </c>
      <c r="U398" s="75">
        <f>PARAM!$C$26+MAX($G$7-CHOOSE(PARAM!$B$44,MAX(0,V397*$F$1),0),0)*RATES!$L374/12+$H$7*(PARAM!$D$51/12)*RATES!$N374/100</f>
        <v>50.833333333333336</v>
      </c>
      <c r="V398" s="16">
        <f t="shared" si="245"/>
        <v>-1002.4272007897616</v>
      </c>
      <c r="W398" s="15">
        <f t="shared" si="220"/>
        <v>22.170849845882874</v>
      </c>
      <c r="X398" s="75">
        <f>W398*(1-PARAM!$C$27)*$I$8+(MOD($B398,60)=PARAM!$B$56)*($B398&gt;(60-PARAM!$B$56))*HLOOKUP(($B398+PARAM!$B$56)/12,Loyalty,2)*$F$1*MAX(Z397,0)</f>
        <v>18.557001321003963</v>
      </c>
      <c r="Y398" s="75">
        <f>PARAM!$C$26+MAX($G$8-CHOOSE(PARAM!$B$44,MAX(0,Z397*$F$1),0),0)*RATES!$L374/12+$H$8*(PARAM!$D$51/12)*RATES!$N374/100</f>
        <v>50.833333333333336</v>
      </c>
      <c r="Z398" s="16">
        <f t="shared" si="246"/>
        <v>-1002.4272007897616</v>
      </c>
      <c r="AA398" s="15">
        <f t="shared" si="221"/>
        <v>22.170849845882874</v>
      </c>
      <c r="AB398" s="75">
        <f>AA398*(1-PARAM!$C$27)*$I$9+(MOD($B398,60)=PARAM!$B$56)*($B398&gt;(60-PARAM!$B$56))*HLOOKUP(($B398+PARAM!$B$56)/12,Loyalty,2)*$F$1*MAX(AD397,0)</f>
        <v>18.557001321003963</v>
      </c>
      <c r="AC398" s="75">
        <f>PARAM!$C$26+MAX($G$9-CHOOSE(PARAM!$B$44,MAX(0,AD397*$F$1),0),0)*RATES!$L374/12+$H$9*(PARAM!$D$51/12)*RATES!$N374/100</f>
        <v>50.833333333333336</v>
      </c>
      <c r="AD398" s="16">
        <f t="shared" si="247"/>
        <v>-1002.4272007897616</v>
      </c>
      <c r="AE398" s="15">
        <f t="shared" si="222"/>
        <v>22.170849845882874</v>
      </c>
      <c r="AF398" s="75">
        <f>AE398*(1-PARAM!$C$27)*$I$10+(MOD($B398,60)=PARAM!$B$56)*($B398&gt;(60-PARAM!$B$56))*HLOOKUP(($B398+PARAM!$B$56)/12,Loyalty,2)*$F$1*MAX(AH397,0)</f>
        <v>18.557001321003963</v>
      </c>
      <c r="AG398" s="75">
        <f>PARAM!$C$26+MAX($G$10-CHOOSE(PARAM!$B$44,MAX(0,AH397*$F$1),0),0)*RATES!$L374/12+$H$10*(PARAM!$D$51/12)*RATES!$N374/100</f>
        <v>50.833333333333336</v>
      </c>
      <c r="AH398" s="16">
        <f t="shared" si="248"/>
        <v>-1002.4272007897616</v>
      </c>
      <c r="AI398" s="15">
        <f t="shared" si="223"/>
        <v>22.170849845882874</v>
      </c>
      <c r="AJ398" s="75">
        <f>AI398*(1-PARAM!$C$27)*$I$11+(MOD($B398,60)=PARAM!$B$56)*($B398&gt;(60-PARAM!$B$56))*HLOOKUP(($B398+PARAM!$B$56)/12,Loyalty,2)*$F$1*MAX(AL397,0)</f>
        <v>18.557001321003963</v>
      </c>
      <c r="AK398" s="75">
        <f>PARAM!$C$26+MAX($G$11-CHOOSE(PARAM!$B$44,MAX(0,AL397*$F$1),0),0)*RATES!$L374/12+$H$11*(PARAM!$D$51/12)*RATES!$N374/100</f>
        <v>50.833333333333336</v>
      </c>
      <c r="AL398" s="16">
        <f t="shared" si="249"/>
        <v>-1002.4272007897616</v>
      </c>
      <c r="AM398" s="15">
        <f t="shared" si="224"/>
        <v>22.170849845882874</v>
      </c>
      <c r="AN398" s="75">
        <f>AM398*(1-PARAM!$C$27)*$I$12+(MOD($B398,60)=PARAM!$B$56)*($B398&gt;(60-PARAM!$B$56))*HLOOKUP(($B398+PARAM!$B$56)/12,Loyalty,2)*$F$1*MAX(AP397,0)</f>
        <v>18.557001321003963</v>
      </c>
      <c r="AO398" s="75">
        <f>PARAM!$C$26+MAX($G$12-CHOOSE(PARAM!$B$44,MAX(0,AP397*$F$1),0),0)*RATES!$L374/12+$H$12*(PARAM!$D$51/12)*RATES!$N374/100</f>
        <v>50.833333333333336</v>
      </c>
      <c r="AP398" s="16">
        <f t="shared" si="250"/>
        <v>-1002.4272007897616</v>
      </c>
      <c r="AQ398" s="15">
        <f t="shared" si="225"/>
        <v>22.170849845882874</v>
      </c>
      <c r="AR398" s="75">
        <f>AQ398*(1-PARAM!$C$27)*$I$13+(MOD($B398,60)=PARAM!$B$56)*($B398&gt;(60-PARAM!$B$56))*HLOOKUP(($B398+PARAM!$B$56)/12,Loyalty,2)*$F$1*MAX(AT397,0)</f>
        <v>18.557001321003963</v>
      </c>
      <c r="AS398" s="75">
        <f>PARAM!$C$26+MAX($G$13-CHOOSE(PARAM!$B$44,MAX(0,AT397*$F$1),0),0)*RATES!$L374/12+$H$13*(PARAM!$D$51/12)*RATES!$N374/100</f>
        <v>50.833333333333336</v>
      </c>
      <c r="AT398" s="16">
        <f t="shared" si="251"/>
        <v>-1002.4272007897616</v>
      </c>
      <c r="AU398" s="15">
        <f t="shared" si="226"/>
        <v>22.170849845882874</v>
      </c>
      <c r="AV398" s="75">
        <f>AU398*(1-PARAM!$C$27)*$I$14+(MOD($B398,60)=PARAM!$B$56)*($B398&gt;(60-PARAM!$B$56))*HLOOKUP(($B398+PARAM!$B$56)/12,Loyalty,2)*$F$1*MAX(AX397,0)</f>
        <v>18.557001321003963</v>
      </c>
      <c r="AW398" s="75">
        <f>PARAM!$C$26+MAX($G$14-CHOOSE(PARAM!$B$44,MAX(0,AX397*$F$1),0),0)*RATES!$L374/12+$H$14*(PARAM!$D$51/12)*RATES!$N374/100</f>
        <v>50.833333333333336</v>
      </c>
      <c r="AX398" s="16">
        <f t="shared" si="252"/>
        <v>-1002.4272007897616</v>
      </c>
      <c r="AY398" s="15">
        <f t="shared" si="227"/>
        <v>22.170849845882874</v>
      </c>
      <c r="AZ398" s="75">
        <f>AY398*(1-PARAM!$C$27)*$I$15+(MOD($B398,60)=PARAM!$B$56)*($B398&gt;(60-PARAM!$B$56))*HLOOKUP(($B398+PARAM!$B$56)/12,Loyalty,2)*$F$1*MAX(BB397,0)</f>
        <v>18.557001321003963</v>
      </c>
      <c r="BA398" s="75">
        <f>PARAM!$C$26+MAX($G$15-CHOOSE(PARAM!$B$44,MAX(0,BB397*$F$1),0),0)*RATES!$L374/12+$H$15*(PARAM!$D$51/12)*RATES!$N374/100</f>
        <v>50.833333333333336</v>
      </c>
      <c r="BB398" s="16">
        <f t="shared" si="253"/>
        <v>-1002.4272007897616</v>
      </c>
      <c r="BC398" s="15">
        <f t="shared" si="228"/>
        <v>22.170849845882874</v>
      </c>
      <c r="BD398" s="75">
        <f>BC398*(1-PARAM!$C$27)*$I$16+(MOD($B398,60)=PARAM!$B$56)*($B398&gt;(60-PARAM!$B$56))*HLOOKUP(($B398+PARAM!$B$56)/12,Loyalty,2)*$F$1*MAX(BF397,0)</f>
        <v>18.557001321003963</v>
      </c>
      <c r="BE398" s="75">
        <f>PARAM!$C$26+MAX($G$16-CHOOSE(PARAM!$B$44,MAX(0,BF397*$F$1),0),0)*RATES!$L374/12+$H$16*(PARAM!$D$51/12)*RATES!$N374/100</f>
        <v>50.833333333333336</v>
      </c>
      <c r="BF398" s="16">
        <f t="shared" si="254"/>
        <v>-1002.4272007897616</v>
      </c>
      <c r="BG398" s="15">
        <f t="shared" si="229"/>
        <v>22.170849845882874</v>
      </c>
      <c r="BH398" s="75">
        <f>BG398*(1-PARAM!$C$27)*$I$17+(MOD($B398,60)=PARAM!$B$56)*($B398&gt;(60-PARAM!$B$56))*HLOOKUP(($B398+PARAM!$B$56)/12,Loyalty,2)*$F$1*MAX(BJ397,0)</f>
        <v>18.557001321003963</v>
      </c>
      <c r="BI398" s="75">
        <f>PARAM!$C$26+MAX($G$17-CHOOSE(PARAM!$B$44,MAX(0,BJ397*$F$1),0),0)*RATES!$L374/12+$H$17*(PARAM!$D$51/12)*RATES!$N374/100</f>
        <v>50.833333333333336</v>
      </c>
      <c r="BJ398" s="16">
        <f t="shared" si="255"/>
        <v>-1002.4272007897616</v>
      </c>
      <c r="BK398" s="15">
        <f t="shared" si="230"/>
        <v>22.170849845882874</v>
      </c>
      <c r="BL398" s="75">
        <f>BK398*(1-PARAM!$C$27)*$I$18+(MOD($B398,60)=PARAM!$B$56)*($B398&gt;(60-PARAM!$B$56))*HLOOKUP(($B398+PARAM!$B$56)/12,Loyalty,2)*$F$1*MAX(BN397,0)</f>
        <v>18.557001321003963</v>
      </c>
      <c r="BM398" s="75">
        <f>PARAM!$C$26+MAX($G$18-CHOOSE(PARAM!$B$44,MAX(0,BN397*$F$1),0),0)*RATES!$L374/12+$H$18*(PARAM!$D$51/12)*RATES!$N374/100</f>
        <v>50.833333333333336</v>
      </c>
      <c r="BN398" s="16">
        <f t="shared" si="256"/>
        <v>-1002.4272007897616</v>
      </c>
      <c r="BO398" s="15">
        <f t="shared" si="231"/>
        <v>22.170849845882874</v>
      </c>
      <c r="BP398" s="75">
        <f>BO398*(1-PARAM!$C$27)*$I$19+(MOD($B398,60)=PARAM!$B$56)*($B398&gt;(60-PARAM!$B$56))*HLOOKUP(($B398+PARAM!$B$56)/12,Loyalty,2)*$F$1*MAX(BR397,0)</f>
        <v>18.557001321003963</v>
      </c>
      <c r="BQ398" s="75">
        <f>PARAM!$C$26+MAX($G$19-CHOOSE(PARAM!$B$44,MAX(0,BR397*$F$1),0),0)*RATES!$L374/12+$H$19*(PARAM!$D$51/12)*RATES!$N374/100</f>
        <v>50.833333333333336</v>
      </c>
      <c r="BR398" s="16">
        <f t="shared" si="257"/>
        <v>-1002.4272007897616</v>
      </c>
      <c r="BS398" s="15">
        <f t="shared" si="232"/>
        <v>22.170849845882874</v>
      </c>
      <c r="BT398" s="75">
        <f>BS398*(1-PARAM!$C$27)*$I$20+(MOD($B398,60)=PARAM!$B$56)*($B398&gt;(60-PARAM!$B$56))*HLOOKUP(($B398+PARAM!$B$56)/12,Loyalty,2)*$F$1*MAX(BV397,0)</f>
        <v>18.557001321003963</v>
      </c>
      <c r="BU398" s="75">
        <f>PARAM!$C$26+MAX($G$20-CHOOSE(PARAM!$B$44,MAX(0,BV397*$F$1),0),0)*RATES!$L374/12+$H$20*(PARAM!$D$51/12)*RATES!$N374/100</f>
        <v>50.833333333333336</v>
      </c>
      <c r="BV398" s="16">
        <f t="shared" si="258"/>
        <v>-1002.4272007897616</v>
      </c>
      <c r="BW398" s="15">
        <f t="shared" si="233"/>
        <v>22.170849845882874</v>
      </c>
      <c r="BX398" s="75">
        <f>BW398*(1-PARAM!$C$27)*$I$21+(MOD($B398,60)=PARAM!$B$56)*($B398&gt;(60-PARAM!$B$56))*HLOOKUP(($B398+PARAM!$B$56)/12,Loyalty,2)*$F$1*MAX(BZ397,0)</f>
        <v>18.557001321003963</v>
      </c>
      <c r="BY398" s="75">
        <f>PARAM!$C$26+MAX($G$21-CHOOSE(PARAM!$B$44,MAX(0,BZ397*$F$1),0),0)*RATES!$L374/12+$H$21*(PARAM!$D$51/12)*RATES!$N374/100</f>
        <v>50.833333333333336</v>
      </c>
      <c r="BZ398" s="16">
        <f t="shared" si="259"/>
        <v>-1002.4272007897616</v>
      </c>
      <c r="CA398" s="15">
        <f t="shared" si="234"/>
        <v>22.170849845882874</v>
      </c>
      <c r="CB398" s="75">
        <f>CA398*(1-PARAM!$C$27)*$I$22+(MOD($B398,60)=PARAM!$B$56)*($B398&gt;(60-PARAM!$B$56))*HLOOKUP(($B398+PARAM!$B$56)/12,Loyalty,2)*$F$1*MAX(CD397,0)</f>
        <v>18.557001321003963</v>
      </c>
      <c r="CC398" s="75">
        <f>PARAM!$C$26+MAX($G$22-CHOOSE(PARAM!$B$44,MAX(0,CD397*$F$1),0),0)*RATES!$L374/12+$H$22*(PARAM!$D$51/12)*RATES!$N374/100</f>
        <v>50.833333333333336</v>
      </c>
      <c r="CD398" s="16">
        <f t="shared" si="260"/>
        <v>-1002.4272007897616</v>
      </c>
      <c r="CE398" s="33">
        <f>IF(0=MOD(B398,12/PARAM!$D$51),1,0)</f>
        <v>1</v>
      </c>
      <c r="CF398" s="15">
        <f t="shared" si="235"/>
        <v>0</v>
      </c>
      <c r="CG398" s="75">
        <f>CF398*(1-PARAM!$C$27)*$R$3+(MOD($B398/12,5)=0)*($B398&gt;60)*HLOOKUP($B398/12,Loyalty,2)*$F$1*MAX(CI397,0)</f>
        <v>0</v>
      </c>
      <c r="CH398" s="75">
        <f>PARAM!$C$26+MAX($P$3-CHOOSE(PARAM!$B$44,MAX(0,CI397*$F$1),0),0)*RATES!$L374/12+$Q$3*(PARAM!$D$51/12)*RATES!$N374/100</f>
        <v>50.833333333333336</v>
      </c>
      <c r="CI398" s="16">
        <f>IF(CI397&gt;0,CI397*PARAM!$C$53,CI397)+CG398-CH398</f>
        <v>-7767.4999999999836</v>
      </c>
      <c r="CJ398" s="15">
        <f t="shared" si="261"/>
        <v>0</v>
      </c>
      <c r="CK398" s="75">
        <f>CJ398*(1-PARAM!$C$27)*$R$4+(MOD($B398/12,5)=0)*($B398&gt;60)*HLOOKUP($B398/12,Loyalty,2)*$F$1*MAX(CM397,0)</f>
        <v>0</v>
      </c>
      <c r="CL398" s="75">
        <f>PARAM!$C$26+MAX($P$4-CHOOSE(PARAM!$B$44,MAX(0,CM397*$F$1),0),0)*RATES!$L374/12+$Q$4*(PARAM!$D$51/12)*RATES!$N374/100</f>
        <v>50.833333333333336</v>
      </c>
      <c r="CM398" s="16">
        <f>IF(CM397&gt;0,CM397*PARAM!$C$53,CM397)+CK398-CL398</f>
        <v>-7767.4999999999836</v>
      </c>
      <c r="CO398" s="176"/>
    </row>
    <row r="399" spans="1:93" x14ac:dyDescent="0.2">
      <c r="A399" t="b">
        <f t="shared" si="236"/>
        <v>0</v>
      </c>
      <c r="B399" s="33">
        <v>372</v>
      </c>
      <c r="C399" s="15">
        <f t="shared" si="237"/>
        <v>20.081305947392778</v>
      </c>
      <c r="D399" s="75">
        <f>C399*(1-PARAM!$C$27)*$I$3+(MOD($B399,60)=PARAM!$B$56)*($B399&gt;(60-PARAM!$B$56))*HLOOKUP(($B399+PARAM!$B$56)/12,Loyalty,2)*$F$1*MAX(F398,0)</f>
        <v>16.808053077967756</v>
      </c>
      <c r="E399" s="75">
        <f>PARAM!$C$26+MAX($G$3-CHOOSE(PARAM!$B$44,MAX(0,F398*$F$1),0),0)*RATES!$L375/12+$H$3*(PARAM!$D$51/12)*RATES!$N375/100</f>
        <v>50.833333333333336</v>
      </c>
      <c r="F399" s="16">
        <f t="shared" si="238"/>
        <v>-1722.1627797330609</v>
      </c>
      <c r="G399" s="15">
        <f t="shared" si="239"/>
        <v>22.035289406060361</v>
      </c>
      <c r="H399" s="75">
        <f>G399*(1-PARAM!$C$27)*$I$4+(MOD($B399,60)=PARAM!$B$56)*($B399&gt;(60-PARAM!$B$56))*HLOOKUP(($B399+PARAM!$B$56)/12,Loyalty,2)*$F$1*MAX(J398,0)</f>
        <v>18.443537232872522</v>
      </c>
      <c r="I399" s="75">
        <f>PARAM!$C$26+MAX($G$4-CHOOSE(PARAM!$B$44,MAX(0,J398*$F$1),0),0)*RATES!$L375/12+$H$4*(PARAM!$D$51/12)*RATES!$N375/100</f>
        <v>50.833333333333336</v>
      </c>
      <c r="J399" s="16">
        <f t="shared" si="240"/>
        <v>-1079.929709986782</v>
      </c>
      <c r="K399" s="15">
        <f t="shared" si="241"/>
        <v>22.170849845882874</v>
      </c>
      <c r="L399" s="75">
        <f>K399*(1-PARAM!$C$27)*$I$5+(MOD($B399,60)=PARAM!$B$56)*($B399&gt;(60-PARAM!$B$56))*HLOOKUP(($B399+PARAM!$B$56)/12,Loyalty,2)*$F$1*MAX(N398,0)</f>
        <v>18.557001321003963</v>
      </c>
      <c r="M399" s="75">
        <f>PARAM!$C$26+MAX($G$5-CHOOSE(PARAM!$B$44,MAX(0,N398*$F$1),0),0)*RATES!$L375/12+$H$5*(PARAM!$D$51/12)*RATES!$N375/100</f>
        <v>50.833333333333336</v>
      </c>
      <c r="N399" s="16">
        <f t="shared" si="242"/>
        <v>-1034.7035328020909</v>
      </c>
      <c r="O399" s="15">
        <f t="shared" si="243"/>
        <v>22.170849845882874</v>
      </c>
      <c r="P399" s="75">
        <f>O399*(1-PARAM!$C$27)*$I$6+(MOD($B399,60)=PARAM!$B$56)*($B399&gt;(60-PARAM!$B$56))*HLOOKUP(($B399+PARAM!$B$56)/12,Loyalty,2)*$F$1*MAX(R398,0)</f>
        <v>18.557001321003963</v>
      </c>
      <c r="Q399" s="75">
        <f>PARAM!$C$26+MAX($G$6-CHOOSE(PARAM!$B$44,MAX(0,R398*$F$1),0),0)*RATES!$L375/12+$H$6*(PARAM!$D$51/12)*RATES!$N375/100</f>
        <v>50.833333333333336</v>
      </c>
      <c r="R399" s="16">
        <f t="shared" si="244"/>
        <v>-1034.7035328020909</v>
      </c>
      <c r="S399" s="15">
        <f t="shared" si="219"/>
        <v>22.170849845882874</v>
      </c>
      <c r="T399" s="75">
        <f>S399*(1-PARAM!$C$27)*$I$7+(MOD($B399,60)=PARAM!$B$56)*($B399&gt;(60-PARAM!$B$56))*HLOOKUP(($B399+PARAM!$B$56)/12,Loyalty,2)*$F$1*MAX(V398,0)</f>
        <v>18.557001321003963</v>
      </c>
      <c r="U399" s="75">
        <f>PARAM!$C$26+MAX($G$7-CHOOSE(PARAM!$B$44,MAX(0,V398*$F$1),0),0)*RATES!$L375/12+$H$7*(PARAM!$D$51/12)*RATES!$N375/100</f>
        <v>50.833333333333336</v>
      </c>
      <c r="V399" s="16">
        <f t="shared" si="245"/>
        <v>-1034.7035328020909</v>
      </c>
      <c r="W399" s="15">
        <f t="shared" si="220"/>
        <v>22.170849845882874</v>
      </c>
      <c r="X399" s="75">
        <f>W399*(1-PARAM!$C$27)*$I$8+(MOD($B399,60)=PARAM!$B$56)*($B399&gt;(60-PARAM!$B$56))*HLOOKUP(($B399+PARAM!$B$56)/12,Loyalty,2)*$F$1*MAX(Z398,0)</f>
        <v>18.557001321003963</v>
      </c>
      <c r="Y399" s="75">
        <f>PARAM!$C$26+MAX($G$8-CHOOSE(PARAM!$B$44,MAX(0,Z398*$F$1),0),0)*RATES!$L375/12+$H$8*(PARAM!$D$51/12)*RATES!$N375/100</f>
        <v>50.833333333333336</v>
      </c>
      <c r="Z399" s="16">
        <f t="shared" si="246"/>
        <v>-1034.7035328020909</v>
      </c>
      <c r="AA399" s="15">
        <f t="shared" si="221"/>
        <v>22.170849845882874</v>
      </c>
      <c r="AB399" s="75">
        <f>AA399*(1-PARAM!$C$27)*$I$9+(MOD($B399,60)=PARAM!$B$56)*($B399&gt;(60-PARAM!$B$56))*HLOOKUP(($B399+PARAM!$B$56)/12,Loyalty,2)*$F$1*MAX(AD398,0)</f>
        <v>18.557001321003963</v>
      </c>
      <c r="AC399" s="75">
        <f>PARAM!$C$26+MAX($G$9-CHOOSE(PARAM!$B$44,MAX(0,AD398*$F$1),0),0)*RATES!$L375/12+$H$9*(PARAM!$D$51/12)*RATES!$N375/100</f>
        <v>50.833333333333336</v>
      </c>
      <c r="AD399" s="16">
        <f t="shared" si="247"/>
        <v>-1034.7035328020909</v>
      </c>
      <c r="AE399" s="15">
        <f t="shared" si="222"/>
        <v>22.170849845882874</v>
      </c>
      <c r="AF399" s="75">
        <f>AE399*(1-PARAM!$C$27)*$I$10+(MOD($B399,60)=PARAM!$B$56)*($B399&gt;(60-PARAM!$B$56))*HLOOKUP(($B399+PARAM!$B$56)/12,Loyalty,2)*$F$1*MAX(AH398,0)</f>
        <v>18.557001321003963</v>
      </c>
      <c r="AG399" s="75">
        <f>PARAM!$C$26+MAX($G$10-CHOOSE(PARAM!$B$44,MAX(0,AH398*$F$1),0),0)*RATES!$L375/12+$H$10*(PARAM!$D$51/12)*RATES!$N375/100</f>
        <v>50.833333333333336</v>
      </c>
      <c r="AH399" s="16">
        <f t="shared" si="248"/>
        <v>-1034.7035328020909</v>
      </c>
      <c r="AI399" s="15">
        <f t="shared" si="223"/>
        <v>22.170849845882874</v>
      </c>
      <c r="AJ399" s="75">
        <f>AI399*(1-PARAM!$C$27)*$I$11+(MOD($B399,60)=PARAM!$B$56)*($B399&gt;(60-PARAM!$B$56))*HLOOKUP(($B399+PARAM!$B$56)/12,Loyalty,2)*$F$1*MAX(AL398,0)</f>
        <v>18.557001321003963</v>
      </c>
      <c r="AK399" s="75">
        <f>PARAM!$C$26+MAX($G$11-CHOOSE(PARAM!$B$44,MAX(0,AL398*$F$1),0),0)*RATES!$L375/12+$H$11*(PARAM!$D$51/12)*RATES!$N375/100</f>
        <v>50.833333333333336</v>
      </c>
      <c r="AL399" s="16">
        <f t="shared" si="249"/>
        <v>-1034.7035328020909</v>
      </c>
      <c r="AM399" s="15">
        <f t="shared" si="224"/>
        <v>22.170849845882874</v>
      </c>
      <c r="AN399" s="75">
        <f>AM399*(1-PARAM!$C$27)*$I$12+(MOD($B399,60)=PARAM!$B$56)*($B399&gt;(60-PARAM!$B$56))*HLOOKUP(($B399+PARAM!$B$56)/12,Loyalty,2)*$F$1*MAX(AP398,0)</f>
        <v>18.557001321003963</v>
      </c>
      <c r="AO399" s="75">
        <f>PARAM!$C$26+MAX($G$12-CHOOSE(PARAM!$B$44,MAX(0,AP398*$F$1),0),0)*RATES!$L375/12+$H$12*(PARAM!$D$51/12)*RATES!$N375/100</f>
        <v>50.833333333333336</v>
      </c>
      <c r="AP399" s="16">
        <f t="shared" si="250"/>
        <v>-1034.7035328020909</v>
      </c>
      <c r="AQ399" s="15">
        <f t="shared" si="225"/>
        <v>22.170849845882874</v>
      </c>
      <c r="AR399" s="75">
        <f>AQ399*(1-PARAM!$C$27)*$I$13+(MOD($B399,60)=PARAM!$B$56)*($B399&gt;(60-PARAM!$B$56))*HLOOKUP(($B399+PARAM!$B$56)/12,Loyalty,2)*$F$1*MAX(AT398,0)</f>
        <v>18.557001321003963</v>
      </c>
      <c r="AS399" s="75">
        <f>PARAM!$C$26+MAX($G$13-CHOOSE(PARAM!$B$44,MAX(0,AT398*$F$1),0),0)*RATES!$L375/12+$H$13*(PARAM!$D$51/12)*RATES!$N375/100</f>
        <v>50.833333333333336</v>
      </c>
      <c r="AT399" s="16">
        <f t="shared" si="251"/>
        <v>-1034.7035328020909</v>
      </c>
      <c r="AU399" s="15">
        <f t="shared" si="226"/>
        <v>22.170849845882874</v>
      </c>
      <c r="AV399" s="75">
        <f>AU399*(1-PARAM!$C$27)*$I$14+(MOD($B399,60)=PARAM!$B$56)*($B399&gt;(60-PARAM!$B$56))*HLOOKUP(($B399+PARAM!$B$56)/12,Loyalty,2)*$F$1*MAX(AX398,0)</f>
        <v>18.557001321003963</v>
      </c>
      <c r="AW399" s="75">
        <f>PARAM!$C$26+MAX($G$14-CHOOSE(PARAM!$B$44,MAX(0,AX398*$F$1),0),0)*RATES!$L375/12+$H$14*(PARAM!$D$51/12)*RATES!$N375/100</f>
        <v>50.833333333333336</v>
      </c>
      <c r="AX399" s="16">
        <f t="shared" si="252"/>
        <v>-1034.7035328020909</v>
      </c>
      <c r="AY399" s="15">
        <f t="shared" si="227"/>
        <v>22.170849845882874</v>
      </c>
      <c r="AZ399" s="75">
        <f>AY399*(1-PARAM!$C$27)*$I$15+(MOD($B399,60)=PARAM!$B$56)*($B399&gt;(60-PARAM!$B$56))*HLOOKUP(($B399+PARAM!$B$56)/12,Loyalty,2)*$F$1*MAX(BB398,0)</f>
        <v>18.557001321003963</v>
      </c>
      <c r="BA399" s="75">
        <f>PARAM!$C$26+MAX($G$15-CHOOSE(PARAM!$B$44,MAX(0,BB398*$F$1),0),0)*RATES!$L375/12+$H$15*(PARAM!$D$51/12)*RATES!$N375/100</f>
        <v>50.833333333333336</v>
      </c>
      <c r="BB399" s="16">
        <f t="shared" si="253"/>
        <v>-1034.7035328020909</v>
      </c>
      <c r="BC399" s="15">
        <f t="shared" si="228"/>
        <v>22.170849845882874</v>
      </c>
      <c r="BD399" s="75">
        <f>BC399*(1-PARAM!$C$27)*$I$16+(MOD($B399,60)=PARAM!$B$56)*($B399&gt;(60-PARAM!$B$56))*HLOOKUP(($B399+PARAM!$B$56)/12,Loyalty,2)*$F$1*MAX(BF398,0)</f>
        <v>18.557001321003963</v>
      </c>
      <c r="BE399" s="75">
        <f>PARAM!$C$26+MAX($G$16-CHOOSE(PARAM!$B$44,MAX(0,BF398*$F$1),0),0)*RATES!$L375/12+$H$16*(PARAM!$D$51/12)*RATES!$N375/100</f>
        <v>50.833333333333336</v>
      </c>
      <c r="BF399" s="16">
        <f t="shared" si="254"/>
        <v>-1034.7035328020909</v>
      </c>
      <c r="BG399" s="15">
        <f t="shared" si="229"/>
        <v>22.170849845882874</v>
      </c>
      <c r="BH399" s="75">
        <f>BG399*(1-PARAM!$C$27)*$I$17+(MOD($B399,60)=PARAM!$B$56)*($B399&gt;(60-PARAM!$B$56))*HLOOKUP(($B399+PARAM!$B$56)/12,Loyalty,2)*$F$1*MAX(BJ398,0)</f>
        <v>18.557001321003963</v>
      </c>
      <c r="BI399" s="75">
        <f>PARAM!$C$26+MAX($G$17-CHOOSE(PARAM!$B$44,MAX(0,BJ398*$F$1),0),0)*RATES!$L375/12+$H$17*(PARAM!$D$51/12)*RATES!$N375/100</f>
        <v>50.833333333333336</v>
      </c>
      <c r="BJ399" s="16">
        <f t="shared" si="255"/>
        <v>-1034.7035328020909</v>
      </c>
      <c r="BK399" s="15">
        <f t="shared" si="230"/>
        <v>22.170849845882874</v>
      </c>
      <c r="BL399" s="75">
        <f>BK399*(1-PARAM!$C$27)*$I$18+(MOD($B399,60)=PARAM!$B$56)*($B399&gt;(60-PARAM!$B$56))*HLOOKUP(($B399+PARAM!$B$56)/12,Loyalty,2)*$F$1*MAX(BN398,0)</f>
        <v>18.557001321003963</v>
      </c>
      <c r="BM399" s="75">
        <f>PARAM!$C$26+MAX($G$18-CHOOSE(PARAM!$B$44,MAX(0,BN398*$F$1),0),0)*RATES!$L375/12+$H$18*(PARAM!$D$51/12)*RATES!$N375/100</f>
        <v>50.833333333333336</v>
      </c>
      <c r="BN399" s="16">
        <f t="shared" si="256"/>
        <v>-1034.7035328020909</v>
      </c>
      <c r="BO399" s="15">
        <f t="shared" si="231"/>
        <v>22.170849845882874</v>
      </c>
      <c r="BP399" s="75">
        <f>BO399*(1-PARAM!$C$27)*$I$19+(MOD($B399,60)=PARAM!$B$56)*($B399&gt;(60-PARAM!$B$56))*HLOOKUP(($B399+PARAM!$B$56)/12,Loyalty,2)*$F$1*MAX(BR398,0)</f>
        <v>18.557001321003963</v>
      </c>
      <c r="BQ399" s="75">
        <f>PARAM!$C$26+MAX($G$19-CHOOSE(PARAM!$B$44,MAX(0,BR398*$F$1),0),0)*RATES!$L375/12+$H$19*(PARAM!$D$51/12)*RATES!$N375/100</f>
        <v>50.833333333333336</v>
      </c>
      <c r="BR399" s="16">
        <f t="shared" si="257"/>
        <v>-1034.7035328020909</v>
      </c>
      <c r="BS399" s="15">
        <f t="shared" si="232"/>
        <v>22.170849845882874</v>
      </c>
      <c r="BT399" s="75">
        <f>BS399*(1-PARAM!$C$27)*$I$20+(MOD($B399,60)=PARAM!$B$56)*($B399&gt;(60-PARAM!$B$56))*HLOOKUP(($B399+PARAM!$B$56)/12,Loyalty,2)*$F$1*MAX(BV398,0)</f>
        <v>18.557001321003963</v>
      </c>
      <c r="BU399" s="75">
        <f>PARAM!$C$26+MAX($G$20-CHOOSE(PARAM!$B$44,MAX(0,BV398*$F$1),0),0)*RATES!$L375/12+$H$20*(PARAM!$D$51/12)*RATES!$N375/100</f>
        <v>50.833333333333336</v>
      </c>
      <c r="BV399" s="16">
        <f t="shared" si="258"/>
        <v>-1034.7035328020909</v>
      </c>
      <c r="BW399" s="15">
        <f t="shared" si="233"/>
        <v>22.170849845882874</v>
      </c>
      <c r="BX399" s="75">
        <f>BW399*(1-PARAM!$C$27)*$I$21+(MOD($B399,60)=PARAM!$B$56)*($B399&gt;(60-PARAM!$B$56))*HLOOKUP(($B399+PARAM!$B$56)/12,Loyalty,2)*$F$1*MAX(BZ398,0)</f>
        <v>18.557001321003963</v>
      </c>
      <c r="BY399" s="75">
        <f>PARAM!$C$26+MAX($G$21-CHOOSE(PARAM!$B$44,MAX(0,BZ398*$F$1),0),0)*RATES!$L375/12+$H$21*(PARAM!$D$51/12)*RATES!$N375/100</f>
        <v>50.833333333333336</v>
      </c>
      <c r="BZ399" s="16">
        <f t="shared" si="259"/>
        <v>-1034.7035328020909</v>
      </c>
      <c r="CA399" s="15">
        <f t="shared" si="234"/>
        <v>22.170849845882874</v>
      </c>
      <c r="CB399" s="75">
        <f>CA399*(1-PARAM!$C$27)*$I$22+(MOD($B399,60)=PARAM!$B$56)*($B399&gt;(60-PARAM!$B$56))*HLOOKUP(($B399+PARAM!$B$56)/12,Loyalty,2)*$F$1*MAX(CD398,0)</f>
        <v>18.557001321003963</v>
      </c>
      <c r="CC399" s="75">
        <f>PARAM!$C$26+MAX($G$22-CHOOSE(PARAM!$B$44,MAX(0,CD398*$F$1),0),0)*RATES!$L375/12+$H$22*(PARAM!$D$51/12)*RATES!$N375/100</f>
        <v>50.833333333333336</v>
      </c>
      <c r="CD399" s="16">
        <f t="shared" si="260"/>
        <v>-1034.7035328020909</v>
      </c>
      <c r="CE399" s="33">
        <f>IF(0=MOD(B399,12/PARAM!$D$51),1,0)</f>
        <v>1</v>
      </c>
      <c r="CF399" s="15">
        <f t="shared" si="235"/>
        <v>0</v>
      </c>
      <c r="CG399" s="75">
        <f>CF399*(1-PARAM!$C$27)*$R$3+(MOD($B399/12,5)=0)*($B399&gt;60)*HLOOKUP($B399/12,Loyalty,2)*$F$1*MAX(CI398,0)</f>
        <v>0</v>
      </c>
      <c r="CH399" s="75">
        <f>PARAM!$C$26+MAX($P$3-CHOOSE(PARAM!$B$44,MAX(0,CI398*$F$1),0),0)*RATES!$L375/12+$Q$3*(PARAM!$D$51/12)*RATES!$N375/100</f>
        <v>50.833333333333336</v>
      </c>
      <c r="CI399" s="16">
        <f>IF(CI398&gt;0,CI398*PARAM!$C$53,CI398)+CG399-CH399</f>
        <v>-7818.3333333333167</v>
      </c>
      <c r="CJ399" s="15">
        <f t="shared" si="261"/>
        <v>0</v>
      </c>
      <c r="CK399" s="75">
        <f>CJ399*(1-PARAM!$C$27)*$R$4+(MOD($B399/12,5)=0)*($B399&gt;60)*HLOOKUP($B399/12,Loyalty,2)*$F$1*MAX(CM398,0)</f>
        <v>0</v>
      </c>
      <c r="CL399" s="75">
        <f>PARAM!$C$26+MAX($P$4-CHOOSE(PARAM!$B$44,MAX(0,CM398*$F$1),0),0)*RATES!$L375/12+$Q$4*(PARAM!$D$51/12)*RATES!$N375/100</f>
        <v>50.833333333333336</v>
      </c>
      <c r="CM399" s="16">
        <f>IF(CM398&gt;0,CM398*PARAM!$C$53,CM398)+CK399-CL399</f>
        <v>-7818.3333333333167</v>
      </c>
      <c r="CO399" s="176"/>
    </row>
    <row r="400" spans="1:93" x14ac:dyDescent="0.2">
      <c r="A400" t="b">
        <f t="shared" si="236"/>
        <v>0</v>
      </c>
      <c r="B400" s="33">
        <v>373</v>
      </c>
      <c r="C400" s="15">
        <f t="shared" si="237"/>
        <v>20.081305947392778</v>
      </c>
      <c r="D400" s="75">
        <f>C400*(1-PARAM!$C$27)*$I$3+(MOD($B400,60)=PARAM!$B$56)*($B400&gt;(60-PARAM!$B$56))*HLOOKUP(($B400+PARAM!$B$56)/12,Loyalty,2)*$F$1*MAX(F399,0)</f>
        <v>16.808053077967756</v>
      </c>
      <c r="E400" s="75">
        <f>PARAM!$C$26+MAX($G$3-CHOOSE(PARAM!$B$44,MAX(0,F399*$F$1),0),0)*RATES!$L376/12+$H$3*(PARAM!$D$51/12)*RATES!$N376/100</f>
        <v>50.833333333333336</v>
      </c>
      <c r="F400" s="16">
        <f t="shared" si="238"/>
        <v>-1756.1880599884264</v>
      </c>
      <c r="G400" s="15">
        <f t="shared" si="239"/>
        <v>22.035289406060361</v>
      </c>
      <c r="H400" s="75">
        <f>G400*(1-PARAM!$C$27)*$I$4+(MOD($B400,60)=PARAM!$B$56)*($B400&gt;(60-PARAM!$B$56))*HLOOKUP(($B400+PARAM!$B$56)/12,Loyalty,2)*$F$1*MAX(J399,0)</f>
        <v>18.443537232872522</v>
      </c>
      <c r="I400" s="75">
        <f>PARAM!$C$26+MAX($G$4-CHOOSE(PARAM!$B$44,MAX(0,J399*$F$1),0),0)*RATES!$L376/12+$H$4*(PARAM!$D$51/12)*RATES!$N376/100</f>
        <v>50.833333333333336</v>
      </c>
      <c r="J400" s="16">
        <f t="shared" si="240"/>
        <v>-1112.3195060872426</v>
      </c>
      <c r="K400" s="15">
        <f t="shared" si="241"/>
        <v>22.170849845882874</v>
      </c>
      <c r="L400" s="75">
        <f>K400*(1-PARAM!$C$27)*$I$5+(MOD($B400,60)=PARAM!$B$56)*($B400&gt;(60-PARAM!$B$56))*HLOOKUP(($B400+PARAM!$B$56)/12,Loyalty,2)*$F$1*MAX(N399,0)</f>
        <v>18.557001321003963</v>
      </c>
      <c r="M400" s="75">
        <f>PARAM!$C$26+MAX($G$5-CHOOSE(PARAM!$B$44,MAX(0,N399*$F$1),0),0)*RATES!$L376/12+$H$5*(PARAM!$D$51/12)*RATES!$N376/100</f>
        <v>50.833333333333336</v>
      </c>
      <c r="N400" s="16">
        <f t="shared" si="242"/>
        <v>-1066.9798648144201</v>
      </c>
      <c r="O400" s="15">
        <f t="shared" si="243"/>
        <v>22.170849845882874</v>
      </c>
      <c r="P400" s="75">
        <f>O400*(1-PARAM!$C$27)*$I$6+(MOD($B400,60)=PARAM!$B$56)*($B400&gt;(60-PARAM!$B$56))*HLOOKUP(($B400+PARAM!$B$56)/12,Loyalty,2)*$F$1*MAX(R399,0)</f>
        <v>18.557001321003963</v>
      </c>
      <c r="Q400" s="75">
        <f>PARAM!$C$26+MAX($G$6-CHOOSE(PARAM!$B$44,MAX(0,R399*$F$1),0),0)*RATES!$L376/12+$H$6*(PARAM!$D$51/12)*RATES!$N376/100</f>
        <v>50.833333333333336</v>
      </c>
      <c r="R400" s="16">
        <f t="shared" si="244"/>
        <v>-1066.9798648144201</v>
      </c>
      <c r="S400" s="15">
        <f t="shared" si="219"/>
        <v>22.170849845882874</v>
      </c>
      <c r="T400" s="75">
        <f>S400*(1-PARAM!$C$27)*$I$7+(MOD($B400,60)=PARAM!$B$56)*($B400&gt;(60-PARAM!$B$56))*HLOOKUP(($B400+PARAM!$B$56)/12,Loyalty,2)*$F$1*MAX(V399,0)</f>
        <v>18.557001321003963</v>
      </c>
      <c r="U400" s="75">
        <f>PARAM!$C$26+MAX($G$7-CHOOSE(PARAM!$B$44,MAX(0,V399*$F$1),0),0)*RATES!$L376/12+$H$7*(PARAM!$D$51/12)*RATES!$N376/100</f>
        <v>50.833333333333336</v>
      </c>
      <c r="V400" s="16">
        <f t="shared" si="245"/>
        <v>-1066.9798648144201</v>
      </c>
      <c r="W400" s="15">
        <f t="shared" si="220"/>
        <v>22.170849845882874</v>
      </c>
      <c r="X400" s="75">
        <f>W400*(1-PARAM!$C$27)*$I$8+(MOD($B400,60)=PARAM!$B$56)*($B400&gt;(60-PARAM!$B$56))*HLOOKUP(($B400+PARAM!$B$56)/12,Loyalty,2)*$F$1*MAX(Z399,0)</f>
        <v>18.557001321003963</v>
      </c>
      <c r="Y400" s="75">
        <f>PARAM!$C$26+MAX($G$8-CHOOSE(PARAM!$B$44,MAX(0,Z399*$F$1),0),0)*RATES!$L376/12+$H$8*(PARAM!$D$51/12)*RATES!$N376/100</f>
        <v>50.833333333333336</v>
      </c>
      <c r="Z400" s="16">
        <f t="shared" si="246"/>
        <v>-1066.9798648144201</v>
      </c>
      <c r="AA400" s="15">
        <f t="shared" si="221"/>
        <v>22.170849845882874</v>
      </c>
      <c r="AB400" s="75">
        <f>AA400*(1-PARAM!$C$27)*$I$9+(MOD($B400,60)=PARAM!$B$56)*($B400&gt;(60-PARAM!$B$56))*HLOOKUP(($B400+PARAM!$B$56)/12,Loyalty,2)*$F$1*MAX(AD399,0)</f>
        <v>18.557001321003963</v>
      </c>
      <c r="AC400" s="75">
        <f>PARAM!$C$26+MAX($G$9-CHOOSE(PARAM!$B$44,MAX(0,AD399*$F$1),0),0)*RATES!$L376/12+$H$9*(PARAM!$D$51/12)*RATES!$N376/100</f>
        <v>50.833333333333336</v>
      </c>
      <c r="AD400" s="16">
        <f t="shared" si="247"/>
        <v>-1066.9798648144201</v>
      </c>
      <c r="AE400" s="15">
        <f t="shared" si="222"/>
        <v>22.170849845882874</v>
      </c>
      <c r="AF400" s="75">
        <f>AE400*(1-PARAM!$C$27)*$I$10+(MOD($B400,60)=PARAM!$B$56)*($B400&gt;(60-PARAM!$B$56))*HLOOKUP(($B400+PARAM!$B$56)/12,Loyalty,2)*$F$1*MAX(AH399,0)</f>
        <v>18.557001321003963</v>
      </c>
      <c r="AG400" s="75">
        <f>PARAM!$C$26+MAX($G$10-CHOOSE(PARAM!$B$44,MAX(0,AH399*$F$1),0),0)*RATES!$L376/12+$H$10*(PARAM!$D$51/12)*RATES!$N376/100</f>
        <v>50.833333333333336</v>
      </c>
      <c r="AH400" s="16">
        <f t="shared" si="248"/>
        <v>-1066.9798648144201</v>
      </c>
      <c r="AI400" s="15">
        <f t="shared" si="223"/>
        <v>22.170849845882874</v>
      </c>
      <c r="AJ400" s="75">
        <f>AI400*(1-PARAM!$C$27)*$I$11+(MOD($B400,60)=PARAM!$B$56)*($B400&gt;(60-PARAM!$B$56))*HLOOKUP(($B400+PARAM!$B$56)/12,Loyalty,2)*$F$1*MAX(AL399,0)</f>
        <v>18.557001321003963</v>
      </c>
      <c r="AK400" s="75">
        <f>PARAM!$C$26+MAX($G$11-CHOOSE(PARAM!$B$44,MAX(0,AL399*$F$1),0),0)*RATES!$L376/12+$H$11*(PARAM!$D$51/12)*RATES!$N376/100</f>
        <v>50.833333333333336</v>
      </c>
      <c r="AL400" s="16">
        <f t="shared" si="249"/>
        <v>-1066.9798648144201</v>
      </c>
      <c r="AM400" s="15">
        <f t="shared" si="224"/>
        <v>22.170849845882874</v>
      </c>
      <c r="AN400" s="75">
        <f>AM400*(1-PARAM!$C$27)*$I$12+(MOD($B400,60)=PARAM!$B$56)*($B400&gt;(60-PARAM!$B$56))*HLOOKUP(($B400+PARAM!$B$56)/12,Loyalty,2)*$F$1*MAX(AP399,0)</f>
        <v>18.557001321003963</v>
      </c>
      <c r="AO400" s="75">
        <f>PARAM!$C$26+MAX($G$12-CHOOSE(PARAM!$B$44,MAX(0,AP399*$F$1),0),0)*RATES!$L376/12+$H$12*(PARAM!$D$51/12)*RATES!$N376/100</f>
        <v>50.833333333333336</v>
      </c>
      <c r="AP400" s="16">
        <f t="shared" si="250"/>
        <v>-1066.9798648144201</v>
      </c>
      <c r="AQ400" s="15">
        <f t="shared" si="225"/>
        <v>22.170849845882874</v>
      </c>
      <c r="AR400" s="75">
        <f>AQ400*(1-PARAM!$C$27)*$I$13+(MOD($B400,60)=PARAM!$B$56)*($B400&gt;(60-PARAM!$B$56))*HLOOKUP(($B400+PARAM!$B$56)/12,Loyalty,2)*$F$1*MAX(AT399,0)</f>
        <v>18.557001321003963</v>
      </c>
      <c r="AS400" s="75">
        <f>PARAM!$C$26+MAX($G$13-CHOOSE(PARAM!$B$44,MAX(0,AT399*$F$1),0),0)*RATES!$L376/12+$H$13*(PARAM!$D$51/12)*RATES!$N376/100</f>
        <v>50.833333333333336</v>
      </c>
      <c r="AT400" s="16">
        <f t="shared" si="251"/>
        <v>-1066.9798648144201</v>
      </c>
      <c r="AU400" s="15">
        <f t="shared" si="226"/>
        <v>22.170849845882874</v>
      </c>
      <c r="AV400" s="75">
        <f>AU400*(1-PARAM!$C$27)*$I$14+(MOD($B400,60)=PARAM!$B$56)*($B400&gt;(60-PARAM!$B$56))*HLOOKUP(($B400+PARAM!$B$56)/12,Loyalty,2)*$F$1*MAX(AX399,0)</f>
        <v>18.557001321003963</v>
      </c>
      <c r="AW400" s="75">
        <f>PARAM!$C$26+MAX($G$14-CHOOSE(PARAM!$B$44,MAX(0,AX399*$F$1),0),0)*RATES!$L376/12+$H$14*(PARAM!$D$51/12)*RATES!$N376/100</f>
        <v>50.833333333333336</v>
      </c>
      <c r="AX400" s="16">
        <f t="shared" si="252"/>
        <v>-1066.9798648144201</v>
      </c>
      <c r="AY400" s="15">
        <f t="shared" si="227"/>
        <v>22.170849845882874</v>
      </c>
      <c r="AZ400" s="75">
        <f>AY400*(1-PARAM!$C$27)*$I$15+(MOD($B400,60)=PARAM!$B$56)*($B400&gt;(60-PARAM!$B$56))*HLOOKUP(($B400+PARAM!$B$56)/12,Loyalty,2)*$F$1*MAX(BB399,0)</f>
        <v>18.557001321003963</v>
      </c>
      <c r="BA400" s="75">
        <f>PARAM!$C$26+MAX($G$15-CHOOSE(PARAM!$B$44,MAX(0,BB399*$F$1),0),0)*RATES!$L376/12+$H$15*(PARAM!$D$51/12)*RATES!$N376/100</f>
        <v>50.833333333333336</v>
      </c>
      <c r="BB400" s="16">
        <f t="shared" si="253"/>
        <v>-1066.9798648144201</v>
      </c>
      <c r="BC400" s="15">
        <f t="shared" si="228"/>
        <v>22.170849845882874</v>
      </c>
      <c r="BD400" s="75">
        <f>BC400*(1-PARAM!$C$27)*$I$16+(MOD($B400,60)=PARAM!$B$56)*($B400&gt;(60-PARAM!$B$56))*HLOOKUP(($B400+PARAM!$B$56)/12,Loyalty,2)*$F$1*MAX(BF399,0)</f>
        <v>18.557001321003963</v>
      </c>
      <c r="BE400" s="75">
        <f>PARAM!$C$26+MAX($G$16-CHOOSE(PARAM!$B$44,MAX(0,BF399*$F$1),0),0)*RATES!$L376/12+$H$16*(PARAM!$D$51/12)*RATES!$N376/100</f>
        <v>50.833333333333336</v>
      </c>
      <c r="BF400" s="16">
        <f t="shared" si="254"/>
        <v>-1066.9798648144201</v>
      </c>
      <c r="BG400" s="15">
        <f t="shared" si="229"/>
        <v>22.170849845882874</v>
      </c>
      <c r="BH400" s="75">
        <f>BG400*(1-PARAM!$C$27)*$I$17+(MOD($B400,60)=PARAM!$B$56)*($B400&gt;(60-PARAM!$B$56))*HLOOKUP(($B400+PARAM!$B$56)/12,Loyalty,2)*$F$1*MAX(BJ399,0)</f>
        <v>18.557001321003963</v>
      </c>
      <c r="BI400" s="75">
        <f>PARAM!$C$26+MAX($G$17-CHOOSE(PARAM!$B$44,MAX(0,BJ399*$F$1),0),0)*RATES!$L376/12+$H$17*(PARAM!$D$51/12)*RATES!$N376/100</f>
        <v>50.833333333333336</v>
      </c>
      <c r="BJ400" s="16">
        <f t="shared" si="255"/>
        <v>-1066.9798648144201</v>
      </c>
      <c r="BK400" s="15">
        <f t="shared" si="230"/>
        <v>22.170849845882874</v>
      </c>
      <c r="BL400" s="75">
        <f>BK400*(1-PARAM!$C$27)*$I$18+(MOD($B400,60)=PARAM!$B$56)*($B400&gt;(60-PARAM!$B$56))*HLOOKUP(($B400+PARAM!$B$56)/12,Loyalty,2)*$F$1*MAX(BN399,0)</f>
        <v>18.557001321003963</v>
      </c>
      <c r="BM400" s="75">
        <f>PARAM!$C$26+MAX($G$18-CHOOSE(PARAM!$B$44,MAX(0,BN399*$F$1),0),0)*RATES!$L376/12+$H$18*(PARAM!$D$51/12)*RATES!$N376/100</f>
        <v>50.833333333333336</v>
      </c>
      <c r="BN400" s="16">
        <f t="shared" si="256"/>
        <v>-1066.9798648144201</v>
      </c>
      <c r="BO400" s="15">
        <f t="shared" si="231"/>
        <v>22.170849845882874</v>
      </c>
      <c r="BP400" s="75">
        <f>BO400*(1-PARAM!$C$27)*$I$19+(MOD($B400,60)=PARAM!$B$56)*($B400&gt;(60-PARAM!$B$56))*HLOOKUP(($B400+PARAM!$B$56)/12,Loyalty,2)*$F$1*MAX(BR399,0)</f>
        <v>18.557001321003963</v>
      </c>
      <c r="BQ400" s="75">
        <f>PARAM!$C$26+MAX($G$19-CHOOSE(PARAM!$B$44,MAX(0,BR399*$F$1),0),0)*RATES!$L376/12+$H$19*(PARAM!$D$51/12)*RATES!$N376/100</f>
        <v>50.833333333333336</v>
      </c>
      <c r="BR400" s="16">
        <f t="shared" si="257"/>
        <v>-1066.9798648144201</v>
      </c>
      <c r="BS400" s="15">
        <f t="shared" si="232"/>
        <v>22.170849845882874</v>
      </c>
      <c r="BT400" s="75">
        <f>BS400*(1-PARAM!$C$27)*$I$20+(MOD($B400,60)=PARAM!$B$56)*($B400&gt;(60-PARAM!$B$56))*HLOOKUP(($B400+PARAM!$B$56)/12,Loyalty,2)*$F$1*MAX(BV399,0)</f>
        <v>18.557001321003963</v>
      </c>
      <c r="BU400" s="75">
        <f>PARAM!$C$26+MAX($G$20-CHOOSE(PARAM!$B$44,MAX(0,BV399*$F$1),0),0)*RATES!$L376/12+$H$20*(PARAM!$D$51/12)*RATES!$N376/100</f>
        <v>50.833333333333336</v>
      </c>
      <c r="BV400" s="16">
        <f t="shared" si="258"/>
        <v>-1066.9798648144201</v>
      </c>
      <c r="BW400" s="15">
        <f t="shared" si="233"/>
        <v>22.170849845882874</v>
      </c>
      <c r="BX400" s="75">
        <f>BW400*(1-PARAM!$C$27)*$I$21+(MOD($B400,60)=PARAM!$B$56)*($B400&gt;(60-PARAM!$B$56))*HLOOKUP(($B400+PARAM!$B$56)/12,Loyalty,2)*$F$1*MAX(BZ399,0)</f>
        <v>18.557001321003963</v>
      </c>
      <c r="BY400" s="75">
        <f>PARAM!$C$26+MAX($G$21-CHOOSE(PARAM!$B$44,MAX(0,BZ399*$F$1),0),0)*RATES!$L376/12+$H$21*(PARAM!$D$51/12)*RATES!$N376/100</f>
        <v>50.833333333333336</v>
      </c>
      <c r="BZ400" s="16">
        <f t="shared" si="259"/>
        <v>-1066.9798648144201</v>
      </c>
      <c r="CA400" s="15">
        <f t="shared" si="234"/>
        <v>22.170849845882874</v>
      </c>
      <c r="CB400" s="75">
        <f>CA400*(1-PARAM!$C$27)*$I$22+(MOD($B400,60)=PARAM!$B$56)*($B400&gt;(60-PARAM!$B$56))*HLOOKUP(($B400+PARAM!$B$56)/12,Loyalty,2)*$F$1*MAX(CD399,0)</f>
        <v>18.557001321003963</v>
      </c>
      <c r="CC400" s="75">
        <f>PARAM!$C$26+MAX($G$22-CHOOSE(PARAM!$B$44,MAX(0,CD399*$F$1),0),0)*RATES!$L376/12+$H$22*(PARAM!$D$51/12)*RATES!$N376/100</f>
        <v>50.833333333333336</v>
      </c>
      <c r="CD400" s="16">
        <f t="shared" si="260"/>
        <v>-1066.9798648144201</v>
      </c>
      <c r="CE400" s="33">
        <f>IF(0=MOD(B400,12/PARAM!$D$51),1,0)</f>
        <v>1</v>
      </c>
      <c r="CF400" s="15">
        <f t="shared" si="235"/>
        <v>0</v>
      </c>
      <c r="CG400" s="75">
        <f>CF400*(1-PARAM!$C$27)*$R$3+(MOD($B400/12,5)=0)*($B400&gt;60)*HLOOKUP($B400/12,Loyalty,2)*$F$1*MAX(CI399,0)</f>
        <v>0</v>
      </c>
      <c r="CH400" s="75">
        <f>PARAM!$C$26+MAX($P$3-CHOOSE(PARAM!$B$44,MAX(0,CI399*$F$1),0),0)*RATES!$L376/12+$Q$3*(PARAM!$D$51/12)*RATES!$N376/100</f>
        <v>50.833333333333336</v>
      </c>
      <c r="CI400" s="16">
        <f>IF(CI399&gt;0,CI399*PARAM!$C$53,CI399)+CG400-CH400</f>
        <v>-7869.1666666666497</v>
      </c>
      <c r="CJ400" s="15">
        <f t="shared" si="261"/>
        <v>0</v>
      </c>
      <c r="CK400" s="75">
        <f>CJ400*(1-PARAM!$C$27)*$R$4+(MOD($B400/12,5)=0)*($B400&gt;60)*HLOOKUP($B400/12,Loyalty,2)*$F$1*MAX(CM399,0)</f>
        <v>0</v>
      </c>
      <c r="CL400" s="75">
        <f>PARAM!$C$26+MAX($P$4-CHOOSE(PARAM!$B$44,MAX(0,CM399*$F$1),0),0)*RATES!$L376/12+$Q$4*(PARAM!$D$51/12)*RATES!$N376/100</f>
        <v>50.833333333333336</v>
      </c>
      <c r="CM400" s="16">
        <f>IF(CM399&gt;0,CM399*PARAM!$C$53,CM399)+CK400-CL400</f>
        <v>-7869.1666666666497</v>
      </c>
      <c r="CO400" s="176"/>
    </row>
    <row r="401" spans="1:93" x14ac:dyDescent="0.2">
      <c r="A401" t="b">
        <f t="shared" si="236"/>
        <v>0</v>
      </c>
      <c r="B401" s="33">
        <v>374</v>
      </c>
      <c r="C401" s="15">
        <f t="shared" si="237"/>
        <v>20.081305947392778</v>
      </c>
      <c r="D401" s="75">
        <f>C401*(1-PARAM!$C$27)*$I$3+(MOD($B401,60)=PARAM!$B$56)*($B401&gt;(60-PARAM!$B$56))*HLOOKUP(($B401+PARAM!$B$56)/12,Loyalty,2)*$F$1*MAX(F400,0)</f>
        <v>16.808053077967756</v>
      </c>
      <c r="E401" s="75">
        <f>PARAM!$C$26+MAX($G$3-CHOOSE(PARAM!$B$44,MAX(0,F400*$F$1),0),0)*RATES!$L377/12+$H$3*(PARAM!$D$51/12)*RATES!$N377/100</f>
        <v>50.833333333333336</v>
      </c>
      <c r="F401" s="16">
        <f t="shared" si="238"/>
        <v>-1790.2133402437919</v>
      </c>
      <c r="G401" s="15">
        <f t="shared" si="239"/>
        <v>22.035289406060361</v>
      </c>
      <c r="H401" s="75">
        <f>G401*(1-PARAM!$C$27)*$I$4+(MOD($B401,60)=PARAM!$B$56)*($B401&gt;(60-PARAM!$B$56))*HLOOKUP(($B401+PARAM!$B$56)/12,Loyalty,2)*$F$1*MAX(J400,0)</f>
        <v>18.443537232872522</v>
      </c>
      <c r="I401" s="75">
        <f>PARAM!$C$26+MAX($G$4-CHOOSE(PARAM!$B$44,MAX(0,J400*$F$1),0),0)*RATES!$L377/12+$H$4*(PARAM!$D$51/12)*RATES!$N377/100</f>
        <v>50.833333333333336</v>
      </c>
      <c r="J401" s="16">
        <f t="shared" si="240"/>
        <v>-1144.7093021877033</v>
      </c>
      <c r="K401" s="15">
        <f t="shared" si="241"/>
        <v>22.170849845882874</v>
      </c>
      <c r="L401" s="75">
        <f>K401*(1-PARAM!$C$27)*$I$5+(MOD($B401,60)=PARAM!$B$56)*($B401&gt;(60-PARAM!$B$56))*HLOOKUP(($B401+PARAM!$B$56)/12,Loyalty,2)*$F$1*MAX(N400,0)</f>
        <v>18.557001321003963</v>
      </c>
      <c r="M401" s="75">
        <f>PARAM!$C$26+MAX($G$5-CHOOSE(PARAM!$B$44,MAX(0,N400*$F$1),0),0)*RATES!$L377/12+$H$5*(PARAM!$D$51/12)*RATES!$N377/100</f>
        <v>50.833333333333336</v>
      </c>
      <c r="N401" s="16">
        <f t="shared" si="242"/>
        <v>-1099.2561968267494</v>
      </c>
      <c r="O401" s="15">
        <f t="shared" si="243"/>
        <v>22.170849845882874</v>
      </c>
      <c r="P401" s="75">
        <f>O401*(1-PARAM!$C$27)*$I$6+(MOD($B401,60)=PARAM!$B$56)*($B401&gt;(60-PARAM!$B$56))*HLOOKUP(($B401+PARAM!$B$56)/12,Loyalty,2)*$F$1*MAX(R400,0)</f>
        <v>18.557001321003963</v>
      </c>
      <c r="Q401" s="75">
        <f>PARAM!$C$26+MAX($G$6-CHOOSE(PARAM!$B$44,MAX(0,R400*$F$1),0),0)*RATES!$L377/12+$H$6*(PARAM!$D$51/12)*RATES!$N377/100</f>
        <v>50.833333333333336</v>
      </c>
      <c r="R401" s="16">
        <f t="shared" si="244"/>
        <v>-1099.2561968267494</v>
      </c>
      <c r="S401" s="15">
        <f t="shared" si="219"/>
        <v>22.170849845882874</v>
      </c>
      <c r="T401" s="75">
        <f>S401*(1-PARAM!$C$27)*$I$7+(MOD($B401,60)=PARAM!$B$56)*($B401&gt;(60-PARAM!$B$56))*HLOOKUP(($B401+PARAM!$B$56)/12,Loyalty,2)*$F$1*MAX(V400,0)</f>
        <v>18.557001321003963</v>
      </c>
      <c r="U401" s="75">
        <f>PARAM!$C$26+MAX($G$7-CHOOSE(PARAM!$B$44,MAX(0,V400*$F$1),0),0)*RATES!$L377/12+$H$7*(PARAM!$D$51/12)*RATES!$N377/100</f>
        <v>50.833333333333336</v>
      </c>
      <c r="V401" s="16">
        <f t="shared" si="245"/>
        <v>-1099.2561968267494</v>
      </c>
      <c r="W401" s="15">
        <f t="shared" si="220"/>
        <v>22.170849845882874</v>
      </c>
      <c r="X401" s="75">
        <f>W401*(1-PARAM!$C$27)*$I$8+(MOD($B401,60)=PARAM!$B$56)*($B401&gt;(60-PARAM!$B$56))*HLOOKUP(($B401+PARAM!$B$56)/12,Loyalty,2)*$F$1*MAX(Z400,0)</f>
        <v>18.557001321003963</v>
      </c>
      <c r="Y401" s="75">
        <f>PARAM!$C$26+MAX($G$8-CHOOSE(PARAM!$B$44,MAX(0,Z400*$F$1),0),0)*RATES!$L377/12+$H$8*(PARAM!$D$51/12)*RATES!$N377/100</f>
        <v>50.833333333333336</v>
      </c>
      <c r="Z401" s="16">
        <f t="shared" si="246"/>
        <v>-1099.2561968267494</v>
      </c>
      <c r="AA401" s="15">
        <f t="shared" si="221"/>
        <v>22.170849845882874</v>
      </c>
      <c r="AB401" s="75">
        <f>AA401*(1-PARAM!$C$27)*$I$9+(MOD($B401,60)=PARAM!$B$56)*($B401&gt;(60-PARAM!$B$56))*HLOOKUP(($B401+PARAM!$B$56)/12,Loyalty,2)*$F$1*MAX(AD400,0)</f>
        <v>18.557001321003963</v>
      </c>
      <c r="AC401" s="75">
        <f>PARAM!$C$26+MAX($G$9-CHOOSE(PARAM!$B$44,MAX(0,AD400*$F$1),0),0)*RATES!$L377/12+$H$9*(PARAM!$D$51/12)*RATES!$N377/100</f>
        <v>50.833333333333336</v>
      </c>
      <c r="AD401" s="16">
        <f t="shared" si="247"/>
        <v>-1099.2561968267494</v>
      </c>
      <c r="AE401" s="15">
        <f t="shared" si="222"/>
        <v>22.170849845882874</v>
      </c>
      <c r="AF401" s="75">
        <f>AE401*(1-PARAM!$C$27)*$I$10+(MOD($B401,60)=PARAM!$B$56)*($B401&gt;(60-PARAM!$B$56))*HLOOKUP(($B401+PARAM!$B$56)/12,Loyalty,2)*$F$1*MAX(AH400,0)</f>
        <v>18.557001321003963</v>
      </c>
      <c r="AG401" s="75">
        <f>PARAM!$C$26+MAX($G$10-CHOOSE(PARAM!$B$44,MAX(0,AH400*$F$1),0),0)*RATES!$L377/12+$H$10*(PARAM!$D$51/12)*RATES!$N377/100</f>
        <v>50.833333333333336</v>
      </c>
      <c r="AH401" s="16">
        <f t="shared" si="248"/>
        <v>-1099.2561968267494</v>
      </c>
      <c r="AI401" s="15">
        <f t="shared" si="223"/>
        <v>22.170849845882874</v>
      </c>
      <c r="AJ401" s="75">
        <f>AI401*(1-PARAM!$C$27)*$I$11+(MOD($B401,60)=PARAM!$B$56)*($B401&gt;(60-PARAM!$B$56))*HLOOKUP(($B401+PARAM!$B$56)/12,Loyalty,2)*$F$1*MAX(AL400,0)</f>
        <v>18.557001321003963</v>
      </c>
      <c r="AK401" s="75">
        <f>PARAM!$C$26+MAX($G$11-CHOOSE(PARAM!$B$44,MAX(0,AL400*$F$1),0),0)*RATES!$L377/12+$H$11*(PARAM!$D$51/12)*RATES!$N377/100</f>
        <v>50.833333333333336</v>
      </c>
      <c r="AL401" s="16">
        <f t="shared" si="249"/>
        <v>-1099.2561968267494</v>
      </c>
      <c r="AM401" s="15">
        <f t="shared" si="224"/>
        <v>22.170849845882874</v>
      </c>
      <c r="AN401" s="75">
        <f>AM401*(1-PARAM!$C$27)*$I$12+(MOD($B401,60)=PARAM!$B$56)*($B401&gt;(60-PARAM!$B$56))*HLOOKUP(($B401+PARAM!$B$56)/12,Loyalty,2)*$F$1*MAX(AP400,0)</f>
        <v>18.557001321003963</v>
      </c>
      <c r="AO401" s="75">
        <f>PARAM!$C$26+MAX($G$12-CHOOSE(PARAM!$B$44,MAX(0,AP400*$F$1),0),0)*RATES!$L377/12+$H$12*(PARAM!$D$51/12)*RATES!$N377/100</f>
        <v>50.833333333333336</v>
      </c>
      <c r="AP401" s="16">
        <f t="shared" si="250"/>
        <v>-1099.2561968267494</v>
      </c>
      <c r="AQ401" s="15">
        <f t="shared" si="225"/>
        <v>22.170849845882874</v>
      </c>
      <c r="AR401" s="75">
        <f>AQ401*(1-PARAM!$C$27)*$I$13+(MOD($B401,60)=PARAM!$B$56)*($B401&gt;(60-PARAM!$B$56))*HLOOKUP(($B401+PARAM!$B$56)/12,Loyalty,2)*$F$1*MAX(AT400,0)</f>
        <v>18.557001321003963</v>
      </c>
      <c r="AS401" s="75">
        <f>PARAM!$C$26+MAX($G$13-CHOOSE(PARAM!$B$44,MAX(0,AT400*$F$1),0),0)*RATES!$L377/12+$H$13*(PARAM!$D$51/12)*RATES!$N377/100</f>
        <v>50.833333333333336</v>
      </c>
      <c r="AT401" s="16">
        <f t="shared" si="251"/>
        <v>-1099.2561968267494</v>
      </c>
      <c r="AU401" s="15">
        <f t="shared" si="226"/>
        <v>22.170849845882874</v>
      </c>
      <c r="AV401" s="75">
        <f>AU401*(1-PARAM!$C$27)*$I$14+(MOD($B401,60)=PARAM!$B$56)*($B401&gt;(60-PARAM!$B$56))*HLOOKUP(($B401+PARAM!$B$56)/12,Loyalty,2)*$F$1*MAX(AX400,0)</f>
        <v>18.557001321003963</v>
      </c>
      <c r="AW401" s="75">
        <f>PARAM!$C$26+MAX($G$14-CHOOSE(PARAM!$B$44,MAX(0,AX400*$F$1),0),0)*RATES!$L377/12+$H$14*(PARAM!$D$51/12)*RATES!$N377/100</f>
        <v>50.833333333333336</v>
      </c>
      <c r="AX401" s="16">
        <f t="shared" si="252"/>
        <v>-1099.2561968267494</v>
      </c>
      <c r="AY401" s="15">
        <f t="shared" si="227"/>
        <v>22.170849845882874</v>
      </c>
      <c r="AZ401" s="75">
        <f>AY401*(1-PARAM!$C$27)*$I$15+(MOD($B401,60)=PARAM!$B$56)*($B401&gt;(60-PARAM!$B$56))*HLOOKUP(($B401+PARAM!$B$56)/12,Loyalty,2)*$F$1*MAX(BB400,0)</f>
        <v>18.557001321003963</v>
      </c>
      <c r="BA401" s="75">
        <f>PARAM!$C$26+MAX($G$15-CHOOSE(PARAM!$B$44,MAX(0,BB400*$F$1),0),0)*RATES!$L377/12+$H$15*(PARAM!$D$51/12)*RATES!$N377/100</f>
        <v>50.833333333333336</v>
      </c>
      <c r="BB401" s="16">
        <f t="shared" si="253"/>
        <v>-1099.2561968267494</v>
      </c>
      <c r="BC401" s="15">
        <f t="shared" si="228"/>
        <v>22.170849845882874</v>
      </c>
      <c r="BD401" s="75">
        <f>BC401*(1-PARAM!$C$27)*$I$16+(MOD($B401,60)=PARAM!$B$56)*($B401&gt;(60-PARAM!$B$56))*HLOOKUP(($B401+PARAM!$B$56)/12,Loyalty,2)*$F$1*MAX(BF400,0)</f>
        <v>18.557001321003963</v>
      </c>
      <c r="BE401" s="75">
        <f>PARAM!$C$26+MAX($G$16-CHOOSE(PARAM!$B$44,MAX(0,BF400*$F$1),0),0)*RATES!$L377/12+$H$16*(PARAM!$D$51/12)*RATES!$N377/100</f>
        <v>50.833333333333336</v>
      </c>
      <c r="BF401" s="16">
        <f t="shared" si="254"/>
        <v>-1099.2561968267494</v>
      </c>
      <c r="BG401" s="15">
        <f t="shared" si="229"/>
        <v>22.170849845882874</v>
      </c>
      <c r="BH401" s="75">
        <f>BG401*(1-PARAM!$C$27)*$I$17+(MOD($B401,60)=PARAM!$B$56)*($B401&gt;(60-PARAM!$B$56))*HLOOKUP(($B401+PARAM!$B$56)/12,Loyalty,2)*$F$1*MAX(BJ400,0)</f>
        <v>18.557001321003963</v>
      </c>
      <c r="BI401" s="75">
        <f>PARAM!$C$26+MAX($G$17-CHOOSE(PARAM!$B$44,MAX(0,BJ400*$F$1),0),0)*RATES!$L377/12+$H$17*(PARAM!$D$51/12)*RATES!$N377/100</f>
        <v>50.833333333333336</v>
      </c>
      <c r="BJ401" s="16">
        <f t="shared" si="255"/>
        <v>-1099.2561968267494</v>
      </c>
      <c r="BK401" s="15">
        <f t="shared" si="230"/>
        <v>22.170849845882874</v>
      </c>
      <c r="BL401" s="75">
        <f>BK401*(1-PARAM!$C$27)*$I$18+(MOD($B401,60)=PARAM!$B$56)*($B401&gt;(60-PARAM!$B$56))*HLOOKUP(($B401+PARAM!$B$56)/12,Loyalty,2)*$F$1*MAX(BN400,0)</f>
        <v>18.557001321003963</v>
      </c>
      <c r="BM401" s="75">
        <f>PARAM!$C$26+MAX($G$18-CHOOSE(PARAM!$B$44,MAX(0,BN400*$F$1),0),0)*RATES!$L377/12+$H$18*(PARAM!$D$51/12)*RATES!$N377/100</f>
        <v>50.833333333333336</v>
      </c>
      <c r="BN401" s="16">
        <f t="shared" si="256"/>
        <v>-1099.2561968267494</v>
      </c>
      <c r="BO401" s="15">
        <f t="shared" si="231"/>
        <v>22.170849845882874</v>
      </c>
      <c r="BP401" s="75">
        <f>BO401*(1-PARAM!$C$27)*$I$19+(MOD($B401,60)=PARAM!$B$56)*($B401&gt;(60-PARAM!$B$56))*HLOOKUP(($B401+PARAM!$B$56)/12,Loyalty,2)*$F$1*MAX(BR400,0)</f>
        <v>18.557001321003963</v>
      </c>
      <c r="BQ401" s="75">
        <f>PARAM!$C$26+MAX($G$19-CHOOSE(PARAM!$B$44,MAX(0,BR400*$F$1),0),0)*RATES!$L377/12+$H$19*(PARAM!$D$51/12)*RATES!$N377/100</f>
        <v>50.833333333333336</v>
      </c>
      <c r="BR401" s="16">
        <f t="shared" si="257"/>
        <v>-1099.2561968267494</v>
      </c>
      <c r="BS401" s="15">
        <f t="shared" si="232"/>
        <v>22.170849845882874</v>
      </c>
      <c r="BT401" s="75">
        <f>BS401*(1-PARAM!$C$27)*$I$20+(MOD($B401,60)=PARAM!$B$56)*($B401&gt;(60-PARAM!$B$56))*HLOOKUP(($B401+PARAM!$B$56)/12,Loyalty,2)*$F$1*MAX(BV400,0)</f>
        <v>18.557001321003963</v>
      </c>
      <c r="BU401" s="75">
        <f>PARAM!$C$26+MAX($G$20-CHOOSE(PARAM!$B$44,MAX(0,BV400*$F$1),0),0)*RATES!$L377/12+$H$20*(PARAM!$D$51/12)*RATES!$N377/100</f>
        <v>50.833333333333336</v>
      </c>
      <c r="BV401" s="16">
        <f t="shared" si="258"/>
        <v>-1099.2561968267494</v>
      </c>
      <c r="BW401" s="15">
        <f t="shared" si="233"/>
        <v>22.170849845882874</v>
      </c>
      <c r="BX401" s="75">
        <f>BW401*(1-PARAM!$C$27)*$I$21+(MOD($B401,60)=PARAM!$B$56)*($B401&gt;(60-PARAM!$B$56))*HLOOKUP(($B401+PARAM!$B$56)/12,Loyalty,2)*$F$1*MAX(BZ400,0)</f>
        <v>18.557001321003963</v>
      </c>
      <c r="BY401" s="75">
        <f>PARAM!$C$26+MAX($G$21-CHOOSE(PARAM!$B$44,MAX(0,BZ400*$F$1),0),0)*RATES!$L377/12+$H$21*(PARAM!$D$51/12)*RATES!$N377/100</f>
        <v>50.833333333333336</v>
      </c>
      <c r="BZ401" s="16">
        <f t="shared" si="259"/>
        <v>-1099.2561968267494</v>
      </c>
      <c r="CA401" s="15">
        <f t="shared" si="234"/>
        <v>22.170849845882874</v>
      </c>
      <c r="CB401" s="75">
        <f>CA401*(1-PARAM!$C$27)*$I$22+(MOD($B401,60)=PARAM!$B$56)*($B401&gt;(60-PARAM!$B$56))*HLOOKUP(($B401+PARAM!$B$56)/12,Loyalty,2)*$F$1*MAX(CD400,0)</f>
        <v>18.557001321003963</v>
      </c>
      <c r="CC401" s="75">
        <f>PARAM!$C$26+MAX($G$22-CHOOSE(PARAM!$B$44,MAX(0,CD400*$F$1),0),0)*RATES!$L377/12+$H$22*(PARAM!$D$51/12)*RATES!$N377/100</f>
        <v>50.833333333333336</v>
      </c>
      <c r="CD401" s="16">
        <f t="shared" si="260"/>
        <v>-1099.2561968267494</v>
      </c>
      <c r="CE401" s="33">
        <f>IF(0=MOD(B401,12/PARAM!$D$51),1,0)</f>
        <v>1</v>
      </c>
      <c r="CF401" s="15">
        <f t="shared" si="235"/>
        <v>0</v>
      </c>
      <c r="CG401" s="75">
        <f>CF401*(1-PARAM!$C$27)*$R$3+(MOD($B401/12,5)=0)*($B401&gt;60)*HLOOKUP($B401/12,Loyalty,2)*$F$1*MAX(CI400,0)</f>
        <v>0</v>
      </c>
      <c r="CH401" s="75">
        <f>PARAM!$C$26+MAX($P$3-CHOOSE(PARAM!$B$44,MAX(0,CI400*$F$1),0),0)*RATES!$L377/12+$Q$3*(PARAM!$D$51/12)*RATES!$N377/100</f>
        <v>50.833333333333336</v>
      </c>
      <c r="CI401" s="16">
        <f>IF(CI400&gt;0,CI400*PARAM!$C$53,CI400)+CG401-CH401</f>
        <v>-7919.9999999999827</v>
      </c>
      <c r="CJ401" s="15">
        <f t="shared" si="261"/>
        <v>0</v>
      </c>
      <c r="CK401" s="75">
        <f>CJ401*(1-PARAM!$C$27)*$R$4+(MOD($B401/12,5)=0)*($B401&gt;60)*HLOOKUP($B401/12,Loyalty,2)*$F$1*MAX(CM400,0)</f>
        <v>0</v>
      </c>
      <c r="CL401" s="75">
        <f>PARAM!$C$26+MAX($P$4-CHOOSE(PARAM!$B$44,MAX(0,CM400*$F$1),0),0)*RATES!$L377/12+$Q$4*(PARAM!$D$51/12)*RATES!$N377/100</f>
        <v>50.833333333333336</v>
      </c>
      <c r="CM401" s="16">
        <f>IF(CM400&gt;0,CM400*PARAM!$C$53,CM400)+CK401-CL401</f>
        <v>-7919.9999999999827</v>
      </c>
      <c r="CO401" s="176"/>
    </row>
    <row r="402" spans="1:93" x14ac:dyDescent="0.2">
      <c r="A402" t="b">
        <f t="shared" si="236"/>
        <v>0</v>
      </c>
      <c r="B402" s="33">
        <v>375</v>
      </c>
      <c r="C402" s="15">
        <f t="shared" si="237"/>
        <v>20.081305947392778</v>
      </c>
      <c r="D402" s="75">
        <f>C402*(1-PARAM!$C$27)*$I$3+(MOD($B402,60)=PARAM!$B$56)*($B402&gt;(60-PARAM!$B$56))*HLOOKUP(($B402+PARAM!$B$56)/12,Loyalty,2)*$F$1*MAX(F401,0)</f>
        <v>16.808053077967756</v>
      </c>
      <c r="E402" s="75">
        <f>PARAM!$C$26+MAX($G$3-CHOOSE(PARAM!$B$44,MAX(0,F401*$F$1),0),0)*RATES!$L378/12+$H$3*(PARAM!$D$51/12)*RATES!$N378/100</f>
        <v>50.833333333333336</v>
      </c>
      <c r="F402" s="16">
        <f t="shared" si="238"/>
        <v>-1824.2386204991574</v>
      </c>
      <c r="G402" s="15">
        <f t="shared" si="239"/>
        <v>22.035289406060361</v>
      </c>
      <c r="H402" s="75">
        <f>G402*(1-PARAM!$C$27)*$I$4+(MOD($B402,60)=PARAM!$B$56)*($B402&gt;(60-PARAM!$B$56))*HLOOKUP(($B402+PARAM!$B$56)/12,Loyalty,2)*$F$1*MAX(J401,0)</f>
        <v>18.443537232872522</v>
      </c>
      <c r="I402" s="75">
        <f>PARAM!$C$26+MAX($G$4-CHOOSE(PARAM!$B$44,MAX(0,J401*$F$1),0),0)*RATES!$L378/12+$H$4*(PARAM!$D$51/12)*RATES!$N378/100</f>
        <v>50.833333333333336</v>
      </c>
      <c r="J402" s="16">
        <f t="shared" si="240"/>
        <v>-1177.099098288164</v>
      </c>
      <c r="K402" s="15">
        <f t="shared" si="241"/>
        <v>22.170849845882874</v>
      </c>
      <c r="L402" s="75">
        <f>K402*(1-PARAM!$C$27)*$I$5+(MOD($B402,60)=PARAM!$B$56)*($B402&gt;(60-PARAM!$B$56))*HLOOKUP(($B402+PARAM!$B$56)/12,Loyalty,2)*$F$1*MAX(N401,0)</f>
        <v>18.557001321003963</v>
      </c>
      <c r="M402" s="75">
        <f>PARAM!$C$26+MAX($G$5-CHOOSE(PARAM!$B$44,MAX(0,N401*$F$1),0),0)*RATES!$L378/12+$H$5*(PARAM!$D$51/12)*RATES!$N378/100</f>
        <v>50.833333333333336</v>
      </c>
      <c r="N402" s="16">
        <f t="shared" si="242"/>
        <v>-1131.5325288390786</v>
      </c>
      <c r="O402" s="15">
        <f t="shared" si="243"/>
        <v>22.170849845882874</v>
      </c>
      <c r="P402" s="75">
        <f>O402*(1-PARAM!$C$27)*$I$6+(MOD($B402,60)=PARAM!$B$56)*($B402&gt;(60-PARAM!$B$56))*HLOOKUP(($B402+PARAM!$B$56)/12,Loyalty,2)*$F$1*MAX(R401,0)</f>
        <v>18.557001321003963</v>
      </c>
      <c r="Q402" s="75">
        <f>PARAM!$C$26+MAX($G$6-CHOOSE(PARAM!$B$44,MAX(0,R401*$F$1),0),0)*RATES!$L378/12+$H$6*(PARAM!$D$51/12)*RATES!$N378/100</f>
        <v>50.833333333333336</v>
      </c>
      <c r="R402" s="16">
        <f t="shared" si="244"/>
        <v>-1131.5325288390786</v>
      </c>
      <c r="S402" s="15">
        <f t="shared" si="219"/>
        <v>22.170849845882874</v>
      </c>
      <c r="T402" s="75">
        <f>S402*(1-PARAM!$C$27)*$I$7+(MOD($B402,60)=PARAM!$B$56)*($B402&gt;(60-PARAM!$B$56))*HLOOKUP(($B402+PARAM!$B$56)/12,Loyalty,2)*$F$1*MAX(V401,0)</f>
        <v>18.557001321003963</v>
      </c>
      <c r="U402" s="75">
        <f>PARAM!$C$26+MAX($G$7-CHOOSE(PARAM!$B$44,MAX(0,V401*$F$1),0),0)*RATES!$L378/12+$H$7*(PARAM!$D$51/12)*RATES!$N378/100</f>
        <v>50.833333333333336</v>
      </c>
      <c r="V402" s="16">
        <f t="shared" si="245"/>
        <v>-1131.5325288390786</v>
      </c>
      <c r="W402" s="15">
        <f t="shared" si="220"/>
        <v>22.170849845882874</v>
      </c>
      <c r="X402" s="75">
        <f>W402*(1-PARAM!$C$27)*$I$8+(MOD($B402,60)=PARAM!$B$56)*($B402&gt;(60-PARAM!$B$56))*HLOOKUP(($B402+PARAM!$B$56)/12,Loyalty,2)*$F$1*MAX(Z401,0)</f>
        <v>18.557001321003963</v>
      </c>
      <c r="Y402" s="75">
        <f>PARAM!$C$26+MAX($G$8-CHOOSE(PARAM!$B$44,MAX(0,Z401*$F$1),0),0)*RATES!$L378/12+$H$8*(PARAM!$D$51/12)*RATES!$N378/100</f>
        <v>50.833333333333336</v>
      </c>
      <c r="Z402" s="16">
        <f t="shared" si="246"/>
        <v>-1131.5325288390786</v>
      </c>
      <c r="AA402" s="15">
        <f t="shared" si="221"/>
        <v>22.170849845882874</v>
      </c>
      <c r="AB402" s="75">
        <f>AA402*(1-PARAM!$C$27)*$I$9+(MOD($B402,60)=PARAM!$B$56)*($B402&gt;(60-PARAM!$B$56))*HLOOKUP(($B402+PARAM!$B$56)/12,Loyalty,2)*$F$1*MAX(AD401,0)</f>
        <v>18.557001321003963</v>
      </c>
      <c r="AC402" s="75">
        <f>PARAM!$C$26+MAX($G$9-CHOOSE(PARAM!$B$44,MAX(0,AD401*$F$1),0),0)*RATES!$L378/12+$H$9*(PARAM!$D$51/12)*RATES!$N378/100</f>
        <v>50.833333333333336</v>
      </c>
      <c r="AD402" s="16">
        <f t="shared" si="247"/>
        <v>-1131.5325288390786</v>
      </c>
      <c r="AE402" s="15">
        <f t="shared" si="222"/>
        <v>22.170849845882874</v>
      </c>
      <c r="AF402" s="75">
        <f>AE402*(1-PARAM!$C$27)*$I$10+(MOD($B402,60)=PARAM!$B$56)*($B402&gt;(60-PARAM!$B$56))*HLOOKUP(($B402+PARAM!$B$56)/12,Loyalty,2)*$F$1*MAX(AH401,0)</f>
        <v>18.557001321003963</v>
      </c>
      <c r="AG402" s="75">
        <f>PARAM!$C$26+MAX($G$10-CHOOSE(PARAM!$B$44,MAX(0,AH401*$F$1),0),0)*RATES!$L378/12+$H$10*(PARAM!$D$51/12)*RATES!$N378/100</f>
        <v>50.833333333333336</v>
      </c>
      <c r="AH402" s="16">
        <f t="shared" si="248"/>
        <v>-1131.5325288390786</v>
      </c>
      <c r="AI402" s="15">
        <f t="shared" si="223"/>
        <v>22.170849845882874</v>
      </c>
      <c r="AJ402" s="75">
        <f>AI402*(1-PARAM!$C$27)*$I$11+(MOD($B402,60)=PARAM!$B$56)*($B402&gt;(60-PARAM!$B$56))*HLOOKUP(($B402+PARAM!$B$56)/12,Loyalty,2)*$F$1*MAX(AL401,0)</f>
        <v>18.557001321003963</v>
      </c>
      <c r="AK402" s="75">
        <f>PARAM!$C$26+MAX($G$11-CHOOSE(PARAM!$B$44,MAX(0,AL401*$F$1),0),0)*RATES!$L378/12+$H$11*(PARAM!$D$51/12)*RATES!$N378/100</f>
        <v>50.833333333333336</v>
      </c>
      <c r="AL402" s="16">
        <f t="shared" si="249"/>
        <v>-1131.5325288390786</v>
      </c>
      <c r="AM402" s="15">
        <f t="shared" si="224"/>
        <v>22.170849845882874</v>
      </c>
      <c r="AN402" s="75">
        <f>AM402*(1-PARAM!$C$27)*$I$12+(MOD($B402,60)=PARAM!$B$56)*($B402&gt;(60-PARAM!$B$56))*HLOOKUP(($B402+PARAM!$B$56)/12,Loyalty,2)*$F$1*MAX(AP401,0)</f>
        <v>18.557001321003963</v>
      </c>
      <c r="AO402" s="75">
        <f>PARAM!$C$26+MAX($G$12-CHOOSE(PARAM!$B$44,MAX(0,AP401*$F$1),0),0)*RATES!$L378/12+$H$12*(PARAM!$D$51/12)*RATES!$N378/100</f>
        <v>50.833333333333336</v>
      </c>
      <c r="AP402" s="16">
        <f t="shared" si="250"/>
        <v>-1131.5325288390786</v>
      </c>
      <c r="AQ402" s="15">
        <f t="shared" si="225"/>
        <v>22.170849845882874</v>
      </c>
      <c r="AR402" s="75">
        <f>AQ402*(1-PARAM!$C$27)*$I$13+(MOD($B402,60)=PARAM!$B$56)*($B402&gt;(60-PARAM!$B$56))*HLOOKUP(($B402+PARAM!$B$56)/12,Loyalty,2)*$F$1*MAX(AT401,0)</f>
        <v>18.557001321003963</v>
      </c>
      <c r="AS402" s="75">
        <f>PARAM!$C$26+MAX($G$13-CHOOSE(PARAM!$B$44,MAX(0,AT401*$F$1),0),0)*RATES!$L378/12+$H$13*(PARAM!$D$51/12)*RATES!$N378/100</f>
        <v>50.833333333333336</v>
      </c>
      <c r="AT402" s="16">
        <f t="shared" si="251"/>
        <v>-1131.5325288390786</v>
      </c>
      <c r="AU402" s="15">
        <f t="shared" si="226"/>
        <v>22.170849845882874</v>
      </c>
      <c r="AV402" s="75">
        <f>AU402*(1-PARAM!$C$27)*$I$14+(MOD($B402,60)=PARAM!$B$56)*($B402&gt;(60-PARAM!$B$56))*HLOOKUP(($B402+PARAM!$B$56)/12,Loyalty,2)*$F$1*MAX(AX401,0)</f>
        <v>18.557001321003963</v>
      </c>
      <c r="AW402" s="75">
        <f>PARAM!$C$26+MAX($G$14-CHOOSE(PARAM!$B$44,MAX(0,AX401*$F$1),0),0)*RATES!$L378/12+$H$14*(PARAM!$D$51/12)*RATES!$N378/100</f>
        <v>50.833333333333336</v>
      </c>
      <c r="AX402" s="16">
        <f t="shared" si="252"/>
        <v>-1131.5325288390786</v>
      </c>
      <c r="AY402" s="15">
        <f t="shared" si="227"/>
        <v>22.170849845882874</v>
      </c>
      <c r="AZ402" s="75">
        <f>AY402*(1-PARAM!$C$27)*$I$15+(MOD($B402,60)=PARAM!$B$56)*($B402&gt;(60-PARAM!$B$56))*HLOOKUP(($B402+PARAM!$B$56)/12,Loyalty,2)*$F$1*MAX(BB401,0)</f>
        <v>18.557001321003963</v>
      </c>
      <c r="BA402" s="75">
        <f>PARAM!$C$26+MAX($G$15-CHOOSE(PARAM!$B$44,MAX(0,BB401*$F$1),0),0)*RATES!$L378/12+$H$15*(PARAM!$D$51/12)*RATES!$N378/100</f>
        <v>50.833333333333336</v>
      </c>
      <c r="BB402" s="16">
        <f t="shared" si="253"/>
        <v>-1131.5325288390786</v>
      </c>
      <c r="BC402" s="15">
        <f t="shared" si="228"/>
        <v>22.170849845882874</v>
      </c>
      <c r="BD402" s="75">
        <f>BC402*(1-PARAM!$C$27)*$I$16+(MOD($B402,60)=PARAM!$B$56)*($B402&gt;(60-PARAM!$B$56))*HLOOKUP(($B402+PARAM!$B$56)/12,Loyalty,2)*$F$1*MAX(BF401,0)</f>
        <v>18.557001321003963</v>
      </c>
      <c r="BE402" s="75">
        <f>PARAM!$C$26+MAX($G$16-CHOOSE(PARAM!$B$44,MAX(0,BF401*$F$1),0),0)*RATES!$L378/12+$H$16*(PARAM!$D$51/12)*RATES!$N378/100</f>
        <v>50.833333333333336</v>
      </c>
      <c r="BF402" s="16">
        <f t="shared" si="254"/>
        <v>-1131.5325288390786</v>
      </c>
      <c r="BG402" s="15">
        <f t="shared" si="229"/>
        <v>22.170849845882874</v>
      </c>
      <c r="BH402" s="75">
        <f>BG402*(1-PARAM!$C$27)*$I$17+(MOD($B402,60)=PARAM!$B$56)*($B402&gt;(60-PARAM!$B$56))*HLOOKUP(($B402+PARAM!$B$56)/12,Loyalty,2)*$F$1*MAX(BJ401,0)</f>
        <v>18.557001321003963</v>
      </c>
      <c r="BI402" s="75">
        <f>PARAM!$C$26+MAX($G$17-CHOOSE(PARAM!$B$44,MAX(0,BJ401*$F$1),0),0)*RATES!$L378/12+$H$17*(PARAM!$D$51/12)*RATES!$N378/100</f>
        <v>50.833333333333336</v>
      </c>
      <c r="BJ402" s="16">
        <f t="shared" si="255"/>
        <v>-1131.5325288390786</v>
      </c>
      <c r="BK402" s="15">
        <f t="shared" si="230"/>
        <v>22.170849845882874</v>
      </c>
      <c r="BL402" s="75">
        <f>BK402*(1-PARAM!$C$27)*$I$18+(MOD($B402,60)=PARAM!$B$56)*($B402&gt;(60-PARAM!$B$56))*HLOOKUP(($B402+PARAM!$B$56)/12,Loyalty,2)*$F$1*MAX(BN401,0)</f>
        <v>18.557001321003963</v>
      </c>
      <c r="BM402" s="75">
        <f>PARAM!$C$26+MAX($G$18-CHOOSE(PARAM!$B$44,MAX(0,BN401*$F$1),0),0)*RATES!$L378/12+$H$18*(PARAM!$D$51/12)*RATES!$N378/100</f>
        <v>50.833333333333336</v>
      </c>
      <c r="BN402" s="16">
        <f t="shared" si="256"/>
        <v>-1131.5325288390786</v>
      </c>
      <c r="BO402" s="15">
        <f t="shared" si="231"/>
        <v>22.170849845882874</v>
      </c>
      <c r="BP402" s="75">
        <f>BO402*(1-PARAM!$C$27)*$I$19+(MOD($B402,60)=PARAM!$B$56)*($B402&gt;(60-PARAM!$B$56))*HLOOKUP(($B402+PARAM!$B$56)/12,Loyalty,2)*$F$1*MAX(BR401,0)</f>
        <v>18.557001321003963</v>
      </c>
      <c r="BQ402" s="75">
        <f>PARAM!$C$26+MAX($G$19-CHOOSE(PARAM!$B$44,MAX(0,BR401*$F$1),0),0)*RATES!$L378/12+$H$19*(PARAM!$D$51/12)*RATES!$N378/100</f>
        <v>50.833333333333336</v>
      </c>
      <c r="BR402" s="16">
        <f t="shared" si="257"/>
        <v>-1131.5325288390786</v>
      </c>
      <c r="BS402" s="15">
        <f t="shared" si="232"/>
        <v>22.170849845882874</v>
      </c>
      <c r="BT402" s="75">
        <f>BS402*(1-PARAM!$C$27)*$I$20+(MOD($B402,60)=PARAM!$B$56)*($B402&gt;(60-PARAM!$B$56))*HLOOKUP(($B402+PARAM!$B$56)/12,Loyalty,2)*$F$1*MAX(BV401,0)</f>
        <v>18.557001321003963</v>
      </c>
      <c r="BU402" s="75">
        <f>PARAM!$C$26+MAX($G$20-CHOOSE(PARAM!$B$44,MAX(0,BV401*$F$1),0),0)*RATES!$L378/12+$H$20*(PARAM!$D$51/12)*RATES!$N378/100</f>
        <v>50.833333333333336</v>
      </c>
      <c r="BV402" s="16">
        <f t="shared" si="258"/>
        <v>-1131.5325288390786</v>
      </c>
      <c r="BW402" s="15">
        <f t="shared" si="233"/>
        <v>22.170849845882874</v>
      </c>
      <c r="BX402" s="75">
        <f>BW402*(1-PARAM!$C$27)*$I$21+(MOD($B402,60)=PARAM!$B$56)*($B402&gt;(60-PARAM!$B$56))*HLOOKUP(($B402+PARAM!$B$56)/12,Loyalty,2)*$F$1*MAX(BZ401,0)</f>
        <v>18.557001321003963</v>
      </c>
      <c r="BY402" s="75">
        <f>PARAM!$C$26+MAX($G$21-CHOOSE(PARAM!$B$44,MAX(0,BZ401*$F$1),0),0)*RATES!$L378/12+$H$21*(PARAM!$D$51/12)*RATES!$N378/100</f>
        <v>50.833333333333336</v>
      </c>
      <c r="BZ402" s="16">
        <f t="shared" si="259"/>
        <v>-1131.5325288390786</v>
      </c>
      <c r="CA402" s="15">
        <f t="shared" si="234"/>
        <v>22.170849845882874</v>
      </c>
      <c r="CB402" s="75">
        <f>CA402*(1-PARAM!$C$27)*$I$22+(MOD($B402,60)=PARAM!$B$56)*($B402&gt;(60-PARAM!$B$56))*HLOOKUP(($B402+PARAM!$B$56)/12,Loyalty,2)*$F$1*MAX(CD401,0)</f>
        <v>18.557001321003963</v>
      </c>
      <c r="CC402" s="75">
        <f>PARAM!$C$26+MAX($G$22-CHOOSE(PARAM!$B$44,MAX(0,CD401*$F$1),0),0)*RATES!$L378/12+$H$22*(PARAM!$D$51/12)*RATES!$N378/100</f>
        <v>50.833333333333336</v>
      </c>
      <c r="CD402" s="16">
        <f t="shared" si="260"/>
        <v>-1131.5325288390786</v>
      </c>
      <c r="CE402" s="33">
        <f>IF(0=MOD(B402,12/PARAM!$D$51),1,0)</f>
        <v>1</v>
      </c>
      <c r="CF402" s="15">
        <f t="shared" si="235"/>
        <v>0</v>
      </c>
      <c r="CG402" s="75">
        <f>CF402*(1-PARAM!$C$27)*$R$3+(MOD($B402/12,5)=0)*($B402&gt;60)*HLOOKUP($B402/12,Loyalty,2)*$F$1*MAX(CI401,0)</f>
        <v>0</v>
      </c>
      <c r="CH402" s="75">
        <f>PARAM!$C$26+MAX($P$3-CHOOSE(PARAM!$B$44,MAX(0,CI401*$F$1),0),0)*RATES!$L378/12+$Q$3*(PARAM!$D$51/12)*RATES!$N378/100</f>
        <v>50.833333333333336</v>
      </c>
      <c r="CI402" s="16">
        <f>IF(CI401&gt;0,CI401*PARAM!$C$53,CI401)+CG402-CH402</f>
        <v>-7970.8333333333157</v>
      </c>
      <c r="CJ402" s="15">
        <f t="shared" si="261"/>
        <v>0</v>
      </c>
      <c r="CK402" s="75">
        <f>CJ402*(1-PARAM!$C$27)*$R$4+(MOD($B402/12,5)=0)*($B402&gt;60)*HLOOKUP($B402/12,Loyalty,2)*$F$1*MAX(CM401,0)</f>
        <v>0</v>
      </c>
      <c r="CL402" s="75">
        <f>PARAM!$C$26+MAX($P$4-CHOOSE(PARAM!$B$44,MAX(0,CM401*$F$1),0),0)*RATES!$L378/12+$Q$4*(PARAM!$D$51/12)*RATES!$N378/100</f>
        <v>50.833333333333336</v>
      </c>
      <c r="CM402" s="16">
        <f>IF(CM401&gt;0,CM401*PARAM!$C$53,CM401)+CK402-CL402</f>
        <v>-7970.8333333333157</v>
      </c>
      <c r="CO402" s="176"/>
    </row>
    <row r="403" spans="1:93" x14ac:dyDescent="0.2">
      <c r="A403" t="b">
        <f t="shared" si="236"/>
        <v>0</v>
      </c>
      <c r="B403" s="33">
        <v>376</v>
      </c>
      <c r="C403" s="15">
        <f t="shared" si="237"/>
        <v>20.081305947392778</v>
      </c>
      <c r="D403" s="75">
        <f>C403*(1-PARAM!$C$27)*$I$3+(MOD($B403,60)=PARAM!$B$56)*($B403&gt;(60-PARAM!$B$56))*HLOOKUP(($B403+PARAM!$B$56)/12,Loyalty,2)*$F$1*MAX(F402,0)</f>
        <v>16.808053077967756</v>
      </c>
      <c r="E403" s="75">
        <f>PARAM!$C$26+MAX($G$3-CHOOSE(PARAM!$B$44,MAX(0,F402*$F$1),0),0)*RATES!$L379/12+$H$3*(PARAM!$D$51/12)*RATES!$N379/100</f>
        <v>50.833333333333336</v>
      </c>
      <c r="F403" s="16">
        <f t="shared" si="238"/>
        <v>-1858.2639007545229</v>
      </c>
      <c r="G403" s="15">
        <f t="shared" si="239"/>
        <v>22.035289406060361</v>
      </c>
      <c r="H403" s="75">
        <f>G403*(1-PARAM!$C$27)*$I$4+(MOD($B403,60)=PARAM!$B$56)*($B403&gt;(60-PARAM!$B$56))*HLOOKUP(($B403+PARAM!$B$56)/12,Loyalty,2)*$F$1*MAX(J402,0)</f>
        <v>18.443537232872522</v>
      </c>
      <c r="I403" s="75">
        <f>PARAM!$C$26+MAX($G$4-CHOOSE(PARAM!$B$44,MAX(0,J402*$F$1),0),0)*RATES!$L379/12+$H$4*(PARAM!$D$51/12)*RATES!$N379/100</f>
        <v>50.833333333333336</v>
      </c>
      <c r="J403" s="16">
        <f t="shared" si="240"/>
        <v>-1209.4888943886247</v>
      </c>
      <c r="K403" s="15">
        <f t="shared" si="241"/>
        <v>22.170849845882874</v>
      </c>
      <c r="L403" s="75">
        <f>K403*(1-PARAM!$C$27)*$I$5+(MOD($B403,60)=PARAM!$B$56)*($B403&gt;(60-PARAM!$B$56))*HLOOKUP(($B403+PARAM!$B$56)/12,Loyalty,2)*$F$1*MAX(N402,0)</f>
        <v>18.557001321003963</v>
      </c>
      <c r="M403" s="75">
        <f>PARAM!$C$26+MAX($G$5-CHOOSE(PARAM!$B$44,MAX(0,N402*$F$1),0),0)*RATES!$L379/12+$H$5*(PARAM!$D$51/12)*RATES!$N379/100</f>
        <v>50.833333333333336</v>
      </c>
      <c r="N403" s="16">
        <f t="shared" si="242"/>
        <v>-1163.8088608514079</v>
      </c>
      <c r="O403" s="15">
        <f t="shared" si="243"/>
        <v>22.170849845882874</v>
      </c>
      <c r="P403" s="75">
        <f>O403*(1-PARAM!$C$27)*$I$6+(MOD($B403,60)=PARAM!$B$56)*($B403&gt;(60-PARAM!$B$56))*HLOOKUP(($B403+PARAM!$B$56)/12,Loyalty,2)*$F$1*MAX(R402,0)</f>
        <v>18.557001321003963</v>
      </c>
      <c r="Q403" s="75">
        <f>PARAM!$C$26+MAX($G$6-CHOOSE(PARAM!$B$44,MAX(0,R402*$F$1),0),0)*RATES!$L379/12+$H$6*(PARAM!$D$51/12)*RATES!$N379/100</f>
        <v>50.833333333333336</v>
      </c>
      <c r="R403" s="16">
        <f t="shared" si="244"/>
        <v>-1163.8088608514079</v>
      </c>
      <c r="S403" s="15">
        <f t="shared" si="219"/>
        <v>22.170849845882874</v>
      </c>
      <c r="T403" s="75">
        <f>S403*(1-PARAM!$C$27)*$I$7+(MOD($B403,60)=PARAM!$B$56)*($B403&gt;(60-PARAM!$B$56))*HLOOKUP(($B403+PARAM!$B$56)/12,Loyalty,2)*$F$1*MAX(V402,0)</f>
        <v>18.557001321003963</v>
      </c>
      <c r="U403" s="75">
        <f>PARAM!$C$26+MAX($G$7-CHOOSE(PARAM!$B$44,MAX(0,V402*$F$1),0),0)*RATES!$L379/12+$H$7*(PARAM!$D$51/12)*RATES!$N379/100</f>
        <v>50.833333333333336</v>
      </c>
      <c r="V403" s="16">
        <f t="shared" si="245"/>
        <v>-1163.8088608514079</v>
      </c>
      <c r="W403" s="15">
        <f t="shared" si="220"/>
        <v>22.170849845882874</v>
      </c>
      <c r="X403" s="75">
        <f>W403*(1-PARAM!$C$27)*$I$8+(MOD($B403,60)=PARAM!$B$56)*($B403&gt;(60-PARAM!$B$56))*HLOOKUP(($B403+PARAM!$B$56)/12,Loyalty,2)*$F$1*MAX(Z402,0)</f>
        <v>18.557001321003963</v>
      </c>
      <c r="Y403" s="75">
        <f>PARAM!$C$26+MAX($G$8-CHOOSE(PARAM!$B$44,MAX(0,Z402*$F$1),0),0)*RATES!$L379/12+$H$8*(PARAM!$D$51/12)*RATES!$N379/100</f>
        <v>50.833333333333336</v>
      </c>
      <c r="Z403" s="16">
        <f t="shared" si="246"/>
        <v>-1163.8088608514079</v>
      </c>
      <c r="AA403" s="15">
        <f t="shared" si="221"/>
        <v>22.170849845882874</v>
      </c>
      <c r="AB403" s="75">
        <f>AA403*(1-PARAM!$C$27)*$I$9+(MOD($B403,60)=PARAM!$B$56)*($B403&gt;(60-PARAM!$B$56))*HLOOKUP(($B403+PARAM!$B$56)/12,Loyalty,2)*$F$1*MAX(AD402,0)</f>
        <v>18.557001321003963</v>
      </c>
      <c r="AC403" s="75">
        <f>PARAM!$C$26+MAX($G$9-CHOOSE(PARAM!$B$44,MAX(0,AD402*$F$1),0),0)*RATES!$L379/12+$H$9*(PARAM!$D$51/12)*RATES!$N379/100</f>
        <v>50.833333333333336</v>
      </c>
      <c r="AD403" s="16">
        <f t="shared" si="247"/>
        <v>-1163.8088608514079</v>
      </c>
      <c r="AE403" s="15">
        <f t="shared" si="222"/>
        <v>22.170849845882874</v>
      </c>
      <c r="AF403" s="75">
        <f>AE403*(1-PARAM!$C$27)*$I$10+(MOD($B403,60)=PARAM!$B$56)*($B403&gt;(60-PARAM!$B$56))*HLOOKUP(($B403+PARAM!$B$56)/12,Loyalty,2)*$F$1*MAX(AH402,0)</f>
        <v>18.557001321003963</v>
      </c>
      <c r="AG403" s="75">
        <f>PARAM!$C$26+MAX($G$10-CHOOSE(PARAM!$B$44,MAX(0,AH402*$F$1),0),0)*RATES!$L379/12+$H$10*(PARAM!$D$51/12)*RATES!$N379/100</f>
        <v>50.833333333333336</v>
      </c>
      <c r="AH403" s="16">
        <f t="shared" si="248"/>
        <v>-1163.8088608514079</v>
      </c>
      <c r="AI403" s="15">
        <f t="shared" si="223"/>
        <v>22.170849845882874</v>
      </c>
      <c r="AJ403" s="75">
        <f>AI403*(1-PARAM!$C$27)*$I$11+(MOD($B403,60)=PARAM!$B$56)*($B403&gt;(60-PARAM!$B$56))*HLOOKUP(($B403+PARAM!$B$56)/12,Loyalty,2)*$F$1*MAX(AL402,0)</f>
        <v>18.557001321003963</v>
      </c>
      <c r="AK403" s="75">
        <f>PARAM!$C$26+MAX($G$11-CHOOSE(PARAM!$B$44,MAX(0,AL402*$F$1),0),0)*RATES!$L379/12+$H$11*(PARAM!$D$51/12)*RATES!$N379/100</f>
        <v>50.833333333333336</v>
      </c>
      <c r="AL403" s="16">
        <f t="shared" si="249"/>
        <v>-1163.8088608514079</v>
      </c>
      <c r="AM403" s="15">
        <f t="shared" si="224"/>
        <v>22.170849845882874</v>
      </c>
      <c r="AN403" s="75">
        <f>AM403*(1-PARAM!$C$27)*$I$12+(MOD($B403,60)=PARAM!$B$56)*($B403&gt;(60-PARAM!$B$56))*HLOOKUP(($B403+PARAM!$B$56)/12,Loyalty,2)*$F$1*MAX(AP402,0)</f>
        <v>18.557001321003963</v>
      </c>
      <c r="AO403" s="75">
        <f>PARAM!$C$26+MAX($G$12-CHOOSE(PARAM!$B$44,MAX(0,AP402*$F$1),0),0)*RATES!$L379/12+$H$12*(PARAM!$D$51/12)*RATES!$N379/100</f>
        <v>50.833333333333336</v>
      </c>
      <c r="AP403" s="16">
        <f t="shared" si="250"/>
        <v>-1163.8088608514079</v>
      </c>
      <c r="AQ403" s="15">
        <f t="shared" si="225"/>
        <v>22.170849845882874</v>
      </c>
      <c r="AR403" s="75">
        <f>AQ403*(1-PARAM!$C$27)*$I$13+(MOD($B403,60)=PARAM!$B$56)*($B403&gt;(60-PARAM!$B$56))*HLOOKUP(($B403+PARAM!$B$56)/12,Loyalty,2)*$F$1*MAX(AT402,0)</f>
        <v>18.557001321003963</v>
      </c>
      <c r="AS403" s="75">
        <f>PARAM!$C$26+MAX($G$13-CHOOSE(PARAM!$B$44,MAX(0,AT402*$F$1),0),0)*RATES!$L379/12+$H$13*(PARAM!$D$51/12)*RATES!$N379/100</f>
        <v>50.833333333333336</v>
      </c>
      <c r="AT403" s="16">
        <f t="shared" si="251"/>
        <v>-1163.8088608514079</v>
      </c>
      <c r="AU403" s="15">
        <f t="shared" si="226"/>
        <v>22.170849845882874</v>
      </c>
      <c r="AV403" s="75">
        <f>AU403*(1-PARAM!$C$27)*$I$14+(MOD($B403,60)=PARAM!$B$56)*($B403&gt;(60-PARAM!$B$56))*HLOOKUP(($B403+PARAM!$B$56)/12,Loyalty,2)*$F$1*MAX(AX402,0)</f>
        <v>18.557001321003963</v>
      </c>
      <c r="AW403" s="75">
        <f>PARAM!$C$26+MAX($G$14-CHOOSE(PARAM!$B$44,MAX(0,AX402*$F$1),0),0)*RATES!$L379/12+$H$14*(PARAM!$D$51/12)*RATES!$N379/100</f>
        <v>50.833333333333336</v>
      </c>
      <c r="AX403" s="16">
        <f t="shared" si="252"/>
        <v>-1163.8088608514079</v>
      </c>
      <c r="AY403" s="15">
        <f t="shared" si="227"/>
        <v>22.170849845882874</v>
      </c>
      <c r="AZ403" s="75">
        <f>AY403*(1-PARAM!$C$27)*$I$15+(MOD($B403,60)=PARAM!$B$56)*($B403&gt;(60-PARAM!$B$56))*HLOOKUP(($B403+PARAM!$B$56)/12,Loyalty,2)*$F$1*MAX(BB402,0)</f>
        <v>18.557001321003963</v>
      </c>
      <c r="BA403" s="75">
        <f>PARAM!$C$26+MAX($G$15-CHOOSE(PARAM!$B$44,MAX(0,BB402*$F$1),0),0)*RATES!$L379/12+$H$15*(PARAM!$D$51/12)*RATES!$N379/100</f>
        <v>50.833333333333336</v>
      </c>
      <c r="BB403" s="16">
        <f t="shared" si="253"/>
        <v>-1163.8088608514079</v>
      </c>
      <c r="BC403" s="15">
        <f t="shared" si="228"/>
        <v>22.170849845882874</v>
      </c>
      <c r="BD403" s="75">
        <f>BC403*(1-PARAM!$C$27)*$I$16+(MOD($B403,60)=PARAM!$B$56)*($B403&gt;(60-PARAM!$B$56))*HLOOKUP(($B403+PARAM!$B$56)/12,Loyalty,2)*$F$1*MAX(BF402,0)</f>
        <v>18.557001321003963</v>
      </c>
      <c r="BE403" s="75">
        <f>PARAM!$C$26+MAX($G$16-CHOOSE(PARAM!$B$44,MAX(0,BF402*$F$1),0),0)*RATES!$L379/12+$H$16*(PARAM!$D$51/12)*RATES!$N379/100</f>
        <v>50.833333333333336</v>
      </c>
      <c r="BF403" s="16">
        <f t="shared" si="254"/>
        <v>-1163.8088608514079</v>
      </c>
      <c r="BG403" s="15">
        <f t="shared" si="229"/>
        <v>22.170849845882874</v>
      </c>
      <c r="BH403" s="75">
        <f>BG403*(1-PARAM!$C$27)*$I$17+(MOD($B403,60)=PARAM!$B$56)*($B403&gt;(60-PARAM!$B$56))*HLOOKUP(($B403+PARAM!$B$56)/12,Loyalty,2)*$F$1*MAX(BJ402,0)</f>
        <v>18.557001321003963</v>
      </c>
      <c r="BI403" s="75">
        <f>PARAM!$C$26+MAX($G$17-CHOOSE(PARAM!$B$44,MAX(0,BJ402*$F$1),0),0)*RATES!$L379/12+$H$17*(PARAM!$D$51/12)*RATES!$N379/100</f>
        <v>50.833333333333336</v>
      </c>
      <c r="BJ403" s="16">
        <f t="shared" si="255"/>
        <v>-1163.8088608514079</v>
      </c>
      <c r="BK403" s="15">
        <f t="shared" si="230"/>
        <v>22.170849845882874</v>
      </c>
      <c r="BL403" s="75">
        <f>BK403*(1-PARAM!$C$27)*$I$18+(MOD($B403,60)=PARAM!$B$56)*($B403&gt;(60-PARAM!$B$56))*HLOOKUP(($B403+PARAM!$B$56)/12,Loyalty,2)*$F$1*MAX(BN402,0)</f>
        <v>18.557001321003963</v>
      </c>
      <c r="BM403" s="75">
        <f>PARAM!$C$26+MAX($G$18-CHOOSE(PARAM!$B$44,MAX(0,BN402*$F$1),0),0)*RATES!$L379/12+$H$18*(PARAM!$D$51/12)*RATES!$N379/100</f>
        <v>50.833333333333336</v>
      </c>
      <c r="BN403" s="16">
        <f t="shared" si="256"/>
        <v>-1163.8088608514079</v>
      </c>
      <c r="BO403" s="15">
        <f t="shared" si="231"/>
        <v>22.170849845882874</v>
      </c>
      <c r="BP403" s="75">
        <f>BO403*(1-PARAM!$C$27)*$I$19+(MOD($B403,60)=PARAM!$B$56)*($B403&gt;(60-PARAM!$B$56))*HLOOKUP(($B403+PARAM!$B$56)/12,Loyalty,2)*$F$1*MAX(BR402,0)</f>
        <v>18.557001321003963</v>
      </c>
      <c r="BQ403" s="75">
        <f>PARAM!$C$26+MAX($G$19-CHOOSE(PARAM!$B$44,MAX(0,BR402*$F$1),0),0)*RATES!$L379/12+$H$19*(PARAM!$D$51/12)*RATES!$N379/100</f>
        <v>50.833333333333336</v>
      </c>
      <c r="BR403" s="16">
        <f t="shared" si="257"/>
        <v>-1163.8088608514079</v>
      </c>
      <c r="BS403" s="15">
        <f t="shared" si="232"/>
        <v>22.170849845882874</v>
      </c>
      <c r="BT403" s="75">
        <f>BS403*(1-PARAM!$C$27)*$I$20+(MOD($B403,60)=PARAM!$B$56)*($B403&gt;(60-PARAM!$B$56))*HLOOKUP(($B403+PARAM!$B$56)/12,Loyalty,2)*$F$1*MAX(BV402,0)</f>
        <v>18.557001321003963</v>
      </c>
      <c r="BU403" s="75">
        <f>PARAM!$C$26+MAX($G$20-CHOOSE(PARAM!$B$44,MAX(0,BV402*$F$1),0),0)*RATES!$L379/12+$H$20*(PARAM!$D$51/12)*RATES!$N379/100</f>
        <v>50.833333333333336</v>
      </c>
      <c r="BV403" s="16">
        <f t="shared" si="258"/>
        <v>-1163.8088608514079</v>
      </c>
      <c r="BW403" s="15">
        <f t="shared" si="233"/>
        <v>22.170849845882874</v>
      </c>
      <c r="BX403" s="75">
        <f>BW403*(1-PARAM!$C$27)*$I$21+(MOD($B403,60)=PARAM!$B$56)*($B403&gt;(60-PARAM!$B$56))*HLOOKUP(($B403+PARAM!$B$56)/12,Loyalty,2)*$F$1*MAX(BZ402,0)</f>
        <v>18.557001321003963</v>
      </c>
      <c r="BY403" s="75">
        <f>PARAM!$C$26+MAX($G$21-CHOOSE(PARAM!$B$44,MAX(0,BZ402*$F$1),0),0)*RATES!$L379/12+$H$21*(PARAM!$D$51/12)*RATES!$N379/100</f>
        <v>50.833333333333336</v>
      </c>
      <c r="BZ403" s="16">
        <f t="shared" si="259"/>
        <v>-1163.8088608514079</v>
      </c>
      <c r="CA403" s="15">
        <f t="shared" si="234"/>
        <v>22.170849845882874</v>
      </c>
      <c r="CB403" s="75">
        <f>CA403*(1-PARAM!$C$27)*$I$22+(MOD($B403,60)=PARAM!$B$56)*($B403&gt;(60-PARAM!$B$56))*HLOOKUP(($B403+PARAM!$B$56)/12,Loyalty,2)*$F$1*MAX(CD402,0)</f>
        <v>18.557001321003963</v>
      </c>
      <c r="CC403" s="75">
        <f>PARAM!$C$26+MAX($G$22-CHOOSE(PARAM!$B$44,MAX(0,CD402*$F$1),0),0)*RATES!$L379/12+$H$22*(PARAM!$D$51/12)*RATES!$N379/100</f>
        <v>50.833333333333336</v>
      </c>
      <c r="CD403" s="16">
        <f t="shared" si="260"/>
        <v>-1163.8088608514079</v>
      </c>
      <c r="CE403" s="33">
        <f>IF(0=MOD(B403,12/PARAM!$D$51),1,0)</f>
        <v>1</v>
      </c>
      <c r="CF403" s="15">
        <f t="shared" si="235"/>
        <v>0</v>
      </c>
      <c r="CG403" s="75">
        <f>CF403*(1-PARAM!$C$27)*$R$3+(MOD($B403/12,5)=0)*($B403&gt;60)*HLOOKUP($B403/12,Loyalty,2)*$F$1*MAX(CI402,0)</f>
        <v>0</v>
      </c>
      <c r="CH403" s="75">
        <f>PARAM!$C$26+MAX($P$3-CHOOSE(PARAM!$B$44,MAX(0,CI402*$F$1),0),0)*RATES!$L379/12+$Q$3*(PARAM!$D$51/12)*RATES!$N379/100</f>
        <v>50.833333333333336</v>
      </c>
      <c r="CI403" s="16">
        <f>IF(CI402&gt;0,CI402*PARAM!$C$53,CI402)+CG403-CH403</f>
        <v>-8021.6666666666488</v>
      </c>
      <c r="CJ403" s="15">
        <f t="shared" si="261"/>
        <v>0</v>
      </c>
      <c r="CK403" s="75">
        <f>CJ403*(1-PARAM!$C$27)*$R$4+(MOD($B403/12,5)=0)*($B403&gt;60)*HLOOKUP($B403/12,Loyalty,2)*$F$1*MAX(CM402,0)</f>
        <v>0</v>
      </c>
      <c r="CL403" s="75">
        <f>PARAM!$C$26+MAX($P$4-CHOOSE(PARAM!$B$44,MAX(0,CM402*$F$1),0),0)*RATES!$L379/12+$Q$4*(PARAM!$D$51/12)*RATES!$N379/100</f>
        <v>50.833333333333336</v>
      </c>
      <c r="CM403" s="16">
        <f>IF(CM402&gt;0,CM402*PARAM!$C$53,CM402)+CK403-CL403</f>
        <v>-8021.6666666666488</v>
      </c>
      <c r="CO403" s="176"/>
    </row>
    <row r="404" spans="1:93" x14ac:dyDescent="0.2">
      <c r="A404" t="b">
        <f t="shared" si="236"/>
        <v>0</v>
      </c>
      <c r="B404" s="33">
        <v>377</v>
      </c>
      <c r="C404" s="15">
        <f t="shared" si="237"/>
        <v>20.081305947392778</v>
      </c>
      <c r="D404" s="75">
        <f>C404*(1-PARAM!$C$27)*$I$3+(MOD($B404,60)=PARAM!$B$56)*($B404&gt;(60-PARAM!$B$56))*HLOOKUP(($B404+PARAM!$B$56)/12,Loyalty,2)*$F$1*MAX(F403,0)</f>
        <v>16.808053077967756</v>
      </c>
      <c r="E404" s="75">
        <f>PARAM!$C$26+MAX($G$3-CHOOSE(PARAM!$B$44,MAX(0,F403*$F$1),0),0)*RATES!$L380/12+$H$3*(PARAM!$D$51/12)*RATES!$N380/100</f>
        <v>50.833333333333336</v>
      </c>
      <c r="F404" s="16">
        <f t="shared" si="238"/>
        <v>-1892.2891810098884</v>
      </c>
      <c r="G404" s="15">
        <f t="shared" si="239"/>
        <v>22.035289406060361</v>
      </c>
      <c r="H404" s="75">
        <f>G404*(1-PARAM!$C$27)*$I$4+(MOD($B404,60)=PARAM!$B$56)*($B404&gt;(60-PARAM!$B$56))*HLOOKUP(($B404+PARAM!$B$56)/12,Loyalty,2)*$F$1*MAX(J403,0)</f>
        <v>18.443537232872522</v>
      </c>
      <c r="I404" s="75">
        <f>PARAM!$C$26+MAX($G$4-CHOOSE(PARAM!$B$44,MAX(0,J403*$F$1),0),0)*RATES!$L380/12+$H$4*(PARAM!$D$51/12)*RATES!$N380/100</f>
        <v>50.833333333333336</v>
      </c>
      <c r="J404" s="16">
        <f t="shared" si="240"/>
        <v>-1241.8786904890853</v>
      </c>
      <c r="K404" s="15">
        <f t="shared" si="241"/>
        <v>22.170849845882874</v>
      </c>
      <c r="L404" s="75">
        <f>K404*(1-PARAM!$C$27)*$I$5+(MOD($B404,60)=PARAM!$B$56)*($B404&gt;(60-PARAM!$B$56))*HLOOKUP(($B404+PARAM!$B$56)/12,Loyalty,2)*$F$1*MAX(N403,0)</f>
        <v>18.557001321003963</v>
      </c>
      <c r="M404" s="75">
        <f>PARAM!$C$26+MAX($G$5-CHOOSE(PARAM!$B$44,MAX(0,N403*$F$1),0),0)*RATES!$L380/12+$H$5*(PARAM!$D$51/12)*RATES!$N380/100</f>
        <v>50.833333333333336</v>
      </c>
      <c r="N404" s="16">
        <f t="shared" si="242"/>
        <v>-1196.0851928637371</v>
      </c>
      <c r="O404" s="15">
        <f t="shared" si="243"/>
        <v>22.170849845882874</v>
      </c>
      <c r="P404" s="75">
        <f>O404*(1-PARAM!$C$27)*$I$6+(MOD($B404,60)=PARAM!$B$56)*($B404&gt;(60-PARAM!$B$56))*HLOOKUP(($B404+PARAM!$B$56)/12,Loyalty,2)*$F$1*MAX(R403,0)</f>
        <v>18.557001321003963</v>
      </c>
      <c r="Q404" s="75">
        <f>PARAM!$C$26+MAX($G$6-CHOOSE(PARAM!$B$44,MAX(0,R403*$F$1),0),0)*RATES!$L380/12+$H$6*(PARAM!$D$51/12)*RATES!$N380/100</f>
        <v>50.833333333333336</v>
      </c>
      <c r="R404" s="16">
        <f t="shared" si="244"/>
        <v>-1196.0851928637371</v>
      </c>
      <c r="S404" s="15">
        <f t="shared" si="219"/>
        <v>22.170849845882874</v>
      </c>
      <c r="T404" s="75">
        <f>S404*(1-PARAM!$C$27)*$I$7+(MOD($B404,60)=PARAM!$B$56)*($B404&gt;(60-PARAM!$B$56))*HLOOKUP(($B404+PARAM!$B$56)/12,Loyalty,2)*$F$1*MAX(V403,0)</f>
        <v>18.557001321003963</v>
      </c>
      <c r="U404" s="75">
        <f>PARAM!$C$26+MAX($G$7-CHOOSE(PARAM!$B$44,MAX(0,V403*$F$1),0),0)*RATES!$L380/12+$H$7*(PARAM!$D$51/12)*RATES!$N380/100</f>
        <v>50.833333333333336</v>
      </c>
      <c r="V404" s="16">
        <f t="shared" si="245"/>
        <v>-1196.0851928637371</v>
      </c>
      <c r="W404" s="15">
        <f t="shared" si="220"/>
        <v>22.170849845882874</v>
      </c>
      <c r="X404" s="75">
        <f>W404*(1-PARAM!$C$27)*$I$8+(MOD($B404,60)=PARAM!$B$56)*($B404&gt;(60-PARAM!$B$56))*HLOOKUP(($B404+PARAM!$B$56)/12,Loyalty,2)*$F$1*MAX(Z403,0)</f>
        <v>18.557001321003963</v>
      </c>
      <c r="Y404" s="75">
        <f>PARAM!$C$26+MAX($G$8-CHOOSE(PARAM!$B$44,MAX(0,Z403*$F$1),0),0)*RATES!$L380/12+$H$8*(PARAM!$D$51/12)*RATES!$N380/100</f>
        <v>50.833333333333336</v>
      </c>
      <c r="Z404" s="16">
        <f t="shared" si="246"/>
        <v>-1196.0851928637371</v>
      </c>
      <c r="AA404" s="15">
        <f t="shared" si="221"/>
        <v>22.170849845882874</v>
      </c>
      <c r="AB404" s="75">
        <f>AA404*(1-PARAM!$C$27)*$I$9+(MOD($B404,60)=PARAM!$B$56)*($B404&gt;(60-PARAM!$B$56))*HLOOKUP(($B404+PARAM!$B$56)/12,Loyalty,2)*$F$1*MAX(AD403,0)</f>
        <v>18.557001321003963</v>
      </c>
      <c r="AC404" s="75">
        <f>PARAM!$C$26+MAX($G$9-CHOOSE(PARAM!$B$44,MAX(0,AD403*$F$1),0),0)*RATES!$L380/12+$H$9*(PARAM!$D$51/12)*RATES!$N380/100</f>
        <v>50.833333333333336</v>
      </c>
      <c r="AD404" s="16">
        <f t="shared" si="247"/>
        <v>-1196.0851928637371</v>
      </c>
      <c r="AE404" s="15">
        <f t="shared" si="222"/>
        <v>22.170849845882874</v>
      </c>
      <c r="AF404" s="75">
        <f>AE404*(1-PARAM!$C$27)*$I$10+(MOD($B404,60)=PARAM!$B$56)*($B404&gt;(60-PARAM!$B$56))*HLOOKUP(($B404+PARAM!$B$56)/12,Loyalty,2)*$F$1*MAX(AH403,0)</f>
        <v>18.557001321003963</v>
      </c>
      <c r="AG404" s="75">
        <f>PARAM!$C$26+MAX($G$10-CHOOSE(PARAM!$B$44,MAX(0,AH403*$F$1),0),0)*RATES!$L380/12+$H$10*(PARAM!$D$51/12)*RATES!$N380/100</f>
        <v>50.833333333333336</v>
      </c>
      <c r="AH404" s="16">
        <f t="shared" si="248"/>
        <v>-1196.0851928637371</v>
      </c>
      <c r="AI404" s="15">
        <f t="shared" si="223"/>
        <v>22.170849845882874</v>
      </c>
      <c r="AJ404" s="75">
        <f>AI404*(1-PARAM!$C$27)*$I$11+(MOD($B404,60)=PARAM!$B$56)*($B404&gt;(60-PARAM!$B$56))*HLOOKUP(($B404+PARAM!$B$56)/12,Loyalty,2)*$F$1*MAX(AL403,0)</f>
        <v>18.557001321003963</v>
      </c>
      <c r="AK404" s="75">
        <f>PARAM!$C$26+MAX($G$11-CHOOSE(PARAM!$B$44,MAX(0,AL403*$F$1),0),0)*RATES!$L380/12+$H$11*(PARAM!$D$51/12)*RATES!$N380/100</f>
        <v>50.833333333333336</v>
      </c>
      <c r="AL404" s="16">
        <f t="shared" si="249"/>
        <v>-1196.0851928637371</v>
      </c>
      <c r="AM404" s="15">
        <f t="shared" si="224"/>
        <v>22.170849845882874</v>
      </c>
      <c r="AN404" s="75">
        <f>AM404*(1-PARAM!$C$27)*$I$12+(MOD($B404,60)=PARAM!$B$56)*($B404&gt;(60-PARAM!$B$56))*HLOOKUP(($B404+PARAM!$B$56)/12,Loyalty,2)*$F$1*MAX(AP403,0)</f>
        <v>18.557001321003963</v>
      </c>
      <c r="AO404" s="75">
        <f>PARAM!$C$26+MAX($G$12-CHOOSE(PARAM!$B$44,MAX(0,AP403*$F$1),0),0)*RATES!$L380/12+$H$12*(PARAM!$D$51/12)*RATES!$N380/100</f>
        <v>50.833333333333336</v>
      </c>
      <c r="AP404" s="16">
        <f t="shared" si="250"/>
        <v>-1196.0851928637371</v>
      </c>
      <c r="AQ404" s="15">
        <f t="shared" si="225"/>
        <v>22.170849845882874</v>
      </c>
      <c r="AR404" s="75">
        <f>AQ404*(1-PARAM!$C$27)*$I$13+(MOD($B404,60)=PARAM!$B$56)*($B404&gt;(60-PARAM!$B$56))*HLOOKUP(($B404+PARAM!$B$56)/12,Loyalty,2)*$F$1*MAX(AT403,0)</f>
        <v>18.557001321003963</v>
      </c>
      <c r="AS404" s="75">
        <f>PARAM!$C$26+MAX($G$13-CHOOSE(PARAM!$B$44,MAX(0,AT403*$F$1),0),0)*RATES!$L380/12+$H$13*(PARAM!$D$51/12)*RATES!$N380/100</f>
        <v>50.833333333333336</v>
      </c>
      <c r="AT404" s="16">
        <f t="shared" si="251"/>
        <v>-1196.0851928637371</v>
      </c>
      <c r="AU404" s="15">
        <f t="shared" si="226"/>
        <v>22.170849845882874</v>
      </c>
      <c r="AV404" s="75">
        <f>AU404*(1-PARAM!$C$27)*$I$14+(MOD($B404,60)=PARAM!$B$56)*($B404&gt;(60-PARAM!$B$56))*HLOOKUP(($B404+PARAM!$B$56)/12,Loyalty,2)*$F$1*MAX(AX403,0)</f>
        <v>18.557001321003963</v>
      </c>
      <c r="AW404" s="75">
        <f>PARAM!$C$26+MAX($G$14-CHOOSE(PARAM!$B$44,MAX(0,AX403*$F$1),0),0)*RATES!$L380/12+$H$14*(PARAM!$D$51/12)*RATES!$N380/100</f>
        <v>50.833333333333336</v>
      </c>
      <c r="AX404" s="16">
        <f t="shared" si="252"/>
        <v>-1196.0851928637371</v>
      </c>
      <c r="AY404" s="15">
        <f t="shared" si="227"/>
        <v>22.170849845882874</v>
      </c>
      <c r="AZ404" s="75">
        <f>AY404*(1-PARAM!$C$27)*$I$15+(MOD($B404,60)=PARAM!$B$56)*($B404&gt;(60-PARAM!$B$56))*HLOOKUP(($B404+PARAM!$B$56)/12,Loyalty,2)*$F$1*MAX(BB403,0)</f>
        <v>18.557001321003963</v>
      </c>
      <c r="BA404" s="75">
        <f>PARAM!$C$26+MAX($G$15-CHOOSE(PARAM!$B$44,MAX(0,BB403*$F$1),0),0)*RATES!$L380/12+$H$15*(PARAM!$D$51/12)*RATES!$N380/100</f>
        <v>50.833333333333336</v>
      </c>
      <c r="BB404" s="16">
        <f t="shared" si="253"/>
        <v>-1196.0851928637371</v>
      </c>
      <c r="BC404" s="15">
        <f t="shared" si="228"/>
        <v>22.170849845882874</v>
      </c>
      <c r="BD404" s="75">
        <f>BC404*(1-PARAM!$C$27)*$I$16+(MOD($B404,60)=PARAM!$B$56)*($B404&gt;(60-PARAM!$B$56))*HLOOKUP(($B404+PARAM!$B$56)/12,Loyalty,2)*$F$1*MAX(BF403,0)</f>
        <v>18.557001321003963</v>
      </c>
      <c r="BE404" s="75">
        <f>PARAM!$C$26+MAX($G$16-CHOOSE(PARAM!$B$44,MAX(0,BF403*$F$1),0),0)*RATES!$L380/12+$H$16*(PARAM!$D$51/12)*RATES!$N380/100</f>
        <v>50.833333333333336</v>
      </c>
      <c r="BF404" s="16">
        <f t="shared" si="254"/>
        <v>-1196.0851928637371</v>
      </c>
      <c r="BG404" s="15">
        <f t="shared" si="229"/>
        <v>22.170849845882874</v>
      </c>
      <c r="BH404" s="75">
        <f>BG404*(1-PARAM!$C$27)*$I$17+(MOD($B404,60)=PARAM!$B$56)*($B404&gt;(60-PARAM!$B$56))*HLOOKUP(($B404+PARAM!$B$56)/12,Loyalty,2)*$F$1*MAX(BJ403,0)</f>
        <v>18.557001321003963</v>
      </c>
      <c r="BI404" s="75">
        <f>PARAM!$C$26+MAX($G$17-CHOOSE(PARAM!$B$44,MAX(0,BJ403*$F$1),0),0)*RATES!$L380/12+$H$17*(PARAM!$D$51/12)*RATES!$N380/100</f>
        <v>50.833333333333336</v>
      </c>
      <c r="BJ404" s="16">
        <f t="shared" si="255"/>
        <v>-1196.0851928637371</v>
      </c>
      <c r="BK404" s="15">
        <f t="shared" si="230"/>
        <v>22.170849845882874</v>
      </c>
      <c r="BL404" s="75">
        <f>BK404*(1-PARAM!$C$27)*$I$18+(MOD($B404,60)=PARAM!$B$56)*($B404&gt;(60-PARAM!$B$56))*HLOOKUP(($B404+PARAM!$B$56)/12,Loyalty,2)*$F$1*MAX(BN403,0)</f>
        <v>18.557001321003963</v>
      </c>
      <c r="BM404" s="75">
        <f>PARAM!$C$26+MAX($G$18-CHOOSE(PARAM!$B$44,MAX(0,BN403*$F$1),0),0)*RATES!$L380/12+$H$18*(PARAM!$D$51/12)*RATES!$N380/100</f>
        <v>50.833333333333336</v>
      </c>
      <c r="BN404" s="16">
        <f t="shared" si="256"/>
        <v>-1196.0851928637371</v>
      </c>
      <c r="BO404" s="15">
        <f t="shared" si="231"/>
        <v>22.170849845882874</v>
      </c>
      <c r="BP404" s="75">
        <f>BO404*(1-PARAM!$C$27)*$I$19+(MOD($B404,60)=PARAM!$B$56)*($B404&gt;(60-PARAM!$B$56))*HLOOKUP(($B404+PARAM!$B$56)/12,Loyalty,2)*$F$1*MAX(BR403,0)</f>
        <v>18.557001321003963</v>
      </c>
      <c r="BQ404" s="75">
        <f>PARAM!$C$26+MAX($G$19-CHOOSE(PARAM!$B$44,MAX(0,BR403*$F$1),0),0)*RATES!$L380/12+$H$19*(PARAM!$D$51/12)*RATES!$N380/100</f>
        <v>50.833333333333336</v>
      </c>
      <c r="BR404" s="16">
        <f t="shared" si="257"/>
        <v>-1196.0851928637371</v>
      </c>
      <c r="BS404" s="15">
        <f t="shared" si="232"/>
        <v>22.170849845882874</v>
      </c>
      <c r="BT404" s="75">
        <f>BS404*(1-PARAM!$C$27)*$I$20+(MOD($B404,60)=PARAM!$B$56)*($B404&gt;(60-PARAM!$B$56))*HLOOKUP(($B404+PARAM!$B$56)/12,Loyalty,2)*$F$1*MAX(BV403,0)</f>
        <v>18.557001321003963</v>
      </c>
      <c r="BU404" s="75">
        <f>PARAM!$C$26+MAX($G$20-CHOOSE(PARAM!$B$44,MAX(0,BV403*$F$1),0),0)*RATES!$L380/12+$H$20*(PARAM!$D$51/12)*RATES!$N380/100</f>
        <v>50.833333333333336</v>
      </c>
      <c r="BV404" s="16">
        <f t="shared" si="258"/>
        <v>-1196.0851928637371</v>
      </c>
      <c r="BW404" s="15">
        <f t="shared" si="233"/>
        <v>22.170849845882874</v>
      </c>
      <c r="BX404" s="75">
        <f>BW404*(1-PARAM!$C$27)*$I$21+(MOD($B404,60)=PARAM!$B$56)*($B404&gt;(60-PARAM!$B$56))*HLOOKUP(($B404+PARAM!$B$56)/12,Loyalty,2)*$F$1*MAX(BZ403,0)</f>
        <v>18.557001321003963</v>
      </c>
      <c r="BY404" s="75">
        <f>PARAM!$C$26+MAX($G$21-CHOOSE(PARAM!$B$44,MAX(0,BZ403*$F$1),0),0)*RATES!$L380/12+$H$21*(PARAM!$D$51/12)*RATES!$N380/100</f>
        <v>50.833333333333336</v>
      </c>
      <c r="BZ404" s="16">
        <f t="shared" si="259"/>
        <v>-1196.0851928637371</v>
      </c>
      <c r="CA404" s="15">
        <f t="shared" si="234"/>
        <v>22.170849845882874</v>
      </c>
      <c r="CB404" s="75">
        <f>CA404*(1-PARAM!$C$27)*$I$22+(MOD($B404,60)=PARAM!$B$56)*($B404&gt;(60-PARAM!$B$56))*HLOOKUP(($B404+PARAM!$B$56)/12,Loyalty,2)*$F$1*MAX(CD403,0)</f>
        <v>18.557001321003963</v>
      </c>
      <c r="CC404" s="75">
        <f>PARAM!$C$26+MAX($G$22-CHOOSE(PARAM!$B$44,MAX(0,CD403*$F$1),0),0)*RATES!$L380/12+$H$22*(PARAM!$D$51/12)*RATES!$N380/100</f>
        <v>50.833333333333336</v>
      </c>
      <c r="CD404" s="16">
        <f t="shared" si="260"/>
        <v>-1196.0851928637371</v>
      </c>
      <c r="CE404" s="33">
        <f>IF(0=MOD(B404,12/PARAM!$D$51),1,0)</f>
        <v>1</v>
      </c>
      <c r="CF404" s="15">
        <f t="shared" si="235"/>
        <v>0</v>
      </c>
      <c r="CG404" s="75">
        <f>CF404*(1-PARAM!$C$27)*$R$3+(MOD($B404/12,5)=0)*($B404&gt;60)*HLOOKUP($B404/12,Loyalty,2)*$F$1*MAX(CI403,0)</f>
        <v>0</v>
      </c>
      <c r="CH404" s="75">
        <f>PARAM!$C$26+MAX($P$3-CHOOSE(PARAM!$B$44,MAX(0,CI403*$F$1),0),0)*RATES!$L380/12+$Q$3*(PARAM!$D$51/12)*RATES!$N380/100</f>
        <v>50.833333333333336</v>
      </c>
      <c r="CI404" s="16">
        <f>IF(CI403&gt;0,CI403*PARAM!$C$53,CI403)+CG404-CH404</f>
        <v>-8072.4999999999818</v>
      </c>
      <c r="CJ404" s="15">
        <f t="shared" si="261"/>
        <v>0</v>
      </c>
      <c r="CK404" s="75">
        <f>CJ404*(1-PARAM!$C$27)*$R$4+(MOD($B404/12,5)=0)*($B404&gt;60)*HLOOKUP($B404/12,Loyalty,2)*$F$1*MAX(CM403,0)</f>
        <v>0</v>
      </c>
      <c r="CL404" s="75">
        <f>PARAM!$C$26+MAX($P$4-CHOOSE(PARAM!$B$44,MAX(0,CM403*$F$1),0),0)*RATES!$L380/12+$Q$4*(PARAM!$D$51/12)*RATES!$N380/100</f>
        <v>50.833333333333336</v>
      </c>
      <c r="CM404" s="16">
        <f>IF(CM403&gt;0,CM403*PARAM!$C$53,CM403)+CK404-CL404</f>
        <v>-8072.4999999999818</v>
      </c>
      <c r="CO404" s="176"/>
    </row>
    <row r="405" spans="1:93" x14ac:dyDescent="0.2">
      <c r="A405" t="b">
        <f t="shared" si="236"/>
        <v>0</v>
      </c>
      <c r="B405" s="33">
        <v>378</v>
      </c>
      <c r="C405" s="15">
        <f t="shared" si="237"/>
        <v>20.081305947392778</v>
      </c>
      <c r="D405" s="75">
        <f>C405*(1-PARAM!$C$27)*$I$3+(MOD($B405,60)=PARAM!$B$56)*($B405&gt;(60-PARAM!$B$56))*HLOOKUP(($B405+PARAM!$B$56)/12,Loyalty,2)*$F$1*MAX(F404,0)</f>
        <v>16.808053077967756</v>
      </c>
      <c r="E405" s="75">
        <f>PARAM!$C$26+MAX($G$3-CHOOSE(PARAM!$B$44,MAX(0,F404*$F$1),0),0)*RATES!$L381/12+$H$3*(PARAM!$D$51/12)*RATES!$N381/100</f>
        <v>55.958333333333343</v>
      </c>
      <c r="F405" s="16">
        <f t="shared" si="238"/>
        <v>-1931.4394612652538</v>
      </c>
      <c r="G405" s="15">
        <f t="shared" si="239"/>
        <v>22.035289406060361</v>
      </c>
      <c r="H405" s="75">
        <f>G405*(1-PARAM!$C$27)*$I$4+(MOD($B405,60)=PARAM!$B$56)*($B405&gt;(60-PARAM!$B$56))*HLOOKUP(($B405+PARAM!$B$56)/12,Loyalty,2)*$F$1*MAX(J404,0)</f>
        <v>18.443537232872522</v>
      </c>
      <c r="I405" s="75">
        <f>PARAM!$C$26+MAX($G$4-CHOOSE(PARAM!$B$44,MAX(0,J404*$F$1),0),0)*RATES!$L381/12+$H$4*(PARAM!$D$51/12)*RATES!$N381/100</f>
        <v>55.958333333333343</v>
      </c>
      <c r="J405" s="16">
        <f t="shared" si="240"/>
        <v>-1279.393486589546</v>
      </c>
      <c r="K405" s="15">
        <f t="shared" si="241"/>
        <v>22.170849845882874</v>
      </c>
      <c r="L405" s="75">
        <f>K405*(1-PARAM!$C$27)*$I$5+(MOD($B405,60)=PARAM!$B$56)*($B405&gt;(60-PARAM!$B$56))*HLOOKUP(($B405+PARAM!$B$56)/12,Loyalty,2)*$F$1*MAX(N404,0)</f>
        <v>18.557001321003963</v>
      </c>
      <c r="M405" s="75">
        <f>PARAM!$C$26+MAX($G$5-CHOOSE(PARAM!$B$44,MAX(0,N404*$F$1),0),0)*RATES!$L381/12+$H$5*(PARAM!$D$51/12)*RATES!$N381/100</f>
        <v>55.958333333333343</v>
      </c>
      <c r="N405" s="16">
        <f t="shared" si="242"/>
        <v>-1233.4865248760664</v>
      </c>
      <c r="O405" s="15">
        <f t="shared" si="243"/>
        <v>22.170849845882874</v>
      </c>
      <c r="P405" s="75">
        <f>O405*(1-PARAM!$C$27)*$I$6+(MOD($B405,60)=PARAM!$B$56)*($B405&gt;(60-PARAM!$B$56))*HLOOKUP(($B405+PARAM!$B$56)/12,Loyalty,2)*$F$1*MAX(R404,0)</f>
        <v>18.557001321003963</v>
      </c>
      <c r="Q405" s="75">
        <f>PARAM!$C$26+MAX($G$6-CHOOSE(PARAM!$B$44,MAX(0,R404*$F$1),0),0)*RATES!$L381/12+$H$6*(PARAM!$D$51/12)*RATES!$N381/100</f>
        <v>55.958333333333343</v>
      </c>
      <c r="R405" s="16">
        <f t="shared" si="244"/>
        <v>-1233.4865248760664</v>
      </c>
      <c r="S405" s="15">
        <f t="shared" si="219"/>
        <v>22.170849845882874</v>
      </c>
      <c r="T405" s="75">
        <f>S405*(1-PARAM!$C$27)*$I$7+(MOD($B405,60)=PARAM!$B$56)*($B405&gt;(60-PARAM!$B$56))*HLOOKUP(($B405+PARAM!$B$56)/12,Loyalty,2)*$F$1*MAX(V404,0)</f>
        <v>18.557001321003963</v>
      </c>
      <c r="U405" s="75">
        <f>PARAM!$C$26+MAX($G$7-CHOOSE(PARAM!$B$44,MAX(0,V404*$F$1),0),0)*RATES!$L381/12+$H$7*(PARAM!$D$51/12)*RATES!$N381/100</f>
        <v>55.958333333333343</v>
      </c>
      <c r="V405" s="16">
        <f t="shared" si="245"/>
        <v>-1233.4865248760664</v>
      </c>
      <c r="W405" s="15">
        <f t="shared" si="220"/>
        <v>22.170849845882874</v>
      </c>
      <c r="X405" s="75">
        <f>W405*(1-PARAM!$C$27)*$I$8+(MOD($B405,60)=PARAM!$B$56)*($B405&gt;(60-PARAM!$B$56))*HLOOKUP(($B405+PARAM!$B$56)/12,Loyalty,2)*$F$1*MAX(Z404,0)</f>
        <v>18.557001321003963</v>
      </c>
      <c r="Y405" s="75">
        <f>PARAM!$C$26+MAX($G$8-CHOOSE(PARAM!$B$44,MAX(0,Z404*$F$1),0),0)*RATES!$L381/12+$H$8*(PARAM!$D$51/12)*RATES!$N381/100</f>
        <v>55.958333333333343</v>
      </c>
      <c r="Z405" s="16">
        <f t="shared" si="246"/>
        <v>-1233.4865248760664</v>
      </c>
      <c r="AA405" s="15">
        <f t="shared" si="221"/>
        <v>22.170849845882874</v>
      </c>
      <c r="AB405" s="75">
        <f>AA405*(1-PARAM!$C$27)*$I$9+(MOD($B405,60)=PARAM!$B$56)*($B405&gt;(60-PARAM!$B$56))*HLOOKUP(($B405+PARAM!$B$56)/12,Loyalty,2)*$F$1*MAX(AD404,0)</f>
        <v>18.557001321003963</v>
      </c>
      <c r="AC405" s="75">
        <f>PARAM!$C$26+MAX($G$9-CHOOSE(PARAM!$B$44,MAX(0,AD404*$F$1),0),0)*RATES!$L381/12+$H$9*(PARAM!$D$51/12)*RATES!$N381/100</f>
        <v>55.958333333333343</v>
      </c>
      <c r="AD405" s="16">
        <f t="shared" si="247"/>
        <v>-1233.4865248760664</v>
      </c>
      <c r="AE405" s="15">
        <f t="shared" si="222"/>
        <v>22.170849845882874</v>
      </c>
      <c r="AF405" s="75">
        <f>AE405*(1-PARAM!$C$27)*$I$10+(MOD($B405,60)=PARAM!$B$56)*($B405&gt;(60-PARAM!$B$56))*HLOOKUP(($B405+PARAM!$B$56)/12,Loyalty,2)*$F$1*MAX(AH404,0)</f>
        <v>18.557001321003963</v>
      </c>
      <c r="AG405" s="75">
        <f>PARAM!$C$26+MAX($G$10-CHOOSE(PARAM!$B$44,MAX(0,AH404*$F$1),0),0)*RATES!$L381/12+$H$10*(PARAM!$D$51/12)*RATES!$N381/100</f>
        <v>55.958333333333343</v>
      </c>
      <c r="AH405" s="16">
        <f t="shared" si="248"/>
        <v>-1233.4865248760664</v>
      </c>
      <c r="AI405" s="15">
        <f t="shared" si="223"/>
        <v>22.170849845882874</v>
      </c>
      <c r="AJ405" s="75">
        <f>AI405*(1-PARAM!$C$27)*$I$11+(MOD($B405,60)=PARAM!$B$56)*($B405&gt;(60-PARAM!$B$56))*HLOOKUP(($B405+PARAM!$B$56)/12,Loyalty,2)*$F$1*MAX(AL404,0)</f>
        <v>18.557001321003963</v>
      </c>
      <c r="AK405" s="75">
        <f>PARAM!$C$26+MAX($G$11-CHOOSE(PARAM!$B$44,MAX(0,AL404*$F$1),0),0)*RATES!$L381/12+$H$11*(PARAM!$D$51/12)*RATES!$N381/100</f>
        <v>55.958333333333343</v>
      </c>
      <c r="AL405" s="16">
        <f t="shared" si="249"/>
        <v>-1233.4865248760664</v>
      </c>
      <c r="AM405" s="15">
        <f t="shared" si="224"/>
        <v>22.170849845882874</v>
      </c>
      <c r="AN405" s="75">
        <f>AM405*(1-PARAM!$C$27)*$I$12+(MOD($B405,60)=PARAM!$B$56)*($B405&gt;(60-PARAM!$B$56))*HLOOKUP(($B405+PARAM!$B$56)/12,Loyalty,2)*$F$1*MAX(AP404,0)</f>
        <v>18.557001321003963</v>
      </c>
      <c r="AO405" s="75">
        <f>PARAM!$C$26+MAX($G$12-CHOOSE(PARAM!$B$44,MAX(0,AP404*$F$1),0),0)*RATES!$L381/12+$H$12*(PARAM!$D$51/12)*RATES!$N381/100</f>
        <v>55.958333333333343</v>
      </c>
      <c r="AP405" s="16">
        <f t="shared" si="250"/>
        <v>-1233.4865248760664</v>
      </c>
      <c r="AQ405" s="15">
        <f t="shared" si="225"/>
        <v>22.170849845882874</v>
      </c>
      <c r="AR405" s="75">
        <f>AQ405*(1-PARAM!$C$27)*$I$13+(MOD($B405,60)=PARAM!$B$56)*($B405&gt;(60-PARAM!$B$56))*HLOOKUP(($B405+PARAM!$B$56)/12,Loyalty,2)*$F$1*MAX(AT404,0)</f>
        <v>18.557001321003963</v>
      </c>
      <c r="AS405" s="75">
        <f>PARAM!$C$26+MAX($G$13-CHOOSE(PARAM!$B$44,MAX(0,AT404*$F$1),0),0)*RATES!$L381/12+$H$13*(PARAM!$D$51/12)*RATES!$N381/100</f>
        <v>55.958333333333343</v>
      </c>
      <c r="AT405" s="16">
        <f t="shared" si="251"/>
        <v>-1233.4865248760664</v>
      </c>
      <c r="AU405" s="15">
        <f t="shared" si="226"/>
        <v>22.170849845882874</v>
      </c>
      <c r="AV405" s="75">
        <f>AU405*(1-PARAM!$C$27)*$I$14+(MOD($B405,60)=PARAM!$B$56)*($B405&gt;(60-PARAM!$B$56))*HLOOKUP(($B405+PARAM!$B$56)/12,Loyalty,2)*$F$1*MAX(AX404,0)</f>
        <v>18.557001321003963</v>
      </c>
      <c r="AW405" s="75">
        <f>PARAM!$C$26+MAX($G$14-CHOOSE(PARAM!$B$44,MAX(0,AX404*$F$1),0),0)*RATES!$L381/12+$H$14*(PARAM!$D$51/12)*RATES!$N381/100</f>
        <v>55.958333333333343</v>
      </c>
      <c r="AX405" s="16">
        <f t="shared" si="252"/>
        <v>-1233.4865248760664</v>
      </c>
      <c r="AY405" s="15">
        <f t="shared" si="227"/>
        <v>22.170849845882874</v>
      </c>
      <c r="AZ405" s="75">
        <f>AY405*(1-PARAM!$C$27)*$I$15+(MOD($B405,60)=PARAM!$B$56)*($B405&gt;(60-PARAM!$B$56))*HLOOKUP(($B405+PARAM!$B$56)/12,Loyalty,2)*$F$1*MAX(BB404,0)</f>
        <v>18.557001321003963</v>
      </c>
      <c r="BA405" s="75">
        <f>PARAM!$C$26+MAX($G$15-CHOOSE(PARAM!$B$44,MAX(0,BB404*$F$1),0),0)*RATES!$L381/12+$H$15*(PARAM!$D$51/12)*RATES!$N381/100</f>
        <v>55.958333333333343</v>
      </c>
      <c r="BB405" s="16">
        <f t="shared" si="253"/>
        <v>-1233.4865248760664</v>
      </c>
      <c r="BC405" s="15">
        <f t="shared" si="228"/>
        <v>22.170849845882874</v>
      </c>
      <c r="BD405" s="75">
        <f>BC405*(1-PARAM!$C$27)*$I$16+(MOD($B405,60)=PARAM!$B$56)*($B405&gt;(60-PARAM!$B$56))*HLOOKUP(($B405+PARAM!$B$56)/12,Loyalty,2)*$F$1*MAX(BF404,0)</f>
        <v>18.557001321003963</v>
      </c>
      <c r="BE405" s="75">
        <f>PARAM!$C$26+MAX($G$16-CHOOSE(PARAM!$B$44,MAX(0,BF404*$F$1),0),0)*RATES!$L381/12+$H$16*(PARAM!$D$51/12)*RATES!$N381/100</f>
        <v>55.958333333333343</v>
      </c>
      <c r="BF405" s="16">
        <f t="shared" si="254"/>
        <v>-1233.4865248760664</v>
      </c>
      <c r="BG405" s="15">
        <f t="shared" si="229"/>
        <v>22.170849845882874</v>
      </c>
      <c r="BH405" s="75">
        <f>BG405*(1-PARAM!$C$27)*$I$17+(MOD($B405,60)=PARAM!$B$56)*($B405&gt;(60-PARAM!$B$56))*HLOOKUP(($B405+PARAM!$B$56)/12,Loyalty,2)*$F$1*MAX(BJ404,0)</f>
        <v>18.557001321003963</v>
      </c>
      <c r="BI405" s="75">
        <f>PARAM!$C$26+MAX($G$17-CHOOSE(PARAM!$B$44,MAX(0,BJ404*$F$1),0),0)*RATES!$L381/12+$H$17*(PARAM!$D$51/12)*RATES!$N381/100</f>
        <v>55.958333333333343</v>
      </c>
      <c r="BJ405" s="16">
        <f t="shared" si="255"/>
        <v>-1233.4865248760664</v>
      </c>
      <c r="BK405" s="15">
        <f t="shared" si="230"/>
        <v>22.170849845882874</v>
      </c>
      <c r="BL405" s="75">
        <f>BK405*(1-PARAM!$C$27)*$I$18+(MOD($B405,60)=PARAM!$B$56)*($B405&gt;(60-PARAM!$B$56))*HLOOKUP(($B405+PARAM!$B$56)/12,Loyalty,2)*$F$1*MAX(BN404,0)</f>
        <v>18.557001321003963</v>
      </c>
      <c r="BM405" s="75">
        <f>PARAM!$C$26+MAX($G$18-CHOOSE(PARAM!$B$44,MAX(0,BN404*$F$1),0),0)*RATES!$L381/12+$H$18*(PARAM!$D$51/12)*RATES!$N381/100</f>
        <v>55.958333333333343</v>
      </c>
      <c r="BN405" s="16">
        <f t="shared" si="256"/>
        <v>-1233.4865248760664</v>
      </c>
      <c r="BO405" s="15">
        <f t="shared" si="231"/>
        <v>22.170849845882874</v>
      </c>
      <c r="BP405" s="75">
        <f>BO405*(1-PARAM!$C$27)*$I$19+(MOD($B405,60)=PARAM!$B$56)*($B405&gt;(60-PARAM!$B$56))*HLOOKUP(($B405+PARAM!$B$56)/12,Loyalty,2)*$F$1*MAX(BR404,0)</f>
        <v>18.557001321003963</v>
      </c>
      <c r="BQ405" s="75">
        <f>PARAM!$C$26+MAX($G$19-CHOOSE(PARAM!$B$44,MAX(0,BR404*$F$1),0),0)*RATES!$L381/12+$H$19*(PARAM!$D$51/12)*RATES!$N381/100</f>
        <v>55.958333333333343</v>
      </c>
      <c r="BR405" s="16">
        <f t="shared" si="257"/>
        <v>-1233.4865248760664</v>
      </c>
      <c r="BS405" s="15">
        <f t="shared" si="232"/>
        <v>22.170849845882874</v>
      </c>
      <c r="BT405" s="75">
        <f>BS405*(1-PARAM!$C$27)*$I$20+(MOD($B405,60)=PARAM!$B$56)*($B405&gt;(60-PARAM!$B$56))*HLOOKUP(($B405+PARAM!$B$56)/12,Loyalty,2)*$F$1*MAX(BV404,0)</f>
        <v>18.557001321003963</v>
      </c>
      <c r="BU405" s="75">
        <f>PARAM!$C$26+MAX($G$20-CHOOSE(PARAM!$B$44,MAX(0,BV404*$F$1),0),0)*RATES!$L381/12+$H$20*(PARAM!$D$51/12)*RATES!$N381/100</f>
        <v>55.958333333333343</v>
      </c>
      <c r="BV405" s="16">
        <f t="shared" si="258"/>
        <v>-1233.4865248760664</v>
      </c>
      <c r="BW405" s="15">
        <f t="shared" si="233"/>
        <v>22.170849845882874</v>
      </c>
      <c r="BX405" s="75">
        <f>BW405*(1-PARAM!$C$27)*$I$21+(MOD($B405,60)=PARAM!$B$56)*($B405&gt;(60-PARAM!$B$56))*HLOOKUP(($B405+PARAM!$B$56)/12,Loyalty,2)*$F$1*MAX(BZ404,0)</f>
        <v>18.557001321003963</v>
      </c>
      <c r="BY405" s="75">
        <f>PARAM!$C$26+MAX($G$21-CHOOSE(PARAM!$B$44,MAX(0,BZ404*$F$1),0),0)*RATES!$L381/12+$H$21*(PARAM!$D$51/12)*RATES!$N381/100</f>
        <v>55.958333333333343</v>
      </c>
      <c r="BZ405" s="16">
        <f t="shared" si="259"/>
        <v>-1233.4865248760664</v>
      </c>
      <c r="CA405" s="15">
        <f t="shared" si="234"/>
        <v>22.170849845882874</v>
      </c>
      <c r="CB405" s="75">
        <f>CA405*(1-PARAM!$C$27)*$I$22+(MOD($B405,60)=PARAM!$B$56)*($B405&gt;(60-PARAM!$B$56))*HLOOKUP(($B405+PARAM!$B$56)/12,Loyalty,2)*$F$1*MAX(CD404,0)</f>
        <v>18.557001321003963</v>
      </c>
      <c r="CC405" s="75">
        <f>PARAM!$C$26+MAX($G$22-CHOOSE(PARAM!$B$44,MAX(0,CD404*$F$1),0),0)*RATES!$L381/12+$H$22*(PARAM!$D$51/12)*RATES!$N381/100</f>
        <v>55.958333333333343</v>
      </c>
      <c r="CD405" s="16">
        <f t="shared" si="260"/>
        <v>-1233.4865248760664</v>
      </c>
      <c r="CE405" s="33">
        <f>IF(0=MOD(B405,12/PARAM!$D$51),1,0)</f>
        <v>1</v>
      </c>
      <c r="CF405" s="15">
        <f t="shared" si="235"/>
        <v>0</v>
      </c>
      <c r="CG405" s="75">
        <f>CF405*(1-PARAM!$C$27)*$R$3+(MOD($B405/12,5)=0)*($B405&gt;60)*HLOOKUP($B405/12,Loyalty,2)*$F$1*MAX(CI404,0)</f>
        <v>0</v>
      </c>
      <c r="CH405" s="75">
        <f>PARAM!$C$26+MAX($P$3-CHOOSE(PARAM!$B$44,MAX(0,CI404*$F$1),0),0)*RATES!$L381/12+$Q$3*(PARAM!$D$51/12)*RATES!$N381/100</f>
        <v>55.958333333333343</v>
      </c>
      <c r="CI405" s="16">
        <f>IF(CI404&gt;0,CI404*PARAM!$C$53,CI404)+CG405-CH405</f>
        <v>-8128.4583333333148</v>
      </c>
      <c r="CJ405" s="15">
        <f t="shared" si="261"/>
        <v>0</v>
      </c>
      <c r="CK405" s="75">
        <f>CJ405*(1-PARAM!$C$27)*$R$4+(MOD($B405/12,5)=0)*($B405&gt;60)*HLOOKUP($B405/12,Loyalty,2)*$F$1*MAX(CM404,0)</f>
        <v>0</v>
      </c>
      <c r="CL405" s="75">
        <f>PARAM!$C$26+MAX($P$4-CHOOSE(PARAM!$B$44,MAX(0,CM404*$F$1),0),0)*RATES!$L381/12+$Q$4*(PARAM!$D$51/12)*RATES!$N381/100</f>
        <v>55.958333333333343</v>
      </c>
      <c r="CM405" s="16">
        <f>IF(CM404&gt;0,CM404*PARAM!$C$53,CM404)+CK405-CL405</f>
        <v>-8128.4583333333148</v>
      </c>
      <c r="CO405" s="176"/>
    </row>
    <row r="406" spans="1:93" x14ac:dyDescent="0.2">
      <c r="A406" t="b">
        <f t="shared" si="236"/>
        <v>0</v>
      </c>
      <c r="B406" s="33">
        <v>379</v>
      </c>
      <c r="C406" s="15">
        <f t="shared" si="237"/>
        <v>20.081305947392778</v>
      </c>
      <c r="D406" s="75">
        <f>C406*(1-PARAM!$C$27)*$I$3+(MOD($B406,60)=PARAM!$B$56)*($B406&gt;(60-PARAM!$B$56))*HLOOKUP(($B406+PARAM!$B$56)/12,Loyalty,2)*$F$1*MAX(F405,0)</f>
        <v>16.808053077967756</v>
      </c>
      <c r="E406" s="75">
        <f>PARAM!$C$26+MAX($G$3-CHOOSE(PARAM!$B$44,MAX(0,F405*$F$1),0),0)*RATES!$L382/12+$H$3*(PARAM!$D$51/12)*RATES!$N382/100</f>
        <v>55.958333333333343</v>
      </c>
      <c r="F406" s="16">
        <f t="shared" si="238"/>
        <v>-1970.5897415206193</v>
      </c>
      <c r="G406" s="15">
        <f t="shared" si="239"/>
        <v>22.035289406060361</v>
      </c>
      <c r="H406" s="75">
        <f>G406*(1-PARAM!$C$27)*$I$4+(MOD($B406,60)=PARAM!$B$56)*($B406&gt;(60-PARAM!$B$56))*HLOOKUP(($B406+PARAM!$B$56)/12,Loyalty,2)*$F$1*MAX(J405,0)</f>
        <v>18.443537232872522</v>
      </c>
      <c r="I406" s="75">
        <f>PARAM!$C$26+MAX($G$4-CHOOSE(PARAM!$B$44,MAX(0,J405*$F$1),0),0)*RATES!$L382/12+$H$4*(PARAM!$D$51/12)*RATES!$N382/100</f>
        <v>55.958333333333343</v>
      </c>
      <c r="J406" s="16">
        <f t="shared" si="240"/>
        <v>-1316.9082826900067</v>
      </c>
      <c r="K406" s="15">
        <f t="shared" si="241"/>
        <v>22.170849845882874</v>
      </c>
      <c r="L406" s="75">
        <f>K406*(1-PARAM!$C$27)*$I$5+(MOD($B406,60)=PARAM!$B$56)*($B406&gt;(60-PARAM!$B$56))*HLOOKUP(($B406+PARAM!$B$56)/12,Loyalty,2)*$F$1*MAX(N405,0)</f>
        <v>18.557001321003963</v>
      </c>
      <c r="M406" s="75">
        <f>PARAM!$C$26+MAX($G$5-CHOOSE(PARAM!$B$44,MAX(0,N405*$F$1),0),0)*RATES!$L382/12+$H$5*(PARAM!$D$51/12)*RATES!$N382/100</f>
        <v>55.958333333333343</v>
      </c>
      <c r="N406" s="16">
        <f t="shared" si="242"/>
        <v>-1270.8878568883956</v>
      </c>
      <c r="O406" s="15">
        <f t="shared" si="243"/>
        <v>22.170849845882874</v>
      </c>
      <c r="P406" s="75">
        <f>O406*(1-PARAM!$C$27)*$I$6+(MOD($B406,60)=PARAM!$B$56)*($B406&gt;(60-PARAM!$B$56))*HLOOKUP(($B406+PARAM!$B$56)/12,Loyalty,2)*$F$1*MAX(R405,0)</f>
        <v>18.557001321003963</v>
      </c>
      <c r="Q406" s="75">
        <f>PARAM!$C$26+MAX($G$6-CHOOSE(PARAM!$B$44,MAX(0,R405*$F$1),0),0)*RATES!$L382/12+$H$6*(PARAM!$D$51/12)*RATES!$N382/100</f>
        <v>55.958333333333343</v>
      </c>
      <c r="R406" s="16">
        <f t="shared" si="244"/>
        <v>-1270.8878568883956</v>
      </c>
      <c r="S406" s="15">
        <f t="shared" si="219"/>
        <v>22.170849845882874</v>
      </c>
      <c r="T406" s="75">
        <f>S406*(1-PARAM!$C$27)*$I$7+(MOD($B406,60)=PARAM!$B$56)*($B406&gt;(60-PARAM!$B$56))*HLOOKUP(($B406+PARAM!$B$56)/12,Loyalty,2)*$F$1*MAX(V405,0)</f>
        <v>18.557001321003963</v>
      </c>
      <c r="U406" s="75">
        <f>PARAM!$C$26+MAX($G$7-CHOOSE(PARAM!$B$44,MAX(0,V405*$F$1),0),0)*RATES!$L382/12+$H$7*(PARAM!$D$51/12)*RATES!$N382/100</f>
        <v>55.958333333333343</v>
      </c>
      <c r="V406" s="16">
        <f t="shared" si="245"/>
        <v>-1270.8878568883956</v>
      </c>
      <c r="W406" s="15">
        <f t="shared" si="220"/>
        <v>22.170849845882874</v>
      </c>
      <c r="X406" s="75">
        <f>W406*(1-PARAM!$C$27)*$I$8+(MOD($B406,60)=PARAM!$B$56)*($B406&gt;(60-PARAM!$B$56))*HLOOKUP(($B406+PARAM!$B$56)/12,Loyalty,2)*$F$1*MAX(Z405,0)</f>
        <v>18.557001321003963</v>
      </c>
      <c r="Y406" s="75">
        <f>PARAM!$C$26+MAX($G$8-CHOOSE(PARAM!$B$44,MAX(0,Z405*$F$1),0),0)*RATES!$L382/12+$H$8*(PARAM!$D$51/12)*RATES!$N382/100</f>
        <v>55.958333333333343</v>
      </c>
      <c r="Z406" s="16">
        <f t="shared" si="246"/>
        <v>-1270.8878568883956</v>
      </c>
      <c r="AA406" s="15">
        <f t="shared" si="221"/>
        <v>22.170849845882874</v>
      </c>
      <c r="AB406" s="75">
        <f>AA406*(1-PARAM!$C$27)*$I$9+(MOD($B406,60)=PARAM!$B$56)*($B406&gt;(60-PARAM!$B$56))*HLOOKUP(($B406+PARAM!$B$56)/12,Loyalty,2)*$F$1*MAX(AD405,0)</f>
        <v>18.557001321003963</v>
      </c>
      <c r="AC406" s="75">
        <f>PARAM!$C$26+MAX($G$9-CHOOSE(PARAM!$B$44,MAX(0,AD405*$F$1),0),0)*RATES!$L382/12+$H$9*(PARAM!$D$51/12)*RATES!$N382/100</f>
        <v>55.958333333333343</v>
      </c>
      <c r="AD406" s="16">
        <f t="shared" si="247"/>
        <v>-1270.8878568883956</v>
      </c>
      <c r="AE406" s="15">
        <f t="shared" si="222"/>
        <v>22.170849845882874</v>
      </c>
      <c r="AF406" s="75">
        <f>AE406*(1-PARAM!$C$27)*$I$10+(MOD($B406,60)=PARAM!$B$56)*($B406&gt;(60-PARAM!$B$56))*HLOOKUP(($B406+PARAM!$B$56)/12,Loyalty,2)*$F$1*MAX(AH405,0)</f>
        <v>18.557001321003963</v>
      </c>
      <c r="AG406" s="75">
        <f>PARAM!$C$26+MAX($G$10-CHOOSE(PARAM!$B$44,MAX(0,AH405*$F$1),0),0)*RATES!$L382/12+$H$10*(PARAM!$D$51/12)*RATES!$N382/100</f>
        <v>55.958333333333343</v>
      </c>
      <c r="AH406" s="16">
        <f t="shared" si="248"/>
        <v>-1270.8878568883956</v>
      </c>
      <c r="AI406" s="15">
        <f t="shared" si="223"/>
        <v>22.170849845882874</v>
      </c>
      <c r="AJ406" s="75">
        <f>AI406*(1-PARAM!$C$27)*$I$11+(MOD($B406,60)=PARAM!$B$56)*($B406&gt;(60-PARAM!$B$56))*HLOOKUP(($B406+PARAM!$B$56)/12,Loyalty,2)*$F$1*MAX(AL405,0)</f>
        <v>18.557001321003963</v>
      </c>
      <c r="AK406" s="75">
        <f>PARAM!$C$26+MAX($G$11-CHOOSE(PARAM!$B$44,MAX(0,AL405*$F$1),0),0)*RATES!$L382/12+$H$11*(PARAM!$D$51/12)*RATES!$N382/100</f>
        <v>55.958333333333343</v>
      </c>
      <c r="AL406" s="16">
        <f t="shared" si="249"/>
        <v>-1270.8878568883956</v>
      </c>
      <c r="AM406" s="15">
        <f t="shared" si="224"/>
        <v>22.170849845882874</v>
      </c>
      <c r="AN406" s="75">
        <f>AM406*(1-PARAM!$C$27)*$I$12+(MOD($B406,60)=PARAM!$B$56)*($B406&gt;(60-PARAM!$B$56))*HLOOKUP(($B406+PARAM!$B$56)/12,Loyalty,2)*$F$1*MAX(AP405,0)</f>
        <v>18.557001321003963</v>
      </c>
      <c r="AO406" s="75">
        <f>PARAM!$C$26+MAX($G$12-CHOOSE(PARAM!$B$44,MAX(0,AP405*$F$1),0),0)*RATES!$L382/12+$H$12*(PARAM!$D$51/12)*RATES!$N382/100</f>
        <v>55.958333333333343</v>
      </c>
      <c r="AP406" s="16">
        <f t="shared" si="250"/>
        <v>-1270.8878568883956</v>
      </c>
      <c r="AQ406" s="15">
        <f t="shared" si="225"/>
        <v>22.170849845882874</v>
      </c>
      <c r="AR406" s="75">
        <f>AQ406*(1-PARAM!$C$27)*$I$13+(MOD($B406,60)=PARAM!$B$56)*($B406&gt;(60-PARAM!$B$56))*HLOOKUP(($B406+PARAM!$B$56)/12,Loyalty,2)*$F$1*MAX(AT405,0)</f>
        <v>18.557001321003963</v>
      </c>
      <c r="AS406" s="75">
        <f>PARAM!$C$26+MAX($G$13-CHOOSE(PARAM!$B$44,MAX(0,AT405*$F$1),0),0)*RATES!$L382/12+$H$13*(PARAM!$D$51/12)*RATES!$N382/100</f>
        <v>55.958333333333343</v>
      </c>
      <c r="AT406" s="16">
        <f t="shared" si="251"/>
        <v>-1270.8878568883956</v>
      </c>
      <c r="AU406" s="15">
        <f t="shared" si="226"/>
        <v>22.170849845882874</v>
      </c>
      <c r="AV406" s="75">
        <f>AU406*(1-PARAM!$C$27)*$I$14+(MOD($B406,60)=PARAM!$B$56)*($B406&gt;(60-PARAM!$B$56))*HLOOKUP(($B406+PARAM!$B$56)/12,Loyalty,2)*$F$1*MAX(AX405,0)</f>
        <v>18.557001321003963</v>
      </c>
      <c r="AW406" s="75">
        <f>PARAM!$C$26+MAX($G$14-CHOOSE(PARAM!$B$44,MAX(0,AX405*$F$1),0),0)*RATES!$L382/12+$H$14*(PARAM!$D$51/12)*RATES!$N382/100</f>
        <v>55.958333333333343</v>
      </c>
      <c r="AX406" s="16">
        <f t="shared" si="252"/>
        <v>-1270.8878568883956</v>
      </c>
      <c r="AY406" s="15">
        <f t="shared" si="227"/>
        <v>22.170849845882874</v>
      </c>
      <c r="AZ406" s="75">
        <f>AY406*(1-PARAM!$C$27)*$I$15+(MOD($B406,60)=PARAM!$B$56)*($B406&gt;(60-PARAM!$B$56))*HLOOKUP(($B406+PARAM!$B$56)/12,Loyalty,2)*$F$1*MAX(BB405,0)</f>
        <v>18.557001321003963</v>
      </c>
      <c r="BA406" s="75">
        <f>PARAM!$C$26+MAX($G$15-CHOOSE(PARAM!$B$44,MAX(0,BB405*$F$1),0),0)*RATES!$L382/12+$H$15*(PARAM!$D$51/12)*RATES!$N382/100</f>
        <v>55.958333333333343</v>
      </c>
      <c r="BB406" s="16">
        <f t="shared" si="253"/>
        <v>-1270.8878568883956</v>
      </c>
      <c r="BC406" s="15">
        <f t="shared" si="228"/>
        <v>22.170849845882874</v>
      </c>
      <c r="BD406" s="75">
        <f>BC406*(1-PARAM!$C$27)*$I$16+(MOD($B406,60)=PARAM!$B$56)*($B406&gt;(60-PARAM!$B$56))*HLOOKUP(($B406+PARAM!$B$56)/12,Loyalty,2)*$F$1*MAX(BF405,0)</f>
        <v>18.557001321003963</v>
      </c>
      <c r="BE406" s="75">
        <f>PARAM!$C$26+MAX($G$16-CHOOSE(PARAM!$B$44,MAX(0,BF405*$F$1),0),0)*RATES!$L382/12+$H$16*(PARAM!$D$51/12)*RATES!$N382/100</f>
        <v>55.958333333333343</v>
      </c>
      <c r="BF406" s="16">
        <f t="shared" si="254"/>
        <v>-1270.8878568883956</v>
      </c>
      <c r="BG406" s="15">
        <f t="shared" si="229"/>
        <v>22.170849845882874</v>
      </c>
      <c r="BH406" s="75">
        <f>BG406*(1-PARAM!$C$27)*$I$17+(MOD($B406,60)=PARAM!$B$56)*($B406&gt;(60-PARAM!$B$56))*HLOOKUP(($B406+PARAM!$B$56)/12,Loyalty,2)*$F$1*MAX(BJ405,0)</f>
        <v>18.557001321003963</v>
      </c>
      <c r="BI406" s="75">
        <f>PARAM!$C$26+MAX($G$17-CHOOSE(PARAM!$B$44,MAX(0,BJ405*$F$1),0),0)*RATES!$L382/12+$H$17*(PARAM!$D$51/12)*RATES!$N382/100</f>
        <v>55.958333333333343</v>
      </c>
      <c r="BJ406" s="16">
        <f t="shared" si="255"/>
        <v>-1270.8878568883956</v>
      </c>
      <c r="BK406" s="15">
        <f t="shared" si="230"/>
        <v>22.170849845882874</v>
      </c>
      <c r="BL406" s="75">
        <f>BK406*(1-PARAM!$C$27)*$I$18+(MOD($B406,60)=PARAM!$B$56)*($B406&gt;(60-PARAM!$B$56))*HLOOKUP(($B406+PARAM!$B$56)/12,Loyalty,2)*$F$1*MAX(BN405,0)</f>
        <v>18.557001321003963</v>
      </c>
      <c r="BM406" s="75">
        <f>PARAM!$C$26+MAX($G$18-CHOOSE(PARAM!$B$44,MAX(0,BN405*$F$1),0),0)*RATES!$L382/12+$H$18*(PARAM!$D$51/12)*RATES!$N382/100</f>
        <v>55.958333333333343</v>
      </c>
      <c r="BN406" s="16">
        <f t="shared" si="256"/>
        <v>-1270.8878568883956</v>
      </c>
      <c r="BO406" s="15">
        <f t="shared" si="231"/>
        <v>22.170849845882874</v>
      </c>
      <c r="BP406" s="75">
        <f>BO406*(1-PARAM!$C$27)*$I$19+(MOD($B406,60)=PARAM!$B$56)*($B406&gt;(60-PARAM!$B$56))*HLOOKUP(($B406+PARAM!$B$56)/12,Loyalty,2)*$F$1*MAX(BR405,0)</f>
        <v>18.557001321003963</v>
      </c>
      <c r="BQ406" s="75">
        <f>PARAM!$C$26+MAX($G$19-CHOOSE(PARAM!$B$44,MAX(0,BR405*$F$1),0),0)*RATES!$L382/12+$H$19*(PARAM!$D$51/12)*RATES!$N382/100</f>
        <v>55.958333333333343</v>
      </c>
      <c r="BR406" s="16">
        <f t="shared" si="257"/>
        <v>-1270.8878568883956</v>
      </c>
      <c r="BS406" s="15">
        <f t="shared" si="232"/>
        <v>22.170849845882874</v>
      </c>
      <c r="BT406" s="75">
        <f>BS406*(1-PARAM!$C$27)*$I$20+(MOD($B406,60)=PARAM!$B$56)*($B406&gt;(60-PARAM!$B$56))*HLOOKUP(($B406+PARAM!$B$56)/12,Loyalty,2)*$F$1*MAX(BV405,0)</f>
        <v>18.557001321003963</v>
      </c>
      <c r="BU406" s="75">
        <f>PARAM!$C$26+MAX($G$20-CHOOSE(PARAM!$B$44,MAX(0,BV405*$F$1),0),0)*RATES!$L382/12+$H$20*(PARAM!$D$51/12)*RATES!$N382/100</f>
        <v>55.958333333333343</v>
      </c>
      <c r="BV406" s="16">
        <f t="shared" si="258"/>
        <v>-1270.8878568883956</v>
      </c>
      <c r="BW406" s="15">
        <f t="shared" si="233"/>
        <v>22.170849845882874</v>
      </c>
      <c r="BX406" s="75">
        <f>BW406*(1-PARAM!$C$27)*$I$21+(MOD($B406,60)=PARAM!$B$56)*($B406&gt;(60-PARAM!$B$56))*HLOOKUP(($B406+PARAM!$B$56)/12,Loyalty,2)*$F$1*MAX(BZ405,0)</f>
        <v>18.557001321003963</v>
      </c>
      <c r="BY406" s="75">
        <f>PARAM!$C$26+MAX($G$21-CHOOSE(PARAM!$B$44,MAX(0,BZ405*$F$1),0),0)*RATES!$L382/12+$H$21*(PARAM!$D$51/12)*RATES!$N382/100</f>
        <v>55.958333333333343</v>
      </c>
      <c r="BZ406" s="16">
        <f t="shared" si="259"/>
        <v>-1270.8878568883956</v>
      </c>
      <c r="CA406" s="15">
        <f t="shared" si="234"/>
        <v>22.170849845882874</v>
      </c>
      <c r="CB406" s="75">
        <f>CA406*(1-PARAM!$C$27)*$I$22+(MOD($B406,60)=PARAM!$B$56)*($B406&gt;(60-PARAM!$B$56))*HLOOKUP(($B406+PARAM!$B$56)/12,Loyalty,2)*$F$1*MAX(CD405,0)</f>
        <v>18.557001321003963</v>
      </c>
      <c r="CC406" s="75">
        <f>PARAM!$C$26+MAX($G$22-CHOOSE(PARAM!$B$44,MAX(0,CD405*$F$1),0),0)*RATES!$L382/12+$H$22*(PARAM!$D$51/12)*RATES!$N382/100</f>
        <v>55.958333333333343</v>
      </c>
      <c r="CD406" s="16">
        <f t="shared" si="260"/>
        <v>-1270.8878568883956</v>
      </c>
      <c r="CE406" s="33">
        <f>IF(0=MOD(B406,12/PARAM!$D$51),1,0)</f>
        <v>1</v>
      </c>
      <c r="CF406" s="15">
        <f t="shared" si="235"/>
        <v>0</v>
      </c>
      <c r="CG406" s="75">
        <f>CF406*(1-PARAM!$C$27)*$R$3+(MOD($B406/12,5)=0)*($B406&gt;60)*HLOOKUP($B406/12,Loyalty,2)*$F$1*MAX(CI405,0)</f>
        <v>0</v>
      </c>
      <c r="CH406" s="75">
        <f>PARAM!$C$26+MAX($P$3-CHOOSE(PARAM!$B$44,MAX(0,CI405*$F$1),0),0)*RATES!$L382/12+$Q$3*(PARAM!$D$51/12)*RATES!$N382/100</f>
        <v>55.958333333333343</v>
      </c>
      <c r="CI406" s="16">
        <f>IF(CI405&gt;0,CI405*PARAM!$C$53,CI405)+CG406-CH406</f>
        <v>-8184.4166666666479</v>
      </c>
      <c r="CJ406" s="15">
        <f t="shared" si="261"/>
        <v>0</v>
      </c>
      <c r="CK406" s="75">
        <f>CJ406*(1-PARAM!$C$27)*$R$4+(MOD($B406/12,5)=0)*($B406&gt;60)*HLOOKUP($B406/12,Loyalty,2)*$F$1*MAX(CM405,0)</f>
        <v>0</v>
      </c>
      <c r="CL406" s="75">
        <f>PARAM!$C$26+MAX($P$4-CHOOSE(PARAM!$B$44,MAX(0,CM405*$F$1),0),0)*RATES!$L382/12+$Q$4*(PARAM!$D$51/12)*RATES!$N382/100</f>
        <v>55.958333333333343</v>
      </c>
      <c r="CM406" s="16">
        <f>IF(CM405&gt;0,CM405*PARAM!$C$53,CM405)+CK406-CL406</f>
        <v>-8184.4166666666479</v>
      </c>
      <c r="CO406" s="176"/>
    </row>
    <row r="407" spans="1:93" x14ac:dyDescent="0.2">
      <c r="A407" t="b">
        <f t="shared" si="236"/>
        <v>0</v>
      </c>
      <c r="B407" s="33">
        <v>380</v>
      </c>
      <c r="C407" s="15">
        <f t="shared" si="237"/>
        <v>20.081305947392778</v>
      </c>
      <c r="D407" s="75">
        <f>C407*(1-PARAM!$C$27)*$I$3+(MOD($B407,60)=PARAM!$B$56)*($B407&gt;(60-PARAM!$B$56))*HLOOKUP(($B407+PARAM!$B$56)/12,Loyalty,2)*$F$1*MAX(F406,0)</f>
        <v>16.808053077967756</v>
      </c>
      <c r="E407" s="75">
        <f>PARAM!$C$26+MAX($G$3-CHOOSE(PARAM!$B$44,MAX(0,F406*$F$1),0),0)*RATES!$L383/12+$H$3*(PARAM!$D$51/12)*RATES!$N383/100</f>
        <v>55.958333333333343</v>
      </c>
      <c r="F407" s="16">
        <f t="shared" si="238"/>
        <v>-2009.7400217759848</v>
      </c>
      <c r="G407" s="15">
        <f t="shared" si="239"/>
        <v>22.035289406060361</v>
      </c>
      <c r="H407" s="75">
        <f>G407*(1-PARAM!$C$27)*$I$4+(MOD($B407,60)=PARAM!$B$56)*($B407&gt;(60-PARAM!$B$56))*HLOOKUP(($B407+PARAM!$B$56)/12,Loyalty,2)*$F$1*MAX(J406,0)</f>
        <v>18.443537232872522</v>
      </c>
      <c r="I407" s="75">
        <f>PARAM!$C$26+MAX($G$4-CHOOSE(PARAM!$B$44,MAX(0,J406*$F$1),0),0)*RATES!$L383/12+$H$4*(PARAM!$D$51/12)*RATES!$N383/100</f>
        <v>55.958333333333343</v>
      </c>
      <c r="J407" s="16">
        <f t="shared" si="240"/>
        <v>-1354.4230787904673</v>
      </c>
      <c r="K407" s="15">
        <f t="shared" si="241"/>
        <v>22.170849845882874</v>
      </c>
      <c r="L407" s="75">
        <f>K407*(1-PARAM!$C$27)*$I$5+(MOD($B407,60)=PARAM!$B$56)*($B407&gt;(60-PARAM!$B$56))*HLOOKUP(($B407+PARAM!$B$56)/12,Loyalty,2)*$F$1*MAX(N406,0)</f>
        <v>18.557001321003963</v>
      </c>
      <c r="M407" s="75">
        <f>PARAM!$C$26+MAX($G$5-CHOOSE(PARAM!$B$44,MAX(0,N406*$F$1),0),0)*RATES!$L383/12+$H$5*(PARAM!$D$51/12)*RATES!$N383/100</f>
        <v>55.958333333333343</v>
      </c>
      <c r="N407" s="16">
        <f t="shared" si="242"/>
        <v>-1308.2891889007249</v>
      </c>
      <c r="O407" s="15">
        <f t="shared" si="243"/>
        <v>22.170849845882874</v>
      </c>
      <c r="P407" s="75">
        <f>O407*(1-PARAM!$C$27)*$I$6+(MOD($B407,60)=PARAM!$B$56)*($B407&gt;(60-PARAM!$B$56))*HLOOKUP(($B407+PARAM!$B$56)/12,Loyalty,2)*$F$1*MAX(R406,0)</f>
        <v>18.557001321003963</v>
      </c>
      <c r="Q407" s="75">
        <f>PARAM!$C$26+MAX($G$6-CHOOSE(PARAM!$B$44,MAX(0,R406*$F$1),0),0)*RATES!$L383/12+$H$6*(PARAM!$D$51/12)*RATES!$N383/100</f>
        <v>55.958333333333343</v>
      </c>
      <c r="R407" s="16">
        <f t="shared" si="244"/>
        <v>-1308.2891889007249</v>
      </c>
      <c r="S407" s="15">
        <f t="shared" si="219"/>
        <v>22.170849845882874</v>
      </c>
      <c r="T407" s="75">
        <f>S407*(1-PARAM!$C$27)*$I$7+(MOD($B407,60)=PARAM!$B$56)*($B407&gt;(60-PARAM!$B$56))*HLOOKUP(($B407+PARAM!$B$56)/12,Loyalty,2)*$F$1*MAX(V406,0)</f>
        <v>18.557001321003963</v>
      </c>
      <c r="U407" s="75">
        <f>PARAM!$C$26+MAX($G$7-CHOOSE(PARAM!$B$44,MAX(0,V406*$F$1),0),0)*RATES!$L383/12+$H$7*(PARAM!$D$51/12)*RATES!$N383/100</f>
        <v>55.958333333333343</v>
      </c>
      <c r="V407" s="16">
        <f t="shared" si="245"/>
        <v>-1308.2891889007249</v>
      </c>
      <c r="W407" s="15">
        <f t="shared" si="220"/>
        <v>22.170849845882874</v>
      </c>
      <c r="X407" s="75">
        <f>W407*(1-PARAM!$C$27)*$I$8+(MOD($B407,60)=PARAM!$B$56)*($B407&gt;(60-PARAM!$B$56))*HLOOKUP(($B407+PARAM!$B$56)/12,Loyalty,2)*$F$1*MAX(Z406,0)</f>
        <v>18.557001321003963</v>
      </c>
      <c r="Y407" s="75">
        <f>PARAM!$C$26+MAX($G$8-CHOOSE(PARAM!$B$44,MAX(0,Z406*$F$1),0),0)*RATES!$L383/12+$H$8*(PARAM!$D$51/12)*RATES!$N383/100</f>
        <v>55.958333333333343</v>
      </c>
      <c r="Z407" s="16">
        <f t="shared" si="246"/>
        <v>-1308.2891889007249</v>
      </c>
      <c r="AA407" s="15">
        <f t="shared" si="221"/>
        <v>22.170849845882874</v>
      </c>
      <c r="AB407" s="75">
        <f>AA407*(1-PARAM!$C$27)*$I$9+(MOD($B407,60)=PARAM!$B$56)*($B407&gt;(60-PARAM!$B$56))*HLOOKUP(($B407+PARAM!$B$56)/12,Loyalty,2)*$F$1*MAX(AD406,0)</f>
        <v>18.557001321003963</v>
      </c>
      <c r="AC407" s="75">
        <f>PARAM!$C$26+MAX($G$9-CHOOSE(PARAM!$B$44,MAX(0,AD406*$F$1),0),0)*RATES!$L383/12+$H$9*(PARAM!$D$51/12)*RATES!$N383/100</f>
        <v>55.958333333333343</v>
      </c>
      <c r="AD407" s="16">
        <f t="shared" si="247"/>
        <v>-1308.2891889007249</v>
      </c>
      <c r="AE407" s="15">
        <f t="shared" si="222"/>
        <v>22.170849845882874</v>
      </c>
      <c r="AF407" s="75">
        <f>AE407*(1-PARAM!$C$27)*$I$10+(MOD($B407,60)=PARAM!$B$56)*($B407&gt;(60-PARAM!$B$56))*HLOOKUP(($B407+PARAM!$B$56)/12,Loyalty,2)*$F$1*MAX(AH406,0)</f>
        <v>18.557001321003963</v>
      </c>
      <c r="AG407" s="75">
        <f>PARAM!$C$26+MAX($G$10-CHOOSE(PARAM!$B$44,MAX(0,AH406*$F$1),0),0)*RATES!$L383/12+$H$10*(PARAM!$D$51/12)*RATES!$N383/100</f>
        <v>55.958333333333343</v>
      </c>
      <c r="AH407" s="16">
        <f t="shared" si="248"/>
        <v>-1308.2891889007249</v>
      </c>
      <c r="AI407" s="15">
        <f t="shared" si="223"/>
        <v>22.170849845882874</v>
      </c>
      <c r="AJ407" s="75">
        <f>AI407*(1-PARAM!$C$27)*$I$11+(MOD($B407,60)=PARAM!$B$56)*($B407&gt;(60-PARAM!$B$56))*HLOOKUP(($B407+PARAM!$B$56)/12,Loyalty,2)*$F$1*MAX(AL406,0)</f>
        <v>18.557001321003963</v>
      </c>
      <c r="AK407" s="75">
        <f>PARAM!$C$26+MAX($G$11-CHOOSE(PARAM!$B$44,MAX(0,AL406*$F$1),0),0)*RATES!$L383/12+$H$11*(PARAM!$D$51/12)*RATES!$N383/100</f>
        <v>55.958333333333343</v>
      </c>
      <c r="AL407" s="16">
        <f t="shared" si="249"/>
        <v>-1308.2891889007249</v>
      </c>
      <c r="AM407" s="15">
        <f t="shared" si="224"/>
        <v>22.170849845882874</v>
      </c>
      <c r="AN407" s="75">
        <f>AM407*(1-PARAM!$C$27)*$I$12+(MOD($B407,60)=PARAM!$B$56)*($B407&gt;(60-PARAM!$B$56))*HLOOKUP(($B407+PARAM!$B$56)/12,Loyalty,2)*$F$1*MAX(AP406,0)</f>
        <v>18.557001321003963</v>
      </c>
      <c r="AO407" s="75">
        <f>PARAM!$C$26+MAX($G$12-CHOOSE(PARAM!$B$44,MAX(0,AP406*$F$1),0),0)*RATES!$L383/12+$H$12*(PARAM!$D$51/12)*RATES!$N383/100</f>
        <v>55.958333333333343</v>
      </c>
      <c r="AP407" s="16">
        <f t="shared" si="250"/>
        <v>-1308.2891889007249</v>
      </c>
      <c r="AQ407" s="15">
        <f t="shared" si="225"/>
        <v>22.170849845882874</v>
      </c>
      <c r="AR407" s="75">
        <f>AQ407*(1-PARAM!$C$27)*$I$13+(MOD($B407,60)=PARAM!$B$56)*($B407&gt;(60-PARAM!$B$56))*HLOOKUP(($B407+PARAM!$B$56)/12,Loyalty,2)*$F$1*MAX(AT406,0)</f>
        <v>18.557001321003963</v>
      </c>
      <c r="AS407" s="75">
        <f>PARAM!$C$26+MAX($G$13-CHOOSE(PARAM!$B$44,MAX(0,AT406*$F$1),0),0)*RATES!$L383/12+$H$13*(PARAM!$D$51/12)*RATES!$N383/100</f>
        <v>55.958333333333343</v>
      </c>
      <c r="AT407" s="16">
        <f t="shared" si="251"/>
        <v>-1308.2891889007249</v>
      </c>
      <c r="AU407" s="15">
        <f t="shared" si="226"/>
        <v>22.170849845882874</v>
      </c>
      <c r="AV407" s="75">
        <f>AU407*(1-PARAM!$C$27)*$I$14+(MOD($B407,60)=PARAM!$B$56)*($B407&gt;(60-PARAM!$B$56))*HLOOKUP(($B407+PARAM!$B$56)/12,Loyalty,2)*$F$1*MAX(AX406,0)</f>
        <v>18.557001321003963</v>
      </c>
      <c r="AW407" s="75">
        <f>PARAM!$C$26+MAX($G$14-CHOOSE(PARAM!$B$44,MAX(0,AX406*$F$1),0),0)*RATES!$L383/12+$H$14*(PARAM!$D$51/12)*RATES!$N383/100</f>
        <v>55.958333333333343</v>
      </c>
      <c r="AX407" s="16">
        <f t="shared" si="252"/>
        <v>-1308.2891889007249</v>
      </c>
      <c r="AY407" s="15">
        <f t="shared" si="227"/>
        <v>22.170849845882874</v>
      </c>
      <c r="AZ407" s="75">
        <f>AY407*(1-PARAM!$C$27)*$I$15+(MOD($B407,60)=PARAM!$B$56)*($B407&gt;(60-PARAM!$B$56))*HLOOKUP(($B407+PARAM!$B$56)/12,Loyalty,2)*$F$1*MAX(BB406,0)</f>
        <v>18.557001321003963</v>
      </c>
      <c r="BA407" s="75">
        <f>PARAM!$C$26+MAX($G$15-CHOOSE(PARAM!$B$44,MAX(0,BB406*$F$1),0),0)*RATES!$L383/12+$H$15*(PARAM!$D$51/12)*RATES!$N383/100</f>
        <v>55.958333333333343</v>
      </c>
      <c r="BB407" s="16">
        <f t="shared" si="253"/>
        <v>-1308.2891889007249</v>
      </c>
      <c r="BC407" s="15">
        <f t="shared" si="228"/>
        <v>22.170849845882874</v>
      </c>
      <c r="BD407" s="75">
        <f>BC407*(1-PARAM!$C$27)*$I$16+(MOD($B407,60)=PARAM!$B$56)*($B407&gt;(60-PARAM!$B$56))*HLOOKUP(($B407+PARAM!$B$56)/12,Loyalty,2)*$F$1*MAX(BF406,0)</f>
        <v>18.557001321003963</v>
      </c>
      <c r="BE407" s="75">
        <f>PARAM!$C$26+MAX($G$16-CHOOSE(PARAM!$B$44,MAX(0,BF406*$F$1),0),0)*RATES!$L383/12+$H$16*(PARAM!$D$51/12)*RATES!$N383/100</f>
        <v>55.958333333333343</v>
      </c>
      <c r="BF407" s="16">
        <f t="shared" si="254"/>
        <v>-1308.2891889007249</v>
      </c>
      <c r="BG407" s="15">
        <f t="shared" si="229"/>
        <v>22.170849845882874</v>
      </c>
      <c r="BH407" s="75">
        <f>BG407*(1-PARAM!$C$27)*$I$17+(MOD($B407,60)=PARAM!$B$56)*($B407&gt;(60-PARAM!$B$56))*HLOOKUP(($B407+PARAM!$B$56)/12,Loyalty,2)*$F$1*MAX(BJ406,0)</f>
        <v>18.557001321003963</v>
      </c>
      <c r="BI407" s="75">
        <f>PARAM!$C$26+MAX($G$17-CHOOSE(PARAM!$B$44,MAX(0,BJ406*$F$1),0),0)*RATES!$L383/12+$H$17*(PARAM!$D$51/12)*RATES!$N383/100</f>
        <v>55.958333333333343</v>
      </c>
      <c r="BJ407" s="16">
        <f t="shared" si="255"/>
        <v>-1308.2891889007249</v>
      </c>
      <c r="BK407" s="15">
        <f t="shared" si="230"/>
        <v>22.170849845882874</v>
      </c>
      <c r="BL407" s="75">
        <f>BK407*(1-PARAM!$C$27)*$I$18+(MOD($B407,60)=PARAM!$B$56)*($B407&gt;(60-PARAM!$B$56))*HLOOKUP(($B407+PARAM!$B$56)/12,Loyalty,2)*$F$1*MAX(BN406,0)</f>
        <v>18.557001321003963</v>
      </c>
      <c r="BM407" s="75">
        <f>PARAM!$C$26+MAX($G$18-CHOOSE(PARAM!$B$44,MAX(0,BN406*$F$1),0),0)*RATES!$L383/12+$H$18*(PARAM!$D$51/12)*RATES!$N383/100</f>
        <v>55.958333333333343</v>
      </c>
      <c r="BN407" s="16">
        <f t="shared" si="256"/>
        <v>-1308.2891889007249</v>
      </c>
      <c r="BO407" s="15">
        <f t="shared" si="231"/>
        <v>22.170849845882874</v>
      </c>
      <c r="BP407" s="75">
        <f>BO407*(1-PARAM!$C$27)*$I$19+(MOD($B407,60)=PARAM!$B$56)*($B407&gt;(60-PARAM!$B$56))*HLOOKUP(($B407+PARAM!$B$56)/12,Loyalty,2)*$F$1*MAX(BR406,0)</f>
        <v>18.557001321003963</v>
      </c>
      <c r="BQ407" s="75">
        <f>PARAM!$C$26+MAX($G$19-CHOOSE(PARAM!$B$44,MAX(0,BR406*$F$1),0),0)*RATES!$L383/12+$H$19*(PARAM!$D$51/12)*RATES!$N383/100</f>
        <v>55.958333333333343</v>
      </c>
      <c r="BR407" s="16">
        <f t="shared" si="257"/>
        <v>-1308.2891889007249</v>
      </c>
      <c r="BS407" s="15">
        <f t="shared" si="232"/>
        <v>22.170849845882874</v>
      </c>
      <c r="BT407" s="75">
        <f>BS407*(1-PARAM!$C$27)*$I$20+(MOD($B407,60)=PARAM!$B$56)*($B407&gt;(60-PARAM!$B$56))*HLOOKUP(($B407+PARAM!$B$56)/12,Loyalty,2)*$F$1*MAX(BV406,0)</f>
        <v>18.557001321003963</v>
      </c>
      <c r="BU407" s="75">
        <f>PARAM!$C$26+MAX($G$20-CHOOSE(PARAM!$B$44,MAX(0,BV406*$F$1),0),0)*RATES!$L383/12+$H$20*(PARAM!$D$51/12)*RATES!$N383/100</f>
        <v>55.958333333333343</v>
      </c>
      <c r="BV407" s="16">
        <f t="shared" si="258"/>
        <v>-1308.2891889007249</v>
      </c>
      <c r="BW407" s="15">
        <f t="shared" si="233"/>
        <v>22.170849845882874</v>
      </c>
      <c r="BX407" s="75">
        <f>BW407*(1-PARAM!$C$27)*$I$21+(MOD($B407,60)=PARAM!$B$56)*($B407&gt;(60-PARAM!$B$56))*HLOOKUP(($B407+PARAM!$B$56)/12,Loyalty,2)*$F$1*MAX(BZ406,0)</f>
        <v>18.557001321003963</v>
      </c>
      <c r="BY407" s="75">
        <f>PARAM!$C$26+MAX($G$21-CHOOSE(PARAM!$B$44,MAX(0,BZ406*$F$1),0),0)*RATES!$L383/12+$H$21*(PARAM!$D$51/12)*RATES!$N383/100</f>
        <v>55.958333333333343</v>
      </c>
      <c r="BZ407" s="16">
        <f t="shared" si="259"/>
        <v>-1308.2891889007249</v>
      </c>
      <c r="CA407" s="15">
        <f t="shared" si="234"/>
        <v>22.170849845882874</v>
      </c>
      <c r="CB407" s="75">
        <f>CA407*(1-PARAM!$C$27)*$I$22+(MOD($B407,60)=PARAM!$B$56)*($B407&gt;(60-PARAM!$B$56))*HLOOKUP(($B407+PARAM!$B$56)/12,Loyalty,2)*$F$1*MAX(CD406,0)</f>
        <v>18.557001321003963</v>
      </c>
      <c r="CC407" s="75">
        <f>PARAM!$C$26+MAX($G$22-CHOOSE(PARAM!$B$44,MAX(0,CD406*$F$1),0),0)*RATES!$L383/12+$H$22*(PARAM!$D$51/12)*RATES!$N383/100</f>
        <v>55.958333333333343</v>
      </c>
      <c r="CD407" s="16">
        <f t="shared" si="260"/>
        <v>-1308.2891889007249</v>
      </c>
      <c r="CE407" s="33">
        <f>IF(0=MOD(B407,12/PARAM!$D$51),1,0)</f>
        <v>1</v>
      </c>
      <c r="CF407" s="15">
        <f t="shared" si="235"/>
        <v>0</v>
      </c>
      <c r="CG407" s="75">
        <f>CF407*(1-PARAM!$C$27)*$R$3+(MOD($B407/12,5)=0)*($B407&gt;60)*HLOOKUP($B407/12,Loyalty,2)*$F$1*MAX(CI406,0)</f>
        <v>0</v>
      </c>
      <c r="CH407" s="75">
        <f>PARAM!$C$26+MAX($P$3-CHOOSE(PARAM!$B$44,MAX(0,CI406*$F$1),0),0)*RATES!$L383/12+$Q$3*(PARAM!$D$51/12)*RATES!$N383/100</f>
        <v>55.958333333333343</v>
      </c>
      <c r="CI407" s="16">
        <f>IF(CI406&gt;0,CI406*PARAM!$C$53,CI406)+CG407-CH407</f>
        <v>-8240.3749999999818</v>
      </c>
      <c r="CJ407" s="15">
        <f t="shared" si="261"/>
        <v>0</v>
      </c>
      <c r="CK407" s="75">
        <f>CJ407*(1-PARAM!$C$27)*$R$4+(MOD($B407/12,5)=0)*($B407&gt;60)*HLOOKUP($B407/12,Loyalty,2)*$F$1*MAX(CM406,0)</f>
        <v>0</v>
      </c>
      <c r="CL407" s="75">
        <f>PARAM!$C$26+MAX($P$4-CHOOSE(PARAM!$B$44,MAX(0,CM406*$F$1),0),0)*RATES!$L383/12+$Q$4*(PARAM!$D$51/12)*RATES!$N383/100</f>
        <v>55.958333333333343</v>
      </c>
      <c r="CM407" s="16">
        <f>IF(CM406&gt;0,CM406*PARAM!$C$53,CM406)+CK407-CL407</f>
        <v>-8240.3749999999818</v>
      </c>
      <c r="CO407" s="176"/>
    </row>
    <row r="408" spans="1:93" x14ac:dyDescent="0.2">
      <c r="A408" t="b">
        <f t="shared" si="236"/>
        <v>0</v>
      </c>
      <c r="B408" s="33">
        <v>381</v>
      </c>
      <c r="C408" s="15">
        <f t="shared" si="237"/>
        <v>20.081305947392778</v>
      </c>
      <c r="D408" s="75">
        <f>C408*(1-PARAM!$C$27)*$I$3+(MOD($B408,60)=PARAM!$B$56)*($B408&gt;(60-PARAM!$B$56))*HLOOKUP(($B408+PARAM!$B$56)/12,Loyalty,2)*$F$1*MAX(F407,0)</f>
        <v>16.808053077967756</v>
      </c>
      <c r="E408" s="75">
        <f>PARAM!$C$26+MAX($G$3-CHOOSE(PARAM!$B$44,MAX(0,F407*$F$1),0),0)*RATES!$L384/12+$H$3*(PARAM!$D$51/12)*RATES!$N384/100</f>
        <v>55.958333333333343</v>
      </c>
      <c r="F408" s="16">
        <f t="shared" si="238"/>
        <v>-2048.8903020313505</v>
      </c>
      <c r="G408" s="15">
        <f t="shared" si="239"/>
        <v>22.035289406060361</v>
      </c>
      <c r="H408" s="75">
        <f>G408*(1-PARAM!$C$27)*$I$4+(MOD($B408,60)=PARAM!$B$56)*($B408&gt;(60-PARAM!$B$56))*HLOOKUP(($B408+PARAM!$B$56)/12,Loyalty,2)*$F$1*MAX(J407,0)</f>
        <v>18.443537232872522</v>
      </c>
      <c r="I408" s="75">
        <f>PARAM!$C$26+MAX($G$4-CHOOSE(PARAM!$B$44,MAX(0,J407*$F$1),0),0)*RATES!$L384/12+$H$4*(PARAM!$D$51/12)*RATES!$N384/100</f>
        <v>55.958333333333343</v>
      </c>
      <c r="J408" s="16">
        <f t="shared" si="240"/>
        <v>-1391.937874890928</v>
      </c>
      <c r="K408" s="15">
        <f t="shared" si="241"/>
        <v>22.170849845882874</v>
      </c>
      <c r="L408" s="75">
        <f>K408*(1-PARAM!$C$27)*$I$5+(MOD($B408,60)=PARAM!$B$56)*($B408&gt;(60-PARAM!$B$56))*HLOOKUP(($B408+PARAM!$B$56)/12,Loyalty,2)*$F$1*MAX(N407,0)</f>
        <v>18.557001321003963</v>
      </c>
      <c r="M408" s="75">
        <f>PARAM!$C$26+MAX($G$5-CHOOSE(PARAM!$B$44,MAX(0,N407*$F$1),0),0)*RATES!$L384/12+$H$5*(PARAM!$D$51/12)*RATES!$N384/100</f>
        <v>55.958333333333343</v>
      </c>
      <c r="N408" s="16">
        <f t="shared" si="242"/>
        <v>-1345.6905209130541</v>
      </c>
      <c r="O408" s="15">
        <f t="shared" si="243"/>
        <v>22.170849845882874</v>
      </c>
      <c r="P408" s="75">
        <f>O408*(1-PARAM!$C$27)*$I$6+(MOD($B408,60)=PARAM!$B$56)*($B408&gt;(60-PARAM!$B$56))*HLOOKUP(($B408+PARAM!$B$56)/12,Loyalty,2)*$F$1*MAX(R407,0)</f>
        <v>18.557001321003963</v>
      </c>
      <c r="Q408" s="75">
        <f>PARAM!$C$26+MAX($G$6-CHOOSE(PARAM!$B$44,MAX(0,R407*$F$1),0),0)*RATES!$L384/12+$H$6*(PARAM!$D$51/12)*RATES!$N384/100</f>
        <v>55.958333333333343</v>
      </c>
      <c r="R408" s="16">
        <f t="shared" si="244"/>
        <v>-1345.6905209130541</v>
      </c>
      <c r="S408" s="15">
        <f t="shared" si="219"/>
        <v>22.170849845882874</v>
      </c>
      <c r="T408" s="75">
        <f>S408*(1-PARAM!$C$27)*$I$7+(MOD($B408,60)=PARAM!$B$56)*($B408&gt;(60-PARAM!$B$56))*HLOOKUP(($B408+PARAM!$B$56)/12,Loyalty,2)*$F$1*MAX(V407,0)</f>
        <v>18.557001321003963</v>
      </c>
      <c r="U408" s="75">
        <f>PARAM!$C$26+MAX($G$7-CHOOSE(PARAM!$B$44,MAX(0,V407*$F$1),0),0)*RATES!$L384/12+$H$7*(PARAM!$D$51/12)*RATES!$N384/100</f>
        <v>55.958333333333343</v>
      </c>
      <c r="V408" s="16">
        <f t="shared" si="245"/>
        <v>-1345.6905209130541</v>
      </c>
      <c r="W408" s="15">
        <f t="shared" si="220"/>
        <v>22.170849845882874</v>
      </c>
      <c r="X408" s="75">
        <f>W408*(1-PARAM!$C$27)*$I$8+(MOD($B408,60)=PARAM!$B$56)*($B408&gt;(60-PARAM!$B$56))*HLOOKUP(($B408+PARAM!$B$56)/12,Loyalty,2)*$F$1*MAX(Z407,0)</f>
        <v>18.557001321003963</v>
      </c>
      <c r="Y408" s="75">
        <f>PARAM!$C$26+MAX($G$8-CHOOSE(PARAM!$B$44,MAX(0,Z407*$F$1),0),0)*RATES!$L384/12+$H$8*(PARAM!$D$51/12)*RATES!$N384/100</f>
        <v>55.958333333333343</v>
      </c>
      <c r="Z408" s="16">
        <f t="shared" si="246"/>
        <v>-1345.6905209130541</v>
      </c>
      <c r="AA408" s="15">
        <f t="shared" si="221"/>
        <v>22.170849845882874</v>
      </c>
      <c r="AB408" s="75">
        <f>AA408*(1-PARAM!$C$27)*$I$9+(MOD($B408,60)=PARAM!$B$56)*($B408&gt;(60-PARAM!$B$56))*HLOOKUP(($B408+PARAM!$B$56)/12,Loyalty,2)*$F$1*MAX(AD407,0)</f>
        <v>18.557001321003963</v>
      </c>
      <c r="AC408" s="75">
        <f>PARAM!$C$26+MAX($G$9-CHOOSE(PARAM!$B$44,MAX(0,AD407*$F$1),0),0)*RATES!$L384/12+$H$9*(PARAM!$D$51/12)*RATES!$N384/100</f>
        <v>55.958333333333343</v>
      </c>
      <c r="AD408" s="16">
        <f t="shared" si="247"/>
        <v>-1345.6905209130541</v>
      </c>
      <c r="AE408" s="15">
        <f t="shared" si="222"/>
        <v>22.170849845882874</v>
      </c>
      <c r="AF408" s="75">
        <f>AE408*(1-PARAM!$C$27)*$I$10+(MOD($B408,60)=PARAM!$B$56)*($B408&gt;(60-PARAM!$B$56))*HLOOKUP(($B408+PARAM!$B$56)/12,Loyalty,2)*$F$1*MAX(AH407,0)</f>
        <v>18.557001321003963</v>
      </c>
      <c r="AG408" s="75">
        <f>PARAM!$C$26+MAX($G$10-CHOOSE(PARAM!$B$44,MAX(0,AH407*$F$1),0),0)*RATES!$L384/12+$H$10*(PARAM!$D$51/12)*RATES!$N384/100</f>
        <v>55.958333333333343</v>
      </c>
      <c r="AH408" s="16">
        <f t="shared" si="248"/>
        <v>-1345.6905209130541</v>
      </c>
      <c r="AI408" s="15">
        <f t="shared" si="223"/>
        <v>22.170849845882874</v>
      </c>
      <c r="AJ408" s="75">
        <f>AI408*(1-PARAM!$C$27)*$I$11+(MOD($B408,60)=PARAM!$B$56)*($B408&gt;(60-PARAM!$B$56))*HLOOKUP(($B408+PARAM!$B$56)/12,Loyalty,2)*$F$1*MAX(AL407,0)</f>
        <v>18.557001321003963</v>
      </c>
      <c r="AK408" s="75">
        <f>PARAM!$C$26+MAX($G$11-CHOOSE(PARAM!$B$44,MAX(0,AL407*$F$1),0),0)*RATES!$L384/12+$H$11*(PARAM!$D$51/12)*RATES!$N384/100</f>
        <v>55.958333333333343</v>
      </c>
      <c r="AL408" s="16">
        <f t="shared" si="249"/>
        <v>-1345.6905209130541</v>
      </c>
      <c r="AM408" s="15">
        <f t="shared" si="224"/>
        <v>22.170849845882874</v>
      </c>
      <c r="AN408" s="75">
        <f>AM408*(1-PARAM!$C$27)*$I$12+(MOD($B408,60)=PARAM!$B$56)*($B408&gt;(60-PARAM!$B$56))*HLOOKUP(($B408+PARAM!$B$56)/12,Loyalty,2)*$F$1*MAX(AP407,0)</f>
        <v>18.557001321003963</v>
      </c>
      <c r="AO408" s="75">
        <f>PARAM!$C$26+MAX($G$12-CHOOSE(PARAM!$B$44,MAX(0,AP407*$F$1),0),0)*RATES!$L384/12+$H$12*(PARAM!$D$51/12)*RATES!$N384/100</f>
        <v>55.958333333333343</v>
      </c>
      <c r="AP408" s="16">
        <f t="shared" si="250"/>
        <v>-1345.6905209130541</v>
      </c>
      <c r="AQ408" s="15">
        <f t="shared" si="225"/>
        <v>22.170849845882874</v>
      </c>
      <c r="AR408" s="75">
        <f>AQ408*(1-PARAM!$C$27)*$I$13+(MOD($B408,60)=PARAM!$B$56)*($B408&gt;(60-PARAM!$B$56))*HLOOKUP(($B408+PARAM!$B$56)/12,Loyalty,2)*$F$1*MAX(AT407,0)</f>
        <v>18.557001321003963</v>
      </c>
      <c r="AS408" s="75">
        <f>PARAM!$C$26+MAX($G$13-CHOOSE(PARAM!$B$44,MAX(0,AT407*$F$1),0),0)*RATES!$L384/12+$H$13*(PARAM!$D$51/12)*RATES!$N384/100</f>
        <v>55.958333333333343</v>
      </c>
      <c r="AT408" s="16">
        <f t="shared" si="251"/>
        <v>-1345.6905209130541</v>
      </c>
      <c r="AU408" s="15">
        <f t="shared" si="226"/>
        <v>22.170849845882874</v>
      </c>
      <c r="AV408" s="75">
        <f>AU408*(1-PARAM!$C$27)*$I$14+(MOD($B408,60)=PARAM!$B$56)*($B408&gt;(60-PARAM!$B$56))*HLOOKUP(($B408+PARAM!$B$56)/12,Loyalty,2)*$F$1*MAX(AX407,0)</f>
        <v>18.557001321003963</v>
      </c>
      <c r="AW408" s="75">
        <f>PARAM!$C$26+MAX($G$14-CHOOSE(PARAM!$B$44,MAX(0,AX407*$F$1),0),0)*RATES!$L384/12+$H$14*(PARAM!$D$51/12)*RATES!$N384/100</f>
        <v>55.958333333333343</v>
      </c>
      <c r="AX408" s="16">
        <f t="shared" si="252"/>
        <v>-1345.6905209130541</v>
      </c>
      <c r="AY408" s="15">
        <f t="shared" si="227"/>
        <v>22.170849845882874</v>
      </c>
      <c r="AZ408" s="75">
        <f>AY408*(1-PARAM!$C$27)*$I$15+(MOD($B408,60)=PARAM!$B$56)*($B408&gt;(60-PARAM!$B$56))*HLOOKUP(($B408+PARAM!$B$56)/12,Loyalty,2)*$F$1*MAX(BB407,0)</f>
        <v>18.557001321003963</v>
      </c>
      <c r="BA408" s="75">
        <f>PARAM!$C$26+MAX($G$15-CHOOSE(PARAM!$B$44,MAX(0,BB407*$F$1),0),0)*RATES!$L384/12+$H$15*(PARAM!$D$51/12)*RATES!$N384/100</f>
        <v>55.958333333333343</v>
      </c>
      <c r="BB408" s="16">
        <f t="shared" si="253"/>
        <v>-1345.6905209130541</v>
      </c>
      <c r="BC408" s="15">
        <f t="shared" si="228"/>
        <v>22.170849845882874</v>
      </c>
      <c r="BD408" s="75">
        <f>BC408*(1-PARAM!$C$27)*$I$16+(MOD($B408,60)=PARAM!$B$56)*($B408&gt;(60-PARAM!$B$56))*HLOOKUP(($B408+PARAM!$B$56)/12,Loyalty,2)*$F$1*MAX(BF407,0)</f>
        <v>18.557001321003963</v>
      </c>
      <c r="BE408" s="75">
        <f>PARAM!$C$26+MAX($G$16-CHOOSE(PARAM!$B$44,MAX(0,BF407*$F$1),0),0)*RATES!$L384/12+$H$16*(PARAM!$D$51/12)*RATES!$N384/100</f>
        <v>55.958333333333343</v>
      </c>
      <c r="BF408" s="16">
        <f t="shared" si="254"/>
        <v>-1345.6905209130541</v>
      </c>
      <c r="BG408" s="15">
        <f t="shared" si="229"/>
        <v>22.170849845882874</v>
      </c>
      <c r="BH408" s="75">
        <f>BG408*(1-PARAM!$C$27)*$I$17+(MOD($B408,60)=PARAM!$B$56)*($B408&gt;(60-PARAM!$B$56))*HLOOKUP(($B408+PARAM!$B$56)/12,Loyalty,2)*$F$1*MAX(BJ407,0)</f>
        <v>18.557001321003963</v>
      </c>
      <c r="BI408" s="75">
        <f>PARAM!$C$26+MAX($G$17-CHOOSE(PARAM!$B$44,MAX(0,BJ407*$F$1),0),0)*RATES!$L384/12+$H$17*(PARAM!$D$51/12)*RATES!$N384/100</f>
        <v>55.958333333333343</v>
      </c>
      <c r="BJ408" s="16">
        <f t="shared" si="255"/>
        <v>-1345.6905209130541</v>
      </c>
      <c r="BK408" s="15">
        <f t="shared" si="230"/>
        <v>22.170849845882874</v>
      </c>
      <c r="BL408" s="75">
        <f>BK408*(1-PARAM!$C$27)*$I$18+(MOD($B408,60)=PARAM!$B$56)*($B408&gt;(60-PARAM!$B$56))*HLOOKUP(($B408+PARAM!$B$56)/12,Loyalty,2)*$F$1*MAX(BN407,0)</f>
        <v>18.557001321003963</v>
      </c>
      <c r="BM408" s="75">
        <f>PARAM!$C$26+MAX($G$18-CHOOSE(PARAM!$B$44,MAX(0,BN407*$F$1),0),0)*RATES!$L384/12+$H$18*(PARAM!$D$51/12)*RATES!$N384/100</f>
        <v>55.958333333333343</v>
      </c>
      <c r="BN408" s="16">
        <f t="shared" si="256"/>
        <v>-1345.6905209130541</v>
      </c>
      <c r="BO408" s="15">
        <f t="shared" si="231"/>
        <v>22.170849845882874</v>
      </c>
      <c r="BP408" s="75">
        <f>BO408*(1-PARAM!$C$27)*$I$19+(MOD($B408,60)=PARAM!$B$56)*($B408&gt;(60-PARAM!$B$56))*HLOOKUP(($B408+PARAM!$B$56)/12,Loyalty,2)*$F$1*MAX(BR407,0)</f>
        <v>18.557001321003963</v>
      </c>
      <c r="BQ408" s="75">
        <f>PARAM!$C$26+MAX($G$19-CHOOSE(PARAM!$B$44,MAX(0,BR407*$F$1),0),0)*RATES!$L384/12+$H$19*(PARAM!$D$51/12)*RATES!$N384/100</f>
        <v>55.958333333333343</v>
      </c>
      <c r="BR408" s="16">
        <f t="shared" si="257"/>
        <v>-1345.6905209130541</v>
      </c>
      <c r="BS408" s="15">
        <f t="shared" si="232"/>
        <v>22.170849845882874</v>
      </c>
      <c r="BT408" s="75">
        <f>BS408*(1-PARAM!$C$27)*$I$20+(MOD($B408,60)=PARAM!$B$56)*($B408&gt;(60-PARAM!$B$56))*HLOOKUP(($B408+PARAM!$B$56)/12,Loyalty,2)*$F$1*MAX(BV407,0)</f>
        <v>18.557001321003963</v>
      </c>
      <c r="BU408" s="75">
        <f>PARAM!$C$26+MAX($G$20-CHOOSE(PARAM!$B$44,MAX(0,BV407*$F$1),0),0)*RATES!$L384/12+$H$20*(PARAM!$D$51/12)*RATES!$N384/100</f>
        <v>55.958333333333343</v>
      </c>
      <c r="BV408" s="16">
        <f t="shared" si="258"/>
        <v>-1345.6905209130541</v>
      </c>
      <c r="BW408" s="15">
        <f t="shared" si="233"/>
        <v>22.170849845882874</v>
      </c>
      <c r="BX408" s="75">
        <f>BW408*(1-PARAM!$C$27)*$I$21+(MOD($B408,60)=PARAM!$B$56)*($B408&gt;(60-PARAM!$B$56))*HLOOKUP(($B408+PARAM!$B$56)/12,Loyalty,2)*$F$1*MAX(BZ407,0)</f>
        <v>18.557001321003963</v>
      </c>
      <c r="BY408" s="75">
        <f>PARAM!$C$26+MAX($G$21-CHOOSE(PARAM!$B$44,MAX(0,BZ407*$F$1),0),0)*RATES!$L384/12+$H$21*(PARAM!$D$51/12)*RATES!$N384/100</f>
        <v>55.958333333333343</v>
      </c>
      <c r="BZ408" s="16">
        <f t="shared" si="259"/>
        <v>-1345.6905209130541</v>
      </c>
      <c r="CA408" s="15">
        <f t="shared" si="234"/>
        <v>22.170849845882874</v>
      </c>
      <c r="CB408" s="75">
        <f>CA408*(1-PARAM!$C$27)*$I$22+(MOD($B408,60)=PARAM!$B$56)*($B408&gt;(60-PARAM!$B$56))*HLOOKUP(($B408+PARAM!$B$56)/12,Loyalty,2)*$F$1*MAX(CD407,0)</f>
        <v>18.557001321003963</v>
      </c>
      <c r="CC408" s="75">
        <f>PARAM!$C$26+MAX($G$22-CHOOSE(PARAM!$B$44,MAX(0,CD407*$F$1),0),0)*RATES!$L384/12+$H$22*(PARAM!$D$51/12)*RATES!$N384/100</f>
        <v>55.958333333333343</v>
      </c>
      <c r="CD408" s="16">
        <f t="shared" si="260"/>
        <v>-1345.6905209130541</v>
      </c>
      <c r="CE408" s="33">
        <f>IF(0=MOD(B408,12/PARAM!$D$51),1,0)</f>
        <v>1</v>
      </c>
      <c r="CF408" s="15">
        <f t="shared" si="235"/>
        <v>0</v>
      </c>
      <c r="CG408" s="75">
        <f>CF408*(1-PARAM!$C$27)*$R$3+(MOD($B408/12,5)=0)*($B408&gt;60)*HLOOKUP($B408/12,Loyalty,2)*$F$1*MAX(CI407,0)</f>
        <v>0</v>
      </c>
      <c r="CH408" s="75">
        <f>PARAM!$C$26+MAX($P$3-CHOOSE(PARAM!$B$44,MAX(0,CI407*$F$1),0),0)*RATES!$L384/12+$Q$3*(PARAM!$D$51/12)*RATES!$N384/100</f>
        <v>55.958333333333343</v>
      </c>
      <c r="CI408" s="16">
        <f>IF(CI407&gt;0,CI407*PARAM!$C$53,CI407)+CG408-CH408</f>
        <v>-8296.3333333333157</v>
      </c>
      <c r="CJ408" s="15">
        <f t="shared" si="261"/>
        <v>0</v>
      </c>
      <c r="CK408" s="75">
        <f>CJ408*(1-PARAM!$C$27)*$R$4+(MOD($B408/12,5)=0)*($B408&gt;60)*HLOOKUP($B408/12,Loyalty,2)*$F$1*MAX(CM407,0)</f>
        <v>0</v>
      </c>
      <c r="CL408" s="75">
        <f>PARAM!$C$26+MAX($P$4-CHOOSE(PARAM!$B$44,MAX(0,CM407*$F$1),0),0)*RATES!$L384/12+$Q$4*(PARAM!$D$51/12)*RATES!$N384/100</f>
        <v>55.958333333333343</v>
      </c>
      <c r="CM408" s="16">
        <f>IF(CM407&gt;0,CM407*PARAM!$C$53,CM407)+CK408-CL408</f>
        <v>-8296.3333333333157</v>
      </c>
      <c r="CO408" s="176"/>
    </row>
    <row r="409" spans="1:93" x14ac:dyDescent="0.2">
      <c r="A409" t="b">
        <f t="shared" si="236"/>
        <v>0</v>
      </c>
      <c r="B409" s="33">
        <v>382</v>
      </c>
      <c r="C409" s="15">
        <f t="shared" si="237"/>
        <v>20.081305947392778</v>
      </c>
      <c r="D409" s="75">
        <f>C409*(1-PARAM!$C$27)*$I$3+(MOD($B409,60)=PARAM!$B$56)*($B409&gt;(60-PARAM!$B$56))*HLOOKUP(($B409+PARAM!$B$56)/12,Loyalty,2)*$F$1*MAX(F408,0)</f>
        <v>16.808053077967756</v>
      </c>
      <c r="E409" s="75">
        <f>PARAM!$C$26+MAX($G$3-CHOOSE(PARAM!$B$44,MAX(0,F408*$F$1),0),0)*RATES!$L385/12+$H$3*(PARAM!$D$51/12)*RATES!$N385/100</f>
        <v>55.958333333333343</v>
      </c>
      <c r="F409" s="16">
        <f t="shared" si="238"/>
        <v>-2088.040582286716</v>
      </c>
      <c r="G409" s="15">
        <f t="shared" si="239"/>
        <v>22.035289406060361</v>
      </c>
      <c r="H409" s="75">
        <f>G409*(1-PARAM!$C$27)*$I$4+(MOD($B409,60)=PARAM!$B$56)*($B409&gt;(60-PARAM!$B$56))*HLOOKUP(($B409+PARAM!$B$56)/12,Loyalty,2)*$F$1*MAX(J408,0)</f>
        <v>18.443537232872522</v>
      </c>
      <c r="I409" s="75">
        <f>PARAM!$C$26+MAX($G$4-CHOOSE(PARAM!$B$44,MAX(0,J408*$F$1),0),0)*RATES!$L385/12+$H$4*(PARAM!$D$51/12)*RATES!$N385/100</f>
        <v>55.958333333333343</v>
      </c>
      <c r="J409" s="16">
        <f t="shared" si="240"/>
        <v>-1429.4526709913887</v>
      </c>
      <c r="K409" s="15">
        <f t="shared" si="241"/>
        <v>22.170849845882874</v>
      </c>
      <c r="L409" s="75">
        <f>K409*(1-PARAM!$C$27)*$I$5+(MOD($B409,60)=PARAM!$B$56)*($B409&gt;(60-PARAM!$B$56))*HLOOKUP(($B409+PARAM!$B$56)/12,Loyalty,2)*$F$1*MAX(N408,0)</f>
        <v>18.557001321003963</v>
      </c>
      <c r="M409" s="75">
        <f>PARAM!$C$26+MAX($G$5-CHOOSE(PARAM!$B$44,MAX(0,N408*$F$1),0),0)*RATES!$L385/12+$H$5*(PARAM!$D$51/12)*RATES!$N385/100</f>
        <v>55.958333333333343</v>
      </c>
      <c r="N409" s="16">
        <f t="shared" si="242"/>
        <v>-1383.0918529253834</v>
      </c>
      <c r="O409" s="15">
        <f t="shared" si="243"/>
        <v>22.170849845882874</v>
      </c>
      <c r="P409" s="75">
        <f>O409*(1-PARAM!$C$27)*$I$6+(MOD($B409,60)=PARAM!$B$56)*($B409&gt;(60-PARAM!$B$56))*HLOOKUP(($B409+PARAM!$B$56)/12,Loyalty,2)*$F$1*MAX(R408,0)</f>
        <v>18.557001321003963</v>
      </c>
      <c r="Q409" s="75">
        <f>PARAM!$C$26+MAX($G$6-CHOOSE(PARAM!$B$44,MAX(0,R408*$F$1),0),0)*RATES!$L385/12+$H$6*(PARAM!$D$51/12)*RATES!$N385/100</f>
        <v>55.958333333333343</v>
      </c>
      <c r="R409" s="16">
        <f t="shared" si="244"/>
        <v>-1383.0918529253834</v>
      </c>
      <c r="S409" s="15">
        <f t="shared" si="219"/>
        <v>22.170849845882874</v>
      </c>
      <c r="T409" s="75">
        <f>S409*(1-PARAM!$C$27)*$I$7+(MOD($B409,60)=PARAM!$B$56)*($B409&gt;(60-PARAM!$B$56))*HLOOKUP(($B409+PARAM!$B$56)/12,Loyalty,2)*$F$1*MAX(V408,0)</f>
        <v>18.557001321003963</v>
      </c>
      <c r="U409" s="75">
        <f>PARAM!$C$26+MAX($G$7-CHOOSE(PARAM!$B$44,MAX(0,V408*$F$1),0),0)*RATES!$L385/12+$H$7*(PARAM!$D$51/12)*RATES!$N385/100</f>
        <v>55.958333333333343</v>
      </c>
      <c r="V409" s="16">
        <f t="shared" si="245"/>
        <v>-1383.0918529253834</v>
      </c>
      <c r="W409" s="15">
        <f t="shared" si="220"/>
        <v>22.170849845882874</v>
      </c>
      <c r="X409" s="75">
        <f>W409*(1-PARAM!$C$27)*$I$8+(MOD($B409,60)=PARAM!$B$56)*($B409&gt;(60-PARAM!$B$56))*HLOOKUP(($B409+PARAM!$B$56)/12,Loyalty,2)*$F$1*MAX(Z408,0)</f>
        <v>18.557001321003963</v>
      </c>
      <c r="Y409" s="75">
        <f>PARAM!$C$26+MAX($G$8-CHOOSE(PARAM!$B$44,MAX(0,Z408*$F$1),0),0)*RATES!$L385/12+$H$8*(PARAM!$D$51/12)*RATES!$N385/100</f>
        <v>55.958333333333343</v>
      </c>
      <c r="Z409" s="16">
        <f t="shared" si="246"/>
        <v>-1383.0918529253834</v>
      </c>
      <c r="AA409" s="15">
        <f t="shared" si="221"/>
        <v>22.170849845882874</v>
      </c>
      <c r="AB409" s="75">
        <f>AA409*(1-PARAM!$C$27)*$I$9+(MOD($B409,60)=PARAM!$B$56)*($B409&gt;(60-PARAM!$B$56))*HLOOKUP(($B409+PARAM!$B$56)/12,Loyalty,2)*$F$1*MAX(AD408,0)</f>
        <v>18.557001321003963</v>
      </c>
      <c r="AC409" s="75">
        <f>PARAM!$C$26+MAX($G$9-CHOOSE(PARAM!$B$44,MAX(0,AD408*$F$1),0),0)*RATES!$L385/12+$H$9*(PARAM!$D$51/12)*RATES!$N385/100</f>
        <v>55.958333333333343</v>
      </c>
      <c r="AD409" s="16">
        <f t="shared" si="247"/>
        <v>-1383.0918529253834</v>
      </c>
      <c r="AE409" s="15">
        <f t="shared" si="222"/>
        <v>22.170849845882874</v>
      </c>
      <c r="AF409" s="75">
        <f>AE409*(1-PARAM!$C$27)*$I$10+(MOD($B409,60)=PARAM!$B$56)*($B409&gt;(60-PARAM!$B$56))*HLOOKUP(($B409+PARAM!$B$56)/12,Loyalty,2)*$F$1*MAX(AH408,0)</f>
        <v>18.557001321003963</v>
      </c>
      <c r="AG409" s="75">
        <f>PARAM!$C$26+MAX($G$10-CHOOSE(PARAM!$B$44,MAX(0,AH408*$F$1),0),0)*RATES!$L385/12+$H$10*(PARAM!$D$51/12)*RATES!$N385/100</f>
        <v>55.958333333333343</v>
      </c>
      <c r="AH409" s="16">
        <f t="shared" si="248"/>
        <v>-1383.0918529253834</v>
      </c>
      <c r="AI409" s="15">
        <f t="shared" si="223"/>
        <v>22.170849845882874</v>
      </c>
      <c r="AJ409" s="75">
        <f>AI409*(1-PARAM!$C$27)*$I$11+(MOD($B409,60)=PARAM!$B$56)*($B409&gt;(60-PARAM!$B$56))*HLOOKUP(($B409+PARAM!$B$56)/12,Loyalty,2)*$F$1*MAX(AL408,0)</f>
        <v>18.557001321003963</v>
      </c>
      <c r="AK409" s="75">
        <f>PARAM!$C$26+MAX($G$11-CHOOSE(PARAM!$B$44,MAX(0,AL408*$F$1),0),0)*RATES!$L385/12+$H$11*(PARAM!$D$51/12)*RATES!$N385/100</f>
        <v>55.958333333333343</v>
      </c>
      <c r="AL409" s="16">
        <f t="shared" si="249"/>
        <v>-1383.0918529253834</v>
      </c>
      <c r="AM409" s="15">
        <f t="shared" si="224"/>
        <v>22.170849845882874</v>
      </c>
      <c r="AN409" s="75">
        <f>AM409*(1-PARAM!$C$27)*$I$12+(MOD($B409,60)=PARAM!$B$56)*($B409&gt;(60-PARAM!$B$56))*HLOOKUP(($B409+PARAM!$B$56)/12,Loyalty,2)*$F$1*MAX(AP408,0)</f>
        <v>18.557001321003963</v>
      </c>
      <c r="AO409" s="75">
        <f>PARAM!$C$26+MAX($G$12-CHOOSE(PARAM!$B$44,MAX(0,AP408*$F$1),0),0)*RATES!$L385/12+$H$12*(PARAM!$D$51/12)*RATES!$N385/100</f>
        <v>55.958333333333343</v>
      </c>
      <c r="AP409" s="16">
        <f t="shared" si="250"/>
        <v>-1383.0918529253834</v>
      </c>
      <c r="AQ409" s="15">
        <f t="shared" si="225"/>
        <v>22.170849845882874</v>
      </c>
      <c r="AR409" s="75">
        <f>AQ409*(1-PARAM!$C$27)*$I$13+(MOD($B409,60)=PARAM!$B$56)*($B409&gt;(60-PARAM!$B$56))*HLOOKUP(($B409+PARAM!$B$56)/12,Loyalty,2)*$F$1*MAX(AT408,0)</f>
        <v>18.557001321003963</v>
      </c>
      <c r="AS409" s="75">
        <f>PARAM!$C$26+MAX($G$13-CHOOSE(PARAM!$B$44,MAX(0,AT408*$F$1),0),0)*RATES!$L385/12+$H$13*(PARAM!$D$51/12)*RATES!$N385/100</f>
        <v>55.958333333333343</v>
      </c>
      <c r="AT409" s="16">
        <f t="shared" si="251"/>
        <v>-1383.0918529253834</v>
      </c>
      <c r="AU409" s="15">
        <f t="shared" si="226"/>
        <v>22.170849845882874</v>
      </c>
      <c r="AV409" s="75">
        <f>AU409*(1-PARAM!$C$27)*$I$14+(MOD($B409,60)=PARAM!$B$56)*($B409&gt;(60-PARAM!$B$56))*HLOOKUP(($B409+PARAM!$B$56)/12,Loyalty,2)*$F$1*MAX(AX408,0)</f>
        <v>18.557001321003963</v>
      </c>
      <c r="AW409" s="75">
        <f>PARAM!$C$26+MAX($G$14-CHOOSE(PARAM!$B$44,MAX(0,AX408*$F$1),0),0)*RATES!$L385/12+$H$14*(PARAM!$D$51/12)*RATES!$N385/100</f>
        <v>55.958333333333343</v>
      </c>
      <c r="AX409" s="16">
        <f t="shared" si="252"/>
        <v>-1383.0918529253834</v>
      </c>
      <c r="AY409" s="15">
        <f t="shared" si="227"/>
        <v>22.170849845882874</v>
      </c>
      <c r="AZ409" s="75">
        <f>AY409*(1-PARAM!$C$27)*$I$15+(MOD($B409,60)=PARAM!$B$56)*($B409&gt;(60-PARAM!$B$56))*HLOOKUP(($B409+PARAM!$B$56)/12,Loyalty,2)*$F$1*MAX(BB408,0)</f>
        <v>18.557001321003963</v>
      </c>
      <c r="BA409" s="75">
        <f>PARAM!$C$26+MAX($G$15-CHOOSE(PARAM!$B$44,MAX(0,BB408*$F$1),0),0)*RATES!$L385/12+$H$15*(PARAM!$D$51/12)*RATES!$N385/100</f>
        <v>55.958333333333343</v>
      </c>
      <c r="BB409" s="16">
        <f t="shared" si="253"/>
        <v>-1383.0918529253834</v>
      </c>
      <c r="BC409" s="15">
        <f t="shared" si="228"/>
        <v>22.170849845882874</v>
      </c>
      <c r="BD409" s="75">
        <f>BC409*(1-PARAM!$C$27)*$I$16+(MOD($B409,60)=PARAM!$B$56)*($B409&gt;(60-PARAM!$B$56))*HLOOKUP(($B409+PARAM!$B$56)/12,Loyalty,2)*$F$1*MAX(BF408,0)</f>
        <v>18.557001321003963</v>
      </c>
      <c r="BE409" s="75">
        <f>PARAM!$C$26+MAX($G$16-CHOOSE(PARAM!$B$44,MAX(0,BF408*$F$1),0),0)*RATES!$L385/12+$H$16*(PARAM!$D$51/12)*RATES!$N385/100</f>
        <v>55.958333333333343</v>
      </c>
      <c r="BF409" s="16">
        <f t="shared" si="254"/>
        <v>-1383.0918529253834</v>
      </c>
      <c r="BG409" s="15">
        <f t="shared" si="229"/>
        <v>22.170849845882874</v>
      </c>
      <c r="BH409" s="75">
        <f>BG409*(1-PARAM!$C$27)*$I$17+(MOD($B409,60)=PARAM!$B$56)*($B409&gt;(60-PARAM!$B$56))*HLOOKUP(($B409+PARAM!$B$56)/12,Loyalty,2)*$F$1*MAX(BJ408,0)</f>
        <v>18.557001321003963</v>
      </c>
      <c r="BI409" s="75">
        <f>PARAM!$C$26+MAX($G$17-CHOOSE(PARAM!$B$44,MAX(0,BJ408*$F$1),0),0)*RATES!$L385/12+$H$17*(PARAM!$D$51/12)*RATES!$N385/100</f>
        <v>55.958333333333343</v>
      </c>
      <c r="BJ409" s="16">
        <f t="shared" si="255"/>
        <v>-1383.0918529253834</v>
      </c>
      <c r="BK409" s="15">
        <f t="shared" si="230"/>
        <v>22.170849845882874</v>
      </c>
      <c r="BL409" s="75">
        <f>BK409*(1-PARAM!$C$27)*$I$18+(MOD($B409,60)=PARAM!$B$56)*($B409&gt;(60-PARAM!$B$56))*HLOOKUP(($B409+PARAM!$B$56)/12,Loyalty,2)*$F$1*MAX(BN408,0)</f>
        <v>18.557001321003963</v>
      </c>
      <c r="BM409" s="75">
        <f>PARAM!$C$26+MAX($G$18-CHOOSE(PARAM!$B$44,MAX(0,BN408*$F$1),0),0)*RATES!$L385/12+$H$18*(PARAM!$D$51/12)*RATES!$N385/100</f>
        <v>55.958333333333343</v>
      </c>
      <c r="BN409" s="16">
        <f t="shared" si="256"/>
        <v>-1383.0918529253834</v>
      </c>
      <c r="BO409" s="15">
        <f t="shared" si="231"/>
        <v>22.170849845882874</v>
      </c>
      <c r="BP409" s="75">
        <f>BO409*(1-PARAM!$C$27)*$I$19+(MOD($B409,60)=PARAM!$B$56)*($B409&gt;(60-PARAM!$B$56))*HLOOKUP(($B409+PARAM!$B$56)/12,Loyalty,2)*$F$1*MAX(BR408,0)</f>
        <v>18.557001321003963</v>
      </c>
      <c r="BQ409" s="75">
        <f>PARAM!$C$26+MAX($G$19-CHOOSE(PARAM!$B$44,MAX(0,BR408*$F$1),0),0)*RATES!$L385/12+$H$19*(PARAM!$D$51/12)*RATES!$N385/100</f>
        <v>55.958333333333343</v>
      </c>
      <c r="BR409" s="16">
        <f t="shared" si="257"/>
        <v>-1383.0918529253834</v>
      </c>
      <c r="BS409" s="15">
        <f t="shared" si="232"/>
        <v>22.170849845882874</v>
      </c>
      <c r="BT409" s="75">
        <f>BS409*(1-PARAM!$C$27)*$I$20+(MOD($B409,60)=PARAM!$B$56)*($B409&gt;(60-PARAM!$B$56))*HLOOKUP(($B409+PARAM!$B$56)/12,Loyalty,2)*$F$1*MAX(BV408,0)</f>
        <v>18.557001321003963</v>
      </c>
      <c r="BU409" s="75">
        <f>PARAM!$C$26+MAX($G$20-CHOOSE(PARAM!$B$44,MAX(0,BV408*$F$1),0),0)*RATES!$L385/12+$H$20*(PARAM!$D$51/12)*RATES!$N385/100</f>
        <v>55.958333333333343</v>
      </c>
      <c r="BV409" s="16">
        <f t="shared" si="258"/>
        <v>-1383.0918529253834</v>
      </c>
      <c r="BW409" s="15">
        <f t="shared" si="233"/>
        <v>22.170849845882874</v>
      </c>
      <c r="BX409" s="75">
        <f>BW409*(1-PARAM!$C$27)*$I$21+(MOD($B409,60)=PARAM!$B$56)*($B409&gt;(60-PARAM!$B$56))*HLOOKUP(($B409+PARAM!$B$56)/12,Loyalty,2)*$F$1*MAX(BZ408,0)</f>
        <v>18.557001321003963</v>
      </c>
      <c r="BY409" s="75">
        <f>PARAM!$C$26+MAX($G$21-CHOOSE(PARAM!$B$44,MAX(0,BZ408*$F$1),0),0)*RATES!$L385/12+$H$21*(PARAM!$D$51/12)*RATES!$N385/100</f>
        <v>55.958333333333343</v>
      </c>
      <c r="BZ409" s="16">
        <f t="shared" si="259"/>
        <v>-1383.0918529253834</v>
      </c>
      <c r="CA409" s="15">
        <f t="shared" si="234"/>
        <v>22.170849845882874</v>
      </c>
      <c r="CB409" s="75">
        <f>CA409*(1-PARAM!$C$27)*$I$22+(MOD($B409,60)=PARAM!$B$56)*($B409&gt;(60-PARAM!$B$56))*HLOOKUP(($B409+PARAM!$B$56)/12,Loyalty,2)*$F$1*MAX(CD408,0)</f>
        <v>18.557001321003963</v>
      </c>
      <c r="CC409" s="75">
        <f>PARAM!$C$26+MAX($G$22-CHOOSE(PARAM!$B$44,MAX(0,CD408*$F$1),0),0)*RATES!$L385/12+$H$22*(PARAM!$D$51/12)*RATES!$N385/100</f>
        <v>55.958333333333343</v>
      </c>
      <c r="CD409" s="16">
        <f t="shared" si="260"/>
        <v>-1383.0918529253834</v>
      </c>
      <c r="CE409" s="33">
        <f>IF(0=MOD(B409,12/PARAM!$D$51),1,0)</f>
        <v>1</v>
      </c>
      <c r="CF409" s="15">
        <f t="shared" si="235"/>
        <v>0</v>
      </c>
      <c r="CG409" s="75">
        <f>CF409*(1-PARAM!$C$27)*$R$3+(MOD($B409/12,5)=0)*($B409&gt;60)*HLOOKUP($B409/12,Loyalty,2)*$F$1*MAX(CI408,0)</f>
        <v>0</v>
      </c>
      <c r="CH409" s="75">
        <f>PARAM!$C$26+MAX($P$3-CHOOSE(PARAM!$B$44,MAX(0,CI408*$F$1),0),0)*RATES!$L385/12+$Q$3*(PARAM!$D$51/12)*RATES!$N385/100</f>
        <v>55.958333333333343</v>
      </c>
      <c r="CI409" s="16">
        <f>IF(CI408&gt;0,CI408*PARAM!$C$53,CI408)+CG409-CH409</f>
        <v>-8352.2916666666497</v>
      </c>
      <c r="CJ409" s="15">
        <f t="shared" si="261"/>
        <v>0</v>
      </c>
      <c r="CK409" s="75">
        <f>CJ409*(1-PARAM!$C$27)*$R$4+(MOD($B409/12,5)=0)*($B409&gt;60)*HLOOKUP($B409/12,Loyalty,2)*$F$1*MAX(CM408,0)</f>
        <v>0</v>
      </c>
      <c r="CL409" s="75">
        <f>PARAM!$C$26+MAX($P$4-CHOOSE(PARAM!$B$44,MAX(0,CM408*$F$1),0),0)*RATES!$L385/12+$Q$4*(PARAM!$D$51/12)*RATES!$N385/100</f>
        <v>55.958333333333343</v>
      </c>
      <c r="CM409" s="16">
        <f>IF(CM408&gt;0,CM408*PARAM!$C$53,CM408)+CK409-CL409</f>
        <v>-8352.2916666666497</v>
      </c>
      <c r="CO409" s="176"/>
    </row>
    <row r="410" spans="1:93" x14ac:dyDescent="0.2">
      <c r="A410" t="b">
        <f t="shared" si="236"/>
        <v>0</v>
      </c>
      <c r="B410" s="33">
        <v>383</v>
      </c>
      <c r="C410" s="15">
        <f t="shared" si="237"/>
        <v>20.081305947392778</v>
      </c>
      <c r="D410" s="75">
        <f>C410*(1-PARAM!$C$27)*$I$3+(MOD($B410,60)=PARAM!$B$56)*($B410&gt;(60-PARAM!$B$56))*HLOOKUP(($B410+PARAM!$B$56)/12,Loyalty,2)*$F$1*MAX(F409,0)</f>
        <v>16.808053077967756</v>
      </c>
      <c r="E410" s="75">
        <f>PARAM!$C$26+MAX($G$3-CHOOSE(PARAM!$B$44,MAX(0,F409*$F$1),0),0)*RATES!$L386/12+$H$3*(PARAM!$D$51/12)*RATES!$N386/100</f>
        <v>55.958333333333343</v>
      </c>
      <c r="F410" s="16">
        <f t="shared" si="238"/>
        <v>-2127.190862542082</v>
      </c>
      <c r="G410" s="15">
        <f t="shared" si="239"/>
        <v>22.035289406060361</v>
      </c>
      <c r="H410" s="75">
        <f>G410*(1-PARAM!$C$27)*$I$4+(MOD($B410,60)=PARAM!$B$56)*($B410&gt;(60-PARAM!$B$56))*HLOOKUP(($B410+PARAM!$B$56)/12,Loyalty,2)*$F$1*MAX(J409,0)</f>
        <v>18.443537232872522</v>
      </c>
      <c r="I410" s="75">
        <f>PARAM!$C$26+MAX($G$4-CHOOSE(PARAM!$B$44,MAX(0,J409*$F$1),0),0)*RATES!$L386/12+$H$4*(PARAM!$D$51/12)*RATES!$N386/100</f>
        <v>55.958333333333343</v>
      </c>
      <c r="J410" s="16">
        <f t="shared" si="240"/>
        <v>-1466.9674670918494</v>
      </c>
      <c r="K410" s="15">
        <f t="shared" si="241"/>
        <v>22.170849845882874</v>
      </c>
      <c r="L410" s="75">
        <f>K410*(1-PARAM!$C$27)*$I$5+(MOD($B410,60)=PARAM!$B$56)*($B410&gt;(60-PARAM!$B$56))*HLOOKUP(($B410+PARAM!$B$56)/12,Loyalty,2)*$F$1*MAX(N409,0)</f>
        <v>18.557001321003963</v>
      </c>
      <c r="M410" s="75">
        <f>PARAM!$C$26+MAX($G$5-CHOOSE(PARAM!$B$44,MAX(0,N409*$F$1),0),0)*RATES!$L386/12+$H$5*(PARAM!$D$51/12)*RATES!$N386/100</f>
        <v>55.958333333333343</v>
      </c>
      <c r="N410" s="16">
        <f t="shared" si="242"/>
        <v>-1420.4931849377126</v>
      </c>
      <c r="O410" s="15">
        <f t="shared" si="243"/>
        <v>22.170849845882874</v>
      </c>
      <c r="P410" s="75">
        <f>O410*(1-PARAM!$C$27)*$I$6+(MOD($B410,60)=PARAM!$B$56)*($B410&gt;(60-PARAM!$B$56))*HLOOKUP(($B410+PARAM!$B$56)/12,Loyalty,2)*$F$1*MAX(R409,0)</f>
        <v>18.557001321003963</v>
      </c>
      <c r="Q410" s="75">
        <f>PARAM!$C$26+MAX($G$6-CHOOSE(PARAM!$B$44,MAX(0,R409*$F$1),0),0)*RATES!$L386/12+$H$6*(PARAM!$D$51/12)*RATES!$N386/100</f>
        <v>55.958333333333343</v>
      </c>
      <c r="R410" s="16">
        <f t="shared" si="244"/>
        <v>-1420.4931849377126</v>
      </c>
      <c r="S410" s="15">
        <f t="shared" si="219"/>
        <v>22.170849845882874</v>
      </c>
      <c r="T410" s="75">
        <f>S410*(1-PARAM!$C$27)*$I$7+(MOD($B410,60)=PARAM!$B$56)*($B410&gt;(60-PARAM!$B$56))*HLOOKUP(($B410+PARAM!$B$56)/12,Loyalty,2)*$F$1*MAX(V409,0)</f>
        <v>18.557001321003963</v>
      </c>
      <c r="U410" s="75">
        <f>PARAM!$C$26+MAX($G$7-CHOOSE(PARAM!$B$44,MAX(0,V409*$F$1),0),0)*RATES!$L386/12+$H$7*(PARAM!$D$51/12)*RATES!$N386/100</f>
        <v>55.958333333333343</v>
      </c>
      <c r="V410" s="16">
        <f t="shared" si="245"/>
        <v>-1420.4931849377126</v>
      </c>
      <c r="W410" s="15">
        <f t="shared" si="220"/>
        <v>22.170849845882874</v>
      </c>
      <c r="X410" s="75">
        <f>W410*(1-PARAM!$C$27)*$I$8+(MOD($B410,60)=PARAM!$B$56)*($B410&gt;(60-PARAM!$B$56))*HLOOKUP(($B410+PARAM!$B$56)/12,Loyalty,2)*$F$1*MAX(Z409,0)</f>
        <v>18.557001321003963</v>
      </c>
      <c r="Y410" s="75">
        <f>PARAM!$C$26+MAX($G$8-CHOOSE(PARAM!$B$44,MAX(0,Z409*$F$1),0),0)*RATES!$L386/12+$H$8*(PARAM!$D$51/12)*RATES!$N386/100</f>
        <v>55.958333333333343</v>
      </c>
      <c r="Z410" s="16">
        <f t="shared" si="246"/>
        <v>-1420.4931849377126</v>
      </c>
      <c r="AA410" s="15">
        <f t="shared" si="221"/>
        <v>22.170849845882874</v>
      </c>
      <c r="AB410" s="75">
        <f>AA410*(1-PARAM!$C$27)*$I$9+(MOD($B410,60)=PARAM!$B$56)*($B410&gt;(60-PARAM!$B$56))*HLOOKUP(($B410+PARAM!$B$56)/12,Loyalty,2)*$F$1*MAX(AD409,0)</f>
        <v>18.557001321003963</v>
      </c>
      <c r="AC410" s="75">
        <f>PARAM!$C$26+MAX($G$9-CHOOSE(PARAM!$B$44,MAX(0,AD409*$F$1),0),0)*RATES!$L386/12+$H$9*(PARAM!$D$51/12)*RATES!$N386/100</f>
        <v>55.958333333333343</v>
      </c>
      <c r="AD410" s="16">
        <f t="shared" si="247"/>
        <v>-1420.4931849377126</v>
      </c>
      <c r="AE410" s="15">
        <f t="shared" si="222"/>
        <v>22.170849845882874</v>
      </c>
      <c r="AF410" s="75">
        <f>AE410*(1-PARAM!$C$27)*$I$10+(MOD($B410,60)=PARAM!$B$56)*($B410&gt;(60-PARAM!$B$56))*HLOOKUP(($B410+PARAM!$B$56)/12,Loyalty,2)*$F$1*MAX(AH409,0)</f>
        <v>18.557001321003963</v>
      </c>
      <c r="AG410" s="75">
        <f>PARAM!$C$26+MAX($G$10-CHOOSE(PARAM!$B$44,MAX(0,AH409*$F$1),0),0)*RATES!$L386/12+$H$10*(PARAM!$D$51/12)*RATES!$N386/100</f>
        <v>55.958333333333343</v>
      </c>
      <c r="AH410" s="16">
        <f t="shared" si="248"/>
        <v>-1420.4931849377126</v>
      </c>
      <c r="AI410" s="15">
        <f t="shared" si="223"/>
        <v>22.170849845882874</v>
      </c>
      <c r="AJ410" s="75">
        <f>AI410*(1-PARAM!$C$27)*$I$11+(MOD($B410,60)=PARAM!$B$56)*($B410&gt;(60-PARAM!$B$56))*HLOOKUP(($B410+PARAM!$B$56)/12,Loyalty,2)*$F$1*MAX(AL409,0)</f>
        <v>18.557001321003963</v>
      </c>
      <c r="AK410" s="75">
        <f>PARAM!$C$26+MAX($G$11-CHOOSE(PARAM!$B$44,MAX(0,AL409*$F$1),0),0)*RATES!$L386/12+$H$11*(PARAM!$D$51/12)*RATES!$N386/100</f>
        <v>55.958333333333343</v>
      </c>
      <c r="AL410" s="16">
        <f t="shared" si="249"/>
        <v>-1420.4931849377126</v>
      </c>
      <c r="AM410" s="15">
        <f t="shared" si="224"/>
        <v>22.170849845882874</v>
      </c>
      <c r="AN410" s="75">
        <f>AM410*(1-PARAM!$C$27)*$I$12+(MOD($B410,60)=PARAM!$B$56)*($B410&gt;(60-PARAM!$B$56))*HLOOKUP(($B410+PARAM!$B$56)/12,Loyalty,2)*$F$1*MAX(AP409,0)</f>
        <v>18.557001321003963</v>
      </c>
      <c r="AO410" s="75">
        <f>PARAM!$C$26+MAX($G$12-CHOOSE(PARAM!$B$44,MAX(0,AP409*$F$1),0),0)*RATES!$L386/12+$H$12*(PARAM!$D$51/12)*RATES!$N386/100</f>
        <v>55.958333333333343</v>
      </c>
      <c r="AP410" s="16">
        <f t="shared" si="250"/>
        <v>-1420.4931849377126</v>
      </c>
      <c r="AQ410" s="15">
        <f t="shared" si="225"/>
        <v>22.170849845882874</v>
      </c>
      <c r="AR410" s="75">
        <f>AQ410*(1-PARAM!$C$27)*$I$13+(MOD($B410,60)=PARAM!$B$56)*($B410&gt;(60-PARAM!$B$56))*HLOOKUP(($B410+PARAM!$B$56)/12,Loyalty,2)*$F$1*MAX(AT409,0)</f>
        <v>18.557001321003963</v>
      </c>
      <c r="AS410" s="75">
        <f>PARAM!$C$26+MAX($G$13-CHOOSE(PARAM!$B$44,MAX(0,AT409*$F$1),0),0)*RATES!$L386/12+$H$13*(PARAM!$D$51/12)*RATES!$N386/100</f>
        <v>55.958333333333343</v>
      </c>
      <c r="AT410" s="16">
        <f t="shared" si="251"/>
        <v>-1420.4931849377126</v>
      </c>
      <c r="AU410" s="15">
        <f t="shared" si="226"/>
        <v>22.170849845882874</v>
      </c>
      <c r="AV410" s="75">
        <f>AU410*(1-PARAM!$C$27)*$I$14+(MOD($B410,60)=PARAM!$B$56)*($B410&gt;(60-PARAM!$B$56))*HLOOKUP(($B410+PARAM!$B$56)/12,Loyalty,2)*$F$1*MAX(AX409,0)</f>
        <v>18.557001321003963</v>
      </c>
      <c r="AW410" s="75">
        <f>PARAM!$C$26+MAX($G$14-CHOOSE(PARAM!$B$44,MAX(0,AX409*$F$1),0),0)*RATES!$L386/12+$H$14*(PARAM!$D$51/12)*RATES!$N386/100</f>
        <v>55.958333333333343</v>
      </c>
      <c r="AX410" s="16">
        <f t="shared" si="252"/>
        <v>-1420.4931849377126</v>
      </c>
      <c r="AY410" s="15">
        <f t="shared" si="227"/>
        <v>22.170849845882874</v>
      </c>
      <c r="AZ410" s="75">
        <f>AY410*(1-PARAM!$C$27)*$I$15+(MOD($B410,60)=PARAM!$B$56)*($B410&gt;(60-PARAM!$B$56))*HLOOKUP(($B410+PARAM!$B$56)/12,Loyalty,2)*$F$1*MAX(BB409,0)</f>
        <v>18.557001321003963</v>
      </c>
      <c r="BA410" s="75">
        <f>PARAM!$C$26+MAX($G$15-CHOOSE(PARAM!$B$44,MAX(0,BB409*$F$1),0),0)*RATES!$L386/12+$H$15*(PARAM!$D$51/12)*RATES!$N386/100</f>
        <v>55.958333333333343</v>
      </c>
      <c r="BB410" s="16">
        <f t="shared" si="253"/>
        <v>-1420.4931849377126</v>
      </c>
      <c r="BC410" s="15">
        <f t="shared" si="228"/>
        <v>22.170849845882874</v>
      </c>
      <c r="BD410" s="75">
        <f>BC410*(1-PARAM!$C$27)*$I$16+(MOD($B410,60)=PARAM!$B$56)*($B410&gt;(60-PARAM!$B$56))*HLOOKUP(($B410+PARAM!$B$56)/12,Loyalty,2)*$F$1*MAX(BF409,0)</f>
        <v>18.557001321003963</v>
      </c>
      <c r="BE410" s="75">
        <f>PARAM!$C$26+MAX($G$16-CHOOSE(PARAM!$B$44,MAX(0,BF409*$F$1),0),0)*RATES!$L386/12+$H$16*(PARAM!$D$51/12)*RATES!$N386/100</f>
        <v>55.958333333333343</v>
      </c>
      <c r="BF410" s="16">
        <f t="shared" si="254"/>
        <v>-1420.4931849377126</v>
      </c>
      <c r="BG410" s="15">
        <f t="shared" si="229"/>
        <v>22.170849845882874</v>
      </c>
      <c r="BH410" s="75">
        <f>BG410*(1-PARAM!$C$27)*$I$17+(MOD($B410,60)=PARAM!$B$56)*($B410&gt;(60-PARAM!$B$56))*HLOOKUP(($B410+PARAM!$B$56)/12,Loyalty,2)*$F$1*MAX(BJ409,0)</f>
        <v>18.557001321003963</v>
      </c>
      <c r="BI410" s="75">
        <f>PARAM!$C$26+MAX($G$17-CHOOSE(PARAM!$B$44,MAX(0,BJ409*$F$1),0),0)*RATES!$L386/12+$H$17*(PARAM!$D$51/12)*RATES!$N386/100</f>
        <v>55.958333333333343</v>
      </c>
      <c r="BJ410" s="16">
        <f t="shared" si="255"/>
        <v>-1420.4931849377126</v>
      </c>
      <c r="BK410" s="15">
        <f t="shared" si="230"/>
        <v>22.170849845882874</v>
      </c>
      <c r="BL410" s="75">
        <f>BK410*(1-PARAM!$C$27)*$I$18+(MOD($B410,60)=PARAM!$B$56)*($B410&gt;(60-PARAM!$B$56))*HLOOKUP(($B410+PARAM!$B$56)/12,Loyalty,2)*$F$1*MAX(BN409,0)</f>
        <v>18.557001321003963</v>
      </c>
      <c r="BM410" s="75">
        <f>PARAM!$C$26+MAX($G$18-CHOOSE(PARAM!$B$44,MAX(0,BN409*$F$1),0),0)*RATES!$L386/12+$H$18*(PARAM!$D$51/12)*RATES!$N386/100</f>
        <v>55.958333333333343</v>
      </c>
      <c r="BN410" s="16">
        <f t="shared" si="256"/>
        <v>-1420.4931849377126</v>
      </c>
      <c r="BO410" s="15">
        <f t="shared" si="231"/>
        <v>22.170849845882874</v>
      </c>
      <c r="BP410" s="75">
        <f>BO410*(1-PARAM!$C$27)*$I$19+(MOD($B410,60)=PARAM!$B$56)*($B410&gt;(60-PARAM!$B$56))*HLOOKUP(($B410+PARAM!$B$56)/12,Loyalty,2)*$F$1*MAX(BR409,0)</f>
        <v>18.557001321003963</v>
      </c>
      <c r="BQ410" s="75">
        <f>PARAM!$C$26+MAX($G$19-CHOOSE(PARAM!$B$44,MAX(0,BR409*$F$1),0),0)*RATES!$L386/12+$H$19*(PARAM!$D$51/12)*RATES!$N386/100</f>
        <v>55.958333333333343</v>
      </c>
      <c r="BR410" s="16">
        <f t="shared" si="257"/>
        <v>-1420.4931849377126</v>
      </c>
      <c r="BS410" s="15">
        <f t="shared" si="232"/>
        <v>22.170849845882874</v>
      </c>
      <c r="BT410" s="75">
        <f>BS410*(1-PARAM!$C$27)*$I$20+(MOD($B410,60)=PARAM!$B$56)*($B410&gt;(60-PARAM!$B$56))*HLOOKUP(($B410+PARAM!$B$56)/12,Loyalty,2)*$F$1*MAX(BV409,0)</f>
        <v>18.557001321003963</v>
      </c>
      <c r="BU410" s="75">
        <f>PARAM!$C$26+MAX($G$20-CHOOSE(PARAM!$B$44,MAX(0,BV409*$F$1),0),0)*RATES!$L386/12+$H$20*(PARAM!$D$51/12)*RATES!$N386/100</f>
        <v>55.958333333333343</v>
      </c>
      <c r="BV410" s="16">
        <f t="shared" si="258"/>
        <v>-1420.4931849377126</v>
      </c>
      <c r="BW410" s="15">
        <f t="shared" si="233"/>
        <v>22.170849845882874</v>
      </c>
      <c r="BX410" s="75">
        <f>BW410*(1-PARAM!$C$27)*$I$21+(MOD($B410,60)=PARAM!$B$56)*($B410&gt;(60-PARAM!$B$56))*HLOOKUP(($B410+PARAM!$B$56)/12,Loyalty,2)*$F$1*MAX(BZ409,0)</f>
        <v>18.557001321003963</v>
      </c>
      <c r="BY410" s="75">
        <f>PARAM!$C$26+MAX($G$21-CHOOSE(PARAM!$B$44,MAX(0,BZ409*$F$1),0),0)*RATES!$L386/12+$H$21*(PARAM!$D$51/12)*RATES!$N386/100</f>
        <v>55.958333333333343</v>
      </c>
      <c r="BZ410" s="16">
        <f t="shared" si="259"/>
        <v>-1420.4931849377126</v>
      </c>
      <c r="CA410" s="15">
        <f t="shared" si="234"/>
        <v>22.170849845882874</v>
      </c>
      <c r="CB410" s="75">
        <f>CA410*(1-PARAM!$C$27)*$I$22+(MOD($B410,60)=PARAM!$B$56)*($B410&gt;(60-PARAM!$B$56))*HLOOKUP(($B410+PARAM!$B$56)/12,Loyalty,2)*$F$1*MAX(CD409,0)</f>
        <v>18.557001321003963</v>
      </c>
      <c r="CC410" s="75">
        <f>PARAM!$C$26+MAX($G$22-CHOOSE(PARAM!$B$44,MAX(0,CD409*$F$1),0),0)*RATES!$L386/12+$H$22*(PARAM!$D$51/12)*RATES!$N386/100</f>
        <v>55.958333333333343</v>
      </c>
      <c r="CD410" s="16">
        <f t="shared" si="260"/>
        <v>-1420.4931849377126</v>
      </c>
      <c r="CE410" s="33">
        <f>IF(0=MOD(B410,12/PARAM!$D$51),1,0)</f>
        <v>1</v>
      </c>
      <c r="CF410" s="15">
        <f t="shared" si="235"/>
        <v>0</v>
      </c>
      <c r="CG410" s="75">
        <f>CF410*(1-PARAM!$C$27)*$R$3+(MOD($B410/12,5)=0)*($B410&gt;60)*HLOOKUP($B410/12,Loyalty,2)*$F$1*MAX(CI409,0)</f>
        <v>0</v>
      </c>
      <c r="CH410" s="75">
        <f>PARAM!$C$26+MAX($P$3-CHOOSE(PARAM!$B$44,MAX(0,CI409*$F$1),0),0)*RATES!$L386/12+$Q$3*(PARAM!$D$51/12)*RATES!$N386/100</f>
        <v>55.958333333333343</v>
      </c>
      <c r="CI410" s="16">
        <f>IF(CI409&gt;0,CI409*PARAM!$C$53,CI409)+CG410-CH410</f>
        <v>-8408.2499999999836</v>
      </c>
      <c r="CJ410" s="15">
        <f t="shared" si="261"/>
        <v>0</v>
      </c>
      <c r="CK410" s="75">
        <f>CJ410*(1-PARAM!$C$27)*$R$4+(MOD($B410/12,5)=0)*($B410&gt;60)*HLOOKUP($B410/12,Loyalty,2)*$F$1*MAX(CM409,0)</f>
        <v>0</v>
      </c>
      <c r="CL410" s="75">
        <f>PARAM!$C$26+MAX($P$4-CHOOSE(PARAM!$B$44,MAX(0,CM409*$F$1),0),0)*RATES!$L386/12+$Q$4*(PARAM!$D$51/12)*RATES!$N386/100</f>
        <v>55.958333333333343</v>
      </c>
      <c r="CM410" s="16">
        <f>IF(CM409&gt;0,CM409*PARAM!$C$53,CM409)+CK410-CL410</f>
        <v>-8408.2499999999836</v>
      </c>
      <c r="CO410" s="176"/>
    </row>
    <row r="411" spans="1:93" x14ac:dyDescent="0.2">
      <c r="A411" t="b">
        <f t="shared" si="236"/>
        <v>0</v>
      </c>
      <c r="B411" s="33">
        <v>384</v>
      </c>
      <c r="C411" s="15">
        <f t="shared" si="237"/>
        <v>20.081305947392778</v>
      </c>
      <c r="D411" s="75">
        <f>C411*(1-PARAM!$C$27)*$I$3+(MOD($B411,60)=PARAM!$B$56)*($B411&gt;(60-PARAM!$B$56))*HLOOKUP(($B411+PARAM!$B$56)/12,Loyalty,2)*$F$1*MAX(F410,0)</f>
        <v>16.808053077967756</v>
      </c>
      <c r="E411" s="75">
        <f>PARAM!$C$26+MAX($G$3-CHOOSE(PARAM!$B$44,MAX(0,F410*$F$1),0),0)*RATES!$L387/12+$H$3*(PARAM!$D$51/12)*RATES!$N387/100</f>
        <v>55.958333333333343</v>
      </c>
      <c r="F411" s="16">
        <f t="shared" si="238"/>
        <v>-2166.3411427974479</v>
      </c>
      <c r="G411" s="15">
        <f t="shared" si="239"/>
        <v>22.035289406060361</v>
      </c>
      <c r="H411" s="75">
        <f>G411*(1-PARAM!$C$27)*$I$4+(MOD($B411,60)=PARAM!$B$56)*($B411&gt;(60-PARAM!$B$56))*HLOOKUP(($B411+PARAM!$B$56)/12,Loyalty,2)*$F$1*MAX(J410,0)</f>
        <v>18.443537232872522</v>
      </c>
      <c r="I411" s="75">
        <f>PARAM!$C$26+MAX($G$4-CHOOSE(PARAM!$B$44,MAX(0,J410*$F$1),0),0)*RATES!$L387/12+$H$4*(PARAM!$D$51/12)*RATES!$N387/100</f>
        <v>55.958333333333343</v>
      </c>
      <c r="J411" s="16">
        <f t="shared" si="240"/>
        <v>-1504.48226319231</v>
      </c>
      <c r="K411" s="15">
        <f t="shared" si="241"/>
        <v>22.170849845882874</v>
      </c>
      <c r="L411" s="75">
        <f>K411*(1-PARAM!$C$27)*$I$5+(MOD($B411,60)=PARAM!$B$56)*($B411&gt;(60-PARAM!$B$56))*HLOOKUP(($B411+PARAM!$B$56)/12,Loyalty,2)*$F$1*MAX(N410,0)</f>
        <v>18.557001321003963</v>
      </c>
      <c r="M411" s="75">
        <f>PARAM!$C$26+MAX($G$5-CHOOSE(PARAM!$B$44,MAX(0,N410*$F$1),0),0)*RATES!$L387/12+$H$5*(PARAM!$D$51/12)*RATES!$N387/100</f>
        <v>55.958333333333343</v>
      </c>
      <c r="N411" s="16">
        <f t="shared" si="242"/>
        <v>-1457.8945169500419</v>
      </c>
      <c r="O411" s="15">
        <f t="shared" si="243"/>
        <v>22.170849845882874</v>
      </c>
      <c r="P411" s="75">
        <f>O411*(1-PARAM!$C$27)*$I$6+(MOD($B411,60)=PARAM!$B$56)*($B411&gt;(60-PARAM!$B$56))*HLOOKUP(($B411+PARAM!$B$56)/12,Loyalty,2)*$F$1*MAX(R410,0)</f>
        <v>18.557001321003963</v>
      </c>
      <c r="Q411" s="75">
        <f>PARAM!$C$26+MAX($G$6-CHOOSE(PARAM!$B$44,MAX(0,R410*$F$1),0),0)*RATES!$L387/12+$H$6*(PARAM!$D$51/12)*RATES!$N387/100</f>
        <v>55.958333333333343</v>
      </c>
      <c r="R411" s="16">
        <f t="shared" si="244"/>
        <v>-1457.8945169500419</v>
      </c>
      <c r="S411" s="15">
        <f t="shared" ref="S411:S474" si="262">$H$7*$CE411</f>
        <v>22.170849845882874</v>
      </c>
      <c r="T411" s="75">
        <f>S411*(1-PARAM!$C$27)*$I$7+(MOD($B411,60)=PARAM!$B$56)*($B411&gt;(60-PARAM!$B$56))*HLOOKUP(($B411+PARAM!$B$56)/12,Loyalty,2)*$F$1*MAX(V410,0)</f>
        <v>18.557001321003963</v>
      </c>
      <c r="U411" s="75">
        <f>PARAM!$C$26+MAX($G$7-CHOOSE(PARAM!$B$44,MAX(0,V410*$F$1),0),0)*RATES!$L387/12+$H$7*(PARAM!$D$51/12)*RATES!$N387/100</f>
        <v>55.958333333333343</v>
      </c>
      <c r="V411" s="16">
        <f t="shared" si="245"/>
        <v>-1457.8945169500419</v>
      </c>
      <c r="W411" s="15">
        <f t="shared" ref="W411:W474" si="263">$H$8*$CE411</f>
        <v>22.170849845882874</v>
      </c>
      <c r="X411" s="75">
        <f>W411*(1-PARAM!$C$27)*$I$8+(MOD($B411,60)=PARAM!$B$56)*($B411&gt;(60-PARAM!$B$56))*HLOOKUP(($B411+PARAM!$B$56)/12,Loyalty,2)*$F$1*MAX(Z410,0)</f>
        <v>18.557001321003963</v>
      </c>
      <c r="Y411" s="75">
        <f>PARAM!$C$26+MAX($G$8-CHOOSE(PARAM!$B$44,MAX(0,Z410*$F$1),0),0)*RATES!$L387/12+$H$8*(PARAM!$D$51/12)*RATES!$N387/100</f>
        <v>55.958333333333343</v>
      </c>
      <c r="Z411" s="16">
        <f t="shared" si="246"/>
        <v>-1457.8945169500419</v>
      </c>
      <c r="AA411" s="15">
        <f t="shared" ref="AA411:AA474" si="264">$H$9*$CE411</f>
        <v>22.170849845882874</v>
      </c>
      <c r="AB411" s="75">
        <f>AA411*(1-PARAM!$C$27)*$I$9+(MOD($B411,60)=PARAM!$B$56)*($B411&gt;(60-PARAM!$B$56))*HLOOKUP(($B411+PARAM!$B$56)/12,Loyalty,2)*$F$1*MAX(AD410,0)</f>
        <v>18.557001321003963</v>
      </c>
      <c r="AC411" s="75">
        <f>PARAM!$C$26+MAX($G$9-CHOOSE(PARAM!$B$44,MAX(0,AD410*$F$1),0),0)*RATES!$L387/12+$H$9*(PARAM!$D$51/12)*RATES!$N387/100</f>
        <v>55.958333333333343</v>
      </c>
      <c r="AD411" s="16">
        <f t="shared" si="247"/>
        <v>-1457.8945169500419</v>
      </c>
      <c r="AE411" s="15">
        <f t="shared" ref="AE411:AE474" si="265">$H$10*$CE411</f>
        <v>22.170849845882874</v>
      </c>
      <c r="AF411" s="75">
        <f>AE411*(1-PARAM!$C$27)*$I$10+(MOD($B411,60)=PARAM!$B$56)*($B411&gt;(60-PARAM!$B$56))*HLOOKUP(($B411+PARAM!$B$56)/12,Loyalty,2)*$F$1*MAX(AH410,0)</f>
        <v>18.557001321003963</v>
      </c>
      <c r="AG411" s="75">
        <f>PARAM!$C$26+MAX($G$10-CHOOSE(PARAM!$B$44,MAX(0,AH410*$F$1),0),0)*RATES!$L387/12+$H$10*(PARAM!$D$51/12)*RATES!$N387/100</f>
        <v>55.958333333333343</v>
      </c>
      <c r="AH411" s="16">
        <f t="shared" si="248"/>
        <v>-1457.8945169500419</v>
      </c>
      <c r="AI411" s="15">
        <f t="shared" ref="AI411:AI474" si="266">$H$11*$CE411</f>
        <v>22.170849845882874</v>
      </c>
      <c r="AJ411" s="75">
        <f>AI411*(1-PARAM!$C$27)*$I$11+(MOD($B411,60)=PARAM!$B$56)*($B411&gt;(60-PARAM!$B$56))*HLOOKUP(($B411+PARAM!$B$56)/12,Loyalty,2)*$F$1*MAX(AL410,0)</f>
        <v>18.557001321003963</v>
      </c>
      <c r="AK411" s="75">
        <f>PARAM!$C$26+MAX($G$11-CHOOSE(PARAM!$B$44,MAX(0,AL410*$F$1),0),0)*RATES!$L387/12+$H$11*(PARAM!$D$51/12)*RATES!$N387/100</f>
        <v>55.958333333333343</v>
      </c>
      <c r="AL411" s="16">
        <f t="shared" si="249"/>
        <v>-1457.8945169500419</v>
      </c>
      <c r="AM411" s="15">
        <f t="shared" ref="AM411:AM474" si="267">$H$12*$CE411</f>
        <v>22.170849845882874</v>
      </c>
      <c r="AN411" s="75">
        <f>AM411*(1-PARAM!$C$27)*$I$12+(MOD($B411,60)=PARAM!$B$56)*($B411&gt;(60-PARAM!$B$56))*HLOOKUP(($B411+PARAM!$B$56)/12,Loyalty,2)*$F$1*MAX(AP410,0)</f>
        <v>18.557001321003963</v>
      </c>
      <c r="AO411" s="75">
        <f>PARAM!$C$26+MAX($G$12-CHOOSE(PARAM!$B$44,MAX(0,AP410*$F$1),0),0)*RATES!$L387/12+$H$12*(PARAM!$D$51/12)*RATES!$N387/100</f>
        <v>55.958333333333343</v>
      </c>
      <c r="AP411" s="16">
        <f t="shared" si="250"/>
        <v>-1457.8945169500419</v>
      </c>
      <c r="AQ411" s="15">
        <f t="shared" ref="AQ411:AQ474" si="268">$H$13*$CE411</f>
        <v>22.170849845882874</v>
      </c>
      <c r="AR411" s="75">
        <f>AQ411*(1-PARAM!$C$27)*$I$13+(MOD($B411,60)=PARAM!$B$56)*($B411&gt;(60-PARAM!$B$56))*HLOOKUP(($B411+PARAM!$B$56)/12,Loyalty,2)*$F$1*MAX(AT410,0)</f>
        <v>18.557001321003963</v>
      </c>
      <c r="AS411" s="75">
        <f>PARAM!$C$26+MAX($G$13-CHOOSE(PARAM!$B$44,MAX(0,AT410*$F$1),0),0)*RATES!$L387/12+$H$13*(PARAM!$D$51/12)*RATES!$N387/100</f>
        <v>55.958333333333343</v>
      </c>
      <c r="AT411" s="16">
        <f t="shared" si="251"/>
        <v>-1457.8945169500419</v>
      </c>
      <c r="AU411" s="15">
        <f t="shared" ref="AU411:AU474" si="269">$H$14*$CE411</f>
        <v>22.170849845882874</v>
      </c>
      <c r="AV411" s="75">
        <f>AU411*(1-PARAM!$C$27)*$I$14+(MOD($B411,60)=PARAM!$B$56)*($B411&gt;(60-PARAM!$B$56))*HLOOKUP(($B411+PARAM!$B$56)/12,Loyalty,2)*$F$1*MAX(AX410,0)</f>
        <v>18.557001321003963</v>
      </c>
      <c r="AW411" s="75">
        <f>PARAM!$C$26+MAX($G$14-CHOOSE(PARAM!$B$44,MAX(0,AX410*$F$1),0),0)*RATES!$L387/12+$H$14*(PARAM!$D$51/12)*RATES!$N387/100</f>
        <v>55.958333333333343</v>
      </c>
      <c r="AX411" s="16">
        <f t="shared" si="252"/>
        <v>-1457.8945169500419</v>
      </c>
      <c r="AY411" s="15">
        <f t="shared" ref="AY411:AY474" si="270">$H$15*$CE411</f>
        <v>22.170849845882874</v>
      </c>
      <c r="AZ411" s="75">
        <f>AY411*(1-PARAM!$C$27)*$I$15+(MOD($B411,60)=PARAM!$B$56)*($B411&gt;(60-PARAM!$B$56))*HLOOKUP(($B411+PARAM!$B$56)/12,Loyalty,2)*$F$1*MAX(BB410,0)</f>
        <v>18.557001321003963</v>
      </c>
      <c r="BA411" s="75">
        <f>PARAM!$C$26+MAX($G$15-CHOOSE(PARAM!$B$44,MAX(0,BB410*$F$1),0),0)*RATES!$L387/12+$H$15*(PARAM!$D$51/12)*RATES!$N387/100</f>
        <v>55.958333333333343</v>
      </c>
      <c r="BB411" s="16">
        <f t="shared" si="253"/>
        <v>-1457.8945169500419</v>
      </c>
      <c r="BC411" s="15">
        <f t="shared" ref="BC411:BC474" si="271">$H$16*$CE411</f>
        <v>22.170849845882874</v>
      </c>
      <c r="BD411" s="75">
        <f>BC411*(1-PARAM!$C$27)*$I$16+(MOD($B411,60)=PARAM!$B$56)*($B411&gt;(60-PARAM!$B$56))*HLOOKUP(($B411+PARAM!$B$56)/12,Loyalty,2)*$F$1*MAX(BF410,0)</f>
        <v>18.557001321003963</v>
      </c>
      <c r="BE411" s="75">
        <f>PARAM!$C$26+MAX($G$16-CHOOSE(PARAM!$B$44,MAX(0,BF410*$F$1),0),0)*RATES!$L387/12+$H$16*(PARAM!$D$51/12)*RATES!$N387/100</f>
        <v>55.958333333333343</v>
      </c>
      <c r="BF411" s="16">
        <f t="shared" si="254"/>
        <v>-1457.8945169500419</v>
      </c>
      <c r="BG411" s="15">
        <f t="shared" ref="BG411:BG474" si="272">$H$17*$CE411</f>
        <v>22.170849845882874</v>
      </c>
      <c r="BH411" s="75">
        <f>BG411*(1-PARAM!$C$27)*$I$17+(MOD($B411,60)=PARAM!$B$56)*($B411&gt;(60-PARAM!$B$56))*HLOOKUP(($B411+PARAM!$B$56)/12,Loyalty,2)*$F$1*MAX(BJ410,0)</f>
        <v>18.557001321003963</v>
      </c>
      <c r="BI411" s="75">
        <f>PARAM!$C$26+MAX($G$17-CHOOSE(PARAM!$B$44,MAX(0,BJ410*$F$1),0),0)*RATES!$L387/12+$H$17*(PARAM!$D$51/12)*RATES!$N387/100</f>
        <v>55.958333333333343</v>
      </c>
      <c r="BJ411" s="16">
        <f t="shared" si="255"/>
        <v>-1457.8945169500419</v>
      </c>
      <c r="BK411" s="15">
        <f t="shared" ref="BK411:BK474" si="273">$H$18*$CE411</f>
        <v>22.170849845882874</v>
      </c>
      <c r="BL411" s="75">
        <f>BK411*(1-PARAM!$C$27)*$I$18+(MOD($B411,60)=PARAM!$B$56)*($B411&gt;(60-PARAM!$B$56))*HLOOKUP(($B411+PARAM!$B$56)/12,Loyalty,2)*$F$1*MAX(BN410,0)</f>
        <v>18.557001321003963</v>
      </c>
      <c r="BM411" s="75">
        <f>PARAM!$C$26+MAX($G$18-CHOOSE(PARAM!$B$44,MAX(0,BN410*$F$1),0),0)*RATES!$L387/12+$H$18*(PARAM!$D$51/12)*RATES!$N387/100</f>
        <v>55.958333333333343</v>
      </c>
      <c r="BN411" s="16">
        <f t="shared" si="256"/>
        <v>-1457.8945169500419</v>
      </c>
      <c r="BO411" s="15">
        <f t="shared" ref="BO411:BO474" si="274">$H$19*$CE411</f>
        <v>22.170849845882874</v>
      </c>
      <c r="BP411" s="75">
        <f>BO411*(1-PARAM!$C$27)*$I$19+(MOD($B411,60)=PARAM!$B$56)*($B411&gt;(60-PARAM!$B$56))*HLOOKUP(($B411+PARAM!$B$56)/12,Loyalty,2)*$F$1*MAX(BR410,0)</f>
        <v>18.557001321003963</v>
      </c>
      <c r="BQ411" s="75">
        <f>PARAM!$C$26+MAX($G$19-CHOOSE(PARAM!$B$44,MAX(0,BR410*$F$1),0),0)*RATES!$L387/12+$H$19*(PARAM!$D$51/12)*RATES!$N387/100</f>
        <v>55.958333333333343</v>
      </c>
      <c r="BR411" s="16">
        <f t="shared" si="257"/>
        <v>-1457.8945169500419</v>
      </c>
      <c r="BS411" s="15">
        <f t="shared" ref="BS411:BS474" si="275">$H$20*$CE411</f>
        <v>22.170849845882874</v>
      </c>
      <c r="BT411" s="75">
        <f>BS411*(1-PARAM!$C$27)*$I$20+(MOD($B411,60)=PARAM!$B$56)*($B411&gt;(60-PARAM!$B$56))*HLOOKUP(($B411+PARAM!$B$56)/12,Loyalty,2)*$F$1*MAX(BV410,0)</f>
        <v>18.557001321003963</v>
      </c>
      <c r="BU411" s="75">
        <f>PARAM!$C$26+MAX($G$20-CHOOSE(PARAM!$B$44,MAX(0,BV410*$F$1),0),0)*RATES!$L387/12+$H$20*(PARAM!$D$51/12)*RATES!$N387/100</f>
        <v>55.958333333333343</v>
      </c>
      <c r="BV411" s="16">
        <f t="shared" si="258"/>
        <v>-1457.8945169500419</v>
      </c>
      <c r="BW411" s="15">
        <f t="shared" ref="BW411:BW474" si="276">$H$21*$CE411</f>
        <v>22.170849845882874</v>
      </c>
      <c r="BX411" s="75">
        <f>BW411*(1-PARAM!$C$27)*$I$21+(MOD($B411,60)=PARAM!$B$56)*($B411&gt;(60-PARAM!$B$56))*HLOOKUP(($B411+PARAM!$B$56)/12,Loyalty,2)*$F$1*MAX(BZ410,0)</f>
        <v>18.557001321003963</v>
      </c>
      <c r="BY411" s="75">
        <f>PARAM!$C$26+MAX($G$21-CHOOSE(PARAM!$B$44,MAX(0,BZ410*$F$1),0),0)*RATES!$L387/12+$H$21*(PARAM!$D$51/12)*RATES!$N387/100</f>
        <v>55.958333333333343</v>
      </c>
      <c r="BZ411" s="16">
        <f t="shared" si="259"/>
        <v>-1457.8945169500419</v>
      </c>
      <c r="CA411" s="15">
        <f t="shared" ref="CA411:CA474" si="277">$H$22*$CE411</f>
        <v>22.170849845882874</v>
      </c>
      <c r="CB411" s="75">
        <f>CA411*(1-PARAM!$C$27)*$I$22+(MOD($B411,60)=PARAM!$B$56)*($B411&gt;(60-PARAM!$B$56))*HLOOKUP(($B411+PARAM!$B$56)/12,Loyalty,2)*$F$1*MAX(CD410,0)</f>
        <v>18.557001321003963</v>
      </c>
      <c r="CC411" s="75">
        <f>PARAM!$C$26+MAX($G$22-CHOOSE(PARAM!$B$44,MAX(0,CD410*$F$1),0),0)*RATES!$L387/12+$H$22*(PARAM!$D$51/12)*RATES!$N387/100</f>
        <v>55.958333333333343</v>
      </c>
      <c r="CD411" s="16">
        <f t="shared" si="260"/>
        <v>-1457.8945169500419</v>
      </c>
      <c r="CE411" s="33">
        <f>IF(0=MOD(B411,12/PARAM!$D$51),1,0)</f>
        <v>1</v>
      </c>
      <c r="CF411" s="15">
        <f t="shared" ref="CF411:CF474" si="278">$Q$3*CE411</f>
        <v>0</v>
      </c>
      <c r="CG411" s="75">
        <f>CF411*(1-PARAM!$C$27)*$R$3+(MOD($B411/12,5)=0)*($B411&gt;60)*HLOOKUP($B411/12,Loyalty,2)*$F$1*MAX(CI410,0)</f>
        <v>0</v>
      </c>
      <c r="CH411" s="75">
        <f>PARAM!$C$26+MAX($P$3-CHOOSE(PARAM!$B$44,MAX(0,CI410*$F$1),0),0)*RATES!$L387/12+$Q$3*(PARAM!$D$51/12)*RATES!$N387/100</f>
        <v>55.958333333333343</v>
      </c>
      <c r="CI411" s="16">
        <f>IF(CI410&gt;0,CI410*PARAM!$C$53,CI410)+CG411-CH411</f>
        <v>-8464.2083333333176</v>
      </c>
      <c r="CJ411" s="15">
        <f t="shared" si="261"/>
        <v>0</v>
      </c>
      <c r="CK411" s="75">
        <f>CJ411*(1-PARAM!$C$27)*$R$4+(MOD($B411/12,5)=0)*($B411&gt;60)*HLOOKUP($B411/12,Loyalty,2)*$F$1*MAX(CM410,0)</f>
        <v>0</v>
      </c>
      <c r="CL411" s="75">
        <f>PARAM!$C$26+MAX($P$4-CHOOSE(PARAM!$B$44,MAX(0,CM410*$F$1),0),0)*RATES!$L387/12+$Q$4*(PARAM!$D$51/12)*RATES!$N387/100</f>
        <v>55.958333333333343</v>
      </c>
      <c r="CM411" s="16">
        <f>IF(CM410&gt;0,CM410*PARAM!$C$53,CM410)+CK411-CL411</f>
        <v>-8464.2083333333176</v>
      </c>
      <c r="CO411" s="176"/>
    </row>
    <row r="412" spans="1:93" x14ac:dyDescent="0.2">
      <c r="A412" t="b">
        <f t="shared" ref="A412:A475" si="279">F412&gt;0</f>
        <v>0</v>
      </c>
      <c r="B412" s="33">
        <v>385</v>
      </c>
      <c r="C412" s="15">
        <f t="shared" ref="C412:C475" si="280">$H$3*$CE412</f>
        <v>20.081305947392778</v>
      </c>
      <c r="D412" s="75">
        <f>C412*(1-PARAM!$C$27)*$I$3+(MOD($B412,60)=PARAM!$B$56)*($B412&gt;(60-PARAM!$B$56))*HLOOKUP(($B412+PARAM!$B$56)/12,Loyalty,2)*$F$1*MAX(F411,0)</f>
        <v>16.808053077967756</v>
      </c>
      <c r="E412" s="75">
        <f>PARAM!$C$26+MAX($G$3-CHOOSE(PARAM!$B$44,MAX(0,F411*$F$1),0),0)*RATES!$L388/12+$H$3*(PARAM!$D$51/12)*RATES!$N388/100</f>
        <v>55.958333333333343</v>
      </c>
      <c r="F412" s="16">
        <f t="shared" ref="F412:F475" si="281">IF(F411&gt;0,F411*$F$1,F411)+D412-E412</f>
        <v>-2205.4914230528138</v>
      </c>
      <c r="G412" s="15">
        <f t="shared" ref="G412:G475" si="282">$H$4*$CE412</f>
        <v>22.035289406060361</v>
      </c>
      <c r="H412" s="75">
        <f>G412*(1-PARAM!$C$27)*$I$4+(MOD($B412,60)=PARAM!$B$56)*($B412&gt;(60-PARAM!$B$56))*HLOOKUP(($B412+PARAM!$B$56)/12,Loyalty,2)*$F$1*MAX(J411,0)</f>
        <v>18.443537232872522</v>
      </c>
      <c r="I412" s="75">
        <f>PARAM!$C$26+MAX($G$4-CHOOSE(PARAM!$B$44,MAX(0,J411*$F$1),0),0)*RATES!$L388/12+$H$4*(PARAM!$D$51/12)*RATES!$N388/100</f>
        <v>55.958333333333343</v>
      </c>
      <c r="J412" s="16">
        <f t="shared" ref="J412:J475" si="283">IF(J411&gt;0,J411*$F$1,J411)+H412-I412</f>
        <v>-1541.9970592927707</v>
      </c>
      <c r="K412" s="15">
        <f t="shared" ref="K412:K475" si="284">$H$5*$CE412</f>
        <v>22.170849845882874</v>
      </c>
      <c r="L412" s="75">
        <f>K412*(1-PARAM!$C$27)*$I$5+(MOD($B412,60)=PARAM!$B$56)*($B412&gt;(60-PARAM!$B$56))*HLOOKUP(($B412+PARAM!$B$56)/12,Loyalty,2)*$F$1*MAX(N411,0)</f>
        <v>18.557001321003963</v>
      </c>
      <c r="M412" s="75">
        <f>PARAM!$C$26+MAX($G$5-CHOOSE(PARAM!$B$44,MAX(0,N411*$F$1),0),0)*RATES!$L388/12+$H$5*(PARAM!$D$51/12)*RATES!$N388/100</f>
        <v>55.958333333333343</v>
      </c>
      <c r="N412" s="16">
        <f t="shared" ref="N412:N475" si="285">IF(N411&gt;0,N411*$F$1,N411)+L412-M412</f>
        <v>-1495.2958489623711</v>
      </c>
      <c r="O412" s="15">
        <f t="shared" ref="O412:O475" si="286">$H$6*$CE412</f>
        <v>22.170849845882874</v>
      </c>
      <c r="P412" s="75">
        <f>O412*(1-PARAM!$C$27)*$I$6+(MOD($B412,60)=PARAM!$B$56)*($B412&gt;(60-PARAM!$B$56))*HLOOKUP(($B412+PARAM!$B$56)/12,Loyalty,2)*$F$1*MAX(R411,0)</f>
        <v>18.557001321003963</v>
      </c>
      <c r="Q412" s="75">
        <f>PARAM!$C$26+MAX($G$6-CHOOSE(PARAM!$B$44,MAX(0,R411*$F$1),0),0)*RATES!$L388/12+$H$6*(PARAM!$D$51/12)*RATES!$N388/100</f>
        <v>55.958333333333343</v>
      </c>
      <c r="R412" s="16">
        <f t="shared" ref="R412:R475" si="287">IF(R411&gt;0,R411*$F$1,R411)+P412-Q412</f>
        <v>-1495.2958489623711</v>
      </c>
      <c r="S412" s="15">
        <f t="shared" si="262"/>
        <v>22.170849845882874</v>
      </c>
      <c r="T412" s="75">
        <f>S412*(1-PARAM!$C$27)*$I$7+(MOD($B412,60)=PARAM!$B$56)*($B412&gt;(60-PARAM!$B$56))*HLOOKUP(($B412+PARAM!$B$56)/12,Loyalty,2)*$F$1*MAX(V411,0)</f>
        <v>18.557001321003963</v>
      </c>
      <c r="U412" s="75">
        <f>PARAM!$C$26+MAX($G$7-CHOOSE(PARAM!$B$44,MAX(0,V411*$F$1),0),0)*RATES!$L388/12+$H$7*(PARAM!$D$51/12)*RATES!$N388/100</f>
        <v>55.958333333333343</v>
      </c>
      <c r="V412" s="16">
        <f t="shared" ref="V412:V475" si="288">IF(V411&gt;0,V411*$F$1,V411)+T412-U412</f>
        <v>-1495.2958489623711</v>
      </c>
      <c r="W412" s="15">
        <f t="shared" si="263"/>
        <v>22.170849845882874</v>
      </c>
      <c r="X412" s="75">
        <f>W412*(1-PARAM!$C$27)*$I$8+(MOD($B412,60)=PARAM!$B$56)*($B412&gt;(60-PARAM!$B$56))*HLOOKUP(($B412+PARAM!$B$56)/12,Loyalty,2)*$F$1*MAX(Z411,0)</f>
        <v>18.557001321003963</v>
      </c>
      <c r="Y412" s="75">
        <f>PARAM!$C$26+MAX($G$8-CHOOSE(PARAM!$B$44,MAX(0,Z411*$F$1),0),0)*RATES!$L388/12+$H$8*(PARAM!$D$51/12)*RATES!$N388/100</f>
        <v>55.958333333333343</v>
      </c>
      <c r="Z412" s="16">
        <f t="shared" ref="Z412:Z475" si="289">IF(Z411&gt;0,Z411*$F$1,Z411)+X412-Y412</f>
        <v>-1495.2958489623711</v>
      </c>
      <c r="AA412" s="15">
        <f t="shared" si="264"/>
        <v>22.170849845882874</v>
      </c>
      <c r="AB412" s="75">
        <f>AA412*(1-PARAM!$C$27)*$I$9+(MOD($B412,60)=PARAM!$B$56)*($B412&gt;(60-PARAM!$B$56))*HLOOKUP(($B412+PARAM!$B$56)/12,Loyalty,2)*$F$1*MAX(AD411,0)</f>
        <v>18.557001321003963</v>
      </c>
      <c r="AC412" s="75">
        <f>PARAM!$C$26+MAX($G$9-CHOOSE(PARAM!$B$44,MAX(0,AD411*$F$1),0),0)*RATES!$L388/12+$H$9*(PARAM!$D$51/12)*RATES!$N388/100</f>
        <v>55.958333333333343</v>
      </c>
      <c r="AD412" s="16">
        <f t="shared" ref="AD412:AD475" si="290">IF(AD411&gt;0,AD411*$F$1,AD411)+AB412-AC412</f>
        <v>-1495.2958489623711</v>
      </c>
      <c r="AE412" s="15">
        <f t="shared" si="265"/>
        <v>22.170849845882874</v>
      </c>
      <c r="AF412" s="75">
        <f>AE412*(1-PARAM!$C$27)*$I$10+(MOD($B412,60)=PARAM!$B$56)*($B412&gt;(60-PARAM!$B$56))*HLOOKUP(($B412+PARAM!$B$56)/12,Loyalty,2)*$F$1*MAX(AH411,0)</f>
        <v>18.557001321003963</v>
      </c>
      <c r="AG412" s="75">
        <f>PARAM!$C$26+MAX($G$10-CHOOSE(PARAM!$B$44,MAX(0,AH411*$F$1),0),0)*RATES!$L388/12+$H$10*(PARAM!$D$51/12)*RATES!$N388/100</f>
        <v>55.958333333333343</v>
      </c>
      <c r="AH412" s="16">
        <f t="shared" ref="AH412:AH475" si="291">IF(AH411&gt;0,AH411*$F$1,AH411)+AF412-AG412</f>
        <v>-1495.2958489623711</v>
      </c>
      <c r="AI412" s="15">
        <f t="shared" si="266"/>
        <v>22.170849845882874</v>
      </c>
      <c r="AJ412" s="75">
        <f>AI412*(1-PARAM!$C$27)*$I$11+(MOD($B412,60)=PARAM!$B$56)*($B412&gt;(60-PARAM!$B$56))*HLOOKUP(($B412+PARAM!$B$56)/12,Loyalty,2)*$F$1*MAX(AL411,0)</f>
        <v>18.557001321003963</v>
      </c>
      <c r="AK412" s="75">
        <f>PARAM!$C$26+MAX($G$11-CHOOSE(PARAM!$B$44,MAX(0,AL411*$F$1),0),0)*RATES!$L388/12+$H$11*(PARAM!$D$51/12)*RATES!$N388/100</f>
        <v>55.958333333333343</v>
      </c>
      <c r="AL412" s="16">
        <f t="shared" ref="AL412:AL475" si="292">IF(AL411&gt;0,AL411*$F$1,AL411)+AJ412-AK412</f>
        <v>-1495.2958489623711</v>
      </c>
      <c r="AM412" s="15">
        <f t="shared" si="267"/>
        <v>22.170849845882874</v>
      </c>
      <c r="AN412" s="75">
        <f>AM412*(1-PARAM!$C$27)*$I$12+(MOD($B412,60)=PARAM!$B$56)*($B412&gt;(60-PARAM!$B$56))*HLOOKUP(($B412+PARAM!$B$56)/12,Loyalty,2)*$F$1*MAX(AP411,0)</f>
        <v>18.557001321003963</v>
      </c>
      <c r="AO412" s="75">
        <f>PARAM!$C$26+MAX($G$12-CHOOSE(PARAM!$B$44,MAX(0,AP411*$F$1),0),0)*RATES!$L388/12+$H$12*(PARAM!$D$51/12)*RATES!$N388/100</f>
        <v>55.958333333333343</v>
      </c>
      <c r="AP412" s="16">
        <f t="shared" ref="AP412:AP475" si="293">IF(AP411&gt;0,AP411*$F$1,AP411)+AN412-AO412</f>
        <v>-1495.2958489623711</v>
      </c>
      <c r="AQ412" s="15">
        <f t="shared" si="268"/>
        <v>22.170849845882874</v>
      </c>
      <c r="AR412" s="75">
        <f>AQ412*(1-PARAM!$C$27)*$I$13+(MOD($B412,60)=PARAM!$B$56)*($B412&gt;(60-PARAM!$B$56))*HLOOKUP(($B412+PARAM!$B$56)/12,Loyalty,2)*$F$1*MAX(AT411,0)</f>
        <v>18.557001321003963</v>
      </c>
      <c r="AS412" s="75">
        <f>PARAM!$C$26+MAX($G$13-CHOOSE(PARAM!$B$44,MAX(0,AT411*$F$1),0),0)*RATES!$L388/12+$H$13*(PARAM!$D$51/12)*RATES!$N388/100</f>
        <v>55.958333333333343</v>
      </c>
      <c r="AT412" s="16">
        <f t="shared" ref="AT412:AT475" si="294">IF(AT411&gt;0,AT411*$F$1,AT411)+AR412-AS412</f>
        <v>-1495.2958489623711</v>
      </c>
      <c r="AU412" s="15">
        <f t="shared" si="269"/>
        <v>22.170849845882874</v>
      </c>
      <c r="AV412" s="75">
        <f>AU412*(1-PARAM!$C$27)*$I$14+(MOD($B412,60)=PARAM!$B$56)*($B412&gt;(60-PARAM!$B$56))*HLOOKUP(($B412+PARAM!$B$56)/12,Loyalty,2)*$F$1*MAX(AX411,0)</f>
        <v>18.557001321003963</v>
      </c>
      <c r="AW412" s="75">
        <f>PARAM!$C$26+MAX($G$14-CHOOSE(PARAM!$B$44,MAX(0,AX411*$F$1),0),0)*RATES!$L388/12+$H$14*(PARAM!$D$51/12)*RATES!$N388/100</f>
        <v>55.958333333333343</v>
      </c>
      <c r="AX412" s="16">
        <f t="shared" ref="AX412:AX475" si="295">IF(AX411&gt;0,AX411*$F$1,AX411)+AV412-AW412</f>
        <v>-1495.2958489623711</v>
      </c>
      <c r="AY412" s="15">
        <f t="shared" si="270"/>
        <v>22.170849845882874</v>
      </c>
      <c r="AZ412" s="75">
        <f>AY412*(1-PARAM!$C$27)*$I$15+(MOD($B412,60)=PARAM!$B$56)*($B412&gt;(60-PARAM!$B$56))*HLOOKUP(($B412+PARAM!$B$56)/12,Loyalty,2)*$F$1*MAX(BB411,0)</f>
        <v>18.557001321003963</v>
      </c>
      <c r="BA412" s="75">
        <f>PARAM!$C$26+MAX($G$15-CHOOSE(PARAM!$B$44,MAX(0,BB411*$F$1),0),0)*RATES!$L388/12+$H$15*(PARAM!$D$51/12)*RATES!$N388/100</f>
        <v>55.958333333333343</v>
      </c>
      <c r="BB412" s="16">
        <f t="shared" ref="BB412:BB475" si="296">IF(BB411&gt;0,BB411*$F$1,BB411)+AZ412-BA412</f>
        <v>-1495.2958489623711</v>
      </c>
      <c r="BC412" s="15">
        <f t="shared" si="271"/>
        <v>22.170849845882874</v>
      </c>
      <c r="BD412" s="75">
        <f>BC412*(1-PARAM!$C$27)*$I$16+(MOD($B412,60)=PARAM!$B$56)*($B412&gt;(60-PARAM!$B$56))*HLOOKUP(($B412+PARAM!$B$56)/12,Loyalty,2)*$F$1*MAX(BF411,0)</f>
        <v>18.557001321003963</v>
      </c>
      <c r="BE412" s="75">
        <f>PARAM!$C$26+MAX($G$16-CHOOSE(PARAM!$B$44,MAX(0,BF411*$F$1),0),0)*RATES!$L388/12+$H$16*(PARAM!$D$51/12)*RATES!$N388/100</f>
        <v>55.958333333333343</v>
      </c>
      <c r="BF412" s="16">
        <f t="shared" ref="BF412:BF475" si="297">IF(BF411&gt;0,BF411*$F$1,BF411)+BD412-BE412</f>
        <v>-1495.2958489623711</v>
      </c>
      <c r="BG412" s="15">
        <f t="shared" si="272"/>
        <v>22.170849845882874</v>
      </c>
      <c r="BH412" s="75">
        <f>BG412*(1-PARAM!$C$27)*$I$17+(MOD($B412,60)=PARAM!$B$56)*($B412&gt;(60-PARAM!$B$56))*HLOOKUP(($B412+PARAM!$B$56)/12,Loyalty,2)*$F$1*MAX(BJ411,0)</f>
        <v>18.557001321003963</v>
      </c>
      <c r="BI412" s="75">
        <f>PARAM!$C$26+MAX($G$17-CHOOSE(PARAM!$B$44,MAX(0,BJ411*$F$1),0),0)*RATES!$L388/12+$H$17*(PARAM!$D$51/12)*RATES!$N388/100</f>
        <v>55.958333333333343</v>
      </c>
      <c r="BJ412" s="16">
        <f t="shared" ref="BJ412:BJ475" si="298">IF(BJ411&gt;0,BJ411*$F$1,BJ411)+BH412-BI412</f>
        <v>-1495.2958489623711</v>
      </c>
      <c r="BK412" s="15">
        <f t="shared" si="273"/>
        <v>22.170849845882874</v>
      </c>
      <c r="BL412" s="75">
        <f>BK412*(1-PARAM!$C$27)*$I$18+(MOD($B412,60)=PARAM!$B$56)*($B412&gt;(60-PARAM!$B$56))*HLOOKUP(($B412+PARAM!$B$56)/12,Loyalty,2)*$F$1*MAX(BN411,0)</f>
        <v>18.557001321003963</v>
      </c>
      <c r="BM412" s="75">
        <f>PARAM!$C$26+MAX($G$18-CHOOSE(PARAM!$B$44,MAX(0,BN411*$F$1),0),0)*RATES!$L388/12+$H$18*(PARAM!$D$51/12)*RATES!$N388/100</f>
        <v>55.958333333333343</v>
      </c>
      <c r="BN412" s="16">
        <f t="shared" ref="BN412:BN475" si="299">IF(BN411&gt;0,BN411*$F$1,BN411)+BL412-BM412</f>
        <v>-1495.2958489623711</v>
      </c>
      <c r="BO412" s="15">
        <f t="shared" si="274"/>
        <v>22.170849845882874</v>
      </c>
      <c r="BP412" s="75">
        <f>BO412*(1-PARAM!$C$27)*$I$19+(MOD($B412,60)=PARAM!$B$56)*($B412&gt;(60-PARAM!$B$56))*HLOOKUP(($B412+PARAM!$B$56)/12,Loyalty,2)*$F$1*MAX(BR411,0)</f>
        <v>18.557001321003963</v>
      </c>
      <c r="BQ412" s="75">
        <f>PARAM!$C$26+MAX($G$19-CHOOSE(PARAM!$B$44,MAX(0,BR411*$F$1),0),0)*RATES!$L388/12+$H$19*(PARAM!$D$51/12)*RATES!$N388/100</f>
        <v>55.958333333333343</v>
      </c>
      <c r="BR412" s="16">
        <f t="shared" ref="BR412:BR475" si="300">IF(BR411&gt;0,BR411*$F$1,BR411)+BP412-BQ412</f>
        <v>-1495.2958489623711</v>
      </c>
      <c r="BS412" s="15">
        <f t="shared" si="275"/>
        <v>22.170849845882874</v>
      </c>
      <c r="BT412" s="75">
        <f>BS412*(1-PARAM!$C$27)*$I$20+(MOD($B412,60)=PARAM!$B$56)*($B412&gt;(60-PARAM!$B$56))*HLOOKUP(($B412+PARAM!$B$56)/12,Loyalty,2)*$F$1*MAX(BV411,0)</f>
        <v>18.557001321003963</v>
      </c>
      <c r="BU412" s="75">
        <f>PARAM!$C$26+MAX($G$20-CHOOSE(PARAM!$B$44,MAX(0,BV411*$F$1),0),0)*RATES!$L388/12+$H$20*(PARAM!$D$51/12)*RATES!$N388/100</f>
        <v>55.958333333333343</v>
      </c>
      <c r="BV412" s="16">
        <f t="shared" ref="BV412:BV475" si="301">IF(BV411&gt;0,BV411*$F$1,BV411)+BT412-BU412</f>
        <v>-1495.2958489623711</v>
      </c>
      <c r="BW412" s="15">
        <f t="shared" si="276"/>
        <v>22.170849845882874</v>
      </c>
      <c r="BX412" s="75">
        <f>BW412*(1-PARAM!$C$27)*$I$21+(MOD($B412,60)=PARAM!$B$56)*($B412&gt;(60-PARAM!$B$56))*HLOOKUP(($B412+PARAM!$B$56)/12,Loyalty,2)*$F$1*MAX(BZ411,0)</f>
        <v>18.557001321003963</v>
      </c>
      <c r="BY412" s="75">
        <f>PARAM!$C$26+MAX($G$21-CHOOSE(PARAM!$B$44,MAX(0,BZ411*$F$1),0),0)*RATES!$L388/12+$H$21*(PARAM!$D$51/12)*RATES!$N388/100</f>
        <v>55.958333333333343</v>
      </c>
      <c r="BZ412" s="16">
        <f t="shared" ref="BZ412:BZ475" si="302">IF(BZ411&gt;0,BZ411*$F$1,BZ411)+BX412-BY412</f>
        <v>-1495.2958489623711</v>
      </c>
      <c r="CA412" s="15">
        <f t="shared" si="277"/>
        <v>22.170849845882874</v>
      </c>
      <c r="CB412" s="75">
        <f>CA412*(1-PARAM!$C$27)*$I$22+(MOD($B412,60)=PARAM!$B$56)*($B412&gt;(60-PARAM!$B$56))*HLOOKUP(($B412+PARAM!$B$56)/12,Loyalty,2)*$F$1*MAX(CD411,0)</f>
        <v>18.557001321003963</v>
      </c>
      <c r="CC412" s="75">
        <f>PARAM!$C$26+MAX($G$22-CHOOSE(PARAM!$B$44,MAX(0,CD411*$F$1),0),0)*RATES!$L388/12+$H$22*(PARAM!$D$51/12)*RATES!$N388/100</f>
        <v>55.958333333333343</v>
      </c>
      <c r="CD412" s="16">
        <f t="shared" ref="CD412:CD475" si="303">IF(CD411&gt;0,CD411*$F$1,CD411)+CB412-CC412</f>
        <v>-1495.2958489623711</v>
      </c>
      <c r="CE412" s="33">
        <f>IF(0=MOD(B412,12/PARAM!$D$51),1,0)</f>
        <v>1</v>
      </c>
      <c r="CF412" s="15">
        <f t="shared" si="278"/>
        <v>0</v>
      </c>
      <c r="CG412" s="75">
        <f>CF412*(1-PARAM!$C$27)*$R$3+(MOD($B412/12,5)=0)*($B412&gt;60)*HLOOKUP($B412/12,Loyalty,2)*$F$1*MAX(CI411,0)</f>
        <v>0</v>
      </c>
      <c r="CH412" s="75">
        <f>PARAM!$C$26+MAX($P$3-CHOOSE(PARAM!$B$44,MAX(0,CI411*$F$1),0),0)*RATES!$L388/12+$Q$3*(PARAM!$D$51/12)*RATES!$N388/100</f>
        <v>55.958333333333343</v>
      </c>
      <c r="CI412" s="16">
        <f>IF(CI411&gt;0,CI411*PARAM!$C$53,CI411)+CG412-CH412</f>
        <v>-8520.1666666666515</v>
      </c>
      <c r="CJ412" s="15">
        <f t="shared" ref="CJ412:CJ475" si="304">$Q$4*CE412</f>
        <v>0</v>
      </c>
      <c r="CK412" s="75">
        <f>CJ412*(1-PARAM!$C$27)*$R$4+(MOD($B412/12,5)=0)*($B412&gt;60)*HLOOKUP($B412/12,Loyalty,2)*$F$1*MAX(CM411,0)</f>
        <v>0</v>
      </c>
      <c r="CL412" s="75">
        <f>PARAM!$C$26+MAX($P$4-CHOOSE(PARAM!$B$44,MAX(0,CM411*$F$1),0),0)*RATES!$L388/12+$Q$4*(PARAM!$D$51/12)*RATES!$N388/100</f>
        <v>55.958333333333343</v>
      </c>
      <c r="CM412" s="16">
        <f>IF(CM411&gt;0,CM411*PARAM!$C$53,CM411)+CK412-CL412</f>
        <v>-8520.1666666666515</v>
      </c>
      <c r="CO412" s="176"/>
    </row>
    <row r="413" spans="1:93" x14ac:dyDescent="0.2">
      <c r="A413" t="b">
        <f t="shared" si="279"/>
        <v>0</v>
      </c>
      <c r="B413" s="33">
        <v>386</v>
      </c>
      <c r="C413" s="15">
        <f t="shared" si="280"/>
        <v>20.081305947392778</v>
      </c>
      <c r="D413" s="75">
        <f>C413*(1-PARAM!$C$27)*$I$3+(MOD($B413,60)=PARAM!$B$56)*($B413&gt;(60-PARAM!$B$56))*HLOOKUP(($B413+PARAM!$B$56)/12,Loyalty,2)*$F$1*MAX(F412,0)</f>
        <v>16.808053077967756</v>
      </c>
      <c r="E413" s="75">
        <f>PARAM!$C$26+MAX($G$3-CHOOSE(PARAM!$B$44,MAX(0,F412*$F$1),0),0)*RATES!$L389/12+$H$3*(PARAM!$D$51/12)*RATES!$N389/100</f>
        <v>55.958333333333343</v>
      </c>
      <c r="F413" s="16">
        <f t="shared" si="281"/>
        <v>-2244.6417033081798</v>
      </c>
      <c r="G413" s="15">
        <f t="shared" si="282"/>
        <v>22.035289406060361</v>
      </c>
      <c r="H413" s="75">
        <f>G413*(1-PARAM!$C$27)*$I$4+(MOD($B413,60)=PARAM!$B$56)*($B413&gt;(60-PARAM!$B$56))*HLOOKUP(($B413+PARAM!$B$56)/12,Loyalty,2)*$F$1*MAX(J412,0)</f>
        <v>18.443537232872522</v>
      </c>
      <c r="I413" s="75">
        <f>PARAM!$C$26+MAX($G$4-CHOOSE(PARAM!$B$44,MAX(0,J412*$F$1),0),0)*RATES!$L389/12+$H$4*(PARAM!$D$51/12)*RATES!$N389/100</f>
        <v>55.958333333333343</v>
      </c>
      <c r="J413" s="16">
        <f t="shared" si="283"/>
        <v>-1579.5118553932314</v>
      </c>
      <c r="K413" s="15">
        <f t="shared" si="284"/>
        <v>22.170849845882874</v>
      </c>
      <c r="L413" s="75">
        <f>K413*(1-PARAM!$C$27)*$I$5+(MOD($B413,60)=PARAM!$B$56)*($B413&gt;(60-PARAM!$B$56))*HLOOKUP(($B413+PARAM!$B$56)/12,Loyalty,2)*$F$1*MAX(N412,0)</f>
        <v>18.557001321003963</v>
      </c>
      <c r="M413" s="75">
        <f>PARAM!$C$26+MAX($G$5-CHOOSE(PARAM!$B$44,MAX(0,N412*$F$1),0),0)*RATES!$L389/12+$H$5*(PARAM!$D$51/12)*RATES!$N389/100</f>
        <v>55.958333333333343</v>
      </c>
      <c r="N413" s="16">
        <f t="shared" si="285"/>
        <v>-1532.6971809747004</v>
      </c>
      <c r="O413" s="15">
        <f t="shared" si="286"/>
        <v>22.170849845882874</v>
      </c>
      <c r="P413" s="75">
        <f>O413*(1-PARAM!$C$27)*$I$6+(MOD($B413,60)=PARAM!$B$56)*($B413&gt;(60-PARAM!$B$56))*HLOOKUP(($B413+PARAM!$B$56)/12,Loyalty,2)*$F$1*MAX(R412,0)</f>
        <v>18.557001321003963</v>
      </c>
      <c r="Q413" s="75">
        <f>PARAM!$C$26+MAX($G$6-CHOOSE(PARAM!$B$44,MAX(0,R412*$F$1),0),0)*RATES!$L389/12+$H$6*(PARAM!$D$51/12)*RATES!$N389/100</f>
        <v>55.958333333333343</v>
      </c>
      <c r="R413" s="16">
        <f t="shared" si="287"/>
        <v>-1532.6971809747004</v>
      </c>
      <c r="S413" s="15">
        <f t="shared" si="262"/>
        <v>22.170849845882874</v>
      </c>
      <c r="T413" s="75">
        <f>S413*(1-PARAM!$C$27)*$I$7+(MOD($B413,60)=PARAM!$B$56)*($B413&gt;(60-PARAM!$B$56))*HLOOKUP(($B413+PARAM!$B$56)/12,Loyalty,2)*$F$1*MAX(V412,0)</f>
        <v>18.557001321003963</v>
      </c>
      <c r="U413" s="75">
        <f>PARAM!$C$26+MAX($G$7-CHOOSE(PARAM!$B$44,MAX(0,V412*$F$1),0),0)*RATES!$L389/12+$H$7*(PARAM!$D$51/12)*RATES!$N389/100</f>
        <v>55.958333333333343</v>
      </c>
      <c r="V413" s="16">
        <f t="shared" si="288"/>
        <v>-1532.6971809747004</v>
      </c>
      <c r="W413" s="15">
        <f t="shared" si="263"/>
        <v>22.170849845882874</v>
      </c>
      <c r="X413" s="75">
        <f>W413*(1-PARAM!$C$27)*$I$8+(MOD($B413,60)=PARAM!$B$56)*($B413&gt;(60-PARAM!$B$56))*HLOOKUP(($B413+PARAM!$B$56)/12,Loyalty,2)*$F$1*MAX(Z412,0)</f>
        <v>18.557001321003963</v>
      </c>
      <c r="Y413" s="75">
        <f>PARAM!$C$26+MAX($G$8-CHOOSE(PARAM!$B$44,MAX(0,Z412*$F$1),0),0)*RATES!$L389/12+$H$8*(PARAM!$D$51/12)*RATES!$N389/100</f>
        <v>55.958333333333343</v>
      </c>
      <c r="Z413" s="16">
        <f t="shared" si="289"/>
        <v>-1532.6971809747004</v>
      </c>
      <c r="AA413" s="15">
        <f t="shared" si="264"/>
        <v>22.170849845882874</v>
      </c>
      <c r="AB413" s="75">
        <f>AA413*(1-PARAM!$C$27)*$I$9+(MOD($B413,60)=PARAM!$B$56)*($B413&gt;(60-PARAM!$B$56))*HLOOKUP(($B413+PARAM!$B$56)/12,Loyalty,2)*$F$1*MAX(AD412,0)</f>
        <v>18.557001321003963</v>
      </c>
      <c r="AC413" s="75">
        <f>PARAM!$C$26+MAX($G$9-CHOOSE(PARAM!$B$44,MAX(0,AD412*$F$1),0),0)*RATES!$L389/12+$H$9*(PARAM!$D$51/12)*RATES!$N389/100</f>
        <v>55.958333333333343</v>
      </c>
      <c r="AD413" s="16">
        <f t="shared" si="290"/>
        <v>-1532.6971809747004</v>
      </c>
      <c r="AE413" s="15">
        <f t="shared" si="265"/>
        <v>22.170849845882874</v>
      </c>
      <c r="AF413" s="75">
        <f>AE413*(1-PARAM!$C$27)*$I$10+(MOD($B413,60)=PARAM!$B$56)*($B413&gt;(60-PARAM!$B$56))*HLOOKUP(($B413+PARAM!$B$56)/12,Loyalty,2)*$F$1*MAX(AH412,0)</f>
        <v>18.557001321003963</v>
      </c>
      <c r="AG413" s="75">
        <f>PARAM!$C$26+MAX($G$10-CHOOSE(PARAM!$B$44,MAX(0,AH412*$F$1),0),0)*RATES!$L389/12+$H$10*(PARAM!$D$51/12)*RATES!$N389/100</f>
        <v>55.958333333333343</v>
      </c>
      <c r="AH413" s="16">
        <f t="shared" si="291"/>
        <v>-1532.6971809747004</v>
      </c>
      <c r="AI413" s="15">
        <f t="shared" si="266"/>
        <v>22.170849845882874</v>
      </c>
      <c r="AJ413" s="75">
        <f>AI413*(1-PARAM!$C$27)*$I$11+(MOD($B413,60)=PARAM!$B$56)*($B413&gt;(60-PARAM!$B$56))*HLOOKUP(($B413+PARAM!$B$56)/12,Loyalty,2)*$F$1*MAX(AL412,0)</f>
        <v>18.557001321003963</v>
      </c>
      <c r="AK413" s="75">
        <f>PARAM!$C$26+MAX($G$11-CHOOSE(PARAM!$B$44,MAX(0,AL412*$F$1),0),0)*RATES!$L389/12+$H$11*(PARAM!$D$51/12)*RATES!$N389/100</f>
        <v>55.958333333333343</v>
      </c>
      <c r="AL413" s="16">
        <f t="shared" si="292"/>
        <v>-1532.6971809747004</v>
      </c>
      <c r="AM413" s="15">
        <f t="shared" si="267"/>
        <v>22.170849845882874</v>
      </c>
      <c r="AN413" s="75">
        <f>AM413*(1-PARAM!$C$27)*$I$12+(MOD($B413,60)=PARAM!$B$56)*($B413&gt;(60-PARAM!$B$56))*HLOOKUP(($B413+PARAM!$B$56)/12,Loyalty,2)*$F$1*MAX(AP412,0)</f>
        <v>18.557001321003963</v>
      </c>
      <c r="AO413" s="75">
        <f>PARAM!$C$26+MAX($G$12-CHOOSE(PARAM!$B$44,MAX(0,AP412*$F$1),0),0)*RATES!$L389/12+$H$12*(PARAM!$D$51/12)*RATES!$N389/100</f>
        <v>55.958333333333343</v>
      </c>
      <c r="AP413" s="16">
        <f t="shared" si="293"/>
        <v>-1532.6971809747004</v>
      </c>
      <c r="AQ413" s="15">
        <f t="shared" si="268"/>
        <v>22.170849845882874</v>
      </c>
      <c r="AR413" s="75">
        <f>AQ413*(1-PARAM!$C$27)*$I$13+(MOD($B413,60)=PARAM!$B$56)*($B413&gt;(60-PARAM!$B$56))*HLOOKUP(($B413+PARAM!$B$56)/12,Loyalty,2)*$F$1*MAX(AT412,0)</f>
        <v>18.557001321003963</v>
      </c>
      <c r="AS413" s="75">
        <f>PARAM!$C$26+MAX($G$13-CHOOSE(PARAM!$B$44,MAX(0,AT412*$F$1),0),0)*RATES!$L389/12+$H$13*(PARAM!$D$51/12)*RATES!$N389/100</f>
        <v>55.958333333333343</v>
      </c>
      <c r="AT413" s="16">
        <f t="shared" si="294"/>
        <v>-1532.6971809747004</v>
      </c>
      <c r="AU413" s="15">
        <f t="shared" si="269"/>
        <v>22.170849845882874</v>
      </c>
      <c r="AV413" s="75">
        <f>AU413*(1-PARAM!$C$27)*$I$14+(MOD($B413,60)=PARAM!$B$56)*($B413&gt;(60-PARAM!$B$56))*HLOOKUP(($B413+PARAM!$B$56)/12,Loyalty,2)*$F$1*MAX(AX412,0)</f>
        <v>18.557001321003963</v>
      </c>
      <c r="AW413" s="75">
        <f>PARAM!$C$26+MAX($G$14-CHOOSE(PARAM!$B$44,MAX(0,AX412*$F$1),0),0)*RATES!$L389/12+$H$14*(PARAM!$D$51/12)*RATES!$N389/100</f>
        <v>55.958333333333343</v>
      </c>
      <c r="AX413" s="16">
        <f t="shared" si="295"/>
        <v>-1532.6971809747004</v>
      </c>
      <c r="AY413" s="15">
        <f t="shared" si="270"/>
        <v>22.170849845882874</v>
      </c>
      <c r="AZ413" s="75">
        <f>AY413*(1-PARAM!$C$27)*$I$15+(MOD($B413,60)=PARAM!$B$56)*($B413&gt;(60-PARAM!$B$56))*HLOOKUP(($B413+PARAM!$B$56)/12,Loyalty,2)*$F$1*MAX(BB412,0)</f>
        <v>18.557001321003963</v>
      </c>
      <c r="BA413" s="75">
        <f>PARAM!$C$26+MAX($G$15-CHOOSE(PARAM!$B$44,MAX(0,BB412*$F$1),0),0)*RATES!$L389/12+$H$15*(PARAM!$D$51/12)*RATES!$N389/100</f>
        <v>55.958333333333343</v>
      </c>
      <c r="BB413" s="16">
        <f t="shared" si="296"/>
        <v>-1532.6971809747004</v>
      </c>
      <c r="BC413" s="15">
        <f t="shared" si="271"/>
        <v>22.170849845882874</v>
      </c>
      <c r="BD413" s="75">
        <f>BC413*(1-PARAM!$C$27)*$I$16+(MOD($B413,60)=PARAM!$B$56)*($B413&gt;(60-PARAM!$B$56))*HLOOKUP(($B413+PARAM!$B$56)/12,Loyalty,2)*$F$1*MAX(BF412,0)</f>
        <v>18.557001321003963</v>
      </c>
      <c r="BE413" s="75">
        <f>PARAM!$C$26+MAX($G$16-CHOOSE(PARAM!$B$44,MAX(0,BF412*$F$1),0),0)*RATES!$L389/12+$H$16*(PARAM!$D$51/12)*RATES!$N389/100</f>
        <v>55.958333333333343</v>
      </c>
      <c r="BF413" s="16">
        <f t="shared" si="297"/>
        <v>-1532.6971809747004</v>
      </c>
      <c r="BG413" s="15">
        <f t="shared" si="272"/>
        <v>22.170849845882874</v>
      </c>
      <c r="BH413" s="75">
        <f>BG413*(1-PARAM!$C$27)*$I$17+(MOD($B413,60)=PARAM!$B$56)*($B413&gt;(60-PARAM!$B$56))*HLOOKUP(($B413+PARAM!$B$56)/12,Loyalty,2)*$F$1*MAX(BJ412,0)</f>
        <v>18.557001321003963</v>
      </c>
      <c r="BI413" s="75">
        <f>PARAM!$C$26+MAX($G$17-CHOOSE(PARAM!$B$44,MAX(0,BJ412*$F$1),0),0)*RATES!$L389/12+$H$17*(PARAM!$D$51/12)*RATES!$N389/100</f>
        <v>55.958333333333343</v>
      </c>
      <c r="BJ413" s="16">
        <f t="shared" si="298"/>
        <v>-1532.6971809747004</v>
      </c>
      <c r="BK413" s="15">
        <f t="shared" si="273"/>
        <v>22.170849845882874</v>
      </c>
      <c r="BL413" s="75">
        <f>BK413*(1-PARAM!$C$27)*$I$18+(MOD($B413,60)=PARAM!$B$56)*($B413&gt;(60-PARAM!$B$56))*HLOOKUP(($B413+PARAM!$B$56)/12,Loyalty,2)*$F$1*MAX(BN412,0)</f>
        <v>18.557001321003963</v>
      </c>
      <c r="BM413" s="75">
        <f>PARAM!$C$26+MAX($G$18-CHOOSE(PARAM!$B$44,MAX(0,BN412*$F$1),0),0)*RATES!$L389/12+$H$18*(PARAM!$D$51/12)*RATES!$N389/100</f>
        <v>55.958333333333343</v>
      </c>
      <c r="BN413" s="16">
        <f t="shared" si="299"/>
        <v>-1532.6971809747004</v>
      </c>
      <c r="BO413" s="15">
        <f t="shared" si="274"/>
        <v>22.170849845882874</v>
      </c>
      <c r="BP413" s="75">
        <f>BO413*(1-PARAM!$C$27)*$I$19+(MOD($B413,60)=PARAM!$B$56)*($B413&gt;(60-PARAM!$B$56))*HLOOKUP(($B413+PARAM!$B$56)/12,Loyalty,2)*$F$1*MAX(BR412,0)</f>
        <v>18.557001321003963</v>
      </c>
      <c r="BQ413" s="75">
        <f>PARAM!$C$26+MAX($G$19-CHOOSE(PARAM!$B$44,MAX(0,BR412*$F$1),0),0)*RATES!$L389/12+$H$19*(PARAM!$D$51/12)*RATES!$N389/100</f>
        <v>55.958333333333343</v>
      </c>
      <c r="BR413" s="16">
        <f t="shared" si="300"/>
        <v>-1532.6971809747004</v>
      </c>
      <c r="BS413" s="15">
        <f t="shared" si="275"/>
        <v>22.170849845882874</v>
      </c>
      <c r="BT413" s="75">
        <f>BS413*(1-PARAM!$C$27)*$I$20+(MOD($B413,60)=PARAM!$B$56)*($B413&gt;(60-PARAM!$B$56))*HLOOKUP(($B413+PARAM!$B$56)/12,Loyalty,2)*$F$1*MAX(BV412,0)</f>
        <v>18.557001321003963</v>
      </c>
      <c r="BU413" s="75">
        <f>PARAM!$C$26+MAX($G$20-CHOOSE(PARAM!$B$44,MAX(0,BV412*$F$1),0),0)*RATES!$L389/12+$H$20*(PARAM!$D$51/12)*RATES!$N389/100</f>
        <v>55.958333333333343</v>
      </c>
      <c r="BV413" s="16">
        <f t="shared" si="301"/>
        <v>-1532.6971809747004</v>
      </c>
      <c r="BW413" s="15">
        <f t="shared" si="276"/>
        <v>22.170849845882874</v>
      </c>
      <c r="BX413" s="75">
        <f>BW413*(1-PARAM!$C$27)*$I$21+(MOD($B413,60)=PARAM!$B$56)*($B413&gt;(60-PARAM!$B$56))*HLOOKUP(($B413+PARAM!$B$56)/12,Loyalty,2)*$F$1*MAX(BZ412,0)</f>
        <v>18.557001321003963</v>
      </c>
      <c r="BY413" s="75">
        <f>PARAM!$C$26+MAX($G$21-CHOOSE(PARAM!$B$44,MAX(0,BZ412*$F$1),0),0)*RATES!$L389/12+$H$21*(PARAM!$D$51/12)*RATES!$N389/100</f>
        <v>55.958333333333343</v>
      </c>
      <c r="BZ413" s="16">
        <f t="shared" si="302"/>
        <v>-1532.6971809747004</v>
      </c>
      <c r="CA413" s="15">
        <f t="shared" si="277"/>
        <v>22.170849845882874</v>
      </c>
      <c r="CB413" s="75">
        <f>CA413*(1-PARAM!$C$27)*$I$22+(MOD($B413,60)=PARAM!$B$56)*($B413&gt;(60-PARAM!$B$56))*HLOOKUP(($B413+PARAM!$B$56)/12,Loyalty,2)*$F$1*MAX(CD412,0)</f>
        <v>18.557001321003963</v>
      </c>
      <c r="CC413" s="75">
        <f>PARAM!$C$26+MAX($G$22-CHOOSE(PARAM!$B$44,MAX(0,CD412*$F$1),0),0)*RATES!$L389/12+$H$22*(PARAM!$D$51/12)*RATES!$N389/100</f>
        <v>55.958333333333343</v>
      </c>
      <c r="CD413" s="16">
        <f t="shared" si="303"/>
        <v>-1532.6971809747004</v>
      </c>
      <c r="CE413" s="33">
        <f>IF(0=MOD(B413,12/PARAM!$D$51),1,0)</f>
        <v>1</v>
      </c>
      <c r="CF413" s="15">
        <f t="shared" si="278"/>
        <v>0</v>
      </c>
      <c r="CG413" s="75">
        <f>CF413*(1-PARAM!$C$27)*$R$3+(MOD($B413/12,5)=0)*($B413&gt;60)*HLOOKUP($B413/12,Loyalty,2)*$F$1*MAX(CI412,0)</f>
        <v>0</v>
      </c>
      <c r="CH413" s="75">
        <f>PARAM!$C$26+MAX($P$3-CHOOSE(PARAM!$B$44,MAX(0,CI412*$F$1),0),0)*RATES!$L389/12+$Q$3*(PARAM!$D$51/12)*RATES!$N389/100</f>
        <v>55.958333333333343</v>
      </c>
      <c r="CI413" s="16">
        <f>IF(CI412&gt;0,CI412*PARAM!$C$53,CI412)+CG413-CH413</f>
        <v>-8576.1249999999854</v>
      </c>
      <c r="CJ413" s="15">
        <f t="shared" si="304"/>
        <v>0</v>
      </c>
      <c r="CK413" s="75">
        <f>CJ413*(1-PARAM!$C$27)*$R$4+(MOD($B413/12,5)=0)*($B413&gt;60)*HLOOKUP($B413/12,Loyalty,2)*$F$1*MAX(CM412,0)</f>
        <v>0</v>
      </c>
      <c r="CL413" s="75">
        <f>PARAM!$C$26+MAX($P$4-CHOOSE(PARAM!$B$44,MAX(0,CM412*$F$1),0),0)*RATES!$L389/12+$Q$4*(PARAM!$D$51/12)*RATES!$N389/100</f>
        <v>55.958333333333343</v>
      </c>
      <c r="CM413" s="16">
        <f>IF(CM412&gt;0,CM412*PARAM!$C$53,CM412)+CK413-CL413</f>
        <v>-8576.1249999999854</v>
      </c>
      <c r="CO413" s="176"/>
    </row>
    <row r="414" spans="1:93" x14ac:dyDescent="0.2">
      <c r="A414" t="b">
        <f t="shared" si="279"/>
        <v>0</v>
      </c>
      <c r="B414" s="33">
        <v>387</v>
      </c>
      <c r="C414" s="15">
        <f t="shared" si="280"/>
        <v>20.081305947392778</v>
      </c>
      <c r="D414" s="75">
        <f>C414*(1-PARAM!$C$27)*$I$3+(MOD($B414,60)=PARAM!$B$56)*($B414&gt;(60-PARAM!$B$56))*HLOOKUP(($B414+PARAM!$B$56)/12,Loyalty,2)*$F$1*MAX(F413,0)</f>
        <v>16.808053077967756</v>
      </c>
      <c r="E414" s="75">
        <f>PARAM!$C$26+MAX($G$3-CHOOSE(PARAM!$B$44,MAX(0,F413*$F$1),0),0)*RATES!$L390/12+$H$3*(PARAM!$D$51/12)*RATES!$N390/100</f>
        <v>55.958333333333343</v>
      </c>
      <c r="F414" s="16">
        <f t="shared" si="281"/>
        <v>-2283.7919835635457</v>
      </c>
      <c r="G414" s="15">
        <f t="shared" si="282"/>
        <v>22.035289406060361</v>
      </c>
      <c r="H414" s="75">
        <f>G414*(1-PARAM!$C$27)*$I$4+(MOD($B414,60)=PARAM!$B$56)*($B414&gt;(60-PARAM!$B$56))*HLOOKUP(($B414+PARAM!$B$56)/12,Loyalty,2)*$F$1*MAX(J413,0)</f>
        <v>18.443537232872522</v>
      </c>
      <c r="I414" s="75">
        <f>PARAM!$C$26+MAX($G$4-CHOOSE(PARAM!$B$44,MAX(0,J413*$F$1),0),0)*RATES!$L390/12+$H$4*(PARAM!$D$51/12)*RATES!$N390/100</f>
        <v>55.958333333333343</v>
      </c>
      <c r="J414" s="16">
        <f t="shared" si="283"/>
        <v>-1617.026651493692</v>
      </c>
      <c r="K414" s="15">
        <f t="shared" si="284"/>
        <v>22.170849845882874</v>
      </c>
      <c r="L414" s="75">
        <f>K414*(1-PARAM!$C$27)*$I$5+(MOD($B414,60)=PARAM!$B$56)*($B414&gt;(60-PARAM!$B$56))*HLOOKUP(($B414+PARAM!$B$56)/12,Loyalty,2)*$F$1*MAX(N413,0)</f>
        <v>18.557001321003963</v>
      </c>
      <c r="M414" s="75">
        <f>PARAM!$C$26+MAX($G$5-CHOOSE(PARAM!$B$44,MAX(0,N413*$F$1),0),0)*RATES!$L390/12+$H$5*(PARAM!$D$51/12)*RATES!$N390/100</f>
        <v>55.958333333333343</v>
      </c>
      <c r="N414" s="16">
        <f t="shared" si="285"/>
        <v>-1570.0985129870296</v>
      </c>
      <c r="O414" s="15">
        <f t="shared" si="286"/>
        <v>22.170849845882874</v>
      </c>
      <c r="P414" s="75">
        <f>O414*(1-PARAM!$C$27)*$I$6+(MOD($B414,60)=PARAM!$B$56)*($B414&gt;(60-PARAM!$B$56))*HLOOKUP(($B414+PARAM!$B$56)/12,Loyalty,2)*$F$1*MAX(R413,0)</f>
        <v>18.557001321003963</v>
      </c>
      <c r="Q414" s="75">
        <f>PARAM!$C$26+MAX($G$6-CHOOSE(PARAM!$B$44,MAX(0,R413*$F$1),0),0)*RATES!$L390/12+$H$6*(PARAM!$D$51/12)*RATES!$N390/100</f>
        <v>55.958333333333343</v>
      </c>
      <c r="R414" s="16">
        <f t="shared" si="287"/>
        <v>-1570.0985129870296</v>
      </c>
      <c r="S414" s="15">
        <f t="shared" si="262"/>
        <v>22.170849845882874</v>
      </c>
      <c r="T414" s="75">
        <f>S414*(1-PARAM!$C$27)*$I$7+(MOD($B414,60)=PARAM!$B$56)*($B414&gt;(60-PARAM!$B$56))*HLOOKUP(($B414+PARAM!$B$56)/12,Loyalty,2)*$F$1*MAX(V413,0)</f>
        <v>18.557001321003963</v>
      </c>
      <c r="U414" s="75">
        <f>PARAM!$C$26+MAX($G$7-CHOOSE(PARAM!$B$44,MAX(0,V413*$F$1),0),0)*RATES!$L390/12+$H$7*(PARAM!$D$51/12)*RATES!$N390/100</f>
        <v>55.958333333333343</v>
      </c>
      <c r="V414" s="16">
        <f t="shared" si="288"/>
        <v>-1570.0985129870296</v>
      </c>
      <c r="W414" s="15">
        <f t="shared" si="263"/>
        <v>22.170849845882874</v>
      </c>
      <c r="X414" s="75">
        <f>W414*(1-PARAM!$C$27)*$I$8+(MOD($B414,60)=PARAM!$B$56)*($B414&gt;(60-PARAM!$B$56))*HLOOKUP(($B414+PARAM!$B$56)/12,Loyalty,2)*$F$1*MAX(Z413,0)</f>
        <v>18.557001321003963</v>
      </c>
      <c r="Y414" s="75">
        <f>PARAM!$C$26+MAX($G$8-CHOOSE(PARAM!$B$44,MAX(0,Z413*$F$1),0),0)*RATES!$L390/12+$H$8*(PARAM!$D$51/12)*RATES!$N390/100</f>
        <v>55.958333333333343</v>
      </c>
      <c r="Z414" s="16">
        <f t="shared" si="289"/>
        <v>-1570.0985129870296</v>
      </c>
      <c r="AA414" s="15">
        <f t="shared" si="264"/>
        <v>22.170849845882874</v>
      </c>
      <c r="AB414" s="75">
        <f>AA414*(1-PARAM!$C$27)*$I$9+(MOD($B414,60)=PARAM!$B$56)*($B414&gt;(60-PARAM!$B$56))*HLOOKUP(($B414+PARAM!$B$56)/12,Loyalty,2)*$F$1*MAX(AD413,0)</f>
        <v>18.557001321003963</v>
      </c>
      <c r="AC414" s="75">
        <f>PARAM!$C$26+MAX($G$9-CHOOSE(PARAM!$B$44,MAX(0,AD413*$F$1),0),0)*RATES!$L390/12+$H$9*(PARAM!$D$51/12)*RATES!$N390/100</f>
        <v>55.958333333333343</v>
      </c>
      <c r="AD414" s="16">
        <f t="shared" si="290"/>
        <v>-1570.0985129870296</v>
      </c>
      <c r="AE414" s="15">
        <f t="shared" si="265"/>
        <v>22.170849845882874</v>
      </c>
      <c r="AF414" s="75">
        <f>AE414*(1-PARAM!$C$27)*$I$10+(MOD($B414,60)=PARAM!$B$56)*($B414&gt;(60-PARAM!$B$56))*HLOOKUP(($B414+PARAM!$B$56)/12,Loyalty,2)*$F$1*MAX(AH413,0)</f>
        <v>18.557001321003963</v>
      </c>
      <c r="AG414" s="75">
        <f>PARAM!$C$26+MAX($G$10-CHOOSE(PARAM!$B$44,MAX(0,AH413*$F$1),0),0)*RATES!$L390/12+$H$10*(PARAM!$D$51/12)*RATES!$N390/100</f>
        <v>55.958333333333343</v>
      </c>
      <c r="AH414" s="16">
        <f t="shared" si="291"/>
        <v>-1570.0985129870296</v>
      </c>
      <c r="AI414" s="15">
        <f t="shared" si="266"/>
        <v>22.170849845882874</v>
      </c>
      <c r="AJ414" s="75">
        <f>AI414*(1-PARAM!$C$27)*$I$11+(MOD($B414,60)=PARAM!$B$56)*($B414&gt;(60-PARAM!$B$56))*HLOOKUP(($B414+PARAM!$B$56)/12,Loyalty,2)*$F$1*MAX(AL413,0)</f>
        <v>18.557001321003963</v>
      </c>
      <c r="AK414" s="75">
        <f>PARAM!$C$26+MAX($G$11-CHOOSE(PARAM!$B$44,MAX(0,AL413*$F$1),0),0)*RATES!$L390/12+$H$11*(PARAM!$D$51/12)*RATES!$N390/100</f>
        <v>55.958333333333343</v>
      </c>
      <c r="AL414" s="16">
        <f t="shared" si="292"/>
        <v>-1570.0985129870296</v>
      </c>
      <c r="AM414" s="15">
        <f t="shared" si="267"/>
        <v>22.170849845882874</v>
      </c>
      <c r="AN414" s="75">
        <f>AM414*(1-PARAM!$C$27)*$I$12+(MOD($B414,60)=PARAM!$B$56)*($B414&gt;(60-PARAM!$B$56))*HLOOKUP(($B414+PARAM!$B$56)/12,Loyalty,2)*$F$1*MAX(AP413,0)</f>
        <v>18.557001321003963</v>
      </c>
      <c r="AO414" s="75">
        <f>PARAM!$C$26+MAX($G$12-CHOOSE(PARAM!$B$44,MAX(0,AP413*$F$1),0),0)*RATES!$L390/12+$H$12*(PARAM!$D$51/12)*RATES!$N390/100</f>
        <v>55.958333333333343</v>
      </c>
      <c r="AP414" s="16">
        <f t="shared" si="293"/>
        <v>-1570.0985129870296</v>
      </c>
      <c r="AQ414" s="15">
        <f t="shared" si="268"/>
        <v>22.170849845882874</v>
      </c>
      <c r="AR414" s="75">
        <f>AQ414*(1-PARAM!$C$27)*$I$13+(MOD($B414,60)=PARAM!$B$56)*($B414&gt;(60-PARAM!$B$56))*HLOOKUP(($B414+PARAM!$B$56)/12,Loyalty,2)*$F$1*MAX(AT413,0)</f>
        <v>18.557001321003963</v>
      </c>
      <c r="AS414" s="75">
        <f>PARAM!$C$26+MAX($G$13-CHOOSE(PARAM!$B$44,MAX(0,AT413*$F$1),0),0)*RATES!$L390/12+$H$13*(PARAM!$D$51/12)*RATES!$N390/100</f>
        <v>55.958333333333343</v>
      </c>
      <c r="AT414" s="16">
        <f t="shared" si="294"/>
        <v>-1570.0985129870296</v>
      </c>
      <c r="AU414" s="15">
        <f t="shared" si="269"/>
        <v>22.170849845882874</v>
      </c>
      <c r="AV414" s="75">
        <f>AU414*(1-PARAM!$C$27)*$I$14+(MOD($B414,60)=PARAM!$B$56)*($B414&gt;(60-PARAM!$B$56))*HLOOKUP(($B414+PARAM!$B$56)/12,Loyalty,2)*$F$1*MAX(AX413,0)</f>
        <v>18.557001321003963</v>
      </c>
      <c r="AW414" s="75">
        <f>PARAM!$C$26+MAX($G$14-CHOOSE(PARAM!$B$44,MAX(0,AX413*$F$1),0),0)*RATES!$L390/12+$H$14*(PARAM!$D$51/12)*RATES!$N390/100</f>
        <v>55.958333333333343</v>
      </c>
      <c r="AX414" s="16">
        <f t="shared" si="295"/>
        <v>-1570.0985129870296</v>
      </c>
      <c r="AY414" s="15">
        <f t="shared" si="270"/>
        <v>22.170849845882874</v>
      </c>
      <c r="AZ414" s="75">
        <f>AY414*(1-PARAM!$C$27)*$I$15+(MOD($B414,60)=PARAM!$B$56)*($B414&gt;(60-PARAM!$B$56))*HLOOKUP(($B414+PARAM!$B$56)/12,Loyalty,2)*$F$1*MAX(BB413,0)</f>
        <v>18.557001321003963</v>
      </c>
      <c r="BA414" s="75">
        <f>PARAM!$C$26+MAX($G$15-CHOOSE(PARAM!$B$44,MAX(0,BB413*$F$1),0),0)*RATES!$L390/12+$H$15*(PARAM!$D$51/12)*RATES!$N390/100</f>
        <v>55.958333333333343</v>
      </c>
      <c r="BB414" s="16">
        <f t="shared" si="296"/>
        <v>-1570.0985129870296</v>
      </c>
      <c r="BC414" s="15">
        <f t="shared" si="271"/>
        <v>22.170849845882874</v>
      </c>
      <c r="BD414" s="75">
        <f>BC414*(1-PARAM!$C$27)*$I$16+(MOD($B414,60)=PARAM!$B$56)*($B414&gt;(60-PARAM!$B$56))*HLOOKUP(($B414+PARAM!$B$56)/12,Loyalty,2)*$F$1*MAX(BF413,0)</f>
        <v>18.557001321003963</v>
      </c>
      <c r="BE414" s="75">
        <f>PARAM!$C$26+MAX($G$16-CHOOSE(PARAM!$B$44,MAX(0,BF413*$F$1),0),0)*RATES!$L390/12+$H$16*(PARAM!$D$51/12)*RATES!$N390/100</f>
        <v>55.958333333333343</v>
      </c>
      <c r="BF414" s="16">
        <f t="shared" si="297"/>
        <v>-1570.0985129870296</v>
      </c>
      <c r="BG414" s="15">
        <f t="shared" si="272"/>
        <v>22.170849845882874</v>
      </c>
      <c r="BH414" s="75">
        <f>BG414*(1-PARAM!$C$27)*$I$17+(MOD($B414,60)=PARAM!$B$56)*($B414&gt;(60-PARAM!$B$56))*HLOOKUP(($B414+PARAM!$B$56)/12,Loyalty,2)*$F$1*MAX(BJ413,0)</f>
        <v>18.557001321003963</v>
      </c>
      <c r="BI414" s="75">
        <f>PARAM!$C$26+MAX($G$17-CHOOSE(PARAM!$B$44,MAX(0,BJ413*$F$1),0),0)*RATES!$L390/12+$H$17*(PARAM!$D$51/12)*RATES!$N390/100</f>
        <v>55.958333333333343</v>
      </c>
      <c r="BJ414" s="16">
        <f t="shared" si="298"/>
        <v>-1570.0985129870296</v>
      </c>
      <c r="BK414" s="15">
        <f t="shared" si="273"/>
        <v>22.170849845882874</v>
      </c>
      <c r="BL414" s="75">
        <f>BK414*(1-PARAM!$C$27)*$I$18+(MOD($B414,60)=PARAM!$B$56)*($B414&gt;(60-PARAM!$B$56))*HLOOKUP(($B414+PARAM!$B$56)/12,Loyalty,2)*$F$1*MAX(BN413,0)</f>
        <v>18.557001321003963</v>
      </c>
      <c r="BM414" s="75">
        <f>PARAM!$C$26+MAX($G$18-CHOOSE(PARAM!$B$44,MAX(0,BN413*$F$1),0),0)*RATES!$L390/12+$H$18*(PARAM!$D$51/12)*RATES!$N390/100</f>
        <v>55.958333333333343</v>
      </c>
      <c r="BN414" s="16">
        <f t="shared" si="299"/>
        <v>-1570.0985129870296</v>
      </c>
      <c r="BO414" s="15">
        <f t="shared" si="274"/>
        <v>22.170849845882874</v>
      </c>
      <c r="BP414" s="75">
        <f>BO414*(1-PARAM!$C$27)*$I$19+(MOD($B414,60)=PARAM!$B$56)*($B414&gt;(60-PARAM!$B$56))*HLOOKUP(($B414+PARAM!$B$56)/12,Loyalty,2)*$F$1*MAX(BR413,0)</f>
        <v>18.557001321003963</v>
      </c>
      <c r="BQ414" s="75">
        <f>PARAM!$C$26+MAX($G$19-CHOOSE(PARAM!$B$44,MAX(0,BR413*$F$1),0),0)*RATES!$L390/12+$H$19*(PARAM!$D$51/12)*RATES!$N390/100</f>
        <v>55.958333333333343</v>
      </c>
      <c r="BR414" s="16">
        <f t="shared" si="300"/>
        <v>-1570.0985129870296</v>
      </c>
      <c r="BS414" s="15">
        <f t="shared" si="275"/>
        <v>22.170849845882874</v>
      </c>
      <c r="BT414" s="75">
        <f>BS414*(1-PARAM!$C$27)*$I$20+(MOD($B414,60)=PARAM!$B$56)*($B414&gt;(60-PARAM!$B$56))*HLOOKUP(($B414+PARAM!$B$56)/12,Loyalty,2)*$F$1*MAX(BV413,0)</f>
        <v>18.557001321003963</v>
      </c>
      <c r="BU414" s="75">
        <f>PARAM!$C$26+MAX($G$20-CHOOSE(PARAM!$B$44,MAX(0,BV413*$F$1),0),0)*RATES!$L390/12+$H$20*(PARAM!$D$51/12)*RATES!$N390/100</f>
        <v>55.958333333333343</v>
      </c>
      <c r="BV414" s="16">
        <f t="shared" si="301"/>
        <v>-1570.0985129870296</v>
      </c>
      <c r="BW414" s="15">
        <f t="shared" si="276"/>
        <v>22.170849845882874</v>
      </c>
      <c r="BX414" s="75">
        <f>BW414*(1-PARAM!$C$27)*$I$21+(MOD($B414,60)=PARAM!$B$56)*($B414&gt;(60-PARAM!$B$56))*HLOOKUP(($B414+PARAM!$B$56)/12,Loyalty,2)*$F$1*MAX(BZ413,0)</f>
        <v>18.557001321003963</v>
      </c>
      <c r="BY414" s="75">
        <f>PARAM!$C$26+MAX($G$21-CHOOSE(PARAM!$B$44,MAX(0,BZ413*$F$1),0),0)*RATES!$L390/12+$H$21*(PARAM!$D$51/12)*RATES!$N390/100</f>
        <v>55.958333333333343</v>
      </c>
      <c r="BZ414" s="16">
        <f t="shared" si="302"/>
        <v>-1570.0985129870296</v>
      </c>
      <c r="CA414" s="15">
        <f t="shared" si="277"/>
        <v>22.170849845882874</v>
      </c>
      <c r="CB414" s="75">
        <f>CA414*(1-PARAM!$C$27)*$I$22+(MOD($B414,60)=PARAM!$B$56)*($B414&gt;(60-PARAM!$B$56))*HLOOKUP(($B414+PARAM!$B$56)/12,Loyalty,2)*$F$1*MAX(CD413,0)</f>
        <v>18.557001321003963</v>
      </c>
      <c r="CC414" s="75">
        <f>PARAM!$C$26+MAX($G$22-CHOOSE(PARAM!$B$44,MAX(0,CD413*$F$1),0),0)*RATES!$L390/12+$H$22*(PARAM!$D$51/12)*RATES!$N390/100</f>
        <v>55.958333333333343</v>
      </c>
      <c r="CD414" s="16">
        <f t="shared" si="303"/>
        <v>-1570.0985129870296</v>
      </c>
      <c r="CE414" s="33">
        <f>IF(0=MOD(B414,12/PARAM!$D$51),1,0)</f>
        <v>1</v>
      </c>
      <c r="CF414" s="15">
        <f t="shared" si="278"/>
        <v>0</v>
      </c>
      <c r="CG414" s="75">
        <f>CF414*(1-PARAM!$C$27)*$R$3+(MOD($B414/12,5)=0)*($B414&gt;60)*HLOOKUP($B414/12,Loyalty,2)*$F$1*MAX(CI413,0)</f>
        <v>0</v>
      </c>
      <c r="CH414" s="75">
        <f>PARAM!$C$26+MAX($P$3-CHOOSE(PARAM!$B$44,MAX(0,CI413*$F$1),0),0)*RATES!$L390/12+$Q$3*(PARAM!$D$51/12)*RATES!$N390/100</f>
        <v>55.958333333333343</v>
      </c>
      <c r="CI414" s="16">
        <f>IF(CI413&gt;0,CI413*PARAM!$C$53,CI413)+CG414-CH414</f>
        <v>-8632.0833333333194</v>
      </c>
      <c r="CJ414" s="15">
        <f t="shared" si="304"/>
        <v>0</v>
      </c>
      <c r="CK414" s="75">
        <f>CJ414*(1-PARAM!$C$27)*$R$4+(MOD($B414/12,5)=0)*($B414&gt;60)*HLOOKUP($B414/12,Loyalty,2)*$F$1*MAX(CM413,0)</f>
        <v>0</v>
      </c>
      <c r="CL414" s="75">
        <f>PARAM!$C$26+MAX($P$4-CHOOSE(PARAM!$B$44,MAX(0,CM413*$F$1),0),0)*RATES!$L390/12+$Q$4*(PARAM!$D$51/12)*RATES!$N390/100</f>
        <v>55.958333333333343</v>
      </c>
      <c r="CM414" s="16">
        <f>IF(CM413&gt;0,CM413*PARAM!$C$53,CM413)+CK414-CL414</f>
        <v>-8632.0833333333194</v>
      </c>
      <c r="CO414" s="176"/>
    </row>
    <row r="415" spans="1:93" x14ac:dyDescent="0.2">
      <c r="A415" t="b">
        <f t="shared" si="279"/>
        <v>0</v>
      </c>
      <c r="B415" s="33">
        <v>388</v>
      </c>
      <c r="C415" s="15">
        <f t="shared" si="280"/>
        <v>20.081305947392778</v>
      </c>
      <c r="D415" s="75">
        <f>C415*(1-PARAM!$C$27)*$I$3+(MOD($B415,60)=PARAM!$B$56)*($B415&gt;(60-PARAM!$B$56))*HLOOKUP(($B415+PARAM!$B$56)/12,Loyalty,2)*$F$1*MAX(F414,0)</f>
        <v>16.808053077967756</v>
      </c>
      <c r="E415" s="75">
        <f>PARAM!$C$26+MAX($G$3-CHOOSE(PARAM!$B$44,MAX(0,F414*$F$1),0),0)*RATES!$L391/12+$H$3*(PARAM!$D$51/12)*RATES!$N391/100</f>
        <v>55.958333333333343</v>
      </c>
      <c r="F415" s="16">
        <f t="shared" si="281"/>
        <v>-2322.9422638189117</v>
      </c>
      <c r="G415" s="15">
        <f t="shared" si="282"/>
        <v>22.035289406060361</v>
      </c>
      <c r="H415" s="75">
        <f>G415*(1-PARAM!$C$27)*$I$4+(MOD($B415,60)=PARAM!$B$56)*($B415&gt;(60-PARAM!$B$56))*HLOOKUP(($B415+PARAM!$B$56)/12,Loyalty,2)*$F$1*MAX(J414,0)</f>
        <v>18.443537232872522</v>
      </c>
      <c r="I415" s="75">
        <f>PARAM!$C$26+MAX($G$4-CHOOSE(PARAM!$B$44,MAX(0,J414*$F$1),0),0)*RATES!$L391/12+$H$4*(PARAM!$D$51/12)*RATES!$N391/100</f>
        <v>55.958333333333343</v>
      </c>
      <c r="J415" s="16">
        <f t="shared" si="283"/>
        <v>-1654.5414475941527</v>
      </c>
      <c r="K415" s="15">
        <f t="shared" si="284"/>
        <v>22.170849845882874</v>
      </c>
      <c r="L415" s="75">
        <f>K415*(1-PARAM!$C$27)*$I$5+(MOD($B415,60)=PARAM!$B$56)*($B415&gt;(60-PARAM!$B$56))*HLOOKUP(($B415+PARAM!$B$56)/12,Loyalty,2)*$F$1*MAX(N414,0)</f>
        <v>18.557001321003963</v>
      </c>
      <c r="M415" s="75">
        <f>PARAM!$C$26+MAX($G$5-CHOOSE(PARAM!$B$44,MAX(0,N414*$F$1),0),0)*RATES!$L391/12+$H$5*(PARAM!$D$51/12)*RATES!$N391/100</f>
        <v>55.958333333333343</v>
      </c>
      <c r="N415" s="16">
        <f t="shared" si="285"/>
        <v>-1607.4998449993589</v>
      </c>
      <c r="O415" s="15">
        <f t="shared" si="286"/>
        <v>22.170849845882874</v>
      </c>
      <c r="P415" s="75">
        <f>O415*(1-PARAM!$C$27)*$I$6+(MOD($B415,60)=PARAM!$B$56)*($B415&gt;(60-PARAM!$B$56))*HLOOKUP(($B415+PARAM!$B$56)/12,Loyalty,2)*$F$1*MAX(R414,0)</f>
        <v>18.557001321003963</v>
      </c>
      <c r="Q415" s="75">
        <f>PARAM!$C$26+MAX($G$6-CHOOSE(PARAM!$B$44,MAX(0,R414*$F$1),0),0)*RATES!$L391/12+$H$6*(PARAM!$D$51/12)*RATES!$N391/100</f>
        <v>55.958333333333343</v>
      </c>
      <c r="R415" s="16">
        <f t="shared" si="287"/>
        <v>-1607.4998449993589</v>
      </c>
      <c r="S415" s="15">
        <f t="shared" si="262"/>
        <v>22.170849845882874</v>
      </c>
      <c r="T415" s="75">
        <f>S415*(1-PARAM!$C$27)*$I$7+(MOD($B415,60)=PARAM!$B$56)*($B415&gt;(60-PARAM!$B$56))*HLOOKUP(($B415+PARAM!$B$56)/12,Loyalty,2)*$F$1*MAX(V414,0)</f>
        <v>18.557001321003963</v>
      </c>
      <c r="U415" s="75">
        <f>PARAM!$C$26+MAX($G$7-CHOOSE(PARAM!$B$44,MAX(0,V414*$F$1),0),0)*RATES!$L391/12+$H$7*(PARAM!$D$51/12)*RATES!$N391/100</f>
        <v>55.958333333333343</v>
      </c>
      <c r="V415" s="16">
        <f t="shared" si="288"/>
        <v>-1607.4998449993589</v>
      </c>
      <c r="W415" s="15">
        <f t="shared" si="263"/>
        <v>22.170849845882874</v>
      </c>
      <c r="X415" s="75">
        <f>W415*(1-PARAM!$C$27)*$I$8+(MOD($B415,60)=PARAM!$B$56)*($B415&gt;(60-PARAM!$B$56))*HLOOKUP(($B415+PARAM!$B$56)/12,Loyalty,2)*$F$1*MAX(Z414,0)</f>
        <v>18.557001321003963</v>
      </c>
      <c r="Y415" s="75">
        <f>PARAM!$C$26+MAX($G$8-CHOOSE(PARAM!$B$44,MAX(0,Z414*$F$1),0),0)*RATES!$L391/12+$H$8*(PARAM!$D$51/12)*RATES!$N391/100</f>
        <v>55.958333333333343</v>
      </c>
      <c r="Z415" s="16">
        <f t="shared" si="289"/>
        <v>-1607.4998449993589</v>
      </c>
      <c r="AA415" s="15">
        <f t="shared" si="264"/>
        <v>22.170849845882874</v>
      </c>
      <c r="AB415" s="75">
        <f>AA415*(1-PARAM!$C$27)*$I$9+(MOD($B415,60)=PARAM!$B$56)*($B415&gt;(60-PARAM!$B$56))*HLOOKUP(($B415+PARAM!$B$56)/12,Loyalty,2)*$F$1*MAX(AD414,0)</f>
        <v>18.557001321003963</v>
      </c>
      <c r="AC415" s="75">
        <f>PARAM!$C$26+MAX($G$9-CHOOSE(PARAM!$B$44,MAX(0,AD414*$F$1),0),0)*RATES!$L391/12+$H$9*(PARAM!$D$51/12)*RATES!$N391/100</f>
        <v>55.958333333333343</v>
      </c>
      <c r="AD415" s="16">
        <f t="shared" si="290"/>
        <v>-1607.4998449993589</v>
      </c>
      <c r="AE415" s="15">
        <f t="shared" si="265"/>
        <v>22.170849845882874</v>
      </c>
      <c r="AF415" s="75">
        <f>AE415*(1-PARAM!$C$27)*$I$10+(MOD($B415,60)=PARAM!$B$56)*($B415&gt;(60-PARAM!$B$56))*HLOOKUP(($B415+PARAM!$B$56)/12,Loyalty,2)*$F$1*MAX(AH414,0)</f>
        <v>18.557001321003963</v>
      </c>
      <c r="AG415" s="75">
        <f>PARAM!$C$26+MAX($G$10-CHOOSE(PARAM!$B$44,MAX(0,AH414*$F$1),0),0)*RATES!$L391/12+$H$10*(PARAM!$D$51/12)*RATES!$N391/100</f>
        <v>55.958333333333343</v>
      </c>
      <c r="AH415" s="16">
        <f t="shared" si="291"/>
        <v>-1607.4998449993589</v>
      </c>
      <c r="AI415" s="15">
        <f t="shared" si="266"/>
        <v>22.170849845882874</v>
      </c>
      <c r="AJ415" s="75">
        <f>AI415*(1-PARAM!$C$27)*$I$11+(MOD($B415,60)=PARAM!$B$56)*($B415&gt;(60-PARAM!$B$56))*HLOOKUP(($B415+PARAM!$B$56)/12,Loyalty,2)*$F$1*MAX(AL414,0)</f>
        <v>18.557001321003963</v>
      </c>
      <c r="AK415" s="75">
        <f>PARAM!$C$26+MAX($G$11-CHOOSE(PARAM!$B$44,MAX(0,AL414*$F$1),0),0)*RATES!$L391/12+$H$11*(PARAM!$D$51/12)*RATES!$N391/100</f>
        <v>55.958333333333343</v>
      </c>
      <c r="AL415" s="16">
        <f t="shared" si="292"/>
        <v>-1607.4998449993589</v>
      </c>
      <c r="AM415" s="15">
        <f t="shared" si="267"/>
        <v>22.170849845882874</v>
      </c>
      <c r="AN415" s="75">
        <f>AM415*(1-PARAM!$C$27)*$I$12+(MOD($B415,60)=PARAM!$B$56)*($B415&gt;(60-PARAM!$B$56))*HLOOKUP(($B415+PARAM!$B$56)/12,Loyalty,2)*$F$1*MAX(AP414,0)</f>
        <v>18.557001321003963</v>
      </c>
      <c r="AO415" s="75">
        <f>PARAM!$C$26+MAX($G$12-CHOOSE(PARAM!$B$44,MAX(0,AP414*$F$1),0),0)*RATES!$L391/12+$H$12*(PARAM!$D$51/12)*RATES!$N391/100</f>
        <v>55.958333333333343</v>
      </c>
      <c r="AP415" s="16">
        <f t="shared" si="293"/>
        <v>-1607.4998449993589</v>
      </c>
      <c r="AQ415" s="15">
        <f t="shared" si="268"/>
        <v>22.170849845882874</v>
      </c>
      <c r="AR415" s="75">
        <f>AQ415*(1-PARAM!$C$27)*$I$13+(MOD($B415,60)=PARAM!$B$56)*($B415&gt;(60-PARAM!$B$56))*HLOOKUP(($B415+PARAM!$B$56)/12,Loyalty,2)*$F$1*MAX(AT414,0)</f>
        <v>18.557001321003963</v>
      </c>
      <c r="AS415" s="75">
        <f>PARAM!$C$26+MAX($G$13-CHOOSE(PARAM!$B$44,MAX(0,AT414*$F$1),0),0)*RATES!$L391/12+$H$13*(PARAM!$D$51/12)*RATES!$N391/100</f>
        <v>55.958333333333343</v>
      </c>
      <c r="AT415" s="16">
        <f t="shared" si="294"/>
        <v>-1607.4998449993589</v>
      </c>
      <c r="AU415" s="15">
        <f t="shared" si="269"/>
        <v>22.170849845882874</v>
      </c>
      <c r="AV415" s="75">
        <f>AU415*(1-PARAM!$C$27)*$I$14+(MOD($B415,60)=PARAM!$B$56)*($B415&gt;(60-PARAM!$B$56))*HLOOKUP(($B415+PARAM!$B$56)/12,Loyalty,2)*$F$1*MAX(AX414,0)</f>
        <v>18.557001321003963</v>
      </c>
      <c r="AW415" s="75">
        <f>PARAM!$C$26+MAX($G$14-CHOOSE(PARAM!$B$44,MAX(0,AX414*$F$1),0),0)*RATES!$L391/12+$H$14*(PARAM!$D$51/12)*RATES!$N391/100</f>
        <v>55.958333333333343</v>
      </c>
      <c r="AX415" s="16">
        <f t="shared" si="295"/>
        <v>-1607.4998449993589</v>
      </c>
      <c r="AY415" s="15">
        <f t="shared" si="270"/>
        <v>22.170849845882874</v>
      </c>
      <c r="AZ415" s="75">
        <f>AY415*(1-PARAM!$C$27)*$I$15+(MOD($B415,60)=PARAM!$B$56)*($B415&gt;(60-PARAM!$B$56))*HLOOKUP(($B415+PARAM!$B$56)/12,Loyalty,2)*$F$1*MAX(BB414,0)</f>
        <v>18.557001321003963</v>
      </c>
      <c r="BA415" s="75">
        <f>PARAM!$C$26+MAX($G$15-CHOOSE(PARAM!$B$44,MAX(0,BB414*$F$1),0),0)*RATES!$L391/12+$H$15*(PARAM!$D$51/12)*RATES!$N391/100</f>
        <v>55.958333333333343</v>
      </c>
      <c r="BB415" s="16">
        <f t="shared" si="296"/>
        <v>-1607.4998449993589</v>
      </c>
      <c r="BC415" s="15">
        <f t="shared" si="271"/>
        <v>22.170849845882874</v>
      </c>
      <c r="BD415" s="75">
        <f>BC415*(1-PARAM!$C$27)*$I$16+(MOD($B415,60)=PARAM!$B$56)*($B415&gt;(60-PARAM!$B$56))*HLOOKUP(($B415+PARAM!$B$56)/12,Loyalty,2)*$F$1*MAX(BF414,0)</f>
        <v>18.557001321003963</v>
      </c>
      <c r="BE415" s="75">
        <f>PARAM!$C$26+MAX($G$16-CHOOSE(PARAM!$B$44,MAX(0,BF414*$F$1),0),0)*RATES!$L391/12+$H$16*(PARAM!$D$51/12)*RATES!$N391/100</f>
        <v>55.958333333333343</v>
      </c>
      <c r="BF415" s="16">
        <f t="shared" si="297"/>
        <v>-1607.4998449993589</v>
      </c>
      <c r="BG415" s="15">
        <f t="shared" si="272"/>
        <v>22.170849845882874</v>
      </c>
      <c r="BH415" s="75">
        <f>BG415*(1-PARAM!$C$27)*$I$17+(MOD($B415,60)=PARAM!$B$56)*($B415&gt;(60-PARAM!$B$56))*HLOOKUP(($B415+PARAM!$B$56)/12,Loyalty,2)*$F$1*MAX(BJ414,0)</f>
        <v>18.557001321003963</v>
      </c>
      <c r="BI415" s="75">
        <f>PARAM!$C$26+MAX($G$17-CHOOSE(PARAM!$B$44,MAX(0,BJ414*$F$1),0),0)*RATES!$L391/12+$H$17*(PARAM!$D$51/12)*RATES!$N391/100</f>
        <v>55.958333333333343</v>
      </c>
      <c r="BJ415" s="16">
        <f t="shared" si="298"/>
        <v>-1607.4998449993589</v>
      </c>
      <c r="BK415" s="15">
        <f t="shared" si="273"/>
        <v>22.170849845882874</v>
      </c>
      <c r="BL415" s="75">
        <f>BK415*(1-PARAM!$C$27)*$I$18+(MOD($B415,60)=PARAM!$B$56)*($B415&gt;(60-PARAM!$B$56))*HLOOKUP(($B415+PARAM!$B$56)/12,Loyalty,2)*$F$1*MAX(BN414,0)</f>
        <v>18.557001321003963</v>
      </c>
      <c r="BM415" s="75">
        <f>PARAM!$C$26+MAX($G$18-CHOOSE(PARAM!$B$44,MAX(0,BN414*$F$1),0),0)*RATES!$L391/12+$H$18*(PARAM!$D$51/12)*RATES!$N391/100</f>
        <v>55.958333333333343</v>
      </c>
      <c r="BN415" s="16">
        <f t="shared" si="299"/>
        <v>-1607.4998449993589</v>
      </c>
      <c r="BO415" s="15">
        <f t="shared" si="274"/>
        <v>22.170849845882874</v>
      </c>
      <c r="BP415" s="75">
        <f>BO415*(1-PARAM!$C$27)*$I$19+(MOD($B415,60)=PARAM!$B$56)*($B415&gt;(60-PARAM!$B$56))*HLOOKUP(($B415+PARAM!$B$56)/12,Loyalty,2)*$F$1*MAX(BR414,0)</f>
        <v>18.557001321003963</v>
      </c>
      <c r="BQ415" s="75">
        <f>PARAM!$C$26+MAX($G$19-CHOOSE(PARAM!$B$44,MAX(0,BR414*$F$1),0),0)*RATES!$L391/12+$H$19*(PARAM!$D$51/12)*RATES!$N391/100</f>
        <v>55.958333333333343</v>
      </c>
      <c r="BR415" s="16">
        <f t="shared" si="300"/>
        <v>-1607.4998449993589</v>
      </c>
      <c r="BS415" s="15">
        <f t="shared" si="275"/>
        <v>22.170849845882874</v>
      </c>
      <c r="BT415" s="75">
        <f>BS415*(1-PARAM!$C$27)*$I$20+(MOD($B415,60)=PARAM!$B$56)*($B415&gt;(60-PARAM!$B$56))*HLOOKUP(($B415+PARAM!$B$56)/12,Loyalty,2)*$F$1*MAX(BV414,0)</f>
        <v>18.557001321003963</v>
      </c>
      <c r="BU415" s="75">
        <f>PARAM!$C$26+MAX($G$20-CHOOSE(PARAM!$B$44,MAX(0,BV414*$F$1),0),0)*RATES!$L391/12+$H$20*(PARAM!$D$51/12)*RATES!$N391/100</f>
        <v>55.958333333333343</v>
      </c>
      <c r="BV415" s="16">
        <f t="shared" si="301"/>
        <v>-1607.4998449993589</v>
      </c>
      <c r="BW415" s="15">
        <f t="shared" si="276"/>
        <v>22.170849845882874</v>
      </c>
      <c r="BX415" s="75">
        <f>BW415*(1-PARAM!$C$27)*$I$21+(MOD($B415,60)=PARAM!$B$56)*($B415&gt;(60-PARAM!$B$56))*HLOOKUP(($B415+PARAM!$B$56)/12,Loyalty,2)*$F$1*MAX(BZ414,0)</f>
        <v>18.557001321003963</v>
      </c>
      <c r="BY415" s="75">
        <f>PARAM!$C$26+MAX($G$21-CHOOSE(PARAM!$B$44,MAX(0,BZ414*$F$1),0),0)*RATES!$L391/12+$H$21*(PARAM!$D$51/12)*RATES!$N391/100</f>
        <v>55.958333333333343</v>
      </c>
      <c r="BZ415" s="16">
        <f t="shared" si="302"/>
        <v>-1607.4998449993589</v>
      </c>
      <c r="CA415" s="15">
        <f t="shared" si="277"/>
        <v>22.170849845882874</v>
      </c>
      <c r="CB415" s="75">
        <f>CA415*(1-PARAM!$C$27)*$I$22+(MOD($B415,60)=PARAM!$B$56)*($B415&gt;(60-PARAM!$B$56))*HLOOKUP(($B415+PARAM!$B$56)/12,Loyalty,2)*$F$1*MAX(CD414,0)</f>
        <v>18.557001321003963</v>
      </c>
      <c r="CC415" s="75">
        <f>PARAM!$C$26+MAX($G$22-CHOOSE(PARAM!$B$44,MAX(0,CD414*$F$1),0),0)*RATES!$L391/12+$H$22*(PARAM!$D$51/12)*RATES!$N391/100</f>
        <v>55.958333333333343</v>
      </c>
      <c r="CD415" s="16">
        <f t="shared" si="303"/>
        <v>-1607.4998449993589</v>
      </c>
      <c r="CE415" s="33">
        <f>IF(0=MOD(B415,12/PARAM!$D$51),1,0)</f>
        <v>1</v>
      </c>
      <c r="CF415" s="15">
        <f t="shared" si="278"/>
        <v>0</v>
      </c>
      <c r="CG415" s="75">
        <f>CF415*(1-PARAM!$C$27)*$R$3+(MOD($B415/12,5)=0)*($B415&gt;60)*HLOOKUP($B415/12,Loyalty,2)*$F$1*MAX(CI414,0)</f>
        <v>0</v>
      </c>
      <c r="CH415" s="75">
        <f>PARAM!$C$26+MAX($P$3-CHOOSE(PARAM!$B$44,MAX(0,CI414*$F$1),0),0)*RATES!$L391/12+$Q$3*(PARAM!$D$51/12)*RATES!$N391/100</f>
        <v>55.958333333333343</v>
      </c>
      <c r="CI415" s="16">
        <f>IF(CI414&gt;0,CI414*PARAM!$C$53,CI414)+CG415-CH415</f>
        <v>-8688.0416666666533</v>
      </c>
      <c r="CJ415" s="15">
        <f t="shared" si="304"/>
        <v>0</v>
      </c>
      <c r="CK415" s="75">
        <f>CJ415*(1-PARAM!$C$27)*$R$4+(MOD($B415/12,5)=0)*($B415&gt;60)*HLOOKUP($B415/12,Loyalty,2)*$F$1*MAX(CM414,0)</f>
        <v>0</v>
      </c>
      <c r="CL415" s="75">
        <f>PARAM!$C$26+MAX($P$4-CHOOSE(PARAM!$B$44,MAX(0,CM414*$F$1),0),0)*RATES!$L391/12+$Q$4*(PARAM!$D$51/12)*RATES!$N391/100</f>
        <v>55.958333333333343</v>
      </c>
      <c r="CM415" s="16">
        <f>IF(CM414&gt;0,CM414*PARAM!$C$53,CM414)+CK415-CL415</f>
        <v>-8688.0416666666533</v>
      </c>
      <c r="CO415" s="176"/>
    </row>
    <row r="416" spans="1:93" x14ac:dyDescent="0.2">
      <c r="A416" t="b">
        <f t="shared" si="279"/>
        <v>0</v>
      </c>
      <c r="B416" s="33">
        <v>389</v>
      </c>
      <c r="C416" s="15">
        <f t="shared" si="280"/>
        <v>20.081305947392778</v>
      </c>
      <c r="D416" s="75">
        <f>C416*(1-PARAM!$C$27)*$I$3+(MOD($B416,60)=PARAM!$B$56)*($B416&gt;(60-PARAM!$B$56))*HLOOKUP(($B416+PARAM!$B$56)/12,Loyalty,2)*$F$1*MAX(F415,0)</f>
        <v>16.808053077967756</v>
      </c>
      <c r="E416" s="75">
        <f>PARAM!$C$26+MAX($G$3-CHOOSE(PARAM!$B$44,MAX(0,F415*$F$1),0),0)*RATES!$L392/12+$H$3*(PARAM!$D$51/12)*RATES!$N392/100</f>
        <v>55.958333333333343</v>
      </c>
      <c r="F416" s="16">
        <f t="shared" si="281"/>
        <v>-2362.0925440742776</v>
      </c>
      <c r="G416" s="15">
        <f t="shared" si="282"/>
        <v>22.035289406060361</v>
      </c>
      <c r="H416" s="75">
        <f>G416*(1-PARAM!$C$27)*$I$4+(MOD($B416,60)=PARAM!$B$56)*($B416&gt;(60-PARAM!$B$56))*HLOOKUP(($B416+PARAM!$B$56)/12,Loyalty,2)*$F$1*MAX(J415,0)</f>
        <v>18.443537232872522</v>
      </c>
      <c r="I416" s="75">
        <f>PARAM!$C$26+MAX($G$4-CHOOSE(PARAM!$B$44,MAX(0,J415*$F$1),0),0)*RATES!$L392/12+$H$4*(PARAM!$D$51/12)*RATES!$N392/100</f>
        <v>55.958333333333343</v>
      </c>
      <c r="J416" s="16">
        <f t="shared" si="283"/>
        <v>-1692.0562436946134</v>
      </c>
      <c r="K416" s="15">
        <f t="shared" si="284"/>
        <v>22.170849845882874</v>
      </c>
      <c r="L416" s="75">
        <f>K416*(1-PARAM!$C$27)*$I$5+(MOD($B416,60)=PARAM!$B$56)*($B416&gt;(60-PARAM!$B$56))*HLOOKUP(($B416+PARAM!$B$56)/12,Loyalty,2)*$F$1*MAX(N415,0)</f>
        <v>18.557001321003963</v>
      </c>
      <c r="M416" s="75">
        <f>PARAM!$C$26+MAX($G$5-CHOOSE(PARAM!$B$44,MAX(0,N415*$F$1),0),0)*RATES!$L392/12+$H$5*(PARAM!$D$51/12)*RATES!$N392/100</f>
        <v>55.958333333333343</v>
      </c>
      <c r="N416" s="16">
        <f t="shared" si="285"/>
        <v>-1644.9011770116881</v>
      </c>
      <c r="O416" s="15">
        <f t="shared" si="286"/>
        <v>22.170849845882874</v>
      </c>
      <c r="P416" s="75">
        <f>O416*(1-PARAM!$C$27)*$I$6+(MOD($B416,60)=PARAM!$B$56)*($B416&gt;(60-PARAM!$B$56))*HLOOKUP(($B416+PARAM!$B$56)/12,Loyalty,2)*$F$1*MAX(R415,0)</f>
        <v>18.557001321003963</v>
      </c>
      <c r="Q416" s="75">
        <f>PARAM!$C$26+MAX($G$6-CHOOSE(PARAM!$B$44,MAX(0,R415*$F$1),0),0)*RATES!$L392/12+$H$6*(PARAM!$D$51/12)*RATES!$N392/100</f>
        <v>55.958333333333343</v>
      </c>
      <c r="R416" s="16">
        <f t="shared" si="287"/>
        <v>-1644.9011770116881</v>
      </c>
      <c r="S416" s="15">
        <f t="shared" si="262"/>
        <v>22.170849845882874</v>
      </c>
      <c r="T416" s="75">
        <f>S416*(1-PARAM!$C$27)*$I$7+(MOD($B416,60)=PARAM!$B$56)*($B416&gt;(60-PARAM!$B$56))*HLOOKUP(($B416+PARAM!$B$56)/12,Loyalty,2)*$F$1*MAX(V415,0)</f>
        <v>18.557001321003963</v>
      </c>
      <c r="U416" s="75">
        <f>PARAM!$C$26+MAX($G$7-CHOOSE(PARAM!$B$44,MAX(0,V415*$F$1),0),0)*RATES!$L392/12+$H$7*(PARAM!$D$51/12)*RATES!$N392/100</f>
        <v>55.958333333333343</v>
      </c>
      <c r="V416" s="16">
        <f t="shared" si="288"/>
        <v>-1644.9011770116881</v>
      </c>
      <c r="W416" s="15">
        <f t="shared" si="263"/>
        <v>22.170849845882874</v>
      </c>
      <c r="X416" s="75">
        <f>W416*(1-PARAM!$C$27)*$I$8+(MOD($B416,60)=PARAM!$B$56)*($B416&gt;(60-PARAM!$B$56))*HLOOKUP(($B416+PARAM!$B$56)/12,Loyalty,2)*$F$1*MAX(Z415,0)</f>
        <v>18.557001321003963</v>
      </c>
      <c r="Y416" s="75">
        <f>PARAM!$C$26+MAX($G$8-CHOOSE(PARAM!$B$44,MAX(0,Z415*$F$1),0),0)*RATES!$L392/12+$H$8*(PARAM!$D$51/12)*RATES!$N392/100</f>
        <v>55.958333333333343</v>
      </c>
      <c r="Z416" s="16">
        <f t="shared" si="289"/>
        <v>-1644.9011770116881</v>
      </c>
      <c r="AA416" s="15">
        <f t="shared" si="264"/>
        <v>22.170849845882874</v>
      </c>
      <c r="AB416" s="75">
        <f>AA416*(1-PARAM!$C$27)*$I$9+(MOD($B416,60)=PARAM!$B$56)*($B416&gt;(60-PARAM!$B$56))*HLOOKUP(($B416+PARAM!$B$56)/12,Loyalty,2)*$F$1*MAX(AD415,0)</f>
        <v>18.557001321003963</v>
      </c>
      <c r="AC416" s="75">
        <f>PARAM!$C$26+MAX($G$9-CHOOSE(PARAM!$B$44,MAX(0,AD415*$F$1),0),0)*RATES!$L392/12+$H$9*(PARAM!$D$51/12)*RATES!$N392/100</f>
        <v>55.958333333333343</v>
      </c>
      <c r="AD416" s="16">
        <f t="shared" si="290"/>
        <v>-1644.9011770116881</v>
      </c>
      <c r="AE416" s="15">
        <f t="shared" si="265"/>
        <v>22.170849845882874</v>
      </c>
      <c r="AF416" s="75">
        <f>AE416*(1-PARAM!$C$27)*$I$10+(MOD($B416,60)=PARAM!$B$56)*($B416&gt;(60-PARAM!$B$56))*HLOOKUP(($B416+PARAM!$B$56)/12,Loyalty,2)*$F$1*MAX(AH415,0)</f>
        <v>18.557001321003963</v>
      </c>
      <c r="AG416" s="75">
        <f>PARAM!$C$26+MAX($G$10-CHOOSE(PARAM!$B$44,MAX(0,AH415*$F$1),0),0)*RATES!$L392/12+$H$10*(PARAM!$D$51/12)*RATES!$N392/100</f>
        <v>55.958333333333343</v>
      </c>
      <c r="AH416" s="16">
        <f t="shared" si="291"/>
        <v>-1644.9011770116881</v>
      </c>
      <c r="AI416" s="15">
        <f t="shared" si="266"/>
        <v>22.170849845882874</v>
      </c>
      <c r="AJ416" s="75">
        <f>AI416*(1-PARAM!$C$27)*$I$11+(MOD($B416,60)=PARAM!$B$56)*($B416&gt;(60-PARAM!$B$56))*HLOOKUP(($B416+PARAM!$B$56)/12,Loyalty,2)*$F$1*MAX(AL415,0)</f>
        <v>18.557001321003963</v>
      </c>
      <c r="AK416" s="75">
        <f>PARAM!$C$26+MAX($G$11-CHOOSE(PARAM!$B$44,MAX(0,AL415*$F$1),0),0)*RATES!$L392/12+$H$11*(PARAM!$D$51/12)*RATES!$N392/100</f>
        <v>55.958333333333343</v>
      </c>
      <c r="AL416" s="16">
        <f t="shared" si="292"/>
        <v>-1644.9011770116881</v>
      </c>
      <c r="AM416" s="15">
        <f t="shared" si="267"/>
        <v>22.170849845882874</v>
      </c>
      <c r="AN416" s="75">
        <f>AM416*(1-PARAM!$C$27)*$I$12+(MOD($B416,60)=PARAM!$B$56)*($B416&gt;(60-PARAM!$B$56))*HLOOKUP(($B416+PARAM!$B$56)/12,Loyalty,2)*$F$1*MAX(AP415,0)</f>
        <v>18.557001321003963</v>
      </c>
      <c r="AO416" s="75">
        <f>PARAM!$C$26+MAX($G$12-CHOOSE(PARAM!$B$44,MAX(0,AP415*$F$1),0),0)*RATES!$L392/12+$H$12*(PARAM!$D$51/12)*RATES!$N392/100</f>
        <v>55.958333333333343</v>
      </c>
      <c r="AP416" s="16">
        <f t="shared" si="293"/>
        <v>-1644.9011770116881</v>
      </c>
      <c r="AQ416" s="15">
        <f t="shared" si="268"/>
        <v>22.170849845882874</v>
      </c>
      <c r="AR416" s="75">
        <f>AQ416*(1-PARAM!$C$27)*$I$13+(MOD($B416,60)=PARAM!$B$56)*($B416&gt;(60-PARAM!$B$56))*HLOOKUP(($B416+PARAM!$B$56)/12,Loyalty,2)*$F$1*MAX(AT415,0)</f>
        <v>18.557001321003963</v>
      </c>
      <c r="AS416" s="75">
        <f>PARAM!$C$26+MAX($G$13-CHOOSE(PARAM!$B$44,MAX(0,AT415*$F$1),0),0)*RATES!$L392/12+$H$13*(PARAM!$D$51/12)*RATES!$N392/100</f>
        <v>55.958333333333343</v>
      </c>
      <c r="AT416" s="16">
        <f t="shared" si="294"/>
        <v>-1644.9011770116881</v>
      </c>
      <c r="AU416" s="15">
        <f t="shared" si="269"/>
        <v>22.170849845882874</v>
      </c>
      <c r="AV416" s="75">
        <f>AU416*(1-PARAM!$C$27)*$I$14+(MOD($B416,60)=PARAM!$B$56)*($B416&gt;(60-PARAM!$B$56))*HLOOKUP(($B416+PARAM!$B$56)/12,Loyalty,2)*$F$1*MAX(AX415,0)</f>
        <v>18.557001321003963</v>
      </c>
      <c r="AW416" s="75">
        <f>PARAM!$C$26+MAX($G$14-CHOOSE(PARAM!$B$44,MAX(0,AX415*$F$1),0),0)*RATES!$L392/12+$H$14*(PARAM!$D$51/12)*RATES!$N392/100</f>
        <v>55.958333333333343</v>
      </c>
      <c r="AX416" s="16">
        <f t="shared" si="295"/>
        <v>-1644.9011770116881</v>
      </c>
      <c r="AY416" s="15">
        <f t="shared" si="270"/>
        <v>22.170849845882874</v>
      </c>
      <c r="AZ416" s="75">
        <f>AY416*(1-PARAM!$C$27)*$I$15+(MOD($B416,60)=PARAM!$B$56)*($B416&gt;(60-PARAM!$B$56))*HLOOKUP(($B416+PARAM!$B$56)/12,Loyalty,2)*$F$1*MAX(BB415,0)</f>
        <v>18.557001321003963</v>
      </c>
      <c r="BA416" s="75">
        <f>PARAM!$C$26+MAX($G$15-CHOOSE(PARAM!$B$44,MAX(0,BB415*$F$1),0),0)*RATES!$L392/12+$H$15*(PARAM!$D$51/12)*RATES!$N392/100</f>
        <v>55.958333333333343</v>
      </c>
      <c r="BB416" s="16">
        <f t="shared" si="296"/>
        <v>-1644.9011770116881</v>
      </c>
      <c r="BC416" s="15">
        <f t="shared" si="271"/>
        <v>22.170849845882874</v>
      </c>
      <c r="BD416" s="75">
        <f>BC416*(1-PARAM!$C$27)*$I$16+(MOD($B416,60)=PARAM!$B$56)*($B416&gt;(60-PARAM!$B$56))*HLOOKUP(($B416+PARAM!$B$56)/12,Loyalty,2)*$F$1*MAX(BF415,0)</f>
        <v>18.557001321003963</v>
      </c>
      <c r="BE416" s="75">
        <f>PARAM!$C$26+MAX($G$16-CHOOSE(PARAM!$B$44,MAX(0,BF415*$F$1),0),0)*RATES!$L392/12+$H$16*(PARAM!$D$51/12)*RATES!$N392/100</f>
        <v>55.958333333333343</v>
      </c>
      <c r="BF416" s="16">
        <f t="shared" si="297"/>
        <v>-1644.9011770116881</v>
      </c>
      <c r="BG416" s="15">
        <f t="shared" si="272"/>
        <v>22.170849845882874</v>
      </c>
      <c r="BH416" s="75">
        <f>BG416*(1-PARAM!$C$27)*$I$17+(MOD($B416,60)=PARAM!$B$56)*($B416&gt;(60-PARAM!$B$56))*HLOOKUP(($B416+PARAM!$B$56)/12,Loyalty,2)*$F$1*MAX(BJ415,0)</f>
        <v>18.557001321003963</v>
      </c>
      <c r="BI416" s="75">
        <f>PARAM!$C$26+MAX($G$17-CHOOSE(PARAM!$B$44,MAX(0,BJ415*$F$1),0),0)*RATES!$L392/12+$H$17*(PARAM!$D$51/12)*RATES!$N392/100</f>
        <v>55.958333333333343</v>
      </c>
      <c r="BJ416" s="16">
        <f t="shared" si="298"/>
        <v>-1644.9011770116881</v>
      </c>
      <c r="BK416" s="15">
        <f t="shared" si="273"/>
        <v>22.170849845882874</v>
      </c>
      <c r="BL416" s="75">
        <f>BK416*(1-PARAM!$C$27)*$I$18+(MOD($B416,60)=PARAM!$B$56)*($B416&gt;(60-PARAM!$B$56))*HLOOKUP(($B416+PARAM!$B$56)/12,Loyalty,2)*$F$1*MAX(BN415,0)</f>
        <v>18.557001321003963</v>
      </c>
      <c r="BM416" s="75">
        <f>PARAM!$C$26+MAX($G$18-CHOOSE(PARAM!$B$44,MAX(0,BN415*$F$1),0),0)*RATES!$L392/12+$H$18*(PARAM!$D$51/12)*RATES!$N392/100</f>
        <v>55.958333333333343</v>
      </c>
      <c r="BN416" s="16">
        <f t="shared" si="299"/>
        <v>-1644.9011770116881</v>
      </c>
      <c r="BO416" s="15">
        <f t="shared" si="274"/>
        <v>22.170849845882874</v>
      </c>
      <c r="BP416" s="75">
        <f>BO416*(1-PARAM!$C$27)*$I$19+(MOD($B416,60)=PARAM!$B$56)*($B416&gt;(60-PARAM!$B$56))*HLOOKUP(($B416+PARAM!$B$56)/12,Loyalty,2)*$F$1*MAX(BR415,0)</f>
        <v>18.557001321003963</v>
      </c>
      <c r="BQ416" s="75">
        <f>PARAM!$C$26+MAX($G$19-CHOOSE(PARAM!$B$44,MAX(0,BR415*$F$1),0),0)*RATES!$L392/12+$H$19*(PARAM!$D$51/12)*RATES!$N392/100</f>
        <v>55.958333333333343</v>
      </c>
      <c r="BR416" s="16">
        <f t="shared" si="300"/>
        <v>-1644.9011770116881</v>
      </c>
      <c r="BS416" s="15">
        <f t="shared" si="275"/>
        <v>22.170849845882874</v>
      </c>
      <c r="BT416" s="75">
        <f>BS416*(1-PARAM!$C$27)*$I$20+(MOD($B416,60)=PARAM!$B$56)*($B416&gt;(60-PARAM!$B$56))*HLOOKUP(($B416+PARAM!$B$56)/12,Loyalty,2)*$F$1*MAX(BV415,0)</f>
        <v>18.557001321003963</v>
      </c>
      <c r="BU416" s="75">
        <f>PARAM!$C$26+MAX($G$20-CHOOSE(PARAM!$B$44,MAX(0,BV415*$F$1),0),0)*RATES!$L392/12+$H$20*(PARAM!$D$51/12)*RATES!$N392/100</f>
        <v>55.958333333333343</v>
      </c>
      <c r="BV416" s="16">
        <f t="shared" si="301"/>
        <v>-1644.9011770116881</v>
      </c>
      <c r="BW416" s="15">
        <f t="shared" si="276"/>
        <v>22.170849845882874</v>
      </c>
      <c r="BX416" s="75">
        <f>BW416*(1-PARAM!$C$27)*$I$21+(MOD($B416,60)=PARAM!$B$56)*($B416&gt;(60-PARAM!$B$56))*HLOOKUP(($B416+PARAM!$B$56)/12,Loyalty,2)*$F$1*MAX(BZ415,0)</f>
        <v>18.557001321003963</v>
      </c>
      <c r="BY416" s="75">
        <f>PARAM!$C$26+MAX($G$21-CHOOSE(PARAM!$B$44,MAX(0,BZ415*$F$1),0),0)*RATES!$L392/12+$H$21*(PARAM!$D$51/12)*RATES!$N392/100</f>
        <v>55.958333333333343</v>
      </c>
      <c r="BZ416" s="16">
        <f t="shared" si="302"/>
        <v>-1644.9011770116881</v>
      </c>
      <c r="CA416" s="15">
        <f t="shared" si="277"/>
        <v>22.170849845882874</v>
      </c>
      <c r="CB416" s="75">
        <f>CA416*(1-PARAM!$C$27)*$I$22+(MOD($B416,60)=PARAM!$B$56)*($B416&gt;(60-PARAM!$B$56))*HLOOKUP(($B416+PARAM!$B$56)/12,Loyalty,2)*$F$1*MAX(CD415,0)</f>
        <v>18.557001321003963</v>
      </c>
      <c r="CC416" s="75">
        <f>PARAM!$C$26+MAX($G$22-CHOOSE(PARAM!$B$44,MAX(0,CD415*$F$1),0),0)*RATES!$L392/12+$H$22*(PARAM!$D$51/12)*RATES!$N392/100</f>
        <v>55.958333333333343</v>
      </c>
      <c r="CD416" s="16">
        <f t="shared" si="303"/>
        <v>-1644.9011770116881</v>
      </c>
      <c r="CE416" s="33">
        <f>IF(0=MOD(B416,12/PARAM!$D$51),1,0)</f>
        <v>1</v>
      </c>
      <c r="CF416" s="15">
        <f t="shared" si="278"/>
        <v>0</v>
      </c>
      <c r="CG416" s="75">
        <f>CF416*(1-PARAM!$C$27)*$R$3+(MOD($B416/12,5)=0)*($B416&gt;60)*HLOOKUP($B416/12,Loyalty,2)*$F$1*MAX(CI415,0)</f>
        <v>0</v>
      </c>
      <c r="CH416" s="75">
        <f>PARAM!$C$26+MAX($P$3-CHOOSE(PARAM!$B$44,MAX(0,CI415*$F$1),0),0)*RATES!$L392/12+$Q$3*(PARAM!$D$51/12)*RATES!$N392/100</f>
        <v>55.958333333333343</v>
      </c>
      <c r="CI416" s="16">
        <f>IF(CI415&gt;0,CI415*PARAM!$C$53,CI415)+CG416-CH416</f>
        <v>-8743.9999999999873</v>
      </c>
      <c r="CJ416" s="15">
        <f t="shared" si="304"/>
        <v>0</v>
      </c>
      <c r="CK416" s="75">
        <f>CJ416*(1-PARAM!$C$27)*$R$4+(MOD($B416/12,5)=0)*($B416&gt;60)*HLOOKUP($B416/12,Loyalty,2)*$F$1*MAX(CM415,0)</f>
        <v>0</v>
      </c>
      <c r="CL416" s="75">
        <f>PARAM!$C$26+MAX($P$4-CHOOSE(PARAM!$B$44,MAX(0,CM415*$F$1),0),0)*RATES!$L392/12+$Q$4*(PARAM!$D$51/12)*RATES!$N392/100</f>
        <v>55.958333333333343</v>
      </c>
      <c r="CM416" s="16">
        <f>IF(CM415&gt;0,CM415*PARAM!$C$53,CM415)+CK416-CL416</f>
        <v>-8743.9999999999873</v>
      </c>
      <c r="CO416" s="176"/>
    </row>
    <row r="417" spans="1:93" x14ac:dyDescent="0.2">
      <c r="A417" t="b">
        <f t="shared" si="279"/>
        <v>0</v>
      </c>
      <c r="B417" s="33">
        <v>390</v>
      </c>
      <c r="C417" s="15">
        <f t="shared" si="280"/>
        <v>20.081305947392778</v>
      </c>
      <c r="D417" s="75">
        <f>C417*(1-PARAM!$C$27)*$I$3+(MOD($B417,60)=PARAM!$B$56)*($B417&gt;(60-PARAM!$B$56))*HLOOKUP(($B417+PARAM!$B$56)/12,Loyalty,2)*$F$1*MAX(F416,0)</f>
        <v>16.808053077967756</v>
      </c>
      <c r="E417" s="75">
        <f>PARAM!$C$26+MAX($G$3-CHOOSE(PARAM!$B$44,MAX(0,F416*$F$1),0),0)*RATES!$L393/12+$H$3*(PARAM!$D$51/12)*RATES!$N393/100</f>
        <v>61.625</v>
      </c>
      <c r="F417" s="16">
        <f t="shared" si="281"/>
        <v>-2406.9094909963101</v>
      </c>
      <c r="G417" s="15">
        <f t="shared" si="282"/>
        <v>22.035289406060361</v>
      </c>
      <c r="H417" s="75">
        <f>G417*(1-PARAM!$C$27)*$I$4+(MOD($B417,60)=PARAM!$B$56)*($B417&gt;(60-PARAM!$B$56))*HLOOKUP(($B417+PARAM!$B$56)/12,Loyalty,2)*$F$1*MAX(J416,0)</f>
        <v>18.443537232872522</v>
      </c>
      <c r="I417" s="75">
        <f>PARAM!$C$26+MAX($G$4-CHOOSE(PARAM!$B$44,MAX(0,J416*$F$1),0),0)*RATES!$L393/12+$H$4*(PARAM!$D$51/12)*RATES!$N393/100</f>
        <v>61.625</v>
      </c>
      <c r="J417" s="16">
        <f t="shared" si="283"/>
        <v>-1735.2377064617408</v>
      </c>
      <c r="K417" s="15">
        <f t="shared" si="284"/>
        <v>22.170849845882874</v>
      </c>
      <c r="L417" s="75">
        <f>K417*(1-PARAM!$C$27)*$I$5+(MOD($B417,60)=PARAM!$B$56)*($B417&gt;(60-PARAM!$B$56))*HLOOKUP(($B417+PARAM!$B$56)/12,Loyalty,2)*$F$1*MAX(N416,0)</f>
        <v>18.557001321003963</v>
      </c>
      <c r="M417" s="75">
        <f>PARAM!$C$26+MAX($G$5-CHOOSE(PARAM!$B$44,MAX(0,N416*$F$1),0),0)*RATES!$L393/12+$H$5*(PARAM!$D$51/12)*RATES!$N393/100</f>
        <v>61.625</v>
      </c>
      <c r="N417" s="16">
        <f t="shared" si="285"/>
        <v>-1687.9691756906841</v>
      </c>
      <c r="O417" s="15">
        <f t="shared" si="286"/>
        <v>22.170849845882874</v>
      </c>
      <c r="P417" s="75">
        <f>O417*(1-PARAM!$C$27)*$I$6+(MOD($B417,60)=PARAM!$B$56)*($B417&gt;(60-PARAM!$B$56))*HLOOKUP(($B417+PARAM!$B$56)/12,Loyalty,2)*$F$1*MAX(R416,0)</f>
        <v>18.557001321003963</v>
      </c>
      <c r="Q417" s="75">
        <f>PARAM!$C$26+MAX($G$6-CHOOSE(PARAM!$B$44,MAX(0,R416*$F$1),0),0)*RATES!$L393/12+$H$6*(PARAM!$D$51/12)*RATES!$N393/100</f>
        <v>61.625</v>
      </c>
      <c r="R417" s="16">
        <f t="shared" si="287"/>
        <v>-1687.9691756906841</v>
      </c>
      <c r="S417" s="15">
        <f t="shared" si="262"/>
        <v>22.170849845882874</v>
      </c>
      <c r="T417" s="75">
        <f>S417*(1-PARAM!$C$27)*$I$7+(MOD($B417,60)=PARAM!$B$56)*($B417&gt;(60-PARAM!$B$56))*HLOOKUP(($B417+PARAM!$B$56)/12,Loyalty,2)*$F$1*MAX(V416,0)</f>
        <v>18.557001321003963</v>
      </c>
      <c r="U417" s="75">
        <f>PARAM!$C$26+MAX($G$7-CHOOSE(PARAM!$B$44,MAX(0,V416*$F$1),0),0)*RATES!$L393/12+$H$7*(PARAM!$D$51/12)*RATES!$N393/100</f>
        <v>61.625</v>
      </c>
      <c r="V417" s="16">
        <f t="shared" si="288"/>
        <v>-1687.9691756906841</v>
      </c>
      <c r="W417" s="15">
        <f t="shared" si="263"/>
        <v>22.170849845882874</v>
      </c>
      <c r="X417" s="75">
        <f>W417*(1-PARAM!$C$27)*$I$8+(MOD($B417,60)=PARAM!$B$56)*($B417&gt;(60-PARAM!$B$56))*HLOOKUP(($B417+PARAM!$B$56)/12,Loyalty,2)*$F$1*MAX(Z416,0)</f>
        <v>18.557001321003963</v>
      </c>
      <c r="Y417" s="75">
        <f>PARAM!$C$26+MAX($G$8-CHOOSE(PARAM!$B$44,MAX(0,Z416*$F$1),0),0)*RATES!$L393/12+$H$8*(PARAM!$D$51/12)*RATES!$N393/100</f>
        <v>61.625</v>
      </c>
      <c r="Z417" s="16">
        <f t="shared" si="289"/>
        <v>-1687.9691756906841</v>
      </c>
      <c r="AA417" s="15">
        <f t="shared" si="264"/>
        <v>22.170849845882874</v>
      </c>
      <c r="AB417" s="75">
        <f>AA417*(1-PARAM!$C$27)*$I$9+(MOD($B417,60)=PARAM!$B$56)*($B417&gt;(60-PARAM!$B$56))*HLOOKUP(($B417+PARAM!$B$56)/12,Loyalty,2)*$F$1*MAX(AD416,0)</f>
        <v>18.557001321003963</v>
      </c>
      <c r="AC417" s="75">
        <f>PARAM!$C$26+MAX($G$9-CHOOSE(PARAM!$B$44,MAX(0,AD416*$F$1),0),0)*RATES!$L393/12+$H$9*(PARAM!$D$51/12)*RATES!$N393/100</f>
        <v>61.625</v>
      </c>
      <c r="AD417" s="16">
        <f t="shared" si="290"/>
        <v>-1687.9691756906841</v>
      </c>
      <c r="AE417" s="15">
        <f t="shared" si="265"/>
        <v>22.170849845882874</v>
      </c>
      <c r="AF417" s="75">
        <f>AE417*(1-PARAM!$C$27)*$I$10+(MOD($B417,60)=PARAM!$B$56)*($B417&gt;(60-PARAM!$B$56))*HLOOKUP(($B417+PARAM!$B$56)/12,Loyalty,2)*$F$1*MAX(AH416,0)</f>
        <v>18.557001321003963</v>
      </c>
      <c r="AG417" s="75">
        <f>PARAM!$C$26+MAX($G$10-CHOOSE(PARAM!$B$44,MAX(0,AH416*$F$1),0),0)*RATES!$L393/12+$H$10*(PARAM!$D$51/12)*RATES!$N393/100</f>
        <v>61.625</v>
      </c>
      <c r="AH417" s="16">
        <f t="shared" si="291"/>
        <v>-1687.9691756906841</v>
      </c>
      <c r="AI417" s="15">
        <f t="shared" si="266"/>
        <v>22.170849845882874</v>
      </c>
      <c r="AJ417" s="75">
        <f>AI417*(1-PARAM!$C$27)*$I$11+(MOD($B417,60)=PARAM!$B$56)*($B417&gt;(60-PARAM!$B$56))*HLOOKUP(($B417+PARAM!$B$56)/12,Loyalty,2)*$F$1*MAX(AL416,0)</f>
        <v>18.557001321003963</v>
      </c>
      <c r="AK417" s="75">
        <f>PARAM!$C$26+MAX($G$11-CHOOSE(PARAM!$B$44,MAX(0,AL416*$F$1),0),0)*RATES!$L393/12+$H$11*(PARAM!$D$51/12)*RATES!$N393/100</f>
        <v>61.625</v>
      </c>
      <c r="AL417" s="16">
        <f t="shared" si="292"/>
        <v>-1687.9691756906841</v>
      </c>
      <c r="AM417" s="15">
        <f t="shared" si="267"/>
        <v>22.170849845882874</v>
      </c>
      <c r="AN417" s="75">
        <f>AM417*(1-PARAM!$C$27)*$I$12+(MOD($B417,60)=PARAM!$B$56)*($B417&gt;(60-PARAM!$B$56))*HLOOKUP(($B417+PARAM!$B$56)/12,Loyalty,2)*$F$1*MAX(AP416,0)</f>
        <v>18.557001321003963</v>
      </c>
      <c r="AO417" s="75">
        <f>PARAM!$C$26+MAX($G$12-CHOOSE(PARAM!$B$44,MAX(0,AP416*$F$1),0),0)*RATES!$L393/12+$H$12*(PARAM!$D$51/12)*RATES!$N393/100</f>
        <v>61.625</v>
      </c>
      <c r="AP417" s="16">
        <f t="shared" si="293"/>
        <v>-1687.9691756906841</v>
      </c>
      <c r="AQ417" s="15">
        <f t="shared" si="268"/>
        <v>22.170849845882874</v>
      </c>
      <c r="AR417" s="75">
        <f>AQ417*(1-PARAM!$C$27)*$I$13+(MOD($B417,60)=PARAM!$B$56)*($B417&gt;(60-PARAM!$B$56))*HLOOKUP(($B417+PARAM!$B$56)/12,Loyalty,2)*$F$1*MAX(AT416,0)</f>
        <v>18.557001321003963</v>
      </c>
      <c r="AS417" s="75">
        <f>PARAM!$C$26+MAX($G$13-CHOOSE(PARAM!$B$44,MAX(0,AT416*$F$1),0),0)*RATES!$L393/12+$H$13*(PARAM!$D$51/12)*RATES!$N393/100</f>
        <v>61.625</v>
      </c>
      <c r="AT417" s="16">
        <f t="shared" si="294"/>
        <v>-1687.9691756906841</v>
      </c>
      <c r="AU417" s="15">
        <f t="shared" si="269"/>
        <v>22.170849845882874</v>
      </c>
      <c r="AV417" s="75">
        <f>AU417*(1-PARAM!$C$27)*$I$14+(MOD($B417,60)=PARAM!$B$56)*($B417&gt;(60-PARAM!$B$56))*HLOOKUP(($B417+PARAM!$B$56)/12,Loyalty,2)*$F$1*MAX(AX416,0)</f>
        <v>18.557001321003963</v>
      </c>
      <c r="AW417" s="75">
        <f>PARAM!$C$26+MAX($G$14-CHOOSE(PARAM!$B$44,MAX(0,AX416*$F$1),0),0)*RATES!$L393/12+$H$14*(PARAM!$D$51/12)*RATES!$N393/100</f>
        <v>61.625</v>
      </c>
      <c r="AX417" s="16">
        <f t="shared" si="295"/>
        <v>-1687.9691756906841</v>
      </c>
      <c r="AY417" s="15">
        <f t="shared" si="270"/>
        <v>22.170849845882874</v>
      </c>
      <c r="AZ417" s="75">
        <f>AY417*(1-PARAM!$C$27)*$I$15+(MOD($B417,60)=PARAM!$B$56)*($B417&gt;(60-PARAM!$B$56))*HLOOKUP(($B417+PARAM!$B$56)/12,Loyalty,2)*$F$1*MAX(BB416,0)</f>
        <v>18.557001321003963</v>
      </c>
      <c r="BA417" s="75">
        <f>PARAM!$C$26+MAX($G$15-CHOOSE(PARAM!$B$44,MAX(0,BB416*$F$1),0),0)*RATES!$L393/12+$H$15*(PARAM!$D$51/12)*RATES!$N393/100</f>
        <v>61.625</v>
      </c>
      <c r="BB417" s="16">
        <f t="shared" si="296"/>
        <v>-1687.9691756906841</v>
      </c>
      <c r="BC417" s="15">
        <f t="shared" si="271"/>
        <v>22.170849845882874</v>
      </c>
      <c r="BD417" s="75">
        <f>BC417*(1-PARAM!$C$27)*$I$16+(MOD($B417,60)=PARAM!$B$56)*($B417&gt;(60-PARAM!$B$56))*HLOOKUP(($B417+PARAM!$B$56)/12,Loyalty,2)*$F$1*MAX(BF416,0)</f>
        <v>18.557001321003963</v>
      </c>
      <c r="BE417" s="75">
        <f>PARAM!$C$26+MAX($G$16-CHOOSE(PARAM!$B$44,MAX(0,BF416*$F$1),0),0)*RATES!$L393/12+$H$16*(PARAM!$D$51/12)*RATES!$N393/100</f>
        <v>61.625</v>
      </c>
      <c r="BF417" s="16">
        <f t="shared" si="297"/>
        <v>-1687.9691756906841</v>
      </c>
      <c r="BG417" s="15">
        <f t="shared" si="272"/>
        <v>22.170849845882874</v>
      </c>
      <c r="BH417" s="75">
        <f>BG417*(1-PARAM!$C$27)*$I$17+(MOD($B417,60)=PARAM!$B$56)*($B417&gt;(60-PARAM!$B$56))*HLOOKUP(($B417+PARAM!$B$56)/12,Loyalty,2)*$F$1*MAX(BJ416,0)</f>
        <v>18.557001321003963</v>
      </c>
      <c r="BI417" s="75">
        <f>PARAM!$C$26+MAX($G$17-CHOOSE(PARAM!$B$44,MAX(0,BJ416*$F$1),0),0)*RATES!$L393/12+$H$17*(PARAM!$D$51/12)*RATES!$N393/100</f>
        <v>61.625</v>
      </c>
      <c r="BJ417" s="16">
        <f t="shared" si="298"/>
        <v>-1687.9691756906841</v>
      </c>
      <c r="BK417" s="15">
        <f t="shared" si="273"/>
        <v>22.170849845882874</v>
      </c>
      <c r="BL417" s="75">
        <f>BK417*(1-PARAM!$C$27)*$I$18+(MOD($B417,60)=PARAM!$B$56)*($B417&gt;(60-PARAM!$B$56))*HLOOKUP(($B417+PARAM!$B$56)/12,Loyalty,2)*$F$1*MAX(BN416,0)</f>
        <v>18.557001321003963</v>
      </c>
      <c r="BM417" s="75">
        <f>PARAM!$C$26+MAX($G$18-CHOOSE(PARAM!$B$44,MAX(0,BN416*$F$1),0),0)*RATES!$L393/12+$H$18*(PARAM!$D$51/12)*RATES!$N393/100</f>
        <v>61.625</v>
      </c>
      <c r="BN417" s="16">
        <f t="shared" si="299"/>
        <v>-1687.9691756906841</v>
      </c>
      <c r="BO417" s="15">
        <f t="shared" si="274"/>
        <v>22.170849845882874</v>
      </c>
      <c r="BP417" s="75">
        <f>BO417*(1-PARAM!$C$27)*$I$19+(MOD($B417,60)=PARAM!$B$56)*($B417&gt;(60-PARAM!$B$56))*HLOOKUP(($B417+PARAM!$B$56)/12,Loyalty,2)*$F$1*MAX(BR416,0)</f>
        <v>18.557001321003963</v>
      </c>
      <c r="BQ417" s="75">
        <f>PARAM!$C$26+MAX($G$19-CHOOSE(PARAM!$B$44,MAX(0,BR416*$F$1),0),0)*RATES!$L393/12+$H$19*(PARAM!$D$51/12)*RATES!$N393/100</f>
        <v>61.625</v>
      </c>
      <c r="BR417" s="16">
        <f t="shared" si="300"/>
        <v>-1687.9691756906841</v>
      </c>
      <c r="BS417" s="15">
        <f t="shared" si="275"/>
        <v>22.170849845882874</v>
      </c>
      <c r="BT417" s="75">
        <f>BS417*(1-PARAM!$C$27)*$I$20+(MOD($B417,60)=PARAM!$B$56)*($B417&gt;(60-PARAM!$B$56))*HLOOKUP(($B417+PARAM!$B$56)/12,Loyalty,2)*$F$1*MAX(BV416,0)</f>
        <v>18.557001321003963</v>
      </c>
      <c r="BU417" s="75">
        <f>PARAM!$C$26+MAX($G$20-CHOOSE(PARAM!$B$44,MAX(0,BV416*$F$1),0),0)*RATES!$L393/12+$H$20*(PARAM!$D$51/12)*RATES!$N393/100</f>
        <v>61.625</v>
      </c>
      <c r="BV417" s="16">
        <f t="shared" si="301"/>
        <v>-1687.9691756906841</v>
      </c>
      <c r="BW417" s="15">
        <f t="shared" si="276"/>
        <v>22.170849845882874</v>
      </c>
      <c r="BX417" s="75">
        <f>BW417*(1-PARAM!$C$27)*$I$21+(MOD($B417,60)=PARAM!$B$56)*($B417&gt;(60-PARAM!$B$56))*HLOOKUP(($B417+PARAM!$B$56)/12,Loyalty,2)*$F$1*MAX(BZ416,0)</f>
        <v>18.557001321003963</v>
      </c>
      <c r="BY417" s="75">
        <f>PARAM!$C$26+MAX($G$21-CHOOSE(PARAM!$B$44,MAX(0,BZ416*$F$1),0),0)*RATES!$L393/12+$H$21*(PARAM!$D$51/12)*RATES!$N393/100</f>
        <v>61.625</v>
      </c>
      <c r="BZ417" s="16">
        <f t="shared" si="302"/>
        <v>-1687.9691756906841</v>
      </c>
      <c r="CA417" s="15">
        <f t="shared" si="277"/>
        <v>22.170849845882874</v>
      </c>
      <c r="CB417" s="75">
        <f>CA417*(1-PARAM!$C$27)*$I$22+(MOD($B417,60)=PARAM!$B$56)*($B417&gt;(60-PARAM!$B$56))*HLOOKUP(($B417+PARAM!$B$56)/12,Loyalty,2)*$F$1*MAX(CD416,0)</f>
        <v>18.557001321003963</v>
      </c>
      <c r="CC417" s="75">
        <f>PARAM!$C$26+MAX($G$22-CHOOSE(PARAM!$B$44,MAX(0,CD416*$F$1),0),0)*RATES!$L393/12+$H$22*(PARAM!$D$51/12)*RATES!$N393/100</f>
        <v>61.625</v>
      </c>
      <c r="CD417" s="16">
        <f t="shared" si="303"/>
        <v>-1687.9691756906841</v>
      </c>
      <c r="CE417" s="33">
        <f>IF(0=MOD(B417,12/PARAM!$D$51),1,0)</f>
        <v>1</v>
      </c>
      <c r="CF417" s="15">
        <f t="shared" si="278"/>
        <v>0</v>
      </c>
      <c r="CG417" s="75">
        <f>CF417*(1-PARAM!$C$27)*$R$3+(MOD($B417/12,5)=0)*($B417&gt;60)*HLOOKUP($B417/12,Loyalty,2)*$F$1*MAX(CI416,0)</f>
        <v>0</v>
      </c>
      <c r="CH417" s="75">
        <f>PARAM!$C$26+MAX($P$3-CHOOSE(PARAM!$B$44,MAX(0,CI416*$F$1),0),0)*RATES!$L393/12+$Q$3*(PARAM!$D$51/12)*RATES!$N393/100</f>
        <v>61.625</v>
      </c>
      <c r="CI417" s="16">
        <f>IF(CI416&gt;0,CI416*PARAM!$C$53,CI416)+CG417-CH417</f>
        <v>-8805.6249999999873</v>
      </c>
      <c r="CJ417" s="15">
        <f t="shared" si="304"/>
        <v>0</v>
      </c>
      <c r="CK417" s="75">
        <f>CJ417*(1-PARAM!$C$27)*$R$4+(MOD($B417/12,5)=0)*($B417&gt;60)*HLOOKUP($B417/12,Loyalty,2)*$F$1*MAX(CM416,0)</f>
        <v>0</v>
      </c>
      <c r="CL417" s="75">
        <f>PARAM!$C$26+MAX($P$4-CHOOSE(PARAM!$B$44,MAX(0,CM416*$F$1),0),0)*RATES!$L393/12+$Q$4*(PARAM!$D$51/12)*RATES!$N393/100</f>
        <v>61.625</v>
      </c>
      <c r="CM417" s="16">
        <f>IF(CM416&gt;0,CM416*PARAM!$C$53,CM416)+CK417-CL417</f>
        <v>-8805.6249999999873</v>
      </c>
      <c r="CO417" s="176"/>
    </row>
    <row r="418" spans="1:93" x14ac:dyDescent="0.2">
      <c r="A418" t="b">
        <f t="shared" si="279"/>
        <v>0</v>
      </c>
      <c r="B418" s="33">
        <v>391</v>
      </c>
      <c r="C418" s="15">
        <f t="shared" si="280"/>
        <v>20.081305947392778</v>
      </c>
      <c r="D418" s="75">
        <f>C418*(1-PARAM!$C$27)*$I$3+(MOD($B418,60)=PARAM!$B$56)*($B418&gt;(60-PARAM!$B$56))*HLOOKUP(($B418+PARAM!$B$56)/12,Loyalty,2)*$F$1*MAX(F417,0)</f>
        <v>16.808053077967756</v>
      </c>
      <c r="E418" s="75">
        <f>PARAM!$C$26+MAX($G$3-CHOOSE(PARAM!$B$44,MAX(0,F417*$F$1),0),0)*RATES!$L394/12+$H$3*(PARAM!$D$51/12)*RATES!$N394/100</f>
        <v>61.625</v>
      </c>
      <c r="F418" s="16">
        <f t="shared" si="281"/>
        <v>-2451.7264379183425</v>
      </c>
      <c r="G418" s="15">
        <f t="shared" si="282"/>
        <v>22.035289406060361</v>
      </c>
      <c r="H418" s="75">
        <f>G418*(1-PARAM!$C$27)*$I$4+(MOD($B418,60)=PARAM!$B$56)*($B418&gt;(60-PARAM!$B$56))*HLOOKUP(($B418+PARAM!$B$56)/12,Loyalty,2)*$F$1*MAX(J417,0)</f>
        <v>18.443537232872522</v>
      </c>
      <c r="I418" s="75">
        <f>PARAM!$C$26+MAX($G$4-CHOOSE(PARAM!$B$44,MAX(0,J417*$F$1),0),0)*RATES!$L394/12+$H$4*(PARAM!$D$51/12)*RATES!$N394/100</f>
        <v>61.625</v>
      </c>
      <c r="J418" s="16">
        <f t="shared" si="283"/>
        <v>-1778.4191692288682</v>
      </c>
      <c r="K418" s="15">
        <f t="shared" si="284"/>
        <v>22.170849845882874</v>
      </c>
      <c r="L418" s="75">
        <f>K418*(1-PARAM!$C$27)*$I$5+(MOD($B418,60)=PARAM!$B$56)*($B418&gt;(60-PARAM!$B$56))*HLOOKUP(($B418+PARAM!$B$56)/12,Loyalty,2)*$F$1*MAX(N417,0)</f>
        <v>18.557001321003963</v>
      </c>
      <c r="M418" s="75">
        <f>PARAM!$C$26+MAX($G$5-CHOOSE(PARAM!$B$44,MAX(0,N417*$F$1),0),0)*RATES!$L394/12+$H$5*(PARAM!$D$51/12)*RATES!$N394/100</f>
        <v>61.625</v>
      </c>
      <c r="N418" s="16">
        <f t="shared" si="285"/>
        <v>-1731.0371743696801</v>
      </c>
      <c r="O418" s="15">
        <f t="shared" si="286"/>
        <v>22.170849845882874</v>
      </c>
      <c r="P418" s="75">
        <f>O418*(1-PARAM!$C$27)*$I$6+(MOD($B418,60)=PARAM!$B$56)*($B418&gt;(60-PARAM!$B$56))*HLOOKUP(($B418+PARAM!$B$56)/12,Loyalty,2)*$F$1*MAX(R417,0)</f>
        <v>18.557001321003963</v>
      </c>
      <c r="Q418" s="75">
        <f>PARAM!$C$26+MAX($G$6-CHOOSE(PARAM!$B$44,MAX(0,R417*$F$1),0),0)*RATES!$L394/12+$H$6*(PARAM!$D$51/12)*RATES!$N394/100</f>
        <v>61.625</v>
      </c>
      <c r="R418" s="16">
        <f t="shared" si="287"/>
        <v>-1731.0371743696801</v>
      </c>
      <c r="S418" s="15">
        <f t="shared" si="262"/>
        <v>22.170849845882874</v>
      </c>
      <c r="T418" s="75">
        <f>S418*(1-PARAM!$C$27)*$I$7+(MOD($B418,60)=PARAM!$B$56)*($B418&gt;(60-PARAM!$B$56))*HLOOKUP(($B418+PARAM!$B$56)/12,Loyalty,2)*$F$1*MAX(V417,0)</f>
        <v>18.557001321003963</v>
      </c>
      <c r="U418" s="75">
        <f>PARAM!$C$26+MAX($G$7-CHOOSE(PARAM!$B$44,MAX(0,V417*$F$1),0),0)*RATES!$L394/12+$H$7*(PARAM!$D$51/12)*RATES!$N394/100</f>
        <v>61.625</v>
      </c>
      <c r="V418" s="16">
        <f t="shared" si="288"/>
        <v>-1731.0371743696801</v>
      </c>
      <c r="W418" s="15">
        <f t="shared" si="263"/>
        <v>22.170849845882874</v>
      </c>
      <c r="X418" s="75">
        <f>W418*(1-PARAM!$C$27)*$I$8+(MOD($B418,60)=PARAM!$B$56)*($B418&gt;(60-PARAM!$B$56))*HLOOKUP(($B418+PARAM!$B$56)/12,Loyalty,2)*$F$1*MAX(Z417,0)</f>
        <v>18.557001321003963</v>
      </c>
      <c r="Y418" s="75">
        <f>PARAM!$C$26+MAX($G$8-CHOOSE(PARAM!$B$44,MAX(0,Z417*$F$1),0),0)*RATES!$L394/12+$H$8*(PARAM!$D$51/12)*RATES!$N394/100</f>
        <v>61.625</v>
      </c>
      <c r="Z418" s="16">
        <f t="shared" si="289"/>
        <v>-1731.0371743696801</v>
      </c>
      <c r="AA418" s="15">
        <f t="shared" si="264"/>
        <v>22.170849845882874</v>
      </c>
      <c r="AB418" s="75">
        <f>AA418*(1-PARAM!$C$27)*$I$9+(MOD($B418,60)=PARAM!$B$56)*($B418&gt;(60-PARAM!$B$56))*HLOOKUP(($B418+PARAM!$B$56)/12,Loyalty,2)*$F$1*MAX(AD417,0)</f>
        <v>18.557001321003963</v>
      </c>
      <c r="AC418" s="75">
        <f>PARAM!$C$26+MAX($G$9-CHOOSE(PARAM!$B$44,MAX(0,AD417*$F$1),0),0)*RATES!$L394/12+$H$9*(PARAM!$D$51/12)*RATES!$N394/100</f>
        <v>61.625</v>
      </c>
      <c r="AD418" s="16">
        <f t="shared" si="290"/>
        <v>-1731.0371743696801</v>
      </c>
      <c r="AE418" s="15">
        <f t="shared" si="265"/>
        <v>22.170849845882874</v>
      </c>
      <c r="AF418" s="75">
        <f>AE418*(1-PARAM!$C$27)*$I$10+(MOD($B418,60)=PARAM!$B$56)*($B418&gt;(60-PARAM!$B$56))*HLOOKUP(($B418+PARAM!$B$56)/12,Loyalty,2)*$F$1*MAX(AH417,0)</f>
        <v>18.557001321003963</v>
      </c>
      <c r="AG418" s="75">
        <f>PARAM!$C$26+MAX($G$10-CHOOSE(PARAM!$B$44,MAX(0,AH417*$F$1),0),0)*RATES!$L394/12+$H$10*(PARAM!$D$51/12)*RATES!$N394/100</f>
        <v>61.625</v>
      </c>
      <c r="AH418" s="16">
        <f t="shared" si="291"/>
        <v>-1731.0371743696801</v>
      </c>
      <c r="AI418" s="15">
        <f t="shared" si="266"/>
        <v>22.170849845882874</v>
      </c>
      <c r="AJ418" s="75">
        <f>AI418*(1-PARAM!$C$27)*$I$11+(MOD($B418,60)=PARAM!$B$56)*($B418&gt;(60-PARAM!$B$56))*HLOOKUP(($B418+PARAM!$B$56)/12,Loyalty,2)*$F$1*MAX(AL417,0)</f>
        <v>18.557001321003963</v>
      </c>
      <c r="AK418" s="75">
        <f>PARAM!$C$26+MAX($G$11-CHOOSE(PARAM!$B$44,MAX(0,AL417*$F$1),0),0)*RATES!$L394/12+$H$11*(PARAM!$D$51/12)*RATES!$N394/100</f>
        <v>61.625</v>
      </c>
      <c r="AL418" s="16">
        <f t="shared" si="292"/>
        <v>-1731.0371743696801</v>
      </c>
      <c r="AM418" s="15">
        <f t="shared" si="267"/>
        <v>22.170849845882874</v>
      </c>
      <c r="AN418" s="75">
        <f>AM418*(1-PARAM!$C$27)*$I$12+(MOD($B418,60)=PARAM!$B$56)*($B418&gt;(60-PARAM!$B$56))*HLOOKUP(($B418+PARAM!$B$56)/12,Loyalty,2)*$F$1*MAX(AP417,0)</f>
        <v>18.557001321003963</v>
      </c>
      <c r="AO418" s="75">
        <f>PARAM!$C$26+MAX($G$12-CHOOSE(PARAM!$B$44,MAX(0,AP417*$F$1),0),0)*RATES!$L394/12+$H$12*(PARAM!$D$51/12)*RATES!$N394/100</f>
        <v>61.625</v>
      </c>
      <c r="AP418" s="16">
        <f t="shared" si="293"/>
        <v>-1731.0371743696801</v>
      </c>
      <c r="AQ418" s="15">
        <f t="shared" si="268"/>
        <v>22.170849845882874</v>
      </c>
      <c r="AR418" s="75">
        <f>AQ418*(1-PARAM!$C$27)*$I$13+(MOD($B418,60)=PARAM!$B$56)*($B418&gt;(60-PARAM!$B$56))*HLOOKUP(($B418+PARAM!$B$56)/12,Loyalty,2)*$F$1*MAX(AT417,0)</f>
        <v>18.557001321003963</v>
      </c>
      <c r="AS418" s="75">
        <f>PARAM!$C$26+MAX($G$13-CHOOSE(PARAM!$B$44,MAX(0,AT417*$F$1),0),0)*RATES!$L394/12+$H$13*(PARAM!$D$51/12)*RATES!$N394/100</f>
        <v>61.625</v>
      </c>
      <c r="AT418" s="16">
        <f t="shared" si="294"/>
        <v>-1731.0371743696801</v>
      </c>
      <c r="AU418" s="15">
        <f t="shared" si="269"/>
        <v>22.170849845882874</v>
      </c>
      <c r="AV418" s="75">
        <f>AU418*(1-PARAM!$C$27)*$I$14+(MOD($B418,60)=PARAM!$B$56)*($B418&gt;(60-PARAM!$B$56))*HLOOKUP(($B418+PARAM!$B$56)/12,Loyalty,2)*$F$1*MAX(AX417,0)</f>
        <v>18.557001321003963</v>
      </c>
      <c r="AW418" s="75">
        <f>PARAM!$C$26+MAX($G$14-CHOOSE(PARAM!$B$44,MAX(0,AX417*$F$1),0),0)*RATES!$L394/12+$H$14*(PARAM!$D$51/12)*RATES!$N394/100</f>
        <v>61.625</v>
      </c>
      <c r="AX418" s="16">
        <f t="shared" si="295"/>
        <v>-1731.0371743696801</v>
      </c>
      <c r="AY418" s="15">
        <f t="shared" si="270"/>
        <v>22.170849845882874</v>
      </c>
      <c r="AZ418" s="75">
        <f>AY418*(1-PARAM!$C$27)*$I$15+(MOD($B418,60)=PARAM!$B$56)*($B418&gt;(60-PARAM!$B$56))*HLOOKUP(($B418+PARAM!$B$56)/12,Loyalty,2)*$F$1*MAX(BB417,0)</f>
        <v>18.557001321003963</v>
      </c>
      <c r="BA418" s="75">
        <f>PARAM!$C$26+MAX($G$15-CHOOSE(PARAM!$B$44,MAX(0,BB417*$F$1),0),0)*RATES!$L394/12+$H$15*(PARAM!$D$51/12)*RATES!$N394/100</f>
        <v>61.625</v>
      </c>
      <c r="BB418" s="16">
        <f t="shared" si="296"/>
        <v>-1731.0371743696801</v>
      </c>
      <c r="BC418" s="15">
        <f t="shared" si="271"/>
        <v>22.170849845882874</v>
      </c>
      <c r="BD418" s="75">
        <f>BC418*(1-PARAM!$C$27)*$I$16+(MOD($B418,60)=PARAM!$B$56)*($B418&gt;(60-PARAM!$B$56))*HLOOKUP(($B418+PARAM!$B$56)/12,Loyalty,2)*$F$1*MAX(BF417,0)</f>
        <v>18.557001321003963</v>
      </c>
      <c r="BE418" s="75">
        <f>PARAM!$C$26+MAX($G$16-CHOOSE(PARAM!$B$44,MAX(0,BF417*$F$1),0),0)*RATES!$L394/12+$H$16*(PARAM!$D$51/12)*RATES!$N394/100</f>
        <v>61.625</v>
      </c>
      <c r="BF418" s="16">
        <f t="shared" si="297"/>
        <v>-1731.0371743696801</v>
      </c>
      <c r="BG418" s="15">
        <f t="shared" si="272"/>
        <v>22.170849845882874</v>
      </c>
      <c r="BH418" s="75">
        <f>BG418*(1-PARAM!$C$27)*$I$17+(MOD($B418,60)=PARAM!$B$56)*($B418&gt;(60-PARAM!$B$56))*HLOOKUP(($B418+PARAM!$B$56)/12,Loyalty,2)*$F$1*MAX(BJ417,0)</f>
        <v>18.557001321003963</v>
      </c>
      <c r="BI418" s="75">
        <f>PARAM!$C$26+MAX($G$17-CHOOSE(PARAM!$B$44,MAX(0,BJ417*$F$1),0),0)*RATES!$L394/12+$H$17*(PARAM!$D$51/12)*RATES!$N394/100</f>
        <v>61.625</v>
      </c>
      <c r="BJ418" s="16">
        <f t="shared" si="298"/>
        <v>-1731.0371743696801</v>
      </c>
      <c r="BK418" s="15">
        <f t="shared" si="273"/>
        <v>22.170849845882874</v>
      </c>
      <c r="BL418" s="75">
        <f>BK418*(1-PARAM!$C$27)*$I$18+(MOD($B418,60)=PARAM!$B$56)*($B418&gt;(60-PARAM!$B$56))*HLOOKUP(($B418+PARAM!$B$56)/12,Loyalty,2)*$F$1*MAX(BN417,0)</f>
        <v>18.557001321003963</v>
      </c>
      <c r="BM418" s="75">
        <f>PARAM!$C$26+MAX($G$18-CHOOSE(PARAM!$B$44,MAX(0,BN417*$F$1),0),0)*RATES!$L394/12+$H$18*(PARAM!$D$51/12)*RATES!$N394/100</f>
        <v>61.625</v>
      </c>
      <c r="BN418" s="16">
        <f t="shared" si="299"/>
        <v>-1731.0371743696801</v>
      </c>
      <c r="BO418" s="15">
        <f t="shared" si="274"/>
        <v>22.170849845882874</v>
      </c>
      <c r="BP418" s="75">
        <f>BO418*(1-PARAM!$C$27)*$I$19+(MOD($B418,60)=PARAM!$B$56)*($B418&gt;(60-PARAM!$B$56))*HLOOKUP(($B418+PARAM!$B$56)/12,Loyalty,2)*$F$1*MAX(BR417,0)</f>
        <v>18.557001321003963</v>
      </c>
      <c r="BQ418" s="75">
        <f>PARAM!$C$26+MAX($G$19-CHOOSE(PARAM!$B$44,MAX(0,BR417*$F$1),0),0)*RATES!$L394/12+$H$19*(PARAM!$D$51/12)*RATES!$N394/100</f>
        <v>61.625</v>
      </c>
      <c r="BR418" s="16">
        <f t="shared" si="300"/>
        <v>-1731.0371743696801</v>
      </c>
      <c r="BS418" s="15">
        <f t="shared" si="275"/>
        <v>22.170849845882874</v>
      </c>
      <c r="BT418" s="75">
        <f>BS418*(1-PARAM!$C$27)*$I$20+(MOD($B418,60)=PARAM!$B$56)*($B418&gt;(60-PARAM!$B$56))*HLOOKUP(($B418+PARAM!$B$56)/12,Loyalty,2)*$F$1*MAX(BV417,0)</f>
        <v>18.557001321003963</v>
      </c>
      <c r="BU418" s="75">
        <f>PARAM!$C$26+MAX($G$20-CHOOSE(PARAM!$B$44,MAX(0,BV417*$F$1),0),0)*RATES!$L394/12+$H$20*(PARAM!$D$51/12)*RATES!$N394/100</f>
        <v>61.625</v>
      </c>
      <c r="BV418" s="16">
        <f t="shared" si="301"/>
        <v>-1731.0371743696801</v>
      </c>
      <c r="BW418" s="15">
        <f t="shared" si="276"/>
        <v>22.170849845882874</v>
      </c>
      <c r="BX418" s="75">
        <f>BW418*(1-PARAM!$C$27)*$I$21+(MOD($B418,60)=PARAM!$B$56)*($B418&gt;(60-PARAM!$B$56))*HLOOKUP(($B418+PARAM!$B$56)/12,Loyalty,2)*$F$1*MAX(BZ417,0)</f>
        <v>18.557001321003963</v>
      </c>
      <c r="BY418" s="75">
        <f>PARAM!$C$26+MAX($G$21-CHOOSE(PARAM!$B$44,MAX(0,BZ417*$F$1),0),0)*RATES!$L394/12+$H$21*(PARAM!$D$51/12)*RATES!$N394/100</f>
        <v>61.625</v>
      </c>
      <c r="BZ418" s="16">
        <f t="shared" si="302"/>
        <v>-1731.0371743696801</v>
      </c>
      <c r="CA418" s="15">
        <f t="shared" si="277"/>
        <v>22.170849845882874</v>
      </c>
      <c r="CB418" s="75">
        <f>CA418*(1-PARAM!$C$27)*$I$22+(MOD($B418,60)=PARAM!$B$56)*($B418&gt;(60-PARAM!$B$56))*HLOOKUP(($B418+PARAM!$B$56)/12,Loyalty,2)*$F$1*MAX(CD417,0)</f>
        <v>18.557001321003963</v>
      </c>
      <c r="CC418" s="75">
        <f>PARAM!$C$26+MAX($G$22-CHOOSE(PARAM!$B$44,MAX(0,CD417*$F$1),0),0)*RATES!$L394/12+$H$22*(PARAM!$D$51/12)*RATES!$N394/100</f>
        <v>61.625</v>
      </c>
      <c r="CD418" s="16">
        <f t="shared" si="303"/>
        <v>-1731.0371743696801</v>
      </c>
      <c r="CE418" s="33">
        <f>IF(0=MOD(B418,12/PARAM!$D$51),1,0)</f>
        <v>1</v>
      </c>
      <c r="CF418" s="15">
        <f t="shared" si="278"/>
        <v>0</v>
      </c>
      <c r="CG418" s="75">
        <f>CF418*(1-PARAM!$C$27)*$R$3+(MOD($B418/12,5)=0)*($B418&gt;60)*HLOOKUP($B418/12,Loyalty,2)*$F$1*MAX(CI417,0)</f>
        <v>0</v>
      </c>
      <c r="CH418" s="75">
        <f>PARAM!$C$26+MAX($P$3-CHOOSE(PARAM!$B$44,MAX(0,CI417*$F$1),0),0)*RATES!$L394/12+$Q$3*(PARAM!$D$51/12)*RATES!$N394/100</f>
        <v>61.625</v>
      </c>
      <c r="CI418" s="16">
        <f>IF(CI417&gt;0,CI417*PARAM!$C$53,CI417)+CG418-CH418</f>
        <v>-8867.2499999999873</v>
      </c>
      <c r="CJ418" s="15">
        <f t="shared" si="304"/>
        <v>0</v>
      </c>
      <c r="CK418" s="75">
        <f>CJ418*(1-PARAM!$C$27)*$R$4+(MOD($B418/12,5)=0)*($B418&gt;60)*HLOOKUP($B418/12,Loyalty,2)*$F$1*MAX(CM417,0)</f>
        <v>0</v>
      </c>
      <c r="CL418" s="75">
        <f>PARAM!$C$26+MAX($P$4-CHOOSE(PARAM!$B$44,MAX(0,CM417*$F$1),0),0)*RATES!$L394/12+$Q$4*(PARAM!$D$51/12)*RATES!$N394/100</f>
        <v>61.625</v>
      </c>
      <c r="CM418" s="16">
        <f>IF(CM417&gt;0,CM417*PARAM!$C$53,CM417)+CK418-CL418</f>
        <v>-8867.2499999999873</v>
      </c>
      <c r="CO418" s="176"/>
    </row>
    <row r="419" spans="1:93" x14ac:dyDescent="0.2">
      <c r="A419" t="b">
        <f t="shared" si="279"/>
        <v>0</v>
      </c>
      <c r="B419" s="33">
        <v>392</v>
      </c>
      <c r="C419" s="15">
        <f t="shared" si="280"/>
        <v>20.081305947392778</v>
      </c>
      <c r="D419" s="75">
        <f>C419*(1-PARAM!$C$27)*$I$3+(MOD($B419,60)=PARAM!$B$56)*($B419&gt;(60-PARAM!$B$56))*HLOOKUP(($B419+PARAM!$B$56)/12,Loyalty,2)*$F$1*MAX(F418,0)</f>
        <v>16.808053077967756</v>
      </c>
      <c r="E419" s="75">
        <f>PARAM!$C$26+MAX($G$3-CHOOSE(PARAM!$B$44,MAX(0,F418*$F$1),0),0)*RATES!$L395/12+$H$3*(PARAM!$D$51/12)*RATES!$N395/100</f>
        <v>61.625</v>
      </c>
      <c r="F419" s="16">
        <f t="shared" si="281"/>
        <v>-2496.543384840375</v>
      </c>
      <c r="G419" s="15">
        <f t="shared" si="282"/>
        <v>22.035289406060361</v>
      </c>
      <c r="H419" s="75">
        <f>G419*(1-PARAM!$C$27)*$I$4+(MOD($B419,60)=PARAM!$B$56)*($B419&gt;(60-PARAM!$B$56))*HLOOKUP(($B419+PARAM!$B$56)/12,Loyalty,2)*$F$1*MAX(J418,0)</f>
        <v>18.443537232872522</v>
      </c>
      <c r="I419" s="75">
        <f>PARAM!$C$26+MAX($G$4-CHOOSE(PARAM!$B$44,MAX(0,J418*$F$1),0),0)*RATES!$L395/12+$H$4*(PARAM!$D$51/12)*RATES!$N395/100</f>
        <v>61.625</v>
      </c>
      <c r="J419" s="16">
        <f t="shared" si="283"/>
        <v>-1821.6006319959956</v>
      </c>
      <c r="K419" s="15">
        <f t="shared" si="284"/>
        <v>22.170849845882874</v>
      </c>
      <c r="L419" s="75">
        <f>K419*(1-PARAM!$C$27)*$I$5+(MOD($B419,60)=PARAM!$B$56)*($B419&gt;(60-PARAM!$B$56))*HLOOKUP(($B419+PARAM!$B$56)/12,Loyalty,2)*$F$1*MAX(N418,0)</f>
        <v>18.557001321003963</v>
      </c>
      <c r="M419" s="75">
        <f>PARAM!$C$26+MAX($G$5-CHOOSE(PARAM!$B$44,MAX(0,N418*$F$1),0),0)*RATES!$L395/12+$H$5*(PARAM!$D$51/12)*RATES!$N395/100</f>
        <v>61.625</v>
      </c>
      <c r="N419" s="16">
        <f t="shared" si="285"/>
        <v>-1774.1051730486761</v>
      </c>
      <c r="O419" s="15">
        <f t="shared" si="286"/>
        <v>22.170849845882874</v>
      </c>
      <c r="P419" s="75">
        <f>O419*(1-PARAM!$C$27)*$I$6+(MOD($B419,60)=PARAM!$B$56)*($B419&gt;(60-PARAM!$B$56))*HLOOKUP(($B419+PARAM!$B$56)/12,Loyalty,2)*$F$1*MAX(R418,0)</f>
        <v>18.557001321003963</v>
      </c>
      <c r="Q419" s="75">
        <f>PARAM!$C$26+MAX($G$6-CHOOSE(PARAM!$B$44,MAX(0,R418*$F$1),0),0)*RATES!$L395/12+$H$6*(PARAM!$D$51/12)*RATES!$N395/100</f>
        <v>61.625</v>
      </c>
      <c r="R419" s="16">
        <f t="shared" si="287"/>
        <v>-1774.1051730486761</v>
      </c>
      <c r="S419" s="15">
        <f t="shared" si="262"/>
        <v>22.170849845882874</v>
      </c>
      <c r="T419" s="75">
        <f>S419*(1-PARAM!$C$27)*$I$7+(MOD($B419,60)=PARAM!$B$56)*($B419&gt;(60-PARAM!$B$56))*HLOOKUP(($B419+PARAM!$B$56)/12,Loyalty,2)*$F$1*MAX(V418,0)</f>
        <v>18.557001321003963</v>
      </c>
      <c r="U419" s="75">
        <f>PARAM!$C$26+MAX($G$7-CHOOSE(PARAM!$B$44,MAX(0,V418*$F$1),0),0)*RATES!$L395/12+$H$7*(PARAM!$D$51/12)*RATES!$N395/100</f>
        <v>61.625</v>
      </c>
      <c r="V419" s="16">
        <f t="shared" si="288"/>
        <v>-1774.1051730486761</v>
      </c>
      <c r="W419" s="15">
        <f t="shared" si="263"/>
        <v>22.170849845882874</v>
      </c>
      <c r="X419" s="75">
        <f>W419*(1-PARAM!$C$27)*$I$8+(MOD($B419,60)=PARAM!$B$56)*($B419&gt;(60-PARAM!$B$56))*HLOOKUP(($B419+PARAM!$B$56)/12,Loyalty,2)*$F$1*MAX(Z418,0)</f>
        <v>18.557001321003963</v>
      </c>
      <c r="Y419" s="75">
        <f>PARAM!$C$26+MAX($G$8-CHOOSE(PARAM!$B$44,MAX(0,Z418*$F$1),0),0)*RATES!$L395/12+$H$8*(PARAM!$D$51/12)*RATES!$N395/100</f>
        <v>61.625</v>
      </c>
      <c r="Z419" s="16">
        <f t="shared" si="289"/>
        <v>-1774.1051730486761</v>
      </c>
      <c r="AA419" s="15">
        <f t="shared" si="264"/>
        <v>22.170849845882874</v>
      </c>
      <c r="AB419" s="75">
        <f>AA419*(1-PARAM!$C$27)*$I$9+(MOD($B419,60)=PARAM!$B$56)*($B419&gt;(60-PARAM!$B$56))*HLOOKUP(($B419+PARAM!$B$56)/12,Loyalty,2)*$F$1*MAX(AD418,0)</f>
        <v>18.557001321003963</v>
      </c>
      <c r="AC419" s="75">
        <f>PARAM!$C$26+MAX($G$9-CHOOSE(PARAM!$B$44,MAX(0,AD418*$F$1),0),0)*RATES!$L395/12+$H$9*(PARAM!$D$51/12)*RATES!$N395/100</f>
        <v>61.625</v>
      </c>
      <c r="AD419" s="16">
        <f t="shared" si="290"/>
        <v>-1774.1051730486761</v>
      </c>
      <c r="AE419" s="15">
        <f t="shared" si="265"/>
        <v>22.170849845882874</v>
      </c>
      <c r="AF419" s="75">
        <f>AE419*(1-PARAM!$C$27)*$I$10+(MOD($B419,60)=PARAM!$B$56)*($B419&gt;(60-PARAM!$B$56))*HLOOKUP(($B419+PARAM!$B$56)/12,Loyalty,2)*$F$1*MAX(AH418,0)</f>
        <v>18.557001321003963</v>
      </c>
      <c r="AG419" s="75">
        <f>PARAM!$C$26+MAX($G$10-CHOOSE(PARAM!$B$44,MAX(0,AH418*$F$1),0),0)*RATES!$L395/12+$H$10*(PARAM!$D$51/12)*RATES!$N395/100</f>
        <v>61.625</v>
      </c>
      <c r="AH419" s="16">
        <f t="shared" si="291"/>
        <v>-1774.1051730486761</v>
      </c>
      <c r="AI419" s="15">
        <f t="shared" si="266"/>
        <v>22.170849845882874</v>
      </c>
      <c r="AJ419" s="75">
        <f>AI419*(1-PARAM!$C$27)*$I$11+(MOD($B419,60)=PARAM!$B$56)*($B419&gt;(60-PARAM!$B$56))*HLOOKUP(($B419+PARAM!$B$56)/12,Loyalty,2)*$F$1*MAX(AL418,0)</f>
        <v>18.557001321003963</v>
      </c>
      <c r="AK419" s="75">
        <f>PARAM!$C$26+MAX($G$11-CHOOSE(PARAM!$B$44,MAX(0,AL418*$F$1),0),0)*RATES!$L395/12+$H$11*(PARAM!$D$51/12)*RATES!$N395/100</f>
        <v>61.625</v>
      </c>
      <c r="AL419" s="16">
        <f t="shared" si="292"/>
        <v>-1774.1051730486761</v>
      </c>
      <c r="AM419" s="15">
        <f t="shared" si="267"/>
        <v>22.170849845882874</v>
      </c>
      <c r="AN419" s="75">
        <f>AM419*(1-PARAM!$C$27)*$I$12+(MOD($B419,60)=PARAM!$B$56)*($B419&gt;(60-PARAM!$B$56))*HLOOKUP(($B419+PARAM!$B$56)/12,Loyalty,2)*$F$1*MAX(AP418,0)</f>
        <v>18.557001321003963</v>
      </c>
      <c r="AO419" s="75">
        <f>PARAM!$C$26+MAX($G$12-CHOOSE(PARAM!$B$44,MAX(0,AP418*$F$1),0),0)*RATES!$L395/12+$H$12*(PARAM!$D$51/12)*RATES!$N395/100</f>
        <v>61.625</v>
      </c>
      <c r="AP419" s="16">
        <f t="shared" si="293"/>
        <v>-1774.1051730486761</v>
      </c>
      <c r="AQ419" s="15">
        <f t="shared" si="268"/>
        <v>22.170849845882874</v>
      </c>
      <c r="AR419" s="75">
        <f>AQ419*(1-PARAM!$C$27)*$I$13+(MOD($B419,60)=PARAM!$B$56)*($B419&gt;(60-PARAM!$B$56))*HLOOKUP(($B419+PARAM!$B$56)/12,Loyalty,2)*$F$1*MAX(AT418,0)</f>
        <v>18.557001321003963</v>
      </c>
      <c r="AS419" s="75">
        <f>PARAM!$C$26+MAX($G$13-CHOOSE(PARAM!$B$44,MAX(0,AT418*$F$1),0),0)*RATES!$L395/12+$H$13*(PARAM!$D$51/12)*RATES!$N395/100</f>
        <v>61.625</v>
      </c>
      <c r="AT419" s="16">
        <f t="shared" si="294"/>
        <v>-1774.1051730486761</v>
      </c>
      <c r="AU419" s="15">
        <f t="shared" si="269"/>
        <v>22.170849845882874</v>
      </c>
      <c r="AV419" s="75">
        <f>AU419*(1-PARAM!$C$27)*$I$14+(MOD($B419,60)=PARAM!$B$56)*($B419&gt;(60-PARAM!$B$56))*HLOOKUP(($B419+PARAM!$B$56)/12,Loyalty,2)*$F$1*MAX(AX418,0)</f>
        <v>18.557001321003963</v>
      </c>
      <c r="AW419" s="75">
        <f>PARAM!$C$26+MAX($G$14-CHOOSE(PARAM!$B$44,MAX(0,AX418*$F$1),0),0)*RATES!$L395/12+$H$14*(PARAM!$D$51/12)*RATES!$N395/100</f>
        <v>61.625</v>
      </c>
      <c r="AX419" s="16">
        <f t="shared" si="295"/>
        <v>-1774.1051730486761</v>
      </c>
      <c r="AY419" s="15">
        <f t="shared" si="270"/>
        <v>22.170849845882874</v>
      </c>
      <c r="AZ419" s="75">
        <f>AY419*(1-PARAM!$C$27)*$I$15+(MOD($B419,60)=PARAM!$B$56)*($B419&gt;(60-PARAM!$B$56))*HLOOKUP(($B419+PARAM!$B$56)/12,Loyalty,2)*$F$1*MAX(BB418,0)</f>
        <v>18.557001321003963</v>
      </c>
      <c r="BA419" s="75">
        <f>PARAM!$C$26+MAX($G$15-CHOOSE(PARAM!$B$44,MAX(0,BB418*$F$1),0),0)*RATES!$L395/12+$H$15*(PARAM!$D$51/12)*RATES!$N395/100</f>
        <v>61.625</v>
      </c>
      <c r="BB419" s="16">
        <f t="shared" si="296"/>
        <v>-1774.1051730486761</v>
      </c>
      <c r="BC419" s="15">
        <f t="shared" si="271"/>
        <v>22.170849845882874</v>
      </c>
      <c r="BD419" s="75">
        <f>BC419*(1-PARAM!$C$27)*$I$16+(MOD($B419,60)=PARAM!$B$56)*($B419&gt;(60-PARAM!$B$56))*HLOOKUP(($B419+PARAM!$B$56)/12,Loyalty,2)*$F$1*MAX(BF418,0)</f>
        <v>18.557001321003963</v>
      </c>
      <c r="BE419" s="75">
        <f>PARAM!$C$26+MAX($G$16-CHOOSE(PARAM!$B$44,MAX(0,BF418*$F$1),0),0)*RATES!$L395/12+$H$16*(PARAM!$D$51/12)*RATES!$N395/100</f>
        <v>61.625</v>
      </c>
      <c r="BF419" s="16">
        <f t="shared" si="297"/>
        <v>-1774.1051730486761</v>
      </c>
      <c r="BG419" s="15">
        <f t="shared" si="272"/>
        <v>22.170849845882874</v>
      </c>
      <c r="BH419" s="75">
        <f>BG419*(1-PARAM!$C$27)*$I$17+(MOD($B419,60)=PARAM!$B$56)*($B419&gt;(60-PARAM!$B$56))*HLOOKUP(($B419+PARAM!$B$56)/12,Loyalty,2)*$F$1*MAX(BJ418,0)</f>
        <v>18.557001321003963</v>
      </c>
      <c r="BI419" s="75">
        <f>PARAM!$C$26+MAX($G$17-CHOOSE(PARAM!$B$44,MAX(0,BJ418*$F$1),0),0)*RATES!$L395/12+$H$17*(PARAM!$D$51/12)*RATES!$N395/100</f>
        <v>61.625</v>
      </c>
      <c r="BJ419" s="16">
        <f t="shared" si="298"/>
        <v>-1774.1051730486761</v>
      </c>
      <c r="BK419" s="15">
        <f t="shared" si="273"/>
        <v>22.170849845882874</v>
      </c>
      <c r="BL419" s="75">
        <f>BK419*(1-PARAM!$C$27)*$I$18+(MOD($B419,60)=PARAM!$B$56)*($B419&gt;(60-PARAM!$B$56))*HLOOKUP(($B419+PARAM!$B$56)/12,Loyalty,2)*$F$1*MAX(BN418,0)</f>
        <v>18.557001321003963</v>
      </c>
      <c r="BM419" s="75">
        <f>PARAM!$C$26+MAX($G$18-CHOOSE(PARAM!$B$44,MAX(0,BN418*$F$1),0),0)*RATES!$L395/12+$H$18*(PARAM!$D$51/12)*RATES!$N395/100</f>
        <v>61.625</v>
      </c>
      <c r="BN419" s="16">
        <f t="shared" si="299"/>
        <v>-1774.1051730486761</v>
      </c>
      <c r="BO419" s="15">
        <f t="shared" si="274"/>
        <v>22.170849845882874</v>
      </c>
      <c r="BP419" s="75">
        <f>BO419*(1-PARAM!$C$27)*$I$19+(MOD($B419,60)=PARAM!$B$56)*($B419&gt;(60-PARAM!$B$56))*HLOOKUP(($B419+PARAM!$B$56)/12,Loyalty,2)*$F$1*MAX(BR418,0)</f>
        <v>18.557001321003963</v>
      </c>
      <c r="BQ419" s="75">
        <f>PARAM!$C$26+MAX($G$19-CHOOSE(PARAM!$B$44,MAX(0,BR418*$F$1),0),0)*RATES!$L395/12+$H$19*(PARAM!$D$51/12)*RATES!$N395/100</f>
        <v>61.625</v>
      </c>
      <c r="BR419" s="16">
        <f t="shared" si="300"/>
        <v>-1774.1051730486761</v>
      </c>
      <c r="BS419" s="15">
        <f t="shared" si="275"/>
        <v>22.170849845882874</v>
      </c>
      <c r="BT419" s="75">
        <f>BS419*(1-PARAM!$C$27)*$I$20+(MOD($B419,60)=PARAM!$B$56)*($B419&gt;(60-PARAM!$B$56))*HLOOKUP(($B419+PARAM!$B$56)/12,Loyalty,2)*$F$1*MAX(BV418,0)</f>
        <v>18.557001321003963</v>
      </c>
      <c r="BU419" s="75">
        <f>PARAM!$C$26+MAX($G$20-CHOOSE(PARAM!$B$44,MAX(0,BV418*$F$1),0),0)*RATES!$L395/12+$H$20*(PARAM!$D$51/12)*RATES!$N395/100</f>
        <v>61.625</v>
      </c>
      <c r="BV419" s="16">
        <f t="shared" si="301"/>
        <v>-1774.1051730486761</v>
      </c>
      <c r="BW419" s="15">
        <f t="shared" si="276"/>
        <v>22.170849845882874</v>
      </c>
      <c r="BX419" s="75">
        <f>BW419*(1-PARAM!$C$27)*$I$21+(MOD($B419,60)=PARAM!$B$56)*($B419&gt;(60-PARAM!$B$56))*HLOOKUP(($B419+PARAM!$B$56)/12,Loyalty,2)*$F$1*MAX(BZ418,0)</f>
        <v>18.557001321003963</v>
      </c>
      <c r="BY419" s="75">
        <f>PARAM!$C$26+MAX($G$21-CHOOSE(PARAM!$B$44,MAX(0,BZ418*$F$1),0),0)*RATES!$L395/12+$H$21*(PARAM!$D$51/12)*RATES!$N395/100</f>
        <v>61.625</v>
      </c>
      <c r="BZ419" s="16">
        <f t="shared" si="302"/>
        <v>-1774.1051730486761</v>
      </c>
      <c r="CA419" s="15">
        <f t="shared" si="277"/>
        <v>22.170849845882874</v>
      </c>
      <c r="CB419" s="75">
        <f>CA419*(1-PARAM!$C$27)*$I$22+(MOD($B419,60)=PARAM!$B$56)*($B419&gt;(60-PARAM!$B$56))*HLOOKUP(($B419+PARAM!$B$56)/12,Loyalty,2)*$F$1*MAX(CD418,0)</f>
        <v>18.557001321003963</v>
      </c>
      <c r="CC419" s="75">
        <f>PARAM!$C$26+MAX($G$22-CHOOSE(PARAM!$B$44,MAX(0,CD418*$F$1),0),0)*RATES!$L395/12+$H$22*(PARAM!$D$51/12)*RATES!$N395/100</f>
        <v>61.625</v>
      </c>
      <c r="CD419" s="16">
        <f t="shared" si="303"/>
        <v>-1774.1051730486761</v>
      </c>
      <c r="CE419" s="33">
        <f>IF(0=MOD(B419,12/PARAM!$D$51),1,0)</f>
        <v>1</v>
      </c>
      <c r="CF419" s="15">
        <f t="shared" si="278"/>
        <v>0</v>
      </c>
      <c r="CG419" s="75">
        <f>CF419*(1-PARAM!$C$27)*$R$3+(MOD($B419/12,5)=0)*($B419&gt;60)*HLOOKUP($B419/12,Loyalty,2)*$F$1*MAX(CI418,0)</f>
        <v>0</v>
      </c>
      <c r="CH419" s="75">
        <f>PARAM!$C$26+MAX($P$3-CHOOSE(PARAM!$B$44,MAX(0,CI418*$F$1),0),0)*RATES!$L395/12+$Q$3*(PARAM!$D$51/12)*RATES!$N395/100</f>
        <v>61.625</v>
      </c>
      <c r="CI419" s="16">
        <f>IF(CI418&gt;0,CI418*PARAM!$C$53,CI418)+CG419-CH419</f>
        <v>-8928.8749999999873</v>
      </c>
      <c r="CJ419" s="15">
        <f t="shared" si="304"/>
        <v>0</v>
      </c>
      <c r="CK419" s="75">
        <f>CJ419*(1-PARAM!$C$27)*$R$4+(MOD($B419/12,5)=0)*($B419&gt;60)*HLOOKUP($B419/12,Loyalty,2)*$F$1*MAX(CM418,0)</f>
        <v>0</v>
      </c>
      <c r="CL419" s="75">
        <f>PARAM!$C$26+MAX($P$4-CHOOSE(PARAM!$B$44,MAX(0,CM418*$F$1),0),0)*RATES!$L395/12+$Q$4*(PARAM!$D$51/12)*RATES!$N395/100</f>
        <v>61.625</v>
      </c>
      <c r="CM419" s="16">
        <f>IF(CM418&gt;0,CM418*PARAM!$C$53,CM418)+CK419-CL419</f>
        <v>-8928.8749999999873</v>
      </c>
      <c r="CO419" s="176"/>
    </row>
    <row r="420" spans="1:93" x14ac:dyDescent="0.2">
      <c r="A420" t="b">
        <f t="shared" si="279"/>
        <v>0</v>
      </c>
      <c r="B420" s="33">
        <v>393</v>
      </c>
      <c r="C420" s="15">
        <f t="shared" si="280"/>
        <v>20.081305947392778</v>
      </c>
      <c r="D420" s="75">
        <f>C420*(1-PARAM!$C$27)*$I$3+(MOD($B420,60)=PARAM!$B$56)*($B420&gt;(60-PARAM!$B$56))*HLOOKUP(($B420+PARAM!$B$56)/12,Loyalty,2)*$F$1*MAX(F419,0)</f>
        <v>16.808053077967756</v>
      </c>
      <c r="E420" s="75">
        <f>PARAM!$C$26+MAX($G$3-CHOOSE(PARAM!$B$44,MAX(0,F419*$F$1),0),0)*RATES!$L396/12+$H$3*(PARAM!$D$51/12)*RATES!$N396/100</f>
        <v>61.625</v>
      </c>
      <c r="F420" s="16">
        <f t="shared" si="281"/>
        <v>-2541.3603317624074</v>
      </c>
      <c r="G420" s="15">
        <f t="shared" si="282"/>
        <v>22.035289406060361</v>
      </c>
      <c r="H420" s="75">
        <f>G420*(1-PARAM!$C$27)*$I$4+(MOD($B420,60)=PARAM!$B$56)*($B420&gt;(60-PARAM!$B$56))*HLOOKUP(($B420+PARAM!$B$56)/12,Loyalty,2)*$F$1*MAX(J419,0)</f>
        <v>18.443537232872522</v>
      </c>
      <c r="I420" s="75">
        <f>PARAM!$C$26+MAX($G$4-CHOOSE(PARAM!$B$44,MAX(0,J419*$F$1),0),0)*RATES!$L396/12+$H$4*(PARAM!$D$51/12)*RATES!$N396/100</f>
        <v>61.625</v>
      </c>
      <c r="J420" s="16">
        <f t="shared" si="283"/>
        <v>-1864.782094763123</v>
      </c>
      <c r="K420" s="15">
        <f t="shared" si="284"/>
        <v>22.170849845882874</v>
      </c>
      <c r="L420" s="75">
        <f>K420*(1-PARAM!$C$27)*$I$5+(MOD($B420,60)=PARAM!$B$56)*($B420&gt;(60-PARAM!$B$56))*HLOOKUP(($B420+PARAM!$B$56)/12,Loyalty,2)*$F$1*MAX(N419,0)</f>
        <v>18.557001321003963</v>
      </c>
      <c r="M420" s="75">
        <f>PARAM!$C$26+MAX($G$5-CHOOSE(PARAM!$B$44,MAX(0,N419*$F$1),0),0)*RATES!$L396/12+$H$5*(PARAM!$D$51/12)*RATES!$N396/100</f>
        <v>61.625</v>
      </c>
      <c r="N420" s="16">
        <f t="shared" si="285"/>
        <v>-1817.1731717276721</v>
      </c>
      <c r="O420" s="15">
        <f t="shared" si="286"/>
        <v>22.170849845882874</v>
      </c>
      <c r="P420" s="75">
        <f>O420*(1-PARAM!$C$27)*$I$6+(MOD($B420,60)=PARAM!$B$56)*($B420&gt;(60-PARAM!$B$56))*HLOOKUP(($B420+PARAM!$B$56)/12,Loyalty,2)*$F$1*MAX(R419,0)</f>
        <v>18.557001321003963</v>
      </c>
      <c r="Q420" s="75">
        <f>PARAM!$C$26+MAX($G$6-CHOOSE(PARAM!$B$44,MAX(0,R419*$F$1),0),0)*RATES!$L396/12+$H$6*(PARAM!$D$51/12)*RATES!$N396/100</f>
        <v>61.625</v>
      </c>
      <c r="R420" s="16">
        <f t="shared" si="287"/>
        <v>-1817.1731717276721</v>
      </c>
      <c r="S420" s="15">
        <f t="shared" si="262"/>
        <v>22.170849845882874</v>
      </c>
      <c r="T420" s="75">
        <f>S420*(1-PARAM!$C$27)*$I$7+(MOD($B420,60)=PARAM!$B$56)*($B420&gt;(60-PARAM!$B$56))*HLOOKUP(($B420+PARAM!$B$56)/12,Loyalty,2)*$F$1*MAX(V419,0)</f>
        <v>18.557001321003963</v>
      </c>
      <c r="U420" s="75">
        <f>PARAM!$C$26+MAX($G$7-CHOOSE(PARAM!$B$44,MAX(0,V419*$F$1),0),0)*RATES!$L396/12+$H$7*(PARAM!$D$51/12)*RATES!$N396/100</f>
        <v>61.625</v>
      </c>
      <c r="V420" s="16">
        <f t="shared" si="288"/>
        <v>-1817.1731717276721</v>
      </c>
      <c r="W420" s="15">
        <f t="shared" si="263"/>
        <v>22.170849845882874</v>
      </c>
      <c r="X420" s="75">
        <f>W420*(1-PARAM!$C$27)*$I$8+(MOD($B420,60)=PARAM!$B$56)*($B420&gt;(60-PARAM!$B$56))*HLOOKUP(($B420+PARAM!$B$56)/12,Loyalty,2)*$F$1*MAX(Z419,0)</f>
        <v>18.557001321003963</v>
      </c>
      <c r="Y420" s="75">
        <f>PARAM!$C$26+MAX($G$8-CHOOSE(PARAM!$B$44,MAX(0,Z419*$F$1),0),0)*RATES!$L396/12+$H$8*(PARAM!$D$51/12)*RATES!$N396/100</f>
        <v>61.625</v>
      </c>
      <c r="Z420" s="16">
        <f t="shared" si="289"/>
        <v>-1817.1731717276721</v>
      </c>
      <c r="AA420" s="15">
        <f t="shared" si="264"/>
        <v>22.170849845882874</v>
      </c>
      <c r="AB420" s="75">
        <f>AA420*(1-PARAM!$C$27)*$I$9+(MOD($B420,60)=PARAM!$B$56)*($B420&gt;(60-PARAM!$B$56))*HLOOKUP(($B420+PARAM!$B$56)/12,Loyalty,2)*$F$1*MAX(AD419,0)</f>
        <v>18.557001321003963</v>
      </c>
      <c r="AC420" s="75">
        <f>PARAM!$C$26+MAX($G$9-CHOOSE(PARAM!$B$44,MAX(0,AD419*$F$1),0),0)*RATES!$L396/12+$H$9*(PARAM!$D$51/12)*RATES!$N396/100</f>
        <v>61.625</v>
      </c>
      <c r="AD420" s="16">
        <f t="shared" si="290"/>
        <v>-1817.1731717276721</v>
      </c>
      <c r="AE420" s="15">
        <f t="shared" si="265"/>
        <v>22.170849845882874</v>
      </c>
      <c r="AF420" s="75">
        <f>AE420*(1-PARAM!$C$27)*$I$10+(MOD($B420,60)=PARAM!$B$56)*($B420&gt;(60-PARAM!$B$56))*HLOOKUP(($B420+PARAM!$B$56)/12,Loyalty,2)*$F$1*MAX(AH419,0)</f>
        <v>18.557001321003963</v>
      </c>
      <c r="AG420" s="75">
        <f>PARAM!$C$26+MAX($G$10-CHOOSE(PARAM!$B$44,MAX(0,AH419*$F$1),0),0)*RATES!$L396/12+$H$10*(PARAM!$D$51/12)*RATES!$N396/100</f>
        <v>61.625</v>
      </c>
      <c r="AH420" s="16">
        <f t="shared" si="291"/>
        <v>-1817.1731717276721</v>
      </c>
      <c r="AI420" s="15">
        <f t="shared" si="266"/>
        <v>22.170849845882874</v>
      </c>
      <c r="AJ420" s="75">
        <f>AI420*(1-PARAM!$C$27)*$I$11+(MOD($B420,60)=PARAM!$B$56)*($B420&gt;(60-PARAM!$B$56))*HLOOKUP(($B420+PARAM!$B$56)/12,Loyalty,2)*$F$1*MAX(AL419,0)</f>
        <v>18.557001321003963</v>
      </c>
      <c r="AK420" s="75">
        <f>PARAM!$C$26+MAX($G$11-CHOOSE(PARAM!$B$44,MAX(0,AL419*$F$1),0),0)*RATES!$L396/12+$H$11*(PARAM!$D$51/12)*RATES!$N396/100</f>
        <v>61.625</v>
      </c>
      <c r="AL420" s="16">
        <f t="shared" si="292"/>
        <v>-1817.1731717276721</v>
      </c>
      <c r="AM420" s="15">
        <f t="shared" si="267"/>
        <v>22.170849845882874</v>
      </c>
      <c r="AN420" s="75">
        <f>AM420*(1-PARAM!$C$27)*$I$12+(MOD($B420,60)=PARAM!$B$56)*($B420&gt;(60-PARAM!$B$56))*HLOOKUP(($B420+PARAM!$B$56)/12,Loyalty,2)*$F$1*MAX(AP419,0)</f>
        <v>18.557001321003963</v>
      </c>
      <c r="AO420" s="75">
        <f>PARAM!$C$26+MAX($G$12-CHOOSE(PARAM!$B$44,MAX(0,AP419*$F$1),0),0)*RATES!$L396/12+$H$12*(PARAM!$D$51/12)*RATES!$N396/100</f>
        <v>61.625</v>
      </c>
      <c r="AP420" s="16">
        <f t="shared" si="293"/>
        <v>-1817.1731717276721</v>
      </c>
      <c r="AQ420" s="15">
        <f t="shared" si="268"/>
        <v>22.170849845882874</v>
      </c>
      <c r="AR420" s="75">
        <f>AQ420*(1-PARAM!$C$27)*$I$13+(MOD($B420,60)=PARAM!$B$56)*($B420&gt;(60-PARAM!$B$56))*HLOOKUP(($B420+PARAM!$B$56)/12,Loyalty,2)*$F$1*MAX(AT419,0)</f>
        <v>18.557001321003963</v>
      </c>
      <c r="AS420" s="75">
        <f>PARAM!$C$26+MAX($G$13-CHOOSE(PARAM!$B$44,MAX(0,AT419*$F$1),0),0)*RATES!$L396/12+$H$13*(PARAM!$D$51/12)*RATES!$N396/100</f>
        <v>61.625</v>
      </c>
      <c r="AT420" s="16">
        <f t="shared" si="294"/>
        <v>-1817.1731717276721</v>
      </c>
      <c r="AU420" s="15">
        <f t="shared" si="269"/>
        <v>22.170849845882874</v>
      </c>
      <c r="AV420" s="75">
        <f>AU420*(1-PARAM!$C$27)*$I$14+(MOD($B420,60)=PARAM!$B$56)*($B420&gt;(60-PARAM!$B$56))*HLOOKUP(($B420+PARAM!$B$56)/12,Loyalty,2)*$F$1*MAX(AX419,0)</f>
        <v>18.557001321003963</v>
      </c>
      <c r="AW420" s="75">
        <f>PARAM!$C$26+MAX($G$14-CHOOSE(PARAM!$B$44,MAX(0,AX419*$F$1),0),0)*RATES!$L396/12+$H$14*(PARAM!$D$51/12)*RATES!$N396/100</f>
        <v>61.625</v>
      </c>
      <c r="AX420" s="16">
        <f t="shared" si="295"/>
        <v>-1817.1731717276721</v>
      </c>
      <c r="AY420" s="15">
        <f t="shared" si="270"/>
        <v>22.170849845882874</v>
      </c>
      <c r="AZ420" s="75">
        <f>AY420*(1-PARAM!$C$27)*$I$15+(MOD($B420,60)=PARAM!$B$56)*($B420&gt;(60-PARAM!$B$56))*HLOOKUP(($B420+PARAM!$B$56)/12,Loyalty,2)*$F$1*MAX(BB419,0)</f>
        <v>18.557001321003963</v>
      </c>
      <c r="BA420" s="75">
        <f>PARAM!$C$26+MAX($G$15-CHOOSE(PARAM!$B$44,MAX(0,BB419*$F$1),0),0)*RATES!$L396/12+$H$15*(PARAM!$D$51/12)*RATES!$N396/100</f>
        <v>61.625</v>
      </c>
      <c r="BB420" s="16">
        <f t="shared" si="296"/>
        <v>-1817.1731717276721</v>
      </c>
      <c r="BC420" s="15">
        <f t="shared" si="271"/>
        <v>22.170849845882874</v>
      </c>
      <c r="BD420" s="75">
        <f>BC420*(1-PARAM!$C$27)*$I$16+(MOD($B420,60)=PARAM!$B$56)*($B420&gt;(60-PARAM!$B$56))*HLOOKUP(($B420+PARAM!$B$56)/12,Loyalty,2)*$F$1*MAX(BF419,0)</f>
        <v>18.557001321003963</v>
      </c>
      <c r="BE420" s="75">
        <f>PARAM!$C$26+MAX($G$16-CHOOSE(PARAM!$B$44,MAX(0,BF419*$F$1),0),0)*RATES!$L396/12+$H$16*(PARAM!$D$51/12)*RATES!$N396/100</f>
        <v>61.625</v>
      </c>
      <c r="BF420" s="16">
        <f t="shared" si="297"/>
        <v>-1817.1731717276721</v>
      </c>
      <c r="BG420" s="15">
        <f t="shared" si="272"/>
        <v>22.170849845882874</v>
      </c>
      <c r="BH420" s="75">
        <f>BG420*(1-PARAM!$C$27)*$I$17+(MOD($B420,60)=PARAM!$B$56)*($B420&gt;(60-PARAM!$B$56))*HLOOKUP(($B420+PARAM!$B$56)/12,Loyalty,2)*$F$1*MAX(BJ419,0)</f>
        <v>18.557001321003963</v>
      </c>
      <c r="BI420" s="75">
        <f>PARAM!$C$26+MAX($G$17-CHOOSE(PARAM!$B$44,MAX(0,BJ419*$F$1),0),0)*RATES!$L396/12+$H$17*(PARAM!$D$51/12)*RATES!$N396/100</f>
        <v>61.625</v>
      </c>
      <c r="BJ420" s="16">
        <f t="shared" si="298"/>
        <v>-1817.1731717276721</v>
      </c>
      <c r="BK420" s="15">
        <f t="shared" si="273"/>
        <v>22.170849845882874</v>
      </c>
      <c r="BL420" s="75">
        <f>BK420*(1-PARAM!$C$27)*$I$18+(MOD($B420,60)=PARAM!$B$56)*($B420&gt;(60-PARAM!$B$56))*HLOOKUP(($B420+PARAM!$B$56)/12,Loyalty,2)*$F$1*MAX(BN419,0)</f>
        <v>18.557001321003963</v>
      </c>
      <c r="BM420" s="75">
        <f>PARAM!$C$26+MAX($G$18-CHOOSE(PARAM!$B$44,MAX(0,BN419*$F$1),0),0)*RATES!$L396/12+$H$18*(PARAM!$D$51/12)*RATES!$N396/100</f>
        <v>61.625</v>
      </c>
      <c r="BN420" s="16">
        <f t="shared" si="299"/>
        <v>-1817.1731717276721</v>
      </c>
      <c r="BO420" s="15">
        <f t="shared" si="274"/>
        <v>22.170849845882874</v>
      </c>
      <c r="BP420" s="75">
        <f>BO420*(1-PARAM!$C$27)*$I$19+(MOD($B420,60)=PARAM!$B$56)*($B420&gt;(60-PARAM!$B$56))*HLOOKUP(($B420+PARAM!$B$56)/12,Loyalty,2)*$F$1*MAX(BR419,0)</f>
        <v>18.557001321003963</v>
      </c>
      <c r="BQ420" s="75">
        <f>PARAM!$C$26+MAX($G$19-CHOOSE(PARAM!$B$44,MAX(0,BR419*$F$1),0),0)*RATES!$L396/12+$H$19*(PARAM!$D$51/12)*RATES!$N396/100</f>
        <v>61.625</v>
      </c>
      <c r="BR420" s="16">
        <f t="shared" si="300"/>
        <v>-1817.1731717276721</v>
      </c>
      <c r="BS420" s="15">
        <f t="shared" si="275"/>
        <v>22.170849845882874</v>
      </c>
      <c r="BT420" s="75">
        <f>BS420*(1-PARAM!$C$27)*$I$20+(MOD($B420,60)=PARAM!$B$56)*($B420&gt;(60-PARAM!$B$56))*HLOOKUP(($B420+PARAM!$B$56)/12,Loyalty,2)*$F$1*MAX(BV419,0)</f>
        <v>18.557001321003963</v>
      </c>
      <c r="BU420" s="75">
        <f>PARAM!$C$26+MAX($G$20-CHOOSE(PARAM!$B$44,MAX(0,BV419*$F$1),0),0)*RATES!$L396/12+$H$20*(PARAM!$D$51/12)*RATES!$N396/100</f>
        <v>61.625</v>
      </c>
      <c r="BV420" s="16">
        <f t="shared" si="301"/>
        <v>-1817.1731717276721</v>
      </c>
      <c r="BW420" s="15">
        <f t="shared" si="276"/>
        <v>22.170849845882874</v>
      </c>
      <c r="BX420" s="75">
        <f>BW420*(1-PARAM!$C$27)*$I$21+(MOD($B420,60)=PARAM!$B$56)*($B420&gt;(60-PARAM!$B$56))*HLOOKUP(($B420+PARAM!$B$56)/12,Loyalty,2)*$F$1*MAX(BZ419,0)</f>
        <v>18.557001321003963</v>
      </c>
      <c r="BY420" s="75">
        <f>PARAM!$C$26+MAX($G$21-CHOOSE(PARAM!$B$44,MAX(0,BZ419*$F$1),0),0)*RATES!$L396/12+$H$21*(PARAM!$D$51/12)*RATES!$N396/100</f>
        <v>61.625</v>
      </c>
      <c r="BZ420" s="16">
        <f t="shared" si="302"/>
        <v>-1817.1731717276721</v>
      </c>
      <c r="CA420" s="15">
        <f t="shared" si="277"/>
        <v>22.170849845882874</v>
      </c>
      <c r="CB420" s="75">
        <f>CA420*(1-PARAM!$C$27)*$I$22+(MOD($B420,60)=PARAM!$B$56)*($B420&gt;(60-PARAM!$B$56))*HLOOKUP(($B420+PARAM!$B$56)/12,Loyalty,2)*$F$1*MAX(CD419,0)</f>
        <v>18.557001321003963</v>
      </c>
      <c r="CC420" s="75">
        <f>PARAM!$C$26+MAX($G$22-CHOOSE(PARAM!$B$44,MAX(0,CD419*$F$1),0),0)*RATES!$L396/12+$H$22*(PARAM!$D$51/12)*RATES!$N396/100</f>
        <v>61.625</v>
      </c>
      <c r="CD420" s="16">
        <f t="shared" si="303"/>
        <v>-1817.1731717276721</v>
      </c>
      <c r="CE420" s="33">
        <f>IF(0=MOD(B420,12/PARAM!$D$51),1,0)</f>
        <v>1</v>
      </c>
      <c r="CF420" s="15">
        <f t="shared" si="278"/>
        <v>0</v>
      </c>
      <c r="CG420" s="75">
        <f>CF420*(1-PARAM!$C$27)*$R$3+(MOD($B420/12,5)=0)*($B420&gt;60)*HLOOKUP($B420/12,Loyalty,2)*$F$1*MAX(CI419,0)</f>
        <v>0</v>
      </c>
      <c r="CH420" s="75">
        <f>PARAM!$C$26+MAX($P$3-CHOOSE(PARAM!$B$44,MAX(0,CI419*$F$1),0),0)*RATES!$L396/12+$Q$3*(PARAM!$D$51/12)*RATES!$N396/100</f>
        <v>61.625</v>
      </c>
      <c r="CI420" s="16">
        <f>IF(CI419&gt;0,CI419*PARAM!$C$53,CI419)+CG420-CH420</f>
        <v>-8990.4999999999873</v>
      </c>
      <c r="CJ420" s="15">
        <f t="shared" si="304"/>
        <v>0</v>
      </c>
      <c r="CK420" s="75">
        <f>CJ420*(1-PARAM!$C$27)*$R$4+(MOD($B420/12,5)=0)*($B420&gt;60)*HLOOKUP($B420/12,Loyalty,2)*$F$1*MAX(CM419,0)</f>
        <v>0</v>
      </c>
      <c r="CL420" s="75">
        <f>PARAM!$C$26+MAX($P$4-CHOOSE(PARAM!$B$44,MAX(0,CM419*$F$1),0),0)*RATES!$L396/12+$Q$4*(PARAM!$D$51/12)*RATES!$N396/100</f>
        <v>61.625</v>
      </c>
      <c r="CM420" s="16">
        <f>IF(CM419&gt;0,CM419*PARAM!$C$53,CM419)+CK420-CL420</f>
        <v>-8990.4999999999873</v>
      </c>
      <c r="CO420" s="176"/>
    </row>
    <row r="421" spans="1:93" x14ac:dyDescent="0.2">
      <c r="A421" t="b">
        <f t="shared" si="279"/>
        <v>0</v>
      </c>
      <c r="B421" s="33">
        <v>394</v>
      </c>
      <c r="C421" s="15">
        <f t="shared" si="280"/>
        <v>20.081305947392778</v>
      </c>
      <c r="D421" s="75">
        <f>C421*(1-PARAM!$C$27)*$I$3+(MOD($B421,60)=PARAM!$B$56)*($B421&gt;(60-PARAM!$B$56))*HLOOKUP(($B421+PARAM!$B$56)/12,Loyalty,2)*$F$1*MAX(F420,0)</f>
        <v>16.808053077967756</v>
      </c>
      <c r="E421" s="75">
        <f>PARAM!$C$26+MAX($G$3-CHOOSE(PARAM!$B$44,MAX(0,F420*$F$1),0),0)*RATES!$L397/12+$H$3*(PARAM!$D$51/12)*RATES!$N397/100</f>
        <v>61.625</v>
      </c>
      <c r="F421" s="16">
        <f t="shared" si="281"/>
        <v>-2586.1772786844399</v>
      </c>
      <c r="G421" s="15">
        <f t="shared" si="282"/>
        <v>22.035289406060361</v>
      </c>
      <c r="H421" s="75">
        <f>G421*(1-PARAM!$C$27)*$I$4+(MOD($B421,60)=PARAM!$B$56)*($B421&gt;(60-PARAM!$B$56))*HLOOKUP(($B421+PARAM!$B$56)/12,Loyalty,2)*$F$1*MAX(J420,0)</f>
        <v>18.443537232872522</v>
      </c>
      <c r="I421" s="75">
        <f>PARAM!$C$26+MAX($G$4-CHOOSE(PARAM!$B$44,MAX(0,J420*$F$1),0),0)*RATES!$L397/12+$H$4*(PARAM!$D$51/12)*RATES!$N397/100</f>
        <v>61.625</v>
      </c>
      <c r="J421" s="16">
        <f t="shared" si="283"/>
        <v>-1907.9635575302505</v>
      </c>
      <c r="K421" s="15">
        <f t="shared" si="284"/>
        <v>22.170849845882874</v>
      </c>
      <c r="L421" s="75">
        <f>K421*(1-PARAM!$C$27)*$I$5+(MOD($B421,60)=PARAM!$B$56)*($B421&gt;(60-PARAM!$B$56))*HLOOKUP(($B421+PARAM!$B$56)/12,Loyalty,2)*$F$1*MAX(N420,0)</f>
        <v>18.557001321003963</v>
      </c>
      <c r="M421" s="75">
        <f>PARAM!$C$26+MAX($G$5-CHOOSE(PARAM!$B$44,MAX(0,N420*$F$1),0),0)*RATES!$L397/12+$H$5*(PARAM!$D$51/12)*RATES!$N397/100</f>
        <v>61.625</v>
      </c>
      <c r="N421" s="16">
        <f t="shared" si="285"/>
        <v>-1860.2411704066681</v>
      </c>
      <c r="O421" s="15">
        <f t="shared" si="286"/>
        <v>22.170849845882874</v>
      </c>
      <c r="P421" s="75">
        <f>O421*(1-PARAM!$C$27)*$I$6+(MOD($B421,60)=PARAM!$B$56)*($B421&gt;(60-PARAM!$B$56))*HLOOKUP(($B421+PARAM!$B$56)/12,Loyalty,2)*$F$1*MAX(R420,0)</f>
        <v>18.557001321003963</v>
      </c>
      <c r="Q421" s="75">
        <f>PARAM!$C$26+MAX($G$6-CHOOSE(PARAM!$B$44,MAX(0,R420*$F$1),0),0)*RATES!$L397/12+$H$6*(PARAM!$D$51/12)*RATES!$N397/100</f>
        <v>61.625</v>
      </c>
      <c r="R421" s="16">
        <f t="shared" si="287"/>
        <v>-1860.2411704066681</v>
      </c>
      <c r="S421" s="15">
        <f t="shared" si="262"/>
        <v>22.170849845882874</v>
      </c>
      <c r="T421" s="75">
        <f>S421*(1-PARAM!$C$27)*$I$7+(MOD($B421,60)=PARAM!$B$56)*($B421&gt;(60-PARAM!$B$56))*HLOOKUP(($B421+PARAM!$B$56)/12,Loyalty,2)*$F$1*MAX(V420,0)</f>
        <v>18.557001321003963</v>
      </c>
      <c r="U421" s="75">
        <f>PARAM!$C$26+MAX($G$7-CHOOSE(PARAM!$B$44,MAX(0,V420*$F$1),0),0)*RATES!$L397/12+$H$7*(PARAM!$D$51/12)*RATES!$N397/100</f>
        <v>61.625</v>
      </c>
      <c r="V421" s="16">
        <f t="shared" si="288"/>
        <v>-1860.2411704066681</v>
      </c>
      <c r="W421" s="15">
        <f t="shared" si="263"/>
        <v>22.170849845882874</v>
      </c>
      <c r="X421" s="75">
        <f>W421*(1-PARAM!$C$27)*$I$8+(MOD($B421,60)=PARAM!$B$56)*($B421&gt;(60-PARAM!$B$56))*HLOOKUP(($B421+PARAM!$B$56)/12,Loyalty,2)*$F$1*MAX(Z420,0)</f>
        <v>18.557001321003963</v>
      </c>
      <c r="Y421" s="75">
        <f>PARAM!$C$26+MAX($G$8-CHOOSE(PARAM!$B$44,MAX(0,Z420*$F$1),0),0)*RATES!$L397/12+$H$8*(PARAM!$D$51/12)*RATES!$N397/100</f>
        <v>61.625</v>
      </c>
      <c r="Z421" s="16">
        <f t="shared" si="289"/>
        <v>-1860.2411704066681</v>
      </c>
      <c r="AA421" s="15">
        <f t="shared" si="264"/>
        <v>22.170849845882874</v>
      </c>
      <c r="AB421" s="75">
        <f>AA421*(1-PARAM!$C$27)*$I$9+(MOD($B421,60)=PARAM!$B$56)*($B421&gt;(60-PARAM!$B$56))*HLOOKUP(($B421+PARAM!$B$56)/12,Loyalty,2)*$F$1*MAX(AD420,0)</f>
        <v>18.557001321003963</v>
      </c>
      <c r="AC421" s="75">
        <f>PARAM!$C$26+MAX($G$9-CHOOSE(PARAM!$B$44,MAX(0,AD420*$F$1),0),0)*RATES!$L397/12+$H$9*(PARAM!$D$51/12)*RATES!$N397/100</f>
        <v>61.625</v>
      </c>
      <c r="AD421" s="16">
        <f t="shared" si="290"/>
        <v>-1860.2411704066681</v>
      </c>
      <c r="AE421" s="15">
        <f t="shared" si="265"/>
        <v>22.170849845882874</v>
      </c>
      <c r="AF421" s="75">
        <f>AE421*(1-PARAM!$C$27)*$I$10+(MOD($B421,60)=PARAM!$B$56)*($B421&gt;(60-PARAM!$B$56))*HLOOKUP(($B421+PARAM!$B$56)/12,Loyalty,2)*$F$1*MAX(AH420,0)</f>
        <v>18.557001321003963</v>
      </c>
      <c r="AG421" s="75">
        <f>PARAM!$C$26+MAX($G$10-CHOOSE(PARAM!$B$44,MAX(0,AH420*$F$1),0),0)*RATES!$L397/12+$H$10*(PARAM!$D$51/12)*RATES!$N397/100</f>
        <v>61.625</v>
      </c>
      <c r="AH421" s="16">
        <f t="shared" si="291"/>
        <v>-1860.2411704066681</v>
      </c>
      <c r="AI421" s="15">
        <f t="shared" si="266"/>
        <v>22.170849845882874</v>
      </c>
      <c r="AJ421" s="75">
        <f>AI421*(1-PARAM!$C$27)*$I$11+(MOD($B421,60)=PARAM!$B$56)*($B421&gt;(60-PARAM!$B$56))*HLOOKUP(($B421+PARAM!$B$56)/12,Loyalty,2)*$F$1*MAX(AL420,0)</f>
        <v>18.557001321003963</v>
      </c>
      <c r="AK421" s="75">
        <f>PARAM!$C$26+MAX($G$11-CHOOSE(PARAM!$B$44,MAX(0,AL420*$F$1),0),0)*RATES!$L397/12+$H$11*(PARAM!$D$51/12)*RATES!$N397/100</f>
        <v>61.625</v>
      </c>
      <c r="AL421" s="16">
        <f t="shared" si="292"/>
        <v>-1860.2411704066681</v>
      </c>
      <c r="AM421" s="15">
        <f t="shared" si="267"/>
        <v>22.170849845882874</v>
      </c>
      <c r="AN421" s="75">
        <f>AM421*(1-PARAM!$C$27)*$I$12+(MOD($B421,60)=PARAM!$B$56)*($B421&gt;(60-PARAM!$B$56))*HLOOKUP(($B421+PARAM!$B$56)/12,Loyalty,2)*$F$1*MAX(AP420,0)</f>
        <v>18.557001321003963</v>
      </c>
      <c r="AO421" s="75">
        <f>PARAM!$C$26+MAX($G$12-CHOOSE(PARAM!$B$44,MAX(0,AP420*$F$1),0),0)*RATES!$L397/12+$H$12*(PARAM!$D$51/12)*RATES!$N397/100</f>
        <v>61.625</v>
      </c>
      <c r="AP421" s="16">
        <f t="shared" si="293"/>
        <v>-1860.2411704066681</v>
      </c>
      <c r="AQ421" s="15">
        <f t="shared" si="268"/>
        <v>22.170849845882874</v>
      </c>
      <c r="AR421" s="75">
        <f>AQ421*(1-PARAM!$C$27)*$I$13+(MOD($B421,60)=PARAM!$B$56)*($B421&gt;(60-PARAM!$B$56))*HLOOKUP(($B421+PARAM!$B$56)/12,Loyalty,2)*$F$1*MAX(AT420,0)</f>
        <v>18.557001321003963</v>
      </c>
      <c r="AS421" s="75">
        <f>PARAM!$C$26+MAX($G$13-CHOOSE(PARAM!$B$44,MAX(0,AT420*$F$1),0),0)*RATES!$L397/12+$H$13*(PARAM!$D$51/12)*RATES!$N397/100</f>
        <v>61.625</v>
      </c>
      <c r="AT421" s="16">
        <f t="shared" si="294"/>
        <v>-1860.2411704066681</v>
      </c>
      <c r="AU421" s="15">
        <f t="shared" si="269"/>
        <v>22.170849845882874</v>
      </c>
      <c r="AV421" s="75">
        <f>AU421*(1-PARAM!$C$27)*$I$14+(MOD($B421,60)=PARAM!$B$56)*($B421&gt;(60-PARAM!$B$56))*HLOOKUP(($B421+PARAM!$B$56)/12,Loyalty,2)*$F$1*MAX(AX420,0)</f>
        <v>18.557001321003963</v>
      </c>
      <c r="AW421" s="75">
        <f>PARAM!$C$26+MAX($G$14-CHOOSE(PARAM!$B$44,MAX(0,AX420*$F$1),0),0)*RATES!$L397/12+$H$14*(PARAM!$D$51/12)*RATES!$N397/100</f>
        <v>61.625</v>
      </c>
      <c r="AX421" s="16">
        <f t="shared" si="295"/>
        <v>-1860.2411704066681</v>
      </c>
      <c r="AY421" s="15">
        <f t="shared" si="270"/>
        <v>22.170849845882874</v>
      </c>
      <c r="AZ421" s="75">
        <f>AY421*(1-PARAM!$C$27)*$I$15+(MOD($B421,60)=PARAM!$B$56)*($B421&gt;(60-PARAM!$B$56))*HLOOKUP(($B421+PARAM!$B$56)/12,Loyalty,2)*$F$1*MAX(BB420,0)</f>
        <v>18.557001321003963</v>
      </c>
      <c r="BA421" s="75">
        <f>PARAM!$C$26+MAX($G$15-CHOOSE(PARAM!$B$44,MAX(0,BB420*$F$1),0),0)*RATES!$L397/12+$H$15*(PARAM!$D$51/12)*RATES!$N397/100</f>
        <v>61.625</v>
      </c>
      <c r="BB421" s="16">
        <f t="shared" si="296"/>
        <v>-1860.2411704066681</v>
      </c>
      <c r="BC421" s="15">
        <f t="shared" si="271"/>
        <v>22.170849845882874</v>
      </c>
      <c r="BD421" s="75">
        <f>BC421*(1-PARAM!$C$27)*$I$16+(MOD($B421,60)=PARAM!$B$56)*($B421&gt;(60-PARAM!$B$56))*HLOOKUP(($B421+PARAM!$B$56)/12,Loyalty,2)*$F$1*MAX(BF420,0)</f>
        <v>18.557001321003963</v>
      </c>
      <c r="BE421" s="75">
        <f>PARAM!$C$26+MAX($G$16-CHOOSE(PARAM!$B$44,MAX(0,BF420*$F$1),0),0)*RATES!$L397/12+$H$16*(PARAM!$D$51/12)*RATES!$N397/100</f>
        <v>61.625</v>
      </c>
      <c r="BF421" s="16">
        <f t="shared" si="297"/>
        <v>-1860.2411704066681</v>
      </c>
      <c r="BG421" s="15">
        <f t="shared" si="272"/>
        <v>22.170849845882874</v>
      </c>
      <c r="BH421" s="75">
        <f>BG421*(1-PARAM!$C$27)*$I$17+(MOD($B421,60)=PARAM!$B$56)*($B421&gt;(60-PARAM!$B$56))*HLOOKUP(($B421+PARAM!$B$56)/12,Loyalty,2)*$F$1*MAX(BJ420,0)</f>
        <v>18.557001321003963</v>
      </c>
      <c r="BI421" s="75">
        <f>PARAM!$C$26+MAX($G$17-CHOOSE(PARAM!$B$44,MAX(0,BJ420*$F$1),0),0)*RATES!$L397/12+$H$17*(PARAM!$D$51/12)*RATES!$N397/100</f>
        <v>61.625</v>
      </c>
      <c r="BJ421" s="16">
        <f t="shared" si="298"/>
        <v>-1860.2411704066681</v>
      </c>
      <c r="BK421" s="15">
        <f t="shared" si="273"/>
        <v>22.170849845882874</v>
      </c>
      <c r="BL421" s="75">
        <f>BK421*(1-PARAM!$C$27)*$I$18+(MOD($B421,60)=PARAM!$B$56)*($B421&gt;(60-PARAM!$B$56))*HLOOKUP(($B421+PARAM!$B$56)/12,Loyalty,2)*$F$1*MAX(BN420,0)</f>
        <v>18.557001321003963</v>
      </c>
      <c r="BM421" s="75">
        <f>PARAM!$C$26+MAX($G$18-CHOOSE(PARAM!$B$44,MAX(0,BN420*$F$1),0),0)*RATES!$L397/12+$H$18*(PARAM!$D$51/12)*RATES!$N397/100</f>
        <v>61.625</v>
      </c>
      <c r="BN421" s="16">
        <f t="shared" si="299"/>
        <v>-1860.2411704066681</v>
      </c>
      <c r="BO421" s="15">
        <f t="shared" si="274"/>
        <v>22.170849845882874</v>
      </c>
      <c r="BP421" s="75">
        <f>BO421*(1-PARAM!$C$27)*$I$19+(MOD($B421,60)=PARAM!$B$56)*($B421&gt;(60-PARAM!$B$56))*HLOOKUP(($B421+PARAM!$B$56)/12,Loyalty,2)*$F$1*MAX(BR420,0)</f>
        <v>18.557001321003963</v>
      </c>
      <c r="BQ421" s="75">
        <f>PARAM!$C$26+MAX($G$19-CHOOSE(PARAM!$B$44,MAX(0,BR420*$F$1),0),0)*RATES!$L397/12+$H$19*(PARAM!$D$51/12)*RATES!$N397/100</f>
        <v>61.625</v>
      </c>
      <c r="BR421" s="16">
        <f t="shared" si="300"/>
        <v>-1860.2411704066681</v>
      </c>
      <c r="BS421" s="15">
        <f t="shared" si="275"/>
        <v>22.170849845882874</v>
      </c>
      <c r="BT421" s="75">
        <f>BS421*(1-PARAM!$C$27)*$I$20+(MOD($B421,60)=PARAM!$B$56)*($B421&gt;(60-PARAM!$B$56))*HLOOKUP(($B421+PARAM!$B$56)/12,Loyalty,2)*$F$1*MAX(BV420,0)</f>
        <v>18.557001321003963</v>
      </c>
      <c r="BU421" s="75">
        <f>PARAM!$C$26+MAX($G$20-CHOOSE(PARAM!$B$44,MAX(0,BV420*$F$1),0),0)*RATES!$L397/12+$H$20*(PARAM!$D$51/12)*RATES!$N397/100</f>
        <v>61.625</v>
      </c>
      <c r="BV421" s="16">
        <f t="shared" si="301"/>
        <v>-1860.2411704066681</v>
      </c>
      <c r="BW421" s="15">
        <f t="shared" si="276"/>
        <v>22.170849845882874</v>
      </c>
      <c r="BX421" s="75">
        <f>BW421*(1-PARAM!$C$27)*$I$21+(MOD($B421,60)=PARAM!$B$56)*($B421&gt;(60-PARAM!$B$56))*HLOOKUP(($B421+PARAM!$B$56)/12,Loyalty,2)*$F$1*MAX(BZ420,0)</f>
        <v>18.557001321003963</v>
      </c>
      <c r="BY421" s="75">
        <f>PARAM!$C$26+MAX($G$21-CHOOSE(PARAM!$B$44,MAX(0,BZ420*$F$1),0),0)*RATES!$L397/12+$H$21*(PARAM!$D$51/12)*RATES!$N397/100</f>
        <v>61.625</v>
      </c>
      <c r="BZ421" s="16">
        <f t="shared" si="302"/>
        <v>-1860.2411704066681</v>
      </c>
      <c r="CA421" s="15">
        <f t="shared" si="277"/>
        <v>22.170849845882874</v>
      </c>
      <c r="CB421" s="75">
        <f>CA421*(1-PARAM!$C$27)*$I$22+(MOD($B421,60)=PARAM!$B$56)*($B421&gt;(60-PARAM!$B$56))*HLOOKUP(($B421+PARAM!$B$56)/12,Loyalty,2)*$F$1*MAX(CD420,0)</f>
        <v>18.557001321003963</v>
      </c>
      <c r="CC421" s="75">
        <f>PARAM!$C$26+MAX($G$22-CHOOSE(PARAM!$B$44,MAX(0,CD420*$F$1),0),0)*RATES!$L397/12+$H$22*(PARAM!$D$51/12)*RATES!$N397/100</f>
        <v>61.625</v>
      </c>
      <c r="CD421" s="16">
        <f t="shared" si="303"/>
        <v>-1860.2411704066681</v>
      </c>
      <c r="CE421" s="33">
        <f>IF(0=MOD(B421,12/PARAM!$D$51),1,0)</f>
        <v>1</v>
      </c>
      <c r="CF421" s="15">
        <f t="shared" si="278"/>
        <v>0</v>
      </c>
      <c r="CG421" s="75">
        <f>CF421*(1-PARAM!$C$27)*$R$3+(MOD($B421/12,5)=0)*($B421&gt;60)*HLOOKUP($B421/12,Loyalty,2)*$F$1*MAX(CI420,0)</f>
        <v>0</v>
      </c>
      <c r="CH421" s="75">
        <f>PARAM!$C$26+MAX($P$3-CHOOSE(PARAM!$B$44,MAX(0,CI420*$F$1),0),0)*RATES!$L397/12+$Q$3*(PARAM!$D$51/12)*RATES!$N397/100</f>
        <v>61.625</v>
      </c>
      <c r="CI421" s="16">
        <f>IF(CI420&gt;0,CI420*PARAM!$C$53,CI420)+CG421-CH421</f>
        <v>-9052.1249999999873</v>
      </c>
      <c r="CJ421" s="15">
        <f t="shared" si="304"/>
        <v>0</v>
      </c>
      <c r="CK421" s="75">
        <f>CJ421*(1-PARAM!$C$27)*$R$4+(MOD($B421/12,5)=0)*($B421&gt;60)*HLOOKUP($B421/12,Loyalty,2)*$F$1*MAX(CM420,0)</f>
        <v>0</v>
      </c>
      <c r="CL421" s="75">
        <f>PARAM!$C$26+MAX($P$4-CHOOSE(PARAM!$B$44,MAX(0,CM420*$F$1),0),0)*RATES!$L397/12+$Q$4*(PARAM!$D$51/12)*RATES!$N397/100</f>
        <v>61.625</v>
      </c>
      <c r="CM421" s="16">
        <f>IF(CM420&gt;0,CM420*PARAM!$C$53,CM420)+CK421-CL421</f>
        <v>-9052.1249999999873</v>
      </c>
      <c r="CO421" s="176"/>
    </row>
    <row r="422" spans="1:93" x14ac:dyDescent="0.2">
      <c r="A422" t="b">
        <f t="shared" si="279"/>
        <v>0</v>
      </c>
      <c r="B422" s="33">
        <v>395</v>
      </c>
      <c r="C422" s="15">
        <f t="shared" si="280"/>
        <v>20.081305947392778</v>
      </c>
      <c r="D422" s="75">
        <f>C422*(1-PARAM!$C$27)*$I$3+(MOD($B422,60)=PARAM!$B$56)*($B422&gt;(60-PARAM!$B$56))*HLOOKUP(($B422+PARAM!$B$56)/12,Loyalty,2)*$F$1*MAX(F421,0)</f>
        <v>16.808053077967756</v>
      </c>
      <c r="E422" s="75">
        <f>PARAM!$C$26+MAX($G$3-CHOOSE(PARAM!$B$44,MAX(0,F421*$F$1),0),0)*RATES!$L398/12+$H$3*(PARAM!$D$51/12)*RATES!$N398/100</f>
        <v>61.625</v>
      </c>
      <c r="F422" s="16">
        <f t="shared" si="281"/>
        <v>-2630.9942256064724</v>
      </c>
      <c r="G422" s="15">
        <f t="shared" si="282"/>
        <v>22.035289406060361</v>
      </c>
      <c r="H422" s="75">
        <f>G422*(1-PARAM!$C$27)*$I$4+(MOD($B422,60)=PARAM!$B$56)*($B422&gt;(60-PARAM!$B$56))*HLOOKUP(($B422+PARAM!$B$56)/12,Loyalty,2)*$F$1*MAX(J421,0)</f>
        <v>18.443537232872522</v>
      </c>
      <c r="I422" s="75">
        <f>PARAM!$C$26+MAX($G$4-CHOOSE(PARAM!$B$44,MAX(0,J421*$F$1),0),0)*RATES!$L398/12+$H$4*(PARAM!$D$51/12)*RATES!$N398/100</f>
        <v>61.625</v>
      </c>
      <c r="J422" s="16">
        <f t="shared" si="283"/>
        <v>-1951.1450202973779</v>
      </c>
      <c r="K422" s="15">
        <f t="shared" si="284"/>
        <v>22.170849845882874</v>
      </c>
      <c r="L422" s="75">
        <f>K422*(1-PARAM!$C$27)*$I$5+(MOD($B422,60)=PARAM!$B$56)*($B422&gt;(60-PARAM!$B$56))*HLOOKUP(($B422+PARAM!$B$56)/12,Loyalty,2)*$F$1*MAX(N421,0)</f>
        <v>18.557001321003963</v>
      </c>
      <c r="M422" s="75">
        <f>PARAM!$C$26+MAX($G$5-CHOOSE(PARAM!$B$44,MAX(0,N421*$F$1),0),0)*RATES!$L398/12+$H$5*(PARAM!$D$51/12)*RATES!$N398/100</f>
        <v>61.625</v>
      </c>
      <c r="N422" s="16">
        <f t="shared" si="285"/>
        <v>-1903.3091690856641</v>
      </c>
      <c r="O422" s="15">
        <f t="shared" si="286"/>
        <v>22.170849845882874</v>
      </c>
      <c r="P422" s="75">
        <f>O422*(1-PARAM!$C$27)*$I$6+(MOD($B422,60)=PARAM!$B$56)*($B422&gt;(60-PARAM!$B$56))*HLOOKUP(($B422+PARAM!$B$56)/12,Loyalty,2)*$F$1*MAX(R421,0)</f>
        <v>18.557001321003963</v>
      </c>
      <c r="Q422" s="75">
        <f>PARAM!$C$26+MAX($G$6-CHOOSE(PARAM!$B$44,MAX(0,R421*$F$1),0),0)*RATES!$L398/12+$H$6*(PARAM!$D$51/12)*RATES!$N398/100</f>
        <v>61.625</v>
      </c>
      <c r="R422" s="16">
        <f t="shared" si="287"/>
        <v>-1903.3091690856641</v>
      </c>
      <c r="S422" s="15">
        <f t="shared" si="262"/>
        <v>22.170849845882874</v>
      </c>
      <c r="T422" s="75">
        <f>S422*(1-PARAM!$C$27)*$I$7+(MOD($B422,60)=PARAM!$B$56)*($B422&gt;(60-PARAM!$B$56))*HLOOKUP(($B422+PARAM!$B$56)/12,Loyalty,2)*$F$1*MAX(V421,0)</f>
        <v>18.557001321003963</v>
      </c>
      <c r="U422" s="75">
        <f>PARAM!$C$26+MAX($G$7-CHOOSE(PARAM!$B$44,MAX(0,V421*$F$1),0),0)*RATES!$L398/12+$H$7*(PARAM!$D$51/12)*RATES!$N398/100</f>
        <v>61.625</v>
      </c>
      <c r="V422" s="16">
        <f t="shared" si="288"/>
        <v>-1903.3091690856641</v>
      </c>
      <c r="W422" s="15">
        <f t="shared" si="263"/>
        <v>22.170849845882874</v>
      </c>
      <c r="X422" s="75">
        <f>W422*(1-PARAM!$C$27)*$I$8+(MOD($B422,60)=PARAM!$B$56)*($B422&gt;(60-PARAM!$B$56))*HLOOKUP(($B422+PARAM!$B$56)/12,Loyalty,2)*$F$1*MAX(Z421,0)</f>
        <v>18.557001321003963</v>
      </c>
      <c r="Y422" s="75">
        <f>PARAM!$C$26+MAX($G$8-CHOOSE(PARAM!$B$44,MAX(0,Z421*$F$1),0),0)*RATES!$L398/12+$H$8*(PARAM!$D$51/12)*RATES!$N398/100</f>
        <v>61.625</v>
      </c>
      <c r="Z422" s="16">
        <f t="shared" si="289"/>
        <v>-1903.3091690856641</v>
      </c>
      <c r="AA422" s="15">
        <f t="shared" si="264"/>
        <v>22.170849845882874</v>
      </c>
      <c r="AB422" s="75">
        <f>AA422*(1-PARAM!$C$27)*$I$9+(MOD($B422,60)=PARAM!$B$56)*($B422&gt;(60-PARAM!$B$56))*HLOOKUP(($B422+PARAM!$B$56)/12,Loyalty,2)*$F$1*MAX(AD421,0)</f>
        <v>18.557001321003963</v>
      </c>
      <c r="AC422" s="75">
        <f>PARAM!$C$26+MAX($G$9-CHOOSE(PARAM!$B$44,MAX(0,AD421*$F$1),0),0)*RATES!$L398/12+$H$9*(PARAM!$D$51/12)*RATES!$N398/100</f>
        <v>61.625</v>
      </c>
      <c r="AD422" s="16">
        <f t="shared" si="290"/>
        <v>-1903.3091690856641</v>
      </c>
      <c r="AE422" s="15">
        <f t="shared" si="265"/>
        <v>22.170849845882874</v>
      </c>
      <c r="AF422" s="75">
        <f>AE422*(1-PARAM!$C$27)*$I$10+(MOD($B422,60)=PARAM!$B$56)*($B422&gt;(60-PARAM!$B$56))*HLOOKUP(($B422+PARAM!$B$56)/12,Loyalty,2)*$F$1*MAX(AH421,0)</f>
        <v>18.557001321003963</v>
      </c>
      <c r="AG422" s="75">
        <f>PARAM!$C$26+MAX($G$10-CHOOSE(PARAM!$B$44,MAX(0,AH421*$F$1),0),0)*RATES!$L398/12+$H$10*(PARAM!$D$51/12)*RATES!$N398/100</f>
        <v>61.625</v>
      </c>
      <c r="AH422" s="16">
        <f t="shared" si="291"/>
        <v>-1903.3091690856641</v>
      </c>
      <c r="AI422" s="15">
        <f t="shared" si="266"/>
        <v>22.170849845882874</v>
      </c>
      <c r="AJ422" s="75">
        <f>AI422*(1-PARAM!$C$27)*$I$11+(MOD($B422,60)=PARAM!$B$56)*($B422&gt;(60-PARAM!$B$56))*HLOOKUP(($B422+PARAM!$B$56)/12,Loyalty,2)*$F$1*MAX(AL421,0)</f>
        <v>18.557001321003963</v>
      </c>
      <c r="AK422" s="75">
        <f>PARAM!$C$26+MAX($G$11-CHOOSE(PARAM!$B$44,MAX(0,AL421*$F$1),0),0)*RATES!$L398/12+$H$11*(PARAM!$D$51/12)*RATES!$N398/100</f>
        <v>61.625</v>
      </c>
      <c r="AL422" s="16">
        <f t="shared" si="292"/>
        <v>-1903.3091690856641</v>
      </c>
      <c r="AM422" s="15">
        <f t="shared" si="267"/>
        <v>22.170849845882874</v>
      </c>
      <c r="AN422" s="75">
        <f>AM422*(1-PARAM!$C$27)*$I$12+(MOD($B422,60)=PARAM!$B$56)*($B422&gt;(60-PARAM!$B$56))*HLOOKUP(($B422+PARAM!$B$56)/12,Loyalty,2)*$F$1*MAX(AP421,0)</f>
        <v>18.557001321003963</v>
      </c>
      <c r="AO422" s="75">
        <f>PARAM!$C$26+MAX($G$12-CHOOSE(PARAM!$B$44,MAX(0,AP421*$F$1),0),0)*RATES!$L398/12+$H$12*(PARAM!$D$51/12)*RATES!$N398/100</f>
        <v>61.625</v>
      </c>
      <c r="AP422" s="16">
        <f t="shared" si="293"/>
        <v>-1903.3091690856641</v>
      </c>
      <c r="AQ422" s="15">
        <f t="shared" si="268"/>
        <v>22.170849845882874</v>
      </c>
      <c r="AR422" s="75">
        <f>AQ422*(1-PARAM!$C$27)*$I$13+(MOD($B422,60)=PARAM!$B$56)*($B422&gt;(60-PARAM!$B$56))*HLOOKUP(($B422+PARAM!$B$56)/12,Loyalty,2)*$F$1*MAX(AT421,0)</f>
        <v>18.557001321003963</v>
      </c>
      <c r="AS422" s="75">
        <f>PARAM!$C$26+MAX($G$13-CHOOSE(PARAM!$B$44,MAX(0,AT421*$F$1),0),0)*RATES!$L398/12+$H$13*(PARAM!$D$51/12)*RATES!$N398/100</f>
        <v>61.625</v>
      </c>
      <c r="AT422" s="16">
        <f t="shared" si="294"/>
        <v>-1903.3091690856641</v>
      </c>
      <c r="AU422" s="15">
        <f t="shared" si="269"/>
        <v>22.170849845882874</v>
      </c>
      <c r="AV422" s="75">
        <f>AU422*(1-PARAM!$C$27)*$I$14+(MOD($B422,60)=PARAM!$B$56)*($B422&gt;(60-PARAM!$B$56))*HLOOKUP(($B422+PARAM!$B$56)/12,Loyalty,2)*$F$1*MAX(AX421,0)</f>
        <v>18.557001321003963</v>
      </c>
      <c r="AW422" s="75">
        <f>PARAM!$C$26+MAX($G$14-CHOOSE(PARAM!$B$44,MAX(0,AX421*$F$1),0),0)*RATES!$L398/12+$H$14*(PARAM!$D$51/12)*RATES!$N398/100</f>
        <v>61.625</v>
      </c>
      <c r="AX422" s="16">
        <f t="shared" si="295"/>
        <v>-1903.3091690856641</v>
      </c>
      <c r="AY422" s="15">
        <f t="shared" si="270"/>
        <v>22.170849845882874</v>
      </c>
      <c r="AZ422" s="75">
        <f>AY422*(1-PARAM!$C$27)*$I$15+(MOD($B422,60)=PARAM!$B$56)*($B422&gt;(60-PARAM!$B$56))*HLOOKUP(($B422+PARAM!$B$56)/12,Loyalty,2)*$F$1*MAX(BB421,0)</f>
        <v>18.557001321003963</v>
      </c>
      <c r="BA422" s="75">
        <f>PARAM!$C$26+MAX($G$15-CHOOSE(PARAM!$B$44,MAX(0,BB421*$F$1),0),0)*RATES!$L398/12+$H$15*(PARAM!$D$51/12)*RATES!$N398/100</f>
        <v>61.625</v>
      </c>
      <c r="BB422" s="16">
        <f t="shared" si="296"/>
        <v>-1903.3091690856641</v>
      </c>
      <c r="BC422" s="15">
        <f t="shared" si="271"/>
        <v>22.170849845882874</v>
      </c>
      <c r="BD422" s="75">
        <f>BC422*(1-PARAM!$C$27)*$I$16+(MOD($B422,60)=PARAM!$B$56)*($B422&gt;(60-PARAM!$B$56))*HLOOKUP(($B422+PARAM!$B$56)/12,Loyalty,2)*$F$1*MAX(BF421,0)</f>
        <v>18.557001321003963</v>
      </c>
      <c r="BE422" s="75">
        <f>PARAM!$C$26+MAX($G$16-CHOOSE(PARAM!$B$44,MAX(0,BF421*$F$1),0),0)*RATES!$L398/12+$H$16*(PARAM!$D$51/12)*RATES!$N398/100</f>
        <v>61.625</v>
      </c>
      <c r="BF422" s="16">
        <f t="shared" si="297"/>
        <v>-1903.3091690856641</v>
      </c>
      <c r="BG422" s="15">
        <f t="shared" si="272"/>
        <v>22.170849845882874</v>
      </c>
      <c r="BH422" s="75">
        <f>BG422*(1-PARAM!$C$27)*$I$17+(MOD($B422,60)=PARAM!$B$56)*($B422&gt;(60-PARAM!$B$56))*HLOOKUP(($B422+PARAM!$B$56)/12,Loyalty,2)*$F$1*MAX(BJ421,0)</f>
        <v>18.557001321003963</v>
      </c>
      <c r="BI422" s="75">
        <f>PARAM!$C$26+MAX($G$17-CHOOSE(PARAM!$B$44,MAX(0,BJ421*$F$1),0),0)*RATES!$L398/12+$H$17*(PARAM!$D$51/12)*RATES!$N398/100</f>
        <v>61.625</v>
      </c>
      <c r="BJ422" s="16">
        <f t="shared" si="298"/>
        <v>-1903.3091690856641</v>
      </c>
      <c r="BK422" s="15">
        <f t="shared" si="273"/>
        <v>22.170849845882874</v>
      </c>
      <c r="BL422" s="75">
        <f>BK422*(1-PARAM!$C$27)*$I$18+(MOD($B422,60)=PARAM!$B$56)*($B422&gt;(60-PARAM!$B$56))*HLOOKUP(($B422+PARAM!$B$56)/12,Loyalty,2)*$F$1*MAX(BN421,0)</f>
        <v>18.557001321003963</v>
      </c>
      <c r="BM422" s="75">
        <f>PARAM!$C$26+MAX($G$18-CHOOSE(PARAM!$B$44,MAX(0,BN421*$F$1),0),0)*RATES!$L398/12+$H$18*(PARAM!$D$51/12)*RATES!$N398/100</f>
        <v>61.625</v>
      </c>
      <c r="BN422" s="16">
        <f t="shared" si="299"/>
        <v>-1903.3091690856641</v>
      </c>
      <c r="BO422" s="15">
        <f t="shared" si="274"/>
        <v>22.170849845882874</v>
      </c>
      <c r="BP422" s="75">
        <f>BO422*(1-PARAM!$C$27)*$I$19+(MOD($B422,60)=PARAM!$B$56)*($B422&gt;(60-PARAM!$B$56))*HLOOKUP(($B422+PARAM!$B$56)/12,Loyalty,2)*$F$1*MAX(BR421,0)</f>
        <v>18.557001321003963</v>
      </c>
      <c r="BQ422" s="75">
        <f>PARAM!$C$26+MAX($G$19-CHOOSE(PARAM!$B$44,MAX(0,BR421*$F$1),0),0)*RATES!$L398/12+$H$19*(PARAM!$D$51/12)*RATES!$N398/100</f>
        <v>61.625</v>
      </c>
      <c r="BR422" s="16">
        <f t="shared" si="300"/>
        <v>-1903.3091690856641</v>
      </c>
      <c r="BS422" s="15">
        <f t="shared" si="275"/>
        <v>22.170849845882874</v>
      </c>
      <c r="BT422" s="75">
        <f>BS422*(1-PARAM!$C$27)*$I$20+(MOD($B422,60)=PARAM!$B$56)*($B422&gt;(60-PARAM!$B$56))*HLOOKUP(($B422+PARAM!$B$56)/12,Loyalty,2)*$F$1*MAX(BV421,0)</f>
        <v>18.557001321003963</v>
      </c>
      <c r="BU422" s="75">
        <f>PARAM!$C$26+MAX($G$20-CHOOSE(PARAM!$B$44,MAX(0,BV421*$F$1),0),0)*RATES!$L398/12+$H$20*(PARAM!$D$51/12)*RATES!$N398/100</f>
        <v>61.625</v>
      </c>
      <c r="BV422" s="16">
        <f t="shared" si="301"/>
        <v>-1903.3091690856641</v>
      </c>
      <c r="BW422" s="15">
        <f t="shared" si="276"/>
        <v>22.170849845882874</v>
      </c>
      <c r="BX422" s="75">
        <f>BW422*(1-PARAM!$C$27)*$I$21+(MOD($B422,60)=PARAM!$B$56)*($B422&gt;(60-PARAM!$B$56))*HLOOKUP(($B422+PARAM!$B$56)/12,Loyalty,2)*$F$1*MAX(BZ421,0)</f>
        <v>18.557001321003963</v>
      </c>
      <c r="BY422" s="75">
        <f>PARAM!$C$26+MAX($G$21-CHOOSE(PARAM!$B$44,MAX(0,BZ421*$F$1),0),0)*RATES!$L398/12+$H$21*(PARAM!$D$51/12)*RATES!$N398/100</f>
        <v>61.625</v>
      </c>
      <c r="BZ422" s="16">
        <f t="shared" si="302"/>
        <v>-1903.3091690856641</v>
      </c>
      <c r="CA422" s="15">
        <f t="shared" si="277"/>
        <v>22.170849845882874</v>
      </c>
      <c r="CB422" s="75">
        <f>CA422*(1-PARAM!$C$27)*$I$22+(MOD($B422,60)=PARAM!$B$56)*($B422&gt;(60-PARAM!$B$56))*HLOOKUP(($B422+PARAM!$B$56)/12,Loyalty,2)*$F$1*MAX(CD421,0)</f>
        <v>18.557001321003963</v>
      </c>
      <c r="CC422" s="75">
        <f>PARAM!$C$26+MAX($G$22-CHOOSE(PARAM!$B$44,MAX(0,CD421*$F$1),0),0)*RATES!$L398/12+$H$22*(PARAM!$D$51/12)*RATES!$N398/100</f>
        <v>61.625</v>
      </c>
      <c r="CD422" s="16">
        <f t="shared" si="303"/>
        <v>-1903.3091690856641</v>
      </c>
      <c r="CE422" s="33">
        <f>IF(0=MOD(B422,12/PARAM!$D$51),1,0)</f>
        <v>1</v>
      </c>
      <c r="CF422" s="15">
        <f t="shared" si="278"/>
        <v>0</v>
      </c>
      <c r="CG422" s="75">
        <f>CF422*(1-PARAM!$C$27)*$R$3+(MOD($B422/12,5)=0)*($B422&gt;60)*HLOOKUP($B422/12,Loyalty,2)*$F$1*MAX(CI421,0)</f>
        <v>0</v>
      </c>
      <c r="CH422" s="75">
        <f>PARAM!$C$26+MAX($P$3-CHOOSE(PARAM!$B$44,MAX(0,CI421*$F$1),0),0)*RATES!$L398/12+$Q$3*(PARAM!$D$51/12)*RATES!$N398/100</f>
        <v>61.625</v>
      </c>
      <c r="CI422" s="16">
        <f>IF(CI421&gt;0,CI421*PARAM!$C$53,CI421)+CG422-CH422</f>
        <v>-9113.7499999999873</v>
      </c>
      <c r="CJ422" s="15">
        <f t="shared" si="304"/>
        <v>0</v>
      </c>
      <c r="CK422" s="75">
        <f>CJ422*(1-PARAM!$C$27)*$R$4+(MOD($B422/12,5)=0)*($B422&gt;60)*HLOOKUP($B422/12,Loyalty,2)*$F$1*MAX(CM421,0)</f>
        <v>0</v>
      </c>
      <c r="CL422" s="75">
        <f>PARAM!$C$26+MAX($P$4-CHOOSE(PARAM!$B$44,MAX(0,CM421*$F$1),0),0)*RATES!$L398/12+$Q$4*(PARAM!$D$51/12)*RATES!$N398/100</f>
        <v>61.625</v>
      </c>
      <c r="CM422" s="16">
        <f>IF(CM421&gt;0,CM421*PARAM!$C$53,CM421)+CK422-CL422</f>
        <v>-9113.7499999999873</v>
      </c>
      <c r="CO422" s="176"/>
    </row>
    <row r="423" spans="1:93" x14ac:dyDescent="0.2">
      <c r="A423" t="b">
        <f t="shared" si="279"/>
        <v>0</v>
      </c>
      <c r="B423" s="33">
        <v>396</v>
      </c>
      <c r="C423" s="15">
        <f t="shared" si="280"/>
        <v>20.081305947392778</v>
      </c>
      <c r="D423" s="75">
        <f>C423*(1-PARAM!$C$27)*$I$3+(MOD($B423,60)=PARAM!$B$56)*($B423&gt;(60-PARAM!$B$56))*HLOOKUP(($B423+PARAM!$B$56)/12,Loyalty,2)*$F$1*MAX(F422,0)</f>
        <v>16.808053077967756</v>
      </c>
      <c r="E423" s="75">
        <f>PARAM!$C$26+MAX($G$3-CHOOSE(PARAM!$B$44,MAX(0,F422*$F$1),0),0)*RATES!$L399/12+$H$3*(PARAM!$D$51/12)*RATES!$N399/100</f>
        <v>61.625</v>
      </c>
      <c r="F423" s="16">
        <f t="shared" si="281"/>
        <v>-2675.8111725285048</v>
      </c>
      <c r="G423" s="15">
        <f t="shared" si="282"/>
        <v>22.035289406060361</v>
      </c>
      <c r="H423" s="75">
        <f>G423*(1-PARAM!$C$27)*$I$4+(MOD($B423,60)=PARAM!$B$56)*($B423&gt;(60-PARAM!$B$56))*HLOOKUP(($B423+PARAM!$B$56)/12,Loyalty,2)*$F$1*MAX(J422,0)</f>
        <v>18.443537232872522</v>
      </c>
      <c r="I423" s="75">
        <f>PARAM!$C$26+MAX($G$4-CHOOSE(PARAM!$B$44,MAX(0,J422*$F$1),0),0)*RATES!$L399/12+$H$4*(PARAM!$D$51/12)*RATES!$N399/100</f>
        <v>61.625</v>
      </c>
      <c r="J423" s="16">
        <f t="shared" si="283"/>
        <v>-1994.3264830645053</v>
      </c>
      <c r="K423" s="15">
        <f t="shared" si="284"/>
        <v>22.170849845882874</v>
      </c>
      <c r="L423" s="75">
        <f>K423*(1-PARAM!$C$27)*$I$5+(MOD($B423,60)=PARAM!$B$56)*($B423&gt;(60-PARAM!$B$56))*HLOOKUP(($B423+PARAM!$B$56)/12,Loyalty,2)*$F$1*MAX(N422,0)</f>
        <v>18.557001321003963</v>
      </c>
      <c r="M423" s="75">
        <f>PARAM!$C$26+MAX($G$5-CHOOSE(PARAM!$B$44,MAX(0,N422*$F$1),0),0)*RATES!$L399/12+$H$5*(PARAM!$D$51/12)*RATES!$N399/100</f>
        <v>61.625</v>
      </c>
      <c r="N423" s="16">
        <f t="shared" si="285"/>
        <v>-1946.37716776466</v>
      </c>
      <c r="O423" s="15">
        <f t="shared" si="286"/>
        <v>22.170849845882874</v>
      </c>
      <c r="P423" s="75">
        <f>O423*(1-PARAM!$C$27)*$I$6+(MOD($B423,60)=PARAM!$B$56)*($B423&gt;(60-PARAM!$B$56))*HLOOKUP(($B423+PARAM!$B$56)/12,Loyalty,2)*$F$1*MAX(R422,0)</f>
        <v>18.557001321003963</v>
      </c>
      <c r="Q423" s="75">
        <f>PARAM!$C$26+MAX($G$6-CHOOSE(PARAM!$B$44,MAX(0,R422*$F$1),0),0)*RATES!$L399/12+$H$6*(PARAM!$D$51/12)*RATES!$N399/100</f>
        <v>61.625</v>
      </c>
      <c r="R423" s="16">
        <f t="shared" si="287"/>
        <v>-1946.37716776466</v>
      </c>
      <c r="S423" s="15">
        <f t="shared" si="262"/>
        <v>22.170849845882874</v>
      </c>
      <c r="T423" s="75">
        <f>S423*(1-PARAM!$C$27)*$I$7+(MOD($B423,60)=PARAM!$B$56)*($B423&gt;(60-PARAM!$B$56))*HLOOKUP(($B423+PARAM!$B$56)/12,Loyalty,2)*$F$1*MAX(V422,0)</f>
        <v>18.557001321003963</v>
      </c>
      <c r="U423" s="75">
        <f>PARAM!$C$26+MAX($G$7-CHOOSE(PARAM!$B$44,MAX(0,V422*$F$1),0),0)*RATES!$L399/12+$H$7*(PARAM!$D$51/12)*RATES!$N399/100</f>
        <v>61.625</v>
      </c>
      <c r="V423" s="16">
        <f t="shared" si="288"/>
        <v>-1946.37716776466</v>
      </c>
      <c r="W423" s="15">
        <f t="shared" si="263"/>
        <v>22.170849845882874</v>
      </c>
      <c r="X423" s="75">
        <f>W423*(1-PARAM!$C$27)*$I$8+(MOD($B423,60)=PARAM!$B$56)*($B423&gt;(60-PARAM!$B$56))*HLOOKUP(($B423+PARAM!$B$56)/12,Loyalty,2)*$F$1*MAX(Z422,0)</f>
        <v>18.557001321003963</v>
      </c>
      <c r="Y423" s="75">
        <f>PARAM!$C$26+MAX($G$8-CHOOSE(PARAM!$B$44,MAX(0,Z422*$F$1),0),0)*RATES!$L399/12+$H$8*(PARAM!$D$51/12)*RATES!$N399/100</f>
        <v>61.625</v>
      </c>
      <c r="Z423" s="16">
        <f t="shared" si="289"/>
        <v>-1946.37716776466</v>
      </c>
      <c r="AA423" s="15">
        <f t="shared" si="264"/>
        <v>22.170849845882874</v>
      </c>
      <c r="AB423" s="75">
        <f>AA423*(1-PARAM!$C$27)*$I$9+(MOD($B423,60)=PARAM!$B$56)*($B423&gt;(60-PARAM!$B$56))*HLOOKUP(($B423+PARAM!$B$56)/12,Loyalty,2)*$F$1*MAX(AD422,0)</f>
        <v>18.557001321003963</v>
      </c>
      <c r="AC423" s="75">
        <f>PARAM!$C$26+MAX($G$9-CHOOSE(PARAM!$B$44,MAX(0,AD422*$F$1),0),0)*RATES!$L399/12+$H$9*(PARAM!$D$51/12)*RATES!$N399/100</f>
        <v>61.625</v>
      </c>
      <c r="AD423" s="16">
        <f t="shared" si="290"/>
        <v>-1946.37716776466</v>
      </c>
      <c r="AE423" s="15">
        <f t="shared" si="265"/>
        <v>22.170849845882874</v>
      </c>
      <c r="AF423" s="75">
        <f>AE423*(1-PARAM!$C$27)*$I$10+(MOD($B423,60)=PARAM!$B$56)*($B423&gt;(60-PARAM!$B$56))*HLOOKUP(($B423+PARAM!$B$56)/12,Loyalty,2)*$F$1*MAX(AH422,0)</f>
        <v>18.557001321003963</v>
      </c>
      <c r="AG423" s="75">
        <f>PARAM!$C$26+MAX($G$10-CHOOSE(PARAM!$B$44,MAX(0,AH422*$F$1),0),0)*RATES!$L399/12+$H$10*(PARAM!$D$51/12)*RATES!$N399/100</f>
        <v>61.625</v>
      </c>
      <c r="AH423" s="16">
        <f t="shared" si="291"/>
        <v>-1946.37716776466</v>
      </c>
      <c r="AI423" s="15">
        <f t="shared" si="266"/>
        <v>22.170849845882874</v>
      </c>
      <c r="AJ423" s="75">
        <f>AI423*(1-PARAM!$C$27)*$I$11+(MOD($B423,60)=PARAM!$B$56)*($B423&gt;(60-PARAM!$B$56))*HLOOKUP(($B423+PARAM!$B$56)/12,Loyalty,2)*$F$1*MAX(AL422,0)</f>
        <v>18.557001321003963</v>
      </c>
      <c r="AK423" s="75">
        <f>PARAM!$C$26+MAX($G$11-CHOOSE(PARAM!$B$44,MAX(0,AL422*$F$1),0),0)*RATES!$L399/12+$H$11*(PARAM!$D$51/12)*RATES!$N399/100</f>
        <v>61.625</v>
      </c>
      <c r="AL423" s="16">
        <f t="shared" si="292"/>
        <v>-1946.37716776466</v>
      </c>
      <c r="AM423" s="15">
        <f t="shared" si="267"/>
        <v>22.170849845882874</v>
      </c>
      <c r="AN423" s="75">
        <f>AM423*(1-PARAM!$C$27)*$I$12+(MOD($B423,60)=PARAM!$B$56)*($B423&gt;(60-PARAM!$B$56))*HLOOKUP(($B423+PARAM!$B$56)/12,Loyalty,2)*$F$1*MAX(AP422,0)</f>
        <v>18.557001321003963</v>
      </c>
      <c r="AO423" s="75">
        <f>PARAM!$C$26+MAX($G$12-CHOOSE(PARAM!$B$44,MAX(0,AP422*$F$1),0),0)*RATES!$L399/12+$H$12*(PARAM!$D$51/12)*RATES!$N399/100</f>
        <v>61.625</v>
      </c>
      <c r="AP423" s="16">
        <f t="shared" si="293"/>
        <v>-1946.37716776466</v>
      </c>
      <c r="AQ423" s="15">
        <f t="shared" si="268"/>
        <v>22.170849845882874</v>
      </c>
      <c r="AR423" s="75">
        <f>AQ423*(1-PARAM!$C$27)*$I$13+(MOD($B423,60)=PARAM!$B$56)*($B423&gt;(60-PARAM!$B$56))*HLOOKUP(($B423+PARAM!$B$56)/12,Loyalty,2)*$F$1*MAX(AT422,0)</f>
        <v>18.557001321003963</v>
      </c>
      <c r="AS423" s="75">
        <f>PARAM!$C$26+MAX($G$13-CHOOSE(PARAM!$B$44,MAX(0,AT422*$F$1),0),0)*RATES!$L399/12+$H$13*(PARAM!$D$51/12)*RATES!$N399/100</f>
        <v>61.625</v>
      </c>
      <c r="AT423" s="16">
        <f t="shared" si="294"/>
        <v>-1946.37716776466</v>
      </c>
      <c r="AU423" s="15">
        <f t="shared" si="269"/>
        <v>22.170849845882874</v>
      </c>
      <c r="AV423" s="75">
        <f>AU423*(1-PARAM!$C$27)*$I$14+(MOD($B423,60)=PARAM!$B$56)*($B423&gt;(60-PARAM!$B$56))*HLOOKUP(($B423+PARAM!$B$56)/12,Loyalty,2)*$F$1*MAX(AX422,0)</f>
        <v>18.557001321003963</v>
      </c>
      <c r="AW423" s="75">
        <f>PARAM!$C$26+MAX($G$14-CHOOSE(PARAM!$B$44,MAX(0,AX422*$F$1),0),0)*RATES!$L399/12+$H$14*(PARAM!$D$51/12)*RATES!$N399/100</f>
        <v>61.625</v>
      </c>
      <c r="AX423" s="16">
        <f t="shared" si="295"/>
        <v>-1946.37716776466</v>
      </c>
      <c r="AY423" s="15">
        <f t="shared" si="270"/>
        <v>22.170849845882874</v>
      </c>
      <c r="AZ423" s="75">
        <f>AY423*(1-PARAM!$C$27)*$I$15+(MOD($B423,60)=PARAM!$B$56)*($B423&gt;(60-PARAM!$B$56))*HLOOKUP(($B423+PARAM!$B$56)/12,Loyalty,2)*$F$1*MAX(BB422,0)</f>
        <v>18.557001321003963</v>
      </c>
      <c r="BA423" s="75">
        <f>PARAM!$C$26+MAX($G$15-CHOOSE(PARAM!$B$44,MAX(0,BB422*$F$1),0),0)*RATES!$L399/12+$H$15*(PARAM!$D$51/12)*RATES!$N399/100</f>
        <v>61.625</v>
      </c>
      <c r="BB423" s="16">
        <f t="shared" si="296"/>
        <v>-1946.37716776466</v>
      </c>
      <c r="BC423" s="15">
        <f t="shared" si="271"/>
        <v>22.170849845882874</v>
      </c>
      <c r="BD423" s="75">
        <f>BC423*(1-PARAM!$C$27)*$I$16+(MOD($B423,60)=PARAM!$B$56)*($B423&gt;(60-PARAM!$B$56))*HLOOKUP(($B423+PARAM!$B$56)/12,Loyalty,2)*$F$1*MAX(BF422,0)</f>
        <v>18.557001321003963</v>
      </c>
      <c r="BE423" s="75">
        <f>PARAM!$C$26+MAX($G$16-CHOOSE(PARAM!$B$44,MAX(0,BF422*$F$1),0),0)*RATES!$L399/12+$H$16*(PARAM!$D$51/12)*RATES!$N399/100</f>
        <v>61.625</v>
      </c>
      <c r="BF423" s="16">
        <f t="shared" si="297"/>
        <v>-1946.37716776466</v>
      </c>
      <c r="BG423" s="15">
        <f t="shared" si="272"/>
        <v>22.170849845882874</v>
      </c>
      <c r="BH423" s="75">
        <f>BG423*(1-PARAM!$C$27)*$I$17+(MOD($B423,60)=PARAM!$B$56)*($B423&gt;(60-PARAM!$B$56))*HLOOKUP(($B423+PARAM!$B$56)/12,Loyalty,2)*$F$1*MAX(BJ422,0)</f>
        <v>18.557001321003963</v>
      </c>
      <c r="BI423" s="75">
        <f>PARAM!$C$26+MAX($G$17-CHOOSE(PARAM!$B$44,MAX(0,BJ422*$F$1),0),0)*RATES!$L399/12+$H$17*(PARAM!$D$51/12)*RATES!$N399/100</f>
        <v>61.625</v>
      </c>
      <c r="BJ423" s="16">
        <f t="shared" si="298"/>
        <v>-1946.37716776466</v>
      </c>
      <c r="BK423" s="15">
        <f t="shared" si="273"/>
        <v>22.170849845882874</v>
      </c>
      <c r="BL423" s="75">
        <f>BK423*(1-PARAM!$C$27)*$I$18+(MOD($B423,60)=PARAM!$B$56)*($B423&gt;(60-PARAM!$B$56))*HLOOKUP(($B423+PARAM!$B$56)/12,Loyalty,2)*$F$1*MAX(BN422,0)</f>
        <v>18.557001321003963</v>
      </c>
      <c r="BM423" s="75">
        <f>PARAM!$C$26+MAX($G$18-CHOOSE(PARAM!$B$44,MAX(0,BN422*$F$1),0),0)*RATES!$L399/12+$H$18*(PARAM!$D$51/12)*RATES!$N399/100</f>
        <v>61.625</v>
      </c>
      <c r="BN423" s="16">
        <f t="shared" si="299"/>
        <v>-1946.37716776466</v>
      </c>
      <c r="BO423" s="15">
        <f t="shared" si="274"/>
        <v>22.170849845882874</v>
      </c>
      <c r="BP423" s="75">
        <f>BO423*(1-PARAM!$C$27)*$I$19+(MOD($B423,60)=PARAM!$B$56)*($B423&gt;(60-PARAM!$B$56))*HLOOKUP(($B423+PARAM!$B$56)/12,Loyalty,2)*$F$1*MAX(BR422,0)</f>
        <v>18.557001321003963</v>
      </c>
      <c r="BQ423" s="75">
        <f>PARAM!$C$26+MAX($G$19-CHOOSE(PARAM!$B$44,MAX(0,BR422*$F$1),0),0)*RATES!$L399/12+$H$19*(PARAM!$D$51/12)*RATES!$N399/100</f>
        <v>61.625</v>
      </c>
      <c r="BR423" s="16">
        <f t="shared" si="300"/>
        <v>-1946.37716776466</v>
      </c>
      <c r="BS423" s="15">
        <f t="shared" si="275"/>
        <v>22.170849845882874</v>
      </c>
      <c r="BT423" s="75">
        <f>BS423*(1-PARAM!$C$27)*$I$20+(MOD($B423,60)=PARAM!$B$56)*($B423&gt;(60-PARAM!$B$56))*HLOOKUP(($B423+PARAM!$B$56)/12,Loyalty,2)*$F$1*MAX(BV422,0)</f>
        <v>18.557001321003963</v>
      </c>
      <c r="BU423" s="75">
        <f>PARAM!$C$26+MAX($G$20-CHOOSE(PARAM!$B$44,MAX(0,BV422*$F$1),0),0)*RATES!$L399/12+$H$20*(PARAM!$D$51/12)*RATES!$N399/100</f>
        <v>61.625</v>
      </c>
      <c r="BV423" s="16">
        <f t="shared" si="301"/>
        <v>-1946.37716776466</v>
      </c>
      <c r="BW423" s="15">
        <f t="shared" si="276"/>
        <v>22.170849845882874</v>
      </c>
      <c r="BX423" s="75">
        <f>BW423*(1-PARAM!$C$27)*$I$21+(MOD($B423,60)=PARAM!$B$56)*($B423&gt;(60-PARAM!$B$56))*HLOOKUP(($B423+PARAM!$B$56)/12,Loyalty,2)*$F$1*MAX(BZ422,0)</f>
        <v>18.557001321003963</v>
      </c>
      <c r="BY423" s="75">
        <f>PARAM!$C$26+MAX($G$21-CHOOSE(PARAM!$B$44,MAX(0,BZ422*$F$1),0),0)*RATES!$L399/12+$H$21*(PARAM!$D$51/12)*RATES!$N399/100</f>
        <v>61.625</v>
      </c>
      <c r="BZ423" s="16">
        <f t="shared" si="302"/>
        <v>-1946.37716776466</v>
      </c>
      <c r="CA423" s="15">
        <f t="shared" si="277"/>
        <v>22.170849845882874</v>
      </c>
      <c r="CB423" s="75">
        <f>CA423*(1-PARAM!$C$27)*$I$22+(MOD($B423,60)=PARAM!$B$56)*($B423&gt;(60-PARAM!$B$56))*HLOOKUP(($B423+PARAM!$B$56)/12,Loyalty,2)*$F$1*MAX(CD422,0)</f>
        <v>18.557001321003963</v>
      </c>
      <c r="CC423" s="75">
        <f>PARAM!$C$26+MAX($G$22-CHOOSE(PARAM!$B$44,MAX(0,CD422*$F$1),0),0)*RATES!$L399/12+$H$22*(PARAM!$D$51/12)*RATES!$N399/100</f>
        <v>61.625</v>
      </c>
      <c r="CD423" s="16">
        <f t="shared" si="303"/>
        <v>-1946.37716776466</v>
      </c>
      <c r="CE423" s="33">
        <f>IF(0=MOD(B423,12/PARAM!$D$51),1,0)</f>
        <v>1</v>
      </c>
      <c r="CF423" s="15">
        <f t="shared" si="278"/>
        <v>0</v>
      </c>
      <c r="CG423" s="75">
        <f>CF423*(1-PARAM!$C$27)*$R$3+(MOD($B423/12,5)=0)*($B423&gt;60)*HLOOKUP($B423/12,Loyalty,2)*$F$1*MAX(CI422,0)</f>
        <v>0</v>
      </c>
      <c r="CH423" s="75">
        <f>PARAM!$C$26+MAX($P$3-CHOOSE(PARAM!$B$44,MAX(0,CI422*$F$1),0),0)*RATES!$L399/12+$Q$3*(PARAM!$D$51/12)*RATES!$N399/100</f>
        <v>61.625</v>
      </c>
      <c r="CI423" s="16">
        <f>IF(CI422&gt;0,CI422*PARAM!$C$53,CI422)+CG423-CH423</f>
        <v>-9175.3749999999873</v>
      </c>
      <c r="CJ423" s="15">
        <f t="shared" si="304"/>
        <v>0</v>
      </c>
      <c r="CK423" s="75">
        <f>CJ423*(1-PARAM!$C$27)*$R$4+(MOD($B423/12,5)=0)*($B423&gt;60)*HLOOKUP($B423/12,Loyalty,2)*$F$1*MAX(CM422,0)</f>
        <v>0</v>
      </c>
      <c r="CL423" s="75">
        <f>PARAM!$C$26+MAX($P$4-CHOOSE(PARAM!$B$44,MAX(0,CM422*$F$1),0),0)*RATES!$L399/12+$Q$4*(PARAM!$D$51/12)*RATES!$N399/100</f>
        <v>61.625</v>
      </c>
      <c r="CM423" s="16">
        <f>IF(CM422&gt;0,CM422*PARAM!$C$53,CM422)+CK423-CL423</f>
        <v>-9175.3749999999873</v>
      </c>
      <c r="CO423" s="176"/>
    </row>
    <row r="424" spans="1:93" x14ac:dyDescent="0.2">
      <c r="A424" t="b">
        <f t="shared" si="279"/>
        <v>0</v>
      </c>
      <c r="B424" s="33">
        <v>397</v>
      </c>
      <c r="C424" s="15">
        <f t="shared" si="280"/>
        <v>20.081305947392778</v>
      </c>
      <c r="D424" s="75">
        <f>C424*(1-PARAM!$C$27)*$I$3+(MOD($B424,60)=PARAM!$B$56)*($B424&gt;(60-PARAM!$B$56))*HLOOKUP(($B424+PARAM!$B$56)/12,Loyalty,2)*$F$1*MAX(F423,0)</f>
        <v>16.808053077967756</v>
      </c>
      <c r="E424" s="75">
        <f>PARAM!$C$26+MAX($G$3-CHOOSE(PARAM!$B$44,MAX(0,F423*$F$1),0),0)*RATES!$L400/12+$H$3*(PARAM!$D$51/12)*RATES!$N400/100</f>
        <v>61.625</v>
      </c>
      <c r="F424" s="16">
        <f t="shared" si="281"/>
        <v>-2720.6281194505373</v>
      </c>
      <c r="G424" s="15">
        <f t="shared" si="282"/>
        <v>22.035289406060361</v>
      </c>
      <c r="H424" s="75">
        <f>G424*(1-PARAM!$C$27)*$I$4+(MOD($B424,60)=PARAM!$B$56)*($B424&gt;(60-PARAM!$B$56))*HLOOKUP(($B424+PARAM!$B$56)/12,Loyalty,2)*$F$1*MAX(J423,0)</f>
        <v>18.443537232872522</v>
      </c>
      <c r="I424" s="75">
        <f>PARAM!$C$26+MAX($G$4-CHOOSE(PARAM!$B$44,MAX(0,J423*$F$1),0),0)*RATES!$L400/12+$H$4*(PARAM!$D$51/12)*RATES!$N400/100</f>
        <v>61.625</v>
      </c>
      <c r="J424" s="16">
        <f t="shared" si="283"/>
        <v>-2037.5079458316327</v>
      </c>
      <c r="K424" s="15">
        <f t="shared" si="284"/>
        <v>22.170849845882874</v>
      </c>
      <c r="L424" s="75">
        <f>K424*(1-PARAM!$C$27)*$I$5+(MOD($B424,60)=PARAM!$B$56)*($B424&gt;(60-PARAM!$B$56))*HLOOKUP(($B424+PARAM!$B$56)/12,Loyalty,2)*$F$1*MAX(N423,0)</f>
        <v>18.557001321003963</v>
      </c>
      <c r="M424" s="75">
        <f>PARAM!$C$26+MAX($G$5-CHOOSE(PARAM!$B$44,MAX(0,N423*$F$1),0),0)*RATES!$L400/12+$H$5*(PARAM!$D$51/12)*RATES!$N400/100</f>
        <v>61.625</v>
      </c>
      <c r="N424" s="16">
        <f t="shared" si="285"/>
        <v>-1989.445166443656</v>
      </c>
      <c r="O424" s="15">
        <f t="shared" si="286"/>
        <v>22.170849845882874</v>
      </c>
      <c r="P424" s="75">
        <f>O424*(1-PARAM!$C$27)*$I$6+(MOD($B424,60)=PARAM!$B$56)*($B424&gt;(60-PARAM!$B$56))*HLOOKUP(($B424+PARAM!$B$56)/12,Loyalty,2)*$F$1*MAX(R423,0)</f>
        <v>18.557001321003963</v>
      </c>
      <c r="Q424" s="75">
        <f>PARAM!$C$26+MAX($G$6-CHOOSE(PARAM!$B$44,MAX(0,R423*$F$1),0),0)*RATES!$L400/12+$H$6*(PARAM!$D$51/12)*RATES!$N400/100</f>
        <v>61.625</v>
      </c>
      <c r="R424" s="16">
        <f t="shared" si="287"/>
        <v>-1989.445166443656</v>
      </c>
      <c r="S424" s="15">
        <f t="shared" si="262"/>
        <v>22.170849845882874</v>
      </c>
      <c r="T424" s="75">
        <f>S424*(1-PARAM!$C$27)*$I$7+(MOD($B424,60)=PARAM!$B$56)*($B424&gt;(60-PARAM!$B$56))*HLOOKUP(($B424+PARAM!$B$56)/12,Loyalty,2)*$F$1*MAX(V423,0)</f>
        <v>18.557001321003963</v>
      </c>
      <c r="U424" s="75">
        <f>PARAM!$C$26+MAX($G$7-CHOOSE(PARAM!$B$44,MAX(0,V423*$F$1),0),0)*RATES!$L400/12+$H$7*(PARAM!$D$51/12)*RATES!$N400/100</f>
        <v>61.625</v>
      </c>
      <c r="V424" s="16">
        <f t="shared" si="288"/>
        <v>-1989.445166443656</v>
      </c>
      <c r="W424" s="15">
        <f t="shared" si="263"/>
        <v>22.170849845882874</v>
      </c>
      <c r="X424" s="75">
        <f>W424*(1-PARAM!$C$27)*$I$8+(MOD($B424,60)=PARAM!$B$56)*($B424&gt;(60-PARAM!$B$56))*HLOOKUP(($B424+PARAM!$B$56)/12,Loyalty,2)*$F$1*MAX(Z423,0)</f>
        <v>18.557001321003963</v>
      </c>
      <c r="Y424" s="75">
        <f>PARAM!$C$26+MAX($G$8-CHOOSE(PARAM!$B$44,MAX(0,Z423*$F$1),0),0)*RATES!$L400/12+$H$8*(PARAM!$D$51/12)*RATES!$N400/100</f>
        <v>61.625</v>
      </c>
      <c r="Z424" s="16">
        <f t="shared" si="289"/>
        <v>-1989.445166443656</v>
      </c>
      <c r="AA424" s="15">
        <f t="shared" si="264"/>
        <v>22.170849845882874</v>
      </c>
      <c r="AB424" s="75">
        <f>AA424*(1-PARAM!$C$27)*$I$9+(MOD($B424,60)=PARAM!$B$56)*($B424&gt;(60-PARAM!$B$56))*HLOOKUP(($B424+PARAM!$B$56)/12,Loyalty,2)*$F$1*MAX(AD423,0)</f>
        <v>18.557001321003963</v>
      </c>
      <c r="AC424" s="75">
        <f>PARAM!$C$26+MAX($G$9-CHOOSE(PARAM!$B$44,MAX(0,AD423*$F$1),0),0)*RATES!$L400/12+$H$9*(PARAM!$D$51/12)*RATES!$N400/100</f>
        <v>61.625</v>
      </c>
      <c r="AD424" s="16">
        <f t="shared" si="290"/>
        <v>-1989.445166443656</v>
      </c>
      <c r="AE424" s="15">
        <f t="shared" si="265"/>
        <v>22.170849845882874</v>
      </c>
      <c r="AF424" s="75">
        <f>AE424*(1-PARAM!$C$27)*$I$10+(MOD($B424,60)=PARAM!$B$56)*($B424&gt;(60-PARAM!$B$56))*HLOOKUP(($B424+PARAM!$B$56)/12,Loyalty,2)*$F$1*MAX(AH423,0)</f>
        <v>18.557001321003963</v>
      </c>
      <c r="AG424" s="75">
        <f>PARAM!$C$26+MAX($G$10-CHOOSE(PARAM!$B$44,MAX(0,AH423*$F$1),0),0)*RATES!$L400/12+$H$10*(PARAM!$D$51/12)*RATES!$N400/100</f>
        <v>61.625</v>
      </c>
      <c r="AH424" s="16">
        <f t="shared" si="291"/>
        <v>-1989.445166443656</v>
      </c>
      <c r="AI424" s="15">
        <f t="shared" si="266"/>
        <v>22.170849845882874</v>
      </c>
      <c r="AJ424" s="75">
        <f>AI424*(1-PARAM!$C$27)*$I$11+(MOD($B424,60)=PARAM!$B$56)*($B424&gt;(60-PARAM!$B$56))*HLOOKUP(($B424+PARAM!$B$56)/12,Loyalty,2)*$F$1*MAX(AL423,0)</f>
        <v>18.557001321003963</v>
      </c>
      <c r="AK424" s="75">
        <f>PARAM!$C$26+MAX($G$11-CHOOSE(PARAM!$B$44,MAX(0,AL423*$F$1),0),0)*RATES!$L400/12+$H$11*(PARAM!$D$51/12)*RATES!$N400/100</f>
        <v>61.625</v>
      </c>
      <c r="AL424" s="16">
        <f t="shared" si="292"/>
        <v>-1989.445166443656</v>
      </c>
      <c r="AM424" s="15">
        <f t="shared" si="267"/>
        <v>22.170849845882874</v>
      </c>
      <c r="AN424" s="75">
        <f>AM424*(1-PARAM!$C$27)*$I$12+(MOD($B424,60)=PARAM!$B$56)*($B424&gt;(60-PARAM!$B$56))*HLOOKUP(($B424+PARAM!$B$56)/12,Loyalty,2)*$F$1*MAX(AP423,0)</f>
        <v>18.557001321003963</v>
      </c>
      <c r="AO424" s="75">
        <f>PARAM!$C$26+MAX($G$12-CHOOSE(PARAM!$B$44,MAX(0,AP423*$F$1),0),0)*RATES!$L400/12+$H$12*(PARAM!$D$51/12)*RATES!$N400/100</f>
        <v>61.625</v>
      </c>
      <c r="AP424" s="16">
        <f t="shared" si="293"/>
        <v>-1989.445166443656</v>
      </c>
      <c r="AQ424" s="15">
        <f t="shared" si="268"/>
        <v>22.170849845882874</v>
      </c>
      <c r="AR424" s="75">
        <f>AQ424*(1-PARAM!$C$27)*$I$13+(MOD($B424,60)=PARAM!$B$56)*($B424&gt;(60-PARAM!$B$56))*HLOOKUP(($B424+PARAM!$B$56)/12,Loyalty,2)*$F$1*MAX(AT423,0)</f>
        <v>18.557001321003963</v>
      </c>
      <c r="AS424" s="75">
        <f>PARAM!$C$26+MAX($G$13-CHOOSE(PARAM!$B$44,MAX(0,AT423*$F$1),0),0)*RATES!$L400/12+$H$13*(PARAM!$D$51/12)*RATES!$N400/100</f>
        <v>61.625</v>
      </c>
      <c r="AT424" s="16">
        <f t="shared" si="294"/>
        <v>-1989.445166443656</v>
      </c>
      <c r="AU424" s="15">
        <f t="shared" si="269"/>
        <v>22.170849845882874</v>
      </c>
      <c r="AV424" s="75">
        <f>AU424*(1-PARAM!$C$27)*$I$14+(MOD($B424,60)=PARAM!$B$56)*($B424&gt;(60-PARAM!$B$56))*HLOOKUP(($B424+PARAM!$B$56)/12,Loyalty,2)*$F$1*MAX(AX423,0)</f>
        <v>18.557001321003963</v>
      </c>
      <c r="AW424" s="75">
        <f>PARAM!$C$26+MAX($G$14-CHOOSE(PARAM!$B$44,MAX(0,AX423*$F$1),0),0)*RATES!$L400/12+$H$14*(PARAM!$D$51/12)*RATES!$N400/100</f>
        <v>61.625</v>
      </c>
      <c r="AX424" s="16">
        <f t="shared" si="295"/>
        <v>-1989.445166443656</v>
      </c>
      <c r="AY424" s="15">
        <f t="shared" si="270"/>
        <v>22.170849845882874</v>
      </c>
      <c r="AZ424" s="75">
        <f>AY424*(1-PARAM!$C$27)*$I$15+(MOD($B424,60)=PARAM!$B$56)*($B424&gt;(60-PARAM!$B$56))*HLOOKUP(($B424+PARAM!$B$56)/12,Loyalty,2)*$F$1*MAX(BB423,0)</f>
        <v>18.557001321003963</v>
      </c>
      <c r="BA424" s="75">
        <f>PARAM!$C$26+MAX($G$15-CHOOSE(PARAM!$B$44,MAX(0,BB423*$F$1),0),0)*RATES!$L400/12+$H$15*(PARAM!$D$51/12)*RATES!$N400/100</f>
        <v>61.625</v>
      </c>
      <c r="BB424" s="16">
        <f t="shared" si="296"/>
        <v>-1989.445166443656</v>
      </c>
      <c r="BC424" s="15">
        <f t="shared" si="271"/>
        <v>22.170849845882874</v>
      </c>
      <c r="BD424" s="75">
        <f>BC424*(1-PARAM!$C$27)*$I$16+(MOD($B424,60)=PARAM!$B$56)*($B424&gt;(60-PARAM!$B$56))*HLOOKUP(($B424+PARAM!$B$56)/12,Loyalty,2)*$F$1*MAX(BF423,0)</f>
        <v>18.557001321003963</v>
      </c>
      <c r="BE424" s="75">
        <f>PARAM!$C$26+MAX($G$16-CHOOSE(PARAM!$B$44,MAX(0,BF423*$F$1),0),0)*RATES!$L400/12+$H$16*(PARAM!$D$51/12)*RATES!$N400/100</f>
        <v>61.625</v>
      </c>
      <c r="BF424" s="16">
        <f t="shared" si="297"/>
        <v>-1989.445166443656</v>
      </c>
      <c r="BG424" s="15">
        <f t="shared" si="272"/>
        <v>22.170849845882874</v>
      </c>
      <c r="BH424" s="75">
        <f>BG424*(1-PARAM!$C$27)*$I$17+(MOD($B424,60)=PARAM!$B$56)*($B424&gt;(60-PARAM!$B$56))*HLOOKUP(($B424+PARAM!$B$56)/12,Loyalty,2)*$F$1*MAX(BJ423,0)</f>
        <v>18.557001321003963</v>
      </c>
      <c r="BI424" s="75">
        <f>PARAM!$C$26+MAX($G$17-CHOOSE(PARAM!$B$44,MAX(0,BJ423*$F$1),0),0)*RATES!$L400/12+$H$17*(PARAM!$D$51/12)*RATES!$N400/100</f>
        <v>61.625</v>
      </c>
      <c r="BJ424" s="16">
        <f t="shared" si="298"/>
        <v>-1989.445166443656</v>
      </c>
      <c r="BK424" s="15">
        <f t="shared" si="273"/>
        <v>22.170849845882874</v>
      </c>
      <c r="BL424" s="75">
        <f>BK424*(1-PARAM!$C$27)*$I$18+(MOD($B424,60)=PARAM!$B$56)*($B424&gt;(60-PARAM!$B$56))*HLOOKUP(($B424+PARAM!$B$56)/12,Loyalty,2)*$F$1*MAX(BN423,0)</f>
        <v>18.557001321003963</v>
      </c>
      <c r="BM424" s="75">
        <f>PARAM!$C$26+MAX($G$18-CHOOSE(PARAM!$B$44,MAX(0,BN423*$F$1),0),0)*RATES!$L400/12+$H$18*(PARAM!$D$51/12)*RATES!$N400/100</f>
        <v>61.625</v>
      </c>
      <c r="BN424" s="16">
        <f t="shared" si="299"/>
        <v>-1989.445166443656</v>
      </c>
      <c r="BO424" s="15">
        <f t="shared" si="274"/>
        <v>22.170849845882874</v>
      </c>
      <c r="BP424" s="75">
        <f>BO424*(1-PARAM!$C$27)*$I$19+(MOD($B424,60)=PARAM!$B$56)*($B424&gt;(60-PARAM!$B$56))*HLOOKUP(($B424+PARAM!$B$56)/12,Loyalty,2)*$F$1*MAX(BR423,0)</f>
        <v>18.557001321003963</v>
      </c>
      <c r="BQ424" s="75">
        <f>PARAM!$C$26+MAX($G$19-CHOOSE(PARAM!$B$44,MAX(0,BR423*$F$1),0),0)*RATES!$L400/12+$H$19*(PARAM!$D$51/12)*RATES!$N400/100</f>
        <v>61.625</v>
      </c>
      <c r="BR424" s="16">
        <f t="shared" si="300"/>
        <v>-1989.445166443656</v>
      </c>
      <c r="BS424" s="15">
        <f t="shared" si="275"/>
        <v>22.170849845882874</v>
      </c>
      <c r="BT424" s="75">
        <f>BS424*(1-PARAM!$C$27)*$I$20+(MOD($B424,60)=PARAM!$B$56)*($B424&gt;(60-PARAM!$B$56))*HLOOKUP(($B424+PARAM!$B$56)/12,Loyalty,2)*$F$1*MAX(BV423,0)</f>
        <v>18.557001321003963</v>
      </c>
      <c r="BU424" s="75">
        <f>PARAM!$C$26+MAX($G$20-CHOOSE(PARAM!$B$44,MAX(0,BV423*$F$1),0),0)*RATES!$L400/12+$H$20*(PARAM!$D$51/12)*RATES!$N400/100</f>
        <v>61.625</v>
      </c>
      <c r="BV424" s="16">
        <f t="shared" si="301"/>
        <v>-1989.445166443656</v>
      </c>
      <c r="BW424" s="15">
        <f t="shared" si="276"/>
        <v>22.170849845882874</v>
      </c>
      <c r="BX424" s="75">
        <f>BW424*(1-PARAM!$C$27)*$I$21+(MOD($B424,60)=PARAM!$B$56)*($B424&gt;(60-PARAM!$B$56))*HLOOKUP(($B424+PARAM!$B$56)/12,Loyalty,2)*$F$1*MAX(BZ423,0)</f>
        <v>18.557001321003963</v>
      </c>
      <c r="BY424" s="75">
        <f>PARAM!$C$26+MAX($G$21-CHOOSE(PARAM!$B$44,MAX(0,BZ423*$F$1),0),0)*RATES!$L400/12+$H$21*(PARAM!$D$51/12)*RATES!$N400/100</f>
        <v>61.625</v>
      </c>
      <c r="BZ424" s="16">
        <f t="shared" si="302"/>
        <v>-1989.445166443656</v>
      </c>
      <c r="CA424" s="15">
        <f t="shared" si="277"/>
        <v>22.170849845882874</v>
      </c>
      <c r="CB424" s="75">
        <f>CA424*(1-PARAM!$C$27)*$I$22+(MOD($B424,60)=PARAM!$B$56)*($B424&gt;(60-PARAM!$B$56))*HLOOKUP(($B424+PARAM!$B$56)/12,Loyalty,2)*$F$1*MAX(CD423,0)</f>
        <v>18.557001321003963</v>
      </c>
      <c r="CC424" s="75">
        <f>PARAM!$C$26+MAX($G$22-CHOOSE(PARAM!$B$44,MAX(0,CD423*$F$1),0),0)*RATES!$L400/12+$H$22*(PARAM!$D$51/12)*RATES!$N400/100</f>
        <v>61.625</v>
      </c>
      <c r="CD424" s="16">
        <f t="shared" si="303"/>
        <v>-1989.445166443656</v>
      </c>
      <c r="CE424" s="33">
        <f>IF(0=MOD(B424,12/PARAM!$D$51),1,0)</f>
        <v>1</v>
      </c>
      <c r="CF424" s="15">
        <f t="shared" si="278"/>
        <v>0</v>
      </c>
      <c r="CG424" s="75">
        <f>CF424*(1-PARAM!$C$27)*$R$3+(MOD($B424/12,5)=0)*($B424&gt;60)*HLOOKUP($B424/12,Loyalty,2)*$F$1*MAX(CI423,0)</f>
        <v>0</v>
      </c>
      <c r="CH424" s="75">
        <f>PARAM!$C$26+MAX($P$3-CHOOSE(PARAM!$B$44,MAX(0,CI423*$F$1),0),0)*RATES!$L400/12+$Q$3*(PARAM!$D$51/12)*RATES!$N400/100</f>
        <v>61.625</v>
      </c>
      <c r="CI424" s="16">
        <f>IF(CI423&gt;0,CI423*PARAM!$C$53,CI423)+CG424-CH424</f>
        <v>-9236.9999999999873</v>
      </c>
      <c r="CJ424" s="15">
        <f t="shared" si="304"/>
        <v>0</v>
      </c>
      <c r="CK424" s="75">
        <f>CJ424*(1-PARAM!$C$27)*$R$4+(MOD($B424/12,5)=0)*($B424&gt;60)*HLOOKUP($B424/12,Loyalty,2)*$F$1*MAX(CM423,0)</f>
        <v>0</v>
      </c>
      <c r="CL424" s="75">
        <f>PARAM!$C$26+MAX($P$4-CHOOSE(PARAM!$B$44,MAX(0,CM423*$F$1),0),0)*RATES!$L400/12+$Q$4*(PARAM!$D$51/12)*RATES!$N400/100</f>
        <v>61.625</v>
      </c>
      <c r="CM424" s="16">
        <f>IF(CM423&gt;0,CM423*PARAM!$C$53,CM423)+CK424-CL424</f>
        <v>-9236.9999999999873</v>
      </c>
      <c r="CO424" s="176"/>
    </row>
    <row r="425" spans="1:93" x14ac:dyDescent="0.2">
      <c r="A425" t="b">
        <f t="shared" si="279"/>
        <v>0</v>
      </c>
      <c r="B425" s="33">
        <v>398</v>
      </c>
      <c r="C425" s="15">
        <f t="shared" si="280"/>
        <v>20.081305947392778</v>
      </c>
      <c r="D425" s="75">
        <f>C425*(1-PARAM!$C$27)*$I$3+(MOD($B425,60)=PARAM!$B$56)*($B425&gt;(60-PARAM!$B$56))*HLOOKUP(($B425+PARAM!$B$56)/12,Loyalty,2)*$F$1*MAX(F424,0)</f>
        <v>16.808053077967756</v>
      </c>
      <c r="E425" s="75">
        <f>PARAM!$C$26+MAX($G$3-CHOOSE(PARAM!$B$44,MAX(0,F424*$F$1),0),0)*RATES!$L401/12+$H$3*(PARAM!$D$51/12)*RATES!$N401/100</f>
        <v>61.625</v>
      </c>
      <c r="F425" s="16">
        <f t="shared" si="281"/>
        <v>-2765.4450663725697</v>
      </c>
      <c r="G425" s="15">
        <f t="shared" si="282"/>
        <v>22.035289406060361</v>
      </c>
      <c r="H425" s="75">
        <f>G425*(1-PARAM!$C$27)*$I$4+(MOD($B425,60)=PARAM!$B$56)*($B425&gt;(60-PARAM!$B$56))*HLOOKUP(($B425+PARAM!$B$56)/12,Loyalty,2)*$F$1*MAX(J424,0)</f>
        <v>18.443537232872522</v>
      </c>
      <c r="I425" s="75">
        <f>PARAM!$C$26+MAX($G$4-CHOOSE(PARAM!$B$44,MAX(0,J424*$F$1),0),0)*RATES!$L401/12+$H$4*(PARAM!$D$51/12)*RATES!$N401/100</f>
        <v>61.625</v>
      </c>
      <c r="J425" s="16">
        <f t="shared" si="283"/>
        <v>-2080.6894085987601</v>
      </c>
      <c r="K425" s="15">
        <f t="shared" si="284"/>
        <v>22.170849845882874</v>
      </c>
      <c r="L425" s="75">
        <f>K425*(1-PARAM!$C$27)*$I$5+(MOD($B425,60)=PARAM!$B$56)*($B425&gt;(60-PARAM!$B$56))*HLOOKUP(($B425+PARAM!$B$56)/12,Loyalty,2)*$F$1*MAX(N424,0)</f>
        <v>18.557001321003963</v>
      </c>
      <c r="M425" s="75">
        <f>PARAM!$C$26+MAX($G$5-CHOOSE(PARAM!$B$44,MAX(0,N424*$F$1),0),0)*RATES!$L401/12+$H$5*(PARAM!$D$51/12)*RATES!$N401/100</f>
        <v>61.625</v>
      </c>
      <c r="N425" s="16">
        <f t="shared" si="285"/>
        <v>-2032.513165122652</v>
      </c>
      <c r="O425" s="15">
        <f t="shared" si="286"/>
        <v>22.170849845882874</v>
      </c>
      <c r="P425" s="75">
        <f>O425*(1-PARAM!$C$27)*$I$6+(MOD($B425,60)=PARAM!$B$56)*($B425&gt;(60-PARAM!$B$56))*HLOOKUP(($B425+PARAM!$B$56)/12,Loyalty,2)*$F$1*MAX(R424,0)</f>
        <v>18.557001321003963</v>
      </c>
      <c r="Q425" s="75">
        <f>PARAM!$C$26+MAX($G$6-CHOOSE(PARAM!$B$44,MAX(0,R424*$F$1),0),0)*RATES!$L401/12+$H$6*(PARAM!$D$51/12)*RATES!$N401/100</f>
        <v>61.625</v>
      </c>
      <c r="R425" s="16">
        <f t="shared" si="287"/>
        <v>-2032.513165122652</v>
      </c>
      <c r="S425" s="15">
        <f t="shared" si="262"/>
        <v>22.170849845882874</v>
      </c>
      <c r="T425" s="75">
        <f>S425*(1-PARAM!$C$27)*$I$7+(MOD($B425,60)=PARAM!$B$56)*($B425&gt;(60-PARAM!$B$56))*HLOOKUP(($B425+PARAM!$B$56)/12,Loyalty,2)*$F$1*MAX(V424,0)</f>
        <v>18.557001321003963</v>
      </c>
      <c r="U425" s="75">
        <f>PARAM!$C$26+MAX($G$7-CHOOSE(PARAM!$B$44,MAX(0,V424*$F$1),0),0)*RATES!$L401/12+$H$7*(PARAM!$D$51/12)*RATES!$N401/100</f>
        <v>61.625</v>
      </c>
      <c r="V425" s="16">
        <f t="shared" si="288"/>
        <v>-2032.513165122652</v>
      </c>
      <c r="W425" s="15">
        <f t="shared" si="263"/>
        <v>22.170849845882874</v>
      </c>
      <c r="X425" s="75">
        <f>W425*(1-PARAM!$C$27)*$I$8+(MOD($B425,60)=PARAM!$B$56)*($B425&gt;(60-PARAM!$B$56))*HLOOKUP(($B425+PARAM!$B$56)/12,Loyalty,2)*$F$1*MAX(Z424,0)</f>
        <v>18.557001321003963</v>
      </c>
      <c r="Y425" s="75">
        <f>PARAM!$C$26+MAX($G$8-CHOOSE(PARAM!$B$44,MAX(0,Z424*$F$1),0),0)*RATES!$L401/12+$H$8*(PARAM!$D$51/12)*RATES!$N401/100</f>
        <v>61.625</v>
      </c>
      <c r="Z425" s="16">
        <f t="shared" si="289"/>
        <v>-2032.513165122652</v>
      </c>
      <c r="AA425" s="15">
        <f t="shared" si="264"/>
        <v>22.170849845882874</v>
      </c>
      <c r="AB425" s="75">
        <f>AA425*(1-PARAM!$C$27)*$I$9+(MOD($B425,60)=PARAM!$B$56)*($B425&gt;(60-PARAM!$B$56))*HLOOKUP(($B425+PARAM!$B$56)/12,Loyalty,2)*$F$1*MAX(AD424,0)</f>
        <v>18.557001321003963</v>
      </c>
      <c r="AC425" s="75">
        <f>PARAM!$C$26+MAX($G$9-CHOOSE(PARAM!$B$44,MAX(0,AD424*$F$1),0),0)*RATES!$L401/12+$H$9*(PARAM!$D$51/12)*RATES!$N401/100</f>
        <v>61.625</v>
      </c>
      <c r="AD425" s="16">
        <f t="shared" si="290"/>
        <v>-2032.513165122652</v>
      </c>
      <c r="AE425" s="15">
        <f t="shared" si="265"/>
        <v>22.170849845882874</v>
      </c>
      <c r="AF425" s="75">
        <f>AE425*(1-PARAM!$C$27)*$I$10+(MOD($B425,60)=PARAM!$B$56)*($B425&gt;(60-PARAM!$B$56))*HLOOKUP(($B425+PARAM!$B$56)/12,Loyalty,2)*$F$1*MAX(AH424,0)</f>
        <v>18.557001321003963</v>
      </c>
      <c r="AG425" s="75">
        <f>PARAM!$C$26+MAX($G$10-CHOOSE(PARAM!$B$44,MAX(0,AH424*$F$1),0),0)*RATES!$L401/12+$H$10*(PARAM!$D$51/12)*RATES!$N401/100</f>
        <v>61.625</v>
      </c>
      <c r="AH425" s="16">
        <f t="shared" si="291"/>
        <v>-2032.513165122652</v>
      </c>
      <c r="AI425" s="15">
        <f t="shared" si="266"/>
        <v>22.170849845882874</v>
      </c>
      <c r="AJ425" s="75">
        <f>AI425*(1-PARAM!$C$27)*$I$11+(MOD($B425,60)=PARAM!$B$56)*($B425&gt;(60-PARAM!$B$56))*HLOOKUP(($B425+PARAM!$B$56)/12,Loyalty,2)*$F$1*MAX(AL424,0)</f>
        <v>18.557001321003963</v>
      </c>
      <c r="AK425" s="75">
        <f>PARAM!$C$26+MAX($G$11-CHOOSE(PARAM!$B$44,MAX(0,AL424*$F$1),0),0)*RATES!$L401/12+$H$11*(PARAM!$D$51/12)*RATES!$N401/100</f>
        <v>61.625</v>
      </c>
      <c r="AL425" s="16">
        <f t="shared" si="292"/>
        <v>-2032.513165122652</v>
      </c>
      <c r="AM425" s="15">
        <f t="shared" si="267"/>
        <v>22.170849845882874</v>
      </c>
      <c r="AN425" s="75">
        <f>AM425*(1-PARAM!$C$27)*$I$12+(MOD($B425,60)=PARAM!$B$56)*($B425&gt;(60-PARAM!$B$56))*HLOOKUP(($B425+PARAM!$B$56)/12,Loyalty,2)*$F$1*MAX(AP424,0)</f>
        <v>18.557001321003963</v>
      </c>
      <c r="AO425" s="75">
        <f>PARAM!$C$26+MAX($G$12-CHOOSE(PARAM!$B$44,MAX(0,AP424*$F$1),0),0)*RATES!$L401/12+$H$12*(PARAM!$D$51/12)*RATES!$N401/100</f>
        <v>61.625</v>
      </c>
      <c r="AP425" s="16">
        <f t="shared" si="293"/>
        <v>-2032.513165122652</v>
      </c>
      <c r="AQ425" s="15">
        <f t="shared" si="268"/>
        <v>22.170849845882874</v>
      </c>
      <c r="AR425" s="75">
        <f>AQ425*(1-PARAM!$C$27)*$I$13+(MOD($B425,60)=PARAM!$B$56)*($B425&gt;(60-PARAM!$B$56))*HLOOKUP(($B425+PARAM!$B$56)/12,Loyalty,2)*$F$1*MAX(AT424,0)</f>
        <v>18.557001321003963</v>
      </c>
      <c r="AS425" s="75">
        <f>PARAM!$C$26+MAX($G$13-CHOOSE(PARAM!$B$44,MAX(0,AT424*$F$1),0),0)*RATES!$L401/12+$H$13*(PARAM!$D$51/12)*RATES!$N401/100</f>
        <v>61.625</v>
      </c>
      <c r="AT425" s="16">
        <f t="shared" si="294"/>
        <v>-2032.513165122652</v>
      </c>
      <c r="AU425" s="15">
        <f t="shared" si="269"/>
        <v>22.170849845882874</v>
      </c>
      <c r="AV425" s="75">
        <f>AU425*(1-PARAM!$C$27)*$I$14+(MOD($B425,60)=PARAM!$B$56)*($B425&gt;(60-PARAM!$B$56))*HLOOKUP(($B425+PARAM!$B$56)/12,Loyalty,2)*$F$1*MAX(AX424,0)</f>
        <v>18.557001321003963</v>
      </c>
      <c r="AW425" s="75">
        <f>PARAM!$C$26+MAX($G$14-CHOOSE(PARAM!$B$44,MAX(0,AX424*$F$1),0),0)*RATES!$L401/12+$H$14*(PARAM!$D$51/12)*RATES!$N401/100</f>
        <v>61.625</v>
      </c>
      <c r="AX425" s="16">
        <f t="shared" si="295"/>
        <v>-2032.513165122652</v>
      </c>
      <c r="AY425" s="15">
        <f t="shared" si="270"/>
        <v>22.170849845882874</v>
      </c>
      <c r="AZ425" s="75">
        <f>AY425*(1-PARAM!$C$27)*$I$15+(MOD($B425,60)=PARAM!$B$56)*($B425&gt;(60-PARAM!$B$56))*HLOOKUP(($B425+PARAM!$B$56)/12,Loyalty,2)*$F$1*MAX(BB424,0)</f>
        <v>18.557001321003963</v>
      </c>
      <c r="BA425" s="75">
        <f>PARAM!$C$26+MAX($G$15-CHOOSE(PARAM!$B$44,MAX(0,BB424*$F$1),0),0)*RATES!$L401/12+$H$15*(PARAM!$D$51/12)*RATES!$N401/100</f>
        <v>61.625</v>
      </c>
      <c r="BB425" s="16">
        <f t="shared" si="296"/>
        <v>-2032.513165122652</v>
      </c>
      <c r="BC425" s="15">
        <f t="shared" si="271"/>
        <v>22.170849845882874</v>
      </c>
      <c r="BD425" s="75">
        <f>BC425*(1-PARAM!$C$27)*$I$16+(MOD($B425,60)=PARAM!$B$56)*($B425&gt;(60-PARAM!$B$56))*HLOOKUP(($B425+PARAM!$B$56)/12,Loyalty,2)*$F$1*MAX(BF424,0)</f>
        <v>18.557001321003963</v>
      </c>
      <c r="BE425" s="75">
        <f>PARAM!$C$26+MAX($G$16-CHOOSE(PARAM!$B$44,MAX(0,BF424*$F$1),0),0)*RATES!$L401/12+$H$16*(PARAM!$D$51/12)*RATES!$N401/100</f>
        <v>61.625</v>
      </c>
      <c r="BF425" s="16">
        <f t="shared" si="297"/>
        <v>-2032.513165122652</v>
      </c>
      <c r="BG425" s="15">
        <f t="shared" si="272"/>
        <v>22.170849845882874</v>
      </c>
      <c r="BH425" s="75">
        <f>BG425*(1-PARAM!$C$27)*$I$17+(MOD($B425,60)=PARAM!$B$56)*($B425&gt;(60-PARAM!$B$56))*HLOOKUP(($B425+PARAM!$B$56)/12,Loyalty,2)*$F$1*MAX(BJ424,0)</f>
        <v>18.557001321003963</v>
      </c>
      <c r="BI425" s="75">
        <f>PARAM!$C$26+MAX($G$17-CHOOSE(PARAM!$B$44,MAX(0,BJ424*$F$1),0),0)*RATES!$L401/12+$H$17*(PARAM!$D$51/12)*RATES!$N401/100</f>
        <v>61.625</v>
      </c>
      <c r="BJ425" s="16">
        <f t="shared" si="298"/>
        <v>-2032.513165122652</v>
      </c>
      <c r="BK425" s="15">
        <f t="shared" si="273"/>
        <v>22.170849845882874</v>
      </c>
      <c r="BL425" s="75">
        <f>BK425*(1-PARAM!$C$27)*$I$18+(MOD($B425,60)=PARAM!$B$56)*($B425&gt;(60-PARAM!$B$56))*HLOOKUP(($B425+PARAM!$B$56)/12,Loyalty,2)*$F$1*MAX(BN424,0)</f>
        <v>18.557001321003963</v>
      </c>
      <c r="BM425" s="75">
        <f>PARAM!$C$26+MAX($G$18-CHOOSE(PARAM!$B$44,MAX(0,BN424*$F$1),0),0)*RATES!$L401/12+$H$18*(PARAM!$D$51/12)*RATES!$N401/100</f>
        <v>61.625</v>
      </c>
      <c r="BN425" s="16">
        <f t="shared" si="299"/>
        <v>-2032.513165122652</v>
      </c>
      <c r="BO425" s="15">
        <f t="shared" si="274"/>
        <v>22.170849845882874</v>
      </c>
      <c r="BP425" s="75">
        <f>BO425*(1-PARAM!$C$27)*$I$19+(MOD($B425,60)=PARAM!$B$56)*($B425&gt;(60-PARAM!$B$56))*HLOOKUP(($B425+PARAM!$B$56)/12,Loyalty,2)*$F$1*MAX(BR424,0)</f>
        <v>18.557001321003963</v>
      </c>
      <c r="BQ425" s="75">
        <f>PARAM!$C$26+MAX($G$19-CHOOSE(PARAM!$B$44,MAX(0,BR424*$F$1),0),0)*RATES!$L401/12+$H$19*(PARAM!$D$51/12)*RATES!$N401/100</f>
        <v>61.625</v>
      </c>
      <c r="BR425" s="16">
        <f t="shared" si="300"/>
        <v>-2032.513165122652</v>
      </c>
      <c r="BS425" s="15">
        <f t="shared" si="275"/>
        <v>22.170849845882874</v>
      </c>
      <c r="BT425" s="75">
        <f>BS425*(1-PARAM!$C$27)*$I$20+(MOD($B425,60)=PARAM!$B$56)*($B425&gt;(60-PARAM!$B$56))*HLOOKUP(($B425+PARAM!$B$56)/12,Loyalty,2)*$F$1*MAX(BV424,0)</f>
        <v>18.557001321003963</v>
      </c>
      <c r="BU425" s="75">
        <f>PARAM!$C$26+MAX($G$20-CHOOSE(PARAM!$B$44,MAX(0,BV424*$F$1),0),0)*RATES!$L401/12+$H$20*(PARAM!$D$51/12)*RATES!$N401/100</f>
        <v>61.625</v>
      </c>
      <c r="BV425" s="16">
        <f t="shared" si="301"/>
        <v>-2032.513165122652</v>
      </c>
      <c r="BW425" s="15">
        <f t="shared" si="276"/>
        <v>22.170849845882874</v>
      </c>
      <c r="BX425" s="75">
        <f>BW425*(1-PARAM!$C$27)*$I$21+(MOD($B425,60)=PARAM!$B$56)*($B425&gt;(60-PARAM!$B$56))*HLOOKUP(($B425+PARAM!$B$56)/12,Loyalty,2)*$F$1*MAX(BZ424,0)</f>
        <v>18.557001321003963</v>
      </c>
      <c r="BY425" s="75">
        <f>PARAM!$C$26+MAX($G$21-CHOOSE(PARAM!$B$44,MAX(0,BZ424*$F$1),0),0)*RATES!$L401/12+$H$21*(PARAM!$D$51/12)*RATES!$N401/100</f>
        <v>61.625</v>
      </c>
      <c r="BZ425" s="16">
        <f t="shared" si="302"/>
        <v>-2032.513165122652</v>
      </c>
      <c r="CA425" s="15">
        <f t="shared" si="277"/>
        <v>22.170849845882874</v>
      </c>
      <c r="CB425" s="75">
        <f>CA425*(1-PARAM!$C$27)*$I$22+(MOD($B425,60)=PARAM!$B$56)*($B425&gt;(60-PARAM!$B$56))*HLOOKUP(($B425+PARAM!$B$56)/12,Loyalty,2)*$F$1*MAX(CD424,0)</f>
        <v>18.557001321003963</v>
      </c>
      <c r="CC425" s="75">
        <f>PARAM!$C$26+MAX($G$22-CHOOSE(PARAM!$B$44,MAX(0,CD424*$F$1),0),0)*RATES!$L401/12+$H$22*(PARAM!$D$51/12)*RATES!$N401/100</f>
        <v>61.625</v>
      </c>
      <c r="CD425" s="16">
        <f t="shared" si="303"/>
        <v>-2032.513165122652</v>
      </c>
      <c r="CE425" s="33">
        <f>IF(0=MOD(B425,12/PARAM!$D$51),1,0)</f>
        <v>1</v>
      </c>
      <c r="CF425" s="15">
        <f t="shared" si="278"/>
        <v>0</v>
      </c>
      <c r="CG425" s="75">
        <f>CF425*(1-PARAM!$C$27)*$R$3+(MOD($B425/12,5)=0)*($B425&gt;60)*HLOOKUP($B425/12,Loyalty,2)*$F$1*MAX(CI424,0)</f>
        <v>0</v>
      </c>
      <c r="CH425" s="75">
        <f>PARAM!$C$26+MAX($P$3-CHOOSE(PARAM!$B$44,MAX(0,CI424*$F$1),0),0)*RATES!$L401/12+$Q$3*(PARAM!$D$51/12)*RATES!$N401/100</f>
        <v>61.625</v>
      </c>
      <c r="CI425" s="16">
        <f>IF(CI424&gt;0,CI424*PARAM!$C$53,CI424)+CG425-CH425</f>
        <v>-9298.6249999999873</v>
      </c>
      <c r="CJ425" s="15">
        <f t="shared" si="304"/>
        <v>0</v>
      </c>
      <c r="CK425" s="75">
        <f>CJ425*(1-PARAM!$C$27)*$R$4+(MOD($B425/12,5)=0)*($B425&gt;60)*HLOOKUP($B425/12,Loyalty,2)*$F$1*MAX(CM424,0)</f>
        <v>0</v>
      </c>
      <c r="CL425" s="75">
        <f>PARAM!$C$26+MAX($P$4-CHOOSE(PARAM!$B$44,MAX(0,CM424*$F$1),0),0)*RATES!$L401/12+$Q$4*(PARAM!$D$51/12)*RATES!$N401/100</f>
        <v>61.625</v>
      </c>
      <c r="CM425" s="16">
        <f>IF(CM424&gt;0,CM424*PARAM!$C$53,CM424)+CK425-CL425</f>
        <v>-9298.6249999999873</v>
      </c>
      <c r="CO425" s="176"/>
    </row>
    <row r="426" spans="1:93" x14ac:dyDescent="0.2">
      <c r="A426" t="b">
        <f t="shared" si="279"/>
        <v>0</v>
      </c>
      <c r="B426" s="33">
        <v>399</v>
      </c>
      <c r="C426" s="15">
        <f t="shared" si="280"/>
        <v>20.081305947392778</v>
      </c>
      <c r="D426" s="75">
        <f>C426*(1-PARAM!$C$27)*$I$3+(MOD($B426,60)=PARAM!$B$56)*($B426&gt;(60-PARAM!$B$56))*HLOOKUP(($B426+PARAM!$B$56)/12,Loyalty,2)*$F$1*MAX(F425,0)</f>
        <v>16.808053077967756</v>
      </c>
      <c r="E426" s="75">
        <f>PARAM!$C$26+MAX($G$3-CHOOSE(PARAM!$B$44,MAX(0,F425*$F$1),0),0)*RATES!$L402/12+$H$3*(PARAM!$D$51/12)*RATES!$N402/100</f>
        <v>61.625</v>
      </c>
      <c r="F426" s="16">
        <f t="shared" si="281"/>
        <v>-2810.2620132946022</v>
      </c>
      <c r="G426" s="15">
        <f t="shared" si="282"/>
        <v>22.035289406060361</v>
      </c>
      <c r="H426" s="75">
        <f>G426*(1-PARAM!$C$27)*$I$4+(MOD($B426,60)=PARAM!$B$56)*($B426&gt;(60-PARAM!$B$56))*HLOOKUP(($B426+PARAM!$B$56)/12,Loyalty,2)*$F$1*MAX(J425,0)</f>
        <v>18.443537232872522</v>
      </c>
      <c r="I426" s="75">
        <f>PARAM!$C$26+MAX($G$4-CHOOSE(PARAM!$B$44,MAX(0,J425*$F$1),0),0)*RATES!$L402/12+$H$4*(PARAM!$D$51/12)*RATES!$N402/100</f>
        <v>61.625</v>
      </c>
      <c r="J426" s="16">
        <f t="shared" si="283"/>
        <v>-2123.8708713658875</v>
      </c>
      <c r="K426" s="15">
        <f t="shared" si="284"/>
        <v>22.170849845882874</v>
      </c>
      <c r="L426" s="75">
        <f>K426*(1-PARAM!$C$27)*$I$5+(MOD($B426,60)=PARAM!$B$56)*($B426&gt;(60-PARAM!$B$56))*HLOOKUP(($B426+PARAM!$B$56)/12,Loyalty,2)*$F$1*MAX(N425,0)</f>
        <v>18.557001321003963</v>
      </c>
      <c r="M426" s="75">
        <f>PARAM!$C$26+MAX($G$5-CHOOSE(PARAM!$B$44,MAX(0,N425*$F$1),0),0)*RATES!$L402/12+$H$5*(PARAM!$D$51/12)*RATES!$N402/100</f>
        <v>61.625</v>
      </c>
      <c r="N426" s="16">
        <f t="shared" si="285"/>
        <v>-2075.581163801648</v>
      </c>
      <c r="O426" s="15">
        <f t="shared" si="286"/>
        <v>22.170849845882874</v>
      </c>
      <c r="P426" s="75">
        <f>O426*(1-PARAM!$C$27)*$I$6+(MOD($B426,60)=PARAM!$B$56)*($B426&gt;(60-PARAM!$B$56))*HLOOKUP(($B426+PARAM!$B$56)/12,Loyalty,2)*$F$1*MAX(R425,0)</f>
        <v>18.557001321003963</v>
      </c>
      <c r="Q426" s="75">
        <f>PARAM!$C$26+MAX($G$6-CHOOSE(PARAM!$B$44,MAX(0,R425*$F$1),0),0)*RATES!$L402/12+$H$6*(PARAM!$D$51/12)*RATES!$N402/100</f>
        <v>61.625</v>
      </c>
      <c r="R426" s="16">
        <f t="shared" si="287"/>
        <v>-2075.581163801648</v>
      </c>
      <c r="S426" s="15">
        <f t="shared" si="262"/>
        <v>22.170849845882874</v>
      </c>
      <c r="T426" s="75">
        <f>S426*(1-PARAM!$C$27)*$I$7+(MOD($B426,60)=PARAM!$B$56)*($B426&gt;(60-PARAM!$B$56))*HLOOKUP(($B426+PARAM!$B$56)/12,Loyalty,2)*$F$1*MAX(V425,0)</f>
        <v>18.557001321003963</v>
      </c>
      <c r="U426" s="75">
        <f>PARAM!$C$26+MAX($G$7-CHOOSE(PARAM!$B$44,MAX(0,V425*$F$1),0),0)*RATES!$L402/12+$H$7*(PARAM!$D$51/12)*RATES!$N402/100</f>
        <v>61.625</v>
      </c>
      <c r="V426" s="16">
        <f t="shared" si="288"/>
        <v>-2075.581163801648</v>
      </c>
      <c r="W426" s="15">
        <f t="shared" si="263"/>
        <v>22.170849845882874</v>
      </c>
      <c r="X426" s="75">
        <f>W426*(1-PARAM!$C$27)*$I$8+(MOD($B426,60)=PARAM!$B$56)*($B426&gt;(60-PARAM!$B$56))*HLOOKUP(($B426+PARAM!$B$56)/12,Loyalty,2)*$F$1*MAX(Z425,0)</f>
        <v>18.557001321003963</v>
      </c>
      <c r="Y426" s="75">
        <f>PARAM!$C$26+MAX($G$8-CHOOSE(PARAM!$B$44,MAX(0,Z425*$F$1),0),0)*RATES!$L402/12+$H$8*(PARAM!$D$51/12)*RATES!$N402/100</f>
        <v>61.625</v>
      </c>
      <c r="Z426" s="16">
        <f t="shared" si="289"/>
        <v>-2075.581163801648</v>
      </c>
      <c r="AA426" s="15">
        <f t="shared" si="264"/>
        <v>22.170849845882874</v>
      </c>
      <c r="AB426" s="75">
        <f>AA426*(1-PARAM!$C$27)*$I$9+(MOD($B426,60)=PARAM!$B$56)*($B426&gt;(60-PARAM!$B$56))*HLOOKUP(($B426+PARAM!$B$56)/12,Loyalty,2)*$F$1*MAX(AD425,0)</f>
        <v>18.557001321003963</v>
      </c>
      <c r="AC426" s="75">
        <f>PARAM!$C$26+MAX($G$9-CHOOSE(PARAM!$B$44,MAX(0,AD425*$F$1),0),0)*RATES!$L402/12+$H$9*(PARAM!$D$51/12)*RATES!$N402/100</f>
        <v>61.625</v>
      </c>
      <c r="AD426" s="16">
        <f t="shared" si="290"/>
        <v>-2075.581163801648</v>
      </c>
      <c r="AE426" s="15">
        <f t="shared" si="265"/>
        <v>22.170849845882874</v>
      </c>
      <c r="AF426" s="75">
        <f>AE426*(1-PARAM!$C$27)*$I$10+(MOD($B426,60)=PARAM!$B$56)*($B426&gt;(60-PARAM!$B$56))*HLOOKUP(($B426+PARAM!$B$56)/12,Loyalty,2)*$F$1*MAX(AH425,0)</f>
        <v>18.557001321003963</v>
      </c>
      <c r="AG426" s="75">
        <f>PARAM!$C$26+MAX($G$10-CHOOSE(PARAM!$B$44,MAX(0,AH425*$F$1),0),0)*RATES!$L402/12+$H$10*(PARAM!$D$51/12)*RATES!$N402/100</f>
        <v>61.625</v>
      </c>
      <c r="AH426" s="16">
        <f t="shared" si="291"/>
        <v>-2075.581163801648</v>
      </c>
      <c r="AI426" s="15">
        <f t="shared" si="266"/>
        <v>22.170849845882874</v>
      </c>
      <c r="AJ426" s="75">
        <f>AI426*(1-PARAM!$C$27)*$I$11+(MOD($B426,60)=PARAM!$B$56)*($B426&gt;(60-PARAM!$B$56))*HLOOKUP(($B426+PARAM!$B$56)/12,Loyalty,2)*$F$1*MAX(AL425,0)</f>
        <v>18.557001321003963</v>
      </c>
      <c r="AK426" s="75">
        <f>PARAM!$C$26+MAX($G$11-CHOOSE(PARAM!$B$44,MAX(0,AL425*$F$1),0),0)*RATES!$L402/12+$H$11*(PARAM!$D$51/12)*RATES!$N402/100</f>
        <v>61.625</v>
      </c>
      <c r="AL426" s="16">
        <f t="shared" si="292"/>
        <v>-2075.581163801648</v>
      </c>
      <c r="AM426" s="15">
        <f t="shared" si="267"/>
        <v>22.170849845882874</v>
      </c>
      <c r="AN426" s="75">
        <f>AM426*(1-PARAM!$C$27)*$I$12+(MOD($B426,60)=PARAM!$B$56)*($B426&gt;(60-PARAM!$B$56))*HLOOKUP(($B426+PARAM!$B$56)/12,Loyalty,2)*$F$1*MAX(AP425,0)</f>
        <v>18.557001321003963</v>
      </c>
      <c r="AO426" s="75">
        <f>PARAM!$C$26+MAX($G$12-CHOOSE(PARAM!$B$44,MAX(0,AP425*$F$1),0),0)*RATES!$L402/12+$H$12*(PARAM!$D$51/12)*RATES!$N402/100</f>
        <v>61.625</v>
      </c>
      <c r="AP426" s="16">
        <f t="shared" si="293"/>
        <v>-2075.581163801648</v>
      </c>
      <c r="AQ426" s="15">
        <f t="shared" si="268"/>
        <v>22.170849845882874</v>
      </c>
      <c r="AR426" s="75">
        <f>AQ426*(1-PARAM!$C$27)*$I$13+(MOD($B426,60)=PARAM!$B$56)*($B426&gt;(60-PARAM!$B$56))*HLOOKUP(($B426+PARAM!$B$56)/12,Loyalty,2)*$F$1*MAX(AT425,0)</f>
        <v>18.557001321003963</v>
      </c>
      <c r="AS426" s="75">
        <f>PARAM!$C$26+MAX($G$13-CHOOSE(PARAM!$B$44,MAX(0,AT425*$F$1),0),0)*RATES!$L402/12+$H$13*(PARAM!$D$51/12)*RATES!$N402/100</f>
        <v>61.625</v>
      </c>
      <c r="AT426" s="16">
        <f t="shared" si="294"/>
        <v>-2075.581163801648</v>
      </c>
      <c r="AU426" s="15">
        <f t="shared" si="269"/>
        <v>22.170849845882874</v>
      </c>
      <c r="AV426" s="75">
        <f>AU426*(1-PARAM!$C$27)*$I$14+(MOD($B426,60)=PARAM!$B$56)*($B426&gt;(60-PARAM!$B$56))*HLOOKUP(($B426+PARAM!$B$56)/12,Loyalty,2)*$F$1*MAX(AX425,0)</f>
        <v>18.557001321003963</v>
      </c>
      <c r="AW426" s="75">
        <f>PARAM!$C$26+MAX($G$14-CHOOSE(PARAM!$B$44,MAX(0,AX425*$F$1),0),0)*RATES!$L402/12+$H$14*(PARAM!$D$51/12)*RATES!$N402/100</f>
        <v>61.625</v>
      </c>
      <c r="AX426" s="16">
        <f t="shared" si="295"/>
        <v>-2075.581163801648</v>
      </c>
      <c r="AY426" s="15">
        <f t="shared" si="270"/>
        <v>22.170849845882874</v>
      </c>
      <c r="AZ426" s="75">
        <f>AY426*(1-PARAM!$C$27)*$I$15+(MOD($B426,60)=PARAM!$B$56)*($B426&gt;(60-PARAM!$B$56))*HLOOKUP(($B426+PARAM!$B$56)/12,Loyalty,2)*$F$1*MAX(BB425,0)</f>
        <v>18.557001321003963</v>
      </c>
      <c r="BA426" s="75">
        <f>PARAM!$C$26+MAX($G$15-CHOOSE(PARAM!$B$44,MAX(0,BB425*$F$1),0),0)*RATES!$L402/12+$H$15*(PARAM!$D$51/12)*RATES!$N402/100</f>
        <v>61.625</v>
      </c>
      <c r="BB426" s="16">
        <f t="shared" si="296"/>
        <v>-2075.581163801648</v>
      </c>
      <c r="BC426" s="15">
        <f t="shared" si="271"/>
        <v>22.170849845882874</v>
      </c>
      <c r="BD426" s="75">
        <f>BC426*(1-PARAM!$C$27)*$I$16+(MOD($B426,60)=PARAM!$B$56)*($B426&gt;(60-PARAM!$B$56))*HLOOKUP(($B426+PARAM!$B$56)/12,Loyalty,2)*$F$1*MAX(BF425,0)</f>
        <v>18.557001321003963</v>
      </c>
      <c r="BE426" s="75">
        <f>PARAM!$C$26+MAX($G$16-CHOOSE(PARAM!$B$44,MAX(0,BF425*$F$1),0),0)*RATES!$L402/12+$H$16*(PARAM!$D$51/12)*RATES!$N402/100</f>
        <v>61.625</v>
      </c>
      <c r="BF426" s="16">
        <f t="shared" si="297"/>
        <v>-2075.581163801648</v>
      </c>
      <c r="BG426" s="15">
        <f t="shared" si="272"/>
        <v>22.170849845882874</v>
      </c>
      <c r="BH426" s="75">
        <f>BG426*(1-PARAM!$C$27)*$I$17+(MOD($B426,60)=PARAM!$B$56)*($B426&gt;(60-PARAM!$B$56))*HLOOKUP(($B426+PARAM!$B$56)/12,Loyalty,2)*$F$1*MAX(BJ425,0)</f>
        <v>18.557001321003963</v>
      </c>
      <c r="BI426" s="75">
        <f>PARAM!$C$26+MAX($G$17-CHOOSE(PARAM!$B$44,MAX(0,BJ425*$F$1),0),0)*RATES!$L402/12+$H$17*(PARAM!$D$51/12)*RATES!$N402/100</f>
        <v>61.625</v>
      </c>
      <c r="BJ426" s="16">
        <f t="shared" si="298"/>
        <v>-2075.581163801648</v>
      </c>
      <c r="BK426" s="15">
        <f t="shared" si="273"/>
        <v>22.170849845882874</v>
      </c>
      <c r="BL426" s="75">
        <f>BK426*(1-PARAM!$C$27)*$I$18+(MOD($B426,60)=PARAM!$B$56)*($B426&gt;(60-PARAM!$B$56))*HLOOKUP(($B426+PARAM!$B$56)/12,Loyalty,2)*$F$1*MAX(BN425,0)</f>
        <v>18.557001321003963</v>
      </c>
      <c r="BM426" s="75">
        <f>PARAM!$C$26+MAX($G$18-CHOOSE(PARAM!$B$44,MAX(0,BN425*$F$1),0),0)*RATES!$L402/12+$H$18*(PARAM!$D$51/12)*RATES!$N402/100</f>
        <v>61.625</v>
      </c>
      <c r="BN426" s="16">
        <f t="shared" si="299"/>
        <v>-2075.581163801648</v>
      </c>
      <c r="BO426" s="15">
        <f t="shared" si="274"/>
        <v>22.170849845882874</v>
      </c>
      <c r="BP426" s="75">
        <f>BO426*(1-PARAM!$C$27)*$I$19+(MOD($B426,60)=PARAM!$B$56)*($B426&gt;(60-PARAM!$B$56))*HLOOKUP(($B426+PARAM!$B$56)/12,Loyalty,2)*$F$1*MAX(BR425,0)</f>
        <v>18.557001321003963</v>
      </c>
      <c r="BQ426" s="75">
        <f>PARAM!$C$26+MAX($G$19-CHOOSE(PARAM!$B$44,MAX(0,BR425*$F$1),0),0)*RATES!$L402/12+$H$19*(PARAM!$D$51/12)*RATES!$N402/100</f>
        <v>61.625</v>
      </c>
      <c r="BR426" s="16">
        <f t="shared" si="300"/>
        <v>-2075.581163801648</v>
      </c>
      <c r="BS426" s="15">
        <f t="shared" si="275"/>
        <v>22.170849845882874</v>
      </c>
      <c r="BT426" s="75">
        <f>BS426*(1-PARAM!$C$27)*$I$20+(MOD($B426,60)=PARAM!$B$56)*($B426&gt;(60-PARAM!$B$56))*HLOOKUP(($B426+PARAM!$B$56)/12,Loyalty,2)*$F$1*MAX(BV425,0)</f>
        <v>18.557001321003963</v>
      </c>
      <c r="BU426" s="75">
        <f>PARAM!$C$26+MAX($G$20-CHOOSE(PARAM!$B$44,MAX(0,BV425*$F$1),0),0)*RATES!$L402/12+$H$20*(PARAM!$D$51/12)*RATES!$N402/100</f>
        <v>61.625</v>
      </c>
      <c r="BV426" s="16">
        <f t="shared" si="301"/>
        <v>-2075.581163801648</v>
      </c>
      <c r="BW426" s="15">
        <f t="shared" si="276"/>
        <v>22.170849845882874</v>
      </c>
      <c r="BX426" s="75">
        <f>BW426*(1-PARAM!$C$27)*$I$21+(MOD($B426,60)=PARAM!$B$56)*($B426&gt;(60-PARAM!$B$56))*HLOOKUP(($B426+PARAM!$B$56)/12,Loyalty,2)*$F$1*MAX(BZ425,0)</f>
        <v>18.557001321003963</v>
      </c>
      <c r="BY426" s="75">
        <f>PARAM!$C$26+MAX($G$21-CHOOSE(PARAM!$B$44,MAX(0,BZ425*$F$1),0),0)*RATES!$L402/12+$H$21*(PARAM!$D$51/12)*RATES!$N402/100</f>
        <v>61.625</v>
      </c>
      <c r="BZ426" s="16">
        <f t="shared" si="302"/>
        <v>-2075.581163801648</v>
      </c>
      <c r="CA426" s="15">
        <f t="shared" si="277"/>
        <v>22.170849845882874</v>
      </c>
      <c r="CB426" s="75">
        <f>CA426*(1-PARAM!$C$27)*$I$22+(MOD($B426,60)=PARAM!$B$56)*($B426&gt;(60-PARAM!$B$56))*HLOOKUP(($B426+PARAM!$B$56)/12,Loyalty,2)*$F$1*MAX(CD425,0)</f>
        <v>18.557001321003963</v>
      </c>
      <c r="CC426" s="75">
        <f>PARAM!$C$26+MAX($G$22-CHOOSE(PARAM!$B$44,MAX(0,CD425*$F$1),0),0)*RATES!$L402/12+$H$22*(PARAM!$D$51/12)*RATES!$N402/100</f>
        <v>61.625</v>
      </c>
      <c r="CD426" s="16">
        <f t="shared" si="303"/>
        <v>-2075.581163801648</v>
      </c>
      <c r="CE426" s="33">
        <f>IF(0=MOD(B426,12/PARAM!$D$51),1,0)</f>
        <v>1</v>
      </c>
      <c r="CF426" s="15">
        <f t="shared" si="278"/>
        <v>0</v>
      </c>
      <c r="CG426" s="75">
        <f>CF426*(1-PARAM!$C$27)*$R$3+(MOD($B426/12,5)=0)*($B426&gt;60)*HLOOKUP($B426/12,Loyalty,2)*$F$1*MAX(CI425,0)</f>
        <v>0</v>
      </c>
      <c r="CH426" s="75">
        <f>PARAM!$C$26+MAX($P$3-CHOOSE(PARAM!$B$44,MAX(0,CI425*$F$1),0),0)*RATES!$L402/12+$Q$3*(PARAM!$D$51/12)*RATES!$N402/100</f>
        <v>61.625</v>
      </c>
      <c r="CI426" s="16">
        <f>IF(CI425&gt;0,CI425*PARAM!$C$53,CI425)+CG426-CH426</f>
        <v>-9360.2499999999873</v>
      </c>
      <c r="CJ426" s="15">
        <f t="shared" si="304"/>
        <v>0</v>
      </c>
      <c r="CK426" s="75">
        <f>CJ426*(1-PARAM!$C$27)*$R$4+(MOD($B426/12,5)=0)*($B426&gt;60)*HLOOKUP($B426/12,Loyalty,2)*$F$1*MAX(CM425,0)</f>
        <v>0</v>
      </c>
      <c r="CL426" s="75">
        <f>PARAM!$C$26+MAX($P$4-CHOOSE(PARAM!$B$44,MAX(0,CM425*$F$1),0),0)*RATES!$L402/12+$Q$4*(PARAM!$D$51/12)*RATES!$N402/100</f>
        <v>61.625</v>
      </c>
      <c r="CM426" s="16">
        <f>IF(CM425&gt;0,CM425*PARAM!$C$53,CM425)+CK426-CL426</f>
        <v>-9360.2499999999873</v>
      </c>
      <c r="CO426" s="176"/>
    </row>
    <row r="427" spans="1:93" x14ac:dyDescent="0.2">
      <c r="A427" t="b">
        <f t="shared" si="279"/>
        <v>0</v>
      </c>
      <c r="B427" s="33">
        <v>400</v>
      </c>
      <c r="C427" s="15">
        <f t="shared" si="280"/>
        <v>20.081305947392778</v>
      </c>
      <c r="D427" s="75">
        <f>C427*(1-PARAM!$C$27)*$I$3+(MOD($B427,60)=PARAM!$B$56)*($B427&gt;(60-PARAM!$B$56))*HLOOKUP(($B427+PARAM!$B$56)/12,Loyalty,2)*$F$1*MAX(F426,0)</f>
        <v>16.808053077967756</v>
      </c>
      <c r="E427" s="75">
        <f>PARAM!$C$26+MAX($G$3-CHOOSE(PARAM!$B$44,MAX(0,F426*$F$1),0),0)*RATES!$L403/12+$H$3*(PARAM!$D$51/12)*RATES!$N403/100</f>
        <v>61.625</v>
      </c>
      <c r="F427" s="16">
        <f t="shared" si="281"/>
        <v>-2855.0789602166346</v>
      </c>
      <c r="G427" s="15">
        <f t="shared" si="282"/>
        <v>22.035289406060361</v>
      </c>
      <c r="H427" s="75">
        <f>G427*(1-PARAM!$C$27)*$I$4+(MOD($B427,60)=PARAM!$B$56)*($B427&gt;(60-PARAM!$B$56))*HLOOKUP(($B427+PARAM!$B$56)/12,Loyalty,2)*$F$1*MAX(J426,0)</f>
        <v>18.443537232872522</v>
      </c>
      <c r="I427" s="75">
        <f>PARAM!$C$26+MAX($G$4-CHOOSE(PARAM!$B$44,MAX(0,J426*$F$1),0),0)*RATES!$L403/12+$H$4*(PARAM!$D$51/12)*RATES!$N403/100</f>
        <v>61.625</v>
      </c>
      <c r="J427" s="16">
        <f t="shared" si="283"/>
        <v>-2167.0523341330149</v>
      </c>
      <c r="K427" s="15">
        <f t="shared" si="284"/>
        <v>22.170849845882874</v>
      </c>
      <c r="L427" s="75">
        <f>K427*(1-PARAM!$C$27)*$I$5+(MOD($B427,60)=PARAM!$B$56)*($B427&gt;(60-PARAM!$B$56))*HLOOKUP(($B427+PARAM!$B$56)/12,Loyalty,2)*$F$1*MAX(N426,0)</f>
        <v>18.557001321003963</v>
      </c>
      <c r="M427" s="75">
        <f>PARAM!$C$26+MAX($G$5-CHOOSE(PARAM!$B$44,MAX(0,N426*$F$1),0),0)*RATES!$L403/12+$H$5*(PARAM!$D$51/12)*RATES!$N403/100</f>
        <v>61.625</v>
      </c>
      <c r="N427" s="16">
        <f t="shared" si="285"/>
        <v>-2118.649162480644</v>
      </c>
      <c r="O427" s="15">
        <f t="shared" si="286"/>
        <v>22.170849845882874</v>
      </c>
      <c r="P427" s="75">
        <f>O427*(1-PARAM!$C$27)*$I$6+(MOD($B427,60)=PARAM!$B$56)*($B427&gt;(60-PARAM!$B$56))*HLOOKUP(($B427+PARAM!$B$56)/12,Loyalty,2)*$F$1*MAX(R426,0)</f>
        <v>18.557001321003963</v>
      </c>
      <c r="Q427" s="75">
        <f>PARAM!$C$26+MAX($G$6-CHOOSE(PARAM!$B$44,MAX(0,R426*$F$1),0),0)*RATES!$L403/12+$H$6*(PARAM!$D$51/12)*RATES!$N403/100</f>
        <v>61.625</v>
      </c>
      <c r="R427" s="16">
        <f t="shared" si="287"/>
        <v>-2118.649162480644</v>
      </c>
      <c r="S427" s="15">
        <f t="shared" si="262"/>
        <v>22.170849845882874</v>
      </c>
      <c r="T427" s="75">
        <f>S427*(1-PARAM!$C$27)*$I$7+(MOD($B427,60)=PARAM!$B$56)*($B427&gt;(60-PARAM!$B$56))*HLOOKUP(($B427+PARAM!$B$56)/12,Loyalty,2)*$F$1*MAX(V426,0)</f>
        <v>18.557001321003963</v>
      </c>
      <c r="U427" s="75">
        <f>PARAM!$C$26+MAX($G$7-CHOOSE(PARAM!$B$44,MAX(0,V426*$F$1),0),0)*RATES!$L403/12+$H$7*(PARAM!$D$51/12)*RATES!$N403/100</f>
        <v>61.625</v>
      </c>
      <c r="V427" s="16">
        <f t="shared" si="288"/>
        <v>-2118.649162480644</v>
      </c>
      <c r="W427" s="15">
        <f t="shared" si="263"/>
        <v>22.170849845882874</v>
      </c>
      <c r="X427" s="75">
        <f>W427*(1-PARAM!$C$27)*$I$8+(MOD($B427,60)=PARAM!$B$56)*($B427&gt;(60-PARAM!$B$56))*HLOOKUP(($B427+PARAM!$B$56)/12,Loyalty,2)*$F$1*MAX(Z426,0)</f>
        <v>18.557001321003963</v>
      </c>
      <c r="Y427" s="75">
        <f>PARAM!$C$26+MAX($G$8-CHOOSE(PARAM!$B$44,MAX(0,Z426*$F$1),0),0)*RATES!$L403/12+$H$8*(PARAM!$D$51/12)*RATES!$N403/100</f>
        <v>61.625</v>
      </c>
      <c r="Z427" s="16">
        <f t="shared" si="289"/>
        <v>-2118.649162480644</v>
      </c>
      <c r="AA427" s="15">
        <f t="shared" si="264"/>
        <v>22.170849845882874</v>
      </c>
      <c r="AB427" s="75">
        <f>AA427*(1-PARAM!$C$27)*$I$9+(MOD($B427,60)=PARAM!$B$56)*($B427&gt;(60-PARAM!$B$56))*HLOOKUP(($B427+PARAM!$B$56)/12,Loyalty,2)*$F$1*MAX(AD426,0)</f>
        <v>18.557001321003963</v>
      </c>
      <c r="AC427" s="75">
        <f>PARAM!$C$26+MAX($G$9-CHOOSE(PARAM!$B$44,MAX(0,AD426*$F$1),0),0)*RATES!$L403/12+$H$9*(PARAM!$D$51/12)*RATES!$N403/100</f>
        <v>61.625</v>
      </c>
      <c r="AD427" s="16">
        <f t="shared" si="290"/>
        <v>-2118.649162480644</v>
      </c>
      <c r="AE427" s="15">
        <f t="shared" si="265"/>
        <v>22.170849845882874</v>
      </c>
      <c r="AF427" s="75">
        <f>AE427*(1-PARAM!$C$27)*$I$10+(MOD($B427,60)=PARAM!$B$56)*($B427&gt;(60-PARAM!$B$56))*HLOOKUP(($B427+PARAM!$B$56)/12,Loyalty,2)*$F$1*MAX(AH426,0)</f>
        <v>18.557001321003963</v>
      </c>
      <c r="AG427" s="75">
        <f>PARAM!$C$26+MAX($G$10-CHOOSE(PARAM!$B$44,MAX(0,AH426*$F$1),0),0)*RATES!$L403/12+$H$10*(PARAM!$D$51/12)*RATES!$N403/100</f>
        <v>61.625</v>
      </c>
      <c r="AH427" s="16">
        <f t="shared" si="291"/>
        <v>-2118.649162480644</v>
      </c>
      <c r="AI427" s="15">
        <f t="shared" si="266"/>
        <v>22.170849845882874</v>
      </c>
      <c r="AJ427" s="75">
        <f>AI427*(1-PARAM!$C$27)*$I$11+(MOD($B427,60)=PARAM!$B$56)*($B427&gt;(60-PARAM!$B$56))*HLOOKUP(($B427+PARAM!$B$56)/12,Loyalty,2)*$F$1*MAX(AL426,0)</f>
        <v>18.557001321003963</v>
      </c>
      <c r="AK427" s="75">
        <f>PARAM!$C$26+MAX($G$11-CHOOSE(PARAM!$B$44,MAX(0,AL426*$F$1),0),0)*RATES!$L403/12+$H$11*(PARAM!$D$51/12)*RATES!$N403/100</f>
        <v>61.625</v>
      </c>
      <c r="AL427" s="16">
        <f t="shared" si="292"/>
        <v>-2118.649162480644</v>
      </c>
      <c r="AM427" s="15">
        <f t="shared" si="267"/>
        <v>22.170849845882874</v>
      </c>
      <c r="AN427" s="75">
        <f>AM427*(1-PARAM!$C$27)*$I$12+(MOD($B427,60)=PARAM!$B$56)*($B427&gt;(60-PARAM!$B$56))*HLOOKUP(($B427+PARAM!$B$56)/12,Loyalty,2)*$F$1*MAX(AP426,0)</f>
        <v>18.557001321003963</v>
      </c>
      <c r="AO427" s="75">
        <f>PARAM!$C$26+MAX($G$12-CHOOSE(PARAM!$B$44,MAX(0,AP426*$F$1),0),0)*RATES!$L403/12+$H$12*(PARAM!$D$51/12)*RATES!$N403/100</f>
        <v>61.625</v>
      </c>
      <c r="AP427" s="16">
        <f t="shared" si="293"/>
        <v>-2118.649162480644</v>
      </c>
      <c r="AQ427" s="15">
        <f t="shared" si="268"/>
        <v>22.170849845882874</v>
      </c>
      <c r="AR427" s="75">
        <f>AQ427*(1-PARAM!$C$27)*$I$13+(MOD($B427,60)=PARAM!$B$56)*($B427&gt;(60-PARAM!$B$56))*HLOOKUP(($B427+PARAM!$B$56)/12,Loyalty,2)*$F$1*MAX(AT426,0)</f>
        <v>18.557001321003963</v>
      </c>
      <c r="AS427" s="75">
        <f>PARAM!$C$26+MAX($G$13-CHOOSE(PARAM!$B$44,MAX(0,AT426*$F$1),0),0)*RATES!$L403/12+$H$13*(PARAM!$D$51/12)*RATES!$N403/100</f>
        <v>61.625</v>
      </c>
      <c r="AT427" s="16">
        <f t="shared" si="294"/>
        <v>-2118.649162480644</v>
      </c>
      <c r="AU427" s="15">
        <f t="shared" si="269"/>
        <v>22.170849845882874</v>
      </c>
      <c r="AV427" s="75">
        <f>AU427*(1-PARAM!$C$27)*$I$14+(MOD($B427,60)=PARAM!$B$56)*($B427&gt;(60-PARAM!$B$56))*HLOOKUP(($B427+PARAM!$B$56)/12,Loyalty,2)*$F$1*MAX(AX426,0)</f>
        <v>18.557001321003963</v>
      </c>
      <c r="AW427" s="75">
        <f>PARAM!$C$26+MAX($G$14-CHOOSE(PARAM!$B$44,MAX(0,AX426*$F$1),0),0)*RATES!$L403/12+$H$14*(PARAM!$D$51/12)*RATES!$N403/100</f>
        <v>61.625</v>
      </c>
      <c r="AX427" s="16">
        <f t="shared" si="295"/>
        <v>-2118.649162480644</v>
      </c>
      <c r="AY427" s="15">
        <f t="shared" si="270"/>
        <v>22.170849845882874</v>
      </c>
      <c r="AZ427" s="75">
        <f>AY427*(1-PARAM!$C$27)*$I$15+(MOD($B427,60)=PARAM!$B$56)*($B427&gt;(60-PARAM!$B$56))*HLOOKUP(($B427+PARAM!$B$56)/12,Loyalty,2)*$F$1*MAX(BB426,0)</f>
        <v>18.557001321003963</v>
      </c>
      <c r="BA427" s="75">
        <f>PARAM!$C$26+MAX($G$15-CHOOSE(PARAM!$B$44,MAX(0,BB426*$F$1),0),0)*RATES!$L403/12+$H$15*(PARAM!$D$51/12)*RATES!$N403/100</f>
        <v>61.625</v>
      </c>
      <c r="BB427" s="16">
        <f t="shared" si="296"/>
        <v>-2118.649162480644</v>
      </c>
      <c r="BC427" s="15">
        <f t="shared" si="271"/>
        <v>22.170849845882874</v>
      </c>
      <c r="BD427" s="75">
        <f>BC427*(1-PARAM!$C$27)*$I$16+(MOD($B427,60)=PARAM!$B$56)*($B427&gt;(60-PARAM!$B$56))*HLOOKUP(($B427+PARAM!$B$56)/12,Loyalty,2)*$F$1*MAX(BF426,0)</f>
        <v>18.557001321003963</v>
      </c>
      <c r="BE427" s="75">
        <f>PARAM!$C$26+MAX($G$16-CHOOSE(PARAM!$B$44,MAX(0,BF426*$F$1),0),0)*RATES!$L403/12+$H$16*(PARAM!$D$51/12)*RATES!$N403/100</f>
        <v>61.625</v>
      </c>
      <c r="BF427" s="16">
        <f t="shared" si="297"/>
        <v>-2118.649162480644</v>
      </c>
      <c r="BG427" s="15">
        <f t="shared" si="272"/>
        <v>22.170849845882874</v>
      </c>
      <c r="BH427" s="75">
        <f>BG427*(1-PARAM!$C$27)*$I$17+(MOD($B427,60)=PARAM!$B$56)*($B427&gt;(60-PARAM!$B$56))*HLOOKUP(($B427+PARAM!$B$56)/12,Loyalty,2)*$F$1*MAX(BJ426,0)</f>
        <v>18.557001321003963</v>
      </c>
      <c r="BI427" s="75">
        <f>PARAM!$C$26+MAX($G$17-CHOOSE(PARAM!$B$44,MAX(0,BJ426*$F$1),0),0)*RATES!$L403/12+$H$17*(PARAM!$D$51/12)*RATES!$N403/100</f>
        <v>61.625</v>
      </c>
      <c r="BJ427" s="16">
        <f t="shared" si="298"/>
        <v>-2118.649162480644</v>
      </c>
      <c r="BK427" s="15">
        <f t="shared" si="273"/>
        <v>22.170849845882874</v>
      </c>
      <c r="BL427" s="75">
        <f>BK427*(1-PARAM!$C$27)*$I$18+(MOD($B427,60)=PARAM!$B$56)*($B427&gt;(60-PARAM!$B$56))*HLOOKUP(($B427+PARAM!$B$56)/12,Loyalty,2)*$F$1*MAX(BN426,0)</f>
        <v>18.557001321003963</v>
      </c>
      <c r="BM427" s="75">
        <f>PARAM!$C$26+MAX($G$18-CHOOSE(PARAM!$B$44,MAX(0,BN426*$F$1),0),0)*RATES!$L403/12+$H$18*(PARAM!$D$51/12)*RATES!$N403/100</f>
        <v>61.625</v>
      </c>
      <c r="BN427" s="16">
        <f t="shared" si="299"/>
        <v>-2118.649162480644</v>
      </c>
      <c r="BO427" s="15">
        <f t="shared" si="274"/>
        <v>22.170849845882874</v>
      </c>
      <c r="BP427" s="75">
        <f>BO427*(1-PARAM!$C$27)*$I$19+(MOD($B427,60)=PARAM!$B$56)*($B427&gt;(60-PARAM!$B$56))*HLOOKUP(($B427+PARAM!$B$56)/12,Loyalty,2)*$F$1*MAX(BR426,0)</f>
        <v>18.557001321003963</v>
      </c>
      <c r="BQ427" s="75">
        <f>PARAM!$C$26+MAX($G$19-CHOOSE(PARAM!$B$44,MAX(0,BR426*$F$1),0),0)*RATES!$L403/12+$H$19*(PARAM!$D$51/12)*RATES!$N403/100</f>
        <v>61.625</v>
      </c>
      <c r="BR427" s="16">
        <f t="shared" si="300"/>
        <v>-2118.649162480644</v>
      </c>
      <c r="BS427" s="15">
        <f t="shared" si="275"/>
        <v>22.170849845882874</v>
      </c>
      <c r="BT427" s="75">
        <f>BS427*(1-PARAM!$C$27)*$I$20+(MOD($B427,60)=PARAM!$B$56)*($B427&gt;(60-PARAM!$B$56))*HLOOKUP(($B427+PARAM!$B$56)/12,Loyalty,2)*$F$1*MAX(BV426,0)</f>
        <v>18.557001321003963</v>
      </c>
      <c r="BU427" s="75">
        <f>PARAM!$C$26+MAX($G$20-CHOOSE(PARAM!$B$44,MAX(0,BV426*$F$1),0),0)*RATES!$L403/12+$H$20*(PARAM!$D$51/12)*RATES!$N403/100</f>
        <v>61.625</v>
      </c>
      <c r="BV427" s="16">
        <f t="shared" si="301"/>
        <v>-2118.649162480644</v>
      </c>
      <c r="BW427" s="15">
        <f t="shared" si="276"/>
        <v>22.170849845882874</v>
      </c>
      <c r="BX427" s="75">
        <f>BW427*(1-PARAM!$C$27)*$I$21+(MOD($B427,60)=PARAM!$B$56)*($B427&gt;(60-PARAM!$B$56))*HLOOKUP(($B427+PARAM!$B$56)/12,Loyalty,2)*$F$1*MAX(BZ426,0)</f>
        <v>18.557001321003963</v>
      </c>
      <c r="BY427" s="75">
        <f>PARAM!$C$26+MAX($G$21-CHOOSE(PARAM!$B$44,MAX(0,BZ426*$F$1),0),0)*RATES!$L403/12+$H$21*(PARAM!$D$51/12)*RATES!$N403/100</f>
        <v>61.625</v>
      </c>
      <c r="BZ427" s="16">
        <f t="shared" si="302"/>
        <v>-2118.649162480644</v>
      </c>
      <c r="CA427" s="15">
        <f t="shared" si="277"/>
        <v>22.170849845882874</v>
      </c>
      <c r="CB427" s="75">
        <f>CA427*(1-PARAM!$C$27)*$I$22+(MOD($B427,60)=PARAM!$B$56)*($B427&gt;(60-PARAM!$B$56))*HLOOKUP(($B427+PARAM!$B$56)/12,Loyalty,2)*$F$1*MAX(CD426,0)</f>
        <v>18.557001321003963</v>
      </c>
      <c r="CC427" s="75">
        <f>PARAM!$C$26+MAX($G$22-CHOOSE(PARAM!$B$44,MAX(0,CD426*$F$1),0),0)*RATES!$L403/12+$H$22*(PARAM!$D$51/12)*RATES!$N403/100</f>
        <v>61.625</v>
      </c>
      <c r="CD427" s="16">
        <f t="shared" si="303"/>
        <v>-2118.649162480644</v>
      </c>
      <c r="CE427" s="33">
        <f>IF(0=MOD(B427,12/PARAM!$D$51),1,0)</f>
        <v>1</v>
      </c>
      <c r="CF427" s="15">
        <f t="shared" si="278"/>
        <v>0</v>
      </c>
      <c r="CG427" s="75">
        <f>CF427*(1-PARAM!$C$27)*$R$3+(MOD($B427/12,5)=0)*($B427&gt;60)*HLOOKUP($B427/12,Loyalty,2)*$F$1*MAX(CI426,0)</f>
        <v>0</v>
      </c>
      <c r="CH427" s="75">
        <f>PARAM!$C$26+MAX($P$3-CHOOSE(PARAM!$B$44,MAX(0,CI426*$F$1),0),0)*RATES!$L403/12+$Q$3*(PARAM!$D$51/12)*RATES!$N403/100</f>
        <v>61.625</v>
      </c>
      <c r="CI427" s="16">
        <f>IF(CI426&gt;0,CI426*PARAM!$C$53,CI426)+CG427-CH427</f>
        <v>-9421.8749999999873</v>
      </c>
      <c r="CJ427" s="15">
        <f t="shared" si="304"/>
        <v>0</v>
      </c>
      <c r="CK427" s="75">
        <f>CJ427*(1-PARAM!$C$27)*$R$4+(MOD($B427/12,5)=0)*($B427&gt;60)*HLOOKUP($B427/12,Loyalty,2)*$F$1*MAX(CM426,0)</f>
        <v>0</v>
      </c>
      <c r="CL427" s="75">
        <f>PARAM!$C$26+MAX($P$4-CHOOSE(PARAM!$B$44,MAX(0,CM426*$F$1),0),0)*RATES!$L403/12+$Q$4*(PARAM!$D$51/12)*RATES!$N403/100</f>
        <v>61.625</v>
      </c>
      <c r="CM427" s="16">
        <f>IF(CM426&gt;0,CM426*PARAM!$C$53,CM426)+CK427-CL427</f>
        <v>-9421.8749999999873</v>
      </c>
      <c r="CO427" s="176"/>
    </row>
    <row r="428" spans="1:93" x14ac:dyDescent="0.2">
      <c r="A428" t="b">
        <f t="shared" si="279"/>
        <v>0</v>
      </c>
      <c r="B428" s="33">
        <v>401</v>
      </c>
      <c r="C428" s="15">
        <f t="shared" si="280"/>
        <v>20.081305947392778</v>
      </c>
      <c r="D428" s="75">
        <f>C428*(1-PARAM!$C$27)*$I$3+(MOD($B428,60)=PARAM!$B$56)*($B428&gt;(60-PARAM!$B$56))*HLOOKUP(($B428+PARAM!$B$56)/12,Loyalty,2)*$F$1*MAX(F427,0)</f>
        <v>16.808053077967756</v>
      </c>
      <c r="E428" s="75">
        <f>PARAM!$C$26+MAX($G$3-CHOOSE(PARAM!$B$44,MAX(0,F427*$F$1),0),0)*RATES!$L404/12+$H$3*(PARAM!$D$51/12)*RATES!$N404/100</f>
        <v>61.625</v>
      </c>
      <c r="F428" s="16">
        <f t="shared" si="281"/>
        <v>-2899.8959071386671</v>
      </c>
      <c r="G428" s="15">
        <f t="shared" si="282"/>
        <v>22.035289406060361</v>
      </c>
      <c r="H428" s="75">
        <f>G428*(1-PARAM!$C$27)*$I$4+(MOD($B428,60)=PARAM!$B$56)*($B428&gt;(60-PARAM!$B$56))*HLOOKUP(($B428+PARAM!$B$56)/12,Loyalty,2)*$F$1*MAX(J427,0)</f>
        <v>18.443537232872522</v>
      </c>
      <c r="I428" s="75">
        <f>PARAM!$C$26+MAX($G$4-CHOOSE(PARAM!$B$44,MAX(0,J427*$F$1),0),0)*RATES!$L404/12+$H$4*(PARAM!$D$51/12)*RATES!$N404/100</f>
        <v>61.625</v>
      </c>
      <c r="J428" s="16">
        <f t="shared" si="283"/>
        <v>-2210.2337969001424</v>
      </c>
      <c r="K428" s="15">
        <f t="shared" si="284"/>
        <v>22.170849845882874</v>
      </c>
      <c r="L428" s="75">
        <f>K428*(1-PARAM!$C$27)*$I$5+(MOD($B428,60)=PARAM!$B$56)*($B428&gt;(60-PARAM!$B$56))*HLOOKUP(($B428+PARAM!$B$56)/12,Loyalty,2)*$F$1*MAX(N427,0)</f>
        <v>18.557001321003963</v>
      </c>
      <c r="M428" s="75">
        <f>PARAM!$C$26+MAX($G$5-CHOOSE(PARAM!$B$44,MAX(0,N427*$F$1),0),0)*RATES!$L404/12+$H$5*(PARAM!$D$51/12)*RATES!$N404/100</f>
        <v>61.625</v>
      </c>
      <c r="N428" s="16">
        <f t="shared" si="285"/>
        <v>-2161.71716115964</v>
      </c>
      <c r="O428" s="15">
        <f t="shared" si="286"/>
        <v>22.170849845882874</v>
      </c>
      <c r="P428" s="75">
        <f>O428*(1-PARAM!$C$27)*$I$6+(MOD($B428,60)=PARAM!$B$56)*($B428&gt;(60-PARAM!$B$56))*HLOOKUP(($B428+PARAM!$B$56)/12,Loyalty,2)*$F$1*MAX(R427,0)</f>
        <v>18.557001321003963</v>
      </c>
      <c r="Q428" s="75">
        <f>PARAM!$C$26+MAX($G$6-CHOOSE(PARAM!$B$44,MAX(0,R427*$F$1),0),0)*RATES!$L404/12+$H$6*(PARAM!$D$51/12)*RATES!$N404/100</f>
        <v>61.625</v>
      </c>
      <c r="R428" s="16">
        <f t="shared" si="287"/>
        <v>-2161.71716115964</v>
      </c>
      <c r="S428" s="15">
        <f t="shared" si="262"/>
        <v>22.170849845882874</v>
      </c>
      <c r="T428" s="75">
        <f>S428*(1-PARAM!$C$27)*$I$7+(MOD($B428,60)=PARAM!$B$56)*($B428&gt;(60-PARAM!$B$56))*HLOOKUP(($B428+PARAM!$B$56)/12,Loyalty,2)*$F$1*MAX(V427,0)</f>
        <v>18.557001321003963</v>
      </c>
      <c r="U428" s="75">
        <f>PARAM!$C$26+MAX($G$7-CHOOSE(PARAM!$B$44,MAX(0,V427*$F$1),0),0)*RATES!$L404/12+$H$7*(PARAM!$D$51/12)*RATES!$N404/100</f>
        <v>61.625</v>
      </c>
      <c r="V428" s="16">
        <f t="shared" si="288"/>
        <v>-2161.71716115964</v>
      </c>
      <c r="W428" s="15">
        <f t="shared" si="263"/>
        <v>22.170849845882874</v>
      </c>
      <c r="X428" s="75">
        <f>W428*(1-PARAM!$C$27)*$I$8+(MOD($B428,60)=PARAM!$B$56)*($B428&gt;(60-PARAM!$B$56))*HLOOKUP(($B428+PARAM!$B$56)/12,Loyalty,2)*$F$1*MAX(Z427,0)</f>
        <v>18.557001321003963</v>
      </c>
      <c r="Y428" s="75">
        <f>PARAM!$C$26+MAX($G$8-CHOOSE(PARAM!$B$44,MAX(0,Z427*$F$1),0),0)*RATES!$L404/12+$H$8*(PARAM!$D$51/12)*RATES!$N404/100</f>
        <v>61.625</v>
      </c>
      <c r="Z428" s="16">
        <f t="shared" si="289"/>
        <v>-2161.71716115964</v>
      </c>
      <c r="AA428" s="15">
        <f t="shared" si="264"/>
        <v>22.170849845882874</v>
      </c>
      <c r="AB428" s="75">
        <f>AA428*(1-PARAM!$C$27)*$I$9+(MOD($B428,60)=PARAM!$B$56)*($B428&gt;(60-PARAM!$B$56))*HLOOKUP(($B428+PARAM!$B$56)/12,Loyalty,2)*$F$1*MAX(AD427,0)</f>
        <v>18.557001321003963</v>
      </c>
      <c r="AC428" s="75">
        <f>PARAM!$C$26+MAX($G$9-CHOOSE(PARAM!$B$44,MAX(0,AD427*$F$1),0),0)*RATES!$L404/12+$H$9*(PARAM!$D$51/12)*RATES!$N404/100</f>
        <v>61.625</v>
      </c>
      <c r="AD428" s="16">
        <f t="shared" si="290"/>
        <v>-2161.71716115964</v>
      </c>
      <c r="AE428" s="15">
        <f t="shared" si="265"/>
        <v>22.170849845882874</v>
      </c>
      <c r="AF428" s="75">
        <f>AE428*(1-PARAM!$C$27)*$I$10+(MOD($B428,60)=PARAM!$B$56)*($B428&gt;(60-PARAM!$B$56))*HLOOKUP(($B428+PARAM!$B$56)/12,Loyalty,2)*$F$1*MAX(AH427,0)</f>
        <v>18.557001321003963</v>
      </c>
      <c r="AG428" s="75">
        <f>PARAM!$C$26+MAX($G$10-CHOOSE(PARAM!$B$44,MAX(0,AH427*$F$1),0),0)*RATES!$L404/12+$H$10*(PARAM!$D$51/12)*RATES!$N404/100</f>
        <v>61.625</v>
      </c>
      <c r="AH428" s="16">
        <f t="shared" si="291"/>
        <v>-2161.71716115964</v>
      </c>
      <c r="AI428" s="15">
        <f t="shared" si="266"/>
        <v>22.170849845882874</v>
      </c>
      <c r="AJ428" s="75">
        <f>AI428*(1-PARAM!$C$27)*$I$11+(MOD($B428,60)=PARAM!$B$56)*($B428&gt;(60-PARAM!$B$56))*HLOOKUP(($B428+PARAM!$B$56)/12,Loyalty,2)*$F$1*MAX(AL427,0)</f>
        <v>18.557001321003963</v>
      </c>
      <c r="AK428" s="75">
        <f>PARAM!$C$26+MAX($G$11-CHOOSE(PARAM!$B$44,MAX(0,AL427*$F$1),0),0)*RATES!$L404/12+$H$11*(PARAM!$D$51/12)*RATES!$N404/100</f>
        <v>61.625</v>
      </c>
      <c r="AL428" s="16">
        <f t="shared" si="292"/>
        <v>-2161.71716115964</v>
      </c>
      <c r="AM428" s="15">
        <f t="shared" si="267"/>
        <v>22.170849845882874</v>
      </c>
      <c r="AN428" s="75">
        <f>AM428*(1-PARAM!$C$27)*$I$12+(MOD($B428,60)=PARAM!$B$56)*($B428&gt;(60-PARAM!$B$56))*HLOOKUP(($B428+PARAM!$B$56)/12,Loyalty,2)*$F$1*MAX(AP427,0)</f>
        <v>18.557001321003963</v>
      </c>
      <c r="AO428" s="75">
        <f>PARAM!$C$26+MAX($G$12-CHOOSE(PARAM!$B$44,MAX(0,AP427*$F$1),0),0)*RATES!$L404/12+$H$12*(PARAM!$D$51/12)*RATES!$N404/100</f>
        <v>61.625</v>
      </c>
      <c r="AP428" s="16">
        <f t="shared" si="293"/>
        <v>-2161.71716115964</v>
      </c>
      <c r="AQ428" s="15">
        <f t="shared" si="268"/>
        <v>22.170849845882874</v>
      </c>
      <c r="AR428" s="75">
        <f>AQ428*(1-PARAM!$C$27)*$I$13+(MOD($B428,60)=PARAM!$B$56)*($B428&gt;(60-PARAM!$B$56))*HLOOKUP(($B428+PARAM!$B$56)/12,Loyalty,2)*$F$1*MAX(AT427,0)</f>
        <v>18.557001321003963</v>
      </c>
      <c r="AS428" s="75">
        <f>PARAM!$C$26+MAX($G$13-CHOOSE(PARAM!$B$44,MAX(0,AT427*$F$1),0),0)*RATES!$L404/12+$H$13*(PARAM!$D$51/12)*RATES!$N404/100</f>
        <v>61.625</v>
      </c>
      <c r="AT428" s="16">
        <f t="shared" si="294"/>
        <v>-2161.71716115964</v>
      </c>
      <c r="AU428" s="15">
        <f t="shared" si="269"/>
        <v>22.170849845882874</v>
      </c>
      <c r="AV428" s="75">
        <f>AU428*(1-PARAM!$C$27)*$I$14+(MOD($B428,60)=PARAM!$B$56)*($B428&gt;(60-PARAM!$B$56))*HLOOKUP(($B428+PARAM!$B$56)/12,Loyalty,2)*$F$1*MAX(AX427,0)</f>
        <v>18.557001321003963</v>
      </c>
      <c r="AW428" s="75">
        <f>PARAM!$C$26+MAX($G$14-CHOOSE(PARAM!$B$44,MAX(0,AX427*$F$1),0),0)*RATES!$L404/12+$H$14*(PARAM!$D$51/12)*RATES!$N404/100</f>
        <v>61.625</v>
      </c>
      <c r="AX428" s="16">
        <f t="shared" si="295"/>
        <v>-2161.71716115964</v>
      </c>
      <c r="AY428" s="15">
        <f t="shared" si="270"/>
        <v>22.170849845882874</v>
      </c>
      <c r="AZ428" s="75">
        <f>AY428*(1-PARAM!$C$27)*$I$15+(MOD($B428,60)=PARAM!$B$56)*($B428&gt;(60-PARAM!$B$56))*HLOOKUP(($B428+PARAM!$B$56)/12,Loyalty,2)*$F$1*MAX(BB427,0)</f>
        <v>18.557001321003963</v>
      </c>
      <c r="BA428" s="75">
        <f>PARAM!$C$26+MAX($G$15-CHOOSE(PARAM!$B$44,MAX(0,BB427*$F$1),0),0)*RATES!$L404/12+$H$15*(PARAM!$D$51/12)*RATES!$N404/100</f>
        <v>61.625</v>
      </c>
      <c r="BB428" s="16">
        <f t="shared" si="296"/>
        <v>-2161.71716115964</v>
      </c>
      <c r="BC428" s="15">
        <f t="shared" si="271"/>
        <v>22.170849845882874</v>
      </c>
      <c r="BD428" s="75">
        <f>BC428*(1-PARAM!$C$27)*$I$16+(MOD($B428,60)=PARAM!$B$56)*($B428&gt;(60-PARAM!$B$56))*HLOOKUP(($B428+PARAM!$B$56)/12,Loyalty,2)*$F$1*MAX(BF427,0)</f>
        <v>18.557001321003963</v>
      </c>
      <c r="BE428" s="75">
        <f>PARAM!$C$26+MAX($G$16-CHOOSE(PARAM!$B$44,MAX(0,BF427*$F$1),0),0)*RATES!$L404/12+$H$16*(PARAM!$D$51/12)*RATES!$N404/100</f>
        <v>61.625</v>
      </c>
      <c r="BF428" s="16">
        <f t="shared" si="297"/>
        <v>-2161.71716115964</v>
      </c>
      <c r="BG428" s="15">
        <f t="shared" si="272"/>
        <v>22.170849845882874</v>
      </c>
      <c r="BH428" s="75">
        <f>BG428*(1-PARAM!$C$27)*$I$17+(MOD($B428,60)=PARAM!$B$56)*($B428&gt;(60-PARAM!$B$56))*HLOOKUP(($B428+PARAM!$B$56)/12,Loyalty,2)*$F$1*MAX(BJ427,0)</f>
        <v>18.557001321003963</v>
      </c>
      <c r="BI428" s="75">
        <f>PARAM!$C$26+MAX($G$17-CHOOSE(PARAM!$B$44,MAX(0,BJ427*$F$1),0),0)*RATES!$L404/12+$H$17*(PARAM!$D$51/12)*RATES!$N404/100</f>
        <v>61.625</v>
      </c>
      <c r="BJ428" s="16">
        <f t="shared" si="298"/>
        <v>-2161.71716115964</v>
      </c>
      <c r="BK428" s="15">
        <f t="shared" si="273"/>
        <v>22.170849845882874</v>
      </c>
      <c r="BL428" s="75">
        <f>BK428*(1-PARAM!$C$27)*$I$18+(MOD($B428,60)=PARAM!$B$56)*($B428&gt;(60-PARAM!$B$56))*HLOOKUP(($B428+PARAM!$B$56)/12,Loyalty,2)*$F$1*MAX(BN427,0)</f>
        <v>18.557001321003963</v>
      </c>
      <c r="BM428" s="75">
        <f>PARAM!$C$26+MAX($G$18-CHOOSE(PARAM!$B$44,MAX(0,BN427*$F$1),0),0)*RATES!$L404/12+$H$18*(PARAM!$D$51/12)*RATES!$N404/100</f>
        <v>61.625</v>
      </c>
      <c r="BN428" s="16">
        <f t="shared" si="299"/>
        <v>-2161.71716115964</v>
      </c>
      <c r="BO428" s="15">
        <f t="shared" si="274"/>
        <v>22.170849845882874</v>
      </c>
      <c r="BP428" s="75">
        <f>BO428*(1-PARAM!$C$27)*$I$19+(MOD($B428,60)=PARAM!$B$56)*($B428&gt;(60-PARAM!$B$56))*HLOOKUP(($B428+PARAM!$B$56)/12,Loyalty,2)*$F$1*MAX(BR427,0)</f>
        <v>18.557001321003963</v>
      </c>
      <c r="BQ428" s="75">
        <f>PARAM!$C$26+MAX($G$19-CHOOSE(PARAM!$B$44,MAX(0,BR427*$F$1),0),0)*RATES!$L404/12+$H$19*(PARAM!$D$51/12)*RATES!$N404/100</f>
        <v>61.625</v>
      </c>
      <c r="BR428" s="16">
        <f t="shared" si="300"/>
        <v>-2161.71716115964</v>
      </c>
      <c r="BS428" s="15">
        <f t="shared" si="275"/>
        <v>22.170849845882874</v>
      </c>
      <c r="BT428" s="75">
        <f>BS428*(1-PARAM!$C$27)*$I$20+(MOD($B428,60)=PARAM!$B$56)*($B428&gt;(60-PARAM!$B$56))*HLOOKUP(($B428+PARAM!$B$56)/12,Loyalty,2)*$F$1*MAX(BV427,0)</f>
        <v>18.557001321003963</v>
      </c>
      <c r="BU428" s="75">
        <f>PARAM!$C$26+MAX($G$20-CHOOSE(PARAM!$B$44,MAX(0,BV427*$F$1),0),0)*RATES!$L404/12+$H$20*(PARAM!$D$51/12)*RATES!$N404/100</f>
        <v>61.625</v>
      </c>
      <c r="BV428" s="16">
        <f t="shared" si="301"/>
        <v>-2161.71716115964</v>
      </c>
      <c r="BW428" s="15">
        <f t="shared" si="276"/>
        <v>22.170849845882874</v>
      </c>
      <c r="BX428" s="75">
        <f>BW428*(1-PARAM!$C$27)*$I$21+(MOD($B428,60)=PARAM!$B$56)*($B428&gt;(60-PARAM!$B$56))*HLOOKUP(($B428+PARAM!$B$56)/12,Loyalty,2)*$F$1*MAX(BZ427,0)</f>
        <v>18.557001321003963</v>
      </c>
      <c r="BY428" s="75">
        <f>PARAM!$C$26+MAX($G$21-CHOOSE(PARAM!$B$44,MAX(0,BZ427*$F$1),0),0)*RATES!$L404/12+$H$21*(PARAM!$D$51/12)*RATES!$N404/100</f>
        <v>61.625</v>
      </c>
      <c r="BZ428" s="16">
        <f t="shared" si="302"/>
        <v>-2161.71716115964</v>
      </c>
      <c r="CA428" s="15">
        <f t="shared" si="277"/>
        <v>22.170849845882874</v>
      </c>
      <c r="CB428" s="75">
        <f>CA428*(1-PARAM!$C$27)*$I$22+(MOD($B428,60)=PARAM!$B$56)*($B428&gt;(60-PARAM!$B$56))*HLOOKUP(($B428+PARAM!$B$56)/12,Loyalty,2)*$F$1*MAX(CD427,0)</f>
        <v>18.557001321003963</v>
      </c>
      <c r="CC428" s="75">
        <f>PARAM!$C$26+MAX($G$22-CHOOSE(PARAM!$B$44,MAX(0,CD427*$F$1),0),0)*RATES!$L404/12+$H$22*(PARAM!$D$51/12)*RATES!$N404/100</f>
        <v>61.625</v>
      </c>
      <c r="CD428" s="16">
        <f t="shared" si="303"/>
        <v>-2161.71716115964</v>
      </c>
      <c r="CE428" s="33">
        <f>IF(0=MOD(B428,12/PARAM!$D$51),1,0)</f>
        <v>1</v>
      </c>
      <c r="CF428" s="15">
        <f t="shared" si="278"/>
        <v>0</v>
      </c>
      <c r="CG428" s="75">
        <f>CF428*(1-PARAM!$C$27)*$R$3+(MOD($B428/12,5)=0)*($B428&gt;60)*HLOOKUP($B428/12,Loyalty,2)*$F$1*MAX(CI427,0)</f>
        <v>0</v>
      </c>
      <c r="CH428" s="75">
        <f>PARAM!$C$26+MAX($P$3-CHOOSE(PARAM!$B$44,MAX(0,CI427*$F$1),0),0)*RATES!$L404/12+$Q$3*(PARAM!$D$51/12)*RATES!$N404/100</f>
        <v>61.625</v>
      </c>
      <c r="CI428" s="16">
        <f>IF(CI427&gt;0,CI427*PARAM!$C$53,CI427)+CG428-CH428</f>
        <v>-9483.4999999999873</v>
      </c>
      <c r="CJ428" s="15">
        <f t="shared" si="304"/>
        <v>0</v>
      </c>
      <c r="CK428" s="75">
        <f>CJ428*(1-PARAM!$C$27)*$R$4+(MOD($B428/12,5)=0)*($B428&gt;60)*HLOOKUP($B428/12,Loyalty,2)*$F$1*MAX(CM427,0)</f>
        <v>0</v>
      </c>
      <c r="CL428" s="75">
        <f>PARAM!$C$26+MAX($P$4-CHOOSE(PARAM!$B$44,MAX(0,CM427*$F$1),0),0)*RATES!$L404/12+$Q$4*(PARAM!$D$51/12)*RATES!$N404/100</f>
        <v>61.625</v>
      </c>
      <c r="CM428" s="16">
        <f>IF(CM427&gt;0,CM427*PARAM!$C$53,CM427)+CK428-CL428</f>
        <v>-9483.4999999999873</v>
      </c>
      <c r="CO428" s="176"/>
    </row>
    <row r="429" spans="1:93" x14ac:dyDescent="0.2">
      <c r="A429" t="b">
        <f t="shared" si="279"/>
        <v>0</v>
      </c>
      <c r="B429" s="33">
        <v>402</v>
      </c>
      <c r="C429" s="15">
        <f t="shared" si="280"/>
        <v>20.081305947392778</v>
      </c>
      <c r="D429" s="75">
        <f>C429*(1-PARAM!$C$27)*$I$3+(MOD($B429,60)=PARAM!$B$56)*($B429&gt;(60-PARAM!$B$56))*HLOOKUP(($B429+PARAM!$B$56)/12,Loyalty,2)*$F$1*MAX(F428,0)</f>
        <v>16.808053077967756</v>
      </c>
      <c r="E429" s="75">
        <f>PARAM!$C$26+MAX($G$3-CHOOSE(PARAM!$B$44,MAX(0,F428*$F$1),0),0)*RATES!$L405/12+$H$3*(PARAM!$D$51/12)*RATES!$N405/100</f>
        <v>67.833333333333343</v>
      </c>
      <c r="F429" s="16">
        <f t="shared" si="281"/>
        <v>-2950.921187394033</v>
      </c>
      <c r="G429" s="15">
        <f t="shared" si="282"/>
        <v>22.035289406060361</v>
      </c>
      <c r="H429" s="75">
        <f>G429*(1-PARAM!$C$27)*$I$4+(MOD($B429,60)=PARAM!$B$56)*($B429&gt;(60-PARAM!$B$56))*HLOOKUP(($B429+PARAM!$B$56)/12,Loyalty,2)*$F$1*MAX(J428,0)</f>
        <v>18.443537232872522</v>
      </c>
      <c r="I429" s="75">
        <f>PARAM!$C$26+MAX($G$4-CHOOSE(PARAM!$B$44,MAX(0,J428*$F$1),0),0)*RATES!$L405/12+$H$4*(PARAM!$D$51/12)*RATES!$N405/100</f>
        <v>67.833333333333343</v>
      </c>
      <c r="J429" s="16">
        <f t="shared" si="283"/>
        <v>-2259.6235930006033</v>
      </c>
      <c r="K429" s="15">
        <f t="shared" si="284"/>
        <v>22.170849845882874</v>
      </c>
      <c r="L429" s="75">
        <f>K429*(1-PARAM!$C$27)*$I$5+(MOD($B429,60)=PARAM!$B$56)*($B429&gt;(60-PARAM!$B$56))*HLOOKUP(($B429+PARAM!$B$56)/12,Loyalty,2)*$F$1*MAX(N428,0)</f>
        <v>18.557001321003963</v>
      </c>
      <c r="M429" s="75">
        <f>PARAM!$C$26+MAX($G$5-CHOOSE(PARAM!$B$44,MAX(0,N428*$F$1),0),0)*RATES!$L405/12+$H$5*(PARAM!$D$51/12)*RATES!$N405/100</f>
        <v>67.833333333333343</v>
      </c>
      <c r="N429" s="16">
        <f t="shared" si="285"/>
        <v>-2210.9934931719695</v>
      </c>
      <c r="O429" s="15">
        <f t="shared" si="286"/>
        <v>22.170849845882874</v>
      </c>
      <c r="P429" s="75">
        <f>O429*(1-PARAM!$C$27)*$I$6+(MOD($B429,60)=PARAM!$B$56)*($B429&gt;(60-PARAM!$B$56))*HLOOKUP(($B429+PARAM!$B$56)/12,Loyalty,2)*$F$1*MAX(R428,0)</f>
        <v>18.557001321003963</v>
      </c>
      <c r="Q429" s="75">
        <f>PARAM!$C$26+MAX($G$6-CHOOSE(PARAM!$B$44,MAX(0,R428*$F$1),0),0)*RATES!$L405/12+$H$6*(PARAM!$D$51/12)*RATES!$N405/100</f>
        <v>67.833333333333343</v>
      </c>
      <c r="R429" s="16">
        <f t="shared" si="287"/>
        <v>-2210.9934931719695</v>
      </c>
      <c r="S429" s="15">
        <f t="shared" si="262"/>
        <v>22.170849845882874</v>
      </c>
      <c r="T429" s="75">
        <f>S429*(1-PARAM!$C$27)*$I$7+(MOD($B429,60)=PARAM!$B$56)*($B429&gt;(60-PARAM!$B$56))*HLOOKUP(($B429+PARAM!$B$56)/12,Loyalty,2)*$F$1*MAX(V428,0)</f>
        <v>18.557001321003963</v>
      </c>
      <c r="U429" s="75">
        <f>PARAM!$C$26+MAX($G$7-CHOOSE(PARAM!$B$44,MAX(0,V428*$F$1),0),0)*RATES!$L405/12+$H$7*(PARAM!$D$51/12)*RATES!$N405/100</f>
        <v>67.833333333333343</v>
      </c>
      <c r="V429" s="16">
        <f t="shared" si="288"/>
        <v>-2210.9934931719695</v>
      </c>
      <c r="W429" s="15">
        <f t="shared" si="263"/>
        <v>22.170849845882874</v>
      </c>
      <c r="X429" s="75">
        <f>W429*(1-PARAM!$C$27)*$I$8+(MOD($B429,60)=PARAM!$B$56)*($B429&gt;(60-PARAM!$B$56))*HLOOKUP(($B429+PARAM!$B$56)/12,Loyalty,2)*$F$1*MAX(Z428,0)</f>
        <v>18.557001321003963</v>
      </c>
      <c r="Y429" s="75">
        <f>PARAM!$C$26+MAX($G$8-CHOOSE(PARAM!$B$44,MAX(0,Z428*$F$1),0),0)*RATES!$L405/12+$H$8*(PARAM!$D$51/12)*RATES!$N405/100</f>
        <v>67.833333333333343</v>
      </c>
      <c r="Z429" s="16">
        <f t="shared" si="289"/>
        <v>-2210.9934931719695</v>
      </c>
      <c r="AA429" s="15">
        <f t="shared" si="264"/>
        <v>22.170849845882874</v>
      </c>
      <c r="AB429" s="75">
        <f>AA429*(1-PARAM!$C$27)*$I$9+(MOD($B429,60)=PARAM!$B$56)*($B429&gt;(60-PARAM!$B$56))*HLOOKUP(($B429+PARAM!$B$56)/12,Loyalty,2)*$F$1*MAX(AD428,0)</f>
        <v>18.557001321003963</v>
      </c>
      <c r="AC429" s="75">
        <f>PARAM!$C$26+MAX($G$9-CHOOSE(PARAM!$B$44,MAX(0,AD428*$F$1),0),0)*RATES!$L405/12+$H$9*(PARAM!$D$51/12)*RATES!$N405/100</f>
        <v>67.833333333333343</v>
      </c>
      <c r="AD429" s="16">
        <f t="shared" si="290"/>
        <v>-2210.9934931719695</v>
      </c>
      <c r="AE429" s="15">
        <f t="shared" si="265"/>
        <v>22.170849845882874</v>
      </c>
      <c r="AF429" s="75">
        <f>AE429*(1-PARAM!$C$27)*$I$10+(MOD($B429,60)=PARAM!$B$56)*($B429&gt;(60-PARAM!$B$56))*HLOOKUP(($B429+PARAM!$B$56)/12,Loyalty,2)*$F$1*MAX(AH428,0)</f>
        <v>18.557001321003963</v>
      </c>
      <c r="AG429" s="75">
        <f>PARAM!$C$26+MAX($G$10-CHOOSE(PARAM!$B$44,MAX(0,AH428*$F$1),0),0)*RATES!$L405/12+$H$10*(PARAM!$D$51/12)*RATES!$N405/100</f>
        <v>67.833333333333343</v>
      </c>
      <c r="AH429" s="16">
        <f t="shared" si="291"/>
        <v>-2210.9934931719695</v>
      </c>
      <c r="AI429" s="15">
        <f t="shared" si="266"/>
        <v>22.170849845882874</v>
      </c>
      <c r="AJ429" s="75">
        <f>AI429*(1-PARAM!$C$27)*$I$11+(MOD($B429,60)=PARAM!$B$56)*($B429&gt;(60-PARAM!$B$56))*HLOOKUP(($B429+PARAM!$B$56)/12,Loyalty,2)*$F$1*MAX(AL428,0)</f>
        <v>18.557001321003963</v>
      </c>
      <c r="AK429" s="75">
        <f>PARAM!$C$26+MAX($G$11-CHOOSE(PARAM!$B$44,MAX(0,AL428*$F$1),0),0)*RATES!$L405/12+$H$11*(PARAM!$D$51/12)*RATES!$N405/100</f>
        <v>67.833333333333343</v>
      </c>
      <c r="AL429" s="16">
        <f t="shared" si="292"/>
        <v>-2210.9934931719695</v>
      </c>
      <c r="AM429" s="15">
        <f t="shared" si="267"/>
        <v>22.170849845882874</v>
      </c>
      <c r="AN429" s="75">
        <f>AM429*(1-PARAM!$C$27)*$I$12+(MOD($B429,60)=PARAM!$B$56)*($B429&gt;(60-PARAM!$B$56))*HLOOKUP(($B429+PARAM!$B$56)/12,Loyalty,2)*$F$1*MAX(AP428,0)</f>
        <v>18.557001321003963</v>
      </c>
      <c r="AO429" s="75">
        <f>PARAM!$C$26+MAX($G$12-CHOOSE(PARAM!$B$44,MAX(0,AP428*$F$1),0),0)*RATES!$L405/12+$H$12*(PARAM!$D$51/12)*RATES!$N405/100</f>
        <v>67.833333333333343</v>
      </c>
      <c r="AP429" s="16">
        <f t="shared" si="293"/>
        <v>-2210.9934931719695</v>
      </c>
      <c r="AQ429" s="15">
        <f t="shared" si="268"/>
        <v>22.170849845882874</v>
      </c>
      <c r="AR429" s="75">
        <f>AQ429*(1-PARAM!$C$27)*$I$13+(MOD($B429,60)=PARAM!$B$56)*($B429&gt;(60-PARAM!$B$56))*HLOOKUP(($B429+PARAM!$B$56)/12,Loyalty,2)*$F$1*MAX(AT428,0)</f>
        <v>18.557001321003963</v>
      </c>
      <c r="AS429" s="75">
        <f>PARAM!$C$26+MAX($G$13-CHOOSE(PARAM!$B$44,MAX(0,AT428*$F$1),0),0)*RATES!$L405/12+$H$13*(PARAM!$D$51/12)*RATES!$N405/100</f>
        <v>67.833333333333343</v>
      </c>
      <c r="AT429" s="16">
        <f t="shared" si="294"/>
        <v>-2210.9934931719695</v>
      </c>
      <c r="AU429" s="15">
        <f t="shared" si="269"/>
        <v>22.170849845882874</v>
      </c>
      <c r="AV429" s="75">
        <f>AU429*(1-PARAM!$C$27)*$I$14+(MOD($B429,60)=PARAM!$B$56)*($B429&gt;(60-PARAM!$B$56))*HLOOKUP(($B429+PARAM!$B$56)/12,Loyalty,2)*$F$1*MAX(AX428,0)</f>
        <v>18.557001321003963</v>
      </c>
      <c r="AW429" s="75">
        <f>PARAM!$C$26+MAX($G$14-CHOOSE(PARAM!$B$44,MAX(0,AX428*$F$1),0),0)*RATES!$L405/12+$H$14*(PARAM!$D$51/12)*RATES!$N405/100</f>
        <v>67.833333333333343</v>
      </c>
      <c r="AX429" s="16">
        <f t="shared" si="295"/>
        <v>-2210.9934931719695</v>
      </c>
      <c r="AY429" s="15">
        <f t="shared" si="270"/>
        <v>22.170849845882874</v>
      </c>
      <c r="AZ429" s="75">
        <f>AY429*(1-PARAM!$C$27)*$I$15+(MOD($B429,60)=PARAM!$B$56)*($B429&gt;(60-PARAM!$B$56))*HLOOKUP(($B429+PARAM!$B$56)/12,Loyalty,2)*$F$1*MAX(BB428,0)</f>
        <v>18.557001321003963</v>
      </c>
      <c r="BA429" s="75">
        <f>PARAM!$C$26+MAX($G$15-CHOOSE(PARAM!$B$44,MAX(0,BB428*$F$1),0),0)*RATES!$L405/12+$H$15*(PARAM!$D$51/12)*RATES!$N405/100</f>
        <v>67.833333333333343</v>
      </c>
      <c r="BB429" s="16">
        <f t="shared" si="296"/>
        <v>-2210.9934931719695</v>
      </c>
      <c r="BC429" s="15">
        <f t="shared" si="271"/>
        <v>22.170849845882874</v>
      </c>
      <c r="BD429" s="75">
        <f>BC429*(1-PARAM!$C$27)*$I$16+(MOD($B429,60)=PARAM!$B$56)*($B429&gt;(60-PARAM!$B$56))*HLOOKUP(($B429+PARAM!$B$56)/12,Loyalty,2)*$F$1*MAX(BF428,0)</f>
        <v>18.557001321003963</v>
      </c>
      <c r="BE429" s="75">
        <f>PARAM!$C$26+MAX($G$16-CHOOSE(PARAM!$B$44,MAX(0,BF428*$F$1),0),0)*RATES!$L405/12+$H$16*(PARAM!$D$51/12)*RATES!$N405/100</f>
        <v>67.833333333333343</v>
      </c>
      <c r="BF429" s="16">
        <f t="shared" si="297"/>
        <v>-2210.9934931719695</v>
      </c>
      <c r="BG429" s="15">
        <f t="shared" si="272"/>
        <v>22.170849845882874</v>
      </c>
      <c r="BH429" s="75">
        <f>BG429*(1-PARAM!$C$27)*$I$17+(MOD($B429,60)=PARAM!$B$56)*($B429&gt;(60-PARAM!$B$56))*HLOOKUP(($B429+PARAM!$B$56)/12,Loyalty,2)*$F$1*MAX(BJ428,0)</f>
        <v>18.557001321003963</v>
      </c>
      <c r="BI429" s="75">
        <f>PARAM!$C$26+MAX($G$17-CHOOSE(PARAM!$B$44,MAX(0,BJ428*$F$1),0),0)*RATES!$L405/12+$H$17*(PARAM!$D$51/12)*RATES!$N405/100</f>
        <v>67.833333333333343</v>
      </c>
      <c r="BJ429" s="16">
        <f t="shared" si="298"/>
        <v>-2210.9934931719695</v>
      </c>
      <c r="BK429" s="15">
        <f t="shared" si="273"/>
        <v>22.170849845882874</v>
      </c>
      <c r="BL429" s="75">
        <f>BK429*(1-PARAM!$C$27)*$I$18+(MOD($B429,60)=PARAM!$B$56)*($B429&gt;(60-PARAM!$B$56))*HLOOKUP(($B429+PARAM!$B$56)/12,Loyalty,2)*$F$1*MAX(BN428,0)</f>
        <v>18.557001321003963</v>
      </c>
      <c r="BM429" s="75">
        <f>PARAM!$C$26+MAX($G$18-CHOOSE(PARAM!$B$44,MAX(0,BN428*$F$1),0),0)*RATES!$L405/12+$H$18*(PARAM!$D$51/12)*RATES!$N405/100</f>
        <v>67.833333333333343</v>
      </c>
      <c r="BN429" s="16">
        <f t="shared" si="299"/>
        <v>-2210.9934931719695</v>
      </c>
      <c r="BO429" s="15">
        <f t="shared" si="274"/>
        <v>22.170849845882874</v>
      </c>
      <c r="BP429" s="75">
        <f>BO429*(1-PARAM!$C$27)*$I$19+(MOD($B429,60)=PARAM!$B$56)*($B429&gt;(60-PARAM!$B$56))*HLOOKUP(($B429+PARAM!$B$56)/12,Loyalty,2)*$F$1*MAX(BR428,0)</f>
        <v>18.557001321003963</v>
      </c>
      <c r="BQ429" s="75">
        <f>PARAM!$C$26+MAX($G$19-CHOOSE(PARAM!$B$44,MAX(0,BR428*$F$1),0),0)*RATES!$L405/12+$H$19*(PARAM!$D$51/12)*RATES!$N405/100</f>
        <v>67.833333333333343</v>
      </c>
      <c r="BR429" s="16">
        <f t="shared" si="300"/>
        <v>-2210.9934931719695</v>
      </c>
      <c r="BS429" s="15">
        <f t="shared" si="275"/>
        <v>22.170849845882874</v>
      </c>
      <c r="BT429" s="75">
        <f>BS429*(1-PARAM!$C$27)*$I$20+(MOD($B429,60)=PARAM!$B$56)*($B429&gt;(60-PARAM!$B$56))*HLOOKUP(($B429+PARAM!$B$56)/12,Loyalty,2)*$F$1*MAX(BV428,0)</f>
        <v>18.557001321003963</v>
      </c>
      <c r="BU429" s="75">
        <f>PARAM!$C$26+MAX($G$20-CHOOSE(PARAM!$B$44,MAX(0,BV428*$F$1),0),0)*RATES!$L405/12+$H$20*(PARAM!$D$51/12)*RATES!$N405/100</f>
        <v>67.833333333333343</v>
      </c>
      <c r="BV429" s="16">
        <f t="shared" si="301"/>
        <v>-2210.9934931719695</v>
      </c>
      <c r="BW429" s="15">
        <f t="shared" si="276"/>
        <v>22.170849845882874</v>
      </c>
      <c r="BX429" s="75">
        <f>BW429*(1-PARAM!$C$27)*$I$21+(MOD($B429,60)=PARAM!$B$56)*($B429&gt;(60-PARAM!$B$56))*HLOOKUP(($B429+PARAM!$B$56)/12,Loyalty,2)*$F$1*MAX(BZ428,0)</f>
        <v>18.557001321003963</v>
      </c>
      <c r="BY429" s="75">
        <f>PARAM!$C$26+MAX($G$21-CHOOSE(PARAM!$B$44,MAX(0,BZ428*$F$1),0),0)*RATES!$L405/12+$H$21*(PARAM!$D$51/12)*RATES!$N405/100</f>
        <v>67.833333333333343</v>
      </c>
      <c r="BZ429" s="16">
        <f t="shared" si="302"/>
        <v>-2210.9934931719695</v>
      </c>
      <c r="CA429" s="15">
        <f t="shared" si="277"/>
        <v>22.170849845882874</v>
      </c>
      <c r="CB429" s="75">
        <f>CA429*(1-PARAM!$C$27)*$I$22+(MOD($B429,60)=PARAM!$B$56)*($B429&gt;(60-PARAM!$B$56))*HLOOKUP(($B429+PARAM!$B$56)/12,Loyalty,2)*$F$1*MAX(CD428,0)</f>
        <v>18.557001321003963</v>
      </c>
      <c r="CC429" s="75">
        <f>PARAM!$C$26+MAX($G$22-CHOOSE(PARAM!$B$44,MAX(0,CD428*$F$1),0),0)*RATES!$L405/12+$H$22*(PARAM!$D$51/12)*RATES!$N405/100</f>
        <v>67.833333333333343</v>
      </c>
      <c r="CD429" s="16">
        <f t="shared" si="303"/>
        <v>-2210.9934931719695</v>
      </c>
      <c r="CE429" s="33">
        <f>IF(0=MOD(B429,12/PARAM!$D$51),1,0)</f>
        <v>1</v>
      </c>
      <c r="CF429" s="15">
        <f t="shared" si="278"/>
        <v>0</v>
      </c>
      <c r="CG429" s="75">
        <f>CF429*(1-PARAM!$C$27)*$R$3+(MOD($B429/12,5)=0)*($B429&gt;60)*HLOOKUP($B429/12,Loyalty,2)*$F$1*MAX(CI428,0)</f>
        <v>0</v>
      </c>
      <c r="CH429" s="75">
        <f>PARAM!$C$26+MAX($P$3-CHOOSE(PARAM!$B$44,MAX(0,CI428*$F$1),0),0)*RATES!$L405/12+$Q$3*(PARAM!$D$51/12)*RATES!$N405/100</f>
        <v>67.833333333333343</v>
      </c>
      <c r="CI429" s="16">
        <f>IF(CI428&gt;0,CI428*PARAM!$C$53,CI428)+CG429-CH429</f>
        <v>-9551.3333333333212</v>
      </c>
      <c r="CJ429" s="15">
        <f t="shared" si="304"/>
        <v>0</v>
      </c>
      <c r="CK429" s="75">
        <f>CJ429*(1-PARAM!$C$27)*$R$4+(MOD($B429/12,5)=0)*($B429&gt;60)*HLOOKUP($B429/12,Loyalty,2)*$F$1*MAX(CM428,0)</f>
        <v>0</v>
      </c>
      <c r="CL429" s="75">
        <f>PARAM!$C$26+MAX($P$4-CHOOSE(PARAM!$B$44,MAX(0,CM428*$F$1),0),0)*RATES!$L405/12+$Q$4*(PARAM!$D$51/12)*RATES!$N405/100</f>
        <v>67.833333333333343</v>
      </c>
      <c r="CM429" s="16">
        <f>IF(CM428&gt;0,CM428*PARAM!$C$53,CM428)+CK429-CL429</f>
        <v>-9551.3333333333212</v>
      </c>
      <c r="CO429" s="176"/>
    </row>
    <row r="430" spans="1:93" x14ac:dyDescent="0.2">
      <c r="A430" t="b">
        <f t="shared" si="279"/>
        <v>0</v>
      </c>
      <c r="B430" s="33">
        <v>403</v>
      </c>
      <c r="C430" s="15">
        <f t="shared" si="280"/>
        <v>20.081305947392778</v>
      </c>
      <c r="D430" s="75">
        <f>C430*(1-PARAM!$C$27)*$I$3+(MOD($B430,60)=PARAM!$B$56)*($B430&gt;(60-PARAM!$B$56))*HLOOKUP(($B430+PARAM!$B$56)/12,Loyalty,2)*$F$1*MAX(F429,0)</f>
        <v>16.808053077967756</v>
      </c>
      <c r="E430" s="75">
        <f>PARAM!$C$26+MAX($G$3-CHOOSE(PARAM!$B$44,MAX(0,F429*$F$1),0),0)*RATES!$L406/12+$H$3*(PARAM!$D$51/12)*RATES!$N406/100</f>
        <v>67.833333333333343</v>
      </c>
      <c r="F430" s="16">
        <f t="shared" si="281"/>
        <v>-3001.946467649399</v>
      </c>
      <c r="G430" s="15">
        <f t="shared" si="282"/>
        <v>22.035289406060361</v>
      </c>
      <c r="H430" s="75">
        <f>G430*(1-PARAM!$C$27)*$I$4+(MOD($B430,60)=PARAM!$B$56)*($B430&gt;(60-PARAM!$B$56))*HLOOKUP(($B430+PARAM!$B$56)/12,Loyalty,2)*$F$1*MAX(J429,0)</f>
        <v>18.443537232872522</v>
      </c>
      <c r="I430" s="75">
        <f>PARAM!$C$26+MAX($G$4-CHOOSE(PARAM!$B$44,MAX(0,J429*$F$1),0),0)*RATES!$L406/12+$H$4*(PARAM!$D$51/12)*RATES!$N406/100</f>
        <v>67.833333333333343</v>
      </c>
      <c r="J430" s="16">
        <f t="shared" si="283"/>
        <v>-2309.0133891010641</v>
      </c>
      <c r="K430" s="15">
        <f t="shared" si="284"/>
        <v>22.170849845882874</v>
      </c>
      <c r="L430" s="75">
        <f>K430*(1-PARAM!$C$27)*$I$5+(MOD($B430,60)=PARAM!$B$56)*($B430&gt;(60-PARAM!$B$56))*HLOOKUP(($B430+PARAM!$B$56)/12,Loyalty,2)*$F$1*MAX(N429,0)</f>
        <v>18.557001321003963</v>
      </c>
      <c r="M430" s="75">
        <f>PARAM!$C$26+MAX($G$5-CHOOSE(PARAM!$B$44,MAX(0,N429*$F$1),0),0)*RATES!$L406/12+$H$5*(PARAM!$D$51/12)*RATES!$N406/100</f>
        <v>67.833333333333343</v>
      </c>
      <c r="N430" s="16">
        <f t="shared" si="285"/>
        <v>-2260.269825184299</v>
      </c>
      <c r="O430" s="15">
        <f t="shared" si="286"/>
        <v>22.170849845882874</v>
      </c>
      <c r="P430" s="75">
        <f>O430*(1-PARAM!$C$27)*$I$6+(MOD($B430,60)=PARAM!$B$56)*($B430&gt;(60-PARAM!$B$56))*HLOOKUP(($B430+PARAM!$B$56)/12,Loyalty,2)*$F$1*MAX(R429,0)</f>
        <v>18.557001321003963</v>
      </c>
      <c r="Q430" s="75">
        <f>PARAM!$C$26+MAX($G$6-CHOOSE(PARAM!$B$44,MAX(0,R429*$F$1),0),0)*RATES!$L406/12+$H$6*(PARAM!$D$51/12)*RATES!$N406/100</f>
        <v>67.833333333333343</v>
      </c>
      <c r="R430" s="16">
        <f t="shared" si="287"/>
        <v>-2260.269825184299</v>
      </c>
      <c r="S430" s="15">
        <f t="shared" si="262"/>
        <v>22.170849845882874</v>
      </c>
      <c r="T430" s="75">
        <f>S430*(1-PARAM!$C$27)*$I$7+(MOD($B430,60)=PARAM!$B$56)*($B430&gt;(60-PARAM!$B$56))*HLOOKUP(($B430+PARAM!$B$56)/12,Loyalty,2)*$F$1*MAX(V429,0)</f>
        <v>18.557001321003963</v>
      </c>
      <c r="U430" s="75">
        <f>PARAM!$C$26+MAX($G$7-CHOOSE(PARAM!$B$44,MAX(0,V429*$F$1),0),0)*RATES!$L406/12+$H$7*(PARAM!$D$51/12)*RATES!$N406/100</f>
        <v>67.833333333333343</v>
      </c>
      <c r="V430" s="16">
        <f t="shared" si="288"/>
        <v>-2260.269825184299</v>
      </c>
      <c r="W430" s="15">
        <f t="shared" si="263"/>
        <v>22.170849845882874</v>
      </c>
      <c r="X430" s="75">
        <f>W430*(1-PARAM!$C$27)*$I$8+(MOD($B430,60)=PARAM!$B$56)*($B430&gt;(60-PARAM!$B$56))*HLOOKUP(($B430+PARAM!$B$56)/12,Loyalty,2)*$F$1*MAX(Z429,0)</f>
        <v>18.557001321003963</v>
      </c>
      <c r="Y430" s="75">
        <f>PARAM!$C$26+MAX($G$8-CHOOSE(PARAM!$B$44,MAX(0,Z429*$F$1),0),0)*RATES!$L406/12+$H$8*(PARAM!$D$51/12)*RATES!$N406/100</f>
        <v>67.833333333333343</v>
      </c>
      <c r="Z430" s="16">
        <f t="shared" si="289"/>
        <v>-2260.269825184299</v>
      </c>
      <c r="AA430" s="15">
        <f t="shared" si="264"/>
        <v>22.170849845882874</v>
      </c>
      <c r="AB430" s="75">
        <f>AA430*(1-PARAM!$C$27)*$I$9+(MOD($B430,60)=PARAM!$B$56)*($B430&gt;(60-PARAM!$B$56))*HLOOKUP(($B430+PARAM!$B$56)/12,Loyalty,2)*$F$1*MAX(AD429,0)</f>
        <v>18.557001321003963</v>
      </c>
      <c r="AC430" s="75">
        <f>PARAM!$C$26+MAX($G$9-CHOOSE(PARAM!$B$44,MAX(0,AD429*$F$1),0),0)*RATES!$L406/12+$H$9*(PARAM!$D$51/12)*RATES!$N406/100</f>
        <v>67.833333333333343</v>
      </c>
      <c r="AD430" s="16">
        <f t="shared" si="290"/>
        <v>-2260.269825184299</v>
      </c>
      <c r="AE430" s="15">
        <f t="shared" si="265"/>
        <v>22.170849845882874</v>
      </c>
      <c r="AF430" s="75">
        <f>AE430*(1-PARAM!$C$27)*$I$10+(MOD($B430,60)=PARAM!$B$56)*($B430&gt;(60-PARAM!$B$56))*HLOOKUP(($B430+PARAM!$B$56)/12,Loyalty,2)*$F$1*MAX(AH429,0)</f>
        <v>18.557001321003963</v>
      </c>
      <c r="AG430" s="75">
        <f>PARAM!$C$26+MAX($G$10-CHOOSE(PARAM!$B$44,MAX(0,AH429*$F$1),0),0)*RATES!$L406/12+$H$10*(PARAM!$D$51/12)*RATES!$N406/100</f>
        <v>67.833333333333343</v>
      </c>
      <c r="AH430" s="16">
        <f t="shared" si="291"/>
        <v>-2260.269825184299</v>
      </c>
      <c r="AI430" s="15">
        <f t="shared" si="266"/>
        <v>22.170849845882874</v>
      </c>
      <c r="AJ430" s="75">
        <f>AI430*(1-PARAM!$C$27)*$I$11+(MOD($B430,60)=PARAM!$B$56)*($B430&gt;(60-PARAM!$B$56))*HLOOKUP(($B430+PARAM!$B$56)/12,Loyalty,2)*$F$1*MAX(AL429,0)</f>
        <v>18.557001321003963</v>
      </c>
      <c r="AK430" s="75">
        <f>PARAM!$C$26+MAX($G$11-CHOOSE(PARAM!$B$44,MAX(0,AL429*$F$1),0),0)*RATES!$L406/12+$H$11*(PARAM!$D$51/12)*RATES!$N406/100</f>
        <v>67.833333333333343</v>
      </c>
      <c r="AL430" s="16">
        <f t="shared" si="292"/>
        <v>-2260.269825184299</v>
      </c>
      <c r="AM430" s="15">
        <f t="shared" si="267"/>
        <v>22.170849845882874</v>
      </c>
      <c r="AN430" s="75">
        <f>AM430*(1-PARAM!$C$27)*$I$12+(MOD($B430,60)=PARAM!$B$56)*($B430&gt;(60-PARAM!$B$56))*HLOOKUP(($B430+PARAM!$B$56)/12,Loyalty,2)*$F$1*MAX(AP429,0)</f>
        <v>18.557001321003963</v>
      </c>
      <c r="AO430" s="75">
        <f>PARAM!$C$26+MAX($G$12-CHOOSE(PARAM!$B$44,MAX(0,AP429*$F$1),0),0)*RATES!$L406/12+$H$12*(PARAM!$D$51/12)*RATES!$N406/100</f>
        <v>67.833333333333343</v>
      </c>
      <c r="AP430" s="16">
        <f t="shared" si="293"/>
        <v>-2260.269825184299</v>
      </c>
      <c r="AQ430" s="15">
        <f t="shared" si="268"/>
        <v>22.170849845882874</v>
      </c>
      <c r="AR430" s="75">
        <f>AQ430*(1-PARAM!$C$27)*$I$13+(MOD($B430,60)=PARAM!$B$56)*($B430&gt;(60-PARAM!$B$56))*HLOOKUP(($B430+PARAM!$B$56)/12,Loyalty,2)*$F$1*MAX(AT429,0)</f>
        <v>18.557001321003963</v>
      </c>
      <c r="AS430" s="75">
        <f>PARAM!$C$26+MAX($G$13-CHOOSE(PARAM!$B$44,MAX(0,AT429*$F$1),0),0)*RATES!$L406/12+$H$13*(PARAM!$D$51/12)*RATES!$N406/100</f>
        <v>67.833333333333343</v>
      </c>
      <c r="AT430" s="16">
        <f t="shared" si="294"/>
        <v>-2260.269825184299</v>
      </c>
      <c r="AU430" s="15">
        <f t="shared" si="269"/>
        <v>22.170849845882874</v>
      </c>
      <c r="AV430" s="75">
        <f>AU430*(1-PARAM!$C$27)*$I$14+(MOD($B430,60)=PARAM!$B$56)*($B430&gt;(60-PARAM!$B$56))*HLOOKUP(($B430+PARAM!$B$56)/12,Loyalty,2)*$F$1*MAX(AX429,0)</f>
        <v>18.557001321003963</v>
      </c>
      <c r="AW430" s="75">
        <f>PARAM!$C$26+MAX($G$14-CHOOSE(PARAM!$B$44,MAX(0,AX429*$F$1),0),0)*RATES!$L406/12+$H$14*(PARAM!$D$51/12)*RATES!$N406/100</f>
        <v>67.833333333333343</v>
      </c>
      <c r="AX430" s="16">
        <f t="shared" si="295"/>
        <v>-2260.269825184299</v>
      </c>
      <c r="AY430" s="15">
        <f t="shared" si="270"/>
        <v>22.170849845882874</v>
      </c>
      <c r="AZ430" s="75">
        <f>AY430*(1-PARAM!$C$27)*$I$15+(MOD($B430,60)=PARAM!$B$56)*($B430&gt;(60-PARAM!$B$56))*HLOOKUP(($B430+PARAM!$B$56)/12,Loyalty,2)*$F$1*MAX(BB429,0)</f>
        <v>18.557001321003963</v>
      </c>
      <c r="BA430" s="75">
        <f>PARAM!$C$26+MAX($G$15-CHOOSE(PARAM!$B$44,MAX(0,BB429*$F$1),0),0)*RATES!$L406/12+$H$15*(PARAM!$D$51/12)*RATES!$N406/100</f>
        <v>67.833333333333343</v>
      </c>
      <c r="BB430" s="16">
        <f t="shared" si="296"/>
        <v>-2260.269825184299</v>
      </c>
      <c r="BC430" s="15">
        <f t="shared" si="271"/>
        <v>22.170849845882874</v>
      </c>
      <c r="BD430" s="75">
        <f>BC430*(1-PARAM!$C$27)*$I$16+(MOD($B430,60)=PARAM!$B$56)*($B430&gt;(60-PARAM!$B$56))*HLOOKUP(($B430+PARAM!$B$56)/12,Loyalty,2)*$F$1*MAX(BF429,0)</f>
        <v>18.557001321003963</v>
      </c>
      <c r="BE430" s="75">
        <f>PARAM!$C$26+MAX($G$16-CHOOSE(PARAM!$B$44,MAX(0,BF429*$F$1),0),0)*RATES!$L406/12+$H$16*(PARAM!$D$51/12)*RATES!$N406/100</f>
        <v>67.833333333333343</v>
      </c>
      <c r="BF430" s="16">
        <f t="shared" si="297"/>
        <v>-2260.269825184299</v>
      </c>
      <c r="BG430" s="15">
        <f t="shared" si="272"/>
        <v>22.170849845882874</v>
      </c>
      <c r="BH430" s="75">
        <f>BG430*(1-PARAM!$C$27)*$I$17+(MOD($B430,60)=PARAM!$B$56)*($B430&gt;(60-PARAM!$B$56))*HLOOKUP(($B430+PARAM!$B$56)/12,Loyalty,2)*$F$1*MAX(BJ429,0)</f>
        <v>18.557001321003963</v>
      </c>
      <c r="BI430" s="75">
        <f>PARAM!$C$26+MAX($G$17-CHOOSE(PARAM!$B$44,MAX(0,BJ429*$F$1),0),0)*RATES!$L406/12+$H$17*(PARAM!$D$51/12)*RATES!$N406/100</f>
        <v>67.833333333333343</v>
      </c>
      <c r="BJ430" s="16">
        <f t="shared" si="298"/>
        <v>-2260.269825184299</v>
      </c>
      <c r="BK430" s="15">
        <f t="shared" si="273"/>
        <v>22.170849845882874</v>
      </c>
      <c r="BL430" s="75">
        <f>BK430*(1-PARAM!$C$27)*$I$18+(MOD($B430,60)=PARAM!$B$56)*($B430&gt;(60-PARAM!$B$56))*HLOOKUP(($B430+PARAM!$B$56)/12,Loyalty,2)*$F$1*MAX(BN429,0)</f>
        <v>18.557001321003963</v>
      </c>
      <c r="BM430" s="75">
        <f>PARAM!$C$26+MAX($G$18-CHOOSE(PARAM!$B$44,MAX(0,BN429*$F$1),0),0)*RATES!$L406/12+$H$18*(PARAM!$D$51/12)*RATES!$N406/100</f>
        <v>67.833333333333343</v>
      </c>
      <c r="BN430" s="16">
        <f t="shared" si="299"/>
        <v>-2260.269825184299</v>
      </c>
      <c r="BO430" s="15">
        <f t="shared" si="274"/>
        <v>22.170849845882874</v>
      </c>
      <c r="BP430" s="75">
        <f>BO430*(1-PARAM!$C$27)*$I$19+(MOD($B430,60)=PARAM!$B$56)*($B430&gt;(60-PARAM!$B$56))*HLOOKUP(($B430+PARAM!$B$56)/12,Loyalty,2)*$F$1*MAX(BR429,0)</f>
        <v>18.557001321003963</v>
      </c>
      <c r="BQ430" s="75">
        <f>PARAM!$C$26+MAX($G$19-CHOOSE(PARAM!$B$44,MAX(0,BR429*$F$1),0),0)*RATES!$L406/12+$H$19*(PARAM!$D$51/12)*RATES!$N406/100</f>
        <v>67.833333333333343</v>
      </c>
      <c r="BR430" s="16">
        <f t="shared" si="300"/>
        <v>-2260.269825184299</v>
      </c>
      <c r="BS430" s="15">
        <f t="shared" si="275"/>
        <v>22.170849845882874</v>
      </c>
      <c r="BT430" s="75">
        <f>BS430*(1-PARAM!$C$27)*$I$20+(MOD($B430,60)=PARAM!$B$56)*($B430&gt;(60-PARAM!$B$56))*HLOOKUP(($B430+PARAM!$B$56)/12,Loyalty,2)*$F$1*MAX(BV429,0)</f>
        <v>18.557001321003963</v>
      </c>
      <c r="BU430" s="75">
        <f>PARAM!$C$26+MAX($G$20-CHOOSE(PARAM!$B$44,MAX(0,BV429*$F$1),0),0)*RATES!$L406/12+$H$20*(PARAM!$D$51/12)*RATES!$N406/100</f>
        <v>67.833333333333343</v>
      </c>
      <c r="BV430" s="16">
        <f t="shared" si="301"/>
        <v>-2260.269825184299</v>
      </c>
      <c r="BW430" s="15">
        <f t="shared" si="276"/>
        <v>22.170849845882874</v>
      </c>
      <c r="BX430" s="75">
        <f>BW430*(1-PARAM!$C$27)*$I$21+(MOD($B430,60)=PARAM!$B$56)*($B430&gt;(60-PARAM!$B$56))*HLOOKUP(($B430+PARAM!$B$56)/12,Loyalty,2)*$F$1*MAX(BZ429,0)</f>
        <v>18.557001321003963</v>
      </c>
      <c r="BY430" s="75">
        <f>PARAM!$C$26+MAX($G$21-CHOOSE(PARAM!$B$44,MAX(0,BZ429*$F$1),0),0)*RATES!$L406/12+$H$21*(PARAM!$D$51/12)*RATES!$N406/100</f>
        <v>67.833333333333343</v>
      </c>
      <c r="BZ430" s="16">
        <f t="shared" si="302"/>
        <v>-2260.269825184299</v>
      </c>
      <c r="CA430" s="15">
        <f t="shared" si="277"/>
        <v>22.170849845882874</v>
      </c>
      <c r="CB430" s="75">
        <f>CA430*(1-PARAM!$C$27)*$I$22+(MOD($B430,60)=PARAM!$B$56)*($B430&gt;(60-PARAM!$B$56))*HLOOKUP(($B430+PARAM!$B$56)/12,Loyalty,2)*$F$1*MAX(CD429,0)</f>
        <v>18.557001321003963</v>
      </c>
      <c r="CC430" s="75">
        <f>PARAM!$C$26+MAX($G$22-CHOOSE(PARAM!$B$44,MAX(0,CD429*$F$1),0),0)*RATES!$L406/12+$H$22*(PARAM!$D$51/12)*RATES!$N406/100</f>
        <v>67.833333333333343</v>
      </c>
      <c r="CD430" s="16">
        <f t="shared" si="303"/>
        <v>-2260.269825184299</v>
      </c>
      <c r="CE430" s="33">
        <f>IF(0=MOD(B430,12/PARAM!$D$51),1,0)</f>
        <v>1</v>
      </c>
      <c r="CF430" s="15">
        <f t="shared" si="278"/>
        <v>0</v>
      </c>
      <c r="CG430" s="75">
        <f>CF430*(1-PARAM!$C$27)*$R$3+(MOD($B430/12,5)=0)*($B430&gt;60)*HLOOKUP($B430/12,Loyalty,2)*$F$1*MAX(CI429,0)</f>
        <v>0</v>
      </c>
      <c r="CH430" s="75">
        <f>PARAM!$C$26+MAX($P$3-CHOOSE(PARAM!$B$44,MAX(0,CI429*$F$1),0),0)*RATES!$L406/12+$Q$3*(PARAM!$D$51/12)*RATES!$N406/100</f>
        <v>67.833333333333343</v>
      </c>
      <c r="CI430" s="16">
        <f>IF(CI429&gt;0,CI429*PARAM!$C$53,CI429)+CG430-CH430</f>
        <v>-9619.1666666666551</v>
      </c>
      <c r="CJ430" s="15">
        <f t="shared" si="304"/>
        <v>0</v>
      </c>
      <c r="CK430" s="75">
        <f>CJ430*(1-PARAM!$C$27)*$R$4+(MOD($B430/12,5)=0)*($B430&gt;60)*HLOOKUP($B430/12,Loyalty,2)*$F$1*MAX(CM429,0)</f>
        <v>0</v>
      </c>
      <c r="CL430" s="75">
        <f>PARAM!$C$26+MAX($P$4-CHOOSE(PARAM!$B$44,MAX(0,CM429*$F$1),0),0)*RATES!$L406/12+$Q$4*(PARAM!$D$51/12)*RATES!$N406/100</f>
        <v>67.833333333333343</v>
      </c>
      <c r="CM430" s="16">
        <f>IF(CM429&gt;0,CM429*PARAM!$C$53,CM429)+CK430-CL430</f>
        <v>-9619.1666666666551</v>
      </c>
      <c r="CO430" s="176"/>
    </row>
    <row r="431" spans="1:93" x14ac:dyDescent="0.2">
      <c r="A431" t="b">
        <f t="shared" si="279"/>
        <v>0</v>
      </c>
      <c r="B431" s="33">
        <v>404</v>
      </c>
      <c r="C431" s="15">
        <f t="shared" si="280"/>
        <v>20.081305947392778</v>
      </c>
      <c r="D431" s="75">
        <f>C431*(1-PARAM!$C$27)*$I$3+(MOD($B431,60)=PARAM!$B$56)*($B431&gt;(60-PARAM!$B$56))*HLOOKUP(($B431+PARAM!$B$56)/12,Loyalty,2)*$F$1*MAX(F430,0)</f>
        <v>16.808053077967756</v>
      </c>
      <c r="E431" s="75">
        <f>PARAM!$C$26+MAX($G$3-CHOOSE(PARAM!$B$44,MAX(0,F430*$F$1),0),0)*RATES!$L407/12+$H$3*(PARAM!$D$51/12)*RATES!$N407/100</f>
        <v>67.833333333333343</v>
      </c>
      <c r="F431" s="16">
        <f t="shared" si="281"/>
        <v>-3052.9717479047649</v>
      </c>
      <c r="G431" s="15">
        <f t="shared" si="282"/>
        <v>22.035289406060361</v>
      </c>
      <c r="H431" s="75">
        <f>G431*(1-PARAM!$C$27)*$I$4+(MOD($B431,60)=PARAM!$B$56)*($B431&gt;(60-PARAM!$B$56))*HLOOKUP(($B431+PARAM!$B$56)/12,Loyalty,2)*$F$1*MAX(J430,0)</f>
        <v>18.443537232872522</v>
      </c>
      <c r="I431" s="75">
        <f>PARAM!$C$26+MAX($G$4-CHOOSE(PARAM!$B$44,MAX(0,J430*$F$1),0),0)*RATES!$L407/12+$H$4*(PARAM!$D$51/12)*RATES!$N407/100</f>
        <v>67.833333333333343</v>
      </c>
      <c r="J431" s="16">
        <f t="shared" si="283"/>
        <v>-2358.403185201525</v>
      </c>
      <c r="K431" s="15">
        <f t="shared" si="284"/>
        <v>22.170849845882874</v>
      </c>
      <c r="L431" s="75">
        <f>K431*(1-PARAM!$C$27)*$I$5+(MOD($B431,60)=PARAM!$B$56)*($B431&gt;(60-PARAM!$B$56))*HLOOKUP(($B431+PARAM!$B$56)/12,Loyalty,2)*$F$1*MAX(N430,0)</f>
        <v>18.557001321003963</v>
      </c>
      <c r="M431" s="75">
        <f>PARAM!$C$26+MAX($G$5-CHOOSE(PARAM!$B$44,MAX(0,N430*$F$1),0),0)*RATES!$L407/12+$H$5*(PARAM!$D$51/12)*RATES!$N407/100</f>
        <v>67.833333333333343</v>
      </c>
      <c r="N431" s="16">
        <f t="shared" si="285"/>
        <v>-2309.5461571966284</v>
      </c>
      <c r="O431" s="15">
        <f t="shared" si="286"/>
        <v>22.170849845882874</v>
      </c>
      <c r="P431" s="75">
        <f>O431*(1-PARAM!$C$27)*$I$6+(MOD($B431,60)=PARAM!$B$56)*($B431&gt;(60-PARAM!$B$56))*HLOOKUP(($B431+PARAM!$B$56)/12,Loyalty,2)*$F$1*MAX(R430,0)</f>
        <v>18.557001321003963</v>
      </c>
      <c r="Q431" s="75">
        <f>PARAM!$C$26+MAX($G$6-CHOOSE(PARAM!$B$44,MAX(0,R430*$F$1),0),0)*RATES!$L407/12+$H$6*(PARAM!$D$51/12)*RATES!$N407/100</f>
        <v>67.833333333333343</v>
      </c>
      <c r="R431" s="16">
        <f t="shared" si="287"/>
        <v>-2309.5461571966284</v>
      </c>
      <c r="S431" s="15">
        <f t="shared" si="262"/>
        <v>22.170849845882874</v>
      </c>
      <c r="T431" s="75">
        <f>S431*(1-PARAM!$C$27)*$I$7+(MOD($B431,60)=PARAM!$B$56)*($B431&gt;(60-PARAM!$B$56))*HLOOKUP(($B431+PARAM!$B$56)/12,Loyalty,2)*$F$1*MAX(V430,0)</f>
        <v>18.557001321003963</v>
      </c>
      <c r="U431" s="75">
        <f>PARAM!$C$26+MAX($G$7-CHOOSE(PARAM!$B$44,MAX(0,V430*$F$1),0),0)*RATES!$L407/12+$H$7*(PARAM!$D$51/12)*RATES!$N407/100</f>
        <v>67.833333333333343</v>
      </c>
      <c r="V431" s="16">
        <f t="shared" si="288"/>
        <v>-2309.5461571966284</v>
      </c>
      <c r="W431" s="15">
        <f t="shared" si="263"/>
        <v>22.170849845882874</v>
      </c>
      <c r="X431" s="75">
        <f>W431*(1-PARAM!$C$27)*$I$8+(MOD($B431,60)=PARAM!$B$56)*($B431&gt;(60-PARAM!$B$56))*HLOOKUP(($B431+PARAM!$B$56)/12,Loyalty,2)*$F$1*MAX(Z430,0)</f>
        <v>18.557001321003963</v>
      </c>
      <c r="Y431" s="75">
        <f>PARAM!$C$26+MAX($G$8-CHOOSE(PARAM!$B$44,MAX(0,Z430*$F$1),0),0)*RATES!$L407/12+$H$8*(PARAM!$D$51/12)*RATES!$N407/100</f>
        <v>67.833333333333343</v>
      </c>
      <c r="Z431" s="16">
        <f t="shared" si="289"/>
        <v>-2309.5461571966284</v>
      </c>
      <c r="AA431" s="15">
        <f t="shared" si="264"/>
        <v>22.170849845882874</v>
      </c>
      <c r="AB431" s="75">
        <f>AA431*(1-PARAM!$C$27)*$I$9+(MOD($B431,60)=PARAM!$B$56)*($B431&gt;(60-PARAM!$B$56))*HLOOKUP(($B431+PARAM!$B$56)/12,Loyalty,2)*$F$1*MAX(AD430,0)</f>
        <v>18.557001321003963</v>
      </c>
      <c r="AC431" s="75">
        <f>PARAM!$C$26+MAX($G$9-CHOOSE(PARAM!$B$44,MAX(0,AD430*$F$1),0),0)*RATES!$L407/12+$H$9*(PARAM!$D$51/12)*RATES!$N407/100</f>
        <v>67.833333333333343</v>
      </c>
      <c r="AD431" s="16">
        <f t="shared" si="290"/>
        <v>-2309.5461571966284</v>
      </c>
      <c r="AE431" s="15">
        <f t="shared" si="265"/>
        <v>22.170849845882874</v>
      </c>
      <c r="AF431" s="75">
        <f>AE431*(1-PARAM!$C$27)*$I$10+(MOD($B431,60)=PARAM!$B$56)*($B431&gt;(60-PARAM!$B$56))*HLOOKUP(($B431+PARAM!$B$56)/12,Loyalty,2)*$F$1*MAX(AH430,0)</f>
        <v>18.557001321003963</v>
      </c>
      <c r="AG431" s="75">
        <f>PARAM!$C$26+MAX($G$10-CHOOSE(PARAM!$B$44,MAX(0,AH430*$F$1),0),0)*RATES!$L407/12+$H$10*(PARAM!$D$51/12)*RATES!$N407/100</f>
        <v>67.833333333333343</v>
      </c>
      <c r="AH431" s="16">
        <f t="shared" si="291"/>
        <v>-2309.5461571966284</v>
      </c>
      <c r="AI431" s="15">
        <f t="shared" si="266"/>
        <v>22.170849845882874</v>
      </c>
      <c r="AJ431" s="75">
        <f>AI431*(1-PARAM!$C$27)*$I$11+(MOD($B431,60)=PARAM!$B$56)*($B431&gt;(60-PARAM!$B$56))*HLOOKUP(($B431+PARAM!$B$56)/12,Loyalty,2)*$F$1*MAX(AL430,0)</f>
        <v>18.557001321003963</v>
      </c>
      <c r="AK431" s="75">
        <f>PARAM!$C$26+MAX($G$11-CHOOSE(PARAM!$B$44,MAX(0,AL430*$F$1),0),0)*RATES!$L407/12+$H$11*(PARAM!$D$51/12)*RATES!$N407/100</f>
        <v>67.833333333333343</v>
      </c>
      <c r="AL431" s="16">
        <f t="shared" si="292"/>
        <v>-2309.5461571966284</v>
      </c>
      <c r="AM431" s="15">
        <f t="shared" si="267"/>
        <v>22.170849845882874</v>
      </c>
      <c r="AN431" s="75">
        <f>AM431*(1-PARAM!$C$27)*$I$12+(MOD($B431,60)=PARAM!$B$56)*($B431&gt;(60-PARAM!$B$56))*HLOOKUP(($B431+PARAM!$B$56)/12,Loyalty,2)*$F$1*MAX(AP430,0)</f>
        <v>18.557001321003963</v>
      </c>
      <c r="AO431" s="75">
        <f>PARAM!$C$26+MAX($G$12-CHOOSE(PARAM!$B$44,MAX(0,AP430*$F$1),0),0)*RATES!$L407/12+$H$12*(PARAM!$D$51/12)*RATES!$N407/100</f>
        <v>67.833333333333343</v>
      </c>
      <c r="AP431" s="16">
        <f t="shared" si="293"/>
        <v>-2309.5461571966284</v>
      </c>
      <c r="AQ431" s="15">
        <f t="shared" si="268"/>
        <v>22.170849845882874</v>
      </c>
      <c r="AR431" s="75">
        <f>AQ431*(1-PARAM!$C$27)*$I$13+(MOD($B431,60)=PARAM!$B$56)*($B431&gt;(60-PARAM!$B$56))*HLOOKUP(($B431+PARAM!$B$56)/12,Loyalty,2)*$F$1*MAX(AT430,0)</f>
        <v>18.557001321003963</v>
      </c>
      <c r="AS431" s="75">
        <f>PARAM!$C$26+MAX($G$13-CHOOSE(PARAM!$B$44,MAX(0,AT430*$F$1),0),0)*RATES!$L407/12+$H$13*(PARAM!$D$51/12)*RATES!$N407/100</f>
        <v>67.833333333333343</v>
      </c>
      <c r="AT431" s="16">
        <f t="shared" si="294"/>
        <v>-2309.5461571966284</v>
      </c>
      <c r="AU431" s="15">
        <f t="shared" si="269"/>
        <v>22.170849845882874</v>
      </c>
      <c r="AV431" s="75">
        <f>AU431*(1-PARAM!$C$27)*$I$14+(MOD($B431,60)=PARAM!$B$56)*($B431&gt;(60-PARAM!$B$56))*HLOOKUP(($B431+PARAM!$B$56)/12,Loyalty,2)*$F$1*MAX(AX430,0)</f>
        <v>18.557001321003963</v>
      </c>
      <c r="AW431" s="75">
        <f>PARAM!$C$26+MAX($G$14-CHOOSE(PARAM!$B$44,MAX(0,AX430*$F$1),0),0)*RATES!$L407/12+$H$14*(PARAM!$D$51/12)*RATES!$N407/100</f>
        <v>67.833333333333343</v>
      </c>
      <c r="AX431" s="16">
        <f t="shared" si="295"/>
        <v>-2309.5461571966284</v>
      </c>
      <c r="AY431" s="15">
        <f t="shared" si="270"/>
        <v>22.170849845882874</v>
      </c>
      <c r="AZ431" s="75">
        <f>AY431*(1-PARAM!$C$27)*$I$15+(MOD($B431,60)=PARAM!$B$56)*($B431&gt;(60-PARAM!$B$56))*HLOOKUP(($B431+PARAM!$B$56)/12,Loyalty,2)*$F$1*MAX(BB430,0)</f>
        <v>18.557001321003963</v>
      </c>
      <c r="BA431" s="75">
        <f>PARAM!$C$26+MAX($G$15-CHOOSE(PARAM!$B$44,MAX(0,BB430*$F$1),0),0)*RATES!$L407/12+$H$15*(PARAM!$D$51/12)*RATES!$N407/100</f>
        <v>67.833333333333343</v>
      </c>
      <c r="BB431" s="16">
        <f t="shared" si="296"/>
        <v>-2309.5461571966284</v>
      </c>
      <c r="BC431" s="15">
        <f t="shared" si="271"/>
        <v>22.170849845882874</v>
      </c>
      <c r="BD431" s="75">
        <f>BC431*(1-PARAM!$C$27)*$I$16+(MOD($B431,60)=PARAM!$B$56)*($B431&gt;(60-PARAM!$B$56))*HLOOKUP(($B431+PARAM!$B$56)/12,Loyalty,2)*$F$1*MAX(BF430,0)</f>
        <v>18.557001321003963</v>
      </c>
      <c r="BE431" s="75">
        <f>PARAM!$C$26+MAX($G$16-CHOOSE(PARAM!$B$44,MAX(0,BF430*$F$1),0),0)*RATES!$L407/12+$H$16*(PARAM!$D$51/12)*RATES!$N407/100</f>
        <v>67.833333333333343</v>
      </c>
      <c r="BF431" s="16">
        <f t="shared" si="297"/>
        <v>-2309.5461571966284</v>
      </c>
      <c r="BG431" s="15">
        <f t="shared" si="272"/>
        <v>22.170849845882874</v>
      </c>
      <c r="BH431" s="75">
        <f>BG431*(1-PARAM!$C$27)*$I$17+(MOD($B431,60)=PARAM!$B$56)*($B431&gt;(60-PARAM!$B$56))*HLOOKUP(($B431+PARAM!$B$56)/12,Loyalty,2)*$F$1*MAX(BJ430,0)</f>
        <v>18.557001321003963</v>
      </c>
      <c r="BI431" s="75">
        <f>PARAM!$C$26+MAX($G$17-CHOOSE(PARAM!$B$44,MAX(0,BJ430*$F$1),0),0)*RATES!$L407/12+$H$17*(PARAM!$D$51/12)*RATES!$N407/100</f>
        <v>67.833333333333343</v>
      </c>
      <c r="BJ431" s="16">
        <f t="shared" si="298"/>
        <v>-2309.5461571966284</v>
      </c>
      <c r="BK431" s="15">
        <f t="shared" si="273"/>
        <v>22.170849845882874</v>
      </c>
      <c r="BL431" s="75">
        <f>BK431*(1-PARAM!$C$27)*$I$18+(MOD($B431,60)=PARAM!$B$56)*($B431&gt;(60-PARAM!$B$56))*HLOOKUP(($B431+PARAM!$B$56)/12,Loyalty,2)*$F$1*MAX(BN430,0)</f>
        <v>18.557001321003963</v>
      </c>
      <c r="BM431" s="75">
        <f>PARAM!$C$26+MAX($G$18-CHOOSE(PARAM!$B$44,MAX(0,BN430*$F$1),0),0)*RATES!$L407/12+$H$18*(PARAM!$D$51/12)*RATES!$N407/100</f>
        <v>67.833333333333343</v>
      </c>
      <c r="BN431" s="16">
        <f t="shared" si="299"/>
        <v>-2309.5461571966284</v>
      </c>
      <c r="BO431" s="15">
        <f t="shared" si="274"/>
        <v>22.170849845882874</v>
      </c>
      <c r="BP431" s="75">
        <f>BO431*(1-PARAM!$C$27)*$I$19+(MOD($B431,60)=PARAM!$B$56)*($B431&gt;(60-PARAM!$B$56))*HLOOKUP(($B431+PARAM!$B$56)/12,Loyalty,2)*$F$1*MAX(BR430,0)</f>
        <v>18.557001321003963</v>
      </c>
      <c r="BQ431" s="75">
        <f>PARAM!$C$26+MAX($G$19-CHOOSE(PARAM!$B$44,MAX(0,BR430*$F$1),0),0)*RATES!$L407/12+$H$19*(PARAM!$D$51/12)*RATES!$N407/100</f>
        <v>67.833333333333343</v>
      </c>
      <c r="BR431" s="16">
        <f t="shared" si="300"/>
        <v>-2309.5461571966284</v>
      </c>
      <c r="BS431" s="15">
        <f t="shared" si="275"/>
        <v>22.170849845882874</v>
      </c>
      <c r="BT431" s="75">
        <f>BS431*(1-PARAM!$C$27)*$I$20+(MOD($B431,60)=PARAM!$B$56)*($B431&gt;(60-PARAM!$B$56))*HLOOKUP(($B431+PARAM!$B$56)/12,Loyalty,2)*$F$1*MAX(BV430,0)</f>
        <v>18.557001321003963</v>
      </c>
      <c r="BU431" s="75">
        <f>PARAM!$C$26+MAX($G$20-CHOOSE(PARAM!$B$44,MAX(0,BV430*$F$1),0),0)*RATES!$L407/12+$H$20*(PARAM!$D$51/12)*RATES!$N407/100</f>
        <v>67.833333333333343</v>
      </c>
      <c r="BV431" s="16">
        <f t="shared" si="301"/>
        <v>-2309.5461571966284</v>
      </c>
      <c r="BW431" s="15">
        <f t="shared" si="276"/>
        <v>22.170849845882874</v>
      </c>
      <c r="BX431" s="75">
        <f>BW431*(1-PARAM!$C$27)*$I$21+(MOD($B431,60)=PARAM!$B$56)*($B431&gt;(60-PARAM!$B$56))*HLOOKUP(($B431+PARAM!$B$56)/12,Loyalty,2)*$F$1*MAX(BZ430,0)</f>
        <v>18.557001321003963</v>
      </c>
      <c r="BY431" s="75">
        <f>PARAM!$C$26+MAX($G$21-CHOOSE(PARAM!$B$44,MAX(0,BZ430*$F$1),0),0)*RATES!$L407/12+$H$21*(PARAM!$D$51/12)*RATES!$N407/100</f>
        <v>67.833333333333343</v>
      </c>
      <c r="BZ431" s="16">
        <f t="shared" si="302"/>
        <v>-2309.5461571966284</v>
      </c>
      <c r="CA431" s="15">
        <f t="shared" si="277"/>
        <v>22.170849845882874</v>
      </c>
      <c r="CB431" s="75">
        <f>CA431*(1-PARAM!$C$27)*$I$22+(MOD($B431,60)=PARAM!$B$56)*($B431&gt;(60-PARAM!$B$56))*HLOOKUP(($B431+PARAM!$B$56)/12,Loyalty,2)*$F$1*MAX(CD430,0)</f>
        <v>18.557001321003963</v>
      </c>
      <c r="CC431" s="75">
        <f>PARAM!$C$26+MAX($G$22-CHOOSE(PARAM!$B$44,MAX(0,CD430*$F$1),0),0)*RATES!$L407/12+$H$22*(PARAM!$D$51/12)*RATES!$N407/100</f>
        <v>67.833333333333343</v>
      </c>
      <c r="CD431" s="16">
        <f t="shared" si="303"/>
        <v>-2309.5461571966284</v>
      </c>
      <c r="CE431" s="33">
        <f>IF(0=MOD(B431,12/PARAM!$D$51),1,0)</f>
        <v>1</v>
      </c>
      <c r="CF431" s="15">
        <f t="shared" si="278"/>
        <v>0</v>
      </c>
      <c r="CG431" s="75">
        <f>CF431*(1-PARAM!$C$27)*$R$3+(MOD($B431/12,5)=0)*($B431&gt;60)*HLOOKUP($B431/12,Loyalty,2)*$F$1*MAX(CI430,0)</f>
        <v>0</v>
      </c>
      <c r="CH431" s="75">
        <f>PARAM!$C$26+MAX($P$3-CHOOSE(PARAM!$B$44,MAX(0,CI430*$F$1),0),0)*RATES!$L407/12+$Q$3*(PARAM!$D$51/12)*RATES!$N407/100</f>
        <v>67.833333333333343</v>
      </c>
      <c r="CI431" s="16">
        <f>IF(CI430&gt;0,CI430*PARAM!$C$53,CI430)+CG431-CH431</f>
        <v>-9686.9999999999891</v>
      </c>
      <c r="CJ431" s="15">
        <f t="shared" si="304"/>
        <v>0</v>
      </c>
      <c r="CK431" s="75">
        <f>CJ431*(1-PARAM!$C$27)*$R$4+(MOD($B431/12,5)=0)*($B431&gt;60)*HLOOKUP($B431/12,Loyalty,2)*$F$1*MAX(CM430,0)</f>
        <v>0</v>
      </c>
      <c r="CL431" s="75">
        <f>PARAM!$C$26+MAX($P$4-CHOOSE(PARAM!$B$44,MAX(0,CM430*$F$1),0),0)*RATES!$L407/12+$Q$4*(PARAM!$D$51/12)*RATES!$N407/100</f>
        <v>67.833333333333343</v>
      </c>
      <c r="CM431" s="16">
        <f>IF(CM430&gt;0,CM430*PARAM!$C$53,CM430)+CK431-CL431</f>
        <v>-9686.9999999999891</v>
      </c>
      <c r="CO431" s="176"/>
    </row>
    <row r="432" spans="1:93" x14ac:dyDescent="0.2">
      <c r="A432" t="b">
        <f t="shared" si="279"/>
        <v>0</v>
      </c>
      <c r="B432" s="33">
        <v>405</v>
      </c>
      <c r="C432" s="15">
        <f t="shared" si="280"/>
        <v>20.081305947392778</v>
      </c>
      <c r="D432" s="75">
        <f>C432*(1-PARAM!$C$27)*$I$3+(MOD($B432,60)=PARAM!$B$56)*($B432&gt;(60-PARAM!$B$56))*HLOOKUP(($B432+PARAM!$B$56)/12,Loyalty,2)*$F$1*MAX(F431,0)</f>
        <v>16.808053077967756</v>
      </c>
      <c r="E432" s="75">
        <f>PARAM!$C$26+MAX($G$3-CHOOSE(PARAM!$B$44,MAX(0,F431*$F$1),0),0)*RATES!$L408/12+$H$3*(PARAM!$D$51/12)*RATES!$N408/100</f>
        <v>67.833333333333343</v>
      </c>
      <c r="F432" s="16">
        <f t="shared" si="281"/>
        <v>-3103.9970281601309</v>
      </c>
      <c r="G432" s="15">
        <f t="shared" si="282"/>
        <v>22.035289406060361</v>
      </c>
      <c r="H432" s="75">
        <f>G432*(1-PARAM!$C$27)*$I$4+(MOD($B432,60)=PARAM!$B$56)*($B432&gt;(60-PARAM!$B$56))*HLOOKUP(($B432+PARAM!$B$56)/12,Loyalty,2)*$F$1*MAX(J431,0)</f>
        <v>18.443537232872522</v>
      </c>
      <c r="I432" s="75">
        <f>PARAM!$C$26+MAX($G$4-CHOOSE(PARAM!$B$44,MAX(0,J431*$F$1),0),0)*RATES!$L408/12+$H$4*(PARAM!$D$51/12)*RATES!$N408/100</f>
        <v>67.833333333333343</v>
      </c>
      <c r="J432" s="16">
        <f t="shared" si="283"/>
        <v>-2407.7929813019859</v>
      </c>
      <c r="K432" s="15">
        <f t="shared" si="284"/>
        <v>22.170849845882874</v>
      </c>
      <c r="L432" s="75">
        <f>K432*(1-PARAM!$C$27)*$I$5+(MOD($B432,60)=PARAM!$B$56)*($B432&gt;(60-PARAM!$B$56))*HLOOKUP(($B432+PARAM!$B$56)/12,Loyalty,2)*$F$1*MAX(N431,0)</f>
        <v>18.557001321003963</v>
      </c>
      <c r="M432" s="75">
        <f>PARAM!$C$26+MAX($G$5-CHOOSE(PARAM!$B$44,MAX(0,N431*$F$1),0),0)*RATES!$L408/12+$H$5*(PARAM!$D$51/12)*RATES!$N408/100</f>
        <v>67.833333333333343</v>
      </c>
      <c r="N432" s="16">
        <f t="shared" si="285"/>
        <v>-2358.8224892089579</v>
      </c>
      <c r="O432" s="15">
        <f t="shared" si="286"/>
        <v>22.170849845882874</v>
      </c>
      <c r="P432" s="75">
        <f>O432*(1-PARAM!$C$27)*$I$6+(MOD($B432,60)=PARAM!$B$56)*($B432&gt;(60-PARAM!$B$56))*HLOOKUP(($B432+PARAM!$B$56)/12,Loyalty,2)*$F$1*MAX(R431,0)</f>
        <v>18.557001321003963</v>
      </c>
      <c r="Q432" s="75">
        <f>PARAM!$C$26+MAX($G$6-CHOOSE(PARAM!$B$44,MAX(0,R431*$F$1),0),0)*RATES!$L408/12+$H$6*(PARAM!$D$51/12)*RATES!$N408/100</f>
        <v>67.833333333333343</v>
      </c>
      <c r="R432" s="16">
        <f t="shared" si="287"/>
        <v>-2358.8224892089579</v>
      </c>
      <c r="S432" s="15">
        <f t="shared" si="262"/>
        <v>22.170849845882874</v>
      </c>
      <c r="T432" s="75">
        <f>S432*(1-PARAM!$C$27)*$I$7+(MOD($B432,60)=PARAM!$B$56)*($B432&gt;(60-PARAM!$B$56))*HLOOKUP(($B432+PARAM!$B$56)/12,Loyalty,2)*$F$1*MAX(V431,0)</f>
        <v>18.557001321003963</v>
      </c>
      <c r="U432" s="75">
        <f>PARAM!$C$26+MAX($G$7-CHOOSE(PARAM!$B$44,MAX(0,V431*$F$1),0),0)*RATES!$L408/12+$H$7*(PARAM!$D$51/12)*RATES!$N408/100</f>
        <v>67.833333333333343</v>
      </c>
      <c r="V432" s="16">
        <f t="shared" si="288"/>
        <v>-2358.8224892089579</v>
      </c>
      <c r="W432" s="15">
        <f t="shared" si="263"/>
        <v>22.170849845882874</v>
      </c>
      <c r="X432" s="75">
        <f>W432*(1-PARAM!$C$27)*$I$8+(MOD($B432,60)=PARAM!$B$56)*($B432&gt;(60-PARAM!$B$56))*HLOOKUP(($B432+PARAM!$B$56)/12,Loyalty,2)*$F$1*MAX(Z431,0)</f>
        <v>18.557001321003963</v>
      </c>
      <c r="Y432" s="75">
        <f>PARAM!$C$26+MAX($G$8-CHOOSE(PARAM!$B$44,MAX(0,Z431*$F$1),0),0)*RATES!$L408/12+$H$8*(PARAM!$D$51/12)*RATES!$N408/100</f>
        <v>67.833333333333343</v>
      </c>
      <c r="Z432" s="16">
        <f t="shared" si="289"/>
        <v>-2358.8224892089579</v>
      </c>
      <c r="AA432" s="15">
        <f t="shared" si="264"/>
        <v>22.170849845882874</v>
      </c>
      <c r="AB432" s="75">
        <f>AA432*(1-PARAM!$C$27)*$I$9+(MOD($B432,60)=PARAM!$B$56)*($B432&gt;(60-PARAM!$B$56))*HLOOKUP(($B432+PARAM!$B$56)/12,Loyalty,2)*$F$1*MAX(AD431,0)</f>
        <v>18.557001321003963</v>
      </c>
      <c r="AC432" s="75">
        <f>PARAM!$C$26+MAX($G$9-CHOOSE(PARAM!$B$44,MAX(0,AD431*$F$1),0),0)*RATES!$L408/12+$H$9*(PARAM!$D$51/12)*RATES!$N408/100</f>
        <v>67.833333333333343</v>
      </c>
      <c r="AD432" s="16">
        <f t="shared" si="290"/>
        <v>-2358.8224892089579</v>
      </c>
      <c r="AE432" s="15">
        <f t="shared" si="265"/>
        <v>22.170849845882874</v>
      </c>
      <c r="AF432" s="75">
        <f>AE432*(1-PARAM!$C$27)*$I$10+(MOD($B432,60)=PARAM!$B$56)*($B432&gt;(60-PARAM!$B$56))*HLOOKUP(($B432+PARAM!$B$56)/12,Loyalty,2)*$F$1*MAX(AH431,0)</f>
        <v>18.557001321003963</v>
      </c>
      <c r="AG432" s="75">
        <f>PARAM!$C$26+MAX($G$10-CHOOSE(PARAM!$B$44,MAX(0,AH431*$F$1),0),0)*RATES!$L408/12+$H$10*(PARAM!$D$51/12)*RATES!$N408/100</f>
        <v>67.833333333333343</v>
      </c>
      <c r="AH432" s="16">
        <f t="shared" si="291"/>
        <v>-2358.8224892089579</v>
      </c>
      <c r="AI432" s="15">
        <f t="shared" si="266"/>
        <v>22.170849845882874</v>
      </c>
      <c r="AJ432" s="75">
        <f>AI432*(1-PARAM!$C$27)*$I$11+(MOD($B432,60)=PARAM!$B$56)*($B432&gt;(60-PARAM!$B$56))*HLOOKUP(($B432+PARAM!$B$56)/12,Loyalty,2)*$F$1*MAX(AL431,0)</f>
        <v>18.557001321003963</v>
      </c>
      <c r="AK432" s="75">
        <f>PARAM!$C$26+MAX($G$11-CHOOSE(PARAM!$B$44,MAX(0,AL431*$F$1),0),0)*RATES!$L408/12+$H$11*(PARAM!$D$51/12)*RATES!$N408/100</f>
        <v>67.833333333333343</v>
      </c>
      <c r="AL432" s="16">
        <f t="shared" si="292"/>
        <v>-2358.8224892089579</v>
      </c>
      <c r="AM432" s="15">
        <f t="shared" si="267"/>
        <v>22.170849845882874</v>
      </c>
      <c r="AN432" s="75">
        <f>AM432*(1-PARAM!$C$27)*$I$12+(MOD($B432,60)=PARAM!$B$56)*($B432&gt;(60-PARAM!$B$56))*HLOOKUP(($B432+PARAM!$B$56)/12,Loyalty,2)*$F$1*MAX(AP431,0)</f>
        <v>18.557001321003963</v>
      </c>
      <c r="AO432" s="75">
        <f>PARAM!$C$26+MAX($G$12-CHOOSE(PARAM!$B$44,MAX(0,AP431*$F$1),0),0)*RATES!$L408/12+$H$12*(PARAM!$D$51/12)*RATES!$N408/100</f>
        <v>67.833333333333343</v>
      </c>
      <c r="AP432" s="16">
        <f t="shared" si="293"/>
        <v>-2358.8224892089579</v>
      </c>
      <c r="AQ432" s="15">
        <f t="shared" si="268"/>
        <v>22.170849845882874</v>
      </c>
      <c r="AR432" s="75">
        <f>AQ432*(1-PARAM!$C$27)*$I$13+(MOD($B432,60)=PARAM!$B$56)*($B432&gt;(60-PARAM!$B$56))*HLOOKUP(($B432+PARAM!$B$56)/12,Loyalty,2)*$F$1*MAX(AT431,0)</f>
        <v>18.557001321003963</v>
      </c>
      <c r="AS432" s="75">
        <f>PARAM!$C$26+MAX($G$13-CHOOSE(PARAM!$B$44,MAX(0,AT431*$F$1),0),0)*RATES!$L408/12+$H$13*(PARAM!$D$51/12)*RATES!$N408/100</f>
        <v>67.833333333333343</v>
      </c>
      <c r="AT432" s="16">
        <f t="shared" si="294"/>
        <v>-2358.8224892089579</v>
      </c>
      <c r="AU432" s="15">
        <f t="shared" si="269"/>
        <v>22.170849845882874</v>
      </c>
      <c r="AV432" s="75">
        <f>AU432*(1-PARAM!$C$27)*$I$14+(MOD($B432,60)=PARAM!$B$56)*($B432&gt;(60-PARAM!$B$56))*HLOOKUP(($B432+PARAM!$B$56)/12,Loyalty,2)*$F$1*MAX(AX431,0)</f>
        <v>18.557001321003963</v>
      </c>
      <c r="AW432" s="75">
        <f>PARAM!$C$26+MAX($G$14-CHOOSE(PARAM!$B$44,MAX(0,AX431*$F$1),0),0)*RATES!$L408/12+$H$14*(PARAM!$D$51/12)*RATES!$N408/100</f>
        <v>67.833333333333343</v>
      </c>
      <c r="AX432" s="16">
        <f t="shared" si="295"/>
        <v>-2358.8224892089579</v>
      </c>
      <c r="AY432" s="15">
        <f t="shared" si="270"/>
        <v>22.170849845882874</v>
      </c>
      <c r="AZ432" s="75">
        <f>AY432*(1-PARAM!$C$27)*$I$15+(MOD($B432,60)=PARAM!$B$56)*($B432&gt;(60-PARAM!$B$56))*HLOOKUP(($B432+PARAM!$B$56)/12,Loyalty,2)*$F$1*MAX(BB431,0)</f>
        <v>18.557001321003963</v>
      </c>
      <c r="BA432" s="75">
        <f>PARAM!$C$26+MAX($G$15-CHOOSE(PARAM!$B$44,MAX(0,BB431*$F$1),0),0)*RATES!$L408/12+$H$15*(PARAM!$D$51/12)*RATES!$N408/100</f>
        <v>67.833333333333343</v>
      </c>
      <c r="BB432" s="16">
        <f t="shared" si="296"/>
        <v>-2358.8224892089579</v>
      </c>
      <c r="BC432" s="15">
        <f t="shared" si="271"/>
        <v>22.170849845882874</v>
      </c>
      <c r="BD432" s="75">
        <f>BC432*(1-PARAM!$C$27)*$I$16+(MOD($B432,60)=PARAM!$B$56)*($B432&gt;(60-PARAM!$B$56))*HLOOKUP(($B432+PARAM!$B$56)/12,Loyalty,2)*$F$1*MAX(BF431,0)</f>
        <v>18.557001321003963</v>
      </c>
      <c r="BE432" s="75">
        <f>PARAM!$C$26+MAX($G$16-CHOOSE(PARAM!$B$44,MAX(0,BF431*$F$1),0),0)*RATES!$L408/12+$H$16*(PARAM!$D$51/12)*RATES!$N408/100</f>
        <v>67.833333333333343</v>
      </c>
      <c r="BF432" s="16">
        <f t="shared" si="297"/>
        <v>-2358.8224892089579</v>
      </c>
      <c r="BG432" s="15">
        <f t="shared" si="272"/>
        <v>22.170849845882874</v>
      </c>
      <c r="BH432" s="75">
        <f>BG432*(1-PARAM!$C$27)*$I$17+(MOD($B432,60)=PARAM!$B$56)*($B432&gt;(60-PARAM!$B$56))*HLOOKUP(($B432+PARAM!$B$56)/12,Loyalty,2)*$F$1*MAX(BJ431,0)</f>
        <v>18.557001321003963</v>
      </c>
      <c r="BI432" s="75">
        <f>PARAM!$C$26+MAX($G$17-CHOOSE(PARAM!$B$44,MAX(0,BJ431*$F$1),0),0)*RATES!$L408/12+$H$17*(PARAM!$D$51/12)*RATES!$N408/100</f>
        <v>67.833333333333343</v>
      </c>
      <c r="BJ432" s="16">
        <f t="shared" si="298"/>
        <v>-2358.8224892089579</v>
      </c>
      <c r="BK432" s="15">
        <f t="shared" si="273"/>
        <v>22.170849845882874</v>
      </c>
      <c r="BL432" s="75">
        <f>BK432*(1-PARAM!$C$27)*$I$18+(MOD($B432,60)=PARAM!$B$56)*($B432&gt;(60-PARAM!$B$56))*HLOOKUP(($B432+PARAM!$B$56)/12,Loyalty,2)*$F$1*MAX(BN431,0)</f>
        <v>18.557001321003963</v>
      </c>
      <c r="BM432" s="75">
        <f>PARAM!$C$26+MAX($G$18-CHOOSE(PARAM!$B$44,MAX(0,BN431*$F$1),0),0)*RATES!$L408/12+$H$18*(PARAM!$D$51/12)*RATES!$N408/100</f>
        <v>67.833333333333343</v>
      </c>
      <c r="BN432" s="16">
        <f t="shared" si="299"/>
        <v>-2358.8224892089579</v>
      </c>
      <c r="BO432" s="15">
        <f t="shared" si="274"/>
        <v>22.170849845882874</v>
      </c>
      <c r="BP432" s="75">
        <f>BO432*(1-PARAM!$C$27)*$I$19+(MOD($B432,60)=PARAM!$B$56)*($B432&gt;(60-PARAM!$B$56))*HLOOKUP(($B432+PARAM!$B$56)/12,Loyalty,2)*$F$1*MAX(BR431,0)</f>
        <v>18.557001321003963</v>
      </c>
      <c r="BQ432" s="75">
        <f>PARAM!$C$26+MAX($G$19-CHOOSE(PARAM!$B$44,MAX(0,BR431*$F$1),0),0)*RATES!$L408/12+$H$19*(PARAM!$D$51/12)*RATES!$N408/100</f>
        <v>67.833333333333343</v>
      </c>
      <c r="BR432" s="16">
        <f t="shared" si="300"/>
        <v>-2358.8224892089579</v>
      </c>
      <c r="BS432" s="15">
        <f t="shared" si="275"/>
        <v>22.170849845882874</v>
      </c>
      <c r="BT432" s="75">
        <f>BS432*(1-PARAM!$C$27)*$I$20+(MOD($B432,60)=PARAM!$B$56)*($B432&gt;(60-PARAM!$B$56))*HLOOKUP(($B432+PARAM!$B$56)/12,Loyalty,2)*$F$1*MAX(BV431,0)</f>
        <v>18.557001321003963</v>
      </c>
      <c r="BU432" s="75">
        <f>PARAM!$C$26+MAX($G$20-CHOOSE(PARAM!$B$44,MAX(0,BV431*$F$1),0),0)*RATES!$L408/12+$H$20*(PARAM!$D$51/12)*RATES!$N408/100</f>
        <v>67.833333333333343</v>
      </c>
      <c r="BV432" s="16">
        <f t="shared" si="301"/>
        <v>-2358.8224892089579</v>
      </c>
      <c r="BW432" s="15">
        <f t="shared" si="276"/>
        <v>22.170849845882874</v>
      </c>
      <c r="BX432" s="75">
        <f>BW432*(1-PARAM!$C$27)*$I$21+(MOD($B432,60)=PARAM!$B$56)*($B432&gt;(60-PARAM!$B$56))*HLOOKUP(($B432+PARAM!$B$56)/12,Loyalty,2)*$F$1*MAX(BZ431,0)</f>
        <v>18.557001321003963</v>
      </c>
      <c r="BY432" s="75">
        <f>PARAM!$C$26+MAX($G$21-CHOOSE(PARAM!$B$44,MAX(0,BZ431*$F$1),0),0)*RATES!$L408/12+$H$21*(PARAM!$D$51/12)*RATES!$N408/100</f>
        <v>67.833333333333343</v>
      </c>
      <c r="BZ432" s="16">
        <f t="shared" si="302"/>
        <v>-2358.8224892089579</v>
      </c>
      <c r="CA432" s="15">
        <f t="shared" si="277"/>
        <v>22.170849845882874</v>
      </c>
      <c r="CB432" s="75">
        <f>CA432*(1-PARAM!$C$27)*$I$22+(MOD($B432,60)=PARAM!$B$56)*($B432&gt;(60-PARAM!$B$56))*HLOOKUP(($B432+PARAM!$B$56)/12,Loyalty,2)*$F$1*MAX(CD431,0)</f>
        <v>18.557001321003963</v>
      </c>
      <c r="CC432" s="75">
        <f>PARAM!$C$26+MAX($G$22-CHOOSE(PARAM!$B$44,MAX(0,CD431*$F$1),0),0)*RATES!$L408/12+$H$22*(PARAM!$D$51/12)*RATES!$N408/100</f>
        <v>67.833333333333343</v>
      </c>
      <c r="CD432" s="16">
        <f t="shared" si="303"/>
        <v>-2358.8224892089579</v>
      </c>
      <c r="CE432" s="33">
        <f>IF(0=MOD(B432,12/PARAM!$D$51),1,0)</f>
        <v>1</v>
      </c>
      <c r="CF432" s="15">
        <f t="shared" si="278"/>
        <v>0</v>
      </c>
      <c r="CG432" s="75">
        <f>CF432*(1-PARAM!$C$27)*$R$3+(MOD($B432/12,5)=0)*($B432&gt;60)*HLOOKUP($B432/12,Loyalty,2)*$F$1*MAX(CI431,0)</f>
        <v>0</v>
      </c>
      <c r="CH432" s="75">
        <f>PARAM!$C$26+MAX($P$3-CHOOSE(PARAM!$B$44,MAX(0,CI431*$F$1),0),0)*RATES!$L408/12+$Q$3*(PARAM!$D$51/12)*RATES!$N408/100</f>
        <v>67.833333333333343</v>
      </c>
      <c r="CI432" s="16">
        <f>IF(CI431&gt;0,CI431*PARAM!$C$53,CI431)+CG432-CH432</f>
        <v>-9754.833333333323</v>
      </c>
      <c r="CJ432" s="15">
        <f t="shared" si="304"/>
        <v>0</v>
      </c>
      <c r="CK432" s="75">
        <f>CJ432*(1-PARAM!$C$27)*$R$4+(MOD($B432/12,5)=0)*($B432&gt;60)*HLOOKUP($B432/12,Loyalty,2)*$F$1*MAX(CM431,0)</f>
        <v>0</v>
      </c>
      <c r="CL432" s="75">
        <f>PARAM!$C$26+MAX($P$4-CHOOSE(PARAM!$B$44,MAX(0,CM431*$F$1),0),0)*RATES!$L408/12+$Q$4*(PARAM!$D$51/12)*RATES!$N408/100</f>
        <v>67.833333333333343</v>
      </c>
      <c r="CM432" s="16">
        <f>IF(CM431&gt;0,CM431*PARAM!$C$53,CM431)+CK432-CL432</f>
        <v>-9754.833333333323</v>
      </c>
      <c r="CO432" s="176"/>
    </row>
    <row r="433" spans="1:93" x14ac:dyDescent="0.2">
      <c r="A433" t="b">
        <f t="shared" si="279"/>
        <v>0</v>
      </c>
      <c r="B433" s="33">
        <v>406</v>
      </c>
      <c r="C433" s="15">
        <f t="shared" si="280"/>
        <v>20.081305947392778</v>
      </c>
      <c r="D433" s="75">
        <f>C433*(1-PARAM!$C$27)*$I$3+(MOD($B433,60)=PARAM!$B$56)*($B433&gt;(60-PARAM!$B$56))*HLOOKUP(($B433+PARAM!$B$56)/12,Loyalty,2)*$F$1*MAX(F432,0)</f>
        <v>16.808053077967756</v>
      </c>
      <c r="E433" s="75">
        <f>PARAM!$C$26+MAX($G$3-CHOOSE(PARAM!$B$44,MAX(0,F432*$F$1),0),0)*RATES!$L409/12+$H$3*(PARAM!$D$51/12)*RATES!$N409/100</f>
        <v>67.833333333333343</v>
      </c>
      <c r="F433" s="16">
        <f t="shared" si="281"/>
        <v>-3155.0223084154968</v>
      </c>
      <c r="G433" s="15">
        <f t="shared" si="282"/>
        <v>22.035289406060361</v>
      </c>
      <c r="H433" s="75">
        <f>G433*(1-PARAM!$C$27)*$I$4+(MOD($B433,60)=PARAM!$B$56)*($B433&gt;(60-PARAM!$B$56))*HLOOKUP(($B433+PARAM!$B$56)/12,Loyalty,2)*$F$1*MAX(J432,0)</f>
        <v>18.443537232872522</v>
      </c>
      <c r="I433" s="75">
        <f>PARAM!$C$26+MAX($G$4-CHOOSE(PARAM!$B$44,MAX(0,J432*$F$1),0),0)*RATES!$L409/12+$H$4*(PARAM!$D$51/12)*RATES!$N409/100</f>
        <v>67.833333333333343</v>
      </c>
      <c r="J433" s="16">
        <f t="shared" si="283"/>
        <v>-2457.1827774024468</v>
      </c>
      <c r="K433" s="15">
        <f t="shared" si="284"/>
        <v>22.170849845882874</v>
      </c>
      <c r="L433" s="75">
        <f>K433*(1-PARAM!$C$27)*$I$5+(MOD($B433,60)=PARAM!$B$56)*($B433&gt;(60-PARAM!$B$56))*HLOOKUP(($B433+PARAM!$B$56)/12,Loyalty,2)*$F$1*MAX(N432,0)</f>
        <v>18.557001321003963</v>
      </c>
      <c r="M433" s="75">
        <f>PARAM!$C$26+MAX($G$5-CHOOSE(PARAM!$B$44,MAX(0,N432*$F$1),0),0)*RATES!$L409/12+$H$5*(PARAM!$D$51/12)*RATES!$N409/100</f>
        <v>67.833333333333343</v>
      </c>
      <c r="N433" s="16">
        <f t="shared" si="285"/>
        <v>-2408.0988212212874</v>
      </c>
      <c r="O433" s="15">
        <f t="shared" si="286"/>
        <v>22.170849845882874</v>
      </c>
      <c r="P433" s="75">
        <f>O433*(1-PARAM!$C$27)*$I$6+(MOD($B433,60)=PARAM!$B$56)*($B433&gt;(60-PARAM!$B$56))*HLOOKUP(($B433+PARAM!$B$56)/12,Loyalty,2)*$F$1*MAX(R432,0)</f>
        <v>18.557001321003963</v>
      </c>
      <c r="Q433" s="75">
        <f>PARAM!$C$26+MAX($G$6-CHOOSE(PARAM!$B$44,MAX(0,R432*$F$1),0),0)*RATES!$L409/12+$H$6*(PARAM!$D$51/12)*RATES!$N409/100</f>
        <v>67.833333333333343</v>
      </c>
      <c r="R433" s="16">
        <f t="shared" si="287"/>
        <v>-2408.0988212212874</v>
      </c>
      <c r="S433" s="15">
        <f t="shared" si="262"/>
        <v>22.170849845882874</v>
      </c>
      <c r="T433" s="75">
        <f>S433*(1-PARAM!$C$27)*$I$7+(MOD($B433,60)=PARAM!$B$56)*($B433&gt;(60-PARAM!$B$56))*HLOOKUP(($B433+PARAM!$B$56)/12,Loyalty,2)*$F$1*MAX(V432,0)</f>
        <v>18.557001321003963</v>
      </c>
      <c r="U433" s="75">
        <f>PARAM!$C$26+MAX($G$7-CHOOSE(PARAM!$B$44,MAX(0,V432*$F$1),0),0)*RATES!$L409/12+$H$7*(PARAM!$D$51/12)*RATES!$N409/100</f>
        <v>67.833333333333343</v>
      </c>
      <c r="V433" s="16">
        <f t="shared" si="288"/>
        <v>-2408.0988212212874</v>
      </c>
      <c r="W433" s="15">
        <f t="shared" si="263"/>
        <v>22.170849845882874</v>
      </c>
      <c r="X433" s="75">
        <f>W433*(1-PARAM!$C$27)*$I$8+(MOD($B433,60)=PARAM!$B$56)*($B433&gt;(60-PARAM!$B$56))*HLOOKUP(($B433+PARAM!$B$56)/12,Loyalty,2)*$F$1*MAX(Z432,0)</f>
        <v>18.557001321003963</v>
      </c>
      <c r="Y433" s="75">
        <f>PARAM!$C$26+MAX($G$8-CHOOSE(PARAM!$B$44,MAX(0,Z432*$F$1),0),0)*RATES!$L409/12+$H$8*(PARAM!$D$51/12)*RATES!$N409/100</f>
        <v>67.833333333333343</v>
      </c>
      <c r="Z433" s="16">
        <f t="shared" si="289"/>
        <v>-2408.0988212212874</v>
      </c>
      <c r="AA433" s="15">
        <f t="shared" si="264"/>
        <v>22.170849845882874</v>
      </c>
      <c r="AB433" s="75">
        <f>AA433*(1-PARAM!$C$27)*$I$9+(MOD($B433,60)=PARAM!$B$56)*($B433&gt;(60-PARAM!$B$56))*HLOOKUP(($B433+PARAM!$B$56)/12,Loyalty,2)*$F$1*MAX(AD432,0)</f>
        <v>18.557001321003963</v>
      </c>
      <c r="AC433" s="75">
        <f>PARAM!$C$26+MAX($G$9-CHOOSE(PARAM!$B$44,MAX(0,AD432*$F$1),0),0)*RATES!$L409/12+$H$9*(PARAM!$D$51/12)*RATES!$N409/100</f>
        <v>67.833333333333343</v>
      </c>
      <c r="AD433" s="16">
        <f t="shared" si="290"/>
        <v>-2408.0988212212874</v>
      </c>
      <c r="AE433" s="15">
        <f t="shared" si="265"/>
        <v>22.170849845882874</v>
      </c>
      <c r="AF433" s="75">
        <f>AE433*(1-PARAM!$C$27)*$I$10+(MOD($B433,60)=PARAM!$B$56)*($B433&gt;(60-PARAM!$B$56))*HLOOKUP(($B433+PARAM!$B$56)/12,Loyalty,2)*$F$1*MAX(AH432,0)</f>
        <v>18.557001321003963</v>
      </c>
      <c r="AG433" s="75">
        <f>PARAM!$C$26+MAX($G$10-CHOOSE(PARAM!$B$44,MAX(0,AH432*$F$1),0),0)*RATES!$L409/12+$H$10*(PARAM!$D$51/12)*RATES!$N409/100</f>
        <v>67.833333333333343</v>
      </c>
      <c r="AH433" s="16">
        <f t="shared" si="291"/>
        <v>-2408.0988212212874</v>
      </c>
      <c r="AI433" s="15">
        <f t="shared" si="266"/>
        <v>22.170849845882874</v>
      </c>
      <c r="AJ433" s="75">
        <f>AI433*(1-PARAM!$C$27)*$I$11+(MOD($B433,60)=PARAM!$B$56)*($B433&gt;(60-PARAM!$B$56))*HLOOKUP(($B433+PARAM!$B$56)/12,Loyalty,2)*$F$1*MAX(AL432,0)</f>
        <v>18.557001321003963</v>
      </c>
      <c r="AK433" s="75">
        <f>PARAM!$C$26+MAX($G$11-CHOOSE(PARAM!$B$44,MAX(0,AL432*$F$1),0),0)*RATES!$L409/12+$H$11*(PARAM!$D$51/12)*RATES!$N409/100</f>
        <v>67.833333333333343</v>
      </c>
      <c r="AL433" s="16">
        <f t="shared" si="292"/>
        <v>-2408.0988212212874</v>
      </c>
      <c r="AM433" s="15">
        <f t="shared" si="267"/>
        <v>22.170849845882874</v>
      </c>
      <c r="AN433" s="75">
        <f>AM433*(1-PARAM!$C$27)*$I$12+(MOD($B433,60)=PARAM!$B$56)*($B433&gt;(60-PARAM!$B$56))*HLOOKUP(($B433+PARAM!$B$56)/12,Loyalty,2)*$F$1*MAX(AP432,0)</f>
        <v>18.557001321003963</v>
      </c>
      <c r="AO433" s="75">
        <f>PARAM!$C$26+MAX($G$12-CHOOSE(PARAM!$B$44,MAX(0,AP432*$F$1),0),0)*RATES!$L409/12+$H$12*(PARAM!$D$51/12)*RATES!$N409/100</f>
        <v>67.833333333333343</v>
      </c>
      <c r="AP433" s="16">
        <f t="shared" si="293"/>
        <v>-2408.0988212212874</v>
      </c>
      <c r="AQ433" s="15">
        <f t="shared" si="268"/>
        <v>22.170849845882874</v>
      </c>
      <c r="AR433" s="75">
        <f>AQ433*(1-PARAM!$C$27)*$I$13+(MOD($B433,60)=PARAM!$B$56)*($B433&gt;(60-PARAM!$B$56))*HLOOKUP(($B433+PARAM!$B$56)/12,Loyalty,2)*$F$1*MAX(AT432,0)</f>
        <v>18.557001321003963</v>
      </c>
      <c r="AS433" s="75">
        <f>PARAM!$C$26+MAX($G$13-CHOOSE(PARAM!$B$44,MAX(0,AT432*$F$1),0),0)*RATES!$L409/12+$H$13*(PARAM!$D$51/12)*RATES!$N409/100</f>
        <v>67.833333333333343</v>
      </c>
      <c r="AT433" s="16">
        <f t="shared" si="294"/>
        <v>-2408.0988212212874</v>
      </c>
      <c r="AU433" s="15">
        <f t="shared" si="269"/>
        <v>22.170849845882874</v>
      </c>
      <c r="AV433" s="75">
        <f>AU433*(1-PARAM!$C$27)*$I$14+(MOD($B433,60)=PARAM!$B$56)*($B433&gt;(60-PARAM!$B$56))*HLOOKUP(($B433+PARAM!$B$56)/12,Loyalty,2)*$F$1*MAX(AX432,0)</f>
        <v>18.557001321003963</v>
      </c>
      <c r="AW433" s="75">
        <f>PARAM!$C$26+MAX($G$14-CHOOSE(PARAM!$B$44,MAX(0,AX432*$F$1),0),0)*RATES!$L409/12+$H$14*(PARAM!$D$51/12)*RATES!$N409/100</f>
        <v>67.833333333333343</v>
      </c>
      <c r="AX433" s="16">
        <f t="shared" si="295"/>
        <v>-2408.0988212212874</v>
      </c>
      <c r="AY433" s="15">
        <f t="shared" si="270"/>
        <v>22.170849845882874</v>
      </c>
      <c r="AZ433" s="75">
        <f>AY433*(1-PARAM!$C$27)*$I$15+(MOD($B433,60)=PARAM!$B$56)*($B433&gt;(60-PARAM!$B$56))*HLOOKUP(($B433+PARAM!$B$56)/12,Loyalty,2)*$F$1*MAX(BB432,0)</f>
        <v>18.557001321003963</v>
      </c>
      <c r="BA433" s="75">
        <f>PARAM!$C$26+MAX($G$15-CHOOSE(PARAM!$B$44,MAX(0,BB432*$F$1),0),0)*RATES!$L409/12+$H$15*(PARAM!$D$51/12)*RATES!$N409/100</f>
        <v>67.833333333333343</v>
      </c>
      <c r="BB433" s="16">
        <f t="shared" si="296"/>
        <v>-2408.0988212212874</v>
      </c>
      <c r="BC433" s="15">
        <f t="shared" si="271"/>
        <v>22.170849845882874</v>
      </c>
      <c r="BD433" s="75">
        <f>BC433*(1-PARAM!$C$27)*$I$16+(MOD($B433,60)=PARAM!$B$56)*($B433&gt;(60-PARAM!$B$56))*HLOOKUP(($B433+PARAM!$B$56)/12,Loyalty,2)*$F$1*MAX(BF432,0)</f>
        <v>18.557001321003963</v>
      </c>
      <c r="BE433" s="75">
        <f>PARAM!$C$26+MAX($G$16-CHOOSE(PARAM!$B$44,MAX(0,BF432*$F$1),0),0)*RATES!$L409/12+$H$16*(PARAM!$D$51/12)*RATES!$N409/100</f>
        <v>67.833333333333343</v>
      </c>
      <c r="BF433" s="16">
        <f t="shared" si="297"/>
        <v>-2408.0988212212874</v>
      </c>
      <c r="BG433" s="15">
        <f t="shared" si="272"/>
        <v>22.170849845882874</v>
      </c>
      <c r="BH433" s="75">
        <f>BG433*(1-PARAM!$C$27)*$I$17+(MOD($B433,60)=PARAM!$B$56)*($B433&gt;(60-PARAM!$B$56))*HLOOKUP(($B433+PARAM!$B$56)/12,Loyalty,2)*$F$1*MAX(BJ432,0)</f>
        <v>18.557001321003963</v>
      </c>
      <c r="BI433" s="75">
        <f>PARAM!$C$26+MAX($G$17-CHOOSE(PARAM!$B$44,MAX(0,BJ432*$F$1),0),0)*RATES!$L409/12+$H$17*(PARAM!$D$51/12)*RATES!$N409/100</f>
        <v>67.833333333333343</v>
      </c>
      <c r="BJ433" s="16">
        <f t="shared" si="298"/>
        <v>-2408.0988212212874</v>
      </c>
      <c r="BK433" s="15">
        <f t="shared" si="273"/>
        <v>22.170849845882874</v>
      </c>
      <c r="BL433" s="75">
        <f>BK433*(1-PARAM!$C$27)*$I$18+(MOD($B433,60)=PARAM!$B$56)*($B433&gt;(60-PARAM!$B$56))*HLOOKUP(($B433+PARAM!$B$56)/12,Loyalty,2)*$F$1*MAX(BN432,0)</f>
        <v>18.557001321003963</v>
      </c>
      <c r="BM433" s="75">
        <f>PARAM!$C$26+MAX($G$18-CHOOSE(PARAM!$B$44,MAX(0,BN432*$F$1),0),0)*RATES!$L409/12+$H$18*(PARAM!$D$51/12)*RATES!$N409/100</f>
        <v>67.833333333333343</v>
      </c>
      <c r="BN433" s="16">
        <f t="shared" si="299"/>
        <v>-2408.0988212212874</v>
      </c>
      <c r="BO433" s="15">
        <f t="shared" si="274"/>
        <v>22.170849845882874</v>
      </c>
      <c r="BP433" s="75">
        <f>BO433*(1-PARAM!$C$27)*$I$19+(MOD($B433,60)=PARAM!$B$56)*($B433&gt;(60-PARAM!$B$56))*HLOOKUP(($B433+PARAM!$B$56)/12,Loyalty,2)*$F$1*MAX(BR432,0)</f>
        <v>18.557001321003963</v>
      </c>
      <c r="BQ433" s="75">
        <f>PARAM!$C$26+MAX($G$19-CHOOSE(PARAM!$B$44,MAX(0,BR432*$F$1),0),0)*RATES!$L409/12+$H$19*(PARAM!$D$51/12)*RATES!$N409/100</f>
        <v>67.833333333333343</v>
      </c>
      <c r="BR433" s="16">
        <f t="shared" si="300"/>
        <v>-2408.0988212212874</v>
      </c>
      <c r="BS433" s="15">
        <f t="shared" si="275"/>
        <v>22.170849845882874</v>
      </c>
      <c r="BT433" s="75">
        <f>BS433*(1-PARAM!$C$27)*$I$20+(MOD($B433,60)=PARAM!$B$56)*($B433&gt;(60-PARAM!$B$56))*HLOOKUP(($B433+PARAM!$B$56)/12,Loyalty,2)*$F$1*MAX(BV432,0)</f>
        <v>18.557001321003963</v>
      </c>
      <c r="BU433" s="75">
        <f>PARAM!$C$26+MAX($G$20-CHOOSE(PARAM!$B$44,MAX(0,BV432*$F$1),0),0)*RATES!$L409/12+$H$20*(PARAM!$D$51/12)*RATES!$N409/100</f>
        <v>67.833333333333343</v>
      </c>
      <c r="BV433" s="16">
        <f t="shared" si="301"/>
        <v>-2408.0988212212874</v>
      </c>
      <c r="BW433" s="15">
        <f t="shared" si="276"/>
        <v>22.170849845882874</v>
      </c>
      <c r="BX433" s="75">
        <f>BW433*(1-PARAM!$C$27)*$I$21+(MOD($B433,60)=PARAM!$B$56)*($B433&gt;(60-PARAM!$B$56))*HLOOKUP(($B433+PARAM!$B$56)/12,Loyalty,2)*$F$1*MAX(BZ432,0)</f>
        <v>18.557001321003963</v>
      </c>
      <c r="BY433" s="75">
        <f>PARAM!$C$26+MAX($G$21-CHOOSE(PARAM!$B$44,MAX(0,BZ432*$F$1),0),0)*RATES!$L409/12+$H$21*(PARAM!$D$51/12)*RATES!$N409/100</f>
        <v>67.833333333333343</v>
      </c>
      <c r="BZ433" s="16">
        <f t="shared" si="302"/>
        <v>-2408.0988212212874</v>
      </c>
      <c r="CA433" s="15">
        <f t="shared" si="277"/>
        <v>22.170849845882874</v>
      </c>
      <c r="CB433" s="75">
        <f>CA433*(1-PARAM!$C$27)*$I$22+(MOD($B433,60)=PARAM!$B$56)*($B433&gt;(60-PARAM!$B$56))*HLOOKUP(($B433+PARAM!$B$56)/12,Loyalty,2)*$F$1*MAX(CD432,0)</f>
        <v>18.557001321003963</v>
      </c>
      <c r="CC433" s="75">
        <f>PARAM!$C$26+MAX($G$22-CHOOSE(PARAM!$B$44,MAX(0,CD432*$F$1),0),0)*RATES!$L409/12+$H$22*(PARAM!$D$51/12)*RATES!$N409/100</f>
        <v>67.833333333333343</v>
      </c>
      <c r="CD433" s="16">
        <f t="shared" si="303"/>
        <v>-2408.0988212212874</v>
      </c>
      <c r="CE433" s="33">
        <f>IF(0=MOD(B433,12/PARAM!$D$51),1,0)</f>
        <v>1</v>
      </c>
      <c r="CF433" s="15">
        <f t="shared" si="278"/>
        <v>0</v>
      </c>
      <c r="CG433" s="75">
        <f>CF433*(1-PARAM!$C$27)*$R$3+(MOD($B433/12,5)=0)*($B433&gt;60)*HLOOKUP($B433/12,Loyalty,2)*$F$1*MAX(CI432,0)</f>
        <v>0</v>
      </c>
      <c r="CH433" s="75">
        <f>PARAM!$C$26+MAX($P$3-CHOOSE(PARAM!$B$44,MAX(0,CI432*$F$1),0),0)*RATES!$L409/12+$Q$3*(PARAM!$D$51/12)*RATES!$N409/100</f>
        <v>67.833333333333343</v>
      </c>
      <c r="CI433" s="16">
        <f>IF(CI432&gt;0,CI432*PARAM!$C$53,CI432)+CG433-CH433</f>
        <v>-9822.666666666657</v>
      </c>
      <c r="CJ433" s="15">
        <f t="shared" si="304"/>
        <v>0</v>
      </c>
      <c r="CK433" s="75">
        <f>CJ433*(1-PARAM!$C$27)*$R$4+(MOD($B433/12,5)=0)*($B433&gt;60)*HLOOKUP($B433/12,Loyalty,2)*$F$1*MAX(CM432,0)</f>
        <v>0</v>
      </c>
      <c r="CL433" s="75">
        <f>PARAM!$C$26+MAX($P$4-CHOOSE(PARAM!$B$44,MAX(0,CM432*$F$1),0),0)*RATES!$L409/12+$Q$4*(PARAM!$D$51/12)*RATES!$N409/100</f>
        <v>67.833333333333343</v>
      </c>
      <c r="CM433" s="16">
        <f>IF(CM432&gt;0,CM432*PARAM!$C$53,CM432)+CK433-CL433</f>
        <v>-9822.666666666657</v>
      </c>
      <c r="CO433" s="176"/>
    </row>
    <row r="434" spans="1:93" x14ac:dyDescent="0.2">
      <c r="A434" t="b">
        <f t="shared" si="279"/>
        <v>0</v>
      </c>
      <c r="B434" s="33">
        <v>407</v>
      </c>
      <c r="C434" s="15">
        <f t="shared" si="280"/>
        <v>20.081305947392778</v>
      </c>
      <c r="D434" s="75">
        <f>C434*(1-PARAM!$C$27)*$I$3+(MOD($B434,60)=PARAM!$B$56)*($B434&gt;(60-PARAM!$B$56))*HLOOKUP(($B434+PARAM!$B$56)/12,Loyalty,2)*$F$1*MAX(F433,0)</f>
        <v>16.808053077967756</v>
      </c>
      <c r="E434" s="75">
        <f>PARAM!$C$26+MAX($G$3-CHOOSE(PARAM!$B$44,MAX(0,F433*$F$1),0),0)*RATES!$L410/12+$H$3*(PARAM!$D$51/12)*RATES!$N410/100</f>
        <v>67.833333333333343</v>
      </c>
      <c r="F434" s="16">
        <f t="shared" si="281"/>
        <v>-3206.0475886708628</v>
      </c>
      <c r="G434" s="15">
        <f t="shared" si="282"/>
        <v>22.035289406060361</v>
      </c>
      <c r="H434" s="75">
        <f>G434*(1-PARAM!$C$27)*$I$4+(MOD($B434,60)=PARAM!$B$56)*($B434&gt;(60-PARAM!$B$56))*HLOOKUP(($B434+PARAM!$B$56)/12,Loyalty,2)*$F$1*MAX(J433,0)</f>
        <v>18.443537232872522</v>
      </c>
      <c r="I434" s="75">
        <f>PARAM!$C$26+MAX($G$4-CHOOSE(PARAM!$B$44,MAX(0,J433*$F$1),0),0)*RATES!$L410/12+$H$4*(PARAM!$D$51/12)*RATES!$N410/100</f>
        <v>67.833333333333343</v>
      </c>
      <c r="J434" s="16">
        <f t="shared" si="283"/>
        <v>-2506.5725735029077</v>
      </c>
      <c r="K434" s="15">
        <f t="shared" si="284"/>
        <v>22.170849845882874</v>
      </c>
      <c r="L434" s="75">
        <f>K434*(1-PARAM!$C$27)*$I$5+(MOD($B434,60)=PARAM!$B$56)*($B434&gt;(60-PARAM!$B$56))*HLOOKUP(($B434+PARAM!$B$56)/12,Loyalty,2)*$F$1*MAX(N433,0)</f>
        <v>18.557001321003963</v>
      </c>
      <c r="M434" s="75">
        <f>PARAM!$C$26+MAX($G$5-CHOOSE(PARAM!$B$44,MAX(0,N433*$F$1),0),0)*RATES!$L410/12+$H$5*(PARAM!$D$51/12)*RATES!$N410/100</f>
        <v>67.833333333333343</v>
      </c>
      <c r="N434" s="16">
        <f t="shared" si="285"/>
        <v>-2457.3751532336169</v>
      </c>
      <c r="O434" s="15">
        <f t="shared" si="286"/>
        <v>22.170849845882874</v>
      </c>
      <c r="P434" s="75">
        <f>O434*(1-PARAM!$C$27)*$I$6+(MOD($B434,60)=PARAM!$B$56)*($B434&gt;(60-PARAM!$B$56))*HLOOKUP(($B434+PARAM!$B$56)/12,Loyalty,2)*$F$1*MAX(R433,0)</f>
        <v>18.557001321003963</v>
      </c>
      <c r="Q434" s="75">
        <f>PARAM!$C$26+MAX($G$6-CHOOSE(PARAM!$B$44,MAX(0,R433*$F$1),0),0)*RATES!$L410/12+$H$6*(PARAM!$D$51/12)*RATES!$N410/100</f>
        <v>67.833333333333343</v>
      </c>
      <c r="R434" s="16">
        <f t="shared" si="287"/>
        <v>-2457.3751532336169</v>
      </c>
      <c r="S434" s="15">
        <f t="shared" si="262"/>
        <v>22.170849845882874</v>
      </c>
      <c r="T434" s="75">
        <f>S434*(1-PARAM!$C$27)*$I$7+(MOD($B434,60)=PARAM!$B$56)*($B434&gt;(60-PARAM!$B$56))*HLOOKUP(($B434+PARAM!$B$56)/12,Loyalty,2)*$F$1*MAX(V433,0)</f>
        <v>18.557001321003963</v>
      </c>
      <c r="U434" s="75">
        <f>PARAM!$C$26+MAX($G$7-CHOOSE(PARAM!$B$44,MAX(0,V433*$F$1),0),0)*RATES!$L410/12+$H$7*(PARAM!$D$51/12)*RATES!$N410/100</f>
        <v>67.833333333333343</v>
      </c>
      <c r="V434" s="16">
        <f t="shared" si="288"/>
        <v>-2457.3751532336169</v>
      </c>
      <c r="W434" s="15">
        <f t="shared" si="263"/>
        <v>22.170849845882874</v>
      </c>
      <c r="X434" s="75">
        <f>W434*(1-PARAM!$C$27)*$I$8+(MOD($B434,60)=PARAM!$B$56)*($B434&gt;(60-PARAM!$B$56))*HLOOKUP(($B434+PARAM!$B$56)/12,Loyalty,2)*$F$1*MAX(Z433,0)</f>
        <v>18.557001321003963</v>
      </c>
      <c r="Y434" s="75">
        <f>PARAM!$C$26+MAX($G$8-CHOOSE(PARAM!$B$44,MAX(0,Z433*$F$1),0),0)*RATES!$L410/12+$H$8*(PARAM!$D$51/12)*RATES!$N410/100</f>
        <v>67.833333333333343</v>
      </c>
      <c r="Z434" s="16">
        <f t="shared" si="289"/>
        <v>-2457.3751532336169</v>
      </c>
      <c r="AA434" s="15">
        <f t="shared" si="264"/>
        <v>22.170849845882874</v>
      </c>
      <c r="AB434" s="75">
        <f>AA434*(1-PARAM!$C$27)*$I$9+(MOD($B434,60)=PARAM!$B$56)*($B434&gt;(60-PARAM!$B$56))*HLOOKUP(($B434+PARAM!$B$56)/12,Loyalty,2)*$F$1*MAX(AD433,0)</f>
        <v>18.557001321003963</v>
      </c>
      <c r="AC434" s="75">
        <f>PARAM!$C$26+MAX($G$9-CHOOSE(PARAM!$B$44,MAX(0,AD433*$F$1),0),0)*RATES!$L410/12+$H$9*(PARAM!$D$51/12)*RATES!$N410/100</f>
        <v>67.833333333333343</v>
      </c>
      <c r="AD434" s="16">
        <f t="shared" si="290"/>
        <v>-2457.3751532336169</v>
      </c>
      <c r="AE434" s="15">
        <f t="shared" si="265"/>
        <v>22.170849845882874</v>
      </c>
      <c r="AF434" s="75">
        <f>AE434*(1-PARAM!$C$27)*$I$10+(MOD($B434,60)=PARAM!$B$56)*($B434&gt;(60-PARAM!$B$56))*HLOOKUP(($B434+PARAM!$B$56)/12,Loyalty,2)*$F$1*MAX(AH433,0)</f>
        <v>18.557001321003963</v>
      </c>
      <c r="AG434" s="75">
        <f>PARAM!$C$26+MAX($G$10-CHOOSE(PARAM!$B$44,MAX(0,AH433*$F$1),0),0)*RATES!$L410/12+$H$10*(PARAM!$D$51/12)*RATES!$N410/100</f>
        <v>67.833333333333343</v>
      </c>
      <c r="AH434" s="16">
        <f t="shared" si="291"/>
        <v>-2457.3751532336169</v>
      </c>
      <c r="AI434" s="15">
        <f t="shared" si="266"/>
        <v>22.170849845882874</v>
      </c>
      <c r="AJ434" s="75">
        <f>AI434*(1-PARAM!$C$27)*$I$11+(MOD($B434,60)=PARAM!$B$56)*($B434&gt;(60-PARAM!$B$56))*HLOOKUP(($B434+PARAM!$B$56)/12,Loyalty,2)*$F$1*MAX(AL433,0)</f>
        <v>18.557001321003963</v>
      </c>
      <c r="AK434" s="75">
        <f>PARAM!$C$26+MAX($G$11-CHOOSE(PARAM!$B$44,MAX(0,AL433*$F$1),0),0)*RATES!$L410/12+$H$11*(PARAM!$D$51/12)*RATES!$N410/100</f>
        <v>67.833333333333343</v>
      </c>
      <c r="AL434" s="16">
        <f t="shared" si="292"/>
        <v>-2457.3751532336169</v>
      </c>
      <c r="AM434" s="15">
        <f t="shared" si="267"/>
        <v>22.170849845882874</v>
      </c>
      <c r="AN434" s="75">
        <f>AM434*(1-PARAM!$C$27)*$I$12+(MOD($B434,60)=PARAM!$B$56)*($B434&gt;(60-PARAM!$B$56))*HLOOKUP(($B434+PARAM!$B$56)/12,Loyalty,2)*$F$1*MAX(AP433,0)</f>
        <v>18.557001321003963</v>
      </c>
      <c r="AO434" s="75">
        <f>PARAM!$C$26+MAX($G$12-CHOOSE(PARAM!$B$44,MAX(0,AP433*$F$1),0),0)*RATES!$L410/12+$H$12*(PARAM!$D$51/12)*RATES!$N410/100</f>
        <v>67.833333333333343</v>
      </c>
      <c r="AP434" s="16">
        <f t="shared" si="293"/>
        <v>-2457.3751532336169</v>
      </c>
      <c r="AQ434" s="15">
        <f t="shared" si="268"/>
        <v>22.170849845882874</v>
      </c>
      <c r="AR434" s="75">
        <f>AQ434*(1-PARAM!$C$27)*$I$13+(MOD($B434,60)=PARAM!$B$56)*($B434&gt;(60-PARAM!$B$56))*HLOOKUP(($B434+PARAM!$B$56)/12,Loyalty,2)*$F$1*MAX(AT433,0)</f>
        <v>18.557001321003963</v>
      </c>
      <c r="AS434" s="75">
        <f>PARAM!$C$26+MAX($G$13-CHOOSE(PARAM!$B$44,MAX(0,AT433*$F$1),0),0)*RATES!$L410/12+$H$13*(PARAM!$D$51/12)*RATES!$N410/100</f>
        <v>67.833333333333343</v>
      </c>
      <c r="AT434" s="16">
        <f t="shared" si="294"/>
        <v>-2457.3751532336169</v>
      </c>
      <c r="AU434" s="15">
        <f t="shared" si="269"/>
        <v>22.170849845882874</v>
      </c>
      <c r="AV434" s="75">
        <f>AU434*(1-PARAM!$C$27)*$I$14+(MOD($B434,60)=PARAM!$B$56)*($B434&gt;(60-PARAM!$B$56))*HLOOKUP(($B434+PARAM!$B$56)/12,Loyalty,2)*$F$1*MAX(AX433,0)</f>
        <v>18.557001321003963</v>
      </c>
      <c r="AW434" s="75">
        <f>PARAM!$C$26+MAX($G$14-CHOOSE(PARAM!$B$44,MAX(0,AX433*$F$1),0),0)*RATES!$L410/12+$H$14*(PARAM!$D$51/12)*RATES!$N410/100</f>
        <v>67.833333333333343</v>
      </c>
      <c r="AX434" s="16">
        <f t="shared" si="295"/>
        <v>-2457.3751532336169</v>
      </c>
      <c r="AY434" s="15">
        <f t="shared" si="270"/>
        <v>22.170849845882874</v>
      </c>
      <c r="AZ434" s="75">
        <f>AY434*(1-PARAM!$C$27)*$I$15+(MOD($B434,60)=PARAM!$B$56)*($B434&gt;(60-PARAM!$B$56))*HLOOKUP(($B434+PARAM!$B$56)/12,Loyalty,2)*$F$1*MAX(BB433,0)</f>
        <v>18.557001321003963</v>
      </c>
      <c r="BA434" s="75">
        <f>PARAM!$C$26+MAX($G$15-CHOOSE(PARAM!$B$44,MAX(0,BB433*$F$1),0),0)*RATES!$L410/12+$H$15*(PARAM!$D$51/12)*RATES!$N410/100</f>
        <v>67.833333333333343</v>
      </c>
      <c r="BB434" s="16">
        <f t="shared" si="296"/>
        <v>-2457.3751532336169</v>
      </c>
      <c r="BC434" s="15">
        <f t="shared" si="271"/>
        <v>22.170849845882874</v>
      </c>
      <c r="BD434" s="75">
        <f>BC434*(1-PARAM!$C$27)*$I$16+(MOD($B434,60)=PARAM!$B$56)*($B434&gt;(60-PARAM!$B$56))*HLOOKUP(($B434+PARAM!$B$56)/12,Loyalty,2)*$F$1*MAX(BF433,0)</f>
        <v>18.557001321003963</v>
      </c>
      <c r="BE434" s="75">
        <f>PARAM!$C$26+MAX($G$16-CHOOSE(PARAM!$B$44,MAX(0,BF433*$F$1),0),0)*RATES!$L410/12+$H$16*(PARAM!$D$51/12)*RATES!$N410/100</f>
        <v>67.833333333333343</v>
      </c>
      <c r="BF434" s="16">
        <f t="shared" si="297"/>
        <v>-2457.3751532336169</v>
      </c>
      <c r="BG434" s="15">
        <f t="shared" si="272"/>
        <v>22.170849845882874</v>
      </c>
      <c r="BH434" s="75">
        <f>BG434*(1-PARAM!$C$27)*$I$17+(MOD($B434,60)=PARAM!$B$56)*($B434&gt;(60-PARAM!$B$56))*HLOOKUP(($B434+PARAM!$B$56)/12,Loyalty,2)*$F$1*MAX(BJ433,0)</f>
        <v>18.557001321003963</v>
      </c>
      <c r="BI434" s="75">
        <f>PARAM!$C$26+MAX($G$17-CHOOSE(PARAM!$B$44,MAX(0,BJ433*$F$1),0),0)*RATES!$L410/12+$H$17*(PARAM!$D$51/12)*RATES!$N410/100</f>
        <v>67.833333333333343</v>
      </c>
      <c r="BJ434" s="16">
        <f t="shared" si="298"/>
        <v>-2457.3751532336169</v>
      </c>
      <c r="BK434" s="15">
        <f t="shared" si="273"/>
        <v>22.170849845882874</v>
      </c>
      <c r="BL434" s="75">
        <f>BK434*(1-PARAM!$C$27)*$I$18+(MOD($B434,60)=PARAM!$B$56)*($B434&gt;(60-PARAM!$B$56))*HLOOKUP(($B434+PARAM!$B$56)/12,Loyalty,2)*$F$1*MAX(BN433,0)</f>
        <v>18.557001321003963</v>
      </c>
      <c r="BM434" s="75">
        <f>PARAM!$C$26+MAX($G$18-CHOOSE(PARAM!$B$44,MAX(0,BN433*$F$1),0),0)*RATES!$L410/12+$H$18*(PARAM!$D$51/12)*RATES!$N410/100</f>
        <v>67.833333333333343</v>
      </c>
      <c r="BN434" s="16">
        <f t="shared" si="299"/>
        <v>-2457.3751532336169</v>
      </c>
      <c r="BO434" s="15">
        <f t="shared" si="274"/>
        <v>22.170849845882874</v>
      </c>
      <c r="BP434" s="75">
        <f>BO434*(1-PARAM!$C$27)*$I$19+(MOD($B434,60)=PARAM!$B$56)*($B434&gt;(60-PARAM!$B$56))*HLOOKUP(($B434+PARAM!$B$56)/12,Loyalty,2)*$F$1*MAX(BR433,0)</f>
        <v>18.557001321003963</v>
      </c>
      <c r="BQ434" s="75">
        <f>PARAM!$C$26+MAX($G$19-CHOOSE(PARAM!$B$44,MAX(0,BR433*$F$1),0),0)*RATES!$L410/12+$H$19*(PARAM!$D$51/12)*RATES!$N410/100</f>
        <v>67.833333333333343</v>
      </c>
      <c r="BR434" s="16">
        <f t="shared" si="300"/>
        <v>-2457.3751532336169</v>
      </c>
      <c r="BS434" s="15">
        <f t="shared" si="275"/>
        <v>22.170849845882874</v>
      </c>
      <c r="BT434" s="75">
        <f>BS434*(1-PARAM!$C$27)*$I$20+(MOD($B434,60)=PARAM!$B$56)*($B434&gt;(60-PARAM!$B$56))*HLOOKUP(($B434+PARAM!$B$56)/12,Loyalty,2)*$F$1*MAX(BV433,0)</f>
        <v>18.557001321003963</v>
      </c>
      <c r="BU434" s="75">
        <f>PARAM!$C$26+MAX($G$20-CHOOSE(PARAM!$B$44,MAX(0,BV433*$F$1),0),0)*RATES!$L410/12+$H$20*(PARAM!$D$51/12)*RATES!$N410/100</f>
        <v>67.833333333333343</v>
      </c>
      <c r="BV434" s="16">
        <f t="shared" si="301"/>
        <v>-2457.3751532336169</v>
      </c>
      <c r="BW434" s="15">
        <f t="shared" si="276"/>
        <v>22.170849845882874</v>
      </c>
      <c r="BX434" s="75">
        <f>BW434*(1-PARAM!$C$27)*$I$21+(MOD($B434,60)=PARAM!$B$56)*($B434&gt;(60-PARAM!$B$56))*HLOOKUP(($B434+PARAM!$B$56)/12,Loyalty,2)*$F$1*MAX(BZ433,0)</f>
        <v>18.557001321003963</v>
      </c>
      <c r="BY434" s="75">
        <f>PARAM!$C$26+MAX($G$21-CHOOSE(PARAM!$B$44,MAX(0,BZ433*$F$1),0),0)*RATES!$L410/12+$H$21*(PARAM!$D$51/12)*RATES!$N410/100</f>
        <v>67.833333333333343</v>
      </c>
      <c r="BZ434" s="16">
        <f t="shared" si="302"/>
        <v>-2457.3751532336169</v>
      </c>
      <c r="CA434" s="15">
        <f t="shared" si="277"/>
        <v>22.170849845882874</v>
      </c>
      <c r="CB434" s="75">
        <f>CA434*(1-PARAM!$C$27)*$I$22+(MOD($B434,60)=PARAM!$B$56)*($B434&gt;(60-PARAM!$B$56))*HLOOKUP(($B434+PARAM!$B$56)/12,Loyalty,2)*$F$1*MAX(CD433,0)</f>
        <v>18.557001321003963</v>
      </c>
      <c r="CC434" s="75">
        <f>PARAM!$C$26+MAX($G$22-CHOOSE(PARAM!$B$44,MAX(0,CD433*$F$1),0),0)*RATES!$L410/12+$H$22*(PARAM!$D$51/12)*RATES!$N410/100</f>
        <v>67.833333333333343</v>
      </c>
      <c r="CD434" s="16">
        <f t="shared" si="303"/>
        <v>-2457.3751532336169</v>
      </c>
      <c r="CE434" s="33">
        <f>IF(0=MOD(B434,12/PARAM!$D$51),1,0)</f>
        <v>1</v>
      </c>
      <c r="CF434" s="15">
        <f t="shared" si="278"/>
        <v>0</v>
      </c>
      <c r="CG434" s="75">
        <f>CF434*(1-PARAM!$C$27)*$R$3+(MOD($B434/12,5)=0)*($B434&gt;60)*HLOOKUP($B434/12,Loyalty,2)*$F$1*MAX(CI433,0)</f>
        <v>0</v>
      </c>
      <c r="CH434" s="75">
        <f>PARAM!$C$26+MAX($P$3-CHOOSE(PARAM!$B$44,MAX(0,CI433*$F$1),0),0)*RATES!$L410/12+$Q$3*(PARAM!$D$51/12)*RATES!$N410/100</f>
        <v>67.833333333333343</v>
      </c>
      <c r="CI434" s="16">
        <f>IF(CI433&gt;0,CI433*PARAM!$C$53,CI433)+CG434-CH434</f>
        <v>-9890.4999999999909</v>
      </c>
      <c r="CJ434" s="15">
        <f t="shared" si="304"/>
        <v>0</v>
      </c>
      <c r="CK434" s="75">
        <f>CJ434*(1-PARAM!$C$27)*$R$4+(MOD($B434/12,5)=0)*($B434&gt;60)*HLOOKUP($B434/12,Loyalty,2)*$F$1*MAX(CM433,0)</f>
        <v>0</v>
      </c>
      <c r="CL434" s="75">
        <f>PARAM!$C$26+MAX($P$4-CHOOSE(PARAM!$B$44,MAX(0,CM433*$F$1),0),0)*RATES!$L410/12+$Q$4*(PARAM!$D$51/12)*RATES!$N410/100</f>
        <v>67.833333333333343</v>
      </c>
      <c r="CM434" s="16">
        <f>IF(CM433&gt;0,CM433*PARAM!$C$53,CM433)+CK434-CL434</f>
        <v>-9890.4999999999909</v>
      </c>
      <c r="CO434" s="176"/>
    </row>
    <row r="435" spans="1:93" x14ac:dyDescent="0.2">
      <c r="A435" t="b">
        <f t="shared" si="279"/>
        <v>0</v>
      </c>
      <c r="B435" s="33">
        <v>408</v>
      </c>
      <c r="C435" s="15">
        <f t="shared" si="280"/>
        <v>20.081305947392778</v>
      </c>
      <c r="D435" s="75">
        <f>C435*(1-PARAM!$C$27)*$I$3+(MOD($B435,60)=PARAM!$B$56)*($B435&gt;(60-PARAM!$B$56))*HLOOKUP(($B435+PARAM!$B$56)/12,Loyalty,2)*$F$1*MAX(F434,0)</f>
        <v>16.808053077967756</v>
      </c>
      <c r="E435" s="75">
        <f>PARAM!$C$26+MAX($G$3-CHOOSE(PARAM!$B$44,MAX(0,F434*$F$1),0),0)*RATES!$L411/12+$H$3*(PARAM!$D$51/12)*RATES!$N411/100</f>
        <v>67.833333333333343</v>
      </c>
      <c r="F435" s="16">
        <f t="shared" si="281"/>
        <v>-3257.0728689262287</v>
      </c>
      <c r="G435" s="15">
        <f t="shared" si="282"/>
        <v>22.035289406060361</v>
      </c>
      <c r="H435" s="75">
        <f>G435*(1-PARAM!$C$27)*$I$4+(MOD($B435,60)=PARAM!$B$56)*($B435&gt;(60-PARAM!$B$56))*HLOOKUP(($B435+PARAM!$B$56)/12,Loyalty,2)*$F$1*MAX(J434,0)</f>
        <v>18.443537232872522</v>
      </c>
      <c r="I435" s="75">
        <f>PARAM!$C$26+MAX($G$4-CHOOSE(PARAM!$B$44,MAX(0,J434*$F$1),0),0)*RATES!$L411/12+$H$4*(PARAM!$D$51/12)*RATES!$N411/100</f>
        <v>67.833333333333343</v>
      </c>
      <c r="J435" s="16">
        <f t="shared" si="283"/>
        <v>-2555.9623696033686</v>
      </c>
      <c r="K435" s="15">
        <f t="shared" si="284"/>
        <v>22.170849845882874</v>
      </c>
      <c r="L435" s="75">
        <f>K435*(1-PARAM!$C$27)*$I$5+(MOD($B435,60)=PARAM!$B$56)*($B435&gt;(60-PARAM!$B$56))*HLOOKUP(($B435+PARAM!$B$56)/12,Loyalty,2)*$F$1*MAX(N434,0)</f>
        <v>18.557001321003963</v>
      </c>
      <c r="M435" s="75">
        <f>PARAM!$C$26+MAX($G$5-CHOOSE(PARAM!$B$44,MAX(0,N434*$F$1),0),0)*RATES!$L411/12+$H$5*(PARAM!$D$51/12)*RATES!$N411/100</f>
        <v>67.833333333333343</v>
      </c>
      <c r="N435" s="16">
        <f t="shared" si="285"/>
        <v>-2506.6514852459463</v>
      </c>
      <c r="O435" s="15">
        <f t="shared" si="286"/>
        <v>22.170849845882874</v>
      </c>
      <c r="P435" s="75">
        <f>O435*(1-PARAM!$C$27)*$I$6+(MOD($B435,60)=PARAM!$B$56)*($B435&gt;(60-PARAM!$B$56))*HLOOKUP(($B435+PARAM!$B$56)/12,Loyalty,2)*$F$1*MAX(R434,0)</f>
        <v>18.557001321003963</v>
      </c>
      <c r="Q435" s="75">
        <f>PARAM!$C$26+MAX($G$6-CHOOSE(PARAM!$B$44,MAX(0,R434*$F$1),0),0)*RATES!$L411/12+$H$6*(PARAM!$D$51/12)*RATES!$N411/100</f>
        <v>67.833333333333343</v>
      </c>
      <c r="R435" s="16">
        <f t="shared" si="287"/>
        <v>-2506.6514852459463</v>
      </c>
      <c r="S435" s="15">
        <f t="shared" si="262"/>
        <v>22.170849845882874</v>
      </c>
      <c r="T435" s="75">
        <f>S435*(1-PARAM!$C$27)*$I$7+(MOD($B435,60)=PARAM!$B$56)*($B435&gt;(60-PARAM!$B$56))*HLOOKUP(($B435+PARAM!$B$56)/12,Loyalty,2)*$F$1*MAX(V434,0)</f>
        <v>18.557001321003963</v>
      </c>
      <c r="U435" s="75">
        <f>PARAM!$C$26+MAX($G$7-CHOOSE(PARAM!$B$44,MAX(0,V434*$F$1),0),0)*RATES!$L411/12+$H$7*(PARAM!$D$51/12)*RATES!$N411/100</f>
        <v>67.833333333333343</v>
      </c>
      <c r="V435" s="16">
        <f t="shared" si="288"/>
        <v>-2506.6514852459463</v>
      </c>
      <c r="W435" s="15">
        <f t="shared" si="263"/>
        <v>22.170849845882874</v>
      </c>
      <c r="X435" s="75">
        <f>W435*(1-PARAM!$C$27)*$I$8+(MOD($B435,60)=PARAM!$B$56)*($B435&gt;(60-PARAM!$B$56))*HLOOKUP(($B435+PARAM!$B$56)/12,Loyalty,2)*$F$1*MAX(Z434,0)</f>
        <v>18.557001321003963</v>
      </c>
      <c r="Y435" s="75">
        <f>PARAM!$C$26+MAX($G$8-CHOOSE(PARAM!$B$44,MAX(0,Z434*$F$1),0),0)*RATES!$L411/12+$H$8*(PARAM!$D$51/12)*RATES!$N411/100</f>
        <v>67.833333333333343</v>
      </c>
      <c r="Z435" s="16">
        <f t="shared" si="289"/>
        <v>-2506.6514852459463</v>
      </c>
      <c r="AA435" s="15">
        <f t="shared" si="264"/>
        <v>22.170849845882874</v>
      </c>
      <c r="AB435" s="75">
        <f>AA435*(1-PARAM!$C$27)*$I$9+(MOD($B435,60)=PARAM!$B$56)*($B435&gt;(60-PARAM!$B$56))*HLOOKUP(($B435+PARAM!$B$56)/12,Loyalty,2)*$F$1*MAX(AD434,0)</f>
        <v>18.557001321003963</v>
      </c>
      <c r="AC435" s="75">
        <f>PARAM!$C$26+MAX($G$9-CHOOSE(PARAM!$B$44,MAX(0,AD434*$F$1),0),0)*RATES!$L411/12+$H$9*(PARAM!$D$51/12)*RATES!$N411/100</f>
        <v>67.833333333333343</v>
      </c>
      <c r="AD435" s="16">
        <f t="shared" si="290"/>
        <v>-2506.6514852459463</v>
      </c>
      <c r="AE435" s="15">
        <f t="shared" si="265"/>
        <v>22.170849845882874</v>
      </c>
      <c r="AF435" s="75">
        <f>AE435*(1-PARAM!$C$27)*$I$10+(MOD($B435,60)=PARAM!$B$56)*($B435&gt;(60-PARAM!$B$56))*HLOOKUP(($B435+PARAM!$B$56)/12,Loyalty,2)*$F$1*MAX(AH434,0)</f>
        <v>18.557001321003963</v>
      </c>
      <c r="AG435" s="75">
        <f>PARAM!$C$26+MAX($G$10-CHOOSE(PARAM!$B$44,MAX(0,AH434*$F$1),0),0)*RATES!$L411/12+$H$10*(PARAM!$D$51/12)*RATES!$N411/100</f>
        <v>67.833333333333343</v>
      </c>
      <c r="AH435" s="16">
        <f t="shared" si="291"/>
        <v>-2506.6514852459463</v>
      </c>
      <c r="AI435" s="15">
        <f t="shared" si="266"/>
        <v>22.170849845882874</v>
      </c>
      <c r="AJ435" s="75">
        <f>AI435*(1-PARAM!$C$27)*$I$11+(MOD($B435,60)=PARAM!$B$56)*($B435&gt;(60-PARAM!$B$56))*HLOOKUP(($B435+PARAM!$B$56)/12,Loyalty,2)*$F$1*MAX(AL434,0)</f>
        <v>18.557001321003963</v>
      </c>
      <c r="AK435" s="75">
        <f>PARAM!$C$26+MAX($G$11-CHOOSE(PARAM!$B$44,MAX(0,AL434*$F$1),0),0)*RATES!$L411/12+$H$11*(PARAM!$D$51/12)*RATES!$N411/100</f>
        <v>67.833333333333343</v>
      </c>
      <c r="AL435" s="16">
        <f t="shared" si="292"/>
        <v>-2506.6514852459463</v>
      </c>
      <c r="AM435" s="15">
        <f t="shared" si="267"/>
        <v>22.170849845882874</v>
      </c>
      <c r="AN435" s="75">
        <f>AM435*(1-PARAM!$C$27)*$I$12+(MOD($B435,60)=PARAM!$B$56)*($B435&gt;(60-PARAM!$B$56))*HLOOKUP(($B435+PARAM!$B$56)/12,Loyalty,2)*$F$1*MAX(AP434,0)</f>
        <v>18.557001321003963</v>
      </c>
      <c r="AO435" s="75">
        <f>PARAM!$C$26+MAX($G$12-CHOOSE(PARAM!$B$44,MAX(0,AP434*$F$1),0),0)*RATES!$L411/12+$H$12*(PARAM!$D$51/12)*RATES!$N411/100</f>
        <v>67.833333333333343</v>
      </c>
      <c r="AP435" s="16">
        <f t="shared" si="293"/>
        <v>-2506.6514852459463</v>
      </c>
      <c r="AQ435" s="15">
        <f t="shared" si="268"/>
        <v>22.170849845882874</v>
      </c>
      <c r="AR435" s="75">
        <f>AQ435*(1-PARAM!$C$27)*$I$13+(MOD($B435,60)=PARAM!$B$56)*($B435&gt;(60-PARAM!$B$56))*HLOOKUP(($B435+PARAM!$B$56)/12,Loyalty,2)*$F$1*MAX(AT434,0)</f>
        <v>18.557001321003963</v>
      </c>
      <c r="AS435" s="75">
        <f>PARAM!$C$26+MAX($G$13-CHOOSE(PARAM!$B$44,MAX(0,AT434*$F$1),0),0)*RATES!$L411/12+$H$13*(PARAM!$D$51/12)*RATES!$N411/100</f>
        <v>67.833333333333343</v>
      </c>
      <c r="AT435" s="16">
        <f t="shared" si="294"/>
        <v>-2506.6514852459463</v>
      </c>
      <c r="AU435" s="15">
        <f t="shared" si="269"/>
        <v>22.170849845882874</v>
      </c>
      <c r="AV435" s="75">
        <f>AU435*(1-PARAM!$C$27)*$I$14+(MOD($B435,60)=PARAM!$B$56)*($B435&gt;(60-PARAM!$B$56))*HLOOKUP(($B435+PARAM!$B$56)/12,Loyalty,2)*$F$1*MAX(AX434,0)</f>
        <v>18.557001321003963</v>
      </c>
      <c r="AW435" s="75">
        <f>PARAM!$C$26+MAX($G$14-CHOOSE(PARAM!$B$44,MAX(0,AX434*$F$1),0),0)*RATES!$L411/12+$H$14*(PARAM!$D$51/12)*RATES!$N411/100</f>
        <v>67.833333333333343</v>
      </c>
      <c r="AX435" s="16">
        <f t="shared" si="295"/>
        <v>-2506.6514852459463</v>
      </c>
      <c r="AY435" s="15">
        <f t="shared" si="270"/>
        <v>22.170849845882874</v>
      </c>
      <c r="AZ435" s="75">
        <f>AY435*(1-PARAM!$C$27)*$I$15+(MOD($B435,60)=PARAM!$B$56)*($B435&gt;(60-PARAM!$B$56))*HLOOKUP(($B435+PARAM!$B$56)/12,Loyalty,2)*$F$1*MAX(BB434,0)</f>
        <v>18.557001321003963</v>
      </c>
      <c r="BA435" s="75">
        <f>PARAM!$C$26+MAX($G$15-CHOOSE(PARAM!$B$44,MAX(0,BB434*$F$1),0),0)*RATES!$L411/12+$H$15*(PARAM!$D$51/12)*RATES!$N411/100</f>
        <v>67.833333333333343</v>
      </c>
      <c r="BB435" s="16">
        <f t="shared" si="296"/>
        <v>-2506.6514852459463</v>
      </c>
      <c r="BC435" s="15">
        <f t="shared" si="271"/>
        <v>22.170849845882874</v>
      </c>
      <c r="BD435" s="75">
        <f>BC435*(1-PARAM!$C$27)*$I$16+(MOD($B435,60)=PARAM!$B$56)*($B435&gt;(60-PARAM!$B$56))*HLOOKUP(($B435+PARAM!$B$56)/12,Loyalty,2)*$F$1*MAX(BF434,0)</f>
        <v>18.557001321003963</v>
      </c>
      <c r="BE435" s="75">
        <f>PARAM!$C$26+MAX($G$16-CHOOSE(PARAM!$B$44,MAX(0,BF434*$F$1),0),0)*RATES!$L411/12+$H$16*(PARAM!$D$51/12)*RATES!$N411/100</f>
        <v>67.833333333333343</v>
      </c>
      <c r="BF435" s="16">
        <f t="shared" si="297"/>
        <v>-2506.6514852459463</v>
      </c>
      <c r="BG435" s="15">
        <f t="shared" si="272"/>
        <v>22.170849845882874</v>
      </c>
      <c r="BH435" s="75">
        <f>BG435*(1-PARAM!$C$27)*$I$17+(MOD($B435,60)=PARAM!$B$56)*($B435&gt;(60-PARAM!$B$56))*HLOOKUP(($B435+PARAM!$B$56)/12,Loyalty,2)*$F$1*MAX(BJ434,0)</f>
        <v>18.557001321003963</v>
      </c>
      <c r="BI435" s="75">
        <f>PARAM!$C$26+MAX($G$17-CHOOSE(PARAM!$B$44,MAX(0,BJ434*$F$1),0),0)*RATES!$L411/12+$H$17*(PARAM!$D$51/12)*RATES!$N411/100</f>
        <v>67.833333333333343</v>
      </c>
      <c r="BJ435" s="16">
        <f t="shared" si="298"/>
        <v>-2506.6514852459463</v>
      </c>
      <c r="BK435" s="15">
        <f t="shared" si="273"/>
        <v>22.170849845882874</v>
      </c>
      <c r="BL435" s="75">
        <f>BK435*(1-PARAM!$C$27)*$I$18+(MOD($B435,60)=PARAM!$B$56)*($B435&gt;(60-PARAM!$B$56))*HLOOKUP(($B435+PARAM!$B$56)/12,Loyalty,2)*$F$1*MAX(BN434,0)</f>
        <v>18.557001321003963</v>
      </c>
      <c r="BM435" s="75">
        <f>PARAM!$C$26+MAX($G$18-CHOOSE(PARAM!$B$44,MAX(0,BN434*$F$1),0),0)*RATES!$L411/12+$H$18*(PARAM!$D$51/12)*RATES!$N411/100</f>
        <v>67.833333333333343</v>
      </c>
      <c r="BN435" s="16">
        <f t="shared" si="299"/>
        <v>-2506.6514852459463</v>
      </c>
      <c r="BO435" s="15">
        <f t="shared" si="274"/>
        <v>22.170849845882874</v>
      </c>
      <c r="BP435" s="75">
        <f>BO435*(1-PARAM!$C$27)*$I$19+(MOD($B435,60)=PARAM!$B$56)*($B435&gt;(60-PARAM!$B$56))*HLOOKUP(($B435+PARAM!$B$56)/12,Loyalty,2)*$F$1*MAX(BR434,0)</f>
        <v>18.557001321003963</v>
      </c>
      <c r="BQ435" s="75">
        <f>PARAM!$C$26+MAX($G$19-CHOOSE(PARAM!$B$44,MAX(0,BR434*$F$1),0),0)*RATES!$L411/12+$H$19*(PARAM!$D$51/12)*RATES!$N411/100</f>
        <v>67.833333333333343</v>
      </c>
      <c r="BR435" s="16">
        <f t="shared" si="300"/>
        <v>-2506.6514852459463</v>
      </c>
      <c r="BS435" s="15">
        <f t="shared" si="275"/>
        <v>22.170849845882874</v>
      </c>
      <c r="BT435" s="75">
        <f>BS435*(1-PARAM!$C$27)*$I$20+(MOD($B435,60)=PARAM!$B$56)*($B435&gt;(60-PARAM!$B$56))*HLOOKUP(($B435+PARAM!$B$56)/12,Loyalty,2)*$F$1*MAX(BV434,0)</f>
        <v>18.557001321003963</v>
      </c>
      <c r="BU435" s="75">
        <f>PARAM!$C$26+MAX($G$20-CHOOSE(PARAM!$B$44,MAX(0,BV434*$F$1),0),0)*RATES!$L411/12+$H$20*(PARAM!$D$51/12)*RATES!$N411/100</f>
        <v>67.833333333333343</v>
      </c>
      <c r="BV435" s="16">
        <f t="shared" si="301"/>
        <v>-2506.6514852459463</v>
      </c>
      <c r="BW435" s="15">
        <f t="shared" si="276"/>
        <v>22.170849845882874</v>
      </c>
      <c r="BX435" s="75">
        <f>BW435*(1-PARAM!$C$27)*$I$21+(MOD($B435,60)=PARAM!$B$56)*($B435&gt;(60-PARAM!$B$56))*HLOOKUP(($B435+PARAM!$B$56)/12,Loyalty,2)*$F$1*MAX(BZ434,0)</f>
        <v>18.557001321003963</v>
      </c>
      <c r="BY435" s="75">
        <f>PARAM!$C$26+MAX($G$21-CHOOSE(PARAM!$B$44,MAX(0,BZ434*$F$1),0),0)*RATES!$L411/12+$H$21*(PARAM!$D$51/12)*RATES!$N411/100</f>
        <v>67.833333333333343</v>
      </c>
      <c r="BZ435" s="16">
        <f t="shared" si="302"/>
        <v>-2506.6514852459463</v>
      </c>
      <c r="CA435" s="15">
        <f t="shared" si="277"/>
        <v>22.170849845882874</v>
      </c>
      <c r="CB435" s="75">
        <f>CA435*(1-PARAM!$C$27)*$I$22+(MOD($B435,60)=PARAM!$B$56)*($B435&gt;(60-PARAM!$B$56))*HLOOKUP(($B435+PARAM!$B$56)/12,Loyalty,2)*$F$1*MAX(CD434,0)</f>
        <v>18.557001321003963</v>
      </c>
      <c r="CC435" s="75">
        <f>PARAM!$C$26+MAX($G$22-CHOOSE(PARAM!$B$44,MAX(0,CD434*$F$1),0),0)*RATES!$L411/12+$H$22*(PARAM!$D$51/12)*RATES!$N411/100</f>
        <v>67.833333333333343</v>
      </c>
      <c r="CD435" s="16">
        <f t="shared" si="303"/>
        <v>-2506.6514852459463</v>
      </c>
      <c r="CE435" s="33">
        <f>IF(0=MOD(B435,12/PARAM!$D$51),1,0)</f>
        <v>1</v>
      </c>
      <c r="CF435" s="15">
        <f t="shared" si="278"/>
        <v>0</v>
      </c>
      <c r="CG435" s="75">
        <f>CF435*(1-PARAM!$C$27)*$R$3+(MOD($B435/12,5)=0)*($B435&gt;60)*HLOOKUP($B435/12,Loyalty,2)*$F$1*MAX(CI434,0)</f>
        <v>0</v>
      </c>
      <c r="CH435" s="75">
        <f>PARAM!$C$26+MAX($P$3-CHOOSE(PARAM!$B$44,MAX(0,CI434*$F$1),0),0)*RATES!$L411/12+$Q$3*(PARAM!$D$51/12)*RATES!$N411/100</f>
        <v>67.833333333333343</v>
      </c>
      <c r="CI435" s="16">
        <f>IF(CI434&gt;0,CI434*PARAM!$C$53,CI434)+CG435-CH435</f>
        <v>-9958.3333333333248</v>
      </c>
      <c r="CJ435" s="15">
        <f t="shared" si="304"/>
        <v>0</v>
      </c>
      <c r="CK435" s="75">
        <f>CJ435*(1-PARAM!$C$27)*$R$4+(MOD($B435/12,5)=0)*($B435&gt;60)*HLOOKUP($B435/12,Loyalty,2)*$F$1*MAX(CM434,0)</f>
        <v>0</v>
      </c>
      <c r="CL435" s="75">
        <f>PARAM!$C$26+MAX($P$4-CHOOSE(PARAM!$B$44,MAX(0,CM434*$F$1),0),0)*RATES!$L411/12+$Q$4*(PARAM!$D$51/12)*RATES!$N411/100</f>
        <v>67.833333333333343</v>
      </c>
      <c r="CM435" s="16">
        <f>IF(CM434&gt;0,CM434*PARAM!$C$53,CM434)+CK435-CL435</f>
        <v>-9958.3333333333248</v>
      </c>
      <c r="CO435" s="176"/>
    </row>
    <row r="436" spans="1:93" x14ac:dyDescent="0.2">
      <c r="A436" t="b">
        <f t="shared" si="279"/>
        <v>0</v>
      </c>
      <c r="B436" s="33">
        <v>409</v>
      </c>
      <c r="C436" s="15">
        <f t="shared" si="280"/>
        <v>20.081305947392778</v>
      </c>
      <c r="D436" s="75">
        <f>C436*(1-PARAM!$C$27)*$I$3+(MOD($B436,60)=PARAM!$B$56)*($B436&gt;(60-PARAM!$B$56))*HLOOKUP(($B436+PARAM!$B$56)/12,Loyalty,2)*$F$1*MAX(F435,0)</f>
        <v>16.808053077967756</v>
      </c>
      <c r="E436" s="75">
        <f>PARAM!$C$26+MAX($G$3-CHOOSE(PARAM!$B$44,MAX(0,F435*$F$1),0),0)*RATES!$L412/12+$H$3*(PARAM!$D$51/12)*RATES!$N412/100</f>
        <v>67.833333333333343</v>
      </c>
      <c r="F436" s="16">
        <f t="shared" si="281"/>
        <v>-3308.0981491815946</v>
      </c>
      <c r="G436" s="15">
        <f t="shared" si="282"/>
        <v>22.035289406060361</v>
      </c>
      <c r="H436" s="75">
        <f>G436*(1-PARAM!$C$27)*$I$4+(MOD($B436,60)=PARAM!$B$56)*($B436&gt;(60-PARAM!$B$56))*HLOOKUP(($B436+PARAM!$B$56)/12,Loyalty,2)*$F$1*MAX(J435,0)</f>
        <v>18.443537232872522</v>
      </c>
      <c r="I436" s="75">
        <f>PARAM!$C$26+MAX($G$4-CHOOSE(PARAM!$B$44,MAX(0,J435*$F$1),0),0)*RATES!$L412/12+$H$4*(PARAM!$D$51/12)*RATES!$N412/100</f>
        <v>67.833333333333343</v>
      </c>
      <c r="J436" s="16">
        <f t="shared" si="283"/>
        <v>-2605.3521657038295</v>
      </c>
      <c r="K436" s="15">
        <f t="shared" si="284"/>
        <v>22.170849845882874</v>
      </c>
      <c r="L436" s="75">
        <f>K436*(1-PARAM!$C$27)*$I$5+(MOD($B436,60)=PARAM!$B$56)*($B436&gt;(60-PARAM!$B$56))*HLOOKUP(($B436+PARAM!$B$56)/12,Loyalty,2)*$F$1*MAX(N435,0)</f>
        <v>18.557001321003963</v>
      </c>
      <c r="M436" s="75">
        <f>PARAM!$C$26+MAX($G$5-CHOOSE(PARAM!$B$44,MAX(0,N435*$F$1),0),0)*RATES!$L412/12+$H$5*(PARAM!$D$51/12)*RATES!$N412/100</f>
        <v>67.833333333333343</v>
      </c>
      <c r="N436" s="16">
        <f t="shared" si="285"/>
        <v>-2555.9278172582758</v>
      </c>
      <c r="O436" s="15">
        <f t="shared" si="286"/>
        <v>22.170849845882874</v>
      </c>
      <c r="P436" s="75">
        <f>O436*(1-PARAM!$C$27)*$I$6+(MOD($B436,60)=PARAM!$B$56)*($B436&gt;(60-PARAM!$B$56))*HLOOKUP(($B436+PARAM!$B$56)/12,Loyalty,2)*$F$1*MAX(R435,0)</f>
        <v>18.557001321003963</v>
      </c>
      <c r="Q436" s="75">
        <f>PARAM!$C$26+MAX($G$6-CHOOSE(PARAM!$B$44,MAX(0,R435*$F$1),0),0)*RATES!$L412/12+$H$6*(PARAM!$D$51/12)*RATES!$N412/100</f>
        <v>67.833333333333343</v>
      </c>
      <c r="R436" s="16">
        <f t="shared" si="287"/>
        <v>-2555.9278172582758</v>
      </c>
      <c r="S436" s="15">
        <f t="shared" si="262"/>
        <v>22.170849845882874</v>
      </c>
      <c r="T436" s="75">
        <f>S436*(1-PARAM!$C$27)*$I$7+(MOD($B436,60)=PARAM!$B$56)*($B436&gt;(60-PARAM!$B$56))*HLOOKUP(($B436+PARAM!$B$56)/12,Loyalty,2)*$F$1*MAX(V435,0)</f>
        <v>18.557001321003963</v>
      </c>
      <c r="U436" s="75">
        <f>PARAM!$C$26+MAX($G$7-CHOOSE(PARAM!$B$44,MAX(0,V435*$F$1),0),0)*RATES!$L412/12+$H$7*(PARAM!$D$51/12)*RATES!$N412/100</f>
        <v>67.833333333333343</v>
      </c>
      <c r="V436" s="16">
        <f t="shared" si="288"/>
        <v>-2555.9278172582758</v>
      </c>
      <c r="W436" s="15">
        <f t="shared" si="263"/>
        <v>22.170849845882874</v>
      </c>
      <c r="X436" s="75">
        <f>W436*(1-PARAM!$C$27)*$I$8+(MOD($B436,60)=PARAM!$B$56)*($B436&gt;(60-PARAM!$B$56))*HLOOKUP(($B436+PARAM!$B$56)/12,Loyalty,2)*$F$1*MAX(Z435,0)</f>
        <v>18.557001321003963</v>
      </c>
      <c r="Y436" s="75">
        <f>PARAM!$C$26+MAX($G$8-CHOOSE(PARAM!$B$44,MAX(0,Z435*$F$1),0),0)*RATES!$L412/12+$H$8*(PARAM!$D$51/12)*RATES!$N412/100</f>
        <v>67.833333333333343</v>
      </c>
      <c r="Z436" s="16">
        <f t="shared" si="289"/>
        <v>-2555.9278172582758</v>
      </c>
      <c r="AA436" s="15">
        <f t="shared" si="264"/>
        <v>22.170849845882874</v>
      </c>
      <c r="AB436" s="75">
        <f>AA436*(1-PARAM!$C$27)*$I$9+(MOD($B436,60)=PARAM!$B$56)*($B436&gt;(60-PARAM!$B$56))*HLOOKUP(($B436+PARAM!$B$56)/12,Loyalty,2)*$F$1*MAX(AD435,0)</f>
        <v>18.557001321003963</v>
      </c>
      <c r="AC436" s="75">
        <f>PARAM!$C$26+MAX($G$9-CHOOSE(PARAM!$B$44,MAX(0,AD435*$F$1),0),0)*RATES!$L412/12+$H$9*(PARAM!$D$51/12)*RATES!$N412/100</f>
        <v>67.833333333333343</v>
      </c>
      <c r="AD436" s="16">
        <f t="shared" si="290"/>
        <v>-2555.9278172582758</v>
      </c>
      <c r="AE436" s="15">
        <f t="shared" si="265"/>
        <v>22.170849845882874</v>
      </c>
      <c r="AF436" s="75">
        <f>AE436*(1-PARAM!$C$27)*$I$10+(MOD($B436,60)=PARAM!$B$56)*($B436&gt;(60-PARAM!$B$56))*HLOOKUP(($B436+PARAM!$B$56)/12,Loyalty,2)*$F$1*MAX(AH435,0)</f>
        <v>18.557001321003963</v>
      </c>
      <c r="AG436" s="75">
        <f>PARAM!$C$26+MAX($G$10-CHOOSE(PARAM!$B$44,MAX(0,AH435*$F$1),0),0)*RATES!$L412/12+$H$10*(PARAM!$D$51/12)*RATES!$N412/100</f>
        <v>67.833333333333343</v>
      </c>
      <c r="AH436" s="16">
        <f t="shared" si="291"/>
        <v>-2555.9278172582758</v>
      </c>
      <c r="AI436" s="15">
        <f t="shared" si="266"/>
        <v>22.170849845882874</v>
      </c>
      <c r="AJ436" s="75">
        <f>AI436*(1-PARAM!$C$27)*$I$11+(MOD($B436,60)=PARAM!$B$56)*($B436&gt;(60-PARAM!$B$56))*HLOOKUP(($B436+PARAM!$B$56)/12,Loyalty,2)*$F$1*MAX(AL435,0)</f>
        <v>18.557001321003963</v>
      </c>
      <c r="AK436" s="75">
        <f>PARAM!$C$26+MAX($G$11-CHOOSE(PARAM!$B$44,MAX(0,AL435*$F$1),0),0)*RATES!$L412/12+$H$11*(PARAM!$D$51/12)*RATES!$N412/100</f>
        <v>67.833333333333343</v>
      </c>
      <c r="AL436" s="16">
        <f t="shared" si="292"/>
        <v>-2555.9278172582758</v>
      </c>
      <c r="AM436" s="15">
        <f t="shared" si="267"/>
        <v>22.170849845882874</v>
      </c>
      <c r="AN436" s="75">
        <f>AM436*(1-PARAM!$C$27)*$I$12+(MOD($B436,60)=PARAM!$B$56)*($B436&gt;(60-PARAM!$B$56))*HLOOKUP(($B436+PARAM!$B$56)/12,Loyalty,2)*$F$1*MAX(AP435,0)</f>
        <v>18.557001321003963</v>
      </c>
      <c r="AO436" s="75">
        <f>PARAM!$C$26+MAX($G$12-CHOOSE(PARAM!$B$44,MAX(0,AP435*$F$1),0),0)*RATES!$L412/12+$H$12*(PARAM!$D$51/12)*RATES!$N412/100</f>
        <v>67.833333333333343</v>
      </c>
      <c r="AP436" s="16">
        <f t="shared" si="293"/>
        <v>-2555.9278172582758</v>
      </c>
      <c r="AQ436" s="15">
        <f t="shared" si="268"/>
        <v>22.170849845882874</v>
      </c>
      <c r="AR436" s="75">
        <f>AQ436*(1-PARAM!$C$27)*$I$13+(MOD($B436,60)=PARAM!$B$56)*($B436&gt;(60-PARAM!$B$56))*HLOOKUP(($B436+PARAM!$B$56)/12,Loyalty,2)*$F$1*MAX(AT435,0)</f>
        <v>18.557001321003963</v>
      </c>
      <c r="AS436" s="75">
        <f>PARAM!$C$26+MAX($G$13-CHOOSE(PARAM!$B$44,MAX(0,AT435*$F$1),0),0)*RATES!$L412/12+$H$13*(PARAM!$D$51/12)*RATES!$N412/100</f>
        <v>67.833333333333343</v>
      </c>
      <c r="AT436" s="16">
        <f t="shared" si="294"/>
        <v>-2555.9278172582758</v>
      </c>
      <c r="AU436" s="15">
        <f t="shared" si="269"/>
        <v>22.170849845882874</v>
      </c>
      <c r="AV436" s="75">
        <f>AU436*(1-PARAM!$C$27)*$I$14+(MOD($B436,60)=PARAM!$B$56)*($B436&gt;(60-PARAM!$B$56))*HLOOKUP(($B436+PARAM!$B$56)/12,Loyalty,2)*$F$1*MAX(AX435,0)</f>
        <v>18.557001321003963</v>
      </c>
      <c r="AW436" s="75">
        <f>PARAM!$C$26+MAX($G$14-CHOOSE(PARAM!$B$44,MAX(0,AX435*$F$1),0),0)*RATES!$L412/12+$H$14*(PARAM!$D$51/12)*RATES!$N412/100</f>
        <v>67.833333333333343</v>
      </c>
      <c r="AX436" s="16">
        <f t="shared" si="295"/>
        <v>-2555.9278172582758</v>
      </c>
      <c r="AY436" s="15">
        <f t="shared" si="270"/>
        <v>22.170849845882874</v>
      </c>
      <c r="AZ436" s="75">
        <f>AY436*(1-PARAM!$C$27)*$I$15+(MOD($B436,60)=PARAM!$B$56)*($B436&gt;(60-PARAM!$B$56))*HLOOKUP(($B436+PARAM!$B$56)/12,Loyalty,2)*$F$1*MAX(BB435,0)</f>
        <v>18.557001321003963</v>
      </c>
      <c r="BA436" s="75">
        <f>PARAM!$C$26+MAX($G$15-CHOOSE(PARAM!$B$44,MAX(0,BB435*$F$1),0),0)*RATES!$L412/12+$H$15*(PARAM!$D$51/12)*RATES!$N412/100</f>
        <v>67.833333333333343</v>
      </c>
      <c r="BB436" s="16">
        <f t="shared" si="296"/>
        <v>-2555.9278172582758</v>
      </c>
      <c r="BC436" s="15">
        <f t="shared" si="271"/>
        <v>22.170849845882874</v>
      </c>
      <c r="BD436" s="75">
        <f>BC436*(1-PARAM!$C$27)*$I$16+(MOD($B436,60)=PARAM!$B$56)*($B436&gt;(60-PARAM!$B$56))*HLOOKUP(($B436+PARAM!$B$56)/12,Loyalty,2)*$F$1*MAX(BF435,0)</f>
        <v>18.557001321003963</v>
      </c>
      <c r="BE436" s="75">
        <f>PARAM!$C$26+MAX($G$16-CHOOSE(PARAM!$B$44,MAX(0,BF435*$F$1),0),0)*RATES!$L412/12+$H$16*(PARAM!$D$51/12)*RATES!$N412/100</f>
        <v>67.833333333333343</v>
      </c>
      <c r="BF436" s="16">
        <f t="shared" si="297"/>
        <v>-2555.9278172582758</v>
      </c>
      <c r="BG436" s="15">
        <f t="shared" si="272"/>
        <v>22.170849845882874</v>
      </c>
      <c r="BH436" s="75">
        <f>BG436*(1-PARAM!$C$27)*$I$17+(MOD($B436,60)=PARAM!$B$56)*($B436&gt;(60-PARAM!$B$56))*HLOOKUP(($B436+PARAM!$B$56)/12,Loyalty,2)*$F$1*MAX(BJ435,0)</f>
        <v>18.557001321003963</v>
      </c>
      <c r="BI436" s="75">
        <f>PARAM!$C$26+MAX($G$17-CHOOSE(PARAM!$B$44,MAX(0,BJ435*$F$1),0),0)*RATES!$L412/12+$H$17*(PARAM!$D$51/12)*RATES!$N412/100</f>
        <v>67.833333333333343</v>
      </c>
      <c r="BJ436" s="16">
        <f t="shared" si="298"/>
        <v>-2555.9278172582758</v>
      </c>
      <c r="BK436" s="15">
        <f t="shared" si="273"/>
        <v>22.170849845882874</v>
      </c>
      <c r="BL436" s="75">
        <f>BK436*(1-PARAM!$C$27)*$I$18+(MOD($B436,60)=PARAM!$B$56)*($B436&gt;(60-PARAM!$B$56))*HLOOKUP(($B436+PARAM!$B$56)/12,Loyalty,2)*$F$1*MAX(BN435,0)</f>
        <v>18.557001321003963</v>
      </c>
      <c r="BM436" s="75">
        <f>PARAM!$C$26+MAX($G$18-CHOOSE(PARAM!$B$44,MAX(0,BN435*$F$1),0),0)*RATES!$L412/12+$H$18*(PARAM!$D$51/12)*RATES!$N412/100</f>
        <v>67.833333333333343</v>
      </c>
      <c r="BN436" s="16">
        <f t="shared" si="299"/>
        <v>-2555.9278172582758</v>
      </c>
      <c r="BO436" s="15">
        <f t="shared" si="274"/>
        <v>22.170849845882874</v>
      </c>
      <c r="BP436" s="75">
        <f>BO436*(1-PARAM!$C$27)*$I$19+(MOD($B436,60)=PARAM!$B$56)*($B436&gt;(60-PARAM!$B$56))*HLOOKUP(($B436+PARAM!$B$56)/12,Loyalty,2)*$F$1*MAX(BR435,0)</f>
        <v>18.557001321003963</v>
      </c>
      <c r="BQ436" s="75">
        <f>PARAM!$C$26+MAX($G$19-CHOOSE(PARAM!$B$44,MAX(0,BR435*$F$1),0),0)*RATES!$L412/12+$H$19*(PARAM!$D$51/12)*RATES!$N412/100</f>
        <v>67.833333333333343</v>
      </c>
      <c r="BR436" s="16">
        <f t="shared" si="300"/>
        <v>-2555.9278172582758</v>
      </c>
      <c r="BS436" s="15">
        <f t="shared" si="275"/>
        <v>22.170849845882874</v>
      </c>
      <c r="BT436" s="75">
        <f>BS436*(1-PARAM!$C$27)*$I$20+(MOD($B436,60)=PARAM!$B$56)*($B436&gt;(60-PARAM!$B$56))*HLOOKUP(($B436+PARAM!$B$56)/12,Loyalty,2)*$F$1*MAX(BV435,0)</f>
        <v>18.557001321003963</v>
      </c>
      <c r="BU436" s="75">
        <f>PARAM!$C$26+MAX($G$20-CHOOSE(PARAM!$B$44,MAX(0,BV435*$F$1),0),0)*RATES!$L412/12+$H$20*(PARAM!$D$51/12)*RATES!$N412/100</f>
        <v>67.833333333333343</v>
      </c>
      <c r="BV436" s="16">
        <f t="shared" si="301"/>
        <v>-2555.9278172582758</v>
      </c>
      <c r="BW436" s="15">
        <f t="shared" si="276"/>
        <v>22.170849845882874</v>
      </c>
      <c r="BX436" s="75">
        <f>BW436*(1-PARAM!$C$27)*$I$21+(MOD($B436,60)=PARAM!$B$56)*($B436&gt;(60-PARAM!$B$56))*HLOOKUP(($B436+PARAM!$B$56)/12,Loyalty,2)*$F$1*MAX(BZ435,0)</f>
        <v>18.557001321003963</v>
      </c>
      <c r="BY436" s="75">
        <f>PARAM!$C$26+MAX($G$21-CHOOSE(PARAM!$B$44,MAX(0,BZ435*$F$1),0),0)*RATES!$L412/12+$H$21*(PARAM!$D$51/12)*RATES!$N412/100</f>
        <v>67.833333333333343</v>
      </c>
      <c r="BZ436" s="16">
        <f t="shared" si="302"/>
        <v>-2555.9278172582758</v>
      </c>
      <c r="CA436" s="15">
        <f t="shared" si="277"/>
        <v>22.170849845882874</v>
      </c>
      <c r="CB436" s="75">
        <f>CA436*(1-PARAM!$C$27)*$I$22+(MOD($B436,60)=PARAM!$B$56)*($B436&gt;(60-PARAM!$B$56))*HLOOKUP(($B436+PARAM!$B$56)/12,Loyalty,2)*$F$1*MAX(CD435,0)</f>
        <v>18.557001321003963</v>
      </c>
      <c r="CC436" s="75">
        <f>PARAM!$C$26+MAX($G$22-CHOOSE(PARAM!$B$44,MAX(0,CD435*$F$1),0),0)*RATES!$L412/12+$H$22*(PARAM!$D$51/12)*RATES!$N412/100</f>
        <v>67.833333333333343</v>
      </c>
      <c r="CD436" s="16">
        <f t="shared" si="303"/>
        <v>-2555.9278172582758</v>
      </c>
      <c r="CE436" s="33">
        <f>IF(0=MOD(B436,12/PARAM!$D$51),1,0)</f>
        <v>1</v>
      </c>
      <c r="CF436" s="15">
        <f t="shared" si="278"/>
        <v>0</v>
      </c>
      <c r="CG436" s="75">
        <f>CF436*(1-PARAM!$C$27)*$R$3+(MOD($B436/12,5)=0)*($B436&gt;60)*HLOOKUP($B436/12,Loyalty,2)*$F$1*MAX(CI435,0)</f>
        <v>0</v>
      </c>
      <c r="CH436" s="75">
        <f>PARAM!$C$26+MAX($P$3-CHOOSE(PARAM!$B$44,MAX(0,CI435*$F$1),0),0)*RATES!$L412/12+$Q$3*(PARAM!$D$51/12)*RATES!$N412/100</f>
        <v>67.833333333333343</v>
      </c>
      <c r="CI436" s="16">
        <f>IF(CI435&gt;0,CI435*PARAM!$C$53,CI435)+CG436-CH436</f>
        <v>-10026.166666666659</v>
      </c>
      <c r="CJ436" s="15">
        <f t="shared" si="304"/>
        <v>0</v>
      </c>
      <c r="CK436" s="75">
        <f>CJ436*(1-PARAM!$C$27)*$R$4+(MOD($B436/12,5)=0)*($B436&gt;60)*HLOOKUP($B436/12,Loyalty,2)*$F$1*MAX(CM435,0)</f>
        <v>0</v>
      </c>
      <c r="CL436" s="75">
        <f>PARAM!$C$26+MAX($P$4-CHOOSE(PARAM!$B$44,MAX(0,CM435*$F$1),0),0)*RATES!$L412/12+$Q$4*(PARAM!$D$51/12)*RATES!$N412/100</f>
        <v>67.833333333333343</v>
      </c>
      <c r="CM436" s="16">
        <f>IF(CM435&gt;0,CM435*PARAM!$C$53,CM435)+CK436-CL436</f>
        <v>-10026.166666666659</v>
      </c>
      <c r="CO436" s="176"/>
    </row>
    <row r="437" spans="1:93" x14ac:dyDescent="0.2">
      <c r="A437" t="b">
        <f t="shared" si="279"/>
        <v>0</v>
      </c>
      <c r="B437" s="33">
        <v>410</v>
      </c>
      <c r="C437" s="15">
        <f t="shared" si="280"/>
        <v>20.081305947392778</v>
      </c>
      <c r="D437" s="75">
        <f>C437*(1-PARAM!$C$27)*$I$3+(MOD($B437,60)=PARAM!$B$56)*($B437&gt;(60-PARAM!$B$56))*HLOOKUP(($B437+PARAM!$B$56)/12,Loyalty,2)*$F$1*MAX(F436,0)</f>
        <v>16.808053077967756</v>
      </c>
      <c r="E437" s="75">
        <f>PARAM!$C$26+MAX($G$3-CHOOSE(PARAM!$B$44,MAX(0,F436*$F$1),0),0)*RATES!$L413/12+$H$3*(PARAM!$D$51/12)*RATES!$N413/100</f>
        <v>67.833333333333343</v>
      </c>
      <c r="F437" s="16">
        <f t="shared" si="281"/>
        <v>-3359.1234294369606</v>
      </c>
      <c r="G437" s="15">
        <f t="shared" si="282"/>
        <v>22.035289406060361</v>
      </c>
      <c r="H437" s="75">
        <f>G437*(1-PARAM!$C$27)*$I$4+(MOD($B437,60)=PARAM!$B$56)*($B437&gt;(60-PARAM!$B$56))*HLOOKUP(($B437+PARAM!$B$56)/12,Loyalty,2)*$F$1*MAX(J436,0)</f>
        <v>18.443537232872522</v>
      </c>
      <c r="I437" s="75">
        <f>PARAM!$C$26+MAX($G$4-CHOOSE(PARAM!$B$44,MAX(0,J436*$F$1),0),0)*RATES!$L413/12+$H$4*(PARAM!$D$51/12)*RATES!$N413/100</f>
        <v>67.833333333333343</v>
      </c>
      <c r="J437" s="16">
        <f t="shared" si="283"/>
        <v>-2654.7419618042904</v>
      </c>
      <c r="K437" s="15">
        <f t="shared" si="284"/>
        <v>22.170849845882874</v>
      </c>
      <c r="L437" s="75">
        <f>K437*(1-PARAM!$C$27)*$I$5+(MOD($B437,60)=PARAM!$B$56)*($B437&gt;(60-PARAM!$B$56))*HLOOKUP(($B437+PARAM!$B$56)/12,Loyalty,2)*$F$1*MAX(N436,0)</f>
        <v>18.557001321003963</v>
      </c>
      <c r="M437" s="75">
        <f>PARAM!$C$26+MAX($G$5-CHOOSE(PARAM!$B$44,MAX(0,N436*$F$1),0),0)*RATES!$L413/12+$H$5*(PARAM!$D$51/12)*RATES!$N413/100</f>
        <v>67.833333333333343</v>
      </c>
      <c r="N437" s="16">
        <f t="shared" si="285"/>
        <v>-2605.2041492706053</v>
      </c>
      <c r="O437" s="15">
        <f t="shared" si="286"/>
        <v>22.170849845882874</v>
      </c>
      <c r="P437" s="75">
        <f>O437*(1-PARAM!$C$27)*$I$6+(MOD($B437,60)=PARAM!$B$56)*($B437&gt;(60-PARAM!$B$56))*HLOOKUP(($B437+PARAM!$B$56)/12,Loyalty,2)*$F$1*MAX(R436,0)</f>
        <v>18.557001321003963</v>
      </c>
      <c r="Q437" s="75">
        <f>PARAM!$C$26+MAX($G$6-CHOOSE(PARAM!$B$44,MAX(0,R436*$F$1),0),0)*RATES!$L413/12+$H$6*(PARAM!$D$51/12)*RATES!$N413/100</f>
        <v>67.833333333333343</v>
      </c>
      <c r="R437" s="16">
        <f t="shared" si="287"/>
        <v>-2605.2041492706053</v>
      </c>
      <c r="S437" s="15">
        <f t="shared" si="262"/>
        <v>22.170849845882874</v>
      </c>
      <c r="T437" s="75">
        <f>S437*(1-PARAM!$C$27)*$I$7+(MOD($B437,60)=PARAM!$B$56)*($B437&gt;(60-PARAM!$B$56))*HLOOKUP(($B437+PARAM!$B$56)/12,Loyalty,2)*$F$1*MAX(V436,0)</f>
        <v>18.557001321003963</v>
      </c>
      <c r="U437" s="75">
        <f>PARAM!$C$26+MAX($G$7-CHOOSE(PARAM!$B$44,MAX(0,V436*$F$1),0),0)*RATES!$L413/12+$H$7*(PARAM!$D$51/12)*RATES!$N413/100</f>
        <v>67.833333333333343</v>
      </c>
      <c r="V437" s="16">
        <f t="shared" si="288"/>
        <v>-2605.2041492706053</v>
      </c>
      <c r="W437" s="15">
        <f t="shared" si="263"/>
        <v>22.170849845882874</v>
      </c>
      <c r="X437" s="75">
        <f>W437*(1-PARAM!$C$27)*$I$8+(MOD($B437,60)=PARAM!$B$56)*($B437&gt;(60-PARAM!$B$56))*HLOOKUP(($B437+PARAM!$B$56)/12,Loyalty,2)*$F$1*MAX(Z436,0)</f>
        <v>18.557001321003963</v>
      </c>
      <c r="Y437" s="75">
        <f>PARAM!$C$26+MAX($G$8-CHOOSE(PARAM!$B$44,MAX(0,Z436*$F$1),0),0)*RATES!$L413/12+$H$8*(PARAM!$D$51/12)*RATES!$N413/100</f>
        <v>67.833333333333343</v>
      </c>
      <c r="Z437" s="16">
        <f t="shared" si="289"/>
        <v>-2605.2041492706053</v>
      </c>
      <c r="AA437" s="15">
        <f t="shared" si="264"/>
        <v>22.170849845882874</v>
      </c>
      <c r="AB437" s="75">
        <f>AA437*(1-PARAM!$C$27)*$I$9+(MOD($B437,60)=PARAM!$B$56)*($B437&gt;(60-PARAM!$B$56))*HLOOKUP(($B437+PARAM!$B$56)/12,Loyalty,2)*$F$1*MAX(AD436,0)</f>
        <v>18.557001321003963</v>
      </c>
      <c r="AC437" s="75">
        <f>PARAM!$C$26+MAX($G$9-CHOOSE(PARAM!$B$44,MAX(0,AD436*$F$1),0),0)*RATES!$L413/12+$H$9*(PARAM!$D$51/12)*RATES!$N413/100</f>
        <v>67.833333333333343</v>
      </c>
      <c r="AD437" s="16">
        <f t="shared" si="290"/>
        <v>-2605.2041492706053</v>
      </c>
      <c r="AE437" s="15">
        <f t="shared" si="265"/>
        <v>22.170849845882874</v>
      </c>
      <c r="AF437" s="75">
        <f>AE437*(1-PARAM!$C$27)*$I$10+(MOD($B437,60)=PARAM!$B$56)*($B437&gt;(60-PARAM!$B$56))*HLOOKUP(($B437+PARAM!$B$56)/12,Loyalty,2)*$F$1*MAX(AH436,0)</f>
        <v>18.557001321003963</v>
      </c>
      <c r="AG437" s="75">
        <f>PARAM!$C$26+MAX($G$10-CHOOSE(PARAM!$B$44,MAX(0,AH436*$F$1),0),0)*RATES!$L413/12+$H$10*(PARAM!$D$51/12)*RATES!$N413/100</f>
        <v>67.833333333333343</v>
      </c>
      <c r="AH437" s="16">
        <f t="shared" si="291"/>
        <v>-2605.2041492706053</v>
      </c>
      <c r="AI437" s="15">
        <f t="shared" si="266"/>
        <v>22.170849845882874</v>
      </c>
      <c r="AJ437" s="75">
        <f>AI437*(1-PARAM!$C$27)*$I$11+(MOD($B437,60)=PARAM!$B$56)*($B437&gt;(60-PARAM!$B$56))*HLOOKUP(($B437+PARAM!$B$56)/12,Loyalty,2)*$F$1*MAX(AL436,0)</f>
        <v>18.557001321003963</v>
      </c>
      <c r="AK437" s="75">
        <f>PARAM!$C$26+MAX($G$11-CHOOSE(PARAM!$B$44,MAX(0,AL436*$F$1),0),0)*RATES!$L413/12+$H$11*(PARAM!$D$51/12)*RATES!$N413/100</f>
        <v>67.833333333333343</v>
      </c>
      <c r="AL437" s="16">
        <f t="shared" si="292"/>
        <v>-2605.2041492706053</v>
      </c>
      <c r="AM437" s="15">
        <f t="shared" si="267"/>
        <v>22.170849845882874</v>
      </c>
      <c r="AN437" s="75">
        <f>AM437*(1-PARAM!$C$27)*$I$12+(MOD($B437,60)=PARAM!$B$56)*($B437&gt;(60-PARAM!$B$56))*HLOOKUP(($B437+PARAM!$B$56)/12,Loyalty,2)*$F$1*MAX(AP436,0)</f>
        <v>18.557001321003963</v>
      </c>
      <c r="AO437" s="75">
        <f>PARAM!$C$26+MAX($G$12-CHOOSE(PARAM!$B$44,MAX(0,AP436*$F$1),0),0)*RATES!$L413/12+$H$12*(PARAM!$D$51/12)*RATES!$N413/100</f>
        <v>67.833333333333343</v>
      </c>
      <c r="AP437" s="16">
        <f t="shared" si="293"/>
        <v>-2605.2041492706053</v>
      </c>
      <c r="AQ437" s="15">
        <f t="shared" si="268"/>
        <v>22.170849845882874</v>
      </c>
      <c r="AR437" s="75">
        <f>AQ437*(1-PARAM!$C$27)*$I$13+(MOD($B437,60)=PARAM!$B$56)*($B437&gt;(60-PARAM!$B$56))*HLOOKUP(($B437+PARAM!$B$56)/12,Loyalty,2)*$F$1*MAX(AT436,0)</f>
        <v>18.557001321003963</v>
      </c>
      <c r="AS437" s="75">
        <f>PARAM!$C$26+MAX($G$13-CHOOSE(PARAM!$B$44,MAX(0,AT436*$F$1),0),0)*RATES!$L413/12+$H$13*(PARAM!$D$51/12)*RATES!$N413/100</f>
        <v>67.833333333333343</v>
      </c>
      <c r="AT437" s="16">
        <f t="shared" si="294"/>
        <v>-2605.2041492706053</v>
      </c>
      <c r="AU437" s="15">
        <f t="shared" si="269"/>
        <v>22.170849845882874</v>
      </c>
      <c r="AV437" s="75">
        <f>AU437*(1-PARAM!$C$27)*$I$14+(MOD($B437,60)=PARAM!$B$56)*($B437&gt;(60-PARAM!$B$56))*HLOOKUP(($B437+PARAM!$B$56)/12,Loyalty,2)*$F$1*MAX(AX436,0)</f>
        <v>18.557001321003963</v>
      </c>
      <c r="AW437" s="75">
        <f>PARAM!$C$26+MAX($G$14-CHOOSE(PARAM!$B$44,MAX(0,AX436*$F$1),0),0)*RATES!$L413/12+$H$14*(PARAM!$D$51/12)*RATES!$N413/100</f>
        <v>67.833333333333343</v>
      </c>
      <c r="AX437" s="16">
        <f t="shared" si="295"/>
        <v>-2605.2041492706053</v>
      </c>
      <c r="AY437" s="15">
        <f t="shared" si="270"/>
        <v>22.170849845882874</v>
      </c>
      <c r="AZ437" s="75">
        <f>AY437*(1-PARAM!$C$27)*$I$15+(MOD($B437,60)=PARAM!$B$56)*($B437&gt;(60-PARAM!$B$56))*HLOOKUP(($B437+PARAM!$B$56)/12,Loyalty,2)*$F$1*MAX(BB436,0)</f>
        <v>18.557001321003963</v>
      </c>
      <c r="BA437" s="75">
        <f>PARAM!$C$26+MAX($G$15-CHOOSE(PARAM!$B$44,MAX(0,BB436*$F$1),0),0)*RATES!$L413/12+$H$15*(PARAM!$D$51/12)*RATES!$N413/100</f>
        <v>67.833333333333343</v>
      </c>
      <c r="BB437" s="16">
        <f t="shared" si="296"/>
        <v>-2605.2041492706053</v>
      </c>
      <c r="BC437" s="15">
        <f t="shared" si="271"/>
        <v>22.170849845882874</v>
      </c>
      <c r="BD437" s="75">
        <f>BC437*(1-PARAM!$C$27)*$I$16+(MOD($B437,60)=PARAM!$B$56)*($B437&gt;(60-PARAM!$B$56))*HLOOKUP(($B437+PARAM!$B$56)/12,Loyalty,2)*$F$1*MAX(BF436,0)</f>
        <v>18.557001321003963</v>
      </c>
      <c r="BE437" s="75">
        <f>PARAM!$C$26+MAX($G$16-CHOOSE(PARAM!$B$44,MAX(0,BF436*$F$1),0),0)*RATES!$L413/12+$H$16*(PARAM!$D$51/12)*RATES!$N413/100</f>
        <v>67.833333333333343</v>
      </c>
      <c r="BF437" s="16">
        <f t="shared" si="297"/>
        <v>-2605.2041492706053</v>
      </c>
      <c r="BG437" s="15">
        <f t="shared" si="272"/>
        <v>22.170849845882874</v>
      </c>
      <c r="BH437" s="75">
        <f>BG437*(1-PARAM!$C$27)*$I$17+(MOD($B437,60)=PARAM!$B$56)*($B437&gt;(60-PARAM!$B$56))*HLOOKUP(($B437+PARAM!$B$56)/12,Loyalty,2)*$F$1*MAX(BJ436,0)</f>
        <v>18.557001321003963</v>
      </c>
      <c r="BI437" s="75">
        <f>PARAM!$C$26+MAX($G$17-CHOOSE(PARAM!$B$44,MAX(0,BJ436*$F$1),0),0)*RATES!$L413/12+$H$17*(PARAM!$D$51/12)*RATES!$N413/100</f>
        <v>67.833333333333343</v>
      </c>
      <c r="BJ437" s="16">
        <f t="shared" si="298"/>
        <v>-2605.2041492706053</v>
      </c>
      <c r="BK437" s="15">
        <f t="shared" si="273"/>
        <v>22.170849845882874</v>
      </c>
      <c r="BL437" s="75">
        <f>BK437*(1-PARAM!$C$27)*$I$18+(MOD($B437,60)=PARAM!$B$56)*($B437&gt;(60-PARAM!$B$56))*HLOOKUP(($B437+PARAM!$B$56)/12,Loyalty,2)*$F$1*MAX(BN436,0)</f>
        <v>18.557001321003963</v>
      </c>
      <c r="BM437" s="75">
        <f>PARAM!$C$26+MAX($G$18-CHOOSE(PARAM!$B$44,MAX(0,BN436*$F$1),0),0)*RATES!$L413/12+$H$18*(PARAM!$D$51/12)*RATES!$N413/100</f>
        <v>67.833333333333343</v>
      </c>
      <c r="BN437" s="16">
        <f t="shared" si="299"/>
        <v>-2605.2041492706053</v>
      </c>
      <c r="BO437" s="15">
        <f t="shared" si="274"/>
        <v>22.170849845882874</v>
      </c>
      <c r="BP437" s="75">
        <f>BO437*(1-PARAM!$C$27)*$I$19+(MOD($B437,60)=PARAM!$B$56)*($B437&gt;(60-PARAM!$B$56))*HLOOKUP(($B437+PARAM!$B$56)/12,Loyalty,2)*$F$1*MAX(BR436,0)</f>
        <v>18.557001321003963</v>
      </c>
      <c r="BQ437" s="75">
        <f>PARAM!$C$26+MAX($G$19-CHOOSE(PARAM!$B$44,MAX(0,BR436*$F$1),0),0)*RATES!$L413/12+$H$19*(PARAM!$D$51/12)*RATES!$N413/100</f>
        <v>67.833333333333343</v>
      </c>
      <c r="BR437" s="16">
        <f t="shared" si="300"/>
        <v>-2605.2041492706053</v>
      </c>
      <c r="BS437" s="15">
        <f t="shared" si="275"/>
        <v>22.170849845882874</v>
      </c>
      <c r="BT437" s="75">
        <f>BS437*(1-PARAM!$C$27)*$I$20+(MOD($B437,60)=PARAM!$B$56)*($B437&gt;(60-PARAM!$B$56))*HLOOKUP(($B437+PARAM!$B$56)/12,Loyalty,2)*$F$1*MAX(BV436,0)</f>
        <v>18.557001321003963</v>
      </c>
      <c r="BU437" s="75">
        <f>PARAM!$C$26+MAX($G$20-CHOOSE(PARAM!$B$44,MAX(0,BV436*$F$1),0),0)*RATES!$L413/12+$H$20*(PARAM!$D$51/12)*RATES!$N413/100</f>
        <v>67.833333333333343</v>
      </c>
      <c r="BV437" s="16">
        <f t="shared" si="301"/>
        <v>-2605.2041492706053</v>
      </c>
      <c r="BW437" s="15">
        <f t="shared" si="276"/>
        <v>22.170849845882874</v>
      </c>
      <c r="BX437" s="75">
        <f>BW437*(1-PARAM!$C$27)*$I$21+(MOD($B437,60)=PARAM!$B$56)*($B437&gt;(60-PARAM!$B$56))*HLOOKUP(($B437+PARAM!$B$56)/12,Loyalty,2)*$F$1*MAX(BZ436,0)</f>
        <v>18.557001321003963</v>
      </c>
      <c r="BY437" s="75">
        <f>PARAM!$C$26+MAX($G$21-CHOOSE(PARAM!$B$44,MAX(0,BZ436*$F$1),0),0)*RATES!$L413/12+$H$21*(PARAM!$D$51/12)*RATES!$N413/100</f>
        <v>67.833333333333343</v>
      </c>
      <c r="BZ437" s="16">
        <f t="shared" si="302"/>
        <v>-2605.2041492706053</v>
      </c>
      <c r="CA437" s="15">
        <f t="shared" si="277"/>
        <v>22.170849845882874</v>
      </c>
      <c r="CB437" s="75">
        <f>CA437*(1-PARAM!$C$27)*$I$22+(MOD($B437,60)=PARAM!$B$56)*($B437&gt;(60-PARAM!$B$56))*HLOOKUP(($B437+PARAM!$B$56)/12,Loyalty,2)*$F$1*MAX(CD436,0)</f>
        <v>18.557001321003963</v>
      </c>
      <c r="CC437" s="75">
        <f>PARAM!$C$26+MAX($G$22-CHOOSE(PARAM!$B$44,MAX(0,CD436*$F$1),0),0)*RATES!$L413/12+$H$22*(PARAM!$D$51/12)*RATES!$N413/100</f>
        <v>67.833333333333343</v>
      </c>
      <c r="CD437" s="16">
        <f t="shared" si="303"/>
        <v>-2605.2041492706053</v>
      </c>
      <c r="CE437" s="33">
        <f>IF(0=MOD(B437,12/PARAM!$D$51),1,0)</f>
        <v>1</v>
      </c>
      <c r="CF437" s="15">
        <f t="shared" si="278"/>
        <v>0</v>
      </c>
      <c r="CG437" s="75">
        <f>CF437*(1-PARAM!$C$27)*$R$3+(MOD($B437/12,5)=0)*($B437&gt;60)*HLOOKUP($B437/12,Loyalty,2)*$F$1*MAX(CI436,0)</f>
        <v>0</v>
      </c>
      <c r="CH437" s="75">
        <f>PARAM!$C$26+MAX($P$3-CHOOSE(PARAM!$B$44,MAX(0,CI436*$F$1),0),0)*RATES!$L413/12+$Q$3*(PARAM!$D$51/12)*RATES!$N413/100</f>
        <v>67.833333333333343</v>
      </c>
      <c r="CI437" s="16">
        <f>IF(CI436&gt;0,CI436*PARAM!$C$53,CI436)+CG437-CH437</f>
        <v>-10093.999999999993</v>
      </c>
      <c r="CJ437" s="15">
        <f t="shared" si="304"/>
        <v>0</v>
      </c>
      <c r="CK437" s="75">
        <f>CJ437*(1-PARAM!$C$27)*$R$4+(MOD($B437/12,5)=0)*($B437&gt;60)*HLOOKUP($B437/12,Loyalty,2)*$F$1*MAX(CM436,0)</f>
        <v>0</v>
      </c>
      <c r="CL437" s="75">
        <f>PARAM!$C$26+MAX($P$4-CHOOSE(PARAM!$B$44,MAX(0,CM436*$F$1),0),0)*RATES!$L413/12+$Q$4*(PARAM!$D$51/12)*RATES!$N413/100</f>
        <v>67.833333333333343</v>
      </c>
      <c r="CM437" s="16">
        <f>IF(CM436&gt;0,CM436*PARAM!$C$53,CM436)+CK437-CL437</f>
        <v>-10093.999999999993</v>
      </c>
      <c r="CO437" s="176"/>
    </row>
    <row r="438" spans="1:93" x14ac:dyDescent="0.2">
      <c r="A438" t="b">
        <f t="shared" si="279"/>
        <v>0</v>
      </c>
      <c r="B438" s="33">
        <v>411</v>
      </c>
      <c r="C438" s="15">
        <f t="shared" si="280"/>
        <v>20.081305947392778</v>
      </c>
      <c r="D438" s="75">
        <f>C438*(1-PARAM!$C$27)*$I$3+(MOD($B438,60)=PARAM!$B$56)*($B438&gt;(60-PARAM!$B$56))*HLOOKUP(($B438+PARAM!$B$56)/12,Loyalty,2)*$F$1*MAX(F437,0)</f>
        <v>16.808053077967756</v>
      </c>
      <c r="E438" s="75">
        <f>PARAM!$C$26+MAX($G$3-CHOOSE(PARAM!$B$44,MAX(0,F437*$F$1),0),0)*RATES!$L414/12+$H$3*(PARAM!$D$51/12)*RATES!$N414/100</f>
        <v>67.833333333333343</v>
      </c>
      <c r="F438" s="16">
        <f t="shared" si="281"/>
        <v>-3410.1487096923265</v>
      </c>
      <c r="G438" s="15">
        <f t="shared" si="282"/>
        <v>22.035289406060361</v>
      </c>
      <c r="H438" s="75">
        <f>G438*(1-PARAM!$C$27)*$I$4+(MOD($B438,60)=PARAM!$B$56)*($B438&gt;(60-PARAM!$B$56))*HLOOKUP(($B438+PARAM!$B$56)/12,Loyalty,2)*$F$1*MAX(J437,0)</f>
        <v>18.443537232872522</v>
      </c>
      <c r="I438" s="75">
        <f>PARAM!$C$26+MAX($G$4-CHOOSE(PARAM!$B$44,MAX(0,J437*$F$1),0),0)*RATES!$L414/12+$H$4*(PARAM!$D$51/12)*RATES!$N414/100</f>
        <v>67.833333333333343</v>
      </c>
      <c r="J438" s="16">
        <f t="shared" si="283"/>
        <v>-2704.1317579047513</v>
      </c>
      <c r="K438" s="15">
        <f t="shared" si="284"/>
        <v>22.170849845882874</v>
      </c>
      <c r="L438" s="75">
        <f>K438*(1-PARAM!$C$27)*$I$5+(MOD($B438,60)=PARAM!$B$56)*($B438&gt;(60-PARAM!$B$56))*HLOOKUP(($B438+PARAM!$B$56)/12,Loyalty,2)*$F$1*MAX(N437,0)</f>
        <v>18.557001321003963</v>
      </c>
      <c r="M438" s="75">
        <f>PARAM!$C$26+MAX($G$5-CHOOSE(PARAM!$B$44,MAX(0,N437*$F$1),0),0)*RATES!$L414/12+$H$5*(PARAM!$D$51/12)*RATES!$N414/100</f>
        <v>67.833333333333343</v>
      </c>
      <c r="N438" s="16">
        <f t="shared" si="285"/>
        <v>-2654.4804812829348</v>
      </c>
      <c r="O438" s="15">
        <f t="shared" si="286"/>
        <v>22.170849845882874</v>
      </c>
      <c r="P438" s="75">
        <f>O438*(1-PARAM!$C$27)*$I$6+(MOD($B438,60)=PARAM!$B$56)*($B438&gt;(60-PARAM!$B$56))*HLOOKUP(($B438+PARAM!$B$56)/12,Loyalty,2)*$F$1*MAX(R437,0)</f>
        <v>18.557001321003963</v>
      </c>
      <c r="Q438" s="75">
        <f>PARAM!$C$26+MAX($G$6-CHOOSE(PARAM!$B$44,MAX(0,R437*$F$1),0),0)*RATES!$L414/12+$H$6*(PARAM!$D$51/12)*RATES!$N414/100</f>
        <v>67.833333333333343</v>
      </c>
      <c r="R438" s="16">
        <f t="shared" si="287"/>
        <v>-2654.4804812829348</v>
      </c>
      <c r="S438" s="15">
        <f t="shared" si="262"/>
        <v>22.170849845882874</v>
      </c>
      <c r="T438" s="75">
        <f>S438*(1-PARAM!$C$27)*$I$7+(MOD($B438,60)=PARAM!$B$56)*($B438&gt;(60-PARAM!$B$56))*HLOOKUP(($B438+PARAM!$B$56)/12,Loyalty,2)*$F$1*MAX(V437,0)</f>
        <v>18.557001321003963</v>
      </c>
      <c r="U438" s="75">
        <f>PARAM!$C$26+MAX($G$7-CHOOSE(PARAM!$B$44,MAX(0,V437*$F$1),0),0)*RATES!$L414/12+$H$7*(PARAM!$D$51/12)*RATES!$N414/100</f>
        <v>67.833333333333343</v>
      </c>
      <c r="V438" s="16">
        <f t="shared" si="288"/>
        <v>-2654.4804812829348</v>
      </c>
      <c r="W438" s="15">
        <f t="shared" si="263"/>
        <v>22.170849845882874</v>
      </c>
      <c r="X438" s="75">
        <f>W438*(1-PARAM!$C$27)*$I$8+(MOD($B438,60)=PARAM!$B$56)*($B438&gt;(60-PARAM!$B$56))*HLOOKUP(($B438+PARAM!$B$56)/12,Loyalty,2)*$F$1*MAX(Z437,0)</f>
        <v>18.557001321003963</v>
      </c>
      <c r="Y438" s="75">
        <f>PARAM!$C$26+MAX($G$8-CHOOSE(PARAM!$B$44,MAX(0,Z437*$F$1),0),0)*RATES!$L414/12+$H$8*(PARAM!$D$51/12)*RATES!$N414/100</f>
        <v>67.833333333333343</v>
      </c>
      <c r="Z438" s="16">
        <f t="shared" si="289"/>
        <v>-2654.4804812829348</v>
      </c>
      <c r="AA438" s="15">
        <f t="shared" si="264"/>
        <v>22.170849845882874</v>
      </c>
      <c r="AB438" s="75">
        <f>AA438*(1-PARAM!$C$27)*$I$9+(MOD($B438,60)=PARAM!$B$56)*($B438&gt;(60-PARAM!$B$56))*HLOOKUP(($B438+PARAM!$B$56)/12,Loyalty,2)*$F$1*MAX(AD437,0)</f>
        <v>18.557001321003963</v>
      </c>
      <c r="AC438" s="75">
        <f>PARAM!$C$26+MAX($G$9-CHOOSE(PARAM!$B$44,MAX(0,AD437*$F$1),0),0)*RATES!$L414/12+$H$9*(PARAM!$D$51/12)*RATES!$N414/100</f>
        <v>67.833333333333343</v>
      </c>
      <c r="AD438" s="16">
        <f t="shared" si="290"/>
        <v>-2654.4804812829348</v>
      </c>
      <c r="AE438" s="15">
        <f t="shared" si="265"/>
        <v>22.170849845882874</v>
      </c>
      <c r="AF438" s="75">
        <f>AE438*(1-PARAM!$C$27)*$I$10+(MOD($B438,60)=PARAM!$B$56)*($B438&gt;(60-PARAM!$B$56))*HLOOKUP(($B438+PARAM!$B$56)/12,Loyalty,2)*$F$1*MAX(AH437,0)</f>
        <v>18.557001321003963</v>
      </c>
      <c r="AG438" s="75">
        <f>PARAM!$C$26+MAX($G$10-CHOOSE(PARAM!$B$44,MAX(0,AH437*$F$1),0),0)*RATES!$L414/12+$H$10*(PARAM!$D$51/12)*RATES!$N414/100</f>
        <v>67.833333333333343</v>
      </c>
      <c r="AH438" s="16">
        <f t="shared" si="291"/>
        <v>-2654.4804812829348</v>
      </c>
      <c r="AI438" s="15">
        <f t="shared" si="266"/>
        <v>22.170849845882874</v>
      </c>
      <c r="AJ438" s="75">
        <f>AI438*(1-PARAM!$C$27)*$I$11+(MOD($B438,60)=PARAM!$B$56)*($B438&gt;(60-PARAM!$B$56))*HLOOKUP(($B438+PARAM!$B$56)/12,Loyalty,2)*$F$1*MAX(AL437,0)</f>
        <v>18.557001321003963</v>
      </c>
      <c r="AK438" s="75">
        <f>PARAM!$C$26+MAX($G$11-CHOOSE(PARAM!$B$44,MAX(0,AL437*$F$1),0),0)*RATES!$L414/12+$H$11*(PARAM!$D$51/12)*RATES!$N414/100</f>
        <v>67.833333333333343</v>
      </c>
      <c r="AL438" s="16">
        <f t="shared" si="292"/>
        <v>-2654.4804812829348</v>
      </c>
      <c r="AM438" s="15">
        <f t="shared" si="267"/>
        <v>22.170849845882874</v>
      </c>
      <c r="AN438" s="75">
        <f>AM438*(1-PARAM!$C$27)*$I$12+(MOD($B438,60)=PARAM!$B$56)*($B438&gt;(60-PARAM!$B$56))*HLOOKUP(($B438+PARAM!$B$56)/12,Loyalty,2)*$F$1*MAX(AP437,0)</f>
        <v>18.557001321003963</v>
      </c>
      <c r="AO438" s="75">
        <f>PARAM!$C$26+MAX($G$12-CHOOSE(PARAM!$B$44,MAX(0,AP437*$F$1),0),0)*RATES!$L414/12+$H$12*(PARAM!$D$51/12)*RATES!$N414/100</f>
        <v>67.833333333333343</v>
      </c>
      <c r="AP438" s="16">
        <f t="shared" si="293"/>
        <v>-2654.4804812829348</v>
      </c>
      <c r="AQ438" s="15">
        <f t="shared" si="268"/>
        <v>22.170849845882874</v>
      </c>
      <c r="AR438" s="75">
        <f>AQ438*(1-PARAM!$C$27)*$I$13+(MOD($B438,60)=PARAM!$B$56)*($B438&gt;(60-PARAM!$B$56))*HLOOKUP(($B438+PARAM!$B$56)/12,Loyalty,2)*$F$1*MAX(AT437,0)</f>
        <v>18.557001321003963</v>
      </c>
      <c r="AS438" s="75">
        <f>PARAM!$C$26+MAX($G$13-CHOOSE(PARAM!$B$44,MAX(0,AT437*$F$1),0),0)*RATES!$L414/12+$H$13*(PARAM!$D$51/12)*RATES!$N414/100</f>
        <v>67.833333333333343</v>
      </c>
      <c r="AT438" s="16">
        <f t="shared" si="294"/>
        <v>-2654.4804812829348</v>
      </c>
      <c r="AU438" s="15">
        <f t="shared" si="269"/>
        <v>22.170849845882874</v>
      </c>
      <c r="AV438" s="75">
        <f>AU438*(1-PARAM!$C$27)*$I$14+(MOD($B438,60)=PARAM!$B$56)*($B438&gt;(60-PARAM!$B$56))*HLOOKUP(($B438+PARAM!$B$56)/12,Loyalty,2)*$F$1*MAX(AX437,0)</f>
        <v>18.557001321003963</v>
      </c>
      <c r="AW438" s="75">
        <f>PARAM!$C$26+MAX($G$14-CHOOSE(PARAM!$B$44,MAX(0,AX437*$F$1),0),0)*RATES!$L414/12+$H$14*(PARAM!$D$51/12)*RATES!$N414/100</f>
        <v>67.833333333333343</v>
      </c>
      <c r="AX438" s="16">
        <f t="shared" si="295"/>
        <v>-2654.4804812829348</v>
      </c>
      <c r="AY438" s="15">
        <f t="shared" si="270"/>
        <v>22.170849845882874</v>
      </c>
      <c r="AZ438" s="75">
        <f>AY438*(1-PARAM!$C$27)*$I$15+(MOD($B438,60)=PARAM!$B$56)*($B438&gt;(60-PARAM!$B$56))*HLOOKUP(($B438+PARAM!$B$56)/12,Loyalty,2)*$F$1*MAX(BB437,0)</f>
        <v>18.557001321003963</v>
      </c>
      <c r="BA438" s="75">
        <f>PARAM!$C$26+MAX($G$15-CHOOSE(PARAM!$B$44,MAX(0,BB437*$F$1),0),0)*RATES!$L414/12+$H$15*(PARAM!$D$51/12)*RATES!$N414/100</f>
        <v>67.833333333333343</v>
      </c>
      <c r="BB438" s="16">
        <f t="shared" si="296"/>
        <v>-2654.4804812829348</v>
      </c>
      <c r="BC438" s="15">
        <f t="shared" si="271"/>
        <v>22.170849845882874</v>
      </c>
      <c r="BD438" s="75">
        <f>BC438*(1-PARAM!$C$27)*$I$16+(MOD($B438,60)=PARAM!$B$56)*($B438&gt;(60-PARAM!$B$56))*HLOOKUP(($B438+PARAM!$B$56)/12,Loyalty,2)*$F$1*MAX(BF437,0)</f>
        <v>18.557001321003963</v>
      </c>
      <c r="BE438" s="75">
        <f>PARAM!$C$26+MAX($G$16-CHOOSE(PARAM!$B$44,MAX(0,BF437*$F$1),0),0)*RATES!$L414/12+$H$16*(PARAM!$D$51/12)*RATES!$N414/100</f>
        <v>67.833333333333343</v>
      </c>
      <c r="BF438" s="16">
        <f t="shared" si="297"/>
        <v>-2654.4804812829348</v>
      </c>
      <c r="BG438" s="15">
        <f t="shared" si="272"/>
        <v>22.170849845882874</v>
      </c>
      <c r="BH438" s="75">
        <f>BG438*(1-PARAM!$C$27)*$I$17+(MOD($B438,60)=PARAM!$B$56)*($B438&gt;(60-PARAM!$B$56))*HLOOKUP(($B438+PARAM!$B$56)/12,Loyalty,2)*$F$1*MAX(BJ437,0)</f>
        <v>18.557001321003963</v>
      </c>
      <c r="BI438" s="75">
        <f>PARAM!$C$26+MAX($G$17-CHOOSE(PARAM!$B$44,MAX(0,BJ437*$F$1),0),0)*RATES!$L414/12+$H$17*(PARAM!$D$51/12)*RATES!$N414/100</f>
        <v>67.833333333333343</v>
      </c>
      <c r="BJ438" s="16">
        <f t="shared" si="298"/>
        <v>-2654.4804812829348</v>
      </c>
      <c r="BK438" s="15">
        <f t="shared" si="273"/>
        <v>22.170849845882874</v>
      </c>
      <c r="BL438" s="75">
        <f>BK438*(1-PARAM!$C$27)*$I$18+(MOD($B438,60)=PARAM!$B$56)*($B438&gt;(60-PARAM!$B$56))*HLOOKUP(($B438+PARAM!$B$56)/12,Loyalty,2)*$F$1*MAX(BN437,0)</f>
        <v>18.557001321003963</v>
      </c>
      <c r="BM438" s="75">
        <f>PARAM!$C$26+MAX($G$18-CHOOSE(PARAM!$B$44,MAX(0,BN437*$F$1),0),0)*RATES!$L414/12+$H$18*(PARAM!$D$51/12)*RATES!$N414/100</f>
        <v>67.833333333333343</v>
      </c>
      <c r="BN438" s="16">
        <f t="shared" si="299"/>
        <v>-2654.4804812829348</v>
      </c>
      <c r="BO438" s="15">
        <f t="shared" si="274"/>
        <v>22.170849845882874</v>
      </c>
      <c r="BP438" s="75">
        <f>BO438*(1-PARAM!$C$27)*$I$19+(MOD($B438,60)=PARAM!$B$56)*($B438&gt;(60-PARAM!$B$56))*HLOOKUP(($B438+PARAM!$B$56)/12,Loyalty,2)*$F$1*MAX(BR437,0)</f>
        <v>18.557001321003963</v>
      </c>
      <c r="BQ438" s="75">
        <f>PARAM!$C$26+MAX($G$19-CHOOSE(PARAM!$B$44,MAX(0,BR437*$F$1),0),0)*RATES!$L414/12+$H$19*(PARAM!$D$51/12)*RATES!$N414/100</f>
        <v>67.833333333333343</v>
      </c>
      <c r="BR438" s="16">
        <f t="shared" si="300"/>
        <v>-2654.4804812829348</v>
      </c>
      <c r="BS438" s="15">
        <f t="shared" si="275"/>
        <v>22.170849845882874</v>
      </c>
      <c r="BT438" s="75">
        <f>BS438*(1-PARAM!$C$27)*$I$20+(MOD($B438,60)=PARAM!$B$56)*($B438&gt;(60-PARAM!$B$56))*HLOOKUP(($B438+PARAM!$B$56)/12,Loyalty,2)*$F$1*MAX(BV437,0)</f>
        <v>18.557001321003963</v>
      </c>
      <c r="BU438" s="75">
        <f>PARAM!$C$26+MAX($G$20-CHOOSE(PARAM!$B$44,MAX(0,BV437*$F$1),0),0)*RATES!$L414/12+$H$20*(PARAM!$D$51/12)*RATES!$N414/100</f>
        <v>67.833333333333343</v>
      </c>
      <c r="BV438" s="16">
        <f t="shared" si="301"/>
        <v>-2654.4804812829348</v>
      </c>
      <c r="BW438" s="15">
        <f t="shared" si="276"/>
        <v>22.170849845882874</v>
      </c>
      <c r="BX438" s="75">
        <f>BW438*(1-PARAM!$C$27)*$I$21+(MOD($B438,60)=PARAM!$B$56)*($B438&gt;(60-PARAM!$B$56))*HLOOKUP(($B438+PARAM!$B$56)/12,Loyalty,2)*$F$1*MAX(BZ437,0)</f>
        <v>18.557001321003963</v>
      </c>
      <c r="BY438" s="75">
        <f>PARAM!$C$26+MAX($G$21-CHOOSE(PARAM!$B$44,MAX(0,BZ437*$F$1),0),0)*RATES!$L414/12+$H$21*(PARAM!$D$51/12)*RATES!$N414/100</f>
        <v>67.833333333333343</v>
      </c>
      <c r="BZ438" s="16">
        <f t="shared" si="302"/>
        <v>-2654.4804812829348</v>
      </c>
      <c r="CA438" s="15">
        <f t="shared" si="277"/>
        <v>22.170849845882874</v>
      </c>
      <c r="CB438" s="75">
        <f>CA438*(1-PARAM!$C$27)*$I$22+(MOD($B438,60)=PARAM!$B$56)*($B438&gt;(60-PARAM!$B$56))*HLOOKUP(($B438+PARAM!$B$56)/12,Loyalty,2)*$F$1*MAX(CD437,0)</f>
        <v>18.557001321003963</v>
      </c>
      <c r="CC438" s="75">
        <f>PARAM!$C$26+MAX($G$22-CHOOSE(PARAM!$B$44,MAX(0,CD437*$F$1),0),0)*RATES!$L414/12+$H$22*(PARAM!$D$51/12)*RATES!$N414/100</f>
        <v>67.833333333333343</v>
      </c>
      <c r="CD438" s="16">
        <f t="shared" si="303"/>
        <v>-2654.4804812829348</v>
      </c>
      <c r="CE438" s="33">
        <f>IF(0=MOD(B438,12/PARAM!$D$51),1,0)</f>
        <v>1</v>
      </c>
      <c r="CF438" s="15">
        <f t="shared" si="278"/>
        <v>0</v>
      </c>
      <c r="CG438" s="75">
        <f>CF438*(1-PARAM!$C$27)*$R$3+(MOD($B438/12,5)=0)*($B438&gt;60)*HLOOKUP($B438/12,Loyalty,2)*$F$1*MAX(CI437,0)</f>
        <v>0</v>
      </c>
      <c r="CH438" s="75">
        <f>PARAM!$C$26+MAX($P$3-CHOOSE(PARAM!$B$44,MAX(0,CI437*$F$1),0),0)*RATES!$L414/12+$Q$3*(PARAM!$D$51/12)*RATES!$N414/100</f>
        <v>67.833333333333343</v>
      </c>
      <c r="CI438" s="16">
        <f>IF(CI437&gt;0,CI437*PARAM!$C$53,CI437)+CG438-CH438</f>
        <v>-10161.833333333327</v>
      </c>
      <c r="CJ438" s="15">
        <f t="shared" si="304"/>
        <v>0</v>
      </c>
      <c r="CK438" s="75">
        <f>CJ438*(1-PARAM!$C$27)*$R$4+(MOD($B438/12,5)=0)*($B438&gt;60)*HLOOKUP($B438/12,Loyalty,2)*$F$1*MAX(CM437,0)</f>
        <v>0</v>
      </c>
      <c r="CL438" s="75">
        <f>PARAM!$C$26+MAX($P$4-CHOOSE(PARAM!$B$44,MAX(0,CM437*$F$1),0),0)*RATES!$L414/12+$Q$4*(PARAM!$D$51/12)*RATES!$N414/100</f>
        <v>67.833333333333343</v>
      </c>
      <c r="CM438" s="16">
        <f>IF(CM437&gt;0,CM437*PARAM!$C$53,CM437)+CK438-CL438</f>
        <v>-10161.833333333327</v>
      </c>
      <c r="CO438" s="176"/>
    </row>
    <row r="439" spans="1:93" x14ac:dyDescent="0.2">
      <c r="A439" t="b">
        <f t="shared" si="279"/>
        <v>0</v>
      </c>
      <c r="B439" s="33">
        <v>412</v>
      </c>
      <c r="C439" s="15">
        <f t="shared" si="280"/>
        <v>20.081305947392778</v>
      </c>
      <c r="D439" s="75">
        <f>C439*(1-PARAM!$C$27)*$I$3+(MOD($B439,60)=PARAM!$B$56)*($B439&gt;(60-PARAM!$B$56))*HLOOKUP(($B439+PARAM!$B$56)/12,Loyalty,2)*$F$1*MAX(F438,0)</f>
        <v>16.808053077967756</v>
      </c>
      <c r="E439" s="75">
        <f>PARAM!$C$26+MAX($G$3-CHOOSE(PARAM!$B$44,MAX(0,F438*$F$1),0),0)*RATES!$L415/12+$H$3*(PARAM!$D$51/12)*RATES!$N415/100</f>
        <v>67.833333333333343</v>
      </c>
      <c r="F439" s="16">
        <f t="shared" si="281"/>
        <v>-3461.1739899476925</v>
      </c>
      <c r="G439" s="15">
        <f t="shared" si="282"/>
        <v>22.035289406060361</v>
      </c>
      <c r="H439" s="75">
        <f>G439*(1-PARAM!$C$27)*$I$4+(MOD($B439,60)=PARAM!$B$56)*($B439&gt;(60-PARAM!$B$56))*HLOOKUP(($B439+PARAM!$B$56)/12,Loyalty,2)*$F$1*MAX(J438,0)</f>
        <v>18.443537232872522</v>
      </c>
      <c r="I439" s="75">
        <f>PARAM!$C$26+MAX($G$4-CHOOSE(PARAM!$B$44,MAX(0,J438*$F$1),0),0)*RATES!$L415/12+$H$4*(PARAM!$D$51/12)*RATES!$N415/100</f>
        <v>67.833333333333343</v>
      </c>
      <c r="J439" s="16">
        <f t="shared" si="283"/>
        <v>-2753.5215540052122</v>
      </c>
      <c r="K439" s="15">
        <f t="shared" si="284"/>
        <v>22.170849845882874</v>
      </c>
      <c r="L439" s="75">
        <f>K439*(1-PARAM!$C$27)*$I$5+(MOD($B439,60)=PARAM!$B$56)*($B439&gt;(60-PARAM!$B$56))*HLOOKUP(($B439+PARAM!$B$56)/12,Loyalty,2)*$F$1*MAX(N438,0)</f>
        <v>18.557001321003963</v>
      </c>
      <c r="M439" s="75">
        <f>PARAM!$C$26+MAX($G$5-CHOOSE(PARAM!$B$44,MAX(0,N438*$F$1),0),0)*RATES!$L415/12+$H$5*(PARAM!$D$51/12)*RATES!$N415/100</f>
        <v>67.833333333333343</v>
      </c>
      <c r="N439" s="16">
        <f t="shared" si="285"/>
        <v>-2703.7568132952642</v>
      </c>
      <c r="O439" s="15">
        <f t="shared" si="286"/>
        <v>22.170849845882874</v>
      </c>
      <c r="P439" s="75">
        <f>O439*(1-PARAM!$C$27)*$I$6+(MOD($B439,60)=PARAM!$B$56)*($B439&gt;(60-PARAM!$B$56))*HLOOKUP(($B439+PARAM!$B$56)/12,Loyalty,2)*$F$1*MAX(R438,0)</f>
        <v>18.557001321003963</v>
      </c>
      <c r="Q439" s="75">
        <f>PARAM!$C$26+MAX($G$6-CHOOSE(PARAM!$B$44,MAX(0,R438*$F$1),0),0)*RATES!$L415/12+$H$6*(PARAM!$D$51/12)*RATES!$N415/100</f>
        <v>67.833333333333343</v>
      </c>
      <c r="R439" s="16">
        <f t="shared" si="287"/>
        <v>-2703.7568132952642</v>
      </c>
      <c r="S439" s="15">
        <f t="shared" si="262"/>
        <v>22.170849845882874</v>
      </c>
      <c r="T439" s="75">
        <f>S439*(1-PARAM!$C$27)*$I$7+(MOD($B439,60)=PARAM!$B$56)*($B439&gt;(60-PARAM!$B$56))*HLOOKUP(($B439+PARAM!$B$56)/12,Loyalty,2)*$F$1*MAX(V438,0)</f>
        <v>18.557001321003963</v>
      </c>
      <c r="U439" s="75">
        <f>PARAM!$C$26+MAX($G$7-CHOOSE(PARAM!$B$44,MAX(0,V438*$F$1),0),0)*RATES!$L415/12+$H$7*(PARAM!$D$51/12)*RATES!$N415/100</f>
        <v>67.833333333333343</v>
      </c>
      <c r="V439" s="16">
        <f t="shared" si="288"/>
        <v>-2703.7568132952642</v>
      </c>
      <c r="W439" s="15">
        <f t="shared" si="263"/>
        <v>22.170849845882874</v>
      </c>
      <c r="X439" s="75">
        <f>W439*(1-PARAM!$C$27)*$I$8+(MOD($B439,60)=PARAM!$B$56)*($B439&gt;(60-PARAM!$B$56))*HLOOKUP(($B439+PARAM!$B$56)/12,Loyalty,2)*$F$1*MAX(Z438,0)</f>
        <v>18.557001321003963</v>
      </c>
      <c r="Y439" s="75">
        <f>PARAM!$C$26+MAX($G$8-CHOOSE(PARAM!$B$44,MAX(0,Z438*$F$1),0),0)*RATES!$L415/12+$H$8*(PARAM!$D$51/12)*RATES!$N415/100</f>
        <v>67.833333333333343</v>
      </c>
      <c r="Z439" s="16">
        <f t="shared" si="289"/>
        <v>-2703.7568132952642</v>
      </c>
      <c r="AA439" s="15">
        <f t="shared" si="264"/>
        <v>22.170849845882874</v>
      </c>
      <c r="AB439" s="75">
        <f>AA439*(1-PARAM!$C$27)*$I$9+(MOD($B439,60)=PARAM!$B$56)*($B439&gt;(60-PARAM!$B$56))*HLOOKUP(($B439+PARAM!$B$56)/12,Loyalty,2)*$F$1*MAX(AD438,0)</f>
        <v>18.557001321003963</v>
      </c>
      <c r="AC439" s="75">
        <f>PARAM!$C$26+MAX($G$9-CHOOSE(PARAM!$B$44,MAX(0,AD438*$F$1),0),0)*RATES!$L415/12+$H$9*(PARAM!$D$51/12)*RATES!$N415/100</f>
        <v>67.833333333333343</v>
      </c>
      <c r="AD439" s="16">
        <f t="shared" si="290"/>
        <v>-2703.7568132952642</v>
      </c>
      <c r="AE439" s="15">
        <f t="shared" si="265"/>
        <v>22.170849845882874</v>
      </c>
      <c r="AF439" s="75">
        <f>AE439*(1-PARAM!$C$27)*$I$10+(MOD($B439,60)=PARAM!$B$56)*($B439&gt;(60-PARAM!$B$56))*HLOOKUP(($B439+PARAM!$B$56)/12,Loyalty,2)*$F$1*MAX(AH438,0)</f>
        <v>18.557001321003963</v>
      </c>
      <c r="AG439" s="75">
        <f>PARAM!$C$26+MAX($G$10-CHOOSE(PARAM!$B$44,MAX(0,AH438*$F$1),0),0)*RATES!$L415/12+$H$10*(PARAM!$D$51/12)*RATES!$N415/100</f>
        <v>67.833333333333343</v>
      </c>
      <c r="AH439" s="16">
        <f t="shared" si="291"/>
        <v>-2703.7568132952642</v>
      </c>
      <c r="AI439" s="15">
        <f t="shared" si="266"/>
        <v>22.170849845882874</v>
      </c>
      <c r="AJ439" s="75">
        <f>AI439*(1-PARAM!$C$27)*$I$11+(MOD($B439,60)=PARAM!$B$56)*($B439&gt;(60-PARAM!$B$56))*HLOOKUP(($B439+PARAM!$B$56)/12,Loyalty,2)*$F$1*MAX(AL438,0)</f>
        <v>18.557001321003963</v>
      </c>
      <c r="AK439" s="75">
        <f>PARAM!$C$26+MAX($G$11-CHOOSE(PARAM!$B$44,MAX(0,AL438*$F$1),0),0)*RATES!$L415/12+$H$11*(PARAM!$D$51/12)*RATES!$N415/100</f>
        <v>67.833333333333343</v>
      </c>
      <c r="AL439" s="16">
        <f t="shared" si="292"/>
        <v>-2703.7568132952642</v>
      </c>
      <c r="AM439" s="15">
        <f t="shared" si="267"/>
        <v>22.170849845882874</v>
      </c>
      <c r="AN439" s="75">
        <f>AM439*(1-PARAM!$C$27)*$I$12+(MOD($B439,60)=PARAM!$B$56)*($B439&gt;(60-PARAM!$B$56))*HLOOKUP(($B439+PARAM!$B$56)/12,Loyalty,2)*$F$1*MAX(AP438,0)</f>
        <v>18.557001321003963</v>
      </c>
      <c r="AO439" s="75">
        <f>PARAM!$C$26+MAX($G$12-CHOOSE(PARAM!$B$44,MAX(0,AP438*$F$1),0),0)*RATES!$L415/12+$H$12*(PARAM!$D$51/12)*RATES!$N415/100</f>
        <v>67.833333333333343</v>
      </c>
      <c r="AP439" s="16">
        <f t="shared" si="293"/>
        <v>-2703.7568132952642</v>
      </c>
      <c r="AQ439" s="15">
        <f t="shared" si="268"/>
        <v>22.170849845882874</v>
      </c>
      <c r="AR439" s="75">
        <f>AQ439*(1-PARAM!$C$27)*$I$13+(MOD($B439,60)=PARAM!$B$56)*($B439&gt;(60-PARAM!$B$56))*HLOOKUP(($B439+PARAM!$B$56)/12,Loyalty,2)*$F$1*MAX(AT438,0)</f>
        <v>18.557001321003963</v>
      </c>
      <c r="AS439" s="75">
        <f>PARAM!$C$26+MAX($G$13-CHOOSE(PARAM!$B$44,MAX(0,AT438*$F$1),0),0)*RATES!$L415/12+$H$13*(PARAM!$D$51/12)*RATES!$N415/100</f>
        <v>67.833333333333343</v>
      </c>
      <c r="AT439" s="16">
        <f t="shared" si="294"/>
        <v>-2703.7568132952642</v>
      </c>
      <c r="AU439" s="15">
        <f t="shared" si="269"/>
        <v>22.170849845882874</v>
      </c>
      <c r="AV439" s="75">
        <f>AU439*(1-PARAM!$C$27)*$I$14+(MOD($B439,60)=PARAM!$B$56)*($B439&gt;(60-PARAM!$B$56))*HLOOKUP(($B439+PARAM!$B$56)/12,Loyalty,2)*$F$1*MAX(AX438,0)</f>
        <v>18.557001321003963</v>
      </c>
      <c r="AW439" s="75">
        <f>PARAM!$C$26+MAX($G$14-CHOOSE(PARAM!$B$44,MAX(0,AX438*$F$1),0),0)*RATES!$L415/12+$H$14*(PARAM!$D$51/12)*RATES!$N415/100</f>
        <v>67.833333333333343</v>
      </c>
      <c r="AX439" s="16">
        <f t="shared" si="295"/>
        <v>-2703.7568132952642</v>
      </c>
      <c r="AY439" s="15">
        <f t="shared" si="270"/>
        <v>22.170849845882874</v>
      </c>
      <c r="AZ439" s="75">
        <f>AY439*(1-PARAM!$C$27)*$I$15+(MOD($B439,60)=PARAM!$B$56)*($B439&gt;(60-PARAM!$B$56))*HLOOKUP(($B439+PARAM!$B$56)/12,Loyalty,2)*$F$1*MAX(BB438,0)</f>
        <v>18.557001321003963</v>
      </c>
      <c r="BA439" s="75">
        <f>PARAM!$C$26+MAX($G$15-CHOOSE(PARAM!$B$44,MAX(0,BB438*$F$1),0),0)*RATES!$L415/12+$H$15*(PARAM!$D$51/12)*RATES!$N415/100</f>
        <v>67.833333333333343</v>
      </c>
      <c r="BB439" s="16">
        <f t="shared" si="296"/>
        <v>-2703.7568132952642</v>
      </c>
      <c r="BC439" s="15">
        <f t="shared" si="271"/>
        <v>22.170849845882874</v>
      </c>
      <c r="BD439" s="75">
        <f>BC439*(1-PARAM!$C$27)*$I$16+(MOD($B439,60)=PARAM!$B$56)*($B439&gt;(60-PARAM!$B$56))*HLOOKUP(($B439+PARAM!$B$56)/12,Loyalty,2)*$F$1*MAX(BF438,0)</f>
        <v>18.557001321003963</v>
      </c>
      <c r="BE439" s="75">
        <f>PARAM!$C$26+MAX($G$16-CHOOSE(PARAM!$B$44,MAX(0,BF438*$F$1),0),0)*RATES!$L415/12+$H$16*(PARAM!$D$51/12)*RATES!$N415/100</f>
        <v>67.833333333333343</v>
      </c>
      <c r="BF439" s="16">
        <f t="shared" si="297"/>
        <v>-2703.7568132952642</v>
      </c>
      <c r="BG439" s="15">
        <f t="shared" si="272"/>
        <v>22.170849845882874</v>
      </c>
      <c r="BH439" s="75">
        <f>BG439*(1-PARAM!$C$27)*$I$17+(MOD($B439,60)=PARAM!$B$56)*($B439&gt;(60-PARAM!$B$56))*HLOOKUP(($B439+PARAM!$B$56)/12,Loyalty,2)*$F$1*MAX(BJ438,0)</f>
        <v>18.557001321003963</v>
      </c>
      <c r="BI439" s="75">
        <f>PARAM!$C$26+MAX($G$17-CHOOSE(PARAM!$B$44,MAX(0,BJ438*$F$1),0),0)*RATES!$L415/12+$H$17*(PARAM!$D$51/12)*RATES!$N415/100</f>
        <v>67.833333333333343</v>
      </c>
      <c r="BJ439" s="16">
        <f t="shared" si="298"/>
        <v>-2703.7568132952642</v>
      </c>
      <c r="BK439" s="15">
        <f t="shared" si="273"/>
        <v>22.170849845882874</v>
      </c>
      <c r="BL439" s="75">
        <f>BK439*(1-PARAM!$C$27)*$I$18+(MOD($B439,60)=PARAM!$B$56)*($B439&gt;(60-PARAM!$B$56))*HLOOKUP(($B439+PARAM!$B$56)/12,Loyalty,2)*$F$1*MAX(BN438,0)</f>
        <v>18.557001321003963</v>
      </c>
      <c r="BM439" s="75">
        <f>PARAM!$C$26+MAX($G$18-CHOOSE(PARAM!$B$44,MAX(0,BN438*$F$1),0),0)*RATES!$L415/12+$H$18*(PARAM!$D$51/12)*RATES!$N415/100</f>
        <v>67.833333333333343</v>
      </c>
      <c r="BN439" s="16">
        <f t="shared" si="299"/>
        <v>-2703.7568132952642</v>
      </c>
      <c r="BO439" s="15">
        <f t="shared" si="274"/>
        <v>22.170849845882874</v>
      </c>
      <c r="BP439" s="75">
        <f>BO439*(1-PARAM!$C$27)*$I$19+(MOD($B439,60)=PARAM!$B$56)*($B439&gt;(60-PARAM!$B$56))*HLOOKUP(($B439+PARAM!$B$56)/12,Loyalty,2)*$F$1*MAX(BR438,0)</f>
        <v>18.557001321003963</v>
      </c>
      <c r="BQ439" s="75">
        <f>PARAM!$C$26+MAX($G$19-CHOOSE(PARAM!$B$44,MAX(0,BR438*$F$1),0),0)*RATES!$L415/12+$H$19*(PARAM!$D$51/12)*RATES!$N415/100</f>
        <v>67.833333333333343</v>
      </c>
      <c r="BR439" s="16">
        <f t="shared" si="300"/>
        <v>-2703.7568132952642</v>
      </c>
      <c r="BS439" s="15">
        <f t="shared" si="275"/>
        <v>22.170849845882874</v>
      </c>
      <c r="BT439" s="75">
        <f>BS439*(1-PARAM!$C$27)*$I$20+(MOD($B439,60)=PARAM!$B$56)*($B439&gt;(60-PARAM!$B$56))*HLOOKUP(($B439+PARAM!$B$56)/12,Loyalty,2)*$F$1*MAX(BV438,0)</f>
        <v>18.557001321003963</v>
      </c>
      <c r="BU439" s="75">
        <f>PARAM!$C$26+MAX($G$20-CHOOSE(PARAM!$B$44,MAX(0,BV438*$F$1),0),0)*RATES!$L415/12+$H$20*(PARAM!$D$51/12)*RATES!$N415/100</f>
        <v>67.833333333333343</v>
      </c>
      <c r="BV439" s="16">
        <f t="shared" si="301"/>
        <v>-2703.7568132952642</v>
      </c>
      <c r="BW439" s="15">
        <f t="shared" si="276"/>
        <v>22.170849845882874</v>
      </c>
      <c r="BX439" s="75">
        <f>BW439*(1-PARAM!$C$27)*$I$21+(MOD($B439,60)=PARAM!$B$56)*($B439&gt;(60-PARAM!$B$56))*HLOOKUP(($B439+PARAM!$B$56)/12,Loyalty,2)*$F$1*MAX(BZ438,0)</f>
        <v>18.557001321003963</v>
      </c>
      <c r="BY439" s="75">
        <f>PARAM!$C$26+MAX($G$21-CHOOSE(PARAM!$B$44,MAX(0,BZ438*$F$1),0),0)*RATES!$L415/12+$H$21*(PARAM!$D$51/12)*RATES!$N415/100</f>
        <v>67.833333333333343</v>
      </c>
      <c r="BZ439" s="16">
        <f t="shared" si="302"/>
        <v>-2703.7568132952642</v>
      </c>
      <c r="CA439" s="15">
        <f t="shared" si="277"/>
        <v>22.170849845882874</v>
      </c>
      <c r="CB439" s="75">
        <f>CA439*(1-PARAM!$C$27)*$I$22+(MOD($B439,60)=PARAM!$B$56)*($B439&gt;(60-PARAM!$B$56))*HLOOKUP(($B439+PARAM!$B$56)/12,Loyalty,2)*$F$1*MAX(CD438,0)</f>
        <v>18.557001321003963</v>
      </c>
      <c r="CC439" s="75">
        <f>PARAM!$C$26+MAX($G$22-CHOOSE(PARAM!$B$44,MAX(0,CD438*$F$1),0),0)*RATES!$L415/12+$H$22*(PARAM!$D$51/12)*RATES!$N415/100</f>
        <v>67.833333333333343</v>
      </c>
      <c r="CD439" s="16">
        <f t="shared" si="303"/>
        <v>-2703.7568132952642</v>
      </c>
      <c r="CE439" s="33">
        <f>IF(0=MOD(B439,12/PARAM!$D$51),1,0)</f>
        <v>1</v>
      </c>
      <c r="CF439" s="15">
        <f t="shared" si="278"/>
        <v>0</v>
      </c>
      <c r="CG439" s="75">
        <f>CF439*(1-PARAM!$C$27)*$R$3+(MOD($B439/12,5)=0)*($B439&gt;60)*HLOOKUP($B439/12,Loyalty,2)*$F$1*MAX(CI438,0)</f>
        <v>0</v>
      </c>
      <c r="CH439" s="75">
        <f>PARAM!$C$26+MAX($P$3-CHOOSE(PARAM!$B$44,MAX(0,CI438*$F$1),0),0)*RATES!$L415/12+$Q$3*(PARAM!$D$51/12)*RATES!$N415/100</f>
        <v>67.833333333333343</v>
      </c>
      <c r="CI439" s="16">
        <f>IF(CI438&gt;0,CI438*PARAM!$C$53,CI438)+CG439-CH439</f>
        <v>-10229.666666666661</v>
      </c>
      <c r="CJ439" s="15">
        <f t="shared" si="304"/>
        <v>0</v>
      </c>
      <c r="CK439" s="75">
        <f>CJ439*(1-PARAM!$C$27)*$R$4+(MOD($B439/12,5)=0)*($B439&gt;60)*HLOOKUP($B439/12,Loyalty,2)*$F$1*MAX(CM438,0)</f>
        <v>0</v>
      </c>
      <c r="CL439" s="75">
        <f>PARAM!$C$26+MAX($P$4-CHOOSE(PARAM!$B$44,MAX(0,CM438*$F$1),0),0)*RATES!$L415/12+$Q$4*(PARAM!$D$51/12)*RATES!$N415/100</f>
        <v>67.833333333333343</v>
      </c>
      <c r="CM439" s="16">
        <f>IF(CM438&gt;0,CM438*PARAM!$C$53,CM438)+CK439-CL439</f>
        <v>-10229.666666666661</v>
      </c>
      <c r="CO439" s="176"/>
    </row>
    <row r="440" spans="1:93" x14ac:dyDescent="0.2">
      <c r="A440" t="b">
        <f t="shared" si="279"/>
        <v>0</v>
      </c>
      <c r="B440" s="33">
        <v>413</v>
      </c>
      <c r="C440" s="15">
        <f t="shared" si="280"/>
        <v>20.081305947392778</v>
      </c>
      <c r="D440" s="75">
        <f>C440*(1-PARAM!$C$27)*$I$3+(MOD($B440,60)=PARAM!$B$56)*($B440&gt;(60-PARAM!$B$56))*HLOOKUP(($B440+PARAM!$B$56)/12,Loyalty,2)*$F$1*MAX(F439,0)</f>
        <v>16.808053077967756</v>
      </c>
      <c r="E440" s="75">
        <f>PARAM!$C$26+MAX($G$3-CHOOSE(PARAM!$B$44,MAX(0,F439*$F$1),0),0)*RATES!$L416/12+$H$3*(PARAM!$D$51/12)*RATES!$N416/100</f>
        <v>67.833333333333343</v>
      </c>
      <c r="F440" s="16">
        <f t="shared" si="281"/>
        <v>-3512.1992702030584</v>
      </c>
      <c r="G440" s="15">
        <f t="shared" si="282"/>
        <v>22.035289406060361</v>
      </c>
      <c r="H440" s="75">
        <f>G440*(1-PARAM!$C$27)*$I$4+(MOD($B440,60)=PARAM!$B$56)*($B440&gt;(60-PARAM!$B$56))*HLOOKUP(($B440+PARAM!$B$56)/12,Loyalty,2)*$F$1*MAX(J439,0)</f>
        <v>18.443537232872522</v>
      </c>
      <c r="I440" s="75">
        <f>PARAM!$C$26+MAX($G$4-CHOOSE(PARAM!$B$44,MAX(0,J439*$F$1),0),0)*RATES!$L416/12+$H$4*(PARAM!$D$51/12)*RATES!$N416/100</f>
        <v>67.833333333333343</v>
      </c>
      <c r="J440" s="16">
        <f t="shared" si="283"/>
        <v>-2802.9113501056731</v>
      </c>
      <c r="K440" s="15">
        <f t="shared" si="284"/>
        <v>22.170849845882874</v>
      </c>
      <c r="L440" s="75">
        <f>K440*(1-PARAM!$C$27)*$I$5+(MOD($B440,60)=PARAM!$B$56)*($B440&gt;(60-PARAM!$B$56))*HLOOKUP(($B440+PARAM!$B$56)/12,Loyalty,2)*$F$1*MAX(N439,0)</f>
        <v>18.557001321003963</v>
      </c>
      <c r="M440" s="75">
        <f>PARAM!$C$26+MAX($G$5-CHOOSE(PARAM!$B$44,MAX(0,N439*$F$1),0),0)*RATES!$L416/12+$H$5*(PARAM!$D$51/12)*RATES!$N416/100</f>
        <v>67.833333333333343</v>
      </c>
      <c r="N440" s="16">
        <f t="shared" si="285"/>
        <v>-2753.0331453075937</v>
      </c>
      <c r="O440" s="15">
        <f t="shared" si="286"/>
        <v>22.170849845882874</v>
      </c>
      <c r="P440" s="75">
        <f>O440*(1-PARAM!$C$27)*$I$6+(MOD($B440,60)=PARAM!$B$56)*($B440&gt;(60-PARAM!$B$56))*HLOOKUP(($B440+PARAM!$B$56)/12,Loyalty,2)*$F$1*MAX(R439,0)</f>
        <v>18.557001321003963</v>
      </c>
      <c r="Q440" s="75">
        <f>PARAM!$C$26+MAX($G$6-CHOOSE(PARAM!$B$44,MAX(0,R439*$F$1),0),0)*RATES!$L416/12+$H$6*(PARAM!$D$51/12)*RATES!$N416/100</f>
        <v>67.833333333333343</v>
      </c>
      <c r="R440" s="16">
        <f t="shared" si="287"/>
        <v>-2753.0331453075937</v>
      </c>
      <c r="S440" s="15">
        <f t="shared" si="262"/>
        <v>22.170849845882874</v>
      </c>
      <c r="T440" s="75">
        <f>S440*(1-PARAM!$C$27)*$I$7+(MOD($B440,60)=PARAM!$B$56)*($B440&gt;(60-PARAM!$B$56))*HLOOKUP(($B440+PARAM!$B$56)/12,Loyalty,2)*$F$1*MAX(V439,0)</f>
        <v>18.557001321003963</v>
      </c>
      <c r="U440" s="75">
        <f>PARAM!$C$26+MAX($G$7-CHOOSE(PARAM!$B$44,MAX(0,V439*$F$1),0),0)*RATES!$L416/12+$H$7*(PARAM!$D$51/12)*RATES!$N416/100</f>
        <v>67.833333333333343</v>
      </c>
      <c r="V440" s="16">
        <f t="shared" si="288"/>
        <v>-2753.0331453075937</v>
      </c>
      <c r="W440" s="15">
        <f t="shared" si="263"/>
        <v>22.170849845882874</v>
      </c>
      <c r="X440" s="75">
        <f>W440*(1-PARAM!$C$27)*$I$8+(MOD($B440,60)=PARAM!$B$56)*($B440&gt;(60-PARAM!$B$56))*HLOOKUP(($B440+PARAM!$B$56)/12,Loyalty,2)*$F$1*MAX(Z439,0)</f>
        <v>18.557001321003963</v>
      </c>
      <c r="Y440" s="75">
        <f>PARAM!$C$26+MAX($G$8-CHOOSE(PARAM!$B$44,MAX(0,Z439*$F$1),0),0)*RATES!$L416/12+$H$8*(PARAM!$D$51/12)*RATES!$N416/100</f>
        <v>67.833333333333343</v>
      </c>
      <c r="Z440" s="16">
        <f t="shared" si="289"/>
        <v>-2753.0331453075937</v>
      </c>
      <c r="AA440" s="15">
        <f t="shared" si="264"/>
        <v>22.170849845882874</v>
      </c>
      <c r="AB440" s="75">
        <f>AA440*(1-PARAM!$C$27)*$I$9+(MOD($B440,60)=PARAM!$B$56)*($B440&gt;(60-PARAM!$B$56))*HLOOKUP(($B440+PARAM!$B$56)/12,Loyalty,2)*$F$1*MAX(AD439,0)</f>
        <v>18.557001321003963</v>
      </c>
      <c r="AC440" s="75">
        <f>PARAM!$C$26+MAX($G$9-CHOOSE(PARAM!$B$44,MAX(0,AD439*$F$1),0),0)*RATES!$L416/12+$H$9*(PARAM!$D$51/12)*RATES!$N416/100</f>
        <v>67.833333333333343</v>
      </c>
      <c r="AD440" s="16">
        <f t="shared" si="290"/>
        <v>-2753.0331453075937</v>
      </c>
      <c r="AE440" s="15">
        <f t="shared" si="265"/>
        <v>22.170849845882874</v>
      </c>
      <c r="AF440" s="75">
        <f>AE440*(1-PARAM!$C$27)*$I$10+(MOD($B440,60)=PARAM!$B$56)*($B440&gt;(60-PARAM!$B$56))*HLOOKUP(($B440+PARAM!$B$56)/12,Loyalty,2)*$F$1*MAX(AH439,0)</f>
        <v>18.557001321003963</v>
      </c>
      <c r="AG440" s="75">
        <f>PARAM!$C$26+MAX($G$10-CHOOSE(PARAM!$B$44,MAX(0,AH439*$F$1),0),0)*RATES!$L416/12+$H$10*(PARAM!$D$51/12)*RATES!$N416/100</f>
        <v>67.833333333333343</v>
      </c>
      <c r="AH440" s="16">
        <f t="shared" si="291"/>
        <v>-2753.0331453075937</v>
      </c>
      <c r="AI440" s="15">
        <f t="shared" si="266"/>
        <v>22.170849845882874</v>
      </c>
      <c r="AJ440" s="75">
        <f>AI440*(1-PARAM!$C$27)*$I$11+(MOD($B440,60)=PARAM!$B$56)*($B440&gt;(60-PARAM!$B$56))*HLOOKUP(($B440+PARAM!$B$56)/12,Loyalty,2)*$F$1*MAX(AL439,0)</f>
        <v>18.557001321003963</v>
      </c>
      <c r="AK440" s="75">
        <f>PARAM!$C$26+MAX($G$11-CHOOSE(PARAM!$B$44,MAX(0,AL439*$F$1),0),0)*RATES!$L416/12+$H$11*(PARAM!$D$51/12)*RATES!$N416/100</f>
        <v>67.833333333333343</v>
      </c>
      <c r="AL440" s="16">
        <f t="shared" si="292"/>
        <v>-2753.0331453075937</v>
      </c>
      <c r="AM440" s="15">
        <f t="shared" si="267"/>
        <v>22.170849845882874</v>
      </c>
      <c r="AN440" s="75">
        <f>AM440*(1-PARAM!$C$27)*$I$12+(MOD($B440,60)=PARAM!$B$56)*($B440&gt;(60-PARAM!$B$56))*HLOOKUP(($B440+PARAM!$B$56)/12,Loyalty,2)*$F$1*MAX(AP439,0)</f>
        <v>18.557001321003963</v>
      </c>
      <c r="AO440" s="75">
        <f>PARAM!$C$26+MAX($G$12-CHOOSE(PARAM!$B$44,MAX(0,AP439*$F$1),0),0)*RATES!$L416/12+$H$12*(PARAM!$D$51/12)*RATES!$N416/100</f>
        <v>67.833333333333343</v>
      </c>
      <c r="AP440" s="16">
        <f t="shared" si="293"/>
        <v>-2753.0331453075937</v>
      </c>
      <c r="AQ440" s="15">
        <f t="shared" si="268"/>
        <v>22.170849845882874</v>
      </c>
      <c r="AR440" s="75">
        <f>AQ440*(1-PARAM!$C$27)*$I$13+(MOD($B440,60)=PARAM!$B$56)*($B440&gt;(60-PARAM!$B$56))*HLOOKUP(($B440+PARAM!$B$56)/12,Loyalty,2)*$F$1*MAX(AT439,0)</f>
        <v>18.557001321003963</v>
      </c>
      <c r="AS440" s="75">
        <f>PARAM!$C$26+MAX($G$13-CHOOSE(PARAM!$B$44,MAX(0,AT439*$F$1),0),0)*RATES!$L416/12+$H$13*(PARAM!$D$51/12)*RATES!$N416/100</f>
        <v>67.833333333333343</v>
      </c>
      <c r="AT440" s="16">
        <f t="shared" si="294"/>
        <v>-2753.0331453075937</v>
      </c>
      <c r="AU440" s="15">
        <f t="shared" si="269"/>
        <v>22.170849845882874</v>
      </c>
      <c r="AV440" s="75">
        <f>AU440*(1-PARAM!$C$27)*$I$14+(MOD($B440,60)=PARAM!$B$56)*($B440&gt;(60-PARAM!$B$56))*HLOOKUP(($B440+PARAM!$B$56)/12,Loyalty,2)*$F$1*MAX(AX439,0)</f>
        <v>18.557001321003963</v>
      </c>
      <c r="AW440" s="75">
        <f>PARAM!$C$26+MAX($G$14-CHOOSE(PARAM!$B$44,MAX(0,AX439*$F$1),0),0)*RATES!$L416/12+$H$14*(PARAM!$D$51/12)*RATES!$N416/100</f>
        <v>67.833333333333343</v>
      </c>
      <c r="AX440" s="16">
        <f t="shared" si="295"/>
        <v>-2753.0331453075937</v>
      </c>
      <c r="AY440" s="15">
        <f t="shared" si="270"/>
        <v>22.170849845882874</v>
      </c>
      <c r="AZ440" s="75">
        <f>AY440*(1-PARAM!$C$27)*$I$15+(MOD($B440,60)=PARAM!$B$56)*($B440&gt;(60-PARAM!$B$56))*HLOOKUP(($B440+PARAM!$B$56)/12,Loyalty,2)*$F$1*MAX(BB439,0)</f>
        <v>18.557001321003963</v>
      </c>
      <c r="BA440" s="75">
        <f>PARAM!$C$26+MAX($G$15-CHOOSE(PARAM!$B$44,MAX(0,BB439*$F$1),0),0)*RATES!$L416/12+$H$15*(PARAM!$D$51/12)*RATES!$N416/100</f>
        <v>67.833333333333343</v>
      </c>
      <c r="BB440" s="16">
        <f t="shared" si="296"/>
        <v>-2753.0331453075937</v>
      </c>
      <c r="BC440" s="15">
        <f t="shared" si="271"/>
        <v>22.170849845882874</v>
      </c>
      <c r="BD440" s="75">
        <f>BC440*(1-PARAM!$C$27)*$I$16+(MOD($B440,60)=PARAM!$B$56)*($B440&gt;(60-PARAM!$B$56))*HLOOKUP(($B440+PARAM!$B$56)/12,Loyalty,2)*$F$1*MAX(BF439,0)</f>
        <v>18.557001321003963</v>
      </c>
      <c r="BE440" s="75">
        <f>PARAM!$C$26+MAX($G$16-CHOOSE(PARAM!$B$44,MAX(0,BF439*$F$1),0),0)*RATES!$L416/12+$H$16*(PARAM!$D$51/12)*RATES!$N416/100</f>
        <v>67.833333333333343</v>
      </c>
      <c r="BF440" s="16">
        <f t="shared" si="297"/>
        <v>-2753.0331453075937</v>
      </c>
      <c r="BG440" s="15">
        <f t="shared" si="272"/>
        <v>22.170849845882874</v>
      </c>
      <c r="BH440" s="75">
        <f>BG440*(1-PARAM!$C$27)*$I$17+(MOD($B440,60)=PARAM!$B$56)*($B440&gt;(60-PARAM!$B$56))*HLOOKUP(($B440+PARAM!$B$56)/12,Loyalty,2)*$F$1*MAX(BJ439,0)</f>
        <v>18.557001321003963</v>
      </c>
      <c r="BI440" s="75">
        <f>PARAM!$C$26+MAX($G$17-CHOOSE(PARAM!$B$44,MAX(0,BJ439*$F$1),0),0)*RATES!$L416/12+$H$17*(PARAM!$D$51/12)*RATES!$N416/100</f>
        <v>67.833333333333343</v>
      </c>
      <c r="BJ440" s="16">
        <f t="shared" si="298"/>
        <v>-2753.0331453075937</v>
      </c>
      <c r="BK440" s="15">
        <f t="shared" si="273"/>
        <v>22.170849845882874</v>
      </c>
      <c r="BL440" s="75">
        <f>BK440*(1-PARAM!$C$27)*$I$18+(MOD($B440,60)=PARAM!$B$56)*($B440&gt;(60-PARAM!$B$56))*HLOOKUP(($B440+PARAM!$B$56)/12,Loyalty,2)*$F$1*MAX(BN439,0)</f>
        <v>18.557001321003963</v>
      </c>
      <c r="BM440" s="75">
        <f>PARAM!$C$26+MAX($G$18-CHOOSE(PARAM!$B$44,MAX(0,BN439*$F$1),0),0)*RATES!$L416/12+$H$18*(PARAM!$D$51/12)*RATES!$N416/100</f>
        <v>67.833333333333343</v>
      </c>
      <c r="BN440" s="16">
        <f t="shared" si="299"/>
        <v>-2753.0331453075937</v>
      </c>
      <c r="BO440" s="15">
        <f t="shared" si="274"/>
        <v>22.170849845882874</v>
      </c>
      <c r="BP440" s="75">
        <f>BO440*(1-PARAM!$C$27)*$I$19+(MOD($B440,60)=PARAM!$B$56)*($B440&gt;(60-PARAM!$B$56))*HLOOKUP(($B440+PARAM!$B$56)/12,Loyalty,2)*$F$1*MAX(BR439,0)</f>
        <v>18.557001321003963</v>
      </c>
      <c r="BQ440" s="75">
        <f>PARAM!$C$26+MAX($G$19-CHOOSE(PARAM!$B$44,MAX(0,BR439*$F$1),0),0)*RATES!$L416/12+$H$19*(PARAM!$D$51/12)*RATES!$N416/100</f>
        <v>67.833333333333343</v>
      </c>
      <c r="BR440" s="16">
        <f t="shared" si="300"/>
        <v>-2753.0331453075937</v>
      </c>
      <c r="BS440" s="15">
        <f t="shared" si="275"/>
        <v>22.170849845882874</v>
      </c>
      <c r="BT440" s="75">
        <f>BS440*(1-PARAM!$C$27)*$I$20+(MOD($B440,60)=PARAM!$B$56)*($B440&gt;(60-PARAM!$B$56))*HLOOKUP(($B440+PARAM!$B$56)/12,Loyalty,2)*$F$1*MAX(BV439,0)</f>
        <v>18.557001321003963</v>
      </c>
      <c r="BU440" s="75">
        <f>PARAM!$C$26+MAX($G$20-CHOOSE(PARAM!$B$44,MAX(0,BV439*$F$1),0),0)*RATES!$L416/12+$H$20*(PARAM!$D$51/12)*RATES!$N416/100</f>
        <v>67.833333333333343</v>
      </c>
      <c r="BV440" s="16">
        <f t="shared" si="301"/>
        <v>-2753.0331453075937</v>
      </c>
      <c r="BW440" s="15">
        <f t="shared" si="276"/>
        <v>22.170849845882874</v>
      </c>
      <c r="BX440" s="75">
        <f>BW440*(1-PARAM!$C$27)*$I$21+(MOD($B440,60)=PARAM!$B$56)*($B440&gt;(60-PARAM!$B$56))*HLOOKUP(($B440+PARAM!$B$56)/12,Loyalty,2)*$F$1*MAX(BZ439,0)</f>
        <v>18.557001321003963</v>
      </c>
      <c r="BY440" s="75">
        <f>PARAM!$C$26+MAX($G$21-CHOOSE(PARAM!$B$44,MAX(0,BZ439*$F$1),0),0)*RATES!$L416/12+$H$21*(PARAM!$D$51/12)*RATES!$N416/100</f>
        <v>67.833333333333343</v>
      </c>
      <c r="BZ440" s="16">
        <f t="shared" si="302"/>
        <v>-2753.0331453075937</v>
      </c>
      <c r="CA440" s="15">
        <f t="shared" si="277"/>
        <v>22.170849845882874</v>
      </c>
      <c r="CB440" s="75">
        <f>CA440*(1-PARAM!$C$27)*$I$22+(MOD($B440,60)=PARAM!$B$56)*($B440&gt;(60-PARAM!$B$56))*HLOOKUP(($B440+PARAM!$B$56)/12,Loyalty,2)*$F$1*MAX(CD439,0)</f>
        <v>18.557001321003963</v>
      </c>
      <c r="CC440" s="75">
        <f>PARAM!$C$26+MAX($G$22-CHOOSE(PARAM!$B$44,MAX(0,CD439*$F$1),0),0)*RATES!$L416/12+$H$22*(PARAM!$D$51/12)*RATES!$N416/100</f>
        <v>67.833333333333343</v>
      </c>
      <c r="CD440" s="16">
        <f t="shared" si="303"/>
        <v>-2753.0331453075937</v>
      </c>
      <c r="CE440" s="33">
        <f>IF(0=MOD(B440,12/PARAM!$D$51),1,0)</f>
        <v>1</v>
      </c>
      <c r="CF440" s="15">
        <f t="shared" si="278"/>
        <v>0</v>
      </c>
      <c r="CG440" s="75">
        <f>CF440*(1-PARAM!$C$27)*$R$3+(MOD($B440/12,5)=0)*($B440&gt;60)*HLOOKUP($B440/12,Loyalty,2)*$F$1*MAX(CI439,0)</f>
        <v>0</v>
      </c>
      <c r="CH440" s="75">
        <f>PARAM!$C$26+MAX($P$3-CHOOSE(PARAM!$B$44,MAX(0,CI439*$F$1),0),0)*RATES!$L416/12+$Q$3*(PARAM!$D$51/12)*RATES!$N416/100</f>
        <v>67.833333333333343</v>
      </c>
      <c r="CI440" s="16">
        <f>IF(CI439&gt;0,CI439*PARAM!$C$53,CI439)+CG440-CH440</f>
        <v>-10297.499999999995</v>
      </c>
      <c r="CJ440" s="15">
        <f t="shared" si="304"/>
        <v>0</v>
      </c>
      <c r="CK440" s="75">
        <f>CJ440*(1-PARAM!$C$27)*$R$4+(MOD($B440/12,5)=0)*($B440&gt;60)*HLOOKUP($B440/12,Loyalty,2)*$F$1*MAX(CM439,0)</f>
        <v>0</v>
      </c>
      <c r="CL440" s="75">
        <f>PARAM!$C$26+MAX($P$4-CHOOSE(PARAM!$B$44,MAX(0,CM439*$F$1),0),0)*RATES!$L416/12+$Q$4*(PARAM!$D$51/12)*RATES!$N416/100</f>
        <v>67.833333333333343</v>
      </c>
      <c r="CM440" s="16">
        <f>IF(CM439&gt;0,CM439*PARAM!$C$53,CM439)+CK440-CL440</f>
        <v>-10297.499999999995</v>
      </c>
      <c r="CO440" s="176"/>
    </row>
    <row r="441" spans="1:93" x14ac:dyDescent="0.2">
      <c r="A441" t="b">
        <f t="shared" si="279"/>
        <v>0</v>
      </c>
      <c r="B441" s="33">
        <v>414</v>
      </c>
      <c r="C441" s="15">
        <f t="shared" si="280"/>
        <v>20.081305947392778</v>
      </c>
      <c r="D441" s="75">
        <f>C441*(1-PARAM!$C$27)*$I$3+(MOD($B441,60)=PARAM!$B$56)*($B441&gt;(60-PARAM!$B$56))*HLOOKUP(($B441+PARAM!$B$56)/12,Loyalty,2)*$F$1*MAX(F440,0)</f>
        <v>16.808053077967756</v>
      </c>
      <c r="E441" s="75">
        <f>PARAM!$C$26+MAX($G$3-CHOOSE(PARAM!$B$44,MAX(0,F440*$F$1),0),0)*RATES!$L417/12+$H$3*(PARAM!$D$51/12)*RATES!$N417/100</f>
        <v>74.666666666666657</v>
      </c>
      <c r="F441" s="16">
        <f t="shared" si="281"/>
        <v>-3570.0578837917574</v>
      </c>
      <c r="G441" s="15">
        <f t="shared" si="282"/>
        <v>22.035289406060361</v>
      </c>
      <c r="H441" s="75">
        <f>G441*(1-PARAM!$C$27)*$I$4+(MOD($B441,60)=PARAM!$B$56)*($B441&gt;(60-PARAM!$B$56))*HLOOKUP(($B441+PARAM!$B$56)/12,Loyalty,2)*$F$1*MAX(J440,0)</f>
        <v>18.443537232872522</v>
      </c>
      <c r="I441" s="75">
        <f>PARAM!$C$26+MAX($G$4-CHOOSE(PARAM!$B$44,MAX(0,J440*$F$1),0),0)*RATES!$L417/12+$H$4*(PARAM!$D$51/12)*RATES!$N417/100</f>
        <v>74.666666666666657</v>
      </c>
      <c r="J441" s="16">
        <f t="shared" si="283"/>
        <v>-2859.1344795394671</v>
      </c>
      <c r="K441" s="15">
        <f t="shared" si="284"/>
        <v>22.170849845882874</v>
      </c>
      <c r="L441" s="75">
        <f>K441*(1-PARAM!$C$27)*$I$5+(MOD($B441,60)=PARAM!$B$56)*($B441&gt;(60-PARAM!$B$56))*HLOOKUP(($B441+PARAM!$B$56)/12,Loyalty,2)*$F$1*MAX(N440,0)</f>
        <v>18.557001321003963</v>
      </c>
      <c r="M441" s="75">
        <f>PARAM!$C$26+MAX($G$5-CHOOSE(PARAM!$B$44,MAX(0,N440*$F$1),0),0)*RATES!$L417/12+$H$5*(PARAM!$D$51/12)*RATES!$N417/100</f>
        <v>74.666666666666657</v>
      </c>
      <c r="N441" s="16">
        <f t="shared" si="285"/>
        <v>-2809.1428106532562</v>
      </c>
      <c r="O441" s="15">
        <f t="shared" si="286"/>
        <v>22.170849845882874</v>
      </c>
      <c r="P441" s="75">
        <f>O441*(1-PARAM!$C$27)*$I$6+(MOD($B441,60)=PARAM!$B$56)*($B441&gt;(60-PARAM!$B$56))*HLOOKUP(($B441+PARAM!$B$56)/12,Loyalty,2)*$F$1*MAX(R440,0)</f>
        <v>18.557001321003963</v>
      </c>
      <c r="Q441" s="75">
        <f>PARAM!$C$26+MAX($G$6-CHOOSE(PARAM!$B$44,MAX(0,R440*$F$1),0),0)*RATES!$L417/12+$H$6*(PARAM!$D$51/12)*RATES!$N417/100</f>
        <v>74.666666666666657</v>
      </c>
      <c r="R441" s="16">
        <f t="shared" si="287"/>
        <v>-2809.1428106532562</v>
      </c>
      <c r="S441" s="15">
        <f t="shared" si="262"/>
        <v>22.170849845882874</v>
      </c>
      <c r="T441" s="75">
        <f>S441*(1-PARAM!$C$27)*$I$7+(MOD($B441,60)=PARAM!$B$56)*($B441&gt;(60-PARAM!$B$56))*HLOOKUP(($B441+PARAM!$B$56)/12,Loyalty,2)*$F$1*MAX(V440,0)</f>
        <v>18.557001321003963</v>
      </c>
      <c r="U441" s="75">
        <f>PARAM!$C$26+MAX($G$7-CHOOSE(PARAM!$B$44,MAX(0,V440*$F$1),0),0)*RATES!$L417/12+$H$7*(PARAM!$D$51/12)*RATES!$N417/100</f>
        <v>74.666666666666657</v>
      </c>
      <c r="V441" s="16">
        <f t="shared" si="288"/>
        <v>-2809.1428106532562</v>
      </c>
      <c r="W441" s="15">
        <f t="shared" si="263"/>
        <v>22.170849845882874</v>
      </c>
      <c r="X441" s="75">
        <f>W441*(1-PARAM!$C$27)*$I$8+(MOD($B441,60)=PARAM!$B$56)*($B441&gt;(60-PARAM!$B$56))*HLOOKUP(($B441+PARAM!$B$56)/12,Loyalty,2)*$F$1*MAX(Z440,0)</f>
        <v>18.557001321003963</v>
      </c>
      <c r="Y441" s="75">
        <f>PARAM!$C$26+MAX($G$8-CHOOSE(PARAM!$B$44,MAX(0,Z440*$F$1),0),0)*RATES!$L417/12+$H$8*(PARAM!$D$51/12)*RATES!$N417/100</f>
        <v>74.666666666666657</v>
      </c>
      <c r="Z441" s="16">
        <f t="shared" si="289"/>
        <v>-2809.1428106532562</v>
      </c>
      <c r="AA441" s="15">
        <f t="shared" si="264"/>
        <v>22.170849845882874</v>
      </c>
      <c r="AB441" s="75">
        <f>AA441*(1-PARAM!$C$27)*$I$9+(MOD($B441,60)=PARAM!$B$56)*($B441&gt;(60-PARAM!$B$56))*HLOOKUP(($B441+PARAM!$B$56)/12,Loyalty,2)*$F$1*MAX(AD440,0)</f>
        <v>18.557001321003963</v>
      </c>
      <c r="AC441" s="75">
        <f>PARAM!$C$26+MAX($G$9-CHOOSE(PARAM!$B$44,MAX(0,AD440*$F$1),0),0)*RATES!$L417/12+$H$9*(PARAM!$D$51/12)*RATES!$N417/100</f>
        <v>74.666666666666657</v>
      </c>
      <c r="AD441" s="16">
        <f t="shared" si="290"/>
        <v>-2809.1428106532562</v>
      </c>
      <c r="AE441" s="15">
        <f t="shared" si="265"/>
        <v>22.170849845882874</v>
      </c>
      <c r="AF441" s="75">
        <f>AE441*(1-PARAM!$C$27)*$I$10+(MOD($B441,60)=PARAM!$B$56)*($B441&gt;(60-PARAM!$B$56))*HLOOKUP(($B441+PARAM!$B$56)/12,Loyalty,2)*$F$1*MAX(AH440,0)</f>
        <v>18.557001321003963</v>
      </c>
      <c r="AG441" s="75">
        <f>PARAM!$C$26+MAX($G$10-CHOOSE(PARAM!$B$44,MAX(0,AH440*$F$1),0),0)*RATES!$L417/12+$H$10*(PARAM!$D$51/12)*RATES!$N417/100</f>
        <v>74.666666666666657</v>
      </c>
      <c r="AH441" s="16">
        <f t="shared" si="291"/>
        <v>-2809.1428106532562</v>
      </c>
      <c r="AI441" s="15">
        <f t="shared" si="266"/>
        <v>22.170849845882874</v>
      </c>
      <c r="AJ441" s="75">
        <f>AI441*(1-PARAM!$C$27)*$I$11+(MOD($B441,60)=PARAM!$B$56)*($B441&gt;(60-PARAM!$B$56))*HLOOKUP(($B441+PARAM!$B$56)/12,Loyalty,2)*$F$1*MAX(AL440,0)</f>
        <v>18.557001321003963</v>
      </c>
      <c r="AK441" s="75">
        <f>PARAM!$C$26+MAX($G$11-CHOOSE(PARAM!$B$44,MAX(0,AL440*$F$1),0),0)*RATES!$L417/12+$H$11*(PARAM!$D$51/12)*RATES!$N417/100</f>
        <v>74.666666666666657</v>
      </c>
      <c r="AL441" s="16">
        <f t="shared" si="292"/>
        <v>-2809.1428106532562</v>
      </c>
      <c r="AM441" s="15">
        <f t="shared" si="267"/>
        <v>22.170849845882874</v>
      </c>
      <c r="AN441" s="75">
        <f>AM441*(1-PARAM!$C$27)*$I$12+(MOD($B441,60)=PARAM!$B$56)*($B441&gt;(60-PARAM!$B$56))*HLOOKUP(($B441+PARAM!$B$56)/12,Loyalty,2)*$F$1*MAX(AP440,0)</f>
        <v>18.557001321003963</v>
      </c>
      <c r="AO441" s="75">
        <f>PARAM!$C$26+MAX($G$12-CHOOSE(PARAM!$B$44,MAX(0,AP440*$F$1),0),0)*RATES!$L417/12+$H$12*(PARAM!$D$51/12)*RATES!$N417/100</f>
        <v>74.666666666666657</v>
      </c>
      <c r="AP441" s="16">
        <f t="shared" si="293"/>
        <v>-2809.1428106532562</v>
      </c>
      <c r="AQ441" s="15">
        <f t="shared" si="268"/>
        <v>22.170849845882874</v>
      </c>
      <c r="AR441" s="75">
        <f>AQ441*(1-PARAM!$C$27)*$I$13+(MOD($B441,60)=PARAM!$B$56)*($B441&gt;(60-PARAM!$B$56))*HLOOKUP(($B441+PARAM!$B$56)/12,Loyalty,2)*$F$1*MAX(AT440,0)</f>
        <v>18.557001321003963</v>
      </c>
      <c r="AS441" s="75">
        <f>PARAM!$C$26+MAX($G$13-CHOOSE(PARAM!$B$44,MAX(0,AT440*$F$1),0),0)*RATES!$L417/12+$H$13*(PARAM!$D$51/12)*RATES!$N417/100</f>
        <v>74.666666666666657</v>
      </c>
      <c r="AT441" s="16">
        <f t="shared" si="294"/>
        <v>-2809.1428106532562</v>
      </c>
      <c r="AU441" s="15">
        <f t="shared" si="269"/>
        <v>22.170849845882874</v>
      </c>
      <c r="AV441" s="75">
        <f>AU441*(1-PARAM!$C$27)*$I$14+(MOD($B441,60)=PARAM!$B$56)*($B441&gt;(60-PARAM!$B$56))*HLOOKUP(($B441+PARAM!$B$56)/12,Loyalty,2)*$F$1*MAX(AX440,0)</f>
        <v>18.557001321003963</v>
      </c>
      <c r="AW441" s="75">
        <f>PARAM!$C$26+MAX($G$14-CHOOSE(PARAM!$B$44,MAX(0,AX440*$F$1),0),0)*RATES!$L417/12+$H$14*(PARAM!$D$51/12)*RATES!$N417/100</f>
        <v>74.666666666666657</v>
      </c>
      <c r="AX441" s="16">
        <f t="shared" si="295"/>
        <v>-2809.1428106532562</v>
      </c>
      <c r="AY441" s="15">
        <f t="shared" si="270"/>
        <v>22.170849845882874</v>
      </c>
      <c r="AZ441" s="75">
        <f>AY441*(1-PARAM!$C$27)*$I$15+(MOD($B441,60)=PARAM!$B$56)*($B441&gt;(60-PARAM!$B$56))*HLOOKUP(($B441+PARAM!$B$56)/12,Loyalty,2)*$F$1*MAX(BB440,0)</f>
        <v>18.557001321003963</v>
      </c>
      <c r="BA441" s="75">
        <f>PARAM!$C$26+MAX($G$15-CHOOSE(PARAM!$B$44,MAX(0,BB440*$F$1),0),0)*RATES!$L417/12+$H$15*(PARAM!$D$51/12)*RATES!$N417/100</f>
        <v>74.666666666666657</v>
      </c>
      <c r="BB441" s="16">
        <f t="shared" si="296"/>
        <v>-2809.1428106532562</v>
      </c>
      <c r="BC441" s="15">
        <f t="shared" si="271"/>
        <v>22.170849845882874</v>
      </c>
      <c r="BD441" s="75">
        <f>BC441*(1-PARAM!$C$27)*$I$16+(MOD($B441,60)=PARAM!$B$56)*($B441&gt;(60-PARAM!$B$56))*HLOOKUP(($B441+PARAM!$B$56)/12,Loyalty,2)*$F$1*MAX(BF440,0)</f>
        <v>18.557001321003963</v>
      </c>
      <c r="BE441" s="75">
        <f>PARAM!$C$26+MAX($G$16-CHOOSE(PARAM!$B$44,MAX(0,BF440*$F$1),0),0)*RATES!$L417/12+$H$16*(PARAM!$D$51/12)*RATES!$N417/100</f>
        <v>74.666666666666657</v>
      </c>
      <c r="BF441" s="16">
        <f t="shared" si="297"/>
        <v>-2809.1428106532562</v>
      </c>
      <c r="BG441" s="15">
        <f t="shared" si="272"/>
        <v>22.170849845882874</v>
      </c>
      <c r="BH441" s="75">
        <f>BG441*(1-PARAM!$C$27)*$I$17+(MOD($B441,60)=PARAM!$B$56)*($B441&gt;(60-PARAM!$B$56))*HLOOKUP(($B441+PARAM!$B$56)/12,Loyalty,2)*$F$1*MAX(BJ440,0)</f>
        <v>18.557001321003963</v>
      </c>
      <c r="BI441" s="75">
        <f>PARAM!$C$26+MAX($G$17-CHOOSE(PARAM!$B$44,MAX(0,BJ440*$F$1),0),0)*RATES!$L417/12+$H$17*(PARAM!$D$51/12)*RATES!$N417/100</f>
        <v>74.666666666666657</v>
      </c>
      <c r="BJ441" s="16">
        <f t="shared" si="298"/>
        <v>-2809.1428106532562</v>
      </c>
      <c r="BK441" s="15">
        <f t="shared" si="273"/>
        <v>22.170849845882874</v>
      </c>
      <c r="BL441" s="75">
        <f>BK441*(1-PARAM!$C$27)*$I$18+(MOD($B441,60)=PARAM!$B$56)*($B441&gt;(60-PARAM!$B$56))*HLOOKUP(($B441+PARAM!$B$56)/12,Loyalty,2)*$F$1*MAX(BN440,0)</f>
        <v>18.557001321003963</v>
      </c>
      <c r="BM441" s="75">
        <f>PARAM!$C$26+MAX($G$18-CHOOSE(PARAM!$B$44,MAX(0,BN440*$F$1),0),0)*RATES!$L417/12+$H$18*(PARAM!$D$51/12)*RATES!$N417/100</f>
        <v>74.666666666666657</v>
      </c>
      <c r="BN441" s="16">
        <f t="shared" si="299"/>
        <v>-2809.1428106532562</v>
      </c>
      <c r="BO441" s="15">
        <f t="shared" si="274"/>
        <v>22.170849845882874</v>
      </c>
      <c r="BP441" s="75">
        <f>BO441*(1-PARAM!$C$27)*$I$19+(MOD($B441,60)=PARAM!$B$56)*($B441&gt;(60-PARAM!$B$56))*HLOOKUP(($B441+PARAM!$B$56)/12,Loyalty,2)*$F$1*MAX(BR440,0)</f>
        <v>18.557001321003963</v>
      </c>
      <c r="BQ441" s="75">
        <f>PARAM!$C$26+MAX($G$19-CHOOSE(PARAM!$B$44,MAX(0,BR440*$F$1),0),0)*RATES!$L417/12+$H$19*(PARAM!$D$51/12)*RATES!$N417/100</f>
        <v>74.666666666666657</v>
      </c>
      <c r="BR441" s="16">
        <f t="shared" si="300"/>
        <v>-2809.1428106532562</v>
      </c>
      <c r="BS441" s="15">
        <f t="shared" si="275"/>
        <v>22.170849845882874</v>
      </c>
      <c r="BT441" s="75">
        <f>BS441*(1-PARAM!$C$27)*$I$20+(MOD($B441,60)=PARAM!$B$56)*($B441&gt;(60-PARAM!$B$56))*HLOOKUP(($B441+PARAM!$B$56)/12,Loyalty,2)*$F$1*MAX(BV440,0)</f>
        <v>18.557001321003963</v>
      </c>
      <c r="BU441" s="75">
        <f>PARAM!$C$26+MAX($G$20-CHOOSE(PARAM!$B$44,MAX(0,BV440*$F$1),0),0)*RATES!$L417/12+$H$20*(PARAM!$D$51/12)*RATES!$N417/100</f>
        <v>74.666666666666657</v>
      </c>
      <c r="BV441" s="16">
        <f t="shared" si="301"/>
        <v>-2809.1428106532562</v>
      </c>
      <c r="BW441" s="15">
        <f t="shared" si="276"/>
        <v>22.170849845882874</v>
      </c>
      <c r="BX441" s="75">
        <f>BW441*(1-PARAM!$C$27)*$I$21+(MOD($B441,60)=PARAM!$B$56)*($B441&gt;(60-PARAM!$B$56))*HLOOKUP(($B441+PARAM!$B$56)/12,Loyalty,2)*$F$1*MAX(BZ440,0)</f>
        <v>18.557001321003963</v>
      </c>
      <c r="BY441" s="75">
        <f>PARAM!$C$26+MAX($G$21-CHOOSE(PARAM!$B$44,MAX(0,BZ440*$F$1),0),0)*RATES!$L417/12+$H$21*(PARAM!$D$51/12)*RATES!$N417/100</f>
        <v>74.666666666666657</v>
      </c>
      <c r="BZ441" s="16">
        <f t="shared" si="302"/>
        <v>-2809.1428106532562</v>
      </c>
      <c r="CA441" s="15">
        <f t="shared" si="277"/>
        <v>22.170849845882874</v>
      </c>
      <c r="CB441" s="75">
        <f>CA441*(1-PARAM!$C$27)*$I$22+(MOD($B441,60)=PARAM!$B$56)*($B441&gt;(60-PARAM!$B$56))*HLOOKUP(($B441+PARAM!$B$56)/12,Loyalty,2)*$F$1*MAX(CD440,0)</f>
        <v>18.557001321003963</v>
      </c>
      <c r="CC441" s="75">
        <f>PARAM!$C$26+MAX($G$22-CHOOSE(PARAM!$B$44,MAX(0,CD440*$F$1),0),0)*RATES!$L417/12+$H$22*(PARAM!$D$51/12)*RATES!$N417/100</f>
        <v>74.666666666666657</v>
      </c>
      <c r="CD441" s="16">
        <f t="shared" si="303"/>
        <v>-2809.1428106532562</v>
      </c>
      <c r="CE441" s="33">
        <f>IF(0=MOD(B441,12/PARAM!$D$51),1,0)</f>
        <v>1</v>
      </c>
      <c r="CF441" s="15">
        <f t="shared" si="278"/>
        <v>0</v>
      </c>
      <c r="CG441" s="75">
        <f>CF441*(1-PARAM!$C$27)*$R$3+(MOD($B441/12,5)=0)*($B441&gt;60)*HLOOKUP($B441/12,Loyalty,2)*$F$1*MAX(CI440,0)</f>
        <v>0</v>
      </c>
      <c r="CH441" s="75">
        <f>PARAM!$C$26+MAX($P$3-CHOOSE(PARAM!$B$44,MAX(0,CI440*$F$1),0),0)*RATES!$L417/12+$Q$3*(PARAM!$D$51/12)*RATES!$N417/100</f>
        <v>74.666666666666657</v>
      </c>
      <c r="CI441" s="16">
        <f>IF(CI440&gt;0,CI440*PARAM!$C$53,CI440)+CG441-CH441</f>
        <v>-10372.166666666661</v>
      </c>
      <c r="CJ441" s="15">
        <f t="shared" si="304"/>
        <v>0</v>
      </c>
      <c r="CK441" s="75">
        <f>CJ441*(1-PARAM!$C$27)*$R$4+(MOD($B441/12,5)=0)*($B441&gt;60)*HLOOKUP($B441/12,Loyalty,2)*$F$1*MAX(CM440,0)</f>
        <v>0</v>
      </c>
      <c r="CL441" s="75">
        <f>PARAM!$C$26+MAX($P$4-CHOOSE(PARAM!$B$44,MAX(0,CM440*$F$1),0),0)*RATES!$L417/12+$Q$4*(PARAM!$D$51/12)*RATES!$N417/100</f>
        <v>74.666666666666657</v>
      </c>
      <c r="CM441" s="16">
        <f>IF(CM440&gt;0,CM440*PARAM!$C$53,CM440)+CK441-CL441</f>
        <v>-10372.166666666661</v>
      </c>
      <c r="CO441" s="176"/>
    </row>
    <row r="442" spans="1:93" x14ac:dyDescent="0.2">
      <c r="A442" t="b">
        <f t="shared" si="279"/>
        <v>0</v>
      </c>
      <c r="B442" s="33">
        <v>415</v>
      </c>
      <c r="C442" s="15">
        <f t="shared" si="280"/>
        <v>20.081305947392778</v>
      </c>
      <c r="D442" s="75">
        <f>C442*(1-PARAM!$C$27)*$I$3+(MOD($B442,60)=PARAM!$B$56)*($B442&gt;(60-PARAM!$B$56))*HLOOKUP(($B442+PARAM!$B$56)/12,Loyalty,2)*$F$1*MAX(F441,0)</f>
        <v>16.808053077967756</v>
      </c>
      <c r="E442" s="75">
        <f>PARAM!$C$26+MAX($G$3-CHOOSE(PARAM!$B$44,MAX(0,F441*$F$1),0),0)*RATES!$L418/12+$H$3*(PARAM!$D$51/12)*RATES!$N418/100</f>
        <v>74.666666666666657</v>
      </c>
      <c r="F442" s="16">
        <f t="shared" si="281"/>
        <v>-3627.9164973804563</v>
      </c>
      <c r="G442" s="15">
        <f t="shared" si="282"/>
        <v>22.035289406060361</v>
      </c>
      <c r="H442" s="75">
        <f>G442*(1-PARAM!$C$27)*$I$4+(MOD($B442,60)=PARAM!$B$56)*($B442&gt;(60-PARAM!$B$56))*HLOOKUP(($B442+PARAM!$B$56)/12,Loyalty,2)*$F$1*MAX(J441,0)</f>
        <v>18.443537232872522</v>
      </c>
      <c r="I442" s="75">
        <f>PARAM!$C$26+MAX($G$4-CHOOSE(PARAM!$B$44,MAX(0,J441*$F$1),0),0)*RATES!$L418/12+$H$4*(PARAM!$D$51/12)*RATES!$N418/100</f>
        <v>74.666666666666657</v>
      </c>
      <c r="J442" s="16">
        <f t="shared" si="283"/>
        <v>-2915.357608973261</v>
      </c>
      <c r="K442" s="15">
        <f t="shared" si="284"/>
        <v>22.170849845882874</v>
      </c>
      <c r="L442" s="75">
        <f>K442*(1-PARAM!$C$27)*$I$5+(MOD($B442,60)=PARAM!$B$56)*($B442&gt;(60-PARAM!$B$56))*HLOOKUP(($B442+PARAM!$B$56)/12,Loyalty,2)*$F$1*MAX(N441,0)</f>
        <v>18.557001321003963</v>
      </c>
      <c r="M442" s="75">
        <f>PARAM!$C$26+MAX($G$5-CHOOSE(PARAM!$B$44,MAX(0,N441*$F$1),0),0)*RATES!$L418/12+$H$5*(PARAM!$D$51/12)*RATES!$N418/100</f>
        <v>74.666666666666657</v>
      </c>
      <c r="N442" s="16">
        <f t="shared" si="285"/>
        <v>-2865.2524759989187</v>
      </c>
      <c r="O442" s="15">
        <f t="shared" si="286"/>
        <v>22.170849845882874</v>
      </c>
      <c r="P442" s="75">
        <f>O442*(1-PARAM!$C$27)*$I$6+(MOD($B442,60)=PARAM!$B$56)*($B442&gt;(60-PARAM!$B$56))*HLOOKUP(($B442+PARAM!$B$56)/12,Loyalty,2)*$F$1*MAX(R441,0)</f>
        <v>18.557001321003963</v>
      </c>
      <c r="Q442" s="75">
        <f>PARAM!$C$26+MAX($G$6-CHOOSE(PARAM!$B$44,MAX(0,R441*$F$1),0),0)*RATES!$L418/12+$H$6*(PARAM!$D$51/12)*RATES!$N418/100</f>
        <v>74.666666666666657</v>
      </c>
      <c r="R442" s="16">
        <f t="shared" si="287"/>
        <v>-2865.2524759989187</v>
      </c>
      <c r="S442" s="15">
        <f t="shared" si="262"/>
        <v>22.170849845882874</v>
      </c>
      <c r="T442" s="75">
        <f>S442*(1-PARAM!$C$27)*$I$7+(MOD($B442,60)=PARAM!$B$56)*($B442&gt;(60-PARAM!$B$56))*HLOOKUP(($B442+PARAM!$B$56)/12,Loyalty,2)*$F$1*MAX(V441,0)</f>
        <v>18.557001321003963</v>
      </c>
      <c r="U442" s="75">
        <f>PARAM!$C$26+MAX($G$7-CHOOSE(PARAM!$B$44,MAX(0,V441*$F$1),0),0)*RATES!$L418/12+$H$7*(PARAM!$D$51/12)*RATES!$N418/100</f>
        <v>74.666666666666657</v>
      </c>
      <c r="V442" s="16">
        <f t="shared" si="288"/>
        <v>-2865.2524759989187</v>
      </c>
      <c r="W442" s="15">
        <f t="shared" si="263"/>
        <v>22.170849845882874</v>
      </c>
      <c r="X442" s="75">
        <f>W442*(1-PARAM!$C$27)*$I$8+(MOD($B442,60)=PARAM!$B$56)*($B442&gt;(60-PARAM!$B$56))*HLOOKUP(($B442+PARAM!$B$56)/12,Loyalty,2)*$F$1*MAX(Z441,0)</f>
        <v>18.557001321003963</v>
      </c>
      <c r="Y442" s="75">
        <f>PARAM!$C$26+MAX($G$8-CHOOSE(PARAM!$B$44,MAX(0,Z441*$F$1),0),0)*RATES!$L418/12+$H$8*(PARAM!$D$51/12)*RATES!$N418/100</f>
        <v>74.666666666666657</v>
      </c>
      <c r="Z442" s="16">
        <f t="shared" si="289"/>
        <v>-2865.2524759989187</v>
      </c>
      <c r="AA442" s="15">
        <f t="shared" si="264"/>
        <v>22.170849845882874</v>
      </c>
      <c r="AB442" s="75">
        <f>AA442*(1-PARAM!$C$27)*$I$9+(MOD($B442,60)=PARAM!$B$56)*($B442&gt;(60-PARAM!$B$56))*HLOOKUP(($B442+PARAM!$B$56)/12,Loyalty,2)*$F$1*MAX(AD441,0)</f>
        <v>18.557001321003963</v>
      </c>
      <c r="AC442" s="75">
        <f>PARAM!$C$26+MAX($G$9-CHOOSE(PARAM!$B$44,MAX(0,AD441*$F$1),0),0)*RATES!$L418/12+$H$9*(PARAM!$D$51/12)*RATES!$N418/100</f>
        <v>74.666666666666657</v>
      </c>
      <c r="AD442" s="16">
        <f t="shared" si="290"/>
        <v>-2865.2524759989187</v>
      </c>
      <c r="AE442" s="15">
        <f t="shared" si="265"/>
        <v>22.170849845882874</v>
      </c>
      <c r="AF442" s="75">
        <f>AE442*(1-PARAM!$C$27)*$I$10+(MOD($B442,60)=PARAM!$B$56)*($B442&gt;(60-PARAM!$B$56))*HLOOKUP(($B442+PARAM!$B$56)/12,Loyalty,2)*$F$1*MAX(AH441,0)</f>
        <v>18.557001321003963</v>
      </c>
      <c r="AG442" s="75">
        <f>PARAM!$C$26+MAX($G$10-CHOOSE(PARAM!$B$44,MAX(0,AH441*$F$1),0),0)*RATES!$L418/12+$H$10*(PARAM!$D$51/12)*RATES!$N418/100</f>
        <v>74.666666666666657</v>
      </c>
      <c r="AH442" s="16">
        <f t="shared" si="291"/>
        <v>-2865.2524759989187</v>
      </c>
      <c r="AI442" s="15">
        <f t="shared" si="266"/>
        <v>22.170849845882874</v>
      </c>
      <c r="AJ442" s="75">
        <f>AI442*(1-PARAM!$C$27)*$I$11+(MOD($B442,60)=PARAM!$B$56)*($B442&gt;(60-PARAM!$B$56))*HLOOKUP(($B442+PARAM!$B$56)/12,Loyalty,2)*$F$1*MAX(AL441,0)</f>
        <v>18.557001321003963</v>
      </c>
      <c r="AK442" s="75">
        <f>PARAM!$C$26+MAX($G$11-CHOOSE(PARAM!$B$44,MAX(0,AL441*$F$1),0),0)*RATES!$L418/12+$H$11*(PARAM!$D$51/12)*RATES!$N418/100</f>
        <v>74.666666666666657</v>
      </c>
      <c r="AL442" s="16">
        <f t="shared" si="292"/>
        <v>-2865.2524759989187</v>
      </c>
      <c r="AM442" s="15">
        <f t="shared" si="267"/>
        <v>22.170849845882874</v>
      </c>
      <c r="AN442" s="75">
        <f>AM442*(1-PARAM!$C$27)*$I$12+(MOD($B442,60)=PARAM!$B$56)*($B442&gt;(60-PARAM!$B$56))*HLOOKUP(($B442+PARAM!$B$56)/12,Loyalty,2)*$F$1*MAX(AP441,0)</f>
        <v>18.557001321003963</v>
      </c>
      <c r="AO442" s="75">
        <f>PARAM!$C$26+MAX($G$12-CHOOSE(PARAM!$B$44,MAX(0,AP441*$F$1),0),0)*RATES!$L418/12+$H$12*(PARAM!$D$51/12)*RATES!$N418/100</f>
        <v>74.666666666666657</v>
      </c>
      <c r="AP442" s="16">
        <f t="shared" si="293"/>
        <v>-2865.2524759989187</v>
      </c>
      <c r="AQ442" s="15">
        <f t="shared" si="268"/>
        <v>22.170849845882874</v>
      </c>
      <c r="AR442" s="75">
        <f>AQ442*(1-PARAM!$C$27)*$I$13+(MOD($B442,60)=PARAM!$B$56)*($B442&gt;(60-PARAM!$B$56))*HLOOKUP(($B442+PARAM!$B$56)/12,Loyalty,2)*$F$1*MAX(AT441,0)</f>
        <v>18.557001321003963</v>
      </c>
      <c r="AS442" s="75">
        <f>PARAM!$C$26+MAX($G$13-CHOOSE(PARAM!$B$44,MAX(0,AT441*$F$1),0),0)*RATES!$L418/12+$H$13*(PARAM!$D$51/12)*RATES!$N418/100</f>
        <v>74.666666666666657</v>
      </c>
      <c r="AT442" s="16">
        <f t="shared" si="294"/>
        <v>-2865.2524759989187</v>
      </c>
      <c r="AU442" s="15">
        <f t="shared" si="269"/>
        <v>22.170849845882874</v>
      </c>
      <c r="AV442" s="75">
        <f>AU442*(1-PARAM!$C$27)*$I$14+(MOD($B442,60)=PARAM!$B$56)*($B442&gt;(60-PARAM!$B$56))*HLOOKUP(($B442+PARAM!$B$56)/12,Loyalty,2)*$F$1*MAX(AX441,0)</f>
        <v>18.557001321003963</v>
      </c>
      <c r="AW442" s="75">
        <f>PARAM!$C$26+MAX($G$14-CHOOSE(PARAM!$B$44,MAX(0,AX441*$F$1),0),0)*RATES!$L418/12+$H$14*(PARAM!$D$51/12)*RATES!$N418/100</f>
        <v>74.666666666666657</v>
      </c>
      <c r="AX442" s="16">
        <f t="shared" si="295"/>
        <v>-2865.2524759989187</v>
      </c>
      <c r="AY442" s="15">
        <f t="shared" si="270"/>
        <v>22.170849845882874</v>
      </c>
      <c r="AZ442" s="75">
        <f>AY442*(1-PARAM!$C$27)*$I$15+(MOD($B442,60)=PARAM!$B$56)*($B442&gt;(60-PARAM!$B$56))*HLOOKUP(($B442+PARAM!$B$56)/12,Loyalty,2)*$F$1*MAX(BB441,0)</f>
        <v>18.557001321003963</v>
      </c>
      <c r="BA442" s="75">
        <f>PARAM!$C$26+MAX($G$15-CHOOSE(PARAM!$B$44,MAX(0,BB441*$F$1),0),0)*RATES!$L418/12+$H$15*(PARAM!$D$51/12)*RATES!$N418/100</f>
        <v>74.666666666666657</v>
      </c>
      <c r="BB442" s="16">
        <f t="shared" si="296"/>
        <v>-2865.2524759989187</v>
      </c>
      <c r="BC442" s="15">
        <f t="shared" si="271"/>
        <v>22.170849845882874</v>
      </c>
      <c r="BD442" s="75">
        <f>BC442*(1-PARAM!$C$27)*$I$16+(MOD($B442,60)=PARAM!$B$56)*($B442&gt;(60-PARAM!$B$56))*HLOOKUP(($B442+PARAM!$B$56)/12,Loyalty,2)*$F$1*MAX(BF441,0)</f>
        <v>18.557001321003963</v>
      </c>
      <c r="BE442" s="75">
        <f>PARAM!$C$26+MAX($G$16-CHOOSE(PARAM!$B$44,MAX(0,BF441*$F$1),0),0)*RATES!$L418/12+$H$16*(PARAM!$D$51/12)*RATES!$N418/100</f>
        <v>74.666666666666657</v>
      </c>
      <c r="BF442" s="16">
        <f t="shared" si="297"/>
        <v>-2865.2524759989187</v>
      </c>
      <c r="BG442" s="15">
        <f t="shared" si="272"/>
        <v>22.170849845882874</v>
      </c>
      <c r="BH442" s="75">
        <f>BG442*(1-PARAM!$C$27)*$I$17+(MOD($B442,60)=PARAM!$B$56)*($B442&gt;(60-PARAM!$B$56))*HLOOKUP(($B442+PARAM!$B$56)/12,Loyalty,2)*$F$1*MAX(BJ441,0)</f>
        <v>18.557001321003963</v>
      </c>
      <c r="BI442" s="75">
        <f>PARAM!$C$26+MAX($G$17-CHOOSE(PARAM!$B$44,MAX(0,BJ441*$F$1),0),0)*RATES!$L418/12+$H$17*(PARAM!$D$51/12)*RATES!$N418/100</f>
        <v>74.666666666666657</v>
      </c>
      <c r="BJ442" s="16">
        <f t="shared" si="298"/>
        <v>-2865.2524759989187</v>
      </c>
      <c r="BK442" s="15">
        <f t="shared" si="273"/>
        <v>22.170849845882874</v>
      </c>
      <c r="BL442" s="75">
        <f>BK442*(1-PARAM!$C$27)*$I$18+(MOD($B442,60)=PARAM!$B$56)*($B442&gt;(60-PARAM!$B$56))*HLOOKUP(($B442+PARAM!$B$56)/12,Loyalty,2)*$F$1*MAX(BN441,0)</f>
        <v>18.557001321003963</v>
      </c>
      <c r="BM442" s="75">
        <f>PARAM!$C$26+MAX($G$18-CHOOSE(PARAM!$B$44,MAX(0,BN441*$F$1),0),0)*RATES!$L418/12+$H$18*(PARAM!$D$51/12)*RATES!$N418/100</f>
        <v>74.666666666666657</v>
      </c>
      <c r="BN442" s="16">
        <f t="shared" si="299"/>
        <v>-2865.2524759989187</v>
      </c>
      <c r="BO442" s="15">
        <f t="shared" si="274"/>
        <v>22.170849845882874</v>
      </c>
      <c r="BP442" s="75">
        <f>BO442*(1-PARAM!$C$27)*$I$19+(MOD($B442,60)=PARAM!$B$56)*($B442&gt;(60-PARAM!$B$56))*HLOOKUP(($B442+PARAM!$B$56)/12,Loyalty,2)*$F$1*MAX(BR441,0)</f>
        <v>18.557001321003963</v>
      </c>
      <c r="BQ442" s="75">
        <f>PARAM!$C$26+MAX($G$19-CHOOSE(PARAM!$B$44,MAX(0,BR441*$F$1),0),0)*RATES!$L418/12+$H$19*(PARAM!$D$51/12)*RATES!$N418/100</f>
        <v>74.666666666666657</v>
      </c>
      <c r="BR442" s="16">
        <f t="shared" si="300"/>
        <v>-2865.2524759989187</v>
      </c>
      <c r="BS442" s="15">
        <f t="shared" si="275"/>
        <v>22.170849845882874</v>
      </c>
      <c r="BT442" s="75">
        <f>BS442*(1-PARAM!$C$27)*$I$20+(MOD($B442,60)=PARAM!$B$56)*($B442&gt;(60-PARAM!$B$56))*HLOOKUP(($B442+PARAM!$B$56)/12,Loyalty,2)*$F$1*MAX(BV441,0)</f>
        <v>18.557001321003963</v>
      </c>
      <c r="BU442" s="75">
        <f>PARAM!$C$26+MAX($G$20-CHOOSE(PARAM!$B$44,MAX(0,BV441*$F$1),0),0)*RATES!$L418/12+$H$20*(PARAM!$D$51/12)*RATES!$N418/100</f>
        <v>74.666666666666657</v>
      </c>
      <c r="BV442" s="16">
        <f t="shared" si="301"/>
        <v>-2865.2524759989187</v>
      </c>
      <c r="BW442" s="15">
        <f t="shared" si="276"/>
        <v>22.170849845882874</v>
      </c>
      <c r="BX442" s="75">
        <f>BW442*(1-PARAM!$C$27)*$I$21+(MOD($B442,60)=PARAM!$B$56)*($B442&gt;(60-PARAM!$B$56))*HLOOKUP(($B442+PARAM!$B$56)/12,Loyalty,2)*$F$1*MAX(BZ441,0)</f>
        <v>18.557001321003963</v>
      </c>
      <c r="BY442" s="75">
        <f>PARAM!$C$26+MAX($G$21-CHOOSE(PARAM!$B$44,MAX(0,BZ441*$F$1),0),0)*RATES!$L418/12+$H$21*(PARAM!$D$51/12)*RATES!$N418/100</f>
        <v>74.666666666666657</v>
      </c>
      <c r="BZ442" s="16">
        <f t="shared" si="302"/>
        <v>-2865.2524759989187</v>
      </c>
      <c r="CA442" s="15">
        <f t="shared" si="277"/>
        <v>22.170849845882874</v>
      </c>
      <c r="CB442" s="75">
        <f>CA442*(1-PARAM!$C$27)*$I$22+(MOD($B442,60)=PARAM!$B$56)*($B442&gt;(60-PARAM!$B$56))*HLOOKUP(($B442+PARAM!$B$56)/12,Loyalty,2)*$F$1*MAX(CD441,0)</f>
        <v>18.557001321003963</v>
      </c>
      <c r="CC442" s="75">
        <f>PARAM!$C$26+MAX($G$22-CHOOSE(PARAM!$B$44,MAX(0,CD441*$F$1),0),0)*RATES!$L418/12+$H$22*(PARAM!$D$51/12)*RATES!$N418/100</f>
        <v>74.666666666666657</v>
      </c>
      <c r="CD442" s="16">
        <f t="shared" si="303"/>
        <v>-2865.2524759989187</v>
      </c>
      <c r="CE442" s="33">
        <f>IF(0=MOD(B442,12/PARAM!$D$51),1,0)</f>
        <v>1</v>
      </c>
      <c r="CF442" s="15">
        <f t="shared" si="278"/>
        <v>0</v>
      </c>
      <c r="CG442" s="75">
        <f>CF442*(1-PARAM!$C$27)*$R$3+(MOD($B442/12,5)=0)*($B442&gt;60)*HLOOKUP($B442/12,Loyalty,2)*$F$1*MAX(CI441,0)</f>
        <v>0</v>
      </c>
      <c r="CH442" s="75">
        <f>PARAM!$C$26+MAX($P$3-CHOOSE(PARAM!$B$44,MAX(0,CI441*$F$1),0),0)*RATES!$L418/12+$Q$3*(PARAM!$D$51/12)*RATES!$N418/100</f>
        <v>74.666666666666657</v>
      </c>
      <c r="CI442" s="16">
        <f>IF(CI441&gt;0,CI441*PARAM!$C$53,CI441)+CG442-CH442</f>
        <v>-10446.833333333327</v>
      </c>
      <c r="CJ442" s="15">
        <f t="shared" si="304"/>
        <v>0</v>
      </c>
      <c r="CK442" s="75">
        <f>CJ442*(1-PARAM!$C$27)*$R$4+(MOD($B442/12,5)=0)*($B442&gt;60)*HLOOKUP($B442/12,Loyalty,2)*$F$1*MAX(CM441,0)</f>
        <v>0</v>
      </c>
      <c r="CL442" s="75">
        <f>PARAM!$C$26+MAX($P$4-CHOOSE(PARAM!$B$44,MAX(0,CM441*$F$1),0),0)*RATES!$L418/12+$Q$4*(PARAM!$D$51/12)*RATES!$N418/100</f>
        <v>74.666666666666657</v>
      </c>
      <c r="CM442" s="16">
        <f>IF(CM441&gt;0,CM441*PARAM!$C$53,CM441)+CK442-CL442</f>
        <v>-10446.833333333327</v>
      </c>
      <c r="CO442" s="176"/>
    </row>
    <row r="443" spans="1:93" x14ac:dyDescent="0.2">
      <c r="A443" t="b">
        <f t="shared" si="279"/>
        <v>0</v>
      </c>
      <c r="B443" s="33">
        <v>416</v>
      </c>
      <c r="C443" s="15">
        <f t="shared" si="280"/>
        <v>20.081305947392778</v>
      </c>
      <c r="D443" s="75">
        <f>C443*(1-PARAM!$C$27)*$I$3+(MOD($B443,60)=PARAM!$B$56)*($B443&gt;(60-PARAM!$B$56))*HLOOKUP(($B443+PARAM!$B$56)/12,Loyalty,2)*$F$1*MAX(F442,0)</f>
        <v>16.808053077967756</v>
      </c>
      <c r="E443" s="75">
        <f>PARAM!$C$26+MAX($G$3-CHOOSE(PARAM!$B$44,MAX(0,F442*$F$1),0),0)*RATES!$L419/12+$H$3*(PARAM!$D$51/12)*RATES!$N419/100</f>
        <v>74.666666666666657</v>
      </c>
      <c r="F443" s="16">
        <f t="shared" si="281"/>
        <v>-3685.7751109691553</v>
      </c>
      <c r="G443" s="15">
        <f t="shared" si="282"/>
        <v>22.035289406060361</v>
      </c>
      <c r="H443" s="75">
        <f>G443*(1-PARAM!$C$27)*$I$4+(MOD($B443,60)=PARAM!$B$56)*($B443&gt;(60-PARAM!$B$56))*HLOOKUP(($B443+PARAM!$B$56)/12,Loyalty,2)*$F$1*MAX(J442,0)</f>
        <v>18.443537232872522</v>
      </c>
      <c r="I443" s="75">
        <f>PARAM!$C$26+MAX($G$4-CHOOSE(PARAM!$B$44,MAX(0,J442*$F$1),0),0)*RATES!$L419/12+$H$4*(PARAM!$D$51/12)*RATES!$N419/100</f>
        <v>74.666666666666657</v>
      </c>
      <c r="J443" s="16">
        <f t="shared" si="283"/>
        <v>-2971.5807384070549</v>
      </c>
      <c r="K443" s="15">
        <f t="shared" si="284"/>
        <v>22.170849845882874</v>
      </c>
      <c r="L443" s="75">
        <f>K443*(1-PARAM!$C$27)*$I$5+(MOD($B443,60)=PARAM!$B$56)*($B443&gt;(60-PARAM!$B$56))*HLOOKUP(($B443+PARAM!$B$56)/12,Loyalty,2)*$F$1*MAX(N442,0)</f>
        <v>18.557001321003963</v>
      </c>
      <c r="M443" s="75">
        <f>PARAM!$C$26+MAX($G$5-CHOOSE(PARAM!$B$44,MAX(0,N442*$F$1),0),0)*RATES!$L419/12+$H$5*(PARAM!$D$51/12)*RATES!$N419/100</f>
        <v>74.666666666666657</v>
      </c>
      <c r="N443" s="16">
        <f t="shared" si="285"/>
        <v>-2921.3621413445812</v>
      </c>
      <c r="O443" s="15">
        <f t="shared" si="286"/>
        <v>22.170849845882874</v>
      </c>
      <c r="P443" s="75">
        <f>O443*(1-PARAM!$C$27)*$I$6+(MOD($B443,60)=PARAM!$B$56)*($B443&gt;(60-PARAM!$B$56))*HLOOKUP(($B443+PARAM!$B$56)/12,Loyalty,2)*$F$1*MAX(R442,0)</f>
        <v>18.557001321003963</v>
      </c>
      <c r="Q443" s="75">
        <f>PARAM!$C$26+MAX($G$6-CHOOSE(PARAM!$B$44,MAX(0,R442*$F$1),0),0)*RATES!$L419/12+$H$6*(PARAM!$D$51/12)*RATES!$N419/100</f>
        <v>74.666666666666657</v>
      </c>
      <c r="R443" s="16">
        <f t="shared" si="287"/>
        <v>-2921.3621413445812</v>
      </c>
      <c r="S443" s="15">
        <f t="shared" si="262"/>
        <v>22.170849845882874</v>
      </c>
      <c r="T443" s="75">
        <f>S443*(1-PARAM!$C$27)*$I$7+(MOD($B443,60)=PARAM!$B$56)*($B443&gt;(60-PARAM!$B$56))*HLOOKUP(($B443+PARAM!$B$56)/12,Loyalty,2)*$F$1*MAX(V442,0)</f>
        <v>18.557001321003963</v>
      </c>
      <c r="U443" s="75">
        <f>PARAM!$C$26+MAX($G$7-CHOOSE(PARAM!$B$44,MAX(0,V442*$F$1),0),0)*RATES!$L419/12+$H$7*(PARAM!$D$51/12)*RATES!$N419/100</f>
        <v>74.666666666666657</v>
      </c>
      <c r="V443" s="16">
        <f t="shared" si="288"/>
        <v>-2921.3621413445812</v>
      </c>
      <c r="W443" s="15">
        <f t="shared" si="263"/>
        <v>22.170849845882874</v>
      </c>
      <c r="X443" s="75">
        <f>W443*(1-PARAM!$C$27)*$I$8+(MOD($B443,60)=PARAM!$B$56)*($B443&gt;(60-PARAM!$B$56))*HLOOKUP(($B443+PARAM!$B$56)/12,Loyalty,2)*$F$1*MAX(Z442,0)</f>
        <v>18.557001321003963</v>
      </c>
      <c r="Y443" s="75">
        <f>PARAM!$C$26+MAX($G$8-CHOOSE(PARAM!$B$44,MAX(0,Z442*$F$1),0),0)*RATES!$L419/12+$H$8*(PARAM!$D$51/12)*RATES!$N419/100</f>
        <v>74.666666666666657</v>
      </c>
      <c r="Z443" s="16">
        <f t="shared" si="289"/>
        <v>-2921.3621413445812</v>
      </c>
      <c r="AA443" s="15">
        <f t="shared" si="264"/>
        <v>22.170849845882874</v>
      </c>
      <c r="AB443" s="75">
        <f>AA443*(1-PARAM!$C$27)*$I$9+(MOD($B443,60)=PARAM!$B$56)*($B443&gt;(60-PARAM!$B$56))*HLOOKUP(($B443+PARAM!$B$56)/12,Loyalty,2)*$F$1*MAX(AD442,0)</f>
        <v>18.557001321003963</v>
      </c>
      <c r="AC443" s="75">
        <f>PARAM!$C$26+MAX($G$9-CHOOSE(PARAM!$B$44,MAX(0,AD442*$F$1),0),0)*RATES!$L419/12+$H$9*(PARAM!$D$51/12)*RATES!$N419/100</f>
        <v>74.666666666666657</v>
      </c>
      <c r="AD443" s="16">
        <f t="shared" si="290"/>
        <v>-2921.3621413445812</v>
      </c>
      <c r="AE443" s="15">
        <f t="shared" si="265"/>
        <v>22.170849845882874</v>
      </c>
      <c r="AF443" s="75">
        <f>AE443*(1-PARAM!$C$27)*$I$10+(MOD($B443,60)=PARAM!$B$56)*($B443&gt;(60-PARAM!$B$56))*HLOOKUP(($B443+PARAM!$B$56)/12,Loyalty,2)*$F$1*MAX(AH442,0)</f>
        <v>18.557001321003963</v>
      </c>
      <c r="AG443" s="75">
        <f>PARAM!$C$26+MAX($G$10-CHOOSE(PARAM!$B$44,MAX(0,AH442*$F$1),0),0)*RATES!$L419/12+$H$10*(PARAM!$D$51/12)*RATES!$N419/100</f>
        <v>74.666666666666657</v>
      </c>
      <c r="AH443" s="16">
        <f t="shared" si="291"/>
        <v>-2921.3621413445812</v>
      </c>
      <c r="AI443" s="15">
        <f t="shared" si="266"/>
        <v>22.170849845882874</v>
      </c>
      <c r="AJ443" s="75">
        <f>AI443*(1-PARAM!$C$27)*$I$11+(MOD($B443,60)=PARAM!$B$56)*($B443&gt;(60-PARAM!$B$56))*HLOOKUP(($B443+PARAM!$B$56)/12,Loyalty,2)*$F$1*MAX(AL442,0)</f>
        <v>18.557001321003963</v>
      </c>
      <c r="AK443" s="75">
        <f>PARAM!$C$26+MAX($G$11-CHOOSE(PARAM!$B$44,MAX(0,AL442*$F$1),0),0)*RATES!$L419/12+$H$11*(PARAM!$D$51/12)*RATES!$N419/100</f>
        <v>74.666666666666657</v>
      </c>
      <c r="AL443" s="16">
        <f t="shared" si="292"/>
        <v>-2921.3621413445812</v>
      </c>
      <c r="AM443" s="15">
        <f t="shared" si="267"/>
        <v>22.170849845882874</v>
      </c>
      <c r="AN443" s="75">
        <f>AM443*(1-PARAM!$C$27)*$I$12+(MOD($B443,60)=PARAM!$B$56)*($B443&gt;(60-PARAM!$B$56))*HLOOKUP(($B443+PARAM!$B$56)/12,Loyalty,2)*$F$1*MAX(AP442,0)</f>
        <v>18.557001321003963</v>
      </c>
      <c r="AO443" s="75">
        <f>PARAM!$C$26+MAX($G$12-CHOOSE(PARAM!$B$44,MAX(0,AP442*$F$1),0),0)*RATES!$L419/12+$H$12*(PARAM!$D$51/12)*RATES!$N419/100</f>
        <v>74.666666666666657</v>
      </c>
      <c r="AP443" s="16">
        <f t="shared" si="293"/>
        <v>-2921.3621413445812</v>
      </c>
      <c r="AQ443" s="15">
        <f t="shared" si="268"/>
        <v>22.170849845882874</v>
      </c>
      <c r="AR443" s="75">
        <f>AQ443*(1-PARAM!$C$27)*$I$13+(MOD($B443,60)=PARAM!$B$56)*($B443&gt;(60-PARAM!$B$56))*HLOOKUP(($B443+PARAM!$B$56)/12,Loyalty,2)*$F$1*MAX(AT442,0)</f>
        <v>18.557001321003963</v>
      </c>
      <c r="AS443" s="75">
        <f>PARAM!$C$26+MAX($G$13-CHOOSE(PARAM!$B$44,MAX(0,AT442*$F$1),0),0)*RATES!$L419/12+$H$13*(PARAM!$D$51/12)*RATES!$N419/100</f>
        <v>74.666666666666657</v>
      </c>
      <c r="AT443" s="16">
        <f t="shared" si="294"/>
        <v>-2921.3621413445812</v>
      </c>
      <c r="AU443" s="15">
        <f t="shared" si="269"/>
        <v>22.170849845882874</v>
      </c>
      <c r="AV443" s="75">
        <f>AU443*(1-PARAM!$C$27)*$I$14+(MOD($B443,60)=PARAM!$B$56)*($B443&gt;(60-PARAM!$B$56))*HLOOKUP(($B443+PARAM!$B$56)/12,Loyalty,2)*$F$1*MAX(AX442,0)</f>
        <v>18.557001321003963</v>
      </c>
      <c r="AW443" s="75">
        <f>PARAM!$C$26+MAX($G$14-CHOOSE(PARAM!$B$44,MAX(0,AX442*$F$1),0),0)*RATES!$L419/12+$H$14*(PARAM!$D$51/12)*RATES!$N419/100</f>
        <v>74.666666666666657</v>
      </c>
      <c r="AX443" s="16">
        <f t="shared" si="295"/>
        <v>-2921.3621413445812</v>
      </c>
      <c r="AY443" s="15">
        <f t="shared" si="270"/>
        <v>22.170849845882874</v>
      </c>
      <c r="AZ443" s="75">
        <f>AY443*(1-PARAM!$C$27)*$I$15+(MOD($B443,60)=PARAM!$B$56)*($B443&gt;(60-PARAM!$B$56))*HLOOKUP(($B443+PARAM!$B$56)/12,Loyalty,2)*$F$1*MAX(BB442,0)</f>
        <v>18.557001321003963</v>
      </c>
      <c r="BA443" s="75">
        <f>PARAM!$C$26+MAX($G$15-CHOOSE(PARAM!$B$44,MAX(0,BB442*$F$1),0),0)*RATES!$L419/12+$H$15*(PARAM!$D$51/12)*RATES!$N419/100</f>
        <v>74.666666666666657</v>
      </c>
      <c r="BB443" s="16">
        <f t="shared" si="296"/>
        <v>-2921.3621413445812</v>
      </c>
      <c r="BC443" s="15">
        <f t="shared" si="271"/>
        <v>22.170849845882874</v>
      </c>
      <c r="BD443" s="75">
        <f>BC443*(1-PARAM!$C$27)*$I$16+(MOD($B443,60)=PARAM!$B$56)*($B443&gt;(60-PARAM!$B$56))*HLOOKUP(($B443+PARAM!$B$56)/12,Loyalty,2)*$F$1*MAX(BF442,0)</f>
        <v>18.557001321003963</v>
      </c>
      <c r="BE443" s="75">
        <f>PARAM!$C$26+MAX($G$16-CHOOSE(PARAM!$B$44,MAX(0,BF442*$F$1),0),0)*RATES!$L419/12+$H$16*(PARAM!$D$51/12)*RATES!$N419/100</f>
        <v>74.666666666666657</v>
      </c>
      <c r="BF443" s="16">
        <f t="shared" si="297"/>
        <v>-2921.3621413445812</v>
      </c>
      <c r="BG443" s="15">
        <f t="shared" si="272"/>
        <v>22.170849845882874</v>
      </c>
      <c r="BH443" s="75">
        <f>BG443*(1-PARAM!$C$27)*$I$17+(MOD($B443,60)=PARAM!$B$56)*($B443&gt;(60-PARAM!$B$56))*HLOOKUP(($B443+PARAM!$B$56)/12,Loyalty,2)*$F$1*MAX(BJ442,0)</f>
        <v>18.557001321003963</v>
      </c>
      <c r="BI443" s="75">
        <f>PARAM!$C$26+MAX($G$17-CHOOSE(PARAM!$B$44,MAX(0,BJ442*$F$1),0),0)*RATES!$L419/12+$H$17*(PARAM!$D$51/12)*RATES!$N419/100</f>
        <v>74.666666666666657</v>
      </c>
      <c r="BJ443" s="16">
        <f t="shared" si="298"/>
        <v>-2921.3621413445812</v>
      </c>
      <c r="BK443" s="15">
        <f t="shared" si="273"/>
        <v>22.170849845882874</v>
      </c>
      <c r="BL443" s="75">
        <f>BK443*(1-PARAM!$C$27)*$I$18+(MOD($B443,60)=PARAM!$B$56)*($B443&gt;(60-PARAM!$B$56))*HLOOKUP(($B443+PARAM!$B$56)/12,Loyalty,2)*$F$1*MAX(BN442,0)</f>
        <v>18.557001321003963</v>
      </c>
      <c r="BM443" s="75">
        <f>PARAM!$C$26+MAX($G$18-CHOOSE(PARAM!$B$44,MAX(0,BN442*$F$1),0),0)*RATES!$L419/12+$H$18*(PARAM!$D$51/12)*RATES!$N419/100</f>
        <v>74.666666666666657</v>
      </c>
      <c r="BN443" s="16">
        <f t="shared" si="299"/>
        <v>-2921.3621413445812</v>
      </c>
      <c r="BO443" s="15">
        <f t="shared" si="274"/>
        <v>22.170849845882874</v>
      </c>
      <c r="BP443" s="75">
        <f>BO443*(1-PARAM!$C$27)*$I$19+(MOD($B443,60)=PARAM!$B$56)*($B443&gt;(60-PARAM!$B$56))*HLOOKUP(($B443+PARAM!$B$56)/12,Loyalty,2)*$F$1*MAX(BR442,0)</f>
        <v>18.557001321003963</v>
      </c>
      <c r="BQ443" s="75">
        <f>PARAM!$C$26+MAX($G$19-CHOOSE(PARAM!$B$44,MAX(0,BR442*$F$1),0),0)*RATES!$L419/12+$H$19*(PARAM!$D$51/12)*RATES!$N419/100</f>
        <v>74.666666666666657</v>
      </c>
      <c r="BR443" s="16">
        <f t="shared" si="300"/>
        <v>-2921.3621413445812</v>
      </c>
      <c r="BS443" s="15">
        <f t="shared" si="275"/>
        <v>22.170849845882874</v>
      </c>
      <c r="BT443" s="75">
        <f>BS443*(1-PARAM!$C$27)*$I$20+(MOD($B443,60)=PARAM!$B$56)*($B443&gt;(60-PARAM!$B$56))*HLOOKUP(($B443+PARAM!$B$56)/12,Loyalty,2)*$F$1*MAX(BV442,0)</f>
        <v>18.557001321003963</v>
      </c>
      <c r="BU443" s="75">
        <f>PARAM!$C$26+MAX($G$20-CHOOSE(PARAM!$B$44,MAX(0,BV442*$F$1),0),0)*RATES!$L419/12+$H$20*(PARAM!$D$51/12)*RATES!$N419/100</f>
        <v>74.666666666666657</v>
      </c>
      <c r="BV443" s="16">
        <f t="shared" si="301"/>
        <v>-2921.3621413445812</v>
      </c>
      <c r="BW443" s="15">
        <f t="shared" si="276"/>
        <v>22.170849845882874</v>
      </c>
      <c r="BX443" s="75">
        <f>BW443*(1-PARAM!$C$27)*$I$21+(MOD($B443,60)=PARAM!$B$56)*($B443&gt;(60-PARAM!$B$56))*HLOOKUP(($B443+PARAM!$B$56)/12,Loyalty,2)*$F$1*MAX(BZ442,0)</f>
        <v>18.557001321003963</v>
      </c>
      <c r="BY443" s="75">
        <f>PARAM!$C$26+MAX($G$21-CHOOSE(PARAM!$B$44,MAX(0,BZ442*$F$1),0),0)*RATES!$L419/12+$H$21*(PARAM!$D$51/12)*RATES!$N419/100</f>
        <v>74.666666666666657</v>
      </c>
      <c r="BZ443" s="16">
        <f t="shared" si="302"/>
        <v>-2921.3621413445812</v>
      </c>
      <c r="CA443" s="15">
        <f t="shared" si="277"/>
        <v>22.170849845882874</v>
      </c>
      <c r="CB443" s="75">
        <f>CA443*(1-PARAM!$C$27)*$I$22+(MOD($B443,60)=PARAM!$B$56)*($B443&gt;(60-PARAM!$B$56))*HLOOKUP(($B443+PARAM!$B$56)/12,Loyalty,2)*$F$1*MAX(CD442,0)</f>
        <v>18.557001321003963</v>
      </c>
      <c r="CC443" s="75">
        <f>PARAM!$C$26+MAX($G$22-CHOOSE(PARAM!$B$44,MAX(0,CD442*$F$1),0),0)*RATES!$L419/12+$H$22*(PARAM!$D$51/12)*RATES!$N419/100</f>
        <v>74.666666666666657</v>
      </c>
      <c r="CD443" s="16">
        <f t="shared" si="303"/>
        <v>-2921.3621413445812</v>
      </c>
      <c r="CE443" s="33">
        <f>IF(0=MOD(B443,12/PARAM!$D$51),1,0)</f>
        <v>1</v>
      </c>
      <c r="CF443" s="15">
        <f t="shared" si="278"/>
        <v>0</v>
      </c>
      <c r="CG443" s="75">
        <f>CF443*(1-PARAM!$C$27)*$R$3+(MOD($B443/12,5)=0)*($B443&gt;60)*HLOOKUP($B443/12,Loyalty,2)*$F$1*MAX(CI442,0)</f>
        <v>0</v>
      </c>
      <c r="CH443" s="75">
        <f>PARAM!$C$26+MAX($P$3-CHOOSE(PARAM!$B$44,MAX(0,CI442*$F$1),0),0)*RATES!$L419/12+$Q$3*(PARAM!$D$51/12)*RATES!$N419/100</f>
        <v>74.666666666666657</v>
      </c>
      <c r="CI443" s="16">
        <f>IF(CI442&gt;0,CI442*PARAM!$C$53,CI442)+CG443-CH443</f>
        <v>-10521.499999999993</v>
      </c>
      <c r="CJ443" s="15">
        <f t="shared" si="304"/>
        <v>0</v>
      </c>
      <c r="CK443" s="75">
        <f>CJ443*(1-PARAM!$C$27)*$R$4+(MOD($B443/12,5)=0)*($B443&gt;60)*HLOOKUP($B443/12,Loyalty,2)*$F$1*MAX(CM442,0)</f>
        <v>0</v>
      </c>
      <c r="CL443" s="75">
        <f>PARAM!$C$26+MAX($P$4-CHOOSE(PARAM!$B$44,MAX(0,CM442*$F$1),0),0)*RATES!$L419/12+$Q$4*(PARAM!$D$51/12)*RATES!$N419/100</f>
        <v>74.666666666666657</v>
      </c>
      <c r="CM443" s="16">
        <f>IF(CM442&gt;0,CM442*PARAM!$C$53,CM442)+CK443-CL443</f>
        <v>-10521.499999999993</v>
      </c>
      <c r="CO443" s="176"/>
    </row>
    <row r="444" spans="1:93" x14ac:dyDescent="0.2">
      <c r="A444" t="b">
        <f t="shared" si="279"/>
        <v>0</v>
      </c>
      <c r="B444" s="33">
        <v>417</v>
      </c>
      <c r="C444" s="15">
        <f t="shared" si="280"/>
        <v>20.081305947392778</v>
      </c>
      <c r="D444" s="75">
        <f>C444*(1-PARAM!$C$27)*$I$3+(MOD($B444,60)=PARAM!$B$56)*($B444&gt;(60-PARAM!$B$56))*HLOOKUP(($B444+PARAM!$B$56)/12,Loyalty,2)*$F$1*MAX(F443,0)</f>
        <v>16.808053077967756</v>
      </c>
      <c r="E444" s="75">
        <f>PARAM!$C$26+MAX($G$3-CHOOSE(PARAM!$B$44,MAX(0,F443*$F$1),0),0)*RATES!$L420/12+$H$3*(PARAM!$D$51/12)*RATES!$N420/100</f>
        <v>74.666666666666657</v>
      </c>
      <c r="F444" s="16">
        <f t="shared" si="281"/>
        <v>-3743.6337245578543</v>
      </c>
      <c r="G444" s="15">
        <f t="shared" si="282"/>
        <v>22.035289406060361</v>
      </c>
      <c r="H444" s="75">
        <f>G444*(1-PARAM!$C$27)*$I$4+(MOD($B444,60)=PARAM!$B$56)*($B444&gt;(60-PARAM!$B$56))*HLOOKUP(($B444+PARAM!$B$56)/12,Loyalty,2)*$F$1*MAX(J443,0)</f>
        <v>18.443537232872522</v>
      </c>
      <c r="I444" s="75">
        <f>PARAM!$C$26+MAX($G$4-CHOOSE(PARAM!$B$44,MAX(0,J443*$F$1),0),0)*RATES!$L420/12+$H$4*(PARAM!$D$51/12)*RATES!$N420/100</f>
        <v>74.666666666666657</v>
      </c>
      <c r="J444" s="16">
        <f t="shared" si="283"/>
        <v>-3027.8038678408489</v>
      </c>
      <c r="K444" s="15">
        <f t="shared" si="284"/>
        <v>22.170849845882874</v>
      </c>
      <c r="L444" s="75">
        <f>K444*(1-PARAM!$C$27)*$I$5+(MOD($B444,60)=PARAM!$B$56)*($B444&gt;(60-PARAM!$B$56))*HLOOKUP(($B444+PARAM!$B$56)/12,Loyalty,2)*$F$1*MAX(N443,0)</f>
        <v>18.557001321003963</v>
      </c>
      <c r="M444" s="75">
        <f>PARAM!$C$26+MAX($G$5-CHOOSE(PARAM!$B$44,MAX(0,N443*$F$1),0),0)*RATES!$L420/12+$H$5*(PARAM!$D$51/12)*RATES!$N420/100</f>
        <v>74.666666666666657</v>
      </c>
      <c r="N444" s="16">
        <f t="shared" si="285"/>
        <v>-2977.4718066902437</v>
      </c>
      <c r="O444" s="15">
        <f t="shared" si="286"/>
        <v>22.170849845882874</v>
      </c>
      <c r="P444" s="75">
        <f>O444*(1-PARAM!$C$27)*$I$6+(MOD($B444,60)=PARAM!$B$56)*($B444&gt;(60-PARAM!$B$56))*HLOOKUP(($B444+PARAM!$B$56)/12,Loyalty,2)*$F$1*MAX(R443,0)</f>
        <v>18.557001321003963</v>
      </c>
      <c r="Q444" s="75">
        <f>PARAM!$C$26+MAX($G$6-CHOOSE(PARAM!$B$44,MAX(0,R443*$F$1),0),0)*RATES!$L420/12+$H$6*(PARAM!$D$51/12)*RATES!$N420/100</f>
        <v>74.666666666666657</v>
      </c>
      <c r="R444" s="16">
        <f t="shared" si="287"/>
        <v>-2977.4718066902437</v>
      </c>
      <c r="S444" s="15">
        <f t="shared" si="262"/>
        <v>22.170849845882874</v>
      </c>
      <c r="T444" s="75">
        <f>S444*(1-PARAM!$C$27)*$I$7+(MOD($B444,60)=PARAM!$B$56)*($B444&gt;(60-PARAM!$B$56))*HLOOKUP(($B444+PARAM!$B$56)/12,Loyalty,2)*$F$1*MAX(V443,0)</f>
        <v>18.557001321003963</v>
      </c>
      <c r="U444" s="75">
        <f>PARAM!$C$26+MAX($G$7-CHOOSE(PARAM!$B$44,MAX(0,V443*$F$1),0),0)*RATES!$L420/12+$H$7*(PARAM!$D$51/12)*RATES!$N420/100</f>
        <v>74.666666666666657</v>
      </c>
      <c r="V444" s="16">
        <f t="shared" si="288"/>
        <v>-2977.4718066902437</v>
      </c>
      <c r="W444" s="15">
        <f t="shared" si="263"/>
        <v>22.170849845882874</v>
      </c>
      <c r="X444" s="75">
        <f>W444*(1-PARAM!$C$27)*$I$8+(MOD($B444,60)=PARAM!$B$56)*($B444&gt;(60-PARAM!$B$56))*HLOOKUP(($B444+PARAM!$B$56)/12,Loyalty,2)*$F$1*MAX(Z443,0)</f>
        <v>18.557001321003963</v>
      </c>
      <c r="Y444" s="75">
        <f>PARAM!$C$26+MAX($G$8-CHOOSE(PARAM!$B$44,MAX(0,Z443*$F$1),0),0)*RATES!$L420/12+$H$8*(PARAM!$D$51/12)*RATES!$N420/100</f>
        <v>74.666666666666657</v>
      </c>
      <c r="Z444" s="16">
        <f t="shared" si="289"/>
        <v>-2977.4718066902437</v>
      </c>
      <c r="AA444" s="15">
        <f t="shared" si="264"/>
        <v>22.170849845882874</v>
      </c>
      <c r="AB444" s="75">
        <f>AA444*(1-PARAM!$C$27)*$I$9+(MOD($B444,60)=PARAM!$B$56)*($B444&gt;(60-PARAM!$B$56))*HLOOKUP(($B444+PARAM!$B$56)/12,Loyalty,2)*$F$1*MAX(AD443,0)</f>
        <v>18.557001321003963</v>
      </c>
      <c r="AC444" s="75">
        <f>PARAM!$C$26+MAX($G$9-CHOOSE(PARAM!$B$44,MAX(0,AD443*$F$1),0),0)*RATES!$L420/12+$H$9*(PARAM!$D$51/12)*RATES!$N420/100</f>
        <v>74.666666666666657</v>
      </c>
      <c r="AD444" s="16">
        <f t="shared" si="290"/>
        <v>-2977.4718066902437</v>
      </c>
      <c r="AE444" s="15">
        <f t="shared" si="265"/>
        <v>22.170849845882874</v>
      </c>
      <c r="AF444" s="75">
        <f>AE444*(1-PARAM!$C$27)*$I$10+(MOD($B444,60)=PARAM!$B$56)*($B444&gt;(60-PARAM!$B$56))*HLOOKUP(($B444+PARAM!$B$56)/12,Loyalty,2)*$F$1*MAX(AH443,0)</f>
        <v>18.557001321003963</v>
      </c>
      <c r="AG444" s="75">
        <f>PARAM!$C$26+MAX($G$10-CHOOSE(PARAM!$B$44,MAX(0,AH443*$F$1),0),0)*RATES!$L420/12+$H$10*(PARAM!$D$51/12)*RATES!$N420/100</f>
        <v>74.666666666666657</v>
      </c>
      <c r="AH444" s="16">
        <f t="shared" si="291"/>
        <v>-2977.4718066902437</v>
      </c>
      <c r="AI444" s="15">
        <f t="shared" si="266"/>
        <v>22.170849845882874</v>
      </c>
      <c r="AJ444" s="75">
        <f>AI444*(1-PARAM!$C$27)*$I$11+(MOD($B444,60)=PARAM!$B$56)*($B444&gt;(60-PARAM!$B$56))*HLOOKUP(($B444+PARAM!$B$56)/12,Loyalty,2)*$F$1*MAX(AL443,0)</f>
        <v>18.557001321003963</v>
      </c>
      <c r="AK444" s="75">
        <f>PARAM!$C$26+MAX($G$11-CHOOSE(PARAM!$B$44,MAX(0,AL443*$F$1),0),0)*RATES!$L420/12+$H$11*(PARAM!$D$51/12)*RATES!$N420/100</f>
        <v>74.666666666666657</v>
      </c>
      <c r="AL444" s="16">
        <f t="shared" si="292"/>
        <v>-2977.4718066902437</v>
      </c>
      <c r="AM444" s="15">
        <f t="shared" si="267"/>
        <v>22.170849845882874</v>
      </c>
      <c r="AN444" s="75">
        <f>AM444*(1-PARAM!$C$27)*$I$12+(MOD($B444,60)=PARAM!$B$56)*($B444&gt;(60-PARAM!$B$56))*HLOOKUP(($B444+PARAM!$B$56)/12,Loyalty,2)*$F$1*MAX(AP443,0)</f>
        <v>18.557001321003963</v>
      </c>
      <c r="AO444" s="75">
        <f>PARAM!$C$26+MAX($G$12-CHOOSE(PARAM!$B$44,MAX(0,AP443*$F$1),0),0)*RATES!$L420/12+$H$12*(PARAM!$D$51/12)*RATES!$N420/100</f>
        <v>74.666666666666657</v>
      </c>
      <c r="AP444" s="16">
        <f t="shared" si="293"/>
        <v>-2977.4718066902437</v>
      </c>
      <c r="AQ444" s="15">
        <f t="shared" si="268"/>
        <v>22.170849845882874</v>
      </c>
      <c r="AR444" s="75">
        <f>AQ444*(1-PARAM!$C$27)*$I$13+(MOD($B444,60)=PARAM!$B$56)*($B444&gt;(60-PARAM!$B$56))*HLOOKUP(($B444+PARAM!$B$56)/12,Loyalty,2)*$F$1*MAX(AT443,0)</f>
        <v>18.557001321003963</v>
      </c>
      <c r="AS444" s="75">
        <f>PARAM!$C$26+MAX($G$13-CHOOSE(PARAM!$B$44,MAX(0,AT443*$F$1),0),0)*RATES!$L420/12+$H$13*(PARAM!$D$51/12)*RATES!$N420/100</f>
        <v>74.666666666666657</v>
      </c>
      <c r="AT444" s="16">
        <f t="shared" si="294"/>
        <v>-2977.4718066902437</v>
      </c>
      <c r="AU444" s="15">
        <f t="shared" si="269"/>
        <v>22.170849845882874</v>
      </c>
      <c r="AV444" s="75">
        <f>AU444*(1-PARAM!$C$27)*$I$14+(MOD($B444,60)=PARAM!$B$56)*($B444&gt;(60-PARAM!$B$56))*HLOOKUP(($B444+PARAM!$B$56)/12,Loyalty,2)*$F$1*MAX(AX443,0)</f>
        <v>18.557001321003963</v>
      </c>
      <c r="AW444" s="75">
        <f>PARAM!$C$26+MAX($G$14-CHOOSE(PARAM!$B$44,MAX(0,AX443*$F$1),0),0)*RATES!$L420/12+$H$14*(PARAM!$D$51/12)*RATES!$N420/100</f>
        <v>74.666666666666657</v>
      </c>
      <c r="AX444" s="16">
        <f t="shared" si="295"/>
        <v>-2977.4718066902437</v>
      </c>
      <c r="AY444" s="15">
        <f t="shared" si="270"/>
        <v>22.170849845882874</v>
      </c>
      <c r="AZ444" s="75">
        <f>AY444*(1-PARAM!$C$27)*$I$15+(MOD($B444,60)=PARAM!$B$56)*($B444&gt;(60-PARAM!$B$56))*HLOOKUP(($B444+PARAM!$B$56)/12,Loyalty,2)*$F$1*MAX(BB443,0)</f>
        <v>18.557001321003963</v>
      </c>
      <c r="BA444" s="75">
        <f>PARAM!$C$26+MAX($G$15-CHOOSE(PARAM!$B$44,MAX(0,BB443*$F$1),0),0)*RATES!$L420/12+$H$15*(PARAM!$D$51/12)*RATES!$N420/100</f>
        <v>74.666666666666657</v>
      </c>
      <c r="BB444" s="16">
        <f t="shared" si="296"/>
        <v>-2977.4718066902437</v>
      </c>
      <c r="BC444" s="15">
        <f t="shared" si="271"/>
        <v>22.170849845882874</v>
      </c>
      <c r="BD444" s="75">
        <f>BC444*(1-PARAM!$C$27)*$I$16+(MOD($B444,60)=PARAM!$B$56)*($B444&gt;(60-PARAM!$B$56))*HLOOKUP(($B444+PARAM!$B$56)/12,Loyalty,2)*$F$1*MAX(BF443,0)</f>
        <v>18.557001321003963</v>
      </c>
      <c r="BE444" s="75">
        <f>PARAM!$C$26+MAX($G$16-CHOOSE(PARAM!$B$44,MAX(0,BF443*$F$1),0),0)*RATES!$L420/12+$H$16*(PARAM!$D$51/12)*RATES!$N420/100</f>
        <v>74.666666666666657</v>
      </c>
      <c r="BF444" s="16">
        <f t="shared" si="297"/>
        <v>-2977.4718066902437</v>
      </c>
      <c r="BG444" s="15">
        <f t="shared" si="272"/>
        <v>22.170849845882874</v>
      </c>
      <c r="BH444" s="75">
        <f>BG444*(1-PARAM!$C$27)*$I$17+(MOD($B444,60)=PARAM!$B$56)*($B444&gt;(60-PARAM!$B$56))*HLOOKUP(($B444+PARAM!$B$56)/12,Loyalty,2)*$F$1*MAX(BJ443,0)</f>
        <v>18.557001321003963</v>
      </c>
      <c r="BI444" s="75">
        <f>PARAM!$C$26+MAX($G$17-CHOOSE(PARAM!$B$44,MAX(0,BJ443*$F$1),0),0)*RATES!$L420/12+$H$17*(PARAM!$D$51/12)*RATES!$N420/100</f>
        <v>74.666666666666657</v>
      </c>
      <c r="BJ444" s="16">
        <f t="shared" si="298"/>
        <v>-2977.4718066902437</v>
      </c>
      <c r="BK444" s="15">
        <f t="shared" si="273"/>
        <v>22.170849845882874</v>
      </c>
      <c r="BL444" s="75">
        <f>BK444*(1-PARAM!$C$27)*$I$18+(MOD($B444,60)=PARAM!$B$56)*($B444&gt;(60-PARAM!$B$56))*HLOOKUP(($B444+PARAM!$B$56)/12,Loyalty,2)*$F$1*MAX(BN443,0)</f>
        <v>18.557001321003963</v>
      </c>
      <c r="BM444" s="75">
        <f>PARAM!$C$26+MAX($G$18-CHOOSE(PARAM!$B$44,MAX(0,BN443*$F$1),0),0)*RATES!$L420/12+$H$18*(PARAM!$D$51/12)*RATES!$N420/100</f>
        <v>74.666666666666657</v>
      </c>
      <c r="BN444" s="16">
        <f t="shared" si="299"/>
        <v>-2977.4718066902437</v>
      </c>
      <c r="BO444" s="15">
        <f t="shared" si="274"/>
        <v>22.170849845882874</v>
      </c>
      <c r="BP444" s="75">
        <f>BO444*(1-PARAM!$C$27)*$I$19+(MOD($B444,60)=PARAM!$B$56)*($B444&gt;(60-PARAM!$B$56))*HLOOKUP(($B444+PARAM!$B$56)/12,Loyalty,2)*$F$1*MAX(BR443,0)</f>
        <v>18.557001321003963</v>
      </c>
      <c r="BQ444" s="75">
        <f>PARAM!$C$26+MAX($G$19-CHOOSE(PARAM!$B$44,MAX(0,BR443*$F$1),0),0)*RATES!$L420/12+$H$19*(PARAM!$D$51/12)*RATES!$N420/100</f>
        <v>74.666666666666657</v>
      </c>
      <c r="BR444" s="16">
        <f t="shared" si="300"/>
        <v>-2977.4718066902437</v>
      </c>
      <c r="BS444" s="15">
        <f t="shared" si="275"/>
        <v>22.170849845882874</v>
      </c>
      <c r="BT444" s="75">
        <f>BS444*(1-PARAM!$C$27)*$I$20+(MOD($B444,60)=PARAM!$B$56)*($B444&gt;(60-PARAM!$B$56))*HLOOKUP(($B444+PARAM!$B$56)/12,Loyalty,2)*$F$1*MAX(BV443,0)</f>
        <v>18.557001321003963</v>
      </c>
      <c r="BU444" s="75">
        <f>PARAM!$C$26+MAX($G$20-CHOOSE(PARAM!$B$44,MAX(0,BV443*$F$1),0),0)*RATES!$L420/12+$H$20*(PARAM!$D$51/12)*RATES!$N420/100</f>
        <v>74.666666666666657</v>
      </c>
      <c r="BV444" s="16">
        <f t="shared" si="301"/>
        <v>-2977.4718066902437</v>
      </c>
      <c r="BW444" s="15">
        <f t="shared" si="276"/>
        <v>22.170849845882874</v>
      </c>
      <c r="BX444" s="75">
        <f>BW444*(1-PARAM!$C$27)*$I$21+(MOD($B444,60)=PARAM!$B$56)*($B444&gt;(60-PARAM!$B$56))*HLOOKUP(($B444+PARAM!$B$56)/12,Loyalty,2)*$F$1*MAX(BZ443,0)</f>
        <v>18.557001321003963</v>
      </c>
      <c r="BY444" s="75">
        <f>PARAM!$C$26+MAX($G$21-CHOOSE(PARAM!$B$44,MAX(0,BZ443*$F$1),0),0)*RATES!$L420/12+$H$21*(PARAM!$D$51/12)*RATES!$N420/100</f>
        <v>74.666666666666657</v>
      </c>
      <c r="BZ444" s="16">
        <f t="shared" si="302"/>
        <v>-2977.4718066902437</v>
      </c>
      <c r="CA444" s="15">
        <f t="shared" si="277"/>
        <v>22.170849845882874</v>
      </c>
      <c r="CB444" s="75">
        <f>CA444*(1-PARAM!$C$27)*$I$22+(MOD($B444,60)=PARAM!$B$56)*($B444&gt;(60-PARAM!$B$56))*HLOOKUP(($B444+PARAM!$B$56)/12,Loyalty,2)*$F$1*MAX(CD443,0)</f>
        <v>18.557001321003963</v>
      </c>
      <c r="CC444" s="75">
        <f>PARAM!$C$26+MAX($G$22-CHOOSE(PARAM!$B$44,MAX(0,CD443*$F$1),0),0)*RATES!$L420/12+$H$22*(PARAM!$D$51/12)*RATES!$N420/100</f>
        <v>74.666666666666657</v>
      </c>
      <c r="CD444" s="16">
        <f t="shared" si="303"/>
        <v>-2977.4718066902437</v>
      </c>
      <c r="CE444" s="33">
        <f>IF(0=MOD(B444,12/PARAM!$D$51),1,0)</f>
        <v>1</v>
      </c>
      <c r="CF444" s="15">
        <f t="shared" si="278"/>
        <v>0</v>
      </c>
      <c r="CG444" s="75">
        <f>CF444*(1-PARAM!$C$27)*$R$3+(MOD($B444/12,5)=0)*($B444&gt;60)*HLOOKUP($B444/12,Loyalty,2)*$F$1*MAX(CI443,0)</f>
        <v>0</v>
      </c>
      <c r="CH444" s="75">
        <f>PARAM!$C$26+MAX($P$3-CHOOSE(PARAM!$B$44,MAX(0,CI443*$F$1),0),0)*RATES!$L420/12+$Q$3*(PARAM!$D$51/12)*RATES!$N420/100</f>
        <v>74.666666666666657</v>
      </c>
      <c r="CI444" s="16">
        <f>IF(CI443&gt;0,CI443*PARAM!$C$53,CI443)+CG444-CH444</f>
        <v>-10596.166666666659</v>
      </c>
      <c r="CJ444" s="15">
        <f t="shared" si="304"/>
        <v>0</v>
      </c>
      <c r="CK444" s="75">
        <f>CJ444*(1-PARAM!$C$27)*$R$4+(MOD($B444/12,5)=0)*($B444&gt;60)*HLOOKUP($B444/12,Loyalty,2)*$F$1*MAX(CM443,0)</f>
        <v>0</v>
      </c>
      <c r="CL444" s="75">
        <f>PARAM!$C$26+MAX($P$4-CHOOSE(PARAM!$B$44,MAX(0,CM443*$F$1),0),0)*RATES!$L420/12+$Q$4*(PARAM!$D$51/12)*RATES!$N420/100</f>
        <v>74.666666666666657</v>
      </c>
      <c r="CM444" s="16">
        <f>IF(CM443&gt;0,CM443*PARAM!$C$53,CM443)+CK444-CL444</f>
        <v>-10596.166666666659</v>
      </c>
      <c r="CO444" s="176"/>
    </row>
    <row r="445" spans="1:93" x14ac:dyDescent="0.2">
      <c r="A445" t="b">
        <f t="shared" si="279"/>
        <v>0</v>
      </c>
      <c r="B445" s="33">
        <v>418</v>
      </c>
      <c r="C445" s="15">
        <f t="shared" si="280"/>
        <v>20.081305947392778</v>
      </c>
      <c r="D445" s="75">
        <f>C445*(1-PARAM!$C$27)*$I$3+(MOD($B445,60)=PARAM!$B$56)*($B445&gt;(60-PARAM!$B$56))*HLOOKUP(($B445+PARAM!$B$56)/12,Loyalty,2)*$F$1*MAX(F444,0)</f>
        <v>16.808053077967756</v>
      </c>
      <c r="E445" s="75">
        <f>PARAM!$C$26+MAX($G$3-CHOOSE(PARAM!$B$44,MAX(0,F444*$F$1),0),0)*RATES!$L421/12+$H$3*(PARAM!$D$51/12)*RATES!$N421/100</f>
        <v>74.666666666666657</v>
      </c>
      <c r="F445" s="16">
        <f t="shared" si="281"/>
        <v>-3801.4923381465533</v>
      </c>
      <c r="G445" s="15">
        <f t="shared" si="282"/>
        <v>22.035289406060361</v>
      </c>
      <c r="H445" s="75">
        <f>G445*(1-PARAM!$C$27)*$I$4+(MOD($B445,60)=PARAM!$B$56)*($B445&gt;(60-PARAM!$B$56))*HLOOKUP(($B445+PARAM!$B$56)/12,Loyalty,2)*$F$1*MAX(J444,0)</f>
        <v>18.443537232872522</v>
      </c>
      <c r="I445" s="75">
        <f>PARAM!$C$26+MAX($G$4-CHOOSE(PARAM!$B$44,MAX(0,J444*$F$1),0),0)*RATES!$L421/12+$H$4*(PARAM!$D$51/12)*RATES!$N421/100</f>
        <v>74.666666666666657</v>
      </c>
      <c r="J445" s="16">
        <f t="shared" si="283"/>
        <v>-3084.0269972746428</v>
      </c>
      <c r="K445" s="15">
        <f t="shared" si="284"/>
        <v>22.170849845882874</v>
      </c>
      <c r="L445" s="75">
        <f>K445*(1-PARAM!$C$27)*$I$5+(MOD($B445,60)=PARAM!$B$56)*($B445&gt;(60-PARAM!$B$56))*HLOOKUP(($B445+PARAM!$B$56)/12,Loyalty,2)*$F$1*MAX(N444,0)</f>
        <v>18.557001321003963</v>
      </c>
      <c r="M445" s="75">
        <f>PARAM!$C$26+MAX($G$5-CHOOSE(PARAM!$B$44,MAX(0,N444*$F$1),0),0)*RATES!$L421/12+$H$5*(PARAM!$D$51/12)*RATES!$N421/100</f>
        <v>74.666666666666657</v>
      </c>
      <c r="N445" s="16">
        <f t="shared" si="285"/>
        <v>-3033.5814720359062</v>
      </c>
      <c r="O445" s="15">
        <f t="shared" si="286"/>
        <v>22.170849845882874</v>
      </c>
      <c r="P445" s="75">
        <f>O445*(1-PARAM!$C$27)*$I$6+(MOD($B445,60)=PARAM!$B$56)*($B445&gt;(60-PARAM!$B$56))*HLOOKUP(($B445+PARAM!$B$56)/12,Loyalty,2)*$F$1*MAX(R444,0)</f>
        <v>18.557001321003963</v>
      </c>
      <c r="Q445" s="75">
        <f>PARAM!$C$26+MAX($G$6-CHOOSE(PARAM!$B$44,MAX(0,R444*$F$1),0),0)*RATES!$L421/12+$H$6*(PARAM!$D$51/12)*RATES!$N421/100</f>
        <v>74.666666666666657</v>
      </c>
      <c r="R445" s="16">
        <f t="shared" si="287"/>
        <v>-3033.5814720359062</v>
      </c>
      <c r="S445" s="15">
        <f t="shared" si="262"/>
        <v>22.170849845882874</v>
      </c>
      <c r="T445" s="75">
        <f>S445*(1-PARAM!$C$27)*$I$7+(MOD($B445,60)=PARAM!$B$56)*($B445&gt;(60-PARAM!$B$56))*HLOOKUP(($B445+PARAM!$B$56)/12,Loyalty,2)*$F$1*MAX(V444,0)</f>
        <v>18.557001321003963</v>
      </c>
      <c r="U445" s="75">
        <f>PARAM!$C$26+MAX($G$7-CHOOSE(PARAM!$B$44,MAX(0,V444*$F$1),0),0)*RATES!$L421/12+$H$7*(PARAM!$D$51/12)*RATES!$N421/100</f>
        <v>74.666666666666657</v>
      </c>
      <c r="V445" s="16">
        <f t="shared" si="288"/>
        <v>-3033.5814720359062</v>
      </c>
      <c r="W445" s="15">
        <f t="shared" si="263"/>
        <v>22.170849845882874</v>
      </c>
      <c r="X445" s="75">
        <f>W445*(1-PARAM!$C$27)*$I$8+(MOD($B445,60)=PARAM!$B$56)*($B445&gt;(60-PARAM!$B$56))*HLOOKUP(($B445+PARAM!$B$56)/12,Loyalty,2)*$F$1*MAX(Z444,0)</f>
        <v>18.557001321003963</v>
      </c>
      <c r="Y445" s="75">
        <f>PARAM!$C$26+MAX($G$8-CHOOSE(PARAM!$B$44,MAX(0,Z444*$F$1),0),0)*RATES!$L421/12+$H$8*(PARAM!$D$51/12)*RATES!$N421/100</f>
        <v>74.666666666666657</v>
      </c>
      <c r="Z445" s="16">
        <f t="shared" si="289"/>
        <v>-3033.5814720359062</v>
      </c>
      <c r="AA445" s="15">
        <f t="shared" si="264"/>
        <v>22.170849845882874</v>
      </c>
      <c r="AB445" s="75">
        <f>AA445*(1-PARAM!$C$27)*$I$9+(MOD($B445,60)=PARAM!$B$56)*($B445&gt;(60-PARAM!$B$56))*HLOOKUP(($B445+PARAM!$B$56)/12,Loyalty,2)*$F$1*MAX(AD444,0)</f>
        <v>18.557001321003963</v>
      </c>
      <c r="AC445" s="75">
        <f>PARAM!$C$26+MAX($G$9-CHOOSE(PARAM!$B$44,MAX(0,AD444*$F$1),0),0)*RATES!$L421/12+$H$9*(PARAM!$D$51/12)*RATES!$N421/100</f>
        <v>74.666666666666657</v>
      </c>
      <c r="AD445" s="16">
        <f t="shared" si="290"/>
        <v>-3033.5814720359062</v>
      </c>
      <c r="AE445" s="15">
        <f t="shared" si="265"/>
        <v>22.170849845882874</v>
      </c>
      <c r="AF445" s="75">
        <f>AE445*(1-PARAM!$C$27)*$I$10+(MOD($B445,60)=PARAM!$B$56)*($B445&gt;(60-PARAM!$B$56))*HLOOKUP(($B445+PARAM!$B$56)/12,Loyalty,2)*$F$1*MAX(AH444,0)</f>
        <v>18.557001321003963</v>
      </c>
      <c r="AG445" s="75">
        <f>PARAM!$C$26+MAX($G$10-CHOOSE(PARAM!$B$44,MAX(0,AH444*$F$1),0),0)*RATES!$L421/12+$H$10*(PARAM!$D$51/12)*RATES!$N421/100</f>
        <v>74.666666666666657</v>
      </c>
      <c r="AH445" s="16">
        <f t="shared" si="291"/>
        <v>-3033.5814720359062</v>
      </c>
      <c r="AI445" s="15">
        <f t="shared" si="266"/>
        <v>22.170849845882874</v>
      </c>
      <c r="AJ445" s="75">
        <f>AI445*(1-PARAM!$C$27)*$I$11+(MOD($B445,60)=PARAM!$B$56)*($B445&gt;(60-PARAM!$B$56))*HLOOKUP(($B445+PARAM!$B$56)/12,Loyalty,2)*$F$1*MAX(AL444,0)</f>
        <v>18.557001321003963</v>
      </c>
      <c r="AK445" s="75">
        <f>PARAM!$C$26+MAX($G$11-CHOOSE(PARAM!$B$44,MAX(0,AL444*$F$1),0),0)*RATES!$L421/12+$H$11*(PARAM!$D$51/12)*RATES!$N421/100</f>
        <v>74.666666666666657</v>
      </c>
      <c r="AL445" s="16">
        <f t="shared" si="292"/>
        <v>-3033.5814720359062</v>
      </c>
      <c r="AM445" s="15">
        <f t="shared" si="267"/>
        <v>22.170849845882874</v>
      </c>
      <c r="AN445" s="75">
        <f>AM445*(1-PARAM!$C$27)*$I$12+(MOD($B445,60)=PARAM!$B$56)*($B445&gt;(60-PARAM!$B$56))*HLOOKUP(($B445+PARAM!$B$56)/12,Loyalty,2)*$F$1*MAX(AP444,0)</f>
        <v>18.557001321003963</v>
      </c>
      <c r="AO445" s="75">
        <f>PARAM!$C$26+MAX($G$12-CHOOSE(PARAM!$B$44,MAX(0,AP444*$F$1),0),0)*RATES!$L421/12+$H$12*(PARAM!$D$51/12)*RATES!$N421/100</f>
        <v>74.666666666666657</v>
      </c>
      <c r="AP445" s="16">
        <f t="shared" si="293"/>
        <v>-3033.5814720359062</v>
      </c>
      <c r="AQ445" s="15">
        <f t="shared" si="268"/>
        <v>22.170849845882874</v>
      </c>
      <c r="AR445" s="75">
        <f>AQ445*(1-PARAM!$C$27)*$I$13+(MOD($B445,60)=PARAM!$B$56)*($B445&gt;(60-PARAM!$B$56))*HLOOKUP(($B445+PARAM!$B$56)/12,Loyalty,2)*$F$1*MAX(AT444,0)</f>
        <v>18.557001321003963</v>
      </c>
      <c r="AS445" s="75">
        <f>PARAM!$C$26+MAX($G$13-CHOOSE(PARAM!$B$44,MAX(0,AT444*$F$1),0),0)*RATES!$L421/12+$H$13*(PARAM!$D$51/12)*RATES!$N421/100</f>
        <v>74.666666666666657</v>
      </c>
      <c r="AT445" s="16">
        <f t="shared" si="294"/>
        <v>-3033.5814720359062</v>
      </c>
      <c r="AU445" s="15">
        <f t="shared" si="269"/>
        <v>22.170849845882874</v>
      </c>
      <c r="AV445" s="75">
        <f>AU445*(1-PARAM!$C$27)*$I$14+(MOD($B445,60)=PARAM!$B$56)*($B445&gt;(60-PARAM!$B$56))*HLOOKUP(($B445+PARAM!$B$56)/12,Loyalty,2)*$F$1*MAX(AX444,0)</f>
        <v>18.557001321003963</v>
      </c>
      <c r="AW445" s="75">
        <f>PARAM!$C$26+MAX($G$14-CHOOSE(PARAM!$B$44,MAX(0,AX444*$F$1),0),0)*RATES!$L421/12+$H$14*(PARAM!$D$51/12)*RATES!$N421/100</f>
        <v>74.666666666666657</v>
      </c>
      <c r="AX445" s="16">
        <f t="shared" si="295"/>
        <v>-3033.5814720359062</v>
      </c>
      <c r="AY445" s="15">
        <f t="shared" si="270"/>
        <v>22.170849845882874</v>
      </c>
      <c r="AZ445" s="75">
        <f>AY445*(1-PARAM!$C$27)*$I$15+(MOD($B445,60)=PARAM!$B$56)*($B445&gt;(60-PARAM!$B$56))*HLOOKUP(($B445+PARAM!$B$56)/12,Loyalty,2)*$F$1*MAX(BB444,0)</f>
        <v>18.557001321003963</v>
      </c>
      <c r="BA445" s="75">
        <f>PARAM!$C$26+MAX($G$15-CHOOSE(PARAM!$B$44,MAX(0,BB444*$F$1),0),0)*RATES!$L421/12+$H$15*(PARAM!$D$51/12)*RATES!$N421/100</f>
        <v>74.666666666666657</v>
      </c>
      <c r="BB445" s="16">
        <f t="shared" si="296"/>
        <v>-3033.5814720359062</v>
      </c>
      <c r="BC445" s="15">
        <f t="shared" si="271"/>
        <v>22.170849845882874</v>
      </c>
      <c r="BD445" s="75">
        <f>BC445*(1-PARAM!$C$27)*$I$16+(MOD($B445,60)=PARAM!$B$56)*($B445&gt;(60-PARAM!$B$56))*HLOOKUP(($B445+PARAM!$B$56)/12,Loyalty,2)*$F$1*MAX(BF444,0)</f>
        <v>18.557001321003963</v>
      </c>
      <c r="BE445" s="75">
        <f>PARAM!$C$26+MAX($G$16-CHOOSE(PARAM!$B$44,MAX(0,BF444*$F$1),0),0)*RATES!$L421/12+$H$16*(PARAM!$D$51/12)*RATES!$N421/100</f>
        <v>74.666666666666657</v>
      </c>
      <c r="BF445" s="16">
        <f t="shared" si="297"/>
        <v>-3033.5814720359062</v>
      </c>
      <c r="BG445" s="15">
        <f t="shared" si="272"/>
        <v>22.170849845882874</v>
      </c>
      <c r="BH445" s="75">
        <f>BG445*(1-PARAM!$C$27)*$I$17+(MOD($B445,60)=PARAM!$B$56)*($B445&gt;(60-PARAM!$B$56))*HLOOKUP(($B445+PARAM!$B$56)/12,Loyalty,2)*$F$1*MAX(BJ444,0)</f>
        <v>18.557001321003963</v>
      </c>
      <c r="BI445" s="75">
        <f>PARAM!$C$26+MAX($G$17-CHOOSE(PARAM!$B$44,MAX(0,BJ444*$F$1),0),0)*RATES!$L421/12+$H$17*(PARAM!$D$51/12)*RATES!$N421/100</f>
        <v>74.666666666666657</v>
      </c>
      <c r="BJ445" s="16">
        <f t="shared" si="298"/>
        <v>-3033.5814720359062</v>
      </c>
      <c r="BK445" s="15">
        <f t="shared" si="273"/>
        <v>22.170849845882874</v>
      </c>
      <c r="BL445" s="75">
        <f>BK445*(1-PARAM!$C$27)*$I$18+(MOD($B445,60)=PARAM!$B$56)*($B445&gt;(60-PARAM!$B$56))*HLOOKUP(($B445+PARAM!$B$56)/12,Loyalty,2)*$F$1*MAX(BN444,0)</f>
        <v>18.557001321003963</v>
      </c>
      <c r="BM445" s="75">
        <f>PARAM!$C$26+MAX($G$18-CHOOSE(PARAM!$B$44,MAX(0,BN444*$F$1),0),0)*RATES!$L421/12+$H$18*(PARAM!$D$51/12)*RATES!$N421/100</f>
        <v>74.666666666666657</v>
      </c>
      <c r="BN445" s="16">
        <f t="shared" si="299"/>
        <v>-3033.5814720359062</v>
      </c>
      <c r="BO445" s="15">
        <f t="shared" si="274"/>
        <v>22.170849845882874</v>
      </c>
      <c r="BP445" s="75">
        <f>BO445*(1-PARAM!$C$27)*$I$19+(MOD($B445,60)=PARAM!$B$56)*($B445&gt;(60-PARAM!$B$56))*HLOOKUP(($B445+PARAM!$B$56)/12,Loyalty,2)*$F$1*MAX(BR444,0)</f>
        <v>18.557001321003963</v>
      </c>
      <c r="BQ445" s="75">
        <f>PARAM!$C$26+MAX($G$19-CHOOSE(PARAM!$B$44,MAX(0,BR444*$F$1),0),0)*RATES!$L421/12+$H$19*(PARAM!$D$51/12)*RATES!$N421/100</f>
        <v>74.666666666666657</v>
      </c>
      <c r="BR445" s="16">
        <f t="shared" si="300"/>
        <v>-3033.5814720359062</v>
      </c>
      <c r="BS445" s="15">
        <f t="shared" si="275"/>
        <v>22.170849845882874</v>
      </c>
      <c r="BT445" s="75">
        <f>BS445*(1-PARAM!$C$27)*$I$20+(MOD($B445,60)=PARAM!$B$56)*($B445&gt;(60-PARAM!$B$56))*HLOOKUP(($B445+PARAM!$B$56)/12,Loyalty,2)*$F$1*MAX(BV444,0)</f>
        <v>18.557001321003963</v>
      </c>
      <c r="BU445" s="75">
        <f>PARAM!$C$26+MAX($G$20-CHOOSE(PARAM!$B$44,MAX(0,BV444*$F$1),0),0)*RATES!$L421/12+$H$20*(PARAM!$D$51/12)*RATES!$N421/100</f>
        <v>74.666666666666657</v>
      </c>
      <c r="BV445" s="16">
        <f t="shared" si="301"/>
        <v>-3033.5814720359062</v>
      </c>
      <c r="BW445" s="15">
        <f t="shared" si="276"/>
        <v>22.170849845882874</v>
      </c>
      <c r="BX445" s="75">
        <f>BW445*(1-PARAM!$C$27)*$I$21+(MOD($B445,60)=PARAM!$B$56)*($B445&gt;(60-PARAM!$B$56))*HLOOKUP(($B445+PARAM!$B$56)/12,Loyalty,2)*$F$1*MAX(BZ444,0)</f>
        <v>18.557001321003963</v>
      </c>
      <c r="BY445" s="75">
        <f>PARAM!$C$26+MAX($G$21-CHOOSE(PARAM!$B$44,MAX(0,BZ444*$F$1),0),0)*RATES!$L421/12+$H$21*(PARAM!$D$51/12)*RATES!$N421/100</f>
        <v>74.666666666666657</v>
      </c>
      <c r="BZ445" s="16">
        <f t="shared" si="302"/>
        <v>-3033.5814720359062</v>
      </c>
      <c r="CA445" s="15">
        <f t="shared" si="277"/>
        <v>22.170849845882874</v>
      </c>
      <c r="CB445" s="75">
        <f>CA445*(1-PARAM!$C$27)*$I$22+(MOD($B445,60)=PARAM!$B$56)*($B445&gt;(60-PARAM!$B$56))*HLOOKUP(($B445+PARAM!$B$56)/12,Loyalty,2)*$F$1*MAX(CD444,0)</f>
        <v>18.557001321003963</v>
      </c>
      <c r="CC445" s="75">
        <f>PARAM!$C$26+MAX($G$22-CHOOSE(PARAM!$B$44,MAX(0,CD444*$F$1),0),0)*RATES!$L421/12+$H$22*(PARAM!$D$51/12)*RATES!$N421/100</f>
        <v>74.666666666666657</v>
      </c>
      <c r="CD445" s="16">
        <f t="shared" si="303"/>
        <v>-3033.5814720359062</v>
      </c>
      <c r="CE445" s="33">
        <f>IF(0=MOD(B445,12/PARAM!$D$51),1,0)</f>
        <v>1</v>
      </c>
      <c r="CF445" s="15">
        <f t="shared" si="278"/>
        <v>0</v>
      </c>
      <c r="CG445" s="75">
        <f>CF445*(1-PARAM!$C$27)*$R$3+(MOD($B445/12,5)=0)*($B445&gt;60)*HLOOKUP($B445/12,Loyalty,2)*$F$1*MAX(CI444,0)</f>
        <v>0</v>
      </c>
      <c r="CH445" s="75">
        <f>PARAM!$C$26+MAX($P$3-CHOOSE(PARAM!$B$44,MAX(0,CI444*$F$1),0),0)*RATES!$L421/12+$Q$3*(PARAM!$D$51/12)*RATES!$N421/100</f>
        <v>74.666666666666657</v>
      </c>
      <c r="CI445" s="16">
        <f>IF(CI444&gt;0,CI444*PARAM!$C$53,CI444)+CG445-CH445</f>
        <v>-10670.833333333325</v>
      </c>
      <c r="CJ445" s="15">
        <f t="shared" si="304"/>
        <v>0</v>
      </c>
      <c r="CK445" s="75">
        <f>CJ445*(1-PARAM!$C$27)*$R$4+(MOD($B445/12,5)=0)*($B445&gt;60)*HLOOKUP($B445/12,Loyalty,2)*$F$1*MAX(CM444,0)</f>
        <v>0</v>
      </c>
      <c r="CL445" s="75">
        <f>PARAM!$C$26+MAX($P$4-CHOOSE(PARAM!$B$44,MAX(0,CM444*$F$1),0),0)*RATES!$L421/12+$Q$4*(PARAM!$D$51/12)*RATES!$N421/100</f>
        <v>74.666666666666657</v>
      </c>
      <c r="CM445" s="16">
        <f>IF(CM444&gt;0,CM444*PARAM!$C$53,CM444)+CK445-CL445</f>
        <v>-10670.833333333325</v>
      </c>
      <c r="CO445" s="176"/>
    </row>
    <row r="446" spans="1:93" x14ac:dyDescent="0.2">
      <c r="A446" t="b">
        <f t="shared" si="279"/>
        <v>0</v>
      </c>
      <c r="B446" s="33">
        <v>419</v>
      </c>
      <c r="C446" s="15">
        <f t="shared" si="280"/>
        <v>20.081305947392778</v>
      </c>
      <c r="D446" s="75">
        <f>C446*(1-PARAM!$C$27)*$I$3+(MOD($B446,60)=PARAM!$B$56)*($B446&gt;(60-PARAM!$B$56))*HLOOKUP(($B446+PARAM!$B$56)/12,Loyalty,2)*$F$1*MAX(F445,0)</f>
        <v>16.808053077967756</v>
      </c>
      <c r="E446" s="75">
        <f>PARAM!$C$26+MAX($G$3-CHOOSE(PARAM!$B$44,MAX(0,F445*$F$1),0),0)*RATES!$L422/12+$H$3*(PARAM!$D$51/12)*RATES!$N422/100</f>
        <v>74.666666666666657</v>
      </c>
      <c r="F446" s="16">
        <f t="shared" si="281"/>
        <v>-3859.3509517352522</v>
      </c>
      <c r="G446" s="15">
        <f t="shared" si="282"/>
        <v>22.035289406060361</v>
      </c>
      <c r="H446" s="75">
        <f>G446*(1-PARAM!$C$27)*$I$4+(MOD($B446,60)=PARAM!$B$56)*($B446&gt;(60-PARAM!$B$56))*HLOOKUP(($B446+PARAM!$B$56)/12,Loyalty,2)*$F$1*MAX(J445,0)</f>
        <v>18.443537232872522</v>
      </c>
      <c r="I446" s="75">
        <f>PARAM!$C$26+MAX($G$4-CHOOSE(PARAM!$B$44,MAX(0,J445*$F$1),0),0)*RATES!$L422/12+$H$4*(PARAM!$D$51/12)*RATES!$N422/100</f>
        <v>74.666666666666657</v>
      </c>
      <c r="J446" s="16">
        <f t="shared" si="283"/>
        <v>-3140.2501267084367</v>
      </c>
      <c r="K446" s="15">
        <f t="shared" si="284"/>
        <v>22.170849845882874</v>
      </c>
      <c r="L446" s="75">
        <f>K446*(1-PARAM!$C$27)*$I$5+(MOD($B446,60)=PARAM!$B$56)*($B446&gt;(60-PARAM!$B$56))*HLOOKUP(($B446+PARAM!$B$56)/12,Loyalty,2)*$F$1*MAX(N445,0)</f>
        <v>18.557001321003963</v>
      </c>
      <c r="M446" s="75">
        <f>PARAM!$C$26+MAX($G$5-CHOOSE(PARAM!$B$44,MAX(0,N445*$F$1),0),0)*RATES!$L422/12+$H$5*(PARAM!$D$51/12)*RATES!$N422/100</f>
        <v>74.666666666666657</v>
      </c>
      <c r="N446" s="16">
        <f t="shared" si="285"/>
        <v>-3089.6911373815688</v>
      </c>
      <c r="O446" s="15">
        <f t="shared" si="286"/>
        <v>22.170849845882874</v>
      </c>
      <c r="P446" s="75">
        <f>O446*(1-PARAM!$C$27)*$I$6+(MOD($B446,60)=PARAM!$B$56)*($B446&gt;(60-PARAM!$B$56))*HLOOKUP(($B446+PARAM!$B$56)/12,Loyalty,2)*$F$1*MAX(R445,0)</f>
        <v>18.557001321003963</v>
      </c>
      <c r="Q446" s="75">
        <f>PARAM!$C$26+MAX($G$6-CHOOSE(PARAM!$B$44,MAX(0,R445*$F$1),0),0)*RATES!$L422/12+$H$6*(PARAM!$D$51/12)*RATES!$N422/100</f>
        <v>74.666666666666657</v>
      </c>
      <c r="R446" s="16">
        <f t="shared" si="287"/>
        <v>-3089.6911373815688</v>
      </c>
      <c r="S446" s="15">
        <f t="shared" si="262"/>
        <v>22.170849845882874</v>
      </c>
      <c r="T446" s="75">
        <f>S446*(1-PARAM!$C$27)*$I$7+(MOD($B446,60)=PARAM!$B$56)*($B446&gt;(60-PARAM!$B$56))*HLOOKUP(($B446+PARAM!$B$56)/12,Loyalty,2)*$F$1*MAX(V445,0)</f>
        <v>18.557001321003963</v>
      </c>
      <c r="U446" s="75">
        <f>PARAM!$C$26+MAX($G$7-CHOOSE(PARAM!$B$44,MAX(0,V445*$F$1),0),0)*RATES!$L422/12+$H$7*(PARAM!$D$51/12)*RATES!$N422/100</f>
        <v>74.666666666666657</v>
      </c>
      <c r="V446" s="16">
        <f t="shared" si="288"/>
        <v>-3089.6911373815688</v>
      </c>
      <c r="W446" s="15">
        <f t="shared" si="263"/>
        <v>22.170849845882874</v>
      </c>
      <c r="X446" s="75">
        <f>W446*(1-PARAM!$C$27)*$I$8+(MOD($B446,60)=PARAM!$B$56)*($B446&gt;(60-PARAM!$B$56))*HLOOKUP(($B446+PARAM!$B$56)/12,Loyalty,2)*$F$1*MAX(Z445,0)</f>
        <v>18.557001321003963</v>
      </c>
      <c r="Y446" s="75">
        <f>PARAM!$C$26+MAX($G$8-CHOOSE(PARAM!$B$44,MAX(0,Z445*$F$1),0),0)*RATES!$L422/12+$H$8*(PARAM!$D$51/12)*RATES!$N422/100</f>
        <v>74.666666666666657</v>
      </c>
      <c r="Z446" s="16">
        <f t="shared" si="289"/>
        <v>-3089.6911373815688</v>
      </c>
      <c r="AA446" s="15">
        <f t="shared" si="264"/>
        <v>22.170849845882874</v>
      </c>
      <c r="AB446" s="75">
        <f>AA446*(1-PARAM!$C$27)*$I$9+(MOD($B446,60)=PARAM!$B$56)*($B446&gt;(60-PARAM!$B$56))*HLOOKUP(($B446+PARAM!$B$56)/12,Loyalty,2)*$F$1*MAX(AD445,0)</f>
        <v>18.557001321003963</v>
      </c>
      <c r="AC446" s="75">
        <f>PARAM!$C$26+MAX($G$9-CHOOSE(PARAM!$B$44,MAX(0,AD445*$F$1),0),0)*RATES!$L422/12+$H$9*(PARAM!$D$51/12)*RATES!$N422/100</f>
        <v>74.666666666666657</v>
      </c>
      <c r="AD446" s="16">
        <f t="shared" si="290"/>
        <v>-3089.6911373815688</v>
      </c>
      <c r="AE446" s="15">
        <f t="shared" si="265"/>
        <v>22.170849845882874</v>
      </c>
      <c r="AF446" s="75">
        <f>AE446*(1-PARAM!$C$27)*$I$10+(MOD($B446,60)=PARAM!$B$56)*($B446&gt;(60-PARAM!$B$56))*HLOOKUP(($B446+PARAM!$B$56)/12,Loyalty,2)*$F$1*MAX(AH445,0)</f>
        <v>18.557001321003963</v>
      </c>
      <c r="AG446" s="75">
        <f>PARAM!$C$26+MAX($G$10-CHOOSE(PARAM!$B$44,MAX(0,AH445*$F$1),0),0)*RATES!$L422/12+$H$10*(PARAM!$D$51/12)*RATES!$N422/100</f>
        <v>74.666666666666657</v>
      </c>
      <c r="AH446" s="16">
        <f t="shared" si="291"/>
        <v>-3089.6911373815688</v>
      </c>
      <c r="AI446" s="15">
        <f t="shared" si="266"/>
        <v>22.170849845882874</v>
      </c>
      <c r="AJ446" s="75">
        <f>AI446*(1-PARAM!$C$27)*$I$11+(MOD($B446,60)=PARAM!$B$56)*($B446&gt;(60-PARAM!$B$56))*HLOOKUP(($B446+PARAM!$B$56)/12,Loyalty,2)*$F$1*MAX(AL445,0)</f>
        <v>18.557001321003963</v>
      </c>
      <c r="AK446" s="75">
        <f>PARAM!$C$26+MAX($G$11-CHOOSE(PARAM!$B$44,MAX(0,AL445*$F$1),0),0)*RATES!$L422/12+$H$11*(PARAM!$D$51/12)*RATES!$N422/100</f>
        <v>74.666666666666657</v>
      </c>
      <c r="AL446" s="16">
        <f t="shared" si="292"/>
        <v>-3089.6911373815688</v>
      </c>
      <c r="AM446" s="15">
        <f t="shared" si="267"/>
        <v>22.170849845882874</v>
      </c>
      <c r="AN446" s="75">
        <f>AM446*(1-PARAM!$C$27)*$I$12+(MOD($B446,60)=PARAM!$B$56)*($B446&gt;(60-PARAM!$B$56))*HLOOKUP(($B446+PARAM!$B$56)/12,Loyalty,2)*$F$1*MAX(AP445,0)</f>
        <v>18.557001321003963</v>
      </c>
      <c r="AO446" s="75">
        <f>PARAM!$C$26+MAX($G$12-CHOOSE(PARAM!$B$44,MAX(0,AP445*$F$1),0),0)*RATES!$L422/12+$H$12*(PARAM!$D$51/12)*RATES!$N422/100</f>
        <v>74.666666666666657</v>
      </c>
      <c r="AP446" s="16">
        <f t="shared" si="293"/>
        <v>-3089.6911373815688</v>
      </c>
      <c r="AQ446" s="15">
        <f t="shared" si="268"/>
        <v>22.170849845882874</v>
      </c>
      <c r="AR446" s="75">
        <f>AQ446*(1-PARAM!$C$27)*$I$13+(MOD($B446,60)=PARAM!$B$56)*($B446&gt;(60-PARAM!$B$56))*HLOOKUP(($B446+PARAM!$B$56)/12,Loyalty,2)*$F$1*MAX(AT445,0)</f>
        <v>18.557001321003963</v>
      </c>
      <c r="AS446" s="75">
        <f>PARAM!$C$26+MAX($G$13-CHOOSE(PARAM!$B$44,MAX(0,AT445*$F$1),0),0)*RATES!$L422/12+$H$13*(PARAM!$D$51/12)*RATES!$N422/100</f>
        <v>74.666666666666657</v>
      </c>
      <c r="AT446" s="16">
        <f t="shared" si="294"/>
        <v>-3089.6911373815688</v>
      </c>
      <c r="AU446" s="15">
        <f t="shared" si="269"/>
        <v>22.170849845882874</v>
      </c>
      <c r="AV446" s="75">
        <f>AU446*(1-PARAM!$C$27)*$I$14+(MOD($B446,60)=PARAM!$B$56)*($B446&gt;(60-PARAM!$B$56))*HLOOKUP(($B446+PARAM!$B$56)/12,Loyalty,2)*$F$1*MAX(AX445,0)</f>
        <v>18.557001321003963</v>
      </c>
      <c r="AW446" s="75">
        <f>PARAM!$C$26+MAX($G$14-CHOOSE(PARAM!$B$44,MAX(0,AX445*$F$1),0),0)*RATES!$L422/12+$H$14*(PARAM!$D$51/12)*RATES!$N422/100</f>
        <v>74.666666666666657</v>
      </c>
      <c r="AX446" s="16">
        <f t="shared" si="295"/>
        <v>-3089.6911373815688</v>
      </c>
      <c r="AY446" s="15">
        <f t="shared" si="270"/>
        <v>22.170849845882874</v>
      </c>
      <c r="AZ446" s="75">
        <f>AY446*(1-PARAM!$C$27)*$I$15+(MOD($B446,60)=PARAM!$B$56)*($B446&gt;(60-PARAM!$B$56))*HLOOKUP(($B446+PARAM!$B$56)/12,Loyalty,2)*$F$1*MAX(BB445,0)</f>
        <v>18.557001321003963</v>
      </c>
      <c r="BA446" s="75">
        <f>PARAM!$C$26+MAX($G$15-CHOOSE(PARAM!$B$44,MAX(0,BB445*$F$1),0),0)*RATES!$L422/12+$H$15*(PARAM!$D$51/12)*RATES!$N422/100</f>
        <v>74.666666666666657</v>
      </c>
      <c r="BB446" s="16">
        <f t="shared" si="296"/>
        <v>-3089.6911373815688</v>
      </c>
      <c r="BC446" s="15">
        <f t="shared" si="271"/>
        <v>22.170849845882874</v>
      </c>
      <c r="BD446" s="75">
        <f>BC446*(1-PARAM!$C$27)*$I$16+(MOD($B446,60)=PARAM!$B$56)*($B446&gt;(60-PARAM!$B$56))*HLOOKUP(($B446+PARAM!$B$56)/12,Loyalty,2)*$F$1*MAX(BF445,0)</f>
        <v>18.557001321003963</v>
      </c>
      <c r="BE446" s="75">
        <f>PARAM!$C$26+MAX($G$16-CHOOSE(PARAM!$B$44,MAX(0,BF445*$F$1),0),0)*RATES!$L422/12+$H$16*(PARAM!$D$51/12)*RATES!$N422/100</f>
        <v>74.666666666666657</v>
      </c>
      <c r="BF446" s="16">
        <f t="shared" si="297"/>
        <v>-3089.6911373815688</v>
      </c>
      <c r="BG446" s="15">
        <f t="shared" si="272"/>
        <v>22.170849845882874</v>
      </c>
      <c r="BH446" s="75">
        <f>BG446*(1-PARAM!$C$27)*$I$17+(MOD($B446,60)=PARAM!$B$56)*($B446&gt;(60-PARAM!$B$56))*HLOOKUP(($B446+PARAM!$B$56)/12,Loyalty,2)*$F$1*MAX(BJ445,0)</f>
        <v>18.557001321003963</v>
      </c>
      <c r="BI446" s="75">
        <f>PARAM!$C$26+MAX($G$17-CHOOSE(PARAM!$B$44,MAX(0,BJ445*$F$1),0),0)*RATES!$L422/12+$H$17*(PARAM!$D$51/12)*RATES!$N422/100</f>
        <v>74.666666666666657</v>
      </c>
      <c r="BJ446" s="16">
        <f t="shared" si="298"/>
        <v>-3089.6911373815688</v>
      </c>
      <c r="BK446" s="15">
        <f t="shared" si="273"/>
        <v>22.170849845882874</v>
      </c>
      <c r="BL446" s="75">
        <f>BK446*(1-PARAM!$C$27)*$I$18+(MOD($B446,60)=PARAM!$B$56)*($B446&gt;(60-PARAM!$B$56))*HLOOKUP(($B446+PARAM!$B$56)/12,Loyalty,2)*$F$1*MAX(BN445,0)</f>
        <v>18.557001321003963</v>
      </c>
      <c r="BM446" s="75">
        <f>PARAM!$C$26+MAX($G$18-CHOOSE(PARAM!$B$44,MAX(0,BN445*$F$1),0),0)*RATES!$L422/12+$H$18*(PARAM!$D$51/12)*RATES!$N422/100</f>
        <v>74.666666666666657</v>
      </c>
      <c r="BN446" s="16">
        <f t="shared" si="299"/>
        <v>-3089.6911373815688</v>
      </c>
      <c r="BO446" s="15">
        <f t="shared" si="274"/>
        <v>22.170849845882874</v>
      </c>
      <c r="BP446" s="75">
        <f>BO446*(1-PARAM!$C$27)*$I$19+(MOD($B446,60)=PARAM!$B$56)*($B446&gt;(60-PARAM!$B$56))*HLOOKUP(($B446+PARAM!$B$56)/12,Loyalty,2)*$F$1*MAX(BR445,0)</f>
        <v>18.557001321003963</v>
      </c>
      <c r="BQ446" s="75">
        <f>PARAM!$C$26+MAX($G$19-CHOOSE(PARAM!$B$44,MAX(0,BR445*$F$1),0),0)*RATES!$L422/12+$H$19*(PARAM!$D$51/12)*RATES!$N422/100</f>
        <v>74.666666666666657</v>
      </c>
      <c r="BR446" s="16">
        <f t="shared" si="300"/>
        <v>-3089.6911373815688</v>
      </c>
      <c r="BS446" s="15">
        <f t="shared" si="275"/>
        <v>22.170849845882874</v>
      </c>
      <c r="BT446" s="75">
        <f>BS446*(1-PARAM!$C$27)*$I$20+(MOD($B446,60)=PARAM!$B$56)*($B446&gt;(60-PARAM!$B$56))*HLOOKUP(($B446+PARAM!$B$56)/12,Loyalty,2)*$F$1*MAX(BV445,0)</f>
        <v>18.557001321003963</v>
      </c>
      <c r="BU446" s="75">
        <f>PARAM!$C$26+MAX($G$20-CHOOSE(PARAM!$B$44,MAX(0,BV445*$F$1),0),0)*RATES!$L422/12+$H$20*(PARAM!$D$51/12)*RATES!$N422/100</f>
        <v>74.666666666666657</v>
      </c>
      <c r="BV446" s="16">
        <f t="shared" si="301"/>
        <v>-3089.6911373815688</v>
      </c>
      <c r="BW446" s="15">
        <f t="shared" si="276"/>
        <v>22.170849845882874</v>
      </c>
      <c r="BX446" s="75">
        <f>BW446*(1-PARAM!$C$27)*$I$21+(MOD($B446,60)=PARAM!$B$56)*($B446&gt;(60-PARAM!$B$56))*HLOOKUP(($B446+PARAM!$B$56)/12,Loyalty,2)*$F$1*MAX(BZ445,0)</f>
        <v>18.557001321003963</v>
      </c>
      <c r="BY446" s="75">
        <f>PARAM!$C$26+MAX($G$21-CHOOSE(PARAM!$B$44,MAX(0,BZ445*$F$1),0),0)*RATES!$L422/12+$H$21*(PARAM!$D$51/12)*RATES!$N422/100</f>
        <v>74.666666666666657</v>
      </c>
      <c r="BZ446" s="16">
        <f t="shared" si="302"/>
        <v>-3089.6911373815688</v>
      </c>
      <c r="CA446" s="15">
        <f t="shared" si="277"/>
        <v>22.170849845882874</v>
      </c>
      <c r="CB446" s="75">
        <f>CA446*(1-PARAM!$C$27)*$I$22+(MOD($B446,60)=PARAM!$B$56)*($B446&gt;(60-PARAM!$B$56))*HLOOKUP(($B446+PARAM!$B$56)/12,Loyalty,2)*$F$1*MAX(CD445,0)</f>
        <v>18.557001321003963</v>
      </c>
      <c r="CC446" s="75">
        <f>PARAM!$C$26+MAX($G$22-CHOOSE(PARAM!$B$44,MAX(0,CD445*$F$1),0),0)*RATES!$L422/12+$H$22*(PARAM!$D$51/12)*RATES!$N422/100</f>
        <v>74.666666666666657</v>
      </c>
      <c r="CD446" s="16">
        <f t="shared" si="303"/>
        <v>-3089.6911373815688</v>
      </c>
      <c r="CE446" s="33">
        <f>IF(0=MOD(B446,12/PARAM!$D$51),1,0)</f>
        <v>1</v>
      </c>
      <c r="CF446" s="15">
        <f t="shared" si="278"/>
        <v>0</v>
      </c>
      <c r="CG446" s="75">
        <f>CF446*(1-PARAM!$C$27)*$R$3+(MOD($B446/12,5)=0)*($B446&gt;60)*HLOOKUP($B446/12,Loyalty,2)*$F$1*MAX(CI445,0)</f>
        <v>0</v>
      </c>
      <c r="CH446" s="75">
        <f>PARAM!$C$26+MAX($P$3-CHOOSE(PARAM!$B$44,MAX(0,CI445*$F$1),0),0)*RATES!$L422/12+$Q$3*(PARAM!$D$51/12)*RATES!$N422/100</f>
        <v>74.666666666666657</v>
      </c>
      <c r="CI446" s="16">
        <f>IF(CI445&gt;0,CI445*PARAM!$C$53,CI445)+CG446-CH446</f>
        <v>-10745.499999999991</v>
      </c>
      <c r="CJ446" s="15">
        <f t="shared" si="304"/>
        <v>0</v>
      </c>
      <c r="CK446" s="75">
        <f>CJ446*(1-PARAM!$C$27)*$R$4+(MOD($B446/12,5)=0)*($B446&gt;60)*HLOOKUP($B446/12,Loyalty,2)*$F$1*MAX(CM445,0)</f>
        <v>0</v>
      </c>
      <c r="CL446" s="75">
        <f>PARAM!$C$26+MAX($P$4-CHOOSE(PARAM!$B$44,MAX(0,CM445*$F$1),0),0)*RATES!$L422/12+$Q$4*(PARAM!$D$51/12)*RATES!$N422/100</f>
        <v>74.666666666666657</v>
      </c>
      <c r="CM446" s="16">
        <f>IF(CM445&gt;0,CM445*PARAM!$C$53,CM445)+CK446-CL446</f>
        <v>-10745.499999999991</v>
      </c>
      <c r="CO446" s="176"/>
    </row>
    <row r="447" spans="1:93" x14ac:dyDescent="0.2">
      <c r="A447" t="b">
        <f t="shared" si="279"/>
        <v>0</v>
      </c>
      <c r="B447" s="33">
        <v>420</v>
      </c>
      <c r="C447" s="15">
        <f t="shared" si="280"/>
        <v>20.081305947392778</v>
      </c>
      <c r="D447" s="75">
        <f>C447*(1-PARAM!$C$27)*$I$3+(MOD($B447,60)=PARAM!$B$56)*($B447&gt;(60-PARAM!$B$56))*HLOOKUP(($B447+PARAM!$B$56)/12,Loyalty,2)*$F$1*MAX(F446,0)</f>
        <v>16.808053077967756</v>
      </c>
      <c r="E447" s="75">
        <f>PARAM!$C$26+MAX($G$3-CHOOSE(PARAM!$B$44,MAX(0,F446*$F$1),0),0)*RATES!$L423/12+$H$3*(PARAM!$D$51/12)*RATES!$N423/100</f>
        <v>74.666666666666657</v>
      </c>
      <c r="F447" s="16">
        <f t="shared" si="281"/>
        <v>-3917.2095653239512</v>
      </c>
      <c r="G447" s="15">
        <f t="shared" si="282"/>
        <v>22.035289406060361</v>
      </c>
      <c r="H447" s="75">
        <f>G447*(1-PARAM!$C$27)*$I$4+(MOD($B447,60)=PARAM!$B$56)*($B447&gt;(60-PARAM!$B$56))*HLOOKUP(($B447+PARAM!$B$56)/12,Loyalty,2)*$F$1*MAX(J446,0)</f>
        <v>18.443537232872522</v>
      </c>
      <c r="I447" s="75">
        <f>PARAM!$C$26+MAX($G$4-CHOOSE(PARAM!$B$44,MAX(0,J446*$F$1),0),0)*RATES!$L423/12+$H$4*(PARAM!$D$51/12)*RATES!$N423/100</f>
        <v>74.666666666666657</v>
      </c>
      <c r="J447" s="16">
        <f t="shared" si="283"/>
        <v>-3196.4732561422306</v>
      </c>
      <c r="K447" s="15">
        <f t="shared" si="284"/>
        <v>22.170849845882874</v>
      </c>
      <c r="L447" s="75">
        <f>K447*(1-PARAM!$C$27)*$I$5+(MOD($B447,60)=PARAM!$B$56)*($B447&gt;(60-PARAM!$B$56))*HLOOKUP(($B447+PARAM!$B$56)/12,Loyalty,2)*$F$1*MAX(N446,0)</f>
        <v>18.557001321003963</v>
      </c>
      <c r="M447" s="75">
        <f>PARAM!$C$26+MAX($G$5-CHOOSE(PARAM!$B$44,MAX(0,N446*$F$1),0),0)*RATES!$L423/12+$H$5*(PARAM!$D$51/12)*RATES!$N423/100</f>
        <v>74.666666666666657</v>
      </c>
      <c r="N447" s="16">
        <f t="shared" si="285"/>
        <v>-3145.8008027272313</v>
      </c>
      <c r="O447" s="15">
        <f t="shared" si="286"/>
        <v>22.170849845882874</v>
      </c>
      <c r="P447" s="75">
        <f>O447*(1-PARAM!$C$27)*$I$6+(MOD($B447,60)=PARAM!$B$56)*($B447&gt;(60-PARAM!$B$56))*HLOOKUP(($B447+PARAM!$B$56)/12,Loyalty,2)*$F$1*MAX(R446,0)</f>
        <v>18.557001321003963</v>
      </c>
      <c r="Q447" s="75">
        <f>PARAM!$C$26+MAX($G$6-CHOOSE(PARAM!$B$44,MAX(0,R446*$F$1),0),0)*RATES!$L423/12+$H$6*(PARAM!$D$51/12)*RATES!$N423/100</f>
        <v>74.666666666666657</v>
      </c>
      <c r="R447" s="16">
        <f t="shared" si="287"/>
        <v>-3145.8008027272313</v>
      </c>
      <c r="S447" s="15">
        <f t="shared" si="262"/>
        <v>22.170849845882874</v>
      </c>
      <c r="T447" s="75">
        <f>S447*(1-PARAM!$C$27)*$I$7+(MOD($B447,60)=PARAM!$B$56)*($B447&gt;(60-PARAM!$B$56))*HLOOKUP(($B447+PARAM!$B$56)/12,Loyalty,2)*$F$1*MAX(V446,0)</f>
        <v>18.557001321003963</v>
      </c>
      <c r="U447" s="75">
        <f>PARAM!$C$26+MAX($G$7-CHOOSE(PARAM!$B$44,MAX(0,V446*$F$1),0),0)*RATES!$L423/12+$H$7*(PARAM!$D$51/12)*RATES!$N423/100</f>
        <v>74.666666666666657</v>
      </c>
      <c r="V447" s="16">
        <f t="shared" si="288"/>
        <v>-3145.8008027272313</v>
      </c>
      <c r="W447" s="15">
        <f t="shared" si="263"/>
        <v>22.170849845882874</v>
      </c>
      <c r="X447" s="75">
        <f>W447*(1-PARAM!$C$27)*$I$8+(MOD($B447,60)=PARAM!$B$56)*($B447&gt;(60-PARAM!$B$56))*HLOOKUP(($B447+PARAM!$B$56)/12,Loyalty,2)*$F$1*MAX(Z446,0)</f>
        <v>18.557001321003963</v>
      </c>
      <c r="Y447" s="75">
        <f>PARAM!$C$26+MAX($G$8-CHOOSE(PARAM!$B$44,MAX(0,Z446*$F$1),0),0)*RATES!$L423/12+$H$8*(PARAM!$D$51/12)*RATES!$N423/100</f>
        <v>74.666666666666657</v>
      </c>
      <c r="Z447" s="16">
        <f t="shared" si="289"/>
        <v>-3145.8008027272313</v>
      </c>
      <c r="AA447" s="15">
        <f t="shared" si="264"/>
        <v>22.170849845882874</v>
      </c>
      <c r="AB447" s="75">
        <f>AA447*(1-PARAM!$C$27)*$I$9+(MOD($B447,60)=PARAM!$B$56)*($B447&gt;(60-PARAM!$B$56))*HLOOKUP(($B447+PARAM!$B$56)/12,Loyalty,2)*$F$1*MAX(AD446,0)</f>
        <v>18.557001321003963</v>
      </c>
      <c r="AC447" s="75">
        <f>PARAM!$C$26+MAX($G$9-CHOOSE(PARAM!$B$44,MAX(0,AD446*$F$1),0),0)*RATES!$L423/12+$H$9*(PARAM!$D$51/12)*RATES!$N423/100</f>
        <v>74.666666666666657</v>
      </c>
      <c r="AD447" s="16">
        <f t="shared" si="290"/>
        <v>-3145.8008027272313</v>
      </c>
      <c r="AE447" s="15">
        <f t="shared" si="265"/>
        <v>22.170849845882874</v>
      </c>
      <c r="AF447" s="75">
        <f>AE447*(1-PARAM!$C$27)*$I$10+(MOD($B447,60)=PARAM!$B$56)*($B447&gt;(60-PARAM!$B$56))*HLOOKUP(($B447+PARAM!$B$56)/12,Loyalty,2)*$F$1*MAX(AH446,0)</f>
        <v>18.557001321003963</v>
      </c>
      <c r="AG447" s="75">
        <f>PARAM!$C$26+MAX($G$10-CHOOSE(PARAM!$B$44,MAX(0,AH446*$F$1),0),0)*RATES!$L423/12+$H$10*(PARAM!$D$51/12)*RATES!$N423/100</f>
        <v>74.666666666666657</v>
      </c>
      <c r="AH447" s="16">
        <f t="shared" si="291"/>
        <v>-3145.8008027272313</v>
      </c>
      <c r="AI447" s="15">
        <f t="shared" si="266"/>
        <v>22.170849845882874</v>
      </c>
      <c r="AJ447" s="75">
        <f>AI447*(1-PARAM!$C$27)*$I$11+(MOD($B447,60)=PARAM!$B$56)*($B447&gt;(60-PARAM!$B$56))*HLOOKUP(($B447+PARAM!$B$56)/12,Loyalty,2)*$F$1*MAX(AL446,0)</f>
        <v>18.557001321003963</v>
      </c>
      <c r="AK447" s="75">
        <f>PARAM!$C$26+MAX($G$11-CHOOSE(PARAM!$B$44,MAX(0,AL446*$F$1),0),0)*RATES!$L423/12+$H$11*(PARAM!$D$51/12)*RATES!$N423/100</f>
        <v>74.666666666666657</v>
      </c>
      <c r="AL447" s="16">
        <f t="shared" si="292"/>
        <v>-3145.8008027272313</v>
      </c>
      <c r="AM447" s="15">
        <f t="shared" si="267"/>
        <v>22.170849845882874</v>
      </c>
      <c r="AN447" s="75">
        <f>AM447*(1-PARAM!$C$27)*$I$12+(MOD($B447,60)=PARAM!$B$56)*($B447&gt;(60-PARAM!$B$56))*HLOOKUP(($B447+PARAM!$B$56)/12,Loyalty,2)*$F$1*MAX(AP446,0)</f>
        <v>18.557001321003963</v>
      </c>
      <c r="AO447" s="75">
        <f>PARAM!$C$26+MAX($G$12-CHOOSE(PARAM!$B$44,MAX(0,AP446*$F$1),0),0)*RATES!$L423/12+$H$12*(PARAM!$D$51/12)*RATES!$N423/100</f>
        <v>74.666666666666657</v>
      </c>
      <c r="AP447" s="16">
        <f t="shared" si="293"/>
        <v>-3145.8008027272313</v>
      </c>
      <c r="AQ447" s="15">
        <f t="shared" si="268"/>
        <v>22.170849845882874</v>
      </c>
      <c r="AR447" s="75">
        <f>AQ447*(1-PARAM!$C$27)*$I$13+(MOD($B447,60)=PARAM!$B$56)*($B447&gt;(60-PARAM!$B$56))*HLOOKUP(($B447+PARAM!$B$56)/12,Loyalty,2)*$F$1*MAX(AT446,0)</f>
        <v>18.557001321003963</v>
      </c>
      <c r="AS447" s="75">
        <f>PARAM!$C$26+MAX($G$13-CHOOSE(PARAM!$B$44,MAX(0,AT446*$F$1),0),0)*RATES!$L423/12+$H$13*(PARAM!$D$51/12)*RATES!$N423/100</f>
        <v>74.666666666666657</v>
      </c>
      <c r="AT447" s="16">
        <f t="shared" si="294"/>
        <v>-3145.8008027272313</v>
      </c>
      <c r="AU447" s="15">
        <f t="shared" si="269"/>
        <v>22.170849845882874</v>
      </c>
      <c r="AV447" s="75">
        <f>AU447*(1-PARAM!$C$27)*$I$14+(MOD($B447,60)=PARAM!$B$56)*($B447&gt;(60-PARAM!$B$56))*HLOOKUP(($B447+PARAM!$B$56)/12,Loyalty,2)*$F$1*MAX(AX446,0)</f>
        <v>18.557001321003963</v>
      </c>
      <c r="AW447" s="75">
        <f>PARAM!$C$26+MAX($G$14-CHOOSE(PARAM!$B$44,MAX(0,AX446*$F$1),0),0)*RATES!$L423/12+$H$14*(PARAM!$D$51/12)*RATES!$N423/100</f>
        <v>74.666666666666657</v>
      </c>
      <c r="AX447" s="16">
        <f t="shared" si="295"/>
        <v>-3145.8008027272313</v>
      </c>
      <c r="AY447" s="15">
        <f t="shared" si="270"/>
        <v>22.170849845882874</v>
      </c>
      <c r="AZ447" s="75">
        <f>AY447*(1-PARAM!$C$27)*$I$15+(MOD($B447,60)=PARAM!$B$56)*($B447&gt;(60-PARAM!$B$56))*HLOOKUP(($B447+PARAM!$B$56)/12,Loyalty,2)*$F$1*MAX(BB446,0)</f>
        <v>18.557001321003963</v>
      </c>
      <c r="BA447" s="75">
        <f>PARAM!$C$26+MAX($G$15-CHOOSE(PARAM!$B$44,MAX(0,BB446*$F$1),0),0)*RATES!$L423/12+$H$15*(PARAM!$D$51/12)*RATES!$N423/100</f>
        <v>74.666666666666657</v>
      </c>
      <c r="BB447" s="16">
        <f t="shared" si="296"/>
        <v>-3145.8008027272313</v>
      </c>
      <c r="BC447" s="15">
        <f t="shared" si="271"/>
        <v>22.170849845882874</v>
      </c>
      <c r="BD447" s="75">
        <f>BC447*(1-PARAM!$C$27)*$I$16+(MOD($B447,60)=PARAM!$B$56)*($B447&gt;(60-PARAM!$B$56))*HLOOKUP(($B447+PARAM!$B$56)/12,Loyalty,2)*$F$1*MAX(BF446,0)</f>
        <v>18.557001321003963</v>
      </c>
      <c r="BE447" s="75">
        <f>PARAM!$C$26+MAX($G$16-CHOOSE(PARAM!$B$44,MAX(0,BF446*$F$1),0),0)*RATES!$L423/12+$H$16*(PARAM!$D$51/12)*RATES!$N423/100</f>
        <v>74.666666666666657</v>
      </c>
      <c r="BF447" s="16">
        <f t="shared" si="297"/>
        <v>-3145.8008027272313</v>
      </c>
      <c r="BG447" s="15">
        <f t="shared" si="272"/>
        <v>22.170849845882874</v>
      </c>
      <c r="BH447" s="75">
        <f>BG447*(1-PARAM!$C$27)*$I$17+(MOD($B447,60)=PARAM!$B$56)*($B447&gt;(60-PARAM!$B$56))*HLOOKUP(($B447+PARAM!$B$56)/12,Loyalty,2)*$F$1*MAX(BJ446,0)</f>
        <v>18.557001321003963</v>
      </c>
      <c r="BI447" s="75">
        <f>PARAM!$C$26+MAX($G$17-CHOOSE(PARAM!$B$44,MAX(0,BJ446*$F$1),0),0)*RATES!$L423/12+$H$17*(PARAM!$D$51/12)*RATES!$N423/100</f>
        <v>74.666666666666657</v>
      </c>
      <c r="BJ447" s="16">
        <f t="shared" si="298"/>
        <v>-3145.8008027272313</v>
      </c>
      <c r="BK447" s="15">
        <f t="shared" si="273"/>
        <v>22.170849845882874</v>
      </c>
      <c r="BL447" s="75">
        <f>BK447*(1-PARAM!$C$27)*$I$18+(MOD($B447,60)=PARAM!$B$56)*($B447&gt;(60-PARAM!$B$56))*HLOOKUP(($B447+PARAM!$B$56)/12,Loyalty,2)*$F$1*MAX(BN446,0)</f>
        <v>18.557001321003963</v>
      </c>
      <c r="BM447" s="75">
        <f>PARAM!$C$26+MAX($G$18-CHOOSE(PARAM!$B$44,MAX(0,BN446*$F$1),0),0)*RATES!$L423/12+$H$18*(PARAM!$D$51/12)*RATES!$N423/100</f>
        <v>74.666666666666657</v>
      </c>
      <c r="BN447" s="16">
        <f t="shared" si="299"/>
        <v>-3145.8008027272313</v>
      </c>
      <c r="BO447" s="15">
        <f t="shared" si="274"/>
        <v>22.170849845882874</v>
      </c>
      <c r="BP447" s="75">
        <f>BO447*(1-PARAM!$C$27)*$I$19+(MOD($B447,60)=PARAM!$B$56)*($B447&gt;(60-PARAM!$B$56))*HLOOKUP(($B447+PARAM!$B$56)/12,Loyalty,2)*$F$1*MAX(BR446,0)</f>
        <v>18.557001321003963</v>
      </c>
      <c r="BQ447" s="75">
        <f>PARAM!$C$26+MAX($G$19-CHOOSE(PARAM!$B$44,MAX(0,BR446*$F$1),0),0)*RATES!$L423/12+$H$19*(PARAM!$D$51/12)*RATES!$N423/100</f>
        <v>74.666666666666657</v>
      </c>
      <c r="BR447" s="16">
        <f t="shared" si="300"/>
        <v>-3145.8008027272313</v>
      </c>
      <c r="BS447" s="15">
        <f t="shared" si="275"/>
        <v>22.170849845882874</v>
      </c>
      <c r="BT447" s="75">
        <f>BS447*(1-PARAM!$C$27)*$I$20+(MOD($B447,60)=PARAM!$B$56)*($B447&gt;(60-PARAM!$B$56))*HLOOKUP(($B447+PARAM!$B$56)/12,Loyalty,2)*$F$1*MAX(BV446,0)</f>
        <v>18.557001321003963</v>
      </c>
      <c r="BU447" s="75">
        <f>PARAM!$C$26+MAX($G$20-CHOOSE(PARAM!$B$44,MAX(0,BV446*$F$1),0),0)*RATES!$L423/12+$H$20*(PARAM!$D$51/12)*RATES!$N423/100</f>
        <v>74.666666666666657</v>
      </c>
      <c r="BV447" s="16">
        <f t="shared" si="301"/>
        <v>-3145.8008027272313</v>
      </c>
      <c r="BW447" s="15">
        <f t="shared" si="276"/>
        <v>22.170849845882874</v>
      </c>
      <c r="BX447" s="75">
        <f>BW447*(1-PARAM!$C$27)*$I$21+(MOD($B447,60)=PARAM!$B$56)*($B447&gt;(60-PARAM!$B$56))*HLOOKUP(($B447+PARAM!$B$56)/12,Loyalty,2)*$F$1*MAX(BZ446,0)</f>
        <v>18.557001321003963</v>
      </c>
      <c r="BY447" s="75">
        <f>PARAM!$C$26+MAX($G$21-CHOOSE(PARAM!$B$44,MAX(0,BZ446*$F$1),0),0)*RATES!$L423/12+$H$21*(PARAM!$D$51/12)*RATES!$N423/100</f>
        <v>74.666666666666657</v>
      </c>
      <c r="BZ447" s="16">
        <f t="shared" si="302"/>
        <v>-3145.8008027272313</v>
      </c>
      <c r="CA447" s="15">
        <f t="shared" si="277"/>
        <v>22.170849845882874</v>
      </c>
      <c r="CB447" s="75">
        <f>CA447*(1-PARAM!$C$27)*$I$22+(MOD($B447,60)=PARAM!$B$56)*($B447&gt;(60-PARAM!$B$56))*HLOOKUP(($B447+PARAM!$B$56)/12,Loyalty,2)*$F$1*MAX(CD446,0)</f>
        <v>18.557001321003963</v>
      </c>
      <c r="CC447" s="75">
        <f>PARAM!$C$26+MAX($G$22-CHOOSE(PARAM!$B$44,MAX(0,CD446*$F$1),0),0)*RATES!$L423/12+$H$22*(PARAM!$D$51/12)*RATES!$N423/100</f>
        <v>74.666666666666657</v>
      </c>
      <c r="CD447" s="16">
        <f t="shared" si="303"/>
        <v>-3145.8008027272313</v>
      </c>
      <c r="CE447" s="33">
        <f>IF(0=MOD(B447,12/PARAM!$D$51),1,0)</f>
        <v>1</v>
      </c>
      <c r="CF447" s="15">
        <f t="shared" si="278"/>
        <v>0</v>
      </c>
      <c r="CG447" s="75">
        <f>CF447*(1-PARAM!$C$27)*$R$3+(MOD($B447/12,5)=0)*($B447&gt;60)*HLOOKUP($B447/12,Loyalty,2)*$F$1*MAX(CI446,0)</f>
        <v>0</v>
      </c>
      <c r="CH447" s="75">
        <f>PARAM!$C$26+MAX($P$3-CHOOSE(PARAM!$B$44,MAX(0,CI446*$F$1),0),0)*RATES!$L423/12+$Q$3*(PARAM!$D$51/12)*RATES!$N423/100</f>
        <v>74.666666666666657</v>
      </c>
      <c r="CI447" s="16">
        <f>IF(CI446&gt;0,CI446*PARAM!$C$53,CI446)+CG447-CH447</f>
        <v>-10820.166666666657</v>
      </c>
      <c r="CJ447" s="15">
        <f t="shared" si="304"/>
        <v>0</v>
      </c>
      <c r="CK447" s="75">
        <f>CJ447*(1-PARAM!$C$27)*$R$4+(MOD($B447/12,5)=0)*($B447&gt;60)*HLOOKUP($B447/12,Loyalty,2)*$F$1*MAX(CM446,0)</f>
        <v>0</v>
      </c>
      <c r="CL447" s="75">
        <f>PARAM!$C$26+MAX($P$4-CHOOSE(PARAM!$B$44,MAX(0,CM446*$F$1),0),0)*RATES!$L423/12+$Q$4*(PARAM!$D$51/12)*RATES!$N423/100</f>
        <v>74.666666666666657</v>
      </c>
      <c r="CM447" s="16">
        <f>IF(CM446&gt;0,CM446*PARAM!$C$53,CM446)+CK447-CL447</f>
        <v>-10820.166666666657</v>
      </c>
      <c r="CO447" s="176"/>
    </row>
    <row r="448" spans="1:93" x14ac:dyDescent="0.2">
      <c r="A448" t="b">
        <f t="shared" si="279"/>
        <v>0</v>
      </c>
      <c r="B448" s="33">
        <v>421</v>
      </c>
      <c r="C448" s="15">
        <f t="shared" si="280"/>
        <v>20.081305947392778</v>
      </c>
      <c r="D448" s="75">
        <f>C448*(1-PARAM!$C$27)*$I$3+(MOD($B448,60)=PARAM!$B$56)*($B448&gt;(60-PARAM!$B$56))*HLOOKUP(($B448+PARAM!$B$56)/12,Loyalty,2)*$F$1*MAX(F447,0)</f>
        <v>16.808053077967756</v>
      </c>
      <c r="E448" s="75">
        <f>PARAM!$C$26+MAX($G$3-CHOOSE(PARAM!$B$44,MAX(0,F447*$F$1),0),0)*RATES!$L424/12+$H$3*(PARAM!$D$51/12)*RATES!$N424/100</f>
        <v>74.666666666666657</v>
      </c>
      <c r="F448" s="16">
        <f t="shared" si="281"/>
        <v>-3975.0681789126502</v>
      </c>
      <c r="G448" s="15">
        <f t="shared" si="282"/>
        <v>22.035289406060361</v>
      </c>
      <c r="H448" s="75">
        <f>G448*(1-PARAM!$C$27)*$I$4+(MOD($B448,60)=PARAM!$B$56)*($B448&gt;(60-PARAM!$B$56))*HLOOKUP(($B448+PARAM!$B$56)/12,Loyalty,2)*$F$1*MAX(J447,0)</f>
        <v>18.443537232872522</v>
      </c>
      <c r="I448" s="75">
        <f>PARAM!$C$26+MAX($G$4-CHOOSE(PARAM!$B$44,MAX(0,J447*$F$1),0),0)*RATES!$L424/12+$H$4*(PARAM!$D$51/12)*RATES!$N424/100</f>
        <v>74.666666666666657</v>
      </c>
      <c r="J448" s="16">
        <f t="shared" si="283"/>
        <v>-3252.6963855760246</v>
      </c>
      <c r="K448" s="15">
        <f t="shared" si="284"/>
        <v>22.170849845882874</v>
      </c>
      <c r="L448" s="75">
        <f>K448*(1-PARAM!$C$27)*$I$5+(MOD($B448,60)=PARAM!$B$56)*($B448&gt;(60-PARAM!$B$56))*HLOOKUP(($B448+PARAM!$B$56)/12,Loyalty,2)*$F$1*MAX(N447,0)</f>
        <v>18.557001321003963</v>
      </c>
      <c r="M448" s="75">
        <f>PARAM!$C$26+MAX($G$5-CHOOSE(PARAM!$B$44,MAX(0,N447*$F$1),0),0)*RATES!$L424/12+$H$5*(PARAM!$D$51/12)*RATES!$N424/100</f>
        <v>74.666666666666657</v>
      </c>
      <c r="N448" s="16">
        <f t="shared" si="285"/>
        <v>-3201.9104680728938</v>
      </c>
      <c r="O448" s="15">
        <f t="shared" si="286"/>
        <v>22.170849845882874</v>
      </c>
      <c r="P448" s="75">
        <f>O448*(1-PARAM!$C$27)*$I$6+(MOD($B448,60)=PARAM!$B$56)*($B448&gt;(60-PARAM!$B$56))*HLOOKUP(($B448+PARAM!$B$56)/12,Loyalty,2)*$F$1*MAX(R447,0)</f>
        <v>18.557001321003963</v>
      </c>
      <c r="Q448" s="75">
        <f>PARAM!$C$26+MAX($G$6-CHOOSE(PARAM!$B$44,MAX(0,R447*$F$1),0),0)*RATES!$L424/12+$H$6*(PARAM!$D$51/12)*RATES!$N424/100</f>
        <v>74.666666666666657</v>
      </c>
      <c r="R448" s="16">
        <f t="shared" si="287"/>
        <v>-3201.9104680728938</v>
      </c>
      <c r="S448" s="15">
        <f t="shared" si="262"/>
        <v>22.170849845882874</v>
      </c>
      <c r="T448" s="75">
        <f>S448*(1-PARAM!$C$27)*$I$7+(MOD($B448,60)=PARAM!$B$56)*($B448&gt;(60-PARAM!$B$56))*HLOOKUP(($B448+PARAM!$B$56)/12,Loyalty,2)*$F$1*MAX(V447,0)</f>
        <v>18.557001321003963</v>
      </c>
      <c r="U448" s="75">
        <f>PARAM!$C$26+MAX($G$7-CHOOSE(PARAM!$B$44,MAX(0,V447*$F$1),0),0)*RATES!$L424/12+$H$7*(PARAM!$D$51/12)*RATES!$N424/100</f>
        <v>74.666666666666657</v>
      </c>
      <c r="V448" s="16">
        <f t="shared" si="288"/>
        <v>-3201.9104680728938</v>
      </c>
      <c r="W448" s="15">
        <f t="shared" si="263"/>
        <v>22.170849845882874</v>
      </c>
      <c r="X448" s="75">
        <f>W448*(1-PARAM!$C$27)*$I$8+(MOD($B448,60)=PARAM!$B$56)*($B448&gt;(60-PARAM!$B$56))*HLOOKUP(($B448+PARAM!$B$56)/12,Loyalty,2)*$F$1*MAX(Z447,0)</f>
        <v>18.557001321003963</v>
      </c>
      <c r="Y448" s="75">
        <f>PARAM!$C$26+MAX($G$8-CHOOSE(PARAM!$B$44,MAX(0,Z447*$F$1),0),0)*RATES!$L424/12+$H$8*(PARAM!$D$51/12)*RATES!$N424/100</f>
        <v>74.666666666666657</v>
      </c>
      <c r="Z448" s="16">
        <f t="shared" si="289"/>
        <v>-3201.9104680728938</v>
      </c>
      <c r="AA448" s="15">
        <f t="shared" si="264"/>
        <v>22.170849845882874</v>
      </c>
      <c r="AB448" s="75">
        <f>AA448*(1-PARAM!$C$27)*$I$9+(MOD($B448,60)=PARAM!$B$56)*($B448&gt;(60-PARAM!$B$56))*HLOOKUP(($B448+PARAM!$B$56)/12,Loyalty,2)*$F$1*MAX(AD447,0)</f>
        <v>18.557001321003963</v>
      </c>
      <c r="AC448" s="75">
        <f>PARAM!$C$26+MAX($G$9-CHOOSE(PARAM!$B$44,MAX(0,AD447*$F$1),0),0)*RATES!$L424/12+$H$9*(PARAM!$D$51/12)*RATES!$N424/100</f>
        <v>74.666666666666657</v>
      </c>
      <c r="AD448" s="16">
        <f t="shared" si="290"/>
        <v>-3201.9104680728938</v>
      </c>
      <c r="AE448" s="15">
        <f t="shared" si="265"/>
        <v>22.170849845882874</v>
      </c>
      <c r="AF448" s="75">
        <f>AE448*(1-PARAM!$C$27)*$I$10+(MOD($B448,60)=PARAM!$B$56)*($B448&gt;(60-PARAM!$B$56))*HLOOKUP(($B448+PARAM!$B$56)/12,Loyalty,2)*$F$1*MAX(AH447,0)</f>
        <v>18.557001321003963</v>
      </c>
      <c r="AG448" s="75">
        <f>PARAM!$C$26+MAX($G$10-CHOOSE(PARAM!$B$44,MAX(0,AH447*$F$1),0),0)*RATES!$L424/12+$H$10*(PARAM!$D$51/12)*RATES!$N424/100</f>
        <v>74.666666666666657</v>
      </c>
      <c r="AH448" s="16">
        <f t="shared" si="291"/>
        <v>-3201.9104680728938</v>
      </c>
      <c r="AI448" s="15">
        <f t="shared" si="266"/>
        <v>22.170849845882874</v>
      </c>
      <c r="AJ448" s="75">
        <f>AI448*(1-PARAM!$C$27)*$I$11+(MOD($B448,60)=PARAM!$B$56)*($B448&gt;(60-PARAM!$B$56))*HLOOKUP(($B448+PARAM!$B$56)/12,Loyalty,2)*$F$1*MAX(AL447,0)</f>
        <v>18.557001321003963</v>
      </c>
      <c r="AK448" s="75">
        <f>PARAM!$C$26+MAX($G$11-CHOOSE(PARAM!$B$44,MAX(0,AL447*$F$1),0),0)*RATES!$L424/12+$H$11*(PARAM!$D$51/12)*RATES!$N424/100</f>
        <v>74.666666666666657</v>
      </c>
      <c r="AL448" s="16">
        <f t="shared" si="292"/>
        <v>-3201.9104680728938</v>
      </c>
      <c r="AM448" s="15">
        <f t="shared" si="267"/>
        <v>22.170849845882874</v>
      </c>
      <c r="AN448" s="75">
        <f>AM448*(1-PARAM!$C$27)*$I$12+(MOD($B448,60)=PARAM!$B$56)*($B448&gt;(60-PARAM!$B$56))*HLOOKUP(($B448+PARAM!$B$56)/12,Loyalty,2)*$F$1*MAX(AP447,0)</f>
        <v>18.557001321003963</v>
      </c>
      <c r="AO448" s="75">
        <f>PARAM!$C$26+MAX($G$12-CHOOSE(PARAM!$B$44,MAX(0,AP447*$F$1),0),0)*RATES!$L424/12+$H$12*(PARAM!$D$51/12)*RATES!$N424/100</f>
        <v>74.666666666666657</v>
      </c>
      <c r="AP448" s="16">
        <f t="shared" si="293"/>
        <v>-3201.9104680728938</v>
      </c>
      <c r="AQ448" s="15">
        <f t="shared" si="268"/>
        <v>22.170849845882874</v>
      </c>
      <c r="AR448" s="75">
        <f>AQ448*(1-PARAM!$C$27)*$I$13+(MOD($B448,60)=PARAM!$B$56)*($B448&gt;(60-PARAM!$B$56))*HLOOKUP(($B448+PARAM!$B$56)/12,Loyalty,2)*$F$1*MAX(AT447,0)</f>
        <v>18.557001321003963</v>
      </c>
      <c r="AS448" s="75">
        <f>PARAM!$C$26+MAX($G$13-CHOOSE(PARAM!$B$44,MAX(0,AT447*$F$1),0),0)*RATES!$L424/12+$H$13*(PARAM!$D$51/12)*RATES!$N424/100</f>
        <v>74.666666666666657</v>
      </c>
      <c r="AT448" s="16">
        <f t="shared" si="294"/>
        <v>-3201.9104680728938</v>
      </c>
      <c r="AU448" s="15">
        <f t="shared" si="269"/>
        <v>22.170849845882874</v>
      </c>
      <c r="AV448" s="75">
        <f>AU448*(1-PARAM!$C$27)*$I$14+(MOD($B448,60)=PARAM!$B$56)*($B448&gt;(60-PARAM!$B$56))*HLOOKUP(($B448+PARAM!$B$56)/12,Loyalty,2)*$F$1*MAX(AX447,0)</f>
        <v>18.557001321003963</v>
      </c>
      <c r="AW448" s="75">
        <f>PARAM!$C$26+MAX($G$14-CHOOSE(PARAM!$B$44,MAX(0,AX447*$F$1),0),0)*RATES!$L424/12+$H$14*(PARAM!$D$51/12)*RATES!$N424/100</f>
        <v>74.666666666666657</v>
      </c>
      <c r="AX448" s="16">
        <f t="shared" si="295"/>
        <v>-3201.9104680728938</v>
      </c>
      <c r="AY448" s="15">
        <f t="shared" si="270"/>
        <v>22.170849845882874</v>
      </c>
      <c r="AZ448" s="75">
        <f>AY448*(1-PARAM!$C$27)*$I$15+(MOD($B448,60)=PARAM!$B$56)*($B448&gt;(60-PARAM!$B$56))*HLOOKUP(($B448+PARAM!$B$56)/12,Loyalty,2)*$F$1*MAX(BB447,0)</f>
        <v>18.557001321003963</v>
      </c>
      <c r="BA448" s="75">
        <f>PARAM!$C$26+MAX($G$15-CHOOSE(PARAM!$B$44,MAX(0,BB447*$F$1),0),0)*RATES!$L424/12+$H$15*(PARAM!$D$51/12)*RATES!$N424/100</f>
        <v>74.666666666666657</v>
      </c>
      <c r="BB448" s="16">
        <f t="shared" si="296"/>
        <v>-3201.9104680728938</v>
      </c>
      <c r="BC448" s="15">
        <f t="shared" si="271"/>
        <v>22.170849845882874</v>
      </c>
      <c r="BD448" s="75">
        <f>BC448*(1-PARAM!$C$27)*$I$16+(MOD($B448,60)=PARAM!$B$56)*($B448&gt;(60-PARAM!$B$56))*HLOOKUP(($B448+PARAM!$B$56)/12,Loyalty,2)*$F$1*MAX(BF447,0)</f>
        <v>18.557001321003963</v>
      </c>
      <c r="BE448" s="75">
        <f>PARAM!$C$26+MAX($G$16-CHOOSE(PARAM!$B$44,MAX(0,BF447*$F$1),0),0)*RATES!$L424/12+$H$16*(PARAM!$D$51/12)*RATES!$N424/100</f>
        <v>74.666666666666657</v>
      </c>
      <c r="BF448" s="16">
        <f t="shared" si="297"/>
        <v>-3201.9104680728938</v>
      </c>
      <c r="BG448" s="15">
        <f t="shared" si="272"/>
        <v>22.170849845882874</v>
      </c>
      <c r="BH448" s="75">
        <f>BG448*(1-PARAM!$C$27)*$I$17+(MOD($B448,60)=PARAM!$B$56)*($B448&gt;(60-PARAM!$B$56))*HLOOKUP(($B448+PARAM!$B$56)/12,Loyalty,2)*$F$1*MAX(BJ447,0)</f>
        <v>18.557001321003963</v>
      </c>
      <c r="BI448" s="75">
        <f>PARAM!$C$26+MAX($G$17-CHOOSE(PARAM!$B$44,MAX(0,BJ447*$F$1),0),0)*RATES!$L424/12+$H$17*(PARAM!$D$51/12)*RATES!$N424/100</f>
        <v>74.666666666666657</v>
      </c>
      <c r="BJ448" s="16">
        <f t="shared" si="298"/>
        <v>-3201.9104680728938</v>
      </c>
      <c r="BK448" s="15">
        <f t="shared" si="273"/>
        <v>22.170849845882874</v>
      </c>
      <c r="BL448" s="75">
        <f>BK448*(1-PARAM!$C$27)*$I$18+(MOD($B448,60)=PARAM!$B$56)*($B448&gt;(60-PARAM!$B$56))*HLOOKUP(($B448+PARAM!$B$56)/12,Loyalty,2)*$F$1*MAX(BN447,0)</f>
        <v>18.557001321003963</v>
      </c>
      <c r="BM448" s="75">
        <f>PARAM!$C$26+MAX($G$18-CHOOSE(PARAM!$B$44,MAX(0,BN447*$F$1),0),0)*RATES!$L424/12+$H$18*(PARAM!$D$51/12)*RATES!$N424/100</f>
        <v>74.666666666666657</v>
      </c>
      <c r="BN448" s="16">
        <f t="shared" si="299"/>
        <v>-3201.9104680728938</v>
      </c>
      <c r="BO448" s="15">
        <f t="shared" si="274"/>
        <v>22.170849845882874</v>
      </c>
      <c r="BP448" s="75">
        <f>BO448*(1-PARAM!$C$27)*$I$19+(MOD($B448,60)=PARAM!$B$56)*($B448&gt;(60-PARAM!$B$56))*HLOOKUP(($B448+PARAM!$B$56)/12,Loyalty,2)*$F$1*MAX(BR447,0)</f>
        <v>18.557001321003963</v>
      </c>
      <c r="BQ448" s="75">
        <f>PARAM!$C$26+MAX($G$19-CHOOSE(PARAM!$B$44,MAX(0,BR447*$F$1),0),0)*RATES!$L424/12+$H$19*(PARAM!$D$51/12)*RATES!$N424/100</f>
        <v>74.666666666666657</v>
      </c>
      <c r="BR448" s="16">
        <f t="shared" si="300"/>
        <v>-3201.9104680728938</v>
      </c>
      <c r="BS448" s="15">
        <f t="shared" si="275"/>
        <v>22.170849845882874</v>
      </c>
      <c r="BT448" s="75">
        <f>BS448*(1-PARAM!$C$27)*$I$20+(MOD($B448,60)=PARAM!$B$56)*($B448&gt;(60-PARAM!$B$56))*HLOOKUP(($B448+PARAM!$B$56)/12,Loyalty,2)*$F$1*MAX(BV447,0)</f>
        <v>18.557001321003963</v>
      </c>
      <c r="BU448" s="75">
        <f>PARAM!$C$26+MAX($G$20-CHOOSE(PARAM!$B$44,MAX(0,BV447*$F$1),0),0)*RATES!$L424/12+$H$20*(PARAM!$D$51/12)*RATES!$N424/100</f>
        <v>74.666666666666657</v>
      </c>
      <c r="BV448" s="16">
        <f t="shared" si="301"/>
        <v>-3201.9104680728938</v>
      </c>
      <c r="BW448" s="15">
        <f t="shared" si="276"/>
        <v>22.170849845882874</v>
      </c>
      <c r="BX448" s="75">
        <f>BW448*(1-PARAM!$C$27)*$I$21+(MOD($B448,60)=PARAM!$B$56)*($B448&gt;(60-PARAM!$B$56))*HLOOKUP(($B448+PARAM!$B$56)/12,Loyalty,2)*$F$1*MAX(BZ447,0)</f>
        <v>18.557001321003963</v>
      </c>
      <c r="BY448" s="75">
        <f>PARAM!$C$26+MAX($G$21-CHOOSE(PARAM!$B$44,MAX(0,BZ447*$F$1),0),0)*RATES!$L424/12+$H$21*(PARAM!$D$51/12)*RATES!$N424/100</f>
        <v>74.666666666666657</v>
      </c>
      <c r="BZ448" s="16">
        <f t="shared" si="302"/>
        <v>-3201.9104680728938</v>
      </c>
      <c r="CA448" s="15">
        <f t="shared" si="277"/>
        <v>22.170849845882874</v>
      </c>
      <c r="CB448" s="75">
        <f>CA448*(1-PARAM!$C$27)*$I$22+(MOD($B448,60)=PARAM!$B$56)*($B448&gt;(60-PARAM!$B$56))*HLOOKUP(($B448+PARAM!$B$56)/12,Loyalty,2)*$F$1*MAX(CD447,0)</f>
        <v>18.557001321003963</v>
      </c>
      <c r="CC448" s="75">
        <f>PARAM!$C$26+MAX($G$22-CHOOSE(PARAM!$B$44,MAX(0,CD447*$F$1),0),0)*RATES!$L424/12+$H$22*(PARAM!$D$51/12)*RATES!$N424/100</f>
        <v>74.666666666666657</v>
      </c>
      <c r="CD448" s="16">
        <f t="shared" si="303"/>
        <v>-3201.9104680728938</v>
      </c>
      <c r="CE448" s="33">
        <f>IF(0=MOD(B448,12/PARAM!$D$51),1,0)</f>
        <v>1</v>
      </c>
      <c r="CF448" s="15">
        <f t="shared" si="278"/>
        <v>0</v>
      </c>
      <c r="CG448" s="75">
        <f>CF448*(1-PARAM!$C$27)*$R$3+(MOD($B448/12,5)=0)*($B448&gt;60)*HLOOKUP($B448/12,Loyalty,2)*$F$1*MAX(CI447,0)</f>
        <v>0</v>
      </c>
      <c r="CH448" s="75">
        <f>PARAM!$C$26+MAX($P$3-CHOOSE(PARAM!$B$44,MAX(0,CI447*$F$1),0),0)*RATES!$L424/12+$Q$3*(PARAM!$D$51/12)*RATES!$N424/100</f>
        <v>74.666666666666657</v>
      </c>
      <c r="CI448" s="16">
        <f>IF(CI447&gt;0,CI447*PARAM!$C$53,CI447)+CG448-CH448</f>
        <v>-10894.833333333323</v>
      </c>
      <c r="CJ448" s="15">
        <f t="shared" si="304"/>
        <v>0</v>
      </c>
      <c r="CK448" s="75">
        <f>CJ448*(1-PARAM!$C$27)*$R$4+(MOD($B448/12,5)=0)*($B448&gt;60)*HLOOKUP($B448/12,Loyalty,2)*$F$1*MAX(CM447,0)</f>
        <v>0</v>
      </c>
      <c r="CL448" s="75">
        <f>PARAM!$C$26+MAX($P$4-CHOOSE(PARAM!$B$44,MAX(0,CM447*$F$1),0),0)*RATES!$L424/12+$Q$4*(PARAM!$D$51/12)*RATES!$N424/100</f>
        <v>74.666666666666657</v>
      </c>
      <c r="CM448" s="16">
        <f>IF(CM447&gt;0,CM447*PARAM!$C$53,CM447)+CK448-CL448</f>
        <v>-10894.833333333323</v>
      </c>
      <c r="CO448" s="176"/>
    </row>
    <row r="449" spans="1:93" x14ac:dyDescent="0.2">
      <c r="A449" t="b">
        <f t="shared" si="279"/>
        <v>0</v>
      </c>
      <c r="B449" s="33">
        <v>422</v>
      </c>
      <c r="C449" s="15">
        <f t="shared" si="280"/>
        <v>20.081305947392778</v>
      </c>
      <c r="D449" s="75">
        <f>C449*(1-PARAM!$C$27)*$I$3+(MOD($B449,60)=PARAM!$B$56)*($B449&gt;(60-PARAM!$B$56))*HLOOKUP(($B449+PARAM!$B$56)/12,Loyalty,2)*$F$1*MAX(F448,0)</f>
        <v>16.808053077967756</v>
      </c>
      <c r="E449" s="75">
        <f>PARAM!$C$26+MAX($G$3-CHOOSE(PARAM!$B$44,MAX(0,F448*$F$1),0),0)*RATES!$L425/12+$H$3*(PARAM!$D$51/12)*RATES!$N425/100</f>
        <v>74.666666666666657</v>
      </c>
      <c r="F449" s="16">
        <f t="shared" si="281"/>
        <v>-4032.9267925013492</v>
      </c>
      <c r="G449" s="15">
        <f t="shared" si="282"/>
        <v>22.035289406060361</v>
      </c>
      <c r="H449" s="75">
        <f>G449*(1-PARAM!$C$27)*$I$4+(MOD($B449,60)=PARAM!$B$56)*($B449&gt;(60-PARAM!$B$56))*HLOOKUP(($B449+PARAM!$B$56)/12,Loyalty,2)*$F$1*MAX(J448,0)</f>
        <v>18.443537232872522</v>
      </c>
      <c r="I449" s="75">
        <f>PARAM!$C$26+MAX($G$4-CHOOSE(PARAM!$B$44,MAX(0,J448*$F$1),0),0)*RATES!$L425/12+$H$4*(PARAM!$D$51/12)*RATES!$N425/100</f>
        <v>74.666666666666657</v>
      </c>
      <c r="J449" s="16">
        <f t="shared" si="283"/>
        <v>-3308.9195150098185</v>
      </c>
      <c r="K449" s="15">
        <f t="shared" si="284"/>
        <v>22.170849845882874</v>
      </c>
      <c r="L449" s="75">
        <f>K449*(1-PARAM!$C$27)*$I$5+(MOD($B449,60)=PARAM!$B$56)*($B449&gt;(60-PARAM!$B$56))*HLOOKUP(($B449+PARAM!$B$56)/12,Loyalty,2)*$F$1*MAX(N448,0)</f>
        <v>18.557001321003963</v>
      </c>
      <c r="M449" s="75">
        <f>PARAM!$C$26+MAX($G$5-CHOOSE(PARAM!$B$44,MAX(0,N448*$F$1),0),0)*RATES!$L425/12+$H$5*(PARAM!$D$51/12)*RATES!$N425/100</f>
        <v>74.666666666666657</v>
      </c>
      <c r="N449" s="16">
        <f t="shared" si="285"/>
        <v>-3258.0201334185563</v>
      </c>
      <c r="O449" s="15">
        <f t="shared" si="286"/>
        <v>22.170849845882874</v>
      </c>
      <c r="P449" s="75">
        <f>O449*(1-PARAM!$C$27)*$I$6+(MOD($B449,60)=PARAM!$B$56)*($B449&gt;(60-PARAM!$B$56))*HLOOKUP(($B449+PARAM!$B$56)/12,Loyalty,2)*$F$1*MAX(R448,0)</f>
        <v>18.557001321003963</v>
      </c>
      <c r="Q449" s="75">
        <f>PARAM!$C$26+MAX($G$6-CHOOSE(PARAM!$B$44,MAX(0,R448*$F$1),0),0)*RATES!$L425/12+$H$6*(PARAM!$D$51/12)*RATES!$N425/100</f>
        <v>74.666666666666657</v>
      </c>
      <c r="R449" s="16">
        <f t="shared" si="287"/>
        <v>-3258.0201334185563</v>
      </c>
      <c r="S449" s="15">
        <f t="shared" si="262"/>
        <v>22.170849845882874</v>
      </c>
      <c r="T449" s="75">
        <f>S449*(1-PARAM!$C$27)*$I$7+(MOD($B449,60)=PARAM!$B$56)*($B449&gt;(60-PARAM!$B$56))*HLOOKUP(($B449+PARAM!$B$56)/12,Loyalty,2)*$F$1*MAX(V448,0)</f>
        <v>18.557001321003963</v>
      </c>
      <c r="U449" s="75">
        <f>PARAM!$C$26+MAX($G$7-CHOOSE(PARAM!$B$44,MAX(0,V448*$F$1),0),0)*RATES!$L425/12+$H$7*(PARAM!$D$51/12)*RATES!$N425/100</f>
        <v>74.666666666666657</v>
      </c>
      <c r="V449" s="16">
        <f t="shared" si="288"/>
        <v>-3258.0201334185563</v>
      </c>
      <c r="W449" s="15">
        <f t="shared" si="263"/>
        <v>22.170849845882874</v>
      </c>
      <c r="X449" s="75">
        <f>W449*(1-PARAM!$C$27)*$I$8+(MOD($B449,60)=PARAM!$B$56)*($B449&gt;(60-PARAM!$B$56))*HLOOKUP(($B449+PARAM!$B$56)/12,Loyalty,2)*$F$1*MAX(Z448,0)</f>
        <v>18.557001321003963</v>
      </c>
      <c r="Y449" s="75">
        <f>PARAM!$C$26+MAX($G$8-CHOOSE(PARAM!$B$44,MAX(0,Z448*$F$1),0),0)*RATES!$L425/12+$H$8*(PARAM!$D$51/12)*RATES!$N425/100</f>
        <v>74.666666666666657</v>
      </c>
      <c r="Z449" s="16">
        <f t="shared" si="289"/>
        <v>-3258.0201334185563</v>
      </c>
      <c r="AA449" s="15">
        <f t="shared" si="264"/>
        <v>22.170849845882874</v>
      </c>
      <c r="AB449" s="75">
        <f>AA449*(1-PARAM!$C$27)*$I$9+(MOD($B449,60)=PARAM!$B$56)*($B449&gt;(60-PARAM!$B$56))*HLOOKUP(($B449+PARAM!$B$56)/12,Loyalty,2)*$F$1*MAX(AD448,0)</f>
        <v>18.557001321003963</v>
      </c>
      <c r="AC449" s="75">
        <f>PARAM!$C$26+MAX($G$9-CHOOSE(PARAM!$B$44,MAX(0,AD448*$F$1),0),0)*RATES!$L425/12+$H$9*(PARAM!$D$51/12)*RATES!$N425/100</f>
        <v>74.666666666666657</v>
      </c>
      <c r="AD449" s="16">
        <f t="shared" si="290"/>
        <v>-3258.0201334185563</v>
      </c>
      <c r="AE449" s="15">
        <f t="shared" si="265"/>
        <v>22.170849845882874</v>
      </c>
      <c r="AF449" s="75">
        <f>AE449*(1-PARAM!$C$27)*$I$10+(MOD($B449,60)=PARAM!$B$56)*($B449&gt;(60-PARAM!$B$56))*HLOOKUP(($B449+PARAM!$B$56)/12,Loyalty,2)*$F$1*MAX(AH448,0)</f>
        <v>18.557001321003963</v>
      </c>
      <c r="AG449" s="75">
        <f>PARAM!$C$26+MAX($G$10-CHOOSE(PARAM!$B$44,MAX(0,AH448*$F$1),0),0)*RATES!$L425/12+$H$10*(PARAM!$D$51/12)*RATES!$N425/100</f>
        <v>74.666666666666657</v>
      </c>
      <c r="AH449" s="16">
        <f t="shared" si="291"/>
        <v>-3258.0201334185563</v>
      </c>
      <c r="AI449" s="15">
        <f t="shared" si="266"/>
        <v>22.170849845882874</v>
      </c>
      <c r="AJ449" s="75">
        <f>AI449*(1-PARAM!$C$27)*$I$11+(MOD($B449,60)=PARAM!$B$56)*($B449&gt;(60-PARAM!$B$56))*HLOOKUP(($B449+PARAM!$B$56)/12,Loyalty,2)*$F$1*MAX(AL448,0)</f>
        <v>18.557001321003963</v>
      </c>
      <c r="AK449" s="75">
        <f>PARAM!$C$26+MAX($G$11-CHOOSE(PARAM!$B$44,MAX(0,AL448*$F$1),0),0)*RATES!$L425/12+$H$11*(PARAM!$D$51/12)*RATES!$N425/100</f>
        <v>74.666666666666657</v>
      </c>
      <c r="AL449" s="16">
        <f t="shared" si="292"/>
        <v>-3258.0201334185563</v>
      </c>
      <c r="AM449" s="15">
        <f t="shared" si="267"/>
        <v>22.170849845882874</v>
      </c>
      <c r="AN449" s="75">
        <f>AM449*(1-PARAM!$C$27)*$I$12+(MOD($B449,60)=PARAM!$B$56)*($B449&gt;(60-PARAM!$B$56))*HLOOKUP(($B449+PARAM!$B$56)/12,Loyalty,2)*$F$1*MAX(AP448,0)</f>
        <v>18.557001321003963</v>
      </c>
      <c r="AO449" s="75">
        <f>PARAM!$C$26+MAX($G$12-CHOOSE(PARAM!$B$44,MAX(0,AP448*$F$1),0),0)*RATES!$L425/12+$H$12*(PARAM!$D$51/12)*RATES!$N425/100</f>
        <v>74.666666666666657</v>
      </c>
      <c r="AP449" s="16">
        <f t="shared" si="293"/>
        <v>-3258.0201334185563</v>
      </c>
      <c r="AQ449" s="15">
        <f t="shared" si="268"/>
        <v>22.170849845882874</v>
      </c>
      <c r="AR449" s="75">
        <f>AQ449*(1-PARAM!$C$27)*$I$13+(MOD($B449,60)=PARAM!$B$56)*($B449&gt;(60-PARAM!$B$56))*HLOOKUP(($B449+PARAM!$B$56)/12,Loyalty,2)*$F$1*MAX(AT448,0)</f>
        <v>18.557001321003963</v>
      </c>
      <c r="AS449" s="75">
        <f>PARAM!$C$26+MAX($G$13-CHOOSE(PARAM!$B$44,MAX(0,AT448*$F$1),0),0)*RATES!$L425/12+$H$13*(PARAM!$D$51/12)*RATES!$N425/100</f>
        <v>74.666666666666657</v>
      </c>
      <c r="AT449" s="16">
        <f t="shared" si="294"/>
        <v>-3258.0201334185563</v>
      </c>
      <c r="AU449" s="15">
        <f t="shared" si="269"/>
        <v>22.170849845882874</v>
      </c>
      <c r="AV449" s="75">
        <f>AU449*(1-PARAM!$C$27)*$I$14+(MOD($B449,60)=PARAM!$B$56)*($B449&gt;(60-PARAM!$B$56))*HLOOKUP(($B449+PARAM!$B$56)/12,Loyalty,2)*$F$1*MAX(AX448,0)</f>
        <v>18.557001321003963</v>
      </c>
      <c r="AW449" s="75">
        <f>PARAM!$C$26+MAX($G$14-CHOOSE(PARAM!$B$44,MAX(0,AX448*$F$1),0),0)*RATES!$L425/12+$H$14*(PARAM!$D$51/12)*RATES!$N425/100</f>
        <v>74.666666666666657</v>
      </c>
      <c r="AX449" s="16">
        <f t="shared" si="295"/>
        <v>-3258.0201334185563</v>
      </c>
      <c r="AY449" s="15">
        <f t="shared" si="270"/>
        <v>22.170849845882874</v>
      </c>
      <c r="AZ449" s="75">
        <f>AY449*(1-PARAM!$C$27)*$I$15+(MOD($B449,60)=PARAM!$B$56)*($B449&gt;(60-PARAM!$B$56))*HLOOKUP(($B449+PARAM!$B$56)/12,Loyalty,2)*$F$1*MAX(BB448,0)</f>
        <v>18.557001321003963</v>
      </c>
      <c r="BA449" s="75">
        <f>PARAM!$C$26+MAX($G$15-CHOOSE(PARAM!$B$44,MAX(0,BB448*$F$1),0),0)*RATES!$L425/12+$H$15*(PARAM!$D$51/12)*RATES!$N425/100</f>
        <v>74.666666666666657</v>
      </c>
      <c r="BB449" s="16">
        <f t="shared" si="296"/>
        <v>-3258.0201334185563</v>
      </c>
      <c r="BC449" s="15">
        <f t="shared" si="271"/>
        <v>22.170849845882874</v>
      </c>
      <c r="BD449" s="75">
        <f>BC449*(1-PARAM!$C$27)*$I$16+(MOD($B449,60)=PARAM!$B$56)*($B449&gt;(60-PARAM!$B$56))*HLOOKUP(($B449+PARAM!$B$56)/12,Loyalty,2)*$F$1*MAX(BF448,0)</f>
        <v>18.557001321003963</v>
      </c>
      <c r="BE449" s="75">
        <f>PARAM!$C$26+MAX($G$16-CHOOSE(PARAM!$B$44,MAX(0,BF448*$F$1),0),0)*RATES!$L425/12+$H$16*(PARAM!$D$51/12)*RATES!$N425/100</f>
        <v>74.666666666666657</v>
      </c>
      <c r="BF449" s="16">
        <f t="shared" si="297"/>
        <v>-3258.0201334185563</v>
      </c>
      <c r="BG449" s="15">
        <f t="shared" si="272"/>
        <v>22.170849845882874</v>
      </c>
      <c r="BH449" s="75">
        <f>BG449*(1-PARAM!$C$27)*$I$17+(MOD($B449,60)=PARAM!$B$56)*($B449&gt;(60-PARAM!$B$56))*HLOOKUP(($B449+PARAM!$B$56)/12,Loyalty,2)*$F$1*MAX(BJ448,0)</f>
        <v>18.557001321003963</v>
      </c>
      <c r="BI449" s="75">
        <f>PARAM!$C$26+MAX($G$17-CHOOSE(PARAM!$B$44,MAX(0,BJ448*$F$1),0),0)*RATES!$L425/12+$H$17*(PARAM!$D$51/12)*RATES!$N425/100</f>
        <v>74.666666666666657</v>
      </c>
      <c r="BJ449" s="16">
        <f t="shared" si="298"/>
        <v>-3258.0201334185563</v>
      </c>
      <c r="BK449" s="15">
        <f t="shared" si="273"/>
        <v>22.170849845882874</v>
      </c>
      <c r="BL449" s="75">
        <f>BK449*(1-PARAM!$C$27)*$I$18+(MOD($B449,60)=PARAM!$B$56)*($B449&gt;(60-PARAM!$B$56))*HLOOKUP(($B449+PARAM!$B$56)/12,Loyalty,2)*$F$1*MAX(BN448,0)</f>
        <v>18.557001321003963</v>
      </c>
      <c r="BM449" s="75">
        <f>PARAM!$C$26+MAX($G$18-CHOOSE(PARAM!$B$44,MAX(0,BN448*$F$1),0),0)*RATES!$L425/12+$H$18*(PARAM!$D$51/12)*RATES!$N425/100</f>
        <v>74.666666666666657</v>
      </c>
      <c r="BN449" s="16">
        <f t="shared" si="299"/>
        <v>-3258.0201334185563</v>
      </c>
      <c r="BO449" s="15">
        <f t="shared" si="274"/>
        <v>22.170849845882874</v>
      </c>
      <c r="BP449" s="75">
        <f>BO449*(1-PARAM!$C$27)*$I$19+(MOD($B449,60)=PARAM!$B$56)*($B449&gt;(60-PARAM!$B$56))*HLOOKUP(($B449+PARAM!$B$56)/12,Loyalty,2)*$F$1*MAX(BR448,0)</f>
        <v>18.557001321003963</v>
      </c>
      <c r="BQ449" s="75">
        <f>PARAM!$C$26+MAX($G$19-CHOOSE(PARAM!$B$44,MAX(0,BR448*$F$1),0),0)*RATES!$L425/12+$H$19*(PARAM!$D$51/12)*RATES!$N425/100</f>
        <v>74.666666666666657</v>
      </c>
      <c r="BR449" s="16">
        <f t="shared" si="300"/>
        <v>-3258.0201334185563</v>
      </c>
      <c r="BS449" s="15">
        <f t="shared" si="275"/>
        <v>22.170849845882874</v>
      </c>
      <c r="BT449" s="75">
        <f>BS449*(1-PARAM!$C$27)*$I$20+(MOD($B449,60)=PARAM!$B$56)*($B449&gt;(60-PARAM!$B$56))*HLOOKUP(($B449+PARAM!$B$56)/12,Loyalty,2)*$F$1*MAX(BV448,0)</f>
        <v>18.557001321003963</v>
      </c>
      <c r="BU449" s="75">
        <f>PARAM!$C$26+MAX($G$20-CHOOSE(PARAM!$B$44,MAX(0,BV448*$F$1),0),0)*RATES!$L425/12+$H$20*(PARAM!$D$51/12)*RATES!$N425/100</f>
        <v>74.666666666666657</v>
      </c>
      <c r="BV449" s="16">
        <f t="shared" si="301"/>
        <v>-3258.0201334185563</v>
      </c>
      <c r="BW449" s="15">
        <f t="shared" si="276"/>
        <v>22.170849845882874</v>
      </c>
      <c r="BX449" s="75">
        <f>BW449*(1-PARAM!$C$27)*$I$21+(MOD($B449,60)=PARAM!$B$56)*($B449&gt;(60-PARAM!$B$56))*HLOOKUP(($B449+PARAM!$B$56)/12,Loyalty,2)*$F$1*MAX(BZ448,0)</f>
        <v>18.557001321003963</v>
      </c>
      <c r="BY449" s="75">
        <f>PARAM!$C$26+MAX($G$21-CHOOSE(PARAM!$B$44,MAX(0,BZ448*$F$1),0),0)*RATES!$L425/12+$H$21*(PARAM!$D$51/12)*RATES!$N425/100</f>
        <v>74.666666666666657</v>
      </c>
      <c r="BZ449" s="16">
        <f t="shared" si="302"/>
        <v>-3258.0201334185563</v>
      </c>
      <c r="CA449" s="15">
        <f t="shared" si="277"/>
        <v>22.170849845882874</v>
      </c>
      <c r="CB449" s="75">
        <f>CA449*(1-PARAM!$C$27)*$I$22+(MOD($B449,60)=PARAM!$B$56)*($B449&gt;(60-PARAM!$B$56))*HLOOKUP(($B449+PARAM!$B$56)/12,Loyalty,2)*$F$1*MAX(CD448,0)</f>
        <v>18.557001321003963</v>
      </c>
      <c r="CC449" s="75">
        <f>PARAM!$C$26+MAX($G$22-CHOOSE(PARAM!$B$44,MAX(0,CD448*$F$1),0),0)*RATES!$L425/12+$H$22*(PARAM!$D$51/12)*RATES!$N425/100</f>
        <v>74.666666666666657</v>
      </c>
      <c r="CD449" s="16">
        <f t="shared" si="303"/>
        <v>-3258.0201334185563</v>
      </c>
      <c r="CE449" s="33">
        <f>IF(0=MOD(B449,12/PARAM!$D$51),1,0)</f>
        <v>1</v>
      </c>
      <c r="CF449" s="15">
        <f t="shared" si="278"/>
        <v>0</v>
      </c>
      <c r="CG449" s="75">
        <f>CF449*(1-PARAM!$C$27)*$R$3+(MOD($B449/12,5)=0)*($B449&gt;60)*HLOOKUP($B449/12,Loyalty,2)*$F$1*MAX(CI448,0)</f>
        <v>0</v>
      </c>
      <c r="CH449" s="75">
        <f>PARAM!$C$26+MAX($P$3-CHOOSE(PARAM!$B$44,MAX(0,CI448*$F$1),0),0)*RATES!$L425/12+$Q$3*(PARAM!$D$51/12)*RATES!$N425/100</f>
        <v>74.666666666666657</v>
      </c>
      <c r="CI449" s="16">
        <f>IF(CI448&gt;0,CI448*PARAM!$C$53,CI448)+CG449-CH449</f>
        <v>-10969.499999999989</v>
      </c>
      <c r="CJ449" s="15">
        <f t="shared" si="304"/>
        <v>0</v>
      </c>
      <c r="CK449" s="75">
        <f>CJ449*(1-PARAM!$C$27)*$R$4+(MOD($B449/12,5)=0)*($B449&gt;60)*HLOOKUP($B449/12,Loyalty,2)*$F$1*MAX(CM448,0)</f>
        <v>0</v>
      </c>
      <c r="CL449" s="75">
        <f>PARAM!$C$26+MAX($P$4-CHOOSE(PARAM!$B$44,MAX(0,CM448*$F$1),0),0)*RATES!$L425/12+$Q$4*(PARAM!$D$51/12)*RATES!$N425/100</f>
        <v>74.666666666666657</v>
      </c>
      <c r="CM449" s="16">
        <f>IF(CM448&gt;0,CM448*PARAM!$C$53,CM448)+CK449-CL449</f>
        <v>-10969.499999999989</v>
      </c>
      <c r="CO449" s="176"/>
    </row>
    <row r="450" spans="1:93" x14ac:dyDescent="0.2">
      <c r="A450" t="b">
        <f t="shared" si="279"/>
        <v>0</v>
      </c>
      <c r="B450" s="33">
        <v>423</v>
      </c>
      <c r="C450" s="15">
        <f t="shared" si="280"/>
        <v>20.081305947392778</v>
      </c>
      <c r="D450" s="75">
        <f>C450*(1-PARAM!$C$27)*$I$3+(MOD($B450,60)=PARAM!$B$56)*($B450&gt;(60-PARAM!$B$56))*HLOOKUP(($B450+PARAM!$B$56)/12,Loyalty,2)*$F$1*MAX(F449,0)</f>
        <v>16.808053077967756</v>
      </c>
      <c r="E450" s="75">
        <f>PARAM!$C$26+MAX($G$3-CHOOSE(PARAM!$B$44,MAX(0,F449*$F$1),0),0)*RATES!$L426/12+$H$3*(PARAM!$D$51/12)*RATES!$N426/100</f>
        <v>74.666666666666657</v>
      </c>
      <c r="F450" s="16">
        <f t="shared" si="281"/>
        <v>-4090.7854060900481</v>
      </c>
      <c r="G450" s="15">
        <f t="shared" si="282"/>
        <v>22.035289406060361</v>
      </c>
      <c r="H450" s="75">
        <f>G450*(1-PARAM!$C$27)*$I$4+(MOD($B450,60)=PARAM!$B$56)*($B450&gt;(60-PARAM!$B$56))*HLOOKUP(($B450+PARAM!$B$56)/12,Loyalty,2)*$F$1*MAX(J449,0)</f>
        <v>18.443537232872522</v>
      </c>
      <c r="I450" s="75">
        <f>PARAM!$C$26+MAX($G$4-CHOOSE(PARAM!$B$44,MAX(0,J449*$F$1),0),0)*RATES!$L426/12+$H$4*(PARAM!$D$51/12)*RATES!$N426/100</f>
        <v>74.666666666666657</v>
      </c>
      <c r="J450" s="16">
        <f t="shared" si="283"/>
        <v>-3365.1426444436124</v>
      </c>
      <c r="K450" s="15">
        <f t="shared" si="284"/>
        <v>22.170849845882874</v>
      </c>
      <c r="L450" s="75">
        <f>K450*(1-PARAM!$C$27)*$I$5+(MOD($B450,60)=PARAM!$B$56)*($B450&gt;(60-PARAM!$B$56))*HLOOKUP(($B450+PARAM!$B$56)/12,Loyalty,2)*$F$1*MAX(N449,0)</f>
        <v>18.557001321003963</v>
      </c>
      <c r="M450" s="75">
        <f>PARAM!$C$26+MAX($G$5-CHOOSE(PARAM!$B$44,MAX(0,N449*$F$1),0),0)*RATES!$L426/12+$H$5*(PARAM!$D$51/12)*RATES!$N426/100</f>
        <v>74.666666666666657</v>
      </c>
      <c r="N450" s="16">
        <f t="shared" si="285"/>
        <v>-3314.1297987642188</v>
      </c>
      <c r="O450" s="15">
        <f t="shared" si="286"/>
        <v>22.170849845882874</v>
      </c>
      <c r="P450" s="75">
        <f>O450*(1-PARAM!$C$27)*$I$6+(MOD($B450,60)=PARAM!$B$56)*($B450&gt;(60-PARAM!$B$56))*HLOOKUP(($B450+PARAM!$B$56)/12,Loyalty,2)*$F$1*MAX(R449,0)</f>
        <v>18.557001321003963</v>
      </c>
      <c r="Q450" s="75">
        <f>PARAM!$C$26+MAX($G$6-CHOOSE(PARAM!$B$44,MAX(0,R449*$F$1),0),0)*RATES!$L426/12+$H$6*(PARAM!$D$51/12)*RATES!$N426/100</f>
        <v>74.666666666666657</v>
      </c>
      <c r="R450" s="16">
        <f t="shared" si="287"/>
        <v>-3314.1297987642188</v>
      </c>
      <c r="S450" s="15">
        <f t="shared" si="262"/>
        <v>22.170849845882874</v>
      </c>
      <c r="T450" s="75">
        <f>S450*(1-PARAM!$C$27)*$I$7+(MOD($B450,60)=PARAM!$B$56)*($B450&gt;(60-PARAM!$B$56))*HLOOKUP(($B450+PARAM!$B$56)/12,Loyalty,2)*$F$1*MAX(V449,0)</f>
        <v>18.557001321003963</v>
      </c>
      <c r="U450" s="75">
        <f>PARAM!$C$26+MAX($G$7-CHOOSE(PARAM!$B$44,MAX(0,V449*$F$1),0),0)*RATES!$L426/12+$H$7*(PARAM!$D$51/12)*RATES!$N426/100</f>
        <v>74.666666666666657</v>
      </c>
      <c r="V450" s="16">
        <f t="shared" si="288"/>
        <v>-3314.1297987642188</v>
      </c>
      <c r="W450" s="15">
        <f t="shared" si="263"/>
        <v>22.170849845882874</v>
      </c>
      <c r="X450" s="75">
        <f>W450*(1-PARAM!$C$27)*$I$8+(MOD($B450,60)=PARAM!$B$56)*($B450&gt;(60-PARAM!$B$56))*HLOOKUP(($B450+PARAM!$B$56)/12,Loyalty,2)*$F$1*MAX(Z449,0)</f>
        <v>18.557001321003963</v>
      </c>
      <c r="Y450" s="75">
        <f>PARAM!$C$26+MAX($G$8-CHOOSE(PARAM!$B$44,MAX(0,Z449*$F$1),0),0)*RATES!$L426/12+$H$8*(PARAM!$D$51/12)*RATES!$N426/100</f>
        <v>74.666666666666657</v>
      </c>
      <c r="Z450" s="16">
        <f t="shared" si="289"/>
        <v>-3314.1297987642188</v>
      </c>
      <c r="AA450" s="15">
        <f t="shared" si="264"/>
        <v>22.170849845882874</v>
      </c>
      <c r="AB450" s="75">
        <f>AA450*(1-PARAM!$C$27)*$I$9+(MOD($B450,60)=PARAM!$B$56)*($B450&gt;(60-PARAM!$B$56))*HLOOKUP(($B450+PARAM!$B$56)/12,Loyalty,2)*$F$1*MAX(AD449,0)</f>
        <v>18.557001321003963</v>
      </c>
      <c r="AC450" s="75">
        <f>PARAM!$C$26+MAX($G$9-CHOOSE(PARAM!$B$44,MAX(0,AD449*$F$1),0),0)*RATES!$L426/12+$H$9*(PARAM!$D$51/12)*RATES!$N426/100</f>
        <v>74.666666666666657</v>
      </c>
      <c r="AD450" s="16">
        <f t="shared" si="290"/>
        <v>-3314.1297987642188</v>
      </c>
      <c r="AE450" s="15">
        <f t="shared" si="265"/>
        <v>22.170849845882874</v>
      </c>
      <c r="AF450" s="75">
        <f>AE450*(1-PARAM!$C$27)*$I$10+(MOD($B450,60)=PARAM!$B$56)*($B450&gt;(60-PARAM!$B$56))*HLOOKUP(($B450+PARAM!$B$56)/12,Loyalty,2)*$F$1*MAX(AH449,0)</f>
        <v>18.557001321003963</v>
      </c>
      <c r="AG450" s="75">
        <f>PARAM!$C$26+MAX($G$10-CHOOSE(PARAM!$B$44,MAX(0,AH449*$F$1),0),0)*RATES!$L426/12+$H$10*(PARAM!$D$51/12)*RATES!$N426/100</f>
        <v>74.666666666666657</v>
      </c>
      <c r="AH450" s="16">
        <f t="shared" si="291"/>
        <v>-3314.1297987642188</v>
      </c>
      <c r="AI450" s="15">
        <f t="shared" si="266"/>
        <v>22.170849845882874</v>
      </c>
      <c r="AJ450" s="75">
        <f>AI450*(1-PARAM!$C$27)*$I$11+(MOD($B450,60)=PARAM!$B$56)*($B450&gt;(60-PARAM!$B$56))*HLOOKUP(($B450+PARAM!$B$56)/12,Loyalty,2)*$F$1*MAX(AL449,0)</f>
        <v>18.557001321003963</v>
      </c>
      <c r="AK450" s="75">
        <f>PARAM!$C$26+MAX($G$11-CHOOSE(PARAM!$B$44,MAX(0,AL449*$F$1),0),0)*RATES!$L426/12+$H$11*(PARAM!$D$51/12)*RATES!$N426/100</f>
        <v>74.666666666666657</v>
      </c>
      <c r="AL450" s="16">
        <f t="shared" si="292"/>
        <v>-3314.1297987642188</v>
      </c>
      <c r="AM450" s="15">
        <f t="shared" si="267"/>
        <v>22.170849845882874</v>
      </c>
      <c r="AN450" s="75">
        <f>AM450*(1-PARAM!$C$27)*$I$12+(MOD($B450,60)=PARAM!$B$56)*($B450&gt;(60-PARAM!$B$56))*HLOOKUP(($B450+PARAM!$B$56)/12,Loyalty,2)*$F$1*MAX(AP449,0)</f>
        <v>18.557001321003963</v>
      </c>
      <c r="AO450" s="75">
        <f>PARAM!$C$26+MAX($G$12-CHOOSE(PARAM!$B$44,MAX(0,AP449*$F$1),0),0)*RATES!$L426/12+$H$12*(PARAM!$D$51/12)*RATES!$N426/100</f>
        <v>74.666666666666657</v>
      </c>
      <c r="AP450" s="16">
        <f t="shared" si="293"/>
        <v>-3314.1297987642188</v>
      </c>
      <c r="AQ450" s="15">
        <f t="shared" si="268"/>
        <v>22.170849845882874</v>
      </c>
      <c r="AR450" s="75">
        <f>AQ450*(1-PARAM!$C$27)*$I$13+(MOD($B450,60)=PARAM!$B$56)*($B450&gt;(60-PARAM!$B$56))*HLOOKUP(($B450+PARAM!$B$56)/12,Loyalty,2)*$F$1*MAX(AT449,0)</f>
        <v>18.557001321003963</v>
      </c>
      <c r="AS450" s="75">
        <f>PARAM!$C$26+MAX($G$13-CHOOSE(PARAM!$B$44,MAX(0,AT449*$F$1),0),0)*RATES!$L426/12+$H$13*(PARAM!$D$51/12)*RATES!$N426/100</f>
        <v>74.666666666666657</v>
      </c>
      <c r="AT450" s="16">
        <f t="shared" si="294"/>
        <v>-3314.1297987642188</v>
      </c>
      <c r="AU450" s="15">
        <f t="shared" si="269"/>
        <v>22.170849845882874</v>
      </c>
      <c r="AV450" s="75">
        <f>AU450*(1-PARAM!$C$27)*$I$14+(MOD($B450,60)=PARAM!$B$56)*($B450&gt;(60-PARAM!$B$56))*HLOOKUP(($B450+PARAM!$B$56)/12,Loyalty,2)*$F$1*MAX(AX449,0)</f>
        <v>18.557001321003963</v>
      </c>
      <c r="AW450" s="75">
        <f>PARAM!$C$26+MAX($G$14-CHOOSE(PARAM!$B$44,MAX(0,AX449*$F$1),0),0)*RATES!$L426/12+$H$14*(PARAM!$D$51/12)*RATES!$N426/100</f>
        <v>74.666666666666657</v>
      </c>
      <c r="AX450" s="16">
        <f t="shared" si="295"/>
        <v>-3314.1297987642188</v>
      </c>
      <c r="AY450" s="15">
        <f t="shared" si="270"/>
        <v>22.170849845882874</v>
      </c>
      <c r="AZ450" s="75">
        <f>AY450*(1-PARAM!$C$27)*$I$15+(MOD($B450,60)=PARAM!$B$56)*($B450&gt;(60-PARAM!$B$56))*HLOOKUP(($B450+PARAM!$B$56)/12,Loyalty,2)*$F$1*MAX(BB449,0)</f>
        <v>18.557001321003963</v>
      </c>
      <c r="BA450" s="75">
        <f>PARAM!$C$26+MAX($G$15-CHOOSE(PARAM!$B$44,MAX(0,BB449*$F$1),0),0)*RATES!$L426/12+$H$15*(PARAM!$D$51/12)*RATES!$N426/100</f>
        <v>74.666666666666657</v>
      </c>
      <c r="BB450" s="16">
        <f t="shared" si="296"/>
        <v>-3314.1297987642188</v>
      </c>
      <c r="BC450" s="15">
        <f t="shared" si="271"/>
        <v>22.170849845882874</v>
      </c>
      <c r="BD450" s="75">
        <f>BC450*(1-PARAM!$C$27)*$I$16+(MOD($B450,60)=PARAM!$B$56)*($B450&gt;(60-PARAM!$B$56))*HLOOKUP(($B450+PARAM!$B$56)/12,Loyalty,2)*$F$1*MAX(BF449,0)</f>
        <v>18.557001321003963</v>
      </c>
      <c r="BE450" s="75">
        <f>PARAM!$C$26+MAX($G$16-CHOOSE(PARAM!$B$44,MAX(0,BF449*$F$1),0),0)*RATES!$L426/12+$H$16*(PARAM!$D$51/12)*RATES!$N426/100</f>
        <v>74.666666666666657</v>
      </c>
      <c r="BF450" s="16">
        <f t="shared" si="297"/>
        <v>-3314.1297987642188</v>
      </c>
      <c r="BG450" s="15">
        <f t="shared" si="272"/>
        <v>22.170849845882874</v>
      </c>
      <c r="BH450" s="75">
        <f>BG450*(1-PARAM!$C$27)*$I$17+(MOD($B450,60)=PARAM!$B$56)*($B450&gt;(60-PARAM!$B$56))*HLOOKUP(($B450+PARAM!$B$56)/12,Loyalty,2)*$F$1*MAX(BJ449,0)</f>
        <v>18.557001321003963</v>
      </c>
      <c r="BI450" s="75">
        <f>PARAM!$C$26+MAX($G$17-CHOOSE(PARAM!$B$44,MAX(0,BJ449*$F$1),0),0)*RATES!$L426/12+$H$17*(PARAM!$D$51/12)*RATES!$N426/100</f>
        <v>74.666666666666657</v>
      </c>
      <c r="BJ450" s="16">
        <f t="shared" si="298"/>
        <v>-3314.1297987642188</v>
      </c>
      <c r="BK450" s="15">
        <f t="shared" si="273"/>
        <v>22.170849845882874</v>
      </c>
      <c r="BL450" s="75">
        <f>BK450*(1-PARAM!$C$27)*$I$18+(MOD($B450,60)=PARAM!$B$56)*($B450&gt;(60-PARAM!$B$56))*HLOOKUP(($B450+PARAM!$B$56)/12,Loyalty,2)*$F$1*MAX(BN449,0)</f>
        <v>18.557001321003963</v>
      </c>
      <c r="BM450" s="75">
        <f>PARAM!$C$26+MAX($G$18-CHOOSE(PARAM!$B$44,MAX(0,BN449*$F$1),0),0)*RATES!$L426/12+$H$18*(PARAM!$D$51/12)*RATES!$N426/100</f>
        <v>74.666666666666657</v>
      </c>
      <c r="BN450" s="16">
        <f t="shared" si="299"/>
        <v>-3314.1297987642188</v>
      </c>
      <c r="BO450" s="15">
        <f t="shared" si="274"/>
        <v>22.170849845882874</v>
      </c>
      <c r="BP450" s="75">
        <f>BO450*(1-PARAM!$C$27)*$I$19+(MOD($B450,60)=PARAM!$B$56)*($B450&gt;(60-PARAM!$B$56))*HLOOKUP(($B450+PARAM!$B$56)/12,Loyalty,2)*$F$1*MAX(BR449,0)</f>
        <v>18.557001321003963</v>
      </c>
      <c r="BQ450" s="75">
        <f>PARAM!$C$26+MAX($G$19-CHOOSE(PARAM!$B$44,MAX(0,BR449*$F$1),0),0)*RATES!$L426/12+$H$19*(PARAM!$D$51/12)*RATES!$N426/100</f>
        <v>74.666666666666657</v>
      </c>
      <c r="BR450" s="16">
        <f t="shared" si="300"/>
        <v>-3314.1297987642188</v>
      </c>
      <c r="BS450" s="15">
        <f t="shared" si="275"/>
        <v>22.170849845882874</v>
      </c>
      <c r="BT450" s="75">
        <f>BS450*(1-PARAM!$C$27)*$I$20+(MOD($B450,60)=PARAM!$B$56)*($B450&gt;(60-PARAM!$B$56))*HLOOKUP(($B450+PARAM!$B$56)/12,Loyalty,2)*$F$1*MAX(BV449,0)</f>
        <v>18.557001321003963</v>
      </c>
      <c r="BU450" s="75">
        <f>PARAM!$C$26+MAX($G$20-CHOOSE(PARAM!$B$44,MAX(0,BV449*$F$1),0),0)*RATES!$L426/12+$H$20*(PARAM!$D$51/12)*RATES!$N426/100</f>
        <v>74.666666666666657</v>
      </c>
      <c r="BV450" s="16">
        <f t="shared" si="301"/>
        <v>-3314.1297987642188</v>
      </c>
      <c r="BW450" s="15">
        <f t="shared" si="276"/>
        <v>22.170849845882874</v>
      </c>
      <c r="BX450" s="75">
        <f>BW450*(1-PARAM!$C$27)*$I$21+(MOD($B450,60)=PARAM!$B$56)*($B450&gt;(60-PARAM!$B$56))*HLOOKUP(($B450+PARAM!$B$56)/12,Loyalty,2)*$F$1*MAX(BZ449,0)</f>
        <v>18.557001321003963</v>
      </c>
      <c r="BY450" s="75">
        <f>PARAM!$C$26+MAX($G$21-CHOOSE(PARAM!$B$44,MAX(0,BZ449*$F$1),0),0)*RATES!$L426/12+$H$21*(PARAM!$D$51/12)*RATES!$N426/100</f>
        <v>74.666666666666657</v>
      </c>
      <c r="BZ450" s="16">
        <f t="shared" si="302"/>
        <v>-3314.1297987642188</v>
      </c>
      <c r="CA450" s="15">
        <f t="shared" si="277"/>
        <v>22.170849845882874</v>
      </c>
      <c r="CB450" s="75">
        <f>CA450*(1-PARAM!$C$27)*$I$22+(MOD($B450,60)=PARAM!$B$56)*($B450&gt;(60-PARAM!$B$56))*HLOOKUP(($B450+PARAM!$B$56)/12,Loyalty,2)*$F$1*MAX(CD449,0)</f>
        <v>18.557001321003963</v>
      </c>
      <c r="CC450" s="75">
        <f>PARAM!$C$26+MAX($G$22-CHOOSE(PARAM!$B$44,MAX(0,CD449*$F$1),0),0)*RATES!$L426/12+$H$22*(PARAM!$D$51/12)*RATES!$N426/100</f>
        <v>74.666666666666657</v>
      </c>
      <c r="CD450" s="16">
        <f t="shared" si="303"/>
        <v>-3314.1297987642188</v>
      </c>
      <c r="CE450" s="33">
        <f>IF(0=MOD(B450,12/PARAM!$D$51),1,0)</f>
        <v>1</v>
      </c>
      <c r="CF450" s="15">
        <f t="shared" si="278"/>
        <v>0</v>
      </c>
      <c r="CG450" s="75">
        <f>CF450*(1-PARAM!$C$27)*$R$3+(MOD($B450/12,5)=0)*($B450&gt;60)*HLOOKUP($B450/12,Loyalty,2)*$F$1*MAX(CI449,0)</f>
        <v>0</v>
      </c>
      <c r="CH450" s="75">
        <f>PARAM!$C$26+MAX($P$3-CHOOSE(PARAM!$B$44,MAX(0,CI449*$F$1),0),0)*RATES!$L426/12+$Q$3*(PARAM!$D$51/12)*RATES!$N426/100</f>
        <v>74.666666666666657</v>
      </c>
      <c r="CI450" s="16">
        <f>IF(CI449&gt;0,CI449*PARAM!$C$53,CI449)+CG450-CH450</f>
        <v>-11044.166666666655</v>
      </c>
      <c r="CJ450" s="15">
        <f t="shared" si="304"/>
        <v>0</v>
      </c>
      <c r="CK450" s="75">
        <f>CJ450*(1-PARAM!$C$27)*$R$4+(MOD($B450/12,5)=0)*($B450&gt;60)*HLOOKUP($B450/12,Loyalty,2)*$F$1*MAX(CM449,0)</f>
        <v>0</v>
      </c>
      <c r="CL450" s="75">
        <f>PARAM!$C$26+MAX($P$4-CHOOSE(PARAM!$B$44,MAX(0,CM449*$F$1),0),0)*RATES!$L426/12+$Q$4*(PARAM!$D$51/12)*RATES!$N426/100</f>
        <v>74.666666666666657</v>
      </c>
      <c r="CM450" s="16">
        <f>IF(CM449&gt;0,CM449*PARAM!$C$53,CM449)+CK450-CL450</f>
        <v>-11044.166666666655</v>
      </c>
      <c r="CO450" s="176"/>
    </row>
    <row r="451" spans="1:93" x14ac:dyDescent="0.2">
      <c r="A451" t="b">
        <f t="shared" si="279"/>
        <v>0</v>
      </c>
      <c r="B451" s="33">
        <v>424</v>
      </c>
      <c r="C451" s="15">
        <f t="shared" si="280"/>
        <v>20.081305947392778</v>
      </c>
      <c r="D451" s="75">
        <f>C451*(1-PARAM!$C$27)*$I$3+(MOD($B451,60)=PARAM!$B$56)*($B451&gt;(60-PARAM!$B$56))*HLOOKUP(($B451+PARAM!$B$56)/12,Loyalty,2)*$F$1*MAX(F450,0)</f>
        <v>16.808053077967756</v>
      </c>
      <c r="E451" s="75">
        <f>PARAM!$C$26+MAX($G$3-CHOOSE(PARAM!$B$44,MAX(0,F450*$F$1),0),0)*RATES!$L427/12+$H$3*(PARAM!$D$51/12)*RATES!$N427/100</f>
        <v>74.666666666666657</v>
      </c>
      <c r="F451" s="16">
        <f t="shared" si="281"/>
        <v>-4148.6440196787471</v>
      </c>
      <c r="G451" s="15">
        <f t="shared" si="282"/>
        <v>22.035289406060361</v>
      </c>
      <c r="H451" s="75">
        <f>G451*(1-PARAM!$C$27)*$I$4+(MOD($B451,60)=PARAM!$B$56)*($B451&gt;(60-PARAM!$B$56))*HLOOKUP(($B451+PARAM!$B$56)/12,Loyalty,2)*$F$1*MAX(J450,0)</f>
        <v>18.443537232872522</v>
      </c>
      <c r="I451" s="75">
        <f>PARAM!$C$26+MAX($G$4-CHOOSE(PARAM!$B$44,MAX(0,J450*$F$1),0),0)*RATES!$L427/12+$H$4*(PARAM!$D$51/12)*RATES!$N427/100</f>
        <v>74.666666666666657</v>
      </c>
      <c r="J451" s="16">
        <f t="shared" si="283"/>
        <v>-3421.3657738774064</v>
      </c>
      <c r="K451" s="15">
        <f t="shared" si="284"/>
        <v>22.170849845882874</v>
      </c>
      <c r="L451" s="75">
        <f>K451*(1-PARAM!$C$27)*$I$5+(MOD($B451,60)=PARAM!$B$56)*($B451&gt;(60-PARAM!$B$56))*HLOOKUP(($B451+PARAM!$B$56)/12,Loyalty,2)*$F$1*MAX(N450,0)</f>
        <v>18.557001321003963</v>
      </c>
      <c r="M451" s="75">
        <f>PARAM!$C$26+MAX($G$5-CHOOSE(PARAM!$B$44,MAX(0,N450*$F$1),0),0)*RATES!$L427/12+$H$5*(PARAM!$D$51/12)*RATES!$N427/100</f>
        <v>74.666666666666657</v>
      </c>
      <c r="N451" s="16">
        <f t="shared" si="285"/>
        <v>-3370.2394641098813</v>
      </c>
      <c r="O451" s="15">
        <f t="shared" si="286"/>
        <v>22.170849845882874</v>
      </c>
      <c r="P451" s="75">
        <f>O451*(1-PARAM!$C$27)*$I$6+(MOD($B451,60)=PARAM!$B$56)*($B451&gt;(60-PARAM!$B$56))*HLOOKUP(($B451+PARAM!$B$56)/12,Loyalty,2)*$F$1*MAX(R450,0)</f>
        <v>18.557001321003963</v>
      </c>
      <c r="Q451" s="75">
        <f>PARAM!$C$26+MAX($G$6-CHOOSE(PARAM!$B$44,MAX(0,R450*$F$1),0),0)*RATES!$L427/12+$H$6*(PARAM!$D$51/12)*RATES!$N427/100</f>
        <v>74.666666666666657</v>
      </c>
      <c r="R451" s="16">
        <f t="shared" si="287"/>
        <v>-3370.2394641098813</v>
      </c>
      <c r="S451" s="15">
        <f t="shared" si="262"/>
        <v>22.170849845882874</v>
      </c>
      <c r="T451" s="75">
        <f>S451*(1-PARAM!$C$27)*$I$7+(MOD($B451,60)=PARAM!$B$56)*($B451&gt;(60-PARAM!$B$56))*HLOOKUP(($B451+PARAM!$B$56)/12,Loyalty,2)*$F$1*MAX(V450,0)</f>
        <v>18.557001321003963</v>
      </c>
      <c r="U451" s="75">
        <f>PARAM!$C$26+MAX($G$7-CHOOSE(PARAM!$B$44,MAX(0,V450*$F$1),0),0)*RATES!$L427/12+$H$7*(PARAM!$D$51/12)*RATES!$N427/100</f>
        <v>74.666666666666657</v>
      </c>
      <c r="V451" s="16">
        <f t="shared" si="288"/>
        <v>-3370.2394641098813</v>
      </c>
      <c r="W451" s="15">
        <f t="shared" si="263"/>
        <v>22.170849845882874</v>
      </c>
      <c r="X451" s="75">
        <f>W451*(1-PARAM!$C$27)*$I$8+(MOD($B451,60)=PARAM!$B$56)*($B451&gt;(60-PARAM!$B$56))*HLOOKUP(($B451+PARAM!$B$56)/12,Loyalty,2)*$F$1*MAX(Z450,0)</f>
        <v>18.557001321003963</v>
      </c>
      <c r="Y451" s="75">
        <f>PARAM!$C$26+MAX($G$8-CHOOSE(PARAM!$B$44,MAX(0,Z450*$F$1),0),0)*RATES!$L427/12+$H$8*(PARAM!$D$51/12)*RATES!$N427/100</f>
        <v>74.666666666666657</v>
      </c>
      <c r="Z451" s="16">
        <f t="shared" si="289"/>
        <v>-3370.2394641098813</v>
      </c>
      <c r="AA451" s="15">
        <f t="shared" si="264"/>
        <v>22.170849845882874</v>
      </c>
      <c r="AB451" s="75">
        <f>AA451*(1-PARAM!$C$27)*$I$9+(MOD($B451,60)=PARAM!$B$56)*($B451&gt;(60-PARAM!$B$56))*HLOOKUP(($B451+PARAM!$B$56)/12,Loyalty,2)*$F$1*MAX(AD450,0)</f>
        <v>18.557001321003963</v>
      </c>
      <c r="AC451" s="75">
        <f>PARAM!$C$26+MAX($G$9-CHOOSE(PARAM!$B$44,MAX(0,AD450*$F$1),0),0)*RATES!$L427/12+$H$9*(PARAM!$D$51/12)*RATES!$N427/100</f>
        <v>74.666666666666657</v>
      </c>
      <c r="AD451" s="16">
        <f t="shared" si="290"/>
        <v>-3370.2394641098813</v>
      </c>
      <c r="AE451" s="15">
        <f t="shared" si="265"/>
        <v>22.170849845882874</v>
      </c>
      <c r="AF451" s="75">
        <f>AE451*(1-PARAM!$C$27)*$I$10+(MOD($B451,60)=PARAM!$B$56)*($B451&gt;(60-PARAM!$B$56))*HLOOKUP(($B451+PARAM!$B$56)/12,Loyalty,2)*$F$1*MAX(AH450,0)</f>
        <v>18.557001321003963</v>
      </c>
      <c r="AG451" s="75">
        <f>PARAM!$C$26+MAX($G$10-CHOOSE(PARAM!$B$44,MAX(0,AH450*$F$1),0),0)*RATES!$L427/12+$H$10*(PARAM!$D$51/12)*RATES!$N427/100</f>
        <v>74.666666666666657</v>
      </c>
      <c r="AH451" s="16">
        <f t="shared" si="291"/>
        <v>-3370.2394641098813</v>
      </c>
      <c r="AI451" s="15">
        <f t="shared" si="266"/>
        <v>22.170849845882874</v>
      </c>
      <c r="AJ451" s="75">
        <f>AI451*(1-PARAM!$C$27)*$I$11+(MOD($B451,60)=PARAM!$B$56)*($B451&gt;(60-PARAM!$B$56))*HLOOKUP(($B451+PARAM!$B$56)/12,Loyalty,2)*$F$1*MAX(AL450,0)</f>
        <v>18.557001321003963</v>
      </c>
      <c r="AK451" s="75">
        <f>PARAM!$C$26+MAX($G$11-CHOOSE(PARAM!$B$44,MAX(0,AL450*$F$1),0),0)*RATES!$L427/12+$H$11*(PARAM!$D$51/12)*RATES!$N427/100</f>
        <v>74.666666666666657</v>
      </c>
      <c r="AL451" s="16">
        <f t="shared" si="292"/>
        <v>-3370.2394641098813</v>
      </c>
      <c r="AM451" s="15">
        <f t="shared" si="267"/>
        <v>22.170849845882874</v>
      </c>
      <c r="AN451" s="75">
        <f>AM451*(1-PARAM!$C$27)*$I$12+(MOD($B451,60)=PARAM!$B$56)*($B451&gt;(60-PARAM!$B$56))*HLOOKUP(($B451+PARAM!$B$56)/12,Loyalty,2)*$F$1*MAX(AP450,0)</f>
        <v>18.557001321003963</v>
      </c>
      <c r="AO451" s="75">
        <f>PARAM!$C$26+MAX($G$12-CHOOSE(PARAM!$B$44,MAX(0,AP450*$F$1),0),0)*RATES!$L427/12+$H$12*(PARAM!$D$51/12)*RATES!$N427/100</f>
        <v>74.666666666666657</v>
      </c>
      <c r="AP451" s="16">
        <f t="shared" si="293"/>
        <v>-3370.2394641098813</v>
      </c>
      <c r="AQ451" s="15">
        <f t="shared" si="268"/>
        <v>22.170849845882874</v>
      </c>
      <c r="AR451" s="75">
        <f>AQ451*(1-PARAM!$C$27)*$I$13+(MOD($B451,60)=PARAM!$B$56)*($B451&gt;(60-PARAM!$B$56))*HLOOKUP(($B451+PARAM!$B$56)/12,Loyalty,2)*$F$1*MAX(AT450,0)</f>
        <v>18.557001321003963</v>
      </c>
      <c r="AS451" s="75">
        <f>PARAM!$C$26+MAX($G$13-CHOOSE(PARAM!$B$44,MAX(0,AT450*$F$1),0),0)*RATES!$L427/12+$H$13*(PARAM!$D$51/12)*RATES!$N427/100</f>
        <v>74.666666666666657</v>
      </c>
      <c r="AT451" s="16">
        <f t="shared" si="294"/>
        <v>-3370.2394641098813</v>
      </c>
      <c r="AU451" s="15">
        <f t="shared" si="269"/>
        <v>22.170849845882874</v>
      </c>
      <c r="AV451" s="75">
        <f>AU451*(1-PARAM!$C$27)*$I$14+(MOD($B451,60)=PARAM!$B$56)*($B451&gt;(60-PARAM!$B$56))*HLOOKUP(($B451+PARAM!$B$56)/12,Loyalty,2)*$F$1*MAX(AX450,0)</f>
        <v>18.557001321003963</v>
      </c>
      <c r="AW451" s="75">
        <f>PARAM!$C$26+MAX($G$14-CHOOSE(PARAM!$B$44,MAX(0,AX450*$F$1),0),0)*RATES!$L427/12+$H$14*(PARAM!$D$51/12)*RATES!$N427/100</f>
        <v>74.666666666666657</v>
      </c>
      <c r="AX451" s="16">
        <f t="shared" si="295"/>
        <v>-3370.2394641098813</v>
      </c>
      <c r="AY451" s="15">
        <f t="shared" si="270"/>
        <v>22.170849845882874</v>
      </c>
      <c r="AZ451" s="75">
        <f>AY451*(1-PARAM!$C$27)*$I$15+(MOD($B451,60)=PARAM!$B$56)*($B451&gt;(60-PARAM!$B$56))*HLOOKUP(($B451+PARAM!$B$56)/12,Loyalty,2)*$F$1*MAX(BB450,0)</f>
        <v>18.557001321003963</v>
      </c>
      <c r="BA451" s="75">
        <f>PARAM!$C$26+MAX($G$15-CHOOSE(PARAM!$B$44,MAX(0,BB450*$F$1),0),0)*RATES!$L427/12+$H$15*(PARAM!$D$51/12)*RATES!$N427/100</f>
        <v>74.666666666666657</v>
      </c>
      <c r="BB451" s="16">
        <f t="shared" si="296"/>
        <v>-3370.2394641098813</v>
      </c>
      <c r="BC451" s="15">
        <f t="shared" si="271"/>
        <v>22.170849845882874</v>
      </c>
      <c r="BD451" s="75">
        <f>BC451*(1-PARAM!$C$27)*$I$16+(MOD($B451,60)=PARAM!$B$56)*($B451&gt;(60-PARAM!$B$56))*HLOOKUP(($B451+PARAM!$B$56)/12,Loyalty,2)*$F$1*MAX(BF450,0)</f>
        <v>18.557001321003963</v>
      </c>
      <c r="BE451" s="75">
        <f>PARAM!$C$26+MAX($G$16-CHOOSE(PARAM!$B$44,MAX(0,BF450*$F$1),0),0)*RATES!$L427/12+$H$16*(PARAM!$D$51/12)*RATES!$N427/100</f>
        <v>74.666666666666657</v>
      </c>
      <c r="BF451" s="16">
        <f t="shared" si="297"/>
        <v>-3370.2394641098813</v>
      </c>
      <c r="BG451" s="15">
        <f t="shared" si="272"/>
        <v>22.170849845882874</v>
      </c>
      <c r="BH451" s="75">
        <f>BG451*(1-PARAM!$C$27)*$I$17+(MOD($B451,60)=PARAM!$B$56)*($B451&gt;(60-PARAM!$B$56))*HLOOKUP(($B451+PARAM!$B$56)/12,Loyalty,2)*$F$1*MAX(BJ450,0)</f>
        <v>18.557001321003963</v>
      </c>
      <c r="BI451" s="75">
        <f>PARAM!$C$26+MAX($G$17-CHOOSE(PARAM!$B$44,MAX(0,BJ450*$F$1),0),0)*RATES!$L427/12+$H$17*(PARAM!$D$51/12)*RATES!$N427/100</f>
        <v>74.666666666666657</v>
      </c>
      <c r="BJ451" s="16">
        <f t="shared" si="298"/>
        <v>-3370.2394641098813</v>
      </c>
      <c r="BK451" s="15">
        <f t="shared" si="273"/>
        <v>22.170849845882874</v>
      </c>
      <c r="BL451" s="75">
        <f>BK451*(1-PARAM!$C$27)*$I$18+(MOD($B451,60)=PARAM!$B$56)*($B451&gt;(60-PARAM!$B$56))*HLOOKUP(($B451+PARAM!$B$56)/12,Loyalty,2)*$F$1*MAX(BN450,0)</f>
        <v>18.557001321003963</v>
      </c>
      <c r="BM451" s="75">
        <f>PARAM!$C$26+MAX($G$18-CHOOSE(PARAM!$B$44,MAX(0,BN450*$F$1),0),0)*RATES!$L427/12+$H$18*(PARAM!$D$51/12)*RATES!$N427/100</f>
        <v>74.666666666666657</v>
      </c>
      <c r="BN451" s="16">
        <f t="shared" si="299"/>
        <v>-3370.2394641098813</v>
      </c>
      <c r="BO451" s="15">
        <f t="shared" si="274"/>
        <v>22.170849845882874</v>
      </c>
      <c r="BP451" s="75">
        <f>BO451*(1-PARAM!$C$27)*$I$19+(MOD($B451,60)=PARAM!$B$56)*($B451&gt;(60-PARAM!$B$56))*HLOOKUP(($B451+PARAM!$B$56)/12,Loyalty,2)*$F$1*MAX(BR450,0)</f>
        <v>18.557001321003963</v>
      </c>
      <c r="BQ451" s="75">
        <f>PARAM!$C$26+MAX($G$19-CHOOSE(PARAM!$B$44,MAX(0,BR450*$F$1),0),0)*RATES!$L427/12+$H$19*(PARAM!$D$51/12)*RATES!$N427/100</f>
        <v>74.666666666666657</v>
      </c>
      <c r="BR451" s="16">
        <f t="shared" si="300"/>
        <v>-3370.2394641098813</v>
      </c>
      <c r="BS451" s="15">
        <f t="shared" si="275"/>
        <v>22.170849845882874</v>
      </c>
      <c r="BT451" s="75">
        <f>BS451*(1-PARAM!$C$27)*$I$20+(MOD($B451,60)=PARAM!$B$56)*($B451&gt;(60-PARAM!$B$56))*HLOOKUP(($B451+PARAM!$B$56)/12,Loyalty,2)*$F$1*MAX(BV450,0)</f>
        <v>18.557001321003963</v>
      </c>
      <c r="BU451" s="75">
        <f>PARAM!$C$26+MAX($G$20-CHOOSE(PARAM!$B$44,MAX(0,BV450*$F$1),0),0)*RATES!$L427/12+$H$20*(PARAM!$D$51/12)*RATES!$N427/100</f>
        <v>74.666666666666657</v>
      </c>
      <c r="BV451" s="16">
        <f t="shared" si="301"/>
        <v>-3370.2394641098813</v>
      </c>
      <c r="BW451" s="15">
        <f t="shared" si="276"/>
        <v>22.170849845882874</v>
      </c>
      <c r="BX451" s="75">
        <f>BW451*(1-PARAM!$C$27)*$I$21+(MOD($B451,60)=PARAM!$B$56)*($B451&gt;(60-PARAM!$B$56))*HLOOKUP(($B451+PARAM!$B$56)/12,Loyalty,2)*$F$1*MAX(BZ450,0)</f>
        <v>18.557001321003963</v>
      </c>
      <c r="BY451" s="75">
        <f>PARAM!$C$26+MAX($G$21-CHOOSE(PARAM!$B$44,MAX(0,BZ450*$F$1),0),0)*RATES!$L427/12+$H$21*(PARAM!$D$51/12)*RATES!$N427/100</f>
        <v>74.666666666666657</v>
      </c>
      <c r="BZ451" s="16">
        <f t="shared" si="302"/>
        <v>-3370.2394641098813</v>
      </c>
      <c r="CA451" s="15">
        <f t="shared" si="277"/>
        <v>22.170849845882874</v>
      </c>
      <c r="CB451" s="75">
        <f>CA451*(1-PARAM!$C$27)*$I$22+(MOD($B451,60)=PARAM!$B$56)*($B451&gt;(60-PARAM!$B$56))*HLOOKUP(($B451+PARAM!$B$56)/12,Loyalty,2)*$F$1*MAX(CD450,0)</f>
        <v>18.557001321003963</v>
      </c>
      <c r="CC451" s="75">
        <f>PARAM!$C$26+MAX($G$22-CHOOSE(PARAM!$B$44,MAX(0,CD450*$F$1),0),0)*RATES!$L427/12+$H$22*(PARAM!$D$51/12)*RATES!$N427/100</f>
        <v>74.666666666666657</v>
      </c>
      <c r="CD451" s="16">
        <f t="shared" si="303"/>
        <v>-3370.2394641098813</v>
      </c>
      <c r="CE451" s="33">
        <f>IF(0=MOD(B451,12/PARAM!$D$51),1,0)</f>
        <v>1</v>
      </c>
      <c r="CF451" s="15">
        <f t="shared" si="278"/>
        <v>0</v>
      </c>
      <c r="CG451" s="75">
        <f>CF451*(1-PARAM!$C$27)*$R$3+(MOD($B451/12,5)=0)*($B451&gt;60)*HLOOKUP($B451/12,Loyalty,2)*$F$1*MAX(CI450,0)</f>
        <v>0</v>
      </c>
      <c r="CH451" s="75">
        <f>PARAM!$C$26+MAX($P$3-CHOOSE(PARAM!$B$44,MAX(0,CI450*$F$1),0),0)*RATES!$L427/12+$Q$3*(PARAM!$D$51/12)*RATES!$N427/100</f>
        <v>74.666666666666657</v>
      </c>
      <c r="CI451" s="16">
        <f>IF(CI450&gt;0,CI450*PARAM!$C$53,CI450)+CG451-CH451</f>
        <v>-11118.833333333321</v>
      </c>
      <c r="CJ451" s="15">
        <f t="shared" si="304"/>
        <v>0</v>
      </c>
      <c r="CK451" s="75">
        <f>CJ451*(1-PARAM!$C$27)*$R$4+(MOD($B451/12,5)=0)*($B451&gt;60)*HLOOKUP($B451/12,Loyalty,2)*$F$1*MAX(CM450,0)</f>
        <v>0</v>
      </c>
      <c r="CL451" s="75">
        <f>PARAM!$C$26+MAX($P$4-CHOOSE(PARAM!$B$44,MAX(0,CM450*$F$1),0),0)*RATES!$L427/12+$Q$4*(PARAM!$D$51/12)*RATES!$N427/100</f>
        <v>74.666666666666657</v>
      </c>
      <c r="CM451" s="16">
        <f>IF(CM450&gt;0,CM450*PARAM!$C$53,CM450)+CK451-CL451</f>
        <v>-11118.833333333321</v>
      </c>
      <c r="CO451" s="176"/>
    </row>
    <row r="452" spans="1:93" x14ac:dyDescent="0.2">
      <c r="A452" t="b">
        <f t="shared" si="279"/>
        <v>0</v>
      </c>
      <c r="B452" s="33">
        <v>425</v>
      </c>
      <c r="C452" s="15">
        <f t="shared" si="280"/>
        <v>20.081305947392778</v>
      </c>
      <c r="D452" s="75">
        <f>C452*(1-PARAM!$C$27)*$I$3+(MOD($B452,60)=PARAM!$B$56)*($B452&gt;(60-PARAM!$B$56))*HLOOKUP(($B452+PARAM!$B$56)/12,Loyalty,2)*$F$1*MAX(F451,0)</f>
        <v>16.808053077967756</v>
      </c>
      <c r="E452" s="75">
        <f>PARAM!$C$26+MAX($G$3-CHOOSE(PARAM!$B$44,MAX(0,F451*$F$1),0),0)*RATES!$L428/12+$H$3*(PARAM!$D$51/12)*RATES!$N428/100</f>
        <v>74.666666666666657</v>
      </c>
      <c r="F452" s="16">
        <f t="shared" si="281"/>
        <v>-4206.5026332674461</v>
      </c>
      <c r="G452" s="15">
        <f t="shared" si="282"/>
        <v>22.035289406060361</v>
      </c>
      <c r="H452" s="75">
        <f>G452*(1-PARAM!$C$27)*$I$4+(MOD($B452,60)=PARAM!$B$56)*($B452&gt;(60-PARAM!$B$56))*HLOOKUP(($B452+PARAM!$B$56)/12,Loyalty,2)*$F$1*MAX(J451,0)</f>
        <v>18.443537232872522</v>
      </c>
      <c r="I452" s="75">
        <f>PARAM!$C$26+MAX($G$4-CHOOSE(PARAM!$B$44,MAX(0,J451*$F$1),0),0)*RATES!$L428/12+$H$4*(PARAM!$D$51/12)*RATES!$N428/100</f>
        <v>74.666666666666657</v>
      </c>
      <c r="J452" s="16">
        <f t="shared" si="283"/>
        <v>-3477.5889033112003</v>
      </c>
      <c r="K452" s="15">
        <f t="shared" si="284"/>
        <v>22.170849845882874</v>
      </c>
      <c r="L452" s="75">
        <f>K452*(1-PARAM!$C$27)*$I$5+(MOD($B452,60)=PARAM!$B$56)*($B452&gt;(60-PARAM!$B$56))*HLOOKUP(($B452+PARAM!$B$56)/12,Loyalty,2)*$F$1*MAX(N451,0)</f>
        <v>18.557001321003963</v>
      </c>
      <c r="M452" s="75">
        <f>PARAM!$C$26+MAX($G$5-CHOOSE(PARAM!$B$44,MAX(0,N451*$F$1),0),0)*RATES!$L428/12+$H$5*(PARAM!$D$51/12)*RATES!$N428/100</f>
        <v>74.666666666666657</v>
      </c>
      <c r="N452" s="16">
        <f t="shared" si="285"/>
        <v>-3426.3491294555438</v>
      </c>
      <c r="O452" s="15">
        <f t="shared" si="286"/>
        <v>22.170849845882874</v>
      </c>
      <c r="P452" s="75">
        <f>O452*(1-PARAM!$C$27)*$I$6+(MOD($B452,60)=PARAM!$B$56)*($B452&gt;(60-PARAM!$B$56))*HLOOKUP(($B452+PARAM!$B$56)/12,Loyalty,2)*$F$1*MAX(R451,0)</f>
        <v>18.557001321003963</v>
      </c>
      <c r="Q452" s="75">
        <f>PARAM!$C$26+MAX($G$6-CHOOSE(PARAM!$B$44,MAX(0,R451*$F$1),0),0)*RATES!$L428/12+$H$6*(PARAM!$D$51/12)*RATES!$N428/100</f>
        <v>74.666666666666657</v>
      </c>
      <c r="R452" s="16">
        <f t="shared" si="287"/>
        <v>-3426.3491294555438</v>
      </c>
      <c r="S452" s="15">
        <f t="shared" si="262"/>
        <v>22.170849845882874</v>
      </c>
      <c r="T452" s="75">
        <f>S452*(1-PARAM!$C$27)*$I$7+(MOD($B452,60)=PARAM!$B$56)*($B452&gt;(60-PARAM!$B$56))*HLOOKUP(($B452+PARAM!$B$56)/12,Loyalty,2)*$F$1*MAX(V451,0)</f>
        <v>18.557001321003963</v>
      </c>
      <c r="U452" s="75">
        <f>PARAM!$C$26+MAX($G$7-CHOOSE(PARAM!$B$44,MAX(0,V451*$F$1),0),0)*RATES!$L428/12+$H$7*(PARAM!$D$51/12)*RATES!$N428/100</f>
        <v>74.666666666666657</v>
      </c>
      <c r="V452" s="16">
        <f t="shared" si="288"/>
        <v>-3426.3491294555438</v>
      </c>
      <c r="W452" s="15">
        <f t="shared" si="263"/>
        <v>22.170849845882874</v>
      </c>
      <c r="X452" s="75">
        <f>W452*(1-PARAM!$C$27)*$I$8+(MOD($B452,60)=PARAM!$B$56)*($B452&gt;(60-PARAM!$B$56))*HLOOKUP(($B452+PARAM!$B$56)/12,Loyalty,2)*$F$1*MAX(Z451,0)</f>
        <v>18.557001321003963</v>
      </c>
      <c r="Y452" s="75">
        <f>PARAM!$C$26+MAX($G$8-CHOOSE(PARAM!$B$44,MAX(0,Z451*$F$1),0),0)*RATES!$L428/12+$H$8*(PARAM!$D$51/12)*RATES!$N428/100</f>
        <v>74.666666666666657</v>
      </c>
      <c r="Z452" s="16">
        <f t="shared" si="289"/>
        <v>-3426.3491294555438</v>
      </c>
      <c r="AA452" s="15">
        <f t="shared" si="264"/>
        <v>22.170849845882874</v>
      </c>
      <c r="AB452" s="75">
        <f>AA452*(1-PARAM!$C$27)*$I$9+(MOD($B452,60)=PARAM!$B$56)*($B452&gt;(60-PARAM!$B$56))*HLOOKUP(($B452+PARAM!$B$56)/12,Loyalty,2)*$F$1*MAX(AD451,0)</f>
        <v>18.557001321003963</v>
      </c>
      <c r="AC452" s="75">
        <f>PARAM!$C$26+MAX($G$9-CHOOSE(PARAM!$B$44,MAX(0,AD451*$F$1),0),0)*RATES!$L428/12+$H$9*(PARAM!$D$51/12)*RATES!$N428/100</f>
        <v>74.666666666666657</v>
      </c>
      <c r="AD452" s="16">
        <f t="shared" si="290"/>
        <v>-3426.3491294555438</v>
      </c>
      <c r="AE452" s="15">
        <f t="shared" si="265"/>
        <v>22.170849845882874</v>
      </c>
      <c r="AF452" s="75">
        <f>AE452*(1-PARAM!$C$27)*$I$10+(MOD($B452,60)=PARAM!$B$56)*($B452&gt;(60-PARAM!$B$56))*HLOOKUP(($B452+PARAM!$B$56)/12,Loyalty,2)*$F$1*MAX(AH451,0)</f>
        <v>18.557001321003963</v>
      </c>
      <c r="AG452" s="75">
        <f>PARAM!$C$26+MAX($G$10-CHOOSE(PARAM!$B$44,MAX(0,AH451*$F$1),0),0)*RATES!$L428/12+$H$10*(PARAM!$D$51/12)*RATES!$N428/100</f>
        <v>74.666666666666657</v>
      </c>
      <c r="AH452" s="16">
        <f t="shared" si="291"/>
        <v>-3426.3491294555438</v>
      </c>
      <c r="AI452" s="15">
        <f t="shared" si="266"/>
        <v>22.170849845882874</v>
      </c>
      <c r="AJ452" s="75">
        <f>AI452*(1-PARAM!$C$27)*$I$11+(MOD($B452,60)=PARAM!$B$56)*($B452&gt;(60-PARAM!$B$56))*HLOOKUP(($B452+PARAM!$B$56)/12,Loyalty,2)*$F$1*MAX(AL451,0)</f>
        <v>18.557001321003963</v>
      </c>
      <c r="AK452" s="75">
        <f>PARAM!$C$26+MAX($G$11-CHOOSE(PARAM!$B$44,MAX(0,AL451*$F$1),0),0)*RATES!$L428/12+$H$11*(PARAM!$D$51/12)*RATES!$N428/100</f>
        <v>74.666666666666657</v>
      </c>
      <c r="AL452" s="16">
        <f t="shared" si="292"/>
        <v>-3426.3491294555438</v>
      </c>
      <c r="AM452" s="15">
        <f t="shared" si="267"/>
        <v>22.170849845882874</v>
      </c>
      <c r="AN452" s="75">
        <f>AM452*(1-PARAM!$C$27)*$I$12+(MOD($B452,60)=PARAM!$B$56)*($B452&gt;(60-PARAM!$B$56))*HLOOKUP(($B452+PARAM!$B$56)/12,Loyalty,2)*$F$1*MAX(AP451,0)</f>
        <v>18.557001321003963</v>
      </c>
      <c r="AO452" s="75">
        <f>PARAM!$C$26+MAX($G$12-CHOOSE(PARAM!$B$44,MAX(0,AP451*$F$1),0),0)*RATES!$L428/12+$H$12*(PARAM!$D$51/12)*RATES!$N428/100</f>
        <v>74.666666666666657</v>
      </c>
      <c r="AP452" s="16">
        <f t="shared" si="293"/>
        <v>-3426.3491294555438</v>
      </c>
      <c r="AQ452" s="15">
        <f t="shared" si="268"/>
        <v>22.170849845882874</v>
      </c>
      <c r="AR452" s="75">
        <f>AQ452*(1-PARAM!$C$27)*$I$13+(MOD($B452,60)=PARAM!$B$56)*($B452&gt;(60-PARAM!$B$56))*HLOOKUP(($B452+PARAM!$B$56)/12,Loyalty,2)*$F$1*MAX(AT451,0)</f>
        <v>18.557001321003963</v>
      </c>
      <c r="AS452" s="75">
        <f>PARAM!$C$26+MAX($G$13-CHOOSE(PARAM!$B$44,MAX(0,AT451*$F$1),0),0)*RATES!$L428/12+$H$13*(PARAM!$D$51/12)*RATES!$N428/100</f>
        <v>74.666666666666657</v>
      </c>
      <c r="AT452" s="16">
        <f t="shared" si="294"/>
        <v>-3426.3491294555438</v>
      </c>
      <c r="AU452" s="15">
        <f t="shared" si="269"/>
        <v>22.170849845882874</v>
      </c>
      <c r="AV452" s="75">
        <f>AU452*(1-PARAM!$C$27)*$I$14+(MOD($B452,60)=PARAM!$B$56)*($B452&gt;(60-PARAM!$B$56))*HLOOKUP(($B452+PARAM!$B$56)/12,Loyalty,2)*$F$1*MAX(AX451,0)</f>
        <v>18.557001321003963</v>
      </c>
      <c r="AW452" s="75">
        <f>PARAM!$C$26+MAX($G$14-CHOOSE(PARAM!$B$44,MAX(0,AX451*$F$1),0),0)*RATES!$L428/12+$H$14*(PARAM!$D$51/12)*RATES!$N428/100</f>
        <v>74.666666666666657</v>
      </c>
      <c r="AX452" s="16">
        <f t="shared" si="295"/>
        <v>-3426.3491294555438</v>
      </c>
      <c r="AY452" s="15">
        <f t="shared" si="270"/>
        <v>22.170849845882874</v>
      </c>
      <c r="AZ452" s="75">
        <f>AY452*(1-PARAM!$C$27)*$I$15+(MOD($B452,60)=PARAM!$B$56)*($B452&gt;(60-PARAM!$B$56))*HLOOKUP(($B452+PARAM!$B$56)/12,Loyalty,2)*$F$1*MAX(BB451,0)</f>
        <v>18.557001321003963</v>
      </c>
      <c r="BA452" s="75">
        <f>PARAM!$C$26+MAX($G$15-CHOOSE(PARAM!$B$44,MAX(0,BB451*$F$1),0),0)*RATES!$L428/12+$H$15*(PARAM!$D$51/12)*RATES!$N428/100</f>
        <v>74.666666666666657</v>
      </c>
      <c r="BB452" s="16">
        <f t="shared" si="296"/>
        <v>-3426.3491294555438</v>
      </c>
      <c r="BC452" s="15">
        <f t="shared" si="271"/>
        <v>22.170849845882874</v>
      </c>
      <c r="BD452" s="75">
        <f>BC452*(1-PARAM!$C$27)*$I$16+(MOD($B452,60)=PARAM!$B$56)*($B452&gt;(60-PARAM!$B$56))*HLOOKUP(($B452+PARAM!$B$56)/12,Loyalty,2)*$F$1*MAX(BF451,0)</f>
        <v>18.557001321003963</v>
      </c>
      <c r="BE452" s="75">
        <f>PARAM!$C$26+MAX($G$16-CHOOSE(PARAM!$B$44,MAX(0,BF451*$F$1),0),0)*RATES!$L428/12+$H$16*(PARAM!$D$51/12)*RATES!$N428/100</f>
        <v>74.666666666666657</v>
      </c>
      <c r="BF452" s="16">
        <f t="shared" si="297"/>
        <v>-3426.3491294555438</v>
      </c>
      <c r="BG452" s="15">
        <f t="shared" si="272"/>
        <v>22.170849845882874</v>
      </c>
      <c r="BH452" s="75">
        <f>BG452*(1-PARAM!$C$27)*$I$17+(MOD($B452,60)=PARAM!$B$56)*($B452&gt;(60-PARAM!$B$56))*HLOOKUP(($B452+PARAM!$B$56)/12,Loyalty,2)*$F$1*MAX(BJ451,0)</f>
        <v>18.557001321003963</v>
      </c>
      <c r="BI452" s="75">
        <f>PARAM!$C$26+MAX($G$17-CHOOSE(PARAM!$B$44,MAX(0,BJ451*$F$1),0),0)*RATES!$L428/12+$H$17*(PARAM!$D$51/12)*RATES!$N428/100</f>
        <v>74.666666666666657</v>
      </c>
      <c r="BJ452" s="16">
        <f t="shared" si="298"/>
        <v>-3426.3491294555438</v>
      </c>
      <c r="BK452" s="15">
        <f t="shared" si="273"/>
        <v>22.170849845882874</v>
      </c>
      <c r="BL452" s="75">
        <f>BK452*(1-PARAM!$C$27)*$I$18+(MOD($B452,60)=PARAM!$B$56)*($B452&gt;(60-PARAM!$B$56))*HLOOKUP(($B452+PARAM!$B$56)/12,Loyalty,2)*$F$1*MAX(BN451,0)</f>
        <v>18.557001321003963</v>
      </c>
      <c r="BM452" s="75">
        <f>PARAM!$C$26+MAX($G$18-CHOOSE(PARAM!$B$44,MAX(0,BN451*$F$1),0),0)*RATES!$L428/12+$H$18*(PARAM!$D$51/12)*RATES!$N428/100</f>
        <v>74.666666666666657</v>
      </c>
      <c r="BN452" s="16">
        <f t="shared" si="299"/>
        <v>-3426.3491294555438</v>
      </c>
      <c r="BO452" s="15">
        <f t="shared" si="274"/>
        <v>22.170849845882874</v>
      </c>
      <c r="BP452" s="75">
        <f>BO452*(1-PARAM!$C$27)*$I$19+(MOD($B452,60)=PARAM!$B$56)*($B452&gt;(60-PARAM!$B$56))*HLOOKUP(($B452+PARAM!$B$56)/12,Loyalty,2)*$F$1*MAX(BR451,0)</f>
        <v>18.557001321003963</v>
      </c>
      <c r="BQ452" s="75">
        <f>PARAM!$C$26+MAX($G$19-CHOOSE(PARAM!$B$44,MAX(0,BR451*$F$1),0),0)*RATES!$L428/12+$H$19*(PARAM!$D$51/12)*RATES!$N428/100</f>
        <v>74.666666666666657</v>
      </c>
      <c r="BR452" s="16">
        <f t="shared" si="300"/>
        <v>-3426.3491294555438</v>
      </c>
      <c r="BS452" s="15">
        <f t="shared" si="275"/>
        <v>22.170849845882874</v>
      </c>
      <c r="BT452" s="75">
        <f>BS452*(1-PARAM!$C$27)*$I$20+(MOD($B452,60)=PARAM!$B$56)*($B452&gt;(60-PARAM!$B$56))*HLOOKUP(($B452+PARAM!$B$56)/12,Loyalty,2)*$F$1*MAX(BV451,0)</f>
        <v>18.557001321003963</v>
      </c>
      <c r="BU452" s="75">
        <f>PARAM!$C$26+MAX($G$20-CHOOSE(PARAM!$B$44,MAX(0,BV451*$F$1),0),0)*RATES!$L428/12+$H$20*(PARAM!$D$51/12)*RATES!$N428/100</f>
        <v>74.666666666666657</v>
      </c>
      <c r="BV452" s="16">
        <f t="shared" si="301"/>
        <v>-3426.3491294555438</v>
      </c>
      <c r="BW452" s="15">
        <f t="shared" si="276"/>
        <v>22.170849845882874</v>
      </c>
      <c r="BX452" s="75">
        <f>BW452*(1-PARAM!$C$27)*$I$21+(MOD($B452,60)=PARAM!$B$56)*($B452&gt;(60-PARAM!$B$56))*HLOOKUP(($B452+PARAM!$B$56)/12,Loyalty,2)*$F$1*MAX(BZ451,0)</f>
        <v>18.557001321003963</v>
      </c>
      <c r="BY452" s="75">
        <f>PARAM!$C$26+MAX($G$21-CHOOSE(PARAM!$B$44,MAX(0,BZ451*$F$1),0),0)*RATES!$L428/12+$H$21*(PARAM!$D$51/12)*RATES!$N428/100</f>
        <v>74.666666666666657</v>
      </c>
      <c r="BZ452" s="16">
        <f t="shared" si="302"/>
        <v>-3426.3491294555438</v>
      </c>
      <c r="CA452" s="15">
        <f t="shared" si="277"/>
        <v>22.170849845882874</v>
      </c>
      <c r="CB452" s="75">
        <f>CA452*(1-PARAM!$C$27)*$I$22+(MOD($B452,60)=PARAM!$B$56)*($B452&gt;(60-PARAM!$B$56))*HLOOKUP(($B452+PARAM!$B$56)/12,Loyalty,2)*$F$1*MAX(CD451,0)</f>
        <v>18.557001321003963</v>
      </c>
      <c r="CC452" s="75">
        <f>PARAM!$C$26+MAX($G$22-CHOOSE(PARAM!$B$44,MAX(0,CD451*$F$1),0),0)*RATES!$L428/12+$H$22*(PARAM!$D$51/12)*RATES!$N428/100</f>
        <v>74.666666666666657</v>
      </c>
      <c r="CD452" s="16">
        <f t="shared" si="303"/>
        <v>-3426.3491294555438</v>
      </c>
      <c r="CE452" s="33">
        <f>IF(0=MOD(B452,12/PARAM!$D$51),1,0)</f>
        <v>1</v>
      </c>
      <c r="CF452" s="15">
        <f t="shared" si="278"/>
        <v>0</v>
      </c>
      <c r="CG452" s="75">
        <f>CF452*(1-PARAM!$C$27)*$R$3+(MOD($B452/12,5)=0)*($B452&gt;60)*HLOOKUP($B452/12,Loyalty,2)*$F$1*MAX(CI451,0)</f>
        <v>0</v>
      </c>
      <c r="CH452" s="75">
        <f>PARAM!$C$26+MAX($P$3-CHOOSE(PARAM!$B$44,MAX(0,CI451*$F$1),0),0)*RATES!$L428/12+$Q$3*(PARAM!$D$51/12)*RATES!$N428/100</f>
        <v>74.666666666666657</v>
      </c>
      <c r="CI452" s="16">
        <f>IF(CI451&gt;0,CI451*PARAM!$C$53,CI451)+CG452-CH452</f>
        <v>-11193.499999999987</v>
      </c>
      <c r="CJ452" s="15">
        <f t="shared" si="304"/>
        <v>0</v>
      </c>
      <c r="CK452" s="75">
        <f>CJ452*(1-PARAM!$C$27)*$R$4+(MOD($B452/12,5)=0)*($B452&gt;60)*HLOOKUP($B452/12,Loyalty,2)*$F$1*MAX(CM451,0)</f>
        <v>0</v>
      </c>
      <c r="CL452" s="75">
        <f>PARAM!$C$26+MAX($P$4-CHOOSE(PARAM!$B$44,MAX(0,CM451*$F$1),0),0)*RATES!$L428/12+$Q$4*(PARAM!$D$51/12)*RATES!$N428/100</f>
        <v>74.666666666666657</v>
      </c>
      <c r="CM452" s="16">
        <f>IF(CM451&gt;0,CM451*PARAM!$C$53,CM451)+CK452-CL452</f>
        <v>-11193.499999999987</v>
      </c>
      <c r="CO452" s="176"/>
    </row>
    <row r="453" spans="1:93" x14ac:dyDescent="0.2">
      <c r="A453" t="b">
        <f t="shared" si="279"/>
        <v>0</v>
      </c>
      <c r="B453" s="33">
        <v>426</v>
      </c>
      <c r="C453" s="15">
        <f t="shared" si="280"/>
        <v>20.081305947392778</v>
      </c>
      <c r="D453" s="75">
        <f>C453*(1-PARAM!$C$27)*$I$3+(MOD($B453,60)=PARAM!$B$56)*($B453&gt;(60-PARAM!$B$56))*HLOOKUP(($B453+PARAM!$B$56)/12,Loyalty,2)*$F$1*MAX(F452,0)</f>
        <v>16.808053077967756</v>
      </c>
      <c r="E453" s="75">
        <f>PARAM!$C$26+MAX($G$3-CHOOSE(PARAM!$B$44,MAX(0,F452*$F$1),0),0)*RATES!$L429/12+$H$3*(PARAM!$D$51/12)*RATES!$N429/100</f>
        <v>82.166666666666657</v>
      </c>
      <c r="F453" s="16">
        <f t="shared" si="281"/>
        <v>-4271.861246856145</v>
      </c>
      <c r="G453" s="15">
        <f t="shared" si="282"/>
        <v>22.035289406060361</v>
      </c>
      <c r="H453" s="75">
        <f>G453*(1-PARAM!$C$27)*$I$4+(MOD($B453,60)=PARAM!$B$56)*($B453&gt;(60-PARAM!$B$56))*HLOOKUP(($B453+PARAM!$B$56)/12,Loyalty,2)*$F$1*MAX(J452,0)</f>
        <v>18.443537232872522</v>
      </c>
      <c r="I453" s="75">
        <f>PARAM!$C$26+MAX($G$4-CHOOSE(PARAM!$B$44,MAX(0,J452*$F$1),0),0)*RATES!$L429/12+$H$4*(PARAM!$D$51/12)*RATES!$N429/100</f>
        <v>82.166666666666657</v>
      </c>
      <c r="J453" s="16">
        <f t="shared" si="283"/>
        <v>-3541.3120327449942</v>
      </c>
      <c r="K453" s="15">
        <f t="shared" si="284"/>
        <v>22.170849845882874</v>
      </c>
      <c r="L453" s="75">
        <f>K453*(1-PARAM!$C$27)*$I$5+(MOD($B453,60)=PARAM!$B$56)*($B453&gt;(60-PARAM!$B$56))*HLOOKUP(($B453+PARAM!$B$56)/12,Loyalty,2)*$F$1*MAX(N452,0)</f>
        <v>18.557001321003963</v>
      </c>
      <c r="M453" s="75">
        <f>PARAM!$C$26+MAX($G$5-CHOOSE(PARAM!$B$44,MAX(0,N452*$F$1),0),0)*RATES!$L429/12+$H$5*(PARAM!$D$51/12)*RATES!$N429/100</f>
        <v>82.166666666666657</v>
      </c>
      <c r="N453" s="16">
        <f t="shared" si="285"/>
        <v>-3489.9587948012063</v>
      </c>
      <c r="O453" s="15">
        <f t="shared" si="286"/>
        <v>22.170849845882874</v>
      </c>
      <c r="P453" s="75">
        <f>O453*(1-PARAM!$C$27)*$I$6+(MOD($B453,60)=PARAM!$B$56)*($B453&gt;(60-PARAM!$B$56))*HLOOKUP(($B453+PARAM!$B$56)/12,Loyalty,2)*$F$1*MAX(R452,0)</f>
        <v>18.557001321003963</v>
      </c>
      <c r="Q453" s="75">
        <f>PARAM!$C$26+MAX($G$6-CHOOSE(PARAM!$B$44,MAX(0,R452*$F$1),0),0)*RATES!$L429/12+$H$6*(PARAM!$D$51/12)*RATES!$N429/100</f>
        <v>82.166666666666657</v>
      </c>
      <c r="R453" s="16">
        <f t="shared" si="287"/>
        <v>-3489.9587948012063</v>
      </c>
      <c r="S453" s="15">
        <f t="shared" si="262"/>
        <v>22.170849845882874</v>
      </c>
      <c r="T453" s="75">
        <f>S453*(1-PARAM!$C$27)*$I$7+(MOD($B453,60)=PARAM!$B$56)*($B453&gt;(60-PARAM!$B$56))*HLOOKUP(($B453+PARAM!$B$56)/12,Loyalty,2)*$F$1*MAX(V452,0)</f>
        <v>18.557001321003963</v>
      </c>
      <c r="U453" s="75">
        <f>PARAM!$C$26+MAX($G$7-CHOOSE(PARAM!$B$44,MAX(0,V452*$F$1),0),0)*RATES!$L429/12+$H$7*(PARAM!$D$51/12)*RATES!$N429/100</f>
        <v>82.166666666666657</v>
      </c>
      <c r="V453" s="16">
        <f t="shared" si="288"/>
        <v>-3489.9587948012063</v>
      </c>
      <c r="W453" s="15">
        <f t="shared" si="263"/>
        <v>22.170849845882874</v>
      </c>
      <c r="X453" s="75">
        <f>W453*(1-PARAM!$C$27)*$I$8+(MOD($B453,60)=PARAM!$B$56)*($B453&gt;(60-PARAM!$B$56))*HLOOKUP(($B453+PARAM!$B$56)/12,Loyalty,2)*$F$1*MAX(Z452,0)</f>
        <v>18.557001321003963</v>
      </c>
      <c r="Y453" s="75">
        <f>PARAM!$C$26+MAX($G$8-CHOOSE(PARAM!$B$44,MAX(0,Z452*$F$1),0),0)*RATES!$L429/12+$H$8*(PARAM!$D$51/12)*RATES!$N429/100</f>
        <v>82.166666666666657</v>
      </c>
      <c r="Z453" s="16">
        <f t="shared" si="289"/>
        <v>-3489.9587948012063</v>
      </c>
      <c r="AA453" s="15">
        <f t="shared" si="264"/>
        <v>22.170849845882874</v>
      </c>
      <c r="AB453" s="75">
        <f>AA453*(1-PARAM!$C$27)*$I$9+(MOD($B453,60)=PARAM!$B$56)*($B453&gt;(60-PARAM!$B$56))*HLOOKUP(($B453+PARAM!$B$56)/12,Loyalty,2)*$F$1*MAX(AD452,0)</f>
        <v>18.557001321003963</v>
      </c>
      <c r="AC453" s="75">
        <f>PARAM!$C$26+MAX($G$9-CHOOSE(PARAM!$B$44,MAX(0,AD452*$F$1),0),0)*RATES!$L429/12+$H$9*(PARAM!$D$51/12)*RATES!$N429/100</f>
        <v>82.166666666666657</v>
      </c>
      <c r="AD453" s="16">
        <f t="shared" si="290"/>
        <v>-3489.9587948012063</v>
      </c>
      <c r="AE453" s="15">
        <f t="shared" si="265"/>
        <v>22.170849845882874</v>
      </c>
      <c r="AF453" s="75">
        <f>AE453*(1-PARAM!$C$27)*$I$10+(MOD($B453,60)=PARAM!$B$56)*($B453&gt;(60-PARAM!$B$56))*HLOOKUP(($B453+PARAM!$B$56)/12,Loyalty,2)*$F$1*MAX(AH452,0)</f>
        <v>18.557001321003963</v>
      </c>
      <c r="AG453" s="75">
        <f>PARAM!$C$26+MAX($G$10-CHOOSE(PARAM!$B$44,MAX(0,AH452*$F$1),0),0)*RATES!$L429/12+$H$10*(PARAM!$D$51/12)*RATES!$N429/100</f>
        <v>82.166666666666657</v>
      </c>
      <c r="AH453" s="16">
        <f t="shared" si="291"/>
        <v>-3489.9587948012063</v>
      </c>
      <c r="AI453" s="15">
        <f t="shared" si="266"/>
        <v>22.170849845882874</v>
      </c>
      <c r="AJ453" s="75">
        <f>AI453*(1-PARAM!$C$27)*$I$11+(MOD($B453,60)=PARAM!$B$56)*($B453&gt;(60-PARAM!$B$56))*HLOOKUP(($B453+PARAM!$B$56)/12,Loyalty,2)*$F$1*MAX(AL452,0)</f>
        <v>18.557001321003963</v>
      </c>
      <c r="AK453" s="75">
        <f>PARAM!$C$26+MAX($G$11-CHOOSE(PARAM!$B$44,MAX(0,AL452*$F$1),0),0)*RATES!$L429/12+$H$11*(PARAM!$D$51/12)*RATES!$N429/100</f>
        <v>82.166666666666657</v>
      </c>
      <c r="AL453" s="16">
        <f t="shared" si="292"/>
        <v>-3489.9587948012063</v>
      </c>
      <c r="AM453" s="15">
        <f t="shared" si="267"/>
        <v>22.170849845882874</v>
      </c>
      <c r="AN453" s="75">
        <f>AM453*(1-PARAM!$C$27)*$I$12+(MOD($B453,60)=PARAM!$B$56)*($B453&gt;(60-PARAM!$B$56))*HLOOKUP(($B453+PARAM!$B$56)/12,Loyalty,2)*$F$1*MAX(AP452,0)</f>
        <v>18.557001321003963</v>
      </c>
      <c r="AO453" s="75">
        <f>PARAM!$C$26+MAX($G$12-CHOOSE(PARAM!$B$44,MAX(0,AP452*$F$1),0),0)*RATES!$L429/12+$H$12*(PARAM!$D$51/12)*RATES!$N429/100</f>
        <v>82.166666666666657</v>
      </c>
      <c r="AP453" s="16">
        <f t="shared" si="293"/>
        <v>-3489.9587948012063</v>
      </c>
      <c r="AQ453" s="15">
        <f t="shared" si="268"/>
        <v>22.170849845882874</v>
      </c>
      <c r="AR453" s="75">
        <f>AQ453*(1-PARAM!$C$27)*$I$13+(MOD($B453,60)=PARAM!$B$56)*($B453&gt;(60-PARAM!$B$56))*HLOOKUP(($B453+PARAM!$B$56)/12,Loyalty,2)*$F$1*MAX(AT452,0)</f>
        <v>18.557001321003963</v>
      </c>
      <c r="AS453" s="75">
        <f>PARAM!$C$26+MAX($G$13-CHOOSE(PARAM!$B$44,MAX(0,AT452*$F$1),0),0)*RATES!$L429/12+$H$13*(PARAM!$D$51/12)*RATES!$N429/100</f>
        <v>82.166666666666657</v>
      </c>
      <c r="AT453" s="16">
        <f t="shared" si="294"/>
        <v>-3489.9587948012063</v>
      </c>
      <c r="AU453" s="15">
        <f t="shared" si="269"/>
        <v>22.170849845882874</v>
      </c>
      <c r="AV453" s="75">
        <f>AU453*(1-PARAM!$C$27)*$I$14+(MOD($B453,60)=PARAM!$B$56)*($B453&gt;(60-PARAM!$B$56))*HLOOKUP(($B453+PARAM!$B$56)/12,Loyalty,2)*$F$1*MAX(AX452,0)</f>
        <v>18.557001321003963</v>
      </c>
      <c r="AW453" s="75">
        <f>PARAM!$C$26+MAX($G$14-CHOOSE(PARAM!$B$44,MAX(0,AX452*$F$1),0),0)*RATES!$L429/12+$H$14*(PARAM!$D$51/12)*RATES!$N429/100</f>
        <v>82.166666666666657</v>
      </c>
      <c r="AX453" s="16">
        <f t="shared" si="295"/>
        <v>-3489.9587948012063</v>
      </c>
      <c r="AY453" s="15">
        <f t="shared" si="270"/>
        <v>22.170849845882874</v>
      </c>
      <c r="AZ453" s="75">
        <f>AY453*(1-PARAM!$C$27)*$I$15+(MOD($B453,60)=PARAM!$B$56)*($B453&gt;(60-PARAM!$B$56))*HLOOKUP(($B453+PARAM!$B$56)/12,Loyalty,2)*$F$1*MAX(BB452,0)</f>
        <v>18.557001321003963</v>
      </c>
      <c r="BA453" s="75">
        <f>PARAM!$C$26+MAX($G$15-CHOOSE(PARAM!$B$44,MAX(0,BB452*$F$1),0),0)*RATES!$L429/12+$H$15*(PARAM!$D$51/12)*RATES!$N429/100</f>
        <v>82.166666666666657</v>
      </c>
      <c r="BB453" s="16">
        <f t="shared" si="296"/>
        <v>-3489.9587948012063</v>
      </c>
      <c r="BC453" s="15">
        <f t="shared" si="271"/>
        <v>22.170849845882874</v>
      </c>
      <c r="BD453" s="75">
        <f>BC453*(1-PARAM!$C$27)*$I$16+(MOD($B453,60)=PARAM!$B$56)*($B453&gt;(60-PARAM!$B$56))*HLOOKUP(($B453+PARAM!$B$56)/12,Loyalty,2)*$F$1*MAX(BF452,0)</f>
        <v>18.557001321003963</v>
      </c>
      <c r="BE453" s="75">
        <f>PARAM!$C$26+MAX($G$16-CHOOSE(PARAM!$B$44,MAX(0,BF452*$F$1),0),0)*RATES!$L429/12+$H$16*(PARAM!$D$51/12)*RATES!$N429/100</f>
        <v>82.166666666666657</v>
      </c>
      <c r="BF453" s="16">
        <f t="shared" si="297"/>
        <v>-3489.9587948012063</v>
      </c>
      <c r="BG453" s="15">
        <f t="shared" si="272"/>
        <v>22.170849845882874</v>
      </c>
      <c r="BH453" s="75">
        <f>BG453*(1-PARAM!$C$27)*$I$17+(MOD($B453,60)=PARAM!$B$56)*($B453&gt;(60-PARAM!$B$56))*HLOOKUP(($B453+PARAM!$B$56)/12,Loyalty,2)*$F$1*MAX(BJ452,0)</f>
        <v>18.557001321003963</v>
      </c>
      <c r="BI453" s="75">
        <f>PARAM!$C$26+MAX($G$17-CHOOSE(PARAM!$B$44,MAX(0,BJ452*$F$1),0),0)*RATES!$L429/12+$H$17*(PARAM!$D$51/12)*RATES!$N429/100</f>
        <v>82.166666666666657</v>
      </c>
      <c r="BJ453" s="16">
        <f t="shared" si="298"/>
        <v>-3489.9587948012063</v>
      </c>
      <c r="BK453" s="15">
        <f t="shared" si="273"/>
        <v>22.170849845882874</v>
      </c>
      <c r="BL453" s="75">
        <f>BK453*(1-PARAM!$C$27)*$I$18+(MOD($B453,60)=PARAM!$B$56)*($B453&gt;(60-PARAM!$B$56))*HLOOKUP(($B453+PARAM!$B$56)/12,Loyalty,2)*$F$1*MAX(BN452,0)</f>
        <v>18.557001321003963</v>
      </c>
      <c r="BM453" s="75">
        <f>PARAM!$C$26+MAX($G$18-CHOOSE(PARAM!$B$44,MAX(0,BN452*$F$1),0),0)*RATES!$L429/12+$H$18*(PARAM!$D$51/12)*RATES!$N429/100</f>
        <v>82.166666666666657</v>
      </c>
      <c r="BN453" s="16">
        <f t="shared" si="299"/>
        <v>-3489.9587948012063</v>
      </c>
      <c r="BO453" s="15">
        <f t="shared" si="274"/>
        <v>22.170849845882874</v>
      </c>
      <c r="BP453" s="75">
        <f>BO453*(1-PARAM!$C$27)*$I$19+(MOD($B453,60)=PARAM!$B$56)*($B453&gt;(60-PARAM!$B$56))*HLOOKUP(($B453+PARAM!$B$56)/12,Loyalty,2)*$F$1*MAX(BR452,0)</f>
        <v>18.557001321003963</v>
      </c>
      <c r="BQ453" s="75">
        <f>PARAM!$C$26+MAX($G$19-CHOOSE(PARAM!$B$44,MAX(0,BR452*$F$1),0),0)*RATES!$L429/12+$H$19*(PARAM!$D$51/12)*RATES!$N429/100</f>
        <v>82.166666666666657</v>
      </c>
      <c r="BR453" s="16">
        <f t="shared" si="300"/>
        <v>-3489.9587948012063</v>
      </c>
      <c r="BS453" s="15">
        <f t="shared" si="275"/>
        <v>22.170849845882874</v>
      </c>
      <c r="BT453" s="75">
        <f>BS453*(1-PARAM!$C$27)*$I$20+(MOD($B453,60)=PARAM!$B$56)*($B453&gt;(60-PARAM!$B$56))*HLOOKUP(($B453+PARAM!$B$56)/12,Loyalty,2)*$F$1*MAX(BV452,0)</f>
        <v>18.557001321003963</v>
      </c>
      <c r="BU453" s="75">
        <f>PARAM!$C$26+MAX($G$20-CHOOSE(PARAM!$B$44,MAX(0,BV452*$F$1),0),0)*RATES!$L429/12+$H$20*(PARAM!$D$51/12)*RATES!$N429/100</f>
        <v>82.166666666666657</v>
      </c>
      <c r="BV453" s="16">
        <f t="shared" si="301"/>
        <v>-3489.9587948012063</v>
      </c>
      <c r="BW453" s="15">
        <f t="shared" si="276"/>
        <v>22.170849845882874</v>
      </c>
      <c r="BX453" s="75">
        <f>BW453*(1-PARAM!$C$27)*$I$21+(MOD($B453,60)=PARAM!$B$56)*($B453&gt;(60-PARAM!$B$56))*HLOOKUP(($B453+PARAM!$B$56)/12,Loyalty,2)*$F$1*MAX(BZ452,0)</f>
        <v>18.557001321003963</v>
      </c>
      <c r="BY453" s="75">
        <f>PARAM!$C$26+MAX($G$21-CHOOSE(PARAM!$B$44,MAX(0,BZ452*$F$1),0),0)*RATES!$L429/12+$H$21*(PARAM!$D$51/12)*RATES!$N429/100</f>
        <v>82.166666666666657</v>
      </c>
      <c r="BZ453" s="16">
        <f t="shared" si="302"/>
        <v>-3489.9587948012063</v>
      </c>
      <c r="CA453" s="15">
        <f t="shared" si="277"/>
        <v>22.170849845882874</v>
      </c>
      <c r="CB453" s="75">
        <f>CA453*(1-PARAM!$C$27)*$I$22+(MOD($B453,60)=PARAM!$B$56)*($B453&gt;(60-PARAM!$B$56))*HLOOKUP(($B453+PARAM!$B$56)/12,Loyalty,2)*$F$1*MAX(CD452,0)</f>
        <v>18.557001321003963</v>
      </c>
      <c r="CC453" s="75">
        <f>PARAM!$C$26+MAX($G$22-CHOOSE(PARAM!$B$44,MAX(0,CD452*$F$1),0),0)*RATES!$L429/12+$H$22*(PARAM!$D$51/12)*RATES!$N429/100</f>
        <v>82.166666666666657</v>
      </c>
      <c r="CD453" s="16">
        <f t="shared" si="303"/>
        <v>-3489.9587948012063</v>
      </c>
      <c r="CE453" s="33">
        <f>IF(0=MOD(B453,12/PARAM!$D$51),1,0)</f>
        <v>1</v>
      </c>
      <c r="CF453" s="15">
        <f t="shared" si="278"/>
        <v>0</v>
      </c>
      <c r="CG453" s="75">
        <f>CF453*(1-PARAM!$C$27)*$R$3+(MOD($B453/12,5)=0)*($B453&gt;60)*HLOOKUP($B453/12,Loyalty,2)*$F$1*MAX(CI452,0)</f>
        <v>0</v>
      </c>
      <c r="CH453" s="75">
        <f>PARAM!$C$26+MAX($P$3-CHOOSE(PARAM!$B$44,MAX(0,CI452*$F$1),0),0)*RATES!$L429/12+$Q$3*(PARAM!$D$51/12)*RATES!$N429/100</f>
        <v>82.166666666666657</v>
      </c>
      <c r="CI453" s="16">
        <f>IF(CI452&gt;0,CI452*PARAM!$C$53,CI452)+CG453-CH453</f>
        <v>-11275.666666666653</v>
      </c>
      <c r="CJ453" s="15">
        <f t="shared" si="304"/>
        <v>0</v>
      </c>
      <c r="CK453" s="75">
        <f>CJ453*(1-PARAM!$C$27)*$R$4+(MOD($B453/12,5)=0)*($B453&gt;60)*HLOOKUP($B453/12,Loyalty,2)*$F$1*MAX(CM452,0)</f>
        <v>0</v>
      </c>
      <c r="CL453" s="75">
        <f>PARAM!$C$26+MAX($P$4-CHOOSE(PARAM!$B$44,MAX(0,CM452*$F$1),0),0)*RATES!$L429/12+$Q$4*(PARAM!$D$51/12)*RATES!$N429/100</f>
        <v>82.166666666666657</v>
      </c>
      <c r="CM453" s="16">
        <f>IF(CM452&gt;0,CM452*PARAM!$C$53,CM452)+CK453-CL453</f>
        <v>-11275.666666666653</v>
      </c>
      <c r="CO453" s="176"/>
    </row>
    <row r="454" spans="1:93" x14ac:dyDescent="0.2">
      <c r="A454" t="b">
        <f t="shared" si="279"/>
        <v>0</v>
      </c>
      <c r="B454" s="33">
        <v>427</v>
      </c>
      <c r="C454" s="15">
        <f t="shared" si="280"/>
        <v>20.081305947392778</v>
      </c>
      <c r="D454" s="75">
        <f>C454*(1-PARAM!$C$27)*$I$3+(MOD($B454,60)=PARAM!$B$56)*($B454&gt;(60-PARAM!$B$56))*HLOOKUP(($B454+PARAM!$B$56)/12,Loyalty,2)*$F$1*MAX(F453,0)</f>
        <v>16.808053077967756</v>
      </c>
      <c r="E454" s="75">
        <f>PARAM!$C$26+MAX($G$3-CHOOSE(PARAM!$B$44,MAX(0,F453*$F$1),0),0)*RATES!$L430/12+$H$3*(PARAM!$D$51/12)*RATES!$N430/100</f>
        <v>82.166666666666657</v>
      </c>
      <c r="F454" s="16">
        <f t="shared" si="281"/>
        <v>-4337.219860444844</v>
      </c>
      <c r="G454" s="15">
        <f t="shared" si="282"/>
        <v>22.035289406060361</v>
      </c>
      <c r="H454" s="75">
        <f>G454*(1-PARAM!$C$27)*$I$4+(MOD($B454,60)=PARAM!$B$56)*($B454&gt;(60-PARAM!$B$56))*HLOOKUP(($B454+PARAM!$B$56)/12,Loyalty,2)*$F$1*MAX(J453,0)</f>
        <v>18.443537232872522</v>
      </c>
      <c r="I454" s="75">
        <f>PARAM!$C$26+MAX($G$4-CHOOSE(PARAM!$B$44,MAX(0,J453*$F$1),0),0)*RATES!$L430/12+$H$4*(PARAM!$D$51/12)*RATES!$N430/100</f>
        <v>82.166666666666657</v>
      </c>
      <c r="J454" s="16">
        <f t="shared" si="283"/>
        <v>-3605.0351621787881</v>
      </c>
      <c r="K454" s="15">
        <f t="shared" si="284"/>
        <v>22.170849845882874</v>
      </c>
      <c r="L454" s="75">
        <f>K454*(1-PARAM!$C$27)*$I$5+(MOD($B454,60)=PARAM!$B$56)*($B454&gt;(60-PARAM!$B$56))*HLOOKUP(($B454+PARAM!$B$56)/12,Loyalty,2)*$F$1*MAX(N453,0)</f>
        <v>18.557001321003963</v>
      </c>
      <c r="M454" s="75">
        <f>PARAM!$C$26+MAX($G$5-CHOOSE(PARAM!$B$44,MAX(0,N453*$F$1),0),0)*RATES!$L430/12+$H$5*(PARAM!$D$51/12)*RATES!$N430/100</f>
        <v>82.166666666666657</v>
      </c>
      <c r="N454" s="16">
        <f t="shared" si="285"/>
        <v>-3553.5684601468688</v>
      </c>
      <c r="O454" s="15">
        <f t="shared" si="286"/>
        <v>22.170849845882874</v>
      </c>
      <c r="P454" s="75">
        <f>O454*(1-PARAM!$C$27)*$I$6+(MOD($B454,60)=PARAM!$B$56)*($B454&gt;(60-PARAM!$B$56))*HLOOKUP(($B454+PARAM!$B$56)/12,Loyalty,2)*$F$1*MAX(R453,0)</f>
        <v>18.557001321003963</v>
      </c>
      <c r="Q454" s="75">
        <f>PARAM!$C$26+MAX($G$6-CHOOSE(PARAM!$B$44,MAX(0,R453*$F$1),0),0)*RATES!$L430/12+$H$6*(PARAM!$D$51/12)*RATES!$N430/100</f>
        <v>82.166666666666657</v>
      </c>
      <c r="R454" s="16">
        <f t="shared" si="287"/>
        <v>-3553.5684601468688</v>
      </c>
      <c r="S454" s="15">
        <f t="shared" si="262"/>
        <v>22.170849845882874</v>
      </c>
      <c r="T454" s="75">
        <f>S454*(1-PARAM!$C$27)*$I$7+(MOD($B454,60)=PARAM!$B$56)*($B454&gt;(60-PARAM!$B$56))*HLOOKUP(($B454+PARAM!$B$56)/12,Loyalty,2)*$F$1*MAX(V453,0)</f>
        <v>18.557001321003963</v>
      </c>
      <c r="U454" s="75">
        <f>PARAM!$C$26+MAX($G$7-CHOOSE(PARAM!$B$44,MAX(0,V453*$F$1),0),0)*RATES!$L430/12+$H$7*(PARAM!$D$51/12)*RATES!$N430/100</f>
        <v>82.166666666666657</v>
      </c>
      <c r="V454" s="16">
        <f t="shared" si="288"/>
        <v>-3553.5684601468688</v>
      </c>
      <c r="W454" s="15">
        <f t="shared" si="263"/>
        <v>22.170849845882874</v>
      </c>
      <c r="X454" s="75">
        <f>W454*(1-PARAM!$C$27)*$I$8+(MOD($B454,60)=PARAM!$B$56)*($B454&gt;(60-PARAM!$B$56))*HLOOKUP(($B454+PARAM!$B$56)/12,Loyalty,2)*$F$1*MAX(Z453,0)</f>
        <v>18.557001321003963</v>
      </c>
      <c r="Y454" s="75">
        <f>PARAM!$C$26+MAX($G$8-CHOOSE(PARAM!$B$44,MAX(0,Z453*$F$1),0),0)*RATES!$L430/12+$H$8*(PARAM!$D$51/12)*RATES!$N430/100</f>
        <v>82.166666666666657</v>
      </c>
      <c r="Z454" s="16">
        <f t="shared" si="289"/>
        <v>-3553.5684601468688</v>
      </c>
      <c r="AA454" s="15">
        <f t="shared" si="264"/>
        <v>22.170849845882874</v>
      </c>
      <c r="AB454" s="75">
        <f>AA454*(1-PARAM!$C$27)*$I$9+(MOD($B454,60)=PARAM!$B$56)*($B454&gt;(60-PARAM!$B$56))*HLOOKUP(($B454+PARAM!$B$56)/12,Loyalty,2)*$F$1*MAX(AD453,0)</f>
        <v>18.557001321003963</v>
      </c>
      <c r="AC454" s="75">
        <f>PARAM!$C$26+MAX($G$9-CHOOSE(PARAM!$B$44,MAX(0,AD453*$F$1),0),0)*RATES!$L430/12+$H$9*(PARAM!$D$51/12)*RATES!$N430/100</f>
        <v>82.166666666666657</v>
      </c>
      <c r="AD454" s="16">
        <f t="shared" si="290"/>
        <v>-3553.5684601468688</v>
      </c>
      <c r="AE454" s="15">
        <f t="shared" si="265"/>
        <v>22.170849845882874</v>
      </c>
      <c r="AF454" s="75">
        <f>AE454*(1-PARAM!$C$27)*$I$10+(MOD($B454,60)=PARAM!$B$56)*($B454&gt;(60-PARAM!$B$56))*HLOOKUP(($B454+PARAM!$B$56)/12,Loyalty,2)*$F$1*MAX(AH453,0)</f>
        <v>18.557001321003963</v>
      </c>
      <c r="AG454" s="75">
        <f>PARAM!$C$26+MAX($G$10-CHOOSE(PARAM!$B$44,MAX(0,AH453*$F$1),0),0)*RATES!$L430/12+$H$10*(PARAM!$D$51/12)*RATES!$N430/100</f>
        <v>82.166666666666657</v>
      </c>
      <c r="AH454" s="16">
        <f t="shared" si="291"/>
        <v>-3553.5684601468688</v>
      </c>
      <c r="AI454" s="15">
        <f t="shared" si="266"/>
        <v>22.170849845882874</v>
      </c>
      <c r="AJ454" s="75">
        <f>AI454*(1-PARAM!$C$27)*$I$11+(MOD($B454,60)=PARAM!$B$56)*($B454&gt;(60-PARAM!$B$56))*HLOOKUP(($B454+PARAM!$B$56)/12,Loyalty,2)*$F$1*MAX(AL453,0)</f>
        <v>18.557001321003963</v>
      </c>
      <c r="AK454" s="75">
        <f>PARAM!$C$26+MAX($G$11-CHOOSE(PARAM!$B$44,MAX(0,AL453*$F$1),0),0)*RATES!$L430/12+$H$11*(PARAM!$D$51/12)*RATES!$N430/100</f>
        <v>82.166666666666657</v>
      </c>
      <c r="AL454" s="16">
        <f t="shared" si="292"/>
        <v>-3553.5684601468688</v>
      </c>
      <c r="AM454" s="15">
        <f t="shared" si="267"/>
        <v>22.170849845882874</v>
      </c>
      <c r="AN454" s="75">
        <f>AM454*(1-PARAM!$C$27)*$I$12+(MOD($B454,60)=PARAM!$B$56)*($B454&gt;(60-PARAM!$B$56))*HLOOKUP(($B454+PARAM!$B$56)/12,Loyalty,2)*$F$1*MAX(AP453,0)</f>
        <v>18.557001321003963</v>
      </c>
      <c r="AO454" s="75">
        <f>PARAM!$C$26+MAX($G$12-CHOOSE(PARAM!$B$44,MAX(0,AP453*$F$1),0),0)*RATES!$L430/12+$H$12*(PARAM!$D$51/12)*RATES!$N430/100</f>
        <v>82.166666666666657</v>
      </c>
      <c r="AP454" s="16">
        <f t="shared" si="293"/>
        <v>-3553.5684601468688</v>
      </c>
      <c r="AQ454" s="15">
        <f t="shared" si="268"/>
        <v>22.170849845882874</v>
      </c>
      <c r="AR454" s="75">
        <f>AQ454*(1-PARAM!$C$27)*$I$13+(MOD($B454,60)=PARAM!$B$56)*($B454&gt;(60-PARAM!$B$56))*HLOOKUP(($B454+PARAM!$B$56)/12,Loyalty,2)*$F$1*MAX(AT453,0)</f>
        <v>18.557001321003963</v>
      </c>
      <c r="AS454" s="75">
        <f>PARAM!$C$26+MAX($G$13-CHOOSE(PARAM!$B$44,MAX(0,AT453*$F$1),0),0)*RATES!$L430/12+$H$13*(PARAM!$D$51/12)*RATES!$N430/100</f>
        <v>82.166666666666657</v>
      </c>
      <c r="AT454" s="16">
        <f t="shared" si="294"/>
        <v>-3553.5684601468688</v>
      </c>
      <c r="AU454" s="15">
        <f t="shared" si="269"/>
        <v>22.170849845882874</v>
      </c>
      <c r="AV454" s="75">
        <f>AU454*(1-PARAM!$C$27)*$I$14+(MOD($B454,60)=PARAM!$B$56)*($B454&gt;(60-PARAM!$B$56))*HLOOKUP(($B454+PARAM!$B$56)/12,Loyalty,2)*$F$1*MAX(AX453,0)</f>
        <v>18.557001321003963</v>
      </c>
      <c r="AW454" s="75">
        <f>PARAM!$C$26+MAX($G$14-CHOOSE(PARAM!$B$44,MAX(0,AX453*$F$1),0),0)*RATES!$L430/12+$H$14*(PARAM!$D$51/12)*RATES!$N430/100</f>
        <v>82.166666666666657</v>
      </c>
      <c r="AX454" s="16">
        <f t="shared" si="295"/>
        <v>-3553.5684601468688</v>
      </c>
      <c r="AY454" s="15">
        <f t="shared" si="270"/>
        <v>22.170849845882874</v>
      </c>
      <c r="AZ454" s="75">
        <f>AY454*(1-PARAM!$C$27)*$I$15+(MOD($B454,60)=PARAM!$B$56)*($B454&gt;(60-PARAM!$B$56))*HLOOKUP(($B454+PARAM!$B$56)/12,Loyalty,2)*$F$1*MAX(BB453,0)</f>
        <v>18.557001321003963</v>
      </c>
      <c r="BA454" s="75">
        <f>PARAM!$C$26+MAX($G$15-CHOOSE(PARAM!$B$44,MAX(0,BB453*$F$1),0),0)*RATES!$L430/12+$H$15*(PARAM!$D$51/12)*RATES!$N430/100</f>
        <v>82.166666666666657</v>
      </c>
      <c r="BB454" s="16">
        <f t="shared" si="296"/>
        <v>-3553.5684601468688</v>
      </c>
      <c r="BC454" s="15">
        <f t="shared" si="271"/>
        <v>22.170849845882874</v>
      </c>
      <c r="BD454" s="75">
        <f>BC454*(1-PARAM!$C$27)*$I$16+(MOD($B454,60)=PARAM!$B$56)*($B454&gt;(60-PARAM!$B$56))*HLOOKUP(($B454+PARAM!$B$56)/12,Loyalty,2)*$F$1*MAX(BF453,0)</f>
        <v>18.557001321003963</v>
      </c>
      <c r="BE454" s="75">
        <f>PARAM!$C$26+MAX($G$16-CHOOSE(PARAM!$B$44,MAX(0,BF453*$F$1),0),0)*RATES!$L430/12+$H$16*(PARAM!$D$51/12)*RATES!$N430/100</f>
        <v>82.166666666666657</v>
      </c>
      <c r="BF454" s="16">
        <f t="shared" si="297"/>
        <v>-3553.5684601468688</v>
      </c>
      <c r="BG454" s="15">
        <f t="shared" si="272"/>
        <v>22.170849845882874</v>
      </c>
      <c r="BH454" s="75">
        <f>BG454*(1-PARAM!$C$27)*$I$17+(MOD($B454,60)=PARAM!$B$56)*($B454&gt;(60-PARAM!$B$56))*HLOOKUP(($B454+PARAM!$B$56)/12,Loyalty,2)*$F$1*MAX(BJ453,0)</f>
        <v>18.557001321003963</v>
      </c>
      <c r="BI454" s="75">
        <f>PARAM!$C$26+MAX($G$17-CHOOSE(PARAM!$B$44,MAX(0,BJ453*$F$1),0),0)*RATES!$L430/12+$H$17*(PARAM!$D$51/12)*RATES!$N430/100</f>
        <v>82.166666666666657</v>
      </c>
      <c r="BJ454" s="16">
        <f t="shared" si="298"/>
        <v>-3553.5684601468688</v>
      </c>
      <c r="BK454" s="15">
        <f t="shared" si="273"/>
        <v>22.170849845882874</v>
      </c>
      <c r="BL454" s="75">
        <f>BK454*(1-PARAM!$C$27)*$I$18+(MOD($B454,60)=PARAM!$B$56)*($B454&gt;(60-PARAM!$B$56))*HLOOKUP(($B454+PARAM!$B$56)/12,Loyalty,2)*$F$1*MAX(BN453,0)</f>
        <v>18.557001321003963</v>
      </c>
      <c r="BM454" s="75">
        <f>PARAM!$C$26+MAX($G$18-CHOOSE(PARAM!$B$44,MAX(0,BN453*$F$1),0),0)*RATES!$L430/12+$H$18*(PARAM!$D$51/12)*RATES!$N430/100</f>
        <v>82.166666666666657</v>
      </c>
      <c r="BN454" s="16">
        <f t="shared" si="299"/>
        <v>-3553.5684601468688</v>
      </c>
      <c r="BO454" s="15">
        <f t="shared" si="274"/>
        <v>22.170849845882874</v>
      </c>
      <c r="BP454" s="75">
        <f>BO454*(1-PARAM!$C$27)*$I$19+(MOD($B454,60)=PARAM!$B$56)*($B454&gt;(60-PARAM!$B$56))*HLOOKUP(($B454+PARAM!$B$56)/12,Loyalty,2)*$F$1*MAX(BR453,0)</f>
        <v>18.557001321003963</v>
      </c>
      <c r="BQ454" s="75">
        <f>PARAM!$C$26+MAX($G$19-CHOOSE(PARAM!$B$44,MAX(0,BR453*$F$1),0),0)*RATES!$L430/12+$H$19*(PARAM!$D$51/12)*RATES!$N430/100</f>
        <v>82.166666666666657</v>
      </c>
      <c r="BR454" s="16">
        <f t="shared" si="300"/>
        <v>-3553.5684601468688</v>
      </c>
      <c r="BS454" s="15">
        <f t="shared" si="275"/>
        <v>22.170849845882874</v>
      </c>
      <c r="BT454" s="75">
        <f>BS454*(1-PARAM!$C$27)*$I$20+(MOD($B454,60)=PARAM!$B$56)*($B454&gt;(60-PARAM!$B$56))*HLOOKUP(($B454+PARAM!$B$56)/12,Loyalty,2)*$F$1*MAX(BV453,0)</f>
        <v>18.557001321003963</v>
      </c>
      <c r="BU454" s="75">
        <f>PARAM!$C$26+MAX($G$20-CHOOSE(PARAM!$B$44,MAX(0,BV453*$F$1),0),0)*RATES!$L430/12+$H$20*(PARAM!$D$51/12)*RATES!$N430/100</f>
        <v>82.166666666666657</v>
      </c>
      <c r="BV454" s="16">
        <f t="shared" si="301"/>
        <v>-3553.5684601468688</v>
      </c>
      <c r="BW454" s="15">
        <f t="shared" si="276"/>
        <v>22.170849845882874</v>
      </c>
      <c r="BX454" s="75">
        <f>BW454*(1-PARAM!$C$27)*$I$21+(MOD($B454,60)=PARAM!$B$56)*($B454&gt;(60-PARAM!$B$56))*HLOOKUP(($B454+PARAM!$B$56)/12,Loyalty,2)*$F$1*MAX(BZ453,0)</f>
        <v>18.557001321003963</v>
      </c>
      <c r="BY454" s="75">
        <f>PARAM!$C$26+MAX($G$21-CHOOSE(PARAM!$B$44,MAX(0,BZ453*$F$1),0),0)*RATES!$L430/12+$H$21*(PARAM!$D$51/12)*RATES!$N430/100</f>
        <v>82.166666666666657</v>
      </c>
      <c r="BZ454" s="16">
        <f t="shared" si="302"/>
        <v>-3553.5684601468688</v>
      </c>
      <c r="CA454" s="15">
        <f t="shared" si="277"/>
        <v>22.170849845882874</v>
      </c>
      <c r="CB454" s="75">
        <f>CA454*(1-PARAM!$C$27)*$I$22+(MOD($B454,60)=PARAM!$B$56)*($B454&gt;(60-PARAM!$B$56))*HLOOKUP(($B454+PARAM!$B$56)/12,Loyalty,2)*$F$1*MAX(CD453,0)</f>
        <v>18.557001321003963</v>
      </c>
      <c r="CC454" s="75">
        <f>PARAM!$C$26+MAX($G$22-CHOOSE(PARAM!$B$44,MAX(0,CD453*$F$1),0),0)*RATES!$L430/12+$H$22*(PARAM!$D$51/12)*RATES!$N430/100</f>
        <v>82.166666666666657</v>
      </c>
      <c r="CD454" s="16">
        <f t="shared" si="303"/>
        <v>-3553.5684601468688</v>
      </c>
      <c r="CE454" s="33">
        <f>IF(0=MOD(B454,12/PARAM!$D$51),1,0)</f>
        <v>1</v>
      </c>
      <c r="CF454" s="15">
        <f t="shared" si="278"/>
        <v>0</v>
      </c>
      <c r="CG454" s="75">
        <f>CF454*(1-PARAM!$C$27)*$R$3+(MOD($B454/12,5)=0)*($B454&gt;60)*HLOOKUP($B454/12,Loyalty,2)*$F$1*MAX(CI453,0)</f>
        <v>0</v>
      </c>
      <c r="CH454" s="75">
        <f>PARAM!$C$26+MAX($P$3-CHOOSE(PARAM!$B$44,MAX(0,CI453*$F$1),0),0)*RATES!$L430/12+$Q$3*(PARAM!$D$51/12)*RATES!$N430/100</f>
        <v>82.166666666666657</v>
      </c>
      <c r="CI454" s="16">
        <f>IF(CI453&gt;0,CI453*PARAM!$C$53,CI453)+CG454-CH454</f>
        <v>-11357.833333333319</v>
      </c>
      <c r="CJ454" s="15">
        <f t="shared" si="304"/>
        <v>0</v>
      </c>
      <c r="CK454" s="75">
        <f>CJ454*(1-PARAM!$C$27)*$R$4+(MOD($B454/12,5)=0)*($B454&gt;60)*HLOOKUP($B454/12,Loyalty,2)*$F$1*MAX(CM453,0)</f>
        <v>0</v>
      </c>
      <c r="CL454" s="75">
        <f>PARAM!$C$26+MAX($P$4-CHOOSE(PARAM!$B$44,MAX(0,CM453*$F$1),0),0)*RATES!$L430/12+$Q$4*(PARAM!$D$51/12)*RATES!$N430/100</f>
        <v>82.166666666666657</v>
      </c>
      <c r="CM454" s="16">
        <f>IF(CM453&gt;0,CM453*PARAM!$C$53,CM453)+CK454-CL454</f>
        <v>-11357.833333333319</v>
      </c>
      <c r="CO454" s="176"/>
    </row>
    <row r="455" spans="1:93" x14ac:dyDescent="0.2">
      <c r="A455" t="b">
        <f t="shared" si="279"/>
        <v>0</v>
      </c>
      <c r="B455" s="33">
        <v>428</v>
      </c>
      <c r="C455" s="15">
        <f t="shared" si="280"/>
        <v>20.081305947392778</v>
      </c>
      <c r="D455" s="75">
        <f>C455*(1-PARAM!$C$27)*$I$3+(MOD($B455,60)=PARAM!$B$56)*($B455&gt;(60-PARAM!$B$56))*HLOOKUP(($B455+PARAM!$B$56)/12,Loyalty,2)*$F$1*MAX(F454,0)</f>
        <v>16.808053077967756</v>
      </c>
      <c r="E455" s="75">
        <f>PARAM!$C$26+MAX($G$3-CHOOSE(PARAM!$B$44,MAX(0,F454*$F$1),0),0)*RATES!$L431/12+$H$3*(PARAM!$D$51/12)*RATES!$N431/100</f>
        <v>82.166666666666657</v>
      </c>
      <c r="F455" s="16">
        <f t="shared" si="281"/>
        <v>-4402.578474033543</v>
      </c>
      <c r="G455" s="15">
        <f t="shared" si="282"/>
        <v>22.035289406060361</v>
      </c>
      <c r="H455" s="75">
        <f>G455*(1-PARAM!$C$27)*$I$4+(MOD($B455,60)=PARAM!$B$56)*($B455&gt;(60-PARAM!$B$56))*HLOOKUP(($B455+PARAM!$B$56)/12,Loyalty,2)*$F$1*MAX(J454,0)</f>
        <v>18.443537232872522</v>
      </c>
      <c r="I455" s="75">
        <f>PARAM!$C$26+MAX($G$4-CHOOSE(PARAM!$B$44,MAX(0,J454*$F$1),0),0)*RATES!$L431/12+$H$4*(PARAM!$D$51/12)*RATES!$N431/100</f>
        <v>82.166666666666657</v>
      </c>
      <c r="J455" s="16">
        <f t="shared" si="283"/>
        <v>-3668.7582916125821</v>
      </c>
      <c r="K455" s="15">
        <f t="shared" si="284"/>
        <v>22.170849845882874</v>
      </c>
      <c r="L455" s="75">
        <f>K455*(1-PARAM!$C$27)*$I$5+(MOD($B455,60)=PARAM!$B$56)*($B455&gt;(60-PARAM!$B$56))*HLOOKUP(($B455+PARAM!$B$56)/12,Loyalty,2)*$F$1*MAX(N454,0)</f>
        <v>18.557001321003963</v>
      </c>
      <c r="M455" s="75">
        <f>PARAM!$C$26+MAX($G$5-CHOOSE(PARAM!$B$44,MAX(0,N454*$F$1),0),0)*RATES!$L431/12+$H$5*(PARAM!$D$51/12)*RATES!$N431/100</f>
        <v>82.166666666666657</v>
      </c>
      <c r="N455" s="16">
        <f t="shared" si="285"/>
        <v>-3617.1781254925313</v>
      </c>
      <c r="O455" s="15">
        <f t="shared" si="286"/>
        <v>22.170849845882874</v>
      </c>
      <c r="P455" s="75">
        <f>O455*(1-PARAM!$C$27)*$I$6+(MOD($B455,60)=PARAM!$B$56)*($B455&gt;(60-PARAM!$B$56))*HLOOKUP(($B455+PARAM!$B$56)/12,Loyalty,2)*$F$1*MAX(R454,0)</f>
        <v>18.557001321003963</v>
      </c>
      <c r="Q455" s="75">
        <f>PARAM!$C$26+MAX($G$6-CHOOSE(PARAM!$B$44,MAX(0,R454*$F$1),0),0)*RATES!$L431/12+$H$6*(PARAM!$D$51/12)*RATES!$N431/100</f>
        <v>82.166666666666657</v>
      </c>
      <c r="R455" s="16">
        <f t="shared" si="287"/>
        <v>-3617.1781254925313</v>
      </c>
      <c r="S455" s="15">
        <f t="shared" si="262"/>
        <v>22.170849845882874</v>
      </c>
      <c r="T455" s="75">
        <f>S455*(1-PARAM!$C$27)*$I$7+(MOD($B455,60)=PARAM!$B$56)*($B455&gt;(60-PARAM!$B$56))*HLOOKUP(($B455+PARAM!$B$56)/12,Loyalty,2)*$F$1*MAX(V454,0)</f>
        <v>18.557001321003963</v>
      </c>
      <c r="U455" s="75">
        <f>PARAM!$C$26+MAX($G$7-CHOOSE(PARAM!$B$44,MAX(0,V454*$F$1),0),0)*RATES!$L431/12+$H$7*(PARAM!$D$51/12)*RATES!$N431/100</f>
        <v>82.166666666666657</v>
      </c>
      <c r="V455" s="16">
        <f t="shared" si="288"/>
        <v>-3617.1781254925313</v>
      </c>
      <c r="W455" s="15">
        <f t="shared" si="263"/>
        <v>22.170849845882874</v>
      </c>
      <c r="X455" s="75">
        <f>W455*(1-PARAM!$C$27)*$I$8+(MOD($B455,60)=PARAM!$B$56)*($B455&gt;(60-PARAM!$B$56))*HLOOKUP(($B455+PARAM!$B$56)/12,Loyalty,2)*$F$1*MAX(Z454,0)</f>
        <v>18.557001321003963</v>
      </c>
      <c r="Y455" s="75">
        <f>PARAM!$C$26+MAX($G$8-CHOOSE(PARAM!$B$44,MAX(0,Z454*$F$1),0),0)*RATES!$L431/12+$H$8*(PARAM!$D$51/12)*RATES!$N431/100</f>
        <v>82.166666666666657</v>
      </c>
      <c r="Z455" s="16">
        <f t="shared" si="289"/>
        <v>-3617.1781254925313</v>
      </c>
      <c r="AA455" s="15">
        <f t="shared" si="264"/>
        <v>22.170849845882874</v>
      </c>
      <c r="AB455" s="75">
        <f>AA455*(1-PARAM!$C$27)*$I$9+(MOD($B455,60)=PARAM!$B$56)*($B455&gt;(60-PARAM!$B$56))*HLOOKUP(($B455+PARAM!$B$56)/12,Loyalty,2)*$F$1*MAX(AD454,0)</f>
        <v>18.557001321003963</v>
      </c>
      <c r="AC455" s="75">
        <f>PARAM!$C$26+MAX($G$9-CHOOSE(PARAM!$B$44,MAX(0,AD454*$F$1),0),0)*RATES!$L431/12+$H$9*(PARAM!$D$51/12)*RATES!$N431/100</f>
        <v>82.166666666666657</v>
      </c>
      <c r="AD455" s="16">
        <f t="shared" si="290"/>
        <v>-3617.1781254925313</v>
      </c>
      <c r="AE455" s="15">
        <f t="shared" si="265"/>
        <v>22.170849845882874</v>
      </c>
      <c r="AF455" s="75">
        <f>AE455*(1-PARAM!$C$27)*$I$10+(MOD($B455,60)=PARAM!$B$56)*($B455&gt;(60-PARAM!$B$56))*HLOOKUP(($B455+PARAM!$B$56)/12,Loyalty,2)*$F$1*MAX(AH454,0)</f>
        <v>18.557001321003963</v>
      </c>
      <c r="AG455" s="75">
        <f>PARAM!$C$26+MAX($G$10-CHOOSE(PARAM!$B$44,MAX(0,AH454*$F$1),0),0)*RATES!$L431/12+$H$10*(PARAM!$D$51/12)*RATES!$N431/100</f>
        <v>82.166666666666657</v>
      </c>
      <c r="AH455" s="16">
        <f t="shared" si="291"/>
        <v>-3617.1781254925313</v>
      </c>
      <c r="AI455" s="15">
        <f t="shared" si="266"/>
        <v>22.170849845882874</v>
      </c>
      <c r="AJ455" s="75">
        <f>AI455*(1-PARAM!$C$27)*$I$11+(MOD($B455,60)=PARAM!$B$56)*($B455&gt;(60-PARAM!$B$56))*HLOOKUP(($B455+PARAM!$B$56)/12,Loyalty,2)*$F$1*MAX(AL454,0)</f>
        <v>18.557001321003963</v>
      </c>
      <c r="AK455" s="75">
        <f>PARAM!$C$26+MAX($G$11-CHOOSE(PARAM!$B$44,MAX(0,AL454*$F$1),0),0)*RATES!$L431/12+$H$11*(PARAM!$D$51/12)*RATES!$N431/100</f>
        <v>82.166666666666657</v>
      </c>
      <c r="AL455" s="16">
        <f t="shared" si="292"/>
        <v>-3617.1781254925313</v>
      </c>
      <c r="AM455" s="15">
        <f t="shared" si="267"/>
        <v>22.170849845882874</v>
      </c>
      <c r="AN455" s="75">
        <f>AM455*(1-PARAM!$C$27)*$I$12+(MOD($B455,60)=PARAM!$B$56)*($B455&gt;(60-PARAM!$B$56))*HLOOKUP(($B455+PARAM!$B$56)/12,Loyalty,2)*$F$1*MAX(AP454,0)</f>
        <v>18.557001321003963</v>
      </c>
      <c r="AO455" s="75">
        <f>PARAM!$C$26+MAX($G$12-CHOOSE(PARAM!$B$44,MAX(0,AP454*$F$1),0),0)*RATES!$L431/12+$H$12*(PARAM!$D$51/12)*RATES!$N431/100</f>
        <v>82.166666666666657</v>
      </c>
      <c r="AP455" s="16">
        <f t="shared" si="293"/>
        <v>-3617.1781254925313</v>
      </c>
      <c r="AQ455" s="15">
        <f t="shared" si="268"/>
        <v>22.170849845882874</v>
      </c>
      <c r="AR455" s="75">
        <f>AQ455*(1-PARAM!$C$27)*$I$13+(MOD($B455,60)=PARAM!$B$56)*($B455&gt;(60-PARAM!$B$56))*HLOOKUP(($B455+PARAM!$B$56)/12,Loyalty,2)*$F$1*MAX(AT454,0)</f>
        <v>18.557001321003963</v>
      </c>
      <c r="AS455" s="75">
        <f>PARAM!$C$26+MAX($G$13-CHOOSE(PARAM!$B$44,MAX(0,AT454*$F$1),0),0)*RATES!$L431/12+$H$13*(PARAM!$D$51/12)*RATES!$N431/100</f>
        <v>82.166666666666657</v>
      </c>
      <c r="AT455" s="16">
        <f t="shared" si="294"/>
        <v>-3617.1781254925313</v>
      </c>
      <c r="AU455" s="15">
        <f t="shared" si="269"/>
        <v>22.170849845882874</v>
      </c>
      <c r="AV455" s="75">
        <f>AU455*(1-PARAM!$C$27)*$I$14+(MOD($B455,60)=PARAM!$B$56)*($B455&gt;(60-PARAM!$B$56))*HLOOKUP(($B455+PARAM!$B$56)/12,Loyalty,2)*$F$1*MAX(AX454,0)</f>
        <v>18.557001321003963</v>
      </c>
      <c r="AW455" s="75">
        <f>PARAM!$C$26+MAX($G$14-CHOOSE(PARAM!$B$44,MAX(0,AX454*$F$1),0),0)*RATES!$L431/12+$H$14*(PARAM!$D$51/12)*RATES!$N431/100</f>
        <v>82.166666666666657</v>
      </c>
      <c r="AX455" s="16">
        <f t="shared" si="295"/>
        <v>-3617.1781254925313</v>
      </c>
      <c r="AY455" s="15">
        <f t="shared" si="270"/>
        <v>22.170849845882874</v>
      </c>
      <c r="AZ455" s="75">
        <f>AY455*(1-PARAM!$C$27)*$I$15+(MOD($B455,60)=PARAM!$B$56)*($B455&gt;(60-PARAM!$B$56))*HLOOKUP(($B455+PARAM!$B$56)/12,Loyalty,2)*$F$1*MAX(BB454,0)</f>
        <v>18.557001321003963</v>
      </c>
      <c r="BA455" s="75">
        <f>PARAM!$C$26+MAX($G$15-CHOOSE(PARAM!$B$44,MAX(0,BB454*$F$1),0),0)*RATES!$L431/12+$H$15*(PARAM!$D$51/12)*RATES!$N431/100</f>
        <v>82.166666666666657</v>
      </c>
      <c r="BB455" s="16">
        <f t="shared" si="296"/>
        <v>-3617.1781254925313</v>
      </c>
      <c r="BC455" s="15">
        <f t="shared" si="271"/>
        <v>22.170849845882874</v>
      </c>
      <c r="BD455" s="75">
        <f>BC455*(1-PARAM!$C$27)*$I$16+(MOD($B455,60)=PARAM!$B$56)*($B455&gt;(60-PARAM!$B$56))*HLOOKUP(($B455+PARAM!$B$56)/12,Loyalty,2)*$F$1*MAX(BF454,0)</f>
        <v>18.557001321003963</v>
      </c>
      <c r="BE455" s="75">
        <f>PARAM!$C$26+MAX($G$16-CHOOSE(PARAM!$B$44,MAX(0,BF454*$F$1),0),0)*RATES!$L431/12+$H$16*(PARAM!$D$51/12)*RATES!$N431/100</f>
        <v>82.166666666666657</v>
      </c>
      <c r="BF455" s="16">
        <f t="shared" si="297"/>
        <v>-3617.1781254925313</v>
      </c>
      <c r="BG455" s="15">
        <f t="shared" si="272"/>
        <v>22.170849845882874</v>
      </c>
      <c r="BH455" s="75">
        <f>BG455*(1-PARAM!$C$27)*$I$17+(MOD($B455,60)=PARAM!$B$56)*($B455&gt;(60-PARAM!$B$56))*HLOOKUP(($B455+PARAM!$B$56)/12,Loyalty,2)*$F$1*MAX(BJ454,0)</f>
        <v>18.557001321003963</v>
      </c>
      <c r="BI455" s="75">
        <f>PARAM!$C$26+MAX($G$17-CHOOSE(PARAM!$B$44,MAX(0,BJ454*$F$1),0),0)*RATES!$L431/12+$H$17*(PARAM!$D$51/12)*RATES!$N431/100</f>
        <v>82.166666666666657</v>
      </c>
      <c r="BJ455" s="16">
        <f t="shared" si="298"/>
        <v>-3617.1781254925313</v>
      </c>
      <c r="BK455" s="15">
        <f t="shared" si="273"/>
        <v>22.170849845882874</v>
      </c>
      <c r="BL455" s="75">
        <f>BK455*(1-PARAM!$C$27)*$I$18+(MOD($B455,60)=PARAM!$B$56)*($B455&gt;(60-PARAM!$B$56))*HLOOKUP(($B455+PARAM!$B$56)/12,Loyalty,2)*$F$1*MAX(BN454,0)</f>
        <v>18.557001321003963</v>
      </c>
      <c r="BM455" s="75">
        <f>PARAM!$C$26+MAX($G$18-CHOOSE(PARAM!$B$44,MAX(0,BN454*$F$1),0),0)*RATES!$L431/12+$H$18*(PARAM!$D$51/12)*RATES!$N431/100</f>
        <v>82.166666666666657</v>
      </c>
      <c r="BN455" s="16">
        <f t="shared" si="299"/>
        <v>-3617.1781254925313</v>
      </c>
      <c r="BO455" s="15">
        <f t="shared" si="274"/>
        <v>22.170849845882874</v>
      </c>
      <c r="BP455" s="75">
        <f>BO455*(1-PARAM!$C$27)*$I$19+(MOD($B455,60)=PARAM!$B$56)*($B455&gt;(60-PARAM!$B$56))*HLOOKUP(($B455+PARAM!$B$56)/12,Loyalty,2)*$F$1*MAX(BR454,0)</f>
        <v>18.557001321003963</v>
      </c>
      <c r="BQ455" s="75">
        <f>PARAM!$C$26+MAX($G$19-CHOOSE(PARAM!$B$44,MAX(0,BR454*$F$1),0),0)*RATES!$L431/12+$H$19*(PARAM!$D$51/12)*RATES!$N431/100</f>
        <v>82.166666666666657</v>
      </c>
      <c r="BR455" s="16">
        <f t="shared" si="300"/>
        <v>-3617.1781254925313</v>
      </c>
      <c r="BS455" s="15">
        <f t="shared" si="275"/>
        <v>22.170849845882874</v>
      </c>
      <c r="BT455" s="75">
        <f>BS455*(1-PARAM!$C$27)*$I$20+(MOD($B455,60)=PARAM!$B$56)*($B455&gt;(60-PARAM!$B$56))*HLOOKUP(($B455+PARAM!$B$56)/12,Loyalty,2)*$F$1*MAX(BV454,0)</f>
        <v>18.557001321003963</v>
      </c>
      <c r="BU455" s="75">
        <f>PARAM!$C$26+MAX($G$20-CHOOSE(PARAM!$B$44,MAX(0,BV454*$F$1),0),0)*RATES!$L431/12+$H$20*(PARAM!$D$51/12)*RATES!$N431/100</f>
        <v>82.166666666666657</v>
      </c>
      <c r="BV455" s="16">
        <f t="shared" si="301"/>
        <v>-3617.1781254925313</v>
      </c>
      <c r="BW455" s="15">
        <f t="shared" si="276"/>
        <v>22.170849845882874</v>
      </c>
      <c r="BX455" s="75">
        <f>BW455*(1-PARAM!$C$27)*$I$21+(MOD($B455,60)=PARAM!$B$56)*($B455&gt;(60-PARAM!$B$56))*HLOOKUP(($B455+PARAM!$B$56)/12,Loyalty,2)*$F$1*MAX(BZ454,0)</f>
        <v>18.557001321003963</v>
      </c>
      <c r="BY455" s="75">
        <f>PARAM!$C$26+MAX($G$21-CHOOSE(PARAM!$B$44,MAX(0,BZ454*$F$1),0),0)*RATES!$L431/12+$H$21*(PARAM!$D$51/12)*RATES!$N431/100</f>
        <v>82.166666666666657</v>
      </c>
      <c r="BZ455" s="16">
        <f t="shared" si="302"/>
        <v>-3617.1781254925313</v>
      </c>
      <c r="CA455" s="15">
        <f t="shared" si="277"/>
        <v>22.170849845882874</v>
      </c>
      <c r="CB455" s="75">
        <f>CA455*(1-PARAM!$C$27)*$I$22+(MOD($B455,60)=PARAM!$B$56)*($B455&gt;(60-PARAM!$B$56))*HLOOKUP(($B455+PARAM!$B$56)/12,Loyalty,2)*$F$1*MAX(CD454,0)</f>
        <v>18.557001321003963</v>
      </c>
      <c r="CC455" s="75">
        <f>PARAM!$C$26+MAX($G$22-CHOOSE(PARAM!$B$44,MAX(0,CD454*$F$1),0),0)*RATES!$L431/12+$H$22*(PARAM!$D$51/12)*RATES!$N431/100</f>
        <v>82.166666666666657</v>
      </c>
      <c r="CD455" s="16">
        <f t="shared" si="303"/>
        <v>-3617.1781254925313</v>
      </c>
      <c r="CE455" s="33">
        <f>IF(0=MOD(B455,12/PARAM!$D$51),1,0)</f>
        <v>1</v>
      </c>
      <c r="CF455" s="15">
        <f t="shared" si="278"/>
        <v>0</v>
      </c>
      <c r="CG455" s="75">
        <f>CF455*(1-PARAM!$C$27)*$R$3+(MOD($B455/12,5)=0)*($B455&gt;60)*HLOOKUP($B455/12,Loyalty,2)*$F$1*MAX(CI454,0)</f>
        <v>0</v>
      </c>
      <c r="CH455" s="75">
        <f>PARAM!$C$26+MAX($P$3-CHOOSE(PARAM!$B$44,MAX(0,CI454*$F$1),0),0)*RATES!$L431/12+$Q$3*(PARAM!$D$51/12)*RATES!$N431/100</f>
        <v>82.166666666666657</v>
      </c>
      <c r="CI455" s="16">
        <f>IF(CI454&gt;0,CI454*PARAM!$C$53,CI454)+CG455-CH455</f>
        <v>-11439.999999999985</v>
      </c>
      <c r="CJ455" s="15">
        <f t="shared" si="304"/>
        <v>0</v>
      </c>
      <c r="CK455" s="75">
        <f>CJ455*(1-PARAM!$C$27)*$R$4+(MOD($B455/12,5)=0)*($B455&gt;60)*HLOOKUP($B455/12,Loyalty,2)*$F$1*MAX(CM454,0)</f>
        <v>0</v>
      </c>
      <c r="CL455" s="75">
        <f>PARAM!$C$26+MAX($P$4-CHOOSE(PARAM!$B$44,MAX(0,CM454*$F$1),0),0)*RATES!$L431/12+$Q$4*(PARAM!$D$51/12)*RATES!$N431/100</f>
        <v>82.166666666666657</v>
      </c>
      <c r="CM455" s="16">
        <f>IF(CM454&gt;0,CM454*PARAM!$C$53,CM454)+CK455-CL455</f>
        <v>-11439.999999999985</v>
      </c>
      <c r="CO455" s="176"/>
    </row>
    <row r="456" spans="1:93" x14ac:dyDescent="0.2">
      <c r="A456" t="b">
        <f t="shared" si="279"/>
        <v>0</v>
      </c>
      <c r="B456" s="33">
        <v>429</v>
      </c>
      <c r="C456" s="15">
        <f t="shared" si="280"/>
        <v>20.081305947392778</v>
      </c>
      <c r="D456" s="75">
        <f>C456*(1-PARAM!$C$27)*$I$3+(MOD($B456,60)=PARAM!$B$56)*($B456&gt;(60-PARAM!$B$56))*HLOOKUP(($B456+PARAM!$B$56)/12,Loyalty,2)*$F$1*MAX(F455,0)</f>
        <v>16.808053077967756</v>
      </c>
      <c r="E456" s="75">
        <f>PARAM!$C$26+MAX($G$3-CHOOSE(PARAM!$B$44,MAX(0,F455*$F$1),0),0)*RATES!$L432/12+$H$3*(PARAM!$D$51/12)*RATES!$N432/100</f>
        <v>82.166666666666657</v>
      </c>
      <c r="F456" s="16">
        <f t="shared" si="281"/>
        <v>-4467.937087622242</v>
      </c>
      <c r="G456" s="15">
        <f t="shared" si="282"/>
        <v>22.035289406060361</v>
      </c>
      <c r="H456" s="75">
        <f>G456*(1-PARAM!$C$27)*$I$4+(MOD($B456,60)=PARAM!$B$56)*($B456&gt;(60-PARAM!$B$56))*HLOOKUP(($B456+PARAM!$B$56)/12,Loyalty,2)*$F$1*MAX(J455,0)</f>
        <v>18.443537232872522</v>
      </c>
      <c r="I456" s="75">
        <f>PARAM!$C$26+MAX($G$4-CHOOSE(PARAM!$B$44,MAX(0,J455*$F$1),0),0)*RATES!$L432/12+$H$4*(PARAM!$D$51/12)*RATES!$N432/100</f>
        <v>82.166666666666657</v>
      </c>
      <c r="J456" s="16">
        <f t="shared" si="283"/>
        <v>-3732.481421046376</v>
      </c>
      <c r="K456" s="15">
        <f t="shared" si="284"/>
        <v>22.170849845882874</v>
      </c>
      <c r="L456" s="75">
        <f>K456*(1-PARAM!$C$27)*$I$5+(MOD($B456,60)=PARAM!$B$56)*($B456&gt;(60-PARAM!$B$56))*HLOOKUP(($B456+PARAM!$B$56)/12,Loyalty,2)*$F$1*MAX(N455,0)</f>
        <v>18.557001321003963</v>
      </c>
      <c r="M456" s="75">
        <f>PARAM!$C$26+MAX($G$5-CHOOSE(PARAM!$B$44,MAX(0,N455*$F$1),0),0)*RATES!$L432/12+$H$5*(PARAM!$D$51/12)*RATES!$N432/100</f>
        <v>82.166666666666657</v>
      </c>
      <c r="N456" s="16">
        <f t="shared" si="285"/>
        <v>-3680.7877908381938</v>
      </c>
      <c r="O456" s="15">
        <f t="shared" si="286"/>
        <v>22.170849845882874</v>
      </c>
      <c r="P456" s="75">
        <f>O456*(1-PARAM!$C$27)*$I$6+(MOD($B456,60)=PARAM!$B$56)*($B456&gt;(60-PARAM!$B$56))*HLOOKUP(($B456+PARAM!$B$56)/12,Loyalty,2)*$F$1*MAX(R455,0)</f>
        <v>18.557001321003963</v>
      </c>
      <c r="Q456" s="75">
        <f>PARAM!$C$26+MAX($G$6-CHOOSE(PARAM!$B$44,MAX(0,R455*$F$1),0),0)*RATES!$L432/12+$H$6*(PARAM!$D$51/12)*RATES!$N432/100</f>
        <v>82.166666666666657</v>
      </c>
      <c r="R456" s="16">
        <f t="shared" si="287"/>
        <v>-3680.7877908381938</v>
      </c>
      <c r="S456" s="15">
        <f t="shared" si="262"/>
        <v>22.170849845882874</v>
      </c>
      <c r="T456" s="75">
        <f>S456*(1-PARAM!$C$27)*$I$7+(MOD($B456,60)=PARAM!$B$56)*($B456&gt;(60-PARAM!$B$56))*HLOOKUP(($B456+PARAM!$B$56)/12,Loyalty,2)*$F$1*MAX(V455,0)</f>
        <v>18.557001321003963</v>
      </c>
      <c r="U456" s="75">
        <f>PARAM!$C$26+MAX($G$7-CHOOSE(PARAM!$B$44,MAX(0,V455*$F$1),0),0)*RATES!$L432/12+$H$7*(PARAM!$D$51/12)*RATES!$N432/100</f>
        <v>82.166666666666657</v>
      </c>
      <c r="V456" s="16">
        <f t="shared" si="288"/>
        <v>-3680.7877908381938</v>
      </c>
      <c r="W456" s="15">
        <f t="shared" si="263"/>
        <v>22.170849845882874</v>
      </c>
      <c r="X456" s="75">
        <f>W456*(1-PARAM!$C$27)*$I$8+(MOD($B456,60)=PARAM!$B$56)*($B456&gt;(60-PARAM!$B$56))*HLOOKUP(($B456+PARAM!$B$56)/12,Loyalty,2)*$F$1*MAX(Z455,0)</f>
        <v>18.557001321003963</v>
      </c>
      <c r="Y456" s="75">
        <f>PARAM!$C$26+MAX($G$8-CHOOSE(PARAM!$B$44,MAX(0,Z455*$F$1),0),0)*RATES!$L432/12+$H$8*(PARAM!$D$51/12)*RATES!$N432/100</f>
        <v>82.166666666666657</v>
      </c>
      <c r="Z456" s="16">
        <f t="shared" si="289"/>
        <v>-3680.7877908381938</v>
      </c>
      <c r="AA456" s="15">
        <f t="shared" si="264"/>
        <v>22.170849845882874</v>
      </c>
      <c r="AB456" s="75">
        <f>AA456*(1-PARAM!$C$27)*$I$9+(MOD($B456,60)=PARAM!$B$56)*($B456&gt;(60-PARAM!$B$56))*HLOOKUP(($B456+PARAM!$B$56)/12,Loyalty,2)*$F$1*MAX(AD455,0)</f>
        <v>18.557001321003963</v>
      </c>
      <c r="AC456" s="75">
        <f>PARAM!$C$26+MAX($G$9-CHOOSE(PARAM!$B$44,MAX(0,AD455*$F$1),0),0)*RATES!$L432/12+$H$9*(PARAM!$D$51/12)*RATES!$N432/100</f>
        <v>82.166666666666657</v>
      </c>
      <c r="AD456" s="16">
        <f t="shared" si="290"/>
        <v>-3680.7877908381938</v>
      </c>
      <c r="AE456" s="15">
        <f t="shared" si="265"/>
        <v>22.170849845882874</v>
      </c>
      <c r="AF456" s="75">
        <f>AE456*(1-PARAM!$C$27)*$I$10+(MOD($B456,60)=PARAM!$B$56)*($B456&gt;(60-PARAM!$B$56))*HLOOKUP(($B456+PARAM!$B$56)/12,Loyalty,2)*$F$1*MAX(AH455,0)</f>
        <v>18.557001321003963</v>
      </c>
      <c r="AG456" s="75">
        <f>PARAM!$C$26+MAX($G$10-CHOOSE(PARAM!$B$44,MAX(0,AH455*$F$1),0),0)*RATES!$L432/12+$H$10*(PARAM!$D$51/12)*RATES!$N432/100</f>
        <v>82.166666666666657</v>
      </c>
      <c r="AH456" s="16">
        <f t="shared" si="291"/>
        <v>-3680.7877908381938</v>
      </c>
      <c r="AI456" s="15">
        <f t="shared" si="266"/>
        <v>22.170849845882874</v>
      </c>
      <c r="AJ456" s="75">
        <f>AI456*(1-PARAM!$C$27)*$I$11+(MOD($B456,60)=PARAM!$B$56)*($B456&gt;(60-PARAM!$B$56))*HLOOKUP(($B456+PARAM!$B$56)/12,Loyalty,2)*$F$1*MAX(AL455,0)</f>
        <v>18.557001321003963</v>
      </c>
      <c r="AK456" s="75">
        <f>PARAM!$C$26+MAX($G$11-CHOOSE(PARAM!$B$44,MAX(0,AL455*$F$1),0),0)*RATES!$L432/12+$H$11*(PARAM!$D$51/12)*RATES!$N432/100</f>
        <v>82.166666666666657</v>
      </c>
      <c r="AL456" s="16">
        <f t="shared" si="292"/>
        <v>-3680.7877908381938</v>
      </c>
      <c r="AM456" s="15">
        <f t="shared" si="267"/>
        <v>22.170849845882874</v>
      </c>
      <c r="AN456" s="75">
        <f>AM456*(1-PARAM!$C$27)*$I$12+(MOD($B456,60)=PARAM!$B$56)*($B456&gt;(60-PARAM!$B$56))*HLOOKUP(($B456+PARAM!$B$56)/12,Loyalty,2)*$F$1*MAX(AP455,0)</f>
        <v>18.557001321003963</v>
      </c>
      <c r="AO456" s="75">
        <f>PARAM!$C$26+MAX($G$12-CHOOSE(PARAM!$B$44,MAX(0,AP455*$F$1),0),0)*RATES!$L432/12+$H$12*(PARAM!$D$51/12)*RATES!$N432/100</f>
        <v>82.166666666666657</v>
      </c>
      <c r="AP456" s="16">
        <f t="shared" si="293"/>
        <v>-3680.7877908381938</v>
      </c>
      <c r="AQ456" s="15">
        <f t="shared" si="268"/>
        <v>22.170849845882874</v>
      </c>
      <c r="AR456" s="75">
        <f>AQ456*(1-PARAM!$C$27)*$I$13+(MOD($B456,60)=PARAM!$B$56)*($B456&gt;(60-PARAM!$B$56))*HLOOKUP(($B456+PARAM!$B$56)/12,Loyalty,2)*$F$1*MAX(AT455,0)</f>
        <v>18.557001321003963</v>
      </c>
      <c r="AS456" s="75">
        <f>PARAM!$C$26+MAX($G$13-CHOOSE(PARAM!$B$44,MAX(0,AT455*$F$1),0),0)*RATES!$L432/12+$H$13*(PARAM!$D$51/12)*RATES!$N432/100</f>
        <v>82.166666666666657</v>
      </c>
      <c r="AT456" s="16">
        <f t="shared" si="294"/>
        <v>-3680.7877908381938</v>
      </c>
      <c r="AU456" s="15">
        <f t="shared" si="269"/>
        <v>22.170849845882874</v>
      </c>
      <c r="AV456" s="75">
        <f>AU456*(1-PARAM!$C$27)*$I$14+(MOD($B456,60)=PARAM!$B$56)*($B456&gt;(60-PARAM!$B$56))*HLOOKUP(($B456+PARAM!$B$56)/12,Loyalty,2)*$F$1*MAX(AX455,0)</f>
        <v>18.557001321003963</v>
      </c>
      <c r="AW456" s="75">
        <f>PARAM!$C$26+MAX($G$14-CHOOSE(PARAM!$B$44,MAX(0,AX455*$F$1),0),0)*RATES!$L432/12+$H$14*(PARAM!$D$51/12)*RATES!$N432/100</f>
        <v>82.166666666666657</v>
      </c>
      <c r="AX456" s="16">
        <f t="shared" si="295"/>
        <v>-3680.7877908381938</v>
      </c>
      <c r="AY456" s="15">
        <f t="shared" si="270"/>
        <v>22.170849845882874</v>
      </c>
      <c r="AZ456" s="75">
        <f>AY456*(1-PARAM!$C$27)*$I$15+(MOD($B456,60)=PARAM!$B$56)*($B456&gt;(60-PARAM!$B$56))*HLOOKUP(($B456+PARAM!$B$56)/12,Loyalty,2)*$F$1*MAX(BB455,0)</f>
        <v>18.557001321003963</v>
      </c>
      <c r="BA456" s="75">
        <f>PARAM!$C$26+MAX($G$15-CHOOSE(PARAM!$B$44,MAX(0,BB455*$F$1),0),0)*RATES!$L432/12+$H$15*(PARAM!$D$51/12)*RATES!$N432/100</f>
        <v>82.166666666666657</v>
      </c>
      <c r="BB456" s="16">
        <f t="shared" si="296"/>
        <v>-3680.7877908381938</v>
      </c>
      <c r="BC456" s="15">
        <f t="shared" si="271"/>
        <v>22.170849845882874</v>
      </c>
      <c r="BD456" s="75">
        <f>BC456*(1-PARAM!$C$27)*$I$16+(MOD($B456,60)=PARAM!$B$56)*($B456&gt;(60-PARAM!$B$56))*HLOOKUP(($B456+PARAM!$B$56)/12,Loyalty,2)*$F$1*MAX(BF455,0)</f>
        <v>18.557001321003963</v>
      </c>
      <c r="BE456" s="75">
        <f>PARAM!$C$26+MAX($G$16-CHOOSE(PARAM!$B$44,MAX(0,BF455*$F$1),0),0)*RATES!$L432/12+$H$16*(PARAM!$D$51/12)*RATES!$N432/100</f>
        <v>82.166666666666657</v>
      </c>
      <c r="BF456" s="16">
        <f t="shared" si="297"/>
        <v>-3680.7877908381938</v>
      </c>
      <c r="BG456" s="15">
        <f t="shared" si="272"/>
        <v>22.170849845882874</v>
      </c>
      <c r="BH456" s="75">
        <f>BG456*(1-PARAM!$C$27)*$I$17+(MOD($B456,60)=PARAM!$B$56)*($B456&gt;(60-PARAM!$B$56))*HLOOKUP(($B456+PARAM!$B$56)/12,Loyalty,2)*$F$1*MAX(BJ455,0)</f>
        <v>18.557001321003963</v>
      </c>
      <c r="BI456" s="75">
        <f>PARAM!$C$26+MAX($G$17-CHOOSE(PARAM!$B$44,MAX(0,BJ455*$F$1),0),0)*RATES!$L432/12+$H$17*(PARAM!$D$51/12)*RATES!$N432/100</f>
        <v>82.166666666666657</v>
      </c>
      <c r="BJ456" s="16">
        <f t="shared" si="298"/>
        <v>-3680.7877908381938</v>
      </c>
      <c r="BK456" s="15">
        <f t="shared" si="273"/>
        <v>22.170849845882874</v>
      </c>
      <c r="BL456" s="75">
        <f>BK456*(1-PARAM!$C$27)*$I$18+(MOD($B456,60)=PARAM!$B$56)*($B456&gt;(60-PARAM!$B$56))*HLOOKUP(($B456+PARAM!$B$56)/12,Loyalty,2)*$F$1*MAX(BN455,0)</f>
        <v>18.557001321003963</v>
      </c>
      <c r="BM456" s="75">
        <f>PARAM!$C$26+MAX($G$18-CHOOSE(PARAM!$B$44,MAX(0,BN455*$F$1),0),0)*RATES!$L432/12+$H$18*(PARAM!$D$51/12)*RATES!$N432/100</f>
        <v>82.166666666666657</v>
      </c>
      <c r="BN456" s="16">
        <f t="shared" si="299"/>
        <v>-3680.7877908381938</v>
      </c>
      <c r="BO456" s="15">
        <f t="shared" si="274"/>
        <v>22.170849845882874</v>
      </c>
      <c r="BP456" s="75">
        <f>BO456*(1-PARAM!$C$27)*$I$19+(MOD($B456,60)=PARAM!$B$56)*($B456&gt;(60-PARAM!$B$56))*HLOOKUP(($B456+PARAM!$B$56)/12,Loyalty,2)*$F$1*MAX(BR455,0)</f>
        <v>18.557001321003963</v>
      </c>
      <c r="BQ456" s="75">
        <f>PARAM!$C$26+MAX($G$19-CHOOSE(PARAM!$B$44,MAX(0,BR455*$F$1),0),0)*RATES!$L432/12+$H$19*(PARAM!$D$51/12)*RATES!$N432/100</f>
        <v>82.166666666666657</v>
      </c>
      <c r="BR456" s="16">
        <f t="shared" si="300"/>
        <v>-3680.7877908381938</v>
      </c>
      <c r="BS456" s="15">
        <f t="shared" si="275"/>
        <v>22.170849845882874</v>
      </c>
      <c r="BT456" s="75">
        <f>BS456*(1-PARAM!$C$27)*$I$20+(MOD($B456,60)=PARAM!$B$56)*($B456&gt;(60-PARAM!$B$56))*HLOOKUP(($B456+PARAM!$B$56)/12,Loyalty,2)*$F$1*MAX(BV455,0)</f>
        <v>18.557001321003963</v>
      </c>
      <c r="BU456" s="75">
        <f>PARAM!$C$26+MAX($G$20-CHOOSE(PARAM!$B$44,MAX(0,BV455*$F$1),0),0)*RATES!$L432/12+$H$20*(PARAM!$D$51/12)*RATES!$N432/100</f>
        <v>82.166666666666657</v>
      </c>
      <c r="BV456" s="16">
        <f t="shared" si="301"/>
        <v>-3680.7877908381938</v>
      </c>
      <c r="BW456" s="15">
        <f t="shared" si="276"/>
        <v>22.170849845882874</v>
      </c>
      <c r="BX456" s="75">
        <f>BW456*(1-PARAM!$C$27)*$I$21+(MOD($B456,60)=PARAM!$B$56)*($B456&gt;(60-PARAM!$B$56))*HLOOKUP(($B456+PARAM!$B$56)/12,Loyalty,2)*$F$1*MAX(BZ455,0)</f>
        <v>18.557001321003963</v>
      </c>
      <c r="BY456" s="75">
        <f>PARAM!$C$26+MAX($G$21-CHOOSE(PARAM!$B$44,MAX(0,BZ455*$F$1),0),0)*RATES!$L432/12+$H$21*(PARAM!$D$51/12)*RATES!$N432/100</f>
        <v>82.166666666666657</v>
      </c>
      <c r="BZ456" s="16">
        <f t="shared" si="302"/>
        <v>-3680.7877908381938</v>
      </c>
      <c r="CA456" s="15">
        <f t="shared" si="277"/>
        <v>22.170849845882874</v>
      </c>
      <c r="CB456" s="75">
        <f>CA456*(1-PARAM!$C$27)*$I$22+(MOD($B456,60)=PARAM!$B$56)*($B456&gt;(60-PARAM!$B$56))*HLOOKUP(($B456+PARAM!$B$56)/12,Loyalty,2)*$F$1*MAX(CD455,0)</f>
        <v>18.557001321003963</v>
      </c>
      <c r="CC456" s="75">
        <f>PARAM!$C$26+MAX($G$22-CHOOSE(PARAM!$B$44,MAX(0,CD455*$F$1),0),0)*RATES!$L432/12+$H$22*(PARAM!$D$51/12)*RATES!$N432/100</f>
        <v>82.166666666666657</v>
      </c>
      <c r="CD456" s="16">
        <f t="shared" si="303"/>
        <v>-3680.7877908381938</v>
      </c>
      <c r="CE456" s="33">
        <f>IF(0=MOD(B456,12/PARAM!$D$51),1,0)</f>
        <v>1</v>
      </c>
      <c r="CF456" s="15">
        <f t="shared" si="278"/>
        <v>0</v>
      </c>
      <c r="CG456" s="75">
        <f>CF456*(1-PARAM!$C$27)*$R$3+(MOD($B456/12,5)=0)*($B456&gt;60)*HLOOKUP($B456/12,Loyalty,2)*$F$1*MAX(CI455,0)</f>
        <v>0</v>
      </c>
      <c r="CH456" s="75">
        <f>PARAM!$C$26+MAX($P$3-CHOOSE(PARAM!$B$44,MAX(0,CI455*$F$1),0),0)*RATES!$L432/12+$Q$3*(PARAM!$D$51/12)*RATES!$N432/100</f>
        <v>82.166666666666657</v>
      </c>
      <c r="CI456" s="16">
        <f>IF(CI455&gt;0,CI455*PARAM!$C$53,CI455)+CG456-CH456</f>
        <v>-11522.166666666652</v>
      </c>
      <c r="CJ456" s="15">
        <f t="shared" si="304"/>
        <v>0</v>
      </c>
      <c r="CK456" s="75">
        <f>CJ456*(1-PARAM!$C$27)*$R$4+(MOD($B456/12,5)=0)*($B456&gt;60)*HLOOKUP($B456/12,Loyalty,2)*$F$1*MAX(CM455,0)</f>
        <v>0</v>
      </c>
      <c r="CL456" s="75">
        <f>PARAM!$C$26+MAX($P$4-CHOOSE(PARAM!$B$44,MAX(0,CM455*$F$1),0),0)*RATES!$L432/12+$Q$4*(PARAM!$D$51/12)*RATES!$N432/100</f>
        <v>82.166666666666657</v>
      </c>
      <c r="CM456" s="16">
        <f>IF(CM455&gt;0,CM455*PARAM!$C$53,CM455)+CK456-CL456</f>
        <v>-11522.166666666652</v>
      </c>
      <c r="CO456" s="176"/>
    </row>
    <row r="457" spans="1:93" x14ac:dyDescent="0.2">
      <c r="A457" t="b">
        <f t="shared" si="279"/>
        <v>0</v>
      </c>
      <c r="B457" s="33">
        <v>430</v>
      </c>
      <c r="C457" s="15">
        <f t="shared" si="280"/>
        <v>20.081305947392778</v>
      </c>
      <c r="D457" s="75">
        <f>C457*(1-PARAM!$C$27)*$I$3+(MOD($B457,60)=PARAM!$B$56)*($B457&gt;(60-PARAM!$B$56))*HLOOKUP(($B457+PARAM!$B$56)/12,Loyalty,2)*$F$1*MAX(F456,0)</f>
        <v>16.808053077967756</v>
      </c>
      <c r="E457" s="75">
        <f>PARAM!$C$26+MAX($G$3-CHOOSE(PARAM!$B$44,MAX(0,F456*$F$1),0),0)*RATES!$L433/12+$H$3*(PARAM!$D$51/12)*RATES!$N433/100</f>
        <v>82.166666666666657</v>
      </c>
      <c r="F457" s="16">
        <f t="shared" si="281"/>
        <v>-4533.2957012109409</v>
      </c>
      <c r="G457" s="15">
        <f t="shared" si="282"/>
        <v>22.035289406060361</v>
      </c>
      <c r="H457" s="75">
        <f>G457*(1-PARAM!$C$27)*$I$4+(MOD($B457,60)=PARAM!$B$56)*($B457&gt;(60-PARAM!$B$56))*HLOOKUP(($B457+PARAM!$B$56)/12,Loyalty,2)*$F$1*MAX(J456,0)</f>
        <v>18.443537232872522</v>
      </c>
      <c r="I457" s="75">
        <f>PARAM!$C$26+MAX($G$4-CHOOSE(PARAM!$B$44,MAX(0,J456*$F$1),0),0)*RATES!$L433/12+$H$4*(PARAM!$D$51/12)*RATES!$N433/100</f>
        <v>82.166666666666657</v>
      </c>
      <c r="J457" s="16">
        <f t="shared" si="283"/>
        <v>-3796.2045504801699</v>
      </c>
      <c r="K457" s="15">
        <f t="shared" si="284"/>
        <v>22.170849845882874</v>
      </c>
      <c r="L457" s="75">
        <f>K457*(1-PARAM!$C$27)*$I$5+(MOD($B457,60)=PARAM!$B$56)*($B457&gt;(60-PARAM!$B$56))*HLOOKUP(($B457+PARAM!$B$56)/12,Loyalty,2)*$F$1*MAX(N456,0)</f>
        <v>18.557001321003963</v>
      </c>
      <c r="M457" s="75">
        <f>PARAM!$C$26+MAX($G$5-CHOOSE(PARAM!$B$44,MAX(0,N456*$F$1),0),0)*RATES!$L433/12+$H$5*(PARAM!$D$51/12)*RATES!$N433/100</f>
        <v>82.166666666666657</v>
      </c>
      <c r="N457" s="16">
        <f t="shared" si="285"/>
        <v>-3744.3974561838563</v>
      </c>
      <c r="O457" s="15">
        <f t="shared" si="286"/>
        <v>22.170849845882874</v>
      </c>
      <c r="P457" s="75">
        <f>O457*(1-PARAM!$C$27)*$I$6+(MOD($B457,60)=PARAM!$B$56)*($B457&gt;(60-PARAM!$B$56))*HLOOKUP(($B457+PARAM!$B$56)/12,Loyalty,2)*$F$1*MAX(R456,0)</f>
        <v>18.557001321003963</v>
      </c>
      <c r="Q457" s="75">
        <f>PARAM!$C$26+MAX($G$6-CHOOSE(PARAM!$B$44,MAX(0,R456*$F$1),0),0)*RATES!$L433/12+$H$6*(PARAM!$D$51/12)*RATES!$N433/100</f>
        <v>82.166666666666657</v>
      </c>
      <c r="R457" s="16">
        <f t="shared" si="287"/>
        <v>-3744.3974561838563</v>
      </c>
      <c r="S457" s="15">
        <f t="shared" si="262"/>
        <v>22.170849845882874</v>
      </c>
      <c r="T457" s="75">
        <f>S457*(1-PARAM!$C$27)*$I$7+(MOD($B457,60)=PARAM!$B$56)*($B457&gt;(60-PARAM!$B$56))*HLOOKUP(($B457+PARAM!$B$56)/12,Loyalty,2)*$F$1*MAX(V456,0)</f>
        <v>18.557001321003963</v>
      </c>
      <c r="U457" s="75">
        <f>PARAM!$C$26+MAX($G$7-CHOOSE(PARAM!$B$44,MAX(0,V456*$F$1),0),0)*RATES!$L433/12+$H$7*(PARAM!$D$51/12)*RATES!$N433/100</f>
        <v>82.166666666666657</v>
      </c>
      <c r="V457" s="16">
        <f t="shared" si="288"/>
        <v>-3744.3974561838563</v>
      </c>
      <c r="W457" s="15">
        <f t="shared" si="263"/>
        <v>22.170849845882874</v>
      </c>
      <c r="X457" s="75">
        <f>W457*(1-PARAM!$C$27)*$I$8+(MOD($B457,60)=PARAM!$B$56)*($B457&gt;(60-PARAM!$B$56))*HLOOKUP(($B457+PARAM!$B$56)/12,Loyalty,2)*$F$1*MAX(Z456,0)</f>
        <v>18.557001321003963</v>
      </c>
      <c r="Y457" s="75">
        <f>PARAM!$C$26+MAX($G$8-CHOOSE(PARAM!$B$44,MAX(0,Z456*$F$1),0),0)*RATES!$L433/12+$H$8*(PARAM!$D$51/12)*RATES!$N433/100</f>
        <v>82.166666666666657</v>
      </c>
      <c r="Z457" s="16">
        <f t="shared" si="289"/>
        <v>-3744.3974561838563</v>
      </c>
      <c r="AA457" s="15">
        <f t="shared" si="264"/>
        <v>22.170849845882874</v>
      </c>
      <c r="AB457" s="75">
        <f>AA457*(1-PARAM!$C$27)*$I$9+(MOD($B457,60)=PARAM!$B$56)*($B457&gt;(60-PARAM!$B$56))*HLOOKUP(($B457+PARAM!$B$56)/12,Loyalty,2)*$F$1*MAX(AD456,0)</f>
        <v>18.557001321003963</v>
      </c>
      <c r="AC457" s="75">
        <f>PARAM!$C$26+MAX($G$9-CHOOSE(PARAM!$B$44,MAX(0,AD456*$F$1),0),0)*RATES!$L433/12+$H$9*(PARAM!$D$51/12)*RATES!$N433/100</f>
        <v>82.166666666666657</v>
      </c>
      <c r="AD457" s="16">
        <f t="shared" si="290"/>
        <v>-3744.3974561838563</v>
      </c>
      <c r="AE457" s="15">
        <f t="shared" si="265"/>
        <v>22.170849845882874</v>
      </c>
      <c r="AF457" s="75">
        <f>AE457*(1-PARAM!$C$27)*$I$10+(MOD($B457,60)=PARAM!$B$56)*($B457&gt;(60-PARAM!$B$56))*HLOOKUP(($B457+PARAM!$B$56)/12,Loyalty,2)*$F$1*MAX(AH456,0)</f>
        <v>18.557001321003963</v>
      </c>
      <c r="AG457" s="75">
        <f>PARAM!$C$26+MAX($G$10-CHOOSE(PARAM!$B$44,MAX(0,AH456*$F$1),0),0)*RATES!$L433/12+$H$10*(PARAM!$D$51/12)*RATES!$N433/100</f>
        <v>82.166666666666657</v>
      </c>
      <c r="AH457" s="16">
        <f t="shared" si="291"/>
        <v>-3744.3974561838563</v>
      </c>
      <c r="AI457" s="15">
        <f t="shared" si="266"/>
        <v>22.170849845882874</v>
      </c>
      <c r="AJ457" s="75">
        <f>AI457*(1-PARAM!$C$27)*$I$11+(MOD($B457,60)=PARAM!$B$56)*($B457&gt;(60-PARAM!$B$56))*HLOOKUP(($B457+PARAM!$B$56)/12,Loyalty,2)*$F$1*MAX(AL456,0)</f>
        <v>18.557001321003963</v>
      </c>
      <c r="AK457" s="75">
        <f>PARAM!$C$26+MAX($G$11-CHOOSE(PARAM!$B$44,MAX(0,AL456*$F$1),0),0)*RATES!$L433/12+$H$11*(PARAM!$D$51/12)*RATES!$N433/100</f>
        <v>82.166666666666657</v>
      </c>
      <c r="AL457" s="16">
        <f t="shared" si="292"/>
        <v>-3744.3974561838563</v>
      </c>
      <c r="AM457" s="15">
        <f t="shared" si="267"/>
        <v>22.170849845882874</v>
      </c>
      <c r="AN457" s="75">
        <f>AM457*(1-PARAM!$C$27)*$I$12+(MOD($B457,60)=PARAM!$B$56)*($B457&gt;(60-PARAM!$B$56))*HLOOKUP(($B457+PARAM!$B$56)/12,Loyalty,2)*$F$1*MAX(AP456,0)</f>
        <v>18.557001321003963</v>
      </c>
      <c r="AO457" s="75">
        <f>PARAM!$C$26+MAX($G$12-CHOOSE(PARAM!$B$44,MAX(0,AP456*$F$1),0),0)*RATES!$L433/12+$H$12*(PARAM!$D$51/12)*RATES!$N433/100</f>
        <v>82.166666666666657</v>
      </c>
      <c r="AP457" s="16">
        <f t="shared" si="293"/>
        <v>-3744.3974561838563</v>
      </c>
      <c r="AQ457" s="15">
        <f t="shared" si="268"/>
        <v>22.170849845882874</v>
      </c>
      <c r="AR457" s="75">
        <f>AQ457*(1-PARAM!$C$27)*$I$13+(MOD($B457,60)=PARAM!$B$56)*($B457&gt;(60-PARAM!$B$56))*HLOOKUP(($B457+PARAM!$B$56)/12,Loyalty,2)*$F$1*MAX(AT456,0)</f>
        <v>18.557001321003963</v>
      </c>
      <c r="AS457" s="75">
        <f>PARAM!$C$26+MAX($G$13-CHOOSE(PARAM!$B$44,MAX(0,AT456*$F$1),0),0)*RATES!$L433/12+$H$13*(PARAM!$D$51/12)*RATES!$N433/100</f>
        <v>82.166666666666657</v>
      </c>
      <c r="AT457" s="16">
        <f t="shared" si="294"/>
        <v>-3744.3974561838563</v>
      </c>
      <c r="AU457" s="15">
        <f t="shared" si="269"/>
        <v>22.170849845882874</v>
      </c>
      <c r="AV457" s="75">
        <f>AU457*(1-PARAM!$C$27)*$I$14+(MOD($B457,60)=PARAM!$B$56)*($B457&gt;(60-PARAM!$B$56))*HLOOKUP(($B457+PARAM!$B$56)/12,Loyalty,2)*$F$1*MAX(AX456,0)</f>
        <v>18.557001321003963</v>
      </c>
      <c r="AW457" s="75">
        <f>PARAM!$C$26+MAX($G$14-CHOOSE(PARAM!$B$44,MAX(0,AX456*$F$1),0),0)*RATES!$L433/12+$H$14*(PARAM!$D$51/12)*RATES!$N433/100</f>
        <v>82.166666666666657</v>
      </c>
      <c r="AX457" s="16">
        <f t="shared" si="295"/>
        <v>-3744.3974561838563</v>
      </c>
      <c r="AY457" s="15">
        <f t="shared" si="270"/>
        <v>22.170849845882874</v>
      </c>
      <c r="AZ457" s="75">
        <f>AY457*(1-PARAM!$C$27)*$I$15+(MOD($B457,60)=PARAM!$B$56)*($B457&gt;(60-PARAM!$B$56))*HLOOKUP(($B457+PARAM!$B$56)/12,Loyalty,2)*$F$1*MAX(BB456,0)</f>
        <v>18.557001321003963</v>
      </c>
      <c r="BA457" s="75">
        <f>PARAM!$C$26+MAX($G$15-CHOOSE(PARAM!$B$44,MAX(0,BB456*$F$1),0),0)*RATES!$L433/12+$H$15*(PARAM!$D$51/12)*RATES!$N433/100</f>
        <v>82.166666666666657</v>
      </c>
      <c r="BB457" s="16">
        <f t="shared" si="296"/>
        <v>-3744.3974561838563</v>
      </c>
      <c r="BC457" s="15">
        <f t="shared" si="271"/>
        <v>22.170849845882874</v>
      </c>
      <c r="BD457" s="75">
        <f>BC457*(1-PARAM!$C$27)*$I$16+(MOD($B457,60)=PARAM!$B$56)*($B457&gt;(60-PARAM!$B$56))*HLOOKUP(($B457+PARAM!$B$56)/12,Loyalty,2)*$F$1*MAX(BF456,0)</f>
        <v>18.557001321003963</v>
      </c>
      <c r="BE457" s="75">
        <f>PARAM!$C$26+MAX($G$16-CHOOSE(PARAM!$B$44,MAX(0,BF456*$F$1),0),0)*RATES!$L433/12+$H$16*(PARAM!$D$51/12)*RATES!$N433/100</f>
        <v>82.166666666666657</v>
      </c>
      <c r="BF457" s="16">
        <f t="shared" si="297"/>
        <v>-3744.3974561838563</v>
      </c>
      <c r="BG457" s="15">
        <f t="shared" si="272"/>
        <v>22.170849845882874</v>
      </c>
      <c r="BH457" s="75">
        <f>BG457*(1-PARAM!$C$27)*$I$17+(MOD($B457,60)=PARAM!$B$56)*($B457&gt;(60-PARAM!$B$56))*HLOOKUP(($B457+PARAM!$B$56)/12,Loyalty,2)*$F$1*MAX(BJ456,0)</f>
        <v>18.557001321003963</v>
      </c>
      <c r="BI457" s="75">
        <f>PARAM!$C$26+MAX($G$17-CHOOSE(PARAM!$B$44,MAX(0,BJ456*$F$1),0),0)*RATES!$L433/12+$H$17*(PARAM!$D$51/12)*RATES!$N433/100</f>
        <v>82.166666666666657</v>
      </c>
      <c r="BJ457" s="16">
        <f t="shared" si="298"/>
        <v>-3744.3974561838563</v>
      </c>
      <c r="BK457" s="15">
        <f t="shared" si="273"/>
        <v>22.170849845882874</v>
      </c>
      <c r="BL457" s="75">
        <f>BK457*(1-PARAM!$C$27)*$I$18+(MOD($B457,60)=PARAM!$B$56)*($B457&gt;(60-PARAM!$B$56))*HLOOKUP(($B457+PARAM!$B$56)/12,Loyalty,2)*$F$1*MAX(BN456,0)</f>
        <v>18.557001321003963</v>
      </c>
      <c r="BM457" s="75">
        <f>PARAM!$C$26+MAX($G$18-CHOOSE(PARAM!$B$44,MAX(0,BN456*$F$1),0),0)*RATES!$L433/12+$H$18*(PARAM!$D$51/12)*RATES!$N433/100</f>
        <v>82.166666666666657</v>
      </c>
      <c r="BN457" s="16">
        <f t="shared" si="299"/>
        <v>-3744.3974561838563</v>
      </c>
      <c r="BO457" s="15">
        <f t="shared" si="274"/>
        <v>22.170849845882874</v>
      </c>
      <c r="BP457" s="75">
        <f>BO457*(1-PARAM!$C$27)*$I$19+(MOD($B457,60)=PARAM!$B$56)*($B457&gt;(60-PARAM!$B$56))*HLOOKUP(($B457+PARAM!$B$56)/12,Loyalty,2)*$F$1*MAX(BR456,0)</f>
        <v>18.557001321003963</v>
      </c>
      <c r="BQ457" s="75">
        <f>PARAM!$C$26+MAX($G$19-CHOOSE(PARAM!$B$44,MAX(0,BR456*$F$1),0),0)*RATES!$L433/12+$H$19*(PARAM!$D$51/12)*RATES!$N433/100</f>
        <v>82.166666666666657</v>
      </c>
      <c r="BR457" s="16">
        <f t="shared" si="300"/>
        <v>-3744.3974561838563</v>
      </c>
      <c r="BS457" s="15">
        <f t="shared" si="275"/>
        <v>22.170849845882874</v>
      </c>
      <c r="BT457" s="75">
        <f>BS457*(1-PARAM!$C$27)*$I$20+(MOD($B457,60)=PARAM!$B$56)*($B457&gt;(60-PARAM!$B$56))*HLOOKUP(($B457+PARAM!$B$56)/12,Loyalty,2)*$F$1*MAX(BV456,0)</f>
        <v>18.557001321003963</v>
      </c>
      <c r="BU457" s="75">
        <f>PARAM!$C$26+MAX($G$20-CHOOSE(PARAM!$B$44,MAX(0,BV456*$F$1),0),0)*RATES!$L433/12+$H$20*(PARAM!$D$51/12)*RATES!$N433/100</f>
        <v>82.166666666666657</v>
      </c>
      <c r="BV457" s="16">
        <f t="shared" si="301"/>
        <v>-3744.3974561838563</v>
      </c>
      <c r="BW457" s="15">
        <f t="shared" si="276"/>
        <v>22.170849845882874</v>
      </c>
      <c r="BX457" s="75">
        <f>BW457*(1-PARAM!$C$27)*$I$21+(MOD($B457,60)=PARAM!$B$56)*($B457&gt;(60-PARAM!$B$56))*HLOOKUP(($B457+PARAM!$B$56)/12,Loyalty,2)*$F$1*MAX(BZ456,0)</f>
        <v>18.557001321003963</v>
      </c>
      <c r="BY457" s="75">
        <f>PARAM!$C$26+MAX($G$21-CHOOSE(PARAM!$B$44,MAX(0,BZ456*$F$1),0),0)*RATES!$L433/12+$H$21*(PARAM!$D$51/12)*RATES!$N433/100</f>
        <v>82.166666666666657</v>
      </c>
      <c r="BZ457" s="16">
        <f t="shared" si="302"/>
        <v>-3744.3974561838563</v>
      </c>
      <c r="CA457" s="15">
        <f t="shared" si="277"/>
        <v>22.170849845882874</v>
      </c>
      <c r="CB457" s="75">
        <f>CA457*(1-PARAM!$C$27)*$I$22+(MOD($B457,60)=PARAM!$B$56)*($B457&gt;(60-PARAM!$B$56))*HLOOKUP(($B457+PARAM!$B$56)/12,Loyalty,2)*$F$1*MAX(CD456,0)</f>
        <v>18.557001321003963</v>
      </c>
      <c r="CC457" s="75">
        <f>PARAM!$C$26+MAX($G$22-CHOOSE(PARAM!$B$44,MAX(0,CD456*$F$1),0),0)*RATES!$L433/12+$H$22*(PARAM!$D$51/12)*RATES!$N433/100</f>
        <v>82.166666666666657</v>
      </c>
      <c r="CD457" s="16">
        <f t="shared" si="303"/>
        <v>-3744.3974561838563</v>
      </c>
      <c r="CE457" s="33">
        <f>IF(0=MOD(B457,12/PARAM!$D$51),1,0)</f>
        <v>1</v>
      </c>
      <c r="CF457" s="15">
        <f t="shared" si="278"/>
        <v>0</v>
      </c>
      <c r="CG457" s="75">
        <f>CF457*(1-PARAM!$C$27)*$R$3+(MOD($B457/12,5)=0)*($B457&gt;60)*HLOOKUP($B457/12,Loyalty,2)*$F$1*MAX(CI456,0)</f>
        <v>0</v>
      </c>
      <c r="CH457" s="75">
        <f>PARAM!$C$26+MAX($P$3-CHOOSE(PARAM!$B$44,MAX(0,CI456*$F$1),0),0)*RATES!$L433/12+$Q$3*(PARAM!$D$51/12)*RATES!$N433/100</f>
        <v>82.166666666666657</v>
      </c>
      <c r="CI457" s="16">
        <f>IF(CI456&gt;0,CI456*PARAM!$C$53,CI456)+CG457-CH457</f>
        <v>-11604.333333333318</v>
      </c>
      <c r="CJ457" s="15">
        <f t="shared" si="304"/>
        <v>0</v>
      </c>
      <c r="CK457" s="75">
        <f>CJ457*(1-PARAM!$C$27)*$R$4+(MOD($B457/12,5)=0)*($B457&gt;60)*HLOOKUP($B457/12,Loyalty,2)*$F$1*MAX(CM456,0)</f>
        <v>0</v>
      </c>
      <c r="CL457" s="75">
        <f>PARAM!$C$26+MAX($P$4-CHOOSE(PARAM!$B$44,MAX(0,CM456*$F$1),0),0)*RATES!$L433/12+$Q$4*(PARAM!$D$51/12)*RATES!$N433/100</f>
        <v>82.166666666666657</v>
      </c>
      <c r="CM457" s="16">
        <f>IF(CM456&gt;0,CM456*PARAM!$C$53,CM456)+CK457-CL457</f>
        <v>-11604.333333333318</v>
      </c>
      <c r="CO457" s="176"/>
    </row>
    <row r="458" spans="1:93" x14ac:dyDescent="0.2">
      <c r="A458" t="b">
        <f t="shared" si="279"/>
        <v>0</v>
      </c>
      <c r="B458" s="33">
        <v>431</v>
      </c>
      <c r="C458" s="15">
        <f t="shared" si="280"/>
        <v>20.081305947392778</v>
      </c>
      <c r="D458" s="75">
        <f>C458*(1-PARAM!$C$27)*$I$3+(MOD($B458,60)=PARAM!$B$56)*($B458&gt;(60-PARAM!$B$56))*HLOOKUP(($B458+PARAM!$B$56)/12,Loyalty,2)*$F$1*MAX(F457,0)</f>
        <v>16.808053077967756</v>
      </c>
      <c r="E458" s="75">
        <f>PARAM!$C$26+MAX($G$3-CHOOSE(PARAM!$B$44,MAX(0,F457*$F$1),0),0)*RATES!$L434/12+$H$3*(PARAM!$D$51/12)*RATES!$N434/100</f>
        <v>82.166666666666657</v>
      </c>
      <c r="F458" s="16">
        <f t="shared" si="281"/>
        <v>-4598.6543147996399</v>
      </c>
      <c r="G458" s="15">
        <f t="shared" si="282"/>
        <v>22.035289406060361</v>
      </c>
      <c r="H458" s="75">
        <f>G458*(1-PARAM!$C$27)*$I$4+(MOD($B458,60)=PARAM!$B$56)*($B458&gt;(60-PARAM!$B$56))*HLOOKUP(($B458+PARAM!$B$56)/12,Loyalty,2)*$F$1*MAX(J457,0)</f>
        <v>18.443537232872522</v>
      </c>
      <c r="I458" s="75">
        <f>PARAM!$C$26+MAX($G$4-CHOOSE(PARAM!$B$44,MAX(0,J457*$F$1),0),0)*RATES!$L434/12+$H$4*(PARAM!$D$51/12)*RATES!$N434/100</f>
        <v>82.166666666666657</v>
      </c>
      <c r="J458" s="16">
        <f t="shared" si="283"/>
        <v>-3859.9276799139639</v>
      </c>
      <c r="K458" s="15">
        <f t="shared" si="284"/>
        <v>22.170849845882874</v>
      </c>
      <c r="L458" s="75">
        <f>K458*(1-PARAM!$C$27)*$I$5+(MOD($B458,60)=PARAM!$B$56)*($B458&gt;(60-PARAM!$B$56))*HLOOKUP(($B458+PARAM!$B$56)/12,Loyalty,2)*$F$1*MAX(N457,0)</f>
        <v>18.557001321003963</v>
      </c>
      <c r="M458" s="75">
        <f>PARAM!$C$26+MAX($G$5-CHOOSE(PARAM!$B$44,MAX(0,N457*$F$1),0),0)*RATES!$L434/12+$H$5*(PARAM!$D$51/12)*RATES!$N434/100</f>
        <v>82.166666666666657</v>
      </c>
      <c r="N458" s="16">
        <f t="shared" si="285"/>
        <v>-3808.0071215295188</v>
      </c>
      <c r="O458" s="15">
        <f t="shared" si="286"/>
        <v>22.170849845882874</v>
      </c>
      <c r="P458" s="75">
        <f>O458*(1-PARAM!$C$27)*$I$6+(MOD($B458,60)=PARAM!$B$56)*($B458&gt;(60-PARAM!$B$56))*HLOOKUP(($B458+PARAM!$B$56)/12,Loyalty,2)*$F$1*MAX(R457,0)</f>
        <v>18.557001321003963</v>
      </c>
      <c r="Q458" s="75">
        <f>PARAM!$C$26+MAX($G$6-CHOOSE(PARAM!$B$44,MAX(0,R457*$F$1),0),0)*RATES!$L434/12+$H$6*(PARAM!$D$51/12)*RATES!$N434/100</f>
        <v>82.166666666666657</v>
      </c>
      <c r="R458" s="16">
        <f t="shared" si="287"/>
        <v>-3808.0071215295188</v>
      </c>
      <c r="S458" s="15">
        <f t="shared" si="262"/>
        <v>22.170849845882874</v>
      </c>
      <c r="T458" s="75">
        <f>S458*(1-PARAM!$C$27)*$I$7+(MOD($B458,60)=PARAM!$B$56)*($B458&gt;(60-PARAM!$B$56))*HLOOKUP(($B458+PARAM!$B$56)/12,Loyalty,2)*$F$1*MAX(V457,0)</f>
        <v>18.557001321003963</v>
      </c>
      <c r="U458" s="75">
        <f>PARAM!$C$26+MAX($G$7-CHOOSE(PARAM!$B$44,MAX(0,V457*$F$1),0),0)*RATES!$L434/12+$H$7*(PARAM!$D$51/12)*RATES!$N434/100</f>
        <v>82.166666666666657</v>
      </c>
      <c r="V458" s="16">
        <f t="shared" si="288"/>
        <v>-3808.0071215295188</v>
      </c>
      <c r="W458" s="15">
        <f t="shared" si="263"/>
        <v>22.170849845882874</v>
      </c>
      <c r="X458" s="75">
        <f>W458*(1-PARAM!$C$27)*$I$8+(MOD($B458,60)=PARAM!$B$56)*($B458&gt;(60-PARAM!$B$56))*HLOOKUP(($B458+PARAM!$B$56)/12,Loyalty,2)*$F$1*MAX(Z457,0)</f>
        <v>18.557001321003963</v>
      </c>
      <c r="Y458" s="75">
        <f>PARAM!$C$26+MAX($G$8-CHOOSE(PARAM!$B$44,MAX(0,Z457*$F$1),0),0)*RATES!$L434/12+$H$8*(PARAM!$D$51/12)*RATES!$N434/100</f>
        <v>82.166666666666657</v>
      </c>
      <c r="Z458" s="16">
        <f t="shared" si="289"/>
        <v>-3808.0071215295188</v>
      </c>
      <c r="AA458" s="15">
        <f t="shared" si="264"/>
        <v>22.170849845882874</v>
      </c>
      <c r="AB458" s="75">
        <f>AA458*(1-PARAM!$C$27)*$I$9+(MOD($B458,60)=PARAM!$B$56)*($B458&gt;(60-PARAM!$B$56))*HLOOKUP(($B458+PARAM!$B$56)/12,Loyalty,2)*$F$1*MAX(AD457,0)</f>
        <v>18.557001321003963</v>
      </c>
      <c r="AC458" s="75">
        <f>PARAM!$C$26+MAX($G$9-CHOOSE(PARAM!$B$44,MAX(0,AD457*$F$1),0),0)*RATES!$L434/12+$H$9*(PARAM!$D$51/12)*RATES!$N434/100</f>
        <v>82.166666666666657</v>
      </c>
      <c r="AD458" s="16">
        <f t="shared" si="290"/>
        <v>-3808.0071215295188</v>
      </c>
      <c r="AE458" s="15">
        <f t="shared" si="265"/>
        <v>22.170849845882874</v>
      </c>
      <c r="AF458" s="75">
        <f>AE458*(1-PARAM!$C$27)*$I$10+(MOD($B458,60)=PARAM!$B$56)*($B458&gt;(60-PARAM!$B$56))*HLOOKUP(($B458+PARAM!$B$56)/12,Loyalty,2)*$F$1*MAX(AH457,0)</f>
        <v>18.557001321003963</v>
      </c>
      <c r="AG458" s="75">
        <f>PARAM!$C$26+MAX($G$10-CHOOSE(PARAM!$B$44,MAX(0,AH457*$F$1),0),0)*RATES!$L434/12+$H$10*(PARAM!$D$51/12)*RATES!$N434/100</f>
        <v>82.166666666666657</v>
      </c>
      <c r="AH458" s="16">
        <f t="shared" si="291"/>
        <v>-3808.0071215295188</v>
      </c>
      <c r="AI458" s="15">
        <f t="shared" si="266"/>
        <v>22.170849845882874</v>
      </c>
      <c r="AJ458" s="75">
        <f>AI458*(1-PARAM!$C$27)*$I$11+(MOD($B458,60)=PARAM!$B$56)*($B458&gt;(60-PARAM!$B$56))*HLOOKUP(($B458+PARAM!$B$56)/12,Loyalty,2)*$F$1*MAX(AL457,0)</f>
        <v>18.557001321003963</v>
      </c>
      <c r="AK458" s="75">
        <f>PARAM!$C$26+MAX($G$11-CHOOSE(PARAM!$B$44,MAX(0,AL457*$F$1),0),0)*RATES!$L434/12+$H$11*(PARAM!$D$51/12)*RATES!$N434/100</f>
        <v>82.166666666666657</v>
      </c>
      <c r="AL458" s="16">
        <f t="shared" si="292"/>
        <v>-3808.0071215295188</v>
      </c>
      <c r="AM458" s="15">
        <f t="shared" si="267"/>
        <v>22.170849845882874</v>
      </c>
      <c r="AN458" s="75">
        <f>AM458*(1-PARAM!$C$27)*$I$12+(MOD($B458,60)=PARAM!$B$56)*($B458&gt;(60-PARAM!$B$56))*HLOOKUP(($B458+PARAM!$B$56)/12,Loyalty,2)*$F$1*MAX(AP457,0)</f>
        <v>18.557001321003963</v>
      </c>
      <c r="AO458" s="75">
        <f>PARAM!$C$26+MAX($G$12-CHOOSE(PARAM!$B$44,MAX(0,AP457*$F$1),0),0)*RATES!$L434/12+$H$12*(PARAM!$D$51/12)*RATES!$N434/100</f>
        <v>82.166666666666657</v>
      </c>
      <c r="AP458" s="16">
        <f t="shared" si="293"/>
        <v>-3808.0071215295188</v>
      </c>
      <c r="AQ458" s="15">
        <f t="shared" si="268"/>
        <v>22.170849845882874</v>
      </c>
      <c r="AR458" s="75">
        <f>AQ458*(1-PARAM!$C$27)*$I$13+(MOD($B458,60)=PARAM!$B$56)*($B458&gt;(60-PARAM!$B$56))*HLOOKUP(($B458+PARAM!$B$56)/12,Loyalty,2)*$F$1*MAX(AT457,0)</f>
        <v>18.557001321003963</v>
      </c>
      <c r="AS458" s="75">
        <f>PARAM!$C$26+MAX($G$13-CHOOSE(PARAM!$B$44,MAX(0,AT457*$F$1),0),0)*RATES!$L434/12+$H$13*(PARAM!$D$51/12)*RATES!$N434/100</f>
        <v>82.166666666666657</v>
      </c>
      <c r="AT458" s="16">
        <f t="shared" si="294"/>
        <v>-3808.0071215295188</v>
      </c>
      <c r="AU458" s="15">
        <f t="shared" si="269"/>
        <v>22.170849845882874</v>
      </c>
      <c r="AV458" s="75">
        <f>AU458*(1-PARAM!$C$27)*$I$14+(MOD($B458,60)=PARAM!$B$56)*($B458&gt;(60-PARAM!$B$56))*HLOOKUP(($B458+PARAM!$B$56)/12,Loyalty,2)*$F$1*MAX(AX457,0)</f>
        <v>18.557001321003963</v>
      </c>
      <c r="AW458" s="75">
        <f>PARAM!$C$26+MAX($G$14-CHOOSE(PARAM!$B$44,MAX(0,AX457*$F$1),0),0)*RATES!$L434/12+$H$14*(PARAM!$D$51/12)*RATES!$N434/100</f>
        <v>82.166666666666657</v>
      </c>
      <c r="AX458" s="16">
        <f t="shared" si="295"/>
        <v>-3808.0071215295188</v>
      </c>
      <c r="AY458" s="15">
        <f t="shared" si="270"/>
        <v>22.170849845882874</v>
      </c>
      <c r="AZ458" s="75">
        <f>AY458*(1-PARAM!$C$27)*$I$15+(MOD($B458,60)=PARAM!$B$56)*($B458&gt;(60-PARAM!$B$56))*HLOOKUP(($B458+PARAM!$B$56)/12,Loyalty,2)*$F$1*MAX(BB457,0)</f>
        <v>18.557001321003963</v>
      </c>
      <c r="BA458" s="75">
        <f>PARAM!$C$26+MAX($G$15-CHOOSE(PARAM!$B$44,MAX(0,BB457*$F$1),0),0)*RATES!$L434/12+$H$15*(PARAM!$D$51/12)*RATES!$N434/100</f>
        <v>82.166666666666657</v>
      </c>
      <c r="BB458" s="16">
        <f t="shared" si="296"/>
        <v>-3808.0071215295188</v>
      </c>
      <c r="BC458" s="15">
        <f t="shared" si="271"/>
        <v>22.170849845882874</v>
      </c>
      <c r="BD458" s="75">
        <f>BC458*(1-PARAM!$C$27)*$I$16+(MOD($B458,60)=PARAM!$B$56)*($B458&gt;(60-PARAM!$B$56))*HLOOKUP(($B458+PARAM!$B$56)/12,Loyalty,2)*$F$1*MAX(BF457,0)</f>
        <v>18.557001321003963</v>
      </c>
      <c r="BE458" s="75">
        <f>PARAM!$C$26+MAX($G$16-CHOOSE(PARAM!$B$44,MAX(0,BF457*$F$1),0),0)*RATES!$L434/12+$H$16*(PARAM!$D$51/12)*RATES!$N434/100</f>
        <v>82.166666666666657</v>
      </c>
      <c r="BF458" s="16">
        <f t="shared" si="297"/>
        <v>-3808.0071215295188</v>
      </c>
      <c r="BG458" s="15">
        <f t="shared" si="272"/>
        <v>22.170849845882874</v>
      </c>
      <c r="BH458" s="75">
        <f>BG458*(1-PARAM!$C$27)*$I$17+(MOD($B458,60)=PARAM!$B$56)*($B458&gt;(60-PARAM!$B$56))*HLOOKUP(($B458+PARAM!$B$56)/12,Loyalty,2)*$F$1*MAX(BJ457,0)</f>
        <v>18.557001321003963</v>
      </c>
      <c r="BI458" s="75">
        <f>PARAM!$C$26+MAX($G$17-CHOOSE(PARAM!$B$44,MAX(0,BJ457*$F$1),0),0)*RATES!$L434/12+$H$17*(PARAM!$D$51/12)*RATES!$N434/100</f>
        <v>82.166666666666657</v>
      </c>
      <c r="BJ458" s="16">
        <f t="shared" si="298"/>
        <v>-3808.0071215295188</v>
      </c>
      <c r="BK458" s="15">
        <f t="shared" si="273"/>
        <v>22.170849845882874</v>
      </c>
      <c r="BL458" s="75">
        <f>BK458*(1-PARAM!$C$27)*$I$18+(MOD($B458,60)=PARAM!$B$56)*($B458&gt;(60-PARAM!$B$56))*HLOOKUP(($B458+PARAM!$B$56)/12,Loyalty,2)*$F$1*MAX(BN457,0)</f>
        <v>18.557001321003963</v>
      </c>
      <c r="BM458" s="75">
        <f>PARAM!$C$26+MAX($G$18-CHOOSE(PARAM!$B$44,MAX(0,BN457*$F$1),0),0)*RATES!$L434/12+$H$18*(PARAM!$D$51/12)*RATES!$N434/100</f>
        <v>82.166666666666657</v>
      </c>
      <c r="BN458" s="16">
        <f t="shared" si="299"/>
        <v>-3808.0071215295188</v>
      </c>
      <c r="BO458" s="15">
        <f t="shared" si="274"/>
        <v>22.170849845882874</v>
      </c>
      <c r="BP458" s="75">
        <f>BO458*(1-PARAM!$C$27)*$I$19+(MOD($B458,60)=PARAM!$B$56)*($B458&gt;(60-PARAM!$B$56))*HLOOKUP(($B458+PARAM!$B$56)/12,Loyalty,2)*$F$1*MAX(BR457,0)</f>
        <v>18.557001321003963</v>
      </c>
      <c r="BQ458" s="75">
        <f>PARAM!$C$26+MAX($G$19-CHOOSE(PARAM!$B$44,MAX(0,BR457*$F$1),0),0)*RATES!$L434/12+$H$19*(PARAM!$D$51/12)*RATES!$N434/100</f>
        <v>82.166666666666657</v>
      </c>
      <c r="BR458" s="16">
        <f t="shared" si="300"/>
        <v>-3808.0071215295188</v>
      </c>
      <c r="BS458" s="15">
        <f t="shared" si="275"/>
        <v>22.170849845882874</v>
      </c>
      <c r="BT458" s="75">
        <f>BS458*(1-PARAM!$C$27)*$I$20+(MOD($B458,60)=PARAM!$B$56)*($B458&gt;(60-PARAM!$B$56))*HLOOKUP(($B458+PARAM!$B$56)/12,Loyalty,2)*$F$1*MAX(BV457,0)</f>
        <v>18.557001321003963</v>
      </c>
      <c r="BU458" s="75">
        <f>PARAM!$C$26+MAX($G$20-CHOOSE(PARAM!$B$44,MAX(0,BV457*$F$1),0),0)*RATES!$L434/12+$H$20*(PARAM!$D$51/12)*RATES!$N434/100</f>
        <v>82.166666666666657</v>
      </c>
      <c r="BV458" s="16">
        <f t="shared" si="301"/>
        <v>-3808.0071215295188</v>
      </c>
      <c r="BW458" s="15">
        <f t="shared" si="276"/>
        <v>22.170849845882874</v>
      </c>
      <c r="BX458" s="75">
        <f>BW458*(1-PARAM!$C$27)*$I$21+(MOD($B458,60)=PARAM!$B$56)*($B458&gt;(60-PARAM!$B$56))*HLOOKUP(($B458+PARAM!$B$56)/12,Loyalty,2)*$F$1*MAX(BZ457,0)</f>
        <v>18.557001321003963</v>
      </c>
      <c r="BY458" s="75">
        <f>PARAM!$C$26+MAX($G$21-CHOOSE(PARAM!$B$44,MAX(0,BZ457*$F$1),0),0)*RATES!$L434/12+$H$21*(PARAM!$D$51/12)*RATES!$N434/100</f>
        <v>82.166666666666657</v>
      </c>
      <c r="BZ458" s="16">
        <f t="shared" si="302"/>
        <v>-3808.0071215295188</v>
      </c>
      <c r="CA458" s="15">
        <f t="shared" si="277"/>
        <v>22.170849845882874</v>
      </c>
      <c r="CB458" s="75">
        <f>CA458*(1-PARAM!$C$27)*$I$22+(MOD($B458,60)=PARAM!$B$56)*($B458&gt;(60-PARAM!$B$56))*HLOOKUP(($B458+PARAM!$B$56)/12,Loyalty,2)*$F$1*MAX(CD457,0)</f>
        <v>18.557001321003963</v>
      </c>
      <c r="CC458" s="75">
        <f>PARAM!$C$26+MAX($G$22-CHOOSE(PARAM!$B$44,MAX(0,CD457*$F$1),0),0)*RATES!$L434/12+$H$22*(PARAM!$D$51/12)*RATES!$N434/100</f>
        <v>82.166666666666657</v>
      </c>
      <c r="CD458" s="16">
        <f t="shared" si="303"/>
        <v>-3808.0071215295188</v>
      </c>
      <c r="CE458" s="33">
        <f>IF(0=MOD(B458,12/PARAM!$D$51),1,0)</f>
        <v>1</v>
      </c>
      <c r="CF458" s="15">
        <f t="shared" si="278"/>
        <v>0</v>
      </c>
      <c r="CG458" s="75">
        <f>CF458*(1-PARAM!$C$27)*$R$3+(MOD($B458/12,5)=0)*($B458&gt;60)*HLOOKUP($B458/12,Loyalty,2)*$F$1*MAX(CI457,0)</f>
        <v>0</v>
      </c>
      <c r="CH458" s="75">
        <f>PARAM!$C$26+MAX($P$3-CHOOSE(PARAM!$B$44,MAX(0,CI457*$F$1),0),0)*RATES!$L434/12+$Q$3*(PARAM!$D$51/12)*RATES!$N434/100</f>
        <v>82.166666666666657</v>
      </c>
      <c r="CI458" s="16">
        <f>IF(CI457&gt;0,CI457*PARAM!$C$53,CI457)+CG458-CH458</f>
        <v>-11686.499999999984</v>
      </c>
      <c r="CJ458" s="15">
        <f t="shared" si="304"/>
        <v>0</v>
      </c>
      <c r="CK458" s="75">
        <f>CJ458*(1-PARAM!$C$27)*$R$4+(MOD($B458/12,5)=0)*($B458&gt;60)*HLOOKUP($B458/12,Loyalty,2)*$F$1*MAX(CM457,0)</f>
        <v>0</v>
      </c>
      <c r="CL458" s="75">
        <f>PARAM!$C$26+MAX($P$4-CHOOSE(PARAM!$B$44,MAX(0,CM457*$F$1),0),0)*RATES!$L434/12+$Q$4*(PARAM!$D$51/12)*RATES!$N434/100</f>
        <v>82.166666666666657</v>
      </c>
      <c r="CM458" s="16">
        <f>IF(CM457&gt;0,CM457*PARAM!$C$53,CM457)+CK458-CL458</f>
        <v>-11686.499999999984</v>
      </c>
      <c r="CO458" s="176"/>
    </row>
    <row r="459" spans="1:93" x14ac:dyDescent="0.2">
      <c r="A459" t="b">
        <f t="shared" si="279"/>
        <v>0</v>
      </c>
      <c r="B459" s="33">
        <v>432</v>
      </c>
      <c r="C459" s="15">
        <f t="shared" si="280"/>
        <v>20.081305947392778</v>
      </c>
      <c r="D459" s="75">
        <f>C459*(1-PARAM!$C$27)*$I$3+(MOD($B459,60)=PARAM!$B$56)*($B459&gt;(60-PARAM!$B$56))*HLOOKUP(($B459+PARAM!$B$56)/12,Loyalty,2)*$F$1*MAX(F458,0)</f>
        <v>16.808053077967756</v>
      </c>
      <c r="E459" s="75">
        <f>PARAM!$C$26+MAX($G$3-CHOOSE(PARAM!$B$44,MAX(0,F458*$F$1),0),0)*RATES!$L435/12+$H$3*(PARAM!$D$51/12)*RATES!$N435/100</f>
        <v>82.166666666666657</v>
      </c>
      <c r="F459" s="16">
        <f t="shared" si="281"/>
        <v>-4664.0129283883389</v>
      </c>
      <c r="G459" s="15">
        <f t="shared" si="282"/>
        <v>22.035289406060361</v>
      </c>
      <c r="H459" s="75">
        <f>G459*(1-PARAM!$C$27)*$I$4+(MOD($B459,60)=PARAM!$B$56)*($B459&gt;(60-PARAM!$B$56))*HLOOKUP(($B459+PARAM!$B$56)/12,Loyalty,2)*$F$1*MAX(J458,0)</f>
        <v>18.443537232872522</v>
      </c>
      <c r="I459" s="75">
        <f>PARAM!$C$26+MAX($G$4-CHOOSE(PARAM!$B$44,MAX(0,J458*$F$1),0),0)*RATES!$L435/12+$H$4*(PARAM!$D$51/12)*RATES!$N435/100</f>
        <v>82.166666666666657</v>
      </c>
      <c r="J459" s="16">
        <f t="shared" si="283"/>
        <v>-3923.6508093477578</v>
      </c>
      <c r="K459" s="15">
        <f t="shared" si="284"/>
        <v>22.170849845882874</v>
      </c>
      <c r="L459" s="75">
        <f>K459*(1-PARAM!$C$27)*$I$5+(MOD($B459,60)=PARAM!$B$56)*($B459&gt;(60-PARAM!$B$56))*HLOOKUP(($B459+PARAM!$B$56)/12,Loyalty,2)*$F$1*MAX(N458,0)</f>
        <v>18.557001321003963</v>
      </c>
      <c r="M459" s="75">
        <f>PARAM!$C$26+MAX($G$5-CHOOSE(PARAM!$B$44,MAX(0,N458*$F$1),0),0)*RATES!$L435/12+$H$5*(PARAM!$D$51/12)*RATES!$N435/100</f>
        <v>82.166666666666657</v>
      </c>
      <c r="N459" s="16">
        <f t="shared" si="285"/>
        <v>-3871.6167868751813</v>
      </c>
      <c r="O459" s="15">
        <f t="shared" si="286"/>
        <v>22.170849845882874</v>
      </c>
      <c r="P459" s="75">
        <f>O459*(1-PARAM!$C$27)*$I$6+(MOD($B459,60)=PARAM!$B$56)*($B459&gt;(60-PARAM!$B$56))*HLOOKUP(($B459+PARAM!$B$56)/12,Loyalty,2)*$F$1*MAX(R458,0)</f>
        <v>18.557001321003963</v>
      </c>
      <c r="Q459" s="75">
        <f>PARAM!$C$26+MAX($G$6-CHOOSE(PARAM!$B$44,MAX(0,R458*$F$1),0),0)*RATES!$L435/12+$H$6*(PARAM!$D$51/12)*RATES!$N435/100</f>
        <v>82.166666666666657</v>
      </c>
      <c r="R459" s="16">
        <f t="shared" si="287"/>
        <v>-3871.6167868751813</v>
      </c>
      <c r="S459" s="15">
        <f t="shared" si="262"/>
        <v>22.170849845882874</v>
      </c>
      <c r="T459" s="75">
        <f>S459*(1-PARAM!$C$27)*$I$7+(MOD($B459,60)=PARAM!$B$56)*($B459&gt;(60-PARAM!$B$56))*HLOOKUP(($B459+PARAM!$B$56)/12,Loyalty,2)*$F$1*MAX(V458,0)</f>
        <v>18.557001321003963</v>
      </c>
      <c r="U459" s="75">
        <f>PARAM!$C$26+MAX($G$7-CHOOSE(PARAM!$B$44,MAX(0,V458*$F$1),0),0)*RATES!$L435/12+$H$7*(PARAM!$D$51/12)*RATES!$N435/100</f>
        <v>82.166666666666657</v>
      </c>
      <c r="V459" s="16">
        <f t="shared" si="288"/>
        <v>-3871.6167868751813</v>
      </c>
      <c r="W459" s="15">
        <f t="shared" si="263"/>
        <v>22.170849845882874</v>
      </c>
      <c r="X459" s="75">
        <f>W459*(1-PARAM!$C$27)*$I$8+(MOD($B459,60)=PARAM!$B$56)*($B459&gt;(60-PARAM!$B$56))*HLOOKUP(($B459+PARAM!$B$56)/12,Loyalty,2)*$F$1*MAX(Z458,0)</f>
        <v>18.557001321003963</v>
      </c>
      <c r="Y459" s="75">
        <f>PARAM!$C$26+MAX($G$8-CHOOSE(PARAM!$B$44,MAX(0,Z458*$F$1),0),0)*RATES!$L435/12+$H$8*(PARAM!$D$51/12)*RATES!$N435/100</f>
        <v>82.166666666666657</v>
      </c>
      <c r="Z459" s="16">
        <f t="shared" si="289"/>
        <v>-3871.6167868751813</v>
      </c>
      <c r="AA459" s="15">
        <f t="shared" si="264"/>
        <v>22.170849845882874</v>
      </c>
      <c r="AB459" s="75">
        <f>AA459*(1-PARAM!$C$27)*$I$9+(MOD($B459,60)=PARAM!$B$56)*($B459&gt;(60-PARAM!$B$56))*HLOOKUP(($B459+PARAM!$B$56)/12,Loyalty,2)*$F$1*MAX(AD458,0)</f>
        <v>18.557001321003963</v>
      </c>
      <c r="AC459" s="75">
        <f>PARAM!$C$26+MAX($G$9-CHOOSE(PARAM!$B$44,MAX(0,AD458*$F$1),0),0)*RATES!$L435/12+$H$9*(PARAM!$D$51/12)*RATES!$N435/100</f>
        <v>82.166666666666657</v>
      </c>
      <c r="AD459" s="16">
        <f t="shared" si="290"/>
        <v>-3871.6167868751813</v>
      </c>
      <c r="AE459" s="15">
        <f t="shared" si="265"/>
        <v>22.170849845882874</v>
      </c>
      <c r="AF459" s="75">
        <f>AE459*(1-PARAM!$C$27)*$I$10+(MOD($B459,60)=PARAM!$B$56)*($B459&gt;(60-PARAM!$B$56))*HLOOKUP(($B459+PARAM!$B$56)/12,Loyalty,2)*$F$1*MAX(AH458,0)</f>
        <v>18.557001321003963</v>
      </c>
      <c r="AG459" s="75">
        <f>PARAM!$C$26+MAX($G$10-CHOOSE(PARAM!$B$44,MAX(0,AH458*$F$1),0),0)*RATES!$L435/12+$H$10*(PARAM!$D$51/12)*RATES!$N435/100</f>
        <v>82.166666666666657</v>
      </c>
      <c r="AH459" s="16">
        <f t="shared" si="291"/>
        <v>-3871.6167868751813</v>
      </c>
      <c r="AI459" s="15">
        <f t="shared" si="266"/>
        <v>22.170849845882874</v>
      </c>
      <c r="AJ459" s="75">
        <f>AI459*(1-PARAM!$C$27)*$I$11+(MOD($B459,60)=PARAM!$B$56)*($B459&gt;(60-PARAM!$B$56))*HLOOKUP(($B459+PARAM!$B$56)/12,Loyalty,2)*$F$1*MAX(AL458,0)</f>
        <v>18.557001321003963</v>
      </c>
      <c r="AK459" s="75">
        <f>PARAM!$C$26+MAX($G$11-CHOOSE(PARAM!$B$44,MAX(0,AL458*$F$1),0),0)*RATES!$L435/12+$H$11*(PARAM!$D$51/12)*RATES!$N435/100</f>
        <v>82.166666666666657</v>
      </c>
      <c r="AL459" s="16">
        <f t="shared" si="292"/>
        <v>-3871.6167868751813</v>
      </c>
      <c r="AM459" s="15">
        <f t="shared" si="267"/>
        <v>22.170849845882874</v>
      </c>
      <c r="AN459" s="75">
        <f>AM459*(1-PARAM!$C$27)*$I$12+(MOD($B459,60)=PARAM!$B$56)*($B459&gt;(60-PARAM!$B$56))*HLOOKUP(($B459+PARAM!$B$56)/12,Loyalty,2)*$F$1*MAX(AP458,0)</f>
        <v>18.557001321003963</v>
      </c>
      <c r="AO459" s="75">
        <f>PARAM!$C$26+MAX($G$12-CHOOSE(PARAM!$B$44,MAX(0,AP458*$F$1),0),0)*RATES!$L435/12+$H$12*(PARAM!$D$51/12)*RATES!$N435/100</f>
        <v>82.166666666666657</v>
      </c>
      <c r="AP459" s="16">
        <f t="shared" si="293"/>
        <v>-3871.6167868751813</v>
      </c>
      <c r="AQ459" s="15">
        <f t="shared" si="268"/>
        <v>22.170849845882874</v>
      </c>
      <c r="AR459" s="75">
        <f>AQ459*(1-PARAM!$C$27)*$I$13+(MOD($B459,60)=PARAM!$B$56)*($B459&gt;(60-PARAM!$B$56))*HLOOKUP(($B459+PARAM!$B$56)/12,Loyalty,2)*$F$1*MAX(AT458,0)</f>
        <v>18.557001321003963</v>
      </c>
      <c r="AS459" s="75">
        <f>PARAM!$C$26+MAX($G$13-CHOOSE(PARAM!$B$44,MAX(0,AT458*$F$1),0),0)*RATES!$L435/12+$H$13*(PARAM!$D$51/12)*RATES!$N435/100</f>
        <v>82.166666666666657</v>
      </c>
      <c r="AT459" s="16">
        <f t="shared" si="294"/>
        <v>-3871.6167868751813</v>
      </c>
      <c r="AU459" s="15">
        <f t="shared" si="269"/>
        <v>22.170849845882874</v>
      </c>
      <c r="AV459" s="75">
        <f>AU459*(1-PARAM!$C$27)*$I$14+(MOD($B459,60)=PARAM!$B$56)*($B459&gt;(60-PARAM!$B$56))*HLOOKUP(($B459+PARAM!$B$56)/12,Loyalty,2)*$F$1*MAX(AX458,0)</f>
        <v>18.557001321003963</v>
      </c>
      <c r="AW459" s="75">
        <f>PARAM!$C$26+MAX($G$14-CHOOSE(PARAM!$B$44,MAX(0,AX458*$F$1),0),0)*RATES!$L435/12+$H$14*(PARAM!$D$51/12)*RATES!$N435/100</f>
        <v>82.166666666666657</v>
      </c>
      <c r="AX459" s="16">
        <f t="shared" si="295"/>
        <v>-3871.6167868751813</v>
      </c>
      <c r="AY459" s="15">
        <f t="shared" si="270"/>
        <v>22.170849845882874</v>
      </c>
      <c r="AZ459" s="75">
        <f>AY459*(1-PARAM!$C$27)*$I$15+(MOD($B459,60)=PARAM!$B$56)*($B459&gt;(60-PARAM!$B$56))*HLOOKUP(($B459+PARAM!$B$56)/12,Loyalty,2)*$F$1*MAX(BB458,0)</f>
        <v>18.557001321003963</v>
      </c>
      <c r="BA459" s="75">
        <f>PARAM!$C$26+MAX($G$15-CHOOSE(PARAM!$B$44,MAX(0,BB458*$F$1),0),0)*RATES!$L435/12+$H$15*(PARAM!$D$51/12)*RATES!$N435/100</f>
        <v>82.166666666666657</v>
      </c>
      <c r="BB459" s="16">
        <f t="shared" si="296"/>
        <v>-3871.6167868751813</v>
      </c>
      <c r="BC459" s="15">
        <f t="shared" si="271"/>
        <v>22.170849845882874</v>
      </c>
      <c r="BD459" s="75">
        <f>BC459*(1-PARAM!$C$27)*$I$16+(MOD($B459,60)=PARAM!$B$56)*($B459&gt;(60-PARAM!$B$56))*HLOOKUP(($B459+PARAM!$B$56)/12,Loyalty,2)*$F$1*MAX(BF458,0)</f>
        <v>18.557001321003963</v>
      </c>
      <c r="BE459" s="75">
        <f>PARAM!$C$26+MAX($G$16-CHOOSE(PARAM!$B$44,MAX(0,BF458*$F$1),0),0)*RATES!$L435/12+$H$16*(PARAM!$D$51/12)*RATES!$N435/100</f>
        <v>82.166666666666657</v>
      </c>
      <c r="BF459" s="16">
        <f t="shared" si="297"/>
        <v>-3871.6167868751813</v>
      </c>
      <c r="BG459" s="15">
        <f t="shared" si="272"/>
        <v>22.170849845882874</v>
      </c>
      <c r="BH459" s="75">
        <f>BG459*(1-PARAM!$C$27)*$I$17+(MOD($B459,60)=PARAM!$B$56)*($B459&gt;(60-PARAM!$B$56))*HLOOKUP(($B459+PARAM!$B$56)/12,Loyalty,2)*$F$1*MAX(BJ458,0)</f>
        <v>18.557001321003963</v>
      </c>
      <c r="BI459" s="75">
        <f>PARAM!$C$26+MAX($G$17-CHOOSE(PARAM!$B$44,MAX(0,BJ458*$F$1),0),0)*RATES!$L435/12+$H$17*(PARAM!$D$51/12)*RATES!$N435/100</f>
        <v>82.166666666666657</v>
      </c>
      <c r="BJ459" s="16">
        <f t="shared" si="298"/>
        <v>-3871.6167868751813</v>
      </c>
      <c r="BK459" s="15">
        <f t="shared" si="273"/>
        <v>22.170849845882874</v>
      </c>
      <c r="BL459" s="75">
        <f>BK459*(1-PARAM!$C$27)*$I$18+(MOD($B459,60)=PARAM!$B$56)*($B459&gt;(60-PARAM!$B$56))*HLOOKUP(($B459+PARAM!$B$56)/12,Loyalty,2)*$F$1*MAX(BN458,0)</f>
        <v>18.557001321003963</v>
      </c>
      <c r="BM459" s="75">
        <f>PARAM!$C$26+MAX($G$18-CHOOSE(PARAM!$B$44,MAX(0,BN458*$F$1),0),0)*RATES!$L435/12+$H$18*(PARAM!$D$51/12)*RATES!$N435/100</f>
        <v>82.166666666666657</v>
      </c>
      <c r="BN459" s="16">
        <f t="shared" si="299"/>
        <v>-3871.6167868751813</v>
      </c>
      <c r="BO459" s="15">
        <f t="shared" si="274"/>
        <v>22.170849845882874</v>
      </c>
      <c r="BP459" s="75">
        <f>BO459*(1-PARAM!$C$27)*$I$19+(MOD($B459,60)=PARAM!$B$56)*($B459&gt;(60-PARAM!$B$56))*HLOOKUP(($B459+PARAM!$B$56)/12,Loyalty,2)*$F$1*MAX(BR458,0)</f>
        <v>18.557001321003963</v>
      </c>
      <c r="BQ459" s="75">
        <f>PARAM!$C$26+MAX($G$19-CHOOSE(PARAM!$B$44,MAX(0,BR458*$F$1),0),0)*RATES!$L435/12+$H$19*(PARAM!$D$51/12)*RATES!$N435/100</f>
        <v>82.166666666666657</v>
      </c>
      <c r="BR459" s="16">
        <f t="shared" si="300"/>
        <v>-3871.6167868751813</v>
      </c>
      <c r="BS459" s="15">
        <f t="shared" si="275"/>
        <v>22.170849845882874</v>
      </c>
      <c r="BT459" s="75">
        <f>BS459*(1-PARAM!$C$27)*$I$20+(MOD($B459,60)=PARAM!$B$56)*($B459&gt;(60-PARAM!$B$56))*HLOOKUP(($B459+PARAM!$B$56)/12,Loyalty,2)*$F$1*MAX(BV458,0)</f>
        <v>18.557001321003963</v>
      </c>
      <c r="BU459" s="75">
        <f>PARAM!$C$26+MAX($G$20-CHOOSE(PARAM!$B$44,MAX(0,BV458*$F$1),0),0)*RATES!$L435/12+$H$20*(PARAM!$D$51/12)*RATES!$N435/100</f>
        <v>82.166666666666657</v>
      </c>
      <c r="BV459" s="16">
        <f t="shared" si="301"/>
        <v>-3871.6167868751813</v>
      </c>
      <c r="BW459" s="15">
        <f t="shared" si="276"/>
        <v>22.170849845882874</v>
      </c>
      <c r="BX459" s="75">
        <f>BW459*(1-PARAM!$C$27)*$I$21+(MOD($B459,60)=PARAM!$B$56)*($B459&gt;(60-PARAM!$B$56))*HLOOKUP(($B459+PARAM!$B$56)/12,Loyalty,2)*$F$1*MAX(BZ458,0)</f>
        <v>18.557001321003963</v>
      </c>
      <c r="BY459" s="75">
        <f>PARAM!$C$26+MAX($G$21-CHOOSE(PARAM!$B$44,MAX(0,BZ458*$F$1),0),0)*RATES!$L435/12+$H$21*(PARAM!$D$51/12)*RATES!$N435/100</f>
        <v>82.166666666666657</v>
      </c>
      <c r="BZ459" s="16">
        <f t="shared" si="302"/>
        <v>-3871.6167868751813</v>
      </c>
      <c r="CA459" s="15">
        <f t="shared" si="277"/>
        <v>22.170849845882874</v>
      </c>
      <c r="CB459" s="75">
        <f>CA459*(1-PARAM!$C$27)*$I$22+(MOD($B459,60)=PARAM!$B$56)*($B459&gt;(60-PARAM!$B$56))*HLOOKUP(($B459+PARAM!$B$56)/12,Loyalty,2)*$F$1*MAX(CD458,0)</f>
        <v>18.557001321003963</v>
      </c>
      <c r="CC459" s="75">
        <f>PARAM!$C$26+MAX($G$22-CHOOSE(PARAM!$B$44,MAX(0,CD458*$F$1),0),0)*RATES!$L435/12+$H$22*(PARAM!$D$51/12)*RATES!$N435/100</f>
        <v>82.166666666666657</v>
      </c>
      <c r="CD459" s="16">
        <f t="shared" si="303"/>
        <v>-3871.6167868751813</v>
      </c>
      <c r="CE459" s="33">
        <f>IF(0=MOD(B459,12/PARAM!$D$51),1,0)</f>
        <v>1</v>
      </c>
      <c r="CF459" s="15">
        <f t="shared" si="278"/>
        <v>0</v>
      </c>
      <c r="CG459" s="75">
        <f>CF459*(1-PARAM!$C$27)*$R$3+(MOD($B459/12,5)=0)*($B459&gt;60)*HLOOKUP($B459/12,Loyalty,2)*$F$1*MAX(CI458,0)</f>
        <v>0</v>
      </c>
      <c r="CH459" s="75">
        <f>PARAM!$C$26+MAX($P$3-CHOOSE(PARAM!$B$44,MAX(0,CI458*$F$1),0),0)*RATES!$L435/12+$Q$3*(PARAM!$D$51/12)*RATES!$N435/100</f>
        <v>82.166666666666657</v>
      </c>
      <c r="CI459" s="16">
        <f>IF(CI458&gt;0,CI458*PARAM!$C$53,CI458)+CG459-CH459</f>
        <v>-11768.66666666665</v>
      </c>
      <c r="CJ459" s="15">
        <f t="shared" si="304"/>
        <v>0</v>
      </c>
      <c r="CK459" s="75">
        <f>CJ459*(1-PARAM!$C$27)*$R$4+(MOD($B459/12,5)=0)*($B459&gt;60)*HLOOKUP($B459/12,Loyalty,2)*$F$1*MAX(CM458,0)</f>
        <v>0</v>
      </c>
      <c r="CL459" s="75">
        <f>PARAM!$C$26+MAX($P$4-CHOOSE(PARAM!$B$44,MAX(0,CM458*$F$1),0),0)*RATES!$L435/12+$Q$4*(PARAM!$D$51/12)*RATES!$N435/100</f>
        <v>82.166666666666657</v>
      </c>
      <c r="CM459" s="16">
        <f>IF(CM458&gt;0,CM458*PARAM!$C$53,CM458)+CK459-CL459</f>
        <v>-11768.66666666665</v>
      </c>
      <c r="CO459" s="176"/>
    </row>
    <row r="460" spans="1:93" x14ac:dyDescent="0.2">
      <c r="A460" t="b">
        <f t="shared" si="279"/>
        <v>0</v>
      </c>
      <c r="B460" s="33">
        <v>433</v>
      </c>
      <c r="C460" s="15">
        <f t="shared" si="280"/>
        <v>20.081305947392778</v>
      </c>
      <c r="D460" s="75">
        <f>C460*(1-PARAM!$C$27)*$I$3+(MOD($B460,60)=PARAM!$B$56)*($B460&gt;(60-PARAM!$B$56))*HLOOKUP(($B460+PARAM!$B$56)/12,Loyalty,2)*$F$1*MAX(F459,0)</f>
        <v>16.808053077967756</v>
      </c>
      <c r="E460" s="75">
        <f>PARAM!$C$26+MAX($G$3-CHOOSE(PARAM!$B$44,MAX(0,F459*$F$1),0),0)*RATES!$L436/12+$H$3*(PARAM!$D$51/12)*RATES!$N436/100</f>
        <v>82.166666666666657</v>
      </c>
      <c r="F460" s="16">
        <f t="shared" si="281"/>
        <v>-4729.3715419770379</v>
      </c>
      <c r="G460" s="15">
        <f t="shared" si="282"/>
        <v>22.035289406060361</v>
      </c>
      <c r="H460" s="75">
        <f>G460*(1-PARAM!$C$27)*$I$4+(MOD($B460,60)=PARAM!$B$56)*($B460&gt;(60-PARAM!$B$56))*HLOOKUP(($B460+PARAM!$B$56)/12,Loyalty,2)*$F$1*MAX(J459,0)</f>
        <v>18.443537232872522</v>
      </c>
      <c r="I460" s="75">
        <f>PARAM!$C$26+MAX($G$4-CHOOSE(PARAM!$B$44,MAX(0,J459*$F$1),0),0)*RATES!$L436/12+$H$4*(PARAM!$D$51/12)*RATES!$N436/100</f>
        <v>82.166666666666657</v>
      </c>
      <c r="J460" s="16">
        <f t="shared" si="283"/>
        <v>-3987.3739387815517</v>
      </c>
      <c r="K460" s="15">
        <f t="shared" si="284"/>
        <v>22.170849845882874</v>
      </c>
      <c r="L460" s="75">
        <f>K460*(1-PARAM!$C$27)*$I$5+(MOD($B460,60)=PARAM!$B$56)*($B460&gt;(60-PARAM!$B$56))*HLOOKUP(($B460+PARAM!$B$56)/12,Loyalty,2)*$F$1*MAX(N459,0)</f>
        <v>18.557001321003963</v>
      </c>
      <c r="M460" s="75">
        <f>PARAM!$C$26+MAX($G$5-CHOOSE(PARAM!$B$44,MAX(0,N459*$F$1),0),0)*RATES!$L436/12+$H$5*(PARAM!$D$51/12)*RATES!$N436/100</f>
        <v>82.166666666666657</v>
      </c>
      <c r="N460" s="16">
        <f t="shared" si="285"/>
        <v>-3935.2264522208438</v>
      </c>
      <c r="O460" s="15">
        <f t="shared" si="286"/>
        <v>22.170849845882874</v>
      </c>
      <c r="P460" s="75">
        <f>O460*(1-PARAM!$C$27)*$I$6+(MOD($B460,60)=PARAM!$B$56)*($B460&gt;(60-PARAM!$B$56))*HLOOKUP(($B460+PARAM!$B$56)/12,Loyalty,2)*$F$1*MAX(R459,0)</f>
        <v>18.557001321003963</v>
      </c>
      <c r="Q460" s="75">
        <f>PARAM!$C$26+MAX($G$6-CHOOSE(PARAM!$B$44,MAX(0,R459*$F$1),0),0)*RATES!$L436/12+$H$6*(PARAM!$D$51/12)*RATES!$N436/100</f>
        <v>82.166666666666657</v>
      </c>
      <c r="R460" s="16">
        <f t="shared" si="287"/>
        <v>-3935.2264522208438</v>
      </c>
      <c r="S460" s="15">
        <f t="shared" si="262"/>
        <v>22.170849845882874</v>
      </c>
      <c r="T460" s="75">
        <f>S460*(1-PARAM!$C$27)*$I$7+(MOD($B460,60)=PARAM!$B$56)*($B460&gt;(60-PARAM!$B$56))*HLOOKUP(($B460+PARAM!$B$56)/12,Loyalty,2)*$F$1*MAX(V459,0)</f>
        <v>18.557001321003963</v>
      </c>
      <c r="U460" s="75">
        <f>PARAM!$C$26+MAX($G$7-CHOOSE(PARAM!$B$44,MAX(0,V459*$F$1),0),0)*RATES!$L436/12+$H$7*(PARAM!$D$51/12)*RATES!$N436/100</f>
        <v>82.166666666666657</v>
      </c>
      <c r="V460" s="16">
        <f t="shared" si="288"/>
        <v>-3935.2264522208438</v>
      </c>
      <c r="W460" s="15">
        <f t="shared" si="263"/>
        <v>22.170849845882874</v>
      </c>
      <c r="X460" s="75">
        <f>W460*(1-PARAM!$C$27)*$I$8+(MOD($B460,60)=PARAM!$B$56)*($B460&gt;(60-PARAM!$B$56))*HLOOKUP(($B460+PARAM!$B$56)/12,Loyalty,2)*$F$1*MAX(Z459,0)</f>
        <v>18.557001321003963</v>
      </c>
      <c r="Y460" s="75">
        <f>PARAM!$C$26+MAX($G$8-CHOOSE(PARAM!$B$44,MAX(0,Z459*$F$1),0),0)*RATES!$L436/12+$H$8*(PARAM!$D$51/12)*RATES!$N436/100</f>
        <v>82.166666666666657</v>
      </c>
      <c r="Z460" s="16">
        <f t="shared" si="289"/>
        <v>-3935.2264522208438</v>
      </c>
      <c r="AA460" s="15">
        <f t="shared" si="264"/>
        <v>22.170849845882874</v>
      </c>
      <c r="AB460" s="75">
        <f>AA460*(1-PARAM!$C$27)*$I$9+(MOD($B460,60)=PARAM!$B$56)*($B460&gt;(60-PARAM!$B$56))*HLOOKUP(($B460+PARAM!$B$56)/12,Loyalty,2)*$F$1*MAX(AD459,0)</f>
        <v>18.557001321003963</v>
      </c>
      <c r="AC460" s="75">
        <f>PARAM!$C$26+MAX($G$9-CHOOSE(PARAM!$B$44,MAX(0,AD459*$F$1),0),0)*RATES!$L436/12+$H$9*(PARAM!$D$51/12)*RATES!$N436/100</f>
        <v>82.166666666666657</v>
      </c>
      <c r="AD460" s="16">
        <f t="shared" si="290"/>
        <v>-3935.2264522208438</v>
      </c>
      <c r="AE460" s="15">
        <f t="shared" si="265"/>
        <v>22.170849845882874</v>
      </c>
      <c r="AF460" s="75">
        <f>AE460*(1-PARAM!$C$27)*$I$10+(MOD($B460,60)=PARAM!$B$56)*($B460&gt;(60-PARAM!$B$56))*HLOOKUP(($B460+PARAM!$B$56)/12,Loyalty,2)*$F$1*MAX(AH459,0)</f>
        <v>18.557001321003963</v>
      </c>
      <c r="AG460" s="75">
        <f>PARAM!$C$26+MAX($G$10-CHOOSE(PARAM!$B$44,MAX(0,AH459*$F$1),0),0)*RATES!$L436/12+$H$10*(PARAM!$D$51/12)*RATES!$N436/100</f>
        <v>82.166666666666657</v>
      </c>
      <c r="AH460" s="16">
        <f t="shared" si="291"/>
        <v>-3935.2264522208438</v>
      </c>
      <c r="AI460" s="15">
        <f t="shared" si="266"/>
        <v>22.170849845882874</v>
      </c>
      <c r="AJ460" s="75">
        <f>AI460*(1-PARAM!$C$27)*$I$11+(MOD($B460,60)=PARAM!$B$56)*($B460&gt;(60-PARAM!$B$56))*HLOOKUP(($B460+PARAM!$B$56)/12,Loyalty,2)*$F$1*MAX(AL459,0)</f>
        <v>18.557001321003963</v>
      </c>
      <c r="AK460" s="75">
        <f>PARAM!$C$26+MAX($G$11-CHOOSE(PARAM!$B$44,MAX(0,AL459*$F$1),0),0)*RATES!$L436/12+$H$11*(PARAM!$D$51/12)*RATES!$N436/100</f>
        <v>82.166666666666657</v>
      </c>
      <c r="AL460" s="16">
        <f t="shared" si="292"/>
        <v>-3935.2264522208438</v>
      </c>
      <c r="AM460" s="15">
        <f t="shared" si="267"/>
        <v>22.170849845882874</v>
      </c>
      <c r="AN460" s="75">
        <f>AM460*(1-PARAM!$C$27)*$I$12+(MOD($B460,60)=PARAM!$B$56)*($B460&gt;(60-PARAM!$B$56))*HLOOKUP(($B460+PARAM!$B$56)/12,Loyalty,2)*$F$1*MAX(AP459,0)</f>
        <v>18.557001321003963</v>
      </c>
      <c r="AO460" s="75">
        <f>PARAM!$C$26+MAX($G$12-CHOOSE(PARAM!$B$44,MAX(0,AP459*$F$1),0),0)*RATES!$L436/12+$H$12*(PARAM!$D$51/12)*RATES!$N436/100</f>
        <v>82.166666666666657</v>
      </c>
      <c r="AP460" s="16">
        <f t="shared" si="293"/>
        <v>-3935.2264522208438</v>
      </c>
      <c r="AQ460" s="15">
        <f t="shared" si="268"/>
        <v>22.170849845882874</v>
      </c>
      <c r="AR460" s="75">
        <f>AQ460*(1-PARAM!$C$27)*$I$13+(MOD($B460,60)=PARAM!$B$56)*($B460&gt;(60-PARAM!$B$56))*HLOOKUP(($B460+PARAM!$B$56)/12,Loyalty,2)*$F$1*MAX(AT459,0)</f>
        <v>18.557001321003963</v>
      </c>
      <c r="AS460" s="75">
        <f>PARAM!$C$26+MAX($G$13-CHOOSE(PARAM!$B$44,MAX(0,AT459*$F$1),0),0)*RATES!$L436/12+$H$13*(PARAM!$D$51/12)*RATES!$N436/100</f>
        <v>82.166666666666657</v>
      </c>
      <c r="AT460" s="16">
        <f t="shared" si="294"/>
        <v>-3935.2264522208438</v>
      </c>
      <c r="AU460" s="15">
        <f t="shared" si="269"/>
        <v>22.170849845882874</v>
      </c>
      <c r="AV460" s="75">
        <f>AU460*(1-PARAM!$C$27)*$I$14+(MOD($B460,60)=PARAM!$B$56)*($B460&gt;(60-PARAM!$B$56))*HLOOKUP(($B460+PARAM!$B$56)/12,Loyalty,2)*$F$1*MAX(AX459,0)</f>
        <v>18.557001321003963</v>
      </c>
      <c r="AW460" s="75">
        <f>PARAM!$C$26+MAX($G$14-CHOOSE(PARAM!$B$44,MAX(0,AX459*$F$1),0),0)*RATES!$L436/12+$H$14*(PARAM!$D$51/12)*RATES!$N436/100</f>
        <v>82.166666666666657</v>
      </c>
      <c r="AX460" s="16">
        <f t="shared" si="295"/>
        <v>-3935.2264522208438</v>
      </c>
      <c r="AY460" s="15">
        <f t="shared" si="270"/>
        <v>22.170849845882874</v>
      </c>
      <c r="AZ460" s="75">
        <f>AY460*(1-PARAM!$C$27)*$I$15+(MOD($B460,60)=PARAM!$B$56)*($B460&gt;(60-PARAM!$B$56))*HLOOKUP(($B460+PARAM!$B$56)/12,Loyalty,2)*$F$1*MAX(BB459,0)</f>
        <v>18.557001321003963</v>
      </c>
      <c r="BA460" s="75">
        <f>PARAM!$C$26+MAX($G$15-CHOOSE(PARAM!$B$44,MAX(0,BB459*$F$1),0),0)*RATES!$L436/12+$H$15*(PARAM!$D$51/12)*RATES!$N436/100</f>
        <v>82.166666666666657</v>
      </c>
      <c r="BB460" s="16">
        <f t="shared" si="296"/>
        <v>-3935.2264522208438</v>
      </c>
      <c r="BC460" s="15">
        <f t="shared" si="271"/>
        <v>22.170849845882874</v>
      </c>
      <c r="BD460" s="75">
        <f>BC460*(1-PARAM!$C$27)*$I$16+(MOD($B460,60)=PARAM!$B$56)*($B460&gt;(60-PARAM!$B$56))*HLOOKUP(($B460+PARAM!$B$56)/12,Loyalty,2)*$F$1*MAX(BF459,0)</f>
        <v>18.557001321003963</v>
      </c>
      <c r="BE460" s="75">
        <f>PARAM!$C$26+MAX($G$16-CHOOSE(PARAM!$B$44,MAX(0,BF459*$F$1),0),0)*RATES!$L436/12+$H$16*(PARAM!$D$51/12)*RATES!$N436/100</f>
        <v>82.166666666666657</v>
      </c>
      <c r="BF460" s="16">
        <f t="shared" si="297"/>
        <v>-3935.2264522208438</v>
      </c>
      <c r="BG460" s="15">
        <f t="shared" si="272"/>
        <v>22.170849845882874</v>
      </c>
      <c r="BH460" s="75">
        <f>BG460*(1-PARAM!$C$27)*$I$17+(MOD($B460,60)=PARAM!$B$56)*($B460&gt;(60-PARAM!$B$56))*HLOOKUP(($B460+PARAM!$B$56)/12,Loyalty,2)*$F$1*MAX(BJ459,0)</f>
        <v>18.557001321003963</v>
      </c>
      <c r="BI460" s="75">
        <f>PARAM!$C$26+MAX($G$17-CHOOSE(PARAM!$B$44,MAX(0,BJ459*$F$1),0),0)*RATES!$L436/12+$H$17*(PARAM!$D$51/12)*RATES!$N436/100</f>
        <v>82.166666666666657</v>
      </c>
      <c r="BJ460" s="16">
        <f t="shared" si="298"/>
        <v>-3935.2264522208438</v>
      </c>
      <c r="BK460" s="15">
        <f t="shared" si="273"/>
        <v>22.170849845882874</v>
      </c>
      <c r="BL460" s="75">
        <f>BK460*(1-PARAM!$C$27)*$I$18+(MOD($B460,60)=PARAM!$B$56)*($B460&gt;(60-PARAM!$B$56))*HLOOKUP(($B460+PARAM!$B$56)/12,Loyalty,2)*$F$1*MAX(BN459,0)</f>
        <v>18.557001321003963</v>
      </c>
      <c r="BM460" s="75">
        <f>PARAM!$C$26+MAX($G$18-CHOOSE(PARAM!$B$44,MAX(0,BN459*$F$1),0),0)*RATES!$L436/12+$H$18*(PARAM!$D$51/12)*RATES!$N436/100</f>
        <v>82.166666666666657</v>
      </c>
      <c r="BN460" s="16">
        <f t="shared" si="299"/>
        <v>-3935.2264522208438</v>
      </c>
      <c r="BO460" s="15">
        <f t="shared" si="274"/>
        <v>22.170849845882874</v>
      </c>
      <c r="BP460" s="75">
        <f>BO460*(1-PARAM!$C$27)*$I$19+(MOD($B460,60)=PARAM!$B$56)*($B460&gt;(60-PARAM!$B$56))*HLOOKUP(($B460+PARAM!$B$56)/12,Loyalty,2)*$F$1*MAX(BR459,0)</f>
        <v>18.557001321003963</v>
      </c>
      <c r="BQ460" s="75">
        <f>PARAM!$C$26+MAX($G$19-CHOOSE(PARAM!$B$44,MAX(0,BR459*$F$1),0),0)*RATES!$L436/12+$H$19*(PARAM!$D$51/12)*RATES!$N436/100</f>
        <v>82.166666666666657</v>
      </c>
      <c r="BR460" s="16">
        <f t="shared" si="300"/>
        <v>-3935.2264522208438</v>
      </c>
      <c r="BS460" s="15">
        <f t="shared" si="275"/>
        <v>22.170849845882874</v>
      </c>
      <c r="BT460" s="75">
        <f>BS460*(1-PARAM!$C$27)*$I$20+(MOD($B460,60)=PARAM!$B$56)*($B460&gt;(60-PARAM!$B$56))*HLOOKUP(($B460+PARAM!$B$56)/12,Loyalty,2)*$F$1*MAX(BV459,0)</f>
        <v>18.557001321003963</v>
      </c>
      <c r="BU460" s="75">
        <f>PARAM!$C$26+MAX($G$20-CHOOSE(PARAM!$B$44,MAX(0,BV459*$F$1),0),0)*RATES!$L436/12+$H$20*(PARAM!$D$51/12)*RATES!$N436/100</f>
        <v>82.166666666666657</v>
      </c>
      <c r="BV460" s="16">
        <f t="shared" si="301"/>
        <v>-3935.2264522208438</v>
      </c>
      <c r="BW460" s="15">
        <f t="shared" si="276"/>
        <v>22.170849845882874</v>
      </c>
      <c r="BX460" s="75">
        <f>BW460*(1-PARAM!$C$27)*$I$21+(MOD($B460,60)=PARAM!$B$56)*($B460&gt;(60-PARAM!$B$56))*HLOOKUP(($B460+PARAM!$B$56)/12,Loyalty,2)*$F$1*MAX(BZ459,0)</f>
        <v>18.557001321003963</v>
      </c>
      <c r="BY460" s="75">
        <f>PARAM!$C$26+MAX($G$21-CHOOSE(PARAM!$B$44,MAX(0,BZ459*$F$1),0),0)*RATES!$L436/12+$H$21*(PARAM!$D$51/12)*RATES!$N436/100</f>
        <v>82.166666666666657</v>
      </c>
      <c r="BZ460" s="16">
        <f t="shared" si="302"/>
        <v>-3935.2264522208438</v>
      </c>
      <c r="CA460" s="15">
        <f t="shared" si="277"/>
        <v>22.170849845882874</v>
      </c>
      <c r="CB460" s="75">
        <f>CA460*(1-PARAM!$C$27)*$I$22+(MOD($B460,60)=PARAM!$B$56)*($B460&gt;(60-PARAM!$B$56))*HLOOKUP(($B460+PARAM!$B$56)/12,Loyalty,2)*$F$1*MAX(CD459,0)</f>
        <v>18.557001321003963</v>
      </c>
      <c r="CC460" s="75">
        <f>PARAM!$C$26+MAX($G$22-CHOOSE(PARAM!$B$44,MAX(0,CD459*$F$1),0),0)*RATES!$L436/12+$H$22*(PARAM!$D$51/12)*RATES!$N436/100</f>
        <v>82.166666666666657</v>
      </c>
      <c r="CD460" s="16">
        <f t="shared" si="303"/>
        <v>-3935.2264522208438</v>
      </c>
      <c r="CE460" s="33">
        <f>IF(0=MOD(B460,12/PARAM!$D$51),1,0)</f>
        <v>1</v>
      </c>
      <c r="CF460" s="15">
        <f t="shared" si="278"/>
        <v>0</v>
      </c>
      <c r="CG460" s="75">
        <f>CF460*(1-PARAM!$C$27)*$R$3+(MOD($B460/12,5)=0)*($B460&gt;60)*HLOOKUP($B460/12,Loyalty,2)*$F$1*MAX(CI459,0)</f>
        <v>0</v>
      </c>
      <c r="CH460" s="75">
        <f>PARAM!$C$26+MAX($P$3-CHOOSE(PARAM!$B$44,MAX(0,CI459*$F$1),0),0)*RATES!$L436/12+$Q$3*(PARAM!$D$51/12)*RATES!$N436/100</f>
        <v>82.166666666666657</v>
      </c>
      <c r="CI460" s="16">
        <f>IF(CI459&gt;0,CI459*PARAM!$C$53,CI459)+CG460-CH460</f>
        <v>-11850.833333333316</v>
      </c>
      <c r="CJ460" s="15">
        <f t="shared" si="304"/>
        <v>0</v>
      </c>
      <c r="CK460" s="75">
        <f>CJ460*(1-PARAM!$C$27)*$R$4+(MOD($B460/12,5)=0)*($B460&gt;60)*HLOOKUP($B460/12,Loyalty,2)*$F$1*MAX(CM459,0)</f>
        <v>0</v>
      </c>
      <c r="CL460" s="75">
        <f>PARAM!$C$26+MAX($P$4-CHOOSE(PARAM!$B$44,MAX(0,CM459*$F$1),0),0)*RATES!$L436/12+$Q$4*(PARAM!$D$51/12)*RATES!$N436/100</f>
        <v>82.166666666666657</v>
      </c>
      <c r="CM460" s="16">
        <f>IF(CM459&gt;0,CM459*PARAM!$C$53,CM459)+CK460-CL460</f>
        <v>-11850.833333333316</v>
      </c>
      <c r="CO460" s="176"/>
    </row>
    <row r="461" spans="1:93" x14ac:dyDescent="0.2">
      <c r="A461" t="b">
        <f t="shared" si="279"/>
        <v>0</v>
      </c>
      <c r="B461" s="33">
        <v>434</v>
      </c>
      <c r="C461" s="15">
        <f t="shared" si="280"/>
        <v>20.081305947392778</v>
      </c>
      <c r="D461" s="75">
        <f>C461*(1-PARAM!$C$27)*$I$3+(MOD($B461,60)=PARAM!$B$56)*($B461&gt;(60-PARAM!$B$56))*HLOOKUP(($B461+PARAM!$B$56)/12,Loyalty,2)*$F$1*MAX(F460,0)</f>
        <v>16.808053077967756</v>
      </c>
      <c r="E461" s="75">
        <f>PARAM!$C$26+MAX($G$3-CHOOSE(PARAM!$B$44,MAX(0,F460*$F$1),0),0)*RATES!$L437/12+$H$3*(PARAM!$D$51/12)*RATES!$N437/100</f>
        <v>82.166666666666657</v>
      </c>
      <c r="F461" s="16">
        <f t="shared" si="281"/>
        <v>-4794.7301555657368</v>
      </c>
      <c r="G461" s="15">
        <f t="shared" si="282"/>
        <v>22.035289406060361</v>
      </c>
      <c r="H461" s="75">
        <f>G461*(1-PARAM!$C$27)*$I$4+(MOD($B461,60)=PARAM!$B$56)*($B461&gt;(60-PARAM!$B$56))*HLOOKUP(($B461+PARAM!$B$56)/12,Loyalty,2)*$F$1*MAX(J460,0)</f>
        <v>18.443537232872522</v>
      </c>
      <c r="I461" s="75">
        <f>PARAM!$C$26+MAX($G$4-CHOOSE(PARAM!$B$44,MAX(0,J460*$F$1),0),0)*RATES!$L437/12+$H$4*(PARAM!$D$51/12)*RATES!$N437/100</f>
        <v>82.166666666666657</v>
      </c>
      <c r="J461" s="16">
        <f t="shared" si="283"/>
        <v>-4051.0970682153456</v>
      </c>
      <c r="K461" s="15">
        <f t="shared" si="284"/>
        <v>22.170849845882874</v>
      </c>
      <c r="L461" s="75">
        <f>K461*(1-PARAM!$C$27)*$I$5+(MOD($B461,60)=PARAM!$B$56)*($B461&gt;(60-PARAM!$B$56))*HLOOKUP(($B461+PARAM!$B$56)/12,Loyalty,2)*$F$1*MAX(N460,0)</f>
        <v>18.557001321003963</v>
      </c>
      <c r="M461" s="75">
        <f>PARAM!$C$26+MAX($G$5-CHOOSE(PARAM!$B$44,MAX(0,N460*$F$1),0),0)*RATES!$L437/12+$H$5*(PARAM!$D$51/12)*RATES!$N437/100</f>
        <v>82.166666666666657</v>
      </c>
      <c r="N461" s="16">
        <f t="shared" si="285"/>
        <v>-3998.8361175665063</v>
      </c>
      <c r="O461" s="15">
        <f t="shared" si="286"/>
        <v>22.170849845882874</v>
      </c>
      <c r="P461" s="75">
        <f>O461*(1-PARAM!$C$27)*$I$6+(MOD($B461,60)=PARAM!$B$56)*($B461&gt;(60-PARAM!$B$56))*HLOOKUP(($B461+PARAM!$B$56)/12,Loyalty,2)*$F$1*MAX(R460,0)</f>
        <v>18.557001321003963</v>
      </c>
      <c r="Q461" s="75">
        <f>PARAM!$C$26+MAX($G$6-CHOOSE(PARAM!$B$44,MAX(0,R460*$F$1),0),0)*RATES!$L437/12+$H$6*(PARAM!$D$51/12)*RATES!$N437/100</f>
        <v>82.166666666666657</v>
      </c>
      <c r="R461" s="16">
        <f t="shared" si="287"/>
        <v>-3998.8361175665063</v>
      </c>
      <c r="S461" s="15">
        <f t="shared" si="262"/>
        <v>22.170849845882874</v>
      </c>
      <c r="T461" s="75">
        <f>S461*(1-PARAM!$C$27)*$I$7+(MOD($B461,60)=PARAM!$B$56)*($B461&gt;(60-PARAM!$B$56))*HLOOKUP(($B461+PARAM!$B$56)/12,Loyalty,2)*$F$1*MAX(V460,0)</f>
        <v>18.557001321003963</v>
      </c>
      <c r="U461" s="75">
        <f>PARAM!$C$26+MAX($G$7-CHOOSE(PARAM!$B$44,MAX(0,V460*$F$1),0),0)*RATES!$L437/12+$H$7*(PARAM!$D$51/12)*RATES!$N437/100</f>
        <v>82.166666666666657</v>
      </c>
      <c r="V461" s="16">
        <f t="shared" si="288"/>
        <v>-3998.8361175665063</v>
      </c>
      <c r="W461" s="15">
        <f t="shared" si="263"/>
        <v>22.170849845882874</v>
      </c>
      <c r="X461" s="75">
        <f>W461*(1-PARAM!$C$27)*$I$8+(MOD($B461,60)=PARAM!$B$56)*($B461&gt;(60-PARAM!$B$56))*HLOOKUP(($B461+PARAM!$B$56)/12,Loyalty,2)*$F$1*MAX(Z460,0)</f>
        <v>18.557001321003963</v>
      </c>
      <c r="Y461" s="75">
        <f>PARAM!$C$26+MAX($G$8-CHOOSE(PARAM!$B$44,MAX(0,Z460*$F$1),0),0)*RATES!$L437/12+$H$8*(PARAM!$D$51/12)*RATES!$N437/100</f>
        <v>82.166666666666657</v>
      </c>
      <c r="Z461" s="16">
        <f t="shared" si="289"/>
        <v>-3998.8361175665063</v>
      </c>
      <c r="AA461" s="15">
        <f t="shared" si="264"/>
        <v>22.170849845882874</v>
      </c>
      <c r="AB461" s="75">
        <f>AA461*(1-PARAM!$C$27)*$I$9+(MOD($B461,60)=PARAM!$B$56)*($B461&gt;(60-PARAM!$B$56))*HLOOKUP(($B461+PARAM!$B$56)/12,Loyalty,2)*$F$1*MAX(AD460,0)</f>
        <v>18.557001321003963</v>
      </c>
      <c r="AC461" s="75">
        <f>PARAM!$C$26+MAX($G$9-CHOOSE(PARAM!$B$44,MAX(0,AD460*$F$1),0),0)*RATES!$L437/12+$H$9*(PARAM!$D$51/12)*RATES!$N437/100</f>
        <v>82.166666666666657</v>
      </c>
      <c r="AD461" s="16">
        <f t="shared" si="290"/>
        <v>-3998.8361175665063</v>
      </c>
      <c r="AE461" s="15">
        <f t="shared" si="265"/>
        <v>22.170849845882874</v>
      </c>
      <c r="AF461" s="75">
        <f>AE461*(1-PARAM!$C$27)*$I$10+(MOD($B461,60)=PARAM!$B$56)*($B461&gt;(60-PARAM!$B$56))*HLOOKUP(($B461+PARAM!$B$56)/12,Loyalty,2)*$F$1*MAX(AH460,0)</f>
        <v>18.557001321003963</v>
      </c>
      <c r="AG461" s="75">
        <f>PARAM!$C$26+MAX($G$10-CHOOSE(PARAM!$B$44,MAX(0,AH460*$F$1),0),0)*RATES!$L437/12+$H$10*(PARAM!$D$51/12)*RATES!$N437/100</f>
        <v>82.166666666666657</v>
      </c>
      <c r="AH461" s="16">
        <f t="shared" si="291"/>
        <v>-3998.8361175665063</v>
      </c>
      <c r="AI461" s="15">
        <f t="shared" si="266"/>
        <v>22.170849845882874</v>
      </c>
      <c r="AJ461" s="75">
        <f>AI461*(1-PARAM!$C$27)*$I$11+(MOD($B461,60)=PARAM!$B$56)*($B461&gt;(60-PARAM!$B$56))*HLOOKUP(($B461+PARAM!$B$56)/12,Loyalty,2)*$F$1*MAX(AL460,0)</f>
        <v>18.557001321003963</v>
      </c>
      <c r="AK461" s="75">
        <f>PARAM!$C$26+MAX($G$11-CHOOSE(PARAM!$B$44,MAX(0,AL460*$F$1),0),0)*RATES!$L437/12+$H$11*(PARAM!$D$51/12)*RATES!$N437/100</f>
        <v>82.166666666666657</v>
      </c>
      <c r="AL461" s="16">
        <f t="shared" si="292"/>
        <v>-3998.8361175665063</v>
      </c>
      <c r="AM461" s="15">
        <f t="shared" si="267"/>
        <v>22.170849845882874</v>
      </c>
      <c r="AN461" s="75">
        <f>AM461*(1-PARAM!$C$27)*$I$12+(MOD($B461,60)=PARAM!$B$56)*($B461&gt;(60-PARAM!$B$56))*HLOOKUP(($B461+PARAM!$B$56)/12,Loyalty,2)*$F$1*MAX(AP460,0)</f>
        <v>18.557001321003963</v>
      </c>
      <c r="AO461" s="75">
        <f>PARAM!$C$26+MAX($G$12-CHOOSE(PARAM!$B$44,MAX(0,AP460*$F$1),0),0)*RATES!$L437/12+$H$12*(PARAM!$D$51/12)*RATES!$N437/100</f>
        <v>82.166666666666657</v>
      </c>
      <c r="AP461" s="16">
        <f t="shared" si="293"/>
        <v>-3998.8361175665063</v>
      </c>
      <c r="AQ461" s="15">
        <f t="shared" si="268"/>
        <v>22.170849845882874</v>
      </c>
      <c r="AR461" s="75">
        <f>AQ461*(1-PARAM!$C$27)*$I$13+(MOD($B461,60)=PARAM!$B$56)*($B461&gt;(60-PARAM!$B$56))*HLOOKUP(($B461+PARAM!$B$56)/12,Loyalty,2)*$F$1*MAX(AT460,0)</f>
        <v>18.557001321003963</v>
      </c>
      <c r="AS461" s="75">
        <f>PARAM!$C$26+MAX($G$13-CHOOSE(PARAM!$B$44,MAX(0,AT460*$F$1),0),0)*RATES!$L437/12+$H$13*(PARAM!$D$51/12)*RATES!$N437/100</f>
        <v>82.166666666666657</v>
      </c>
      <c r="AT461" s="16">
        <f t="shared" si="294"/>
        <v>-3998.8361175665063</v>
      </c>
      <c r="AU461" s="15">
        <f t="shared" si="269"/>
        <v>22.170849845882874</v>
      </c>
      <c r="AV461" s="75">
        <f>AU461*(1-PARAM!$C$27)*$I$14+(MOD($B461,60)=PARAM!$B$56)*($B461&gt;(60-PARAM!$B$56))*HLOOKUP(($B461+PARAM!$B$56)/12,Loyalty,2)*$F$1*MAX(AX460,0)</f>
        <v>18.557001321003963</v>
      </c>
      <c r="AW461" s="75">
        <f>PARAM!$C$26+MAX($G$14-CHOOSE(PARAM!$B$44,MAX(0,AX460*$F$1),0),0)*RATES!$L437/12+$H$14*(PARAM!$D$51/12)*RATES!$N437/100</f>
        <v>82.166666666666657</v>
      </c>
      <c r="AX461" s="16">
        <f t="shared" si="295"/>
        <v>-3998.8361175665063</v>
      </c>
      <c r="AY461" s="15">
        <f t="shared" si="270"/>
        <v>22.170849845882874</v>
      </c>
      <c r="AZ461" s="75">
        <f>AY461*(1-PARAM!$C$27)*$I$15+(MOD($B461,60)=PARAM!$B$56)*($B461&gt;(60-PARAM!$B$56))*HLOOKUP(($B461+PARAM!$B$56)/12,Loyalty,2)*$F$1*MAX(BB460,0)</f>
        <v>18.557001321003963</v>
      </c>
      <c r="BA461" s="75">
        <f>PARAM!$C$26+MAX($G$15-CHOOSE(PARAM!$B$44,MAX(0,BB460*$F$1),0),0)*RATES!$L437/12+$H$15*(PARAM!$D$51/12)*RATES!$N437/100</f>
        <v>82.166666666666657</v>
      </c>
      <c r="BB461" s="16">
        <f t="shared" si="296"/>
        <v>-3998.8361175665063</v>
      </c>
      <c r="BC461" s="15">
        <f t="shared" si="271"/>
        <v>22.170849845882874</v>
      </c>
      <c r="BD461" s="75">
        <f>BC461*(1-PARAM!$C$27)*$I$16+(MOD($B461,60)=PARAM!$B$56)*($B461&gt;(60-PARAM!$B$56))*HLOOKUP(($B461+PARAM!$B$56)/12,Loyalty,2)*$F$1*MAX(BF460,0)</f>
        <v>18.557001321003963</v>
      </c>
      <c r="BE461" s="75">
        <f>PARAM!$C$26+MAX($G$16-CHOOSE(PARAM!$B$44,MAX(0,BF460*$F$1),0),0)*RATES!$L437/12+$H$16*(PARAM!$D$51/12)*RATES!$N437/100</f>
        <v>82.166666666666657</v>
      </c>
      <c r="BF461" s="16">
        <f t="shared" si="297"/>
        <v>-3998.8361175665063</v>
      </c>
      <c r="BG461" s="15">
        <f t="shared" si="272"/>
        <v>22.170849845882874</v>
      </c>
      <c r="BH461" s="75">
        <f>BG461*(1-PARAM!$C$27)*$I$17+(MOD($B461,60)=PARAM!$B$56)*($B461&gt;(60-PARAM!$B$56))*HLOOKUP(($B461+PARAM!$B$56)/12,Loyalty,2)*$F$1*MAX(BJ460,0)</f>
        <v>18.557001321003963</v>
      </c>
      <c r="BI461" s="75">
        <f>PARAM!$C$26+MAX($G$17-CHOOSE(PARAM!$B$44,MAX(0,BJ460*$F$1),0),0)*RATES!$L437/12+$H$17*(PARAM!$D$51/12)*RATES!$N437/100</f>
        <v>82.166666666666657</v>
      </c>
      <c r="BJ461" s="16">
        <f t="shared" si="298"/>
        <v>-3998.8361175665063</v>
      </c>
      <c r="BK461" s="15">
        <f t="shared" si="273"/>
        <v>22.170849845882874</v>
      </c>
      <c r="BL461" s="75">
        <f>BK461*(1-PARAM!$C$27)*$I$18+(MOD($B461,60)=PARAM!$B$56)*($B461&gt;(60-PARAM!$B$56))*HLOOKUP(($B461+PARAM!$B$56)/12,Loyalty,2)*$F$1*MAX(BN460,0)</f>
        <v>18.557001321003963</v>
      </c>
      <c r="BM461" s="75">
        <f>PARAM!$C$26+MAX($G$18-CHOOSE(PARAM!$B$44,MAX(0,BN460*$F$1),0),0)*RATES!$L437/12+$H$18*(PARAM!$D$51/12)*RATES!$N437/100</f>
        <v>82.166666666666657</v>
      </c>
      <c r="BN461" s="16">
        <f t="shared" si="299"/>
        <v>-3998.8361175665063</v>
      </c>
      <c r="BO461" s="15">
        <f t="shared" si="274"/>
        <v>22.170849845882874</v>
      </c>
      <c r="BP461" s="75">
        <f>BO461*(1-PARAM!$C$27)*$I$19+(MOD($B461,60)=PARAM!$B$56)*($B461&gt;(60-PARAM!$B$56))*HLOOKUP(($B461+PARAM!$B$56)/12,Loyalty,2)*$F$1*MAX(BR460,0)</f>
        <v>18.557001321003963</v>
      </c>
      <c r="BQ461" s="75">
        <f>PARAM!$C$26+MAX($G$19-CHOOSE(PARAM!$B$44,MAX(0,BR460*$F$1),0),0)*RATES!$L437/12+$H$19*(PARAM!$D$51/12)*RATES!$N437/100</f>
        <v>82.166666666666657</v>
      </c>
      <c r="BR461" s="16">
        <f t="shared" si="300"/>
        <v>-3998.8361175665063</v>
      </c>
      <c r="BS461" s="15">
        <f t="shared" si="275"/>
        <v>22.170849845882874</v>
      </c>
      <c r="BT461" s="75">
        <f>BS461*(1-PARAM!$C$27)*$I$20+(MOD($B461,60)=PARAM!$B$56)*($B461&gt;(60-PARAM!$B$56))*HLOOKUP(($B461+PARAM!$B$56)/12,Loyalty,2)*$F$1*MAX(BV460,0)</f>
        <v>18.557001321003963</v>
      </c>
      <c r="BU461" s="75">
        <f>PARAM!$C$26+MAX($G$20-CHOOSE(PARAM!$B$44,MAX(0,BV460*$F$1),0),0)*RATES!$L437/12+$H$20*(PARAM!$D$51/12)*RATES!$N437/100</f>
        <v>82.166666666666657</v>
      </c>
      <c r="BV461" s="16">
        <f t="shared" si="301"/>
        <v>-3998.8361175665063</v>
      </c>
      <c r="BW461" s="15">
        <f t="shared" si="276"/>
        <v>22.170849845882874</v>
      </c>
      <c r="BX461" s="75">
        <f>BW461*(1-PARAM!$C$27)*$I$21+(MOD($B461,60)=PARAM!$B$56)*($B461&gt;(60-PARAM!$B$56))*HLOOKUP(($B461+PARAM!$B$56)/12,Loyalty,2)*$F$1*MAX(BZ460,0)</f>
        <v>18.557001321003963</v>
      </c>
      <c r="BY461" s="75">
        <f>PARAM!$C$26+MAX($G$21-CHOOSE(PARAM!$B$44,MAX(0,BZ460*$F$1),0),0)*RATES!$L437/12+$H$21*(PARAM!$D$51/12)*RATES!$N437/100</f>
        <v>82.166666666666657</v>
      </c>
      <c r="BZ461" s="16">
        <f t="shared" si="302"/>
        <v>-3998.8361175665063</v>
      </c>
      <c r="CA461" s="15">
        <f t="shared" si="277"/>
        <v>22.170849845882874</v>
      </c>
      <c r="CB461" s="75">
        <f>CA461*(1-PARAM!$C$27)*$I$22+(MOD($B461,60)=PARAM!$B$56)*($B461&gt;(60-PARAM!$B$56))*HLOOKUP(($B461+PARAM!$B$56)/12,Loyalty,2)*$F$1*MAX(CD460,0)</f>
        <v>18.557001321003963</v>
      </c>
      <c r="CC461" s="75">
        <f>PARAM!$C$26+MAX($G$22-CHOOSE(PARAM!$B$44,MAX(0,CD460*$F$1),0),0)*RATES!$L437/12+$H$22*(PARAM!$D$51/12)*RATES!$N437/100</f>
        <v>82.166666666666657</v>
      </c>
      <c r="CD461" s="16">
        <f t="shared" si="303"/>
        <v>-3998.8361175665063</v>
      </c>
      <c r="CE461" s="33">
        <f>IF(0=MOD(B461,12/PARAM!$D$51),1,0)</f>
        <v>1</v>
      </c>
      <c r="CF461" s="15">
        <f t="shared" si="278"/>
        <v>0</v>
      </c>
      <c r="CG461" s="75">
        <f>CF461*(1-PARAM!$C$27)*$R$3+(MOD($B461/12,5)=0)*($B461&gt;60)*HLOOKUP($B461/12,Loyalty,2)*$F$1*MAX(CI460,0)</f>
        <v>0</v>
      </c>
      <c r="CH461" s="75">
        <f>PARAM!$C$26+MAX($P$3-CHOOSE(PARAM!$B$44,MAX(0,CI460*$F$1),0),0)*RATES!$L437/12+$Q$3*(PARAM!$D$51/12)*RATES!$N437/100</f>
        <v>82.166666666666657</v>
      </c>
      <c r="CI461" s="16">
        <f>IF(CI460&gt;0,CI460*PARAM!$C$53,CI460)+CG461-CH461</f>
        <v>-11932.999999999982</v>
      </c>
      <c r="CJ461" s="15">
        <f t="shared" si="304"/>
        <v>0</v>
      </c>
      <c r="CK461" s="75">
        <f>CJ461*(1-PARAM!$C$27)*$R$4+(MOD($B461/12,5)=0)*($B461&gt;60)*HLOOKUP($B461/12,Loyalty,2)*$F$1*MAX(CM460,0)</f>
        <v>0</v>
      </c>
      <c r="CL461" s="75">
        <f>PARAM!$C$26+MAX($P$4-CHOOSE(PARAM!$B$44,MAX(0,CM460*$F$1),0),0)*RATES!$L437/12+$Q$4*(PARAM!$D$51/12)*RATES!$N437/100</f>
        <v>82.166666666666657</v>
      </c>
      <c r="CM461" s="16">
        <f>IF(CM460&gt;0,CM460*PARAM!$C$53,CM460)+CK461-CL461</f>
        <v>-11932.999999999982</v>
      </c>
      <c r="CO461" s="176"/>
    </row>
    <row r="462" spans="1:93" x14ac:dyDescent="0.2">
      <c r="A462" t="b">
        <f t="shared" si="279"/>
        <v>0</v>
      </c>
      <c r="B462" s="33">
        <v>435</v>
      </c>
      <c r="C462" s="15">
        <f t="shared" si="280"/>
        <v>20.081305947392778</v>
      </c>
      <c r="D462" s="75">
        <f>C462*(1-PARAM!$C$27)*$I$3+(MOD($B462,60)=PARAM!$B$56)*($B462&gt;(60-PARAM!$B$56))*HLOOKUP(($B462+PARAM!$B$56)/12,Loyalty,2)*$F$1*MAX(F461,0)</f>
        <v>16.808053077967756</v>
      </c>
      <c r="E462" s="75">
        <f>PARAM!$C$26+MAX($G$3-CHOOSE(PARAM!$B$44,MAX(0,F461*$F$1),0),0)*RATES!$L438/12+$H$3*(PARAM!$D$51/12)*RATES!$N438/100</f>
        <v>82.166666666666657</v>
      </c>
      <c r="F462" s="16">
        <f t="shared" si="281"/>
        <v>-4860.0887691544358</v>
      </c>
      <c r="G462" s="15">
        <f t="shared" si="282"/>
        <v>22.035289406060361</v>
      </c>
      <c r="H462" s="75">
        <f>G462*(1-PARAM!$C$27)*$I$4+(MOD($B462,60)=PARAM!$B$56)*($B462&gt;(60-PARAM!$B$56))*HLOOKUP(($B462+PARAM!$B$56)/12,Loyalty,2)*$F$1*MAX(J461,0)</f>
        <v>18.443537232872522</v>
      </c>
      <c r="I462" s="75">
        <f>PARAM!$C$26+MAX($G$4-CHOOSE(PARAM!$B$44,MAX(0,J461*$F$1),0),0)*RATES!$L438/12+$H$4*(PARAM!$D$51/12)*RATES!$N438/100</f>
        <v>82.166666666666657</v>
      </c>
      <c r="J462" s="16">
        <f t="shared" si="283"/>
        <v>-4114.82019764914</v>
      </c>
      <c r="K462" s="15">
        <f t="shared" si="284"/>
        <v>22.170849845882874</v>
      </c>
      <c r="L462" s="75">
        <f>K462*(1-PARAM!$C$27)*$I$5+(MOD($B462,60)=PARAM!$B$56)*($B462&gt;(60-PARAM!$B$56))*HLOOKUP(($B462+PARAM!$B$56)/12,Loyalty,2)*$F$1*MAX(N461,0)</f>
        <v>18.557001321003963</v>
      </c>
      <c r="M462" s="75">
        <f>PARAM!$C$26+MAX($G$5-CHOOSE(PARAM!$B$44,MAX(0,N461*$F$1),0),0)*RATES!$L438/12+$H$5*(PARAM!$D$51/12)*RATES!$N438/100</f>
        <v>82.166666666666657</v>
      </c>
      <c r="N462" s="16">
        <f t="shared" si="285"/>
        <v>-4062.4457829121689</v>
      </c>
      <c r="O462" s="15">
        <f t="shared" si="286"/>
        <v>22.170849845882874</v>
      </c>
      <c r="P462" s="75">
        <f>O462*(1-PARAM!$C$27)*$I$6+(MOD($B462,60)=PARAM!$B$56)*($B462&gt;(60-PARAM!$B$56))*HLOOKUP(($B462+PARAM!$B$56)/12,Loyalty,2)*$F$1*MAX(R461,0)</f>
        <v>18.557001321003963</v>
      </c>
      <c r="Q462" s="75">
        <f>PARAM!$C$26+MAX($G$6-CHOOSE(PARAM!$B$44,MAX(0,R461*$F$1),0),0)*RATES!$L438/12+$H$6*(PARAM!$D$51/12)*RATES!$N438/100</f>
        <v>82.166666666666657</v>
      </c>
      <c r="R462" s="16">
        <f t="shared" si="287"/>
        <v>-4062.4457829121689</v>
      </c>
      <c r="S462" s="15">
        <f t="shared" si="262"/>
        <v>22.170849845882874</v>
      </c>
      <c r="T462" s="75">
        <f>S462*(1-PARAM!$C$27)*$I$7+(MOD($B462,60)=PARAM!$B$56)*($B462&gt;(60-PARAM!$B$56))*HLOOKUP(($B462+PARAM!$B$56)/12,Loyalty,2)*$F$1*MAX(V461,0)</f>
        <v>18.557001321003963</v>
      </c>
      <c r="U462" s="75">
        <f>PARAM!$C$26+MAX($G$7-CHOOSE(PARAM!$B$44,MAX(0,V461*$F$1),0),0)*RATES!$L438/12+$H$7*(PARAM!$D$51/12)*RATES!$N438/100</f>
        <v>82.166666666666657</v>
      </c>
      <c r="V462" s="16">
        <f t="shared" si="288"/>
        <v>-4062.4457829121689</v>
      </c>
      <c r="W462" s="15">
        <f t="shared" si="263"/>
        <v>22.170849845882874</v>
      </c>
      <c r="X462" s="75">
        <f>W462*(1-PARAM!$C$27)*$I$8+(MOD($B462,60)=PARAM!$B$56)*($B462&gt;(60-PARAM!$B$56))*HLOOKUP(($B462+PARAM!$B$56)/12,Loyalty,2)*$F$1*MAX(Z461,0)</f>
        <v>18.557001321003963</v>
      </c>
      <c r="Y462" s="75">
        <f>PARAM!$C$26+MAX($G$8-CHOOSE(PARAM!$B$44,MAX(0,Z461*$F$1),0),0)*RATES!$L438/12+$H$8*(PARAM!$D$51/12)*RATES!$N438/100</f>
        <v>82.166666666666657</v>
      </c>
      <c r="Z462" s="16">
        <f t="shared" si="289"/>
        <v>-4062.4457829121689</v>
      </c>
      <c r="AA462" s="15">
        <f t="shared" si="264"/>
        <v>22.170849845882874</v>
      </c>
      <c r="AB462" s="75">
        <f>AA462*(1-PARAM!$C$27)*$I$9+(MOD($B462,60)=PARAM!$B$56)*($B462&gt;(60-PARAM!$B$56))*HLOOKUP(($B462+PARAM!$B$56)/12,Loyalty,2)*$F$1*MAX(AD461,0)</f>
        <v>18.557001321003963</v>
      </c>
      <c r="AC462" s="75">
        <f>PARAM!$C$26+MAX($G$9-CHOOSE(PARAM!$B$44,MAX(0,AD461*$F$1),0),0)*RATES!$L438/12+$H$9*(PARAM!$D$51/12)*RATES!$N438/100</f>
        <v>82.166666666666657</v>
      </c>
      <c r="AD462" s="16">
        <f t="shared" si="290"/>
        <v>-4062.4457829121689</v>
      </c>
      <c r="AE462" s="15">
        <f t="shared" si="265"/>
        <v>22.170849845882874</v>
      </c>
      <c r="AF462" s="75">
        <f>AE462*(1-PARAM!$C$27)*$I$10+(MOD($B462,60)=PARAM!$B$56)*($B462&gt;(60-PARAM!$B$56))*HLOOKUP(($B462+PARAM!$B$56)/12,Loyalty,2)*$F$1*MAX(AH461,0)</f>
        <v>18.557001321003963</v>
      </c>
      <c r="AG462" s="75">
        <f>PARAM!$C$26+MAX($G$10-CHOOSE(PARAM!$B$44,MAX(0,AH461*$F$1),0),0)*RATES!$L438/12+$H$10*(PARAM!$D$51/12)*RATES!$N438/100</f>
        <v>82.166666666666657</v>
      </c>
      <c r="AH462" s="16">
        <f t="shared" si="291"/>
        <v>-4062.4457829121689</v>
      </c>
      <c r="AI462" s="15">
        <f t="shared" si="266"/>
        <v>22.170849845882874</v>
      </c>
      <c r="AJ462" s="75">
        <f>AI462*(1-PARAM!$C$27)*$I$11+(MOD($B462,60)=PARAM!$B$56)*($B462&gt;(60-PARAM!$B$56))*HLOOKUP(($B462+PARAM!$B$56)/12,Loyalty,2)*$F$1*MAX(AL461,0)</f>
        <v>18.557001321003963</v>
      </c>
      <c r="AK462" s="75">
        <f>PARAM!$C$26+MAX($G$11-CHOOSE(PARAM!$B$44,MAX(0,AL461*$F$1),0),0)*RATES!$L438/12+$H$11*(PARAM!$D$51/12)*RATES!$N438/100</f>
        <v>82.166666666666657</v>
      </c>
      <c r="AL462" s="16">
        <f t="shared" si="292"/>
        <v>-4062.4457829121689</v>
      </c>
      <c r="AM462" s="15">
        <f t="shared" si="267"/>
        <v>22.170849845882874</v>
      </c>
      <c r="AN462" s="75">
        <f>AM462*(1-PARAM!$C$27)*$I$12+(MOD($B462,60)=PARAM!$B$56)*($B462&gt;(60-PARAM!$B$56))*HLOOKUP(($B462+PARAM!$B$56)/12,Loyalty,2)*$F$1*MAX(AP461,0)</f>
        <v>18.557001321003963</v>
      </c>
      <c r="AO462" s="75">
        <f>PARAM!$C$26+MAX($G$12-CHOOSE(PARAM!$B$44,MAX(0,AP461*$F$1),0),0)*RATES!$L438/12+$H$12*(PARAM!$D$51/12)*RATES!$N438/100</f>
        <v>82.166666666666657</v>
      </c>
      <c r="AP462" s="16">
        <f t="shared" si="293"/>
        <v>-4062.4457829121689</v>
      </c>
      <c r="AQ462" s="15">
        <f t="shared" si="268"/>
        <v>22.170849845882874</v>
      </c>
      <c r="AR462" s="75">
        <f>AQ462*(1-PARAM!$C$27)*$I$13+(MOD($B462,60)=PARAM!$B$56)*($B462&gt;(60-PARAM!$B$56))*HLOOKUP(($B462+PARAM!$B$56)/12,Loyalty,2)*$F$1*MAX(AT461,0)</f>
        <v>18.557001321003963</v>
      </c>
      <c r="AS462" s="75">
        <f>PARAM!$C$26+MAX($G$13-CHOOSE(PARAM!$B$44,MAX(0,AT461*$F$1),0),0)*RATES!$L438/12+$H$13*(PARAM!$D$51/12)*RATES!$N438/100</f>
        <v>82.166666666666657</v>
      </c>
      <c r="AT462" s="16">
        <f t="shared" si="294"/>
        <v>-4062.4457829121689</v>
      </c>
      <c r="AU462" s="15">
        <f t="shared" si="269"/>
        <v>22.170849845882874</v>
      </c>
      <c r="AV462" s="75">
        <f>AU462*(1-PARAM!$C$27)*$I$14+(MOD($B462,60)=PARAM!$B$56)*($B462&gt;(60-PARAM!$B$56))*HLOOKUP(($B462+PARAM!$B$56)/12,Loyalty,2)*$F$1*MAX(AX461,0)</f>
        <v>18.557001321003963</v>
      </c>
      <c r="AW462" s="75">
        <f>PARAM!$C$26+MAX($G$14-CHOOSE(PARAM!$B$44,MAX(0,AX461*$F$1),0),0)*RATES!$L438/12+$H$14*(PARAM!$D$51/12)*RATES!$N438/100</f>
        <v>82.166666666666657</v>
      </c>
      <c r="AX462" s="16">
        <f t="shared" si="295"/>
        <v>-4062.4457829121689</v>
      </c>
      <c r="AY462" s="15">
        <f t="shared" si="270"/>
        <v>22.170849845882874</v>
      </c>
      <c r="AZ462" s="75">
        <f>AY462*(1-PARAM!$C$27)*$I$15+(MOD($B462,60)=PARAM!$B$56)*($B462&gt;(60-PARAM!$B$56))*HLOOKUP(($B462+PARAM!$B$56)/12,Loyalty,2)*$F$1*MAX(BB461,0)</f>
        <v>18.557001321003963</v>
      </c>
      <c r="BA462" s="75">
        <f>PARAM!$C$26+MAX($G$15-CHOOSE(PARAM!$B$44,MAX(0,BB461*$F$1),0),0)*RATES!$L438/12+$H$15*(PARAM!$D$51/12)*RATES!$N438/100</f>
        <v>82.166666666666657</v>
      </c>
      <c r="BB462" s="16">
        <f t="shared" si="296"/>
        <v>-4062.4457829121689</v>
      </c>
      <c r="BC462" s="15">
        <f t="shared" si="271"/>
        <v>22.170849845882874</v>
      </c>
      <c r="BD462" s="75">
        <f>BC462*(1-PARAM!$C$27)*$I$16+(MOD($B462,60)=PARAM!$B$56)*($B462&gt;(60-PARAM!$B$56))*HLOOKUP(($B462+PARAM!$B$56)/12,Loyalty,2)*$F$1*MAX(BF461,0)</f>
        <v>18.557001321003963</v>
      </c>
      <c r="BE462" s="75">
        <f>PARAM!$C$26+MAX($G$16-CHOOSE(PARAM!$B$44,MAX(0,BF461*$F$1),0),0)*RATES!$L438/12+$H$16*(PARAM!$D$51/12)*RATES!$N438/100</f>
        <v>82.166666666666657</v>
      </c>
      <c r="BF462" s="16">
        <f t="shared" si="297"/>
        <v>-4062.4457829121689</v>
      </c>
      <c r="BG462" s="15">
        <f t="shared" si="272"/>
        <v>22.170849845882874</v>
      </c>
      <c r="BH462" s="75">
        <f>BG462*(1-PARAM!$C$27)*$I$17+(MOD($B462,60)=PARAM!$B$56)*($B462&gt;(60-PARAM!$B$56))*HLOOKUP(($B462+PARAM!$B$56)/12,Loyalty,2)*$F$1*MAX(BJ461,0)</f>
        <v>18.557001321003963</v>
      </c>
      <c r="BI462" s="75">
        <f>PARAM!$C$26+MAX($G$17-CHOOSE(PARAM!$B$44,MAX(0,BJ461*$F$1),0),0)*RATES!$L438/12+$H$17*(PARAM!$D$51/12)*RATES!$N438/100</f>
        <v>82.166666666666657</v>
      </c>
      <c r="BJ462" s="16">
        <f t="shared" si="298"/>
        <v>-4062.4457829121689</v>
      </c>
      <c r="BK462" s="15">
        <f t="shared" si="273"/>
        <v>22.170849845882874</v>
      </c>
      <c r="BL462" s="75">
        <f>BK462*(1-PARAM!$C$27)*$I$18+(MOD($B462,60)=PARAM!$B$56)*($B462&gt;(60-PARAM!$B$56))*HLOOKUP(($B462+PARAM!$B$56)/12,Loyalty,2)*$F$1*MAX(BN461,0)</f>
        <v>18.557001321003963</v>
      </c>
      <c r="BM462" s="75">
        <f>PARAM!$C$26+MAX($G$18-CHOOSE(PARAM!$B$44,MAX(0,BN461*$F$1),0),0)*RATES!$L438/12+$H$18*(PARAM!$D$51/12)*RATES!$N438/100</f>
        <v>82.166666666666657</v>
      </c>
      <c r="BN462" s="16">
        <f t="shared" si="299"/>
        <v>-4062.4457829121689</v>
      </c>
      <c r="BO462" s="15">
        <f t="shared" si="274"/>
        <v>22.170849845882874</v>
      </c>
      <c r="BP462" s="75">
        <f>BO462*(1-PARAM!$C$27)*$I$19+(MOD($B462,60)=PARAM!$B$56)*($B462&gt;(60-PARAM!$B$56))*HLOOKUP(($B462+PARAM!$B$56)/12,Loyalty,2)*$F$1*MAX(BR461,0)</f>
        <v>18.557001321003963</v>
      </c>
      <c r="BQ462" s="75">
        <f>PARAM!$C$26+MAX($G$19-CHOOSE(PARAM!$B$44,MAX(0,BR461*$F$1),0),0)*RATES!$L438/12+$H$19*(PARAM!$D$51/12)*RATES!$N438/100</f>
        <v>82.166666666666657</v>
      </c>
      <c r="BR462" s="16">
        <f t="shared" si="300"/>
        <v>-4062.4457829121689</v>
      </c>
      <c r="BS462" s="15">
        <f t="shared" si="275"/>
        <v>22.170849845882874</v>
      </c>
      <c r="BT462" s="75">
        <f>BS462*(1-PARAM!$C$27)*$I$20+(MOD($B462,60)=PARAM!$B$56)*($B462&gt;(60-PARAM!$B$56))*HLOOKUP(($B462+PARAM!$B$56)/12,Loyalty,2)*$F$1*MAX(BV461,0)</f>
        <v>18.557001321003963</v>
      </c>
      <c r="BU462" s="75">
        <f>PARAM!$C$26+MAX($G$20-CHOOSE(PARAM!$B$44,MAX(0,BV461*$F$1),0),0)*RATES!$L438/12+$H$20*(PARAM!$D$51/12)*RATES!$N438/100</f>
        <v>82.166666666666657</v>
      </c>
      <c r="BV462" s="16">
        <f t="shared" si="301"/>
        <v>-4062.4457829121689</v>
      </c>
      <c r="BW462" s="15">
        <f t="shared" si="276"/>
        <v>22.170849845882874</v>
      </c>
      <c r="BX462" s="75">
        <f>BW462*(1-PARAM!$C$27)*$I$21+(MOD($B462,60)=PARAM!$B$56)*($B462&gt;(60-PARAM!$B$56))*HLOOKUP(($B462+PARAM!$B$56)/12,Loyalty,2)*$F$1*MAX(BZ461,0)</f>
        <v>18.557001321003963</v>
      </c>
      <c r="BY462" s="75">
        <f>PARAM!$C$26+MAX($G$21-CHOOSE(PARAM!$B$44,MAX(0,BZ461*$F$1),0),0)*RATES!$L438/12+$H$21*(PARAM!$D$51/12)*RATES!$N438/100</f>
        <v>82.166666666666657</v>
      </c>
      <c r="BZ462" s="16">
        <f t="shared" si="302"/>
        <v>-4062.4457829121689</v>
      </c>
      <c r="CA462" s="15">
        <f t="shared" si="277"/>
        <v>22.170849845882874</v>
      </c>
      <c r="CB462" s="75">
        <f>CA462*(1-PARAM!$C$27)*$I$22+(MOD($B462,60)=PARAM!$B$56)*($B462&gt;(60-PARAM!$B$56))*HLOOKUP(($B462+PARAM!$B$56)/12,Loyalty,2)*$F$1*MAX(CD461,0)</f>
        <v>18.557001321003963</v>
      </c>
      <c r="CC462" s="75">
        <f>PARAM!$C$26+MAX($G$22-CHOOSE(PARAM!$B$44,MAX(0,CD461*$F$1),0),0)*RATES!$L438/12+$H$22*(PARAM!$D$51/12)*RATES!$N438/100</f>
        <v>82.166666666666657</v>
      </c>
      <c r="CD462" s="16">
        <f t="shared" si="303"/>
        <v>-4062.4457829121689</v>
      </c>
      <c r="CE462" s="33">
        <f>IF(0=MOD(B462,12/PARAM!$D$51),1,0)</f>
        <v>1</v>
      </c>
      <c r="CF462" s="15">
        <f t="shared" si="278"/>
        <v>0</v>
      </c>
      <c r="CG462" s="75">
        <f>CF462*(1-PARAM!$C$27)*$R$3+(MOD($B462/12,5)=0)*($B462&gt;60)*HLOOKUP($B462/12,Loyalty,2)*$F$1*MAX(CI461,0)</f>
        <v>0</v>
      </c>
      <c r="CH462" s="75">
        <f>PARAM!$C$26+MAX($P$3-CHOOSE(PARAM!$B$44,MAX(0,CI461*$F$1),0),0)*RATES!$L438/12+$Q$3*(PARAM!$D$51/12)*RATES!$N438/100</f>
        <v>82.166666666666657</v>
      </c>
      <c r="CI462" s="16">
        <f>IF(CI461&gt;0,CI461*PARAM!$C$53,CI461)+CG462-CH462</f>
        <v>-12015.166666666648</v>
      </c>
      <c r="CJ462" s="15">
        <f t="shared" si="304"/>
        <v>0</v>
      </c>
      <c r="CK462" s="75">
        <f>CJ462*(1-PARAM!$C$27)*$R$4+(MOD($B462/12,5)=0)*($B462&gt;60)*HLOOKUP($B462/12,Loyalty,2)*$F$1*MAX(CM461,0)</f>
        <v>0</v>
      </c>
      <c r="CL462" s="75">
        <f>PARAM!$C$26+MAX($P$4-CHOOSE(PARAM!$B$44,MAX(0,CM461*$F$1),0),0)*RATES!$L438/12+$Q$4*(PARAM!$D$51/12)*RATES!$N438/100</f>
        <v>82.166666666666657</v>
      </c>
      <c r="CM462" s="16">
        <f>IF(CM461&gt;0,CM461*PARAM!$C$53,CM461)+CK462-CL462</f>
        <v>-12015.166666666648</v>
      </c>
      <c r="CO462" s="176"/>
    </row>
    <row r="463" spans="1:93" x14ac:dyDescent="0.2">
      <c r="A463" t="b">
        <f t="shared" si="279"/>
        <v>0</v>
      </c>
      <c r="B463" s="33">
        <v>436</v>
      </c>
      <c r="C463" s="15">
        <f t="shared" si="280"/>
        <v>20.081305947392778</v>
      </c>
      <c r="D463" s="75">
        <f>C463*(1-PARAM!$C$27)*$I$3+(MOD($B463,60)=PARAM!$B$56)*($B463&gt;(60-PARAM!$B$56))*HLOOKUP(($B463+PARAM!$B$56)/12,Loyalty,2)*$F$1*MAX(F462,0)</f>
        <v>16.808053077967756</v>
      </c>
      <c r="E463" s="75">
        <f>PARAM!$C$26+MAX($G$3-CHOOSE(PARAM!$B$44,MAX(0,F462*$F$1),0),0)*RATES!$L439/12+$H$3*(PARAM!$D$51/12)*RATES!$N439/100</f>
        <v>82.166666666666657</v>
      </c>
      <c r="F463" s="16">
        <f t="shared" si="281"/>
        <v>-4925.4473827431348</v>
      </c>
      <c r="G463" s="15">
        <f t="shared" si="282"/>
        <v>22.035289406060361</v>
      </c>
      <c r="H463" s="75">
        <f>G463*(1-PARAM!$C$27)*$I$4+(MOD($B463,60)=PARAM!$B$56)*($B463&gt;(60-PARAM!$B$56))*HLOOKUP(($B463+PARAM!$B$56)/12,Loyalty,2)*$F$1*MAX(J462,0)</f>
        <v>18.443537232872522</v>
      </c>
      <c r="I463" s="75">
        <f>PARAM!$C$26+MAX($G$4-CHOOSE(PARAM!$B$44,MAX(0,J462*$F$1),0),0)*RATES!$L439/12+$H$4*(PARAM!$D$51/12)*RATES!$N439/100</f>
        <v>82.166666666666657</v>
      </c>
      <c r="J463" s="16">
        <f t="shared" si="283"/>
        <v>-4178.5433270829344</v>
      </c>
      <c r="K463" s="15">
        <f t="shared" si="284"/>
        <v>22.170849845882874</v>
      </c>
      <c r="L463" s="75">
        <f>K463*(1-PARAM!$C$27)*$I$5+(MOD($B463,60)=PARAM!$B$56)*($B463&gt;(60-PARAM!$B$56))*HLOOKUP(($B463+PARAM!$B$56)/12,Loyalty,2)*$F$1*MAX(N462,0)</f>
        <v>18.557001321003963</v>
      </c>
      <c r="M463" s="75">
        <f>PARAM!$C$26+MAX($G$5-CHOOSE(PARAM!$B$44,MAX(0,N462*$F$1),0),0)*RATES!$L439/12+$H$5*(PARAM!$D$51/12)*RATES!$N439/100</f>
        <v>82.166666666666657</v>
      </c>
      <c r="N463" s="16">
        <f t="shared" si="285"/>
        <v>-4126.0554482578318</v>
      </c>
      <c r="O463" s="15">
        <f t="shared" si="286"/>
        <v>22.170849845882874</v>
      </c>
      <c r="P463" s="75">
        <f>O463*(1-PARAM!$C$27)*$I$6+(MOD($B463,60)=PARAM!$B$56)*($B463&gt;(60-PARAM!$B$56))*HLOOKUP(($B463+PARAM!$B$56)/12,Loyalty,2)*$F$1*MAX(R462,0)</f>
        <v>18.557001321003963</v>
      </c>
      <c r="Q463" s="75">
        <f>PARAM!$C$26+MAX($G$6-CHOOSE(PARAM!$B$44,MAX(0,R462*$F$1),0),0)*RATES!$L439/12+$H$6*(PARAM!$D$51/12)*RATES!$N439/100</f>
        <v>82.166666666666657</v>
      </c>
      <c r="R463" s="16">
        <f t="shared" si="287"/>
        <v>-4126.0554482578318</v>
      </c>
      <c r="S463" s="15">
        <f t="shared" si="262"/>
        <v>22.170849845882874</v>
      </c>
      <c r="T463" s="75">
        <f>S463*(1-PARAM!$C$27)*$I$7+(MOD($B463,60)=PARAM!$B$56)*($B463&gt;(60-PARAM!$B$56))*HLOOKUP(($B463+PARAM!$B$56)/12,Loyalty,2)*$F$1*MAX(V462,0)</f>
        <v>18.557001321003963</v>
      </c>
      <c r="U463" s="75">
        <f>PARAM!$C$26+MAX($G$7-CHOOSE(PARAM!$B$44,MAX(0,V462*$F$1),0),0)*RATES!$L439/12+$H$7*(PARAM!$D$51/12)*RATES!$N439/100</f>
        <v>82.166666666666657</v>
      </c>
      <c r="V463" s="16">
        <f t="shared" si="288"/>
        <v>-4126.0554482578318</v>
      </c>
      <c r="W463" s="15">
        <f t="shared" si="263"/>
        <v>22.170849845882874</v>
      </c>
      <c r="X463" s="75">
        <f>W463*(1-PARAM!$C$27)*$I$8+(MOD($B463,60)=PARAM!$B$56)*($B463&gt;(60-PARAM!$B$56))*HLOOKUP(($B463+PARAM!$B$56)/12,Loyalty,2)*$F$1*MAX(Z462,0)</f>
        <v>18.557001321003963</v>
      </c>
      <c r="Y463" s="75">
        <f>PARAM!$C$26+MAX($G$8-CHOOSE(PARAM!$B$44,MAX(0,Z462*$F$1),0),0)*RATES!$L439/12+$H$8*(PARAM!$D$51/12)*RATES!$N439/100</f>
        <v>82.166666666666657</v>
      </c>
      <c r="Z463" s="16">
        <f t="shared" si="289"/>
        <v>-4126.0554482578318</v>
      </c>
      <c r="AA463" s="15">
        <f t="shared" si="264"/>
        <v>22.170849845882874</v>
      </c>
      <c r="AB463" s="75">
        <f>AA463*(1-PARAM!$C$27)*$I$9+(MOD($B463,60)=PARAM!$B$56)*($B463&gt;(60-PARAM!$B$56))*HLOOKUP(($B463+PARAM!$B$56)/12,Loyalty,2)*$F$1*MAX(AD462,0)</f>
        <v>18.557001321003963</v>
      </c>
      <c r="AC463" s="75">
        <f>PARAM!$C$26+MAX($G$9-CHOOSE(PARAM!$B$44,MAX(0,AD462*$F$1),0),0)*RATES!$L439/12+$H$9*(PARAM!$D$51/12)*RATES!$N439/100</f>
        <v>82.166666666666657</v>
      </c>
      <c r="AD463" s="16">
        <f t="shared" si="290"/>
        <v>-4126.0554482578318</v>
      </c>
      <c r="AE463" s="15">
        <f t="shared" si="265"/>
        <v>22.170849845882874</v>
      </c>
      <c r="AF463" s="75">
        <f>AE463*(1-PARAM!$C$27)*$I$10+(MOD($B463,60)=PARAM!$B$56)*($B463&gt;(60-PARAM!$B$56))*HLOOKUP(($B463+PARAM!$B$56)/12,Loyalty,2)*$F$1*MAX(AH462,0)</f>
        <v>18.557001321003963</v>
      </c>
      <c r="AG463" s="75">
        <f>PARAM!$C$26+MAX($G$10-CHOOSE(PARAM!$B$44,MAX(0,AH462*$F$1),0),0)*RATES!$L439/12+$H$10*(PARAM!$D$51/12)*RATES!$N439/100</f>
        <v>82.166666666666657</v>
      </c>
      <c r="AH463" s="16">
        <f t="shared" si="291"/>
        <v>-4126.0554482578318</v>
      </c>
      <c r="AI463" s="15">
        <f t="shared" si="266"/>
        <v>22.170849845882874</v>
      </c>
      <c r="AJ463" s="75">
        <f>AI463*(1-PARAM!$C$27)*$I$11+(MOD($B463,60)=PARAM!$B$56)*($B463&gt;(60-PARAM!$B$56))*HLOOKUP(($B463+PARAM!$B$56)/12,Loyalty,2)*$F$1*MAX(AL462,0)</f>
        <v>18.557001321003963</v>
      </c>
      <c r="AK463" s="75">
        <f>PARAM!$C$26+MAX($G$11-CHOOSE(PARAM!$B$44,MAX(0,AL462*$F$1),0),0)*RATES!$L439/12+$H$11*(PARAM!$D$51/12)*RATES!$N439/100</f>
        <v>82.166666666666657</v>
      </c>
      <c r="AL463" s="16">
        <f t="shared" si="292"/>
        <v>-4126.0554482578318</v>
      </c>
      <c r="AM463" s="15">
        <f t="shared" si="267"/>
        <v>22.170849845882874</v>
      </c>
      <c r="AN463" s="75">
        <f>AM463*(1-PARAM!$C$27)*$I$12+(MOD($B463,60)=PARAM!$B$56)*($B463&gt;(60-PARAM!$B$56))*HLOOKUP(($B463+PARAM!$B$56)/12,Loyalty,2)*$F$1*MAX(AP462,0)</f>
        <v>18.557001321003963</v>
      </c>
      <c r="AO463" s="75">
        <f>PARAM!$C$26+MAX($G$12-CHOOSE(PARAM!$B$44,MAX(0,AP462*$F$1),0),0)*RATES!$L439/12+$H$12*(PARAM!$D$51/12)*RATES!$N439/100</f>
        <v>82.166666666666657</v>
      </c>
      <c r="AP463" s="16">
        <f t="shared" si="293"/>
        <v>-4126.0554482578318</v>
      </c>
      <c r="AQ463" s="15">
        <f t="shared" si="268"/>
        <v>22.170849845882874</v>
      </c>
      <c r="AR463" s="75">
        <f>AQ463*(1-PARAM!$C$27)*$I$13+(MOD($B463,60)=PARAM!$B$56)*($B463&gt;(60-PARAM!$B$56))*HLOOKUP(($B463+PARAM!$B$56)/12,Loyalty,2)*$F$1*MAX(AT462,0)</f>
        <v>18.557001321003963</v>
      </c>
      <c r="AS463" s="75">
        <f>PARAM!$C$26+MAX($G$13-CHOOSE(PARAM!$B$44,MAX(0,AT462*$F$1),0),0)*RATES!$L439/12+$H$13*(PARAM!$D$51/12)*RATES!$N439/100</f>
        <v>82.166666666666657</v>
      </c>
      <c r="AT463" s="16">
        <f t="shared" si="294"/>
        <v>-4126.0554482578318</v>
      </c>
      <c r="AU463" s="15">
        <f t="shared" si="269"/>
        <v>22.170849845882874</v>
      </c>
      <c r="AV463" s="75">
        <f>AU463*(1-PARAM!$C$27)*$I$14+(MOD($B463,60)=PARAM!$B$56)*($B463&gt;(60-PARAM!$B$56))*HLOOKUP(($B463+PARAM!$B$56)/12,Loyalty,2)*$F$1*MAX(AX462,0)</f>
        <v>18.557001321003963</v>
      </c>
      <c r="AW463" s="75">
        <f>PARAM!$C$26+MAX($G$14-CHOOSE(PARAM!$B$44,MAX(0,AX462*$F$1),0),0)*RATES!$L439/12+$H$14*(PARAM!$D$51/12)*RATES!$N439/100</f>
        <v>82.166666666666657</v>
      </c>
      <c r="AX463" s="16">
        <f t="shared" si="295"/>
        <v>-4126.0554482578318</v>
      </c>
      <c r="AY463" s="15">
        <f t="shared" si="270"/>
        <v>22.170849845882874</v>
      </c>
      <c r="AZ463" s="75">
        <f>AY463*(1-PARAM!$C$27)*$I$15+(MOD($B463,60)=PARAM!$B$56)*($B463&gt;(60-PARAM!$B$56))*HLOOKUP(($B463+PARAM!$B$56)/12,Loyalty,2)*$F$1*MAX(BB462,0)</f>
        <v>18.557001321003963</v>
      </c>
      <c r="BA463" s="75">
        <f>PARAM!$C$26+MAX($G$15-CHOOSE(PARAM!$B$44,MAX(0,BB462*$F$1),0),0)*RATES!$L439/12+$H$15*(PARAM!$D$51/12)*RATES!$N439/100</f>
        <v>82.166666666666657</v>
      </c>
      <c r="BB463" s="16">
        <f t="shared" si="296"/>
        <v>-4126.0554482578318</v>
      </c>
      <c r="BC463" s="15">
        <f t="shared" si="271"/>
        <v>22.170849845882874</v>
      </c>
      <c r="BD463" s="75">
        <f>BC463*(1-PARAM!$C$27)*$I$16+(MOD($B463,60)=PARAM!$B$56)*($B463&gt;(60-PARAM!$B$56))*HLOOKUP(($B463+PARAM!$B$56)/12,Loyalty,2)*$F$1*MAX(BF462,0)</f>
        <v>18.557001321003963</v>
      </c>
      <c r="BE463" s="75">
        <f>PARAM!$C$26+MAX($G$16-CHOOSE(PARAM!$B$44,MAX(0,BF462*$F$1),0),0)*RATES!$L439/12+$H$16*(PARAM!$D$51/12)*RATES!$N439/100</f>
        <v>82.166666666666657</v>
      </c>
      <c r="BF463" s="16">
        <f t="shared" si="297"/>
        <v>-4126.0554482578318</v>
      </c>
      <c r="BG463" s="15">
        <f t="shared" si="272"/>
        <v>22.170849845882874</v>
      </c>
      <c r="BH463" s="75">
        <f>BG463*(1-PARAM!$C$27)*$I$17+(MOD($B463,60)=PARAM!$B$56)*($B463&gt;(60-PARAM!$B$56))*HLOOKUP(($B463+PARAM!$B$56)/12,Loyalty,2)*$F$1*MAX(BJ462,0)</f>
        <v>18.557001321003963</v>
      </c>
      <c r="BI463" s="75">
        <f>PARAM!$C$26+MAX($G$17-CHOOSE(PARAM!$B$44,MAX(0,BJ462*$F$1),0),0)*RATES!$L439/12+$H$17*(PARAM!$D$51/12)*RATES!$N439/100</f>
        <v>82.166666666666657</v>
      </c>
      <c r="BJ463" s="16">
        <f t="shared" si="298"/>
        <v>-4126.0554482578318</v>
      </c>
      <c r="BK463" s="15">
        <f t="shared" si="273"/>
        <v>22.170849845882874</v>
      </c>
      <c r="BL463" s="75">
        <f>BK463*(1-PARAM!$C$27)*$I$18+(MOD($B463,60)=PARAM!$B$56)*($B463&gt;(60-PARAM!$B$56))*HLOOKUP(($B463+PARAM!$B$56)/12,Loyalty,2)*$F$1*MAX(BN462,0)</f>
        <v>18.557001321003963</v>
      </c>
      <c r="BM463" s="75">
        <f>PARAM!$C$26+MAX($G$18-CHOOSE(PARAM!$B$44,MAX(0,BN462*$F$1),0),0)*RATES!$L439/12+$H$18*(PARAM!$D$51/12)*RATES!$N439/100</f>
        <v>82.166666666666657</v>
      </c>
      <c r="BN463" s="16">
        <f t="shared" si="299"/>
        <v>-4126.0554482578318</v>
      </c>
      <c r="BO463" s="15">
        <f t="shared" si="274"/>
        <v>22.170849845882874</v>
      </c>
      <c r="BP463" s="75">
        <f>BO463*(1-PARAM!$C$27)*$I$19+(MOD($B463,60)=PARAM!$B$56)*($B463&gt;(60-PARAM!$B$56))*HLOOKUP(($B463+PARAM!$B$56)/12,Loyalty,2)*$F$1*MAX(BR462,0)</f>
        <v>18.557001321003963</v>
      </c>
      <c r="BQ463" s="75">
        <f>PARAM!$C$26+MAX($G$19-CHOOSE(PARAM!$B$44,MAX(0,BR462*$F$1),0),0)*RATES!$L439/12+$H$19*(PARAM!$D$51/12)*RATES!$N439/100</f>
        <v>82.166666666666657</v>
      </c>
      <c r="BR463" s="16">
        <f t="shared" si="300"/>
        <v>-4126.0554482578318</v>
      </c>
      <c r="BS463" s="15">
        <f t="shared" si="275"/>
        <v>22.170849845882874</v>
      </c>
      <c r="BT463" s="75">
        <f>BS463*(1-PARAM!$C$27)*$I$20+(MOD($B463,60)=PARAM!$B$56)*($B463&gt;(60-PARAM!$B$56))*HLOOKUP(($B463+PARAM!$B$56)/12,Loyalty,2)*$F$1*MAX(BV462,0)</f>
        <v>18.557001321003963</v>
      </c>
      <c r="BU463" s="75">
        <f>PARAM!$C$26+MAX($G$20-CHOOSE(PARAM!$B$44,MAX(0,BV462*$F$1),0),0)*RATES!$L439/12+$H$20*(PARAM!$D$51/12)*RATES!$N439/100</f>
        <v>82.166666666666657</v>
      </c>
      <c r="BV463" s="16">
        <f t="shared" si="301"/>
        <v>-4126.0554482578318</v>
      </c>
      <c r="BW463" s="15">
        <f t="shared" si="276"/>
        <v>22.170849845882874</v>
      </c>
      <c r="BX463" s="75">
        <f>BW463*(1-PARAM!$C$27)*$I$21+(MOD($B463,60)=PARAM!$B$56)*($B463&gt;(60-PARAM!$B$56))*HLOOKUP(($B463+PARAM!$B$56)/12,Loyalty,2)*$F$1*MAX(BZ462,0)</f>
        <v>18.557001321003963</v>
      </c>
      <c r="BY463" s="75">
        <f>PARAM!$C$26+MAX($G$21-CHOOSE(PARAM!$B$44,MAX(0,BZ462*$F$1),0),0)*RATES!$L439/12+$H$21*(PARAM!$D$51/12)*RATES!$N439/100</f>
        <v>82.166666666666657</v>
      </c>
      <c r="BZ463" s="16">
        <f t="shared" si="302"/>
        <v>-4126.0554482578318</v>
      </c>
      <c r="CA463" s="15">
        <f t="shared" si="277"/>
        <v>22.170849845882874</v>
      </c>
      <c r="CB463" s="75">
        <f>CA463*(1-PARAM!$C$27)*$I$22+(MOD($B463,60)=PARAM!$B$56)*($B463&gt;(60-PARAM!$B$56))*HLOOKUP(($B463+PARAM!$B$56)/12,Loyalty,2)*$F$1*MAX(CD462,0)</f>
        <v>18.557001321003963</v>
      </c>
      <c r="CC463" s="75">
        <f>PARAM!$C$26+MAX($G$22-CHOOSE(PARAM!$B$44,MAX(0,CD462*$F$1),0),0)*RATES!$L439/12+$H$22*(PARAM!$D$51/12)*RATES!$N439/100</f>
        <v>82.166666666666657</v>
      </c>
      <c r="CD463" s="16">
        <f t="shared" si="303"/>
        <v>-4126.0554482578318</v>
      </c>
      <c r="CE463" s="33">
        <f>IF(0=MOD(B463,12/PARAM!$D$51),1,0)</f>
        <v>1</v>
      </c>
      <c r="CF463" s="15">
        <f t="shared" si="278"/>
        <v>0</v>
      </c>
      <c r="CG463" s="75">
        <f>CF463*(1-PARAM!$C$27)*$R$3+(MOD($B463/12,5)=0)*($B463&gt;60)*HLOOKUP($B463/12,Loyalty,2)*$F$1*MAX(CI462,0)</f>
        <v>0</v>
      </c>
      <c r="CH463" s="75">
        <f>PARAM!$C$26+MAX($P$3-CHOOSE(PARAM!$B$44,MAX(0,CI462*$F$1),0),0)*RATES!$L439/12+$Q$3*(PARAM!$D$51/12)*RATES!$N439/100</f>
        <v>82.166666666666657</v>
      </c>
      <c r="CI463" s="16">
        <f>IF(CI462&gt;0,CI462*PARAM!$C$53,CI462)+CG463-CH463</f>
        <v>-12097.333333333314</v>
      </c>
      <c r="CJ463" s="15">
        <f t="shared" si="304"/>
        <v>0</v>
      </c>
      <c r="CK463" s="75">
        <f>CJ463*(1-PARAM!$C$27)*$R$4+(MOD($B463/12,5)=0)*($B463&gt;60)*HLOOKUP($B463/12,Loyalty,2)*$F$1*MAX(CM462,0)</f>
        <v>0</v>
      </c>
      <c r="CL463" s="75">
        <f>PARAM!$C$26+MAX($P$4-CHOOSE(PARAM!$B$44,MAX(0,CM462*$F$1),0),0)*RATES!$L439/12+$Q$4*(PARAM!$D$51/12)*RATES!$N439/100</f>
        <v>82.166666666666657</v>
      </c>
      <c r="CM463" s="16">
        <f>IF(CM462&gt;0,CM462*PARAM!$C$53,CM462)+CK463-CL463</f>
        <v>-12097.333333333314</v>
      </c>
      <c r="CO463" s="176"/>
    </row>
    <row r="464" spans="1:93" x14ac:dyDescent="0.2">
      <c r="A464" t="b">
        <f t="shared" si="279"/>
        <v>0</v>
      </c>
      <c r="B464" s="33">
        <v>437</v>
      </c>
      <c r="C464" s="15">
        <f t="shared" si="280"/>
        <v>20.081305947392778</v>
      </c>
      <c r="D464" s="75">
        <f>C464*(1-PARAM!$C$27)*$I$3+(MOD($B464,60)=PARAM!$B$56)*($B464&gt;(60-PARAM!$B$56))*HLOOKUP(($B464+PARAM!$B$56)/12,Loyalty,2)*$F$1*MAX(F463,0)</f>
        <v>16.808053077967756</v>
      </c>
      <c r="E464" s="75">
        <f>PARAM!$C$26+MAX($G$3-CHOOSE(PARAM!$B$44,MAX(0,F463*$F$1),0),0)*RATES!$L440/12+$H$3*(PARAM!$D$51/12)*RATES!$N440/100</f>
        <v>82.166666666666657</v>
      </c>
      <c r="F464" s="16">
        <f t="shared" si="281"/>
        <v>-4990.8059963318337</v>
      </c>
      <c r="G464" s="15">
        <f t="shared" si="282"/>
        <v>22.035289406060361</v>
      </c>
      <c r="H464" s="75">
        <f>G464*(1-PARAM!$C$27)*$I$4+(MOD($B464,60)=PARAM!$B$56)*($B464&gt;(60-PARAM!$B$56))*HLOOKUP(($B464+PARAM!$B$56)/12,Loyalty,2)*$F$1*MAX(J463,0)</f>
        <v>18.443537232872522</v>
      </c>
      <c r="I464" s="75">
        <f>PARAM!$C$26+MAX($G$4-CHOOSE(PARAM!$B$44,MAX(0,J463*$F$1),0),0)*RATES!$L440/12+$H$4*(PARAM!$D$51/12)*RATES!$N440/100</f>
        <v>82.166666666666657</v>
      </c>
      <c r="J464" s="16">
        <f t="shared" si="283"/>
        <v>-4242.2664565167288</v>
      </c>
      <c r="K464" s="15">
        <f t="shared" si="284"/>
        <v>22.170849845882874</v>
      </c>
      <c r="L464" s="75">
        <f>K464*(1-PARAM!$C$27)*$I$5+(MOD($B464,60)=PARAM!$B$56)*($B464&gt;(60-PARAM!$B$56))*HLOOKUP(($B464+PARAM!$B$56)/12,Loyalty,2)*$F$1*MAX(N463,0)</f>
        <v>18.557001321003963</v>
      </c>
      <c r="M464" s="75">
        <f>PARAM!$C$26+MAX($G$5-CHOOSE(PARAM!$B$44,MAX(0,N463*$F$1),0),0)*RATES!$L440/12+$H$5*(PARAM!$D$51/12)*RATES!$N440/100</f>
        <v>82.166666666666657</v>
      </c>
      <c r="N464" s="16">
        <f t="shared" si="285"/>
        <v>-4189.6651136034952</v>
      </c>
      <c r="O464" s="15">
        <f t="shared" si="286"/>
        <v>22.170849845882874</v>
      </c>
      <c r="P464" s="75">
        <f>O464*(1-PARAM!$C$27)*$I$6+(MOD($B464,60)=PARAM!$B$56)*($B464&gt;(60-PARAM!$B$56))*HLOOKUP(($B464+PARAM!$B$56)/12,Loyalty,2)*$F$1*MAX(R463,0)</f>
        <v>18.557001321003963</v>
      </c>
      <c r="Q464" s="75">
        <f>PARAM!$C$26+MAX($G$6-CHOOSE(PARAM!$B$44,MAX(0,R463*$F$1),0),0)*RATES!$L440/12+$H$6*(PARAM!$D$51/12)*RATES!$N440/100</f>
        <v>82.166666666666657</v>
      </c>
      <c r="R464" s="16">
        <f t="shared" si="287"/>
        <v>-4189.6651136034952</v>
      </c>
      <c r="S464" s="15">
        <f t="shared" si="262"/>
        <v>22.170849845882874</v>
      </c>
      <c r="T464" s="75">
        <f>S464*(1-PARAM!$C$27)*$I$7+(MOD($B464,60)=PARAM!$B$56)*($B464&gt;(60-PARAM!$B$56))*HLOOKUP(($B464+PARAM!$B$56)/12,Loyalty,2)*$F$1*MAX(V463,0)</f>
        <v>18.557001321003963</v>
      </c>
      <c r="U464" s="75">
        <f>PARAM!$C$26+MAX($G$7-CHOOSE(PARAM!$B$44,MAX(0,V463*$F$1),0),0)*RATES!$L440/12+$H$7*(PARAM!$D$51/12)*RATES!$N440/100</f>
        <v>82.166666666666657</v>
      </c>
      <c r="V464" s="16">
        <f t="shared" si="288"/>
        <v>-4189.6651136034952</v>
      </c>
      <c r="W464" s="15">
        <f t="shared" si="263"/>
        <v>22.170849845882874</v>
      </c>
      <c r="X464" s="75">
        <f>W464*(1-PARAM!$C$27)*$I$8+(MOD($B464,60)=PARAM!$B$56)*($B464&gt;(60-PARAM!$B$56))*HLOOKUP(($B464+PARAM!$B$56)/12,Loyalty,2)*$F$1*MAX(Z463,0)</f>
        <v>18.557001321003963</v>
      </c>
      <c r="Y464" s="75">
        <f>PARAM!$C$26+MAX($G$8-CHOOSE(PARAM!$B$44,MAX(0,Z463*$F$1),0),0)*RATES!$L440/12+$H$8*(PARAM!$D$51/12)*RATES!$N440/100</f>
        <v>82.166666666666657</v>
      </c>
      <c r="Z464" s="16">
        <f t="shared" si="289"/>
        <v>-4189.6651136034952</v>
      </c>
      <c r="AA464" s="15">
        <f t="shared" si="264"/>
        <v>22.170849845882874</v>
      </c>
      <c r="AB464" s="75">
        <f>AA464*(1-PARAM!$C$27)*$I$9+(MOD($B464,60)=PARAM!$B$56)*($B464&gt;(60-PARAM!$B$56))*HLOOKUP(($B464+PARAM!$B$56)/12,Loyalty,2)*$F$1*MAX(AD463,0)</f>
        <v>18.557001321003963</v>
      </c>
      <c r="AC464" s="75">
        <f>PARAM!$C$26+MAX($G$9-CHOOSE(PARAM!$B$44,MAX(0,AD463*$F$1),0),0)*RATES!$L440/12+$H$9*(PARAM!$D$51/12)*RATES!$N440/100</f>
        <v>82.166666666666657</v>
      </c>
      <c r="AD464" s="16">
        <f t="shared" si="290"/>
        <v>-4189.6651136034952</v>
      </c>
      <c r="AE464" s="15">
        <f t="shared" si="265"/>
        <v>22.170849845882874</v>
      </c>
      <c r="AF464" s="75">
        <f>AE464*(1-PARAM!$C$27)*$I$10+(MOD($B464,60)=PARAM!$B$56)*($B464&gt;(60-PARAM!$B$56))*HLOOKUP(($B464+PARAM!$B$56)/12,Loyalty,2)*$F$1*MAX(AH463,0)</f>
        <v>18.557001321003963</v>
      </c>
      <c r="AG464" s="75">
        <f>PARAM!$C$26+MAX($G$10-CHOOSE(PARAM!$B$44,MAX(0,AH463*$F$1),0),0)*RATES!$L440/12+$H$10*(PARAM!$D$51/12)*RATES!$N440/100</f>
        <v>82.166666666666657</v>
      </c>
      <c r="AH464" s="16">
        <f t="shared" si="291"/>
        <v>-4189.6651136034952</v>
      </c>
      <c r="AI464" s="15">
        <f t="shared" si="266"/>
        <v>22.170849845882874</v>
      </c>
      <c r="AJ464" s="75">
        <f>AI464*(1-PARAM!$C$27)*$I$11+(MOD($B464,60)=PARAM!$B$56)*($B464&gt;(60-PARAM!$B$56))*HLOOKUP(($B464+PARAM!$B$56)/12,Loyalty,2)*$F$1*MAX(AL463,0)</f>
        <v>18.557001321003963</v>
      </c>
      <c r="AK464" s="75">
        <f>PARAM!$C$26+MAX($G$11-CHOOSE(PARAM!$B$44,MAX(0,AL463*$F$1),0),0)*RATES!$L440/12+$H$11*(PARAM!$D$51/12)*RATES!$N440/100</f>
        <v>82.166666666666657</v>
      </c>
      <c r="AL464" s="16">
        <f t="shared" si="292"/>
        <v>-4189.6651136034952</v>
      </c>
      <c r="AM464" s="15">
        <f t="shared" si="267"/>
        <v>22.170849845882874</v>
      </c>
      <c r="AN464" s="75">
        <f>AM464*(1-PARAM!$C$27)*$I$12+(MOD($B464,60)=PARAM!$B$56)*($B464&gt;(60-PARAM!$B$56))*HLOOKUP(($B464+PARAM!$B$56)/12,Loyalty,2)*$F$1*MAX(AP463,0)</f>
        <v>18.557001321003963</v>
      </c>
      <c r="AO464" s="75">
        <f>PARAM!$C$26+MAX($G$12-CHOOSE(PARAM!$B$44,MAX(0,AP463*$F$1),0),0)*RATES!$L440/12+$H$12*(PARAM!$D$51/12)*RATES!$N440/100</f>
        <v>82.166666666666657</v>
      </c>
      <c r="AP464" s="16">
        <f t="shared" si="293"/>
        <v>-4189.6651136034952</v>
      </c>
      <c r="AQ464" s="15">
        <f t="shared" si="268"/>
        <v>22.170849845882874</v>
      </c>
      <c r="AR464" s="75">
        <f>AQ464*(1-PARAM!$C$27)*$I$13+(MOD($B464,60)=PARAM!$B$56)*($B464&gt;(60-PARAM!$B$56))*HLOOKUP(($B464+PARAM!$B$56)/12,Loyalty,2)*$F$1*MAX(AT463,0)</f>
        <v>18.557001321003963</v>
      </c>
      <c r="AS464" s="75">
        <f>PARAM!$C$26+MAX($G$13-CHOOSE(PARAM!$B$44,MAX(0,AT463*$F$1),0),0)*RATES!$L440/12+$H$13*(PARAM!$D$51/12)*RATES!$N440/100</f>
        <v>82.166666666666657</v>
      </c>
      <c r="AT464" s="16">
        <f t="shared" si="294"/>
        <v>-4189.6651136034952</v>
      </c>
      <c r="AU464" s="15">
        <f t="shared" si="269"/>
        <v>22.170849845882874</v>
      </c>
      <c r="AV464" s="75">
        <f>AU464*(1-PARAM!$C$27)*$I$14+(MOD($B464,60)=PARAM!$B$56)*($B464&gt;(60-PARAM!$B$56))*HLOOKUP(($B464+PARAM!$B$56)/12,Loyalty,2)*$F$1*MAX(AX463,0)</f>
        <v>18.557001321003963</v>
      </c>
      <c r="AW464" s="75">
        <f>PARAM!$C$26+MAX($G$14-CHOOSE(PARAM!$B$44,MAX(0,AX463*$F$1),0),0)*RATES!$L440/12+$H$14*(PARAM!$D$51/12)*RATES!$N440/100</f>
        <v>82.166666666666657</v>
      </c>
      <c r="AX464" s="16">
        <f t="shared" si="295"/>
        <v>-4189.6651136034952</v>
      </c>
      <c r="AY464" s="15">
        <f t="shared" si="270"/>
        <v>22.170849845882874</v>
      </c>
      <c r="AZ464" s="75">
        <f>AY464*(1-PARAM!$C$27)*$I$15+(MOD($B464,60)=PARAM!$B$56)*($B464&gt;(60-PARAM!$B$56))*HLOOKUP(($B464+PARAM!$B$56)/12,Loyalty,2)*$F$1*MAX(BB463,0)</f>
        <v>18.557001321003963</v>
      </c>
      <c r="BA464" s="75">
        <f>PARAM!$C$26+MAX($G$15-CHOOSE(PARAM!$B$44,MAX(0,BB463*$F$1),0),0)*RATES!$L440/12+$H$15*(PARAM!$D$51/12)*RATES!$N440/100</f>
        <v>82.166666666666657</v>
      </c>
      <c r="BB464" s="16">
        <f t="shared" si="296"/>
        <v>-4189.6651136034952</v>
      </c>
      <c r="BC464" s="15">
        <f t="shared" si="271"/>
        <v>22.170849845882874</v>
      </c>
      <c r="BD464" s="75">
        <f>BC464*(1-PARAM!$C$27)*$I$16+(MOD($B464,60)=PARAM!$B$56)*($B464&gt;(60-PARAM!$B$56))*HLOOKUP(($B464+PARAM!$B$56)/12,Loyalty,2)*$F$1*MAX(BF463,0)</f>
        <v>18.557001321003963</v>
      </c>
      <c r="BE464" s="75">
        <f>PARAM!$C$26+MAX($G$16-CHOOSE(PARAM!$B$44,MAX(0,BF463*$F$1),0),0)*RATES!$L440/12+$H$16*(PARAM!$D$51/12)*RATES!$N440/100</f>
        <v>82.166666666666657</v>
      </c>
      <c r="BF464" s="16">
        <f t="shared" si="297"/>
        <v>-4189.6651136034952</v>
      </c>
      <c r="BG464" s="15">
        <f t="shared" si="272"/>
        <v>22.170849845882874</v>
      </c>
      <c r="BH464" s="75">
        <f>BG464*(1-PARAM!$C$27)*$I$17+(MOD($B464,60)=PARAM!$B$56)*($B464&gt;(60-PARAM!$B$56))*HLOOKUP(($B464+PARAM!$B$56)/12,Loyalty,2)*$F$1*MAX(BJ463,0)</f>
        <v>18.557001321003963</v>
      </c>
      <c r="BI464" s="75">
        <f>PARAM!$C$26+MAX($G$17-CHOOSE(PARAM!$B$44,MAX(0,BJ463*$F$1),0),0)*RATES!$L440/12+$H$17*(PARAM!$D$51/12)*RATES!$N440/100</f>
        <v>82.166666666666657</v>
      </c>
      <c r="BJ464" s="16">
        <f t="shared" si="298"/>
        <v>-4189.6651136034952</v>
      </c>
      <c r="BK464" s="15">
        <f t="shared" si="273"/>
        <v>22.170849845882874</v>
      </c>
      <c r="BL464" s="75">
        <f>BK464*(1-PARAM!$C$27)*$I$18+(MOD($B464,60)=PARAM!$B$56)*($B464&gt;(60-PARAM!$B$56))*HLOOKUP(($B464+PARAM!$B$56)/12,Loyalty,2)*$F$1*MAX(BN463,0)</f>
        <v>18.557001321003963</v>
      </c>
      <c r="BM464" s="75">
        <f>PARAM!$C$26+MAX($G$18-CHOOSE(PARAM!$B$44,MAX(0,BN463*$F$1),0),0)*RATES!$L440/12+$H$18*(PARAM!$D$51/12)*RATES!$N440/100</f>
        <v>82.166666666666657</v>
      </c>
      <c r="BN464" s="16">
        <f t="shared" si="299"/>
        <v>-4189.6651136034952</v>
      </c>
      <c r="BO464" s="15">
        <f t="shared" si="274"/>
        <v>22.170849845882874</v>
      </c>
      <c r="BP464" s="75">
        <f>BO464*(1-PARAM!$C$27)*$I$19+(MOD($B464,60)=PARAM!$B$56)*($B464&gt;(60-PARAM!$B$56))*HLOOKUP(($B464+PARAM!$B$56)/12,Loyalty,2)*$F$1*MAX(BR463,0)</f>
        <v>18.557001321003963</v>
      </c>
      <c r="BQ464" s="75">
        <f>PARAM!$C$26+MAX($G$19-CHOOSE(PARAM!$B$44,MAX(0,BR463*$F$1),0),0)*RATES!$L440/12+$H$19*(PARAM!$D$51/12)*RATES!$N440/100</f>
        <v>82.166666666666657</v>
      </c>
      <c r="BR464" s="16">
        <f t="shared" si="300"/>
        <v>-4189.6651136034952</v>
      </c>
      <c r="BS464" s="15">
        <f t="shared" si="275"/>
        <v>22.170849845882874</v>
      </c>
      <c r="BT464" s="75">
        <f>BS464*(1-PARAM!$C$27)*$I$20+(MOD($B464,60)=PARAM!$B$56)*($B464&gt;(60-PARAM!$B$56))*HLOOKUP(($B464+PARAM!$B$56)/12,Loyalty,2)*$F$1*MAX(BV463,0)</f>
        <v>18.557001321003963</v>
      </c>
      <c r="BU464" s="75">
        <f>PARAM!$C$26+MAX($G$20-CHOOSE(PARAM!$B$44,MAX(0,BV463*$F$1),0),0)*RATES!$L440/12+$H$20*(PARAM!$D$51/12)*RATES!$N440/100</f>
        <v>82.166666666666657</v>
      </c>
      <c r="BV464" s="16">
        <f t="shared" si="301"/>
        <v>-4189.6651136034952</v>
      </c>
      <c r="BW464" s="15">
        <f t="shared" si="276"/>
        <v>22.170849845882874</v>
      </c>
      <c r="BX464" s="75">
        <f>BW464*(1-PARAM!$C$27)*$I$21+(MOD($B464,60)=PARAM!$B$56)*($B464&gt;(60-PARAM!$B$56))*HLOOKUP(($B464+PARAM!$B$56)/12,Loyalty,2)*$F$1*MAX(BZ463,0)</f>
        <v>18.557001321003963</v>
      </c>
      <c r="BY464" s="75">
        <f>PARAM!$C$26+MAX($G$21-CHOOSE(PARAM!$B$44,MAX(0,BZ463*$F$1),0),0)*RATES!$L440/12+$H$21*(PARAM!$D$51/12)*RATES!$N440/100</f>
        <v>82.166666666666657</v>
      </c>
      <c r="BZ464" s="16">
        <f t="shared" si="302"/>
        <v>-4189.6651136034952</v>
      </c>
      <c r="CA464" s="15">
        <f t="shared" si="277"/>
        <v>22.170849845882874</v>
      </c>
      <c r="CB464" s="75">
        <f>CA464*(1-PARAM!$C$27)*$I$22+(MOD($B464,60)=PARAM!$B$56)*($B464&gt;(60-PARAM!$B$56))*HLOOKUP(($B464+PARAM!$B$56)/12,Loyalty,2)*$F$1*MAX(CD463,0)</f>
        <v>18.557001321003963</v>
      </c>
      <c r="CC464" s="75">
        <f>PARAM!$C$26+MAX($G$22-CHOOSE(PARAM!$B$44,MAX(0,CD463*$F$1),0),0)*RATES!$L440/12+$H$22*(PARAM!$D$51/12)*RATES!$N440/100</f>
        <v>82.166666666666657</v>
      </c>
      <c r="CD464" s="16">
        <f t="shared" si="303"/>
        <v>-4189.6651136034952</v>
      </c>
      <c r="CE464" s="33">
        <f>IF(0=MOD(B464,12/PARAM!$D$51),1,0)</f>
        <v>1</v>
      </c>
      <c r="CF464" s="15">
        <f t="shared" si="278"/>
        <v>0</v>
      </c>
      <c r="CG464" s="75">
        <f>CF464*(1-PARAM!$C$27)*$R$3+(MOD($B464/12,5)=0)*($B464&gt;60)*HLOOKUP($B464/12,Loyalty,2)*$F$1*MAX(CI463,0)</f>
        <v>0</v>
      </c>
      <c r="CH464" s="75">
        <f>PARAM!$C$26+MAX($P$3-CHOOSE(PARAM!$B$44,MAX(0,CI463*$F$1),0),0)*RATES!$L440/12+$Q$3*(PARAM!$D$51/12)*RATES!$N440/100</f>
        <v>82.166666666666657</v>
      </c>
      <c r="CI464" s="16">
        <f>IF(CI463&gt;0,CI463*PARAM!$C$53,CI463)+CG464-CH464</f>
        <v>-12179.49999999998</v>
      </c>
      <c r="CJ464" s="15">
        <f t="shared" si="304"/>
        <v>0</v>
      </c>
      <c r="CK464" s="75">
        <f>CJ464*(1-PARAM!$C$27)*$R$4+(MOD($B464/12,5)=0)*($B464&gt;60)*HLOOKUP($B464/12,Loyalty,2)*$F$1*MAX(CM463,0)</f>
        <v>0</v>
      </c>
      <c r="CL464" s="75">
        <f>PARAM!$C$26+MAX($P$4-CHOOSE(PARAM!$B$44,MAX(0,CM463*$F$1),0),0)*RATES!$L440/12+$Q$4*(PARAM!$D$51/12)*RATES!$N440/100</f>
        <v>82.166666666666657</v>
      </c>
      <c r="CM464" s="16">
        <f>IF(CM463&gt;0,CM463*PARAM!$C$53,CM463)+CK464-CL464</f>
        <v>-12179.49999999998</v>
      </c>
      <c r="CO464" s="176"/>
    </row>
    <row r="465" spans="1:93" x14ac:dyDescent="0.2">
      <c r="A465" t="b">
        <f t="shared" si="279"/>
        <v>0</v>
      </c>
      <c r="B465" s="33">
        <v>438</v>
      </c>
      <c r="C465" s="15">
        <f t="shared" si="280"/>
        <v>20.081305947392778</v>
      </c>
      <c r="D465" s="75">
        <f>C465*(1-PARAM!$C$27)*$I$3+(MOD($B465,60)=PARAM!$B$56)*($B465&gt;(60-PARAM!$B$56))*HLOOKUP(($B465+PARAM!$B$56)/12,Loyalty,2)*$F$1*MAX(F464,0)</f>
        <v>16.808053077967756</v>
      </c>
      <c r="E465" s="75">
        <f>PARAM!$C$26+MAX($G$3-CHOOSE(PARAM!$B$44,MAX(0,F464*$F$1),0),0)*RATES!$L441/12+$H$3*(PARAM!$D$51/12)*RATES!$N441/100</f>
        <v>90.458333333333329</v>
      </c>
      <c r="F465" s="16">
        <f t="shared" si="281"/>
        <v>-5064.4562765871988</v>
      </c>
      <c r="G465" s="15">
        <f t="shared" si="282"/>
        <v>22.035289406060361</v>
      </c>
      <c r="H465" s="75">
        <f>G465*(1-PARAM!$C$27)*$I$4+(MOD($B465,60)=PARAM!$B$56)*($B465&gt;(60-PARAM!$B$56))*HLOOKUP(($B465+PARAM!$B$56)/12,Loyalty,2)*$F$1*MAX(J464,0)</f>
        <v>18.443537232872522</v>
      </c>
      <c r="I465" s="75">
        <f>PARAM!$C$26+MAX($G$4-CHOOSE(PARAM!$B$44,MAX(0,J464*$F$1),0),0)*RATES!$L441/12+$H$4*(PARAM!$D$51/12)*RATES!$N441/100</f>
        <v>90.458333333333329</v>
      </c>
      <c r="J465" s="16">
        <f t="shared" si="283"/>
        <v>-4314.2812526171892</v>
      </c>
      <c r="K465" s="15">
        <f t="shared" si="284"/>
        <v>22.170849845882874</v>
      </c>
      <c r="L465" s="75">
        <f>K465*(1-PARAM!$C$27)*$I$5+(MOD($B465,60)=PARAM!$B$56)*($B465&gt;(60-PARAM!$B$56))*HLOOKUP(($B465+PARAM!$B$56)/12,Loyalty,2)*$F$1*MAX(N464,0)</f>
        <v>18.557001321003963</v>
      </c>
      <c r="M465" s="75">
        <f>PARAM!$C$26+MAX($G$5-CHOOSE(PARAM!$B$44,MAX(0,N464*$F$1),0),0)*RATES!$L441/12+$H$5*(PARAM!$D$51/12)*RATES!$N441/100</f>
        <v>90.458333333333329</v>
      </c>
      <c r="N465" s="16">
        <f t="shared" si="285"/>
        <v>-4261.5664456158247</v>
      </c>
      <c r="O465" s="15">
        <f t="shared" si="286"/>
        <v>22.170849845882874</v>
      </c>
      <c r="P465" s="75">
        <f>O465*(1-PARAM!$C$27)*$I$6+(MOD($B465,60)=PARAM!$B$56)*($B465&gt;(60-PARAM!$B$56))*HLOOKUP(($B465+PARAM!$B$56)/12,Loyalty,2)*$F$1*MAX(R464,0)</f>
        <v>18.557001321003963</v>
      </c>
      <c r="Q465" s="75">
        <f>PARAM!$C$26+MAX($G$6-CHOOSE(PARAM!$B$44,MAX(0,R464*$F$1),0),0)*RATES!$L441/12+$H$6*(PARAM!$D$51/12)*RATES!$N441/100</f>
        <v>90.458333333333329</v>
      </c>
      <c r="R465" s="16">
        <f t="shared" si="287"/>
        <v>-4261.5664456158247</v>
      </c>
      <c r="S465" s="15">
        <f t="shared" si="262"/>
        <v>22.170849845882874</v>
      </c>
      <c r="T465" s="75">
        <f>S465*(1-PARAM!$C$27)*$I$7+(MOD($B465,60)=PARAM!$B$56)*($B465&gt;(60-PARAM!$B$56))*HLOOKUP(($B465+PARAM!$B$56)/12,Loyalty,2)*$F$1*MAX(V464,0)</f>
        <v>18.557001321003963</v>
      </c>
      <c r="U465" s="75">
        <f>PARAM!$C$26+MAX($G$7-CHOOSE(PARAM!$B$44,MAX(0,V464*$F$1),0),0)*RATES!$L441/12+$H$7*(PARAM!$D$51/12)*RATES!$N441/100</f>
        <v>90.458333333333329</v>
      </c>
      <c r="V465" s="16">
        <f t="shared" si="288"/>
        <v>-4261.5664456158247</v>
      </c>
      <c r="W465" s="15">
        <f t="shared" si="263"/>
        <v>22.170849845882874</v>
      </c>
      <c r="X465" s="75">
        <f>W465*(1-PARAM!$C$27)*$I$8+(MOD($B465,60)=PARAM!$B$56)*($B465&gt;(60-PARAM!$B$56))*HLOOKUP(($B465+PARAM!$B$56)/12,Loyalty,2)*$F$1*MAX(Z464,0)</f>
        <v>18.557001321003963</v>
      </c>
      <c r="Y465" s="75">
        <f>PARAM!$C$26+MAX($G$8-CHOOSE(PARAM!$B$44,MAX(0,Z464*$F$1),0),0)*RATES!$L441/12+$H$8*(PARAM!$D$51/12)*RATES!$N441/100</f>
        <v>90.458333333333329</v>
      </c>
      <c r="Z465" s="16">
        <f t="shared" si="289"/>
        <v>-4261.5664456158247</v>
      </c>
      <c r="AA465" s="15">
        <f t="shared" si="264"/>
        <v>22.170849845882874</v>
      </c>
      <c r="AB465" s="75">
        <f>AA465*(1-PARAM!$C$27)*$I$9+(MOD($B465,60)=PARAM!$B$56)*($B465&gt;(60-PARAM!$B$56))*HLOOKUP(($B465+PARAM!$B$56)/12,Loyalty,2)*$F$1*MAX(AD464,0)</f>
        <v>18.557001321003963</v>
      </c>
      <c r="AC465" s="75">
        <f>PARAM!$C$26+MAX($G$9-CHOOSE(PARAM!$B$44,MAX(0,AD464*$F$1),0),0)*RATES!$L441/12+$H$9*(PARAM!$D$51/12)*RATES!$N441/100</f>
        <v>90.458333333333329</v>
      </c>
      <c r="AD465" s="16">
        <f t="shared" si="290"/>
        <v>-4261.5664456158247</v>
      </c>
      <c r="AE465" s="15">
        <f t="shared" si="265"/>
        <v>22.170849845882874</v>
      </c>
      <c r="AF465" s="75">
        <f>AE465*(1-PARAM!$C$27)*$I$10+(MOD($B465,60)=PARAM!$B$56)*($B465&gt;(60-PARAM!$B$56))*HLOOKUP(($B465+PARAM!$B$56)/12,Loyalty,2)*$F$1*MAX(AH464,0)</f>
        <v>18.557001321003963</v>
      </c>
      <c r="AG465" s="75">
        <f>PARAM!$C$26+MAX($G$10-CHOOSE(PARAM!$B$44,MAX(0,AH464*$F$1),0),0)*RATES!$L441/12+$H$10*(PARAM!$D$51/12)*RATES!$N441/100</f>
        <v>90.458333333333329</v>
      </c>
      <c r="AH465" s="16">
        <f t="shared" si="291"/>
        <v>-4261.5664456158247</v>
      </c>
      <c r="AI465" s="15">
        <f t="shared" si="266"/>
        <v>22.170849845882874</v>
      </c>
      <c r="AJ465" s="75">
        <f>AI465*(1-PARAM!$C$27)*$I$11+(MOD($B465,60)=PARAM!$B$56)*($B465&gt;(60-PARAM!$B$56))*HLOOKUP(($B465+PARAM!$B$56)/12,Loyalty,2)*$F$1*MAX(AL464,0)</f>
        <v>18.557001321003963</v>
      </c>
      <c r="AK465" s="75">
        <f>PARAM!$C$26+MAX($G$11-CHOOSE(PARAM!$B$44,MAX(0,AL464*$F$1),0),0)*RATES!$L441/12+$H$11*(PARAM!$D$51/12)*RATES!$N441/100</f>
        <v>90.458333333333329</v>
      </c>
      <c r="AL465" s="16">
        <f t="shared" si="292"/>
        <v>-4261.5664456158247</v>
      </c>
      <c r="AM465" s="15">
        <f t="shared" si="267"/>
        <v>22.170849845882874</v>
      </c>
      <c r="AN465" s="75">
        <f>AM465*(1-PARAM!$C$27)*$I$12+(MOD($B465,60)=PARAM!$B$56)*($B465&gt;(60-PARAM!$B$56))*HLOOKUP(($B465+PARAM!$B$56)/12,Loyalty,2)*$F$1*MAX(AP464,0)</f>
        <v>18.557001321003963</v>
      </c>
      <c r="AO465" s="75">
        <f>PARAM!$C$26+MAX($G$12-CHOOSE(PARAM!$B$44,MAX(0,AP464*$F$1),0),0)*RATES!$L441/12+$H$12*(PARAM!$D$51/12)*RATES!$N441/100</f>
        <v>90.458333333333329</v>
      </c>
      <c r="AP465" s="16">
        <f t="shared" si="293"/>
        <v>-4261.5664456158247</v>
      </c>
      <c r="AQ465" s="15">
        <f t="shared" si="268"/>
        <v>22.170849845882874</v>
      </c>
      <c r="AR465" s="75">
        <f>AQ465*(1-PARAM!$C$27)*$I$13+(MOD($B465,60)=PARAM!$B$56)*($B465&gt;(60-PARAM!$B$56))*HLOOKUP(($B465+PARAM!$B$56)/12,Loyalty,2)*$F$1*MAX(AT464,0)</f>
        <v>18.557001321003963</v>
      </c>
      <c r="AS465" s="75">
        <f>PARAM!$C$26+MAX($G$13-CHOOSE(PARAM!$B$44,MAX(0,AT464*$F$1),0),0)*RATES!$L441/12+$H$13*(PARAM!$D$51/12)*RATES!$N441/100</f>
        <v>90.458333333333329</v>
      </c>
      <c r="AT465" s="16">
        <f t="shared" si="294"/>
        <v>-4261.5664456158247</v>
      </c>
      <c r="AU465" s="15">
        <f t="shared" si="269"/>
        <v>22.170849845882874</v>
      </c>
      <c r="AV465" s="75">
        <f>AU465*(1-PARAM!$C$27)*$I$14+(MOD($B465,60)=PARAM!$B$56)*($B465&gt;(60-PARAM!$B$56))*HLOOKUP(($B465+PARAM!$B$56)/12,Loyalty,2)*$F$1*MAX(AX464,0)</f>
        <v>18.557001321003963</v>
      </c>
      <c r="AW465" s="75">
        <f>PARAM!$C$26+MAX($G$14-CHOOSE(PARAM!$B$44,MAX(0,AX464*$F$1),0),0)*RATES!$L441/12+$H$14*(PARAM!$D$51/12)*RATES!$N441/100</f>
        <v>90.458333333333329</v>
      </c>
      <c r="AX465" s="16">
        <f t="shared" si="295"/>
        <v>-4261.5664456158247</v>
      </c>
      <c r="AY465" s="15">
        <f t="shared" si="270"/>
        <v>22.170849845882874</v>
      </c>
      <c r="AZ465" s="75">
        <f>AY465*(1-PARAM!$C$27)*$I$15+(MOD($B465,60)=PARAM!$B$56)*($B465&gt;(60-PARAM!$B$56))*HLOOKUP(($B465+PARAM!$B$56)/12,Loyalty,2)*$F$1*MAX(BB464,0)</f>
        <v>18.557001321003963</v>
      </c>
      <c r="BA465" s="75">
        <f>PARAM!$C$26+MAX($G$15-CHOOSE(PARAM!$B$44,MAX(0,BB464*$F$1),0),0)*RATES!$L441/12+$H$15*(PARAM!$D$51/12)*RATES!$N441/100</f>
        <v>90.458333333333329</v>
      </c>
      <c r="BB465" s="16">
        <f t="shared" si="296"/>
        <v>-4261.5664456158247</v>
      </c>
      <c r="BC465" s="15">
        <f t="shared" si="271"/>
        <v>22.170849845882874</v>
      </c>
      <c r="BD465" s="75">
        <f>BC465*(1-PARAM!$C$27)*$I$16+(MOD($B465,60)=PARAM!$B$56)*($B465&gt;(60-PARAM!$B$56))*HLOOKUP(($B465+PARAM!$B$56)/12,Loyalty,2)*$F$1*MAX(BF464,0)</f>
        <v>18.557001321003963</v>
      </c>
      <c r="BE465" s="75">
        <f>PARAM!$C$26+MAX($G$16-CHOOSE(PARAM!$B$44,MAX(0,BF464*$F$1),0),0)*RATES!$L441/12+$H$16*(PARAM!$D$51/12)*RATES!$N441/100</f>
        <v>90.458333333333329</v>
      </c>
      <c r="BF465" s="16">
        <f t="shared" si="297"/>
        <v>-4261.5664456158247</v>
      </c>
      <c r="BG465" s="15">
        <f t="shared" si="272"/>
        <v>22.170849845882874</v>
      </c>
      <c r="BH465" s="75">
        <f>BG465*(1-PARAM!$C$27)*$I$17+(MOD($B465,60)=PARAM!$B$56)*($B465&gt;(60-PARAM!$B$56))*HLOOKUP(($B465+PARAM!$B$56)/12,Loyalty,2)*$F$1*MAX(BJ464,0)</f>
        <v>18.557001321003963</v>
      </c>
      <c r="BI465" s="75">
        <f>PARAM!$C$26+MAX($G$17-CHOOSE(PARAM!$B$44,MAX(0,BJ464*$F$1),0),0)*RATES!$L441/12+$H$17*(PARAM!$D$51/12)*RATES!$N441/100</f>
        <v>90.458333333333329</v>
      </c>
      <c r="BJ465" s="16">
        <f t="shared" si="298"/>
        <v>-4261.5664456158247</v>
      </c>
      <c r="BK465" s="15">
        <f t="shared" si="273"/>
        <v>22.170849845882874</v>
      </c>
      <c r="BL465" s="75">
        <f>BK465*(1-PARAM!$C$27)*$I$18+(MOD($B465,60)=PARAM!$B$56)*($B465&gt;(60-PARAM!$B$56))*HLOOKUP(($B465+PARAM!$B$56)/12,Loyalty,2)*$F$1*MAX(BN464,0)</f>
        <v>18.557001321003963</v>
      </c>
      <c r="BM465" s="75">
        <f>PARAM!$C$26+MAX($G$18-CHOOSE(PARAM!$B$44,MAX(0,BN464*$F$1),0),0)*RATES!$L441/12+$H$18*(PARAM!$D$51/12)*RATES!$N441/100</f>
        <v>90.458333333333329</v>
      </c>
      <c r="BN465" s="16">
        <f t="shared" si="299"/>
        <v>-4261.5664456158247</v>
      </c>
      <c r="BO465" s="15">
        <f t="shared" si="274"/>
        <v>22.170849845882874</v>
      </c>
      <c r="BP465" s="75">
        <f>BO465*(1-PARAM!$C$27)*$I$19+(MOD($B465,60)=PARAM!$B$56)*($B465&gt;(60-PARAM!$B$56))*HLOOKUP(($B465+PARAM!$B$56)/12,Loyalty,2)*$F$1*MAX(BR464,0)</f>
        <v>18.557001321003963</v>
      </c>
      <c r="BQ465" s="75">
        <f>PARAM!$C$26+MAX($G$19-CHOOSE(PARAM!$B$44,MAX(0,BR464*$F$1),0),0)*RATES!$L441/12+$H$19*(PARAM!$D$51/12)*RATES!$N441/100</f>
        <v>90.458333333333329</v>
      </c>
      <c r="BR465" s="16">
        <f t="shared" si="300"/>
        <v>-4261.5664456158247</v>
      </c>
      <c r="BS465" s="15">
        <f t="shared" si="275"/>
        <v>22.170849845882874</v>
      </c>
      <c r="BT465" s="75">
        <f>BS465*(1-PARAM!$C$27)*$I$20+(MOD($B465,60)=PARAM!$B$56)*($B465&gt;(60-PARAM!$B$56))*HLOOKUP(($B465+PARAM!$B$56)/12,Loyalty,2)*$F$1*MAX(BV464,0)</f>
        <v>18.557001321003963</v>
      </c>
      <c r="BU465" s="75">
        <f>PARAM!$C$26+MAX($G$20-CHOOSE(PARAM!$B$44,MAX(0,BV464*$F$1),0),0)*RATES!$L441/12+$H$20*(PARAM!$D$51/12)*RATES!$N441/100</f>
        <v>90.458333333333329</v>
      </c>
      <c r="BV465" s="16">
        <f t="shared" si="301"/>
        <v>-4261.5664456158247</v>
      </c>
      <c r="BW465" s="15">
        <f t="shared" si="276"/>
        <v>22.170849845882874</v>
      </c>
      <c r="BX465" s="75">
        <f>BW465*(1-PARAM!$C$27)*$I$21+(MOD($B465,60)=PARAM!$B$56)*($B465&gt;(60-PARAM!$B$56))*HLOOKUP(($B465+PARAM!$B$56)/12,Loyalty,2)*$F$1*MAX(BZ464,0)</f>
        <v>18.557001321003963</v>
      </c>
      <c r="BY465" s="75">
        <f>PARAM!$C$26+MAX($G$21-CHOOSE(PARAM!$B$44,MAX(0,BZ464*$F$1),0),0)*RATES!$L441/12+$H$21*(PARAM!$D$51/12)*RATES!$N441/100</f>
        <v>90.458333333333329</v>
      </c>
      <c r="BZ465" s="16">
        <f t="shared" si="302"/>
        <v>-4261.5664456158247</v>
      </c>
      <c r="CA465" s="15">
        <f t="shared" si="277"/>
        <v>22.170849845882874</v>
      </c>
      <c r="CB465" s="75">
        <f>CA465*(1-PARAM!$C$27)*$I$22+(MOD($B465,60)=PARAM!$B$56)*($B465&gt;(60-PARAM!$B$56))*HLOOKUP(($B465+PARAM!$B$56)/12,Loyalty,2)*$F$1*MAX(CD464,0)</f>
        <v>18.557001321003963</v>
      </c>
      <c r="CC465" s="75">
        <f>PARAM!$C$26+MAX($G$22-CHOOSE(PARAM!$B$44,MAX(0,CD464*$F$1),0),0)*RATES!$L441/12+$H$22*(PARAM!$D$51/12)*RATES!$N441/100</f>
        <v>90.458333333333329</v>
      </c>
      <c r="CD465" s="16">
        <f t="shared" si="303"/>
        <v>-4261.5664456158247</v>
      </c>
      <c r="CE465" s="33">
        <f>IF(0=MOD(B465,12/PARAM!$D$51),1,0)</f>
        <v>1</v>
      </c>
      <c r="CF465" s="15">
        <f t="shared" si="278"/>
        <v>0</v>
      </c>
      <c r="CG465" s="75">
        <f>CF465*(1-PARAM!$C$27)*$R$3+(MOD($B465/12,5)=0)*($B465&gt;60)*HLOOKUP($B465/12,Loyalty,2)*$F$1*MAX(CI464,0)</f>
        <v>0</v>
      </c>
      <c r="CH465" s="75">
        <f>PARAM!$C$26+MAX($P$3-CHOOSE(PARAM!$B$44,MAX(0,CI464*$F$1),0),0)*RATES!$L441/12+$Q$3*(PARAM!$D$51/12)*RATES!$N441/100</f>
        <v>90.458333333333329</v>
      </c>
      <c r="CI465" s="16">
        <f>IF(CI464&gt;0,CI464*PARAM!$C$53,CI464)+CG465-CH465</f>
        <v>-12269.958333333314</v>
      </c>
      <c r="CJ465" s="15">
        <f t="shared" si="304"/>
        <v>0</v>
      </c>
      <c r="CK465" s="75">
        <f>CJ465*(1-PARAM!$C$27)*$R$4+(MOD($B465/12,5)=0)*($B465&gt;60)*HLOOKUP($B465/12,Loyalty,2)*$F$1*MAX(CM464,0)</f>
        <v>0</v>
      </c>
      <c r="CL465" s="75">
        <f>PARAM!$C$26+MAX($P$4-CHOOSE(PARAM!$B$44,MAX(0,CM464*$F$1),0),0)*RATES!$L441/12+$Q$4*(PARAM!$D$51/12)*RATES!$N441/100</f>
        <v>90.458333333333329</v>
      </c>
      <c r="CM465" s="16">
        <f>IF(CM464&gt;0,CM464*PARAM!$C$53,CM464)+CK465-CL465</f>
        <v>-12269.958333333314</v>
      </c>
      <c r="CO465" s="176"/>
    </row>
    <row r="466" spans="1:93" x14ac:dyDescent="0.2">
      <c r="A466" t="b">
        <f t="shared" si="279"/>
        <v>0</v>
      </c>
      <c r="B466" s="33">
        <v>439</v>
      </c>
      <c r="C466" s="15">
        <f t="shared" si="280"/>
        <v>20.081305947392778</v>
      </c>
      <c r="D466" s="75">
        <f>C466*(1-PARAM!$C$27)*$I$3+(MOD($B466,60)=PARAM!$B$56)*($B466&gt;(60-PARAM!$B$56))*HLOOKUP(($B466+PARAM!$B$56)/12,Loyalty,2)*$F$1*MAX(F465,0)</f>
        <v>16.808053077967756</v>
      </c>
      <c r="E466" s="75">
        <f>PARAM!$C$26+MAX($G$3-CHOOSE(PARAM!$B$44,MAX(0,F465*$F$1),0),0)*RATES!$L442/12+$H$3*(PARAM!$D$51/12)*RATES!$N442/100</f>
        <v>90.458333333333329</v>
      </c>
      <c r="F466" s="16">
        <f t="shared" si="281"/>
        <v>-5138.1065568425638</v>
      </c>
      <c r="G466" s="15">
        <f t="shared" si="282"/>
        <v>22.035289406060361</v>
      </c>
      <c r="H466" s="75">
        <f>G466*(1-PARAM!$C$27)*$I$4+(MOD($B466,60)=PARAM!$B$56)*($B466&gt;(60-PARAM!$B$56))*HLOOKUP(($B466+PARAM!$B$56)/12,Loyalty,2)*$F$1*MAX(J465,0)</f>
        <v>18.443537232872522</v>
      </c>
      <c r="I466" s="75">
        <f>PARAM!$C$26+MAX($G$4-CHOOSE(PARAM!$B$44,MAX(0,J465*$F$1),0),0)*RATES!$L442/12+$H$4*(PARAM!$D$51/12)*RATES!$N442/100</f>
        <v>90.458333333333329</v>
      </c>
      <c r="J466" s="16">
        <f t="shared" si="283"/>
        <v>-4386.2960487176497</v>
      </c>
      <c r="K466" s="15">
        <f t="shared" si="284"/>
        <v>22.170849845882874</v>
      </c>
      <c r="L466" s="75">
        <f>K466*(1-PARAM!$C$27)*$I$5+(MOD($B466,60)=PARAM!$B$56)*($B466&gt;(60-PARAM!$B$56))*HLOOKUP(($B466+PARAM!$B$56)/12,Loyalty,2)*$F$1*MAX(N465,0)</f>
        <v>18.557001321003963</v>
      </c>
      <c r="M466" s="75">
        <f>PARAM!$C$26+MAX($G$5-CHOOSE(PARAM!$B$44,MAX(0,N465*$F$1),0),0)*RATES!$L442/12+$H$5*(PARAM!$D$51/12)*RATES!$N442/100</f>
        <v>90.458333333333329</v>
      </c>
      <c r="N466" s="16">
        <f t="shared" si="285"/>
        <v>-4333.4677776281542</v>
      </c>
      <c r="O466" s="15">
        <f t="shared" si="286"/>
        <v>22.170849845882874</v>
      </c>
      <c r="P466" s="75">
        <f>O466*(1-PARAM!$C$27)*$I$6+(MOD($B466,60)=PARAM!$B$56)*($B466&gt;(60-PARAM!$B$56))*HLOOKUP(($B466+PARAM!$B$56)/12,Loyalty,2)*$F$1*MAX(R465,0)</f>
        <v>18.557001321003963</v>
      </c>
      <c r="Q466" s="75">
        <f>PARAM!$C$26+MAX($G$6-CHOOSE(PARAM!$B$44,MAX(0,R465*$F$1),0),0)*RATES!$L442/12+$H$6*(PARAM!$D$51/12)*RATES!$N442/100</f>
        <v>90.458333333333329</v>
      </c>
      <c r="R466" s="16">
        <f t="shared" si="287"/>
        <v>-4333.4677776281542</v>
      </c>
      <c r="S466" s="15">
        <f t="shared" si="262"/>
        <v>22.170849845882874</v>
      </c>
      <c r="T466" s="75">
        <f>S466*(1-PARAM!$C$27)*$I$7+(MOD($B466,60)=PARAM!$B$56)*($B466&gt;(60-PARAM!$B$56))*HLOOKUP(($B466+PARAM!$B$56)/12,Loyalty,2)*$F$1*MAX(V465,0)</f>
        <v>18.557001321003963</v>
      </c>
      <c r="U466" s="75">
        <f>PARAM!$C$26+MAX($G$7-CHOOSE(PARAM!$B$44,MAX(0,V465*$F$1),0),0)*RATES!$L442/12+$H$7*(PARAM!$D$51/12)*RATES!$N442/100</f>
        <v>90.458333333333329</v>
      </c>
      <c r="V466" s="16">
        <f t="shared" si="288"/>
        <v>-4333.4677776281542</v>
      </c>
      <c r="W466" s="15">
        <f t="shared" si="263"/>
        <v>22.170849845882874</v>
      </c>
      <c r="X466" s="75">
        <f>W466*(1-PARAM!$C$27)*$I$8+(MOD($B466,60)=PARAM!$B$56)*($B466&gt;(60-PARAM!$B$56))*HLOOKUP(($B466+PARAM!$B$56)/12,Loyalty,2)*$F$1*MAX(Z465,0)</f>
        <v>18.557001321003963</v>
      </c>
      <c r="Y466" s="75">
        <f>PARAM!$C$26+MAX($G$8-CHOOSE(PARAM!$B$44,MAX(0,Z465*$F$1),0),0)*RATES!$L442/12+$H$8*(PARAM!$D$51/12)*RATES!$N442/100</f>
        <v>90.458333333333329</v>
      </c>
      <c r="Z466" s="16">
        <f t="shared" si="289"/>
        <v>-4333.4677776281542</v>
      </c>
      <c r="AA466" s="15">
        <f t="shared" si="264"/>
        <v>22.170849845882874</v>
      </c>
      <c r="AB466" s="75">
        <f>AA466*(1-PARAM!$C$27)*$I$9+(MOD($B466,60)=PARAM!$B$56)*($B466&gt;(60-PARAM!$B$56))*HLOOKUP(($B466+PARAM!$B$56)/12,Loyalty,2)*$F$1*MAX(AD465,0)</f>
        <v>18.557001321003963</v>
      </c>
      <c r="AC466" s="75">
        <f>PARAM!$C$26+MAX($G$9-CHOOSE(PARAM!$B$44,MAX(0,AD465*$F$1),0),0)*RATES!$L442/12+$H$9*(PARAM!$D$51/12)*RATES!$N442/100</f>
        <v>90.458333333333329</v>
      </c>
      <c r="AD466" s="16">
        <f t="shared" si="290"/>
        <v>-4333.4677776281542</v>
      </c>
      <c r="AE466" s="15">
        <f t="shared" si="265"/>
        <v>22.170849845882874</v>
      </c>
      <c r="AF466" s="75">
        <f>AE466*(1-PARAM!$C$27)*$I$10+(MOD($B466,60)=PARAM!$B$56)*($B466&gt;(60-PARAM!$B$56))*HLOOKUP(($B466+PARAM!$B$56)/12,Loyalty,2)*$F$1*MAX(AH465,0)</f>
        <v>18.557001321003963</v>
      </c>
      <c r="AG466" s="75">
        <f>PARAM!$C$26+MAX($G$10-CHOOSE(PARAM!$B$44,MAX(0,AH465*$F$1),0),0)*RATES!$L442/12+$H$10*(PARAM!$D$51/12)*RATES!$N442/100</f>
        <v>90.458333333333329</v>
      </c>
      <c r="AH466" s="16">
        <f t="shared" si="291"/>
        <v>-4333.4677776281542</v>
      </c>
      <c r="AI466" s="15">
        <f t="shared" si="266"/>
        <v>22.170849845882874</v>
      </c>
      <c r="AJ466" s="75">
        <f>AI466*(1-PARAM!$C$27)*$I$11+(MOD($B466,60)=PARAM!$B$56)*($B466&gt;(60-PARAM!$B$56))*HLOOKUP(($B466+PARAM!$B$56)/12,Loyalty,2)*$F$1*MAX(AL465,0)</f>
        <v>18.557001321003963</v>
      </c>
      <c r="AK466" s="75">
        <f>PARAM!$C$26+MAX($G$11-CHOOSE(PARAM!$B$44,MAX(0,AL465*$F$1),0),0)*RATES!$L442/12+$H$11*(PARAM!$D$51/12)*RATES!$N442/100</f>
        <v>90.458333333333329</v>
      </c>
      <c r="AL466" s="16">
        <f t="shared" si="292"/>
        <v>-4333.4677776281542</v>
      </c>
      <c r="AM466" s="15">
        <f t="shared" si="267"/>
        <v>22.170849845882874</v>
      </c>
      <c r="AN466" s="75">
        <f>AM466*(1-PARAM!$C$27)*$I$12+(MOD($B466,60)=PARAM!$B$56)*($B466&gt;(60-PARAM!$B$56))*HLOOKUP(($B466+PARAM!$B$56)/12,Loyalty,2)*$F$1*MAX(AP465,0)</f>
        <v>18.557001321003963</v>
      </c>
      <c r="AO466" s="75">
        <f>PARAM!$C$26+MAX($G$12-CHOOSE(PARAM!$B$44,MAX(0,AP465*$F$1),0),0)*RATES!$L442/12+$H$12*(PARAM!$D$51/12)*RATES!$N442/100</f>
        <v>90.458333333333329</v>
      </c>
      <c r="AP466" s="16">
        <f t="shared" si="293"/>
        <v>-4333.4677776281542</v>
      </c>
      <c r="AQ466" s="15">
        <f t="shared" si="268"/>
        <v>22.170849845882874</v>
      </c>
      <c r="AR466" s="75">
        <f>AQ466*(1-PARAM!$C$27)*$I$13+(MOD($B466,60)=PARAM!$B$56)*($B466&gt;(60-PARAM!$B$56))*HLOOKUP(($B466+PARAM!$B$56)/12,Loyalty,2)*$F$1*MAX(AT465,0)</f>
        <v>18.557001321003963</v>
      </c>
      <c r="AS466" s="75">
        <f>PARAM!$C$26+MAX($G$13-CHOOSE(PARAM!$B$44,MAX(0,AT465*$F$1),0),0)*RATES!$L442/12+$H$13*(PARAM!$D$51/12)*RATES!$N442/100</f>
        <v>90.458333333333329</v>
      </c>
      <c r="AT466" s="16">
        <f t="shared" si="294"/>
        <v>-4333.4677776281542</v>
      </c>
      <c r="AU466" s="15">
        <f t="shared" si="269"/>
        <v>22.170849845882874</v>
      </c>
      <c r="AV466" s="75">
        <f>AU466*(1-PARAM!$C$27)*$I$14+(MOD($B466,60)=PARAM!$B$56)*($B466&gt;(60-PARAM!$B$56))*HLOOKUP(($B466+PARAM!$B$56)/12,Loyalty,2)*$F$1*MAX(AX465,0)</f>
        <v>18.557001321003963</v>
      </c>
      <c r="AW466" s="75">
        <f>PARAM!$C$26+MAX($G$14-CHOOSE(PARAM!$B$44,MAX(0,AX465*$F$1),0),0)*RATES!$L442/12+$H$14*(PARAM!$D$51/12)*RATES!$N442/100</f>
        <v>90.458333333333329</v>
      </c>
      <c r="AX466" s="16">
        <f t="shared" si="295"/>
        <v>-4333.4677776281542</v>
      </c>
      <c r="AY466" s="15">
        <f t="shared" si="270"/>
        <v>22.170849845882874</v>
      </c>
      <c r="AZ466" s="75">
        <f>AY466*(1-PARAM!$C$27)*$I$15+(MOD($B466,60)=PARAM!$B$56)*($B466&gt;(60-PARAM!$B$56))*HLOOKUP(($B466+PARAM!$B$56)/12,Loyalty,2)*$F$1*MAX(BB465,0)</f>
        <v>18.557001321003963</v>
      </c>
      <c r="BA466" s="75">
        <f>PARAM!$C$26+MAX($G$15-CHOOSE(PARAM!$B$44,MAX(0,BB465*$F$1),0),0)*RATES!$L442/12+$H$15*(PARAM!$D$51/12)*RATES!$N442/100</f>
        <v>90.458333333333329</v>
      </c>
      <c r="BB466" s="16">
        <f t="shared" si="296"/>
        <v>-4333.4677776281542</v>
      </c>
      <c r="BC466" s="15">
        <f t="shared" si="271"/>
        <v>22.170849845882874</v>
      </c>
      <c r="BD466" s="75">
        <f>BC466*(1-PARAM!$C$27)*$I$16+(MOD($B466,60)=PARAM!$B$56)*($B466&gt;(60-PARAM!$B$56))*HLOOKUP(($B466+PARAM!$B$56)/12,Loyalty,2)*$F$1*MAX(BF465,0)</f>
        <v>18.557001321003963</v>
      </c>
      <c r="BE466" s="75">
        <f>PARAM!$C$26+MAX($G$16-CHOOSE(PARAM!$B$44,MAX(0,BF465*$F$1),0),0)*RATES!$L442/12+$H$16*(PARAM!$D$51/12)*RATES!$N442/100</f>
        <v>90.458333333333329</v>
      </c>
      <c r="BF466" s="16">
        <f t="shared" si="297"/>
        <v>-4333.4677776281542</v>
      </c>
      <c r="BG466" s="15">
        <f t="shared" si="272"/>
        <v>22.170849845882874</v>
      </c>
      <c r="BH466" s="75">
        <f>BG466*(1-PARAM!$C$27)*$I$17+(MOD($B466,60)=PARAM!$B$56)*($B466&gt;(60-PARAM!$B$56))*HLOOKUP(($B466+PARAM!$B$56)/12,Loyalty,2)*$F$1*MAX(BJ465,0)</f>
        <v>18.557001321003963</v>
      </c>
      <c r="BI466" s="75">
        <f>PARAM!$C$26+MAX($G$17-CHOOSE(PARAM!$B$44,MAX(0,BJ465*$F$1),0),0)*RATES!$L442/12+$H$17*(PARAM!$D$51/12)*RATES!$N442/100</f>
        <v>90.458333333333329</v>
      </c>
      <c r="BJ466" s="16">
        <f t="shared" si="298"/>
        <v>-4333.4677776281542</v>
      </c>
      <c r="BK466" s="15">
        <f t="shared" si="273"/>
        <v>22.170849845882874</v>
      </c>
      <c r="BL466" s="75">
        <f>BK466*(1-PARAM!$C$27)*$I$18+(MOD($B466,60)=PARAM!$B$56)*($B466&gt;(60-PARAM!$B$56))*HLOOKUP(($B466+PARAM!$B$56)/12,Loyalty,2)*$F$1*MAX(BN465,0)</f>
        <v>18.557001321003963</v>
      </c>
      <c r="BM466" s="75">
        <f>PARAM!$C$26+MAX($G$18-CHOOSE(PARAM!$B$44,MAX(0,BN465*$F$1),0),0)*RATES!$L442/12+$H$18*(PARAM!$D$51/12)*RATES!$N442/100</f>
        <v>90.458333333333329</v>
      </c>
      <c r="BN466" s="16">
        <f t="shared" si="299"/>
        <v>-4333.4677776281542</v>
      </c>
      <c r="BO466" s="15">
        <f t="shared" si="274"/>
        <v>22.170849845882874</v>
      </c>
      <c r="BP466" s="75">
        <f>BO466*(1-PARAM!$C$27)*$I$19+(MOD($B466,60)=PARAM!$B$56)*($B466&gt;(60-PARAM!$B$56))*HLOOKUP(($B466+PARAM!$B$56)/12,Loyalty,2)*$F$1*MAX(BR465,0)</f>
        <v>18.557001321003963</v>
      </c>
      <c r="BQ466" s="75">
        <f>PARAM!$C$26+MAX($G$19-CHOOSE(PARAM!$B$44,MAX(0,BR465*$F$1),0),0)*RATES!$L442/12+$H$19*(PARAM!$D$51/12)*RATES!$N442/100</f>
        <v>90.458333333333329</v>
      </c>
      <c r="BR466" s="16">
        <f t="shared" si="300"/>
        <v>-4333.4677776281542</v>
      </c>
      <c r="BS466" s="15">
        <f t="shared" si="275"/>
        <v>22.170849845882874</v>
      </c>
      <c r="BT466" s="75">
        <f>BS466*(1-PARAM!$C$27)*$I$20+(MOD($B466,60)=PARAM!$B$56)*($B466&gt;(60-PARAM!$B$56))*HLOOKUP(($B466+PARAM!$B$56)/12,Loyalty,2)*$F$1*MAX(BV465,0)</f>
        <v>18.557001321003963</v>
      </c>
      <c r="BU466" s="75">
        <f>PARAM!$C$26+MAX($G$20-CHOOSE(PARAM!$B$44,MAX(0,BV465*$F$1),0),0)*RATES!$L442/12+$H$20*(PARAM!$D$51/12)*RATES!$N442/100</f>
        <v>90.458333333333329</v>
      </c>
      <c r="BV466" s="16">
        <f t="shared" si="301"/>
        <v>-4333.4677776281542</v>
      </c>
      <c r="BW466" s="15">
        <f t="shared" si="276"/>
        <v>22.170849845882874</v>
      </c>
      <c r="BX466" s="75">
        <f>BW466*(1-PARAM!$C$27)*$I$21+(MOD($B466,60)=PARAM!$B$56)*($B466&gt;(60-PARAM!$B$56))*HLOOKUP(($B466+PARAM!$B$56)/12,Loyalty,2)*$F$1*MAX(BZ465,0)</f>
        <v>18.557001321003963</v>
      </c>
      <c r="BY466" s="75">
        <f>PARAM!$C$26+MAX($G$21-CHOOSE(PARAM!$B$44,MAX(0,BZ465*$F$1),0),0)*RATES!$L442/12+$H$21*(PARAM!$D$51/12)*RATES!$N442/100</f>
        <v>90.458333333333329</v>
      </c>
      <c r="BZ466" s="16">
        <f t="shared" si="302"/>
        <v>-4333.4677776281542</v>
      </c>
      <c r="CA466" s="15">
        <f t="shared" si="277"/>
        <v>22.170849845882874</v>
      </c>
      <c r="CB466" s="75">
        <f>CA466*(1-PARAM!$C$27)*$I$22+(MOD($B466,60)=PARAM!$B$56)*($B466&gt;(60-PARAM!$B$56))*HLOOKUP(($B466+PARAM!$B$56)/12,Loyalty,2)*$F$1*MAX(CD465,0)</f>
        <v>18.557001321003963</v>
      </c>
      <c r="CC466" s="75">
        <f>PARAM!$C$26+MAX($G$22-CHOOSE(PARAM!$B$44,MAX(0,CD465*$F$1),0),0)*RATES!$L442/12+$H$22*(PARAM!$D$51/12)*RATES!$N442/100</f>
        <v>90.458333333333329</v>
      </c>
      <c r="CD466" s="16">
        <f t="shared" si="303"/>
        <v>-4333.4677776281542</v>
      </c>
      <c r="CE466" s="33">
        <f>IF(0=MOD(B466,12/PARAM!$D$51),1,0)</f>
        <v>1</v>
      </c>
      <c r="CF466" s="15">
        <f t="shared" si="278"/>
        <v>0</v>
      </c>
      <c r="CG466" s="75">
        <f>CF466*(1-PARAM!$C$27)*$R$3+(MOD($B466/12,5)=0)*($B466&gt;60)*HLOOKUP($B466/12,Loyalty,2)*$F$1*MAX(CI465,0)</f>
        <v>0</v>
      </c>
      <c r="CH466" s="75">
        <f>PARAM!$C$26+MAX($P$3-CHOOSE(PARAM!$B$44,MAX(0,CI465*$F$1),0),0)*RATES!$L442/12+$Q$3*(PARAM!$D$51/12)*RATES!$N442/100</f>
        <v>90.458333333333329</v>
      </c>
      <c r="CI466" s="16">
        <f>IF(CI465&gt;0,CI465*PARAM!$C$53,CI465)+CG466-CH466</f>
        <v>-12360.416666666648</v>
      </c>
      <c r="CJ466" s="15">
        <f t="shared" si="304"/>
        <v>0</v>
      </c>
      <c r="CK466" s="75">
        <f>CJ466*(1-PARAM!$C$27)*$R$4+(MOD($B466/12,5)=0)*($B466&gt;60)*HLOOKUP($B466/12,Loyalty,2)*$F$1*MAX(CM465,0)</f>
        <v>0</v>
      </c>
      <c r="CL466" s="75">
        <f>PARAM!$C$26+MAX($P$4-CHOOSE(PARAM!$B$44,MAX(0,CM465*$F$1),0),0)*RATES!$L442/12+$Q$4*(PARAM!$D$51/12)*RATES!$N442/100</f>
        <v>90.458333333333329</v>
      </c>
      <c r="CM466" s="16">
        <f>IF(CM465&gt;0,CM465*PARAM!$C$53,CM465)+CK466-CL466</f>
        <v>-12360.416666666648</v>
      </c>
      <c r="CO466" s="176"/>
    </row>
    <row r="467" spans="1:93" x14ac:dyDescent="0.2">
      <c r="A467" t="b">
        <f t="shared" si="279"/>
        <v>0</v>
      </c>
      <c r="B467" s="33">
        <v>440</v>
      </c>
      <c r="C467" s="15">
        <f t="shared" si="280"/>
        <v>20.081305947392778</v>
      </c>
      <c r="D467" s="75">
        <f>C467*(1-PARAM!$C$27)*$I$3+(MOD($B467,60)=PARAM!$B$56)*($B467&gt;(60-PARAM!$B$56))*HLOOKUP(($B467+PARAM!$B$56)/12,Loyalty,2)*$F$1*MAX(F466,0)</f>
        <v>16.808053077967756</v>
      </c>
      <c r="E467" s="75">
        <f>PARAM!$C$26+MAX($G$3-CHOOSE(PARAM!$B$44,MAX(0,F466*$F$1),0),0)*RATES!$L443/12+$H$3*(PARAM!$D$51/12)*RATES!$N443/100</f>
        <v>90.458333333333329</v>
      </c>
      <c r="F467" s="16">
        <f t="shared" si="281"/>
        <v>-5211.7568370979288</v>
      </c>
      <c r="G467" s="15">
        <f t="shared" si="282"/>
        <v>22.035289406060361</v>
      </c>
      <c r="H467" s="75">
        <f>G467*(1-PARAM!$C$27)*$I$4+(MOD($B467,60)=PARAM!$B$56)*($B467&gt;(60-PARAM!$B$56))*HLOOKUP(($B467+PARAM!$B$56)/12,Loyalty,2)*$F$1*MAX(J466,0)</f>
        <v>18.443537232872522</v>
      </c>
      <c r="I467" s="75">
        <f>PARAM!$C$26+MAX($G$4-CHOOSE(PARAM!$B$44,MAX(0,J466*$F$1),0),0)*RATES!$L443/12+$H$4*(PARAM!$D$51/12)*RATES!$N443/100</f>
        <v>90.458333333333329</v>
      </c>
      <c r="J467" s="16">
        <f t="shared" si="283"/>
        <v>-4458.3108448181101</v>
      </c>
      <c r="K467" s="15">
        <f t="shared" si="284"/>
        <v>22.170849845882874</v>
      </c>
      <c r="L467" s="75">
        <f>K467*(1-PARAM!$C$27)*$I$5+(MOD($B467,60)=PARAM!$B$56)*($B467&gt;(60-PARAM!$B$56))*HLOOKUP(($B467+PARAM!$B$56)/12,Loyalty,2)*$F$1*MAX(N466,0)</f>
        <v>18.557001321003963</v>
      </c>
      <c r="M467" s="75">
        <f>PARAM!$C$26+MAX($G$5-CHOOSE(PARAM!$B$44,MAX(0,N466*$F$1),0),0)*RATES!$L443/12+$H$5*(PARAM!$D$51/12)*RATES!$N443/100</f>
        <v>90.458333333333329</v>
      </c>
      <c r="N467" s="16">
        <f t="shared" si="285"/>
        <v>-4405.3691096404837</v>
      </c>
      <c r="O467" s="15">
        <f t="shared" si="286"/>
        <v>22.170849845882874</v>
      </c>
      <c r="P467" s="75">
        <f>O467*(1-PARAM!$C$27)*$I$6+(MOD($B467,60)=PARAM!$B$56)*($B467&gt;(60-PARAM!$B$56))*HLOOKUP(($B467+PARAM!$B$56)/12,Loyalty,2)*$F$1*MAX(R466,0)</f>
        <v>18.557001321003963</v>
      </c>
      <c r="Q467" s="75">
        <f>PARAM!$C$26+MAX($G$6-CHOOSE(PARAM!$B$44,MAX(0,R466*$F$1),0),0)*RATES!$L443/12+$H$6*(PARAM!$D$51/12)*RATES!$N443/100</f>
        <v>90.458333333333329</v>
      </c>
      <c r="R467" s="16">
        <f t="shared" si="287"/>
        <v>-4405.3691096404837</v>
      </c>
      <c r="S467" s="15">
        <f t="shared" si="262"/>
        <v>22.170849845882874</v>
      </c>
      <c r="T467" s="75">
        <f>S467*(1-PARAM!$C$27)*$I$7+(MOD($B467,60)=PARAM!$B$56)*($B467&gt;(60-PARAM!$B$56))*HLOOKUP(($B467+PARAM!$B$56)/12,Loyalty,2)*$F$1*MAX(V466,0)</f>
        <v>18.557001321003963</v>
      </c>
      <c r="U467" s="75">
        <f>PARAM!$C$26+MAX($G$7-CHOOSE(PARAM!$B$44,MAX(0,V466*$F$1),0),0)*RATES!$L443/12+$H$7*(PARAM!$D$51/12)*RATES!$N443/100</f>
        <v>90.458333333333329</v>
      </c>
      <c r="V467" s="16">
        <f t="shared" si="288"/>
        <v>-4405.3691096404837</v>
      </c>
      <c r="W467" s="15">
        <f t="shared" si="263"/>
        <v>22.170849845882874</v>
      </c>
      <c r="X467" s="75">
        <f>W467*(1-PARAM!$C$27)*$I$8+(MOD($B467,60)=PARAM!$B$56)*($B467&gt;(60-PARAM!$B$56))*HLOOKUP(($B467+PARAM!$B$56)/12,Loyalty,2)*$F$1*MAX(Z466,0)</f>
        <v>18.557001321003963</v>
      </c>
      <c r="Y467" s="75">
        <f>PARAM!$C$26+MAX($G$8-CHOOSE(PARAM!$B$44,MAX(0,Z466*$F$1),0),0)*RATES!$L443/12+$H$8*(PARAM!$D$51/12)*RATES!$N443/100</f>
        <v>90.458333333333329</v>
      </c>
      <c r="Z467" s="16">
        <f t="shared" si="289"/>
        <v>-4405.3691096404837</v>
      </c>
      <c r="AA467" s="15">
        <f t="shared" si="264"/>
        <v>22.170849845882874</v>
      </c>
      <c r="AB467" s="75">
        <f>AA467*(1-PARAM!$C$27)*$I$9+(MOD($B467,60)=PARAM!$B$56)*($B467&gt;(60-PARAM!$B$56))*HLOOKUP(($B467+PARAM!$B$56)/12,Loyalty,2)*$F$1*MAX(AD466,0)</f>
        <v>18.557001321003963</v>
      </c>
      <c r="AC467" s="75">
        <f>PARAM!$C$26+MAX($G$9-CHOOSE(PARAM!$B$44,MAX(0,AD466*$F$1),0),0)*RATES!$L443/12+$H$9*(PARAM!$D$51/12)*RATES!$N443/100</f>
        <v>90.458333333333329</v>
      </c>
      <c r="AD467" s="16">
        <f t="shared" si="290"/>
        <v>-4405.3691096404837</v>
      </c>
      <c r="AE467" s="15">
        <f t="shared" si="265"/>
        <v>22.170849845882874</v>
      </c>
      <c r="AF467" s="75">
        <f>AE467*(1-PARAM!$C$27)*$I$10+(MOD($B467,60)=PARAM!$B$56)*($B467&gt;(60-PARAM!$B$56))*HLOOKUP(($B467+PARAM!$B$56)/12,Loyalty,2)*$F$1*MAX(AH466,0)</f>
        <v>18.557001321003963</v>
      </c>
      <c r="AG467" s="75">
        <f>PARAM!$C$26+MAX($G$10-CHOOSE(PARAM!$B$44,MAX(0,AH466*$F$1),0),0)*RATES!$L443/12+$H$10*(PARAM!$D$51/12)*RATES!$N443/100</f>
        <v>90.458333333333329</v>
      </c>
      <c r="AH467" s="16">
        <f t="shared" si="291"/>
        <v>-4405.3691096404837</v>
      </c>
      <c r="AI467" s="15">
        <f t="shared" si="266"/>
        <v>22.170849845882874</v>
      </c>
      <c r="AJ467" s="75">
        <f>AI467*(1-PARAM!$C$27)*$I$11+(MOD($B467,60)=PARAM!$B$56)*($B467&gt;(60-PARAM!$B$56))*HLOOKUP(($B467+PARAM!$B$56)/12,Loyalty,2)*$F$1*MAX(AL466,0)</f>
        <v>18.557001321003963</v>
      </c>
      <c r="AK467" s="75">
        <f>PARAM!$C$26+MAX($G$11-CHOOSE(PARAM!$B$44,MAX(0,AL466*$F$1),0),0)*RATES!$L443/12+$H$11*(PARAM!$D$51/12)*RATES!$N443/100</f>
        <v>90.458333333333329</v>
      </c>
      <c r="AL467" s="16">
        <f t="shared" si="292"/>
        <v>-4405.3691096404837</v>
      </c>
      <c r="AM467" s="15">
        <f t="shared" si="267"/>
        <v>22.170849845882874</v>
      </c>
      <c r="AN467" s="75">
        <f>AM467*(1-PARAM!$C$27)*$I$12+(MOD($B467,60)=PARAM!$B$56)*($B467&gt;(60-PARAM!$B$56))*HLOOKUP(($B467+PARAM!$B$56)/12,Loyalty,2)*$F$1*MAX(AP466,0)</f>
        <v>18.557001321003963</v>
      </c>
      <c r="AO467" s="75">
        <f>PARAM!$C$26+MAX($G$12-CHOOSE(PARAM!$B$44,MAX(0,AP466*$F$1),0),0)*RATES!$L443/12+$H$12*(PARAM!$D$51/12)*RATES!$N443/100</f>
        <v>90.458333333333329</v>
      </c>
      <c r="AP467" s="16">
        <f t="shared" si="293"/>
        <v>-4405.3691096404837</v>
      </c>
      <c r="AQ467" s="15">
        <f t="shared" si="268"/>
        <v>22.170849845882874</v>
      </c>
      <c r="AR467" s="75">
        <f>AQ467*(1-PARAM!$C$27)*$I$13+(MOD($B467,60)=PARAM!$B$56)*($B467&gt;(60-PARAM!$B$56))*HLOOKUP(($B467+PARAM!$B$56)/12,Loyalty,2)*$F$1*MAX(AT466,0)</f>
        <v>18.557001321003963</v>
      </c>
      <c r="AS467" s="75">
        <f>PARAM!$C$26+MAX($G$13-CHOOSE(PARAM!$B$44,MAX(0,AT466*$F$1),0),0)*RATES!$L443/12+$H$13*(PARAM!$D$51/12)*RATES!$N443/100</f>
        <v>90.458333333333329</v>
      </c>
      <c r="AT467" s="16">
        <f t="shared" si="294"/>
        <v>-4405.3691096404837</v>
      </c>
      <c r="AU467" s="15">
        <f t="shared" si="269"/>
        <v>22.170849845882874</v>
      </c>
      <c r="AV467" s="75">
        <f>AU467*(1-PARAM!$C$27)*$I$14+(MOD($B467,60)=PARAM!$B$56)*($B467&gt;(60-PARAM!$B$56))*HLOOKUP(($B467+PARAM!$B$56)/12,Loyalty,2)*$F$1*MAX(AX466,0)</f>
        <v>18.557001321003963</v>
      </c>
      <c r="AW467" s="75">
        <f>PARAM!$C$26+MAX($G$14-CHOOSE(PARAM!$B$44,MAX(0,AX466*$F$1),0),0)*RATES!$L443/12+$H$14*(PARAM!$D$51/12)*RATES!$N443/100</f>
        <v>90.458333333333329</v>
      </c>
      <c r="AX467" s="16">
        <f t="shared" si="295"/>
        <v>-4405.3691096404837</v>
      </c>
      <c r="AY467" s="15">
        <f t="shared" si="270"/>
        <v>22.170849845882874</v>
      </c>
      <c r="AZ467" s="75">
        <f>AY467*(1-PARAM!$C$27)*$I$15+(MOD($B467,60)=PARAM!$B$56)*($B467&gt;(60-PARAM!$B$56))*HLOOKUP(($B467+PARAM!$B$56)/12,Loyalty,2)*$F$1*MAX(BB466,0)</f>
        <v>18.557001321003963</v>
      </c>
      <c r="BA467" s="75">
        <f>PARAM!$C$26+MAX($G$15-CHOOSE(PARAM!$B$44,MAX(0,BB466*$F$1),0),0)*RATES!$L443/12+$H$15*(PARAM!$D$51/12)*RATES!$N443/100</f>
        <v>90.458333333333329</v>
      </c>
      <c r="BB467" s="16">
        <f t="shared" si="296"/>
        <v>-4405.3691096404837</v>
      </c>
      <c r="BC467" s="15">
        <f t="shared" si="271"/>
        <v>22.170849845882874</v>
      </c>
      <c r="BD467" s="75">
        <f>BC467*(1-PARAM!$C$27)*$I$16+(MOD($B467,60)=PARAM!$B$56)*($B467&gt;(60-PARAM!$B$56))*HLOOKUP(($B467+PARAM!$B$56)/12,Loyalty,2)*$F$1*MAX(BF466,0)</f>
        <v>18.557001321003963</v>
      </c>
      <c r="BE467" s="75">
        <f>PARAM!$C$26+MAX($G$16-CHOOSE(PARAM!$B$44,MAX(0,BF466*$F$1),0),0)*RATES!$L443/12+$H$16*(PARAM!$D$51/12)*RATES!$N443/100</f>
        <v>90.458333333333329</v>
      </c>
      <c r="BF467" s="16">
        <f t="shared" si="297"/>
        <v>-4405.3691096404837</v>
      </c>
      <c r="BG467" s="15">
        <f t="shared" si="272"/>
        <v>22.170849845882874</v>
      </c>
      <c r="BH467" s="75">
        <f>BG467*(1-PARAM!$C$27)*$I$17+(MOD($B467,60)=PARAM!$B$56)*($B467&gt;(60-PARAM!$B$56))*HLOOKUP(($B467+PARAM!$B$56)/12,Loyalty,2)*$F$1*MAX(BJ466,0)</f>
        <v>18.557001321003963</v>
      </c>
      <c r="BI467" s="75">
        <f>PARAM!$C$26+MAX($G$17-CHOOSE(PARAM!$B$44,MAX(0,BJ466*$F$1),0),0)*RATES!$L443/12+$H$17*(PARAM!$D$51/12)*RATES!$N443/100</f>
        <v>90.458333333333329</v>
      </c>
      <c r="BJ467" s="16">
        <f t="shared" si="298"/>
        <v>-4405.3691096404837</v>
      </c>
      <c r="BK467" s="15">
        <f t="shared" si="273"/>
        <v>22.170849845882874</v>
      </c>
      <c r="BL467" s="75">
        <f>BK467*(1-PARAM!$C$27)*$I$18+(MOD($B467,60)=PARAM!$B$56)*($B467&gt;(60-PARAM!$B$56))*HLOOKUP(($B467+PARAM!$B$56)/12,Loyalty,2)*$F$1*MAX(BN466,0)</f>
        <v>18.557001321003963</v>
      </c>
      <c r="BM467" s="75">
        <f>PARAM!$C$26+MAX($G$18-CHOOSE(PARAM!$B$44,MAX(0,BN466*$F$1),0),0)*RATES!$L443/12+$H$18*(PARAM!$D$51/12)*RATES!$N443/100</f>
        <v>90.458333333333329</v>
      </c>
      <c r="BN467" s="16">
        <f t="shared" si="299"/>
        <v>-4405.3691096404837</v>
      </c>
      <c r="BO467" s="15">
        <f t="shared" si="274"/>
        <v>22.170849845882874</v>
      </c>
      <c r="BP467" s="75">
        <f>BO467*(1-PARAM!$C$27)*$I$19+(MOD($B467,60)=PARAM!$B$56)*($B467&gt;(60-PARAM!$B$56))*HLOOKUP(($B467+PARAM!$B$56)/12,Loyalty,2)*$F$1*MAX(BR466,0)</f>
        <v>18.557001321003963</v>
      </c>
      <c r="BQ467" s="75">
        <f>PARAM!$C$26+MAX($G$19-CHOOSE(PARAM!$B$44,MAX(0,BR466*$F$1),0),0)*RATES!$L443/12+$H$19*(PARAM!$D$51/12)*RATES!$N443/100</f>
        <v>90.458333333333329</v>
      </c>
      <c r="BR467" s="16">
        <f t="shared" si="300"/>
        <v>-4405.3691096404837</v>
      </c>
      <c r="BS467" s="15">
        <f t="shared" si="275"/>
        <v>22.170849845882874</v>
      </c>
      <c r="BT467" s="75">
        <f>BS467*(1-PARAM!$C$27)*$I$20+(MOD($B467,60)=PARAM!$B$56)*($B467&gt;(60-PARAM!$B$56))*HLOOKUP(($B467+PARAM!$B$56)/12,Loyalty,2)*$F$1*MAX(BV466,0)</f>
        <v>18.557001321003963</v>
      </c>
      <c r="BU467" s="75">
        <f>PARAM!$C$26+MAX($G$20-CHOOSE(PARAM!$B$44,MAX(0,BV466*$F$1),0),0)*RATES!$L443/12+$H$20*(PARAM!$D$51/12)*RATES!$N443/100</f>
        <v>90.458333333333329</v>
      </c>
      <c r="BV467" s="16">
        <f t="shared" si="301"/>
        <v>-4405.3691096404837</v>
      </c>
      <c r="BW467" s="15">
        <f t="shared" si="276"/>
        <v>22.170849845882874</v>
      </c>
      <c r="BX467" s="75">
        <f>BW467*(1-PARAM!$C$27)*$I$21+(MOD($B467,60)=PARAM!$B$56)*($B467&gt;(60-PARAM!$B$56))*HLOOKUP(($B467+PARAM!$B$56)/12,Loyalty,2)*$F$1*MAX(BZ466,0)</f>
        <v>18.557001321003963</v>
      </c>
      <c r="BY467" s="75">
        <f>PARAM!$C$26+MAX($G$21-CHOOSE(PARAM!$B$44,MAX(0,BZ466*$F$1),0),0)*RATES!$L443/12+$H$21*(PARAM!$D$51/12)*RATES!$N443/100</f>
        <v>90.458333333333329</v>
      </c>
      <c r="BZ467" s="16">
        <f t="shared" si="302"/>
        <v>-4405.3691096404837</v>
      </c>
      <c r="CA467" s="15">
        <f t="shared" si="277"/>
        <v>22.170849845882874</v>
      </c>
      <c r="CB467" s="75">
        <f>CA467*(1-PARAM!$C$27)*$I$22+(MOD($B467,60)=PARAM!$B$56)*($B467&gt;(60-PARAM!$B$56))*HLOOKUP(($B467+PARAM!$B$56)/12,Loyalty,2)*$F$1*MAX(CD466,0)</f>
        <v>18.557001321003963</v>
      </c>
      <c r="CC467" s="75">
        <f>PARAM!$C$26+MAX($G$22-CHOOSE(PARAM!$B$44,MAX(0,CD466*$F$1),0),0)*RATES!$L443/12+$H$22*(PARAM!$D$51/12)*RATES!$N443/100</f>
        <v>90.458333333333329</v>
      </c>
      <c r="CD467" s="16">
        <f t="shared" si="303"/>
        <v>-4405.3691096404837</v>
      </c>
      <c r="CE467" s="33">
        <f>IF(0=MOD(B467,12/PARAM!$D$51),1,0)</f>
        <v>1</v>
      </c>
      <c r="CF467" s="15">
        <f t="shared" si="278"/>
        <v>0</v>
      </c>
      <c r="CG467" s="75">
        <f>CF467*(1-PARAM!$C$27)*$R$3+(MOD($B467/12,5)=0)*($B467&gt;60)*HLOOKUP($B467/12,Loyalty,2)*$F$1*MAX(CI466,0)</f>
        <v>0</v>
      </c>
      <c r="CH467" s="75">
        <f>PARAM!$C$26+MAX($P$3-CHOOSE(PARAM!$B$44,MAX(0,CI466*$F$1),0),0)*RATES!$L443/12+$Q$3*(PARAM!$D$51/12)*RATES!$N443/100</f>
        <v>90.458333333333329</v>
      </c>
      <c r="CI467" s="16">
        <f>IF(CI466&gt;0,CI466*PARAM!$C$53,CI466)+CG467-CH467</f>
        <v>-12450.874999999982</v>
      </c>
      <c r="CJ467" s="15">
        <f t="shared" si="304"/>
        <v>0</v>
      </c>
      <c r="CK467" s="75">
        <f>CJ467*(1-PARAM!$C$27)*$R$4+(MOD($B467/12,5)=0)*($B467&gt;60)*HLOOKUP($B467/12,Loyalty,2)*$F$1*MAX(CM466,0)</f>
        <v>0</v>
      </c>
      <c r="CL467" s="75">
        <f>PARAM!$C$26+MAX($P$4-CHOOSE(PARAM!$B$44,MAX(0,CM466*$F$1),0),0)*RATES!$L443/12+$Q$4*(PARAM!$D$51/12)*RATES!$N443/100</f>
        <v>90.458333333333329</v>
      </c>
      <c r="CM467" s="16">
        <f>IF(CM466&gt;0,CM466*PARAM!$C$53,CM466)+CK467-CL467</f>
        <v>-12450.874999999982</v>
      </c>
      <c r="CO467" s="176"/>
    </row>
    <row r="468" spans="1:93" x14ac:dyDescent="0.2">
      <c r="A468" t="b">
        <f t="shared" si="279"/>
        <v>0</v>
      </c>
      <c r="B468" s="33">
        <v>441</v>
      </c>
      <c r="C468" s="15">
        <f t="shared" si="280"/>
        <v>20.081305947392778</v>
      </c>
      <c r="D468" s="75">
        <f>C468*(1-PARAM!$C$27)*$I$3+(MOD($B468,60)=PARAM!$B$56)*($B468&gt;(60-PARAM!$B$56))*HLOOKUP(($B468+PARAM!$B$56)/12,Loyalty,2)*$F$1*MAX(F467,0)</f>
        <v>16.808053077967756</v>
      </c>
      <c r="E468" s="75">
        <f>PARAM!$C$26+MAX($G$3-CHOOSE(PARAM!$B$44,MAX(0,F467*$F$1),0),0)*RATES!$L444/12+$H$3*(PARAM!$D$51/12)*RATES!$N444/100</f>
        <v>90.458333333333329</v>
      </c>
      <c r="F468" s="16">
        <f t="shared" si="281"/>
        <v>-5285.4071173532939</v>
      </c>
      <c r="G468" s="15">
        <f t="shared" si="282"/>
        <v>22.035289406060361</v>
      </c>
      <c r="H468" s="75">
        <f>G468*(1-PARAM!$C$27)*$I$4+(MOD($B468,60)=PARAM!$B$56)*($B468&gt;(60-PARAM!$B$56))*HLOOKUP(($B468+PARAM!$B$56)/12,Loyalty,2)*$F$1*MAX(J467,0)</f>
        <v>18.443537232872522</v>
      </c>
      <c r="I468" s="75">
        <f>PARAM!$C$26+MAX($G$4-CHOOSE(PARAM!$B$44,MAX(0,J467*$F$1),0),0)*RATES!$L444/12+$H$4*(PARAM!$D$51/12)*RATES!$N444/100</f>
        <v>90.458333333333329</v>
      </c>
      <c r="J468" s="16">
        <f t="shared" si="283"/>
        <v>-4530.3256409185706</v>
      </c>
      <c r="K468" s="15">
        <f t="shared" si="284"/>
        <v>22.170849845882874</v>
      </c>
      <c r="L468" s="75">
        <f>K468*(1-PARAM!$C$27)*$I$5+(MOD($B468,60)=PARAM!$B$56)*($B468&gt;(60-PARAM!$B$56))*HLOOKUP(($B468+PARAM!$B$56)/12,Loyalty,2)*$F$1*MAX(N467,0)</f>
        <v>18.557001321003963</v>
      </c>
      <c r="M468" s="75">
        <f>PARAM!$C$26+MAX($G$5-CHOOSE(PARAM!$B$44,MAX(0,N467*$F$1),0),0)*RATES!$L444/12+$H$5*(PARAM!$D$51/12)*RATES!$N444/100</f>
        <v>90.458333333333329</v>
      </c>
      <c r="N468" s="16">
        <f t="shared" si="285"/>
        <v>-4477.2704416528131</v>
      </c>
      <c r="O468" s="15">
        <f t="shared" si="286"/>
        <v>22.170849845882874</v>
      </c>
      <c r="P468" s="75">
        <f>O468*(1-PARAM!$C$27)*$I$6+(MOD($B468,60)=PARAM!$B$56)*($B468&gt;(60-PARAM!$B$56))*HLOOKUP(($B468+PARAM!$B$56)/12,Loyalty,2)*$F$1*MAX(R467,0)</f>
        <v>18.557001321003963</v>
      </c>
      <c r="Q468" s="75">
        <f>PARAM!$C$26+MAX($G$6-CHOOSE(PARAM!$B$44,MAX(0,R467*$F$1),0),0)*RATES!$L444/12+$H$6*(PARAM!$D$51/12)*RATES!$N444/100</f>
        <v>90.458333333333329</v>
      </c>
      <c r="R468" s="16">
        <f t="shared" si="287"/>
        <v>-4477.2704416528131</v>
      </c>
      <c r="S468" s="15">
        <f t="shared" si="262"/>
        <v>22.170849845882874</v>
      </c>
      <c r="T468" s="75">
        <f>S468*(1-PARAM!$C$27)*$I$7+(MOD($B468,60)=PARAM!$B$56)*($B468&gt;(60-PARAM!$B$56))*HLOOKUP(($B468+PARAM!$B$56)/12,Loyalty,2)*$F$1*MAX(V467,0)</f>
        <v>18.557001321003963</v>
      </c>
      <c r="U468" s="75">
        <f>PARAM!$C$26+MAX($G$7-CHOOSE(PARAM!$B$44,MAX(0,V467*$F$1),0),0)*RATES!$L444/12+$H$7*(PARAM!$D$51/12)*RATES!$N444/100</f>
        <v>90.458333333333329</v>
      </c>
      <c r="V468" s="16">
        <f t="shared" si="288"/>
        <v>-4477.2704416528131</v>
      </c>
      <c r="W468" s="15">
        <f t="shared" si="263"/>
        <v>22.170849845882874</v>
      </c>
      <c r="X468" s="75">
        <f>W468*(1-PARAM!$C$27)*$I$8+(MOD($B468,60)=PARAM!$B$56)*($B468&gt;(60-PARAM!$B$56))*HLOOKUP(($B468+PARAM!$B$56)/12,Loyalty,2)*$F$1*MAX(Z467,0)</f>
        <v>18.557001321003963</v>
      </c>
      <c r="Y468" s="75">
        <f>PARAM!$C$26+MAX($G$8-CHOOSE(PARAM!$B$44,MAX(0,Z467*$F$1),0),0)*RATES!$L444/12+$H$8*(PARAM!$D$51/12)*RATES!$N444/100</f>
        <v>90.458333333333329</v>
      </c>
      <c r="Z468" s="16">
        <f t="shared" si="289"/>
        <v>-4477.2704416528131</v>
      </c>
      <c r="AA468" s="15">
        <f t="shared" si="264"/>
        <v>22.170849845882874</v>
      </c>
      <c r="AB468" s="75">
        <f>AA468*(1-PARAM!$C$27)*$I$9+(MOD($B468,60)=PARAM!$B$56)*($B468&gt;(60-PARAM!$B$56))*HLOOKUP(($B468+PARAM!$B$56)/12,Loyalty,2)*$F$1*MAX(AD467,0)</f>
        <v>18.557001321003963</v>
      </c>
      <c r="AC468" s="75">
        <f>PARAM!$C$26+MAX($G$9-CHOOSE(PARAM!$B$44,MAX(0,AD467*$F$1),0),0)*RATES!$L444/12+$H$9*(PARAM!$D$51/12)*RATES!$N444/100</f>
        <v>90.458333333333329</v>
      </c>
      <c r="AD468" s="16">
        <f t="shared" si="290"/>
        <v>-4477.2704416528131</v>
      </c>
      <c r="AE468" s="15">
        <f t="shared" si="265"/>
        <v>22.170849845882874</v>
      </c>
      <c r="AF468" s="75">
        <f>AE468*(1-PARAM!$C$27)*$I$10+(MOD($B468,60)=PARAM!$B$56)*($B468&gt;(60-PARAM!$B$56))*HLOOKUP(($B468+PARAM!$B$56)/12,Loyalty,2)*$F$1*MAX(AH467,0)</f>
        <v>18.557001321003963</v>
      </c>
      <c r="AG468" s="75">
        <f>PARAM!$C$26+MAX($G$10-CHOOSE(PARAM!$B$44,MAX(0,AH467*$F$1),0),0)*RATES!$L444/12+$H$10*(PARAM!$D$51/12)*RATES!$N444/100</f>
        <v>90.458333333333329</v>
      </c>
      <c r="AH468" s="16">
        <f t="shared" si="291"/>
        <v>-4477.2704416528131</v>
      </c>
      <c r="AI468" s="15">
        <f t="shared" si="266"/>
        <v>22.170849845882874</v>
      </c>
      <c r="AJ468" s="75">
        <f>AI468*(1-PARAM!$C$27)*$I$11+(MOD($B468,60)=PARAM!$B$56)*($B468&gt;(60-PARAM!$B$56))*HLOOKUP(($B468+PARAM!$B$56)/12,Loyalty,2)*$F$1*MAX(AL467,0)</f>
        <v>18.557001321003963</v>
      </c>
      <c r="AK468" s="75">
        <f>PARAM!$C$26+MAX($G$11-CHOOSE(PARAM!$B$44,MAX(0,AL467*$F$1),0),0)*RATES!$L444/12+$H$11*(PARAM!$D$51/12)*RATES!$N444/100</f>
        <v>90.458333333333329</v>
      </c>
      <c r="AL468" s="16">
        <f t="shared" si="292"/>
        <v>-4477.2704416528131</v>
      </c>
      <c r="AM468" s="15">
        <f t="shared" si="267"/>
        <v>22.170849845882874</v>
      </c>
      <c r="AN468" s="75">
        <f>AM468*(1-PARAM!$C$27)*$I$12+(MOD($B468,60)=PARAM!$B$56)*($B468&gt;(60-PARAM!$B$56))*HLOOKUP(($B468+PARAM!$B$56)/12,Loyalty,2)*$F$1*MAX(AP467,0)</f>
        <v>18.557001321003963</v>
      </c>
      <c r="AO468" s="75">
        <f>PARAM!$C$26+MAX($G$12-CHOOSE(PARAM!$B$44,MAX(0,AP467*$F$1),0),0)*RATES!$L444/12+$H$12*(PARAM!$D$51/12)*RATES!$N444/100</f>
        <v>90.458333333333329</v>
      </c>
      <c r="AP468" s="16">
        <f t="shared" si="293"/>
        <v>-4477.2704416528131</v>
      </c>
      <c r="AQ468" s="15">
        <f t="shared" si="268"/>
        <v>22.170849845882874</v>
      </c>
      <c r="AR468" s="75">
        <f>AQ468*(1-PARAM!$C$27)*$I$13+(MOD($B468,60)=PARAM!$B$56)*($B468&gt;(60-PARAM!$B$56))*HLOOKUP(($B468+PARAM!$B$56)/12,Loyalty,2)*$F$1*MAX(AT467,0)</f>
        <v>18.557001321003963</v>
      </c>
      <c r="AS468" s="75">
        <f>PARAM!$C$26+MAX($G$13-CHOOSE(PARAM!$B$44,MAX(0,AT467*$F$1),0),0)*RATES!$L444/12+$H$13*(PARAM!$D$51/12)*RATES!$N444/100</f>
        <v>90.458333333333329</v>
      </c>
      <c r="AT468" s="16">
        <f t="shared" si="294"/>
        <v>-4477.2704416528131</v>
      </c>
      <c r="AU468" s="15">
        <f t="shared" si="269"/>
        <v>22.170849845882874</v>
      </c>
      <c r="AV468" s="75">
        <f>AU468*(1-PARAM!$C$27)*$I$14+(MOD($B468,60)=PARAM!$B$56)*($B468&gt;(60-PARAM!$B$56))*HLOOKUP(($B468+PARAM!$B$56)/12,Loyalty,2)*$F$1*MAX(AX467,0)</f>
        <v>18.557001321003963</v>
      </c>
      <c r="AW468" s="75">
        <f>PARAM!$C$26+MAX($G$14-CHOOSE(PARAM!$B$44,MAX(0,AX467*$F$1),0),0)*RATES!$L444/12+$H$14*(PARAM!$D$51/12)*RATES!$N444/100</f>
        <v>90.458333333333329</v>
      </c>
      <c r="AX468" s="16">
        <f t="shared" si="295"/>
        <v>-4477.2704416528131</v>
      </c>
      <c r="AY468" s="15">
        <f t="shared" si="270"/>
        <v>22.170849845882874</v>
      </c>
      <c r="AZ468" s="75">
        <f>AY468*(1-PARAM!$C$27)*$I$15+(MOD($B468,60)=PARAM!$B$56)*($B468&gt;(60-PARAM!$B$56))*HLOOKUP(($B468+PARAM!$B$56)/12,Loyalty,2)*$F$1*MAX(BB467,0)</f>
        <v>18.557001321003963</v>
      </c>
      <c r="BA468" s="75">
        <f>PARAM!$C$26+MAX($G$15-CHOOSE(PARAM!$B$44,MAX(0,BB467*$F$1),0),0)*RATES!$L444/12+$H$15*(PARAM!$D$51/12)*RATES!$N444/100</f>
        <v>90.458333333333329</v>
      </c>
      <c r="BB468" s="16">
        <f t="shared" si="296"/>
        <v>-4477.2704416528131</v>
      </c>
      <c r="BC468" s="15">
        <f t="shared" si="271"/>
        <v>22.170849845882874</v>
      </c>
      <c r="BD468" s="75">
        <f>BC468*(1-PARAM!$C$27)*$I$16+(MOD($B468,60)=PARAM!$B$56)*($B468&gt;(60-PARAM!$B$56))*HLOOKUP(($B468+PARAM!$B$56)/12,Loyalty,2)*$F$1*MAX(BF467,0)</f>
        <v>18.557001321003963</v>
      </c>
      <c r="BE468" s="75">
        <f>PARAM!$C$26+MAX($G$16-CHOOSE(PARAM!$B$44,MAX(0,BF467*$F$1),0),0)*RATES!$L444/12+$H$16*(PARAM!$D$51/12)*RATES!$N444/100</f>
        <v>90.458333333333329</v>
      </c>
      <c r="BF468" s="16">
        <f t="shared" si="297"/>
        <v>-4477.2704416528131</v>
      </c>
      <c r="BG468" s="15">
        <f t="shared" si="272"/>
        <v>22.170849845882874</v>
      </c>
      <c r="BH468" s="75">
        <f>BG468*(1-PARAM!$C$27)*$I$17+(MOD($B468,60)=PARAM!$B$56)*($B468&gt;(60-PARAM!$B$56))*HLOOKUP(($B468+PARAM!$B$56)/12,Loyalty,2)*$F$1*MAX(BJ467,0)</f>
        <v>18.557001321003963</v>
      </c>
      <c r="BI468" s="75">
        <f>PARAM!$C$26+MAX($G$17-CHOOSE(PARAM!$B$44,MAX(0,BJ467*$F$1),0),0)*RATES!$L444/12+$H$17*(PARAM!$D$51/12)*RATES!$N444/100</f>
        <v>90.458333333333329</v>
      </c>
      <c r="BJ468" s="16">
        <f t="shared" si="298"/>
        <v>-4477.2704416528131</v>
      </c>
      <c r="BK468" s="15">
        <f t="shared" si="273"/>
        <v>22.170849845882874</v>
      </c>
      <c r="BL468" s="75">
        <f>BK468*(1-PARAM!$C$27)*$I$18+(MOD($B468,60)=PARAM!$B$56)*($B468&gt;(60-PARAM!$B$56))*HLOOKUP(($B468+PARAM!$B$56)/12,Loyalty,2)*$F$1*MAX(BN467,0)</f>
        <v>18.557001321003963</v>
      </c>
      <c r="BM468" s="75">
        <f>PARAM!$C$26+MAX($G$18-CHOOSE(PARAM!$B$44,MAX(0,BN467*$F$1),0),0)*RATES!$L444/12+$H$18*(PARAM!$D$51/12)*RATES!$N444/100</f>
        <v>90.458333333333329</v>
      </c>
      <c r="BN468" s="16">
        <f t="shared" si="299"/>
        <v>-4477.2704416528131</v>
      </c>
      <c r="BO468" s="15">
        <f t="shared" si="274"/>
        <v>22.170849845882874</v>
      </c>
      <c r="BP468" s="75">
        <f>BO468*(1-PARAM!$C$27)*$I$19+(MOD($B468,60)=PARAM!$B$56)*($B468&gt;(60-PARAM!$B$56))*HLOOKUP(($B468+PARAM!$B$56)/12,Loyalty,2)*$F$1*MAX(BR467,0)</f>
        <v>18.557001321003963</v>
      </c>
      <c r="BQ468" s="75">
        <f>PARAM!$C$26+MAX($G$19-CHOOSE(PARAM!$B$44,MAX(0,BR467*$F$1),0),0)*RATES!$L444/12+$H$19*(PARAM!$D$51/12)*RATES!$N444/100</f>
        <v>90.458333333333329</v>
      </c>
      <c r="BR468" s="16">
        <f t="shared" si="300"/>
        <v>-4477.2704416528131</v>
      </c>
      <c r="BS468" s="15">
        <f t="shared" si="275"/>
        <v>22.170849845882874</v>
      </c>
      <c r="BT468" s="75">
        <f>BS468*(1-PARAM!$C$27)*$I$20+(MOD($B468,60)=PARAM!$B$56)*($B468&gt;(60-PARAM!$B$56))*HLOOKUP(($B468+PARAM!$B$56)/12,Loyalty,2)*$F$1*MAX(BV467,0)</f>
        <v>18.557001321003963</v>
      </c>
      <c r="BU468" s="75">
        <f>PARAM!$C$26+MAX($G$20-CHOOSE(PARAM!$B$44,MAX(0,BV467*$F$1),0),0)*RATES!$L444/12+$H$20*(PARAM!$D$51/12)*RATES!$N444/100</f>
        <v>90.458333333333329</v>
      </c>
      <c r="BV468" s="16">
        <f t="shared" si="301"/>
        <v>-4477.2704416528131</v>
      </c>
      <c r="BW468" s="15">
        <f t="shared" si="276"/>
        <v>22.170849845882874</v>
      </c>
      <c r="BX468" s="75">
        <f>BW468*(1-PARAM!$C$27)*$I$21+(MOD($B468,60)=PARAM!$B$56)*($B468&gt;(60-PARAM!$B$56))*HLOOKUP(($B468+PARAM!$B$56)/12,Loyalty,2)*$F$1*MAX(BZ467,0)</f>
        <v>18.557001321003963</v>
      </c>
      <c r="BY468" s="75">
        <f>PARAM!$C$26+MAX($G$21-CHOOSE(PARAM!$B$44,MAX(0,BZ467*$F$1),0),0)*RATES!$L444/12+$H$21*(PARAM!$D$51/12)*RATES!$N444/100</f>
        <v>90.458333333333329</v>
      </c>
      <c r="BZ468" s="16">
        <f t="shared" si="302"/>
        <v>-4477.2704416528131</v>
      </c>
      <c r="CA468" s="15">
        <f t="shared" si="277"/>
        <v>22.170849845882874</v>
      </c>
      <c r="CB468" s="75">
        <f>CA468*(1-PARAM!$C$27)*$I$22+(MOD($B468,60)=PARAM!$B$56)*($B468&gt;(60-PARAM!$B$56))*HLOOKUP(($B468+PARAM!$B$56)/12,Loyalty,2)*$F$1*MAX(CD467,0)</f>
        <v>18.557001321003963</v>
      </c>
      <c r="CC468" s="75">
        <f>PARAM!$C$26+MAX($G$22-CHOOSE(PARAM!$B$44,MAX(0,CD467*$F$1),0),0)*RATES!$L444/12+$H$22*(PARAM!$D$51/12)*RATES!$N444/100</f>
        <v>90.458333333333329</v>
      </c>
      <c r="CD468" s="16">
        <f t="shared" si="303"/>
        <v>-4477.2704416528131</v>
      </c>
      <c r="CE468" s="33">
        <f>IF(0=MOD(B468,12/PARAM!$D$51),1,0)</f>
        <v>1</v>
      </c>
      <c r="CF468" s="15">
        <f t="shared" si="278"/>
        <v>0</v>
      </c>
      <c r="CG468" s="75">
        <f>CF468*(1-PARAM!$C$27)*$R$3+(MOD($B468/12,5)=0)*($B468&gt;60)*HLOOKUP($B468/12,Loyalty,2)*$F$1*MAX(CI467,0)</f>
        <v>0</v>
      </c>
      <c r="CH468" s="75">
        <f>PARAM!$C$26+MAX($P$3-CHOOSE(PARAM!$B$44,MAX(0,CI467*$F$1),0),0)*RATES!$L444/12+$Q$3*(PARAM!$D$51/12)*RATES!$N444/100</f>
        <v>90.458333333333329</v>
      </c>
      <c r="CI468" s="16">
        <f>IF(CI467&gt;0,CI467*PARAM!$C$53,CI467)+CG468-CH468</f>
        <v>-12541.333333333316</v>
      </c>
      <c r="CJ468" s="15">
        <f t="shared" si="304"/>
        <v>0</v>
      </c>
      <c r="CK468" s="75">
        <f>CJ468*(1-PARAM!$C$27)*$R$4+(MOD($B468/12,5)=0)*($B468&gt;60)*HLOOKUP($B468/12,Loyalty,2)*$F$1*MAX(CM467,0)</f>
        <v>0</v>
      </c>
      <c r="CL468" s="75">
        <f>PARAM!$C$26+MAX($P$4-CHOOSE(PARAM!$B$44,MAX(0,CM467*$F$1),0),0)*RATES!$L444/12+$Q$4*(PARAM!$D$51/12)*RATES!$N444/100</f>
        <v>90.458333333333329</v>
      </c>
      <c r="CM468" s="16">
        <f>IF(CM467&gt;0,CM467*PARAM!$C$53,CM467)+CK468-CL468</f>
        <v>-12541.333333333316</v>
      </c>
      <c r="CO468" s="176"/>
    </row>
    <row r="469" spans="1:93" x14ac:dyDescent="0.2">
      <c r="A469" t="b">
        <f t="shared" si="279"/>
        <v>0</v>
      </c>
      <c r="B469" s="33">
        <v>442</v>
      </c>
      <c r="C469" s="15">
        <f t="shared" si="280"/>
        <v>20.081305947392778</v>
      </c>
      <c r="D469" s="75">
        <f>C469*(1-PARAM!$C$27)*$I$3+(MOD($B469,60)=PARAM!$B$56)*($B469&gt;(60-PARAM!$B$56))*HLOOKUP(($B469+PARAM!$B$56)/12,Loyalty,2)*$F$1*MAX(F468,0)</f>
        <v>16.808053077967756</v>
      </c>
      <c r="E469" s="75">
        <f>PARAM!$C$26+MAX($G$3-CHOOSE(PARAM!$B$44,MAX(0,F468*$F$1),0),0)*RATES!$L445/12+$H$3*(PARAM!$D$51/12)*RATES!$N445/100</f>
        <v>90.458333333333329</v>
      </c>
      <c r="F469" s="16">
        <f t="shared" si="281"/>
        <v>-5359.0573976086589</v>
      </c>
      <c r="G469" s="15">
        <f t="shared" si="282"/>
        <v>22.035289406060361</v>
      </c>
      <c r="H469" s="75">
        <f>G469*(1-PARAM!$C$27)*$I$4+(MOD($B469,60)=PARAM!$B$56)*($B469&gt;(60-PARAM!$B$56))*HLOOKUP(($B469+PARAM!$B$56)/12,Loyalty,2)*$F$1*MAX(J468,0)</f>
        <v>18.443537232872522</v>
      </c>
      <c r="I469" s="75">
        <f>PARAM!$C$26+MAX($G$4-CHOOSE(PARAM!$B$44,MAX(0,J468*$F$1),0),0)*RATES!$L445/12+$H$4*(PARAM!$D$51/12)*RATES!$N445/100</f>
        <v>90.458333333333329</v>
      </c>
      <c r="J469" s="16">
        <f t="shared" si="283"/>
        <v>-4602.340437019031</v>
      </c>
      <c r="K469" s="15">
        <f t="shared" si="284"/>
        <v>22.170849845882874</v>
      </c>
      <c r="L469" s="75">
        <f>K469*(1-PARAM!$C$27)*$I$5+(MOD($B469,60)=PARAM!$B$56)*($B469&gt;(60-PARAM!$B$56))*HLOOKUP(($B469+PARAM!$B$56)/12,Loyalty,2)*$F$1*MAX(N468,0)</f>
        <v>18.557001321003963</v>
      </c>
      <c r="M469" s="75">
        <f>PARAM!$C$26+MAX($G$5-CHOOSE(PARAM!$B$44,MAX(0,N468*$F$1),0),0)*RATES!$L445/12+$H$5*(PARAM!$D$51/12)*RATES!$N445/100</f>
        <v>90.458333333333329</v>
      </c>
      <c r="N469" s="16">
        <f t="shared" si="285"/>
        <v>-4549.1717736651426</v>
      </c>
      <c r="O469" s="15">
        <f t="shared" si="286"/>
        <v>22.170849845882874</v>
      </c>
      <c r="P469" s="75">
        <f>O469*(1-PARAM!$C$27)*$I$6+(MOD($B469,60)=PARAM!$B$56)*($B469&gt;(60-PARAM!$B$56))*HLOOKUP(($B469+PARAM!$B$56)/12,Loyalty,2)*$F$1*MAX(R468,0)</f>
        <v>18.557001321003963</v>
      </c>
      <c r="Q469" s="75">
        <f>PARAM!$C$26+MAX($G$6-CHOOSE(PARAM!$B$44,MAX(0,R468*$F$1),0),0)*RATES!$L445/12+$H$6*(PARAM!$D$51/12)*RATES!$N445/100</f>
        <v>90.458333333333329</v>
      </c>
      <c r="R469" s="16">
        <f t="shared" si="287"/>
        <v>-4549.1717736651426</v>
      </c>
      <c r="S469" s="15">
        <f t="shared" si="262"/>
        <v>22.170849845882874</v>
      </c>
      <c r="T469" s="75">
        <f>S469*(1-PARAM!$C$27)*$I$7+(MOD($B469,60)=PARAM!$B$56)*($B469&gt;(60-PARAM!$B$56))*HLOOKUP(($B469+PARAM!$B$56)/12,Loyalty,2)*$F$1*MAX(V468,0)</f>
        <v>18.557001321003963</v>
      </c>
      <c r="U469" s="75">
        <f>PARAM!$C$26+MAX($G$7-CHOOSE(PARAM!$B$44,MAX(0,V468*$F$1),0),0)*RATES!$L445/12+$H$7*(PARAM!$D$51/12)*RATES!$N445/100</f>
        <v>90.458333333333329</v>
      </c>
      <c r="V469" s="16">
        <f t="shared" si="288"/>
        <v>-4549.1717736651426</v>
      </c>
      <c r="W469" s="15">
        <f t="shared" si="263"/>
        <v>22.170849845882874</v>
      </c>
      <c r="X469" s="75">
        <f>W469*(1-PARAM!$C$27)*$I$8+(MOD($B469,60)=PARAM!$B$56)*($B469&gt;(60-PARAM!$B$56))*HLOOKUP(($B469+PARAM!$B$56)/12,Loyalty,2)*$F$1*MAX(Z468,0)</f>
        <v>18.557001321003963</v>
      </c>
      <c r="Y469" s="75">
        <f>PARAM!$C$26+MAX($G$8-CHOOSE(PARAM!$B$44,MAX(0,Z468*$F$1),0),0)*RATES!$L445/12+$H$8*(PARAM!$D$51/12)*RATES!$N445/100</f>
        <v>90.458333333333329</v>
      </c>
      <c r="Z469" s="16">
        <f t="shared" si="289"/>
        <v>-4549.1717736651426</v>
      </c>
      <c r="AA469" s="15">
        <f t="shared" si="264"/>
        <v>22.170849845882874</v>
      </c>
      <c r="AB469" s="75">
        <f>AA469*(1-PARAM!$C$27)*$I$9+(MOD($B469,60)=PARAM!$B$56)*($B469&gt;(60-PARAM!$B$56))*HLOOKUP(($B469+PARAM!$B$56)/12,Loyalty,2)*$F$1*MAX(AD468,0)</f>
        <v>18.557001321003963</v>
      </c>
      <c r="AC469" s="75">
        <f>PARAM!$C$26+MAX($G$9-CHOOSE(PARAM!$B$44,MAX(0,AD468*$F$1),0),0)*RATES!$L445/12+$H$9*(PARAM!$D$51/12)*RATES!$N445/100</f>
        <v>90.458333333333329</v>
      </c>
      <c r="AD469" s="16">
        <f t="shared" si="290"/>
        <v>-4549.1717736651426</v>
      </c>
      <c r="AE469" s="15">
        <f t="shared" si="265"/>
        <v>22.170849845882874</v>
      </c>
      <c r="AF469" s="75">
        <f>AE469*(1-PARAM!$C$27)*$I$10+(MOD($B469,60)=PARAM!$B$56)*($B469&gt;(60-PARAM!$B$56))*HLOOKUP(($B469+PARAM!$B$56)/12,Loyalty,2)*$F$1*MAX(AH468,0)</f>
        <v>18.557001321003963</v>
      </c>
      <c r="AG469" s="75">
        <f>PARAM!$C$26+MAX($G$10-CHOOSE(PARAM!$B$44,MAX(0,AH468*$F$1),0),0)*RATES!$L445/12+$H$10*(PARAM!$D$51/12)*RATES!$N445/100</f>
        <v>90.458333333333329</v>
      </c>
      <c r="AH469" s="16">
        <f t="shared" si="291"/>
        <v>-4549.1717736651426</v>
      </c>
      <c r="AI469" s="15">
        <f t="shared" si="266"/>
        <v>22.170849845882874</v>
      </c>
      <c r="AJ469" s="75">
        <f>AI469*(1-PARAM!$C$27)*$I$11+(MOD($B469,60)=PARAM!$B$56)*($B469&gt;(60-PARAM!$B$56))*HLOOKUP(($B469+PARAM!$B$56)/12,Loyalty,2)*$F$1*MAX(AL468,0)</f>
        <v>18.557001321003963</v>
      </c>
      <c r="AK469" s="75">
        <f>PARAM!$C$26+MAX($G$11-CHOOSE(PARAM!$B$44,MAX(0,AL468*$F$1),0),0)*RATES!$L445/12+$H$11*(PARAM!$D$51/12)*RATES!$N445/100</f>
        <v>90.458333333333329</v>
      </c>
      <c r="AL469" s="16">
        <f t="shared" si="292"/>
        <v>-4549.1717736651426</v>
      </c>
      <c r="AM469" s="15">
        <f t="shared" si="267"/>
        <v>22.170849845882874</v>
      </c>
      <c r="AN469" s="75">
        <f>AM469*(1-PARAM!$C$27)*$I$12+(MOD($B469,60)=PARAM!$B$56)*($B469&gt;(60-PARAM!$B$56))*HLOOKUP(($B469+PARAM!$B$56)/12,Loyalty,2)*$F$1*MAX(AP468,0)</f>
        <v>18.557001321003963</v>
      </c>
      <c r="AO469" s="75">
        <f>PARAM!$C$26+MAX($G$12-CHOOSE(PARAM!$B$44,MAX(0,AP468*$F$1),0),0)*RATES!$L445/12+$H$12*(PARAM!$D$51/12)*RATES!$N445/100</f>
        <v>90.458333333333329</v>
      </c>
      <c r="AP469" s="16">
        <f t="shared" si="293"/>
        <v>-4549.1717736651426</v>
      </c>
      <c r="AQ469" s="15">
        <f t="shared" si="268"/>
        <v>22.170849845882874</v>
      </c>
      <c r="AR469" s="75">
        <f>AQ469*(1-PARAM!$C$27)*$I$13+(MOD($B469,60)=PARAM!$B$56)*($B469&gt;(60-PARAM!$B$56))*HLOOKUP(($B469+PARAM!$B$56)/12,Loyalty,2)*$F$1*MAX(AT468,0)</f>
        <v>18.557001321003963</v>
      </c>
      <c r="AS469" s="75">
        <f>PARAM!$C$26+MAX($G$13-CHOOSE(PARAM!$B$44,MAX(0,AT468*$F$1),0),0)*RATES!$L445/12+$H$13*(PARAM!$D$51/12)*RATES!$N445/100</f>
        <v>90.458333333333329</v>
      </c>
      <c r="AT469" s="16">
        <f t="shared" si="294"/>
        <v>-4549.1717736651426</v>
      </c>
      <c r="AU469" s="15">
        <f t="shared" si="269"/>
        <v>22.170849845882874</v>
      </c>
      <c r="AV469" s="75">
        <f>AU469*(1-PARAM!$C$27)*$I$14+(MOD($B469,60)=PARAM!$B$56)*($B469&gt;(60-PARAM!$B$56))*HLOOKUP(($B469+PARAM!$B$56)/12,Loyalty,2)*$F$1*MAX(AX468,0)</f>
        <v>18.557001321003963</v>
      </c>
      <c r="AW469" s="75">
        <f>PARAM!$C$26+MAX($G$14-CHOOSE(PARAM!$B$44,MAX(0,AX468*$F$1),0),0)*RATES!$L445/12+$H$14*(PARAM!$D$51/12)*RATES!$N445/100</f>
        <v>90.458333333333329</v>
      </c>
      <c r="AX469" s="16">
        <f t="shared" si="295"/>
        <v>-4549.1717736651426</v>
      </c>
      <c r="AY469" s="15">
        <f t="shared" si="270"/>
        <v>22.170849845882874</v>
      </c>
      <c r="AZ469" s="75">
        <f>AY469*(1-PARAM!$C$27)*$I$15+(MOD($B469,60)=PARAM!$B$56)*($B469&gt;(60-PARAM!$B$56))*HLOOKUP(($B469+PARAM!$B$56)/12,Loyalty,2)*$F$1*MAX(BB468,0)</f>
        <v>18.557001321003963</v>
      </c>
      <c r="BA469" s="75">
        <f>PARAM!$C$26+MAX($G$15-CHOOSE(PARAM!$B$44,MAX(0,BB468*$F$1),0),0)*RATES!$L445/12+$H$15*(PARAM!$D$51/12)*RATES!$N445/100</f>
        <v>90.458333333333329</v>
      </c>
      <c r="BB469" s="16">
        <f t="shared" si="296"/>
        <v>-4549.1717736651426</v>
      </c>
      <c r="BC469" s="15">
        <f t="shared" si="271"/>
        <v>22.170849845882874</v>
      </c>
      <c r="BD469" s="75">
        <f>BC469*(1-PARAM!$C$27)*$I$16+(MOD($B469,60)=PARAM!$B$56)*($B469&gt;(60-PARAM!$B$56))*HLOOKUP(($B469+PARAM!$B$56)/12,Loyalty,2)*$F$1*MAX(BF468,0)</f>
        <v>18.557001321003963</v>
      </c>
      <c r="BE469" s="75">
        <f>PARAM!$C$26+MAX($G$16-CHOOSE(PARAM!$B$44,MAX(0,BF468*$F$1),0),0)*RATES!$L445/12+$H$16*(PARAM!$D$51/12)*RATES!$N445/100</f>
        <v>90.458333333333329</v>
      </c>
      <c r="BF469" s="16">
        <f t="shared" si="297"/>
        <v>-4549.1717736651426</v>
      </c>
      <c r="BG469" s="15">
        <f t="shared" si="272"/>
        <v>22.170849845882874</v>
      </c>
      <c r="BH469" s="75">
        <f>BG469*(1-PARAM!$C$27)*$I$17+(MOD($B469,60)=PARAM!$B$56)*($B469&gt;(60-PARAM!$B$56))*HLOOKUP(($B469+PARAM!$B$56)/12,Loyalty,2)*$F$1*MAX(BJ468,0)</f>
        <v>18.557001321003963</v>
      </c>
      <c r="BI469" s="75">
        <f>PARAM!$C$26+MAX($G$17-CHOOSE(PARAM!$B$44,MAX(0,BJ468*$F$1),0),0)*RATES!$L445/12+$H$17*(PARAM!$D$51/12)*RATES!$N445/100</f>
        <v>90.458333333333329</v>
      </c>
      <c r="BJ469" s="16">
        <f t="shared" si="298"/>
        <v>-4549.1717736651426</v>
      </c>
      <c r="BK469" s="15">
        <f t="shared" si="273"/>
        <v>22.170849845882874</v>
      </c>
      <c r="BL469" s="75">
        <f>BK469*(1-PARAM!$C$27)*$I$18+(MOD($B469,60)=PARAM!$B$56)*($B469&gt;(60-PARAM!$B$56))*HLOOKUP(($B469+PARAM!$B$56)/12,Loyalty,2)*$F$1*MAX(BN468,0)</f>
        <v>18.557001321003963</v>
      </c>
      <c r="BM469" s="75">
        <f>PARAM!$C$26+MAX($G$18-CHOOSE(PARAM!$B$44,MAX(0,BN468*$F$1),0),0)*RATES!$L445/12+$H$18*(PARAM!$D$51/12)*RATES!$N445/100</f>
        <v>90.458333333333329</v>
      </c>
      <c r="BN469" s="16">
        <f t="shared" si="299"/>
        <v>-4549.1717736651426</v>
      </c>
      <c r="BO469" s="15">
        <f t="shared" si="274"/>
        <v>22.170849845882874</v>
      </c>
      <c r="BP469" s="75">
        <f>BO469*(1-PARAM!$C$27)*$I$19+(MOD($B469,60)=PARAM!$B$56)*($B469&gt;(60-PARAM!$B$56))*HLOOKUP(($B469+PARAM!$B$56)/12,Loyalty,2)*$F$1*MAX(BR468,0)</f>
        <v>18.557001321003963</v>
      </c>
      <c r="BQ469" s="75">
        <f>PARAM!$C$26+MAX($G$19-CHOOSE(PARAM!$B$44,MAX(0,BR468*$F$1),0),0)*RATES!$L445/12+$H$19*(PARAM!$D$51/12)*RATES!$N445/100</f>
        <v>90.458333333333329</v>
      </c>
      <c r="BR469" s="16">
        <f t="shared" si="300"/>
        <v>-4549.1717736651426</v>
      </c>
      <c r="BS469" s="15">
        <f t="shared" si="275"/>
        <v>22.170849845882874</v>
      </c>
      <c r="BT469" s="75">
        <f>BS469*(1-PARAM!$C$27)*$I$20+(MOD($B469,60)=PARAM!$B$56)*($B469&gt;(60-PARAM!$B$56))*HLOOKUP(($B469+PARAM!$B$56)/12,Loyalty,2)*$F$1*MAX(BV468,0)</f>
        <v>18.557001321003963</v>
      </c>
      <c r="BU469" s="75">
        <f>PARAM!$C$26+MAX($G$20-CHOOSE(PARAM!$B$44,MAX(0,BV468*$F$1),0),0)*RATES!$L445/12+$H$20*(PARAM!$D$51/12)*RATES!$N445/100</f>
        <v>90.458333333333329</v>
      </c>
      <c r="BV469" s="16">
        <f t="shared" si="301"/>
        <v>-4549.1717736651426</v>
      </c>
      <c r="BW469" s="15">
        <f t="shared" si="276"/>
        <v>22.170849845882874</v>
      </c>
      <c r="BX469" s="75">
        <f>BW469*(1-PARAM!$C$27)*$I$21+(MOD($B469,60)=PARAM!$B$56)*($B469&gt;(60-PARAM!$B$56))*HLOOKUP(($B469+PARAM!$B$56)/12,Loyalty,2)*$F$1*MAX(BZ468,0)</f>
        <v>18.557001321003963</v>
      </c>
      <c r="BY469" s="75">
        <f>PARAM!$C$26+MAX($G$21-CHOOSE(PARAM!$B$44,MAX(0,BZ468*$F$1),0),0)*RATES!$L445/12+$H$21*(PARAM!$D$51/12)*RATES!$N445/100</f>
        <v>90.458333333333329</v>
      </c>
      <c r="BZ469" s="16">
        <f t="shared" si="302"/>
        <v>-4549.1717736651426</v>
      </c>
      <c r="CA469" s="15">
        <f t="shared" si="277"/>
        <v>22.170849845882874</v>
      </c>
      <c r="CB469" s="75">
        <f>CA469*(1-PARAM!$C$27)*$I$22+(MOD($B469,60)=PARAM!$B$56)*($B469&gt;(60-PARAM!$B$56))*HLOOKUP(($B469+PARAM!$B$56)/12,Loyalty,2)*$F$1*MAX(CD468,0)</f>
        <v>18.557001321003963</v>
      </c>
      <c r="CC469" s="75">
        <f>PARAM!$C$26+MAX($G$22-CHOOSE(PARAM!$B$44,MAX(0,CD468*$F$1),0),0)*RATES!$L445/12+$H$22*(PARAM!$D$51/12)*RATES!$N445/100</f>
        <v>90.458333333333329</v>
      </c>
      <c r="CD469" s="16">
        <f t="shared" si="303"/>
        <v>-4549.1717736651426</v>
      </c>
      <c r="CE469" s="33">
        <f>IF(0=MOD(B469,12/PARAM!$D$51),1,0)</f>
        <v>1</v>
      </c>
      <c r="CF469" s="15">
        <f t="shared" si="278"/>
        <v>0</v>
      </c>
      <c r="CG469" s="75">
        <f>CF469*(1-PARAM!$C$27)*$R$3+(MOD($B469/12,5)=0)*($B469&gt;60)*HLOOKUP($B469/12,Loyalty,2)*$F$1*MAX(CI468,0)</f>
        <v>0</v>
      </c>
      <c r="CH469" s="75">
        <f>PARAM!$C$26+MAX($P$3-CHOOSE(PARAM!$B$44,MAX(0,CI468*$F$1),0),0)*RATES!$L445/12+$Q$3*(PARAM!$D$51/12)*RATES!$N445/100</f>
        <v>90.458333333333329</v>
      </c>
      <c r="CI469" s="16">
        <f>IF(CI468&gt;0,CI468*PARAM!$C$53,CI468)+CG469-CH469</f>
        <v>-12631.79166666665</v>
      </c>
      <c r="CJ469" s="15">
        <f t="shared" si="304"/>
        <v>0</v>
      </c>
      <c r="CK469" s="75">
        <f>CJ469*(1-PARAM!$C$27)*$R$4+(MOD($B469/12,5)=0)*($B469&gt;60)*HLOOKUP($B469/12,Loyalty,2)*$F$1*MAX(CM468,0)</f>
        <v>0</v>
      </c>
      <c r="CL469" s="75">
        <f>PARAM!$C$26+MAX($P$4-CHOOSE(PARAM!$B$44,MAX(0,CM468*$F$1),0),0)*RATES!$L445/12+$Q$4*(PARAM!$D$51/12)*RATES!$N445/100</f>
        <v>90.458333333333329</v>
      </c>
      <c r="CM469" s="16">
        <f>IF(CM468&gt;0,CM468*PARAM!$C$53,CM468)+CK469-CL469</f>
        <v>-12631.79166666665</v>
      </c>
      <c r="CO469" s="176"/>
    </row>
    <row r="470" spans="1:93" x14ac:dyDescent="0.2">
      <c r="A470" t="b">
        <f t="shared" si="279"/>
        <v>0</v>
      </c>
      <c r="B470" s="33">
        <v>443</v>
      </c>
      <c r="C470" s="15">
        <f t="shared" si="280"/>
        <v>20.081305947392778</v>
      </c>
      <c r="D470" s="75">
        <f>C470*(1-PARAM!$C$27)*$I$3+(MOD($B470,60)=PARAM!$B$56)*($B470&gt;(60-PARAM!$B$56))*HLOOKUP(($B470+PARAM!$B$56)/12,Loyalty,2)*$F$1*MAX(F469,0)</f>
        <v>16.808053077967756</v>
      </c>
      <c r="E470" s="75">
        <f>PARAM!$C$26+MAX($G$3-CHOOSE(PARAM!$B$44,MAX(0,F469*$F$1),0),0)*RATES!$L446/12+$H$3*(PARAM!$D$51/12)*RATES!$N446/100</f>
        <v>90.458333333333329</v>
      </c>
      <c r="F470" s="16">
        <f t="shared" si="281"/>
        <v>-5432.7076778640239</v>
      </c>
      <c r="G470" s="15">
        <f t="shared" si="282"/>
        <v>22.035289406060361</v>
      </c>
      <c r="H470" s="75">
        <f>G470*(1-PARAM!$C$27)*$I$4+(MOD($B470,60)=PARAM!$B$56)*($B470&gt;(60-PARAM!$B$56))*HLOOKUP(($B470+PARAM!$B$56)/12,Loyalty,2)*$F$1*MAX(J469,0)</f>
        <v>18.443537232872522</v>
      </c>
      <c r="I470" s="75">
        <f>PARAM!$C$26+MAX($G$4-CHOOSE(PARAM!$B$44,MAX(0,J469*$F$1),0),0)*RATES!$L446/12+$H$4*(PARAM!$D$51/12)*RATES!$N446/100</f>
        <v>90.458333333333329</v>
      </c>
      <c r="J470" s="16">
        <f t="shared" si="283"/>
        <v>-4674.3552331194915</v>
      </c>
      <c r="K470" s="15">
        <f t="shared" si="284"/>
        <v>22.170849845882874</v>
      </c>
      <c r="L470" s="75">
        <f>K470*(1-PARAM!$C$27)*$I$5+(MOD($B470,60)=PARAM!$B$56)*($B470&gt;(60-PARAM!$B$56))*HLOOKUP(($B470+PARAM!$B$56)/12,Loyalty,2)*$F$1*MAX(N469,0)</f>
        <v>18.557001321003963</v>
      </c>
      <c r="M470" s="75">
        <f>PARAM!$C$26+MAX($G$5-CHOOSE(PARAM!$B$44,MAX(0,N469*$F$1),0),0)*RATES!$L446/12+$H$5*(PARAM!$D$51/12)*RATES!$N446/100</f>
        <v>90.458333333333329</v>
      </c>
      <c r="N470" s="16">
        <f t="shared" si="285"/>
        <v>-4621.0731056774721</v>
      </c>
      <c r="O470" s="15">
        <f t="shared" si="286"/>
        <v>22.170849845882874</v>
      </c>
      <c r="P470" s="75">
        <f>O470*(1-PARAM!$C$27)*$I$6+(MOD($B470,60)=PARAM!$B$56)*($B470&gt;(60-PARAM!$B$56))*HLOOKUP(($B470+PARAM!$B$56)/12,Loyalty,2)*$F$1*MAX(R469,0)</f>
        <v>18.557001321003963</v>
      </c>
      <c r="Q470" s="75">
        <f>PARAM!$C$26+MAX($G$6-CHOOSE(PARAM!$B$44,MAX(0,R469*$F$1),0),0)*RATES!$L446/12+$H$6*(PARAM!$D$51/12)*RATES!$N446/100</f>
        <v>90.458333333333329</v>
      </c>
      <c r="R470" s="16">
        <f t="shared" si="287"/>
        <v>-4621.0731056774721</v>
      </c>
      <c r="S470" s="15">
        <f t="shared" si="262"/>
        <v>22.170849845882874</v>
      </c>
      <c r="T470" s="75">
        <f>S470*(1-PARAM!$C$27)*$I$7+(MOD($B470,60)=PARAM!$B$56)*($B470&gt;(60-PARAM!$B$56))*HLOOKUP(($B470+PARAM!$B$56)/12,Loyalty,2)*$F$1*MAX(V469,0)</f>
        <v>18.557001321003963</v>
      </c>
      <c r="U470" s="75">
        <f>PARAM!$C$26+MAX($G$7-CHOOSE(PARAM!$B$44,MAX(0,V469*$F$1),0),0)*RATES!$L446/12+$H$7*(PARAM!$D$51/12)*RATES!$N446/100</f>
        <v>90.458333333333329</v>
      </c>
      <c r="V470" s="16">
        <f t="shared" si="288"/>
        <v>-4621.0731056774721</v>
      </c>
      <c r="W470" s="15">
        <f t="shared" si="263"/>
        <v>22.170849845882874</v>
      </c>
      <c r="X470" s="75">
        <f>W470*(1-PARAM!$C$27)*$I$8+(MOD($B470,60)=PARAM!$B$56)*($B470&gt;(60-PARAM!$B$56))*HLOOKUP(($B470+PARAM!$B$56)/12,Loyalty,2)*$F$1*MAX(Z469,0)</f>
        <v>18.557001321003963</v>
      </c>
      <c r="Y470" s="75">
        <f>PARAM!$C$26+MAX($G$8-CHOOSE(PARAM!$B$44,MAX(0,Z469*$F$1),0),0)*RATES!$L446/12+$H$8*(PARAM!$D$51/12)*RATES!$N446/100</f>
        <v>90.458333333333329</v>
      </c>
      <c r="Z470" s="16">
        <f t="shared" si="289"/>
        <v>-4621.0731056774721</v>
      </c>
      <c r="AA470" s="15">
        <f t="shared" si="264"/>
        <v>22.170849845882874</v>
      </c>
      <c r="AB470" s="75">
        <f>AA470*(1-PARAM!$C$27)*$I$9+(MOD($B470,60)=PARAM!$B$56)*($B470&gt;(60-PARAM!$B$56))*HLOOKUP(($B470+PARAM!$B$56)/12,Loyalty,2)*$F$1*MAX(AD469,0)</f>
        <v>18.557001321003963</v>
      </c>
      <c r="AC470" s="75">
        <f>PARAM!$C$26+MAX($G$9-CHOOSE(PARAM!$B$44,MAX(0,AD469*$F$1),0),0)*RATES!$L446/12+$H$9*(PARAM!$D$51/12)*RATES!$N446/100</f>
        <v>90.458333333333329</v>
      </c>
      <c r="AD470" s="16">
        <f t="shared" si="290"/>
        <v>-4621.0731056774721</v>
      </c>
      <c r="AE470" s="15">
        <f t="shared" si="265"/>
        <v>22.170849845882874</v>
      </c>
      <c r="AF470" s="75">
        <f>AE470*(1-PARAM!$C$27)*$I$10+(MOD($B470,60)=PARAM!$B$56)*($B470&gt;(60-PARAM!$B$56))*HLOOKUP(($B470+PARAM!$B$56)/12,Loyalty,2)*$F$1*MAX(AH469,0)</f>
        <v>18.557001321003963</v>
      </c>
      <c r="AG470" s="75">
        <f>PARAM!$C$26+MAX($G$10-CHOOSE(PARAM!$B$44,MAX(0,AH469*$F$1),0),0)*RATES!$L446/12+$H$10*(PARAM!$D$51/12)*RATES!$N446/100</f>
        <v>90.458333333333329</v>
      </c>
      <c r="AH470" s="16">
        <f t="shared" si="291"/>
        <v>-4621.0731056774721</v>
      </c>
      <c r="AI470" s="15">
        <f t="shared" si="266"/>
        <v>22.170849845882874</v>
      </c>
      <c r="AJ470" s="75">
        <f>AI470*(1-PARAM!$C$27)*$I$11+(MOD($B470,60)=PARAM!$B$56)*($B470&gt;(60-PARAM!$B$56))*HLOOKUP(($B470+PARAM!$B$56)/12,Loyalty,2)*$F$1*MAX(AL469,0)</f>
        <v>18.557001321003963</v>
      </c>
      <c r="AK470" s="75">
        <f>PARAM!$C$26+MAX($G$11-CHOOSE(PARAM!$B$44,MAX(0,AL469*$F$1),0),0)*RATES!$L446/12+$H$11*(PARAM!$D$51/12)*RATES!$N446/100</f>
        <v>90.458333333333329</v>
      </c>
      <c r="AL470" s="16">
        <f t="shared" si="292"/>
        <v>-4621.0731056774721</v>
      </c>
      <c r="AM470" s="15">
        <f t="shared" si="267"/>
        <v>22.170849845882874</v>
      </c>
      <c r="AN470" s="75">
        <f>AM470*(1-PARAM!$C$27)*$I$12+(MOD($B470,60)=PARAM!$B$56)*($B470&gt;(60-PARAM!$B$56))*HLOOKUP(($B470+PARAM!$B$56)/12,Loyalty,2)*$F$1*MAX(AP469,0)</f>
        <v>18.557001321003963</v>
      </c>
      <c r="AO470" s="75">
        <f>PARAM!$C$26+MAX($G$12-CHOOSE(PARAM!$B$44,MAX(0,AP469*$F$1),0),0)*RATES!$L446/12+$H$12*(PARAM!$D$51/12)*RATES!$N446/100</f>
        <v>90.458333333333329</v>
      </c>
      <c r="AP470" s="16">
        <f t="shared" si="293"/>
        <v>-4621.0731056774721</v>
      </c>
      <c r="AQ470" s="15">
        <f t="shared" si="268"/>
        <v>22.170849845882874</v>
      </c>
      <c r="AR470" s="75">
        <f>AQ470*(1-PARAM!$C$27)*$I$13+(MOD($B470,60)=PARAM!$B$56)*($B470&gt;(60-PARAM!$B$56))*HLOOKUP(($B470+PARAM!$B$56)/12,Loyalty,2)*$F$1*MAX(AT469,0)</f>
        <v>18.557001321003963</v>
      </c>
      <c r="AS470" s="75">
        <f>PARAM!$C$26+MAX($G$13-CHOOSE(PARAM!$B$44,MAX(0,AT469*$F$1),0),0)*RATES!$L446/12+$H$13*(PARAM!$D$51/12)*RATES!$N446/100</f>
        <v>90.458333333333329</v>
      </c>
      <c r="AT470" s="16">
        <f t="shared" si="294"/>
        <v>-4621.0731056774721</v>
      </c>
      <c r="AU470" s="15">
        <f t="shared" si="269"/>
        <v>22.170849845882874</v>
      </c>
      <c r="AV470" s="75">
        <f>AU470*(1-PARAM!$C$27)*$I$14+(MOD($B470,60)=PARAM!$B$56)*($B470&gt;(60-PARAM!$B$56))*HLOOKUP(($B470+PARAM!$B$56)/12,Loyalty,2)*$F$1*MAX(AX469,0)</f>
        <v>18.557001321003963</v>
      </c>
      <c r="AW470" s="75">
        <f>PARAM!$C$26+MAX($G$14-CHOOSE(PARAM!$B$44,MAX(0,AX469*$F$1),0),0)*RATES!$L446/12+$H$14*(PARAM!$D$51/12)*RATES!$N446/100</f>
        <v>90.458333333333329</v>
      </c>
      <c r="AX470" s="16">
        <f t="shared" si="295"/>
        <v>-4621.0731056774721</v>
      </c>
      <c r="AY470" s="15">
        <f t="shared" si="270"/>
        <v>22.170849845882874</v>
      </c>
      <c r="AZ470" s="75">
        <f>AY470*(1-PARAM!$C$27)*$I$15+(MOD($B470,60)=PARAM!$B$56)*($B470&gt;(60-PARAM!$B$56))*HLOOKUP(($B470+PARAM!$B$56)/12,Loyalty,2)*$F$1*MAX(BB469,0)</f>
        <v>18.557001321003963</v>
      </c>
      <c r="BA470" s="75">
        <f>PARAM!$C$26+MAX($G$15-CHOOSE(PARAM!$B$44,MAX(0,BB469*$F$1),0),0)*RATES!$L446/12+$H$15*(PARAM!$D$51/12)*RATES!$N446/100</f>
        <v>90.458333333333329</v>
      </c>
      <c r="BB470" s="16">
        <f t="shared" si="296"/>
        <v>-4621.0731056774721</v>
      </c>
      <c r="BC470" s="15">
        <f t="shared" si="271"/>
        <v>22.170849845882874</v>
      </c>
      <c r="BD470" s="75">
        <f>BC470*(1-PARAM!$C$27)*$I$16+(MOD($B470,60)=PARAM!$B$56)*($B470&gt;(60-PARAM!$B$56))*HLOOKUP(($B470+PARAM!$B$56)/12,Loyalty,2)*$F$1*MAX(BF469,0)</f>
        <v>18.557001321003963</v>
      </c>
      <c r="BE470" s="75">
        <f>PARAM!$C$26+MAX($G$16-CHOOSE(PARAM!$B$44,MAX(0,BF469*$F$1),0),0)*RATES!$L446/12+$H$16*(PARAM!$D$51/12)*RATES!$N446/100</f>
        <v>90.458333333333329</v>
      </c>
      <c r="BF470" s="16">
        <f t="shared" si="297"/>
        <v>-4621.0731056774721</v>
      </c>
      <c r="BG470" s="15">
        <f t="shared" si="272"/>
        <v>22.170849845882874</v>
      </c>
      <c r="BH470" s="75">
        <f>BG470*(1-PARAM!$C$27)*$I$17+(MOD($B470,60)=PARAM!$B$56)*($B470&gt;(60-PARAM!$B$56))*HLOOKUP(($B470+PARAM!$B$56)/12,Loyalty,2)*$F$1*MAX(BJ469,0)</f>
        <v>18.557001321003963</v>
      </c>
      <c r="BI470" s="75">
        <f>PARAM!$C$26+MAX($G$17-CHOOSE(PARAM!$B$44,MAX(0,BJ469*$F$1),0),0)*RATES!$L446/12+$H$17*(PARAM!$D$51/12)*RATES!$N446/100</f>
        <v>90.458333333333329</v>
      </c>
      <c r="BJ470" s="16">
        <f t="shared" si="298"/>
        <v>-4621.0731056774721</v>
      </c>
      <c r="BK470" s="15">
        <f t="shared" si="273"/>
        <v>22.170849845882874</v>
      </c>
      <c r="BL470" s="75">
        <f>BK470*(1-PARAM!$C$27)*$I$18+(MOD($B470,60)=PARAM!$B$56)*($B470&gt;(60-PARAM!$B$56))*HLOOKUP(($B470+PARAM!$B$56)/12,Loyalty,2)*$F$1*MAX(BN469,0)</f>
        <v>18.557001321003963</v>
      </c>
      <c r="BM470" s="75">
        <f>PARAM!$C$26+MAX($G$18-CHOOSE(PARAM!$B$44,MAX(0,BN469*$F$1),0),0)*RATES!$L446/12+$H$18*(PARAM!$D$51/12)*RATES!$N446/100</f>
        <v>90.458333333333329</v>
      </c>
      <c r="BN470" s="16">
        <f t="shared" si="299"/>
        <v>-4621.0731056774721</v>
      </c>
      <c r="BO470" s="15">
        <f t="shared" si="274"/>
        <v>22.170849845882874</v>
      </c>
      <c r="BP470" s="75">
        <f>BO470*(1-PARAM!$C$27)*$I$19+(MOD($B470,60)=PARAM!$B$56)*($B470&gt;(60-PARAM!$B$56))*HLOOKUP(($B470+PARAM!$B$56)/12,Loyalty,2)*$F$1*MAX(BR469,0)</f>
        <v>18.557001321003963</v>
      </c>
      <c r="BQ470" s="75">
        <f>PARAM!$C$26+MAX($G$19-CHOOSE(PARAM!$B$44,MAX(0,BR469*$F$1),0),0)*RATES!$L446/12+$H$19*(PARAM!$D$51/12)*RATES!$N446/100</f>
        <v>90.458333333333329</v>
      </c>
      <c r="BR470" s="16">
        <f t="shared" si="300"/>
        <v>-4621.0731056774721</v>
      </c>
      <c r="BS470" s="15">
        <f t="shared" si="275"/>
        <v>22.170849845882874</v>
      </c>
      <c r="BT470" s="75">
        <f>BS470*(1-PARAM!$C$27)*$I$20+(MOD($B470,60)=PARAM!$B$56)*($B470&gt;(60-PARAM!$B$56))*HLOOKUP(($B470+PARAM!$B$56)/12,Loyalty,2)*$F$1*MAX(BV469,0)</f>
        <v>18.557001321003963</v>
      </c>
      <c r="BU470" s="75">
        <f>PARAM!$C$26+MAX($G$20-CHOOSE(PARAM!$B$44,MAX(0,BV469*$F$1),0),0)*RATES!$L446/12+$H$20*(PARAM!$D$51/12)*RATES!$N446/100</f>
        <v>90.458333333333329</v>
      </c>
      <c r="BV470" s="16">
        <f t="shared" si="301"/>
        <v>-4621.0731056774721</v>
      </c>
      <c r="BW470" s="15">
        <f t="shared" si="276"/>
        <v>22.170849845882874</v>
      </c>
      <c r="BX470" s="75">
        <f>BW470*(1-PARAM!$C$27)*$I$21+(MOD($B470,60)=PARAM!$B$56)*($B470&gt;(60-PARAM!$B$56))*HLOOKUP(($B470+PARAM!$B$56)/12,Loyalty,2)*$F$1*MAX(BZ469,0)</f>
        <v>18.557001321003963</v>
      </c>
      <c r="BY470" s="75">
        <f>PARAM!$C$26+MAX($G$21-CHOOSE(PARAM!$B$44,MAX(0,BZ469*$F$1),0),0)*RATES!$L446/12+$H$21*(PARAM!$D$51/12)*RATES!$N446/100</f>
        <v>90.458333333333329</v>
      </c>
      <c r="BZ470" s="16">
        <f t="shared" si="302"/>
        <v>-4621.0731056774721</v>
      </c>
      <c r="CA470" s="15">
        <f t="shared" si="277"/>
        <v>22.170849845882874</v>
      </c>
      <c r="CB470" s="75">
        <f>CA470*(1-PARAM!$C$27)*$I$22+(MOD($B470,60)=PARAM!$B$56)*($B470&gt;(60-PARAM!$B$56))*HLOOKUP(($B470+PARAM!$B$56)/12,Loyalty,2)*$F$1*MAX(CD469,0)</f>
        <v>18.557001321003963</v>
      </c>
      <c r="CC470" s="75">
        <f>PARAM!$C$26+MAX($G$22-CHOOSE(PARAM!$B$44,MAX(0,CD469*$F$1),0),0)*RATES!$L446/12+$H$22*(PARAM!$D$51/12)*RATES!$N446/100</f>
        <v>90.458333333333329</v>
      </c>
      <c r="CD470" s="16">
        <f t="shared" si="303"/>
        <v>-4621.0731056774721</v>
      </c>
      <c r="CE470" s="33">
        <f>IF(0=MOD(B470,12/PARAM!$D$51),1,0)</f>
        <v>1</v>
      </c>
      <c r="CF470" s="15">
        <f t="shared" si="278"/>
        <v>0</v>
      </c>
      <c r="CG470" s="75">
        <f>CF470*(1-PARAM!$C$27)*$R$3+(MOD($B470/12,5)=0)*($B470&gt;60)*HLOOKUP($B470/12,Loyalty,2)*$F$1*MAX(CI469,0)</f>
        <v>0</v>
      </c>
      <c r="CH470" s="75">
        <f>PARAM!$C$26+MAX($P$3-CHOOSE(PARAM!$B$44,MAX(0,CI469*$F$1),0),0)*RATES!$L446/12+$Q$3*(PARAM!$D$51/12)*RATES!$N446/100</f>
        <v>90.458333333333329</v>
      </c>
      <c r="CI470" s="16">
        <f>IF(CI469&gt;0,CI469*PARAM!$C$53,CI469)+CG470-CH470</f>
        <v>-12722.249999999984</v>
      </c>
      <c r="CJ470" s="15">
        <f t="shared" si="304"/>
        <v>0</v>
      </c>
      <c r="CK470" s="75">
        <f>CJ470*(1-PARAM!$C$27)*$R$4+(MOD($B470/12,5)=0)*($B470&gt;60)*HLOOKUP($B470/12,Loyalty,2)*$F$1*MAX(CM469,0)</f>
        <v>0</v>
      </c>
      <c r="CL470" s="75">
        <f>PARAM!$C$26+MAX($P$4-CHOOSE(PARAM!$B$44,MAX(0,CM469*$F$1),0),0)*RATES!$L446/12+$Q$4*(PARAM!$D$51/12)*RATES!$N446/100</f>
        <v>90.458333333333329</v>
      </c>
      <c r="CM470" s="16">
        <f>IF(CM469&gt;0,CM469*PARAM!$C$53,CM469)+CK470-CL470</f>
        <v>-12722.249999999984</v>
      </c>
      <c r="CO470" s="176"/>
    </row>
    <row r="471" spans="1:93" x14ac:dyDescent="0.2">
      <c r="A471" t="b">
        <f t="shared" si="279"/>
        <v>0</v>
      </c>
      <c r="B471" s="33">
        <v>444</v>
      </c>
      <c r="C471" s="15">
        <f t="shared" si="280"/>
        <v>20.081305947392778</v>
      </c>
      <c r="D471" s="75">
        <f>C471*(1-PARAM!$C$27)*$I$3+(MOD($B471,60)=PARAM!$B$56)*($B471&gt;(60-PARAM!$B$56))*HLOOKUP(($B471+PARAM!$B$56)/12,Loyalty,2)*$F$1*MAX(F470,0)</f>
        <v>16.808053077967756</v>
      </c>
      <c r="E471" s="75">
        <f>PARAM!$C$26+MAX($G$3-CHOOSE(PARAM!$B$44,MAX(0,F470*$F$1),0),0)*RATES!$L447/12+$H$3*(PARAM!$D$51/12)*RATES!$N447/100</f>
        <v>90.458333333333329</v>
      </c>
      <c r="F471" s="16">
        <f t="shared" si="281"/>
        <v>-5506.357958119389</v>
      </c>
      <c r="G471" s="15">
        <f t="shared" si="282"/>
        <v>22.035289406060361</v>
      </c>
      <c r="H471" s="75">
        <f>G471*(1-PARAM!$C$27)*$I$4+(MOD($B471,60)=PARAM!$B$56)*($B471&gt;(60-PARAM!$B$56))*HLOOKUP(($B471+PARAM!$B$56)/12,Loyalty,2)*$F$1*MAX(J470,0)</f>
        <v>18.443537232872522</v>
      </c>
      <c r="I471" s="75">
        <f>PARAM!$C$26+MAX($G$4-CHOOSE(PARAM!$B$44,MAX(0,J470*$F$1),0),0)*RATES!$L447/12+$H$4*(PARAM!$D$51/12)*RATES!$N447/100</f>
        <v>90.458333333333329</v>
      </c>
      <c r="J471" s="16">
        <f t="shared" si="283"/>
        <v>-4746.3700292199519</v>
      </c>
      <c r="K471" s="15">
        <f t="shared" si="284"/>
        <v>22.170849845882874</v>
      </c>
      <c r="L471" s="75">
        <f>K471*(1-PARAM!$C$27)*$I$5+(MOD($B471,60)=PARAM!$B$56)*($B471&gt;(60-PARAM!$B$56))*HLOOKUP(($B471+PARAM!$B$56)/12,Loyalty,2)*$F$1*MAX(N470,0)</f>
        <v>18.557001321003963</v>
      </c>
      <c r="M471" s="75">
        <f>PARAM!$C$26+MAX($G$5-CHOOSE(PARAM!$B$44,MAX(0,N470*$F$1),0),0)*RATES!$L447/12+$H$5*(PARAM!$D$51/12)*RATES!$N447/100</f>
        <v>90.458333333333329</v>
      </c>
      <c r="N471" s="16">
        <f t="shared" si="285"/>
        <v>-4692.9744376898016</v>
      </c>
      <c r="O471" s="15">
        <f t="shared" si="286"/>
        <v>22.170849845882874</v>
      </c>
      <c r="P471" s="75">
        <f>O471*(1-PARAM!$C$27)*$I$6+(MOD($B471,60)=PARAM!$B$56)*($B471&gt;(60-PARAM!$B$56))*HLOOKUP(($B471+PARAM!$B$56)/12,Loyalty,2)*$F$1*MAX(R470,0)</f>
        <v>18.557001321003963</v>
      </c>
      <c r="Q471" s="75">
        <f>PARAM!$C$26+MAX($G$6-CHOOSE(PARAM!$B$44,MAX(0,R470*$F$1),0),0)*RATES!$L447/12+$H$6*(PARAM!$D$51/12)*RATES!$N447/100</f>
        <v>90.458333333333329</v>
      </c>
      <c r="R471" s="16">
        <f t="shared" si="287"/>
        <v>-4692.9744376898016</v>
      </c>
      <c r="S471" s="15">
        <f t="shared" si="262"/>
        <v>22.170849845882874</v>
      </c>
      <c r="T471" s="75">
        <f>S471*(1-PARAM!$C$27)*$I$7+(MOD($B471,60)=PARAM!$B$56)*($B471&gt;(60-PARAM!$B$56))*HLOOKUP(($B471+PARAM!$B$56)/12,Loyalty,2)*$F$1*MAX(V470,0)</f>
        <v>18.557001321003963</v>
      </c>
      <c r="U471" s="75">
        <f>PARAM!$C$26+MAX($G$7-CHOOSE(PARAM!$B$44,MAX(0,V470*$F$1),0),0)*RATES!$L447/12+$H$7*(PARAM!$D$51/12)*RATES!$N447/100</f>
        <v>90.458333333333329</v>
      </c>
      <c r="V471" s="16">
        <f t="shared" si="288"/>
        <v>-4692.9744376898016</v>
      </c>
      <c r="W471" s="15">
        <f t="shared" si="263"/>
        <v>22.170849845882874</v>
      </c>
      <c r="X471" s="75">
        <f>W471*(1-PARAM!$C$27)*$I$8+(MOD($B471,60)=PARAM!$B$56)*($B471&gt;(60-PARAM!$B$56))*HLOOKUP(($B471+PARAM!$B$56)/12,Loyalty,2)*$F$1*MAX(Z470,0)</f>
        <v>18.557001321003963</v>
      </c>
      <c r="Y471" s="75">
        <f>PARAM!$C$26+MAX($G$8-CHOOSE(PARAM!$B$44,MAX(0,Z470*$F$1),0),0)*RATES!$L447/12+$H$8*(PARAM!$D$51/12)*RATES!$N447/100</f>
        <v>90.458333333333329</v>
      </c>
      <c r="Z471" s="16">
        <f t="shared" si="289"/>
        <v>-4692.9744376898016</v>
      </c>
      <c r="AA471" s="15">
        <f t="shared" si="264"/>
        <v>22.170849845882874</v>
      </c>
      <c r="AB471" s="75">
        <f>AA471*(1-PARAM!$C$27)*$I$9+(MOD($B471,60)=PARAM!$B$56)*($B471&gt;(60-PARAM!$B$56))*HLOOKUP(($B471+PARAM!$B$56)/12,Loyalty,2)*$F$1*MAX(AD470,0)</f>
        <v>18.557001321003963</v>
      </c>
      <c r="AC471" s="75">
        <f>PARAM!$C$26+MAX($G$9-CHOOSE(PARAM!$B$44,MAX(0,AD470*$F$1),0),0)*RATES!$L447/12+$H$9*(PARAM!$D$51/12)*RATES!$N447/100</f>
        <v>90.458333333333329</v>
      </c>
      <c r="AD471" s="16">
        <f t="shared" si="290"/>
        <v>-4692.9744376898016</v>
      </c>
      <c r="AE471" s="15">
        <f t="shared" si="265"/>
        <v>22.170849845882874</v>
      </c>
      <c r="AF471" s="75">
        <f>AE471*(1-PARAM!$C$27)*$I$10+(MOD($B471,60)=PARAM!$B$56)*($B471&gt;(60-PARAM!$B$56))*HLOOKUP(($B471+PARAM!$B$56)/12,Loyalty,2)*$F$1*MAX(AH470,0)</f>
        <v>18.557001321003963</v>
      </c>
      <c r="AG471" s="75">
        <f>PARAM!$C$26+MAX($G$10-CHOOSE(PARAM!$B$44,MAX(0,AH470*$F$1),0),0)*RATES!$L447/12+$H$10*(PARAM!$D$51/12)*RATES!$N447/100</f>
        <v>90.458333333333329</v>
      </c>
      <c r="AH471" s="16">
        <f t="shared" si="291"/>
        <v>-4692.9744376898016</v>
      </c>
      <c r="AI471" s="15">
        <f t="shared" si="266"/>
        <v>22.170849845882874</v>
      </c>
      <c r="AJ471" s="75">
        <f>AI471*(1-PARAM!$C$27)*$I$11+(MOD($B471,60)=PARAM!$B$56)*($B471&gt;(60-PARAM!$B$56))*HLOOKUP(($B471+PARAM!$B$56)/12,Loyalty,2)*$F$1*MAX(AL470,0)</f>
        <v>18.557001321003963</v>
      </c>
      <c r="AK471" s="75">
        <f>PARAM!$C$26+MAX($G$11-CHOOSE(PARAM!$B$44,MAX(0,AL470*$F$1),0),0)*RATES!$L447/12+$H$11*(PARAM!$D$51/12)*RATES!$N447/100</f>
        <v>90.458333333333329</v>
      </c>
      <c r="AL471" s="16">
        <f t="shared" si="292"/>
        <v>-4692.9744376898016</v>
      </c>
      <c r="AM471" s="15">
        <f t="shared" si="267"/>
        <v>22.170849845882874</v>
      </c>
      <c r="AN471" s="75">
        <f>AM471*(1-PARAM!$C$27)*$I$12+(MOD($B471,60)=PARAM!$B$56)*($B471&gt;(60-PARAM!$B$56))*HLOOKUP(($B471+PARAM!$B$56)/12,Loyalty,2)*$F$1*MAX(AP470,0)</f>
        <v>18.557001321003963</v>
      </c>
      <c r="AO471" s="75">
        <f>PARAM!$C$26+MAX($G$12-CHOOSE(PARAM!$B$44,MAX(0,AP470*$F$1),0),0)*RATES!$L447/12+$H$12*(PARAM!$D$51/12)*RATES!$N447/100</f>
        <v>90.458333333333329</v>
      </c>
      <c r="AP471" s="16">
        <f t="shared" si="293"/>
        <v>-4692.9744376898016</v>
      </c>
      <c r="AQ471" s="15">
        <f t="shared" si="268"/>
        <v>22.170849845882874</v>
      </c>
      <c r="AR471" s="75">
        <f>AQ471*(1-PARAM!$C$27)*$I$13+(MOD($B471,60)=PARAM!$B$56)*($B471&gt;(60-PARAM!$B$56))*HLOOKUP(($B471+PARAM!$B$56)/12,Loyalty,2)*$F$1*MAX(AT470,0)</f>
        <v>18.557001321003963</v>
      </c>
      <c r="AS471" s="75">
        <f>PARAM!$C$26+MAX($G$13-CHOOSE(PARAM!$B$44,MAX(0,AT470*$F$1),0),0)*RATES!$L447/12+$H$13*(PARAM!$D$51/12)*RATES!$N447/100</f>
        <v>90.458333333333329</v>
      </c>
      <c r="AT471" s="16">
        <f t="shared" si="294"/>
        <v>-4692.9744376898016</v>
      </c>
      <c r="AU471" s="15">
        <f t="shared" si="269"/>
        <v>22.170849845882874</v>
      </c>
      <c r="AV471" s="75">
        <f>AU471*(1-PARAM!$C$27)*$I$14+(MOD($B471,60)=PARAM!$B$56)*($B471&gt;(60-PARAM!$B$56))*HLOOKUP(($B471+PARAM!$B$56)/12,Loyalty,2)*$F$1*MAX(AX470,0)</f>
        <v>18.557001321003963</v>
      </c>
      <c r="AW471" s="75">
        <f>PARAM!$C$26+MAX($G$14-CHOOSE(PARAM!$B$44,MAX(0,AX470*$F$1),0),0)*RATES!$L447/12+$H$14*(PARAM!$D$51/12)*RATES!$N447/100</f>
        <v>90.458333333333329</v>
      </c>
      <c r="AX471" s="16">
        <f t="shared" si="295"/>
        <v>-4692.9744376898016</v>
      </c>
      <c r="AY471" s="15">
        <f t="shared" si="270"/>
        <v>22.170849845882874</v>
      </c>
      <c r="AZ471" s="75">
        <f>AY471*(1-PARAM!$C$27)*$I$15+(MOD($B471,60)=PARAM!$B$56)*($B471&gt;(60-PARAM!$B$56))*HLOOKUP(($B471+PARAM!$B$56)/12,Loyalty,2)*$F$1*MAX(BB470,0)</f>
        <v>18.557001321003963</v>
      </c>
      <c r="BA471" s="75">
        <f>PARAM!$C$26+MAX($G$15-CHOOSE(PARAM!$B$44,MAX(0,BB470*$F$1),0),0)*RATES!$L447/12+$H$15*(PARAM!$D$51/12)*RATES!$N447/100</f>
        <v>90.458333333333329</v>
      </c>
      <c r="BB471" s="16">
        <f t="shared" si="296"/>
        <v>-4692.9744376898016</v>
      </c>
      <c r="BC471" s="15">
        <f t="shared" si="271"/>
        <v>22.170849845882874</v>
      </c>
      <c r="BD471" s="75">
        <f>BC471*(1-PARAM!$C$27)*$I$16+(MOD($B471,60)=PARAM!$B$56)*($B471&gt;(60-PARAM!$B$56))*HLOOKUP(($B471+PARAM!$B$56)/12,Loyalty,2)*$F$1*MAX(BF470,0)</f>
        <v>18.557001321003963</v>
      </c>
      <c r="BE471" s="75">
        <f>PARAM!$C$26+MAX($G$16-CHOOSE(PARAM!$B$44,MAX(0,BF470*$F$1),0),0)*RATES!$L447/12+$H$16*(PARAM!$D$51/12)*RATES!$N447/100</f>
        <v>90.458333333333329</v>
      </c>
      <c r="BF471" s="16">
        <f t="shared" si="297"/>
        <v>-4692.9744376898016</v>
      </c>
      <c r="BG471" s="15">
        <f t="shared" si="272"/>
        <v>22.170849845882874</v>
      </c>
      <c r="BH471" s="75">
        <f>BG471*(1-PARAM!$C$27)*$I$17+(MOD($B471,60)=PARAM!$B$56)*($B471&gt;(60-PARAM!$B$56))*HLOOKUP(($B471+PARAM!$B$56)/12,Loyalty,2)*$F$1*MAX(BJ470,0)</f>
        <v>18.557001321003963</v>
      </c>
      <c r="BI471" s="75">
        <f>PARAM!$C$26+MAX($G$17-CHOOSE(PARAM!$B$44,MAX(0,BJ470*$F$1),0),0)*RATES!$L447/12+$H$17*(PARAM!$D$51/12)*RATES!$N447/100</f>
        <v>90.458333333333329</v>
      </c>
      <c r="BJ471" s="16">
        <f t="shared" si="298"/>
        <v>-4692.9744376898016</v>
      </c>
      <c r="BK471" s="15">
        <f t="shared" si="273"/>
        <v>22.170849845882874</v>
      </c>
      <c r="BL471" s="75">
        <f>BK471*(1-PARAM!$C$27)*$I$18+(MOD($B471,60)=PARAM!$B$56)*($B471&gt;(60-PARAM!$B$56))*HLOOKUP(($B471+PARAM!$B$56)/12,Loyalty,2)*$F$1*MAX(BN470,0)</f>
        <v>18.557001321003963</v>
      </c>
      <c r="BM471" s="75">
        <f>PARAM!$C$26+MAX($G$18-CHOOSE(PARAM!$B$44,MAX(0,BN470*$F$1),0),0)*RATES!$L447/12+$H$18*(PARAM!$D$51/12)*RATES!$N447/100</f>
        <v>90.458333333333329</v>
      </c>
      <c r="BN471" s="16">
        <f t="shared" si="299"/>
        <v>-4692.9744376898016</v>
      </c>
      <c r="BO471" s="15">
        <f t="shared" si="274"/>
        <v>22.170849845882874</v>
      </c>
      <c r="BP471" s="75">
        <f>BO471*(1-PARAM!$C$27)*$I$19+(MOD($B471,60)=PARAM!$B$56)*($B471&gt;(60-PARAM!$B$56))*HLOOKUP(($B471+PARAM!$B$56)/12,Loyalty,2)*$F$1*MAX(BR470,0)</f>
        <v>18.557001321003963</v>
      </c>
      <c r="BQ471" s="75">
        <f>PARAM!$C$26+MAX($G$19-CHOOSE(PARAM!$B$44,MAX(0,BR470*$F$1),0),0)*RATES!$L447/12+$H$19*(PARAM!$D$51/12)*RATES!$N447/100</f>
        <v>90.458333333333329</v>
      </c>
      <c r="BR471" s="16">
        <f t="shared" si="300"/>
        <v>-4692.9744376898016</v>
      </c>
      <c r="BS471" s="15">
        <f t="shared" si="275"/>
        <v>22.170849845882874</v>
      </c>
      <c r="BT471" s="75">
        <f>BS471*(1-PARAM!$C$27)*$I$20+(MOD($B471,60)=PARAM!$B$56)*($B471&gt;(60-PARAM!$B$56))*HLOOKUP(($B471+PARAM!$B$56)/12,Loyalty,2)*$F$1*MAX(BV470,0)</f>
        <v>18.557001321003963</v>
      </c>
      <c r="BU471" s="75">
        <f>PARAM!$C$26+MAX($G$20-CHOOSE(PARAM!$B$44,MAX(0,BV470*$F$1),0),0)*RATES!$L447/12+$H$20*(PARAM!$D$51/12)*RATES!$N447/100</f>
        <v>90.458333333333329</v>
      </c>
      <c r="BV471" s="16">
        <f t="shared" si="301"/>
        <v>-4692.9744376898016</v>
      </c>
      <c r="BW471" s="15">
        <f t="shared" si="276"/>
        <v>22.170849845882874</v>
      </c>
      <c r="BX471" s="75">
        <f>BW471*(1-PARAM!$C$27)*$I$21+(MOD($B471,60)=PARAM!$B$56)*($B471&gt;(60-PARAM!$B$56))*HLOOKUP(($B471+PARAM!$B$56)/12,Loyalty,2)*$F$1*MAX(BZ470,0)</f>
        <v>18.557001321003963</v>
      </c>
      <c r="BY471" s="75">
        <f>PARAM!$C$26+MAX($G$21-CHOOSE(PARAM!$B$44,MAX(0,BZ470*$F$1),0),0)*RATES!$L447/12+$H$21*(PARAM!$D$51/12)*RATES!$N447/100</f>
        <v>90.458333333333329</v>
      </c>
      <c r="BZ471" s="16">
        <f t="shared" si="302"/>
        <v>-4692.9744376898016</v>
      </c>
      <c r="CA471" s="15">
        <f t="shared" si="277"/>
        <v>22.170849845882874</v>
      </c>
      <c r="CB471" s="75">
        <f>CA471*(1-PARAM!$C$27)*$I$22+(MOD($B471,60)=PARAM!$B$56)*($B471&gt;(60-PARAM!$B$56))*HLOOKUP(($B471+PARAM!$B$56)/12,Loyalty,2)*$F$1*MAX(CD470,0)</f>
        <v>18.557001321003963</v>
      </c>
      <c r="CC471" s="75">
        <f>PARAM!$C$26+MAX($G$22-CHOOSE(PARAM!$B$44,MAX(0,CD470*$F$1),0),0)*RATES!$L447/12+$H$22*(PARAM!$D$51/12)*RATES!$N447/100</f>
        <v>90.458333333333329</v>
      </c>
      <c r="CD471" s="16">
        <f t="shared" si="303"/>
        <v>-4692.9744376898016</v>
      </c>
      <c r="CE471" s="33">
        <f>IF(0=MOD(B471,12/PARAM!$D$51),1,0)</f>
        <v>1</v>
      </c>
      <c r="CF471" s="15">
        <f t="shared" si="278"/>
        <v>0</v>
      </c>
      <c r="CG471" s="75">
        <f>CF471*(1-PARAM!$C$27)*$R$3+(MOD($B471/12,5)=0)*($B471&gt;60)*HLOOKUP($B471/12,Loyalty,2)*$F$1*MAX(CI470,0)</f>
        <v>0</v>
      </c>
      <c r="CH471" s="75">
        <f>PARAM!$C$26+MAX($P$3-CHOOSE(PARAM!$B$44,MAX(0,CI470*$F$1),0),0)*RATES!$L447/12+$Q$3*(PARAM!$D$51/12)*RATES!$N447/100</f>
        <v>90.458333333333329</v>
      </c>
      <c r="CI471" s="16">
        <f>IF(CI470&gt;0,CI470*PARAM!$C$53,CI470)+CG471-CH471</f>
        <v>-12812.708333333318</v>
      </c>
      <c r="CJ471" s="15">
        <f t="shared" si="304"/>
        <v>0</v>
      </c>
      <c r="CK471" s="75">
        <f>CJ471*(1-PARAM!$C$27)*$R$4+(MOD($B471/12,5)=0)*($B471&gt;60)*HLOOKUP($B471/12,Loyalty,2)*$F$1*MAX(CM470,0)</f>
        <v>0</v>
      </c>
      <c r="CL471" s="75">
        <f>PARAM!$C$26+MAX($P$4-CHOOSE(PARAM!$B$44,MAX(0,CM470*$F$1),0),0)*RATES!$L447/12+$Q$4*(PARAM!$D$51/12)*RATES!$N447/100</f>
        <v>90.458333333333329</v>
      </c>
      <c r="CM471" s="16">
        <f>IF(CM470&gt;0,CM470*PARAM!$C$53,CM470)+CK471-CL471</f>
        <v>-12812.708333333318</v>
      </c>
      <c r="CO471" s="176"/>
    </row>
    <row r="472" spans="1:93" x14ac:dyDescent="0.2">
      <c r="A472" t="b">
        <f t="shared" si="279"/>
        <v>0</v>
      </c>
      <c r="B472" s="33">
        <v>445</v>
      </c>
      <c r="C472" s="15">
        <f t="shared" si="280"/>
        <v>20.081305947392778</v>
      </c>
      <c r="D472" s="75">
        <f>C472*(1-PARAM!$C$27)*$I$3+(MOD($B472,60)=PARAM!$B$56)*($B472&gt;(60-PARAM!$B$56))*HLOOKUP(($B472+PARAM!$B$56)/12,Loyalty,2)*$F$1*MAX(F471,0)</f>
        <v>16.808053077967756</v>
      </c>
      <c r="E472" s="75">
        <f>PARAM!$C$26+MAX($G$3-CHOOSE(PARAM!$B$44,MAX(0,F471*$F$1),0),0)*RATES!$L448/12+$H$3*(PARAM!$D$51/12)*RATES!$N448/100</f>
        <v>90.458333333333329</v>
      </c>
      <c r="F472" s="16">
        <f t="shared" si="281"/>
        <v>-5580.008238374754</v>
      </c>
      <c r="G472" s="15">
        <f t="shared" si="282"/>
        <v>22.035289406060361</v>
      </c>
      <c r="H472" s="75">
        <f>G472*(1-PARAM!$C$27)*$I$4+(MOD($B472,60)=PARAM!$B$56)*($B472&gt;(60-PARAM!$B$56))*HLOOKUP(($B472+PARAM!$B$56)/12,Loyalty,2)*$F$1*MAX(J471,0)</f>
        <v>18.443537232872522</v>
      </c>
      <c r="I472" s="75">
        <f>PARAM!$C$26+MAX($G$4-CHOOSE(PARAM!$B$44,MAX(0,J471*$F$1),0),0)*RATES!$L448/12+$H$4*(PARAM!$D$51/12)*RATES!$N448/100</f>
        <v>90.458333333333329</v>
      </c>
      <c r="J472" s="16">
        <f t="shared" si="283"/>
        <v>-4818.3848253204123</v>
      </c>
      <c r="K472" s="15">
        <f t="shared" si="284"/>
        <v>22.170849845882874</v>
      </c>
      <c r="L472" s="75">
        <f>K472*(1-PARAM!$C$27)*$I$5+(MOD($B472,60)=PARAM!$B$56)*($B472&gt;(60-PARAM!$B$56))*HLOOKUP(($B472+PARAM!$B$56)/12,Loyalty,2)*$F$1*MAX(N471,0)</f>
        <v>18.557001321003963</v>
      </c>
      <c r="M472" s="75">
        <f>PARAM!$C$26+MAX($G$5-CHOOSE(PARAM!$B$44,MAX(0,N471*$F$1),0),0)*RATES!$L448/12+$H$5*(PARAM!$D$51/12)*RATES!$N448/100</f>
        <v>90.458333333333329</v>
      </c>
      <c r="N472" s="16">
        <f t="shared" si="285"/>
        <v>-4764.875769702131</v>
      </c>
      <c r="O472" s="15">
        <f t="shared" si="286"/>
        <v>22.170849845882874</v>
      </c>
      <c r="P472" s="75">
        <f>O472*(1-PARAM!$C$27)*$I$6+(MOD($B472,60)=PARAM!$B$56)*($B472&gt;(60-PARAM!$B$56))*HLOOKUP(($B472+PARAM!$B$56)/12,Loyalty,2)*$F$1*MAX(R471,0)</f>
        <v>18.557001321003963</v>
      </c>
      <c r="Q472" s="75">
        <f>PARAM!$C$26+MAX($G$6-CHOOSE(PARAM!$B$44,MAX(0,R471*$F$1),0),0)*RATES!$L448/12+$H$6*(PARAM!$D$51/12)*RATES!$N448/100</f>
        <v>90.458333333333329</v>
      </c>
      <c r="R472" s="16">
        <f t="shared" si="287"/>
        <v>-4764.875769702131</v>
      </c>
      <c r="S472" s="15">
        <f t="shared" si="262"/>
        <v>22.170849845882874</v>
      </c>
      <c r="T472" s="75">
        <f>S472*(1-PARAM!$C$27)*$I$7+(MOD($B472,60)=PARAM!$B$56)*($B472&gt;(60-PARAM!$B$56))*HLOOKUP(($B472+PARAM!$B$56)/12,Loyalty,2)*$F$1*MAX(V471,0)</f>
        <v>18.557001321003963</v>
      </c>
      <c r="U472" s="75">
        <f>PARAM!$C$26+MAX($G$7-CHOOSE(PARAM!$B$44,MAX(0,V471*$F$1),0),0)*RATES!$L448/12+$H$7*(PARAM!$D$51/12)*RATES!$N448/100</f>
        <v>90.458333333333329</v>
      </c>
      <c r="V472" s="16">
        <f t="shared" si="288"/>
        <v>-4764.875769702131</v>
      </c>
      <c r="W472" s="15">
        <f t="shared" si="263"/>
        <v>22.170849845882874</v>
      </c>
      <c r="X472" s="75">
        <f>W472*(1-PARAM!$C$27)*$I$8+(MOD($B472,60)=PARAM!$B$56)*($B472&gt;(60-PARAM!$B$56))*HLOOKUP(($B472+PARAM!$B$56)/12,Loyalty,2)*$F$1*MAX(Z471,0)</f>
        <v>18.557001321003963</v>
      </c>
      <c r="Y472" s="75">
        <f>PARAM!$C$26+MAX($G$8-CHOOSE(PARAM!$B$44,MAX(0,Z471*$F$1),0),0)*RATES!$L448/12+$H$8*(PARAM!$D$51/12)*RATES!$N448/100</f>
        <v>90.458333333333329</v>
      </c>
      <c r="Z472" s="16">
        <f t="shared" si="289"/>
        <v>-4764.875769702131</v>
      </c>
      <c r="AA472" s="15">
        <f t="shared" si="264"/>
        <v>22.170849845882874</v>
      </c>
      <c r="AB472" s="75">
        <f>AA472*(1-PARAM!$C$27)*$I$9+(MOD($B472,60)=PARAM!$B$56)*($B472&gt;(60-PARAM!$B$56))*HLOOKUP(($B472+PARAM!$B$56)/12,Loyalty,2)*$F$1*MAX(AD471,0)</f>
        <v>18.557001321003963</v>
      </c>
      <c r="AC472" s="75">
        <f>PARAM!$C$26+MAX($G$9-CHOOSE(PARAM!$B$44,MAX(0,AD471*$F$1),0),0)*RATES!$L448/12+$H$9*(PARAM!$D$51/12)*RATES!$N448/100</f>
        <v>90.458333333333329</v>
      </c>
      <c r="AD472" s="16">
        <f t="shared" si="290"/>
        <v>-4764.875769702131</v>
      </c>
      <c r="AE472" s="15">
        <f t="shared" si="265"/>
        <v>22.170849845882874</v>
      </c>
      <c r="AF472" s="75">
        <f>AE472*(1-PARAM!$C$27)*$I$10+(MOD($B472,60)=PARAM!$B$56)*($B472&gt;(60-PARAM!$B$56))*HLOOKUP(($B472+PARAM!$B$56)/12,Loyalty,2)*$F$1*MAX(AH471,0)</f>
        <v>18.557001321003963</v>
      </c>
      <c r="AG472" s="75">
        <f>PARAM!$C$26+MAX($G$10-CHOOSE(PARAM!$B$44,MAX(0,AH471*$F$1),0),0)*RATES!$L448/12+$H$10*(PARAM!$D$51/12)*RATES!$N448/100</f>
        <v>90.458333333333329</v>
      </c>
      <c r="AH472" s="16">
        <f t="shared" si="291"/>
        <v>-4764.875769702131</v>
      </c>
      <c r="AI472" s="15">
        <f t="shared" si="266"/>
        <v>22.170849845882874</v>
      </c>
      <c r="AJ472" s="75">
        <f>AI472*(1-PARAM!$C$27)*$I$11+(MOD($B472,60)=PARAM!$B$56)*($B472&gt;(60-PARAM!$B$56))*HLOOKUP(($B472+PARAM!$B$56)/12,Loyalty,2)*$F$1*MAX(AL471,0)</f>
        <v>18.557001321003963</v>
      </c>
      <c r="AK472" s="75">
        <f>PARAM!$C$26+MAX($G$11-CHOOSE(PARAM!$B$44,MAX(0,AL471*$F$1),0),0)*RATES!$L448/12+$H$11*(PARAM!$D$51/12)*RATES!$N448/100</f>
        <v>90.458333333333329</v>
      </c>
      <c r="AL472" s="16">
        <f t="shared" si="292"/>
        <v>-4764.875769702131</v>
      </c>
      <c r="AM472" s="15">
        <f t="shared" si="267"/>
        <v>22.170849845882874</v>
      </c>
      <c r="AN472" s="75">
        <f>AM472*(1-PARAM!$C$27)*$I$12+(MOD($B472,60)=PARAM!$B$56)*($B472&gt;(60-PARAM!$B$56))*HLOOKUP(($B472+PARAM!$B$56)/12,Loyalty,2)*$F$1*MAX(AP471,0)</f>
        <v>18.557001321003963</v>
      </c>
      <c r="AO472" s="75">
        <f>PARAM!$C$26+MAX($G$12-CHOOSE(PARAM!$B$44,MAX(0,AP471*$F$1),0),0)*RATES!$L448/12+$H$12*(PARAM!$D$51/12)*RATES!$N448/100</f>
        <v>90.458333333333329</v>
      </c>
      <c r="AP472" s="16">
        <f t="shared" si="293"/>
        <v>-4764.875769702131</v>
      </c>
      <c r="AQ472" s="15">
        <f t="shared" si="268"/>
        <v>22.170849845882874</v>
      </c>
      <c r="AR472" s="75">
        <f>AQ472*(1-PARAM!$C$27)*$I$13+(MOD($B472,60)=PARAM!$B$56)*($B472&gt;(60-PARAM!$B$56))*HLOOKUP(($B472+PARAM!$B$56)/12,Loyalty,2)*$F$1*MAX(AT471,0)</f>
        <v>18.557001321003963</v>
      </c>
      <c r="AS472" s="75">
        <f>PARAM!$C$26+MAX($G$13-CHOOSE(PARAM!$B$44,MAX(0,AT471*$F$1),0),0)*RATES!$L448/12+$H$13*(PARAM!$D$51/12)*RATES!$N448/100</f>
        <v>90.458333333333329</v>
      </c>
      <c r="AT472" s="16">
        <f t="shared" si="294"/>
        <v>-4764.875769702131</v>
      </c>
      <c r="AU472" s="15">
        <f t="shared" si="269"/>
        <v>22.170849845882874</v>
      </c>
      <c r="AV472" s="75">
        <f>AU472*(1-PARAM!$C$27)*$I$14+(MOD($B472,60)=PARAM!$B$56)*($B472&gt;(60-PARAM!$B$56))*HLOOKUP(($B472+PARAM!$B$56)/12,Loyalty,2)*$F$1*MAX(AX471,0)</f>
        <v>18.557001321003963</v>
      </c>
      <c r="AW472" s="75">
        <f>PARAM!$C$26+MAX($G$14-CHOOSE(PARAM!$B$44,MAX(0,AX471*$F$1),0),0)*RATES!$L448/12+$H$14*(PARAM!$D$51/12)*RATES!$N448/100</f>
        <v>90.458333333333329</v>
      </c>
      <c r="AX472" s="16">
        <f t="shared" si="295"/>
        <v>-4764.875769702131</v>
      </c>
      <c r="AY472" s="15">
        <f t="shared" si="270"/>
        <v>22.170849845882874</v>
      </c>
      <c r="AZ472" s="75">
        <f>AY472*(1-PARAM!$C$27)*$I$15+(MOD($B472,60)=PARAM!$B$56)*($B472&gt;(60-PARAM!$B$56))*HLOOKUP(($B472+PARAM!$B$56)/12,Loyalty,2)*$F$1*MAX(BB471,0)</f>
        <v>18.557001321003963</v>
      </c>
      <c r="BA472" s="75">
        <f>PARAM!$C$26+MAX($G$15-CHOOSE(PARAM!$B$44,MAX(0,BB471*$F$1),0),0)*RATES!$L448/12+$H$15*(PARAM!$D$51/12)*RATES!$N448/100</f>
        <v>90.458333333333329</v>
      </c>
      <c r="BB472" s="16">
        <f t="shared" si="296"/>
        <v>-4764.875769702131</v>
      </c>
      <c r="BC472" s="15">
        <f t="shared" si="271"/>
        <v>22.170849845882874</v>
      </c>
      <c r="BD472" s="75">
        <f>BC472*(1-PARAM!$C$27)*$I$16+(MOD($B472,60)=PARAM!$B$56)*($B472&gt;(60-PARAM!$B$56))*HLOOKUP(($B472+PARAM!$B$56)/12,Loyalty,2)*$F$1*MAX(BF471,0)</f>
        <v>18.557001321003963</v>
      </c>
      <c r="BE472" s="75">
        <f>PARAM!$C$26+MAX($G$16-CHOOSE(PARAM!$B$44,MAX(0,BF471*$F$1),0),0)*RATES!$L448/12+$H$16*(PARAM!$D$51/12)*RATES!$N448/100</f>
        <v>90.458333333333329</v>
      </c>
      <c r="BF472" s="16">
        <f t="shared" si="297"/>
        <v>-4764.875769702131</v>
      </c>
      <c r="BG472" s="15">
        <f t="shared" si="272"/>
        <v>22.170849845882874</v>
      </c>
      <c r="BH472" s="75">
        <f>BG472*(1-PARAM!$C$27)*$I$17+(MOD($B472,60)=PARAM!$B$56)*($B472&gt;(60-PARAM!$B$56))*HLOOKUP(($B472+PARAM!$B$56)/12,Loyalty,2)*$F$1*MAX(BJ471,0)</f>
        <v>18.557001321003963</v>
      </c>
      <c r="BI472" s="75">
        <f>PARAM!$C$26+MAX($G$17-CHOOSE(PARAM!$B$44,MAX(0,BJ471*$F$1),0),0)*RATES!$L448/12+$H$17*(PARAM!$D$51/12)*RATES!$N448/100</f>
        <v>90.458333333333329</v>
      </c>
      <c r="BJ472" s="16">
        <f t="shared" si="298"/>
        <v>-4764.875769702131</v>
      </c>
      <c r="BK472" s="15">
        <f t="shared" si="273"/>
        <v>22.170849845882874</v>
      </c>
      <c r="BL472" s="75">
        <f>BK472*(1-PARAM!$C$27)*$I$18+(MOD($B472,60)=PARAM!$B$56)*($B472&gt;(60-PARAM!$B$56))*HLOOKUP(($B472+PARAM!$B$56)/12,Loyalty,2)*$F$1*MAX(BN471,0)</f>
        <v>18.557001321003963</v>
      </c>
      <c r="BM472" s="75">
        <f>PARAM!$C$26+MAX($G$18-CHOOSE(PARAM!$B$44,MAX(0,BN471*$F$1),0),0)*RATES!$L448/12+$H$18*(PARAM!$D$51/12)*RATES!$N448/100</f>
        <v>90.458333333333329</v>
      </c>
      <c r="BN472" s="16">
        <f t="shared" si="299"/>
        <v>-4764.875769702131</v>
      </c>
      <c r="BO472" s="15">
        <f t="shared" si="274"/>
        <v>22.170849845882874</v>
      </c>
      <c r="BP472" s="75">
        <f>BO472*(1-PARAM!$C$27)*$I$19+(MOD($B472,60)=PARAM!$B$56)*($B472&gt;(60-PARAM!$B$56))*HLOOKUP(($B472+PARAM!$B$56)/12,Loyalty,2)*$F$1*MAX(BR471,0)</f>
        <v>18.557001321003963</v>
      </c>
      <c r="BQ472" s="75">
        <f>PARAM!$C$26+MAX($G$19-CHOOSE(PARAM!$B$44,MAX(0,BR471*$F$1),0),0)*RATES!$L448/12+$H$19*(PARAM!$D$51/12)*RATES!$N448/100</f>
        <v>90.458333333333329</v>
      </c>
      <c r="BR472" s="16">
        <f t="shared" si="300"/>
        <v>-4764.875769702131</v>
      </c>
      <c r="BS472" s="15">
        <f t="shared" si="275"/>
        <v>22.170849845882874</v>
      </c>
      <c r="BT472" s="75">
        <f>BS472*(1-PARAM!$C$27)*$I$20+(MOD($B472,60)=PARAM!$B$56)*($B472&gt;(60-PARAM!$B$56))*HLOOKUP(($B472+PARAM!$B$56)/12,Loyalty,2)*$F$1*MAX(BV471,0)</f>
        <v>18.557001321003963</v>
      </c>
      <c r="BU472" s="75">
        <f>PARAM!$C$26+MAX($G$20-CHOOSE(PARAM!$B$44,MAX(0,BV471*$F$1),0),0)*RATES!$L448/12+$H$20*(PARAM!$D$51/12)*RATES!$N448/100</f>
        <v>90.458333333333329</v>
      </c>
      <c r="BV472" s="16">
        <f t="shared" si="301"/>
        <v>-4764.875769702131</v>
      </c>
      <c r="BW472" s="15">
        <f t="shared" si="276"/>
        <v>22.170849845882874</v>
      </c>
      <c r="BX472" s="75">
        <f>BW472*(1-PARAM!$C$27)*$I$21+(MOD($B472,60)=PARAM!$B$56)*($B472&gt;(60-PARAM!$B$56))*HLOOKUP(($B472+PARAM!$B$56)/12,Loyalty,2)*$F$1*MAX(BZ471,0)</f>
        <v>18.557001321003963</v>
      </c>
      <c r="BY472" s="75">
        <f>PARAM!$C$26+MAX($G$21-CHOOSE(PARAM!$B$44,MAX(0,BZ471*$F$1),0),0)*RATES!$L448/12+$H$21*(PARAM!$D$51/12)*RATES!$N448/100</f>
        <v>90.458333333333329</v>
      </c>
      <c r="BZ472" s="16">
        <f t="shared" si="302"/>
        <v>-4764.875769702131</v>
      </c>
      <c r="CA472" s="15">
        <f t="shared" si="277"/>
        <v>22.170849845882874</v>
      </c>
      <c r="CB472" s="75">
        <f>CA472*(1-PARAM!$C$27)*$I$22+(MOD($B472,60)=PARAM!$B$56)*($B472&gt;(60-PARAM!$B$56))*HLOOKUP(($B472+PARAM!$B$56)/12,Loyalty,2)*$F$1*MAX(CD471,0)</f>
        <v>18.557001321003963</v>
      </c>
      <c r="CC472" s="75">
        <f>PARAM!$C$26+MAX($G$22-CHOOSE(PARAM!$B$44,MAX(0,CD471*$F$1),0),0)*RATES!$L448/12+$H$22*(PARAM!$D$51/12)*RATES!$N448/100</f>
        <v>90.458333333333329</v>
      </c>
      <c r="CD472" s="16">
        <f t="shared" si="303"/>
        <v>-4764.875769702131</v>
      </c>
      <c r="CE472" s="33">
        <f>IF(0=MOD(B472,12/PARAM!$D$51),1,0)</f>
        <v>1</v>
      </c>
      <c r="CF472" s="15">
        <f t="shared" si="278"/>
        <v>0</v>
      </c>
      <c r="CG472" s="75">
        <f>CF472*(1-PARAM!$C$27)*$R$3+(MOD($B472/12,5)=0)*($B472&gt;60)*HLOOKUP($B472/12,Loyalty,2)*$F$1*MAX(CI471,0)</f>
        <v>0</v>
      </c>
      <c r="CH472" s="75">
        <f>PARAM!$C$26+MAX($P$3-CHOOSE(PARAM!$B$44,MAX(0,CI471*$F$1),0),0)*RATES!$L448/12+$Q$3*(PARAM!$D$51/12)*RATES!$N448/100</f>
        <v>90.458333333333329</v>
      </c>
      <c r="CI472" s="16">
        <f>IF(CI471&gt;0,CI471*PARAM!$C$53,CI471)+CG472-CH472</f>
        <v>-12903.166666666652</v>
      </c>
      <c r="CJ472" s="15">
        <f t="shared" si="304"/>
        <v>0</v>
      </c>
      <c r="CK472" s="75">
        <f>CJ472*(1-PARAM!$C$27)*$R$4+(MOD($B472/12,5)=0)*($B472&gt;60)*HLOOKUP($B472/12,Loyalty,2)*$F$1*MAX(CM471,0)</f>
        <v>0</v>
      </c>
      <c r="CL472" s="75">
        <f>PARAM!$C$26+MAX($P$4-CHOOSE(PARAM!$B$44,MAX(0,CM471*$F$1),0),0)*RATES!$L448/12+$Q$4*(PARAM!$D$51/12)*RATES!$N448/100</f>
        <v>90.458333333333329</v>
      </c>
      <c r="CM472" s="16">
        <f>IF(CM471&gt;0,CM471*PARAM!$C$53,CM471)+CK472-CL472</f>
        <v>-12903.166666666652</v>
      </c>
      <c r="CO472" s="176"/>
    </row>
    <row r="473" spans="1:93" x14ac:dyDescent="0.2">
      <c r="A473" t="b">
        <f t="shared" si="279"/>
        <v>0</v>
      </c>
      <c r="B473" s="33">
        <v>446</v>
      </c>
      <c r="C473" s="15">
        <f t="shared" si="280"/>
        <v>20.081305947392778</v>
      </c>
      <c r="D473" s="75">
        <f>C473*(1-PARAM!$C$27)*$I$3+(MOD($B473,60)=PARAM!$B$56)*($B473&gt;(60-PARAM!$B$56))*HLOOKUP(($B473+PARAM!$B$56)/12,Loyalty,2)*$F$1*MAX(F472,0)</f>
        <v>16.808053077967756</v>
      </c>
      <c r="E473" s="75">
        <f>PARAM!$C$26+MAX($G$3-CHOOSE(PARAM!$B$44,MAX(0,F472*$F$1),0),0)*RATES!$L449/12+$H$3*(PARAM!$D$51/12)*RATES!$N449/100</f>
        <v>90.458333333333329</v>
      </c>
      <c r="F473" s="16">
        <f t="shared" si="281"/>
        <v>-5653.658518630119</v>
      </c>
      <c r="G473" s="15">
        <f t="shared" si="282"/>
        <v>22.035289406060361</v>
      </c>
      <c r="H473" s="75">
        <f>G473*(1-PARAM!$C$27)*$I$4+(MOD($B473,60)=PARAM!$B$56)*($B473&gt;(60-PARAM!$B$56))*HLOOKUP(($B473+PARAM!$B$56)/12,Loyalty,2)*$F$1*MAX(J472,0)</f>
        <v>18.443537232872522</v>
      </c>
      <c r="I473" s="75">
        <f>PARAM!$C$26+MAX($G$4-CHOOSE(PARAM!$B$44,MAX(0,J472*$F$1),0),0)*RATES!$L449/12+$H$4*(PARAM!$D$51/12)*RATES!$N449/100</f>
        <v>90.458333333333329</v>
      </c>
      <c r="J473" s="16">
        <f t="shared" si="283"/>
        <v>-4890.3996214208728</v>
      </c>
      <c r="K473" s="15">
        <f t="shared" si="284"/>
        <v>22.170849845882874</v>
      </c>
      <c r="L473" s="75">
        <f>K473*(1-PARAM!$C$27)*$I$5+(MOD($B473,60)=PARAM!$B$56)*($B473&gt;(60-PARAM!$B$56))*HLOOKUP(($B473+PARAM!$B$56)/12,Loyalty,2)*$F$1*MAX(N472,0)</f>
        <v>18.557001321003963</v>
      </c>
      <c r="M473" s="75">
        <f>PARAM!$C$26+MAX($G$5-CHOOSE(PARAM!$B$44,MAX(0,N472*$F$1),0),0)*RATES!$L449/12+$H$5*(PARAM!$D$51/12)*RATES!$N449/100</f>
        <v>90.458333333333329</v>
      </c>
      <c r="N473" s="16">
        <f t="shared" si="285"/>
        <v>-4836.7771017144605</v>
      </c>
      <c r="O473" s="15">
        <f t="shared" si="286"/>
        <v>22.170849845882874</v>
      </c>
      <c r="P473" s="75">
        <f>O473*(1-PARAM!$C$27)*$I$6+(MOD($B473,60)=PARAM!$B$56)*($B473&gt;(60-PARAM!$B$56))*HLOOKUP(($B473+PARAM!$B$56)/12,Loyalty,2)*$F$1*MAX(R472,0)</f>
        <v>18.557001321003963</v>
      </c>
      <c r="Q473" s="75">
        <f>PARAM!$C$26+MAX($G$6-CHOOSE(PARAM!$B$44,MAX(0,R472*$F$1),0),0)*RATES!$L449/12+$H$6*(PARAM!$D$51/12)*RATES!$N449/100</f>
        <v>90.458333333333329</v>
      </c>
      <c r="R473" s="16">
        <f t="shared" si="287"/>
        <v>-4836.7771017144605</v>
      </c>
      <c r="S473" s="15">
        <f t="shared" si="262"/>
        <v>22.170849845882874</v>
      </c>
      <c r="T473" s="75">
        <f>S473*(1-PARAM!$C$27)*$I$7+(MOD($B473,60)=PARAM!$B$56)*($B473&gt;(60-PARAM!$B$56))*HLOOKUP(($B473+PARAM!$B$56)/12,Loyalty,2)*$F$1*MAX(V472,0)</f>
        <v>18.557001321003963</v>
      </c>
      <c r="U473" s="75">
        <f>PARAM!$C$26+MAX($G$7-CHOOSE(PARAM!$B$44,MAX(0,V472*$F$1),0),0)*RATES!$L449/12+$H$7*(PARAM!$D$51/12)*RATES!$N449/100</f>
        <v>90.458333333333329</v>
      </c>
      <c r="V473" s="16">
        <f t="shared" si="288"/>
        <v>-4836.7771017144605</v>
      </c>
      <c r="W473" s="15">
        <f t="shared" si="263"/>
        <v>22.170849845882874</v>
      </c>
      <c r="X473" s="75">
        <f>W473*(1-PARAM!$C$27)*$I$8+(MOD($B473,60)=PARAM!$B$56)*($B473&gt;(60-PARAM!$B$56))*HLOOKUP(($B473+PARAM!$B$56)/12,Loyalty,2)*$F$1*MAX(Z472,0)</f>
        <v>18.557001321003963</v>
      </c>
      <c r="Y473" s="75">
        <f>PARAM!$C$26+MAX($G$8-CHOOSE(PARAM!$B$44,MAX(0,Z472*$F$1),0),0)*RATES!$L449/12+$H$8*(PARAM!$D$51/12)*RATES!$N449/100</f>
        <v>90.458333333333329</v>
      </c>
      <c r="Z473" s="16">
        <f t="shared" si="289"/>
        <v>-4836.7771017144605</v>
      </c>
      <c r="AA473" s="15">
        <f t="shared" si="264"/>
        <v>22.170849845882874</v>
      </c>
      <c r="AB473" s="75">
        <f>AA473*(1-PARAM!$C$27)*$I$9+(MOD($B473,60)=PARAM!$B$56)*($B473&gt;(60-PARAM!$B$56))*HLOOKUP(($B473+PARAM!$B$56)/12,Loyalty,2)*$F$1*MAX(AD472,0)</f>
        <v>18.557001321003963</v>
      </c>
      <c r="AC473" s="75">
        <f>PARAM!$C$26+MAX($G$9-CHOOSE(PARAM!$B$44,MAX(0,AD472*$F$1),0),0)*RATES!$L449/12+$H$9*(PARAM!$D$51/12)*RATES!$N449/100</f>
        <v>90.458333333333329</v>
      </c>
      <c r="AD473" s="16">
        <f t="shared" si="290"/>
        <v>-4836.7771017144605</v>
      </c>
      <c r="AE473" s="15">
        <f t="shared" si="265"/>
        <v>22.170849845882874</v>
      </c>
      <c r="AF473" s="75">
        <f>AE473*(1-PARAM!$C$27)*$I$10+(MOD($B473,60)=PARAM!$B$56)*($B473&gt;(60-PARAM!$B$56))*HLOOKUP(($B473+PARAM!$B$56)/12,Loyalty,2)*$F$1*MAX(AH472,0)</f>
        <v>18.557001321003963</v>
      </c>
      <c r="AG473" s="75">
        <f>PARAM!$C$26+MAX($G$10-CHOOSE(PARAM!$B$44,MAX(0,AH472*$F$1),0),0)*RATES!$L449/12+$H$10*(PARAM!$D$51/12)*RATES!$N449/100</f>
        <v>90.458333333333329</v>
      </c>
      <c r="AH473" s="16">
        <f t="shared" si="291"/>
        <v>-4836.7771017144605</v>
      </c>
      <c r="AI473" s="15">
        <f t="shared" si="266"/>
        <v>22.170849845882874</v>
      </c>
      <c r="AJ473" s="75">
        <f>AI473*(1-PARAM!$C$27)*$I$11+(MOD($B473,60)=PARAM!$B$56)*($B473&gt;(60-PARAM!$B$56))*HLOOKUP(($B473+PARAM!$B$56)/12,Loyalty,2)*$F$1*MAX(AL472,0)</f>
        <v>18.557001321003963</v>
      </c>
      <c r="AK473" s="75">
        <f>PARAM!$C$26+MAX($G$11-CHOOSE(PARAM!$B$44,MAX(0,AL472*$F$1),0),0)*RATES!$L449/12+$H$11*(PARAM!$D$51/12)*RATES!$N449/100</f>
        <v>90.458333333333329</v>
      </c>
      <c r="AL473" s="16">
        <f t="shared" si="292"/>
        <v>-4836.7771017144605</v>
      </c>
      <c r="AM473" s="15">
        <f t="shared" si="267"/>
        <v>22.170849845882874</v>
      </c>
      <c r="AN473" s="75">
        <f>AM473*(1-PARAM!$C$27)*$I$12+(MOD($B473,60)=PARAM!$B$56)*($B473&gt;(60-PARAM!$B$56))*HLOOKUP(($B473+PARAM!$B$56)/12,Loyalty,2)*$F$1*MAX(AP472,0)</f>
        <v>18.557001321003963</v>
      </c>
      <c r="AO473" s="75">
        <f>PARAM!$C$26+MAX($G$12-CHOOSE(PARAM!$B$44,MAX(0,AP472*$F$1),0),0)*RATES!$L449/12+$H$12*(PARAM!$D$51/12)*RATES!$N449/100</f>
        <v>90.458333333333329</v>
      </c>
      <c r="AP473" s="16">
        <f t="shared" si="293"/>
        <v>-4836.7771017144605</v>
      </c>
      <c r="AQ473" s="15">
        <f t="shared" si="268"/>
        <v>22.170849845882874</v>
      </c>
      <c r="AR473" s="75">
        <f>AQ473*(1-PARAM!$C$27)*$I$13+(MOD($B473,60)=PARAM!$B$56)*($B473&gt;(60-PARAM!$B$56))*HLOOKUP(($B473+PARAM!$B$56)/12,Loyalty,2)*$F$1*MAX(AT472,0)</f>
        <v>18.557001321003963</v>
      </c>
      <c r="AS473" s="75">
        <f>PARAM!$C$26+MAX($G$13-CHOOSE(PARAM!$B$44,MAX(0,AT472*$F$1),0),0)*RATES!$L449/12+$H$13*(PARAM!$D$51/12)*RATES!$N449/100</f>
        <v>90.458333333333329</v>
      </c>
      <c r="AT473" s="16">
        <f t="shared" si="294"/>
        <v>-4836.7771017144605</v>
      </c>
      <c r="AU473" s="15">
        <f t="shared" si="269"/>
        <v>22.170849845882874</v>
      </c>
      <c r="AV473" s="75">
        <f>AU473*(1-PARAM!$C$27)*$I$14+(MOD($B473,60)=PARAM!$B$56)*($B473&gt;(60-PARAM!$B$56))*HLOOKUP(($B473+PARAM!$B$56)/12,Loyalty,2)*$F$1*MAX(AX472,0)</f>
        <v>18.557001321003963</v>
      </c>
      <c r="AW473" s="75">
        <f>PARAM!$C$26+MAX($G$14-CHOOSE(PARAM!$B$44,MAX(0,AX472*$F$1),0),0)*RATES!$L449/12+$H$14*(PARAM!$D$51/12)*RATES!$N449/100</f>
        <v>90.458333333333329</v>
      </c>
      <c r="AX473" s="16">
        <f t="shared" si="295"/>
        <v>-4836.7771017144605</v>
      </c>
      <c r="AY473" s="15">
        <f t="shared" si="270"/>
        <v>22.170849845882874</v>
      </c>
      <c r="AZ473" s="75">
        <f>AY473*(1-PARAM!$C$27)*$I$15+(MOD($B473,60)=PARAM!$B$56)*($B473&gt;(60-PARAM!$B$56))*HLOOKUP(($B473+PARAM!$B$56)/12,Loyalty,2)*$F$1*MAX(BB472,0)</f>
        <v>18.557001321003963</v>
      </c>
      <c r="BA473" s="75">
        <f>PARAM!$C$26+MAX($G$15-CHOOSE(PARAM!$B$44,MAX(0,BB472*$F$1),0),0)*RATES!$L449/12+$H$15*(PARAM!$D$51/12)*RATES!$N449/100</f>
        <v>90.458333333333329</v>
      </c>
      <c r="BB473" s="16">
        <f t="shared" si="296"/>
        <v>-4836.7771017144605</v>
      </c>
      <c r="BC473" s="15">
        <f t="shared" si="271"/>
        <v>22.170849845882874</v>
      </c>
      <c r="BD473" s="75">
        <f>BC473*(1-PARAM!$C$27)*$I$16+(MOD($B473,60)=PARAM!$B$56)*($B473&gt;(60-PARAM!$B$56))*HLOOKUP(($B473+PARAM!$B$56)/12,Loyalty,2)*$F$1*MAX(BF472,0)</f>
        <v>18.557001321003963</v>
      </c>
      <c r="BE473" s="75">
        <f>PARAM!$C$26+MAX($G$16-CHOOSE(PARAM!$B$44,MAX(0,BF472*$F$1),0),0)*RATES!$L449/12+$H$16*(PARAM!$D$51/12)*RATES!$N449/100</f>
        <v>90.458333333333329</v>
      </c>
      <c r="BF473" s="16">
        <f t="shared" si="297"/>
        <v>-4836.7771017144605</v>
      </c>
      <c r="BG473" s="15">
        <f t="shared" si="272"/>
        <v>22.170849845882874</v>
      </c>
      <c r="BH473" s="75">
        <f>BG473*(1-PARAM!$C$27)*$I$17+(MOD($B473,60)=PARAM!$B$56)*($B473&gt;(60-PARAM!$B$56))*HLOOKUP(($B473+PARAM!$B$56)/12,Loyalty,2)*$F$1*MAX(BJ472,0)</f>
        <v>18.557001321003963</v>
      </c>
      <c r="BI473" s="75">
        <f>PARAM!$C$26+MAX($G$17-CHOOSE(PARAM!$B$44,MAX(0,BJ472*$F$1),0),0)*RATES!$L449/12+$H$17*(PARAM!$D$51/12)*RATES!$N449/100</f>
        <v>90.458333333333329</v>
      </c>
      <c r="BJ473" s="16">
        <f t="shared" si="298"/>
        <v>-4836.7771017144605</v>
      </c>
      <c r="BK473" s="15">
        <f t="shared" si="273"/>
        <v>22.170849845882874</v>
      </c>
      <c r="BL473" s="75">
        <f>BK473*(1-PARAM!$C$27)*$I$18+(MOD($B473,60)=PARAM!$B$56)*($B473&gt;(60-PARAM!$B$56))*HLOOKUP(($B473+PARAM!$B$56)/12,Loyalty,2)*$F$1*MAX(BN472,0)</f>
        <v>18.557001321003963</v>
      </c>
      <c r="BM473" s="75">
        <f>PARAM!$C$26+MAX($G$18-CHOOSE(PARAM!$B$44,MAX(0,BN472*$F$1),0),0)*RATES!$L449/12+$H$18*(PARAM!$D$51/12)*RATES!$N449/100</f>
        <v>90.458333333333329</v>
      </c>
      <c r="BN473" s="16">
        <f t="shared" si="299"/>
        <v>-4836.7771017144605</v>
      </c>
      <c r="BO473" s="15">
        <f t="shared" si="274"/>
        <v>22.170849845882874</v>
      </c>
      <c r="BP473" s="75">
        <f>BO473*(1-PARAM!$C$27)*$I$19+(MOD($B473,60)=PARAM!$B$56)*($B473&gt;(60-PARAM!$B$56))*HLOOKUP(($B473+PARAM!$B$56)/12,Loyalty,2)*$F$1*MAX(BR472,0)</f>
        <v>18.557001321003963</v>
      </c>
      <c r="BQ473" s="75">
        <f>PARAM!$C$26+MAX($G$19-CHOOSE(PARAM!$B$44,MAX(0,BR472*$F$1),0),0)*RATES!$L449/12+$H$19*(PARAM!$D$51/12)*RATES!$N449/100</f>
        <v>90.458333333333329</v>
      </c>
      <c r="BR473" s="16">
        <f t="shared" si="300"/>
        <v>-4836.7771017144605</v>
      </c>
      <c r="BS473" s="15">
        <f t="shared" si="275"/>
        <v>22.170849845882874</v>
      </c>
      <c r="BT473" s="75">
        <f>BS473*(1-PARAM!$C$27)*$I$20+(MOD($B473,60)=PARAM!$B$56)*($B473&gt;(60-PARAM!$B$56))*HLOOKUP(($B473+PARAM!$B$56)/12,Loyalty,2)*$F$1*MAX(BV472,0)</f>
        <v>18.557001321003963</v>
      </c>
      <c r="BU473" s="75">
        <f>PARAM!$C$26+MAX($G$20-CHOOSE(PARAM!$B$44,MAX(0,BV472*$F$1),0),0)*RATES!$L449/12+$H$20*(PARAM!$D$51/12)*RATES!$N449/100</f>
        <v>90.458333333333329</v>
      </c>
      <c r="BV473" s="16">
        <f t="shared" si="301"/>
        <v>-4836.7771017144605</v>
      </c>
      <c r="BW473" s="15">
        <f t="shared" si="276"/>
        <v>22.170849845882874</v>
      </c>
      <c r="BX473" s="75">
        <f>BW473*(1-PARAM!$C$27)*$I$21+(MOD($B473,60)=PARAM!$B$56)*($B473&gt;(60-PARAM!$B$56))*HLOOKUP(($B473+PARAM!$B$56)/12,Loyalty,2)*$F$1*MAX(BZ472,0)</f>
        <v>18.557001321003963</v>
      </c>
      <c r="BY473" s="75">
        <f>PARAM!$C$26+MAX($G$21-CHOOSE(PARAM!$B$44,MAX(0,BZ472*$F$1),0),0)*RATES!$L449/12+$H$21*(PARAM!$D$51/12)*RATES!$N449/100</f>
        <v>90.458333333333329</v>
      </c>
      <c r="BZ473" s="16">
        <f t="shared" si="302"/>
        <v>-4836.7771017144605</v>
      </c>
      <c r="CA473" s="15">
        <f t="shared" si="277"/>
        <v>22.170849845882874</v>
      </c>
      <c r="CB473" s="75">
        <f>CA473*(1-PARAM!$C$27)*$I$22+(MOD($B473,60)=PARAM!$B$56)*($B473&gt;(60-PARAM!$B$56))*HLOOKUP(($B473+PARAM!$B$56)/12,Loyalty,2)*$F$1*MAX(CD472,0)</f>
        <v>18.557001321003963</v>
      </c>
      <c r="CC473" s="75">
        <f>PARAM!$C$26+MAX($G$22-CHOOSE(PARAM!$B$44,MAX(0,CD472*$F$1),0),0)*RATES!$L449/12+$H$22*(PARAM!$D$51/12)*RATES!$N449/100</f>
        <v>90.458333333333329</v>
      </c>
      <c r="CD473" s="16">
        <f t="shared" si="303"/>
        <v>-4836.7771017144605</v>
      </c>
      <c r="CE473" s="33">
        <f>IF(0=MOD(B473,12/PARAM!$D$51),1,0)</f>
        <v>1</v>
      </c>
      <c r="CF473" s="15">
        <f t="shared" si="278"/>
        <v>0</v>
      </c>
      <c r="CG473" s="75">
        <f>CF473*(1-PARAM!$C$27)*$R$3+(MOD($B473/12,5)=0)*($B473&gt;60)*HLOOKUP($B473/12,Loyalty,2)*$F$1*MAX(CI472,0)</f>
        <v>0</v>
      </c>
      <c r="CH473" s="75">
        <f>PARAM!$C$26+MAX($P$3-CHOOSE(PARAM!$B$44,MAX(0,CI472*$F$1),0),0)*RATES!$L449/12+$Q$3*(PARAM!$D$51/12)*RATES!$N449/100</f>
        <v>90.458333333333329</v>
      </c>
      <c r="CI473" s="16">
        <f>IF(CI472&gt;0,CI472*PARAM!$C$53,CI472)+CG473-CH473</f>
        <v>-12993.624999999985</v>
      </c>
      <c r="CJ473" s="15">
        <f t="shared" si="304"/>
        <v>0</v>
      </c>
      <c r="CK473" s="75">
        <f>CJ473*(1-PARAM!$C$27)*$R$4+(MOD($B473/12,5)=0)*($B473&gt;60)*HLOOKUP($B473/12,Loyalty,2)*$F$1*MAX(CM472,0)</f>
        <v>0</v>
      </c>
      <c r="CL473" s="75">
        <f>PARAM!$C$26+MAX($P$4-CHOOSE(PARAM!$B$44,MAX(0,CM472*$F$1),0),0)*RATES!$L449/12+$Q$4*(PARAM!$D$51/12)*RATES!$N449/100</f>
        <v>90.458333333333329</v>
      </c>
      <c r="CM473" s="16">
        <f>IF(CM472&gt;0,CM472*PARAM!$C$53,CM472)+CK473-CL473</f>
        <v>-12993.624999999985</v>
      </c>
      <c r="CO473" s="176"/>
    </row>
    <row r="474" spans="1:93" x14ac:dyDescent="0.2">
      <c r="A474" t="b">
        <f t="shared" si="279"/>
        <v>0</v>
      </c>
      <c r="B474" s="33">
        <v>447</v>
      </c>
      <c r="C474" s="15">
        <f t="shared" si="280"/>
        <v>20.081305947392778</v>
      </c>
      <c r="D474" s="75">
        <f>C474*(1-PARAM!$C$27)*$I$3+(MOD($B474,60)=PARAM!$B$56)*($B474&gt;(60-PARAM!$B$56))*HLOOKUP(($B474+PARAM!$B$56)/12,Loyalty,2)*$F$1*MAX(F473,0)</f>
        <v>16.808053077967756</v>
      </c>
      <c r="E474" s="75">
        <f>PARAM!$C$26+MAX($G$3-CHOOSE(PARAM!$B$44,MAX(0,F473*$F$1),0),0)*RATES!$L450/12+$H$3*(PARAM!$D$51/12)*RATES!$N450/100</f>
        <v>90.458333333333329</v>
      </c>
      <c r="F474" s="16">
        <f t="shared" si="281"/>
        <v>-5727.3087988854841</v>
      </c>
      <c r="G474" s="15">
        <f t="shared" si="282"/>
        <v>22.035289406060361</v>
      </c>
      <c r="H474" s="75">
        <f>G474*(1-PARAM!$C$27)*$I$4+(MOD($B474,60)=PARAM!$B$56)*($B474&gt;(60-PARAM!$B$56))*HLOOKUP(($B474+PARAM!$B$56)/12,Loyalty,2)*$F$1*MAX(J473,0)</f>
        <v>18.443537232872522</v>
      </c>
      <c r="I474" s="75">
        <f>PARAM!$C$26+MAX($G$4-CHOOSE(PARAM!$B$44,MAX(0,J473*$F$1),0),0)*RATES!$L450/12+$H$4*(PARAM!$D$51/12)*RATES!$N450/100</f>
        <v>90.458333333333329</v>
      </c>
      <c r="J474" s="16">
        <f t="shared" si="283"/>
        <v>-4962.4144175213332</v>
      </c>
      <c r="K474" s="15">
        <f t="shared" si="284"/>
        <v>22.170849845882874</v>
      </c>
      <c r="L474" s="75">
        <f>K474*(1-PARAM!$C$27)*$I$5+(MOD($B474,60)=PARAM!$B$56)*($B474&gt;(60-PARAM!$B$56))*HLOOKUP(($B474+PARAM!$B$56)/12,Loyalty,2)*$F$1*MAX(N473,0)</f>
        <v>18.557001321003963</v>
      </c>
      <c r="M474" s="75">
        <f>PARAM!$C$26+MAX($G$5-CHOOSE(PARAM!$B$44,MAX(0,N473*$F$1),0),0)*RATES!$L450/12+$H$5*(PARAM!$D$51/12)*RATES!$N450/100</f>
        <v>90.458333333333329</v>
      </c>
      <c r="N474" s="16">
        <f t="shared" si="285"/>
        <v>-4908.67843372679</v>
      </c>
      <c r="O474" s="15">
        <f t="shared" si="286"/>
        <v>22.170849845882874</v>
      </c>
      <c r="P474" s="75">
        <f>O474*(1-PARAM!$C$27)*$I$6+(MOD($B474,60)=PARAM!$B$56)*($B474&gt;(60-PARAM!$B$56))*HLOOKUP(($B474+PARAM!$B$56)/12,Loyalty,2)*$F$1*MAX(R473,0)</f>
        <v>18.557001321003963</v>
      </c>
      <c r="Q474" s="75">
        <f>PARAM!$C$26+MAX($G$6-CHOOSE(PARAM!$B$44,MAX(0,R473*$F$1),0),0)*RATES!$L450/12+$H$6*(PARAM!$D$51/12)*RATES!$N450/100</f>
        <v>90.458333333333329</v>
      </c>
      <c r="R474" s="16">
        <f t="shared" si="287"/>
        <v>-4908.67843372679</v>
      </c>
      <c r="S474" s="15">
        <f t="shared" si="262"/>
        <v>22.170849845882874</v>
      </c>
      <c r="T474" s="75">
        <f>S474*(1-PARAM!$C$27)*$I$7+(MOD($B474,60)=PARAM!$B$56)*($B474&gt;(60-PARAM!$B$56))*HLOOKUP(($B474+PARAM!$B$56)/12,Loyalty,2)*$F$1*MAX(V473,0)</f>
        <v>18.557001321003963</v>
      </c>
      <c r="U474" s="75">
        <f>PARAM!$C$26+MAX($G$7-CHOOSE(PARAM!$B$44,MAX(0,V473*$F$1),0),0)*RATES!$L450/12+$H$7*(PARAM!$D$51/12)*RATES!$N450/100</f>
        <v>90.458333333333329</v>
      </c>
      <c r="V474" s="16">
        <f t="shared" si="288"/>
        <v>-4908.67843372679</v>
      </c>
      <c r="W474" s="15">
        <f t="shared" si="263"/>
        <v>22.170849845882874</v>
      </c>
      <c r="X474" s="75">
        <f>W474*(1-PARAM!$C$27)*$I$8+(MOD($B474,60)=PARAM!$B$56)*($B474&gt;(60-PARAM!$B$56))*HLOOKUP(($B474+PARAM!$B$56)/12,Loyalty,2)*$F$1*MAX(Z473,0)</f>
        <v>18.557001321003963</v>
      </c>
      <c r="Y474" s="75">
        <f>PARAM!$C$26+MAX($G$8-CHOOSE(PARAM!$B$44,MAX(0,Z473*$F$1),0),0)*RATES!$L450/12+$H$8*(PARAM!$D$51/12)*RATES!$N450/100</f>
        <v>90.458333333333329</v>
      </c>
      <c r="Z474" s="16">
        <f t="shared" si="289"/>
        <v>-4908.67843372679</v>
      </c>
      <c r="AA474" s="15">
        <f t="shared" si="264"/>
        <v>22.170849845882874</v>
      </c>
      <c r="AB474" s="75">
        <f>AA474*(1-PARAM!$C$27)*$I$9+(MOD($B474,60)=PARAM!$B$56)*($B474&gt;(60-PARAM!$B$56))*HLOOKUP(($B474+PARAM!$B$56)/12,Loyalty,2)*$F$1*MAX(AD473,0)</f>
        <v>18.557001321003963</v>
      </c>
      <c r="AC474" s="75">
        <f>PARAM!$C$26+MAX($G$9-CHOOSE(PARAM!$B$44,MAX(0,AD473*$F$1),0),0)*RATES!$L450/12+$H$9*(PARAM!$D$51/12)*RATES!$N450/100</f>
        <v>90.458333333333329</v>
      </c>
      <c r="AD474" s="16">
        <f t="shared" si="290"/>
        <v>-4908.67843372679</v>
      </c>
      <c r="AE474" s="15">
        <f t="shared" si="265"/>
        <v>22.170849845882874</v>
      </c>
      <c r="AF474" s="75">
        <f>AE474*(1-PARAM!$C$27)*$I$10+(MOD($B474,60)=PARAM!$B$56)*($B474&gt;(60-PARAM!$B$56))*HLOOKUP(($B474+PARAM!$B$56)/12,Loyalty,2)*$F$1*MAX(AH473,0)</f>
        <v>18.557001321003963</v>
      </c>
      <c r="AG474" s="75">
        <f>PARAM!$C$26+MAX($G$10-CHOOSE(PARAM!$B$44,MAX(0,AH473*$F$1),0),0)*RATES!$L450/12+$H$10*(PARAM!$D$51/12)*RATES!$N450/100</f>
        <v>90.458333333333329</v>
      </c>
      <c r="AH474" s="16">
        <f t="shared" si="291"/>
        <v>-4908.67843372679</v>
      </c>
      <c r="AI474" s="15">
        <f t="shared" si="266"/>
        <v>22.170849845882874</v>
      </c>
      <c r="AJ474" s="75">
        <f>AI474*(1-PARAM!$C$27)*$I$11+(MOD($B474,60)=PARAM!$B$56)*($B474&gt;(60-PARAM!$B$56))*HLOOKUP(($B474+PARAM!$B$56)/12,Loyalty,2)*$F$1*MAX(AL473,0)</f>
        <v>18.557001321003963</v>
      </c>
      <c r="AK474" s="75">
        <f>PARAM!$C$26+MAX($G$11-CHOOSE(PARAM!$B$44,MAX(0,AL473*$F$1),0),0)*RATES!$L450/12+$H$11*(PARAM!$D$51/12)*RATES!$N450/100</f>
        <v>90.458333333333329</v>
      </c>
      <c r="AL474" s="16">
        <f t="shared" si="292"/>
        <v>-4908.67843372679</v>
      </c>
      <c r="AM474" s="15">
        <f t="shared" si="267"/>
        <v>22.170849845882874</v>
      </c>
      <c r="AN474" s="75">
        <f>AM474*(1-PARAM!$C$27)*$I$12+(MOD($B474,60)=PARAM!$B$56)*($B474&gt;(60-PARAM!$B$56))*HLOOKUP(($B474+PARAM!$B$56)/12,Loyalty,2)*$F$1*MAX(AP473,0)</f>
        <v>18.557001321003963</v>
      </c>
      <c r="AO474" s="75">
        <f>PARAM!$C$26+MAX($G$12-CHOOSE(PARAM!$B$44,MAX(0,AP473*$F$1),0),0)*RATES!$L450/12+$H$12*(PARAM!$D$51/12)*RATES!$N450/100</f>
        <v>90.458333333333329</v>
      </c>
      <c r="AP474" s="16">
        <f t="shared" si="293"/>
        <v>-4908.67843372679</v>
      </c>
      <c r="AQ474" s="15">
        <f t="shared" si="268"/>
        <v>22.170849845882874</v>
      </c>
      <c r="AR474" s="75">
        <f>AQ474*(1-PARAM!$C$27)*$I$13+(MOD($B474,60)=PARAM!$B$56)*($B474&gt;(60-PARAM!$B$56))*HLOOKUP(($B474+PARAM!$B$56)/12,Loyalty,2)*$F$1*MAX(AT473,0)</f>
        <v>18.557001321003963</v>
      </c>
      <c r="AS474" s="75">
        <f>PARAM!$C$26+MAX($G$13-CHOOSE(PARAM!$B$44,MAX(0,AT473*$F$1),0),0)*RATES!$L450/12+$H$13*(PARAM!$D$51/12)*RATES!$N450/100</f>
        <v>90.458333333333329</v>
      </c>
      <c r="AT474" s="16">
        <f t="shared" si="294"/>
        <v>-4908.67843372679</v>
      </c>
      <c r="AU474" s="15">
        <f t="shared" si="269"/>
        <v>22.170849845882874</v>
      </c>
      <c r="AV474" s="75">
        <f>AU474*(1-PARAM!$C$27)*$I$14+(MOD($B474,60)=PARAM!$B$56)*($B474&gt;(60-PARAM!$B$56))*HLOOKUP(($B474+PARAM!$B$56)/12,Loyalty,2)*$F$1*MAX(AX473,0)</f>
        <v>18.557001321003963</v>
      </c>
      <c r="AW474" s="75">
        <f>PARAM!$C$26+MAX($G$14-CHOOSE(PARAM!$B$44,MAX(0,AX473*$F$1),0),0)*RATES!$L450/12+$H$14*(PARAM!$D$51/12)*RATES!$N450/100</f>
        <v>90.458333333333329</v>
      </c>
      <c r="AX474" s="16">
        <f t="shared" si="295"/>
        <v>-4908.67843372679</v>
      </c>
      <c r="AY474" s="15">
        <f t="shared" si="270"/>
        <v>22.170849845882874</v>
      </c>
      <c r="AZ474" s="75">
        <f>AY474*(1-PARAM!$C$27)*$I$15+(MOD($B474,60)=PARAM!$B$56)*($B474&gt;(60-PARAM!$B$56))*HLOOKUP(($B474+PARAM!$B$56)/12,Loyalty,2)*$F$1*MAX(BB473,0)</f>
        <v>18.557001321003963</v>
      </c>
      <c r="BA474" s="75">
        <f>PARAM!$C$26+MAX($G$15-CHOOSE(PARAM!$B$44,MAX(0,BB473*$F$1),0),0)*RATES!$L450/12+$H$15*(PARAM!$D$51/12)*RATES!$N450/100</f>
        <v>90.458333333333329</v>
      </c>
      <c r="BB474" s="16">
        <f t="shared" si="296"/>
        <v>-4908.67843372679</v>
      </c>
      <c r="BC474" s="15">
        <f t="shared" si="271"/>
        <v>22.170849845882874</v>
      </c>
      <c r="BD474" s="75">
        <f>BC474*(1-PARAM!$C$27)*$I$16+(MOD($B474,60)=PARAM!$B$56)*($B474&gt;(60-PARAM!$B$56))*HLOOKUP(($B474+PARAM!$B$56)/12,Loyalty,2)*$F$1*MAX(BF473,0)</f>
        <v>18.557001321003963</v>
      </c>
      <c r="BE474" s="75">
        <f>PARAM!$C$26+MAX($G$16-CHOOSE(PARAM!$B$44,MAX(0,BF473*$F$1),0),0)*RATES!$L450/12+$H$16*(PARAM!$D$51/12)*RATES!$N450/100</f>
        <v>90.458333333333329</v>
      </c>
      <c r="BF474" s="16">
        <f t="shared" si="297"/>
        <v>-4908.67843372679</v>
      </c>
      <c r="BG474" s="15">
        <f t="shared" si="272"/>
        <v>22.170849845882874</v>
      </c>
      <c r="BH474" s="75">
        <f>BG474*(1-PARAM!$C$27)*$I$17+(MOD($B474,60)=PARAM!$B$56)*($B474&gt;(60-PARAM!$B$56))*HLOOKUP(($B474+PARAM!$B$56)/12,Loyalty,2)*$F$1*MAX(BJ473,0)</f>
        <v>18.557001321003963</v>
      </c>
      <c r="BI474" s="75">
        <f>PARAM!$C$26+MAX($G$17-CHOOSE(PARAM!$B$44,MAX(0,BJ473*$F$1),0),0)*RATES!$L450/12+$H$17*(PARAM!$D$51/12)*RATES!$N450/100</f>
        <v>90.458333333333329</v>
      </c>
      <c r="BJ474" s="16">
        <f t="shared" si="298"/>
        <v>-4908.67843372679</v>
      </c>
      <c r="BK474" s="15">
        <f t="shared" si="273"/>
        <v>22.170849845882874</v>
      </c>
      <c r="BL474" s="75">
        <f>BK474*(1-PARAM!$C$27)*$I$18+(MOD($B474,60)=PARAM!$B$56)*($B474&gt;(60-PARAM!$B$56))*HLOOKUP(($B474+PARAM!$B$56)/12,Loyalty,2)*$F$1*MAX(BN473,0)</f>
        <v>18.557001321003963</v>
      </c>
      <c r="BM474" s="75">
        <f>PARAM!$C$26+MAX($G$18-CHOOSE(PARAM!$B$44,MAX(0,BN473*$F$1),0),0)*RATES!$L450/12+$H$18*(PARAM!$D$51/12)*RATES!$N450/100</f>
        <v>90.458333333333329</v>
      </c>
      <c r="BN474" s="16">
        <f t="shared" si="299"/>
        <v>-4908.67843372679</v>
      </c>
      <c r="BO474" s="15">
        <f t="shared" si="274"/>
        <v>22.170849845882874</v>
      </c>
      <c r="BP474" s="75">
        <f>BO474*(1-PARAM!$C$27)*$I$19+(MOD($B474,60)=PARAM!$B$56)*($B474&gt;(60-PARAM!$B$56))*HLOOKUP(($B474+PARAM!$B$56)/12,Loyalty,2)*$F$1*MAX(BR473,0)</f>
        <v>18.557001321003963</v>
      </c>
      <c r="BQ474" s="75">
        <f>PARAM!$C$26+MAX($G$19-CHOOSE(PARAM!$B$44,MAX(0,BR473*$F$1),0),0)*RATES!$L450/12+$H$19*(PARAM!$D$51/12)*RATES!$N450/100</f>
        <v>90.458333333333329</v>
      </c>
      <c r="BR474" s="16">
        <f t="shared" si="300"/>
        <v>-4908.67843372679</v>
      </c>
      <c r="BS474" s="15">
        <f t="shared" si="275"/>
        <v>22.170849845882874</v>
      </c>
      <c r="BT474" s="75">
        <f>BS474*(1-PARAM!$C$27)*$I$20+(MOD($B474,60)=PARAM!$B$56)*($B474&gt;(60-PARAM!$B$56))*HLOOKUP(($B474+PARAM!$B$56)/12,Loyalty,2)*$F$1*MAX(BV473,0)</f>
        <v>18.557001321003963</v>
      </c>
      <c r="BU474" s="75">
        <f>PARAM!$C$26+MAX($G$20-CHOOSE(PARAM!$B$44,MAX(0,BV473*$F$1),0),0)*RATES!$L450/12+$H$20*(PARAM!$D$51/12)*RATES!$N450/100</f>
        <v>90.458333333333329</v>
      </c>
      <c r="BV474" s="16">
        <f t="shared" si="301"/>
        <v>-4908.67843372679</v>
      </c>
      <c r="BW474" s="15">
        <f t="shared" si="276"/>
        <v>22.170849845882874</v>
      </c>
      <c r="BX474" s="75">
        <f>BW474*(1-PARAM!$C$27)*$I$21+(MOD($B474,60)=PARAM!$B$56)*($B474&gt;(60-PARAM!$B$56))*HLOOKUP(($B474+PARAM!$B$56)/12,Loyalty,2)*$F$1*MAX(BZ473,0)</f>
        <v>18.557001321003963</v>
      </c>
      <c r="BY474" s="75">
        <f>PARAM!$C$26+MAX($G$21-CHOOSE(PARAM!$B$44,MAX(0,BZ473*$F$1),0),0)*RATES!$L450/12+$H$21*(PARAM!$D$51/12)*RATES!$N450/100</f>
        <v>90.458333333333329</v>
      </c>
      <c r="BZ474" s="16">
        <f t="shared" si="302"/>
        <v>-4908.67843372679</v>
      </c>
      <c r="CA474" s="15">
        <f t="shared" si="277"/>
        <v>22.170849845882874</v>
      </c>
      <c r="CB474" s="75">
        <f>CA474*(1-PARAM!$C$27)*$I$22+(MOD($B474,60)=PARAM!$B$56)*($B474&gt;(60-PARAM!$B$56))*HLOOKUP(($B474+PARAM!$B$56)/12,Loyalty,2)*$F$1*MAX(CD473,0)</f>
        <v>18.557001321003963</v>
      </c>
      <c r="CC474" s="75">
        <f>PARAM!$C$26+MAX($G$22-CHOOSE(PARAM!$B$44,MAX(0,CD473*$F$1),0),0)*RATES!$L450/12+$H$22*(PARAM!$D$51/12)*RATES!$N450/100</f>
        <v>90.458333333333329</v>
      </c>
      <c r="CD474" s="16">
        <f t="shared" si="303"/>
        <v>-4908.67843372679</v>
      </c>
      <c r="CE474" s="33">
        <f>IF(0=MOD(B474,12/PARAM!$D$51),1,0)</f>
        <v>1</v>
      </c>
      <c r="CF474" s="15">
        <f t="shared" si="278"/>
        <v>0</v>
      </c>
      <c r="CG474" s="75">
        <f>CF474*(1-PARAM!$C$27)*$R$3+(MOD($B474/12,5)=0)*($B474&gt;60)*HLOOKUP($B474/12,Loyalty,2)*$F$1*MAX(CI473,0)</f>
        <v>0</v>
      </c>
      <c r="CH474" s="75">
        <f>PARAM!$C$26+MAX($P$3-CHOOSE(PARAM!$B$44,MAX(0,CI473*$F$1),0),0)*RATES!$L450/12+$Q$3*(PARAM!$D$51/12)*RATES!$N450/100</f>
        <v>90.458333333333329</v>
      </c>
      <c r="CI474" s="16">
        <f>IF(CI473&gt;0,CI473*PARAM!$C$53,CI473)+CG474-CH474</f>
        <v>-13084.083333333319</v>
      </c>
      <c r="CJ474" s="15">
        <f t="shared" si="304"/>
        <v>0</v>
      </c>
      <c r="CK474" s="75">
        <f>CJ474*(1-PARAM!$C$27)*$R$4+(MOD($B474/12,5)=0)*($B474&gt;60)*HLOOKUP($B474/12,Loyalty,2)*$F$1*MAX(CM473,0)</f>
        <v>0</v>
      </c>
      <c r="CL474" s="75">
        <f>PARAM!$C$26+MAX($P$4-CHOOSE(PARAM!$B$44,MAX(0,CM473*$F$1),0),0)*RATES!$L450/12+$Q$4*(PARAM!$D$51/12)*RATES!$N450/100</f>
        <v>90.458333333333329</v>
      </c>
      <c r="CM474" s="16">
        <f>IF(CM473&gt;0,CM473*PARAM!$C$53,CM473)+CK474-CL474</f>
        <v>-13084.083333333319</v>
      </c>
      <c r="CO474" s="176"/>
    </row>
    <row r="475" spans="1:93" x14ac:dyDescent="0.2">
      <c r="A475" t="b">
        <f t="shared" si="279"/>
        <v>0</v>
      </c>
      <c r="B475" s="33">
        <v>448</v>
      </c>
      <c r="C475" s="15">
        <f t="shared" si="280"/>
        <v>20.081305947392778</v>
      </c>
      <c r="D475" s="75">
        <f>C475*(1-PARAM!$C$27)*$I$3+(MOD($B475,60)=PARAM!$B$56)*($B475&gt;(60-PARAM!$B$56))*HLOOKUP(($B475+PARAM!$B$56)/12,Loyalty,2)*$F$1*MAX(F474,0)</f>
        <v>16.808053077967756</v>
      </c>
      <c r="E475" s="75">
        <f>PARAM!$C$26+MAX($G$3-CHOOSE(PARAM!$B$44,MAX(0,F474*$F$1),0),0)*RATES!$L451/12+$H$3*(PARAM!$D$51/12)*RATES!$N451/100</f>
        <v>90.458333333333329</v>
      </c>
      <c r="F475" s="16">
        <f t="shared" si="281"/>
        <v>-5800.9590791408491</v>
      </c>
      <c r="G475" s="15">
        <f t="shared" si="282"/>
        <v>22.035289406060361</v>
      </c>
      <c r="H475" s="75">
        <f>G475*(1-PARAM!$C$27)*$I$4+(MOD($B475,60)=PARAM!$B$56)*($B475&gt;(60-PARAM!$B$56))*HLOOKUP(($B475+PARAM!$B$56)/12,Loyalty,2)*$F$1*MAX(J474,0)</f>
        <v>18.443537232872522</v>
      </c>
      <c r="I475" s="75">
        <f>PARAM!$C$26+MAX($G$4-CHOOSE(PARAM!$B$44,MAX(0,J474*$F$1),0),0)*RATES!$L451/12+$H$4*(PARAM!$D$51/12)*RATES!$N451/100</f>
        <v>90.458333333333329</v>
      </c>
      <c r="J475" s="16">
        <f t="shared" si="283"/>
        <v>-5034.4292136217937</v>
      </c>
      <c r="K475" s="15">
        <f t="shared" si="284"/>
        <v>22.170849845882874</v>
      </c>
      <c r="L475" s="75">
        <f>K475*(1-PARAM!$C$27)*$I$5+(MOD($B475,60)=PARAM!$B$56)*($B475&gt;(60-PARAM!$B$56))*HLOOKUP(($B475+PARAM!$B$56)/12,Loyalty,2)*$F$1*MAX(N474,0)</f>
        <v>18.557001321003963</v>
      </c>
      <c r="M475" s="75">
        <f>PARAM!$C$26+MAX($G$5-CHOOSE(PARAM!$B$44,MAX(0,N474*$F$1),0),0)*RATES!$L451/12+$H$5*(PARAM!$D$51/12)*RATES!$N451/100</f>
        <v>90.458333333333329</v>
      </c>
      <c r="N475" s="16">
        <f t="shared" si="285"/>
        <v>-4980.5797657391195</v>
      </c>
      <c r="O475" s="15">
        <f t="shared" si="286"/>
        <v>22.170849845882874</v>
      </c>
      <c r="P475" s="75">
        <f>O475*(1-PARAM!$C$27)*$I$6+(MOD($B475,60)=PARAM!$B$56)*($B475&gt;(60-PARAM!$B$56))*HLOOKUP(($B475+PARAM!$B$56)/12,Loyalty,2)*$F$1*MAX(R474,0)</f>
        <v>18.557001321003963</v>
      </c>
      <c r="Q475" s="75">
        <f>PARAM!$C$26+MAX($G$6-CHOOSE(PARAM!$B$44,MAX(0,R474*$F$1),0),0)*RATES!$L451/12+$H$6*(PARAM!$D$51/12)*RATES!$N451/100</f>
        <v>90.458333333333329</v>
      </c>
      <c r="R475" s="16">
        <f t="shared" si="287"/>
        <v>-4980.5797657391195</v>
      </c>
      <c r="S475" s="15">
        <f t="shared" ref="S475:S538" si="305">$H$7*$CE475</f>
        <v>22.170849845882874</v>
      </c>
      <c r="T475" s="75">
        <f>S475*(1-PARAM!$C$27)*$I$7+(MOD($B475,60)=PARAM!$B$56)*($B475&gt;(60-PARAM!$B$56))*HLOOKUP(($B475+PARAM!$B$56)/12,Loyalty,2)*$F$1*MAX(V474,0)</f>
        <v>18.557001321003963</v>
      </c>
      <c r="U475" s="75">
        <f>PARAM!$C$26+MAX($G$7-CHOOSE(PARAM!$B$44,MAX(0,V474*$F$1),0),0)*RATES!$L451/12+$H$7*(PARAM!$D$51/12)*RATES!$N451/100</f>
        <v>90.458333333333329</v>
      </c>
      <c r="V475" s="16">
        <f t="shared" si="288"/>
        <v>-4980.5797657391195</v>
      </c>
      <c r="W475" s="15">
        <f t="shared" ref="W475:W538" si="306">$H$8*$CE475</f>
        <v>22.170849845882874</v>
      </c>
      <c r="X475" s="75">
        <f>W475*(1-PARAM!$C$27)*$I$8+(MOD($B475,60)=PARAM!$B$56)*($B475&gt;(60-PARAM!$B$56))*HLOOKUP(($B475+PARAM!$B$56)/12,Loyalty,2)*$F$1*MAX(Z474,0)</f>
        <v>18.557001321003963</v>
      </c>
      <c r="Y475" s="75">
        <f>PARAM!$C$26+MAX($G$8-CHOOSE(PARAM!$B$44,MAX(0,Z474*$F$1),0),0)*RATES!$L451/12+$H$8*(PARAM!$D$51/12)*RATES!$N451/100</f>
        <v>90.458333333333329</v>
      </c>
      <c r="Z475" s="16">
        <f t="shared" si="289"/>
        <v>-4980.5797657391195</v>
      </c>
      <c r="AA475" s="15">
        <f t="shared" ref="AA475:AA538" si="307">$H$9*$CE475</f>
        <v>22.170849845882874</v>
      </c>
      <c r="AB475" s="75">
        <f>AA475*(1-PARAM!$C$27)*$I$9+(MOD($B475,60)=PARAM!$B$56)*($B475&gt;(60-PARAM!$B$56))*HLOOKUP(($B475+PARAM!$B$56)/12,Loyalty,2)*$F$1*MAX(AD474,0)</f>
        <v>18.557001321003963</v>
      </c>
      <c r="AC475" s="75">
        <f>PARAM!$C$26+MAX($G$9-CHOOSE(PARAM!$B$44,MAX(0,AD474*$F$1),0),0)*RATES!$L451/12+$H$9*(PARAM!$D$51/12)*RATES!$N451/100</f>
        <v>90.458333333333329</v>
      </c>
      <c r="AD475" s="16">
        <f t="shared" si="290"/>
        <v>-4980.5797657391195</v>
      </c>
      <c r="AE475" s="15">
        <f t="shared" ref="AE475:AE538" si="308">$H$10*$CE475</f>
        <v>22.170849845882874</v>
      </c>
      <c r="AF475" s="75">
        <f>AE475*(1-PARAM!$C$27)*$I$10+(MOD($B475,60)=PARAM!$B$56)*($B475&gt;(60-PARAM!$B$56))*HLOOKUP(($B475+PARAM!$B$56)/12,Loyalty,2)*$F$1*MAX(AH474,0)</f>
        <v>18.557001321003963</v>
      </c>
      <c r="AG475" s="75">
        <f>PARAM!$C$26+MAX($G$10-CHOOSE(PARAM!$B$44,MAX(0,AH474*$F$1),0),0)*RATES!$L451/12+$H$10*(PARAM!$D$51/12)*RATES!$N451/100</f>
        <v>90.458333333333329</v>
      </c>
      <c r="AH475" s="16">
        <f t="shared" si="291"/>
        <v>-4980.5797657391195</v>
      </c>
      <c r="AI475" s="15">
        <f t="shared" ref="AI475:AI538" si="309">$H$11*$CE475</f>
        <v>22.170849845882874</v>
      </c>
      <c r="AJ475" s="75">
        <f>AI475*(1-PARAM!$C$27)*$I$11+(MOD($B475,60)=PARAM!$B$56)*($B475&gt;(60-PARAM!$B$56))*HLOOKUP(($B475+PARAM!$B$56)/12,Loyalty,2)*$F$1*MAX(AL474,0)</f>
        <v>18.557001321003963</v>
      </c>
      <c r="AK475" s="75">
        <f>PARAM!$C$26+MAX($G$11-CHOOSE(PARAM!$B$44,MAX(0,AL474*$F$1),0),0)*RATES!$L451/12+$H$11*(PARAM!$D$51/12)*RATES!$N451/100</f>
        <v>90.458333333333329</v>
      </c>
      <c r="AL475" s="16">
        <f t="shared" si="292"/>
        <v>-4980.5797657391195</v>
      </c>
      <c r="AM475" s="15">
        <f t="shared" ref="AM475:AM538" si="310">$H$12*$CE475</f>
        <v>22.170849845882874</v>
      </c>
      <c r="AN475" s="75">
        <f>AM475*(1-PARAM!$C$27)*$I$12+(MOD($B475,60)=PARAM!$B$56)*($B475&gt;(60-PARAM!$B$56))*HLOOKUP(($B475+PARAM!$B$56)/12,Loyalty,2)*$F$1*MAX(AP474,0)</f>
        <v>18.557001321003963</v>
      </c>
      <c r="AO475" s="75">
        <f>PARAM!$C$26+MAX($G$12-CHOOSE(PARAM!$B$44,MAX(0,AP474*$F$1),0),0)*RATES!$L451/12+$H$12*(PARAM!$D$51/12)*RATES!$N451/100</f>
        <v>90.458333333333329</v>
      </c>
      <c r="AP475" s="16">
        <f t="shared" si="293"/>
        <v>-4980.5797657391195</v>
      </c>
      <c r="AQ475" s="15">
        <f t="shared" ref="AQ475:AQ538" si="311">$H$13*$CE475</f>
        <v>22.170849845882874</v>
      </c>
      <c r="AR475" s="75">
        <f>AQ475*(1-PARAM!$C$27)*$I$13+(MOD($B475,60)=PARAM!$B$56)*($B475&gt;(60-PARAM!$B$56))*HLOOKUP(($B475+PARAM!$B$56)/12,Loyalty,2)*$F$1*MAX(AT474,0)</f>
        <v>18.557001321003963</v>
      </c>
      <c r="AS475" s="75">
        <f>PARAM!$C$26+MAX($G$13-CHOOSE(PARAM!$B$44,MAX(0,AT474*$F$1),0),0)*RATES!$L451/12+$H$13*(PARAM!$D$51/12)*RATES!$N451/100</f>
        <v>90.458333333333329</v>
      </c>
      <c r="AT475" s="16">
        <f t="shared" si="294"/>
        <v>-4980.5797657391195</v>
      </c>
      <c r="AU475" s="15">
        <f t="shared" ref="AU475:AU538" si="312">$H$14*$CE475</f>
        <v>22.170849845882874</v>
      </c>
      <c r="AV475" s="75">
        <f>AU475*(1-PARAM!$C$27)*$I$14+(MOD($B475,60)=PARAM!$B$56)*($B475&gt;(60-PARAM!$B$56))*HLOOKUP(($B475+PARAM!$B$56)/12,Loyalty,2)*$F$1*MAX(AX474,0)</f>
        <v>18.557001321003963</v>
      </c>
      <c r="AW475" s="75">
        <f>PARAM!$C$26+MAX($G$14-CHOOSE(PARAM!$B$44,MAX(0,AX474*$F$1),0),0)*RATES!$L451/12+$H$14*(PARAM!$D$51/12)*RATES!$N451/100</f>
        <v>90.458333333333329</v>
      </c>
      <c r="AX475" s="16">
        <f t="shared" si="295"/>
        <v>-4980.5797657391195</v>
      </c>
      <c r="AY475" s="15">
        <f t="shared" ref="AY475:AY538" si="313">$H$15*$CE475</f>
        <v>22.170849845882874</v>
      </c>
      <c r="AZ475" s="75">
        <f>AY475*(1-PARAM!$C$27)*$I$15+(MOD($B475,60)=PARAM!$B$56)*($B475&gt;(60-PARAM!$B$56))*HLOOKUP(($B475+PARAM!$B$56)/12,Loyalty,2)*$F$1*MAX(BB474,0)</f>
        <v>18.557001321003963</v>
      </c>
      <c r="BA475" s="75">
        <f>PARAM!$C$26+MAX($G$15-CHOOSE(PARAM!$B$44,MAX(0,BB474*$F$1),0),0)*RATES!$L451/12+$H$15*(PARAM!$D$51/12)*RATES!$N451/100</f>
        <v>90.458333333333329</v>
      </c>
      <c r="BB475" s="16">
        <f t="shared" si="296"/>
        <v>-4980.5797657391195</v>
      </c>
      <c r="BC475" s="15">
        <f t="shared" ref="BC475:BC538" si="314">$H$16*$CE475</f>
        <v>22.170849845882874</v>
      </c>
      <c r="BD475" s="75">
        <f>BC475*(1-PARAM!$C$27)*$I$16+(MOD($B475,60)=PARAM!$B$56)*($B475&gt;(60-PARAM!$B$56))*HLOOKUP(($B475+PARAM!$B$56)/12,Loyalty,2)*$F$1*MAX(BF474,0)</f>
        <v>18.557001321003963</v>
      </c>
      <c r="BE475" s="75">
        <f>PARAM!$C$26+MAX($G$16-CHOOSE(PARAM!$B$44,MAX(0,BF474*$F$1),0),0)*RATES!$L451/12+$H$16*(PARAM!$D$51/12)*RATES!$N451/100</f>
        <v>90.458333333333329</v>
      </c>
      <c r="BF475" s="16">
        <f t="shared" si="297"/>
        <v>-4980.5797657391195</v>
      </c>
      <c r="BG475" s="15">
        <f t="shared" ref="BG475:BG538" si="315">$H$17*$CE475</f>
        <v>22.170849845882874</v>
      </c>
      <c r="BH475" s="75">
        <f>BG475*(1-PARAM!$C$27)*$I$17+(MOD($B475,60)=PARAM!$B$56)*($B475&gt;(60-PARAM!$B$56))*HLOOKUP(($B475+PARAM!$B$56)/12,Loyalty,2)*$F$1*MAX(BJ474,0)</f>
        <v>18.557001321003963</v>
      </c>
      <c r="BI475" s="75">
        <f>PARAM!$C$26+MAX($G$17-CHOOSE(PARAM!$B$44,MAX(0,BJ474*$F$1),0),0)*RATES!$L451/12+$H$17*(PARAM!$D$51/12)*RATES!$N451/100</f>
        <v>90.458333333333329</v>
      </c>
      <c r="BJ475" s="16">
        <f t="shared" si="298"/>
        <v>-4980.5797657391195</v>
      </c>
      <c r="BK475" s="15">
        <f t="shared" ref="BK475:BK538" si="316">$H$18*$CE475</f>
        <v>22.170849845882874</v>
      </c>
      <c r="BL475" s="75">
        <f>BK475*(1-PARAM!$C$27)*$I$18+(MOD($B475,60)=PARAM!$B$56)*($B475&gt;(60-PARAM!$B$56))*HLOOKUP(($B475+PARAM!$B$56)/12,Loyalty,2)*$F$1*MAX(BN474,0)</f>
        <v>18.557001321003963</v>
      </c>
      <c r="BM475" s="75">
        <f>PARAM!$C$26+MAX($G$18-CHOOSE(PARAM!$B$44,MAX(0,BN474*$F$1),0),0)*RATES!$L451/12+$H$18*(PARAM!$D$51/12)*RATES!$N451/100</f>
        <v>90.458333333333329</v>
      </c>
      <c r="BN475" s="16">
        <f t="shared" si="299"/>
        <v>-4980.5797657391195</v>
      </c>
      <c r="BO475" s="15">
        <f t="shared" ref="BO475:BO538" si="317">$H$19*$CE475</f>
        <v>22.170849845882874</v>
      </c>
      <c r="BP475" s="75">
        <f>BO475*(1-PARAM!$C$27)*$I$19+(MOD($B475,60)=PARAM!$B$56)*($B475&gt;(60-PARAM!$B$56))*HLOOKUP(($B475+PARAM!$B$56)/12,Loyalty,2)*$F$1*MAX(BR474,0)</f>
        <v>18.557001321003963</v>
      </c>
      <c r="BQ475" s="75">
        <f>PARAM!$C$26+MAX($G$19-CHOOSE(PARAM!$B$44,MAX(0,BR474*$F$1),0),0)*RATES!$L451/12+$H$19*(PARAM!$D$51/12)*RATES!$N451/100</f>
        <v>90.458333333333329</v>
      </c>
      <c r="BR475" s="16">
        <f t="shared" si="300"/>
        <v>-4980.5797657391195</v>
      </c>
      <c r="BS475" s="15">
        <f t="shared" ref="BS475:BS538" si="318">$H$20*$CE475</f>
        <v>22.170849845882874</v>
      </c>
      <c r="BT475" s="75">
        <f>BS475*(1-PARAM!$C$27)*$I$20+(MOD($B475,60)=PARAM!$B$56)*($B475&gt;(60-PARAM!$B$56))*HLOOKUP(($B475+PARAM!$B$56)/12,Loyalty,2)*$F$1*MAX(BV474,0)</f>
        <v>18.557001321003963</v>
      </c>
      <c r="BU475" s="75">
        <f>PARAM!$C$26+MAX($G$20-CHOOSE(PARAM!$B$44,MAX(0,BV474*$F$1),0),0)*RATES!$L451/12+$H$20*(PARAM!$D$51/12)*RATES!$N451/100</f>
        <v>90.458333333333329</v>
      </c>
      <c r="BV475" s="16">
        <f t="shared" si="301"/>
        <v>-4980.5797657391195</v>
      </c>
      <c r="BW475" s="15">
        <f t="shared" ref="BW475:BW538" si="319">$H$21*$CE475</f>
        <v>22.170849845882874</v>
      </c>
      <c r="BX475" s="75">
        <f>BW475*(1-PARAM!$C$27)*$I$21+(MOD($B475,60)=PARAM!$B$56)*($B475&gt;(60-PARAM!$B$56))*HLOOKUP(($B475+PARAM!$B$56)/12,Loyalty,2)*$F$1*MAX(BZ474,0)</f>
        <v>18.557001321003963</v>
      </c>
      <c r="BY475" s="75">
        <f>PARAM!$C$26+MAX($G$21-CHOOSE(PARAM!$B$44,MAX(0,BZ474*$F$1),0),0)*RATES!$L451/12+$H$21*(PARAM!$D$51/12)*RATES!$N451/100</f>
        <v>90.458333333333329</v>
      </c>
      <c r="BZ475" s="16">
        <f t="shared" si="302"/>
        <v>-4980.5797657391195</v>
      </c>
      <c r="CA475" s="15">
        <f t="shared" ref="CA475:CA538" si="320">$H$22*$CE475</f>
        <v>22.170849845882874</v>
      </c>
      <c r="CB475" s="75">
        <f>CA475*(1-PARAM!$C$27)*$I$22+(MOD($B475,60)=PARAM!$B$56)*($B475&gt;(60-PARAM!$B$56))*HLOOKUP(($B475+PARAM!$B$56)/12,Loyalty,2)*$F$1*MAX(CD474,0)</f>
        <v>18.557001321003963</v>
      </c>
      <c r="CC475" s="75">
        <f>PARAM!$C$26+MAX($G$22-CHOOSE(PARAM!$B$44,MAX(0,CD474*$F$1),0),0)*RATES!$L451/12+$H$22*(PARAM!$D$51/12)*RATES!$N451/100</f>
        <v>90.458333333333329</v>
      </c>
      <c r="CD475" s="16">
        <f t="shared" si="303"/>
        <v>-4980.5797657391195</v>
      </c>
      <c r="CE475" s="33">
        <f>IF(0=MOD(B475,12/PARAM!$D$51),1,0)</f>
        <v>1</v>
      </c>
      <c r="CF475" s="15">
        <f t="shared" ref="CF475:CF538" si="321">$Q$3*CE475</f>
        <v>0</v>
      </c>
      <c r="CG475" s="75">
        <f>CF475*(1-PARAM!$C$27)*$R$3+(MOD($B475/12,5)=0)*($B475&gt;60)*HLOOKUP($B475/12,Loyalty,2)*$F$1*MAX(CI474,0)</f>
        <v>0</v>
      </c>
      <c r="CH475" s="75">
        <f>PARAM!$C$26+MAX($P$3-CHOOSE(PARAM!$B$44,MAX(0,CI474*$F$1),0),0)*RATES!$L451/12+$Q$3*(PARAM!$D$51/12)*RATES!$N451/100</f>
        <v>90.458333333333329</v>
      </c>
      <c r="CI475" s="16">
        <f>IF(CI474&gt;0,CI474*PARAM!$C$53,CI474)+CG475-CH475</f>
        <v>-13174.541666666653</v>
      </c>
      <c r="CJ475" s="15">
        <f t="shared" si="304"/>
        <v>0</v>
      </c>
      <c r="CK475" s="75">
        <f>CJ475*(1-PARAM!$C$27)*$R$4+(MOD($B475/12,5)=0)*($B475&gt;60)*HLOOKUP($B475/12,Loyalty,2)*$F$1*MAX(CM474,0)</f>
        <v>0</v>
      </c>
      <c r="CL475" s="75">
        <f>PARAM!$C$26+MAX($P$4-CHOOSE(PARAM!$B$44,MAX(0,CM474*$F$1),0),0)*RATES!$L451/12+$Q$4*(PARAM!$D$51/12)*RATES!$N451/100</f>
        <v>90.458333333333329</v>
      </c>
      <c r="CM475" s="16">
        <f>IF(CM474&gt;0,CM474*PARAM!$C$53,CM474)+CK475-CL475</f>
        <v>-13174.541666666653</v>
      </c>
      <c r="CO475" s="176"/>
    </row>
    <row r="476" spans="1:93" x14ac:dyDescent="0.2">
      <c r="A476" t="b">
        <f t="shared" ref="A476:A539" si="322">F476&gt;0</f>
        <v>0</v>
      </c>
      <c r="B476" s="33">
        <v>449</v>
      </c>
      <c r="C476" s="15">
        <f t="shared" ref="C476:C539" si="323">$H$3*$CE476</f>
        <v>20.081305947392778</v>
      </c>
      <c r="D476" s="75">
        <f>C476*(1-PARAM!$C$27)*$I$3+(MOD($B476,60)=PARAM!$B$56)*($B476&gt;(60-PARAM!$B$56))*HLOOKUP(($B476+PARAM!$B$56)/12,Loyalty,2)*$F$1*MAX(F475,0)</f>
        <v>16.808053077967756</v>
      </c>
      <c r="E476" s="75">
        <f>PARAM!$C$26+MAX($G$3-CHOOSE(PARAM!$B$44,MAX(0,F475*$F$1),0),0)*RATES!$L452/12+$H$3*(PARAM!$D$51/12)*RATES!$N452/100</f>
        <v>90.458333333333329</v>
      </c>
      <c r="F476" s="16">
        <f t="shared" ref="F476:F539" si="324">IF(F475&gt;0,F475*$F$1,F475)+D476-E476</f>
        <v>-5874.6093593962141</v>
      </c>
      <c r="G476" s="15">
        <f t="shared" ref="G476:G539" si="325">$H$4*$CE476</f>
        <v>22.035289406060361</v>
      </c>
      <c r="H476" s="75">
        <f>G476*(1-PARAM!$C$27)*$I$4+(MOD($B476,60)=PARAM!$B$56)*($B476&gt;(60-PARAM!$B$56))*HLOOKUP(($B476+PARAM!$B$56)/12,Loyalty,2)*$F$1*MAX(J475,0)</f>
        <v>18.443537232872522</v>
      </c>
      <c r="I476" s="75">
        <f>PARAM!$C$26+MAX($G$4-CHOOSE(PARAM!$B$44,MAX(0,J475*$F$1),0),0)*RATES!$L452/12+$H$4*(PARAM!$D$51/12)*RATES!$N452/100</f>
        <v>90.458333333333329</v>
      </c>
      <c r="J476" s="16">
        <f t="shared" ref="J476:J539" si="326">IF(J475&gt;0,J475*$F$1,J475)+H476-I476</f>
        <v>-5106.4440097222541</v>
      </c>
      <c r="K476" s="15">
        <f t="shared" ref="K476:K539" si="327">$H$5*$CE476</f>
        <v>22.170849845882874</v>
      </c>
      <c r="L476" s="75">
        <f>K476*(1-PARAM!$C$27)*$I$5+(MOD($B476,60)=PARAM!$B$56)*($B476&gt;(60-PARAM!$B$56))*HLOOKUP(($B476+PARAM!$B$56)/12,Loyalty,2)*$F$1*MAX(N475,0)</f>
        <v>18.557001321003963</v>
      </c>
      <c r="M476" s="75">
        <f>PARAM!$C$26+MAX($G$5-CHOOSE(PARAM!$B$44,MAX(0,N475*$F$1),0),0)*RATES!$L452/12+$H$5*(PARAM!$D$51/12)*RATES!$N452/100</f>
        <v>90.458333333333329</v>
      </c>
      <c r="N476" s="16">
        <f t="shared" ref="N476:N539" si="328">IF(N475&gt;0,N475*$F$1,N475)+L476-M476</f>
        <v>-5052.4810977514489</v>
      </c>
      <c r="O476" s="15">
        <f t="shared" ref="O476:O539" si="329">$H$6*$CE476</f>
        <v>22.170849845882874</v>
      </c>
      <c r="P476" s="75">
        <f>O476*(1-PARAM!$C$27)*$I$6+(MOD($B476,60)=PARAM!$B$56)*($B476&gt;(60-PARAM!$B$56))*HLOOKUP(($B476+PARAM!$B$56)/12,Loyalty,2)*$F$1*MAX(R475,0)</f>
        <v>18.557001321003963</v>
      </c>
      <c r="Q476" s="75">
        <f>PARAM!$C$26+MAX($G$6-CHOOSE(PARAM!$B$44,MAX(0,R475*$F$1),0),0)*RATES!$L452/12+$H$6*(PARAM!$D$51/12)*RATES!$N452/100</f>
        <v>90.458333333333329</v>
      </c>
      <c r="R476" s="16">
        <f t="shared" ref="R476:R539" si="330">IF(R475&gt;0,R475*$F$1,R475)+P476-Q476</f>
        <v>-5052.4810977514489</v>
      </c>
      <c r="S476" s="15">
        <f t="shared" si="305"/>
        <v>22.170849845882874</v>
      </c>
      <c r="T476" s="75">
        <f>S476*(1-PARAM!$C$27)*$I$7+(MOD($B476,60)=PARAM!$B$56)*($B476&gt;(60-PARAM!$B$56))*HLOOKUP(($B476+PARAM!$B$56)/12,Loyalty,2)*$F$1*MAX(V475,0)</f>
        <v>18.557001321003963</v>
      </c>
      <c r="U476" s="75">
        <f>PARAM!$C$26+MAX($G$7-CHOOSE(PARAM!$B$44,MAX(0,V475*$F$1),0),0)*RATES!$L452/12+$H$7*(PARAM!$D$51/12)*RATES!$N452/100</f>
        <v>90.458333333333329</v>
      </c>
      <c r="V476" s="16">
        <f t="shared" ref="V476:V539" si="331">IF(V475&gt;0,V475*$F$1,V475)+T476-U476</f>
        <v>-5052.4810977514489</v>
      </c>
      <c r="W476" s="15">
        <f t="shared" si="306"/>
        <v>22.170849845882874</v>
      </c>
      <c r="X476" s="75">
        <f>W476*(1-PARAM!$C$27)*$I$8+(MOD($B476,60)=PARAM!$B$56)*($B476&gt;(60-PARAM!$B$56))*HLOOKUP(($B476+PARAM!$B$56)/12,Loyalty,2)*$F$1*MAX(Z475,0)</f>
        <v>18.557001321003963</v>
      </c>
      <c r="Y476" s="75">
        <f>PARAM!$C$26+MAX($G$8-CHOOSE(PARAM!$B$44,MAX(0,Z475*$F$1),0),0)*RATES!$L452/12+$H$8*(PARAM!$D$51/12)*RATES!$N452/100</f>
        <v>90.458333333333329</v>
      </c>
      <c r="Z476" s="16">
        <f t="shared" ref="Z476:Z539" si="332">IF(Z475&gt;0,Z475*$F$1,Z475)+X476-Y476</f>
        <v>-5052.4810977514489</v>
      </c>
      <c r="AA476" s="15">
        <f t="shared" si="307"/>
        <v>22.170849845882874</v>
      </c>
      <c r="AB476" s="75">
        <f>AA476*(1-PARAM!$C$27)*$I$9+(MOD($B476,60)=PARAM!$B$56)*($B476&gt;(60-PARAM!$B$56))*HLOOKUP(($B476+PARAM!$B$56)/12,Loyalty,2)*$F$1*MAX(AD475,0)</f>
        <v>18.557001321003963</v>
      </c>
      <c r="AC476" s="75">
        <f>PARAM!$C$26+MAX($G$9-CHOOSE(PARAM!$B$44,MAX(0,AD475*$F$1),0),0)*RATES!$L452/12+$H$9*(PARAM!$D$51/12)*RATES!$N452/100</f>
        <v>90.458333333333329</v>
      </c>
      <c r="AD476" s="16">
        <f t="shared" ref="AD476:AD539" si="333">IF(AD475&gt;0,AD475*$F$1,AD475)+AB476-AC476</f>
        <v>-5052.4810977514489</v>
      </c>
      <c r="AE476" s="15">
        <f t="shared" si="308"/>
        <v>22.170849845882874</v>
      </c>
      <c r="AF476" s="75">
        <f>AE476*(1-PARAM!$C$27)*$I$10+(MOD($B476,60)=PARAM!$B$56)*($B476&gt;(60-PARAM!$B$56))*HLOOKUP(($B476+PARAM!$B$56)/12,Loyalty,2)*$F$1*MAX(AH475,0)</f>
        <v>18.557001321003963</v>
      </c>
      <c r="AG476" s="75">
        <f>PARAM!$C$26+MAX($G$10-CHOOSE(PARAM!$B$44,MAX(0,AH475*$F$1),0),0)*RATES!$L452/12+$H$10*(PARAM!$D$51/12)*RATES!$N452/100</f>
        <v>90.458333333333329</v>
      </c>
      <c r="AH476" s="16">
        <f t="shared" ref="AH476:AH539" si="334">IF(AH475&gt;0,AH475*$F$1,AH475)+AF476-AG476</f>
        <v>-5052.4810977514489</v>
      </c>
      <c r="AI476" s="15">
        <f t="shared" si="309"/>
        <v>22.170849845882874</v>
      </c>
      <c r="AJ476" s="75">
        <f>AI476*(1-PARAM!$C$27)*$I$11+(MOD($B476,60)=PARAM!$B$56)*($B476&gt;(60-PARAM!$B$56))*HLOOKUP(($B476+PARAM!$B$56)/12,Loyalty,2)*$F$1*MAX(AL475,0)</f>
        <v>18.557001321003963</v>
      </c>
      <c r="AK476" s="75">
        <f>PARAM!$C$26+MAX($G$11-CHOOSE(PARAM!$B$44,MAX(0,AL475*$F$1),0),0)*RATES!$L452/12+$H$11*(PARAM!$D$51/12)*RATES!$N452/100</f>
        <v>90.458333333333329</v>
      </c>
      <c r="AL476" s="16">
        <f t="shared" ref="AL476:AL539" si="335">IF(AL475&gt;0,AL475*$F$1,AL475)+AJ476-AK476</f>
        <v>-5052.4810977514489</v>
      </c>
      <c r="AM476" s="15">
        <f t="shared" si="310"/>
        <v>22.170849845882874</v>
      </c>
      <c r="AN476" s="75">
        <f>AM476*(1-PARAM!$C$27)*$I$12+(MOD($B476,60)=PARAM!$B$56)*($B476&gt;(60-PARAM!$B$56))*HLOOKUP(($B476+PARAM!$B$56)/12,Loyalty,2)*$F$1*MAX(AP475,0)</f>
        <v>18.557001321003963</v>
      </c>
      <c r="AO476" s="75">
        <f>PARAM!$C$26+MAX($G$12-CHOOSE(PARAM!$B$44,MAX(0,AP475*$F$1),0),0)*RATES!$L452/12+$H$12*(PARAM!$D$51/12)*RATES!$N452/100</f>
        <v>90.458333333333329</v>
      </c>
      <c r="AP476" s="16">
        <f t="shared" ref="AP476:AP539" si="336">IF(AP475&gt;0,AP475*$F$1,AP475)+AN476-AO476</f>
        <v>-5052.4810977514489</v>
      </c>
      <c r="AQ476" s="15">
        <f t="shared" si="311"/>
        <v>22.170849845882874</v>
      </c>
      <c r="AR476" s="75">
        <f>AQ476*(1-PARAM!$C$27)*$I$13+(MOD($B476,60)=PARAM!$B$56)*($B476&gt;(60-PARAM!$B$56))*HLOOKUP(($B476+PARAM!$B$56)/12,Loyalty,2)*$F$1*MAX(AT475,0)</f>
        <v>18.557001321003963</v>
      </c>
      <c r="AS476" s="75">
        <f>PARAM!$C$26+MAX($G$13-CHOOSE(PARAM!$B$44,MAX(0,AT475*$F$1),0),0)*RATES!$L452/12+$H$13*(PARAM!$D$51/12)*RATES!$N452/100</f>
        <v>90.458333333333329</v>
      </c>
      <c r="AT476" s="16">
        <f t="shared" ref="AT476:AT539" si="337">IF(AT475&gt;0,AT475*$F$1,AT475)+AR476-AS476</f>
        <v>-5052.4810977514489</v>
      </c>
      <c r="AU476" s="15">
        <f t="shared" si="312"/>
        <v>22.170849845882874</v>
      </c>
      <c r="AV476" s="75">
        <f>AU476*(1-PARAM!$C$27)*$I$14+(MOD($B476,60)=PARAM!$B$56)*($B476&gt;(60-PARAM!$B$56))*HLOOKUP(($B476+PARAM!$B$56)/12,Loyalty,2)*$F$1*MAX(AX475,0)</f>
        <v>18.557001321003963</v>
      </c>
      <c r="AW476" s="75">
        <f>PARAM!$C$26+MAX($G$14-CHOOSE(PARAM!$B$44,MAX(0,AX475*$F$1),0),0)*RATES!$L452/12+$H$14*(PARAM!$D$51/12)*RATES!$N452/100</f>
        <v>90.458333333333329</v>
      </c>
      <c r="AX476" s="16">
        <f t="shared" ref="AX476:AX539" si="338">IF(AX475&gt;0,AX475*$F$1,AX475)+AV476-AW476</f>
        <v>-5052.4810977514489</v>
      </c>
      <c r="AY476" s="15">
        <f t="shared" si="313"/>
        <v>22.170849845882874</v>
      </c>
      <c r="AZ476" s="75">
        <f>AY476*(1-PARAM!$C$27)*$I$15+(MOD($B476,60)=PARAM!$B$56)*($B476&gt;(60-PARAM!$B$56))*HLOOKUP(($B476+PARAM!$B$56)/12,Loyalty,2)*$F$1*MAX(BB475,0)</f>
        <v>18.557001321003963</v>
      </c>
      <c r="BA476" s="75">
        <f>PARAM!$C$26+MAX($G$15-CHOOSE(PARAM!$B$44,MAX(0,BB475*$F$1),0),0)*RATES!$L452/12+$H$15*(PARAM!$D$51/12)*RATES!$N452/100</f>
        <v>90.458333333333329</v>
      </c>
      <c r="BB476" s="16">
        <f t="shared" ref="BB476:BB539" si="339">IF(BB475&gt;0,BB475*$F$1,BB475)+AZ476-BA476</f>
        <v>-5052.4810977514489</v>
      </c>
      <c r="BC476" s="15">
        <f t="shared" si="314"/>
        <v>22.170849845882874</v>
      </c>
      <c r="BD476" s="75">
        <f>BC476*(1-PARAM!$C$27)*$I$16+(MOD($B476,60)=PARAM!$B$56)*($B476&gt;(60-PARAM!$B$56))*HLOOKUP(($B476+PARAM!$B$56)/12,Loyalty,2)*$F$1*MAX(BF475,0)</f>
        <v>18.557001321003963</v>
      </c>
      <c r="BE476" s="75">
        <f>PARAM!$C$26+MAX($G$16-CHOOSE(PARAM!$B$44,MAX(0,BF475*$F$1),0),0)*RATES!$L452/12+$H$16*(PARAM!$D$51/12)*RATES!$N452/100</f>
        <v>90.458333333333329</v>
      </c>
      <c r="BF476" s="16">
        <f t="shared" ref="BF476:BF539" si="340">IF(BF475&gt;0,BF475*$F$1,BF475)+BD476-BE476</f>
        <v>-5052.4810977514489</v>
      </c>
      <c r="BG476" s="15">
        <f t="shared" si="315"/>
        <v>22.170849845882874</v>
      </c>
      <c r="BH476" s="75">
        <f>BG476*(1-PARAM!$C$27)*$I$17+(MOD($B476,60)=PARAM!$B$56)*($B476&gt;(60-PARAM!$B$56))*HLOOKUP(($B476+PARAM!$B$56)/12,Loyalty,2)*$F$1*MAX(BJ475,0)</f>
        <v>18.557001321003963</v>
      </c>
      <c r="BI476" s="75">
        <f>PARAM!$C$26+MAX($G$17-CHOOSE(PARAM!$B$44,MAX(0,BJ475*$F$1),0),0)*RATES!$L452/12+$H$17*(PARAM!$D$51/12)*RATES!$N452/100</f>
        <v>90.458333333333329</v>
      </c>
      <c r="BJ476" s="16">
        <f t="shared" ref="BJ476:BJ539" si="341">IF(BJ475&gt;0,BJ475*$F$1,BJ475)+BH476-BI476</f>
        <v>-5052.4810977514489</v>
      </c>
      <c r="BK476" s="15">
        <f t="shared" si="316"/>
        <v>22.170849845882874</v>
      </c>
      <c r="BL476" s="75">
        <f>BK476*(1-PARAM!$C$27)*$I$18+(MOD($B476,60)=PARAM!$B$56)*($B476&gt;(60-PARAM!$B$56))*HLOOKUP(($B476+PARAM!$B$56)/12,Loyalty,2)*$F$1*MAX(BN475,0)</f>
        <v>18.557001321003963</v>
      </c>
      <c r="BM476" s="75">
        <f>PARAM!$C$26+MAX($G$18-CHOOSE(PARAM!$B$44,MAX(0,BN475*$F$1),0),0)*RATES!$L452/12+$H$18*(PARAM!$D$51/12)*RATES!$N452/100</f>
        <v>90.458333333333329</v>
      </c>
      <c r="BN476" s="16">
        <f t="shared" ref="BN476:BN539" si="342">IF(BN475&gt;0,BN475*$F$1,BN475)+BL476-BM476</f>
        <v>-5052.4810977514489</v>
      </c>
      <c r="BO476" s="15">
        <f t="shared" si="317"/>
        <v>22.170849845882874</v>
      </c>
      <c r="BP476" s="75">
        <f>BO476*(1-PARAM!$C$27)*$I$19+(MOD($B476,60)=PARAM!$B$56)*($B476&gt;(60-PARAM!$B$56))*HLOOKUP(($B476+PARAM!$B$56)/12,Loyalty,2)*$F$1*MAX(BR475,0)</f>
        <v>18.557001321003963</v>
      </c>
      <c r="BQ476" s="75">
        <f>PARAM!$C$26+MAX($G$19-CHOOSE(PARAM!$B$44,MAX(0,BR475*$F$1),0),0)*RATES!$L452/12+$H$19*(PARAM!$D$51/12)*RATES!$N452/100</f>
        <v>90.458333333333329</v>
      </c>
      <c r="BR476" s="16">
        <f t="shared" ref="BR476:BR539" si="343">IF(BR475&gt;0,BR475*$F$1,BR475)+BP476-BQ476</f>
        <v>-5052.4810977514489</v>
      </c>
      <c r="BS476" s="15">
        <f t="shared" si="318"/>
        <v>22.170849845882874</v>
      </c>
      <c r="BT476" s="75">
        <f>BS476*(1-PARAM!$C$27)*$I$20+(MOD($B476,60)=PARAM!$B$56)*($B476&gt;(60-PARAM!$B$56))*HLOOKUP(($B476+PARAM!$B$56)/12,Loyalty,2)*$F$1*MAX(BV475,0)</f>
        <v>18.557001321003963</v>
      </c>
      <c r="BU476" s="75">
        <f>PARAM!$C$26+MAX($G$20-CHOOSE(PARAM!$B$44,MAX(0,BV475*$F$1),0),0)*RATES!$L452/12+$H$20*(PARAM!$D$51/12)*RATES!$N452/100</f>
        <v>90.458333333333329</v>
      </c>
      <c r="BV476" s="16">
        <f t="shared" ref="BV476:BV539" si="344">IF(BV475&gt;0,BV475*$F$1,BV475)+BT476-BU476</f>
        <v>-5052.4810977514489</v>
      </c>
      <c r="BW476" s="15">
        <f t="shared" si="319"/>
        <v>22.170849845882874</v>
      </c>
      <c r="BX476" s="75">
        <f>BW476*(1-PARAM!$C$27)*$I$21+(MOD($B476,60)=PARAM!$B$56)*($B476&gt;(60-PARAM!$B$56))*HLOOKUP(($B476+PARAM!$B$56)/12,Loyalty,2)*$F$1*MAX(BZ475,0)</f>
        <v>18.557001321003963</v>
      </c>
      <c r="BY476" s="75">
        <f>PARAM!$C$26+MAX($G$21-CHOOSE(PARAM!$B$44,MAX(0,BZ475*$F$1),0),0)*RATES!$L452/12+$H$21*(PARAM!$D$51/12)*RATES!$N452/100</f>
        <v>90.458333333333329</v>
      </c>
      <c r="BZ476" s="16">
        <f t="shared" ref="BZ476:BZ539" si="345">IF(BZ475&gt;0,BZ475*$F$1,BZ475)+BX476-BY476</f>
        <v>-5052.4810977514489</v>
      </c>
      <c r="CA476" s="15">
        <f t="shared" si="320"/>
        <v>22.170849845882874</v>
      </c>
      <c r="CB476" s="75">
        <f>CA476*(1-PARAM!$C$27)*$I$22+(MOD($B476,60)=PARAM!$B$56)*($B476&gt;(60-PARAM!$B$56))*HLOOKUP(($B476+PARAM!$B$56)/12,Loyalty,2)*$F$1*MAX(CD475,0)</f>
        <v>18.557001321003963</v>
      </c>
      <c r="CC476" s="75">
        <f>PARAM!$C$26+MAX($G$22-CHOOSE(PARAM!$B$44,MAX(0,CD475*$F$1),0),0)*RATES!$L452/12+$H$22*(PARAM!$D$51/12)*RATES!$N452/100</f>
        <v>90.458333333333329</v>
      </c>
      <c r="CD476" s="16">
        <f t="shared" ref="CD476:CD539" si="346">IF(CD475&gt;0,CD475*$F$1,CD475)+CB476-CC476</f>
        <v>-5052.4810977514489</v>
      </c>
      <c r="CE476" s="33">
        <f>IF(0=MOD(B476,12/PARAM!$D$51),1,0)</f>
        <v>1</v>
      </c>
      <c r="CF476" s="15">
        <f t="shared" si="321"/>
        <v>0</v>
      </c>
      <c r="CG476" s="75">
        <f>CF476*(1-PARAM!$C$27)*$R$3+(MOD($B476/12,5)=0)*($B476&gt;60)*HLOOKUP($B476/12,Loyalty,2)*$F$1*MAX(CI475,0)</f>
        <v>0</v>
      </c>
      <c r="CH476" s="75">
        <f>PARAM!$C$26+MAX($P$3-CHOOSE(PARAM!$B$44,MAX(0,CI475*$F$1),0),0)*RATES!$L452/12+$Q$3*(PARAM!$D$51/12)*RATES!$N452/100</f>
        <v>90.458333333333329</v>
      </c>
      <c r="CI476" s="16">
        <f>IF(CI475&gt;0,CI475*PARAM!$C$53,CI475)+CG476-CH476</f>
        <v>-13264.999999999987</v>
      </c>
      <c r="CJ476" s="15">
        <f t="shared" ref="CJ476:CJ539" si="347">$Q$4*CE476</f>
        <v>0</v>
      </c>
      <c r="CK476" s="75">
        <f>CJ476*(1-PARAM!$C$27)*$R$4+(MOD($B476/12,5)=0)*($B476&gt;60)*HLOOKUP($B476/12,Loyalty,2)*$F$1*MAX(CM475,0)</f>
        <v>0</v>
      </c>
      <c r="CL476" s="75">
        <f>PARAM!$C$26+MAX($P$4-CHOOSE(PARAM!$B$44,MAX(0,CM475*$F$1),0),0)*RATES!$L452/12+$Q$4*(PARAM!$D$51/12)*RATES!$N452/100</f>
        <v>90.458333333333329</v>
      </c>
      <c r="CM476" s="16">
        <f>IF(CM475&gt;0,CM475*PARAM!$C$53,CM475)+CK476-CL476</f>
        <v>-13264.999999999987</v>
      </c>
      <c r="CO476" s="176"/>
    </row>
    <row r="477" spans="1:93" x14ac:dyDescent="0.2">
      <c r="A477" t="b">
        <f t="shared" si="322"/>
        <v>0</v>
      </c>
      <c r="B477" s="33">
        <v>450</v>
      </c>
      <c r="C477" s="15">
        <f t="shared" si="323"/>
        <v>20.081305947392778</v>
      </c>
      <c r="D477" s="75">
        <f>C477*(1-PARAM!$C$27)*$I$3+(MOD($B477,60)=PARAM!$B$56)*($B477&gt;(60-PARAM!$B$56))*HLOOKUP(($B477+PARAM!$B$56)/12,Loyalty,2)*$F$1*MAX(F476,0)</f>
        <v>16.808053077967756</v>
      </c>
      <c r="E477" s="75">
        <f>PARAM!$C$26+MAX($G$3-CHOOSE(PARAM!$B$44,MAX(0,F476*$F$1),0),0)*RATES!$L453/12+$H$3*(PARAM!$D$51/12)*RATES!$N453/100</f>
        <v>99.541666666666671</v>
      </c>
      <c r="F477" s="16">
        <f t="shared" si="324"/>
        <v>-5957.3429729849131</v>
      </c>
      <c r="G477" s="15">
        <f t="shared" si="325"/>
        <v>22.035289406060361</v>
      </c>
      <c r="H477" s="75">
        <f>G477*(1-PARAM!$C$27)*$I$4+(MOD($B477,60)=PARAM!$B$56)*($B477&gt;(60-PARAM!$B$56))*HLOOKUP(($B477+PARAM!$B$56)/12,Loyalty,2)*$F$1*MAX(J476,0)</f>
        <v>18.443537232872522</v>
      </c>
      <c r="I477" s="75">
        <f>PARAM!$C$26+MAX($G$4-CHOOSE(PARAM!$B$44,MAX(0,J476*$F$1),0),0)*RATES!$L453/12+$H$4*(PARAM!$D$51/12)*RATES!$N453/100</f>
        <v>99.541666666666671</v>
      </c>
      <c r="J477" s="16">
        <f t="shared" si="326"/>
        <v>-5187.5421391560485</v>
      </c>
      <c r="K477" s="15">
        <f t="shared" si="327"/>
        <v>22.170849845882874</v>
      </c>
      <c r="L477" s="75">
        <f>K477*(1-PARAM!$C$27)*$I$5+(MOD($B477,60)=PARAM!$B$56)*($B477&gt;(60-PARAM!$B$56))*HLOOKUP(($B477+PARAM!$B$56)/12,Loyalty,2)*$F$1*MAX(N476,0)</f>
        <v>18.557001321003963</v>
      </c>
      <c r="M477" s="75">
        <f>PARAM!$C$26+MAX($G$5-CHOOSE(PARAM!$B$44,MAX(0,N476*$F$1),0),0)*RATES!$L453/12+$H$5*(PARAM!$D$51/12)*RATES!$N453/100</f>
        <v>99.541666666666671</v>
      </c>
      <c r="N477" s="16">
        <f t="shared" si="328"/>
        <v>-5133.4657630971124</v>
      </c>
      <c r="O477" s="15">
        <f t="shared" si="329"/>
        <v>22.170849845882874</v>
      </c>
      <c r="P477" s="75">
        <f>O477*(1-PARAM!$C$27)*$I$6+(MOD($B477,60)=PARAM!$B$56)*($B477&gt;(60-PARAM!$B$56))*HLOOKUP(($B477+PARAM!$B$56)/12,Loyalty,2)*$F$1*MAX(R476,0)</f>
        <v>18.557001321003963</v>
      </c>
      <c r="Q477" s="75">
        <f>PARAM!$C$26+MAX($G$6-CHOOSE(PARAM!$B$44,MAX(0,R476*$F$1),0),0)*RATES!$L453/12+$H$6*(PARAM!$D$51/12)*RATES!$N453/100</f>
        <v>99.541666666666671</v>
      </c>
      <c r="R477" s="16">
        <f t="shared" si="330"/>
        <v>-5133.4657630971124</v>
      </c>
      <c r="S477" s="15">
        <f t="shared" si="305"/>
        <v>22.170849845882874</v>
      </c>
      <c r="T477" s="75">
        <f>S477*(1-PARAM!$C$27)*$I$7+(MOD($B477,60)=PARAM!$B$56)*($B477&gt;(60-PARAM!$B$56))*HLOOKUP(($B477+PARAM!$B$56)/12,Loyalty,2)*$F$1*MAX(V476,0)</f>
        <v>18.557001321003963</v>
      </c>
      <c r="U477" s="75">
        <f>PARAM!$C$26+MAX($G$7-CHOOSE(PARAM!$B$44,MAX(0,V476*$F$1),0),0)*RATES!$L453/12+$H$7*(PARAM!$D$51/12)*RATES!$N453/100</f>
        <v>99.541666666666671</v>
      </c>
      <c r="V477" s="16">
        <f t="shared" si="331"/>
        <v>-5133.4657630971124</v>
      </c>
      <c r="W477" s="15">
        <f t="shared" si="306"/>
        <v>22.170849845882874</v>
      </c>
      <c r="X477" s="75">
        <f>W477*(1-PARAM!$C$27)*$I$8+(MOD($B477,60)=PARAM!$B$56)*($B477&gt;(60-PARAM!$B$56))*HLOOKUP(($B477+PARAM!$B$56)/12,Loyalty,2)*$F$1*MAX(Z476,0)</f>
        <v>18.557001321003963</v>
      </c>
      <c r="Y477" s="75">
        <f>PARAM!$C$26+MAX($G$8-CHOOSE(PARAM!$B$44,MAX(0,Z476*$F$1),0),0)*RATES!$L453/12+$H$8*(PARAM!$D$51/12)*RATES!$N453/100</f>
        <v>99.541666666666671</v>
      </c>
      <c r="Z477" s="16">
        <f t="shared" si="332"/>
        <v>-5133.4657630971124</v>
      </c>
      <c r="AA477" s="15">
        <f t="shared" si="307"/>
        <v>22.170849845882874</v>
      </c>
      <c r="AB477" s="75">
        <f>AA477*(1-PARAM!$C$27)*$I$9+(MOD($B477,60)=PARAM!$B$56)*($B477&gt;(60-PARAM!$B$56))*HLOOKUP(($B477+PARAM!$B$56)/12,Loyalty,2)*$F$1*MAX(AD476,0)</f>
        <v>18.557001321003963</v>
      </c>
      <c r="AC477" s="75">
        <f>PARAM!$C$26+MAX($G$9-CHOOSE(PARAM!$B$44,MAX(0,AD476*$F$1),0),0)*RATES!$L453/12+$H$9*(PARAM!$D$51/12)*RATES!$N453/100</f>
        <v>99.541666666666671</v>
      </c>
      <c r="AD477" s="16">
        <f t="shared" si="333"/>
        <v>-5133.4657630971124</v>
      </c>
      <c r="AE477" s="15">
        <f t="shared" si="308"/>
        <v>22.170849845882874</v>
      </c>
      <c r="AF477" s="75">
        <f>AE477*(1-PARAM!$C$27)*$I$10+(MOD($B477,60)=PARAM!$B$56)*($B477&gt;(60-PARAM!$B$56))*HLOOKUP(($B477+PARAM!$B$56)/12,Loyalty,2)*$F$1*MAX(AH476,0)</f>
        <v>18.557001321003963</v>
      </c>
      <c r="AG477" s="75">
        <f>PARAM!$C$26+MAX($G$10-CHOOSE(PARAM!$B$44,MAX(0,AH476*$F$1),0),0)*RATES!$L453/12+$H$10*(PARAM!$D$51/12)*RATES!$N453/100</f>
        <v>99.541666666666671</v>
      </c>
      <c r="AH477" s="16">
        <f t="shared" si="334"/>
        <v>-5133.4657630971124</v>
      </c>
      <c r="AI477" s="15">
        <f t="shared" si="309"/>
        <v>22.170849845882874</v>
      </c>
      <c r="AJ477" s="75">
        <f>AI477*(1-PARAM!$C$27)*$I$11+(MOD($B477,60)=PARAM!$B$56)*($B477&gt;(60-PARAM!$B$56))*HLOOKUP(($B477+PARAM!$B$56)/12,Loyalty,2)*$F$1*MAX(AL476,0)</f>
        <v>18.557001321003963</v>
      </c>
      <c r="AK477" s="75">
        <f>PARAM!$C$26+MAX($G$11-CHOOSE(PARAM!$B$44,MAX(0,AL476*$F$1),0),0)*RATES!$L453/12+$H$11*(PARAM!$D$51/12)*RATES!$N453/100</f>
        <v>99.541666666666671</v>
      </c>
      <c r="AL477" s="16">
        <f t="shared" si="335"/>
        <v>-5133.4657630971124</v>
      </c>
      <c r="AM477" s="15">
        <f t="shared" si="310"/>
        <v>22.170849845882874</v>
      </c>
      <c r="AN477" s="75">
        <f>AM477*(1-PARAM!$C$27)*$I$12+(MOD($B477,60)=PARAM!$B$56)*($B477&gt;(60-PARAM!$B$56))*HLOOKUP(($B477+PARAM!$B$56)/12,Loyalty,2)*$F$1*MAX(AP476,0)</f>
        <v>18.557001321003963</v>
      </c>
      <c r="AO477" s="75">
        <f>PARAM!$C$26+MAX($G$12-CHOOSE(PARAM!$B$44,MAX(0,AP476*$F$1),0),0)*RATES!$L453/12+$H$12*(PARAM!$D$51/12)*RATES!$N453/100</f>
        <v>99.541666666666671</v>
      </c>
      <c r="AP477" s="16">
        <f t="shared" si="336"/>
        <v>-5133.4657630971124</v>
      </c>
      <c r="AQ477" s="15">
        <f t="shared" si="311"/>
        <v>22.170849845882874</v>
      </c>
      <c r="AR477" s="75">
        <f>AQ477*(1-PARAM!$C$27)*$I$13+(MOD($B477,60)=PARAM!$B$56)*($B477&gt;(60-PARAM!$B$56))*HLOOKUP(($B477+PARAM!$B$56)/12,Loyalty,2)*$F$1*MAX(AT476,0)</f>
        <v>18.557001321003963</v>
      </c>
      <c r="AS477" s="75">
        <f>PARAM!$C$26+MAX($G$13-CHOOSE(PARAM!$B$44,MAX(0,AT476*$F$1),0),0)*RATES!$L453/12+$H$13*(PARAM!$D$51/12)*RATES!$N453/100</f>
        <v>99.541666666666671</v>
      </c>
      <c r="AT477" s="16">
        <f t="shared" si="337"/>
        <v>-5133.4657630971124</v>
      </c>
      <c r="AU477" s="15">
        <f t="shared" si="312"/>
        <v>22.170849845882874</v>
      </c>
      <c r="AV477" s="75">
        <f>AU477*(1-PARAM!$C$27)*$I$14+(MOD($B477,60)=PARAM!$B$56)*($B477&gt;(60-PARAM!$B$56))*HLOOKUP(($B477+PARAM!$B$56)/12,Loyalty,2)*$F$1*MAX(AX476,0)</f>
        <v>18.557001321003963</v>
      </c>
      <c r="AW477" s="75">
        <f>PARAM!$C$26+MAX($G$14-CHOOSE(PARAM!$B$44,MAX(0,AX476*$F$1),0),0)*RATES!$L453/12+$H$14*(PARAM!$D$51/12)*RATES!$N453/100</f>
        <v>99.541666666666671</v>
      </c>
      <c r="AX477" s="16">
        <f t="shared" si="338"/>
        <v>-5133.4657630971124</v>
      </c>
      <c r="AY477" s="15">
        <f t="shared" si="313"/>
        <v>22.170849845882874</v>
      </c>
      <c r="AZ477" s="75">
        <f>AY477*(1-PARAM!$C$27)*$I$15+(MOD($B477,60)=PARAM!$B$56)*($B477&gt;(60-PARAM!$B$56))*HLOOKUP(($B477+PARAM!$B$56)/12,Loyalty,2)*$F$1*MAX(BB476,0)</f>
        <v>18.557001321003963</v>
      </c>
      <c r="BA477" s="75">
        <f>PARAM!$C$26+MAX($G$15-CHOOSE(PARAM!$B$44,MAX(0,BB476*$F$1),0),0)*RATES!$L453/12+$H$15*(PARAM!$D$51/12)*RATES!$N453/100</f>
        <v>99.541666666666671</v>
      </c>
      <c r="BB477" s="16">
        <f t="shared" si="339"/>
        <v>-5133.4657630971124</v>
      </c>
      <c r="BC477" s="15">
        <f t="shared" si="314"/>
        <v>22.170849845882874</v>
      </c>
      <c r="BD477" s="75">
        <f>BC477*(1-PARAM!$C$27)*$I$16+(MOD($B477,60)=PARAM!$B$56)*($B477&gt;(60-PARAM!$B$56))*HLOOKUP(($B477+PARAM!$B$56)/12,Loyalty,2)*$F$1*MAX(BF476,0)</f>
        <v>18.557001321003963</v>
      </c>
      <c r="BE477" s="75">
        <f>PARAM!$C$26+MAX($G$16-CHOOSE(PARAM!$B$44,MAX(0,BF476*$F$1),0),0)*RATES!$L453/12+$H$16*(PARAM!$D$51/12)*RATES!$N453/100</f>
        <v>99.541666666666671</v>
      </c>
      <c r="BF477" s="16">
        <f t="shared" si="340"/>
        <v>-5133.4657630971124</v>
      </c>
      <c r="BG477" s="15">
        <f t="shared" si="315"/>
        <v>22.170849845882874</v>
      </c>
      <c r="BH477" s="75">
        <f>BG477*(1-PARAM!$C$27)*$I$17+(MOD($B477,60)=PARAM!$B$56)*($B477&gt;(60-PARAM!$B$56))*HLOOKUP(($B477+PARAM!$B$56)/12,Loyalty,2)*$F$1*MAX(BJ476,0)</f>
        <v>18.557001321003963</v>
      </c>
      <c r="BI477" s="75">
        <f>PARAM!$C$26+MAX($G$17-CHOOSE(PARAM!$B$44,MAX(0,BJ476*$F$1),0),0)*RATES!$L453/12+$H$17*(PARAM!$D$51/12)*RATES!$N453/100</f>
        <v>99.541666666666671</v>
      </c>
      <c r="BJ477" s="16">
        <f t="shared" si="341"/>
        <v>-5133.4657630971124</v>
      </c>
      <c r="BK477" s="15">
        <f t="shared" si="316"/>
        <v>22.170849845882874</v>
      </c>
      <c r="BL477" s="75">
        <f>BK477*(1-PARAM!$C$27)*$I$18+(MOD($B477,60)=PARAM!$B$56)*($B477&gt;(60-PARAM!$B$56))*HLOOKUP(($B477+PARAM!$B$56)/12,Loyalty,2)*$F$1*MAX(BN476,0)</f>
        <v>18.557001321003963</v>
      </c>
      <c r="BM477" s="75">
        <f>PARAM!$C$26+MAX($G$18-CHOOSE(PARAM!$B$44,MAX(0,BN476*$F$1),0),0)*RATES!$L453/12+$H$18*(PARAM!$D$51/12)*RATES!$N453/100</f>
        <v>99.541666666666671</v>
      </c>
      <c r="BN477" s="16">
        <f t="shared" si="342"/>
        <v>-5133.4657630971124</v>
      </c>
      <c r="BO477" s="15">
        <f t="shared" si="317"/>
        <v>22.170849845882874</v>
      </c>
      <c r="BP477" s="75">
        <f>BO477*(1-PARAM!$C$27)*$I$19+(MOD($B477,60)=PARAM!$B$56)*($B477&gt;(60-PARAM!$B$56))*HLOOKUP(($B477+PARAM!$B$56)/12,Loyalty,2)*$F$1*MAX(BR476,0)</f>
        <v>18.557001321003963</v>
      </c>
      <c r="BQ477" s="75">
        <f>PARAM!$C$26+MAX($G$19-CHOOSE(PARAM!$B$44,MAX(0,BR476*$F$1),0),0)*RATES!$L453/12+$H$19*(PARAM!$D$51/12)*RATES!$N453/100</f>
        <v>99.541666666666671</v>
      </c>
      <c r="BR477" s="16">
        <f t="shared" si="343"/>
        <v>-5133.4657630971124</v>
      </c>
      <c r="BS477" s="15">
        <f t="shared" si="318"/>
        <v>22.170849845882874</v>
      </c>
      <c r="BT477" s="75">
        <f>BS477*(1-PARAM!$C$27)*$I$20+(MOD($B477,60)=PARAM!$B$56)*($B477&gt;(60-PARAM!$B$56))*HLOOKUP(($B477+PARAM!$B$56)/12,Loyalty,2)*$F$1*MAX(BV476,0)</f>
        <v>18.557001321003963</v>
      </c>
      <c r="BU477" s="75">
        <f>PARAM!$C$26+MAX($G$20-CHOOSE(PARAM!$B$44,MAX(0,BV476*$F$1),0),0)*RATES!$L453/12+$H$20*(PARAM!$D$51/12)*RATES!$N453/100</f>
        <v>99.541666666666671</v>
      </c>
      <c r="BV477" s="16">
        <f t="shared" si="344"/>
        <v>-5133.4657630971124</v>
      </c>
      <c r="BW477" s="15">
        <f t="shared" si="319"/>
        <v>22.170849845882874</v>
      </c>
      <c r="BX477" s="75">
        <f>BW477*(1-PARAM!$C$27)*$I$21+(MOD($B477,60)=PARAM!$B$56)*($B477&gt;(60-PARAM!$B$56))*HLOOKUP(($B477+PARAM!$B$56)/12,Loyalty,2)*$F$1*MAX(BZ476,0)</f>
        <v>18.557001321003963</v>
      </c>
      <c r="BY477" s="75">
        <f>PARAM!$C$26+MAX($G$21-CHOOSE(PARAM!$B$44,MAX(0,BZ476*$F$1),0),0)*RATES!$L453/12+$H$21*(PARAM!$D$51/12)*RATES!$N453/100</f>
        <v>99.541666666666671</v>
      </c>
      <c r="BZ477" s="16">
        <f t="shared" si="345"/>
        <v>-5133.4657630971124</v>
      </c>
      <c r="CA477" s="15">
        <f t="shared" si="320"/>
        <v>22.170849845882874</v>
      </c>
      <c r="CB477" s="75">
        <f>CA477*(1-PARAM!$C$27)*$I$22+(MOD($B477,60)=PARAM!$B$56)*($B477&gt;(60-PARAM!$B$56))*HLOOKUP(($B477+PARAM!$B$56)/12,Loyalty,2)*$F$1*MAX(CD476,0)</f>
        <v>18.557001321003963</v>
      </c>
      <c r="CC477" s="75">
        <f>PARAM!$C$26+MAX($G$22-CHOOSE(PARAM!$B$44,MAX(0,CD476*$F$1),0),0)*RATES!$L453/12+$H$22*(PARAM!$D$51/12)*RATES!$N453/100</f>
        <v>99.541666666666671</v>
      </c>
      <c r="CD477" s="16">
        <f t="shared" si="346"/>
        <v>-5133.4657630971124</v>
      </c>
      <c r="CE477" s="33">
        <f>IF(0=MOD(B477,12/PARAM!$D$51),1,0)</f>
        <v>1</v>
      </c>
      <c r="CF477" s="15">
        <f t="shared" si="321"/>
        <v>0</v>
      </c>
      <c r="CG477" s="75">
        <f>CF477*(1-PARAM!$C$27)*$R$3+(MOD($B477/12,5)=0)*($B477&gt;60)*HLOOKUP($B477/12,Loyalty,2)*$F$1*MAX(CI476,0)</f>
        <v>0</v>
      </c>
      <c r="CH477" s="75">
        <f>PARAM!$C$26+MAX($P$3-CHOOSE(PARAM!$B$44,MAX(0,CI476*$F$1),0),0)*RATES!$L453/12+$Q$3*(PARAM!$D$51/12)*RATES!$N453/100</f>
        <v>99.541666666666671</v>
      </c>
      <c r="CI477" s="16">
        <f>IF(CI476&gt;0,CI476*PARAM!$C$53,CI476)+CG477-CH477</f>
        <v>-13364.541666666653</v>
      </c>
      <c r="CJ477" s="15">
        <f t="shared" si="347"/>
        <v>0</v>
      </c>
      <c r="CK477" s="75">
        <f>CJ477*(1-PARAM!$C$27)*$R$4+(MOD($B477/12,5)=0)*($B477&gt;60)*HLOOKUP($B477/12,Loyalty,2)*$F$1*MAX(CM476,0)</f>
        <v>0</v>
      </c>
      <c r="CL477" s="75">
        <f>PARAM!$C$26+MAX($P$4-CHOOSE(PARAM!$B$44,MAX(0,CM476*$F$1),0),0)*RATES!$L453/12+$Q$4*(PARAM!$D$51/12)*RATES!$N453/100</f>
        <v>99.541666666666671</v>
      </c>
      <c r="CM477" s="16">
        <f>IF(CM476&gt;0,CM476*PARAM!$C$53,CM476)+CK477-CL477</f>
        <v>-13364.541666666653</v>
      </c>
      <c r="CO477" s="176"/>
    </row>
    <row r="478" spans="1:93" x14ac:dyDescent="0.2">
      <c r="A478" t="b">
        <f t="shared" si="322"/>
        <v>0</v>
      </c>
      <c r="B478" s="33">
        <v>451</v>
      </c>
      <c r="C478" s="15">
        <f t="shared" si="323"/>
        <v>20.081305947392778</v>
      </c>
      <c r="D478" s="75">
        <f>C478*(1-PARAM!$C$27)*$I$3+(MOD($B478,60)=PARAM!$B$56)*($B478&gt;(60-PARAM!$B$56))*HLOOKUP(($B478+PARAM!$B$56)/12,Loyalty,2)*$F$1*MAX(F477,0)</f>
        <v>16.808053077967756</v>
      </c>
      <c r="E478" s="75">
        <f>PARAM!$C$26+MAX($G$3-CHOOSE(PARAM!$B$44,MAX(0,F477*$F$1),0),0)*RATES!$L454/12+$H$3*(PARAM!$D$51/12)*RATES!$N454/100</f>
        <v>99.541666666666671</v>
      </c>
      <c r="F478" s="16">
        <f t="shared" si="324"/>
        <v>-6040.0765865736121</v>
      </c>
      <c r="G478" s="15">
        <f t="shared" si="325"/>
        <v>22.035289406060361</v>
      </c>
      <c r="H478" s="75">
        <f>G478*(1-PARAM!$C$27)*$I$4+(MOD($B478,60)=PARAM!$B$56)*($B478&gt;(60-PARAM!$B$56))*HLOOKUP(($B478+PARAM!$B$56)/12,Loyalty,2)*$F$1*MAX(J477,0)</f>
        <v>18.443537232872522</v>
      </c>
      <c r="I478" s="75">
        <f>PARAM!$C$26+MAX($G$4-CHOOSE(PARAM!$B$44,MAX(0,J477*$F$1),0),0)*RATES!$L454/12+$H$4*(PARAM!$D$51/12)*RATES!$N454/100</f>
        <v>99.541666666666671</v>
      </c>
      <c r="J478" s="16">
        <f t="shared" si="326"/>
        <v>-5268.6402685898429</v>
      </c>
      <c r="K478" s="15">
        <f t="shared" si="327"/>
        <v>22.170849845882874</v>
      </c>
      <c r="L478" s="75">
        <f>K478*(1-PARAM!$C$27)*$I$5+(MOD($B478,60)=PARAM!$B$56)*($B478&gt;(60-PARAM!$B$56))*HLOOKUP(($B478+PARAM!$B$56)/12,Loyalty,2)*$F$1*MAX(N477,0)</f>
        <v>18.557001321003963</v>
      </c>
      <c r="M478" s="75">
        <f>PARAM!$C$26+MAX($G$5-CHOOSE(PARAM!$B$44,MAX(0,N477*$F$1),0),0)*RATES!$L454/12+$H$5*(PARAM!$D$51/12)*RATES!$N454/100</f>
        <v>99.541666666666671</v>
      </c>
      <c r="N478" s="16">
        <f t="shared" si="328"/>
        <v>-5214.4504284427758</v>
      </c>
      <c r="O478" s="15">
        <f t="shared" si="329"/>
        <v>22.170849845882874</v>
      </c>
      <c r="P478" s="75">
        <f>O478*(1-PARAM!$C$27)*$I$6+(MOD($B478,60)=PARAM!$B$56)*($B478&gt;(60-PARAM!$B$56))*HLOOKUP(($B478+PARAM!$B$56)/12,Loyalty,2)*$F$1*MAX(R477,0)</f>
        <v>18.557001321003963</v>
      </c>
      <c r="Q478" s="75">
        <f>PARAM!$C$26+MAX($G$6-CHOOSE(PARAM!$B$44,MAX(0,R477*$F$1),0),0)*RATES!$L454/12+$H$6*(PARAM!$D$51/12)*RATES!$N454/100</f>
        <v>99.541666666666671</v>
      </c>
      <c r="R478" s="16">
        <f t="shared" si="330"/>
        <v>-5214.4504284427758</v>
      </c>
      <c r="S478" s="15">
        <f t="shared" si="305"/>
        <v>22.170849845882874</v>
      </c>
      <c r="T478" s="75">
        <f>S478*(1-PARAM!$C$27)*$I$7+(MOD($B478,60)=PARAM!$B$56)*($B478&gt;(60-PARAM!$B$56))*HLOOKUP(($B478+PARAM!$B$56)/12,Loyalty,2)*$F$1*MAX(V477,0)</f>
        <v>18.557001321003963</v>
      </c>
      <c r="U478" s="75">
        <f>PARAM!$C$26+MAX($G$7-CHOOSE(PARAM!$B$44,MAX(0,V477*$F$1),0),0)*RATES!$L454/12+$H$7*(PARAM!$D$51/12)*RATES!$N454/100</f>
        <v>99.541666666666671</v>
      </c>
      <c r="V478" s="16">
        <f t="shared" si="331"/>
        <v>-5214.4504284427758</v>
      </c>
      <c r="W478" s="15">
        <f t="shared" si="306"/>
        <v>22.170849845882874</v>
      </c>
      <c r="X478" s="75">
        <f>W478*(1-PARAM!$C$27)*$I$8+(MOD($B478,60)=PARAM!$B$56)*($B478&gt;(60-PARAM!$B$56))*HLOOKUP(($B478+PARAM!$B$56)/12,Loyalty,2)*$F$1*MAX(Z477,0)</f>
        <v>18.557001321003963</v>
      </c>
      <c r="Y478" s="75">
        <f>PARAM!$C$26+MAX($G$8-CHOOSE(PARAM!$B$44,MAX(0,Z477*$F$1),0),0)*RATES!$L454/12+$H$8*(PARAM!$D$51/12)*RATES!$N454/100</f>
        <v>99.541666666666671</v>
      </c>
      <c r="Z478" s="16">
        <f t="shared" si="332"/>
        <v>-5214.4504284427758</v>
      </c>
      <c r="AA478" s="15">
        <f t="shared" si="307"/>
        <v>22.170849845882874</v>
      </c>
      <c r="AB478" s="75">
        <f>AA478*(1-PARAM!$C$27)*$I$9+(MOD($B478,60)=PARAM!$B$56)*($B478&gt;(60-PARAM!$B$56))*HLOOKUP(($B478+PARAM!$B$56)/12,Loyalty,2)*$F$1*MAX(AD477,0)</f>
        <v>18.557001321003963</v>
      </c>
      <c r="AC478" s="75">
        <f>PARAM!$C$26+MAX($G$9-CHOOSE(PARAM!$B$44,MAX(0,AD477*$F$1),0),0)*RATES!$L454/12+$H$9*(PARAM!$D$51/12)*RATES!$N454/100</f>
        <v>99.541666666666671</v>
      </c>
      <c r="AD478" s="16">
        <f t="shared" si="333"/>
        <v>-5214.4504284427758</v>
      </c>
      <c r="AE478" s="15">
        <f t="shared" si="308"/>
        <v>22.170849845882874</v>
      </c>
      <c r="AF478" s="75">
        <f>AE478*(1-PARAM!$C$27)*$I$10+(MOD($B478,60)=PARAM!$B$56)*($B478&gt;(60-PARAM!$B$56))*HLOOKUP(($B478+PARAM!$B$56)/12,Loyalty,2)*$F$1*MAX(AH477,0)</f>
        <v>18.557001321003963</v>
      </c>
      <c r="AG478" s="75">
        <f>PARAM!$C$26+MAX($G$10-CHOOSE(PARAM!$B$44,MAX(0,AH477*$F$1),0),0)*RATES!$L454/12+$H$10*(PARAM!$D$51/12)*RATES!$N454/100</f>
        <v>99.541666666666671</v>
      </c>
      <c r="AH478" s="16">
        <f t="shared" si="334"/>
        <v>-5214.4504284427758</v>
      </c>
      <c r="AI478" s="15">
        <f t="shared" si="309"/>
        <v>22.170849845882874</v>
      </c>
      <c r="AJ478" s="75">
        <f>AI478*(1-PARAM!$C$27)*$I$11+(MOD($B478,60)=PARAM!$B$56)*($B478&gt;(60-PARAM!$B$56))*HLOOKUP(($B478+PARAM!$B$56)/12,Loyalty,2)*$F$1*MAX(AL477,0)</f>
        <v>18.557001321003963</v>
      </c>
      <c r="AK478" s="75">
        <f>PARAM!$C$26+MAX($G$11-CHOOSE(PARAM!$B$44,MAX(0,AL477*$F$1),0),0)*RATES!$L454/12+$H$11*(PARAM!$D$51/12)*RATES!$N454/100</f>
        <v>99.541666666666671</v>
      </c>
      <c r="AL478" s="16">
        <f t="shared" si="335"/>
        <v>-5214.4504284427758</v>
      </c>
      <c r="AM478" s="15">
        <f t="shared" si="310"/>
        <v>22.170849845882874</v>
      </c>
      <c r="AN478" s="75">
        <f>AM478*(1-PARAM!$C$27)*$I$12+(MOD($B478,60)=PARAM!$B$56)*($B478&gt;(60-PARAM!$B$56))*HLOOKUP(($B478+PARAM!$B$56)/12,Loyalty,2)*$F$1*MAX(AP477,0)</f>
        <v>18.557001321003963</v>
      </c>
      <c r="AO478" s="75">
        <f>PARAM!$C$26+MAX($G$12-CHOOSE(PARAM!$B$44,MAX(0,AP477*$F$1),0),0)*RATES!$L454/12+$H$12*(PARAM!$D$51/12)*RATES!$N454/100</f>
        <v>99.541666666666671</v>
      </c>
      <c r="AP478" s="16">
        <f t="shared" si="336"/>
        <v>-5214.4504284427758</v>
      </c>
      <c r="AQ478" s="15">
        <f t="shared" si="311"/>
        <v>22.170849845882874</v>
      </c>
      <c r="AR478" s="75">
        <f>AQ478*(1-PARAM!$C$27)*$I$13+(MOD($B478,60)=PARAM!$B$56)*($B478&gt;(60-PARAM!$B$56))*HLOOKUP(($B478+PARAM!$B$56)/12,Loyalty,2)*$F$1*MAX(AT477,0)</f>
        <v>18.557001321003963</v>
      </c>
      <c r="AS478" s="75">
        <f>PARAM!$C$26+MAX($G$13-CHOOSE(PARAM!$B$44,MAX(0,AT477*$F$1),0),0)*RATES!$L454/12+$H$13*(PARAM!$D$51/12)*RATES!$N454/100</f>
        <v>99.541666666666671</v>
      </c>
      <c r="AT478" s="16">
        <f t="shared" si="337"/>
        <v>-5214.4504284427758</v>
      </c>
      <c r="AU478" s="15">
        <f t="shared" si="312"/>
        <v>22.170849845882874</v>
      </c>
      <c r="AV478" s="75">
        <f>AU478*(1-PARAM!$C$27)*$I$14+(MOD($B478,60)=PARAM!$B$56)*($B478&gt;(60-PARAM!$B$56))*HLOOKUP(($B478+PARAM!$B$56)/12,Loyalty,2)*$F$1*MAX(AX477,0)</f>
        <v>18.557001321003963</v>
      </c>
      <c r="AW478" s="75">
        <f>PARAM!$C$26+MAX($G$14-CHOOSE(PARAM!$B$44,MAX(0,AX477*$F$1),0),0)*RATES!$L454/12+$H$14*(PARAM!$D$51/12)*RATES!$N454/100</f>
        <v>99.541666666666671</v>
      </c>
      <c r="AX478" s="16">
        <f t="shared" si="338"/>
        <v>-5214.4504284427758</v>
      </c>
      <c r="AY478" s="15">
        <f t="shared" si="313"/>
        <v>22.170849845882874</v>
      </c>
      <c r="AZ478" s="75">
        <f>AY478*(1-PARAM!$C$27)*$I$15+(MOD($B478,60)=PARAM!$B$56)*($B478&gt;(60-PARAM!$B$56))*HLOOKUP(($B478+PARAM!$B$56)/12,Loyalty,2)*$F$1*MAX(BB477,0)</f>
        <v>18.557001321003963</v>
      </c>
      <c r="BA478" s="75">
        <f>PARAM!$C$26+MAX($G$15-CHOOSE(PARAM!$B$44,MAX(0,BB477*$F$1),0),0)*RATES!$L454/12+$H$15*(PARAM!$D$51/12)*RATES!$N454/100</f>
        <v>99.541666666666671</v>
      </c>
      <c r="BB478" s="16">
        <f t="shared" si="339"/>
        <v>-5214.4504284427758</v>
      </c>
      <c r="BC478" s="15">
        <f t="shared" si="314"/>
        <v>22.170849845882874</v>
      </c>
      <c r="BD478" s="75">
        <f>BC478*(1-PARAM!$C$27)*$I$16+(MOD($B478,60)=PARAM!$B$56)*($B478&gt;(60-PARAM!$B$56))*HLOOKUP(($B478+PARAM!$B$56)/12,Loyalty,2)*$F$1*MAX(BF477,0)</f>
        <v>18.557001321003963</v>
      </c>
      <c r="BE478" s="75">
        <f>PARAM!$C$26+MAX($G$16-CHOOSE(PARAM!$B$44,MAX(0,BF477*$F$1),0),0)*RATES!$L454/12+$H$16*(PARAM!$D$51/12)*RATES!$N454/100</f>
        <v>99.541666666666671</v>
      </c>
      <c r="BF478" s="16">
        <f t="shared" si="340"/>
        <v>-5214.4504284427758</v>
      </c>
      <c r="BG478" s="15">
        <f t="shared" si="315"/>
        <v>22.170849845882874</v>
      </c>
      <c r="BH478" s="75">
        <f>BG478*(1-PARAM!$C$27)*$I$17+(MOD($B478,60)=PARAM!$B$56)*($B478&gt;(60-PARAM!$B$56))*HLOOKUP(($B478+PARAM!$B$56)/12,Loyalty,2)*$F$1*MAX(BJ477,0)</f>
        <v>18.557001321003963</v>
      </c>
      <c r="BI478" s="75">
        <f>PARAM!$C$26+MAX($G$17-CHOOSE(PARAM!$B$44,MAX(0,BJ477*$F$1),0),0)*RATES!$L454/12+$H$17*(PARAM!$D$51/12)*RATES!$N454/100</f>
        <v>99.541666666666671</v>
      </c>
      <c r="BJ478" s="16">
        <f t="shared" si="341"/>
        <v>-5214.4504284427758</v>
      </c>
      <c r="BK478" s="15">
        <f t="shared" si="316"/>
        <v>22.170849845882874</v>
      </c>
      <c r="BL478" s="75">
        <f>BK478*(1-PARAM!$C$27)*$I$18+(MOD($B478,60)=PARAM!$B$56)*($B478&gt;(60-PARAM!$B$56))*HLOOKUP(($B478+PARAM!$B$56)/12,Loyalty,2)*$F$1*MAX(BN477,0)</f>
        <v>18.557001321003963</v>
      </c>
      <c r="BM478" s="75">
        <f>PARAM!$C$26+MAX($G$18-CHOOSE(PARAM!$B$44,MAX(0,BN477*$F$1),0),0)*RATES!$L454/12+$H$18*(PARAM!$D$51/12)*RATES!$N454/100</f>
        <v>99.541666666666671</v>
      </c>
      <c r="BN478" s="16">
        <f t="shared" si="342"/>
        <v>-5214.4504284427758</v>
      </c>
      <c r="BO478" s="15">
        <f t="shared" si="317"/>
        <v>22.170849845882874</v>
      </c>
      <c r="BP478" s="75">
        <f>BO478*(1-PARAM!$C$27)*$I$19+(MOD($B478,60)=PARAM!$B$56)*($B478&gt;(60-PARAM!$B$56))*HLOOKUP(($B478+PARAM!$B$56)/12,Loyalty,2)*$F$1*MAX(BR477,0)</f>
        <v>18.557001321003963</v>
      </c>
      <c r="BQ478" s="75">
        <f>PARAM!$C$26+MAX($G$19-CHOOSE(PARAM!$B$44,MAX(0,BR477*$F$1),0),0)*RATES!$L454/12+$H$19*(PARAM!$D$51/12)*RATES!$N454/100</f>
        <v>99.541666666666671</v>
      </c>
      <c r="BR478" s="16">
        <f t="shared" si="343"/>
        <v>-5214.4504284427758</v>
      </c>
      <c r="BS478" s="15">
        <f t="shared" si="318"/>
        <v>22.170849845882874</v>
      </c>
      <c r="BT478" s="75">
        <f>BS478*(1-PARAM!$C$27)*$I$20+(MOD($B478,60)=PARAM!$B$56)*($B478&gt;(60-PARAM!$B$56))*HLOOKUP(($B478+PARAM!$B$56)/12,Loyalty,2)*$F$1*MAX(BV477,0)</f>
        <v>18.557001321003963</v>
      </c>
      <c r="BU478" s="75">
        <f>PARAM!$C$26+MAX($G$20-CHOOSE(PARAM!$B$44,MAX(0,BV477*$F$1),0),0)*RATES!$L454/12+$H$20*(PARAM!$D$51/12)*RATES!$N454/100</f>
        <v>99.541666666666671</v>
      </c>
      <c r="BV478" s="16">
        <f t="shared" si="344"/>
        <v>-5214.4504284427758</v>
      </c>
      <c r="BW478" s="15">
        <f t="shared" si="319"/>
        <v>22.170849845882874</v>
      </c>
      <c r="BX478" s="75">
        <f>BW478*(1-PARAM!$C$27)*$I$21+(MOD($B478,60)=PARAM!$B$56)*($B478&gt;(60-PARAM!$B$56))*HLOOKUP(($B478+PARAM!$B$56)/12,Loyalty,2)*$F$1*MAX(BZ477,0)</f>
        <v>18.557001321003963</v>
      </c>
      <c r="BY478" s="75">
        <f>PARAM!$C$26+MAX($G$21-CHOOSE(PARAM!$B$44,MAX(0,BZ477*$F$1),0),0)*RATES!$L454/12+$H$21*(PARAM!$D$51/12)*RATES!$N454/100</f>
        <v>99.541666666666671</v>
      </c>
      <c r="BZ478" s="16">
        <f t="shared" si="345"/>
        <v>-5214.4504284427758</v>
      </c>
      <c r="CA478" s="15">
        <f t="shared" si="320"/>
        <v>22.170849845882874</v>
      </c>
      <c r="CB478" s="75">
        <f>CA478*(1-PARAM!$C$27)*$I$22+(MOD($B478,60)=PARAM!$B$56)*($B478&gt;(60-PARAM!$B$56))*HLOOKUP(($B478+PARAM!$B$56)/12,Loyalty,2)*$F$1*MAX(CD477,0)</f>
        <v>18.557001321003963</v>
      </c>
      <c r="CC478" s="75">
        <f>PARAM!$C$26+MAX($G$22-CHOOSE(PARAM!$B$44,MAX(0,CD477*$F$1),0),0)*RATES!$L454/12+$H$22*(PARAM!$D$51/12)*RATES!$N454/100</f>
        <v>99.541666666666671</v>
      </c>
      <c r="CD478" s="16">
        <f t="shared" si="346"/>
        <v>-5214.4504284427758</v>
      </c>
      <c r="CE478" s="33">
        <f>IF(0=MOD(B478,12/PARAM!$D$51),1,0)</f>
        <v>1</v>
      </c>
      <c r="CF478" s="15">
        <f t="shared" si="321"/>
        <v>0</v>
      </c>
      <c r="CG478" s="75">
        <f>CF478*(1-PARAM!$C$27)*$R$3+(MOD($B478/12,5)=0)*($B478&gt;60)*HLOOKUP($B478/12,Loyalty,2)*$F$1*MAX(CI477,0)</f>
        <v>0</v>
      </c>
      <c r="CH478" s="75">
        <f>PARAM!$C$26+MAX($P$3-CHOOSE(PARAM!$B$44,MAX(0,CI477*$F$1),0),0)*RATES!$L454/12+$Q$3*(PARAM!$D$51/12)*RATES!$N454/100</f>
        <v>99.541666666666671</v>
      </c>
      <c r="CI478" s="16">
        <f>IF(CI477&gt;0,CI477*PARAM!$C$53,CI477)+CG478-CH478</f>
        <v>-13464.083333333319</v>
      </c>
      <c r="CJ478" s="15">
        <f t="shared" si="347"/>
        <v>0</v>
      </c>
      <c r="CK478" s="75">
        <f>CJ478*(1-PARAM!$C$27)*$R$4+(MOD($B478/12,5)=0)*($B478&gt;60)*HLOOKUP($B478/12,Loyalty,2)*$F$1*MAX(CM477,0)</f>
        <v>0</v>
      </c>
      <c r="CL478" s="75">
        <f>PARAM!$C$26+MAX($P$4-CHOOSE(PARAM!$B$44,MAX(0,CM477*$F$1),0),0)*RATES!$L454/12+$Q$4*(PARAM!$D$51/12)*RATES!$N454/100</f>
        <v>99.541666666666671</v>
      </c>
      <c r="CM478" s="16">
        <f>IF(CM477&gt;0,CM477*PARAM!$C$53,CM477)+CK478-CL478</f>
        <v>-13464.083333333319</v>
      </c>
      <c r="CO478" s="176"/>
    </row>
    <row r="479" spans="1:93" x14ac:dyDescent="0.2">
      <c r="A479" t="b">
        <f t="shared" si="322"/>
        <v>0</v>
      </c>
      <c r="B479" s="33">
        <v>452</v>
      </c>
      <c r="C479" s="15">
        <f t="shared" si="323"/>
        <v>20.081305947392778</v>
      </c>
      <c r="D479" s="75">
        <f>C479*(1-PARAM!$C$27)*$I$3+(MOD($B479,60)=PARAM!$B$56)*($B479&gt;(60-PARAM!$B$56))*HLOOKUP(($B479+PARAM!$B$56)/12,Loyalty,2)*$F$1*MAX(F478,0)</f>
        <v>16.808053077967756</v>
      </c>
      <c r="E479" s="75">
        <f>PARAM!$C$26+MAX($G$3-CHOOSE(PARAM!$B$44,MAX(0,F478*$F$1),0),0)*RATES!$L455/12+$H$3*(PARAM!$D$51/12)*RATES!$N455/100</f>
        <v>99.541666666666671</v>
      </c>
      <c r="F479" s="16">
        <f t="shared" si="324"/>
        <v>-6122.810200162311</v>
      </c>
      <c r="G479" s="15">
        <f t="shared" si="325"/>
        <v>22.035289406060361</v>
      </c>
      <c r="H479" s="75">
        <f>G479*(1-PARAM!$C$27)*$I$4+(MOD($B479,60)=PARAM!$B$56)*($B479&gt;(60-PARAM!$B$56))*HLOOKUP(($B479+PARAM!$B$56)/12,Loyalty,2)*$F$1*MAX(J478,0)</f>
        <v>18.443537232872522</v>
      </c>
      <c r="I479" s="75">
        <f>PARAM!$C$26+MAX($G$4-CHOOSE(PARAM!$B$44,MAX(0,J478*$F$1),0),0)*RATES!$L455/12+$H$4*(PARAM!$D$51/12)*RATES!$N455/100</f>
        <v>99.541666666666671</v>
      </c>
      <c r="J479" s="16">
        <f t="shared" si="326"/>
        <v>-5349.7383980236373</v>
      </c>
      <c r="K479" s="15">
        <f t="shared" si="327"/>
        <v>22.170849845882874</v>
      </c>
      <c r="L479" s="75">
        <f>K479*(1-PARAM!$C$27)*$I$5+(MOD($B479,60)=PARAM!$B$56)*($B479&gt;(60-PARAM!$B$56))*HLOOKUP(($B479+PARAM!$B$56)/12,Loyalty,2)*$F$1*MAX(N478,0)</f>
        <v>18.557001321003963</v>
      </c>
      <c r="M479" s="75">
        <f>PARAM!$C$26+MAX($G$5-CHOOSE(PARAM!$B$44,MAX(0,N478*$F$1),0),0)*RATES!$L455/12+$H$5*(PARAM!$D$51/12)*RATES!$N455/100</f>
        <v>99.541666666666671</v>
      </c>
      <c r="N479" s="16">
        <f t="shared" si="328"/>
        <v>-5295.4350937884392</v>
      </c>
      <c r="O479" s="15">
        <f t="shared" si="329"/>
        <v>22.170849845882874</v>
      </c>
      <c r="P479" s="75">
        <f>O479*(1-PARAM!$C$27)*$I$6+(MOD($B479,60)=PARAM!$B$56)*($B479&gt;(60-PARAM!$B$56))*HLOOKUP(($B479+PARAM!$B$56)/12,Loyalty,2)*$F$1*MAX(R478,0)</f>
        <v>18.557001321003963</v>
      </c>
      <c r="Q479" s="75">
        <f>PARAM!$C$26+MAX($G$6-CHOOSE(PARAM!$B$44,MAX(0,R478*$F$1),0),0)*RATES!$L455/12+$H$6*(PARAM!$D$51/12)*RATES!$N455/100</f>
        <v>99.541666666666671</v>
      </c>
      <c r="R479" s="16">
        <f t="shared" si="330"/>
        <v>-5295.4350937884392</v>
      </c>
      <c r="S479" s="15">
        <f t="shared" si="305"/>
        <v>22.170849845882874</v>
      </c>
      <c r="T479" s="75">
        <f>S479*(1-PARAM!$C$27)*$I$7+(MOD($B479,60)=PARAM!$B$56)*($B479&gt;(60-PARAM!$B$56))*HLOOKUP(($B479+PARAM!$B$56)/12,Loyalty,2)*$F$1*MAX(V478,0)</f>
        <v>18.557001321003963</v>
      </c>
      <c r="U479" s="75">
        <f>PARAM!$C$26+MAX($G$7-CHOOSE(PARAM!$B$44,MAX(0,V478*$F$1),0),0)*RATES!$L455/12+$H$7*(PARAM!$D$51/12)*RATES!$N455/100</f>
        <v>99.541666666666671</v>
      </c>
      <c r="V479" s="16">
        <f t="shared" si="331"/>
        <v>-5295.4350937884392</v>
      </c>
      <c r="W479" s="15">
        <f t="shared" si="306"/>
        <v>22.170849845882874</v>
      </c>
      <c r="X479" s="75">
        <f>W479*(1-PARAM!$C$27)*$I$8+(MOD($B479,60)=PARAM!$B$56)*($B479&gt;(60-PARAM!$B$56))*HLOOKUP(($B479+PARAM!$B$56)/12,Loyalty,2)*$F$1*MAX(Z478,0)</f>
        <v>18.557001321003963</v>
      </c>
      <c r="Y479" s="75">
        <f>PARAM!$C$26+MAX($G$8-CHOOSE(PARAM!$B$44,MAX(0,Z478*$F$1),0),0)*RATES!$L455/12+$H$8*(PARAM!$D$51/12)*RATES!$N455/100</f>
        <v>99.541666666666671</v>
      </c>
      <c r="Z479" s="16">
        <f t="shared" si="332"/>
        <v>-5295.4350937884392</v>
      </c>
      <c r="AA479" s="15">
        <f t="shared" si="307"/>
        <v>22.170849845882874</v>
      </c>
      <c r="AB479" s="75">
        <f>AA479*(1-PARAM!$C$27)*$I$9+(MOD($B479,60)=PARAM!$B$56)*($B479&gt;(60-PARAM!$B$56))*HLOOKUP(($B479+PARAM!$B$56)/12,Loyalty,2)*$F$1*MAX(AD478,0)</f>
        <v>18.557001321003963</v>
      </c>
      <c r="AC479" s="75">
        <f>PARAM!$C$26+MAX($G$9-CHOOSE(PARAM!$B$44,MAX(0,AD478*$F$1),0),0)*RATES!$L455/12+$H$9*(PARAM!$D$51/12)*RATES!$N455/100</f>
        <v>99.541666666666671</v>
      </c>
      <c r="AD479" s="16">
        <f t="shared" si="333"/>
        <v>-5295.4350937884392</v>
      </c>
      <c r="AE479" s="15">
        <f t="shared" si="308"/>
        <v>22.170849845882874</v>
      </c>
      <c r="AF479" s="75">
        <f>AE479*(1-PARAM!$C$27)*$I$10+(MOD($B479,60)=PARAM!$B$56)*($B479&gt;(60-PARAM!$B$56))*HLOOKUP(($B479+PARAM!$B$56)/12,Loyalty,2)*$F$1*MAX(AH478,0)</f>
        <v>18.557001321003963</v>
      </c>
      <c r="AG479" s="75">
        <f>PARAM!$C$26+MAX($G$10-CHOOSE(PARAM!$B$44,MAX(0,AH478*$F$1),0),0)*RATES!$L455/12+$H$10*(PARAM!$D$51/12)*RATES!$N455/100</f>
        <v>99.541666666666671</v>
      </c>
      <c r="AH479" s="16">
        <f t="shared" si="334"/>
        <v>-5295.4350937884392</v>
      </c>
      <c r="AI479" s="15">
        <f t="shared" si="309"/>
        <v>22.170849845882874</v>
      </c>
      <c r="AJ479" s="75">
        <f>AI479*(1-PARAM!$C$27)*$I$11+(MOD($B479,60)=PARAM!$B$56)*($B479&gt;(60-PARAM!$B$56))*HLOOKUP(($B479+PARAM!$B$56)/12,Loyalty,2)*$F$1*MAX(AL478,0)</f>
        <v>18.557001321003963</v>
      </c>
      <c r="AK479" s="75">
        <f>PARAM!$C$26+MAX($G$11-CHOOSE(PARAM!$B$44,MAX(0,AL478*$F$1),0),0)*RATES!$L455/12+$H$11*(PARAM!$D$51/12)*RATES!$N455/100</f>
        <v>99.541666666666671</v>
      </c>
      <c r="AL479" s="16">
        <f t="shared" si="335"/>
        <v>-5295.4350937884392</v>
      </c>
      <c r="AM479" s="15">
        <f t="shared" si="310"/>
        <v>22.170849845882874</v>
      </c>
      <c r="AN479" s="75">
        <f>AM479*(1-PARAM!$C$27)*$I$12+(MOD($B479,60)=PARAM!$B$56)*($B479&gt;(60-PARAM!$B$56))*HLOOKUP(($B479+PARAM!$B$56)/12,Loyalty,2)*$F$1*MAX(AP478,0)</f>
        <v>18.557001321003963</v>
      </c>
      <c r="AO479" s="75">
        <f>PARAM!$C$26+MAX($G$12-CHOOSE(PARAM!$B$44,MAX(0,AP478*$F$1),0),0)*RATES!$L455/12+$H$12*(PARAM!$D$51/12)*RATES!$N455/100</f>
        <v>99.541666666666671</v>
      </c>
      <c r="AP479" s="16">
        <f t="shared" si="336"/>
        <v>-5295.4350937884392</v>
      </c>
      <c r="AQ479" s="15">
        <f t="shared" si="311"/>
        <v>22.170849845882874</v>
      </c>
      <c r="AR479" s="75">
        <f>AQ479*(1-PARAM!$C$27)*$I$13+(MOD($B479,60)=PARAM!$B$56)*($B479&gt;(60-PARAM!$B$56))*HLOOKUP(($B479+PARAM!$B$56)/12,Loyalty,2)*$F$1*MAX(AT478,0)</f>
        <v>18.557001321003963</v>
      </c>
      <c r="AS479" s="75">
        <f>PARAM!$C$26+MAX($G$13-CHOOSE(PARAM!$B$44,MAX(0,AT478*$F$1),0),0)*RATES!$L455/12+$H$13*(PARAM!$D$51/12)*RATES!$N455/100</f>
        <v>99.541666666666671</v>
      </c>
      <c r="AT479" s="16">
        <f t="shared" si="337"/>
        <v>-5295.4350937884392</v>
      </c>
      <c r="AU479" s="15">
        <f t="shared" si="312"/>
        <v>22.170849845882874</v>
      </c>
      <c r="AV479" s="75">
        <f>AU479*(1-PARAM!$C$27)*$I$14+(MOD($B479,60)=PARAM!$B$56)*($B479&gt;(60-PARAM!$B$56))*HLOOKUP(($B479+PARAM!$B$56)/12,Loyalty,2)*$F$1*MAX(AX478,0)</f>
        <v>18.557001321003963</v>
      </c>
      <c r="AW479" s="75">
        <f>PARAM!$C$26+MAX($G$14-CHOOSE(PARAM!$B$44,MAX(0,AX478*$F$1),0),0)*RATES!$L455/12+$H$14*(PARAM!$D$51/12)*RATES!$N455/100</f>
        <v>99.541666666666671</v>
      </c>
      <c r="AX479" s="16">
        <f t="shared" si="338"/>
        <v>-5295.4350937884392</v>
      </c>
      <c r="AY479" s="15">
        <f t="shared" si="313"/>
        <v>22.170849845882874</v>
      </c>
      <c r="AZ479" s="75">
        <f>AY479*(1-PARAM!$C$27)*$I$15+(MOD($B479,60)=PARAM!$B$56)*($B479&gt;(60-PARAM!$B$56))*HLOOKUP(($B479+PARAM!$B$56)/12,Loyalty,2)*$F$1*MAX(BB478,0)</f>
        <v>18.557001321003963</v>
      </c>
      <c r="BA479" s="75">
        <f>PARAM!$C$26+MAX($G$15-CHOOSE(PARAM!$B$44,MAX(0,BB478*$F$1),0),0)*RATES!$L455/12+$H$15*(PARAM!$D$51/12)*RATES!$N455/100</f>
        <v>99.541666666666671</v>
      </c>
      <c r="BB479" s="16">
        <f t="shared" si="339"/>
        <v>-5295.4350937884392</v>
      </c>
      <c r="BC479" s="15">
        <f t="shared" si="314"/>
        <v>22.170849845882874</v>
      </c>
      <c r="BD479" s="75">
        <f>BC479*(1-PARAM!$C$27)*$I$16+(MOD($B479,60)=PARAM!$B$56)*($B479&gt;(60-PARAM!$B$56))*HLOOKUP(($B479+PARAM!$B$56)/12,Loyalty,2)*$F$1*MAX(BF478,0)</f>
        <v>18.557001321003963</v>
      </c>
      <c r="BE479" s="75">
        <f>PARAM!$C$26+MAX($G$16-CHOOSE(PARAM!$B$44,MAX(0,BF478*$F$1),0),0)*RATES!$L455/12+$H$16*(PARAM!$D$51/12)*RATES!$N455/100</f>
        <v>99.541666666666671</v>
      </c>
      <c r="BF479" s="16">
        <f t="shared" si="340"/>
        <v>-5295.4350937884392</v>
      </c>
      <c r="BG479" s="15">
        <f t="shared" si="315"/>
        <v>22.170849845882874</v>
      </c>
      <c r="BH479" s="75">
        <f>BG479*(1-PARAM!$C$27)*$I$17+(MOD($B479,60)=PARAM!$B$56)*($B479&gt;(60-PARAM!$B$56))*HLOOKUP(($B479+PARAM!$B$56)/12,Loyalty,2)*$F$1*MAX(BJ478,0)</f>
        <v>18.557001321003963</v>
      </c>
      <c r="BI479" s="75">
        <f>PARAM!$C$26+MAX($G$17-CHOOSE(PARAM!$B$44,MAX(0,BJ478*$F$1),0),0)*RATES!$L455/12+$H$17*(PARAM!$D$51/12)*RATES!$N455/100</f>
        <v>99.541666666666671</v>
      </c>
      <c r="BJ479" s="16">
        <f t="shared" si="341"/>
        <v>-5295.4350937884392</v>
      </c>
      <c r="BK479" s="15">
        <f t="shared" si="316"/>
        <v>22.170849845882874</v>
      </c>
      <c r="BL479" s="75">
        <f>BK479*(1-PARAM!$C$27)*$I$18+(MOD($B479,60)=PARAM!$B$56)*($B479&gt;(60-PARAM!$B$56))*HLOOKUP(($B479+PARAM!$B$56)/12,Loyalty,2)*$F$1*MAX(BN478,0)</f>
        <v>18.557001321003963</v>
      </c>
      <c r="BM479" s="75">
        <f>PARAM!$C$26+MAX($G$18-CHOOSE(PARAM!$B$44,MAX(0,BN478*$F$1),0),0)*RATES!$L455/12+$H$18*(PARAM!$D$51/12)*RATES!$N455/100</f>
        <v>99.541666666666671</v>
      </c>
      <c r="BN479" s="16">
        <f t="shared" si="342"/>
        <v>-5295.4350937884392</v>
      </c>
      <c r="BO479" s="15">
        <f t="shared" si="317"/>
        <v>22.170849845882874</v>
      </c>
      <c r="BP479" s="75">
        <f>BO479*(1-PARAM!$C$27)*$I$19+(MOD($B479,60)=PARAM!$B$56)*($B479&gt;(60-PARAM!$B$56))*HLOOKUP(($B479+PARAM!$B$56)/12,Loyalty,2)*$F$1*MAX(BR478,0)</f>
        <v>18.557001321003963</v>
      </c>
      <c r="BQ479" s="75">
        <f>PARAM!$C$26+MAX($G$19-CHOOSE(PARAM!$B$44,MAX(0,BR478*$F$1),0),0)*RATES!$L455/12+$H$19*(PARAM!$D$51/12)*RATES!$N455/100</f>
        <v>99.541666666666671</v>
      </c>
      <c r="BR479" s="16">
        <f t="shared" si="343"/>
        <v>-5295.4350937884392</v>
      </c>
      <c r="BS479" s="15">
        <f t="shared" si="318"/>
        <v>22.170849845882874</v>
      </c>
      <c r="BT479" s="75">
        <f>BS479*(1-PARAM!$C$27)*$I$20+(MOD($B479,60)=PARAM!$B$56)*($B479&gt;(60-PARAM!$B$56))*HLOOKUP(($B479+PARAM!$B$56)/12,Loyalty,2)*$F$1*MAX(BV478,0)</f>
        <v>18.557001321003963</v>
      </c>
      <c r="BU479" s="75">
        <f>PARAM!$C$26+MAX($G$20-CHOOSE(PARAM!$B$44,MAX(0,BV478*$F$1),0),0)*RATES!$L455/12+$H$20*(PARAM!$D$51/12)*RATES!$N455/100</f>
        <v>99.541666666666671</v>
      </c>
      <c r="BV479" s="16">
        <f t="shared" si="344"/>
        <v>-5295.4350937884392</v>
      </c>
      <c r="BW479" s="15">
        <f t="shared" si="319"/>
        <v>22.170849845882874</v>
      </c>
      <c r="BX479" s="75">
        <f>BW479*(1-PARAM!$C$27)*$I$21+(MOD($B479,60)=PARAM!$B$56)*($B479&gt;(60-PARAM!$B$56))*HLOOKUP(($B479+PARAM!$B$56)/12,Loyalty,2)*$F$1*MAX(BZ478,0)</f>
        <v>18.557001321003963</v>
      </c>
      <c r="BY479" s="75">
        <f>PARAM!$C$26+MAX($G$21-CHOOSE(PARAM!$B$44,MAX(0,BZ478*$F$1),0),0)*RATES!$L455/12+$H$21*(PARAM!$D$51/12)*RATES!$N455/100</f>
        <v>99.541666666666671</v>
      </c>
      <c r="BZ479" s="16">
        <f t="shared" si="345"/>
        <v>-5295.4350937884392</v>
      </c>
      <c r="CA479" s="15">
        <f t="shared" si="320"/>
        <v>22.170849845882874</v>
      </c>
      <c r="CB479" s="75">
        <f>CA479*(1-PARAM!$C$27)*$I$22+(MOD($B479,60)=PARAM!$B$56)*($B479&gt;(60-PARAM!$B$56))*HLOOKUP(($B479+PARAM!$B$56)/12,Loyalty,2)*$F$1*MAX(CD478,0)</f>
        <v>18.557001321003963</v>
      </c>
      <c r="CC479" s="75">
        <f>PARAM!$C$26+MAX($G$22-CHOOSE(PARAM!$B$44,MAX(0,CD478*$F$1),0),0)*RATES!$L455/12+$H$22*(PARAM!$D$51/12)*RATES!$N455/100</f>
        <v>99.541666666666671</v>
      </c>
      <c r="CD479" s="16">
        <f t="shared" si="346"/>
        <v>-5295.4350937884392</v>
      </c>
      <c r="CE479" s="33">
        <f>IF(0=MOD(B479,12/PARAM!$D$51),1,0)</f>
        <v>1</v>
      </c>
      <c r="CF479" s="15">
        <f t="shared" si="321"/>
        <v>0</v>
      </c>
      <c r="CG479" s="75">
        <f>CF479*(1-PARAM!$C$27)*$R$3+(MOD($B479/12,5)=0)*($B479&gt;60)*HLOOKUP($B479/12,Loyalty,2)*$F$1*MAX(CI478,0)</f>
        <v>0</v>
      </c>
      <c r="CH479" s="75">
        <f>PARAM!$C$26+MAX($P$3-CHOOSE(PARAM!$B$44,MAX(0,CI478*$F$1),0),0)*RATES!$L455/12+$Q$3*(PARAM!$D$51/12)*RATES!$N455/100</f>
        <v>99.541666666666671</v>
      </c>
      <c r="CI479" s="16">
        <f>IF(CI478&gt;0,CI478*PARAM!$C$53,CI478)+CG479-CH479</f>
        <v>-13563.624999999985</v>
      </c>
      <c r="CJ479" s="15">
        <f t="shared" si="347"/>
        <v>0</v>
      </c>
      <c r="CK479" s="75">
        <f>CJ479*(1-PARAM!$C$27)*$R$4+(MOD($B479/12,5)=0)*($B479&gt;60)*HLOOKUP($B479/12,Loyalty,2)*$F$1*MAX(CM478,0)</f>
        <v>0</v>
      </c>
      <c r="CL479" s="75">
        <f>PARAM!$C$26+MAX($P$4-CHOOSE(PARAM!$B$44,MAX(0,CM478*$F$1),0),0)*RATES!$L455/12+$Q$4*(PARAM!$D$51/12)*RATES!$N455/100</f>
        <v>99.541666666666671</v>
      </c>
      <c r="CM479" s="16">
        <f>IF(CM478&gt;0,CM478*PARAM!$C$53,CM478)+CK479-CL479</f>
        <v>-13563.624999999985</v>
      </c>
      <c r="CO479" s="176"/>
    </row>
    <row r="480" spans="1:93" x14ac:dyDescent="0.2">
      <c r="A480" t="b">
        <f t="shared" si="322"/>
        <v>0</v>
      </c>
      <c r="B480" s="33">
        <v>453</v>
      </c>
      <c r="C480" s="15">
        <f t="shared" si="323"/>
        <v>20.081305947392778</v>
      </c>
      <c r="D480" s="75">
        <f>C480*(1-PARAM!$C$27)*$I$3+(MOD($B480,60)=PARAM!$B$56)*($B480&gt;(60-PARAM!$B$56))*HLOOKUP(($B480+PARAM!$B$56)/12,Loyalty,2)*$F$1*MAX(F479,0)</f>
        <v>16.808053077967756</v>
      </c>
      <c r="E480" s="75">
        <f>PARAM!$C$26+MAX($G$3-CHOOSE(PARAM!$B$44,MAX(0,F479*$F$1),0),0)*RATES!$L456/12+$H$3*(PARAM!$D$51/12)*RATES!$N456/100</f>
        <v>99.541666666666671</v>
      </c>
      <c r="F480" s="16">
        <f t="shared" si="324"/>
        <v>-6205.54381375101</v>
      </c>
      <c r="G480" s="15">
        <f t="shared" si="325"/>
        <v>22.035289406060361</v>
      </c>
      <c r="H480" s="75">
        <f>G480*(1-PARAM!$C$27)*$I$4+(MOD($B480,60)=PARAM!$B$56)*($B480&gt;(60-PARAM!$B$56))*HLOOKUP(($B480+PARAM!$B$56)/12,Loyalty,2)*$F$1*MAX(J479,0)</f>
        <v>18.443537232872522</v>
      </c>
      <c r="I480" s="75">
        <f>PARAM!$C$26+MAX($G$4-CHOOSE(PARAM!$B$44,MAX(0,J479*$F$1),0),0)*RATES!$L456/12+$H$4*(PARAM!$D$51/12)*RATES!$N456/100</f>
        <v>99.541666666666671</v>
      </c>
      <c r="J480" s="16">
        <f t="shared" si="326"/>
        <v>-5430.8365274574317</v>
      </c>
      <c r="K480" s="15">
        <f t="shared" si="327"/>
        <v>22.170849845882874</v>
      </c>
      <c r="L480" s="75">
        <f>K480*(1-PARAM!$C$27)*$I$5+(MOD($B480,60)=PARAM!$B$56)*($B480&gt;(60-PARAM!$B$56))*HLOOKUP(($B480+PARAM!$B$56)/12,Loyalty,2)*$F$1*MAX(N479,0)</f>
        <v>18.557001321003963</v>
      </c>
      <c r="M480" s="75">
        <f>PARAM!$C$26+MAX($G$5-CHOOSE(PARAM!$B$44,MAX(0,N479*$F$1),0),0)*RATES!$L456/12+$H$5*(PARAM!$D$51/12)*RATES!$N456/100</f>
        <v>99.541666666666671</v>
      </c>
      <c r="N480" s="16">
        <f t="shared" si="328"/>
        <v>-5376.4197591341026</v>
      </c>
      <c r="O480" s="15">
        <f t="shared" si="329"/>
        <v>22.170849845882874</v>
      </c>
      <c r="P480" s="75">
        <f>O480*(1-PARAM!$C$27)*$I$6+(MOD($B480,60)=PARAM!$B$56)*($B480&gt;(60-PARAM!$B$56))*HLOOKUP(($B480+PARAM!$B$56)/12,Loyalty,2)*$F$1*MAX(R479,0)</f>
        <v>18.557001321003963</v>
      </c>
      <c r="Q480" s="75">
        <f>PARAM!$C$26+MAX($G$6-CHOOSE(PARAM!$B$44,MAX(0,R479*$F$1),0),0)*RATES!$L456/12+$H$6*(PARAM!$D$51/12)*RATES!$N456/100</f>
        <v>99.541666666666671</v>
      </c>
      <c r="R480" s="16">
        <f t="shared" si="330"/>
        <v>-5376.4197591341026</v>
      </c>
      <c r="S480" s="15">
        <f t="shared" si="305"/>
        <v>22.170849845882874</v>
      </c>
      <c r="T480" s="75">
        <f>S480*(1-PARAM!$C$27)*$I$7+(MOD($B480,60)=PARAM!$B$56)*($B480&gt;(60-PARAM!$B$56))*HLOOKUP(($B480+PARAM!$B$56)/12,Loyalty,2)*$F$1*MAX(V479,0)</f>
        <v>18.557001321003963</v>
      </c>
      <c r="U480" s="75">
        <f>PARAM!$C$26+MAX($G$7-CHOOSE(PARAM!$B$44,MAX(0,V479*$F$1),0),0)*RATES!$L456/12+$H$7*(PARAM!$D$51/12)*RATES!$N456/100</f>
        <v>99.541666666666671</v>
      </c>
      <c r="V480" s="16">
        <f t="shared" si="331"/>
        <v>-5376.4197591341026</v>
      </c>
      <c r="W480" s="15">
        <f t="shared" si="306"/>
        <v>22.170849845882874</v>
      </c>
      <c r="X480" s="75">
        <f>W480*(1-PARAM!$C$27)*$I$8+(MOD($B480,60)=PARAM!$B$56)*($B480&gt;(60-PARAM!$B$56))*HLOOKUP(($B480+PARAM!$B$56)/12,Loyalty,2)*$F$1*MAX(Z479,0)</f>
        <v>18.557001321003963</v>
      </c>
      <c r="Y480" s="75">
        <f>PARAM!$C$26+MAX($G$8-CHOOSE(PARAM!$B$44,MAX(0,Z479*$F$1),0),0)*RATES!$L456/12+$H$8*(PARAM!$D$51/12)*RATES!$N456/100</f>
        <v>99.541666666666671</v>
      </c>
      <c r="Z480" s="16">
        <f t="shared" si="332"/>
        <v>-5376.4197591341026</v>
      </c>
      <c r="AA480" s="15">
        <f t="shared" si="307"/>
        <v>22.170849845882874</v>
      </c>
      <c r="AB480" s="75">
        <f>AA480*(1-PARAM!$C$27)*$I$9+(MOD($B480,60)=PARAM!$B$56)*($B480&gt;(60-PARAM!$B$56))*HLOOKUP(($B480+PARAM!$B$56)/12,Loyalty,2)*$F$1*MAX(AD479,0)</f>
        <v>18.557001321003963</v>
      </c>
      <c r="AC480" s="75">
        <f>PARAM!$C$26+MAX($G$9-CHOOSE(PARAM!$B$44,MAX(0,AD479*$F$1),0),0)*RATES!$L456/12+$H$9*(PARAM!$D$51/12)*RATES!$N456/100</f>
        <v>99.541666666666671</v>
      </c>
      <c r="AD480" s="16">
        <f t="shared" si="333"/>
        <v>-5376.4197591341026</v>
      </c>
      <c r="AE480" s="15">
        <f t="shared" si="308"/>
        <v>22.170849845882874</v>
      </c>
      <c r="AF480" s="75">
        <f>AE480*(1-PARAM!$C$27)*$I$10+(MOD($B480,60)=PARAM!$B$56)*($B480&gt;(60-PARAM!$B$56))*HLOOKUP(($B480+PARAM!$B$56)/12,Loyalty,2)*$F$1*MAX(AH479,0)</f>
        <v>18.557001321003963</v>
      </c>
      <c r="AG480" s="75">
        <f>PARAM!$C$26+MAX($G$10-CHOOSE(PARAM!$B$44,MAX(0,AH479*$F$1),0),0)*RATES!$L456/12+$H$10*(PARAM!$D$51/12)*RATES!$N456/100</f>
        <v>99.541666666666671</v>
      </c>
      <c r="AH480" s="16">
        <f t="shared" si="334"/>
        <v>-5376.4197591341026</v>
      </c>
      <c r="AI480" s="15">
        <f t="shared" si="309"/>
        <v>22.170849845882874</v>
      </c>
      <c r="AJ480" s="75">
        <f>AI480*(1-PARAM!$C$27)*$I$11+(MOD($B480,60)=PARAM!$B$56)*($B480&gt;(60-PARAM!$B$56))*HLOOKUP(($B480+PARAM!$B$56)/12,Loyalty,2)*$F$1*MAX(AL479,0)</f>
        <v>18.557001321003963</v>
      </c>
      <c r="AK480" s="75">
        <f>PARAM!$C$26+MAX($G$11-CHOOSE(PARAM!$B$44,MAX(0,AL479*$F$1),0),0)*RATES!$L456/12+$H$11*(PARAM!$D$51/12)*RATES!$N456/100</f>
        <v>99.541666666666671</v>
      </c>
      <c r="AL480" s="16">
        <f t="shared" si="335"/>
        <v>-5376.4197591341026</v>
      </c>
      <c r="AM480" s="15">
        <f t="shared" si="310"/>
        <v>22.170849845882874</v>
      </c>
      <c r="AN480" s="75">
        <f>AM480*(1-PARAM!$C$27)*$I$12+(MOD($B480,60)=PARAM!$B$56)*($B480&gt;(60-PARAM!$B$56))*HLOOKUP(($B480+PARAM!$B$56)/12,Loyalty,2)*$F$1*MAX(AP479,0)</f>
        <v>18.557001321003963</v>
      </c>
      <c r="AO480" s="75">
        <f>PARAM!$C$26+MAX($G$12-CHOOSE(PARAM!$B$44,MAX(0,AP479*$F$1),0),0)*RATES!$L456/12+$H$12*(PARAM!$D$51/12)*RATES!$N456/100</f>
        <v>99.541666666666671</v>
      </c>
      <c r="AP480" s="16">
        <f t="shared" si="336"/>
        <v>-5376.4197591341026</v>
      </c>
      <c r="AQ480" s="15">
        <f t="shared" si="311"/>
        <v>22.170849845882874</v>
      </c>
      <c r="AR480" s="75">
        <f>AQ480*(1-PARAM!$C$27)*$I$13+(MOD($B480,60)=PARAM!$B$56)*($B480&gt;(60-PARAM!$B$56))*HLOOKUP(($B480+PARAM!$B$56)/12,Loyalty,2)*$F$1*MAX(AT479,0)</f>
        <v>18.557001321003963</v>
      </c>
      <c r="AS480" s="75">
        <f>PARAM!$C$26+MAX($G$13-CHOOSE(PARAM!$B$44,MAX(0,AT479*$F$1),0),0)*RATES!$L456/12+$H$13*(PARAM!$D$51/12)*RATES!$N456/100</f>
        <v>99.541666666666671</v>
      </c>
      <c r="AT480" s="16">
        <f t="shared" si="337"/>
        <v>-5376.4197591341026</v>
      </c>
      <c r="AU480" s="15">
        <f t="shared" si="312"/>
        <v>22.170849845882874</v>
      </c>
      <c r="AV480" s="75">
        <f>AU480*(1-PARAM!$C$27)*$I$14+(MOD($B480,60)=PARAM!$B$56)*($B480&gt;(60-PARAM!$B$56))*HLOOKUP(($B480+PARAM!$B$56)/12,Loyalty,2)*$F$1*MAX(AX479,0)</f>
        <v>18.557001321003963</v>
      </c>
      <c r="AW480" s="75">
        <f>PARAM!$C$26+MAX($G$14-CHOOSE(PARAM!$B$44,MAX(0,AX479*$F$1),0),0)*RATES!$L456/12+$H$14*(PARAM!$D$51/12)*RATES!$N456/100</f>
        <v>99.541666666666671</v>
      </c>
      <c r="AX480" s="16">
        <f t="shared" si="338"/>
        <v>-5376.4197591341026</v>
      </c>
      <c r="AY480" s="15">
        <f t="shared" si="313"/>
        <v>22.170849845882874</v>
      </c>
      <c r="AZ480" s="75">
        <f>AY480*(1-PARAM!$C$27)*$I$15+(MOD($B480,60)=PARAM!$B$56)*($B480&gt;(60-PARAM!$B$56))*HLOOKUP(($B480+PARAM!$B$56)/12,Loyalty,2)*$F$1*MAX(BB479,0)</f>
        <v>18.557001321003963</v>
      </c>
      <c r="BA480" s="75">
        <f>PARAM!$C$26+MAX($G$15-CHOOSE(PARAM!$B$44,MAX(0,BB479*$F$1),0),0)*RATES!$L456/12+$H$15*(PARAM!$D$51/12)*RATES!$N456/100</f>
        <v>99.541666666666671</v>
      </c>
      <c r="BB480" s="16">
        <f t="shared" si="339"/>
        <v>-5376.4197591341026</v>
      </c>
      <c r="BC480" s="15">
        <f t="shared" si="314"/>
        <v>22.170849845882874</v>
      </c>
      <c r="BD480" s="75">
        <f>BC480*(1-PARAM!$C$27)*$I$16+(MOD($B480,60)=PARAM!$B$56)*($B480&gt;(60-PARAM!$B$56))*HLOOKUP(($B480+PARAM!$B$56)/12,Loyalty,2)*$F$1*MAX(BF479,0)</f>
        <v>18.557001321003963</v>
      </c>
      <c r="BE480" s="75">
        <f>PARAM!$C$26+MAX($G$16-CHOOSE(PARAM!$B$44,MAX(0,BF479*$F$1),0),0)*RATES!$L456/12+$H$16*(PARAM!$D$51/12)*RATES!$N456/100</f>
        <v>99.541666666666671</v>
      </c>
      <c r="BF480" s="16">
        <f t="shared" si="340"/>
        <v>-5376.4197591341026</v>
      </c>
      <c r="BG480" s="15">
        <f t="shared" si="315"/>
        <v>22.170849845882874</v>
      </c>
      <c r="BH480" s="75">
        <f>BG480*(1-PARAM!$C$27)*$I$17+(MOD($B480,60)=PARAM!$B$56)*($B480&gt;(60-PARAM!$B$56))*HLOOKUP(($B480+PARAM!$B$56)/12,Loyalty,2)*$F$1*MAX(BJ479,0)</f>
        <v>18.557001321003963</v>
      </c>
      <c r="BI480" s="75">
        <f>PARAM!$C$26+MAX($G$17-CHOOSE(PARAM!$B$44,MAX(0,BJ479*$F$1),0),0)*RATES!$L456/12+$H$17*(PARAM!$D$51/12)*RATES!$N456/100</f>
        <v>99.541666666666671</v>
      </c>
      <c r="BJ480" s="16">
        <f t="shared" si="341"/>
        <v>-5376.4197591341026</v>
      </c>
      <c r="BK480" s="15">
        <f t="shared" si="316"/>
        <v>22.170849845882874</v>
      </c>
      <c r="BL480" s="75">
        <f>BK480*(1-PARAM!$C$27)*$I$18+(MOD($B480,60)=PARAM!$B$56)*($B480&gt;(60-PARAM!$B$56))*HLOOKUP(($B480+PARAM!$B$56)/12,Loyalty,2)*$F$1*MAX(BN479,0)</f>
        <v>18.557001321003963</v>
      </c>
      <c r="BM480" s="75">
        <f>PARAM!$C$26+MAX($G$18-CHOOSE(PARAM!$B$44,MAX(0,BN479*$F$1),0),0)*RATES!$L456/12+$H$18*(PARAM!$D$51/12)*RATES!$N456/100</f>
        <v>99.541666666666671</v>
      </c>
      <c r="BN480" s="16">
        <f t="shared" si="342"/>
        <v>-5376.4197591341026</v>
      </c>
      <c r="BO480" s="15">
        <f t="shared" si="317"/>
        <v>22.170849845882874</v>
      </c>
      <c r="BP480" s="75">
        <f>BO480*(1-PARAM!$C$27)*$I$19+(MOD($B480,60)=PARAM!$B$56)*($B480&gt;(60-PARAM!$B$56))*HLOOKUP(($B480+PARAM!$B$56)/12,Loyalty,2)*$F$1*MAX(BR479,0)</f>
        <v>18.557001321003963</v>
      </c>
      <c r="BQ480" s="75">
        <f>PARAM!$C$26+MAX($G$19-CHOOSE(PARAM!$B$44,MAX(0,BR479*$F$1),0),0)*RATES!$L456/12+$H$19*(PARAM!$D$51/12)*RATES!$N456/100</f>
        <v>99.541666666666671</v>
      </c>
      <c r="BR480" s="16">
        <f t="shared" si="343"/>
        <v>-5376.4197591341026</v>
      </c>
      <c r="BS480" s="15">
        <f t="shared" si="318"/>
        <v>22.170849845882874</v>
      </c>
      <c r="BT480" s="75">
        <f>BS480*(1-PARAM!$C$27)*$I$20+(MOD($B480,60)=PARAM!$B$56)*($B480&gt;(60-PARAM!$B$56))*HLOOKUP(($B480+PARAM!$B$56)/12,Loyalty,2)*$F$1*MAX(BV479,0)</f>
        <v>18.557001321003963</v>
      </c>
      <c r="BU480" s="75">
        <f>PARAM!$C$26+MAX($G$20-CHOOSE(PARAM!$B$44,MAX(0,BV479*$F$1),0),0)*RATES!$L456/12+$H$20*(PARAM!$D$51/12)*RATES!$N456/100</f>
        <v>99.541666666666671</v>
      </c>
      <c r="BV480" s="16">
        <f t="shared" si="344"/>
        <v>-5376.4197591341026</v>
      </c>
      <c r="BW480" s="15">
        <f t="shared" si="319"/>
        <v>22.170849845882874</v>
      </c>
      <c r="BX480" s="75">
        <f>BW480*(1-PARAM!$C$27)*$I$21+(MOD($B480,60)=PARAM!$B$56)*($B480&gt;(60-PARAM!$B$56))*HLOOKUP(($B480+PARAM!$B$56)/12,Loyalty,2)*$F$1*MAX(BZ479,0)</f>
        <v>18.557001321003963</v>
      </c>
      <c r="BY480" s="75">
        <f>PARAM!$C$26+MAX($G$21-CHOOSE(PARAM!$B$44,MAX(0,BZ479*$F$1),0),0)*RATES!$L456/12+$H$21*(PARAM!$D$51/12)*RATES!$N456/100</f>
        <v>99.541666666666671</v>
      </c>
      <c r="BZ480" s="16">
        <f t="shared" si="345"/>
        <v>-5376.4197591341026</v>
      </c>
      <c r="CA480" s="15">
        <f t="shared" si="320"/>
        <v>22.170849845882874</v>
      </c>
      <c r="CB480" s="75">
        <f>CA480*(1-PARAM!$C$27)*$I$22+(MOD($B480,60)=PARAM!$B$56)*($B480&gt;(60-PARAM!$B$56))*HLOOKUP(($B480+PARAM!$B$56)/12,Loyalty,2)*$F$1*MAX(CD479,0)</f>
        <v>18.557001321003963</v>
      </c>
      <c r="CC480" s="75">
        <f>PARAM!$C$26+MAX($G$22-CHOOSE(PARAM!$B$44,MAX(0,CD479*$F$1),0),0)*RATES!$L456/12+$H$22*(PARAM!$D$51/12)*RATES!$N456/100</f>
        <v>99.541666666666671</v>
      </c>
      <c r="CD480" s="16">
        <f t="shared" si="346"/>
        <v>-5376.4197591341026</v>
      </c>
      <c r="CE480" s="33">
        <f>IF(0=MOD(B480,12/PARAM!$D$51),1,0)</f>
        <v>1</v>
      </c>
      <c r="CF480" s="15">
        <f t="shared" si="321"/>
        <v>0</v>
      </c>
      <c r="CG480" s="75">
        <f>CF480*(1-PARAM!$C$27)*$R$3+(MOD($B480/12,5)=0)*($B480&gt;60)*HLOOKUP($B480/12,Loyalty,2)*$F$1*MAX(CI479,0)</f>
        <v>0</v>
      </c>
      <c r="CH480" s="75">
        <f>PARAM!$C$26+MAX($P$3-CHOOSE(PARAM!$B$44,MAX(0,CI479*$F$1),0),0)*RATES!$L456/12+$Q$3*(PARAM!$D$51/12)*RATES!$N456/100</f>
        <v>99.541666666666671</v>
      </c>
      <c r="CI480" s="16">
        <f>IF(CI479&gt;0,CI479*PARAM!$C$53,CI479)+CG480-CH480</f>
        <v>-13663.166666666652</v>
      </c>
      <c r="CJ480" s="15">
        <f t="shared" si="347"/>
        <v>0</v>
      </c>
      <c r="CK480" s="75">
        <f>CJ480*(1-PARAM!$C$27)*$R$4+(MOD($B480/12,5)=0)*($B480&gt;60)*HLOOKUP($B480/12,Loyalty,2)*$F$1*MAX(CM479,0)</f>
        <v>0</v>
      </c>
      <c r="CL480" s="75">
        <f>PARAM!$C$26+MAX($P$4-CHOOSE(PARAM!$B$44,MAX(0,CM479*$F$1),0),0)*RATES!$L456/12+$Q$4*(PARAM!$D$51/12)*RATES!$N456/100</f>
        <v>99.541666666666671</v>
      </c>
      <c r="CM480" s="16">
        <f>IF(CM479&gt;0,CM479*PARAM!$C$53,CM479)+CK480-CL480</f>
        <v>-13663.166666666652</v>
      </c>
      <c r="CO480" s="176"/>
    </row>
    <row r="481" spans="1:93" x14ac:dyDescent="0.2">
      <c r="A481" t="b">
        <f t="shared" si="322"/>
        <v>0</v>
      </c>
      <c r="B481" s="33">
        <v>454</v>
      </c>
      <c r="C481" s="15">
        <f t="shared" si="323"/>
        <v>20.081305947392778</v>
      </c>
      <c r="D481" s="75">
        <f>C481*(1-PARAM!$C$27)*$I$3+(MOD($B481,60)=PARAM!$B$56)*($B481&gt;(60-PARAM!$B$56))*HLOOKUP(($B481+PARAM!$B$56)/12,Loyalty,2)*$F$1*MAX(F480,0)</f>
        <v>16.808053077967756</v>
      </c>
      <c r="E481" s="75">
        <f>PARAM!$C$26+MAX($G$3-CHOOSE(PARAM!$B$44,MAX(0,F480*$F$1),0),0)*RATES!$L457/12+$H$3*(PARAM!$D$51/12)*RATES!$N457/100</f>
        <v>99.541666666666671</v>
      </c>
      <c r="F481" s="16">
        <f t="shared" si="324"/>
        <v>-6288.277427339709</v>
      </c>
      <c r="G481" s="15">
        <f t="shared" si="325"/>
        <v>22.035289406060361</v>
      </c>
      <c r="H481" s="75">
        <f>G481*(1-PARAM!$C$27)*$I$4+(MOD($B481,60)=PARAM!$B$56)*($B481&gt;(60-PARAM!$B$56))*HLOOKUP(($B481+PARAM!$B$56)/12,Loyalty,2)*$F$1*MAX(J480,0)</f>
        <v>18.443537232872522</v>
      </c>
      <c r="I481" s="75">
        <f>PARAM!$C$26+MAX($G$4-CHOOSE(PARAM!$B$44,MAX(0,J480*$F$1),0),0)*RATES!$L457/12+$H$4*(PARAM!$D$51/12)*RATES!$N457/100</f>
        <v>99.541666666666671</v>
      </c>
      <c r="J481" s="16">
        <f t="shared" si="326"/>
        <v>-5511.934656891226</v>
      </c>
      <c r="K481" s="15">
        <f t="shared" si="327"/>
        <v>22.170849845882874</v>
      </c>
      <c r="L481" s="75">
        <f>K481*(1-PARAM!$C$27)*$I$5+(MOD($B481,60)=PARAM!$B$56)*($B481&gt;(60-PARAM!$B$56))*HLOOKUP(($B481+PARAM!$B$56)/12,Loyalty,2)*$F$1*MAX(N480,0)</f>
        <v>18.557001321003963</v>
      </c>
      <c r="M481" s="75">
        <f>PARAM!$C$26+MAX($G$5-CHOOSE(PARAM!$B$44,MAX(0,N480*$F$1),0),0)*RATES!$L457/12+$H$5*(PARAM!$D$51/12)*RATES!$N457/100</f>
        <v>99.541666666666671</v>
      </c>
      <c r="N481" s="16">
        <f t="shared" si="328"/>
        <v>-5457.404424479766</v>
      </c>
      <c r="O481" s="15">
        <f t="shared" si="329"/>
        <v>22.170849845882874</v>
      </c>
      <c r="P481" s="75">
        <f>O481*(1-PARAM!$C$27)*$I$6+(MOD($B481,60)=PARAM!$B$56)*($B481&gt;(60-PARAM!$B$56))*HLOOKUP(($B481+PARAM!$B$56)/12,Loyalty,2)*$F$1*MAX(R480,0)</f>
        <v>18.557001321003963</v>
      </c>
      <c r="Q481" s="75">
        <f>PARAM!$C$26+MAX($G$6-CHOOSE(PARAM!$B$44,MAX(0,R480*$F$1),0),0)*RATES!$L457/12+$H$6*(PARAM!$D$51/12)*RATES!$N457/100</f>
        <v>99.541666666666671</v>
      </c>
      <c r="R481" s="16">
        <f t="shared" si="330"/>
        <v>-5457.404424479766</v>
      </c>
      <c r="S481" s="15">
        <f t="shared" si="305"/>
        <v>22.170849845882874</v>
      </c>
      <c r="T481" s="75">
        <f>S481*(1-PARAM!$C$27)*$I$7+(MOD($B481,60)=PARAM!$B$56)*($B481&gt;(60-PARAM!$B$56))*HLOOKUP(($B481+PARAM!$B$56)/12,Loyalty,2)*$F$1*MAX(V480,0)</f>
        <v>18.557001321003963</v>
      </c>
      <c r="U481" s="75">
        <f>PARAM!$C$26+MAX($G$7-CHOOSE(PARAM!$B$44,MAX(0,V480*$F$1),0),0)*RATES!$L457/12+$H$7*(PARAM!$D$51/12)*RATES!$N457/100</f>
        <v>99.541666666666671</v>
      </c>
      <c r="V481" s="16">
        <f t="shared" si="331"/>
        <v>-5457.404424479766</v>
      </c>
      <c r="W481" s="15">
        <f t="shared" si="306"/>
        <v>22.170849845882874</v>
      </c>
      <c r="X481" s="75">
        <f>W481*(1-PARAM!$C$27)*$I$8+(MOD($B481,60)=PARAM!$B$56)*($B481&gt;(60-PARAM!$B$56))*HLOOKUP(($B481+PARAM!$B$56)/12,Loyalty,2)*$F$1*MAX(Z480,0)</f>
        <v>18.557001321003963</v>
      </c>
      <c r="Y481" s="75">
        <f>PARAM!$C$26+MAX($G$8-CHOOSE(PARAM!$B$44,MAX(0,Z480*$F$1),0),0)*RATES!$L457/12+$H$8*(PARAM!$D$51/12)*RATES!$N457/100</f>
        <v>99.541666666666671</v>
      </c>
      <c r="Z481" s="16">
        <f t="shared" si="332"/>
        <v>-5457.404424479766</v>
      </c>
      <c r="AA481" s="15">
        <f t="shared" si="307"/>
        <v>22.170849845882874</v>
      </c>
      <c r="AB481" s="75">
        <f>AA481*(1-PARAM!$C$27)*$I$9+(MOD($B481,60)=PARAM!$B$56)*($B481&gt;(60-PARAM!$B$56))*HLOOKUP(($B481+PARAM!$B$56)/12,Loyalty,2)*$F$1*MAX(AD480,0)</f>
        <v>18.557001321003963</v>
      </c>
      <c r="AC481" s="75">
        <f>PARAM!$C$26+MAX($G$9-CHOOSE(PARAM!$B$44,MAX(0,AD480*$F$1),0),0)*RATES!$L457/12+$H$9*(PARAM!$D$51/12)*RATES!$N457/100</f>
        <v>99.541666666666671</v>
      </c>
      <c r="AD481" s="16">
        <f t="shared" si="333"/>
        <v>-5457.404424479766</v>
      </c>
      <c r="AE481" s="15">
        <f t="shared" si="308"/>
        <v>22.170849845882874</v>
      </c>
      <c r="AF481" s="75">
        <f>AE481*(1-PARAM!$C$27)*$I$10+(MOD($B481,60)=PARAM!$B$56)*($B481&gt;(60-PARAM!$B$56))*HLOOKUP(($B481+PARAM!$B$56)/12,Loyalty,2)*$F$1*MAX(AH480,0)</f>
        <v>18.557001321003963</v>
      </c>
      <c r="AG481" s="75">
        <f>PARAM!$C$26+MAX($G$10-CHOOSE(PARAM!$B$44,MAX(0,AH480*$F$1),0),0)*RATES!$L457/12+$H$10*(PARAM!$D$51/12)*RATES!$N457/100</f>
        <v>99.541666666666671</v>
      </c>
      <c r="AH481" s="16">
        <f t="shared" si="334"/>
        <v>-5457.404424479766</v>
      </c>
      <c r="AI481" s="15">
        <f t="shared" si="309"/>
        <v>22.170849845882874</v>
      </c>
      <c r="AJ481" s="75">
        <f>AI481*(1-PARAM!$C$27)*$I$11+(MOD($B481,60)=PARAM!$B$56)*($B481&gt;(60-PARAM!$B$56))*HLOOKUP(($B481+PARAM!$B$56)/12,Loyalty,2)*$F$1*MAX(AL480,0)</f>
        <v>18.557001321003963</v>
      </c>
      <c r="AK481" s="75">
        <f>PARAM!$C$26+MAX($G$11-CHOOSE(PARAM!$B$44,MAX(0,AL480*$F$1),0),0)*RATES!$L457/12+$H$11*(PARAM!$D$51/12)*RATES!$N457/100</f>
        <v>99.541666666666671</v>
      </c>
      <c r="AL481" s="16">
        <f t="shared" si="335"/>
        <v>-5457.404424479766</v>
      </c>
      <c r="AM481" s="15">
        <f t="shared" si="310"/>
        <v>22.170849845882874</v>
      </c>
      <c r="AN481" s="75">
        <f>AM481*(1-PARAM!$C$27)*$I$12+(MOD($B481,60)=PARAM!$B$56)*($B481&gt;(60-PARAM!$B$56))*HLOOKUP(($B481+PARAM!$B$56)/12,Loyalty,2)*$F$1*MAX(AP480,0)</f>
        <v>18.557001321003963</v>
      </c>
      <c r="AO481" s="75">
        <f>PARAM!$C$26+MAX($G$12-CHOOSE(PARAM!$B$44,MAX(0,AP480*$F$1),0),0)*RATES!$L457/12+$H$12*(PARAM!$D$51/12)*RATES!$N457/100</f>
        <v>99.541666666666671</v>
      </c>
      <c r="AP481" s="16">
        <f t="shared" si="336"/>
        <v>-5457.404424479766</v>
      </c>
      <c r="AQ481" s="15">
        <f t="shared" si="311"/>
        <v>22.170849845882874</v>
      </c>
      <c r="AR481" s="75">
        <f>AQ481*(1-PARAM!$C$27)*$I$13+(MOD($B481,60)=PARAM!$B$56)*($B481&gt;(60-PARAM!$B$56))*HLOOKUP(($B481+PARAM!$B$56)/12,Loyalty,2)*$F$1*MAX(AT480,0)</f>
        <v>18.557001321003963</v>
      </c>
      <c r="AS481" s="75">
        <f>PARAM!$C$26+MAX($G$13-CHOOSE(PARAM!$B$44,MAX(0,AT480*$F$1),0),0)*RATES!$L457/12+$H$13*(PARAM!$D$51/12)*RATES!$N457/100</f>
        <v>99.541666666666671</v>
      </c>
      <c r="AT481" s="16">
        <f t="shared" si="337"/>
        <v>-5457.404424479766</v>
      </c>
      <c r="AU481" s="15">
        <f t="shared" si="312"/>
        <v>22.170849845882874</v>
      </c>
      <c r="AV481" s="75">
        <f>AU481*(1-PARAM!$C$27)*$I$14+(MOD($B481,60)=PARAM!$B$56)*($B481&gt;(60-PARAM!$B$56))*HLOOKUP(($B481+PARAM!$B$56)/12,Loyalty,2)*$F$1*MAX(AX480,0)</f>
        <v>18.557001321003963</v>
      </c>
      <c r="AW481" s="75">
        <f>PARAM!$C$26+MAX($G$14-CHOOSE(PARAM!$B$44,MAX(0,AX480*$F$1),0),0)*RATES!$L457/12+$H$14*(PARAM!$D$51/12)*RATES!$N457/100</f>
        <v>99.541666666666671</v>
      </c>
      <c r="AX481" s="16">
        <f t="shared" si="338"/>
        <v>-5457.404424479766</v>
      </c>
      <c r="AY481" s="15">
        <f t="shared" si="313"/>
        <v>22.170849845882874</v>
      </c>
      <c r="AZ481" s="75">
        <f>AY481*(1-PARAM!$C$27)*$I$15+(MOD($B481,60)=PARAM!$B$56)*($B481&gt;(60-PARAM!$B$56))*HLOOKUP(($B481+PARAM!$B$56)/12,Loyalty,2)*$F$1*MAX(BB480,0)</f>
        <v>18.557001321003963</v>
      </c>
      <c r="BA481" s="75">
        <f>PARAM!$C$26+MAX($G$15-CHOOSE(PARAM!$B$44,MAX(0,BB480*$F$1),0),0)*RATES!$L457/12+$H$15*(PARAM!$D$51/12)*RATES!$N457/100</f>
        <v>99.541666666666671</v>
      </c>
      <c r="BB481" s="16">
        <f t="shared" si="339"/>
        <v>-5457.404424479766</v>
      </c>
      <c r="BC481" s="15">
        <f t="shared" si="314"/>
        <v>22.170849845882874</v>
      </c>
      <c r="BD481" s="75">
        <f>BC481*(1-PARAM!$C$27)*$I$16+(MOD($B481,60)=PARAM!$B$56)*($B481&gt;(60-PARAM!$B$56))*HLOOKUP(($B481+PARAM!$B$56)/12,Loyalty,2)*$F$1*MAX(BF480,0)</f>
        <v>18.557001321003963</v>
      </c>
      <c r="BE481" s="75">
        <f>PARAM!$C$26+MAX($G$16-CHOOSE(PARAM!$B$44,MAX(0,BF480*$F$1),0),0)*RATES!$L457/12+$H$16*(PARAM!$D$51/12)*RATES!$N457/100</f>
        <v>99.541666666666671</v>
      </c>
      <c r="BF481" s="16">
        <f t="shared" si="340"/>
        <v>-5457.404424479766</v>
      </c>
      <c r="BG481" s="15">
        <f t="shared" si="315"/>
        <v>22.170849845882874</v>
      </c>
      <c r="BH481" s="75">
        <f>BG481*(1-PARAM!$C$27)*$I$17+(MOD($B481,60)=PARAM!$B$56)*($B481&gt;(60-PARAM!$B$56))*HLOOKUP(($B481+PARAM!$B$56)/12,Loyalty,2)*$F$1*MAX(BJ480,0)</f>
        <v>18.557001321003963</v>
      </c>
      <c r="BI481" s="75">
        <f>PARAM!$C$26+MAX($G$17-CHOOSE(PARAM!$B$44,MAX(0,BJ480*$F$1),0),0)*RATES!$L457/12+$H$17*(PARAM!$D$51/12)*RATES!$N457/100</f>
        <v>99.541666666666671</v>
      </c>
      <c r="BJ481" s="16">
        <f t="shared" si="341"/>
        <v>-5457.404424479766</v>
      </c>
      <c r="BK481" s="15">
        <f t="shared" si="316"/>
        <v>22.170849845882874</v>
      </c>
      <c r="BL481" s="75">
        <f>BK481*(1-PARAM!$C$27)*$I$18+(MOD($B481,60)=PARAM!$B$56)*($B481&gt;(60-PARAM!$B$56))*HLOOKUP(($B481+PARAM!$B$56)/12,Loyalty,2)*$F$1*MAX(BN480,0)</f>
        <v>18.557001321003963</v>
      </c>
      <c r="BM481" s="75">
        <f>PARAM!$C$26+MAX($G$18-CHOOSE(PARAM!$B$44,MAX(0,BN480*$F$1),0),0)*RATES!$L457/12+$H$18*(PARAM!$D$51/12)*RATES!$N457/100</f>
        <v>99.541666666666671</v>
      </c>
      <c r="BN481" s="16">
        <f t="shared" si="342"/>
        <v>-5457.404424479766</v>
      </c>
      <c r="BO481" s="15">
        <f t="shared" si="317"/>
        <v>22.170849845882874</v>
      </c>
      <c r="BP481" s="75">
        <f>BO481*(1-PARAM!$C$27)*$I$19+(MOD($B481,60)=PARAM!$B$56)*($B481&gt;(60-PARAM!$B$56))*HLOOKUP(($B481+PARAM!$B$56)/12,Loyalty,2)*$F$1*MAX(BR480,0)</f>
        <v>18.557001321003963</v>
      </c>
      <c r="BQ481" s="75">
        <f>PARAM!$C$26+MAX($G$19-CHOOSE(PARAM!$B$44,MAX(0,BR480*$F$1),0),0)*RATES!$L457/12+$H$19*(PARAM!$D$51/12)*RATES!$N457/100</f>
        <v>99.541666666666671</v>
      </c>
      <c r="BR481" s="16">
        <f t="shared" si="343"/>
        <v>-5457.404424479766</v>
      </c>
      <c r="BS481" s="15">
        <f t="shared" si="318"/>
        <v>22.170849845882874</v>
      </c>
      <c r="BT481" s="75">
        <f>BS481*(1-PARAM!$C$27)*$I$20+(MOD($B481,60)=PARAM!$B$56)*($B481&gt;(60-PARAM!$B$56))*HLOOKUP(($B481+PARAM!$B$56)/12,Loyalty,2)*$F$1*MAX(BV480,0)</f>
        <v>18.557001321003963</v>
      </c>
      <c r="BU481" s="75">
        <f>PARAM!$C$26+MAX($G$20-CHOOSE(PARAM!$B$44,MAX(0,BV480*$F$1),0),0)*RATES!$L457/12+$H$20*(PARAM!$D$51/12)*RATES!$N457/100</f>
        <v>99.541666666666671</v>
      </c>
      <c r="BV481" s="16">
        <f t="shared" si="344"/>
        <v>-5457.404424479766</v>
      </c>
      <c r="BW481" s="15">
        <f t="shared" si="319"/>
        <v>22.170849845882874</v>
      </c>
      <c r="BX481" s="75">
        <f>BW481*(1-PARAM!$C$27)*$I$21+(MOD($B481,60)=PARAM!$B$56)*($B481&gt;(60-PARAM!$B$56))*HLOOKUP(($B481+PARAM!$B$56)/12,Loyalty,2)*$F$1*MAX(BZ480,0)</f>
        <v>18.557001321003963</v>
      </c>
      <c r="BY481" s="75">
        <f>PARAM!$C$26+MAX($G$21-CHOOSE(PARAM!$B$44,MAX(0,BZ480*$F$1),0),0)*RATES!$L457/12+$H$21*(PARAM!$D$51/12)*RATES!$N457/100</f>
        <v>99.541666666666671</v>
      </c>
      <c r="BZ481" s="16">
        <f t="shared" si="345"/>
        <v>-5457.404424479766</v>
      </c>
      <c r="CA481" s="15">
        <f t="shared" si="320"/>
        <v>22.170849845882874</v>
      </c>
      <c r="CB481" s="75">
        <f>CA481*(1-PARAM!$C$27)*$I$22+(MOD($B481,60)=PARAM!$B$56)*($B481&gt;(60-PARAM!$B$56))*HLOOKUP(($B481+PARAM!$B$56)/12,Loyalty,2)*$F$1*MAX(CD480,0)</f>
        <v>18.557001321003963</v>
      </c>
      <c r="CC481" s="75">
        <f>PARAM!$C$26+MAX($G$22-CHOOSE(PARAM!$B$44,MAX(0,CD480*$F$1),0),0)*RATES!$L457/12+$H$22*(PARAM!$D$51/12)*RATES!$N457/100</f>
        <v>99.541666666666671</v>
      </c>
      <c r="CD481" s="16">
        <f t="shared" si="346"/>
        <v>-5457.404424479766</v>
      </c>
      <c r="CE481" s="33">
        <f>IF(0=MOD(B481,12/PARAM!$D$51),1,0)</f>
        <v>1</v>
      </c>
      <c r="CF481" s="15">
        <f t="shared" si="321"/>
        <v>0</v>
      </c>
      <c r="CG481" s="75">
        <f>CF481*(1-PARAM!$C$27)*$R$3+(MOD($B481/12,5)=0)*($B481&gt;60)*HLOOKUP($B481/12,Loyalty,2)*$F$1*MAX(CI480,0)</f>
        <v>0</v>
      </c>
      <c r="CH481" s="75">
        <f>PARAM!$C$26+MAX($P$3-CHOOSE(PARAM!$B$44,MAX(0,CI480*$F$1),0),0)*RATES!$L457/12+$Q$3*(PARAM!$D$51/12)*RATES!$N457/100</f>
        <v>99.541666666666671</v>
      </c>
      <c r="CI481" s="16">
        <f>IF(CI480&gt;0,CI480*PARAM!$C$53,CI480)+CG481-CH481</f>
        <v>-13762.708333333318</v>
      </c>
      <c r="CJ481" s="15">
        <f t="shared" si="347"/>
        <v>0</v>
      </c>
      <c r="CK481" s="75">
        <f>CJ481*(1-PARAM!$C$27)*$R$4+(MOD($B481/12,5)=0)*($B481&gt;60)*HLOOKUP($B481/12,Loyalty,2)*$F$1*MAX(CM480,0)</f>
        <v>0</v>
      </c>
      <c r="CL481" s="75">
        <f>PARAM!$C$26+MAX($P$4-CHOOSE(PARAM!$B$44,MAX(0,CM480*$F$1),0),0)*RATES!$L457/12+$Q$4*(PARAM!$D$51/12)*RATES!$N457/100</f>
        <v>99.541666666666671</v>
      </c>
      <c r="CM481" s="16">
        <f>IF(CM480&gt;0,CM480*PARAM!$C$53,CM480)+CK481-CL481</f>
        <v>-13762.708333333318</v>
      </c>
      <c r="CO481" s="176"/>
    </row>
    <row r="482" spans="1:93" x14ac:dyDescent="0.2">
      <c r="A482" t="b">
        <f t="shared" si="322"/>
        <v>0</v>
      </c>
      <c r="B482" s="33">
        <v>455</v>
      </c>
      <c r="C482" s="15">
        <f t="shared" si="323"/>
        <v>20.081305947392778</v>
      </c>
      <c r="D482" s="75">
        <f>C482*(1-PARAM!$C$27)*$I$3+(MOD($B482,60)=PARAM!$B$56)*($B482&gt;(60-PARAM!$B$56))*HLOOKUP(($B482+PARAM!$B$56)/12,Loyalty,2)*$F$1*MAX(F481,0)</f>
        <v>16.808053077967756</v>
      </c>
      <c r="E482" s="75">
        <f>PARAM!$C$26+MAX($G$3-CHOOSE(PARAM!$B$44,MAX(0,F481*$F$1),0),0)*RATES!$L458/12+$H$3*(PARAM!$D$51/12)*RATES!$N458/100</f>
        <v>99.541666666666671</v>
      </c>
      <c r="F482" s="16">
        <f t="shared" si="324"/>
        <v>-6371.011040928408</v>
      </c>
      <c r="G482" s="15">
        <f t="shared" si="325"/>
        <v>22.035289406060361</v>
      </c>
      <c r="H482" s="75">
        <f>G482*(1-PARAM!$C$27)*$I$4+(MOD($B482,60)=PARAM!$B$56)*($B482&gt;(60-PARAM!$B$56))*HLOOKUP(($B482+PARAM!$B$56)/12,Loyalty,2)*$F$1*MAX(J481,0)</f>
        <v>18.443537232872522</v>
      </c>
      <c r="I482" s="75">
        <f>PARAM!$C$26+MAX($G$4-CHOOSE(PARAM!$B$44,MAX(0,J481*$F$1),0),0)*RATES!$L458/12+$H$4*(PARAM!$D$51/12)*RATES!$N458/100</f>
        <v>99.541666666666671</v>
      </c>
      <c r="J482" s="16">
        <f t="shared" si="326"/>
        <v>-5593.0327863250204</v>
      </c>
      <c r="K482" s="15">
        <f t="shared" si="327"/>
        <v>22.170849845882874</v>
      </c>
      <c r="L482" s="75">
        <f>K482*(1-PARAM!$C$27)*$I$5+(MOD($B482,60)=PARAM!$B$56)*($B482&gt;(60-PARAM!$B$56))*HLOOKUP(($B482+PARAM!$B$56)/12,Loyalty,2)*$F$1*MAX(N481,0)</f>
        <v>18.557001321003963</v>
      </c>
      <c r="M482" s="75">
        <f>PARAM!$C$26+MAX($G$5-CHOOSE(PARAM!$B$44,MAX(0,N481*$F$1),0),0)*RATES!$L458/12+$H$5*(PARAM!$D$51/12)*RATES!$N458/100</f>
        <v>99.541666666666671</v>
      </c>
      <c r="N482" s="16">
        <f t="shared" si="328"/>
        <v>-5538.3890898254294</v>
      </c>
      <c r="O482" s="15">
        <f t="shared" si="329"/>
        <v>22.170849845882874</v>
      </c>
      <c r="P482" s="75">
        <f>O482*(1-PARAM!$C$27)*$I$6+(MOD($B482,60)=PARAM!$B$56)*($B482&gt;(60-PARAM!$B$56))*HLOOKUP(($B482+PARAM!$B$56)/12,Loyalty,2)*$F$1*MAX(R481,0)</f>
        <v>18.557001321003963</v>
      </c>
      <c r="Q482" s="75">
        <f>PARAM!$C$26+MAX($G$6-CHOOSE(PARAM!$B$44,MAX(0,R481*$F$1),0),0)*RATES!$L458/12+$H$6*(PARAM!$D$51/12)*RATES!$N458/100</f>
        <v>99.541666666666671</v>
      </c>
      <c r="R482" s="16">
        <f t="shared" si="330"/>
        <v>-5538.3890898254294</v>
      </c>
      <c r="S482" s="15">
        <f t="shared" si="305"/>
        <v>22.170849845882874</v>
      </c>
      <c r="T482" s="75">
        <f>S482*(1-PARAM!$C$27)*$I$7+(MOD($B482,60)=PARAM!$B$56)*($B482&gt;(60-PARAM!$B$56))*HLOOKUP(($B482+PARAM!$B$56)/12,Loyalty,2)*$F$1*MAX(V481,0)</f>
        <v>18.557001321003963</v>
      </c>
      <c r="U482" s="75">
        <f>PARAM!$C$26+MAX($G$7-CHOOSE(PARAM!$B$44,MAX(0,V481*$F$1),0),0)*RATES!$L458/12+$H$7*(PARAM!$D$51/12)*RATES!$N458/100</f>
        <v>99.541666666666671</v>
      </c>
      <c r="V482" s="16">
        <f t="shared" si="331"/>
        <v>-5538.3890898254294</v>
      </c>
      <c r="W482" s="15">
        <f t="shared" si="306"/>
        <v>22.170849845882874</v>
      </c>
      <c r="X482" s="75">
        <f>W482*(1-PARAM!$C$27)*$I$8+(MOD($B482,60)=PARAM!$B$56)*($B482&gt;(60-PARAM!$B$56))*HLOOKUP(($B482+PARAM!$B$56)/12,Loyalty,2)*$F$1*MAX(Z481,0)</f>
        <v>18.557001321003963</v>
      </c>
      <c r="Y482" s="75">
        <f>PARAM!$C$26+MAX($G$8-CHOOSE(PARAM!$B$44,MAX(0,Z481*$F$1),0),0)*RATES!$L458/12+$H$8*(PARAM!$D$51/12)*RATES!$N458/100</f>
        <v>99.541666666666671</v>
      </c>
      <c r="Z482" s="16">
        <f t="shared" si="332"/>
        <v>-5538.3890898254294</v>
      </c>
      <c r="AA482" s="15">
        <f t="shared" si="307"/>
        <v>22.170849845882874</v>
      </c>
      <c r="AB482" s="75">
        <f>AA482*(1-PARAM!$C$27)*$I$9+(MOD($B482,60)=PARAM!$B$56)*($B482&gt;(60-PARAM!$B$56))*HLOOKUP(($B482+PARAM!$B$56)/12,Loyalty,2)*$F$1*MAX(AD481,0)</f>
        <v>18.557001321003963</v>
      </c>
      <c r="AC482" s="75">
        <f>PARAM!$C$26+MAX($G$9-CHOOSE(PARAM!$B$44,MAX(0,AD481*$F$1),0),0)*RATES!$L458/12+$H$9*(PARAM!$D$51/12)*RATES!$N458/100</f>
        <v>99.541666666666671</v>
      </c>
      <c r="AD482" s="16">
        <f t="shared" si="333"/>
        <v>-5538.3890898254294</v>
      </c>
      <c r="AE482" s="15">
        <f t="shared" si="308"/>
        <v>22.170849845882874</v>
      </c>
      <c r="AF482" s="75">
        <f>AE482*(1-PARAM!$C$27)*$I$10+(MOD($B482,60)=PARAM!$B$56)*($B482&gt;(60-PARAM!$B$56))*HLOOKUP(($B482+PARAM!$B$56)/12,Loyalty,2)*$F$1*MAX(AH481,0)</f>
        <v>18.557001321003963</v>
      </c>
      <c r="AG482" s="75">
        <f>PARAM!$C$26+MAX($G$10-CHOOSE(PARAM!$B$44,MAX(0,AH481*$F$1),0),0)*RATES!$L458/12+$H$10*(PARAM!$D$51/12)*RATES!$N458/100</f>
        <v>99.541666666666671</v>
      </c>
      <c r="AH482" s="16">
        <f t="shared" si="334"/>
        <v>-5538.3890898254294</v>
      </c>
      <c r="AI482" s="15">
        <f t="shared" si="309"/>
        <v>22.170849845882874</v>
      </c>
      <c r="AJ482" s="75">
        <f>AI482*(1-PARAM!$C$27)*$I$11+(MOD($B482,60)=PARAM!$B$56)*($B482&gt;(60-PARAM!$B$56))*HLOOKUP(($B482+PARAM!$B$56)/12,Loyalty,2)*$F$1*MAX(AL481,0)</f>
        <v>18.557001321003963</v>
      </c>
      <c r="AK482" s="75">
        <f>PARAM!$C$26+MAX($G$11-CHOOSE(PARAM!$B$44,MAX(0,AL481*$F$1),0),0)*RATES!$L458/12+$H$11*(PARAM!$D$51/12)*RATES!$N458/100</f>
        <v>99.541666666666671</v>
      </c>
      <c r="AL482" s="16">
        <f t="shared" si="335"/>
        <v>-5538.3890898254294</v>
      </c>
      <c r="AM482" s="15">
        <f t="shared" si="310"/>
        <v>22.170849845882874</v>
      </c>
      <c r="AN482" s="75">
        <f>AM482*(1-PARAM!$C$27)*$I$12+(MOD($B482,60)=PARAM!$B$56)*($B482&gt;(60-PARAM!$B$56))*HLOOKUP(($B482+PARAM!$B$56)/12,Loyalty,2)*$F$1*MAX(AP481,0)</f>
        <v>18.557001321003963</v>
      </c>
      <c r="AO482" s="75">
        <f>PARAM!$C$26+MAX($G$12-CHOOSE(PARAM!$B$44,MAX(0,AP481*$F$1),0),0)*RATES!$L458/12+$H$12*(PARAM!$D$51/12)*RATES!$N458/100</f>
        <v>99.541666666666671</v>
      </c>
      <c r="AP482" s="16">
        <f t="shared" si="336"/>
        <v>-5538.3890898254294</v>
      </c>
      <c r="AQ482" s="15">
        <f t="shared" si="311"/>
        <v>22.170849845882874</v>
      </c>
      <c r="AR482" s="75">
        <f>AQ482*(1-PARAM!$C$27)*$I$13+(MOD($B482,60)=PARAM!$B$56)*($B482&gt;(60-PARAM!$B$56))*HLOOKUP(($B482+PARAM!$B$56)/12,Loyalty,2)*$F$1*MAX(AT481,0)</f>
        <v>18.557001321003963</v>
      </c>
      <c r="AS482" s="75">
        <f>PARAM!$C$26+MAX($G$13-CHOOSE(PARAM!$B$44,MAX(0,AT481*$F$1),0),0)*RATES!$L458/12+$H$13*(PARAM!$D$51/12)*RATES!$N458/100</f>
        <v>99.541666666666671</v>
      </c>
      <c r="AT482" s="16">
        <f t="shared" si="337"/>
        <v>-5538.3890898254294</v>
      </c>
      <c r="AU482" s="15">
        <f t="shared" si="312"/>
        <v>22.170849845882874</v>
      </c>
      <c r="AV482" s="75">
        <f>AU482*(1-PARAM!$C$27)*$I$14+(MOD($B482,60)=PARAM!$B$56)*($B482&gt;(60-PARAM!$B$56))*HLOOKUP(($B482+PARAM!$B$56)/12,Loyalty,2)*$F$1*MAX(AX481,0)</f>
        <v>18.557001321003963</v>
      </c>
      <c r="AW482" s="75">
        <f>PARAM!$C$26+MAX($G$14-CHOOSE(PARAM!$B$44,MAX(0,AX481*$F$1),0),0)*RATES!$L458/12+$H$14*(PARAM!$D$51/12)*RATES!$N458/100</f>
        <v>99.541666666666671</v>
      </c>
      <c r="AX482" s="16">
        <f t="shared" si="338"/>
        <v>-5538.3890898254294</v>
      </c>
      <c r="AY482" s="15">
        <f t="shared" si="313"/>
        <v>22.170849845882874</v>
      </c>
      <c r="AZ482" s="75">
        <f>AY482*(1-PARAM!$C$27)*$I$15+(MOD($B482,60)=PARAM!$B$56)*($B482&gt;(60-PARAM!$B$56))*HLOOKUP(($B482+PARAM!$B$56)/12,Loyalty,2)*$F$1*MAX(BB481,0)</f>
        <v>18.557001321003963</v>
      </c>
      <c r="BA482" s="75">
        <f>PARAM!$C$26+MAX($G$15-CHOOSE(PARAM!$B$44,MAX(0,BB481*$F$1),0),0)*RATES!$L458/12+$H$15*(PARAM!$D$51/12)*RATES!$N458/100</f>
        <v>99.541666666666671</v>
      </c>
      <c r="BB482" s="16">
        <f t="shared" si="339"/>
        <v>-5538.3890898254294</v>
      </c>
      <c r="BC482" s="15">
        <f t="shared" si="314"/>
        <v>22.170849845882874</v>
      </c>
      <c r="BD482" s="75">
        <f>BC482*(1-PARAM!$C$27)*$I$16+(MOD($B482,60)=PARAM!$B$56)*($B482&gt;(60-PARAM!$B$56))*HLOOKUP(($B482+PARAM!$B$56)/12,Loyalty,2)*$F$1*MAX(BF481,0)</f>
        <v>18.557001321003963</v>
      </c>
      <c r="BE482" s="75">
        <f>PARAM!$C$26+MAX($G$16-CHOOSE(PARAM!$B$44,MAX(0,BF481*$F$1),0),0)*RATES!$L458/12+$H$16*(PARAM!$D$51/12)*RATES!$N458/100</f>
        <v>99.541666666666671</v>
      </c>
      <c r="BF482" s="16">
        <f t="shared" si="340"/>
        <v>-5538.3890898254294</v>
      </c>
      <c r="BG482" s="15">
        <f t="shared" si="315"/>
        <v>22.170849845882874</v>
      </c>
      <c r="BH482" s="75">
        <f>BG482*(1-PARAM!$C$27)*$I$17+(MOD($B482,60)=PARAM!$B$56)*($B482&gt;(60-PARAM!$B$56))*HLOOKUP(($B482+PARAM!$B$56)/12,Loyalty,2)*$F$1*MAX(BJ481,0)</f>
        <v>18.557001321003963</v>
      </c>
      <c r="BI482" s="75">
        <f>PARAM!$C$26+MAX($G$17-CHOOSE(PARAM!$B$44,MAX(0,BJ481*$F$1),0),0)*RATES!$L458/12+$H$17*(PARAM!$D$51/12)*RATES!$N458/100</f>
        <v>99.541666666666671</v>
      </c>
      <c r="BJ482" s="16">
        <f t="shared" si="341"/>
        <v>-5538.3890898254294</v>
      </c>
      <c r="BK482" s="15">
        <f t="shared" si="316"/>
        <v>22.170849845882874</v>
      </c>
      <c r="BL482" s="75">
        <f>BK482*(1-PARAM!$C$27)*$I$18+(MOD($B482,60)=PARAM!$B$56)*($B482&gt;(60-PARAM!$B$56))*HLOOKUP(($B482+PARAM!$B$56)/12,Loyalty,2)*$F$1*MAX(BN481,0)</f>
        <v>18.557001321003963</v>
      </c>
      <c r="BM482" s="75">
        <f>PARAM!$C$26+MAX($G$18-CHOOSE(PARAM!$B$44,MAX(0,BN481*$F$1),0),0)*RATES!$L458/12+$H$18*(PARAM!$D$51/12)*RATES!$N458/100</f>
        <v>99.541666666666671</v>
      </c>
      <c r="BN482" s="16">
        <f t="shared" si="342"/>
        <v>-5538.3890898254294</v>
      </c>
      <c r="BO482" s="15">
        <f t="shared" si="317"/>
        <v>22.170849845882874</v>
      </c>
      <c r="BP482" s="75">
        <f>BO482*(1-PARAM!$C$27)*$I$19+(MOD($B482,60)=PARAM!$B$56)*($B482&gt;(60-PARAM!$B$56))*HLOOKUP(($B482+PARAM!$B$56)/12,Loyalty,2)*$F$1*MAX(BR481,0)</f>
        <v>18.557001321003963</v>
      </c>
      <c r="BQ482" s="75">
        <f>PARAM!$C$26+MAX($G$19-CHOOSE(PARAM!$B$44,MAX(0,BR481*$F$1),0),0)*RATES!$L458/12+$H$19*(PARAM!$D$51/12)*RATES!$N458/100</f>
        <v>99.541666666666671</v>
      </c>
      <c r="BR482" s="16">
        <f t="shared" si="343"/>
        <v>-5538.3890898254294</v>
      </c>
      <c r="BS482" s="15">
        <f t="shared" si="318"/>
        <v>22.170849845882874</v>
      </c>
      <c r="BT482" s="75">
        <f>BS482*(1-PARAM!$C$27)*$I$20+(MOD($B482,60)=PARAM!$B$56)*($B482&gt;(60-PARAM!$B$56))*HLOOKUP(($B482+PARAM!$B$56)/12,Loyalty,2)*$F$1*MAX(BV481,0)</f>
        <v>18.557001321003963</v>
      </c>
      <c r="BU482" s="75">
        <f>PARAM!$C$26+MAX($G$20-CHOOSE(PARAM!$B$44,MAX(0,BV481*$F$1),0),0)*RATES!$L458/12+$H$20*(PARAM!$D$51/12)*RATES!$N458/100</f>
        <v>99.541666666666671</v>
      </c>
      <c r="BV482" s="16">
        <f t="shared" si="344"/>
        <v>-5538.3890898254294</v>
      </c>
      <c r="BW482" s="15">
        <f t="shared" si="319"/>
        <v>22.170849845882874</v>
      </c>
      <c r="BX482" s="75">
        <f>BW482*(1-PARAM!$C$27)*$I$21+(MOD($B482,60)=PARAM!$B$56)*($B482&gt;(60-PARAM!$B$56))*HLOOKUP(($B482+PARAM!$B$56)/12,Loyalty,2)*$F$1*MAX(BZ481,0)</f>
        <v>18.557001321003963</v>
      </c>
      <c r="BY482" s="75">
        <f>PARAM!$C$26+MAX($G$21-CHOOSE(PARAM!$B$44,MAX(0,BZ481*$F$1),0),0)*RATES!$L458/12+$H$21*(PARAM!$D$51/12)*RATES!$N458/100</f>
        <v>99.541666666666671</v>
      </c>
      <c r="BZ482" s="16">
        <f t="shared" si="345"/>
        <v>-5538.3890898254294</v>
      </c>
      <c r="CA482" s="15">
        <f t="shared" si="320"/>
        <v>22.170849845882874</v>
      </c>
      <c r="CB482" s="75">
        <f>CA482*(1-PARAM!$C$27)*$I$22+(MOD($B482,60)=PARAM!$B$56)*($B482&gt;(60-PARAM!$B$56))*HLOOKUP(($B482+PARAM!$B$56)/12,Loyalty,2)*$F$1*MAX(CD481,0)</f>
        <v>18.557001321003963</v>
      </c>
      <c r="CC482" s="75">
        <f>PARAM!$C$26+MAX($G$22-CHOOSE(PARAM!$B$44,MAX(0,CD481*$F$1),0),0)*RATES!$L458/12+$H$22*(PARAM!$D$51/12)*RATES!$N458/100</f>
        <v>99.541666666666671</v>
      </c>
      <c r="CD482" s="16">
        <f t="shared" si="346"/>
        <v>-5538.3890898254294</v>
      </c>
      <c r="CE482" s="33">
        <f>IF(0=MOD(B482,12/PARAM!$D$51),1,0)</f>
        <v>1</v>
      </c>
      <c r="CF482" s="15">
        <f t="shared" si="321"/>
        <v>0</v>
      </c>
      <c r="CG482" s="75">
        <f>CF482*(1-PARAM!$C$27)*$R$3+(MOD($B482/12,5)=0)*($B482&gt;60)*HLOOKUP($B482/12,Loyalty,2)*$F$1*MAX(CI481,0)</f>
        <v>0</v>
      </c>
      <c r="CH482" s="75">
        <f>PARAM!$C$26+MAX($P$3-CHOOSE(PARAM!$B$44,MAX(0,CI481*$F$1),0),0)*RATES!$L458/12+$Q$3*(PARAM!$D$51/12)*RATES!$N458/100</f>
        <v>99.541666666666671</v>
      </c>
      <c r="CI482" s="16">
        <f>IF(CI481&gt;0,CI481*PARAM!$C$53,CI481)+CG482-CH482</f>
        <v>-13862.249999999984</v>
      </c>
      <c r="CJ482" s="15">
        <f t="shared" si="347"/>
        <v>0</v>
      </c>
      <c r="CK482" s="75">
        <f>CJ482*(1-PARAM!$C$27)*$R$4+(MOD($B482/12,5)=0)*($B482&gt;60)*HLOOKUP($B482/12,Loyalty,2)*$F$1*MAX(CM481,0)</f>
        <v>0</v>
      </c>
      <c r="CL482" s="75">
        <f>PARAM!$C$26+MAX($P$4-CHOOSE(PARAM!$B$44,MAX(0,CM481*$F$1),0),0)*RATES!$L458/12+$Q$4*(PARAM!$D$51/12)*RATES!$N458/100</f>
        <v>99.541666666666671</v>
      </c>
      <c r="CM482" s="16">
        <f>IF(CM481&gt;0,CM481*PARAM!$C$53,CM481)+CK482-CL482</f>
        <v>-13862.249999999984</v>
      </c>
      <c r="CO482" s="176"/>
    </row>
    <row r="483" spans="1:93" x14ac:dyDescent="0.2">
      <c r="A483" t="b">
        <f t="shared" si="322"/>
        <v>0</v>
      </c>
      <c r="B483" s="33">
        <v>456</v>
      </c>
      <c r="C483" s="15">
        <f t="shared" si="323"/>
        <v>20.081305947392778</v>
      </c>
      <c r="D483" s="75">
        <f>C483*(1-PARAM!$C$27)*$I$3+(MOD($B483,60)=PARAM!$B$56)*($B483&gt;(60-PARAM!$B$56))*HLOOKUP(($B483+PARAM!$B$56)/12,Loyalty,2)*$F$1*MAX(F482,0)</f>
        <v>16.808053077967756</v>
      </c>
      <c r="E483" s="75">
        <f>PARAM!$C$26+MAX($G$3-CHOOSE(PARAM!$B$44,MAX(0,F482*$F$1),0),0)*RATES!$L459/12+$H$3*(PARAM!$D$51/12)*RATES!$N459/100</f>
        <v>99.541666666666671</v>
      </c>
      <c r="F483" s="16">
        <f t="shared" si="324"/>
        <v>-6453.7446545171069</v>
      </c>
      <c r="G483" s="15">
        <f t="shared" si="325"/>
        <v>22.035289406060361</v>
      </c>
      <c r="H483" s="75">
        <f>G483*(1-PARAM!$C$27)*$I$4+(MOD($B483,60)=PARAM!$B$56)*($B483&gt;(60-PARAM!$B$56))*HLOOKUP(($B483+PARAM!$B$56)/12,Loyalty,2)*$F$1*MAX(J482,0)</f>
        <v>18.443537232872522</v>
      </c>
      <c r="I483" s="75">
        <f>PARAM!$C$26+MAX($G$4-CHOOSE(PARAM!$B$44,MAX(0,J482*$F$1),0),0)*RATES!$L459/12+$H$4*(PARAM!$D$51/12)*RATES!$N459/100</f>
        <v>99.541666666666671</v>
      </c>
      <c r="J483" s="16">
        <f t="shared" si="326"/>
        <v>-5674.1309157588148</v>
      </c>
      <c r="K483" s="15">
        <f t="shared" si="327"/>
        <v>22.170849845882874</v>
      </c>
      <c r="L483" s="75">
        <f>K483*(1-PARAM!$C$27)*$I$5+(MOD($B483,60)=PARAM!$B$56)*($B483&gt;(60-PARAM!$B$56))*HLOOKUP(($B483+PARAM!$B$56)/12,Loyalty,2)*$F$1*MAX(N482,0)</f>
        <v>18.557001321003963</v>
      </c>
      <c r="M483" s="75">
        <f>PARAM!$C$26+MAX($G$5-CHOOSE(PARAM!$B$44,MAX(0,N482*$F$1),0),0)*RATES!$L459/12+$H$5*(PARAM!$D$51/12)*RATES!$N459/100</f>
        <v>99.541666666666671</v>
      </c>
      <c r="N483" s="16">
        <f t="shared" si="328"/>
        <v>-5619.3737551710929</v>
      </c>
      <c r="O483" s="15">
        <f t="shared" si="329"/>
        <v>22.170849845882874</v>
      </c>
      <c r="P483" s="75">
        <f>O483*(1-PARAM!$C$27)*$I$6+(MOD($B483,60)=PARAM!$B$56)*($B483&gt;(60-PARAM!$B$56))*HLOOKUP(($B483+PARAM!$B$56)/12,Loyalty,2)*$F$1*MAX(R482,0)</f>
        <v>18.557001321003963</v>
      </c>
      <c r="Q483" s="75">
        <f>PARAM!$C$26+MAX($G$6-CHOOSE(PARAM!$B$44,MAX(0,R482*$F$1),0),0)*RATES!$L459/12+$H$6*(PARAM!$D$51/12)*RATES!$N459/100</f>
        <v>99.541666666666671</v>
      </c>
      <c r="R483" s="16">
        <f t="shared" si="330"/>
        <v>-5619.3737551710929</v>
      </c>
      <c r="S483" s="15">
        <f t="shared" si="305"/>
        <v>22.170849845882874</v>
      </c>
      <c r="T483" s="75">
        <f>S483*(1-PARAM!$C$27)*$I$7+(MOD($B483,60)=PARAM!$B$56)*($B483&gt;(60-PARAM!$B$56))*HLOOKUP(($B483+PARAM!$B$56)/12,Loyalty,2)*$F$1*MAX(V482,0)</f>
        <v>18.557001321003963</v>
      </c>
      <c r="U483" s="75">
        <f>PARAM!$C$26+MAX($G$7-CHOOSE(PARAM!$B$44,MAX(0,V482*$F$1),0),0)*RATES!$L459/12+$H$7*(PARAM!$D$51/12)*RATES!$N459/100</f>
        <v>99.541666666666671</v>
      </c>
      <c r="V483" s="16">
        <f t="shared" si="331"/>
        <v>-5619.3737551710929</v>
      </c>
      <c r="W483" s="15">
        <f t="shared" si="306"/>
        <v>22.170849845882874</v>
      </c>
      <c r="X483" s="75">
        <f>W483*(1-PARAM!$C$27)*$I$8+(MOD($B483,60)=PARAM!$B$56)*($B483&gt;(60-PARAM!$B$56))*HLOOKUP(($B483+PARAM!$B$56)/12,Loyalty,2)*$F$1*MAX(Z482,0)</f>
        <v>18.557001321003963</v>
      </c>
      <c r="Y483" s="75">
        <f>PARAM!$C$26+MAX($G$8-CHOOSE(PARAM!$B$44,MAX(0,Z482*$F$1),0),0)*RATES!$L459/12+$H$8*(PARAM!$D$51/12)*RATES!$N459/100</f>
        <v>99.541666666666671</v>
      </c>
      <c r="Z483" s="16">
        <f t="shared" si="332"/>
        <v>-5619.3737551710929</v>
      </c>
      <c r="AA483" s="15">
        <f t="shared" si="307"/>
        <v>22.170849845882874</v>
      </c>
      <c r="AB483" s="75">
        <f>AA483*(1-PARAM!$C$27)*$I$9+(MOD($B483,60)=PARAM!$B$56)*($B483&gt;(60-PARAM!$B$56))*HLOOKUP(($B483+PARAM!$B$56)/12,Loyalty,2)*$F$1*MAX(AD482,0)</f>
        <v>18.557001321003963</v>
      </c>
      <c r="AC483" s="75">
        <f>PARAM!$C$26+MAX($G$9-CHOOSE(PARAM!$B$44,MAX(0,AD482*$F$1),0),0)*RATES!$L459/12+$H$9*(PARAM!$D$51/12)*RATES!$N459/100</f>
        <v>99.541666666666671</v>
      </c>
      <c r="AD483" s="16">
        <f t="shared" si="333"/>
        <v>-5619.3737551710929</v>
      </c>
      <c r="AE483" s="15">
        <f t="shared" si="308"/>
        <v>22.170849845882874</v>
      </c>
      <c r="AF483" s="75">
        <f>AE483*(1-PARAM!$C$27)*$I$10+(MOD($B483,60)=PARAM!$B$56)*($B483&gt;(60-PARAM!$B$56))*HLOOKUP(($B483+PARAM!$B$56)/12,Loyalty,2)*$F$1*MAX(AH482,0)</f>
        <v>18.557001321003963</v>
      </c>
      <c r="AG483" s="75">
        <f>PARAM!$C$26+MAX($G$10-CHOOSE(PARAM!$B$44,MAX(0,AH482*$F$1),0),0)*RATES!$L459/12+$H$10*(PARAM!$D$51/12)*RATES!$N459/100</f>
        <v>99.541666666666671</v>
      </c>
      <c r="AH483" s="16">
        <f t="shared" si="334"/>
        <v>-5619.3737551710929</v>
      </c>
      <c r="AI483" s="15">
        <f t="shared" si="309"/>
        <v>22.170849845882874</v>
      </c>
      <c r="AJ483" s="75">
        <f>AI483*(1-PARAM!$C$27)*$I$11+(MOD($B483,60)=PARAM!$B$56)*($B483&gt;(60-PARAM!$B$56))*HLOOKUP(($B483+PARAM!$B$56)/12,Loyalty,2)*$F$1*MAX(AL482,0)</f>
        <v>18.557001321003963</v>
      </c>
      <c r="AK483" s="75">
        <f>PARAM!$C$26+MAX($G$11-CHOOSE(PARAM!$B$44,MAX(0,AL482*$F$1),0),0)*RATES!$L459/12+$H$11*(PARAM!$D$51/12)*RATES!$N459/100</f>
        <v>99.541666666666671</v>
      </c>
      <c r="AL483" s="16">
        <f t="shared" si="335"/>
        <v>-5619.3737551710929</v>
      </c>
      <c r="AM483" s="15">
        <f t="shared" si="310"/>
        <v>22.170849845882874</v>
      </c>
      <c r="AN483" s="75">
        <f>AM483*(1-PARAM!$C$27)*$I$12+(MOD($B483,60)=PARAM!$B$56)*($B483&gt;(60-PARAM!$B$56))*HLOOKUP(($B483+PARAM!$B$56)/12,Loyalty,2)*$F$1*MAX(AP482,0)</f>
        <v>18.557001321003963</v>
      </c>
      <c r="AO483" s="75">
        <f>PARAM!$C$26+MAX($G$12-CHOOSE(PARAM!$B$44,MAX(0,AP482*$F$1),0),0)*RATES!$L459/12+$H$12*(PARAM!$D$51/12)*RATES!$N459/100</f>
        <v>99.541666666666671</v>
      </c>
      <c r="AP483" s="16">
        <f t="shared" si="336"/>
        <v>-5619.3737551710929</v>
      </c>
      <c r="AQ483" s="15">
        <f t="shared" si="311"/>
        <v>22.170849845882874</v>
      </c>
      <c r="AR483" s="75">
        <f>AQ483*(1-PARAM!$C$27)*$I$13+(MOD($B483,60)=PARAM!$B$56)*($B483&gt;(60-PARAM!$B$56))*HLOOKUP(($B483+PARAM!$B$56)/12,Loyalty,2)*$F$1*MAX(AT482,0)</f>
        <v>18.557001321003963</v>
      </c>
      <c r="AS483" s="75">
        <f>PARAM!$C$26+MAX($G$13-CHOOSE(PARAM!$B$44,MAX(0,AT482*$F$1),0),0)*RATES!$L459/12+$H$13*(PARAM!$D$51/12)*RATES!$N459/100</f>
        <v>99.541666666666671</v>
      </c>
      <c r="AT483" s="16">
        <f t="shared" si="337"/>
        <v>-5619.3737551710929</v>
      </c>
      <c r="AU483" s="15">
        <f t="shared" si="312"/>
        <v>22.170849845882874</v>
      </c>
      <c r="AV483" s="75">
        <f>AU483*(1-PARAM!$C$27)*$I$14+(MOD($B483,60)=PARAM!$B$56)*($B483&gt;(60-PARAM!$B$56))*HLOOKUP(($B483+PARAM!$B$56)/12,Loyalty,2)*$F$1*MAX(AX482,0)</f>
        <v>18.557001321003963</v>
      </c>
      <c r="AW483" s="75">
        <f>PARAM!$C$26+MAX($G$14-CHOOSE(PARAM!$B$44,MAX(0,AX482*$F$1),0),0)*RATES!$L459/12+$H$14*(PARAM!$D$51/12)*RATES!$N459/100</f>
        <v>99.541666666666671</v>
      </c>
      <c r="AX483" s="16">
        <f t="shared" si="338"/>
        <v>-5619.3737551710929</v>
      </c>
      <c r="AY483" s="15">
        <f t="shared" si="313"/>
        <v>22.170849845882874</v>
      </c>
      <c r="AZ483" s="75">
        <f>AY483*(1-PARAM!$C$27)*$I$15+(MOD($B483,60)=PARAM!$B$56)*($B483&gt;(60-PARAM!$B$56))*HLOOKUP(($B483+PARAM!$B$56)/12,Loyalty,2)*$F$1*MAX(BB482,0)</f>
        <v>18.557001321003963</v>
      </c>
      <c r="BA483" s="75">
        <f>PARAM!$C$26+MAX($G$15-CHOOSE(PARAM!$B$44,MAX(0,BB482*$F$1),0),0)*RATES!$L459/12+$H$15*(PARAM!$D$51/12)*RATES!$N459/100</f>
        <v>99.541666666666671</v>
      </c>
      <c r="BB483" s="16">
        <f t="shared" si="339"/>
        <v>-5619.3737551710929</v>
      </c>
      <c r="BC483" s="15">
        <f t="shared" si="314"/>
        <v>22.170849845882874</v>
      </c>
      <c r="BD483" s="75">
        <f>BC483*(1-PARAM!$C$27)*$I$16+(MOD($B483,60)=PARAM!$B$56)*($B483&gt;(60-PARAM!$B$56))*HLOOKUP(($B483+PARAM!$B$56)/12,Loyalty,2)*$F$1*MAX(BF482,0)</f>
        <v>18.557001321003963</v>
      </c>
      <c r="BE483" s="75">
        <f>PARAM!$C$26+MAX($G$16-CHOOSE(PARAM!$B$44,MAX(0,BF482*$F$1),0),0)*RATES!$L459/12+$H$16*(PARAM!$D$51/12)*RATES!$N459/100</f>
        <v>99.541666666666671</v>
      </c>
      <c r="BF483" s="16">
        <f t="shared" si="340"/>
        <v>-5619.3737551710929</v>
      </c>
      <c r="BG483" s="15">
        <f t="shared" si="315"/>
        <v>22.170849845882874</v>
      </c>
      <c r="BH483" s="75">
        <f>BG483*(1-PARAM!$C$27)*$I$17+(MOD($B483,60)=PARAM!$B$56)*($B483&gt;(60-PARAM!$B$56))*HLOOKUP(($B483+PARAM!$B$56)/12,Loyalty,2)*$F$1*MAX(BJ482,0)</f>
        <v>18.557001321003963</v>
      </c>
      <c r="BI483" s="75">
        <f>PARAM!$C$26+MAX($G$17-CHOOSE(PARAM!$B$44,MAX(0,BJ482*$F$1),0),0)*RATES!$L459/12+$H$17*(PARAM!$D$51/12)*RATES!$N459/100</f>
        <v>99.541666666666671</v>
      </c>
      <c r="BJ483" s="16">
        <f t="shared" si="341"/>
        <v>-5619.3737551710929</v>
      </c>
      <c r="BK483" s="15">
        <f t="shared" si="316"/>
        <v>22.170849845882874</v>
      </c>
      <c r="BL483" s="75">
        <f>BK483*(1-PARAM!$C$27)*$I$18+(MOD($B483,60)=PARAM!$B$56)*($B483&gt;(60-PARAM!$B$56))*HLOOKUP(($B483+PARAM!$B$56)/12,Loyalty,2)*$F$1*MAX(BN482,0)</f>
        <v>18.557001321003963</v>
      </c>
      <c r="BM483" s="75">
        <f>PARAM!$C$26+MAX($G$18-CHOOSE(PARAM!$B$44,MAX(0,BN482*$F$1),0),0)*RATES!$L459/12+$H$18*(PARAM!$D$51/12)*RATES!$N459/100</f>
        <v>99.541666666666671</v>
      </c>
      <c r="BN483" s="16">
        <f t="shared" si="342"/>
        <v>-5619.3737551710929</v>
      </c>
      <c r="BO483" s="15">
        <f t="shared" si="317"/>
        <v>22.170849845882874</v>
      </c>
      <c r="BP483" s="75">
        <f>BO483*(1-PARAM!$C$27)*$I$19+(MOD($B483,60)=PARAM!$B$56)*($B483&gt;(60-PARAM!$B$56))*HLOOKUP(($B483+PARAM!$B$56)/12,Loyalty,2)*$F$1*MAX(BR482,0)</f>
        <v>18.557001321003963</v>
      </c>
      <c r="BQ483" s="75">
        <f>PARAM!$C$26+MAX($G$19-CHOOSE(PARAM!$B$44,MAX(0,BR482*$F$1),0),0)*RATES!$L459/12+$H$19*(PARAM!$D$51/12)*RATES!$N459/100</f>
        <v>99.541666666666671</v>
      </c>
      <c r="BR483" s="16">
        <f t="shared" si="343"/>
        <v>-5619.3737551710929</v>
      </c>
      <c r="BS483" s="15">
        <f t="shared" si="318"/>
        <v>22.170849845882874</v>
      </c>
      <c r="BT483" s="75">
        <f>BS483*(1-PARAM!$C$27)*$I$20+(MOD($B483,60)=PARAM!$B$56)*($B483&gt;(60-PARAM!$B$56))*HLOOKUP(($B483+PARAM!$B$56)/12,Loyalty,2)*$F$1*MAX(BV482,0)</f>
        <v>18.557001321003963</v>
      </c>
      <c r="BU483" s="75">
        <f>PARAM!$C$26+MAX($G$20-CHOOSE(PARAM!$B$44,MAX(0,BV482*$F$1),0),0)*RATES!$L459/12+$H$20*(PARAM!$D$51/12)*RATES!$N459/100</f>
        <v>99.541666666666671</v>
      </c>
      <c r="BV483" s="16">
        <f t="shared" si="344"/>
        <v>-5619.3737551710929</v>
      </c>
      <c r="BW483" s="15">
        <f t="shared" si="319"/>
        <v>22.170849845882874</v>
      </c>
      <c r="BX483" s="75">
        <f>BW483*(1-PARAM!$C$27)*$I$21+(MOD($B483,60)=PARAM!$B$56)*($B483&gt;(60-PARAM!$B$56))*HLOOKUP(($B483+PARAM!$B$56)/12,Loyalty,2)*$F$1*MAX(BZ482,0)</f>
        <v>18.557001321003963</v>
      </c>
      <c r="BY483" s="75">
        <f>PARAM!$C$26+MAX($G$21-CHOOSE(PARAM!$B$44,MAX(0,BZ482*$F$1),0),0)*RATES!$L459/12+$H$21*(PARAM!$D$51/12)*RATES!$N459/100</f>
        <v>99.541666666666671</v>
      </c>
      <c r="BZ483" s="16">
        <f t="shared" si="345"/>
        <v>-5619.3737551710929</v>
      </c>
      <c r="CA483" s="15">
        <f t="shared" si="320"/>
        <v>22.170849845882874</v>
      </c>
      <c r="CB483" s="75">
        <f>CA483*(1-PARAM!$C$27)*$I$22+(MOD($B483,60)=PARAM!$B$56)*($B483&gt;(60-PARAM!$B$56))*HLOOKUP(($B483+PARAM!$B$56)/12,Loyalty,2)*$F$1*MAX(CD482,0)</f>
        <v>18.557001321003963</v>
      </c>
      <c r="CC483" s="75">
        <f>PARAM!$C$26+MAX($G$22-CHOOSE(PARAM!$B$44,MAX(0,CD482*$F$1),0),0)*RATES!$L459/12+$H$22*(PARAM!$D$51/12)*RATES!$N459/100</f>
        <v>99.541666666666671</v>
      </c>
      <c r="CD483" s="16">
        <f t="shared" si="346"/>
        <v>-5619.3737551710929</v>
      </c>
      <c r="CE483" s="33">
        <f>IF(0=MOD(B483,12/PARAM!$D$51),1,0)</f>
        <v>1</v>
      </c>
      <c r="CF483" s="15">
        <f t="shared" si="321"/>
        <v>0</v>
      </c>
      <c r="CG483" s="75">
        <f>CF483*(1-PARAM!$C$27)*$R$3+(MOD($B483/12,5)=0)*($B483&gt;60)*HLOOKUP($B483/12,Loyalty,2)*$F$1*MAX(CI482,0)</f>
        <v>0</v>
      </c>
      <c r="CH483" s="75">
        <f>PARAM!$C$26+MAX($P$3-CHOOSE(PARAM!$B$44,MAX(0,CI482*$F$1),0),0)*RATES!$L459/12+$Q$3*(PARAM!$D$51/12)*RATES!$N459/100</f>
        <v>99.541666666666671</v>
      </c>
      <c r="CI483" s="16">
        <f>IF(CI482&gt;0,CI482*PARAM!$C$53,CI482)+CG483-CH483</f>
        <v>-13961.79166666665</v>
      </c>
      <c r="CJ483" s="15">
        <f t="shared" si="347"/>
        <v>0</v>
      </c>
      <c r="CK483" s="75">
        <f>CJ483*(1-PARAM!$C$27)*$R$4+(MOD($B483/12,5)=0)*($B483&gt;60)*HLOOKUP($B483/12,Loyalty,2)*$F$1*MAX(CM482,0)</f>
        <v>0</v>
      </c>
      <c r="CL483" s="75">
        <f>PARAM!$C$26+MAX($P$4-CHOOSE(PARAM!$B$44,MAX(0,CM482*$F$1),0),0)*RATES!$L459/12+$Q$4*(PARAM!$D$51/12)*RATES!$N459/100</f>
        <v>99.541666666666671</v>
      </c>
      <c r="CM483" s="16">
        <f>IF(CM482&gt;0,CM482*PARAM!$C$53,CM482)+CK483-CL483</f>
        <v>-13961.79166666665</v>
      </c>
      <c r="CO483" s="176"/>
    </row>
    <row r="484" spans="1:93" x14ac:dyDescent="0.2">
      <c r="A484" t="b">
        <f t="shared" si="322"/>
        <v>0</v>
      </c>
      <c r="B484" s="33">
        <v>457</v>
      </c>
      <c r="C484" s="15">
        <f t="shared" si="323"/>
        <v>20.081305947392778</v>
      </c>
      <c r="D484" s="75">
        <f>C484*(1-PARAM!$C$27)*$I$3+(MOD($B484,60)=PARAM!$B$56)*($B484&gt;(60-PARAM!$B$56))*HLOOKUP(($B484+PARAM!$B$56)/12,Loyalty,2)*$F$1*MAX(F483,0)</f>
        <v>16.808053077967756</v>
      </c>
      <c r="E484" s="75">
        <f>PARAM!$C$26+MAX($G$3-CHOOSE(PARAM!$B$44,MAX(0,F483*$F$1),0),0)*RATES!$L460/12+$H$3*(PARAM!$D$51/12)*RATES!$N460/100</f>
        <v>99.541666666666671</v>
      </c>
      <c r="F484" s="16">
        <f t="shared" si="324"/>
        <v>-6536.4782681058059</v>
      </c>
      <c r="G484" s="15">
        <f t="shared" si="325"/>
        <v>22.035289406060361</v>
      </c>
      <c r="H484" s="75">
        <f>G484*(1-PARAM!$C$27)*$I$4+(MOD($B484,60)=PARAM!$B$56)*($B484&gt;(60-PARAM!$B$56))*HLOOKUP(($B484+PARAM!$B$56)/12,Loyalty,2)*$F$1*MAX(J483,0)</f>
        <v>18.443537232872522</v>
      </c>
      <c r="I484" s="75">
        <f>PARAM!$C$26+MAX($G$4-CHOOSE(PARAM!$B$44,MAX(0,J483*$F$1),0),0)*RATES!$L460/12+$H$4*(PARAM!$D$51/12)*RATES!$N460/100</f>
        <v>99.541666666666671</v>
      </c>
      <c r="J484" s="16">
        <f t="shared" si="326"/>
        <v>-5755.2290451926092</v>
      </c>
      <c r="K484" s="15">
        <f t="shared" si="327"/>
        <v>22.170849845882874</v>
      </c>
      <c r="L484" s="75">
        <f>K484*(1-PARAM!$C$27)*$I$5+(MOD($B484,60)=PARAM!$B$56)*($B484&gt;(60-PARAM!$B$56))*HLOOKUP(($B484+PARAM!$B$56)/12,Loyalty,2)*$F$1*MAX(N483,0)</f>
        <v>18.557001321003963</v>
      </c>
      <c r="M484" s="75">
        <f>PARAM!$C$26+MAX($G$5-CHOOSE(PARAM!$B$44,MAX(0,N483*$F$1),0),0)*RATES!$L460/12+$H$5*(PARAM!$D$51/12)*RATES!$N460/100</f>
        <v>99.541666666666671</v>
      </c>
      <c r="N484" s="16">
        <f t="shared" si="328"/>
        <v>-5700.3584205167563</v>
      </c>
      <c r="O484" s="15">
        <f t="shared" si="329"/>
        <v>22.170849845882874</v>
      </c>
      <c r="P484" s="75">
        <f>O484*(1-PARAM!$C$27)*$I$6+(MOD($B484,60)=PARAM!$B$56)*($B484&gt;(60-PARAM!$B$56))*HLOOKUP(($B484+PARAM!$B$56)/12,Loyalty,2)*$F$1*MAX(R483,0)</f>
        <v>18.557001321003963</v>
      </c>
      <c r="Q484" s="75">
        <f>PARAM!$C$26+MAX($G$6-CHOOSE(PARAM!$B$44,MAX(0,R483*$F$1),0),0)*RATES!$L460/12+$H$6*(PARAM!$D$51/12)*RATES!$N460/100</f>
        <v>99.541666666666671</v>
      </c>
      <c r="R484" s="16">
        <f t="shared" si="330"/>
        <v>-5700.3584205167563</v>
      </c>
      <c r="S484" s="15">
        <f t="shared" si="305"/>
        <v>22.170849845882874</v>
      </c>
      <c r="T484" s="75">
        <f>S484*(1-PARAM!$C$27)*$I$7+(MOD($B484,60)=PARAM!$B$56)*($B484&gt;(60-PARAM!$B$56))*HLOOKUP(($B484+PARAM!$B$56)/12,Loyalty,2)*$F$1*MAX(V483,0)</f>
        <v>18.557001321003963</v>
      </c>
      <c r="U484" s="75">
        <f>PARAM!$C$26+MAX($G$7-CHOOSE(PARAM!$B$44,MAX(0,V483*$F$1),0),0)*RATES!$L460/12+$H$7*(PARAM!$D$51/12)*RATES!$N460/100</f>
        <v>99.541666666666671</v>
      </c>
      <c r="V484" s="16">
        <f t="shared" si="331"/>
        <v>-5700.3584205167563</v>
      </c>
      <c r="W484" s="15">
        <f t="shared" si="306"/>
        <v>22.170849845882874</v>
      </c>
      <c r="X484" s="75">
        <f>W484*(1-PARAM!$C$27)*$I$8+(MOD($B484,60)=PARAM!$B$56)*($B484&gt;(60-PARAM!$B$56))*HLOOKUP(($B484+PARAM!$B$56)/12,Loyalty,2)*$F$1*MAX(Z483,0)</f>
        <v>18.557001321003963</v>
      </c>
      <c r="Y484" s="75">
        <f>PARAM!$C$26+MAX($G$8-CHOOSE(PARAM!$B$44,MAX(0,Z483*$F$1),0),0)*RATES!$L460/12+$H$8*(PARAM!$D$51/12)*RATES!$N460/100</f>
        <v>99.541666666666671</v>
      </c>
      <c r="Z484" s="16">
        <f t="shared" si="332"/>
        <v>-5700.3584205167563</v>
      </c>
      <c r="AA484" s="15">
        <f t="shared" si="307"/>
        <v>22.170849845882874</v>
      </c>
      <c r="AB484" s="75">
        <f>AA484*(1-PARAM!$C$27)*$I$9+(MOD($B484,60)=PARAM!$B$56)*($B484&gt;(60-PARAM!$B$56))*HLOOKUP(($B484+PARAM!$B$56)/12,Loyalty,2)*$F$1*MAX(AD483,0)</f>
        <v>18.557001321003963</v>
      </c>
      <c r="AC484" s="75">
        <f>PARAM!$C$26+MAX($G$9-CHOOSE(PARAM!$B$44,MAX(0,AD483*$F$1),0),0)*RATES!$L460/12+$H$9*(PARAM!$D$51/12)*RATES!$N460/100</f>
        <v>99.541666666666671</v>
      </c>
      <c r="AD484" s="16">
        <f t="shared" si="333"/>
        <v>-5700.3584205167563</v>
      </c>
      <c r="AE484" s="15">
        <f t="shared" si="308"/>
        <v>22.170849845882874</v>
      </c>
      <c r="AF484" s="75">
        <f>AE484*(1-PARAM!$C$27)*$I$10+(MOD($B484,60)=PARAM!$B$56)*($B484&gt;(60-PARAM!$B$56))*HLOOKUP(($B484+PARAM!$B$56)/12,Loyalty,2)*$F$1*MAX(AH483,0)</f>
        <v>18.557001321003963</v>
      </c>
      <c r="AG484" s="75">
        <f>PARAM!$C$26+MAX($G$10-CHOOSE(PARAM!$B$44,MAX(0,AH483*$F$1),0),0)*RATES!$L460/12+$H$10*(PARAM!$D$51/12)*RATES!$N460/100</f>
        <v>99.541666666666671</v>
      </c>
      <c r="AH484" s="16">
        <f t="shared" si="334"/>
        <v>-5700.3584205167563</v>
      </c>
      <c r="AI484" s="15">
        <f t="shared" si="309"/>
        <v>22.170849845882874</v>
      </c>
      <c r="AJ484" s="75">
        <f>AI484*(1-PARAM!$C$27)*$I$11+(MOD($B484,60)=PARAM!$B$56)*($B484&gt;(60-PARAM!$B$56))*HLOOKUP(($B484+PARAM!$B$56)/12,Loyalty,2)*$F$1*MAX(AL483,0)</f>
        <v>18.557001321003963</v>
      </c>
      <c r="AK484" s="75">
        <f>PARAM!$C$26+MAX($G$11-CHOOSE(PARAM!$B$44,MAX(0,AL483*$F$1),0),0)*RATES!$L460/12+$H$11*(PARAM!$D$51/12)*RATES!$N460/100</f>
        <v>99.541666666666671</v>
      </c>
      <c r="AL484" s="16">
        <f t="shared" si="335"/>
        <v>-5700.3584205167563</v>
      </c>
      <c r="AM484" s="15">
        <f t="shared" si="310"/>
        <v>22.170849845882874</v>
      </c>
      <c r="AN484" s="75">
        <f>AM484*(1-PARAM!$C$27)*$I$12+(MOD($B484,60)=PARAM!$B$56)*($B484&gt;(60-PARAM!$B$56))*HLOOKUP(($B484+PARAM!$B$56)/12,Loyalty,2)*$F$1*MAX(AP483,0)</f>
        <v>18.557001321003963</v>
      </c>
      <c r="AO484" s="75">
        <f>PARAM!$C$26+MAX($G$12-CHOOSE(PARAM!$B$44,MAX(0,AP483*$F$1),0),0)*RATES!$L460/12+$H$12*(PARAM!$D$51/12)*RATES!$N460/100</f>
        <v>99.541666666666671</v>
      </c>
      <c r="AP484" s="16">
        <f t="shared" si="336"/>
        <v>-5700.3584205167563</v>
      </c>
      <c r="AQ484" s="15">
        <f t="shared" si="311"/>
        <v>22.170849845882874</v>
      </c>
      <c r="AR484" s="75">
        <f>AQ484*(1-PARAM!$C$27)*$I$13+(MOD($B484,60)=PARAM!$B$56)*($B484&gt;(60-PARAM!$B$56))*HLOOKUP(($B484+PARAM!$B$56)/12,Loyalty,2)*$F$1*MAX(AT483,0)</f>
        <v>18.557001321003963</v>
      </c>
      <c r="AS484" s="75">
        <f>PARAM!$C$26+MAX($G$13-CHOOSE(PARAM!$B$44,MAX(0,AT483*$F$1),0),0)*RATES!$L460/12+$H$13*(PARAM!$D$51/12)*RATES!$N460/100</f>
        <v>99.541666666666671</v>
      </c>
      <c r="AT484" s="16">
        <f t="shared" si="337"/>
        <v>-5700.3584205167563</v>
      </c>
      <c r="AU484" s="15">
        <f t="shared" si="312"/>
        <v>22.170849845882874</v>
      </c>
      <c r="AV484" s="75">
        <f>AU484*(1-PARAM!$C$27)*$I$14+(MOD($B484,60)=PARAM!$B$56)*($B484&gt;(60-PARAM!$B$56))*HLOOKUP(($B484+PARAM!$B$56)/12,Loyalty,2)*$F$1*MAX(AX483,0)</f>
        <v>18.557001321003963</v>
      </c>
      <c r="AW484" s="75">
        <f>PARAM!$C$26+MAX($G$14-CHOOSE(PARAM!$B$44,MAX(0,AX483*$F$1),0),0)*RATES!$L460/12+$H$14*(PARAM!$D$51/12)*RATES!$N460/100</f>
        <v>99.541666666666671</v>
      </c>
      <c r="AX484" s="16">
        <f t="shared" si="338"/>
        <v>-5700.3584205167563</v>
      </c>
      <c r="AY484" s="15">
        <f t="shared" si="313"/>
        <v>22.170849845882874</v>
      </c>
      <c r="AZ484" s="75">
        <f>AY484*(1-PARAM!$C$27)*$I$15+(MOD($B484,60)=PARAM!$B$56)*($B484&gt;(60-PARAM!$B$56))*HLOOKUP(($B484+PARAM!$B$56)/12,Loyalty,2)*$F$1*MAX(BB483,0)</f>
        <v>18.557001321003963</v>
      </c>
      <c r="BA484" s="75">
        <f>PARAM!$C$26+MAX($G$15-CHOOSE(PARAM!$B$44,MAX(0,BB483*$F$1),0),0)*RATES!$L460/12+$H$15*(PARAM!$D$51/12)*RATES!$N460/100</f>
        <v>99.541666666666671</v>
      </c>
      <c r="BB484" s="16">
        <f t="shared" si="339"/>
        <v>-5700.3584205167563</v>
      </c>
      <c r="BC484" s="15">
        <f t="shared" si="314"/>
        <v>22.170849845882874</v>
      </c>
      <c r="BD484" s="75">
        <f>BC484*(1-PARAM!$C$27)*$I$16+(MOD($B484,60)=PARAM!$B$56)*($B484&gt;(60-PARAM!$B$56))*HLOOKUP(($B484+PARAM!$B$56)/12,Loyalty,2)*$F$1*MAX(BF483,0)</f>
        <v>18.557001321003963</v>
      </c>
      <c r="BE484" s="75">
        <f>PARAM!$C$26+MAX($G$16-CHOOSE(PARAM!$B$44,MAX(0,BF483*$F$1),0),0)*RATES!$L460/12+$H$16*(PARAM!$D$51/12)*RATES!$N460/100</f>
        <v>99.541666666666671</v>
      </c>
      <c r="BF484" s="16">
        <f t="shared" si="340"/>
        <v>-5700.3584205167563</v>
      </c>
      <c r="BG484" s="15">
        <f t="shared" si="315"/>
        <v>22.170849845882874</v>
      </c>
      <c r="BH484" s="75">
        <f>BG484*(1-PARAM!$C$27)*$I$17+(MOD($B484,60)=PARAM!$B$56)*($B484&gt;(60-PARAM!$B$56))*HLOOKUP(($B484+PARAM!$B$56)/12,Loyalty,2)*$F$1*MAX(BJ483,0)</f>
        <v>18.557001321003963</v>
      </c>
      <c r="BI484" s="75">
        <f>PARAM!$C$26+MAX($G$17-CHOOSE(PARAM!$B$44,MAX(0,BJ483*$F$1),0),0)*RATES!$L460/12+$H$17*(PARAM!$D$51/12)*RATES!$N460/100</f>
        <v>99.541666666666671</v>
      </c>
      <c r="BJ484" s="16">
        <f t="shared" si="341"/>
        <v>-5700.3584205167563</v>
      </c>
      <c r="BK484" s="15">
        <f t="shared" si="316"/>
        <v>22.170849845882874</v>
      </c>
      <c r="BL484" s="75">
        <f>BK484*(1-PARAM!$C$27)*$I$18+(MOD($B484,60)=PARAM!$B$56)*($B484&gt;(60-PARAM!$B$56))*HLOOKUP(($B484+PARAM!$B$56)/12,Loyalty,2)*$F$1*MAX(BN483,0)</f>
        <v>18.557001321003963</v>
      </c>
      <c r="BM484" s="75">
        <f>PARAM!$C$26+MAX($G$18-CHOOSE(PARAM!$B$44,MAX(0,BN483*$F$1),0),0)*RATES!$L460/12+$H$18*(PARAM!$D$51/12)*RATES!$N460/100</f>
        <v>99.541666666666671</v>
      </c>
      <c r="BN484" s="16">
        <f t="shared" si="342"/>
        <v>-5700.3584205167563</v>
      </c>
      <c r="BO484" s="15">
        <f t="shared" si="317"/>
        <v>22.170849845882874</v>
      </c>
      <c r="BP484" s="75">
        <f>BO484*(1-PARAM!$C$27)*$I$19+(MOD($B484,60)=PARAM!$B$56)*($B484&gt;(60-PARAM!$B$56))*HLOOKUP(($B484+PARAM!$B$56)/12,Loyalty,2)*$F$1*MAX(BR483,0)</f>
        <v>18.557001321003963</v>
      </c>
      <c r="BQ484" s="75">
        <f>PARAM!$C$26+MAX($G$19-CHOOSE(PARAM!$B$44,MAX(0,BR483*$F$1),0),0)*RATES!$L460/12+$H$19*(PARAM!$D$51/12)*RATES!$N460/100</f>
        <v>99.541666666666671</v>
      </c>
      <c r="BR484" s="16">
        <f t="shared" si="343"/>
        <v>-5700.3584205167563</v>
      </c>
      <c r="BS484" s="15">
        <f t="shared" si="318"/>
        <v>22.170849845882874</v>
      </c>
      <c r="BT484" s="75">
        <f>BS484*(1-PARAM!$C$27)*$I$20+(MOD($B484,60)=PARAM!$B$56)*($B484&gt;(60-PARAM!$B$56))*HLOOKUP(($B484+PARAM!$B$56)/12,Loyalty,2)*$F$1*MAX(BV483,0)</f>
        <v>18.557001321003963</v>
      </c>
      <c r="BU484" s="75">
        <f>PARAM!$C$26+MAX($G$20-CHOOSE(PARAM!$B$44,MAX(0,BV483*$F$1),0),0)*RATES!$L460/12+$H$20*(PARAM!$D$51/12)*RATES!$N460/100</f>
        <v>99.541666666666671</v>
      </c>
      <c r="BV484" s="16">
        <f t="shared" si="344"/>
        <v>-5700.3584205167563</v>
      </c>
      <c r="BW484" s="15">
        <f t="shared" si="319"/>
        <v>22.170849845882874</v>
      </c>
      <c r="BX484" s="75">
        <f>BW484*(1-PARAM!$C$27)*$I$21+(MOD($B484,60)=PARAM!$B$56)*($B484&gt;(60-PARAM!$B$56))*HLOOKUP(($B484+PARAM!$B$56)/12,Loyalty,2)*$F$1*MAX(BZ483,0)</f>
        <v>18.557001321003963</v>
      </c>
      <c r="BY484" s="75">
        <f>PARAM!$C$26+MAX($G$21-CHOOSE(PARAM!$B$44,MAX(0,BZ483*$F$1),0),0)*RATES!$L460/12+$H$21*(PARAM!$D$51/12)*RATES!$N460/100</f>
        <v>99.541666666666671</v>
      </c>
      <c r="BZ484" s="16">
        <f t="shared" si="345"/>
        <v>-5700.3584205167563</v>
      </c>
      <c r="CA484" s="15">
        <f t="shared" si="320"/>
        <v>22.170849845882874</v>
      </c>
      <c r="CB484" s="75">
        <f>CA484*(1-PARAM!$C$27)*$I$22+(MOD($B484,60)=PARAM!$B$56)*($B484&gt;(60-PARAM!$B$56))*HLOOKUP(($B484+PARAM!$B$56)/12,Loyalty,2)*$F$1*MAX(CD483,0)</f>
        <v>18.557001321003963</v>
      </c>
      <c r="CC484" s="75">
        <f>PARAM!$C$26+MAX($G$22-CHOOSE(PARAM!$B$44,MAX(0,CD483*$F$1),0),0)*RATES!$L460/12+$H$22*(PARAM!$D$51/12)*RATES!$N460/100</f>
        <v>99.541666666666671</v>
      </c>
      <c r="CD484" s="16">
        <f t="shared" si="346"/>
        <v>-5700.3584205167563</v>
      </c>
      <c r="CE484" s="33">
        <f>IF(0=MOD(B484,12/PARAM!$D$51),1,0)</f>
        <v>1</v>
      </c>
      <c r="CF484" s="15">
        <f t="shared" si="321"/>
        <v>0</v>
      </c>
      <c r="CG484" s="75">
        <f>CF484*(1-PARAM!$C$27)*$R$3+(MOD($B484/12,5)=0)*($B484&gt;60)*HLOOKUP($B484/12,Loyalty,2)*$F$1*MAX(CI483,0)</f>
        <v>0</v>
      </c>
      <c r="CH484" s="75">
        <f>PARAM!$C$26+MAX($P$3-CHOOSE(PARAM!$B$44,MAX(0,CI483*$F$1),0),0)*RATES!$L460/12+$Q$3*(PARAM!$D$51/12)*RATES!$N460/100</f>
        <v>99.541666666666671</v>
      </c>
      <c r="CI484" s="16">
        <f>IF(CI483&gt;0,CI483*PARAM!$C$53,CI483)+CG484-CH484</f>
        <v>-14061.333333333316</v>
      </c>
      <c r="CJ484" s="15">
        <f t="shared" si="347"/>
        <v>0</v>
      </c>
      <c r="CK484" s="75">
        <f>CJ484*(1-PARAM!$C$27)*$R$4+(MOD($B484/12,5)=0)*($B484&gt;60)*HLOOKUP($B484/12,Loyalty,2)*$F$1*MAX(CM483,0)</f>
        <v>0</v>
      </c>
      <c r="CL484" s="75">
        <f>PARAM!$C$26+MAX($P$4-CHOOSE(PARAM!$B$44,MAX(0,CM483*$F$1),0),0)*RATES!$L460/12+$Q$4*(PARAM!$D$51/12)*RATES!$N460/100</f>
        <v>99.541666666666671</v>
      </c>
      <c r="CM484" s="16">
        <f>IF(CM483&gt;0,CM483*PARAM!$C$53,CM483)+CK484-CL484</f>
        <v>-14061.333333333316</v>
      </c>
      <c r="CO484" s="176"/>
    </row>
    <row r="485" spans="1:93" x14ac:dyDescent="0.2">
      <c r="A485" t="b">
        <f t="shared" si="322"/>
        <v>0</v>
      </c>
      <c r="B485" s="33">
        <v>458</v>
      </c>
      <c r="C485" s="15">
        <f t="shared" si="323"/>
        <v>20.081305947392778</v>
      </c>
      <c r="D485" s="75">
        <f>C485*(1-PARAM!$C$27)*$I$3+(MOD($B485,60)=PARAM!$B$56)*($B485&gt;(60-PARAM!$B$56))*HLOOKUP(($B485+PARAM!$B$56)/12,Loyalty,2)*$F$1*MAX(F484,0)</f>
        <v>16.808053077967756</v>
      </c>
      <c r="E485" s="75">
        <f>PARAM!$C$26+MAX($G$3-CHOOSE(PARAM!$B$44,MAX(0,F484*$F$1),0),0)*RATES!$L461/12+$H$3*(PARAM!$D$51/12)*RATES!$N461/100</f>
        <v>99.541666666666671</v>
      </c>
      <c r="F485" s="16">
        <f t="shared" si="324"/>
        <v>-6619.2118816945049</v>
      </c>
      <c r="G485" s="15">
        <f t="shared" si="325"/>
        <v>22.035289406060361</v>
      </c>
      <c r="H485" s="75">
        <f>G485*(1-PARAM!$C$27)*$I$4+(MOD($B485,60)=PARAM!$B$56)*($B485&gt;(60-PARAM!$B$56))*HLOOKUP(($B485+PARAM!$B$56)/12,Loyalty,2)*$F$1*MAX(J484,0)</f>
        <v>18.443537232872522</v>
      </c>
      <c r="I485" s="75">
        <f>PARAM!$C$26+MAX($G$4-CHOOSE(PARAM!$B$44,MAX(0,J484*$F$1),0),0)*RATES!$L461/12+$H$4*(PARAM!$D$51/12)*RATES!$N461/100</f>
        <v>99.541666666666671</v>
      </c>
      <c r="J485" s="16">
        <f t="shared" si="326"/>
        <v>-5836.3271746264036</v>
      </c>
      <c r="K485" s="15">
        <f t="shared" si="327"/>
        <v>22.170849845882874</v>
      </c>
      <c r="L485" s="75">
        <f>K485*(1-PARAM!$C$27)*$I$5+(MOD($B485,60)=PARAM!$B$56)*($B485&gt;(60-PARAM!$B$56))*HLOOKUP(($B485+PARAM!$B$56)/12,Loyalty,2)*$F$1*MAX(N484,0)</f>
        <v>18.557001321003963</v>
      </c>
      <c r="M485" s="75">
        <f>PARAM!$C$26+MAX($G$5-CHOOSE(PARAM!$B$44,MAX(0,N484*$F$1),0),0)*RATES!$L461/12+$H$5*(PARAM!$D$51/12)*RATES!$N461/100</f>
        <v>99.541666666666671</v>
      </c>
      <c r="N485" s="16">
        <f t="shared" si="328"/>
        <v>-5781.3430858624197</v>
      </c>
      <c r="O485" s="15">
        <f t="shared" si="329"/>
        <v>22.170849845882874</v>
      </c>
      <c r="P485" s="75">
        <f>O485*(1-PARAM!$C$27)*$I$6+(MOD($B485,60)=PARAM!$B$56)*($B485&gt;(60-PARAM!$B$56))*HLOOKUP(($B485+PARAM!$B$56)/12,Loyalty,2)*$F$1*MAX(R484,0)</f>
        <v>18.557001321003963</v>
      </c>
      <c r="Q485" s="75">
        <f>PARAM!$C$26+MAX($G$6-CHOOSE(PARAM!$B$44,MAX(0,R484*$F$1),0),0)*RATES!$L461/12+$H$6*(PARAM!$D$51/12)*RATES!$N461/100</f>
        <v>99.541666666666671</v>
      </c>
      <c r="R485" s="16">
        <f t="shared" si="330"/>
        <v>-5781.3430858624197</v>
      </c>
      <c r="S485" s="15">
        <f t="shared" si="305"/>
        <v>22.170849845882874</v>
      </c>
      <c r="T485" s="75">
        <f>S485*(1-PARAM!$C$27)*$I$7+(MOD($B485,60)=PARAM!$B$56)*($B485&gt;(60-PARAM!$B$56))*HLOOKUP(($B485+PARAM!$B$56)/12,Loyalty,2)*$F$1*MAX(V484,0)</f>
        <v>18.557001321003963</v>
      </c>
      <c r="U485" s="75">
        <f>PARAM!$C$26+MAX($G$7-CHOOSE(PARAM!$B$44,MAX(0,V484*$F$1),0),0)*RATES!$L461/12+$H$7*(PARAM!$D$51/12)*RATES!$N461/100</f>
        <v>99.541666666666671</v>
      </c>
      <c r="V485" s="16">
        <f t="shared" si="331"/>
        <v>-5781.3430858624197</v>
      </c>
      <c r="W485" s="15">
        <f t="shared" si="306"/>
        <v>22.170849845882874</v>
      </c>
      <c r="X485" s="75">
        <f>W485*(1-PARAM!$C$27)*$I$8+(MOD($B485,60)=PARAM!$B$56)*($B485&gt;(60-PARAM!$B$56))*HLOOKUP(($B485+PARAM!$B$56)/12,Loyalty,2)*$F$1*MAX(Z484,0)</f>
        <v>18.557001321003963</v>
      </c>
      <c r="Y485" s="75">
        <f>PARAM!$C$26+MAX($G$8-CHOOSE(PARAM!$B$44,MAX(0,Z484*$F$1),0),0)*RATES!$L461/12+$H$8*(PARAM!$D$51/12)*RATES!$N461/100</f>
        <v>99.541666666666671</v>
      </c>
      <c r="Z485" s="16">
        <f t="shared" si="332"/>
        <v>-5781.3430858624197</v>
      </c>
      <c r="AA485" s="15">
        <f t="shared" si="307"/>
        <v>22.170849845882874</v>
      </c>
      <c r="AB485" s="75">
        <f>AA485*(1-PARAM!$C$27)*$I$9+(MOD($B485,60)=PARAM!$B$56)*($B485&gt;(60-PARAM!$B$56))*HLOOKUP(($B485+PARAM!$B$56)/12,Loyalty,2)*$F$1*MAX(AD484,0)</f>
        <v>18.557001321003963</v>
      </c>
      <c r="AC485" s="75">
        <f>PARAM!$C$26+MAX($G$9-CHOOSE(PARAM!$B$44,MAX(0,AD484*$F$1),0),0)*RATES!$L461/12+$H$9*(PARAM!$D$51/12)*RATES!$N461/100</f>
        <v>99.541666666666671</v>
      </c>
      <c r="AD485" s="16">
        <f t="shared" si="333"/>
        <v>-5781.3430858624197</v>
      </c>
      <c r="AE485" s="15">
        <f t="shared" si="308"/>
        <v>22.170849845882874</v>
      </c>
      <c r="AF485" s="75">
        <f>AE485*(1-PARAM!$C$27)*$I$10+(MOD($B485,60)=PARAM!$B$56)*($B485&gt;(60-PARAM!$B$56))*HLOOKUP(($B485+PARAM!$B$56)/12,Loyalty,2)*$F$1*MAX(AH484,0)</f>
        <v>18.557001321003963</v>
      </c>
      <c r="AG485" s="75">
        <f>PARAM!$C$26+MAX($G$10-CHOOSE(PARAM!$B$44,MAX(0,AH484*$F$1),0),0)*RATES!$L461/12+$H$10*(PARAM!$D$51/12)*RATES!$N461/100</f>
        <v>99.541666666666671</v>
      </c>
      <c r="AH485" s="16">
        <f t="shared" si="334"/>
        <v>-5781.3430858624197</v>
      </c>
      <c r="AI485" s="15">
        <f t="shared" si="309"/>
        <v>22.170849845882874</v>
      </c>
      <c r="AJ485" s="75">
        <f>AI485*(1-PARAM!$C$27)*$I$11+(MOD($B485,60)=PARAM!$B$56)*($B485&gt;(60-PARAM!$B$56))*HLOOKUP(($B485+PARAM!$B$56)/12,Loyalty,2)*$F$1*MAX(AL484,0)</f>
        <v>18.557001321003963</v>
      </c>
      <c r="AK485" s="75">
        <f>PARAM!$C$26+MAX($G$11-CHOOSE(PARAM!$B$44,MAX(0,AL484*$F$1),0),0)*RATES!$L461/12+$H$11*(PARAM!$D$51/12)*RATES!$N461/100</f>
        <v>99.541666666666671</v>
      </c>
      <c r="AL485" s="16">
        <f t="shared" si="335"/>
        <v>-5781.3430858624197</v>
      </c>
      <c r="AM485" s="15">
        <f t="shared" si="310"/>
        <v>22.170849845882874</v>
      </c>
      <c r="AN485" s="75">
        <f>AM485*(1-PARAM!$C$27)*$I$12+(MOD($B485,60)=PARAM!$B$56)*($B485&gt;(60-PARAM!$B$56))*HLOOKUP(($B485+PARAM!$B$56)/12,Loyalty,2)*$F$1*MAX(AP484,0)</f>
        <v>18.557001321003963</v>
      </c>
      <c r="AO485" s="75">
        <f>PARAM!$C$26+MAX($G$12-CHOOSE(PARAM!$B$44,MAX(0,AP484*$F$1),0),0)*RATES!$L461/12+$H$12*(PARAM!$D$51/12)*RATES!$N461/100</f>
        <v>99.541666666666671</v>
      </c>
      <c r="AP485" s="16">
        <f t="shared" si="336"/>
        <v>-5781.3430858624197</v>
      </c>
      <c r="AQ485" s="15">
        <f t="shared" si="311"/>
        <v>22.170849845882874</v>
      </c>
      <c r="AR485" s="75">
        <f>AQ485*(1-PARAM!$C$27)*$I$13+(MOD($B485,60)=PARAM!$B$56)*($B485&gt;(60-PARAM!$B$56))*HLOOKUP(($B485+PARAM!$B$56)/12,Loyalty,2)*$F$1*MAX(AT484,0)</f>
        <v>18.557001321003963</v>
      </c>
      <c r="AS485" s="75">
        <f>PARAM!$C$26+MAX($G$13-CHOOSE(PARAM!$B$44,MAX(0,AT484*$F$1),0),0)*RATES!$L461/12+$H$13*(PARAM!$D$51/12)*RATES!$N461/100</f>
        <v>99.541666666666671</v>
      </c>
      <c r="AT485" s="16">
        <f t="shared" si="337"/>
        <v>-5781.3430858624197</v>
      </c>
      <c r="AU485" s="15">
        <f t="shared" si="312"/>
        <v>22.170849845882874</v>
      </c>
      <c r="AV485" s="75">
        <f>AU485*(1-PARAM!$C$27)*$I$14+(MOD($B485,60)=PARAM!$B$56)*($B485&gt;(60-PARAM!$B$56))*HLOOKUP(($B485+PARAM!$B$56)/12,Loyalty,2)*$F$1*MAX(AX484,0)</f>
        <v>18.557001321003963</v>
      </c>
      <c r="AW485" s="75">
        <f>PARAM!$C$26+MAX($G$14-CHOOSE(PARAM!$B$44,MAX(0,AX484*$F$1),0),0)*RATES!$L461/12+$H$14*(PARAM!$D$51/12)*RATES!$N461/100</f>
        <v>99.541666666666671</v>
      </c>
      <c r="AX485" s="16">
        <f t="shared" si="338"/>
        <v>-5781.3430858624197</v>
      </c>
      <c r="AY485" s="15">
        <f t="shared" si="313"/>
        <v>22.170849845882874</v>
      </c>
      <c r="AZ485" s="75">
        <f>AY485*(1-PARAM!$C$27)*$I$15+(MOD($B485,60)=PARAM!$B$56)*($B485&gt;(60-PARAM!$B$56))*HLOOKUP(($B485+PARAM!$B$56)/12,Loyalty,2)*$F$1*MAX(BB484,0)</f>
        <v>18.557001321003963</v>
      </c>
      <c r="BA485" s="75">
        <f>PARAM!$C$26+MAX($G$15-CHOOSE(PARAM!$B$44,MAX(0,BB484*$F$1),0),0)*RATES!$L461/12+$H$15*(PARAM!$D$51/12)*RATES!$N461/100</f>
        <v>99.541666666666671</v>
      </c>
      <c r="BB485" s="16">
        <f t="shared" si="339"/>
        <v>-5781.3430858624197</v>
      </c>
      <c r="BC485" s="15">
        <f t="shared" si="314"/>
        <v>22.170849845882874</v>
      </c>
      <c r="BD485" s="75">
        <f>BC485*(1-PARAM!$C$27)*$I$16+(MOD($B485,60)=PARAM!$B$56)*($B485&gt;(60-PARAM!$B$56))*HLOOKUP(($B485+PARAM!$B$56)/12,Loyalty,2)*$F$1*MAX(BF484,0)</f>
        <v>18.557001321003963</v>
      </c>
      <c r="BE485" s="75">
        <f>PARAM!$C$26+MAX($G$16-CHOOSE(PARAM!$B$44,MAX(0,BF484*$F$1),0),0)*RATES!$L461/12+$H$16*(PARAM!$D$51/12)*RATES!$N461/100</f>
        <v>99.541666666666671</v>
      </c>
      <c r="BF485" s="16">
        <f t="shared" si="340"/>
        <v>-5781.3430858624197</v>
      </c>
      <c r="BG485" s="15">
        <f t="shared" si="315"/>
        <v>22.170849845882874</v>
      </c>
      <c r="BH485" s="75">
        <f>BG485*(1-PARAM!$C$27)*$I$17+(MOD($B485,60)=PARAM!$B$56)*($B485&gt;(60-PARAM!$B$56))*HLOOKUP(($B485+PARAM!$B$56)/12,Loyalty,2)*$F$1*MAX(BJ484,0)</f>
        <v>18.557001321003963</v>
      </c>
      <c r="BI485" s="75">
        <f>PARAM!$C$26+MAX($G$17-CHOOSE(PARAM!$B$44,MAX(0,BJ484*$F$1),0),0)*RATES!$L461/12+$H$17*(PARAM!$D$51/12)*RATES!$N461/100</f>
        <v>99.541666666666671</v>
      </c>
      <c r="BJ485" s="16">
        <f t="shared" si="341"/>
        <v>-5781.3430858624197</v>
      </c>
      <c r="BK485" s="15">
        <f t="shared" si="316"/>
        <v>22.170849845882874</v>
      </c>
      <c r="BL485" s="75">
        <f>BK485*(1-PARAM!$C$27)*$I$18+(MOD($B485,60)=PARAM!$B$56)*($B485&gt;(60-PARAM!$B$56))*HLOOKUP(($B485+PARAM!$B$56)/12,Loyalty,2)*$F$1*MAX(BN484,0)</f>
        <v>18.557001321003963</v>
      </c>
      <c r="BM485" s="75">
        <f>PARAM!$C$26+MAX($G$18-CHOOSE(PARAM!$B$44,MAX(0,BN484*$F$1),0),0)*RATES!$L461/12+$H$18*(PARAM!$D$51/12)*RATES!$N461/100</f>
        <v>99.541666666666671</v>
      </c>
      <c r="BN485" s="16">
        <f t="shared" si="342"/>
        <v>-5781.3430858624197</v>
      </c>
      <c r="BO485" s="15">
        <f t="shared" si="317"/>
        <v>22.170849845882874</v>
      </c>
      <c r="BP485" s="75">
        <f>BO485*(1-PARAM!$C$27)*$I$19+(MOD($B485,60)=PARAM!$B$56)*($B485&gt;(60-PARAM!$B$56))*HLOOKUP(($B485+PARAM!$B$56)/12,Loyalty,2)*$F$1*MAX(BR484,0)</f>
        <v>18.557001321003963</v>
      </c>
      <c r="BQ485" s="75">
        <f>PARAM!$C$26+MAX($G$19-CHOOSE(PARAM!$B$44,MAX(0,BR484*$F$1),0),0)*RATES!$L461/12+$H$19*(PARAM!$D$51/12)*RATES!$N461/100</f>
        <v>99.541666666666671</v>
      </c>
      <c r="BR485" s="16">
        <f t="shared" si="343"/>
        <v>-5781.3430858624197</v>
      </c>
      <c r="BS485" s="15">
        <f t="shared" si="318"/>
        <v>22.170849845882874</v>
      </c>
      <c r="BT485" s="75">
        <f>BS485*(1-PARAM!$C$27)*$I$20+(MOD($B485,60)=PARAM!$B$56)*($B485&gt;(60-PARAM!$B$56))*HLOOKUP(($B485+PARAM!$B$56)/12,Loyalty,2)*$F$1*MAX(BV484,0)</f>
        <v>18.557001321003963</v>
      </c>
      <c r="BU485" s="75">
        <f>PARAM!$C$26+MAX($G$20-CHOOSE(PARAM!$B$44,MAX(0,BV484*$F$1),0),0)*RATES!$L461/12+$H$20*(PARAM!$D$51/12)*RATES!$N461/100</f>
        <v>99.541666666666671</v>
      </c>
      <c r="BV485" s="16">
        <f t="shared" si="344"/>
        <v>-5781.3430858624197</v>
      </c>
      <c r="BW485" s="15">
        <f t="shared" si="319"/>
        <v>22.170849845882874</v>
      </c>
      <c r="BX485" s="75">
        <f>BW485*(1-PARAM!$C$27)*$I$21+(MOD($B485,60)=PARAM!$B$56)*($B485&gt;(60-PARAM!$B$56))*HLOOKUP(($B485+PARAM!$B$56)/12,Loyalty,2)*$F$1*MAX(BZ484,0)</f>
        <v>18.557001321003963</v>
      </c>
      <c r="BY485" s="75">
        <f>PARAM!$C$26+MAX($G$21-CHOOSE(PARAM!$B$44,MAX(0,BZ484*$F$1),0),0)*RATES!$L461/12+$H$21*(PARAM!$D$51/12)*RATES!$N461/100</f>
        <v>99.541666666666671</v>
      </c>
      <c r="BZ485" s="16">
        <f t="shared" si="345"/>
        <v>-5781.3430858624197</v>
      </c>
      <c r="CA485" s="15">
        <f t="shared" si="320"/>
        <v>22.170849845882874</v>
      </c>
      <c r="CB485" s="75">
        <f>CA485*(1-PARAM!$C$27)*$I$22+(MOD($B485,60)=PARAM!$B$56)*($B485&gt;(60-PARAM!$B$56))*HLOOKUP(($B485+PARAM!$B$56)/12,Loyalty,2)*$F$1*MAX(CD484,0)</f>
        <v>18.557001321003963</v>
      </c>
      <c r="CC485" s="75">
        <f>PARAM!$C$26+MAX($G$22-CHOOSE(PARAM!$B$44,MAX(0,CD484*$F$1),0),0)*RATES!$L461/12+$H$22*(PARAM!$D$51/12)*RATES!$N461/100</f>
        <v>99.541666666666671</v>
      </c>
      <c r="CD485" s="16">
        <f t="shared" si="346"/>
        <v>-5781.3430858624197</v>
      </c>
      <c r="CE485" s="33">
        <f>IF(0=MOD(B485,12/PARAM!$D$51),1,0)</f>
        <v>1</v>
      </c>
      <c r="CF485" s="15">
        <f t="shared" si="321"/>
        <v>0</v>
      </c>
      <c r="CG485" s="75">
        <f>CF485*(1-PARAM!$C$27)*$R$3+(MOD($B485/12,5)=0)*($B485&gt;60)*HLOOKUP($B485/12,Loyalty,2)*$F$1*MAX(CI484,0)</f>
        <v>0</v>
      </c>
      <c r="CH485" s="75">
        <f>PARAM!$C$26+MAX($P$3-CHOOSE(PARAM!$B$44,MAX(0,CI484*$F$1),0),0)*RATES!$L461/12+$Q$3*(PARAM!$D$51/12)*RATES!$N461/100</f>
        <v>99.541666666666671</v>
      </c>
      <c r="CI485" s="16">
        <f>IF(CI484&gt;0,CI484*PARAM!$C$53,CI484)+CG485-CH485</f>
        <v>-14160.874999999982</v>
      </c>
      <c r="CJ485" s="15">
        <f t="shared" si="347"/>
        <v>0</v>
      </c>
      <c r="CK485" s="75">
        <f>CJ485*(1-PARAM!$C$27)*$R$4+(MOD($B485/12,5)=0)*($B485&gt;60)*HLOOKUP($B485/12,Loyalty,2)*$F$1*MAX(CM484,0)</f>
        <v>0</v>
      </c>
      <c r="CL485" s="75">
        <f>PARAM!$C$26+MAX($P$4-CHOOSE(PARAM!$B$44,MAX(0,CM484*$F$1),0),0)*RATES!$L461/12+$Q$4*(PARAM!$D$51/12)*RATES!$N461/100</f>
        <v>99.541666666666671</v>
      </c>
      <c r="CM485" s="16">
        <f>IF(CM484&gt;0,CM484*PARAM!$C$53,CM484)+CK485-CL485</f>
        <v>-14160.874999999982</v>
      </c>
      <c r="CO485" s="176"/>
    </row>
    <row r="486" spans="1:93" x14ac:dyDescent="0.2">
      <c r="A486" t="b">
        <f t="shared" si="322"/>
        <v>0</v>
      </c>
      <c r="B486" s="33">
        <v>459</v>
      </c>
      <c r="C486" s="15">
        <f t="shared" si="323"/>
        <v>20.081305947392778</v>
      </c>
      <c r="D486" s="75">
        <f>C486*(1-PARAM!$C$27)*$I$3+(MOD($B486,60)=PARAM!$B$56)*($B486&gt;(60-PARAM!$B$56))*HLOOKUP(($B486+PARAM!$B$56)/12,Loyalty,2)*$F$1*MAX(F485,0)</f>
        <v>16.808053077967756</v>
      </c>
      <c r="E486" s="75">
        <f>PARAM!$C$26+MAX($G$3-CHOOSE(PARAM!$B$44,MAX(0,F485*$F$1),0),0)*RATES!$L462/12+$H$3*(PARAM!$D$51/12)*RATES!$N462/100</f>
        <v>99.541666666666671</v>
      </c>
      <c r="F486" s="16">
        <f t="shared" si="324"/>
        <v>-6701.9454952832039</v>
      </c>
      <c r="G486" s="15">
        <f t="shared" si="325"/>
        <v>22.035289406060361</v>
      </c>
      <c r="H486" s="75">
        <f>G486*(1-PARAM!$C$27)*$I$4+(MOD($B486,60)=PARAM!$B$56)*($B486&gt;(60-PARAM!$B$56))*HLOOKUP(($B486+PARAM!$B$56)/12,Loyalty,2)*$F$1*MAX(J485,0)</f>
        <v>18.443537232872522</v>
      </c>
      <c r="I486" s="75">
        <f>PARAM!$C$26+MAX($G$4-CHOOSE(PARAM!$B$44,MAX(0,J485*$F$1),0),0)*RATES!$L462/12+$H$4*(PARAM!$D$51/12)*RATES!$N462/100</f>
        <v>99.541666666666671</v>
      </c>
      <c r="J486" s="16">
        <f t="shared" si="326"/>
        <v>-5917.425304060198</v>
      </c>
      <c r="K486" s="15">
        <f t="shared" si="327"/>
        <v>22.170849845882874</v>
      </c>
      <c r="L486" s="75">
        <f>K486*(1-PARAM!$C$27)*$I$5+(MOD($B486,60)=PARAM!$B$56)*($B486&gt;(60-PARAM!$B$56))*HLOOKUP(($B486+PARAM!$B$56)/12,Loyalty,2)*$F$1*MAX(N485,0)</f>
        <v>18.557001321003963</v>
      </c>
      <c r="M486" s="75">
        <f>PARAM!$C$26+MAX($G$5-CHOOSE(PARAM!$B$44,MAX(0,N485*$F$1),0),0)*RATES!$L462/12+$H$5*(PARAM!$D$51/12)*RATES!$N462/100</f>
        <v>99.541666666666671</v>
      </c>
      <c r="N486" s="16">
        <f t="shared" si="328"/>
        <v>-5862.3277512080831</v>
      </c>
      <c r="O486" s="15">
        <f t="shared" si="329"/>
        <v>22.170849845882874</v>
      </c>
      <c r="P486" s="75">
        <f>O486*(1-PARAM!$C$27)*$I$6+(MOD($B486,60)=PARAM!$B$56)*($B486&gt;(60-PARAM!$B$56))*HLOOKUP(($B486+PARAM!$B$56)/12,Loyalty,2)*$F$1*MAX(R485,0)</f>
        <v>18.557001321003963</v>
      </c>
      <c r="Q486" s="75">
        <f>PARAM!$C$26+MAX($G$6-CHOOSE(PARAM!$B$44,MAX(0,R485*$F$1),0),0)*RATES!$L462/12+$H$6*(PARAM!$D$51/12)*RATES!$N462/100</f>
        <v>99.541666666666671</v>
      </c>
      <c r="R486" s="16">
        <f t="shared" si="330"/>
        <v>-5862.3277512080831</v>
      </c>
      <c r="S486" s="15">
        <f t="shared" si="305"/>
        <v>22.170849845882874</v>
      </c>
      <c r="T486" s="75">
        <f>S486*(1-PARAM!$C$27)*$I$7+(MOD($B486,60)=PARAM!$B$56)*($B486&gt;(60-PARAM!$B$56))*HLOOKUP(($B486+PARAM!$B$56)/12,Loyalty,2)*$F$1*MAX(V485,0)</f>
        <v>18.557001321003963</v>
      </c>
      <c r="U486" s="75">
        <f>PARAM!$C$26+MAX($G$7-CHOOSE(PARAM!$B$44,MAX(0,V485*$F$1),0),0)*RATES!$L462/12+$H$7*(PARAM!$D$51/12)*RATES!$N462/100</f>
        <v>99.541666666666671</v>
      </c>
      <c r="V486" s="16">
        <f t="shared" si="331"/>
        <v>-5862.3277512080831</v>
      </c>
      <c r="W486" s="15">
        <f t="shared" si="306"/>
        <v>22.170849845882874</v>
      </c>
      <c r="X486" s="75">
        <f>W486*(1-PARAM!$C$27)*$I$8+(MOD($B486,60)=PARAM!$B$56)*($B486&gt;(60-PARAM!$B$56))*HLOOKUP(($B486+PARAM!$B$56)/12,Loyalty,2)*$F$1*MAX(Z485,0)</f>
        <v>18.557001321003963</v>
      </c>
      <c r="Y486" s="75">
        <f>PARAM!$C$26+MAX($G$8-CHOOSE(PARAM!$B$44,MAX(0,Z485*$F$1),0),0)*RATES!$L462/12+$H$8*(PARAM!$D$51/12)*RATES!$N462/100</f>
        <v>99.541666666666671</v>
      </c>
      <c r="Z486" s="16">
        <f t="shared" si="332"/>
        <v>-5862.3277512080831</v>
      </c>
      <c r="AA486" s="15">
        <f t="shared" si="307"/>
        <v>22.170849845882874</v>
      </c>
      <c r="AB486" s="75">
        <f>AA486*(1-PARAM!$C$27)*$I$9+(MOD($B486,60)=PARAM!$B$56)*($B486&gt;(60-PARAM!$B$56))*HLOOKUP(($B486+PARAM!$B$56)/12,Loyalty,2)*$F$1*MAX(AD485,0)</f>
        <v>18.557001321003963</v>
      </c>
      <c r="AC486" s="75">
        <f>PARAM!$C$26+MAX($G$9-CHOOSE(PARAM!$B$44,MAX(0,AD485*$F$1),0),0)*RATES!$L462/12+$H$9*(PARAM!$D$51/12)*RATES!$N462/100</f>
        <v>99.541666666666671</v>
      </c>
      <c r="AD486" s="16">
        <f t="shared" si="333"/>
        <v>-5862.3277512080831</v>
      </c>
      <c r="AE486" s="15">
        <f t="shared" si="308"/>
        <v>22.170849845882874</v>
      </c>
      <c r="AF486" s="75">
        <f>AE486*(1-PARAM!$C$27)*$I$10+(MOD($B486,60)=PARAM!$B$56)*($B486&gt;(60-PARAM!$B$56))*HLOOKUP(($B486+PARAM!$B$56)/12,Loyalty,2)*$F$1*MAX(AH485,0)</f>
        <v>18.557001321003963</v>
      </c>
      <c r="AG486" s="75">
        <f>PARAM!$C$26+MAX($G$10-CHOOSE(PARAM!$B$44,MAX(0,AH485*$F$1),0),0)*RATES!$L462/12+$H$10*(PARAM!$D$51/12)*RATES!$N462/100</f>
        <v>99.541666666666671</v>
      </c>
      <c r="AH486" s="16">
        <f t="shared" si="334"/>
        <v>-5862.3277512080831</v>
      </c>
      <c r="AI486" s="15">
        <f t="shared" si="309"/>
        <v>22.170849845882874</v>
      </c>
      <c r="AJ486" s="75">
        <f>AI486*(1-PARAM!$C$27)*$I$11+(MOD($B486,60)=PARAM!$B$56)*($B486&gt;(60-PARAM!$B$56))*HLOOKUP(($B486+PARAM!$B$56)/12,Loyalty,2)*$F$1*MAX(AL485,0)</f>
        <v>18.557001321003963</v>
      </c>
      <c r="AK486" s="75">
        <f>PARAM!$C$26+MAX($G$11-CHOOSE(PARAM!$B$44,MAX(0,AL485*$F$1),0),0)*RATES!$L462/12+$H$11*(PARAM!$D$51/12)*RATES!$N462/100</f>
        <v>99.541666666666671</v>
      </c>
      <c r="AL486" s="16">
        <f t="shared" si="335"/>
        <v>-5862.3277512080831</v>
      </c>
      <c r="AM486" s="15">
        <f t="shared" si="310"/>
        <v>22.170849845882874</v>
      </c>
      <c r="AN486" s="75">
        <f>AM486*(1-PARAM!$C$27)*$I$12+(MOD($B486,60)=PARAM!$B$56)*($B486&gt;(60-PARAM!$B$56))*HLOOKUP(($B486+PARAM!$B$56)/12,Loyalty,2)*$F$1*MAX(AP485,0)</f>
        <v>18.557001321003963</v>
      </c>
      <c r="AO486" s="75">
        <f>PARAM!$C$26+MAX($G$12-CHOOSE(PARAM!$B$44,MAX(0,AP485*$F$1),0),0)*RATES!$L462/12+$H$12*(PARAM!$D$51/12)*RATES!$N462/100</f>
        <v>99.541666666666671</v>
      </c>
      <c r="AP486" s="16">
        <f t="shared" si="336"/>
        <v>-5862.3277512080831</v>
      </c>
      <c r="AQ486" s="15">
        <f t="shared" si="311"/>
        <v>22.170849845882874</v>
      </c>
      <c r="AR486" s="75">
        <f>AQ486*(1-PARAM!$C$27)*$I$13+(MOD($B486,60)=PARAM!$B$56)*($B486&gt;(60-PARAM!$B$56))*HLOOKUP(($B486+PARAM!$B$56)/12,Loyalty,2)*$F$1*MAX(AT485,0)</f>
        <v>18.557001321003963</v>
      </c>
      <c r="AS486" s="75">
        <f>PARAM!$C$26+MAX($G$13-CHOOSE(PARAM!$B$44,MAX(0,AT485*$F$1),0),0)*RATES!$L462/12+$H$13*(PARAM!$D$51/12)*RATES!$N462/100</f>
        <v>99.541666666666671</v>
      </c>
      <c r="AT486" s="16">
        <f t="shared" si="337"/>
        <v>-5862.3277512080831</v>
      </c>
      <c r="AU486" s="15">
        <f t="shared" si="312"/>
        <v>22.170849845882874</v>
      </c>
      <c r="AV486" s="75">
        <f>AU486*(1-PARAM!$C$27)*$I$14+(MOD($B486,60)=PARAM!$B$56)*($B486&gt;(60-PARAM!$B$56))*HLOOKUP(($B486+PARAM!$B$56)/12,Loyalty,2)*$F$1*MAX(AX485,0)</f>
        <v>18.557001321003963</v>
      </c>
      <c r="AW486" s="75">
        <f>PARAM!$C$26+MAX($G$14-CHOOSE(PARAM!$B$44,MAX(0,AX485*$F$1),0),0)*RATES!$L462/12+$H$14*(PARAM!$D$51/12)*RATES!$N462/100</f>
        <v>99.541666666666671</v>
      </c>
      <c r="AX486" s="16">
        <f t="shared" si="338"/>
        <v>-5862.3277512080831</v>
      </c>
      <c r="AY486" s="15">
        <f t="shared" si="313"/>
        <v>22.170849845882874</v>
      </c>
      <c r="AZ486" s="75">
        <f>AY486*(1-PARAM!$C$27)*$I$15+(MOD($B486,60)=PARAM!$B$56)*($B486&gt;(60-PARAM!$B$56))*HLOOKUP(($B486+PARAM!$B$56)/12,Loyalty,2)*$F$1*MAX(BB485,0)</f>
        <v>18.557001321003963</v>
      </c>
      <c r="BA486" s="75">
        <f>PARAM!$C$26+MAX($G$15-CHOOSE(PARAM!$B$44,MAX(0,BB485*$F$1),0),0)*RATES!$L462/12+$H$15*(PARAM!$D$51/12)*RATES!$N462/100</f>
        <v>99.541666666666671</v>
      </c>
      <c r="BB486" s="16">
        <f t="shared" si="339"/>
        <v>-5862.3277512080831</v>
      </c>
      <c r="BC486" s="15">
        <f t="shared" si="314"/>
        <v>22.170849845882874</v>
      </c>
      <c r="BD486" s="75">
        <f>BC486*(1-PARAM!$C$27)*$I$16+(MOD($B486,60)=PARAM!$B$56)*($B486&gt;(60-PARAM!$B$56))*HLOOKUP(($B486+PARAM!$B$56)/12,Loyalty,2)*$F$1*MAX(BF485,0)</f>
        <v>18.557001321003963</v>
      </c>
      <c r="BE486" s="75">
        <f>PARAM!$C$26+MAX($G$16-CHOOSE(PARAM!$B$44,MAX(0,BF485*$F$1),0),0)*RATES!$L462/12+$H$16*(PARAM!$D$51/12)*RATES!$N462/100</f>
        <v>99.541666666666671</v>
      </c>
      <c r="BF486" s="16">
        <f t="shared" si="340"/>
        <v>-5862.3277512080831</v>
      </c>
      <c r="BG486" s="15">
        <f t="shared" si="315"/>
        <v>22.170849845882874</v>
      </c>
      <c r="BH486" s="75">
        <f>BG486*(1-PARAM!$C$27)*$I$17+(MOD($B486,60)=PARAM!$B$56)*($B486&gt;(60-PARAM!$B$56))*HLOOKUP(($B486+PARAM!$B$56)/12,Loyalty,2)*$F$1*MAX(BJ485,0)</f>
        <v>18.557001321003963</v>
      </c>
      <c r="BI486" s="75">
        <f>PARAM!$C$26+MAX($G$17-CHOOSE(PARAM!$B$44,MAX(0,BJ485*$F$1),0),0)*RATES!$L462/12+$H$17*(PARAM!$D$51/12)*RATES!$N462/100</f>
        <v>99.541666666666671</v>
      </c>
      <c r="BJ486" s="16">
        <f t="shared" si="341"/>
        <v>-5862.3277512080831</v>
      </c>
      <c r="BK486" s="15">
        <f t="shared" si="316"/>
        <v>22.170849845882874</v>
      </c>
      <c r="BL486" s="75">
        <f>BK486*(1-PARAM!$C$27)*$I$18+(MOD($B486,60)=PARAM!$B$56)*($B486&gt;(60-PARAM!$B$56))*HLOOKUP(($B486+PARAM!$B$56)/12,Loyalty,2)*$F$1*MAX(BN485,0)</f>
        <v>18.557001321003963</v>
      </c>
      <c r="BM486" s="75">
        <f>PARAM!$C$26+MAX($G$18-CHOOSE(PARAM!$B$44,MAX(0,BN485*$F$1),0),0)*RATES!$L462/12+$H$18*(PARAM!$D$51/12)*RATES!$N462/100</f>
        <v>99.541666666666671</v>
      </c>
      <c r="BN486" s="16">
        <f t="shared" si="342"/>
        <v>-5862.3277512080831</v>
      </c>
      <c r="BO486" s="15">
        <f t="shared" si="317"/>
        <v>22.170849845882874</v>
      </c>
      <c r="BP486" s="75">
        <f>BO486*(1-PARAM!$C$27)*$I$19+(MOD($B486,60)=PARAM!$B$56)*($B486&gt;(60-PARAM!$B$56))*HLOOKUP(($B486+PARAM!$B$56)/12,Loyalty,2)*$F$1*MAX(BR485,0)</f>
        <v>18.557001321003963</v>
      </c>
      <c r="BQ486" s="75">
        <f>PARAM!$C$26+MAX($G$19-CHOOSE(PARAM!$B$44,MAX(0,BR485*$F$1),0),0)*RATES!$L462/12+$H$19*(PARAM!$D$51/12)*RATES!$N462/100</f>
        <v>99.541666666666671</v>
      </c>
      <c r="BR486" s="16">
        <f t="shared" si="343"/>
        <v>-5862.3277512080831</v>
      </c>
      <c r="BS486" s="15">
        <f t="shared" si="318"/>
        <v>22.170849845882874</v>
      </c>
      <c r="BT486" s="75">
        <f>BS486*(1-PARAM!$C$27)*$I$20+(MOD($B486,60)=PARAM!$B$56)*($B486&gt;(60-PARAM!$B$56))*HLOOKUP(($B486+PARAM!$B$56)/12,Loyalty,2)*$F$1*MAX(BV485,0)</f>
        <v>18.557001321003963</v>
      </c>
      <c r="BU486" s="75">
        <f>PARAM!$C$26+MAX($G$20-CHOOSE(PARAM!$B$44,MAX(0,BV485*$F$1),0),0)*RATES!$L462/12+$H$20*(PARAM!$D$51/12)*RATES!$N462/100</f>
        <v>99.541666666666671</v>
      </c>
      <c r="BV486" s="16">
        <f t="shared" si="344"/>
        <v>-5862.3277512080831</v>
      </c>
      <c r="BW486" s="15">
        <f t="shared" si="319"/>
        <v>22.170849845882874</v>
      </c>
      <c r="BX486" s="75">
        <f>BW486*(1-PARAM!$C$27)*$I$21+(MOD($B486,60)=PARAM!$B$56)*($B486&gt;(60-PARAM!$B$56))*HLOOKUP(($B486+PARAM!$B$56)/12,Loyalty,2)*$F$1*MAX(BZ485,0)</f>
        <v>18.557001321003963</v>
      </c>
      <c r="BY486" s="75">
        <f>PARAM!$C$26+MAX($G$21-CHOOSE(PARAM!$B$44,MAX(0,BZ485*$F$1),0),0)*RATES!$L462/12+$H$21*(PARAM!$D$51/12)*RATES!$N462/100</f>
        <v>99.541666666666671</v>
      </c>
      <c r="BZ486" s="16">
        <f t="shared" si="345"/>
        <v>-5862.3277512080831</v>
      </c>
      <c r="CA486" s="15">
        <f t="shared" si="320"/>
        <v>22.170849845882874</v>
      </c>
      <c r="CB486" s="75">
        <f>CA486*(1-PARAM!$C$27)*$I$22+(MOD($B486,60)=PARAM!$B$56)*($B486&gt;(60-PARAM!$B$56))*HLOOKUP(($B486+PARAM!$B$56)/12,Loyalty,2)*$F$1*MAX(CD485,0)</f>
        <v>18.557001321003963</v>
      </c>
      <c r="CC486" s="75">
        <f>PARAM!$C$26+MAX($G$22-CHOOSE(PARAM!$B$44,MAX(0,CD485*$F$1),0),0)*RATES!$L462/12+$H$22*(PARAM!$D$51/12)*RATES!$N462/100</f>
        <v>99.541666666666671</v>
      </c>
      <c r="CD486" s="16">
        <f t="shared" si="346"/>
        <v>-5862.3277512080831</v>
      </c>
      <c r="CE486" s="33">
        <f>IF(0=MOD(B486,12/PARAM!$D$51),1,0)</f>
        <v>1</v>
      </c>
      <c r="CF486" s="15">
        <f t="shared" si="321"/>
        <v>0</v>
      </c>
      <c r="CG486" s="75">
        <f>CF486*(1-PARAM!$C$27)*$R$3+(MOD($B486/12,5)=0)*($B486&gt;60)*HLOOKUP($B486/12,Loyalty,2)*$F$1*MAX(CI485,0)</f>
        <v>0</v>
      </c>
      <c r="CH486" s="75">
        <f>PARAM!$C$26+MAX($P$3-CHOOSE(PARAM!$B$44,MAX(0,CI485*$F$1),0),0)*RATES!$L462/12+$Q$3*(PARAM!$D$51/12)*RATES!$N462/100</f>
        <v>99.541666666666671</v>
      </c>
      <c r="CI486" s="16">
        <f>IF(CI485&gt;0,CI485*PARAM!$C$53,CI485)+CG486-CH486</f>
        <v>-14260.416666666648</v>
      </c>
      <c r="CJ486" s="15">
        <f t="shared" si="347"/>
        <v>0</v>
      </c>
      <c r="CK486" s="75">
        <f>CJ486*(1-PARAM!$C$27)*$R$4+(MOD($B486/12,5)=0)*($B486&gt;60)*HLOOKUP($B486/12,Loyalty,2)*$F$1*MAX(CM485,0)</f>
        <v>0</v>
      </c>
      <c r="CL486" s="75">
        <f>PARAM!$C$26+MAX($P$4-CHOOSE(PARAM!$B$44,MAX(0,CM485*$F$1),0),0)*RATES!$L462/12+$Q$4*(PARAM!$D$51/12)*RATES!$N462/100</f>
        <v>99.541666666666671</v>
      </c>
      <c r="CM486" s="16">
        <f>IF(CM485&gt;0,CM485*PARAM!$C$53,CM485)+CK486-CL486</f>
        <v>-14260.416666666648</v>
      </c>
      <c r="CO486" s="176"/>
    </row>
    <row r="487" spans="1:93" x14ac:dyDescent="0.2">
      <c r="A487" t="b">
        <f t="shared" si="322"/>
        <v>0</v>
      </c>
      <c r="B487" s="33">
        <v>460</v>
      </c>
      <c r="C487" s="15">
        <f t="shared" si="323"/>
        <v>20.081305947392778</v>
      </c>
      <c r="D487" s="75">
        <f>C487*(1-PARAM!$C$27)*$I$3+(MOD($B487,60)=PARAM!$B$56)*($B487&gt;(60-PARAM!$B$56))*HLOOKUP(($B487+PARAM!$B$56)/12,Loyalty,2)*$F$1*MAX(F486,0)</f>
        <v>16.808053077967756</v>
      </c>
      <c r="E487" s="75">
        <f>PARAM!$C$26+MAX($G$3-CHOOSE(PARAM!$B$44,MAX(0,F486*$F$1),0),0)*RATES!$L463/12+$H$3*(PARAM!$D$51/12)*RATES!$N463/100</f>
        <v>99.541666666666671</v>
      </c>
      <c r="F487" s="16">
        <f t="shared" si="324"/>
        <v>-6784.6791088719028</v>
      </c>
      <c r="G487" s="15">
        <f t="shared" si="325"/>
        <v>22.035289406060361</v>
      </c>
      <c r="H487" s="75">
        <f>G487*(1-PARAM!$C$27)*$I$4+(MOD($B487,60)=PARAM!$B$56)*($B487&gt;(60-PARAM!$B$56))*HLOOKUP(($B487+PARAM!$B$56)/12,Loyalty,2)*$F$1*MAX(J486,0)</f>
        <v>18.443537232872522</v>
      </c>
      <c r="I487" s="75">
        <f>PARAM!$C$26+MAX($G$4-CHOOSE(PARAM!$B$44,MAX(0,J486*$F$1),0),0)*RATES!$L463/12+$H$4*(PARAM!$D$51/12)*RATES!$N463/100</f>
        <v>99.541666666666671</v>
      </c>
      <c r="J487" s="16">
        <f t="shared" si="326"/>
        <v>-5998.5234334939923</v>
      </c>
      <c r="K487" s="15">
        <f t="shared" si="327"/>
        <v>22.170849845882874</v>
      </c>
      <c r="L487" s="75">
        <f>K487*(1-PARAM!$C$27)*$I$5+(MOD($B487,60)=PARAM!$B$56)*($B487&gt;(60-PARAM!$B$56))*HLOOKUP(($B487+PARAM!$B$56)/12,Loyalty,2)*$F$1*MAX(N486,0)</f>
        <v>18.557001321003963</v>
      </c>
      <c r="M487" s="75">
        <f>PARAM!$C$26+MAX($G$5-CHOOSE(PARAM!$B$44,MAX(0,N486*$F$1),0),0)*RATES!$L463/12+$H$5*(PARAM!$D$51/12)*RATES!$N463/100</f>
        <v>99.541666666666671</v>
      </c>
      <c r="N487" s="16">
        <f t="shared" si="328"/>
        <v>-5943.3124165537465</v>
      </c>
      <c r="O487" s="15">
        <f t="shared" si="329"/>
        <v>22.170849845882874</v>
      </c>
      <c r="P487" s="75">
        <f>O487*(1-PARAM!$C$27)*$I$6+(MOD($B487,60)=PARAM!$B$56)*($B487&gt;(60-PARAM!$B$56))*HLOOKUP(($B487+PARAM!$B$56)/12,Loyalty,2)*$F$1*MAX(R486,0)</f>
        <v>18.557001321003963</v>
      </c>
      <c r="Q487" s="75">
        <f>PARAM!$C$26+MAX($G$6-CHOOSE(PARAM!$B$44,MAX(0,R486*$F$1),0),0)*RATES!$L463/12+$H$6*(PARAM!$D$51/12)*RATES!$N463/100</f>
        <v>99.541666666666671</v>
      </c>
      <c r="R487" s="16">
        <f t="shared" si="330"/>
        <v>-5943.3124165537465</v>
      </c>
      <c r="S487" s="15">
        <f t="shared" si="305"/>
        <v>22.170849845882874</v>
      </c>
      <c r="T487" s="75">
        <f>S487*(1-PARAM!$C$27)*$I$7+(MOD($B487,60)=PARAM!$B$56)*($B487&gt;(60-PARAM!$B$56))*HLOOKUP(($B487+PARAM!$B$56)/12,Loyalty,2)*$F$1*MAX(V486,0)</f>
        <v>18.557001321003963</v>
      </c>
      <c r="U487" s="75">
        <f>PARAM!$C$26+MAX($G$7-CHOOSE(PARAM!$B$44,MAX(0,V486*$F$1),0),0)*RATES!$L463/12+$H$7*(PARAM!$D$51/12)*RATES!$N463/100</f>
        <v>99.541666666666671</v>
      </c>
      <c r="V487" s="16">
        <f t="shared" si="331"/>
        <v>-5943.3124165537465</v>
      </c>
      <c r="W487" s="15">
        <f t="shared" si="306"/>
        <v>22.170849845882874</v>
      </c>
      <c r="X487" s="75">
        <f>W487*(1-PARAM!$C$27)*$I$8+(MOD($B487,60)=PARAM!$B$56)*($B487&gt;(60-PARAM!$B$56))*HLOOKUP(($B487+PARAM!$B$56)/12,Loyalty,2)*$F$1*MAX(Z486,0)</f>
        <v>18.557001321003963</v>
      </c>
      <c r="Y487" s="75">
        <f>PARAM!$C$26+MAX($G$8-CHOOSE(PARAM!$B$44,MAX(0,Z486*$F$1),0),0)*RATES!$L463/12+$H$8*(PARAM!$D$51/12)*RATES!$N463/100</f>
        <v>99.541666666666671</v>
      </c>
      <c r="Z487" s="16">
        <f t="shared" si="332"/>
        <v>-5943.3124165537465</v>
      </c>
      <c r="AA487" s="15">
        <f t="shared" si="307"/>
        <v>22.170849845882874</v>
      </c>
      <c r="AB487" s="75">
        <f>AA487*(1-PARAM!$C$27)*$I$9+(MOD($B487,60)=PARAM!$B$56)*($B487&gt;(60-PARAM!$B$56))*HLOOKUP(($B487+PARAM!$B$56)/12,Loyalty,2)*$F$1*MAX(AD486,0)</f>
        <v>18.557001321003963</v>
      </c>
      <c r="AC487" s="75">
        <f>PARAM!$C$26+MAX($G$9-CHOOSE(PARAM!$B$44,MAX(0,AD486*$F$1),0),0)*RATES!$L463/12+$H$9*(PARAM!$D$51/12)*RATES!$N463/100</f>
        <v>99.541666666666671</v>
      </c>
      <c r="AD487" s="16">
        <f t="shared" si="333"/>
        <v>-5943.3124165537465</v>
      </c>
      <c r="AE487" s="15">
        <f t="shared" si="308"/>
        <v>22.170849845882874</v>
      </c>
      <c r="AF487" s="75">
        <f>AE487*(1-PARAM!$C$27)*$I$10+(MOD($B487,60)=PARAM!$B$56)*($B487&gt;(60-PARAM!$B$56))*HLOOKUP(($B487+PARAM!$B$56)/12,Loyalty,2)*$F$1*MAX(AH486,0)</f>
        <v>18.557001321003963</v>
      </c>
      <c r="AG487" s="75">
        <f>PARAM!$C$26+MAX($G$10-CHOOSE(PARAM!$B$44,MAX(0,AH486*$F$1),0),0)*RATES!$L463/12+$H$10*(PARAM!$D$51/12)*RATES!$N463/100</f>
        <v>99.541666666666671</v>
      </c>
      <c r="AH487" s="16">
        <f t="shared" si="334"/>
        <v>-5943.3124165537465</v>
      </c>
      <c r="AI487" s="15">
        <f t="shared" si="309"/>
        <v>22.170849845882874</v>
      </c>
      <c r="AJ487" s="75">
        <f>AI487*(1-PARAM!$C$27)*$I$11+(MOD($B487,60)=PARAM!$B$56)*($B487&gt;(60-PARAM!$B$56))*HLOOKUP(($B487+PARAM!$B$56)/12,Loyalty,2)*$F$1*MAX(AL486,0)</f>
        <v>18.557001321003963</v>
      </c>
      <c r="AK487" s="75">
        <f>PARAM!$C$26+MAX($G$11-CHOOSE(PARAM!$B$44,MAX(0,AL486*$F$1),0),0)*RATES!$L463/12+$H$11*(PARAM!$D$51/12)*RATES!$N463/100</f>
        <v>99.541666666666671</v>
      </c>
      <c r="AL487" s="16">
        <f t="shared" si="335"/>
        <v>-5943.3124165537465</v>
      </c>
      <c r="AM487" s="15">
        <f t="shared" si="310"/>
        <v>22.170849845882874</v>
      </c>
      <c r="AN487" s="75">
        <f>AM487*(1-PARAM!$C$27)*$I$12+(MOD($B487,60)=PARAM!$B$56)*($B487&gt;(60-PARAM!$B$56))*HLOOKUP(($B487+PARAM!$B$56)/12,Loyalty,2)*$F$1*MAX(AP486,0)</f>
        <v>18.557001321003963</v>
      </c>
      <c r="AO487" s="75">
        <f>PARAM!$C$26+MAX($G$12-CHOOSE(PARAM!$B$44,MAX(0,AP486*$F$1),0),0)*RATES!$L463/12+$H$12*(PARAM!$D$51/12)*RATES!$N463/100</f>
        <v>99.541666666666671</v>
      </c>
      <c r="AP487" s="16">
        <f t="shared" si="336"/>
        <v>-5943.3124165537465</v>
      </c>
      <c r="AQ487" s="15">
        <f t="shared" si="311"/>
        <v>22.170849845882874</v>
      </c>
      <c r="AR487" s="75">
        <f>AQ487*(1-PARAM!$C$27)*$I$13+(MOD($B487,60)=PARAM!$B$56)*($B487&gt;(60-PARAM!$B$56))*HLOOKUP(($B487+PARAM!$B$56)/12,Loyalty,2)*$F$1*MAX(AT486,0)</f>
        <v>18.557001321003963</v>
      </c>
      <c r="AS487" s="75">
        <f>PARAM!$C$26+MAX($G$13-CHOOSE(PARAM!$B$44,MAX(0,AT486*$F$1),0),0)*RATES!$L463/12+$H$13*(PARAM!$D$51/12)*RATES!$N463/100</f>
        <v>99.541666666666671</v>
      </c>
      <c r="AT487" s="16">
        <f t="shared" si="337"/>
        <v>-5943.3124165537465</v>
      </c>
      <c r="AU487" s="15">
        <f t="shared" si="312"/>
        <v>22.170849845882874</v>
      </c>
      <c r="AV487" s="75">
        <f>AU487*(1-PARAM!$C$27)*$I$14+(MOD($B487,60)=PARAM!$B$56)*($B487&gt;(60-PARAM!$B$56))*HLOOKUP(($B487+PARAM!$B$56)/12,Loyalty,2)*$F$1*MAX(AX486,0)</f>
        <v>18.557001321003963</v>
      </c>
      <c r="AW487" s="75">
        <f>PARAM!$C$26+MAX($G$14-CHOOSE(PARAM!$B$44,MAX(0,AX486*$F$1),0),0)*RATES!$L463/12+$H$14*(PARAM!$D$51/12)*RATES!$N463/100</f>
        <v>99.541666666666671</v>
      </c>
      <c r="AX487" s="16">
        <f t="shared" si="338"/>
        <v>-5943.3124165537465</v>
      </c>
      <c r="AY487" s="15">
        <f t="shared" si="313"/>
        <v>22.170849845882874</v>
      </c>
      <c r="AZ487" s="75">
        <f>AY487*(1-PARAM!$C$27)*$I$15+(MOD($B487,60)=PARAM!$B$56)*($B487&gt;(60-PARAM!$B$56))*HLOOKUP(($B487+PARAM!$B$56)/12,Loyalty,2)*$F$1*MAX(BB486,0)</f>
        <v>18.557001321003963</v>
      </c>
      <c r="BA487" s="75">
        <f>PARAM!$C$26+MAX($G$15-CHOOSE(PARAM!$B$44,MAX(0,BB486*$F$1),0),0)*RATES!$L463/12+$H$15*(PARAM!$D$51/12)*RATES!$N463/100</f>
        <v>99.541666666666671</v>
      </c>
      <c r="BB487" s="16">
        <f t="shared" si="339"/>
        <v>-5943.3124165537465</v>
      </c>
      <c r="BC487" s="15">
        <f t="shared" si="314"/>
        <v>22.170849845882874</v>
      </c>
      <c r="BD487" s="75">
        <f>BC487*(1-PARAM!$C$27)*$I$16+(MOD($B487,60)=PARAM!$B$56)*($B487&gt;(60-PARAM!$B$56))*HLOOKUP(($B487+PARAM!$B$56)/12,Loyalty,2)*$F$1*MAX(BF486,0)</f>
        <v>18.557001321003963</v>
      </c>
      <c r="BE487" s="75">
        <f>PARAM!$C$26+MAX($G$16-CHOOSE(PARAM!$B$44,MAX(0,BF486*$F$1),0),0)*RATES!$L463/12+$H$16*(PARAM!$D$51/12)*RATES!$N463/100</f>
        <v>99.541666666666671</v>
      </c>
      <c r="BF487" s="16">
        <f t="shared" si="340"/>
        <v>-5943.3124165537465</v>
      </c>
      <c r="BG487" s="15">
        <f t="shared" si="315"/>
        <v>22.170849845882874</v>
      </c>
      <c r="BH487" s="75">
        <f>BG487*(1-PARAM!$C$27)*$I$17+(MOD($B487,60)=PARAM!$B$56)*($B487&gt;(60-PARAM!$B$56))*HLOOKUP(($B487+PARAM!$B$56)/12,Loyalty,2)*$F$1*MAX(BJ486,0)</f>
        <v>18.557001321003963</v>
      </c>
      <c r="BI487" s="75">
        <f>PARAM!$C$26+MAX($G$17-CHOOSE(PARAM!$B$44,MAX(0,BJ486*$F$1),0),0)*RATES!$L463/12+$H$17*(PARAM!$D$51/12)*RATES!$N463/100</f>
        <v>99.541666666666671</v>
      </c>
      <c r="BJ487" s="16">
        <f t="shared" si="341"/>
        <v>-5943.3124165537465</v>
      </c>
      <c r="BK487" s="15">
        <f t="shared" si="316"/>
        <v>22.170849845882874</v>
      </c>
      <c r="BL487" s="75">
        <f>BK487*(1-PARAM!$C$27)*$I$18+(MOD($B487,60)=PARAM!$B$56)*($B487&gt;(60-PARAM!$B$56))*HLOOKUP(($B487+PARAM!$B$56)/12,Loyalty,2)*$F$1*MAX(BN486,0)</f>
        <v>18.557001321003963</v>
      </c>
      <c r="BM487" s="75">
        <f>PARAM!$C$26+MAX($G$18-CHOOSE(PARAM!$B$44,MAX(0,BN486*$F$1),0),0)*RATES!$L463/12+$H$18*(PARAM!$D$51/12)*RATES!$N463/100</f>
        <v>99.541666666666671</v>
      </c>
      <c r="BN487" s="16">
        <f t="shared" si="342"/>
        <v>-5943.3124165537465</v>
      </c>
      <c r="BO487" s="15">
        <f t="shared" si="317"/>
        <v>22.170849845882874</v>
      </c>
      <c r="BP487" s="75">
        <f>BO487*(1-PARAM!$C$27)*$I$19+(MOD($B487,60)=PARAM!$B$56)*($B487&gt;(60-PARAM!$B$56))*HLOOKUP(($B487+PARAM!$B$56)/12,Loyalty,2)*$F$1*MAX(BR486,0)</f>
        <v>18.557001321003963</v>
      </c>
      <c r="BQ487" s="75">
        <f>PARAM!$C$26+MAX($G$19-CHOOSE(PARAM!$B$44,MAX(0,BR486*$F$1),0),0)*RATES!$L463/12+$H$19*(PARAM!$D$51/12)*RATES!$N463/100</f>
        <v>99.541666666666671</v>
      </c>
      <c r="BR487" s="16">
        <f t="shared" si="343"/>
        <v>-5943.3124165537465</v>
      </c>
      <c r="BS487" s="15">
        <f t="shared" si="318"/>
        <v>22.170849845882874</v>
      </c>
      <c r="BT487" s="75">
        <f>BS487*(1-PARAM!$C$27)*$I$20+(MOD($B487,60)=PARAM!$B$56)*($B487&gt;(60-PARAM!$B$56))*HLOOKUP(($B487+PARAM!$B$56)/12,Loyalty,2)*$F$1*MAX(BV486,0)</f>
        <v>18.557001321003963</v>
      </c>
      <c r="BU487" s="75">
        <f>PARAM!$C$26+MAX($G$20-CHOOSE(PARAM!$B$44,MAX(0,BV486*$F$1),0),0)*RATES!$L463/12+$H$20*(PARAM!$D$51/12)*RATES!$N463/100</f>
        <v>99.541666666666671</v>
      </c>
      <c r="BV487" s="16">
        <f t="shared" si="344"/>
        <v>-5943.3124165537465</v>
      </c>
      <c r="BW487" s="15">
        <f t="shared" si="319"/>
        <v>22.170849845882874</v>
      </c>
      <c r="BX487" s="75">
        <f>BW487*(1-PARAM!$C$27)*$I$21+(MOD($B487,60)=PARAM!$B$56)*($B487&gt;(60-PARAM!$B$56))*HLOOKUP(($B487+PARAM!$B$56)/12,Loyalty,2)*$F$1*MAX(BZ486,0)</f>
        <v>18.557001321003963</v>
      </c>
      <c r="BY487" s="75">
        <f>PARAM!$C$26+MAX($G$21-CHOOSE(PARAM!$B$44,MAX(0,BZ486*$F$1),0),0)*RATES!$L463/12+$H$21*(PARAM!$D$51/12)*RATES!$N463/100</f>
        <v>99.541666666666671</v>
      </c>
      <c r="BZ487" s="16">
        <f t="shared" si="345"/>
        <v>-5943.3124165537465</v>
      </c>
      <c r="CA487" s="15">
        <f t="shared" si="320"/>
        <v>22.170849845882874</v>
      </c>
      <c r="CB487" s="75">
        <f>CA487*(1-PARAM!$C$27)*$I$22+(MOD($B487,60)=PARAM!$B$56)*($B487&gt;(60-PARAM!$B$56))*HLOOKUP(($B487+PARAM!$B$56)/12,Loyalty,2)*$F$1*MAX(CD486,0)</f>
        <v>18.557001321003963</v>
      </c>
      <c r="CC487" s="75">
        <f>PARAM!$C$26+MAX($G$22-CHOOSE(PARAM!$B$44,MAX(0,CD486*$F$1),0),0)*RATES!$L463/12+$H$22*(PARAM!$D$51/12)*RATES!$N463/100</f>
        <v>99.541666666666671</v>
      </c>
      <c r="CD487" s="16">
        <f t="shared" si="346"/>
        <v>-5943.3124165537465</v>
      </c>
      <c r="CE487" s="33">
        <f>IF(0=MOD(B487,12/PARAM!$D$51),1,0)</f>
        <v>1</v>
      </c>
      <c r="CF487" s="15">
        <f t="shared" si="321"/>
        <v>0</v>
      </c>
      <c r="CG487" s="75">
        <f>CF487*(1-PARAM!$C$27)*$R$3+(MOD($B487/12,5)=0)*($B487&gt;60)*HLOOKUP($B487/12,Loyalty,2)*$F$1*MAX(CI486,0)</f>
        <v>0</v>
      </c>
      <c r="CH487" s="75">
        <f>PARAM!$C$26+MAX($P$3-CHOOSE(PARAM!$B$44,MAX(0,CI486*$F$1),0),0)*RATES!$L463/12+$Q$3*(PARAM!$D$51/12)*RATES!$N463/100</f>
        <v>99.541666666666671</v>
      </c>
      <c r="CI487" s="16">
        <f>IF(CI486&gt;0,CI486*PARAM!$C$53,CI486)+CG487-CH487</f>
        <v>-14359.958333333314</v>
      </c>
      <c r="CJ487" s="15">
        <f t="shared" si="347"/>
        <v>0</v>
      </c>
      <c r="CK487" s="75">
        <f>CJ487*(1-PARAM!$C$27)*$R$4+(MOD($B487/12,5)=0)*($B487&gt;60)*HLOOKUP($B487/12,Loyalty,2)*$F$1*MAX(CM486,0)</f>
        <v>0</v>
      </c>
      <c r="CL487" s="75">
        <f>PARAM!$C$26+MAX($P$4-CHOOSE(PARAM!$B$44,MAX(0,CM486*$F$1),0),0)*RATES!$L463/12+$Q$4*(PARAM!$D$51/12)*RATES!$N463/100</f>
        <v>99.541666666666671</v>
      </c>
      <c r="CM487" s="16">
        <f>IF(CM486&gt;0,CM486*PARAM!$C$53,CM486)+CK487-CL487</f>
        <v>-14359.958333333314</v>
      </c>
      <c r="CO487" s="176"/>
    </row>
    <row r="488" spans="1:93" x14ac:dyDescent="0.2">
      <c r="A488" t="b">
        <f t="shared" si="322"/>
        <v>0</v>
      </c>
      <c r="B488" s="33">
        <v>461</v>
      </c>
      <c r="C488" s="15">
        <f t="shared" si="323"/>
        <v>20.081305947392778</v>
      </c>
      <c r="D488" s="75">
        <f>C488*(1-PARAM!$C$27)*$I$3+(MOD($B488,60)=PARAM!$B$56)*($B488&gt;(60-PARAM!$B$56))*HLOOKUP(($B488+PARAM!$B$56)/12,Loyalty,2)*$F$1*MAX(F487,0)</f>
        <v>16.808053077967756</v>
      </c>
      <c r="E488" s="75">
        <f>PARAM!$C$26+MAX($G$3-CHOOSE(PARAM!$B$44,MAX(0,F487*$F$1),0),0)*RATES!$L464/12+$H$3*(PARAM!$D$51/12)*RATES!$N464/100</f>
        <v>99.541666666666671</v>
      </c>
      <c r="F488" s="16">
        <f t="shared" si="324"/>
        <v>-6867.4127224606018</v>
      </c>
      <c r="G488" s="15">
        <f t="shared" si="325"/>
        <v>22.035289406060361</v>
      </c>
      <c r="H488" s="75">
        <f>G488*(1-PARAM!$C$27)*$I$4+(MOD($B488,60)=PARAM!$B$56)*($B488&gt;(60-PARAM!$B$56))*HLOOKUP(($B488+PARAM!$B$56)/12,Loyalty,2)*$F$1*MAX(J487,0)</f>
        <v>18.443537232872522</v>
      </c>
      <c r="I488" s="75">
        <f>PARAM!$C$26+MAX($G$4-CHOOSE(PARAM!$B$44,MAX(0,J487*$F$1),0),0)*RATES!$L464/12+$H$4*(PARAM!$D$51/12)*RATES!$N464/100</f>
        <v>99.541666666666671</v>
      </c>
      <c r="J488" s="16">
        <f t="shared" si="326"/>
        <v>-6079.6215629277867</v>
      </c>
      <c r="K488" s="15">
        <f t="shared" si="327"/>
        <v>22.170849845882874</v>
      </c>
      <c r="L488" s="75">
        <f>K488*(1-PARAM!$C$27)*$I$5+(MOD($B488,60)=PARAM!$B$56)*($B488&gt;(60-PARAM!$B$56))*HLOOKUP(($B488+PARAM!$B$56)/12,Loyalty,2)*$F$1*MAX(N487,0)</f>
        <v>18.557001321003963</v>
      </c>
      <c r="M488" s="75">
        <f>PARAM!$C$26+MAX($G$5-CHOOSE(PARAM!$B$44,MAX(0,N487*$F$1),0),0)*RATES!$L464/12+$H$5*(PARAM!$D$51/12)*RATES!$N464/100</f>
        <v>99.541666666666671</v>
      </c>
      <c r="N488" s="16">
        <f t="shared" si="328"/>
        <v>-6024.2970818994099</v>
      </c>
      <c r="O488" s="15">
        <f t="shared" si="329"/>
        <v>22.170849845882874</v>
      </c>
      <c r="P488" s="75">
        <f>O488*(1-PARAM!$C$27)*$I$6+(MOD($B488,60)=PARAM!$B$56)*($B488&gt;(60-PARAM!$B$56))*HLOOKUP(($B488+PARAM!$B$56)/12,Loyalty,2)*$F$1*MAX(R487,0)</f>
        <v>18.557001321003963</v>
      </c>
      <c r="Q488" s="75">
        <f>PARAM!$C$26+MAX($G$6-CHOOSE(PARAM!$B$44,MAX(0,R487*$F$1),0),0)*RATES!$L464/12+$H$6*(PARAM!$D$51/12)*RATES!$N464/100</f>
        <v>99.541666666666671</v>
      </c>
      <c r="R488" s="16">
        <f t="shared" si="330"/>
        <v>-6024.2970818994099</v>
      </c>
      <c r="S488" s="15">
        <f t="shared" si="305"/>
        <v>22.170849845882874</v>
      </c>
      <c r="T488" s="75">
        <f>S488*(1-PARAM!$C$27)*$I$7+(MOD($B488,60)=PARAM!$B$56)*($B488&gt;(60-PARAM!$B$56))*HLOOKUP(($B488+PARAM!$B$56)/12,Loyalty,2)*$F$1*MAX(V487,0)</f>
        <v>18.557001321003963</v>
      </c>
      <c r="U488" s="75">
        <f>PARAM!$C$26+MAX($G$7-CHOOSE(PARAM!$B$44,MAX(0,V487*$F$1),0),0)*RATES!$L464/12+$H$7*(PARAM!$D$51/12)*RATES!$N464/100</f>
        <v>99.541666666666671</v>
      </c>
      <c r="V488" s="16">
        <f t="shared" si="331"/>
        <v>-6024.2970818994099</v>
      </c>
      <c r="W488" s="15">
        <f t="shared" si="306"/>
        <v>22.170849845882874</v>
      </c>
      <c r="X488" s="75">
        <f>W488*(1-PARAM!$C$27)*$I$8+(MOD($B488,60)=PARAM!$B$56)*($B488&gt;(60-PARAM!$B$56))*HLOOKUP(($B488+PARAM!$B$56)/12,Loyalty,2)*$F$1*MAX(Z487,0)</f>
        <v>18.557001321003963</v>
      </c>
      <c r="Y488" s="75">
        <f>PARAM!$C$26+MAX($G$8-CHOOSE(PARAM!$B$44,MAX(0,Z487*$F$1),0),0)*RATES!$L464/12+$H$8*(PARAM!$D$51/12)*RATES!$N464/100</f>
        <v>99.541666666666671</v>
      </c>
      <c r="Z488" s="16">
        <f t="shared" si="332"/>
        <v>-6024.2970818994099</v>
      </c>
      <c r="AA488" s="15">
        <f t="shared" si="307"/>
        <v>22.170849845882874</v>
      </c>
      <c r="AB488" s="75">
        <f>AA488*(1-PARAM!$C$27)*$I$9+(MOD($B488,60)=PARAM!$B$56)*($B488&gt;(60-PARAM!$B$56))*HLOOKUP(($B488+PARAM!$B$56)/12,Loyalty,2)*$F$1*MAX(AD487,0)</f>
        <v>18.557001321003963</v>
      </c>
      <c r="AC488" s="75">
        <f>PARAM!$C$26+MAX($G$9-CHOOSE(PARAM!$B$44,MAX(0,AD487*$F$1),0),0)*RATES!$L464/12+$H$9*(PARAM!$D$51/12)*RATES!$N464/100</f>
        <v>99.541666666666671</v>
      </c>
      <c r="AD488" s="16">
        <f t="shared" si="333"/>
        <v>-6024.2970818994099</v>
      </c>
      <c r="AE488" s="15">
        <f t="shared" si="308"/>
        <v>22.170849845882874</v>
      </c>
      <c r="AF488" s="75">
        <f>AE488*(1-PARAM!$C$27)*$I$10+(MOD($B488,60)=PARAM!$B$56)*($B488&gt;(60-PARAM!$B$56))*HLOOKUP(($B488+PARAM!$B$56)/12,Loyalty,2)*$F$1*MAX(AH487,0)</f>
        <v>18.557001321003963</v>
      </c>
      <c r="AG488" s="75">
        <f>PARAM!$C$26+MAX($G$10-CHOOSE(PARAM!$B$44,MAX(0,AH487*$F$1),0),0)*RATES!$L464/12+$H$10*(PARAM!$D$51/12)*RATES!$N464/100</f>
        <v>99.541666666666671</v>
      </c>
      <c r="AH488" s="16">
        <f t="shared" si="334"/>
        <v>-6024.2970818994099</v>
      </c>
      <c r="AI488" s="15">
        <f t="shared" si="309"/>
        <v>22.170849845882874</v>
      </c>
      <c r="AJ488" s="75">
        <f>AI488*(1-PARAM!$C$27)*$I$11+(MOD($B488,60)=PARAM!$B$56)*($B488&gt;(60-PARAM!$B$56))*HLOOKUP(($B488+PARAM!$B$56)/12,Loyalty,2)*$F$1*MAX(AL487,0)</f>
        <v>18.557001321003963</v>
      </c>
      <c r="AK488" s="75">
        <f>PARAM!$C$26+MAX($G$11-CHOOSE(PARAM!$B$44,MAX(0,AL487*$F$1),0),0)*RATES!$L464/12+$H$11*(PARAM!$D$51/12)*RATES!$N464/100</f>
        <v>99.541666666666671</v>
      </c>
      <c r="AL488" s="16">
        <f t="shared" si="335"/>
        <v>-6024.2970818994099</v>
      </c>
      <c r="AM488" s="15">
        <f t="shared" si="310"/>
        <v>22.170849845882874</v>
      </c>
      <c r="AN488" s="75">
        <f>AM488*(1-PARAM!$C$27)*$I$12+(MOD($B488,60)=PARAM!$B$56)*($B488&gt;(60-PARAM!$B$56))*HLOOKUP(($B488+PARAM!$B$56)/12,Loyalty,2)*$F$1*MAX(AP487,0)</f>
        <v>18.557001321003963</v>
      </c>
      <c r="AO488" s="75">
        <f>PARAM!$C$26+MAX($G$12-CHOOSE(PARAM!$B$44,MAX(0,AP487*$F$1),0),0)*RATES!$L464/12+$H$12*(PARAM!$D$51/12)*RATES!$N464/100</f>
        <v>99.541666666666671</v>
      </c>
      <c r="AP488" s="16">
        <f t="shared" si="336"/>
        <v>-6024.2970818994099</v>
      </c>
      <c r="AQ488" s="15">
        <f t="shared" si="311"/>
        <v>22.170849845882874</v>
      </c>
      <c r="AR488" s="75">
        <f>AQ488*(1-PARAM!$C$27)*$I$13+(MOD($B488,60)=PARAM!$B$56)*($B488&gt;(60-PARAM!$B$56))*HLOOKUP(($B488+PARAM!$B$56)/12,Loyalty,2)*$F$1*MAX(AT487,0)</f>
        <v>18.557001321003963</v>
      </c>
      <c r="AS488" s="75">
        <f>PARAM!$C$26+MAX($G$13-CHOOSE(PARAM!$B$44,MAX(0,AT487*$F$1),0),0)*RATES!$L464/12+$H$13*(PARAM!$D$51/12)*RATES!$N464/100</f>
        <v>99.541666666666671</v>
      </c>
      <c r="AT488" s="16">
        <f t="shared" si="337"/>
        <v>-6024.2970818994099</v>
      </c>
      <c r="AU488" s="15">
        <f t="shared" si="312"/>
        <v>22.170849845882874</v>
      </c>
      <c r="AV488" s="75">
        <f>AU488*(1-PARAM!$C$27)*$I$14+(MOD($B488,60)=PARAM!$B$56)*($B488&gt;(60-PARAM!$B$56))*HLOOKUP(($B488+PARAM!$B$56)/12,Loyalty,2)*$F$1*MAX(AX487,0)</f>
        <v>18.557001321003963</v>
      </c>
      <c r="AW488" s="75">
        <f>PARAM!$C$26+MAX($G$14-CHOOSE(PARAM!$B$44,MAX(0,AX487*$F$1),0),0)*RATES!$L464/12+$H$14*(PARAM!$D$51/12)*RATES!$N464/100</f>
        <v>99.541666666666671</v>
      </c>
      <c r="AX488" s="16">
        <f t="shared" si="338"/>
        <v>-6024.2970818994099</v>
      </c>
      <c r="AY488" s="15">
        <f t="shared" si="313"/>
        <v>22.170849845882874</v>
      </c>
      <c r="AZ488" s="75">
        <f>AY488*(1-PARAM!$C$27)*$I$15+(MOD($B488,60)=PARAM!$B$56)*($B488&gt;(60-PARAM!$B$56))*HLOOKUP(($B488+PARAM!$B$56)/12,Loyalty,2)*$F$1*MAX(BB487,0)</f>
        <v>18.557001321003963</v>
      </c>
      <c r="BA488" s="75">
        <f>PARAM!$C$26+MAX($G$15-CHOOSE(PARAM!$B$44,MAX(0,BB487*$F$1),0),0)*RATES!$L464/12+$H$15*(PARAM!$D$51/12)*RATES!$N464/100</f>
        <v>99.541666666666671</v>
      </c>
      <c r="BB488" s="16">
        <f t="shared" si="339"/>
        <v>-6024.2970818994099</v>
      </c>
      <c r="BC488" s="15">
        <f t="shared" si="314"/>
        <v>22.170849845882874</v>
      </c>
      <c r="BD488" s="75">
        <f>BC488*(1-PARAM!$C$27)*$I$16+(MOD($B488,60)=PARAM!$B$56)*($B488&gt;(60-PARAM!$B$56))*HLOOKUP(($B488+PARAM!$B$56)/12,Loyalty,2)*$F$1*MAX(BF487,0)</f>
        <v>18.557001321003963</v>
      </c>
      <c r="BE488" s="75">
        <f>PARAM!$C$26+MAX($G$16-CHOOSE(PARAM!$B$44,MAX(0,BF487*$F$1),0),0)*RATES!$L464/12+$H$16*(PARAM!$D$51/12)*RATES!$N464/100</f>
        <v>99.541666666666671</v>
      </c>
      <c r="BF488" s="16">
        <f t="shared" si="340"/>
        <v>-6024.2970818994099</v>
      </c>
      <c r="BG488" s="15">
        <f t="shared" si="315"/>
        <v>22.170849845882874</v>
      </c>
      <c r="BH488" s="75">
        <f>BG488*(1-PARAM!$C$27)*$I$17+(MOD($B488,60)=PARAM!$B$56)*($B488&gt;(60-PARAM!$B$56))*HLOOKUP(($B488+PARAM!$B$56)/12,Loyalty,2)*$F$1*MAX(BJ487,0)</f>
        <v>18.557001321003963</v>
      </c>
      <c r="BI488" s="75">
        <f>PARAM!$C$26+MAX($G$17-CHOOSE(PARAM!$B$44,MAX(0,BJ487*$F$1),0),0)*RATES!$L464/12+$H$17*(PARAM!$D$51/12)*RATES!$N464/100</f>
        <v>99.541666666666671</v>
      </c>
      <c r="BJ488" s="16">
        <f t="shared" si="341"/>
        <v>-6024.2970818994099</v>
      </c>
      <c r="BK488" s="15">
        <f t="shared" si="316"/>
        <v>22.170849845882874</v>
      </c>
      <c r="BL488" s="75">
        <f>BK488*(1-PARAM!$C$27)*$I$18+(MOD($B488,60)=PARAM!$B$56)*($B488&gt;(60-PARAM!$B$56))*HLOOKUP(($B488+PARAM!$B$56)/12,Loyalty,2)*$F$1*MAX(BN487,0)</f>
        <v>18.557001321003963</v>
      </c>
      <c r="BM488" s="75">
        <f>PARAM!$C$26+MAX($G$18-CHOOSE(PARAM!$B$44,MAX(0,BN487*$F$1),0),0)*RATES!$L464/12+$H$18*(PARAM!$D$51/12)*RATES!$N464/100</f>
        <v>99.541666666666671</v>
      </c>
      <c r="BN488" s="16">
        <f t="shared" si="342"/>
        <v>-6024.2970818994099</v>
      </c>
      <c r="BO488" s="15">
        <f t="shared" si="317"/>
        <v>22.170849845882874</v>
      </c>
      <c r="BP488" s="75">
        <f>BO488*(1-PARAM!$C$27)*$I$19+(MOD($B488,60)=PARAM!$B$56)*($B488&gt;(60-PARAM!$B$56))*HLOOKUP(($B488+PARAM!$B$56)/12,Loyalty,2)*$F$1*MAX(BR487,0)</f>
        <v>18.557001321003963</v>
      </c>
      <c r="BQ488" s="75">
        <f>PARAM!$C$26+MAX($G$19-CHOOSE(PARAM!$B$44,MAX(0,BR487*$F$1),0),0)*RATES!$L464/12+$H$19*(PARAM!$D$51/12)*RATES!$N464/100</f>
        <v>99.541666666666671</v>
      </c>
      <c r="BR488" s="16">
        <f t="shared" si="343"/>
        <v>-6024.2970818994099</v>
      </c>
      <c r="BS488" s="15">
        <f t="shared" si="318"/>
        <v>22.170849845882874</v>
      </c>
      <c r="BT488" s="75">
        <f>BS488*(1-PARAM!$C$27)*$I$20+(MOD($B488,60)=PARAM!$B$56)*($B488&gt;(60-PARAM!$B$56))*HLOOKUP(($B488+PARAM!$B$56)/12,Loyalty,2)*$F$1*MAX(BV487,0)</f>
        <v>18.557001321003963</v>
      </c>
      <c r="BU488" s="75">
        <f>PARAM!$C$26+MAX($G$20-CHOOSE(PARAM!$B$44,MAX(0,BV487*$F$1),0),0)*RATES!$L464/12+$H$20*(PARAM!$D$51/12)*RATES!$N464/100</f>
        <v>99.541666666666671</v>
      </c>
      <c r="BV488" s="16">
        <f t="shared" si="344"/>
        <v>-6024.2970818994099</v>
      </c>
      <c r="BW488" s="15">
        <f t="shared" si="319"/>
        <v>22.170849845882874</v>
      </c>
      <c r="BX488" s="75">
        <f>BW488*(1-PARAM!$C$27)*$I$21+(MOD($B488,60)=PARAM!$B$56)*($B488&gt;(60-PARAM!$B$56))*HLOOKUP(($B488+PARAM!$B$56)/12,Loyalty,2)*$F$1*MAX(BZ487,0)</f>
        <v>18.557001321003963</v>
      </c>
      <c r="BY488" s="75">
        <f>PARAM!$C$26+MAX($G$21-CHOOSE(PARAM!$B$44,MAX(0,BZ487*$F$1),0),0)*RATES!$L464/12+$H$21*(PARAM!$D$51/12)*RATES!$N464/100</f>
        <v>99.541666666666671</v>
      </c>
      <c r="BZ488" s="16">
        <f t="shared" si="345"/>
        <v>-6024.2970818994099</v>
      </c>
      <c r="CA488" s="15">
        <f t="shared" si="320"/>
        <v>22.170849845882874</v>
      </c>
      <c r="CB488" s="75">
        <f>CA488*(1-PARAM!$C$27)*$I$22+(MOD($B488,60)=PARAM!$B$56)*($B488&gt;(60-PARAM!$B$56))*HLOOKUP(($B488+PARAM!$B$56)/12,Loyalty,2)*$F$1*MAX(CD487,0)</f>
        <v>18.557001321003963</v>
      </c>
      <c r="CC488" s="75">
        <f>PARAM!$C$26+MAX($G$22-CHOOSE(PARAM!$B$44,MAX(0,CD487*$F$1),0),0)*RATES!$L464/12+$H$22*(PARAM!$D$51/12)*RATES!$N464/100</f>
        <v>99.541666666666671</v>
      </c>
      <c r="CD488" s="16">
        <f t="shared" si="346"/>
        <v>-6024.2970818994099</v>
      </c>
      <c r="CE488" s="33">
        <f>IF(0=MOD(B488,12/PARAM!$D$51),1,0)</f>
        <v>1</v>
      </c>
      <c r="CF488" s="15">
        <f t="shared" si="321"/>
        <v>0</v>
      </c>
      <c r="CG488" s="75">
        <f>CF488*(1-PARAM!$C$27)*$R$3+(MOD($B488/12,5)=0)*($B488&gt;60)*HLOOKUP($B488/12,Loyalty,2)*$F$1*MAX(CI487,0)</f>
        <v>0</v>
      </c>
      <c r="CH488" s="75">
        <f>PARAM!$C$26+MAX($P$3-CHOOSE(PARAM!$B$44,MAX(0,CI487*$F$1),0),0)*RATES!$L464/12+$Q$3*(PARAM!$D$51/12)*RATES!$N464/100</f>
        <v>99.541666666666671</v>
      </c>
      <c r="CI488" s="16">
        <f>IF(CI487&gt;0,CI487*PARAM!$C$53,CI487)+CG488-CH488</f>
        <v>-14459.49999999998</v>
      </c>
      <c r="CJ488" s="15">
        <f t="shared" si="347"/>
        <v>0</v>
      </c>
      <c r="CK488" s="75">
        <f>CJ488*(1-PARAM!$C$27)*$R$4+(MOD($B488/12,5)=0)*($B488&gt;60)*HLOOKUP($B488/12,Loyalty,2)*$F$1*MAX(CM487,0)</f>
        <v>0</v>
      </c>
      <c r="CL488" s="75">
        <f>PARAM!$C$26+MAX($P$4-CHOOSE(PARAM!$B$44,MAX(0,CM487*$F$1),0),0)*RATES!$L464/12+$Q$4*(PARAM!$D$51/12)*RATES!$N464/100</f>
        <v>99.541666666666671</v>
      </c>
      <c r="CM488" s="16">
        <f>IF(CM487&gt;0,CM487*PARAM!$C$53,CM487)+CK488-CL488</f>
        <v>-14459.49999999998</v>
      </c>
      <c r="CO488" s="176"/>
    </row>
    <row r="489" spans="1:93" x14ac:dyDescent="0.2">
      <c r="A489" t="b">
        <f t="shared" si="322"/>
        <v>0</v>
      </c>
      <c r="B489" s="33">
        <v>462</v>
      </c>
      <c r="C489" s="15">
        <f t="shared" si="323"/>
        <v>20.081305947392778</v>
      </c>
      <c r="D489" s="75">
        <f>C489*(1-PARAM!$C$27)*$I$3+(MOD($B489,60)=PARAM!$B$56)*($B489&gt;(60-PARAM!$B$56))*HLOOKUP(($B489+PARAM!$B$56)/12,Loyalty,2)*$F$1*MAX(F488,0)</f>
        <v>16.808053077967756</v>
      </c>
      <c r="E489" s="75">
        <f>PARAM!$C$26+MAX($G$3-CHOOSE(PARAM!$B$44,MAX(0,F488*$F$1),0),0)*RATES!$L465/12+$H$3*(PARAM!$D$51/12)*RATES!$N465/100</f>
        <v>109.45833333333333</v>
      </c>
      <c r="F489" s="16">
        <f t="shared" si="324"/>
        <v>-6960.0630027159668</v>
      </c>
      <c r="G489" s="15">
        <f t="shared" si="325"/>
        <v>22.035289406060361</v>
      </c>
      <c r="H489" s="75">
        <f>G489*(1-PARAM!$C$27)*$I$4+(MOD($B489,60)=PARAM!$B$56)*($B489&gt;(60-PARAM!$B$56))*HLOOKUP(($B489+PARAM!$B$56)/12,Loyalty,2)*$F$1*MAX(J488,0)</f>
        <v>18.443537232872522</v>
      </c>
      <c r="I489" s="75">
        <f>PARAM!$C$26+MAX($G$4-CHOOSE(PARAM!$B$44,MAX(0,J488*$F$1),0),0)*RATES!$L465/12+$H$4*(PARAM!$D$51/12)*RATES!$N465/100</f>
        <v>109.45833333333333</v>
      </c>
      <c r="J489" s="16">
        <f t="shared" si="326"/>
        <v>-6170.6363590282472</v>
      </c>
      <c r="K489" s="15">
        <f t="shared" si="327"/>
        <v>22.170849845882874</v>
      </c>
      <c r="L489" s="75">
        <f>K489*(1-PARAM!$C$27)*$I$5+(MOD($B489,60)=PARAM!$B$56)*($B489&gt;(60-PARAM!$B$56))*HLOOKUP(($B489+PARAM!$B$56)/12,Loyalty,2)*$F$1*MAX(N488,0)</f>
        <v>18.557001321003963</v>
      </c>
      <c r="M489" s="75">
        <f>PARAM!$C$26+MAX($G$5-CHOOSE(PARAM!$B$44,MAX(0,N488*$F$1),0),0)*RATES!$L465/12+$H$5*(PARAM!$D$51/12)*RATES!$N465/100</f>
        <v>109.45833333333333</v>
      </c>
      <c r="N489" s="16">
        <f t="shared" si="328"/>
        <v>-6115.1984139117394</v>
      </c>
      <c r="O489" s="15">
        <f t="shared" si="329"/>
        <v>22.170849845882874</v>
      </c>
      <c r="P489" s="75">
        <f>O489*(1-PARAM!$C$27)*$I$6+(MOD($B489,60)=PARAM!$B$56)*($B489&gt;(60-PARAM!$B$56))*HLOOKUP(($B489+PARAM!$B$56)/12,Loyalty,2)*$F$1*MAX(R488,0)</f>
        <v>18.557001321003963</v>
      </c>
      <c r="Q489" s="75">
        <f>PARAM!$C$26+MAX($G$6-CHOOSE(PARAM!$B$44,MAX(0,R488*$F$1),0),0)*RATES!$L465/12+$H$6*(PARAM!$D$51/12)*RATES!$N465/100</f>
        <v>109.45833333333333</v>
      </c>
      <c r="R489" s="16">
        <f t="shared" si="330"/>
        <v>-6115.1984139117394</v>
      </c>
      <c r="S489" s="15">
        <f t="shared" si="305"/>
        <v>22.170849845882874</v>
      </c>
      <c r="T489" s="75">
        <f>S489*(1-PARAM!$C$27)*$I$7+(MOD($B489,60)=PARAM!$B$56)*($B489&gt;(60-PARAM!$B$56))*HLOOKUP(($B489+PARAM!$B$56)/12,Loyalty,2)*$F$1*MAX(V488,0)</f>
        <v>18.557001321003963</v>
      </c>
      <c r="U489" s="75">
        <f>PARAM!$C$26+MAX($G$7-CHOOSE(PARAM!$B$44,MAX(0,V488*$F$1),0),0)*RATES!$L465/12+$H$7*(PARAM!$D$51/12)*RATES!$N465/100</f>
        <v>109.45833333333333</v>
      </c>
      <c r="V489" s="16">
        <f t="shared" si="331"/>
        <v>-6115.1984139117394</v>
      </c>
      <c r="W489" s="15">
        <f t="shared" si="306"/>
        <v>22.170849845882874</v>
      </c>
      <c r="X489" s="75">
        <f>W489*(1-PARAM!$C$27)*$I$8+(MOD($B489,60)=PARAM!$B$56)*($B489&gt;(60-PARAM!$B$56))*HLOOKUP(($B489+PARAM!$B$56)/12,Loyalty,2)*$F$1*MAX(Z488,0)</f>
        <v>18.557001321003963</v>
      </c>
      <c r="Y489" s="75">
        <f>PARAM!$C$26+MAX($G$8-CHOOSE(PARAM!$B$44,MAX(0,Z488*$F$1),0),0)*RATES!$L465/12+$H$8*(PARAM!$D$51/12)*RATES!$N465/100</f>
        <v>109.45833333333333</v>
      </c>
      <c r="Z489" s="16">
        <f t="shared" si="332"/>
        <v>-6115.1984139117394</v>
      </c>
      <c r="AA489" s="15">
        <f t="shared" si="307"/>
        <v>22.170849845882874</v>
      </c>
      <c r="AB489" s="75">
        <f>AA489*(1-PARAM!$C$27)*$I$9+(MOD($B489,60)=PARAM!$B$56)*($B489&gt;(60-PARAM!$B$56))*HLOOKUP(($B489+PARAM!$B$56)/12,Loyalty,2)*$F$1*MAX(AD488,0)</f>
        <v>18.557001321003963</v>
      </c>
      <c r="AC489" s="75">
        <f>PARAM!$C$26+MAX($G$9-CHOOSE(PARAM!$B$44,MAX(0,AD488*$F$1),0),0)*RATES!$L465/12+$H$9*(PARAM!$D$51/12)*RATES!$N465/100</f>
        <v>109.45833333333333</v>
      </c>
      <c r="AD489" s="16">
        <f t="shared" si="333"/>
        <v>-6115.1984139117394</v>
      </c>
      <c r="AE489" s="15">
        <f t="shared" si="308"/>
        <v>22.170849845882874</v>
      </c>
      <c r="AF489" s="75">
        <f>AE489*(1-PARAM!$C$27)*$I$10+(MOD($B489,60)=PARAM!$B$56)*($B489&gt;(60-PARAM!$B$56))*HLOOKUP(($B489+PARAM!$B$56)/12,Loyalty,2)*$F$1*MAX(AH488,0)</f>
        <v>18.557001321003963</v>
      </c>
      <c r="AG489" s="75">
        <f>PARAM!$C$26+MAX($G$10-CHOOSE(PARAM!$B$44,MAX(0,AH488*$F$1),0),0)*RATES!$L465/12+$H$10*(PARAM!$D$51/12)*RATES!$N465/100</f>
        <v>109.45833333333333</v>
      </c>
      <c r="AH489" s="16">
        <f t="shared" si="334"/>
        <v>-6115.1984139117394</v>
      </c>
      <c r="AI489" s="15">
        <f t="shared" si="309"/>
        <v>22.170849845882874</v>
      </c>
      <c r="AJ489" s="75">
        <f>AI489*(1-PARAM!$C$27)*$I$11+(MOD($B489,60)=PARAM!$B$56)*($B489&gt;(60-PARAM!$B$56))*HLOOKUP(($B489+PARAM!$B$56)/12,Loyalty,2)*$F$1*MAX(AL488,0)</f>
        <v>18.557001321003963</v>
      </c>
      <c r="AK489" s="75">
        <f>PARAM!$C$26+MAX($G$11-CHOOSE(PARAM!$B$44,MAX(0,AL488*$F$1),0),0)*RATES!$L465/12+$H$11*(PARAM!$D$51/12)*RATES!$N465/100</f>
        <v>109.45833333333333</v>
      </c>
      <c r="AL489" s="16">
        <f t="shared" si="335"/>
        <v>-6115.1984139117394</v>
      </c>
      <c r="AM489" s="15">
        <f t="shared" si="310"/>
        <v>22.170849845882874</v>
      </c>
      <c r="AN489" s="75">
        <f>AM489*(1-PARAM!$C$27)*$I$12+(MOD($B489,60)=PARAM!$B$56)*($B489&gt;(60-PARAM!$B$56))*HLOOKUP(($B489+PARAM!$B$56)/12,Loyalty,2)*$F$1*MAX(AP488,0)</f>
        <v>18.557001321003963</v>
      </c>
      <c r="AO489" s="75">
        <f>PARAM!$C$26+MAX($G$12-CHOOSE(PARAM!$B$44,MAX(0,AP488*$F$1),0),0)*RATES!$L465/12+$H$12*(PARAM!$D$51/12)*RATES!$N465/100</f>
        <v>109.45833333333333</v>
      </c>
      <c r="AP489" s="16">
        <f t="shared" si="336"/>
        <v>-6115.1984139117394</v>
      </c>
      <c r="AQ489" s="15">
        <f t="shared" si="311"/>
        <v>22.170849845882874</v>
      </c>
      <c r="AR489" s="75">
        <f>AQ489*(1-PARAM!$C$27)*$I$13+(MOD($B489,60)=PARAM!$B$56)*($B489&gt;(60-PARAM!$B$56))*HLOOKUP(($B489+PARAM!$B$56)/12,Loyalty,2)*$F$1*MAX(AT488,0)</f>
        <v>18.557001321003963</v>
      </c>
      <c r="AS489" s="75">
        <f>PARAM!$C$26+MAX($G$13-CHOOSE(PARAM!$B$44,MAX(0,AT488*$F$1),0),0)*RATES!$L465/12+$H$13*(PARAM!$D$51/12)*RATES!$N465/100</f>
        <v>109.45833333333333</v>
      </c>
      <c r="AT489" s="16">
        <f t="shared" si="337"/>
        <v>-6115.1984139117394</v>
      </c>
      <c r="AU489" s="15">
        <f t="shared" si="312"/>
        <v>22.170849845882874</v>
      </c>
      <c r="AV489" s="75">
        <f>AU489*(1-PARAM!$C$27)*$I$14+(MOD($B489,60)=PARAM!$B$56)*($B489&gt;(60-PARAM!$B$56))*HLOOKUP(($B489+PARAM!$B$56)/12,Loyalty,2)*$F$1*MAX(AX488,0)</f>
        <v>18.557001321003963</v>
      </c>
      <c r="AW489" s="75">
        <f>PARAM!$C$26+MAX($G$14-CHOOSE(PARAM!$B$44,MAX(0,AX488*$F$1),0),0)*RATES!$L465/12+$H$14*(PARAM!$D$51/12)*RATES!$N465/100</f>
        <v>109.45833333333333</v>
      </c>
      <c r="AX489" s="16">
        <f t="shared" si="338"/>
        <v>-6115.1984139117394</v>
      </c>
      <c r="AY489" s="15">
        <f t="shared" si="313"/>
        <v>22.170849845882874</v>
      </c>
      <c r="AZ489" s="75">
        <f>AY489*(1-PARAM!$C$27)*$I$15+(MOD($B489,60)=PARAM!$B$56)*($B489&gt;(60-PARAM!$B$56))*HLOOKUP(($B489+PARAM!$B$56)/12,Loyalty,2)*$F$1*MAX(BB488,0)</f>
        <v>18.557001321003963</v>
      </c>
      <c r="BA489" s="75">
        <f>PARAM!$C$26+MAX($G$15-CHOOSE(PARAM!$B$44,MAX(0,BB488*$F$1),0),0)*RATES!$L465/12+$H$15*(PARAM!$D$51/12)*RATES!$N465/100</f>
        <v>109.45833333333333</v>
      </c>
      <c r="BB489" s="16">
        <f t="shared" si="339"/>
        <v>-6115.1984139117394</v>
      </c>
      <c r="BC489" s="15">
        <f t="shared" si="314"/>
        <v>22.170849845882874</v>
      </c>
      <c r="BD489" s="75">
        <f>BC489*(1-PARAM!$C$27)*$I$16+(MOD($B489,60)=PARAM!$B$56)*($B489&gt;(60-PARAM!$B$56))*HLOOKUP(($B489+PARAM!$B$56)/12,Loyalty,2)*$F$1*MAX(BF488,0)</f>
        <v>18.557001321003963</v>
      </c>
      <c r="BE489" s="75">
        <f>PARAM!$C$26+MAX($G$16-CHOOSE(PARAM!$B$44,MAX(0,BF488*$F$1),0),0)*RATES!$L465/12+$H$16*(PARAM!$D$51/12)*RATES!$N465/100</f>
        <v>109.45833333333333</v>
      </c>
      <c r="BF489" s="16">
        <f t="shared" si="340"/>
        <v>-6115.1984139117394</v>
      </c>
      <c r="BG489" s="15">
        <f t="shared" si="315"/>
        <v>22.170849845882874</v>
      </c>
      <c r="BH489" s="75">
        <f>BG489*(1-PARAM!$C$27)*$I$17+(MOD($B489,60)=PARAM!$B$56)*($B489&gt;(60-PARAM!$B$56))*HLOOKUP(($B489+PARAM!$B$56)/12,Loyalty,2)*$F$1*MAX(BJ488,0)</f>
        <v>18.557001321003963</v>
      </c>
      <c r="BI489" s="75">
        <f>PARAM!$C$26+MAX($G$17-CHOOSE(PARAM!$B$44,MAX(0,BJ488*$F$1),0),0)*RATES!$L465/12+$H$17*(PARAM!$D$51/12)*RATES!$N465/100</f>
        <v>109.45833333333333</v>
      </c>
      <c r="BJ489" s="16">
        <f t="shared" si="341"/>
        <v>-6115.1984139117394</v>
      </c>
      <c r="BK489" s="15">
        <f t="shared" si="316"/>
        <v>22.170849845882874</v>
      </c>
      <c r="BL489" s="75">
        <f>BK489*(1-PARAM!$C$27)*$I$18+(MOD($B489,60)=PARAM!$B$56)*($B489&gt;(60-PARAM!$B$56))*HLOOKUP(($B489+PARAM!$B$56)/12,Loyalty,2)*$F$1*MAX(BN488,0)</f>
        <v>18.557001321003963</v>
      </c>
      <c r="BM489" s="75">
        <f>PARAM!$C$26+MAX($G$18-CHOOSE(PARAM!$B$44,MAX(0,BN488*$F$1),0),0)*RATES!$L465/12+$H$18*(PARAM!$D$51/12)*RATES!$N465/100</f>
        <v>109.45833333333333</v>
      </c>
      <c r="BN489" s="16">
        <f t="shared" si="342"/>
        <v>-6115.1984139117394</v>
      </c>
      <c r="BO489" s="15">
        <f t="shared" si="317"/>
        <v>22.170849845882874</v>
      </c>
      <c r="BP489" s="75">
        <f>BO489*(1-PARAM!$C$27)*$I$19+(MOD($B489,60)=PARAM!$B$56)*($B489&gt;(60-PARAM!$B$56))*HLOOKUP(($B489+PARAM!$B$56)/12,Loyalty,2)*$F$1*MAX(BR488,0)</f>
        <v>18.557001321003963</v>
      </c>
      <c r="BQ489" s="75">
        <f>PARAM!$C$26+MAX($G$19-CHOOSE(PARAM!$B$44,MAX(0,BR488*$F$1),0),0)*RATES!$L465/12+$H$19*(PARAM!$D$51/12)*RATES!$N465/100</f>
        <v>109.45833333333333</v>
      </c>
      <c r="BR489" s="16">
        <f t="shared" si="343"/>
        <v>-6115.1984139117394</v>
      </c>
      <c r="BS489" s="15">
        <f t="shared" si="318"/>
        <v>22.170849845882874</v>
      </c>
      <c r="BT489" s="75">
        <f>BS489*(1-PARAM!$C$27)*$I$20+(MOD($B489,60)=PARAM!$B$56)*($B489&gt;(60-PARAM!$B$56))*HLOOKUP(($B489+PARAM!$B$56)/12,Loyalty,2)*$F$1*MAX(BV488,0)</f>
        <v>18.557001321003963</v>
      </c>
      <c r="BU489" s="75">
        <f>PARAM!$C$26+MAX($G$20-CHOOSE(PARAM!$B$44,MAX(0,BV488*$F$1),0),0)*RATES!$L465/12+$H$20*(PARAM!$D$51/12)*RATES!$N465/100</f>
        <v>109.45833333333333</v>
      </c>
      <c r="BV489" s="16">
        <f t="shared" si="344"/>
        <v>-6115.1984139117394</v>
      </c>
      <c r="BW489" s="15">
        <f t="shared" si="319"/>
        <v>22.170849845882874</v>
      </c>
      <c r="BX489" s="75">
        <f>BW489*(1-PARAM!$C$27)*$I$21+(MOD($B489,60)=PARAM!$B$56)*($B489&gt;(60-PARAM!$B$56))*HLOOKUP(($B489+PARAM!$B$56)/12,Loyalty,2)*$F$1*MAX(BZ488,0)</f>
        <v>18.557001321003963</v>
      </c>
      <c r="BY489" s="75">
        <f>PARAM!$C$26+MAX($G$21-CHOOSE(PARAM!$B$44,MAX(0,BZ488*$F$1),0),0)*RATES!$L465/12+$H$21*(PARAM!$D$51/12)*RATES!$N465/100</f>
        <v>109.45833333333333</v>
      </c>
      <c r="BZ489" s="16">
        <f t="shared" si="345"/>
        <v>-6115.1984139117394</v>
      </c>
      <c r="CA489" s="15">
        <f t="shared" si="320"/>
        <v>22.170849845882874</v>
      </c>
      <c r="CB489" s="75">
        <f>CA489*(1-PARAM!$C$27)*$I$22+(MOD($B489,60)=PARAM!$B$56)*($B489&gt;(60-PARAM!$B$56))*HLOOKUP(($B489+PARAM!$B$56)/12,Loyalty,2)*$F$1*MAX(CD488,0)</f>
        <v>18.557001321003963</v>
      </c>
      <c r="CC489" s="75">
        <f>PARAM!$C$26+MAX($G$22-CHOOSE(PARAM!$B$44,MAX(0,CD488*$F$1),0),0)*RATES!$L465/12+$H$22*(PARAM!$D$51/12)*RATES!$N465/100</f>
        <v>109.45833333333333</v>
      </c>
      <c r="CD489" s="16">
        <f t="shared" si="346"/>
        <v>-6115.1984139117394</v>
      </c>
      <c r="CE489" s="33">
        <f>IF(0=MOD(B489,12/PARAM!$D$51),1,0)</f>
        <v>1</v>
      </c>
      <c r="CF489" s="15">
        <f t="shared" si="321"/>
        <v>0</v>
      </c>
      <c r="CG489" s="75">
        <f>CF489*(1-PARAM!$C$27)*$R$3+(MOD($B489/12,5)=0)*($B489&gt;60)*HLOOKUP($B489/12,Loyalty,2)*$F$1*MAX(CI488,0)</f>
        <v>0</v>
      </c>
      <c r="CH489" s="75">
        <f>PARAM!$C$26+MAX($P$3-CHOOSE(PARAM!$B$44,MAX(0,CI488*$F$1),0),0)*RATES!$L465/12+$Q$3*(PARAM!$D$51/12)*RATES!$N465/100</f>
        <v>109.45833333333333</v>
      </c>
      <c r="CI489" s="16">
        <f>IF(CI488&gt;0,CI488*PARAM!$C$53,CI488)+CG489-CH489</f>
        <v>-14568.958333333314</v>
      </c>
      <c r="CJ489" s="15">
        <f t="shared" si="347"/>
        <v>0</v>
      </c>
      <c r="CK489" s="75">
        <f>CJ489*(1-PARAM!$C$27)*$R$4+(MOD($B489/12,5)=0)*($B489&gt;60)*HLOOKUP($B489/12,Loyalty,2)*$F$1*MAX(CM488,0)</f>
        <v>0</v>
      </c>
      <c r="CL489" s="75">
        <f>PARAM!$C$26+MAX($P$4-CHOOSE(PARAM!$B$44,MAX(0,CM488*$F$1),0),0)*RATES!$L465/12+$Q$4*(PARAM!$D$51/12)*RATES!$N465/100</f>
        <v>109.45833333333333</v>
      </c>
      <c r="CM489" s="16">
        <f>IF(CM488&gt;0,CM488*PARAM!$C$53,CM488)+CK489-CL489</f>
        <v>-14568.958333333314</v>
      </c>
      <c r="CO489" s="176"/>
    </row>
    <row r="490" spans="1:93" x14ac:dyDescent="0.2">
      <c r="A490" t="b">
        <f t="shared" si="322"/>
        <v>0</v>
      </c>
      <c r="B490" s="33">
        <v>463</v>
      </c>
      <c r="C490" s="15">
        <f t="shared" si="323"/>
        <v>20.081305947392778</v>
      </c>
      <c r="D490" s="75">
        <f>C490*(1-PARAM!$C$27)*$I$3+(MOD($B490,60)=PARAM!$B$56)*($B490&gt;(60-PARAM!$B$56))*HLOOKUP(($B490+PARAM!$B$56)/12,Loyalty,2)*$F$1*MAX(F489,0)</f>
        <v>16.808053077967756</v>
      </c>
      <c r="E490" s="75">
        <f>PARAM!$C$26+MAX($G$3-CHOOSE(PARAM!$B$44,MAX(0,F489*$F$1),0),0)*RATES!$L466/12+$H$3*(PARAM!$D$51/12)*RATES!$N466/100</f>
        <v>109.45833333333333</v>
      </c>
      <c r="F490" s="16">
        <f t="shared" si="324"/>
        <v>-7052.7132829713319</v>
      </c>
      <c r="G490" s="15">
        <f t="shared" si="325"/>
        <v>22.035289406060361</v>
      </c>
      <c r="H490" s="75">
        <f>G490*(1-PARAM!$C$27)*$I$4+(MOD($B490,60)=PARAM!$B$56)*($B490&gt;(60-PARAM!$B$56))*HLOOKUP(($B490+PARAM!$B$56)/12,Loyalty,2)*$F$1*MAX(J489,0)</f>
        <v>18.443537232872522</v>
      </c>
      <c r="I490" s="75">
        <f>PARAM!$C$26+MAX($G$4-CHOOSE(PARAM!$B$44,MAX(0,J489*$F$1),0),0)*RATES!$L466/12+$H$4*(PARAM!$D$51/12)*RATES!$N466/100</f>
        <v>109.45833333333333</v>
      </c>
      <c r="J490" s="16">
        <f t="shared" si="326"/>
        <v>-6261.6511551287076</v>
      </c>
      <c r="K490" s="15">
        <f t="shared" si="327"/>
        <v>22.170849845882874</v>
      </c>
      <c r="L490" s="75">
        <f>K490*(1-PARAM!$C$27)*$I$5+(MOD($B490,60)=PARAM!$B$56)*($B490&gt;(60-PARAM!$B$56))*HLOOKUP(($B490+PARAM!$B$56)/12,Loyalty,2)*$F$1*MAX(N489,0)</f>
        <v>18.557001321003963</v>
      </c>
      <c r="M490" s="75">
        <f>PARAM!$C$26+MAX($G$5-CHOOSE(PARAM!$B$44,MAX(0,N489*$F$1),0),0)*RATES!$L466/12+$H$5*(PARAM!$D$51/12)*RATES!$N466/100</f>
        <v>109.45833333333333</v>
      </c>
      <c r="N490" s="16">
        <f t="shared" si="328"/>
        <v>-6206.0997459240689</v>
      </c>
      <c r="O490" s="15">
        <f t="shared" si="329"/>
        <v>22.170849845882874</v>
      </c>
      <c r="P490" s="75">
        <f>O490*(1-PARAM!$C$27)*$I$6+(MOD($B490,60)=PARAM!$B$56)*($B490&gt;(60-PARAM!$B$56))*HLOOKUP(($B490+PARAM!$B$56)/12,Loyalty,2)*$F$1*MAX(R489,0)</f>
        <v>18.557001321003963</v>
      </c>
      <c r="Q490" s="75">
        <f>PARAM!$C$26+MAX($G$6-CHOOSE(PARAM!$B$44,MAX(0,R489*$F$1),0),0)*RATES!$L466/12+$H$6*(PARAM!$D$51/12)*RATES!$N466/100</f>
        <v>109.45833333333333</v>
      </c>
      <c r="R490" s="16">
        <f t="shared" si="330"/>
        <v>-6206.0997459240689</v>
      </c>
      <c r="S490" s="15">
        <f t="shared" si="305"/>
        <v>22.170849845882874</v>
      </c>
      <c r="T490" s="75">
        <f>S490*(1-PARAM!$C$27)*$I$7+(MOD($B490,60)=PARAM!$B$56)*($B490&gt;(60-PARAM!$B$56))*HLOOKUP(($B490+PARAM!$B$56)/12,Loyalty,2)*$F$1*MAX(V489,0)</f>
        <v>18.557001321003963</v>
      </c>
      <c r="U490" s="75">
        <f>PARAM!$C$26+MAX($G$7-CHOOSE(PARAM!$B$44,MAX(0,V489*$F$1),0),0)*RATES!$L466/12+$H$7*(PARAM!$D$51/12)*RATES!$N466/100</f>
        <v>109.45833333333333</v>
      </c>
      <c r="V490" s="16">
        <f t="shared" si="331"/>
        <v>-6206.0997459240689</v>
      </c>
      <c r="W490" s="15">
        <f t="shared" si="306"/>
        <v>22.170849845882874</v>
      </c>
      <c r="X490" s="75">
        <f>W490*(1-PARAM!$C$27)*$I$8+(MOD($B490,60)=PARAM!$B$56)*($B490&gt;(60-PARAM!$B$56))*HLOOKUP(($B490+PARAM!$B$56)/12,Loyalty,2)*$F$1*MAX(Z489,0)</f>
        <v>18.557001321003963</v>
      </c>
      <c r="Y490" s="75">
        <f>PARAM!$C$26+MAX($G$8-CHOOSE(PARAM!$B$44,MAX(0,Z489*$F$1),0),0)*RATES!$L466/12+$H$8*(PARAM!$D$51/12)*RATES!$N466/100</f>
        <v>109.45833333333333</v>
      </c>
      <c r="Z490" s="16">
        <f t="shared" si="332"/>
        <v>-6206.0997459240689</v>
      </c>
      <c r="AA490" s="15">
        <f t="shared" si="307"/>
        <v>22.170849845882874</v>
      </c>
      <c r="AB490" s="75">
        <f>AA490*(1-PARAM!$C$27)*$I$9+(MOD($B490,60)=PARAM!$B$56)*($B490&gt;(60-PARAM!$B$56))*HLOOKUP(($B490+PARAM!$B$56)/12,Loyalty,2)*$F$1*MAX(AD489,0)</f>
        <v>18.557001321003963</v>
      </c>
      <c r="AC490" s="75">
        <f>PARAM!$C$26+MAX($G$9-CHOOSE(PARAM!$B$44,MAX(0,AD489*$F$1),0),0)*RATES!$L466/12+$H$9*(PARAM!$D$51/12)*RATES!$N466/100</f>
        <v>109.45833333333333</v>
      </c>
      <c r="AD490" s="16">
        <f t="shared" si="333"/>
        <v>-6206.0997459240689</v>
      </c>
      <c r="AE490" s="15">
        <f t="shared" si="308"/>
        <v>22.170849845882874</v>
      </c>
      <c r="AF490" s="75">
        <f>AE490*(1-PARAM!$C$27)*$I$10+(MOD($B490,60)=PARAM!$B$56)*($B490&gt;(60-PARAM!$B$56))*HLOOKUP(($B490+PARAM!$B$56)/12,Loyalty,2)*$F$1*MAX(AH489,0)</f>
        <v>18.557001321003963</v>
      </c>
      <c r="AG490" s="75">
        <f>PARAM!$C$26+MAX($G$10-CHOOSE(PARAM!$B$44,MAX(0,AH489*$F$1),0),0)*RATES!$L466/12+$H$10*(PARAM!$D$51/12)*RATES!$N466/100</f>
        <v>109.45833333333333</v>
      </c>
      <c r="AH490" s="16">
        <f t="shared" si="334"/>
        <v>-6206.0997459240689</v>
      </c>
      <c r="AI490" s="15">
        <f t="shared" si="309"/>
        <v>22.170849845882874</v>
      </c>
      <c r="AJ490" s="75">
        <f>AI490*(1-PARAM!$C$27)*$I$11+(MOD($B490,60)=PARAM!$B$56)*($B490&gt;(60-PARAM!$B$56))*HLOOKUP(($B490+PARAM!$B$56)/12,Loyalty,2)*$F$1*MAX(AL489,0)</f>
        <v>18.557001321003963</v>
      </c>
      <c r="AK490" s="75">
        <f>PARAM!$C$26+MAX($G$11-CHOOSE(PARAM!$B$44,MAX(0,AL489*$F$1),0),0)*RATES!$L466/12+$H$11*(PARAM!$D$51/12)*RATES!$N466/100</f>
        <v>109.45833333333333</v>
      </c>
      <c r="AL490" s="16">
        <f t="shared" si="335"/>
        <v>-6206.0997459240689</v>
      </c>
      <c r="AM490" s="15">
        <f t="shared" si="310"/>
        <v>22.170849845882874</v>
      </c>
      <c r="AN490" s="75">
        <f>AM490*(1-PARAM!$C$27)*$I$12+(MOD($B490,60)=PARAM!$B$56)*($B490&gt;(60-PARAM!$B$56))*HLOOKUP(($B490+PARAM!$B$56)/12,Loyalty,2)*$F$1*MAX(AP489,0)</f>
        <v>18.557001321003963</v>
      </c>
      <c r="AO490" s="75">
        <f>PARAM!$C$26+MAX($G$12-CHOOSE(PARAM!$B$44,MAX(0,AP489*$F$1),0),0)*RATES!$L466/12+$H$12*(PARAM!$D$51/12)*RATES!$N466/100</f>
        <v>109.45833333333333</v>
      </c>
      <c r="AP490" s="16">
        <f t="shared" si="336"/>
        <v>-6206.0997459240689</v>
      </c>
      <c r="AQ490" s="15">
        <f t="shared" si="311"/>
        <v>22.170849845882874</v>
      </c>
      <c r="AR490" s="75">
        <f>AQ490*(1-PARAM!$C$27)*$I$13+(MOD($B490,60)=PARAM!$B$56)*($B490&gt;(60-PARAM!$B$56))*HLOOKUP(($B490+PARAM!$B$56)/12,Loyalty,2)*$F$1*MAX(AT489,0)</f>
        <v>18.557001321003963</v>
      </c>
      <c r="AS490" s="75">
        <f>PARAM!$C$26+MAX($G$13-CHOOSE(PARAM!$B$44,MAX(0,AT489*$F$1),0),0)*RATES!$L466/12+$H$13*(PARAM!$D$51/12)*RATES!$N466/100</f>
        <v>109.45833333333333</v>
      </c>
      <c r="AT490" s="16">
        <f t="shared" si="337"/>
        <v>-6206.0997459240689</v>
      </c>
      <c r="AU490" s="15">
        <f t="shared" si="312"/>
        <v>22.170849845882874</v>
      </c>
      <c r="AV490" s="75">
        <f>AU490*(1-PARAM!$C$27)*$I$14+(MOD($B490,60)=PARAM!$B$56)*($B490&gt;(60-PARAM!$B$56))*HLOOKUP(($B490+PARAM!$B$56)/12,Loyalty,2)*$F$1*MAX(AX489,0)</f>
        <v>18.557001321003963</v>
      </c>
      <c r="AW490" s="75">
        <f>PARAM!$C$26+MAX($G$14-CHOOSE(PARAM!$B$44,MAX(0,AX489*$F$1),0),0)*RATES!$L466/12+$H$14*(PARAM!$D$51/12)*RATES!$N466/100</f>
        <v>109.45833333333333</v>
      </c>
      <c r="AX490" s="16">
        <f t="shared" si="338"/>
        <v>-6206.0997459240689</v>
      </c>
      <c r="AY490" s="15">
        <f t="shared" si="313"/>
        <v>22.170849845882874</v>
      </c>
      <c r="AZ490" s="75">
        <f>AY490*(1-PARAM!$C$27)*$I$15+(MOD($B490,60)=PARAM!$B$56)*($B490&gt;(60-PARAM!$B$56))*HLOOKUP(($B490+PARAM!$B$56)/12,Loyalty,2)*$F$1*MAX(BB489,0)</f>
        <v>18.557001321003963</v>
      </c>
      <c r="BA490" s="75">
        <f>PARAM!$C$26+MAX($G$15-CHOOSE(PARAM!$B$44,MAX(0,BB489*$F$1),0),0)*RATES!$L466/12+$H$15*(PARAM!$D$51/12)*RATES!$N466/100</f>
        <v>109.45833333333333</v>
      </c>
      <c r="BB490" s="16">
        <f t="shared" si="339"/>
        <v>-6206.0997459240689</v>
      </c>
      <c r="BC490" s="15">
        <f t="shared" si="314"/>
        <v>22.170849845882874</v>
      </c>
      <c r="BD490" s="75">
        <f>BC490*(1-PARAM!$C$27)*$I$16+(MOD($B490,60)=PARAM!$B$56)*($B490&gt;(60-PARAM!$B$56))*HLOOKUP(($B490+PARAM!$B$56)/12,Loyalty,2)*$F$1*MAX(BF489,0)</f>
        <v>18.557001321003963</v>
      </c>
      <c r="BE490" s="75">
        <f>PARAM!$C$26+MAX($G$16-CHOOSE(PARAM!$B$44,MAX(0,BF489*$F$1),0),0)*RATES!$L466/12+$H$16*(PARAM!$D$51/12)*RATES!$N466/100</f>
        <v>109.45833333333333</v>
      </c>
      <c r="BF490" s="16">
        <f t="shared" si="340"/>
        <v>-6206.0997459240689</v>
      </c>
      <c r="BG490" s="15">
        <f t="shared" si="315"/>
        <v>22.170849845882874</v>
      </c>
      <c r="BH490" s="75">
        <f>BG490*(1-PARAM!$C$27)*$I$17+(MOD($B490,60)=PARAM!$B$56)*($B490&gt;(60-PARAM!$B$56))*HLOOKUP(($B490+PARAM!$B$56)/12,Loyalty,2)*$F$1*MAX(BJ489,0)</f>
        <v>18.557001321003963</v>
      </c>
      <c r="BI490" s="75">
        <f>PARAM!$C$26+MAX($G$17-CHOOSE(PARAM!$B$44,MAX(0,BJ489*$F$1),0),0)*RATES!$L466/12+$H$17*(PARAM!$D$51/12)*RATES!$N466/100</f>
        <v>109.45833333333333</v>
      </c>
      <c r="BJ490" s="16">
        <f t="shared" si="341"/>
        <v>-6206.0997459240689</v>
      </c>
      <c r="BK490" s="15">
        <f t="shared" si="316"/>
        <v>22.170849845882874</v>
      </c>
      <c r="BL490" s="75">
        <f>BK490*(1-PARAM!$C$27)*$I$18+(MOD($B490,60)=PARAM!$B$56)*($B490&gt;(60-PARAM!$B$56))*HLOOKUP(($B490+PARAM!$B$56)/12,Loyalty,2)*$F$1*MAX(BN489,0)</f>
        <v>18.557001321003963</v>
      </c>
      <c r="BM490" s="75">
        <f>PARAM!$C$26+MAX($G$18-CHOOSE(PARAM!$B$44,MAX(0,BN489*$F$1),0),0)*RATES!$L466/12+$H$18*(PARAM!$D$51/12)*RATES!$N466/100</f>
        <v>109.45833333333333</v>
      </c>
      <c r="BN490" s="16">
        <f t="shared" si="342"/>
        <v>-6206.0997459240689</v>
      </c>
      <c r="BO490" s="15">
        <f t="shared" si="317"/>
        <v>22.170849845882874</v>
      </c>
      <c r="BP490" s="75">
        <f>BO490*(1-PARAM!$C$27)*$I$19+(MOD($B490,60)=PARAM!$B$56)*($B490&gt;(60-PARAM!$B$56))*HLOOKUP(($B490+PARAM!$B$56)/12,Loyalty,2)*$F$1*MAX(BR489,0)</f>
        <v>18.557001321003963</v>
      </c>
      <c r="BQ490" s="75">
        <f>PARAM!$C$26+MAX($G$19-CHOOSE(PARAM!$B$44,MAX(0,BR489*$F$1),0),0)*RATES!$L466/12+$H$19*(PARAM!$D$51/12)*RATES!$N466/100</f>
        <v>109.45833333333333</v>
      </c>
      <c r="BR490" s="16">
        <f t="shared" si="343"/>
        <v>-6206.0997459240689</v>
      </c>
      <c r="BS490" s="15">
        <f t="shared" si="318"/>
        <v>22.170849845882874</v>
      </c>
      <c r="BT490" s="75">
        <f>BS490*(1-PARAM!$C$27)*$I$20+(MOD($B490,60)=PARAM!$B$56)*($B490&gt;(60-PARAM!$B$56))*HLOOKUP(($B490+PARAM!$B$56)/12,Loyalty,2)*$F$1*MAX(BV489,0)</f>
        <v>18.557001321003963</v>
      </c>
      <c r="BU490" s="75">
        <f>PARAM!$C$26+MAX($G$20-CHOOSE(PARAM!$B$44,MAX(0,BV489*$F$1),0),0)*RATES!$L466/12+$H$20*(PARAM!$D$51/12)*RATES!$N466/100</f>
        <v>109.45833333333333</v>
      </c>
      <c r="BV490" s="16">
        <f t="shared" si="344"/>
        <v>-6206.0997459240689</v>
      </c>
      <c r="BW490" s="15">
        <f t="shared" si="319"/>
        <v>22.170849845882874</v>
      </c>
      <c r="BX490" s="75">
        <f>BW490*(1-PARAM!$C$27)*$I$21+(MOD($B490,60)=PARAM!$B$56)*($B490&gt;(60-PARAM!$B$56))*HLOOKUP(($B490+PARAM!$B$56)/12,Loyalty,2)*$F$1*MAX(BZ489,0)</f>
        <v>18.557001321003963</v>
      </c>
      <c r="BY490" s="75">
        <f>PARAM!$C$26+MAX($G$21-CHOOSE(PARAM!$B$44,MAX(0,BZ489*$F$1),0),0)*RATES!$L466/12+$H$21*(PARAM!$D$51/12)*RATES!$N466/100</f>
        <v>109.45833333333333</v>
      </c>
      <c r="BZ490" s="16">
        <f t="shared" si="345"/>
        <v>-6206.0997459240689</v>
      </c>
      <c r="CA490" s="15">
        <f t="shared" si="320"/>
        <v>22.170849845882874</v>
      </c>
      <c r="CB490" s="75">
        <f>CA490*(1-PARAM!$C$27)*$I$22+(MOD($B490,60)=PARAM!$B$56)*($B490&gt;(60-PARAM!$B$56))*HLOOKUP(($B490+PARAM!$B$56)/12,Loyalty,2)*$F$1*MAX(CD489,0)</f>
        <v>18.557001321003963</v>
      </c>
      <c r="CC490" s="75">
        <f>PARAM!$C$26+MAX($G$22-CHOOSE(PARAM!$B$44,MAX(0,CD489*$F$1),0),0)*RATES!$L466/12+$H$22*(PARAM!$D$51/12)*RATES!$N466/100</f>
        <v>109.45833333333333</v>
      </c>
      <c r="CD490" s="16">
        <f t="shared" si="346"/>
        <v>-6206.0997459240689</v>
      </c>
      <c r="CE490" s="33">
        <f>IF(0=MOD(B490,12/PARAM!$D$51),1,0)</f>
        <v>1</v>
      </c>
      <c r="CF490" s="15">
        <f t="shared" si="321"/>
        <v>0</v>
      </c>
      <c r="CG490" s="75">
        <f>CF490*(1-PARAM!$C$27)*$R$3+(MOD($B490/12,5)=0)*($B490&gt;60)*HLOOKUP($B490/12,Loyalty,2)*$F$1*MAX(CI489,0)</f>
        <v>0</v>
      </c>
      <c r="CH490" s="75">
        <f>PARAM!$C$26+MAX($P$3-CHOOSE(PARAM!$B$44,MAX(0,CI489*$F$1),0),0)*RATES!$L466/12+$Q$3*(PARAM!$D$51/12)*RATES!$N466/100</f>
        <v>109.45833333333333</v>
      </c>
      <c r="CI490" s="16">
        <f>IF(CI489&gt;0,CI489*PARAM!$C$53,CI489)+CG490-CH490</f>
        <v>-14678.416666666648</v>
      </c>
      <c r="CJ490" s="15">
        <f t="shared" si="347"/>
        <v>0</v>
      </c>
      <c r="CK490" s="75">
        <f>CJ490*(1-PARAM!$C$27)*$R$4+(MOD($B490/12,5)=0)*($B490&gt;60)*HLOOKUP($B490/12,Loyalty,2)*$F$1*MAX(CM489,0)</f>
        <v>0</v>
      </c>
      <c r="CL490" s="75">
        <f>PARAM!$C$26+MAX($P$4-CHOOSE(PARAM!$B$44,MAX(0,CM489*$F$1),0),0)*RATES!$L466/12+$Q$4*(PARAM!$D$51/12)*RATES!$N466/100</f>
        <v>109.45833333333333</v>
      </c>
      <c r="CM490" s="16">
        <f>IF(CM489&gt;0,CM489*PARAM!$C$53,CM489)+CK490-CL490</f>
        <v>-14678.416666666648</v>
      </c>
      <c r="CO490" s="176"/>
    </row>
    <row r="491" spans="1:93" x14ac:dyDescent="0.2">
      <c r="A491" t="b">
        <f t="shared" si="322"/>
        <v>0</v>
      </c>
      <c r="B491" s="33">
        <v>464</v>
      </c>
      <c r="C491" s="15">
        <f t="shared" si="323"/>
        <v>20.081305947392778</v>
      </c>
      <c r="D491" s="75">
        <f>C491*(1-PARAM!$C$27)*$I$3+(MOD($B491,60)=PARAM!$B$56)*($B491&gt;(60-PARAM!$B$56))*HLOOKUP(($B491+PARAM!$B$56)/12,Loyalty,2)*$F$1*MAX(F490,0)</f>
        <v>16.808053077967756</v>
      </c>
      <c r="E491" s="75">
        <f>PARAM!$C$26+MAX($G$3-CHOOSE(PARAM!$B$44,MAX(0,F490*$F$1),0),0)*RATES!$L467/12+$H$3*(PARAM!$D$51/12)*RATES!$N467/100</f>
        <v>109.45833333333333</v>
      </c>
      <c r="F491" s="16">
        <f t="shared" si="324"/>
        <v>-7145.3635632266969</v>
      </c>
      <c r="G491" s="15">
        <f t="shared" si="325"/>
        <v>22.035289406060361</v>
      </c>
      <c r="H491" s="75">
        <f>G491*(1-PARAM!$C$27)*$I$4+(MOD($B491,60)=PARAM!$B$56)*($B491&gt;(60-PARAM!$B$56))*HLOOKUP(($B491+PARAM!$B$56)/12,Loyalty,2)*$F$1*MAX(J490,0)</f>
        <v>18.443537232872522</v>
      </c>
      <c r="I491" s="75">
        <f>PARAM!$C$26+MAX($G$4-CHOOSE(PARAM!$B$44,MAX(0,J490*$F$1),0),0)*RATES!$L467/12+$H$4*(PARAM!$D$51/12)*RATES!$N467/100</f>
        <v>109.45833333333333</v>
      </c>
      <c r="J491" s="16">
        <f t="shared" si="326"/>
        <v>-6352.6659512291681</v>
      </c>
      <c r="K491" s="15">
        <f t="shared" si="327"/>
        <v>22.170849845882874</v>
      </c>
      <c r="L491" s="75">
        <f>K491*(1-PARAM!$C$27)*$I$5+(MOD($B491,60)=PARAM!$B$56)*($B491&gt;(60-PARAM!$B$56))*HLOOKUP(($B491+PARAM!$B$56)/12,Loyalty,2)*$F$1*MAX(N490,0)</f>
        <v>18.557001321003963</v>
      </c>
      <c r="M491" s="75">
        <f>PARAM!$C$26+MAX($G$5-CHOOSE(PARAM!$B$44,MAX(0,N490*$F$1),0),0)*RATES!$L467/12+$H$5*(PARAM!$D$51/12)*RATES!$N467/100</f>
        <v>109.45833333333333</v>
      </c>
      <c r="N491" s="16">
        <f t="shared" si="328"/>
        <v>-6297.0010779363984</v>
      </c>
      <c r="O491" s="15">
        <f t="shared" si="329"/>
        <v>22.170849845882874</v>
      </c>
      <c r="P491" s="75">
        <f>O491*(1-PARAM!$C$27)*$I$6+(MOD($B491,60)=PARAM!$B$56)*($B491&gt;(60-PARAM!$B$56))*HLOOKUP(($B491+PARAM!$B$56)/12,Loyalty,2)*$F$1*MAX(R490,0)</f>
        <v>18.557001321003963</v>
      </c>
      <c r="Q491" s="75">
        <f>PARAM!$C$26+MAX($G$6-CHOOSE(PARAM!$B$44,MAX(0,R490*$F$1),0),0)*RATES!$L467/12+$H$6*(PARAM!$D$51/12)*RATES!$N467/100</f>
        <v>109.45833333333333</v>
      </c>
      <c r="R491" s="16">
        <f t="shared" si="330"/>
        <v>-6297.0010779363984</v>
      </c>
      <c r="S491" s="15">
        <f t="shared" si="305"/>
        <v>22.170849845882874</v>
      </c>
      <c r="T491" s="75">
        <f>S491*(1-PARAM!$C$27)*$I$7+(MOD($B491,60)=PARAM!$B$56)*($B491&gt;(60-PARAM!$B$56))*HLOOKUP(($B491+PARAM!$B$56)/12,Loyalty,2)*$F$1*MAX(V490,0)</f>
        <v>18.557001321003963</v>
      </c>
      <c r="U491" s="75">
        <f>PARAM!$C$26+MAX($G$7-CHOOSE(PARAM!$B$44,MAX(0,V490*$F$1),0),0)*RATES!$L467/12+$H$7*(PARAM!$D$51/12)*RATES!$N467/100</f>
        <v>109.45833333333333</v>
      </c>
      <c r="V491" s="16">
        <f t="shared" si="331"/>
        <v>-6297.0010779363984</v>
      </c>
      <c r="W491" s="15">
        <f t="shared" si="306"/>
        <v>22.170849845882874</v>
      </c>
      <c r="X491" s="75">
        <f>W491*(1-PARAM!$C$27)*$I$8+(MOD($B491,60)=PARAM!$B$56)*($B491&gt;(60-PARAM!$B$56))*HLOOKUP(($B491+PARAM!$B$56)/12,Loyalty,2)*$F$1*MAX(Z490,0)</f>
        <v>18.557001321003963</v>
      </c>
      <c r="Y491" s="75">
        <f>PARAM!$C$26+MAX($G$8-CHOOSE(PARAM!$B$44,MAX(0,Z490*$F$1),0),0)*RATES!$L467/12+$H$8*(PARAM!$D$51/12)*RATES!$N467/100</f>
        <v>109.45833333333333</v>
      </c>
      <c r="Z491" s="16">
        <f t="shared" si="332"/>
        <v>-6297.0010779363984</v>
      </c>
      <c r="AA491" s="15">
        <f t="shared" si="307"/>
        <v>22.170849845882874</v>
      </c>
      <c r="AB491" s="75">
        <f>AA491*(1-PARAM!$C$27)*$I$9+(MOD($B491,60)=PARAM!$B$56)*($B491&gt;(60-PARAM!$B$56))*HLOOKUP(($B491+PARAM!$B$56)/12,Loyalty,2)*$F$1*MAX(AD490,0)</f>
        <v>18.557001321003963</v>
      </c>
      <c r="AC491" s="75">
        <f>PARAM!$C$26+MAX($G$9-CHOOSE(PARAM!$B$44,MAX(0,AD490*$F$1),0),0)*RATES!$L467/12+$H$9*(PARAM!$D$51/12)*RATES!$N467/100</f>
        <v>109.45833333333333</v>
      </c>
      <c r="AD491" s="16">
        <f t="shared" si="333"/>
        <v>-6297.0010779363984</v>
      </c>
      <c r="AE491" s="15">
        <f t="shared" si="308"/>
        <v>22.170849845882874</v>
      </c>
      <c r="AF491" s="75">
        <f>AE491*(1-PARAM!$C$27)*$I$10+(MOD($B491,60)=PARAM!$B$56)*($B491&gt;(60-PARAM!$B$56))*HLOOKUP(($B491+PARAM!$B$56)/12,Loyalty,2)*$F$1*MAX(AH490,0)</f>
        <v>18.557001321003963</v>
      </c>
      <c r="AG491" s="75">
        <f>PARAM!$C$26+MAX($G$10-CHOOSE(PARAM!$B$44,MAX(0,AH490*$F$1),0),0)*RATES!$L467/12+$H$10*(PARAM!$D$51/12)*RATES!$N467/100</f>
        <v>109.45833333333333</v>
      </c>
      <c r="AH491" s="16">
        <f t="shared" si="334"/>
        <v>-6297.0010779363984</v>
      </c>
      <c r="AI491" s="15">
        <f t="shared" si="309"/>
        <v>22.170849845882874</v>
      </c>
      <c r="AJ491" s="75">
        <f>AI491*(1-PARAM!$C$27)*$I$11+(MOD($B491,60)=PARAM!$B$56)*($B491&gt;(60-PARAM!$B$56))*HLOOKUP(($B491+PARAM!$B$56)/12,Loyalty,2)*$F$1*MAX(AL490,0)</f>
        <v>18.557001321003963</v>
      </c>
      <c r="AK491" s="75">
        <f>PARAM!$C$26+MAX($G$11-CHOOSE(PARAM!$B$44,MAX(0,AL490*$F$1),0),0)*RATES!$L467/12+$H$11*(PARAM!$D$51/12)*RATES!$N467/100</f>
        <v>109.45833333333333</v>
      </c>
      <c r="AL491" s="16">
        <f t="shared" si="335"/>
        <v>-6297.0010779363984</v>
      </c>
      <c r="AM491" s="15">
        <f t="shared" si="310"/>
        <v>22.170849845882874</v>
      </c>
      <c r="AN491" s="75">
        <f>AM491*(1-PARAM!$C$27)*$I$12+(MOD($B491,60)=PARAM!$B$56)*($B491&gt;(60-PARAM!$B$56))*HLOOKUP(($B491+PARAM!$B$56)/12,Loyalty,2)*$F$1*MAX(AP490,0)</f>
        <v>18.557001321003963</v>
      </c>
      <c r="AO491" s="75">
        <f>PARAM!$C$26+MAX($G$12-CHOOSE(PARAM!$B$44,MAX(0,AP490*$F$1),0),0)*RATES!$L467/12+$H$12*(PARAM!$D$51/12)*RATES!$N467/100</f>
        <v>109.45833333333333</v>
      </c>
      <c r="AP491" s="16">
        <f t="shared" si="336"/>
        <v>-6297.0010779363984</v>
      </c>
      <c r="AQ491" s="15">
        <f t="shared" si="311"/>
        <v>22.170849845882874</v>
      </c>
      <c r="AR491" s="75">
        <f>AQ491*(1-PARAM!$C$27)*$I$13+(MOD($B491,60)=PARAM!$B$56)*($B491&gt;(60-PARAM!$B$56))*HLOOKUP(($B491+PARAM!$B$56)/12,Loyalty,2)*$F$1*MAX(AT490,0)</f>
        <v>18.557001321003963</v>
      </c>
      <c r="AS491" s="75">
        <f>PARAM!$C$26+MAX($G$13-CHOOSE(PARAM!$B$44,MAX(0,AT490*$F$1),0),0)*RATES!$L467/12+$H$13*(PARAM!$D$51/12)*RATES!$N467/100</f>
        <v>109.45833333333333</v>
      </c>
      <c r="AT491" s="16">
        <f t="shared" si="337"/>
        <v>-6297.0010779363984</v>
      </c>
      <c r="AU491" s="15">
        <f t="shared" si="312"/>
        <v>22.170849845882874</v>
      </c>
      <c r="AV491" s="75">
        <f>AU491*(1-PARAM!$C$27)*$I$14+(MOD($B491,60)=PARAM!$B$56)*($B491&gt;(60-PARAM!$B$56))*HLOOKUP(($B491+PARAM!$B$56)/12,Loyalty,2)*$F$1*MAX(AX490,0)</f>
        <v>18.557001321003963</v>
      </c>
      <c r="AW491" s="75">
        <f>PARAM!$C$26+MAX($G$14-CHOOSE(PARAM!$B$44,MAX(0,AX490*$F$1),0),0)*RATES!$L467/12+$H$14*(PARAM!$D$51/12)*RATES!$N467/100</f>
        <v>109.45833333333333</v>
      </c>
      <c r="AX491" s="16">
        <f t="shared" si="338"/>
        <v>-6297.0010779363984</v>
      </c>
      <c r="AY491" s="15">
        <f t="shared" si="313"/>
        <v>22.170849845882874</v>
      </c>
      <c r="AZ491" s="75">
        <f>AY491*(1-PARAM!$C$27)*$I$15+(MOD($B491,60)=PARAM!$B$56)*($B491&gt;(60-PARAM!$B$56))*HLOOKUP(($B491+PARAM!$B$56)/12,Loyalty,2)*$F$1*MAX(BB490,0)</f>
        <v>18.557001321003963</v>
      </c>
      <c r="BA491" s="75">
        <f>PARAM!$C$26+MAX($G$15-CHOOSE(PARAM!$B$44,MAX(0,BB490*$F$1),0),0)*RATES!$L467/12+$H$15*(PARAM!$D$51/12)*RATES!$N467/100</f>
        <v>109.45833333333333</v>
      </c>
      <c r="BB491" s="16">
        <f t="shared" si="339"/>
        <v>-6297.0010779363984</v>
      </c>
      <c r="BC491" s="15">
        <f t="shared" si="314"/>
        <v>22.170849845882874</v>
      </c>
      <c r="BD491" s="75">
        <f>BC491*(1-PARAM!$C$27)*$I$16+(MOD($B491,60)=PARAM!$B$56)*($B491&gt;(60-PARAM!$B$56))*HLOOKUP(($B491+PARAM!$B$56)/12,Loyalty,2)*$F$1*MAX(BF490,0)</f>
        <v>18.557001321003963</v>
      </c>
      <c r="BE491" s="75">
        <f>PARAM!$C$26+MAX($G$16-CHOOSE(PARAM!$B$44,MAX(0,BF490*$F$1),0),0)*RATES!$L467/12+$H$16*(PARAM!$D$51/12)*RATES!$N467/100</f>
        <v>109.45833333333333</v>
      </c>
      <c r="BF491" s="16">
        <f t="shared" si="340"/>
        <v>-6297.0010779363984</v>
      </c>
      <c r="BG491" s="15">
        <f t="shared" si="315"/>
        <v>22.170849845882874</v>
      </c>
      <c r="BH491" s="75">
        <f>BG491*(1-PARAM!$C$27)*$I$17+(MOD($B491,60)=PARAM!$B$56)*($B491&gt;(60-PARAM!$B$56))*HLOOKUP(($B491+PARAM!$B$56)/12,Loyalty,2)*$F$1*MAX(BJ490,0)</f>
        <v>18.557001321003963</v>
      </c>
      <c r="BI491" s="75">
        <f>PARAM!$C$26+MAX($G$17-CHOOSE(PARAM!$B$44,MAX(0,BJ490*$F$1),0),0)*RATES!$L467/12+$H$17*(PARAM!$D$51/12)*RATES!$N467/100</f>
        <v>109.45833333333333</v>
      </c>
      <c r="BJ491" s="16">
        <f t="shared" si="341"/>
        <v>-6297.0010779363984</v>
      </c>
      <c r="BK491" s="15">
        <f t="shared" si="316"/>
        <v>22.170849845882874</v>
      </c>
      <c r="BL491" s="75">
        <f>BK491*(1-PARAM!$C$27)*$I$18+(MOD($B491,60)=PARAM!$B$56)*($B491&gt;(60-PARAM!$B$56))*HLOOKUP(($B491+PARAM!$B$56)/12,Loyalty,2)*$F$1*MAX(BN490,0)</f>
        <v>18.557001321003963</v>
      </c>
      <c r="BM491" s="75">
        <f>PARAM!$C$26+MAX($G$18-CHOOSE(PARAM!$B$44,MAX(0,BN490*$F$1),0),0)*RATES!$L467/12+$H$18*(PARAM!$D$51/12)*RATES!$N467/100</f>
        <v>109.45833333333333</v>
      </c>
      <c r="BN491" s="16">
        <f t="shared" si="342"/>
        <v>-6297.0010779363984</v>
      </c>
      <c r="BO491" s="15">
        <f t="shared" si="317"/>
        <v>22.170849845882874</v>
      </c>
      <c r="BP491" s="75">
        <f>BO491*(1-PARAM!$C$27)*$I$19+(MOD($B491,60)=PARAM!$B$56)*($B491&gt;(60-PARAM!$B$56))*HLOOKUP(($B491+PARAM!$B$56)/12,Loyalty,2)*$F$1*MAX(BR490,0)</f>
        <v>18.557001321003963</v>
      </c>
      <c r="BQ491" s="75">
        <f>PARAM!$C$26+MAX($G$19-CHOOSE(PARAM!$B$44,MAX(0,BR490*$F$1),0),0)*RATES!$L467/12+$H$19*(PARAM!$D$51/12)*RATES!$N467/100</f>
        <v>109.45833333333333</v>
      </c>
      <c r="BR491" s="16">
        <f t="shared" si="343"/>
        <v>-6297.0010779363984</v>
      </c>
      <c r="BS491" s="15">
        <f t="shared" si="318"/>
        <v>22.170849845882874</v>
      </c>
      <c r="BT491" s="75">
        <f>BS491*(1-PARAM!$C$27)*$I$20+(MOD($B491,60)=PARAM!$B$56)*($B491&gt;(60-PARAM!$B$56))*HLOOKUP(($B491+PARAM!$B$56)/12,Loyalty,2)*$F$1*MAX(BV490,0)</f>
        <v>18.557001321003963</v>
      </c>
      <c r="BU491" s="75">
        <f>PARAM!$C$26+MAX($G$20-CHOOSE(PARAM!$B$44,MAX(0,BV490*$F$1),0),0)*RATES!$L467/12+$H$20*(PARAM!$D$51/12)*RATES!$N467/100</f>
        <v>109.45833333333333</v>
      </c>
      <c r="BV491" s="16">
        <f t="shared" si="344"/>
        <v>-6297.0010779363984</v>
      </c>
      <c r="BW491" s="15">
        <f t="shared" si="319"/>
        <v>22.170849845882874</v>
      </c>
      <c r="BX491" s="75">
        <f>BW491*(1-PARAM!$C$27)*$I$21+(MOD($B491,60)=PARAM!$B$56)*($B491&gt;(60-PARAM!$B$56))*HLOOKUP(($B491+PARAM!$B$56)/12,Loyalty,2)*$F$1*MAX(BZ490,0)</f>
        <v>18.557001321003963</v>
      </c>
      <c r="BY491" s="75">
        <f>PARAM!$C$26+MAX($G$21-CHOOSE(PARAM!$B$44,MAX(0,BZ490*$F$1),0),0)*RATES!$L467/12+$H$21*(PARAM!$D$51/12)*RATES!$N467/100</f>
        <v>109.45833333333333</v>
      </c>
      <c r="BZ491" s="16">
        <f t="shared" si="345"/>
        <v>-6297.0010779363984</v>
      </c>
      <c r="CA491" s="15">
        <f t="shared" si="320"/>
        <v>22.170849845882874</v>
      </c>
      <c r="CB491" s="75">
        <f>CA491*(1-PARAM!$C$27)*$I$22+(MOD($B491,60)=PARAM!$B$56)*($B491&gt;(60-PARAM!$B$56))*HLOOKUP(($B491+PARAM!$B$56)/12,Loyalty,2)*$F$1*MAX(CD490,0)</f>
        <v>18.557001321003963</v>
      </c>
      <c r="CC491" s="75">
        <f>PARAM!$C$26+MAX($G$22-CHOOSE(PARAM!$B$44,MAX(0,CD490*$F$1),0),0)*RATES!$L467/12+$H$22*(PARAM!$D$51/12)*RATES!$N467/100</f>
        <v>109.45833333333333</v>
      </c>
      <c r="CD491" s="16">
        <f t="shared" si="346"/>
        <v>-6297.0010779363984</v>
      </c>
      <c r="CE491" s="33">
        <f>IF(0=MOD(B491,12/PARAM!$D$51),1,0)</f>
        <v>1</v>
      </c>
      <c r="CF491" s="15">
        <f t="shared" si="321"/>
        <v>0</v>
      </c>
      <c r="CG491" s="75">
        <f>CF491*(1-PARAM!$C$27)*$R$3+(MOD($B491/12,5)=0)*($B491&gt;60)*HLOOKUP($B491/12,Loyalty,2)*$F$1*MAX(CI490,0)</f>
        <v>0</v>
      </c>
      <c r="CH491" s="75">
        <f>PARAM!$C$26+MAX($P$3-CHOOSE(PARAM!$B$44,MAX(0,CI490*$F$1),0),0)*RATES!$L467/12+$Q$3*(PARAM!$D$51/12)*RATES!$N467/100</f>
        <v>109.45833333333333</v>
      </c>
      <c r="CI491" s="16">
        <f>IF(CI490&gt;0,CI490*PARAM!$C$53,CI490)+CG491-CH491</f>
        <v>-14787.874999999982</v>
      </c>
      <c r="CJ491" s="15">
        <f t="shared" si="347"/>
        <v>0</v>
      </c>
      <c r="CK491" s="75">
        <f>CJ491*(1-PARAM!$C$27)*$R$4+(MOD($B491/12,5)=0)*($B491&gt;60)*HLOOKUP($B491/12,Loyalty,2)*$F$1*MAX(CM490,0)</f>
        <v>0</v>
      </c>
      <c r="CL491" s="75">
        <f>PARAM!$C$26+MAX($P$4-CHOOSE(PARAM!$B$44,MAX(0,CM490*$F$1),0),0)*RATES!$L467/12+$Q$4*(PARAM!$D$51/12)*RATES!$N467/100</f>
        <v>109.45833333333333</v>
      </c>
      <c r="CM491" s="16">
        <f>IF(CM490&gt;0,CM490*PARAM!$C$53,CM490)+CK491-CL491</f>
        <v>-14787.874999999982</v>
      </c>
      <c r="CO491" s="176"/>
    </row>
    <row r="492" spans="1:93" x14ac:dyDescent="0.2">
      <c r="A492" t="b">
        <f t="shared" si="322"/>
        <v>0</v>
      </c>
      <c r="B492" s="33">
        <v>465</v>
      </c>
      <c r="C492" s="15">
        <f t="shared" si="323"/>
        <v>20.081305947392778</v>
      </c>
      <c r="D492" s="75">
        <f>C492*(1-PARAM!$C$27)*$I$3+(MOD($B492,60)=PARAM!$B$56)*($B492&gt;(60-PARAM!$B$56))*HLOOKUP(($B492+PARAM!$B$56)/12,Loyalty,2)*$F$1*MAX(F491,0)</f>
        <v>16.808053077967756</v>
      </c>
      <c r="E492" s="75">
        <f>PARAM!$C$26+MAX($G$3-CHOOSE(PARAM!$B$44,MAX(0,F491*$F$1),0),0)*RATES!$L468/12+$H$3*(PARAM!$D$51/12)*RATES!$N468/100</f>
        <v>109.45833333333333</v>
      </c>
      <c r="F492" s="16">
        <f t="shared" si="324"/>
        <v>-7238.0138434820619</v>
      </c>
      <c r="G492" s="15">
        <f t="shared" si="325"/>
        <v>22.035289406060361</v>
      </c>
      <c r="H492" s="75">
        <f>G492*(1-PARAM!$C$27)*$I$4+(MOD($B492,60)=PARAM!$B$56)*($B492&gt;(60-PARAM!$B$56))*HLOOKUP(($B492+PARAM!$B$56)/12,Loyalty,2)*$F$1*MAX(J491,0)</f>
        <v>18.443537232872522</v>
      </c>
      <c r="I492" s="75">
        <f>PARAM!$C$26+MAX($G$4-CHOOSE(PARAM!$B$44,MAX(0,J491*$F$1),0),0)*RATES!$L468/12+$H$4*(PARAM!$D$51/12)*RATES!$N468/100</f>
        <v>109.45833333333333</v>
      </c>
      <c r="J492" s="16">
        <f t="shared" si="326"/>
        <v>-6443.6807473296285</v>
      </c>
      <c r="K492" s="15">
        <f t="shared" si="327"/>
        <v>22.170849845882874</v>
      </c>
      <c r="L492" s="75">
        <f>K492*(1-PARAM!$C$27)*$I$5+(MOD($B492,60)=PARAM!$B$56)*($B492&gt;(60-PARAM!$B$56))*HLOOKUP(($B492+PARAM!$B$56)/12,Loyalty,2)*$F$1*MAX(N491,0)</f>
        <v>18.557001321003963</v>
      </c>
      <c r="M492" s="75">
        <f>PARAM!$C$26+MAX($G$5-CHOOSE(PARAM!$B$44,MAX(0,N491*$F$1),0),0)*RATES!$L468/12+$H$5*(PARAM!$D$51/12)*RATES!$N468/100</f>
        <v>109.45833333333333</v>
      </c>
      <c r="N492" s="16">
        <f t="shared" si="328"/>
        <v>-6387.9024099487278</v>
      </c>
      <c r="O492" s="15">
        <f t="shared" si="329"/>
        <v>22.170849845882874</v>
      </c>
      <c r="P492" s="75">
        <f>O492*(1-PARAM!$C$27)*$I$6+(MOD($B492,60)=PARAM!$B$56)*($B492&gt;(60-PARAM!$B$56))*HLOOKUP(($B492+PARAM!$B$56)/12,Loyalty,2)*$F$1*MAX(R491,0)</f>
        <v>18.557001321003963</v>
      </c>
      <c r="Q492" s="75">
        <f>PARAM!$C$26+MAX($G$6-CHOOSE(PARAM!$B$44,MAX(0,R491*$F$1),0),0)*RATES!$L468/12+$H$6*(PARAM!$D$51/12)*RATES!$N468/100</f>
        <v>109.45833333333333</v>
      </c>
      <c r="R492" s="16">
        <f t="shared" si="330"/>
        <v>-6387.9024099487278</v>
      </c>
      <c r="S492" s="15">
        <f t="shared" si="305"/>
        <v>22.170849845882874</v>
      </c>
      <c r="T492" s="75">
        <f>S492*(1-PARAM!$C$27)*$I$7+(MOD($B492,60)=PARAM!$B$56)*($B492&gt;(60-PARAM!$B$56))*HLOOKUP(($B492+PARAM!$B$56)/12,Loyalty,2)*$F$1*MAX(V491,0)</f>
        <v>18.557001321003963</v>
      </c>
      <c r="U492" s="75">
        <f>PARAM!$C$26+MAX($G$7-CHOOSE(PARAM!$B$44,MAX(0,V491*$F$1),0),0)*RATES!$L468/12+$H$7*(PARAM!$D$51/12)*RATES!$N468/100</f>
        <v>109.45833333333333</v>
      </c>
      <c r="V492" s="16">
        <f t="shared" si="331"/>
        <v>-6387.9024099487278</v>
      </c>
      <c r="W492" s="15">
        <f t="shared" si="306"/>
        <v>22.170849845882874</v>
      </c>
      <c r="X492" s="75">
        <f>W492*(1-PARAM!$C$27)*$I$8+(MOD($B492,60)=PARAM!$B$56)*($B492&gt;(60-PARAM!$B$56))*HLOOKUP(($B492+PARAM!$B$56)/12,Loyalty,2)*$F$1*MAX(Z491,0)</f>
        <v>18.557001321003963</v>
      </c>
      <c r="Y492" s="75">
        <f>PARAM!$C$26+MAX($G$8-CHOOSE(PARAM!$B$44,MAX(0,Z491*$F$1),0),0)*RATES!$L468/12+$H$8*(PARAM!$D$51/12)*RATES!$N468/100</f>
        <v>109.45833333333333</v>
      </c>
      <c r="Z492" s="16">
        <f t="shared" si="332"/>
        <v>-6387.9024099487278</v>
      </c>
      <c r="AA492" s="15">
        <f t="shared" si="307"/>
        <v>22.170849845882874</v>
      </c>
      <c r="AB492" s="75">
        <f>AA492*(1-PARAM!$C$27)*$I$9+(MOD($B492,60)=PARAM!$B$56)*($B492&gt;(60-PARAM!$B$56))*HLOOKUP(($B492+PARAM!$B$56)/12,Loyalty,2)*$F$1*MAX(AD491,0)</f>
        <v>18.557001321003963</v>
      </c>
      <c r="AC492" s="75">
        <f>PARAM!$C$26+MAX($G$9-CHOOSE(PARAM!$B$44,MAX(0,AD491*$F$1),0),0)*RATES!$L468/12+$H$9*(PARAM!$D$51/12)*RATES!$N468/100</f>
        <v>109.45833333333333</v>
      </c>
      <c r="AD492" s="16">
        <f t="shared" si="333"/>
        <v>-6387.9024099487278</v>
      </c>
      <c r="AE492" s="15">
        <f t="shared" si="308"/>
        <v>22.170849845882874</v>
      </c>
      <c r="AF492" s="75">
        <f>AE492*(1-PARAM!$C$27)*$I$10+(MOD($B492,60)=PARAM!$B$56)*($B492&gt;(60-PARAM!$B$56))*HLOOKUP(($B492+PARAM!$B$56)/12,Loyalty,2)*$F$1*MAX(AH491,0)</f>
        <v>18.557001321003963</v>
      </c>
      <c r="AG492" s="75">
        <f>PARAM!$C$26+MAX($G$10-CHOOSE(PARAM!$B$44,MAX(0,AH491*$F$1),0),0)*RATES!$L468/12+$H$10*(PARAM!$D$51/12)*RATES!$N468/100</f>
        <v>109.45833333333333</v>
      </c>
      <c r="AH492" s="16">
        <f t="shared" si="334"/>
        <v>-6387.9024099487278</v>
      </c>
      <c r="AI492" s="15">
        <f t="shared" si="309"/>
        <v>22.170849845882874</v>
      </c>
      <c r="AJ492" s="75">
        <f>AI492*(1-PARAM!$C$27)*$I$11+(MOD($B492,60)=PARAM!$B$56)*($B492&gt;(60-PARAM!$B$56))*HLOOKUP(($B492+PARAM!$B$56)/12,Loyalty,2)*$F$1*MAX(AL491,0)</f>
        <v>18.557001321003963</v>
      </c>
      <c r="AK492" s="75">
        <f>PARAM!$C$26+MAX($G$11-CHOOSE(PARAM!$B$44,MAX(0,AL491*$F$1),0),0)*RATES!$L468/12+$H$11*(PARAM!$D$51/12)*RATES!$N468/100</f>
        <v>109.45833333333333</v>
      </c>
      <c r="AL492" s="16">
        <f t="shared" si="335"/>
        <v>-6387.9024099487278</v>
      </c>
      <c r="AM492" s="15">
        <f t="shared" si="310"/>
        <v>22.170849845882874</v>
      </c>
      <c r="AN492" s="75">
        <f>AM492*(1-PARAM!$C$27)*$I$12+(MOD($B492,60)=PARAM!$B$56)*($B492&gt;(60-PARAM!$B$56))*HLOOKUP(($B492+PARAM!$B$56)/12,Loyalty,2)*$F$1*MAX(AP491,0)</f>
        <v>18.557001321003963</v>
      </c>
      <c r="AO492" s="75">
        <f>PARAM!$C$26+MAX($G$12-CHOOSE(PARAM!$B$44,MAX(0,AP491*$F$1),0),0)*RATES!$L468/12+$H$12*(PARAM!$D$51/12)*RATES!$N468/100</f>
        <v>109.45833333333333</v>
      </c>
      <c r="AP492" s="16">
        <f t="shared" si="336"/>
        <v>-6387.9024099487278</v>
      </c>
      <c r="AQ492" s="15">
        <f t="shared" si="311"/>
        <v>22.170849845882874</v>
      </c>
      <c r="AR492" s="75">
        <f>AQ492*(1-PARAM!$C$27)*$I$13+(MOD($B492,60)=PARAM!$B$56)*($B492&gt;(60-PARAM!$B$56))*HLOOKUP(($B492+PARAM!$B$56)/12,Loyalty,2)*$F$1*MAX(AT491,0)</f>
        <v>18.557001321003963</v>
      </c>
      <c r="AS492" s="75">
        <f>PARAM!$C$26+MAX($G$13-CHOOSE(PARAM!$B$44,MAX(0,AT491*$F$1),0),0)*RATES!$L468/12+$H$13*(PARAM!$D$51/12)*RATES!$N468/100</f>
        <v>109.45833333333333</v>
      </c>
      <c r="AT492" s="16">
        <f t="shared" si="337"/>
        <v>-6387.9024099487278</v>
      </c>
      <c r="AU492" s="15">
        <f t="shared" si="312"/>
        <v>22.170849845882874</v>
      </c>
      <c r="AV492" s="75">
        <f>AU492*(1-PARAM!$C$27)*$I$14+(MOD($B492,60)=PARAM!$B$56)*($B492&gt;(60-PARAM!$B$56))*HLOOKUP(($B492+PARAM!$B$56)/12,Loyalty,2)*$F$1*MAX(AX491,0)</f>
        <v>18.557001321003963</v>
      </c>
      <c r="AW492" s="75">
        <f>PARAM!$C$26+MAX($G$14-CHOOSE(PARAM!$B$44,MAX(0,AX491*$F$1),0),0)*RATES!$L468/12+$H$14*(PARAM!$D$51/12)*RATES!$N468/100</f>
        <v>109.45833333333333</v>
      </c>
      <c r="AX492" s="16">
        <f t="shared" si="338"/>
        <v>-6387.9024099487278</v>
      </c>
      <c r="AY492" s="15">
        <f t="shared" si="313"/>
        <v>22.170849845882874</v>
      </c>
      <c r="AZ492" s="75">
        <f>AY492*(1-PARAM!$C$27)*$I$15+(MOD($B492,60)=PARAM!$B$56)*($B492&gt;(60-PARAM!$B$56))*HLOOKUP(($B492+PARAM!$B$56)/12,Loyalty,2)*$F$1*MAX(BB491,0)</f>
        <v>18.557001321003963</v>
      </c>
      <c r="BA492" s="75">
        <f>PARAM!$C$26+MAX($G$15-CHOOSE(PARAM!$B$44,MAX(0,BB491*$F$1),0),0)*RATES!$L468/12+$H$15*(PARAM!$D$51/12)*RATES!$N468/100</f>
        <v>109.45833333333333</v>
      </c>
      <c r="BB492" s="16">
        <f t="shared" si="339"/>
        <v>-6387.9024099487278</v>
      </c>
      <c r="BC492" s="15">
        <f t="shared" si="314"/>
        <v>22.170849845882874</v>
      </c>
      <c r="BD492" s="75">
        <f>BC492*(1-PARAM!$C$27)*$I$16+(MOD($B492,60)=PARAM!$B$56)*($B492&gt;(60-PARAM!$B$56))*HLOOKUP(($B492+PARAM!$B$56)/12,Loyalty,2)*$F$1*MAX(BF491,0)</f>
        <v>18.557001321003963</v>
      </c>
      <c r="BE492" s="75">
        <f>PARAM!$C$26+MAX($G$16-CHOOSE(PARAM!$B$44,MAX(0,BF491*$F$1),0),0)*RATES!$L468/12+$H$16*(PARAM!$D$51/12)*RATES!$N468/100</f>
        <v>109.45833333333333</v>
      </c>
      <c r="BF492" s="16">
        <f t="shared" si="340"/>
        <v>-6387.9024099487278</v>
      </c>
      <c r="BG492" s="15">
        <f t="shared" si="315"/>
        <v>22.170849845882874</v>
      </c>
      <c r="BH492" s="75">
        <f>BG492*(1-PARAM!$C$27)*$I$17+(MOD($B492,60)=PARAM!$B$56)*($B492&gt;(60-PARAM!$B$56))*HLOOKUP(($B492+PARAM!$B$56)/12,Loyalty,2)*$F$1*MAX(BJ491,0)</f>
        <v>18.557001321003963</v>
      </c>
      <c r="BI492" s="75">
        <f>PARAM!$C$26+MAX($G$17-CHOOSE(PARAM!$B$44,MAX(0,BJ491*$F$1),0),0)*RATES!$L468/12+$H$17*(PARAM!$D$51/12)*RATES!$N468/100</f>
        <v>109.45833333333333</v>
      </c>
      <c r="BJ492" s="16">
        <f t="shared" si="341"/>
        <v>-6387.9024099487278</v>
      </c>
      <c r="BK492" s="15">
        <f t="shared" si="316"/>
        <v>22.170849845882874</v>
      </c>
      <c r="BL492" s="75">
        <f>BK492*(1-PARAM!$C$27)*$I$18+(MOD($B492,60)=PARAM!$B$56)*($B492&gt;(60-PARAM!$B$56))*HLOOKUP(($B492+PARAM!$B$56)/12,Loyalty,2)*$F$1*MAX(BN491,0)</f>
        <v>18.557001321003963</v>
      </c>
      <c r="BM492" s="75">
        <f>PARAM!$C$26+MAX($G$18-CHOOSE(PARAM!$B$44,MAX(0,BN491*$F$1),0),0)*RATES!$L468/12+$H$18*(PARAM!$D$51/12)*RATES!$N468/100</f>
        <v>109.45833333333333</v>
      </c>
      <c r="BN492" s="16">
        <f t="shared" si="342"/>
        <v>-6387.9024099487278</v>
      </c>
      <c r="BO492" s="15">
        <f t="shared" si="317"/>
        <v>22.170849845882874</v>
      </c>
      <c r="BP492" s="75">
        <f>BO492*(1-PARAM!$C$27)*$I$19+(MOD($B492,60)=PARAM!$B$56)*($B492&gt;(60-PARAM!$B$56))*HLOOKUP(($B492+PARAM!$B$56)/12,Loyalty,2)*$F$1*MAX(BR491,0)</f>
        <v>18.557001321003963</v>
      </c>
      <c r="BQ492" s="75">
        <f>PARAM!$C$26+MAX($G$19-CHOOSE(PARAM!$B$44,MAX(0,BR491*$F$1),0),0)*RATES!$L468/12+$H$19*(PARAM!$D$51/12)*RATES!$N468/100</f>
        <v>109.45833333333333</v>
      </c>
      <c r="BR492" s="16">
        <f t="shared" si="343"/>
        <v>-6387.9024099487278</v>
      </c>
      <c r="BS492" s="15">
        <f t="shared" si="318"/>
        <v>22.170849845882874</v>
      </c>
      <c r="BT492" s="75">
        <f>BS492*(1-PARAM!$C$27)*$I$20+(MOD($B492,60)=PARAM!$B$56)*($B492&gt;(60-PARAM!$B$56))*HLOOKUP(($B492+PARAM!$B$56)/12,Loyalty,2)*$F$1*MAX(BV491,0)</f>
        <v>18.557001321003963</v>
      </c>
      <c r="BU492" s="75">
        <f>PARAM!$C$26+MAX($G$20-CHOOSE(PARAM!$B$44,MAX(0,BV491*$F$1),0),0)*RATES!$L468/12+$H$20*(PARAM!$D$51/12)*RATES!$N468/100</f>
        <v>109.45833333333333</v>
      </c>
      <c r="BV492" s="16">
        <f t="shared" si="344"/>
        <v>-6387.9024099487278</v>
      </c>
      <c r="BW492" s="15">
        <f t="shared" si="319"/>
        <v>22.170849845882874</v>
      </c>
      <c r="BX492" s="75">
        <f>BW492*(1-PARAM!$C$27)*$I$21+(MOD($B492,60)=PARAM!$B$56)*($B492&gt;(60-PARAM!$B$56))*HLOOKUP(($B492+PARAM!$B$56)/12,Loyalty,2)*$F$1*MAX(BZ491,0)</f>
        <v>18.557001321003963</v>
      </c>
      <c r="BY492" s="75">
        <f>PARAM!$C$26+MAX($G$21-CHOOSE(PARAM!$B$44,MAX(0,BZ491*$F$1),0),0)*RATES!$L468/12+$H$21*(PARAM!$D$51/12)*RATES!$N468/100</f>
        <v>109.45833333333333</v>
      </c>
      <c r="BZ492" s="16">
        <f t="shared" si="345"/>
        <v>-6387.9024099487278</v>
      </c>
      <c r="CA492" s="15">
        <f t="shared" si="320"/>
        <v>22.170849845882874</v>
      </c>
      <c r="CB492" s="75">
        <f>CA492*(1-PARAM!$C$27)*$I$22+(MOD($B492,60)=PARAM!$B$56)*($B492&gt;(60-PARAM!$B$56))*HLOOKUP(($B492+PARAM!$B$56)/12,Loyalty,2)*$F$1*MAX(CD491,0)</f>
        <v>18.557001321003963</v>
      </c>
      <c r="CC492" s="75">
        <f>PARAM!$C$26+MAX($G$22-CHOOSE(PARAM!$B$44,MAX(0,CD491*$F$1),0),0)*RATES!$L468/12+$H$22*(PARAM!$D$51/12)*RATES!$N468/100</f>
        <v>109.45833333333333</v>
      </c>
      <c r="CD492" s="16">
        <f t="shared" si="346"/>
        <v>-6387.9024099487278</v>
      </c>
      <c r="CE492" s="33">
        <f>IF(0=MOD(B492,12/PARAM!$D$51),1,0)</f>
        <v>1</v>
      </c>
      <c r="CF492" s="15">
        <f t="shared" si="321"/>
        <v>0</v>
      </c>
      <c r="CG492" s="75">
        <f>CF492*(1-PARAM!$C$27)*$R$3+(MOD($B492/12,5)=0)*($B492&gt;60)*HLOOKUP($B492/12,Loyalty,2)*$F$1*MAX(CI491,0)</f>
        <v>0</v>
      </c>
      <c r="CH492" s="75">
        <f>PARAM!$C$26+MAX($P$3-CHOOSE(PARAM!$B$44,MAX(0,CI491*$F$1),0),0)*RATES!$L468/12+$Q$3*(PARAM!$D$51/12)*RATES!$N468/100</f>
        <v>109.45833333333333</v>
      </c>
      <c r="CI492" s="16">
        <f>IF(CI491&gt;0,CI491*PARAM!$C$53,CI491)+CG492-CH492</f>
        <v>-14897.333333333316</v>
      </c>
      <c r="CJ492" s="15">
        <f t="shared" si="347"/>
        <v>0</v>
      </c>
      <c r="CK492" s="75">
        <f>CJ492*(1-PARAM!$C$27)*$R$4+(MOD($B492/12,5)=0)*($B492&gt;60)*HLOOKUP($B492/12,Loyalty,2)*$F$1*MAX(CM491,0)</f>
        <v>0</v>
      </c>
      <c r="CL492" s="75">
        <f>PARAM!$C$26+MAX($P$4-CHOOSE(PARAM!$B$44,MAX(0,CM491*$F$1),0),0)*RATES!$L468/12+$Q$4*(PARAM!$D$51/12)*RATES!$N468/100</f>
        <v>109.45833333333333</v>
      </c>
      <c r="CM492" s="16">
        <f>IF(CM491&gt;0,CM491*PARAM!$C$53,CM491)+CK492-CL492</f>
        <v>-14897.333333333316</v>
      </c>
      <c r="CO492" s="176"/>
    </row>
    <row r="493" spans="1:93" x14ac:dyDescent="0.2">
      <c r="A493" t="b">
        <f t="shared" si="322"/>
        <v>0</v>
      </c>
      <c r="B493" s="33">
        <v>466</v>
      </c>
      <c r="C493" s="15">
        <f t="shared" si="323"/>
        <v>20.081305947392778</v>
      </c>
      <c r="D493" s="75">
        <f>C493*(1-PARAM!$C$27)*$I$3+(MOD($B493,60)=PARAM!$B$56)*($B493&gt;(60-PARAM!$B$56))*HLOOKUP(($B493+PARAM!$B$56)/12,Loyalty,2)*$F$1*MAX(F492,0)</f>
        <v>16.808053077967756</v>
      </c>
      <c r="E493" s="75">
        <f>PARAM!$C$26+MAX($G$3-CHOOSE(PARAM!$B$44,MAX(0,F492*$F$1),0),0)*RATES!$L469/12+$H$3*(PARAM!$D$51/12)*RATES!$N469/100</f>
        <v>109.45833333333333</v>
      </c>
      <c r="F493" s="16">
        <f t="shared" si="324"/>
        <v>-7330.664123737427</v>
      </c>
      <c r="G493" s="15">
        <f t="shared" si="325"/>
        <v>22.035289406060361</v>
      </c>
      <c r="H493" s="75">
        <f>G493*(1-PARAM!$C$27)*$I$4+(MOD($B493,60)=PARAM!$B$56)*($B493&gt;(60-PARAM!$B$56))*HLOOKUP(($B493+PARAM!$B$56)/12,Loyalty,2)*$F$1*MAX(J492,0)</f>
        <v>18.443537232872522</v>
      </c>
      <c r="I493" s="75">
        <f>PARAM!$C$26+MAX($G$4-CHOOSE(PARAM!$B$44,MAX(0,J492*$F$1),0),0)*RATES!$L469/12+$H$4*(PARAM!$D$51/12)*RATES!$N469/100</f>
        <v>109.45833333333333</v>
      </c>
      <c r="J493" s="16">
        <f t="shared" si="326"/>
        <v>-6534.6955434300889</v>
      </c>
      <c r="K493" s="15">
        <f t="shared" si="327"/>
        <v>22.170849845882874</v>
      </c>
      <c r="L493" s="75">
        <f>K493*(1-PARAM!$C$27)*$I$5+(MOD($B493,60)=PARAM!$B$56)*($B493&gt;(60-PARAM!$B$56))*HLOOKUP(($B493+PARAM!$B$56)/12,Loyalty,2)*$F$1*MAX(N492,0)</f>
        <v>18.557001321003963</v>
      </c>
      <c r="M493" s="75">
        <f>PARAM!$C$26+MAX($G$5-CHOOSE(PARAM!$B$44,MAX(0,N492*$F$1),0),0)*RATES!$L469/12+$H$5*(PARAM!$D$51/12)*RATES!$N469/100</f>
        <v>109.45833333333333</v>
      </c>
      <c r="N493" s="16">
        <f t="shared" si="328"/>
        <v>-6478.8037419610573</v>
      </c>
      <c r="O493" s="15">
        <f t="shared" si="329"/>
        <v>22.170849845882874</v>
      </c>
      <c r="P493" s="75">
        <f>O493*(1-PARAM!$C$27)*$I$6+(MOD($B493,60)=PARAM!$B$56)*($B493&gt;(60-PARAM!$B$56))*HLOOKUP(($B493+PARAM!$B$56)/12,Loyalty,2)*$F$1*MAX(R492,0)</f>
        <v>18.557001321003963</v>
      </c>
      <c r="Q493" s="75">
        <f>PARAM!$C$26+MAX($G$6-CHOOSE(PARAM!$B$44,MAX(0,R492*$F$1),0),0)*RATES!$L469/12+$H$6*(PARAM!$D$51/12)*RATES!$N469/100</f>
        <v>109.45833333333333</v>
      </c>
      <c r="R493" s="16">
        <f t="shared" si="330"/>
        <v>-6478.8037419610573</v>
      </c>
      <c r="S493" s="15">
        <f t="shared" si="305"/>
        <v>22.170849845882874</v>
      </c>
      <c r="T493" s="75">
        <f>S493*(1-PARAM!$C$27)*$I$7+(MOD($B493,60)=PARAM!$B$56)*($B493&gt;(60-PARAM!$B$56))*HLOOKUP(($B493+PARAM!$B$56)/12,Loyalty,2)*$F$1*MAX(V492,0)</f>
        <v>18.557001321003963</v>
      </c>
      <c r="U493" s="75">
        <f>PARAM!$C$26+MAX($G$7-CHOOSE(PARAM!$B$44,MAX(0,V492*$F$1),0),0)*RATES!$L469/12+$H$7*(PARAM!$D$51/12)*RATES!$N469/100</f>
        <v>109.45833333333333</v>
      </c>
      <c r="V493" s="16">
        <f t="shared" si="331"/>
        <v>-6478.8037419610573</v>
      </c>
      <c r="W493" s="15">
        <f t="shared" si="306"/>
        <v>22.170849845882874</v>
      </c>
      <c r="X493" s="75">
        <f>W493*(1-PARAM!$C$27)*$I$8+(MOD($B493,60)=PARAM!$B$56)*($B493&gt;(60-PARAM!$B$56))*HLOOKUP(($B493+PARAM!$B$56)/12,Loyalty,2)*$F$1*MAX(Z492,0)</f>
        <v>18.557001321003963</v>
      </c>
      <c r="Y493" s="75">
        <f>PARAM!$C$26+MAX($G$8-CHOOSE(PARAM!$B$44,MAX(0,Z492*$F$1),0),0)*RATES!$L469/12+$H$8*(PARAM!$D$51/12)*RATES!$N469/100</f>
        <v>109.45833333333333</v>
      </c>
      <c r="Z493" s="16">
        <f t="shared" si="332"/>
        <v>-6478.8037419610573</v>
      </c>
      <c r="AA493" s="15">
        <f t="shared" si="307"/>
        <v>22.170849845882874</v>
      </c>
      <c r="AB493" s="75">
        <f>AA493*(1-PARAM!$C$27)*$I$9+(MOD($B493,60)=PARAM!$B$56)*($B493&gt;(60-PARAM!$B$56))*HLOOKUP(($B493+PARAM!$B$56)/12,Loyalty,2)*$F$1*MAX(AD492,0)</f>
        <v>18.557001321003963</v>
      </c>
      <c r="AC493" s="75">
        <f>PARAM!$C$26+MAX($G$9-CHOOSE(PARAM!$B$44,MAX(0,AD492*$F$1),0),0)*RATES!$L469/12+$H$9*(PARAM!$D$51/12)*RATES!$N469/100</f>
        <v>109.45833333333333</v>
      </c>
      <c r="AD493" s="16">
        <f t="shared" si="333"/>
        <v>-6478.8037419610573</v>
      </c>
      <c r="AE493" s="15">
        <f t="shared" si="308"/>
        <v>22.170849845882874</v>
      </c>
      <c r="AF493" s="75">
        <f>AE493*(1-PARAM!$C$27)*$I$10+(MOD($B493,60)=PARAM!$B$56)*($B493&gt;(60-PARAM!$B$56))*HLOOKUP(($B493+PARAM!$B$56)/12,Loyalty,2)*$F$1*MAX(AH492,0)</f>
        <v>18.557001321003963</v>
      </c>
      <c r="AG493" s="75">
        <f>PARAM!$C$26+MAX($G$10-CHOOSE(PARAM!$B$44,MAX(0,AH492*$F$1),0),0)*RATES!$L469/12+$H$10*(PARAM!$D$51/12)*RATES!$N469/100</f>
        <v>109.45833333333333</v>
      </c>
      <c r="AH493" s="16">
        <f t="shared" si="334"/>
        <v>-6478.8037419610573</v>
      </c>
      <c r="AI493" s="15">
        <f t="shared" si="309"/>
        <v>22.170849845882874</v>
      </c>
      <c r="AJ493" s="75">
        <f>AI493*(1-PARAM!$C$27)*$I$11+(MOD($B493,60)=PARAM!$B$56)*($B493&gt;(60-PARAM!$B$56))*HLOOKUP(($B493+PARAM!$B$56)/12,Loyalty,2)*$F$1*MAX(AL492,0)</f>
        <v>18.557001321003963</v>
      </c>
      <c r="AK493" s="75">
        <f>PARAM!$C$26+MAX($G$11-CHOOSE(PARAM!$B$44,MAX(0,AL492*$F$1),0),0)*RATES!$L469/12+$H$11*(PARAM!$D$51/12)*RATES!$N469/100</f>
        <v>109.45833333333333</v>
      </c>
      <c r="AL493" s="16">
        <f t="shared" si="335"/>
        <v>-6478.8037419610573</v>
      </c>
      <c r="AM493" s="15">
        <f t="shared" si="310"/>
        <v>22.170849845882874</v>
      </c>
      <c r="AN493" s="75">
        <f>AM493*(1-PARAM!$C$27)*$I$12+(MOD($B493,60)=PARAM!$B$56)*($B493&gt;(60-PARAM!$B$56))*HLOOKUP(($B493+PARAM!$B$56)/12,Loyalty,2)*$F$1*MAX(AP492,0)</f>
        <v>18.557001321003963</v>
      </c>
      <c r="AO493" s="75">
        <f>PARAM!$C$26+MAX($G$12-CHOOSE(PARAM!$B$44,MAX(0,AP492*$F$1),0),0)*RATES!$L469/12+$H$12*(PARAM!$D$51/12)*RATES!$N469/100</f>
        <v>109.45833333333333</v>
      </c>
      <c r="AP493" s="16">
        <f t="shared" si="336"/>
        <v>-6478.8037419610573</v>
      </c>
      <c r="AQ493" s="15">
        <f t="shared" si="311"/>
        <v>22.170849845882874</v>
      </c>
      <c r="AR493" s="75">
        <f>AQ493*(1-PARAM!$C$27)*$I$13+(MOD($B493,60)=PARAM!$B$56)*($B493&gt;(60-PARAM!$B$56))*HLOOKUP(($B493+PARAM!$B$56)/12,Loyalty,2)*$F$1*MAX(AT492,0)</f>
        <v>18.557001321003963</v>
      </c>
      <c r="AS493" s="75">
        <f>PARAM!$C$26+MAX($G$13-CHOOSE(PARAM!$B$44,MAX(0,AT492*$F$1),0),0)*RATES!$L469/12+$H$13*(PARAM!$D$51/12)*RATES!$N469/100</f>
        <v>109.45833333333333</v>
      </c>
      <c r="AT493" s="16">
        <f t="shared" si="337"/>
        <v>-6478.8037419610573</v>
      </c>
      <c r="AU493" s="15">
        <f t="shared" si="312"/>
        <v>22.170849845882874</v>
      </c>
      <c r="AV493" s="75">
        <f>AU493*(1-PARAM!$C$27)*$I$14+(MOD($B493,60)=PARAM!$B$56)*($B493&gt;(60-PARAM!$B$56))*HLOOKUP(($B493+PARAM!$B$56)/12,Loyalty,2)*$F$1*MAX(AX492,0)</f>
        <v>18.557001321003963</v>
      </c>
      <c r="AW493" s="75">
        <f>PARAM!$C$26+MAX($G$14-CHOOSE(PARAM!$B$44,MAX(0,AX492*$F$1),0),0)*RATES!$L469/12+$H$14*(PARAM!$D$51/12)*RATES!$N469/100</f>
        <v>109.45833333333333</v>
      </c>
      <c r="AX493" s="16">
        <f t="shared" si="338"/>
        <v>-6478.8037419610573</v>
      </c>
      <c r="AY493" s="15">
        <f t="shared" si="313"/>
        <v>22.170849845882874</v>
      </c>
      <c r="AZ493" s="75">
        <f>AY493*(1-PARAM!$C$27)*$I$15+(MOD($B493,60)=PARAM!$B$56)*($B493&gt;(60-PARAM!$B$56))*HLOOKUP(($B493+PARAM!$B$56)/12,Loyalty,2)*$F$1*MAX(BB492,0)</f>
        <v>18.557001321003963</v>
      </c>
      <c r="BA493" s="75">
        <f>PARAM!$C$26+MAX($G$15-CHOOSE(PARAM!$B$44,MAX(0,BB492*$F$1),0),0)*RATES!$L469/12+$H$15*(PARAM!$D$51/12)*RATES!$N469/100</f>
        <v>109.45833333333333</v>
      </c>
      <c r="BB493" s="16">
        <f t="shared" si="339"/>
        <v>-6478.8037419610573</v>
      </c>
      <c r="BC493" s="15">
        <f t="shared" si="314"/>
        <v>22.170849845882874</v>
      </c>
      <c r="BD493" s="75">
        <f>BC493*(1-PARAM!$C$27)*$I$16+(MOD($B493,60)=PARAM!$B$56)*($B493&gt;(60-PARAM!$B$56))*HLOOKUP(($B493+PARAM!$B$56)/12,Loyalty,2)*$F$1*MAX(BF492,0)</f>
        <v>18.557001321003963</v>
      </c>
      <c r="BE493" s="75">
        <f>PARAM!$C$26+MAX($G$16-CHOOSE(PARAM!$B$44,MAX(0,BF492*$F$1),0),0)*RATES!$L469/12+$H$16*(PARAM!$D$51/12)*RATES!$N469/100</f>
        <v>109.45833333333333</v>
      </c>
      <c r="BF493" s="16">
        <f t="shared" si="340"/>
        <v>-6478.8037419610573</v>
      </c>
      <c r="BG493" s="15">
        <f t="shared" si="315"/>
        <v>22.170849845882874</v>
      </c>
      <c r="BH493" s="75">
        <f>BG493*(1-PARAM!$C$27)*$I$17+(MOD($B493,60)=PARAM!$B$56)*($B493&gt;(60-PARAM!$B$56))*HLOOKUP(($B493+PARAM!$B$56)/12,Loyalty,2)*$F$1*MAX(BJ492,0)</f>
        <v>18.557001321003963</v>
      </c>
      <c r="BI493" s="75">
        <f>PARAM!$C$26+MAX($G$17-CHOOSE(PARAM!$B$44,MAX(0,BJ492*$F$1),0),0)*RATES!$L469/12+$H$17*(PARAM!$D$51/12)*RATES!$N469/100</f>
        <v>109.45833333333333</v>
      </c>
      <c r="BJ493" s="16">
        <f t="shared" si="341"/>
        <v>-6478.8037419610573</v>
      </c>
      <c r="BK493" s="15">
        <f t="shared" si="316"/>
        <v>22.170849845882874</v>
      </c>
      <c r="BL493" s="75">
        <f>BK493*(1-PARAM!$C$27)*$I$18+(MOD($B493,60)=PARAM!$B$56)*($B493&gt;(60-PARAM!$B$56))*HLOOKUP(($B493+PARAM!$B$56)/12,Loyalty,2)*$F$1*MAX(BN492,0)</f>
        <v>18.557001321003963</v>
      </c>
      <c r="BM493" s="75">
        <f>PARAM!$C$26+MAX($G$18-CHOOSE(PARAM!$B$44,MAX(0,BN492*$F$1),0),0)*RATES!$L469/12+$H$18*(PARAM!$D$51/12)*RATES!$N469/100</f>
        <v>109.45833333333333</v>
      </c>
      <c r="BN493" s="16">
        <f t="shared" si="342"/>
        <v>-6478.8037419610573</v>
      </c>
      <c r="BO493" s="15">
        <f t="shared" si="317"/>
        <v>22.170849845882874</v>
      </c>
      <c r="BP493" s="75">
        <f>BO493*(1-PARAM!$C$27)*$I$19+(MOD($B493,60)=PARAM!$B$56)*($B493&gt;(60-PARAM!$B$56))*HLOOKUP(($B493+PARAM!$B$56)/12,Loyalty,2)*$F$1*MAX(BR492,0)</f>
        <v>18.557001321003963</v>
      </c>
      <c r="BQ493" s="75">
        <f>PARAM!$C$26+MAX($G$19-CHOOSE(PARAM!$B$44,MAX(0,BR492*$F$1),0),0)*RATES!$L469/12+$H$19*(PARAM!$D$51/12)*RATES!$N469/100</f>
        <v>109.45833333333333</v>
      </c>
      <c r="BR493" s="16">
        <f t="shared" si="343"/>
        <v>-6478.8037419610573</v>
      </c>
      <c r="BS493" s="15">
        <f t="shared" si="318"/>
        <v>22.170849845882874</v>
      </c>
      <c r="BT493" s="75">
        <f>BS493*(1-PARAM!$C$27)*$I$20+(MOD($B493,60)=PARAM!$B$56)*($B493&gt;(60-PARAM!$B$56))*HLOOKUP(($B493+PARAM!$B$56)/12,Loyalty,2)*$F$1*MAX(BV492,0)</f>
        <v>18.557001321003963</v>
      </c>
      <c r="BU493" s="75">
        <f>PARAM!$C$26+MAX($G$20-CHOOSE(PARAM!$B$44,MAX(0,BV492*$F$1),0),0)*RATES!$L469/12+$H$20*(PARAM!$D$51/12)*RATES!$N469/100</f>
        <v>109.45833333333333</v>
      </c>
      <c r="BV493" s="16">
        <f t="shared" si="344"/>
        <v>-6478.8037419610573</v>
      </c>
      <c r="BW493" s="15">
        <f t="shared" si="319"/>
        <v>22.170849845882874</v>
      </c>
      <c r="BX493" s="75">
        <f>BW493*(1-PARAM!$C$27)*$I$21+(MOD($B493,60)=PARAM!$B$56)*($B493&gt;(60-PARAM!$B$56))*HLOOKUP(($B493+PARAM!$B$56)/12,Loyalty,2)*$F$1*MAX(BZ492,0)</f>
        <v>18.557001321003963</v>
      </c>
      <c r="BY493" s="75">
        <f>PARAM!$C$26+MAX($G$21-CHOOSE(PARAM!$B$44,MAX(0,BZ492*$F$1),0),0)*RATES!$L469/12+$H$21*(PARAM!$D$51/12)*RATES!$N469/100</f>
        <v>109.45833333333333</v>
      </c>
      <c r="BZ493" s="16">
        <f t="shared" si="345"/>
        <v>-6478.8037419610573</v>
      </c>
      <c r="CA493" s="15">
        <f t="shared" si="320"/>
        <v>22.170849845882874</v>
      </c>
      <c r="CB493" s="75">
        <f>CA493*(1-PARAM!$C$27)*$I$22+(MOD($B493,60)=PARAM!$B$56)*($B493&gt;(60-PARAM!$B$56))*HLOOKUP(($B493+PARAM!$B$56)/12,Loyalty,2)*$F$1*MAX(CD492,0)</f>
        <v>18.557001321003963</v>
      </c>
      <c r="CC493" s="75">
        <f>PARAM!$C$26+MAX($G$22-CHOOSE(PARAM!$B$44,MAX(0,CD492*$F$1),0),0)*RATES!$L469/12+$H$22*(PARAM!$D$51/12)*RATES!$N469/100</f>
        <v>109.45833333333333</v>
      </c>
      <c r="CD493" s="16">
        <f t="shared" si="346"/>
        <v>-6478.8037419610573</v>
      </c>
      <c r="CE493" s="33">
        <f>IF(0=MOD(B493,12/PARAM!$D$51),1,0)</f>
        <v>1</v>
      </c>
      <c r="CF493" s="15">
        <f t="shared" si="321"/>
        <v>0</v>
      </c>
      <c r="CG493" s="75">
        <f>CF493*(1-PARAM!$C$27)*$R$3+(MOD($B493/12,5)=0)*($B493&gt;60)*HLOOKUP($B493/12,Loyalty,2)*$F$1*MAX(CI492,0)</f>
        <v>0</v>
      </c>
      <c r="CH493" s="75">
        <f>PARAM!$C$26+MAX($P$3-CHOOSE(PARAM!$B$44,MAX(0,CI492*$F$1),0),0)*RATES!$L469/12+$Q$3*(PARAM!$D$51/12)*RATES!$N469/100</f>
        <v>109.45833333333333</v>
      </c>
      <c r="CI493" s="16">
        <f>IF(CI492&gt;0,CI492*PARAM!$C$53,CI492)+CG493-CH493</f>
        <v>-15006.79166666665</v>
      </c>
      <c r="CJ493" s="15">
        <f t="shared" si="347"/>
        <v>0</v>
      </c>
      <c r="CK493" s="75">
        <f>CJ493*(1-PARAM!$C$27)*$R$4+(MOD($B493/12,5)=0)*($B493&gt;60)*HLOOKUP($B493/12,Loyalty,2)*$F$1*MAX(CM492,0)</f>
        <v>0</v>
      </c>
      <c r="CL493" s="75">
        <f>PARAM!$C$26+MAX($P$4-CHOOSE(PARAM!$B$44,MAX(0,CM492*$F$1),0),0)*RATES!$L469/12+$Q$4*(PARAM!$D$51/12)*RATES!$N469/100</f>
        <v>109.45833333333333</v>
      </c>
      <c r="CM493" s="16">
        <f>IF(CM492&gt;0,CM492*PARAM!$C$53,CM492)+CK493-CL493</f>
        <v>-15006.79166666665</v>
      </c>
      <c r="CO493" s="176"/>
    </row>
    <row r="494" spans="1:93" x14ac:dyDescent="0.2">
      <c r="A494" t="b">
        <f t="shared" si="322"/>
        <v>0</v>
      </c>
      <c r="B494" s="33">
        <v>467</v>
      </c>
      <c r="C494" s="15">
        <f t="shared" si="323"/>
        <v>20.081305947392778</v>
      </c>
      <c r="D494" s="75">
        <f>C494*(1-PARAM!$C$27)*$I$3+(MOD($B494,60)=PARAM!$B$56)*($B494&gt;(60-PARAM!$B$56))*HLOOKUP(($B494+PARAM!$B$56)/12,Loyalty,2)*$F$1*MAX(F493,0)</f>
        <v>16.808053077967756</v>
      </c>
      <c r="E494" s="75">
        <f>PARAM!$C$26+MAX($G$3-CHOOSE(PARAM!$B$44,MAX(0,F493*$F$1),0),0)*RATES!$L470/12+$H$3*(PARAM!$D$51/12)*RATES!$N470/100</f>
        <v>109.45833333333333</v>
      </c>
      <c r="F494" s="16">
        <f t="shared" si="324"/>
        <v>-7423.314403992792</v>
      </c>
      <c r="G494" s="15">
        <f t="shared" si="325"/>
        <v>22.035289406060361</v>
      </c>
      <c r="H494" s="75">
        <f>G494*(1-PARAM!$C$27)*$I$4+(MOD($B494,60)=PARAM!$B$56)*($B494&gt;(60-PARAM!$B$56))*HLOOKUP(($B494+PARAM!$B$56)/12,Loyalty,2)*$F$1*MAX(J493,0)</f>
        <v>18.443537232872522</v>
      </c>
      <c r="I494" s="75">
        <f>PARAM!$C$26+MAX($G$4-CHOOSE(PARAM!$B$44,MAX(0,J493*$F$1),0),0)*RATES!$L470/12+$H$4*(PARAM!$D$51/12)*RATES!$N470/100</f>
        <v>109.45833333333333</v>
      </c>
      <c r="J494" s="16">
        <f t="shared" si="326"/>
        <v>-6625.7103395305494</v>
      </c>
      <c r="K494" s="15">
        <f t="shared" si="327"/>
        <v>22.170849845882874</v>
      </c>
      <c r="L494" s="75">
        <f>K494*(1-PARAM!$C$27)*$I$5+(MOD($B494,60)=PARAM!$B$56)*($B494&gt;(60-PARAM!$B$56))*HLOOKUP(($B494+PARAM!$B$56)/12,Loyalty,2)*$F$1*MAX(N493,0)</f>
        <v>18.557001321003963</v>
      </c>
      <c r="M494" s="75">
        <f>PARAM!$C$26+MAX($G$5-CHOOSE(PARAM!$B$44,MAX(0,N493*$F$1),0),0)*RATES!$L470/12+$H$5*(PARAM!$D$51/12)*RATES!$N470/100</f>
        <v>109.45833333333333</v>
      </c>
      <c r="N494" s="16">
        <f t="shared" si="328"/>
        <v>-6569.7050739733868</v>
      </c>
      <c r="O494" s="15">
        <f t="shared" si="329"/>
        <v>22.170849845882874</v>
      </c>
      <c r="P494" s="75">
        <f>O494*(1-PARAM!$C$27)*$I$6+(MOD($B494,60)=PARAM!$B$56)*($B494&gt;(60-PARAM!$B$56))*HLOOKUP(($B494+PARAM!$B$56)/12,Loyalty,2)*$F$1*MAX(R493,0)</f>
        <v>18.557001321003963</v>
      </c>
      <c r="Q494" s="75">
        <f>PARAM!$C$26+MAX($G$6-CHOOSE(PARAM!$B$44,MAX(0,R493*$F$1),0),0)*RATES!$L470/12+$H$6*(PARAM!$D$51/12)*RATES!$N470/100</f>
        <v>109.45833333333333</v>
      </c>
      <c r="R494" s="16">
        <f t="shared" si="330"/>
        <v>-6569.7050739733868</v>
      </c>
      <c r="S494" s="15">
        <f t="shared" si="305"/>
        <v>22.170849845882874</v>
      </c>
      <c r="T494" s="75">
        <f>S494*(1-PARAM!$C$27)*$I$7+(MOD($B494,60)=PARAM!$B$56)*($B494&gt;(60-PARAM!$B$56))*HLOOKUP(($B494+PARAM!$B$56)/12,Loyalty,2)*$F$1*MAX(V493,0)</f>
        <v>18.557001321003963</v>
      </c>
      <c r="U494" s="75">
        <f>PARAM!$C$26+MAX($G$7-CHOOSE(PARAM!$B$44,MAX(0,V493*$F$1),0),0)*RATES!$L470/12+$H$7*(PARAM!$D$51/12)*RATES!$N470/100</f>
        <v>109.45833333333333</v>
      </c>
      <c r="V494" s="16">
        <f t="shared" si="331"/>
        <v>-6569.7050739733868</v>
      </c>
      <c r="W494" s="15">
        <f t="shared" si="306"/>
        <v>22.170849845882874</v>
      </c>
      <c r="X494" s="75">
        <f>W494*(1-PARAM!$C$27)*$I$8+(MOD($B494,60)=PARAM!$B$56)*($B494&gt;(60-PARAM!$B$56))*HLOOKUP(($B494+PARAM!$B$56)/12,Loyalty,2)*$F$1*MAX(Z493,0)</f>
        <v>18.557001321003963</v>
      </c>
      <c r="Y494" s="75">
        <f>PARAM!$C$26+MAX($G$8-CHOOSE(PARAM!$B$44,MAX(0,Z493*$F$1),0),0)*RATES!$L470/12+$H$8*(PARAM!$D$51/12)*RATES!$N470/100</f>
        <v>109.45833333333333</v>
      </c>
      <c r="Z494" s="16">
        <f t="shared" si="332"/>
        <v>-6569.7050739733868</v>
      </c>
      <c r="AA494" s="15">
        <f t="shared" si="307"/>
        <v>22.170849845882874</v>
      </c>
      <c r="AB494" s="75">
        <f>AA494*(1-PARAM!$C$27)*$I$9+(MOD($B494,60)=PARAM!$B$56)*($B494&gt;(60-PARAM!$B$56))*HLOOKUP(($B494+PARAM!$B$56)/12,Loyalty,2)*$F$1*MAX(AD493,0)</f>
        <v>18.557001321003963</v>
      </c>
      <c r="AC494" s="75">
        <f>PARAM!$C$26+MAX($G$9-CHOOSE(PARAM!$B$44,MAX(0,AD493*$F$1),0),0)*RATES!$L470/12+$H$9*(PARAM!$D$51/12)*RATES!$N470/100</f>
        <v>109.45833333333333</v>
      </c>
      <c r="AD494" s="16">
        <f t="shared" si="333"/>
        <v>-6569.7050739733868</v>
      </c>
      <c r="AE494" s="15">
        <f t="shared" si="308"/>
        <v>22.170849845882874</v>
      </c>
      <c r="AF494" s="75">
        <f>AE494*(1-PARAM!$C$27)*$I$10+(MOD($B494,60)=PARAM!$B$56)*($B494&gt;(60-PARAM!$B$56))*HLOOKUP(($B494+PARAM!$B$56)/12,Loyalty,2)*$F$1*MAX(AH493,0)</f>
        <v>18.557001321003963</v>
      </c>
      <c r="AG494" s="75">
        <f>PARAM!$C$26+MAX($G$10-CHOOSE(PARAM!$B$44,MAX(0,AH493*$F$1),0),0)*RATES!$L470/12+$H$10*(PARAM!$D$51/12)*RATES!$N470/100</f>
        <v>109.45833333333333</v>
      </c>
      <c r="AH494" s="16">
        <f t="shared" si="334"/>
        <v>-6569.7050739733868</v>
      </c>
      <c r="AI494" s="15">
        <f t="shared" si="309"/>
        <v>22.170849845882874</v>
      </c>
      <c r="AJ494" s="75">
        <f>AI494*(1-PARAM!$C$27)*$I$11+(MOD($B494,60)=PARAM!$B$56)*($B494&gt;(60-PARAM!$B$56))*HLOOKUP(($B494+PARAM!$B$56)/12,Loyalty,2)*$F$1*MAX(AL493,0)</f>
        <v>18.557001321003963</v>
      </c>
      <c r="AK494" s="75">
        <f>PARAM!$C$26+MAX($G$11-CHOOSE(PARAM!$B$44,MAX(0,AL493*$F$1),0),0)*RATES!$L470/12+$H$11*(PARAM!$D$51/12)*RATES!$N470/100</f>
        <v>109.45833333333333</v>
      </c>
      <c r="AL494" s="16">
        <f t="shared" si="335"/>
        <v>-6569.7050739733868</v>
      </c>
      <c r="AM494" s="15">
        <f t="shared" si="310"/>
        <v>22.170849845882874</v>
      </c>
      <c r="AN494" s="75">
        <f>AM494*(1-PARAM!$C$27)*$I$12+(MOD($B494,60)=PARAM!$B$56)*($B494&gt;(60-PARAM!$B$56))*HLOOKUP(($B494+PARAM!$B$56)/12,Loyalty,2)*$F$1*MAX(AP493,0)</f>
        <v>18.557001321003963</v>
      </c>
      <c r="AO494" s="75">
        <f>PARAM!$C$26+MAX($G$12-CHOOSE(PARAM!$B$44,MAX(0,AP493*$F$1),0),0)*RATES!$L470/12+$H$12*(PARAM!$D$51/12)*RATES!$N470/100</f>
        <v>109.45833333333333</v>
      </c>
      <c r="AP494" s="16">
        <f t="shared" si="336"/>
        <v>-6569.7050739733868</v>
      </c>
      <c r="AQ494" s="15">
        <f t="shared" si="311"/>
        <v>22.170849845882874</v>
      </c>
      <c r="AR494" s="75">
        <f>AQ494*(1-PARAM!$C$27)*$I$13+(MOD($B494,60)=PARAM!$B$56)*($B494&gt;(60-PARAM!$B$56))*HLOOKUP(($B494+PARAM!$B$56)/12,Loyalty,2)*$F$1*MAX(AT493,0)</f>
        <v>18.557001321003963</v>
      </c>
      <c r="AS494" s="75">
        <f>PARAM!$C$26+MAX($G$13-CHOOSE(PARAM!$B$44,MAX(0,AT493*$F$1),0),0)*RATES!$L470/12+$H$13*(PARAM!$D$51/12)*RATES!$N470/100</f>
        <v>109.45833333333333</v>
      </c>
      <c r="AT494" s="16">
        <f t="shared" si="337"/>
        <v>-6569.7050739733868</v>
      </c>
      <c r="AU494" s="15">
        <f t="shared" si="312"/>
        <v>22.170849845882874</v>
      </c>
      <c r="AV494" s="75">
        <f>AU494*(1-PARAM!$C$27)*$I$14+(MOD($B494,60)=PARAM!$B$56)*($B494&gt;(60-PARAM!$B$56))*HLOOKUP(($B494+PARAM!$B$56)/12,Loyalty,2)*$F$1*MAX(AX493,0)</f>
        <v>18.557001321003963</v>
      </c>
      <c r="AW494" s="75">
        <f>PARAM!$C$26+MAX($G$14-CHOOSE(PARAM!$B$44,MAX(0,AX493*$F$1),0),0)*RATES!$L470/12+$H$14*(PARAM!$D$51/12)*RATES!$N470/100</f>
        <v>109.45833333333333</v>
      </c>
      <c r="AX494" s="16">
        <f t="shared" si="338"/>
        <v>-6569.7050739733868</v>
      </c>
      <c r="AY494" s="15">
        <f t="shared" si="313"/>
        <v>22.170849845882874</v>
      </c>
      <c r="AZ494" s="75">
        <f>AY494*(1-PARAM!$C$27)*$I$15+(MOD($B494,60)=PARAM!$B$56)*($B494&gt;(60-PARAM!$B$56))*HLOOKUP(($B494+PARAM!$B$56)/12,Loyalty,2)*$F$1*MAX(BB493,0)</f>
        <v>18.557001321003963</v>
      </c>
      <c r="BA494" s="75">
        <f>PARAM!$C$26+MAX($G$15-CHOOSE(PARAM!$B$44,MAX(0,BB493*$F$1),0),0)*RATES!$L470/12+$H$15*(PARAM!$D$51/12)*RATES!$N470/100</f>
        <v>109.45833333333333</v>
      </c>
      <c r="BB494" s="16">
        <f t="shared" si="339"/>
        <v>-6569.7050739733868</v>
      </c>
      <c r="BC494" s="15">
        <f t="shared" si="314"/>
        <v>22.170849845882874</v>
      </c>
      <c r="BD494" s="75">
        <f>BC494*(1-PARAM!$C$27)*$I$16+(MOD($B494,60)=PARAM!$B$56)*($B494&gt;(60-PARAM!$B$56))*HLOOKUP(($B494+PARAM!$B$56)/12,Loyalty,2)*$F$1*MAX(BF493,0)</f>
        <v>18.557001321003963</v>
      </c>
      <c r="BE494" s="75">
        <f>PARAM!$C$26+MAX($G$16-CHOOSE(PARAM!$B$44,MAX(0,BF493*$F$1),0),0)*RATES!$L470/12+$H$16*(PARAM!$D$51/12)*RATES!$N470/100</f>
        <v>109.45833333333333</v>
      </c>
      <c r="BF494" s="16">
        <f t="shared" si="340"/>
        <v>-6569.7050739733868</v>
      </c>
      <c r="BG494" s="15">
        <f t="shared" si="315"/>
        <v>22.170849845882874</v>
      </c>
      <c r="BH494" s="75">
        <f>BG494*(1-PARAM!$C$27)*$I$17+(MOD($B494,60)=PARAM!$B$56)*($B494&gt;(60-PARAM!$B$56))*HLOOKUP(($B494+PARAM!$B$56)/12,Loyalty,2)*$F$1*MAX(BJ493,0)</f>
        <v>18.557001321003963</v>
      </c>
      <c r="BI494" s="75">
        <f>PARAM!$C$26+MAX($G$17-CHOOSE(PARAM!$B$44,MAX(0,BJ493*$F$1),0),0)*RATES!$L470/12+$H$17*(PARAM!$D$51/12)*RATES!$N470/100</f>
        <v>109.45833333333333</v>
      </c>
      <c r="BJ494" s="16">
        <f t="shared" si="341"/>
        <v>-6569.7050739733868</v>
      </c>
      <c r="BK494" s="15">
        <f t="shared" si="316"/>
        <v>22.170849845882874</v>
      </c>
      <c r="BL494" s="75">
        <f>BK494*(1-PARAM!$C$27)*$I$18+(MOD($B494,60)=PARAM!$B$56)*($B494&gt;(60-PARAM!$B$56))*HLOOKUP(($B494+PARAM!$B$56)/12,Loyalty,2)*$F$1*MAX(BN493,0)</f>
        <v>18.557001321003963</v>
      </c>
      <c r="BM494" s="75">
        <f>PARAM!$C$26+MAX($G$18-CHOOSE(PARAM!$B$44,MAX(0,BN493*$F$1),0),0)*RATES!$L470/12+$H$18*(PARAM!$D$51/12)*RATES!$N470/100</f>
        <v>109.45833333333333</v>
      </c>
      <c r="BN494" s="16">
        <f t="shared" si="342"/>
        <v>-6569.7050739733868</v>
      </c>
      <c r="BO494" s="15">
        <f t="shared" si="317"/>
        <v>22.170849845882874</v>
      </c>
      <c r="BP494" s="75">
        <f>BO494*(1-PARAM!$C$27)*$I$19+(MOD($B494,60)=PARAM!$B$56)*($B494&gt;(60-PARAM!$B$56))*HLOOKUP(($B494+PARAM!$B$56)/12,Loyalty,2)*$F$1*MAX(BR493,0)</f>
        <v>18.557001321003963</v>
      </c>
      <c r="BQ494" s="75">
        <f>PARAM!$C$26+MAX($G$19-CHOOSE(PARAM!$B$44,MAX(0,BR493*$F$1),0),0)*RATES!$L470/12+$H$19*(PARAM!$D$51/12)*RATES!$N470/100</f>
        <v>109.45833333333333</v>
      </c>
      <c r="BR494" s="16">
        <f t="shared" si="343"/>
        <v>-6569.7050739733868</v>
      </c>
      <c r="BS494" s="15">
        <f t="shared" si="318"/>
        <v>22.170849845882874</v>
      </c>
      <c r="BT494" s="75">
        <f>BS494*(1-PARAM!$C$27)*$I$20+(MOD($B494,60)=PARAM!$B$56)*($B494&gt;(60-PARAM!$B$56))*HLOOKUP(($B494+PARAM!$B$56)/12,Loyalty,2)*$F$1*MAX(BV493,0)</f>
        <v>18.557001321003963</v>
      </c>
      <c r="BU494" s="75">
        <f>PARAM!$C$26+MAX($G$20-CHOOSE(PARAM!$B$44,MAX(0,BV493*$F$1),0),0)*RATES!$L470/12+$H$20*(PARAM!$D$51/12)*RATES!$N470/100</f>
        <v>109.45833333333333</v>
      </c>
      <c r="BV494" s="16">
        <f t="shared" si="344"/>
        <v>-6569.7050739733868</v>
      </c>
      <c r="BW494" s="15">
        <f t="shared" si="319"/>
        <v>22.170849845882874</v>
      </c>
      <c r="BX494" s="75">
        <f>BW494*(1-PARAM!$C$27)*$I$21+(MOD($B494,60)=PARAM!$B$56)*($B494&gt;(60-PARAM!$B$56))*HLOOKUP(($B494+PARAM!$B$56)/12,Loyalty,2)*$F$1*MAX(BZ493,0)</f>
        <v>18.557001321003963</v>
      </c>
      <c r="BY494" s="75">
        <f>PARAM!$C$26+MAX($G$21-CHOOSE(PARAM!$B$44,MAX(0,BZ493*$F$1),0),0)*RATES!$L470/12+$H$21*(PARAM!$D$51/12)*RATES!$N470/100</f>
        <v>109.45833333333333</v>
      </c>
      <c r="BZ494" s="16">
        <f t="shared" si="345"/>
        <v>-6569.7050739733868</v>
      </c>
      <c r="CA494" s="15">
        <f t="shared" si="320"/>
        <v>22.170849845882874</v>
      </c>
      <c r="CB494" s="75">
        <f>CA494*(1-PARAM!$C$27)*$I$22+(MOD($B494,60)=PARAM!$B$56)*($B494&gt;(60-PARAM!$B$56))*HLOOKUP(($B494+PARAM!$B$56)/12,Loyalty,2)*$F$1*MAX(CD493,0)</f>
        <v>18.557001321003963</v>
      </c>
      <c r="CC494" s="75">
        <f>PARAM!$C$26+MAX($G$22-CHOOSE(PARAM!$B$44,MAX(0,CD493*$F$1),0),0)*RATES!$L470/12+$H$22*(PARAM!$D$51/12)*RATES!$N470/100</f>
        <v>109.45833333333333</v>
      </c>
      <c r="CD494" s="16">
        <f t="shared" si="346"/>
        <v>-6569.7050739733868</v>
      </c>
      <c r="CE494" s="33">
        <f>IF(0=MOD(B494,12/PARAM!$D$51),1,0)</f>
        <v>1</v>
      </c>
      <c r="CF494" s="15">
        <f t="shared" si="321"/>
        <v>0</v>
      </c>
      <c r="CG494" s="75">
        <f>CF494*(1-PARAM!$C$27)*$R$3+(MOD($B494/12,5)=0)*($B494&gt;60)*HLOOKUP($B494/12,Loyalty,2)*$F$1*MAX(CI493,0)</f>
        <v>0</v>
      </c>
      <c r="CH494" s="75">
        <f>PARAM!$C$26+MAX($P$3-CHOOSE(PARAM!$B$44,MAX(0,CI493*$F$1),0),0)*RATES!$L470/12+$Q$3*(PARAM!$D$51/12)*RATES!$N470/100</f>
        <v>109.45833333333333</v>
      </c>
      <c r="CI494" s="16">
        <f>IF(CI493&gt;0,CI493*PARAM!$C$53,CI493)+CG494-CH494</f>
        <v>-15116.249999999984</v>
      </c>
      <c r="CJ494" s="15">
        <f t="shared" si="347"/>
        <v>0</v>
      </c>
      <c r="CK494" s="75">
        <f>CJ494*(1-PARAM!$C$27)*$R$4+(MOD($B494/12,5)=0)*($B494&gt;60)*HLOOKUP($B494/12,Loyalty,2)*$F$1*MAX(CM493,0)</f>
        <v>0</v>
      </c>
      <c r="CL494" s="75">
        <f>PARAM!$C$26+MAX($P$4-CHOOSE(PARAM!$B$44,MAX(0,CM493*$F$1),0),0)*RATES!$L470/12+$Q$4*(PARAM!$D$51/12)*RATES!$N470/100</f>
        <v>109.45833333333333</v>
      </c>
      <c r="CM494" s="16">
        <f>IF(CM493&gt;0,CM493*PARAM!$C$53,CM493)+CK494-CL494</f>
        <v>-15116.249999999984</v>
      </c>
      <c r="CO494" s="176"/>
    </row>
    <row r="495" spans="1:93" x14ac:dyDescent="0.2">
      <c r="A495" t="b">
        <f t="shared" si="322"/>
        <v>0</v>
      </c>
      <c r="B495" s="33">
        <v>468</v>
      </c>
      <c r="C495" s="15">
        <f t="shared" si="323"/>
        <v>20.081305947392778</v>
      </c>
      <c r="D495" s="75">
        <f>C495*(1-PARAM!$C$27)*$I$3+(MOD($B495,60)=PARAM!$B$56)*($B495&gt;(60-PARAM!$B$56))*HLOOKUP(($B495+PARAM!$B$56)/12,Loyalty,2)*$F$1*MAX(F494,0)</f>
        <v>16.808053077967756</v>
      </c>
      <c r="E495" s="75">
        <f>PARAM!$C$26+MAX($G$3-CHOOSE(PARAM!$B$44,MAX(0,F494*$F$1),0),0)*RATES!$L471/12+$H$3*(PARAM!$D$51/12)*RATES!$N471/100</f>
        <v>109.45833333333333</v>
      </c>
      <c r="F495" s="16">
        <f t="shared" si="324"/>
        <v>-7515.964684248157</v>
      </c>
      <c r="G495" s="15">
        <f t="shared" si="325"/>
        <v>22.035289406060361</v>
      </c>
      <c r="H495" s="75">
        <f>G495*(1-PARAM!$C$27)*$I$4+(MOD($B495,60)=PARAM!$B$56)*($B495&gt;(60-PARAM!$B$56))*HLOOKUP(($B495+PARAM!$B$56)/12,Loyalty,2)*$F$1*MAX(J494,0)</f>
        <v>18.443537232872522</v>
      </c>
      <c r="I495" s="75">
        <f>PARAM!$C$26+MAX($G$4-CHOOSE(PARAM!$B$44,MAX(0,J494*$F$1),0),0)*RATES!$L471/12+$H$4*(PARAM!$D$51/12)*RATES!$N471/100</f>
        <v>109.45833333333333</v>
      </c>
      <c r="J495" s="16">
        <f t="shared" si="326"/>
        <v>-6716.7251356310098</v>
      </c>
      <c r="K495" s="15">
        <f t="shared" si="327"/>
        <v>22.170849845882874</v>
      </c>
      <c r="L495" s="75">
        <f>K495*(1-PARAM!$C$27)*$I$5+(MOD($B495,60)=PARAM!$B$56)*($B495&gt;(60-PARAM!$B$56))*HLOOKUP(($B495+PARAM!$B$56)/12,Loyalty,2)*$F$1*MAX(N494,0)</f>
        <v>18.557001321003963</v>
      </c>
      <c r="M495" s="75">
        <f>PARAM!$C$26+MAX($G$5-CHOOSE(PARAM!$B$44,MAX(0,N494*$F$1),0),0)*RATES!$L471/12+$H$5*(PARAM!$D$51/12)*RATES!$N471/100</f>
        <v>109.45833333333333</v>
      </c>
      <c r="N495" s="16">
        <f t="shared" si="328"/>
        <v>-6660.6064059857163</v>
      </c>
      <c r="O495" s="15">
        <f t="shared" si="329"/>
        <v>22.170849845882874</v>
      </c>
      <c r="P495" s="75">
        <f>O495*(1-PARAM!$C$27)*$I$6+(MOD($B495,60)=PARAM!$B$56)*($B495&gt;(60-PARAM!$B$56))*HLOOKUP(($B495+PARAM!$B$56)/12,Loyalty,2)*$F$1*MAX(R494,0)</f>
        <v>18.557001321003963</v>
      </c>
      <c r="Q495" s="75">
        <f>PARAM!$C$26+MAX($G$6-CHOOSE(PARAM!$B$44,MAX(0,R494*$F$1),0),0)*RATES!$L471/12+$H$6*(PARAM!$D$51/12)*RATES!$N471/100</f>
        <v>109.45833333333333</v>
      </c>
      <c r="R495" s="16">
        <f t="shared" si="330"/>
        <v>-6660.6064059857163</v>
      </c>
      <c r="S495" s="15">
        <f t="shared" si="305"/>
        <v>22.170849845882874</v>
      </c>
      <c r="T495" s="75">
        <f>S495*(1-PARAM!$C$27)*$I$7+(MOD($B495,60)=PARAM!$B$56)*($B495&gt;(60-PARAM!$B$56))*HLOOKUP(($B495+PARAM!$B$56)/12,Loyalty,2)*$F$1*MAX(V494,0)</f>
        <v>18.557001321003963</v>
      </c>
      <c r="U495" s="75">
        <f>PARAM!$C$26+MAX($G$7-CHOOSE(PARAM!$B$44,MAX(0,V494*$F$1),0),0)*RATES!$L471/12+$H$7*(PARAM!$D$51/12)*RATES!$N471/100</f>
        <v>109.45833333333333</v>
      </c>
      <c r="V495" s="16">
        <f t="shared" si="331"/>
        <v>-6660.6064059857163</v>
      </c>
      <c r="W495" s="15">
        <f t="shared" si="306"/>
        <v>22.170849845882874</v>
      </c>
      <c r="X495" s="75">
        <f>W495*(1-PARAM!$C$27)*$I$8+(MOD($B495,60)=PARAM!$B$56)*($B495&gt;(60-PARAM!$B$56))*HLOOKUP(($B495+PARAM!$B$56)/12,Loyalty,2)*$F$1*MAX(Z494,0)</f>
        <v>18.557001321003963</v>
      </c>
      <c r="Y495" s="75">
        <f>PARAM!$C$26+MAX($G$8-CHOOSE(PARAM!$B$44,MAX(0,Z494*$F$1),0),0)*RATES!$L471/12+$H$8*(PARAM!$D$51/12)*RATES!$N471/100</f>
        <v>109.45833333333333</v>
      </c>
      <c r="Z495" s="16">
        <f t="shared" si="332"/>
        <v>-6660.6064059857163</v>
      </c>
      <c r="AA495" s="15">
        <f t="shared" si="307"/>
        <v>22.170849845882874</v>
      </c>
      <c r="AB495" s="75">
        <f>AA495*(1-PARAM!$C$27)*$I$9+(MOD($B495,60)=PARAM!$B$56)*($B495&gt;(60-PARAM!$B$56))*HLOOKUP(($B495+PARAM!$B$56)/12,Loyalty,2)*$F$1*MAX(AD494,0)</f>
        <v>18.557001321003963</v>
      </c>
      <c r="AC495" s="75">
        <f>PARAM!$C$26+MAX($G$9-CHOOSE(PARAM!$B$44,MAX(0,AD494*$F$1),0),0)*RATES!$L471/12+$H$9*(PARAM!$D$51/12)*RATES!$N471/100</f>
        <v>109.45833333333333</v>
      </c>
      <c r="AD495" s="16">
        <f t="shared" si="333"/>
        <v>-6660.6064059857163</v>
      </c>
      <c r="AE495" s="15">
        <f t="shared" si="308"/>
        <v>22.170849845882874</v>
      </c>
      <c r="AF495" s="75">
        <f>AE495*(1-PARAM!$C$27)*$I$10+(MOD($B495,60)=PARAM!$B$56)*($B495&gt;(60-PARAM!$B$56))*HLOOKUP(($B495+PARAM!$B$56)/12,Loyalty,2)*$F$1*MAX(AH494,0)</f>
        <v>18.557001321003963</v>
      </c>
      <c r="AG495" s="75">
        <f>PARAM!$C$26+MAX($G$10-CHOOSE(PARAM!$B$44,MAX(0,AH494*$F$1),0),0)*RATES!$L471/12+$H$10*(PARAM!$D$51/12)*RATES!$N471/100</f>
        <v>109.45833333333333</v>
      </c>
      <c r="AH495" s="16">
        <f t="shared" si="334"/>
        <v>-6660.6064059857163</v>
      </c>
      <c r="AI495" s="15">
        <f t="shared" si="309"/>
        <v>22.170849845882874</v>
      </c>
      <c r="AJ495" s="75">
        <f>AI495*(1-PARAM!$C$27)*$I$11+(MOD($B495,60)=PARAM!$B$56)*($B495&gt;(60-PARAM!$B$56))*HLOOKUP(($B495+PARAM!$B$56)/12,Loyalty,2)*$F$1*MAX(AL494,0)</f>
        <v>18.557001321003963</v>
      </c>
      <c r="AK495" s="75">
        <f>PARAM!$C$26+MAX($G$11-CHOOSE(PARAM!$B$44,MAX(0,AL494*$F$1),0),0)*RATES!$L471/12+$H$11*(PARAM!$D$51/12)*RATES!$N471/100</f>
        <v>109.45833333333333</v>
      </c>
      <c r="AL495" s="16">
        <f t="shared" si="335"/>
        <v>-6660.6064059857163</v>
      </c>
      <c r="AM495" s="15">
        <f t="shared" si="310"/>
        <v>22.170849845882874</v>
      </c>
      <c r="AN495" s="75">
        <f>AM495*(1-PARAM!$C$27)*$I$12+(MOD($B495,60)=PARAM!$B$56)*($B495&gt;(60-PARAM!$B$56))*HLOOKUP(($B495+PARAM!$B$56)/12,Loyalty,2)*$F$1*MAX(AP494,0)</f>
        <v>18.557001321003963</v>
      </c>
      <c r="AO495" s="75">
        <f>PARAM!$C$26+MAX($G$12-CHOOSE(PARAM!$B$44,MAX(0,AP494*$F$1),0),0)*RATES!$L471/12+$H$12*(PARAM!$D$51/12)*RATES!$N471/100</f>
        <v>109.45833333333333</v>
      </c>
      <c r="AP495" s="16">
        <f t="shared" si="336"/>
        <v>-6660.6064059857163</v>
      </c>
      <c r="AQ495" s="15">
        <f t="shared" si="311"/>
        <v>22.170849845882874</v>
      </c>
      <c r="AR495" s="75">
        <f>AQ495*(1-PARAM!$C$27)*$I$13+(MOD($B495,60)=PARAM!$B$56)*($B495&gt;(60-PARAM!$B$56))*HLOOKUP(($B495+PARAM!$B$56)/12,Loyalty,2)*$F$1*MAX(AT494,0)</f>
        <v>18.557001321003963</v>
      </c>
      <c r="AS495" s="75">
        <f>PARAM!$C$26+MAX($G$13-CHOOSE(PARAM!$B$44,MAX(0,AT494*$F$1),0),0)*RATES!$L471/12+$H$13*(PARAM!$D$51/12)*RATES!$N471/100</f>
        <v>109.45833333333333</v>
      </c>
      <c r="AT495" s="16">
        <f t="shared" si="337"/>
        <v>-6660.6064059857163</v>
      </c>
      <c r="AU495" s="15">
        <f t="shared" si="312"/>
        <v>22.170849845882874</v>
      </c>
      <c r="AV495" s="75">
        <f>AU495*(1-PARAM!$C$27)*$I$14+(MOD($B495,60)=PARAM!$B$56)*($B495&gt;(60-PARAM!$B$56))*HLOOKUP(($B495+PARAM!$B$56)/12,Loyalty,2)*$F$1*MAX(AX494,0)</f>
        <v>18.557001321003963</v>
      </c>
      <c r="AW495" s="75">
        <f>PARAM!$C$26+MAX($G$14-CHOOSE(PARAM!$B$44,MAX(0,AX494*$F$1),0),0)*RATES!$L471/12+$H$14*(PARAM!$D$51/12)*RATES!$N471/100</f>
        <v>109.45833333333333</v>
      </c>
      <c r="AX495" s="16">
        <f t="shared" si="338"/>
        <v>-6660.6064059857163</v>
      </c>
      <c r="AY495" s="15">
        <f t="shared" si="313"/>
        <v>22.170849845882874</v>
      </c>
      <c r="AZ495" s="75">
        <f>AY495*(1-PARAM!$C$27)*$I$15+(MOD($B495,60)=PARAM!$B$56)*($B495&gt;(60-PARAM!$B$56))*HLOOKUP(($B495+PARAM!$B$56)/12,Loyalty,2)*$F$1*MAX(BB494,0)</f>
        <v>18.557001321003963</v>
      </c>
      <c r="BA495" s="75">
        <f>PARAM!$C$26+MAX($G$15-CHOOSE(PARAM!$B$44,MAX(0,BB494*$F$1),0),0)*RATES!$L471/12+$H$15*(PARAM!$D$51/12)*RATES!$N471/100</f>
        <v>109.45833333333333</v>
      </c>
      <c r="BB495" s="16">
        <f t="shared" si="339"/>
        <v>-6660.6064059857163</v>
      </c>
      <c r="BC495" s="15">
        <f t="shared" si="314"/>
        <v>22.170849845882874</v>
      </c>
      <c r="BD495" s="75">
        <f>BC495*(1-PARAM!$C$27)*$I$16+(MOD($B495,60)=PARAM!$B$56)*($B495&gt;(60-PARAM!$B$56))*HLOOKUP(($B495+PARAM!$B$56)/12,Loyalty,2)*$F$1*MAX(BF494,0)</f>
        <v>18.557001321003963</v>
      </c>
      <c r="BE495" s="75">
        <f>PARAM!$C$26+MAX($G$16-CHOOSE(PARAM!$B$44,MAX(0,BF494*$F$1),0),0)*RATES!$L471/12+$H$16*(PARAM!$D$51/12)*RATES!$N471/100</f>
        <v>109.45833333333333</v>
      </c>
      <c r="BF495" s="16">
        <f t="shared" si="340"/>
        <v>-6660.6064059857163</v>
      </c>
      <c r="BG495" s="15">
        <f t="shared" si="315"/>
        <v>22.170849845882874</v>
      </c>
      <c r="BH495" s="75">
        <f>BG495*(1-PARAM!$C$27)*$I$17+(MOD($B495,60)=PARAM!$B$56)*($B495&gt;(60-PARAM!$B$56))*HLOOKUP(($B495+PARAM!$B$56)/12,Loyalty,2)*$F$1*MAX(BJ494,0)</f>
        <v>18.557001321003963</v>
      </c>
      <c r="BI495" s="75">
        <f>PARAM!$C$26+MAX($G$17-CHOOSE(PARAM!$B$44,MAX(0,BJ494*$F$1),0),0)*RATES!$L471/12+$H$17*(PARAM!$D$51/12)*RATES!$N471/100</f>
        <v>109.45833333333333</v>
      </c>
      <c r="BJ495" s="16">
        <f t="shared" si="341"/>
        <v>-6660.6064059857163</v>
      </c>
      <c r="BK495" s="15">
        <f t="shared" si="316"/>
        <v>22.170849845882874</v>
      </c>
      <c r="BL495" s="75">
        <f>BK495*(1-PARAM!$C$27)*$I$18+(MOD($B495,60)=PARAM!$B$56)*($B495&gt;(60-PARAM!$B$56))*HLOOKUP(($B495+PARAM!$B$56)/12,Loyalty,2)*$F$1*MAX(BN494,0)</f>
        <v>18.557001321003963</v>
      </c>
      <c r="BM495" s="75">
        <f>PARAM!$C$26+MAX($G$18-CHOOSE(PARAM!$B$44,MAX(0,BN494*$F$1),0),0)*RATES!$L471/12+$H$18*(PARAM!$D$51/12)*RATES!$N471/100</f>
        <v>109.45833333333333</v>
      </c>
      <c r="BN495" s="16">
        <f t="shared" si="342"/>
        <v>-6660.6064059857163</v>
      </c>
      <c r="BO495" s="15">
        <f t="shared" si="317"/>
        <v>22.170849845882874</v>
      </c>
      <c r="BP495" s="75">
        <f>BO495*(1-PARAM!$C$27)*$I$19+(MOD($B495,60)=PARAM!$B$56)*($B495&gt;(60-PARAM!$B$56))*HLOOKUP(($B495+PARAM!$B$56)/12,Loyalty,2)*$F$1*MAX(BR494,0)</f>
        <v>18.557001321003963</v>
      </c>
      <c r="BQ495" s="75">
        <f>PARAM!$C$26+MAX($G$19-CHOOSE(PARAM!$B$44,MAX(0,BR494*$F$1),0),0)*RATES!$L471/12+$H$19*(PARAM!$D$51/12)*RATES!$N471/100</f>
        <v>109.45833333333333</v>
      </c>
      <c r="BR495" s="16">
        <f t="shared" si="343"/>
        <v>-6660.6064059857163</v>
      </c>
      <c r="BS495" s="15">
        <f t="shared" si="318"/>
        <v>22.170849845882874</v>
      </c>
      <c r="BT495" s="75">
        <f>BS495*(1-PARAM!$C$27)*$I$20+(MOD($B495,60)=PARAM!$B$56)*($B495&gt;(60-PARAM!$B$56))*HLOOKUP(($B495+PARAM!$B$56)/12,Loyalty,2)*$F$1*MAX(BV494,0)</f>
        <v>18.557001321003963</v>
      </c>
      <c r="BU495" s="75">
        <f>PARAM!$C$26+MAX($G$20-CHOOSE(PARAM!$B$44,MAX(0,BV494*$F$1),0),0)*RATES!$L471/12+$H$20*(PARAM!$D$51/12)*RATES!$N471/100</f>
        <v>109.45833333333333</v>
      </c>
      <c r="BV495" s="16">
        <f t="shared" si="344"/>
        <v>-6660.6064059857163</v>
      </c>
      <c r="BW495" s="15">
        <f t="shared" si="319"/>
        <v>22.170849845882874</v>
      </c>
      <c r="BX495" s="75">
        <f>BW495*(1-PARAM!$C$27)*$I$21+(MOD($B495,60)=PARAM!$B$56)*($B495&gt;(60-PARAM!$B$56))*HLOOKUP(($B495+PARAM!$B$56)/12,Loyalty,2)*$F$1*MAX(BZ494,0)</f>
        <v>18.557001321003963</v>
      </c>
      <c r="BY495" s="75">
        <f>PARAM!$C$26+MAX($G$21-CHOOSE(PARAM!$B$44,MAX(0,BZ494*$F$1),0),0)*RATES!$L471/12+$H$21*(PARAM!$D$51/12)*RATES!$N471/100</f>
        <v>109.45833333333333</v>
      </c>
      <c r="BZ495" s="16">
        <f t="shared" si="345"/>
        <v>-6660.6064059857163</v>
      </c>
      <c r="CA495" s="15">
        <f t="shared" si="320"/>
        <v>22.170849845882874</v>
      </c>
      <c r="CB495" s="75">
        <f>CA495*(1-PARAM!$C$27)*$I$22+(MOD($B495,60)=PARAM!$B$56)*($B495&gt;(60-PARAM!$B$56))*HLOOKUP(($B495+PARAM!$B$56)/12,Loyalty,2)*$F$1*MAX(CD494,0)</f>
        <v>18.557001321003963</v>
      </c>
      <c r="CC495" s="75">
        <f>PARAM!$C$26+MAX($G$22-CHOOSE(PARAM!$B$44,MAX(0,CD494*$F$1),0),0)*RATES!$L471/12+$H$22*(PARAM!$D$51/12)*RATES!$N471/100</f>
        <v>109.45833333333333</v>
      </c>
      <c r="CD495" s="16">
        <f t="shared" si="346"/>
        <v>-6660.6064059857163</v>
      </c>
      <c r="CE495" s="33">
        <f>IF(0=MOD(B495,12/PARAM!$D$51),1,0)</f>
        <v>1</v>
      </c>
      <c r="CF495" s="15">
        <f t="shared" si="321"/>
        <v>0</v>
      </c>
      <c r="CG495" s="75">
        <f>CF495*(1-PARAM!$C$27)*$R$3+(MOD($B495/12,5)=0)*($B495&gt;60)*HLOOKUP($B495/12,Loyalty,2)*$F$1*MAX(CI494,0)</f>
        <v>0</v>
      </c>
      <c r="CH495" s="75">
        <f>PARAM!$C$26+MAX($P$3-CHOOSE(PARAM!$B$44,MAX(0,CI494*$F$1),0),0)*RATES!$L471/12+$Q$3*(PARAM!$D$51/12)*RATES!$N471/100</f>
        <v>109.45833333333333</v>
      </c>
      <c r="CI495" s="16">
        <f>IF(CI494&gt;0,CI494*PARAM!$C$53,CI494)+CG495-CH495</f>
        <v>-15225.708333333318</v>
      </c>
      <c r="CJ495" s="15">
        <f t="shared" si="347"/>
        <v>0</v>
      </c>
      <c r="CK495" s="75">
        <f>CJ495*(1-PARAM!$C$27)*$R$4+(MOD($B495/12,5)=0)*($B495&gt;60)*HLOOKUP($B495/12,Loyalty,2)*$F$1*MAX(CM494,0)</f>
        <v>0</v>
      </c>
      <c r="CL495" s="75">
        <f>PARAM!$C$26+MAX($P$4-CHOOSE(PARAM!$B$44,MAX(0,CM494*$F$1),0),0)*RATES!$L471/12+$Q$4*(PARAM!$D$51/12)*RATES!$N471/100</f>
        <v>109.45833333333333</v>
      </c>
      <c r="CM495" s="16">
        <f>IF(CM494&gt;0,CM494*PARAM!$C$53,CM494)+CK495-CL495</f>
        <v>-15225.708333333318</v>
      </c>
      <c r="CO495" s="176"/>
    </row>
    <row r="496" spans="1:93" x14ac:dyDescent="0.2">
      <c r="A496" t="b">
        <f t="shared" si="322"/>
        <v>0</v>
      </c>
      <c r="B496" s="33">
        <v>469</v>
      </c>
      <c r="C496" s="15">
        <f t="shared" si="323"/>
        <v>20.081305947392778</v>
      </c>
      <c r="D496" s="75">
        <f>C496*(1-PARAM!$C$27)*$I$3+(MOD($B496,60)=PARAM!$B$56)*($B496&gt;(60-PARAM!$B$56))*HLOOKUP(($B496+PARAM!$B$56)/12,Loyalty,2)*$F$1*MAX(F495,0)</f>
        <v>16.808053077967756</v>
      </c>
      <c r="E496" s="75">
        <f>PARAM!$C$26+MAX($G$3-CHOOSE(PARAM!$B$44,MAX(0,F495*$F$1),0),0)*RATES!$L472/12+$H$3*(PARAM!$D$51/12)*RATES!$N472/100</f>
        <v>109.45833333333333</v>
      </c>
      <c r="F496" s="16">
        <f t="shared" si="324"/>
        <v>-7608.6149645035221</v>
      </c>
      <c r="G496" s="15">
        <f t="shared" si="325"/>
        <v>22.035289406060361</v>
      </c>
      <c r="H496" s="75">
        <f>G496*(1-PARAM!$C$27)*$I$4+(MOD($B496,60)=PARAM!$B$56)*($B496&gt;(60-PARAM!$B$56))*HLOOKUP(($B496+PARAM!$B$56)/12,Loyalty,2)*$F$1*MAX(J495,0)</f>
        <v>18.443537232872522</v>
      </c>
      <c r="I496" s="75">
        <f>PARAM!$C$26+MAX($G$4-CHOOSE(PARAM!$B$44,MAX(0,J495*$F$1),0),0)*RATES!$L472/12+$H$4*(PARAM!$D$51/12)*RATES!$N472/100</f>
        <v>109.45833333333333</v>
      </c>
      <c r="J496" s="16">
        <f t="shared" si="326"/>
        <v>-6807.7399317314703</v>
      </c>
      <c r="K496" s="15">
        <f t="shared" si="327"/>
        <v>22.170849845882874</v>
      </c>
      <c r="L496" s="75">
        <f>K496*(1-PARAM!$C$27)*$I$5+(MOD($B496,60)=PARAM!$B$56)*($B496&gt;(60-PARAM!$B$56))*HLOOKUP(($B496+PARAM!$B$56)/12,Loyalty,2)*$F$1*MAX(N495,0)</f>
        <v>18.557001321003963</v>
      </c>
      <c r="M496" s="75">
        <f>PARAM!$C$26+MAX($G$5-CHOOSE(PARAM!$B$44,MAX(0,N495*$F$1),0),0)*RATES!$L472/12+$H$5*(PARAM!$D$51/12)*RATES!$N472/100</f>
        <v>109.45833333333333</v>
      </c>
      <c r="N496" s="16">
        <f t="shared" si="328"/>
        <v>-6751.5077379980457</v>
      </c>
      <c r="O496" s="15">
        <f t="shared" si="329"/>
        <v>22.170849845882874</v>
      </c>
      <c r="P496" s="75">
        <f>O496*(1-PARAM!$C$27)*$I$6+(MOD($B496,60)=PARAM!$B$56)*($B496&gt;(60-PARAM!$B$56))*HLOOKUP(($B496+PARAM!$B$56)/12,Loyalty,2)*$F$1*MAX(R495,0)</f>
        <v>18.557001321003963</v>
      </c>
      <c r="Q496" s="75">
        <f>PARAM!$C$26+MAX($G$6-CHOOSE(PARAM!$B$44,MAX(0,R495*$F$1),0),0)*RATES!$L472/12+$H$6*(PARAM!$D$51/12)*RATES!$N472/100</f>
        <v>109.45833333333333</v>
      </c>
      <c r="R496" s="16">
        <f t="shared" si="330"/>
        <v>-6751.5077379980457</v>
      </c>
      <c r="S496" s="15">
        <f t="shared" si="305"/>
        <v>22.170849845882874</v>
      </c>
      <c r="T496" s="75">
        <f>S496*(1-PARAM!$C$27)*$I$7+(MOD($B496,60)=PARAM!$B$56)*($B496&gt;(60-PARAM!$B$56))*HLOOKUP(($B496+PARAM!$B$56)/12,Loyalty,2)*$F$1*MAX(V495,0)</f>
        <v>18.557001321003963</v>
      </c>
      <c r="U496" s="75">
        <f>PARAM!$C$26+MAX($G$7-CHOOSE(PARAM!$B$44,MAX(0,V495*$F$1),0),0)*RATES!$L472/12+$H$7*(PARAM!$D$51/12)*RATES!$N472/100</f>
        <v>109.45833333333333</v>
      </c>
      <c r="V496" s="16">
        <f t="shared" si="331"/>
        <v>-6751.5077379980457</v>
      </c>
      <c r="W496" s="15">
        <f t="shared" si="306"/>
        <v>22.170849845882874</v>
      </c>
      <c r="X496" s="75">
        <f>W496*(1-PARAM!$C$27)*$I$8+(MOD($B496,60)=PARAM!$B$56)*($B496&gt;(60-PARAM!$B$56))*HLOOKUP(($B496+PARAM!$B$56)/12,Loyalty,2)*$F$1*MAX(Z495,0)</f>
        <v>18.557001321003963</v>
      </c>
      <c r="Y496" s="75">
        <f>PARAM!$C$26+MAX($G$8-CHOOSE(PARAM!$B$44,MAX(0,Z495*$F$1),0),0)*RATES!$L472/12+$H$8*(PARAM!$D$51/12)*RATES!$N472/100</f>
        <v>109.45833333333333</v>
      </c>
      <c r="Z496" s="16">
        <f t="shared" si="332"/>
        <v>-6751.5077379980457</v>
      </c>
      <c r="AA496" s="15">
        <f t="shared" si="307"/>
        <v>22.170849845882874</v>
      </c>
      <c r="AB496" s="75">
        <f>AA496*(1-PARAM!$C$27)*$I$9+(MOD($B496,60)=PARAM!$B$56)*($B496&gt;(60-PARAM!$B$56))*HLOOKUP(($B496+PARAM!$B$56)/12,Loyalty,2)*$F$1*MAX(AD495,0)</f>
        <v>18.557001321003963</v>
      </c>
      <c r="AC496" s="75">
        <f>PARAM!$C$26+MAX($G$9-CHOOSE(PARAM!$B$44,MAX(0,AD495*$F$1),0),0)*RATES!$L472/12+$H$9*(PARAM!$D$51/12)*RATES!$N472/100</f>
        <v>109.45833333333333</v>
      </c>
      <c r="AD496" s="16">
        <f t="shared" si="333"/>
        <v>-6751.5077379980457</v>
      </c>
      <c r="AE496" s="15">
        <f t="shared" si="308"/>
        <v>22.170849845882874</v>
      </c>
      <c r="AF496" s="75">
        <f>AE496*(1-PARAM!$C$27)*$I$10+(MOD($B496,60)=PARAM!$B$56)*($B496&gt;(60-PARAM!$B$56))*HLOOKUP(($B496+PARAM!$B$56)/12,Loyalty,2)*$F$1*MAX(AH495,0)</f>
        <v>18.557001321003963</v>
      </c>
      <c r="AG496" s="75">
        <f>PARAM!$C$26+MAX($G$10-CHOOSE(PARAM!$B$44,MAX(0,AH495*$F$1),0),0)*RATES!$L472/12+$H$10*(PARAM!$D$51/12)*RATES!$N472/100</f>
        <v>109.45833333333333</v>
      </c>
      <c r="AH496" s="16">
        <f t="shared" si="334"/>
        <v>-6751.5077379980457</v>
      </c>
      <c r="AI496" s="15">
        <f t="shared" si="309"/>
        <v>22.170849845882874</v>
      </c>
      <c r="AJ496" s="75">
        <f>AI496*(1-PARAM!$C$27)*$I$11+(MOD($B496,60)=PARAM!$B$56)*($B496&gt;(60-PARAM!$B$56))*HLOOKUP(($B496+PARAM!$B$56)/12,Loyalty,2)*$F$1*MAX(AL495,0)</f>
        <v>18.557001321003963</v>
      </c>
      <c r="AK496" s="75">
        <f>PARAM!$C$26+MAX($G$11-CHOOSE(PARAM!$B$44,MAX(0,AL495*$F$1),0),0)*RATES!$L472/12+$H$11*(PARAM!$D$51/12)*RATES!$N472/100</f>
        <v>109.45833333333333</v>
      </c>
      <c r="AL496" s="16">
        <f t="shared" si="335"/>
        <v>-6751.5077379980457</v>
      </c>
      <c r="AM496" s="15">
        <f t="shared" si="310"/>
        <v>22.170849845882874</v>
      </c>
      <c r="AN496" s="75">
        <f>AM496*(1-PARAM!$C$27)*$I$12+(MOD($B496,60)=PARAM!$B$56)*($B496&gt;(60-PARAM!$B$56))*HLOOKUP(($B496+PARAM!$B$56)/12,Loyalty,2)*$F$1*MAX(AP495,0)</f>
        <v>18.557001321003963</v>
      </c>
      <c r="AO496" s="75">
        <f>PARAM!$C$26+MAX($G$12-CHOOSE(PARAM!$B$44,MAX(0,AP495*$F$1),0),0)*RATES!$L472/12+$H$12*(PARAM!$D$51/12)*RATES!$N472/100</f>
        <v>109.45833333333333</v>
      </c>
      <c r="AP496" s="16">
        <f t="shared" si="336"/>
        <v>-6751.5077379980457</v>
      </c>
      <c r="AQ496" s="15">
        <f t="shared" si="311"/>
        <v>22.170849845882874</v>
      </c>
      <c r="AR496" s="75">
        <f>AQ496*(1-PARAM!$C$27)*$I$13+(MOD($B496,60)=PARAM!$B$56)*($B496&gt;(60-PARAM!$B$56))*HLOOKUP(($B496+PARAM!$B$56)/12,Loyalty,2)*$F$1*MAX(AT495,0)</f>
        <v>18.557001321003963</v>
      </c>
      <c r="AS496" s="75">
        <f>PARAM!$C$26+MAX($G$13-CHOOSE(PARAM!$B$44,MAX(0,AT495*$F$1),0),0)*RATES!$L472/12+$H$13*(PARAM!$D$51/12)*RATES!$N472/100</f>
        <v>109.45833333333333</v>
      </c>
      <c r="AT496" s="16">
        <f t="shared" si="337"/>
        <v>-6751.5077379980457</v>
      </c>
      <c r="AU496" s="15">
        <f t="shared" si="312"/>
        <v>22.170849845882874</v>
      </c>
      <c r="AV496" s="75">
        <f>AU496*(1-PARAM!$C$27)*$I$14+(MOD($B496,60)=PARAM!$B$56)*($B496&gt;(60-PARAM!$B$56))*HLOOKUP(($B496+PARAM!$B$56)/12,Loyalty,2)*$F$1*MAX(AX495,0)</f>
        <v>18.557001321003963</v>
      </c>
      <c r="AW496" s="75">
        <f>PARAM!$C$26+MAX($G$14-CHOOSE(PARAM!$B$44,MAX(0,AX495*$F$1),0),0)*RATES!$L472/12+$H$14*(PARAM!$D$51/12)*RATES!$N472/100</f>
        <v>109.45833333333333</v>
      </c>
      <c r="AX496" s="16">
        <f t="shared" si="338"/>
        <v>-6751.5077379980457</v>
      </c>
      <c r="AY496" s="15">
        <f t="shared" si="313"/>
        <v>22.170849845882874</v>
      </c>
      <c r="AZ496" s="75">
        <f>AY496*(1-PARAM!$C$27)*$I$15+(MOD($B496,60)=PARAM!$B$56)*($B496&gt;(60-PARAM!$B$56))*HLOOKUP(($B496+PARAM!$B$56)/12,Loyalty,2)*$F$1*MAX(BB495,0)</f>
        <v>18.557001321003963</v>
      </c>
      <c r="BA496" s="75">
        <f>PARAM!$C$26+MAX($G$15-CHOOSE(PARAM!$B$44,MAX(0,BB495*$F$1),0),0)*RATES!$L472/12+$H$15*(PARAM!$D$51/12)*RATES!$N472/100</f>
        <v>109.45833333333333</v>
      </c>
      <c r="BB496" s="16">
        <f t="shared" si="339"/>
        <v>-6751.5077379980457</v>
      </c>
      <c r="BC496" s="15">
        <f t="shared" si="314"/>
        <v>22.170849845882874</v>
      </c>
      <c r="BD496" s="75">
        <f>BC496*(1-PARAM!$C$27)*$I$16+(MOD($B496,60)=PARAM!$B$56)*($B496&gt;(60-PARAM!$B$56))*HLOOKUP(($B496+PARAM!$B$56)/12,Loyalty,2)*$F$1*MAX(BF495,0)</f>
        <v>18.557001321003963</v>
      </c>
      <c r="BE496" s="75">
        <f>PARAM!$C$26+MAX($G$16-CHOOSE(PARAM!$B$44,MAX(0,BF495*$F$1),0),0)*RATES!$L472/12+$H$16*(PARAM!$D$51/12)*RATES!$N472/100</f>
        <v>109.45833333333333</v>
      </c>
      <c r="BF496" s="16">
        <f t="shared" si="340"/>
        <v>-6751.5077379980457</v>
      </c>
      <c r="BG496" s="15">
        <f t="shared" si="315"/>
        <v>22.170849845882874</v>
      </c>
      <c r="BH496" s="75">
        <f>BG496*(1-PARAM!$C$27)*$I$17+(MOD($B496,60)=PARAM!$B$56)*($B496&gt;(60-PARAM!$B$56))*HLOOKUP(($B496+PARAM!$B$56)/12,Loyalty,2)*$F$1*MAX(BJ495,0)</f>
        <v>18.557001321003963</v>
      </c>
      <c r="BI496" s="75">
        <f>PARAM!$C$26+MAX($G$17-CHOOSE(PARAM!$B$44,MAX(0,BJ495*$F$1),0),0)*RATES!$L472/12+$H$17*(PARAM!$D$51/12)*RATES!$N472/100</f>
        <v>109.45833333333333</v>
      </c>
      <c r="BJ496" s="16">
        <f t="shared" si="341"/>
        <v>-6751.5077379980457</v>
      </c>
      <c r="BK496" s="15">
        <f t="shared" si="316"/>
        <v>22.170849845882874</v>
      </c>
      <c r="BL496" s="75">
        <f>BK496*(1-PARAM!$C$27)*$I$18+(MOD($B496,60)=PARAM!$B$56)*($B496&gt;(60-PARAM!$B$56))*HLOOKUP(($B496+PARAM!$B$56)/12,Loyalty,2)*$F$1*MAX(BN495,0)</f>
        <v>18.557001321003963</v>
      </c>
      <c r="BM496" s="75">
        <f>PARAM!$C$26+MAX($G$18-CHOOSE(PARAM!$B$44,MAX(0,BN495*$F$1),0),0)*RATES!$L472/12+$H$18*(PARAM!$D$51/12)*RATES!$N472/100</f>
        <v>109.45833333333333</v>
      </c>
      <c r="BN496" s="16">
        <f t="shared" si="342"/>
        <v>-6751.5077379980457</v>
      </c>
      <c r="BO496" s="15">
        <f t="shared" si="317"/>
        <v>22.170849845882874</v>
      </c>
      <c r="BP496" s="75">
        <f>BO496*(1-PARAM!$C$27)*$I$19+(MOD($B496,60)=PARAM!$B$56)*($B496&gt;(60-PARAM!$B$56))*HLOOKUP(($B496+PARAM!$B$56)/12,Loyalty,2)*$F$1*MAX(BR495,0)</f>
        <v>18.557001321003963</v>
      </c>
      <c r="BQ496" s="75">
        <f>PARAM!$C$26+MAX($G$19-CHOOSE(PARAM!$B$44,MAX(0,BR495*$F$1),0),0)*RATES!$L472/12+$H$19*(PARAM!$D$51/12)*RATES!$N472/100</f>
        <v>109.45833333333333</v>
      </c>
      <c r="BR496" s="16">
        <f t="shared" si="343"/>
        <v>-6751.5077379980457</v>
      </c>
      <c r="BS496" s="15">
        <f t="shared" si="318"/>
        <v>22.170849845882874</v>
      </c>
      <c r="BT496" s="75">
        <f>BS496*(1-PARAM!$C$27)*$I$20+(MOD($B496,60)=PARAM!$B$56)*($B496&gt;(60-PARAM!$B$56))*HLOOKUP(($B496+PARAM!$B$56)/12,Loyalty,2)*$F$1*MAX(BV495,0)</f>
        <v>18.557001321003963</v>
      </c>
      <c r="BU496" s="75">
        <f>PARAM!$C$26+MAX($G$20-CHOOSE(PARAM!$B$44,MAX(0,BV495*$F$1),0),0)*RATES!$L472/12+$H$20*(PARAM!$D$51/12)*RATES!$N472/100</f>
        <v>109.45833333333333</v>
      </c>
      <c r="BV496" s="16">
        <f t="shared" si="344"/>
        <v>-6751.5077379980457</v>
      </c>
      <c r="BW496" s="15">
        <f t="shared" si="319"/>
        <v>22.170849845882874</v>
      </c>
      <c r="BX496" s="75">
        <f>BW496*(1-PARAM!$C$27)*$I$21+(MOD($B496,60)=PARAM!$B$56)*($B496&gt;(60-PARAM!$B$56))*HLOOKUP(($B496+PARAM!$B$56)/12,Loyalty,2)*$F$1*MAX(BZ495,0)</f>
        <v>18.557001321003963</v>
      </c>
      <c r="BY496" s="75">
        <f>PARAM!$C$26+MAX($G$21-CHOOSE(PARAM!$B$44,MAX(0,BZ495*$F$1),0),0)*RATES!$L472/12+$H$21*(PARAM!$D$51/12)*RATES!$N472/100</f>
        <v>109.45833333333333</v>
      </c>
      <c r="BZ496" s="16">
        <f t="shared" si="345"/>
        <v>-6751.5077379980457</v>
      </c>
      <c r="CA496" s="15">
        <f t="shared" si="320"/>
        <v>22.170849845882874</v>
      </c>
      <c r="CB496" s="75">
        <f>CA496*(1-PARAM!$C$27)*$I$22+(MOD($B496,60)=PARAM!$B$56)*($B496&gt;(60-PARAM!$B$56))*HLOOKUP(($B496+PARAM!$B$56)/12,Loyalty,2)*$F$1*MAX(CD495,0)</f>
        <v>18.557001321003963</v>
      </c>
      <c r="CC496" s="75">
        <f>PARAM!$C$26+MAX($G$22-CHOOSE(PARAM!$B$44,MAX(0,CD495*$F$1),0),0)*RATES!$L472/12+$H$22*(PARAM!$D$51/12)*RATES!$N472/100</f>
        <v>109.45833333333333</v>
      </c>
      <c r="CD496" s="16">
        <f t="shared" si="346"/>
        <v>-6751.5077379980457</v>
      </c>
      <c r="CE496" s="33">
        <f>IF(0=MOD(B496,12/PARAM!$D$51),1,0)</f>
        <v>1</v>
      </c>
      <c r="CF496" s="15">
        <f t="shared" si="321"/>
        <v>0</v>
      </c>
      <c r="CG496" s="75">
        <f>CF496*(1-PARAM!$C$27)*$R$3+(MOD($B496/12,5)=0)*($B496&gt;60)*HLOOKUP($B496/12,Loyalty,2)*$F$1*MAX(CI495,0)</f>
        <v>0</v>
      </c>
      <c r="CH496" s="75">
        <f>PARAM!$C$26+MAX($P$3-CHOOSE(PARAM!$B$44,MAX(0,CI495*$F$1),0),0)*RATES!$L472/12+$Q$3*(PARAM!$D$51/12)*RATES!$N472/100</f>
        <v>109.45833333333333</v>
      </c>
      <c r="CI496" s="16">
        <f>IF(CI495&gt;0,CI495*PARAM!$C$53,CI495)+CG496-CH496</f>
        <v>-15335.166666666652</v>
      </c>
      <c r="CJ496" s="15">
        <f t="shared" si="347"/>
        <v>0</v>
      </c>
      <c r="CK496" s="75">
        <f>CJ496*(1-PARAM!$C$27)*$R$4+(MOD($B496/12,5)=0)*($B496&gt;60)*HLOOKUP($B496/12,Loyalty,2)*$F$1*MAX(CM495,0)</f>
        <v>0</v>
      </c>
      <c r="CL496" s="75">
        <f>PARAM!$C$26+MAX($P$4-CHOOSE(PARAM!$B$44,MAX(0,CM495*$F$1),0),0)*RATES!$L472/12+$Q$4*(PARAM!$D$51/12)*RATES!$N472/100</f>
        <v>109.45833333333333</v>
      </c>
      <c r="CM496" s="16">
        <f>IF(CM495&gt;0,CM495*PARAM!$C$53,CM495)+CK496-CL496</f>
        <v>-15335.166666666652</v>
      </c>
      <c r="CO496" s="176"/>
    </row>
    <row r="497" spans="1:93" x14ac:dyDescent="0.2">
      <c r="A497" t="b">
        <f t="shared" si="322"/>
        <v>0</v>
      </c>
      <c r="B497" s="33">
        <v>470</v>
      </c>
      <c r="C497" s="15">
        <f t="shared" si="323"/>
        <v>20.081305947392778</v>
      </c>
      <c r="D497" s="75">
        <f>C497*(1-PARAM!$C$27)*$I$3+(MOD($B497,60)=PARAM!$B$56)*($B497&gt;(60-PARAM!$B$56))*HLOOKUP(($B497+PARAM!$B$56)/12,Loyalty,2)*$F$1*MAX(F496,0)</f>
        <v>16.808053077967756</v>
      </c>
      <c r="E497" s="75">
        <f>PARAM!$C$26+MAX($G$3-CHOOSE(PARAM!$B$44,MAX(0,F496*$F$1),0),0)*RATES!$L473/12+$H$3*(PARAM!$D$51/12)*RATES!$N473/100</f>
        <v>109.45833333333333</v>
      </c>
      <c r="F497" s="16">
        <f t="shared" si="324"/>
        <v>-7701.2652447588871</v>
      </c>
      <c r="G497" s="15">
        <f t="shared" si="325"/>
        <v>22.035289406060361</v>
      </c>
      <c r="H497" s="75">
        <f>G497*(1-PARAM!$C$27)*$I$4+(MOD($B497,60)=PARAM!$B$56)*($B497&gt;(60-PARAM!$B$56))*HLOOKUP(($B497+PARAM!$B$56)/12,Loyalty,2)*$F$1*MAX(J496,0)</f>
        <v>18.443537232872522</v>
      </c>
      <c r="I497" s="75">
        <f>PARAM!$C$26+MAX($G$4-CHOOSE(PARAM!$B$44,MAX(0,J496*$F$1),0),0)*RATES!$L473/12+$H$4*(PARAM!$D$51/12)*RATES!$N473/100</f>
        <v>109.45833333333333</v>
      </c>
      <c r="J497" s="16">
        <f t="shared" si="326"/>
        <v>-6898.7547278319307</v>
      </c>
      <c r="K497" s="15">
        <f t="shared" si="327"/>
        <v>22.170849845882874</v>
      </c>
      <c r="L497" s="75">
        <f>K497*(1-PARAM!$C$27)*$I$5+(MOD($B497,60)=PARAM!$B$56)*($B497&gt;(60-PARAM!$B$56))*HLOOKUP(($B497+PARAM!$B$56)/12,Loyalty,2)*$F$1*MAX(N496,0)</f>
        <v>18.557001321003963</v>
      </c>
      <c r="M497" s="75">
        <f>PARAM!$C$26+MAX($G$5-CHOOSE(PARAM!$B$44,MAX(0,N496*$F$1),0),0)*RATES!$L473/12+$H$5*(PARAM!$D$51/12)*RATES!$N473/100</f>
        <v>109.45833333333333</v>
      </c>
      <c r="N497" s="16">
        <f t="shared" si="328"/>
        <v>-6842.4090700103752</v>
      </c>
      <c r="O497" s="15">
        <f t="shared" si="329"/>
        <v>22.170849845882874</v>
      </c>
      <c r="P497" s="75">
        <f>O497*(1-PARAM!$C$27)*$I$6+(MOD($B497,60)=PARAM!$B$56)*($B497&gt;(60-PARAM!$B$56))*HLOOKUP(($B497+PARAM!$B$56)/12,Loyalty,2)*$F$1*MAX(R496,0)</f>
        <v>18.557001321003963</v>
      </c>
      <c r="Q497" s="75">
        <f>PARAM!$C$26+MAX($G$6-CHOOSE(PARAM!$B$44,MAX(0,R496*$F$1),0),0)*RATES!$L473/12+$H$6*(PARAM!$D$51/12)*RATES!$N473/100</f>
        <v>109.45833333333333</v>
      </c>
      <c r="R497" s="16">
        <f t="shared" si="330"/>
        <v>-6842.4090700103752</v>
      </c>
      <c r="S497" s="15">
        <f t="shared" si="305"/>
        <v>22.170849845882874</v>
      </c>
      <c r="T497" s="75">
        <f>S497*(1-PARAM!$C$27)*$I$7+(MOD($B497,60)=PARAM!$B$56)*($B497&gt;(60-PARAM!$B$56))*HLOOKUP(($B497+PARAM!$B$56)/12,Loyalty,2)*$F$1*MAX(V496,0)</f>
        <v>18.557001321003963</v>
      </c>
      <c r="U497" s="75">
        <f>PARAM!$C$26+MAX($G$7-CHOOSE(PARAM!$B$44,MAX(0,V496*$F$1),0),0)*RATES!$L473/12+$H$7*(PARAM!$D$51/12)*RATES!$N473/100</f>
        <v>109.45833333333333</v>
      </c>
      <c r="V497" s="16">
        <f t="shared" si="331"/>
        <v>-6842.4090700103752</v>
      </c>
      <c r="W497" s="15">
        <f t="shared" si="306"/>
        <v>22.170849845882874</v>
      </c>
      <c r="X497" s="75">
        <f>W497*(1-PARAM!$C$27)*$I$8+(MOD($B497,60)=PARAM!$B$56)*($B497&gt;(60-PARAM!$B$56))*HLOOKUP(($B497+PARAM!$B$56)/12,Loyalty,2)*$F$1*MAX(Z496,0)</f>
        <v>18.557001321003963</v>
      </c>
      <c r="Y497" s="75">
        <f>PARAM!$C$26+MAX($G$8-CHOOSE(PARAM!$B$44,MAX(0,Z496*$F$1),0),0)*RATES!$L473/12+$H$8*(PARAM!$D$51/12)*RATES!$N473/100</f>
        <v>109.45833333333333</v>
      </c>
      <c r="Z497" s="16">
        <f t="shared" si="332"/>
        <v>-6842.4090700103752</v>
      </c>
      <c r="AA497" s="15">
        <f t="shared" si="307"/>
        <v>22.170849845882874</v>
      </c>
      <c r="AB497" s="75">
        <f>AA497*(1-PARAM!$C$27)*$I$9+(MOD($B497,60)=PARAM!$B$56)*($B497&gt;(60-PARAM!$B$56))*HLOOKUP(($B497+PARAM!$B$56)/12,Loyalty,2)*$F$1*MAX(AD496,0)</f>
        <v>18.557001321003963</v>
      </c>
      <c r="AC497" s="75">
        <f>PARAM!$C$26+MAX($G$9-CHOOSE(PARAM!$B$44,MAX(0,AD496*$F$1),0),0)*RATES!$L473/12+$H$9*(PARAM!$D$51/12)*RATES!$N473/100</f>
        <v>109.45833333333333</v>
      </c>
      <c r="AD497" s="16">
        <f t="shared" si="333"/>
        <v>-6842.4090700103752</v>
      </c>
      <c r="AE497" s="15">
        <f t="shared" si="308"/>
        <v>22.170849845882874</v>
      </c>
      <c r="AF497" s="75">
        <f>AE497*(1-PARAM!$C$27)*$I$10+(MOD($B497,60)=PARAM!$B$56)*($B497&gt;(60-PARAM!$B$56))*HLOOKUP(($B497+PARAM!$B$56)/12,Loyalty,2)*$F$1*MAX(AH496,0)</f>
        <v>18.557001321003963</v>
      </c>
      <c r="AG497" s="75">
        <f>PARAM!$C$26+MAX($G$10-CHOOSE(PARAM!$B$44,MAX(0,AH496*$F$1),0),0)*RATES!$L473/12+$H$10*(PARAM!$D$51/12)*RATES!$N473/100</f>
        <v>109.45833333333333</v>
      </c>
      <c r="AH497" s="16">
        <f t="shared" si="334"/>
        <v>-6842.4090700103752</v>
      </c>
      <c r="AI497" s="15">
        <f t="shared" si="309"/>
        <v>22.170849845882874</v>
      </c>
      <c r="AJ497" s="75">
        <f>AI497*(1-PARAM!$C$27)*$I$11+(MOD($B497,60)=PARAM!$B$56)*($B497&gt;(60-PARAM!$B$56))*HLOOKUP(($B497+PARAM!$B$56)/12,Loyalty,2)*$F$1*MAX(AL496,0)</f>
        <v>18.557001321003963</v>
      </c>
      <c r="AK497" s="75">
        <f>PARAM!$C$26+MAX($G$11-CHOOSE(PARAM!$B$44,MAX(0,AL496*$F$1),0),0)*RATES!$L473/12+$H$11*(PARAM!$D$51/12)*RATES!$N473/100</f>
        <v>109.45833333333333</v>
      </c>
      <c r="AL497" s="16">
        <f t="shared" si="335"/>
        <v>-6842.4090700103752</v>
      </c>
      <c r="AM497" s="15">
        <f t="shared" si="310"/>
        <v>22.170849845882874</v>
      </c>
      <c r="AN497" s="75">
        <f>AM497*(1-PARAM!$C$27)*$I$12+(MOD($B497,60)=PARAM!$B$56)*($B497&gt;(60-PARAM!$B$56))*HLOOKUP(($B497+PARAM!$B$56)/12,Loyalty,2)*$F$1*MAX(AP496,0)</f>
        <v>18.557001321003963</v>
      </c>
      <c r="AO497" s="75">
        <f>PARAM!$C$26+MAX($G$12-CHOOSE(PARAM!$B$44,MAX(0,AP496*$F$1),0),0)*RATES!$L473/12+$H$12*(PARAM!$D$51/12)*RATES!$N473/100</f>
        <v>109.45833333333333</v>
      </c>
      <c r="AP497" s="16">
        <f t="shared" si="336"/>
        <v>-6842.4090700103752</v>
      </c>
      <c r="AQ497" s="15">
        <f t="shared" si="311"/>
        <v>22.170849845882874</v>
      </c>
      <c r="AR497" s="75">
        <f>AQ497*(1-PARAM!$C$27)*$I$13+(MOD($B497,60)=PARAM!$B$56)*($B497&gt;(60-PARAM!$B$56))*HLOOKUP(($B497+PARAM!$B$56)/12,Loyalty,2)*$F$1*MAX(AT496,0)</f>
        <v>18.557001321003963</v>
      </c>
      <c r="AS497" s="75">
        <f>PARAM!$C$26+MAX($G$13-CHOOSE(PARAM!$B$44,MAX(0,AT496*$F$1),0),0)*RATES!$L473/12+$H$13*(PARAM!$D$51/12)*RATES!$N473/100</f>
        <v>109.45833333333333</v>
      </c>
      <c r="AT497" s="16">
        <f t="shared" si="337"/>
        <v>-6842.4090700103752</v>
      </c>
      <c r="AU497" s="15">
        <f t="shared" si="312"/>
        <v>22.170849845882874</v>
      </c>
      <c r="AV497" s="75">
        <f>AU497*(1-PARAM!$C$27)*$I$14+(MOD($B497,60)=PARAM!$B$56)*($B497&gt;(60-PARAM!$B$56))*HLOOKUP(($B497+PARAM!$B$56)/12,Loyalty,2)*$F$1*MAX(AX496,0)</f>
        <v>18.557001321003963</v>
      </c>
      <c r="AW497" s="75">
        <f>PARAM!$C$26+MAX($G$14-CHOOSE(PARAM!$B$44,MAX(0,AX496*$F$1),0),0)*RATES!$L473/12+$H$14*(PARAM!$D$51/12)*RATES!$N473/100</f>
        <v>109.45833333333333</v>
      </c>
      <c r="AX497" s="16">
        <f t="shared" si="338"/>
        <v>-6842.4090700103752</v>
      </c>
      <c r="AY497" s="15">
        <f t="shared" si="313"/>
        <v>22.170849845882874</v>
      </c>
      <c r="AZ497" s="75">
        <f>AY497*(1-PARAM!$C$27)*$I$15+(MOD($B497,60)=PARAM!$B$56)*($B497&gt;(60-PARAM!$B$56))*HLOOKUP(($B497+PARAM!$B$56)/12,Loyalty,2)*$F$1*MAX(BB496,0)</f>
        <v>18.557001321003963</v>
      </c>
      <c r="BA497" s="75">
        <f>PARAM!$C$26+MAX($G$15-CHOOSE(PARAM!$B$44,MAX(0,BB496*$F$1),0),0)*RATES!$L473/12+$H$15*(PARAM!$D$51/12)*RATES!$N473/100</f>
        <v>109.45833333333333</v>
      </c>
      <c r="BB497" s="16">
        <f t="shared" si="339"/>
        <v>-6842.4090700103752</v>
      </c>
      <c r="BC497" s="15">
        <f t="shared" si="314"/>
        <v>22.170849845882874</v>
      </c>
      <c r="BD497" s="75">
        <f>BC497*(1-PARAM!$C$27)*$I$16+(MOD($B497,60)=PARAM!$B$56)*($B497&gt;(60-PARAM!$B$56))*HLOOKUP(($B497+PARAM!$B$56)/12,Loyalty,2)*$F$1*MAX(BF496,0)</f>
        <v>18.557001321003963</v>
      </c>
      <c r="BE497" s="75">
        <f>PARAM!$C$26+MAX($G$16-CHOOSE(PARAM!$B$44,MAX(0,BF496*$F$1),0),0)*RATES!$L473/12+$H$16*(PARAM!$D$51/12)*RATES!$N473/100</f>
        <v>109.45833333333333</v>
      </c>
      <c r="BF497" s="16">
        <f t="shared" si="340"/>
        <v>-6842.4090700103752</v>
      </c>
      <c r="BG497" s="15">
        <f t="shared" si="315"/>
        <v>22.170849845882874</v>
      </c>
      <c r="BH497" s="75">
        <f>BG497*(1-PARAM!$C$27)*$I$17+(MOD($B497,60)=PARAM!$B$56)*($B497&gt;(60-PARAM!$B$56))*HLOOKUP(($B497+PARAM!$B$56)/12,Loyalty,2)*$F$1*MAX(BJ496,0)</f>
        <v>18.557001321003963</v>
      </c>
      <c r="BI497" s="75">
        <f>PARAM!$C$26+MAX($G$17-CHOOSE(PARAM!$B$44,MAX(0,BJ496*$F$1),0),0)*RATES!$L473/12+$H$17*(PARAM!$D$51/12)*RATES!$N473/100</f>
        <v>109.45833333333333</v>
      </c>
      <c r="BJ497" s="16">
        <f t="shared" si="341"/>
        <v>-6842.4090700103752</v>
      </c>
      <c r="BK497" s="15">
        <f t="shared" si="316"/>
        <v>22.170849845882874</v>
      </c>
      <c r="BL497" s="75">
        <f>BK497*(1-PARAM!$C$27)*$I$18+(MOD($B497,60)=PARAM!$B$56)*($B497&gt;(60-PARAM!$B$56))*HLOOKUP(($B497+PARAM!$B$56)/12,Loyalty,2)*$F$1*MAX(BN496,0)</f>
        <v>18.557001321003963</v>
      </c>
      <c r="BM497" s="75">
        <f>PARAM!$C$26+MAX($G$18-CHOOSE(PARAM!$B$44,MAX(0,BN496*$F$1),0),0)*RATES!$L473/12+$H$18*(PARAM!$D$51/12)*RATES!$N473/100</f>
        <v>109.45833333333333</v>
      </c>
      <c r="BN497" s="16">
        <f t="shared" si="342"/>
        <v>-6842.4090700103752</v>
      </c>
      <c r="BO497" s="15">
        <f t="shared" si="317"/>
        <v>22.170849845882874</v>
      </c>
      <c r="BP497" s="75">
        <f>BO497*(1-PARAM!$C$27)*$I$19+(MOD($B497,60)=PARAM!$B$56)*($B497&gt;(60-PARAM!$B$56))*HLOOKUP(($B497+PARAM!$B$56)/12,Loyalty,2)*$F$1*MAX(BR496,0)</f>
        <v>18.557001321003963</v>
      </c>
      <c r="BQ497" s="75">
        <f>PARAM!$C$26+MAX($G$19-CHOOSE(PARAM!$B$44,MAX(0,BR496*$F$1),0),0)*RATES!$L473/12+$H$19*(PARAM!$D$51/12)*RATES!$N473/100</f>
        <v>109.45833333333333</v>
      </c>
      <c r="BR497" s="16">
        <f t="shared" si="343"/>
        <v>-6842.4090700103752</v>
      </c>
      <c r="BS497" s="15">
        <f t="shared" si="318"/>
        <v>22.170849845882874</v>
      </c>
      <c r="BT497" s="75">
        <f>BS497*(1-PARAM!$C$27)*$I$20+(MOD($B497,60)=PARAM!$B$56)*($B497&gt;(60-PARAM!$B$56))*HLOOKUP(($B497+PARAM!$B$56)/12,Loyalty,2)*$F$1*MAX(BV496,0)</f>
        <v>18.557001321003963</v>
      </c>
      <c r="BU497" s="75">
        <f>PARAM!$C$26+MAX($G$20-CHOOSE(PARAM!$B$44,MAX(0,BV496*$F$1),0),0)*RATES!$L473/12+$H$20*(PARAM!$D$51/12)*RATES!$N473/100</f>
        <v>109.45833333333333</v>
      </c>
      <c r="BV497" s="16">
        <f t="shared" si="344"/>
        <v>-6842.4090700103752</v>
      </c>
      <c r="BW497" s="15">
        <f t="shared" si="319"/>
        <v>22.170849845882874</v>
      </c>
      <c r="BX497" s="75">
        <f>BW497*(1-PARAM!$C$27)*$I$21+(MOD($B497,60)=PARAM!$B$56)*($B497&gt;(60-PARAM!$B$56))*HLOOKUP(($B497+PARAM!$B$56)/12,Loyalty,2)*$F$1*MAX(BZ496,0)</f>
        <v>18.557001321003963</v>
      </c>
      <c r="BY497" s="75">
        <f>PARAM!$C$26+MAX($G$21-CHOOSE(PARAM!$B$44,MAX(0,BZ496*$F$1),0),0)*RATES!$L473/12+$H$21*(PARAM!$D$51/12)*RATES!$N473/100</f>
        <v>109.45833333333333</v>
      </c>
      <c r="BZ497" s="16">
        <f t="shared" si="345"/>
        <v>-6842.4090700103752</v>
      </c>
      <c r="CA497" s="15">
        <f t="shared" si="320"/>
        <v>22.170849845882874</v>
      </c>
      <c r="CB497" s="75">
        <f>CA497*(1-PARAM!$C$27)*$I$22+(MOD($B497,60)=PARAM!$B$56)*($B497&gt;(60-PARAM!$B$56))*HLOOKUP(($B497+PARAM!$B$56)/12,Loyalty,2)*$F$1*MAX(CD496,0)</f>
        <v>18.557001321003963</v>
      </c>
      <c r="CC497" s="75">
        <f>PARAM!$C$26+MAX($G$22-CHOOSE(PARAM!$B$44,MAX(0,CD496*$F$1),0),0)*RATES!$L473/12+$H$22*(PARAM!$D$51/12)*RATES!$N473/100</f>
        <v>109.45833333333333</v>
      </c>
      <c r="CD497" s="16">
        <f t="shared" si="346"/>
        <v>-6842.4090700103752</v>
      </c>
      <c r="CE497" s="33">
        <f>IF(0=MOD(B497,12/PARAM!$D$51),1,0)</f>
        <v>1</v>
      </c>
      <c r="CF497" s="15">
        <f t="shared" si="321"/>
        <v>0</v>
      </c>
      <c r="CG497" s="75">
        <f>CF497*(1-PARAM!$C$27)*$R$3+(MOD($B497/12,5)=0)*($B497&gt;60)*HLOOKUP($B497/12,Loyalty,2)*$F$1*MAX(CI496,0)</f>
        <v>0</v>
      </c>
      <c r="CH497" s="75">
        <f>PARAM!$C$26+MAX($P$3-CHOOSE(PARAM!$B$44,MAX(0,CI496*$F$1),0),0)*RATES!$L473/12+$Q$3*(PARAM!$D$51/12)*RATES!$N473/100</f>
        <v>109.45833333333333</v>
      </c>
      <c r="CI497" s="16">
        <f>IF(CI496&gt;0,CI496*PARAM!$C$53,CI496)+CG497-CH497</f>
        <v>-15444.624999999985</v>
      </c>
      <c r="CJ497" s="15">
        <f t="shared" si="347"/>
        <v>0</v>
      </c>
      <c r="CK497" s="75">
        <f>CJ497*(1-PARAM!$C$27)*$R$4+(MOD($B497/12,5)=0)*($B497&gt;60)*HLOOKUP($B497/12,Loyalty,2)*$F$1*MAX(CM496,0)</f>
        <v>0</v>
      </c>
      <c r="CL497" s="75">
        <f>PARAM!$C$26+MAX($P$4-CHOOSE(PARAM!$B$44,MAX(0,CM496*$F$1),0),0)*RATES!$L473/12+$Q$4*(PARAM!$D$51/12)*RATES!$N473/100</f>
        <v>109.45833333333333</v>
      </c>
      <c r="CM497" s="16">
        <f>IF(CM496&gt;0,CM496*PARAM!$C$53,CM496)+CK497-CL497</f>
        <v>-15444.624999999985</v>
      </c>
      <c r="CO497" s="176"/>
    </row>
    <row r="498" spans="1:93" x14ac:dyDescent="0.2">
      <c r="A498" t="b">
        <f t="shared" si="322"/>
        <v>0</v>
      </c>
      <c r="B498" s="33">
        <v>471</v>
      </c>
      <c r="C498" s="15">
        <f t="shared" si="323"/>
        <v>20.081305947392778</v>
      </c>
      <c r="D498" s="75">
        <f>C498*(1-PARAM!$C$27)*$I$3+(MOD($B498,60)=PARAM!$B$56)*($B498&gt;(60-PARAM!$B$56))*HLOOKUP(($B498+PARAM!$B$56)/12,Loyalty,2)*$F$1*MAX(F497,0)</f>
        <v>16.808053077967756</v>
      </c>
      <c r="E498" s="75">
        <f>PARAM!$C$26+MAX($G$3-CHOOSE(PARAM!$B$44,MAX(0,F497*$F$1),0),0)*RATES!$L474/12+$H$3*(PARAM!$D$51/12)*RATES!$N474/100</f>
        <v>109.45833333333333</v>
      </c>
      <c r="F498" s="16">
        <f t="shared" si="324"/>
        <v>-7793.9155250142521</v>
      </c>
      <c r="G498" s="15">
        <f t="shared" si="325"/>
        <v>22.035289406060361</v>
      </c>
      <c r="H498" s="75">
        <f>G498*(1-PARAM!$C$27)*$I$4+(MOD($B498,60)=PARAM!$B$56)*($B498&gt;(60-PARAM!$B$56))*HLOOKUP(($B498+PARAM!$B$56)/12,Loyalty,2)*$F$1*MAX(J497,0)</f>
        <v>18.443537232872522</v>
      </c>
      <c r="I498" s="75">
        <f>PARAM!$C$26+MAX($G$4-CHOOSE(PARAM!$B$44,MAX(0,J497*$F$1),0),0)*RATES!$L474/12+$H$4*(PARAM!$D$51/12)*RATES!$N474/100</f>
        <v>109.45833333333333</v>
      </c>
      <c r="J498" s="16">
        <f t="shared" si="326"/>
        <v>-6989.7695239323912</v>
      </c>
      <c r="K498" s="15">
        <f t="shared" si="327"/>
        <v>22.170849845882874</v>
      </c>
      <c r="L498" s="75">
        <f>K498*(1-PARAM!$C$27)*$I$5+(MOD($B498,60)=PARAM!$B$56)*($B498&gt;(60-PARAM!$B$56))*HLOOKUP(($B498+PARAM!$B$56)/12,Loyalty,2)*$F$1*MAX(N497,0)</f>
        <v>18.557001321003963</v>
      </c>
      <c r="M498" s="75">
        <f>PARAM!$C$26+MAX($G$5-CHOOSE(PARAM!$B$44,MAX(0,N497*$F$1),0),0)*RATES!$L474/12+$H$5*(PARAM!$D$51/12)*RATES!$N474/100</f>
        <v>109.45833333333333</v>
      </c>
      <c r="N498" s="16">
        <f t="shared" si="328"/>
        <v>-6933.3104020227047</v>
      </c>
      <c r="O498" s="15">
        <f t="shared" si="329"/>
        <v>22.170849845882874</v>
      </c>
      <c r="P498" s="75">
        <f>O498*(1-PARAM!$C$27)*$I$6+(MOD($B498,60)=PARAM!$B$56)*($B498&gt;(60-PARAM!$B$56))*HLOOKUP(($B498+PARAM!$B$56)/12,Loyalty,2)*$F$1*MAX(R497,0)</f>
        <v>18.557001321003963</v>
      </c>
      <c r="Q498" s="75">
        <f>PARAM!$C$26+MAX($G$6-CHOOSE(PARAM!$B$44,MAX(0,R497*$F$1),0),0)*RATES!$L474/12+$H$6*(PARAM!$D$51/12)*RATES!$N474/100</f>
        <v>109.45833333333333</v>
      </c>
      <c r="R498" s="16">
        <f t="shared" si="330"/>
        <v>-6933.3104020227047</v>
      </c>
      <c r="S498" s="15">
        <f t="shared" si="305"/>
        <v>22.170849845882874</v>
      </c>
      <c r="T498" s="75">
        <f>S498*(1-PARAM!$C$27)*$I$7+(MOD($B498,60)=PARAM!$B$56)*($B498&gt;(60-PARAM!$B$56))*HLOOKUP(($B498+PARAM!$B$56)/12,Loyalty,2)*$F$1*MAX(V497,0)</f>
        <v>18.557001321003963</v>
      </c>
      <c r="U498" s="75">
        <f>PARAM!$C$26+MAX($G$7-CHOOSE(PARAM!$B$44,MAX(0,V497*$F$1),0),0)*RATES!$L474/12+$H$7*(PARAM!$D$51/12)*RATES!$N474/100</f>
        <v>109.45833333333333</v>
      </c>
      <c r="V498" s="16">
        <f t="shared" si="331"/>
        <v>-6933.3104020227047</v>
      </c>
      <c r="W498" s="15">
        <f t="shared" si="306"/>
        <v>22.170849845882874</v>
      </c>
      <c r="X498" s="75">
        <f>W498*(1-PARAM!$C$27)*$I$8+(MOD($B498,60)=PARAM!$B$56)*($B498&gt;(60-PARAM!$B$56))*HLOOKUP(($B498+PARAM!$B$56)/12,Loyalty,2)*$F$1*MAX(Z497,0)</f>
        <v>18.557001321003963</v>
      </c>
      <c r="Y498" s="75">
        <f>PARAM!$C$26+MAX($G$8-CHOOSE(PARAM!$B$44,MAX(0,Z497*$F$1),0),0)*RATES!$L474/12+$H$8*(PARAM!$D$51/12)*RATES!$N474/100</f>
        <v>109.45833333333333</v>
      </c>
      <c r="Z498" s="16">
        <f t="shared" si="332"/>
        <v>-6933.3104020227047</v>
      </c>
      <c r="AA498" s="15">
        <f t="shared" si="307"/>
        <v>22.170849845882874</v>
      </c>
      <c r="AB498" s="75">
        <f>AA498*(1-PARAM!$C$27)*$I$9+(MOD($B498,60)=PARAM!$B$56)*($B498&gt;(60-PARAM!$B$56))*HLOOKUP(($B498+PARAM!$B$56)/12,Loyalty,2)*$F$1*MAX(AD497,0)</f>
        <v>18.557001321003963</v>
      </c>
      <c r="AC498" s="75">
        <f>PARAM!$C$26+MAX($G$9-CHOOSE(PARAM!$B$44,MAX(0,AD497*$F$1),0),0)*RATES!$L474/12+$H$9*(PARAM!$D$51/12)*RATES!$N474/100</f>
        <v>109.45833333333333</v>
      </c>
      <c r="AD498" s="16">
        <f t="shared" si="333"/>
        <v>-6933.3104020227047</v>
      </c>
      <c r="AE498" s="15">
        <f t="shared" si="308"/>
        <v>22.170849845882874</v>
      </c>
      <c r="AF498" s="75">
        <f>AE498*(1-PARAM!$C$27)*$I$10+(MOD($B498,60)=PARAM!$B$56)*($B498&gt;(60-PARAM!$B$56))*HLOOKUP(($B498+PARAM!$B$56)/12,Loyalty,2)*$F$1*MAX(AH497,0)</f>
        <v>18.557001321003963</v>
      </c>
      <c r="AG498" s="75">
        <f>PARAM!$C$26+MAX($G$10-CHOOSE(PARAM!$B$44,MAX(0,AH497*$F$1),0),0)*RATES!$L474/12+$H$10*(PARAM!$D$51/12)*RATES!$N474/100</f>
        <v>109.45833333333333</v>
      </c>
      <c r="AH498" s="16">
        <f t="shared" si="334"/>
        <v>-6933.3104020227047</v>
      </c>
      <c r="AI498" s="15">
        <f t="shared" si="309"/>
        <v>22.170849845882874</v>
      </c>
      <c r="AJ498" s="75">
        <f>AI498*(1-PARAM!$C$27)*$I$11+(MOD($B498,60)=PARAM!$B$56)*($B498&gt;(60-PARAM!$B$56))*HLOOKUP(($B498+PARAM!$B$56)/12,Loyalty,2)*$F$1*MAX(AL497,0)</f>
        <v>18.557001321003963</v>
      </c>
      <c r="AK498" s="75">
        <f>PARAM!$C$26+MAX($G$11-CHOOSE(PARAM!$B$44,MAX(0,AL497*$F$1),0),0)*RATES!$L474/12+$H$11*(PARAM!$D$51/12)*RATES!$N474/100</f>
        <v>109.45833333333333</v>
      </c>
      <c r="AL498" s="16">
        <f t="shared" si="335"/>
        <v>-6933.3104020227047</v>
      </c>
      <c r="AM498" s="15">
        <f t="shared" si="310"/>
        <v>22.170849845882874</v>
      </c>
      <c r="AN498" s="75">
        <f>AM498*(1-PARAM!$C$27)*$I$12+(MOD($B498,60)=PARAM!$B$56)*($B498&gt;(60-PARAM!$B$56))*HLOOKUP(($B498+PARAM!$B$56)/12,Loyalty,2)*$F$1*MAX(AP497,0)</f>
        <v>18.557001321003963</v>
      </c>
      <c r="AO498" s="75">
        <f>PARAM!$C$26+MAX($G$12-CHOOSE(PARAM!$B$44,MAX(0,AP497*$F$1),0),0)*RATES!$L474/12+$H$12*(PARAM!$D$51/12)*RATES!$N474/100</f>
        <v>109.45833333333333</v>
      </c>
      <c r="AP498" s="16">
        <f t="shared" si="336"/>
        <v>-6933.3104020227047</v>
      </c>
      <c r="AQ498" s="15">
        <f t="shared" si="311"/>
        <v>22.170849845882874</v>
      </c>
      <c r="AR498" s="75">
        <f>AQ498*(1-PARAM!$C$27)*$I$13+(MOD($B498,60)=PARAM!$B$56)*($B498&gt;(60-PARAM!$B$56))*HLOOKUP(($B498+PARAM!$B$56)/12,Loyalty,2)*$F$1*MAX(AT497,0)</f>
        <v>18.557001321003963</v>
      </c>
      <c r="AS498" s="75">
        <f>PARAM!$C$26+MAX($G$13-CHOOSE(PARAM!$B$44,MAX(0,AT497*$F$1),0),0)*RATES!$L474/12+$H$13*(PARAM!$D$51/12)*RATES!$N474/100</f>
        <v>109.45833333333333</v>
      </c>
      <c r="AT498" s="16">
        <f t="shared" si="337"/>
        <v>-6933.3104020227047</v>
      </c>
      <c r="AU498" s="15">
        <f t="shared" si="312"/>
        <v>22.170849845882874</v>
      </c>
      <c r="AV498" s="75">
        <f>AU498*(1-PARAM!$C$27)*$I$14+(MOD($B498,60)=PARAM!$B$56)*($B498&gt;(60-PARAM!$B$56))*HLOOKUP(($B498+PARAM!$B$56)/12,Loyalty,2)*$F$1*MAX(AX497,0)</f>
        <v>18.557001321003963</v>
      </c>
      <c r="AW498" s="75">
        <f>PARAM!$C$26+MAX($G$14-CHOOSE(PARAM!$B$44,MAX(0,AX497*$F$1),0),0)*RATES!$L474/12+$H$14*(PARAM!$D$51/12)*RATES!$N474/100</f>
        <v>109.45833333333333</v>
      </c>
      <c r="AX498" s="16">
        <f t="shared" si="338"/>
        <v>-6933.3104020227047</v>
      </c>
      <c r="AY498" s="15">
        <f t="shared" si="313"/>
        <v>22.170849845882874</v>
      </c>
      <c r="AZ498" s="75">
        <f>AY498*(1-PARAM!$C$27)*$I$15+(MOD($B498,60)=PARAM!$B$56)*($B498&gt;(60-PARAM!$B$56))*HLOOKUP(($B498+PARAM!$B$56)/12,Loyalty,2)*$F$1*MAX(BB497,0)</f>
        <v>18.557001321003963</v>
      </c>
      <c r="BA498" s="75">
        <f>PARAM!$C$26+MAX($G$15-CHOOSE(PARAM!$B$44,MAX(0,BB497*$F$1),0),0)*RATES!$L474/12+$H$15*(PARAM!$D$51/12)*RATES!$N474/100</f>
        <v>109.45833333333333</v>
      </c>
      <c r="BB498" s="16">
        <f t="shared" si="339"/>
        <v>-6933.3104020227047</v>
      </c>
      <c r="BC498" s="15">
        <f t="shared" si="314"/>
        <v>22.170849845882874</v>
      </c>
      <c r="BD498" s="75">
        <f>BC498*(1-PARAM!$C$27)*$I$16+(MOD($B498,60)=PARAM!$B$56)*($B498&gt;(60-PARAM!$B$56))*HLOOKUP(($B498+PARAM!$B$56)/12,Loyalty,2)*$F$1*MAX(BF497,0)</f>
        <v>18.557001321003963</v>
      </c>
      <c r="BE498" s="75">
        <f>PARAM!$C$26+MAX($G$16-CHOOSE(PARAM!$B$44,MAX(0,BF497*$F$1),0),0)*RATES!$L474/12+$H$16*(PARAM!$D$51/12)*RATES!$N474/100</f>
        <v>109.45833333333333</v>
      </c>
      <c r="BF498" s="16">
        <f t="shared" si="340"/>
        <v>-6933.3104020227047</v>
      </c>
      <c r="BG498" s="15">
        <f t="shared" si="315"/>
        <v>22.170849845882874</v>
      </c>
      <c r="BH498" s="75">
        <f>BG498*(1-PARAM!$C$27)*$I$17+(MOD($B498,60)=PARAM!$B$56)*($B498&gt;(60-PARAM!$B$56))*HLOOKUP(($B498+PARAM!$B$56)/12,Loyalty,2)*$F$1*MAX(BJ497,0)</f>
        <v>18.557001321003963</v>
      </c>
      <c r="BI498" s="75">
        <f>PARAM!$C$26+MAX($G$17-CHOOSE(PARAM!$B$44,MAX(0,BJ497*$F$1),0),0)*RATES!$L474/12+$H$17*(PARAM!$D$51/12)*RATES!$N474/100</f>
        <v>109.45833333333333</v>
      </c>
      <c r="BJ498" s="16">
        <f t="shared" si="341"/>
        <v>-6933.3104020227047</v>
      </c>
      <c r="BK498" s="15">
        <f t="shared" si="316"/>
        <v>22.170849845882874</v>
      </c>
      <c r="BL498" s="75">
        <f>BK498*(1-PARAM!$C$27)*$I$18+(MOD($B498,60)=PARAM!$B$56)*($B498&gt;(60-PARAM!$B$56))*HLOOKUP(($B498+PARAM!$B$56)/12,Loyalty,2)*$F$1*MAX(BN497,0)</f>
        <v>18.557001321003963</v>
      </c>
      <c r="BM498" s="75">
        <f>PARAM!$C$26+MAX($G$18-CHOOSE(PARAM!$B$44,MAX(0,BN497*$F$1),0),0)*RATES!$L474/12+$H$18*(PARAM!$D$51/12)*RATES!$N474/100</f>
        <v>109.45833333333333</v>
      </c>
      <c r="BN498" s="16">
        <f t="shared" si="342"/>
        <v>-6933.3104020227047</v>
      </c>
      <c r="BO498" s="15">
        <f t="shared" si="317"/>
        <v>22.170849845882874</v>
      </c>
      <c r="BP498" s="75">
        <f>BO498*(1-PARAM!$C$27)*$I$19+(MOD($B498,60)=PARAM!$B$56)*($B498&gt;(60-PARAM!$B$56))*HLOOKUP(($B498+PARAM!$B$56)/12,Loyalty,2)*$F$1*MAX(BR497,0)</f>
        <v>18.557001321003963</v>
      </c>
      <c r="BQ498" s="75">
        <f>PARAM!$C$26+MAX($G$19-CHOOSE(PARAM!$B$44,MAX(0,BR497*$F$1),0),0)*RATES!$L474/12+$H$19*(PARAM!$D$51/12)*RATES!$N474/100</f>
        <v>109.45833333333333</v>
      </c>
      <c r="BR498" s="16">
        <f t="shared" si="343"/>
        <v>-6933.3104020227047</v>
      </c>
      <c r="BS498" s="15">
        <f t="shared" si="318"/>
        <v>22.170849845882874</v>
      </c>
      <c r="BT498" s="75">
        <f>BS498*(1-PARAM!$C$27)*$I$20+(MOD($B498,60)=PARAM!$B$56)*($B498&gt;(60-PARAM!$B$56))*HLOOKUP(($B498+PARAM!$B$56)/12,Loyalty,2)*$F$1*MAX(BV497,0)</f>
        <v>18.557001321003963</v>
      </c>
      <c r="BU498" s="75">
        <f>PARAM!$C$26+MAX($G$20-CHOOSE(PARAM!$B$44,MAX(0,BV497*$F$1),0),0)*RATES!$L474/12+$H$20*(PARAM!$D$51/12)*RATES!$N474/100</f>
        <v>109.45833333333333</v>
      </c>
      <c r="BV498" s="16">
        <f t="shared" si="344"/>
        <v>-6933.3104020227047</v>
      </c>
      <c r="BW498" s="15">
        <f t="shared" si="319"/>
        <v>22.170849845882874</v>
      </c>
      <c r="BX498" s="75">
        <f>BW498*(1-PARAM!$C$27)*$I$21+(MOD($B498,60)=PARAM!$B$56)*($B498&gt;(60-PARAM!$B$56))*HLOOKUP(($B498+PARAM!$B$56)/12,Loyalty,2)*$F$1*MAX(BZ497,0)</f>
        <v>18.557001321003963</v>
      </c>
      <c r="BY498" s="75">
        <f>PARAM!$C$26+MAX($G$21-CHOOSE(PARAM!$B$44,MAX(0,BZ497*$F$1),0),0)*RATES!$L474/12+$H$21*(PARAM!$D$51/12)*RATES!$N474/100</f>
        <v>109.45833333333333</v>
      </c>
      <c r="BZ498" s="16">
        <f t="shared" si="345"/>
        <v>-6933.3104020227047</v>
      </c>
      <c r="CA498" s="15">
        <f t="shared" si="320"/>
        <v>22.170849845882874</v>
      </c>
      <c r="CB498" s="75">
        <f>CA498*(1-PARAM!$C$27)*$I$22+(MOD($B498,60)=PARAM!$B$56)*($B498&gt;(60-PARAM!$B$56))*HLOOKUP(($B498+PARAM!$B$56)/12,Loyalty,2)*$F$1*MAX(CD497,0)</f>
        <v>18.557001321003963</v>
      </c>
      <c r="CC498" s="75">
        <f>PARAM!$C$26+MAX($G$22-CHOOSE(PARAM!$B$44,MAX(0,CD497*$F$1),0),0)*RATES!$L474/12+$H$22*(PARAM!$D$51/12)*RATES!$N474/100</f>
        <v>109.45833333333333</v>
      </c>
      <c r="CD498" s="16">
        <f t="shared" si="346"/>
        <v>-6933.3104020227047</v>
      </c>
      <c r="CE498" s="33">
        <f>IF(0=MOD(B498,12/PARAM!$D$51),1,0)</f>
        <v>1</v>
      </c>
      <c r="CF498" s="15">
        <f t="shared" si="321"/>
        <v>0</v>
      </c>
      <c r="CG498" s="75">
        <f>CF498*(1-PARAM!$C$27)*$R$3+(MOD($B498/12,5)=0)*($B498&gt;60)*HLOOKUP($B498/12,Loyalty,2)*$F$1*MAX(CI497,0)</f>
        <v>0</v>
      </c>
      <c r="CH498" s="75">
        <f>PARAM!$C$26+MAX($P$3-CHOOSE(PARAM!$B$44,MAX(0,CI497*$F$1),0),0)*RATES!$L474/12+$Q$3*(PARAM!$D$51/12)*RATES!$N474/100</f>
        <v>109.45833333333333</v>
      </c>
      <c r="CI498" s="16">
        <f>IF(CI497&gt;0,CI497*PARAM!$C$53,CI497)+CG498-CH498</f>
        <v>-15554.083333333319</v>
      </c>
      <c r="CJ498" s="15">
        <f t="shared" si="347"/>
        <v>0</v>
      </c>
      <c r="CK498" s="75">
        <f>CJ498*(1-PARAM!$C$27)*$R$4+(MOD($B498/12,5)=0)*($B498&gt;60)*HLOOKUP($B498/12,Loyalty,2)*$F$1*MAX(CM497,0)</f>
        <v>0</v>
      </c>
      <c r="CL498" s="75">
        <f>PARAM!$C$26+MAX($P$4-CHOOSE(PARAM!$B$44,MAX(0,CM497*$F$1),0),0)*RATES!$L474/12+$Q$4*(PARAM!$D$51/12)*RATES!$N474/100</f>
        <v>109.45833333333333</v>
      </c>
      <c r="CM498" s="16">
        <f>IF(CM497&gt;0,CM497*PARAM!$C$53,CM497)+CK498-CL498</f>
        <v>-15554.083333333319</v>
      </c>
      <c r="CO498" s="176"/>
    </row>
    <row r="499" spans="1:93" x14ac:dyDescent="0.2">
      <c r="A499" t="b">
        <f t="shared" si="322"/>
        <v>0</v>
      </c>
      <c r="B499" s="33">
        <v>472</v>
      </c>
      <c r="C499" s="15">
        <f t="shared" si="323"/>
        <v>20.081305947392778</v>
      </c>
      <c r="D499" s="75">
        <f>C499*(1-PARAM!$C$27)*$I$3+(MOD($B499,60)=PARAM!$B$56)*($B499&gt;(60-PARAM!$B$56))*HLOOKUP(($B499+PARAM!$B$56)/12,Loyalty,2)*$F$1*MAX(F498,0)</f>
        <v>16.808053077967756</v>
      </c>
      <c r="E499" s="75">
        <f>PARAM!$C$26+MAX($G$3-CHOOSE(PARAM!$B$44,MAX(0,F498*$F$1),0),0)*RATES!$L475/12+$H$3*(PARAM!$D$51/12)*RATES!$N475/100</f>
        <v>109.45833333333333</v>
      </c>
      <c r="F499" s="16">
        <f t="shared" si="324"/>
        <v>-7886.5658052696172</v>
      </c>
      <c r="G499" s="15">
        <f t="shared" si="325"/>
        <v>22.035289406060361</v>
      </c>
      <c r="H499" s="75">
        <f>G499*(1-PARAM!$C$27)*$I$4+(MOD($B499,60)=PARAM!$B$56)*($B499&gt;(60-PARAM!$B$56))*HLOOKUP(($B499+PARAM!$B$56)/12,Loyalty,2)*$F$1*MAX(J498,0)</f>
        <v>18.443537232872522</v>
      </c>
      <c r="I499" s="75">
        <f>PARAM!$C$26+MAX($G$4-CHOOSE(PARAM!$B$44,MAX(0,J498*$F$1),0),0)*RATES!$L475/12+$H$4*(PARAM!$D$51/12)*RATES!$N475/100</f>
        <v>109.45833333333333</v>
      </c>
      <c r="J499" s="16">
        <f t="shared" si="326"/>
        <v>-7080.7843200328516</v>
      </c>
      <c r="K499" s="15">
        <f t="shared" si="327"/>
        <v>22.170849845882874</v>
      </c>
      <c r="L499" s="75">
        <f>K499*(1-PARAM!$C$27)*$I$5+(MOD($B499,60)=PARAM!$B$56)*($B499&gt;(60-PARAM!$B$56))*HLOOKUP(($B499+PARAM!$B$56)/12,Loyalty,2)*$F$1*MAX(N498,0)</f>
        <v>18.557001321003963</v>
      </c>
      <c r="M499" s="75">
        <f>PARAM!$C$26+MAX($G$5-CHOOSE(PARAM!$B$44,MAX(0,N498*$F$1),0),0)*RATES!$L475/12+$H$5*(PARAM!$D$51/12)*RATES!$N475/100</f>
        <v>109.45833333333333</v>
      </c>
      <c r="N499" s="16">
        <f t="shared" si="328"/>
        <v>-7024.2117340350342</v>
      </c>
      <c r="O499" s="15">
        <f t="shared" si="329"/>
        <v>22.170849845882874</v>
      </c>
      <c r="P499" s="75">
        <f>O499*(1-PARAM!$C$27)*$I$6+(MOD($B499,60)=PARAM!$B$56)*($B499&gt;(60-PARAM!$B$56))*HLOOKUP(($B499+PARAM!$B$56)/12,Loyalty,2)*$F$1*MAX(R498,0)</f>
        <v>18.557001321003963</v>
      </c>
      <c r="Q499" s="75">
        <f>PARAM!$C$26+MAX($G$6-CHOOSE(PARAM!$B$44,MAX(0,R498*$F$1),0),0)*RATES!$L475/12+$H$6*(PARAM!$D$51/12)*RATES!$N475/100</f>
        <v>109.45833333333333</v>
      </c>
      <c r="R499" s="16">
        <f t="shared" si="330"/>
        <v>-7024.2117340350342</v>
      </c>
      <c r="S499" s="15">
        <f t="shared" si="305"/>
        <v>22.170849845882874</v>
      </c>
      <c r="T499" s="75">
        <f>S499*(1-PARAM!$C$27)*$I$7+(MOD($B499,60)=PARAM!$B$56)*($B499&gt;(60-PARAM!$B$56))*HLOOKUP(($B499+PARAM!$B$56)/12,Loyalty,2)*$F$1*MAX(V498,0)</f>
        <v>18.557001321003963</v>
      </c>
      <c r="U499" s="75">
        <f>PARAM!$C$26+MAX($G$7-CHOOSE(PARAM!$B$44,MAX(0,V498*$F$1),0),0)*RATES!$L475/12+$H$7*(PARAM!$D$51/12)*RATES!$N475/100</f>
        <v>109.45833333333333</v>
      </c>
      <c r="V499" s="16">
        <f t="shared" si="331"/>
        <v>-7024.2117340350342</v>
      </c>
      <c r="W499" s="15">
        <f t="shared" si="306"/>
        <v>22.170849845882874</v>
      </c>
      <c r="X499" s="75">
        <f>W499*(1-PARAM!$C$27)*$I$8+(MOD($B499,60)=PARAM!$B$56)*($B499&gt;(60-PARAM!$B$56))*HLOOKUP(($B499+PARAM!$B$56)/12,Loyalty,2)*$F$1*MAX(Z498,0)</f>
        <v>18.557001321003963</v>
      </c>
      <c r="Y499" s="75">
        <f>PARAM!$C$26+MAX($G$8-CHOOSE(PARAM!$B$44,MAX(0,Z498*$F$1),0),0)*RATES!$L475/12+$H$8*(PARAM!$D$51/12)*RATES!$N475/100</f>
        <v>109.45833333333333</v>
      </c>
      <c r="Z499" s="16">
        <f t="shared" si="332"/>
        <v>-7024.2117340350342</v>
      </c>
      <c r="AA499" s="15">
        <f t="shared" si="307"/>
        <v>22.170849845882874</v>
      </c>
      <c r="AB499" s="75">
        <f>AA499*(1-PARAM!$C$27)*$I$9+(MOD($B499,60)=PARAM!$B$56)*($B499&gt;(60-PARAM!$B$56))*HLOOKUP(($B499+PARAM!$B$56)/12,Loyalty,2)*$F$1*MAX(AD498,0)</f>
        <v>18.557001321003963</v>
      </c>
      <c r="AC499" s="75">
        <f>PARAM!$C$26+MAX($G$9-CHOOSE(PARAM!$B$44,MAX(0,AD498*$F$1),0),0)*RATES!$L475/12+$H$9*(PARAM!$D$51/12)*RATES!$N475/100</f>
        <v>109.45833333333333</v>
      </c>
      <c r="AD499" s="16">
        <f t="shared" si="333"/>
        <v>-7024.2117340350342</v>
      </c>
      <c r="AE499" s="15">
        <f t="shared" si="308"/>
        <v>22.170849845882874</v>
      </c>
      <c r="AF499" s="75">
        <f>AE499*(1-PARAM!$C$27)*$I$10+(MOD($B499,60)=PARAM!$B$56)*($B499&gt;(60-PARAM!$B$56))*HLOOKUP(($B499+PARAM!$B$56)/12,Loyalty,2)*$F$1*MAX(AH498,0)</f>
        <v>18.557001321003963</v>
      </c>
      <c r="AG499" s="75">
        <f>PARAM!$C$26+MAX($G$10-CHOOSE(PARAM!$B$44,MAX(0,AH498*$F$1),0),0)*RATES!$L475/12+$H$10*(PARAM!$D$51/12)*RATES!$N475/100</f>
        <v>109.45833333333333</v>
      </c>
      <c r="AH499" s="16">
        <f t="shared" si="334"/>
        <v>-7024.2117340350342</v>
      </c>
      <c r="AI499" s="15">
        <f t="shared" si="309"/>
        <v>22.170849845882874</v>
      </c>
      <c r="AJ499" s="75">
        <f>AI499*(1-PARAM!$C$27)*$I$11+(MOD($B499,60)=PARAM!$B$56)*($B499&gt;(60-PARAM!$B$56))*HLOOKUP(($B499+PARAM!$B$56)/12,Loyalty,2)*$F$1*MAX(AL498,0)</f>
        <v>18.557001321003963</v>
      </c>
      <c r="AK499" s="75">
        <f>PARAM!$C$26+MAX($G$11-CHOOSE(PARAM!$B$44,MAX(0,AL498*$F$1),0),0)*RATES!$L475/12+$H$11*(PARAM!$D$51/12)*RATES!$N475/100</f>
        <v>109.45833333333333</v>
      </c>
      <c r="AL499" s="16">
        <f t="shared" si="335"/>
        <v>-7024.2117340350342</v>
      </c>
      <c r="AM499" s="15">
        <f t="shared" si="310"/>
        <v>22.170849845882874</v>
      </c>
      <c r="AN499" s="75">
        <f>AM499*(1-PARAM!$C$27)*$I$12+(MOD($B499,60)=PARAM!$B$56)*($B499&gt;(60-PARAM!$B$56))*HLOOKUP(($B499+PARAM!$B$56)/12,Loyalty,2)*$F$1*MAX(AP498,0)</f>
        <v>18.557001321003963</v>
      </c>
      <c r="AO499" s="75">
        <f>PARAM!$C$26+MAX($G$12-CHOOSE(PARAM!$B$44,MAX(0,AP498*$F$1),0),0)*RATES!$L475/12+$H$12*(PARAM!$D$51/12)*RATES!$N475/100</f>
        <v>109.45833333333333</v>
      </c>
      <c r="AP499" s="16">
        <f t="shared" si="336"/>
        <v>-7024.2117340350342</v>
      </c>
      <c r="AQ499" s="15">
        <f t="shared" si="311"/>
        <v>22.170849845882874</v>
      </c>
      <c r="AR499" s="75">
        <f>AQ499*(1-PARAM!$C$27)*$I$13+(MOD($B499,60)=PARAM!$B$56)*($B499&gt;(60-PARAM!$B$56))*HLOOKUP(($B499+PARAM!$B$56)/12,Loyalty,2)*$F$1*MAX(AT498,0)</f>
        <v>18.557001321003963</v>
      </c>
      <c r="AS499" s="75">
        <f>PARAM!$C$26+MAX($G$13-CHOOSE(PARAM!$B$44,MAX(0,AT498*$F$1),0),0)*RATES!$L475/12+$H$13*(PARAM!$D$51/12)*RATES!$N475/100</f>
        <v>109.45833333333333</v>
      </c>
      <c r="AT499" s="16">
        <f t="shared" si="337"/>
        <v>-7024.2117340350342</v>
      </c>
      <c r="AU499" s="15">
        <f t="shared" si="312"/>
        <v>22.170849845882874</v>
      </c>
      <c r="AV499" s="75">
        <f>AU499*(1-PARAM!$C$27)*$I$14+(MOD($B499,60)=PARAM!$B$56)*($B499&gt;(60-PARAM!$B$56))*HLOOKUP(($B499+PARAM!$B$56)/12,Loyalty,2)*$F$1*MAX(AX498,0)</f>
        <v>18.557001321003963</v>
      </c>
      <c r="AW499" s="75">
        <f>PARAM!$C$26+MAX($G$14-CHOOSE(PARAM!$B$44,MAX(0,AX498*$F$1),0),0)*RATES!$L475/12+$H$14*(PARAM!$D$51/12)*RATES!$N475/100</f>
        <v>109.45833333333333</v>
      </c>
      <c r="AX499" s="16">
        <f t="shared" si="338"/>
        <v>-7024.2117340350342</v>
      </c>
      <c r="AY499" s="15">
        <f t="shared" si="313"/>
        <v>22.170849845882874</v>
      </c>
      <c r="AZ499" s="75">
        <f>AY499*(1-PARAM!$C$27)*$I$15+(MOD($B499,60)=PARAM!$B$56)*($B499&gt;(60-PARAM!$B$56))*HLOOKUP(($B499+PARAM!$B$56)/12,Loyalty,2)*$F$1*MAX(BB498,0)</f>
        <v>18.557001321003963</v>
      </c>
      <c r="BA499" s="75">
        <f>PARAM!$C$26+MAX($G$15-CHOOSE(PARAM!$B$44,MAX(0,BB498*$F$1),0),0)*RATES!$L475/12+$H$15*(PARAM!$D$51/12)*RATES!$N475/100</f>
        <v>109.45833333333333</v>
      </c>
      <c r="BB499" s="16">
        <f t="shared" si="339"/>
        <v>-7024.2117340350342</v>
      </c>
      <c r="BC499" s="15">
        <f t="shared" si="314"/>
        <v>22.170849845882874</v>
      </c>
      <c r="BD499" s="75">
        <f>BC499*(1-PARAM!$C$27)*$I$16+(MOD($B499,60)=PARAM!$B$56)*($B499&gt;(60-PARAM!$B$56))*HLOOKUP(($B499+PARAM!$B$56)/12,Loyalty,2)*$F$1*MAX(BF498,0)</f>
        <v>18.557001321003963</v>
      </c>
      <c r="BE499" s="75">
        <f>PARAM!$C$26+MAX($G$16-CHOOSE(PARAM!$B$44,MAX(0,BF498*$F$1),0),0)*RATES!$L475/12+$H$16*(PARAM!$D$51/12)*RATES!$N475/100</f>
        <v>109.45833333333333</v>
      </c>
      <c r="BF499" s="16">
        <f t="shared" si="340"/>
        <v>-7024.2117340350342</v>
      </c>
      <c r="BG499" s="15">
        <f t="shared" si="315"/>
        <v>22.170849845882874</v>
      </c>
      <c r="BH499" s="75">
        <f>BG499*(1-PARAM!$C$27)*$I$17+(MOD($B499,60)=PARAM!$B$56)*($B499&gt;(60-PARAM!$B$56))*HLOOKUP(($B499+PARAM!$B$56)/12,Loyalty,2)*$F$1*MAX(BJ498,0)</f>
        <v>18.557001321003963</v>
      </c>
      <c r="BI499" s="75">
        <f>PARAM!$C$26+MAX($G$17-CHOOSE(PARAM!$B$44,MAX(0,BJ498*$F$1),0),0)*RATES!$L475/12+$H$17*(PARAM!$D$51/12)*RATES!$N475/100</f>
        <v>109.45833333333333</v>
      </c>
      <c r="BJ499" s="16">
        <f t="shared" si="341"/>
        <v>-7024.2117340350342</v>
      </c>
      <c r="BK499" s="15">
        <f t="shared" si="316"/>
        <v>22.170849845882874</v>
      </c>
      <c r="BL499" s="75">
        <f>BK499*(1-PARAM!$C$27)*$I$18+(MOD($B499,60)=PARAM!$B$56)*($B499&gt;(60-PARAM!$B$56))*HLOOKUP(($B499+PARAM!$B$56)/12,Loyalty,2)*$F$1*MAX(BN498,0)</f>
        <v>18.557001321003963</v>
      </c>
      <c r="BM499" s="75">
        <f>PARAM!$C$26+MAX($G$18-CHOOSE(PARAM!$B$44,MAX(0,BN498*$F$1),0),0)*RATES!$L475/12+$H$18*(PARAM!$D$51/12)*RATES!$N475/100</f>
        <v>109.45833333333333</v>
      </c>
      <c r="BN499" s="16">
        <f t="shared" si="342"/>
        <v>-7024.2117340350342</v>
      </c>
      <c r="BO499" s="15">
        <f t="shared" si="317"/>
        <v>22.170849845882874</v>
      </c>
      <c r="BP499" s="75">
        <f>BO499*(1-PARAM!$C$27)*$I$19+(MOD($B499,60)=PARAM!$B$56)*($B499&gt;(60-PARAM!$B$56))*HLOOKUP(($B499+PARAM!$B$56)/12,Loyalty,2)*$F$1*MAX(BR498,0)</f>
        <v>18.557001321003963</v>
      </c>
      <c r="BQ499" s="75">
        <f>PARAM!$C$26+MAX($G$19-CHOOSE(PARAM!$B$44,MAX(0,BR498*$F$1),0),0)*RATES!$L475/12+$H$19*(PARAM!$D$51/12)*RATES!$N475/100</f>
        <v>109.45833333333333</v>
      </c>
      <c r="BR499" s="16">
        <f t="shared" si="343"/>
        <v>-7024.2117340350342</v>
      </c>
      <c r="BS499" s="15">
        <f t="shared" si="318"/>
        <v>22.170849845882874</v>
      </c>
      <c r="BT499" s="75">
        <f>BS499*(1-PARAM!$C$27)*$I$20+(MOD($B499,60)=PARAM!$B$56)*($B499&gt;(60-PARAM!$B$56))*HLOOKUP(($B499+PARAM!$B$56)/12,Loyalty,2)*$F$1*MAX(BV498,0)</f>
        <v>18.557001321003963</v>
      </c>
      <c r="BU499" s="75">
        <f>PARAM!$C$26+MAX($G$20-CHOOSE(PARAM!$B$44,MAX(0,BV498*$F$1),0),0)*RATES!$L475/12+$H$20*(PARAM!$D$51/12)*RATES!$N475/100</f>
        <v>109.45833333333333</v>
      </c>
      <c r="BV499" s="16">
        <f t="shared" si="344"/>
        <v>-7024.2117340350342</v>
      </c>
      <c r="BW499" s="15">
        <f t="shared" si="319"/>
        <v>22.170849845882874</v>
      </c>
      <c r="BX499" s="75">
        <f>BW499*(1-PARAM!$C$27)*$I$21+(MOD($B499,60)=PARAM!$B$56)*($B499&gt;(60-PARAM!$B$56))*HLOOKUP(($B499+PARAM!$B$56)/12,Loyalty,2)*$F$1*MAX(BZ498,0)</f>
        <v>18.557001321003963</v>
      </c>
      <c r="BY499" s="75">
        <f>PARAM!$C$26+MAX($G$21-CHOOSE(PARAM!$B$44,MAX(0,BZ498*$F$1),0),0)*RATES!$L475/12+$H$21*(PARAM!$D$51/12)*RATES!$N475/100</f>
        <v>109.45833333333333</v>
      </c>
      <c r="BZ499" s="16">
        <f t="shared" si="345"/>
        <v>-7024.2117340350342</v>
      </c>
      <c r="CA499" s="15">
        <f t="shared" si="320"/>
        <v>22.170849845882874</v>
      </c>
      <c r="CB499" s="75">
        <f>CA499*(1-PARAM!$C$27)*$I$22+(MOD($B499,60)=PARAM!$B$56)*($B499&gt;(60-PARAM!$B$56))*HLOOKUP(($B499+PARAM!$B$56)/12,Loyalty,2)*$F$1*MAX(CD498,0)</f>
        <v>18.557001321003963</v>
      </c>
      <c r="CC499" s="75">
        <f>PARAM!$C$26+MAX($G$22-CHOOSE(PARAM!$B$44,MAX(0,CD498*$F$1),0),0)*RATES!$L475/12+$H$22*(PARAM!$D$51/12)*RATES!$N475/100</f>
        <v>109.45833333333333</v>
      </c>
      <c r="CD499" s="16">
        <f t="shared" si="346"/>
        <v>-7024.2117340350342</v>
      </c>
      <c r="CE499" s="33">
        <f>IF(0=MOD(B499,12/PARAM!$D$51),1,0)</f>
        <v>1</v>
      </c>
      <c r="CF499" s="15">
        <f t="shared" si="321"/>
        <v>0</v>
      </c>
      <c r="CG499" s="75">
        <f>CF499*(1-PARAM!$C$27)*$R$3+(MOD($B499/12,5)=0)*($B499&gt;60)*HLOOKUP($B499/12,Loyalty,2)*$F$1*MAX(CI498,0)</f>
        <v>0</v>
      </c>
      <c r="CH499" s="75">
        <f>PARAM!$C$26+MAX($P$3-CHOOSE(PARAM!$B$44,MAX(0,CI498*$F$1),0),0)*RATES!$L475/12+$Q$3*(PARAM!$D$51/12)*RATES!$N475/100</f>
        <v>109.45833333333333</v>
      </c>
      <c r="CI499" s="16">
        <f>IF(CI498&gt;0,CI498*PARAM!$C$53,CI498)+CG499-CH499</f>
        <v>-15663.541666666653</v>
      </c>
      <c r="CJ499" s="15">
        <f t="shared" si="347"/>
        <v>0</v>
      </c>
      <c r="CK499" s="75">
        <f>CJ499*(1-PARAM!$C$27)*$R$4+(MOD($B499/12,5)=0)*($B499&gt;60)*HLOOKUP($B499/12,Loyalty,2)*$F$1*MAX(CM498,0)</f>
        <v>0</v>
      </c>
      <c r="CL499" s="75">
        <f>PARAM!$C$26+MAX($P$4-CHOOSE(PARAM!$B$44,MAX(0,CM498*$F$1),0),0)*RATES!$L475/12+$Q$4*(PARAM!$D$51/12)*RATES!$N475/100</f>
        <v>109.45833333333333</v>
      </c>
      <c r="CM499" s="16">
        <f>IF(CM498&gt;0,CM498*PARAM!$C$53,CM498)+CK499-CL499</f>
        <v>-15663.541666666653</v>
      </c>
      <c r="CO499" s="176"/>
    </row>
    <row r="500" spans="1:93" x14ac:dyDescent="0.2">
      <c r="A500" t="b">
        <f t="shared" si="322"/>
        <v>0</v>
      </c>
      <c r="B500" s="33">
        <v>473</v>
      </c>
      <c r="C500" s="15">
        <f t="shared" si="323"/>
        <v>20.081305947392778</v>
      </c>
      <c r="D500" s="75">
        <f>C500*(1-PARAM!$C$27)*$I$3+(MOD($B500,60)=PARAM!$B$56)*($B500&gt;(60-PARAM!$B$56))*HLOOKUP(($B500+PARAM!$B$56)/12,Loyalty,2)*$F$1*MAX(F499,0)</f>
        <v>16.808053077967756</v>
      </c>
      <c r="E500" s="75">
        <f>PARAM!$C$26+MAX($G$3-CHOOSE(PARAM!$B$44,MAX(0,F499*$F$1),0),0)*RATES!$L476/12+$H$3*(PARAM!$D$51/12)*RATES!$N476/100</f>
        <v>109.45833333333333</v>
      </c>
      <c r="F500" s="16">
        <f t="shared" si="324"/>
        <v>-7979.2160855249822</v>
      </c>
      <c r="G500" s="15">
        <f t="shared" si="325"/>
        <v>22.035289406060361</v>
      </c>
      <c r="H500" s="75">
        <f>G500*(1-PARAM!$C$27)*$I$4+(MOD($B500,60)=PARAM!$B$56)*($B500&gt;(60-PARAM!$B$56))*HLOOKUP(($B500+PARAM!$B$56)/12,Loyalty,2)*$F$1*MAX(J499,0)</f>
        <v>18.443537232872522</v>
      </c>
      <c r="I500" s="75">
        <f>PARAM!$C$26+MAX($G$4-CHOOSE(PARAM!$B$44,MAX(0,J499*$F$1),0),0)*RATES!$L476/12+$H$4*(PARAM!$D$51/12)*RATES!$N476/100</f>
        <v>109.45833333333333</v>
      </c>
      <c r="J500" s="16">
        <f t="shared" si="326"/>
        <v>-7171.7991161333121</v>
      </c>
      <c r="K500" s="15">
        <f t="shared" si="327"/>
        <v>22.170849845882874</v>
      </c>
      <c r="L500" s="75">
        <f>K500*(1-PARAM!$C$27)*$I$5+(MOD($B500,60)=PARAM!$B$56)*($B500&gt;(60-PARAM!$B$56))*HLOOKUP(($B500+PARAM!$B$56)/12,Loyalty,2)*$F$1*MAX(N499,0)</f>
        <v>18.557001321003963</v>
      </c>
      <c r="M500" s="75">
        <f>PARAM!$C$26+MAX($G$5-CHOOSE(PARAM!$B$44,MAX(0,N499*$F$1),0),0)*RATES!$L476/12+$H$5*(PARAM!$D$51/12)*RATES!$N476/100</f>
        <v>109.45833333333333</v>
      </c>
      <c r="N500" s="16">
        <f t="shared" si="328"/>
        <v>-7115.1130660473636</v>
      </c>
      <c r="O500" s="15">
        <f t="shared" si="329"/>
        <v>22.170849845882874</v>
      </c>
      <c r="P500" s="75">
        <f>O500*(1-PARAM!$C$27)*$I$6+(MOD($B500,60)=PARAM!$B$56)*($B500&gt;(60-PARAM!$B$56))*HLOOKUP(($B500+PARAM!$B$56)/12,Loyalty,2)*$F$1*MAX(R499,0)</f>
        <v>18.557001321003963</v>
      </c>
      <c r="Q500" s="75">
        <f>PARAM!$C$26+MAX($G$6-CHOOSE(PARAM!$B$44,MAX(0,R499*$F$1),0),0)*RATES!$L476/12+$H$6*(PARAM!$D$51/12)*RATES!$N476/100</f>
        <v>109.45833333333333</v>
      </c>
      <c r="R500" s="16">
        <f t="shared" si="330"/>
        <v>-7115.1130660473636</v>
      </c>
      <c r="S500" s="15">
        <f t="shared" si="305"/>
        <v>22.170849845882874</v>
      </c>
      <c r="T500" s="75">
        <f>S500*(1-PARAM!$C$27)*$I$7+(MOD($B500,60)=PARAM!$B$56)*($B500&gt;(60-PARAM!$B$56))*HLOOKUP(($B500+PARAM!$B$56)/12,Loyalty,2)*$F$1*MAX(V499,0)</f>
        <v>18.557001321003963</v>
      </c>
      <c r="U500" s="75">
        <f>PARAM!$C$26+MAX($G$7-CHOOSE(PARAM!$B$44,MAX(0,V499*$F$1),0),0)*RATES!$L476/12+$H$7*(PARAM!$D$51/12)*RATES!$N476/100</f>
        <v>109.45833333333333</v>
      </c>
      <c r="V500" s="16">
        <f t="shared" si="331"/>
        <v>-7115.1130660473636</v>
      </c>
      <c r="W500" s="15">
        <f t="shared" si="306"/>
        <v>22.170849845882874</v>
      </c>
      <c r="X500" s="75">
        <f>W500*(1-PARAM!$C$27)*$I$8+(MOD($B500,60)=PARAM!$B$56)*($B500&gt;(60-PARAM!$B$56))*HLOOKUP(($B500+PARAM!$B$56)/12,Loyalty,2)*$F$1*MAX(Z499,0)</f>
        <v>18.557001321003963</v>
      </c>
      <c r="Y500" s="75">
        <f>PARAM!$C$26+MAX($G$8-CHOOSE(PARAM!$B$44,MAX(0,Z499*$F$1),0),0)*RATES!$L476/12+$H$8*(PARAM!$D$51/12)*RATES!$N476/100</f>
        <v>109.45833333333333</v>
      </c>
      <c r="Z500" s="16">
        <f t="shared" si="332"/>
        <v>-7115.1130660473636</v>
      </c>
      <c r="AA500" s="15">
        <f t="shared" si="307"/>
        <v>22.170849845882874</v>
      </c>
      <c r="AB500" s="75">
        <f>AA500*(1-PARAM!$C$27)*$I$9+(MOD($B500,60)=PARAM!$B$56)*($B500&gt;(60-PARAM!$B$56))*HLOOKUP(($B500+PARAM!$B$56)/12,Loyalty,2)*$F$1*MAX(AD499,0)</f>
        <v>18.557001321003963</v>
      </c>
      <c r="AC500" s="75">
        <f>PARAM!$C$26+MAX($G$9-CHOOSE(PARAM!$B$44,MAX(0,AD499*$F$1),0),0)*RATES!$L476/12+$H$9*(PARAM!$D$51/12)*RATES!$N476/100</f>
        <v>109.45833333333333</v>
      </c>
      <c r="AD500" s="16">
        <f t="shared" si="333"/>
        <v>-7115.1130660473636</v>
      </c>
      <c r="AE500" s="15">
        <f t="shared" si="308"/>
        <v>22.170849845882874</v>
      </c>
      <c r="AF500" s="75">
        <f>AE500*(1-PARAM!$C$27)*$I$10+(MOD($B500,60)=PARAM!$B$56)*($B500&gt;(60-PARAM!$B$56))*HLOOKUP(($B500+PARAM!$B$56)/12,Loyalty,2)*$F$1*MAX(AH499,0)</f>
        <v>18.557001321003963</v>
      </c>
      <c r="AG500" s="75">
        <f>PARAM!$C$26+MAX($G$10-CHOOSE(PARAM!$B$44,MAX(0,AH499*$F$1),0),0)*RATES!$L476/12+$H$10*(PARAM!$D$51/12)*RATES!$N476/100</f>
        <v>109.45833333333333</v>
      </c>
      <c r="AH500" s="16">
        <f t="shared" si="334"/>
        <v>-7115.1130660473636</v>
      </c>
      <c r="AI500" s="15">
        <f t="shared" si="309"/>
        <v>22.170849845882874</v>
      </c>
      <c r="AJ500" s="75">
        <f>AI500*(1-PARAM!$C$27)*$I$11+(MOD($B500,60)=PARAM!$B$56)*($B500&gt;(60-PARAM!$B$56))*HLOOKUP(($B500+PARAM!$B$56)/12,Loyalty,2)*$F$1*MAX(AL499,0)</f>
        <v>18.557001321003963</v>
      </c>
      <c r="AK500" s="75">
        <f>PARAM!$C$26+MAX($G$11-CHOOSE(PARAM!$B$44,MAX(0,AL499*$F$1),0),0)*RATES!$L476/12+$H$11*(PARAM!$D$51/12)*RATES!$N476/100</f>
        <v>109.45833333333333</v>
      </c>
      <c r="AL500" s="16">
        <f t="shared" si="335"/>
        <v>-7115.1130660473636</v>
      </c>
      <c r="AM500" s="15">
        <f t="shared" si="310"/>
        <v>22.170849845882874</v>
      </c>
      <c r="AN500" s="75">
        <f>AM500*(1-PARAM!$C$27)*$I$12+(MOD($B500,60)=PARAM!$B$56)*($B500&gt;(60-PARAM!$B$56))*HLOOKUP(($B500+PARAM!$B$56)/12,Loyalty,2)*$F$1*MAX(AP499,0)</f>
        <v>18.557001321003963</v>
      </c>
      <c r="AO500" s="75">
        <f>PARAM!$C$26+MAX($G$12-CHOOSE(PARAM!$B$44,MAX(0,AP499*$F$1),0),0)*RATES!$L476/12+$H$12*(PARAM!$D$51/12)*RATES!$N476/100</f>
        <v>109.45833333333333</v>
      </c>
      <c r="AP500" s="16">
        <f t="shared" si="336"/>
        <v>-7115.1130660473636</v>
      </c>
      <c r="AQ500" s="15">
        <f t="shared" si="311"/>
        <v>22.170849845882874</v>
      </c>
      <c r="AR500" s="75">
        <f>AQ500*(1-PARAM!$C$27)*$I$13+(MOD($B500,60)=PARAM!$B$56)*($B500&gt;(60-PARAM!$B$56))*HLOOKUP(($B500+PARAM!$B$56)/12,Loyalty,2)*$F$1*MAX(AT499,0)</f>
        <v>18.557001321003963</v>
      </c>
      <c r="AS500" s="75">
        <f>PARAM!$C$26+MAX($G$13-CHOOSE(PARAM!$B$44,MAX(0,AT499*$F$1),0),0)*RATES!$L476/12+$H$13*(PARAM!$D$51/12)*RATES!$N476/100</f>
        <v>109.45833333333333</v>
      </c>
      <c r="AT500" s="16">
        <f t="shared" si="337"/>
        <v>-7115.1130660473636</v>
      </c>
      <c r="AU500" s="15">
        <f t="shared" si="312"/>
        <v>22.170849845882874</v>
      </c>
      <c r="AV500" s="75">
        <f>AU500*(1-PARAM!$C$27)*$I$14+(MOD($B500,60)=PARAM!$B$56)*($B500&gt;(60-PARAM!$B$56))*HLOOKUP(($B500+PARAM!$B$56)/12,Loyalty,2)*$F$1*MAX(AX499,0)</f>
        <v>18.557001321003963</v>
      </c>
      <c r="AW500" s="75">
        <f>PARAM!$C$26+MAX($G$14-CHOOSE(PARAM!$B$44,MAX(0,AX499*$F$1),0),0)*RATES!$L476/12+$H$14*(PARAM!$D$51/12)*RATES!$N476/100</f>
        <v>109.45833333333333</v>
      </c>
      <c r="AX500" s="16">
        <f t="shared" si="338"/>
        <v>-7115.1130660473636</v>
      </c>
      <c r="AY500" s="15">
        <f t="shared" si="313"/>
        <v>22.170849845882874</v>
      </c>
      <c r="AZ500" s="75">
        <f>AY500*(1-PARAM!$C$27)*$I$15+(MOD($B500,60)=PARAM!$B$56)*($B500&gt;(60-PARAM!$B$56))*HLOOKUP(($B500+PARAM!$B$56)/12,Loyalty,2)*$F$1*MAX(BB499,0)</f>
        <v>18.557001321003963</v>
      </c>
      <c r="BA500" s="75">
        <f>PARAM!$C$26+MAX($G$15-CHOOSE(PARAM!$B$44,MAX(0,BB499*$F$1),0),0)*RATES!$L476/12+$H$15*(PARAM!$D$51/12)*RATES!$N476/100</f>
        <v>109.45833333333333</v>
      </c>
      <c r="BB500" s="16">
        <f t="shared" si="339"/>
        <v>-7115.1130660473636</v>
      </c>
      <c r="BC500" s="15">
        <f t="shared" si="314"/>
        <v>22.170849845882874</v>
      </c>
      <c r="BD500" s="75">
        <f>BC500*(1-PARAM!$C$27)*$I$16+(MOD($B500,60)=PARAM!$B$56)*($B500&gt;(60-PARAM!$B$56))*HLOOKUP(($B500+PARAM!$B$56)/12,Loyalty,2)*$F$1*MAX(BF499,0)</f>
        <v>18.557001321003963</v>
      </c>
      <c r="BE500" s="75">
        <f>PARAM!$C$26+MAX($G$16-CHOOSE(PARAM!$B$44,MAX(0,BF499*$F$1),0),0)*RATES!$L476/12+$H$16*(PARAM!$D$51/12)*RATES!$N476/100</f>
        <v>109.45833333333333</v>
      </c>
      <c r="BF500" s="16">
        <f t="shared" si="340"/>
        <v>-7115.1130660473636</v>
      </c>
      <c r="BG500" s="15">
        <f t="shared" si="315"/>
        <v>22.170849845882874</v>
      </c>
      <c r="BH500" s="75">
        <f>BG500*(1-PARAM!$C$27)*$I$17+(MOD($B500,60)=PARAM!$B$56)*($B500&gt;(60-PARAM!$B$56))*HLOOKUP(($B500+PARAM!$B$56)/12,Loyalty,2)*$F$1*MAX(BJ499,0)</f>
        <v>18.557001321003963</v>
      </c>
      <c r="BI500" s="75">
        <f>PARAM!$C$26+MAX($G$17-CHOOSE(PARAM!$B$44,MAX(0,BJ499*$F$1),0),0)*RATES!$L476/12+$H$17*(PARAM!$D$51/12)*RATES!$N476/100</f>
        <v>109.45833333333333</v>
      </c>
      <c r="BJ500" s="16">
        <f t="shared" si="341"/>
        <v>-7115.1130660473636</v>
      </c>
      <c r="BK500" s="15">
        <f t="shared" si="316"/>
        <v>22.170849845882874</v>
      </c>
      <c r="BL500" s="75">
        <f>BK500*(1-PARAM!$C$27)*$I$18+(MOD($B500,60)=PARAM!$B$56)*($B500&gt;(60-PARAM!$B$56))*HLOOKUP(($B500+PARAM!$B$56)/12,Loyalty,2)*$F$1*MAX(BN499,0)</f>
        <v>18.557001321003963</v>
      </c>
      <c r="BM500" s="75">
        <f>PARAM!$C$26+MAX($G$18-CHOOSE(PARAM!$B$44,MAX(0,BN499*$F$1),0),0)*RATES!$L476/12+$H$18*(PARAM!$D$51/12)*RATES!$N476/100</f>
        <v>109.45833333333333</v>
      </c>
      <c r="BN500" s="16">
        <f t="shared" si="342"/>
        <v>-7115.1130660473636</v>
      </c>
      <c r="BO500" s="15">
        <f t="shared" si="317"/>
        <v>22.170849845882874</v>
      </c>
      <c r="BP500" s="75">
        <f>BO500*(1-PARAM!$C$27)*$I$19+(MOD($B500,60)=PARAM!$B$56)*($B500&gt;(60-PARAM!$B$56))*HLOOKUP(($B500+PARAM!$B$56)/12,Loyalty,2)*$F$1*MAX(BR499,0)</f>
        <v>18.557001321003963</v>
      </c>
      <c r="BQ500" s="75">
        <f>PARAM!$C$26+MAX($G$19-CHOOSE(PARAM!$B$44,MAX(0,BR499*$F$1),0),0)*RATES!$L476/12+$H$19*(PARAM!$D$51/12)*RATES!$N476/100</f>
        <v>109.45833333333333</v>
      </c>
      <c r="BR500" s="16">
        <f t="shared" si="343"/>
        <v>-7115.1130660473636</v>
      </c>
      <c r="BS500" s="15">
        <f t="shared" si="318"/>
        <v>22.170849845882874</v>
      </c>
      <c r="BT500" s="75">
        <f>BS500*(1-PARAM!$C$27)*$I$20+(MOD($B500,60)=PARAM!$B$56)*($B500&gt;(60-PARAM!$B$56))*HLOOKUP(($B500+PARAM!$B$56)/12,Loyalty,2)*$F$1*MAX(BV499,0)</f>
        <v>18.557001321003963</v>
      </c>
      <c r="BU500" s="75">
        <f>PARAM!$C$26+MAX($G$20-CHOOSE(PARAM!$B$44,MAX(0,BV499*$F$1),0),0)*RATES!$L476/12+$H$20*(PARAM!$D$51/12)*RATES!$N476/100</f>
        <v>109.45833333333333</v>
      </c>
      <c r="BV500" s="16">
        <f t="shared" si="344"/>
        <v>-7115.1130660473636</v>
      </c>
      <c r="BW500" s="15">
        <f t="shared" si="319"/>
        <v>22.170849845882874</v>
      </c>
      <c r="BX500" s="75">
        <f>BW500*(1-PARAM!$C$27)*$I$21+(MOD($B500,60)=PARAM!$B$56)*($B500&gt;(60-PARAM!$B$56))*HLOOKUP(($B500+PARAM!$B$56)/12,Loyalty,2)*$F$1*MAX(BZ499,0)</f>
        <v>18.557001321003963</v>
      </c>
      <c r="BY500" s="75">
        <f>PARAM!$C$26+MAX($G$21-CHOOSE(PARAM!$B$44,MAX(0,BZ499*$F$1),0),0)*RATES!$L476/12+$H$21*(PARAM!$D$51/12)*RATES!$N476/100</f>
        <v>109.45833333333333</v>
      </c>
      <c r="BZ500" s="16">
        <f t="shared" si="345"/>
        <v>-7115.1130660473636</v>
      </c>
      <c r="CA500" s="15">
        <f t="shared" si="320"/>
        <v>22.170849845882874</v>
      </c>
      <c r="CB500" s="75">
        <f>CA500*(1-PARAM!$C$27)*$I$22+(MOD($B500,60)=PARAM!$B$56)*($B500&gt;(60-PARAM!$B$56))*HLOOKUP(($B500+PARAM!$B$56)/12,Loyalty,2)*$F$1*MAX(CD499,0)</f>
        <v>18.557001321003963</v>
      </c>
      <c r="CC500" s="75">
        <f>PARAM!$C$26+MAX($G$22-CHOOSE(PARAM!$B$44,MAX(0,CD499*$F$1),0),0)*RATES!$L476/12+$H$22*(PARAM!$D$51/12)*RATES!$N476/100</f>
        <v>109.45833333333333</v>
      </c>
      <c r="CD500" s="16">
        <f t="shared" si="346"/>
        <v>-7115.1130660473636</v>
      </c>
      <c r="CE500" s="33">
        <f>IF(0=MOD(B500,12/PARAM!$D$51),1,0)</f>
        <v>1</v>
      </c>
      <c r="CF500" s="15">
        <f t="shared" si="321"/>
        <v>0</v>
      </c>
      <c r="CG500" s="75">
        <f>CF500*(1-PARAM!$C$27)*$R$3+(MOD($B500/12,5)=0)*($B500&gt;60)*HLOOKUP($B500/12,Loyalty,2)*$F$1*MAX(CI499,0)</f>
        <v>0</v>
      </c>
      <c r="CH500" s="75">
        <f>PARAM!$C$26+MAX($P$3-CHOOSE(PARAM!$B$44,MAX(0,CI499*$F$1),0),0)*RATES!$L476/12+$Q$3*(PARAM!$D$51/12)*RATES!$N476/100</f>
        <v>109.45833333333333</v>
      </c>
      <c r="CI500" s="16">
        <f>IF(CI499&gt;0,CI499*PARAM!$C$53,CI499)+CG500-CH500</f>
        <v>-15772.999999999987</v>
      </c>
      <c r="CJ500" s="15">
        <f t="shared" si="347"/>
        <v>0</v>
      </c>
      <c r="CK500" s="75">
        <f>CJ500*(1-PARAM!$C$27)*$R$4+(MOD($B500/12,5)=0)*($B500&gt;60)*HLOOKUP($B500/12,Loyalty,2)*$F$1*MAX(CM499,0)</f>
        <v>0</v>
      </c>
      <c r="CL500" s="75">
        <f>PARAM!$C$26+MAX($P$4-CHOOSE(PARAM!$B$44,MAX(0,CM499*$F$1),0),0)*RATES!$L476/12+$Q$4*(PARAM!$D$51/12)*RATES!$N476/100</f>
        <v>109.45833333333333</v>
      </c>
      <c r="CM500" s="16">
        <f>IF(CM499&gt;0,CM499*PARAM!$C$53,CM499)+CK500-CL500</f>
        <v>-15772.999999999987</v>
      </c>
      <c r="CO500" s="176"/>
    </row>
    <row r="501" spans="1:93" x14ac:dyDescent="0.2">
      <c r="A501" t="b">
        <f t="shared" si="322"/>
        <v>0</v>
      </c>
      <c r="B501" s="33">
        <v>474</v>
      </c>
      <c r="C501" s="15">
        <f t="shared" si="323"/>
        <v>20.081305947392778</v>
      </c>
      <c r="D501" s="75">
        <f>C501*(1-PARAM!$C$27)*$I$3+(MOD($B501,60)=PARAM!$B$56)*($B501&gt;(60-PARAM!$B$56))*HLOOKUP(($B501+PARAM!$B$56)/12,Loyalty,2)*$F$1*MAX(F500,0)</f>
        <v>16.808053077967756</v>
      </c>
      <c r="E501" s="75">
        <f>PARAM!$C$26+MAX($G$3-CHOOSE(PARAM!$B$44,MAX(0,F500*$F$1),0),0)*RATES!$L477/12+$H$3*(PARAM!$D$51/12)*RATES!$N477/100</f>
        <v>120.20833333333331</v>
      </c>
      <c r="F501" s="16">
        <f t="shared" si="324"/>
        <v>-8082.6163657803472</v>
      </c>
      <c r="G501" s="15">
        <f t="shared" si="325"/>
        <v>22.035289406060361</v>
      </c>
      <c r="H501" s="75">
        <f>G501*(1-PARAM!$C$27)*$I$4+(MOD($B501,60)=PARAM!$B$56)*($B501&gt;(60-PARAM!$B$56))*HLOOKUP(($B501+PARAM!$B$56)/12,Loyalty,2)*$F$1*MAX(J500,0)</f>
        <v>18.443537232872522</v>
      </c>
      <c r="I501" s="75">
        <f>PARAM!$C$26+MAX($G$4-CHOOSE(PARAM!$B$44,MAX(0,J500*$F$1),0),0)*RATES!$L477/12+$H$4*(PARAM!$D$51/12)*RATES!$N477/100</f>
        <v>120.20833333333331</v>
      </c>
      <c r="J501" s="16">
        <f t="shared" si="326"/>
        <v>-7273.5639122337725</v>
      </c>
      <c r="K501" s="15">
        <f t="shared" si="327"/>
        <v>22.170849845882874</v>
      </c>
      <c r="L501" s="75">
        <f>K501*(1-PARAM!$C$27)*$I$5+(MOD($B501,60)=PARAM!$B$56)*($B501&gt;(60-PARAM!$B$56))*HLOOKUP(($B501+PARAM!$B$56)/12,Loyalty,2)*$F$1*MAX(N500,0)</f>
        <v>18.557001321003963</v>
      </c>
      <c r="M501" s="75">
        <f>PARAM!$C$26+MAX($G$5-CHOOSE(PARAM!$B$44,MAX(0,N500*$F$1),0),0)*RATES!$L477/12+$H$5*(PARAM!$D$51/12)*RATES!$N477/100</f>
        <v>120.20833333333331</v>
      </c>
      <c r="N501" s="16">
        <f t="shared" si="328"/>
        <v>-7216.7643980596931</v>
      </c>
      <c r="O501" s="15">
        <f t="shared" si="329"/>
        <v>22.170849845882874</v>
      </c>
      <c r="P501" s="75">
        <f>O501*(1-PARAM!$C$27)*$I$6+(MOD($B501,60)=PARAM!$B$56)*($B501&gt;(60-PARAM!$B$56))*HLOOKUP(($B501+PARAM!$B$56)/12,Loyalty,2)*$F$1*MAX(R500,0)</f>
        <v>18.557001321003963</v>
      </c>
      <c r="Q501" s="75">
        <f>PARAM!$C$26+MAX($G$6-CHOOSE(PARAM!$B$44,MAX(0,R500*$F$1),0),0)*RATES!$L477/12+$H$6*(PARAM!$D$51/12)*RATES!$N477/100</f>
        <v>120.20833333333331</v>
      </c>
      <c r="R501" s="16">
        <f t="shared" si="330"/>
        <v>-7216.7643980596931</v>
      </c>
      <c r="S501" s="15">
        <f t="shared" si="305"/>
        <v>22.170849845882874</v>
      </c>
      <c r="T501" s="75">
        <f>S501*(1-PARAM!$C$27)*$I$7+(MOD($B501,60)=PARAM!$B$56)*($B501&gt;(60-PARAM!$B$56))*HLOOKUP(($B501+PARAM!$B$56)/12,Loyalty,2)*$F$1*MAX(V500,0)</f>
        <v>18.557001321003963</v>
      </c>
      <c r="U501" s="75">
        <f>PARAM!$C$26+MAX($G$7-CHOOSE(PARAM!$B$44,MAX(0,V500*$F$1),0),0)*RATES!$L477/12+$H$7*(PARAM!$D$51/12)*RATES!$N477/100</f>
        <v>120.20833333333331</v>
      </c>
      <c r="V501" s="16">
        <f t="shared" si="331"/>
        <v>-7216.7643980596931</v>
      </c>
      <c r="W501" s="15">
        <f t="shared" si="306"/>
        <v>22.170849845882874</v>
      </c>
      <c r="X501" s="75">
        <f>W501*(1-PARAM!$C$27)*$I$8+(MOD($B501,60)=PARAM!$B$56)*($B501&gt;(60-PARAM!$B$56))*HLOOKUP(($B501+PARAM!$B$56)/12,Loyalty,2)*$F$1*MAX(Z500,0)</f>
        <v>18.557001321003963</v>
      </c>
      <c r="Y501" s="75">
        <f>PARAM!$C$26+MAX($G$8-CHOOSE(PARAM!$B$44,MAX(0,Z500*$F$1),0),0)*RATES!$L477/12+$H$8*(PARAM!$D$51/12)*RATES!$N477/100</f>
        <v>120.20833333333331</v>
      </c>
      <c r="Z501" s="16">
        <f t="shared" si="332"/>
        <v>-7216.7643980596931</v>
      </c>
      <c r="AA501" s="15">
        <f t="shared" si="307"/>
        <v>22.170849845882874</v>
      </c>
      <c r="AB501" s="75">
        <f>AA501*(1-PARAM!$C$27)*$I$9+(MOD($B501,60)=PARAM!$B$56)*($B501&gt;(60-PARAM!$B$56))*HLOOKUP(($B501+PARAM!$B$56)/12,Loyalty,2)*$F$1*MAX(AD500,0)</f>
        <v>18.557001321003963</v>
      </c>
      <c r="AC501" s="75">
        <f>PARAM!$C$26+MAX($G$9-CHOOSE(PARAM!$B$44,MAX(0,AD500*$F$1),0),0)*RATES!$L477/12+$H$9*(PARAM!$D$51/12)*RATES!$N477/100</f>
        <v>120.20833333333331</v>
      </c>
      <c r="AD501" s="16">
        <f t="shared" si="333"/>
        <v>-7216.7643980596931</v>
      </c>
      <c r="AE501" s="15">
        <f t="shared" si="308"/>
        <v>22.170849845882874</v>
      </c>
      <c r="AF501" s="75">
        <f>AE501*(1-PARAM!$C$27)*$I$10+(MOD($B501,60)=PARAM!$B$56)*($B501&gt;(60-PARAM!$B$56))*HLOOKUP(($B501+PARAM!$B$56)/12,Loyalty,2)*$F$1*MAX(AH500,0)</f>
        <v>18.557001321003963</v>
      </c>
      <c r="AG501" s="75">
        <f>PARAM!$C$26+MAX($G$10-CHOOSE(PARAM!$B$44,MAX(0,AH500*$F$1),0),0)*RATES!$L477/12+$H$10*(PARAM!$D$51/12)*RATES!$N477/100</f>
        <v>120.20833333333331</v>
      </c>
      <c r="AH501" s="16">
        <f t="shared" si="334"/>
        <v>-7216.7643980596931</v>
      </c>
      <c r="AI501" s="15">
        <f t="shared" si="309"/>
        <v>22.170849845882874</v>
      </c>
      <c r="AJ501" s="75">
        <f>AI501*(1-PARAM!$C$27)*$I$11+(MOD($B501,60)=PARAM!$B$56)*($B501&gt;(60-PARAM!$B$56))*HLOOKUP(($B501+PARAM!$B$56)/12,Loyalty,2)*$F$1*MAX(AL500,0)</f>
        <v>18.557001321003963</v>
      </c>
      <c r="AK501" s="75">
        <f>PARAM!$C$26+MAX($G$11-CHOOSE(PARAM!$B$44,MAX(0,AL500*$F$1),0),0)*RATES!$L477/12+$H$11*(PARAM!$D$51/12)*RATES!$N477/100</f>
        <v>120.20833333333331</v>
      </c>
      <c r="AL501" s="16">
        <f t="shared" si="335"/>
        <v>-7216.7643980596931</v>
      </c>
      <c r="AM501" s="15">
        <f t="shared" si="310"/>
        <v>22.170849845882874</v>
      </c>
      <c r="AN501" s="75">
        <f>AM501*(1-PARAM!$C$27)*$I$12+(MOD($B501,60)=PARAM!$B$56)*($B501&gt;(60-PARAM!$B$56))*HLOOKUP(($B501+PARAM!$B$56)/12,Loyalty,2)*$F$1*MAX(AP500,0)</f>
        <v>18.557001321003963</v>
      </c>
      <c r="AO501" s="75">
        <f>PARAM!$C$26+MAX($G$12-CHOOSE(PARAM!$B$44,MAX(0,AP500*$F$1),0),0)*RATES!$L477/12+$H$12*(PARAM!$D$51/12)*RATES!$N477/100</f>
        <v>120.20833333333331</v>
      </c>
      <c r="AP501" s="16">
        <f t="shared" si="336"/>
        <v>-7216.7643980596931</v>
      </c>
      <c r="AQ501" s="15">
        <f t="shared" si="311"/>
        <v>22.170849845882874</v>
      </c>
      <c r="AR501" s="75">
        <f>AQ501*(1-PARAM!$C$27)*$I$13+(MOD($B501,60)=PARAM!$B$56)*($B501&gt;(60-PARAM!$B$56))*HLOOKUP(($B501+PARAM!$B$56)/12,Loyalty,2)*$F$1*MAX(AT500,0)</f>
        <v>18.557001321003963</v>
      </c>
      <c r="AS501" s="75">
        <f>PARAM!$C$26+MAX($G$13-CHOOSE(PARAM!$B$44,MAX(0,AT500*$F$1),0),0)*RATES!$L477/12+$H$13*(PARAM!$D$51/12)*RATES!$N477/100</f>
        <v>120.20833333333331</v>
      </c>
      <c r="AT501" s="16">
        <f t="shared" si="337"/>
        <v>-7216.7643980596931</v>
      </c>
      <c r="AU501" s="15">
        <f t="shared" si="312"/>
        <v>22.170849845882874</v>
      </c>
      <c r="AV501" s="75">
        <f>AU501*(1-PARAM!$C$27)*$I$14+(MOD($B501,60)=PARAM!$B$56)*($B501&gt;(60-PARAM!$B$56))*HLOOKUP(($B501+PARAM!$B$56)/12,Loyalty,2)*$F$1*MAX(AX500,0)</f>
        <v>18.557001321003963</v>
      </c>
      <c r="AW501" s="75">
        <f>PARAM!$C$26+MAX($G$14-CHOOSE(PARAM!$B$44,MAX(0,AX500*$F$1),0),0)*RATES!$L477/12+$H$14*(PARAM!$D$51/12)*RATES!$N477/100</f>
        <v>120.20833333333331</v>
      </c>
      <c r="AX501" s="16">
        <f t="shared" si="338"/>
        <v>-7216.7643980596931</v>
      </c>
      <c r="AY501" s="15">
        <f t="shared" si="313"/>
        <v>22.170849845882874</v>
      </c>
      <c r="AZ501" s="75">
        <f>AY501*(1-PARAM!$C$27)*$I$15+(MOD($B501,60)=PARAM!$B$56)*($B501&gt;(60-PARAM!$B$56))*HLOOKUP(($B501+PARAM!$B$56)/12,Loyalty,2)*$F$1*MAX(BB500,0)</f>
        <v>18.557001321003963</v>
      </c>
      <c r="BA501" s="75">
        <f>PARAM!$C$26+MAX($G$15-CHOOSE(PARAM!$B$44,MAX(0,BB500*$F$1),0),0)*RATES!$L477/12+$H$15*(PARAM!$D$51/12)*RATES!$N477/100</f>
        <v>120.20833333333331</v>
      </c>
      <c r="BB501" s="16">
        <f t="shared" si="339"/>
        <v>-7216.7643980596931</v>
      </c>
      <c r="BC501" s="15">
        <f t="shared" si="314"/>
        <v>22.170849845882874</v>
      </c>
      <c r="BD501" s="75">
        <f>BC501*(1-PARAM!$C$27)*$I$16+(MOD($B501,60)=PARAM!$B$56)*($B501&gt;(60-PARAM!$B$56))*HLOOKUP(($B501+PARAM!$B$56)/12,Loyalty,2)*$F$1*MAX(BF500,0)</f>
        <v>18.557001321003963</v>
      </c>
      <c r="BE501" s="75">
        <f>PARAM!$C$26+MAX($G$16-CHOOSE(PARAM!$B$44,MAX(0,BF500*$F$1),0),0)*RATES!$L477/12+$H$16*(PARAM!$D$51/12)*RATES!$N477/100</f>
        <v>120.20833333333331</v>
      </c>
      <c r="BF501" s="16">
        <f t="shared" si="340"/>
        <v>-7216.7643980596931</v>
      </c>
      <c r="BG501" s="15">
        <f t="shared" si="315"/>
        <v>22.170849845882874</v>
      </c>
      <c r="BH501" s="75">
        <f>BG501*(1-PARAM!$C$27)*$I$17+(MOD($B501,60)=PARAM!$B$56)*($B501&gt;(60-PARAM!$B$56))*HLOOKUP(($B501+PARAM!$B$56)/12,Loyalty,2)*$F$1*MAX(BJ500,0)</f>
        <v>18.557001321003963</v>
      </c>
      <c r="BI501" s="75">
        <f>PARAM!$C$26+MAX($G$17-CHOOSE(PARAM!$B$44,MAX(0,BJ500*$F$1),0),0)*RATES!$L477/12+$H$17*(PARAM!$D$51/12)*RATES!$N477/100</f>
        <v>120.20833333333331</v>
      </c>
      <c r="BJ501" s="16">
        <f t="shared" si="341"/>
        <v>-7216.7643980596931</v>
      </c>
      <c r="BK501" s="15">
        <f t="shared" si="316"/>
        <v>22.170849845882874</v>
      </c>
      <c r="BL501" s="75">
        <f>BK501*(1-PARAM!$C$27)*$I$18+(MOD($B501,60)=PARAM!$B$56)*($B501&gt;(60-PARAM!$B$56))*HLOOKUP(($B501+PARAM!$B$56)/12,Loyalty,2)*$F$1*MAX(BN500,0)</f>
        <v>18.557001321003963</v>
      </c>
      <c r="BM501" s="75">
        <f>PARAM!$C$26+MAX($G$18-CHOOSE(PARAM!$B$44,MAX(0,BN500*$F$1),0),0)*RATES!$L477/12+$H$18*(PARAM!$D$51/12)*RATES!$N477/100</f>
        <v>120.20833333333331</v>
      </c>
      <c r="BN501" s="16">
        <f t="shared" si="342"/>
        <v>-7216.7643980596931</v>
      </c>
      <c r="BO501" s="15">
        <f t="shared" si="317"/>
        <v>22.170849845882874</v>
      </c>
      <c r="BP501" s="75">
        <f>BO501*(1-PARAM!$C$27)*$I$19+(MOD($B501,60)=PARAM!$B$56)*($B501&gt;(60-PARAM!$B$56))*HLOOKUP(($B501+PARAM!$B$56)/12,Loyalty,2)*$F$1*MAX(BR500,0)</f>
        <v>18.557001321003963</v>
      </c>
      <c r="BQ501" s="75">
        <f>PARAM!$C$26+MAX($G$19-CHOOSE(PARAM!$B$44,MAX(0,BR500*$F$1),0),0)*RATES!$L477/12+$H$19*(PARAM!$D$51/12)*RATES!$N477/100</f>
        <v>120.20833333333331</v>
      </c>
      <c r="BR501" s="16">
        <f t="shared" si="343"/>
        <v>-7216.7643980596931</v>
      </c>
      <c r="BS501" s="15">
        <f t="shared" si="318"/>
        <v>22.170849845882874</v>
      </c>
      <c r="BT501" s="75">
        <f>BS501*(1-PARAM!$C$27)*$I$20+(MOD($B501,60)=PARAM!$B$56)*($B501&gt;(60-PARAM!$B$56))*HLOOKUP(($B501+PARAM!$B$56)/12,Loyalty,2)*$F$1*MAX(BV500,0)</f>
        <v>18.557001321003963</v>
      </c>
      <c r="BU501" s="75">
        <f>PARAM!$C$26+MAX($G$20-CHOOSE(PARAM!$B$44,MAX(0,BV500*$F$1),0),0)*RATES!$L477/12+$H$20*(PARAM!$D$51/12)*RATES!$N477/100</f>
        <v>120.20833333333331</v>
      </c>
      <c r="BV501" s="16">
        <f t="shared" si="344"/>
        <v>-7216.7643980596931</v>
      </c>
      <c r="BW501" s="15">
        <f t="shared" si="319"/>
        <v>22.170849845882874</v>
      </c>
      <c r="BX501" s="75">
        <f>BW501*(1-PARAM!$C$27)*$I$21+(MOD($B501,60)=PARAM!$B$56)*($B501&gt;(60-PARAM!$B$56))*HLOOKUP(($B501+PARAM!$B$56)/12,Loyalty,2)*$F$1*MAX(BZ500,0)</f>
        <v>18.557001321003963</v>
      </c>
      <c r="BY501" s="75">
        <f>PARAM!$C$26+MAX($G$21-CHOOSE(PARAM!$B$44,MAX(0,BZ500*$F$1),0),0)*RATES!$L477/12+$H$21*(PARAM!$D$51/12)*RATES!$N477/100</f>
        <v>120.20833333333331</v>
      </c>
      <c r="BZ501" s="16">
        <f t="shared" si="345"/>
        <v>-7216.7643980596931</v>
      </c>
      <c r="CA501" s="15">
        <f t="shared" si="320"/>
        <v>22.170849845882874</v>
      </c>
      <c r="CB501" s="75">
        <f>CA501*(1-PARAM!$C$27)*$I$22+(MOD($B501,60)=PARAM!$B$56)*($B501&gt;(60-PARAM!$B$56))*HLOOKUP(($B501+PARAM!$B$56)/12,Loyalty,2)*$F$1*MAX(CD500,0)</f>
        <v>18.557001321003963</v>
      </c>
      <c r="CC501" s="75">
        <f>PARAM!$C$26+MAX($G$22-CHOOSE(PARAM!$B$44,MAX(0,CD500*$F$1),0),0)*RATES!$L477/12+$H$22*(PARAM!$D$51/12)*RATES!$N477/100</f>
        <v>120.20833333333331</v>
      </c>
      <c r="CD501" s="16">
        <f t="shared" si="346"/>
        <v>-7216.7643980596931</v>
      </c>
      <c r="CE501" s="33">
        <f>IF(0=MOD(B501,12/PARAM!$D$51),1,0)</f>
        <v>1</v>
      </c>
      <c r="CF501" s="15">
        <f t="shared" si="321"/>
        <v>0</v>
      </c>
      <c r="CG501" s="75">
        <f>CF501*(1-PARAM!$C$27)*$R$3+(MOD($B501/12,5)=0)*($B501&gt;60)*HLOOKUP($B501/12,Loyalty,2)*$F$1*MAX(CI500,0)</f>
        <v>0</v>
      </c>
      <c r="CH501" s="75">
        <f>PARAM!$C$26+MAX($P$3-CHOOSE(PARAM!$B$44,MAX(0,CI500*$F$1),0),0)*RATES!$L477/12+$Q$3*(PARAM!$D$51/12)*RATES!$N477/100</f>
        <v>120.20833333333331</v>
      </c>
      <c r="CI501" s="16">
        <f>IF(CI500&gt;0,CI500*PARAM!$C$53,CI500)+CG501-CH501</f>
        <v>-15893.208333333321</v>
      </c>
      <c r="CJ501" s="15">
        <f t="shared" si="347"/>
        <v>0</v>
      </c>
      <c r="CK501" s="75">
        <f>CJ501*(1-PARAM!$C$27)*$R$4+(MOD($B501/12,5)=0)*($B501&gt;60)*HLOOKUP($B501/12,Loyalty,2)*$F$1*MAX(CM500,0)</f>
        <v>0</v>
      </c>
      <c r="CL501" s="75">
        <f>PARAM!$C$26+MAX($P$4-CHOOSE(PARAM!$B$44,MAX(0,CM500*$F$1),0),0)*RATES!$L477/12+$Q$4*(PARAM!$D$51/12)*RATES!$N477/100</f>
        <v>120.20833333333331</v>
      </c>
      <c r="CM501" s="16">
        <f>IF(CM500&gt;0,CM500*PARAM!$C$53,CM500)+CK501-CL501</f>
        <v>-15893.208333333321</v>
      </c>
      <c r="CO501" s="176"/>
    </row>
    <row r="502" spans="1:93" x14ac:dyDescent="0.2">
      <c r="A502" t="b">
        <f t="shared" si="322"/>
        <v>0</v>
      </c>
      <c r="B502" s="33">
        <v>475</v>
      </c>
      <c r="C502" s="15">
        <f t="shared" si="323"/>
        <v>20.081305947392778</v>
      </c>
      <c r="D502" s="75">
        <f>C502*(1-PARAM!$C$27)*$I$3+(MOD($B502,60)=PARAM!$B$56)*($B502&gt;(60-PARAM!$B$56))*HLOOKUP(($B502+PARAM!$B$56)/12,Loyalty,2)*$F$1*MAX(F501,0)</f>
        <v>16.808053077967756</v>
      </c>
      <c r="E502" s="75">
        <f>PARAM!$C$26+MAX($G$3-CHOOSE(PARAM!$B$44,MAX(0,F501*$F$1),0),0)*RATES!$L478/12+$H$3*(PARAM!$D$51/12)*RATES!$N478/100</f>
        <v>120.20833333333331</v>
      </c>
      <c r="F502" s="16">
        <f t="shared" si="324"/>
        <v>-8186.0166460357123</v>
      </c>
      <c r="G502" s="15">
        <f t="shared" si="325"/>
        <v>22.035289406060361</v>
      </c>
      <c r="H502" s="75">
        <f>G502*(1-PARAM!$C$27)*$I$4+(MOD($B502,60)=PARAM!$B$56)*($B502&gt;(60-PARAM!$B$56))*HLOOKUP(($B502+PARAM!$B$56)/12,Loyalty,2)*$F$1*MAX(J501,0)</f>
        <v>18.443537232872522</v>
      </c>
      <c r="I502" s="75">
        <f>PARAM!$C$26+MAX($G$4-CHOOSE(PARAM!$B$44,MAX(0,J501*$F$1),0),0)*RATES!$L478/12+$H$4*(PARAM!$D$51/12)*RATES!$N478/100</f>
        <v>120.20833333333331</v>
      </c>
      <c r="J502" s="16">
        <f t="shared" si="326"/>
        <v>-7375.3287083342329</v>
      </c>
      <c r="K502" s="15">
        <f t="shared" si="327"/>
        <v>22.170849845882874</v>
      </c>
      <c r="L502" s="75">
        <f>K502*(1-PARAM!$C$27)*$I$5+(MOD($B502,60)=PARAM!$B$56)*($B502&gt;(60-PARAM!$B$56))*HLOOKUP(($B502+PARAM!$B$56)/12,Loyalty,2)*$F$1*MAX(N501,0)</f>
        <v>18.557001321003963</v>
      </c>
      <c r="M502" s="75">
        <f>PARAM!$C$26+MAX($G$5-CHOOSE(PARAM!$B$44,MAX(0,N501*$F$1),0),0)*RATES!$L478/12+$H$5*(PARAM!$D$51/12)*RATES!$N478/100</f>
        <v>120.20833333333331</v>
      </c>
      <c r="N502" s="16">
        <f t="shared" si="328"/>
        <v>-7318.4157300720226</v>
      </c>
      <c r="O502" s="15">
        <f t="shared" si="329"/>
        <v>22.170849845882874</v>
      </c>
      <c r="P502" s="75">
        <f>O502*(1-PARAM!$C$27)*$I$6+(MOD($B502,60)=PARAM!$B$56)*($B502&gt;(60-PARAM!$B$56))*HLOOKUP(($B502+PARAM!$B$56)/12,Loyalty,2)*$F$1*MAX(R501,0)</f>
        <v>18.557001321003963</v>
      </c>
      <c r="Q502" s="75">
        <f>PARAM!$C$26+MAX($G$6-CHOOSE(PARAM!$B$44,MAX(0,R501*$F$1),0),0)*RATES!$L478/12+$H$6*(PARAM!$D$51/12)*RATES!$N478/100</f>
        <v>120.20833333333331</v>
      </c>
      <c r="R502" s="16">
        <f t="shared" si="330"/>
        <v>-7318.4157300720226</v>
      </c>
      <c r="S502" s="15">
        <f t="shared" si="305"/>
        <v>22.170849845882874</v>
      </c>
      <c r="T502" s="75">
        <f>S502*(1-PARAM!$C$27)*$I$7+(MOD($B502,60)=PARAM!$B$56)*($B502&gt;(60-PARAM!$B$56))*HLOOKUP(($B502+PARAM!$B$56)/12,Loyalty,2)*$F$1*MAX(V501,0)</f>
        <v>18.557001321003963</v>
      </c>
      <c r="U502" s="75">
        <f>PARAM!$C$26+MAX($G$7-CHOOSE(PARAM!$B$44,MAX(0,V501*$F$1),0),0)*RATES!$L478/12+$H$7*(PARAM!$D$51/12)*RATES!$N478/100</f>
        <v>120.20833333333331</v>
      </c>
      <c r="V502" s="16">
        <f t="shared" si="331"/>
        <v>-7318.4157300720226</v>
      </c>
      <c r="W502" s="15">
        <f t="shared" si="306"/>
        <v>22.170849845882874</v>
      </c>
      <c r="X502" s="75">
        <f>W502*(1-PARAM!$C$27)*$I$8+(MOD($B502,60)=PARAM!$B$56)*($B502&gt;(60-PARAM!$B$56))*HLOOKUP(($B502+PARAM!$B$56)/12,Loyalty,2)*$F$1*MAX(Z501,0)</f>
        <v>18.557001321003963</v>
      </c>
      <c r="Y502" s="75">
        <f>PARAM!$C$26+MAX($G$8-CHOOSE(PARAM!$B$44,MAX(0,Z501*$F$1),0),0)*RATES!$L478/12+$H$8*(PARAM!$D$51/12)*RATES!$N478/100</f>
        <v>120.20833333333331</v>
      </c>
      <c r="Z502" s="16">
        <f t="shared" si="332"/>
        <v>-7318.4157300720226</v>
      </c>
      <c r="AA502" s="15">
        <f t="shared" si="307"/>
        <v>22.170849845882874</v>
      </c>
      <c r="AB502" s="75">
        <f>AA502*(1-PARAM!$C$27)*$I$9+(MOD($B502,60)=PARAM!$B$56)*($B502&gt;(60-PARAM!$B$56))*HLOOKUP(($B502+PARAM!$B$56)/12,Loyalty,2)*$F$1*MAX(AD501,0)</f>
        <v>18.557001321003963</v>
      </c>
      <c r="AC502" s="75">
        <f>PARAM!$C$26+MAX($G$9-CHOOSE(PARAM!$B$44,MAX(0,AD501*$F$1),0),0)*RATES!$L478/12+$H$9*(PARAM!$D$51/12)*RATES!$N478/100</f>
        <v>120.20833333333331</v>
      </c>
      <c r="AD502" s="16">
        <f t="shared" si="333"/>
        <v>-7318.4157300720226</v>
      </c>
      <c r="AE502" s="15">
        <f t="shared" si="308"/>
        <v>22.170849845882874</v>
      </c>
      <c r="AF502" s="75">
        <f>AE502*(1-PARAM!$C$27)*$I$10+(MOD($B502,60)=PARAM!$B$56)*($B502&gt;(60-PARAM!$B$56))*HLOOKUP(($B502+PARAM!$B$56)/12,Loyalty,2)*$F$1*MAX(AH501,0)</f>
        <v>18.557001321003963</v>
      </c>
      <c r="AG502" s="75">
        <f>PARAM!$C$26+MAX($G$10-CHOOSE(PARAM!$B$44,MAX(0,AH501*$F$1),0),0)*RATES!$L478/12+$H$10*(PARAM!$D$51/12)*RATES!$N478/100</f>
        <v>120.20833333333331</v>
      </c>
      <c r="AH502" s="16">
        <f t="shared" si="334"/>
        <v>-7318.4157300720226</v>
      </c>
      <c r="AI502" s="15">
        <f t="shared" si="309"/>
        <v>22.170849845882874</v>
      </c>
      <c r="AJ502" s="75">
        <f>AI502*(1-PARAM!$C$27)*$I$11+(MOD($B502,60)=PARAM!$B$56)*($B502&gt;(60-PARAM!$B$56))*HLOOKUP(($B502+PARAM!$B$56)/12,Loyalty,2)*$F$1*MAX(AL501,0)</f>
        <v>18.557001321003963</v>
      </c>
      <c r="AK502" s="75">
        <f>PARAM!$C$26+MAX($G$11-CHOOSE(PARAM!$B$44,MAX(0,AL501*$F$1),0),0)*RATES!$L478/12+$H$11*(PARAM!$D$51/12)*RATES!$N478/100</f>
        <v>120.20833333333331</v>
      </c>
      <c r="AL502" s="16">
        <f t="shared" si="335"/>
        <v>-7318.4157300720226</v>
      </c>
      <c r="AM502" s="15">
        <f t="shared" si="310"/>
        <v>22.170849845882874</v>
      </c>
      <c r="AN502" s="75">
        <f>AM502*(1-PARAM!$C$27)*$I$12+(MOD($B502,60)=PARAM!$B$56)*($B502&gt;(60-PARAM!$B$56))*HLOOKUP(($B502+PARAM!$B$56)/12,Loyalty,2)*$F$1*MAX(AP501,0)</f>
        <v>18.557001321003963</v>
      </c>
      <c r="AO502" s="75">
        <f>PARAM!$C$26+MAX($G$12-CHOOSE(PARAM!$B$44,MAX(0,AP501*$F$1),0),0)*RATES!$L478/12+$H$12*(PARAM!$D$51/12)*RATES!$N478/100</f>
        <v>120.20833333333331</v>
      </c>
      <c r="AP502" s="16">
        <f t="shared" si="336"/>
        <v>-7318.4157300720226</v>
      </c>
      <c r="AQ502" s="15">
        <f t="shared" si="311"/>
        <v>22.170849845882874</v>
      </c>
      <c r="AR502" s="75">
        <f>AQ502*(1-PARAM!$C$27)*$I$13+(MOD($B502,60)=PARAM!$B$56)*($B502&gt;(60-PARAM!$B$56))*HLOOKUP(($B502+PARAM!$B$56)/12,Loyalty,2)*$F$1*MAX(AT501,0)</f>
        <v>18.557001321003963</v>
      </c>
      <c r="AS502" s="75">
        <f>PARAM!$C$26+MAX($G$13-CHOOSE(PARAM!$B$44,MAX(0,AT501*$F$1),0),0)*RATES!$L478/12+$H$13*(PARAM!$D$51/12)*RATES!$N478/100</f>
        <v>120.20833333333331</v>
      </c>
      <c r="AT502" s="16">
        <f t="shared" si="337"/>
        <v>-7318.4157300720226</v>
      </c>
      <c r="AU502" s="15">
        <f t="shared" si="312"/>
        <v>22.170849845882874</v>
      </c>
      <c r="AV502" s="75">
        <f>AU502*(1-PARAM!$C$27)*$I$14+(MOD($B502,60)=PARAM!$B$56)*($B502&gt;(60-PARAM!$B$56))*HLOOKUP(($B502+PARAM!$B$56)/12,Loyalty,2)*$F$1*MAX(AX501,0)</f>
        <v>18.557001321003963</v>
      </c>
      <c r="AW502" s="75">
        <f>PARAM!$C$26+MAX($G$14-CHOOSE(PARAM!$B$44,MAX(0,AX501*$F$1),0),0)*RATES!$L478/12+$H$14*(PARAM!$D$51/12)*RATES!$N478/100</f>
        <v>120.20833333333331</v>
      </c>
      <c r="AX502" s="16">
        <f t="shared" si="338"/>
        <v>-7318.4157300720226</v>
      </c>
      <c r="AY502" s="15">
        <f t="shared" si="313"/>
        <v>22.170849845882874</v>
      </c>
      <c r="AZ502" s="75">
        <f>AY502*(1-PARAM!$C$27)*$I$15+(MOD($B502,60)=PARAM!$B$56)*($B502&gt;(60-PARAM!$B$56))*HLOOKUP(($B502+PARAM!$B$56)/12,Loyalty,2)*$F$1*MAX(BB501,0)</f>
        <v>18.557001321003963</v>
      </c>
      <c r="BA502" s="75">
        <f>PARAM!$C$26+MAX($G$15-CHOOSE(PARAM!$B$44,MAX(0,BB501*$F$1),0),0)*RATES!$L478/12+$H$15*(PARAM!$D$51/12)*RATES!$N478/100</f>
        <v>120.20833333333331</v>
      </c>
      <c r="BB502" s="16">
        <f t="shared" si="339"/>
        <v>-7318.4157300720226</v>
      </c>
      <c r="BC502" s="15">
        <f t="shared" si="314"/>
        <v>22.170849845882874</v>
      </c>
      <c r="BD502" s="75">
        <f>BC502*(1-PARAM!$C$27)*$I$16+(MOD($B502,60)=PARAM!$B$56)*($B502&gt;(60-PARAM!$B$56))*HLOOKUP(($B502+PARAM!$B$56)/12,Loyalty,2)*$F$1*MAX(BF501,0)</f>
        <v>18.557001321003963</v>
      </c>
      <c r="BE502" s="75">
        <f>PARAM!$C$26+MAX($G$16-CHOOSE(PARAM!$B$44,MAX(0,BF501*$F$1),0),0)*RATES!$L478/12+$H$16*(PARAM!$D$51/12)*RATES!$N478/100</f>
        <v>120.20833333333331</v>
      </c>
      <c r="BF502" s="16">
        <f t="shared" si="340"/>
        <v>-7318.4157300720226</v>
      </c>
      <c r="BG502" s="15">
        <f t="shared" si="315"/>
        <v>22.170849845882874</v>
      </c>
      <c r="BH502" s="75">
        <f>BG502*(1-PARAM!$C$27)*$I$17+(MOD($B502,60)=PARAM!$B$56)*($B502&gt;(60-PARAM!$B$56))*HLOOKUP(($B502+PARAM!$B$56)/12,Loyalty,2)*$F$1*MAX(BJ501,0)</f>
        <v>18.557001321003963</v>
      </c>
      <c r="BI502" s="75">
        <f>PARAM!$C$26+MAX($G$17-CHOOSE(PARAM!$B$44,MAX(0,BJ501*$F$1),0),0)*RATES!$L478/12+$H$17*(PARAM!$D$51/12)*RATES!$N478/100</f>
        <v>120.20833333333331</v>
      </c>
      <c r="BJ502" s="16">
        <f t="shared" si="341"/>
        <v>-7318.4157300720226</v>
      </c>
      <c r="BK502" s="15">
        <f t="shared" si="316"/>
        <v>22.170849845882874</v>
      </c>
      <c r="BL502" s="75">
        <f>BK502*(1-PARAM!$C$27)*$I$18+(MOD($B502,60)=PARAM!$B$56)*($B502&gt;(60-PARAM!$B$56))*HLOOKUP(($B502+PARAM!$B$56)/12,Loyalty,2)*$F$1*MAX(BN501,0)</f>
        <v>18.557001321003963</v>
      </c>
      <c r="BM502" s="75">
        <f>PARAM!$C$26+MAX($G$18-CHOOSE(PARAM!$B$44,MAX(0,BN501*$F$1),0),0)*RATES!$L478/12+$H$18*(PARAM!$D$51/12)*RATES!$N478/100</f>
        <v>120.20833333333331</v>
      </c>
      <c r="BN502" s="16">
        <f t="shared" si="342"/>
        <v>-7318.4157300720226</v>
      </c>
      <c r="BO502" s="15">
        <f t="shared" si="317"/>
        <v>22.170849845882874</v>
      </c>
      <c r="BP502" s="75">
        <f>BO502*(1-PARAM!$C$27)*$I$19+(MOD($B502,60)=PARAM!$B$56)*($B502&gt;(60-PARAM!$B$56))*HLOOKUP(($B502+PARAM!$B$56)/12,Loyalty,2)*$F$1*MAX(BR501,0)</f>
        <v>18.557001321003963</v>
      </c>
      <c r="BQ502" s="75">
        <f>PARAM!$C$26+MAX($G$19-CHOOSE(PARAM!$B$44,MAX(0,BR501*$F$1),0),0)*RATES!$L478/12+$H$19*(PARAM!$D$51/12)*RATES!$N478/100</f>
        <v>120.20833333333331</v>
      </c>
      <c r="BR502" s="16">
        <f t="shared" si="343"/>
        <v>-7318.4157300720226</v>
      </c>
      <c r="BS502" s="15">
        <f t="shared" si="318"/>
        <v>22.170849845882874</v>
      </c>
      <c r="BT502" s="75">
        <f>BS502*(1-PARAM!$C$27)*$I$20+(MOD($B502,60)=PARAM!$B$56)*($B502&gt;(60-PARAM!$B$56))*HLOOKUP(($B502+PARAM!$B$56)/12,Loyalty,2)*$F$1*MAX(BV501,0)</f>
        <v>18.557001321003963</v>
      </c>
      <c r="BU502" s="75">
        <f>PARAM!$C$26+MAX($G$20-CHOOSE(PARAM!$B$44,MAX(0,BV501*$F$1),0),0)*RATES!$L478/12+$H$20*(PARAM!$D$51/12)*RATES!$N478/100</f>
        <v>120.20833333333331</v>
      </c>
      <c r="BV502" s="16">
        <f t="shared" si="344"/>
        <v>-7318.4157300720226</v>
      </c>
      <c r="BW502" s="15">
        <f t="shared" si="319"/>
        <v>22.170849845882874</v>
      </c>
      <c r="BX502" s="75">
        <f>BW502*(1-PARAM!$C$27)*$I$21+(MOD($B502,60)=PARAM!$B$56)*($B502&gt;(60-PARAM!$B$56))*HLOOKUP(($B502+PARAM!$B$56)/12,Loyalty,2)*$F$1*MAX(BZ501,0)</f>
        <v>18.557001321003963</v>
      </c>
      <c r="BY502" s="75">
        <f>PARAM!$C$26+MAX($G$21-CHOOSE(PARAM!$B$44,MAX(0,BZ501*$F$1),0),0)*RATES!$L478/12+$H$21*(PARAM!$D$51/12)*RATES!$N478/100</f>
        <v>120.20833333333331</v>
      </c>
      <c r="BZ502" s="16">
        <f t="shared" si="345"/>
        <v>-7318.4157300720226</v>
      </c>
      <c r="CA502" s="15">
        <f t="shared" si="320"/>
        <v>22.170849845882874</v>
      </c>
      <c r="CB502" s="75">
        <f>CA502*(1-PARAM!$C$27)*$I$22+(MOD($B502,60)=PARAM!$B$56)*($B502&gt;(60-PARAM!$B$56))*HLOOKUP(($B502+PARAM!$B$56)/12,Loyalty,2)*$F$1*MAX(CD501,0)</f>
        <v>18.557001321003963</v>
      </c>
      <c r="CC502" s="75">
        <f>PARAM!$C$26+MAX($G$22-CHOOSE(PARAM!$B$44,MAX(0,CD501*$F$1),0),0)*RATES!$L478/12+$H$22*(PARAM!$D$51/12)*RATES!$N478/100</f>
        <v>120.20833333333331</v>
      </c>
      <c r="CD502" s="16">
        <f t="shared" si="346"/>
        <v>-7318.4157300720226</v>
      </c>
      <c r="CE502" s="33">
        <f>IF(0=MOD(B502,12/PARAM!$D$51),1,0)</f>
        <v>1</v>
      </c>
      <c r="CF502" s="15">
        <f t="shared" si="321"/>
        <v>0</v>
      </c>
      <c r="CG502" s="75">
        <f>CF502*(1-PARAM!$C$27)*$R$3+(MOD($B502/12,5)=0)*($B502&gt;60)*HLOOKUP($B502/12,Loyalty,2)*$F$1*MAX(CI501,0)</f>
        <v>0</v>
      </c>
      <c r="CH502" s="75">
        <f>PARAM!$C$26+MAX($P$3-CHOOSE(PARAM!$B$44,MAX(0,CI501*$F$1),0),0)*RATES!$L478/12+$Q$3*(PARAM!$D$51/12)*RATES!$N478/100</f>
        <v>120.20833333333331</v>
      </c>
      <c r="CI502" s="16">
        <f>IF(CI501&gt;0,CI501*PARAM!$C$53,CI501)+CG502-CH502</f>
        <v>-16013.416666666655</v>
      </c>
      <c r="CJ502" s="15">
        <f t="shared" si="347"/>
        <v>0</v>
      </c>
      <c r="CK502" s="75">
        <f>CJ502*(1-PARAM!$C$27)*$R$4+(MOD($B502/12,5)=0)*($B502&gt;60)*HLOOKUP($B502/12,Loyalty,2)*$F$1*MAX(CM501,0)</f>
        <v>0</v>
      </c>
      <c r="CL502" s="75">
        <f>PARAM!$C$26+MAX($P$4-CHOOSE(PARAM!$B$44,MAX(0,CM501*$F$1),0),0)*RATES!$L478/12+$Q$4*(PARAM!$D$51/12)*RATES!$N478/100</f>
        <v>120.20833333333331</v>
      </c>
      <c r="CM502" s="16">
        <f>IF(CM501&gt;0,CM501*PARAM!$C$53,CM501)+CK502-CL502</f>
        <v>-16013.416666666655</v>
      </c>
      <c r="CO502" s="176"/>
    </row>
    <row r="503" spans="1:93" x14ac:dyDescent="0.2">
      <c r="A503" t="b">
        <f t="shared" si="322"/>
        <v>0</v>
      </c>
      <c r="B503" s="33">
        <v>476</v>
      </c>
      <c r="C503" s="15">
        <f t="shared" si="323"/>
        <v>20.081305947392778</v>
      </c>
      <c r="D503" s="75">
        <f>C503*(1-PARAM!$C$27)*$I$3+(MOD($B503,60)=PARAM!$B$56)*($B503&gt;(60-PARAM!$B$56))*HLOOKUP(($B503+PARAM!$B$56)/12,Loyalty,2)*$F$1*MAX(F502,0)</f>
        <v>16.808053077967756</v>
      </c>
      <c r="E503" s="75">
        <f>PARAM!$C$26+MAX($G$3-CHOOSE(PARAM!$B$44,MAX(0,F502*$F$1),0),0)*RATES!$L479/12+$H$3*(PARAM!$D$51/12)*RATES!$N479/100</f>
        <v>120.20833333333331</v>
      </c>
      <c r="F503" s="16">
        <f t="shared" si="324"/>
        <v>-8289.4169262910782</v>
      </c>
      <c r="G503" s="15">
        <f t="shared" si="325"/>
        <v>22.035289406060361</v>
      </c>
      <c r="H503" s="75">
        <f>G503*(1-PARAM!$C$27)*$I$4+(MOD($B503,60)=PARAM!$B$56)*($B503&gt;(60-PARAM!$B$56))*HLOOKUP(($B503+PARAM!$B$56)/12,Loyalty,2)*$F$1*MAX(J502,0)</f>
        <v>18.443537232872522</v>
      </c>
      <c r="I503" s="75">
        <f>PARAM!$C$26+MAX($G$4-CHOOSE(PARAM!$B$44,MAX(0,J502*$F$1),0),0)*RATES!$L479/12+$H$4*(PARAM!$D$51/12)*RATES!$N479/100</f>
        <v>120.20833333333331</v>
      </c>
      <c r="J503" s="16">
        <f t="shared" si="326"/>
        <v>-7477.0935044346934</v>
      </c>
      <c r="K503" s="15">
        <f t="shared" si="327"/>
        <v>22.170849845882874</v>
      </c>
      <c r="L503" s="75">
        <f>K503*(1-PARAM!$C$27)*$I$5+(MOD($B503,60)=PARAM!$B$56)*($B503&gt;(60-PARAM!$B$56))*HLOOKUP(($B503+PARAM!$B$56)/12,Loyalty,2)*$F$1*MAX(N502,0)</f>
        <v>18.557001321003963</v>
      </c>
      <c r="M503" s="75">
        <f>PARAM!$C$26+MAX($G$5-CHOOSE(PARAM!$B$44,MAX(0,N502*$F$1),0),0)*RATES!$L479/12+$H$5*(PARAM!$D$51/12)*RATES!$N479/100</f>
        <v>120.20833333333331</v>
      </c>
      <c r="N503" s="16">
        <f t="shared" si="328"/>
        <v>-7420.0670620843521</v>
      </c>
      <c r="O503" s="15">
        <f t="shared" si="329"/>
        <v>22.170849845882874</v>
      </c>
      <c r="P503" s="75">
        <f>O503*(1-PARAM!$C$27)*$I$6+(MOD($B503,60)=PARAM!$B$56)*($B503&gt;(60-PARAM!$B$56))*HLOOKUP(($B503+PARAM!$B$56)/12,Loyalty,2)*$F$1*MAX(R502,0)</f>
        <v>18.557001321003963</v>
      </c>
      <c r="Q503" s="75">
        <f>PARAM!$C$26+MAX($G$6-CHOOSE(PARAM!$B$44,MAX(0,R502*$F$1),0),0)*RATES!$L479/12+$H$6*(PARAM!$D$51/12)*RATES!$N479/100</f>
        <v>120.20833333333331</v>
      </c>
      <c r="R503" s="16">
        <f t="shared" si="330"/>
        <v>-7420.0670620843521</v>
      </c>
      <c r="S503" s="15">
        <f t="shared" si="305"/>
        <v>22.170849845882874</v>
      </c>
      <c r="T503" s="75">
        <f>S503*(1-PARAM!$C$27)*$I$7+(MOD($B503,60)=PARAM!$B$56)*($B503&gt;(60-PARAM!$B$56))*HLOOKUP(($B503+PARAM!$B$56)/12,Loyalty,2)*$F$1*MAX(V502,0)</f>
        <v>18.557001321003963</v>
      </c>
      <c r="U503" s="75">
        <f>PARAM!$C$26+MAX($G$7-CHOOSE(PARAM!$B$44,MAX(0,V502*$F$1),0),0)*RATES!$L479/12+$H$7*(PARAM!$D$51/12)*RATES!$N479/100</f>
        <v>120.20833333333331</v>
      </c>
      <c r="V503" s="16">
        <f t="shared" si="331"/>
        <v>-7420.0670620843521</v>
      </c>
      <c r="W503" s="15">
        <f t="shared" si="306"/>
        <v>22.170849845882874</v>
      </c>
      <c r="X503" s="75">
        <f>W503*(1-PARAM!$C$27)*$I$8+(MOD($B503,60)=PARAM!$B$56)*($B503&gt;(60-PARAM!$B$56))*HLOOKUP(($B503+PARAM!$B$56)/12,Loyalty,2)*$F$1*MAX(Z502,0)</f>
        <v>18.557001321003963</v>
      </c>
      <c r="Y503" s="75">
        <f>PARAM!$C$26+MAX($G$8-CHOOSE(PARAM!$B$44,MAX(0,Z502*$F$1),0),0)*RATES!$L479/12+$H$8*(PARAM!$D$51/12)*RATES!$N479/100</f>
        <v>120.20833333333331</v>
      </c>
      <c r="Z503" s="16">
        <f t="shared" si="332"/>
        <v>-7420.0670620843521</v>
      </c>
      <c r="AA503" s="15">
        <f t="shared" si="307"/>
        <v>22.170849845882874</v>
      </c>
      <c r="AB503" s="75">
        <f>AA503*(1-PARAM!$C$27)*$I$9+(MOD($B503,60)=PARAM!$B$56)*($B503&gt;(60-PARAM!$B$56))*HLOOKUP(($B503+PARAM!$B$56)/12,Loyalty,2)*$F$1*MAX(AD502,0)</f>
        <v>18.557001321003963</v>
      </c>
      <c r="AC503" s="75">
        <f>PARAM!$C$26+MAX($G$9-CHOOSE(PARAM!$B$44,MAX(0,AD502*$F$1),0),0)*RATES!$L479/12+$H$9*(PARAM!$D$51/12)*RATES!$N479/100</f>
        <v>120.20833333333331</v>
      </c>
      <c r="AD503" s="16">
        <f t="shared" si="333"/>
        <v>-7420.0670620843521</v>
      </c>
      <c r="AE503" s="15">
        <f t="shared" si="308"/>
        <v>22.170849845882874</v>
      </c>
      <c r="AF503" s="75">
        <f>AE503*(1-PARAM!$C$27)*$I$10+(MOD($B503,60)=PARAM!$B$56)*($B503&gt;(60-PARAM!$B$56))*HLOOKUP(($B503+PARAM!$B$56)/12,Loyalty,2)*$F$1*MAX(AH502,0)</f>
        <v>18.557001321003963</v>
      </c>
      <c r="AG503" s="75">
        <f>PARAM!$C$26+MAX($G$10-CHOOSE(PARAM!$B$44,MAX(0,AH502*$F$1),0),0)*RATES!$L479/12+$H$10*(PARAM!$D$51/12)*RATES!$N479/100</f>
        <v>120.20833333333331</v>
      </c>
      <c r="AH503" s="16">
        <f t="shared" si="334"/>
        <v>-7420.0670620843521</v>
      </c>
      <c r="AI503" s="15">
        <f t="shared" si="309"/>
        <v>22.170849845882874</v>
      </c>
      <c r="AJ503" s="75">
        <f>AI503*(1-PARAM!$C$27)*$I$11+(MOD($B503,60)=PARAM!$B$56)*($B503&gt;(60-PARAM!$B$56))*HLOOKUP(($B503+PARAM!$B$56)/12,Loyalty,2)*$F$1*MAX(AL502,0)</f>
        <v>18.557001321003963</v>
      </c>
      <c r="AK503" s="75">
        <f>PARAM!$C$26+MAX($G$11-CHOOSE(PARAM!$B$44,MAX(0,AL502*$F$1),0),0)*RATES!$L479/12+$H$11*(PARAM!$D$51/12)*RATES!$N479/100</f>
        <v>120.20833333333331</v>
      </c>
      <c r="AL503" s="16">
        <f t="shared" si="335"/>
        <v>-7420.0670620843521</v>
      </c>
      <c r="AM503" s="15">
        <f t="shared" si="310"/>
        <v>22.170849845882874</v>
      </c>
      <c r="AN503" s="75">
        <f>AM503*(1-PARAM!$C$27)*$I$12+(MOD($B503,60)=PARAM!$B$56)*($B503&gt;(60-PARAM!$B$56))*HLOOKUP(($B503+PARAM!$B$56)/12,Loyalty,2)*$F$1*MAX(AP502,0)</f>
        <v>18.557001321003963</v>
      </c>
      <c r="AO503" s="75">
        <f>PARAM!$C$26+MAX($G$12-CHOOSE(PARAM!$B$44,MAX(0,AP502*$F$1),0),0)*RATES!$L479/12+$H$12*(PARAM!$D$51/12)*RATES!$N479/100</f>
        <v>120.20833333333331</v>
      </c>
      <c r="AP503" s="16">
        <f t="shared" si="336"/>
        <v>-7420.0670620843521</v>
      </c>
      <c r="AQ503" s="15">
        <f t="shared" si="311"/>
        <v>22.170849845882874</v>
      </c>
      <c r="AR503" s="75">
        <f>AQ503*(1-PARAM!$C$27)*$I$13+(MOD($B503,60)=PARAM!$B$56)*($B503&gt;(60-PARAM!$B$56))*HLOOKUP(($B503+PARAM!$B$56)/12,Loyalty,2)*$F$1*MAX(AT502,0)</f>
        <v>18.557001321003963</v>
      </c>
      <c r="AS503" s="75">
        <f>PARAM!$C$26+MAX($G$13-CHOOSE(PARAM!$B$44,MAX(0,AT502*$F$1),0),0)*RATES!$L479/12+$H$13*(PARAM!$D$51/12)*RATES!$N479/100</f>
        <v>120.20833333333331</v>
      </c>
      <c r="AT503" s="16">
        <f t="shared" si="337"/>
        <v>-7420.0670620843521</v>
      </c>
      <c r="AU503" s="15">
        <f t="shared" si="312"/>
        <v>22.170849845882874</v>
      </c>
      <c r="AV503" s="75">
        <f>AU503*(1-PARAM!$C$27)*$I$14+(MOD($B503,60)=PARAM!$B$56)*($B503&gt;(60-PARAM!$B$56))*HLOOKUP(($B503+PARAM!$B$56)/12,Loyalty,2)*$F$1*MAX(AX502,0)</f>
        <v>18.557001321003963</v>
      </c>
      <c r="AW503" s="75">
        <f>PARAM!$C$26+MAX($G$14-CHOOSE(PARAM!$B$44,MAX(0,AX502*$F$1),0),0)*RATES!$L479/12+$H$14*(PARAM!$D$51/12)*RATES!$N479/100</f>
        <v>120.20833333333331</v>
      </c>
      <c r="AX503" s="16">
        <f t="shared" si="338"/>
        <v>-7420.0670620843521</v>
      </c>
      <c r="AY503" s="15">
        <f t="shared" si="313"/>
        <v>22.170849845882874</v>
      </c>
      <c r="AZ503" s="75">
        <f>AY503*(1-PARAM!$C$27)*$I$15+(MOD($B503,60)=PARAM!$B$56)*($B503&gt;(60-PARAM!$B$56))*HLOOKUP(($B503+PARAM!$B$56)/12,Loyalty,2)*$F$1*MAX(BB502,0)</f>
        <v>18.557001321003963</v>
      </c>
      <c r="BA503" s="75">
        <f>PARAM!$C$26+MAX($G$15-CHOOSE(PARAM!$B$44,MAX(0,BB502*$F$1),0),0)*RATES!$L479/12+$H$15*(PARAM!$D$51/12)*RATES!$N479/100</f>
        <v>120.20833333333331</v>
      </c>
      <c r="BB503" s="16">
        <f t="shared" si="339"/>
        <v>-7420.0670620843521</v>
      </c>
      <c r="BC503" s="15">
        <f t="shared" si="314"/>
        <v>22.170849845882874</v>
      </c>
      <c r="BD503" s="75">
        <f>BC503*(1-PARAM!$C$27)*$I$16+(MOD($B503,60)=PARAM!$B$56)*($B503&gt;(60-PARAM!$B$56))*HLOOKUP(($B503+PARAM!$B$56)/12,Loyalty,2)*$F$1*MAX(BF502,0)</f>
        <v>18.557001321003963</v>
      </c>
      <c r="BE503" s="75">
        <f>PARAM!$C$26+MAX($G$16-CHOOSE(PARAM!$B$44,MAX(0,BF502*$F$1),0),0)*RATES!$L479/12+$H$16*(PARAM!$D$51/12)*RATES!$N479/100</f>
        <v>120.20833333333331</v>
      </c>
      <c r="BF503" s="16">
        <f t="shared" si="340"/>
        <v>-7420.0670620843521</v>
      </c>
      <c r="BG503" s="15">
        <f t="shared" si="315"/>
        <v>22.170849845882874</v>
      </c>
      <c r="BH503" s="75">
        <f>BG503*(1-PARAM!$C$27)*$I$17+(MOD($B503,60)=PARAM!$B$56)*($B503&gt;(60-PARAM!$B$56))*HLOOKUP(($B503+PARAM!$B$56)/12,Loyalty,2)*$F$1*MAX(BJ502,0)</f>
        <v>18.557001321003963</v>
      </c>
      <c r="BI503" s="75">
        <f>PARAM!$C$26+MAX($G$17-CHOOSE(PARAM!$B$44,MAX(0,BJ502*$F$1),0),0)*RATES!$L479/12+$H$17*(PARAM!$D$51/12)*RATES!$N479/100</f>
        <v>120.20833333333331</v>
      </c>
      <c r="BJ503" s="16">
        <f t="shared" si="341"/>
        <v>-7420.0670620843521</v>
      </c>
      <c r="BK503" s="15">
        <f t="shared" si="316"/>
        <v>22.170849845882874</v>
      </c>
      <c r="BL503" s="75">
        <f>BK503*(1-PARAM!$C$27)*$I$18+(MOD($B503,60)=PARAM!$B$56)*($B503&gt;(60-PARAM!$B$56))*HLOOKUP(($B503+PARAM!$B$56)/12,Loyalty,2)*$F$1*MAX(BN502,0)</f>
        <v>18.557001321003963</v>
      </c>
      <c r="BM503" s="75">
        <f>PARAM!$C$26+MAX($G$18-CHOOSE(PARAM!$B$44,MAX(0,BN502*$F$1),0),0)*RATES!$L479/12+$H$18*(PARAM!$D$51/12)*RATES!$N479/100</f>
        <v>120.20833333333331</v>
      </c>
      <c r="BN503" s="16">
        <f t="shared" si="342"/>
        <v>-7420.0670620843521</v>
      </c>
      <c r="BO503" s="15">
        <f t="shared" si="317"/>
        <v>22.170849845882874</v>
      </c>
      <c r="BP503" s="75">
        <f>BO503*(1-PARAM!$C$27)*$I$19+(MOD($B503,60)=PARAM!$B$56)*($B503&gt;(60-PARAM!$B$56))*HLOOKUP(($B503+PARAM!$B$56)/12,Loyalty,2)*$F$1*MAX(BR502,0)</f>
        <v>18.557001321003963</v>
      </c>
      <c r="BQ503" s="75">
        <f>PARAM!$C$26+MAX($G$19-CHOOSE(PARAM!$B$44,MAX(0,BR502*$F$1),0),0)*RATES!$L479/12+$H$19*(PARAM!$D$51/12)*RATES!$N479/100</f>
        <v>120.20833333333331</v>
      </c>
      <c r="BR503" s="16">
        <f t="shared" si="343"/>
        <v>-7420.0670620843521</v>
      </c>
      <c r="BS503" s="15">
        <f t="shared" si="318"/>
        <v>22.170849845882874</v>
      </c>
      <c r="BT503" s="75">
        <f>BS503*(1-PARAM!$C$27)*$I$20+(MOD($B503,60)=PARAM!$B$56)*($B503&gt;(60-PARAM!$B$56))*HLOOKUP(($B503+PARAM!$B$56)/12,Loyalty,2)*$F$1*MAX(BV502,0)</f>
        <v>18.557001321003963</v>
      </c>
      <c r="BU503" s="75">
        <f>PARAM!$C$26+MAX($G$20-CHOOSE(PARAM!$B$44,MAX(0,BV502*$F$1),0),0)*RATES!$L479/12+$H$20*(PARAM!$D$51/12)*RATES!$N479/100</f>
        <v>120.20833333333331</v>
      </c>
      <c r="BV503" s="16">
        <f t="shared" si="344"/>
        <v>-7420.0670620843521</v>
      </c>
      <c r="BW503" s="15">
        <f t="shared" si="319"/>
        <v>22.170849845882874</v>
      </c>
      <c r="BX503" s="75">
        <f>BW503*(1-PARAM!$C$27)*$I$21+(MOD($B503,60)=PARAM!$B$56)*($B503&gt;(60-PARAM!$B$56))*HLOOKUP(($B503+PARAM!$B$56)/12,Loyalty,2)*$F$1*MAX(BZ502,0)</f>
        <v>18.557001321003963</v>
      </c>
      <c r="BY503" s="75">
        <f>PARAM!$C$26+MAX($G$21-CHOOSE(PARAM!$B$44,MAX(0,BZ502*$F$1),0),0)*RATES!$L479/12+$H$21*(PARAM!$D$51/12)*RATES!$N479/100</f>
        <v>120.20833333333331</v>
      </c>
      <c r="BZ503" s="16">
        <f t="shared" si="345"/>
        <v>-7420.0670620843521</v>
      </c>
      <c r="CA503" s="15">
        <f t="shared" si="320"/>
        <v>22.170849845882874</v>
      </c>
      <c r="CB503" s="75">
        <f>CA503*(1-PARAM!$C$27)*$I$22+(MOD($B503,60)=PARAM!$B$56)*($B503&gt;(60-PARAM!$B$56))*HLOOKUP(($B503+PARAM!$B$56)/12,Loyalty,2)*$F$1*MAX(CD502,0)</f>
        <v>18.557001321003963</v>
      </c>
      <c r="CC503" s="75">
        <f>PARAM!$C$26+MAX($G$22-CHOOSE(PARAM!$B$44,MAX(0,CD502*$F$1),0),0)*RATES!$L479/12+$H$22*(PARAM!$D$51/12)*RATES!$N479/100</f>
        <v>120.20833333333331</v>
      </c>
      <c r="CD503" s="16">
        <f t="shared" si="346"/>
        <v>-7420.0670620843521</v>
      </c>
      <c r="CE503" s="33">
        <f>IF(0=MOD(B503,12/PARAM!$D$51),1,0)</f>
        <v>1</v>
      </c>
      <c r="CF503" s="15">
        <f t="shared" si="321"/>
        <v>0</v>
      </c>
      <c r="CG503" s="75">
        <f>CF503*(1-PARAM!$C$27)*$R$3+(MOD($B503/12,5)=0)*($B503&gt;60)*HLOOKUP($B503/12,Loyalty,2)*$F$1*MAX(CI502,0)</f>
        <v>0</v>
      </c>
      <c r="CH503" s="75">
        <f>PARAM!$C$26+MAX($P$3-CHOOSE(PARAM!$B$44,MAX(0,CI502*$F$1),0),0)*RATES!$L479/12+$Q$3*(PARAM!$D$51/12)*RATES!$N479/100</f>
        <v>120.20833333333331</v>
      </c>
      <c r="CI503" s="16">
        <f>IF(CI502&gt;0,CI502*PARAM!$C$53,CI502)+CG503-CH503</f>
        <v>-16133.624999999989</v>
      </c>
      <c r="CJ503" s="15">
        <f t="shared" si="347"/>
        <v>0</v>
      </c>
      <c r="CK503" s="75">
        <f>CJ503*(1-PARAM!$C$27)*$R$4+(MOD($B503/12,5)=0)*($B503&gt;60)*HLOOKUP($B503/12,Loyalty,2)*$F$1*MAX(CM502,0)</f>
        <v>0</v>
      </c>
      <c r="CL503" s="75">
        <f>PARAM!$C$26+MAX($P$4-CHOOSE(PARAM!$B$44,MAX(0,CM502*$F$1),0),0)*RATES!$L479/12+$Q$4*(PARAM!$D$51/12)*RATES!$N479/100</f>
        <v>120.20833333333331</v>
      </c>
      <c r="CM503" s="16">
        <f>IF(CM502&gt;0,CM502*PARAM!$C$53,CM502)+CK503-CL503</f>
        <v>-16133.624999999989</v>
      </c>
      <c r="CO503" s="176"/>
    </row>
    <row r="504" spans="1:93" x14ac:dyDescent="0.2">
      <c r="A504" t="b">
        <f t="shared" si="322"/>
        <v>0</v>
      </c>
      <c r="B504" s="33">
        <v>477</v>
      </c>
      <c r="C504" s="15">
        <f t="shared" si="323"/>
        <v>20.081305947392778</v>
      </c>
      <c r="D504" s="75">
        <f>C504*(1-PARAM!$C$27)*$I$3+(MOD($B504,60)=PARAM!$B$56)*($B504&gt;(60-PARAM!$B$56))*HLOOKUP(($B504+PARAM!$B$56)/12,Loyalty,2)*$F$1*MAX(F503,0)</f>
        <v>16.808053077967756</v>
      </c>
      <c r="E504" s="75">
        <f>PARAM!$C$26+MAX($G$3-CHOOSE(PARAM!$B$44,MAX(0,F503*$F$1),0),0)*RATES!$L480/12+$H$3*(PARAM!$D$51/12)*RATES!$N480/100</f>
        <v>120.20833333333331</v>
      </c>
      <c r="F504" s="16">
        <f t="shared" si="324"/>
        <v>-8392.8172065464441</v>
      </c>
      <c r="G504" s="15">
        <f t="shared" si="325"/>
        <v>22.035289406060361</v>
      </c>
      <c r="H504" s="75">
        <f>G504*(1-PARAM!$C$27)*$I$4+(MOD($B504,60)=PARAM!$B$56)*($B504&gt;(60-PARAM!$B$56))*HLOOKUP(($B504+PARAM!$B$56)/12,Loyalty,2)*$F$1*MAX(J503,0)</f>
        <v>18.443537232872522</v>
      </c>
      <c r="I504" s="75">
        <f>PARAM!$C$26+MAX($G$4-CHOOSE(PARAM!$B$44,MAX(0,J503*$F$1),0),0)*RATES!$L480/12+$H$4*(PARAM!$D$51/12)*RATES!$N480/100</f>
        <v>120.20833333333331</v>
      </c>
      <c r="J504" s="16">
        <f t="shared" si="326"/>
        <v>-7578.8583005351538</v>
      </c>
      <c r="K504" s="15">
        <f t="shared" si="327"/>
        <v>22.170849845882874</v>
      </c>
      <c r="L504" s="75">
        <f>K504*(1-PARAM!$C$27)*$I$5+(MOD($B504,60)=PARAM!$B$56)*($B504&gt;(60-PARAM!$B$56))*HLOOKUP(($B504+PARAM!$B$56)/12,Loyalty,2)*$F$1*MAX(N503,0)</f>
        <v>18.557001321003963</v>
      </c>
      <c r="M504" s="75">
        <f>PARAM!$C$26+MAX($G$5-CHOOSE(PARAM!$B$44,MAX(0,N503*$F$1),0),0)*RATES!$L480/12+$H$5*(PARAM!$D$51/12)*RATES!$N480/100</f>
        <v>120.20833333333331</v>
      </c>
      <c r="N504" s="16">
        <f t="shared" si="328"/>
        <v>-7521.7183940966815</v>
      </c>
      <c r="O504" s="15">
        <f t="shared" si="329"/>
        <v>22.170849845882874</v>
      </c>
      <c r="P504" s="75">
        <f>O504*(1-PARAM!$C$27)*$I$6+(MOD($B504,60)=PARAM!$B$56)*($B504&gt;(60-PARAM!$B$56))*HLOOKUP(($B504+PARAM!$B$56)/12,Loyalty,2)*$F$1*MAX(R503,0)</f>
        <v>18.557001321003963</v>
      </c>
      <c r="Q504" s="75">
        <f>PARAM!$C$26+MAX($G$6-CHOOSE(PARAM!$B$44,MAX(0,R503*$F$1),0),0)*RATES!$L480/12+$H$6*(PARAM!$D$51/12)*RATES!$N480/100</f>
        <v>120.20833333333331</v>
      </c>
      <c r="R504" s="16">
        <f t="shared" si="330"/>
        <v>-7521.7183940966815</v>
      </c>
      <c r="S504" s="15">
        <f t="shared" si="305"/>
        <v>22.170849845882874</v>
      </c>
      <c r="T504" s="75">
        <f>S504*(1-PARAM!$C$27)*$I$7+(MOD($B504,60)=PARAM!$B$56)*($B504&gt;(60-PARAM!$B$56))*HLOOKUP(($B504+PARAM!$B$56)/12,Loyalty,2)*$F$1*MAX(V503,0)</f>
        <v>18.557001321003963</v>
      </c>
      <c r="U504" s="75">
        <f>PARAM!$C$26+MAX($G$7-CHOOSE(PARAM!$B$44,MAX(0,V503*$F$1),0),0)*RATES!$L480/12+$H$7*(PARAM!$D$51/12)*RATES!$N480/100</f>
        <v>120.20833333333331</v>
      </c>
      <c r="V504" s="16">
        <f t="shared" si="331"/>
        <v>-7521.7183940966815</v>
      </c>
      <c r="W504" s="15">
        <f t="shared" si="306"/>
        <v>22.170849845882874</v>
      </c>
      <c r="X504" s="75">
        <f>W504*(1-PARAM!$C$27)*$I$8+(MOD($B504,60)=PARAM!$B$56)*($B504&gt;(60-PARAM!$B$56))*HLOOKUP(($B504+PARAM!$B$56)/12,Loyalty,2)*$F$1*MAX(Z503,0)</f>
        <v>18.557001321003963</v>
      </c>
      <c r="Y504" s="75">
        <f>PARAM!$C$26+MAX($G$8-CHOOSE(PARAM!$B$44,MAX(0,Z503*$F$1),0),0)*RATES!$L480/12+$H$8*(PARAM!$D$51/12)*RATES!$N480/100</f>
        <v>120.20833333333331</v>
      </c>
      <c r="Z504" s="16">
        <f t="shared" si="332"/>
        <v>-7521.7183940966815</v>
      </c>
      <c r="AA504" s="15">
        <f t="shared" si="307"/>
        <v>22.170849845882874</v>
      </c>
      <c r="AB504" s="75">
        <f>AA504*(1-PARAM!$C$27)*$I$9+(MOD($B504,60)=PARAM!$B$56)*($B504&gt;(60-PARAM!$B$56))*HLOOKUP(($B504+PARAM!$B$56)/12,Loyalty,2)*$F$1*MAX(AD503,0)</f>
        <v>18.557001321003963</v>
      </c>
      <c r="AC504" s="75">
        <f>PARAM!$C$26+MAX($G$9-CHOOSE(PARAM!$B$44,MAX(0,AD503*$F$1),0),0)*RATES!$L480/12+$H$9*(PARAM!$D$51/12)*RATES!$N480/100</f>
        <v>120.20833333333331</v>
      </c>
      <c r="AD504" s="16">
        <f t="shared" si="333"/>
        <v>-7521.7183940966815</v>
      </c>
      <c r="AE504" s="15">
        <f t="shared" si="308"/>
        <v>22.170849845882874</v>
      </c>
      <c r="AF504" s="75">
        <f>AE504*(1-PARAM!$C$27)*$I$10+(MOD($B504,60)=PARAM!$B$56)*($B504&gt;(60-PARAM!$B$56))*HLOOKUP(($B504+PARAM!$B$56)/12,Loyalty,2)*$F$1*MAX(AH503,0)</f>
        <v>18.557001321003963</v>
      </c>
      <c r="AG504" s="75">
        <f>PARAM!$C$26+MAX($G$10-CHOOSE(PARAM!$B$44,MAX(0,AH503*$F$1),0),0)*RATES!$L480/12+$H$10*(PARAM!$D$51/12)*RATES!$N480/100</f>
        <v>120.20833333333331</v>
      </c>
      <c r="AH504" s="16">
        <f t="shared" si="334"/>
        <v>-7521.7183940966815</v>
      </c>
      <c r="AI504" s="15">
        <f t="shared" si="309"/>
        <v>22.170849845882874</v>
      </c>
      <c r="AJ504" s="75">
        <f>AI504*(1-PARAM!$C$27)*$I$11+(MOD($B504,60)=PARAM!$B$56)*($B504&gt;(60-PARAM!$B$56))*HLOOKUP(($B504+PARAM!$B$56)/12,Loyalty,2)*$F$1*MAX(AL503,0)</f>
        <v>18.557001321003963</v>
      </c>
      <c r="AK504" s="75">
        <f>PARAM!$C$26+MAX($G$11-CHOOSE(PARAM!$B$44,MAX(0,AL503*$F$1),0),0)*RATES!$L480/12+$H$11*(PARAM!$D$51/12)*RATES!$N480/100</f>
        <v>120.20833333333331</v>
      </c>
      <c r="AL504" s="16">
        <f t="shared" si="335"/>
        <v>-7521.7183940966815</v>
      </c>
      <c r="AM504" s="15">
        <f t="shared" si="310"/>
        <v>22.170849845882874</v>
      </c>
      <c r="AN504" s="75">
        <f>AM504*(1-PARAM!$C$27)*$I$12+(MOD($B504,60)=PARAM!$B$56)*($B504&gt;(60-PARAM!$B$56))*HLOOKUP(($B504+PARAM!$B$56)/12,Loyalty,2)*$F$1*MAX(AP503,0)</f>
        <v>18.557001321003963</v>
      </c>
      <c r="AO504" s="75">
        <f>PARAM!$C$26+MAX($G$12-CHOOSE(PARAM!$B$44,MAX(0,AP503*$F$1),0),0)*RATES!$L480/12+$H$12*(PARAM!$D$51/12)*RATES!$N480/100</f>
        <v>120.20833333333331</v>
      </c>
      <c r="AP504" s="16">
        <f t="shared" si="336"/>
        <v>-7521.7183940966815</v>
      </c>
      <c r="AQ504" s="15">
        <f t="shared" si="311"/>
        <v>22.170849845882874</v>
      </c>
      <c r="AR504" s="75">
        <f>AQ504*(1-PARAM!$C$27)*$I$13+(MOD($B504,60)=PARAM!$B$56)*($B504&gt;(60-PARAM!$B$56))*HLOOKUP(($B504+PARAM!$B$56)/12,Loyalty,2)*$F$1*MAX(AT503,0)</f>
        <v>18.557001321003963</v>
      </c>
      <c r="AS504" s="75">
        <f>PARAM!$C$26+MAX($G$13-CHOOSE(PARAM!$B$44,MAX(0,AT503*$F$1),0),0)*RATES!$L480/12+$H$13*(PARAM!$D$51/12)*RATES!$N480/100</f>
        <v>120.20833333333331</v>
      </c>
      <c r="AT504" s="16">
        <f t="shared" si="337"/>
        <v>-7521.7183940966815</v>
      </c>
      <c r="AU504" s="15">
        <f t="shared" si="312"/>
        <v>22.170849845882874</v>
      </c>
      <c r="AV504" s="75">
        <f>AU504*(1-PARAM!$C$27)*$I$14+(MOD($B504,60)=PARAM!$B$56)*($B504&gt;(60-PARAM!$B$56))*HLOOKUP(($B504+PARAM!$B$56)/12,Loyalty,2)*$F$1*MAX(AX503,0)</f>
        <v>18.557001321003963</v>
      </c>
      <c r="AW504" s="75">
        <f>PARAM!$C$26+MAX($G$14-CHOOSE(PARAM!$B$44,MAX(0,AX503*$F$1),0),0)*RATES!$L480/12+$H$14*(PARAM!$D$51/12)*RATES!$N480/100</f>
        <v>120.20833333333331</v>
      </c>
      <c r="AX504" s="16">
        <f t="shared" si="338"/>
        <v>-7521.7183940966815</v>
      </c>
      <c r="AY504" s="15">
        <f t="shared" si="313"/>
        <v>22.170849845882874</v>
      </c>
      <c r="AZ504" s="75">
        <f>AY504*(1-PARAM!$C$27)*$I$15+(MOD($B504,60)=PARAM!$B$56)*($B504&gt;(60-PARAM!$B$56))*HLOOKUP(($B504+PARAM!$B$56)/12,Loyalty,2)*$F$1*MAX(BB503,0)</f>
        <v>18.557001321003963</v>
      </c>
      <c r="BA504" s="75">
        <f>PARAM!$C$26+MAX($G$15-CHOOSE(PARAM!$B$44,MAX(0,BB503*$F$1),0),0)*RATES!$L480/12+$H$15*(PARAM!$D$51/12)*RATES!$N480/100</f>
        <v>120.20833333333331</v>
      </c>
      <c r="BB504" s="16">
        <f t="shared" si="339"/>
        <v>-7521.7183940966815</v>
      </c>
      <c r="BC504" s="15">
        <f t="shared" si="314"/>
        <v>22.170849845882874</v>
      </c>
      <c r="BD504" s="75">
        <f>BC504*(1-PARAM!$C$27)*$I$16+(MOD($B504,60)=PARAM!$B$56)*($B504&gt;(60-PARAM!$B$56))*HLOOKUP(($B504+PARAM!$B$56)/12,Loyalty,2)*$F$1*MAX(BF503,0)</f>
        <v>18.557001321003963</v>
      </c>
      <c r="BE504" s="75">
        <f>PARAM!$C$26+MAX($G$16-CHOOSE(PARAM!$B$44,MAX(0,BF503*$F$1),0),0)*RATES!$L480/12+$H$16*(PARAM!$D$51/12)*RATES!$N480/100</f>
        <v>120.20833333333331</v>
      </c>
      <c r="BF504" s="16">
        <f t="shared" si="340"/>
        <v>-7521.7183940966815</v>
      </c>
      <c r="BG504" s="15">
        <f t="shared" si="315"/>
        <v>22.170849845882874</v>
      </c>
      <c r="BH504" s="75">
        <f>BG504*(1-PARAM!$C$27)*$I$17+(MOD($B504,60)=PARAM!$B$56)*($B504&gt;(60-PARAM!$B$56))*HLOOKUP(($B504+PARAM!$B$56)/12,Loyalty,2)*$F$1*MAX(BJ503,0)</f>
        <v>18.557001321003963</v>
      </c>
      <c r="BI504" s="75">
        <f>PARAM!$C$26+MAX($G$17-CHOOSE(PARAM!$B$44,MAX(0,BJ503*$F$1),0),0)*RATES!$L480/12+$H$17*(PARAM!$D$51/12)*RATES!$N480/100</f>
        <v>120.20833333333331</v>
      </c>
      <c r="BJ504" s="16">
        <f t="shared" si="341"/>
        <v>-7521.7183940966815</v>
      </c>
      <c r="BK504" s="15">
        <f t="shared" si="316"/>
        <v>22.170849845882874</v>
      </c>
      <c r="BL504" s="75">
        <f>BK504*(1-PARAM!$C$27)*$I$18+(MOD($B504,60)=PARAM!$B$56)*($B504&gt;(60-PARAM!$B$56))*HLOOKUP(($B504+PARAM!$B$56)/12,Loyalty,2)*$F$1*MAX(BN503,0)</f>
        <v>18.557001321003963</v>
      </c>
      <c r="BM504" s="75">
        <f>PARAM!$C$26+MAX($G$18-CHOOSE(PARAM!$B$44,MAX(0,BN503*$F$1),0),0)*RATES!$L480/12+$H$18*(PARAM!$D$51/12)*RATES!$N480/100</f>
        <v>120.20833333333331</v>
      </c>
      <c r="BN504" s="16">
        <f t="shared" si="342"/>
        <v>-7521.7183940966815</v>
      </c>
      <c r="BO504" s="15">
        <f t="shared" si="317"/>
        <v>22.170849845882874</v>
      </c>
      <c r="BP504" s="75">
        <f>BO504*(1-PARAM!$C$27)*$I$19+(MOD($B504,60)=PARAM!$B$56)*($B504&gt;(60-PARAM!$B$56))*HLOOKUP(($B504+PARAM!$B$56)/12,Loyalty,2)*$F$1*MAX(BR503,0)</f>
        <v>18.557001321003963</v>
      </c>
      <c r="BQ504" s="75">
        <f>PARAM!$C$26+MAX($G$19-CHOOSE(PARAM!$B$44,MAX(0,BR503*$F$1),0),0)*RATES!$L480/12+$H$19*(PARAM!$D$51/12)*RATES!$N480/100</f>
        <v>120.20833333333331</v>
      </c>
      <c r="BR504" s="16">
        <f t="shared" si="343"/>
        <v>-7521.7183940966815</v>
      </c>
      <c r="BS504" s="15">
        <f t="shared" si="318"/>
        <v>22.170849845882874</v>
      </c>
      <c r="BT504" s="75">
        <f>BS504*(1-PARAM!$C$27)*$I$20+(MOD($B504,60)=PARAM!$B$56)*($B504&gt;(60-PARAM!$B$56))*HLOOKUP(($B504+PARAM!$B$56)/12,Loyalty,2)*$F$1*MAX(BV503,0)</f>
        <v>18.557001321003963</v>
      </c>
      <c r="BU504" s="75">
        <f>PARAM!$C$26+MAX($G$20-CHOOSE(PARAM!$B$44,MAX(0,BV503*$F$1),0),0)*RATES!$L480/12+$H$20*(PARAM!$D$51/12)*RATES!$N480/100</f>
        <v>120.20833333333331</v>
      </c>
      <c r="BV504" s="16">
        <f t="shared" si="344"/>
        <v>-7521.7183940966815</v>
      </c>
      <c r="BW504" s="15">
        <f t="shared" si="319"/>
        <v>22.170849845882874</v>
      </c>
      <c r="BX504" s="75">
        <f>BW504*(1-PARAM!$C$27)*$I$21+(MOD($B504,60)=PARAM!$B$56)*($B504&gt;(60-PARAM!$B$56))*HLOOKUP(($B504+PARAM!$B$56)/12,Loyalty,2)*$F$1*MAX(BZ503,0)</f>
        <v>18.557001321003963</v>
      </c>
      <c r="BY504" s="75">
        <f>PARAM!$C$26+MAX($G$21-CHOOSE(PARAM!$B$44,MAX(0,BZ503*$F$1),0),0)*RATES!$L480/12+$H$21*(PARAM!$D$51/12)*RATES!$N480/100</f>
        <v>120.20833333333331</v>
      </c>
      <c r="BZ504" s="16">
        <f t="shared" si="345"/>
        <v>-7521.7183940966815</v>
      </c>
      <c r="CA504" s="15">
        <f t="shared" si="320"/>
        <v>22.170849845882874</v>
      </c>
      <c r="CB504" s="75">
        <f>CA504*(1-PARAM!$C$27)*$I$22+(MOD($B504,60)=PARAM!$B$56)*($B504&gt;(60-PARAM!$B$56))*HLOOKUP(($B504+PARAM!$B$56)/12,Loyalty,2)*$F$1*MAX(CD503,0)</f>
        <v>18.557001321003963</v>
      </c>
      <c r="CC504" s="75">
        <f>PARAM!$C$26+MAX($G$22-CHOOSE(PARAM!$B$44,MAX(0,CD503*$F$1),0),0)*RATES!$L480/12+$H$22*(PARAM!$D$51/12)*RATES!$N480/100</f>
        <v>120.20833333333331</v>
      </c>
      <c r="CD504" s="16">
        <f t="shared" si="346"/>
        <v>-7521.7183940966815</v>
      </c>
      <c r="CE504" s="33">
        <f>IF(0=MOD(B504,12/PARAM!$D$51),1,0)</f>
        <v>1</v>
      </c>
      <c r="CF504" s="15">
        <f t="shared" si="321"/>
        <v>0</v>
      </c>
      <c r="CG504" s="75">
        <f>CF504*(1-PARAM!$C$27)*$R$3+(MOD($B504/12,5)=0)*($B504&gt;60)*HLOOKUP($B504/12,Loyalty,2)*$F$1*MAX(CI503,0)</f>
        <v>0</v>
      </c>
      <c r="CH504" s="75">
        <f>PARAM!$C$26+MAX($P$3-CHOOSE(PARAM!$B$44,MAX(0,CI503*$F$1),0),0)*RATES!$L480/12+$Q$3*(PARAM!$D$51/12)*RATES!$N480/100</f>
        <v>120.20833333333331</v>
      </c>
      <c r="CI504" s="16">
        <f>IF(CI503&gt;0,CI503*PARAM!$C$53,CI503)+CG504-CH504</f>
        <v>-16253.833333333323</v>
      </c>
      <c r="CJ504" s="15">
        <f t="shared" si="347"/>
        <v>0</v>
      </c>
      <c r="CK504" s="75">
        <f>CJ504*(1-PARAM!$C$27)*$R$4+(MOD($B504/12,5)=0)*($B504&gt;60)*HLOOKUP($B504/12,Loyalty,2)*$F$1*MAX(CM503,0)</f>
        <v>0</v>
      </c>
      <c r="CL504" s="75">
        <f>PARAM!$C$26+MAX($P$4-CHOOSE(PARAM!$B$44,MAX(0,CM503*$F$1),0),0)*RATES!$L480/12+$Q$4*(PARAM!$D$51/12)*RATES!$N480/100</f>
        <v>120.20833333333331</v>
      </c>
      <c r="CM504" s="16">
        <f>IF(CM503&gt;0,CM503*PARAM!$C$53,CM503)+CK504-CL504</f>
        <v>-16253.833333333323</v>
      </c>
      <c r="CO504" s="176"/>
    </row>
    <row r="505" spans="1:93" x14ac:dyDescent="0.2">
      <c r="A505" t="b">
        <f t="shared" si="322"/>
        <v>0</v>
      </c>
      <c r="B505" s="33">
        <v>478</v>
      </c>
      <c r="C505" s="15">
        <f t="shared" si="323"/>
        <v>20.081305947392778</v>
      </c>
      <c r="D505" s="75">
        <f>C505*(1-PARAM!$C$27)*$I$3+(MOD($B505,60)=PARAM!$B$56)*($B505&gt;(60-PARAM!$B$56))*HLOOKUP(($B505+PARAM!$B$56)/12,Loyalty,2)*$F$1*MAX(F504,0)</f>
        <v>16.808053077967756</v>
      </c>
      <c r="E505" s="75">
        <f>PARAM!$C$26+MAX($G$3-CHOOSE(PARAM!$B$44,MAX(0,F504*$F$1),0),0)*RATES!$L481/12+$H$3*(PARAM!$D$51/12)*RATES!$N481/100</f>
        <v>120.20833333333331</v>
      </c>
      <c r="F505" s="16">
        <f t="shared" si="324"/>
        <v>-8496.2174868018101</v>
      </c>
      <c r="G505" s="15">
        <f t="shared" si="325"/>
        <v>22.035289406060361</v>
      </c>
      <c r="H505" s="75">
        <f>G505*(1-PARAM!$C$27)*$I$4+(MOD($B505,60)=PARAM!$B$56)*($B505&gt;(60-PARAM!$B$56))*HLOOKUP(($B505+PARAM!$B$56)/12,Loyalty,2)*$F$1*MAX(J504,0)</f>
        <v>18.443537232872522</v>
      </c>
      <c r="I505" s="75">
        <f>PARAM!$C$26+MAX($G$4-CHOOSE(PARAM!$B$44,MAX(0,J504*$F$1),0),0)*RATES!$L481/12+$H$4*(PARAM!$D$51/12)*RATES!$N481/100</f>
        <v>120.20833333333331</v>
      </c>
      <c r="J505" s="16">
        <f t="shared" si="326"/>
        <v>-7680.6230966356143</v>
      </c>
      <c r="K505" s="15">
        <f t="shared" si="327"/>
        <v>22.170849845882874</v>
      </c>
      <c r="L505" s="75">
        <f>K505*(1-PARAM!$C$27)*$I$5+(MOD($B505,60)=PARAM!$B$56)*($B505&gt;(60-PARAM!$B$56))*HLOOKUP(($B505+PARAM!$B$56)/12,Loyalty,2)*$F$1*MAX(N504,0)</f>
        <v>18.557001321003963</v>
      </c>
      <c r="M505" s="75">
        <f>PARAM!$C$26+MAX($G$5-CHOOSE(PARAM!$B$44,MAX(0,N504*$F$1),0),0)*RATES!$L481/12+$H$5*(PARAM!$D$51/12)*RATES!$N481/100</f>
        <v>120.20833333333331</v>
      </c>
      <c r="N505" s="16">
        <f t="shared" si="328"/>
        <v>-7623.369726109011</v>
      </c>
      <c r="O505" s="15">
        <f t="shared" si="329"/>
        <v>22.170849845882874</v>
      </c>
      <c r="P505" s="75">
        <f>O505*(1-PARAM!$C$27)*$I$6+(MOD($B505,60)=PARAM!$B$56)*($B505&gt;(60-PARAM!$B$56))*HLOOKUP(($B505+PARAM!$B$56)/12,Loyalty,2)*$F$1*MAX(R504,0)</f>
        <v>18.557001321003963</v>
      </c>
      <c r="Q505" s="75">
        <f>PARAM!$C$26+MAX($G$6-CHOOSE(PARAM!$B$44,MAX(0,R504*$F$1),0),0)*RATES!$L481/12+$H$6*(PARAM!$D$51/12)*RATES!$N481/100</f>
        <v>120.20833333333331</v>
      </c>
      <c r="R505" s="16">
        <f t="shared" si="330"/>
        <v>-7623.369726109011</v>
      </c>
      <c r="S505" s="15">
        <f t="shared" si="305"/>
        <v>22.170849845882874</v>
      </c>
      <c r="T505" s="75">
        <f>S505*(1-PARAM!$C$27)*$I$7+(MOD($B505,60)=PARAM!$B$56)*($B505&gt;(60-PARAM!$B$56))*HLOOKUP(($B505+PARAM!$B$56)/12,Loyalty,2)*$F$1*MAX(V504,0)</f>
        <v>18.557001321003963</v>
      </c>
      <c r="U505" s="75">
        <f>PARAM!$C$26+MAX($G$7-CHOOSE(PARAM!$B$44,MAX(0,V504*$F$1),0),0)*RATES!$L481/12+$H$7*(PARAM!$D$51/12)*RATES!$N481/100</f>
        <v>120.20833333333331</v>
      </c>
      <c r="V505" s="16">
        <f t="shared" si="331"/>
        <v>-7623.369726109011</v>
      </c>
      <c r="W505" s="15">
        <f t="shared" si="306"/>
        <v>22.170849845882874</v>
      </c>
      <c r="X505" s="75">
        <f>W505*(1-PARAM!$C$27)*$I$8+(MOD($B505,60)=PARAM!$B$56)*($B505&gt;(60-PARAM!$B$56))*HLOOKUP(($B505+PARAM!$B$56)/12,Loyalty,2)*$F$1*MAX(Z504,0)</f>
        <v>18.557001321003963</v>
      </c>
      <c r="Y505" s="75">
        <f>PARAM!$C$26+MAX($G$8-CHOOSE(PARAM!$B$44,MAX(0,Z504*$F$1),0),0)*RATES!$L481/12+$H$8*(PARAM!$D$51/12)*RATES!$N481/100</f>
        <v>120.20833333333331</v>
      </c>
      <c r="Z505" s="16">
        <f t="shared" si="332"/>
        <v>-7623.369726109011</v>
      </c>
      <c r="AA505" s="15">
        <f t="shared" si="307"/>
        <v>22.170849845882874</v>
      </c>
      <c r="AB505" s="75">
        <f>AA505*(1-PARAM!$C$27)*$I$9+(MOD($B505,60)=PARAM!$B$56)*($B505&gt;(60-PARAM!$B$56))*HLOOKUP(($B505+PARAM!$B$56)/12,Loyalty,2)*$F$1*MAX(AD504,0)</f>
        <v>18.557001321003963</v>
      </c>
      <c r="AC505" s="75">
        <f>PARAM!$C$26+MAX($G$9-CHOOSE(PARAM!$B$44,MAX(0,AD504*$F$1),0),0)*RATES!$L481/12+$H$9*(PARAM!$D$51/12)*RATES!$N481/100</f>
        <v>120.20833333333331</v>
      </c>
      <c r="AD505" s="16">
        <f t="shared" si="333"/>
        <v>-7623.369726109011</v>
      </c>
      <c r="AE505" s="15">
        <f t="shared" si="308"/>
        <v>22.170849845882874</v>
      </c>
      <c r="AF505" s="75">
        <f>AE505*(1-PARAM!$C$27)*$I$10+(MOD($B505,60)=PARAM!$B$56)*($B505&gt;(60-PARAM!$B$56))*HLOOKUP(($B505+PARAM!$B$56)/12,Loyalty,2)*$F$1*MAX(AH504,0)</f>
        <v>18.557001321003963</v>
      </c>
      <c r="AG505" s="75">
        <f>PARAM!$C$26+MAX($G$10-CHOOSE(PARAM!$B$44,MAX(0,AH504*$F$1),0),0)*RATES!$L481/12+$H$10*(PARAM!$D$51/12)*RATES!$N481/100</f>
        <v>120.20833333333331</v>
      </c>
      <c r="AH505" s="16">
        <f t="shared" si="334"/>
        <v>-7623.369726109011</v>
      </c>
      <c r="AI505" s="15">
        <f t="shared" si="309"/>
        <v>22.170849845882874</v>
      </c>
      <c r="AJ505" s="75">
        <f>AI505*(1-PARAM!$C$27)*$I$11+(MOD($B505,60)=PARAM!$B$56)*($B505&gt;(60-PARAM!$B$56))*HLOOKUP(($B505+PARAM!$B$56)/12,Loyalty,2)*$F$1*MAX(AL504,0)</f>
        <v>18.557001321003963</v>
      </c>
      <c r="AK505" s="75">
        <f>PARAM!$C$26+MAX($G$11-CHOOSE(PARAM!$B$44,MAX(0,AL504*$F$1),0),0)*RATES!$L481/12+$H$11*(PARAM!$D$51/12)*RATES!$N481/100</f>
        <v>120.20833333333331</v>
      </c>
      <c r="AL505" s="16">
        <f t="shared" si="335"/>
        <v>-7623.369726109011</v>
      </c>
      <c r="AM505" s="15">
        <f t="shared" si="310"/>
        <v>22.170849845882874</v>
      </c>
      <c r="AN505" s="75">
        <f>AM505*(1-PARAM!$C$27)*$I$12+(MOD($B505,60)=PARAM!$B$56)*($B505&gt;(60-PARAM!$B$56))*HLOOKUP(($B505+PARAM!$B$56)/12,Loyalty,2)*$F$1*MAX(AP504,0)</f>
        <v>18.557001321003963</v>
      </c>
      <c r="AO505" s="75">
        <f>PARAM!$C$26+MAX($G$12-CHOOSE(PARAM!$B$44,MAX(0,AP504*$F$1),0),0)*RATES!$L481/12+$H$12*(PARAM!$D$51/12)*RATES!$N481/100</f>
        <v>120.20833333333331</v>
      </c>
      <c r="AP505" s="16">
        <f t="shared" si="336"/>
        <v>-7623.369726109011</v>
      </c>
      <c r="AQ505" s="15">
        <f t="shared" si="311"/>
        <v>22.170849845882874</v>
      </c>
      <c r="AR505" s="75">
        <f>AQ505*(1-PARAM!$C$27)*$I$13+(MOD($B505,60)=PARAM!$B$56)*($B505&gt;(60-PARAM!$B$56))*HLOOKUP(($B505+PARAM!$B$56)/12,Loyalty,2)*$F$1*MAX(AT504,0)</f>
        <v>18.557001321003963</v>
      </c>
      <c r="AS505" s="75">
        <f>PARAM!$C$26+MAX($G$13-CHOOSE(PARAM!$B$44,MAX(0,AT504*$F$1),0),0)*RATES!$L481/12+$H$13*(PARAM!$D$51/12)*RATES!$N481/100</f>
        <v>120.20833333333331</v>
      </c>
      <c r="AT505" s="16">
        <f t="shared" si="337"/>
        <v>-7623.369726109011</v>
      </c>
      <c r="AU505" s="15">
        <f t="shared" si="312"/>
        <v>22.170849845882874</v>
      </c>
      <c r="AV505" s="75">
        <f>AU505*(1-PARAM!$C$27)*$I$14+(MOD($B505,60)=PARAM!$B$56)*($B505&gt;(60-PARAM!$B$56))*HLOOKUP(($B505+PARAM!$B$56)/12,Loyalty,2)*$F$1*MAX(AX504,0)</f>
        <v>18.557001321003963</v>
      </c>
      <c r="AW505" s="75">
        <f>PARAM!$C$26+MAX($G$14-CHOOSE(PARAM!$B$44,MAX(0,AX504*$F$1),0),0)*RATES!$L481/12+$H$14*(PARAM!$D$51/12)*RATES!$N481/100</f>
        <v>120.20833333333331</v>
      </c>
      <c r="AX505" s="16">
        <f t="shared" si="338"/>
        <v>-7623.369726109011</v>
      </c>
      <c r="AY505" s="15">
        <f t="shared" si="313"/>
        <v>22.170849845882874</v>
      </c>
      <c r="AZ505" s="75">
        <f>AY505*(1-PARAM!$C$27)*$I$15+(MOD($B505,60)=PARAM!$B$56)*($B505&gt;(60-PARAM!$B$56))*HLOOKUP(($B505+PARAM!$B$56)/12,Loyalty,2)*$F$1*MAX(BB504,0)</f>
        <v>18.557001321003963</v>
      </c>
      <c r="BA505" s="75">
        <f>PARAM!$C$26+MAX($G$15-CHOOSE(PARAM!$B$44,MAX(0,BB504*$F$1),0),0)*RATES!$L481/12+$H$15*(PARAM!$D$51/12)*RATES!$N481/100</f>
        <v>120.20833333333331</v>
      </c>
      <c r="BB505" s="16">
        <f t="shared" si="339"/>
        <v>-7623.369726109011</v>
      </c>
      <c r="BC505" s="15">
        <f t="shared" si="314"/>
        <v>22.170849845882874</v>
      </c>
      <c r="BD505" s="75">
        <f>BC505*(1-PARAM!$C$27)*$I$16+(MOD($B505,60)=PARAM!$B$56)*($B505&gt;(60-PARAM!$B$56))*HLOOKUP(($B505+PARAM!$B$56)/12,Loyalty,2)*$F$1*MAX(BF504,0)</f>
        <v>18.557001321003963</v>
      </c>
      <c r="BE505" s="75">
        <f>PARAM!$C$26+MAX($G$16-CHOOSE(PARAM!$B$44,MAX(0,BF504*$F$1),0),0)*RATES!$L481/12+$H$16*(PARAM!$D$51/12)*RATES!$N481/100</f>
        <v>120.20833333333331</v>
      </c>
      <c r="BF505" s="16">
        <f t="shared" si="340"/>
        <v>-7623.369726109011</v>
      </c>
      <c r="BG505" s="15">
        <f t="shared" si="315"/>
        <v>22.170849845882874</v>
      </c>
      <c r="BH505" s="75">
        <f>BG505*(1-PARAM!$C$27)*$I$17+(MOD($B505,60)=PARAM!$B$56)*($B505&gt;(60-PARAM!$B$56))*HLOOKUP(($B505+PARAM!$B$56)/12,Loyalty,2)*$F$1*MAX(BJ504,0)</f>
        <v>18.557001321003963</v>
      </c>
      <c r="BI505" s="75">
        <f>PARAM!$C$26+MAX($G$17-CHOOSE(PARAM!$B$44,MAX(0,BJ504*$F$1),0),0)*RATES!$L481/12+$H$17*(PARAM!$D$51/12)*RATES!$N481/100</f>
        <v>120.20833333333331</v>
      </c>
      <c r="BJ505" s="16">
        <f t="shared" si="341"/>
        <v>-7623.369726109011</v>
      </c>
      <c r="BK505" s="15">
        <f t="shared" si="316"/>
        <v>22.170849845882874</v>
      </c>
      <c r="BL505" s="75">
        <f>BK505*(1-PARAM!$C$27)*$I$18+(MOD($B505,60)=PARAM!$B$56)*($B505&gt;(60-PARAM!$B$56))*HLOOKUP(($B505+PARAM!$B$56)/12,Loyalty,2)*$F$1*MAX(BN504,0)</f>
        <v>18.557001321003963</v>
      </c>
      <c r="BM505" s="75">
        <f>PARAM!$C$26+MAX($G$18-CHOOSE(PARAM!$B$44,MAX(0,BN504*$F$1),0),0)*RATES!$L481/12+$H$18*(PARAM!$D$51/12)*RATES!$N481/100</f>
        <v>120.20833333333331</v>
      </c>
      <c r="BN505" s="16">
        <f t="shared" si="342"/>
        <v>-7623.369726109011</v>
      </c>
      <c r="BO505" s="15">
        <f t="shared" si="317"/>
        <v>22.170849845882874</v>
      </c>
      <c r="BP505" s="75">
        <f>BO505*(1-PARAM!$C$27)*$I$19+(MOD($B505,60)=PARAM!$B$56)*($B505&gt;(60-PARAM!$B$56))*HLOOKUP(($B505+PARAM!$B$56)/12,Loyalty,2)*$F$1*MAX(BR504,0)</f>
        <v>18.557001321003963</v>
      </c>
      <c r="BQ505" s="75">
        <f>PARAM!$C$26+MAX($G$19-CHOOSE(PARAM!$B$44,MAX(0,BR504*$F$1),0),0)*RATES!$L481/12+$H$19*(PARAM!$D$51/12)*RATES!$N481/100</f>
        <v>120.20833333333331</v>
      </c>
      <c r="BR505" s="16">
        <f t="shared" si="343"/>
        <v>-7623.369726109011</v>
      </c>
      <c r="BS505" s="15">
        <f t="shared" si="318"/>
        <v>22.170849845882874</v>
      </c>
      <c r="BT505" s="75">
        <f>BS505*(1-PARAM!$C$27)*$I$20+(MOD($B505,60)=PARAM!$B$56)*($B505&gt;(60-PARAM!$B$56))*HLOOKUP(($B505+PARAM!$B$56)/12,Loyalty,2)*$F$1*MAX(BV504,0)</f>
        <v>18.557001321003963</v>
      </c>
      <c r="BU505" s="75">
        <f>PARAM!$C$26+MAX($G$20-CHOOSE(PARAM!$B$44,MAX(0,BV504*$F$1),0),0)*RATES!$L481/12+$H$20*(PARAM!$D$51/12)*RATES!$N481/100</f>
        <v>120.20833333333331</v>
      </c>
      <c r="BV505" s="16">
        <f t="shared" si="344"/>
        <v>-7623.369726109011</v>
      </c>
      <c r="BW505" s="15">
        <f t="shared" si="319"/>
        <v>22.170849845882874</v>
      </c>
      <c r="BX505" s="75">
        <f>BW505*(1-PARAM!$C$27)*$I$21+(MOD($B505,60)=PARAM!$B$56)*($B505&gt;(60-PARAM!$B$56))*HLOOKUP(($B505+PARAM!$B$56)/12,Loyalty,2)*$F$1*MAX(BZ504,0)</f>
        <v>18.557001321003963</v>
      </c>
      <c r="BY505" s="75">
        <f>PARAM!$C$26+MAX($G$21-CHOOSE(PARAM!$B$44,MAX(0,BZ504*$F$1),0),0)*RATES!$L481/12+$H$21*(PARAM!$D$51/12)*RATES!$N481/100</f>
        <v>120.20833333333331</v>
      </c>
      <c r="BZ505" s="16">
        <f t="shared" si="345"/>
        <v>-7623.369726109011</v>
      </c>
      <c r="CA505" s="15">
        <f t="shared" si="320"/>
        <v>22.170849845882874</v>
      </c>
      <c r="CB505" s="75">
        <f>CA505*(1-PARAM!$C$27)*$I$22+(MOD($B505,60)=PARAM!$B$56)*($B505&gt;(60-PARAM!$B$56))*HLOOKUP(($B505+PARAM!$B$56)/12,Loyalty,2)*$F$1*MAX(CD504,0)</f>
        <v>18.557001321003963</v>
      </c>
      <c r="CC505" s="75">
        <f>PARAM!$C$26+MAX($G$22-CHOOSE(PARAM!$B$44,MAX(0,CD504*$F$1),0),0)*RATES!$L481/12+$H$22*(PARAM!$D$51/12)*RATES!$N481/100</f>
        <v>120.20833333333331</v>
      </c>
      <c r="CD505" s="16">
        <f t="shared" si="346"/>
        <v>-7623.369726109011</v>
      </c>
      <c r="CE505" s="33">
        <f>IF(0=MOD(B505,12/PARAM!$D$51),1,0)</f>
        <v>1</v>
      </c>
      <c r="CF505" s="15">
        <f t="shared" si="321"/>
        <v>0</v>
      </c>
      <c r="CG505" s="75">
        <f>CF505*(1-PARAM!$C$27)*$R$3+(MOD($B505/12,5)=0)*($B505&gt;60)*HLOOKUP($B505/12,Loyalty,2)*$F$1*MAX(CI504,0)</f>
        <v>0</v>
      </c>
      <c r="CH505" s="75">
        <f>PARAM!$C$26+MAX($P$3-CHOOSE(PARAM!$B$44,MAX(0,CI504*$F$1),0),0)*RATES!$L481/12+$Q$3*(PARAM!$D$51/12)*RATES!$N481/100</f>
        <v>120.20833333333331</v>
      </c>
      <c r="CI505" s="16">
        <f>IF(CI504&gt;0,CI504*PARAM!$C$53,CI504)+CG505-CH505</f>
        <v>-16374.041666666657</v>
      </c>
      <c r="CJ505" s="15">
        <f t="shared" si="347"/>
        <v>0</v>
      </c>
      <c r="CK505" s="75">
        <f>CJ505*(1-PARAM!$C$27)*$R$4+(MOD($B505/12,5)=0)*($B505&gt;60)*HLOOKUP($B505/12,Loyalty,2)*$F$1*MAX(CM504,0)</f>
        <v>0</v>
      </c>
      <c r="CL505" s="75">
        <f>PARAM!$C$26+MAX($P$4-CHOOSE(PARAM!$B$44,MAX(0,CM504*$F$1),0),0)*RATES!$L481/12+$Q$4*(PARAM!$D$51/12)*RATES!$N481/100</f>
        <v>120.20833333333331</v>
      </c>
      <c r="CM505" s="16">
        <f>IF(CM504&gt;0,CM504*PARAM!$C$53,CM504)+CK505-CL505</f>
        <v>-16374.041666666657</v>
      </c>
      <c r="CO505" s="176"/>
    </row>
    <row r="506" spans="1:93" x14ac:dyDescent="0.2">
      <c r="A506" t="b">
        <f t="shared" si="322"/>
        <v>0</v>
      </c>
      <c r="B506" s="33">
        <v>479</v>
      </c>
      <c r="C506" s="15">
        <f t="shared" si="323"/>
        <v>20.081305947392778</v>
      </c>
      <c r="D506" s="75">
        <f>C506*(1-PARAM!$C$27)*$I$3+(MOD($B506,60)=PARAM!$B$56)*($B506&gt;(60-PARAM!$B$56))*HLOOKUP(($B506+PARAM!$B$56)/12,Loyalty,2)*$F$1*MAX(F505,0)</f>
        <v>16.808053077967756</v>
      </c>
      <c r="E506" s="75">
        <f>PARAM!$C$26+MAX($G$3-CHOOSE(PARAM!$B$44,MAX(0,F505*$F$1),0),0)*RATES!$L482/12+$H$3*(PARAM!$D$51/12)*RATES!$N482/100</f>
        <v>120.20833333333331</v>
      </c>
      <c r="F506" s="16">
        <f t="shared" si="324"/>
        <v>-8599.617767057176</v>
      </c>
      <c r="G506" s="15">
        <f t="shared" si="325"/>
        <v>22.035289406060361</v>
      </c>
      <c r="H506" s="75">
        <f>G506*(1-PARAM!$C$27)*$I$4+(MOD($B506,60)=PARAM!$B$56)*($B506&gt;(60-PARAM!$B$56))*HLOOKUP(($B506+PARAM!$B$56)/12,Loyalty,2)*$F$1*MAX(J505,0)</f>
        <v>18.443537232872522</v>
      </c>
      <c r="I506" s="75">
        <f>PARAM!$C$26+MAX($G$4-CHOOSE(PARAM!$B$44,MAX(0,J505*$F$1),0),0)*RATES!$L482/12+$H$4*(PARAM!$D$51/12)*RATES!$N482/100</f>
        <v>120.20833333333331</v>
      </c>
      <c r="J506" s="16">
        <f t="shared" si="326"/>
        <v>-7782.3878927360747</v>
      </c>
      <c r="K506" s="15">
        <f t="shared" si="327"/>
        <v>22.170849845882874</v>
      </c>
      <c r="L506" s="75">
        <f>K506*(1-PARAM!$C$27)*$I$5+(MOD($B506,60)=PARAM!$B$56)*($B506&gt;(60-PARAM!$B$56))*HLOOKUP(($B506+PARAM!$B$56)/12,Loyalty,2)*$F$1*MAX(N505,0)</f>
        <v>18.557001321003963</v>
      </c>
      <c r="M506" s="75">
        <f>PARAM!$C$26+MAX($G$5-CHOOSE(PARAM!$B$44,MAX(0,N505*$F$1),0),0)*RATES!$L482/12+$H$5*(PARAM!$D$51/12)*RATES!$N482/100</f>
        <v>120.20833333333331</v>
      </c>
      <c r="N506" s="16">
        <f t="shared" si="328"/>
        <v>-7725.0210581213405</v>
      </c>
      <c r="O506" s="15">
        <f t="shared" si="329"/>
        <v>22.170849845882874</v>
      </c>
      <c r="P506" s="75">
        <f>O506*(1-PARAM!$C$27)*$I$6+(MOD($B506,60)=PARAM!$B$56)*($B506&gt;(60-PARAM!$B$56))*HLOOKUP(($B506+PARAM!$B$56)/12,Loyalty,2)*$F$1*MAX(R505,0)</f>
        <v>18.557001321003963</v>
      </c>
      <c r="Q506" s="75">
        <f>PARAM!$C$26+MAX($G$6-CHOOSE(PARAM!$B$44,MAX(0,R505*$F$1),0),0)*RATES!$L482/12+$H$6*(PARAM!$D$51/12)*RATES!$N482/100</f>
        <v>120.20833333333331</v>
      </c>
      <c r="R506" s="16">
        <f t="shared" si="330"/>
        <v>-7725.0210581213405</v>
      </c>
      <c r="S506" s="15">
        <f t="shared" si="305"/>
        <v>22.170849845882874</v>
      </c>
      <c r="T506" s="75">
        <f>S506*(1-PARAM!$C$27)*$I$7+(MOD($B506,60)=PARAM!$B$56)*($B506&gt;(60-PARAM!$B$56))*HLOOKUP(($B506+PARAM!$B$56)/12,Loyalty,2)*$F$1*MAX(V505,0)</f>
        <v>18.557001321003963</v>
      </c>
      <c r="U506" s="75">
        <f>PARAM!$C$26+MAX($G$7-CHOOSE(PARAM!$B$44,MAX(0,V505*$F$1),0),0)*RATES!$L482/12+$H$7*(PARAM!$D$51/12)*RATES!$N482/100</f>
        <v>120.20833333333331</v>
      </c>
      <c r="V506" s="16">
        <f t="shared" si="331"/>
        <v>-7725.0210581213405</v>
      </c>
      <c r="W506" s="15">
        <f t="shared" si="306"/>
        <v>22.170849845882874</v>
      </c>
      <c r="X506" s="75">
        <f>W506*(1-PARAM!$C$27)*$I$8+(MOD($B506,60)=PARAM!$B$56)*($B506&gt;(60-PARAM!$B$56))*HLOOKUP(($B506+PARAM!$B$56)/12,Loyalty,2)*$F$1*MAX(Z505,0)</f>
        <v>18.557001321003963</v>
      </c>
      <c r="Y506" s="75">
        <f>PARAM!$C$26+MAX($G$8-CHOOSE(PARAM!$B$44,MAX(0,Z505*$F$1),0),0)*RATES!$L482/12+$H$8*(PARAM!$D$51/12)*RATES!$N482/100</f>
        <v>120.20833333333331</v>
      </c>
      <c r="Z506" s="16">
        <f t="shared" si="332"/>
        <v>-7725.0210581213405</v>
      </c>
      <c r="AA506" s="15">
        <f t="shared" si="307"/>
        <v>22.170849845882874</v>
      </c>
      <c r="AB506" s="75">
        <f>AA506*(1-PARAM!$C$27)*$I$9+(MOD($B506,60)=PARAM!$B$56)*($B506&gt;(60-PARAM!$B$56))*HLOOKUP(($B506+PARAM!$B$56)/12,Loyalty,2)*$F$1*MAX(AD505,0)</f>
        <v>18.557001321003963</v>
      </c>
      <c r="AC506" s="75">
        <f>PARAM!$C$26+MAX($G$9-CHOOSE(PARAM!$B$44,MAX(0,AD505*$F$1),0),0)*RATES!$L482/12+$H$9*(PARAM!$D$51/12)*RATES!$N482/100</f>
        <v>120.20833333333331</v>
      </c>
      <c r="AD506" s="16">
        <f t="shared" si="333"/>
        <v>-7725.0210581213405</v>
      </c>
      <c r="AE506" s="15">
        <f t="shared" si="308"/>
        <v>22.170849845882874</v>
      </c>
      <c r="AF506" s="75">
        <f>AE506*(1-PARAM!$C$27)*$I$10+(MOD($B506,60)=PARAM!$B$56)*($B506&gt;(60-PARAM!$B$56))*HLOOKUP(($B506+PARAM!$B$56)/12,Loyalty,2)*$F$1*MAX(AH505,0)</f>
        <v>18.557001321003963</v>
      </c>
      <c r="AG506" s="75">
        <f>PARAM!$C$26+MAX($G$10-CHOOSE(PARAM!$B$44,MAX(0,AH505*$F$1),0),0)*RATES!$L482/12+$H$10*(PARAM!$D$51/12)*RATES!$N482/100</f>
        <v>120.20833333333331</v>
      </c>
      <c r="AH506" s="16">
        <f t="shared" si="334"/>
        <v>-7725.0210581213405</v>
      </c>
      <c r="AI506" s="15">
        <f t="shared" si="309"/>
        <v>22.170849845882874</v>
      </c>
      <c r="AJ506" s="75">
        <f>AI506*(1-PARAM!$C$27)*$I$11+(MOD($B506,60)=PARAM!$B$56)*($B506&gt;(60-PARAM!$B$56))*HLOOKUP(($B506+PARAM!$B$56)/12,Loyalty,2)*$F$1*MAX(AL505,0)</f>
        <v>18.557001321003963</v>
      </c>
      <c r="AK506" s="75">
        <f>PARAM!$C$26+MAX($G$11-CHOOSE(PARAM!$B$44,MAX(0,AL505*$F$1),0),0)*RATES!$L482/12+$H$11*(PARAM!$D$51/12)*RATES!$N482/100</f>
        <v>120.20833333333331</v>
      </c>
      <c r="AL506" s="16">
        <f t="shared" si="335"/>
        <v>-7725.0210581213405</v>
      </c>
      <c r="AM506" s="15">
        <f t="shared" si="310"/>
        <v>22.170849845882874</v>
      </c>
      <c r="AN506" s="75">
        <f>AM506*(1-PARAM!$C$27)*$I$12+(MOD($B506,60)=PARAM!$B$56)*($B506&gt;(60-PARAM!$B$56))*HLOOKUP(($B506+PARAM!$B$56)/12,Loyalty,2)*$F$1*MAX(AP505,0)</f>
        <v>18.557001321003963</v>
      </c>
      <c r="AO506" s="75">
        <f>PARAM!$C$26+MAX($G$12-CHOOSE(PARAM!$B$44,MAX(0,AP505*$F$1),0),0)*RATES!$L482/12+$H$12*(PARAM!$D$51/12)*RATES!$N482/100</f>
        <v>120.20833333333331</v>
      </c>
      <c r="AP506" s="16">
        <f t="shared" si="336"/>
        <v>-7725.0210581213405</v>
      </c>
      <c r="AQ506" s="15">
        <f t="shared" si="311"/>
        <v>22.170849845882874</v>
      </c>
      <c r="AR506" s="75">
        <f>AQ506*(1-PARAM!$C$27)*$I$13+(MOD($B506,60)=PARAM!$B$56)*($B506&gt;(60-PARAM!$B$56))*HLOOKUP(($B506+PARAM!$B$56)/12,Loyalty,2)*$F$1*MAX(AT505,0)</f>
        <v>18.557001321003963</v>
      </c>
      <c r="AS506" s="75">
        <f>PARAM!$C$26+MAX($G$13-CHOOSE(PARAM!$B$44,MAX(0,AT505*$F$1),0),0)*RATES!$L482/12+$H$13*(PARAM!$D$51/12)*RATES!$N482/100</f>
        <v>120.20833333333331</v>
      </c>
      <c r="AT506" s="16">
        <f t="shared" si="337"/>
        <v>-7725.0210581213405</v>
      </c>
      <c r="AU506" s="15">
        <f t="shared" si="312"/>
        <v>22.170849845882874</v>
      </c>
      <c r="AV506" s="75">
        <f>AU506*(1-PARAM!$C$27)*$I$14+(MOD($B506,60)=PARAM!$B$56)*($B506&gt;(60-PARAM!$B$56))*HLOOKUP(($B506+PARAM!$B$56)/12,Loyalty,2)*$F$1*MAX(AX505,0)</f>
        <v>18.557001321003963</v>
      </c>
      <c r="AW506" s="75">
        <f>PARAM!$C$26+MAX($G$14-CHOOSE(PARAM!$B$44,MAX(0,AX505*$F$1),0),0)*RATES!$L482/12+$H$14*(PARAM!$D$51/12)*RATES!$N482/100</f>
        <v>120.20833333333331</v>
      </c>
      <c r="AX506" s="16">
        <f t="shared" si="338"/>
        <v>-7725.0210581213405</v>
      </c>
      <c r="AY506" s="15">
        <f t="shared" si="313"/>
        <v>22.170849845882874</v>
      </c>
      <c r="AZ506" s="75">
        <f>AY506*(1-PARAM!$C$27)*$I$15+(MOD($B506,60)=PARAM!$B$56)*($B506&gt;(60-PARAM!$B$56))*HLOOKUP(($B506+PARAM!$B$56)/12,Loyalty,2)*$F$1*MAX(BB505,0)</f>
        <v>18.557001321003963</v>
      </c>
      <c r="BA506" s="75">
        <f>PARAM!$C$26+MAX($G$15-CHOOSE(PARAM!$B$44,MAX(0,BB505*$F$1),0),0)*RATES!$L482/12+$H$15*(PARAM!$D$51/12)*RATES!$N482/100</f>
        <v>120.20833333333331</v>
      </c>
      <c r="BB506" s="16">
        <f t="shared" si="339"/>
        <v>-7725.0210581213405</v>
      </c>
      <c r="BC506" s="15">
        <f t="shared" si="314"/>
        <v>22.170849845882874</v>
      </c>
      <c r="BD506" s="75">
        <f>BC506*(1-PARAM!$C$27)*$I$16+(MOD($B506,60)=PARAM!$B$56)*($B506&gt;(60-PARAM!$B$56))*HLOOKUP(($B506+PARAM!$B$56)/12,Loyalty,2)*$F$1*MAX(BF505,0)</f>
        <v>18.557001321003963</v>
      </c>
      <c r="BE506" s="75">
        <f>PARAM!$C$26+MAX($G$16-CHOOSE(PARAM!$B$44,MAX(0,BF505*$F$1),0),0)*RATES!$L482/12+$H$16*(PARAM!$D$51/12)*RATES!$N482/100</f>
        <v>120.20833333333331</v>
      </c>
      <c r="BF506" s="16">
        <f t="shared" si="340"/>
        <v>-7725.0210581213405</v>
      </c>
      <c r="BG506" s="15">
        <f t="shared" si="315"/>
        <v>22.170849845882874</v>
      </c>
      <c r="BH506" s="75">
        <f>BG506*(1-PARAM!$C$27)*$I$17+(MOD($B506,60)=PARAM!$B$56)*($B506&gt;(60-PARAM!$B$56))*HLOOKUP(($B506+PARAM!$B$56)/12,Loyalty,2)*$F$1*MAX(BJ505,0)</f>
        <v>18.557001321003963</v>
      </c>
      <c r="BI506" s="75">
        <f>PARAM!$C$26+MAX($G$17-CHOOSE(PARAM!$B$44,MAX(0,BJ505*$F$1),0),0)*RATES!$L482/12+$H$17*(PARAM!$D$51/12)*RATES!$N482/100</f>
        <v>120.20833333333331</v>
      </c>
      <c r="BJ506" s="16">
        <f t="shared" si="341"/>
        <v>-7725.0210581213405</v>
      </c>
      <c r="BK506" s="15">
        <f t="shared" si="316"/>
        <v>22.170849845882874</v>
      </c>
      <c r="BL506" s="75">
        <f>BK506*(1-PARAM!$C$27)*$I$18+(MOD($B506,60)=PARAM!$B$56)*($B506&gt;(60-PARAM!$B$56))*HLOOKUP(($B506+PARAM!$B$56)/12,Loyalty,2)*$F$1*MAX(BN505,0)</f>
        <v>18.557001321003963</v>
      </c>
      <c r="BM506" s="75">
        <f>PARAM!$C$26+MAX($G$18-CHOOSE(PARAM!$B$44,MAX(0,BN505*$F$1),0),0)*RATES!$L482/12+$H$18*(PARAM!$D$51/12)*RATES!$N482/100</f>
        <v>120.20833333333331</v>
      </c>
      <c r="BN506" s="16">
        <f t="shared" si="342"/>
        <v>-7725.0210581213405</v>
      </c>
      <c r="BO506" s="15">
        <f t="shared" si="317"/>
        <v>22.170849845882874</v>
      </c>
      <c r="BP506" s="75">
        <f>BO506*(1-PARAM!$C$27)*$I$19+(MOD($B506,60)=PARAM!$B$56)*($B506&gt;(60-PARAM!$B$56))*HLOOKUP(($B506+PARAM!$B$56)/12,Loyalty,2)*$F$1*MAX(BR505,0)</f>
        <v>18.557001321003963</v>
      </c>
      <c r="BQ506" s="75">
        <f>PARAM!$C$26+MAX($G$19-CHOOSE(PARAM!$B$44,MAX(0,BR505*$F$1),0),0)*RATES!$L482/12+$H$19*(PARAM!$D$51/12)*RATES!$N482/100</f>
        <v>120.20833333333331</v>
      </c>
      <c r="BR506" s="16">
        <f t="shared" si="343"/>
        <v>-7725.0210581213405</v>
      </c>
      <c r="BS506" s="15">
        <f t="shared" si="318"/>
        <v>22.170849845882874</v>
      </c>
      <c r="BT506" s="75">
        <f>BS506*(1-PARAM!$C$27)*$I$20+(MOD($B506,60)=PARAM!$B$56)*($B506&gt;(60-PARAM!$B$56))*HLOOKUP(($B506+PARAM!$B$56)/12,Loyalty,2)*$F$1*MAX(BV505,0)</f>
        <v>18.557001321003963</v>
      </c>
      <c r="BU506" s="75">
        <f>PARAM!$C$26+MAX($G$20-CHOOSE(PARAM!$B$44,MAX(0,BV505*$F$1),0),0)*RATES!$L482/12+$H$20*(PARAM!$D$51/12)*RATES!$N482/100</f>
        <v>120.20833333333331</v>
      </c>
      <c r="BV506" s="16">
        <f t="shared" si="344"/>
        <v>-7725.0210581213405</v>
      </c>
      <c r="BW506" s="15">
        <f t="shared" si="319"/>
        <v>22.170849845882874</v>
      </c>
      <c r="BX506" s="75">
        <f>BW506*(1-PARAM!$C$27)*$I$21+(MOD($B506,60)=PARAM!$B$56)*($B506&gt;(60-PARAM!$B$56))*HLOOKUP(($B506+PARAM!$B$56)/12,Loyalty,2)*$F$1*MAX(BZ505,0)</f>
        <v>18.557001321003963</v>
      </c>
      <c r="BY506" s="75">
        <f>PARAM!$C$26+MAX($G$21-CHOOSE(PARAM!$B$44,MAX(0,BZ505*$F$1),0),0)*RATES!$L482/12+$H$21*(PARAM!$D$51/12)*RATES!$N482/100</f>
        <v>120.20833333333331</v>
      </c>
      <c r="BZ506" s="16">
        <f t="shared" si="345"/>
        <v>-7725.0210581213405</v>
      </c>
      <c r="CA506" s="15">
        <f t="shared" si="320"/>
        <v>22.170849845882874</v>
      </c>
      <c r="CB506" s="75">
        <f>CA506*(1-PARAM!$C$27)*$I$22+(MOD($B506,60)=PARAM!$B$56)*($B506&gt;(60-PARAM!$B$56))*HLOOKUP(($B506+PARAM!$B$56)/12,Loyalty,2)*$F$1*MAX(CD505,0)</f>
        <v>18.557001321003963</v>
      </c>
      <c r="CC506" s="75">
        <f>PARAM!$C$26+MAX($G$22-CHOOSE(PARAM!$B$44,MAX(0,CD505*$F$1),0),0)*RATES!$L482/12+$H$22*(PARAM!$D$51/12)*RATES!$N482/100</f>
        <v>120.20833333333331</v>
      </c>
      <c r="CD506" s="16">
        <f t="shared" si="346"/>
        <v>-7725.0210581213405</v>
      </c>
      <c r="CE506" s="33">
        <f>IF(0=MOD(B506,12/PARAM!$D$51),1,0)</f>
        <v>1</v>
      </c>
      <c r="CF506" s="15">
        <f t="shared" si="321"/>
        <v>0</v>
      </c>
      <c r="CG506" s="75">
        <f>CF506*(1-PARAM!$C$27)*$R$3+(MOD($B506/12,5)=0)*($B506&gt;60)*HLOOKUP($B506/12,Loyalty,2)*$F$1*MAX(CI505,0)</f>
        <v>0</v>
      </c>
      <c r="CH506" s="75">
        <f>PARAM!$C$26+MAX($P$3-CHOOSE(PARAM!$B$44,MAX(0,CI505*$F$1),0),0)*RATES!$L482/12+$Q$3*(PARAM!$D$51/12)*RATES!$N482/100</f>
        <v>120.20833333333331</v>
      </c>
      <c r="CI506" s="16">
        <f>IF(CI505&gt;0,CI505*PARAM!$C$53,CI505)+CG506-CH506</f>
        <v>-16494.249999999989</v>
      </c>
      <c r="CJ506" s="15">
        <f t="shared" si="347"/>
        <v>0</v>
      </c>
      <c r="CK506" s="75">
        <f>CJ506*(1-PARAM!$C$27)*$R$4+(MOD($B506/12,5)=0)*($B506&gt;60)*HLOOKUP($B506/12,Loyalty,2)*$F$1*MAX(CM505,0)</f>
        <v>0</v>
      </c>
      <c r="CL506" s="75">
        <f>PARAM!$C$26+MAX($P$4-CHOOSE(PARAM!$B$44,MAX(0,CM505*$F$1),0),0)*RATES!$L482/12+$Q$4*(PARAM!$D$51/12)*RATES!$N482/100</f>
        <v>120.20833333333331</v>
      </c>
      <c r="CM506" s="16">
        <f>IF(CM505&gt;0,CM505*PARAM!$C$53,CM505)+CK506-CL506</f>
        <v>-16494.249999999989</v>
      </c>
      <c r="CO506" s="176"/>
    </row>
    <row r="507" spans="1:93" x14ac:dyDescent="0.2">
      <c r="A507" t="b">
        <f t="shared" si="322"/>
        <v>0</v>
      </c>
      <c r="B507" s="33">
        <v>480</v>
      </c>
      <c r="C507" s="15">
        <f t="shared" si="323"/>
        <v>20.081305947392778</v>
      </c>
      <c r="D507" s="75">
        <f>C507*(1-PARAM!$C$27)*$I$3+(MOD($B507,60)=PARAM!$B$56)*($B507&gt;(60-PARAM!$B$56))*HLOOKUP(($B507+PARAM!$B$56)/12,Loyalty,2)*$F$1*MAX(F506,0)</f>
        <v>16.808053077967756</v>
      </c>
      <c r="E507" s="75">
        <f>PARAM!$C$26+MAX($G$3-CHOOSE(PARAM!$B$44,MAX(0,F506*$F$1),0),0)*RATES!$L483/12+$H$3*(PARAM!$D$51/12)*RATES!$N483/100</f>
        <v>120.20833333333331</v>
      </c>
      <c r="F507" s="16">
        <f t="shared" si="324"/>
        <v>-8703.018047312542</v>
      </c>
      <c r="G507" s="15">
        <f t="shared" si="325"/>
        <v>22.035289406060361</v>
      </c>
      <c r="H507" s="75">
        <f>G507*(1-PARAM!$C$27)*$I$4+(MOD($B507,60)=PARAM!$B$56)*($B507&gt;(60-PARAM!$B$56))*HLOOKUP(($B507+PARAM!$B$56)/12,Loyalty,2)*$F$1*MAX(J506,0)</f>
        <v>18.443537232872522</v>
      </c>
      <c r="I507" s="75">
        <f>PARAM!$C$26+MAX($G$4-CHOOSE(PARAM!$B$44,MAX(0,J506*$F$1),0),0)*RATES!$L483/12+$H$4*(PARAM!$D$51/12)*RATES!$N483/100</f>
        <v>120.20833333333331</v>
      </c>
      <c r="J507" s="16">
        <f t="shared" si="326"/>
        <v>-7884.1526888365352</v>
      </c>
      <c r="K507" s="15">
        <f t="shared" si="327"/>
        <v>22.170849845882874</v>
      </c>
      <c r="L507" s="75">
        <f>K507*(1-PARAM!$C$27)*$I$5+(MOD($B507,60)=PARAM!$B$56)*($B507&gt;(60-PARAM!$B$56))*HLOOKUP(($B507+PARAM!$B$56)/12,Loyalty,2)*$F$1*MAX(N506,0)</f>
        <v>18.557001321003963</v>
      </c>
      <c r="M507" s="75">
        <f>PARAM!$C$26+MAX($G$5-CHOOSE(PARAM!$B$44,MAX(0,N506*$F$1),0),0)*RATES!$L483/12+$H$5*(PARAM!$D$51/12)*RATES!$N483/100</f>
        <v>120.20833333333331</v>
      </c>
      <c r="N507" s="16">
        <f t="shared" si="328"/>
        <v>-7826.67239013367</v>
      </c>
      <c r="O507" s="15">
        <f t="shared" si="329"/>
        <v>22.170849845882874</v>
      </c>
      <c r="P507" s="75">
        <f>O507*(1-PARAM!$C$27)*$I$6+(MOD($B507,60)=PARAM!$B$56)*($B507&gt;(60-PARAM!$B$56))*HLOOKUP(($B507+PARAM!$B$56)/12,Loyalty,2)*$F$1*MAX(R506,0)</f>
        <v>18.557001321003963</v>
      </c>
      <c r="Q507" s="75">
        <f>PARAM!$C$26+MAX($G$6-CHOOSE(PARAM!$B$44,MAX(0,R506*$F$1),0),0)*RATES!$L483/12+$H$6*(PARAM!$D$51/12)*RATES!$N483/100</f>
        <v>120.20833333333331</v>
      </c>
      <c r="R507" s="16">
        <f t="shared" si="330"/>
        <v>-7826.67239013367</v>
      </c>
      <c r="S507" s="15">
        <f t="shared" si="305"/>
        <v>22.170849845882874</v>
      </c>
      <c r="T507" s="75">
        <f>S507*(1-PARAM!$C$27)*$I$7+(MOD($B507,60)=PARAM!$B$56)*($B507&gt;(60-PARAM!$B$56))*HLOOKUP(($B507+PARAM!$B$56)/12,Loyalty,2)*$F$1*MAX(V506,0)</f>
        <v>18.557001321003963</v>
      </c>
      <c r="U507" s="75">
        <f>PARAM!$C$26+MAX($G$7-CHOOSE(PARAM!$B$44,MAX(0,V506*$F$1),0),0)*RATES!$L483/12+$H$7*(PARAM!$D$51/12)*RATES!$N483/100</f>
        <v>120.20833333333331</v>
      </c>
      <c r="V507" s="16">
        <f t="shared" si="331"/>
        <v>-7826.67239013367</v>
      </c>
      <c r="W507" s="15">
        <f t="shared" si="306"/>
        <v>22.170849845882874</v>
      </c>
      <c r="X507" s="75">
        <f>W507*(1-PARAM!$C$27)*$I$8+(MOD($B507,60)=PARAM!$B$56)*($B507&gt;(60-PARAM!$B$56))*HLOOKUP(($B507+PARAM!$B$56)/12,Loyalty,2)*$F$1*MAX(Z506,0)</f>
        <v>18.557001321003963</v>
      </c>
      <c r="Y507" s="75">
        <f>PARAM!$C$26+MAX($G$8-CHOOSE(PARAM!$B$44,MAX(0,Z506*$F$1),0),0)*RATES!$L483/12+$H$8*(PARAM!$D$51/12)*RATES!$N483/100</f>
        <v>120.20833333333331</v>
      </c>
      <c r="Z507" s="16">
        <f t="shared" si="332"/>
        <v>-7826.67239013367</v>
      </c>
      <c r="AA507" s="15">
        <f t="shared" si="307"/>
        <v>22.170849845882874</v>
      </c>
      <c r="AB507" s="75">
        <f>AA507*(1-PARAM!$C$27)*$I$9+(MOD($B507,60)=PARAM!$B$56)*($B507&gt;(60-PARAM!$B$56))*HLOOKUP(($B507+PARAM!$B$56)/12,Loyalty,2)*$F$1*MAX(AD506,0)</f>
        <v>18.557001321003963</v>
      </c>
      <c r="AC507" s="75">
        <f>PARAM!$C$26+MAX($G$9-CHOOSE(PARAM!$B$44,MAX(0,AD506*$F$1),0),0)*RATES!$L483/12+$H$9*(PARAM!$D$51/12)*RATES!$N483/100</f>
        <v>120.20833333333331</v>
      </c>
      <c r="AD507" s="16">
        <f t="shared" si="333"/>
        <v>-7826.67239013367</v>
      </c>
      <c r="AE507" s="15">
        <f t="shared" si="308"/>
        <v>22.170849845882874</v>
      </c>
      <c r="AF507" s="75">
        <f>AE507*(1-PARAM!$C$27)*$I$10+(MOD($B507,60)=PARAM!$B$56)*($B507&gt;(60-PARAM!$B$56))*HLOOKUP(($B507+PARAM!$B$56)/12,Loyalty,2)*$F$1*MAX(AH506,0)</f>
        <v>18.557001321003963</v>
      </c>
      <c r="AG507" s="75">
        <f>PARAM!$C$26+MAX($G$10-CHOOSE(PARAM!$B$44,MAX(0,AH506*$F$1),0),0)*RATES!$L483/12+$H$10*(PARAM!$D$51/12)*RATES!$N483/100</f>
        <v>120.20833333333331</v>
      </c>
      <c r="AH507" s="16">
        <f t="shared" si="334"/>
        <v>-7826.67239013367</v>
      </c>
      <c r="AI507" s="15">
        <f t="shared" si="309"/>
        <v>22.170849845882874</v>
      </c>
      <c r="AJ507" s="75">
        <f>AI507*(1-PARAM!$C$27)*$I$11+(MOD($B507,60)=PARAM!$B$56)*($B507&gt;(60-PARAM!$B$56))*HLOOKUP(($B507+PARAM!$B$56)/12,Loyalty,2)*$F$1*MAX(AL506,0)</f>
        <v>18.557001321003963</v>
      </c>
      <c r="AK507" s="75">
        <f>PARAM!$C$26+MAX($G$11-CHOOSE(PARAM!$B$44,MAX(0,AL506*$F$1),0),0)*RATES!$L483/12+$H$11*(PARAM!$D$51/12)*RATES!$N483/100</f>
        <v>120.20833333333331</v>
      </c>
      <c r="AL507" s="16">
        <f t="shared" si="335"/>
        <v>-7826.67239013367</v>
      </c>
      <c r="AM507" s="15">
        <f t="shared" si="310"/>
        <v>22.170849845882874</v>
      </c>
      <c r="AN507" s="75">
        <f>AM507*(1-PARAM!$C$27)*$I$12+(MOD($B507,60)=PARAM!$B$56)*($B507&gt;(60-PARAM!$B$56))*HLOOKUP(($B507+PARAM!$B$56)/12,Loyalty,2)*$F$1*MAX(AP506,0)</f>
        <v>18.557001321003963</v>
      </c>
      <c r="AO507" s="75">
        <f>PARAM!$C$26+MAX($G$12-CHOOSE(PARAM!$B$44,MAX(0,AP506*$F$1),0),0)*RATES!$L483/12+$H$12*(PARAM!$D$51/12)*RATES!$N483/100</f>
        <v>120.20833333333331</v>
      </c>
      <c r="AP507" s="16">
        <f t="shared" si="336"/>
        <v>-7826.67239013367</v>
      </c>
      <c r="AQ507" s="15">
        <f t="shared" si="311"/>
        <v>22.170849845882874</v>
      </c>
      <c r="AR507" s="75">
        <f>AQ507*(1-PARAM!$C$27)*$I$13+(MOD($B507,60)=PARAM!$B$56)*($B507&gt;(60-PARAM!$B$56))*HLOOKUP(($B507+PARAM!$B$56)/12,Loyalty,2)*$F$1*MAX(AT506,0)</f>
        <v>18.557001321003963</v>
      </c>
      <c r="AS507" s="75">
        <f>PARAM!$C$26+MAX($G$13-CHOOSE(PARAM!$B$44,MAX(0,AT506*$F$1),0),0)*RATES!$L483/12+$H$13*(PARAM!$D$51/12)*RATES!$N483/100</f>
        <v>120.20833333333331</v>
      </c>
      <c r="AT507" s="16">
        <f t="shared" si="337"/>
        <v>-7826.67239013367</v>
      </c>
      <c r="AU507" s="15">
        <f t="shared" si="312"/>
        <v>22.170849845882874</v>
      </c>
      <c r="AV507" s="75">
        <f>AU507*(1-PARAM!$C$27)*$I$14+(MOD($B507,60)=PARAM!$B$56)*($B507&gt;(60-PARAM!$B$56))*HLOOKUP(($B507+PARAM!$B$56)/12,Loyalty,2)*$F$1*MAX(AX506,0)</f>
        <v>18.557001321003963</v>
      </c>
      <c r="AW507" s="75">
        <f>PARAM!$C$26+MAX($G$14-CHOOSE(PARAM!$B$44,MAX(0,AX506*$F$1),0),0)*RATES!$L483/12+$H$14*(PARAM!$D$51/12)*RATES!$N483/100</f>
        <v>120.20833333333331</v>
      </c>
      <c r="AX507" s="16">
        <f t="shared" si="338"/>
        <v>-7826.67239013367</v>
      </c>
      <c r="AY507" s="15">
        <f t="shared" si="313"/>
        <v>22.170849845882874</v>
      </c>
      <c r="AZ507" s="75">
        <f>AY507*(1-PARAM!$C$27)*$I$15+(MOD($B507,60)=PARAM!$B$56)*($B507&gt;(60-PARAM!$B$56))*HLOOKUP(($B507+PARAM!$B$56)/12,Loyalty,2)*$F$1*MAX(BB506,0)</f>
        <v>18.557001321003963</v>
      </c>
      <c r="BA507" s="75">
        <f>PARAM!$C$26+MAX($G$15-CHOOSE(PARAM!$B$44,MAX(0,BB506*$F$1),0),0)*RATES!$L483/12+$H$15*(PARAM!$D$51/12)*RATES!$N483/100</f>
        <v>120.20833333333331</v>
      </c>
      <c r="BB507" s="16">
        <f t="shared" si="339"/>
        <v>-7826.67239013367</v>
      </c>
      <c r="BC507" s="15">
        <f t="shared" si="314"/>
        <v>22.170849845882874</v>
      </c>
      <c r="BD507" s="75">
        <f>BC507*(1-PARAM!$C$27)*$I$16+(MOD($B507,60)=PARAM!$B$56)*($B507&gt;(60-PARAM!$B$56))*HLOOKUP(($B507+PARAM!$B$56)/12,Loyalty,2)*$F$1*MAX(BF506,0)</f>
        <v>18.557001321003963</v>
      </c>
      <c r="BE507" s="75">
        <f>PARAM!$C$26+MAX($G$16-CHOOSE(PARAM!$B$44,MAX(0,BF506*$F$1),0),0)*RATES!$L483/12+$H$16*(PARAM!$D$51/12)*RATES!$N483/100</f>
        <v>120.20833333333331</v>
      </c>
      <c r="BF507" s="16">
        <f t="shared" si="340"/>
        <v>-7826.67239013367</v>
      </c>
      <c r="BG507" s="15">
        <f t="shared" si="315"/>
        <v>22.170849845882874</v>
      </c>
      <c r="BH507" s="75">
        <f>BG507*(1-PARAM!$C$27)*$I$17+(MOD($B507,60)=PARAM!$B$56)*($B507&gt;(60-PARAM!$B$56))*HLOOKUP(($B507+PARAM!$B$56)/12,Loyalty,2)*$F$1*MAX(BJ506,0)</f>
        <v>18.557001321003963</v>
      </c>
      <c r="BI507" s="75">
        <f>PARAM!$C$26+MAX($G$17-CHOOSE(PARAM!$B$44,MAX(0,BJ506*$F$1),0),0)*RATES!$L483/12+$H$17*(PARAM!$D$51/12)*RATES!$N483/100</f>
        <v>120.20833333333331</v>
      </c>
      <c r="BJ507" s="16">
        <f t="shared" si="341"/>
        <v>-7826.67239013367</v>
      </c>
      <c r="BK507" s="15">
        <f t="shared" si="316"/>
        <v>22.170849845882874</v>
      </c>
      <c r="BL507" s="75">
        <f>BK507*(1-PARAM!$C$27)*$I$18+(MOD($B507,60)=PARAM!$B$56)*($B507&gt;(60-PARAM!$B$56))*HLOOKUP(($B507+PARAM!$B$56)/12,Loyalty,2)*$F$1*MAX(BN506,0)</f>
        <v>18.557001321003963</v>
      </c>
      <c r="BM507" s="75">
        <f>PARAM!$C$26+MAX($G$18-CHOOSE(PARAM!$B$44,MAX(0,BN506*$F$1),0),0)*RATES!$L483/12+$H$18*(PARAM!$D$51/12)*RATES!$N483/100</f>
        <v>120.20833333333331</v>
      </c>
      <c r="BN507" s="16">
        <f t="shared" si="342"/>
        <v>-7826.67239013367</v>
      </c>
      <c r="BO507" s="15">
        <f t="shared" si="317"/>
        <v>22.170849845882874</v>
      </c>
      <c r="BP507" s="75">
        <f>BO507*(1-PARAM!$C$27)*$I$19+(MOD($B507,60)=PARAM!$B$56)*($B507&gt;(60-PARAM!$B$56))*HLOOKUP(($B507+PARAM!$B$56)/12,Loyalty,2)*$F$1*MAX(BR506,0)</f>
        <v>18.557001321003963</v>
      </c>
      <c r="BQ507" s="75">
        <f>PARAM!$C$26+MAX($G$19-CHOOSE(PARAM!$B$44,MAX(0,BR506*$F$1),0),0)*RATES!$L483/12+$H$19*(PARAM!$D$51/12)*RATES!$N483/100</f>
        <v>120.20833333333331</v>
      </c>
      <c r="BR507" s="16">
        <f t="shared" si="343"/>
        <v>-7826.67239013367</v>
      </c>
      <c r="BS507" s="15">
        <f t="shared" si="318"/>
        <v>22.170849845882874</v>
      </c>
      <c r="BT507" s="75">
        <f>BS507*(1-PARAM!$C$27)*$I$20+(MOD($B507,60)=PARAM!$B$56)*($B507&gt;(60-PARAM!$B$56))*HLOOKUP(($B507+PARAM!$B$56)/12,Loyalty,2)*$F$1*MAX(BV506,0)</f>
        <v>18.557001321003963</v>
      </c>
      <c r="BU507" s="75">
        <f>PARAM!$C$26+MAX($G$20-CHOOSE(PARAM!$B$44,MAX(0,BV506*$F$1),0),0)*RATES!$L483/12+$H$20*(PARAM!$D$51/12)*RATES!$N483/100</f>
        <v>120.20833333333331</v>
      </c>
      <c r="BV507" s="16">
        <f t="shared" si="344"/>
        <v>-7826.67239013367</v>
      </c>
      <c r="BW507" s="15">
        <f t="shared" si="319"/>
        <v>22.170849845882874</v>
      </c>
      <c r="BX507" s="75">
        <f>BW507*(1-PARAM!$C$27)*$I$21+(MOD($B507,60)=PARAM!$B$56)*($B507&gt;(60-PARAM!$B$56))*HLOOKUP(($B507+PARAM!$B$56)/12,Loyalty,2)*$F$1*MAX(BZ506,0)</f>
        <v>18.557001321003963</v>
      </c>
      <c r="BY507" s="75">
        <f>PARAM!$C$26+MAX($G$21-CHOOSE(PARAM!$B$44,MAX(0,BZ506*$F$1),0),0)*RATES!$L483/12+$H$21*(PARAM!$D$51/12)*RATES!$N483/100</f>
        <v>120.20833333333331</v>
      </c>
      <c r="BZ507" s="16">
        <f t="shared" si="345"/>
        <v>-7826.67239013367</v>
      </c>
      <c r="CA507" s="15">
        <f t="shared" si="320"/>
        <v>22.170849845882874</v>
      </c>
      <c r="CB507" s="75">
        <f>CA507*(1-PARAM!$C$27)*$I$22+(MOD($B507,60)=PARAM!$B$56)*($B507&gt;(60-PARAM!$B$56))*HLOOKUP(($B507+PARAM!$B$56)/12,Loyalty,2)*$F$1*MAX(CD506,0)</f>
        <v>18.557001321003963</v>
      </c>
      <c r="CC507" s="75">
        <f>PARAM!$C$26+MAX($G$22-CHOOSE(PARAM!$B$44,MAX(0,CD506*$F$1),0),0)*RATES!$L483/12+$H$22*(PARAM!$D$51/12)*RATES!$N483/100</f>
        <v>120.20833333333331</v>
      </c>
      <c r="CD507" s="16">
        <f t="shared" si="346"/>
        <v>-7826.67239013367</v>
      </c>
      <c r="CE507" s="33">
        <f>IF(0=MOD(B507,12/PARAM!$D$51),1,0)</f>
        <v>1</v>
      </c>
      <c r="CF507" s="15">
        <f t="shared" si="321"/>
        <v>0</v>
      </c>
      <c r="CG507" s="75">
        <f>CF507*(1-PARAM!$C$27)*$R$3+(MOD($B507/12,5)=0)*($B507&gt;60)*HLOOKUP($B507/12,Loyalty,2)*$F$1*MAX(CI506,0)</f>
        <v>0</v>
      </c>
      <c r="CH507" s="75">
        <f>PARAM!$C$26+MAX($P$3-CHOOSE(PARAM!$B$44,MAX(0,CI506*$F$1),0),0)*RATES!$L483/12+$Q$3*(PARAM!$D$51/12)*RATES!$N483/100</f>
        <v>120.20833333333331</v>
      </c>
      <c r="CI507" s="16">
        <f>IF(CI506&gt;0,CI506*PARAM!$C$53,CI506)+CG507-CH507</f>
        <v>-16614.458333333321</v>
      </c>
      <c r="CJ507" s="15">
        <f t="shared" si="347"/>
        <v>0</v>
      </c>
      <c r="CK507" s="75">
        <f>CJ507*(1-PARAM!$C$27)*$R$4+(MOD($B507/12,5)=0)*($B507&gt;60)*HLOOKUP($B507/12,Loyalty,2)*$F$1*MAX(CM506,0)</f>
        <v>0</v>
      </c>
      <c r="CL507" s="75">
        <f>PARAM!$C$26+MAX($P$4-CHOOSE(PARAM!$B$44,MAX(0,CM506*$F$1),0),0)*RATES!$L483/12+$Q$4*(PARAM!$D$51/12)*RATES!$N483/100</f>
        <v>120.20833333333331</v>
      </c>
      <c r="CM507" s="16">
        <f>IF(CM506&gt;0,CM506*PARAM!$C$53,CM506)+CK507-CL507</f>
        <v>-16614.458333333321</v>
      </c>
      <c r="CO507" s="176"/>
    </row>
    <row r="508" spans="1:93" x14ac:dyDescent="0.2">
      <c r="A508" t="b">
        <f t="shared" si="322"/>
        <v>0</v>
      </c>
      <c r="B508" s="33">
        <v>481</v>
      </c>
      <c r="C508" s="15">
        <f t="shared" si="323"/>
        <v>20.081305947392778</v>
      </c>
      <c r="D508" s="75">
        <f>C508*(1-PARAM!$C$27)*$I$3+(MOD($B508,60)=PARAM!$B$56)*($B508&gt;(60-PARAM!$B$56))*HLOOKUP(($B508+PARAM!$B$56)/12,Loyalty,2)*$F$1*MAX(F507,0)</f>
        <v>16.808053077967756</v>
      </c>
      <c r="E508" s="75">
        <f>PARAM!$C$26+MAX($G$3-CHOOSE(PARAM!$B$44,MAX(0,F507*$F$1),0),0)*RATES!$L484/12+$H$3*(PARAM!$D$51/12)*RATES!$N484/100</f>
        <v>120.20833333333331</v>
      </c>
      <c r="F508" s="16">
        <f t="shared" si="324"/>
        <v>-8806.4183275679079</v>
      </c>
      <c r="G508" s="15">
        <f t="shared" si="325"/>
        <v>22.035289406060361</v>
      </c>
      <c r="H508" s="75">
        <f>G508*(1-PARAM!$C$27)*$I$4+(MOD($B508,60)=PARAM!$B$56)*($B508&gt;(60-PARAM!$B$56))*HLOOKUP(($B508+PARAM!$B$56)/12,Loyalty,2)*$F$1*MAX(J507,0)</f>
        <v>18.443537232872522</v>
      </c>
      <c r="I508" s="75">
        <f>PARAM!$C$26+MAX($G$4-CHOOSE(PARAM!$B$44,MAX(0,J507*$F$1),0),0)*RATES!$L484/12+$H$4*(PARAM!$D$51/12)*RATES!$N484/100</f>
        <v>120.20833333333331</v>
      </c>
      <c r="J508" s="16">
        <f t="shared" si="326"/>
        <v>-7985.9174849369956</v>
      </c>
      <c r="K508" s="15">
        <f t="shared" si="327"/>
        <v>22.170849845882874</v>
      </c>
      <c r="L508" s="75">
        <f>K508*(1-PARAM!$C$27)*$I$5+(MOD($B508,60)=PARAM!$B$56)*($B508&gt;(60-PARAM!$B$56))*HLOOKUP(($B508+PARAM!$B$56)/12,Loyalty,2)*$F$1*MAX(N507,0)</f>
        <v>18.557001321003963</v>
      </c>
      <c r="M508" s="75">
        <f>PARAM!$C$26+MAX($G$5-CHOOSE(PARAM!$B$44,MAX(0,N507*$F$1),0),0)*RATES!$L484/12+$H$5*(PARAM!$D$51/12)*RATES!$N484/100</f>
        <v>120.20833333333331</v>
      </c>
      <c r="N508" s="16">
        <f t="shared" si="328"/>
        <v>-7928.3237221459995</v>
      </c>
      <c r="O508" s="15">
        <f t="shared" si="329"/>
        <v>22.170849845882874</v>
      </c>
      <c r="P508" s="75">
        <f>O508*(1-PARAM!$C$27)*$I$6+(MOD($B508,60)=PARAM!$B$56)*($B508&gt;(60-PARAM!$B$56))*HLOOKUP(($B508+PARAM!$B$56)/12,Loyalty,2)*$F$1*MAX(R507,0)</f>
        <v>18.557001321003963</v>
      </c>
      <c r="Q508" s="75">
        <f>PARAM!$C$26+MAX($G$6-CHOOSE(PARAM!$B$44,MAX(0,R507*$F$1),0),0)*RATES!$L484/12+$H$6*(PARAM!$D$51/12)*RATES!$N484/100</f>
        <v>120.20833333333331</v>
      </c>
      <c r="R508" s="16">
        <f t="shared" si="330"/>
        <v>-7928.3237221459995</v>
      </c>
      <c r="S508" s="15">
        <f t="shared" si="305"/>
        <v>22.170849845882874</v>
      </c>
      <c r="T508" s="75">
        <f>S508*(1-PARAM!$C$27)*$I$7+(MOD($B508,60)=PARAM!$B$56)*($B508&gt;(60-PARAM!$B$56))*HLOOKUP(($B508+PARAM!$B$56)/12,Loyalty,2)*$F$1*MAX(V507,0)</f>
        <v>18.557001321003963</v>
      </c>
      <c r="U508" s="75">
        <f>PARAM!$C$26+MAX($G$7-CHOOSE(PARAM!$B$44,MAX(0,V507*$F$1),0),0)*RATES!$L484/12+$H$7*(PARAM!$D$51/12)*RATES!$N484/100</f>
        <v>120.20833333333331</v>
      </c>
      <c r="V508" s="16">
        <f t="shared" si="331"/>
        <v>-7928.3237221459995</v>
      </c>
      <c r="W508" s="15">
        <f t="shared" si="306"/>
        <v>22.170849845882874</v>
      </c>
      <c r="X508" s="75">
        <f>W508*(1-PARAM!$C$27)*$I$8+(MOD($B508,60)=PARAM!$B$56)*($B508&gt;(60-PARAM!$B$56))*HLOOKUP(($B508+PARAM!$B$56)/12,Loyalty,2)*$F$1*MAX(Z507,0)</f>
        <v>18.557001321003963</v>
      </c>
      <c r="Y508" s="75">
        <f>PARAM!$C$26+MAX($G$8-CHOOSE(PARAM!$B$44,MAX(0,Z507*$F$1),0),0)*RATES!$L484/12+$H$8*(PARAM!$D$51/12)*RATES!$N484/100</f>
        <v>120.20833333333331</v>
      </c>
      <c r="Z508" s="16">
        <f t="shared" si="332"/>
        <v>-7928.3237221459995</v>
      </c>
      <c r="AA508" s="15">
        <f t="shared" si="307"/>
        <v>22.170849845882874</v>
      </c>
      <c r="AB508" s="75">
        <f>AA508*(1-PARAM!$C$27)*$I$9+(MOD($B508,60)=PARAM!$B$56)*($B508&gt;(60-PARAM!$B$56))*HLOOKUP(($B508+PARAM!$B$56)/12,Loyalty,2)*$F$1*MAX(AD507,0)</f>
        <v>18.557001321003963</v>
      </c>
      <c r="AC508" s="75">
        <f>PARAM!$C$26+MAX($G$9-CHOOSE(PARAM!$B$44,MAX(0,AD507*$F$1),0),0)*RATES!$L484/12+$H$9*(PARAM!$D$51/12)*RATES!$N484/100</f>
        <v>120.20833333333331</v>
      </c>
      <c r="AD508" s="16">
        <f t="shared" si="333"/>
        <v>-7928.3237221459995</v>
      </c>
      <c r="AE508" s="15">
        <f t="shared" si="308"/>
        <v>22.170849845882874</v>
      </c>
      <c r="AF508" s="75">
        <f>AE508*(1-PARAM!$C$27)*$I$10+(MOD($B508,60)=PARAM!$B$56)*($B508&gt;(60-PARAM!$B$56))*HLOOKUP(($B508+PARAM!$B$56)/12,Loyalty,2)*$F$1*MAX(AH507,0)</f>
        <v>18.557001321003963</v>
      </c>
      <c r="AG508" s="75">
        <f>PARAM!$C$26+MAX($G$10-CHOOSE(PARAM!$B$44,MAX(0,AH507*$F$1),0),0)*RATES!$L484/12+$H$10*(PARAM!$D$51/12)*RATES!$N484/100</f>
        <v>120.20833333333331</v>
      </c>
      <c r="AH508" s="16">
        <f t="shared" si="334"/>
        <v>-7928.3237221459995</v>
      </c>
      <c r="AI508" s="15">
        <f t="shared" si="309"/>
        <v>22.170849845882874</v>
      </c>
      <c r="AJ508" s="75">
        <f>AI508*(1-PARAM!$C$27)*$I$11+(MOD($B508,60)=PARAM!$B$56)*($B508&gt;(60-PARAM!$B$56))*HLOOKUP(($B508+PARAM!$B$56)/12,Loyalty,2)*$F$1*MAX(AL507,0)</f>
        <v>18.557001321003963</v>
      </c>
      <c r="AK508" s="75">
        <f>PARAM!$C$26+MAX($G$11-CHOOSE(PARAM!$B$44,MAX(0,AL507*$F$1),0),0)*RATES!$L484/12+$H$11*(PARAM!$D$51/12)*RATES!$N484/100</f>
        <v>120.20833333333331</v>
      </c>
      <c r="AL508" s="16">
        <f t="shared" si="335"/>
        <v>-7928.3237221459995</v>
      </c>
      <c r="AM508" s="15">
        <f t="shared" si="310"/>
        <v>22.170849845882874</v>
      </c>
      <c r="AN508" s="75">
        <f>AM508*(1-PARAM!$C$27)*$I$12+(MOD($B508,60)=PARAM!$B$56)*($B508&gt;(60-PARAM!$B$56))*HLOOKUP(($B508+PARAM!$B$56)/12,Loyalty,2)*$F$1*MAX(AP507,0)</f>
        <v>18.557001321003963</v>
      </c>
      <c r="AO508" s="75">
        <f>PARAM!$C$26+MAX($G$12-CHOOSE(PARAM!$B$44,MAX(0,AP507*$F$1),0),0)*RATES!$L484/12+$H$12*(PARAM!$D$51/12)*RATES!$N484/100</f>
        <v>120.20833333333331</v>
      </c>
      <c r="AP508" s="16">
        <f t="shared" si="336"/>
        <v>-7928.3237221459995</v>
      </c>
      <c r="AQ508" s="15">
        <f t="shared" si="311"/>
        <v>22.170849845882874</v>
      </c>
      <c r="AR508" s="75">
        <f>AQ508*(1-PARAM!$C$27)*$I$13+(MOD($B508,60)=PARAM!$B$56)*($B508&gt;(60-PARAM!$B$56))*HLOOKUP(($B508+PARAM!$B$56)/12,Loyalty,2)*$F$1*MAX(AT507,0)</f>
        <v>18.557001321003963</v>
      </c>
      <c r="AS508" s="75">
        <f>PARAM!$C$26+MAX($G$13-CHOOSE(PARAM!$B$44,MAX(0,AT507*$F$1),0),0)*RATES!$L484/12+$H$13*(PARAM!$D$51/12)*RATES!$N484/100</f>
        <v>120.20833333333331</v>
      </c>
      <c r="AT508" s="16">
        <f t="shared" si="337"/>
        <v>-7928.3237221459995</v>
      </c>
      <c r="AU508" s="15">
        <f t="shared" si="312"/>
        <v>22.170849845882874</v>
      </c>
      <c r="AV508" s="75">
        <f>AU508*(1-PARAM!$C$27)*$I$14+(MOD($B508,60)=PARAM!$B$56)*($B508&gt;(60-PARAM!$B$56))*HLOOKUP(($B508+PARAM!$B$56)/12,Loyalty,2)*$F$1*MAX(AX507,0)</f>
        <v>18.557001321003963</v>
      </c>
      <c r="AW508" s="75">
        <f>PARAM!$C$26+MAX($G$14-CHOOSE(PARAM!$B$44,MAX(0,AX507*$F$1),0),0)*RATES!$L484/12+$H$14*(PARAM!$D$51/12)*RATES!$N484/100</f>
        <v>120.20833333333331</v>
      </c>
      <c r="AX508" s="16">
        <f t="shared" si="338"/>
        <v>-7928.3237221459995</v>
      </c>
      <c r="AY508" s="15">
        <f t="shared" si="313"/>
        <v>22.170849845882874</v>
      </c>
      <c r="AZ508" s="75">
        <f>AY508*(1-PARAM!$C$27)*$I$15+(MOD($B508,60)=PARAM!$B$56)*($B508&gt;(60-PARAM!$B$56))*HLOOKUP(($B508+PARAM!$B$56)/12,Loyalty,2)*$F$1*MAX(BB507,0)</f>
        <v>18.557001321003963</v>
      </c>
      <c r="BA508" s="75">
        <f>PARAM!$C$26+MAX($G$15-CHOOSE(PARAM!$B$44,MAX(0,BB507*$F$1),0),0)*RATES!$L484/12+$H$15*(PARAM!$D$51/12)*RATES!$N484/100</f>
        <v>120.20833333333331</v>
      </c>
      <c r="BB508" s="16">
        <f t="shared" si="339"/>
        <v>-7928.3237221459995</v>
      </c>
      <c r="BC508" s="15">
        <f t="shared" si="314"/>
        <v>22.170849845882874</v>
      </c>
      <c r="BD508" s="75">
        <f>BC508*(1-PARAM!$C$27)*$I$16+(MOD($B508,60)=PARAM!$B$56)*($B508&gt;(60-PARAM!$B$56))*HLOOKUP(($B508+PARAM!$B$56)/12,Loyalty,2)*$F$1*MAX(BF507,0)</f>
        <v>18.557001321003963</v>
      </c>
      <c r="BE508" s="75">
        <f>PARAM!$C$26+MAX($G$16-CHOOSE(PARAM!$B$44,MAX(0,BF507*$F$1),0),0)*RATES!$L484/12+$H$16*(PARAM!$D$51/12)*RATES!$N484/100</f>
        <v>120.20833333333331</v>
      </c>
      <c r="BF508" s="16">
        <f t="shared" si="340"/>
        <v>-7928.3237221459995</v>
      </c>
      <c r="BG508" s="15">
        <f t="shared" si="315"/>
        <v>22.170849845882874</v>
      </c>
      <c r="BH508" s="75">
        <f>BG508*(1-PARAM!$C$27)*$I$17+(MOD($B508,60)=PARAM!$B$56)*($B508&gt;(60-PARAM!$B$56))*HLOOKUP(($B508+PARAM!$B$56)/12,Loyalty,2)*$F$1*MAX(BJ507,0)</f>
        <v>18.557001321003963</v>
      </c>
      <c r="BI508" s="75">
        <f>PARAM!$C$26+MAX($G$17-CHOOSE(PARAM!$B$44,MAX(0,BJ507*$F$1),0),0)*RATES!$L484/12+$H$17*(PARAM!$D$51/12)*RATES!$N484/100</f>
        <v>120.20833333333331</v>
      </c>
      <c r="BJ508" s="16">
        <f t="shared" si="341"/>
        <v>-7928.3237221459995</v>
      </c>
      <c r="BK508" s="15">
        <f t="shared" si="316"/>
        <v>22.170849845882874</v>
      </c>
      <c r="BL508" s="75">
        <f>BK508*(1-PARAM!$C$27)*$I$18+(MOD($B508,60)=PARAM!$B$56)*($B508&gt;(60-PARAM!$B$56))*HLOOKUP(($B508+PARAM!$B$56)/12,Loyalty,2)*$F$1*MAX(BN507,0)</f>
        <v>18.557001321003963</v>
      </c>
      <c r="BM508" s="75">
        <f>PARAM!$C$26+MAX($G$18-CHOOSE(PARAM!$B$44,MAX(0,BN507*$F$1),0),0)*RATES!$L484/12+$H$18*(PARAM!$D$51/12)*RATES!$N484/100</f>
        <v>120.20833333333331</v>
      </c>
      <c r="BN508" s="16">
        <f t="shared" si="342"/>
        <v>-7928.3237221459995</v>
      </c>
      <c r="BO508" s="15">
        <f t="shared" si="317"/>
        <v>22.170849845882874</v>
      </c>
      <c r="BP508" s="75">
        <f>BO508*(1-PARAM!$C$27)*$I$19+(MOD($B508,60)=PARAM!$B$56)*($B508&gt;(60-PARAM!$B$56))*HLOOKUP(($B508+PARAM!$B$56)/12,Loyalty,2)*$F$1*MAX(BR507,0)</f>
        <v>18.557001321003963</v>
      </c>
      <c r="BQ508" s="75">
        <f>PARAM!$C$26+MAX($G$19-CHOOSE(PARAM!$B$44,MAX(0,BR507*$F$1),0),0)*RATES!$L484/12+$H$19*(PARAM!$D$51/12)*RATES!$N484/100</f>
        <v>120.20833333333331</v>
      </c>
      <c r="BR508" s="16">
        <f t="shared" si="343"/>
        <v>-7928.3237221459995</v>
      </c>
      <c r="BS508" s="15">
        <f t="shared" si="318"/>
        <v>22.170849845882874</v>
      </c>
      <c r="BT508" s="75">
        <f>BS508*(1-PARAM!$C$27)*$I$20+(MOD($B508,60)=PARAM!$B$56)*($B508&gt;(60-PARAM!$B$56))*HLOOKUP(($B508+PARAM!$B$56)/12,Loyalty,2)*$F$1*MAX(BV507,0)</f>
        <v>18.557001321003963</v>
      </c>
      <c r="BU508" s="75">
        <f>PARAM!$C$26+MAX($G$20-CHOOSE(PARAM!$B$44,MAX(0,BV507*$F$1),0),0)*RATES!$L484/12+$H$20*(PARAM!$D$51/12)*RATES!$N484/100</f>
        <v>120.20833333333331</v>
      </c>
      <c r="BV508" s="16">
        <f t="shared" si="344"/>
        <v>-7928.3237221459995</v>
      </c>
      <c r="BW508" s="15">
        <f t="shared" si="319"/>
        <v>22.170849845882874</v>
      </c>
      <c r="BX508" s="75">
        <f>BW508*(1-PARAM!$C$27)*$I$21+(MOD($B508,60)=PARAM!$B$56)*($B508&gt;(60-PARAM!$B$56))*HLOOKUP(($B508+PARAM!$B$56)/12,Loyalty,2)*$F$1*MAX(BZ507,0)</f>
        <v>18.557001321003963</v>
      </c>
      <c r="BY508" s="75">
        <f>PARAM!$C$26+MAX($G$21-CHOOSE(PARAM!$B$44,MAX(0,BZ507*$F$1),0),0)*RATES!$L484/12+$H$21*(PARAM!$D$51/12)*RATES!$N484/100</f>
        <v>120.20833333333331</v>
      </c>
      <c r="BZ508" s="16">
        <f t="shared" si="345"/>
        <v>-7928.3237221459995</v>
      </c>
      <c r="CA508" s="15">
        <f t="shared" si="320"/>
        <v>22.170849845882874</v>
      </c>
      <c r="CB508" s="75">
        <f>CA508*(1-PARAM!$C$27)*$I$22+(MOD($B508,60)=PARAM!$B$56)*($B508&gt;(60-PARAM!$B$56))*HLOOKUP(($B508+PARAM!$B$56)/12,Loyalty,2)*$F$1*MAX(CD507,0)</f>
        <v>18.557001321003963</v>
      </c>
      <c r="CC508" s="75">
        <f>PARAM!$C$26+MAX($G$22-CHOOSE(PARAM!$B$44,MAX(0,CD507*$F$1),0),0)*RATES!$L484/12+$H$22*(PARAM!$D$51/12)*RATES!$N484/100</f>
        <v>120.20833333333331</v>
      </c>
      <c r="CD508" s="16">
        <f t="shared" si="346"/>
        <v>-7928.3237221459995</v>
      </c>
      <c r="CE508" s="33">
        <f>IF(0=MOD(B508,12/PARAM!$D$51),1,0)</f>
        <v>1</v>
      </c>
      <c r="CF508" s="15">
        <f t="shared" si="321"/>
        <v>0</v>
      </c>
      <c r="CG508" s="75">
        <f>CF508*(1-PARAM!$C$27)*$R$3+(MOD($B508/12,5)=0)*($B508&gt;60)*HLOOKUP($B508/12,Loyalty,2)*$F$1*MAX(CI507,0)</f>
        <v>0</v>
      </c>
      <c r="CH508" s="75">
        <f>PARAM!$C$26+MAX($P$3-CHOOSE(PARAM!$B$44,MAX(0,CI507*$F$1),0),0)*RATES!$L484/12+$Q$3*(PARAM!$D$51/12)*RATES!$N484/100</f>
        <v>120.20833333333331</v>
      </c>
      <c r="CI508" s="16">
        <f>IF(CI507&gt;0,CI507*PARAM!$C$53,CI507)+CG508-CH508</f>
        <v>-16734.666666666653</v>
      </c>
      <c r="CJ508" s="15">
        <f t="shared" si="347"/>
        <v>0</v>
      </c>
      <c r="CK508" s="75">
        <f>CJ508*(1-PARAM!$C$27)*$R$4+(MOD($B508/12,5)=0)*($B508&gt;60)*HLOOKUP($B508/12,Loyalty,2)*$F$1*MAX(CM507,0)</f>
        <v>0</v>
      </c>
      <c r="CL508" s="75">
        <f>PARAM!$C$26+MAX($P$4-CHOOSE(PARAM!$B$44,MAX(0,CM507*$F$1),0),0)*RATES!$L484/12+$Q$4*(PARAM!$D$51/12)*RATES!$N484/100</f>
        <v>120.20833333333331</v>
      </c>
      <c r="CM508" s="16">
        <f>IF(CM507&gt;0,CM507*PARAM!$C$53,CM507)+CK508-CL508</f>
        <v>-16734.666666666653</v>
      </c>
      <c r="CO508" s="176"/>
    </row>
    <row r="509" spans="1:93" x14ac:dyDescent="0.2">
      <c r="A509" t="b">
        <f t="shared" si="322"/>
        <v>0</v>
      </c>
      <c r="B509" s="33">
        <v>482</v>
      </c>
      <c r="C509" s="15">
        <f t="shared" si="323"/>
        <v>20.081305947392778</v>
      </c>
      <c r="D509" s="75">
        <f>C509*(1-PARAM!$C$27)*$I$3+(MOD($B509,60)=PARAM!$B$56)*($B509&gt;(60-PARAM!$B$56))*HLOOKUP(($B509+PARAM!$B$56)/12,Loyalty,2)*$F$1*MAX(F508,0)</f>
        <v>16.808053077967756</v>
      </c>
      <c r="E509" s="75">
        <f>PARAM!$C$26+MAX($G$3-CHOOSE(PARAM!$B$44,MAX(0,F508*$F$1),0),0)*RATES!$L485/12+$H$3*(PARAM!$D$51/12)*RATES!$N485/100</f>
        <v>120.20833333333331</v>
      </c>
      <c r="F509" s="16">
        <f t="shared" si="324"/>
        <v>-8909.8186078232739</v>
      </c>
      <c r="G509" s="15">
        <f t="shared" si="325"/>
        <v>22.035289406060361</v>
      </c>
      <c r="H509" s="75">
        <f>G509*(1-PARAM!$C$27)*$I$4+(MOD($B509,60)=PARAM!$B$56)*($B509&gt;(60-PARAM!$B$56))*HLOOKUP(($B509+PARAM!$B$56)/12,Loyalty,2)*$F$1*MAX(J508,0)</f>
        <v>18.443537232872522</v>
      </c>
      <c r="I509" s="75">
        <f>PARAM!$C$26+MAX($G$4-CHOOSE(PARAM!$B$44,MAX(0,J508*$F$1),0),0)*RATES!$L485/12+$H$4*(PARAM!$D$51/12)*RATES!$N485/100</f>
        <v>120.20833333333331</v>
      </c>
      <c r="J509" s="16">
        <f t="shared" si="326"/>
        <v>-8087.6822810374561</v>
      </c>
      <c r="K509" s="15">
        <f t="shared" si="327"/>
        <v>22.170849845882874</v>
      </c>
      <c r="L509" s="75">
        <f>K509*(1-PARAM!$C$27)*$I$5+(MOD($B509,60)=PARAM!$B$56)*($B509&gt;(60-PARAM!$B$56))*HLOOKUP(($B509+PARAM!$B$56)/12,Loyalty,2)*$F$1*MAX(N508,0)</f>
        <v>18.557001321003963</v>
      </c>
      <c r="M509" s="75">
        <f>PARAM!$C$26+MAX($G$5-CHOOSE(PARAM!$B$44,MAX(0,N508*$F$1),0),0)*RATES!$L485/12+$H$5*(PARAM!$D$51/12)*RATES!$N485/100</f>
        <v>120.20833333333331</v>
      </c>
      <c r="N509" s="16">
        <f t="shared" si="328"/>
        <v>-8029.9750541583289</v>
      </c>
      <c r="O509" s="15">
        <f t="shared" si="329"/>
        <v>22.170849845882874</v>
      </c>
      <c r="P509" s="75">
        <f>O509*(1-PARAM!$C$27)*$I$6+(MOD($B509,60)=PARAM!$B$56)*($B509&gt;(60-PARAM!$B$56))*HLOOKUP(($B509+PARAM!$B$56)/12,Loyalty,2)*$F$1*MAX(R508,0)</f>
        <v>18.557001321003963</v>
      </c>
      <c r="Q509" s="75">
        <f>PARAM!$C$26+MAX($G$6-CHOOSE(PARAM!$B$44,MAX(0,R508*$F$1),0),0)*RATES!$L485/12+$H$6*(PARAM!$D$51/12)*RATES!$N485/100</f>
        <v>120.20833333333331</v>
      </c>
      <c r="R509" s="16">
        <f t="shared" si="330"/>
        <v>-8029.9750541583289</v>
      </c>
      <c r="S509" s="15">
        <f t="shared" si="305"/>
        <v>22.170849845882874</v>
      </c>
      <c r="T509" s="75">
        <f>S509*(1-PARAM!$C$27)*$I$7+(MOD($B509,60)=PARAM!$B$56)*($B509&gt;(60-PARAM!$B$56))*HLOOKUP(($B509+PARAM!$B$56)/12,Loyalty,2)*$F$1*MAX(V508,0)</f>
        <v>18.557001321003963</v>
      </c>
      <c r="U509" s="75">
        <f>PARAM!$C$26+MAX($G$7-CHOOSE(PARAM!$B$44,MAX(0,V508*$F$1),0),0)*RATES!$L485/12+$H$7*(PARAM!$D$51/12)*RATES!$N485/100</f>
        <v>120.20833333333331</v>
      </c>
      <c r="V509" s="16">
        <f t="shared" si="331"/>
        <v>-8029.9750541583289</v>
      </c>
      <c r="W509" s="15">
        <f t="shared" si="306"/>
        <v>22.170849845882874</v>
      </c>
      <c r="X509" s="75">
        <f>W509*(1-PARAM!$C$27)*$I$8+(MOD($B509,60)=PARAM!$B$56)*($B509&gt;(60-PARAM!$B$56))*HLOOKUP(($B509+PARAM!$B$56)/12,Loyalty,2)*$F$1*MAX(Z508,0)</f>
        <v>18.557001321003963</v>
      </c>
      <c r="Y509" s="75">
        <f>PARAM!$C$26+MAX($G$8-CHOOSE(PARAM!$B$44,MAX(0,Z508*$F$1),0),0)*RATES!$L485/12+$H$8*(PARAM!$D$51/12)*RATES!$N485/100</f>
        <v>120.20833333333331</v>
      </c>
      <c r="Z509" s="16">
        <f t="shared" si="332"/>
        <v>-8029.9750541583289</v>
      </c>
      <c r="AA509" s="15">
        <f t="shared" si="307"/>
        <v>22.170849845882874</v>
      </c>
      <c r="AB509" s="75">
        <f>AA509*(1-PARAM!$C$27)*$I$9+(MOD($B509,60)=PARAM!$B$56)*($B509&gt;(60-PARAM!$B$56))*HLOOKUP(($B509+PARAM!$B$56)/12,Loyalty,2)*$F$1*MAX(AD508,0)</f>
        <v>18.557001321003963</v>
      </c>
      <c r="AC509" s="75">
        <f>PARAM!$C$26+MAX($G$9-CHOOSE(PARAM!$B$44,MAX(0,AD508*$F$1),0),0)*RATES!$L485/12+$H$9*(PARAM!$D$51/12)*RATES!$N485/100</f>
        <v>120.20833333333331</v>
      </c>
      <c r="AD509" s="16">
        <f t="shared" si="333"/>
        <v>-8029.9750541583289</v>
      </c>
      <c r="AE509" s="15">
        <f t="shared" si="308"/>
        <v>22.170849845882874</v>
      </c>
      <c r="AF509" s="75">
        <f>AE509*(1-PARAM!$C$27)*$I$10+(MOD($B509,60)=PARAM!$B$56)*($B509&gt;(60-PARAM!$B$56))*HLOOKUP(($B509+PARAM!$B$56)/12,Loyalty,2)*$F$1*MAX(AH508,0)</f>
        <v>18.557001321003963</v>
      </c>
      <c r="AG509" s="75">
        <f>PARAM!$C$26+MAX($G$10-CHOOSE(PARAM!$B$44,MAX(0,AH508*$F$1),0),0)*RATES!$L485/12+$H$10*(PARAM!$D$51/12)*RATES!$N485/100</f>
        <v>120.20833333333331</v>
      </c>
      <c r="AH509" s="16">
        <f t="shared" si="334"/>
        <v>-8029.9750541583289</v>
      </c>
      <c r="AI509" s="15">
        <f t="shared" si="309"/>
        <v>22.170849845882874</v>
      </c>
      <c r="AJ509" s="75">
        <f>AI509*(1-PARAM!$C$27)*$I$11+(MOD($B509,60)=PARAM!$B$56)*($B509&gt;(60-PARAM!$B$56))*HLOOKUP(($B509+PARAM!$B$56)/12,Loyalty,2)*$F$1*MAX(AL508,0)</f>
        <v>18.557001321003963</v>
      </c>
      <c r="AK509" s="75">
        <f>PARAM!$C$26+MAX($G$11-CHOOSE(PARAM!$B$44,MAX(0,AL508*$F$1),0),0)*RATES!$L485/12+$H$11*(PARAM!$D$51/12)*RATES!$N485/100</f>
        <v>120.20833333333331</v>
      </c>
      <c r="AL509" s="16">
        <f t="shared" si="335"/>
        <v>-8029.9750541583289</v>
      </c>
      <c r="AM509" s="15">
        <f t="shared" si="310"/>
        <v>22.170849845882874</v>
      </c>
      <c r="AN509" s="75">
        <f>AM509*(1-PARAM!$C$27)*$I$12+(MOD($B509,60)=PARAM!$B$56)*($B509&gt;(60-PARAM!$B$56))*HLOOKUP(($B509+PARAM!$B$56)/12,Loyalty,2)*$F$1*MAX(AP508,0)</f>
        <v>18.557001321003963</v>
      </c>
      <c r="AO509" s="75">
        <f>PARAM!$C$26+MAX($G$12-CHOOSE(PARAM!$B$44,MAX(0,AP508*$F$1),0),0)*RATES!$L485/12+$H$12*(PARAM!$D$51/12)*RATES!$N485/100</f>
        <v>120.20833333333331</v>
      </c>
      <c r="AP509" s="16">
        <f t="shared" si="336"/>
        <v>-8029.9750541583289</v>
      </c>
      <c r="AQ509" s="15">
        <f t="shared" si="311"/>
        <v>22.170849845882874</v>
      </c>
      <c r="AR509" s="75">
        <f>AQ509*(1-PARAM!$C$27)*$I$13+(MOD($B509,60)=PARAM!$B$56)*($B509&gt;(60-PARAM!$B$56))*HLOOKUP(($B509+PARAM!$B$56)/12,Loyalty,2)*$F$1*MAX(AT508,0)</f>
        <v>18.557001321003963</v>
      </c>
      <c r="AS509" s="75">
        <f>PARAM!$C$26+MAX($G$13-CHOOSE(PARAM!$B$44,MAX(0,AT508*$F$1),0),0)*RATES!$L485/12+$H$13*(PARAM!$D$51/12)*RATES!$N485/100</f>
        <v>120.20833333333331</v>
      </c>
      <c r="AT509" s="16">
        <f t="shared" si="337"/>
        <v>-8029.9750541583289</v>
      </c>
      <c r="AU509" s="15">
        <f t="shared" si="312"/>
        <v>22.170849845882874</v>
      </c>
      <c r="AV509" s="75">
        <f>AU509*(1-PARAM!$C$27)*$I$14+(MOD($B509,60)=PARAM!$B$56)*($B509&gt;(60-PARAM!$B$56))*HLOOKUP(($B509+PARAM!$B$56)/12,Loyalty,2)*$F$1*MAX(AX508,0)</f>
        <v>18.557001321003963</v>
      </c>
      <c r="AW509" s="75">
        <f>PARAM!$C$26+MAX($G$14-CHOOSE(PARAM!$B$44,MAX(0,AX508*$F$1),0),0)*RATES!$L485/12+$H$14*(PARAM!$D$51/12)*RATES!$N485/100</f>
        <v>120.20833333333331</v>
      </c>
      <c r="AX509" s="16">
        <f t="shared" si="338"/>
        <v>-8029.9750541583289</v>
      </c>
      <c r="AY509" s="15">
        <f t="shared" si="313"/>
        <v>22.170849845882874</v>
      </c>
      <c r="AZ509" s="75">
        <f>AY509*(1-PARAM!$C$27)*$I$15+(MOD($B509,60)=PARAM!$B$56)*($B509&gt;(60-PARAM!$B$56))*HLOOKUP(($B509+PARAM!$B$56)/12,Loyalty,2)*$F$1*MAX(BB508,0)</f>
        <v>18.557001321003963</v>
      </c>
      <c r="BA509" s="75">
        <f>PARAM!$C$26+MAX($G$15-CHOOSE(PARAM!$B$44,MAX(0,BB508*$F$1),0),0)*RATES!$L485/12+$H$15*(PARAM!$D$51/12)*RATES!$N485/100</f>
        <v>120.20833333333331</v>
      </c>
      <c r="BB509" s="16">
        <f t="shared" si="339"/>
        <v>-8029.9750541583289</v>
      </c>
      <c r="BC509" s="15">
        <f t="shared" si="314"/>
        <v>22.170849845882874</v>
      </c>
      <c r="BD509" s="75">
        <f>BC509*(1-PARAM!$C$27)*$I$16+(MOD($B509,60)=PARAM!$B$56)*($B509&gt;(60-PARAM!$B$56))*HLOOKUP(($B509+PARAM!$B$56)/12,Loyalty,2)*$F$1*MAX(BF508,0)</f>
        <v>18.557001321003963</v>
      </c>
      <c r="BE509" s="75">
        <f>PARAM!$C$26+MAX($G$16-CHOOSE(PARAM!$B$44,MAX(0,BF508*$F$1),0),0)*RATES!$L485/12+$H$16*(PARAM!$D$51/12)*RATES!$N485/100</f>
        <v>120.20833333333331</v>
      </c>
      <c r="BF509" s="16">
        <f t="shared" si="340"/>
        <v>-8029.9750541583289</v>
      </c>
      <c r="BG509" s="15">
        <f t="shared" si="315"/>
        <v>22.170849845882874</v>
      </c>
      <c r="BH509" s="75">
        <f>BG509*(1-PARAM!$C$27)*$I$17+(MOD($B509,60)=PARAM!$B$56)*($B509&gt;(60-PARAM!$B$56))*HLOOKUP(($B509+PARAM!$B$56)/12,Loyalty,2)*$F$1*MAX(BJ508,0)</f>
        <v>18.557001321003963</v>
      </c>
      <c r="BI509" s="75">
        <f>PARAM!$C$26+MAX($G$17-CHOOSE(PARAM!$B$44,MAX(0,BJ508*$F$1),0),0)*RATES!$L485/12+$H$17*(PARAM!$D$51/12)*RATES!$N485/100</f>
        <v>120.20833333333331</v>
      </c>
      <c r="BJ509" s="16">
        <f t="shared" si="341"/>
        <v>-8029.9750541583289</v>
      </c>
      <c r="BK509" s="15">
        <f t="shared" si="316"/>
        <v>22.170849845882874</v>
      </c>
      <c r="BL509" s="75">
        <f>BK509*(1-PARAM!$C$27)*$I$18+(MOD($B509,60)=PARAM!$B$56)*($B509&gt;(60-PARAM!$B$56))*HLOOKUP(($B509+PARAM!$B$56)/12,Loyalty,2)*$F$1*MAX(BN508,0)</f>
        <v>18.557001321003963</v>
      </c>
      <c r="BM509" s="75">
        <f>PARAM!$C$26+MAX($G$18-CHOOSE(PARAM!$B$44,MAX(0,BN508*$F$1),0),0)*RATES!$L485/12+$H$18*(PARAM!$D$51/12)*RATES!$N485/100</f>
        <v>120.20833333333331</v>
      </c>
      <c r="BN509" s="16">
        <f t="shared" si="342"/>
        <v>-8029.9750541583289</v>
      </c>
      <c r="BO509" s="15">
        <f t="shared" si="317"/>
        <v>22.170849845882874</v>
      </c>
      <c r="BP509" s="75">
        <f>BO509*(1-PARAM!$C$27)*$I$19+(MOD($B509,60)=PARAM!$B$56)*($B509&gt;(60-PARAM!$B$56))*HLOOKUP(($B509+PARAM!$B$56)/12,Loyalty,2)*$F$1*MAX(BR508,0)</f>
        <v>18.557001321003963</v>
      </c>
      <c r="BQ509" s="75">
        <f>PARAM!$C$26+MAX($G$19-CHOOSE(PARAM!$B$44,MAX(0,BR508*$F$1),0),0)*RATES!$L485/12+$H$19*(PARAM!$D$51/12)*RATES!$N485/100</f>
        <v>120.20833333333331</v>
      </c>
      <c r="BR509" s="16">
        <f t="shared" si="343"/>
        <v>-8029.9750541583289</v>
      </c>
      <c r="BS509" s="15">
        <f t="shared" si="318"/>
        <v>22.170849845882874</v>
      </c>
      <c r="BT509" s="75">
        <f>BS509*(1-PARAM!$C$27)*$I$20+(MOD($B509,60)=PARAM!$B$56)*($B509&gt;(60-PARAM!$B$56))*HLOOKUP(($B509+PARAM!$B$56)/12,Loyalty,2)*$F$1*MAX(BV508,0)</f>
        <v>18.557001321003963</v>
      </c>
      <c r="BU509" s="75">
        <f>PARAM!$C$26+MAX($G$20-CHOOSE(PARAM!$B$44,MAX(0,BV508*$F$1),0),0)*RATES!$L485/12+$H$20*(PARAM!$D$51/12)*RATES!$N485/100</f>
        <v>120.20833333333331</v>
      </c>
      <c r="BV509" s="16">
        <f t="shared" si="344"/>
        <v>-8029.9750541583289</v>
      </c>
      <c r="BW509" s="15">
        <f t="shared" si="319"/>
        <v>22.170849845882874</v>
      </c>
      <c r="BX509" s="75">
        <f>BW509*(1-PARAM!$C$27)*$I$21+(MOD($B509,60)=PARAM!$B$56)*($B509&gt;(60-PARAM!$B$56))*HLOOKUP(($B509+PARAM!$B$56)/12,Loyalty,2)*$F$1*MAX(BZ508,0)</f>
        <v>18.557001321003963</v>
      </c>
      <c r="BY509" s="75">
        <f>PARAM!$C$26+MAX($G$21-CHOOSE(PARAM!$B$44,MAX(0,BZ508*$F$1),0),0)*RATES!$L485/12+$H$21*(PARAM!$D$51/12)*RATES!$N485/100</f>
        <v>120.20833333333331</v>
      </c>
      <c r="BZ509" s="16">
        <f t="shared" si="345"/>
        <v>-8029.9750541583289</v>
      </c>
      <c r="CA509" s="15">
        <f t="shared" si="320"/>
        <v>22.170849845882874</v>
      </c>
      <c r="CB509" s="75">
        <f>CA509*(1-PARAM!$C$27)*$I$22+(MOD($B509,60)=PARAM!$B$56)*($B509&gt;(60-PARAM!$B$56))*HLOOKUP(($B509+PARAM!$B$56)/12,Loyalty,2)*$F$1*MAX(CD508,0)</f>
        <v>18.557001321003963</v>
      </c>
      <c r="CC509" s="75">
        <f>PARAM!$C$26+MAX($G$22-CHOOSE(PARAM!$B$44,MAX(0,CD508*$F$1),0),0)*RATES!$L485/12+$H$22*(PARAM!$D$51/12)*RATES!$N485/100</f>
        <v>120.20833333333331</v>
      </c>
      <c r="CD509" s="16">
        <f t="shared" si="346"/>
        <v>-8029.9750541583289</v>
      </c>
      <c r="CE509" s="33">
        <f>IF(0=MOD(B509,12/PARAM!$D$51),1,0)</f>
        <v>1</v>
      </c>
      <c r="CF509" s="15">
        <f t="shared" si="321"/>
        <v>0</v>
      </c>
      <c r="CG509" s="75">
        <f>CF509*(1-PARAM!$C$27)*$R$3+(MOD($B509/12,5)=0)*($B509&gt;60)*HLOOKUP($B509/12,Loyalty,2)*$F$1*MAX(CI508,0)</f>
        <v>0</v>
      </c>
      <c r="CH509" s="75">
        <f>PARAM!$C$26+MAX($P$3-CHOOSE(PARAM!$B$44,MAX(0,CI508*$F$1),0),0)*RATES!$L485/12+$Q$3*(PARAM!$D$51/12)*RATES!$N485/100</f>
        <v>120.20833333333331</v>
      </c>
      <c r="CI509" s="16">
        <f>IF(CI508&gt;0,CI508*PARAM!$C$53,CI508)+CG509-CH509</f>
        <v>-16854.874999999985</v>
      </c>
      <c r="CJ509" s="15">
        <f t="shared" si="347"/>
        <v>0</v>
      </c>
      <c r="CK509" s="75">
        <f>CJ509*(1-PARAM!$C$27)*$R$4+(MOD($B509/12,5)=0)*($B509&gt;60)*HLOOKUP($B509/12,Loyalty,2)*$F$1*MAX(CM508,0)</f>
        <v>0</v>
      </c>
      <c r="CL509" s="75">
        <f>PARAM!$C$26+MAX($P$4-CHOOSE(PARAM!$B$44,MAX(0,CM508*$F$1),0),0)*RATES!$L485/12+$Q$4*(PARAM!$D$51/12)*RATES!$N485/100</f>
        <v>120.20833333333331</v>
      </c>
      <c r="CM509" s="16">
        <f>IF(CM508&gt;0,CM508*PARAM!$C$53,CM508)+CK509-CL509</f>
        <v>-16854.874999999985</v>
      </c>
      <c r="CO509" s="176"/>
    </row>
    <row r="510" spans="1:93" x14ac:dyDescent="0.2">
      <c r="A510" t="b">
        <f t="shared" si="322"/>
        <v>0</v>
      </c>
      <c r="B510" s="33">
        <v>483</v>
      </c>
      <c r="C510" s="15">
        <f t="shared" si="323"/>
        <v>20.081305947392778</v>
      </c>
      <c r="D510" s="75">
        <f>C510*(1-PARAM!$C$27)*$I$3+(MOD($B510,60)=PARAM!$B$56)*($B510&gt;(60-PARAM!$B$56))*HLOOKUP(($B510+PARAM!$B$56)/12,Loyalty,2)*$F$1*MAX(F509,0)</f>
        <v>16.808053077967756</v>
      </c>
      <c r="E510" s="75">
        <f>PARAM!$C$26+MAX($G$3-CHOOSE(PARAM!$B$44,MAX(0,F509*$F$1),0),0)*RATES!$L486/12+$H$3*(PARAM!$D$51/12)*RATES!$N486/100</f>
        <v>120.20833333333331</v>
      </c>
      <c r="F510" s="16">
        <f t="shared" si="324"/>
        <v>-9013.2188880786398</v>
      </c>
      <c r="G510" s="15">
        <f t="shared" si="325"/>
        <v>22.035289406060361</v>
      </c>
      <c r="H510" s="75">
        <f>G510*(1-PARAM!$C$27)*$I$4+(MOD($B510,60)=PARAM!$B$56)*($B510&gt;(60-PARAM!$B$56))*HLOOKUP(($B510+PARAM!$B$56)/12,Loyalty,2)*$F$1*MAX(J509,0)</f>
        <v>18.443537232872522</v>
      </c>
      <c r="I510" s="75">
        <f>PARAM!$C$26+MAX($G$4-CHOOSE(PARAM!$B$44,MAX(0,J509*$F$1),0),0)*RATES!$L486/12+$H$4*(PARAM!$D$51/12)*RATES!$N486/100</f>
        <v>120.20833333333331</v>
      </c>
      <c r="J510" s="16">
        <f t="shared" si="326"/>
        <v>-8189.4470771379165</v>
      </c>
      <c r="K510" s="15">
        <f t="shared" si="327"/>
        <v>22.170849845882874</v>
      </c>
      <c r="L510" s="75">
        <f>K510*(1-PARAM!$C$27)*$I$5+(MOD($B510,60)=PARAM!$B$56)*($B510&gt;(60-PARAM!$B$56))*HLOOKUP(($B510+PARAM!$B$56)/12,Loyalty,2)*$F$1*MAX(N509,0)</f>
        <v>18.557001321003963</v>
      </c>
      <c r="M510" s="75">
        <f>PARAM!$C$26+MAX($G$5-CHOOSE(PARAM!$B$44,MAX(0,N509*$F$1),0),0)*RATES!$L486/12+$H$5*(PARAM!$D$51/12)*RATES!$N486/100</f>
        <v>120.20833333333331</v>
      </c>
      <c r="N510" s="16">
        <f t="shared" si="328"/>
        <v>-8131.6263861706584</v>
      </c>
      <c r="O510" s="15">
        <f t="shared" si="329"/>
        <v>22.170849845882874</v>
      </c>
      <c r="P510" s="75">
        <f>O510*(1-PARAM!$C$27)*$I$6+(MOD($B510,60)=PARAM!$B$56)*($B510&gt;(60-PARAM!$B$56))*HLOOKUP(($B510+PARAM!$B$56)/12,Loyalty,2)*$F$1*MAX(R509,0)</f>
        <v>18.557001321003963</v>
      </c>
      <c r="Q510" s="75">
        <f>PARAM!$C$26+MAX($G$6-CHOOSE(PARAM!$B$44,MAX(0,R509*$F$1),0),0)*RATES!$L486/12+$H$6*(PARAM!$D$51/12)*RATES!$N486/100</f>
        <v>120.20833333333331</v>
      </c>
      <c r="R510" s="16">
        <f t="shared" si="330"/>
        <v>-8131.6263861706584</v>
      </c>
      <c r="S510" s="15">
        <f t="shared" si="305"/>
        <v>22.170849845882874</v>
      </c>
      <c r="T510" s="75">
        <f>S510*(1-PARAM!$C$27)*$I$7+(MOD($B510,60)=PARAM!$B$56)*($B510&gt;(60-PARAM!$B$56))*HLOOKUP(($B510+PARAM!$B$56)/12,Loyalty,2)*$F$1*MAX(V509,0)</f>
        <v>18.557001321003963</v>
      </c>
      <c r="U510" s="75">
        <f>PARAM!$C$26+MAX($G$7-CHOOSE(PARAM!$B$44,MAX(0,V509*$F$1),0),0)*RATES!$L486/12+$H$7*(PARAM!$D$51/12)*RATES!$N486/100</f>
        <v>120.20833333333331</v>
      </c>
      <c r="V510" s="16">
        <f t="shared" si="331"/>
        <v>-8131.6263861706584</v>
      </c>
      <c r="W510" s="15">
        <f t="shared" si="306"/>
        <v>22.170849845882874</v>
      </c>
      <c r="X510" s="75">
        <f>W510*(1-PARAM!$C$27)*$I$8+(MOD($B510,60)=PARAM!$B$56)*($B510&gt;(60-PARAM!$B$56))*HLOOKUP(($B510+PARAM!$B$56)/12,Loyalty,2)*$F$1*MAX(Z509,0)</f>
        <v>18.557001321003963</v>
      </c>
      <c r="Y510" s="75">
        <f>PARAM!$C$26+MAX($G$8-CHOOSE(PARAM!$B$44,MAX(0,Z509*$F$1),0),0)*RATES!$L486/12+$H$8*(PARAM!$D$51/12)*RATES!$N486/100</f>
        <v>120.20833333333331</v>
      </c>
      <c r="Z510" s="16">
        <f t="shared" si="332"/>
        <v>-8131.6263861706584</v>
      </c>
      <c r="AA510" s="15">
        <f t="shared" si="307"/>
        <v>22.170849845882874</v>
      </c>
      <c r="AB510" s="75">
        <f>AA510*(1-PARAM!$C$27)*$I$9+(MOD($B510,60)=PARAM!$B$56)*($B510&gt;(60-PARAM!$B$56))*HLOOKUP(($B510+PARAM!$B$56)/12,Loyalty,2)*$F$1*MAX(AD509,0)</f>
        <v>18.557001321003963</v>
      </c>
      <c r="AC510" s="75">
        <f>PARAM!$C$26+MAX($G$9-CHOOSE(PARAM!$B$44,MAX(0,AD509*$F$1),0),0)*RATES!$L486/12+$H$9*(PARAM!$D$51/12)*RATES!$N486/100</f>
        <v>120.20833333333331</v>
      </c>
      <c r="AD510" s="16">
        <f t="shared" si="333"/>
        <v>-8131.6263861706584</v>
      </c>
      <c r="AE510" s="15">
        <f t="shared" si="308"/>
        <v>22.170849845882874</v>
      </c>
      <c r="AF510" s="75">
        <f>AE510*(1-PARAM!$C$27)*$I$10+(MOD($B510,60)=PARAM!$B$56)*($B510&gt;(60-PARAM!$B$56))*HLOOKUP(($B510+PARAM!$B$56)/12,Loyalty,2)*$F$1*MAX(AH509,0)</f>
        <v>18.557001321003963</v>
      </c>
      <c r="AG510" s="75">
        <f>PARAM!$C$26+MAX($G$10-CHOOSE(PARAM!$B$44,MAX(0,AH509*$F$1),0),0)*RATES!$L486/12+$H$10*(PARAM!$D$51/12)*RATES!$N486/100</f>
        <v>120.20833333333331</v>
      </c>
      <c r="AH510" s="16">
        <f t="shared" si="334"/>
        <v>-8131.6263861706584</v>
      </c>
      <c r="AI510" s="15">
        <f t="shared" si="309"/>
        <v>22.170849845882874</v>
      </c>
      <c r="AJ510" s="75">
        <f>AI510*(1-PARAM!$C$27)*$I$11+(MOD($B510,60)=PARAM!$B$56)*($B510&gt;(60-PARAM!$B$56))*HLOOKUP(($B510+PARAM!$B$56)/12,Loyalty,2)*$F$1*MAX(AL509,0)</f>
        <v>18.557001321003963</v>
      </c>
      <c r="AK510" s="75">
        <f>PARAM!$C$26+MAX($G$11-CHOOSE(PARAM!$B$44,MAX(0,AL509*$F$1),0),0)*RATES!$L486/12+$H$11*(PARAM!$D$51/12)*RATES!$N486/100</f>
        <v>120.20833333333331</v>
      </c>
      <c r="AL510" s="16">
        <f t="shared" si="335"/>
        <v>-8131.6263861706584</v>
      </c>
      <c r="AM510" s="15">
        <f t="shared" si="310"/>
        <v>22.170849845882874</v>
      </c>
      <c r="AN510" s="75">
        <f>AM510*(1-PARAM!$C$27)*$I$12+(MOD($B510,60)=PARAM!$B$56)*($B510&gt;(60-PARAM!$B$56))*HLOOKUP(($B510+PARAM!$B$56)/12,Loyalty,2)*$F$1*MAX(AP509,0)</f>
        <v>18.557001321003963</v>
      </c>
      <c r="AO510" s="75">
        <f>PARAM!$C$26+MAX($G$12-CHOOSE(PARAM!$B$44,MAX(0,AP509*$F$1),0),0)*RATES!$L486/12+$H$12*(PARAM!$D$51/12)*RATES!$N486/100</f>
        <v>120.20833333333331</v>
      </c>
      <c r="AP510" s="16">
        <f t="shared" si="336"/>
        <v>-8131.6263861706584</v>
      </c>
      <c r="AQ510" s="15">
        <f t="shared" si="311"/>
        <v>22.170849845882874</v>
      </c>
      <c r="AR510" s="75">
        <f>AQ510*(1-PARAM!$C$27)*$I$13+(MOD($B510,60)=PARAM!$B$56)*($B510&gt;(60-PARAM!$B$56))*HLOOKUP(($B510+PARAM!$B$56)/12,Loyalty,2)*$F$1*MAX(AT509,0)</f>
        <v>18.557001321003963</v>
      </c>
      <c r="AS510" s="75">
        <f>PARAM!$C$26+MAX($G$13-CHOOSE(PARAM!$B$44,MAX(0,AT509*$F$1),0),0)*RATES!$L486/12+$H$13*(PARAM!$D$51/12)*RATES!$N486/100</f>
        <v>120.20833333333331</v>
      </c>
      <c r="AT510" s="16">
        <f t="shared" si="337"/>
        <v>-8131.6263861706584</v>
      </c>
      <c r="AU510" s="15">
        <f t="shared" si="312"/>
        <v>22.170849845882874</v>
      </c>
      <c r="AV510" s="75">
        <f>AU510*(1-PARAM!$C$27)*$I$14+(MOD($B510,60)=PARAM!$B$56)*($B510&gt;(60-PARAM!$B$56))*HLOOKUP(($B510+PARAM!$B$56)/12,Loyalty,2)*$F$1*MAX(AX509,0)</f>
        <v>18.557001321003963</v>
      </c>
      <c r="AW510" s="75">
        <f>PARAM!$C$26+MAX($G$14-CHOOSE(PARAM!$B$44,MAX(0,AX509*$F$1),0),0)*RATES!$L486/12+$H$14*(PARAM!$D$51/12)*RATES!$N486/100</f>
        <v>120.20833333333331</v>
      </c>
      <c r="AX510" s="16">
        <f t="shared" si="338"/>
        <v>-8131.6263861706584</v>
      </c>
      <c r="AY510" s="15">
        <f t="shared" si="313"/>
        <v>22.170849845882874</v>
      </c>
      <c r="AZ510" s="75">
        <f>AY510*(1-PARAM!$C$27)*$I$15+(MOD($B510,60)=PARAM!$B$56)*($B510&gt;(60-PARAM!$B$56))*HLOOKUP(($B510+PARAM!$B$56)/12,Loyalty,2)*$F$1*MAX(BB509,0)</f>
        <v>18.557001321003963</v>
      </c>
      <c r="BA510" s="75">
        <f>PARAM!$C$26+MAX($G$15-CHOOSE(PARAM!$B$44,MAX(0,BB509*$F$1),0),0)*RATES!$L486/12+$H$15*(PARAM!$D$51/12)*RATES!$N486/100</f>
        <v>120.20833333333331</v>
      </c>
      <c r="BB510" s="16">
        <f t="shared" si="339"/>
        <v>-8131.6263861706584</v>
      </c>
      <c r="BC510" s="15">
        <f t="shared" si="314"/>
        <v>22.170849845882874</v>
      </c>
      <c r="BD510" s="75">
        <f>BC510*(1-PARAM!$C$27)*$I$16+(MOD($B510,60)=PARAM!$B$56)*($B510&gt;(60-PARAM!$B$56))*HLOOKUP(($B510+PARAM!$B$56)/12,Loyalty,2)*$F$1*MAX(BF509,0)</f>
        <v>18.557001321003963</v>
      </c>
      <c r="BE510" s="75">
        <f>PARAM!$C$26+MAX($G$16-CHOOSE(PARAM!$B$44,MAX(0,BF509*$F$1),0),0)*RATES!$L486/12+$H$16*(PARAM!$D$51/12)*RATES!$N486/100</f>
        <v>120.20833333333331</v>
      </c>
      <c r="BF510" s="16">
        <f t="shared" si="340"/>
        <v>-8131.6263861706584</v>
      </c>
      <c r="BG510" s="15">
        <f t="shared" si="315"/>
        <v>22.170849845882874</v>
      </c>
      <c r="BH510" s="75">
        <f>BG510*(1-PARAM!$C$27)*$I$17+(MOD($B510,60)=PARAM!$B$56)*($B510&gt;(60-PARAM!$B$56))*HLOOKUP(($B510+PARAM!$B$56)/12,Loyalty,2)*$F$1*MAX(BJ509,0)</f>
        <v>18.557001321003963</v>
      </c>
      <c r="BI510" s="75">
        <f>PARAM!$C$26+MAX($G$17-CHOOSE(PARAM!$B$44,MAX(0,BJ509*$F$1),0),0)*RATES!$L486/12+$H$17*(PARAM!$D$51/12)*RATES!$N486/100</f>
        <v>120.20833333333331</v>
      </c>
      <c r="BJ510" s="16">
        <f t="shared" si="341"/>
        <v>-8131.6263861706584</v>
      </c>
      <c r="BK510" s="15">
        <f t="shared" si="316"/>
        <v>22.170849845882874</v>
      </c>
      <c r="BL510" s="75">
        <f>BK510*(1-PARAM!$C$27)*$I$18+(MOD($B510,60)=PARAM!$B$56)*($B510&gt;(60-PARAM!$B$56))*HLOOKUP(($B510+PARAM!$B$56)/12,Loyalty,2)*$F$1*MAX(BN509,0)</f>
        <v>18.557001321003963</v>
      </c>
      <c r="BM510" s="75">
        <f>PARAM!$C$26+MAX($G$18-CHOOSE(PARAM!$B$44,MAX(0,BN509*$F$1),0),0)*RATES!$L486/12+$H$18*(PARAM!$D$51/12)*RATES!$N486/100</f>
        <v>120.20833333333331</v>
      </c>
      <c r="BN510" s="16">
        <f t="shared" si="342"/>
        <v>-8131.6263861706584</v>
      </c>
      <c r="BO510" s="15">
        <f t="shared" si="317"/>
        <v>22.170849845882874</v>
      </c>
      <c r="BP510" s="75">
        <f>BO510*(1-PARAM!$C$27)*$I$19+(MOD($B510,60)=PARAM!$B$56)*($B510&gt;(60-PARAM!$B$56))*HLOOKUP(($B510+PARAM!$B$56)/12,Loyalty,2)*$F$1*MAX(BR509,0)</f>
        <v>18.557001321003963</v>
      </c>
      <c r="BQ510" s="75">
        <f>PARAM!$C$26+MAX($G$19-CHOOSE(PARAM!$B$44,MAX(0,BR509*$F$1),0),0)*RATES!$L486/12+$H$19*(PARAM!$D$51/12)*RATES!$N486/100</f>
        <v>120.20833333333331</v>
      </c>
      <c r="BR510" s="16">
        <f t="shared" si="343"/>
        <v>-8131.6263861706584</v>
      </c>
      <c r="BS510" s="15">
        <f t="shared" si="318"/>
        <v>22.170849845882874</v>
      </c>
      <c r="BT510" s="75">
        <f>BS510*(1-PARAM!$C$27)*$I$20+(MOD($B510,60)=PARAM!$B$56)*($B510&gt;(60-PARAM!$B$56))*HLOOKUP(($B510+PARAM!$B$56)/12,Loyalty,2)*$F$1*MAX(BV509,0)</f>
        <v>18.557001321003963</v>
      </c>
      <c r="BU510" s="75">
        <f>PARAM!$C$26+MAX($G$20-CHOOSE(PARAM!$B$44,MAX(0,BV509*$F$1),0),0)*RATES!$L486/12+$H$20*(PARAM!$D$51/12)*RATES!$N486/100</f>
        <v>120.20833333333331</v>
      </c>
      <c r="BV510" s="16">
        <f t="shared" si="344"/>
        <v>-8131.6263861706584</v>
      </c>
      <c r="BW510" s="15">
        <f t="shared" si="319"/>
        <v>22.170849845882874</v>
      </c>
      <c r="BX510" s="75">
        <f>BW510*(1-PARAM!$C$27)*$I$21+(MOD($B510,60)=PARAM!$B$56)*($B510&gt;(60-PARAM!$B$56))*HLOOKUP(($B510+PARAM!$B$56)/12,Loyalty,2)*$F$1*MAX(BZ509,0)</f>
        <v>18.557001321003963</v>
      </c>
      <c r="BY510" s="75">
        <f>PARAM!$C$26+MAX($G$21-CHOOSE(PARAM!$B$44,MAX(0,BZ509*$F$1),0),0)*RATES!$L486/12+$H$21*(PARAM!$D$51/12)*RATES!$N486/100</f>
        <v>120.20833333333331</v>
      </c>
      <c r="BZ510" s="16">
        <f t="shared" si="345"/>
        <v>-8131.6263861706584</v>
      </c>
      <c r="CA510" s="15">
        <f t="shared" si="320"/>
        <v>22.170849845882874</v>
      </c>
      <c r="CB510" s="75">
        <f>CA510*(1-PARAM!$C$27)*$I$22+(MOD($B510,60)=PARAM!$B$56)*($B510&gt;(60-PARAM!$B$56))*HLOOKUP(($B510+PARAM!$B$56)/12,Loyalty,2)*$F$1*MAX(CD509,0)</f>
        <v>18.557001321003963</v>
      </c>
      <c r="CC510" s="75">
        <f>PARAM!$C$26+MAX($G$22-CHOOSE(PARAM!$B$44,MAX(0,CD509*$F$1),0),0)*RATES!$L486/12+$H$22*(PARAM!$D$51/12)*RATES!$N486/100</f>
        <v>120.20833333333331</v>
      </c>
      <c r="CD510" s="16">
        <f t="shared" si="346"/>
        <v>-8131.6263861706584</v>
      </c>
      <c r="CE510" s="33">
        <f>IF(0=MOD(B510,12/PARAM!$D$51),1,0)</f>
        <v>1</v>
      </c>
      <c r="CF510" s="15">
        <f t="shared" si="321"/>
        <v>0</v>
      </c>
      <c r="CG510" s="75">
        <f>CF510*(1-PARAM!$C$27)*$R$3+(MOD($B510/12,5)=0)*($B510&gt;60)*HLOOKUP($B510/12,Loyalty,2)*$F$1*MAX(CI509,0)</f>
        <v>0</v>
      </c>
      <c r="CH510" s="75">
        <f>PARAM!$C$26+MAX($P$3-CHOOSE(PARAM!$B$44,MAX(0,CI509*$F$1),0),0)*RATES!$L486/12+$Q$3*(PARAM!$D$51/12)*RATES!$N486/100</f>
        <v>120.20833333333331</v>
      </c>
      <c r="CI510" s="16">
        <f>IF(CI509&gt;0,CI509*PARAM!$C$53,CI509)+CG510-CH510</f>
        <v>-16975.083333333318</v>
      </c>
      <c r="CJ510" s="15">
        <f t="shared" si="347"/>
        <v>0</v>
      </c>
      <c r="CK510" s="75">
        <f>CJ510*(1-PARAM!$C$27)*$R$4+(MOD($B510/12,5)=0)*($B510&gt;60)*HLOOKUP($B510/12,Loyalty,2)*$F$1*MAX(CM509,0)</f>
        <v>0</v>
      </c>
      <c r="CL510" s="75">
        <f>PARAM!$C$26+MAX($P$4-CHOOSE(PARAM!$B$44,MAX(0,CM509*$F$1),0),0)*RATES!$L486/12+$Q$4*(PARAM!$D$51/12)*RATES!$N486/100</f>
        <v>120.20833333333331</v>
      </c>
      <c r="CM510" s="16">
        <f>IF(CM509&gt;0,CM509*PARAM!$C$53,CM509)+CK510-CL510</f>
        <v>-16975.083333333318</v>
      </c>
      <c r="CO510" s="176"/>
    </row>
    <row r="511" spans="1:93" x14ac:dyDescent="0.2">
      <c r="A511" t="b">
        <f t="shared" si="322"/>
        <v>0</v>
      </c>
      <c r="B511" s="33">
        <v>484</v>
      </c>
      <c r="C511" s="15">
        <f t="shared" si="323"/>
        <v>20.081305947392778</v>
      </c>
      <c r="D511" s="75">
        <f>C511*(1-PARAM!$C$27)*$I$3+(MOD($B511,60)=PARAM!$B$56)*($B511&gt;(60-PARAM!$B$56))*HLOOKUP(($B511+PARAM!$B$56)/12,Loyalty,2)*$F$1*MAX(F510,0)</f>
        <v>16.808053077967756</v>
      </c>
      <c r="E511" s="75">
        <f>PARAM!$C$26+MAX($G$3-CHOOSE(PARAM!$B$44,MAX(0,F510*$F$1),0),0)*RATES!$L487/12+$H$3*(PARAM!$D$51/12)*RATES!$N487/100</f>
        <v>120.20833333333331</v>
      </c>
      <c r="F511" s="16">
        <f t="shared" si="324"/>
        <v>-9116.6191683340057</v>
      </c>
      <c r="G511" s="15">
        <f t="shared" si="325"/>
        <v>22.035289406060361</v>
      </c>
      <c r="H511" s="75">
        <f>G511*(1-PARAM!$C$27)*$I$4+(MOD($B511,60)=PARAM!$B$56)*($B511&gt;(60-PARAM!$B$56))*HLOOKUP(($B511+PARAM!$B$56)/12,Loyalty,2)*$F$1*MAX(J510,0)</f>
        <v>18.443537232872522</v>
      </c>
      <c r="I511" s="75">
        <f>PARAM!$C$26+MAX($G$4-CHOOSE(PARAM!$B$44,MAX(0,J510*$F$1),0),0)*RATES!$L487/12+$H$4*(PARAM!$D$51/12)*RATES!$N487/100</f>
        <v>120.20833333333331</v>
      </c>
      <c r="J511" s="16">
        <f t="shared" si="326"/>
        <v>-8291.2118732383769</v>
      </c>
      <c r="K511" s="15">
        <f t="shared" si="327"/>
        <v>22.170849845882874</v>
      </c>
      <c r="L511" s="75">
        <f>K511*(1-PARAM!$C$27)*$I$5+(MOD($B511,60)=PARAM!$B$56)*($B511&gt;(60-PARAM!$B$56))*HLOOKUP(($B511+PARAM!$B$56)/12,Loyalty,2)*$F$1*MAX(N510,0)</f>
        <v>18.557001321003963</v>
      </c>
      <c r="M511" s="75">
        <f>PARAM!$C$26+MAX($G$5-CHOOSE(PARAM!$B$44,MAX(0,N510*$F$1),0),0)*RATES!$L487/12+$H$5*(PARAM!$D$51/12)*RATES!$N487/100</f>
        <v>120.20833333333331</v>
      </c>
      <c r="N511" s="16">
        <f t="shared" si="328"/>
        <v>-8233.2777181829879</v>
      </c>
      <c r="O511" s="15">
        <f t="shared" si="329"/>
        <v>22.170849845882874</v>
      </c>
      <c r="P511" s="75">
        <f>O511*(1-PARAM!$C$27)*$I$6+(MOD($B511,60)=PARAM!$B$56)*($B511&gt;(60-PARAM!$B$56))*HLOOKUP(($B511+PARAM!$B$56)/12,Loyalty,2)*$F$1*MAX(R510,0)</f>
        <v>18.557001321003963</v>
      </c>
      <c r="Q511" s="75">
        <f>PARAM!$C$26+MAX($G$6-CHOOSE(PARAM!$B$44,MAX(0,R510*$F$1),0),0)*RATES!$L487/12+$H$6*(PARAM!$D$51/12)*RATES!$N487/100</f>
        <v>120.20833333333331</v>
      </c>
      <c r="R511" s="16">
        <f t="shared" si="330"/>
        <v>-8233.2777181829879</v>
      </c>
      <c r="S511" s="15">
        <f t="shared" si="305"/>
        <v>22.170849845882874</v>
      </c>
      <c r="T511" s="75">
        <f>S511*(1-PARAM!$C$27)*$I$7+(MOD($B511,60)=PARAM!$B$56)*($B511&gt;(60-PARAM!$B$56))*HLOOKUP(($B511+PARAM!$B$56)/12,Loyalty,2)*$F$1*MAX(V510,0)</f>
        <v>18.557001321003963</v>
      </c>
      <c r="U511" s="75">
        <f>PARAM!$C$26+MAX($G$7-CHOOSE(PARAM!$B$44,MAX(0,V510*$F$1),0),0)*RATES!$L487/12+$H$7*(PARAM!$D$51/12)*RATES!$N487/100</f>
        <v>120.20833333333331</v>
      </c>
      <c r="V511" s="16">
        <f t="shared" si="331"/>
        <v>-8233.2777181829879</v>
      </c>
      <c r="W511" s="15">
        <f t="shared" si="306"/>
        <v>22.170849845882874</v>
      </c>
      <c r="X511" s="75">
        <f>W511*(1-PARAM!$C$27)*$I$8+(MOD($B511,60)=PARAM!$B$56)*($B511&gt;(60-PARAM!$B$56))*HLOOKUP(($B511+PARAM!$B$56)/12,Loyalty,2)*$F$1*MAX(Z510,0)</f>
        <v>18.557001321003963</v>
      </c>
      <c r="Y511" s="75">
        <f>PARAM!$C$26+MAX($G$8-CHOOSE(PARAM!$B$44,MAX(0,Z510*$F$1),0),0)*RATES!$L487/12+$H$8*(PARAM!$D$51/12)*RATES!$N487/100</f>
        <v>120.20833333333331</v>
      </c>
      <c r="Z511" s="16">
        <f t="shared" si="332"/>
        <v>-8233.2777181829879</v>
      </c>
      <c r="AA511" s="15">
        <f t="shared" si="307"/>
        <v>22.170849845882874</v>
      </c>
      <c r="AB511" s="75">
        <f>AA511*(1-PARAM!$C$27)*$I$9+(MOD($B511,60)=PARAM!$B$56)*($B511&gt;(60-PARAM!$B$56))*HLOOKUP(($B511+PARAM!$B$56)/12,Loyalty,2)*$F$1*MAX(AD510,0)</f>
        <v>18.557001321003963</v>
      </c>
      <c r="AC511" s="75">
        <f>PARAM!$C$26+MAX($G$9-CHOOSE(PARAM!$B$44,MAX(0,AD510*$F$1),0),0)*RATES!$L487/12+$H$9*(PARAM!$D$51/12)*RATES!$N487/100</f>
        <v>120.20833333333331</v>
      </c>
      <c r="AD511" s="16">
        <f t="shared" si="333"/>
        <v>-8233.2777181829879</v>
      </c>
      <c r="AE511" s="15">
        <f t="shared" si="308"/>
        <v>22.170849845882874</v>
      </c>
      <c r="AF511" s="75">
        <f>AE511*(1-PARAM!$C$27)*$I$10+(MOD($B511,60)=PARAM!$B$56)*($B511&gt;(60-PARAM!$B$56))*HLOOKUP(($B511+PARAM!$B$56)/12,Loyalty,2)*$F$1*MAX(AH510,0)</f>
        <v>18.557001321003963</v>
      </c>
      <c r="AG511" s="75">
        <f>PARAM!$C$26+MAX($G$10-CHOOSE(PARAM!$B$44,MAX(0,AH510*$F$1),0),0)*RATES!$L487/12+$H$10*(PARAM!$D$51/12)*RATES!$N487/100</f>
        <v>120.20833333333331</v>
      </c>
      <c r="AH511" s="16">
        <f t="shared" si="334"/>
        <v>-8233.2777181829879</v>
      </c>
      <c r="AI511" s="15">
        <f t="shared" si="309"/>
        <v>22.170849845882874</v>
      </c>
      <c r="AJ511" s="75">
        <f>AI511*(1-PARAM!$C$27)*$I$11+(MOD($B511,60)=PARAM!$B$56)*($B511&gt;(60-PARAM!$B$56))*HLOOKUP(($B511+PARAM!$B$56)/12,Loyalty,2)*$F$1*MAX(AL510,0)</f>
        <v>18.557001321003963</v>
      </c>
      <c r="AK511" s="75">
        <f>PARAM!$C$26+MAX($G$11-CHOOSE(PARAM!$B$44,MAX(0,AL510*$F$1),0),0)*RATES!$L487/12+$H$11*(PARAM!$D$51/12)*RATES!$N487/100</f>
        <v>120.20833333333331</v>
      </c>
      <c r="AL511" s="16">
        <f t="shared" si="335"/>
        <v>-8233.2777181829879</v>
      </c>
      <c r="AM511" s="15">
        <f t="shared" si="310"/>
        <v>22.170849845882874</v>
      </c>
      <c r="AN511" s="75">
        <f>AM511*(1-PARAM!$C$27)*$I$12+(MOD($B511,60)=PARAM!$B$56)*($B511&gt;(60-PARAM!$B$56))*HLOOKUP(($B511+PARAM!$B$56)/12,Loyalty,2)*$F$1*MAX(AP510,0)</f>
        <v>18.557001321003963</v>
      </c>
      <c r="AO511" s="75">
        <f>PARAM!$C$26+MAX($G$12-CHOOSE(PARAM!$B$44,MAX(0,AP510*$F$1),0),0)*RATES!$L487/12+$H$12*(PARAM!$D$51/12)*RATES!$N487/100</f>
        <v>120.20833333333331</v>
      </c>
      <c r="AP511" s="16">
        <f t="shared" si="336"/>
        <v>-8233.2777181829879</v>
      </c>
      <c r="AQ511" s="15">
        <f t="shared" si="311"/>
        <v>22.170849845882874</v>
      </c>
      <c r="AR511" s="75">
        <f>AQ511*(1-PARAM!$C$27)*$I$13+(MOD($B511,60)=PARAM!$B$56)*($B511&gt;(60-PARAM!$B$56))*HLOOKUP(($B511+PARAM!$B$56)/12,Loyalty,2)*$F$1*MAX(AT510,0)</f>
        <v>18.557001321003963</v>
      </c>
      <c r="AS511" s="75">
        <f>PARAM!$C$26+MAX($G$13-CHOOSE(PARAM!$B$44,MAX(0,AT510*$F$1),0),0)*RATES!$L487/12+$H$13*(PARAM!$D$51/12)*RATES!$N487/100</f>
        <v>120.20833333333331</v>
      </c>
      <c r="AT511" s="16">
        <f t="shared" si="337"/>
        <v>-8233.2777181829879</v>
      </c>
      <c r="AU511" s="15">
        <f t="shared" si="312"/>
        <v>22.170849845882874</v>
      </c>
      <c r="AV511" s="75">
        <f>AU511*(1-PARAM!$C$27)*$I$14+(MOD($B511,60)=PARAM!$B$56)*($B511&gt;(60-PARAM!$B$56))*HLOOKUP(($B511+PARAM!$B$56)/12,Loyalty,2)*$F$1*MAX(AX510,0)</f>
        <v>18.557001321003963</v>
      </c>
      <c r="AW511" s="75">
        <f>PARAM!$C$26+MAX($G$14-CHOOSE(PARAM!$B$44,MAX(0,AX510*$F$1),0),0)*RATES!$L487/12+$H$14*(PARAM!$D$51/12)*RATES!$N487/100</f>
        <v>120.20833333333331</v>
      </c>
      <c r="AX511" s="16">
        <f t="shared" si="338"/>
        <v>-8233.2777181829879</v>
      </c>
      <c r="AY511" s="15">
        <f t="shared" si="313"/>
        <v>22.170849845882874</v>
      </c>
      <c r="AZ511" s="75">
        <f>AY511*(1-PARAM!$C$27)*$I$15+(MOD($B511,60)=PARAM!$B$56)*($B511&gt;(60-PARAM!$B$56))*HLOOKUP(($B511+PARAM!$B$56)/12,Loyalty,2)*$F$1*MAX(BB510,0)</f>
        <v>18.557001321003963</v>
      </c>
      <c r="BA511" s="75">
        <f>PARAM!$C$26+MAX($G$15-CHOOSE(PARAM!$B$44,MAX(0,BB510*$F$1),0),0)*RATES!$L487/12+$H$15*(PARAM!$D$51/12)*RATES!$N487/100</f>
        <v>120.20833333333331</v>
      </c>
      <c r="BB511" s="16">
        <f t="shared" si="339"/>
        <v>-8233.2777181829879</v>
      </c>
      <c r="BC511" s="15">
        <f t="shared" si="314"/>
        <v>22.170849845882874</v>
      </c>
      <c r="BD511" s="75">
        <f>BC511*(1-PARAM!$C$27)*$I$16+(MOD($B511,60)=PARAM!$B$56)*($B511&gt;(60-PARAM!$B$56))*HLOOKUP(($B511+PARAM!$B$56)/12,Loyalty,2)*$F$1*MAX(BF510,0)</f>
        <v>18.557001321003963</v>
      </c>
      <c r="BE511" s="75">
        <f>PARAM!$C$26+MAX($G$16-CHOOSE(PARAM!$B$44,MAX(0,BF510*$F$1),0),0)*RATES!$L487/12+$H$16*(PARAM!$D$51/12)*RATES!$N487/100</f>
        <v>120.20833333333331</v>
      </c>
      <c r="BF511" s="16">
        <f t="shared" si="340"/>
        <v>-8233.2777181829879</v>
      </c>
      <c r="BG511" s="15">
        <f t="shared" si="315"/>
        <v>22.170849845882874</v>
      </c>
      <c r="BH511" s="75">
        <f>BG511*(1-PARAM!$C$27)*$I$17+(MOD($B511,60)=PARAM!$B$56)*($B511&gt;(60-PARAM!$B$56))*HLOOKUP(($B511+PARAM!$B$56)/12,Loyalty,2)*$F$1*MAX(BJ510,0)</f>
        <v>18.557001321003963</v>
      </c>
      <c r="BI511" s="75">
        <f>PARAM!$C$26+MAX($G$17-CHOOSE(PARAM!$B$44,MAX(0,BJ510*$F$1),0),0)*RATES!$L487/12+$H$17*(PARAM!$D$51/12)*RATES!$N487/100</f>
        <v>120.20833333333331</v>
      </c>
      <c r="BJ511" s="16">
        <f t="shared" si="341"/>
        <v>-8233.2777181829879</v>
      </c>
      <c r="BK511" s="15">
        <f t="shared" si="316"/>
        <v>22.170849845882874</v>
      </c>
      <c r="BL511" s="75">
        <f>BK511*(1-PARAM!$C$27)*$I$18+(MOD($B511,60)=PARAM!$B$56)*($B511&gt;(60-PARAM!$B$56))*HLOOKUP(($B511+PARAM!$B$56)/12,Loyalty,2)*$F$1*MAX(BN510,0)</f>
        <v>18.557001321003963</v>
      </c>
      <c r="BM511" s="75">
        <f>PARAM!$C$26+MAX($G$18-CHOOSE(PARAM!$B$44,MAX(0,BN510*$F$1),0),0)*RATES!$L487/12+$H$18*(PARAM!$D$51/12)*RATES!$N487/100</f>
        <v>120.20833333333331</v>
      </c>
      <c r="BN511" s="16">
        <f t="shared" si="342"/>
        <v>-8233.2777181829879</v>
      </c>
      <c r="BO511" s="15">
        <f t="shared" si="317"/>
        <v>22.170849845882874</v>
      </c>
      <c r="BP511" s="75">
        <f>BO511*(1-PARAM!$C$27)*$I$19+(MOD($B511,60)=PARAM!$B$56)*($B511&gt;(60-PARAM!$B$56))*HLOOKUP(($B511+PARAM!$B$56)/12,Loyalty,2)*$F$1*MAX(BR510,0)</f>
        <v>18.557001321003963</v>
      </c>
      <c r="BQ511" s="75">
        <f>PARAM!$C$26+MAX($G$19-CHOOSE(PARAM!$B$44,MAX(0,BR510*$F$1),0),0)*RATES!$L487/12+$H$19*(PARAM!$D$51/12)*RATES!$N487/100</f>
        <v>120.20833333333331</v>
      </c>
      <c r="BR511" s="16">
        <f t="shared" si="343"/>
        <v>-8233.2777181829879</v>
      </c>
      <c r="BS511" s="15">
        <f t="shared" si="318"/>
        <v>22.170849845882874</v>
      </c>
      <c r="BT511" s="75">
        <f>BS511*(1-PARAM!$C$27)*$I$20+(MOD($B511,60)=PARAM!$B$56)*($B511&gt;(60-PARAM!$B$56))*HLOOKUP(($B511+PARAM!$B$56)/12,Loyalty,2)*$F$1*MAX(BV510,0)</f>
        <v>18.557001321003963</v>
      </c>
      <c r="BU511" s="75">
        <f>PARAM!$C$26+MAX($G$20-CHOOSE(PARAM!$B$44,MAX(0,BV510*$F$1),0),0)*RATES!$L487/12+$H$20*(PARAM!$D$51/12)*RATES!$N487/100</f>
        <v>120.20833333333331</v>
      </c>
      <c r="BV511" s="16">
        <f t="shared" si="344"/>
        <v>-8233.2777181829879</v>
      </c>
      <c r="BW511" s="15">
        <f t="shared" si="319"/>
        <v>22.170849845882874</v>
      </c>
      <c r="BX511" s="75">
        <f>BW511*(1-PARAM!$C$27)*$I$21+(MOD($B511,60)=PARAM!$B$56)*($B511&gt;(60-PARAM!$B$56))*HLOOKUP(($B511+PARAM!$B$56)/12,Loyalty,2)*$F$1*MAX(BZ510,0)</f>
        <v>18.557001321003963</v>
      </c>
      <c r="BY511" s="75">
        <f>PARAM!$C$26+MAX($G$21-CHOOSE(PARAM!$B$44,MAX(0,BZ510*$F$1),0),0)*RATES!$L487/12+$H$21*(PARAM!$D$51/12)*RATES!$N487/100</f>
        <v>120.20833333333331</v>
      </c>
      <c r="BZ511" s="16">
        <f t="shared" si="345"/>
        <v>-8233.2777181829879</v>
      </c>
      <c r="CA511" s="15">
        <f t="shared" si="320"/>
        <v>22.170849845882874</v>
      </c>
      <c r="CB511" s="75">
        <f>CA511*(1-PARAM!$C$27)*$I$22+(MOD($B511,60)=PARAM!$B$56)*($B511&gt;(60-PARAM!$B$56))*HLOOKUP(($B511+PARAM!$B$56)/12,Loyalty,2)*$F$1*MAX(CD510,0)</f>
        <v>18.557001321003963</v>
      </c>
      <c r="CC511" s="75">
        <f>PARAM!$C$26+MAX($G$22-CHOOSE(PARAM!$B$44,MAX(0,CD510*$F$1),0),0)*RATES!$L487/12+$H$22*(PARAM!$D$51/12)*RATES!$N487/100</f>
        <v>120.20833333333331</v>
      </c>
      <c r="CD511" s="16">
        <f t="shared" si="346"/>
        <v>-8233.2777181829879</v>
      </c>
      <c r="CE511" s="33">
        <f>IF(0=MOD(B511,12/PARAM!$D$51),1,0)</f>
        <v>1</v>
      </c>
      <c r="CF511" s="15">
        <f t="shared" si="321"/>
        <v>0</v>
      </c>
      <c r="CG511" s="75">
        <f>CF511*(1-PARAM!$C$27)*$R$3+(MOD($B511/12,5)=0)*($B511&gt;60)*HLOOKUP($B511/12,Loyalty,2)*$F$1*MAX(CI510,0)</f>
        <v>0</v>
      </c>
      <c r="CH511" s="75">
        <f>PARAM!$C$26+MAX($P$3-CHOOSE(PARAM!$B$44,MAX(0,CI510*$F$1),0),0)*RATES!$L487/12+$Q$3*(PARAM!$D$51/12)*RATES!$N487/100</f>
        <v>120.20833333333331</v>
      </c>
      <c r="CI511" s="16">
        <f>IF(CI510&gt;0,CI510*PARAM!$C$53,CI510)+CG511-CH511</f>
        <v>-17095.29166666665</v>
      </c>
      <c r="CJ511" s="15">
        <f t="shared" si="347"/>
        <v>0</v>
      </c>
      <c r="CK511" s="75">
        <f>CJ511*(1-PARAM!$C$27)*$R$4+(MOD($B511/12,5)=0)*($B511&gt;60)*HLOOKUP($B511/12,Loyalty,2)*$F$1*MAX(CM510,0)</f>
        <v>0</v>
      </c>
      <c r="CL511" s="75">
        <f>PARAM!$C$26+MAX($P$4-CHOOSE(PARAM!$B$44,MAX(0,CM510*$F$1),0),0)*RATES!$L487/12+$Q$4*(PARAM!$D$51/12)*RATES!$N487/100</f>
        <v>120.20833333333331</v>
      </c>
      <c r="CM511" s="16">
        <f>IF(CM510&gt;0,CM510*PARAM!$C$53,CM510)+CK511-CL511</f>
        <v>-17095.29166666665</v>
      </c>
      <c r="CO511" s="176"/>
    </row>
    <row r="512" spans="1:93" x14ac:dyDescent="0.2">
      <c r="A512" t="b">
        <f t="shared" si="322"/>
        <v>0</v>
      </c>
      <c r="B512" s="33">
        <v>485</v>
      </c>
      <c r="C512" s="15">
        <f t="shared" si="323"/>
        <v>20.081305947392778</v>
      </c>
      <c r="D512" s="75">
        <f>C512*(1-PARAM!$C$27)*$I$3+(MOD($B512,60)=PARAM!$B$56)*($B512&gt;(60-PARAM!$B$56))*HLOOKUP(($B512+PARAM!$B$56)/12,Loyalty,2)*$F$1*MAX(F511,0)</f>
        <v>16.808053077967756</v>
      </c>
      <c r="E512" s="75">
        <f>PARAM!$C$26+MAX($G$3-CHOOSE(PARAM!$B$44,MAX(0,F511*$F$1),0),0)*RATES!$L488/12+$H$3*(PARAM!$D$51/12)*RATES!$N488/100</f>
        <v>120.20833333333331</v>
      </c>
      <c r="F512" s="16">
        <f t="shared" si="324"/>
        <v>-9220.0194485893717</v>
      </c>
      <c r="G512" s="15">
        <f t="shared" si="325"/>
        <v>22.035289406060361</v>
      </c>
      <c r="H512" s="75">
        <f>G512*(1-PARAM!$C$27)*$I$4+(MOD($B512,60)=PARAM!$B$56)*($B512&gt;(60-PARAM!$B$56))*HLOOKUP(($B512+PARAM!$B$56)/12,Loyalty,2)*$F$1*MAX(J511,0)</f>
        <v>18.443537232872522</v>
      </c>
      <c r="I512" s="75">
        <f>PARAM!$C$26+MAX($G$4-CHOOSE(PARAM!$B$44,MAX(0,J511*$F$1),0),0)*RATES!$L488/12+$H$4*(PARAM!$D$51/12)*RATES!$N488/100</f>
        <v>120.20833333333331</v>
      </c>
      <c r="J512" s="16">
        <f t="shared" si="326"/>
        <v>-8392.9766693388392</v>
      </c>
      <c r="K512" s="15">
        <f t="shared" si="327"/>
        <v>22.170849845882874</v>
      </c>
      <c r="L512" s="75">
        <f>K512*(1-PARAM!$C$27)*$I$5+(MOD($B512,60)=PARAM!$B$56)*($B512&gt;(60-PARAM!$B$56))*HLOOKUP(($B512+PARAM!$B$56)/12,Loyalty,2)*$F$1*MAX(N511,0)</f>
        <v>18.557001321003963</v>
      </c>
      <c r="M512" s="75">
        <f>PARAM!$C$26+MAX($G$5-CHOOSE(PARAM!$B$44,MAX(0,N511*$F$1),0),0)*RATES!$L488/12+$H$5*(PARAM!$D$51/12)*RATES!$N488/100</f>
        <v>120.20833333333331</v>
      </c>
      <c r="N512" s="16">
        <f t="shared" si="328"/>
        <v>-8334.9290501953183</v>
      </c>
      <c r="O512" s="15">
        <f t="shared" si="329"/>
        <v>22.170849845882874</v>
      </c>
      <c r="P512" s="75">
        <f>O512*(1-PARAM!$C$27)*$I$6+(MOD($B512,60)=PARAM!$B$56)*($B512&gt;(60-PARAM!$B$56))*HLOOKUP(($B512+PARAM!$B$56)/12,Loyalty,2)*$F$1*MAX(R511,0)</f>
        <v>18.557001321003963</v>
      </c>
      <c r="Q512" s="75">
        <f>PARAM!$C$26+MAX($G$6-CHOOSE(PARAM!$B$44,MAX(0,R511*$F$1),0),0)*RATES!$L488/12+$H$6*(PARAM!$D$51/12)*RATES!$N488/100</f>
        <v>120.20833333333331</v>
      </c>
      <c r="R512" s="16">
        <f t="shared" si="330"/>
        <v>-8334.9290501953183</v>
      </c>
      <c r="S512" s="15">
        <f t="shared" si="305"/>
        <v>22.170849845882874</v>
      </c>
      <c r="T512" s="75">
        <f>S512*(1-PARAM!$C$27)*$I$7+(MOD($B512,60)=PARAM!$B$56)*($B512&gt;(60-PARAM!$B$56))*HLOOKUP(($B512+PARAM!$B$56)/12,Loyalty,2)*$F$1*MAX(V511,0)</f>
        <v>18.557001321003963</v>
      </c>
      <c r="U512" s="75">
        <f>PARAM!$C$26+MAX($G$7-CHOOSE(PARAM!$B$44,MAX(0,V511*$F$1),0),0)*RATES!$L488/12+$H$7*(PARAM!$D$51/12)*RATES!$N488/100</f>
        <v>120.20833333333331</v>
      </c>
      <c r="V512" s="16">
        <f t="shared" si="331"/>
        <v>-8334.9290501953183</v>
      </c>
      <c r="W512" s="15">
        <f t="shared" si="306"/>
        <v>22.170849845882874</v>
      </c>
      <c r="X512" s="75">
        <f>W512*(1-PARAM!$C$27)*$I$8+(MOD($B512,60)=PARAM!$B$56)*($B512&gt;(60-PARAM!$B$56))*HLOOKUP(($B512+PARAM!$B$56)/12,Loyalty,2)*$F$1*MAX(Z511,0)</f>
        <v>18.557001321003963</v>
      </c>
      <c r="Y512" s="75">
        <f>PARAM!$C$26+MAX($G$8-CHOOSE(PARAM!$B$44,MAX(0,Z511*$F$1),0),0)*RATES!$L488/12+$H$8*(PARAM!$D$51/12)*RATES!$N488/100</f>
        <v>120.20833333333331</v>
      </c>
      <c r="Z512" s="16">
        <f t="shared" si="332"/>
        <v>-8334.9290501953183</v>
      </c>
      <c r="AA512" s="15">
        <f t="shared" si="307"/>
        <v>22.170849845882874</v>
      </c>
      <c r="AB512" s="75">
        <f>AA512*(1-PARAM!$C$27)*$I$9+(MOD($B512,60)=PARAM!$B$56)*($B512&gt;(60-PARAM!$B$56))*HLOOKUP(($B512+PARAM!$B$56)/12,Loyalty,2)*$F$1*MAX(AD511,0)</f>
        <v>18.557001321003963</v>
      </c>
      <c r="AC512" s="75">
        <f>PARAM!$C$26+MAX($G$9-CHOOSE(PARAM!$B$44,MAX(0,AD511*$F$1),0),0)*RATES!$L488/12+$H$9*(PARAM!$D$51/12)*RATES!$N488/100</f>
        <v>120.20833333333331</v>
      </c>
      <c r="AD512" s="16">
        <f t="shared" si="333"/>
        <v>-8334.9290501953183</v>
      </c>
      <c r="AE512" s="15">
        <f t="shared" si="308"/>
        <v>22.170849845882874</v>
      </c>
      <c r="AF512" s="75">
        <f>AE512*(1-PARAM!$C$27)*$I$10+(MOD($B512,60)=PARAM!$B$56)*($B512&gt;(60-PARAM!$B$56))*HLOOKUP(($B512+PARAM!$B$56)/12,Loyalty,2)*$F$1*MAX(AH511,0)</f>
        <v>18.557001321003963</v>
      </c>
      <c r="AG512" s="75">
        <f>PARAM!$C$26+MAX($G$10-CHOOSE(PARAM!$B$44,MAX(0,AH511*$F$1),0),0)*RATES!$L488/12+$H$10*(PARAM!$D$51/12)*RATES!$N488/100</f>
        <v>120.20833333333331</v>
      </c>
      <c r="AH512" s="16">
        <f t="shared" si="334"/>
        <v>-8334.9290501953183</v>
      </c>
      <c r="AI512" s="15">
        <f t="shared" si="309"/>
        <v>22.170849845882874</v>
      </c>
      <c r="AJ512" s="75">
        <f>AI512*(1-PARAM!$C$27)*$I$11+(MOD($B512,60)=PARAM!$B$56)*($B512&gt;(60-PARAM!$B$56))*HLOOKUP(($B512+PARAM!$B$56)/12,Loyalty,2)*$F$1*MAX(AL511,0)</f>
        <v>18.557001321003963</v>
      </c>
      <c r="AK512" s="75">
        <f>PARAM!$C$26+MAX($G$11-CHOOSE(PARAM!$B$44,MAX(0,AL511*$F$1),0),0)*RATES!$L488/12+$H$11*(PARAM!$D$51/12)*RATES!$N488/100</f>
        <v>120.20833333333331</v>
      </c>
      <c r="AL512" s="16">
        <f t="shared" si="335"/>
        <v>-8334.9290501953183</v>
      </c>
      <c r="AM512" s="15">
        <f t="shared" si="310"/>
        <v>22.170849845882874</v>
      </c>
      <c r="AN512" s="75">
        <f>AM512*(1-PARAM!$C$27)*$I$12+(MOD($B512,60)=PARAM!$B$56)*($B512&gt;(60-PARAM!$B$56))*HLOOKUP(($B512+PARAM!$B$56)/12,Loyalty,2)*$F$1*MAX(AP511,0)</f>
        <v>18.557001321003963</v>
      </c>
      <c r="AO512" s="75">
        <f>PARAM!$C$26+MAX($G$12-CHOOSE(PARAM!$B$44,MAX(0,AP511*$F$1),0),0)*RATES!$L488/12+$H$12*(PARAM!$D$51/12)*RATES!$N488/100</f>
        <v>120.20833333333331</v>
      </c>
      <c r="AP512" s="16">
        <f t="shared" si="336"/>
        <v>-8334.9290501953183</v>
      </c>
      <c r="AQ512" s="15">
        <f t="shared" si="311"/>
        <v>22.170849845882874</v>
      </c>
      <c r="AR512" s="75">
        <f>AQ512*(1-PARAM!$C$27)*$I$13+(MOD($B512,60)=PARAM!$B$56)*($B512&gt;(60-PARAM!$B$56))*HLOOKUP(($B512+PARAM!$B$56)/12,Loyalty,2)*$F$1*MAX(AT511,0)</f>
        <v>18.557001321003963</v>
      </c>
      <c r="AS512" s="75">
        <f>PARAM!$C$26+MAX($G$13-CHOOSE(PARAM!$B$44,MAX(0,AT511*$F$1),0),0)*RATES!$L488/12+$H$13*(PARAM!$D$51/12)*RATES!$N488/100</f>
        <v>120.20833333333331</v>
      </c>
      <c r="AT512" s="16">
        <f t="shared" si="337"/>
        <v>-8334.9290501953183</v>
      </c>
      <c r="AU512" s="15">
        <f t="shared" si="312"/>
        <v>22.170849845882874</v>
      </c>
      <c r="AV512" s="75">
        <f>AU512*(1-PARAM!$C$27)*$I$14+(MOD($B512,60)=PARAM!$B$56)*($B512&gt;(60-PARAM!$B$56))*HLOOKUP(($B512+PARAM!$B$56)/12,Loyalty,2)*$F$1*MAX(AX511,0)</f>
        <v>18.557001321003963</v>
      </c>
      <c r="AW512" s="75">
        <f>PARAM!$C$26+MAX($G$14-CHOOSE(PARAM!$B$44,MAX(0,AX511*$F$1),0),0)*RATES!$L488/12+$H$14*(PARAM!$D$51/12)*RATES!$N488/100</f>
        <v>120.20833333333331</v>
      </c>
      <c r="AX512" s="16">
        <f t="shared" si="338"/>
        <v>-8334.9290501953183</v>
      </c>
      <c r="AY512" s="15">
        <f t="shared" si="313"/>
        <v>22.170849845882874</v>
      </c>
      <c r="AZ512" s="75">
        <f>AY512*(1-PARAM!$C$27)*$I$15+(MOD($B512,60)=PARAM!$B$56)*($B512&gt;(60-PARAM!$B$56))*HLOOKUP(($B512+PARAM!$B$56)/12,Loyalty,2)*$F$1*MAX(BB511,0)</f>
        <v>18.557001321003963</v>
      </c>
      <c r="BA512" s="75">
        <f>PARAM!$C$26+MAX($G$15-CHOOSE(PARAM!$B$44,MAX(0,BB511*$F$1),0),0)*RATES!$L488/12+$H$15*(PARAM!$D$51/12)*RATES!$N488/100</f>
        <v>120.20833333333331</v>
      </c>
      <c r="BB512" s="16">
        <f t="shared" si="339"/>
        <v>-8334.9290501953183</v>
      </c>
      <c r="BC512" s="15">
        <f t="shared" si="314"/>
        <v>22.170849845882874</v>
      </c>
      <c r="BD512" s="75">
        <f>BC512*(1-PARAM!$C$27)*$I$16+(MOD($B512,60)=PARAM!$B$56)*($B512&gt;(60-PARAM!$B$56))*HLOOKUP(($B512+PARAM!$B$56)/12,Loyalty,2)*$F$1*MAX(BF511,0)</f>
        <v>18.557001321003963</v>
      </c>
      <c r="BE512" s="75">
        <f>PARAM!$C$26+MAX($G$16-CHOOSE(PARAM!$B$44,MAX(0,BF511*$F$1),0),0)*RATES!$L488/12+$H$16*(PARAM!$D$51/12)*RATES!$N488/100</f>
        <v>120.20833333333331</v>
      </c>
      <c r="BF512" s="16">
        <f t="shared" si="340"/>
        <v>-8334.9290501953183</v>
      </c>
      <c r="BG512" s="15">
        <f t="shared" si="315"/>
        <v>22.170849845882874</v>
      </c>
      <c r="BH512" s="75">
        <f>BG512*(1-PARAM!$C$27)*$I$17+(MOD($B512,60)=PARAM!$B$56)*($B512&gt;(60-PARAM!$B$56))*HLOOKUP(($B512+PARAM!$B$56)/12,Loyalty,2)*$F$1*MAX(BJ511,0)</f>
        <v>18.557001321003963</v>
      </c>
      <c r="BI512" s="75">
        <f>PARAM!$C$26+MAX($G$17-CHOOSE(PARAM!$B$44,MAX(0,BJ511*$F$1),0),0)*RATES!$L488/12+$H$17*(PARAM!$D$51/12)*RATES!$N488/100</f>
        <v>120.20833333333331</v>
      </c>
      <c r="BJ512" s="16">
        <f t="shared" si="341"/>
        <v>-8334.9290501953183</v>
      </c>
      <c r="BK512" s="15">
        <f t="shared" si="316"/>
        <v>22.170849845882874</v>
      </c>
      <c r="BL512" s="75">
        <f>BK512*(1-PARAM!$C$27)*$I$18+(MOD($B512,60)=PARAM!$B$56)*($B512&gt;(60-PARAM!$B$56))*HLOOKUP(($B512+PARAM!$B$56)/12,Loyalty,2)*$F$1*MAX(BN511,0)</f>
        <v>18.557001321003963</v>
      </c>
      <c r="BM512" s="75">
        <f>PARAM!$C$26+MAX($G$18-CHOOSE(PARAM!$B$44,MAX(0,BN511*$F$1),0),0)*RATES!$L488/12+$H$18*(PARAM!$D$51/12)*RATES!$N488/100</f>
        <v>120.20833333333331</v>
      </c>
      <c r="BN512" s="16">
        <f t="shared" si="342"/>
        <v>-8334.9290501953183</v>
      </c>
      <c r="BO512" s="15">
        <f t="shared" si="317"/>
        <v>22.170849845882874</v>
      </c>
      <c r="BP512" s="75">
        <f>BO512*(1-PARAM!$C$27)*$I$19+(MOD($B512,60)=PARAM!$B$56)*($B512&gt;(60-PARAM!$B$56))*HLOOKUP(($B512+PARAM!$B$56)/12,Loyalty,2)*$F$1*MAX(BR511,0)</f>
        <v>18.557001321003963</v>
      </c>
      <c r="BQ512" s="75">
        <f>PARAM!$C$26+MAX($G$19-CHOOSE(PARAM!$B$44,MAX(0,BR511*$F$1),0),0)*RATES!$L488/12+$H$19*(PARAM!$D$51/12)*RATES!$N488/100</f>
        <v>120.20833333333331</v>
      </c>
      <c r="BR512" s="16">
        <f t="shared" si="343"/>
        <v>-8334.9290501953183</v>
      </c>
      <c r="BS512" s="15">
        <f t="shared" si="318"/>
        <v>22.170849845882874</v>
      </c>
      <c r="BT512" s="75">
        <f>BS512*(1-PARAM!$C$27)*$I$20+(MOD($B512,60)=PARAM!$B$56)*($B512&gt;(60-PARAM!$B$56))*HLOOKUP(($B512+PARAM!$B$56)/12,Loyalty,2)*$F$1*MAX(BV511,0)</f>
        <v>18.557001321003963</v>
      </c>
      <c r="BU512" s="75">
        <f>PARAM!$C$26+MAX($G$20-CHOOSE(PARAM!$B$44,MAX(0,BV511*$F$1),0),0)*RATES!$L488/12+$H$20*(PARAM!$D$51/12)*RATES!$N488/100</f>
        <v>120.20833333333331</v>
      </c>
      <c r="BV512" s="16">
        <f t="shared" si="344"/>
        <v>-8334.9290501953183</v>
      </c>
      <c r="BW512" s="15">
        <f t="shared" si="319"/>
        <v>22.170849845882874</v>
      </c>
      <c r="BX512" s="75">
        <f>BW512*(1-PARAM!$C$27)*$I$21+(MOD($B512,60)=PARAM!$B$56)*($B512&gt;(60-PARAM!$B$56))*HLOOKUP(($B512+PARAM!$B$56)/12,Loyalty,2)*$F$1*MAX(BZ511,0)</f>
        <v>18.557001321003963</v>
      </c>
      <c r="BY512" s="75">
        <f>PARAM!$C$26+MAX($G$21-CHOOSE(PARAM!$B$44,MAX(0,BZ511*$F$1),0),0)*RATES!$L488/12+$H$21*(PARAM!$D$51/12)*RATES!$N488/100</f>
        <v>120.20833333333331</v>
      </c>
      <c r="BZ512" s="16">
        <f t="shared" si="345"/>
        <v>-8334.9290501953183</v>
      </c>
      <c r="CA512" s="15">
        <f t="shared" si="320"/>
        <v>22.170849845882874</v>
      </c>
      <c r="CB512" s="75">
        <f>CA512*(1-PARAM!$C$27)*$I$22+(MOD($B512,60)=PARAM!$B$56)*($B512&gt;(60-PARAM!$B$56))*HLOOKUP(($B512+PARAM!$B$56)/12,Loyalty,2)*$F$1*MAX(CD511,0)</f>
        <v>18.557001321003963</v>
      </c>
      <c r="CC512" s="75">
        <f>PARAM!$C$26+MAX($G$22-CHOOSE(PARAM!$B$44,MAX(0,CD511*$F$1),0),0)*RATES!$L488/12+$H$22*(PARAM!$D$51/12)*RATES!$N488/100</f>
        <v>120.20833333333331</v>
      </c>
      <c r="CD512" s="16">
        <f t="shared" si="346"/>
        <v>-8334.9290501953183</v>
      </c>
      <c r="CE512" s="33">
        <f>IF(0=MOD(B512,12/PARAM!$D$51),1,0)</f>
        <v>1</v>
      </c>
      <c r="CF512" s="15">
        <f t="shared" si="321"/>
        <v>0</v>
      </c>
      <c r="CG512" s="75">
        <f>CF512*(1-PARAM!$C$27)*$R$3+(MOD($B512/12,5)=0)*($B512&gt;60)*HLOOKUP($B512/12,Loyalty,2)*$F$1*MAX(CI511,0)</f>
        <v>0</v>
      </c>
      <c r="CH512" s="75">
        <f>PARAM!$C$26+MAX($P$3-CHOOSE(PARAM!$B$44,MAX(0,CI511*$F$1),0),0)*RATES!$L488/12+$Q$3*(PARAM!$D$51/12)*RATES!$N488/100</f>
        <v>120.20833333333331</v>
      </c>
      <c r="CI512" s="16">
        <f>IF(CI511&gt;0,CI511*PARAM!$C$53,CI511)+CG512-CH512</f>
        <v>-17215.499999999982</v>
      </c>
      <c r="CJ512" s="15">
        <f t="shared" si="347"/>
        <v>0</v>
      </c>
      <c r="CK512" s="75">
        <f>CJ512*(1-PARAM!$C$27)*$R$4+(MOD($B512/12,5)=0)*($B512&gt;60)*HLOOKUP($B512/12,Loyalty,2)*$F$1*MAX(CM511,0)</f>
        <v>0</v>
      </c>
      <c r="CL512" s="75">
        <f>PARAM!$C$26+MAX($P$4-CHOOSE(PARAM!$B$44,MAX(0,CM511*$F$1),0),0)*RATES!$L488/12+$Q$4*(PARAM!$D$51/12)*RATES!$N488/100</f>
        <v>120.20833333333331</v>
      </c>
      <c r="CM512" s="16">
        <f>IF(CM511&gt;0,CM511*PARAM!$C$53,CM511)+CK512-CL512</f>
        <v>-17215.499999999982</v>
      </c>
      <c r="CO512" s="176"/>
    </row>
    <row r="513" spans="1:93" x14ac:dyDescent="0.2">
      <c r="A513" t="b">
        <f t="shared" si="322"/>
        <v>0</v>
      </c>
      <c r="B513" s="33">
        <v>486</v>
      </c>
      <c r="C513" s="15">
        <f t="shared" si="323"/>
        <v>20.081305947392778</v>
      </c>
      <c r="D513" s="75">
        <f>C513*(1-PARAM!$C$27)*$I$3+(MOD($B513,60)=PARAM!$B$56)*($B513&gt;(60-PARAM!$B$56))*HLOOKUP(($B513+PARAM!$B$56)/12,Loyalty,2)*$F$1*MAX(F512,0)</f>
        <v>16.808053077967756</v>
      </c>
      <c r="E513" s="75">
        <f>PARAM!$C$26+MAX($G$3-CHOOSE(PARAM!$B$44,MAX(0,F512*$F$1),0),0)*RATES!$L489/12+$H$3*(PARAM!$D$51/12)*RATES!$N489/100</f>
        <v>132.04166666666669</v>
      </c>
      <c r="F513" s="16">
        <f t="shared" si="324"/>
        <v>-9335.2530621780697</v>
      </c>
      <c r="G513" s="15">
        <f t="shared" si="325"/>
        <v>22.035289406060361</v>
      </c>
      <c r="H513" s="75">
        <f>G513*(1-PARAM!$C$27)*$I$4+(MOD($B513,60)=PARAM!$B$56)*($B513&gt;(60-PARAM!$B$56))*HLOOKUP(($B513+PARAM!$B$56)/12,Loyalty,2)*$F$1*MAX(J512,0)</f>
        <v>18.443537232872522</v>
      </c>
      <c r="I513" s="75">
        <f>PARAM!$C$26+MAX($G$4-CHOOSE(PARAM!$B$44,MAX(0,J512*$F$1),0),0)*RATES!$L489/12+$H$4*(PARAM!$D$51/12)*RATES!$N489/100</f>
        <v>132.04166666666669</v>
      </c>
      <c r="J513" s="16">
        <f t="shared" si="326"/>
        <v>-8506.5747987726336</v>
      </c>
      <c r="K513" s="15">
        <f t="shared" si="327"/>
        <v>22.170849845882874</v>
      </c>
      <c r="L513" s="75">
        <f>K513*(1-PARAM!$C$27)*$I$5+(MOD($B513,60)=PARAM!$B$56)*($B513&gt;(60-PARAM!$B$56))*HLOOKUP(($B513+PARAM!$B$56)/12,Loyalty,2)*$F$1*MAX(N512,0)</f>
        <v>18.557001321003963</v>
      </c>
      <c r="M513" s="75">
        <f>PARAM!$C$26+MAX($G$5-CHOOSE(PARAM!$B$44,MAX(0,N512*$F$1),0),0)*RATES!$L489/12+$H$5*(PARAM!$D$51/12)*RATES!$N489/100</f>
        <v>132.04166666666669</v>
      </c>
      <c r="N513" s="16">
        <f t="shared" si="328"/>
        <v>-8448.4137155409808</v>
      </c>
      <c r="O513" s="15">
        <f t="shared" si="329"/>
        <v>22.170849845882874</v>
      </c>
      <c r="P513" s="75">
        <f>O513*(1-PARAM!$C$27)*$I$6+(MOD($B513,60)=PARAM!$B$56)*($B513&gt;(60-PARAM!$B$56))*HLOOKUP(($B513+PARAM!$B$56)/12,Loyalty,2)*$F$1*MAX(R512,0)</f>
        <v>18.557001321003963</v>
      </c>
      <c r="Q513" s="75">
        <f>PARAM!$C$26+MAX($G$6-CHOOSE(PARAM!$B$44,MAX(0,R512*$F$1),0),0)*RATES!$L489/12+$H$6*(PARAM!$D$51/12)*RATES!$N489/100</f>
        <v>132.04166666666669</v>
      </c>
      <c r="R513" s="16">
        <f t="shared" si="330"/>
        <v>-8448.4137155409808</v>
      </c>
      <c r="S513" s="15">
        <f t="shared" si="305"/>
        <v>22.170849845882874</v>
      </c>
      <c r="T513" s="75">
        <f>S513*(1-PARAM!$C$27)*$I$7+(MOD($B513,60)=PARAM!$B$56)*($B513&gt;(60-PARAM!$B$56))*HLOOKUP(($B513+PARAM!$B$56)/12,Loyalty,2)*$F$1*MAX(V512,0)</f>
        <v>18.557001321003963</v>
      </c>
      <c r="U513" s="75">
        <f>PARAM!$C$26+MAX($G$7-CHOOSE(PARAM!$B$44,MAX(0,V512*$F$1),0),0)*RATES!$L489/12+$H$7*(PARAM!$D$51/12)*RATES!$N489/100</f>
        <v>132.04166666666669</v>
      </c>
      <c r="V513" s="16">
        <f t="shared" si="331"/>
        <v>-8448.4137155409808</v>
      </c>
      <c r="W513" s="15">
        <f t="shared" si="306"/>
        <v>22.170849845882874</v>
      </c>
      <c r="X513" s="75">
        <f>W513*(1-PARAM!$C$27)*$I$8+(MOD($B513,60)=PARAM!$B$56)*($B513&gt;(60-PARAM!$B$56))*HLOOKUP(($B513+PARAM!$B$56)/12,Loyalty,2)*$F$1*MAX(Z512,0)</f>
        <v>18.557001321003963</v>
      </c>
      <c r="Y513" s="75">
        <f>PARAM!$C$26+MAX($G$8-CHOOSE(PARAM!$B$44,MAX(0,Z512*$F$1),0),0)*RATES!$L489/12+$H$8*(PARAM!$D$51/12)*RATES!$N489/100</f>
        <v>132.04166666666669</v>
      </c>
      <c r="Z513" s="16">
        <f t="shared" si="332"/>
        <v>-8448.4137155409808</v>
      </c>
      <c r="AA513" s="15">
        <f t="shared" si="307"/>
        <v>22.170849845882874</v>
      </c>
      <c r="AB513" s="75">
        <f>AA513*(1-PARAM!$C$27)*$I$9+(MOD($B513,60)=PARAM!$B$56)*($B513&gt;(60-PARAM!$B$56))*HLOOKUP(($B513+PARAM!$B$56)/12,Loyalty,2)*$F$1*MAX(AD512,0)</f>
        <v>18.557001321003963</v>
      </c>
      <c r="AC513" s="75">
        <f>PARAM!$C$26+MAX($G$9-CHOOSE(PARAM!$B$44,MAX(0,AD512*$F$1),0),0)*RATES!$L489/12+$H$9*(PARAM!$D$51/12)*RATES!$N489/100</f>
        <v>132.04166666666669</v>
      </c>
      <c r="AD513" s="16">
        <f t="shared" si="333"/>
        <v>-8448.4137155409808</v>
      </c>
      <c r="AE513" s="15">
        <f t="shared" si="308"/>
        <v>22.170849845882874</v>
      </c>
      <c r="AF513" s="75">
        <f>AE513*(1-PARAM!$C$27)*$I$10+(MOD($B513,60)=PARAM!$B$56)*($B513&gt;(60-PARAM!$B$56))*HLOOKUP(($B513+PARAM!$B$56)/12,Loyalty,2)*$F$1*MAX(AH512,0)</f>
        <v>18.557001321003963</v>
      </c>
      <c r="AG513" s="75">
        <f>PARAM!$C$26+MAX($G$10-CHOOSE(PARAM!$B$44,MAX(0,AH512*$F$1),0),0)*RATES!$L489/12+$H$10*(PARAM!$D$51/12)*RATES!$N489/100</f>
        <v>132.04166666666669</v>
      </c>
      <c r="AH513" s="16">
        <f t="shared" si="334"/>
        <v>-8448.4137155409808</v>
      </c>
      <c r="AI513" s="15">
        <f t="shared" si="309"/>
        <v>22.170849845882874</v>
      </c>
      <c r="AJ513" s="75">
        <f>AI513*(1-PARAM!$C$27)*$I$11+(MOD($B513,60)=PARAM!$B$56)*($B513&gt;(60-PARAM!$B$56))*HLOOKUP(($B513+PARAM!$B$56)/12,Loyalty,2)*$F$1*MAX(AL512,0)</f>
        <v>18.557001321003963</v>
      </c>
      <c r="AK513" s="75">
        <f>PARAM!$C$26+MAX($G$11-CHOOSE(PARAM!$B$44,MAX(0,AL512*$F$1),0),0)*RATES!$L489/12+$H$11*(PARAM!$D$51/12)*RATES!$N489/100</f>
        <v>132.04166666666669</v>
      </c>
      <c r="AL513" s="16">
        <f t="shared" si="335"/>
        <v>-8448.4137155409808</v>
      </c>
      <c r="AM513" s="15">
        <f t="shared" si="310"/>
        <v>22.170849845882874</v>
      </c>
      <c r="AN513" s="75">
        <f>AM513*(1-PARAM!$C$27)*$I$12+(MOD($B513,60)=PARAM!$B$56)*($B513&gt;(60-PARAM!$B$56))*HLOOKUP(($B513+PARAM!$B$56)/12,Loyalty,2)*$F$1*MAX(AP512,0)</f>
        <v>18.557001321003963</v>
      </c>
      <c r="AO513" s="75">
        <f>PARAM!$C$26+MAX($G$12-CHOOSE(PARAM!$B$44,MAX(0,AP512*$F$1),0),0)*RATES!$L489/12+$H$12*(PARAM!$D$51/12)*RATES!$N489/100</f>
        <v>132.04166666666669</v>
      </c>
      <c r="AP513" s="16">
        <f t="shared" si="336"/>
        <v>-8448.4137155409808</v>
      </c>
      <c r="AQ513" s="15">
        <f t="shared" si="311"/>
        <v>22.170849845882874</v>
      </c>
      <c r="AR513" s="75">
        <f>AQ513*(1-PARAM!$C$27)*$I$13+(MOD($B513,60)=PARAM!$B$56)*($B513&gt;(60-PARAM!$B$56))*HLOOKUP(($B513+PARAM!$B$56)/12,Loyalty,2)*$F$1*MAX(AT512,0)</f>
        <v>18.557001321003963</v>
      </c>
      <c r="AS513" s="75">
        <f>PARAM!$C$26+MAX($G$13-CHOOSE(PARAM!$B$44,MAX(0,AT512*$F$1),0),0)*RATES!$L489/12+$H$13*(PARAM!$D$51/12)*RATES!$N489/100</f>
        <v>132.04166666666669</v>
      </c>
      <c r="AT513" s="16">
        <f t="shared" si="337"/>
        <v>-8448.4137155409808</v>
      </c>
      <c r="AU513" s="15">
        <f t="shared" si="312"/>
        <v>22.170849845882874</v>
      </c>
      <c r="AV513" s="75">
        <f>AU513*(1-PARAM!$C$27)*$I$14+(MOD($B513,60)=PARAM!$B$56)*($B513&gt;(60-PARAM!$B$56))*HLOOKUP(($B513+PARAM!$B$56)/12,Loyalty,2)*$F$1*MAX(AX512,0)</f>
        <v>18.557001321003963</v>
      </c>
      <c r="AW513" s="75">
        <f>PARAM!$C$26+MAX($G$14-CHOOSE(PARAM!$B$44,MAX(0,AX512*$F$1),0),0)*RATES!$L489/12+$H$14*(PARAM!$D$51/12)*RATES!$N489/100</f>
        <v>132.04166666666669</v>
      </c>
      <c r="AX513" s="16">
        <f t="shared" si="338"/>
        <v>-8448.4137155409808</v>
      </c>
      <c r="AY513" s="15">
        <f t="shared" si="313"/>
        <v>22.170849845882874</v>
      </c>
      <c r="AZ513" s="75">
        <f>AY513*(1-PARAM!$C$27)*$I$15+(MOD($B513,60)=PARAM!$B$56)*($B513&gt;(60-PARAM!$B$56))*HLOOKUP(($B513+PARAM!$B$56)/12,Loyalty,2)*$F$1*MAX(BB512,0)</f>
        <v>18.557001321003963</v>
      </c>
      <c r="BA513" s="75">
        <f>PARAM!$C$26+MAX($G$15-CHOOSE(PARAM!$B$44,MAX(0,BB512*$F$1),0),0)*RATES!$L489/12+$H$15*(PARAM!$D$51/12)*RATES!$N489/100</f>
        <v>132.04166666666669</v>
      </c>
      <c r="BB513" s="16">
        <f t="shared" si="339"/>
        <v>-8448.4137155409808</v>
      </c>
      <c r="BC513" s="15">
        <f t="shared" si="314"/>
        <v>22.170849845882874</v>
      </c>
      <c r="BD513" s="75">
        <f>BC513*(1-PARAM!$C$27)*$I$16+(MOD($B513,60)=PARAM!$B$56)*($B513&gt;(60-PARAM!$B$56))*HLOOKUP(($B513+PARAM!$B$56)/12,Loyalty,2)*$F$1*MAX(BF512,0)</f>
        <v>18.557001321003963</v>
      </c>
      <c r="BE513" s="75">
        <f>PARAM!$C$26+MAX($G$16-CHOOSE(PARAM!$B$44,MAX(0,BF512*$F$1),0),0)*RATES!$L489/12+$H$16*(PARAM!$D$51/12)*RATES!$N489/100</f>
        <v>132.04166666666669</v>
      </c>
      <c r="BF513" s="16">
        <f t="shared" si="340"/>
        <v>-8448.4137155409808</v>
      </c>
      <c r="BG513" s="15">
        <f t="shared" si="315"/>
        <v>22.170849845882874</v>
      </c>
      <c r="BH513" s="75">
        <f>BG513*(1-PARAM!$C$27)*$I$17+(MOD($B513,60)=PARAM!$B$56)*($B513&gt;(60-PARAM!$B$56))*HLOOKUP(($B513+PARAM!$B$56)/12,Loyalty,2)*$F$1*MAX(BJ512,0)</f>
        <v>18.557001321003963</v>
      </c>
      <c r="BI513" s="75">
        <f>PARAM!$C$26+MAX($G$17-CHOOSE(PARAM!$B$44,MAX(0,BJ512*$F$1),0),0)*RATES!$L489/12+$H$17*(PARAM!$D$51/12)*RATES!$N489/100</f>
        <v>132.04166666666669</v>
      </c>
      <c r="BJ513" s="16">
        <f t="shared" si="341"/>
        <v>-8448.4137155409808</v>
      </c>
      <c r="BK513" s="15">
        <f t="shared" si="316"/>
        <v>22.170849845882874</v>
      </c>
      <c r="BL513" s="75">
        <f>BK513*(1-PARAM!$C$27)*$I$18+(MOD($B513,60)=PARAM!$B$56)*($B513&gt;(60-PARAM!$B$56))*HLOOKUP(($B513+PARAM!$B$56)/12,Loyalty,2)*$F$1*MAX(BN512,0)</f>
        <v>18.557001321003963</v>
      </c>
      <c r="BM513" s="75">
        <f>PARAM!$C$26+MAX($G$18-CHOOSE(PARAM!$B$44,MAX(0,BN512*$F$1),0),0)*RATES!$L489/12+$H$18*(PARAM!$D$51/12)*RATES!$N489/100</f>
        <v>132.04166666666669</v>
      </c>
      <c r="BN513" s="16">
        <f t="shared" si="342"/>
        <v>-8448.4137155409808</v>
      </c>
      <c r="BO513" s="15">
        <f t="shared" si="317"/>
        <v>22.170849845882874</v>
      </c>
      <c r="BP513" s="75">
        <f>BO513*(1-PARAM!$C$27)*$I$19+(MOD($B513,60)=PARAM!$B$56)*($B513&gt;(60-PARAM!$B$56))*HLOOKUP(($B513+PARAM!$B$56)/12,Loyalty,2)*$F$1*MAX(BR512,0)</f>
        <v>18.557001321003963</v>
      </c>
      <c r="BQ513" s="75">
        <f>PARAM!$C$26+MAX($G$19-CHOOSE(PARAM!$B$44,MAX(0,BR512*$F$1),0),0)*RATES!$L489/12+$H$19*(PARAM!$D$51/12)*RATES!$N489/100</f>
        <v>132.04166666666669</v>
      </c>
      <c r="BR513" s="16">
        <f t="shared" si="343"/>
        <v>-8448.4137155409808</v>
      </c>
      <c r="BS513" s="15">
        <f t="shared" si="318"/>
        <v>22.170849845882874</v>
      </c>
      <c r="BT513" s="75">
        <f>BS513*(1-PARAM!$C$27)*$I$20+(MOD($B513,60)=PARAM!$B$56)*($B513&gt;(60-PARAM!$B$56))*HLOOKUP(($B513+PARAM!$B$56)/12,Loyalty,2)*$F$1*MAX(BV512,0)</f>
        <v>18.557001321003963</v>
      </c>
      <c r="BU513" s="75">
        <f>PARAM!$C$26+MAX($G$20-CHOOSE(PARAM!$B$44,MAX(0,BV512*$F$1),0),0)*RATES!$L489/12+$H$20*(PARAM!$D$51/12)*RATES!$N489/100</f>
        <v>132.04166666666669</v>
      </c>
      <c r="BV513" s="16">
        <f t="shared" si="344"/>
        <v>-8448.4137155409808</v>
      </c>
      <c r="BW513" s="15">
        <f t="shared" si="319"/>
        <v>22.170849845882874</v>
      </c>
      <c r="BX513" s="75">
        <f>BW513*(1-PARAM!$C$27)*$I$21+(MOD($B513,60)=PARAM!$B$56)*($B513&gt;(60-PARAM!$B$56))*HLOOKUP(($B513+PARAM!$B$56)/12,Loyalty,2)*$F$1*MAX(BZ512,0)</f>
        <v>18.557001321003963</v>
      </c>
      <c r="BY513" s="75">
        <f>PARAM!$C$26+MAX($G$21-CHOOSE(PARAM!$B$44,MAX(0,BZ512*$F$1),0),0)*RATES!$L489/12+$H$21*(PARAM!$D$51/12)*RATES!$N489/100</f>
        <v>132.04166666666669</v>
      </c>
      <c r="BZ513" s="16">
        <f t="shared" si="345"/>
        <v>-8448.4137155409808</v>
      </c>
      <c r="CA513" s="15">
        <f t="shared" si="320"/>
        <v>22.170849845882874</v>
      </c>
      <c r="CB513" s="75">
        <f>CA513*(1-PARAM!$C$27)*$I$22+(MOD($B513,60)=PARAM!$B$56)*($B513&gt;(60-PARAM!$B$56))*HLOOKUP(($B513+PARAM!$B$56)/12,Loyalty,2)*$F$1*MAX(CD512,0)</f>
        <v>18.557001321003963</v>
      </c>
      <c r="CC513" s="75">
        <f>PARAM!$C$26+MAX($G$22-CHOOSE(PARAM!$B$44,MAX(0,CD512*$F$1),0),0)*RATES!$L489/12+$H$22*(PARAM!$D$51/12)*RATES!$N489/100</f>
        <v>132.04166666666669</v>
      </c>
      <c r="CD513" s="16">
        <f t="shared" si="346"/>
        <v>-8448.4137155409808</v>
      </c>
      <c r="CE513" s="33">
        <f>IF(0=MOD(B513,12/PARAM!$D$51),1,0)</f>
        <v>1</v>
      </c>
      <c r="CF513" s="15">
        <f t="shared" si="321"/>
        <v>0</v>
      </c>
      <c r="CG513" s="75">
        <f>CF513*(1-PARAM!$C$27)*$R$3+(MOD($B513/12,5)=0)*($B513&gt;60)*HLOOKUP($B513/12,Loyalty,2)*$F$1*MAX(CI512,0)</f>
        <v>0</v>
      </c>
      <c r="CH513" s="75">
        <f>PARAM!$C$26+MAX($P$3-CHOOSE(PARAM!$B$44,MAX(0,CI512*$F$1),0),0)*RATES!$L489/12+$Q$3*(PARAM!$D$51/12)*RATES!$N489/100</f>
        <v>132.04166666666669</v>
      </c>
      <c r="CI513" s="16">
        <f>IF(CI512&gt;0,CI512*PARAM!$C$53,CI512)+CG513-CH513</f>
        <v>-17347.54166666665</v>
      </c>
      <c r="CJ513" s="15">
        <f t="shared" si="347"/>
        <v>0</v>
      </c>
      <c r="CK513" s="75">
        <f>CJ513*(1-PARAM!$C$27)*$R$4+(MOD($B513/12,5)=0)*($B513&gt;60)*HLOOKUP($B513/12,Loyalty,2)*$F$1*MAX(CM512,0)</f>
        <v>0</v>
      </c>
      <c r="CL513" s="75">
        <f>PARAM!$C$26+MAX($P$4-CHOOSE(PARAM!$B$44,MAX(0,CM512*$F$1),0),0)*RATES!$L489/12+$Q$4*(PARAM!$D$51/12)*RATES!$N489/100</f>
        <v>132.04166666666669</v>
      </c>
      <c r="CM513" s="16">
        <f>IF(CM512&gt;0,CM512*PARAM!$C$53,CM512)+CK513-CL513</f>
        <v>-17347.54166666665</v>
      </c>
      <c r="CO513" s="176"/>
    </row>
    <row r="514" spans="1:93" x14ac:dyDescent="0.2">
      <c r="A514" t="b">
        <f t="shared" si="322"/>
        <v>0</v>
      </c>
      <c r="B514" s="33">
        <v>487</v>
      </c>
      <c r="C514" s="15">
        <f t="shared" si="323"/>
        <v>20.081305947392778</v>
      </c>
      <c r="D514" s="75">
        <f>C514*(1-PARAM!$C$27)*$I$3+(MOD($B514,60)=PARAM!$B$56)*($B514&gt;(60-PARAM!$B$56))*HLOOKUP(($B514+PARAM!$B$56)/12,Loyalty,2)*$F$1*MAX(F513,0)</f>
        <v>16.808053077967756</v>
      </c>
      <c r="E514" s="75">
        <f>PARAM!$C$26+MAX($G$3-CHOOSE(PARAM!$B$44,MAX(0,F513*$F$1),0),0)*RATES!$L490/12+$H$3*(PARAM!$D$51/12)*RATES!$N490/100</f>
        <v>132.04166666666669</v>
      </c>
      <c r="F514" s="16">
        <f t="shared" si="324"/>
        <v>-9450.4866757667678</v>
      </c>
      <c r="G514" s="15">
        <f t="shared" si="325"/>
        <v>22.035289406060361</v>
      </c>
      <c r="H514" s="75">
        <f>G514*(1-PARAM!$C$27)*$I$4+(MOD($B514,60)=PARAM!$B$56)*($B514&gt;(60-PARAM!$B$56))*HLOOKUP(($B514+PARAM!$B$56)/12,Loyalty,2)*$F$1*MAX(J513,0)</f>
        <v>18.443537232872522</v>
      </c>
      <c r="I514" s="75">
        <f>PARAM!$C$26+MAX($G$4-CHOOSE(PARAM!$B$44,MAX(0,J513*$F$1),0),0)*RATES!$L490/12+$H$4*(PARAM!$D$51/12)*RATES!$N490/100</f>
        <v>132.04166666666669</v>
      </c>
      <c r="J514" s="16">
        <f t="shared" si="326"/>
        <v>-8620.172928206428</v>
      </c>
      <c r="K514" s="15">
        <f t="shared" si="327"/>
        <v>22.170849845882874</v>
      </c>
      <c r="L514" s="75">
        <f>K514*(1-PARAM!$C$27)*$I$5+(MOD($B514,60)=PARAM!$B$56)*($B514&gt;(60-PARAM!$B$56))*HLOOKUP(($B514+PARAM!$B$56)/12,Loyalty,2)*$F$1*MAX(N513,0)</f>
        <v>18.557001321003963</v>
      </c>
      <c r="M514" s="75">
        <f>PARAM!$C$26+MAX($G$5-CHOOSE(PARAM!$B$44,MAX(0,N513*$F$1),0),0)*RATES!$L490/12+$H$5*(PARAM!$D$51/12)*RATES!$N490/100</f>
        <v>132.04166666666669</v>
      </c>
      <c r="N514" s="16">
        <f t="shared" si="328"/>
        <v>-8561.8983808866433</v>
      </c>
      <c r="O514" s="15">
        <f t="shared" si="329"/>
        <v>22.170849845882874</v>
      </c>
      <c r="P514" s="75">
        <f>O514*(1-PARAM!$C$27)*$I$6+(MOD($B514,60)=PARAM!$B$56)*($B514&gt;(60-PARAM!$B$56))*HLOOKUP(($B514+PARAM!$B$56)/12,Loyalty,2)*$F$1*MAX(R513,0)</f>
        <v>18.557001321003963</v>
      </c>
      <c r="Q514" s="75">
        <f>PARAM!$C$26+MAX($G$6-CHOOSE(PARAM!$B$44,MAX(0,R513*$F$1),0),0)*RATES!$L490/12+$H$6*(PARAM!$D$51/12)*RATES!$N490/100</f>
        <v>132.04166666666669</v>
      </c>
      <c r="R514" s="16">
        <f t="shared" si="330"/>
        <v>-8561.8983808866433</v>
      </c>
      <c r="S514" s="15">
        <f t="shared" si="305"/>
        <v>22.170849845882874</v>
      </c>
      <c r="T514" s="75">
        <f>S514*(1-PARAM!$C$27)*$I$7+(MOD($B514,60)=PARAM!$B$56)*($B514&gt;(60-PARAM!$B$56))*HLOOKUP(($B514+PARAM!$B$56)/12,Loyalty,2)*$F$1*MAX(V513,0)</f>
        <v>18.557001321003963</v>
      </c>
      <c r="U514" s="75">
        <f>PARAM!$C$26+MAX($G$7-CHOOSE(PARAM!$B$44,MAX(0,V513*$F$1),0),0)*RATES!$L490/12+$H$7*(PARAM!$D$51/12)*RATES!$N490/100</f>
        <v>132.04166666666669</v>
      </c>
      <c r="V514" s="16">
        <f t="shared" si="331"/>
        <v>-8561.8983808866433</v>
      </c>
      <c r="W514" s="15">
        <f t="shared" si="306"/>
        <v>22.170849845882874</v>
      </c>
      <c r="X514" s="75">
        <f>W514*(1-PARAM!$C$27)*$I$8+(MOD($B514,60)=PARAM!$B$56)*($B514&gt;(60-PARAM!$B$56))*HLOOKUP(($B514+PARAM!$B$56)/12,Loyalty,2)*$F$1*MAX(Z513,0)</f>
        <v>18.557001321003963</v>
      </c>
      <c r="Y514" s="75">
        <f>PARAM!$C$26+MAX($G$8-CHOOSE(PARAM!$B$44,MAX(0,Z513*$F$1),0),0)*RATES!$L490/12+$H$8*(PARAM!$D$51/12)*RATES!$N490/100</f>
        <v>132.04166666666669</v>
      </c>
      <c r="Z514" s="16">
        <f t="shared" si="332"/>
        <v>-8561.8983808866433</v>
      </c>
      <c r="AA514" s="15">
        <f t="shared" si="307"/>
        <v>22.170849845882874</v>
      </c>
      <c r="AB514" s="75">
        <f>AA514*(1-PARAM!$C$27)*$I$9+(MOD($B514,60)=PARAM!$B$56)*($B514&gt;(60-PARAM!$B$56))*HLOOKUP(($B514+PARAM!$B$56)/12,Loyalty,2)*$F$1*MAX(AD513,0)</f>
        <v>18.557001321003963</v>
      </c>
      <c r="AC514" s="75">
        <f>PARAM!$C$26+MAX($G$9-CHOOSE(PARAM!$B$44,MAX(0,AD513*$F$1),0),0)*RATES!$L490/12+$H$9*(PARAM!$D$51/12)*RATES!$N490/100</f>
        <v>132.04166666666669</v>
      </c>
      <c r="AD514" s="16">
        <f t="shared" si="333"/>
        <v>-8561.8983808866433</v>
      </c>
      <c r="AE514" s="15">
        <f t="shared" si="308"/>
        <v>22.170849845882874</v>
      </c>
      <c r="AF514" s="75">
        <f>AE514*(1-PARAM!$C$27)*$I$10+(MOD($B514,60)=PARAM!$B$56)*($B514&gt;(60-PARAM!$B$56))*HLOOKUP(($B514+PARAM!$B$56)/12,Loyalty,2)*$F$1*MAX(AH513,0)</f>
        <v>18.557001321003963</v>
      </c>
      <c r="AG514" s="75">
        <f>PARAM!$C$26+MAX($G$10-CHOOSE(PARAM!$B$44,MAX(0,AH513*$F$1),0),0)*RATES!$L490/12+$H$10*(PARAM!$D$51/12)*RATES!$N490/100</f>
        <v>132.04166666666669</v>
      </c>
      <c r="AH514" s="16">
        <f t="shared" si="334"/>
        <v>-8561.8983808866433</v>
      </c>
      <c r="AI514" s="15">
        <f t="shared" si="309"/>
        <v>22.170849845882874</v>
      </c>
      <c r="AJ514" s="75">
        <f>AI514*(1-PARAM!$C$27)*$I$11+(MOD($B514,60)=PARAM!$B$56)*($B514&gt;(60-PARAM!$B$56))*HLOOKUP(($B514+PARAM!$B$56)/12,Loyalty,2)*$F$1*MAX(AL513,0)</f>
        <v>18.557001321003963</v>
      </c>
      <c r="AK514" s="75">
        <f>PARAM!$C$26+MAX($G$11-CHOOSE(PARAM!$B$44,MAX(0,AL513*$F$1),0),0)*RATES!$L490/12+$H$11*(PARAM!$D$51/12)*RATES!$N490/100</f>
        <v>132.04166666666669</v>
      </c>
      <c r="AL514" s="16">
        <f t="shared" si="335"/>
        <v>-8561.8983808866433</v>
      </c>
      <c r="AM514" s="15">
        <f t="shared" si="310"/>
        <v>22.170849845882874</v>
      </c>
      <c r="AN514" s="75">
        <f>AM514*(1-PARAM!$C$27)*$I$12+(MOD($B514,60)=PARAM!$B$56)*($B514&gt;(60-PARAM!$B$56))*HLOOKUP(($B514+PARAM!$B$56)/12,Loyalty,2)*$F$1*MAX(AP513,0)</f>
        <v>18.557001321003963</v>
      </c>
      <c r="AO514" s="75">
        <f>PARAM!$C$26+MAX($G$12-CHOOSE(PARAM!$B$44,MAX(0,AP513*$F$1),0),0)*RATES!$L490/12+$H$12*(PARAM!$D$51/12)*RATES!$N490/100</f>
        <v>132.04166666666669</v>
      </c>
      <c r="AP514" s="16">
        <f t="shared" si="336"/>
        <v>-8561.8983808866433</v>
      </c>
      <c r="AQ514" s="15">
        <f t="shared" si="311"/>
        <v>22.170849845882874</v>
      </c>
      <c r="AR514" s="75">
        <f>AQ514*(1-PARAM!$C$27)*$I$13+(MOD($B514,60)=PARAM!$B$56)*($B514&gt;(60-PARAM!$B$56))*HLOOKUP(($B514+PARAM!$B$56)/12,Loyalty,2)*$F$1*MAX(AT513,0)</f>
        <v>18.557001321003963</v>
      </c>
      <c r="AS514" s="75">
        <f>PARAM!$C$26+MAX($G$13-CHOOSE(PARAM!$B$44,MAX(0,AT513*$F$1),0),0)*RATES!$L490/12+$H$13*(PARAM!$D$51/12)*RATES!$N490/100</f>
        <v>132.04166666666669</v>
      </c>
      <c r="AT514" s="16">
        <f t="shared" si="337"/>
        <v>-8561.8983808866433</v>
      </c>
      <c r="AU514" s="15">
        <f t="shared" si="312"/>
        <v>22.170849845882874</v>
      </c>
      <c r="AV514" s="75">
        <f>AU514*(1-PARAM!$C$27)*$I$14+(MOD($B514,60)=PARAM!$B$56)*($B514&gt;(60-PARAM!$B$56))*HLOOKUP(($B514+PARAM!$B$56)/12,Loyalty,2)*$F$1*MAX(AX513,0)</f>
        <v>18.557001321003963</v>
      </c>
      <c r="AW514" s="75">
        <f>PARAM!$C$26+MAX($G$14-CHOOSE(PARAM!$B$44,MAX(0,AX513*$F$1),0),0)*RATES!$L490/12+$H$14*(PARAM!$D$51/12)*RATES!$N490/100</f>
        <v>132.04166666666669</v>
      </c>
      <c r="AX514" s="16">
        <f t="shared" si="338"/>
        <v>-8561.8983808866433</v>
      </c>
      <c r="AY514" s="15">
        <f t="shared" si="313"/>
        <v>22.170849845882874</v>
      </c>
      <c r="AZ514" s="75">
        <f>AY514*(1-PARAM!$C$27)*$I$15+(MOD($B514,60)=PARAM!$B$56)*($B514&gt;(60-PARAM!$B$56))*HLOOKUP(($B514+PARAM!$B$56)/12,Loyalty,2)*$F$1*MAX(BB513,0)</f>
        <v>18.557001321003963</v>
      </c>
      <c r="BA514" s="75">
        <f>PARAM!$C$26+MAX($G$15-CHOOSE(PARAM!$B$44,MAX(0,BB513*$F$1),0),0)*RATES!$L490/12+$H$15*(PARAM!$D$51/12)*RATES!$N490/100</f>
        <v>132.04166666666669</v>
      </c>
      <c r="BB514" s="16">
        <f t="shared" si="339"/>
        <v>-8561.8983808866433</v>
      </c>
      <c r="BC514" s="15">
        <f t="shared" si="314"/>
        <v>22.170849845882874</v>
      </c>
      <c r="BD514" s="75">
        <f>BC514*(1-PARAM!$C$27)*$I$16+(MOD($B514,60)=PARAM!$B$56)*($B514&gt;(60-PARAM!$B$56))*HLOOKUP(($B514+PARAM!$B$56)/12,Loyalty,2)*$F$1*MAX(BF513,0)</f>
        <v>18.557001321003963</v>
      </c>
      <c r="BE514" s="75">
        <f>PARAM!$C$26+MAX($G$16-CHOOSE(PARAM!$B$44,MAX(0,BF513*$F$1),0),0)*RATES!$L490/12+$H$16*(PARAM!$D$51/12)*RATES!$N490/100</f>
        <v>132.04166666666669</v>
      </c>
      <c r="BF514" s="16">
        <f t="shared" si="340"/>
        <v>-8561.8983808866433</v>
      </c>
      <c r="BG514" s="15">
        <f t="shared" si="315"/>
        <v>22.170849845882874</v>
      </c>
      <c r="BH514" s="75">
        <f>BG514*(1-PARAM!$C$27)*$I$17+(MOD($B514,60)=PARAM!$B$56)*($B514&gt;(60-PARAM!$B$56))*HLOOKUP(($B514+PARAM!$B$56)/12,Loyalty,2)*$F$1*MAX(BJ513,0)</f>
        <v>18.557001321003963</v>
      </c>
      <c r="BI514" s="75">
        <f>PARAM!$C$26+MAX($G$17-CHOOSE(PARAM!$B$44,MAX(0,BJ513*$F$1),0),0)*RATES!$L490/12+$H$17*(PARAM!$D$51/12)*RATES!$N490/100</f>
        <v>132.04166666666669</v>
      </c>
      <c r="BJ514" s="16">
        <f t="shared" si="341"/>
        <v>-8561.8983808866433</v>
      </c>
      <c r="BK514" s="15">
        <f t="shared" si="316"/>
        <v>22.170849845882874</v>
      </c>
      <c r="BL514" s="75">
        <f>BK514*(1-PARAM!$C$27)*$I$18+(MOD($B514,60)=PARAM!$B$56)*($B514&gt;(60-PARAM!$B$56))*HLOOKUP(($B514+PARAM!$B$56)/12,Loyalty,2)*$F$1*MAX(BN513,0)</f>
        <v>18.557001321003963</v>
      </c>
      <c r="BM514" s="75">
        <f>PARAM!$C$26+MAX($G$18-CHOOSE(PARAM!$B$44,MAX(0,BN513*$F$1),0),0)*RATES!$L490/12+$H$18*(PARAM!$D$51/12)*RATES!$N490/100</f>
        <v>132.04166666666669</v>
      </c>
      <c r="BN514" s="16">
        <f t="shared" si="342"/>
        <v>-8561.8983808866433</v>
      </c>
      <c r="BO514" s="15">
        <f t="shared" si="317"/>
        <v>22.170849845882874</v>
      </c>
      <c r="BP514" s="75">
        <f>BO514*(1-PARAM!$C$27)*$I$19+(MOD($B514,60)=PARAM!$B$56)*($B514&gt;(60-PARAM!$B$56))*HLOOKUP(($B514+PARAM!$B$56)/12,Loyalty,2)*$F$1*MAX(BR513,0)</f>
        <v>18.557001321003963</v>
      </c>
      <c r="BQ514" s="75">
        <f>PARAM!$C$26+MAX($G$19-CHOOSE(PARAM!$B$44,MAX(0,BR513*$F$1),0),0)*RATES!$L490/12+$H$19*(PARAM!$D$51/12)*RATES!$N490/100</f>
        <v>132.04166666666669</v>
      </c>
      <c r="BR514" s="16">
        <f t="shared" si="343"/>
        <v>-8561.8983808866433</v>
      </c>
      <c r="BS514" s="15">
        <f t="shared" si="318"/>
        <v>22.170849845882874</v>
      </c>
      <c r="BT514" s="75">
        <f>BS514*(1-PARAM!$C$27)*$I$20+(MOD($B514,60)=PARAM!$B$56)*($B514&gt;(60-PARAM!$B$56))*HLOOKUP(($B514+PARAM!$B$56)/12,Loyalty,2)*$F$1*MAX(BV513,0)</f>
        <v>18.557001321003963</v>
      </c>
      <c r="BU514" s="75">
        <f>PARAM!$C$26+MAX($G$20-CHOOSE(PARAM!$B$44,MAX(0,BV513*$F$1),0),0)*RATES!$L490/12+$H$20*(PARAM!$D$51/12)*RATES!$N490/100</f>
        <v>132.04166666666669</v>
      </c>
      <c r="BV514" s="16">
        <f t="shared" si="344"/>
        <v>-8561.8983808866433</v>
      </c>
      <c r="BW514" s="15">
        <f t="shared" si="319"/>
        <v>22.170849845882874</v>
      </c>
      <c r="BX514" s="75">
        <f>BW514*(1-PARAM!$C$27)*$I$21+(MOD($B514,60)=PARAM!$B$56)*($B514&gt;(60-PARAM!$B$56))*HLOOKUP(($B514+PARAM!$B$56)/12,Loyalty,2)*$F$1*MAX(BZ513,0)</f>
        <v>18.557001321003963</v>
      </c>
      <c r="BY514" s="75">
        <f>PARAM!$C$26+MAX($G$21-CHOOSE(PARAM!$B$44,MAX(0,BZ513*$F$1),0),0)*RATES!$L490/12+$H$21*(PARAM!$D$51/12)*RATES!$N490/100</f>
        <v>132.04166666666669</v>
      </c>
      <c r="BZ514" s="16">
        <f t="shared" si="345"/>
        <v>-8561.8983808866433</v>
      </c>
      <c r="CA514" s="15">
        <f t="shared" si="320"/>
        <v>22.170849845882874</v>
      </c>
      <c r="CB514" s="75">
        <f>CA514*(1-PARAM!$C$27)*$I$22+(MOD($B514,60)=PARAM!$B$56)*($B514&gt;(60-PARAM!$B$56))*HLOOKUP(($B514+PARAM!$B$56)/12,Loyalty,2)*$F$1*MAX(CD513,0)</f>
        <v>18.557001321003963</v>
      </c>
      <c r="CC514" s="75">
        <f>PARAM!$C$26+MAX($G$22-CHOOSE(PARAM!$B$44,MAX(0,CD513*$F$1),0),0)*RATES!$L490/12+$H$22*(PARAM!$D$51/12)*RATES!$N490/100</f>
        <v>132.04166666666669</v>
      </c>
      <c r="CD514" s="16">
        <f t="shared" si="346"/>
        <v>-8561.8983808866433</v>
      </c>
      <c r="CE514" s="33">
        <f>IF(0=MOD(B514,12/PARAM!$D$51),1,0)</f>
        <v>1</v>
      </c>
      <c r="CF514" s="15">
        <f t="shared" si="321"/>
        <v>0</v>
      </c>
      <c r="CG514" s="75">
        <f>CF514*(1-PARAM!$C$27)*$R$3+(MOD($B514/12,5)=0)*($B514&gt;60)*HLOOKUP($B514/12,Loyalty,2)*$F$1*MAX(CI513,0)</f>
        <v>0</v>
      </c>
      <c r="CH514" s="75">
        <f>PARAM!$C$26+MAX($P$3-CHOOSE(PARAM!$B$44,MAX(0,CI513*$F$1),0),0)*RATES!$L490/12+$Q$3*(PARAM!$D$51/12)*RATES!$N490/100</f>
        <v>132.04166666666669</v>
      </c>
      <c r="CI514" s="16">
        <f>IF(CI513&gt;0,CI513*PARAM!$C$53,CI513)+CG514-CH514</f>
        <v>-17479.583333333318</v>
      </c>
      <c r="CJ514" s="15">
        <f t="shared" si="347"/>
        <v>0</v>
      </c>
      <c r="CK514" s="75">
        <f>CJ514*(1-PARAM!$C$27)*$R$4+(MOD($B514/12,5)=0)*($B514&gt;60)*HLOOKUP($B514/12,Loyalty,2)*$F$1*MAX(CM513,0)</f>
        <v>0</v>
      </c>
      <c r="CL514" s="75">
        <f>PARAM!$C$26+MAX($P$4-CHOOSE(PARAM!$B$44,MAX(0,CM513*$F$1),0),0)*RATES!$L490/12+$Q$4*(PARAM!$D$51/12)*RATES!$N490/100</f>
        <v>132.04166666666669</v>
      </c>
      <c r="CM514" s="16">
        <f>IF(CM513&gt;0,CM513*PARAM!$C$53,CM513)+CK514-CL514</f>
        <v>-17479.583333333318</v>
      </c>
      <c r="CO514" s="176"/>
    </row>
    <row r="515" spans="1:93" x14ac:dyDescent="0.2">
      <c r="A515" t="b">
        <f t="shared" si="322"/>
        <v>0</v>
      </c>
      <c r="B515" s="33">
        <v>488</v>
      </c>
      <c r="C515" s="15">
        <f t="shared" si="323"/>
        <v>20.081305947392778</v>
      </c>
      <c r="D515" s="75">
        <f>C515*(1-PARAM!$C$27)*$I$3+(MOD($B515,60)=PARAM!$B$56)*($B515&gt;(60-PARAM!$B$56))*HLOOKUP(($B515+PARAM!$B$56)/12,Loyalty,2)*$F$1*MAX(F514,0)</f>
        <v>16.808053077967756</v>
      </c>
      <c r="E515" s="75">
        <f>PARAM!$C$26+MAX($G$3-CHOOSE(PARAM!$B$44,MAX(0,F514*$F$1),0),0)*RATES!$L491/12+$H$3*(PARAM!$D$51/12)*RATES!$N491/100</f>
        <v>132.04166666666669</v>
      </c>
      <c r="F515" s="16">
        <f t="shared" si="324"/>
        <v>-9565.7202893554659</v>
      </c>
      <c r="G515" s="15">
        <f t="shared" si="325"/>
        <v>22.035289406060361</v>
      </c>
      <c r="H515" s="75">
        <f>G515*(1-PARAM!$C$27)*$I$4+(MOD($B515,60)=PARAM!$B$56)*($B515&gt;(60-PARAM!$B$56))*HLOOKUP(($B515+PARAM!$B$56)/12,Loyalty,2)*$F$1*MAX(J514,0)</f>
        <v>18.443537232872522</v>
      </c>
      <c r="I515" s="75">
        <f>PARAM!$C$26+MAX($G$4-CHOOSE(PARAM!$B$44,MAX(0,J514*$F$1),0),0)*RATES!$L491/12+$H$4*(PARAM!$D$51/12)*RATES!$N491/100</f>
        <v>132.04166666666669</v>
      </c>
      <c r="J515" s="16">
        <f t="shared" si="326"/>
        <v>-8733.7710576402224</v>
      </c>
      <c r="K515" s="15">
        <f t="shared" si="327"/>
        <v>22.170849845882874</v>
      </c>
      <c r="L515" s="75">
        <f>K515*(1-PARAM!$C$27)*$I$5+(MOD($B515,60)=PARAM!$B$56)*($B515&gt;(60-PARAM!$B$56))*HLOOKUP(($B515+PARAM!$B$56)/12,Loyalty,2)*$F$1*MAX(N514,0)</f>
        <v>18.557001321003963</v>
      </c>
      <c r="M515" s="75">
        <f>PARAM!$C$26+MAX($G$5-CHOOSE(PARAM!$B$44,MAX(0,N514*$F$1),0),0)*RATES!$L491/12+$H$5*(PARAM!$D$51/12)*RATES!$N491/100</f>
        <v>132.04166666666669</v>
      </c>
      <c r="N515" s="16">
        <f t="shared" si="328"/>
        <v>-8675.3830462323058</v>
      </c>
      <c r="O515" s="15">
        <f t="shared" si="329"/>
        <v>22.170849845882874</v>
      </c>
      <c r="P515" s="75">
        <f>O515*(1-PARAM!$C$27)*$I$6+(MOD($B515,60)=PARAM!$B$56)*($B515&gt;(60-PARAM!$B$56))*HLOOKUP(($B515+PARAM!$B$56)/12,Loyalty,2)*$F$1*MAX(R514,0)</f>
        <v>18.557001321003963</v>
      </c>
      <c r="Q515" s="75">
        <f>PARAM!$C$26+MAX($G$6-CHOOSE(PARAM!$B$44,MAX(0,R514*$F$1),0),0)*RATES!$L491/12+$H$6*(PARAM!$D$51/12)*RATES!$N491/100</f>
        <v>132.04166666666669</v>
      </c>
      <c r="R515" s="16">
        <f t="shared" si="330"/>
        <v>-8675.3830462323058</v>
      </c>
      <c r="S515" s="15">
        <f t="shared" si="305"/>
        <v>22.170849845882874</v>
      </c>
      <c r="T515" s="75">
        <f>S515*(1-PARAM!$C$27)*$I$7+(MOD($B515,60)=PARAM!$B$56)*($B515&gt;(60-PARAM!$B$56))*HLOOKUP(($B515+PARAM!$B$56)/12,Loyalty,2)*$F$1*MAX(V514,0)</f>
        <v>18.557001321003963</v>
      </c>
      <c r="U515" s="75">
        <f>PARAM!$C$26+MAX($G$7-CHOOSE(PARAM!$B$44,MAX(0,V514*$F$1),0),0)*RATES!$L491/12+$H$7*(PARAM!$D$51/12)*RATES!$N491/100</f>
        <v>132.04166666666669</v>
      </c>
      <c r="V515" s="16">
        <f t="shared" si="331"/>
        <v>-8675.3830462323058</v>
      </c>
      <c r="W515" s="15">
        <f t="shared" si="306"/>
        <v>22.170849845882874</v>
      </c>
      <c r="X515" s="75">
        <f>W515*(1-PARAM!$C$27)*$I$8+(MOD($B515,60)=PARAM!$B$56)*($B515&gt;(60-PARAM!$B$56))*HLOOKUP(($B515+PARAM!$B$56)/12,Loyalty,2)*$F$1*MAX(Z514,0)</f>
        <v>18.557001321003963</v>
      </c>
      <c r="Y515" s="75">
        <f>PARAM!$C$26+MAX($G$8-CHOOSE(PARAM!$B$44,MAX(0,Z514*$F$1),0),0)*RATES!$L491/12+$H$8*(PARAM!$D$51/12)*RATES!$N491/100</f>
        <v>132.04166666666669</v>
      </c>
      <c r="Z515" s="16">
        <f t="shared" si="332"/>
        <v>-8675.3830462323058</v>
      </c>
      <c r="AA515" s="15">
        <f t="shared" si="307"/>
        <v>22.170849845882874</v>
      </c>
      <c r="AB515" s="75">
        <f>AA515*(1-PARAM!$C$27)*$I$9+(MOD($B515,60)=PARAM!$B$56)*($B515&gt;(60-PARAM!$B$56))*HLOOKUP(($B515+PARAM!$B$56)/12,Loyalty,2)*$F$1*MAX(AD514,0)</f>
        <v>18.557001321003963</v>
      </c>
      <c r="AC515" s="75">
        <f>PARAM!$C$26+MAX($G$9-CHOOSE(PARAM!$B$44,MAX(0,AD514*$F$1),0),0)*RATES!$L491/12+$H$9*(PARAM!$D$51/12)*RATES!$N491/100</f>
        <v>132.04166666666669</v>
      </c>
      <c r="AD515" s="16">
        <f t="shared" si="333"/>
        <v>-8675.3830462323058</v>
      </c>
      <c r="AE515" s="15">
        <f t="shared" si="308"/>
        <v>22.170849845882874</v>
      </c>
      <c r="AF515" s="75">
        <f>AE515*(1-PARAM!$C$27)*$I$10+(MOD($B515,60)=PARAM!$B$56)*($B515&gt;(60-PARAM!$B$56))*HLOOKUP(($B515+PARAM!$B$56)/12,Loyalty,2)*$F$1*MAX(AH514,0)</f>
        <v>18.557001321003963</v>
      </c>
      <c r="AG515" s="75">
        <f>PARAM!$C$26+MAX($G$10-CHOOSE(PARAM!$B$44,MAX(0,AH514*$F$1),0),0)*RATES!$L491/12+$H$10*(PARAM!$D$51/12)*RATES!$N491/100</f>
        <v>132.04166666666669</v>
      </c>
      <c r="AH515" s="16">
        <f t="shared" si="334"/>
        <v>-8675.3830462323058</v>
      </c>
      <c r="AI515" s="15">
        <f t="shared" si="309"/>
        <v>22.170849845882874</v>
      </c>
      <c r="AJ515" s="75">
        <f>AI515*(1-PARAM!$C$27)*$I$11+(MOD($B515,60)=PARAM!$B$56)*($B515&gt;(60-PARAM!$B$56))*HLOOKUP(($B515+PARAM!$B$56)/12,Loyalty,2)*$F$1*MAX(AL514,0)</f>
        <v>18.557001321003963</v>
      </c>
      <c r="AK515" s="75">
        <f>PARAM!$C$26+MAX($G$11-CHOOSE(PARAM!$B$44,MAX(0,AL514*$F$1),0),0)*RATES!$L491/12+$H$11*(PARAM!$D$51/12)*RATES!$N491/100</f>
        <v>132.04166666666669</v>
      </c>
      <c r="AL515" s="16">
        <f t="shared" si="335"/>
        <v>-8675.3830462323058</v>
      </c>
      <c r="AM515" s="15">
        <f t="shared" si="310"/>
        <v>22.170849845882874</v>
      </c>
      <c r="AN515" s="75">
        <f>AM515*(1-PARAM!$C$27)*$I$12+(MOD($B515,60)=PARAM!$B$56)*($B515&gt;(60-PARAM!$B$56))*HLOOKUP(($B515+PARAM!$B$56)/12,Loyalty,2)*$F$1*MAX(AP514,0)</f>
        <v>18.557001321003963</v>
      </c>
      <c r="AO515" s="75">
        <f>PARAM!$C$26+MAX($G$12-CHOOSE(PARAM!$B$44,MAX(0,AP514*$F$1),0),0)*RATES!$L491/12+$H$12*(PARAM!$D$51/12)*RATES!$N491/100</f>
        <v>132.04166666666669</v>
      </c>
      <c r="AP515" s="16">
        <f t="shared" si="336"/>
        <v>-8675.3830462323058</v>
      </c>
      <c r="AQ515" s="15">
        <f t="shared" si="311"/>
        <v>22.170849845882874</v>
      </c>
      <c r="AR515" s="75">
        <f>AQ515*(1-PARAM!$C$27)*$I$13+(MOD($B515,60)=PARAM!$B$56)*($B515&gt;(60-PARAM!$B$56))*HLOOKUP(($B515+PARAM!$B$56)/12,Loyalty,2)*$F$1*MAX(AT514,0)</f>
        <v>18.557001321003963</v>
      </c>
      <c r="AS515" s="75">
        <f>PARAM!$C$26+MAX($G$13-CHOOSE(PARAM!$B$44,MAX(0,AT514*$F$1),0),0)*RATES!$L491/12+$H$13*(PARAM!$D$51/12)*RATES!$N491/100</f>
        <v>132.04166666666669</v>
      </c>
      <c r="AT515" s="16">
        <f t="shared" si="337"/>
        <v>-8675.3830462323058</v>
      </c>
      <c r="AU515" s="15">
        <f t="shared" si="312"/>
        <v>22.170849845882874</v>
      </c>
      <c r="AV515" s="75">
        <f>AU515*(1-PARAM!$C$27)*$I$14+(MOD($B515,60)=PARAM!$B$56)*($B515&gt;(60-PARAM!$B$56))*HLOOKUP(($B515+PARAM!$B$56)/12,Loyalty,2)*$F$1*MAX(AX514,0)</f>
        <v>18.557001321003963</v>
      </c>
      <c r="AW515" s="75">
        <f>PARAM!$C$26+MAX($G$14-CHOOSE(PARAM!$B$44,MAX(0,AX514*$F$1),0),0)*RATES!$L491/12+$H$14*(PARAM!$D$51/12)*RATES!$N491/100</f>
        <v>132.04166666666669</v>
      </c>
      <c r="AX515" s="16">
        <f t="shared" si="338"/>
        <v>-8675.3830462323058</v>
      </c>
      <c r="AY515" s="15">
        <f t="shared" si="313"/>
        <v>22.170849845882874</v>
      </c>
      <c r="AZ515" s="75">
        <f>AY515*(1-PARAM!$C$27)*$I$15+(MOD($B515,60)=PARAM!$B$56)*($B515&gt;(60-PARAM!$B$56))*HLOOKUP(($B515+PARAM!$B$56)/12,Loyalty,2)*$F$1*MAX(BB514,0)</f>
        <v>18.557001321003963</v>
      </c>
      <c r="BA515" s="75">
        <f>PARAM!$C$26+MAX($G$15-CHOOSE(PARAM!$B$44,MAX(0,BB514*$F$1),0),0)*RATES!$L491/12+$H$15*(PARAM!$D$51/12)*RATES!$N491/100</f>
        <v>132.04166666666669</v>
      </c>
      <c r="BB515" s="16">
        <f t="shared" si="339"/>
        <v>-8675.3830462323058</v>
      </c>
      <c r="BC515" s="15">
        <f t="shared" si="314"/>
        <v>22.170849845882874</v>
      </c>
      <c r="BD515" s="75">
        <f>BC515*(1-PARAM!$C$27)*$I$16+(MOD($B515,60)=PARAM!$B$56)*($B515&gt;(60-PARAM!$B$56))*HLOOKUP(($B515+PARAM!$B$56)/12,Loyalty,2)*$F$1*MAX(BF514,0)</f>
        <v>18.557001321003963</v>
      </c>
      <c r="BE515" s="75">
        <f>PARAM!$C$26+MAX($G$16-CHOOSE(PARAM!$B$44,MAX(0,BF514*$F$1),0),0)*RATES!$L491/12+$H$16*(PARAM!$D$51/12)*RATES!$N491/100</f>
        <v>132.04166666666669</v>
      </c>
      <c r="BF515" s="16">
        <f t="shared" si="340"/>
        <v>-8675.3830462323058</v>
      </c>
      <c r="BG515" s="15">
        <f t="shared" si="315"/>
        <v>22.170849845882874</v>
      </c>
      <c r="BH515" s="75">
        <f>BG515*(1-PARAM!$C$27)*$I$17+(MOD($B515,60)=PARAM!$B$56)*($B515&gt;(60-PARAM!$B$56))*HLOOKUP(($B515+PARAM!$B$56)/12,Loyalty,2)*$F$1*MAX(BJ514,0)</f>
        <v>18.557001321003963</v>
      </c>
      <c r="BI515" s="75">
        <f>PARAM!$C$26+MAX($G$17-CHOOSE(PARAM!$B$44,MAX(0,BJ514*$F$1),0),0)*RATES!$L491/12+$H$17*(PARAM!$D$51/12)*RATES!$N491/100</f>
        <v>132.04166666666669</v>
      </c>
      <c r="BJ515" s="16">
        <f t="shared" si="341"/>
        <v>-8675.3830462323058</v>
      </c>
      <c r="BK515" s="15">
        <f t="shared" si="316"/>
        <v>22.170849845882874</v>
      </c>
      <c r="BL515" s="75">
        <f>BK515*(1-PARAM!$C$27)*$I$18+(MOD($B515,60)=PARAM!$B$56)*($B515&gt;(60-PARAM!$B$56))*HLOOKUP(($B515+PARAM!$B$56)/12,Loyalty,2)*$F$1*MAX(BN514,0)</f>
        <v>18.557001321003963</v>
      </c>
      <c r="BM515" s="75">
        <f>PARAM!$C$26+MAX($G$18-CHOOSE(PARAM!$B$44,MAX(0,BN514*$F$1),0),0)*RATES!$L491/12+$H$18*(PARAM!$D$51/12)*RATES!$N491/100</f>
        <v>132.04166666666669</v>
      </c>
      <c r="BN515" s="16">
        <f t="shared" si="342"/>
        <v>-8675.3830462323058</v>
      </c>
      <c r="BO515" s="15">
        <f t="shared" si="317"/>
        <v>22.170849845882874</v>
      </c>
      <c r="BP515" s="75">
        <f>BO515*(1-PARAM!$C$27)*$I$19+(MOD($B515,60)=PARAM!$B$56)*($B515&gt;(60-PARAM!$B$56))*HLOOKUP(($B515+PARAM!$B$56)/12,Loyalty,2)*$F$1*MAX(BR514,0)</f>
        <v>18.557001321003963</v>
      </c>
      <c r="BQ515" s="75">
        <f>PARAM!$C$26+MAX($G$19-CHOOSE(PARAM!$B$44,MAX(0,BR514*$F$1),0),0)*RATES!$L491/12+$H$19*(PARAM!$D$51/12)*RATES!$N491/100</f>
        <v>132.04166666666669</v>
      </c>
      <c r="BR515" s="16">
        <f t="shared" si="343"/>
        <v>-8675.3830462323058</v>
      </c>
      <c r="BS515" s="15">
        <f t="shared" si="318"/>
        <v>22.170849845882874</v>
      </c>
      <c r="BT515" s="75">
        <f>BS515*(1-PARAM!$C$27)*$I$20+(MOD($B515,60)=PARAM!$B$56)*($B515&gt;(60-PARAM!$B$56))*HLOOKUP(($B515+PARAM!$B$56)/12,Loyalty,2)*$F$1*MAX(BV514,0)</f>
        <v>18.557001321003963</v>
      </c>
      <c r="BU515" s="75">
        <f>PARAM!$C$26+MAX($G$20-CHOOSE(PARAM!$B$44,MAX(0,BV514*$F$1),0),0)*RATES!$L491/12+$H$20*(PARAM!$D$51/12)*RATES!$N491/100</f>
        <v>132.04166666666669</v>
      </c>
      <c r="BV515" s="16">
        <f t="shared" si="344"/>
        <v>-8675.3830462323058</v>
      </c>
      <c r="BW515" s="15">
        <f t="shared" si="319"/>
        <v>22.170849845882874</v>
      </c>
      <c r="BX515" s="75">
        <f>BW515*(1-PARAM!$C$27)*$I$21+(MOD($B515,60)=PARAM!$B$56)*($B515&gt;(60-PARAM!$B$56))*HLOOKUP(($B515+PARAM!$B$56)/12,Loyalty,2)*$F$1*MAX(BZ514,0)</f>
        <v>18.557001321003963</v>
      </c>
      <c r="BY515" s="75">
        <f>PARAM!$C$26+MAX($G$21-CHOOSE(PARAM!$B$44,MAX(0,BZ514*$F$1),0),0)*RATES!$L491/12+$H$21*(PARAM!$D$51/12)*RATES!$N491/100</f>
        <v>132.04166666666669</v>
      </c>
      <c r="BZ515" s="16">
        <f t="shared" si="345"/>
        <v>-8675.3830462323058</v>
      </c>
      <c r="CA515" s="15">
        <f t="shared" si="320"/>
        <v>22.170849845882874</v>
      </c>
      <c r="CB515" s="75">
        <f>CA515*(1-PARAM!$C$27)*$I$22+(MOD($B515,60)=PARAM!$B$56)*($B515&gt;(60-PARAM!$B$56))*HLOOKUP(($B515+PARAM!$B$56)/12,Loyalty,2)*$F$1*MAX(CD514,0)</f>
        <v>18.557001321003963</v>
      </c>
      <c r="CC515" s="75">
        <f>PARAM!$C$26+MAX($G$22-CHOOSE(PARAM!$B$44,MAX(0,CD514*$F$1),0),0)*RATES!$L491/12+$H$22*(PARAM!$D$51/12)*RATES!$N491/100</f>
        <v>132.04166666666669</v>
      </c>
      <c r="CD515" s="16">
        <f t="shared" si="346"/>
        <v>-8675.3830462323058</v>
      </c>
      <c r="CE515" s="33">
        <f>IF(0=MOD(B515,12/PARAM!$D$51),1,0)</f>
        <v>1</v>
      </c>
      <c r="CF515" s="15">
        <f t="shared" si="321"/>
        <v>0</v>
      </c>
      <c r="CG515" s="75">
        <f>CF515*(1-PARAM!$C$27)*$R$3+(MOD($B515/12,5)=0)*($B515&gt;60)*HLOOKUP($B515/12,Loyalty,2)*$F$1*MAX(CI514,0)</f>
        <v>0</v>
      </c>
      <c r="CH515" s="75">
        <f>PARAM!$C$26+MAX($P$3-CHOOSE(PARAM!$B$44,MAX(0,CI514*$F$1),0),0)*RATES!$L491/12+$Q$3*(PARAM!$D$51/12)*RATES!$N491/100</f>
        <v>132.04166666666669</v>
      </c>
      <c r="CI515" s="16">
        <f>IF(CI514&gt;0,CI514*PARAM!$C$53,CI514)+CG515-CH515</f>
        <v>-17611.624999999985</v>
      </c>
      <c r="CJ515" s="15">
        <f t="shared" si="347"/>
        <v>0</v>
      </c>
      <c r="CK515" s="75">
        <f>CJ515*(1-PARAM!$C$27)*$R$4+(MOD($B515/12,5)=0)*($B515&gt;60)*HLOOKUP($B515/12,Loyalty,2)*$F$1*MAX(CM514,0)</f>
        <v>0</v>
      </c>
      <c r="CL515" s="75">
        <f>PARAM!$C$26+MAX($P$4-CHOOSE(PARAM!$B$44,MAX(0,CM514*$F$1),0),0)*RATES!$L491/12+$Q$4*(PARAM!$D$51/12)*RATES!$N491/100</f>
        <v>132.04166666666669</v>
      </c>
      <c r="CM515" s="16">
        <f>IF(CM514&gt;0,CM514*PARAM!$C$53,CM514)+CK515-CL515</f>
        <v>-17611.624999999985</v>
      </c>
      <c r="CO515" s="176"/>
    </row>
    <row r="516" spans="1:93" x14ac:dyDescent="0.2">
      <c r="A516" t="b">
        <f t="shared" si="322"/>
        <v>0</v>
      </c>
      <c r="B516" s="33">
        <v>489</v>
      </c>
      <c r="C516" s="15">
        <f t="shared" si="323"/>
        <v>20.081305947392778</v>
      </c>
      <c r="D516" s="75">
        <f>C516*(1-PARAM!$C$27)*$I$3+(MOD($B516,60)=PARAM!$B$56)*($B516&gt;(60-PARAM!$B$56))*HLOOKUP(($B516+PARAM!$B$56)/12,Loyalty,2)*$F$1*MAX(F515,0)</f>
        <v>16.808053077967756</v>
      </c>
      <c r="E516" s="75">
        <f>PARAM!$C$26+MAX($G$3-CHOOSE(PARAM!$B$44,MAX(0,F515*$F$1),0),0)*RATES!$L492/12+$H$3*(PARAM!$D$51/12)*RATES!$N492/100</f>
        <v>132.04166666666669</v>
      </c>
      <c r="F516" s="16">
        <f t="shared" si="324"/>
        <v>-9680.9539029441639</v>
      </c>
      <c r="G516" s="15">
        <f t="shared" si="325"/>
        <v>22.035289406060361</v>
      </c>
      <c r="H516" s="75">
        <f>G516*(1-PARAM!$C$27)*$I$4+(MOD($B516,60)=PARAM!$B$56)*($B516&gt;(60-PARAM!$B$56))*HLOOKUP(($B516+PARAM!$B$56)/12,Loyalty,2)*$F$1*MAX(J515,0)</f>
        <v>18.443537232872522</v>
      </c>
      <c r="I516" s="75">
        <f>PARAM!$C$26+MAX($G$4-CHOOSE(PARAM!$B$44,MAX(0,J515*$F$1),0),0)*RATES!$L492/12+$H$4*(PARAM!$D$51/12)*RATES!$N492/100</f>
        <v>132.04166666666669</v>
      </c>
      <c r="J516" s="16">
        <f t="shared" si="326"/>
        <v>-8847.3691870740167</v>
      </c>
      <c r="K516" s="15">
        <f t="shared" si="327"/>
        <v>22.170849845882874</v>
      </c>
      <c r="L516" s="75">
        <f>K516*(1-PARAM!$C$27)*$I$5+(MOD($B516,60)=PARAM!$B$56)*($B516&gt;(60-PARAM!$B$56))*HLOOKUP(($B516+PARAM!$B$56)/12,Loyalty,2)*$F$1*MAX(N515,0)</f>
        <v>18.557001321003963</v>
      </c>
      <c r="M516" s="75">
        <f>PARAM!$C$26+MAX($G$5-CHOOSE(PARAM!$B$44,MAX(0,N515*$F$1),0),0)*RATES!$L492/12+$H$5*(PARAM!$D$51/12)*RATES!$N492/100</f>
        <v>132.04166666666669</v>
      </c>
      <c r="N516" s="16">
        <f t="shared" si="328"/>
        <v>-8788.8677115779683</v>
      </c>
      <c r="O516" s="15">
        <f t="shared" si="329"/>
        <v>22.170849845882874</v>
      </c>
      <c r="P516" s="75">
        <f>O516*(1-PARAM!$C$27)*$I$6+(MOD($B516,60)=PARAM!$B$56)*($B516&gt;(60-PARAM!$B$56))*HLOOKUP(($B516+PARAM!$B$56)/12,Loyalty,2)*$F$1*MAX(R515,0)</f>
        <v>18.557001321003963</v>
      </c>
      <c r="Q516" s="75">
        <f>PARAM!$C$26+MAX($G$6-CHOOSE(PARAM!$B$44,MAX(0,R515*$F$1),0),0)*RATES!$L492/12+$H$6*(PARAM!$D$51/12)*RATES!$N492/100</f>
        <v>132.04166666666669</v>
      </c>
      <c r="R516" s="16">
        <f t="shared" si="330"/>
        <v>-8788.8677115779683</v>
      </c>
      <c r="S516" s="15">
        <f t="shared" si="305"/>
        <v>22.170849845882874</v>
      </c>
      <c r="T516" s="75">
        <f>S516*(1-PARAM!$C$27)*$I$7+(MOD($B516,60)=PARAM!$B$56)*($B516&gt;(60-PARAM!$B$56))*HLOOKUP(($B516+PARAM!$B$56)/12,Loyalty,2)*$F$1*MAX(V515,0)</f>
        <v>18.557001321003963</v>
      </c>
      <c r="U516" s="75">
        <f>PARAM!$C$26+MAX($G$7-CHOOSE(PARAM!$B$44,MAX(0,V515*$F$1),0),0)*RATES!$L492/12+$H$7*(PARAM!$D$51/12)*RATES!$N492/100</f>
        <v>132.04166666666669</v>
      </c>
      <c r="V516" s="16">
        <f t="shared" si="331"/>
        <v>-8788.8677115779683</v>
      </c>
      <c r="W516" s="15">
        <f t="shared" si="306"/>
        <v>22.170849845882874</v>
      </c>
      <c r="X516" s="75">
        <f>W516*(1-PARAM!$C$27)*$I$8+(MOD($B516,60)=PARAM!$B$56)*($B516&gt;(60-PARAM!$B$56))*HLOOKUP(($B516+PARAM!$B$56)/12,Loyalty,2)*$F$1*MAX(Z515,0)</f>
        <v>18.557001321003963</v>
      </c>
      <c r="Y516" s="75">
        <f>PARAM!$C$26+MAX($G$8-CHOOSE(PARAM!$B$44,MAX(0,Z515*$F$1),0),0)*RATES!$L492/12+$H$8*(PARAM!$D$51/12)*RATES!$N492/100</f>
        <v>132.04166666666669</v>
      </c>
      <c r="Z516" s="16">
        <f t="shared" si="332"/>
        <v>-8788.8677115779683</v>
      </c>
      <c r="AA516" s="15">
        <f t="shared" si="307"/>
        <v>22.170849845882874</v>
      </c>
      <c r="AB516" s="75">
        <f>AA516*(1-PARAM!$C$27)*$I$9+(MOD($B516,60)=PARAM!$B$56)*($B516&gt;(60-PARAM!$B$56))*HLOOKUP(($B516+PARAM!$B$56)/12,Loyalty,2)*$F$1*MAX(AD515,0)</f>
        <v>18.557001321003963</v>
      </c>
      <c r="AC516" s="75">
        <f>PARAM!$C$26+MAX($G$9-CHOOSE(PARAM!$B$44,MAX(0,AD515*$F$1),0),0)*RATES!$L492/12+$H$9*(PARAM!$D$51/12)*RATES!$N492/100</f>
        <v>132.04166666666669</v>
      </c>
      <c r="AD516" s="16">
        <f t="shared" si="333"/>
        <v>-8788.8677115779683</v>
      </c>
      <c r="AE516" s="15">
        <f t="shared" si="308"/>
        <v>22.170849845882874</v>
      </c>
      <c r="AF516" s="75">
        <f>AE516*(1-PARAM!$C$27)*$I$10+(MOD($B516,60)=PARAM!$B$56)*($B516&gt;(60-PARAM!$B$56))*HLOOKUP(($B516+PARAM!$B$56)/12,Loyalty,2)*$F$1*MAX(AH515,0)</f>
        <v>18.557001321003963</v>
      </c>
      <c r="AG516" s="75">
        <f>PARAM!$C$26+MAX($G$10-CHOOSE(PARAM!$B$44,MAX(0,AH515*$F$1),0),0)*RATES!$L492/12+$H$10*(PARAM!$D$51/12)*RATES!$N492/100</f>
        <v>132.04166666666669</v>
      </c>
      <c r="AH516" s="16">
        <f t="shared" si="334"/>
        <v>-8788.8677115779683</v>
      </c>
      <c r="AI516" s="15">
        <f t="shared" si="309"/>
        <v>22.170849845882874</v>
      </c>
      <c r="AJ516" s="75">
        <f>AI516*(1-PARAM!$C$27)*$I$11+(MOD($B516,60)=PARAM!$B$56)*($B516&gt;(60-PARAM!$B$56))*HLOOKUP(($B516+PARAM!$B$56)/12,Loyalty,2)*$F$1*MAX(AL515,0)</f>
        <v>18.557001321003963</v>
      </c>
      <c r="AK516" s="75">
        <f>PARAM!$C$26+MAX($G$11-CHOOSE(PARAM!$B$44,MAX(0,AL515*$F$1),0),0)*RATES!$L492/12+$H$11*(PARAM!$D$51/12)*RATES!$N492/100</f>
        <v>132.04166666666669</v>
      </c>
      <c r="AL516" s="16">
        <f t="shared" si="335"/>
        <v>-8788.8677115779683</v>
      </c>
      <c r="AM516" s="15">
        <f t="shared" si="310"/>
        <v>22.170849845882874</v>
      </c>
      <c r="AN516" s="75">
        <f>AM516*(1-PARAM!$C$27)*$I$12+(MOD($B516,60)=PARAM!$B$56)*($B516&gt;(60-PARAM!$B$56))*HLOOKUP(($B516+PARAM!$B$56)/12,Loyalty,2)*$F$1*MAX(AP515,0)</f>
        <v>18.557001321003963</v>
      </c>
      <c r="AO516" s="75">
        <f>PARAM!$C$26+MAX($G$12-CHOOSE(PARAM!$B$44,MAX(0,AP515*$F$1),0),0)*RATES!$L492/12+$H$12*(PARAM!$D$51/12)*RATES!$N492/100</f>
        <v>132.04166666666669</v>
      </c>
      <c r="AP516" s="16">
        <f t="shared" si="336"/>
        <v>-8788.8677115779683</v>
      </c>
      <c r="AQ516" s="15">
        <f t="shared" si="311"/>
        <v>22.170849845882874</v>
      </c>
      <c r="AR516" s="75">
        <f>AQ516*(1-PARAM!$C$27)*$I$13+(MOD($B516,60)=PARAM!$B$56)*($B516&gt;(60-PARAM!$B$56))*HLOOKUP(($B516+PARAM!$B$56)/12,Loyalty,2)*$F$1*MAX(AT515,0)</f>
        <v>18.557001321003963</v>
      </c>
      <c r="AS516" s="75">
        <f>PARAM!$C$26+MAX($G$13-CHOOSE(PARAM!$B$44,MAX(0,AT515*$F$1),0),0)*RATES!$L492/12+$H$13*(PARAM!$D$51/12)*RATES!$N492/100</f>
        <v>132.04166666666669</v>
      </c>
      <c r="AT516" s="16">
        <f t="shared" si="337"/>
        <v>-8788.8677115779683</v>
      </c>
      <c r="AU516" s="15">
        <f t="shared" si="312"/>
        <v>22.170849845882874</v>
      </c>
      <c r="AV516" s="75">
        <f>AU516*(1-PARAM!$C$27)*$I$14+(MOD($B516,60)=PARAM!$B$56)*($B516&gt;(60-PARAM!$B$56))*HLOOKUP(($B516+PARAM!$B$56)/12,Loyalty,2)*$F$1*MAX(AX515,0)</f>
        <v>18.557001321003963</v>
      </c>
      <c r="AW516" s="75">
        <f>PARAM!$C$26+MAX($G$14-CHOOSE(PARAM!$B$44,MAX(0,AX515*$F$1),0),0)*RATES!$L492/12+$H$14*(PARAM!$D$51/12)*RATES!$N492/100</f>
        <v>132.04166666666669</v>
      </c>
      <c r="AX516" s="16">
        <f t="shared" si="338"/>
        <v>-8788.8677115779683</v>
      </c>
      <c r="AY516" s="15">
        <f t="shared" si="313"/>
        <v>22.170849845882874</v>
      </c>
      <c r="AZ516" s="75">
        <f>AY516*(1-PARAM!$C$27)*$I$15+(MOD($B516,60)=PARAM!$B$56)*($B516&gt;(60-PARAM!$B$56))*HLOOKUP(($B516+PARAM!$B$56)/12,Loyalty,2)*$F$1*MAX(BB515,0)</f>
        <v>18.557001321003963</v>
      </c>
      <c r="BA516" s="75">
        <f>PARAM!$C$26+MAX($G$15-CHOOSE(PARAM!$B$44,MAX(0,BB515*$F$1),0),0)*RATES!$L492/12+$H$15*(PARAM!$D$51/12)*RATES!$N492/100</f>
        <v>132.04166666666669</v>
      </c>
      <c r="BB516" s="16">
        <f t="shared" si="339"/>
        <v>-8788.8677115779683</v>
      </c>
      <c r="BC516" s="15">
        <f t="shared" si="314"/>
        <v>22.170849845882874</v>
      </c>
      <c r="BD516" s="75">
        <f>BC516*(1-PARAM!$C$27)*$I$16+(MOD($B516,60)=PARAM!$B$56)*($B516&gt;(60-PARAM!$B$56))*HLOOKUP(($B516+PARAM!$B$56)/12,Loyalty,2)*$F$1*MAX(BF515,0)</f>
        <v>18.557001321003963</v>
      </c>
      <c r="BE516" s="75">
        <f>PARAM!$C$26+MAX($G$16-CHOOSE(PARAM!$B$44,MAX(0,BF515*$F$1),0),0)*RATES!$L492/12+$H$16*(PARAM!$D$51/12)*RATES!$N492/100</f>
        <v>132.04166666666669</v>
      </c>
      <c r="BF516" s="16">
        <f t="shared" si="340"/>
        <v>-8788.8677115779683</v>
      </c>
      <c r="BG516" s="15">
        <f t="shared" si="315"/>
        <v>22.170849845882874</v>
      </c>
      <c r="BH516" s="75">
        <f>BG516*(1-PARAM!$C$27)*$I$17+(MOD($B516,60)=PARAM!$B$56)*($B516&gt;(60-PARAM!$B$56))*HLOOKUP(($B516+PARAM!$B$56)/12,Loyalty,2)*$F$1*MAX(BJ515,0)</f>
        <v>18.557001321003963</v>
      </c>
      <c r="BI516" s="75">
        <f>PARAM!$C$26+MAX($G$17-CHOOSE(PARAM!$B$44,MAX(0,BJ515*$F$1),0),0)*RATES!$L492/12+$H$17*(PARAM!$D$51/12)*RATES!$N492/100</f>
        <v>132.04166666666669</v>
      </c>
      <c r="BJ516" s="16">
        <f t="shared" si="341"/>
        <v>-8788.8677115779683</v>
      </c>
      <c r="BK516" s="15">
        <f t="shared" si="316"/>
        <v>22.170849845882874</v>
      </c>
      <c r="BL516" s="75">
        <f>BK516*(1-PARAM!$C$27)*$I$18+(MOD($B516,60)=PARAM!$B$56)*($B516&gt;(60-PARAM!$B$56))*HLOOKUP(($B516+PARAM!$B$56)/12,Loyalty,2)*$F$1*MAX(BN515,0)</f>
        <v>18.557001321003963</v>
      </c>
      <c r="BM516" s="75">
        <f>PARAM!$C$26+MAX($G$18-CHOOSE(PARAM!$B$44,MAX(0,BN515*$F$1),0),0)*RATES!$L492/12+$H$18*(PARAM!$D$51/12)*RATES!$N492/100</f>
        <v>132.04166666666669</v>
      </c>
      <c r="BN516" s="16">
        <f t="shared" si="342"/>
        <v>-8788.8677115779683</v>
      </c>
      <c r="BO516" s="15">
        <f t="shared" si="317"/>
        <v>22.170849845882874</v>
      </c>
      <c r="BP516" s="75">
        <f>BO516*(1-PARAM!$C$27)*$I$19+(MOD($B516,60)=PARAM!$B$56)*($B516&gt;(60-PARAM!$B$56))*HLOOKUP(($B516+PARAM!$B$56)/12,Loyalty,2)*$F$1*MAX(BR515,0)</f>
        <v>18.557001321003963</v>
      </c>
      <c r="BQ516" s="75">
        <f>PARAM!$C$26+MAX($G$19-CHOOSE(PARAM!$B$44,MAX(0,BR515*$F$1),0),0)*RATES!$L492/12+$H$19*(PARAM!$D$51/12)*RATES!$N492/100</f>
        <v>132.04166666666669</v>
      </c>
      <c r="BR516" s="16">
        <f t="shared" si="343"/>
        <v>-8788.8677115779683</v>
      </c>
      <c r="BS516" s="15">
        <f t="shared" si="318"/>
        <v>22.170849845882874</v>
      </c>
      <c r="BT516" s="75">
        <f>BS516*(1-PARAM!$C$27)*$I$20+(MOD($B516,60)=PARAM!$B$56)*($B516&gt;(60-PARAM!$B$56))*HLOOKUP(($B516+PARAM!$B$56)/12,Loyalty,2)*$F$1*MAX(BV515,0)</f>
        <v>18.557001321003963</v>
      </c>
      <c r="BU516" s="75">
        <f>PARAM!$C$26+MAX($G$20-CHOOSE(PARAM!$B$44,MAX(0,BV515*$F$1),0),0)*RATES!$L492/12+$H$20*(PARAM!$D$51/12)*RATES!$N492/100</f>
        <v>132.04166666666669</v>
      </c>
      <c r="BV516" s="16">
        <f t="shared" si="344"/>
        <v>-8788.8677115779683</v>
      </c>
      <c r="BW516" s="15">
        <f t="shared" si="319"/>
        <v>22.170849845882874</v>
      </c>
      <c r="BX516" s="75">
        <f>BW516*(1-PARAM!$C$27)*$I$21+(MOD($B516,60)=PARAM!$B$56)*($B516&gt;(60-PARAM!$B$56))*HLOOKUP(($B516+PARAM!$B$56)/12,Loyalty,2)*$F$1*MAX(BZ515,0)</f>
        <v>18.557001321003963</v>
      </c>
      <c r="BY516" s="75">
        <f>PARAM!$C$26+MAX($G$21-CHOOSE(PARAM!$B$44,MAX(0,BZ515*$F$1),0),0)*RATES!$L492/12+$H$21*(PARAM!$D$51/12)*RATES!$N492/100</f>
        <v>132.04166666666669</v>
      </c>
      <c r="BZ516" s="16">
        <f t="shared" si="345"/>
        <v>-8788.8677115779683</v>
      </c>
      <c r="CA516" s="15">
        <f t="shared" si="320"/>
        <v>22.170849845882874</v>
      </c>
      <c r="CB516" s="75">
        <f>CA516*(1-PARAM!$C$27)*$I$22+(MOD($B516,60)=PARAM!$B$56)*($B516&gt;(60-PARAM!$B$56))*HLOOKUP(($B516+PARAM!$B$56)/12,Loyalty,2)*$F$1*MAX(CD515,0)</f>
        <v>18.557001321003963</v>
      </c>
      <c r="CC516" s="75">
        <f>PARAM!$C$26+MAX($G$22-CHOOSE(PARAM!$B$44,MAX(0,CD515*$F$1),0),0)*RATES!$L492/12+$H$22*(PARAM!$D$51/12)*RATES!$N492/100</f>
        <v>132.04166666666669</v>
      </c>
      <c r="CD516" s="16">
        <f t="shared" si="346"/>
        <v>-8788.8677115779683</v>
      </c>
      <c r="CE516" s="33">
        <f>IF(0=MOD(B516,12/PARAM!$D$51),1,0)</f>
        <v>1</v>
      </c>
      <c r="CF516" s="15">
        <f t="shared" si="321"/>
        <v>0</v>
      </c>
      <c r="CG516" s="75">
        <f>CF516*(1-PARAM!$C$27)*$R$3+(MOD($B516/12,5)=0)*($B516&gt;60)*HLOOKUP($B516/12,Loyalty,2)*$F$1*MAX(CI515,0)</f>
        <v>0</v>
      </c>
      <c r="CH516" s="75">
        <f>PARAM!$C$26+MAX($P$3-CHOOSE(PARAM!$B$44,MAX(0,CI515*$F$1),0),0)*RATES!$L492/12+$Q$3*(PARAM!$D$51/12)*RATES!$N492/100</f>
        <v>132.04166666666669</v>
      </c>
      <c r="CI516" s="16">
        <f>IF(CI515&gt;0,CI515*PARAM!$C$53,CI515)+CG516-CH516</f>
        <v>-17743.666666666653</v>
      </c>
      <c r="CJ516" s="15">
        <f t="shared" si="347"/>
        <v>0</v>
      </c>
      <c r="CK516" s="75">
        <f>CJ516*(1-PARAM!$C$27)*$R$4+(MOD($B516/12,5)=0)*($B516&gt;60)*HLOOKUP($B516/12,Loyalty,2)*$F$1*MAX(CM515,0)</f>
        <v>0</v>
      </c>
      <c r="CL516" s="75">
        <f>PARAM!$C$26+MAX($P$4-CHOOSE(PARAM!$B$44,MAX(0,CM515*$F$1),0),0)*RATES!$L492/12+$Q$4*(PARAM!$D$51/12)*RATES!$N492/100</f>
        <v>132.04166666666669</v>
      </c>
      <c r="CM516" s="16">
        <f>IF(CM515&gt;0,CM515*PARAM!$C$53,CM515)+CK516-CL516</f>
        <v>-17743.666666666653</v>
      </c>
      <c r="CO516" s="176"/>
    </row>
    <row r="517" spans="1:93" x14ac:dyDescent="0.2">
      <c r="A517" t="b">
        <f t="shared" si="322"/>
        <v>0</v>
      </c>
      <c r="B517" s="33">
        <v>490</v>
      </c>
      <c r="C517" s="15">
        <f t="shared" si="323"/>
        <v>20.081305947392778</v>
      </c>
      <c r="D517" s="75">
        <f>C517*(1-PARAM!$C$27)*$I$3+(MOD($B517,60)=PARAM!$B$56)*($B517&gt;(60-PARAM!$B$56))*HLOOKUP(($B517+PARAM!$B$56)/12,Loyalty,2)*$F$1*MAX(F516,0)</f>
        <v>16.808053077967756</v>
      </c>
      <c r="E517" s="75">
        <f>PARAM!$C$26+MAX($G$3-CHOOSE(PARAM!$B$44,MAX(0,F516*$F$1),0),0)*RATES!$L493/12+$H$3*(PARAM!$D$51/12)*RATES!$N493/100</f>
        <v>132.04166666666669</v>
      </c>
      <c r="F517" s="16">
        <f t="shared" si="324"/>
        <v>-9796.187516532862</v>
      </c>
      <c r="G517" s="15">
        <f t="shared" si="325"/>
        <v>22.035289406060361</v>
      </c>
      <c r="H517" s="75">
        <f>G517*(1-PARAM!$C$27)*$I$4+(MOD($B517,60)=PARAM!$B$56)*($B517&gt;(60-PARAM!$B$56))*HLOOKUP(($B517+PARAM!$B$56)/12,Loyalty,2)*$F$1*MAX(J516,0)</f>
        <v>18.443537232872522</v>
      </c>
      <c r="I517" s="75">
        <f>PARAM!$C$26+MAX($G$4-CHOOSE(PARAM!$B$44,MAX(0,J516*$F$1),0),0)*RATES!$L493/12+$H$4*(PARAM!$D$51/12)*RATES!$N493/100</f>
        <v>132.04166666666669</v>
      </c>
      <c r="J517" s="16">
        <f t="shared" si="326"/>
        <v>-8960.9673165078111</v>
      </c>
      <c r="K517" s="15">
        <f t="shared" si="327"/>
        <v>22.170849845882874</v>
      </c>
      <c r="L517" s="75">
        <f>K517*(1-PARAM!$C$27)*$I$5+(MOD($B517,60)=PARAM!$B$56)*($B517&gt;(60-PARAM!$B$56))*HLOOKUP(($B517+PARAM!$B$56)/12,Loyalty,2)*$F$1*MAX(N516,0)</f>
        <v>18.557001321003963</v>
      </c>
      <c r="M517" s="75">
        <f>PARAM!$C$26+MAX($G$5-CHOOSE(PARAM!$B$44,MAX(0,N516*$F$1),0),0)*RATES!$L493/12+$H$5*(PARAM!$D$51/12)*RATES!$N493/100</f>
        <v>132.04166666666669</v>
      </c>
      <c r="N517" s="16">
        <f t="shared" si="328"/>
        <v>-8902.3523769236308</v>
      </c>
      <c r="O517" s="15">
        <f t="shared" si="329"/>
        <v>22.170849845882874</v>
      </c>
      <c r="P517" s="75">
        <f>O517*(1-PARAM!$C$27)*$I$6+(MOD($B517,60)=PARAM!$B$56)*($B517&gt;(60-PARAM!$B$56))*HLOOKUP(($B517+PARAM!$B$56)/12,Loyalty,2)*$F$1*MAX(R516,0)</f>
        <v>18.557001321003963</v>
      </c>
      <c r="Q517" s="75">
        <f>PARAM!$C$26+MAX($G$6-CHOOSE(PARAM!$B$44,MAX(0,R516*$F$1),0),0)*RATES!$L493/12+$H$6*(PARAM!$D$51/12)*RATES!$N493/100</f>
        <v>132.04166666666669</v>
      </c>
      <c r="R517" s="16">
        <f t="shared" si="330"/>
        <v>-8902.3523769236308</v>
      </c>
      <c r="S517" s="15">
        <f t="shared" si="305"/>
        <v>22.170849845882874</v>
      </c>
      <c r="T517" s="75">
        <f>S517*(1-PARAM!$C$27)*$I$7+(MOD($B517,60)=PARAM!$B$56)*($B517&gt;(60-PARAM!$B$56))*HLOOKUP(($B517+PARAM!$B$56)/12,Loyalty,2)*$F$1*MAX(V516,0)</f>
        <v>18.557001321003963</v>
      </c>
      <c r="U517" s="75">
        <f>PARAM!$C$26+MAX($G$7-CHOOSE(PARAM!$B$44,MAX(0,V516*$F$1),0),0)*RATES!$L493/12+$H$7*(PARAM!$D$51/12)*RATES!$N493/100</f>
        <v>132.04166666666669</v>
      </c>
      <c r="V517" s="16">
        <f t="shared" si="331"/>
        <v>-8902.3523769236308</v>
      </c>
      <c r="W517" s="15">
        <f t="shared" si="306"/>
        <v>22.170849845882874</v>
      </c>
      <c r="X517" s="75">
        <f>W517*(1-PARAM!$C$27)*$I$8+(MOD($B517,60)=PARAM!$B$56)*($B517&gt;(60-PARAM!$B$56))*HLOOKUP(($B517+PARAM!$B$56)/12,Loyalty,2)*$F$1*MAX(Z516,0)</f>
        <v>18.557001321003963</v>
      </c>
      <c r="Y517" s="75">
        <f>PARAM!$C$26+MAX($G$8-CHOOSE(PARAM!$B$44,MAX(0,Z516*$F$1),0),0)*RATES!$L493/12+$H$8*(PARAM!$D$51/12)*RATES!$N493/100</f>
        <v>132.04166666666669</v>
      </c>
      <c r="Z517" s="16">
        <f t="shared" si="332"/>
        <v>-8902.3523769236308</v>
      </c>
      <c r="AA517" s="15">
        <f t="shared" si="307"/>
        <v>22.170849845882874</v>
      </c>
      <c r="AB517" s="75">
        <f>AA517*(1-PARAM!$C$27)*$I$9+(MOD($B517,60)=PARAM!$B$56)*($B517&gt;(60-PARAM!$B$56))*HLOOKUP(($B517+PARAM!$B$56)/12,Loyalty,2)*$F$1*MAX(AD516,0)</f>
        <v>18.557001321003963</v>
      </c>
      <c r="AC517" s="75">
        <f>PARAM!$C$26+MAX($G$9-CHOOSE(PARAM!$B$44,MAX(0,AD516*$F$1),0),0)*RATES!$L493/12+$H$9*(PARAM!$D$51/12)*RATES!$N493/100</f>
        <v>132.04166666666669</v>
      </c>
      <c r="AD517" s="16">
        <f t="shared" si="333"/>
        <v>-8902.3523769236308</v>
      </c>
      <c r="AE517" s="15">
        <f t="shared" si="308"/>
        <v>22.170849845882874</v>
      </c>
      <c r="AF517" s="75">
        <f>AE517*(1-PARAM!$C$27)*$I$10+(MOD($B517,60)=PARAM!$B$56)*($B517&gt;(60-PARAM!$B$56))*HLOOKUP(($B517+PARAM!$B$56)/12,Loyalty,2)*$F$1*MAX(AH516,0)</f>
        <v>18.557001321003963</v>
      </c>
      <c r="AG517" s="75">
        <f>PARAM!$C$26+MAX($G$10-CHOOSE(PARAM!$B$44,MAX(0,AH516*$F$1),0),0)*RATES!$L493/12+$H$10*(PARAM!$D$51/12)*RATES!$N493/100</f>
        <v>132.04166666666669</v>
      </c>
      <c r="AH517" s="16">
        <f t="shared" si="334"/>
        <v>-8902.3523769236308</v>
      </c>
      <c r="AI517" s="15">
        <f t="shared" si="309"/>
        <v>22.170849845882874</v>
      </c>
      <c r="AJ517" s="75">
        <f>AI517*(1-PARAM!$C$27)*$I$11+(MOD($B517,60)=PARAM!$B$56)*($B517&gt;(60-PARAM!$B$56))*HLOOKUP(($B517+PARAM!$B$56)/12,Loyalty,2)*$F$1*MAX(AL516,0)</f>
        <v>18.557001321003963</v>
      </c>
      <c r="AK517" s="75">
        <f>PARAM!$C$26+MAX($G$11-CHOOSE(PARAM!$B$44,MAX(0,AL516*$F$1),0),0)*RATES!$L493/12+$H$11*(PARAM!$D$51/12)*RATES!$N493/100</f>
        <v>132.04166666666669</v>
      </c>
      <c r="AL517" s="16">
        <f t="shared" si="335"/>
        <v>-8902.3523769236308</v>
      </c>
      <c r="AM517" s="15">
        <f t="shared" si="310"/>
        <v>22.170849845882874</v>
      </c>
      <c r="AN517" s="75">
        <f>AM517*(1-PARAM!$C$27)*$I$12+(MOD($B517,60)=PARAM!$B$56)*($B517&gt;(60-PARAM!$B$56))*HLOOKUP(($B517+PARAM!$B$56)/12,Loyalty,2)*$F$1*MAX(AP516,0)</f>
        <v>18.557001321003963</v>
      </c>
      <c r="AO517" s="75">
        <f>PARAM!$C$26+MAX($G$12-CHOOSE(PARAM!$B$44,MAX(0,AP516*$F$1),0),0)*RATES!$L493/12+$H$12*(PARAM!$D$51/12)*RATES!$N493/100</f>
        <v>132.04166666666669</v>
      </c>
      <c r="AP517" s="16">
        <f t="shared" si="336"/>
        <v>-8902.3523769236308</v>
      </c>
      <c r="AQ517" s="15">
        <f t="shared" si="311"/>
        <v>22.170849845882874</v>
      </c>
      <c r="AR517" s="75">
        <f>AQ517*(1-PARAM!$C$27)*$I$13+(MOD($B517,60)=PARAM!$B$56)*($B517&gt;(60-PARAM!$B$56))*HLOOKUP(($B517+PARAM!$B$56)/12,Loyalty,2)*$F$1*MAX(AT516,0)</f>
        <v>18.557001321003963</v>
      </c>
      <c r="AS517" s="75">
        <f>PARAM!$C$26+MAX($G$13-CHOOSE(PARAM!$B$44,MAX(0,AT516*$F$1),0),0)*RATES!$L493/12+$H$13*(PARAM!$D$51/12)*RATES!$N493/100</f>
        <v>132.04166666666669</v>
      </c>
      <c r="AT517" s="16">
        <f t="shared" si="337"/>
        <v>-8902.3523769236308</v>
      </c>
      <c r="AU517" s="15">
        <f t="shared" si="312"/>
        <v>22.170849845882874</v>
      </c>
      <c r="AV517" s="75">
        <f>AU517*(1-PARAM!$C$27)*$I$14+(MOD($B517,60)=PARAM!$B$56)*($B517&gt;(60-PARAM!$B$56))*HLOOKUP(($B517+PARAM!$B$56)/12,Loyalty,2)*$F$1*MAX(AX516,0)</f>
        <v>18.557001321003963</v>
      </c>
      <c r="AW517" s="75">
        <f>PARAM!$C$26+MAX($G$14-CHOOSE(PARAM!$B$44,MAX(0,AX516*$F$1),0),0)*RATES!$L493/12+$H$14*(PARAM!$D$51/12)*RATES!$N493/100</f>
        <v>132.04166666666669</v>
      </c>
      <c r="AX517" s="16">
        <f t="shared" si="338"/>
        <v>-8902.3523769236308</v>
      </c>
      <c r="AY517" s="15">
        <f t="shared" si="313"/>
        <v>22.170849845882874</v>
      </c>
      <c r="AZ517" s="75">
        <f>AY517*(1-PARAM!$C$27)*$I$15+(MOD($B517,60)=PARAM!$B$56)*($B517&gt;(60-PARAM!$B$56))*HLOOKUP(($B517+PARAM!$B$56)/12,Loyalty,2)*$F$1*MAX(BB516,0)</f>
        <v>18.557001321003963</v>
      </c>
      <c r="BA517" s="75">
        <f>PARAM!$C$26+MAX($G$15-CHOOSE(PARAM!$B$44,MAX(0,BB516*$F$1),0),0)*RATES!$L493/12+$H$15*(PARAM!$D$51/12)*RATES!$N493/100</f>
        <v>132.04166666666669</v>
      </c>
      <c r="BB517" s="16">
        <f t="shared" si="339"/>
        <v>-8902.3523769236308</v>
      </c>
      <c r="BC517" s="15">
        <f t="shared" si="314"/>
        <v>22.170849845882874</v>
      </c>
      <c r="BD517" s="75">
        <f>BC517*(1-PARAM!$C$27)*$I$16+(MOD($B517,60)=PARAM!$B$56)*($B517&gt;(60-PARAM!$B$56))*HLOOKUP(($B517+PARAM!$B$56)/12,Loyalty,2)*$F$1*MAX(BF516,0)</f>
        <v>18.557001321003963</v>
      </c>
      <c r="BE517" s="75">
        <f>PARAM!$C$26+MAX($G$16-CHOOSE(PARAM!$B$44,MAX(0,BF516*$F$1),0),0)*RATES!$L493/12+$H$16*(PARAM!$D$51/12)*RATES!$N493/100</f>
        <v>132.04166666666669</v>
      </c>
      <c r="BF517" s="16">
        <f t="shared" si="340"/>
        <v>-8902.3523769236308</v>
      </c>
      <c r="BG517" s="15">
        <f t="shared" si="315"/>
        <v>22.170849845882874</v>
      </c>
      <c r="BH517" s="75">
        <f>BG517*(1-PARAM!$C$27)*$I$17+(MOD($B517,60)=PARAM!$B$56)*($B517&gt;(60-PARAM!$B$56))*HLOOKUP(($B517+PARAM!$B$56)/12,Loyalty,2)*$F$1*MAX(BJ516,0)</f>
        <v>18.557001321003963</v>
      </c>
      <c r="BI517" s="75">
        <f>PARAM!$C$26+MAX($G$17-CHOOSE(PARAM!$B$44,MAX(0,BJ516*$F$1),0),0)*RATES!$L493/12+$H$17*(PARAM!$D$51/12)*RATES!$N493/100</f>
        <v>132.04166666666669</v>
      </c>
      <c r="BJ517" s="16">
        <f t="shared" si="341"/>
        <v>-8902.3523769236308</v>
      </c>
      <c r="BK517" s="15">
        <f t="shared" si="316"/>
        <v>22.170849845882874</v>
      </c>
      <c r="BL517" s="75">
        <f>BK517*(1-PARAM!$C$27)*$I$18+(MOD($B517,60)=PARAM!$B$56)*($B517&gt;(60-PARAM!$B$56))*HLOOKUP(($B517+PARAM!$B$56)/12,Loyalty,2)*$F$1*MAX(BN516,0)</f>
        <v>18.557001321003963</v>
      </c>
      <c r="BM517" s="75">
        <f>PARAM!$C$26+MAX($G$18-CHOOSE(PARAM!$B$44,MAX(0,BN516*$F$1),0),0)*RATES!$L493/12+$H$18*(PARAM!$D$51/12)*RATES!$N493/100</f>
        <v>132.04166666666669</v>
      </c>
      <c r="BN517" s="16">
        <f t="shared" si="342"/>
        <v>-8902.3523769236308</v>
      </c>
      <c r="BO517" s="15">
        <f t="shared" si="317"/>
        <v>22.170849845882874</v>
      </c>
      <c r="BP517" s="75">
        <f>BO517*(1-PARAM!$C$27)*$I$19+(MOD($B517,60)=PARAM!$B$56)*($B517&gt;(60-PARAM!$B$56))*HLOOKUP(($B517+PARAM!$B$56)/12,Loyalty,2)*$F$1*MAX(BR516,0)</f>
        <v>18.557001321003963</v>
      </c>
      <c r="BQ517" s="75">
        <f>PARAM!$C$26+MAX($G$19-CHOOSE(PARAM!$B$44,MAX(0,BR516*$F$1),0),0)*RATES!$L493/12+$H$19*(PARAM!$D$51/12)*RATES!$N493/100</f>
        <v>132.04166666666669</v>
      </c>
      <c r="BR517" s="16">
        <f t="shared" si="343"/>
        <v>-8902.3523769236308</v>
      </c>
      <c r="BS517" s="15">
        <f t="shared" si="318"/>
        <v>22.170849845882874</v>
      </c>
      <c r="BT517" s="75">
        <f>BS517*(1-PARAM!$C$27)*$I$20+(MOD($B517,60)=PARAM!$B$56)*($B517&gt;(60-PARAM!$B$56))*HLOOKUP(($B517+PARAM!$B$56)/12,Loyalty,2)*$F$1*MAX(BV516,0)</f>
        <v>18.557001321003963</v>
      </c>
      <c r="BU517" s="75">
        <f>PARAM!$C$26+MAX($G$20-CHOOSE(PARAM!$B$44,MAX(0,BV516*$F$1),0),0)*RATES!$L493/12+$H$20*(PARAM!$D$51/12)*RATES!$N493/100</f>
        <v>132.04166666666669</v>
      </c>
      <c r="BV517" s="16">
        <f t="shared" si="344"/>
        <v>-8902.3523769236308</v>
      </c>
      <c r="BW517" s="15">
        <f t="shared" si="319"/>
        <v>22.170849845882874</v>
      </c>
      <c r="BX517" s="75">
        <f>BW517*(1-PARAM!$C$27)*$I$21+(MOD($B517,60)=PARAM!$B$56)*($B517&gt;(60-PARAM!$B$56))*HLOOKUP(($B517+PARAM!$B$56)/12,Loyalty,2)*$F$1*MAX(BZ516,0)</f>
        <v>18.557001321003963</v>
      </c>
      <c r="BY517" s="75">
        <f>PARAM!$C$26+MAX($G$21-CHOOSE(PARAM!$B$44,MAX(0,BZ516*$F$1),0),0)*RATES!$L493/12+$H$21*(PARAM!$D$51/12)*RATES!$N493/100</f>
        <v>132.04166666666669</v>
      </c>
      <c r="BZ517" s="16">
        <f t="shared" si="345"/>
        <v>-8902.3523769236308</v>
      </c>
      <c r="CA517" s="15">
        <f t="shared" si="320"/>
        <v>22.170849845882874</v>
      </c>
      <c r="CB517" s="75">
        <f>CA517*(1-PARAM!$C$27)*$I$22+(MOD($B517,60)=PARAM!$B$56)*($B517&gt;(60-PARAM!$B$56))*HLOOKUP(($B517+PARAM!$B$56)/12,Loyalty,2)*$F$1*MAX(CD516,0)</f>
        <v>18.557001321003963</v>
      </c>
      <c r="CC517" s="75">
        <f>PARAM!$C$26+MAX($G$22-CHOOSE(PARAM!$B$44,MAX(0,CD516*$F$1),0),0)*RATES!$L493/12+$H$22*(PARAM!$D$51/12)*RATES!$N493/100</f>
        <v>132.04166666666669</v>
      </c>
      <c r="CD517" s="16">
        <f t="shared" si="346"/>
        <v>-8902.3523769236308</v>
      </c>
      <c r="CE517" s="33">
        <f>IF(0=MOD(B517,12/PARAM!$D$51),1,0)</f>
        <v>1</v>
      </c>
      <c r="CF517" s="15">
        <f t="shared" si="321"/>
        <v>0</v>
      </c>
      <c r="CG517" s="75">
        <f>CF517*(1-PARAM!$C$27)*$R$3+(MOD($B517/12,5)=0)*($B517&gt;60)*HLOOKUP($B517/12,Loyalty,2)*$F$1*MAX(CI516,0)</f>
        <v>0</v>
      </c>
      <c r="CH517" s="75">
        <f>PARAM!$C$26+MAX($P$3-CHOOSE(PARAM!$B$44,MAX(0,CI516*$F$1),0),0)*RATES!$L493/12+$Q$3*(PARAM!$D$51/12)*RATES!$N493/100</f>
        <v>132.04166666666669</v>
      </c>
      <c r="CI517" s="16">
        <f>IF(CI516&gt;0,CI516*PARAM!$C$53,CI516)+CG517-CH517</f>
        <v>-17875.708333333321</v>
      </c>
      <c r="CJ517" s="15">
        <f t="shared" si="347"/>
        <v>0</v>
      </c>
      <c r="CK517" s="75">
        <f>CJ517*(1-PARAM!$C$27)*$R$4+(MOD($B517/12,5)=0)*($B517&gt;60)*HLOOKUP($B517/12,Loyalty,2)*$F$1*MAX(CM516,0)</f>
        <v>0</v>
      </c>
      <c r="CL517" s="75">
        <f>PARAM!$C$26+MAX($P$4-CHOOSE(PARAM!$B$44,MAX(0,CM516*$F$1),0),0)*RATES!$L493/12+$Q$4*(PARAM!$D$51/12)*RATES!$N493/100</f>
        <v>132.04166666666669</v>
      </c>
      <c r="CM517" s="16">
        <f>IF(CM516&gt;0,CM516*PARAM!$C$53,CM516)+CK517-CL517</f>
        <v>-17875.708333333321</v>
      </c>
      <c r="CO517" s="176"/>
    </row>
    <row r="518" spans="1:93" x14ac:dyDescent="0.2">
      <c r="A518" t="b">
        <f t="shared" si="322"/>
        <v>0</v>
      </c>
      <c r="B518" s="33">
        <v>491</v>
      </c>
      <c r="C518" s="15">
        <f t="shared" si="323"/>
        <v>20.081305947392778</v>
      </c>
      <c r="D518" s="75">
        <f>C518*(1-PARAM!$C$27)*$I$3+(MOD($B518,60)=PARAM!$B$56)*($B518&gt;(60-PARAM!$B$56))*HLOOKUP(($B518+PARAM!$B$56)/12,Loyalty,2)*$F$1*MAX(F517,0)</f>
        <v>16.808053077967756</v>
      </c>
      <c r="E518" s="75">
        <f>PARAM!$C$26+MAX($G$3-CHOOSE(PARAM!$B$44,MAX(0,F517*$F$1),0),0)*RATES!$L494/12+$H$3*(PARAM!$D$51/12)*RATES!$N494/100</f>
        <v>132.04166666666669</v>
      </c>
      <c r="F518" s="16">
        <f t="shared" si="324"/>
        <v>-9911.4211301215601</v>
      </c>
      <c r="G518" s="15">
        <f t="shared" si="325"/>
        <v>22.035289406060361</v>
      </c>
      <c r="H518" s="75">
        <f>G518*(1-PARAM!$C$27)*$I$4+(MOD($B518,60)=PARAM!$B$56)*($B518&gt;(60-PARAM!$B$56))*HLOOKUP(($B518+PARAM!$B$56)/12,Loyalty,2)*$F$1*MAX(J517,0)</f>
        <v>18.443537232872522</v>
      </c>
      <c r="I518" s="75">
        <f>PARAM!$C$26+MAX($G$4-CHOOSE(PARAM!$B$44,MAX(0,J517*$F$1),0),0)*RATES!$L494/12+$H$4*(PARAM!$D$51/12)*RATES!$N494/100</f>
        <v>132.04166666666669</v>
      </c>
      <c r="J518" s="16">
        <f t="shared" si="326"/>
        <v>-9074.5654459416055</v>
      </c>
      <c r="K518" s="15">
        <f t="shared" si="327"/>
        <v>22.170849845882874</v>
      </c>
      <c r="L518" s="75">
        <f>K518*(1-PARAM!$C$27)*$I$5+(MOD($B518,60)=PARAM!$B$56)*($B518&gt;(60-PARAM!$B$56))*HLOOKUP(($B518+PARAM!$B$56)/12,Loyalty,2)*$F$1*MAX(N517,0)</f>
        <v>18.557001321003963</v>
      </c>
      <c r="M518" s="75">
        <f>PARAM!$C$26+MAX($G$5-CHOOSE(PARAM!$B$44,MAX(0,N517*$F$1),0),0)*RATES!$L494/12+$H$5*(PARAM!$D$51/12)*RATES!$N494/100</f>
        <v>132.04166666666669</v>
      </c>
      <c r="N518" s="16">
        <f t="shared" si="328"/>
        <v>-9015.8370422692933</v>
      </c>
      <c r="O518" s="15">
        <f t="shared" si="329"/>
        <v>22.170849845882874</v>
      </c>
      <c r="P518" s="75">
        <f>O518*(1-PARAM!$C$27)*$I$6+(MOD($B518,60)=PARAM!$B$56)*($B518&gt;(60-PARAM!$B$56))*HLOOKUP(($B518+PARAM!$B$56)/12,Loyalty,2)*$F$1*MAX(R517,0)</f>
        <v>18.557001321003963</v>
      </c>
      <c r="Q518" s="75">
        <f>PARAM!$C$26+MAX($G$6-CHOOSE(PARAM!$B$44,MAX(0,R517*$F$1),0),0)*RATES!$L494/12+$H$6*(PARAM!$D$51/12)*RATES!$N494/100</f>
        <v>132.04166666666669</v>
      </c>
      <c r="R518" s="16">
        <f t="shared" si="330"/>
        <v>-9015.8370422692933</v>
      </c>
      <c r="S518" s="15">
        <f t="shared" si="305"/>
        <v>22.170849845882874</v>
      </c>
      <c r="T518" s="75">
        <f>S518*(1-PARAM!$C$27)*$I$7+(MOD($B518,60)=PARAM!$B$56)*($B518&gt;(60-PARAM!$B$56))*HLOOKUP(($B518+PARAM!$B$56)/12,Loyalty,2)*$F$1*MAX(V517,0)</f>
        <v>18.557001321003963</v>
      </c>
      <c r="U518" s="75">
        <f>PARAM!$C$26+MAX($G$7-CHOOSE(PARAM!$B$44,MAX(0,V517*$F$1),0),0)*RATES!$L494/12+$H$7*(PARAM!$D$51/12)*RATES!$N494/100</f>
        <v>132.04166666666669</v>
      </c>
      <c r="V518" s="16">
        <f t="shared" si="331"/>
        <v>-9015.8370422692933</v>
      </c>
      <c r="W518" s="15">
        <f t="shared" si="306"/>
        <v>22.170849845882874</v>
      </c>
      <c r="X518" s="75">
        <f>W518*(1-PARAM!$C$27)*$I$8+(MOD($B518,60)=PARAM!$B$56)*($B518&gt;(60-PARAM!$B$56))*HLOOKUP(($B518+PARAM!$B$56)/12,Loyalty,2)*$F$1*MAX(Z517,0)</f>
        <v>18.557001321003963</v>
      </c>
      <c r="Y518" s="75">
        <f>PARAM!$C$26+MAX($G$8-CHOOSE(PARAM!$B$44,MAX(0,Z517*$F$1),0),0)*RATES!$L494/12+$H$8*(PARAM!$D$51/12)*RATES!$N494/100</f>
        <v>132.04166666666669</v>
      </c>
      <c r="Z518" s="16">
        <f t="shared" si="332"/>
        <v>-9015.8370422692933</v>
      </c>
      <c r="AA518" s="15">
        <f t="shared" si="307"/>
        <v>22.170849845882874</v>
      </c>
      <c r="AB518" s="75">
        <f>AA518*(1-PARAM!$C$27)*$I$9+(MOD($B518,60)=PARAM!$B$56)*($B518&gt;(60-PARAM!$B$56))*HLOOKUP(($B518+PARAM!$B$56)/12,Loyalty,2)*$F$1*MAX(AD517,0)</f>
        <v>18.557001321003963</v>
      </c>
      <c r="AC518" s="75">
        <f>PARAM!$C$26+MAX($G$9-CHOOSE(PARAM!$B$44,MAX(0,AD517*$F$1),0),0)*RATES!$L494/12+$H$9*(PARAM!$D$51/12)*RATES!$N494/100</f>
        <v>132.04166666666669</v>
      </c>
      <c r="AD518" s="16">
        <f t="shared" si="333"/>
        <v>-9015.8370422692933</v>
      </c>
      <c r="AE518" s="15">
        <f t="shared" si="308"/>
        <v>22.170849845882874</v>
      </c>
      <c r="AF518" s="75">
        <f>AE518*(1-PARAM!$C$27)*$I$10+(MOD($B518,60)=PARAM!$B$56)*($B518&gt;(60-PARAM!$B$56))*HLOOKUP(($B518+PARAM!$B$56)/12,Loyalty,2)*$F$1*MAX(AH517,0)</f>
        <v>18.557001321003963</v>
      </c>
      <c r="AG518" s="75">
        <f>PARAM!$C$26+MAX($G$10-CHOOSE(PARAM!$B$44,MAX(0,AH517*$F$1),0),0)*RATES!$L494/12+$H$10*(PARAM!$D$51/12)*RATES!$N494/100</f>
        <v>132.04166666666669</v>
      </c>
      <c r="AH518" s="16">
        <f t="shared" si="334"/>
        <v>-9015.8370422692933</v>
      </c>
      <c r="AI518" s="15">
        <f t="shared" si="309"/>
        <v>22.170849845882874</v>
      </c>
      <c r="AJ518" s="75">
        <f>AI518*(1-PARAM!$C$27)*$I$11+(MOD($B518,60)=PARAM!$B$56)*($B518&gt;(60-PARAM!$B$56))*HLOOKUP(($B518+PARAM!$B$56)/12,Loyalty,2)*$F$1*MAX(AL517,0)</f>
        <v>18.557001321003963</v>
      </c>
      <c r="AK518" s="75">
        <f>PARAM!$C$26+MAX($G$11-CHOOSE(PARAM!$B$44,MAX(0,AL517*$F$1),0),0)*RATES!$L494/12+$H$11*(PARAM!$D$51/12)*RATES!$N494/100</f>
        <v>132.04166666666669</v>
      </c>
      <c r="AL518" s="16">
        <f t="shared" si="335"/>
        <v>-9015.8370422692933</v>
      </c>
      <c r="AM518" s="15">
        <f t="shared" si="310"/>
        <v>22.170849845882874</v>
      </c>
      <c r="AN518" s="75">
        <f>AM518*(1-PARAM!$C$27)*$I$12+(MOD($B518,60)=PARAM!$B$56)*($B518&gt;(60-PARAM!$B$56))*HLOOKUP(($B518+PARAM!$B$56)/12,Loyalty,2)*$F$1*MAX(AP517,0)</f>
        <v>18.557001321003963</v>
      </c>
      <c r="AO518" s="75">
        <f>PARAM!$C$26+MAX($G$12-CHOOSE(PARAM!$B$44,MAX(0,AP517*$F$1),0),0)*RATES!$L494/12+$H$12*(PARAM!$D$51/12)*RATES!$N494/100</f>
        <v>132.04166666666669</v>
      </c>
      <c r="AP518" s="16">
        <f t="shared" si="336"/>
        <v>-9015.8370422692933</v>
      </c>
      <c r="AQ518" s="15">
        <f t="shared" si="311"/>
        <v>22.170849845882874</v>
      </c>
      <c r="AR518" s="75">
        <f>AQ518*(1-PARAM!$C$27)*$I$13+(MOD($B518,60)=PARAM!$B$56)*($B518&gt;(60-PARAM!$B$56))*HLOOKUP(($B518+PARAM!$B$56)/12,Loyalty,2)*$F$1*MAX(AT517,0)</f>
        <v>18.557001321003963</v>
      </c>
      <c r="AS518" s="75">
        <f>PARAM!$C$26+MAX($G$13-CHOOSE(PARAM!$B$44,MAX(0,AT517*$F$1),0),0)*RATES!$L494/12+$H$13*(PARAM!$D$51/12)*RATES!$N494/100</f>
        <v>132.04166666666669</v>
      </c>
      <c r="AT518" s="16">
        <f t="shared" si="337"/>
        <v>-9015.8370422692933</v>
      </c>
      <c r="AU518" s="15">
        <f t="shared" si="312"/>
        <v>22.170849845882874</v>
      </c>
      <c r="AV518" s="75">
        <f>AU518*(1-PARAM!$C$27)*$I$14+(MOD($B518,60)=PARAM!$B$56)*($B518&gt;(60-PARAM!$B$56))*HLOOKUP(($B518+PARAM!$B$56)/12,Loyalty,2)*$F$1*MAX(AX517,0)</f>
        <v>18.557001321003963</v>
      </c>
      <c r="AW518" s="75">
        <f>PARAM!$C$26+MAX($G$14-CHOOSE(PARAM!$B$44,MAX(0,AX517*$F$1),0),0)*RATES!$L494/12+$H$14*(PARAM!$D$51/12)*RATES!$N494/100</f>
        <v>132.04166666666669</v>
      </c>
      <c r="AX518" s="16">
        <f t="shared" si="338"/>
        <v>-9015.8370422692933</v>
      </c>
      <c r="AY518" s="15">
        <f t="shared" si="313"/>
        <v>22.170849845882874</v>
      </c>
      <c r="AZ518" s="75">
        <f>AY518*(1-PARAM!$C$27)*$I$15+(MOD($B518,60)=PARAM!$B$56)*($B518&gt;(60-PARAM!$B$56))*HLOOKUP(($B518+PARAM!$B$56)/12,Loyalty,2)*$F$1*MAX(BB517,0)</f>
        <v>18.557001321003963</v>
      </c>
      <c r="BA518" s="75">
        <f>PARAM!$C$26+MAX($G$15-CHOOSE(PARAM!$B$44,MAX(0,BB517*$F$1),0),0)*RATES!$L494/12+$H$15*(PARAM!$D$51/12)*RATES!$N494/100</f>
        <v>132.04166666666669</v>
      </c>
      <c r="BB518" s="16">
        <f t="shared" si="339"/>
        <v>-9015.8370422692933</v>
      </c>
      <c r="BC518" s="15">
        <f t="shared" si="314"/>
        <v>22.170849845882874</v>
      </c>
      <c r="BD518" s="75">
        <f>BC518*(1-PARAM!$C$27)*$I$16+(MOD($B518,60)=PARAM!$B$56)*($B518&gt;(60-PARAM!$B$56))*HLOOKUP(($B518+PARAM!$B$56)/12,Loyalty,2)*$F$1*MAX(BF517,0)</f>
        <v>18.557001321003963</v>
      </c>
      <c r="BE518" s="75">
        <f>PARAM!$C$26+MAX($G$16-CHOOSE(PARAM!$B$44,MAX(0,BF517*$F$1),0),0)*RATES!$L494/12+$H$16*(PARAM!$D$51/12)*RATES!$N494/100</f>
        <v>132.04166666666669</v>
      </c>
      <c r="BF518" s="16">
        <f t="shared" si="340"/>
        <v>-9015.8370422692933</v>
      </c>
      <c r="BG518" s="15">
        <f t="shared" si="315"/>
        <v>22.170849845882874</v>
      </c>
      <c r="BH518" s="75">
        <f>BG518*(1-PARAM!$C$27)*$I$17+(MOD($B518,60)=PARAM!$B$56)*($B518&gt;(60-PARAM!$B$56))*HLOOKUP(($B518+PARAM!$B$56)/12,Loyalty,2)*$F$1*MAX(BJ517,0)</f>
        <v>18.557001321003963</v>
      </c>
      <c r="BI518" s="75">
        <f>PARAM!$C$26+MAX($G$17-CHOOSE(PARAM!$B$44,MAX(0,BJ517*$F$1),0),0)*RATES!$L494/12+$H$17*(PARAM!$D$51/12)*RATES!$N494/100</f>
        <v>132.04166666666669</v>
      </c>
      <c r="BJ518" s="16">
        <f t="shared" si="341"/>
        <v>-9015.8370422692933</v>
      </c>
      <c r="BK518" s="15">
        <f t="shared" si="316"/>
        <v>22.170849845882874</v>
      </c>
      <c r="BL518" s="75">
        <f>BK518*(1-PARAM!$C$27)*$I$18+(MOD($B518,60)=PARAM!$B$56)*($B518&gt;(60-PARAM!$B$56))*HLOOKUP(($B518+PARAM!$B$56)/12,Loyalty,2)*$F$1*MAX(BN517,0)</f>
        <v>18.557001321003963</v>
      </c>
      <c r="BM518" s="75">
        <f>PARAM!$C$26+MAX($G$18-CHOOSE(PARAM!$B$44,MAX(0,BN517*$F$1),0),0)*RATES!$L494/12+$H$18*(PARAM!$D$51/12)*RATES!$N494/100</f>
        <v>132.04166666666669</v>
      </c>
      <c r="BN518" s="16">
        <f t="shared" si="342"/>
        <v>-9015.8370422692933</v>
      </c>
      <c r="BO518" s="15">
        <f t="shared" si="317"/>
        <v>22.170849845882874</v>
      </c>
      <c r="BP518" s="75">
        <f>BO518*(1-PARAM!$C$27)*$I$19+(MOD($B518,60)=PARAM!$B$56)*($B518&gt;(60-PARAM!$B$56))*HLOOKUP(($B518+PARAM!$B$56)/12,Loyalty,2)*$F$1*MAX(BR517,0)</f>
        <v>18.557001321003963</v>
      </c>
      <c r="BQ518" s="75">
        <f>PARAM!$C$26+MAX($G$19-CHOOSE(PARAM!$B$44,MAX(0,BR517*$F$1),0),0)*RATES!$L494/12+$H$19*(PARAM!$D$51/12)*RATES!$N494/100</f>
        <v>132.04166666666669</v>
      </c>
      <c r="BR518" s="16">
        <f t="shared" si="343"/>
        <v>-9015.8370422692933</v>
      </c>
      <c r="BS518" s="15">
        <f t="shared" si="318"/>
        <v>22.170849845882874</v>
      </c>
      <c r="BT518" s="75">
        <f>BS518*(1-PARAM!$C$27)*$I$20+(MOD($B518,60)=PARAM!$B$56)*($B518&gt;(60-PARAM!$B$56))*HLOOKUP(($B518+PARAM!$B$56)/12,Loyalty,2)*$F$1*MAX(BV517,0)</f>
        <v>18.557001321003963</v>
      </c>
      <c r="BU518" s="75">
        <f>PARAM!$C$26+MAX($G$20-CHOOSE(PARAM!$B$44,MAX(0,BV517*$F$1),0),0)*RATES!$L494/12+$H$20*(PARAM!$D$51/12)*RATES!$N494/100</f>
        <v>132.04166666666669</v>
      </c>
      <c r="BV518" s="16">
        <f t="shared" si="344"/>
        <v>-9015.8370422692933</v>
      </c>
      <c r="BW518" s="15">
        <f t="shared" si="319"/>
        <v>22.170849845882874</v>
      </c>
      <c r="BX518" s="75">
        <f>BW518*(1-PARAM!$C$27)*$I$21+(MOD($B518,60)=PARAM!$B$56)*($B518&gt;(60-PARAM!$B$56))*HLOOKUP(($B518+PARAM!$B$56)/12,Loyalty,2)*$F$1*MAX(BZ517,0)</f>
        <v>18.557001321003963</v>
      </c>
      <c r="BY518" s="75">
        <f>PARAM!$C$26+MAX($G$21-CHOOSE(PARAM!$B$44,MAX(0,BZ517*$F$1),0),0)*RATES!$L494/12+$H$21*(PARAM!$D$51/12)*RATES!$N494/100</f>
        <v>132.04166666666669</v>
      </c>
      <c r="BZ518" s="16">
        <f t="shared" si="345"/>
        <v>-9015.8370422692933</v>
      </c>
      <c r="CA518" s="15">
        <f t="shared" si="320"/>
        <v>22.170849845882874</v>
      </c>
      <c r="CB518" s="75">
        <f>CA518*(1-PARAM!$C$27)*$I$22+(MOD($B518,60)=PARAM!$B$56)*($B518&gt;(60-PARAM!$B$56))*HLOOKUP(($B518+PARAM!$B$56)/12,Loyalty,2)*$F$1*MAX(CD517,0)</f>
        <v>18.557001321003963</v>
      </c>
      <c r="CC518" s="75">
        <f>PARAM!$C$26+MAX($G$22-CHOOSE(PARAM!$B$44,MAX(0,CD517*$F$1),0),0)*RATES!$L494/12+$H$22*(PARAM!$D$51/12)*RATES!$N494/100</f>
        <v>132.04166666666669</v>
      </c>
      <c r="CD518" s="16">
        <f t="shared" si="346"/>
        <v>-9015.8370422692933</v>
      </c>
      <c r="CE518" s="33">
        <f>IF(0=MOD(B518,12/PARAM!$D$51),1,0)</f>
        <v>1</v>
      </c>
      <c r="CF518" s="15">
        <f t="shared" si="321"/>
        <v>0</v>
      </c>
      <c r="CG518" s="75">
        <f>CF518*(1-PARAM!$C$27)*$R$3+(MOD($B518/12,5)=0)*($B518&gt;60)*HLOOKUP($B518/12,Loyalty,2)*$F$1*MAX(CI517,0)</f>
        <v>0</v>
      </c>
      <c r="CH518" s="75">
        <f>PARAM!$C$26+MAX($P$3-CHOOSE(PARAM!$B$44,MAX(0,CI517*$F$1),0),0)*RATES!$L494/12+$Q$3*(PARAM!$D$51/12)*RATES!$N494/100</f>
        <v>132.04166666666669</v>
      </c>
      <c r="CI518" s="16">
        <f>IF(CI517&gt;0,CI517*PARAM!$C$53,CI517)+CG518-CH518</f>
        <v>-18007.749999999989</v>
      </c>
      <c r="CJ518" s="15">
        <f t="shared" si="347"/>
        <v>0</v>
      </c>
      <c r="CK518" s="75">
        <f>CJ518*(1-PARAM!$C$27)*$R$4+(MOD($B518/12,5)=0)*($B518&gt;60)*HLOOKUP($B518/12,Loyalty,2)*$F$1*MAX(CM517,0)</f>
        <v>0</v>
      </c>
      <c r="CL518" s="75">
        <f>PARAM!$C$26+MAX($P$4-CHOOSE(PARAM!$B$44,MAX(0,CM517*$F$1),0),0)*RATES!$L494/12+$Q$4*(PARAM!$D$51/12)*RATES!$N494/100</f>
        <v>132.04166666666669</v>
      </c>
      <c r="CM518" s="16">
        <f>IF(CM517&gt;0,CM517*PARAM!$C$53,CM517)+CK518-CL518</f>
        <v>-18007.749999999989</v>
      </c>
      <c r="CO518" s="176"/>
    </row>
    <row r="519" spans="1:93" x14ac:dyDescent="0.2">
      <c r="A519" t="b">
        <f t="shared" si="322"/>
        <v>0</v>
      </c>
      <c r="B519" s="33">
        <v>492</v>
      </c>
      <c r="C519" s="15">
        <f t="shared" si="323"/>
        <v>20.081305947392778</v>
      </c>
      <c r="D519" s="75">
        <f>C519*(1-PARAM!$C$27)*$I$3+(MOD($B519,60)=PARAM!$B$56)*($B519&gt;(60-PARAM!$B$56))*HLOOKUP(($B519+PARAM!$B$56)/12,Loyalty,2)*$F$1*MAX(F518,0)</f>
        <v>16.808053077967756</v>
      </c>
      <c r="E519" s="75">
        <f>PARAM!$C$26+MAX($G$3-CHOOSE(PARAM!$B$44,MAX(0,F518*$F$1),0),0)*RATES!$L495/12+$H$3*(PARAM!$D$51/12)*RATES!$N495/100</f>
        <v>132.04166666666669</v>
      </c>
      <c r="F519" s="16">
        <f t="shared" si="324"/>
        <v>-10026.654743710258</v>
      </c>
      <c r="G519" s="15">
        <f t="shared" si="325"/>
        <v>22.035289406060361</v>
      </c>
      <c r="H519" s="75">
        <f>G519*(1-PARAM!$C$27)*$I$4+(MOD($B519,60)=PARAM!$B$56)*($B519&gt;(60-PARAM!$B$56))*HLOOKUP(($B519+PARAM!$B$56)/12,Loyalty,2)*$F$1*MAX(J518,0)</f>
        <v>18.443537232872522</v>
      </c>
      <c r="I519" s="75">
        <f>PARAM!$C$26+MAX($G$4-CHOOSE(PARAM!$B$44,MAX(0,J518*$F$1),0),0)*RATES!$L495/12+$H$4*(PARAM!$D$51/12)*RATES!$N495/100</f>
        <v>132.04166666666669</v>
      </c>
      <c r="J519" s="16">
        <f t="shared" si="326"/>
        <v>-9188.1635753753999</v>
      </c>
      <c r="K519" s="15">
        <f t="shared" si="327"/>
        <v>22.170849845882874</v>
      </c>
      <c r="L519" s="75">
        <f>K519*(1-PARAM!$C$27)*$I$5+(MOD($B519,60)=PARAM!$B$56)*($B519&gt;(60-PARAM!$B$56))*HLOOKUP(($B519+PARAM!$B$56)/12,Loyalty,2)*$F$1*MAX(N518,0)</f>
        <v>18.557001321003963</v>
      </c>
      <c r="M519" s="75">
        <f>PARAM!$C$26+MAX($G$5-CHOOSE(PARAM!$B$44,MAX(0,N518*$F$1),0),0)*RATES!$L495/12+$H$5*(PARAM!$D$51/12)*RATES!$N495/100</f>
        <v>132.04166666666669</v>
      </c>
      <c r="N519" s="16">
        <f t="shared" si="328"/>
        <v>-9129.3217076149558</v>
      </c>
      <c r="O519" s="15">
        <f t="shared" si="329"/>
        <v>22.170849845882874</v>
      </c>
      <c r="P519" s="75">
        <f>O519*(1-PARAM!$C$27)*$I$6+(MOD($B519,60)=PARAM!$B$56)*($B519&gt;(60-PARAM!$B$56))*HLOOKUP(($B519+PARAM!$B$56)/12,Loyalty,2)*$F$1*MAX(R518,0)</f>
        <v>18.557001321003963</v>
      </c>
      <c r="Q519" s="75">
        <f>PARAM!$C$26+MAX($G$6-CHOOSE(PARAM!$B$44,MAX(0,R518*$F$1),0),0)*RATES!$L495/12+$H$6*(PARAM!$D$51/12)*RATES!$N495/100</f>
        <v>132.04166666666669</v>
      </c>
      <c r="R519" s="16">
        <f t="shared" si="330"/>
        <v>-9129.3217076149558</v>
      </c>
      <c r="S519" s="15">
        <f t="shared" si="305"/>
        <v>22.170849845882874</v>
      </c>
      <c r="T519" s="75">
        <f>S519*(1-PARAM!$C$27)*$I$7+(MOD($B519,60)=PARAM!$B$56)*($B519&gt;(60-PARAM!$B$56))*HLOOKUP(($B519+PARAM!$B$56)/12,Loyalty,2)*$F$1*MAX(V518,0)</f>
        <v>18.557001321003963</v>
      </c>
      <c r="U519" s="75">
        <f>PARAM!$C$26+MAX($G$7-CHOOSE(PARAM!$B$44,MAX(0,V518*$F$1),0),0)*RATES!$L495/12+$H$7*(PARAM!$D$51/12)*RATES!$N495/100</f>
        <v>132.04166666666669</v>
      </c>
      <c r="V519" s="16">
        <f t="shared" si="331"/>
        <v>-9129.3217076149558</v>
      </c>
      <c r="W519" s="15">
        <f t="shared" si="306"/>
        <v>22.170849845882874</v>
      </c>
      <c r="X519" s="75">
        <f>W519*(1-PARAM!$C$27)*$I$8+(MOD($B519,60)=PARAM!$B$56)*($B519&gt;(60-PARAM!$B$56))*HLOOKUP(($B519+PARAM!$B$56)/12,Loyalty,2)*$F$1*MAX(Z518,0)</f>
        <v>18.557001321003963</v>
      </c>
      <c r="Y519" s="75">
        <f>PARAM!$C$26+MAX($G$8-CHOOSE(PARAM!$B$44,MAX(0,Z518*$F$1),0),0)*RATES!$L495/12+$H$8*(PARAM!$D$51/12)*RATES!$N495/100</f>
        <v>132.04166666666669</v>
      </c>
      <c r="Z519" s="16">
        <f t="shared" si="332"/>
        <v>-9129.3217076149558</v>
      </c>
      <c r="AA519" s="15">
        <f t="shared" si="307"/>
        <v>22.170849845882874</v>
      </c>
      <c r="AB519" s="75">
        <f>AA519*(1-PARAM!$C$27)*$I$9+(MOD($B519,60)=PARAM!$B$56)*($B519&gt;(60-PARAM!$B$56))*HLOOKUP(($B519+PARAM!$B$56)/12,Loyalty,2)*$F$1*MAX(AD518,0)</f>
        <v>18.557001321003963</v>
      </c>
      <c r="AC519" s="75">
        <f>PARAM!$C$26+MAX($G$9-CHOOSE(PARAM!$B$44,MAX(0,AD518*$F$1),0),0)*RATES!$L495/12+$H$9*(PARAM!$D$51/12)*RATES!$N495/100</f>
        <v>132.04166666666669</v>
      </c>
      <c r="AD519" s="16">
        <f t="shared" si="333"/>
        <v>-9129.3217076149558</v>
      </c>
      <c r="AE519" s="15">
        <f t="shared" si="308"/>
        <v>22.170849845882874</v>
      </c>
      <c r="AF519" s="75">
        <f>AE519*(1-PARAM!$C$27)*$I$10+(MOD($B519,60)=PARAM!$B$56)*($B519&gt;(60-PARAM!$B$56))*HLOOKUP(($B519+PARAM!$B$56)/12,Loyalty,2)*$F$1*MAX(AH518,0)</f>
        <v>18.557001321003963</v>
      </c>
      <c r="AG519" s="75">
        <f>PARAM!$C$26+MAX($G$10-CHOOSE(PARAM!$B$44,MAX(0,AH518*$F$1),0),0)*RATES!$L495/12+$H$10*(PARAM!$D$51/12)*RATES!$N495/100</f>
        <v>132.04166666666669</v>
      </c>
      <c r="AH519" s="16">
        <f t="shared" si="334"/>
        <v>-9129.3217076149558</v>
      </c>
      <c r="AI519" s="15">
        <f t="shared" si="309"/>
        <v>22.170849845882874</v>
      </c>
      <c r="AJ519" s="75">
        <f>AI519*(1-PARAM!$C$27)*$I$11+(MOD($B519,60)=PARAM!$B$56)*($B519&gt;(60-PARAM!$B$56))*HLOOKUP(($B519+PARAM!$B$56)/12,Loyalty,2)*$F$1*MAX(AL518,0)</f>
        <v>18.557001321003963</v>
      </c>
      <c r="AK519" s="75">
        <f>PARAM!$C$26+MAX($G$11-CHOOSE(PARAM!$B$44,MAX(0,AL518*$F$1),0),0)*RATES!$L495/12+$H$11*(PARAM!$D$51/12)*RATES!$N495/100</f>
        <v>132.04166666666669</v>
      </c>
      <c r="AL519" s="16">
        <f t="shared" si="335"/>
        <v>-9129.3217076149558</v>
      </c>
      <c r="AM519" s="15">
        <f t="shared" si="310"/>
        <v>22.170849845882874</v>
      </c>
      <c r="AN519" s="75">
        <f>AM519*(1-PARAM!$C$27)*$I$12+(MOD($B519,60)=PARAM!$B$56)*($B519&gt;(60-PARAM!$B$56))*HLOOKUP(($B519+PARAM!$B$56)/12,Loyalty,2)*$F$1*MAX(AP518,0)</f>
        <v>18.557001321003963</v>
      </c>
      <c r="AO519" s="75">
        <f>PARAM!$C$26+MAX($G$12-CHOOSE(PARAM!$B$44,MAX(0,AP518*$F$1),0),0)*RATES!$L495/12+$H$12*(PARAM!$D$51/12)*RATES!$N495/100</f>
        <v>132.04166666666669</v>
      </c>
      <c r="AP519" s="16">
        <f t="shared" si="336"/>
        <v>-9129.3217076149558</v>
      </c>
      <c r="AQ519" s="15">
        <f t="shared" si="311"/>
        <v>22.170849845882874</v>
      </c>
      <c r="AR519" s="75">
        <f>AQ519*(1-PARAM!$C$27)*$I$13+(MOD($B519,60)=PARAM!$B$56)*($B519&gt;(60-PARAM!$B$56))*HLOOKUP(($B519+PARAM!$B$56)/12,Loyalty,2)*$F$1*MAX(AT518,0)</f>
        <v>18.557001321003963</v>
      </c>
      <c r="AS519" s="75">
        <f>PARAM!$C$26+MAX($G$13-CHOOSE(PARAM!$B$44,MAX(0,AT518*$F$1),0),0)*RATES!$L495/12+$H$13*(PARAM!$D$51/12)*RATES!$N495/100</f>
        <v>132.04166666666669</v>
      </c>
      <c r="AT519" s="16">
        <f t="shared" si="337"/>
        <v>-9129.3217076149558</v>
      </c>
      <c r="AU519" s="15">
        <f t="shared" si="312"/>
        <v>22.170849845882874</v>
      </c>
      <c r="AV519" s="75">
        <f>AU519*(1-PARAM!$C$27)*$I$14+(MOD($B519,60)=PARAM!$B$56)*($B519&gt;(60-PARAM!$B$56))*HLOOKUP(($B519+PARAM!$B$56)/12,Loyalty,2)*$F$1*MAX(AX518,0)</f>
        <v>18.557001321003963</v>
      </c>
      <c r="AW519" s="75">
        <f>PARAM!$C$26+MAX($G$14-CHOOSE(PARAM!$B$44,MAX(0,AX518*$F$1),0),0)*RATES!$L495/12+$H$14*(PARAM!$D$51/12)*RATES!$N495/100</f>
        <v>132.04166666666669</v>
      </c>
      <c r="AX519" s="16">
        <f t="shared" si="338"/>
        <v>-9129.3217076149558</v>
      </c>
      <c r="AY519" s="15">
        <f t="shared" si="313"/>
        <v>22.170849845882874</v>
      </c>
      <c r="AZ519" s="75">
        <f>AY519*(1-PARAM!$C$27)*$I$15+(MOD($B519,60)=PARAM!$B$56)*($B519&gt;(60-PARAM!$B$56))*HLOOKUP(($B519+PARAM!$B$56)/12,Loyalty,2)*$F$1*MAX(BB518,0)</f>
        <v>18.557001321003963</v>
      </c>
      <c r="BA519" s="75">
        <f>PARAM!$C$26+MAX($G$15-CHOOSE(PARAM!$B$44,MAX(0,BB518*$F$1),0),0)*RATES!$L495/12+$H$15*(PARAM!$D$51/12)*RATES!$N495/100</f>
        <v>132.04166666666669</v>
      </c>
      <c r="BB519" s="16">
        <f t="shared" si="339"/>
        <v>-9129.3217076149558</v>
      </c>
      <c r="BC519" s="15">
        <f t="shared" si="314"/>
        <v>22.170849845882874</v>
      </c>
      <c r="BD519" s="75">
        <f>BC519*(1-PARAM!$C$27)*$I$16+(MOD($B519,60)=PARAM!$B$56)*($B519&gt;(60-PARAM!$B$56))*HLOOKUP(($B519+PARAM!$B$56)/12,Loyalty,2)*$F$1*MAX(BF518,0)</f>
        <v>18.557001321003963</v>
      </c>
      <c r="BE519" s="75">
        <f>PARAM!$C$26+MAX($G$16-CHOOSE(PARAM!$B$44,MAX(0,BF518*$F$1),0),0)*RATES!$L495/12+$H$16*(PARAM!$D$51/12)*RATES!$N495/100</f>
        <v>132.04166666666669</v>
      </c>
      <c r="BF519" s="16">
        <f t="shared" si="340"/>
        <v>-9129.3217076149558</v>
      </c>
      <c r="BG519" s="15">
        <f t="shared" si="315"/>
        <v>22.170849845882874</v>
      </c>
      <c r="BH519" s="75">
        <f>BG519*(1-PARAM!$C$27)*$I$17+(MOD($B519,60)=PARAM!$B$56)*($B519&gt;(60-PARAM!$B$56))*HLOOKUP(($B519+PARAM!$B$56)/12,Loyalty,2)*$F$1*MAX(BJ518,0)</f>
        <v>18.557001321003963</v>
      </c>
      <c r="BI519" s="75">
        <f>PARAM!$C$26+MAX($G$17-CHOOSE(PARAM!$B$44,MAX(0,BJ518*$F$1),0),0)*RATES!$L495/12+$H$17*(PARAM!$D$51/12)*RATES!$N495/100</f>
        <v>132.04166666666669</v>
      </c>
      <c r="BJ519" s="16">
        <f t="shared" si="341"/>
        <v>-9129.3217076149558</v>
      </c>
      <c r="BK519" s="15">
        <f t="shared" si="316"/>
        <v>22.170849845882874</v>
      </c>
      <c r="BL519" s="75">
        <f>BK519*(1-PARAM!$C$27)*$I$18+(MOD($B519,60)=PARAM!$B$56)*($B519&gt;(60-PARAM!$B$56))*HLOOKUP(($B519+PARAM!$B$56)/12,Loyalty,2)*$F$1*MAX(BN518,0)</f>
        <v>18.557001321003963</v>
      </c>
      <c r="BM519" s="75">
        <f>PARAM!$C$26+MAX($G$18-CHOOSE(PARAM!$B$44,MAX(0,BN518*$F$1),0),0)*RATES!$L495/12+$H$18*(PARAM!$D$51/12)*RATES!$N495/100</f>
        <v>132.04166666666669</v>
      </c>
      <c r="BN519" s="16">
        <f t="shared" si="342"/>
        <v>-9129.3217076149558</v>
      </c>
      <c r="BO519" s="15">
        <f t="shared" si="317"/>
        <v>22.170849845882874</v>
      </c>
      <c r="BP519" s="75">
        <f>BO519*(1-PARAM!$C$27)*$I$19+(MOD($B519,60)=PARAM!$B$56)*($B519&gt;(60-PARAM!$B$56))*HLOOKUP(($B519+PARAM!$B$56)/12,Loyalty,2)*$F$1*MAX(BR518,0)</f>
        <v>18.557001321003963</v>
      </c>
      <c r="BQ519" s="75">
        <f>PARAM!$C$26+MAX($G$19-CHOOSE(PARAM!$B$44,MAX(0,BR518*$F$1),0),0)*RATES!$L495/12+$H$19*(PARAM!$D$51/12)*RATES!$N495/100</f>
        <v>132.04166666666669</v>
      </c>
      <c r="BR519" s="16">
        <f t="shared" si="343"/>
        <v>-9129.3217076149558</v>
      </c>
      <c r="BS519" s="15">
        <f t="shared" si="318"/>
        <v>22.170849845882874</v>
      </c>
      <c r="BT519" s="75">
        <f>BS519*(1-PARAM!$C$27)*$I$20+(MOD($B519,60)=PARAM!$B$56)*($B519&gt;(60-PARAM!$B$56))*HLOOKUP(($B519+PARAM!$B$56)/12,Loyalty,2)*$F$1*MAX(BV518,0)</f>
        <v>18.557001321003963</v>
      </c>
      <c r="BU519" s="75">
        <f>PARAM!$C$26+MAX($G$20-CHOOSE(PARAM!$B$44,MAX(0,BV518*$F$1),0),0)*RATES!$L495/12+$H$20*(PARAM!$D$51/12)*RATES!$N495/100</f>
        <v>132.04166666666669</v>
      </c>
      <c r="BV519" s="16">
        <f t="shared" si="344"/>
        <v>-9129.3217076149558</v>
      </c>
      <c r="BW519" s="15">
        <f t="shared" si="319"/>
        <v>22.170849845882874</v>
      </c>
      <c r="BX519" s="75">
        <f>BW519*(1-PARAM!$C$27)*$I$21+(MOD($B519,60)=PARAM!$B$56)*($B519&gt;(60-PARAM!$B$56))*HLOOKUP(($B519+PARAM!$B$56)/12,Loyalty,2)*$F$1*MAX(BZ518,0)</f>
        <v>18.557001321003963</v>
      </c>
      <c r="BY519" s="75">
        <f>PARAM!$C$26+MAX($G$21-CHOOSE(PARAM!$B$44,MAX(0,BZ518*$F$1),0),0)*RATES!$L495/12+$H$21*(PARAM!$D$51/12)*RATES!$N495/100</f>
        <v>132.04166666666669</v>
      </c>
      <c r="BZ519" s="16">
        <f t="shared" si="345"/>
        <v>-9129.3217076149558</v>
      </c>
      <c r="CA519" s="15">
        <f t="shared" si="320"/>
        <v>22.170849845882874</v>
      </c>
      <c r="CB519" s="75">
        <f>CA519*(1-PARAM!$C$27)*$I$22+(MOD($B519,60)=PARAM!$B$56)*($B519&gt;(60-PARAM!$B$56))*HLOOKUP(($B519+PARAM!$B$56)/12,Loyalty,2)*$F$1*MAX(CD518,0)</f>
        <v>18.557001321003963</v>
      </c>
      <c r="CC519" s="75">
        <f>PARAM!$C$26+MAX($G$22-CHOOSE(PARAM!$B$44,MAX(0,CD518*$F$1),0),0)*RATES!$L495/12+$H$22*(PARAM!$D$51/12)*RATES!$N495/100</f>
        <v>132.04166666666669</v>
      </c>
      <c r="CD519" s="16">
        <f t="shared" si="346"/>
        <v>-9129.3217076149558</v>
      </c>
      <c r="CE519" s="33">
        <f>IF(0=MOD(B519,12/PARAM!$D$51),1,0)</f>
        <v>1</v>
      </c>
      <c r="CF519" s="15">
        <f t="shared" si="321"/>
        <v>0</v>
      </c>
      <c r="CG519" s="75">
        <f>CF519*(1-PARAM!$C$27)*$R$3+(MOD($B519/12,5)=0)*($B519&gt;60)*HLOOKUP($B519/12,Loyalty,2)*$F$1*MAX(CI518,0)</f>
        <v>0</v>
      </c>
      <c r="CH519" s="75">
        <f>PARAM!$C$26+MAX($P$3-CHOOSE(PARAM!$B$44,MAX(0,CI518*$F$1),0),0)*RATES!$L495/12+$Q$3*(PARAM!$D$51/12)*RATES!$N495/100</f>
        <v>132.04166666666669</v>
      </c>
      <c r="CI519" s="16">
        <f>IF(CI518&gt;0,CI518*PARAM!$C$53,CI518)+CG519-CH519</f>
        <v>-18139.791666666657</v>
      </c>
      <c r="CJ519" s="15">
        <f t="shared" si="347"/>
        <v>0</v>
      </c>
      <c r="CK519" s="75">
        <f>CJ519*(1-PARAM!$C$27)*$R$4+(MOD($B519/12,5)=0)*($B519&gt;60)*HLOOKUP($B519/12,Loyalty,2)*$F$1*MAX(CM518,0)</f>
        <v>0</v>
      </c>
      <c r="CL519" s="75">
        <f>PARAM!$C$26+MAX($P$4-CHOOSE(PARAM!$B$44,MAX(0,CM518*$F$1),0),0)*RATES!$L495/12+$Q$4*(PARAM!$D$51/12)*RATES!$N495/100</f>
        <v>132.04166666666669</v>
      </c>
      <c r="CM519" s="16">
        <f>IF(CM518&gt;0,CM518*PARAM!$C$53,CM518)+CK519-CL519</f>
        <v>-18139.791666666657</v>
      </c>
      <c r="CO519" s="176"/>
    </row>
    <row r="520" spans="1:93" x14ac:dyDescent="0.2">
      <c r="A520" t="b">
        <f t="shared" si="322"/>
        <v>0</v>
      </c>
      <c r="B520" s="33">
        <v>493</v>
      </c>
      <c r="C520" s="15">
        <f t="shared" si="323"/>
        <v>20.081305947392778</v>
      </c>
      <c r="D520" s="75">
        <f>C520*(1-PARAM!$C$27)*$I$3+(MOD($B520,60)=PARAM!$B$56)*($B520&gt;(60-PARAM!$B$56))*HLOOKUP(($B520+PARAM!$B$56)/12,Loyalty,2)*$F$1*MAX(F519,0)</f>
        <v>16.808053077967756</v>
      </c>
      <c r="E520" s="75">
        <f>PARAM!$C$26+MAX($G$3-CHOOSE(PARAM!$B$44,MAX(0,F519*$F$1),0),0)*RATES!$L496/12+$H$3*(PARAM!$D$51/12)*RATES!$N496/100</f>
        <v>132.04166666666669</v>
      </c>
      <c r="F520" s="16">
        <f t="shared" si="324"/>
        <v>-10141.888357298956</v>
      </c>
      <c r="G520" s="15">
        <f t="shared" si="325"/>
        <v>22.035289406060361</v>
      </c>
      <c r="H520" s="75">
        <f>G520*(1-PARAM!$C$27)*$I$4+(MOD($B520,60)=PARAM!$B$56)*($B520&gt;(60-PARAM!$B$56))*HLOOKUP(($B520+PARAM!$B$56)/12,Loyalty,2)*$F$1*MAX(J519,0)</f>
        <v>18.443537232872522</v>
      </c>
      <c r="I520" s="75">
        <f>PARAM!$C$26+MAX($G$4-CHOOSE(PARAM!$B$44,MAX(0,J519*$F$1),0),0)*RATES!$L496/12+$H$4*(PARAM!$D$51/12)*RATES!$N496/100</f>
        <v>132.04166666666669</v>
      </c>
      <c r="J520" s="16">
        <f t="shared" si="326"/>
        <v>-9301.7617048091943</v>
      </c>
      <c r="K520" s="15">
        <f t="shared" si="327"/>
        <v>22.170849845882874</v>
      </c>
      <c r="L520" s="75">
        <f>K520*(1-PARAM!$C$27)*$I$5+(MOD($B520,60)=PARAM!$B$56)*($B520&gt;(60-PARAM!$B$56))*HLOOKUP(($B520+PARAM!$B$56)/12,Loyalty,2)*$F$1*MAX(N519,0)</f>
        <v>18.557001321003963</v>
      </c>
      <c r="M520" s="75">
        <f>PARAM!$C$26+MAX($G$5-CHOOSE(PARAM!$B$44,MAX(0,N519*$F$1),0),0)*RATES!$L496/12+$H$5*(PARAM!$D$51/12)*RATES!$N496/100</f>
        <v>132.04166666666669</v>
      </c>
      <c r="N520" s="16">
        <f t="shared" si="328"/>
        <v>-9242.8063729606183</v>
      </c>
      <c r="O520" s="15">
        <f t="shared" si="329"/>
        <v>22.170849845882874</v>
      </c>
      <c r="P520" s="75">
        <f>O520*(1-PARAM!$C$27)*$I$6+(MOD($B520,60)=PARAM!$B$56)*($B520&gt;(60-PARAM!$B$56))*HLOOKUP(($B520+PARAM!$B$56)/12,Loyalty,2)*$F$1*MAX(R519,0)</f>
        <v>18.557001321003963</v>
      </c>
      <c r="Q520" s="75">
        <f>PARAM!$C$26+MAX($G$6-CHOOSE(PARAM!$B$44,MAX(0,R519*$F$1),0),0)*RATES!$L496/12+$H$6*(PARAM!$D$51/12)*RATES!$N496/100</f>
        <v>132.04166666666669</v>
      </c>
      <c r="R520" s="16">
        <f t="shared" si="330"/>
        <v>-9242.8063729606183</v>
      </c>
      <c r="S520" s="15">
        <f t="shared" si="305"/>
        <v>22.170849845882874</v>
      </c>
      <c r="T520" s="75">
        <f>S520*(1-PARAM!$C$27)*$I$7+(MOD($B520,60)=PARAM!$B$56)*($B520&gt;(60-PARAM!$B$56))*HLOOKUP(($B520+PARAM!$B$56)/12,Loyalty,2)*$F$1*MAX(V519,0)</f>
        <v>18.557001321003963</v>
      </c>
      <c r="U520" s="75">
        <f>PARAM!$C$26+MAX($G$7-CHOOSE(PARAM!$B$44,MAX(0,V519*$F$1),0),0)*RATES!$L496/12+$H$7*(PARAM!$D$51/12)*RATES!$N496/100</f>
        <v>132.04166666666669</v>
      </c>
      <c r="V520" s="16">
        <f t="shared" si="331"/>
        <v>-9242.8063729606183</v>
      </c>
      <c r="W520" s="15">
        <f t="shared" si="306"/>
        <v>22.170849845882874</v>
      </c>
      <c r="X520" s="75">
        <f>W520*(1-PARAM!$C$27)*$I$8+(MOD($B520,60)=PARAM!$B$56)*($B520&gt;(60-PARAM!$B$56))*HLOOKUP(($B520+PARAM!$B$56)/12,Loyalty,2)*$F$1*MAX(Z519,0)</f>
        <v>18.557001321003963</v>
      </c>
      <c r="Y520" s="75">
        <f>PARAM!$C$26+MAX($G$8-CHOOSE(PARAM!$B$44,MAX(0,Z519*$F$1),0),0)*RATES!$L496/12+$H$8*(PARAM!$D$51/12)*RATES!$N496/100</f>
        <v>132.04166666666669</v>
      </c>
      <c r="Z520" s="16">
        <f t="shared" si="332"/>
        <v>-9242.8063729606183</v>
      </c>
      <c r="AA520" s="15">
        <f t="shared" si="307"/>
        <v>22.170849845882874</v>
      </c>
      <c r="AB520" s="75">
        <f>AA520*(1-PARAM!$C$27)*$I$9+(MOD($B520,60)=PARAM!$B$56)*($B520&gt;(60-PARAM!$B$56))*HLOOKUP(($B520+PARAM!$B$56)/12,Loyalty,2)*$F$1*MAX(AD519,0)</f>
        <v>18.557001321003963</v>
      </c>
      <c r="AC520" s="75">
        <f>PARAM!$C$26+MAX($G$9-CHOOSE(PARAM!$B$44,MAX(0,AD519*$F$1),0),0)*RATES!$L496/12+$H$9*(PARAM!$D$51/12)*RATES!$N496/100</f>
        <v>132.04166666666669</v>
      </c>
      <c r="AD520" s="16">
        <f t="shared" si="333"/>
        <v>-9242.8063729606183</v>
      </c>
      <c r="AE520" s="15">
        <f t="shared" si="308"/>
        <v>22.170849845882874</v>
      </c>
      <c r="AF520" s="75">
        <f>AE520*(1-PARAM!$C$27)*$I$10+(MOD($B520,60)=PARAM!$B$56)*($B520&gt;(60-PARAM!$B$56))*HLOOKUP(($B520+PARAM!$B$56)/12,Loyalty,2)*$F$1*MAX(AH519,0)</f>
        <v>18.557001321003963</v>
      </c>
      <c r="AG520" s="75">
        <f>PARAM!$C$26+MAX($G$10-CHOOSE(PARAM!$B$44,MAX(0,AH519*$F$1),0),0)*RATES!$L496/12+$H$10*(PARAM!$D$51/12)*RATES!$N496/100</f>
        <v>132.04166666666669</v>
      </c>
      <c r="AH520" s="16">
        <f t="shared" si="334"/>
        <v>-9242.8063729606183</v>
      </c>
      <c r="AI520" s="15">
        <f t="shared" si="309"/>
        <v>22.170849845882874</v>
      </c>
      <c r="AJ520" s="75">
        <f>AI520*(1-PARAM!$C$27)*$I$11+(MOD($B520,60)=PARAM!$B$56)*($B520&gt;(60-PARAM!$B$56))*HLOOKUP(($B520+PARAM!$B$56)/12,Loyalty,2)*$F$1*MAX(AL519,0)</f>
        <v>18.557001321003963</v>
      </c>
      <c r="AK520" s="75">
        <f>PARAM!$C$26+MAX($G$11-CHOOSE(PARAM!$B$44,MAX(0,AL519*$F$1),0),0)*RATES!$L496/12+$H$11*(PARAM!$D$51/12)*RATES!$N496/100</f>
        <v>132.04166666666669</v>
      </c>
      <c r="AL520" s="16">
        <f t="shared" si="335"/>
        <v>-9242.8063729606183</v>
      </c>
      <c r="AM520" s="15">
        <f t="shared" si="310"/>
        <v>22.170849845882874</v>
      </c>
      <c r="AN520" s="75">
        <f>AM520*(1-PARAM!$C$27)*$I$12+(MOD($B520,60)=PARAM!$B$56)*($B520&gt;(60-PARAM!$B$56))*HLOOKUP(($B520+PARAM!$B$56)/12,Loyalty,2)*$F$1*MAX(AP519,0)</f>
        <v>18.557001321003963</v>
      </c>
      <c r="AO520" s="75">
        <f>PARAM!$C$26+MAX($G$12-CHOOSE(PARAM!$B$44,MAX(0,AP519*$F$1),0),0)*RATES!$L496/12+$H$12*(PARAM!$D$51/12)*RATES!$N496/100</f>
        <v>132.04166666666669</v>
      </c>
      <c r="AP520" s="16">
        <f t="shared" si="336"/>
        <v>-9242.8063729606183</v>
      </c>
      <c r="AQ520" s="15">
        <f t="shared" si="311"/>
        <v>22.170849845882874</v>
      </c>
      <c r="AR520" s="75">
        <f>AQ520*(1-PARAM!$C$27)*$I$13+(MOD($B520,60)=PARAM!$B$56)*($B520&gt;(60-PARAM!$B$56))*HLOOKUP(($B520+PARAM!$B$56)/12,Loyalty,2)*$F$1*MAX(AT519,0)</f>
        <v>18.557001321003963</v>
      </c>
      <c r="AS520" s="75">
        <f>PARAM!$C$26+MAX($G$13-CHOOSE(PARAM!$B$44,MAX(0,AT519*$F$1),0),0)*RATES!$L496/12+$H$13*(PARAM!$D$51/12)*RATES!$N496/100</f>
        <v>132.04166666666669</v>
      </c>
      <c r="AT520" s="16">
        <f t="shared" si="337"/>
        <v>-9242.8063729606183</v>
      </c>
      <c r="AU520" s="15">
        <f t="shared" si="312"/>
        <v>22.170849845882874</v>
      </c>
      <c r="AV520" s="75">
        <f>AU520*(1-PARAM!$C$27)*$I$14+(MOD($B520,60)=PARAM!$B$56)*($B520&gt;(60-PARAM!$B$56))*HLOOKUP(($B520+PARAM!$B$56)/12,Loyalty,2)*$F$1*MAX(AX519,0)</f>
        <v>18.557001321003963</v>
      </c>
      <c r="AW520" s="75">
        <f>PARAM!$C$26+MAX($G$14-CHOOSE(PARAM!$B$44,MAX(0,AX519*$F$1),0),0)*RATES!$L496/12+$H$14*(PARAM!$D$51/12)*RATES!$N496/100</f>
        <v>132.04166666666669</v>
      </c>
      <c r="AX520" s="16">
        <f t="shared" si="338"/>
        <v>-9242.8063729606183</v>
      </c>
      <c r="AY520" s="15">
        <f t="shared" si="313"/>
        <v>22.170849845882874</v>
      </c>
      <c r="AZ520" s="75">
        <f>AY520*(1-PARAM!$C$27)*$I$15+(MOD($B520,60)=PARAM!$B$56)*($B520&gt;(60-PARAM!$B$56))*HLOOKUP(($B520+PARAM!$B$56)/12,Loyalty,2)*$F$1*MAX(BB519,0)</f>
        <v>18.557001321003963</v>
      </c>
      <c r="BA520" s="75">
        <f>PARAM!$C$26+MAX($G$15-CHOOSE(PARAM!$B$44,MAX(0,BB519*$F$1),0),0)*RATES!$L496/12+$H$15*(PARAM!$D$51/12)*RATES!$N496/100</f>
        <v>132.04166666666669</v>
      </c>
      <c r="BB520" s="16">
        <f t="shared" si="339"/>
        <v>-9242.8063729606183</v>
      </c>
      <c r="BC520" s="15">
        <f t="shared" si="314"/>
        <v>22.170849845882874</v>
      </c>
      <c r="BD520" s="75">
        <f>BC520*(1-PARAM!$C$27)*$I$16+(MOD($B520,60)=PARAM!$B$56)*($B520&gt;(60-PARAM!$B$56))*HLOOKUP(($B520+PARAM!$B$56)/12,Loyalty,2)*$F$1*MAX(BF519,0)</f>
        <v>18.557001321003963</v>
      </c>
      <c r="BE520" s="75">
        <f>PARAM!$C$26+MAX($G$16-CHOOSE(PARAM!$B$44,MAX(0,BF519*$F$1),0),0)*RATES!$L496/12+$H$16*(PARAM!$D$51/12)*RATES!$N496/100</f>
        <v>132.04166666666669</v>
      </c>
      <c r="BF520" s="16">
        <f t="shared" si="340"/>
        <v>-9242.8063729606183</v>
      </c>
      <c r="BG520" s="15">
        <f t="shared" si="315"/>
        <v>22.170849845882874</v>
      </c>
      <c r="BH520" s="75">
        <f>BG520*(1-PARAM!$C$27)*$I$17+(MOD($B520,60)=PARAM!$B$56)*($B520&gt;(60-PARAM!$B$56))*HLOOKUP(($B520+PARAM!$B$56)/12,Loyalty,2)*$F$1*MAX(BJ519,0)</f>
        <v>18.557001321003963</v>
      </c>
      <c r="BI520" s="75">
        <f>PARAM!$C$26+MAX($G$17-CHOOSE(PARAM!$B$44,MAX(0,BJ519*$F$1),0),0)*RATES!$L496/12+$H$17*(PARAM!$D$51/12)*RATES!$N496/100</f>
        <v>132.04166666666669</v>
      </c>
      <c r="BJ520" s="16">
        <f t="shared" si="341"/>
        <v>-9242.8063729606183</v>
      </c>
      <c r="BK520" s="15">
        <f t="shared" si="316"/>
        <v>22.170849845882874</v>
      </c>
      <c r="BL520" s="75">
        <f>BK520*(1-PARAM!$C$27)*$I$18+(MOD($B520,60)=PARAM!$B$56)*($B520&gt;(60-PARAM!$B$56))*HLOOKUP(($B520+PARAM!$B$56)/12,Loyalty,2)*$F$1*MAX(BN519,0)</f>
        <v>18.557001321003963</v>
      </c>
      <c r="BM520" s="75">
        <f>PARAM!$C$26+MAX($G$18-CHOOSE(PARAM!$B$44,MAX(0,BN519*$F$1),0),0)*RATES!$L496/12+$H$18*(PARAM!$D$51/12)*RATES!$N496/100</f>
        <v>132.04166666666669</v>
      </c>
      <c r="BN520" s="16">
        <f t="shared" si="342"/>
        <v>-9242.8063729606183</v>
      </c>
      <c r="BO520" s="15">
        <f t="shared" si="317"/>
        <v>22.170849845882874</v>
      </c>
      <c r="BP520" s="75">
        <f>BO520*(1-PARAM!$C$27)*$I$19+(MOD($B520,60)=PARAM!$B$56)*($B520&gt;(60-PARAM!$B$56))*HLOOKUP(($B520+PARAM!$B$56)/12,Loyalty,2)*$F$1*MAX(BR519,0)</f>
        <v>18.557001321003963</v>
      </c>
      <c r="BQ520" s="75">
        <f>PARAM!$C$26+MAX($G$19-CHOOSE(PARAM!$B$44,MAX(0,BR519*$F$1),0),0)*RATES!$L496/12+$H$19*(PARAM!$D$51/12)*RATES!$N496/100</f>
        <v>132.04166666666669</v>
      </c>
      <c r="BR520" s="16">
        <f t="shared" si="343"/>
        <v>-9242.8063729606183</v>
      </c>
      <c r="BS520" s="15">
        <f t="shared" si="318"/>
        <v>22.170849845882874</v>
      </c>
      <c r="BT520" s="75">
        <f>BS520*(1-PARAM!$C$27)*$I$20+(MOD($B520,60)=PARAM!$B$56)*($B520&gt;(60-PARAM!$B$56))*HLOOKUP(($B520+PARAM!$B$56)/12,Loyalty,2)*$F$1*MAX(BV519,0)</f>
        <v>18.557001321003963</v>
      </c>
      <c r="BU520" s="75">
        <f>PARAM!$C$26+MAX($G$20-CHOOSE(PARAM!$B$44,MAX(0,BV519*$F$1),0),0)*RATES!$L496/12+$H$20*(PARAM!$D$51/12)*RATES!$N496/100</f>
        <v>132.04166666666669</v>
      </c>
      <c r="BV520" s="16">
        <f t="shared" si="344"/>
        <v>-9242.8063729606183</v>
      </c>
      <c r="BW520" s="15">
        <f t="shared" si="319"/>
        <v>22.170849845882874</v>
      </c>
      <c r="BX520" s="75">
        <f>BW520*(1-PARAM!$C$27)*$I$21+(MOD($B520,60)=PARAM!$B$56)*($B520&gt;(60-PARAM!$B$56))*HLOOKUP(($B520+PARAM!$B$56)/12,Loyalty,2)*$F$1*MAX(BZ519,0)</f>
        <v>18.557001321003963</v>
      </c>
      <c r="BY520" s="75">
        <f>PARAM!$C$26+MAX($G$21-CHOOSE(PARAM!$B$44,MAX(0,BZ519*$F$1),0),0)*RATES!$L496/12+$H$21*(PARAM!$D$51/12)*RATES!$N496/100</f>
        <v>132.04166666666669</v>
      </c>
      <c r="BZ520" s="16">
        <f t="shared" si="345"/>
        <v>-9242.8063729606183</v>
      </c>
      <c r="CA520" s="15">
        <f t="shared" si="320"/>
        <v>22.170849845882874</v>
      </c>
      <c r="CB520" s="75">
        <f>CA520*(1-PARAM!$C$27)*$I$22+(MOD($B520,60)=PARAM!$B$56)*($B520&gt;(60-PARAM!$B$56))*HLOOKUP(($B520+PARAM!$B$56)/12,Loyalty,2)*$F$1*MAX(CD519,0)</f>
        <v>18.557001321003963</v>
      </c>
      <c r="CC520" s="75">
        <f>PARAM!$C$26+MAX($G$22-CHOOSE(PARAM!$B$44,MAX(0,CD519*$F$1),0),0)*RATES!$L496/12+$H$22*(PARAM!$D$51/12)*RATES!$N496/100</f>
        <v>132.04166666666669</v>
      </c>
      <c r="CD520" s="16">
        <f t="shared" si="346"/>
        <v>-9242.8063729606183</v>
      </c>
      <c r="CE520" s="33">
        <f>IF(0=MOD(B520,12/PARAM!$D$51),1,0)</f>
        <v>1</v>
      </c>
      <c r="CF520" s="15">
        <f t="shared" si="321"/>
        <v>0</v>
      </c>
      <c r="CG520" s="75">
        <f>CF520*(1-PARAM!$C$27)*$R$3+(MOD($B520/12,5)=0)*($B520&gt;60)*HLOOKUP($B520/12,Loyalty,2)*$F$1*MAX(CI519,0)</f>
        <v>0</v>
      </c>
      <c r="CH520" s="75">
        <f>PARAM!$C$26+MAX($P$3-CHOOSE(PARAM!$B$44,MAX(0,CI519*$F$1),0),0)*RATES!$L496/12+$Q$3*(PARAM!$D$51/12)*RATES!$N496/100</f>
        <v>132.04166666666669</v>
      </c>
      <c r="CI520" s="16">
        <f>IF(CI519&gt;0,CI519*PARAM!$C$53,CI519)+CG520-CH520</f>
        <v>-18271.833333333325</v>
      </c>
      <c r="CJ520" s="15">
        <f t="shared" si="347"/>
        <v>0</v>
      </c>
      <c r="CK520" s="75">
        <f>CJ520*(1-PARAM!$C$27)*$R$4+(MOD($B520/12,5)=0)*($B520&gt;60)*HLOOKUP($B520/12,Loyalty,2)*$F$1*MAX(CM519,0)</f>
        <v>0</v>
      </c>
      <c r="CL520" s="75">
        <f>PARAM!$C$26+MAX($P$4-CHOOSE(PARAM!$B$44,MAX(0,CM519*$F$1),0),0)*RATES!$L496/12+$Q$4*(PARAM!$D$51/12)*RATES!$N496/100</f>
        <v>132.04166666666669</v>
      </c>
      <c r="CM520" s="16">
        <f>IF(CM519&gt;0,CM519*PARAM!$C$53,CM519)+CK520-CL520</f>
        <v>-18271.833333333325</v>
      </c>
      <c r="CO520" s="176"/>
    </row>
    <row r="521" spans="1:93" x14ac:dyDescent="0.2">
      <c r="A521" t="b">
        <f t="shared" si="322"/>
        <v>0</v>
      </c>
      <c r="B521" s="33">
        <v>494</v>
      </c>
      <c r="C521" s="15">
        <f t="shared" si="323"/>
        <v>20.081305947392778</v>
      </c>
      <c r="D521" s="75">
        <f>C521*(1-PARAM!$C$27)*$I$3+(MOD($B521,60)=PARAM!$B$56)*($B521&gt;(60-PARAM!$B$56))*HLOOKUP(($B521+PARAM!$B$56)/12,Loyalty,2)*$F$1*MAX(F520,0)</f>
        <v>16.808053077967756</v>
      </c>
      <c r="E521" s="75">
        <f>PARAM!$C$26+MAX($G$3-CHOOSE(PARAM!$B$44,MAX(0,F520*$F$1),0),0)*RATES!$L497/12+$H$3*(PARAM!$D$51/12)*RATES!$N497/100</f>
        <v>132.04166666666669</v>
      </c>
      <c r="F521" s="16">
        <f t="shared" si="324"/>
        <v>-10257.121970887654</v>
      </c>
      <c r="G521" s="15">
        <f t="shared" si="325"/>
        <v>22.035289406060361</v>
      </c>
      <c r="H521" s="75">
        <f>G521*(1-PARAM!$C$27)*$I$4+(MOD($B521,60)=PARAM!$B$56)*($B521&gt;(60-PARAM!$B$56))*HLOOKUP(($B521+PARAM!$B$56)/12,Loyalty,2)*$F$1*MAX(J520,0)</f>
        <v>18.443537232872522</v>
      </c>
      <c r="I521" s="75">
        <f>PARAM!$C$26+MAX($G$4-CHOOSE(PARAM!$B$44,MAX(0,J520*$F$1),0),0)*RATES!$L497/12+$H$4*(PARAM!$D$51/12)*RATES!$N497/100</f>
        <v>132.04166666666669</v>
      </c>
      <c r="J521" s="16">
        <f t="shared" si="326"/>
        <v>-9415.3598342429887</v>
      </c>
      <c r="K521" s="15">
        <f t="shared" si="327"/>
        <v>22.170849845882874</v>
      </c>
      <c r="L521" s="75">
        <f>K521*(1-PARAM!$C$27)*$I$5+(MOD($B521,60)=PARAM!$B$56)*($B521&gt;(60-PARAM!$B$56))*HLOOKUP(($B521+PARAM!$B$56)/12,Loyalty,2)*$F$1*MAX(N520,0)</f>
        <v>18.557001321003963</v>
      </c>
      <c r="M521" s="75">
        <f>PARAM!$C$26+MAX($G$5-CHOOSE(PARAM!$B$44,MAX(0,N520*$F$1),0),0)*RATES!$L497/12+$H$5*(PARAM!$D$51/12)*RATES!$N497/100</f>
        <v>132.04166666666669</v>
      </c>
      <c r="N521" s="16">
        <f t="shared" si="328"/>
        <v>-9356.2910383062808</v>
      </c>
      <c r="O521" s="15">
        <f t="shared" si="329"/>
        <v>22.170849845882874</v>
      </c>
      <c r="P521" s="75">
        <f>O521*(1-PARAM!$C$27)*$I$6+(MOD($B521,60)=PARAM!$B$56)*($B521&gt;(60-PARAM!$B$56))*HLOOKUP(($B521+PARAM!$B$56)/12,Loyalty,2)*$F$1*MAX(R520,0)</f>
        <v>18.557001321003963</v>
      </c>
      <c r="Q521" s="75">
        <f>PARAM!$C$26+MAX($G$6-CHOOSE(PARAM!$B$44,MAX(0,R520*$F$1),0),0)*RATES!$L497/12+$H$6*(PARAM!$D$51/12)*RATES!$N497/100</f>
        <v>132.04166666666669</v>
      </c>
      <c r="R521" s="16">
        <f t="shared" si="330"/>
        <v>-9356.2910383062808</v>
      </c>
      <c r="S521" s="15">
        <f t="shared" si="305"/>
        <v>22.170849845882874</v>
      </c>
      <c r="T521" s="75">
        <f>S521*(1-PARAM!$C$27)*$I$7+(MOD($B521,60)=PARAM!$B$56)*($B521&gt;(60-PARAM!$B$56))*HLOOKUP(($B521+PARAM!$B$56)/12,Loyalty,2)*$F$1*MAX(V520,0)</f>
        <v>18.557001321003963</v>
      </c>
      <c r="U521" s="75">
        <f>PARAM!$C$26+MAX($G$7-CHOOSE(PARAM!$B$44,MAX(0,V520*$F$1),0),0)*RATES!$L497/12+$H$7*(PARAM!$D$51/12)*RATES!$N497/100</f>
        <v>132.04166666666669</v>
      </c>
      <c r="V521" s="16">
        <f t="shared" si="331"/>
        <v>-9356.2910383062808</v>
      </c>
      <c r="W521" s="15">
        <f t="shared" si="306"/>
        <v>22.170849845882874</v>
      </c>
      <c r="X521" s="75">
        <f>W521*(1-PARAM!$C$27)*$I$8+(MOD($B521,60)=PARAM!$B$56)*($B521&gt;(60-PARAM!$B$56))*HLOOKUP(($B521+PARAM!$B$56)/12,Loyalty,2)*$F$1*MAX(Z520,0)</f>
        <v>18.557001321003963</v>
      </c>
      <c r="Y521" s="75">
        <f>PARAM!$C$26+MAX($G$8-CHOOSE(PARAM!$B$44,MAX(0,Z520*$F$1),0),0)*RATES!$L497/12+$H$8*(PARAM!$D$51/12)*RATES!$N497/100</f>
        <v>132.04166666666669</v>
      </c>
      <c r="Z521" s="16">
        <f t="shared" si="332"/>
        <v>-9356.2910383062808</v>
      </c>
      <c r="AA521" s="15">
        <f t="shared" si="307"/>
        <v>22.170849845882874</v>
      </c>
      <c r="AB521" s="75">
        <f>AA521*(1-PARAM!$C$27)*$I$9+(MOD($B521,60)=PARAM!$B$56)*($B521&gt;(60-PARAM!$B$56))*HLOOKUP(($B521+PARAM!$B$56)/12,Loyalty,2)*$F$1*MAX(AD520,0)</f>
        <v>18.557001321003963</v>
      </c>
      <c r="AC521" s="75">
        <f>PARAM!$C$26+MAX($G$9-CHOOSE(PARAM!$B$44,MAX(0,AD520*$F$1),0),0)*RATES!$L497/12+$H$9*(PARAM!$D$51/12)*RATES!$N497/100</f>
        <v>132.04166666666669</v>
      </c>
      <c r="AD521" s="16">
        <f t="shared" si="333"/>
        <v>-9356.2910383062808</v>
      </c>
      <c r="AE521" s="15">
        <f t="shared" si="308"/>
        <v>22.170849845882874</v>
      </c>
      <c r="AF521" s="75">
        <f>AE521*(1-PARAM!$C$27)*$I$10+(MOD($B521,60)=PARAM!$B$56)*($B521&gt;(60-PARAM!$B$56))*HLOOKUP(($B521+PARAM!$B$56)/12,Loyalty,2)*$F$1*MAX(AH520,0)</f>
        <v>18.557001321003963</v>
      </c>
      <c r="AG521" s="75">
        <f>PARAM!$C$26+MAX($G$10-CHOOSE(PARAM!$B$44,MAX(0,AH520*$F$1),0),0)*RATES!$L497/12+$H$10*(PARAM!$D$51/12)*RATES!$N497/100</f>
        <v>132.04166666666669</v>
      </c>
      <c r="AH521" s="16">
        <f t="shared" si="334"/>
        <v>-9356.2910383062808</v>
      </c>
      <c r="AI521" s="15">
        <f t="shared" si="309"/>
        <v>22.170849845882874</v>
      </c>
      <c r="AJ521" s="75">
        <f>AI521*(1-PARAM!$C$27)*$I$11+(MOD($B521,60)=PARAM!$B$56)*($B521&gt;(60-PARAM!$B$56))*HLOOKUP(($B521+PARAM!$B$56)/12,Loyalty,2)*$F$1*MAX(AL520,0)</f>
        <v>18.557001321003963</v>
      </c>
      <c r="AK521" s="75">
        <f>PARAM!$C$26+MAX($G$11-CHOOSE(PARAM!$B$44,MAX(0,AL520*$F$1),0),0)*RATES!$L497/12+$H$11*(PARAM!$D$51/12)*RATES!$N497/100</f>
        <v>132.04166666666669</v>
      </c>
      <c r="AL521" s="16">
        <f t="shared" si="335"/>
        <v>-9356.2910383062808</v>
      </c>
      <c r="AM521" s="15">
        <f t="shared" si="310"/>
        <v>22.170849845882874</v>
      </c>
      <c r="AN521" s="75">
        <f>AM521*(1-PARAM!$C$27)*$I$12+(MOD($B521,60)=PARAM!$B$56)*($B521&gt;(60-PARAM!$B$56))*HLOOKUP(($B521+PARAM!$B$56)/12,Loyalty,2)*$F$1*MAX(AP520,0)</f>
        <v>18.557001321003963</v>
      </c>
      <c r="AO521" s="75">
        <f>PARAM!$C$26+MAX($G$12-CHOOSE(PARAM!$B$44,MAX(0,AP520*$F$1),0),0)*RATES!$L497/12+$H$12*(PARAM!$D$51/12)*RATES!$N497/100</f>
        <v>132.04166666666669</v>
      </c>
      <c r="AP521" s="16">
        <f t="shared" si="336"/>
        <v>-9356.2910383062808</v>
      </c>
      <c r="AQ521" s="15">
        <f t="shared" si="311"/>
        <v>22.170849845882874</v>
      </c>
      <c r="AR521" s="75">
        <f>AQ521*(1-PARAM!$C$27)*$I$13+(MOD($B521,60)=PARAM!$B$56)*($B521&gt;(60-PARAM!$B$56))*HLOOKUP(($B521+PARAM!$B$56)/12,Loyalty,2)*$F$1*MAX(AT520,0)</f>
        <v>18.557001321003963</v>
      </c>
      <c r="AS521" s="75">
        <f>PARAM!$C$26+MAX($G$13-CHOOSE(PARAM!$B$44,MAX(0,AT520*$F$1),0),0)*RATES!$L497/12+$H$13*(PARAM!$D$51/12)*RATES!$N497/100</f>
        <v>132.04166666666669</v>
      </c>
      <c r="AT521" s="16">
        <f t="shared" si="337"/>
        <v>-9356.2910383062808</v>
      </c>
      <c r="AU521" s="15">
        <f t="shared" si="312"/>
        <v>22.170849845882874</v>
      </c>
      <c r="AV521" s="75">
        <f>AU521*(1-PARAM!$C$27)*$I$14+(MOD($B521,60)=PARAM!$B$56)*($B521&gt;(60-PARAM!$B$56))*HLOOKUP(($B521+PARAM!$B$56)/12,Loyalty,2)*$F$1*MAX(AX520,0)</f>
        <v>18.557001321003963</v>
      </c>
      <c r="AW521" s="75">
        <f>PARAM!$C$26+MAX($G$14-CHOOSE(PARAM!$B$44,MAX(0,AX520*$F$1),0),0)*RATES!$L497/12+$H$14*(PARAM!$D$51/12)*RATES!$N497/100</f>
        <v>132.04166666666669</v>
      </c>
      <c r="AX521" s="16">
        <f t="shared" si="338"/>
        <v>-9356.2910383062808</v>
      </c>
      <c r="AY521" s="15">
        <f t="shared" si="313"/>
        <v>22.170849845882874</v>
      </c>
      <c r="AZ521" s="75">
        <f>AY521*(1-PARAM!$C$27)*$I$15+(MOD($B521,60)=PARAM!$B$56)*($B521&gt;(60-PARAM!$B$56))*HLOOKUP(($B521+PARAM!$B$56)/12,Loyalty,2)*$F$1*MAX(BB520,0)</f>
        <v>18.557001321003963</v>
      </c>
      <c r="BA521" s="75">
        <f>PARAM!$C$26+MAX($G$15-CHOOSE(PARAM!$B$44,MAX(0,BB520*$F$1),0),0)*RATES!$L497/12+$H$15*(PARAM!$D$51/12)*RATES!$N497/100</f>
        <v>132.04166666666669</v>
      </c>
      <c r="BB521" s="16">
        <f t="shared" si="339"/>
        <v>-9356.2910383062808</v>
      </c>
      <c r="BC521" s="15">
        <f t="shared" si="314"/>
        <v>22.170849845882874</v>
      </c>
      <c r="BD521" s="75">
        <f>BC521*(1-PARAM!$C$27)*$I$16+(MOD($B521,60)=PARAM!$B$56)*($B521&gt;(60-PARAM!$B$56))*HLOOKUP(($B521+PARAM!$B$56)/12,Loyalty,2)*$F$1*MAX(BF520,0)</f>
        <v>18.557001321003963</v>
      </c>
      <c r="BE521" s="75">
        <f>PARAM!$C$26+MAX($G$16-CHOOSE(PARAM!$B$44,MAX(0,BF520*$F$1),0),0)*RATES!$L497/12+$H$16*(PARAM!$D$51/12)*RATES!$N497/100</f>
        <v>132.04166666666669</v>
      </c>
      <c r="BF521" s="16">
        <f t="shared" si="340"/>
        <v>-9356.2910383062808</v>
      </c>
      <c r="BG521" s="15">
        <f t="shared" si="315"/>
        <v>22.170849845882874</v>
      </c>
      <c r="BH521" s="75">
        <f>BG521*(1-PARAM!$C$27)*$I$17+(MOD($B521,60)=PARAM!$B$56)*($B521&gt;(60-PARAM!$B$56))*HLOOKUP(($B521+PARAM!$B$56)/12,Loyalty,2)*$F$1*MAX(BJ520,0)</f>
        <v>18.557001321003963</v>
      </c>
      <c r="BI521" s="75">
        <f>PARAM!$C$26+MAX($G$17-CHOOSE(PARAM!$B$44,MAX(0,BJ520*$F$1),0),0)*RATES!$L497/12+$H$17*(PARAM!$D$51/12)*RATES!$N497/100</f>
        <v>132.04166666666669</v>
      </c>
      <c r="BJ521" s="16">
        <f t="shared" si="341"/>
        <v>-9356.2910383062808</v>
      </c>
      <c r="BK521" s="15">
        <f t="shared" si="316"/>
        <v>22.170849845882874</v>
      </c>
      <c r="BL521" s="75">
        <f>BK521*(1-PARAM!$C$27)*$I$18+(MOD($B521,60)=PARAM!$B$56)*($B521&gt;(60-PARAM!$B$56))*HLOOKUP(($B521+PARAM!$B$56)/12,Loyalty,2)*$F$1*MAX(BN520,0)</f>
        <v>18.557001321003963</v>
      </c>
      <c r="BM521" s="75">
        <f>PARAM!$C$26+MAX($G$18-CHOOSE(PARAM!$B$44,MAX(0,BN520*$F$1),0),0)*RATES!$L497/12+$H$18*(PARAM!$D$51/12)*RATES!$N497/100</f>
        <v>132.04166666666669</v>
      </c>
      <c r="BN521" s="16">
        <f t="shared" si="342"/>
        <v>-9356.2910383062808</v>
      </c>
      <c r="BO521" s="15">
        <f t="shared" si="317"/>
        <v>22.170849845882874</v>
      </c>
      <c r="BP521" s="75">
        <f>BO521*(1-PARAM!$C$27)*$I$19+(MOD($B521,60)=PARAM!$B$56)*($B521&gt;(60-PARAM!$B$56))*HLOOKUP(($B521+PARAM!$B$56)/12,Loyalty,2)*$F$1*MAX(BR520,0)</f>
        <v>18.557001321003963</v>
      </c>
      <c r="BQ521" s="75">
        <f>PARAM!$C$26+MAX($G$19-CHOOSE(PARAM!$B$44,MAX(0,BR520*$F$1),0),0)*RATES!$L497/12+$H$19*(PARAM!$D$51/12)*RATES!$N497/100</f>
        <v>132.04166666666669</v>
      </c>
      <c r="BR521" s="16">
        <f t="shared" si="343"/>
        <v>-9356.2910383062808</v>
      </c>
      <c r="BS521" s="15">
        <f t="shared" si="318"/>
        <v>22.170849845882874</v>
      </c>
      <c r="BT521" s="75">
        <f>BS521*(1-PARAM!$C$27)*$I$20+(MOD($B521,60)=PARAM!$B$56)*($B521&gt;(60-PARAM!$B$56))*HLOOKUP(($B521+PARAM!$B$56)/12,Loyalty,2)*$F$1*MAX(BV520,0)</f>
        <v>18.557001321003963</v>
      </c>
      <c r="BU521" s="75">
        <f>PARAM!$C$26+MAX($G$20-CHOOSE(PARAM!$B$44,MAX(0,BV520*$F$1),0),0)*RATES!$L497/12+$H$20*(PARAM!$D$51/12)*RATES!$N497/100</f>
        <v>132.04166666666669</v>
      </c>
      <c r="BV521" s="16">
        <f t="shared" si="344"/>
        <v>-9356.2910383062808</v>
      </c>
      <c r="BW521" s="15">
        <f t="shared" si="319"/>
        <v>22.170849845882874</v>
      </c>
      <c r="BX521" s="75">
        <f>BW521*(1-PARAM!$C$27)*$I$21+(MOD($B521,60)=PARAM!$B$56)*($B521&gt;(60-PARAM!$B$56))*HLOOKUP(($B521+PARAM!$B$56)/12,Loyalty,2)*$F$1*MAX(BZ520,0)</f>
        <v>18.557001321003963</v>
      </c>
      <c r="BY521" s="75">
        <f>PARAM!$C$26+MAX($G$21-CHOOSE(PARAM!$B$44,MAX(0,BZ520*$F$1),0),0)*RATES!$L497/12+$H$21*(PARAM!$D$51/12)*RATES!$N497/100</f>
        <v>132.04166666666669</v>
      </c>
      <c r="BZ521" s="16">
        <f t="shared" si="345"/>
        <v>-9356.2910383062808</v>
      </c>
      <c r="CA521" s="15">
        <f t="shared" si="320"/>
        <v>22.170849845882874</v>
      </c>
      <c r="CB521" s="75">
        <f>CA521*(1-PARAM!$C$27)*$I$22+(MOD($B521,60)=PARAM!$B$56)*($B521&gt;(60-PARAM!$B$56))*HLOOKUP(($B521+PARAM!$B$56)/12,Loyalty,2)*$F$1*MAX(CD520,0)</f>
        <v>18.557001321003963</v>
      </c>
      <c r="CC521" s="75">
        <f>PARAM!$C$26+MAX($G$22-CHOOSE(PARAM!$B$44,MAX(0,CD520*$F$1),0),0)*RATES!$L497/12+$H$22*(PARAM!$D$51/12)*RATES!$N497/100</f>
        <v>132.04166666666669</v>
      </c>
      <c r="CD521" s="16">
        <f t="shared" si="346"/>
        <v>-9356.2910383062808</v>
      </c>
      <c r="CE521" s="33">
        <f>IF(0=MOD(B521,12/PARAM!$D$51),1,0)</f>
        <v>1</v>
      </c>
      <c r="CF521" s="15">
        <f t="shared" si="321"/>
        <v>0</v>
      </c>
      <c r="CG521" s="75">
        <f>CF521*(1-PARAM!$C$27)*$R$3+(MOD($B521/12,5)=0)*($B521&gt;60)*HLOOKUP($B521/12,Loyalty,2)*$F$1*MAX(CI520,0)</f>
        <v>0</v>
      </c>
      <c r="CH521" s="75">
        <f>PARAM!$C$26+MAX($P$3-CHOOSE(PARAM!$B$44,MAX(0,CI520*$F$1),0),0)*RATES!$L497/12+$Q$3*(PARAM!$D$51/12)*RATES!$N497/100</f>
        <v>132.04166666666669</v>
      </c>
      <c r="CI521" s="16">
        <f>IF(CI520&gt;0,CI520*PARAM!$C$53,CI520)+CG521-CH521</f>
        <v>-18403.874999999993</v>
      </c>
      <c r="CJ521" s="15">
        <f t="shared" si="347"/>
        <v>0</v>
      </c>
      <c r="CK521" s="75">
        <f>CJ521*(1-PARAM!$C$27)*$R$4+(MOD($B521/12,5)=0)*($B521&gt;60)*HLOOKUP($B521/12,Loyalty,2)*$F$1*MAX(CM520,0)</f>
        <v>0</v>
      </c>
      <c r="CL521" s="75">
        <f>PARAM!$C$26+MAX($P$4-CHOOSE(PARAM!$B$44,MAX(0,CM520*$F$1),0),0)*RATES!$L497/12+$Q$4*(PARAM!$D$51/12)*RATES!$N497/100</f>
        <v>132.04166666666669</v>
      </c>
      <c r="CM521" s="16">
        <f>IF(CM520&gt;0,CM520*PARAM!$C$53,CM520)+CK521-CL521</f>
        <v>-18403.874999999993</v>
      </c>
      <c r="CO521" s="176"/>
    </row>
    <row r="522" spans="1:93" x14ac:dyDescent="0.2">
      <c r="A522" t="b">
        <f t="shared" si="322"/>
        <v>0</v>
      </c>
      <c r="B522" s="33">
        <v>495</v>
      </c>
      <c r="C522" s="15">
        <f t="shared" si="323"/>
        <v>20.081305947392778</v>
      </c>
      <c r="D522" s="75">
        <f>C522*(1-PARAM!$C$27)*$I$3+(MOD($B522,60)=PARAM!$B$56)*($B522&gt;(60-PARAM!$B$56))*HLOOKUP(($B522+PARAM!$B$56)/12,Loyalty,2)*$F$1*MAX(F521,0)</f>
        <v>16.808053077967756</v>
      </c>
      <c r="E522" s="75">
        <f>PARAM!$C$26+MAX($G$3-CHOOSE(PARAM!$B$44,MAX(0,F521*$F$1),0),0)*RATES!$L498/12+$H$3*(PARAM!$D$51/12)*RATES!$N498/100</f>
        <v>132.04166666666669</v>
      </c>
      <c r="F522" s="16">
        <f t="shared" si="324"/>
        <v>-10372.355584476352</v>
      </c>
      <c r="G522" s="15">
        <f t="shared" si="325"/>
        <v>22.035289406060361</v>
      </c>
      <c r="H522" s="75">
        <f>G522*(1-PARAM!$C$27)*$I$4+(MOD($B522,60)=PARAM!$B$56)*($B522&gt;(60-PARAM!$B$56))*HLOOKUP(($B522+PARAM!$B$56)/12,Loyalty,2)*$F$1*MAX(J521,0)</f>
        <v>18.443537232872522</v>
      </c>
      <c r="I522" s="75">
        <f>PARAM!$C$26+MAX($G$4-CHOOSE(PARAM!$B$44,MAX(0,J521*$F$1),0),0)*RATES!$L498/12+$H$4*(PARAM!$D$51/12)*RATES!$N498/100</f>
        <v>132.04166666666669</v>
      </c>
      <c r="J522" s="16">
        <f t="shared" si="326"/>
        <v>-9528.957963676783</v>
      </c>
      <c r="K522" s="15">
        <f t="shared" si="327"/>
        <v>22.170849845882874</v>
      </c>
      <c r="L522" s="75">
        <f>K522*(1-PARAM!$C$27)*$I$5+(MOD($B522,60)=PARAM!$B$56)*($B522&gt;(60-PARAM!$B$56))*HLOOKUP(($B522+PARAM!$B$56)/12,Loyalty,2)*$F$1*MAX(N521,0)</f>
        <v>18.557001321003963</v>
      </c>
      <c r="M522" s="75">
        <f>PARAM!$C$26+MAX($G$5-CHOOSE(PARAM!$B$44,MAX(0,N521*$F$1),0),0)*RATES!$L498/12+$H$5*(PARAM!$D$51/12)*RATES!$N498/100</f>
        <v>132.04166666666669</v>
      </c>
      <c r="N522" s="16">
        <f t="shared" si="328"/>
        <v>-9469.7757036519433</v>
      </c>
      <c r="O522" s="15">
        <f t="shared" si="329"/>
        <v>22.170849845882874</v>
      </c>
      <c r="P522" s="75">
        <f>O522*(1-PARAM!$C$27)*$I$6+(MOD($B522,60)=PARAM!$B$56)*($B522&gt;(60-PARAM!$B$56))*HLOOKUP(($B522+PARAM!$B$56)/12,Loyalty,2)*$F$1*MAX(R521,0)</f>
        <v>18.557001321003963</v>
      </c>
      <c r="Q522" s="75">
        <f>PARAM!$C$26+MAX($G$6-CHOOSE(PARAM!$B$44,MAX(0,R521*$F$1),0),0)*RATES!$L498/12+$H$6*(PARAM!$D$51/12)*RATES!$N498/100</f>
        <v>132.04166666666669</v>
      </c>
      <c r="R522" s="16">
        <f t="shared" si="330"/>
        <v>-9469.7757036519433</v>
      </c>
      <c r="S522" s="15">
        <f t="shared" si="305"/>
        <v>22.170849845882874</v>
      </c>
      <c r="T522" s="75">
        <f>S522*(1-PARAM!$C$27)*$I$7+(MOD($B522,60)=PARAM!$B$56)*($B522&gt;(60-PARAM!$B$56))*HLOOKUP(($B522+PARAM!$B$56)/12,Loyalty,2)*$F$1*MAX(V521,0)</f>
        <v>18.557001321003963</v>
      </c>
      <c r="U522" s="75">
        <f>PARAM!$C$26+MAX($G$7-CHOOSE(PARAM!$B$44,MAX(0,V521*$F$1),0),0)*RATES!$L498/12+$H$7*(PARAM!$D$51/12)*RATES!$N498/100</f>
        <v>132.04166666666669</v>
      </c>
      <c r="V522" s="16">
        <f t="shared" si="331"/>
        <v>-9469.7757036519433</v>
      </c>
      <c r="W522" s="15">
        <f t="shared" si="306"/>
        <v>22.170849845882874</v>
      </c>
      <c r="X522" s="75">
        <f>W522*(1-PARAM!$C$27)*$I$8+(MOD($B522,60)=PARAM!$B$56)*($B522&gt;(60-PARAM!$B$56))*HLOOKUP(($B522+PARAM!$B$56)/12,Loyalty,2)*$F$1*MAX(Z521,0)</f>
        <v>18.557001321003963</v>
      </c>
      <c r="Y522" s="75">
        <f>PARAM!$C$26+MAX($G$8-CHOOSE(PARAM!$B$44,MAX(0,Z521*$F$1),0),0)*RATES!$L498/12+$H$8*(PARAM!$D$51/12)*RATES!$N498/100</f>
        <v>132.04166666666669</v>
      </c>
      <c r="Z522" s="16">
        <f t="shared" si="332"/>
        <v>-9469.7757036519433</v>
      </c>
      <c r="AA522" s="15">
        <f t="shared" si="307"/>
        <v>22.170849845882874</v>
      </c>
      <c r="AB522" s="75">
        <f>AA522*(1-PARAM!$C$27)*$I$9+(MOD($B522,60)=PARAM!$B$56)*($B522&gt;(60-PARAM!$B$56))*HLOOKUP(($B522+PARAM!$B$56)/12,Loyalty,2)*$F$1*MAX(AD521,0)</f>
        <v>18.557001321003963</v>
      </c>
      <c r="AC522" s="75">
        <f>PARAM!$C$26+MAX($G$9-CHOOSE(PARAM!$B$44,MAX(0,AD521*$F$1),0),0)*RATES!$L498/12+$H$9*(PARAM!$D$51/12)*RATES!$N498/100</f>
        <v>132.04166666666669</v>
      </c>
      <c r="AD522" s="16">
        <f t="shared" si="333"/>
        <v>-9469.7757036519433</v>
      </c>
      <c r="AE522" s="15">
        <f t="shared" si="308"/>
        <v>22.170849845882874</v>
      </c>
      <c r="AF522" s="75">
        <f>AE522*(1-PARAM!$C$27)*$I$10+(MOD($B522,60)=PARAM!$B$56)*($B522&gt;(60-PARAM!$B$56))*HLOOKUP(($B522+PARAM!$B$56)/12,Loyalty,2)*$F$1*MAX(AH521,0)</f>
        <v>18.557001321003963</v>
      </c>
      <c r="AG522" s="75">
        <f>PARAM!$C$26+MAX($G$10-CHOOSE(PARAM!$B$44,MAX(0,AH521*$F$1),0),0)*RATES!$L498/12+$H$10*(PARAM!$D$51/12)*RATES!$N498/100</f>
        <v>132.04166666666669</v>
      </c>
      <c r="AH522" s="16">
        <f t="shared" si="334"/>
        <v>-9469.7757036519433</v>
      </c>
      <c r="AI522" s="15">
        <f t="shared" si="309"/>
        <v>22.170849845882874</v>
      </c>
      <c r="AJ522" s="75">
        <f>AI522*(1-PARAM!$C$27)*$I$11+(MOD($B522,60)=PARAM!$B$56)*($B522&gt;(60-PARAM!$B$56))*HLOOKUP(($B522+PARAM!$B$56)/12,Loyalty,2)*$F$1*MAX(AL521,0)</f>
        <v>18.557001321003963</v>
      </c>
      <c r="AK522" s="75">
        <f>PARAM!$C$26+MAX($G$11-CHOOSE(PARAM!$B$44,MAX(0,AL521*$F$1),0),0)*RATES!$L498/12+$H$11*(PARAM!$D$51/12)*RATES!$N498/100</f>
        <v>132.04166666666669</v>
      </c>
      <c r="AL522" s="16">
        <f t="shared" si="335"/>
        <v>-9469.7757036519433</v>
      </c>
      <c r="AM522" s="15">
        <f t="shared" si="310"/>
        <v>22.170849845882874</v>
      </c>
      <c r="AN522" s="75">
        <f>AM522*(1-PARAM!$C$27)*$I$12+(MOD($B522,60)=PARAM!$B$56)*($B522&gt;(60-PARAM!$B$56))*HLOOKUP(($B522+PARAM!$B$56)/12,Loyalty,2)*$F$1*MAX(AP521,0)</f>
        <v>18.557001321003963</v>
      </c>
      <c r="AO522" s="75">
        <f>PARAM!$C$26+MAX($G$12-CHOOSE(PARAM!$B$44,MAX(0,AP521*$F$1),0),0)*RATES!$L498/12+$H$12*(PARAM!$D$51/12)*RATES!$N498/100</f>
        <v>132.04166666666669</v>
      </c>
      <c r="AP522" s="16">
        <f t="shared" si="336"/>
        <v>-9469.7757036519433</v>
      </c>
      <c r="AQ522" s="15">
        <f t="shared" si="311"/>
        <v>22.170849845882874</v>
      </c>
      <c r="AR522" s="75">
        <f>AQ522*(1-PARAM!$C$27)*$I$13+(MOD($B522,60)=PARAM!$B$56)*($B522&gt;(60-PARAM!$B$56))*HLOOKUP(($B522+PARAM!$B$56)/12,Loyalty,2)*$F$1*MAX(AT521,0)</f>
        <v>18.557001321003963</v>
      </c>
      <c r="AS522" s="75">
        <f>PARAM!$C$26+MAX($G$13-CHOOSE(PARAM!$B$44,MAX(0,AT521*$F$1),0),0)*RATES!$L498/12+$H$13*(PARAM!$D$51/12)*RATES!$N498/100</f>
        <v>132.04166666666669</v>
      </c>
      <c r="AT522" s="16">
        <f t="shared" si="337"/>
        <v>-9469.7757036519433</v>
      </c>
      <c r="AU522" s="15">
        <f t="shared" si="312"/>
        <v>22.170849845882874</v>
      </c>
      <c r="AV522" s="75">
        <f>AU522*(1-PARAM!$C$27)*$I$14+(MOD($B522,60)=PARAM!$B$56)*($B522&gt;(60-PARAM!$B$56))*HLOOKUP(($B522+PARAM!$B$56)/12,Loyalty,2)*$F$1*MAX(AX521,0)</f>
        <v>18.557001321003963</v>
      </c>
      <c r="AW522" s="75">
        <f>PARAM!$C$26+MAX($G$14-CHOOSE(PARAM!$B$44,MAX(0,AX521*$F$1),0),0)*RATES!$L498/12+$H$14*(PARAM!$D$51/12)*RATES!$N498/100</f>
        <v>132.04166666666669</v>
      </c>
      <c r="AX522" s="16">
        <f t="shared" si="338"/>
        <v>-9469.7757036519433</v>
      </c>
      <c r="AY522" s="15">
        <f t="shared" si="313"/>
        <v>22.170849845882874</v>
      </c>
      <c r="AZ522" s="75">
        <f>AY522*(1-PARAM!$C$27)*$I$15+(MOD($B522,60)=PARAM!$B$56)*($B522&gt;(60-PARAM!$B$56))*HLOOKUP(($B522+PARAM!$B$56)/12,Loyalty,2)*$F$1*MAX(BB521,0)</f>
        <v>18.557001321003963</v>
      </c>
      <c r="BA522" s="75">
        <f>PARAM!$C$26+MAX($G$15-CHOOSE(PARAM!$B$44,MAX(0,BB521*$F$1),0),0)*RATES!$L498/12+$H$15*(PARAM!$D$51/12)*RATES!$N498/100</f>
        <v>132.04166666666669</v>
      </c>
      <c r="BB522" s="16">
        <f t="shared" si="339"/>
        <v>-9469.7757036519433</v>
      </c>
      <c r="BC522" s="15">
        <f t="shared" si="314"/>
        <v>22.170849845882874</v>
      </c>
      <c r="BD522" s="75">
        <f>BC522*(1-PARAM!$C$27)*$I$16+(MOD($B522,60)=PARAM!$B$56)*($B522&gt;(60-PARAM!$B$56))*HLOOKUP(($B522+PARAM!$B$56)/12,Loyalty,2)*$F$1*MAX(BF521,0)</f>
        <v>18.557001321003963</v>
      </c>
      <c r="BE522" s="75">
        <f>PARAM!$C$26+MAX($G$16-CHOOSE(PARAM!$B$44,MAX(0,BF521*$F$1),0),0)*RATES!$L498/12+$H$16*(PARAM!$D$51/12)*RATES!$N498/100</f>
        <v>132.04166666666669</v>
      </c>
      <c r="BF522" s="16">
        <f t="shared" si="340"/>
        <v>-9469.7757036519433</v>
      </c>
      <c r="BG522" s="15">
        <f t="shared" si="315"/>
        <v>22.170849845882874</v>
      </c>
      <c r="BH522" s="75">
        <f>BG522*(1-PARAM!$C$27)*$I$17+(MOD($B522,60)=PARAM!$B$56)*($B522&gt;(60-PARAM!$B$56))*HLOOKUP(($B522+PARAM!$B$56)/12,Loyalty,2)*$F$1*MAX(BJ521,0)</f>
        <v>18.557001321003963</v>
      </c>
      <c r="BI522" s="75">
        <f>PARAM!$C$26+MAX($G$17-CHOOSE(PARAM!$B$44,MAX(0,BJ521*$F$1),0),0)*RATES!$L498/12+$H$17*(PARAM!$D$51/12)*RATES!$N498/100</f>
        <v>132.04166666666669</v>
      </c>
      <c r="BJ522" s="16">
        <f t="shared" si="341"/>
        <v>-9469.7757036519433</v>
      </c>
      <c r="BK522" s="15">
        <f t="shared" si="316"/>
        <v>22.170849845882874</v>
      </c>
      <c r="BL522" s="75">
        <f>BK522*(1-PARAM!$C$27)*$I$18+(MOD($B522,60)=PARAM!$B$56)*($B522&gt;(60-PARAM!$B$56))*HLOOKUP(($B522+PARAM!$B$56)/12,Loyalty,2)*$F$1*MAX(BN521,0)</f>
        <v>18.557001321003963</v>
      </c>
      <c r="BM522" s="75">
        <f>PARAM!$C$26+MAX($G$18-CHOOSE(PARAM!$B$44,MAX(0,BN521*$F$1),0),0)*RATES!$L498/12+$H$18*(PARAM!$D$51/12)*RATES!$N498/100</f>
        <v>132.04166666666669</v>
      </c>
      <c r="BN522" s="16">
        <f t="shared" si="342"/>
        <v>-9469.7757036519433</v>
      </c>
      <c r="BO522" s="15">
        <f t="shared" si="317"/>
        <v>22.170849845882874</v>
      </c>
      <c r="BP522" s="75">
        <f>BO522*(1-PARAM!$C$27)*$I$19+(MOD($B522,60)=PARAM!$B$56)*($B522&gt;(60-PARAM!$B$56))*HLOOKUP(($B522+PARAM!$B$56)/12,Loyalty,2)*$F$1*MAX(BR521,0)</f>
        <v>18.557001321003963</v>
      </c>
      <c r="BQ522" s="75">
        <f>PARAM!$C$26+MAX($G$19-CHOOSE(PARAM!$B$44,MAX(0,BR521*$F$1),0),0)*RATES!$L498/12+$H$19*(PARAM!$D$51/12)*RATES!$N498/100</f>
        <v>132.04166666666669</v>
      </c>
      <c r="BR522" s="16">
        <f t="shared" si="343"/>
        <v>-9469.7757036519433</v>
      </c>
      <c r="BS522" s="15">
        <f t="shared" si="318"/>
        <v>22.170849845882874</v>
      </c>
      <c r="BT522" s="75">
        <f>BS522*(1-PARAM!$C$27)*$I$20+(MOD($B522,60)=PARAM!$B$56)*($B522&gt;(60-PARAM!$B$56))*HLOOKUP(($B522+PARAM!$B$56)/12,Loyalty,2)*$F$1*MAX(BV521,0)</f>
        <v>18.557001321003963</v>
      </c>
      <c r="BU522" s="75">
        <f>PARAM!$C$26+MAX($G$20-CHOOSE(PARAM!$B$44,MAX(0,BV521*$F$1),0),0)*RATES!$L498/12+$H$20*(PARAM!$D$51/12)*RATES!$N498/100</f>
        <v>132.04166666666669</v>
      </c>
      <c r="BV522" s="16">
        <f t="shared" si="344"/>
        <v>-9469.7757036519433</v>
      </c>
      <c r="BW522" s="15">
        <f t="shared" si="319"/>
        <v>22.170849845882874</v>
      </c>
      <c r="BX522" s="75">
        <f>BW522*(1-PARAM!$C$27)*$I$21+(MOD($B522,60)=PARAM!$B$56)*($B522&gt;(60-PARAM!$B$56))*HLOOKUP(($B522+PARAM!$B$56)/12,Loyalty,2)*$F$1*MAX(BZ521,0)</f>
        <v>18.557001321003963</v>
      </c>
      <c r="BY522" s="75">
        <f>PARAM!$C$26+MAX($G$21-CHOOSE(PARAM!$B$44,MAX(0,BZ521*$F$1),0),0)*RATES!$L498/12+$H$21*(PARAM!$D$51/12)*RATES!$N498/100</f>
        <v>132.04166666666669</v>
      </c>
      <c r="BZ522" s="16">
        <f t="shared" si="345"/>
        <v>-9469.7757036519433</v>
      </c>
      <c r="CA522" s="15">
        <f t="shared" si="320"/>
        <v>22.170849845882874</v>
      </c>
      <c r="CB522" s="75">
        <f>CA522*(1-PARAM!$C$27)*$I$22+(MOD($B522,60)=PARAM!$B$56)*($B522&gt;(60-PARAM!$B$56))*HLOOKUP(($B522+PARAM!$B$56)/12,Loyalty,2)*$F$1*MAX(CD521,0)</f>
        <v>18.557001321003963</v>
      </c>
      <c r="CC522" s="75">
        <f>PARAM!$C$26+MAX($G$22-CHOOSE(PARAM!$B$44,MAX(0,CD521*$F$1),0),0)*RATES!$L498/12+$H$22*(PARAM!$D$51/12)*RATES!$N498/100</f>
        <v>132.04166666666669</v>
      </c>
      <c r="CD522" s="16">
        <f t="shared" si="346"/>
        <v>-9469.7757036519433</v>
      </c>
      <c r="CE522" s="33">
        <f>IF(0=MOD(B522,12/PARAM!$D$51),1,0)</f>
        <v>1</v>
      </c>
      <c r="CF522" s="15">
        <f t="shared" si="321"/>
        <v>0</v>
      </c>
      <c r="CG522" s="75">
        <f>CF522*(1-PARAM!$C$27)*$R$3+(MOD($B522/12,5)=0)*($B522&gt;60)*HLOOKUP($B522/12,Loyalty,2)*$F$1*MAX(CI521,0)</f>
        <v>0</v>
      </c>
      <c r="CH522" s="75">
        <f>PARAM!$C$26+MAX($P$3-CHOOSE(PARAM!$B$44,MAX(0,CI521*$F$1),0),0)*RATES!$L498/12+$Q$3*(PARAM!$D$51/12)*RATES!$N498/100</f>
        <v>132.04166666666669</v>
      </c>
      <c r="CI522" s="16">
        <f>IF(CI521&gt;0,CI521*PARAM!$C$53,CI521)+CG522-CH522</f>
        <v>-18535.916666666661</v>
      </c>
      <c r="CJ522" s="15">
        <f t="shared" si="347"/>
        <v>0</v>
      </c>
      <c r="CK522" s="75">
        <f>CJ522*(1-PARAM!$C$27)*$R$4+(MOD($B522/12,5)=0)*($B522&gt;60)*HLOOKUP($B522/12,Loyalty,2)*$F$1*MAX(CM521,0)</f>
        <v>0</v>
      </c>
      <c r="CL522" s="75">
        <f>PARAM!$C$26+MAX($P$4-CHOOSE(PARAM!$B$44,MAX(0,CM521*$F$1),0),0)*RATES!$L498/12+$Q$4*(PARAM!$D$51/12)*RATES!$N498/100</f>
        <v>132.04166666666669</v>
      </c>
      <c r="CM522" s="16">
        <f>IF(CM521&gt;0,CM521*PARAM!$C$53,CM521)+CK522-CL522</f>
        <v>-18535.916666666661</v>
      </c>
      <c r="CO522" s="176"/>
    </row>
    <row r="523" spans="1:93" x14ac:dyDescent="0.2">
      <c r="A523" t="b">
        <f t="shared" si="322"/>
        <v>0</v>
      </c>
      <c r="B523" s="33">
        <v>496</v>
      </c>
      <c r="C523" s="15">
        <f t="shared" si="323"/>
        <v>20.081305947392778</v>
      </c>
      <c r="D523" s="75">
        <f>C523*(1-PARAM!$C$27)*$I$3+(MOD($B523,60)=PARAM!$B$56)*($B523&gt;(60-PARAM!$B$56))*HLOOKUP(($B523+PARAM!$B$56)/12,Loyalty,2)*$F$1*MAX(F522,0)</f>
        <v>16.808053077967756</v>
      </c>
      <c r="E523" s="75">
        <f>PARAM!$C$26+MAX($G$3-CHOOSE(PARAM!$B$44,MAX(0,F522*$F$1),0),0)*RATES!$L499/12+$H$3*(PARAM!$D$51/12)*RATES!$N499/100</f>
        <v>132.04166666666669</v>
      </c>
      <c r="F523" s="16">
        <f t="shared" si="324"/>
        <v>-10487.58919806505</v>
      </c>
      <c r="G523" s="15">
        <f t="shared" si="325"/>
        <v>22.035289406060361</v>
      </c>
      <c r="H523" s="75">
        <f>G523*(1-PARAM!$C$27)*$I$4+(MOD($B523,60)=PARAM!$B$56)*($B523&gt;(60-PARAM!$B$56))*HLOOKUP(($B523+PARAM!$B$56)/12,Loyalty,2)*$F$1*MAX(J522,0)</f>
        <v>18.443537232872522</v>
      </c>
      <c r="I523" s="75">
        <f>PARAM!$C$26+MAX($G$4-CHOOSE(PARAM!$B$44,MAX(0,J522*$F$1),0),0)*RATES!$L499/12+$H$4*(PARAM!$D$51/12)*RATES!$N499/100</f>
        <v>132.04166666666669</v>
      </c>
      <c r="J523" s="16">
        <f t="shared" si="326"/>
        <v>-9642.5560931105774</v>
      </c>
      <c r="K523" s="15">
        <f t="shared" si="327"/>
        <v>22.170849845882874</v>
      </c>
      <c r="L523" s="75">
        <f>K523*(1-PARAM!$C$27)*$I$5+(MOD($B523,60)=PARAM!$B$56)*($B523&gt;(60-PARAM!$B$56))*HLOOKUP(($B523+PARAM!$B$56)/12,Loyalty,2)*$F$1*MAX(N522,0)</f>
        <v>18.557001321003963</v>
      </c>
      <c r="M523" s="75">
        <f>PARAM!$C$26+MAX($G$5-CHOOSE(PARAM!$B$44,MAX(0,N522*$F$1),0),0)*RATES!$L499/12+$H$5*(PARAM!$D$51/12)*RATES!$N499/100</f>
        <v>132.04166666666669</v>
      </c>
      <c r="N523" s="16">
        <f t="shared" si="328"/>
        <v>-9583.2603689976058</v>
      </c>
      <c r="O523" s="15">
        <f t="shared" si="329"/>
        <v>22.170849845882874</v>
      </c>
      <c r="P523" s="75">
        <f>O523*(1-PARAM!$C$27)*$I$6+(MOD($B523,60)=PARAM!$B$56)*($B523&gt;(60-PARAM!$B$56))*HLOOKUP(($B523+PARAM!$B$56)/12,Loyalty,2)*$F$1*MAX(R522,0)</f>
        <v>18.557001321003963</v>
      </c>
      <c r="Q523" s="75">
        <f>PARAM!$C$26+MAX($G$6-CHOOSE(PARAM!$B$44,MAX(0,R522*$F$1),0),0)*RATES!$L499/12+$H$6*(PARAM!$D$51/12)*RATES!$N499/100</f>
        <v>132.04166666666669</v>
      </c>
      <c r="R523" s="16">
        <f t="shared" si="330"/>
        <v>-9583.2603689976058</v>
      </c>
      <c r="S523" s="15">
        <f t="shared" si="305"/>
        <v>22.170849845882874</v>
      </c>
      <c r="T523" s="75">
        <f>S523*(1-PARAM!$C$27)*$I$7+(MOD($B523,60)=PARAM!$B$56)*($B523&gt;(60-PARAM!$B$56))*HLOOKUP(($B523+PARAM!$B$56)/12,Loyalty,2)*$F$1*MAX(V522,0)</f>
        <v>18.557001321003963</v>
      </c>
      <c r="U523" s="75">
        <f>PARAM!$C$26+MAX($G$7-CHOOSE(PARAM!$B$44,MAX(0,V522*$F$1),0),0)*RATES!$L499/12+$H$7*(PARAM!$D$51/12)*RATES!$N499/100</f>
        <v>132.04166666666669</v>
      </c>
      <c r="V523" s="16">
        <f t="shared" si="331"/>
        <v>-9583.2603689976058</v>
      </c>
      <c r="W523" s="15">
        <f t="shared" si="306"/>
        <v>22.170849845882874</v>
      </c>
      <c r="X523" s="75">
        <f>W523*(1-PARAM!$C$27)*$I$8+(MOD($B523,60)=PARAM!$B$56)*($B523&gt;(60-PARAM!$B$56))*HLOOKUP(($B523+PARAM!$B$56)/12,Loyalty,2)*$F$1*MAX(Z522,0)</f>
        <v>18.557001321003963</v>
      </c>
      <c r="Y523" s="75">
        <f>PARAM!$C$26+MAX($G$8-CHOOSE(PARAM!$B$44,MAX(0,Z522*$F$1),0),0)*RATES!$L499/12+$H$8*(PARAM!$D$51/12)*RATES!$N499/100</f>
        <v>132.04166666666669</v>
      </c>
      <c r="Z523" s="16">
        <f t="shared" si="332"/>
        <v>-9583.2603689976058</v>
      </c>
      <c r="AA523" s="15">
        <f t="shared" si="307"/>
        <v>22.170849845882874</v>
      </c>
      <c r="AB523" s="75">
        <f>AA523*(1-PARAM!$C$27)*$I$9+(MOD($B523,60)=PARAM!$B$56)*($B523&gt;(60-PARAM!$B$56))*HLOOKUP(($B523+PARAM!$B$56)/12,Loyalty,2)*$F$1*MAX(AD522,0)</f>
        <v>18.557001321003963</v>
      </c>
      <c r="AC523" s="75">
        <f>PARAM!$C$26+MAX($G$9-CHOOSE(PARAM!$B$44,MAX(0,AD522*$F$1),0),0)*RATES!$L499/12+$H$9*(PARAM!$D$51/12)*RATES!$N499/100</f>
        <v>132.04166666666669</v>
      </c>
      <c r="AD523" s="16">
        <f t="shared" si="333"/>
        <v>-9583.2603689976058</v>
      </c>
      <c r="AE523" s="15">
        <f t="shared" si="308"/>
        <v>22.170849845882874</v>
      </c>
      <c r="AF523" s="75">
        <f>AE523*(1-PARAM!$C$27)*$I$10+(MOD($B523,60)=PARAM!$B$56)*($B523&gt;(60-PARAM!$B$56))*HLOOKUP(($B523+PARAM!$B$56)/12,Loyalty,2)*$F$1*MAX(AH522,0)</f>
        <v>18.557001321003963</v>
      </c>
      <c r="AG523" s="75">
        <f>PARAM!$C$26+MAX($G$10-CHOOSE(PARAM!$B$44,MAX(0,AH522*$F$1),0),0)*RATES!$L499/12+$H$10*(PARAM!$D$51/12)*RATES!$N499/100</f>
        <v>132.04166666666669</v>
      </c>
      <c r="AH523" s="16">
        <f t="shared" si="334"/>
        <v>-9583.2603689976058</v>
      </c>
      <c r="AI523" s="15">
        <f t="shared" si="309"/>
        <v>22.170849845882874</v>
      </c>
      <c r="AJ523" s="75">
        <f>AI523*(1-PARAM!$C$27)*$I$11+(MOD($B523,60)=PARAM!$B$56)*($B523&gt;(60-PARAM!$B$56))*HLOOKUP(($B523+PARAM!$B$56)/12,Loyalty,2)*$F$1*MAX(AL522,0)</f>
        <v>18.557001321003963</v>
      </c>
      <c r="AK523" s="75">
        <f>PARAM!$C$26+MAX($G$11-CHOOSE(PARAM!$B$44,MAX(0,AL522*$F$1),0),0)*RATES!$L499/12+$H$11*(PARAM!$D$51/12)*RATES!$N499/100</f>
        <v>132.04166666666669</v>
      </c>
      <c r="AL523" s="16">
        <f t="shared" si="335"/>
        <v>-9583.2603689976058</v>
      </c>
      <c r="AM523" s="15">
        <f t="shared" si="310"/>
        <v>22.170849845882874</v>
      </c>
      <c r="AN523" s="75">
        <f>AM523*(1-PARAM!$C$27)*$I$12+(MOD($B523,60)=PARAM!$B$56)*($B523&gt;(60-PARAM!$B$56))*HLOOKUP(($B523+PARAM!$B$56)/12,Loyalty,2)*$F$1*MAX(AP522,0)</f>
        <v>18.557001321003963</v>
      </c>
      <c r="AO523" s="75">
        <f>PARAM!$C$26+MAX($G$12-CHOOSE(PARAM!$B$44,MAX(0,AP522*$F$1),0),0)*RATES!$L499/12+$H$12*(PARAM!$D$51/12)*RATES!$N499/100</f>
        <v>132.04166666666669</v>
      </c>
      <c r="AP523" s="16">
        <f t="shared" si="336"/>
        <v>-9583.2603689976058</v>
      </c>
      <c r="AQ523" s="15">
        <f t="shared" si="311"/>
        <v>22.170849845882874</v>
      </c>
      <c r="AR523" s="75">
        <f>AQ523*(1-PARAM!$C$27)*$I$13+(MOD($B523,60)=PARAM!$B$56)*($B523&gt;(60-PARAM!$B$56))*HLOOKUP(($B523+PARAM!$B$56)/12,Loyalty,2)*$F$1*MAX(AT522,0)</f>
        <v>18.557001321003963</v>
      </c>
      <c r="AS523" s="75">
        <f>PARAM!$C$26+MAX($G$13-CHOOSE(PARAM!$B$44,MAX(0,AT522*$F$1),0),0)*RATES!$L499/12+$H$13*(PARAM!$D$51/12)*RATES!$N499/100</f>
        <v>132.04166666666669</v>
      </c>
      <c r="AT523" s="16">
        <f t="shared" si="337"/>
        <v>-9583.2603689976058</v>
      </c>
      <c r="AU523" s="15">
        <f t="shared" si="312"/>
        <v>22.170849845882874</v>
      </c>
      <c r="AV523" s="75">
        <f>AU523*(1-PARAM!$C$27)*$I$14+(MOD($B523,60)=PARAM!$B$56)*($B523&gt;(60-PARAM!$B$56))*HLOOKUP(($B523+PARAM!$B$56)/12,Loyalty,2)*$F$1*MAX(AX522,0)</f>
        <v>18.557001321003963</v>
      </c>
      <c r="AW523" s="75">
        <f>PARAM!$C$26+MAX($G$14-CHOOSE(PARAM!$B$44,MAX(0,AX522*$F$1),0),0)*RATES!$L499/12+$H$14*(PARAM!$D$51/12)*RATES!$N499/100</f>
        <v>132.04166666666669</v>
      </c>
      <c r="AX523" s="16">
        <f t="shared" si="338"/>
        <v>-9583.2603689976058</v>
      </c>
      <c r="AY523" s="15">
        <f t="shared" si="313"/>
        <v>22.170849845882874</v>
      </c>
      <c r="AZ523" s="75">
        <f>AY523*(1-PARAM!$C$27)*$I$15+(MOD($B523,60)=PARAM!$B$56)*($B523&gt;(60-PARAM!$B$56))*HLOOKUP(($B523+PARAM!$B$56)/12,Loyalty,2)*$F$1*MAX(BB522,0)</f>
        <v>18.557001321003963</v>
      </c>
      <c r="BA523" s="75">
        <f>PARAM!$C$26+MAX($G$15-CHOOSE(PARAM!$B$44,MAX(0,BB522*$F$1),0),0)*RATES!$L499/12+$H$15*(PARAM!$D$51/12)*RATES!$N499/100</f>
        <v>132.04166666666669</v>
      </c>
      <c r="BB523" s="16">
        <f t="shared" si="339"/>
        <v>-9583.2603689976058</v>
      </c>
      <c r="BC523" s="15">
        <f t="shared" si="314"/>
        <v>22.170849845882874</v>
      </c>
      <c r="BD523" s="75">
        <f>BC523*(1-PARAM!$C$27)*$I$16+(MOD($B523,60)=PARAM!$B$56)*($B523&gt;(60-PARAM!$B$56))*HLOOKUP(($B523+PARAM!$B$56)/12,Loyalty,2)*$F$1*MAX(BF522,0)</f>
        <v>18.557001321003963</v>
      </c>
      <c r="BE523" s="75">
        <f>PARAM!$C$26+MAX($G$16-CHOOSE(PARAM!$B$44,MAX(0,BF522*$F$1),0),0)*RATES!$L499/12+$H$16*(PARAM!$D$51/12)*RATES!$N499/100</f>
        <v>132.04166666666669</v>
      </c>
      <c r="BF523" s="16">
        <f t="shared" si="340"/>
        <v>-9583.2603689976058</v>
      </c>
      <c r="BG523" s="15">
        <f t="shared" si="315"/>
        <v>22.170849845882874</v>
      </c>
      <c r="BH523" s="75">
        <f>BG523*(1-PARAM!$C$27)*$I$17+(MOD($B523,60)=PARAM!$B$56)*($B523&gt;(60-PARAM!$B$56))*HLOOKUP(($B523+PARAM!$B$56)/12,Loyalty,2)*$F$1*MAX(BJ522,0)</f>
        <v>18.557001321003963</v>
      </c>
      <c r="BI523" s="75">
        <f>PARAM!$C$26+MAX($G$17-CHOOSE(PARAM!$B$44,MAX(0,BJ522*$F$1),0),0)*RATES!$L499/12+$H$17*(PARAM!$D$51/12)*RATES!$N499/100</f>
        <v>132.04166666666669</v>
      </c>
      <c r="BJ523" s="16">
        <f t="shared" si="341"/>
        <v>-9583.2603689976058</v>
      </c>
      <c r="BK523" s="15">
        <f t="shared" si="316"/>
        <v>22.170849845882874</v>
      </c>
      <c r="BL523" s="75">
        <f>BK523*(1-PARAM!$C$27)*$I$18+(MOD($B523,60)=PARAM!$B$56)*($B523&gt;(60-PARAM!$B$56))*HLOOKUP(($B523+PARAM!$B$56)/12,Loyalty,2)*$F$1*MAX(BN522,0)</f>
        <v>18.557001321003963</v>
      </c>
      <c r="BM523" s="75">
        <f>PARAM!$C$26+MAX($G$18-CHOOSE(PARAM!$B$44,MAX(0,BN522*$F$1),0),0)*RATES!$L499/12+$H$18*(PARAM!$D$51/12)*RATES!$N499/100</f>
        <v>132.04166666666669</v>
      </c>
      <c r="BN523" s="16">
        <f t="shared" si="342"/>
        <v>-9583.2603689976058</v>
      </c>
      <c r="BO523" s="15">
        <f t="shared" si="317"/>
        <v>22.170849845882874</v>
      </c>
      <c r="BP523" s="75">
        <f>BO523*(1-PARAM!$C$27)*$I$19+(MOD($B523,60)=PARAM!$B$56)*($B523&gt;(60-PARAM!$B$56))*HLOOKUP(($B523+PARAM!$B$56)/12,Loyalty,2)*$F$1*MAX(BR522,0)</f>
        <v>18.557001321003963</v>
      </c>
      <c r="BQ523" s="75">
        <f>PARAM!$C$26+MAX($G$19-CHOOSE(PARAM!$B$44,MAX(0,BR522*$F$1),0),0)*RATES!$L499/12+$H$19*(PARAM!$D$51/12)*RATES!$N499/100</f>
        <v>132.04166666666669</v>
      </c>
      <c r="BR523" s="16">
        <f t="shared" si="343"/>
        <v>-9583.2603689976058</v>
      </c>
      <c r="BS523" s="15">
        <f t="shared" si="318"/>
        <v>22.170849845882874</v>
      </c>
      <c r="BT523" s="75">
        <f>BS523*(1-PARAM!$C$27)*$I$20+(MOD($B523,60)=PARAM!$B$56)*($B523&gt;(60-PARAM!$B$56))*HLOOKUP(($B523+PARAM!$B$56)/12,Loyalty,2)*$F$1*MAX(BV522,0)</f>
        <v>18.557001321003963</v>
      </c>
      <c r="BU523" s="75">
        <f>PARAM!$C$26+MAX($G$20-CHOOSE(PARAM!$B$44,MAX(0,BV522*$F$1),0),0)*RATES!$L499/12+$H$20*(PARAM!$D$51/12)*RATES!$N499/100</f>
        <v>132.04166666666669</v>
      </c>
      <c r="BV523" s="16">
        <f t="shared" si="344"/>
        <v>-9583.2603689976058</v>
      </c>
      <c r="BW523" s="15">
        <f t="shared" si="319"/>
        <v>22.170849845882874</v>
      </c>
      <c r="BX523" s="75">
        <f>BW523*(1-PARAM!$C$27)*$I$21+(MOD($B523,60)=PARAM!$B$56)*($B523&gt;(60-PARAM!$B$56))*HLOOKUP(($B523+PARAM!$B$56)/12,Loyalty,2)*$F$1*MAX(BZ522,0)</f>
        <v>18.557001321003963</v>
      </c>
      <c r="BY523" s="75">
        <f>PARAM!$C$26+MAX($G$21-CHOOSE(PARAM!$B$44,MAX(0,BZ522*$F$1),0),0)*RATES!$L499/12+$H$21*(PARAM!$D$51/12)*RATES!$N499/100</f>
        <v>132.04166666666669</v>
      </c>
      <c r="BZ523" s="16">
        <f t="shared" si="345"/>
        <v>-9583.2603689976058</v>
      </c>
      <c r="CA523" s="15">
        <f t="shared" si="320"/>
        <v>22.170849845882874</v>
      </c>
      <c r="CB523" s="75">
        <f>CA523*(1-PARAM!$C$27)*$I$22+(MOD($B523,60)=PARAM!$B$56)*($B523&gt;(60-PARAM!$B$56))*HLOOKUP(($B523+PARAM!$B$56)/12,Loyalty,2)*$F$1*MAX(CD522,0)</f>
        <v>18.557001321003963</v>
      </c>
      <c r="CC523" s="75">
        <f>PARAM!$C$26+MAX($G$22-CHOOSE(PARAM!$B$44,MAX(0,CD522*$F$1),0),0)*RATES!$L499/12+$H$22*(PARAM!$D$51/12)*RATES!$N499/100</f>
        <v>132.04166666666669</v>
      </c>
      <c r="CD523" s="16">
        <f t="shared" si="346"/>
        <v>-9583.2603689976058</v>
      </c>
      <c r="CE523" s="33">
        <f>IF(0=MOD(B523,12/PARAM!$D$51),1,0)</f>
        <v>1</v>
      </c>
      <c r="CF523" s="15">
        <f t="shared" si="321"/>
        <v>0</v>
      </c>
      <c r="CG523" s="75">
        <f>CF523*(1-PARAM!$C$27)*$R$3+(MOD($B523/12,5)=0)*($B523&gt;60)*HLOOKUP($B523/12,Loyalty,2)*$F$1*MAX(CI522,0)</f>
        <v>0</v>
      </c>
      <c r="CH523" s="75">
        <f>PARAM!$C$26+MAX($P$3-CHOOSE(PARAM!$B$44,MAX(0,CI522*$F$1),0),0)*RATES!$L499/12+$Q$3*(PARAM!$D$51/12)*RATES!$N499/100</f>
        <v>132.04166666666669</v>
      </c>
      <c r="CI523" s="16">
        <f>IF(CI522&gt;0,CI522*PARAM!$C$53,CI522)+CG523-CH523</f>
        <v>-18667.958333333328</v>
      </c>
      <c r="CJ523" s="15">
        <f t="shared" si="347"/>
        <v>0</v>
      </c>
      <c r="CK523" s="75">
        <f>CJ523*(1-PARAM!$C$27)*$R$4+(MOD($B523/12,5)=0)*($B523&gt;60)*HLOOKUP($B523/12,Loyalty,2)*$F$1*MAX(CM522,0)</f>
        <v>0</v>
      </c>
      <c r="CL523" s="75">
        <f>PARAM!$C$26+MAX($P$4-CHOOSE(PARAM!$B$44,MAX(0,CM522*$F$1),0),0)*RATES!$L499/12+$Q$4*(PARAM!$D$51/12)*RATES!$N499/100</f>
        <v>132.04166666666669</v>
      </c>
      <c r="CM523" s="16">
        <f>IF(CM522&gt;0,CM522*PARAM!$C$53,CM522)+CK523-CL523</f>
        <v>-18667.958333333328</v>
      </c>
      <c r="CO523" s="176"/>
    </row>
    <row r="524" spans="1:93" x14ac:dyDescent="0.2">
      <c r="A524" t="b">
        <f t="shared" si="322"/>
        <v>0</v>
      </c>
      <c r="B524" s="33">
        <v>497</v>
      </c>
      <c r="C524" s="15">
        <f t="shared" si="323"/>
        <v>20.081305947392778</v>
      </c>
      <c r="D524" s="75">
        <f>C524*(1-PARAM!$C$27)*$I$3+(MOD($B524,60)=PARAM!$B$56)*($B524&gt;(60-PARAM!$B$56))*HLOOKUP(($B524+PARAM!$B$56)/12,Loyalty,2)*$F$1*MAX(F523,0)</f>
        <v>16.808053077967756</v>
      </c>
      <c r="E524" s="75">
        <f>PARAM!$C$26+MAX($G$3-CHOOSE(PARAM!$B$44,MAX(0,F523*$F$1),0),0)*RATES!$L500/12+$H$3*(PARAM!$D$51/12)*RATES!$N500/100</f>
        <v>132.04166666666669</v>
      </c>
      <c r="F524" s="16">
        <f t="shared" si="324"/>
        <v>-10602.822811653748</v>
      </c>
      <c r="G524" s="15">
        <f t="shared" si="325"/>
        <v>22.035289406060361</v>
      </c>
      <c r="H524" s="75">
        <f>G524*(1-PARAM!$C$27)*$I$4+(MOD($B524,60)=PARAM!$B$56)*($B524&gt;(60-PARAM!$B$56))*HLOOKUP(($B524+PARAM!$B$56)/12,Loyalty,2)*$F$1*MAX(J523,0)</f>
        <v>18.443537232872522</v>
      </c>
      <c r="I524" s="75">
        <f>PARAM!$C$26+MAX($G$4-CHOOSE(PARAM!$B$44,MAX(0,J523*$F$1),0),0)*RATES!$L500/12+$H$4*(PARAM!$D$51/12)*RATES!$N500/100</f>
        <v>132.04166666666669</v>
      </c>
      <c r="J524" s="16">
        <f t="shared" si="326"/>
        <v>-9756.1542225443718</v>
      </c>
      <c r="K524" s="15">
        <f t="shared" si="327"/>
        <v>22.170849845882874</v>
      </c>
      <c r="L524" s="75">
        <f>K524*(1-PARAM!$C$27)*$I$5+(MOD($B524,60)=PARAM!$B$56)*($B524&gt;(60-PARAM!$B$56))*HLOOKUP(($B524+PARAM!$B$56)/12,Loyalty,2)*$F$1*MAX(N523,0)</f>
        <v>18.557001321003963</v>
      </c>
      <c r="M524" s="75">
        <f>PARAM!$C$26+MAX($G$5-CHOOSE(PARAM!$B$44,MAX(0,N523*$F$1),0),0)*RATES!$L500/12+$H$5*(PARAM!$D$51/12)*RATES!$N500/100</f>
        <v>132.04166666666669</v>
      </c>
      <c r="N524" s="16">
        <f t="shared" si="328"/>
        <v>-9696.7450343432683</v>
      </c>
      <c r="O524" s="15">
        <f t="shared" si="329"/>
        <v>22.170849845882874</v>
      </c>
      <c r="P524" s="75">
        <f>O524*(1-PARAM!$C$27)*$I$6+(MOD($B524,60)=PARAM!$B$56)*($B524&gt;(60-PARAM!$B$56))*HLOOKUP(($B524+PARAM!$B$56)/12,Loyalty,2)*$F$1*MAX(R523,0)</f>
        <v>18.557001321003963</v>
      </c>
      <c r="Q524" s="75">
        <f>PARAM!$C$26+MAX($G$6-CHOOSE(PARAM!$B$44,MAX(0,R523*$F$1),0),0)*RATES!$L500/12+$H$6*(PARAM!$D$51/12)*RATES!$N500/100</f>
        <v>132.04166666666669</v>
      </c>
      <c r="R524" s="16">
        <f t="shared" si="330"/>
        <v>-9696.7450343432683</v>
      </c>
      <c r="S524" s="15">
        <f t="shared" si="305"/>
        <v>22.170849845882874</v>
      </c>
      <c r="T524" s="75">
        <f>S524*(1-PARAM!$C$27)*$I$7+(MOD($B524,60)=PARAM!$B$56)*($B524&gt;(60-PARAM!$B$56))*HLOOKUP(($B524+PARAM!$B$56)/12,Loyalty,2)*$F$1*MAX(V523,0)</f>
        <v>18.557001321003963</v>
      </c>
      <c r="U524" s="75">
        <f>PARAM!$C$26+MAX($G$7-CHOOSE(PARAM!$B$44,MAX(0,V523*$F$1),0),0)*RATES!$L500/12+$H$7*(PARAM!$D$51/12)*RATES!$N500/100</f>
        <v>132.04166666666669</v>
      </c>
      <c r="V524" s="16">
        <f t="shared" si="331"/>
        <v>-9696.7450343432683</v>
      </c>
      <c r="W524" s="15">
        <f t="shared" si="306"/>
        <v>22.170849845882874</v>
      </c>
      <c r="X524" s="75">
        <f>W524*(1-PARAM!$C$27)*$I$8+(MOD($B524,60)=PARAM!$B$56)*($B524&gt;(60-PARAM!$B$56))*HLOOKUP(($B524+PARAM!$B$56)/12,Loyalty,2)*$F$1*MAX(Z523,0)</f>
        <v>18.557001321003963</v>
      </c>
      <c r="Y524" s="75">
        <f>PARAM!$C$26+MAX($G$8-CHOOSE(PARAM!$B$44,MAX(0,Z523*$F$1),0),0)*RATES!$L500/12+$H$8*(PARAM!$D$51/12)*RATES!$N500/100</f>
        <v>132.04166666666669</v>
      </c>
      <c r="Z524" s="16">
        <f t="shared" si="332"/>
        <v>-9696.7450343432683</v>
      </c>
      <c r="AA524" s="15">
        <f t="shared" si="307"/>
        <v>22.170849845882874</v>
      </c>
      <c r="AB524" s="75">
        <f>AA524*(1-PARAM!$C$27)*$I$9+(MOD($B524,60)=PARAM!$B$56)*($B524&gt;(60-PARAM!$B$56))*HLOOKUP(($B524+PARAM!$B$56)/12,Loyalty,2)*$F$1*MAX(AD523,0)</f>
        <v>18.557001321003963</v>
      </c>
      <c r="AC524" s="75">
        <f>PARAM!$C$26+MAX($G$9-CHOOSE(PARAM!$B$44,MAX(0,AD523*$F$1),0),0)*RATES!$L500/12+$H$9*(PARAM!$D$51/12)*RATES!$N500/100</f>
        <v>132.04166666666669</v>
      </c>
      <c r="AD524" s="16">
        <f t="shared" si="333"/>
        <v>-9696.7450343432683</v>
      </c>
      <c r="AE524" s="15">
        <f t="shared" si="308"/>
        <v>22.170849845882874</v>
      </c>
      <c r="AF524" s="75">
        <f>AE524*(1-PARAM!$C$27)*$I$10+(MOD($B524,60)=PARAM!$B$56)*($B524&gt;(60-PARAM!$B$56))*HLOOKUP(($B524+PARAM!$B$56)/12,Loyalty,2)*$F$1*MAX(AH523,0)</f>
        <v>18.557001321003963</v>
      </c>
      <c r="AG524" s="75">
        <f>PARAM!$C$26+MAX($G$10-CHOOSE(PARAM!$B$44,MAX(0,AH523*$F$1),0),0)*RATES!$L500/12+$H$10*(PARAM!$D$51/12)*RATES!$N500/100</f>
        <v>132.04166666666669</v>
      </c>
      <c r="AH524" s="16">
        <f t="shared" si="334"/>
        <v>-9696.7450343432683</v>
      </c>
      <c r="AI524" s="15">
        <f t="shared" si="309"/>
        <v>22.170849845882874</v>
      </c>
      <c r="AJ524" s="75">
        <f>AI524*(1-PARAM!$C$27)*$I$11+(MOD($B524,60)=PARAM!$B$56)*($B524&gt;(60-PARAM!$B$56))*HLOOKUP(($B524+PARAM!$B$56)/12,Loyalty,2)*$F$1*MAX(AL523,0)</f>
        <v>18.557001321003963</v>
      </c>
      <c r="AK524" s="75">
        <f>PARAM!$C$26+MAX($G$11-CHOOSE(PARAM!$B$44,MAX(0,AL523*$F$1),0),0)*RATES!$L500/12+$H$11*(PARAM!$D$51/12)*RATES!$N500/100</f>
        <v>132.04166666666669</v>
      </c>
      <c r="AL524" s="16">
        <f t="shared" si="335"/>
        <v>-9696.7450343432683</v>
      </c>
      <c r="AM524" s="15">
        <f t="shared" si="310"/>
        <v>22.170849845882874</v>
      </c>
      <c r="AN524" s="75">
        <f>AM524*(1-PARAM!$C$27)*$I$12+(MOD($B524,60)=PARAM!$B$56)*($B524&gt;(60-PARAM!$B$56))*HLOOKUP(($B524+PARAM!$B$56)/12,Loyalty,2)*$F$1*MAX(AP523,0)</f>
        <v>18.557001321003963</v>
      </c>
      <c r="AO524" s="75">
        <f>PARAM!$C$26+MAX($G$12-CHOOSE(PARAM!$B$44,MAX(0,AP523*$F$1),0),0)*RATES!$L500/12+$H$12*(PARAM!$D$51/12)*RATES!$N500/100</f>
        <v>132.04166666666669</v>
      </c>
      <c r="AP524" s="16">
        <f t="shared" si="336"/>
        <v>-9696.7450343432683</v>
      </c>
      <c r="AQ524" s="15">
        <f t="shared" si="311"/>
        <v>22.170849845882874</v>
      </c>
      <c r="AR524" s="75">
        <f>AQ524*(1-PARAM!$C$27)*$I$13+(MOD($B524,60)=PARAM!$B$56)*($B524&gt;(60-PARAM!$B$56))*HLOOKUP(($B524+PARAM!$B$56)/12,Loyalty,2)*$F$1*MAX(AT523,0)</f>
        <v>18.557001321003963</v>
      </c>
      <c r="AS524" s="75">
        <f>PARAM!$C$26+MAX($G$13-CHOOSE(PARAM!$B$44,MAX(0,AT523*$F$1),0),0)*RATES!$L500/12+$H$13*(PARAM!$D$51/12)*RATES!$N500/100</f>
        <v>132.04166666666669</v>
      </c>
      <c r="AT524" s="16">
        <f t="shared" si="337"/>
        <v>-9696.7450343432683</v>
      </c>
      <c r="AU524" s="15">
        <f t="shared" si="312"/>
        <v>22.170849845882874</v>
      </c>
      <c r="AV524" s="75">
        <f>AU524*(1-PARAM!$C$27)*$I$14+(MOD($B524,60)=PARAM!$B$56)*($B524&gt;(60-PARAM!$B$56))*HLOOKUP(($B524+PARAM!$B$56)/12,Loyalty,2)*$F$1*MAX(AX523,0)</f>
        <v>18.557001321003963</v>
      </c>
      <c r="AW524" s="75">
        <f>PARAM!$C$26+MAX($G$14-CHOOSE(PARAM!$B$44,MAX(0,AX523*$F$1),0),0)*RATES!$L500/12+$H$14*(PARAM!$D$51/12)*RATES!$N500/100</f>
        <v>132.04166666666669</v>
      </c>
      <c r="AX524" s="16">
        <f t="shared" si="338"/>
        <v>-9696.7450343432683</v>
      </c>
      <c r="AY524" s="15">
        <f t="shared" si="313"/>
        <v>22.170849845882874</v>
      </c>
      <c r="AZ524" s="75">
        <f>AY524*(1-PARAM!$C$27)*$I$15+(MOD($B524,60)=PARAM!$B$56)*($B524&gt;(60-PARAM!$B$56))*HLOOKUP(($B524+PARAM!$B$56)/12,Loyalty,2)*$F$1*MAX(BB523,0)</f>
        <v>18.557001321003963</v>
      </c>
      <c r="BA524" s="75">
        <f>PARAM!$C$26+MAX($G$15-CHOOSE(PARAM!$B$44,MAX(0,BB523*$F$1),0),0)*RATES!$L500/12+$H$15*(PARAM!$D$51/12)*RATES!$N500/100</f>
        <v>132.04166666666669</v>
      </c>
      <c r="BB524" s="16">
        <f t="shared" si="339"/>
        <v>-9696.7450343432683</v>
      </c>
      <c r="BC524" s="15">
        <f t="shared" si="314"/>
        <v>22.170849845882874</v>
      </c>
      <c r="BD524" s="75">
        <f>BC524*(1-PARAM!$C$27)*$I$16+(MOD($B524,60)=PARAM!$B$56)*($B524&gt;(60-PARAM!$B$56))*HLOOKUP(($B524+PARAM!$B$56)/12,Loyalty,2)*$F$1*MAX(BF523,0)</f>
        <v>18.557001321003963</v>
      </c>
      <c r="BE524" s="75">
        <f>PARAM!$C$26+MAX($G$16-CHOOSE(PARAM!$B$44,MAX(0,BF523*$F$1),0),0)*RATES!$L500/12+$H$16*(PARAM!$D$51/12)*RATES!$N500/100</f>
        <v>132.04166666666669</v>
      </c>
      <c r="BF524" s="16">
        <f t="shared" si="340"/>
        <v>-9696.7450343432683</v>
      </c>
      <c r="BG524" s="15">
        <f t="shared" si="315"/>
        <v>22.170849845882874</v>
      </c>
      <c r="BH524" s="75">
        <f>BG524*(1-PARAM!$C$27)*$I$17+(MOD($B524,60)=PARAM!$B$56)*($B524&gt;(60-PARAM!$B$56))*HLOOKUP(($B524+PARAM!$B$56)/12,Loyalty,2)*$F$1*MAX(BJ523,0)</f>
        <v>18.557001321003963</v>
      </c>
      <c r="BI524" s="75">
        <f>PARAM!$C$26+MAX($G$17-CHOOSE(PARAM!$B$44,MAX(0,BJ523*$F$1),0),0)*RATES!$L500/12+$H$17*(PARAM!$D$51/12)*RATES!$N500/100</f>
        <v>132.04166666666669</v>
      </c>
      <c r="BJ524" s="16">
        <f t="shared" si="341"/>
        <v>-9696.7450343432683</v>
      </c>
      <c r="BK524" s="15">
        <f t="shared" si="316"/>
        <v>22.170849845882874</v>
      </c>
      <c r="BL524" s="75">
        <f>BK524*(1-PARAM!$C$27)*$I$18+(MOD($B524,60)=PARAM!$B$56)*($B524&gt;(60-PARAM!$B$56))*HLOOKUP(($B524+PARAM!$B$56)/12,Loyalty,2)*$F$1*MAX(BN523,0)</f>
        <v>18.557001321003963</v>
      </c>
      <c r="BM524" s="75">
        <f>PARAM!$C$26+MAX($G$18-CHOOSE(PARAM!$B$44,MAX(0,BN523*$F$1),0),0)*RATES!$L500/12+$H$18*(PARAM!$D$51/12)*RATES!$N500/100</f>
        <v>132.04166666666669</v>
      </c>
      <c r="BN524" s="16">
        <f t="shared" si="342"/>
        <v>-9696.7450343432683</v>
      </c>
      <c r="BO524" s="15">
        <f t="shared" si="317"/>
        <v>22.170849845882874</v>
      </c>
      <c r="BP524" s="75">
        <f>BO524*(1-PARAM!$C$27)*$I$19+(MOD($B524,60)=PARAM!$B$56)*($B524&gt;(60-PARAM!$B$56))*HLOOKUP(($B524+PARAM!$B$56)/12,Loyalty,2)*$F$1*MAX(BR523,0)</f>
        <v>18.557001321003963</v>
      </c>
      <c r="BQ524" s="75">
        <f>PARAM!$C$26+MAX($G$19-CHOOSE(PARAM!$B$44,MAX(0,BR523*$F$1),0),0)*RATES!$L500/12+$H$19*(PARAM!$D$51/12)*RATES!$N500/100</f>
        <v>132.04166666666669</v>
      </c>
      <c r="BR524" s="16">
        <f t="shared" si="343"/>
        <v>-9696.7450343432683</v>
      </c>
      <c r="BS524" s="15">
        <f t="shared" si="318"/>
        <v>22.170849845882874</v>
      </c>
      <c r="BT524" s="75">
        <f>BS524*(1-PARAM!$C$27)*$I$20+(MOD($B524,60)=PARAM!$B$56)*($B524&gt;(60-PARAM!$B$56))*HLOOKUP(($B524+PARAM!$B$56)/12,Loyalty,2)*$F$1*MAX(BV523,0)</f>
        <v>18.557001321003963</v>
      </c>
      <c r="BU524" s="75">
        <f>PARAM!$C$26+MAX($G$20-CHOOSE(PARAM!$B$44,MAX(0,BV523*$F$1),0),0)*RATES!$L500/12+$H$20*(PARAM!$D$51/12)*RATES!$N500/100</f>
        <v>132.04166666666669</v>
      </c>
      <c r="BV524" s="16">
        <f t="shared" si="344"/>
        <v>-9696.7450343432683</v>
      </c>
      <c r="BW524" s="15">
        <f t="shared" si="319"/>
        <v>22.170849845882874</v>
      </c>
      <c r="BX524" s="75">
        <f>BW524*(1-PARAM!$C$27)*$I$21+(MOD($B524,60)=PARAM!$B$56)*($B524&gt;(60-PARAM!$B$56))*HLOOKUP(($B524+PARAM!$B$56)/12,Loyalty,2)*$F$1*MAX(BZ523,0)</f>
        <v>18.557001321003963</v>
      </c>
      <c r="BY524" s="75">
        <f>PARAM!$C$26+MAX($G$21-CHOOSE(PARAM!$B$44,MAX(0,BZ523*$F$1),0),0)*RATES!$L500/12+$H$21*(PARAM!$D$51/12)*RATES!$N500/100</f>
        <v>132.04166666666669</v>
      </c>
      <c r="BZ524" s="16">
        <f t="shared" si="345"/>
        <v>-9696.7450343432683</v>
      </c>
      <c r="CA524" s="15">
        <f t="shared" si="320"/>
        <v>22.170849845882874</v>
      </c>
      <c r="CB524" s="75">
        <f>CA524*(1-PARAM!$C$27)*$I$22+(MOD($B524,60)=PARAM!$B$56)*($B524&gt;(60-PARAM!$B$56))*HLOOKUP(($B524+PARAM!$B$56)/12,Loyalty,2)*$F$1*MAX(CD523,0)</f>
        <v>18.557001321003963</v>
      </c>
      <c r="CC524" s="75">
        <f>PARAM!$C$26+MAX($G$22-CHOOSE(PARAM!$B$44,MAX(0,CD523*$F$1),0),0)*RATES!$L500/12+$H$22*(PARAM!$D$51/12)*RATES!$N500/100</f>
        <v>132.04166666666669</v>
      </c>
      <c r="CD524" s="16">
        <f t="shared" si="346"/>
        <v>-9696.7450343432683</v>
      </c>
      <c r="CE524" s="33">
        <f>IF(0=MOD(B524,12/PARAM!$D$51),1,0)</f>
        <v>1</v>
      </c>
      <c r="CF524" s="15">
        <f t="shared" si="321"/>
        <v>0</v>
      </c>
      <c r="CG524" s="75">
        <f>CF524*(1-PARAM!$C$27)*$R$3+(MOD($B524/12,5)=0)*($B524&gt;60)*HLOOKUP($B524/12,Loyalty,2)*$F$1*MAX(CI523,0)</f>
        <v>0</v>
      </c>
      <c r="CH524" s="75">
        <f>PARAM!$C$26+MAX($P$3-CHOOSE(PARAM!$B$44,MAX(0,CI523*$F$1),0),0)*RATES!$L500/12+$Q$3*(PARAM!$D$51/12)*RATES!$N500/100</f>
        <v>132.04166666666669</v>
      </c>
      <c r="CI524" s="16">
        <f>IF(CI523&gt;0,CI523*PARAM!$C$53,CI523)+CG524-CH524</f>
        <v>-18799.999999999996</v>
      </c>
      <c r="CJ524" s="15">
        <f t="shared" si="347"/>
        <v>0</v>
      </c>
      <c r="CK524" s="75">
        <f>CJ524*(1-PARAM!$C$27)*$R$4+(MOD($B524/12,5)=0)*($B524&gt;60)*HLOOKUP($B524/12,Loyalty,2)*$F$1*MAX(CM523,0)</f>
        <v>0</v>
      </c>
      <c r="CL524" s="75">
        <f>PARAM!$C$26+MAX($P$4-CHOOSE(PARAM!$B$44,MAX(0,CM523*$F$1),0),0)*RATES!$L500/12+$Q$4*(PARAM!$D$51/12)*RATES!$N500/100</f>
        <v>132.04166666666669</v>
      </c>
      <c r="CM524" s="16">
        <f>IF(CM523&gt;0,CM523*PARAM!$C$53,CM523)+CK524-CL524</f>
        <v>-18799.999999999996</v>
      </c>
      <c r="CO524" s="176"/>
    </row>
    <row r="525" spans="1:93" x14ac:dyDescent="0.2">
      <c r="A525" t="b">
        <f t="shared" si="322"/>
        <v>0</v>
      </c>
      <c r="B525" s="33">
        <v>498</v>
      </c>
      <c r="C525" s="15">
        <f t="shared" si="323"/>
        <v>20.081305947392778</v>
      </c>
      <c r="D525" s="75">
        <f>C525*(1-PARAM!$C$27)*$I$3+(MOD($B525,60)=PARAM!$B$56)*($B525&gt;(60-PARAM!$B$56))*HLOOKUP(($B525+PARAM!$B$56)/12,Loyalty,2)*$F$1*MAX(F524,0)</f>
        <v>16.808053077967756</v>
      </c>
      <c r="E525" s="75">
        <f>PARAM!$C$26+MAX($G$3-CHOOSE(PARAM!$B$44,MAX(0,F524*$F$1),0),0)*RATES!$L501/12+$H$3*(PARAM!$D$51/12)*RATES!$N501/100</f>
        <v>145.00000000000003</v>
      </c>
      <c r="F525" s="16">
        <f t="shared" si="324"/>
        <v>-10731.01475857578</v>
      </c>
      <c r="G525" s="15">
        <f t="shared" si="325"/>
        <v>22.035289406060361</v>
      </c>
      <c r="H525" s="75">
        <f>G525*(1-PARAM!$C$27)*$I$4+(MOD($B525,60)=PARAM!$B$56)*($B525&gt;(60-PARAM!$B$56))*HLOOKUP(($B525+PARAM!$B$56)/12,Loyalty,2)*$F$1*MAX(J524,0)</f>
        <v>18.443537232872522</v>
      </c>
      <c r="I525" s="75">
        <f>PARAM!$C$26+MAX($G$4-CHOOSE(PARAM!$B$44,MAX(0,J524*$F$1),0),0)*RATES!$L501/12+$H$4*(PARAM!$D$51/12)*RATES!$N501/100</f>
        <v>145.00000000000003</v>
      </c>
      <c r="J525" s="16">
        <f t="shared" si="326"/>
        <v>-9882.7106853115001</v>
      </c>
      <c r="K525" s="15">
        <f t="shared" si="327"/>
        <v>22.170849845882874</v>
      </c>
      <c r="L525" s="75">
        <f>K525*(1-PARAM!$C$27)*$I$5+(MOD($B525,60)=PARAM!$B$56)*($B525&gt;(60-PARAM!$B$56))*HLOOKUP(($B525+PARAM!$B$56)/12,Loyalty,2)*$F$1*MAX(N524,0)</f>
        <v>18.557001321003963</v>
      </c>
      <c r="M525" s="75">
        <f>PARAM!$C$26+MAX($G$5-CHOOSE(PARAM!$B$44,MAX(0,N524*$F$1),0),0)*RATES!$L501/12+$H$5*(PARAM!$D$51/12)*RATES!$N501/100</f>
        <v>145.00000000000003</v>
      </c>
      <c r="N525" s="16">
        <f t="shared" si="328"/>
        <v>-9823.1880330222648</v>
      </c>
      <c r="O525" s="15">
        <f t="shared" si="329"/>
        <v>22.170849845882874</v>
      </c>
      <c r="P525" s="75">
        <f>O525*(1-PARAM!$C$27)*$I$6+(MOD($B525,60)=PARAM!$B$56)*($B525&gt;(60-PARAM!$B$56))*HLOOKUP(($B525+PARAM!$B$56)/12,Loyalty,2)*$F$1*MAX(R524,0)</f>
        <v>18.557001321003963</v>
      </c>
      <c r="Q525" s="75">
        <f>PARAM!$C$26+MAX($G$6-CHOOSE(PARAM!$B$44,MAX(0,R524*$F$1),0),0)*RATES!$L501/12+$H$6*(PARAM!$D$51/12)*RATES!$N501/100</f>
        <v>145.00000000000003</v>
      </c>
      <c r="R525" s="16">
        <f t="shared" si="330"/>
        <v>-9823.1880330222648</v>
      </c>
      <c r="S525" s="15">
        <f t="shared" si="305"/>
        <v>22.170849845882874</v>
      </c>
      <c r="T525" s="75">
        <f>S525*(1-PARAM!$C$27)*$I$7+(MOD($B525,60)=PARAM!$B$56)*($B525&gt;(60-PARAM!$B$56))*HLOOKUP(($B525+PARAM!$B$56)/12,Loyalty,2)*$F$1*MAX(V524,0)</f>
        <v>18.557001321003963</v>
      </c>
      <c r="U525" s="75">
        <f>PARAM!$C$26+MAX($G$7-CHOOSE(PARAM!$B$44,MAX(0,V524*$F$1),0),0)*RATES!$L501/12+$H$7*(PARAM!$D$51/12)*RATES!$N501/100</f>
        <v>145.00000000000003</v>
      </c>
      <c r="V525" s="16">
        <f t="shared" si="331"/>
        <v>-9823.1880330222648</v>
      </c>
      <c r="W525" s="15">
        <f t="shared" si="306"/>
        <v>22.170849845882874</v>
      </c>
      <c r="X525" s="75">
        <f>W525*(1-PARAM!$C$27)*$I$8+(MOD($B525,60)=PARAM!$B$56)*($B525&gt;(60-PARAM!$B$56))*HLOOKUP(($B525+PARAM!$B$56)/12,Loyalty,2)*$F$1*MAX(Z524,0)</f>
        <v>18.557001321003963</v>
      </c>
      <c r="Y525" s="75">
        <f>PARAM!$C$26+MAX($G$8-CHOOSE(PARAM!$B$44,MAX(0,Z524*$F$1),0),0)*RATES!$L501/12+$H$8*(PARAM!$D$51/12)*RATES!$N501/100</f>
        <v>145.00000000000003</v>
      </c>
      <c r="Z525" s="16">
        <f t="shared" si="332"/>
        <v>-9823.1880330222648</v>
      </c>
      <c r="AA525" s="15">
        <f t="shared" si="307"/>
        <v>22.170849845882874</v>
      </c>
      <c r="AB525" s="75">
        <f>AA525*(1-PARAM!$C$27)*$I$9+(MOD($B525,60)=PARAM!$B$56)*($B525&gt;(60-PARAM!$B$56))*HLOOKUP(($B525+PARAM!$B$56)/12,Loyalty,2)*$F$1*MAX(AD524,0)</f>
        <v>18.557001321003963</v>
      </c>
      <c r="AC525" s="75">
        <f>PARAM!$C$26+MAX($G$9-CHOOSE(PARAM!$B$44,MAX(0,AD524*$F$1),0),0)*RATES!$L501/12+$H$9*(PARAM!$D$51/12)*RATES!$N501/100</f>
        <v>145.00000000000003</v>
      </c>
      <c r="AD525" s="16">
        <f t="shared" si="333"/>
        <v>-9823.1880330222648</v>
      </c>
      <c r="AE525" s="15">
        <f t="shared" si="308"/>
        <v>22.170849845882874</v>
      </c>
      <c r="AF525" s="75">
        <f>AE525*(1-PARAM!$C$27)*$I$10+(MOD($B525,60)=PARAM!$B$56)*($B525&gt;(60-PARAM!$B$56))*HLOOKUP(($B525+PARAM!$B$56)/12,Loyalty,2)*$F$1*MAX(AH524,0)</f>
        <v>18.557001321003963</v>
      </c>
      <c r="AG525" s="75">
        <f>PARAM!$C$26+MAX($G$10-CHOOSE(PARAM!$B$44,MAX(0,AH524*$F$1),0),0)*RATES!$L501/12+$H$10*(PARAM!$D$51/12)*RATES!$N501/100</f>
        <v>145.00000000000003</v>
      </c>
      <c r="AH525" s="16">
        <f t="shared" si="334"/>
        <v>-9823.1880330222648</v>
      </c>
      <c r="AI525" s="15">
        <f t="shared" si="309"/>
        <v>22.170849845882874</v>
      </c>
      <c r="AJ525" s="75">
        <f>AI525*(1-PARAM!$C$27)*$I$11+(MOD($B525,60)=PARAM!$B$56)*($B525&gt;(60-PARAM!$B$56))*HLOOKUP(($B525+PARAM!$B$56)/12,Loyalty,2)*$F$1*MAX(AL524,0)</f>
        <v>18.557001321003963</v>
      </c>
      <c r="AK525" s="75">
        <f>PARAM!$C$26+MAX($G$11-CHOOSE(PARAM!$B$44,MAX(0,AL524*$F$1),0),0)*RATES!$L501/12+$H$11*(PARAM!$D$51/12)*RATES!$N501/100</f>
        <v>145.00000000000003</v>
      </c>
      <c r="AL525" s="16">
        <f t="shared" si="335"/>
        <v>-9823.1880330222648</v>
      </c>
      <c r="AM525" s="15">
        <f t="shared" si="310"/>
        <v>22.170849845882874</v>
      </c>
      <c r="AN525" s="75">
        <f>AM525*(1-PARAM!$C$27)*$I$12+(MOD($B525,60)=PARAM!$B$56)*($B525&gt;(60-PARAM!$B$56))*HLOOKUP(($B525+PARAM!$B$56)/12,Loyalty,2)*$F$1*MAX(AP524,0)</f>
        <v>18.557001321003963</v>
      </c>
      <c r="AO525" s="75">
        <f>PARAM!$C$26+MAX($G$12-CHOOSE(PARAM!$B$44,MAX(0,AP524*$F$1),0),0)*RATES!$L501/12+$H$12*(PARAM!$D$51/12)*RATES!$N501/100</f>
        <v>145.00000000000003</v>
      </c>
      <c r="AP525" s="16">
        <f t="shared" si="336"/>
        <v>-9823.1880330222648</v>
      </c>
      <c r="AQ525" s="15">
        <f t="shared" si="311"/>
        <v>22.170849845882874</v>
      </c>
      <c r="AR525" s="75">
        <f>AQ525*(1-PARAM!$C$27)*$I$13+(MOD($B525,60)=PARAM!$B$56)*($B525&gt;(60-PARAM!$B$56))*HLOOKUP(($B525+PARAM!$B$56)/12,Loyalty,2)*$F$1*MAX(AT524,0)</f>
        <v>18.557001321003963</v>
      </c>
      <c r="AS525" s="75">
        <f>PARAM!$C$26+MAX($G$13-CHOOSE(PARAM!$B$44,MAX(0,AT524*$F$1),0),0)*RATES!$L501/12+$H$13*(PARAM!$D$51/12)*RATES!$N501/100</f>
        <v>145.00000000000003</v>
      </c>
      <c r="AT525" s="16">
        <f t="shared" si="337"/>
        <v>-9823.1880330222648</v>
      </c>
      <c r="AU525" s="15">
        <f t="shared" si="312"/>
        <v>22.170849845882874</v>
      </c>
      <c r="AV525" s="75">
        <f>AU525*(1-PARAM!$C$27)*$I$14+(MOD($B525,60)=PARAM!$B$56)*($B525&gt;(60-PARAM!$B$56))*HLOOKUP(($B525+PARAM!$B$56)/12,Loyalty,2)*$F$1*MAX(AX524,0)</f>
        <v>18.557001321003963</v>
      </c>
      <c r="AW525" s="75">
        <f>PARAM!$C$26+MAX($G$14-CHOOSE(PARAM!$B$44,MAX(0,AX524*$F$1),0),0)*RATES!$L501/12+$H$14*(PARAM!$D$51/12)*RATES!$N501/100</f>
        <v>145.00000000000003</v>
      </c>
      <c r="AX525" s="16">
        <f t="shared" si="338"/>
        <v>-9823.1880330222648</v>
      </c>
      <c r="AY525" s="15">
        <f t="shared" si="313"/>
        <v>22.170849845882874</v>
      </c>
      <c r="AZ525" s="75">
        <f>AY525*(1-PARAM!$C$27)*$I$15+(MOD($B525,60)=PARAM!$B$56)*($B525&gt;(60-PARAM!$B$56))*HLOOKUP(($B525+PARAM!$B$56)/12,Loyalty,2)*$F$1*MAX(BB524,0)</f>
        <v>18.557001321003963</v>
      </c>
      <c r="BA525" s="75">
        <f>PARAM!$C$26+MAX($G$15-CHOOSE(PARAM!$B$44,MAX(0,BB524*$F$1),0),0)*RATES!$L501/12+$H$15*(PARAM!$D$51/12)*RATES!$N501/100</f>
        <v>145.00000000000003</v>
      </c>
      <c r="BB525" s="16">
        <f t="shared" si="339"/>
        <v>-9823.1880330222648</v>
      </c>
      <c r="BC525" s="15">
        <f t="shared" si="314"/>
        <v>22.170849845882874</v>
      </c>
      <c r="BD525" s="75">
        <f>BC525*(1-PARAM!$C$27)*$I$16+(MOD($B525,60)=PARAM!$B$56)*($B525&gt;(60-PARAM!$B$56))*HLOOKUP(($B525+PARAM!$B$56)/12,Loyalty,2)*$F$1*MAX(BF524,0)</f>
        <v>18.557001321003963</v>
      </c>
      <c r="BE525" s="75">
        <f>PARAM!$C$26+MAX($G$16-CHOOSE(PARAM!$B$44,MAX(0,BF524*$F$1),0),0)*RATES!$L501/12+$H$16*(PARAM!$D$51/12)*RATES!$N501/100</f>
        <v>145.00000000000003</v>
      </c>
      <c r="BF525" s="16">
        <f t="shared" si="340"/>
        <v>-9823.1880330222648</v>
      </c>
      <c r="BG525" s="15">
        <f t="shared" si="315"/>
        <v>22.170849845882874</v>
      </c>
      <c r="BH525" s="75">
        <f>BG525*(1-PARAM!$C$27)*$I$17+(MOD($B525,60)=PARAM!$B$56)*($B525&gt;(60-PARAM!$B$56))*HLOOKUP(($B525+PARAM!$B$56)/12,Loyalty,2)*$F$1*MAX(BJ524,0)</f>
        <v>18.557001321003963</v>
      </c>
      <c r="BI525" s="75">
        <f>PARAM!$C$26+MAX($G$17-CHOOSE(PARAM!$B$44,MAX(0,BJ524*$F$1),0),0)*RATES!$L501/12+$H$17*(PARAM!$D$51/12)*RATES!$N501/100</f>
        <v>145.00000000000003</v>
      </c>
      <c r="BJ525" s="16">
        <f t="shared" si="341"/>
        <v>-9823.1880330222648</v>
      </c>
      <c r="BK525" s="15">
        <f t="shared" si="316"/>
        <v>22.170849845882874</v>
      </c>
      <c r="BL525" s="75">
        <f>BK525*(1-PARAM!$C$27)*$I$18+(MOD($B525,60)=PARAM!$B$56)*($B525&gt;(60-PARAM!$B$56))*HLOOKUP(($B525+PARAM!$B$56)/12,Loyalty,2)*$F$1*MAX(BN524,0)</f>
        <v>18.557001321003963</v>
      </c>
      <c r="BM525" s="75">
        <f>PARAM!$C$26+MAX($G$18-CHOOSE(PARAM!$B$44,MAX(0,BN524*$F$1),0),0)*RATES!$L501/12+$H$18*(PARAM!$D$51/12)*RATES!$N501/100</f>
        <v>145.00000000000003</v>
      </c>
      <c r="BN525" s="16">
        <f t="shared" si="342"/>
        <v>-9823.1880330222648</v>
      </c>
      <c r="BO525" s="15">
        <f t="shared" si="317"/>
        <v>22.170849845882874</v>
      </c>
      <c r="BP525" s="75">
        <f>BO525*(1-PARAM!$C$27)*$I$19+(MOD($B525,60)=PARAM!$B$56)*($B525&gt;(60-PARAM!$B$56))*HLOOKUP(($B525+PARAM!$B$56)/12,Loyalty,2)*$F$1*MAX(BR524,0)</f>
        <v>18.557001321003963</v>
      </c>
      <c r="BQ525" s="75">
        <f>PARAM!$C$26+MAX($G$19-CHOOSE(PARAM!$B$44,MAX(0,BR524*$F$1),0),0)*RATES!$L501/12+$H$19*(PARAM!$D$51/12)*RATES!$N501/100</f>
        <v>145.00000000000003</v>
      </c>
      <c r="BR525" s="16">
        <f t="shared" si="343"/>
        <v>-9823.1880330222648</v>
      </c>
      <c r="BS525" s="15">
        <f t="shared" si="318"/>
        <v>22.170849845882874</v>
      </c>
      <c r="BT525" s="75">
        <f>BS525*(1-PARAM!$C$27)*$I$20+(MOD($B525,60)=PARAM!$B$56)*($B525&gt;(60-PARAM!$B$56))*HLOOKUP(($B525+PARAM!$B$56)/12,Loyalty,2)*$F$1*MAX(BV524,0)</f>
        <v>18.557001321003963</v>
      </c>
      <c r="BU525" s="75">
        <f>PARAM!$C$26+MAX($G$20-CHOOSE(PARAM!$B$44,MAX(0,BV524*$F$1),0),0)*RATES!$L501/12+$H$20*(PARAM!$D$51/12)*RATES!$N501/100</f>
        <v>145.00000000000003</v>
      </c>
      <c r="BV525" s="16">
        <f t="shared" si="344"/>
        <v>-9823.1880330222648</v>
      </c>
      <c r="BW525" s="15">
        <f t="shared" si="319"/>
        <v>22.170849845882874</v>
      </c>
      <c r="BX525" s="75">
        <f>BW525*(1-PARAM!$C$27)*$I$21+(MOD($B525,60)=PARAM!$B$56)*($B525&gt;(60-PARAM!$B$56))*HLOOKUP(($B525+PARAM!$B$56)/12,Loyalty,2)*$F$1*MAX(BZ524,0)</f>
        <v>18.557001321003963</v>
      </c>
      <c r="BY525" s="75">
        <f>PARAM!$C$26+MAX($G$21-CHOOSE(PARAM!$B$44,MAX(0,BZ524*$F$1),0),0)*RATES!$L501/12+$H$21*(PARAM!$D$51/12)*RATES!$N501/100</f>
        <v>145.00000000000003</v>
      </c>
      <c r="BZ525" s="16">
        <f t="shared" si="345"/>
        <v>-9823.1880330222648</v>
      </c>
      <c r="CA525" s="15">
        <f t="shared" si="320"/>
        <v>22.170849845882874</v>
      </c>
      <c r="CB525" s="75">
        <f>CA525*(1-PARAM!$C$27)*$I$22+(MOD($B525,60)=PARAM!$B$56)*($B525&gt;(60-PARAM!$B$56))*HLOOKUP(($B525+PARAM!$B$56)/12,Loyalty,2)*$F$1*MAX(CD524,0)</f>
        <v>18.557001321003963</v>
      </c>
      <c r="CC525" s="75">
        <f>PARAM!$C$26+MAX($G$22-CHOOSE(PARAM!$B$44,MAX(0,CD524*$F$1),0),0)*RATES!$L501/12+$H$22*(PARAM!$D$51/12)*RATES!$N501/100</f>
        <v>145.00000000000003</v>
      </c>
      <c r="CD525" s="16">
        <f t="shared" si="346"/>
        <v>-9823.1880330222648</v>
      </c>
      <c r="CE525" s="33">
        <f>IF(0=MOD(B525,12/PARAM!$D$51),1,0)</f>
        <v>1</v>
      </c>
      <c r="CF525" s="15">
        <f t="shared" si="321"/>
        <v>0</v>
      </c>
      <c r="CG525" s="75">
        <f>CF525*(1-PARAM!$C$27)*$R$3+(MOD($B525/12,5)=0)*($B525&gt;60)*HLOOKUP($B525/12,Loyalty,2)*$F$1*MAX(CI524,0)</f>
        <v>0</v>
      </c>
      <c r="CH525" s="75">
        <f>PARAM!$C$26+MAX($P$3-CHOOSE(PARAM!$B$44,MAX(0,CI524*$F$1),0),0)*RATES!$L501/12+$Q$3*(PARAM!$D$51/12)*RATES!$N501/100</f>
        <v>145.00000000000003</v>
      </c>
      <c r="CI525" s="16">
        <f>IF(CI524&gt;0,CI524*PARAM!$C$53,CI524)+CG525-CH525</f>
        <v>-18944.999999999996</v>
      </c>
      <c r="CJ525" s="15">
        <f t="shared" si="347"/>
        <v>0</v>
      </c>
      <c r="CK525" s="75">
        <f>CJ525*(1-PARAM!$C$27)*$R$4+(MOD($B525/12,5)=0)*($B525&gt;60)*HLOOKUP($B525/12,Loyalty,2)*$F$1*MAX(CM524,0)</f>
        <v>0</v>
      </c>
      <c r="CL525" s="75">
        <f>PARAM!$C$26+MAX($P$4-CHOOSE(PARAM!$B$44,MAX(0,CM524*$F$1),0),0)*RATES!$L501/12+$Q$4*(PARAM!$D$51/12)*RATES!$N501/100</f>
        <v>145.00000000000003</v>
      </c>
      <c r="CM525" s="16">
        <f>IF(CM524&gt;0,CM524*PARAM!$C$53,CM524)+CK525-CL525</f>
        <v>-18944.999999999996</v>
      </c>
      <c r="CO525" s="176"/>
    </row>
    <row r="526" spans="1:93" x14ac:dyDescent="0.2">
      <c r="A526" t="b">
        <f t="shared" si="322"/>
        <v>0</v>
      </c>
      <c r="B526" s="33">
        <v>499</v>
      </c>
      <c r="C526" s="15">
        <f t="shared" si="323"/>
        <v>20.081305947392778</v>
      </c>
      <c r="D526" s="75">
        <f>C526*(1-PARAM!$C$27)*$I$3+(MOD($B526,60)=PARAM!$B$56)*($B526&gt;(60-PARAM!$B$56))*HLOOKUP(($B526+PARAM!$B$56)/12,Loyalty,2)*$F$1*MAX(F525,0)</f>
        <v>16.808053077967756</v>
      </c>
      <c r="E526" s="75">
        <f>PARAM!$C$26+MAX($G$3-CHOOSE(PARAM!$B$44,MAX(0,F525*$F$1),0),0)*RATES!$L502/12+$H$3*(PARAM!$D$51/12)*RATES!$N502/100</f>
        <v>145.00000000000003</v>
      </c>
      <c r="F526" s="16">
        <f t="shared" si="324"/>
        <v>-10859.206705497812</v>
      </c>
      <c r="G526" s="15">
        <f t="shared" si="325"/>
        <v>22.035289406060361</v>
      </c>
      <c r="H526" s="75">
        <f>G526*(1-PARAM!$C$27)*$I$4+(MOD($B526,60)=PARAM!$B$56)*($B526&gt;(60-PARAM!$B$56))*HLOOKUP(($B526+PARAM!$B$56)/12,Loyalty,2)*$F$1*MAX(J525,0)</f>
        <v>18.443537232872522</v>
      </c>
      <c r="I526" s="75">
        <f>PARAM!$C$26+MAX($G$4-CHOOSE(PARAM!$B$44,MAX(0,J525*$F$1),0),0)*RATES!$L502/12+$H$4*(PARAM!$D$51/12)*RATES!$N502/100</f>
        <v>145.00000000000003</v>
      </c>
      <c r="J526" s="16">
        <f t="shared" si="326"/>
        <v>-10009.267148078628</v>
      </c>
      <c r="K526" s="15">
        <f t="shared" si="327"/>
        <v>22.170849845882874</v>
      </c>
      <c r="L526" s="75">
        <f>K526*(1-PARAM!$C$27)*$I$5+(MOD($B526,60)=PARAM!$B$56)*($B526&gt;(60-PARAM!$B$56))*HLOOKUP(($B526+PARAM!$B$56)/12,Loyalty,2)*$F$1*MAX(N525,0)</f>
        <v>18.557001321003963</v>
      </c>
      <c r="M526" s="75">
        <f>PARAM!$C$26+MAX($G$5-CHOOSE(PARAM!$B$44,MAX(0,N525*$F$1),0),0)*RATES!$L502/12+$H$5*(PARAM!$D$51/12)*RATES!$N502/100</f>
        <v>145.00000000000003</v>
      </c>
      <c r="N526" s="16">
        <f t="shared" si="328"/>
        <v>-9949.6310317012612</v>
      </c>
      <c r="O526" s="15">
        <f t="shared" si="329"/>
        <v>22.170849845882874</v>
      </c>
      <c r="P526" s="75">
        <f>O526*(1-PARAM!$C$27)*$I$6+(MOD($B526,60)=PARAM!$B$56)*($B526&gt;(60-PARAM!$B$56))*HLOOKUP(($B526+PARAM!$B$56)/12,Loyalty,2)*$F$1*MAX(R525,0)</f>
        <v>18.557001321003963</v>
      </c>
      <c r="Q526" s="75">
        <f>PARAM!$C$26+MAX($G$6-CHOOSE(PARAM!$B$44,MAX(0,R525*$F$1),0),0)*RATES!$L502/12+$H$6*(PARAM!$D$51/12)*RATES!$N502/100</f>
        <v>145.00000000000003</v>
      </c>
      <c r="R526" s="16">
        <f t="shared" si="330"/>
        <v>-9949.6310317012612</v>
      </c>
      <c r="S526" s="15">
        <f t="shared" si="305"/>
        <v>22.170849845882874</v>
      </c>
      <c r="T526" s="75">
        <f>S526*(1-PARAM!$C$27)*$I$7+(MOD($B526,60)=PARAM!$B$56)*($B526&gt;(60-PARAM!$B$56))*HLOOKUP(($B526+PARAM!$B$56)/12,Loyalty,2)*$F$1*MAX(V525,0)</f>
        <v>18.557001321003963</v>
      </c>
      <c r="U526" s="75">
        <f>PARAM!$C$26+MAX($G$7-CHOOSE(PARAM!$B$44,MAX(0,V525*$F$1),0),0)*RATES!$L502/12+$H$7*(PARAM!$D$51/12)*RATES!$N502/100</f>
        <v>145.00000000000003</v>
      </c>
      <c r="V526" s="16">
        <f t="shared" si="331"/>
        <v>-9949.6310317012612</v>
      </c>
      <c r="W526" s="15">
        <f t="shared" si="306"/>
        <v>22.170849845882874</v>
      </c>
      <c r="X526" s="75">
        <f>W526*(1-PARAM!$C$27)*$I$8+(MOD($B526,60)=PARAM!$B$56)*($B526&gt;(60-PARAM!$B$56))*HLOOKUP(($B526+PARAM!$B$56)/12,Loyalty,2)*$F$1*MAX(Z525,0)</f>
        <v>18.557001321003963</v>
      </c>
      <c r="Y526" s="75">
        <f>PARAM!$C$26+MAX($G$8-CHOOSE(PARAM!$B$44,MAX(0,Z525*$F$1),0),0)*RATES!$L502/12+$H$8*(PARAM!$D$51/12)*RATES!$N502/100</f>
        <v>145.00000000000003</v>
      </c>
      <c r="Z526" s="16">
        <f t="shared" si="332"/>
        <v>-9949.6310317012612</v>
      </c>
      <c r="AA526" s="15">
        <f t="shared" si="307"/>
        <v>22.170849845882874</v>
      </c>
      <c r="AB526" s="75">
        <f>AA526*(1-PARAM!$C$27)*$I$9+(MOD($B526,60)=PARAM!$B$56)*($B526&gt;(60-PARAM!$B$56))*HLOOKUP(($B526+PARAM!$B$56)/12,Loyalty,2)*$F$1*MAX(AD525,0)</f>
        <v>18.557001321003963</v>
      </c>
      <c r="AC526" s="75">
        <f>PARAM!$C$26+MAX($G$9-CHOOSE(PARAM!$B$44,MAX(0,AD525*$F$1),0),0)*RATES!$L502/12+$H$9*(PARAM!$D$51/12)*RATES!$N502/100</f>
        <v>145.00000000000003</v>
      </c>
      <c r="AD526" s="16">
        <f t="shared" si="333"/>
        <v>-9949.6310317012612</v>
      </c>
      <c r="AE526" s="15">
        <f t="shared" si="308"/>
        <v>22.170849845882874</v>
      </c>
      <c r="AF526" s="75">
        <f>AE526*(1-PARAM!$C$27)*$I$10+(MOD($B526,60)=PARAM!$B$56)*($B526&gt;(60-PARAM!$B$56))*HLOOKUP(($B526+PARAM!$B$56)/12,Loyalty,2)*$F$1*MAX(AH525,0)</f>
        <v>18.557001321003963</v>
      </c>
      <c r="AG526" s="75">
        <f>PARAM!$C$26+MAX($G$10-CHOOSE(PARAM!$B$44,MAX(0,AH525*$F$1),0),0)*RATES!$L502/12+$H$10*(PARAM!$D$51/12)*RATES!$N502/100</f>
        <v>145.00000000000003</v>
      </c>
      <c r="AH526" s="16">
        <f t="shared" si="334"/>
        <v>-9949.6310317012612</v>
      </c>
      <c r="AI526" s="15">
        <f t="shared" si="309"/>
        <v>22.170849845882874</v>
      </c>
      <c r="AJ526" s="75">
        <f>AI526*(1-PARAM!$C$27)*$I$11+(MOD($B526,60)=PARAM!$B$56)*($B526&gt;(60-PARAM!$B$56))*HLOOKUP(($B526+PARAM!$B$56)/12,Loyalty,2)*$F$1*MAX(AL525,0)</f>
        <v>18.557001321003963</v>
      </c>
      <c r="AK526" s="75">
        <f>PARAM!$C$26+MAX($G$11-CHOOSE(PARAM!$B$44,MAX(0,AL525*$F$1),0),0)*RATES!$L502/12+$H$11*(PARAM!$D$51/12)*RATES!$N502/100</f>
        <v>145.00000000000003</v>
      </c>
      <c r="AL526" s="16">
        <f t="shared" si="335"/>
        <v>-9949.6310317012612</v>
      </c>
      <c r="AM526" s="15">
        <f t="shared" si="310"/>
        <v>22.170849845882874</v>
      </c>
      <c r="AN526" s="75">
        <f>AM526*(1-PARAM!$C$27)*$I$12+(MOD($B526,60)=PARAM!$B$56)*($B526&gt;(60-PARAM!$B$56))*HLOOKUP(($B526+PARAM!$B$56)/12,Loyalty,2)*$F$1*MAX(AP525,0)</f>
        <v>18.557001321003963</v>
      </c>
      <c r="AO526" s="75">
        <f>PARAM!$C$26+MAX($G$12-CHOOSE(PARAM!$B$44,MAX(0,AP525*$F$1),0),0)*RATES!$L502/12+$H$12*(PARAM!$D$51/12)*RATES!$N502/100</f>
        <v>145.00000000000003</v>
      </c>
      <c r="AP526" s="16">
        <f t="shared" si="336"/>
        <v>-9949.6310317012612</v>
      </c>
      <c r="AQ526" s="15">
        <f t="shared" si="311"/>
        <v>22.170849845882874</v>
      </c>
      <c r="AR526" s="75">
        <f>AQ526*(1-PARAM!$C$27)*$I$13+(MOD($B526,60)=PARAM!$B$56)*($B526&gt;(60-PARAM!$B$56))*HLOOKUP(($B526+PARAM!$B$56)/12,Loyalty,2)*$F$1*MAX(AT525,0)</f>
        <v>18.557001321003963</v>
      </c>
      <c r="AS526" s="75">
        <f>PARAM!$C$26+MAX($G$13-CHOOSE(PARAM!$B$44,MAX(0,AT525*$F$1),0),0)*RATES!$L502/12+$H$13*(PARAM!$D$51/12)*RATES!$N502/100</f>
        <v>145.00000000000003</v>
      </c>
      <c r="AT526" s="16">
        <f t="shared" si="337"/>
        <v>-9949.6310317012612</v>
      </c>
      <c r="AU526" s="15">
        <f t="shared" si="312"/>
        <v>22.170849845882874</v>
      </c>
      <c r="AV526" s="75">
        <f>AU526*(1-PARAM!$C$27)*$I$14+(MOD($B526,60)=PARAM!$B$56)*($B526&gt;(60-PARAM!$B$56))*HLOOKUP(($B526+PARAM!$B$56)/12,Loyalty,2)*$F$1*MAX(AX525,0)</f>
        <v>18.557001321003963</v>
      </c>
      <c r="AW526" s="75">
        <f>PARAM!$C$26+MAX($G$14-CHOOSE(PARAM!$B$44,MAX(0,AX525*$F$1),0),0)*RATES!$L502/12+$H$14*(PARAM!$D$51/12)*RATES!$N502/100</f>
        <v>145.00000000000003</v>
      </c>
      <c r="AX526" s="16">
        <f t="shared" si="338"/>
        <v>-9949.6310317012612</v>
      </c>
      <c r="AY526" s="15">
        <f t="shared" si="313"/>
        <v>22.170849845882874</v>
      </c>
      <c r="AZ526" s="75">
        <f>AY526*(1-PARAM!$C$27)*$I$15+(MOD($B526,60)=PARAM!$B$56)*($B526&gt;(60-PARAM!$B$56))*HLOOKUP(($B526+PARAM!$B$56)/12,Loyalty,2)*$F$1*MAX(BB525,0)</f>
        <v>18.557001321003963</v>
      </c>
      <c r="BA526" s="75">
        <f>PARAM!$C$26+MAX($G$15-CHOOSE(PARAM!$B$44,MAX(0,BB525*$F$1),0),0)*RATES!$L502/12+$H$15*(PARAM!$D$51/12)*RATES!$N502/100</f>
        <v>145.00000000000003</v>
      </c>
      <c r="BB526" s="16">
        <f t="shared" si="339"/>
        <v>-9949.6310317012612</v>
      </c>
      <c r="BC526" s="15">
        <f t="shared" si="314"/>
        <v>22.170849845882874</v>
      </c>
      <c r="BD526" s="75">
        <f>BC526*(1-PARAM!$C$27)*$I$16+(MOD($B526,60)=PARAM!$B$56)*($B526&gt;(60-PARAM!$B$56))*HLOOKUP(($B526+PARAM!$B$56)/12,Loyalty,2)*$F$1*MAX(BF525,0)</f>
        <v>18.557001321003963</v>
      </c>
      <c r="BE526" s="75">
        <f>PARAM!$C$26+MAX($G$16-CHOOSE(PARAM!$B$44,MAX(0,BF525*$F$1),0),0)*RATES!$L502/12+$H$16*(PARAM!$D$51/12)*RATES!$N502/100</f>
        <v>145.00000000000003</v>
      </c>
      <c r="BF526" s="16">
        <f t="shared" si="340"/>
        <v>-9949.6310317012612</v>
      </c>
      <c r="BG526" s="15">
        <f t="shared" si="315"/>
        <v>22.170849845882874</v>
      </c>
      <c r="BH526" s="75">
        <f>BG526*(1-PARAM!$C$27)*$I$17+(MOD($B526,60)=PARAM!$B$56)*($B526&gt;(60-PARAM!$B$56))*HLOOKUP(($B526+PARAM!$B$56)/12,Loyalty,2)*$F$1*MAX(BJ525,0)</f>
        <v>18.557001321003963</v>
      </c>
      <c r="BI526" s="75">
        <f>PARAM!$C$26+MAX($G$17-CHOOSE(PARAM!$B$44,MAX(0,BJ525*$F$1),0),0)*RATES!$L502/12+$H$17*(PARAM!$D$51/12)*RATES!$N502/100</f>
        <v>145.00000000000003</v>
      </c>
      <c r="BJ526" s="16">
        <f t="shared" si="341"/>
        <v>-9949.6310317012612</v>
      </c>
      <c r="BK526" s="15">
        <f t="shared" si="316"/>
        <v>22.170849845882874</v>
      </c>
      <c r="BL526" s="75">
        <f>BK526*(1-PARAM!$C$27)*$I$18+(MOD($B526,60)=PARAM!$B$56)*($B526&gt;(60-PARAM!$B$56))*HLOOKUP(($B526+PARAM!$B$56)/12,Loyalty,2)*$F$1*MAX(BN525,0)</f>
        <v>18.557001321003963</v>
      </c>
      <c r="BM526" s="75">
        <f>PARAM!$C$26+MAX($G$18-CHOOSE(PARAM!$B$44,MAX(0,BN525*$F$1),0),0)*RATES!$L502/12+$H$18*(PARAM!$D$51/12)*RATES!$N502/100</f>
        <v>145.00000000000003</v>
      </c>
      <c r="BN526" s="16">
        <f t="shared" si="342"/>
        <v>-9949.6310317012612</v>
      </c>
      <c r="BO526" s="15">
        <f t="shared" si="317"/>
        <v>22.170849845882874</v>
      </c>
      <c r="BP526" s="75">
        <f>BO526*(1-PARAM!$C$27)*$I$19+(MOD($B526,60)=PARAM!$B$56)*($B526&gt;(60-PARAM!$B$56))*HLOOKUP(($B526+PARAM!$B$56)/12,Loyalty,2)*$F$1*MAX(BR525,0)</f>
        <v>18.557001321003963</v>
      </c>
      <c r="BQ526" s="75">
        <f>PARAM!$C$26+MAX($G$19-CHOOSE(PARAM!$B$44,MAX(0,BR525*$F$1),0),0)*RATES!$L502/12+$H$19*(PARAM!$D$51/12)*RATES!$N502/100</f>
        <v>145.00000000000003</v>
      </c>
      <c r="BR526" s="16">
        <f t="shared" si="343"/>
        <v>-9949.6310317012612</v>
      </c>
      <c r="BS526" s="15">
        <f t="shared" si="318"/>
        <v>22.170849845882874</v>
      </c>
      <c r="BT526" s="75">
        <f>BS526*(1-PARAM!$C$27)*$I$20+(MOD($B526,60)=PARAM!$B$56)*($B526&gt;(60-PARAM!$B$56))*HLOOKUP(($B526+PARAM!$B$56)/12,Loyalty,2)*$F$1*MAX(BV525,0)</f>
        <v>18.557001321003963</v>
      </c>
      <c r="BU526" s="75">
        <f>PARAM!$C$26+MAX($G$20-CHOOSE(PARAM!$B$44,MAX(0,BV525*$F$1),0),0)*RATES!$L502/12+$H$20*(PARAM!$D$51/12)*RATES!$N502/100</f>
        <v>145.00000000000003</v>
      </c>
      <c r="BV526" s="16">
        <f t="shared" si="344"/>
        <v>-9949.6310317012612</v>
      </c>
      <c r="BW526" s="15">
        <f t="shared" si="319"/>
        <v>22.170849845882874</v>
      </c>
      <c r="BX526" s="75">
        <f>BW526*(1-PARAM!$C$27)*$I$21+(MOD($B526,60)=PARAM!$B$56)*($B526&gt;(60-PARAM!$B$56))*HLOOKUP(($B526+PARAM!$B$56)/12,Loyalty,2)*$F$1*MAX(BZ525,0)</f>
        <v>18.557001321003963</v>
      </c>
      <c r="BY526" s="75">
        <f>PARAM!$C$26+MAX($G$21-CHOOSE(PARAM!$B$44,MAX(0,BZ525*$F$1),0),0)*RATES!$L502/12+$H$21*(PARAM!$D$51/12)*RATES!$N502/100</f>
        <v>145.00000000000003</v>
      </c>
      <c r="BZ526" s="16">
        <f t="shared" si="345"/>
        <v>-9949.6310317012612</v>
      </c>
      <c r="CA526" s="15">
        <f t="shared" si="320"/>
        <v>22.170849845882874</v>
      </c>
      <c r="CB526" s="75">
        <f>CA526*(1-PARAM!$C$27)*$I$22+(MOD($B526,60)=PARAM!$B$56)*($B526&gt;(60-PARAM!$B$56))*HLOOKUP(($B526+PARAM!$B$56)/12,Loyalty,2)*$F$1*MAX(CD525,0)</f>
        <v>18.557001321003963</v>
      </c>
      <c r="CC526" s="75">
        <f>PARAM!$C$26+MAX($G$22-CHOOSE(PARAM!$B$44,MAX(0,CD525*$F$1),0),0)*RATES!$L502/12+$H$22*(PARAM!$D$51/12)*RATES!$N502/100</f>
        <v>145.00000000000003</v>
      </c>
      <c r="CD526" s="16">
        <f t="shared" si="346"/>
        <v>-9949.6310317012612</v>
      </c>
      <c r="CE526" s="33">
        <f>IF(0=MOD(B526,12/PARAM!$D$51),1,0)</f>
        <v>1</v>
      </c>
      <c r="CF526" s="15">
        <f t="shared" si="321"/>
        <v>0</v>
      </c>
      <c r="CG526" s="75">
        <f>CF526*(1-PARAM!$C$27)*$R$3+(MOD($B526/12,5)=0)*($B526&gt;60)*HLOOKUP($B526/12,Loyalty,2)*$F$1*MAX(CI525,0)</f>
        <v>0</v>
      </c>
      <c r="CH526" s="75">
        <f>PARAM!$C$26+MAX($P$3-CHOOSE(PARAM!$B$44,MAX(0,CI525*$F$1),0),0)*RATES!$L502/12+$Q$3*(PARAM!$D$51/12)*RATES!$N502/100</f>
        <v>145.00000000000003</v>
      </c>
      <c r="CI526" s="16">
        <f>IF(CI525&gt;0,CI525*PARAM!$C$53,CI525)+CG526-CH526</f>
        <v>-19089.999999999996</v>
      </c>
      <c r="CJ526" s="15">
        <f t="shared" si="347"/>
        <v>0</v>
      </c>
      <c r="CK526" s="75">
        <f>CJ526*(1-PARAM!$C$27)*$R$4+(MOD($B526/12,5)=0)*($B526&gt;60)*HLOOKUP($B526/12,Loyalty,2)*$F$1*MAX(CM525,0)</f>
        <v>0</v>
      </c>
      <c r="CL526" s="75">
        <f>PARAM!$C$26+MAX($P$4-CHOOSE(PARAM!$B$44,MAX(0,CM525*$F$1),0),0)*RATES!$L502/12+$Q$4*(PARAM!$D$51/12)*RATES!$N502/100</f>
        <v>145.00000000000003</v>
      </c>
      <c r="CM526" s="16">
        <f>IF(CM525&gt;0,CM525*PARAM!$C$53,CM525)+CK526-CL526</f>
        <v>-19089.999999999996</v>
      </c>
      <c r="CO526" s="176"/>
    </row>
    <row r="527" spans="1:93" x14ac:dyDescent="0.2">
      <c r="A527" t="b">
        <f t="shared" si="322"/>
        <v>0</v>
      </c>
      <c r="B527" s="33">
        <v>500</v>
      </c>
      <c r="C527" s="15">
        <f t="shared" si="323"/>
        <v>20.081305947392778</v>
      </c>
      <c r="D527" s="75">
        <f>C527*(1-PARAM!$C$27)*$I$3+(MOD($B527,60)=PARAM!$B$56)*($B527&gt;(60-PARAM!$B$56))*HLOOKUP(($B527+PARAM!$B$56)/12,Loyalty,2)*$F$1*MAX(F526,0)</f>
        <v>16.808053077967756</v>
      </c>
      <c r="E527" s="75">
        <f>PARAM!$C$26+MAX($G$3-CHOOSE(PARAM!$B$44,MAX(0,F526*$F$1),0),0)*RATES!$L503/12+$H$3*(PARAM!$D$51/12)*RATES!$N503/100</f>
        <v>145.00000000000003</v>
      </c>
      <c r="F527" s="16">
        <f t="shared" si="324"/>
        <v>-10987.398652419844</v>
      </c>
      <c r="G527" s="15">
        <f t="shared" si="325"/>
        <v>22.035289406060361</v>
      </c>
      <c r="H527" s="75">
        <f>G527*(1-PARAM!$C$27)*$I$4+(MOD($B527,60)=PARAM!$B$56)*($B527&gt;(60-PARAM!$B$56))*HLOOKUP(($B527+PARAM!$B$56)/12,Loyalty,2)*$F$1*MAX(J526,0)</f>
        <v>18.443537232872522</v>
      </c>
      <c r="I527" s="75">
        <f>PARAM!$C$26+MAX($G$4-CHOOSE(PARAM!$B$44,MAX(0,J526*$F$1),0),0)*RATES!$L503/12+$H$4*(PARAM!$D$51/12)*RATES!$N503/100</f>
        <v>145.00000000000003</v>
      </c>
      <c r="J527" s="16">
        <f t="shared" si="326"/>
        <v>-10135.823610845757</v>
      </c>
      <c r="K527" s="15">
        <f t="shared" si="327"/>
        <v>22.170849845882874</v>
      </c>
      <c r="L527" s="75">
        <f>K527*(1-PARAM!$C$27)*$I$5+(MOD($B527,60)=PARAM!$B$56)*($B527&gt;(60-PARAM!$B$56))*HLOOKUP(($B527+PARAM!$B$56)/12,Loyalty,2)*$F$1*MAX(N526,0)</f>
        <v>18.557001321003963</v>
      </c>
      <c r="M527" s="75">
        <f>PARAM!$C$26+MAX($G$5-CHOOSE(PARAM!$B$44,MAX(0,N526*$F$1),0),0)*RATES!$L503/12+$H$5*(PARAM!$D$51/12)*RATES!$N503/100</f>
        <v>145.00000000000003</v>
      </c>
      <c r="N527" s="16">
        <f t="shared" si="328"/>
        <v>-10076.074030380258</v>
      </c>
      <c r="O527" s="15">
        <f t="shared" si="329"/>
        <v>22.170849845882874</v>
      </c>
      <c r="P527" s="75">
        <f>O527*(1-PARAM!$C$27)*$I$6+(MOD($B527,60)=PARAM!$B$56)*($B527&gt;(60-PARAM!$B$56))*HLOOKUP(($B527+PARAM!$B$56)/12,Loyalty,2)*$F$1*MAX(R526,0)</f>
        <v>18.557001321003963</v>
      </c>
      <c r="Q527" s="75">
        <f>PARAM!$C$26+MAX($G$6-CHOOSE(PARAM!$B$44,MAX(0,R526*$F$1),0),0)*RATES!$L503/12+$H$6*(PARAM!$D$51/12)*RATES!$N503/100</f>
        <v>145.00000000000003</v>
      </c>
      <c r="R527" s="16">
        <f t="shared" si="330"/>
        <v>-10076.074030380258</v>
      </c>
      <c r="S527" s="15">
        <f t="shared" si="305"/>
        <v>22.170849845882874</v>
      </c>
      <c r="T527" s="75">
        <f>S527*(1-PARAM!$C$27)*$I$7+(MOD($B527,60)=PARAM!$B$56)*($B527&gt;(60-PARAM!$B$56))*HLOOKUP(($B527+PARAM!$B$56)/12,Loyalty,2)*$F$1*MAX(V526,0)</f>
        <v>18.557001321003963</v>
      </c>
      <c r="U527" s="75">
        <f>PARAM!$C$26+MAX($G$7-CHOOSE(PARAM!$B$44,MAX(0,V526*$F$1),0),0)*RATES!$L503/12+$H$7*(PARAM!$D$51/12)*RATES!$N503/100</f>
        <v>145.00000000000003</v>
      </c>
      <c r="V527" s="16">
        <f t="shared" si="331"/>
        <v>-10076.074030380258</v>
      </c>
      <c r="W527" s="15">
        <f t="shared" si="306"/>
        <v>22.170849845882874</v>
      </c>
      <c r="X527" s="75">
        <f>W527*(1-PARAM!$C$27)*$I$8+(MOD($B527,60)=PARAM!$B$56)*($B527&gt;(60-PARAM!$B$56))*HLOOKUP(($B527+PARAM!$B$56)/12,Loyalty,2)*$F$1*MAX(Z526,0)</f>
        <v>18.557001321003963</v>
      </c>
      <c r="Y527" s="75">
        <f>PARAM!$C$26+MAX($G$8-CHOOSE(PARAM!$B$44,MAX(0,Z526*$F$1),0),0)*RATES!$L503/12+$H$8*(PARAM!$D$51/12)*RATES!$N503/100</f>
        <v>145.00000000000003</v>
      </c>
      <c r="Z527" s="16">
        <f t="shared" si="332"/>
        <v>-10076.074030380258</v>
      </c>
      <c r="AA527" s="15">
        <f t="shared" si="307"/>
        <v>22.170849845882874</v>
      </c>
      <c r="AB527" s="75">
        <f>AA527*(1-PARAM!$C$27)*$I$9+(MOD($B527,60)=PARAM!$B$56)*($B527&gt;(60-PARAM!$B$56))*HLOOKUP(($B527+PARAM!$B$56)/12,Loyalty,2)*$F$1*MAX(AD526,0)</f>
        <v>18.557001321003963</v>
      </c>
      <c r="AC527" s="75">
        <f>PARAM!$C$26+MAX($G$9-CHOOSE(PARAM!$B$44,MAX(0,AD526*$F$1),0),0)*RATES!$L503/12+$H$9*(PARAM!$D$51/12)*RATES!$N503/100</f>
        <v>145.00000000000003</v>
      </c>
      <c r="AD527" s="16">
        <f t="shared" si="333"/>
        <v>-10076.074030380258</v>
      </c>
      <c r="AE527" s="15">
        <f t="shared" si="308"/>
        <v>22.170849845882874</v>
      </c>
      <c r="AF527" s="75">
        <f>AE527*(1-PARAM!$C$27)*$I$10+(MOD($B527,60)=PARAM!$B$56)*($B527&gt;(60-PARAM!$B$56))*HLOOKUP(($B527+PARAM!$B$56)/12,Loyalty,2)*$F$1*MAX(AH526,0)</f>
        <v>18.557001321003963</v>
      </c>
      <c r="AG527" s="75">
        <f>PARAM!$C$26+MAX($G$10-CHOOSE(PARAM!$B$44,MAX(0,AH526*$F$1),0),0)*RATES!$L503/12+$H$10*(PARAM!$D$51/12)*RATES!$N503/100</f>
        <v>145.00000000000003</v>
      </c>
      <c r="AH527" s="16">
        <f t="shared" si="334"/>
        <v>-10076.074030380258</v>
      </c>
      <c r="AI527" s="15">
        <f t="shared" si="309"/>
        <v>22.170849845882874</v>
      </c>
      <c r="AJ527" s="75">
        <f>AI527*(1-PARAM!$C$27)*$I$11+(MOD($B527,60)=PARAM!$B$56)*($B527&gt;(60-PARAM!$B$56))*HLOOKUP(($B527+PARAM!$B$56)/12,Loyalty,2)*$F$1*MAX(AL526,0)</f>
        <v>18.557001321003963</v>
      </c>
      <c r="AK527" s="75">
        <f>PARAM!$C$26+MAX($G$11-CHOOSE(PARAM!$B$44,MAX(0,AL526*$F$1),0),0)*RATES!$L503/12+$H$11*(PARAM!$D$51/12)*RATES!$N503/100</f>
        <v>145.00000000000003</v>
      </c>
      <c r="AL527" s="16">
        <f t="shared" si="335"/>
        <v>-10076.074030380258</v>
      </c>
      <c r="AM527" s="15">
        <f t="shared" si="310"/>
        <v>22.170849845882874</v>
      </c>
      <c r="AN527" s="75">
        <f>AM527*(1-PARAM!$C$27)*$I$12+(MOD($B527,60)=PARAM!$B$56)*($B527&gt;(60-PARAM!$B$56))*HLOOKUP(($B527+PARAM!$B$56)/12,Loyalty,2)*$F$1*MAX(AP526,0)</f>
        <v>18.557001321003963</v>
      </c>
      <c r="AO527" s="75">
        <f>PARAM!$C$26+MAX($G$12-CHOOSE(PARAM!$B$44,MAX(0,AP526*$F$1),0),0)*RATES!$L503/12+$H$12*(PARAM!$D$51/12)*RATES!$N503/100</f>
        <v>145.00000000000003</v>
      </c>
      <c r="AP527" s="16">
        <f t="shared" si="336"/>
        <v>-10076.074030380258</v>
      </c>
      <c r="AQ527" s="15">
        <f t="shared" si="311"/>
        <v>22.170849845882874</v>
      </c>
      <c r="AR527" s="75">
        <f>AQ527*(1-PARAM!$C$27)*$I$13+(MOD($B527,60)=PARAM!$B$56)*($B527&gt;(60-PARAM!$B$56))*HLOOKUP(($B527+PARAM!$B$56)/12,Loyalty,2)*$F$1*MAX(AT526,0)</f>
        <v>18.557001321003963</v>
      </c>
      <c r="AS527" s="75">
        <f>PARAM!$C$26+MAX($G$13-CHOOSE(PARAM!$B$44,MAX(0,AT526*$F$1),0),0)*RATES!$L503/12+$H$13*(PARAM!$D$51/12)*RATES!$N503/100</f>
        <v>145.00000000000003</v>
      </c>
      <c r="AT527" s="16">
        <f t="shared" si="337"/>
        <v>-10076.074030380258</v>
      </c>
      <c r="AU527" s="15">
        <f t="shared" si="312"/>
        <v>22.170849845882874</v>
      </c>
      <c r="AV527" s="75">
        <f>AU527*(1-PARAM!$C$27)*$I$14+(MOD($B527,60)=PARAM!$B$56)*($B527&gt;(60-PARAM!$B$56))*HLOOKUP(($B527+PARAM!$B$56)/12,Loyalty,2)*$F$1*MAX(AX526,0)</f>
        <v>18.557001321003963</v>
      </c>
      <c r="AW527" s="75">
        <f>PARAM!$C$26+MAX($G$14-CHOOSE(PARAM!$B$44,MAX(0,AX526*$F$1),0),0)*RATES!$L503/12+$H$14*(PARAM!$D$51/12)*RATES!$N503/100</f>
        <v>145.00000000000003</v>
      </c>
      <c r="AX527" s="16">
        <f t="shared" si="338"/>
        <v>-10076.074030380258</v>
      </c>
      <c r="AY527" s="15">
        <f t="shared" si="313"/>
        <v>22.170849845882874</v>
      </c>
      <c r="AZ527" s="75">
        <f>AY527*(1-PARAM!$C$27)*$I$15+(MOD($B527,60)=PARAM!$B$56)*($B527&gt;(60-PARAM!$B$56))*HLOOKUP(($B527+PARAM!$B$56)/12,Loyalty,2)*$F$1*MAX(BB526,0)</f>
        <v>18.557001321003963</v>
      </c>
      <c r="BA527" s="75">
        <f>PARAM!$C$26+MAX($G$15-CHOOSE(PARAM!$B$44,MAX(0,BB526*$F$1),0),0)*RATES!$L503/12+$H$15*(PARAM!$D$51/12)*RATES!$N503/100</f>
        <v>145.00000000000003</v>
      </c>
      <c r="BB527" s="16">
        <f t="shared" si="339"/>
        <v>-10076.074030380258</v>
      </c>
      <c r="BC527" s="15">
        <f t="shared" si="314"/>
        <v>22.170849845882874</v>
      </c>
      <c r="BD527" s="75">
        <f>BC527*(1-PARAM!$C$27)*$I$16+(MOD($B527,60)=PARAM!$B$56)*($B527&gt;(60-PARAM!$B$56))*HLOOKUP(($B527+PARAM!$B$56)/12,Loyalty,2)*$F$1*MAX(BF526,0)</f>
        <v>18.557001321003963</v>
      </c>
      <c r="BE527" s="75">
        <f>PARAM!$C$26+MAX($G$16-CHOOSE(PARAM!$B$44,MAX(0,BF526*$F$1),0),0)*RATES!$L503/12+$H$16*(PARAM!$D$51/12)*RATES!$N503/100</f>
        <v>145.00000000000003</v>
      </c>
      <c r="BF527" s="16">
        <f t="shared" si="340"/>
        <v>-10076.074030380258</v>
      </c>
      <c r="BG527" s="15">
        <f t="shared" si="315"/>
        <v>22.170849845882874</v>
      </c>
      <c r="BH527" s="75">
        <f>BG527*(1-PARAM!$C$27)*$I$17+(MOD($B527,60)=PARAM!$B$56)*($B527&gt;(60-PARAM!$B$56))*HLOOKUP(($B527+PARAM!$B$56)/12,Loyalty,2)*$F$1*MAX(BJ526,0)</f>
        <v>18.557001321003963</v>
      </c>
      <c r="BI527" s="75">
        <f>PARAM!$C$26+MAX($G$17-CHOOSE(PARAM!$B$44,MAX(0,BJ526*$F$1),0),0)*RATES!$L503/12+$H$17*(PARAM!$D$51/12)*RATES!$N503/100</f>
        <v>145.00000000000003</v>
      </c>
      <c r="BJ527" s="16">
        <f t="shared" si="341"/>
        <v>-10076.074030380258</v>
      </c>
      <c r="BK527" s="15">
        <f t="shared" si="316"/>
        <v>22.170849845882874</v>
      </c>
      <c r="BL527" s="75">
        <f>BK527*(1-PARAM!$C$27)*$I$18+(MOD($B527,60)=PARAM!$B$56)*($B527&gt;(60-PARAM!$B$56))*HLOOKUP(($B527+PARAM!$B$56)/12,Loyalty,2)*$F$1*MAX(BN526,0)</f>
        <v>18.557001321003963</v>
      </c>
      <c r="BM527" s="75">
        <f>PARAM!$C$26+MAX($G$18-CHOOSE(PARAM!$B$44,MAX(0,BN526*$F$1),0),0)*RATES!$L503/12+$H$18*(PARAM!$D$51/12)*RATES!$N503/100</f>
        <v>145.00000000000003</v>
      </c>
      <c r="BN527" s="16">
        <f t="shared" si="342"/>
        <v>-10076.074030380258</v>
      </c>
      <c r="BO527" s="15">
        <f t="shared" si="317"/>
        <v>22.170849845882874</v>
      </c>
      <c r="BP527" s="75">
        <f>BO527*(1-PARAM!$C$27)*$I$19+(MOD($B527,60)=PARAM!$B$56)*($B527&gt;(60-PARAM!$B$56))*HLOOKUP(($B527+PARAM!$B$56)/12,Loyalty,2)*$F$1*MAX(BR526,0)</f>
        <v>18.557001321003963</v>
      </c>
      <c r="BQ527" s="75">
        <f>PARAM!$C$26+MAX($G$19-CHOOSE(PARAM!$B$44,MAX(0,BR526*$F$1),0),0)*RATES!$L503/12+$H$19*(PARAM!$D$51/12)*RATES!$N503/100</f>
        <v>145.00000000000003</v>
      </c>
      <c r="BR527" s="16">
        <f t="shared" si="343"/>
        <v>-10076.074030380258</v>
      </c>
      <c r="BS527" s="15">
        <f t="shared" si="318"/>
        <v>22.170849845882874</v>
      </c>
      <c r="BT527" s="75">
        <f>BS527*(1-PARAM!$C$27)*$I$20+(MOD($B527,60)=PARAM!$B$56)*($B527&gt;(60-PARAM!$B$56))*HLOOKUP(($B527+PARAM!$B$56)/12,Loyalty,2)*$F$1*MAX(BV526,0)</f>
        <v>18.557001321003963</v>
      </c>
      <c r="BU527" s="75">
        <f>PARAM!$C$26+MAX($G$20-CHOOSE(PARAM!$B$44,MAX(0,BV526*$F$1),0),0)*RATES!$L503/12+$H$20*(PARAM!$D$51/12)*RATES!$N503/100</f>
        <v>145.00000000000003</v>
      </c>
      <c r="BV527" s="16">
        <f t="shared" si="344"/>
        <v>-10076.074030380258</v>
      </c>
      <c r="BW527" s="15">
        <f t="shared" si="319"/>
        <v>22.170849845882874</v>
      </c>
      <c r="BX527" s="75">
        <f>BW527*(1-PARAM!$C$27)*$I$21+(MOD($B527,60)=PARAM!$B$56)*($B527&gt;(60-PARAM!$B$56))*HLOOKUP(($B527+PARAM!$B$56)/12,Loyalty,2)*$F$1*MAX(BZ526,0)</f>
        <v>18.557001321003963</v>
      </c>
      <c r="BY527" s="75">
        <f>PARAM!$C$26+MAX($G$21-CHOOSE(PARAM!$B$44,MAX(0,BZ526*$F$1),0),0)*RATES!$L503/12+$H$21*(PARAM!$D$51/12)*RATES!$N503/100</f>
        <v>145.00000000000003</v>
      </c>
      <c r="BZ527" s="16">
        <f t="shared" si="345"/>
        <v>-10076.074030380258</v>
      </c>
      <c r="CA527" s="15">
        <f t="shared" si="320"/>
        <v>22.170849845882874</v>
      </c>
      <c r="CB527" s="75">
        <f>CA527*(1-PARAM!$C$27)*$I$22+(MOD($B527,60)=PARAM!$B$56)*($B527&gt;(60-PARAM!$B$56))*HLOOKUP(($B527+PARAM!$B$56)/12,Loyalty,2)*$F$1*MAX(CD526,0)</f>
        <v>18.557001321003963</v>
      </c>
      <c r="CC527" s="75">
        <f>PARAM!$C$26+MAX($G$22-CHOOSE(PARAM!$B$44,MAX(0,CD526*$F$1),0),0)*RATES!$L503/12+$H$22*(PARAM!$D$51/12)*RATES!$N503/100</f>
        <v>145.00000000000003</v>
      </c>
      <c r="CD527" s="16">
        <f t="shared" si="346"/>
        <v>-10076.074030380258</v>
      </c>
      <c r="CE527" s="33">
        <f>IF(0=MOD(B527,12/PARAM!$D$51),1,0)</f>
        <v>1</v>
      </c>
      <c r="CF527" s="15">
        <f t="shared" si="321"/>
        <v>0</v>
      </c>
      <c r="CG527" s="75">
        <f>CF527*(1-PARAM!$C$27)*$R$3+(MOD($B527/12,5)=0)*($B527&gt;60)*HLOOKUP($B527/12,Loyalty,2)*$F$1*MAX(CI526,0)</f>
        <v>0</v>
      </c>
      <c r="CH527" s="75">
        <f>PARAM!$C$26+MAX($P$3-CHOOSE(PARAM!$B$44,MAX(0,CI526*$F$1),0),0)*RATES!$L503/12+$Q$3*(PARAM!$D$51/12)*RATES!$N503/100</f>
        <v>145.00000000000003</v>
      </c>
      <c r="CI527" s="16">
        <f>IF(CI526&gt;0,CI526*PARAM!$C$53,CI526)+CG527-CH527</f>
        <v>-19234.999999999996</v>
      </c>
      <c r="CJ527" s="15">
        <f t="shared" si="347"/>
        <v>0</v>
      </c>
      <c r="CK527" s="75">
        <f>CJ527*(1-PARAM!$C$27)*$R$4+(MOD($B527/12,5)=0)*($B527&gt;60)*HLOOKUP($B527/12,Loyalty,2)*$F$1*MAX(CM526,0)</f>
        <v>0</v>
      </c>
      <c r="CL527" s="75">
        <f>PARAM!$C$26+MAX($P$4-CHOOSE(PARAM!$B$44,MAX(0,CM526*$F$1),0),0)*RATES!$L503/12+$Q$4*(PARAM!$D$51/12)*RATES!$N503/100</f>
        <v>145.00000000000003</v>
      </c>
      <c r="CM527" s="16">
        <f>IF(CM526&gt;0,CM526*PARAM!$C$53,CM526)+CK527-CL527</f>
        <v>-19234.999999999996</v>
      </c>
      <c r="CO527" s="176"/>
    </row>
    <row r="528" spans="1:93" x14ac:dyDescent="0.2">
      <c r="A528" t="b">
        <f t="shared" si="322"/>
        <v>0</v>
      </c>
      <c r="B528" s="33">
        <v>501</v>
      </c>
      <c r="C528" s="15">
        <f t="shared" si="323"/>
        <v>20.081305947392778</v>
      </c>
      <c r="D528" s="75">
        <f>C528*(1-PARAM!$C$27)*$I$3+(MOD($B528,60)=PARAM!$B$56)*($B528&gt;(60-PARAM!$B$56))*HLOOKUP(($B528+PARAM!$B$56)/12,Loyalty,2)*$F$1*MAX(F527,0)</f>
        <v>16.808053077967756</v>
      </c>
      <c r="E528" s="75">
        <f>PARAM!$C$26+MAX($G$3-CHOOSE(PARAM!$B$44,MAX(0,F527*$F$1),0),0)*RATES!$L504/12+$H$3*(PARAM!$D$51/12)*RATES!$N504/100</f>
        <v>145.00000000000003</v>
      </c>
      <c r="F528" s="16">
        <f t="shared" si="324"/>
        <v>-11115.590599341876</v>
      </c>
      <c r="G528" s="15">
        <f t="shared" si="325"/>
        <v>22.035289406060361</v>
      </c>
      <c r="H528" s="75">
        <f>G528*(1-PARAM!$C$27)*$I$4+(MOD($B528,60)=PARAM!$B$56)*($B528&gt;(60-PARAM!$B$56))*HLOOKUP(($B528+PARAM!$B$56)/12,Loyalty,2)*$F$1*MAX(J527,0)</f>
        <v>18.443537232872522</v>
      </c>
      <c r="I528" s="75">
        <f>PARAM!$C$26+MAX($G$4-CHOOSE(PARAM!$B$44,MAX(0,J527*$F$1),0),0)*RATES!$L504/12+$H$4*(PARAM!$D$51/12)*RATES!$N504/100</f>
        <v>145.00000000000003</v>
      </c>
      <c r="J528" s="16">
        <f t="shared" si="326"/>
        <v>-10262.380073612885</v>
      </c>
      <c r="K528" s="15">
        <f t="shared" si="327"/>
        <v>22.170849845882874</v>
      </c>
      <c r="L528" s="75">
        <f>K528*(1-PARAM!$C$27)*$I$5+(MOD($B528,60)=PARAM!$B$56)*($B528&gt;(60-PARAM!$B$56))*HLOOKUP(($B528+PARAM!$B$56)/12,Loyalty,2)*$F$1*MAX(N527,0)</f>
        <v>18.557001321003963</v>
      </c>
      <c r="M528" s="75">
        <f>PARAM!$C$26+MAX($G$5-CHOOSE(PARAM!$B$44,MAX(0,N527*$F$1),0),0)*RATES!$L504/12+$H$5*(PARAM!$D$51/12)*RATES!$N504/100</f>
        <v>145.00000000000003</v>
      </c>
      <c r="N528" s="16">
        <f t="shared" si="328"/>
        <v>-10202.517029059254</v>
      </c>
      <c r="O528" s="15">
        <f t="shared" si="329"/>
        <v>22.170849845882874</v>
      </c>
      <c r="P528" s="75">
        <f>O528*(1-PARAM!$C$27)*$I$6+(MOD($B528,60)=PARAM!$B$56)*($B528&gt;(60-PARAM!$B$56))*HLOOKUP(($B528+PARAM!$B$56)/12,Loyalty,2)*$F$1*MAX(R527,0)</f>
        <v>18.557001321003963</v>
      </c>
      <c r="Q528" s="75">
        <f>PARAM!$C$26+MAX($G$6-CHOOSE(PARAM!$B$44,MAX(0,R527*$F$1),0),0)*RATES!$L504/12+$H$6*(PARAM!$D$51/12)*RATES!$N504/100</f>
        <v>145.00000000000003</v>
      </c>
      <c r="R528" s="16">
        <f t="shared" si="330"/>
        <v>-10202.517029059254</v>
      </c>
      <c r="S528" s="15">
        <f t="shared" si="305"/>
        <v>22.170849845882874</v>
      </c>
      <c r="T528" s="75">
        <f>S528*(1-PARAM!$C$27)*$I$7+(MOD($B528,60)=PARAM!$B$56)*($B528&gt;(60-PARAM!$B$56))*HLOOKUP(($B528+PARAM!$B$56)/12,Loyalty,2)*$F$1*MAX(V527,0)</f>
        <v>18.557001321003963</v>
      </c>
      <c r="U528" s="75">
        <f>PARAM!$C$26+MAX($G$7-CHOOSE(PARAM!$B$44,MAX(0,V527*$F$1),0),0)*RATES!$L504/12+$H$7*(PARAM!$D$51/12)*RATES!$N504/100</f>
        <v>145.00000000000003</v>
      </c>
      <c r="V528" s="16">
        <f t="shared" si="331"/>
        <v>-10202.517029059254</v>
      </c>
      <c r="W528" s="15">
        <f t="shared" si="306"/>
        <v>22.170849845882874</v>
      </c>
      <c r="X528" s="75">
        <f>W528*(1-PARAM!$C$27)*$I$8+(MOD($B528,60)=PARAM!$B$56)*($B528&gt;(60-PARAM!$B$56))*HLOOKUP(($B528+PARAM!$B$56)/12,Loyalty,2)*$F$1*MAX(Z527,0)</f>
        <v>18.557001321003963</v>
      </c>
      <c r="Y528" s="75">
        <f>PARAM!$C$26+MAX($G$8-CHOOSE(PARAM!$B$44,MAX(0,Z527*$F$1),0),0)*RATES!$L504/12+$H$8*(PARAM!$D$51/12)*RATES!$N504/100</f>
        <v>145.00000000000003</v>
      </c>
      <c r="Z528" s="16">
        <f t="shared" si="332"/>
        <v>-10202.517029059254</v>
      </c>
      <c r="AA528" s="15">
        <f t="shared" si="307"/>
        <v>22.170849845882874</v>
      </c>
      <c r="AB528" s="75">
        <f>AA528*(1-PARAM!$C$27)*$I$9+(MOD($B528,60)=PARAM!$B$56)*($B528&gt;(60-PARAM!$B$56))*HLOOKUP(($B528+PARAM!$B$56)/12,Loyalty,2)*$F$1*MAX(AD527,0)</f>
        <v>18.557001321003963</v>
      </c>
      <c r="AC528" s="75">
        <f>PARAM!$C$26+MAX($G$9-CHOOSE(PARAM!$B$44,MAX(0,AD527*$F$1),0),0)*RATES!$L504/12+$H$9*(PARAM!$D$51/12)*RATES!$N504/100</f>
        <v>145.00000000000003</v>
      </c>
      <c r="AD528" s="16">
        <f t="shared" si="333"/>
        <v>-10202.517029059254</v>
      </c>
      <c r="AE528" s="15">
        <f t="shared" si="308"/>
        <v>22.170849845882874</v>
      </c>
      <c r="AF528" s="75">
        <f>AE528*(1-PARAM!$C$27)*$I$10+(MOD($B528,60)=PARAM!$B$56)*($B528&gt;(60-PARAM!$B$56))*HLOOKUP(($B528+PARAM!$B$56)/12,Loyalty,2)*$F$1*MAX(AH527,0)</f>
        <v>18.557001321003963</v>
      </c>
      <c r="AG528" s="75">
        <f>PARAM!$C$26+MAX($G$10-CHOOSE(PARAM!$B$44,MAX(0,AH527*$F$1),0),0)*RATES!$L504/12+$H$10*(PARAM!$D$51/12)*RATES!$N504/100</f>
        <v>145.00000000000003</v>
      </c>
      <c r="AH528" s="16">
        <f t="shared" si="334"/>
        <v>-10202.517029059254</v>
      </c>
      <c r="AI528" s="15">
        <f t="shared" si="309"/>
        <v>22.170849845882874</v>
      </c>
      <c r="AJ528" s="75">
        <f>AI528*(1-PARAM!$C$27)*$I$11+(MOD($B528,60)=PARAM!$B$56)*($B528&gt;(60-PARAM!$B$56))*HLOOKUP(($B528+PARAM!$B$56)/12,Loyalty,2)*$F$1*MAX(AL527,0)</f>
        <v>18.557001321003963</v>
      </c>
      <c r="AK528" s="75">
        <f>PARAM!$C$26+MAX($G$11-CHOOSE(PARAM!$B$44,MAX(0,AL527*$F$1),0),0)*RATES!$L504/12+$H$11*(PARAM!$D$51/12)*RATES!$N504/100</f>
        <v>145.00000000000003</v>
      </c>
      <c r="AL528" s="16">
        <f t="shared" si="335"/>
        <v>-10202.517029059254</v>
      </c>
      <c r="AM528" s="15">
        <f t="shared" si="310"/>
        <v>22.170849845882874</v>
      </c>
      <c r="AN528" s="75">
        <f>AM528*(1-PARAM!$C$27)*$I$12+(MOD($B528,60)=PARAM!$B$56)*($B528&gt;(60-PARAM!$B$56))*HLOOKUP(($B528+PARAM!$B$56)/12,Loyalty,2)*$F$1*MAX(AP527,0)</f>
        <v>18.557001321003963</v>
      </c>
      <c r="AO528" s="75">
        <f>PARAM!$C$26+MAX($G$12-CHOOSE(PARAM!$B$44,MAX(0,AP527*$F$1),0),0)*RATES!$L504/12+$H$12*(PARAM!$D$51/12)*RATES!$N504/100</f>
        <v>145.00000000000003</v>
      </c>
      <c r="AP528" s="16">
        <f t="shared" si="336"/>
        <v>-10202.517029059254</v>
      </c>
      <c r="AQ528" s="15">
        <f t="shared" si="311"/>
        <v>22.170849845882874</v>
      </c>
      <c r="AR528" s="75">
        <f>AQ528*(1-PARAM!$C$27)*$I$13+(MOD($B528,60)=PARAM!$B$56)*($B528&gt;(60-PARAM!$B$56))*HLOOKUP(($B528+PARAM!$B$56)/12,Loyalty,2)*$F$1*MAX(AT527,0)</f>
        <v>18.557001321003963</v>
      </c>
      <c r="AS528" s="75">
        <f>PARAM!$C$26+MAX($G$13-CHOOSE(PARAM!$B$44,MAX(0,AT527*$F$1),0),0)*RATES!$L504/12+$H$13*(PARAM!$D$51/12)*RATES!$N504/100</f>
        <v>145.00000000000003</v>
      </c>
      <c r="AT528" s="16">
        <f t="shared" si="337"/>
        <v>-10202.517029059254</v>
      </c>
      <c r="AU528" s="15">
        <f t="shared" si="312"/>
        <v>22.170849845882874</v>
      </c>
      <c r="AV528" s="75">
        <f>AU528*(1-PARAM!$C$27)*$I$14+(MOD($B528,60)=PARAM!$B$56)*($B528&gt;(60-PARAM!$B$56))*HLOOKUP(($B528+PARAM!$B$56)/12,Loyalty,2)*$F$1*MAX(AX527,0)</f>
        <v>18.557001321003963</v>
      </c>
      <c r="AW528" s="75">
        <f>PARAM!$C$26+MAX($G$14-CHOOSE(PARAM!$B$44,MAX(0,AX527*$F$1),0),0)*RATES!$L504/12+$H$14*(PARAM!$D$51/12)*RATES!$N504/100</f>
        <v>145.00000000000003</v>
      </c>
      <c r="AX528" s="16">
        <f t="shared" si="338"/>
        <v>-10202.517029059254</v>
      </c>
      <c r="AY528" s="15">
        <f t="shared" si="313"/>
        <v>22.170849845882874</v>
      </c>
      <c r="AZ528" s="75">
        <f>AY528*(1-PARAM!$C$27)*$I$15+(MOD($B528,60)=PARAM!$B$56)*($B528&gt;(60-PARAM!$B$56))*HLOOKUP(($B528+PARAM!$B$56)/12,Loyalty,2)*$F$1*MAX(BB527,0)</f>
        <v>18.557001321003963</v>
      </c>
      <c r="BA528" s="75">
        <f>PARAM!$C$26+MAX($G$15-CHOOSE(PARAM!$B$44,MAX(0,BB527*$F$1),0),0)*RATES!$L504/12+$H$15*(PARAM!$D$51/12)*RATES!$N504/100</f>
        <v>145.00000000000003</v>
      </c>
      <c r="BB528" s="16">
        <f t="shared" si="339"/>
        <v>-10202.517029059254</v>
      </c>
      <c r="BC528" s="15">
        <f t="shared" si="314"/>
        <v>22.170849845882874</v>
      </c>
      <c r="BD528" s="75">
        <f>BC528*(1-PARAM!$C$27)*$I$16+(MOD($B528,60)=PARAM!$B$56)*($B528&gt;(60-PARAM!$B$56))*HLOOKUP(($B528+PARAM!$B$56)/12,Loyalty,2)*$F$1*MAX(BF527,0)</f>
        <v>18.557001321003963</v>
      </c>
      <c r="BE528" s="75">
        <f>PARAM!$C$26+MAX($G$16-CHOOSE(PARAM!$B$44,MAX(0,BF527*$F$1),0),0)*RATES!$L504/12+$H$16*(PARAM!$D$51/12)*RATES!$N504/100</f>
        <v>145.00000000000003</v>
      </c>
      <c r="BF528" s="16">
        <f t="shared" si="340"/>
        <v>-10202.517029059254</v>
      </c>
      <c r="BG528" s="15">
        <f t="shared" si="315"/>
        <v>22.170849845882874</v>
      </c>
      <c r="BH528" s="75">
        <f>BG528*(1-PARAM!$C$27)*$I$17+(MOD($B528,60)=PARAM!$B$56)*($B528&gt;(60-PARAM!$B$56))*HLOOKUP(($B528+PARAM!$B$56)/12,Loyalty,2)*$F$1*MAX(BJ527,0)</f>
        <v>18.557001321003963</v>
      </c>
      <c r="BI528" s="75">
        <f>PARAM!$C$26+MAX($G$17-CHOOSE(PARAM!$B$44,MAX(0,BJ527*$F$1),0),0)*RATES!$L504/12+$H$17*(PARAM!$D$51/12)*RATES!$N504/100</f>
        <v>145.00000000000003</v>
      </c>
      <c r="BJ528" s="16">
        <f t="shared" si="341"/>
        <v>-10202.517029059254</v>
      </c>
      <c r="BK528" s="15">
        <f t="shared" si="316"/>
        <v>22.170849845882874</v>
      </c>
      <c r="BL528" s="75">
        <f>BK528*(1-PARAM!$C$27)*$I$18+(MOD($B528,60)=PARAM!$B$56)*($B528&gt;(60-PARAM!$B$56))*HLOOKUP(($B528+PARAM!$B$56)/12,Loyalty,2)*$F$1*MAX(BN527,0)</f>
        <v>18.557001321003963</v>
      </c>
      <c r="BM528" s="75">
        <f>PARAM!$C$26+MAX($G$18-CHOOSE(PARAM!$B$44,MAX(0,BN527*$F$1),0),0)*RATES!$L504/12+$H$18*(PARAM!$D$51/12)*RATES!$N504/100</f>
        <v>145.00000000000003</v>
      </c>
      <c r="BN528" s="16">
        <f t="shared" si="342"/>
        <v>-10202.517029059254</v>
      </c>
      <c r="BO528" s="15">
        <f t="shared" si="317"/>
        <v>22.170849845882874</v>
      </c>
      <c r="BP528" s="75">
        <f>BO528*(1-PARAM!$C$27)*$I$19+(MOD($B528,60)=PARAM!$B$56)*($B528&gt;(60-PARAM!$B$56))*HLOOKUP(($B528+PARAM!$B$56)/12,Loyalty,2)*$F$1*MAX(BR527,0)</f>
        <v>18.557001321003963</v>
      </c>
      <c r="BQ528" s="75">
        <f>PARAM!$C$26+MAX($G$19-CHOOSE(PARAM!$B$44,MAX(0,BR527*$F$1),0),0)*RATES!$L504/12+$H$19*(PARAM!$D$51/12)*RATES!$N504/100</f>
        <v>145.00000000000003</v>
      </c>
      <c r="BR528" s="16">
        <f t="shared" si="343"/>
        <v>-10202.517029059254</v>
      </c>
      <c r="BS528" s="15">
        <f t="shared" si="318"/>
        <v>22.170849845882874</v>
      </c>
      <c r="BT528" s="75">
        <f>BS528*(1-PARAM!$C$27)*$I$20+(MOD($B528,60)=PARAM!$B$56)*($B528&gt;(60-PARAM!$B$56))*HLOOKUP(($B528+PARAM!$B$56)/12,Loyalty,2)*$F$1*MAX(BV527,0)</f>
        <v>18.557001321003963</v>
      </c>
      <c r="BU528" s="75">
        <f>PARAM!$C$26+MAX($G$20-CHOOSE(PARAM!$B$44,MAX(0,BV527*$F$1),0),0)*RATES!$L504/12+$H$20*(PARAM!$D$51/12)*RATES!$N504/100</f>
        <v>145.00000000000003</v>
      </c>
      <c r="BV528" s="16">
        <f t="shared" si="344"/>
        <v>-10202.517029059254</v>
      </c>
      <c r="BW528" s="15">
        <f t="shared" si="319"/>
        <v>22.170849845882874</v>
      </c>
      <c r="BX528" s="75">
        <f>BW528*(1-PARAM!$C$27)*$I$21+(MOD($B528,60)=PARAM!$B$56)*($B528&gt;(60-PARAM!$B$56))*HLOOKUP(($B528+PARAM!$B$56)/12,Loyalty,2)*$F$1*MAX(BZ527,0)</f>
        <v>18.557001321003963</v>
      </c>
      <c r="BY528" s="75">
        <f>PARAM!$C$26+MAX($G$21-CHOOSE(PARAM!$B$44,MAX(0,BZ527*$F$1),0),0)*RATES!$L504/12+$H$21*(PARAM!$D$51/12)*RATES!$N504/100</f>
        <v>145.00000000000003</v>
      </c>
      <c r="BZ528" s="16">
        <f t="shared" si="345"/>
        <v>-10202.517029059254</v>
      </c>
      <c r="CA528" s="15">
        <f t="shared" si="320"/>
        <v>22.170849845882874</v>
      </c>
      <c r="CB528" s="75">
        <f>CA528*(1-PARAM!$C$27)*$I$22+(MOD($B528,60)=PARAM!$B$56)*($B528&gt;(60-PARAM!$B$56))*HLOOKUP(($B528+PARAM!$B$56)/12,Loyalty,2)*$F$1*MAX(CD527,0)</f>
        <v>18.557001321003963</v>
      </c>
      <c r="CC528" s="75">
        <f>PARAM!$C$26+MAX($G$22-CHOOSE(PARAM!$B$44,MAX(0,CD527*$F$1),0),0)*RATES!$L504/12+$H$22*(PARAM!$D$51/12)*RATES!$N504/100</f>
        <v>145.00000000000003</v>
      </c>
      <c r="CD528" s="16">
        <f t="shared" si="346"/>
        <v>-10202.517029059254</v>
      </c>
      <c r="CE528" s="33">
        <f>IF(0=MOD(B528,12/PARAM!$D$51),1,0)</f>
        <v>1</v>
      </c>
      <c r="CF528" s="15">
        <f t="shared" si="321"/>
        <v>0</v>
      </c>
      <c r="CG528" s="75">
        <f>CF528*(1-PARAM!$C$27)*$R$3+(MOD($B528/12,5)=0)*($B528&gt;60)*HLOOKUP($B528/12,Loyalty,2)*$F$1*MAX(CI527,0)</f>
        <v>0</v>
      </c>
      <c r="CH528" s="75">
        <f>PARAM!$C$26+MAX($P$3-CHOOSE(PARAM!$B$44,MAX(0,CI527*$F$1),0),0)*RATES!$L504/12+$Q$3*(PARAM!$D$51/12)*RATES!$N504/100</f>
        <v>145.00000000000003</v>
      </c>
      <c r="CI528" s="16">
        <f>IF(CI527&gt;0,CI527*PARAM!$C$53,CI527)+CG528-CH528</f>
        <v>-19379.999999999996</v>
      </c>
      <c r="CJ528" s="15">
        <f t="shared" si="347"/>
        <v>0</v>
      </c>
      <c r="CK528" s="75">
        <f>CJ528*(1-PARAM!$C$27)*$R$4+(MOD($B528/12,5)=0)*($B528&gt;60)*HLOOKUP($B528/12,Loyalty,2)*$F$1*MAX(CM527,0)</f>
        <v>0</v>
      </c>
      <c r="CL528" s="75">
        <f>PARAM!$C$26+MAX($P$4-CHOOSE(PARAM!$B$44,MAX(0,CM527*$F$1),0),0)*RATES!$L504/12+$Q$4*(PARAM!$D$51/12)*RATES!$N504/100</f>
        <v>145.00000000000003</v>
      </c>
      <c r="CM528" s="16">
        <f>IF(CM527&gt;0,CM527*PARAM!$C$53,CM527)+CK528-CL528</f>
        <v>-19379.999999999996</v>
      </c>
      <c r="CO528" s="176"/>
    </row>
    <row r="529" spans="1:93" x14ac:dyDescent="0.2">
      <c r="A529" t="b">
        <f t="shared" si="322"/>
        <v>0</v>
      </c>
      <c r="B529" s="33">
        <v>502</v>
      </c>
      <c r="C529" s="15">
        <f t="shared" si="323"/>
        <v>20.081305947392778</v>
      </c>
      <c r="D529" s="75">
        <f>C529*(1-PARAM!$C$27)*$I$3+(MOD($B529,60)=PARAM!$B$56)*($B529&gt;(60-PARAM!$B$56))*HLOOKUP(($B529+PARAM!$B$56)/12,Loyalty,2)*$F$1*MAX(F528,0)</f>
        <v>16.808053077967756</v>
      </c>
      <c r="E529" s="75">
        <f>PARAM!$C$26+MAX($G$3-CHOOSE(PARAM!$B$44,MAX(0,F528*$F$1),0),0)*RATES!$L505/12+$H$3*(PARAM!$D$51/12)*RATES!$N505/100</f>
        <v>145.00000000000003</v>
      </c>
      <c r="F529" s="16">
        <f t="shared" si="324"/>
        <v>-11243.782546263908</v>
      </c>
      <c r="G529" s="15">
        <f t="shared" si="325"/>
        <v>22.035289406060361</v>
      </c>
      <c r="H529" s="75">
        <f>G529*(1-PARAM!$C$27)*$I$4+(MOD($B529,60)=PARAM!$B$56)*($B529&gt;(60-PARAM!$B$56))*HLOOKUP(($B529+PARAM!$B$56)/12,Loyalty,2)*$F$1*MAX(J528,0)</f>
        <v>18.443537232872522</v>
      </c>
      <c r="I529" s="75">
        <f>PARAM!$C$26+MAX($G$4-CHOOSE(PARAM!$B$44,MAX(0,J528*$F$1),0),0)*RATES!$L505/12+$H$4*(PARAM!$D$51/12)*RATES!$N505/100</f>
        <v>145.00000000000003</v>
      </c>
      <c r="J529" s="16">
        <f t="shared" si="326"/>
        <v>-10388.936536380013</v>
      </c>
      <c r="K529" s="15">
        <f t="shared" si="327"/>
        <v>22.170849845882874</v>
      </c>
      <c r="L529" s="75">
        <f>K529*(1-PARAM!$C$27)*$I$5+(MOD($B529,60)=PARAM!$B$56)*($B529&gt;(60-PARAM!$B$56))*HLOOKUP(($B529+PARAM!$B$56)/12,Loyalty,2)*$F$1*MAX(N528,0)</f>
        <v>18.557001321003963</v>
      </c>
      <c r="M529" s="75">
        <f>PARAM!$C$26+MAX($G$5-CHOOSE(PARAM!$B$44,MAX(0,N528*$F$1),0),0)*RATES!$L505/12+$H$5*(PARAM!$D$51/12)*RATES!$N505/100</f>
        <v>145.00000000000003</v>
      </c>
      <c r="N529" s="16">
        <f t="shared" si="328"/>
        <v>-10328.960027738251</v>
      </c>
      <c r="O529" s="15">
        <f t="shared" si="329"/>
        <v>22.170849845882874</v>
      </c>
      <c r="P529" s="75">
        <f>O529*(1-PARAM!$C$27)*$I$6+(MOD($B529,60)=PARAM!$B$56)*($B529&gt;(60-PARAM!$B$56))*HLOOKUP(($B529+PARAM!$B$56)/12,Loyalty,2)*$F$1*MAX(R528,0)</f>
        <v>18.557001321003963</v>
      </c>
      <c r="Q529" s="75">
        <f>PARAM!$C$26+MAX($G$6-CHOOSE(PARAM!$B$44,MAX(0,R528*$F$1),0),0)*RATES!$L505/12+$H$6*(PARAM!$D$51/12)*RATES!$N505/100</f>
        <v>145.00000000000003</v>
      </c>
      <c r="R529" s="16">
        <f t="shared" si="330"/>
        <v>-10328.960027738251</v>
      </c>
      <c r="S529" s="15">
        <f t="shared" si="305"/>
        <v>22.170849845882874</v>
      </c>
      <c r="T529" s="75">
        <f>S529*(1-PARAM!$C$27)*$I$7+(MOD($B529,60)=PARAM!$B$56)*($B529&gt;(60-PARAM!$B$56))*HLOOKUP(($B529+PARAM!$B$56)/12,Loyalty,2)*$F$1*MAX(V528,0)</f>
        <v>18.557001321003963</v>
      </c>
      <c r="U529" s="75">
        <f>PARAM!$C$26+MAX($G$7-CHOOSE(PARAM!$B$44,MAX(0,V528*$F$1),0),0)*RATES!$L505/12+$H$7*(PARAM!$D$51/12)*RATES!$N505/100</f>
        <v>145.00000000000003</v>
      </c>
      <c r="V529" s="16">
        <f t="shared" si="331"/>
        <v>-10328.960027738251</v>
      </c>
      <c r="W529" s="15">
        <f t="shared" si="306"/>
        <v>22.170849845882874</v>
      </c>
      <c r="X529" s="75">
        <f>W529*(1-PARAM!$C$27)*$I$8+(MOD($B529,60)=PARAM!$B$56)*($B529&gt;(60-PARAM!$B$56))*HLOOKUP(($B529+PARAM!$B$56)/12,Loyalty,2)*$F$1*MAX(Z528,0)</f>
        <v>18.557001321003963</v>
      </c>
      <c r="Y529" s="75">
        <f>PARAM!$C$26+MAX($G$8-CHOOSE(PARAM!$B$44,MAX(0,Z528*$F$1),0),0)*RATES!$L505/12+$H$8*(PARAM!$D$51/12)*RATES!$N505/100</f>
        <v>145.00000000000003</v>
      </c>
      <c r="Z529" s="16">
        <f t="shared" si="332"/>
        <v>-10328.960027738251</v>
      </c>
      <c r="AA529" s="15">
        <f t="shared" si="307"/>
        <v>22.170849845882874</v>
      </c>
      <c r="AB529" s="75">
        <f>AA529*(1-PARAM!$C$27)*$I$9+(MOD($B529,60)=PARAM!$B$56)*($B529&gt;(60-PARAM!$B$56))*HLOOKUP(($B529+PARAM!$B$56)/12,Loyalty,2)*$F$1*MAX(AD528,0)</f>
        <v>18.557001321003963</v>
      </c>
      <c r="AC529" s="75">
        <f>PARAM!$C$26+MAX($G$9-CHOOSE(PARAM!$B$44,MAX(0,AD528*$F$1),0),0)*RATES!$L505/12+$H$9*(PARAM!$D$51/12)*RATES!$N505/100</f>
        <v>145.00000000000003</v>
      </c>
      <c r="AD529" s="16">
        <f t="shared" si="333"/>
        <v>-10328.960027738251</v>
      </c>
      <c r="AE529" s="15">
        <f t="shared" si="308"/>
        <v>22.170849845882874</v>
      </c>
      <c r="AF529" s="75">
        <f>AE529*(1-PARAM!$C$27)*$I$10+(MOD($B529,60)=PARAM!$B$56)*($B529&gt;(60-PARAM!$B$56))*HLOOKUP(($B529+PARAM!$B$56)/12,Loyalty,2)*$F$1*MAX(AH528,0)</f>
        <v>18.557001321003963</v>
      </c>
      <c r="AG529" s="75">
        <f>PARAM!$C$26+MAX($G$10-CHOOSE(PARAM!$B$44,MAX(0,AH528*$F$1),0),0)*RATES!$L505/12+$H$10*(PARAM!$D$51/12)*RATES!$N505/100</f>
        <v>145.00000000000003</v>
      </c>
      <c r="AH529" s="16">
        <f t="shared" si="334"/>
        <v>-10328.960027738251</v>
      </c>
      <c r="AI529" s="15">
        <f t="shared" si="309"/>
        <v>22.170849845882874</v>
      </c>
      <c r="AJ529" s="75">
        <f>AI529*(1-PARAM!$C$27)*$I$11+(MOD($B529,60)=PARAM!$B$56)*($B529&gt;(60-PARAM!$B$56))*HLOOKUP(($B529+PARAM!$B$56)/12,Loyalty,2)*$F$1*MAX(AL528,0)</f>
        <v>18.557001321003963</v>
      </c>
      <c r="AK529" s="75">
        <f>PARAM!$C$26+MAX($G$11-CHOOSE(PARAM!$B$44,MAX(0,AL528*$F$1),0),0)*RATES!$L505/12+$H$11*(PARAM!$D$51/12)*RATES!$N505/100</f>
        <v>145.00000000000003</v>
      </c>
      <c r="AL529" s="16">
        <f t="shared" si="335"/>
        <v>-10328.960027738251</v>
      </c>
      <c r="AM529" s="15">
        <f t="shared" si="310"/>
        <v>22.170849845882874</v>
      </c>
      <c r="AN529" s="75">
        <f>AM529*(1-PARAM!$C$27)*$I$12+(MOD($B529,60)=PARAM!$B$56)*($B529&gt;(60-PARAM!$B$56))*HLOOKUP(($B529+PARAM!$B$56)/12,Loyalty,2)*$F$1*MAX(AP528,0)</f>
        <v>18.557001321003963</v>
      </c>
      <c r="AO529" s="75">
        <f>PARAM!$C$26+MAX($G$12-CHOOSE(PARAM!$B$44,MAX(0,AP528*$F$1),0),0)*RATES!$L505/12+$H$12*(PARAM!$D$51/12)*RATES!$N505/100</f>
        <v>145.00000000000003</v>
      </c>
      <c r="AP529" s="16">
        <f t="shared" si="336"/>
        <v>-10328.960027738251</v>
      </c>
      <c r="AQ529" s="15">
        <f t="shared" si="311"/>
        <v>22.170849845882874</v>
      </c>
      <c r="AR529" s="75">
        <f>AQ529*(1-PARAM!$C$27)*$I$13+(MOD($B529,60)=PARAM!$B$56)*($B529&gt;(60-PARAM!$B$56))*HLOOKUP(($B529+PARAM!$B$56)/12,Loyalty,2)*$F$1*MAX(AT528,0)</f>
        <v>18.557001321003963</v>
      </c>
      <c r="AS529" s="75">
        <f>PARAM!$C$26+MAX($G$13-CHOOSE(PARAM!$B$44,MAX(0,AT528*$F$1),0),0)*RATES!$L505/12+$H$13*(PARAM!$D$51/12)*RATES!$N505/100</f>
        <v>145.00000000000003</v>
      </c>
      <c r="AT529" s="16">
        <f t="shared" si="337"/>
        <v>-10328.960027738251</v>
      </c>
      <c r="AU529" s="15">
        <f t="shared" si="312"/>
        <v>22.170849845882874</v>
      </c>
      <c r="AV529" s="75">
        <f>AU529*(1-PARAM!$C$27)*$I$14+(MOD($B529,60)=PARAM!$B$56)*($B529&gt;(60-PARAM!$B$56))*HLOOKUP(($B529+PARAM!$B$56)/12,Loyalty,2)*$F$1*MAX(AX528,0)</f>
        <v>18.557001321003963</v>
      </c>
      <c r="AW529" s="75">
        <f>PARAM!$C$26+MAX($G$14-CHOOSE(PARAM!$B$44,MAX(0,AX528*$F$1),0),0)*RATES!$L505/12+$H$14*(PARAM!$D$51/12)*RATES!$N505/100</f>
        <v>145.00000000000003</v>
      </c>
      <c r="AX529" s="16">
        <f t="shared" si="338"/>
        <v>-10328.960027738251</v>
      </c>
      <c r="AY529" s="15">
        <f t="shared" si="313"/>
        <v>22.170849845882874</v>
      </c>
      <c r="AZ529" s="75">
        <f>AY529*(1-PARAM!$C$27)*$I$15+(MOD($B529,60)=PARAM!$B$56)*($B529&gt;(60-PARAM!$B$56))*HLOOKUP(($B529+PARAM!$B$56)/12,Loyalty,2)*$F$1*MAX(BB528,0)</f>
        <v>18.557001321003963</v>
      </c>
      <c r="BA529" s="75">
        <f>PARAM!$C$26+MAX($G$15-CHOOSE(PARAM!$B$44,MAX(0,BB528*$F$1),0),0)*RATES!$L505/12+$H$15*(PARAM!$D$51/12)*RATES!$N505/100</f>
        <v>145.00000000000003</v>
      </c>
      <c r="BB529" s="16">
        <f t="shared" si="339"/>
        <v>-10328.960027738251</v>
      </c>
      <c r="BC529" s="15">
        <f t="shared" si="314"/>
        <v>22.170849845882874</v>
      </c>
      <c r="BD529" s="75">
        <f>BC529*(1-PARAM!$C$27)*$I$16+(MOD($B529,60)=PARAM!$B$56)*($B529&gt;(60-PARAM!$B$56))*HLOOKUP(($B529+PARAM!$B$56)/12,Loyalty,2)*$F$1*MAX(BF528,0)</f>
        <v>18.557001321003963</v>
      </c>
      <c r="BE529" s="75">
        <f>PARAM!$C$26+MAX($G$16-CHOOSE(PARAM!$B$44,MAX(0,BF528*$F$1),0),0)*RATES!$L505/12+$H$16*(PARAM!$D$51/12)*RATES!$N505/100</f>
        <v>145.00000000000003</v>
      </c>
      <c r="BF529" s="16">
        <f t="shared" si="340"/>
        <v>-10328.960027738251</v>
      </c>
      <c r="BG529" s="15">
        <f t="shared" si="315"/>
        <v>22.170849845882874</v>
      </c>
      <c r="BH529" s="75">
        <f>BG529*(1-PARAM!$C$27)*$I$17+(MOD($B529,60)=PARAM!$B$56)*($B529&gt;(60-PARAM!$B$56))*HLOOKUP(($B529+PARAM!$B$56)/12,Loyalty,2)*$F$1*MAX(BJ528,0)</f>
        <v>18.557001321003963</v>
      </c>
      <c r="BI529" s="75">
        <f>PARAM!$C$26+MAX($G$17-CHOOSE(PARAM!$B$44,MAX(0,BJ528*$F$1),0),0)*RATES!$L505/12+$H$17*(PARAM!$D$51/12)*RATES!$N505/100</f>
        <v>145.00000000000003</v>
      </c>
      <c r="BJ529" s="16">
        <f t="shared" si="341"/>
        <v>-10328.960027738251</v>
      </c>
      <c r="BK529" s="15">
        <f t="shared" si="316"/>
        <v>22.170849845882874</v>
      </c>
      <c r="BL529" s="75">
        <f>BK529*(1-PARAM!$C$27)*$I$18+(MOD($B529,60)=PARAM!$B$56)*($B529&gt;(60-PARAM!$B$56))*HLOOKUP(($B529+PARAM!$B$56)/12,Loyalty,2)*$F$1*MAX(BN528,0)</f>
        <v>18.557001321003963</v>
      </c>
      <c r="BM529" s="75">
        <f>PARAM!$C$26+MAX($G$18-CHOOSE(PARAM!$B$44,MAX(0,BN528*$F$1),0),0)*RATES!$L505/12+$H$18*(PARAM!$D$51/12)*RATES!$N505/100</f>
        <v>145.00000000000003</v>
      </c>
      <c r="BN529" s="16">
        <f t="shared" si="342"/>
        <v>-10328.960027738251</v>
      </c>
      <c r="BO529" s="15">
        <f t="shared" si="317"/>
        <v>22.170849845882874</v>
      </c>
      <c r="BP529" s="75">
        <f>BO529*(1-PARAM!$C$27)*$I$19+(MOD($B529,60)=PARAM!$B$56)*($B529&gt;(60-PARAM!$B$56))*HLOOKUP(($B529+PARAM!$B$56)/12,Loyalty,2)*$F$1*MAX(BR528,0)</f>
        <v>18.557001321003963</v>
      </c>
      <c r="BQ529" s="75">
        <f>PARAM!$C$26+MAX($G$19-CHOOSE(PARAM!$B$44,MAX(0,BR528*$F$1),0),0)*RATES!$L505/12+$H$19*(PARAM!$D$51/12)*RATES!$N505/100</f>
        <v>145.00000000000003</v>
      </c>
      <c r="BR529" s="16">
        <f t="shared" si="343"/>
        <v>-10328.960027738251</v>
      </c>
      <c r="BS529" s="15">
        <f t="shared" si="318"/>
        <v>22.170849845882874</v>
      </c>
      <c r="BT529" s="75">
        <f>BS529*(1-PARAM!$C$27)*$I$20+(MOD($B529,60)=PARAM!$B$56)*($B529&gt;(60-PARAM!$B$56))*HLOOKUP(($B529+PARAM!$B$56)/12,Loyalty,2)*$F$1*MAX(BV528,0)</f>
        <v>18.557001321003963</v>
      </c>
      <c r="BU529" s="75">
        <f>PARAM!$C$26+MAX($G$20-CHOOSE(PARAM!$B$44,MAX(0,BV528*$F$1),0),0)*RATES!$L505/12+$H$20*(PARAM!$D$51/12)*RATES!$N505/100</f>
        <v>145.00000000000003</v>
      </c>
      <c r="BV529" s="16">
        <f t="shared" si="344"/>
        <v>-10328.960027738251</v>
      </c>
      <c r="BW529" s="15">
        <f t="shared" si="319"/>
        <v>22.170849845882874</v>
      </c>
      <c r="BX529" s="75">
        <f>BW529*(1-PARAM!$C$27)*$I$21+(MOD($B529,60)=PARAM!$B$56)*($B529&gt;(60-PARAM!$B$56))*HLOOKUP(($B529+PARAM!$B$56)/12,Loyalty,2)*$F$1*MAX(BZ528,0)</f>
        <v>18.557001321003963</v>
      </c>
      <c r="BY529" s="75">
        <f>PARAM!$C$26+MAX($G$21-CHOOSE(PARAM!$B$44,MAX(0,BZ528*$F$1),0),0)*RATES!$L505/12+$H$21*(PARAM!$D$51/12)*RATES!$N505/100</f>
        <v>145.00000000000003</v>
      </c>
      <c r="BZ529" s="16">
        <f t="shared" si="345"/>
        <v>-10328.960027738251</v>
      </c>
      <c r="CA529" s="15">
        <f t="shared" si="320"/>
        <v>22.170849845882874</v>
      </c>
      <c r="CB529" s="75">
        <f>CA529*(1-PARAM!$C$27)*$I$22+(MOD($B529,60)=PARAM!$B$56)*($B529&gt;(60-PARAM!$B$56))*HLOOKUP(($B529+PARAM!$B$56)/12,Loyalty,2)*$F$1*MAX(CD528,0)</f>
        <v>18.557001321003963</v>
      </c>
      <c r="CC529" s="75">
        <f>PARAM!$C$26+MAX($G$22-CHOOSE(PARAM!$B$44,MAX(0,CD528*$F$1),0),0)*RATES!$L505/12+$H$22*(PARAM!$D$51/12)*RATES!$N505/100</f>
        <v>145.00000000000003</v>
      </c>
      <c r="CD529" s="16">
        <f t="shared" si="346"/>
        <v>-10328.960027738251</v>
      </c>
      <c r="CE529" s="33">
        <f>IF(0=MOD(B529,12/PARAM!$D$51),1,0)</f>
        <v>1</v>
      </c>
      <c r="CF529" s="15">
        <f t="shared" si="321"/>
        <v>0</v>
      </c>
      <c r="CG529" s="75">
        <f>CF529*(1-PARAM!$C$27)*$R$3+(MOD($B529/12,5)=0)*($B529&gt;60)*HLOOKUP($B529/12,Loyalty,2)*$F$1*MAX(CI528,0)</f>
        <v>0</v>
      </c>
      <c r="CH529" s="75">
        <f>PARAM!$C$26+MAX($P$3-CHOOSE(PARAM!$B$44,MAX(0,CI528*$F$1),0),0)*RATES!$L505/12+$Q$3*(PARAM!$D$51/12)*RATES!$N505/100</f>
        <v>145.00000000000003</v>
      </c>
      <c r="CI529" s="16">
        <f>IF(CI528&gt;0,CI528*PARAM!$C$53,CI528)+CG529-CH529</f>
        <v>-19524.999999999996</v>
      </c>
      <c r="CJ529" s="15">
        <f t="shared" si="347"/>
        <v>0</v>
      </c>
      <c r="CK529" s="75">
        <f>CJ529*(1-PARAM!$C$27)*$R$4+(MOD($B529/12,5)=0)*($B529&gt;60)*HLOOKUP($B529/12,Loyalty,2)*$F$1*MAX(CM528,0)</f>
        <v>0</v>
      </c>
      <c r="CL529" s="75">
        <f>PARAM!$C$26+MAX($P$4-CHOOSE(PARAM!$B$44,MAX(0,CM528*$F$1),0),0)*RATES!$L505/12+$Q$4*(PARAM!$D$51/12)*RATES!$N505/100</f>
        <v>145.00000000000003</v>
      </c>
      <c r="CM529" s="16">
        <f>IF(CM528&gt;0,CM528*PARAM!$C$53,CM528)+CK529-CL529</f>
        <v>-19524.999999999996</v>
      </c>
      <c r="CO529" s="176"/>
    </row>
    <row r="530" spans="1:93" x14ac:dyDescent="0.2">
      <c r="A530" t="b">
        <f t="shared" si="322"/>
        <v>0</v>
      </c>
      <c r="B530" s="33">
        <v>503</v>
      </c>
      <c r="C530" s="15">
        <f t="shared" si="323"/>
        <v>20.081305947392778</v>
      </c>
      <c r="D530" s="75">
        <f>C530*(1-PARAM!$C$27)*$I$3+(MOD($B530,60)=PARAM!$B$56)*($B530&gt;(60-PARAM!$B$56))*HLOOKUP(($B530+PARAM!$B$56)/12,Loyalty,2)*$F$1*MAX(F529,0)</f>
        <v>16.808053077967756</v>
      </c>
      <c r="E530" s="75">
        <f>PARAM!$C$26+MAX($G$3-CHOOSE(PARAM!$B$44,MAX(0,F529*$F$1),0),0)*RATES!$L506/12+$H$3*(PARAM!$D$51/12)*RATES!$N506/100</f>
        <v>145.00000000000003</v>
      </c>
      <c r="F530" s="16">
        <f t="shared" si="324"/>
        <v>-11371.97449318594</v>
      </c>
      <c r="G530" s="15">
        <f t="shared" si="325"/>
        <v>22.035289406060361</v>
      </c>
      <c r="H530" s="75">
        <f>G530*(1-PARAM!$C$27)*$I$4+(MOD($B530,60)=PARAM!$B$56)*($B530&gt;(60-PARAM!$B$56))*HLOOKUP(($B530+PARAM!$B$56)/12,Loyalty,2)*$F$1*MAX(J529,0)</f>
        <v>18.443537232872522</v>
      </c>
      <c r="I530" s="75">
        <f>PARAM!$C$26+MAX($G$4-CHOOSE(PARAM!$B$44,MAX(0,J529*$F$1),0),0)*RATES!$L506/12+$H$4*(PARAM!$D$51/12)*RATES!$N506/100</f>
        <v>145.00000000000003</v>
      </c>
      <c r="J530" s="16">
        <f t="shared" si="326"/>
        <v>-10515.492999147142</v>
      </c>
      <c r="K530" s="15">
        <f t="shared" si="327"/>
        <v>22.170849845882874</v>
      </c>
      <c r="L530" s="75">
        <f>K530*(1-PARAM!$C$27)*$I$5+(MOD($B530,60)=PARAM!$B$56)*($B530&gt;(60-PARAM!$B$56))*HLOOKUP(($B530+PARAM!$B$56)/12,Loyalty,2)*$F$1*MAX(N529,0)</f>
        <v>18.557001321003963</v>
      </c>
      <c r="M530" s="75">
        <f>PARAM!$C$26+MAX($G$5-CHOOSE(PARAM!$B$44,MAX(0,N529*$F$1),0),0)*RATES!$L506/12+$H$5*(PARAM!$D$51/12)*RATES!$N506/100</f>
        <v>145.00000000000003</v>
      </c>
      <c r="N530" s="16">
        <f t="shared" si="328"/>
        <v>-10455.403026417247</v>
      </c>
      <c r="O530" s="15">
        <f t="shared" si="329"/>
        <v>22.170849845882874</v>
      </c>
      <c r="P530" s="75">
        <f>O530*(1-PARAM!$C$27)*$I$6+(MOD($B530,60)=PARAM!$B$56)*($B530&gt;(60-PARAM!$B$56))*HLOOKUP(($B530+PARAM!$B$56)/12,Loyalty,2)*$F$1*MAX(R529,0)</f>
        <v>18.557001321003963</v>
      </c>
      <c r="Q530" s="75">
        <f>PARAM!$C$26+MAX($G$6-CHOOSE(PARAM!$B$44,MAX(0,R529*$F$1),0),0)*RATES!$L506/12+$H$6*(PARAM!$D$51/12)*RATES!$N506/100</f>
        <v>145.00000000000003</v>
      </c>
      <c r="R530" s="16">
        <f t="shared" si="330"/>
        <v>-10455.403026417247</v>
      </c>
      <c r="S530" s="15">
        <f t="shared" si="305"/>
        <v>22.170849845882874</v>
      </c>
      <c r="T530" s="75">
        <f>S530*(1-PARAM!$C$27)*$I$7+(MOD($B530,60)=PARAM!$B$56)*($B530&gt;(60-PARAM!$B$56))*HLOOKUP(($B530+PARAM!$B$56)/12,Loyalty,2)*$F$1*MAX(V529,0)</f>
        <v>18.557001321003963</v>
      </c>
      <c r="U530" s="75">
        <f>PARAM!$C$26+MAX($G$7-CHOOSE(PARAM!$B$44,MAX(0,V529*$F$1),0),0)*RATES!$L506/12+$H$7*(PARAM!$D$51/12)*RATES!$N506/100</f>
        <v>145.00000000000003</v>
      </c>
      <c r="V530" s="16">
        <f t="shared" si="331"/>
        <v>-10455.403026417247</v>
      </c>
      <c r="W530" s="15">
        <f t="shared" si="306"/>
        <v>22.170849845882874</v>
      </c>
      <c r="X530" s="75">
        <f>W530*(1-PARAM!$C$27)*$I$8+(MOD($B530,60)=PARAM!$B$56)*($B530&gt;(60-PARAM!$B$56))*HLOOKUP(($B530+PARAM!$B$56)/12,Loyalty,2)*$F$1*MAX(Z529,0)</f>
        <v>18.557001321003963</v>
      </c>
      <c r="Y530" s="75">
        <f>PARAM!$C$26+MAX($G$8-CHOOSE(PARAM!$B$44,MAX(0,Z529*$F$1),0),0)*RATES!$L506/12+$H$8*(PARAM!$D$51/12)*RATES!$N506/100</f>
        <v>145.00000000000003</v>
      </c>
      <c r="Z530" s="16">
        <f t="shared" si="332"/>
        <v>-10455.403026417247</v>
      </c>
      <c r="AA530" s="15">
        <f t="shared" si="307"/>
        <v>22.170849845882874</v>
      </c>
      <c r="AB530" s="75">
        <f>AA530*(1-PARAM!$C$27)*$I$9+(MOD($B530,60)=PARAM!$B$56)*($B530&gt;(60-PARAM!$B$56))*HLOOKUP(($B530+PARAM!$B$56)/12,Loyalty,2)*$F$1*MAX(AD529,0)</f>
        <v>18.557001321003963</v>
      </c>
      <c r="AC530" s="75">
        <f>PARAM!$C$26+MAX($G$9-CHOOSE(PARAM!$B$44,MAX(0,AD529*$F$1),0),0)*RATES!$L506/12+$H$9*(PARAM!$D$51/12)*RATES!$N506/100</f>
        <v>145.00000000000003</v>
      </c>
      <c r="AD530" s="16">
        <f t="shared" si="333"/>
        <v>-10455.403026417247</v>
      </c>
      <c r="AE530" s="15">
        <f t="shared" si="308"/>
        <v>22.170849845882874</v>
      </c>
      <c r="AF530" s="75">
        <f>AE530*(1-PARAM!$C$27)*$I$10+(MOD($B530,60)=PARAM!$B$56)*($B530&gt;(60-PARAM!$B$56))*HLOOKUP(($B530+PARAM!$B$56)/12,Loyalty,2)*$F$1*MAX(AH529,0)</f>
        <v>18.557001321003963</v>
      </c>
      <c r="AG530" s="75">
        <f>PARAM!$C$26+MAX($G$10-CHOOSE(PARAM!$B$44,MAX(0,AH529*$F$1),0),0)*RATES!$L506/12+$H$10*(PARAM!$D$51/12)*RATES!$N506/100</f>
        <v>145.00000000000003</v>
      </c>
      <c r="AH530" s="16">
        <f t="shared" si="334"/>
        <v>-10455.403026417247</v>
      </c>
      <c r="AI530" s="15">
        <f t="shared" si="309"/>
        <v>22.170849845882874</v>
      </c>
      <c r="AJ530" s="75">
        <f>AI530*(1-PARAM!$C$27)*$I$11+(MOD($B530,60)=PARAM!$B$56)*($B530&gt;(60-PARAM!$B$56))*HLOOKUP(($B530+PARAM!$B$56)/12,Loyalty,2)*$F$1*MAX(AL529,0)</f>
        <v>18.557001321003963</v>
      </c>
      <c r="AK530" s="75">
        <f>PARAM!$C$26+MAX($G$11-CHOOSE(PARAM!$B$44,MAX(0,AL529*$F$1),0),0)*RATES!$L506/12+$H$11*(PARAM!$D$51/12)*RATES!$N506/100</f>
        <v>145.00000000000003</v>
      </c>
      <c r="AL530" s="16">
        <f t="shared" si="335"/>
        <v>-10455.403026417247</v>
      </c>
      <c r="AM530" s="15">
        <f t="shared" si="310"/>
        <v>22.170849845882874</v>
      </c>
      <c r="AN530" s="75">
        <f>AM530*(1-PARAM!$C$27)*$I$12+(MOD($B530,60)=PARAM!$B$56)*($B530&gt;(60-PARAM!$B$56))*HLOOKUP(($B530+PARAM!$B$56)/12,Loyalty,2)*$F$1*MAX(AP529,0)</f>
        <v>18.557001321003963</v>
      </c>
      <c r="AO530" s="75">
        <f>PARAM!$C$26+MAX($G$12-CHOOSE(PARAM!$B$44,MAX(0,AP529*$F$1),0),0)*RATES!$L506/12+$H$12*(PARAM!$D$51/12)*RATES!$N506/100</f>
        <v>145.00000000000003</v>
      </c>
      <c r="AP530" s="16">
        <f t="shared" si="336"/>
        <v>-10455.403026417247</v>
      </c>
      <c r="AQ530" s="15">
        <f t="shared" si="311"/>
        <v>22.170849845882874</v>
      </c>
      <c r="AR530" s="75">
        <f>AQ530*(1-PARAM!$C$27)*$I$13+(MOD($B530,60)=PARAM!$B$56)*($B530&gt;(60-PARAM!$B$56))*HLOOKUP(($B530+PARAM!$B$56)/12,Loyalty,2)*$F$1*MAX(AT529,0)</f>
        <v>18.557001321003963</v>
      </c>
      <c r="AS530" s="75">
        <f>PARAM!$C$26+MAX($G$13-CHOOSE(PARAM!$B$44,MAX(0,AT529*$F$1),0),0)*RATES!$L506/12+$H$13*(PARAM!$D$51/12)*RATES!$N506/100</f>
        <v>145.00000000000003</v>
      </c>
      <c r="AT530" s="16">
        <f t="shared" si="337"/>
        <v>-10455.403026417247</v>
      </c>
      <c r="AU530" s="15">
        <f t="shared" si="312"/>
        <v>22.170849845882874</v>
      </c>
      <c r="AV530" s="75">
        <f>AU530*(1-PARAM!$C$27)*$I$14+(MOD($B530,60)=PARAM!$B$56)*($B530&gt;(60-PARAM!$B$56))*HLOOKUP(($B530+PARAM!$B$56)/12,Loyalty,2)*$F$1*MAX(AX529,0)</f>
        <v>18.557001321003963</v>
      </c>
      <c r="AW530" s="75">
        <f>PARAM!$C$26+MAX($G$14-CHOOSE(PARAM!$B$44,MAX(0,AX529*$F$1),0),0)*RATES!$L506/12+$H$14*(PARAM!$D$51/12)*RATES!$N506/100</f>
        <v>145.00000000000003</v>
      </c>
      <c r="AX530" s="16">
        <f t="shared" si="338"/>
        <v>-10455.403026417247</v>
      </c>
      <c r="AY530" s="15">
        <f t="shared" si="313"/>
        <v>22.170849845882874</v>
      </c>
      <c r="AZ530" s="75">
        <f>AY530*(1-PARAM!$C$27)*$I$15+(MOD($B530,60)=PARAM!$B$56)*($B530&gt;(60-PARAM!$B$56))*HLOOKUP(($B530+PARAM!$B$56)/12,Loyalty,2)*$F$1*MAX(BB529,0)</f>
        <v>18.557001321003963</v>
      </c>
      <c r="BA530" s="75">
        <f>PARAM!$C$26+MAX($G$15-CHOOSE(PARAM!$B$44,MAX(0,BB529*$F$1),0),0)*RATES!$L506/12+$H$15*(PARAM!$D$51/12)*RATES!$N506/100</f>
        <v>145.00000000000003</v>
      </c>
      <c r="BB530" s="16">
        <f t="shared" si="339"/>
        <v>-10455.403026417247</v>
      </c>
      <c r="BC530" s="15">
        <f t="shared" si="314"/>
        <v>22.170849845882874</v>
      </c>
      <c r="BD530" s="75">
        <f>BC530*(1-PARAM!$C$27)*$I$16+(MOD($B530,60)=PARAM!$B$56)*($B530&gt;(60-PARAM!$B$56))*HLOOKUP(($B530+PARAM!$B$56)/12,Loyalty,2)*$F$1*MAX(BF529,0)</f>
        <v>18.557001321003963</v>
      </c>
      <c r="BE530" s="75">
        <f>PARAM!$C$26+MAX($G$16-CHOOSE(PARAM!$B$44,MAX(0,BF529*$F$1),0),0)*RATES!$L506/12+$H$16*(PARAM!$D$51/12)*RATES!$N506/100</f>
        <v>145.00000000000003</v>
      </c>
      <c r="BF530" s="16">
        <f t="shared" si="340"/>
        <v>-10455.403026417247</v>
      </c>
      <c r="BG530" s="15">
        <f t="shared" si="315"/>
        <v>22.170849845882874</v>
      </c>
      <c r="BH530" s="75">
        <f>BG530*(1-PARAM!$C$27)*$I$17+(MOD($B530,60)=PARAM!$B$56)*($B530&gt;(60-PARAM!$B$56))*HLOOKUP(($B530+PARAM!$B$56)/12,Loyalty,2)*$F$1*MAX(BJ529,0)</f>
        <v>18.557001321003963</v>
      </c>
      <c r="BI530" s="75">
        <f>PARAM!$C$26+MAX($G$17-CHOOSE(PARAM!$B$44,MAX(0,BJ529*$F$1),0),0)*RATES!$L506/12+$H$17*(PARAM!$D$51/12)*RATES!$N506/100</f>
        <v>145.00000000000003</v>
      </c>
      <c r="BJ530" s="16">
        <f t="shared" si="341"/>
        <v>-10455.403026417247</v>
      </c>
      <c r="BK530" s="15">
        <f t="shared" si="316"/>
        <v>22.170849845882874</v>
      </c>
      <c r="BL530" s="75">
        <f>BK530*(1-PARAM!$C$27)*$I$18+(MOD($B530,60)=PARAM!$B$56)*($B530&gt;(60-PARAM!$B$56))*HLOOKUP(($B530+PARAM!$B$56)/12,Loyalty,2)*$F$1*MAX(BN529,0)</f>
        <v>18.557001321003963</v>
      </c>
      <c r="BM530" s="75">
        <f>PARAM!$C$26+MAX($G$18-CHOOSE(PARAM!$B$44,MAX(0,BN529*$F$1),0),0)*RATES!$L506/12+$H$18*(PARAM!$D$51/12)*RATES!$N506/100</f>
        <v>145.00000000000003</v>
      </c>
      <c r="BN530" s="16">
        <f t="shared" si="342"/>
        <v>-10455.403026417247</v>
      </c>
      <c r="BO530" s="15">
        <f t="shared" si="317"/>
        <v>22.170849845882874</v>
      </c>
      <c r="BP530" s="75">
        <f>BO530*(1-PARAM!$C$27)*$I$19+(MOD($B530,60)=PARAM!$B$56)*($B530&gt;(60-PARAM!$B$56))*HLOOKUP(($B530+PARAM!$B$56)/12,Loyalty,2)*$F$1*MAX(BR529,0)</f>
        <v>18.557001321003963</v>
      </c>
      <c r="BQ530" s="75">
        <f>PARAM!$C$26+MAX($G$19-CHOOSE(PARAM!$B$44,MAX(0,BR529*$F$1),0),0)*RATES!$L506/12+$H$19*(PARAM!$D$51/12)*RATES!$N506/100</f>
        <v>145.00000000000003</v>
      </c>
      <c r="BR530" s="16">
        <f t="shared" si="343"/>
        <v>-10455.403026417247</v>
      </c>
      <c r="BS530" s="15">
        <f t="shared" si="318"/>
        <v>22.170849845882874</v>
      </c>
      <c r="BT530" s="75">
        <f>BS530*(1-PARAM!$C$27)*$I$20+(MOD($B530,60)=PARAM!$B$56)*($B530&gt;(60-PARAM!$B$56))*HLOOKUP(($B530+PARAM!$B$56)/12,Loyalty,2)*$F$1*MAX(BV529,0)</f>
        <v>18.557001321003963</v>
      </c>
      <c r="BU530" s="75">
        <f>PARAM!$C$26+MAX($G$20-CHOOSE(PARAM!$B$44,MAX(0,BV529*$F$1),0),0)*RATES!$L506/12+$H$20*(PARAM!$D$51/12)*RATES!$N506/100</f>
        <v>145.00000000000003</v>
      </c>
      <c r="BV530" s="16">
        <f t="shared" si="344"/>
        <v>-10455.403026417247</v>
      </c>
      <c r="BW530" s="15">
        <f t="shared" si="319"/>
        <v>22.170849845882874</v>
      </c>
      <c r="BX530" s="75">
        <f>BW530*(1-PARAM!$C$27)*$I$21+(MOD($B530,60)=PARAM!$B$56)*($B530&gt;(60-PARAM!$B$56))*HLOOKUP(($B530+PARAM!$B$56)/12,Loyalty,2)*$F$1*MAX(BZ529,0)</f>
        <v>18.557001321003963</v>
      </c>
      <c r="BY530" s="75">
        <f>PARAM!$C$26+MAX($G$21-CHOOSE(PARAM!$B$44,MAX(0,BZ529*$F$1),0),0)*RATES!$L506/12+$H$21*(PARAM!$D$51/12)*RATES!$N506/100</f>
        <v>145.00000000000003</v>
      </c>
      <c r="BZ530" s="16">
        <f t="shared" si="345"/>
        <v>-10455.403026417247</v>
      </c>
      <c r="CA530" s="15">
        <f t="shared" si="320"/>
        <v>22.170849845882874</v>
      </c>
      <c r="CB530" s="75">
        <f>CA530*(1-PARAM!$C$27)*$I$22+(MOD($B530,60)=PARAM!$B$56)*($B530&gt;(60-PARAM!$B$56))*HLOOKUP(($B530+PARAM!$B$56)/12,Loyalty,2)*$F$1*MAX(CD529,0)</f>
        <v>18.557001321003963</v>
      </c>
      <c r="CC530" s="75">
        <f>PARAM!$C$26+MAX($G$22-CHOOSE(PARAM!$B$44,MAX(0,CD529*$F$1),0),0)*RATES!$L506/12+$H$22*(PARAM!$D$51/12)*RATES!$N506/100</f>
        <v>145.00000000000003</v>
      </c>
      <c r="CD530" s="16">
        <f t="shared" si="346"/>
        <v>-10455.403026417247</v>
      </c>
      <c r="CE530" s="33">
        <f>IF(0=MOD(B530,12/PARAM!$D$51),1,0)</f>
        <v>1</v>
      </c>
      <c r="CF530" s="15">
        <f t="shared" si="321"/>
        <v>0</v>
      </c>
      <c r="CG530" s="75">
        <f>CF530*(1-PARAM!$C$27)*$R$3+(MOD($B530/12,5)=0)*($B530&gt;60)*HLOOKUP($B530/12,Loyalty,2)*$F$1*MAX(CI529,0)</f>
        <v>0</v>
      </c>
      <c r="CH530" s="75">
        <f>PARAM!$C$26+MAX($P$3-CHOOSE(PARAM!$B$44,MAX(0,CI529*$F$1),0),0)*RATES!$L506/12+$Q$3*(PARAM!$D$51/12)*RATES!$N506/100</f>
        <v>145.00000000000003</v>
      </c>
      <c r="CI530" s="16">
        <f>IF(CI529&gt;0,CI529*PARAM!$C$53,CI529)+CG530-CH530</f>
        <v>-19669.999999999996</v>
      </c>
      <c r="CJ530" s="15">
        <f t="shared" si="347"/>
        <v>0</v>
      </c>
      <c r="CK530" s="75">
        <f>CJ530*(1-PARAM!$C$27)*$R$4+(MOD($B530/12,5)=0)*($B530&gt;60)*HLOOKUP($B530/12,Loyalty,2)*$F$1*MAX(CM529,0)</f>
        <v>0</v>
      </c>
      <c r="CL530" s="75">
        <f>PARAM!$C$26+MAX($P$4-CHOOSE(PARAM!$B$44,MAX(0,CM529*$F$1),0),0)*RATES!$L506/12+$Q$4*(PARAM!$D$51/12)*RATES!$N506/100</f>
        <v>145.00000000000003</v>
      </c>
      <c r="CM530" s="16">
        <f>IF(CM529&gt;0,CM529*PARAM!$C$53,CM529)+CK530-CL530</f>
        <v>-19669.999999999996</v>
      </c>
      <c r="CO530" s="176"/>
    </row>
    <row r="531" spans="1:93" x14ac:dyDescent="0.2">
      <c r="A531" t="b">
        <f t="shared" si="322"/>
        <v>0</v>
      </c>
      <c r="B531" s="33">
        <v>504</v>
      </c>
      <c r="C531" s="15">
        <f t="shared" si="323"/>
        <v>20.081305947392778</v>
      </c>
      <c r="D531" s="75">
        <f>C531*(1-PARAM!$C$27)*$I$3+(MOD($B531,60)=PARAM!$B$56)*($B531&gt;(60-PARAM!$B$56))*HLOOKUP(($B531+PARAM!$B$56)/12,Loyalty,2)*$F$1*MAX(F530,0)</f>
        <v>16.808053077967756</v>
      </c>
      <c r="E531" s="75">
        <f>PARAM!$C$26+MAX($G$3-CHOOSE(PARAM!$B$44,MAX(0,F530*$F$1),0),0)*RATES!$L507/12+$H$3*(PARAM!$D$51/12)*RATES!$N507/100</f>
        <v>145.00000000000003</v>
      </c>
      <c r="F531" s="16">
        <f t="shared" si="324"/>
        <v>-11500.166440107972</v>
      </c>
      <c r="G531" s="15">
        <f t="shared" si="325"/>
        <v>22.035289406060361</v>
      </c>
      <c r="H531" s="75">
        <f>G531*(1-PARAM!$C$27)*$I$4+(MOD($B531,60)=PARAM!$B$56)*($B531&gt;(60-PARAM!$B$56))*HLOOKUP(($B531+PARAM!$B$56)/12,Loyalty,2)*$F$1*MAX(J530,0)</f>
        <v>18.443537232872522</v>
      </c>
      <c r="I531" s="75">
        <f>PARAM!$C$26+MAX($G$4-CHOOSE(PARAM!$B$44,MAX(0,J530*$F$1),0),0)*RATES!$L507/12+$H$4*(PARAM!$D$51/12)*RATES!$N507/100</f>
        <v>145.00000000000003</v>
      </c>
      <c r="J531" s="16">
        <f t="shared" si="326"/>
        <v>-10642.04946191427</v>
      </c>
      <c r="K531" s="15">
        <f t="shared" si="327"/>
        <v>22.170849845882874</v>
      </c>
      <c r="L531" s="75">
        <f>K531*(1-PARAM!$C$27)*$I$5+(MOD($B531,60)=PARAM!$B$56)*($B531&gt;(60-PARAM!$B$56))*HLOOKUP(($B531+PARAM!$B$56)/12,Loyalty,2)*$F$1*MAX(N530,0)</f>
        <v>18.557001321003963</v>
      </c>
      <c r="M531" s="75">
        <f>PARAM!$C$26+MAX($G$5-CHOOSE(PARAM!$B$44,MAX(0,N530*$F$1),0),0)*RATES!$L507/12+$H$5*(PARAM!$D$51/12)*RATES!$N507/100</f>
        <v>145.00000000000003</v>
      </c>
      <c r="N531" s="16">
        <f t="shared" si="328"/>
        <v>-10581.846025096243</v>
      </c>
      <c r="O531" s="15">
        <f t="shared" si="329"/>
        <v>22.170849845882874</v>
      </c>
      <c r="P531" s="75">
        <f>O531*(1-PARAM!$C$27)*$I$6+(MOD($B531,60)=PARAM!$B$56)*($B531&gt;(60-PARAM!$B$56))*HLOOKUP(($B531+PARAM!$B$56)/12,Loyalty,2)*$F$1*MAX(R530,0)</f>
        <v>18.557001321003963</v>
      </c>
      <c r="Q531" s="75">
        <f>PARAM!$C$26+MAX($G$6-CHOOSE(PARAM!$B$44,MAX(0,R530*$F$1),0),0)*RATES!$L507/12+$H$6*(PARAM!$D$51/12)*RATES!$N507/100</f>
        <v>145.00000000000003</v>
      </c>
      <c r="R531" s="16">
        <f t="shared" si="330"/>
        <v>-10581.846025096243</v>
      </c>
      <c r="S531" s="15">
        <f t="shared" si="305"/>
        <v>22.170849845882874</v>
      </c>
      <c r="T531" s="75">
        <f>S531*(1-PARAM!$C$27)*$I$7+(MOD($B531,60)=PARAM!$B$56)*($B531&gt;(60-PARAM!$B$56))*HLOOKUP(($B531+PARAM!$B$56)/12,Loyalty,2)*$F$1*MAX(V530,0)</f>
        <v>18.557001321003963</v>
      </c>
      <c r="U531" s="75">
        <f>PARAM!$C$26+MAX($G$7-CHOOSE(PARAM!$B$44,MAX(0,V530*$F$1),0),0)*RATES!$L507/12+$H$7*(PARAM!$D$51/12)*RATES!$N507/100</f>
        <v>145.00000000000003</v>
      </c>
      <c r="V531" s="16">
        <f t="shared" si="331"/>
        <v>-10581.846025096243</v>
      </c>
      <c r="W531" s="15">
        <f t="shared" si="306"/>
        <v>22.170849845882874</v>
      </c>
      <c r="X531" s="75">
        <f>W531*(1-PARAM!$C$27)*$I$8+(MOD($B531,60)=PARAM!$B$56)*($B531&gt;(60-PARAM!$B$56))*HLOOKUP(($B531+PARAM!$B$56)/12,Loyalty,2)*$F$1*MAX(Z530,0)</f>
        <v>18.557001321003963</v>
      </c>
      <c r="Y531" s="75">
        <f>PARAM!$C$26+MAX($G$8-CHOOSE(PARAM!$B$44,MAX(0,Z530*$F$1),0),0)*RATES!$L507/12+$H$8*(PARAM!$D$51/12)*RATES!$N507/100</f>
        <v>145.00000000000003</v>
      </c>
      <c r="Z531" s="16">
        <f t="shared" si="332"/>
        <v>-10581.846025096243</v>
      </c>
      <c r="AA531" s="15">
        <f t="shared" si="307"/>
        <v>22.170849845882874</v>
      </c>
      <c r="AB531" s="75">
        <f>AA531*(1-PARAM!$C$27)*$I$9+(MOD($B531,60)=PARAM!$B$56)*($B531&gt;(60-PARAM!$B$56))*HLOOKUP(($B531+PARAM!$B$56)/12,Loyalty,2)*$F$1*MAX(AD530,0)</f>
        <v>18.557001321003963</v>
      </c>
      <c r="AC531" s="75">
        <f>PARAM!$C$26+MAX($G$9-CHOOSE(PARAM!$B$44,MAX(0,AD530*$F$1),0),0)*RATES!$L507/12+$H$9*(PARAM!$D$51/12)*RATES!$N507/100</f>
        <v>145.00000000000003</v>
      </c>
      <c r="AD531" s="16">
        <f t="shared" si="333"/>
        <v>-10581.846025096243</v>
      </c>
      <c r="AE531" s="15">
        <f t="shared" si="308"/>
        <v>22.170849845882874</v>
      </c>
      <c r="AF531" s="75">
        <f>AE531*(1-PARAM!$C$27)*$I$10+(MOD($B531,60)=PARAM!$B$56)*($B531&gt;(60-PARAM!$B$56))*HLOOKUP(($B531+PARAM!$B$56)/12,Loyalty,2)*$F$1*MAX(AH530,0)</f>
        <v>18.557001321003963</v>
      </c>
      <c r="AG531" s="75">
        <f>PARAM!$C$26+MAX($G$10-CHOOSE(PARAM!$B$44,MAX(0,AH530*$F$1),0),0)*RATES!$L507/12+$H$10*(PARAM!$D$51/12)*RATES!$N507/100</f>
        <v>145.00000000000003</v>
      </c>
      <c r="AH531" s="16">
        <f t="shared" si="334"/>
        <v>-10581.846025096243</v>
      </c>
      <c r="AI531" s="15">
        <f t="shared" si="309"/>
        <v>22.170849845882874</v>
      </c>
      <c r="AJ531" s="75">
        <f>AI531*(1-PARAM!$C$27)*$I$11+(MOD($B531,60)=PARAM!$B$56)*($B531&gt;(60-PARAM!$B$56))*HLOOKUP(($B531+PARAM!$B$56)/12,Loyalty,2)*$F$1*MAX(AL530,0)</f>
        <v>18.557001321003963</v>
      </c>
      <c r="AK531" s="75">
        <f>PARAM!$C$26+MAX($G$11-CHOOSE(PARAM!$B$44,MAX(0,AL530*$F$1),0),0)*RATES!$L507/12+$H$11*(PARAM!$D$51/12)*RATES!$N507/100</f>
        <v>145.00000000000003</v>
      </c>
      <c r="AL531" s="16">
        <f t="shared" si="335"/>
        <v>-10581.846025096243</v>
      </c>
      <c r="AM531" s="15">
        <f t="shared" si="310"/>
        <v>22.170849845882874</v>
      </c>
      <c r="AN531" s="75">
        <f>AM531*(1-PARAM!$C$27)*$I$12+(MOD($B531,60)=PARAM!$B$56)*($B531&gt;(60-PARAM!$B$56))*HLOOKUP(($B531+PARAM!$B$56)/12,Loyalty,2)*$F$1*MAX(AP530,0)</f>
        <v>18.557001321003963</v>
      </c>
      <c r="AO531" s="75">
        <f>PARAM!$C$26+MAX($G$12-CHOOSE(PARAM!$B$44,MAX(0,AP530*$F$1),0),0)*RATES!$L507/12+$H$12*(PARAM!$D$51/12)*RATES!$N507/100</f>
        <v>145.00000000000003</v>
      </c>
      <c r="AP531" s="16">
        <f t="shared" si="336"/>
        <v>-10581.846025096243</v>
      </c>
      <c r="AQ531" s="15">
        <f t="shared" si="311"/>
        <v>22.170849845882874</v>
      </c>
      <c r="AR531" s="75">
        <f>AQ531*(1-PARAM!$C$27)*$I$13+(MOD($B531,60)=PARAM!$B$56)*($B531&gt;(60-PARAM!$B$56))*HLOOKUP(($B531+PARAM!$B$56)/12,Loyalty,2)*$F$1*MAX(AT530,0)</f>
        <v>18.557001321003963</v>
      </c>
      <c r="AS531" s="75">
        <f>PARAM!$C$26+MAX($G$13-CHOOSE(PARAM!$B$44,MAX(0,AT530*$F$1),0),0)*RATES!$L507/12+$H$13*(PARAM!$D$51/12)*RATES!$N507/100</f>
        <v>145.00000000000003</v>
      </c>
      <c r="AT531" s="16">
        <f t="shared" si="337"/>
        <v>-10581.846025096243</v>
      </c>
      <c r="AU531" s="15">
        <f t="shared" si="312"/>
        <v>22.170849845882874</v>
      </c>
      <c r="AV531" s="75">
        <f>AU531*(1-PARAM!$C$27)*$I$14+(MOD($B531,60)=PARAM!$B$56)*($B531&gt;(60-PARAM!$B$56))*HLOOKUP(($B531+PARAM!$B$56)/12,Loyalty,2)*$F$1*MAX(AX530,0)</f>
        <v>18.557001321003963</v>
      </c>
      <c r="AW531" s="75">
        <f>PARAM!$C$26+MAX($G$14-CHOOSE(PARAM!$B$44,MAX(0,AX530*$F$1),0),0)*RATES!$L507/12+$H$14*(PARAM!$D$51/12)*RATES!$N507/100</f>
        <v>145.00000000000003</v>
      </c>
      <c r="AX531" s="16">
        <f t="shared" si="338"/>
        <v>-10581.846025096243</v>
      </c>
      <c r="AY531" s="15">
        <f t="shared" si="313"/>
        <v>22.170849845882874</v>
      </c>
      <c r="AZ531" s="75">
        <f>AY531*(1-PARAM!$C$27)*$I$15+(MOD($B531,60)=PARAM!$B$56)*($B531&gt;(60-PARAM!$B$56))*HLOOKUP(($B531+PARAM!$B$56)/12,Loyalty,2)*$F$1*MAX(BB530,0)</f>
        <v>18.557001321003963</v>
      </c>
      <c r="BA531" s="75">
        <f>PARAM!$C$26+MAX($G$15-CHOOSE(PARAM!$B$44,MAX(0,BB530*$F$1),0),0)*RATES!$L507/12+$H$15*(PARAM!$D$51/12)*RATES!$N507/100</f>
        <v>145.00000000000003</v>
      </c>
      <c r="BB531" s="16">
        <f t="shared" si="339"/>
        <v>-10581.846025096243</v>
      </c>
      <c r="BC531" s="15">
        <f t="shared" si="314"/>
        <v>22.170849845882874</v>
      </c>
      <c r="BD531" s="75">
        <f>BC531*(1-PARAM!$C$27)*$I$16+(MOD($B531,60)=PARAM!$B$56)*($B531&gt;(60-PARAM!$B$56))*HLOOKUP(($B531+PARAM!$B$56)/12,Loyalty,2)*$F$1*MAX(BF530,0)</f>
        <v>18.557001321003963</v>
      </c>
      <c r="BE531" s="75">
        <f>PARAM!$C$26+MAX($G$16-CHOOSE(PARAM!$B$44,MAX(0,BF530*$F$1),0),0)*RATES!$L507/12+$H$16*(PARAM!$D$51/12)*RATES!$N507/100</f>
        <v>145.00000000000003</v>
      </c>
      <c r="BF531" s="16">
        <f t="shared" si="340"/>
        <v>-10581.846025096243</v>
      </c>
      <c r="BG531" s="15">
        <f t="shared" si="315"/>
        <v>22.170849845882874</v>
      </c>
      <c r="BH531" s="75">
        <f>BG531*(1-PARAM!$C$27)*$I$17+(MOD($B531,60)=PARAM!$B$56)*($B531&gt;(60-PARAM!$B$56))*HLOOKUP(($B531+PARAM!$B$56)/12,Loyalty,2)*$F$1*MAX(BJ530,0)</f>
        <v>18.557001321003963</v>
      </c>
      <c r="BI531" s="75">
        <f>PARAM!$C$26+MAX($G$17-CHOOSE(PARAM!$B$44,MAX(0,BJ530*$F$1),0),0)*RATES!$L507/12+$H$17*(PARAM!$D$51/12)*RATES!$N507/100</f>
        <v>145.00000000000003</v>
      </c>
      <c r="BJ531" s="16">
        <f t="shared" si="341"/>
        <v>-10581.846025096243</v>
      </c>
      <c r="BK531" s="15">
        <f t="shared" si="316"/>
        <v>22.170849845882874</v>
      </c>
      <c r="BL531" s="75">
        <f>BK531*(1-PARAM!$C$27)*$I$18+(MOD($B531,60)=PARAM!$B$56)*($B531&gt;(60-PARAM!$B$56))*HLOOKUP(($B531+PARAM!$B$56)/12,Loyalty,2)*$F$1*MAX(BN530,0)</f>
        <v>18.557001321003963</v>
      </c>
      <c r="BM531" s="75">
        <f>PARAM!$C$26+MAX($G$18-CHOOSE(PARAM!$B$44,MAX(0,BN530*$F$1),0),0)*RATES!$L507/12+$H$18*(PARAM!$D$51/12)*RATES!$N507/100</f>
        <v>145.00000000000003</v>
      </c>
      <c r="BN531" s="16">
        <f t="shared" si="342"/>
        <v>-10581.846025096243</v>
      </c>
      <c r="BO531" s="15">
        <f t="shared" si="317"/>
        <v>22.170849845882874</v>
      </c>
      <c r="BP531" s="75">
        <f>BO531*(1-PARAM!$C$27)*$I$19+(MOD($B531,60)=PARAM!$B$56)*($B531&gt;(60-PARAM!$B$56))*HLOOKUP(($B531+PARAM!$B$56)/12,Loyalty,2)*$F$1*MAX(BR530,0)</f>
        <v>18.557001321003963</v>
      </c>
      <c r="BQ531" s="75">
        <f>PARAM!$C$26+MAX($G$19-CHOOSE(PARAM!$B$44,MAX(0,BR530*$F$1),0),0)*RATES!$L507/12+$H$19*(PARAM!$D$51/12)*RATES!$N507/100</f>
        <v>145.00000000000003</v>
      </c>
      <c r="BR531" s="16">
        <f t="shared" si="343"/>
        <v>-10581.846025096243</v>
      </c>
      <c r="BS531" s="15">
        <f t="shared" si="318"/>
        <v>22.170849845882874</v>
      </c>
      <c r="BT531" s="75">
        <f>BS531*(1-PARAM!$C$27)*$I$20+(MOD($B531,60)=PARAM!$B$56)*($B531&gt;(60-PARAM!$B$56))*HLOOKUP(($B531+PARAM!$B$56)/12,Loyalty,2)*$F$1*MAX(BV530,0)</f>
        <v>18.557001321003963</v>
      </c>
      <c r="BU531" s="75">
        <f>PARAM!$C$26+MAX($G$20-CHOOSE(PARAM!$B$44,MAX(0,BV530*$F$1),0),0)*RATES!$L507/12+$H$20*(PARAM!$D$51/12)*RATES!$N507/100</f>
        <v>145.00000000000003</v>
      </c>
      <c r="BV531" s="16">
        <f t="shared" si="344"/>
        <v>-10581.846025096243</v>
      </c>
      <c r="BW531" s="15">
        <f t="shared" si="319"/>
        <v>22.170849845882874</v>
      </c>
      <c r="BX531" s="75">
        <f>BW531*(1-PARAM!$C$27)*$I$21+(MOD($B531,60)=PARAM!$B$56)*($B531&gt;(60-PARAM!$B$56))*HLOOKUP(($B531+PARAM!$B$56)/12,Loyalty,2)*$F$1*MAX(BZ530,0)</f>
        <v>18.557001321003963</v>
      </c>
      <c r="BY531" s="75">
        <f>PARAM!$C$26+MAX($G$21-CHOOSE(PARAM!$B$44,MAX(0,BZ530*$F$1),0),0)*RATES!$L507/12+$H$21*(PARAM!$D$51/12)*RATES!$N507/100</f>
        <v>145.00000000000003</v>
      </c>
      <c r="BZ531" s="16">
        <f t="shared" si="345"/>
        <v>-10581.846025096243</v>
      </c>
      <c r="CA531" s="15">
        <f t="shared" si="320"/>
        <v>22.170849845882874</v>
      </c>
      <c r="CB531" s="75">
        <f>CA531*(1-PARAM!$C$27)*$I$22+(MOD($B531,60)=PARAM!$B$56)*($B531&gt;(60-PARAM!$B$56))*HLOOKUP(($B531+PARAM!$B$56)/12,Loyalty,2)*$F$1*MAX(CD530,0)</f>
        <v>18.557001321003963</v>
      </c>
      <c r="CC531" s="75">
        <f>PARAM!$C$26+MAX($G$22-CHOOSE(PARAM!$B$44,MAX(0,CD530*$F$1),0),0)*RATES!$L507/12+$H$22*(PARAM!$D$51/12)*RATES!$N507/100</f>
        <v>145.00000000000003</v>
      </c>
      <c r="CD531" s="16">
        <f t="shared" si="346"/>
        <v>-10581.846025096243</v>
      </c>
      <c r="CE531" s="33">
        <f>IF(0=MOD(B531,12/PARAM!$D$51),1,0)</f>
        <v>1</v>
      </c>
      <c r="CF531" s="15">
        <f t="shared" si="321"/>
        <v>0</v>
      </c>
      <c r="CG531" s="75">
        <f>CF531*(1-PARAM!$C$27)*$R$3+(MOD($B531/12,5)=0)*($B531&gt;60)*HLOOKUP($B531/12,Loyalty,2)*$F$1*MAX(CI530,0)</f>
        <v>0</v>
      </c>
      <c r="CH531" s="75">
        <f>PARAM!$C$26+MAX($P$3-CHOOSE(PARAM!$B$44,MAX(0,CI530*$F$1),0),0)*RATES!$L507/12+$Q$3*(PARAM!$D$51/12)*RATES!$N507/100</f>
        <v>145.00000000000003</v>
      </c>
      <c r="CI531" s="16">
        <f>IF(CI530&gt;0,CI530*PARAM!$C$53,CI530)+CG531-CH531</f>
        <v>-19814.999999999996</v>
      </c>
      <c r="CJ531" s="15">
        <f t="shared" si="347"/>
        <v>0</v>
      </c>
      <c r="CK531" s="75">
        <f>CJ531*(1-PARAM!$C$27)*$R$4+(MOD($B531/12,5)=0)*($B531&gt;60)*HLOOKUP($B531/12,Loyalty,2)*$F$1*MAX(CM530,0)</f>
        <v>0</v>
      </c>
      <c r="CL531" s="75">
        <f>PARAM!$C$26+MAX($P$4-CHOOSE(PARAM!$B$44,MAX(0,CM530*$F$1),0),0)*RATES!$L507/12+$Q$4*(PARAM!$D$51/12)*RATES!$N507/100</f>
        <v>145.00000000000003</v>
      </c>
      <c r="CM531" s="16">
        <f>IF(CM530&gt;0,CM530*PARAM!$C$53,CM530)+CK531-CL531</f>
        <v>-19814.999999999996</v>
      </c>
      <c r="CO531" s="176"/>
    </row>
    <row r="532" spans="1:93" x14ac:dyDescent="0.2">
      <c r="A532" t="b">
        <f t="shared" si="322"/>
        <v>0</v>
      </c>
      <c r="B532" s="33">
        <v>505</v>
      </c>
      <c r="C532" s="15">
        <f t="shared" si="323"/>
        <v>20.081305947392778</v>
      </c>
      <c r="D532" s="75">
        <f>C532*(1-PARAM!$C$27)*$I$3+(MOD($B532,60)=PARAM!$B$56)*($B532&gt;(60-PARAM!$B$56))*HLOOKUP(($B532+PARAM!$B$56)/12,Loyalty,2)*$F$1*MAX(F531,0)</f>
        <v>16.808053077967756</v>
      </c>
      <c r="E532" s="75">
        <f>PARAM!$C$26+MAX($G$3-CHOOSE(PARAM!$B$44,MAX(0,F531*$F$1),0),0)*RATES!$L508/12+$H$3*(PARAM!$D$51/12)*RATES!$N508/100</f>
        <v>145.00000000000003</v>
      </c>
      <c r="F532" s="16">
        <f t="shared" si="324"/>
        <v>-11628.358387030004</v>
      </c>
      <c r="G532" s="15">
        <f t="shared" si="325"/>
        <v>22.035289406060361</v>
      </c>
      <c r="H532" s="75">
        <f>G532*(1-PARAM!$C$27)*$I$4+(MOD($B532,60)=PARAM!$B$56)*($B532&gt;(60-PARAM!$B$56))*HLOOKUP(($B532+PARAM!$B$56)/12,Loyalty,2)*$F$1*MAX(J531,0)</f>
        <v>18.443537232872522</v>
      </c>
      <c r="I532" s="75">
        <f>PARAM!$C$26+MAX($G$4-CHOOSE(PARAM!$B$44,MAX(0,J531*$F$1),0),0)*RATES!$L508/12+$H$4*(PARAM!$D$51/12)*RATES!$N508/100</f>
        <v>145.00000000000003</v>
      </c>
      <c r="J532" s="16">
        <f t="shared" si="326"/>
        <v>-10768.605924681398</v>
      </c>
      <c r="K532" s="15">
        <f t="shared" si="327"/>
        <v>22.170849845882874</v>
      </c>
      <c r="L532" s="75">
        <f>K532*(1-PARAM!$C$27)*$I$5+(MOD($B532,60)=PARAM!$B$56)*($B532&gt;(60-PARAM!$B$56))*HLOOKUP(($B532+PARAM!$B$56)/12,Loyalty,2)*$F$1*MAX(N531,0)</f>
        <v>18.557001321003963</v>
      </c>
      <c r="M532" s="75">
        <f>PARAM!$C$26+MAX($G$5-CHOOSE(PARAM!$B$44,MAX(0,N531*$F$1),0),0)*RATES!$L508/12+$H$5*(PARAM!$D$51/12)*RATES!$N508/100</f>
        <v>145.00000000000003</v>
      </c>
      <c r="N532" s="16">
        <f t="shared" si="328"/>
        <v>-10708.28902377524</v>
      </c>
      <c r="O532" s="15">
        <f t="shared" si="329"/>
        <v>22.170849845882874</v>
      </c>
      <c r="P532" s="75">
        <f>O532*(1-PARAM!$C$27)*$I$6+(MOD($B532,60)=PARAM!$B$56)*($B532&gt;(60-PARAM!$B$56))*HLOOKUP(($B532+PARAM!$B$56)/12,Loyalty,2)*$F$1*MAX(R531,0)</f>
        <v>18.557001321003963</v>
      </c>
      <c r="Q532" s="75">
        <f>PARAM!$C$26+MAX($G$6-CHOOSE(PARAM!$B$44,MAX(0,R531*$F$1),0),0)*RATES!$L508/12+$H$6*(PARAM!$D$51/12)*RATES!$N508/100</f>
        <v>145.00000000000003</v>
      </c>
      <c r="R532" s="16">
        <f t="shared" si="330"/>
        <v>-10708.28902377524</v>
      </c>
      <c r="S532" s="15">
        <f t="shared" si="305"/>
        <v>22.170849845882874</v>
      </c>
      <c r="T532" s="75">
        <f>S532*(1-PARAM!$C$27)*$I$7+(MOD($B532,60)=PARAM!$B$56)*($B532&gt;(60-PARAM!$B$56))*HLOOKUP(($B532+PARAM!$B$56)/12,Loyalty,2)*$F$1*MAX(V531,0)</f>
        <v>18.557001321003963</v>
      </c>
      <c r="U532" s="75">
        <f>PARAM!$C$26+MAX($G$7-CHOOSE(PARAM!$B$44,MAX(0,V531*$F$1),0),0)*RATES!$L508/12+$H$7*(PARAM!$D$51/12)*RATES!$N508/100</f>
        <v>145.00000000000003</v>
      </c>
      <c r="V532" s="16">
        <f t="shared" si="331"/>
        <v>-10708.28902377524</v>
      </c>
      <c r="W532" s="15">
        <f t="shared" si="306"/>
        <v>22.170849845882874</v>
      </c>
      <c r="X532" s="75">
        <f>W532*(1-PARAM!$C$27)*$I$8+(MOD($B532,60)=PARAM!$B$56)*($B532&gt;(60-PARAM!$B$56))*HLOOKUP(($B532+PARAM!$B$56)/12,Loyalty,2)*$F$1*MAX(Z531,0)</f>
        <v>18.557001321003963</v>
      </c>
      <c r="Y532" s="75">
        <f>PARAM!$C$26+MAX($G$8-CHOOSE(PARAM!$B$44,MAX(0,Z531*$F$1),0),0)*RATES!$L508/12+$H$8*(PARAM!$D$51/12)*RATES!$N508/100</f>
        <v>145.00000000000003</v>
      </c>
      <c r="Z532" s="16">
        <f t="shared" si="332"/>
        <v>-10708.28902377524</v>
      </c>
      <c r="AA532" s="15">
        <f t="shared" si="307"/>
        <v>22.170849845882874</v>
      </c>
      <c r="AB532" s="75">
        <f>AA532*(1-PARAM!$C$27)*$I$9+(MOD($B532,60)=PARAM!$B$56)*($B532&gt;(60-PARAM!$B$56))*HLOOKUP(($B532+PARAM!$B$56)/12,Loyalty,2)*$F$1*MAX(AD531,0)</f>
        <v>18.557001321003963</v>
      </c>
      <c r="AC532" s="75">
        <f>PARAM!$C$26+MAX($G$9-CHOOSE(PARAM!$B$44,MAX(0,AD531*$F$1),0),0)*RATES!$L508/12+$H$9*(PARAM!$D$51/12)*RATES!$N508/100</f>
        <v>145.00000000000003</v>
      </c>
      <c r="AD532" s="16">
        <f t="shared" si="333"/>
        <v>-10708.28902377524</v>
      </c>
      <c r="AE532" s="15">
        <f t="shared" si="308"/>
        <v>22.170849845882874</v>
      </c>
      <c r="AF532" s="75">
        <f>AE532*(1-PARAM!$C$27)*$I$10+(MOD($B532,60)=PARAM!$B$56)*($B532&gt;(60-PARAM!$B$56))*HLOOKUP(($B532+PARAM!$B$56)/12,Loyalty,2)*$F$1*MAX(AH531,0)</f>
        <v>18.557001321003963</v>
      </c>
      <c r="AG532" s="75">
        <f>PARAM!$C$26+MAX($G$10-CHOOSE(PARAM!$B$44,MAX(0,AH531*$F$1),0),0)*RATES!$L508/12+$H$10*(PARAM!$D$51/12)*RATES!$N508/100</f>
        <v>145.00000000000003</v>
      </c>
      <c r="AH532" s="16">
        <f t="shared" si="334"/>
        <v>-10708.28902377524</v>
      </c>
      <c r="AI532" s="15">
        <f t="shared" si="309"/>
        <v>22.170849845882874</v>
      </c>
      <c r="AJ532" s="75">
        <f>AI532*(1-PARAM!$C$27)*$I$11+(MOD($B532,60)=PARAM!$B$56)*($B532&gt;(60-PARAM!$B$56))*HLOOKUP(($B532+PARAM!$B$56)/12,Loyalty,2)*$F$1*MAX(AL531,0)</f>
        <v>18.557001321003963</v>
      </c>
      <c r="AK532" s="75">
        <f>PARAM!$C$26+MAX($G$11-CHOOSE(PARAM!$B$44,MAX(0,AL531*$F$1),0),0)*RATES!$L508/12+$H$11*(PARAM!$D$51/12)*RATES!$N508/100</f>
        <v>145.00000000000003</v>
      </c>
      <c r="AL532" s="16">
        <f t="shared" si="335"/>
        <v>-10708.28902377524</v>
      </c>
      <c r="AM532" s="15">
        <f t="shared" si="310"/>
        <v>22.170849845882874</v>
      </c>
      <c r="AN532" s="75">
        <f>AM532*(1-PARAM!$C$27)*$I$12+(MOD($B532,60)=PARAM!$B$56)*($B532&gt;(60-PARAM!$B$56))*HLOOKUP(($B532+PARAM!$B$56)/12,Loyalty,2)*$F$1*MAX(AP531,0)</f>
        <v>18.557001321003963</v>
      </c>
      <c r="AO532" s="75">
        <f>PARAM!$C$26+MAX($G$12-CHOOSE(PARAM!$B$44,MAX(0,AP531*$F$1),0),0)*RATES!$L508/12+$H$12*(PARAM!$D$51/12)*RATES!$N508/100</f>
        <v>145.00000000000003</v>
      </c>
      <c r="AP532" s="16">
        <f t="shared" si="336"/>
        <v>-10708.28902377524</v>
      </c>
      <c r="AQ532" s="15">
        <f t="shared" si="311"/>
        <v>22.170849845882874</v>
      </c>
      <c r="AR532" s="75">
        <f>AQ532*(1-PARAM!$C$27)*$I$13+(MOD($B532,60)=PARAM!$B$56)*($B532&gt;(60-PARAM!$B$56))*HLOOKUP(($B532+PARAM!$B$56)/12,Loyalty,2)*$F$1*MAX(AT531,0)</f>
        <v>18.557001321003963</v>
      </c>
      <c r="AS532" s="75">
        <f>PARAM!$C$26+MAX($G$13-CHOOSE(PARAM!$B$44,MAX(0,AT531*$F$1),0),0)*RATES!$L508/12+$H$13*(PARAM!$D$51/12)*RATES!$N508/100</f>
        <v>145.00000000000003</v>
      </c>
      <c r="AT532" s="16">
        <f t="shared" si="337"/>
        <v>-10708.28902377524</v>
      </c>
      <c r="AU532" s="15">
        <f t="shared" si="312"/>
        <v>22.170849845882874</v>
      </c>
      <c r="AV532" s="75">
        <f>AU532*(1-PARAM!$C$27)*$I$14+(MOD($B532,60)=PARAM!$B$56)*($B532&gt;(60-PARAM!$B$56))*HLOOKUP(($B532+PARAM!$B$56)/12,Loyalty,2)*$F$1*MAX(AX531,0)</f>
        <v>18.557001321003963</v>
      </c>
      <c r="AW532" s="75">
        <f>PARAM!$C$26+MAX($G$14-CHOOSE(PARAM!$B$44,MAX(0,AX531*$F$1),0),0)*RATES!$L508/12+$H$14*(PARAM!$D$51/12)*RATES!$N508/100</f>
        <v>145.00000000000003</v>
      </c>
      <c r="AX532" s="16">
        <f t="shared" si="338"/>
        <v>-10708.28902377524</v>
      </c>
      <c r="AY532" s="15">
        <f t="shared" si="313"/>
        <v>22.170849845882874</v>
      </c>
      <c r="AZ532" s="75">
        <f>AY532*(1-PARAM!$C$27)*$I$15+(MOD($B532,60)=PARAM!$B$56)*($B532&gt;(60-PARAM!$B$56))*HLOOKUP(($B532+PARAM!$B$56)/12,Loyalty,2)*$F$1*MAX(BB531,0)</f>
        <v>18.557001321003963</v>
      </c>
      <c r="BA532" s="75">
        <f>PARAM!$C$26+MAX($G$15-CHOOSE(PARAM!$B$44,MAX(0,BB531*$F$1),0),0)*RATES!$L508/12+$H$15*(PARAM!$D$51/12)*RATES!$N508/100</f>
        <v>145.00000000000003</v>
      </c>
      <c r="BB532" s="16">
        <f t="shared" si="339"/>
        <v>-10708.28902377524</v>
      </c>
      <c r="BC532" s="15">
        <f t="shared" si="314"/>
        <v>22.170849845882874</v>
      </c>
      <c r="BD532" s="75">
        <f>BC532*(1-PARAM!$C$27)*$I$16+(MOD($B532,60)=PARAM!$B$56)*($B532&gt;(60-PARAM!$B$56))*HLOOKUP(($B532+PARAM!$B$56)/12,Loyalty,2)*$F$1*MAX(BF531,0)</f>
        <v>18.557001321003963</v>
      </c>
      <c r="BE532" s="75">
        <f>PARAM!$C$26+MAX($G$16-CHOOSE(PARAM!$B$44,MAX(0,BF531*$F$1),0),0)*RATES!$L508/12+$H$16*(PARAM!$D$51/12)*RATES!$N508/100</f>
        <v>145.00000000000003</v>
      </c>
      <c r="BF532" s="16">
        <f t="shared" si="340"/>
        <v>-10708.28902377524</v>
      </c>
      <c r="BG532" s="15">
        <f t="shared" si="315"/>
        <v>22.170849845882874</v>
      </c>
      <c r="BH532" s="75">
        <f>BG532*(1-PARAM!$C$27)*$I$17+(MOD($B532,60)=PARAM!$B$56)*($B532&gt;(60-PARAM!$B$56))*HLOOKUP(($B532+PARAM!$B$56)/12,Loyalty,2)*$F$1*MAX(BJ531,0)</f>
        <v>18.557001321003963</v>
      </c>
      <c r="BI532" s="75">
        <f>PARAM!$C$26+MAX($G$17-CHOOSE(PARAM!$B$44,MAX(0,BJ531*$F$1),0),0)*RATES!$L508/12+$H$17*(PARAM!$D$51/12)*RATES!$N508/100</f>
        <v>145.00000000000003</v>
      </c>
      <c r="BJ532" s="16">
        <f t="shared" si="341"/>
        <v>-10708.28902377524</v>
      </c>
      <c r="BK532" s="15">
        <f t="shared" si="316"/>
        <v>22.170849845882874</v>
      </c>
      <c r="BL532" s="75">
        <f>BK532*(1-PARAM!$C$27)*$I$18+(MOD($B532,60)=PARAM!$B$56)*($B532&gt;(60-PARAM!$B$56))*HLOOKUP(($B532+PARAM!$B$56)/12,Loyalty,2)*$F$1*MAX(BN531,0)</f>
        <v>18.557001321003963</v>
      </c>
      <c r="BM532" s="75">
        <f>PARAM!$C$26+MAX($G$18-CHOOSE(PARAM!$B$44,MAX(0,BN531*$F$1),0),0)*RATES!$L508/12+$H$18*(PARAM!$D$51/12)*RATES!$N508/100</f>
        <v>145.00000000000003</v>
      </c>
      <c r="BN532" s="16">
        <f t="shared" si="342"/>
        <v>-10708.28902377524</v>
      </c>
      <c r="BO532" s="15">
        <f t="shared" si="317"/>
        <v>22.170849845882874</v>
      </c>
      <c r="BP532" s="75">
        <f>BO532*(1-PARAM!$C$27)*$I$19+(MOD($B532,60)=PARAM!$B$56)*($B532&gt;(60-PARAM!$B$56))*HLOOKUP(($B532+PARAM!$B$56)/12,Loyalty,2)*$F$1*MAX(BR531,0)</f>
        <v>18.557001321003963</v>
      </c>
      <c r="BQ532" s="75">
        <f>PARAM!$C$26+MAX($G$19-CHOOSE(PARAM!$B$44,MAX(0,BR531*$F$1),0),0)*RATES!$L508/12+$H$19*(PARAM!$D$51/12)*RATES!$N508/100</f>
        <v>145.00000000000003</v>
      </c>
      <c r="BR532" s="16">
        <f t="shared" si="343"/>
        <v>-10708.28902377524</v>
      </c>
      <c r="BS532" s="15">
        <f t="shared" si="318"/>
        <v>22.170849845882874</v>
      </c>
      <c r="BT532" s="75">
        <f>BS532*(1-PARAM!$C$27)*$I$20+(MOD($B532,60)=PARAM!$B$56)*($B532&gt;(60-PARAM!$B$56))*HLOOKUP(($B532+PARAM!$B$56)/12,Loyalty,2)*$F$1*MAX(BV531,0)</f>
        <v>18.557001321003963</v>
      </c>
      <c r="BU532" s="75">
        <f>PARAM!$C$26+MAX($G$20-CHOOSE(PARAM!$B$44,MAX(0,BV531*$F$1),0),0)*RATES!$L508/12+$H$20*(PARAM!$D$51/12)*RATES!$N508/100</f>
        <v>145.00000000000003</v>
      </c>
      <c r="BV532" s="16">
        <f t="shared" si="344"/>
        <v>-10708.28902377524</v>
      </c>
      <c r="BW532" s="15">
        <f t="shared" si="319"/>
        <v>22.170849845882874</v>
      </c>
      <c r="BX532" s="75">
        <f>BW532*(1-PARAM!$C$27)*$I$21+(MOD($B532,60)=PARAM!$B$56)*($B532&gt;(60-PARAM!$B$56))*HLOOKUP(($B532+PARAM!$B$56)/12,Loyalty,2)*$F$1*MAX(BZ531,0)</f>
        <v>18.557001321003963</v>
      </c>
      <c r="BY532" s="75">
        <f>PARAM!$C$26+MAX($G$21-CHOOSE(PARAM!$B$44,MAX(0,BZ531*$F$1),0),0)*RATES!$L508/12+$H$21*(PARAM!$D$51/12)*RATES!$N508/100</f>
        <v>145.00000000000003</v>
      </c>
      <c r="BZ532" s="16">
        <f t="shared" si="345"/>
        <v>-10708.28902377524</v>
      </c>
      <c r="CA532" s="15">
        <f t="shared" si="320"/>
        <v>22.170849845882874</v>
      </c>
      <c r="CB532" s="75">
        <f>CA532*(1-PARAM!$C$27)*$I$22+(MOD($B532,60)=PARAM!$B$56)*($B532&gt;(60-PARAM!$B$56))*HLOOKUP(($B532+PARAM!$B$56)/12,Loyalty,2)*$F$1*MAX(CD531,0)</f>
        <v>18.557001321003963</v>
      </c>
      <c r="CC532" s="75">
        <f>PARAM!$C$26+MAX($G$22-CHOOSE(PARAM!$B$44,MAX(0,CD531*$F$1),0),0)*RATES!$L508/12+$H$22*(PARAM!$D$51/12)*RATES!$N508/100</f>
        <v>145.00000000000003</v>
      </c>
      <c r="CD532" s="16">
        <f t="shared" si="346"/>
        <v>-10708.28902377524</v>
      </c>
      <c r="CE532" s="33">
        <f>IF(0=MOD(B532,12/PARAM!$D$51),1,0)</f>
        <v>1</v>
      </c>
      <c r="CF532" s="15">
        <f t="shared" si="321"/>
        <v>0</v>
      </c>
      <c r="CG532" s="75">
        <f>CF532*(1-PARAM!$C$27)*$R$3+(MOD($B532/12,5)=0)*($B532&gt;60)*HLOOKUP($B532/12,Loyalty,2)*$F$1*MAX(CI531,0)</f>
        <v>0</v>
      </c>
      <c r="CH532" s="75">
        <f>PARAM!$C$26+MAX($P$3-CHOOSE(PARAM!$B$44,MAX(0,CI531*$F$1),0),0)*RATES!$L508/12+$Q$3*(PARAM!$D$51/12)*RATES!$N508/100</f>
        <v>145.00000000000003</v>
      </c>
      <c r="CI532" s="16">
        <f>IF(CI531&gt;0,CI531*PARAM!$C$53,CI531)+CG532-CH532</f>
        <v>-19959.999999999996</v>
      </c>
      <c r="CJ532" s="15">
        <f t="shared" si="347"/>
        <v>0</v>
      </c>
      <c r="CK532" s="75">
        <f>CJ532*(1-PARAM!$C$27)*$R$4+(MOD($B532/12,5)=0)*($B532&gt;60)*HLOOKUP($B532/12,Loyalty,2)*$F$1*MAX(CM531,0)</f>
        <v>0</v>
      </c>
      <c r="CL532" s="75">
        <f>PARAM!$C$26+MAX($P$4-CHOOSE(PARAM!$B$44,MAX(0,CM531*$F$1),0),0)*RATES!$L508/12+$Q$4*(PARAM!$D$51/12)*RATES!$N508/100</f>
        <v>145.00000000000003</v>
      </c>
      <c r="CM532" s="16">
        <f>IF(CM531&gt;0,CM531*PARAM!$C$53,CM531)+CK532-CL532</f>
        <v>-19959.999999999996</v>
      </c>
      <c r="CO532" s="176"/>
    </row>
    <row r="533" spans="1:93" x14ac:dyDescent="0.2">
      <c r="A533" t="b">
        <f t="shared" si="322"/>
        <v>0</v>
      </c>
      <c r="B533" s="33">
        <v>506</v>
      </c>
      <c r="C533" s="15">
        <f t="shared" si="323"/>
        <v>20.081305947392778</v>
      </c>
      <c r="D533" s="75">
        <f>C533*(1-PARAM!$C$27)*$I$3+(MOD($B533,60)=PARAM!$B$56)*($B533&gt;(60-PARAM!$B$56))*HLOOKUP(($B533+PARAM!$B$56)/12,Loyalty,2)*$F$1*MAX(F532,0)</f>
        <v>16.808053077967756</v>
      </c>
      <c r="E533" s="75">
        <f>PARAM!$C$26+MAX($G$3-CHOOSE(PARAM!$B$44,MAX(0,F532*$F$1),0),0)*RATES!$L509/12+$H$3*(PARAM!$D$51/12)*RATES!$N509/100</f>
        <v>145.00000000000003</v>
      </c>
      <c r="F533" s="16">
        <f t="shared" si="324"/>
        <v>-11756.550333952036</v>
      </c>
      <c r="G533" s="15">
        <f t="shared" si="325"/>
        <v>22.035289406060361</v>
      </c>
      <c r="H533" s="75">
        <f>G533*(1-PARAM!$C$27)*$I$4+(MOD($B533,60)=PARAM!$B$56)*($B533&gt;(60-PARAM!$B$56))*HLOOKUP(($B533+PARAM!$B$56)/12,Loyalty,2)*$F$1*MAX(J532,0)</f>
        <v>18.443537232872522</v>
      </c>
      <c r="I533" s="75">
        <f>PARAM!$C$26+MAX($G$4-CHOOSE(PARAM!$B$44,MAX(0,J532*$F$1),0),0)*RATES!$L509/12+$H$4*(PARAM!$D$51/12)*RATES!$N509/100</f>
        <v>145.00000000000003</v>
      </c>
      <c r="J533" s="16">
        <f t="shared" si="326"/>
        <v>-10895.162387448527</v>
      </c>
      <c r="K533" s="15">
        <f t="shared" si="327"/>
        <v>22.170849845882874</v>
      </c>
      <c r="L533" s="75">
        <f>K533*(1-PARAM!$C$27)*$I$5+(MOD($B533,60)=PARAM!$B$56)*($B533&gt;(60-PARAM!$B$56))*HLOOKUP(($B533+PARAM!$B$56)/12,Loyalty,2)*$F$1*MAX(N532,0)</f>
        <v>18.557001321003963</v>
      </c>
      <c r="M533" s="75">
        <f>PARAM!$C$26+MAX($G$5-CHOOSE(PARAM!$B$44,MAX(0,N532*$F$1),0),0)*RATES!$L509/12+$H$5*(PARAM!$D$51/12)*RATES!$N509/100</f>
        <v>145.00000000000003</v>
      </c>
      <c r="N533" s="16">
        <f t="shared" si="328"/>
        <v>-10834.732022454236</v>
      </c>
      <c r="O533" s="15">
        <f t="shared" si="329"/>
        <v>22.170849845882874</v>
      </c>
      <c r="P533" s="75">
        <f>O533*(1-PARAM!$C$27)*$I$6+(MOD($B533,60)=PARAM!$B$56)*($B533&gt;(60-PARAM!$B$56))*HLOOKUP(($B533+PARAM!$B$56)/12,Loyalty,2)*$F$1*MAX(R532,0)</f>
        <v>18.557001321003963</v>
      </c>
      <c r="Q533" s="75">
        <f>PARAM!$C$26+MAX($G$6-CHOOSE(PARAM!$B$44,MAX(0,R532*$F$1),0),0)*RATES!$L509/12+$H$6*(PARAM!$D$51/12)*RATES!$N509/100</f>
        <v>145.00000000000003</v>
      </c>
      <c r="R533" s="16">
        <f t="shared" si="330"/>
        <v>-10834.732022454236</v>
      </c>
      <c r="S533" s="15">
        <f t="shared" si="305"/>
        <v>22.170849845882874</v>
      </c>
      <c r="T533" s="75">
        <f>S533*(1-PARAM!$C$27)*$I$7+(MOD($B533,60)=PARAM!$B$56)*($B533&gt;(60-PARAM!$B$56))*HLOOKUP(($B533+PARAM!$B$56)/12,Loyalty,2)*$F$1*MAX(V532,0)</f>
        <v>18.557001321003963</v>
      </c>
      <c r="U533" s="75">
        <f>PARAM!$C$26+MAX($G$7-CHOOSE(PARAM!$B$44,MAX(0,V532*$F$1),0),0)*RATES!$L509/12+$H$7*(PARAM!$D$51/12)*RATES!$N509/100</f>
        <v>145.00000000000003</v>
      </c>
      <c r="V533" s="16">
        <f t="shared" si="331"/>
        <v>-10834.732022454236</v>
      </c>
      <c r="W533" s="15">
        <f t="shared" si="306"/>
        <v>22.170849845882874</v>
      </c>
      <c r="X533" s="75">
        <f>W533*(1-PARAM!$C$27)*$I$8+(MOD($B533,60)=PARAM!$B$56)*($B533&gt;(60-PARAM!$B$56))*HLOOKUP(($B533+PARAM!$B$56)/12,Loyalty,2)*$F$1*MAX(Z532,0)</f>
        <v>18.557001321003963</v>
      </c>
      <c r="Y533" s="75">
        <f>PARAM!$C$26+MAX($G$8-CHOOSE(PARAM!$B$44,MAX(0,Z532*$F$1),0),0)*RATES!$L509/12+$H$8*(PARAM!$D$51/12)*RATES!$N509/100</f>
        <v>145.00000000000003</v>
      </c>
      <c r="Z533" s="16">
        <f t="shared" si="332"/>
        <v>-10834.732022454236</v>
      </c>
      <c r="AA533" s="15">
        <f t="shared" si="307"/>
        <v>22.170849845882874</v>
      </c>
      <c r="AB533" s="75">
        <f>AA533*(1-PARAM!$C$27)*$I$9+(MOD($B533,60)=PARAM!$B$56)*($B533&gt;(60-PARAM!$B$56))*HLOOKUP(($B533+PARAM!$B$56)/12,Loyalty,2)*$F$1*MAX(AD532,0)</f>
        <v>18.557001321003963</v>
      </c>
      <c r="AC533" s="75">
        <f>PARAM!$C$26+MAX($G$9-CHOOSE(PARAM!$B$44,MAX(0,AD532*$F$1),0),0)*RATES!$L509/12+$H$9*(PARAM!$D$51/12)*RATES!$N509/100</f>
        <v>145.00000000000003</v>
      </c>
      <c r="AD533" s="16">
        <f t="shared" si="333"/>
        <v>-10834.732022454236</v>
      </c>
      <c r="AE533" s="15">
        <f t="shared" si="308"/>
        <v>22.170849845882874</v>
      </c>
      <c r="AF533" s="75">
        <f>AE533*(1-PARAM!$C$27)*$I$10+(MOD($B533,60)=PARAM!$B$56)*($B533&gt;(60-PARAM!$B$56))*HLOOKUP(($B533+PARAM!$B$56)/12,Loyalty,2)*$F$1*MAX(AH532,0)</f>
        <v>18.557001321003963</v>
      </c>
      <c r="AG533" s="75">
        <f>PARAM!$C$26+MAX($G$10-CHOOSE(PARAM!$B$44,MAX(0,AH532*$F$1),0),0)*RATES!$L509/12+$H$10*(PARAM!$D$51/12)*RATES!$N509/100</f>
        <v>145.00000000000003</v>
      </c>
      <c r="AH533" s="16">
        <f t="shared" si="334"/>
        <v>-10834.732022454236</v>
      </c>
      <c r="AI533" s="15">
        <f t="shared" si="309"/>
        <v>22.170849845882874</v>
      </c>
      <c r="AJ533" s="75">
        <f>AI533*(1-PARAM!$C$27)*$I$11+(MOD($B533,60)=PARAM!$B$56)*($B533&gt;(60-PARAM!$B$56))*HLOOKUP(($B533+PARAM!$B$56)/12,Loyalty,2)*$F$1*MAX(AL532,0)</f>
        <v>18.557001321003963</v>
      </c>
      <c r="AK533" s="75">
        <f>PARAM!$C$26+MAX($G$11-CHOOSE(PARAM!$B$44,MAX(0,AL532*$F$1),0),0)*RATES!$L509/12+$H$11*(PARAM!$D$51/12)*RATES!$N509/100</f>
        <v>145.00000000000003</v>
      </c>
      <c r="AL533" s="16">
        <f t="shared" si="335"/>
        <v>-10834.732022454236</v>
      </c>
      <c r="AM533" s="15">
        <f t="shared" si="310"/>
        <v>22.170849845882874</v>
      </c>
      <c r="AN533" s="75">
        <f>AM533*(1-PARAM!$C$27)*$I$12+(MOD($B533,60)=PARAM!$B$56)*($B533&gt;(60-PARAM!$B$56))*HLOOKUP(($B533+PARAM!$B$56)/12,Loyalty,2)*$F$1*MAX(AP532,0)</f>
        <v>18.557001321003963</v>
      </c>
      <c r="AO533" s="75">
        <f>PARAM!$C$26+MAX($G$12-CHOOSE(PARAM!$B$44,MAX(0,AP532*$F$1),0),0)*RATES!$L509/12+$H$12*(PARAM!$D$51/12)*RATES!$N509/100</f>
        <v>145.00000000000003</v>
      </c>
      <c r="AP533" s="16">
        <f t="shared" si="336"/>
        <v>-10834.732022454236</v>
      </c>
      <c r="AQ533" s="15">
        <f t="shared" si="311"/>
        <v>22.170849845882874</v>
      </c>
      <c r="AR533" s="75">
        <f>AQ533*(1-PARAM!$C$27)*$I$13+(MOD($B533,60)=PARAM!$B$56)*($B533&gt;(60-PARAM!$B$56))*HLOOKUP(($B533+PARAM!$B$56)/12,Loyalty,2)*$F$1*MAX(AT532,0)</f>
        <v>18.557001321003963</v>
      </c>
      <c r="AS533" s="75">
        <f>PARAM!$C$26+MAX($G$13-CHOOSE(PARAM!$B$44,MAX(0,AT532*$F$1),0),0)*RATES!$L509/12+$H$13*(PARAM!$D$51/12)*RATES!$N509/100</f>
        <v>145.00000000000003</v>
      </c>
      <c r="AT533" s="16">
        <f t="shared" si="337"/>
        <v>-10834.732022454236</v>
      </c>
      <c r="AU533" s="15">
        <f t="shared" si="312"/>
        <v>22.170849845882874</v>
      </c>
      <c r="AV533" s="75">
        <f>AU533*(1-PARAM!$C$27)*$I$14+(MOD($B533,60)=PARAM!$B$56)*($B533&gt;(60-PARAM!$B$56))*HLOOKUP(($B533+PARAM!$B$56)/12,Loyalty,2)*$F$1*MAX(AX532,0)</f>
        <v>18.557001321003963</v>
      </c>
      <c r="AW533" s="75">
        <f>PARAM!$C$26+MAX($G$14-CHOOSE(PARAM!$B$44,MAX(0,AX532*$F$1),0),0)*RATES!$L509/12+$H$14*(PARAM!$D$51/12)*RATES!$N509/100</f>
        <v>145.00000000000003</v>
      </c>
      <c r="AX533" s="16">
        <f t="shared" si="338"/>
        <v>-10834.732022454236</v>
      </c>
      <c r="AY533" s="15">
        <f t="shared" si="313"/>
        <v>22.170849845882874</v>
      </c>
      <c r="AZ533" s="75">
        <f>AY533*(1-PARAM!$C$27)*$I$15+(MOD($B533,60)=PARAM!$B$56)*($B533&gt;(60-PARAM!$B$56))*HLOOKUP(($B533+PARAM!$B$56)/12,Loyalty,2)*$F$1*MAX(BB532,0)</f>
        <v>18.557001321003963</v>
      </c>
      <c r="BA533" s="75">
        <f>PARAM!$C$26+MAX($G$15-CHOOSE(PARAM!$B$44,MAX(0,BB532*$F$1),0),0)*RATES!$L509/12+$H$15*(PARAM!$D$51/12)*RATES!$N509/100</f>
        <v>145.00000000000003</v>
      </c>
      <c r="BB533" s="16">
        <f t="shared" si="339"/>
        <v>-10834.732022454236</v>
      </c>
      <c r="BC533" s="15">
        <f t="shared" si="314"/>
        <v>22.170849845882874</v>
      </c>
      <c r="BD533" s="75">
        <f>BC533*(1-PARAM!$C$27)*$I$16+(MOD($B533,60)=PARAM!$B$56)*($B533&gt;(60-PARAM!$B$56))*HLOOKUP(($B533+PARAM!$B$56)/12,Loyalty,2)*$F$1*MAX(BF532,0)</f>
        <v>18.557001321003963</v>
      </c>
      <c r="BE533" s="75">
        <f>PARAM!$C$26+MAX($G$16-CHOOSE(PARAM!$B$44,MAX(0,BF532*$F$1),0),0)*RATES!$L509/12+$H$16*(PARAM!$D$51/12)*RATES!$N509/100</f>
        <v>145.00000000000003</v>
      </c>
      <c r="BF533" s="16">
        <f t="shared" si="340"/>
        <v>-10834.732022454236</v>
      </c>
      <c r="BG533" s="15">
        <f t="shared" si="315"/>
        <v>22.170849845882874</v>
      </c>
      <c r="BH533" s="75">
        <f>BG533*(1-PARAM!$C$27)*$I$17+(MOD($B533,60)=PARAM!$B$56)*($B533&gt;(60-PARAM!$B$56))*HLOOKUP(($B533+PARAM!$B$56)/12,Loyalty,2)*$F$1*MAX(BJ532,0)</f>
        <v>18.557001321003963</v>
      </c>
      <c r="BI533" s="75">
        <f>PARAM!$C$26+MAX($G$17-CHOOSE(PARAM!$B$44,MAX(0,BJ532*$F$1),0),0)*RATES!$L509/12+$H$17*(PARAM!$D$51/12)*RATES!$N509/100</f>
        <v>145.00000000000003</v>
      </c>
      <c r="BJ533" s="16">
        <f t="shared" si="341"/>
        <v>-10834.732022454236</v>
      </c>
      <c r="BK533" s="15">
        <f t="shared" si="316"/>
        <v>22.170849845882874</v>
      </c>
      <c r="BL533" s="75">
        <f>BK533*(1-PARAM!$C$27)*$I$18+(MOD($B533,60)=PARAM!$B$56)*($B533&gt;(60-PARAM!$B$56))*HLOOKUP(($B533+PARAM!$B$56)/12,Loyalty,2)*$F$1*MAX(BN532,0)</f>
        <v>18.557001321003963</v>
      </c>
      <c r="BM533" s="75">
        <f>PARAM!$C$26+MAX($G$18-CHOOSE(PARAM!$B$44,MAX(0,BN532*$F$1),0),0)*RATES!$L509/12+$H$18*(PARAM!$D$51/12)*RATES!$N509/100</f>
        <v>145.00000000000003</v>
      </c>
      <c r="BN533" s="16">
        <f t="shared" si="342"/>
        <v>-10834.732022454236</v>
      </c>
      <c r="BO533" s="15">
        <f t="shared" si="317"/>
        <v>22.170849845882874</v>
      </c>
      <c r="BP533" s="75">
        <f>BO533*(1-PARAM!$C$27)*$I$19+(MOD($B533,60)=PARAM!$B$56)*($B533&gt;(60-PARAM!$B$56))*HLOOKUP(($B533+PARAM!$B$56)/12,Loyalty,2)*$F$1*MAX(BR532,0)</f>
        <v>18.557001321003963</v>
      </c>
      <c r="BQ533" s="75">
        <f>PARAM!$C$26+MAX($G$19-CHOOSE(PARAM!$B$44,MAX(0,BR532*$F$1),0),0)*RATES!$L509/12+$H$19*(PARAM!$D$51/12)*RATES!$N509/100</f>
        <v>145.00000000000003</v>
      </c>
      <c r="BR533" s="16">
        <f t="shared" si="343"/>
        <v>-10834.732022454236</v>
      </c>
      <c r="BS533" s="15">
        <f t="shared" si="318"/>
        <v>22.170849845882874</v>
      </c>
      <c r="BT533" s="75">
        <f>BS533*(1-PARAM!$C$27)*$I$20+(MOD($B533,60)=PARAM!$B$56)*($B533&gt;(60-PARAM!$B$56))*HLOOKUP(($B533+PARAM!$B$56)/12,Loyalty,2)*$F$1*MAX(BV532,0)</f>
        <v>18.557001321003963</v>
      </c>
      <c r="BU533" s="75">
        <f>PARAM!$C$26+MAX($G$20-CHOOSE(PARAM!$B$44,MAX(0,BV532*$F$1),0),0)*RATES!$L509/12+$H$20*(PARAM!$D$51/12)*RATES!$N509/100</f>
        <v>145.00000000000003</v>
      </c>
      <c r="BV533" s="16">
        <f t="shared" si="344"/>
        <v>-10834.732022454236</v>
      </c>
      <c r="BW533" s="15">
        <f t="shared" si="319"/>
        <v>22.170849845882874</v>
      </c>
      <c r="BX533" s="75">
        <f>BW533*(1-PARAM!$C$27)*$I$21+(MOD($B533,60)=PARAM!$B$56)*($B533&gt;(60-PARAM!$B$56))*HLOOKUP(($B533+PARAM!$B$56)/12,Loyalty,2)*$F$1*MAX(BZ532,0)</f>
        <v>18.557001321003963</v>
      </c>
      <c r="BY533" s="75">
        <f>PARAM!$C$26+MAX($G$21-CHOOSE(PARAM!$B$44,MAX(0,BZ532*$F$1),0),0)*RATES!$L509/12+$H$21*(PARAM!$D$51/12)*RATES!$N509/100</f>
        <v>145.00000000000003</v>
      </c>
      <c r="BZ533" s="16">
        <f t="shared" si="345"/>
        <v>-10834.732022454236</v>
      </c>
      <c r="CA533" s="15">
        <f t="shared" si="320"/>
        <v>22.170849845882874</v>
      </c>
      <c r="CB533" s="75">
        <f>CA533*(1-PARAM!$C$27)*$I$22+(MOD($B533,60)=PARAM!$B$56)*($B533&gt;(60-PARAM!$B$56))*HLOOKUP(($B533+PARAM!$B$56)/12,Loyalty,2)*$F$1*MAX(CD532,0)</f>
        <v>18.557001321003963</v>
      </c>
      <c r="CC533" s="75">
        <f>PARAM!$C$26+MAX($G$22-CHOOSE(PARAM!$B$44,MAX(0,CD532*$F$1),0),0)*RATES!$L509/12+$H$22*(PARAM!$D$51/12)*RATES!$N509/100</f>
        <v>145.00000000000003</v>
      </c>
      <c r="CD533" s="16">
        <f t="shared" si="346"/>
        <v>-10834.732022454236</v>
      </c>
      <c r="CE533" s="33">
        <f>IF(0=MOD(B533,12/PARAM!$D$51),1,0)</f>
        <v>1</v>
      </c>
      <c r="CF533" s="15">
        <f t="shared" si="321"/>
        <v>0</v>
      </c>
      <c r="CG533" s="75">
        <f>CF533*(1-PARAM!$C$27)*$R$3+(MOD($B533/12,5)=0)*($B533&gt;60)*HLOOKUP($B533/12,Loyalty,2)*$F$1*MAX(CI532,0)</f>
        <v>0</v>
      </c>
      <c r="CH533" s="75">
        <f>PARAM!$C$26+MAX($P$3-CHOOSE(PARAM!$B$44,MAX(0,CI532*$F$1),0),0)*RATES!$L509/12+$Q$3*(PARAM!$D$51/12)*RATES!$N509/100</f>
        <v>145.00000000000003</v>
      </c>
      <c r="CI533" s="16">
        <f>IF(CI532&gt;0,CI532*PARAM!$C$53,CI532)+CG533-CH533</f>
        <v>-20104.999999999996</v>
      </c>
      <c r="CJ533" s="15">
        <f t="shared" si="347"/>
        <v>0</v>
      </c>
      <c r="CK533" s="75">
        <f>CJ533*(1-PARAM!$C$27)*$R$4+(MOD($B533/12,5)=0)*($B533&gt;60)*HLOOKUP($B533/12,Loyalty,2)*$F$1*MAX(CM532,0)</f>
        <v>0</v>
      </c>
      <c r="CL533" s="75">
        <f>PARAM!$C$26+MAX($P$4-CHOOSE(PARAM!$B$44,MAX(0,CM532*$F$1),0),0)*RATES!$L509/12+$Q$4*(PARAM!$D$51/12)*RATES!$N509/100</f>
        <v>145.00000000000003</v>
      </c>
      <c r="CM533" s="16">
        <f>IF(CM532&gt;0,CM532*PARAM!$C$53,CM532)+CK533-CL533</f>
        <v>-20104.999999999996</v>
      </c>
      <c r="CO533" s="176"/>
    </row>
    <row r="534" spans="1:93" x14ac:dyDescent="0.2">
      <c r="A534" t="b">
        <f t="shared" si="322"/>
        <v>0</v>
      </c>
      <c r="B534" s="33">
        <v>507</v>
      </c>
      <c r="C534" s="15">
        <f t="shared" si="323"/>
        <v>20.081305947392778</v>
      </c>
      <c r="D534" s="75">
        <f>C534*(1-PARAM!$C$27)*$I$3+(MOD($B534,60)=PARAM!$B$56)*($B534&gt;(60-PARAM!$B$56))*HLOOKUP(($B534+PARAM!$B$56)/12,Loyalty,2)*$F$1*MAX(F533,0)</f>
        <v>16.808053077967756</v>
      </c>
      <c r="E534" s="75">
        <f>PARAM!$C$26+MAX($G$3-CHOOSE(PARAM!$B$44,MAX(0,F533*$F$1),0),0)*RATES!$L510/12+$H$3*(PARAM!$D$51/12)*RATES!$N510/100</f>
        <v>145.00000000000003</v>
      </c>
      <c r="F534" s="16">
        <f t="shared" si="324"/>
        <v>-11884.742280874068</v>
      </c>
      <c r="G534" s="15">
        <f t="shared" si="325"/>
        <v>22.035289406060361</v>
      </c>
      <c r="H534" s="75">
        <f>G534*(1-PARAM!$C$27)*$I$4+(MOD($B534,60)=PARAM!$B$56)*($B534&gt;(60-PARAM!$B$56))*HLOOKUP(($B534+PARAM!$B$56)/12,Loyalty,2)*$F$1*MAX(J533,0)</f>
        <v>18.443537232872522</v>
      </c>
      <c r="I534" s="75">
        <f>PARAM!$C$26+MAX($G$4-CHOOSE(PARAM!$B$44,MAX(0,J533*$F$1),0),0)*RATES!$L510/12+$H$4*(PARAM!$D$51/12)*RATES!$N510/100</f>
        <v>145.00000000000003</v>
      </c>
      <c r="J534" s="16">
        <f t="shared" si="326"/>
        <v>-11021.718850215655</v>
      </c>
      <c r="K534" s="15">
        <f t="shared" si="327"/>
        <v>22.170849845882874</v>
      </c>
      <c r="L534" s="75">
        <f>K534*(1-PARAM!$C$27)*$I$5+(MOD($B534,60)=PARAM!$B$56)*($B534&gt;(60-PARAM!$B$56))*HLOOKUP(($B534+PARAM!$B$56)/12,Loyalty,2)*$F$1*MAX(N533,0)</f>
        <v>18.557001321003963</v>
      </c>
      <c r="M534" s="75">
        <f>PARAM!$C$26+MAX($G$5-CHOOSE(PARAM!$B$44,MAX(0,N533*$F$1),0),0)*RATES!$L510/12+$H$5*(PARAM!$D$51/12)*RATES!$N510/100</f>
        <v>145.00000000000003</v>
      </c>
      <c r="N534" s="16">
        <f t="shared" si="328"/>
        <v>-10961.175021133233</v>
      </c>
      <c r="O534" s="15">
        <f t="shared" si="329"/>
        <v>22.170849845882874</v>
      </c>
      <c r="P534" s="75">
        <f>O534*(1-PARAM!$C$27)*$I$6+(MOD($B534,60)=PARAM!$B$56)*($B534&gt;(60-PARAM!$B$56))*HLOOKUP(($B534+PARAM!$B$56)/12,Loyalty,2)*$F$1*MAX(R533,0)</f>
        <v>18.557001321003963</v>
      </c>
      <c r="Q534" s="75">
        <f>PARAM!$C$26+MAX($G$6-CHOOSE(PARAM!$B$44,MAX(0,R533*$F$1),0),0)*RATES!$L510/12+$H$6*(PARAM!$D$51/12)*RATES!$N510/100</f>
        <v>145.00000000000003</v>
      </c>
      <c r="R534" s="16">
        <f t="shared" si="330"/>
        <v>-10961.175021133233</v>
      </c>
      <c r="S534" s="15">
        <f t="shared" si="305"/>
        <v>22.170849845882874</v>
      </c>
      <c r="T534" s="75">
        <f>S534*(1-PARAM!$C$27)*$I$7+(MOD($B534,60)=PARAM!$B$56)*($B534&gt;(60-PARAM!$B$56))*HLOOKUP(($B534+PARAM!$B$56)/12,Loyalty,2)*$F$1*MAX(V533,0)</f>
        <v>18.557001321003963</v>
      </c>
      <c r="U534" s="75">
        <f>PARAM!$C$26+MAX($G$7-CHOOSE(PARAM!$B$44,MAX(0,V533*$F$1),0),0)*RATES!$L510/12+$H$7*(PARAM!$D$51/12)*RATES!$N510/100</f>
        <v>145.00000000000003</v>
      </c>
      <c r="V534" s="16">
        <f t="shared" si="331"/>
        <v>-10961.175021133233</v>
      </c>
      <c r="W534" s="15">
        <f t="shared" si="306"/>
        <v>22.170849845882874</v>
      </c>
      <c r="X534" s="75">
        <f>W534*(1-PARAM!$C$27)*$I$8+(MOD($B534,60)=PARAM!$B$56)*($B534&gt;(60-PARAM!$B$56))*HLOOKUP(($B534+PARAM!$B$56)/12,Loyalty,2)*$F$1*MAX(Z533,0)</f>
        <v>18.557001321003963</v>
      </c>
      <c r="Y534" s="75">
        <f>PARAM!$C$26+MAX($G$8-CHOOSE(PARAM!$B$44,MAX(0,Z533*$F$1),0),0)*RATES!$L510/12+$H$8*(PARAM!$D$51/12)*RATES!$N510/100</f>
        <v>145.00000000000003</v>
      </c>
      <c r="Z534" s="16">
        <f t="shared" si="332"/>
        <v>-10961.175021133233</v>
      </c>
      <c r="AA534" s="15">
        <f t="shared" si="307"/>
        <v>22.170849845882874</v>
      </c>
      <c r="AB534" s="75">
        <f>AA534*(1-PARAM!$C$27)*$I$9+(MOD($B534,60)=PARAM!$B$56)*($B534&gt;(60-PARAM!$B$56))*HLOOKUP(($B534+PARAM!$B$56)/12,Loyalty,2)*$F$1*MAX(AD533,0)</f>
        <v>18.557001321003963</v>
      </c>
      <c r="AC534" s="75">
        <f>PARAM!$C$26+MAX($G$9-CHOOSE(PARAM!$B$44,MAX(0,AD533*$F$1),0),0)*RATES!$L510/12+$H$9*(PARAM!$D$51/12)*RATES!$N510/100</f>
        <v>145.00000000000003</v>
      </c>
      <c r="AD534" s="16">
        <f t="shared" si="333"/>
        <v>-10961.175021133233</v>
      </c>
      <c r="AE534" s="15">
        <f t="shared" si="308"/>
        <v>22.170849845882874</v>
      </c>
      <c r="AF534" s="75">
        <f>AE534*(1-PARAM!$C$27)*$I$10+(MOD($B534,60)=PARAM!$B$56)*($B534&gt;(60-PARAM!$B$56))*HLOOKUP(($B534+PARAM!$B$56)/12,Loyalty,2)*$F$1*MAX(AH533,0)</f>
        <v>18.557001321003963</v>
      </c>
      <c r="AG534" s="75">
        <f>PARAM!$C$26+MAX($G$10-CHOOSE(PARAM!$B$44,MAX(0,AH533*$F$1),0),0)*RATES!$L510/12+$H$10*(PARAM!$D$51/12)*RATES!$N510/100</f>
        <v>145.00000000000003</v>
      </c>
      <c r="AH534" s="16">
        <f t="shared" si="334"/>
        <v>-10961.175021133233</v>
      </c>
      <c r="AI534" s="15">
        <f t="shared" si="309"/>
        <v>22.170849845882874</v>
      </c>
      <c r="AJ534" s="75">
        <f>AI534*(1-PARAM!$C$27)*$I$11+(MOD($B534,60)=PARAM!$B$56)*($B534&gt;(60-PARAM!$B$56))*HLOOKUP(($B534+PARAM!$B$56)/12,Loyalty,2)*$F$1*MAX(AL533,0)</f>
        <v>18.557001321003963</v>
      </c>
      <c r="AK534" s="75">
        <f>PARAM!$C$26+MAX($G$11-CHOOSE(PARAM!$B$44,MAX(0,AL533*$F$1),0),0)*RATES!$L510/12+$H$11*(PARAM!$D$51/12)*RATES!$N510/100</f>
        <v>145.00000000000003</v>
      </c>
      <c r="AL534" s="16">
        <f t="shared" si="335"/>
        <v>-10961.175021133233</v>
      </c>
      <c r="AM534" s="15">
        <f t="shared" si="310"/>
        <v>22.170849845882874</v>
      </c>
      <c r="AN534" s="75">
        <f>AM534*(1-PARAM!$C$27)*$I$12+(MOD($B534,60)=PARAM!$B$56)*($B534&gt;(60-PARAM!$B$56))*HLOOKUP(($B534+PARAM!$B$56)/12,Loyalty,2)*$F$1*MAX(AP533,0)</f>
        <v>18.557001321003963</v>
      </c>
      <c r="AO534" s="75">
        <f>PARAM!$C$26+MAX($G$12-CHOOSE(PARAM!$B$44,MAX(0,AP533*$F$1),0),0)*RATES!$L510/12+$H$12*(PARAM!$D$51/12)*RATES!$N510/100</f>
        <v>145.00000000000003</v>
      </c>
      <c r="AP534" s="16">
        <f t="shared" si="336"/>
        <v>-10961.175021133233</v>
      </c>
      <c r="AQ534" s="15">
        <f t="shared" si="311"/>
        <v>22.170849845882874</v>
      </c>
      <c r="AR534" s="75">
        <f>AQ534*(1-PARAM!$C$27)*$I$13+(MOD($B534,60)=PARAM!$B$56)*($B534&gt;(60-PARAM!$B$56))*HLOOKUP(($B534+PARAM!$B$56)/12,Loyalty,2)*$F$1*MAX(AT533,0)</f>
        <v>18.557001321003963</v>
      </c>
      <c r="AS534" s="75">
        <f>PARAM!$C$26+MAX($G$13-CHOOSE(PARAM!$B$44,MAX(0,AT533*$F$1),0),0)*RATES!$L510/12+$H$13*(PARAM!$D$51/12)*RATES!$N510/100</f>
        <v>145.00000000000003</v>
      </c>
      <c r="AT534" s="16">
        <f t="shared" si="337"/>
        <v>-10961.175021133233</v>
      </c>
      <c r="AU534" s="15">
        <f t="shared" si="312"/>
        <v>22.170849845882874</v>
      </c>
      <c r="AV534" s="75">
        <f>AU534*(1-PARAM!$C$27)*$I$14+(MOD($B534,60)=PARAM!$B$56)*($B534&gt;(60-PARAM!$B$56))*HLOOKUP(($B534+PARAM!$B$56)/12,Loyalty,2)*$F$1*MAX(AX533,0)</f>
        <v>18.557001321003963</v>
      </c>
      <c r="AW534" s="75">
        <f>PARAM!$C$26+MAX($G$14-CHOOSE(PARAM!$B$44,MAX(0,AX533*$F$1),0),0)*RATES!$L510/12+$H$14*(PARAM!$D$51/12)*RATES!$N510/100</f>
        <v>145.00000000000003</v>
      </c>
      <c r="AX534" s="16">
        <f t="shared" si="338"/>
        <v>-10961.175021133233</v>
      </c>
      <c r="AY534" s="15">
        <f t="shared" si="313"/>
        <v>22.170849845882874</v>
      </c>
      <c r="AZ534" s="75">
        <f>AY534*(1-PARAM!$C$27)*$I$15+(MOD($B534,60)=PARAM!$B$56)*($B534&gt;(60-PARAM!$B$56))*HLOOKUP(($B534+PARAM!$B$56)/12,Loyalty,2)*$F$1*MAX(BB533,0)</f>
        <v>18.557001321003963</v>
      </c>
      <c r="BA534" s="75">
        <f>PARAM!$C$26+MAX($G$15-CHOOSE(PARAM!$B$44,MAX(0,BB533*$F$1),0),0)*RATES!$L510/12+$H$15*(PARAM!$D$51/12)*RATES!$N510/100</f>
        <v>145.00000000000003</v>
      </c>
      <c r="BB534" s="16">
        <f t="shared" si="339"/>
        <v>-10961.175021133233</v>
      </c>
      <c r="BC534" s="15">
        <f t="shared" si="314"/>
        <v>22.170849845882874</v>
      </c>
      <c r="BD534" s="75">
        <f>BC534*(1-PARAM!$C$27)*$I$16+(MOD($B534,60)=PARAM!$B$56)*($B534&gt;(60-PARAM!$B$56))*HLOOKUP(($B534+PARAM!$B$56)/12,Loyalty,2)*$F$1*MAX(BF533,0)</f>
        <v>18.557001321003963</v>
      </c>
      <c r="BE534" s="75">
        <f>PARAM!$C$26+MAX($G$16-CHOOSE(PARAM!$B$44,MAX(0,BF533*$F$1),0),0)*RATES!$L510/12+$H$16*(PARAM!$D$51/12)*RATES!$N510/100</f>
        <v>145.00000000000003</v>
      </c>
      <c r="BF534" s="16">
        <f t="shared" si="340"/>
        <v>-10961.175021133233</v>
      </c>
      <c r="BG534" s="15">
        <f t="shared" si="315"/>
        <v>22.170849845882874</v>
      </c>
      <c r="BH534" s="75">
        <f>BG534*(1-PARAM!$C$27)*$I$17+(MOD($B534,60)=PARAM!$B$56)*($B534&gt;(60-PARAM!$B$56))*HLOOKUP(($B534+PARAM!$B$56)/12,Loyalty,2)*$F$1*MAX(BJ533,0)</f>
        <v>18.557001321003963</v>
      </c>
      <c r="BI534" s="75">
        <f>PARAM!$C$26+MAX($G$17-CHOOSE(PARAM!$B$44,MAX(0,BJ533*$F$1),0),0)*RATES!$L510/12+$H$17*(PARAM!$D$51/12)*RATES!$N510/100</f>
        <v>145.00000000000003</v>
      </c>
      <c r="BJ534" s="16">
        <f t="shared" si="341"/>
        <v>-10961.175021133233</v>
      </c>
      <c r="BK534" s="15">
        <f t="shared" si="316"/>
        <v>22.170849845882874</v>
      </c>
      <c r="BL534" s="75">
        <f>BK534*(1-PARAM!$C$27)*$I$18+(MOD($B534,60)=PARAM!$B$56)*($B534&gt;(60-PARAM!$B$56))*HLOOKUP(($B534+PARAM!$B$56)/12,Loyalty,2)*$F$1*MAX(BN533,0)</f>
        <v>18.557001321003963</v>
      </c>
      <c r="BM534" s="75">
        <f>PARAM!$C$26+MAX($G$18-CHOOSE(PARAM!$B$44,MAX(0,BN533*$F$1),0),0)*RATES!$L510/12+$H$18*(PARAM!$D$51/12)*RATES!$N510/100</f>
        <v>145.00000000000003</v>
      </c>
      <c r="BN534" s="16">
        <f t="shared" si="342"/>
        <v>-10961.175021133233</v>
      </c>
      <c r="BO534" s="15">
        <f t="shared" si="317"/>
        <v>22.170849845882874</v>
      </c>
      <c r="BP534" s="75">
        <f>BO534*(1-PARAM!$C$27)*$I$19+(MOD($B534,60)=PARAM!$B$56)*($B534&gt;(60-PARAM!$B$56))*HLOOKUP(($B534+PARAM!$B$56)/12,Loyalty,2)*$F$1*MAX(BR533,0)</f>
        <v>18.557001321003963</v>
      </c>
      <c r="BQ534" s="75">
        <f>PARAM!$C$26+MAX($G$19-CHOOSE(PARAM!$B$44,MAX(0,BR533*$F$1),0),0)*RATES!$L510/12+$H$19*(PARAM!$D$51/12)*RATES!$N510/100</f>
        <v>145.00000000000003</v>
      </c>
      <c r="BR534" s="16">
        <f t="shared" si="343"/>
        <v>-10961.175021133233</v>
      </c>
      <c r="BS534" s="15">
        <f t="shared" si="318"/>
        <v>22.170849845882874</v>
      </c>
      <c r="BT534" s="75">
        <f>BS534*(1-PARAM!$C$27)*$I$20+(MOD($B534,60)=PARAM!$B$56)*($B534&gt;(60-PARAM!$B$56))*HLOOKUP(($B534+PARAM!$B$56)/12,Loyalty,2)*$F$1*MAX(BV533,0)</f>
        <v>18.557001321003963</v>
      </c>
      <c r="BU534" s="75">
        <f>PARAM!$C$26+MAX($G$20-CHOOSE(PARAM!$B$44,MAX(0,BV533*$F$1),0),0)*RATES!$L510/12+$H$20*(PARAM!$D$51/12)*RATES!$N510/100</f>
        <v>145.00000000000003</v>
      </c>
      <c r="BV534" s="16">
        <f t="shared" si="344"/>
        <v>-10961.175021133233</v>
      </c>
      <c r="BW534" s="15">
        <f t="shared" si="319"/>
        <v>22.170849845882874</v>
      </c>
      <c r="BX534" s="75">
        <f>BW534*(1-PARAM!$C$27)*$I$21+(MOD($B534,60)=PARAM!$B$56)*($B534&gt;(60-PARAM!$B$56))*HLOOKUP(($B534+PARAM!$B$56)/12,Loyalty,2)*$F$1*MAX(BZ533,0)</f>
        <v>18.557001321003963</v>
      </c>
      <c r="BY534" s="75">
        <f>PARAM!$C$26+MAX($G$21-CHOOSE(PARAM!$B$44,MAX(0,BZ533*$F$1),0),0)*RATES!$L510/12+$H$21*(PARAM!$D$51/12)*RATES!$N510/100</f>
        <v>145.00000000000003</v>
      </c>
      <c r="BZ534" s="16">
        <f t="shared" si="345"/>
        <v>-10961.175021133233</v>
      </c>
      <c r="CA534" s="15">
        <f t="shared" si="320"/>
        <v>22.170849845882874</v>
      </c>
      <c r="CB534" s="75">
        <f>CA534*(1-PARAM!$C$27)*$I$22+(MOD($B534,60)=PARAM!$B$56)*($B534&gt;(60-PARAM!$B$56))*HLOOKUP(($B534+PARAM!$B$56)/12,Loyalty,2)*$F$1*MAX(CD533,0)</f>
        <v>18.557001321003963</v>
      </c>
      <c r="CC534" s="75">
        <f>PARAM!$C$26+MAX($G$22-CHOOSE(PARAM!$B$44,MAX(0,CD533*$F$1),0),0)*RATES!$L510/12+$H$22*(PARAM!$D$51/12)*RATES!$N510/100</f>
        <v>145.00000000000003</v>
      </c>
      <c r="CD534" s="16">
        <f t="shared" si="346"/>
        <v>-10961.175021133233</v>
      </c>
      <c r="CE534" s="33">
        <f>IF(0=MOD(B534,12/PARAM!$D$51),1,0)</f>
        <v>1</v>
      </c>
      <c r="CF534" s="15">
        <f t="shared" si="321"/>
        <v>0</v>
      </c>
      <c r="CG534" s="75">
        <f>CF534*(1-PARAM!$C$27)*$R$3+(MOD($B534/12,5)=0)*($B534&gt;60)*HLOOKUP($B534/12,Loyalty,2)*$F$1*MAX(CI533,0)</f>
        <v>0</v>
      </c>
      <c r="CH534" s="75">
        <f>PARAM!$C$26+MAX($P$3-CHOOSE(PARAM!$B$44,MAX(0,CI533*$F$1),0),0)*RATES!$L510/12+$Q$3*(PARAM!$D$51/12)*RATES!$N510/100</f>
        <v>145.00000000000003</v>
      </c>
      <c r="CI534" s="16">
        <f>IF(CI533&gt;0,CI533*PARAM!$C$53,CI533)+CG534-CH534</f>
        <v>-20249.999999999996</v>
      </c>
      <c r="CJ534" s="15">
        <f t="shared" si="347"/>
        <v>0</v>
      </c>
      <c r="CK534" s="75">
        <f>CJ534*(1-PARAM!$C$27)*$R$4+(MOD($B534/12,5)=0)*($B534&gt;60)*HLOOKUP($B534/12,Loyalty,2)*$F$1*MAX(CM533,0)</f>
        <v>0</v>
      </c>
      <c r="CL534" s="75">
        <f>PARAM!$C$26+MAX($P$4-CHOOSE(PARAM!$B$44,MAX(0,CM533*$F$1),0),0)*RATES!$L510/12+$Q$4*(PARAM!$D$51/12)*RATES!$N510/100</f>
        <v>145.00000000000003</v>
      </c>
      <c r="CM534" s="16">
        <f>IF(CM533&gt;0,CM533*PARAM!$C$53,CM533)+CK534-CL534</f>
        <v>-20249.999999999996</v>
      </c>
      <c r="CO534" s="176"/>
    </row>
    <row r="535" spans="1:93" x14ac:dyDescent="0.2">
      <c r="A535" t="b">
        <f t="shared" si="322"/>
        <v>0</v>
      </c>
      <c r="B535" s="33">
        <v>508</v>
      </c>
      <c r="C535" s="15">
        <f t="shared" si="323"/>
        <v>20.081305947392778</v>
      </c>
      <c r="D535" s="75">
        <f>C535*(1-PARAM!$C$27)*$I$3+(MOD($B535,60)=PARAM!$B$56)*($B535&gt;(60-PARAM!$B$56))*HLOOKUP(($B535+PARAM!$B$56)/12,Loyalty,2)*$F$1*MAX(F534,0)</f>
        <v>16.808053077967756</v>
      </c>
      <c r="E535" s="75">
        <f>PARAM!$C$26+MAX($G$3-CHOOSE(PARAM!$B$44,MAX(0,F534*$F$1),0),0)*RATES!$L511/12+$H$3*(PARAM!$D$51/12)*RATES!$N511/100</f>
        <v>145.00000000000003</v>
      </c>
      <c r="F535" s="16">
        <f t="shared" si="324"/>
        <v>-12012.9342277961</v>
      </c>
      <c r="G535" s="15">
        <f t="shared" si="325"/>
        <v>22.035289406060361</v>
      </c>
      <c r="H535" s="75">
        <f>G535*(1-PARAM!$C$27)*$I$4+(MOD($B535,60)=PARAM!$B$56)*($B535&gt;(60-PARAM!$B$56))*HLOOKUP(($B535+PARAM!$B$56)/12,Loyalty,2)*$F$1*MAX(J534,0)</f>
        <v>18.443537232872522</v>
      </c>
      <c r="I535" s="75">
        <f>PARAM!$C$26+MAX($G$4-CHOOSE(PARAM!$B$44,MAX(0,J534*$F$1),0),0)*RATES!$L511/12+$H$4*(PARAM!$D$51/12)*RATES!$N511/100</f>
        <v>145.00000000000003</v>
      </c>
      <c r="J535" s="16">
        <f t="shared" si="326"/>
        <v>-11148.275312982783</v>
      </c>
      <c r="K535" s="15">
        <f t="shared" si="327"/>
        <v>22.170849845882874</v>
      </c>
      <c r="L535" s="75">
        <f>K535*(1-PARAM!$C$27)*$I$5+(MOD($B535,60)=PARAM!$B$56)*($B535&gt;(60-PARAM!$B$56))*HLOOKUP(($B535+PARAM!$B$56)/12,Loyalty,2)*$F$1*MAX(N534,0)</f>
        <v>18.557001321003963</v>
      </c>
      <c r="M535" s="75">
        <f>PARAM!$C$26+MAX($G$5-CHOOSE(PARAM!$B$44,MAX(0,N534*$F$1),0),0)*RATES!$L511/12+$H$5*(PARAM!$D$51/12)*RATES!$N511/100</f>
        <v>145.00000000000003</v>
      </c>
      <c r="N535" s="16">
        <f t="shared" si="328"/>
        <v>-11087.618019812229</v>
      </c>
      <c r="O535" s="15">
        <f t="shared" si="329"/>
        <v>22.170849845882874</v>
      </c>
      <c r="P535" s="75">
        <f>O535*(1-PARAM!$C$27)*$I$6+(MOD($B535,60)=PARAM!$B$56)*($B535&gt;(60-PARAM!$B$56))*HLOOKUP(($B535+PARAM!$B$56)/12,Loyalty,2)*$F$1*MAX(R534,0)</f>
        <v>18.557001321003963</v>
      </c>
      <c r="Q535" s="75">
        <f>PARAM!$C$26+MAX($G$6-CHOOSE(PARAM!$B$44,MAX(0,R534*$F$1),0),0)*RATES!$L511/12+$H$6*(PARAM!$D$51/12)*RATES!$N511/100</f>
        <v>145.00000000000003</v>
      </c>
      <c r="R535" s="16">
        <f t="shared" si="330"/>
        <v>-11087.618019812229</v>
      </c>
      <c r="S535" s="15">
        <f t="shared" si="305"/>
        <v>22.170849845882874</v>
      </c>
      <c r="T535" s="75">
        <f>S535*(1-PARAM!$C$27)*$I$7+(MOD($B535,60)=PARAM!$B$56)*($B535&gt;(60-PARAM!$B$56))*HLOOKUP(($B535+PARAM!$B$56)/12,Loyalty,2)*$F$1*MAX(V534,0)</f>
        <v>18.557001321003963</v>
      </c>
      <c r="U535" s="75">
        <f>PARAM!$C$26+MAX($G$7-CHOOSE(PARAM!$B$44,MAX(0,V534*$F$1),0),0)*RATES!$L511/12+$H$7*(PARAM!$D$51/12)*RATES!$N511/100</f>
        <v>145.00000000000003</v>
      </c>
      <c r="V535" s="16">
        <f t="shared" si="331"/>
        <v>-11087.618019812229</v>
      </c>
      <c r="W535" s="15">
        <f t="shared" si="306"/>
        <v>22.170849845882874</v>
      </c>
      <c r="X535" s="75">
        <f>W535*(1-PARAM!$C$27)*$I$8+(MOD($B535,60)=PARAM!$B$56)*($B535&gt;(60-PARAM!$B$56))*HLOOKUP(($B535+PARAM!$B$56)/12,Loyalty,2)*$F$1*MAX(Z534,0)</f>
        <v>18.557001321003963</v>
      </c>
      <c r="Y535" s="75">
        <f>PARAM!$C$26+MAX($G$8-CHOOSE(PARAM!$B$44,MAX(0,Z534*$F$1),0),0)*RATES!$L511/12+$H$8*(PARAM!$D$51/12)*RATES!$N511/100</f>
        <v>145.00000000000003</v>
      </c>
      <c r="Z535" s="16">
        <f t="shared" si="332"/>
        <v>-11087.618019812229</v>
      </c>
      <c r="AA535" s="15">
        <f t="shared" si="307"/>
        <v>22.170849845882874</v>
      </c>
      <c r="AB535" s="75">
        <f>AA535*(1-PARAM!$C$27)*$I$9+(MOD($B535,60)=PARAM!$B$56)*($B535&gt;(60-PARAM!$B$56))*HLOOKUP(($B535+PARAM!$B$56)/12,Loyalty,2)*$F$1*MAX(AD534,0)</f>
        <v>18.557001321003963</v>
      </c>
      <c r="AC535" s="75">
        <f>PARAM!$C$26+MAX($G$9-CHOOSE(PARAM!$B$44,MAX(0,AD534*$F$1),0),0)*RATES!$L511/12+$H$9*(PARAM!$D$51/12)*RATES!$N511/100</f>
        <v>145.00000000000003</v>
      </c>
      <c r="AD535" s="16">
        <f t="shared" si="333"/>
        <v>-11087.618019812229</v>
      </c>
      <c r="AE535" s="15">
        <f t="shared" si="308"/>
        <v>22.170849845882874</v>
      </c>
      <c r="AF535" s="75">
        <f>AE535*(1-PARAM!$C$27)*$I$10+(MOD($B535,60)=PARAM!$B$56)*($B535&gt;(60-PARAM!$B$56))*HLOOKUP(($B535+PARAM!$B$56)/12,Loyalty,2)*$F$1*MAX(AH534,0)</f>
        <v>18.557001321003963</v>
      </c>
      <c r="AG535" s="75">
        <f>PARAM!$C$26+MAX($G$10-CHOOSE(PARAM!$B$44,MAX(0,AH534*$F$1),0),0)*RATES!$L511/12+$H$10*(PARAM!$D$51/12)*RATES!$N511/100</f>
        <v>145.00000000000003</v>
      </c>
      <c r="AH535" s="16">
        <f t="shared" si="334"/>
        <v>-11087.618019812229</v>
      </c>
      <c r="AI535" s="15">
        <f t="shared" si="309"/>
        <v>22.170849845882874</v>
      </c>
      <c r="AJ535" s="75">
        <f>AI535*(1-PARAM!$C$27)*$I$11+(MOD($B535,60)=PARAM!$B$56)*($B535&gt;(60-PARAM!$B$56))*HLOOKUP(($B535+PARAM!$B$56)/12,Loyalty,2)*$F$1*MAX(AL534,0)</f>
        <v>18.557001321003963</v>
      </c>
      <c r="AK535" s="75">
        <f>PARAM!$C$26+MAX($G$11-CHOOSE(PARAM!$B$44,MAX(0,AL534*$F$1),0),0)*RATES!$L511/12+$H$11*(PARAM!$D$51/12)*RATES!$N511/100</f>
        <v>145.00000000000003</v>
      </c>
      <c r="AL535" s="16">
        <f t="shared" si="335"/>
        <v>-11087.618019812229</v>
      </c>
      <c r="AM535" s="15">
        <f t="shared" si="310"/>
        <v>22.170849845882874</v>
      </c>
      <c r="AN535" s="75">
        <f>AM535*(1-PARAM!$C$27)*$I$12+(MOD($B535,60)=PARAM!$B$56)*($B535&gt;(60-PARAM!$B$56))*HLOOKUP(($B535+PARAM!$B$56)/12,Loyalty,2)*$F$1*MAX(AP534,0)</f>
        <v>18.557001321003963</v>
      </c>
      <c r="AO535" s="75">
        <f>PARAM!$C$26+MAX($G$12-CHOOSE(PARAM!$B$44,MAX(0,AP534*$F$1),0),0)*RATES!$L511/12+$H$12*(PARAM!$D$51/12)*RATES!$N511/100</f>
        <v>145.00000000000003</v>
      </c>
      <c r="AP535" s="16">
        <f t="shared" si="336"/>
        <v>-11087.618019812229</v>
      </c>
      <c r="AQ535" s="15">
        <f t="shared" si="311"/>
        <v>22.170849845882874</v>
      </c>
      <c r="AR535" s="75">
        <f>AQ535*(1-PARAM!$C$27)*$I$13+(MOD($B535,60)=PARAM!$B$56)*($B535&gt;(60-PARAM!$B$56))*HLOOKUP(($B535+PARAM!$B$56)/12,Loyalty,2)*$F$1*MAX(AT534,0)</f>
        <v>18.557001321003963</v>
      </c>
      <c r="AS535" s="75">
        <f>PARAM!$C$26+MAX($G$13-CHOOSE(PARAM!$B$44,MAX(0,AT534*$F$1),0),0)*RATES!$L511/12+$H$13*(PARAM!$D$51/12)*RATES!$N511/100</f>
        <v>145.00000000000003</v>
      </c>
      <c r="AT535" s="16">
        <f t="shared" si="337"/>
        <v>-11087.618019812229</v>
      </c>
      <c r="AU535" s="15">
        <f t="shared" si="312"/>
        <v>22.170849845882874</v>
      </c>
      <c r="AV535" s="75">
        <f>AU535*(1-PARAM!$C$27)*$I$14+(MOD($B535,60)=PARAM!$B$56)*($B535&gt;(60-PARAM!$B$56))*HLOOKUP(($B535+PARAM!$B$56)/12,Loyalty,2)*$F$1*MAX(AX534,0)</f>
        <v>18.557001321003963</v>
      </c>
      <c r="AW535" s="75">
        <f>PARAM!$C$26+MAX($G$14-CHOOSE(PARAM!$B$44,MAX(0,AX534*$F$1),0),0)*RATES!$L511/12+$H$14*(PARAM!$D$51/12)*RATES!$N511/100</f>
        <v>145.00000000000003</v>
      </c>
      <c r="AX535" s="16">
        <f t="shared" si="338"/>
        <v>-11087.618019812229</v>
      </c>
      <c r="AY535" s="15">
        <f t="shared" si="313"/>
        <v>22.170849845882874</v>
      </c>
      <c r="AZ535" s="75">
        <f>AY535*(1-PARAM!$C$27)*$I$15+(MOD($B535,60)=PARAM!$B$56)*($B535&gt;(60-PARAM!$B$56))*HLOOKUP(($B535+PARAM!$B$56)/12,Loyalty,2)*$F$1*MAX(BB534,0)</f>
        <v>18.557001321003963</v>
      </c>
      <c r="BA535" s="75">
        <f>PARAM!$C$26+MAX($G$15-CHOOSE(PARAM!$B$44,MAX(0,BB534*$F$1),0),0)*RATES!$L511/12+$H$15*(PARAM!$D$51/12)*RATES!$N511/100</f>
        <v>145.00000000000003</v>
      </c>
      <c r="BB535" s="16">
        <f t="shared" si="339"/>
        <v>-11087.618019812229</v>
      </c>
      <c r="BC535" s="15">
        <f t="shared" si="314"/>
        <v>22.170849845882874</v>
      </c>
      <c r="BD535" s="75">
        <f>BC535*(1-PARAM!$C$27)*$I$16+(MOD($B535,60)=PARAM!$B$56)*($B535&gt;(60-PARAM!$B$56))*HLOOKUP(($B535+PARAM!$B$56)/12,Loyalty,2)*$F$1*MAX(BF534,0)</f>
        <v>18.557001321003963</v>
      </c>
      <c r="BE535" s="75">
        <f>PARAM!$C$26+MAX($G$16-CHOOSE(PARAM!$B$44,MAX(0,BF534*$F$1),0),0)*RATES!$L511/12+$H$16*(PARAM!$D$51/12)*RATES!$N511/100</f>
        <v>145.00000000000003</v>
      </c>
      <c r="BF535" s="16">
        <f t="shared" si="340"/>
        <v>-11087.618019812229</v>
      </c>
      <c r="BG535" s="15">
        <f t="shared" si="315"/>
        <v>22.170849845882874</v>
      </c>
      <c r="BH535" s="75">
        <f>BG535*(1-PARAM!$C$27)*$I$17+(MOD($B535,60)=PARAM!$B$56)*($B535&gt;(60-PARAM!$B$56))*HLOOKUP(($B535+PARAM!$B$56)/12,Loyalty,2)*$F$1*MAX(BJ534,0)</f>
        <v>18.557001321003963</v>
      </c>
      <c r="BI535" s="75">
        <f>PARAM!$C$26+MAX($G$17-CHOOSE(PARAM!$B$44,MAX(0,BJ534*$F$1),0),0)*RATES!$L511/12+$H$17*(PARAM!$D$51/12)*RATES!$N511/100</f>
        <v>145.00000000000003</v>
      </c>
      <c r="BJ535" s="16">
        <f t="shared" si="341"/>
        <v>-11087.618019812229</v>
      </c>
      <c r="BK535" s="15">
        <f t="shared" si="316"/>
        <v>22.170849845882874</v>
      </c>
      <c r="BL535" s="75">
        <f>BK535*(1-PARAM!$C$27)*$I$18+(MOD($B535,60)=PARAM!$B$56)*($B535&gt;(60-PARAM!$B$56))*HLOOKUP(($B535+PARAM!$B$56)/12,Loyalty,2)*$F$1*MAX(BN534,0)</f>
        <v>18.557001321003963</v>
      </c>
      <c r="BM535" s="75">
        <f>PARAM!$C$26+MAX($G$18-CHOOSE(PARAM!$B$44,MAX(0,BN534*$F$1),0),0)*RATES!$L511/12+$H$18*(PARAM!$D$51/12)*RATES!$N511/100</f>
        <v>145.00000000000003</v>
      </c>
      <c r="BN535" s="16">
        <f t="shared" si="342"/>
        <v>-11087.618019812229</v>
      </c>
      <c r="BO535" s="15">
        <f t="shared" si="317"/>
        <v>22.170849845882874</v>
      </c>
      <c r="BP535" s="75">
        <f>BO535*(1-PARAM!$C$27)*$I$19+(MOD($B535,60)=PARAM!$B$56)*($B535&gt;(60-PARAM!$B$56))*HLOOKUP(($B535+PARAM!$B$56)/12,Loyalty,2)*$F$1*MAX(BR534,0)</f>
        <v>18.557001321003963</v>
      </c>
      <c r="BQ535" s="75">
        <f>PARAM!$C$26+MAX($G$19-CHOOSE(PARAM!$B$44,MAX(0,BR534*$F$1),0),0)*RATES!$L511/12+$H$19*(PARAM!$D$51/12)*RATES!$N511/100</f>
        <v>145.00000000000003</v>
      </c>
      <c r="BR535" s="16">
        <f t="shared" si="343"/>
        <v>-11087.618019812229</v>
      </c>
      <c r="BS535" s="15">
        <f t="shared" si="318"/>
        <v>22.170849845882874</v>
      </c>
      <c r="BT535" s="75">
        <f>BS535*(1-PARAM!$C$27)*$I$20+(MOD($B535,60)=PARAM!$B$56)*($B535&gt;(60-PARAM!$B$56))*HLOOKUP(($B535+PARAM!$B$56)/12,Loyalty,2)*$F$1*MAX(BV534,0)</f>
        <v>18.557001321003963</v>
      </c>
      <c r="BU535" s="75">
        <f>PARAM!$C$26+MAX($G$20-CHOOSE(PARAM!$B$44,MAX(0,BV534*$F$1),0),0)*RATES!$L511/12+$H$20*(PARAM!$D$51/12)*RATES!$N511/100</f>
        <v>145.00000000000003</v>
      </c>
      <c r="BV535" s="16">
        <f t="shared" si="344"/>
        <v>-11087.618019812229</v>
      </c>
      <c r="BW535" s="15">
        <f t="shared" si="319"/>
        <v>22.170849845882874</v>
      </c>
      <c r="BX535" s="75">
        <f>BW535*(1-PARAM!$C$27)*$I$21+(MOD($B535,60)=PARAM!$B$56)*($B535&gt;(60-PARAM!$B$56))*HLOOKUP(($B535+PARAM!$B$56)/12,Loyalty,2)*$F$1*MAX(BZ534,0)</f>
        <v>18.557001321003963</v>
      </c>
      <c r="BY535" s="75">
        <f>PARAM!$C$26+MAX($G$21-CHOOSE(PARAM!$B$44,MAX(0,BZ534*$F$1),0),0)*RATES!$L511/12+$H$21*(PARAM!$D$51/12)*RATES!$N511/100</f>
        <v>145.00000000000003</v>
      </c>
      <c r="BZ535" s="16">
        <f t="shared" si="345"/>
        <v>-11087.618019812229</v>
      </c>
      <c r="CA535" s="15">
        <f t="shared" si="320"/>
        <v>22.170849845882874</v>
      </c>
      <c r="CB535" s="75">
        <f>CA535*(1-PARAM!$C$27)*$I$22+(MOD($B535,60)=PARAM!$B$56)*($B535&gt;(60-PARAM!$B$56))*HLOOKUP(($B535+PARAM!$B$56)/12,Loyalty,2)*$F$1*MAX(CD534,0)</f>
        <v>18.557001321003963</v>
      </c>
      <c r="CC535" s="75">
        <f>PARAM!$C$26+MAX($G$22-CHOOSE(PARAM!$B$44,MAX(0,CD534*$F$1),0),0)*RATES!$L511/12+$H$22*(PARAM!$D$51/12)*RATES!$N511/100</f>
        <v>145.00000000000003</v>
      </c>
      <c r="CD535" s="16">
        <f t="shared" si="346"/>
        <v>-11087.618019812229</v>
      </c>
      <c r="CE535" s="33">
        <f>IF(0=MOD(B535,12/PARAM!$D$51),1,0)</f>
        <v>1</v>
      </c>
      <c r="CF535" s="15">
        <f t="shared" si="321"/>
        <v>0</v>
      </c>
      <c r="CG535" s="75">
        <f>CF535*(1-PARAM!$C$27)*$R$3+(MOD($B535/12,5)=0)*($B535&gt;60)*HLOOKUP($B535/12,Loyalty,2)*$F$1*MAX(CI534,0)</f>
        <v>0</v>
      </c>
      <c r="CH535" s="75">
        <f>PARAM!$C$26+MAX($P$3-CHOOSE(PARAM!$B$44,MAX(0,CI534*$F$1),0),0)*RATES!$L511/12+$Q$3*(PARAM!$D$51/12)*RATES!$N511/100</f>
        <v>145.00000000000003</v>
      </c>
      <c r="CI535" s="16">
        <f>IF(CI534&gt;0,CI534*PARAM!$C$53,CI534)+CG535-CH535</f>
        <v>-20394.999999999996</v>
      </c>
      <c r="CJ535" s="15">
        <f t="shared" si="347"/>
        <v>0</v>
      </c>
      <c r="CK535" s="75">
        <f>CJ535*(1-PARAM!$C$27)*$R$4+(MOD($B535/12,5)=0)*($B535&gt;60)*HLOOKUP($B535/12,Loyalty,2)*$F$1*MAX(CM534,0)</f>
        <v>0</v>
      </c>
      <c r="CL535" s="75">
        <f>PARAM!$C$26+MAX($P$4-CHOOSE(PARAM!$B$44,MAX(0,CM534*$F$1),0),0)*RATES!$L511/12+$Q$4*(PARAM!$D$51/12)*RATES!$N511/100</f>
        <v>145.00000000000003</v>
      </c>
      <c r="CM535" s="16">
        <f>IF(CM534&gt;0,CM534*PARAM!$C$53,CM534)+CK535-CL535</f>
        <v>-20394.999999999996</v>
      </c>
      <c r="CO535" s="176"/>
    </row>
    <row r="536" spans="1:93" x14ac:dyDescent="0.2">
      <c r="A536" t="b">
        <f t="shared" si="322"/>
        <v>0</v>
      </c>
      <c r="B536" s="33">
        <v>509</v>
      </c>
      <c r="C536" s="15">
        <f t="shared" si="323"/>
        <v>20.081305947392778</v>
      </c>
      <c r="D536" s="75">
        <f>C536*(1-PARAM!$C$27)*$I$3+(MOD($B536,60)=PARAM!$B$56)*($B536&gt;(60-PARAM!$B$56))*HLOOKUP(($B536+PARAM!$B$56)/12,Loyalty,2)*$F$1*MAX(F535,0)</f>
        <v>16.808053077967756</v>
      </c>
      <c r="E536" s="75">
        <f>PARAM!$C$26+MAX($G$3-CHOOSE(PARAM!$B$44,MAX(0,F535*$F$1),0),0)*RATES!$L512/12+$H$3*(PARAM!$D$51/12)*RATES!$N512/100</f>
        <v>145.00000000000003</v>
      </c>
      <c r="F536" s="16">
        <f t="shared" si="324"/>
        <v>-12141.126174718132</v>
      </c>
      <c r="G536" s="15">
        <f t="shared" si="325"/>
        <v>22.035289406060361</v>
      </c>
      <c r="H536" s="75">
        <f>G536*(1-PARAM!$C$27)*$I$4+(MOD($B536,60)=PARAM!$B$56)*($B536&gt;(60-PARAM!$B$56))*HLOOKUP(($B536+PARAM!$B$56)/12,Loyalty,2)*$F$1*MAX(J535,0)</f>
        <v>18.443537232872522</v>
      </c>
      <c r="I536" s="75">
        <f>PARAM!$C$26+MAX($G$4-CHOOSE(PARAM!$B$44,MAX(0,J535*$F$1),0),0)*RATES!$L512/12+$H$4*(PARAM!$D$51/12)*RATES!$N512/100</f>
        <v>145.00000000000003</v>
      </c>
      <c r="J536" s="16">
        <f t="shared" si="326"/>
        <v>-11274.831775749912</v>
      </c>
      <c r="K536" s="15">
        <f t="shared" si="327"/>
        <v>22.170849845882874</v>
      </c>
      <c r="L536" s="75">
        <f>K536*(1-PARAM!$C$27)*$I$5+(MOD($B536,60)=PARAM!$B$56)*($B536&gt;(60-PARAM!$B$56))*HLOOKUP(($B536+PARAM!$B$56)/12,Loyalty,2)*$F$1*MAX(N535,0)</f>
        <v>18.557001321003963</v>
      </c>
      <c r="M536" s="75">
        <f>PARAM!$C$26+MAX($G$5-CHOOSE(PARAM!$B$44,MAX(0,N535*$F$1),0),0)*RATES!$L512/12+$H$5*(PARAM!$D$51/12)*RATES!$N512/100</f>
        <v>145.00000000000003</v>
      </c>
      <c r="N536" s="16">
        <f t="shared" si="328"/>
        <v>-11214.061018491226</v>
      </c>
      <c r="O536" s="15">
        <f t="shared" si="329"/>
        <v>22.170849845882874</v>
      </c>
      <c r="P536" s="75">
        <f>O536*(1-PARAM!$C$27)*$I$6+(MOD($B536,60)=PARAM!$B$56)*($B536&gt;(60-PARAM!$B$56))*HLOOKUP(($B536+PARAM!$B$56)/12,Loyalty,2)*$F$1*MAX(R535,0)</f>
        <v>18.557001321003963</v>
      </c>
      <c r="Q536" s="75">
        <f>PARAM!$C$26+MAX($G$6-CHOOSE(PARAM!$B$44,MAX(0,R535*$F$1),0),0)*RATES!$L512/12+$H$6*(PARAM!$D$51/12)*RATES!$N512/100</f>
        <v>145.00000000000003</v>
      </c>
      <c r="R536" s="16">
        <f t="shared" si="330"/>
        <v>-11214.061018491226</v>
      </c>
      <c r="S536" s="15">
        <f t="shared" si="305"/>
        <v>22.170849845882874</v>
      </c>
      <c r="T536" s="75">
        <f>S536*(1-PARAM!$C$27)*$I$7+(MOD($B536,60)=PARAM!$B$56)*($B536&gt;(60-PARAM!$B$56))*HLOOKUP(($B536+PARAM!$B$56)/12,Loyalty,2)*$F$1*MAX(V535,0)</f>
        <v>18.557001321003963</v>
      </c>
      <c r="U536" s="75">
        <f>PARAM!$C$26+MAX($G$7-CHOOSE(PARAM!$B$44,MAX(0,V535*$F$1),0),0)*RATES!$L512/12+$H$7*(PARAM!$D$51/12)*RATES!$N512/100</f>
        <v>145.00000000000003</v>
      </c>
      <c r="V536" s="16">
        <f t="shared" si="331"/>
        <v>-11214.061018491226</v>
      </c>
      <c r="W536" s="15">
        <f t="shared" si="306"/>
        <v>22.170849845882874</v>
      </c>
      <c r="X536" s="75">
        <f>W536*(1-PARAM!$C$27)*$I$8+(MOD($B536,60)=PARAM!$B$56)*($B536&gt;(60-PARAM!$B$56))*HLOOKUP(($B536+PARAM!$B$56)/12,Loyalty,2)*$F$1*MAX(Z535,0)</f>
        <v>18.557001321003963</v>
      </c>
      <c r="Y536" s="75">
        <f>PARAM!$C$26+MAX($G$8-CHOOSE(PARAM!$B$44,MAX(0,Z535*$F$1),0),0)*RATES!$L512/12+$H$8*(PARAM!$D$51/12)*RATES!$N512/100</f>
        <v>145.00000000000003</v>
      </c>
      <c r="Z536" s="16">
        <f t="shared" si="332"/>
        <v>-11214.061018491226</v>
      </c>
      <c r="AA536" s="15">
        <f t="shared" si="307"/>
        <v>22.170849845882874</v>
      </c>
      <c r="AB536" s="75">
        <f>AA536*(1-PARAM!$C$27)*$I$9+(MOD($B536,60)=PARAM!$B$56)*($B536&gt;(60-PARAM!$B$56))*HLOOKUP(($B536+PARAM!$B$56)/12,Loyalty,2)*$F$1*MAX(AD535,0)</f>
        <v>18.557001321003963</v>
      </c>
      <c r="AC536" s="75">
        <f>PARAM!$C$26+MAX($G$9-CHOOSE(PARAM!$B$44,MAX(0,AD535*$F$1),0),0)*RATES!$L512/12+$H$9*(PARAM!$D$51/12)*RATES!$N512/100</f>
        <v>145.00000000000003</v>
      </c>
      <c r="AD536" s="16">
        <f t="shared" si="333"/>
        <v>-11214.061018491226</v>
      </c>
      <c r="AE536" s="15">
        <f t="shared" si="308"/>
        <v>22.170849845882874</v>
      </c>
      <c r="AF536" s="75">
        <f>AE536*(1-PARAM!$C$27)*$I$10+(MOD($B536,60)=PARAM!$B$56)*($B536&gt;(60-PARAM!$B$56))*HLOOKUP(($B536+PARAM!$B$56)/12,Loyalty,2)*$F$1*MAX(AH535,0)</f>
        <v>18.557001321003963</v>
      </c>
      <c r="AG536" s="75">
        <f>PARAM!$C$26+MAX($G$10-CHOOSE(PARAM!$B$44,MAX(0,AH535*$F$1),0),0)*RATES!$L512/12+$H$10*(PARAM!$D$51/12)*RATES!$N512/100</f>
        <v>145.00000000000003</v>
      </c>
      <c r="AH536" s="16">
        <f t="shared" si="334"/>
        <v>-11214.061018491226</v>
      </c>
      <c r="AI536" s="15">
        <f t="shared" si="309"/>
        <v>22.170849845882874</v>
      </c>
      <c r="AJ536" s="75">
        <f>AI536*(1-PARAM!$C$27)*$I$11+(MOD($B536,60)=PARAM!$B$56)*($B536&gt;(60-PARAM!$B$56))*HLOOKUP(($B536+PARAM!$B$56)/12,Loyalty,2)*$F$1*MAX(AL535,0)</f>
        <v>18.557001321003963</v>
      </c>
      <c r="AK536" s="75">
        <f>PARAM!$C$26+MAX($G$11-CHOOSE(PARAM!$B$44,MAX(0,AL535*$F$1),0),0)*RATES!$L512/12+$H$11*(PARAM!$D$51/12)*RATES!$N512/100</f>
        <v>145.00000000000003</v>
      </c>
      <c r="AL536" s="16">
        <f t="shared" si="335"/>
        <v>-11214.061018491226</v>
      </c>
      <c r="AM536" s="15">
        <f t="shared" si="310"/>
        <v>22.170849845882874</v>
      </c>
      <c r="AN536" s="75">
        <f>AM536*(1-PARAM!$C$27)*$I$12+(MOD($B536,60)=PARAM!$B$56)*($B536&gt;(60-PARAM!$B$56))*HLOOKUP(($B536+PARAM!$B$56)/12,Loyalty,2)*$F$1*MAX(AP535,0)</f>
        <v>18.557001321003963</v>
      </c>
      <c r="AO536" s="75">
        <f>PARAM!$C$26+MAX($G$12-CHOOSE(PARAM!$B$44,MAX(0,AP535*$F$1),0),0)*RATES!$L512/12+$H$12*(PARAM!$D$51/12)*RATES!$N512/100</f>
        <v>145.00000000000003</v>
      </c>
      <c r="AP536" s="16">
        <f t="shared" si="336"/>
        <v>-11214.061018491226</v>
      </c>
      <c r="AQ536" s="15">
        <f t="shared" si="311"/>
        <v>22.170849845882874</v>
      </c>
      <c r="AR536" s="75">
        <f>AQ536*(1-PARAM!$C$27)*$I$13+(MOD($B536,60)=PARAM!$B$56)*($B536&gt;(60-PARAM!$B$56))*HLOOKUP(($B536+PARAM!$B$56)/12,Loyalty,2)*$F$1*MAX(AT535,0)</f>
        <v>18.557001321003963</v>
      </c>
      <c r="AS536" s="75">
        <f>PARAM!$C$26+MAX($G$13-CHOOSE(PARAM!$B$44,MAX(0,AT535*$F$1),0),0)*RATES!$L512/12+$H$13*(PARAM!$D$51/12)*RATES!$N512/100</f>
        <v>145.00000000000003</v>
      </c>
      <c r="AT536" s="16">
        <f t="shared" si="337"/>
        <v>-11214.061018491226</v>
      </c>
      <c r="AU536" s="15">
        <f t="shared" si="312"/>
        <v>22.170849845882874</v>
      </c>
      <c r="AV536" s="75">
        <f>AU536*(1-PARAM!$C$27)*$I$14+(MOD($B536,60)=PARAM!$B$56)*($B536&gt;(60-PARAM!$B$56))*HLOOKUP(($B536+PARAM!$B$56)/12,Loyalty,2)*$F$1*MAX(AX535,0)</f>
        <v>18.557001321003963</v>
      </c>
      <c r="AW536" s="75">
        <f>PARAM!$C$26+MAX($G$14-CHOOSE(PARAM!$B$44,MAX(0,AX535*$F$1),0),0)*RATES!$L512/12+$H$14*(PARAM!$D$51/12)*RATES!$N512/100</f>
        <v>145.00000000000003</v>
      </c>
      <c r="AX536" s="16">
        <f t="shared" si="338"/>
        <v>-11214.061018491226</v>
      </c>
      <c r="AY536" s="15">
        <f t="shared" si="313"/>
        <v>22.170849845882874</v>
      </c>
      <c r="AZ536" s="75">
        <f>AY536*(1-PARAM!$C$27)*$I$15+(MOD($B536,60)=PARAM!$B$56)*($B536&gt;(60-PARAM!$B$56))*HLOOKUP(($B536+PARAM!$B$56)/12,Loyalty,2)*$F$1*MAX(BB535,0)</f>
        <v>18.557001321003963</v>
      </c>
      <c r="BA536" s="75">
        <f>PARAM!$C$26+MAX($G$15-CHOOSE(PARAM!$B$44,MAX(0,BB535*$F$1),0),0)*RATES!$L512/12+$H$15*(PARAM!$D$51/12)*RATES!$N512/100</f>
        <v>145.00000000000003</v>
      </c>
      <c r="BB536" s="16">
        <f t="shared" si="339"/>
        <v>-11214.061018491226</v>
      </c>
      <c r="BC536" s="15">
        <f t="shared" si="314"/>
        <v>22.170849845882874</v>
      </c>
      <c r="BD536" s="75">
        <f>BC536*(1-PARAM!$C$27)*$I$16+(MOD($B536,60)=PARAM!$B$56)*($B536&gt;(60-PARAM!$B$56))*HLOOKUP(($B536+PARAM!$B$56)/12,Loyalty,2)*$F$1*MAX(BF535,0)</f>
        <v>18.557001321003963</v>
      </c>
      <c r="BE536" s="75">
        <f>PARAM!$C$26+MAX($G$16-CHOOSE(PARAM!$B$44,MAX(0,BF535*$F$1),0),0)*RATES!$L512/12+$H$16*(PARAM!$D$51/12)*RATES!$N512/100</f>
        <v>145.00000000000003</v>
      </c>
      <c r="BF536" s="16">
        <f t="shared" si="340"/>
        <v>-11214.061018491226</v>
      </c>
      <c r="BG536" s="15">
        <f t="shared" si="315"/>
        <v>22.170849845882874</v>
      </c>
      <c r="BH536" s="75">
        <f>BG536*(1-PARAM!$C$27)*$I$17+(MOD($B536,60)=PARAM!$B$56)*($B536&gt;(60-PARAM!$B$56))*HLOOKUP(($B536+PARAM!$B$56)/12,Loyalty,2)*$F$1*MAX(BJ535,0)</f>
        <v>18.557001321003963</v>
      </c>
      <c r="BI536" s="75">
        <f>PARAM!$C$26+MAX($G$17-CHOOSE(PARAM!$B$44,MAX(0,BJ535*$F$1),0),0)*RATES!$L512/12+$H$17*(PARAM!$D$51/12)*RATES!$N512/100</f>
        <v>145.00000000000003</v>
      </c>
      <c r="BJ536" s="16">
        <f t="shared" si="341"/>
        <v>-11214.061018491226</v>
      </c>
      <c r="BK536" s="15">
        <f t="shared" si="316"/>
        <v>22.170849845882874</v>
      </c>
      <c r="BL536" s="75">
        <f>BK536*(1-PARAM!$C$27)*$I$18+(MOD($B536,60)=PARAM!$B$56)*($B536&gt;(60-PARAM!$B$56))*HLOOKUP(($B536+PARAM!$B$56)/12,Loyalty,2)*$F$1*MAX(BN535,0)</f>
        <v>18.557001321003963</v>
      </c>
      <c r="BM536" s="75">
        <f>PARAM!$C$26+MAX($G$18-CHOOSE(PARAM!$B$44,MAX(0,BN535*$F$1),0),0)*RATES!$L512/12+$H$18*(PARAM!$D$51/12)*RATES!$N512/100</f>
        <v>145.00000000000003</v>
      </c>
      <c r="BN536" s="16">
        <f t="shared" si="342"/>
        <v>-11214.061018491226</v>
      </c>
      <c r="BO536" s="15">
        <f t="shared" si="317"/>
        <v>22.170849845882874</v>
      </c>
      <c r="BP536" s="75">
        <f>BO536*(1-PARAM!$C$27)*$I$19+(MOD($B536,60)=PARAM!$B$56)*($B536&gt;(60-PARAM!$B$56))*HLOOKUP(($B536+PARAM!$B$56)/12,Loyalty,2)*$F$1*MAX(BR535,0)</f>
        <v>18.557001321003963</v>
      </c>
      <c r="BQ536" s="75">
        <f>PARAM!$C$26+MAX($G$19-CHOOSE(PARAM!$B$44,MAX(0,BR535*$F$1),0),0)*RATES!$L512/12+$H$19*(PARAM!$D$51/12)*RATES!$N512/100</f>
        <v>145.00000000000003</v>
      </c>
      <c r="BR536" s="16">
        <f t="shared" si="343"/>
        <v>-11214.061018491226</v>
      </c>
      <c r="BS536" s="15">
        <f t="shared" si="318"/>
        <v>22.170849845882874</v>
      </c>
      <c r="BT536" s="75">
        <f>BS536*(1-PARAM!$C$27)*$I$20+(MOD($B536,60)=PARAM!$B$56)*($B536&gt;(60-PARAM!$B$56))*HLOOKUP(($B536+PARAM!$B$56)/12,Loyalty,2)*$F$1*MAX(BV535,0)</f>
        <v>18.557001321003963</v>
      </c>
      <c r="BU536" s="75">
        <f>PARAM!$C$26+MAX($G$20-CHOOSE(PARAM!$B$44,MAX(0,BV535*$F$1),0),0)*RATES!$L512/12+$H$20*(PARAM!$D$51/12)*RATES!$N512/100</f>
        <v>145.00000000000003</v>
      </c>
      <c r="BV536" s="16">
        <f t="shared" si="344"/>
        <v>-11214.061018491226</v>
      </c>
      <c r="BW536" s="15">
        <f t="shared" si="319"/>
        <v>22.170849845882874</v>
      </c>
      <c r="BX536" s="75">
        <f>BW536*(1-PARAM!$C$27)*$I$21+(MOD($B536,60)=PARAM!$B$56)*($B536&gt;(60-PARAM!$B$56))*HLOOKUP(($B536+PARAM!$B$56)/12,Loyalty,2)*$F$1*MAX(BZ535,0)</f>
        <v>18.557001321003963</v>
      </c>
      <c r="BY536" s="75">
        <f>PARAM!$C$26+MAX($G$21-CHOOSE(PARAM!$B$44,MAX(0,BZ535*$F$1),0),0)*RATES!$L512/12+$H$21*(PARAM!$D$51/12)*RATES!$N512/100</f>
        <v>145.00000000000003</v>
      </c>
      <c r="BZ536" s="16">
        <f t="shared" si="345"/>
        <v>-11214.061018491226</v>
      </c>
      <c r="CA536" s="15">
        <f t="shared" si="320"/>
        <v>22.170849845882874</v>
      </c>
      <c r="CB536" s="75">
        <f>CA536*(1-PARAM!$C$27)*$I$22+(MOD($B536,60)=PARAM!$B$56)*($B536&gt;(60-PARAM!$B$56))*HLOOKUP(($B536+PARAM!$B$56)/12,Loyalty,2)*$F$1*MAX(CD535,0)</f>
        <v>18.557001321003963</v>
      </c>
      <c r="CC536" s="75">
        <f>PARAM!$C$26+MAX($G$22-CHOOSE(PARAM!$B$44,MAX(0,CD535*$F$1),0),0)*RATES!$L512/12+$H$22*(PARAM!$D$51/12)*RATES!$N512/100</f>
        <v>145.00000000000003</v>
      </c>
      <c r="CD536" s="16">
        <f t="shared" si="346"/>
        <v>-11214.061018491226</v>
      </c>
      <c r="CE536" s="33">
        <f>IF(0=MOD(B536,12/PARAM!$D$51),1,0)</f>
        <v>1</v>
      </c>
      <c r="CF536" s="15">
        <f t="shared" si="321"/>
        <v>0</v>
      </c>
      <c r="CG536" s="75">
        <f>CF536*(1-PARAM!$C$27)*$R$3+(MOD($B536/12,5)=0)*($B536&gt;60)*HLOOKUP($B536/12,Loyalty,2)*$F$1*MAX(CI535,0)</f>
        <v>0</v>
      </c>
      <c r="CH536" s="75">
        <f>PARAM!$C$26+MAX($P$3-CHOOSE(PARAM!$B$44,MAX(0,CI535*$F$1),0),0)*RATES!$L512/12+$Q$3*(PARAM!$D$51/12)*RATES!$N512/100</f>
        <v>145.00000000000003</v>
      </c>
      <c r="CI536" s="16">
        <f>IF(CI535&gt;0,CI535*PARAM!$C$53,CI535)+CG536-CH536</f>
        <v>-20539.999999999996</v>
      </c>
      <c r="CJ536" s="15">
        <f t="shared" si="347"/>
        <v>0</v>
      </c>
      <c r="CK536" s="75">
        <f>CJ536*(1-PARAM!$C$27)*$R$4+(MOD($B536/12,5)=0)*($B536&gt;60)*HLOOKUP($B536/12,Loyalty,2)*$F$1*MAX(CM535,0)</f>
        <v>0</v>
      </c>
      <c r="CL536" s="75">
        <f>PARAM!$C$26+MAX($P$4-CHOOSE(PARAM!$B$44,MAX(0,CM535*$F$1),0),0)*RATES!$L512/12+$Q$4*(PARAM!$D$51/12)*RATES!$N512/100</f>
        <v>145.00000000000003</v>
      </c>
      <c r="CM536" s="16">
        <f>IF(CM535&gt;0,CM535*PARAM!$C$53,CM535)+CK536-CL536</f>
        <v>-20539.999999999996</v>
      </c>
      <c r="CO536" s="176"/>
    </row>
    <row r="537" spans="1:93" x14ac:dyDescent="0.2">
      <c r="A537" t="b">
        <f t="shared" si="322"/>
        <v>0</v>
      </c>
      <c r="B537" s="33">
        <v>510</v>
      </c>
      <c r="C537" s="15">
        <f t="shared" si="323"/>
        <v>20.081305947392778</v>
      </c>
      <c r="D537" s="75">
        <f>C537*(1-PARAM!$C$27)*$I$3+(MOD($B537,60)=PARAM!$B$56)*($B537&gt;(60-PARAM!$B$56))*HLOOKUP(($B537+PARAM!$B$56)/12,Loyalty,2)*$F$1*MAX(F536,0)</f>
        <v>16.808053077967756</v>
      </c>
      <c r="E537" s="75">
        <f>PARAM!$C$26+MAX($G$3-CHOOSE(PARAM!$B$44,MAX(0,F536*$F$1),0),0)*RATES!$L513/12+$H$3*(PARAM!$D$51/12)*RATES!$N513/100</f>
        <v>159.20833333333334</v>
      </c>
      <c r="F537" s="16">
        <f t="shared" si="324"/>
        <v>-12283.526454973498</v>
      </c>
      <c r="G537" s="15">
        <f t="shared" si="325"/>
        <v>22.035289406060361</v>
      </c>
      <c r="H537" s="75">
        <f>G537*(1-PARAM!$C$27)*$I$4+(MOD($B537,60)=PARAM!$B$56)*($B537&gt;(60-PARAM!$B$56))*HLOOKUP(($B537+PARAM!$B$56)/12,Loyalty,2)*$F$1*MAX(J536,0)</f>
        <v>18.443537232872522</v>
      </c>
      <c r="I537" s="75">
        <f>PARAM!$C$26+MAX($G$4-CHOOSE(PARAM!$B$44,MAX(0,J536*$F$1),0),0)*RATES!$L513/12+$H$4*(PARAM!$D$51/12)*RATES!$N513/100</f>
        <v>159.20833333333334</v>
      </c>
      <c r="J537" s="16">
        <f t="shared" si="326"/>
        <v>-11415.596571850374</v>
      </c>
      <c r="K537" s="15">
        <f t="shared" si="327"/>
        <v>22.170849845882874</v>
      </c>
      <c r="L537" s="75">
        <f>K537*(1-PARAM!$C$27)*$I$5+(MOD($B537,60)=PARAM!$B$56)*($B537&gt;(60-PARAM!$B$56))*HLOOKUP(($B537+PARAM!$B$56)/12,Loyalty,2)*$F$1*MAX(N536,0)</f>
        <v>18.557001321003963</v>
      </c>
      <c r="M537" s="75">
        <f>PARAM!$C$26+MAX($G$5-CHOOSE(PARAM!$B$44,MAX(0,N536*$F$1),0),0)*RATES!$L513/12+$H$5*(PARAM!$D$51/12)*RATES!$N513/100</f>
        <v>159.20833333333334</v>
      </c>
      <c r="N537" s="16">
        <f t="shared" si="328"/>
        <v>-11354.712350503556</v>
      </c>
      <c r="O537" s="15">
        <f t="shared" si="329"/>
        <v>22.170849845882874</v>
      </c>
      <c r="P537" s="75">
        <f>O537*(1-PARAM!$C$27)*$I$6+(MOD($B537,60)=PARAM!$B$56)*($B537&gt;(60-PARAM!$B$56))*HLOOKUP(($B537+PARAM!$B$56)/12,Loyalty,2)*$F$1*MAX(R536,0)</f>
        <v>18.557001321003963</v>
      </c>
      <c r="Q537" s="75">
        <f>PARAM!$C$26+MAX($G$6-CHOOSE(PARAM!$B$44,MAX(0,R536*$F$1),0),0)*RATES!$L513/12+$H$6*(PARAM!$D$51/12)*RATES!$N513/100</f>
        <v>159.20833333333334</v>
      </c>
      <c r="R537" s="16">
        <f t="shared" si="330"/>
        <v>-11354.712350503556</v>
      </c>
      <c r="S537" s="15">
        <f t="shared" si="305"/>
        <v>22.170849845882874</v>
      </c>
      <c r="T537" s="75">
        <f>S537*(1-PARAM!$C$27)*$I$7+(MOD($B537,60)=PARAM!$B$56)*($B537&gt;(60-PARAM!$B$56))*HLOOKUP(($B537+PARAM!$B$56)/12,Loyalty,2)*$F$1*MAX(V536,0)</f>
        <v>18.557001321003963</v>
      </c>
      <c r="U537" s="75">
        <f>PARAM!$C$26+MAX($G$7-CHOOSE(PARAM!$B$44,MAX(0,V536*$F$1),0),0)*RATES!$L513/12+$H$7*(PARAM!$D$51/12)*RATES!$N513/100</f>
        <v>159.20833333333334</v>
      </c>
      <c r="V537" s="16">
        <f t="shared" si="331"/>
        <v>-11354.712350503556</v>
      </c>
      <c r="W537" s="15">
        <f t="shared" si="306"/>
        <v>22.170849845882874</v>
      </c>
      <c r="X537" s="75">
        <f>W537*(1-PARAM!$C$27)*$I$8+(MOD($B537,60)=PARAM!$B$56)*($B537&gt;(60-PARAM!$B$56))*HLOOKUP(($B537+PARAM!$B$56)/12,Loyalty,2)*$F$1*MAX(Z536,0)</f>
        <v>18.557001321003963</v>
      </c>
      <c r="Y537" s="75">
        <f>PARAM!$C$26+MAX($G$8-CHOOSE(PARAM!$B$44,MAX(0,Z536*$F$1),0),0)*RATES!$L513/12+$H$8*(PARAM!$D$51/12)*RATES!$N513/100</f>
        <v>159.20833333333334</v>
      </c>
      <c r="Z537" s="16">
        <f t="shared" si="332"/>
        <v>-11354.712350503556</v>
      </c>
      <c r="AA537" s="15">
        <f t="shared" si="307"/>
        <v>22.170849845882874</v>
      </c>
      <c r="AB537" s="75">
        <f>AA537*(1-PARAM!$C$27)*$I$9+(MOD($B537,60)=PARAM!$B$56)*($B537&gt;(60-PARAM!$B$56))*HLOOKUP(($B537+PARAM!$B$56)/12,Loyalty,2)*$F$1*MAX(AD536,0)</f>
        <v>18.557001321003963</v>
      </c>
      <c r="AC537" s="75">
        <f>PARAM!$C$26+MAX($G$9-CHOOSE(PARAM!$B$44,MAX(0,AD536*$F$1),0),0)*RATES!$L513/12+$H$9*(PARAM!$D$51/12)*RATES!$N513/100</f>
        <v>159.20833333333334</v>
      </c>
      <c r="AD537" s="16">
        <f t="shared" si="333"/>
        <v>-11354.712350503556</v>
      </c>
      <c r="AE537" s="15">
        <f t="shared" si="308"/>
        <v>22.170849845882874</v>
      </c>
      <c r="AF537" s="75">
        <f>AE537*(1-PARAM!$C$27)*$I$10+(MOD($B537,60)=PARAM!$B$56)*($B537&gt;(60-PARAM!$B$56))*HLOOKUP(($B537+PARAM!$B$56)/12,Loyalty,2)*$F$1*MAX(AH536,0)</f>
        <v>18.557001321003963</v>
      </c>
      <c r="AG537" s="75">
        <f>PARAM!$C$26+MAX($G$10-CHOOSE(PARAM!$B$44,MAX(0,AH536*$F$1),0),0)*RATES!$L513/12+$H$10*(PARAM!$D$51/12)*RATES!$N513/100</f>
        <v>159.20833333333334</v>
      </c>
      <c r="AH537" s="16">
        <f t="shared" si="334"/>
        <v>-11354.712350503556</v>
      </c>
      <c r="AI537" s="15">
        <f t="shared" si="309"/>
        <v>22.170849845882874</v>
      </c>
      <c r="AJ537" s="75">
        <f>AI537*(1-PARAM!$C$27)*$I$11+(MOD($B537,60)=PARAM!$B$56)*($B537&gt;(60-PARAM!$B$56))*HLOOKUP(($B537+PARAM!$B$56)/12,Loyalty,2)*$F$1*MAX(AL536,0)</f>
        <v>18.557001321003963</v>
      </c>
      <c r="AK537" s="75">
        <f>PARAM!$C$26+MAX($G$11-CHOOSE(PARAM!$B$44,MAX(0,AL536*$F$1),0),0)*RATES!$L513/12+$H$11*(PARAM!$D$51/12)*RATES!$N513/100</f>
        <v>159.20833333333334</v>
      </c>
      <c r="AL537" s="16">
        <f t="shared" si="335"/>
        <v>-11354.712350503556</v>
      </c>
      <c r="AM537" s="15">
        <f t="shared" si="310"/>
        <v>22.170849845882874</v>
      </c>
      <c r="AN537" s="75">
        <f>AM537*(1-PARAM!$C$27)*$I$12+(MOD($B537,60)=PARAM!$B$56)*($B537&gt;(60-PARAM!$B$56))*HLOOKUP(($B537+PARAM!$B$56)/12,Loyalty,2)*$F$1*MAX(AP536,0)</f>
        <v>18.557001321003963</v>
      </c>
      <c r="AO537" s="75">
        <f>PARAM!$C$26+MAX($G$12-CHOOSE(PARAM!$B$44,MAX(0,AP536*$F$1),0),0)*RATES!$L513/12+$H$12*(PARAM!$D$51/12)*RATES!$N513/100</f>
        <v>159.20833333333334</v>
      </c>
      <c r="AP537" s="16">
        <f t="shared" si="336"/>
        <v>-11354.712350503556</v>
      </c>
      <c r="AQ537" s="15">
        <f t="shared" si="311"/>
        <v>22.170849845882874</v>
      </c>
      <c r="AR537" s="75">
        <f>AQ537*(1-PARAM!$C$27)*$I$13+(MOD($B537,60)=PARAM!$B$56)*($B537&gt;(60-PARAM!$B$56))*HLOOKUP(($B537+PARAM!$B$56)/12,Loyalty,2)*$F$1*MAX(AT536,0)</f>
        <v>18.557001321003963</v>
      </c>
      <c r="AS537" s="75">
        <f>PARAM!$C$26+MAX($G$13-CHOOSE(PARAM!$B$44,MAX(0,AT536*$F$1),0),0)*RATES!$L513/12+$H$13*(PARAM!$D$51/12)*RATES!$N513/100</f>
        <v>159.20833333333334</v>
      </c>
      <c r="AT537" s="16">
        <f t="shared" si="337"/>
        <v>-11354.712350503556</v>
      </c>
      <c r="AU537" s="15">
        <f t="shared" si="312"/>
        <v>22.170849845882874</v>
      </c>
      <c r="AV537" s="75">
        <f>AU537*(1-PARAM!$C$27)*$I$14+(MOD($B537,60)=PARAM!$B$56)*($B537&gt;(60-PARAM!$B$56))*HLOOKUP(($B537+PARAM!$B$56)/12,Loyalty,2)*$F$1*MAX(AX536,0)</f>
        <v>18.557001321003963</v>
      </c>
      <c r="AW537" s="75">
        <f>PARAM!$C$26+MAX($G$14-CHOOSE(PARAM!$B$44,MAX(0,AX536*$F$1),0),0)*RATES!$L513/12+$H$14*(PARAM!$D$51/12)*RATES!$N513/100</f>
        <v>159.20833333333334</v>
      </c>
      <c r="AX537" s="16">
        <f t="shared" si="338"/>
        <v>-11354.712350503556</v>
      </c>
      <c r="AY537" s="15">
        <f t="shared" si="313"/>
        <v>22.170849845882874</v>
      </c>
      <c r="AZ537" s="75">
        <f>AY537*(1-PARAM!$C$27)*$I$15+(MOD($B537,60)=PARAM!$B$56)*($B537&gt;(60-PARAM!$B$56))*HLOOKUP(($B537+PARAM!$B$56)/12,Loyalty,2)*$F$1*MAX(BB536,0)</f>
        <v>18.557001321003963</v>
      </c>
      <c r="BA537" s="75">
        <f>PARAM!$C$26+MAX($G$15-CHOOSE(PARAM!$B$44,MAX(0,BB536*$F$1),0),0)*RATES!$L513/12+$H$15*(PARAM!$D$51/12)*RATES!$N513/100</f>
        <v>159.20833333333334</v>
      </c>
      <c r="BB537" s="16">
        <f t="shared" si="339"/>
        <v>-11354.712350503556</v>
      </c>
      <c r="BC537" s="15">
        <f t="shared" si="314"/>
        <v>22.170849845882874</v>
      </c>
      <c r="BD537" s="75">
        <f>BC537*(1-PARAM!$C$27)*$I$16+(MOD($B537,60)=PARAM!$B$56)*($B537&gt;(60-PARAM!$B$56))*HLOOKUP(($B537+PARAM!$B$56)/12,Loyalty,2)*$F$1*MAX(BF536,0)</f>
        <v>18.557001321003963</v>
      </c>
      <c r="BE537" s="75">
        <f>PARAM!$C$26+MAX($G$16-CHOOSE(PARAM!$B$44,MAX(0,BF536*$F$1),0),0)*RATES!$L513/12+$H$16*(PARAM!$D$51/12)*RATES!$N513/100</f>
        <v>159.20833333333334</v>
      </c>
      <c r="BF537" s="16">
        <f t="shared" si="340"/>
        <v>-11354.712350503556</v>
      </c>
      <c r="BG537" s="15">
        <f t="shared" si="315"/>
        <v>22.170849845882874</v>
      </c>
      <c r="BH537" s="75">
        <f>BG537*(1-PARAM!$C$27)*$I$17+(MOD($B537,60)=PARAM!$B$56)*($B537&gt;(60-PARAM!$B$56))*HLOOKUP(($B537+PARAM!$B$56)/12,Loyalty,2)*$F$1*MAX(BJ536,0)</f>
        <v>18.557001321003963</v>
      </c>
      <c r="BI537" s="75">
        <f>PARAM!$C$26+MAX($G$17-CHOOSE(PARAM!$B$44,MAX(0,BJ536*$F$1),0),0)*RATES!$L513/12+$H$17*(PARAM!$D$51/12)*RATES!$N513/100</f>
        <v>159.20833333333334</v>
      </c>
      <c r="BJ537" s="16">
        <f t="shared" si="341"/>
        <v>-11354.712350503556</v>
      </c>
      <c r="BK537" s="15">
        <f t="shared" si="316"/>
        <v>22.170849845882874</v>
      </c>
      <c r="BL537" s="75">
        <f>BK537*(1-PARAM!$C$27)*$I$18+(MOD($B537,60)=PARAM!$B$56)*($B537&gt;(60-PARAM!$B$56))*HLOOKUP(($B537+PARAM!$B$56)/12,Loyalty,2)*$F$1*MAX(BN536,0)</f>
        <v>18.557001321003963</v>
      </c>
      <c r="BM537" s="75">
        <f>PARAM!$C$26+MAX($G$18-CHOOSE(PARAM!$B$44,MAX(0,BN536*$F$1),0),0)*RATES!$L513/12+$H$18*(PARAM!$D$51/12)*RATES!$N513/100</f>
        <v>159.20833333333334</v>
      </c>
      <c r="BN537" s="16">
        <f t="shared" si="342"/>
        <v>-11354.712350503556</v>
      </c>
      <c r="BO537" s="15">
        <f t="shared" si="317"/>
        <v>22.170849845882874</v>
      </c>
      <c r="BP537" s="75">
        <f>BO537*(1-PARAM!$C$27)*$I$19+(MOD($B537,60)=PARAM!$B$56)*($B537&gt;(60-PARAM!$B$56))*HLOOKUP(($B537+PARAM!$B$56)/12,Loyalty,2)*$F$1*MAX(BR536,0)</f>
        <v>18.557001321003963</v>
      </c>
      <c r="BQ537" s="75">
        <f>PARAM!$C$26+MAX($G$19-CHOOSE(PARAM!$B$44,MAX(0,BR536*$F$1),0),0)*RATES!$L513/12+$H$19*(PARAM!$D$51/12)*RATES!$N513/100</f>
        <v>159.20833333333334</v>
      </c>
      <c r="BR537" s="16">
        <f t="shared" si="343"/>
        <v>-11354.712350503556</v>
      </c>
      <c r="BS537" s="15">
        <f t="shared" si="318"/>
        <v>22.170849845882874</v>
      </c>
      <c r="BT537" s="75">
        <f>BS537*(1-PARAM!$C$27)*$I$20+(MOD($B537,60)=PARAM!$B$56)*($B537&gt;(60-PARAM!$B$56))*HLOOKUP(($B537+PARAM!$B$56)/12,Loyalty,2)*$F$1*MAX(BV536,0)</f>
        <v>18.557001321003963</v>
      </c>
      <c r="BU537" s="75">
        <f>PARAM!$C$26+MAX($G$20-CHOOSE(PARAM!$B$44,MAX(0,BV536*$F$1),0),0)*RATES!$L513/12+$H$20*(PARAM!$D$51/12)*RATES!$N513/100</f>
        <v>159.20833333333334</v>
      </c>
      <c r="BV537" s="16">
        <f t="shared" si="344"/>
        <v>-11354.712350503556</v>
      </c>
      <c r="BW537" s="15">
        <f t="shared" si="319"/>
        <v>22.170849845882874</v>
      </c>
      <c r="BX537" s="75">
        <f>BW537*(1-PARAM!$C$27)*$I$21+(MOD($B537,60)=PARAM!$B$56)*($B537&gt;(60-PARAM!$B$56))*HLOOKUP(($B537+PARAM!$B$56)/12,Loyalty,2)*$F$1*MAX(BZ536,0)</f>
        <v>18.557001321003963</v>
      </c>
      <c r="BY537" s="75">
        <f>PARAM!$C$26+MAX($G$21-CHOOSE(PARAM!$B$44,MAX(0,BZ536*$F$1),0),0)*RATES!$L513/12+$H$21*(PARAM!$D$51/12)*RATES!$N513/100</f>
        <v>159.20833333333334</v>
      </c>
      <c r="BZ537" s="16">
        <f t="shared" si="345"/>
        <v>-11354.712350503556</v>
      </c>
      <c r="CA537" s="15">
        <f t="shared" si="320"/>
        <v>22.170849845882874</v>
      </c>
      <c r="CB537" s="75">
        <f>CA537*(1-PARAM!$C$27)*$I$22+(MOD($B537,60)=PARAM!$B$56)*($B537&gt;(60-PARAM!$B$56))*HLOOKUP(($B537+PARAM!$B$56)/12,Loyalty,2)*$F$1*MAX(CD536,0)</f>
        <v>18.557001321003963</v>
      </c>
      <c r="CC537" s="75">
        <f>PARAM!$C$26+MAX($G$22-CHOOSE(PARAM!$B$44,MAX(0,CD536*$F$1),0),0)*RATES!$L513/12+$H$22*(PARAM!$D$51/12)*RATES!$N513/100</f>
        <v>159.20833333333334</v>
      </c>
      <c r="CD537" s="16">
        <f t="shared" si="346"/>
        <v>-11354.712350503556</v>
      </c>
      <c r="CE537" s="33">
        <f>IF(0=MOD(B537,12/PARAM!$D$51),1,0)</f>
        <v>1</v>
      </c>
      <c r="CF537" s="15">
        <f t="shared" si="321"/>
        <v>0</v>
      </c>
      <c r="CG537" s="75">
        <f>CF537*(1-PARAM!$C$27)*$R$3+(MOD($B537/12,5)=0)*($B537&gt;60)*HLOOKUP($B537/12,Loyalty,2)*$F$1*MAX(CI536,0)</f>
        <v>0</v>
      </c>
      <c r="CH537" s="75">
        <f>PARAM!$C$26+MAX($P$3-CHOOSE(PARAM!$B$44,MAX(0,CI536*$F$1),0),0)*RATES!$L513/12+$Q$3*(PARAM!$D$51/12)*RATES!$N513/100</f>
        <v>159.20833333333334</v>
      </c>
      <c r="CI537" s="16">
        <f>IF(CI536&gt;0,CI536*PARAM!$C$53,CI536)+CG537-CH537</f>
        <v>-20699.208333333328</v>
      </c>
      <c r="CJ537" s="15">
        <f t="shared" si="347"/>
        <v>0</v>
      </c>
      <c r="CK537" s="75">
        <f>CJ537*(1-PARAM!$C$27)*$R$4+(MOD($B537/12,5)=0)*($B537&gt;60)*HLOOKUP($B537/12,Loyalty,2)*$F$1*MAX(CM536,0)</f>
        <v>0</v>
      </c>
      <c r="CL537" s="75">
        <f>PARAM!$C$26+MAX($P$4-CHOOSE(PARAM!$B$44,MAX(0,CM536*$F$1),0),0)*RATES!$L513/12+$Q$4*(PARAM!$D$51/12)*RATES!$N513/100</f>
        <v>159.20833333333334</v>
      </c>
      <c r="CM537" s="16">
        <f>IF(CM536&gt;0,CM536*PARAM!$C$53,CM536)+CK537-CL537</f>
        <v>-20699.208333333328</v>
      </c>
      <c r="CO537" s="176"/>
    </row>
    <row r="538" spans="1:93" x14ac:dyDescent="0.2">
      <c r="A538" t="b">
        <f t="shared" si="322"/>
        <v>0</v>
      </c>
      <c r="B538" s="33">
        <v>511</v>
      </c>
      <c r="C538" s="15">
        <f t="shared" si="323"/>
        <v>20.081305947392778</v>
      </c>
      <c r="D538" s="75">
        <f>C538*(1-PARAM!$C$27)*$I$3+(MOD($B538,60)=PARAM!$B$56)*($B538&gt;(60-PARAM!$B$56))*HLOOKUP(($B538+PARAM!$B$56)/12,Loyalty,2)*$F$1*MAX(F537,0)</f>
        <v>16.808053077967756</v>
      </c>
      <c r="E538" s="75">
        <f>PARAM!$C$26+MAX($G$3-CHOOSE(PARAM!$B$44,MAX(0,F537*$F$1),0),0)*RATES!$L514/12+$H$3*(PARAM!$D$51/12)*RATES!$N514/100</f>
        <v>159.20833333333334</v>
      </c>
      <c r="F538" s="16">
        <f t="shared" si="324"/>
        <v>-12425.926735228864</v>
      </c>
      <c r="G538" s="15">
        <f t="shared" si="325"/>
        <v>22.035289406060361</v>
      </c>
      <c r="H538" s="75">
        <f>G538*(1-PARAM!$C$27)*$I$4+(MOD($B538,60)=PARAM!$B$56)*($B538&gt;(60-PARAM!$B$56))*HLOOKUP(($B538+PARAM!$B$56)/12,Loyalty,2)*$F$1*MAX(J537,0)</f>
        <v>18.443537232872522</v>
      </c>
      <c r="I538" s="75">
        <f>PARAM!$C$26+MAX($G$4-CHOOSE(PARAM!$B$44,MAX(0,J537*$F$1),0),0)*RATES!$L514/12+$H$4*(PARAM!$D$51/12)*RATES!$N514/100</f>
        <v>159.20833333333334</v>
      </c>
      <c r="J538" s="16">
        <f t="shared" si="326"/>
        <v>-11556.361367950836</v>
      </c>
      <c r="K538" s="15">
        <f t="shared" si="327"/>
        <v>22.170849845882874</v>
      </c>
      <c r="L538" s="75">
        <f>K538*(1-PARAM!$C$27)*$I$5+(MOD($B538,60)=PARAM!$B$56)*($B538&gt;(60-PARAM!$B$56))*HLOOKUP(($B538+PARAM!$B$56)/12,Loyalty,2)*$F$1*MAX(N537,0)</f>
        <v>18.557001321003963</v>
      </c>
      <c r="M538" s="75">
        <f>PARAM!$C$26+MAX($G$5-CHOOSE(PARAM!$B$44,MAX(0,N537*$F$1),0),0)*RATES!$L514/12+$H$5*(PARAM!$D$51/12)*RATES!$N514/100</f>
        <v>159.20833333333334</v>
      </c>
      <c r="N538" s="16">
        <f t="shared" si="328"/>
        <v>-11495.363682515886</v>
      </c>
      <c r="O538" s="15">
        <f t="shared" si="329"/>
        <v>22.170849845882874</v>
      </c>
      <c r="P538" s="75">
        <f>O538*(1-PARAM!$C$27)*$I$6+(MOD($B538,60)=PARAM!$B$56)*($B538&gt;(60-PARAM!$B$56))*HLOOKUP(($B538+PARAM!$B$56)/12,Loyalty,2)*$F$1*MAX(R537,0)</f>
        <v>18.557001321003963</v>
      </c>
      <c r="Q538" s="75">
        <f>PARAM!$C$26+MAX($G$6-CHOOSE(PARAM!$B$44,MAX(0,R537*$F$1),0),0)*RATES!$L514/12+$H$6*(PARAM!$D$51/12)*RATES!$N514/100</f>
        <v>159.20833333333334</v>
      </c>
      <c r="R538" s="16">
        <f t="shared" si="330"/>
        <v>-11495.363682515886</v>
      </c>
      <c r="S538" s="15">
        <f t="shared" si="305"/>
        <v>22.170849845882874</v>
      </c>
      <c r="T538" s="75">
        <f>S538*(1-PARAM!$C$27)*$I$7+(MOD($B538,60)=PARAM!$B$56)*($B538&gt;(60-PARAM!$B$56))*HLOOKUP(($B538+PARAM!$B$56)/12,Loyalty,2)*$F$1*MAX(V537,0)</f>
        <v>18.557001321003963</v>
      </c>
      <c r="U538" s="75">
        <f>PARAM!$C$26+MAX($G$7-CHOOSE(PARAM!$B$44,MAX(0,V537*$F$1),0),0)*RATES!$L514/12+$H$7*(PARAM!$D$51/12)*RATES!$N514/100</f>
        <v>159.20833333333334</v>
      </c>
      <c r="V538" s="16">
        <f t="shared" si="331"/>
        <v>-11495.363682515886</v>
      </c>
      <c r="W538" s="15">
        <f t="shared" si="306"/>
        <v>22.170849845882874</v>
      </c>
      <c r="X538" s="75">
        <f>W538*(1-PARAM!$C$27)*$I$8+(MOD($B538,60)=PARAM!$B$56)*($B538&gt;(60-PARAM!$B$56))*HLOOKUP(($B538+PARAM!$B$56)/12,Loyalty,2)*$F$1*MAX(Z537,0)</f>
        <v>18.557001321003963</v>
      </c>
      <c r="Y538" s="75">
        <f>PARAM!$C$26+MAX($G$8-CHOOSE(PARAM!$B$44,MAX(0,Z537*$F$1),0),0)*RATES!$L514/12+$H$8*(PARAM!$D$51/12)*RATES!$N514/100</f>
        <v>159.20833333333334</v>
      </c>
      <c r="Z538" s="16">
        <f t="shared" si="332"/>
        <v>-11495.363682515886</v>
      </c>
      <c r="AA538" s="15">
        <f t="shared" si="307"/>
        <v>22.170849845882874</v>
      </c>
      <c r="AB538" s="75">
        <f>AA538*(1-PARAM!$C$27)*$I$9+(MOD($B538,60)=PARAM!$B$56)*($B538&gt;(60-PARAM!$B$56))*HLOOKUP(($B538+PARAM!$B$56)/12,Loyalty,2)*$F$1*MAX(AD537,0)</f>
        <v>18.557001321003963</v>
      </c>
      <c r="AC538" s="75">
        <f>PARAM!$C$26+MAX($G$9-CHOOSE(PARAM!$B$44,MAX(0,AD537*$F$1),0),0)*RATES!$L514/12+$H$9*(PARAM!$D$51/12)*RATES!$N514/100</f>
        <v>159.20833333333334</v>
      </c>
      <c r="AD538" s="16">
        <f t="shared" si="333"/>
        <v>-11495.363682515886</v>
      </c>
      <c r="AE538" s="15">
        <f t="shared" si="308"/>
        <v>22.170849845882874</v>
      </c>
      <c r="AF538" s="75">
        <f>AE538*(1-PARAM!$C$27)*$I$10+(MOD($B538,60)=PARAM!$B$56)*($B538&gt;(60-PARAM!$B$56))*HLOOKUP(($B538+PARAM!$B$56)/12,Loyalty,2)*$F$1*MAX(AH537,0)</f>
        <v>18.557001321003963</v>
      </c>
      <c r="AG538" s="75">
        <f>PARAM!$C$26+MAX($G$10-CHOOSE(PARAM!$B$44,MAX(0,AH537*$F$1),0),0)*RATES!$L514/12+$H$10*(PARAM!$D$51/12)*RATES!$N514/100</f>
        <v>159.20833333333334</v>
      </c>
      <c r="AH538" s="16">
        <f t="shared" si="334"/>
        <v>-11495.363682515886</v>
      </c>
      <c r="AI538" s="15">
        <f t="shared" si="309"/>
        <v>22.170849845882874</v>
      </c>
      <c r="AJ538" s="75">
        <f>AI538*(1-PARAM!$C$27)*$I$11+(MOD($B538,60)=PARAM!$B$56)*($B538&gt;(60-PARAM!$B$56))*HLOOKUP(($B538+PARAM!$B$56)/12,Loyalty,2)*$F$1*MAX(AL537,0)</f>
        <v>18.557001321003963</v>
      </c>
      <c r="AK538" s="75">
        <f>PARAM!$C$26+MAX($G$11-CHOOSE(PARAM!$B$44,MAX(0,AL537*$F$1),0),0)*RATES!$L514/12+$H$11*(PARAM!$D$51/12)*RATES!$N514/100</f>
        <v>159.20833333333334</v>
      </c>
      <c r="AL538" s="16">
        <f t="shared" si="335"/>
        <v>-11495.363682515886</v>
      </c>
      <c r="AM538" s="15">
        <f t="shared" si="310"/>
        <v>22.170849845882874</v>
      </c>
      <c r="AN538" s="75">
        <f>AM538*(1-PARAM!$C$27)*$I$12+(MOD($B538,60)=PARAM!$B$56)*($B538&gt;(60-PARAM!$B$56))*HLOOKUP(($B538+PARAM!$B$56)/12,Loyalty,2)*$F$1*MAX(AP537,0)</f>
        <v>18.557001321003963</v>
      </c>
      <c r="AO538" s="75">
        <f>PARAM!$C$26+MAX($G$12-CHOOSE(PARAM!$B$44,MAX(0,AP537*$F$1),0),0)*RATES!$L514/12+$H$12*(PARAM!$D$51/12)*RATES!$N514/100</f>
        <v>159.20833333333334</v>
      </c>
      <c r="AP538" s="16">
        <f t="shared" si="336"/>
        <v>-11495.363682515886</v>
      </c>
      <c r="AQ538" s="15">
        <f t="shared" si="311"/>
        <v>22.170849845882874</v>
      </c>
      <c r="AR538" s="75">
        <f>AQ538*(1-PARAM!$C$27)*$I$13+(MOD($B538,60)=PARAM!$B$56)*($B538&gt;(60-PARAM!$B$56))*HLOOKUP(($B538+PARAM!$B$56)/12,Loyalty,2)*$F$1*MAX(AT537,0)</f>
        <v>18.557001321003963</v>
      </c>
      <c r="AS538" s="75">
        <f>PARAM!$C$26+MAX($G$13-CHOOSE(PARAM!$B$44,MAX(0,AT537*$F$1),0),0)*RATES!$L514/12+$H$13*(PARAM!$D$51/12)*RATES!$N514/100</f>
        <v>159.20833333333334</v>
      </c>
      <c r="AT538" s="16">
        <f t="shared" si="337"/>
        <v>-11495.363682515886</v>
      </c>
      <c r="AU538" s="15">
        <f t="shared" si="312"/>
        <v>22.170849845882874</v>
      </c>
      <c r="AV538" s="75">
        <f>AU538*(1-PARAM!$C$27)*$I$14+(MOD($B538,60)=PARAM!$B$56)*($B538&gt;(60-PARAM!$B$56))*HLOOKUP(($B538+PARAM!$B$56)/12,Loyalty,2)*$F$1*MAX(AX537,0)</f>
        <v>18.557001321003963</v>
      </c>
      <c r="AW538" s="75">
        <f>PARAM!$C$26+MAX($G$14-CHOOSE(PARAM!$B$44,MAX(0,AX537*$F$1),0),0)*RATES!$L514/12+$H$14*(PARAM!$D$51/12)*RATES!$N514/100</f>
        <v>159.20833333333334</v>
      </c>
      <c r="AX538" s="16">
        <f t="shared" si="338"/>
        <v>-11495.363682515886</v>
      </c>
      <c r="AY538" s="15">
        <f t="shared" si="313"/>
        <v>22.170849845882874</v>
      </c>
      <c r="AZ538" s="75">
        <f>AY538*(1-PARAM!$C$27)*$I$15+(MOD($B538,60)=PARAM!$B$56)*($B538&gt;(60-PARAM!$B$56))*HLOOKUP(($B538+PARAM!$B$56)/12,Loyalty,2)*$F$1*MAX(BB537,0)</f>
        <v>18.557001321003963</v>
      </c>
      <c r="BA538" s="75">
        <f>PARAM!$C$26+MAX($G$15-CHOOSE(PARAM!$B$44,MAX(0,BB537*$F$1),0),0)*RATES!$L514/12+$H$15*(PARAM!$D$51/12)*RATES!$N514/100</f>
        <v>159.20833333333334</v>
      </c>
      <c r="BB538" s="16">
        <f t="shared" si="339"/>
        <v>-11495.363682515886</v>
      </c>
      <c r="BC538" s="15">
        <f t="shared" si="314"/>
        <v>22.170849845882874</v>
      </c>
      <c r="BD538" s="75">
        <f>BC538*(1-PARAM!$C$27)*$I$16+(MOD($B538,60)=PARAM!$B$56)*($B538&gt;(60-PARAM!$B$56))*HLOOKUP(($B538+PARAM!$B$56)/12,Loyalty,2)*$F$1*MAX(BF537,0)</f>
        <v>18.557001321003963</v>
      </c>
      <c r="BE538" s="75">
        <f>PARAM!$C$26+MAX($G$16-CHOOSE(PARAM!$B$44,MAX(0,BF537*$F$1),0),0)*RATES!$L514/12+$H$16*(PARAM!$D$51/12)*RATES!$N514/100</f>
        <v>159.20833333333334</v>
      </c>
      <c r="BF538" s="16">
        <f t="shared" si="340"/>
        <v>-11495.363682515886</v>
      </c>
      <c r="BG538" s="15">
        <f t="shared" si="315"/>
        <v>22.170849845882874</v>
      </c>
      <c r="BH538" s="75">
        <f>BG538*(1-PARAM!$C$27)*$I$17+(MOD($B538,60)=PARAM!$B$56)*($B538&gt;(60-PARAM!$B$56))*HLOOKUP(($B538+PARAM!$B$56)/12,Loyalty,2)*$F$1*MAX(BJ537,0)</f>
        <v>18.557001321003963</v>
      </c>
      <c r="BI538" s="75">
        <f>PARAM!$C$26+MAX($G$17-CHOOSE(PARAM!$B$44,MAX(0,BJ537*$F$1),0),0)*RATES!$L514/12+$H$17*(PARAM!$D$51/12)*RATES!$N514/100</f>
        <v>159.20833333333334</v>
      </c>
      <c r="BJ538" s="16">
        <f t="shared" si="341"/>
        <v>-11495.363682515886</v>
      </c>
      <c r="BK538" s="15">
        <f t="shared" si="316"/>
        <v>22.170849845882874</v>
      </c>
      <c r="BL538" s="75">
        <f>BK538*(1-PARAM!$C$27)*$I$18+(MOD($B538,60)=PARAM!$B$56)*($B538&gt;(60-PARAM!$B$56))*HLOOKUP(($B538+PARAM!$B$56)/12,Loyalty,2)*$F$1*MAX(BN537,0)</f>
        <v>18.557001321003963</v>
      </c>
      <c r="BM538" s="75">
        <f>PARAM!$C$26+MAX($G$18-CHOOSE(PARAM!$B$44,MAX(0,BN537*$F$1),0),0)*RATES!$L514/12+$H$18*(PARAM!$D$51/12)*RATES!$N514/100</f>
        <v>159.20833333333334</v>
      </c>
      <c r="BN538" s="16">
        <f t="shared" si="342"/>
        <v>-11495.363682515886</v>
      </c>
      <c r="BO538" s="15">
        <f t="shared" si="317"/>
        <v>22.170849845882874</v>
      </c>
      <c r="BP538" s="75">
        <f>BO538*(1-PARAM!$C$27)*$I$19+(MOD($B538,60)=PARAM!$B$56)*($B538&gt;(60-PARAM!$B$56))*HLOOKUP(($B538+PARAM!$B$56)/12,Loyalty,2)*$F$1*MAX(BR537,0)</f>
        <v>18.557001321003963</v>
      </c>
      <c r="BQ538" s="75">
        <f>PARAM!$C$26+MAX($G$19-CHOOSE(PARAM!$B$44,MAX(0,BR537*$F$1),0),0)*RATES!$L514/12+$H$19*(PARAM!$D$51/12)*RATES!$N514/100</f>
        <v>159.20833333333334</v>
      </c>
      <c r="BR538" s="16">
        <f t="shared" si="343"/>
        <v>-11495.363682515886</v>
      </c>
      <c r="BS538" s="15">
        <f t="shared" si="318"/>
        <v>22.170849845882874</v>
      </c>
      <c r="BT538" s="75">
        <f>BS538*(1-PARAM!$C$27)*$I$20+(MOD($B538,60)=PARAM!$B$56)*($B538&gt;(60-PARAM!$B$56))*HLOOKUP(($B538+PARAM!$B$56)/12,Loyalty,2)*$F$1*MAX(BV537,0)</f>
        <v>18.557001321003963</v>
      </c>
      <c r="BU538" s="75">
        <f>PARAM!$C$26+MAX($G$20-CHOOSE(PARAM!$B$44,MAX(0,BV537*$F$1),0),0)*RATES!$L514/12+$H$20*(PARAM!$D$51/12)*RATES!$N514/100</f>
        <v>159.20833333333334</v>
      </c>
      <c r="BV538" s="16">
        <f t="shared" si="344"/>
        <v>-11495.363682515886</v>
      </c>
      <c r="BW538" s="15">
        <f t="shared" si="319"/>
        <v>22.170849845882874</v>
      </c>
      <c r="BX538" s="75">
        <f>BW538*(1-PARAM!$C$27)*$I$21+(MOD($B538,60)=PARAM!$B$56)*($B538&gt;(60-PARAM!$B$56))*HLOOKUP(($B538+PARAM!$B$56)/12,Loyalty,2)*$F$1*MAX(BZ537,0)</f>
        <v>18.557001321003963</v>
      </c>
      <c r="BY538" s="75">
        <f>PARAM!$C$26+MAX($G$21-CHOOSE(PARAM!$B$44,MAX(0,BZ537*$F$1),0),0)*RATES!$L514/12+$H$21*(PARAM!$D$51/12)*RATES!$N514/100</f>
        <v>159.20833333333334</v>
      </c>
      <c r="BZ538" s="16">
        <f t="shared" si="345"/>
        <v>-11495.363682515886</v>
      </c>
      <c r="CA538" s="15">
        <f t="shared" si="320"/>
        <v>22.170849845882874</v>
      </c>
      <c r="CB538" s="75">
        <f>CA538*(1-PARAM!$C$27)*$I$22+(MOD($B538,60)=PARAM!$B$56)*($B538&gt;(60-PARAM!$B$56))*HLOOKUP(($B538+PARAM!$B$56)/12,Loyalty,2)*$F$1*MAX(CD537,0)</f>
        <v>18.557001321003963</v>
      </c>
      <c r="CC538" s="75">
        <f>PARAM!$C$26+MAX($G$22-CHOOSE(PARAM!$B$44,MAX(0,CD537*$F$1),0),0)*RATES!$L514/12+$H$22*(PARAM!$D$51/12)*RATES!$N514/100</f>
        <v>159.20833333333334</v>
      </c>
      <c r="CD538" s="16">
        <f t="shared" si="346"/>
        <v>-11495.363682515886</v>
      </c>
      <c r="CE538" s="33">
        <f>IF(0=MOD(B538,12/PARAM!$D$51),1,0)</f>
        <v>1</v>
      </c>
      <c r="CF538" s="15">
        <f t="shared" si="321"/>
        <v>0</v>
      </c>
      <c r="CG538" s="75">
        <f>CF538*(1-PARAM!$C$27)*$R$3+(MOD($B538/12,5)=0)*($B538&gt;60)*HLOOKUP($B538/12,Loyalty,2)*$F$1*MAX(CI537,0)</f>
        <v>0</v>
      </c>
      <c r="CH538" s="75">
        <f>PARAM!$C$26+MAX($P$3-CHOOSE(PARAM!$B$44,MAX(0,CI537*$F$1),0),0)*RATES!$L514/12+$Q$3*(PARAM!$D$51/12)*RATES!$N514/100</f>
        <v>159.20833333333334</v>
      </c>
      <c r="CI538" s="16">
        <f>IF(CI537&gt;0,CI537*PARAM!$C$53,CI537)+CG538-CH538</f>
        <v>-20858.416666666661</v>
      </c>
      <c r="CJ538" s="15">
        <f t="shared" si="347"/>
        <v>0</v>
      </c>
      <c r="CK538" s="75">
        <f>CJ538*(1-PARAM!$C$27)*$R$4+(MOD($B538/12,5)=0)*($B538&gt;60)*HLOOKUP($B538/12,Loyalty,2)*$F$1*MAX(CM537,0)</f>
        <v>0</v>
      </c>
      <c r="CL538" s="75">
        <f>PARAM!$C$26+MAX($P$4-CHOOSE(PARAM!$B$44,MAX(0,CM537*$F$1),0),0)*RATES!$L514/12+$Q$4*(PARAM!$D$51/12)*RATES!$N514/100</f>
        <v>159.20833333333334</v>
      </c>
      <c r="CM538" s="16">
        <f>IF(CM537&gt;0,CM537*PARAM!$C$53,CM537)+CK538-CL538</f>
        <v>-20858.416666666661</v>
      </c>
      <c r="CO538" s="176"/>
    </row>
    <row r="539" spans="1:93" x14ac:dyDescent="0.2">
      <c r="A539" t="b">
        <f t="shared" si="322"/>
        <v>0</v>
      </c>
      <c r="B539" s="33">
        <v>512</v>
      </c>
      <c r="C539" s="15">
        <f t="shared" si="323"/>
        <v>20.081305947392778</v>
      </c>
      <c r="D539" s="75">
        <f>C539*(1-PARAM!$C$27)*$I$3+(MOD($B539,60)=PARAM!$B$56)*($B539&gt;(60-PARAM!$B$56))*HLOOKUP(($B539+PARAM!$B$56)/12,Loyalty,2)*$F$1*MAX(F538,0)</f>
        <v>16.808053077967756</v>
      </c>
      <c r="E539" s="75">
        <f>PARAM!$C$26+MAX($G$3-CHOOSE(PARAM!$B$44,MAX(0,F538*$F$1),0),0)*RATES!$L515/12+$H$3*(PARAM!$D$51/12)*RATES!$N515/100</f>
        <v>159.20833333333334</v>
      </c>
      <c r="F539" s="16">
        <f t="shared" si="324"/>
        <v>-12568.32701548423</v>
      </c>
      <c r="G539" s="15">
        <f t="shared" si="325"/>
        <v>22.035289406060361</v>
      </c>
      <c r="H539" s="75">
        <f>G539*(1-PARAM!$C$27)*$I$4+(MOD($B539,60)=PARAM!$B$56)*($B539&gt;(60-PARAM!$B$56))*HLOOKUP(($B539+PARAM!$B$56)/12,Loyalty,2)*$F$1*MAX(J538,0)</f>
        <v>18.443537232872522</v>
      </c>
      <c r="I539" s="75">
        <f>PARAM!$C$26+MAX($G$4-CHOOSE(PARAM!$B$44,MAX(0,J538*$F$1),0),0)*RATES!$L515/12+$H$4*(PARAM!$D$51/12)*RATES!$N515/100</f>
        <v>159.20833333333334</v>
      </c>
      <c r="J539" s="16">
        <f t="shared" si="326"/>
        <v>-11697.126164051298</v>
      </c>
      <c r="K539" s="15">
        <f t="shared" si="327"/>
        <v>22.170849845882874</v>
      </c>
      <c r="L539" s="75">
        <f>K539*(1-PARAM!$C$27)*$I$5+(MOD($B539,60)=PARAM!$B$56)*($B539&gt;(60-PARAM!$B$56))*HLOOKUP(($B539+PARAM!$B$56)/12,Loyalty,2)*$F$1*MAX(N538,0)</f>
        <v>18.557001321003963</v>
      </c>
      <c r="M539" s="75">
        <f>PARAM!$C$26+MAX($G$5-CHOOSE(PARAM!$B$44,MAX(0,N538*$F$1),0),0)*RATES!$L515/12+$H$5*(PARAM!$D$51/12)*RATES!$N515/100</f>
        <v>159.20833333333334</v>
      </c>
      <c r="N539" s="16">
        <f t="shared" si="328"/>
        <v>-11636.015014528217</v>
      </c>
      <c r="O539" s="15">
        <f t="shared" si="329"/>
        <v>22.170849845882874</v>
      </c>
      <c r="P539" s="75">
        <f>O539*(1-PARAM!$C$27)*$I$6+(MOD($B539,60)=PARAM!$B$56)*($B539&gt;(60-PARAM!$B$56))*HLOOKUP(($B539+PARAM!$B$56)/12,Loyalty,2)*$F$1*MAX(R538,0)</f>
        <v>18.557001321003963</v>
      </c>
      <c r="Q539" s="75">
        <f>PARAM!$C$26+MAX($G$6-CHOOSE(PARAM!$B$44,MAX(0,R538*$F$1),0),0)*RATES!$L515/12+$H$6*(PARAM!$D$51/12)*RATES!$N515/100</f>
        <v>159.20833333333334</v>
      </c>
      <c r="R539" s="16">
        <f t="shared" si="330"/>
        <v>-11636.015014528217</v>
      </c>
      <c r="S539" s="15">
        <f t="shared" ref="S539:S602" si="348">$H$7*$CE539</f>
        <v>22.170849845882874</v>
      </c>
      <c r="T539" s="75">
        <f>S539*(1-PARAM!$C$27)*$I$7+(MOD($B539,60)=PARAM!$B$56)*($B539&gt;(60-PARAM!$B$56))*HLOOKUP(($B539+PARAM!$B$56)/12,Loyalty,2)*$F$1*MAX(V538,0)</f>
        <v>18.557001321003963</v>
      </c>
      <c r="U539" s="75">
        <f>PARAM!$C$26+MAX($G$7-CHOOSE(PARAM!$B$44,MAX(0,V538*$F$1),0),0)*RATES!$L515/12+$H$7*(PARAM!$D$51/12)*RATES!$N515/100</f>
        <v>159.20833333333334</v>
      </c>
      <c r="V539" s="16">
        <f t="shared" si="331"/>
        <v>-11636.015014528217</v>
      </c>
      <c r="W539" s="15">
        <f t="shared" ref="W539:W602" si="349">$H$8*$CE539</f>
        <v>22.170849845882874</v>
      </c>
      <c r="X539" s="75">
        <f>W539*(1-PARAM!$C$27)*$I$8+(MOD($B539,60)=PARAM!$B$56)*($B539&gt;(60-PARAM!$B$56))*HLOOKUP(($B539+PARAM!$B$56)/12,Loyalty,2)*$F$1*MAX(Z538,0)</f>
        <v>18.557001321003963</v>
      </c>
      <c r="Y539" s="75">
        <f>PARAM!$C$26+MAX($G$8-CHOOSE(PARAM!$B$44,MAX(0,Z538*$F$1),0),0)*RATES!$L515/12+$H$8*(PARAM!$D$51/12)*RATES!$N515/100</f>
        <v>159.20833333333334</v>
      </c>
      <c r="Z539" s="16">
        <f t="shared" si="332"/>
        <v>-11636.015014528217</v>
      </c>
      <c r="AA539" s="15">
        <f t="shared" ref="AA539:AA602" si="350">$H$9*$CE539</f>
        <v>22.170849845882874</v>
      </c>
      <c r="AB539" s="75">
        <f>AA539*(1-PARAM!$C$27)*$I$9+(MOD($B539,60)=PARAM!$B$56)*($B539&gt;(60-PARAM!$B$56))*HLOOKUP(($B539+PARAM!$B$56)/12,Loyalty,2)*$F$1*MAX(AD538,0)</f>
        <v>18.557001321003963</v>
      </c>
      <c r="AC539" s="75">
        <f>PARAM!$C$26+MAX($G$9-CHOOSE(PARAM!$B$44,MAX(0,AD538*$F$1),0),0)*RATES!$L515/12+$H$9*(PARAM!$D$51/12)*RATES!$N515/100</f>
        <v>159.20833333333334</v>
      </c>
      <c r="AD539" s="16">
        <f t="shared" si="333"/>
        <v>-11636.015014528217</v>
      </c>
      <c r="AE539" s="15">
        <f t="shared" ref="AE539:AE602" si="351">$H$10*$CE539</f>
        <v>22.170849845882874</v>
      </c>
      <c r="AF539" s="75">
        <f>AE539*(1-PARAM!$C$27)*$I$10+(MOD($B539,60)=PARAM!$B$56)*($B539&gt;(60-PARAM!$B$56))*HLOOKUP(($B539+PARAM!$B$56)/12,Loyalty,2)*$F$1*MAX(AH538,0)</f>
        <v>18.557001321003963</v>
      </c>
      <c r="AG539" s="75">
        <f>PARAM!$C$26+MAX($G$10-CHOOSE(PARAM!$B$44,MAX(0,AH538*$F$1),0),0)*RATES!$L515/12+$H$10*(PARAM!$D$51/12)*RATES!$N515/100</f>
        <v>159.20833333333334</v>
      </c>
      <c r="AH539" s="16">
        <f t="shared" si="334"/>
        <v>-11636.015014528217</v>
      </c>
      <c r="AI539" s="15">
        <f t="shared" ref="AI539:AI602" si="352">$H$11*$CE539</f>
        <v>22.170849845882874</v>
      </c>
      <c r="AJ539" s="75">
        <f>AI539*(1-PARAM!$C$27)*$I$11+(MOD($B539,60)=PARAM!$B$56)*($B539&gt;(60-PARAM!$B$56))*HLOOKUP(($B539+PARAM!$B$56)/12,Loyalty,2)*$F$1*MAX(AL538,0)</f>
        <v>18.557001321003963</v>
      </c>
      <c r="AK539" s="75">
        <f>PARAM!$C$26+MAX($G$11-CHOOSE(PARAM!$B$44,MAX(0,AL538*$F$1),0),0)*RATES!$L515/12+$H$11*(PARAM!$D$51/12)*RATES!$N515/100</f>
        <v>159.20833333333334</v>
      </c>
      <c r="AL539" s="16">
        <f t="shared" si="335"/>
        <v>-11636.015014528217</v>
      </c>
      <c r="AM539" s="15">
        <f t="shared" ref="AM539:AM602" si="353">$H$12*$CE539</f>
        <v>22.170849845882874</v>
      </c>
      <c r="AN539" s="75">
        <f>AM539*(1-PARAM!$C$27)*$I$12+(MOD($B539,60)=PARAM!$B$56)*($B539&gt;(60-PARAM!$B$56))*HLOOKUP(($B539+PARAM!$B$56)/12,Loyalty,2)*$F$1*MAX(AP538,0)</f>
        <v>18.557001321003963</v>
      </c>
      <c r="AO539" s="75">
        <f>PARAM!$C$26+MAX($G$12-CHOOSE(PARAM!$B$44,MAX(0,AP538*$F$1),0),0)*RATES!$L515/12+$H$12*(PARAM!$D$51/12)*RATES!$N515/100</f>
        <v>159.20833333333334</v>
      </c>
      <c r="AP539" s="16">
        <f t="shared" si="336"/>
        <v>-11636.015014528217</v>
      </c>
      <c r="AQ539" s="15">
        <f t="shared" ref="AQ539:AQ602" si="354">$H$13*$CE539</f>
        <v>22.170849845882874</v>
      </c>
      <c r="AR539" s="75">
        <f>AQ539*(1-PARAM!$C$27)*$I$13+(MOD($B539,60)=PARAM!$B$56)*($B539&gt;(60-PARAM!$B$56))*HLOOKUP(($B539+PARAM!$B$56)/12,Loyalty,2)*$F$1*MAX(AT538,0)</f>
        <v>18.557001321003963</v>
      </c>
      <c r="AS539" s="75">
        <f>PARAM!$C$26+MAX($G$13-CHOOSE(PARAM!$B$44,MAX(0,AT538*$F$1),0),0)*RATES!$L515/12+$H$13*(PARAM!$D$51/12)*RATES!$N515/100</f>
        <v>159.20833333333334</v>
      </c>
      <c r="AT539" s="16">
        <f t="shared" si="337"/>
        <v>-11636.015014528217</v>
      </c>
      <c r="AU539" s="15">
        <f t="shared" ref="AU539:AU602" si="355">$H$14*$CE539</f>
        <v>22.170849845882874</v>
      </c>
      <c r="AV539" s="75">
        <f>AU539*(1-PARAM!$C$27)*$I$14+(MOD($B539,60)=PARAM!$B$56)*($B539&gt;(60-PARAM!$B$56))*HLOOKUP(($B539+PARAM!$B$56)/12,Loyalty,2)*$F$1*MAX(AX538,0)</f>
        <v>18.557001321003963</v>
      </c>
      <c r="AW539" s="75">
        <f>PARAM!$C$26+MAX($G$14-CHOOSE(PARAM!$B$44,MAX(0,AX538*$F$1),0),0)*RATES!$L515/12+$H$14*(PARAM!$D$51/12)*RATES!$N515/100</f>
        <v>159.20833333333334</v>
      </c>
      <c r="AX539" s="16">
        <f t="shared" si="338"/>
        <v>-11636.015014528217</v>
      </c>
      <c r="AY539" s="15">
        <f t="shared" ref="AY539:AY602" si="356">$H$15*$CE539</f>
        <v>22.170849845882874</v>
      </c>
      <c r="AZ539" s="75">
        <f>AY539*(1-PARAM!$C$27)*$I$15+(MOD($B539,60)=PARAM!$B$56)*($B539&gt;(60-PARAM!$B$56))*HLOOKUP(($B539+PARAM!$B$56)/12,Loyalty,2)*$F$1*MAX(BB538,0)</f>
        <v>18.557001321003963</v>
      </c>
      <c r="BA539" s="75">
        <f>PARAM!$C$26+MAX($G$15-CHOOSE(PARAM!$B$44,MAX(0,BB538*$F$1),0),0)*RATES!$L515/12+$H$15*(PARAM!$D$51/12)*RATES!$N515/100</f>
        <v>159.20833333333334</v>
      </c>
      <c r="BB539" s="16">
        <f t="shared" si="339"/>
        <v>-11636.015014528217</v>
      </c>
      <c r="BC539" s="15">
        <f t="shared" ref="BC539:BC602" si="357">$H$16*$CE539</f>
        <v>22.170849845882874</v>
      </c>
      <c r="BD539" s="75">
        <f>BC539*(1-PARAM!$C$27)*$I$16+(MOD($B539,60)=PARAM!$B$56)*($B539&gt;(60-PARAM!$B$56))*HLOOKUP(($B539+PARAM!$B$56)/12,Loyalty,2)*$F$1*MAX(BF538,0)</f>
        <v>18.557001321003963</v>
      </c>
      <c r="BE539" s="75">
        <f>PARAM!$C$26+MAX($G$16-CHOOSE(PARAM!$B$44,MAX(0,BF538*$F$1),0),0)*RATES!$L515/12+$H$16*(PARAM!$D$51/12)*RATES!$N515/100</f>
        <v>159.20833333333334</v>
      </c>
      <c r="BF539" s="16">
        <f t="shared" si="340"/>
        <v>-11636.015014528217</v>
      </c>
      <c r="BG539" s="15">
        <f t="shared" ref="BG539:BG602" si="358">$H$17*$CE539</f>
        <v>22.170849845882874</v>
      </c>
      <c r="BH539" s="75">
        <f>BG539*(1-PARAM!$C$27)*$I$17+(MOD($B539,60)=PARAM!$B$56)*($B539&gt;(60-PARAM!$B$56))*HLOOKUP(($B539+PARAM!$B$56)/12,Loyalty,2)*$F$1*MAX(BJ538,0)</f>
        <v>18.557001321003963</v>
      </c>
      <c r="BI539" s="75">
        <f>PARAM!$C$26+MAX($G$17-CHOOSE(PARAM!$B$44,MAX(0,BJ538*$F$1),0),0)*RATES!$L515/12+$H$17*(PARAM!$D$51/12)*RATES!$N515/100</f>
        <v>159.20833333333334</v>
      </c>
      <c r="BJ539" s="16">
        <f t="shared" si="341"/>
        <v>-11636.015014528217</v>
      </c>
      <c r="BK539" s="15">
        <f t="shared" ref="BK539:BK602" si="359">$H$18*$CE539</f>
        <v>22.170849845882874</v>
      </c>
      <c r="BL539" s="75">
        <f>BK539*(1-PARAM!$C$27)*$I$18+(MOD($B539,60)=PARAM!$B$56)*($B539&gt;(60-PARAM!$B$56))*HLOOKUP(($B539+PARAM!$B$56)/12,Loyalty,2)*$F$1*MAX(BN538,0)</f>
        <v>18.557001321003963</v>
      </c>
      <c r="BM539" s="75">
        <f>PARAM!$C$26+MAX($G$18-CHOOSE(PARAM!$B$44,MAX(0,BN538*$F$1),0),0)*RATES!$L515/12+$H$18*(PARAM!$D$51/12)*RATES!$N515/100</f>
        <v>159.20833333333334</v>
      </c>
      <c r="BN539" s="16">
        <f t="shared" si="342"/>
        <v>-11636.015014528217</v>
      </c>
      <c r="BO539" s="15">
        <f t="shared" ref="BO539:BO602" si="360">$H$19*$CE539</f>
        <v>22.170849845882874</v>
      </c>
      <c r="BP539" s="75">
        <f>BO539*(1-PARAM!$C$27)*$I$19+(MOD($B539,60)=PARAM!$B$56)*($B539&gt;(60-PARAM!$B$56))*HLOOKUP(($B539+PARAM!$B$56)/12,Loyalty,2)*$F$1*MAX(BR538,0)</f>
        <v>18.557001321003963</v>
      </c>
      <c r="BQ539" s="75">
        <f>PARAM!$C$26+MAX($G$19-CHOOSE(PARAM!$B$44,MAX(0,BR538*$F$1),0),0)*RATES!$L515/12+$H$19*(PARAM!$D$51/12)*RATES!$N515/100</f>
        <v>159.20833333333334</v>
      </c>
      <c r="BR539" s="16">
        <f t="shared" si="343"/>
        <v>-11636.015014528217</v>
      </c>
      <c r="BS539" s="15">
        <f t="shared" ref="BS539:BS602" si="361">$H$20*$CE539</f>
        <v>22.170849845882874</v>
      </c>
      <c r="BT539" s="75">
        <f>BS539*(1-PARAM!$C$27)*$I$20+(MOD($B539,60)=PARAM!$B$56)*($B539&gt;(60-PARAM!$B$56))*HLOOKUP(($B539+PARAM!$B$56)/12,Loyalty,2)*$F$1*MAX(BV538,0)</f>
        <v>18.557001321003963</v>
      </c>
      <c r="BU539" s="75">
        <f>PARAM!$C$26+MAX($G$20-CHOOSE(PARAM!$B$44,MAX(0,BV538*$F$1),0),0)*RATES!$L515/12+$H$20*(PARAM!$D$51/12)*RATES!$N515/100</f>
        <v>159.20833333333334</v>
      </c>
      <c r="BV539" s="16">
        <f t="shared" si="344"/>
        <v>-11636.015014528217</v>
      </c>
      <c r="BW539" s="15">
        <f t="shared" ref="BW539:BW602" si="362">$H$21*$CE539</f>
        <v>22.170849845882874</v>
      </c>
      <c r="BX539" s="75">
        <f>BW539*(1-PARAM!$C$27)*$I$21+(MOD($B539,60)=PARAM!$B$56)*($B539&gt;(60-PARAM!$B$56))*HLOOKUP(($B539+PARAM!$B$56)/12,Loyalty,2)*$F$1*MAX(BZ538,0)</f>
        <v>18.557001321003963</v>
      </c>
      <c r="BY539" s="75">
        <f>PARAM!$C$26+MAX($G$21-CHOOSE(PARAM!$B$44,MAX(0,BZ538*$F$1),0),0)*RATES!$L515/12+$H$21*(PARAM!$D$51/12)*RATES!$N515/100</f>
        <v>159.20833333333334</v>
      </c>
      <c r="BZ539" s="16">
        <f t="shared" si="345"/>
        <v>-11636.015014528217</v>
      </c>
      <c r="CA539" s="15">
        <f t="shared" ref="CA539:CA602" si="363">$H$22*$CE539</f>
        <v>22.170849845882874</v>
      </c>
      <c r="CB539" s="75">
        <f>CA539*(1-PARAM!$C$27)*$I$22+(MOD($B539,60)=PARAM!$B$56)*($B539&gt;(60-PARAM!$B$56))*HLOOKUP(($B539+PARAM!$B$56)/12,Loyalty,2)*$F$1*MAX(CD538,0)</f>
        <v>18.557001321003963</v>
      </c>
      <c r="CC539" s="75">
        <f>PARAM!$C$26+MAX($G$22-CHOOSE(PARAM!$B$44,MAX(0,CD538*$F$1),0),0)*RATES!$L515/12+$H$22*(PARAM!$D$51/12)*RATES!$N515/100</f>
        <v>159.20833333333334</v>
      </c>
      <c r="CD539" s="16">
        <f t="shared" si="346"/>
        <v>-11636.015014528217</v>
      </c>
      <c r="CE539" s="33">
        <f>IF(0=MOD(B539,12/PARAM!$D$51),1,0)</f>
        <v>1</v>
      </c>
      <c r="CF539" s="15">
        <f t="shared" ref="CF539:CF602" si="364">$Q$3*CE539</f>
        <v>0</v>
      </c>
      <c r="CG539" s="75">
        <f>CF539*(1-PARAM!$C$27)*$R$3+(MOD($B539/12,5)=0)*($B539&gt;60)*HLOOKUP($B539/12,Loyalty,2)*$F$1*MAX(CI538,0)</f>
        <v>0</v>
      </c>
      <c r="CH539" s="75">
        <f>PARAM!$C$26+MAX($P$3-CHOOSE(PARAM!$B$44,MAX(0,CI538*$F$1),0),0)*RATES!$L515/12+$Q$3*(PARAM!$D$51/12)*RATES!$N515/100</f>
        <v>159.20833333333334</v>
      </c>
      <c r="CI539" s="16">
        <f>IF(CI538&gt;0,CI538*PARAM!$C$53,CI538)+CG539-CH539</f>
        <v>-21017.624999999993</v>
      </c>
      <c r="CJ539" s="15">
        <f t="shared" si="347"/>
        <v>0</v>
      </c>
      <c r="CK539" s="75">
        <f>CJ539*(1-PARAM!$C$27)*$R$4+(MOD($B539/12,5)=0)*($B539&gt;60)*HLOOKUP($B539/12,Loyalty,2)*$F$1*MAX(CM538,0)</f>
        <v>0</v>
      </c>
      <c r="CL539" s="75">
        <f>PARAM!$C$26+MAX($P$4-CHOOSE(PARAM!$B$44,MAX(0,CM538*$F$1),0),0)*RATES!$L515/12+$Q$4*(PARAM!$D$51/12)*RATES!$N515/100</f>
        <v>159.20833333333334</v>
      </c>
      <c r="CM539" s="16">
        <f>IF(CM538&gt;0,CM538*PARAM!$C$53,CM538)+CK539-CL539</f>
        <v>-21017.624999999993</v>
      </c>
      <c r="CO539" s="176"/>
    </row>
    <row r="540" spans="1:93" x14ac:dyDescent="0.2">
      <c r="A540" t="b">
        <f t="shared" ref="A540:A603" si="365">F540&gt;0</f>
        <v>0</v>
      </c>
      <c r="B540" s="33">
        <v>513</v>
      </c>
      <c r="C540" s="15">
        <f t="shared" ref="C540:C603" si="366">$H$3*$CE540</f>
        <v>20.081305947392778</v>
      </c>
      <c r="D540" s="75">
        <f>C540*(1-PARAM!$C$27)*$I$3+(MOD($B540,60)=PARAM!$B$56)*($B540&gt;(60-PARAM!$B$56))*HLOOKUP(($B540+PARAM!$B$56)/12,Loyalty,2)*$F$1*MAX(F539,0)</f>
        <v>16.808053077967756</v>
      </c>
      <c r="E540" s="75">
        <f>PARAM!$C$26+MAX($G$3-CHOOSE(PARAM!$B$44,MAX(0,F539*$F$1),0),0)*RATES!$L516/12+$H$3*(PARAM!$D$51/12)*RATES!$N516/100</f>
        <v>159.20833333333334</v>
      </c>
      <c r="F540" s="16">
        <f t="shared" ref="F540:F603" si="367">IF(F539&gt;0,F539*$F$1,F539)+D540-E540</f>
        <v>-12710.727295739596</v>
      </c>
      <c r="G540" s="15">
        <f t="shared" ref="G540:G603" si="368">$H$4*$CE540</f>
        <v>22.035289406060361</v>
      </c>
      <c r="H540" s="75">
        <f>G540*(1-PARAM!$C$27)*$I$4+(MOD($B540,60)=PARAM!$B$56)*($B540&gt;(60-PARAM!$B$56))*HLOOKUP(($B540+PARAM!$B$56)/12,Loyalty,2)*$F$1*MAX(J539,0)</f>
        <v>18.443537232872522</v>
      </c>
      <c r="I540" s="75">
        <f>PARAM!$C$26+MAX($G$4-CHOOSE(PARAM!$B$44,MAX(0,J539*$F$1),0),0)*RATES!$L516/12+$H$4*(PARAM!$D$51/12)*RATES!$N516/100</f>
        <v>159.20833333333334</v>
      </c>
      <c r="J540" s="16">
        <f t="shared" ref="J540:J603" si="369">IF(J539&gt;0,J539*$F$1,J539)+H540-I540</f>
        <v>-11837.890960151761</v>
      </c>
      <c r="K540" s="15">
        <f t="shared" ref="K540:K603" si="370">$H$5*$CE540</f>
        <v>22.170849845882874</v>
      </c>
      <c r="L540" s="75">
        <f>K540*(1-PARAM!$C$27)*$I$5+(MOD($B540,60)=PARAM!$B$56)*($B540&gt;(60-PARAM!$B$56))*HLOOKUP(($B540+PARAM!$B$56)/12,Loyalty,2)*$F$1*MAX(N539,0)</f>
        <v>18.557001321003963</v>
      </c>
      <c r="M540" s="75">
        <f>PARAM!$C$26+MAX($G$5-CHOOSE(PARAM!$B$44,MAX(0,N539*$F$1),0),0)*RATES!$L516/12+$H$5*(PARAM!$D$51/12)*RATES!$N516/100</f>
        <v>159.20833333333334</v>
      </c>
      <c r="N540" s="16">
        <f t="shared" ref="N540:N603" si="371">IF(N539&gt;0,N539*$F$1,N539)+L540-M540</f>
        <v>-11776.666346540547</v>
      </c>
      <c r="O540" s="15">
        <f t="shared" ref="O540:O603" si="372">$H$6*$CE540</f>
        <v>22.170849845882874</v>
      </c>
      <c r="P540" s="75">
        <f>O540*(1-PARAM!$C$27)*$I$6+(MOD($B540,60)=PARAM!$B$56)*($B540&gt;(60-PARAM!$B$56))*HLOOKUP(($B540+PARAM!$B$56)/12,Loyalty,2)*$F$1*MAX(R539,0)</f>
        <v>18.557001321003963</v>
      </c>
      <c r="Q540" s="75">
        <f>PARAM!$C$26+MAX($G$6-CHOOSE(PARAM!$B$44,MAX(0,R539*$F$1),0),0)*RATES!$L516/12+$H$6*(PARAM!$D$51/12)*RATES!$N516/100</f>
        <v>159.20833333333334</v>
      </c>
      <c r="R540" s="16">
        <f t="shared" ref="R540:R603" si="373">IF(R539&gt;0,R539*$F$1,R539)+P540-Q540</f>
        <v>-11776.666346540547</v>
      </c>
      <c r="S540" s="15">
        <f t="shared" si="348"/>
        <v>22.170849845882874</v>
      </c>
      <c r="T540" s="75">
        <f>S540*(1-PARAM!$C$27)*$I$7+(MOD($B540,60)=PARAM!$B$56)*($B540&gt;(60-PARAM!$B$56))*HLOOKUP(($B540+PARAM!$B$56)/12,Loyalty,2)*$F$1*MAX(V539,0)</f>
        <v>18.557001321003963</v>
      </c>
      <c r="U540" s="75">
        <f>PARAM!$C$26+MAX($G$7-CHOOSE(PARAM!$B$44,MAX(0,V539*$F$1),0),0)*RATES!$L516/12+$H$7*(PARAM!$D$51/12)*RATES!$N516/100</f>
        <v>159.20833333333334</v>
      </c>
      <c r="V540" s="16">
        <f t="shared" ref="V540:V603" si="374">IF(V539&gt;0,V539*$F$1,V539)+T540-U540</f>
        <v>-11776.666346540547</v>
      </c>
      <c r="W540" s="15">
        <f t="shared" si="349"/>
        <v>22.170849845882874</v>
      </c>
      <c r="X540" s="75">
        <f>W540*(1-PARAM!$C$27)*$I$8+(MOD($B540,60)=PARAM!$B$56)*($B540&gt;(60-PARAM!$B$56))*HLOOKUP(($B540+PARAM!$B$56)/12,Loyalty,2)*$F$1*MAX(Z539,0)</f>
        <v>18.557001321003963</v>
      </c>
      <c r="Y540" s="75">
        <f>PARAM!$C$26+MAX($G$8-CHOOSE(PARAM!$B$44,MAX(0,Z539*$F$1),0),0)*RATES!$L516/12+$H$8*(PARAM!$D$51/12)*RATES!$N516/100</f>
        <v>159.20833333333334</v>
      </c>
      <c r="Z540" s="16">
        <f t="shared" ref="Z540:Z603" si="375">IF(Z539&gt;0,Z539*$F$1,Z539)+X540-Y540</f>
        <v>-11776.666346540547</v>
      </c>
      <c r="AA540" s="15">
        <f t="shared" si="350"/>
        <v>22.170849845882874</v>
      </c>
      <c r="AB540" s="75">
        <f>AA540*(1-PARAM!$C$27)*$I$9+(MOD($B540,60)=PARAM!$B$56)*($B540&gt;(60-PARAM!$B$56))*HLOOKUP(($B540+PARAM!$B$56)/12,Loyalty,2)*$F$1*MAX(AD539,0)</f>
        <v>18.557001321003963</v>
      </c>
      <c r="AC540" s="75">
        <f>PARAM!$C$26+MAX($G$9-CHOOSE(PARAM!$B$44,MAX(0,AD539*$F$1),0),0)*RATES!$L516/12+$H$9*(PARAM!$D$51/12)*RATES!$N516/100</f>
        <v>159.20833333333334</v>
      </c>
      <c r="AD540" s="16">
        <f t="shared" ref="AD540:AD603" si="376">IF(AD539&gt;0,AD539*$F$1,AD539)+AB540-AC540</f>
        <v>-11776.666346540547</v>
      </c>
      <c r="AE540" s="15">
        <f t="shared" si="351"/>
        <v>22.170849845882874</v>
      </c>
      <c r="AF540" s="75">
        <f>AE540*(1-PARAM!$C$27)*$I$10+(MOD($B540,60)=PARAM!$B$56)*($B540&gt;(60-PARAM!$B$56))*HLOOKUP(($B540+PARAM!$B$56)/12,Loyalty,2)*$F$1*MAX(AH539,0)</f>
        <v>18.557001321003963</v>
      </c>
      <c r="AG540" s="75">
        <f>PARAM!$C$26+MAX($G$10-CHOOSE(PARAM!$B$44,MAX(0,AH539*$F$1),0),0)*RATES!$L516/12+$H$10*(PARAM!$D$51/12)*RATES!$N516/100</f>
        <v>159.20833333333334</v>
      </c>
      <c r="AH540" s="16">
        <f t="shared" ref="AH540:AH603" si="377">IF(AH539&gt;0,AH539*$F$1,AH539)+AF540-AG540</f>
        <v>-11776.666346540547</v>
      </c>
      <c r="AI540" s="15">
        <f t="shared" si="352"/>
        <v>22.170849845882874</v>
      </c>
      <c r="AJ540" s="75">
        <f>AI540*(1-PARAM!$C$27)*$I$11+(MOD($B540,60)=PARAM!$B$56)*($B540&gt;(60-PARAM!$B$56))*HLOOKUP(($B540+PARAM!$B$56)/12,Loyalty,2)*$F$1*MAX(AL539,0)</f>
        <v>18.557001321003963</v>
      </c>
      <c r="AK540" s="75">
        <f>PARAM!$C$26+MAX($G$11-CHOOSE(PARAM!$B$44,MAX(0,AL539*$F$1),0),0)*RATES!$L516/12+$H$11*(PARAM!$D$51/12)*RATES!$N516/100</f>
        <v>159.20833333333334</v>
      </c>
      <c r="AL540" s="16">
        <f t="shared" ref="AL540:AL603" si="378">IF(AL539&gt;0,AL539*$F$1,AL539)+AJ540-AK540</f>
        <v>-11776.666346540547</v>
      </c>
      <c r="AM540" s="15">
        <f t="shared" si="353"/>
        <v>22.170849845882874</v>
      </c>
      <c r="AN540" s="75">
        <f>AM540*(1-PARAM!$C$27)*$I$12+(MOD($B540,60)=PARAM!$B$56)*($B540&gt;(60-PARAM!$B$56))*HLOOKUP(($B540+PARAM!$B$56)/12,Loyalty,2)*$F$1*MAX(AP539,0)</f>
        <v>18.557001321003963</v>
      </c>
      <c r="AO540" s="75">
        <f>PARAM!$C$26+MAX($G$12-CHOOSE(PARAM!$B$44,MAX(0,AP539*$F$1),0),0)*RATES!$L516/12+$H$12*(PARAM!$D$51/12)*RATES!$N516/100</f>
        <v>159.20833333333334</v>
      </c>
      <c r="AP540" s="16">
        <f t="shared" ref="AP540:AP603" si="379">IF(AP539&gt;0,AP539*$F$1,AP539)+AN540-AO540</f>
        <v>-11776.666346540547</v>
      </c>
      <c r="AQ540" s="15">
        <f t="shared" si="354"/>
        <v>22.170849845882874</v>
      </c>
      <c r="AR540" s="75">
        <f>AQ540*(1-PARAM!$C$27)*$I$13+(MOD($B540,60)=PARAM!$B$56)*($B540&gt;(60-PARAM!$B$56))*HLOOKUP(($B540+PARAM!$B$56)/12,Loyalty,2)*$F$1*MAX(AT539,0)</f>
        <v>18.557001321003963</v>
      </c>
      <c r="AS540" s="75">
        <f>PARAM!$C$26+MAX($G$13-CHOOSE(PARAM!$B$44,MAX(0,AT539*$F$1),0),0)*RATES!$L516/12+$H$13*(PARAM!$D$51/12)*RATES!$N516/100</f>
        <v>159.20833333333334</v>
      </c>
      <c r="AT540" s="16">
        <f t="shared" ref="AT540:AT603" si="380">IF(AT539&gt;0,AT539*$F$1,AT539)+AR540-AS540</f>
        <v>-11776.666346540547</v>
      </c>
      <c r="AU540" s="15">
        <f t="shared" si="355"/>
        <v>22.170849845882874</v>
      </c>
      <c r="AV540" s="75">
        <f>AU540*(1-PARAM!$C$27)*$I$14+(MOD($B540,60)=PARAM!$B$56)*($B540&gt;(60-PARAM!$B$56))*HLOOKUP(($B540+PARAM!$B$56)/12,Loyalty,2)*$F$1*MAX(AX539,0)</f>
        <v>18.557001321003963</v>
      </c>
      <c r="AW540" s="75">
        <f>PARAM!$C$26+MAX($G$14-CHOOSE(PARAM!$B$44,MAX(0,AX539*$F$1),0),0)*RATES!$L516/12+$H$14*(PARAM!$D$51/12)*RATES!$N516/100</f>
        <v>159.20833333333334</v>
      </c>
      <c r="AX540" s="16">
        <f t="shared" ref="AX540:AX603" si="381">IF(AX539&gt;0,AX539*$F$1,AX539)+AV540-AW540</f>
        <v>-11776.666346540547</v>
      </c>
      <c r="AY540" s="15">
        <f t="shared" si="356"/>
        <v>22.170849845882874</v>
      </c>
      <c r="AZ540" s="75">
        <f>AY540*(1-PARAM!$C$27)*$I$15+(MOD($B540,60)=PARAM!$B$56)*($B540&gt;(60-PARAM!$B$56))*HLOOKUP(($B540+PARAM!$B$56)/12,Loyalty,2)*$F$1*MAX(BB539,0)</f>
        <v>18.557001321003963</v>
      </c>
      <c r="BA540" s="75">
        <f>PARAM!$C$26+MAX($G$15-CHOOSE(PARAM!$B$44,MAX(0,BB539*$F$1),0),0)*RATES!$L516/12+$H$15*(PARAM!$D$51/12)*RATES!$N516/100</f>
        <v>159.20833333333334</v>
      </c>
      <c r="BB540" s="16">
        <f t="shared" ref="BB540:BB603" si="382">IF(BB539&gt;0,BB539*$F$1,BB539)+AZ540-BA540</f>
        <v>-11776.666346540547</v>
      </c>
      <c r="BC540" s="15">
        <f t="shared" si="357"/>
        <v>22.170849845882874</v>
      </c>
      <c r="BD540" s="75">
        <f>BC540*(1-PARAM!$C$27)*$I$16+(MOD($B540,60)=PARAM!$B$56)*($B540&gt;(60-PARAM!$B$56))*HLOOKUP(($B540+PARAM!$B$56)/12,Loyalty,2)*$F$1*MAX(BF539,0)</f>
        <v>18.557001321003963</v>
      </c>
      <c r="BE540" s="75">
        <f>PARAM!$C$26+MAX($G$16-CHOOSE(PARAM!$B$44,MAX(0,BF539*$F$1),0),0)*RATES!$L516/12+$H$16*(PARAM!$D$51/12)*RATES!$N516/100</f>
        <v>159.20833333333334</v>
      </c>
      <c r="BF540" s="16">
        <f t="shared" ref="BF540:BF603" si="383">IF(BF539&gt;0,BF539*$F$1,BF539)+BD540-BE540</f>
        <v>-11776.666346540547</v>
      </c>
      <c r="BG540" s="15">
        <f t="shared" si="358"/>
        <v>22.170849845882874</v>
      </c>
      <c r="BH540" s="75">
        <f>BG540*(1-PARAM!$C$27)*$I$17+(MOD($B540,60)=PARAM!$B$56)*($B540&gt;(60-PARAM!$B$56))*HLOOKUP(($B540+PARAM!$B$56)/12,Loyalty,2)*$F$1*MAX(BJ539,0)</f>
        <v>18.557001321003963</v>
      </c>
      <c r="BI540" s="75">
        <f>PARAM!$C$26+MAX($G$17-CHOOSE(PARAM!$B$44,MAX(0,BJ539*$F$1),0),0)*RATES!$L516/12+$H$17*(PARAM!$D$51/12)*RATES!$N516/100</f>
        <v>159.20833333333334</v>
      </c>
      <c r="BJ540" s="16">
        <f t="shared" ref="BJ540:BJ603" si="384">IF(BJ539&gt;0,BJ539*$F$1,BJ539)+BH540-BI540</f>
        <v>-11776.666346540547</v>
      </c>
      <c r="BK540" s="15">
        <f t="shared" si="359"/>
        <v>22.170849845882874</v>
      </c>
      <c r="BL540" s="75">
        <f>BK540*(1-PARAM!$C$27)*$I$18+(MOD($B540,60)=PARAM!$B$56)*($B540&gt;(60-PARAM!$B$56))*HLOOKUP(($B540+PARAM!$B$56)/12,Loyalty,2)*$F$1*MAX(BN539,0)</f>
        <v>18.557001321003963</v>
      </c>
      <c r="BM540" s="75">
        <f>PARAM!$C$26+MAX($G$18-CHOOSE(PARAM!$B$44,MAX(0,BN539*$F$1),0),0)*RATES!$L516/12+$H$18*(PARAM!$D$51/12)*RATES!$N516/100</f>
        <v>159.20833333333334</v>
      </c>
      <c r="BN540" s="16">
        <f t="shared" ref="BN540:BN603" si="385">IF(BN539&gt;0,BN539*$F$1,BN539)+BL540-BM540</f>
        <v>-11776.666346540547</v>
      </c>
      <c r="BO540" s="15">
        <f t="shared" si="360"/>
        <v>22.170849845882874</v>
      </c>
      <c r="BP540" s="75">
        <f>BO540*(1-PARAM!$C$27)*$I$19+(MOD($B540,60)=PARAM!$B$56)*($B540&gt;(60-PARAM!$B$56))*HLOOKUP(($B540+PARAM!$B$56)/12,Loyalty,2)*$F$1*MAX(BR539,0)</f>
        <v>18.557001321003963</v>
      </c>
      <c r="BQ540" s="75">
        <f>PARAM!$C$26+MAX($G$19-CHOOSE(PARAM!$B$44,MAX(0,BR539*$F$1),0),0)*RATES!$L516/12+$H$19*(PARAM!$D$51/12)*RATES!$N516/100</f>
        <v>159.20833333333334</v>
      </c>
      <c r="BR540" s="16">
        <f t="shared" ref="BR540:BR603" si="386">IF(BR539&gt;0,BR539*$F$1,BR539)+BP540-BQ540</f>
        <v>-11776.666346540547</v>
      </c>
      <c r="BS540" s="15">
        <f t="shared" si="361"/>
        <v>22.170849845882874</v>
      </c>
      <c r="BT540" s="75">
        <f>BS540*(1-PARAM!$C$27)*$I$20+(MOD($B540,60)=PARAM!$B$56)*($B540&gt;(60-PARAM!$B$56))*HLOOKUP(($B540+PARAM!$B$56)/12,Loyalty,2)*$F$1*MAX(BV539,0)</f>
        <v>18.557001321003963</v>
      </c>
      <c r="BU540" s="75">
        <f>PARAM!$C$26+MAX($G$20-CHOOSE(PARAM!$B$44,MAX(0,BV539*$F$1),0),0)*RATES!$L516/12+$H$20*(PARAM!$D$51/12)*RATES!$N516/100</f>
        <v>159.20833333333334</v>
      </c>
      <c r="BV540" s="16">
        <f t="shared" ref="BV540:BV603" si="387">IF(BV539&gt;0,BV539*$F$1,BV539)+BT540-BU540</f>
        <v>-11776.666346540547</v>
      </c>
      <c r="BW540" s="15">
        <f t="shared" si="362"/>
        <v>22.170849845882874</v>
      </c>
      <c r="BX540" s="75">
        <f>BW540*(1-PARAM!$C$27)*$I$21+(MOD($B540,60)=PARAM!$B$56)*($B540&gt;(60-PARAM!$B$56))*HLOOKUP(($B540+PARAM!$B$56)/12,Loyalty,2)*$F$1*MAX(BZ539,0)</f>
        <v>18.557001321003963</v>
      </c>
      <c r="BY540" s="75">
        <f>PARAM!$C$26+MAX($G$21-CHOOSE(PARAM!$B$44,MAX(0,BZ539*$F$1),0),0)*RATES!$L516/12+$H$21*(PARAM!$D$51/12)*RATES!$N516/100</f>
        <v>159.20833333333334</v>
      </c>
      <c r="BZ540" s="16">
        <f t="shared" ref="BZ540:BZ603" si="388">IF(BZ539&gt;0,BZ539*$F$1,BZ539)+BX540-BY540</f>
        <v>-11776.666346540547</v>
      </c>
      <c r="CA540" s="15">
        <f t="shared" si="363"/>
        <v>22.170849845882874</v>
      </c>
      <c r="CB540" s="75">
        <f>CA540*(1-PARAM!$C$27)*$I$22+(MOD($B540,60)=PARAM!$B$56)*($B540&gt;(60-PARAM!$B$56))*HLOOKUP(($B540+PARAM!$B$56)/12,Loyalty,2)*$F$1*MAX(CD539,0)</f>
        <v>18.557001321003963</v>
      </c>
      <c r="CC540" s="75">
        <f>PARAM!$C$26+MAX($G$22-CHOOSE(PARAM!$B$44,MAX(0,CD539*$F$1),0),0)*RATES!$L516/12+$H$22*(PARAM!$D$51/12)*RATES!$N516/100</f>
        <v>159.20833333333334</v>
      </c>
      <c r="CD540" s="16">
        <f t="shared" ref="CD540:CD603" si="389">IF(CD539&gt;0,CD539*$F$1,CD539)+CB540-CC540</f>
        <v>-11776.666346540547</v>
      </c>
      <c r="CE540" s="33">
        <f>IF(0=MOD(B540,12/PARAM!$D$51),1,0)</f>
        <v>1</v>
      </c>
      <c r="CF540" s="15">
        <f t="shared" si="364"/>
        <v>0</v>
      </c>
      <c r="CG540" s="75">
        <f>CF540*(1-PARAM!$C$27)*$R$3+(MOD($B540/12,5)=0)*($B540&gt;60)*HLOOKUP($B540/12,Loyalty,2)*$F$1*MAX(CI539,0)</f>
        <v>0</v>
      </c>
      <c r="CH540" s="75">
        <f>PARAM!$C$26+MAX($P$3-CHOOSE(PARAM!$B$44,MAX(0,CI539*$F$1),0),0)*RATES!$L516/12+$Q$3*(PARAM!$D$51/12)*RATES!$N516/100</f>
        <v>159.20833333333334</v>
      </c>
      <c r="CI540" s="16">
        <f>IF(CI539&gt;0,CI539*PARAM!$C$53,CI539)+CG540-CH540</f>
        <v>-21176.833333333325</v>
      </c>
      <c r="CJ540" s="15">
        <f t="shared" ref="CJ540:CJ603" si="390">$Q$4*CE540</f>
        <v>0</v>
      </c>
      <c r="CK540" s="75">
        <f>CJ540*(1-PARAM!$C$27)*$R$4+(MOD($B540/12,5)=0)*($B540&gt;60)*HLOOKUP($B540/12,Loyalty,2)*$F$1*MAX(CM539,0)</f>
        <v>0</v>
      </c>
      <c r="CL540" s="75">
        <f>PARAM!$C$26+MAX($P$4-CHOOSE(PARAM!$B$44,MAX(0,CM539*$F$1),0),0)*RATES!$L516/12+$Q$4*(PARAM!$D$51/12)*RATES!$N516/100</f>
        <v>159.20833333333334</v>
      </c>
      <c r="CM540" s="16">
        <f>IF(CM539&gt;0,CM539*PARAM!$C$53,CM539)+CK540-CL540</f>
        <v>-21176.833333333325</v>
      </c>
      <c r="CO540" s="176"/>
    </row>
    <row r="541" spans="1:93" x14ac:dyDescent="0.2">
      <c r="A541" t="b">
        <f t="shared" si="365"/>
        <v>0</v>
      </c>
      <c r="B541" s="33">
        <v>514</v>
      </c>
      <c r="C541" s="15">
        <f t="shared" si="366"/>
        <v>20.081305947392778</v>
      </c>
      <c r="D541" s="75">
        <f>C541*(1-PARAM!$C$27)*$I$3+(MOD($B541,60)=PARAM!$B$56)*($B541&gt;(60-PARAM!$B$56))*HLOOKUP(($B541+PARAM!$B$56)/12,Loyalty,2)*$F$1*MAX(F540,0)</f>
        <v>16.808053077967756</v>
      </c>
      <c r="E541" s="75">
        <f>PARAM!$C$26+MAX($G$3-CHOOSE(PARAM!$B$44,MAX(0,F540*$F$1),0),0)*RATES!$L517/12+$H$3*(PARAM!$D$51/12)*RATES!$N517/100</f>
        <v>159.20833333333334</v>
      </c>
      <c r="F541" s="16">
        <f t="shared" si="367"/>
        <v>-12853.127575994962</v>
      </c>
      <c r="G541" s="15">
        <f t="shared" si="368"/>
        <v>22.035289406060361</v>
      </c>
      <c r="H541" s="75">
        <f>G541*(1-PARAM!$C$27)*$I$4+(MOD($B541,60)=PARAM!$B$56)*($B541&gt;(60-PARAM!$B$56))*HLOOKUP(($B541+PARAM!$B$56)/12,Loyalty,2)*$F$1*MAX(J540,0)</f>
        <v>18.443537232872522</v>
      </c>
      <c r="I541" s="75">
        <f>PARAM!$C$26+MAX($G$4-CHOOSE(PARAM!$B$44,MAX(0,J540*$F$1),0),0)*RATES!$L517/12+$H$4*(PARAM!$D$51/12)*RATES!$N517/100</f>
        <v>159.20833333333334</v>
      </c>
      <c r="J541" s="16">
        <f t="shared" si="369"/>
        <v>-11978.655756252223</v>
      </c>
      <c r="K541" s="15">
        <f t="shared" si="370"/>
        <v>22.170849845882874</v>
      </c>
      <c r="L541" s="75">
        <f>K541*(1-PARAM!$C$27)*$I$5+(MOD($B541,60)=PARAM!$B$56)*($B541&gt;(60-PARAM!$B$56))*HLOOKUP(($B541+PARAM!$B$56)/12,Loyalty,2)*$F$1*MAX(N540,0)</f>
        <v>18.557001321003963</v>
      </c>
      <c r="M541" s="75">
        <f>PARAM!$C$26+MAX($G$5-CHOOSE(PARAM!$B$44,MAX(0,N540*$F$1),0),0)*RATES!$L517/12+$H$5*(PARAM!$D$51/12)*RATES!$N517/100</f>
        <v>159.20833333333334</v>
      </c>
      <c r="N541" s="16">
        <f t="shared" si="371"/>
        <v>-11917.317678552878</v>
      </c>
      <c r="O541" s="15">
        <f t="shared" si="372"/>
        <v>22.170849845882874</v>
      </c>
      <c r="P541" s="75">
        <f>O541*(1-PARAM!$C$27)*$I$6+(MOD($B541,60)=PARAM!$B$56)*($B541&gt;(60-PARAM!$B$56))*HLOOKUP(($B541+PARAM!$B$56)/12,Loyalty,2)*$F$1*MAX(R540,0)</f>
        <v>18.557001321003963</v>
      </c>
      <c r="Q541" s="75">
        <f>PARAM!$C$26+MAX($G$6-CHOOSE(PARAM!$B$44,MAX(0,R540*$F$1),0),0)*RATES!$L517/12+$H$6*(PARAM!$D$51/12)*RATES!$N517/100</f>
        <v>159.20833333333334</v>
      </c>
      <c r="R541" s="16">
        <f t="shared" si="373"/>
        <v>-11917.317678552878</v>
      </c>
      <c r="S541" s="15">
        <f t="shared" si="348"/>
        <v>22.170849845882874</v>
      </c>
      <c r="T541" s="75">
        <f>S541*(1-PARAM!$C$27)*$I$7+(MOD($B541,60)=PARAM!$B$56)*($B541&gt;(60-PARAM!$B$56))*HLOOKUP(($B541+PARAM!$B$56)/12,Loyalty,2)*$F$1*MAX(V540,0)</f>
        <v>18.557001321003963</v>
      </c>
      <c r="U541" s="75">
        <f>PARAM!$C$26+MAX($G$7-CHOOSE(PARAM!$B$44,MAX(0,V540*$F$1),0),0)*RATES!$L517/12+$H$7*(PARAM!$D$51/12)*RATES!$N517/100</f>
        <v>159.20833333333334</v>
      </c>
      <c r="V541" s="16">
        <f t="shared" si="374"/>
        <v>-11917.317678552878</v>
      </c>
      <c r="W541" s="15">
        <f t="shared" si="349"/>
        <v>22.170849845882874</v>
      </c>
      <c r="X541" s="75">
        <f>W541*(1-PARAM!$C$27)*$I$8+(MOD($B541,60)=PARAM!$B$56)*($B541&gt;(60-PARAM!$B$56))*HLOOKUP(($B541+PARAM!$B$56)/12,Loyalty,2)*$F$1*MAX(Z540,0)</f>
        <v>18.557001321003963</v>
      </c>
      <c r="Y541" s="75">
        <f>PARAM!$C$26+MAX($G$8-CHOOSE(PARAM!$B$44,MAX(0,Z540*$F$1),0),0)*RATES!$L517/12+$H$8*(PARAM!$D$51/12)*RATES!$N517/100</f>
        <v>159.20833333333334</v>
      </c>
      <c r="Z541" s="16">
        <f t="shared" si="375"/>
        <v>-11917.317678552878</v>
      </c>
      <c r="AA541" s="15">
        <f t="shared" si="350"/>
        <v>22.170849845882874</v>
      </c>
      <c r="AB541" s="75">
        <f>AA541*(1-PARAM!$C$27)*$I$9+(MOD($B541,60)=PARAM!$B$56)*($B541&gt;(60-PARAM!$B$56))*HLOOKUP(($B541+PARAM!$B$56)/12,Loyalty,2)*$F$1*MAX(AD540,0)</f>
        <v>18.557001321003963</v>
      </c>
      <c r="AC541" s="75">
        <f>PARAM!$C$26+MAX($G$9-CHOOSE(PARAM!$B$44,MAX(0,AD540*$F$1),0),0)*RATES!$L517/12+$H$9*(PARAM!$D$51/12)*RATES!$N517/100</f>
        <v>159.20833333333334</v>
      </c>
      <c r="AD541" s="16">
        <f t="shared" si="376"/>
        <v>-11917.317678552878</v>
      </c>
      <c r="AE541" s="15">
        <f t="shared" si="351"/>
        <v>22.170849845882874</v>
      </c>
      <c r="AF541" s="75">
        <f>AE541*(1-PARAM!$C$27)*$I$10+(MOD($B541,60)=PARAM!$B$56)*($B541&gt;(60-PARAM!$B$56))*HLOOKUP(($B541+PARAM!$B$56)/12,Loyalty,2)*$F$1*MAX(AH540,0)</f>
        <v>18.557001321003963</v>
      </c>
      <c r="AG541" s="75">
        <f>PARAM!$C$26+MAX($G$10-CHOOSE(PARAM!$B$44,MAX(0,AH540*$F$1),0),0)*RATES!$L517/12+$H$10*(PARAM!$D$51/12)*RATES!$N517/100</f>
        <v>159.20833333333334</v>
      </c>
      <c r="AH541" s="16">
        <f t="shared" si="377"/>
        <v>-11917.317678552878</v>
      </c>
      <c r="AI541" s="15">
        <f t="shared" si="352"/>
        <v>22.170849845882874</v>
      </c>
      <c r="AJ541" s="75">
        <f>AI541*(1-PARAM!$C$27)*$I$11+(MOD($B541,60)=PARAM!$B$56)*($B541&gt;(60-PARAM!$B$56))*HLOOKUP(($B541+PARAM!$B$56)/12,Loyalty,2)*$F$1*MAX(AL540,0)</f>
        <v>18.557001321003963</v>
      </c>
      <c r="AK541" s="75">
        <f>PARAM!$C$26+MAX($G$11-CHOOSE(PARAM!$B$44,MAX(0,AL540*$F$1),0),0)*RATES!$L517/12+$H$11*(PARAM!$D$51/12)*RATES!$N517/100</f>
        <v>159.20833333333334</v>
      </c>
      <c r="AL541" s="16">
        <f t="shared" si="378"/>
        <v>-11917.317678552878</v>
      </c>
      <c r="AM541" s="15">
        <f t="shared" si="353"/>
        <v>22.170849845882874</v>
      </c>
      <c r="AN541" s="75">
        <f>AM541*(1-PARAM!$C$27)*$I$12+(MOD($B541,60)=PARAM!$B$56)*($B541&gt;(60-PARAM!$B$56))*HLOOKUP(($B541+PARAM!$B$56)/12,Loyalty,2)*$F$1*MAX(AP540,0)</f>
        <v>18.557001321003963</v>
      </c>
      <c r="AO541" s="75">
        <f>PARAM!$C$26+MAX($G$12-CHOOSE(PARAM!$B$44,MAX(0,AP540*$F$1),0),0)*RATES!$L517/12+$H$12*(PARAM!$D$51/12)*RATES!$N517/100</f>
        <v>159.20833333333334</v>
      </c>
      <c r="AP541" s="16">
        <f t="shared" si="379"/>
        <v>-11917.317678552878</v>
      </c>
      <c r="AQ541" s="15">
        <f t="shared" si="354"/>
        <v>22.170849845882874</v>
      </c>
      <c r="AR541" s="75">
        <f>AQ541*(1-PARAM!$C$27)*$I$13+(MOD($B541,60)=PARAM!$B$56)*($B541&gt;(60-PARAM!$B$56))*HLOOKUP(($B541+PARAM!$B$56)/12,Loyalty,2)*$F$1*MAX(AT540,0)</f>
        <v>18.557001321003963</v>
      </c>
      <c r="AS541" s="75">
        <f>PARAM!$C$26+MAX($G$13-CHOOSE(PARAM!$B$44,MAX(0,AT540*$F$1),0),0)*RATES!$L517/12+$H$13*(PARAM!$D$51/12)*RATES!$N517/100</f>
        <v>159.20833333333334</v>
      </c>
      <c r="AT541" s="16">
        <f t="shared" si="380"/>
        <v>-11917.317678552878</v>
      </c>
      <c r="AU541" s="15">
        <f t="shared" si="355"/>
        <v>22.170849845882874</v>
      </c>
      <c r="AV541" s="75">
        <f>AU541*(1-PARAM!$C$27)*$I$14+(MOD($B541,60)=PARAM!$B$56)*($B541&gt;(60-PARAM!$B$56))*HLOOKUP(($B541+PARAM!$B$56)/12,Loyalty,2)*$F$1*MAX(AX540,0)</f>
        <v>18.557001321003963</v>
      </c>
      <c r="AW541" s="75">
        <f>PARAM!$C$26+MAX($G$14-CHOOSE(PARAM!$B$44,MAX(0,AX540*$F$1),0),0)*RATES!$L517/12+$H$14*(PARAM!$D$51/12)*RATES!$N517/100</f>
        <v>159.20833333333334</v>
      </c>
      <c r="AX541" s="16">
        <f t="shared" si="381"/>
        <v>-11917.317678552878</v>
      </c>
      <c r="AY541" s="15">
        <f t="shared" si="356"/>
        <v>22.170849845882874</v>
      </c>
      <c r="AZ541" s="75">
        <f>AY541*(1-PARAM!$C$27)*$I$15+(MOD($B541,60)=PARAM!$B$56)*($B541&gt;(60-PARAM!$B$56))*HLOOKUP(($B541+PARAM!$B$56)/12,Loyalty,2)*$F$1*MAX(BB540,0)</f>
        <v>18.557001321003963</v>
      </c>
      <c r="BA541" s="75">
        <f>PARAM!$C$26+MAX($G$15-CHOOSE(PARAM!$B$44,MAX(0,BB540*$F$1),0),0)*RATES!$L517/12+$H$15*(PARAM!$D$51/12)*RATES!$N517/100</f>
        <v>159.20833333333334</v>
      </c>
      <c r="BB541" s="16">
        <f t="shared" si="382"/>
        <v>-11917.317678552878</v>
      </c>
      <c r="BC541" s="15">
        <f t="shared" si="357"/>
        <v>22.170849845882874</v>
      </c>
      <c r="BD541" s="75">
        <f>BC541*(1-PARAM!$C$27)*$I$16+(MOD($B541,60)=PARAM!$B$56)*($B541&gt;(60-PARAM!$B$56))*HLOOKUP(($B541+PARAM!$B$56)/12,Loyalty,2)*$F$1*MAX(BF540,0)</f>
        <v>18.557001321003963</v>
      </c>
      <c r="BE541" s="75">
        <f>PARAM!$C$26+MAX($G$16-CHOOSE(PARAM!$B$44,MAX(0,BF540*$F$1),0),0)*RATES!$L517/12+$H$16*(PARAM!$D$51/12)*RATES!$N517/100</f>
        <v>159.20833333333334</v>
      </c>
      <c r="BF541" s="16">
        <f t="shared" si="383"/>
        <v>-11917.317678552878</v>
      </c>
      <c r="BG541" s="15">
        <f t="shared" si="358"/>
        <v>22.170849845882874</v>
      </c>
      <c r="BH541" s="75">
        <f>BG541*(1-PARAM!$C$27)*$I$17+(MOD($B541,60)=PARAM!$B$56)*($B541&gt;(60-PARAM!$B$56))*HLOOKUP(($B541+PARAM!$B$56)/12,Loyalty,2)*$F$1*MAX(BJ540,0)</f>
        <v>18.557001321003963</v>
      </c>
      <c r="BI541" s="75">
        <f>PARAM!$C$26+MAX($G$17-CHOOSE(PARAM!$B$44,MAX(0,BJ540*$F$1),0),0)*RATES!$L517/12+$H$17*(PARAM!$D$51/12)*RATES!$N517/100</f>
        <v>159.20833333333334</v>
      </c>
      <c r="BJ541" s="16">
        <f t="shared" si="384"/>
        <v>-11917.317678552878</v>
      </c>
      <c r="BK541" s="15">
        <f t="shared" si="359"/>
        <v>22.170849845882874</v>
      </c>
      <c r="BL541" s="75">
        <f>BK541*(1-PARAM!$C$27)*$I$18+(MOD($B541,60)=PARAM!$B$56)*($B541&gt;(60-PARAM!$B$56))*HLOOKUP(($B541+PARAM!$B$56)/12,Loyalty,2)*$F$1*MAX(BN540,0)</f>
        <v>18.557001321003963</v>
      </c>
      <c r="BM541" s="75">
        <f>PARAM!$C$26+MAX($G$18-CHOOSE(PARAM!$B$44,MAX(0,BN540*$F$1),0),0)*RATES!$L517/12+$H$18*(PARAM!$D$51/12)*RATES!$N517/100</f>
        <v>159.20833333333334</v>
      </c>
      <c r="BN541" s="16">
        <f t="shared" si="385"/>
        <v>-11917.317678552878</v>
      </c>
      <c r="BO541" s="15">
        <f t="shared" si="360"/>
        <v>22.170849845882874</v>
      </c>
      <c r="BP541" s="75">
        <f>BO541*(1-PARAM!$C$27)*$I$19+(MOD($B541,60)=PARAM!$B$56)*($B541&gt;(60-PARAM!$B$56))*HLOOKUP(($B541+PARAM!$B$56)/12,Loyalty,2)*$F$1*MAX(BR540,0)</f>
        <v>18.557001321003963</v>
      </c>
      <c r="BQ541" s="75">
        <f>PARAM!$C$26+MAX($G$19-CHOOSE(PARAM!$B$44,MAX(0,BR540*$F$1),0),0)*RATES!$L517/12+$H$19*(PARAM!$D$51/12)*RATES!$N517/100</f>
        <v>159.20833333333334</v>
      </c>
      <c r="BR541" s="16">
        <f t="shared" si="386"/>
        <v>-11917.317678552878</v>
      </c>
      <c r="BS541" s="15">
        <f t="shared" si="361"/>
        <v>22.170849845882874</v>
      </c>
      <c r="BT541" s="75">
        <f>BS541*(1-PARAM!$C$27)*$I$20+(MOD($B541,60)=PARAM!$B$56)*($B541&gt;(60-PARAM!$B$56))*HLOOKUP(($B541+PARAM!$B$56)/12,Loyalty,2)*$F$1*MAX(BV540,0)</f>
        <v>18.557001321003963</v>
      </c>
      <c r="BU541" s="75">
        <f>PARAM!$C$26+MAX($G$20-CHOOSE(PARAM!$B$44,MAX(0,BV540*$F$1),0),0)*RATES!$L517/12+$H$20*(PARAM!$D$51/12)*RATES!$N517/100</f>
        <v>159.20833333333334</v>
      </c>
      <c r="BV541" s="16">
        <f t="shared" si="387"/>
        <v>-11917.317678552878</v>
      </c>
      <c r="BW541" s="15">
        <f t="shared" si="362"/>
        <v>22.170849845882874</v>
      </c>
      <c r="BX541" s="75">
        <f>BW541*(1-PARAM!$C$27)*$I$21+(MOD($B541,60)=PARAM!$B$56)*($B541&gt;(60-PARAM!$B$56))*HLOOKUP(($B541+PARAM!$B$56)/12,Loyalty,2)*$F$1*MAX(BZ540,0)</f>
        <v>18.557001321003963</v>
      </c>
      <c r="BY541" s="75">
        <f>PARAM!$C$26+MAX($G$21-CHOOSE(PARAM!$B$44,MAX(0,BZ540*$F$1),0),0)*RATES!$L517/12+$H$21*(PARAM!$D$51/12)*RATES!$N517/100</f>
        <v>159.20833333333334</v>
      </c>
      <c r="BZ541" s="16">
        <f t="shared" si="388"/>
        <v>-11917.317678552878</v>
      </c>
      <c r="CA541" s="15">
        <f t="shared" si="363"/>
        <v>22.170849845882874</v>
      </c>
      <c r="CB541" s="75">
        <f>CA541*(1-PARAM!$C$27)*$I$22+(MOD($B541,60)=PARAM!$B$56)*($B541&gt;(60-PARAM!$B$56))*HLOOKUP(($B541+PARAM!$B$56)/12,Loyalty,2)*$F$1*MAX(CD540,0)</f>
        <v>18.557001321003963</v>
      </c>
      <c r="CC541" s="75">
        <f>PARAM!$C$26+MAX($G$22-CHOOSE(PARAM!$B$44,MAX(0,CD540*$F$1),0),0)*RATES!$L517/12+$H$22*(PARAM!$D$51/12)*RATES!$N517/100</f>
        <v>159.20833333333334</v>
      </c>
      <c r="CD541" s="16">
        <f t="shared" si="389"/>
        <v>-11917.317678552878</v>
      </c>
      <c r="CE541" s="33">
        <f>IF(0=MOD(B541,12/PARAM!$D$51),1,0)</f>
        <v>1</v>
      </c>
      <c r="CF541" s="15">
        <f t="shared" si="364"/>
        <v>0</v>
      </c>
      <c r="CG541" s="75">
        <f>CF541*(1-PARAM!$C$27)*$R$3+(MOD($B541/12,5)=0)*($B541&gt;60)*HLOOKUP($B541/12,Loyalty,2)*$F$1*MAX(CI540,0)</f>
        <v>0</v>
      </c>
      <c r="CH541" s="75">
        <f>PARAM!$C$26+MAX($P$3-CHOOSE(PARAM!$B$44,MAX(0,CI540*$F$1),0),0)*RATES!$L517/12+$Q$3*(PARAM!$D$51/12)*RATES!$N517/100</f>
        <v>159.20833333333334</v>
      </c>
      <c r="CI541" s="16">
        <f>IF(CI540&gt;0,CI540*PARAM!$C$53,CI540)+CG541-CH541</f>
        <v>-21336.041666666657</v>
      </c>
      <c r="CJ541" s="15">
        <f t="shared" si="390"/>
        <v>0</v>
      </c>
      <c r="CK541" s="75">
        <f>CJ541*(1-PARAM!$C$27)*$R$4+(MOD($B541/12,5)=0)*($B541&gt;60)*HLOOKUP($B541/12,Loyalty,2)*$F$1*MAX(CM540,0)</f>
        <v>0</v>
      </c>
      <c r="CL541" s="75">
        <f>PARAM!$C$26+MAX($P$4-CHOOSE(PARAM!$B$44,MAX(0,CM540*$F$1),0),0)*RATES!$L517/12+$Q$4*(PARAM!$D$51/12)*RATES!$N517/100</f>
        <v>159.20833333333334</v>
      </c>
      <c r="CM541" s="16">
        <f>IF(CM540&gt;0,CM540*PARAM!$C$53,CM540)+CK541-CL541</f>
        <v>-21336.041666666657</v>
      </c>
      <c r="CO541" s="176"/>
    </row>
    <row r="542" spans="1:93" x14ac:dyDescent="0.2">
      <c r="A542" t="b">
        <f t="shared" si="365"/>
        <v>0</v>
      </c>
      <c r="B542" s="33">
        <v>515</v>
      </c>
      <c r="C542" s="15">
        <f t="shared" si="366"/>
        <v>20.081305947392778</v>
      </c>
      <c r="D542" s="75">
        <f>C542*(1-PARAM!$C$27)*$I$3+(MOD($B542,60)=PARAM!$B$56)*($B542&gt;(60-PARAM!$B$56))*HLOOKUP(($B542+PARAM!$B$56)/12,Loyalty,2)*$F$1*MAX(F541,0)</f>
        <v>16.808053077967756</v>
      </c>
      <c r="E542" s="75">
        <f>PARAM!$C$26+MAX($G$3-CHOOSE(PARAM!$B$44,MAX(0,F541*$F$1),0),0)*RATES!$L518/12+$H$3*(PARAM!$D$51/12)*RATES!$N518/100</f>
        <v>159.20833333333334</v>
      </c>
      <c r="F542" s="16">
        <f t="shared" si="367"/>
        <v>-12995.527856250328</v>
      </c>
      <c r="G542" s="15">
        <f t="shared" si="368"/>
        <v>22.035289406060361</v>
      </c>
      <c r="H542" s="75">
        <f>G542*(1-PARAM!$C$27)*$I$4+(MOD($B542,60)=PARAM!$B$56)*($B542&gt;(60-PARAM!$B$56))*HLOOKUP(($B542+PARAM!$B$56)/12,Loyalty,2)*$F$1*MAX(J541,0)</f>
        <v>18.443537232872522</v>
      </c>
      <c r="I542" s="75">
        <f>PARAM!$C$26+MAX($G$4-CHOOSE(PARAM!$B$44,MAX(0,J541*$F$1),0),0)*RATES!$L518/12+$H$4*(PARAM!$D$51/12)*RATES!$N518/100</f>
        <v>159.20833333333334</v>
      </c>
      <c r="J542" s="16">
        <f t="shared" si="369"/>
        <v>-12119.420552352685</v>
      </c>
      <c r="K542" s="15">
        <f t="shared" si="370"/>
        <v>22.170849845882874</v>
      </c>
      <c r="L542" s="75">
        <f>K542*(1-PARAM!$C$27)*$I$5+(MOD($B542,60)=PARAM!$B$56)*($B542&gt;(60-PARAM!$B$56))*HLOOKUP(($B542+PARAM!$B$56)/12,Loyalty,2)*$F$1*MAX(N541,0)</f>
        <v>18.557001321003963</v>
      </c>
      <c r="M542" s="75">
        <f>PARAM!$C$26+MAX($G$5-CHOOSE(PARAM!$B$44,MAX(0,N541*$F$1),0),0)*RATES!$L518/12+$H$5*(PARAM!$D$51/12)*RATES!$N518/100</f>
        <v>159.20833333333334</v>
      </c>
      <c r="N542" s="16">
        <f t="shared" si="371"/>
        <v>-12057.969010565208</v>
      </c>
      <c r="O542" s="15">
        <f t="shared" si="372"/>
        <v>22.170849845882874</v>
      </c>
      <c r="P542" s="75">
        <f>O542*(1-PARAM!$C$27)*$I$6+(MOD($B542,60)=PARAM!$B$56)*($B542&gt;(60-PARAM!$B$56))*HLOOKUP(($B542+PARAM!$B$56)/12,Loyalty,2)*$F$1*MAX(R541,0)</f>
        <v>18.557001321003963</v>
      </c>
      <c r="Q542" s="75">
        <f>PARAM!$C$26+MAX($G$6-CHOOSE(PARAM!$B$44,MAX(0,R541*$F$1),0),0)*RATES!$L518/12+$H$6*(PARAM!$D$51/12)*RATES!$N518/100</f>
        <v>159.20833333333334</v>
      </c>
      <c r="R542" s="16">
        <f t="shared" si="373"/>
        <v>-12057.969010565208</v>
      </c>
      <c r="S542" s="15">
        <f t="shared" si="348"/>
        <v>22.170849845882874</v>
      </c>
      <c r="T542" s="75">
        <f>S542*(1-PARAM!$C$27)*$I$7+(MOD($B542,60)=PARAM!$B$56)*($B542&gt;(60-PARAM!$B$56))*HLOOKUP(($B542+PARAM!$B$56)/12,Loyalty,2)*$F$1*MAX(V541,0)</f>
        <v>18.557001321003963</v>
      </c>
      <c r="U542" s="75">
        <f>PARAM!$C$26+MAX($G$7-CHOOSE(PARAM!$B$44,MAX(0,V541*$F$1),0),0)*RATES!$L518/12+$H$7*(PARAM!$D$51/12)*RATES!$N518/100</f>
        <v>159.20833333333334</v>
      </c>
      <c r="V542" s="16">
        <f t="shared" si="374"/>
        <v>-12057.969010565208</v>
      </c>
      <c r="W542" s="15">
        <f t="shared" si="349"/>
        <v>22.170849845882874</v>
      </c>
      <c r="X542" s="75">
        <f>W542*(1-PARAM!$C$27)*$I$8+(MOD($B542,60)=PARAM!$B$56)*($B542&gt;(60-PARAM!$B$56))*HLOOKUP(($B542+PARAM!$B$56)/12,Loyalty,2)*$F$1*MAX(Z541,0)</f>
        <v>18.557001321003963</v>
      </c>
      <c r="Y542" s="75">
        <f>PARAM!$C$26+MAX($G$8-CHOOSE(PARAM!$B$44,MAX(0,Z541*$F$1),0),0)*RATES!$L518/12+$H$8*(PARAM!$D$51/12)*RATES!$N518/100</f>
        <v>159.20833333333334</v>
      </c>
      <c r="Z542" s="16">
        <f t="shared" si="375"/>
        <v>-12057.969010565208</v>
      </c>
      <c r="AA542" s="15">
        <f t="shared" si="350"/>
        <v>22.170849845882874</v>
      </c>
      <c r="AB542" s="75">
        <f>AA542*(1-PARAM!$C$27)*$I$9+(MOD($B542,60)=PARAM!$B$56)*($B542&gt;(60-PARAM!$B$56))*HLOOKUP(($B542+PARAM!$B$56)/12,Loyalty,2)*$F$1*MAX(AD541,0)</f>
        <v>18.557001321003963</v>
      </c>
      <c r="AC542" s="75">
        <f>PARAM!$C$26+MAX($G$9-CHOOSE(PARAM!$B$44,MAX(0,AD541*$F$1),0),0)*RATES!$L518/12+$H$9*(PARAM!$D$51/12)*RATES!$N518/100</f>
        <v>159.20833333333334</v>
      </c>
      <c r="AD542" s="16">
        <f t="shared" si="376"/>
        <v>-12057.969010565208</v>
      </c>
      <c r="AE542" s="15">
        <f t="shared" si="351"/>
        <v>22.170849845882874</v>
      </c>
      <c r="AF542" s="75">
        <f>AE542*(1-PARAM!$C$27)*$I$10+(MOD($B542,60)=PARAM!$B$56)*($B542&gt;(60-PARAM!$B$56))*HLOOKUP(($B542+PARAM!$B$56)/12,Loyalty,2)*$F$1*MAX(AH541,0)</f>
        <v>18.557001321003963</v>
      </c>
      <c r="AG542" s="75">
        <f>PARAM!$C$26+MAX($G$10-CHOOSE(PARAM!$B$44,MAX(0,AH541*$F$1),0),0)*RATES!$L518/12+$H$10*(PARAM!$D$51/12)*RATES!$N518/100</f>
        <v>159.20833333333334</v>
      </c>
      <c r="AH542" s="16">
        <f t="shared" si="377"/>
        <v>-12057.969010565208</v>
      </c>
      <c r="AI542" s="15">
        <f t="shared" si="352"/>
        <v>22.170849845882874</v>
      </c>
      <c r="AJ542" s="75">
        <f>AI542*(1-PARAM!$C$27)*$I$11+(MOD($B542,60)=PARAM!$B$56)*($B542&gt;(60-PARAM!$B$56))*HLOOKUP(($B542+PARAM!$B$56)/12,Loyalty,2)*$F$1*MAX(AL541,0)</f>
        <v>18.557001321003963</v>
      </c>
      <c r="AK542" s="75">
        <f>PARAM!$C$26+MAX($G$11-CHOOSE(PARAM!$B$44,MAX(0,AL541*$F$1),0),0)*RATES!$L518/12+$H$11*(PARAM!$D$51/12)*RATES!$N518/100</f>
        <v>159.20833333333334</v>
      </c>
      <c r="AL542" s="16">
        <f t="shared" si="378"/>
        <v>-12057.969010565208</v>
      </c>
      <c r="AM542" s="15">
        <f t="shared" si="353"/>
        <v>22.170849845882874</v>
      </c>
      <c r="AN542" s="75">
        <f>AM542*(1-PARAM!$C$27)*$I$12+(MOD($B542,60)=PARAM!$B$56)*($B542&gt;(60-PARAM!$B$56))*HLOOKUP(($B542+PARAM!$B$56)/12,Loyalty,2)*$F$1*MAX(AP541,0)</f>
        <v>18.557001321003963</v>
      </c>
      <c r="AO542" s="75">
        <f>PARAM!$C$26+MAX($G$12-CHOOSE(PARAM!$B$44,MAX(0,AP541*$F$1),0),0)*RATES!$L518/12+$H$12*(PARAM!$D$51/12)*RATES!$N518/100</f>
        <v>159.20833333333334</v>
      </c>
      <c r="AP542" s="16">
        <f t="shared" si="379"/>
        <v>-12057.969010565208</v>
      </c>
      <c r="AQ542" s="15">
        <f t="shared" si="354"/>
        <v>22.170849845882874</v>
      </c>
      <c r="AR542" s="75">
        <f>AQ542*(1-PARAM!$C$27)*$I$13+(MOD($B542,60)=PARAM!$B$56)*($B542&gt;(60-PARAM!$B$56))*HLOOKUP(($B542+PARAM!$B$56)/12,Loyalty,2)*$F$1*MAX(AT541,0)</f>
        <v>18.557001321003963</v>
      </c>
      <c r="AS542" s="75">
        <f>PARAM!$C$26+MAX($G$13-CHOOSE(PARAM!$B$44,MAX(0,AT541*$F$1),0),0)*RATES!$L518/12+$H$13*(PARAM!$D$51/12)*RATES!$N518/100</f>
        <v>159.20833333333334</v>
      </c>
      <c r="AT542" s="16">
        <f t="shared" si="380"/>
        <v>-12057.969010565208</v>
      </c>
      <c r="AU542" s="15">
        <f t="shared" si="355"/>
        <v>22.170849845882874</v>
      </c>
      <c r="AV542" s="75">
        <f>AU542*(1-PARAM!$C$27)*$I$14+(MOD($B542,60)=PARAM!$B$56)*($B542&gt;(60-PARAM!$B$56))*HLOOKUP(($B542+PARAM!$B$56)/12,Loyalty,2)*$F$1*MAX(AX541,0)</f>
        <v>18.557001321003963</v>
      </c>
      <c r="AW542" s="75">
        <f>PARAM!$C$26+MAX($G$14-CHOOSE(PARAM!$B$44,MAX(0,AX541*$F$1),0),0)*RATES!$L518/12+$H$14*(PARAM!$D$51/12)*RATES!$N518/100</f>
        <v>159.20833333333334</v>
      </c>
      <c r="AX542" s="16">
        <f t="shared" si="381"/>
        <v>-12057.969010565208</v>
      </c>
      <c r="AY542" s="15">
        <f t="shared" si="356"/>
        <v>22.170849845882874</v>
      </c>
      <c r="AZ542" s="75">
        <f>AY542*(1-PARAM!$C$27)*$I$15+(MOD($B542,60)=PARAM!$B$56)*($B542&gt;(60-PARAM!$B$56))*HLOOKUP(($B542+PARAM!$B$56)/12,Loyalty,2)*$F$1*MAX(BB541,0)</f>
        <v>18.557001321003963</v>
      </c>
      <c r="BA542" s="75">
        <f>PARAM!$C$26+MAX($G$15-CHOOSE(PARAM!$B$44,MAX(0,BB541*$F$1),0),0)*RATES!$L518/12+$H$15*(PARAM!$D$51/12)*RATES!$N518/100</f>
        <v>159.20833333333334</v>
      </c>
      <c r="BB542" s="16">
        <f t="shared" si="382"/>
        <v>-12057.969010565208</v>
      </c>
      <c r="BC542" s="15">
        <f t="shared" si="357"/>
        <v>22.170849845882874</v>
      </c>
      <c r="BD542" s="75">
        <f>BC542*(1-PARAM!$C$27)*$I$16+(MOD($B542,60)=PARAM!$B$56)*($B542&gt;(60-PARAM!$B$56))*HLOOKUP(($B542+PARAM!$B$56)/12,Loyalty,2)*$F$1*MAX(BF541,0)</f>
        <v>18.557001321003963</v>
      </c>
      <c r="BE542" s="75">
        <f>PARAM!$C$26+MAX($G$16-CHOOSE(PARAM!$B$44,MAX(0,BF541*$F$1),0),0)*RATES!$L518/12+$H$16*(PARAM!$D$51/12)*RATES!$N518/100</f>
        <v>159.20833333333334</v>
      </c>
      <c r="BF542" s="16">
        <f t="shared" si="383"/>
        <v>-12057.969010565208</v>
      </c>
      <c r="BG542" s="15">
        <f t="shared" si="358"/>
        <v>22.170849845882874</v>
      </c>
      <c r="BH542" s="75">
        <f>BG542*(1-PARAM!$C$27)*$I$17+(MOD($B542,60)=PARAM!$B$56)*($B542&gt;(60-PARAM!$B$56))*HLOOKUP(($B542+PARAM!$B$56)/12,Loyalty,2)*$F$1*MAX(BJ541,0)</f>
        <v>18.557001321003963</v>
      </c>
      <c r="BI542" s="75">
        <f>PARAM!$C$26+MAX($G$17-CHOOSE(PARAM!$B$44,MAX(0,BJ541*$F$1),0),0)*RATES!$L518/12+$H$17*(PARAM!$D$51/12)*RATES!$N518/100</f>
        <v>159.20833333333334</v>
      </c>
      <c r="BJ542" s="16">
        <f t="shared" si="384"/>
        <v>-12057.969010565208</v>
      </c>
      <c r="BK542" s="15">
        <f t="shared" si="359"/>
        <v>22.170849845882874</v>
      </c>
      <c r="BL542" s="75">
        <f>BK542*(1-PARAM!$C$27)*$I$18+(MOD($B542,60)=PARAM!$B$56)*($B542&gt;(60-PARAM!$B$56))*HLOOKUP(($B542+PARAM!$B$56)/12,Loyalty,2)*$F$1*MAX(BN541,0)</f>
        <v>18.557001321003963</v>
      </c>
      <c r="BM542" s="75">
        <f>PARAM!$C$26+MAX($G$18-CHOOSE(PARAM!$B$44,MAX(0,BN541*$F$1),0),0)*RATES!$L518/12+$H$18*(PARAM!$D$51/12)*RATES!$N518/100</f>
        <v>159.20833333333334</v>
      </c>
      <c r="BN542" s="16">
        <f t="shared" si="385"/>
        <v>-12057.969010565208</v>
      </c>
      <c r="BO542" s="15">
        <f t="shared" si="360"/>
        <v>22.170849845882874</v>
      </c>
      <c r="BP542" s="75">
        <f>BO542*(1-PARAM!$C$27)*$I$19+(MOD($B542,60)=PARAM!$B$56)*($B542&gt;(60-PARAM!$B$56))*HLOOKUP(($B542+PARAM!$B$56)/12,Loyalty,2)*$F$1*MAX(BR541,0)</f>
        <v>18.557001321003963</v>
      </c>
      <c r="BQ542" s="75">
        <f>PARAM!$C$26+MAX($G$19-CHOOSE(PARAM!$B$44,MAX(0,BR541*$F$1),0),0)*RATES!$L518/12+$H$19*(PARAM!$D$51/12)*RATES!$N518/100</f>
        <v>159.20833333333334</v>
      </c>
      <c r="BR542" s="16">
        <f t="shared" si="386"/>
        <v>-12057.969010565208</v>
      </c>
      <c r="BS542" s="15">
        <f t="shared" si="361"/>
        <v>22.170849845882874</v>
      </c>
      <c r="BT542" s="75">
        <f>BS542*(1-PARAM!$C$27)*$I$20+(MOD($B542,60)=PARAM!$B$56)*($B542&gt;(60-PARAM!$B$56))*HLOOKUP(($B542+PARAM!$B$56)/12,Loyalty,2)*$F$1*MAX(BV541,0)</f>
        <v>18.557001321003963</v>
      </c>
      <c r="BU542" s="75">
        <f>PARAM!$C$26+MAX($G$20-CHOOSE(PARAM!$B$44,MAX(0,BV541*$F$1),0),0)*RATES!$L518/12+$H$20*(PARAM!$D$51/12)*RATES!$N518/100</f>
        <v>159.20833333333334</v>
      </c>
      <c r="BV542" s="16">
        <f t="shared" si="387"/>
        <v>-12057.969010565208</v>
      </c>
      <c r="BW542" s="15">
        <f t="shared" si="362"/>
        <v>22.170849845882874</v>
      </c>
      <c r="BX542" s="75">
        <f>BW542*(1-PARAM!$C$27)*$I$21+(MOD($B542,60)=PARAM!$B$56)*($B542&gt;(60-PARAM!$B$56))*HLOOKUP(($B542+PARAM!$B$56)/12,Loyalty,2)*$F$1*MAX(BZ541,0)</f>
        <v>18.557001321003963</v>
      </c>
      <c r="BY542" s="75">
        <f>PARAM!$C$26+MAX($G$21-CHOOSE(PARAM!$B$44,MAX(0,BZ541*$F$1),0),0)*RATES!$L518/12+$H$21*(PARAM!$D$51/12)*RATES!$N518/100</f>
        <v>159.20833333333334</v>
      </c>
      <c r="BZ542" s="16">
        <f t="shared" si="388"/>
        <v>-12057.969010565208</v>
      </c>
      <c r="CA542" s="15">
        <f t="shared" si="363"/>
        <v>22.170849845882874</v>
      </c>
      <c r="CB542" s="75">
        <f>CA542*(1-PARAM!$C$27)*$I$22+(MOD($B542,60)=PARAM!$B$56)*($B542&gt;(60-PARAM!$B$56))*HLOOKUP(($B542+PARAM!$B$56)/12,Loyalty,2)*$F$1*MAX(CD541,0)</f>
        <v>18.557001321003963</v>
      </c>
      <c r="CC542" s="75">
        <f>PARAM!$C$26+MAX($G$22-CHOOSE(PARAM!$B$44,MAX(0,CD541*$F$1),0),0)*RATES!$L518/12+$H$22*(PARAM!$D$51/12)*RATES!$N518/100</f>
        <v>159.20833333333334</v>
      </c>
      <c r="CD542" s="16">
        <f t="shared" si="389"/>
        <v>-12057.969010565208</v>
      </c>
      <c r="CE542" s="33">
        <f>IF(0=MOD(B542,12/PARAM!$D$51),1,0)</f>
        <v>1</v>
      </c>
      <c r="CF542" s="15">
        <f t="shared" si="364"/>
        <v>0</v>
      </c>
      <c r="CG542" s="75">
        <f>CF542*(1-PARAM!$C$27)*$R$3+(MOD($B542/12,5)=0)*($B542&gt;60)*HLOOKUP($B542/12,Loyalty,2)*$F$1*MAX(CI541,0)</f>
        <v>0</v>
      </c>
      <c r="CH542" s="75">
        <f>PARAM!$C$26+MAX($P$3-CHOOSE(PARAM!$B$44,MAX(0,CI541*$F$1),0),0)*RATES!$L518/12+$Q$3*(PARAM!$D$51/12)*RATES!$N518/100</f>
        <v>159.20833333333334</v>
      </c>
      <c r="CI542" s="16">
        <f>IF(CI541&gt;0,CI541*PARAM!$C$53,CI541)+CG542-CH542</f>
        <v>-21495.249999999989</v>
      </c>
      <c r="CJ542" s="15">
        <f t="shared" si="390"/>
        <v>0</v>
      </c>
      <c r="CK542" s="75">
        <f>CJ542*(1-PARAM!$C$27)*$R$4+(MOD($B542/12,5)=0)*($B542&gt;60)*HLOOKUP($B542/12,Loyalty,2)*$F$1*MAX(CM541,0)</f>
        <v>0</v>
      </c>
      <c r="CL542" s="75">
        <f>PARAM!$C$26+MAX($P$4-CHOOSE(PARAM!$B$44,MAX(0,CM541*$F$1),0),0)*RATES!$L518/12+$Q$4*(PARAM!$D$51/12)*RATES!$N518/100</f>
        <v>159.20833333333334</v>
      </c>
      <c r="CM542" s="16">
        <f>IF(CM541&gt;0,CM541*PARAM!$C$53,CM541)+CK542-CL542</f>
        <v>-21495.249999999989</v>
      </c>
      <c r="CO542" s="176"/>
    </row>
    <row r="543" spans="1:93" x14ac:dyDescent="0.2">
      <c r="A543" t="b">
        <f t="shared" si="365"/>
        <v>0</v>
      </c>
      <c r="B543" s="33">
        <v>516</v>
      </c>
      <c r="C543" s="15">
        <f t="shared" si="366"/>
        <v>20.081305947392778</v>
      </c>
      <c r="D543" s="75">
        <f>C543*(1-PARAM!$C$27)*$I$3+(MOD($B543,60)=PARAM!$B$56)*($B543&gt;(60-PARAM!$B$56))*HLOOKUP(($B543+PARAM!$B$56)/12,Loyalty,2)*$F$1*MAX(F542,0)</f>
        <v>16.808053077967756</v>
      </c>
      <c r="E543" s="75">
        <f>PARAM!$C$26+MAX($G$3-CHOOSE(PARAM!$B$44,MAX(0,F542*$F$1),0),0)*RATES!$L519/12+$H$3*(PARAM!$D$51/12)*RATES!$N519/100</f>
        <v>159.20833333333334</v>
      </c>
      <c r="F543" s="16">
        <f t="shared" si="367"/>
        <v>-13137.928136505694</v>
      </c>
      <c r="G543" s="15">
        <f t="shared" si="368"/>
        <v>22.035289406060361</v>
      </c>
      <c r="H543" s="75">
        <f>G543*(1-PARAM!$C$27)*$I$4+(MOD($B543,60)=PARAM!$B$56)*($B543&gt;(60-PARAM!$B$56))*HLOOKUP(($B543+PARAM!$B$56)/12,Loyalty,2)*$F$1*MAX(J542,0)</f>
        <v>18.443537232872522</v>
      </c>
      <c r="I543" s="75">
        <f>PARAM!$C$26+MAX($G$4-CHOOSE(PARAM!$B$44,MAX(0,J542*$F$1),0),0)*RATES!$L519/12+$H$4*(PARAM!$D$51/12)*RATES!$N519/100</f>
        <v>159.20833333333334</v>
      </c>
      <c r="J543" s="16">
        <f t="shared" si="369"/>
        <v>-12260.185348453148</v>
      </c>
      <c r="K543" s="15">
        <f t="shared" si="370"/>
        <v>22.170849845882874</v>
      </c>
      <c r="L543" s="75">
        <f>K543*(1-PARAM!$C$27)*$I$5+(MOD($B543,60)=PARAM!$B$56)*($B543&gt;(60-PARAM!$B$56))*HLOOKUP(($B543+PARAM!$B$56)/12,Loyalty,2)*$F$1*MAX(N542,0)</f>
        <v>18.557001321003963</v>
      </c>
      <c r="M543" s="75">
        <f>PARAM!$C$26+MAX($G$5-CHOOSE(PARAM!$B$44,MAX(0,N542*$F$1),0),0)*RATES!$L519/12+$H$5*(PARAM!$D$51/12)*RATES!$N519/100</f>
        <v>159.20833333333334</v>
      </c>
      <c r="N543" s="16">
        <f t="shared" si="371"/>
        <v>-12198.620342577538</v>
      </c>
      <c r="O543" s="15">
        <f t="shared" si="372"/>
        <v>22.170849845882874</v>
      </c>
      <c r="P543" s="75">
        <f>O543*(1-PARAM!$C$27)*$I$6+(MOD($B543,60)=PARAM!$B$56)*($B543&gt;(60-PARAM!$B$56))*HLOOKUP(($B543+PARAM!$B$56)/12,Loyalty,2)*$F$1*MAX(R542,0)</f>
        <v>18.557001321003963</v>
      </c>
      <c r="Q543" s="75">
        <f>PARAM!$C$26+MAX($G$6-CHOOSE(PARAM!$B$44,MAX(0,R542*$F$1),0),0)*RATES!$L519/12+$H$6*(PARAM!$D$51/12)*RATES!$N519/100</f>
        <v>159.20833333333334</v>
      </c>
      <c r="R543" s="16">
        <f t="shared" si="373"/>
        <v>-12198.620342577538</v>
      </c>
      <c r="S543" s="15">
        <f t="shared" si="348"/>
        <v>22.170849845882874</v>
      </c>
      <c r="T543" s="75">
        <f>S543*(1-PARAM!$C$27)*$I$7+(MOD($B543,60)=PARAM!$B$56)*($B543&gt;(60-PARAM!$B$56))*HLOOKUP(($B543+PARAM!$B$56)/12,Loyalty,2)*$F$1*MAX(V542,0)</f>
        <v>18.557001321003963</v>
      </c>
      <c r="U543" s="75">
        <f>PARAM!$C$26+MAX($G$7-CHOOSE(PARAM!$B$44,MAX(0,V542*$F$1),0),0)*RATES!$L519/12+$H$7*(PARAM!$D$51/12)*RATES!$N519/100</f>
        <v>159.20833333333334</v>
      </c>
      <c r="V543" s="16">
        <f t="shared" si="374"/>
        <v>-12198.620342577538</v>
      </c>
      <c r="W543" s="15">
        <f t="shared" si="349"/>
        <v>22.170849845882874</v>
      </c>
      <c r="X543" s="75">
        <f>W543*(1-PARAM!$C$27)*$I$8+(MOD($B543,60)=PARAM!$B$56)*($B543&gt;(60-PARAM!$B$56))*HLOOKUP(($B543+PARAM!$B$56)/12,Loyalty,2)*$F$1*MAX(Z542,0)</f>
        <v>18.557001321003963</v>
      </c>
      <c r="Y543" s="75">
        <f>PARAM!$C$26+MAX($G$8-CHOOSE(PARAM!$B$44,MAX(0,Z542*$F$1),0),0)*RATES!$L519/12+$H$8*(PARAM!$D$51/12)*RATES!$N519/100</f>
        <v>159.20833333333334</v>
      </c>
      <c r="Z543" s="16">
        <f t="shared" si="375"/>
        <v>-12198.620342577538</v>
      </c>
      <c r="AA543" s="15">
        <f t="shared" si="350"/>
        <v>22.170849845882874</v>
      </c>
      <c r="AB543" s="75">
        <f>AA543*(1-PARAM!$C$27)*$I$9+(MOD($B543,60)=PARAM!$B$56)*($B543&gt;(60-PARAM!$B$56))*HLOOKUP(($B543+PARAM!$B$56)/12,Loyalty,2)*$F$1*MAX(AD542,0)</f>
        <v>18.557001321003963</v>
      </c>
      <c r="AC543" s="75">
        <f>PARAM!$C$26+MAX($G$9-CHOOSE(PARAM!$B$44,MAX(0,AD542*$F$1),0),0)*RATES!$L519/12+$H$9*(PARAM!$D$51/12)*RATES!$N519/100</f>
        <v>159.20833333333334</v>
      </c>
      <c r="AD543" s="16">
        <f t="shared" si="376"/>
        <v>-12198.620342577538</v>
      </c>
      <c r="AE543" s="15">
        <f t="shared" si="351"/>
        <v>22.170849845882874</v>
      </c>
      <c r="AF543" s="75">
        <f>AE543*(1-PARAM!$C$27)*$I$10+(MOD($B543,60)=PARAM!$B$56)*($B543&gt;(60-PARAM!$B$56))*HLOOKUP(($B543+PARAM!$B$56)/12,Loyalty,2)*$F$1*MAX(AH542,0)</f>
        <v>18.557001321003963</v>
      </c>
      <c r="AG543" s="75">
        <f>PARAM!$C$26+MAX($G$10-CHOOSE(PARAM!$B$44,MAX(0,AH542*$F$1),0),0)*RATES!$L519/12+$H$10*(PARAM!$D$51/12)*RATES!$N519/100</f>
        <v>159.20833333333334</v>
      </c>
      <c r="AH543" s="16">
        <f t="shared" si="377"/>
        <v>-12198.620342577538</v>
      </c>
      <c r="AI543" s="15">
        <f t="shared" si="352"/>
        <v>22.170849845882874</v>
      </c>
      <c r="AJ543" s="75">
        <f>AI543*(1-PARAM!$C$27)*$I$11+(MOD($B543,60)=PARAM!$B$56)*($B543&gt;(60-PARAM!$B$56))*HLOOKUP(($B543+PARAM!$B$56)/12,Loyalty,2)*$F$1*MAX(AL542,0)</f>
        <v>18.557001321003963</v>
      </c>
      <c r="AK543" s="75">
        <f>PARAM!$C$26+MAX($G$11-CHOOSE(PARAM!$B$44,MAX(0,AL542*$F$1),0),0)*RATES!$L519/12+$H$11*(PARAM!$D$51/12)*RATES!$N519/100</f>
        <v>159.20833333333334</v>
      </c>
      <c r="AL543" s="16">
        <f t="shared" si="378"/>
        <v>-12198.620342577538</v>
      </c>
      <c r="AM543" s="15">
        <f t="shared" si="353"/>
        <v>22.170849845882874</v>
      </c>
      <c r="AN543" s="75">
        <f>AM543*(1-PARAM!$C$27)*$I$12+(MOD($B543,60)=PARAM!$B$56)*($B543&gt;(60-PARAM!$B$56))*HLOOKUP(($B543+PARAM!$B$56)/12,Loyalty,2)*$F$1*MAX(AP542,0)</f>
        <v>18.557001321003963</v>
      </c>
      <c r="AO543" s="75">
        <f>PARAM!$C$26+MAX($G$12-CHOOSE(PARAM!$B$44,MAX(0,AP542*$F$1),0),0)*RATES!$L519/12+$H$12*(PARAM!$D$51/12)*RATES!$N519/100</f>
        <v>159.20833333333334</v>
      </c>
      <c r="AP543" s="16">
        <f t="shared" si="379"/>
        <v>-12198.620342577538</v>
      </c>
      <c r="AQ543" s="15">
        <f t="shared" si="354"/>
        <v>22.170849845882874</v>
      </c>
      <c r="AR543" s="75">
        <f>AQ543*(1-PARAM!$C$27)*$I$13+(MOD($B543,60)=PARAM!$B$56)*($B543&gt;(60-PARAM!$B$56))*HLOOKUP(($B543+PARAM!$B$56)/12,Loyalty,2)*$F$1*MAX(AT542,0)</f>
        <v>18.557001321003963</v>
      </c>
      <c r="AS543" s="75">
        <f>PARAM!$C$26+MAX($G$13-CHOOSE(PARAM!$B$44,MAX(0,AT542*$F$1),0),0)*RATES!$L519/12+$H$13*(PARAM!$D$51/12)*RATES!$N519/100</f>
        <v>159.20833333333334</v>
      </c>
      <c r="AT543" s="16">
        <f t="shared" si="380"/>
        <v>-12198.620342577538</v>
      </c>
      <c r="AU543" s="15">
        <f t="shared" si="355"/>
        <v>22.170849845882874</v>
      </c>
      <c r="AV543" s="75">
        <f>AU543*(1-PARAM!$C$27)*$I$14+(MOD($B543,60)=PARAM!$B$56)*($B543&gt;(60-PARAM!$B$56))*HLOOKUP(($B543+PARAM!$B$56)/12,Loyalty,2)*$F$1*MAX(AX542,0)</f>
        <v>18.557001321003963</v>
      </c>
      <c r="AW543" s="75">
        <f>PARAM!$C$26+MAX($G$14-CHOOSE(PARAM!$B$44,MAX(0,AX542*$F$1),0),0)*RATES!$L519/12+$H$14*(PARAM!$D$51/12)*RATES!$N519/100</f>
        <v>159.20833333333334</v>
      </c>
      <c r="AX543" s="16">
        <f t="shared" si="381"/>
        <v>-12198.620342577538</v>
      </c>
      <c r="AY543" s="15">
        <f t="shared" si="356"/>
        <v>22.170849845882874</v>
      </c>
      <c r="AZ543" s="75">
        <f>AY543*(1-PARAM!$C$27)*$I$15+(MOD($B543,60)=PARAM!$B$56)*($B543&gt;(60-PARAM!$B$56))*HLOOKUP(($B543+PARAM!$B$56)/12,Loyalty,2)*$F$1*MAX(BB542,0)</f>
        <v>18.557001321003963</v>
      </c>
      <c r="BA543" s="75">
        <f>PARAM!$C$26+MAX($G$15-CHOOSE(PARAM!$B$44,MAX(0,BB542*$F$1),0),0)*RATES!$L519/12+$H$15*(PARAM!$D$51/12)*RATES!$N519/100</f>
        <v>159.20833333333334</v>
      </c>
      <c r="BB543" s="16">
        <f t="shared" si="382"/>
        <v>-12198.620342577538</v>
      </c>
      <c r="BC543" s="15">
        <f t="shared" si="357"/>
        <v>22.170849845882874</v>
      </c>
      <c r="BD543" s="75">
        <f>BC543*(1-PARAM!$C$27)*$I$16+(MOD($B543,60)=PARAM!$B$56)*($B543&gt;(60-PARAM!$B$56))*HLOOKUP(($B543+PARAM!$B$56)/12,Loyalty,2)*$F$1*MAX(BF542,0)</f>
        <v>18.557001321003963</v>
      </c>
      <c r="BE543" s="75">
        <f>PARAM!$C$26+MAX($G$16-CHOOSE(PARAM!$B$44,MAX(0,BF542*$F$1),0),0)*RATES!$L519/12+$H$16*(PARAM!$D$51/12)*RATES!$N519/100</f>
        <v>159.20833333333334</v>
      </c>
      <c r="BF543" s="16">
        <f t="shared" si="383"/>
        <v>-12198.620342577538</v>
      </c>
      <c r="BG543" s="15">
        <f t="shared" si="358"/>
        <v>22.170849845882874</v>
      </c>
      <c r="BH543" s="75">
        <f>BG543*(1-PARAM!$C$27)*$I$17+(MOD($B543,60)=PARAM!$B$56)*($B543&gt;(60-PARAM!$B$56))*HLOOKUP(($B543+PARAM!$B$56)/12,Loyalty,2)*$F$1*MAX(BJ542,0)</f>
        <v>18.557001321003963</v>
      </c>
      <c r="BI543" s="75">
        <f>PARAM!$C$26+MAX($G$17-CHOOSE(PARAM!$B$44,MAX(0,BJ542*$F$1),0),0)*RATES!$L519/12+$H$17*(PARAM!$D$51/12)*RATES!$N519/100</f>
        <v>159.20833333333334</v>
      </c>
      <c r="BJ543" s="16">
        <f t="shared" si="384"/>
        <v>-12198.620342577538</v>
      </c>
      <c r="BK543" s="15">
        <f t="shared" si="359"/>
        <v>22.170849845882874</v>
      </c>
      <c r="BL543" s="75">
        <f>BK543*(1-PARAM!$C$27)*$I$18+(MOD($B543,60)=PARAM!$B$56)*($B543&gt;(60-PARAM!$B$56))*HLOOKUP(($B543+PARAM!$B$56)/12,Loyalty,2)*$F$1*MAX(BN542,0)</f>
        <v>18.557001321003963</v>
      </c>
      <c r="BM543" s="75">
        <f>PARAM!$C$26+MAX($G$18-CHOOSE(PARAM!$B$44,MAX(0,BN542*$F$1),0),0)*RATES!$L519/12+$H$18*(PARAM!$D$51/12)*RATES!$N519/100</f>
        <v>159.20833333333334</v>
      </c>
      <c r="BN543" s="16">
        <f t="shared" si="385"/>
        <v>-12198.620342577538</v>
      </c>
      <c r="BO543" s="15">
        <f t="shared" si="360"/>
        <v>22.170849845882874</v>
      </c>
      <c r="BP543" s="75">
        <f>BO543*(1-PARAM!$C$27)*$I$19+(MOD($B543,60)=PARAM!$B$56)*($B543&gt;(60-PARAM!$B$56))*HLOOKUP(($B543+PARAM!$B$56)/12,Loyalty,2)*$F$1*MAX(BR542,0)</f>
        <v>18.557001321003963</v>
      </c>
      <c r="BQ543" s="75">
        <f>PARAM!$C$26+MAX($G$19-CHOOSE(PARAM!$B$44,MAX(0,BR542*$F$1),0),0)*RATES!$L519/12+$H$19*(PARAM!$D$51/12)*RATES!$N519/100</f>
        <v>159.20833333333334</v>
      </c>
      <c r="BR543" s="16">
        <f t="shared" si="386"/>
        <v>-12198.620342577538</v>
      </c>
      <c r="BS543" s="15">
        <f t="shared" si="361"/>
        <v>22.170849845882874</v>
      </c>
      <c r="BT543" s="75">
        <f>BS543*(1-PARAM!$C$27)*$I$20+(MOD($B543,60)=PARAM!$B$56)*($B543&gt;(60-PARAM!$B$56))*HLOOKUP(($B543+PARAM!$B$56)/12,Loyalty,2)*$F$1*MAX(BV542,0)</f>
        <v>18.557001321003963</v>
      </c>
      <c r="BU543" s="75">
        <f>PARAM!$C$26+MAX($G$20-CHOOSE(PARAM!$B$44,MAX(0,BV542*$F$1),0),0)*RATES!$L519/12+$H$20*(PARAM!$D$51/12)*RATES!$N519/100</f>
        <v>159.20833333333334</v>
      </c>
      <c r="BV543" s="16">
        <f t="shared" si="387"/>
        <v>-12198.620342577538</v>
      </c>
      <c r="BW543" s="15">
        <f t="shared" si="362"/>
        <v>22.170849845882874</v>
      </c>
      <c r="BX543" s="75">
        <f>BW543*(1-PARAM!$C$27)*$I$21+(MOD($B543,60)=PARAM!$B$56)*($B543&gt;(60-PARAM!$B$56))*HLOOKUP(($B543+PARAM!$B$56)/12,Loyalty,2)*$F$1*MAX(BZ542,0)</f>
        <v>18.557001321003963</v>
      </c>
      <c r="BY543" s="75">
        <f>PARAM!$C$26+MAX($G$21-CHOOSE(PARAM!$B$44,MAX(0,BZ542*$F$1),0),0)*RATES!$L519/12+$H$21*(PARAM!$D$51/12)*RATES!$N519/100</f>
        <v>159.20833333333334</v>
      </c>
      <c r="BZ543" s="16">
        <f t="shared" si="388"/>
        <v>-12198.620342577538</v>
      </c>
      <c r="CA543" s="15">
        <f t="shared" si="363"/>
        <v>22.170849845882874</v>
      </c>
      <c r="CB543" s="75">
        <f>CA543*(1-PARAM!$C$27)*$I$22+(MOD($B543,60)=PARAM!$B$56)*($B543&gt;(60-PARAM!$B$56))*HLOOKUP(($B543+PARAM!$B$56)/12,Loyalty,2)*$F$1*MAX(CD542,0)</f>
        <v>18.557001321003963</v>
      </c>
      <c r="CC543" s="75">
        <f>PARAM!$C$26+MAX($G$22-CHOOSE(PARAM!$B$44,MAX(0,CD542*$F$1),0),0)*RATES!$L519/12+$H$22*(PARAM!$D$51/12)*RATES!$N519/100</f>
        <v>159.20833333333334</v>
      </c>
      <c r="CD543" s="16">
        <f t="shared" si="389"/>
        <v>-12198.620342577538</v>
      </c>
      <c r="CE543" s="33">
        <f>IF(0=MOD(B543,12/PARAM!$D$51),1,0)</f>
        <v>1</v>
      </c>
      <c r="CF543" s="15">
        <f t="shared" si="364"/>
        <v>0</v>
      </c>
      <c r="CG543" s="75">
        <f>CF543*(1-PARAM!$C$27)*$R$3+(MOD($B543/12,5)=0)*($B543&gt;60)*HLOOKUP($B543/12,Loyalty,2)*$F$1*MAX(CI542,0)</f>
        <v>0</v>
      </c>
      <c r="CH543" s="75">
        <f>PARAM!$C$26+MAX($P$3-CHOOSE(PARAM!$B$44,MAX(0,CI542*$F$1),0),0)*RATES!$L519/12+$Q$3*(PARAM!$D$51/12)*RATES!$N519/100</f>
        <v>159.20833333333334</v>
      </c>
      <c r="CI543" s="16">
        <f>IF(CI542&gt;0,CI542*PARAM!$C$53,CI542)+CG543-CH543</f>
        <v>-21654.458333333321</v>
      </c>
      <c r="CJ543" s="15">
        <f t="shared" si="390"/>
        <v>0</v>
      </c>
      <c r="CK543" s="75">
        <f>CJ543*(1-PARAM!$C$27)*$R$4+(MOD($B543/12,5)=0)*($B543&gt;60)*HLOOKUP($B543/12,Loyalty,2)*$F$1*MAX(CM542,0)</f>
        <v>0</v>
      </c>
      <c r="CL543" s="75">
        <f>PARAM!$C$26+MAX($P$4-CHOOSE(PARAM!$B$44,MAX(0,CM542*$F$1),0),0)*RATES!$L519/12+$Q$4*(PARAM!$D$51/12)*RATES!$N519/100</f>
        <v>159.20833333333334</v>
      </c>
      <c r="CM543" s="16">
        <f>IF(CM542&gt;0,CM542*PARAM!$C$53,CM542)+CK543-CL543</f>
        <v>-21654.458333333321</v>
      </c>
      <c r="CO543" s="176"/>
    </row>
    <row r="544" spans="1:93" x14ac:dyDescent="0.2">
      <c r="A544" t="b">
        <f t="shared" si="365"/>
        <v>0</v>
      </c>
      <c r="B544" s="33">
        <v>517</v>
      </c>
      <c r="C544" s="15">
        <f t="shared" si="366"/>
        <v>20.081305947392778</v>
      </c>
      <c r="D544" s="75">
        <f>C544*(1-PARAM!$C$27)*$I$3+(MOD($B544,60)=PARAM!$B$56)*($B544&gt;(60-PARAM!$B$56))*HLOOKUP(($B544+PARAM!$B$56)/12,Loyalty,2)*$F$1*MAX(F543,0)</f>
        <v>16.808053077967756</v>
      </c>
      <c r="E544" s="75">
        <f>PARAM!$C$26+MAX($G$3-CHOOSE(PARAM!$B$44,MAX(0,F543*$F$1),0),0)*RATES!$L520/12+$H$3*(PARAM!$D$51/12)*RATES!$N520/100</f>
        <v>159.20833333333334</v>
      </c>
      <c r="F544" s="16">
        <f t="shared" si="367"/>
        <v>-13280.32841676106</v>
      </c>
      <c r="G544" s="15">
        <f t="shared" si="368"/>
        <v>22.035289406060361</v>
      </c>
      <c r="H544" s="75">
        <f>G544*(1-PARAM!$C$27)*$I$4+(MOD($B544,60)=PARAM!$B$56)*($B544&gt;(60-PARAM!$B$56))*HLOOKUP(($B544+PARAM!$B$56)/12,Loyalty,2)*$F$1*MAX(J543,0)</f>
        <v>18.443537232872522</v>
      </c>
      <c r="I544" s="75">
        <f>PARAM!$C$26+MAX($G$4-CHOOSE(PARAM!$B$44,MAX(0,J543*$F$1),0),0)*RATES!$L520/12+$H$4*(PARAM!$D$51/12)*RATES!$N520/100</f>
        <v>159.20833333333334</v>
      </c>
      <c r="J544" s="16">
        <f t="shared" si="369"/>
        <v>-12400.95014455361</v>
      </c>
      <c r="K544" s="15">
        <f t="shared" si="370"/>
        <v>22.170849845882874</v>
      </c>
      <c r="L544" s="75">
        <f>K544*(1-PARAM!$C$27)*$I$5+(MOD($B544,60)=PARAM!$B$56)*($B544&gt;(60-PARAM!$B$56))*HLOOKUP(($B544+PARAM!$B$56)/12,Loyalty,2)*$F$1*MAX(N543,0)</f>
        <v>18.557001321003963</v>
      </c>
      <c r="M544" s="75">
        <f>PARAM!$C$26+MAX($G$5-CHOOSE(PARAM!$B$44,MAX(0,N543*$F$1),0),0)*RATES!$L520/12+$H$5*(PARAM!$D$51/12)*RATES!$N520/100</f>
        <v>159.20833333333334</v>
      </c>
      <c r="N544" s="16">
        <f t="shared" si="371"/>
        <v>-12339.271674589869</v>
      </c>
      <c r="O544" s="15">
        <f t="shared" si="372"/>
        <v>22.170849845882874</v>
      </c>
      <c r="P544" s="75">
        <f>O544*(1-PARAM!$C$27)*$I$6+(MOD($B544,60)=PARAM!$B$56)*($B544&gt;(60-PARAM!$B$56))*HLOOKUP(($B544+PARAM!$B$56)/12,Loyalty,2)*$F$1*MAX(R543,0)</f>
        <v>18.557001321003963</v>
      </c>
      <c r="Q544" s="75">
        <f>PARAM!$C$26+MAX($G$6-CHOOSE(PARAM!$B$44,MAX(0,R543*$F$1),0),0)*RATES!$L520/12+$H$6*(PARAM!$D$51/12)*RATES!$N520/100</f>
        <v>159.20833333333334</v>
      </c>
      <c r="R544" s="16">
        <f t="shared" si="373"/>
        <v>-12339.271674589869</v>
      </c>
      <c r="S544" s="15">
        <f t="shared" si="348"/>
        <v>22.170849845882874</v>
      </c>
      <c r="T544" s="75">
        <f>S544*(1-PARAM!$C$27)*$I$7+(MOD($B544,60)=PARAM!$B$56)*($B544&gt;(60-PARAM!$B$56))*HLOOKUP(($B544+PARAM!$B$56)/12,Loyalty,2)*$F$1*MAX(V543,0)</f>
        <v>18.557001321003963</v>
      </c>
      <c r="U544" s="75">
        <f>PARAM!$C$26+MAX($G$7-CHOOSE(PARAM!$B$44,MAX(0,V543*$F$1),0),0)*RATES!$L520/12+$H$7*(PARAM!$D$51/12)*RATES!$N520/100</f>
        <v>159.20833333333334</v>
      </c>
      <c r="V544" s="16">
        <f t="shared" si="374"/>
        <v>-12339.271674589869</v>
      </c>
      <c r="W544" s="15">
        <f t="shared" si="349"/>
        <v>22.170849845882874</v>
      </c>
      <c r="X544" s="75">
        <f>W544*(1-PARAM!$C$27)*$I$8+(MOD($B544,60)=PARAM!$B$56)*($B544&gt;(60-PARAM!$B$56))*HLOOKUP(($B544+PARAM!$B$56)/12,Loyalty,2)*$F$1*MAX(Z543,0)</f>
        <v>18.557001321003963</v>
      </c>
      <c r="Y544" s="75">
        <f>PARAM!$C$26+MAX($G$8-CHOOSE(PARAM!$B$44,MAX(0,Z543*$F$1),0),0)*RATES!$L520/12+$H$8*(PARAM!$D$51/12)*RATES!$N520/100</f>
        <v>159.20833333333334</v>
      </c>
      <c r="Z544" s="16">
        <f t="shared" si="375"/>
        <v>-12339.271674589869</v>
      </c>
      <c r="AA544" s="15">
        <f t="shared" si="350"/>
        <v>22.170849845882874</v>
      </c>
      <c r="AB544" s="75">
        <f>AA544*(1-PARAM!$C$27)*$I$9+(MOD($B544,60)=PARAM!$B$56)*($B544&gt;(60-PARAM!$B$56))*HLOOKUP(($B544+PARAM!$B$56)/12,Loyalty,2)*$F$1*MAX(AD543,0)</f>
        <v>18.557001321003963</v>
      </c>
      <c r="AC544" s="75">
        <f>PARAM!$C$26+MAX($G$9-CHOOSE(PARAM!$B$44,MAX(0,AD543*$F$1),0),0)*RATES!$L520/12+$H$9*(PARAM!$D$51/12)*RATES!$N520/100</f>
        <v>159.20833333333334</v>
      </c>
      <c r="AD544" s="16">
        <f t="shared" si="376"/>
        <v>-12339.271674589869</v>
      </c>
      <c r="AE544" s="15">
        <f t="shared" si="351"/>
        <v>22.170849845882874</v>
      </c>
      <c r="AF544" s="75">
        <f>AE544*(1-PARAM!$C$27)*$I$10+(MOD($B544,60)=PARAM!$B$56)*($B544&gt;(60-PARAM!$B$56))*HLOOKUP(($B544+PARAM!$B$56)/12,Loyalty,2)*$F$1*MAX(AH543,0)</f>
        <v>18.557001321003963</v>
      </c>
      <c r="AG544" s="75">
        <f>PARAM!$C$26+MAX($G$10-CHOOSE(PARAM!$B$44,MAX(0,AH543*$F$1),0),0)*RATES!$L520/12+$H$10*(PARAM!$D$51/12)*RATES!$N520/100</f>
        <v>159.20833333333334</v>
      </c>
      <c r="AH544" s="16">
        <f t="shared" si="377"/>
        <v>-12339.271674589869</v>
      </c>
      <c r="AI544" s="15">
        <f t="shared" si="352"/>
        <v>22.170849845882874</v>
      </c>
      <c r="AJ544" s="75">
        <f>AI544*(1-PARAM!$C$27)*$I$11+(MOD($B544,60)=PARAM!$B$56)*($B544&gt;(60-PARAM!$B$56))*HLOOKUP(($B544+PARAM!$B$56)/12,Loyalty,2)*$F$1*MAX(AL543,0)</f>
        <v>18.557001321003963</v>
      </c>
      <c r="AK544" s="75">
        <f>PARAM!$C$26+MAX($G$11-CHOOSE(PARAM!$B$44,MAX(0,AL543*$F$1),0),0)*RATES!$L520/12+$H$11*(PARAM!$D$51/12)*RATES!$N520/100</f>
        <v>159.20833333333334</v>
      </c>
      <c r="AL544" s="16">
        <f t="shared" si="378"/>
        <v>-12339.271674589869</v>
      </c>
      <c r="AM544" s="15">
        <f t="shared" si="353"/>
        <v>22.170849845882874</v>
      </c>
      <c r="AN544" s="75">
        <f>AM544*(1-PARAM!$C$27)*$I$12+(MOD($B544,60)=PARAM!$B$56)*($B544&gt;(60-PARAM!$B$56))*HLOOKUP(($B544+PARAM!$B$56)/12,Loyalty,2)*$F$1*MAX(AP543,0)</f>
        <v>18.557001321003963</v>
      </c>
      <c r="AO544" s="75">
        <f>PARAM!$C$26+MAX($G$12-CHOOSE(PARAM!$B$44,MAX(0,AP543*$F$1),0),0)*RATES!$L520/12+$H$12*(PARAM!$D$51/12)*RATES!$N520/100</f>
        <v>159.20833333333334</v>
      </c>
      <c r="AP544" s="16">
        <f t="shared" si="379"/>
        <v>-12339.271674589869</v>
      </c>
      <c r="AQ544" s="15">
        <f t="shared" si="354"/>
        <v>22.170849845882874</v>
      </c>
      <c r="AR544" s="75">
        <f>AQ544*(1-PARAM!$C$27)*$I$13+(MOD($B544,60)=PARAM!$B$56)*($B544&gt;(60-PARAM!$B$56))*HLOOKUP(($B544+PARAM!$B$56)/12,Loyalty,2)*$F$1*MAX(AT543,0)</f>
        <v>18.557001321003963</v>
      </c>
      <c r="AS544" s="75">
        <f>PARAM!$C$26+MAX($G$13-CHOOSE(PARAM!$B$44,MAX(0,AT543*$F$1),0),0)*RATES!$L520/12+$H$13*(PARAM!$D$51/12)*RATES!$N520/100</f>
        <v>159.20833333333334</v>
      </c>
      <c r="AT544" s="16">
        <f t="shared" si="380"/>
        <v>-12339.271674589869</v>
      </c>
      <c r="AU544" s="15">
        <f t="shared" si="355"/>
        <v>22.170849845882874</v>
      </c>
      <c r="AV544" s="75">
        <f>AU544*(1-PARAM!$C$27)*$I$14+(MOD($B544,60)=PARAM!$B$56)*($B544&gt;(60-PARAM!$B$56))*HLOOKUP(($B544+PARAM!$B$56)/12,Loyalty,2)*$F$1*MAX(AX543,0)</f>
        <v>18.557001321003963</v>
      </c>
      <c r="AW544" s="75">
        <f>PARAM!$C$26+MAX($G$14-CHOOSE(PARAM!$B$44,MAX(0,AX543*$F$1),0),0)*RATES!$L520/12+$H$14*(PARAM!$D$51/12)*RATES!$N520/100</f>
        <v>159.20833333333334</v>
      </c>
      <c r="AX544" s="16">
        <f t="shared" si="381"/>
        <v>-12339.271674589869</v>
      </c>
      <c r="AY544" s="15">
        <f t="shared" si="356"/>
        <v>22.170849845882874</v>
      </c>
      <c r="AZ544" s="75">
        <f>AY544*(1-PARAM!$C$27)*$I$15+(MOD($B544,60)=PARAM!$B$56)*($B544&gt;(60-PARAM!$B$56))*HLOOKUP(($B544+PARAM!$B$56)/12,Loyalty,2)*$F$1*MAX(BB543,0)</f>
        <v>18.557001321003963</v>
      </c>
      <c r="BA544" s="75">
        <f>PARAM!$C$26+MAX($G$15-CHOOSE(PARAM!$B$44,MAX(0,BB543*$F$1),0),0)*RATES!$L520/12+$H$15*(PARAM!$D$51/12)*RATES!$N520/100</f>
        <v>159.20833333333334</v>
      </c>
      <c r="BB544" s="16">
        <f t="shared" si="382"/>
        <v>-12339.271674589869</v>
      </c>
      <c r="BC544" s="15">
        <f t="shared" si="357"/>
        <v>22.170849845882874</v>
      </c>
      <c r="BD544" s="75">
        <f>BC544*(1-PARAM!$C$27)*$I$16+(MOD($B544,60)=PARAM!$B$56)*($B544&gt;(60-PARAM!$B$56))*HLOOKUP(($B544+PARAM!$B$56)/12,Loyalty,2)*$F$1*MAX(BF543,0)</f>
        <v>18.557001321003963</v>
      </c>
      <c r="BE544" s="75">
        <f>PARAM!$C$26+MAX($G$16-CHOOSE(PARAM!$B$44,MAX(0,BF543*$F$1),0),0)*RATES!$L520/12+$H$16*(PARAM!$D$51/12)*RATES!$N520/100</f>
        <v>159.20833333333334</v>
      </c>
      <c r="BF544" s="16">
        <f t="shared" si="383"/>
        <v>-12339.271674589869</v>
      </c>
      <c r="BG544" s="15">
        <f t="shared" si="358"/>
        <v>22.170849845882874</v>
      </c>
      <c r="BH544" s="75">
        <f>BG544*(1-PARAM!$C$27)*$I$17+(MOD($B544,60)=PARAM!$B$56)*($B544&gt;(60-PARAM!$B$56))*HLOOKUP(($B544+PARAM!$B$56)/12,Loyalty,2)*$F$1*MAX(BJ543,0)</f>
        <v>18.557001321003963</v>
      </c>
      <c r="BI544" s="75">
        <f>PARAM!$C$26+MAX($G$17-CHOOSE(PARAM!$B$44,MAX(0,BJ543*$F$1),0),0)*RATES!$L520/12+$H$17*(PARAM!$D$51/12)*RATES!$N520/100</f>
        <v>159.20833333333334</v>
      </c>
      <c r="BJ544" s="16">
        <f t="shared" si="384"/>
        <v>-12339.271674589869</v>
      </c>
      <c r="BK544" s="15">
        <f t="shared" si="359"/>
        <v>22.170849845882874</v>
      </c>
      <c r="BL544" s="75">
        <f>BK544*(1-PARAM!$C$27)*$I$18+(MOD($B544,60)=PARAM!$B$56)*($B544&gt;(60-PARAM!$B$56))*HLOOKUP(($B544+PARAM!$B$56)/12,Loyalty,2)*$F$1*MAX(BN543,0)</f>
        <v>18.557001321003963</v>
      </c>
      <c r="BM544" s="75">
        <f>PARAM!$C$26+MAX($G$18-CHOOSE(PARAM!$B$44,MAX(0,BN543*$F$1),0),0)*RATES!$L520/12+$H$18*(PARAM!$D$51/12)*RATES!$N520/100</f>
        <v>159.20833333333334</v>
      </c>
      <c r="BN544" s="16">
        <f t="shared" si="385"/>
        <v>-12339.271674589869</v>
      </c>
      <c r="BO544" s="15">
        <f t="shared" si="360"/>
        <v>22.170849845882874</v>
      </c>
      <c r="BP544" s="75">
        <f>BO544*(1-PARAM!$C$27)*$I$19+(MOD($B544,60)=PARAM!$B$56)*($B544&gt;(60-PARAM!$B$56))*HLOOKUP(($B544+PARAM!$B$56)/12,Loyalty,2)*$F$1*MAX(BR543,0)</f>
        <v>18.557001321003963</v>
      </c>
      <c r="BQ544" s="75">
        <f>PARAM!$C$26+MAX($G$19-CHOOSE(PARAM!$B$44,MAX(0,BR543*$F$1),0),0)*RATES!$L520/12+$H$19*(PARAM!$D$51/12)*RATES!$N520/100</f>
        <v>159.20833333333334</v>
      </c>
      <c r="BR544" s="16">
        <f t="shared" si="386"/>
        <v>-12339.271674589869</v>
      </c>
      <c r="BS544" s="15">
        <f t="shared" si="361"/>
        <v>22.170849845882874</v>
      </c>
      <c r="BT544" s="75">
        <f>BS544*(1-PARAM!$C$27)*$I$20+(MOD($B544,60)=PARAM!$B$56)*($B544&gt;(60-PARAM!$B$56))*HLOOKUP(($B544+PARAM!$B$56)/12,Loyalty,2)*$F$1*MAX(BV543,0)</f>
        <v>18.557001321003963</v>
      </c>
      <c r="BU544" s="75">
        <f>PARAM!$C$26+MAX($G$20-CHOOSE(PARAM!$B$44,MAX(0,BV543*$F$1),0),0)*RATES!$L520/12+$H$20*(PARAM!$D$51/12)*RATES!$N520/100</f>
        <v>159.20833333333334</v>
      </c>
      <c r="BV544" s="16">
        <f t="shared" si="387"/>
        <v>-12339.271674589869</v>
      </c>
      <c r="BW544" s="15">
        <f t="shared" si="362"/>
        <v>22.170849845882874</v>
      </c>
      <c r="BX544" s="75">
        <f>BW544*(1-PARAM!$C$27)*$I$21+(MOD($B544,60)=PARAM!$B$56)*($B544&gt;(60-PARAM!$B$56))*HLOOKUP(($B544+PARAM!$B$56)/12,Loyalty,2)*$F$1*MAX(BZ543,0)</f>
        <v>18.557001321003963</v>
      </c>
      <c r="BY544" s="75">
        <f>PARAM!$C$26+MAX($G$21-CHOOSE(PARAM!$B$44,MAX(0,BZ543*$F$1),0),0)*RATES!$L520/12+$H$21*(PARAM!$D$51/12)*RATES!$N520/100</f>
        <v>159.20833333333334</v>
      </c>
      <c r="BZ544" s="16">
        <f t="shared" si="388"/>
        <v>-12339.271674589869</v>
      </c>
      <c r="CA544" s="15">
        <f t="shared" si="363"/>
        <v>22.170849845882874</v>
      </c>
      <c r="CB544" s="75">
        <f>CA544*(1-PARAM!$C$27)*$I$22+(MOD($B544,60)=PARAM!$B$56)*($B544&gt;(60-PARAM!$B$56))*HLOOKUP(($B544+PARAM!$B$56)/12,Loyalty,2)*$F$1*MAX(CD543,0)</f>
        <v>18.557001321003963</v>
      </c>
      <c r="CC544" s="75">
        <f>PARAM!$C$26+MAX($G$22-CHOOSE(PARAM!$B$44,MAX(0,CD543*$F$1),0),0)*RATES!$L520/12+$H$22*(PARAM!$D$51/12)*RATES!$N520/100</f>
        <v>159.20833333333334</v>
      </c>
      <c r="CD544" s="16">
        <f t="shared" si="389"/>
        <v>-12339.271674589869</v>
      </c>
      <c r="CE544" s="33">
        <f>IF(0=MOD(B544,12/PARAM!$D$51),1,0)</f>
        <v>1</v>
      </c>
      <c r="CF544" s="15">
        <f t="shared" si="364"/>
        <v>0</v>
      </c>
      <c r="CG544" s="75">
        <f>CF544*(1-PARAM!$C$27)*$R$3+(MOD($B544/12,5)=0)*($B544&gt;60)*HLOOKUP($B544/12,Loyalty,2)*$F$1*MAX(CI543,0)</f>
        <v>0</v>
      </c>
      <c r="CH544" s="75">
        <f>PARAM!$C$26+MAX($P$3-CHOOSE(PARAM!$B$44,MAX(0,CI543*$F$1),0),0)*RATES!$L520/12+$Q$3*(PARAM!$D$51/12)*RATES!$N520/100</f>
        <v>159.20833333333334</v>
      </c>
      <c r="CI544" s="16">
        <f>IF(CI543&gt;0,CI543*PARAM!$C$53,CI543)+CG544-CH544</f>
        <v>-21813.666666666653</v>
      </c>
      <c r="CJ544" s="15">
        <f t="shared" si="390"/>
        <v>0</v>
      </c>
      <c r="CK544" s="75">
        <f>CJ544*(1-PARAM!$C$27)*$R$4+(MOD($B544/12,5)=0)*($B544&gt;60)*HLOOKUP($B544/12,Loyalty,2)*$F$1*MAX(CM543,0)</f>
        <v>0</v>
      </c>
      <c r="CL544" s="75">
        <f>PARAM!$C$26+MAX($P$4-CHOOSE(PARAM!$B$44,MAX(0,CM543*$F$1),0),0)*RATES!$L520/12+$Q$4*(PARAM!$D$51/12)*RATES!$N520/100</f>
        <v>159.20833333333334</v>
      </c>
      <c r="CM544" s="16">
        <f>IF(CM543&gt;0,CM543*PARAM!$C$53,CM543)+CK544-CL544</f>
        <v>-21813.666666666653</v>
      </c>
      <c r="CO544" s="176"/>
    </row>
    <row r="545" spans="1:93" x14ac:dyDescent="0.2">
      <c r="A545" t="b">
        <f t="shared" si="365"/>
        <v>0</v>
      </c>
      <c r="B545" s="33">
        <v>518</v>
      </c>
      <c r="C545" s="15">
        <f t="shared" si="366"/>
        <v>20.081305947392778</v>
      </c>
      <c r="D545" s="75">
        <f>C545*(1-PARAM!$C$27)*$I$3+(MOD($B545,60)=PARAM!$B$56)*($B545&gt;(60-PARAM!$B$56))*HLOOKUP(($B545+PARAM!$B$56)/12,Loyalty,2)*$F$1*MAX(F544,0)</f>
        <v>16.808053077967756</v>
      </c>
      <c r="E545" s="75">
        <f>PARAM!$C$26+MAX($G$3-CHOOSE(PARAM!$B$44,MAX(0,F544*$F$1),0),0)*RATES!$L521/12+$H$3*(PARAM!$D$51/12)*RATES!$N521/100</f>
        <v>159.20833333333334</v>
      </c>
      <c r="F545" s="16">
        <f t="shared" si="367"/>
        <v>-13422.728697016426</v>
      </c>
      <c r="G545" s="15">
        <f t="shared" si="368"/>
        <v>22.035289406060361</v>
      </c>
      <c r="H545" s="75">
        <f>G545*(1-PARAM!$C$27)*$I$4+(MOD($B545,60)=PARAM!$B$56)*($B545&gt;(60-PARAM!$B$56))*HLOOKUP(($B545+PARAM!$B$56)/12,Loyalty,2)*$F$1*MAX(J544,0)</f>
        <v>18.443537232872522</v>
      </c>
      <c r="I545" s="75">
        <f>PARAM!$C$26+MAX($G$4-CHOOSE(PARAM!$B$44,MAX(0,J544*$F$1),0),0)*RATES!$L521/12+$H$4*(PARAM!$D$51/12)*RATES!$N521/100</f>
        <v>159.20833333333334</v>
      </c>
      <c r="J545" s="16">
        <f t="shared" si="369"/>
        <v>-12541.714940654072</v>
      </c>
      <c r="K545" s="15">
        <f t="shared" si="370"/>
        <v>22.170849845882874</v>
      </c>
      <c r="L545" s="75">
        <f>K545*(1-PARAM!$C$27)*$I$5+(MOD($B545,60)=PARAM!$B$56)*($B545&gt;(60-PARAM!$B$56))*HLOOKUP(($B545+PARAM!$B$56)/12,Loyalty,2)*$F$1*MAX(N544,0)</f>
        <v>18.557001321003963</v>
      </c>
      <c r="M545" s="75">
        <f>PARAM!$C$26+MAX($G$5-CHOOSE(PARAM!$B$44,MAX(0,N544*$F$1),0),0)*RATES!$L521/12+$H$5*(PARAM!$D$51/12)*RATES!$N521/100</f>
        <v>159.20833333333334</v>
      </c>
      <c r="N545" s="16">
        <f t="shared" si="371"/>
        <v>-12479.923006602199</v>
      </c>
      <c r="O545" s="15">
        <f t="shared" si="372"/>
        <v>22.170849845882874</v>
      </c>
      <c r="P545" s="75">
        <f>O545*(1-PARAM!$C$27)*$I$6+(MOD($B545,60)=PARAM!$B$56)*($B545&gt;(60-PARAM!$B$56))*HLOOKUP(($B545+PARAM!$B$56)/12,Loyalty,2)*$F$1*MAX(R544,0)</f>
        <v>18.557001321003963</v>
      </c>
      <c r="Q545" s="75">
        <f>PARAM!$C$26+MAX($G$6-CHOOSE(PARAM!$B$44,MAX(0,R544*$F$1),0),0)*RATES!$L521/12+$H$6*(PARAM!$D$51/12)*RATES!$N521/100</f>
        <v>159.20833333333334</v>
      </c>
      <c r="R545" s="16">
        <f t="shared" si="373"/>
        <v>-12479.923006602199</v>
      </c>
      <c r="S545" s="15">
        <f t="shared" si="348"/>
        <v>22.170849845882874</v>
      </c>
      <c r="T545" s="75">
        <f>S545*(1-PARAM!$C$27)*$I$7+(MOD($B545,60)=PARAM!$B$56)*($B545&gt;(60-PARAM!$B$56))*HLOOKUP(($B545+PARAM!$B$56)/12,Loyalty,2)*$F$1*MAX(V544,0)</f>
        <v>18.557001321003963</v>
      </c>
      <c r="U545" s="75">
        <f>PARAM!$C$26+MAX($G$7-CHOOSE(PARAM!$B$44,MAX(0,V544*$F$1),0),0)*RATES!$L521/12+$H$7*(PARAM!$D$51/12)*RATES!$N521/100</f>
        <v>159.20833333333334</v>
      </c>
      <c r="V545" s="16">
        <f t="shared" si="374"/>
        <v>-12479.923006602199</v>
      </c>
      <c r="W545" s="15">
        <f t="shared" si="349"/>
        <v>22.170849845882874</v>
      </c>
      <c r="X545" s="75">
        <f>W545*(1-PARAM!$C$27)*$I$8+(MOD($B545,60)=PARAM!$B$56)*($B545&gt;(60-PARAM!$B$56))*HLOOKUP(($B545+PARAM!$B$56)/12,Loyalty,2)*$F$1*MAX(Z544,0)</f>
        <v>18.557001321003963</v>
      </c>
      <c r="Y545" s="75">
        <f>PARAM!$C$26+MAX($G$8-CHOOSE(PARAM!$B$44,MAX(0,Z544*$F$1),0),0)*RATES!$L521/12+$H$8*(PARAM!$D$51/12)*RATES!$N521/100</f>
        <v>159.20833333333334</v>
      </c>
      <c r="Z545" s="16">
        <f t="shared" si="375"/>
        <v>-12479.923006602199</v>
      </c>
      <c r="AA545" s="15">
        <f t="shared" si="350"/>
        <v>22.170849845882874</v>
      </c>
      <c r="AB545" s="75">
        <f>AA545*(1-PARAM!$C$27)*$I$9+(MOD($B545,60)=PARAM!$B$56)*($B545&gt;(60-PARAM!$B$56))*HLOOKUP(($B545+PARAM!$B$56)/12,Loyalty,2)*$F$1*MAX(AD544,0)</f>
        <v>18.557001321003963</v>
      </c>
      <c r="AC545" s="75">
        <f>PARAM!$C$26+MAX($G$9-CHOOSE(PARAM!$B$44,MAX(0,AD544*$F$1),0),0)*RATES!$L521/12+$H$9*(PARAM!$D$51/12)*RATES!$N521/100</f>
        <v>159.20833333333334</v>
      </c>
      <c r="AD545" s="16">
        <f t="shared" si="376"/>
        <v>-12479.923006602199</v>
      </c>
      <c r="AE545" s="15">
        <f t="shared" si="351"/>
        <v>22.170849845882874</v>
      </c>
      <c r="AF545" s="75">
        <f>AE545*(1-PARAM!$C$27)*$I$10+(MOD($B545,60)=PARAM!$B$56)*($B545&gt;(60-PARAM!$B$56))*HLOOKUP(($B545+PARAM!$B$56)/12,Loyalty,2)*$F$1*MAX(AH544,0)</f>
        <v>18.557001321003963</v>
      </c>
      <c r="AG545" s="75">
        <f>PARAM!$C$26+MAX($G$10-CHOOSE(PARAM!$B$44,MAX(0,AH544*$F$1),0),0)*RATES!$L521/12+$H$10*(PARAM!$D$51/12)*RATES!$N521/100</f>
        <v>159.20833333333334</v>
      </c>
      <c r="AH545" s="16">
        <f t="shared" si="377"/>
        <v>-12479.923006602199</v>
      </c>
      <c r="AI545" s="15">
        <f t="shared" si="352"/>
        <v>22.170849845882874</v>
      </c>
      <c r="AJ545" s="75">
        <f>AI545*(1-PARAM!$C$27)*$I$11+(MOD($B545,60)=PARAM!$B$56)*($B545&gt;(60-PARAM!$B$56))*HLOOKUP(($B545+PARAM!$B$56)/12,Loyalty,2)*$F$1*MAX(AL544,0)</f>
        <v>18.557001321003963</v>
      </c>
      <c r="AK545" s="75">
        <f>PARAM!$C$26+MAX($G$11-CHOOSE(PARAM!$B$44,MAX(0,AL544*$F$1),0),0)*RATES!$L521/12+$H$11*(PARAM!$D$51/12)*RATES!$N521/100</f>
        <v>159.20833333333334</v>
      </c>
      <c r="AL545" s="16">
        <f t="shared" si="378"/>
        <v>-12479.923006602199</v>
      </c>
      <c r="AM545" s="15">
        <f t="shared" si="353"/>
        <v>22.170849845882874</v>
      </c>
      <c r="AN545" s="75">
        <f>AM545*(1-PARAM!$C$27)*$I$12+(MOD($B545,60)=PARAM!$B$56)*($B545&gt;(60-PARAM!$B$56))*HLOOKUP(($B545+PARAM!$B$56)/12,Loyalty,2)*$F$1*MAX(AP544,0)</f>
        <v>18.557001321003963</v>
      </c>
      <c r="AO545" s="75">
        <f>PARAM!$C$26+MAX($G$12-CHOOSE(PARAM!$B$44,MAX(0,AP544*$F$1),0),0)*RATES!$L521/12+$H$12*(PARAM!$D$51/12)*RATES!$N521/100</f>
        <v>159.20833333333334</v>
      </c>
      <c r="AP545" s="16">
        <f t="shared" si="379"/>
        <v>-12479.923006602199</v>
      </c>
      <c r="AQ545" s="15">
        <f t="shared" si="354"/>
        <v>22.170849845882874</v>
      </c>
      <c r="AR545" s="75">
        <f>AQ545*(1-PARAM!$C$27)*$I$13+(MOD($B545,60)=PARAM!$B$56)*($B545&gt;(60-PARAM!$B$56))*HLOOKUP(($B545+PARAM!$B$56)/12,Loyalty,2)*$F$1*MAX(AT544,0)</f>
        <v>18.557001321003963</v>
      </c>
      <c r="AS545" s="75">
        <f>PARAM!$C$26+MAX($G$13-CHOOSE(PARAM!$B$44,MAX(0,AT544*$F$1),0),0)*RATES!$L521/12+$H$13*(PARAM!$D$51/12)*RATES!$N521/100</f>
        <v>159.20833333333334</v>
      </c>
      <c r="AT545" s="16">
        <f t="shared" si="380"/>
        <v>-12479.923006602199</v>
      </c>
      <c r="AU545" s="15">
        <f t="shared" si="355"/>
        <v>22.170849845882874</v>
      </c>
      <c r="AV545" s="75">
        <f>AU545*(1-PARAM!$C$27)*$I$14+(MOD($B545,60)=PARAM!$B$56)*($B545&gt;(60-PARAM!$B$56))*HLOOKUP(($B545+PARAM!$B$56)/12,Loyalty,2)*$F$1*MAX(AX544,0)</f>
        <v>18.557001321003963</v>
      </c>
      <c r="AW545" s="75">
        <f>PARAM!$C$26+MAX($G$14-CHOOSE(PARAM!$B$44,MAX(0,AX544*$F$1),0),0)*RATES!$L521/12+$H$14*(PARAM!$D$51/12)*RATES!$N521/100</f>
        <v>159.20833333333334</v>
      </c>
      <c r="AX545" s="16">
        <f t="shared" si="381"/>
        <v>-12479.923006602199</v>
      </c>
      <c r="AY545" s="15">
        <f t="shared" si="356"/>
        <v>22.170849845882874</v>
      </c>
      <c r="AZ545" s="75">
        <f>AY545*(1-PARAM!$C$27)*$I$15+(MOD($B545,60)=PARAM!$B$56)*($B545&gt;(60-PARAM!$B$56))*HLOOKUP(($B545+PARAM!$B$56)/12,Loyalty,2)*$F$1*MAX(BB544,0)</f>
        <v>18.557001321003963</v>
      </c>
      <c r="BA545" s="75">
        <f>PARAM!$C$26+MAX($G$15-CHOOSE(PARAM!$B$44,MAX(0,BB544*$F$1),0),0)*RATES!$L521/12+$H$15*(PARAM!$D$51/12)*RATES!$N521/100</f>
        <v>159.20833333333334</v>
      </c>
      <c r="BB545" s="16">
        <f t="shared" si="382"/>
        <v>-12479.923006602199</v>
      </c>
      <c r="BC545" s="15">
        <f t="shared" si="357"/>
        <v>22.170849845882874</v>
      </c>
      <c r="BD545" s="75">
        <f>BC545*(1-PARAM!$C$27)*$I$16+(MOD($B545,60)=PARAM!$B$56)*($B545&gt;(60-PARAM!$B$56))*HLOOKUP(($B545+PARAM!$B$56)/12,Loyalty,2)*$F$1*MAX(BF544,0)</f>
        <v>18.557001321003963</v>
      </c>
      <c r="BE545" s="75">
        <f>PARAM!$C$26+MAX($G$16-CHOOSE(PARAM!$B$44,MAX(0,BF544*$F$1),0),0)*RATES!$L521/12+$H$16*(PARAM!$D$51/12)*RATES!$N521/100</f>
        <v>159.20833333333334</v>
      </c>
      <c r="BF545" s="16">
        <f t="shared" si="383"/>
        <v>-12479.923006602199</v>
      </c>
      <c r="BG545" s="15">
        <f t="shared" si="358"/>
        <v>22.170849845882874</v>
      </c>
      <c r="BH545" s="75">
        <f>BG545*(1-PARAM!$C$27)*$I$17+(MOD($B545,60)=PARAM!$B$56)*($B545&gt;(60-PARAM!$B$56))*HLOOKUP(($B545+PARAM!$B$56)/12,Loyalty,2)*$F$1*MAX(BJ544,0)</f>
        <v>18.557001321003963</v>
      </c>
      <c r="BI545" s="75">
        <f>PARAM!$C$26+MAX($G$17-CHOOSE(PARAM!$B$44,MAX(0,BJ544*$F$1),0),0)*RATES!$L521/12+$H$17*(PARAM!$D$51/12)*RATES!$N521/100</f>
        <v>159.20833333333334</v>
      </c>
      <c r="BJ545" s="16">
        <f t="shared" si="384"/>
        <v>-12479.923006602199</v>
      </c>
      <c r="BK545" s="15">
        <f t="shared" si="359"/>
        <v>22.170849845882874</v>
      </c>
      <c r="BL545" s="75">
        <f>BK545*(1-PARAM!$C$27)*$I$18+(MOD($B545,60)=PARAM!$B$56)*($B545&gt;(60-PARAM!$B$56))*HLOOKUP(($B545+PARAM!$B$56)/12,Loyalty,2)*$F$1*MAX(BN544,0)</f>
        <v>18.557001321003963</v>
      </c>
      <c r="BM545" s="75">
        <f>PARAM!$C$26+MAX($G$18-CHOOSE(PARAM!$B$44,MAX(0,BN544*$F$1),0),0)*RATES!$L521/12+$H$18*(PARAM!$D$51/12)*RATES!$N521/100</f>
        <v>159.20833333333334</v>
      </c>
      <c r="BN545" s="16">
        <f t="shared" si="385"/>
        <v>-12479.923006602199</v>
      </c>
      <c r="BO545" s="15">
        <f t="shared" si="360"/>
        <v>22.170849845882874</v>
      </c>
      <c r="BP545" s="75">
        <f>BO545*(1-PARAM!$C$27)*$I$19+(MOD($B545,60)=PARAM!$B$56)*($B545&gt;(60-PARAM!$B$56))*HLOOKUP(($B545+PARAM!$B$56)/12,Loyalty,2)*$F$1*MAX(BR544,0)</f>
        <v>18.557001321003963</v>
      </c>
      <c r="BQ545" s="75">
        <f>PARAM!$C$26+MAX($G$19-CHOOSE(PARAM!$B$44,MAX(0,BR544*$F$1),0),0)*RATES!$L521/12+$H$19*(PARAM!$D$51/12)*RATES!$N521/100</f>
        <v>159.20833333333334</v>
      </c>
      <c r="BR545" s="16">
        <f t="shared" si="386"/>
        <v>-12479.923006602199</v>
      </c>
      <c r="BS545" s="15">
        <f t="shared" si="361"/>
        <v>22.170849845882874</v>
      </c>
      <c r="BT545" s="75">
        <f>BS545*(1-PARAM!$C$27)*$I$20+(MOD($B545,60)=PARAM!$B$56)*($B545&gt;(60-PARAM!$B$56))*HLOOKUP(($B545+PARAM!$B$56)/12,Loyalty,2)*$F$1*MAX(BV544,0)</f>
        <v>18.557001321003963</v>
      </c>
      <c r="BU545" s="75">
        <f>PARAM!$C$26+MAX($G$20-CHOOSE(PARAM!$B$44,MAX(0,BV544*$F$1),0),0)*RATES!$L521/12+$H$20*(PARAM!$D$51/12)*RATES!$N521/100</f>
        <v>159.20833333333334</v>
      </c>
      <c r="BV545" s="16">
        <f t="shared" si="387"/>
        <v>-12479.923006602199</v>
      </c>
      <c r="BW545" s="15">
        <f t="shared" si="362"/>
        <v>22.170849845882874</v>
      </c>
      <c r="BX545" s="75">
        <f>BW545*(1-PARAM!$C$27)*$I$21+(MOD($B545,60)=PARAM!$B$56)*($B545&gt;(60-PARAM!$B$56))*HLOOKUP(($B545+PARAM!$B$56)/12,Loyalty,2)*$F$1*MAX(BZ544,0)</f>
        <v>18.557001321003963</v>
      </c>
      <c r="BY545" s="75">
        <f>PARAM!$C$26+MAX($G$21-CHOOSE(PARAM!$B$44,MAX(0,BZ544*$F$1),0),0)*RATES!$L521/12+$H$21*(PARAM!$D$51/12)*RATES!$N521/100</f>
        <v>159.20833333333334</v>
      </c>
      <c r="BZ545" s="16">
        <f t="shared" si="388"/>
        <v>-12479.923006602199</v>
      </c>
      <c r="CA545" s="15">
        <f t="shared" si="363"/>
        <v>22.170849845882874</v>
      </c>
      <c r="CB545" s="75">
        <f>CA545*(1-PARAM!$C$27)*$I$22+(MOD($B545,60)=PARAM!$B$56)*($B545&gt;(60-PARAM!$B$56))*HLOOKUP(($B545+PARAM!$B$56)/12,Loyalty,2)*$F$1*MAX(CD544,0)</f>
        <v>18.557001321003963</v>
      </c>
      <c r="CC545" s="75">
        <f>PARAM!$C$26+MAX($G$22-CHOOSE(PARAM!$B$44,MAX(0,CD544*$F$1),0),0)*RATES!$L521/12+$H$22*(PARAM!$D$51/12)*RATES!$N521/100</f>
        <v>159.20833333333334</v>
      </c>
      <c r="CD545" s="16">
        <f t="shared" si="389"/>
        <v>-12479.923006602199</v>
      </c>
      <c r="CE545" s="33">
        <f>IF(0=MOD(B545,12/PARAM!$D$51),1,0)</f>
        <v>1</v>
      </c>
      <c r="CF545" s="15">
        <f t="shared" si="364"/>
        <v>0</v>
      </c>
      <c r="CG545" s="75">
        <f>CF545*(1-PARAM!$C$27)*$R$3+(MOD($B545/12,5)=0)*($B545&gt;60)*HLOOKUP($B545/12,Loyalty,2)*$F$1*MAX(CI544,0)</f>
        <v>0</v>
      </c>
      <c r="CH545" s="75">
        <f>PARAM!$C$26+MAX($P$3-CHOOSE(PARAM!$B$44,MAX(0,CI544*$F$1),0),0)*RATES!$L521/12+$Q$3*(PARAM!$D$51/12)*RATES!$N521/100</f>
        <v>159.20833333333334</v>
      </c>
      <c r="CI545" s="16">
        <f>IF(CI544&gt;0,CI544*PARAM!$C$53,CI544)+CG545-CH545</f>
        <v>-21972.874999999985</v>
      </c>
      <c r="CJ545" s="15">
        <f t="shared" si="390"/>
        <v>0</v>
      </c>
      <c r="CK545" s="75">
        <f>CJ545*(1-PARAM!$C$27)*$R$4+(MOD($B545/12,5)=0)*($B545&gt;60)*HLOOKUP($B545/12,Loyalty,2)*$F$1*MAX(CM544,0)</f>
        <v>0</v>
      </c>
      <c r="CL545" s="75">
        <f>PARAM!$C$26+MAX($P$4-CHOOSE(PARAM!$B$44,MAX(0,CM544*$F$1),0),0)*RATES!$L521/12+$Q$4*(PARAM!$D$51/12)*RATES!$N521/100</f>
        <v>159.20833333333334</v>
      </c>
      <c r="CM545" s="16">
        <f>IF(CM544&gt;0,CM544*PARAM!$C$53,CM544)+CK545-CL545</f>
        <v>-21972.874999999985</v>
      </c>
      <c r="CO545" s="176"/>
    </row>
    <row r="546" spans="1:93" x14ac:dyDescent="0.2">
      <c r="A546" t="b">
        <f t="shared" si="365"/>
        <v>0</v>
      </c>
      <c r="B546" s="33">
        <v>519</v>
      </c>
      <c r="C546" s="15">
        <f t="shared" si="366"/>
        <v>20.081305947392778</v>
      </c>
      <c r="D546" s="75">
        <f>C546*(1-PARAM!$C$27)*$I$3+(MOD($B546,60)=PARAM!$B$56)*($B546&gt;(60-PARAM!$B$56))*HLOOKUP(($B546+PARAM!$B$56)/12,Loyalty,2)*$F$1*MAX(F545,0)</f>
        <v>16.808053077967756</v>
      </c>
      <c r="E546" s="75">
        <f>PARAM!$C$26+MAX($G$3-CHOOSE(PARAM!$B$44,MAX(0,F545*$F$1),0),0)*RATES!$L522/12+$H$3*(PARAM!$D$51/12)*RATES!$N522/100</f>
        <v>159.20833333333334</v>
      </c>
      <c r="F546" s="16">
        <f t="shared" si="367"/>
        <v>-13565.128977271792</v>
      </c>
      <c r="G546" s="15">
        <f t="shared" si="368"/>
        <v>22.035289406060361</v>
      </c>
      <c r="H546" s="75">
        <f>G546*(1-PARAM!$C$27)*$I$4+(MOD($B546,60)=PARAM!$B$56)*($B546&gt;(60-PARAM!$B$56))*HLOOKUP(($B546+PARAM!$B$56)/12,Loyalty,2)*$F$1*MAX(J545,0)</f>
        <v>18.443537232872522</v>
      </c>
      <c r="I546" s="75">
        <f>PARAM!$C$26+MAX($G$4-CHOOSE(PARAM!$B$44,MAX(0,J545*$F$1),0),0)*RATES!$L522/12+$H$4*(PARAM!$D$51/12)*RATES!$N522/100</f>
        <v>159.20833333333334</v>
      </c>
      <c r="J546" s="16">
        <f t="shared" si="369"/>
        <v>-12682.479736754534</v>
      </c>
      <c r="K546" s="15">
        <f t="shared" si="370"/>
        <v>22.170849845882874</v>
      </c>
      <c r="L546" s="75">
        <f>K546*(1-PARAM!$C$27)*$I$5+(MOD($B546,60)=PARAM!$B$56)*($B546&gt;(60-PARAM!$B$56))*HLOOKUP(($B546+PARAM!$B$56)/12,Loyalty,2)*$F$1*MAX(N545,0)</f>
        <v>18.557001321003963</v>
      </c>
      <c r="M546" s="75">
        <f>PARAM!$C$26+MAX($G$5-CHOOSE(PARAM!$B$44,MAX(0,N545*$F$1),0),0)*RATES!$L522/12+$H$5*(PARAM!$D$51/12)*RATES!$N522/100</f>
        <v>159.20833333333334</v>
      </c>
      <c r="N546" s="16">
        <f t="shared" si="371"/>
        <v>-12620.57433861453</v>
      </c>
      <c r="O546" s="15">
        <f t="shared" si="372"/>
        <v>22.170849845882874</v>
      </c>
      <c r="P546" s="75">
        <f>O546*(1-PARAM!$C$27)*$I$6+(MOD($B546,60)=PARAM!$B$56)*($B546&gt;(60-PARAM!$B$56))*HLOOKUP(($B546+PARAM!$B$56)/12,Loyalty,2)*$F$1*MAX(R545,0)</f>
        <v>18.557001321003963</v>
      </c>
      <c r="Q546" s="75">
        <f>PARAM!$C$26+MAX($G$6-CHOOSE(PARAM!$B$44,MAX(0,R545*$F$1),0),0)*RATES!$L522/12+$H$6*(PARAM!$D$51/12)*RATES!$N522/100</f>
        <v>159.20833333333334</v>
      </c>
      <c r="R546" s="16">
        <f t="shared" si="373"/>
        <v>-12620.57433861453</v>
      </c>
      <c r="S546" s="15">
        <f t="shared" si="348"/>
        <v>22.170849845882874</v>
      </c>
      <c r="T546" s="75">
        <f>S546*(1-PARAM!$C$27)*$I$7+(MOD($B546,60)=PARAM!$B$56)*($B546&gt;(60-PARAM!$B$56))*HLOOKUP(($B546+PARAM!$B$56)/12,Loyalty,2)*$F$1*MAX(V545,0)</f>
        <v>18.557001321003963</v>
      </c>
      <c r="U546" s="75">
        <f>PARAM!$C$26+MAX($G$7-CHOOSE(PARAM!$B$44,MAX(0,V545*$F$1),0),0)*RATES!$L522/12+$H$7*(PARAM!$D$51/12)*RATES!$N522/100</f>
        <v>159.20833333333334</v>
      </c>
      <c r="V546" s="16">
        <f t="shared" si="374"/>
        <v>-12620.57433861453</v>
      </c>
      <c r="W546" s="15">
        <f t="shared" si="349"/>
        <v>22.170849845882874</v>
      </c>
      <c r="X546" s="75">
        <f>W546*(1-PARAM!$C$27)*$I$8+(MOD($B546,60)=PARAM!$B$56)*($B546&gt;(60-PARAM!$B$56))*HLOOKUP(($B546+PARAM!$B$56)/12,Loyalty,2)*$F$1*MAX(Z545,0)</f>
        <v>18.557001321003963</v>
      </c>
      <c r="Y546" s="75">
        <f>PARAM!$C$26+MAX($G$8-CHOOSE(PARAM!$B$44,MAX(0,Z545*$F$1),0),0)*RATES!$L522/12+$H$8*(PARAM!$D$51/12)*RATES!$N522/100</f>
        <v>159.20833333333334</v>
      </c>
      <c r="Z546" s="16">
        <f t="shared" si="375"/>
        <v>-12620.57433861453</v>
      </c>
      <c r="AA546" s="15">
        <f t="shared" si="350"/>
        <v>22.170849845882874</v>
      </c>
      <c r="AB546" s="75">
        <f>AA546*(1-PARAM!$C$27)*$I$9+(MOD($B546,60)=PARAM!$B$56)*($B546&gt;(60-PARAM!$B$56))*HLOOKUP(($B546+PARAM!$B$56)/12,Loyalty,2)*$F$1*MAX(AD545,0)</f>
        <v>18.557001321003963</v>
      </c>
      <c r="AC546" s="75">
        <f>PARAM!$C$26+MAX($G$9-CHOOSE(PARAM!$B$44,MAX(0,AD545*$F$1),0),0)*RATES!$L522/12+$H$9*(PARAM!$D$51/12)*RATES!$N522/100</f>
        <v>159.20833333333334</v>
      </c>
      <c r="AD546" s="16">
        <f t="shared" si="376"/>
        <v>-12620.57433861453</v>
      </c>
      <c r="AE546" s="15">
        <f t="shared" si="351"/>
        <v>22.170849845882874</v>
      </c>
      <c r="AF546" s="75">
        <f>AE546*(1-PARAM!$C$27)*$I$10+(MOD($B546,60)=PARAM!$B$56)*($B546&gt;(60-PARAM!$B$56))*HLOOKUP(($B546+PARAM!$B$56)/12,Loyalty,2)*$F$1*MAX(AH545,0)</f>
        <v>18.557001321003963</v>
      </c>
      <c r="AG546" s="75">
        <f>PARAM!$C$26+MAX($G$10-CHOOSE(PARAM!$B$44,MAX(0,AH545*$F$1),0),0)*RATES!$L522/12+$H$10*(PARAM!$D$51/12)*RATES!$N522/100</f>
        <v>159.20833333333334</v>
      </c>
      <c r="AH546" s="16">
        <f t="shared" si="377"/>
        <v>-12620.57433861453</v>
      </c>
      <c r="AI546" s="15">
        <f t="shared" si="352"/>
        <v>22.170849845882874</v>
      </c>
      <c r="AJ546" s="75">
        <f>AI546*(1-PARAM!$C$27)*$I$11+(MOD($B546,60)=PARAM!$B$56)*($B546&gt;(60-PARAM!$B$56))*HLOOKUP(($B546+PARAM!$B$56)/12,Loyalty,2)*$F$1*MAX(AL545,0)</f>
        <v>18.557001321003963</v>
      </c>
      <c r="AK546" s="75">
        <f>PARAM!$C$26+MAX($G$11-CHOOSE(PARAM!$B$44,MAX(0,AL545*$F$1),0),0)*RATES!$L522/12+$H$11*(PARAM!$D$51/12)*RATES!$N522/100</f>
        <v>159.20833333333334</v>
      </c>
      <c r="AL546" s="16">
        <f t="shared" si="378"/>
        <v>-12620.57433861453</v>
      </c>
      <c r="AM546" s="15">
        <f t="shared" si="353"/>
        <v>22.170849845882874</v>
      </c>
      <c r="AN546" s="75">
        <f>AM546*(1-PARAM!$C$27)*$I$12+(MOD($B546,60)=PARAM!$B$56)*($B546&gt;(60-PARAM!$B$56))*HLOOKUP(($B546+PARAM!$B$56)/12,Loyalty,2)*$F$1*MAX(AP545,0)</f>
        <v>18.557001321003963</v>
      </c>
      <c r="AO546" s="75">
        <f>PARAM!$C$26+MAX($G$12-CHOOSE(PARAM!$B$44,MAX(0,AP545*$F$1),0),0)*RATES!$L522/12+$H$12*(PARAM!$D$51/12)*RATES!$N522/100</f>
        <v>159.20833333333334</v>
      </c>
      <c r="AP546" s="16">
        <f t="shared" si="379"/>
        <v>-12620.57433861453</v>
      </c>
      <c r="AQ546" s="15">
        <f t="shared" si="354"/>
        <v>22.170849845882874</v>
      </c>
      <c r="AR546" s="75">
        <f>AQ546*(1-PARAM!$C$27)*$I$13+(MOD($B546,60)=PARAM!$B$56)*($B546&gt;(60-PARAM!$B$56))*HLOOKUP(($B546+PARAM!$B$56)/12,Loyalty,2)*$F$1*MAX(AT545,0)</f>
        <v>18.557001321003963</v>
      </c>
      <c r="AS546" s="75">
        <f>PARAM!$C$26+MAX($G$13-CHOOSE(PARAM!$B$44,MAX(0,AT545*$F$1),0),0)*RATES!$L522/12+$H$13*(PARAM!$D$51/12)*RATES!$N522/100</f>
        <v>159.20833333333334</v>
      </c>
      <c r="AT546" s="16">
        <f t="shared" si="380"/>
        <v>-12620.57433861453</v>
      </c>
      <c r="AU546" s="15">
        <f t="shared" si="355"/>
        <v>22.170849845882874</v>
      </c>
      <c r="AV546" s="75">
        <f>AU546*(1-PARAM!$C$27)*$I$14+(MOD($B546,60)=PARAM!$B$56)*($B546&gt;(60-PARAM!$B$56))*HLOOKUP(($B546+PARAM!$B$56)/12,Loyalty,2)*$F$1*MAX(AX545,0)</f>
        <v>18.557001321003963</v>
      </c>
      <c r="AW546" s="75">
        <f>PARAM!$C$26+MAX($G$14-CHOOSE(PARAM!$B$44,MAX(0,AX545*$F$1),0),0)*RATES!$L522/12+$H$14*(PARAM!$D$51/12)*RATES!$N522/100</f>
        <v>159.20833333333334</v>
      </c>
      <c r="AX546" s="16">
        <f t="shared" si="381"/>
        <v>-12620.57433861453</v>
      </c>
      <c r="AY546" s="15">
        <f t="shared" si="356"/>
        <v>22.170849845882874</v>
      </c>
      <c r="AZ546" s="75">
        <f>AY546*(1-PARAM!$C$27)*$I$15+(MOD($B546,60)=PARAM!$B$56)*($B546&gt;(60-PARAM!$B$56))*HLOOKUP(($B546+PARAM!$B$56)/12,Loyalty,2)*$F$1*MAX(BB545,0)</f>
        <v>18.557001321003963</v>
      </c>
      <c r="BA546" s="75">
        <f>PARAM!$C$26+MAX($G$15-CHOOSE(PARAM!$B$44,MAX(0,BB545*$F$1),0),0)*RATES!$L522/12+$H$15*(PARAM!$D$51/12)*RATES!$N522/100</f>
        <v>159.20833333333334</v>
      </c>
      <c r="BB546" s="16">
        <f t="shared" si="382"/>
        <v>-12620.57433861453</v>
      </c>
      <c r="BC546" s="15">
        <f t="shared" si="357"/>
        <v>22.170849845882874</v>
      </c>
      <c r="BD546" s="75">
        <f>BC546*(1-PARAM!$C$27)*$I$16+(MOD($B546,60)=PARAM!$B$56)*($B546&gt;(60-PARAM!$B$56))*HLOOKUP(($B546+PARAM!$B$56)/12,Loyalty,2)*$F$1*MAX(BF545,0)</f>
        <v>18.557001321003963</v>
      </c>
      <c r="BE546" s="75">
        <f>PARAM!$C$26+MAX($G$16-CHOOSE(PARAM!$B$44,MAX(0,BF545*$F$1),0),0)*RATES!$L522/12+$H$16*(PARAM!$D$51/12)*RATES!$N522/100</f>
        <v>159.20833333333334</v>
      </c>
      <c r="BF546" s="16">
        <f t="shared" si="383"/>
        <v>-12620.57433861453</v>
      </c>
      <c r="BG546" s="15">
        <f t="shared" si="358"/>
        <v>22.170849845882874</v>
      </c>
      <c r="BH546" s="75">
        <f>BG546*(1-PARAM!$C$27)*$I$17+(MOD($B546,60)=PARAM!$B$56)*($B546&gt;(60-PARAM!$B$56))*HLOOKUP(($B546+PARAM!$B$56)/12,Loyalty,2)*$F$1*MAX(BJ545,0)</f>
        <v>18.557001321003963</v>
      </c>
      <c r="BI546" s="75">
        <f>PARAM!$C$26+MAX($G$17-CHOOSE(PARAM!$B$44,MAX(0,BJ545*$F$1),0),0)*RATES!$L522/12+$H$17*(PARAM!$D$51/12)*RATES!$N522/100</f>
        <v>159.20833333333334</v>
      </c>
      <c r="BJ546" s="16">
        <f t="shared" si="384"/>
        <v>-12620.57433861453</v>
      </c>
      <c r="BK546" s="15">
        <f t="shared" si="359"/>
        <v>22.170849845882874</v>
      </c>
      <c r="BL546" s="75">
        <f>BK546*(1-PARAM!$C$27)*$I$18+(MOD($B546,60)=PARAM!$B$56)*($B546&gt;(60-PARAM!$B$56))*HLOOKUP(($B546+PARAM!$B$56)/12,Loyalty,2)*$F$1*MAX(BN545,0)</f>
        <v>18.557001321003963</v>
      </c>
      <c r="BM546" s="75">
        <f>PARAM!$C$26+MAX($G$18-CHOOSE(PARAM!$B$44,MAX(0,BN545*$F$1),0),0)*RATES!$L522/12+$H$18*(PARAM!$D$51/12)*RATES!$N522/100</f>
        <v>159.20833333333334</v>
      </c>
      <c r="BN546" s="16">
        <f t="shared" si="385"/>
        <v>-12620.57433861453</v>
      </c>
      <c r="BO546" s="15">
        <f t="shared" si="360"/>
        <v>22.170849845882874</v>
      </c>
      <c r="BP546" s="75">
        <f>BO546*(1-PARAM!$C$27)*$I$19+(MOD($B546,60)=PARAM!$B$56)*($B546&gt;(60-PARAM!$B$56))*HLOOKUP(($B546+PARAM!$B$56)/12,Loyalty,2)*$F$1*MAX(BR545,0)</f>
        <v>18.557001321003963</v>
      </c>
      <c r="BQ546" s="75">
        <f>PARAM!$C$26+MAX($G$19-CHOOSE(PARAM!$B$44,MAX(0,BR545*$F$1),0),0)*RATES!$L522/12+$H$19*(PARAM!$D$51/12)*RATES!$N522/100</f>
        <v>159.20833333333334</v>
      </c>
      <c r="BR546" s="16">
        <f t="shared" si="386"/>
        <v>-12620.57433861453</v>
      </c>
      <c r="BS546" s="15">
        <f t="shared" si="361"/>
        <v>22.170849845882874</v>
      </c>
      <c r="BT546" s="75">
        <f>BS546*(1-PARAM!$C$27)*$I$20+(MOD($B546,60)=PARAM!$B$56)*($B546&gt;(60-PARAM!$B$56))*HLOOKUP(($B546+PARAM!$B$56)/12,Loyalty,2)*$F$1*MAX(BV545,0)</f>
        <v>18.557001321003963</v>
      </c>
      <c r="BU546" s="75">
        <f>PARAM!$C$26+MAX($G$20-CHOOSE(PARAM!$B$44,MAX(0,BV545*$F$1),0),0)*RATES!$L522/12+$H$20*(PARAM!$D$51/12)*RATES!$N522/100</f>
        <v>159.20833333333334</v>
      </c>
      <c r="BV546" s="16">
        <f t="shared" si="387"/>
        <v>-12620.57433861453</v>
      </c>
      <c r="BW546" s="15">
        <f t="shared" si="362"/>
        <v>22.170849845882874</v>
      </c>
      <c r="BX546" s="75">
        <f>BW546*(1-PARAM!$C$27)*$I$21+(MOD($B546,60)=PARAM!$B$56)*($B546&gt;(60-PARAM!$B$56))*HLOOKUP(($B546+PARAM!$B$56)/12,Loyalty,2)*$F$1*MAX(BZ545,0)</f>
        <v>18.557001321003963</v>
      </c>
      <c r="BY546" s="75">
        <f>PARAM!$C$26+MAX($G$21-CHOOSE(PARAM!$B$44,MAX(0,BZ545*$F$1),0),0)*RATES!$L522/12+$H$21*(PARAM!$D$51/12)*RATES!$N522/100</f>
        <v>159.20833333333334</v>
      </c>
      <c r="BZ546" s="16">
        <f t="shared" si="388"/>
        <v>-12620.57433861453</v>
      </c>
      <c r="CA546" s="15">
        <f t="shared" si="363"/>
        <v>22.170849845882874</v>
      </c>
      <c r="CB546" s="75">
        <f>CA546*(1-PARAM!$C$27)*$I$22+(MOD($B546,60)=PARAM!$B$56)*($B546&gt;(60-PARAM!$B$56))*HLOOKUP(($B546+PARAM!$B$56)/12,Loyalty,2)*$F$1*MAX(CD545,0)</f>
        <v>18.557001321003963</v>
      </c>
      <c r="CC546" s="75">
        <f>PARAM!$C$26+MAX($G$22-CHOOSE(PARAM!$B$44,MAX(0,CD545*$F$1),0),0)*RATES!$L522/12+$H$22*(PARAM!$D$51/12)*RATES!$N522/100</f>
        <v>159.20833333333334</v>
      </c>
      <c r="CD546" s="16">
        <f t="shared" si="389"/>
        <v>-12620.57433861453</v>
      </c>
      <c r="CE546" s="33">
        <f>IF(0=MOD(B546,12/PARAM!$D$51),1,0)</f>
        <v>1</v>
      </c>
      <c r="CF546" s="15">
        <f t="shared" si="364"/>
        <v>0</v>
      </c>
      <c r="CG546" s="75">
        <f>CF546*(1-PARAM!$C$27)*$R$3+(MOD($B546/12,5)=0)*($B546&gt;60)*HLOOKUP($B546/12,Loyalty,2)*$F$1*MAX(CI545,0)</f>
        <v>0</v>
      </c>
      <c r="CH546" s="75">
        <f>PARAM!$C$26+MAX($P$3-CHOOSE(PARAM!$B$44,MAX(0,CI545*$F$1),0),0)*RATES!$L522/12+$Q$3*(PARAM!$D$51/12)*RATES!$N522/100</f>
        <v>159.20833333333334</v>
      </c>
      <c r="CI546" s="16">
        <f>IF(CI545&gt;0,CI545*PARAM!$C$53,CI545)+CG546-CH546</f>
        <v>-22132.083333333318</v>
      </c>
      <c r="CJ546" s="15">
        <f t="shared" si="390"/>
        <v>0</v>
      </c>
      <c r="CK546" s="75">
        <f>CJ546*(1-PARAM!$C$27)*$R$4+(MOD($B546/12,5)=0)*($B546&gt;60)*HLOOKUP($B546/12,Loyalty,2)*$F$1*MAX(CM545,0)</f>
        <v>0</v>
      </c>
      <c r="CL546" s="75">
        <f>PARAM!$C$26+MAX($P$4-CHOOSE(PARAM!$B$44,MAX(0,CM545*$F$1),0),0)*RATES!$L522/12+$Q$4*(PARAM!$D$51/12)*RATES!$N522/100</f>
        <v>159.20833333333334</v>
      </c>
      <c r="CM546" s="16">
        <f>IF(CM545&gt;0,CM545*PARAM!$C$53,CM545)+CK546-CL546</f>
        <v>-22132.083333333318</v>
      </c>
      <c r="CO546" s="176"/>
    </row>
    <row r="547" spans="1:93" x14ac:dyDescent="0.2">
      <c r="A547" t="b">
        <f t="shared" si="365"/>
        <v>0</v>
      </c>
      <c r="B547" s="33">
        <v>520</v>
      </c>
      <c r="C547" s="15">
        <f t="shared" si="366"/>
        <v>20.081305947392778</v>
      </c>
      <c r="D547" s="75">
        <f>C547*(1-PARAM!$C$27)*$I$3+(MOD($B547,60)=PARAM!$B$56)*($B547&gt;(60-PARAM!$B$56))*HLOOKUP(($B547+PARAM!$B$56)/12,Loyalty,2)*$F$1*MAX(F546,0)</f>
        <v>16.808053077967756</v>
      </c>
      <c r="E547" s="75">
        <f>PARAM!$C$26+MAX($G$3-CHOOSE(PARAM!$B$44,MAX(0,F546*$F$1),0),0)*RATES!$L523/12+$H$3*(PARAM!$D$51/12)*RATES!$N523/100</f>
        <v>159.20833333333334</v>
      </c>
      <c r="F547" s="16">
        <f t="shared" si="367"/>
        <v>-13707.529257527158</v>
      </c>
      <c r="G547" s="15">
        <f t="shared" si="368"/>
        <v>22.035289406060361</v>
      </c>
      <c r="H547" s="75">
        <f>G547*(1-PARAM!$C$27)*$I$4+(MOD($B547,60)=PARAM!$B$56)*($B547&gt;(60-PARAM!$B$56))*HLOOKUP(($B547+PARAM!$B$56)/12,Loyalty,2)*$F$1*MAX(J546,0)</f>
        <v>18.443537232872522</v>
      </c>
      <c r="I547" s="75">
        <f>PARAM!$C$26+MAX($G$4-CHOOSE(PARAM!$B$44,MAX(0,J546*$F$1),0),0)*RATES!$L523/12+$H$4*(PARAM!$D$51/12)*RATES!$N523/100</f>
        <v>159.20833333333334</v>
      </c>
      <c r="J547" s="16">
        <f t="shared" si="369"/>
        <v>-12823.244532854997</v>
      </c>
      <c r="K547" s="15">
        <f t="shared" si="370"/>
        <v>22.170849845882874</v>
      </c>
      <c r="L547" s="75">
        <f>K547*(1-PARAM!$C$27)*$I$5+(MOD($B547,60)=PARAM!$B$56)*($B547&gt;(60-PARAM!$B$56))*HLOOKUP(($B547+PARAM!$B$56)/12,Loyalty,2)*$F$1*MAX(N546,0)</f>
        <v>18.557001321003963</v>
      </c>
      <c r="M547" s="75">
        <f>PARAM!$C$26+MAX($G$5-CHOOSE(PARAM!$B$44,MAX(0,N546*$F$1),0),0)*RATES!$L523/12+$H$5*(PARAM!$D$51/12)*RATES!$N523/100</f>
        <v>159.20833333333334</v>
      </c>
      <c r="N547" s="16">
        <f t="shared" si="371"/>
        <v>-12761.22567062686</v>
      </c>
      <c r="O547" s="15">
        <f t="shared" si="372"/>
        <v>22.170849845882874</v>
      </c>
      <c r="P547" s="75">
        <f>O547*(1-PARAM!$C$27)*$I$6+(MOD($B547,60)=PARAM!$B$56)*($B547&gt;(60-PARAM!$B$56))*HLOOKUP(($B547+PARAM!$B$56)/12,Loyalty,2)*$F$1*MAX(R546,0)</f>
        <v>18.557001321003963</v>
      </c>
      <c r="Q547" s="75">
        <f>PARAM!$C$26+MAX($G$6-CHOOSE(PARAM!$B$44,MAX(0,R546*$F$1),0),0)*RATES!$L523/12+$H$6*(PARAM!$D$51/12)*RATES!$N523/100</f>
        <v>159.20833333333334</v>
      </c>
      <c r="R547" s="16">
        <f t="shared" si="373"/>
        <v>-12761.22567062686</v>
      </c>
      <c r="S547" s="15">
        <f t="shared" si="348"/>
        <v>22.170849845882874</v>
      </c>
      <c r="T547" s="75">
        <f>S547*(1-PARAM!$C$27)*$I$7+(MOD($B547,60)=PARAM!$B$56)*($B547&gt;(60-PARAM!$B$56))*HLOOKUP(($B547+PARAM!$B$56)/12,Loyalty,2)*$F$1*MAX(V546,0)</f>
        <v>18.557001321003963</v>
      </c>
      <c r="U547" s="75">
        <f>PARAM!$C$26+MAX($G$7-CHOOSE(PARAM!$B$44,MAX(0,V546*$F$1),0),0)*RATES!$L523/12+$H$7*(PARAM!$D$51/12)*RATES!$N523/100</f>
        <v>159.20833333333334</v>
      </c>
      <c r="V547" s="16">
        <f t="shared" si="374"/>
        <v>-12761.22567062686</v>
      </c>
      <c r="W547" s="15">
        <f t="shared" si="349"/>
        <v>22.170849845882874</v>
      </c>
      <c r="X547" s="75">
        <f>W547*(1-PARAM!$C$27)*$I$8+(MOD($B547,60)=PARAM!$B$56)*($B547&gt;(60-PARAM!$B$56))*HLOOKUP(($B547+PARAM!$B$56)/12,Loyalty,2)*$F$1*MAX(Z546,0)</f>
        <v>18.557001321003963</v>
      </c>
      <c r="Y547" s="75">
        <f>PARAM!$C$26+MAX($G$8-CHOOSE(PARAM!$B$44,MAX(0,Z546*$F$1),0),0)*RATES!$L523/12+$H$8*(PARAM!$D$51/12)*RATES!$N523/100</f>
        <v>159.20833333333334</v>
      </c>
      <c r="Z547" s="16">
        <f t="shared" si="375"/>
        <v>-12761.22567062686</v>
      </c>
      <c r="AA547" s="15">
        <f t="shared" si="350"/>
        <v>22.170849845882874</v>
      </c>
      <c r="AB547" s="75">
        <f>AA547*(1-PARAM!$C$27)*$I$9+(MOD($B547,60)=PARAM!$B$56)*($B547&gt;(60-PARAM!$B$56))*HLOOKUP(($B547+PARAM!$B$56)/12,Loyalty,2)*$F$1*MAX(AD546,0)</f>
        <v>18.557001321003963</v>
      </c>
      <c r="AC547" s="75">
        <f>PARAM!$C$26+MAX($G$9-CHOOSE(PARAM!$B$44,MAX(0,AD546*$F$1),0),0)*RATES!$L523/12+$H$9*(PARAM!$D$51/12)*RATES!$N523/100</f>
        <v>159.20833333333334</v>
      </c>
      <c r="AD547" s="16">
        <f t="shared" si="376"/>
        <v>-12761.22567062686</v>
      </c>
      <c r="AE547" s="15">
        <f t="shared" si="351"/>
        <v>22.170849845882874</v>
      </c>
      <c r="AF547" s="75">
        <f>AE547*(1-PARAM!$C$27)*$I$10+(MOD($B547,60)=PARAM!$B$56)*($B547&gt;(60-PARAM!$B$56))*HLOOKUP(($B547+PARAM!$B$56)/12,Loyalty,2)*$F$1*MAX(AH546,0)</f>
        <v>18.557001321003963</v>
      </c>
      <c r="AG547" s="75">
        <f>PARAM!$C$26+MAX($G$10-CHOOSE(PARAM!$B$44,MAX(0,AH546*$F$1),0),0)*RATES!$L523/12+$H$10*(PARAM!$D$51/12)*RATES!$N523/100</f>
        <v>159.20833333333334</v>
      </c>
      <c r="AH547" s="16">
        <f t="shared" si="377"/>
        <v>-12761.22567062686</v>
      </c>
      <c r="AI547" s="15">
        <f t="shared" si="352"/>
        <v>22.170849845882874</v>
      </c>
      <c r="AJ547" s="75">
        <f>AI547*(1-PARAM!$C$27)*$I$11+(MOD($B547,60)=PARAM!$B$56)*($B547&gt;(60-PARAM!$B$56))*HLOOKUP(($B547+PARAM!$B$56)/12,Loyalty,2)*$F$1*MAX(AL546,0)</f>
        <v>18.557001321003963</v>
      </c>
      <c r="AK547" s="75">
        <f>PARAM!$C$26+MAX($G$11-CHOOSE(PARAM!$B$44,MAX(0,AL546*$F$1),0),0)*RATES!$L523/12+$H$11*(PARAM!$D$51/12)*RATES!$N523/100</f>
        <v>159.20833333333334</v>
      </c>
      <c r="AL547" s="16">
        <f t="shared" si="378"/>
        <v>-12761.22567062686</v>
      </c>
      <c r="AM547" s="15">
        <f t="shared" si="353"/>
        <v>22.170849845882874</v>
      </c>
      <c r="AN547" s="75">
        <f>AM547*(1-PARAM!$C$27)*$I$12+(MOD($B547,60)=PARAM!$B$56)*($B547&gt;(60-PARAM!$B$56))*HLOOKUP(($B547+PARAM!$B$56)/12,Loyalty,2)*$F$1*MAX(AP546,0)</f>
        <v>18.557001321003963</v>
      </c>
      <c r="AO547" s="75">
        <f>PARAM!$C$26+MAX($G$12-CHOOSE(PARAM!$B$44,MAX(0,AP546*$F$1),0),0)*RATES!$L523/12+$H$12*(PARAM!$D$51/12)*RATES!$N523/100</f>
        <v>159.20833333333334</v>
      </c>
      <c r="AP547" s="16">
        <f t="shared" si="379"/>
        <v>-12761.22567062686</v>
      </c>
      <c r="AQ547" s="15">
        <f t="shared" si="354"/>
        <v>22.170849845882874</v>
      </c>
      <c r="AR547" s="75">
        <f>AQ547*(1-PARAM!$C$27)*$I$13+(MOD($B547,60)=PARAM!$B$56)*($B547&gt;(60-PARAM!$B$56))*HLOOKUP(($B547+PARAM!$B$56)/12,Loyalty,2)*$F$1*MAX(AT546,0)</f>
        <v>18.557001321003963</v>
      </c>
      <c r="AS547" s="75">
        <f>PARAM!$C$26+MAX($G$13-CHOOSE(PARAM!$B$44,MAX(0,AT546*$F$1),0),0)*RATES!$L523/12+$H$13*(PARAM!$D$51/12)*RATES!$N523/100</f>
        <v>159.20833333333334</v>
      </c>
      <c r="AT547" s="16">
        <f t="shared" si="380"/>
        <v>-12761.22567062686</v>
      </c>
      <c r="AU547" s="15">
        <f t="shared" si="355"/>
        <v>22.170849845882874</v>
      </c>
      <c r="AV547" s="75">
        <f>AU547*(1-PARAM!$C$27)*$I$14+(MOD($B547,60)=PARAM!$B$56)*($B547&gt;(60-PARAM!$B$56))*HLOOKUP(($B547+PARAM!$B$56)/12,Loyalty,2)*$F$1*MAX(AX546,0)</f>
        <v>18.557001321003963</v>
      </c>
      <c r="AW547" s="75">
        <f>PARAM!$C$26+MAX($G$14-CHOOSE(PARAM!$B$44,MAX(0,AX546*$F$1),0),0)*RATES!$L523/12+$H$14*(PARAM!$D$51/12)*RATES!$N523/100</f>
        <v>159.20833333333334</v>
      </c>
      <c r="AX547" s="16">
        <f t="shared" si="381"/>
        <v>-12761.22567062686</v>
      </c>
      <c r="AY547" s="15">
        <f t="shared" si="356"/>
        <v>22.170849845882874</v>
      </c>
      <c r="AZ547" s="75">
        <f>AY547*(1-PARAM!$C$27)*$I$15+(MOD($B547,60)=PARAM!$B$56)*($B547&gt;(60-PARAM!$B$56))*HLOOKUP(($B547+PARAM!$B$56)/12,Loyalty,2)*$F$1*MAX(BB546,0)</f>
        <v>18.557001321003963</v>
      </c>
      <c r="BA547" s="75">
        <f>PARAM!$C$26+MAX($G$15-CHOOSE(PARAM!$B$44,MAX(0,BB546*$F$1),0),0)*RATES!$L523/12+$H$15*(PARAM!$D$51/12)*RATES!$N523/100</f>
        <v>159.20833333333334</v>
      </c>
      <c r="BB547" s="16">
        <f t="shared" si="382"/>
        <v>-12761.22567062686</v>
      </c>
      <c r="BC547" s="15">
        <f t="shared" si="357"/>
        <v>22.170849845882874</v>
      </c>
      <c r="BD547" s="75">
        <f>BC547*(1-PARAM!$C$27)*$I$16+(MOD($B547,60)=PARAM!$B$56)*($B547&gt;(60-PARAM!$B$56))*HLOOKUP(($B547+PARAM!$B$56)/12,Loyalty,2)*$F$1*MAX(BF546,0)</f>
        <v>18.557001321003963</v>
      </c>
      <c r="BE547" s="75">
        <f>PARAM!$C$26+MAX($G$16-CHOOSE(PARAM!$B$44,MAX(0,BF546*$F$1),0),0)*RATES!$L523/12+$H$16*(PARAM!$D$51/12)*RATES!$N523/100</f>
        <v>159.20833333333334</v>
      </c>
      <c r="BF547" s="16">
        <f t="shared" si="383"/>
        <v>-12761.22567062686</v>
      </c>
      <c r="BG547" s="15">
        <f t="shared" si="358"/>
        <v>22.170849845882874</v>
      </c>
      <c r="BH547" s="75">
        <f>BG547*(1-PARAM!$C$27)*$I$17+(MOD($B547,60)=PARAM!$B$56)*($B547&gt;(60-PARAM!$B$56))*HLOOKUP(($B547+PARAM!$B$56)/12,Loyalty,2)*$F$1*MAX(BJ546,0)</f>
        <v>18.557001321003963</v>
      </c>
      <c r="BI547" s="75">
        <f>PARAM!$C$26+MAX($G$17-CHOOSE(PARAM!$B$44,MAX(0,BJ546*$F$1),0),0)*RATES!$L523/12+$H$17*(PARAM!$D$51/12)*RATES!$N523/100</f>
        <v>159.20833333333334</v>
      </c>
      <c r="BJ547" s="16">
        <f t="shared" si="384"/>
        <v>-12761.22567062686</v>
      </c>
      <c r="BK547" s="15">
        <f t="shared" si="359"/>
        <v>22.170849845882874</v>
      </c>
      <c r="BL547" s="75">
        <f>BK547*(1-PARAM!$C$27)*$I$18+(MOD($B547,60)=PARAM!$B$56)*($B547&gt;(60-PARAM!$B$56))*HLOOKUP(($B547+PARAM!$B$56)/12,Loyalty,2)*$F$1*MAX(BN546,0)</f>
        <v>18.557001321003963</v>
      </c>
      <c r="BM547" s="75">
        <f>PARAM!$C$26+MAX($G$18-CHOOSE(PARAM!$B$44,MAX(0,BN546*$F$1),0),0)*RATES!$L523/12+$H$18*(PARAM!$D$51/12)*RATES!$N523/100</f>
        <v>159.20833333333334</v>
      </c>
      <c r="BN547" s="16">
        <f t="shared" si="385"/>
        <v>-12761.22567062686</v>
      </c>
      <c r="BO547" s="15">
        <f t="shared" si="360"/>
        <v>22.170849845882874</v>
      </c>
      <c r="BP547" s="75">
        <f>BO547*(1-PARAM!$C$27)*$I$19+(MOD($B547,60)=PARAM!$B$56)*($B547&gt;(60-PARAM!$B$56))*HLOOKUP(($B547+PARAM!$B$56)/12,Loyalty,2)*$F$1*MAX(BR546,0)</f>
        <v>18.557001321003963</v>
      </c>
      <c r="BQ547" s="75">
        <f>PARAM!$C$26+MAX($G$19-CHOOSE(PARAM!$B$44,MAX(0,BR546*$F$1),0),0)*RATES!$L523/12+$H$19*(PARAM!$D$51/12)*RATES!$N523/100</f>
        <v>159.20833333333334</v>
      </c>
      <c r="BR547" s="16">
        <f t="shared" si="386"/>
        <v>-12761.22567062686</v>
      </c>
      <c r="BS547" s="15">
        <f t="shared" si="361"/>
        <v>22.170849845882874</v>
      </c>
      <c r="BT547" s="75">
        <f>BS547*(1-PARAM!$C$27)*$I$20+(MOD($B547,60)=PARAM!$B$56)*($B547&gt;(60-PARAM!$B$56))*HLOOKUP(($B547+PARAM!$B$56)/12,Loyalty,2)*$F$1*MAX(BV546,0)</f>
        <v>18.557001321003963</v>
      </c>
      <c r="BU547" s="75">
        <f>PARAM!$C$26+MAX($G$20-CHOOSE(PARAM!$B$44,MAX(0,BV546*$F$1),0),0)*RATES!$L523/12+$H$20*(PARAM!$D$51/12)*RATES!$N523/100</f>
        <v>159.20833333333334</v>
      </c>
      <c r="BV547" s="16">
        <f t="shared" si="387"/>
        <v>-12761.22567062686</v>
      </c>
      <c r="BW547" s="15">
        <f t="shared" si="362"/>
        <v>22.170849845882874</v>
      </c>
      <c r="BX547" s="75">
        <f>BW547*(1-PARAM!$C$27)*$I$21+(MOD($B547,60)=PARAM!$B$56)*($B547&gt;(60-PARAM!$B$56))*HLOOKUP(($B547+PARAM!$B$56)/12,Loyalty,2)*$F$1*MAX(BZ546,0)</f>
        <v>18.557001321003963</v>
      </c>
      <c r="BY547" s="75">
        <f>PARAM!$C$26+MAX($G$21-CHOOSE(PARAM!$B$44,MAX(0,BZ546*$F$1),0),0)*RATES!$L523/12+$H$21*(PARAM!$D$51/12)*RATES!$N523/100</f>
        <v>159.20833333333334</v>
      </c>
      <c r="BZ547" s="16">
        <f t="shared" si="388"/>
        <v>-12761.22567062686</v>
      </c>
      <c r="CA547" s="15">
        <f t="shared" si="363"/>
        <v>22.170849845882874</v>
      </c>
      <c r="CB547" s="75">
        <f>CA547*(1-PARAM!$C$27)*$I$22+(MOD($B547,60)=PARAM!$B$56)*($B547&gt;(60-PARAM!$B$56))*HLOOKUP(($B547+PARAM!$B$56)/12,Loyalty,2)*$F$1*MAX(CD546,0)</f>
        <v>18.557001321003963</v>
      </c>
      <c r="CC547" s="75">
        <f>PARAM!$C$26+MAX($G$22-CHOOSE(PARAM!$B$44,MAX(0,CD546*$F$1),0),0)*RATES!$L523/12+$H$22*(PARAM!$D$51/12)*RATES!$N523/100</f>
        <v>159.20833333333334</v>
      </c>
      <c r="CD547" s="16">
        <f t="shared" si="389"/>
        <v>-12761.22567062686</v>
      </c>
      <c r="CE547" s="33">
        <f>IF(0=MOD(B547,12/PARAM!$D$51),1,0)</f>
        <v>1</v>
      </c>
      <c r="CF547" s="15">
        <f t="shared" si="364"/>
        <v>0</v>
      </c>
      <c r="CG547" s="75">
        <f>CF547*(1-PARAM!$C$27)*$R$3+(MOD($B547/12,5)=0)*($B547&gt;60)*HLOOKUP($B547/12,Loyalty,2)*$F$1*MAX(CI546,0)</f>
        <v>0</v>
      </c>
      <c r="CH547" s="75">
        <f>PARAM!$C$26+MAX($P$3-CHOOSE(PARAM!$B$44,MAX(0,CI546*$F$1),0),0)*RATES!$L523/12+$Q$3*(PARAM!$D$51/12)*RATES!$N523/100</f>
        <v>159.20833333333334</v>
      </c>
      <c r="CI547" s="16">
        <f>IF(CI546&gt;0,CI546*PARAM!$C$53,CI546)+CG547-CH547</f>
        <v>-22291.29166666665</v>
      </c>
      <c r="CJ547" s="15">
        <f t="shared" si="390"/>
        <v>0</v>
      </c>
      <c r="CK547" s="75">
        <f>CJ547*(1-PARAM!$C$27)*$R$4+(MOD($B547/12,5)=0)*($B547&gt;60)*HLOOKUP($B547/12,Loyalty,2)*$F$1*MAX(CM546,0)</f>
        <v>0</v>
      </c>
      <c r="CL547" s="75">
        <f>PARAM!$C$26+MAX($P$4-CHOOSE(PARAM!$B$44,MAX(0,CM546*$F$1),0),0)*RATES!$L523/12+$Q$4*(PARAM!$D$51/12)*RATES!$N523/100</f>
        <v>159.20833333333334</v>
      </c>
      <c r="CM547" s="16">
        <f>IF(CM546&gt;0,CM546*PARAM!$C$53,CM546)+CK547-CL547</f>
        <v>-22291.29166666665</v>
      </c>
      <c r="CO547" s="176"/>
    </row>
    <row r="548" spans="1:93" x14ac:dyDescent="0.2">
      <c r="A548" t="b">
        <f t="shared" si="365"/>
        <v>0</v>
      </c>
      <c r="B548" s="33">
        <v>521</v>
      </c>
      <c r="C548" s="15">
        <f t="shared" si="366"/>
        <v>20.081305947392778</v>
      </c>
      <c r="D548" s="75">
        <f>C548*(1-PARAM!$C$27)*$I$3+(MOD($B548,60)=PARAM!$B$56)*($B548&gt;(60-PARAM!$B$56))*HLOOKUP(($B548+PARAM!$B$56)/12,Loyalty,2)*$F$1*MAX(F547,0)</f>
        <v>16.808053077967756</v>
      </c>
      <c r="E548" s="75">
        <f>PARAM!$C$26+MAX($G$3-CHOOSE(PARAM!$B$44,MAX(0,F547*$F$1),0),0)*RATES!$L524/12+$H$3*(PARAM!$D$51/12)*RATES!$N524/100</f>
        <v>159.20833333333334</v>
      </c>
      <c r="F548" s="16">
        <f t="shared" si="367"/>
        <v>-13849.929537782524</v>
      </c>
      <c r="G548" s="15">
        <f t="shared" si="368"/>
        <v>22.035289406060361</v>
      </c>
      <c r="H548" s="75">
        <f>G548*(1-PARAM!$C$27)*$I$4+(MOD($B548,60)=PARAM!$B$56)*($B548&gt;(60-PARAM!$B$56))*HLOOKUP(($B548+PARAM!$B$56)/12,Loyalty,2)*$F$1*MAX(J547,0)</f>
        <v>18.443537232872522</v>
      </c>
      <c r="I548" s="75">
        <f>PARAM!$C$26+MAX($G$4-CHOOSE(PARAM!$B$44,MAX(0,J547*$F$1),0),0)*RATES!$L524/12+$H$4*(PARAM!$D$51/12)*RATES!$N524/100</f>
        <v>159.20833333333334</v>
      </c>
      <c r="J548" s="16">
        <f t="shared" si="369"/>
        <v>-12964.009328955459</v>
      </c>
      <c r="K548" s="15">
        <f t="shared" si="370"/>
        <v>22.170849845882874</v>
      </c>
      <c r="L548" s="75">
        <f>K548*(1-PARAM!$C$27)*$I$5+(MOD($B548,60)=PARAM!$B$56)*($B548&gt;(60-PARAM!$B$56))*HLOOKUP(($B548+PARAM!$B$56)/12,Loyalty,2)*$F$1*MAX(N547,0)</f>
        <v>18.557001321003963</v>
      </c>
      <c r="M548" s="75">
        <f>PARAM!$C$26+MAX($G$5-CHOOSE(PARAM!$B$44,MAX(0,N547*$F$1),0),0)*RATES!$L524/12+$H$5*(PARAM!$D$51/12)*RATES!$N524/100</f>
        <v>159.20833333333334</v>
      </c>
      <c r="N548" s="16">
        <f t="shared" si="371"/>
        <v>-12901.87700263919</v>
      </c>
      <c r="O548" s="15">
        <f t="shared" si="372"/>
        <v>22.170849845882874</v>
      </c>
      <c r="P548" s="75">
        <f>O548*(1-PARAM!$C$27)*$I$6+(MOD($B548,60)=PARAM!$B$56)*($B548&gt;(60-PARAM!$B$56))*HLOOKUP(($B548+PARAM!$B$56)/12,Loyalty,2)*$F$1*MAX(R547,0)</f>
        <v>18.557001321003963</v>
      </c>
      <c r="Q548" s="75">
        <f>PARAM!$C$26+MAX($G$6-CHOOSE(PARAM!$B$44,MAX(0,R547*$F$1),0),0)*RATES!$L524/12+$H$6*(PARAM!$D$51/12)*RATES!$N524/100</f>
        <v>159.20833333333334</v>
      </c>
      <c r="R548" s="16">
        <f t="shared" si="373"/>
        <v>-12901.87700263919</v>
      </c>
      <c r="S548" s="15">
        <f t="shared" si="348"/>
        <v>22.170849845882874</v>
      </c>
      <c r="T548" s="75">
        <f>S548*(1-PARAM!$C$27)*$I$7+(MOD($B548,60)=PARAM!$B$56)*($B548&gt;(60-PARAM!$B$56))*HLOOKUP(($B548+PARAM!$B$56)/12,Loyalty,2)*$F$1*MAX(V547,0)</f>
        <v>18.557001321003963</v>
      </c>
      <c r="U548" s="75">
        <f>PARAM!$C$26+MAX($G$7-CHOOSE(PARAM!$B$44,MAX(0,V547*$F$1),0),0)*RATES!$L524/12+$H$7*(PARAM!$D$51/12)*RATES!$N524/100</f>
        <v>159.20833333333334</v>
      </c>
      <c r="V548" s="16">
        <f t="shared" si="374"/>
        <v>-12901.87700263919</v>
      </c>
      <c r="W548" s="15">
        <f t="shared" si="349"/>
        <v>22.170849845882874</v>
      </c>
      <c r="X548" s="75">
        <f>W548*(1-PARAM!$C$27)*$I$8+(MOD($B548,60)=PARAM!$B$56)*($B548&gt;(60-PARAM!$B$56))*HLOOKUP(($B548+PARAM!$B$56)/12,Loyalty,2)*$F$1*MAX(Z547,0)</f>
        <v>18.557001321003963</v>
      </c>
      <c r="Y548" s="75">
        <f>PARAM!$C$26+MAX($G$8-CHOOSE(PARAM!$B$44,MAX(0,Z547*$F$1),0),0)*RATES!$L524/12+$H$8*(PARAM!$D$51/12)*RATES!$N524/100</f>
        <v>159.20833333333334</v>
      </c>
      <c r="Z548" s="16">
        <f t="shared" si="375"/>
        <v>-12901.87700263919</v>
      </c>
      <c r="AA548" s="15">
        <f t="shared" si="350"/>
        <v>22.170849845882874</v>
      </c>
      <c r="AB548" s="75">
        <f>AA548*(1-PARAM!$C$27)*$I$9+(MOD($B548,60)=PARAM!$B$56)*($B548&gt;(60-PARAM!$B$56))*HLOOKUP(($B548+PARAM!$B$56)/12,Loyalty,2)*$F$1*MAX(AD547,0)</f>
        <v>18.557001321003963</v>
      </c>
      <c r="AC548" s="75">
        <f>PARAM!$C$26+MAX($G$9-CHOOSE(PARAM!$B$44,MAX(0,AD547*$F$1),0),0)*RATES!$L524/12+$H$9*(PARAM!$D$51/12)*RATES!$N524/100</f>
        <v>159.20833333333334</v>
      </c>
      <c r="AD548" s="16">
        <f t="shared" si="376"/>
        <v>-12901.87700263919</v>
      </c>
      <c r="AE548" s="15">
        <f t="shared" si="351"/>
        <v>22.170849845882874</v>
      </c>
      <c r="AF548" s="75">
        <f>AE548*(1-PARAM!$C$27)*$I$10+(MOD($B548,60)=PARAM!$B$56)*($B548&gt;(60-PARAM!$B$56))*HLOOKUP(($B548+PARAM!$B$56)/12,Loyalty,2)*$F$1*MAX(AH547,0)</f>
        <v>18.557001321003963</v>
      </c>
      <c r="AG548" s="75">
        <f>PARAM!$C$26+MAX($G$10-CHOOSE(PARAM!$B$44,MAX(0,AH547*$F$1),0),0)*RATES!$L524/12+$H$10*(PARAM!$D$51/12)*RATES!$N524/100</f>
        <v>159.20833333333334</v>
      </c>
      <c r="AH548" s="16">
        <f t="shared" si="377"/>
        <v>-12901.87700263919</v>
      </c>
      <c r="AI548" s="15">
        <f t="shared" si="352"/>
        <v>22.170849845882874</v>
      </c>
      <c r="AJ548" s="75">
        <f>AI548*(1-PARAM!$C$27)*$I$11+(MOD($B548,60)=PARAM!$B$56)*($B548&gt;(60-PARAM!$B$56))*HLOOKUP(($B548+PARAM!$B$56)/12,Loyalty,2)*$F$1*MAX(AL547,0)</f>
        <v>18.557001321003963</v>
      </c>
      <c r="AK548" s="75">
        <f>PARAM!$C$26+MAX($G$11-CHOOSE(PARAM!$B$44,MAX(0,AL547*$F$1),0),0)*RATES!$L524/12+$H$11*(PARAM!$D$51/12)*RATES!$N524/100</f>
        <v>159.20833333333334</v>
      </c>
      <c r="AL548" s="16">
        <f t="shared" si="378"/>
        <v>-12901.87700263919</v>
      </c>
      <c r="AM548" s="15">
        <f t="shared" si="353"/>
        <v>22.170849845882874</v>
      </c>
      <c r="AN548" s="75">
        <f>AM548*(1-PARAM!$C$27)*$I$12+(MOD($B548,60)=PARAM!$B$56)*($B548&gt;(60-PARAM!$B$56))*HLOOKUP(($B548+PARAM!$B$56)/12,Loyalty,2)*$F$1*MAX(AP547,0)</f>
        <v>18.557001321003963</v>
      </c>
      <c r="AO548" s="75">
        <f>PARAM!$C$26+MAX($G$12-CHOOSE(PARAM!$B$44,MAX(0,AP547*$F$1),0),0)*RATES!$L524/12+$H$12*(PARAM!$D$51/12)*RATES!$N524/100</f>
        <v>159.20833333333334</v>
      </c>
      <c r="AP548" s="16">
        <f t="shared" si="379"/>
        <v>-12901.87700263919</v>
      </c>
      <c r="AQ548" s="15">
        <f t="shared" si="354"/>
        <v>22.170849845882874</v>
      </c>
      <c r="AR548" s="75">
        <f>AQ548*(1-PARAM!$C$27)*$I$13+(MOD($B548,60)=PARAM!$B$56)*($B548&gt;(60-PARAM!$B$56))*HLOOKUP(($B548+PARAM!$B$56)/12,Loyalty,2)*$F$1*MAX(AT547,0)</f>
        <v>18.557001321003963</v>
      </c>
      <c r="AS548" s="75">
        <f>PARAM!$C$26+MAX($G$13-CHOOSE(PARAM!$B$44,MAX(0,AT547*$F$1),0),0)*RATES!$L524/12+$H$13*(PARAM!$D$51/12)*RATES!$N524/100</f>
        <v>159.20833333333334</v>
      </c>
      <c r="AT548" s="16">
        <f t="shared" si="380"/>
        <v>-12901.87700263919</v>
      </c>
      <c r="AU548" s="15">
        <f t="shared" si="355"/>
        <v>22.170849845882874</v>
      </c>
      <c r="AV548" s="75">
        <f>AU548*(1-PARAM!$C$27)*$I$14+(MOD($B548,60)=PARAM!$B$56)*($B548&gt;(60-PARAM!$B$56))*HLOOKUP(($B548+PARAM!$B$56)/12,Loyalty,2)*$F$1*MAX(AX547,0)</f>
        <v>18.557001321003963</v>
      </c>
      <c r="AW548" s="75">
        <f>PARAM!$C$26+MAX($G$14-CHOOSE(PARAM!$B$44,MAX(0,AX547*$F$1),0),0)*RATES!$L524/12+$H$14*(PARAM!$D$51/12)*RATES!$N524/100</f>
        <v>159.20833333333334</v>
      </c>
      <c r="AX548" s="16">
        <f t="shared" si="381"/>
        <v>-12901.87700263919</v>
      </c>
      <c r="AY548" s="15">
        <f t="shared" si="356"/>
        <v>22.170849845882874</v>
      </c>
      <c r="AZ548" s="75">
        <f>AY548*(1-PARAM!$C$27)*$I$15+(MOD($B548,60)=PARAM!$B$56)*($B548&gt;(60-PARAM!$B$56))*HLOOKUP(($B548+PARAM!$B$56)/12,Loyalty,2)*$F$1*MAX(BB547,0)</f>
        <v>18.557001321003963</v>
      </c>
      <c r="BA548" s="75">
        <f>PARAM!$C$26+MAX($G$15-CHOOSE(PARAM!$B$44,MAX(0,BB547*$F$1),0),0)*RATES!$L524/12+$H$15*(PARAM!$D$51/12)*RATES!$N524/100</f>
        <v>159.20833333333334</v>
      </c>
      <c r="BB548" s="16">
        <f t="shared" si="382"/>
        <v>-12901.87700263919</v>
      </c>
      <c r="BC548" s="15">
        <f t="shared" si="357"/>
        <v>22.170849845882874</v>
      </c>
      <c r="BD548" s="75">
        <f>BC548*(1-PARAM!$C$27)*$I$16+(MOD($B548,60)=PARAM!$B$56)*($B548&gt;(60-PARAM!$B$56))*HLOOKUP(($B548+PARAM!$B$56)/12,Loyalty,2)*$F$1*MAX(BF547,0)</f>
        <v>18.557001321003963</v>
      </c>
      <c r="BE548" s="75">
        <f>PARAM!$C$26+MAX($G$16-CHOOSE(PARAM!$B$44,MAX(0,BF547*$F$1),0),0)*RATES!$L524/12+$H$16*(PARAM!$D$51/12)*RATES!$N524/100</f>
        <v>159.20833333333334</v>
      </c>
      <c r="BF548" s="16">
        <f t="shared" si="383"/>
        <v>-12901.87700263919</v>
      </c>
      <c r="BG548" s="15">
        <f t="shared" si="358"/>
        <v>22.170849845882874</v>
      </c>
      <c r="BH548" s="75">
        <f>BG548*(1-PARAM!$C$27)*$I$17+(MOD($B548,60)=PARAM!$B$56)*($B548&gt;(60-PARAM!$B$56))*HLOOKUP(($B548+PARAM!$B$56)/12,Loyalty,2)*$F$1*MAX(BJ547,0)</f>
        <v>18.557001321003963</v>
      </c>
      <c r="BI548" s="75">
        <f>PARAM!$C$26+MAX($G$17-CHOOSE(PARAM!$B$44,MAX(0,BJ547*$F$1),0),0)*RATES!$L524/12+$H$17*(PARAM!$D$51/12)*RATES!$N524/100</f>
        <v>159.20833333333334</v>
      </c>
      <c r="BJ548" s="16">
        <f t="shared" si="384"/>
        <v>-12901.87700263919</v>
      </c>
      <c r="BK548" s="15">
        <f t="shared" si="359"/>
        <v>22.170849845882874</v>
      </c>
      <c r="BL548" s="75">
        <f>BK548*(1-PARAM!$C$27)*$I$18+(MOD($B548,60)=PARAM!$B$56)*($B548&gt;(60-PARAM!$B$56))*HLOOKUP(($B548+PARAM!$B$56)/12,Loyalty,2)*$F$1*MAX(BN547,0)</f>
        <v>18.557001321003963</v>
      </c>
      <c r="BM548" s="75">
        <f>PARAM!$C$26+MAX($G$18-CHOOSE(PARAM!$B$44,MAX(0,BN547*$F$1),0),0)*RATES!$L524/12+$H$18*(PARAM!$D$51/12)*RATES!$N524/100</f>
        <v>159.20833333333334</v>
      </c>
      <c r="BN548" s="16">
        <f t="shared" si="385"/>
        <v>-12901.87700263919</v>
      </c>
      <c r="BO548" s="15">
        <f t="shared" si="360"/>
        <v>22.170849845882874</v>
      </c>
      <c r="BP548" s="75">
        <f>BO548*(1-PARAM!$C$27)*$I$19+(MOD($B548,60)=PARAM!$B$56)*($B548&gt;(60-PARAM!$B$56))*HLOOKUP(($B548+PARAM!$B$56)/12,Loyalty,2)*$F$1*MAX(BR547,0)</f>
        <v>18.557001321003963</v>
      </c>
      <c r="BQ548" s="75">
        <f>PARAM!$C$26+MAX($G$19-CHOOSE(PARAM!$B$44,MAX(0,BR547*$F$1),0),0)*RATES!$L524/12+$H$19*(PARAM!$D$51/12)*RATES!$N524/100</f>
        <v>159.20833333333334</v>
      </c>
      <c r="BR548" s="16">
        <f t="shared" si="386"/>
        <v>-12901.87700263919</v>
      </c>
      <c r="BS548" s="15">
        <f t="shared" si="361"/>
        <v>22.170849845882874</v>
      </c>
      <c r="BT548" s="75">
        <f>BS548*(1-PARAM!$C$27)*$I$20+(MOD($B548,60)=PARAM!$B$56)*($B548&gt;(60-PARAM!$B$56))*HLOOKUP(($B548+PARAM!$B$56)/12,Loyalty,2)*$F$1*MAX(BV547,0)</f>
        <v>18.557001321003963</v>
      </c>
      <c r="BU548" s="75">
        <f>PARAM!$C$26+MAX($G$20-CHOOSE(PARAM!$B$44,MAX(0,BV547*$F$1),0),0)*RATES!$L524/12+$H$20*(PARAM!$D$51/12)*RATES!$N524/100</f>
        <v>159.20833333333334</v>
      </c>
      <c r="BV548" s="16">
        <f t="shared" si="387"/>
        <v>-12901.87700263919</v>
      </c>
      <c r="BW548" s="15">
        <f t="shared" si="362"/>
        <v>22.170849845882874</v>
      </c>
      <c r="BX548" s="75">
        <f>BW548*(1-PARAM!$C$27)*$I$21+(MOD($B548,60)=PARAM!$B$56)*($B548&gt;(60-PARAM!$B$56))*HLOOKUP(($B548+PARAM!$B$56)/12,Loyalty,2)*$F$1*MAX(BZ547,0)</f>
        <v>18.557001321003963</v>
      </c>
      <c r="BY548" s="75">
        <f>PARAM!$C$26+MAX($G$21-CHOOSE(PARAM!$B$44,MAX(0,BZ547*$F$1),0),0)*RATES!$L524/12+$H$21*(PARAM!$D$51/12)*RATES!$N524/100</f>
        <v>159.20833333333334</v>
      </c>
      <c r="BZ548" s="16">
        <f t="shared" si="388"/>
        <v>-12901.87700263919</v>
      </c>
      <c r="CA548" s="15">
        <f t="shared" si="363"/>
        <v>22.170849845882874</v>
      </c>
      <c r="CB548" s="75">
        <f>CA548*(1-PARAM!$C$27)*$I$22+(MOD($B548,60)=PARAM!$B$56)*($B548&gt;(60-PARAM!$B$56))*HLOOKUP(($B548+PARAM!$B$56)/12,Loyalty,2)*$F$1*MAX(CD547,0)</f>
        <v>18.557001321003963</v>
      </c>
      <c r="CC548" s="75">
        <f>PARAM!$C$26+MAX($G$22-CHOOSE(PARAM!$B$44,MAX(0,CD547*$F$1),0),0)*RATES!$L524/12+$H$22*(PARAM!$D$51/12)*RATES!$N524/100</f>
        <v>159.20833333333334</v>
      </c>
      <c r="CD548" s="16">
        <f t="shared" si="389"/>
        <v>-12901.87700263919</v>
      </c>
      <c r="CE548" s="33">
        <f>IF(0=MOD(B548,12/PARAM!$D$51),1,0)</f>
        <v>1</v>
      </c>
      <c r="CF548" s="15">
        <f t="shared" si="364"/>
        <v>0</v>
      </c>
      <c r="CG548" s="75">
        <f>CF548*(1-PARAM!$C$27)*$R$3+(MOD($B548/12,5)=0)*($B548&gt;60)*HLOOKUP($B548/12,Loyalty,2)*$F$1*MAX(CI547,0)</f>
        <v>0</v>
      </c>
      <c r="CH548" s="75">
        <f>PARAM!$C$26+MAX($P$3-CHOOSE(PARAM!$B$44,MAX(0,CI547*$F$1),0),0)*RATES!$L524/12+$Q$3*(PARAM!$D$51/12)*RATES!$N524/100</f>
        <v>159.20833333333334</v>
      </c>
      <c r="CI548" s="16">
        <f>IF(CI547&gt;0,CI547*PARAM!$C$53,CI547)+CG548-CH548</f>
        <v>-22450.499999999982</v>
      </c>
      <c r="CJ548" s="15">
        <f t="shared" si="390"/>
        <v>0</v>
      </c>
      <c r="CK548" s="75">
        <f>CJ548*(1-PARAM!$C$27)*$R$4+(MOD($B548/12,5)=0)*($B548&gt;60)*HLOOKUP($B548/12,Loyalty,2)*$F$1*MAX(CM547,0)</f>
        <v>0</v>
      </c>
      <c r="CL548" s="75">
        <f>PARAM!$C$26+MAX($P$4-CHOOSE(PARAM!$B$44,MAX(0,CM547*$F$1),0),0)*RATES!$L524/12+$Q$4*(PARAM!$D$51/12)*RATES!$N524/100</f>
        <v>159.20833333333334</v>
      </c>
      <c r="CM548" s="16">
        <f>IF(CM547&gt;0,CM547*PARAM!$C$53,CM547)+CK548-CL548</f>
        <v>-22450.499999999982</v>
      </c>
      <c r="CO548" s="176"/>
    </row>
    <row r="549" spans="1:93" x14ac:dyDescent="0.2">
      <c r="A549" t="b">
        <f t="shared" si="365"/>
        <v>0</v>
      </c>
      <c r="B549" s="33">
        <v>522</v>
      </c>
      <c r="C549" s="15">
        <f t="shared" si="366"/>
        <v>20.081305947392778</v>
      </c>
      <c r="D549" s="75">
        <f>C549*(1-PARAM!$C$27)*$I$3+(MOD($B549,60)=PARAM!$B$56)*($B549&gt;(60-PARAM!$B$56))*HLOOKUP(($B549+PARAM!$B$56)/12,Loyalty,2)*$F$1*MAX(F548,0)</f>
        <v>16.808053077967756</v>
      </c>
      <c r="E549" s="75">
        <f>PARAM!$C$26+MAX($G$3-CHOOSE(PARAM!$B$44,MAX(0,F548*$F$1),0),0)*RATES!$L525/12+$H$3*(PARAM!$D$51/12)*RATES!$N525/100</f>
        <v>174.70833333333331</v>
      </c>
      <c r="F549" s="16">
        <f t="shared" si="367"/>
        <v>-14007.82981803789</v>
      </c>
      <c r="G549" s="15">
        <f t="shared" si="368"/>
        <v>22.035289406060361</v>
      </c>
      <c r="H549" s="75">
        <f>G549*(1-PARAM!$C$27)*$I$4+(MOD($B549,60)=PARAM!$B$56)*($B549&gt;(60-PARAM!$B$56))*HLOOKUP(($B549+PARAM!$B$56)/12,Loyalty,2)*$F$1*MAX(J548,0)</f>
        <v>18.443537232872522</v>
      </c>
      <c r="I549" s="75">
        <f>PARAM!$C$26+MAX($G$4-CHOOSE(PARAM!$B$44,MAX(0,J548*$F$1),0),0)*RATES!$L525/12+$H$4*(PARAM!$D$51/12)*RATES!$N525/100</f>
        <v>174.70833333333331</v>
      </c>
      <c r="J549" s="16">
        <f t="shared" si="369"/>
        <v>-13120.274125055921</v>
      </c>
      <c r="K549" s="15">
        <f t="shared" si="370"/>
        <v>22.170849845882874</v>
      </c>
      <c r="L549" s="75">
        <f>K549*(1-PARAM!$C$27)*$I$5+(MOD($B549,60)=PARAM!$B$56)*($B549&gt;(60-PARAM!$B$56))*HLOOKUP(($B549+PARAM!$B$56)/12,Loyalty,2)*$F$1*MAX(N548,0)</f>
        <v>18.557001321003963</v>
      </c>
      <c r="M549" s="75">
        <f>PARAM!$C$26+MAX($G$5-CHOOSE(PARAM!$B$44,MAX(0,N548*$F$1),0),0)*RATES!$L525/12+$H$5*(PARAM!$D$51/12)*RATES!$N525/100</f>
        <v>174.70833333333331</v>
      </c>
      <c r="N549" s="16">
        <f t="shared" si="371"/>
        <v>-13058.028334651521</v>
      </c>
      <c r="O549" s="15">
        <f t="shared" si="372"/>
        <v>22.170849845882874</v>
      </c>
      <c r="P549" s="75">
        <f>O549*(1-PARAM!$C$27)*$I$6+(MOD($B549,60)=PARAM!$B$56)*($B549&gt;(60-PARAM!$B$56))*HLOOKUP(($B549+PARAM!$B$56)/12,Loyalty,2)*$F$1*MAX(R548,0)</f>
        <v>18.557001321003963</v>
      </c>
      <c r="Q549" s="75">
        <f>PARAM!$C$26+MAX($G$6-CHOOSE(PARAM!$B$44,MAX(0,R548*$F$1),0),0)*RATES!$L525/12+$H$6*(PARAM!$D$51/12)*RATES!$N525/100</f>
        <v>174.70833333333331</v>
      </c>
      <c r="R549" s="16">
        <f t="shared" si="373"/>
        <v>-13058.028334651521</v>
      </c>
      <c r="S549" s="15">
        <f t="shared" si="348"/>
        <v>22.170849845882874</v>
      </c>
      <c r="T549" s="75">
        <f>S549*(1-PARAM!$C$27)*$I$7+(MOD($B549,60)=PARAM!$B$56)*($B549&gt;(60-PARAM!$B$56))*HLOOKUP(($B549+PARAM!$B$56)/12,Loyalty,2)*$F$1*MAX(V548,0)</f>
        <v>18.557001321003963</v>
      </c>
      <c r="U549" s="75">
        <f>PARAM!$C$26+MAX($G$7-CHOOSE(PARAM!$B$44,MAX(0,V548*$F$1),0),0)*RATES!$L525/12+$H$7*(PARAM!$D$51/12)*RATES!$N525/100</f>
        <v>174.70833333333331</v>
      </c>
      <c r="V549" s="16">
        <f t="shared" si="374"/>
        <v>-13058.028334651521</v>
      </c>
      <c r="W549" s="15">
        <f t="shared" si="349"/>
        <v>22.170849845882874</v>
      </c>
      <c r="X549" s="75">
        <f>W549*(1-PARAM!$C$27)*$I$8+(MOD($B549,60)=PARAM!$B$56)*($B549&gt;(60-PARAM!$B$56))*HLOOKUP(($B549+PARAM!$B$56)/12,Loyalty,2)*$F$1*MAX(Z548,0)</f>
        <v>18.557001321003963</v>
      </c>
      <c r="Y549" s="75">
        <f>PARAM!$C$26+MAX($G$8-CHOOSE(PARAM!$B$44,MAX(0,Z548*$F$1),0),0)*RATES!$L525/12+$H$8*(PARAM!$D$51/12)*RATES!$N525/100</f>
        <v>174.70833333333331</v>
      </c>
      <c r="Z549" s="16">
        <f t="shared" si="375"/>
        <v>-13058.028334651521</v>
      </c>
      <c r="AA549" s="15">
        <f t="shared" si="350"/>
        <v>22.170849845882874</v>
      </c>
      <c r="AB549" s="75">
        <f>AA549*(1-PARAM!$C$27)*$I$9+(MOD($B549,60)=PARAM!$B$56)*($B549&gt;(60-PARAM!$B$56))*HLOOKUP(($B549+PARAM!$B$56)/12,Loyalty,2)*$F$1*MAX(AD548,0)</f>
        <v>18.557001321003963</v>
      </c>
      <c r="AC549" s="75">
        <f>PARAM!$C$26+MAX($G$9-CHOOSE(PARAM!$B$44,MAX(0,AD548*$F$1),0),0)*RATES!$L525/12+$H$9*(PARAM!$D$51/12)*RATES!$N525/100</f>
        <v>174.70833333333331</v>
      </c>
      <c r="AD549" s="16">
        <f t="shared" si="376"/>
        <v>-13058.028334651521</v>
      </c>
      <c r="AE549" s="15">
        <f t="shared" si="351"/>
        <v>22.170849845882874</v>
      </c>
      <c r="AF549" s="75">
        <f>AE549*(1-PARAM!$C$27)*$I$10+(MOD($B549,60)=PARAM!$B$56)*($B549&gt;(60-PARAM!$B$56))*HLOOKUP(($B549+PARAM!$B$56)/12,Loyalty,2)*$F$1*MAX(AH548,0)</f>
        <v>18.557001321003963</v>
      </c>
      <c r="AG549" s="75">
        <f>PARAM!$C$26+MAX($G$10-CHOOSE(PARAM!$B$44,MAX(0,AH548*$F$1),0),0)*RATES!$L525/12+$H$10*(PARAM!$D$51/12)*RATES!$N525/100</f>
        <v>174.70833333333331</v>
      </c>
      <c r="AH549" s="16">
        <f t="shared" si="377"/>
        <v>-13058.028334651521</v>
      </c>
      <c r="AI549" s="15">
        <f t="shared" si="352"/>
        <v>22.170849845882874</v>
      </c>
      <c r="AJ549" s="75">
        <f>AI549*(1-PARAM!$C$27)*$I$11+(MOD($B549,60)=PARAM!$B$56)*($B549&gt;(60-PARAM!$B$56))*HLOOKUP(($B549+PARAM!$B$56)/12,Loyalty,2)*$F$1*MAX(AL548,0)</f>
        <v>18.557001321003963</v>
      </c>
      <c r="AK549" s="75">
        <f>PARAM!$C$26+MAX($G$11-CHOOSE(PARAM!$B$44,MAX(0,AL548*$F$1),0),0)*RATES!$L525/12+$H$11*(PARAM!$D$51/12)*RATES!$N525/100</f>
        <v>174.70833333333331</v>
      </c>
      <c r="AL549" s="16">
        <f t="shared" si="378"/>
        <v>-13058.028334651521</v>
      </c>
      <c r="AM549" s="15">
        <f t="shared" si="353"/>
        <v>22.170849845882874</v>
      </c>
      <c r="AN549" s="75">
        <f>AM549*(1-PARAM!$C$27)*$I$12+(MOD($B549,60)=PARAM!$B$56)*($B549&gt;(60-PARAM!$B$56))*HLOOKUP(($B549+PARAM!$B$56)/12,Loyalty,2)*$F$1*MAX(AP548,0)</f>
        <v>18.557001321003963</v>
      </c>
      <c r="AO549" s="75">
        <f>PARAM!$C$26+MAX($G$12-CHOOSE(PARAM!$B$44,MAX(0,AP548*$F$1),0),0)*RATES!$L525/12+$H$12*(PARAM!$D$51/12)*RATES!$N525/100</f>
        <v>174.70833333333331</v>
      </c>
      <c r="AP549" s="16">
        <f t="shared" si="379"/>
        <v>-13058.028334651521</v>
      </c>
      <c r="AQ549" s="15">
        <f t="shared" si="354"/>
        <v>22.170849845882874</v>
      </c>
      <c r="AR549" s="75">
        <f>AQ549*(1-PARAM!$C$27)*$I$13+(MOD($B549,60)=PARAM!$B$56)*($B549&gt;(60-PARAM!$B$56))*HLOOKUP(($B549+PARAM!$B$56)/12,Loyalty,2)*$F$1*MAX(AT548,0)</f>
        <v>18.557001321003963</v>
      </c>
      <c r="AS549" s="75">
        <f>PARAM!$C$26+MAX($G$13-CHOOSE(PARAM!$B$44,MAX(0,AT548*$F$1),0),0)*RATES!$L525/12+$H$13*(PARAM!$D$51/12)*RATES!$N525/100</f>
        <v>174.70833333333331</v>
      </c>
      <c r="AT549" s="16">
        <f t="shared" si="380"/>
        <v>-13058.028334651521</v>
      </c>
      <c r="AU549" s="15">
        <f t="shared" si="355"/>
        <v>22.170849845882874</v>
      </c>
      <c r="AV549" s="75">
        <f>AU549*(1-PARAM!$C$27)*$I$14+(MOD($B549,60)=PARAM!$B$56)*($B549&gt;(60-PARAM!$B$56))*HLOOKUP(($B549+PARAM!$B$56)/12,Loyalty,2)*$F$1*MAX(AX548,0)</f>
        <v>18.557001321003963</v>
      </c>
      <c r="AW549" s="75">
        <f>PARAM!$C$26+MAX($G$14-CHOOSE(PARAM!$B$44,MAX(0,AX548*$F$1),0),0)*RATES!$L525/12+$H$14*(PARAM!$D$51/12)*RATES!$N525/100</f>
        <v>174.70833333333331</v>
      </c>
      <c r="AX549" s="16">
        <f t="shared" si="381"/>
        <v>-13058.028334651521</v>
      </c>
      <c r="AY549" s="15">
        <f t="shared" si="356"/>
        <v>22.170849845882874</v>
      </c>
      <c r="AZ549" s="75">
        <f>AY549*(1-PARAM!$C$27)*$I$15+(MOD($B549,60)=PARAM!$B$56)*($B549&gt;(60-PARAM!$B$56))*HLOOKUP(($B549+PARAM!$B$56)/12,Loyalty,2)*$F$1*MAX(BB548,0)</f>
        <v>18.557001321003963</v>
      </c>
      <c r="BA549" s="75">
        <f>PARAM!$C$26+MAX($G$15-CHOOSE(PARAM!$B$44,MAX(0,BB548*$F$1),0),0)*RATES!$L525/12+$H$15*(PARAM!$D$51/12)*RATES!$N525/100</f>
        <v>174.70833333333331</v>
      </c>
      <c r="BB549" s="16">
        <f t="shared" si="382"/>
        <v>-13058.028334651521</v>
      </c>
      <c r="BC549" s="15">
        <f t="shared" si="357"/>
        <v>22.170849845882874</v>
      </c>
      <c r="BD549" s="75">
        <f>BC549*(1-PARAM!$C$27)*$I$16+(MOD($B549,60)=PARAM!$B$56)*($B549&gt;(60-PARAM!$B$56))*HLOOKUP(($B549+PARAM!$B$56)/12,Loyalty,2)*$F$1*MAX(BF548,0)</f>
        <v>18.557001321003963</v>
      </c>
      <c r="BE549" s="75">
        <f>PARAM!$C$26+MAX($G$16-CHOOSE(PARAM!$B$44,MAX(0,BF548*$F$1),0),0)*RATES!$L525/12+$H$16*(PARAM!$D$51/12)*RATES!$N525/100</f>
        <v>174.70833333333331</v>
      </c>
      <c r="BF549" s="16">
        <f t="shared" si="383"/>
        <v>-13058.028334651521</v>
      </c>
      <c r="BG549" s="15">
        <f t="shared" si="358"/>
        <v>22.170849845882874</v>
      </c>
      <c r="BH549" s="75">
        <f>BG549*(1-PARAM!$C$27)*$I$17+(MOD($B549,60)=PARAM!$B$56)*($B549&gt;(60-PARAM!$B$56))*HLOOKUP(($B549+PARAM!$B$56)/12,Loyalty,2)*$F$1*MAX(BJ548,0)</f>
        <v>18.557001321003963</v>
      </c>
      <c r="BI549" s="75">
        <f>PARAM!$C$26+MAX($G$17-CHOOSE(PARAM!$B$44,MAX(0,BJ548*$F$1),0),0)*RATES!$L525/12+$H$17*(PARAM!$D$51/12)*RATES!$N525/100</f>
        <v>174.70833333333331</v>
      </c>
      <c r="BJ549" s="16">
        <f t="shared" si="384"/>
        <v>-13058.028334651521</v>
      </c>
      <c r="BK549" s="15">
        <f t="shared" si="359"/>
        <v>22.170849845882874</v>
      </c>
      <c r="BL549" s="75">
        <f>BK549*(1-PARAM!$C$27)*$I$18+(MOD($B549,60)=PARAM!$B$56)*($B549&gt;(60-PARAM!$B$56))*HLOOKUP(($B549+PARAM!$B$56)/12,Loyalty,2)*$F$1*MAX(BN548,0)</f>
        <v>18.557001321003963</v>
      </c>
      <c r="BM549" s="75">
        <f>PARAM!$C$26+MAX($G$18-CHOOSE(PARAM!$B$44,MAX(0,BN548*$F$1),0),0)*RATES!$L525/12+$H$18*(PARAM!$D$51/12)*RATES!$N525/100</f>
        <v>174.70833333333331</v>
      </c>
      <c r="BN549" s="16">
        <f t="shared" si="385"/>
        <v>-13058.028334651521</v>
      </c>
      <c r="BO549" s="15">
        <f t="shared" si="360"/>
        <v>22.170849845882874</v>
      </c>
      <c r="BP549" s="75">
        <f>BO549*(1-PARAM!$C$27)*$I$19+(MOD($B549,60)=PARAM!$B$56)*($B549&gt;(60-PARAM!$B$56))*HLOOKUP(($B549+PARAM!$B$56)/12,Loyalty,2)*$F$1*MAX(BR548,0)</f>
        <v>18.557001321003963</v>
      </c>
      <c r="BQ549" s="75">
        <f>PARAM!$C$26+MAX($G$19-CHOOSE(PARAM!$B$44,MAX(0,BR548*$F$1),0),0)*RATES!$L525/12+$H$19*(PARAM!$D$51/12)*RATES!$N525/100</f>
        <v>174.70833333333331</v>
      </c>
      <c r="BR549" s="16">
        <f t="shared" si="386"/>
        <v>-13058.028334651521</v>
      </c>
      <c r="BS549" s="15">
        <f t="shared" si="361"/>
        <v>22.170849845882874</v>
      </c>
      <c r="BT549" s="75">
        <f>BS549*(1-PARAM!$C$27)*$I$20+(MOD($B549,60)=PARAM!$B$56)*($B549&gt;(60-PARAM!$B$56))*HLOOKUP(($B549+PARAM!$B$56)/12,Loyalty,2)*$F$1*MAX(BV548,0)</f>
        <v>18.557001321003963</v>
      </c>
      <c r="BU549" s="75">
        <f>PARAM!$C$26+MAX($G$20-CHOOSE(PARAM!$B$44,MAX(0,BV548*$F$1),0),0)*RATES!$L525/12+$H$20*(PARAM!$D$51/12)*RATES!$N525/100</f>
        <v>174.70833333333331</v>
      </c>
      <c r="BV549" s="16">
        <f t="shared" si="387"/>
        <v>-13058.028334651521</v>
      </c>
      <c r="BW549" s="15">
        <f t="shared" si="362"/>
        <v>22.170849845882874</v>
      </c>
      <c r="BX549" s="75">
        <f>BW549*(1-PARAM!$C$27)*$I$21+(MOD($B549,60)=PARAM!$B$56)*($B549&gt;(60-PARAM!$B$56))*HLOOKUP(($B549+PARAM!$B$56)/12,Loyalty,2)*$F$1*MAX(BZ548,0)</f>
        <v>18.557001321003963</v>
      </c>
      <c r="BY549" s="75">
        <f>PARAM!$C$26+MAX($G$21-CHOOSE(PARAM!$B$44,MAX(0,BZ548*$F$1),0),0)*RATES!$L525/12+$H$21*(PARAM!$D$51/12)*RATES!$N525/100</f>
        <v>174.70833333333331</v>
      </c>
      <c r="BZ549" s="16">
        <f t="shared" si="388"/>
        <v>-13058.028334651521</v>
      </c>
      <c r="CA549" s="15">
        <f t="shared" si="363"/>
        <v>22.170849845882874</v>
      </c>
      <c r="CB549" s="75">
        <f>CA549*(1-PARAM!$C$27)*$I$22+(MOD($B549,60)=PARAM!$B$56)*($B549&gt;(60-PARAM!$B$56))*HLOOKUP(($B549+PARAM!$B$56)/12,Loyalty,2)*$F$1*MAX(CD548,0)</f>
        <v>18.557001321003963</v>
      </c>
      <c r="CC549" s="75">
        <f>PARAM!$C$26+MAX($G$22-CHOOSE(PARAM!$B$44,MAX(0,CD548*$F$1),0),0)*RATES!$L525/12+$H$22*(PARAM!$D$51/12)*RATES!$N525/100</f>
        <v>174.70833333333331</v>
      </c>
      <c r="CD549" s="16">
        <f t="shared" si="389"/>
        <v>-13058.028334651521</v>
      </c>
      <c r="CE549" s="33">
        <f>IF(0=MOD(B549,12/PARAM!$D$51),1,0)</f>
        <v>1</v>
      </c>
      <c r="CF549" s="15">
        <f t="shared" si="364"/>
        <v>0</v>
      </c>
      <c r="CG549" s="75">
        <f>CF549*(1-PARAM!$C$27)*$R$3+(MOD($B549/12,5)=0)*($B549&gt;60)*HLOOKUP($B549/12,Loyalty,2)*$F$1*MAX(CI548,0)</f>
        <v>0</v>
      </c>
      <c r="CH549" s="75">
        <f>PARAM!$C$26+MAX($P$3-CHOOSE(PARAM!$B$44,MAX(0,CI548*$F$1),0),0)*RATES!$L525/12+$Q$3*(PARAM!$D$51/12)*RATES!$N525/100</f>
        <v>174.70833333333331</v>
      </c>
      <c r="CI549" s="16">
        <f>IF(CI548&gt;0,CI548*PARAM!$C$53,CI548)+CG549-CH549</f>
        <v>-22625.208333333314</v>
      </c>
      <c r="CJ549" s="15">
        <f t="shared" si="390"/>
        <v>0</v>
      </c>
      <c r="CK549" s="75">
        <f>CJ549*(1-PARAM!$C$27)*$R$4+(MOD($B549/12,5)=0)*($B549&gt;60)*HLOOKUP($B549/12,Loyalty,2)*$F$1*MAX(CM548,0)</f>
        <v>0</v>
      </c>
      <c r="CL549" s="75">
        <f>PARAM!$C$26+MAX($P$4-CHOOSE(PARAM!$B$44,MAX(0,CM548*$F$1),0),0)*RATES!$L525/12+$Q$4*(PARAM!$D$51/12)*RATES!$N525/100</f>
        <v>174.70833333333331</v>
      </c>
      <c r="CM549" s="16">
        <f>IF(CM548&gt;0,CM548*PARAM!$C$53,CM548)+CK549-CL549</f>
        <v>-22625.208333333314</v>
      </c>
      <c r="CO549" s="176"/>
    </row>
    <row r="550" spans="1:93" x14ac:dyDescent="0.2">
      <c r="A550" t="b">
        <f t="shared" si="365"/>
        <v>0</v>
      </c>
      <c r="B550" s="33">
        <v>523</v>
      </c>
      <c r="C550" s="15">
        <f t="shared" si="366"/>
        <v>20.081305947392778</v>
      </c>
      <c r="D550" s="75">
        <f>C550*(1-PARAM!$C$27)*$I$3+(MOD($B550,60)=PARAM!$B$56)*($B550&gt;(60-PARAM!$B$56))*HLOOKUP(($B550+PARAM!$B$56)/12,Loyalty,2)*$F$1*MAX(F549,0)</f>
        <v>16.808053077967756</v>
      </c>
      <c r="E550" s="75">
        <f>PARAM!$C$26+MAX($G$3-CHOOSE(PARAM!$B$44,MAX(0,F549*$F$1),0),0)*RATES!$L526/12+$H$3*(PARAM!$D$51/12)*RATES!$N526/100</f>
        <v>174.70833333333331</v>
      </c>
      <c r="F550" s="16">
        <f t="shared" si="367"/>
        <v>-14165.730098293256</v>
      </c>
      <c r="G550" s="15">
        <f t="shared" si="368"/>
        <v>22.035289406060361</v>
      </c>
      <c r="H550" s="75">
        <f>G550*(1-PARAM!$C$27)*$I$4+(MOD($B550,60)=PARAM!$B$56)*($B550&gt;(60-PARAM!$B$56))*HLOOKUP(($B550+PARAM!$B$56)/12,Loyalty,2)*$F$1*MAX(J549,0)</f>
        <v>18.443537232872522</v>
      </c>
      <c r="I550" s="75">
        <f>PARAM!$C$26+MAX($G$4-CHOOSE(PARAM!$B$44,MAX(0,J549*$F$1),0),0)*RATES!$L526/12+$H$4*(PARAM!$D$51/12)*RATES!$N526/100</f>
        <v>174.70833333333331</v>
      </c>
      <c r="J550" s="16">
        <f t="shared" si="369"/>
        <v>-13276.538921156383</v>
      </c>
      <c r="K550" s="15">
        <f t="shared" si="370"/>
        <v>22.170849845882874</v>
      </c>
      <c r="L550" s="75">
        <f>K550*(1-PARAM!$C$27)*$I$5+(MOD($B550,60)=PARAM!$B$56)*($B550&gt;(60-PARAM!$B$56))*HLOOKUP(($B550+PARAM!$B$56)/12,Loyalty,2)*$F$1*MAX(N549,0)</f>
        <v>18.557001321003963</v>
      </c>
      <c r="M550" s="75">
        <f>PARAM!$C$26+MAX($G$5-CHOOSE(PARAM!$B$44,MAX(0,N549*$F$1),0),0)*RATES!$L526/12+$H$5*(PARAM!$D$51/12)*RATES!$N526/100</f>
        <v>174.70833333333331</v>
      </c>
      <c r="N550" s="16">
        <f t="shared" si="371"/>
        <v>-13214.179666663851</v>
      </c>
      <c r="O550" s="15">
        <f t="shared" si="372"/>
        <v>22.170849845882874</v>
      </c>
      <c r="P550" s="75">
        <f>O550*(1-PARAM!$C$27)*$I$6+(MOD($B550,60)=PARAM!$B$56)*($B550&gt;(60-PARAM!$B$56))*HLOOKUP(($B550+PARAM!$B$56)/12,Loyalty,2)*$F$1*MAX(R549,0)</f>
        <v>18.557001321003963</v>
      </c>
      <c r="Q550" s="75">
        <f>PARAM!$C$26+MAX($G$6-CHOOSE(PARAM!$B$44,MAX(0,R549*$F$1),0),0)*RATES!$L526/12+$H$6*(PARAM!$D$51/12)*RATES!$N526/100</f>
        <v>174.70833333333331</v>
      </c>
      <c r="R550" s="16">
        <f t="shared" si="373"/>
        <v>-13214.179666663851</v>
      </c>
      <c r="S550" s="15">
        <f t="shared" si="348"/>
        <v>22.170849845882874</v>
      </c>
      <c r="T550" s="75">
        <f>S550*(1-PARAM!$C$27)*$I$7+(MOD($B550,60)=PARAM!$B$56)*($B550&gt;(60-PARAM!$B$56))*HLOOKUP(($B550+PARAM!$B$56)/12,Loyalty,2)*$F$1*MAX(V549,0)</f>
        <v>18.557001321003963</v>
      </c>
      <c r="U550" s="75">
        <f>PARAM!$C$26+MAX($G$7-CHOOSE(PARAM!$B$44,MAX(0,V549*$F$1),0),0)*RATES!$L526/12+$H$7*(PARAM!$D$51/12)*RATES!$N526/100</f>
        <v>174.70833333333331</v>
      </c>
      <c r="V550" s="16">
        <f t="shared" si="374"/>
        <v>-13214.179666663851</v>
      </c>
      <c r="W550" s="15">
        <f t="shared" si="349"/>
        <v>22.170849845882874</v>
      </c>
      <c r="X550" s="75">
        <f>W550*(1-PARAM!$C$27)*$I$8+(MOD($B550,60)=PARAM!$B$56)*($B550&gt;(60-PARAM!$B$56))*HLOOKUP(($B550+PARAM!$B$56)/12,Loyalty,2)*$F$1*MAX(Z549,0)</f>
        <v>18.557001321003963</v>
      </c>
      <c r="Y550" s="75">
        <f>PARAM!$C$26+MAX($G$8-CHOOSE(PARAM!$B$44,MAX(0,Z549*$F$1),0),0)*RATES!$L526/12+$H$8*(PARAM!$D$51/12)*RATES!$N526/100</f>
        <v>174.70833333333331</v>
      </c>
      <c r="Z550" s="16">
        <f t="shared" si="375"/>
        <v>-13214.179666663851</v>
      </c>
      <c r="AA550" s="15">
        <f t="shared" si="350"/>
        <v>22.170849845882874</v>
      </c>
      <c r="AB550" s="75">
        <f>AA550*(1-PARAM!$C$27)*$I$9+(MOD($B550,60)=PARAM!$B$56)*($B550&gt;(60-PARAM!$B$56))*HLOOKUP(($B550+PARAM!$B$56)/12,Loyalty,2)*$F$1*MAX(AD549,0)</f>
        <v>18.557001321003963</v>
      </c>
      <c r="AC550" s="75">
        <f>PARAM!$C$26+MAX($G$9-CHOOSE(PARAM!$B$44,MAX(0,AD549*$F$1),0),0)*RATES!$L526/12+$H$9*(PARAM!$D$51/12)*RATES!$N526/100</f>
        <v>174.70833333333331</v>
      </c>
      <c r="AD550" s="16">
        <f t="shared" si="376"/>
        <v>-13214.179666663851</v>
      </c>
      <c r="AE550" s="15">
        <f t="shared" si="351"/>
        <v>22.170849845882874</v>
      </c>
      <c r="AF550" s="75">
        <f>AE550*(1-PARAM!$C$27)*$I$10+(MOD($B550,60)=PARAM!$B$56)*($B550&gt;(60-PARAM!$B$56))*HLOOKUP(($B550+PARAM!$B$56)/12,Loyalty,2)*$F$1*MAX(AH549,0)</f>
        <v>18.557001321003963</v>
      </c>
      <c r="AG550" s="75">
        <f>PARAM!$C$26+MAX($G$10-CHOOSE(PARAM!$B$44,MAX(0,AH549*$F$1),0),0)*RATES!$L526/12+$H$10*(PARAM!$D$51/12)*RATES!$N526/100</f>
        <v>174.70833333333331</v>
      </c>
      <c r="AH550" s="16">
        <f t="shared" si="377"/>
        <v>-13214.179666663851</v>
      </c>
      <c r="AI550" s="15">
        <f t="shared" si="352"/>
        <v>22.170849845882874</v>
      </c>
      <c r="AJ550" s="75">
        <f>AI550*(1-PARAM!$C$27)*$I$11+(MOD($B550,60)=PARAM!$B$56)*($B550&gt;(60-PARAM!$B$56))*HLOOKUP(($B550+PARAM!$B$56)/12,Loyalty,2)*$F$1*MAX(AL549,0)</f>
        <v>18.557001321003963</v>
      </c>
      <c r="AK550" s="75">
        <f>PARAM!$C$26+MAX($G$11-CHOOSE(PARAM!$B$44,MAX(0,AL549*$F$1),0),0)*RATES!$L526/12+$H$11*(PARAM!$D$51/12)*RATES!$N526/100</f>
        <v>174.70833333333331</v>
      </c>
      <c r="AL550" s="16">
        <f t="shared" si="378"/>
        <v>-13214.179666663851</v>
      </c>
      <c r="AM550" s="15">
        <f t="shared" si="353"/>
        <v>22.170849845882874</v>
      </c>
      <c r="AN550" s="75">
        <f>AM550*(1-PARAM!$C$27)*$I$12+(MOD($B550,60)=PARAM!$B$56)*($B550&gt;(60-PARAM!$B$56))*HLOOKUP(($B550+PARAM!$B$56)/12,Loyalty,2)*$F$1*MAX(AP549,0)</f>
        <v>18.557001321003963</v>
      </c>
      <c r="AO550" s="75">
        <f>PARAM!$C$26+MAX($G$12-CHOOSE(PARAM!$B$44,MAX(0,AP549*$F$1),0),0)*RATES!$L526/12+$H$12*(PARAM!$D$51/12)*RATES!$N526/100</f>
        <v>174.70833333333331</v>
      </c>
      <c r="AP550" s="16">
        <f t="shared" si="379"/>
        <v>-13214.179666663851</v>
      </c>
      <c r="AQ550" s="15">
        <f t="shared" si="354"/>
        <v>22.170849845882874</v>
      </c>
      <c r="AR550" s="75">
        <f>AQ550*(1-PARAM!$C$27)*$I$13+(MOD($B550,60)=PARAM!$B$56)*($B550&gt;(60-PARAM!$B$56))*HLOOKUP(($B550+PARAM!$B$56)/12,Loyalty,2)*$F$1*MAX(AT549,0)</f>
        <v>18.557001321003963</v>
      </c>
      <c r="AS550" s="75">
        <f>PARAM!$C$26+MAX($G$13-CHOOSE(PARAM!$B$44,MAX(0,AT549*$F$1),0),0)*RATES!$L526/12+$H$13*(PARAM!$D$51/12)*RATES!$N526/100</f>
        <v>174.70833333333331</v>
      </c>
      <c r="AT550" s="16">
        <f t="shared" si="380"/>
        <v>-13214.179666663851</v>
      </c>
      <c r="AU550" s="15">
        <f t="shared" si="355"/>
        <v>22.170849845882874</v>
      </c>
      <c r="AV550" s="75">
        <f>AU550*(1-PARAM!$C$27)*$I$14+(MOD($B550,60)=PARAM!$B$56)*($B550&gt;(60-PARAM!$B$56))*HLOOKUP(($B550+PARAM!$B$56)/12,Loyalty,2)*$F$1*MAX(AX549,0)</f>
        <v>18.557001321003963</v>
      </c>
      <c r="AW550" s="75">
        <f>PARAM!$C$26+MAX($G$14-CHOOSE(PARAM!$B$44,MAX(0,AX549*$F$1),0),0)*RATES!$L526/12+$H$14*(PARAM!$D$51/12)*RATES!$N526/100</f>
        <v>174.70833333333331</v>
      </c>
      <c r="AX550" s="16">
        <f t="shared" si="381"/>
        <v>-13214.179666663851</v>
      </c>
      <c r="AY550" s="15">
        <f t="shared" si="356"/>
        <v>22.170849845882874</v>
      </c>
      <c r="AZ550" s="75">
        <f>AY550*(1-PARAM!$C$27)*$I$15+(MOD($B550,60)=PARAM!$B$56)*($B550&gt;(60-PARAM!$B$56))*HLOOKUP(($B550+PARAM!$B$56)/12,Loyalty,2)*$F$1*MAX(BB549,0)</f>
        <v>18.557001321003963</v>
      </c>
      <c r="BA550" s="75">
        <f>PARAM!$C$26+MAX($G$15-CHOOSE(PARAM!$B$44,MAX(0,BB549*$F$1),0),0)*RATES!$L526/12+$H$15*(PARAM!$D$51/12)*RATES!$N526/100</f>
        <v>174.70833333333331</v>
      </c>
      <c r="BB550" s="16">
        <f t="shared" si="382"/>
        <v>-13214.179666663851</v>
      </c>
      <c r="BC550" s="15">
        <f t="shared" si="357"/>
        <v>22.170849845882874</v>
      </c>
      <c r="BD550" s="75">
        <f>BC550*(1-PARAM!$C$27)*$I$16+(MOD($B550,60)=PARAM!$B$56)*($B550&gt;(60-PARAM!$B$56))*HLOOKUP(($B550+PARAM!$B$56)/12,Loyalty,2)*$F$1*MAX(BF549,0)</f>
        <v>18.557001321003963</v>
      </c>
      <c r="BE550" s="75">
        <f>PARAM!$C$26+MAX($G$16-CHOOSE(PARAM!$B$44,MAX(0,BF549*$F$1),0),0)*RATES!$L526/12+$H$16*(PARAM!$D$51/12)*RATES!$N526/100</f>
        <v>174.70833333333331</v>
      </c>
      <c r="BF550" s="16">
        <f t="shared" si="383"/>
        <v>-13214.179666663851</v>
      </c>
      <c r="BG550" s="15">
        <f t="shared" si="358"/>
        <v>22.170849845882874</v>
      </c>
      <c r="BH550" s="75">
        <f>BG550*(1-PARAM!$C$27)*$I$17+(MOD($B550,60)=PARAM!$B$56)*($B550&gt;(60-PARAM!$B$56))*HLOOKUP(($B550+PARAM!$B$56)/12,Loyalty,2)*$F$1*MAX(BJ549,0)</f>
        <v>18.557001321003963</v>
      </c>
      <c r="BI550" s="75">
        <f>PARAM!$C$26+MAX($G$17-CHOOSE(PARAM!$B$44,MAX(0,BJ549*$F$1),0),0)*RATES!$L526/12+$H$17*(PARAM!$D$51/12)*RATES!$N526/100</f>
        <v>174.70833333333331</v>
      </c>
      <c r="BJ550" s="16">
        <f t="shared" si="384"/>
        <v>-13214.179666663851</v>
      </c>
      <c r="BK550" s="15">
        <f t="shared" si="359"/>
        <v>22.170849845882874</v>
      </c>
      <c r="BL550" s="75">
        <f>BK550*(1-PARAM!$C$27)*$I$18+(MOD($B550,60)=PARAM!$B$56)*($B550&gt;(60-PARAM!$B$56))*HLOOKUP(($B550+PARAM!$B$56)/12,Loyalty,2)*$F$1*MAX(BN549,0)</f>
        <v>18.557001321003963</v>
      </c>
      <c r="BM550" s="75">
        <f>PARAM!$C$26+MAX($G$18-CHOOSE(PARAM!$B$44,MAX(0,BN549*$F$1),0),0)*RATES!$L526/12+$H$18*(PARAM!$D$51/12)*RATES!$N526/100</f>
        <v>174.70833333333331</v>
      </c>
      <c r="BN550" s="16">
        <f t="shared" si="385"/>
        <v>-13214.179666663851</v>
      </c>
      <c r="BO550" s="15">
        <f t="shared" si="360"/>
        <v>22.170849845882874</v>
      </c>
      <c r="BP550" s="75">
        <f>BO550*(1-PARAM!$C$27)*$I$19+(MOD($B550,60)=PARAM!$B$56)*($B550&gt;(60-PARAM!$B$56))*HLOOKUP(($B550+PARAM!$B$56)/12,Loyalty,2)*$F$1*MAX(BR549,0)</f>
        <v>18.557001321003963</v>
      </c>
      <c r="BQ550" s="75">
        <f>PARAM!$C$26+MAX($G$19-CHOOSE(PARAM!$B$44,MAX(0,BR549*$F$1),0),0)*RATES!$L526/12+$H$19*(PARAM!$D$51/12)*RATES!$N526/100</f>
        <v>174.70833333333331</v>
      </c>
      <c r="BR550" s="16">
        <f t="shared" si="386"/>
        <v>-13214.179666663851</v>
      </c>
      <c r="BS550" s="15">
        <f t="shared" si="361"/>
        <v>22.170849845882874</v>
      </c>
      <c r="BT550" s="75">
        <f>BS550*(1-PARAM!$C$27)*$I$20+(MOD($B550,60)=PARAM!$B$56)*($B550&gt;(60-PARAM!$B$56))*HLOOKUP(($B550+PARAM!$B$56)/12,Loyalty,2)*$F$1*MAX(BV549,0)</f>
        <v>18.557001321003963</v>
      </c>
      <c r="BU550" s="75">
        <f>PARAM!$C$26+MAX($G$20-CHOOSE(PARAM!$B$44,MAX(0,BV549*$F$1),0),0)*RATES!$L526/12+$H$20*(PARAM!$D$51/12)*RATES!$N526/100</f>
        <v>174.70833333333331</v>
      </c>
      <c r="BV550" s="16">
        <f t="shared" si="387"/>
        <v>-13214.179666663851</v>
      </c>
      <c r="BW550" s="15">
        <f t="shared" si="362"/>
        <v>22.170849845882874</v>
      </c>
      <c r="BX550" s="75">
        <f>BW550*(1-PARAM!$C$27)*$I$21+(MOD($B550,60)=PARAM!$B$56)*($B550&gt;(60-PARAM!$B$56))*HLOOKUP(($B550+PARAM!$B$56)/12,Loyalty,2)*$F$1*MAX(BZ549,0)</f>
        <v>18.557001321003963</v>
      </c>
      <c r="BY550" s="75">
        <f>PARAM!$C$26+MAX($G$21-CHOOSE(PARAM!$B$44,MAX(0,BZ549*$F$1),0),0)*RATES!$L526/12+$H$21*(PARAM!$D$51/12)*RATES!$N526/100</f>
        <v>174.70833333333331</v>
      </c>
      <c r="BZ550" s="16">
        <f t="shared" si="388"/>
        <v>-13214.179666663851</v>
      </c>
      <c r="CA550" s="15">
        <f t="shared" si="363"/>
        <v>22.170849845882874</v>
      </c>
      <c r="CB550" s="75">
        <f>CA550*(1-PARAM!$C$27)*$I$22+(MOD($B550,60)=PARAM!$B$56)*($B550&gt;(60-PARAM!$B$56))*HLOOKUP(($B550+PARAM!$B$56)/12,Loyalty,2)*$F$1*MAX(CD549,0)</f>
        <v>18.557001321003963</v>
      </c>
      <c r="CC550" s="75">
        <f>PARAM!$C$26+MAX($G$22-CHOOSE(PARAM!$B$44,MAX(0,CD549*$F$1),0),0)*RATES!$L526/12+$H$22*(PARAM!$D$51/12)*RATES!$N526/100</f>
        <v>174.70833333333331</v>
      </c>
      <c r="CD550" s="16">
        <f t="shared" si="389"/>
        <v>-13214.179666663851</v>
      </c>
      <c r="CE550" s="33">
        <f>IF(0=MOD(B550,12/PARAM!$D$51),1,0)</f>
        <v>1</v>
      </c>
      <c r="CF550" s="15">
        <f t="shared" si="364"/>
        <v>0</v>
      </c>
      <c r="CG550" s="75">
        <f>CF550*(1-PARAM!$C$27)*$R$3+(MOD($B550/12,5)=0)*($B550&gt;60)*HLOOKUP($B550/12,Loyalty,2)*$F$1*MAX(CI549,0)</f>
        <v>0</v>
      </c>
      <c r="CH550" s="75">
        <f>PARAM!$C$26+MAX($P$3-CHOOSE(PARAM!$B$44,MAX(0,CI549*$F$1),0),0)*RATES!$L526/12+$Q$3*(PARAM!$D$51/12)*RATES!$N526/100</f>
        <v>174.70833333333331</v>
      </c>
      <c r="CI550" s="16">
        <f>IF(CI549&gt;0,CI549*PARAM!$C$53,CI549)+CG550-CH550</f>
        <v>-22799.916666666646</v>
      </c>
      <c r="CJ550" s="15">
        <f t="shared" si="390"/>
        <v>0</v>
      </c>
      <c r="CK550" s="75">
        <f>CJ550*(1-PARAM!$C$27)*$R$4+(MOD($B550/12,5)=0)*($B550&gt;60)*HLOOKUP($B550/12,Loyalty,2)*$F$1*MAX(CM549,0)</f>
        <v>0</v>
      </c>
      <c r="CL550" s="75">
        <f>PARAM!$C$26+MAX($P$4-CHOOSE(PARAM!$B$44,MAX(0,CM549*$F$1),0),0)*RATES!$L526/12+$Q$4*(PARAM!$D$51/12)*RATES!$N526/100</f>
        <v>174.70833333333331</v>
      </c>
      <c r="CM550" s="16">
        <f>IF(CM549&gt;0,CM549*PARAM!$C$53,CM549)+CK550-CL550</f>
        <v>-22799.916666666646</v>
      </c>
      <c r="CO550" s="176"/>
    </row>
    <row r="551" spans="1:93" x14ac:dyDescent="0.2">
      <c r="A551" t="b">
        <f t="shared" si="365"/>
        <v>0</v>
      </c>
      <c r="B551" s="33">
        <v>524</v>
      </c>
      <c r="C551" s="15">
        <f t="shared" si="366"/>
        <v>20.081305947392778</v>
      </c>
      <c r="D551" s="75">
        <f>C551*(1-PARAM!$C$27)*$I$3+(MOD($B551,60)=PARAM!$B$56)*($B551&gt;(60-PARAM!$B$56))*HLOOKUP(($B551+PARAM!$B$56)/12,Loyalty,2)*$F$1*MAX(F550,0)</f>
        <v>16.808053077967756</v>
      </c>
      <c r="E551" s="75">
        <f>PARAM!$C$26+MAX($G$3-CHOOSE(PARAM!$B$44,MAX(0,F550*$F$1),0),0)*RATES!$L527/12+$H$3*(PARAM!$D$51/12)*RATES!$N527/100</f>
        <v>174.70833333333331</v>
      </c>
      <c r="F551" s="16">
        <f t="shared" si="367"/>
        <v>-14323.630378548622</v>
      </c>
      <c r="G551" s="15">
        <f t="shared" si="368"/>
        <v>22.035289406060361</v>
      </c>
      <c r="H551" s="75">
        <f>G551*(1-PARAM!$C$27)*$I$4+(MOD($B551,60)=PARAM!$B$56)*($B551&gt;(60-PARAM!$B$56))*HLOOKUP(($B551+PARAM!$B$56)/12,Loyalty,2)*$F$1*MAX(J550,0)</f>
        <v>18.443537232872522</v>
      </c>
      <c r="I551" s="75">
        <f>PARAM!$C$26+MAX($G$4-CHOOSE(PARAM!$B$44,MAX(0,J550*$F$1),0),0)*RATES!$L527/12+$H$4*(PARAM!$D$51/12)*RATES!$N527/100</f>
        <v>174.70833333333331</v>
      </c>
      <c r="J551" s="16">
        <f t="shared" si="369"/>
        <v>-13432.803717256846</v>
      </c>
      <c r="K551" s="15">
        <f t="shared" si="370"/>
        <v>22.170849845882874</v>
      </c>
      <c r="L551" s="75">
        <f>K551*(1-PARAM!$C$27)*$I$5+(MOD($B551,60)=PARAM!$B$56)*($B551&gt;(60-PARAM!$B$56))*HLOOKUP(($B551+PARAM!$B$56)/12,Loyalty,2)*$F$1*MAX(N550,0)</f>
        <v>18.557001321003963</v>
      </c>
      <c r="M551" s="75">
        <f>PARAM!$C$26+MAX($G$5-CHOOSE(PARAM!$B$44,MAX(0,N550*$F$1),0),0)*RATES!$L527/12+$H$5*(PARAM!$D$51/12)*RATES!$N527/100</f>
        <v>174.70833333333331</v>
      </c>
      <c r="N551" s="16">
        <f t="shared" si="371"/>
        <v>-13370.330998676181</v>
      </c>
      <c r="O551" s="15">
        <f t="shared" si="372"/>
        <v>22.170849845882874</v>
      </c>
      <c r="P551" s="75">
        <f>O551*(1-PARAM!$C$27)*$I$6+(MOD($B551,60)=PARAM!$B$56)*($B551&gt;(60-PARAM!$B$56))*HLOOKUP(($B551+PARAM!$B$56)/12,Loyalty,2)*$F$1*MAX(R550,0)</f>
        <v>18.557001321003963</v>
      </c>
      <c r="Q551" s="75">
        <f>PARAM!$C$26+MAX($G$6-CHOOSE(PARAM!$B$44,MAX(0,R550*$F$1),0),0)*RATES!$L527/12+$H$6*(PARAM!$D$51/12)*RATES!$N527/100</f>
        <v>174.70833333333331</v>
      </c>
      <c r="R551" s="16">
        <f t="shared" si="373"/>
        <v>-13370.330998676181</v>
      </c>
      <c r="S551" s="15">
        <f t="shared" si="348"/>
        <v>22.170849845882874</v>
      </c>
      <c r="T551" s="75">
        <f>S551*(1-PARAM!$C$27)*$I$7+(MOD($B551,60)=PARAM!$B$56)*($B551&gt;(60-PARAM!$B$56))*HLOOKUP(($B551+PARAM!$B$56)/12,Loyalty,2)*$F$1*MAX(V550,0)</f>
        <v>18.557001321003963</v>
      </c>
      <c r="U551" s="75">
        <f>PARAM!$C$26+MAX($G$7-CHOOSE(PARAM!$B$44,MAX(0,V550*$F$1),0),0)*RATES!$L527/12+$H$7*(PARAM!$D$51/12)*RATES!$N527/100</f>
        <v>174.70833333333331</v>
      </c>
      <c r="V551" s="16">
        <f t="shared" si="374"/>
        <v>-13370.330998676181</v>
      </c>
      <c r="W551" s="15">
        <f t="shared" si="349"/>
        <v>22.170849845882874</v>
      </c>
      <c r="X551" s="75">
        <f>W551*(1-PARAM!$C$27)*$I$8+(MOD($B551,60)=PARAM!$B$56)*($B551&gt;(60-PARAM!$B$56))*HLOOKUP(($B551+PARAM!$B$56)/12,Loyalty,2)*$F$1*MAX(Z550,0)</f>
        <v>18.557001321003963</v>
      </c>
      <c r="Y551" s="75">
        <f>PARAM!$C$26+MAX($G$8-CHOOSE(PARAM!$B$44,MAX(0,Z550*$F$1),0),0)*RATES!$L527/12+$H$8*(PARAM!$D$51/12)*RATES!$N527/100</f>
        <v>174.70833333333331</v>
      </c>
      <c r="Z551" s="16">
        <f t="shared" si="375"/>
        <v>-13370.330998676181</v>
      </c>
      <c r="AA551" s="15">
        <f t="shared" si="350"/>
        <v>22.170849845882874</v>
      </c>
      <c r="AB551" s="75">
        <f>AA551*(1-PARAM!$C$27)*$I$9+(MOD($B551,60)=PARAM!$B$56)*($B551&gt;(60-PARAM!$B$56))*HLOOKUP(($B551+PARAM!$B$56)/12,Loyalty,2)*$F$1*MAX(AD550,0)</f>
        <v>18.557001321003963</v>
      </c>
      <c r="AC551" s="75">
        <f>PARAM!$C$26+MAX($G$9-CHOOSE(PARAM!$B$44,MAX(0,AD550*$F$1),0),0)*RATES!$L527/12+$H$9*(PARAM!$D$51/12)*RATES!$N527/100</f>
        <v>174.70833333333331</v>
      </c>
      <c r="AD551" s="16">
        <f t="shared" si="376"/>
        <v>-13370.330998676181</v>
      </c>
      <c r="AE551" s="15">
        <f t="shared" si="351"/>
        <v>22.170849845882874</v>
      </c>
      <c r="AF551" s="75">
        <f>AE551*(1-PARAM!$C$27)*$I$10+(MOD($B551,60)=PARAM!$B$56)*($B551&gt;(60-PARAM!$B$56))*HLOOKUP(($B551+PARAM!$B$56)/12,Loyalty,2)*$F$1*MAX(AH550,0)</f>
        <v>18.557001321003963</v>
      </c>
      <c r="AG551" s="75">
        <f>PARAM!$C$26+MAX($G$10-CHOOSE(PARAM!$B$44,MAX(0,AH550*$F$1),0),0)*RATES!$L527/12+$H$10*(PARAM!$D$51/12)*RATES!$N527/100</f>
        <v>174.70833333333331</v>
      </c>
      <c r="AH551" s="16">
        <f t="shared" si="377"/>
        <v>-13370.330998676181</v>
      </c>
      <c r="AI551" s="15">
        <f t="shared" si="352"/>
        <v>22.170849845882874</v>
      </c>
      <c r="AJ551" s="75">
        <f>AI551*(1-PARAM!$C$27)*$I$11+(MOD($B551,60)=PARAM!$B$56)*($B551&gt;(60-PARAM!$B$56))*HLOOKUP(($B551+PARAM!$B$56)/12,Loyalty,2)*$F$1*MAX(AL550,0)</f>
        <v>18.557001321003963</v>
      </c>
      <c r="AK551" s="75">
        <f>PARAM!$C$26+MAX($G$11-CHOOSE(PARAM!$B$44,MAX(0,AL550*$F$1),0),0)*RATES!$L527/12+$H$11*(PARAM!$D$51/12)*RATES!$N527/100</f>
        <v>174.70833333333331</v>
      </c>
      <c r="AL551" s="16">
        <f t="shared" si="378"/>
        <v>-13370.330998676181</v>
      </c>
      <c r="AM551" s="15">
        <f t="shared" si="353"/>
        <v>22.170849845882874</v>
      </c>
      <c r="AN551" s="75">
        <f>AM551*(1-PARAM!$C$27)*$I$12+(MOD($B551,60)=PARAM!$B$56)*($B551&gt;(60-PARAM!$B$56))*HLOOKUP(($B551+PARAM!$B$56)/12,Loyalty,2)*$F$1*MAX(AP550,0)</f>
        <v>18.557001321003963</v>
      </c>
      <c r="AO551" s="75">
        <f>PARAM!$C$26+MAX($G$12-CHOOSE(PARAM!$B$44,MAX(0,AP550*$F$1),0),0)*RATES!$L527/12+$H$12*(PARAM!$D$51/12)*RATES!$N527/100</f>
        <v>174.70833333333331</v>
      </c>
      <c r="AP551" s="16">
        <f t="shared" si="379"/>
        <v>-13370.330998676181</v>
      </c>
      <c r="AQ551" s="15">
        <f t="shared" si="354"/>
        <v>22.170849845882874</v>
      </c>
      <c r="AR551" s="75">
        <f>AQ551*(1-PARAM!$C$27)*$I$13+(MOD($B551,60)=PARAM!$B$56)*($B551&gt;(60-PARAM!$B$56))*HLOOKUP(($B551+PARAM!$B$56)/12,Loyalty,2)*$F$1*MAX(AT550,0)</f>
        <v>18.557001321003963</v>
      </c>
      <c r="AS551" s="75">
        <f>PARAM!$C$26+MAX($G$13-CHOOSE(PARAM!$B$44,MAX(0,AT550*$F$1),0),0)*RATES!$L527/12+$H$13*(PARAM!$D$51/12)*RATES!$N527/100</f>
        <v>174.70833333333331</v>
      </c>
      <c r="AT551" s="16">
        <f t="shared" si="380"/>
        <v>-13370.330998676181</v>
      </c>
      <c r="AU551" s="15">
        <f t="shared" si="355"/>
        <v>22.170849845882874</v>
      </c>
      <c r="AV551" s="75">
        <f>AU551*(1-PARAM!$C$27)*$I$14+(MOD($B551,60)=PARAM!$B$56)*($B551&gt;(60-PARAM!$B$56))*HLOOKUP(($B551+PARAM!$B$56)/12,Loyalty,2)*$F$1*MAX(AX550,0)</f>
        <v>18.557001321003963</v>
      </c>
      <c r="AW551" s="75">
        <f>PARAM!$C$26+MAX($G$14-CHOOSE(PARAM!$B$44,MAX(0,AX550*$F$1),0),0)*RATES!$L527/12+$H$14*(PARAM!$D$51/12)*RATES!$N527/100</f>
        <v>174.70833333333331</v>
      </c>
      <c r="AX551" s="16">
        <f t="shared" si="381"/>
        <v>-13370.330998676181</v>
      </c>
      <c r="AY551" s="15">
        <f t="shared" si="356"/>
        <v>22.170849845882874</v>
      </c>
      <c r="AZ551" s="75">
        <f>AY551*(1-PARAM!$C$27)*$I$15+(MOD($B551,60)=PARAM!$B$56)*($B551&gt;(60-PARAM!$B$56))*HLOOKUP(($B551+PARAM!$B$56)/12,Loyalty,2)*$F$1*MAX(BB550,0)</f>
        <v>18.557001321003963</v>
      </c>
      <c r="BA551" s="75">
        <f>PARAM!$C$26+MAX($G$15-CHOOSE(PARAM!$B$44,MAX(0,BB550*$F$1),0),0)*RATES!$L527/12+$H$15*(PARAM!$D$51/12)*RATES!$N527/100</f>
        <v>174.70833333333331</v>
      </c>
      <c r="BB551" s="16">
        <f t="shared" si="382"/>
        <v>-13370.330998676181</v>
      </c>
      <c r="BC551" s="15">
        <f t="shared" si="357"/>
        <v>22.170849845882874</v>
      </c>
      <c r="BD551" s="75">
        <f>BC551*(1-PARAM!$C$27)*$I$16+(MOD($B551,60)=PARAM!$B$56)*($B551&gt;(60-PARAM!$B$56))*HLOOKUP(($B551+PARAM!$B$56)/12,Loyalty,2)*$F$1*MAX(BF550,0)</f>
        <v>18.557001321003963</v>
      </c>
      <c r="BE551" s="75">
        <f>PARAM!$C$26+MAX($G$16-CHOOSE(PARAM!$B$44,MAX(0,BF550*$F$1),0),0)*RATES!$L527/12+$H$16*(PARAM!$D$51/12)*RATES!$N527/100</f>
        <v>174.70833333333331</v>
      </c>
      <c r="BF551" s="16">
        <f t="shared" si="383"/>
        <v>-13370.330998676181</v>
      </c>
      <c r="BG551" s="15">
        <f t="shared" si="358"/>
        <v>22.170849845882874</v>
      </c>
      <c r="BH551" s="75">
        <f>BG551*(1-PARAM!$C$27)*$I$17+(MOD($B551,60)=PARAM!$B$56)*($B551&gt;(60-PARAM!$B$56))*HLOOKUP(($B551+PARAM!$B$56)/12,Loyalty,2)*$F$1*MAX(BJ550,0)</f>
        <v>18.557001321003963</v>
      </c>
      <c r="BI551" s="75">
        <f>PARAM!$C$26+MAX($G$17-CHOOSE(PARAM!$B$44,MAX(0,BJ550*$F$1),0),0)*RATES!$L527/12+$H$17*(PARAM!$D$51/12)*RATES!$N527/100</f>
        <v>174.70833333333331</v>
      </c>
      <c r="BJ551" s="16">
        <f t="shared" si="384"/>
        <v>-13370.330998676181</v>
      </c>
      <c r="BK551" s="15">
        <f t="shared" si="359"/>
        <v>22.170849845882874</v>
      </c>
      <c r="BL551" s="75">
        <f>BK551*(1-PARAM!$C$27)*$I$18+(MOD($B551,60)=PARAM!$B$56)*($B551&gt;(60-PARAM!$B$56))*HLOOKUP(($B551+PARAM!$B$56)/12,Loyalty,2)*$F$1*MAX(BN550,0)</f>
        <v>18.557001321003963</v>
      </c>
      <c r="BM551" s="75">
        <f>PARAM!$C$26+MAX($G$18-CHOOSE(PARAM!$B$44,MAX(0,BN550*$F$1),0),0)*RATES!$L527/12+$H$18*(PARAM!$D$51/12)*RATES!$N527/100</f>
        <v>174.70833333333331</v>
      </c>
      <c r="BN551" s="16">
        <f t="shared" si="385"/>
        <v>-13370.330998676181</v>
      </c>
      <c r="BO551" s="15">
        <f t="shared" si="360"/>
        <v>22.170849845882874</v>
      </c>
      <c r="BP551" s="75">
        <f>BO551*(1-PARAM!$C$27)*$I$19+(MOD($B551,60)=PARAM!$B$56)*($B551&gt;(60-PARAM!$B$56))*HLOOKUP(($B551+PARAM!$B$56)/12,Loyalty,2)*$F$1*MAX(BR550,0)</f>
        <v>18.557001321003963</v>
      </c>
      <c r="BQ551" s="75">
        <f>PARAM!$C$26+MAX($G$19-CHOOSE(PARAM!$B$44,MAX(0,BR550*$F$1),0),0)*RATES!$L527/12+$H$19*(PARAM!$D$51/12)*RATES!$N527/100</f>
        <v>174.70833333333331</v>
      </c>
      <c r="BR551" s="16">
        <f t="shared" si="386"/>
        <v>-13370.330998676181</v>
      </c>
      <c r="BS551" s="15">
        <f t="shared" si="361"/>
        <v>22.170849845882874</v>
      </c>
      <c r="BT551" s="75">
        <f>BS551*(1-PARAM!$C$27)*$I$20+(MOD($B551,60)=PARAM!$B$56)*($B551&gt;(60-PARAM!$B$56))*HLOOKUP(($B551+PARAM!$B$56)/12,Loyalty,2)*$F$1*MAX(BV550,0)</f>
        <v>18.557001321003963</v>
      </c>
      <c r="BU551" s="75">
        <f>PARAM!$C$26+MAX($G$20-CHOOSE(PARAM!$B$44,MAX(0,BV550*$F$1),0),0)*RATES!$L527/12+$H$20*(PARAM!$D$51/12)*RATES!$N527/100</f>
        <v>174.70833333333331</v>
      </c>
      <c r="BV551" s="16">
        <f t="shared" si="387"/>
        <v>-13370.330998676181</v>
      </c>
      <c r="BW551" s="15">
        <f t="shared" si="362"/>
        <v>22.170849845882874</v>
      </c>
      <c r="BX551" s="75">
        <f>BW551*(1-PARAM!$C$27)*$I$21+(MOD($B551,60)=PARAM!$B$56)*($B551&gt;(60-PARAM!$B$56))*HLOOKUP(($B551+PARAM!$B$56)/12,Loyalty,2)*$F$1*MAX(BZ550,0)</f>
        <v>18.557001321003963</v>
      </c>
      <c r="BY551" s="75">
        <f>PARAM!$C$26+MAX($G$21-CHOOSE(PARAM!$B$44,MAX(0,BZ550*$F$1),0),0)*RATES!$L527/12+$H$21*(PARAM!$D$51/12)*RATES!$N527/100</f>
        <v>174.70833333333331</v>
      </c>
      <c r="BZ551" s="16">
        <f t="shared" si="388"/>
        <v>-13370.330998676181</v>
      </c>
      <c r="CA551" s="15">
        <f t="shared" si="363"/>
        <v>22.170849845882874</v>
      </c>
      <c r="CB551" s="75">
        <f>CA551*(1-PARAM!$C$27)*$I$22+(MOD($B551,60)=PARAM!$B$56)*($B551&gt;(60-PARAM!$B$56))*HLOOKUP(($B551+PARAM!$B$56)/12,Loyalty,2)*$F$1*MAX(CD550,0)</f>
        <v>18.557001321003963</v>
      </c>
      <c r="CC551" s="75">
        <f>PARAM!$C$26+MAX($G$22-CHOOSE(PARAM!$B$44,MAX(0,CD550*$F$1),0),0)*RATES!$L527/12+$H$22*(PARAM!$D$51/12)*RATES!$N527/100</f>
        <v>174.70833333333331</v>
      </c>
      <c r="CD551" s="16">
        <f t="shared" si="389"/>
        <v>-13370.330998676181</v>
      </c>
      <c r="CE551" s="33">
        <f>IF(0=MOD(B551,12/PARAM!$D$51),1,0)</f>
        <v>1</v>
      </c>
      <c r="CF551" s="15">
        <f t="shared" si="364"/>
        <v>0</v>
      </c>
      <c r="CG551" s="75">
        <f>CF551*(1-PARAM!$C$27)*$R$3+(MOD($B551/12,5)=0)*($B551&gt;60)*HLOOKUP($B551/12,Loyalty,2)*$F$1*MAX(CI550,0)</f>
        <v>0</v>
      </c>
      <c r="CH551" s="75">
        <f>PARAM!$C$26+MAX($P$3-CHOOSE(PARAM!$B$44,MAX(0,CI550*$F$1),0),0)*RATES!$L527/12+$Q$3*(PARAM!$D$51/12)*RATES!$N527/100</f>
        <v>174.70833333333331</v>
      </c>
      <c r="CI551" s="16">
        <f>IF(CI550&gt;0,CI550*PARAM!$C$53,CI550)+CG551-CH551</f>
        <v>-22974.624999999978</v>
      </c>
      <c r="CJ551" s="15">
        <f t="shared" si="390"/>
        <v>0</v>
      </c>
      <c r="CK551" s="75">
        <f>CJ551*(1-PARAM!$C$27)*$R$4+(MOD($B551/12,5)=0)*($B551&gt;60)*HLOOKUP($B551/12,Loyalty,2)*$F$1*MAX(CM550,0)</f>
        <v>0</v>
      </c>
      <c r="CL551" s="75">
        <f>PARAM!$C$26+MAX($P$4-CHOOSE(PARAM!$B$44,MAX(0,CM550*$F$1),0),0)*RATES!$L527/12+$Q$4*(PARAM!$D$51/12)*RATES!$N527/100</f>
        <v>174.70833333333331</v>
      </c>
      <c r="CM551" s="16">
        <f>IF(CM550&gt;0,CM550*PARAM!$C$53,CM550)+CK551-CL551</f>
        <v>-22974.624999999978</v>
      </c>
      <c r="CO551" s="176"/>
    </row>
    <row r="552" spans="1:93" x14ac:dyDescent="0.2">
      <c r="A552" t="b">
        <f t="shared" si="365"/>
        <v>0</v>
      </c>
      <c r="B552" s="33">
        <v>525</v>
      </c>
      <c r="C552" s="15">
        <f t="shared" si="366"/>
        <v>20.081305947392778</v>
      </c>
      <c r="D552" s="75">
        <f>C552*(1-PARAM!$C$27)*$I$3+(MOD($B552,60)=PARAM!$B$56)*($B552&gt;(60-PARAM!$B$56))*HLOOKUP(($B552+PARAM!$B$56)/12,Loyalty,2)*$F$1*MAX(F551,0)</f>
        <v>16.808053077967756</v>
      </c>
      <c r="E552" s="75">
        <f>PARAM!$C$26+MAX($G$3-CHOOSE(PARAM!$B$44,MAX(0,F551*$F$1),0),0)*RATES!$L528/12+$H$3*(PARAM!$D$51/12)*RATES!$N528/100</f>
        <v>174.70833333333331</v>
      </c>
      <c r="F552" s="16">
        <f t="shared" si="367"/>
        <v>-14481.530658803988</v>
      </c>
      <c r="G552" s="15">
        <f t="shared" si="368"/>
        <v>22.035289406060361</v>
      </c>
      <c r="H552" s="75">
        <f>G552*(1-PARAM!$C$27)*$I$4+(MOD($B552,60)=PARAM!$B$56)*($B552&gt;(60-PARAM!$B$56))*HLOOKUP(($B552+PARAM!$B$56)/12,Loyalty,2)*$F$1*MAX(J551,0)</f>
        <v>18.443537232872522</v>
      </c>
      <c r="I552" s="75">
        <f>PARAM!$C$26+MAX($G$4-CHOOSE(PARAM!$B$44,MAX(0,J551*$F$1),0),0)*RATES!$L528/12+$H$4*(PARAM!$D$51/12)*RATES!$N528/100</f>
        <v>174.70833333333331</v>
      </c>
      <c r="J552" s="16">
        <f t="shared" si="369"/>
        <v>-13589.068513357308</v>
      </c>
      <c r="K552" s="15">
        <f t="shared" si="370"/>
        <v>22.170849845882874</v>
      </c>
      <c r="L552" s="75">
        <f>K552*(1-PARAM!$C$27)*$I$5+(MOD($B552,60)=PARAM!$B$56)*($B552&gt;(60-PARAM!$B$56))*HLOOKUP(($B552+PARAM!$B$56)/12,Loyalty,2)*$F$1*MAX(N551,0)</f>
        <v>18.557001321003963</v>
      </c>
      <c r="M552" s="75">
        <f>PARAM!$C$26+MAX($G$5-CHOOSE(PARAM!$B$44,MAX(0,N551*$F$1),0),0)*RATES!$L528/12+$H$5*(PARAM!$D$51/12)*RATES!$N528/100</f>
        <v>174.70833333333331</v>
      </c>
      <c r="N552" s="16">
        <f t="shared" si="371"/>
        <v>-13526.482330688512</v>
      </c>
      <c r="O552" s="15">
        <f t="shared" si="372"/>
        <v>22.170849845882874</v>
      </c>
      <c r="P552" s="75">
        <f>O552*(1-PARAM!$C$27)*$I$6+(MOD($B552,60)=PARAM!$B$56)*($B552&gt;(60-PARAM!$B$56))*HLOOKUP(($B552+PARAM!$B$56)/12,Loyalty,2)*$F$1*MAX(R551,0)</f>
        <v>18.557001321003963</v>
      </c>
      <c r="Q552" s="75">
        <f>PARAM!$C$26+MAX($G$6-CHOOSE(PARAM!$B$44,MAX(0,R551*$F$1),0),0)*RATES!$L528/12+$H$6*(PARAM!$D$51/12)*RATES!$N528/100</f>
        <v>174.70833333333331</v>
      </c>
      <c r="R552" s="16">
        <f t="shared" si="373"/>
        <v>-13526.482330688512</v>
      </c>
      <c r="S552" s="15">
        <f t="shared" si="348"/>
        <v>22.170849845882874</v>
      </c>
      <c r="T552" s="75">
        <f>S552*(1-PARAM!$C$27)*$I$7+(MOD($B552,60)=PARAM!$B$56)*($B552&gt;(60-PARAM!$B$56))*HLOOKUP(($B552+PARAM!$B$56)/12,Loyalty,2)*$F$1*MAX(V551,0)</f>
        <v>18.557001321003963</v>
      </c>
      <c r="U552" s="75">
        <f>PARAM!$C$26+MAX($G$7-CHOOSE(PARAM!$B$44,MAX(0,V551*$F$1),0),0)*RATES!$L528/12+$H$7*(PARAM!$D$51/12)*RATES!$N528/100</f>
        <v>174.70833333333331</v>
      </c>
      <c r="V552" s="16">
        <f t="shared" si="374"/>
        <v>-13526.482330688512</v>
      </c>
      <c r="W552" s="15">
        <f t="shared" si="349"/>
        <v>22.170849845882874</v>
      </c>
      <c r="X552" s="75">
        <f>W552*(1-PARAM!$C$27)*$I$8+(MOD($B552,60)=PARAM!$B$56)*($B552&gt;(60-PARAM!$B$56))*HLOOKUP(($B552+PARAM!$B$56)/12,Loyalty,2)*$F$1*MAX(Z551,0)</f>
        <v>18.557001321003963</v>
      </c>
      <c r="Y552" s="75">
        <f>PARAM!$C$26+MAX($G$8-CHOOSE(PARAM!$B$44,MAX(0,Z551*$F$1),0),0)*RATES!$L528/12+$H$8*(PARAM!$D$51/12)*RATES!$N528/100</f>
        <v>174.70833333333331</v>
      </c>
      <c r="Z552" s="16">
        <f t="shared" si="375"/>
        <v>-13526.482330688512</v>
      </c>
      <c r="AA552" s="15">
        <f t="shared" si="350"/>
        <v>22.170849845882874</v>
      </c>
      <c r="AB552" s="75">
        <f>AA552*(1-PARAM!$C$27)*$I$9+(MOD($B552,60)=PARAM!$B$56)*($B552&gt;(60-PARAM!$B$56))*HLOOKUP(($B552+PARAM!$B$56)/12,Loyalty,2)*$F$1*MAX(AD551,0)</f>
        <v>18.557001321003963</v>
      </c>
      <c r="AC552" s="75">
        <f>PARAM!$C$26+MAX($G$9-CHOOSE(PARAM!$B$44,MAX(0,AD551*$F$1),0),0)*RATES!$L528/12+$H$9*(PARAM!$D$51/12)*RATES!$N528/100</f>
        <v>174.70833333333331</v>
      </c>
      <c r="AD552" s="16">
        <f t="shared" si="376"/>
        <v>-13526.482330688512</v>
      </c>
      <c r="AE552" s="15">
        <f t="shared" si="351"/>
        <v>22.170849845882874</v>
      </c>
      <c r="AF552" s="75">
        <f>AE552*(1-PARAM!$C$27)*$I$10+(MOD($B552,60)=PARAM!$B$56)*($B552&gt;(60-PARAM!$B$56))*HLOOKUP(($B552+PARAM!$B$56)/12,Loyalty,2)*$F$1*MAX(AH551,0)</f>
        <v>18.557001321003963</v>
      </c>
      <c r="AG552" s="75">
        <f>PARAM!$C$26+MAX($G$10-CHOOSE(PARAM!$B$44,MAX(0,AH551*$F$1),0),0)*RATES!$L528/12+$H$10*(PARAM!$D$51/12)*RATES!$N528/100</f>
        <v>174.70833333333331</v>
      </c>
      <c r="AH552" s="16">
        <f t="shared" si="377"/>
        <v>-13526.482330688512</v>
      </c>
      <c r="AI552" s="15">
        <f t="shared" si="352"/>
        <v>22.170849845882874</v>
      </c>
      <c r="AJ552" s="75">
        <f>AI552*(1-PARAM!$C$27)*$I$11+(MOD($B552,60)=PARAM!$B$56)*($B552&gt;(60-PARAM!$B$56))*HLOOKUP(($B552+PARAM!$B$56)/12,Loyalty,2)*$F$1*MAX(AL551,0)</f>
        <v>18.557001321003963</v>
      </c>
      <c r="AK552" s="75">
        <f>PARAM!$C$26+MAX($G$11-CHOOSE(PARAM!$B$44,MAX(0,AL551*$F$1),0),0)*RATES!$L528/12+$H$11*(PARAM!$D$51/12)*RATES!$N528/100</f>
        <v>174.70833333333331</v>
      </c>
      <c r="AL552" s="16">
        <f t="shared" si="378"/>
        <v>-13526.482330688512</v>
      </c>
      <c r="AM552" s="15">
        <f t="shared" si="353"/>
        <v>22.170849845882874</v>
      </c>
      <c r="AN552" s="75">
        <f>AM552*(1-PARAM!$C$27)*$I$12+(MOD($B552,60)=PARAM!$B$56)*($B552&gt;(60-PARAM!$B$56))*HLOOKUP(($B552+PARAM!$B$56)/12,Loyalty,2)*$F$1*MAX(AP551,0)</f>
        <v>18.557001321003963</v>
      </c>
      <c r="AO552" s="75">
        <f>PARAM!$C$26+MAX($G$12-CHOOSE(PARAM!$B$44,MAX(0,AP551*$F$1),0),0)*RATES!$L528/12+$H$12*(PARAM!$D$51/12)*RATES!$N528/100</f>
        <v>174.70833333333331</v>
      </c>
      <c r="AP552" s="16">
        <f t="shared" si="379"/>
        <v>-13526.482330688512</v>
      </c>
      <c r="AQ552" s="15">
        <f t="shared" si="354"/>
        <v>22.170849845882874</v>
      </c>
      <c r="AR552" s="75">
        <f>AQ552*(1-PARAM!$C$27)*$I$13+(MOD($B552,60)=PARAM!$B$56)*($B552&gt;(60-PARAM!$B$56))*HLOOKUP(($B552+PARAM!$B$56)/12,Loyalty,2)*$F$1*MAX(AT551,0)</f>
        <v>18.557001321003963</v>
      </c>
      <c r="AS552" s="75">
        <f>PARAM!$C$26+MAX($G$13-CHOOSE(PARAM!$B$44,MAX(0,AT551*$F$1),0),0)*RATES!$L528/12+$H$13*(PARAM!$D$51/12)*RATES!$N528/100</f>
        <v>174.70833333333331</v>
      </c>
      <c r="AT552" s="16">
        <f t="shared" si="380"/>
        <v>-13526.482330688512</v>
      </c>
      <c r="AU552" s="15">
        <f t="shared" si="355"/>
        <v>22.170849845882874</v>
      </c>
      <c r="AV552" s="75">
        <f>AU552*(1-PARAM!$C$27)*$I$14+(MOD($B552,60)=PARAM!$B$56)*($B552&gt;(60-PARAM!$B$56))*HLOOKUP(($B552+PARAM!$B$56)/12,Loyalty,2)*$F$1*MAX(AX551,0)</f>
        <v>18.557001321003963</v>
      </c>
      <c r="AW552" s="75">
        <f>PARAM!$C$26+MAX($G$14-CHOOSE(PARAM!$B$44,MAX(0,AX551*$F$1),0),0)*RATES!$L528/12+$H$14*(PARAM!$D$51/12)*RATES!$N528/100</f>
        <v>174.70833333333331</v>
      </c>
      <c r="AX552" s="16">
        <f t="shared" si="381"/>
        <v>-13526.482330688512</v>
      </c>
      <c r="AY552" s="15">
        <f t="shared" si="356"/>
        <v>22.170849845882874</v>
      </c>
      <c r="AZ552" s="75">
        <f>AY552*(1-PARAM!$C$27)*$I$15+(MOD($B552,60)=PARAM!$B$56)*($B552&gt;(60-PARAM!$B$56))*HLOOKUP(($B552+PARAM!$B$56)/12,Loyalty,2)*$F$1*MAX(BB551,0)</f>
        <v>18.557001321003963</v>
      </c>
      <c r="BA552" s="75">
        <f>PARAM!$C$26+MAX($G$15-CHOOSE(PARAM!$B$44,MAX(0,BB551*$F$1),0),0)*RATES!$L528/12+$H$15*(PARAM!$D$51/12)*RATES!$N528/100</f>
        <v>174.70833333333331</v>
      </c>
      <c r="BB552" s="16">
        <f t="shared" si="382"/>
        <v>-13526.482330688512</v>
      </c>
      <c r="BC552" s="15">
        <f t="shared" si="357"/>
        <v>22.170849845882874</v>
      </c>
      <c r="BD552" s="75">
        <f>BC552*(1-PARAM!$C$27)*$I$16+(MOD($B552,60)=PARAM!$B$56)*($B552&gt;(60-PARAM!$B$56))*HLOOKUP(($B552+PARAM!$B$56)/12,Loyalty,2)*$F$1*MAX(BF551,0)</f>
        <v>18.557001321003963</v>
      </c>
      <c r="BE552" s="75">
        <f>PARAM!$C$26+MAX($G$16-CHOOSE(PARAM!$B$44,MAX(0,BF551*$F$1),0),0)*RATES!$L528/12+$H$16*(PARAM!$D$51/12)*RATES!$N528/100</f>
        <v>174.70833333333331</v>
      </c>
      <c r="BF552" s="16">
        <f t="shared" si="383"/>
        <v>-13526.482330688512</v>
      </c>
      <c r="BG552" s="15">
        <f t="shared" si="358"/>
        <v>22.170849845882874</v>
      </c>
      <c r="BH552" s="75">
        <f>BG552*(1-PARAM!$C$27)*$I$17+(MOD($B552,60)=PARAM!$B$56)*($B552&gt;(60-PARAM!$B$56))*HLOOKUP(($B552+PARAM!$B$56)/12,Loyalty,2)*$F$1*MAX(BJ551,0)</f>
        <v>18.557001321003963</v>
      </c>
      <c r="BI552" s="75">
        <f>PARAM!$C$26+MAX($G$17-CHOOSE(PARAM!$B$44,MAX(0,BJ551*$F$1),0),0)*RATES!$L528/12+$H$17*(PARAM!$D$51/12)*RATES!$N528/100</f>
        <v>174.70833333333331</v>
      </c>
      <c r="BJ552" s="16">
        <f t="shared" si="384"/>
        <v>-13526.482330688512</v>
      </c>
      <c r="BK552" s="15">
        <f t="shared" si="359"/>
        <v>22.170849845882874</v>
      </c>
      <c r="BL552" s="75">
        <f>BK552*(1-PARAM!$C$27)*$I$18+(MOD($B552,60)=PARAM!$B$56)*($B552&gt;(60-PARAM!$B$56))*HLOOKUP(($B552+PARAM!$B$56)/12,Loyalty,2)*$F$1*MAX(BN551,0)</f>
        <v>18.557001321003963</v>
      </c>
      <c r="BM552" s="75">
        <f>PARAM!$C$26+MAX($G$18-CHOOSE(PARAM!$B$44,MAX(0,BN551*$F$1),0),0)*RATES!$L528/12+$H$18*(PARAM!$D$51/12)*RATES!$N528/100</f>
        <v>174.70833333333331</v>
      </c>
      <c r="BN552" s="16">
        <f t="shared" si="385"/>
        <v>-13526.482330688512</v>
      </c>
      <c r="BO552" s="15">
        <f t="shared" si="360"/>
        <v>22.170849845882874</v>
      </c>
      <c r="BP552" s="75">
        <f>BO552*(1-PARAM!$C$27)*$I$19+(MOD($B552,60)=PARAM!$B$56)*($B552&gt;(60-PARAM!$B$56))*HLOOKUP(($B552+PARAM!$B$56)/12,Loyalty,2)*$F$1*MAX(BR551,0)</f>
        <v>18.557001321003963</v>
      </c>
      <c r="BQ552" s="75">
        <f>PARAM!$C$26+MAX($G$19-CHOOSE(PARAM!$B$44,MAX(0,BR551*$F$1),0),0)*RATES!$L528/12+$H$19*(PARAM!$D$51/12)*RATES!$N528/100</f>
        <v>174.70833333333331</v>
      </c>
      <c r="BR552" s="16">
        <f t="shared" si="386"/>
        <v>-13526.482330688512</v>
      </c>
      <c r="BS552" s="15">
        <f t="shared" si="361"/>
        <v>22.170849845882874</v>
      </c>
      <c r="BT552" s="75">
        <f>BS552*(1-PARAM!$C$27)*$I$20+(MOD($B552,60)=PARAM!$B$56)*($B552&gt;(60-PARAM!$B$56))*HLOOKUP(($B552+PARAM!$B$56)/12,Loyalty,2)*$F$1*MAX(BV551,0)</f>
        <v>18.557001321003963</v>
      </c>
      <c r="BU552" s="75">
        <f>PARAM!$C$26+MAX($G$20-CHOOSE(PARAM!$B$44,MAX(0,BV551*$F$1),0),0)*RATES!$L528/12+$H$20*(PARAM!$D$51/12)*RATES!$N528/100</f>
        <v>174.70833333333331</v>
      </c>
      <c r="BV552" s="16">
        <f t="shared" si="387"/>
        <v>-13526.482330688512</v>
      </c>
      <c r="BW552" s="15">
        <f t="shared" si="362"/>
        <v>22.170849845882874</v>
      </c>
      <c r="BX552" s="75">
        <f>BW552*(1-PARAM!$C$27)*$I$21+(MOD($B552,60)=PARAM!$B$56)*($B552&gt;(60-PARAM!$B$56))*HLOOKUP(($B552+PARAM!$B$56)/12,Loyalty,2)*$F$1*MAX(BZ551,0)</f>
        <v>18.557001321003963</v>
      </c>
      <c r="BY552" s="75">
        <f>PARAM!$C$26+MAX($G$21-CHOOSE(PARAM!$B$44,MAX(0,BZ551*$F$1),0),0)*RATES!$L528/12+$H$21*(PARAM!$D$51/12)*RATES!$N528/100</f>
        <v>174.70833333333331</v>
      </c>
      <c r="BZ552" s="16">
        <f t="shared" si="388"/>
        <v>-13526.482330688512</v>
      </c>
      <c r="CA552" s="15">
        <f t="shared" si="363"/>
        <v>22.170849845882874</v>
      </c>
      <c r="CB552" s="75">
        <f>CA552*(1-PARAM!$C$27)*$I$22+(MOD($B552,60)=PARAM!$B$56)*($B552&gt;(60-PARAM!$B$56))*HLOOKUP(($B552+PARAM!$B$56)/12,Loyalty,2)*$F$1*MAX(CD551,0)</f>
        <v>18.557001321003963</v>
      </c>
      <c r="CC552" s="75">
        <f>PARAM!$C$26+MAX($G$22-CHOOSE(PARAM!$B$44,MAX(0,CD551*$F$1),0),0)*RATES!$L528/12+$H$22*(PARAM!$D$51/12)*RATES!$N528/100</f>
        <v>174.70833333333331</v>
      </c>
      <c r="CD552" s="16">
        <f t="shared" si="389"/>
        <v>-13526.482330688512</v>
      </c>
      <c r="CE552" s="33">
        <f>IF(0=MOD(B552,12/PARAM!$D$51),1,0)</f>
        <v>1</v>
      </c>
      <c r="CF552" s="15">
        <f t="shared" si="364"/>
        <v>0</v>
      </c>
      <c r="CG552" s="75">
        <f>CF552*(1-PARAM!$C$27)*$R$3+(MOD($B552/12,5)=0)*($B552&gt;60)*HLOOKUP($B552/12,Loyalty,2)*$F$1*MAX(CI551,0)</f>
        <v>0</v>
      </c>
      <c r="CH552" s="75">
        <f>PARAM!$C$26+MAX($P$3-CHOOSE(PARAM!$B$44,MAX(0,CI551*$F$1),0),0)*RATES!$L528/12+$Q$3*(PARAM!$D$51/12)*RATES!$N528/100</f>
        <v>174.70833333333331</v>
      </c>
      <c r="CI552" s="16">
        <f>IF(CI551&gt;0,CI551*PARAM!$C$53,CI551)+CG552-CH552</f>
        <v>-23149.33333333331</v>
      </c>
      <c r="CJ552" s="15">
        <f t="shared" si="390"/>
        <v>0</v>
      </c>
      <c r="CK552" s="75">
        <f>CJ552*(1-PARAM!$C$27)*$R$4+(MOD($B552/12,5)=0)*($B552&gt;60)*HLOOKUP($B552/12,Loyalty,2)*$F$1*MAX(CM551,0)</f>
        <v>0</v>
      </c>
      <c r="CL552" s="75">
        <f>PARAM!$C$26+MAX($P$4-CHOOSE(PARAM!$B$44,MAX(0,CM551*$F$1),0),0)*RATES!$L528/12+$Q$4*(PARAM!$D$51/12)*RATES!$N528/100</f>
        <v>174.70833333333331</v>
      </c>
      <c r="CM552" s="16">
        <f>IF(CM551&gt;0,CM551*PARAM!$C$53,CM551)+CK552-CL552</f>
        <v>-23149.33333333331</v>
      </c>
      <c r="CO552" s="176"/>
    </row>
    <row r="553" spans="1:93" x14ac:dyDescent="0.2">
      <c r="A553" t="b">
        <f t="shared" si="365"/>
        <v>0</v>
      </c>
      <c r="B553" s="33">
        <v>526</v>
      </c>
      <c r="C553" s="15">
        <f t="shared" si="366"/>
        <v>20.081305947392778</v>
      </c>
      <c r="D553" s="75">
        <f>C553*(1-PARAM!$C$27)*$I$3+(MOD($B553,60)=PARAM!$B$56)*($B553&gt;(60-PARAM!$B$56))*HLOOKUP(($B553+PARAM!$B$56)/12,Loyalty,2)*$F$1*MAX(F552,0)</f>
        <v>16.808053077967756</v>
      </c>
      <c r="E553" s="75">
        <f>PARAM!$C$26+MAX($G$3-CHOOSE(PARAM!$B$44,MAX(0,F552*$F$1),0),0)*RATES!$L529/12+$H$3*(PARAM!$D$51/12)*RATES!$N529/100</f>
        <v>174.70833333333331</v>
      </c>
      <c r="F553" s="16">
        <f t="shared" si="367"/>
        <v>-14639.430939059353</v>
      </c>
      <c r="G553" s="15">
        <f t="shared" si="368"/>
        <v>22.035289406060361</v>
      </c>
      <c r="H553" s="75">
        <f>G553*(1-PARAM!$C$27)*$I$4+(MOD($B553,60)=PARAM!$B$56)*($B553&gt;(60-PARAM!$B$56))*HLOOKUP(($B553+PARAM!$B$56)/12,Loyalty,2)*$F$1*MAX(J552,0)</f>
        <v>18.443537232872522</v>
      </c>
      <c r="I553" s="75">
        <f>PARAM!$C$26+MAX($G$4-CHOOSE(PARAM!$B$44,MAX(0,J552*$F$1),0),0)*RATES!$L529/12+$H$4*(PARAM!$D$51/12)*RATES!$N529/100</f>
        <v>174.70833333333331</v>
      </c>
      <c r="J553" s="16">
        <f t="shared" si="369"/>
        <v>-13745.33330945777</v>
      </c>
      <c r="K553" s="15">
        <f t="shared" si="370"/>
        <v>22.170849845882874</v>
      </c>
      <c r="L553" s="75">
        <f>K553*(1-PARAM!$C$27)*$I$5+(MOD($B553,60)=PARAM!$B$56)*($B553&gt;(60-PARAM!$B$56))*HLOOKUP(($B553+PARAM!$B$56)/12,Loyalty,2)*$F$1*MAX(N552,0)</f>
        <v>18.557001321003963</v>
      </c>
      <c r="M553" s="75">
        <f>PARAM!$C$26+MAX($G$5-CHOOSE(PARAM!$B$44,MAX(0,N552*$F$1),0),0)*RATES!$L529/12+$H$5*(PARAM!$D$51/12)*RATES!$N529/100</f>
        <v>174.70833333333331</v>
      </c>
      <c r="N553" s="16">
        <f t="shared" si="371"/>
        <v>-13682.633662700842</v>
      </c>
      <c r="O553" s="15">
        <f t="shared" si="372"/>
        <v>22.170849845882874</v>
      </c>
      <c r="P553" s="75">
        <f>O553*(1-PARAM!$C$27)*$I$6+(MOD($B553,60)=PARAM!$B$56)*($B553&gt;(60-PARAM!$B$56))*HLOOKUP(($B553+PARAM!$B$56)/12,Loyalty,2)*$F$1*MAX(R552,0)</f>
        <v>18.557001321003963</v>
      </c>
      <c r="Q553" s="75">
        <f>PARAM!$C$26+MAX($G$6-CHOOSE(PARAM!$B$44,MAX(0,R552*$F$1),0),0)*RATES!$L529/12+$H$6*(PARAM!$D$51/12)*RATES!$N529/100</f>
        <v>174.70833333333331</v>
      </c>
      <c r="R553" s="16">
        <f t="shared" si="373"/>
        <v>-13682.633662700842</v>
      </c>
      <c r="S553" s="15">
        <f t="shared" si="348"/>
        <v>22.170849845882874</v>
      </c>
      <c r="T553" s="75">
        <f>S553*(1-PARAM!$C$27)*$I$7+(MOD($B553,60)=PARAM!$B$56)*($B553&gt;(60-PARAM!$B$56))*HLOOKUP(($B553+PARAM!$B$56)/12,Loyalty,2)*$F$1*MAX(V552,0)</f>
        <v>18.557001321003963</v>
      </c>
      <c r="U553" s="75">
        <f>PARAM!$C$26+MAX($G$7-CHOOSE(PARAM!$B$44,MAX(0,V552*$F$1),0),0)*RATES!$L529/12+$H$7*(PARAM!$D$51/12)*RATES!$N529/100</f>
        <v>174.70833333333331</v>
      </c>
      <c r="V553" s="16">
        <f t="shared" si="374"/>
        <v>-13682.633662700842</v>
      </c>
      <c r="W553" s="15">
        <f t="shared" si="349"/>
        <v>22.170849845882874</v>
      </c>
      <c r="X553" s="75">
        <f>W553*(1-PARAM!$C$27)*$I$8+(MOD($B553,60)=PARAM!$B$56)*($B553&gt;(60-PARAM!$B$56))*HLOOKUP(($B553+PARAM!$B$56)/12,Loyalty,2)*$F$1*MAX(Z552,0)</f>
        <v>18.557001321003963</v>
      </c>
      <c r="Y553" s="75">
        <f>PARAM!$C$26+MAX($G$8-CHOOSE(PARAM!$B$44,MAX(0,Z552*$F$1),0),0)*RATES!$L529/12+$H$8*(PARAM!$D$51/12)*RATES!$N529/100</f>
        <v>174.70833333333331</v>
      </c>
      <c r="Z553" s="16">
        <f t="shared" si="375"/>
        <v>-13682.633662700842</v>
      </c>
      <c r="AA553" s="15">
        <f t="shared" si="350"/>
        <v>22.170849845882874</v>
      </c>
      <c r="AB553" s="75">
        <f>AA553*(1-PARAM!$C$27)*$I$9+(MOD($B553,60)=PARAM!$B$56)*($B553&gt;(60-PARAM!$B$56))*HLOOKUP(($B553+PARAM!$B$56)/12,Loyalty,2)*$F$1*MAX(AD552,0)</f>
        <v>18.557001321003963</v>
      </c>
      <c r="AC553" s="75">
        <f>PARAM!$C$26+MAX($G$9-CHOOSE(PARAM!$B$44,MAX(0,AD552*$F$1),0),0)*RATES!$L529/12+$H$9*(PARAM!$D$51/12)*RATES!$N529/100</f>
        <v>174.70833333333331</v>
      </c>
      <c r="AD553" s="16">
        <f t="shared" si="376"/>
        <v>-13682.633662700842</v>
      </c>
      <c r="AE553" s="15">
        <f t="shared" si="351"/>
        <v>22.170849845882874</v>
      </c>
      <c r="AF553" s="75">
        <f>AE553*(1-PARAM!$C$27)*$I$10+(MOD($B553,60)=PARAM!$B$56)*($B553&gt;(60-PARAM!$B$56))*HLOOKUP(($B553+PARAM!$B$56)/12,Loyalty,2)*$F$1*MAX(AH552,0)</f>
        <v>18.557001321003963</v>
      </c>
      <c r="AG553" s="75">
        <f>PARAM!$C$26+MAX($G$10-CHOOSE(PARAM!$B$44,MAX(0,AH552*$F$1),0),0)*RATES!$L529/12+$H$10*(PARAM!$D$51/12)*RATES!$N529/100</f>
        <v>174.70833333333331</v>
      </c>
      <c r="AH553" s="16">
        <f t="shared" si="377"/>
        <v>-13682.633662700842</v>
      </c>
      <c r="AI553" s="15">
        <f t="shared" si="352"/>
        <v>22.170849845882874</v>
      </c>
      <c r="AJ553" s="75">
        <f>AI553*(1-PARAM!$C$27)*$I$11+(MOD($B553,60)=PARAM!$B$56)*($B553&gt;(60-PARAM!$B$56))*HLOOKUP(($B553+PARAM!$B$56)/12,Loyalty,2)*$F$1*MAX(AL552,0)</f>
        <v>18.557001321003963</v>
      </c>
      <c r="AK553" s="75">
        <f>PARAM!$C$26+MAX($G$11-CHOOSE(PARAM!$B$44,MAX(0,AL552*$F$1),0),0)*RATES!$L529/12+$H$11*(PARAM!$D$51/12)*RATES!$N529/100</f>
        <v>174.70833333333331</v>
      </c>
      <c r="AL553" s="16">
        <f t="shared" si="378"/>
        <v>-13682.633662700842</v>
      </c>
      <c r="AM553" s="15">
        <f t="shared" si="353"/>
        <v>22.170849845882874</v>
      </c>
      <c r="AN553" s="75">
        <f>AM553*(1-PARAM!$C$27)*$I$12+(MOD($B553,60)=PARAM!$B$56)*($B553&gt;(60-PARAM!$B$56))*HLOOKUP(($B553+PARAM!$B$56)/12,Loyalty,2)*$F$1*MAX(AP552,0)</f>
        <v>18.557001321003963</v>
      </c>
      <c r="AO553" s="75">
        <f>PARAM!$C$26+MAX($G$12-CHOOSE(PARAM!$B$44,MAX(0,AP552*$F$1),0),0)*RATES!$L529/12+$H$12*(PARAM!$D$51/12)*RATES!$N529/100</f>
        <v>174.70833333333331</v>
      </c>
      <c r="AP553" s="16">
        <f t="shared" si="379"/>
        <v>-13682.633662700842</v>
      </c>
      <c r="AQ553" s="15">
        <f t="shared" si="354"/>
        <v>22.170849845882874</v>
      </c>
      <c r="AR553" s="75">
        <f>AQ553*(1-PARAM!$C$27)*$I$13+(MOD($B553,60)=PARAM!$B$56)*($B553&gt;(60-PARAM!$B$56))*HLOOKUP(($B553+PARAM!$B$56)/12,Loyalty,2)*$F$1*MAX(AT552,0)</f>
        <v>18.557001321003963</v>
      </c>
      <c r="AS553" s="75">
        <f>PARAM!$C$26+MAX($G$13-CHOOSE(PARAM!$B$44,MAX(0,AT552*$F$1),0),0)*RATES!$L529/12+$H$13*(PARAM!$D$51/12)*RATES!$N529/100</f>
        <v>174.70833333333331</v>
      </c>
      <c r="AT553" s="16">
        <f t="shared" si="380"/>
        <v>-13682.633662700842</v>
      </c>
      <c r="AU553" s="15">
        <f t="shared" si="355"/>
        <v>22.170849845882874</v>
      </c>
      <c r="AV553" s="75">
        <f>AU553*(1-PARAM!$C$27)*$I$14+(MOD($B553,60)=PARAM!$B$56)*($B553&gt;(60-PARAM!$B$56))*HLOOKUP(($B553+PARAM!$B$56)/12,Loyalty,2)*$F$1*MAX(AX552,0)</f>
        <v>18.557001321003963</v>
      </c>
      <c r="AW553" s="75">
        <f>PARAM!$C$26+MAX($G$14-CHOOSE(PARAM!$B$44,MAX(0,AX552*$F$1),0),0)*RATES!$L529/12+$H$14*(PARAM!$D$51/12)*RATES!$N529/100</f>
        <v>174.70833333333331</v>
      </c>
      <c r="AX553" s="16">
        <f t="shared" si="381"/>
        <v>-13682.633662700842</v>
      </c>
      <c r="AY553" s="15">
        <f t="shared" si="356"/>
        <v>22.170849845882874</v>
      </c>
      <c r="AZ553" s="75">
        <f>AY553*(1-PARAM!$C$27)*$I$15+(MOD($B553,60)=PARAM!$B$56)*($B553&gt;(60-PARAM!$B$56))*HLOOKUP(($B553+PARAM!$B$56)/12,Loyalty,2)*$F$1*MAX(BB552,0)</f>
        <v>18.557001321003963</v>
      </c>
      <c r="BA553" s="75">
        <f>PARAM!$C$26+MAX($G$15-CHOOSE(PARAM!$B$44,MAX(0,BB552*$F$1),0),0)*RATES!$L529/12+$H$15*(PARAM!$D$51/12)*RATES!$N529/100</f>
        <v>174.70833333333331</v>
      </c>
      <c r="BB553" s="16">
        <f t="shared" si="382"/>
        <v>-13682.633662700842</v>
      </c>
      <c r="BC553" s="15">
        <f t="shared" si="357"/>
        <v>22.170849845882874</v>
      </c>
      <c r="BD553" s="75">
        <f>BC553*(1-PARAM!$C$27)*$I$16+(MOD($B553,60)=PARAM!$B$56)*($B553&gt;(60-PARAM!$B$56))*HLOOKUP(($B553+PARAM!$B$56)/12,Loyalty,2)*$F$1*MAX(BF552,0)</f>
        <v>18.557001321003963</v>
      </c>
      <c r="BE553" s="75">
        <f>PARAM!$C$26+MAX($G$16-CHOOSE(PARAM!$B$44,MAX(0,BF552*$F$1),0),0)*RATES!$L529/12+$H$16*(PARAM!$D$51/12)*RATES!$N529/100</f>
        <v>174.70833333333331</v>
      </c>
      <c r="BF553" s="16">
        <f t="shared" si="383"/>
        <v>-13682.633662700842</v>
      </c>
      <c r="BG553" s="15">
        <f t="shared" si="358"/>
        <v>22.170849845882874</v>
      </c>
      <c r="BH553" s="75">
        <f>BG553*(1-PARAM!$C$27)*$I$17+(MOD($B553,60)=PARAM!$B$56)*($B553&gt;(60-PARAM!$B$56))*HLOOKUP(($B553+PARAM!$B$56)/12,Loyalty,2)*$F$1*MAX(BJ552,0)</f>
        <v>18.557001321003963</v>
      </c>
      <c r="BI553" s="75">
        <f>PARAM!$C$26+MAX($G$17-CHOOSE(PARAM!$B$44,MAX(0,BJ552*$F$1),0),0)*RATES!$L529/12+$H$17*(PARAM!$D$51/12)*RATES!$N529/100</f>
        <v>174.70833333333331</v>
      </c>
      <c r="BJ553" s="16">
        <f t="shared" si="384"/>
        <v>-13682.633662700842</v>
      </c>
      <c r="BK553" s="15">
        <f t="shared" si="359"/>
        <v>22.170849845882874</v>
      </c>
      <c r="BL553" s="75">
        <f>BK553*(1-PARAM!$C$27)*$I$18+(MOD($B553,60)=PARAM!$B$56)*($B553&gt;(60-PARAM!$B$56))*HLOOKUP(($B553+PARAM!$B$56)/12,Loyalty,2)*$F$1*MAX(BN552,0)</f>
        <v>18.557001321003963</v>
      </c>
      <c r="BM553" s="75">
        <f>PARAM!$C$26+MAX($G$18-CHOOSE(PARAM!$B$44,MAX(0,BN552*$F$1),0),0)*RATES!$L529/12+$H$18*(PARAM!$D$51/12)*RATES!$N529/100</f>
        <v>174.70833333333331</v>
      </c>
      <c r="BN553" s="16">
        <f t="shared" si="385"/>
        <v>-13682.633662700842</v>
      </c>
      <c r="BO553" s="15">
        <f t="shared" si="360"/>
        <v>22.170849845882874</v>
      </c>
      <c r="BP553" s="75">
        <f>BO553*(1-PARAM!$C$27)*$I$19+(MOD($B553,60)=PARAM!$B$56)*($B553&gt;(60-PARAM!$B$56))*HLOOKUP(($B553+PARAM!$B$56)/12,Loyalty,2)*$F$1*MAX(BR552,0)</f>
        <v>18.557001321003963</v>
      </c>
      <c r="BQ553" s="75">
        <f>PARAM!$C$26+MAX($G$19-CHOOSE(PARAM!$B$44,MAX(0,BR552*$F$1),0),0)*RATES!$L529/12+$H$19*(PARAM!$D$51/12)*RATES!$N529/100</f>
        <v>174.70833333333331</v>
      </c>
      <c r="BR553" s="16">
        <f t="shared" si="386"/>
        <v>-13682.633662700842</v>
      </c>
      <c r="BS553" s="15">
        <f t="shared" si="361"/>
        <v>22.170849845882874</v>
      </c>
      <c r="BT553" s="75">
        <f>BS553*(1-PARAM!$C$27)*$I$20+(MOD($B553,60)=PARAM!$B$56)*($B553&gt;(60-PARAM!$B$56))*HLOOKUP(($B553+PARAM!$B$56)/12,Loyalty,2)*$F$1*MAX(BV552,0)</f>
        <v>18.557001321003963</v>
      </c>
      <c r="BU553" s="75">
        <f>PARAM!$C$26+MAX($G$20-CHOOSE(PARAM!$B$44,MAX(0,BV552*$F$1),0),0)*RATES!$L529/12+$H$20*(PARAM!$D$51/12)*RATES!$N529/100</f>
        <v>174.70833333333331</v>
      </c>
      <c r="BV553" s="16">
        <f t="shared" si="387"/>
        <v>-13682.633662700842</v>
      </c>
      <c r="BW553" s="15">
        <f t="shared" si="362"/>
        <v>22.170849845882874</v>
      </c>
      <c r="BX553" s="75">
        <f>BW553*(1-PARAM!$C$27)*$I$21+(MOD($B553,60)=PARAM!$B$56)*($B553&gt;(60-PARAM!$B$56))*HLOOKUP(($B553+PARAM!$B$56)/12,Loyalty,2)*$F$1*MAX(BZ552,0)</f>
        <v>18.557001321003963</v>
      </c>
      <c r="BY553" s="75">
        <f>PARAM!$C$26+MAX($G$21-CHOOSE(PARAM!$B$44,MAX(0,BZ552*$F$1),0),0)*RATES!$L529/12+$H$21*(PARAM!$D$51/12)*RATES!$N529/100</f>
        <v>174.70833333333331</v>
      </c>
      <c r="BZ553" s="16">
        <f t="shared" si="388"/>
        <v>-13682.633662700842</v>
      </c>
      <c r="CA553" s="15">
        <f t="shared" si="363"/>
        <v>22.170849845882874</v>
      </c>
      <c r="CB553" s="75">
        <f>CA553*(1-PARAM!$C$27)*$I$22+(MOD($B553,60)=PARAM!$B$56)*($B553&gt;(60-PARAM!$B$56))*HLOOKUP(($B553+PARAM!$B$56)/12,Loyalty,2)*$F$1*MAX(CD552,0)</f>
        <v>18.557001321003963</v>
      </c>
      <c r="CC553" s="75">
        <f>PARAM!$C$26+MAX($G$22-CHOOSE(PARAM!$B$44,MAX(0,CD552*$F$1),0),0)*RATES!$L529/12+$H$22*(PARAM!$D$51/12)*RATES!$N529/100</f>
        <v>174.70833333333331</v>
      </c>
      <c r="CD553" s="16">
        <f t="shared" si="389"/>
        <v>-13682.633662700842</v>
      </c>
      <c r="CE553" s="33">
        <f>IF(0=MOD(B553,12/PARAM!$D$51),1,0)</f>
        <v>1</v>
      </c>
      <c r="CF553" s="15">
        <f t="shared" si="364"/>
        <v>0</v>
      </c>
      <c r="CG553" s="75">
        <f>CF553*(1-PARAM!$C$27)*$R$3+(MOD($B553/12,5)=0)*($B553&gt;60)*HLOOKUP($B553/12,Loyalty,2)*$F$1*MAX(CI552,0)</f>
        <v>0</v>
      </c>
      <c r="CH553" s="75">
        <f>PARAM!$C$26+MAX($P$3-CHOOSE(PARAM!$B$44,MAX(0,CI552*$F$1),0),0)*RATES!$L529/12+$Q$3*(PARAM!$D$51/12)*RATES!$N529/100</f>
        <v>174.70833333333331</v>
      </c>
      <c r="CI553" s="16">
        <f>IF(CI552&gt;0,CI552*PARAM!$C$53,CI552)+CG553-CH553</f>
        <v>-23324.041666666642</v>
      </c>
      <c r="CJ553" s="15">
        <f t="shared" si="390"/>
        <v>0</v>
      </c>
      <c r="CK553" s="75">
        <f>CJ553*(1-PARAM!$C$27)*$R$4+(MOD($B553/12,5)=0)*($B553&gt;60)*HLOOKUP($B553/12,Loyalty,2)*$F$1*MAX(CM552,0)</f>
        <v>0</v>
      </c>
      <c r="CL553" s="75">
        <f>PARAM!$C$26+MAX($P$4-CHOOSE(PARAM!$B$44,MAX(0,CM552*$F$1),0),0)*RATES!$L529/12+$Q$4*(PARAM!$D$51/12)*RATES!$N529/100</f>
        <v>174.70833333333331</v>
      </c>
      <c r="CM553" s="16">
        <f>IF(CM552&gt;0,CM552*PARAM!$C$53,CM552)+CK553-CL553</f>
        <v>-23324.041666666642</v>
      </c>
      <c r="CO553" s="176"/>
    </row>
    <row r="554" spans="1:93" x14ac:dyDescent="0.2">
      <c r="A554" t="b">
        <f t="shared" si="365"/>
        <v>0</v>
      </c>
      <c r="B554" s="33">
        <v>527</v>
      </c>
      <c r="C554" s="15">
        <f t="shared" si="366"/>
        <v>20.081305947392778</v>
      </c>
      <c r="D554" s="75">
        <f>C554*(1-PARAM!$C$27)*$I$3+(MOD($B554,60)=PARAM!$B$56)*($B554&gt;(60-PARAM!$B$56))*HLOOKUP(($B554+PARAM!$B$56)/12,Loyalty,2)*$F$1*MAX(F553,0)</f>
        <v>16.808053077967756</v>
      </c>
      <c r="E554" s="75">
        <f>PARAM!$C$26+MAX($G$3-CHOOSE(PARAM!$B$44,MAX(0,F553*$F$1),0),0)*RATES!$L530/12+$H$3*(PARAM!$D$51/12)*RATES!$N530/100</f>
        <v>174.70833333333331</v>
      </c>
      <c r="F554" s="16">
        <f t="shared" si="367"/>
        <v>-14797.331219314719</v>
      </c>
      <c r="G554" s="15">
        <f t="shared" si="368"/>
        <v>22.035289406060361</v>
      </c>
      <c r="H554" s="75">
        <f>G554*(1-PARAM!$C$27)*$I$4+(MOD($B554,60)=PARAM!$B$56)*($B554&gt;(60-PARAM!$B$56))*HLOOKUP(($B554+PARAM!$B$56)/12,Loyalty,2)*$F$1*MAX(J553,0)</f>
        <v>18.443537232872522</v>
      </c>
      <c r="I554" s="75">
        <f>PARAM!$C$26+MAX($G$4-CHOOSE(PARAM!$B$44,MAX(0,J553*$F$1),0),0)*RATES!$L530/12+$H$4*(PARAM!$D$51/12)*RATES!$N530/100</f>
        <v>174.70833333333331</v>
      </c>
      <c r="J554" s="16">
        <f t="shared" si="369"/>
        <v>-13901.598105558232</v>
      </c>
      <c r="K554" s="15">
        <f t="shared" si="370"/>
        <v>22.170849845882874</v>
      </c>
      <c r="L554" s="75">
        <f>K554*(1-PARAM!$C$27)*$I$5+(MOD($B554,60)=PARAM!$B$56)*($B554&gt;(60-PARAM!$B$56))*HLOOKUP(($B554+PARAM!$B$56)/12,Loyalty,2)*$F$1*MAX(N553,0)</f>
        <v>18.557001321003963</v>
      </c>
      <c r="M554" s="75">
        <f>PARAM!$C$26+MAX($G$5-CHOOSE(PARAM!$B$44,MAX(0,N553*$F$1),0),0)*RATES!$L530/12+$H$5*(PARAM!$D$51/12)*RATES!$N530/100</f>
        <v>174.70833333333331</v>
      </c>
      <c r="N554" s="16">
        <f t="shared" si="371"/>
        <v>-13838.784994713173</v>
      </c>
      <c r="O554" s="15">
        <f t="shared" si="372"/>
        <v>22.170849845882874</v>
      </c>
      <c r="P554" s="75">
        <f>O554*(1-PARAM!$C$27)*$I$6+(MOD($B554,60)=PARAM!$B$56)*($B554&gt;(60-PARAM!$B$56))*HLOOKUP(($B554+PARAM!$B$56)/12,Loyalty,2)*$F$1*MAX(R553,0)</f>
        <v>18.557001321003963</v>
      </c>
      <c r="Q554" s="75">
        <f>PARAM!$C$26+MAX($G$6-CHOOSE(PARAM!$B$44,MAX(0,R553*$F$1),0),0)*RATES!$L530/12+$H$6*(PARAM!$D$51/12)*RATES!$N530/100</f>
        <v>174.70833333333331</v>
      </c>
      <c r="R554" s="16">
        <f t="shared" si="373"/>
        <v>-13838.784994713173</v>
      </c>
      <c r="S554" s="15">
        <f t="shared" si="348"/>
        <v>22.170849845882874</v>
      </c>
      <c r="T554" s="75">
        <f>S554*(1-PARAM!$C$27)*$I$7+(MOD($B554,60)=PARAM!$B$56)*($B554&gt;(60-PARAM!$B$56))*HLOOKUP(($B554+PARAM!$B$56)/12,Loyalty,2)*$F$1*MAX(V553,0)</f>
        <v>18.557001321003963</v>
      </c>
      <c r="U554" s="75">
        <f>PARAM!$C$26+MAX($G$7-CHOOSE(PARAM!$B$44,MAX(0,V553*$F$1),0),0)*RATES!$L530/12+$H$7*(PARAM!$D$51/12)*RATES!$N530/100</f>
        <v>174.70833333333331</v>
      </c>
      <c r="V554" s="16">
        <f t="shared" si="374"/>
        <v>-13838.784994713173</v>
      </c>
      <c r="W554" s="15">
        <f t="shared" si="349"/>
        <v>22.170849845882874</v>
      </c>
      <c r="X554" s="75">
        <f>W554*(1-PARAM!$C$27)*$I$8+(MOD($B554,60)=PARAM!$B$56)*($B554&gt;(60-PARAM!$B$56))*HLOOKUP(($B554+PARAM!$B$56)/12,Loyalty,2)*$F$1*MAX(Z553,0)</f>
        <v>18.557001321003963</v>
      </c>
      <c r="Y554" s="75">
        <f>PARAM!$C$26+MAX($G$8-CHOOSE(PARAM!$B$44,MAX(0,Z553*$F$1),0),0)*RATES!$L530/12+$H$8*(PARAM!$D$51/12)*RATES!$N530/100</f>
        <v>174.70833333333331</v>
      </c>
      <c r="Z554" s="16">
        <f t="shared" si="375"/>
        <v>-13838.784994713173</v>
      </c>
      <c r="AA554" s="15">
        <f t="shared" si="350"/>
        <v>22.170849845882874</v>
      </c>
      <c r="AB554" s="75">
        <f>AA554*(1-PARAM!$C$27)*$I$9+(MOD($B554,60)=PARAM!$B$56)*($B554&gt;(60-PARAM!$B$56))*HLOOKUP(($B554+PARAM!$B$56)/12,Loyalty,2)*$F$1*MAX(AD553,0)</f>
        <v>18.557001321003963</v>
      </c>
      <c r="AC554" s="75">
        <f>PARAM!$C$26+MAX($G$9-CHOOSE(PARAM!$B$44,MAX(0,AD553*$F$1),0),0)*RATES!$L530/12+$H$9*(PARAM!$D$51/12)*RATES!$N530/100</f>
        <v>174.70833333333331</v>
      </c>
      <c r="AD554" s="16">
        <f t="shared" si="376"/>
        <v>-13838.784994713173</v>
      </c>
      <c r="AE554" s="15">
        <f t="shared" si="351"/>
        <v>22.170849845882874</v>
      </c>
      <c r="AF554" s="75">
        <f>AE554*(1-PARAM!$C$27)*$I$10+(MOD($B554,60)=PARAM!$B$56)*($B554&gt;(60-PARAM!$B$56))*HLOOKUP(($B554+PARAM!$B$56)/12,Loyalty,2)*$F$1*MAX(AH553,0)</f>
        <v>18.557001321003963</v>
      </c>
      <c r="AG554" s="75">
        <f>PARAM!$C$26+MAX($G$10-CHOOSE(PARAM!$B$44,MAX(0,AH553*$F$1),0),0)*RATES!$L530/12+$H$10*(PARAM!$D$51/12)*RATES!$N530/100</f>
        <v>174.70833333333331</v>
      </c>
      <c r="AH554" s="16">
        <f t="shared" si="377"/>
        <v>-13838.784994713173</v>
      </c>
      <c r="AI554" s="15">
        <f t="shared" si="352"/>
        <v>22.170849845882874</v>
      </c>
      <c r="AJ554" s="75">
        <f>AI554*(1-PARAM!$C$27)*$I$11+(MOD($B554,60)=PARAM!$B$56)*($B554&gt;(60-PARAM!$B$56))*HLOOKUP(($B554+PARAM!$B$56)/12,Loyalty,2)*$F$1*MAX(AL553,0)</f>
        <v>18.557001321003963</v>
      </c>
      <c r="AK554" s="75">
        <f>PARAM!$C$26+MAX($G$11-CHOOSE(PARAM!$B$44,MAX(0,AL553*$F$1),0),0)*RATES!$L530/12+$H$11*(PARAM!$D$51/12)*RATES!$N530/100</f>
        <v>174.70833333333331</v>
      </c>
      <c r="AL554" s="16">
        <f t="shared" si="378"/>
        <v>-13838.784994713173</v>
      </c>
      <c r="AM554" s="15">
        <f t="shared" si="353"/>
        <v>22.170849845882874</v>
      </c>
      <c r="AN554" s="75">
        <f>AM554*(1-PARAM!$C$27)*$I$12+(MOD($B554,60)=PARAM!$B$56)*($B554&gt;(60-PARAM!$B$56))*HLOOKUP(($B554+PARAM!$B$56)/12,Loyalty,2)*$F$1*MAX(AP553,0)</f>
        <v>18.557001321003963</v>
      </c>
      <c r="AO554" s="75">
        <f>PARAM!$C$26+MAX($G$12-CHOOSE(PARAM!$B$44,MAX(0,AP553*$F$1),0),0)*RATES!$L530/12+$H$12*(PARAM!$D$51/12)*RATES!$N530/100</f>
        <v>174.70833333333331</v>
      </c>
      <c r="AP554" s="16">
        <f t="shared" si="379"/>
        <v>-13838.784994713173</v>
      </c>
      <c r="AQ554" s="15">
        <f t="shared" si="354"/>
        <v>22.170849845882874</v>
      </c>
      <c r="AR554" s="75">
        <f>AQ554*(1-PARAM!$C$27)*$I$13+(MOD($B554,60)=PARAM!$B$56)*($B554&gt;(60-PARAM!$B$56))*HLOOKUP(($B554+PARAM!$B$56)/12,Loyalty,2)*$F$1*MAX(AT553,0)</f>
        <v>18.557001321003963</v>
      </c>
      <c r="AS554" s="75">
        <f>PARAM!$C$26+MAX($G$13-CHOOSE(PARAM!$B$44,MAX(0,AT553*$F$1),0),0)*RATES!$L530/12+$H$13*(PARAM!$D$51/12)*RATES!$N530/100</f>
        <v>174.70833333333331</v>
      </c>
      <c r="AT554" s="16">
        <f t="shared" si="380"/>
        <v>-13838.784994713173</v>
      </c>
      <c r="AU554" s="15">
        <f t="shared" si="355"/>
        <v>22.170849845882874</v>
      </c>
      <c r="AV554" s="75">
        <f>AU554*(1-PARAM!$C$27)*$I$14+(MOD($B554,60)=PARAM!$B$56)*($B554&gt;(60-PARAM!$B$56))*HLOOKUP(($B554+PARAM!$B$56)/12,Loyalty,2)*$F$1*MAX(AX553,0)</f>
        <v>18.557001321003963</v>
      </c>
      <c r="AW554" s="75">
        <f>PARAM!$C$26+MAX($G$14-CHOOSE(PARAM!$B$44,MAX(0,AX553*$F$1),0),0)*RATES!$L530/12+$H$14*(PARAM!$D$51/12)*RATES!$N530/100</f>
        <v>174.70833333333331</v>
      </c>
      <c r="AX554" s="16">
        <f t="shared" si="381"/>
        <v>-13838.784994713173</v>
      </c>
      <c r="AY554" s="15">
        <f t="shared" si="356"/>
        <v>22.170849845882874</v>
      </c>
      <c r="AZ554" s="75">
        <f>AY554*(1-PARAM!$C$27)*$I$15+(MOD($B554,60)=PARAM!$B$56)*($B554&gt;(60-PARAM!$B$56))*HLOOKUP(($B554+PARAM!$B$56)/12,Loyalty,2)*$F$1*MAX(BB553,0)</f>
        <v>18.557001321003963</v>
      </c>
      <c r="BA554" s="75">
        <f>PARAM!$C$26+MAX($G$15-CHOOSE(PARAM!$B$44,MAX(0,BB553*$F$1),0),0)*RATES!$L530/12+$H$15*(PARAM!$D$51/12)*RATES!$N530/100</f>
        <v>174.70833333333331</v>
      </c>
      <c r="BB554" s="16">
        <f t="shared" si="382"/>
        <v>-13838.784994713173</v>
      </c>
      <c r="BC554" s="15">
        <f t="shared" si="357"/>
        <v>22.170849845882874</v>
      </c>
      <c r="BD554" s="75">
        <f>BC554*(1-PARAM!$C$27)*$I$16+(MOD($B554,60)=PARAM!$B$56)*($B554&gt;(60-PARAM!$B$56))*HLOOKUP(($B554+PARAM!$B$56)/12,Loyalty,2)*$F$1*MAX(BF553,0)</f>
        <v>18.557001321003963</v>
      </c>
      <c r="BE554" s="75">
        <f>PARAM!$C$26+MAX($G$16-CHOOSE(PARAM!$B$44,MAX(0,BF553*$F$1),0),0)*RATES!$L530/12+$H$16*(PARAM!$D$51/12)*RATES!$N530/100</f>
        <v>174.70833333333331</v>
      </c>
      <c r="BF554" s="16">
        <f t="shared" si="383"/>
        <v>-13838.784994713173</v>
      </c>
      <c r="BG554" s="15">
        <f t="shared" si="358"/>
        <v>22.170849845882874</v>
      </c>
      <c r="BH554" s="75">
        <f>BG554*(1-PARAM!$C$27)*$I$17+(MOD($B554,60)=PARAM!$B$56)*($B554&gt;(60-PARAM!$B$56))*HLOOKUP(($B554+PARAM!$B$56)/12,Loyalty,2)*$F$1*MAX(BJ553,0)</f>
        <v>18.557001321003963</v>
      </c>
      <c r="BI554" s="75">
        <f>PARAM!$C$26+MAX($G$17-CHOOSE(PARAM!$B$44,MAX(0,BJ553*$F$1),0),0)*RATES!$L530/12+$H$17*(PARAM!$D$51/12)*RATES!$N530/100</f>
        <v>174.70833333333331</v>
      </c>
      <c r="BJ554" s="16">
        <f t="shared" si="384"/>
        <v>-13838.784994713173</v>
      </c>
      <c r="BK554" s="15">
        <f t="shared" si="359"/>
        <v>22.170849845882874</v>
      </c>
      <c r="BL554" s="75">
        <f>BK554*(1-PARAM!$C$27)*$I$18+(MOD($B554,60)=PARAM!$B$56)*($B554&gt;(60-PARAM!$B$56))*HLOOKUP(($B554+PARAM!$B$56)/12,Loyalty,2)*$F$1*MAX(BN553,0)</f>
        <v>18.557001321003963</v>
      </c>
      <c r="BM554" s="75">
        <f>PARAM!$C$26+MAX($G$18-CHOOSE(PARAM!$B$44,MAX(0,BN553*$F$1),0),0)*RATES!$L530/12+$H$18*(PARAM!$D$51/12)*RATES!$N530/100</f>
        <v>174.70833333333331</v>
      </c>
      <c r="BN554" s="16">
        <f t="shared" si="385"/>
        <v>-13838.784994713173</v>
      </c>
      <c r="BO554" s="15">
        <f t="shared" si="360"/>
        <v>22.170849845882874</v>
      </c>
      <c r="BP554" s="75">
        <f>BO554*(1-PARAM!$C$27)*$I$19+(MOD($B554,60)=PARAM!$B$56)*($B554&gt;(60-PARAM!$B$56))*HLOOKUP(($B554+PARAM!$B$56)/12,Loyalty,2)*$F$1*MAX(BR553,0)</f>
        <v>18.557001321003963</v>
      </c>
      <c r="BQ554" s="75">
        <f>PARAM!$C$26+MAX($G$19-CHOOSE(PARAM!$B$44,MAX(0,BR553*$F$1),0),0)*RATES!$L530/12+$H$19*(PARAM!$D$51/12)*RATES!$N530/100</f>
        <v>174.70833333333331</v>
      </c>
      <c r="BR554" s="16">
        <f t="shared" si="386"/>
        <v>-13838.784994713173</v>
      </c>
      <c r="BS554" s="15">
        <f t="shared" si="361"/>
        <v>22.170849845882874</v>
      </c>
      <c r="BT554" s="75">
        <f>BS554*(1-PARAM!$C$27)*$I$20+(MOD($B554,60)=PARAM!$B$56)*($B554&gt;(60-PARAM!$B$56))*HLOOKUP(($B554+PARAM!$B$56)/12,Loyalty,2)*$F$1*MAX(BV553,0)</f>
        <v>18.557001321003963</v>
      </c>
      <c r="BU554" s="75">
        <f>PARAM!$C$26+MAX($G$20-CHOOSE(PARAM!$B$44,MAX(0,BV553*$F$1),0),0)*RATES!$L530/12+$H$20*(PARAM!$D$51/12)*RATES!$N530/100</f>
        <v>174.70833333333331</v>
      </c>
      <c r="BV554" s="16">
        <f t="shared" si="387"/>
        <v>-13838.784994713173</v>
      </c>
      <c r="BW554" s="15">
        <f t="shared" si="362"/>
        <v>22.170849845882874</v>
      </c>
      <c r="BX554" s="75">
        <f>BW554*(1-PARAM!$C$27)*$I$21+(MOD($B554,60)=PARAM!$B$56)*($B554&gt;(60-PARAM!$B$56))*HLOOKUP(($B554+PARAM!$B$56)/12,Loyalty,2)*$F$1*MAX(BZ553,0)</f>
        <v>18.557001321003963</v>
      </c>
      <c r="BY554" s="75">
        <f>PARAM!$C$26+MAX($G$21-CHOOSE(PARAM!$B$44,MAX(0,BZ553*$F$1),0),0)*RATES!$L530/12+$H$21*(PARAM!$D$51/12)*RATES!$N530/100</f>
        <v>174.70833333333331</v>
      </c>
      <c r="BZ554" s="16">
        <f t="shared" si="388"/>
        <v>-13838.784994713173</v>
      </c>
      <c r="CA554" s="15">
        <f t="shared" si="363"/>
        <v>22.170849845882874</v>
      </c>
      <c r="CB554" s="75">
        <f>CA554*(1-PARAM!$C$27)*$I$22+(MOD($B554,60)=PARAM!$B$56)*($B554&gt;(60-PARAM!$B$56))*HLOOKUP(($B554+PARAM!$B$56)/12,Loyalty,2)*$F$1*MAX(CD553,0)</f>
        <v>18.557001321003963</v>
      </c>
      <c r="CC554" s="75">
        <f>PARAM!$C$26+MAX($G$22-CHOOSE(PARAM!$B$44,MAX(0,CD553*$F$1),0),0)*RATES!$L530/12+$H$22*(PARAM!$D$51/12)*RATES!$N530/100</f>
        <v>174.70833333333331</v>
      </c>
      <c r="CD554" s="16">
        <f t="shared" si="389"/>
        <v>-13838.784994713173</v>
      </c>
      <c r="CE554" s="33">
        <f>IF(0=MOD(B554,12/PARAM!$D$51),1,0)</f>
        <v>1</v>
      </c>
      <c r="CF554" s="15">
        <f t="shared" si="364"/>
        <v>0</v>
      </c>
      <c r="CG554" s="75">
        <f>CF554*(1-PARAM!$C$27)*$R$3+(MOD($B554/12,5)=0)*($B554&gt;60)*HLOOKUP($B554/12,Loyalty,2)*$F$1*MAX(CI553,0)</f>
        <v>0</v>
      </c>
      <c r="CH554" s="75">
        <f>PARAM!$C$26+MAX($P$3-CHOOSE(PARAM!$B$44,MAX(0,CI553*$F$1),0),0)*RATES!$L530/12+$Q$3*(PARAM!$D$51/12)*RATES!$N530/100</f>
        <v>174.70833333333331</v>
      </c>
      <c r="CI554" s="16">
        <f>IF(CI553&gt;0,CI553*PARAM!$C$53,CI553)+CG554-CH554</f>
        <v>-23498.749999999975</v>
      </c>
      <c r="CJ554" s="15">
        <f t="shared" si="390"/>
        <v>0</v>
      </c>
      <c r="CK554" s="75">
        <f>CJ554*(1-PARAM!$C$27)*$R$4+(MOD($B554/12,5)=0)*($B554&gt;60)*HLOOKUP($B554/12,Loyalty,2)*$F$1*MAX(CM553,0)</f>
        <v>0</v>
      </c>
      <c r="CL554" s="75">
        <f>PARAM!$C$26+MAX($P$4-CHOOSE(PARAM!$B$44,MAX(0,CM553*$F$1),0),0)*RATES!$L530/12+$Q$4*(PARAM!$D$51/12)*RATES!$N530/100</f>
        <v>174.70833333333331</v>
      </c>
      <c r="CM554" s="16">
        <f>IF(CM553&gt;0,CM553*PARAM!$C$53,CM553)+CK554-CL554</f>
        <v>-23498.749999999975</v>
      </c>
      <c r="CO554" s="176"/>
    </row>
    <row r="555" spans="1:93" x14ac:dyDescent="0.2">
      <c r="A555" t="b">
        <f t="shared" si="365"/>
        <v>0</v>
      </c>
      <c r="B555" s="33">
        <v>528</v>
      </c>
      <c r="C555" s="15">
        <f t="shared" si="366"/>
        <v>20.081305947392778</v>
      </c>
      <c r="D555" s="75">
        <f>C555*(1-PARAM!$C$27)*$I$3+(MOD($B555,60)=PARAM!$B$56)*($B555&gt;(60-PARAM!$B$56))*HLOOKUP(($B555+PARAM!$B$56)/12,Loyalty,2)*$F$1*MAX(F554,0)</f>
        <v>16.808053077967756</v>
      </c>
      <c r="E555" s="75">
        <f>PARAM!$C$26+MAX($G$3-CHOOSE(PARAM!$B$44,MAX(0,F554*$F$1),0),0)*RATES!$L531/12+$H$3*(PARAM!$D$51/12)*RATES!$N531/100</f>
        <v>174.70833333333331</v>
      </c>
      <c r="F555" s="16">
        <f t="shared" si="367"/>
        <v>-14955.231499570085</v>
      </c>
      <c r="G555" s="15">
        <f t="shared" si="368"/>
        <v>22.035289406060361</v>
      </c>
      <c r="H555" s="75">
        <f>G555*(1-PARAM!$C$27)*$I$4+(MOD($B555,60)=PARAM!$B$56)*($B555&gt;(60-PARAM!$B$56))*HLOOKUP(($B555+PARAM!$B$56)/12,Loyalty,2)*$F$1*MAX(J554,0)</f>
        <v>18.443537232872522</v>
      </c>
      <c r="I555" s="75">
        <f>PARAM!$C$26+MAX($G$4-CHOOSE(PARAM!$B$44,MAX(0,J554*$F$1),0),0)*RATES!$L531/12+$H$4*(PARAM!$D$51/12)*RATES!$N531/100</f>
        <v>174.70833333333331</v>
      </c>
      <c r="J555" s="16">
        <f t="shared" si="369"/>
        <v>-14057.862901658695</v>
      </c>
      <c r="K555" s="15">
        <f t="shared" si="370"/>
        <v>22.170849845882874</v>
      </c>
      <c r="L555" s="75">
        <f>K555*(1-PARAM!$C$27)*$I$5+(MOD($B555,60)=PARAM!$B$56)*($B555&gt;(60-PARAM!$B$56))*HLOOKUP(($B555+PARAM!$B$56)/12,Loyalty,2)*$F$1*MAX(N554,0)</f>
        <v>18.557001321003963</v>
      </c>
      <c r="M555" s="75">
        <f>PARAM!$C$26+MAX($G$5-CHOOSE(PARAM!$B$44,MAX(0,N554*$F$1),0),0)*RATES!$L531/12+$H$5*(PARAM!$D$51/12)*RATES!$N531/100</f>
        <v>174.70833333333331</v>
      </c>
      <c r="N555" s="16">
        <f t="shared" si="371"/>
        <v>-13994.936326725503</v>
      </c>
      <c r="O555" s="15">
        <f t="shared" si="372"/>
        <v>22.170849845882874</v>
      </c>
      <c r="P555" s="75">
        <f>O555*(1-PARAM!$C$27)*$I$6+(MOD($B555,60)=PARAM!$B$56)*($B555&gt;(60-PARAM!$B$56))*HLOOKUP(($B555+PARAM!$B$56)/12,Loyalty,2)*$F$1*MAX(R554,0)</f>
        <v>18.557001321003963</v>
      </c>
      <c r="Q555" s="75">
        <f>PARAM!$C$26+MAX($G$6-CHOOSE(PARAM!$B$44,MAX(0,R554*$F$1),0),0)*RATES!$L531/12+$H$6*(PARAM!$D$51/12)*RATES!$N531/100</f>
        <v>174.70833333333331</v>
      </c>
      <c r="R555" s="16">
        <f t="shared" si="373"/>
        <v>-13994.936326725503</v>
      </c>
      <c r="S555" s="15">
        <f t="shared" si="348"/>
        <v>22.170849845882874</v>
      </c>
      <c r="T555" s="75">
        <f>S555*(1-PARAM!$C$27)*$I$7+(MOD($B555,60)=PARAM!$B$56)*($B555&gt;(60-PARAM!$B$56))*HLOOKUP(($B555+PARAM!$B$56)/12,Loyalty,2)*$F$1*MAX(V554,0)</f>
        <v>18.557001321003963</v>
      </c>
      <c r="U555" s="75">
        <f>PARAM!$C$26+MAX($G$7-CHOOSE(PARAM!$B$44,MAX(0,V554*$F$1),0),0)*RATES!$L531/12+$H$7*(PARAM!$D$51/12)*RATES!$N531/100</f>
        <v>174.70833333333331</v>
      </c>
      <c r="V555" s="16">
        <f t="shared" si="374"/>
        <v>-13994.936326725503</v>
      </c>
      <c r="W555" s="15">
        <f t="shared" si="349"/>
        <v>22.170849845882874</v>
      </c>
      <c r="X555" s="75">
        <f>W555*(1-PARAM!$C$27)*$I$8+(MOD($B555,60)=PARAM!$B$56)*($B555&gt;(60-PARAM!$B$56))*HLOOKUP(($B555+PARAM!$B$56)/12,Loyalty,2)*$F$1*MAX(Z554,0)</f>
        <v>18.557001321003963</v>
      </c>
      <c r="Y555" s="75">
        <f>PARAM!$C$26+MAX($G$8-CHOOSE(PARAM!$B$44,MAX(0,Z554*$F$1),0),0)*RATES!$L531/12+$H$8*(PARAM!$D$51/12)*RATES!$N531/100</f>
        <v>174.70833333333331</v>
      </c>
      <c r="Z555" s="16">
        <f t="shared" si="375"/>
        <v>-13994.936326725503</v>
      </c>
      <c r="AA555" s="15">
        <f t="shared" si="350"/>
        <v>22.170849845882874</v>
      </c>
      <c r="AB555" s="75">
        <f>AA555*(1-PARAM!$C$27)*$I$9+(MOD($B555,60)=PARAM!$B$56)*($B555&gt;(60-PARAM!$B$56))*HLOOKUP(($B555+PARAM!$B$56)/12,Loyalty,2)*$F$1*MAX(AD554,0)</f>
        <v>18.557001321003963</v>
      </c>
      <c r="AC555" s="75">
        <f>PARAM!$C$26+MAX($G$9-CHOOSE(PARAM!$B$44,MAX(0,AD554*$F$1),0),0)*RATES!$L531/12+$H$9*(PARAM!$D$51/12)*RATES!$N531/100</f>
        <v>174.70833333333331</v>
      </c>
      <c r="AD555" s="16">
        <f t="shared" si="376"/>
        <v>-13994.936326725503</v>
      </c>
      <c r="AE555" s="15">
        <f t="shared" si="351"/>
        <v>22.170849845882874</v>
      </c>
      <c r="AF555" s="75">
        <f>AE555*(1-PARAM!$C$27)*$I$10+(MOD($B555,60)=PARAM!$B$56)*($B555&gt;(60-PARAM!$B$56))*HLOOKUP(($B555+PARAM!$B$56)/12,Loyalty,2)*$F$1*MAX(AH554,0)</f>
        <v>18.557001321003963</v>
      </c>
      <c r="AG555" s="75">
        <f>PARAM!$C$26+MAX($G$10-CHOOSE(PARAM!$B$44,MAX(0,AH554*$F$1),0),0)*RATES!$L531/12+$H$10*(PARAM!$D$51/12)*RATES!$N531/100</f>
        <v>174.70833333333331</v>
      </c>
      <c r="AH555" s="16">
        <f t="shared" si="377"/>
        <v>-13994.936326725503</v>
      </c>
      <c r="AI555" s="15">
        <f t="shared" si="352"/>
        <v>22.170849845882874</v>
      </c>
      <c r="AJ555" s="75">
        <f>AI555*(1-PARAM!$C$27)*$I$11+(MOD($B555,60)=PARAM!$B$56)*($B555&gt;(60-PARAM!$B$56))*HLOOKUP(($B555+PARAM!$B$56)/12,Loyalty,2)*$F$1*MAX(AL554,0)</f>
        <v>18.557001321003963</v>
      </c>
      <c r="AK555" s="75">
        <f>PARAM!$C$26+MAX($G$11-CHOOSE(PARAM!$B$44,MAX(0,AL554*$F$1),0),0)*RATES!$L531/12+$H$11*(PARAM!$D$51/12)*RATES!$N531/100</f>
        <v>174.70833333333331</v>
      </c>
      <c r="AL555" s="16">
        <f t="shared" si="378"/>
        <v>-13994.936326725503</v>
      </c>
      <c r="AM555" s="15">
        <f t="shared" si="353"/>
        <v>22.170849845882874</v>
      </c>
      <c r="AN555" s="75">
        <f>AM555*(1-PARAM!$C$27)*$I$12+(MOD($B555,60)=PARAM!$B$56)*($B555&gt;(60-PARAM!$B$56))*HLOOKUP(($B555+PARAM!$B$56)/12,Loyalty,2)*$F$1*MAX(AP554,0)</f>
        <v>18.557001321003963</v>
      </c>
      <c r="AO555" s="75">
        <f>PARAM!$C$26+MAX($G$12-CHOOSE(PARAM!$B$44,MAX(0,AP554*$F$1),0),0)*RATES!$L531/12+$H$12*(PARAM!$D$51/12)*RATES!$N531/100</f>
        <v>174.70833333333331</v>
      </c>
      <c r="AP555" s="16">
        <f t="shared" si="379"/>
        <v>-13994.936326725503</v>
      </c>
      <c r="AQ555" s="15">
        <f t="shared" si="354"/>
        <v>22.170849845882874</v>
      </c>
      <c r="AR555" s="75">
        <f>AQ555*(1-PARAM!$C$27)*$I$13+(MOD($B555,60)=PARAM!$B$56)*($B555&gt;(60-PARAM!$B$56))*HLOOKUP(($B555+PARAM!$B$56)/12,Loyalty,2)*$F$1*MAX(AT554,0)</f>
        <v>18.557001321003963</v>
      </c>
      <c r="AS555" s="75">
        <f>PARAM!$C$26+MAX($G$13-CHOOSE(PARAM!$B$44,MAX(0,AT554*$F$1),0),0)*RATES!$L531/12+$H$13*(PARAM!$D$51/12)*RATES!$N531/100</f>
        <v>174.70833333333331</v>
      </c>
      <c r="AT555" s="16">
        <f t="shared" si="380"/>
        <v>-13994.936326725503</v>
      </c>
      <c r="AU555" s="15">
        <f t="shared" si="355"/>
        <v>22.170849845882874</v>
      </c>
      <c r="AV555" s="75">
        <f>AU555*(1-PARAM!$C$27)*$I$14+(MOD($B555,60)=PARAM!$B$56)*($B555&gt;(60-PARAM!$B$56))*HLOOKUP(($B555+PARAM!$B$56)/12,Loyalty,2)*$F$1*MAX(AX554,0)</f>
        <v>18.557001321003963</v>
      </c>
      <c r="AW555" s="75">
        <f>PARAM!$C$26+MAX($G$14-CHOOSE(PARAM!$B$44,MAX(0,AX554*$F$1),0),0)*RATES!$L531/12+$H$14*(PARAM!$D$51/12)*RATES!$N531/100</f>
        <v>174.70833333333331</v>
      </c>
      <c r="AX555" s="16">
        <f t="shared" si="381"/>
        <v>-13994.936326725503</v>
      </c>
      <c r="AY555" s="15">
        <f t="shared" si="356"/>
        <v>22.170849845882874</v>
      </c>
      <c r="AZ555" s="75">
        <f>AY555*(1-PARAM!$C$27)*$I$15+(MOD($B555,60)=PARAM!$B$56)*($B555&gt;(60-PARAM!$B$56))*HLOOKUP(($B555+PARAM!$B$56)/12,Loyalty,2)*$F$1*MAX(BB554,0)</f>
        <v>18.557001321003963</v>
      </c>
      <c r="BA555" s="75">
        <f>PARAM!$C$26+MAX($G$15-CHOOSE(PARAM!$B$44,MAX(0,BB554*$F$1),0),0)*RATES!$L531/12+$H$15*(PARAM!$D$51/12)*RATES!$N531/100</f>
        <v>174.70833333333331</v>
      </c>
      <c r="BB555" s="16">
        <f t="shared" si="382"/>
        <v>-13994.936326725503</v>
      </c>
      <c r="BC555" s="15">
        <f t="shared" si="357"/>
        <v>22.170849845882874</v>
      </c>
      <c r="BD555" s="75">
        <f>BC555*(1-PARAM!$C$27)*$I$16+(MOD($B555,60)=PARAM!$B$56)*($B555&gt;(60-PARAM!$B$56))*HLOOKUP(($B555+PARAM!$B$56)/12,Loyalty,2)*$F$1*MAX(BF554,0)</f>
        <v>18.557001321003963</v>
      </c>
      <c r="BE555" s="75">
        <f>PARAM!$C$26+MAX($G$16-CHOOSE(PARAM!$B$44,MAX(0,BF554*$F$1),0),0)*RATES!$L531/12+$H$16*(PARAM!$D$51/12)*RATES!$N531/100</f>
        <v>174.70833333333331</v>
      </c>
      <c r="BF555" s="16">
        <f t="shared" si="383"/>
        <v>-13994.936326725503</v>
      </c>
      <c r="BG555" s="15">
        <f t="shared" si="358"/>
        <v>22.170849845882874</v>
      </c>
      <c r="BH555" s="75">
        <f>BG555*(1-PARAM!$C$27)*$I$17+(MOD($B555,60)=PARAM!$B$56)*($B555&gt;(60-PARAM!$B$56))*HLOOKUP(($B555+PARAM!$B$56)/12,Loyalty,2)*$F$1*MAX(BJ554,0)</f>
        <v>18.557001321003963</v>
      </c>
      <c r="BI555" s="75">
        <f>PARAM!$C$26+MAX($G$17-CHOOSE(PARAM!$B$44,MAX(0,BJ554*$F$1),0),0)*RATES!$L531/12+$H$17*(PARAM!$D$51/12)*RATES!$N531/100</f>
        <v>174.70833333333331</v>
      </c>
      <c r="BJ555" s="16">
        <f t="shared" si="384"/>
        <v>-13994.936326725503</v>
      </c>
      <c r="BK555" s="15">
        <f t="shared" si="359"/>
        <v>22.170849845882874</v>
      </c>
      <c r="BL555" s="75">
        <f>BK555*(1-PARAM!$C$27)*$I$18+(MOD($B555,60)=PARAM!$B$56)*($B555&gt;(60-PARAM!$B$56))*HLOOKUP(($B555+PARAM!$B$56)/12,Loyalty,2)*$F$1*MAX(BN554,0)</f>
        <v>18.557001321003963</v>
      </c>
      <c r="BM555" s="75">
        <f>PARAM!$C$26+MAX($G$18-CHOOSE(PARAM!$B$44,MAX(0,BN554*$F$1),0),0)*RATES!$L531/12+$H$18*(PARAM!$D$51/12)*RATES!$N531/100</f>
        <v>174.70833333333331</v>
      </c>
      <c r="BN555" s="16">
        <f t="shared" si="385"/>
        <v>-13994.936326725503</v>
      </c>
      <c r="BO555" s="15">
        <f t="shared" si="360"/>
        <v>22.170849845882874</v>
      </c>
      <c r="BP555" s="75">
        <f>BO555*(1-PARAM!$C$27)*$I$19+(MOD($B555,60)=PARAM!$B$56)*($B555&gt;(60-PARAM!$B$56))*HLOOKUP(($B555+PARAM!$B$56)/12,Loyalty,2)*$F$1*MAX(BR554,0)</f>
        <v>18.557001321003963</v>
      </c>
      <c r="BQ555" s="75">
        <f>PARAM!$C$26+MAX($G$19-CHOOSE(PARAM!$B$44,MAX(0,BR554*$F$1),0),0)*RATES!$L531/12+$H$19*(PARAM!$D$51/12)*RATES!$N531/100</f>
        <v>174.70833333333331</v>
      </c>
      <c r="BR555" s="16">
        <f t="shared" si="386"/>
        <v>-13994.936326725503</v>
      </c>
      <c r="BS555" s="15">
        <f t="shared" si="361"/>
        <v>22.170849845882874</v>
      </c>
      <c r="BT555" s="75">
        <f>BS555*(1-PARAM!$C$27)*$I$20+(MOD($B555,60)=PARAM!$B$56)*($B555&gt;(60-PARAM!$B$56))*HLOOKUP(($B555+PARAM!$B$56)/12,Loyalty,2)*$F$1*MAX(BV554,0)</f>
        <v>18.557001321003963</v>
      </c>
      <c r="BU555" s="75">
        <f>PARAM!$C$26+MAX($G$20-CHOOSE(PARAM!$B$44,MAX(0,BV554*$F$1),0),0)*RATES!$L531/12+$H$20*(PARAM!$D$51/12)*RATES!$N531/100</f>
        <v>174.70833333333331</v>
      </c>
      <c r="BV555" s="16">
        <f t="shared" si="387"/>
        <v>-13994.936326725503</v>
      </c>
      <c r="BW555" s="15">
        <f t="shared" si="362"/>
        <v>22.170849845882874</v>
      </c>
      <c r="BX555" s="75">
        <f>BW555*(1-PARAM!$C$27)*$I$21+(MOD($B555,60)=PARAM!$B$56)*($B555&gt;(60-PARAM!$B$56))*HLOOKUP(($B555+PARAM!$B$56)/12,Loyalty,2)*$F$1*MAX(BZ554,0)</f>
        <v>18.557001321003963</v>
      </c>
      <c r="BY555" s="75">
        <f>PARAM!$C$26+MAX($G$21-CHOOSE(PARAM!$B$44,MAX(0,BZ554*$F$1),0),0)*RATES!$L531/12+$H$21*(PARAM!$D$51/12)*RATES!$N531/100</f>
        <v>174.70833333333331</v>
      </c>
      <c r="BZ555" s="16">
        <f t="shared" si="388"/>
        <v>-13994.936326725503</v>
      </c>
      <c r="CA555" s="15">
        <f t="shared" si="363"/>
        <v>22.170849845882874</v>
      </c>
      <c r="CB555" s="75">
        <f>CA555*(1-PARAM!$C$27)*$I$22+(MOD($B555,60)=PARAM!$B$56)*($B555&gt;(60-PARAM!$B$56))*HLOOKUP(($B555+PARAM!$B$56)/12,Loyalty,2)*$F$1*MAX(CD554,0)</f>
        <v>18.557001321003963</v>
      </c>
      <c r="CC555" s="75">
        <f>PARAM!$C$26+MAX($G$22-CHOOSE(PARAM!$B$44,MAX(0,CD554*$F$1),0),0)*RATES!$L531/12+$H$22*(PARAM!$D$51/12)*RATES!$N531/100</f>
        <v>174.70833333333331</v>
      </c>
      <c r="CD555" s="16">
        <f t="shared" si="389"/>
        <v>-13994.936326725503</v>
      </c>
      <c r="CE555" s="33">
        <f>IF(0=MOD(B555,12/PARAM!$D$51),1,0)</f>
        <v>1</v>
      </c>
      <c r="CF555" s="15">
        <f t="shared" si="364"/>
        <v>0</v>
      </c>
      <c r="CG555" s="75">
        <f>CF555*(1-PARAM!$C$27)*$R$3+(MOD($B555/12,5)=0)*($B555&gt;60)*HLOOKUP($B555/12,Loyalty,2)*$F$1*MAX(CI554,0)</f>
        <v>0</v>
      </c>
      <c r="CH555" s="75">
        <f>PARAM!$C$26+MAX($P$3-CHOOSE(PARAM!$B$44,MAX(0,CI554*$F$1),0),0)*RATES!$L531/12+$Q$3*(PARAM!$D$51/12)*RATES!$N531/100</f>
        <v>174.70833333333331</v>
      </c>
      <c r="CI555" s="16">
        <f>IF(CI554&gt;0,CI554*PARAM!$C$53,CI554)+CG555-CH555</f>
        <v>-23673.458333333307</v>
      </c>
      <c r="CJ555" s="15">
        <f t="shared" si="390"/>
        <v>0</v>
      </c>
      <c r="CK555" s="75">
        <f>CJ555*(1-PARAM!$C$27)*$R$4+(MOD($B555/12,5)=0)*($B555&gt;60)*HLOOKUP($B555/12,Loyalty,2)*$F$1*MAX(CM554,0)</f>
        <v>0</v>
      </c>
      <c r="CL555" s="75">
        <f>PARAM!$C$26+MAX($P$4-CHOOSE(PARAM!$B$44,MAX(0,CM554*$F$1),0),0)*RATES!$L531/12+$Q$4*(PARAM!$D$51/12)*RATES!$N531/100</f>
        <v>174.70833333333331</v>
      </c>
      <c r="CM555" s="16">
        <f>IF(CM554&gt;0,CM554*PARAM!$C$53,CM554)+CK555-CL555</f>
        <v>-23673.458333333307</v>
      </c>
      <c r="CO555" s="176"/>
    </row>
    <row r="556" spans="1:93" x14ac:dyDescent="0.2">
      <c r="A556" t="b">
        <f t="shared" si="365"/>
        <v>0</v>
      </c>
      <c r="B556" s="33">
        <v>529</v>
      </c>
      <c r="C556" s="15">
        <f t="shared" si="366"/>
        <v>20.081305947392778</v>
      </c>
      <c r="D556" s="75">
        <f>C556*(1-PARAM!$C$27)*$I$3+(MOD($B556,60)=PARAM!$B$56)*($B556&gt;(60-PARAM!$B$56))*HLOOKUP(($B556+PARAM!$B$56)/12,Loyalty,2)*$F$1*MAX(F555,0)</f>
        <v>16.808053077967756</v>
      </c>
      <c r="E556" s="75">
        <f>PARAM!$C$26+MAX($G$3-CHOOSE(PARAM!$B$44,MAX(0,F555*$F$1),0),0)*RATES!$L532/12+$H$3*(PARAM!$D$51/12)*RATES!$N532/100</f>
        <v>174.70833333333331</v>
      </c>
      <c r="F556" s="16">
        <f t="shared" si="367"/>
        <v>-15113.131779825451</v>
      </c>
      <c r="G556" s="15">
        <f t="shared" si="368"/>
        <v>22.035289406060361</v>
      </c>
      <c r="H556" s="75">
        <f>G556*(1-PARAM!$C$27)*$I$4+(MOD($B556,60)=PARAM!$B$56)*($B556&gt;(60-PARAM!$B$56))*HLOOKUP(($B556+PARAM!$B$56)/12,Loyalty,2)*$F$1*MAX(J555,0)</f>
        <v>18.443537232872522</v>
      </c>
      <c r="I556" s="75">
        <f>PARAM!$C$26+MAX($G$4-CHOOSE(PARAM!$B$44,MAX(0,J555*$F$1),0),0)*RATES!$L532/12+$H$4*(PARAM!$D$51/12)*RATES!$N532/100</f>
        <v>174.70833333333331</v>
      </c>
      <c r="J556" s="16">
        <f t="shared" si="369"/>
        <v>-14214.127697759157</v>
      </c>
      <c r="K556" s="15">
        <f t="shared" si="370"/>
        <v>22.170849845882874</v>
      </c>
      <c r="L556" s="75">
        <f>K556*(1-PARAM!$C$27)*$I$5+(MOD($B556,60)=PARAM!$B$56)*($B556&gt;(60-PARAM!$B$56))*HLOOKUP(($B556+PARAM!$B$56)/12,Loyalty,2)*$F$1*MAX(N555,0)</f>
        <v>18.557001321003963</v>
      </c>
      <c r="M556" s="75">
        <f>PARAM!$C$26+MAX($G$5-CHOOSE(PARAM!$B$44,MAX(0,N555*$F$1),0),0)*RATES!$L532/12+$H$5*(PARAM!$D$51/12)*RATES!$N532/100</f>
        <v>174.70833333333331</v>
      </c>
      <c r="N556" s="16">
        <f t="shared" si="371"/>
        <v>-14151.087658737833</v>
      </c>
      <c r="O556" s="15">
        <f t="shared" si="372"/>
        <v>22.170849845882874</v>
      </c>
      <c r="P556" s="75">
        <f>O556*(1-PARAM!$C$27)*$I$6+(MOD($B556,60)=PARAM!$B$56)*($B556&gt;(60-PARAM!$B$56))*HLOOKUP(($B556+PARAM!$B$56)/12,Loyalty,2)*$F$1*MAX(R555,0)</f>
        <v>18.557001321003963</v>
      </c>
      <c r="Q556" s="75">
        <f>PARAM!$C$26+MAX($G$6-CHOOSE(PARAM!$B$44,MAX(0,R555*$F$1),0),0)*RATES!$L532/12+$H$6*(PARAM!$D$51/12)*RATES!$N532/100</f>
        <v>174.70833333333331</v>
      </c>
      <c r="R556" s="16">
        <f t="shared" si="373"/>
        <v>-14151.087658737833</v>
      </c>
      <c r="S556" s="15">
        <f t="shared" si="348"/>
        <v>22.170849845882874</v>
      </c>
      <c r="T556" s="75">
        <f>S556*(1-PARAM!$C$27)*$I$7+(MOD($B556,60)=PARAM!$B$56)*($B556&gt;(60-PARAM!$B$56))*HLOOKUP(($B556+PARAM!$B$56)/12,Loyalty,2)*$F$1*MAX(V555,0)</f>
        <v>18.557001321003963</v>
      </c>
      <c r="U556" s="75">
        <f>PARAM!$C$26+MAX($G$7-CHOOSE(PARAM!$B$44,MAX(0,V555*$F$1),0),0)*RATES!$L532/12+$H$7*(PARAM!$D$51/12)*RATES!$N532/100</f>
        <v>174.70833333333331</v>
      </c>
      <c r="V556" s="16">
        <f t="shared" si="374"/>
        <v>-14151.087658737833</v>
      </c>
      <c r="W556" s="15">
        <f t="shared" si="349"/>
        <v>22.170849845882874</v>
      </c>
      <c r="X556" s="75">
        <f>W556*(1-PARAM!$C$27)*$I$8+(MOD($B556,60)=PARAM!$B$56)*($B556&gt;(60-PARAM!$B$56))*HLOOKUP(($B556+PARAM!$B$56)/12,Loyalty,2)*$F$1*MAX(Z555,0)</f>
        <v>18.557001321003963</v>
      </c>
      <c r="Y556" s="75">
        <f>PARAM!$C$26+MAX($G$8-CHOOSE(PARAM!$B$44,MAX(0,Z555*$F$1),0),0)*RATES!$L532/12+$H$8*(PARAM!$D$51/12)*RATES!$N532/100</f>
        <v>174.70833333333331</v>
      </c>
      <c r="Z556" s="16">
        <f t="shared" si="375"/>
        <v>-14151.087658737833</v>
      </c>
      <c r="AA556" s="15">
        <f t="shared" si="350"/>
        <v>22.170849845882874</v>
      </c>
      <c r="AB556" s="75">
        <f>AA556*(1-PARAM!$C$27)*$I$9+(MOD($B556,60)=PARAM!$B$56)*($B556&gt;(60-PARAM!$B$56))*HLOOKUP(($B556+PARAM!$B$56)/12,Loyalty,2)*$F$1*MAX(AD555,0)</f>
        <v>18.557001321003963</v>
      </c>
      <c r="AC556" s="75">
        <f>PARAM!$C$26+MAX($G$9-CHOOSE(PARAM!$B$44,MAX(0,AD555*$F$1),0),0)*RATES!$L532/12+$H$9*(PARAM!$D$51/12)*RATES!$N532/100</f>
        <v>174.70833333333331</v>
      </c>
      <c r="AD556" s="16">
        <f t="shared" si="376"/>
        <v>-14151.087658737833</v>
      </c>
      <c r="AE556" s="15">
        <f t="shared" si="351"/>
        <v>22.170849845882874</v>
      </c>
      <c r="AF556" s="75">
        <f>AE556*(1-PARAM!$C$27)*$I$10+(MOD($B556,60)=PARAM!$B$56)*($B556&gt;(60-PARAM!$B$56))*HLOOKUP(($B556+PARAM!$B$56)/12,Loyalty,2)*$F$1*MAX(AH555,0)</f>
        <v>18.557001321003963</v>
      </c>
      <c r="AG556" s="75">
        <f>PARAM!$C$26+MAX($G$10-CHOOSE(PARAM!$B$44,MAX(0,AH555*$F$1),0),0)*RATES!$L532/12+$H$10*(PARAM!$D$51/12)*RATES!$N532/100</f>
        <v>174.70833333333331</v>
      </c>
      <c r="AH556" s="16">
        <f t="shared" si="377"/>
        <v>-14151.087658737833</v>
      </c>
      <c r="AI556" s="15">
        <f t="shared" si="352"/>
        <v>22.170849845882874</v>
      </c>
      <c r="AJ556" s="75">
        <f>AI556*(1-PARAM!$C$27)*$I$11+(MOD($B556,60)=PARAM!$B$56)*($B556&gt;(60-PARAM!$B$56))*HLOOKUP(($B556+PARAM!$B$56)/12,Loyalty,2)*$F$1*MAX(AL555,0)</f>
        <v>18.557001321003963</v>
      </c>
      <c r="AK556" s="75">
        <f>PARAM!$C$26+MAX($G$11-CHOOSE(PARAM!$B$44,MAX(0,AL555*$F$1),0),0)*RATES!$L532/12+$H$11*(PARAM!$D$51/12)*RATES!$N532/100</f>
        <v>174.70833333333331</v>
      </c>
      <c r="AL556" s="16">
        <f t="shared" si="378"/>
        <v>-14151.087658737833</v>
      </c>
      <c r="AM556" s="15">
        <f t="shared" si="353"/>
        <v>22.170849845882874</v>
      </c>
      <c r="AN556" s="75">
        <f>AM556*(1-PARAM!$C$27)*$I$12+(MOD($B556,60)=PARAM!$B$56)*($B556&gt;(60-PARAM!$B$56))*HLOOKUP(($B556+PARAM!$B$56)/12,Loyalty,2)*$F$1*MAX(AP555,0)</f>
        <v>18.557001321003963</v>
      </c>
      <c r="AO556" s="75">
        <f>PARAM!$C$26+MAX($G$12-CHOOSE(PARAM!$B$44,MAX(0,AP555*$F$1),0),0)*RATES!$L532/12+$H$12*(PARAM!$D$51/12)*RATES!$N532/100</f>
        <v>174.70833333333331</v>
      </c>
      <c r="AP556" s="16">
        <f t="shared" si="379"/>
        <v>-14151.087658737833</v>
      </c>
      <c r="AQ556" s="15">
        <f t="shared" si="354"/>
        <v>22.170849845882874</v>
      </c>
      <c r="AR556" s="75">
        <f>AQ556*(1-PARAM!$C$27)*$I$13+(MOD($B556,60)=PARAM!$B$56)*($B556&gt;(60-PARAM!$B$56))*HLOOKUP(($B556+PARAM!$B$56)/12,Loyalty,2)*$F$1*MAX(AT555,0)</f>
        <v>18.557001321003963</v>
      </c>
      <c r="AS556" s="75">
        <f>PARAM!$C$26+MAX($G$13-CHOOSE(PARAM!$B$44,MAX(0,AT555*$F$1),0),0)*RATES!$L532/12+$H$13*(PARAM!$D$51/12)*RATES!$N532/100</f>
        <v>174.70833333333331</v>
      </c>
      <c r="AT556" s="16">
        <f t="shared" si="380"/>
        <v>-14151.087658737833</v>
      </c>
      <c r="AU556" s="15">
        <f t="shared" si="355"/>
        <v>22.170849845882874</v>
      </c>
      <c r="AV556" s="75">
        <f>AU556*(1-PARAM!$C$27)*$I$14+(MOD($B556,60)=PARAM!$B$56)*($B556&gt;(60-PARAM!$B$56))*HLOOKUP(($B556+PARAM!$B$56)/12,Loyalty,2)*$F$1*MAX(AX555,0)</f>
        <v>18.557001321003963</v>
      </c>
      <c r="AW556" s="75">
        <f>PARAM!$C$26+MAX($G$14-CHOOSE(PARAM!$B$44,MAX(0,AX555*$F$1),0),0)*RATES!$L532/12+$H$14*(PARAM!$D$51/12)*RATES!$N532/100</f>
        <v>174.70833333333331</v>
      </c>
      <c r="AX556" s="16">
        <f t="shared" si="381"/>
        <v>-14151.087658737833</v>
      </c>
      <c r="AY556" s="15">
        <f t="shared" si="356"/>
        <v>22.170849845882874</v>
      </c>
      <c r="AZ556" s="75">
        <f>AY556*(1-PARAM!$C$27)*$I$15+(MOD($B556,60)=PARAM!$B$56)*($B556&gt;(60-PARAM!$B$56))*HLOOKUP(($B556+PARAM!$B$56)/12,Loyalty,2)*$F$1*MAX(BB555,0)</f>
        <v>18.557001321003963</v>
      </c>
      <c r="BA556" s="75">
        <f>PARAM!$C$26+MAX($G$15-CHOOSE(PARAM!$B$44,MAX(0,BB555*$F$1),0),0)*RATES!$L532/12+$H$15*(PARAM!$D$51/12)*RATES!$N532/100</f>
        <v>174.70833333333331</v>
      </c>
      <c r="BB556" s="16">
        <f t="shared" si="382"/>
        <v>-14151.087658737833</v>
      </c>
      <c r="BC556" s="15">
        <f t="shared" si="357"/>
        <v>22.170849845882874</v>
      </c>
      <c r="BD556" s="75">
        <f>BC556*(1-PARAM!$C$27)*$I$16+(MOD($B556,60)=PARAM!$B$56)*($B556&gt;(60-PARAM!$B$56))*HLOOKUP(($B556+PARAM!$B$56)/12,Loyalty,2)*$F$1*MAX(BF555,0)</f>
        <v>18.557001321003963</v>
      </c>
      <c r="BE556" s="75">
        <f>PARAM!$C$26+MAX($G$16-CHOOSE(PARAM!$B$44,MAX(0,BF555*$F$1),0),0)*RATES!$L532/12+$H$16*(PARAM!$D$51/12)*RATES!$N532/100</f>
        <v>174.70833333333331</v>
      </c>
      <c r="BF556" s="16">
        <f t="shared" si="383"/>
        <v>-14151.087658737833</v>
      </c>
      <c r="BG556" s="15">
        <f t="shared" si="358"/>
        <v>22.170849845882874</v>
      </c>
      <c r="BH556" s="75">
        <f>BG556*(1-PARAM!$C$27)*$I$17+(MOD($B556,60)=PARAM!$B$56)*($B556&gt;(60-PARAM!$B$56))*HLOOKUP(($B556+PARAM!$B$56)/12,Loyalty,2)*$F$1*MAX(BJ555,0)</f>
        <v>18.557001321003963</v>
      </c>
      <c r="BI556" s="75">
        <f>PARAM!$C$26+MAX($G$17-CHOOSE(PARAM!$B$44,MAX(0,BJ555*$F$1),0),0)*RATES!$L532/12+$H$17*(PARAM!$D$51/12)*RATES!$N532/100</f>
        <v>174.70833333333331</v>
      </c>
      <c r="BJ556" s="16">
        <f t="shared" si="384"/>
        <v>-14151.087658737833</v>
      </c>
      <c r="BK556" s="15">
        <f t="shared" si="359"/>
        <v>22.170849845882874</v>
      </c>
      <c r="BL556" s="75">
        <f>BK556*(1-PARAM!$C$27)*$I$18+(MOD($B556,60)=PARAM!$B$56)*($B556&gt;(60-PARAM!$B$56))*HLOOKUP(($B556+PARAM!$B$56)/12,Loyalty,2)*$F$1*MAX(BN555,0)</f>
        <v>18.557001321003963</v>
      </c>
      <c r="BM556" s="75">
        <f>PARAM!$C$26+MAX($G$18-CHOOSE(PARAM!$B$44,MAX(0,BN555*$F$1),0),0)*RATES!$L532/12+$H$18*(PARAM!$D$51/12)*RATES!$N532/100</f>
        <v>174.70833333333331</v>
      </c>
      <c r="BN556" s="16">
        <f t="shared" si="385"/>
        <v>-14151.087658737833</v>
      </c>
      <c r="BO556" s="15">
        <f t="shared" si="360"/>
        <v>22.170849845882874</v>
      </c>
      <c r="BP556" s="75">
        <f>BO556*(1-PARAM!$C$27)*$I$19+(MOD($B556,60)=PARAM!$B$56)*($B556&gt;(60-PARAM!$B$56))*HLOOKUP(($B556+PARAM!$B$56)/12,Loyalty,2)*$F$1*MAX(BR555,0)</f>
        <v>18.557001321003963</v>
      </c>
      <c r="BQ556" s="75">
        <f>PARAM!$C$26+MAX($G$19-CHOOSE(PARAM!$B$44,MAX(0,BR555*$F$1),0),0)*RATES!$L532/12+$H$19*(PARAM!$D$51/12)*RATES!$N532/100</f>
        <v>174.70833333333331</v>
      </c>
      <c r="BR556" s="16">
        <f t="shared" si="386"/>
        <v>-14151.087658737833</v>
      </c>
      <c r="BS556" s="15">
        <f t="shared" si="361"/>
        <v>22.170849845882874</v>
      </c>
      <c r="BT556" s="75">
        <f>BS556*(1-PARAM!$C$27)*$I$20+(MOD($B556,60)=PARAM!$B$56)*($B556&gt;(60-PARAM!$B$56))*HLOOKUP(($B556+PARAM!$B$56)/12,Loyalty,2)*$F$1*MAX(BV555,0)</f>
        <v>18.557001321003963</v>
      </c>
      <c r="BU556" s="75">
        <f>PARAM!$C$26+MAX($G$20-CHOOSE(PARAM!$B$44,MAX(0,BV555*$F$1),0),0)*RATES!$L532/12+$H$20*(PARAM!$D$51/12)*RATES!$N532/100</f>
        <v>174.70833333333331</v>
      </c>
      <c r="BV556" s="16">
        <f t="shared" si="387"/>
        <v>-14151.087658737833</v>
      </c>
      <c r="BW556" s="15">
        <f t="shared" si="362"/>
        <v>22.170849845882874</v>
      </c>
      <c r="BX556" s="75">
        <f>BW556*(1-PARAM!$C$27)*$I$21+(MOD($B556,60)=PARAM!$B$56)*($B556&gt;(60-PARAM!$B$56))*HLOOKUP(($B556+PARAM!$B$56)/12,Loyalty,2)*$F$1*MAX(BZ555,0)</f>
        <v>18.557001321003963</v>
      </c>
      <c r="BY556" s="75">
        <f>PARAM!$C$26+MAX($G$21-CHOOSE(PARAM!$B$44,MAX(0,BZ555*$F$1),0),0)*RATES!$L532/12+$H$21*(PARAM!$D$51/12)*RATES!$N532/100</f>
        <v>174.70833333333331</v>
      </c>
      <c r="BZ556" s="16">
        <f t="shared" si="388"/>
        <v>-14151.087658737833</v>
      </c>
      <c r="CA556" s="15">
        <f t="shared" si="363"/>
        <v>22.170849845882874</v>
      </c>
      <c r="CB556" s="75">
        <f>CA556*(1-PARAM!$C$27)*$I$22+(MOD($B556,60)=PARAM!$B$56)*($B556&gt;(60-PARAM!$B$56))*HLOOKUP(($B556+PARAM!$B$56)/12,Loyalty,2)*$F$1*MAX(CD555,0)</f>
        <v>18.557001321003963</v>
      </c>
      <c r="CC556" s="75">
        <f>PARAM!$C$26+MAX($G$22-CHOOSE(PARAM!$B$44,MAX(0,CD555*$F$1),0),0)*RATES!$L532/12+$H$22*(PARAM!$D$51/12)*RATES!$N532/100</f>
        <v>174.70833333333331</v>
      </c>
      <c r="CD556" s="16">
        <f t="shared" si="389"/>
        <v>-14151.087658737833</v>
      </c>
      <c r="CE556" s="33">
        <f>IF(0=MOD(B556,12/PARAM!$D$51),1,0)</f>
        <v>1</v>
      </c>
      <c r="CF556" s="15">
        <f t="shared" si="364"/>
        <v>0</v>
      </c>
      <c r="CG556" s="75">
        <f>CF556*(1-PARAM!$C$27)*$R$3+(MOD($B556/12,5)=0)*($B556&gt;60)*HLOOKUP($B556/12,Loyalty,2)*$F$1*MAX(CI555,0)</f>
        <v>0</v>
      </c>
      <c r="CH556" s="75">
        <f>PARAM!$C$26+MAX($P$3-CHOOSE(PARAM!$B$44,MAX(0,CI555*$F$1),0),0)*RATES!$L532/12+$Q$3*(PARAM!$D$51/12)*RATES!$N532/100</f>
        <v>174.70833333333331</v>
      </c>
      <c r="CI556" s="16">
        <f>IF(CI555&gt;0,CI555*PARAM!$C$53,CI555)+CG556-CH556</f>
        <v>-23848.166666666639</v>
      </c>
      <c r="CJ556" s="15">
        <f t="shared" si="390"/>
        <v>0</v>
      </c>
      <c r="CK556" s="75">
        <f>CJ556*(1-PARAM!$C$27)*$R$4+(MOD($B556/12,5)=0)*($B556&gt;60)*HLOOKUP($B556/12,Loyalty,2)*$F$1*MAX(CM555,0)</f>
        <v>0</v>
      </c>
      <c r="CL556" s="75">
        <f>PARAM!$C$26+MAX($P$4-CHOOSE(PARAM!$B$44,MAX(0,CM555*$F$1),0),0)*RATES!$L532/12+$Q$4*(PARAM!$D$51/12)*RATES!$N532/100</f>
        <v>174.70833333333331</v>
      </c>
      <c r="CM556" s="16">
        <f>IF(CM555&gt;0,CM555*PARAM!$C$53,CM555)+CK556-CL556</f>
        <v>-23848.166666666639</v>
      </c>
      <c r="CO556" s="176"/>
    </row>
    <row r="557" spans="1:93" x14ac:dyDescent="0.2">
      <c r="A557" t="b">
        <f t="shared" si="365"/>
        <v>0</v>
      </c>
      <c r="B557" s="33">
        <v>530</v>
      </c>
      <c r="C557" s="15">
        <f t="shared" si="366"/>
        <v>20.081305947392778</v>
      </c>
      <c r="D557" s="75">
        <f>C557*(1-PARAM!$C$27)*$I$3+(MOD($B557,60)=PARAM!$B$56)*($B557&gt;(60-PARAM!$B$56))*HLOOKUP(($B557+PARAM!$B$56)/12,Loyalty,2)*$F$1*MAX(F556,0)</f>
        <v>16.808053077967756</v>
      </c>
      <c r="E557" s="75">
        <f>PARAM!$C$26+MAX($G$3-CHOOSE(PARAM!$B$44,MAX(0,F556*$F$1),0),0)*RATES!$L533/12+$H$3*(PARAM!$D$51/12)*RATES!$N533/100</f>
        <v>174.70833333333331</v>
      </c>
      <c r="F557" s="16">
        <f t="shared" si="367"/>
        <v>-15271.032060080817</v>
      </c>
      <c r="G557" s="15">
        <f t="shared" si="368"/>
        <v>22.035289406060361</v>
      </c>
      <c r="H557" s="75">
        <f>G557*(1-PARAM!$C$27)*$I$4+(MOD($B557,60)=PARAM!$B$56)*($B557&gt;(60-PARAM!$B$56))*HLOOKUP(($B557+PARAM!$B$56)/12,Loyalty,2)*$F$1*MAX(J556,0)</f>
        <v>18.443537232872522</v>
      </c>
      <c r="I557" s="75">
        <f>PARAM!$C$26+MAX($G$4-CHOOSE(PARAM!$B$44,MAX(0,J556*$F$1),0),0)*RATES!$L533/12+$H$4*(PARAM!$D$51/12)*RATES!$N533/100</f>
        <v>174.70833333333331</v>
      </c>
      <c r="J557" s="16">
        <f t="shared" si="369"/>
        <v>-14370.392493859619</v>
      </c>
      <c r="K557" s="15">
        <f t="shared" si="370"/>
        <v>22.170849845882874</v>
      </c>
      <c r="L557" s="75">
        <f>K557*(1-PARAM!$C$27)*$I$5+(MOD($B557,60)=PARAM!$B$56)*($B557&gt;(60-PARAM!$B$56))*HLOOKUP(($B557+PARAM!$B$56)/12,Loyalty,2)*$F$1*MAX(N556,0)</f>
        <v>18.557001321003963</v>
      </c>
      <c r="M557" s="75">
        <f>PARAM!$C$26+MAX($G$5-CHOOSE(PARAM!$B$44,MAX(0,N556*$F$1),0),0)*RATES!$L533/12+$H$5*(PARAM!$D$51/12)*RATES!$N533/100</f>
        <v>174.70833333333331</v>
      </c>
      <c r="N557" s="16">
        <f t="shared" si="371"/>
        <v>-14307.238990750164</v>
      </c>
      <c r="O557" s="15">
        <f t="shared" si="372"/>
        <v>22.170849845882874</v>
      </c>
      <c r="P557" s="75">
        <f>O557*(1-PARAM!$C$27)*$I$6+(MOD($B557,60)=PARAM!$B$56)*($B557&gt;(60-PARAM!$B$56))*HLOOKUP(($B557+PARAM!$B$56)/12,Loyalty,2)*$F$1*MAX(R556,0)</f>
        <v>18.557001321003963</v>
      </c>
      <c r="Q557" s="75">
        <f>PARAM!$C$26+MAX($G$6-CHOOSE(PARAM!$B$44,MAX(0,R556*$F$1),0),0)*RATES!$L533/12+$H$6*(PARAM!$D$51/12)*RATES!$N533/100</f>
        <v>174.70833333333331</v>
      </c>
      <c r="R557" s="16">
        <f t="shared" si="373"/>
        <v>-14307.238990750164</v>
      </c>
      <c r="S557" s="15">
        <f t="shared" si="348"/>
        <v>22.170849845882874</v>
      </c>
      <c r="T557" s="75">
        <f>S557*(1-PARAM!$C$27)*$I$7+(MOD($B557,60)=PARAM!$B$56)*($B557&gt;(60-PARAM!$B$56))*HLOOKUP(($B557+PARAM!$B$56)/12,Loyalty,2)*$F$1*MAX(V556,0)</f>
        <v>18.557001321003963</v>
      </c>
      <c r="U557" s="75">
        <f>PARAM!$C$26+MAX($G$7-CHOOSE(PARAM!$B$44,MAX(0,V556*$F$1),0),0)*RATES!$L533/12+$H$7*(PARAM!$D$51/12)*RATES!$N533/100</f>
        <v>174.70833333333331</v>
      </c>
      <c r="V557" s="16">
        <f t="shared" si="374"/>
        <v>-14307.238990750164</v>
      </c>
      <c r="W557" s="15">
        <f t="shared" si="349"/>
        <v>22.170849845882874</v>
      </c>
      <c r="X557" s="75">
        <f>W557*(1-PARAM!$C$27)*$I$8+(MOD($B557,60)=PARAM!$B$56)*($B557&gt;(60-PARAM!$B$56))*HLOOKUP(($B557+PARAM!$B$56)/12,Loyalty,2)*$F$1*MAX(Z556,0)</f>
        <v>18.557001321003963</v>
      </c>
      <c r="Y557" s="75">
        <f>PARAM!$C$26+MAX($G$8-CHOOSE(PARAM!$B$44,MAX(0,Z556*$F$1),0),0)*RATES!$L533/12+$H$8*(PARAM!$D$51/12)*RATES!$N533/100</f>
        <v>174.70833333333331</v>
      </c>
      <c r="Z557" s="16">
        <f t="shared" si="375"/>
        <v>-14307.238990750164</v>
      </c>
      <c r="AA557" s="15">
        <f t="shared" si="350"/>
        <v>22.170849845882874</v>
      </c>
      <c r="AB557" s="75">
        <f>AA557*(1-PARAM!$C$27)*$I$9+(MOD($B557,60)=PARAM!$B$56)*($B557&gt;(60-PARAM!$B$56))*HLOOKUP(($B557+PARAM!$B$56)/12,Loyalty,2)*$F$1*MAX(AD556,0)</f>
        <v>18.557001321003963</v>
      </c>
      <c r="AC557" s="75">
        <f>PARAM!$C$26+MAX($G$9-CHOOSE(PARAM!$B$44,MAX(0,AD556*$F$1),0),0)*RATES!$L533/12+$H$9*(PARAM!$D$51/12)*RATES!$N533/100</f>
        <v>174.70833333333331</v>
      </c>
      <c r="AD557" s="16">
        <f t="shared" si="376"/>
        <v>-14307.238990750164</v>
      </c>
      <c r="AE557" s="15">
        <f t="shared" si="351"/>
        <v>22.170849845882874</v>
      </c>
      <c r="AF557" s="75">
        <f>AE557*(1-PARAM!$C$27)*$I$10+(MOD($B557,60)=PARAM!$B$56)*($B557&gt;(60-PARAM!$B$56))*HLOOKUP(($B557+PARAM!$B$56)/12,Loyalty,2)*$F$1*MAX(AH556,0)</f>
        <v>18.557001321003963</v>
      </c>
      <c r="AG557" s="75">
        <f>PARAM!$C$26+MAX($G$10-CHOOSE(PARAM!$B$44,MAX(0,AH556*$F$1),0),0)*RATES!$L533/12+$H$10*(PARAM!$D$51/12)*RATES!$N533/100</f>
        <v>174.70833333333331</v>
      </c>
      <c r="AH557" s="16">
        <f t="shared" si="377"/>
        <v>-14307.238990750164</v>
      </c>
      <c r="AI557" s="15">
        <f t="shared" si="352"/>
        <v>22.170849845882874</v>
      </c>
      <c r="AJ557" s="75">
        <f>AI557*(1-PARAM!$C$27)*$I$11+(MOD($B557,60)=PARAM!$B$56)*($B557&gt;(60-PARAM!$B$56))*HLOOKUP(($B557+PARAM!$B$56)/12,Loyalty,2)*$F$1*MAX(AL556,0)</f>
        <v>18.557001321003963</v>
      </c>
      <c r="AK557" s="75">
        <f>PARAM!$C$26+MAX($G$11-CHOOSE(PARAM!$B$44,MAX(0,AL556*$F$1),0),0)*RATES!$L533/12+$H$11*(PARAM!$D$51/12)*RATES!$N533/100</f>
        <v>174.70833333333331</v>
      </c>
      <c r="AL557" s="16">
        <f t="shared" si="378"/>
        <v>-14307.238990750164</v>
      </c>
      <c r="AM557" s="15">
        <f t="shared" si="353"/>
        <v>22.170849845882874</v>
      </c>
      <c r="AN557" s="75">
        <f>AM557*(1-PARAM!$C$27)*$I$12+(MOD($B557,60)=PARAM!$B$56)*($B557&gt;(60-PARAM!$B$56))*HLOOKUP(($B557+PARAM!$B$56)/12,Loyalty,2)*$F$1*MAX(AP556,0)</f>
        <v>18.557001321003963</v>
      </c>
      <c r="AO557" s="75">
        <f>PARAM!$C$26+MAX($G$12-CHOOSE(PARAM!$B$44,MAX(0,AP556*$F$1),0),0)*RATES!$L533/12+$H$12*(PARAM!$D$51/12)*RATES!$N533/100</f>
        <v>174.70833333333331</v>
      </c>
      <c r="AP557" s="16">
        <f t="shared" si="379"/>
        <v>-14307.238990750164</v>
      </c>
      <c r="AQ557" s="15">
        <f t="shared" si="354"/>
        <v>22.170849845882874</v>
      </c>
      <c r="AR557" s="75">
        <f>AQ557*(1-PARAM!$C$27)*$I$13+(MOD($B557,60)=PARAM!$B$56)*($B557&gt;(60-PARAM!$B$56))*HLOOKUP(($B557+PARAM!$B$56)/12,Loyalty,2)*$F$1*MAX(AT556,0)</f>
        <v>18.557001321003963</v>
      </c>
      <c r="AS557" s="75">
        <f>PARAM!$C$26+MAX($G$13-CHOOSE(PARAM!$B$44,MAX(0,AT556*$F$1),0),0)*RATES!$L533/12+$H$13*(PARAM!$D$51/12)*RATES!$N533/100</f>
        <v>174.70833333333331</v>
      </c>
      <c r="AT557" s="16">
        <f t="shared" si="380"/>
        <v>-14307.238990750164</v>
      </c>
      <c r="AU557" s="15">
        <f t="shared" si="355"/>
        <v>22.170849845882874</v>
      </c>
      <c r="AV557" s="75">
        <f>AU557*(1-PARAM!$C$27)*$I$14+(MOD($B557,60)=PARAM!$B$56)*($B557&gt;(60-PARAM!$B$56))*HLOOKUP(($B557+PARAM!$B$56)/12,Loyalty,2)*$F$1*MAX(AX556,0)</f>
        <v>18.557001321003963</v>
      </c>
      <c r="AW557" s="75">
        <f>PARAM!$C$26+MAX($G$14-CHOOSE(PARAM!$B$44,MAX(0,AX556*$F$1),0),0)*RATES!$L533/12+$H$14*(PARAM!$D$51/12)*RATES!$N533/100</f>
        <v>174.70833333333331</v>
      </c>
      <c r="AX557" s="16">
        <f t="shared" si="381"/>
        <v>-14307.238990750164</v>
      </c>
      <c r="AY557" s="15">
        <f t="shared" si="356"/>
        <v>22.170849845882874</v>
      </c>
      <c r="AZ557" s="75">
        <f>AY557*(1-PARAM!$C$27)*$I$15+(MOD($B557,60)=PARAM!$B$56)*($B557&gt;(60-PARAM!$B$56))*HLOOKUP(($B557+PARAM!$B$56)/12,Loyalty,2)*$F$1*MAX(BB556,0)</f>
        <v>18.557001321003963</v>
      </c>
      <c r="BA557" s="75">
        <f>PARAM!$C$26+MAX($G$15-CHOOSE(PARAM!$B$44,MAX(0,BB556*$F$1),0),0)*RATES!$L533/12+$H$15*(PARAM!$D$51/12)*RATES!$N533/100</f>
        <v>174.70833333333331</v>
      </c>
      <c r="BB557" s="16">
        <f t="shared" si="382"/>
        <v>-14307.238990750164</v>
      </c>
      <c r="BC557" s="15">
        <f t="shared" si="357"/>
        <v>22.170849845882874</v>
      </c>
      <c r="BD557" s="75">
        <f>BC557*(1-PARAM!$C$27)*$I$16+(MOD($B557,60)=PARAM!$B$56)*($B557&gt;(60-PARAM!$B$56))*HLOOKUP(($B557+PARAM!$B$56)/12,Loyalty,2)*$F$1*MAX(BF556,0)</f>
        <v>18.557001321003963</v>
      </c>
      <c r="BE557" s="75">
        <f>PARAM!$C$26+MAX($G$16-CHOOSE(PARAM!$B$44,MAX(0,BF556*$F$1),0),0)*RATES!$L533/12+$H$16*(PARAM!$D$51/12)*RATES!$N533/100</f>
        <v>174.70833333333331</v>
      </c>
      <c r="BF557" s="16">
        <f t="shared" si="383"/>
        <v>-14307.238990750164</v>
      </c>
      <c r="BG557" s="15">
        <f t="shared" si="358"/>
        <v>22.170849845882874</v>
      </c>
      <c r="BH557" s="75">
        <f>BG557*(1-PARAM!$C$27)*$I$17+(MOD($B557,60)=PARAM!$B$56)*($B557&gt;(60-PARAM!$B$56))*HLOOKUP(($B557+PARAM!$B$56)/12,Loyalty,2)*$F$1*MAX(BJ556,0)</f>
        <v>18.557001321003963</v>
      </c>
      <c r="BI557" s="75">
        <f>PARAM!$C$26+MAX($G$17-CHOOSE(PARAM!$B$44,MAX(0,BJ556*$F$1),0),0)*RATES!$L533/12+$H$17*(PARAM!$D$51/12)*RATES!$N533/100</f>
        <v>174.70833333333331</v>
      </c>
      <c r="BJ557" s="16">
        <f t="shared" si="384"/>
        <v>-14307.238990750164</v>
      </c>
      <c r="BK557" s="15">
        <f t="shared" si="359"/>
        <v>22.170849845882874</v>
      </c>
      <c r="BL557" s="75">
        <f>BK557*(1-PARAM!$C$27)*$I$18+(MOD($B557,60)=PARAM!$B$56)*($B557&gt;(60-PARAM!$B$56))*HLOOKUP(($B557+PARAM!$B$56)/12,Loyalty,2)*$F$1*MAX(BN556,0)</f>
        <v>18.557001321003963</v>
      </c>
      <c r="BM557" s="75">
        <f>PARAM!$C$26+MAX($G$18-CHOOSE(PARAM!$B$44,MAX(0,BN556*$F$1),0),0)*RATES!$L533/12+$H$18*(PARAM!$D$51/12)*RATES!$N533/100</f>
        <v>174.70833333333331</v>
      </c>
      <c r="BN557" s="16">
        <f t="shared" si="385"/>
        <v>-14307.238990750164</v>
      </c>
      <c r="BO557" s="15">
        <f t="shared" si="360"/>
        <v>22.170849845882874</v>
      </c>
      <c r="BP557" s="75">
        <f>BO557*(1-PARAM!$C$27)*$I$19+(MOD($B557,60)=PARAM!$B$56)*($B557&gt;(60-PARAM!$B$56))*HLOOKUP(($B557+PARAM!$B$56)/12,Loyalty,2)*$F$1*MAX(BR556,0)</f>
        <v>18.557001321003963</v>
      </c>
      <c r="BQ557" s="75">
        <f>PARAM!$C$26+MAX($G$19-CHOOSE(PARAM!$B$44,MAX(0,BR556*$F$1),0),0)*RATES!$L533/12+$H$19*(PARAM!$D$51/12)*RATES!$N533/100</f>
        <v>174.70833333333331</v>
      </c>
      <c r="BR557" s="16">
        <f t="shared" si="386"/>
        <v>-14307.238990750164</v>
      </c>
      <c r="BS557" s="15">
        <f t="shared" si="361"/>
        <v>22.170849845882874</v>
      </c>
      <c r="BT557" s="75">
        <f>BS557*(1-PARAM!$C$27)*$I$20+(MOD($B557,60)=PARAM!$B$56)*($B557&gt;(60-PARAM!$B$56))*HLOOKUP(($B557+PARAM!$B$56)/12,Loyalty,2)*$F$1*MAX(BV556,0)</f>
        <v>18.557001321003963</v>
      </c>
      <c r="BU557" s="75">
        <f>PARAM!$C$26+MAX($G$20-CHOOSE(PARAM!$B$44,MAX(0,BV556*$F$1),0),0)*RATES!$L533/12+$H$20*(PARAM!$D$51/12)*RATES!$N533/100</f>
        <v>174.70833333333331</v>
      </c>
      <c r="BV557" s="16">
        <f t="shared" si="387"/>
        <v>-14307.238990750164</v>
      </c>
      <c r="BW557" s="15">
        <f t="shared" si="362"/>
        <v>22.170849845882874</v>
      </c>
      <c r="BX557" s="75">
        <f>BW557*(1-PARAM!$C$27)*$I$21+(MOD($B557,60)=PARAM!$B$56)*($B557&gt;(60-PARAM!$B$56))*HLOOKUP(($B557+PARAM!$B$56)/12,Loyalty,2)*$F$1*MAX(BZ556,0)</f>
        <v>18.557001321003963</v>
      </c>
      <c r="BY557" s="75">
        <f>PARAM!$C$26+MAX($G$21-CHOOSE(PARAM!$B$44,MAX(0,BZ556*$F$1),0),0)*RATES!$L533/12+$H$21*(PARAM!$D$51/12)*RATES!$N533/100</f>
        <v>174.70833333333331</v>
      </c>
      <c r="BZ557" s="16">
        <f t="shared" si="388"/>
        <v>-14307.238990750164</v>
      </c>
      <c r="CA557" s="15">
        <f t="shared" si="363"/>
        <v>22.170849845882874</v>
      </c>
      <c r="CB557" s="75">
        <f>CA557*(1-PARAM!$C$27)*$I$22+(MOD($B557,60)=PARAM!$B$56)*($B557&gt;(60-PARAM!$B$56))*HLOOKUP(($B557+PARAM!$B$56)/12,Loyalty,2)*$F$1*MAX(CD556,0)</f>
        <v>18.557001321003963</v>
      </c>
      <c r="CC557" s="75">
        <f>PARAM!$C$26+MAX($G$22-CHOOSE(PARAM!$B$44,MAX(0,CD556*$F$1),0),0)*RATES!$L533/12+$H$22*(PARAM!$D$51/12)*RATES!$N533/100</f>
        <v>174.70833333333331</v>
      </c>
      <c r="CD557" s="16">
        <f t="shared" si="389"/>
        <v>-14307.238990750164</v>
      </c>
      <c r="CE557" s="33">
        <f>IF(0=MOD(B557,12/PARAM!$D$51),1,0)</f>
        <v>1</v>
      </c>
      <c r="CF557" s="15">
        <f t="shared" si="364"/>
        <v>0</v>
      </c>
      <c r="CG557" s="75">
        <f>CF557*(1-PARAM!$C$27)*$R$3+(MOD($B557/12,5)=0)*($B557&gt;60)*HLOOKUP($B557/12,Loyalty,2)*$F$1*MAX(CI556,0)</f>
        <v>0</v>
      </c>
      <c r="CH557" s="75">
        <f>PARAM!$C$26+MAX($P$3-CHOOSE(PARAM!$B$44,MAX(0,CI556*$F$1),0),0)*RATES!$L533/12+$Q$3*(PARAM!$D$51/12)*RATES!$N533/100</f>
        <v>174.70833333333331</v>
      </c>
      <c r="CI557" s="16">
        <f>IF(CI556&gt;0,CI556*PARAM!$C$53,CI556)+CG557-CH557</f>
        <v>-24022.874999999971</v>
      </c>
      <c r="CJ557" s="15">
        <f t="shared" si="390"/>
        <v>0</v>
      </c>
      <c r="CK557" s="75">
        <f>CJ557*(1-PARAM!$C$27)*$R$4+(MOD($B557/12,5)=0)*($B557&gt;60)*HLOOKUP($B557/12,Loyalty,2)*$F$1*MAX(CM556,0)</f>
        <v>0</v>
      </c>
      <c r="CL557" s="75">
        <f>PARAM!$C$26+MAX($P$4-CHOOSE(PARAM!$B$44,MAX(0,CM556*$F$1),0),0)*RATES!$L533/12+$Q$4*(PARAM!$D$51/12)*RATES!$N533/100</f>
        <v>174.70833333333331</v>
      </c>
      <c r="CM557" s="16">
        <f>IF(CM556&gt;0,CM556*PARAM!$C$53,CM556)+CK557-CL557</f>
        <v>-24022.874999999971</v>
      </c>
      <c r="CO557" s="176"/>
    </row>
    <row r="558" spans="1:93" x14ac:dyDescent="0.2">
      <c r="A558" t="b">
        <f t="shared" si="365"/>
        <v>0</v>
      </c>
      <c r="B558" s="33">
        <v>531</v>
      </c>
      <c r="C558" s="15">
        <f t="shared" si="366"/>
        <v>20.081305947392778</v>
      </c>
      <c r="D558" s="75">
        <f>C558*(1-PARAM!$C$27)*$I$3+(MOD($B558,60)=PARAM!$B$56)*($B558&gt;(60-PARAM!$B$56))*HLOOKUP(($B558+PARAM!$B$56)/12,Loyalty,2)*$F$1*MAX(F557,0)</f>
        <v>16.808053077967756</v>
      </c>
      <c r="E558" s="75">
        <f>PARAM!$C$26+MAX($G$3-CHOOSE(PARAM!$B$44,MAX(0,F557*$F$1),0),0)*RATES!$L534/12+$H$3*(PARAM!$D$51/12)*RATES!$N534/100</f>
        <v>174.70833333333331</v>
      </c>
      <c r="F558" s="16">
        <f t="shared" si="367"/>
        <v>-15428.932340336183</v>
      </c>
      <c r="G558" s="15">
        <f t="shared" si="368"/>
        <v>22.035289406060361</v>
      </c>
      <c r="H558" s="75">
        <f>G558*(1-PARAM!$C$27)*$I$4+(MOD($B558,60)=PARAM!$B$56)*($B558&gt;(60-PARAM!$B$56))*HLOOKUP(($B558+PARAM!$B$56)/12,Loyalty,2)*$F$1*MAX(J557,0)</f>
        <v>18.443537232872522</v>
      </c>
      <c r="I558" s="75">
        <f>PARAM!$C$26+MAX($G$4-CHOOSE(PARAM!$B$44,MAX(0,J557*$F$1),0),0)*RATES!$L534/12+$H$4*(PARAM!$D$51/12)*RATES!$N534/100</f>
        <v>174.70833333333331</v>
      </c>
      <c r="J558" s="16">
        <f t="shared" si="369"/>
        <v>-14526.657289960081</v>
      </c>
      <c r="K558" s="15">
        <f t="shared" si="370"/>
        <v>22.170849845882874</v>
      </c>
      <c r="L558" s="75">
        <f>K558*(1-PARAM!$C$27)*$I$5+(MOD($B558,60)=PARAM!$B$56)*($B558&gt;(60-PARAM!$B$56))*HLOOKUP(($B558+PARAM!$B$56)/12,Loyalty,2)*$F$1*MAX(N557,0)</f>
        <v>18.557001321003963</v>
      </c>
      <c r="M558" s="75">
        <f>PARAM!$C$26+MAX($G$5-CHOOSE(PARAM!$B$44,MAX(0,N557*$F$1),0),0)*RATES!$L534/12+$H$5*(PARAM!$D$51/12)*RATES!$N534/100</f>
        <v>174.70833333333331</v>
      </c>
      <c r="N558" s="16">
        <f t="shared" si="371"/>
        <v>-14463.390322762494</v>
      </c>
      <c r="O558" s="15">
        <f t="shared" si="372"/>
        <v>22.170849845882874</v>
      </c>
      <c r="P558" s="75">
        <f>O558*(1-PARAM!$C$27)*$I$6+(MOD($B558,60)=PARAM!$B$56)*($B558&gt;(60-PARAM!$B$56))*HLOOKUP(($B558+PARAM!$B$56)/12,Loyalty,2)*$F$1*MAX(R557,0)</f>
        <v>18.557001321003963</v>
      </c>
      <c r="Q558" s="75">
        <f>PARAM!$C$26+MAX($G$6-CHOOSE(PARAM!$B$44,MAX(0,R557*$F$1),0),0)*RATES!$L534/12+$H$6*(PARAM!$D$51/12)*RATES!$N534/100</f>
        <v>174.70833333333331</v>
      </c>
      <c r="R558" s="16">
        <f t="shared" si="373"/>
        <v>-14463.390322762494</v>
      </c>
      <c r="S558" s="15">
        <f t="shared" si="348"/>
        <v>22.170849845882874</v>
      </c>
      <c r="T558" s="75">
        <f>S558*(1-PARAM!$C$27)*$I$7+(MOD($B558,60)=PARAM!$B$56)*($B558&gt;(60-PARAM!$B$56))*HLOOKUP(($B558+PARAM!$B$56)/12,Loyalty,2)*$F$1*MAX(V557,0)</f>
        <v>18.557001321003963</v>
      </c>
      <c r="U558" s="75">
        <f>PARAM!$C$26+MAX($G$7-CHOOSE(PARAM!$B$44,MAX(0,V557*$F$1),0),0)*RATES!$L534/12+$H$7*(PARAM!$D$51/12)*RATES!$N534/100</f>
        <v>174.70833333333331</v>
      </c>
      <c r="V558" s="16">
        <f t="shared" si="374"/>
        <v>-14463.390322762494</v>
      </c>
      <c r="W558" s="15">
        <f t="shared" si="349"/>
        <v>22.170849845882874</v>
      </c>
      <c r="X558" s="75">
        <f>W558*(1-PARAM!$C$27)*$I$8+(MOD($B558,60)=PARAM!$B$56)*($B558&gt;(60-PARAM!$B$56))*HLOOKUP(($B558+PARAM!$B$56)/12,Loyalty,2)*$F$1*MAX(Z557,0)</f>
        <v>18.557001321003963</v>
      </c>
      <c r="Y558" s="75">
        <f>PARAM!$C$26+MAX($G$8-CHOOSE(PARAM!$B$44,MAX(0,Z557*$F$1),0),0)*RATES!$L534/12+$H$8*(PARAM!$D$51/12)*RATES!$N534/100</f>
        <v>174.70833333333331</v>
      </c>
      <c r="Z558" s="16">
        <f t="shared" si="375"/>
        <v>-14463.390322762494</v>
      </c>
      <c r="AA558" s="15">
        <f t="shared" si="350"/>
        <v>22.170849845882874</v>
      </c>
      <c r="AB558" s="75">
        <f>AA558*(1-PARAM!$C$27)*$I$9+(MOD($B558,60)=PARAM!$B$56)*($B558&gt;(60-PARAM!$B$56))*HLOOKUP(($B558+PARAM!$B$56)/12,Loyalty,2)*$F$1*MAX(AD557,0)</f>
        <v>18.557001321003963</v>
      </c>
      <c r="AC558" s="75">
        <f>PARAM!$C$26+MAX($G$9-CHOOSE(PARAM!$B$44,MAX(0,AD557*$F$1),0),0)*RATES!$L534/12+$H$9*(PARAM!$D$51/12)*RATES!$N534/100</f>
        <v>174.70833333333331</v>
      </c>
      <c r="AD558" s="16">
        <f t="shared" si="376"/>
        <v>-14463.390322762494</v>
      </c>
      <c r="AE558" s="15">
        <f t="shared" si="351"/>
        <v>22.170849845882874</v>
      </c>
      <c r="AF558" s="75">
        <f>AE558*(1-PARAM!$C$27)*$I$10+(MOD($B558,60)=PARAM!$B$56)*($B558&gt;(60-PARAM!$B$56))*HLOOKUP(($B558+PARAM!$B$56)/12,Loyalty,2)*$F$1*MAX(AH557,0)</f>
        <v>18.557001321003963</v>
      </c>
      <c r="AG558" s="75">
        <f>PARAM!$C$26+MAX($G$10-CHOOSE(PARAM!$B$44,MAX(0,AH557*$F$1),0),0)*RATES!$L534/12+$H$10*(PARAM!$D$51/12)*RATES!$N534/100</f>
        <v>174.70833333333331</v>
      </c>
      <c r="AH558" s="16">
        <f t="shared" si="377"/>
        <v>-14463.390322762494</v>
      </c>
      <c r="AI558" s="15">
        <f t="shared" si="352"/>
        <v>22.170849845882874</v>
      </c>
      <c r="AJ558" s="75">
        <f>AI558*(1-PARAM!$C$27)*$I$11+(MOD($B558,60)=PARAM!$B$56)*($B558&gt;(60-PARAM!$B$56))*HLOOKUP(($B558+PARAM!$B$56)/12,Loyalty,2)*$F$1*MAX(AL557,0)</f>
        <v>18.557001321003963</v>
      </c>
      <c r="AK558" s="75">
        <f>PARAM!$C$26+MAX($G$11-CHOOSE(PARAM!$B$44,MAX(0,AL557*$F$1),0),0)*RATES!$L534/12+$H$11*(PARAM!$D$51/12)*RATES!$N534/100</f>
        <v>174.70833333333331</v>
      </c>
      <c r="AL558" s="16">
        <f t="shared" si="378"/>
        <v>-14463.390322762494</v>
      </c>
      <c r="AM558" s="15">
        <f t="shared" si="353"/>
        <v>22.170849845882874</v>
      </c>
      <c r="AN558" s="75">
        <f>AM558*(1-PARAM!$C$27)*$I$12+(MOD($B558,60)=PARAM!$B$56)*($B558&gt;(60-PARAM!$B$56))*HLOOKUP(($B558+PARAM!$B$56)/12,Loyalty,2)*$F$1*MAX(AP557,0)</f>
        <v>18.557001321003963</v>
      </c>
      <c r="AO558" s="75">
        <f>PARAM!$C$26+MAX($G$12-CHOOSE(PARAM!$B$44,MAX(0,AP557*$F$1),0),0)*RATES!$L534/12+$H$12*(PARAM!$D$51/12)*RATES!$N534/100</f>
        <v>174.70833333333331</v>
      </c>
      <c r="AP558" s="16">
        <f t="shared" si="379"/>
        <v>-14463.390322762494</v>
      </c>
      <c r="AQ558" s="15">
        <f t="shared" si="354"/>
        <v>22.170849845882874</v>
      </c>
      <c r="AR558" s="75">
        <f>AQ558*(1-PARAM!$C$27)*$I$13+(MOD($B558,60)=PARAM!$B$56)*($B558&gt;(60-PARAM!$B$56))*HLOOKUP(($B558+PARAM!$B$56)/12,Loyalty,2)*$F$1*MAX(AT557,0)</f>
        <v>18.557001321003963</v>
      </c>
      <c r="AS558" s="75">
        <f>PARAM!$C$26+MAX($G$13-CHOOSE(PARAM!$B$44,MAX(0,AT557*$F$1),0),0)*RATES!$L534/12+$H$13*(PARAM!$D$51/12)*RATES!$N534/100</f>
        <v>174.70833333333331</v>
      </c>
      <c r="AT558" s="16">
        <f t="shared" si="380"/>
        <v>-14463.390322762494</v>
      </c>
      <c r="AU558" s="15">
        <f t="shared" si="355"/>
        <v>22.170849845882874</v>
      </c>
      <c r="AV558" s="75">
        <f>AU558*(1-PARAM!$C$27)*$I$14+(MOD($B558,60)=PARAM!$B$56)*($B558&gt;(60-PARAM!$B$56))*HLOOKUP(($B558+PARAM!$B$56)/12,Loyalty,2)*$F$1*MAX(AX557,0)</f>
        <v>18.557001321003963</v>
      </c>
      <c r="AW558" s="75">
        <f>PARAM!$C$26+MAX($G$14-CHOOSE(PARAM!$B$44,MAX(0,AX557*$F$1),0),0)*RATES!$L534/12+$H$14*(PARAM!$D$51/12)*RATES!$N534/100</f>
        <v>174.70833333333331</v>
      </c>
      <c r="AX558" s="16">
        <f t="shared" si="381"/>
        <v>-14463.390322762494</v>
      </c>
      <c r="AY558" s="15">
        <f t="shared" si="356"/>
        <v>22.170849845882874</v>
      </c>
      <c r="AZ558" s="75">
        <f>AY558*(1-PARAM!$C$27)*$I$15+(MOD($B558,60)=PARAM!$B$56)*($B558&gt;(60-PARAM!$B$56))*HLOOKUP(($B558+PARAM!$B$56)/12,Loyalty,2)*$F$1*MAX(BB557,0)</f>
        <v>18.557001321003963</v>
      </c>
      <c r="BA558" s="75">
        <f>PARAM!$C$26+MAX($G$15-CHOOSE(PARAM!$B$44,MAX(0,BB557*$F$1),0),0)*RATES!$L534/12+$H$15*(PARAM!$D$51/12)*RATES!$N534/100</f>
        <v>174.70833333333331</v>
      </c>
      <c r="BB558" s="16">
        <f t="shared" si="382"/>
        <v>-14463.390322762494</v>
      </c>
      <c r="BC558" s="15">
        <f t="shared" si="357"/>
        <v>22.170849845882874</v>
      </c>
      <c r="BD558" s="75">
        <f>BC558*(1-PARAM!$C$27)*$I$16+(MOD($B558,60)=PARAM!$B$56)*($B558&gt;(60-PARAM!$B$56))*HLOOKUP(($B558+PARAM!$B$56)/12,Loyalty,2)*$F$1*MAX(BF557,0)</f>
        <v>18.557001321003963</v>
      </c>
      <c r="BE558" s="75">
        <f>PARAM!$C$26+MAX($G$16-CHOOSE(PARAM!$B$44,MAX(0,BF557*$F$1),0),0)*RATES!$L534/12+$H$16*(PARAM!$D$51/12)*RATES!$N534/100</f>
        <v>174.70833333333331</v>
      </c>
      <c r="BF558" s="16">
        <f t="shared" si="383"/>
        <v>-14463.390322762494</v>
      </c>
      <c r="BG558" s="15">
        <f t="shared" si="358"/>
        <v>22.170849845882874</v>
      </c>
      <c r="BH558" s="75">
        <f>BG558*(1-PARAM!$C$27)*$I$17+(MOD($B558,60)=PARAM!$B$56)*($B558&gt;(60-PARAM!$B$56))*HLOOKUP(($B558+PARAM!$B$56)/12,Loyalty,2)*$F$1*MAX(BJ557,0)</f>
        <v>18.557001321003963</v>
      </c>
      <c r="BI558" s="75">
        <f>PARAM!$C$26+MAX($G$17-CHOOSE(PARAM!$B$44,MAX(0,BJ557*$F$1),0),0)*RATES!$L534/12+$H$17*(PARAM!$D$51/12)*RATES!$N534/100</f>
        <v>174.70833333333331</v>
      </c>
      <c r="BJ558" s="16">
        <f t="shared" si="384"/>
        <v>-14463.390322762494</v>
      </c>
      <c r="BK558" s="15">
        <f t="shared" si="359"/>
        <v>22.170849845882874</v>
      </c>
      <c r="BL558" s="75">
        <f>BK558*(1-PARAM!$C$27)*$I$18+(MOD($B558,60)=PARAM!$B$56)*($B558&gt;(60-PARAM!$B$56))*HLOOKUP(($B558+PARAM!$B$56)/12,Loyalty,2)*$F$1*MAX(BN557,0)</f>
        <v>18.557001321003963</v>
      </c>
      <c r="BM558" s="75">
        <f>PARAM!$C$26+MAX($G$18-CHOOSE(PARAM!$B$44,MAX(0,BN557*$F$1),0),0)*RATES!$L534/12+$H$18*(PARAM!$D$51/12)*RATES!$N534/100</f>
        <v>174.70833333333331</v>
      </c>
      <c r="BN558" s="16">
        <f t="shared" si="385"/>
        <v>-14463.390322762494</v>
      </c>
      <c r="BO558" s="15">
        <f t="shared" si="360"/>
        <v>22.170849845882874</v>
      </c>
      <c r="BP558" s="75">
        <f>BO558*(1-PARAM!$C$27)*$I$19+(MOD($B558,60)=PARAM!$B$56)*($B558&gt;(60-PARAM!$B$56))*HLOOKUP(($B558+PARAM!$B$56)/12,Loyalty,2)*$F$1*MAX(BR557,0)</f>
        <v>18.557001321003963</v>
      </c>
      <c r="BQ558" s="75">
        <f>PARAM!$C$26+MAX($G$19-CHOOSE(PARAM!$B$44,MAX(0,BR557*$F$1),0),0)*RATES!$L534/12+$H$19*(PARAM!$D$51/12)*RATES!$N534/100</f>
        <v>174.70833333333331</v>
      </c>
      <c r="BR558" s="16">
        <f t="shared" si="386"/>
        <v>-14463.390322762494</v>
      </c>
      <c r="BS558" s="15">
        <f t="shared" si="361"/>
        <v>22.170849845882874</v>
      </c>
      <c r="BT558" s="75">
        <f>BS558*(1-PARAM!$C$27)*$I$20+(MOD($B558,60)=PARAM!$B$56)*($B558&gt;(60-PARAM!$B$56))*HLOOKUP(($B558+PARAM!$B$56)/12,Loyalty,2)*$F$1*MAX(BV557,0)</f>
        <v>18.557001321003963</v>
      </c>
      <c r="BU558" s="75">
        <f>PARAM!$C$26+MAX($G$20-CHOOSE(PARAM!$B$44,MAX(0,BV557*$F$1),0),0)*RATES!$L534/12+$H$20*(PARAM!$D$51/12)*RATES!$N534/100</f>
        <v>174.70833333333331</v>
      </c>
      <c r="BV558" s="16">
        <f t="shared" si="387"/>
        <v>-14463.390322762494</v>
      </c>
      <c r="BW558" s="15">
        <f t="shared" si="362"/>
        <v>22.170849845882874</v>
      </c>
      <c r="BX558" s="75">
        <f>BW558*(1-PARAM!$C$27)*$I$21+(MOD($B558,60)=PARAM!$B$56)*($B558&gt;(60-PARAM!$B$56))*HLOOKUP(($B558+PARAM!$B$56)/12,Loyalty,2)*$F$1*MAX(BZ557,0)</f>
        <v>18.557001321003963</v>
      </c>
      <c r="BY558" s="75">
        <f>PARAM!$C$26+MAX($G$21-CHOOSE(PARAM!$B$44,MAX(0,BZ557*$F$1),0),0)*RATES!$L534/12+$H$21*(PARAM!$D$51/12)*RATES!$N534/100</f>
        <v>174.70833333333331</v>
      </c>
      <c r="BZ558" s="16">
        <f t="shared" si="388"/>
        <v>-14463.390322762494</v>
      </c>
      <c r="CA558" s="15">
        <f t="shared" si="363"/>
        <v>22.170849845882874</v>
      </c>
      <c r="CB558" s="75">
        <f>CA558*(1-PARAM!$C$27)*$I$22+(MOD($B558,60)=PARAM!$B$56)*($B558&gt;(60-PARAM!$B$56))*HLOOKUP(($B558+PARAM!$B$56)/12,Loyalty,2)*$F$1*MAX(CD557,0)</f>
        <v>18.557001321003963</v>
      </c>
      <c r="CC558" s="75">
        <f>PARAM!$C$26+MAX($G$22-CHOOSE(PARAM!$B$44,MAX(0,CD557*$F$1),0),0)*RATES!$L534/12+$H$22*(PARAM!$D$51/12)*RATES!$N534/100</f>
        <v>174.70833333333331</v>
      </c>
      <c r="CD558" s="16">
        <f t="shared" si="389"/>
        <v>-14463.390322762494</v>
      </c>
      <c r="CE558" s="33">
        <f>IF(0=MOD(B558,12/PARAM!$D$51),1,0)</f>
        <v>1</v>
      </c>
      <c r="CF558" s="15">
        <f t="shared" si="364"/>
        <v>0</v>
      </c>
      <c r="CG558" s="75">
        <f>CF558*(1-PARAM!$C$27)*$R$3+(MOD($B558/12,5)=0)*($B558&gt;60)*HLOOKUP($B558/12,Loyalty,2)*$F$1*MAX(CI557,0)</f>
        <v>0</v>
      </c>
      <c r="CH558" s="75">
        <f>PARAM!$C$26+MAX($P$3-CHOOSE(PARAM!$B$44,MAX(0,CI557*$F$1),0),0)*RATES!$L534/12+$Q$3*(PARAM!$D$51/12)*RATES!$N534/100</f>
        <v>174.70833333333331</v>
      </c>
      <c r="CI558" s="16">
        <f>IF(CI557&gt;0,CI557*PARAM!$C$53,CI557)+CG558-CH558</f>
        <v>-24197.583333333303</v>
      </c>
      <c r="CJ558" s="15">
        <f t="shared" si="390"/>
        <v>0</v>
      </c>
      <c r="CK558" s="75">
        <f>CJ558*(1-PARAM!$C$27)*$R$4+(MOD($B558/12,5)=0)*($B558&gt;60)*HLOOKUP($B558/12,Loyalty,2)*$F$1*MAX(CM557,0)</f>
        <v>0</v>
      </c>
      <c r="CL558" s="75">
        <f>PARAM!$C$26+MAX($P$4-CHOOSE(PARAM!$B$44,MAX(0,CM557*$F$1),0),0)*RATES!$L534/12+$Q$4*(PARAM!$D$51/12)*RATES!$N534/100</f>
        <v>174.70833333333331</v>
      </c>
      <c r="CM558" s="16">
        <f>IF(CM557&gt;0,CM557*PARAM!$C$53,CM557)+CK558-CL558</f>
        <v>-24197.583333333303</v>
      </c>
      <c r="CO558" s="176"/>
    </row>
    <row r="559" spans="1:93" x14ac:dyDescent="0.2">
      <c r="A559" t="b">
        <f t="shared" si="365"/>
        <v>0</v>
      </c>
      <c r="B559" s="33">
        <v>532</v>
      </c>
      <c r="C559" s="15">
        <f t="shared" si="366"/>
        <v>20.081305947392778</v>
      </c>
      <c r="D559" s="75">
        <f>C559*(1-PARAM!$C$27)*$I$3+(MOD($B559,60)=PARAM!$B$56)*($B559&gt;(60-PARAM!$B$56))*HLOOKUP(($B559+PARAM!$B$56)/12,Loyalty,2)*$F$1*MAX(F558,0)</f>
        <v>16.808053077967756</v>
      </c>
      <c r="E559" s="75">
        <f>PARAM!$C$26+MAX($G$3-CHOOSE(PARAM!$B$44,MAX(0,F558*$F$1),0),0)*RATES!$L535/12+$H$3*(PARAM!$D$51/12)*RATES!$N535/100</f>
        <v>174.70833333333331</v>
      </c>
      <c r="F559" s="16">
        <f t="shared" si="367"/>
        <v>-15586.832620591549</v>
      </c>
      <c r="G559" s="15">
        <f t="shared" si="368"/>
        <v>22.035289406060361</v>
      </c>
      <c r="H559" s="75">
        <f>G559*(1-PARAM!$C$27)*$I$4+(MOD($B559,60)=PARAM!$B$56)*($B559&gt;(60-PARAM!$B$56))*HLOOKUP(($B559+PARAM!$B$56)/12,Loyalty,2)*$F$1*MAX(J558,0)</f>
        <v>18.443537232872522</v>
      </c>
      <c r="I559" s="75">
        <f>PARAM!$C$26+MAX($G$4-CHOOSE(PARAM!$B$44,MAX(0,J558*$F$1),0),0)*RATES!$L535/12+$H$4*(PARAM!$D$51/12)*RATES!$N535/100</f>
        <v>174.70833333333331</v>
      </c>
      <c r="J559" s="16">
        <f t="shared" si="369"/>
        <v>-14682.922086060544</v>
      </c>
      <c r="K559" s="15">
        <f t="shared" si="370"/>
        <v>22.170849845882874</v>
      </c>
      <c r="L559" s="75">
        <f>K559*(1-PARAM!$C$27)*$I$5+(MOD($B559,60)=PARAM!$B$56)*($B559&gt;(60-PARAM!$B$56))*HLOOKUP(($B559+PARAM!$B$56)/12,Loyalty,2)*$F$1*MAX(N558,0)</f>
        <v>18.557001321003963</v>
      </c>
      <c r="M559" s="75">
        <f>PARAM!$C$26+MAX($G$5-CHOOSE(PARAM!$B$44,MAX(0,N558*$F$1),0),0)*RATES!$L535/12+$H$5*(PARAM!$D$51/12)*RATES!$N535/100</f>
        <v>174.70833333333331</v>
      </c>
      <c r="N559" s="16">
        <f t="shared" si="371"/>
        <v>-14619.541654774825</v>
      </c>
      <c r="O559" s="15">
        <f t="shared" si="372"/>
        <v>22.170849845882874</v>
      </c>
      <c r="P559" s="75">
        <f>O559*(1-PARAM!$C$27)*$I$6+(MOD($B559,60)=PARAM!$B$56)*($B559&gt;(60-PARAM!$B$56))*HLOOKUP(($B559+PARAM!$B$56)/12,Loyalty,2)*$F$1*MAX(R558,0)</f>
        <v>18.557001321003963</v>
      </c>
      <c r="Q559" s="75">
        <f>PARAM!$C$26+MAX($G$6-CHOOSE(PARAM!$B$44,MAX(0,R558*$F$1),0),0)*RATES!$L535/12+$H$6*(PARAM!$D$51/12)*RATES!$N535/100</f>
        <v>174.70833333333331</v>
      </c>
      <c r="R559" s="16">
        <f t="shared" si="373"/>
        <v>-14619.541654774825</v>
      </c>
      <c r="S559" s="15">
        <f t="shared" si="348"/>
        <v>22.170849845882874</v>
      </c>
      <c r="T559" s="75">
        <f>S559*(1-PARAM!$C$27)*$I$7+(MOD($B559,60)=PARAM!$B$56)*($B559&gt;(60-PARAM!$B$56))*HLOOKUP(($B559+PARAM!$B$56)/12,Loyalty,2)*$F$1*MAX(V558,0)</f>
        <v>18.557001321003963</v>
      </c>
      <c r="U559" s="75">
        <f>PARAM!$C$26+MAX($G$7-CHOOSE(PARAM!$B$44,MAX(0,V558*$F$1),0),0)*RATES!$L535/12+$H$7*(PARAM!$D$51/12)*RATES!$N535/100</f>
        <v>174.70833333333331</v>
      </c>
      <c r="V559" s="16">
        <f t="shared" si="374"/>
        <v>-14619.541654774825</v>
      </c>
      <c r="W559" s="15">
        <f t="shared" si="349"/>
        <v>22.170849845882874</v>
      </c>
      <c r="X559" s="75">
        <f>W559*(1-PARAM!$C$27)*$I$8+(MOD($B559,60)=PARAM!$B$56)*($B559&gt;(60-PARAM!$B$56))*HLOOKUP(($B559+PARAM!$B$56)/12,Loyalty,2)*$F$1*MAX(Z558,0)</f>
        <v>18.557001321003963</v>
      </c>
      <c r="Y559" s="75">
        <f>PARAM!$C$26+MAX($G$8-CHOOSE(PARAM!$B$44,MAX(0,Z558*$F$1),0),0)*RATES!$L535/12+$H$8*(PARAM!$D$51/12)*RATES!$N535/100</f>
        <v>174.70833333333331</v>
      </c>
      <c r="Z559" s="16">
        <f t="shared" si="375"/>
        <v>-14619.541654774825</v>
      </c>
      <c r="AA559" s="15">
        <f t="shared" si="350"/>
        <v>22.170849845882874</v>
      </c>
      <c r="AB559" s="75">
        <f>AA559*(1-PARAM!$C$27)*$I$9+(MOD($B559,60)=PARAM!$B$56)*($B559&gt;(60-PARAM!$B$56))*HLOOKUP(($B559+PARAM!$B$56)/12,Loyalty,2)*$F$1*MAX(AD558,0)</f>
        <v>18.557001321003963</v>
      </c>
      <c r="AC559" s="75">
        <f>PARAM!$C$26+MAX($G$9-CHOOSE(PARAM!$B$44,MAX(0,AD558*$F$1),0),0)*RATES!$L535/12+$H$9*(PARAM!$D$51/12)*RATES!$N535/100</f>
        <v>174.70833333333331</v>
      </c>
      <c r="AD559" s="16">
        <f t="shared" si="376"/>
        <v>-14619.541654774825</v>
      </c>
      <c r="AE559" s="15">
        <f t="shared" si="351"/>
        <v>22.170849845882874</v>
      </c>
      <c r="AF559" s="75">
        <f>AE559*(1-PARAM!$C$27)*$I$10+(MOD($B559,60)=PARAM!$B$56)*($B559&gt;(60-PARAM!$B$56))*HLOOKUP(($B559+PARAM!$B$56)/12,Loyalty,2)*$F$1*MAX(AH558,0)</f>
        <v>18.557001321003963</v>
      </c>
      <c r="AG559" s="75">
        <f>PARAM!$C$26+MAX($G$10-CHOOSE(PARAM!$B$44,MAX(0,AH558*$F$1),0),0)*RATES!$L535/12+$H$10*(PARAM!$D$51/12)*RATES!$N535/100</f>
        <v>174.70833333333331</v>
      </c>
      <c r="AH559" s="16">
        <f t="shared" si="377"/>
        <v>-14619.541654774825</v>
      </c>
      <c r="AI559" s="15">
        <f t="shared" si="352"/>
        <v>22.170849845882874</v>
      </c>
      <c r="AJ559" s="75">
        <f>AI559*(1-PARAM!$C$27)*$I$11+(MOD($B559,60)=PARAM!$B$56)*($B559&gt;(60-PARAM!$B$56))*HLOOKUP(($B559+PARAM!$B$56)/12,Loyalty,2)*$F$1*MAX(AL558,0)</f>
        <v>18.557001321003963</v>
      </c>
      <c r="AK559" s="75">
        <f>PARAM!$C$26+MAX($G$11-CHOOSE(PARAM!$B$44,MAX(0,AL558*$F$1),0),0)*RATES!$L535/12+$H$11*(PARAM!$D$51/12)*RATES!$N535/100</f>
        <v>174.70833333333331</v>
      </c>
      <c r="AL559" s="16">
        <f t="shared" si="378"/>
        <v>-14619.541654774825</v>
      </c>
      <c r="AM559" s="15">
        <f t="shared" si="353"/>
        <v>22.170849845882874</v>
      </c>
      <c r="AN559" s="75">
        <f>AM559*(1-PARAM!$C$27)*$I$12+(MOD($B559,60)=PARAM!$B$56)*($B559&gt;(60-PARAM!$B$56))*HLOOKUP(($B559+PARAM!$B$56)/12,Loyalty,2)*$F$1*MAX(AP558,0)</f>
        <v>18.557001321003963</v>
      </c>
      <c r="AO559" s="75">
        <f>PARAM!$C$26+MAX($G$12-CHOOSE(PARAM!$B$44,MAX(0,AP558*$F$1),0),0)*RATES!$L535/12+$H$12*(PARAM!$D$51/12)*RATES!$N535/100</f>
        <v>174.70833333333331</v>
      </c>
      <c r="AP559" s="16">
        <f t="shared" si="379"/>
        <v>-14619.541654774825</v>
      </c>
      <c r="AQ559" s="15">
        <f t="shared" si="354"/>
        <v>22.170849845882874</v>
      </c>
      <c r="AR559" s="75">
        <f>AQ559*(1-PARAM!$C$27)*$I$13+(MOD($B559,60)=PARAM!$B$56)*($B559&gt;(60-PARAM!$B$56))*HLOOKUP(($B559+PARAM!$B$56)/12,Loyalty,2)*$F$1*MAX(AT558,0)</f>
        <v>18.557001321003963</v>
      </c>
      <c r="AS559" s="75">
        <f>PARAM!$C$26+MAX($G$13-CHOOSE(PARAM!$B$44,MAX(0,AT558*$F$1),0),0)*RATES!$L535/12+$H$13*(PARAM!$D$51/12)*RATES!$N535/100</f>
        <v>174.70833333333331</v>
      </c>
      <c r="AT559" s="16">
        <f t="shared" si="380"/>
        <v>-14619.541654774825</v>
      </c>
      <c r="AU559" s="15">
        <f t="shared" si="355"/>
        <v>22.170849845882874</v>
      </c>
      <c r="AV559" s="75">
        <f>AU559*(1-PARAM!$C$27)*$I$14+(MOD($B559,60)=PARAM!$B$56)*($B559&gt;(60-PARAM!$B$56))*HLOOKUP(($B559+PARAM!$B$56)/12,Loyalty,2)*$F$1*MAX(AX558,0)</f>
        <v>18.557001321003963</v>
      </c>
      <c r="AW559" s="75">
        <f>PARAM!$C$26+MAX($G$14-CHOOSE(PARAM!$B$44,MAX(0,AX558*$F$1),0),0)*RATES!$L535/12+$H$14*(PARAM!$D$51/12)*RATES!$N535/100</f>
        <v>174.70833333333331</v>
      </c>
      <c r="AX559" s="16">
        <f t="shared" si="381"/>
        <v>-14619.541654774825</v>
      </c>
      <c r="AY559" s="15">
        <f t="shared" si="356"/>
        <v>22.170849845882874</v>
      </c>
      <c r="AZ559" s="75">
        <f>AY559*(1-PARAM!$C$27)*$I$15+(MOD($B559,60)=PARAM!$B$56)*($B559&gt;(60-PARAM!$B$56))*HLOOKUP(($B559+PARAM!$B$56)/12,Loyalty,2)*$F$1*MAX(BB558,0)</f>
        <v>18.557001321003963</v>
      </c>
      <c r="BA559" s="75">
        <f>PARAM!$C$26+MAX($G$15-CHOOSE(PARAM!$B$44,MAX(0,BB558*$F$1),0),0)*RATES!$L535/12+$H$15*(PARAM!$D$51/12)*RATES!$N535/100</f>
        <v>174.70833333333331</v>
      </c>
      <c r="BB559" s="16">
        <f t="shared" si="382"/>
        <v>-14619.541654774825</v>
      </c>
      <c r="BC559" s="15">
        <f t="shared" si="357"/>
        <v>22.170849845882874</v>
      </c>
      <c r="BD559" s="75">
        <f>BC559*(1-PARAM!$C$27)*$I$16+(MOD($B559,60)=PARAM!$B$56)*($B559&gt;(60-PARAM!$B$56))*HLOOKUP(($B559+PARAM!$B$56)/12,Loyalty,2)*$F$1*MAX(BF558,0)</f>
        <v>18.557001321003963</v>
      </c>
      <c r="BE559" s="75">
        <f>PARAM!$C$26+MAX($G$16-CHOOSE(PARAM!$B$44,MAX(0,BF558*$F$1),0),0)*RATES!$L535/12+$H$16*(PARAM!$D$51/12)*RATES!$N535/100</f>
        <v>174.70833333333331</v>
      </c>
      <c r="BF559" s="16">
        <f t="shared" si="383"/>
        <v>-14619.541654774825</v>
      </c>
      <c r="BG559" s="15">
        <f t="shared" si="358"/>
        <v>22.170849845882874</v>
      </c>
      <c r="BH559" s="75">
        <f>BG559*(1-PARAM!$C$27)*$I$17+(MOD($B559,60)=PARAM!$B$56)*($B559&gt;(60-PARAM!$B$56))*HLOOKUP(($B559+PARAM!$B$56)/12,Loyalty,2)*$F$1*MAX(BJ558,0)</f>
        <v>18.557001321003963</v>
      </c>
      <c r="BI559" s="75">
        <f>PARAM!$C$26+MAX($G$17-CHOOSE(PARAM!$B$44,MAX(0,BJ558*$F$1),0),0)*RATES!$L535/12+$H$17*(PARAM!$D$51/12)*RATES!$N535/100</f>
        <v>174.70833333333331</v>
      </c>
      <c r="BJ559" s="16">
        <f t="shared" si="384"/>
        <v>-14619.541654774825</v>
      </c>
      <c r="BK559" s="15">
        <f t="shared" si="359"/>
        <v>22.170849845882874</v>
      </c>
      <c r="BL559" s="75">
        <f>BK559*(1-PARAM!$C$27)*$I$18+(MOD($B559,60)=PARAM!$B$56)*($B559&gt;(60-PARAM!$B$56))*HLOOKUP(($B559+PARAM!$B$56)/12,Loyalty,2)*$F$1*MAX(BN558,0)</f>
        <v>18.557001321003963</v>
      </c>
      <c r="BM559" s="75">
        <f>PARAM!$C$26+MAX($G$18-CHOOSE(PARAM!$B$44,MAX(0,BN558*$F$1),0),0)*RATES!$L535/12+$H$18*(PARAM!$D$51/12)*RATES!$N535/100</f>
        <v>174.70833333333331</v>
      </c>
      <c r="BN559" s="16">
        <f t="shared" si="385"/>
        <v>-14619.541654774825</v>
      </c>
      <c r="BO559" s="15">
        <f t="shared" si="360"/>
        <v>22.170849845882874</v>
      </c>
      <c r="BP559" s="75">
        <f>BO559*(1-PARAM!$C$27)*$I$19+(MOD($B559,60)=PARAM!$B$56)*($B559&gt;(60-PARAM!$B$56))*HLOOKUP(($B559+PARAM!$B$56)/12,Loyalty,2)*$F$1*MAX(BR558,0)</f>
        <v>18.557001321003963</v>
      </c>
      <c r="BQ559" s="75">
        <f>PARAM!$C$26+MAX($G$19-CHOOSE(PARAM!$B$44,MAX(0,BR558*$F$1),0),0)*RATES!$L535/12+$H$19*(PARAM!$D$51/12)*RATES!$N535/100</f>
        <v>174.70833333333331</v>
      </c>
      <c r="BR559" s="16">
        <f t="shared" si="386"/>
        <v>-14619.541654774825</v>
      </c>
      <c r="BS559" s="15">
        <f t="shared" si="361"/>
        <v>22.170849845882874</v>
      </c>
      <c r="BT559" s="75">
        <f>BS559*(1-PARAM!$C$27)*$I$20+(MOD($B559,60)=PARAM!$B$56)*($B559&gt;(60-PARAM!$B$56))*HLOOKUP(($B559+PARAM!$B$56)/12,Loyalty,2)*$F$1*MAX(BV558,0)</f>
        <v>18.557001321003963</v>
      </c>
      <c r="BU559" s="75">
        <f>PARAM!$C$26+MAX($G$20-CHOOSE(PARAM!$B$44,MAX(0,BV558*$F$1),0),0)*RATES!$L535/12+$H$20*(PARAM!$D$51/12)*RATES!$N535/100</f>
        <v>174.70833333333331</v>
      </c>
      <c r="BV559" s="16">
        <f t="shared" si="387"/>
        <v>-14619.541654774825</v>
      </c>
      <c r="BW559" s="15">
        <f t="shared" si="362"/>
        <v>22.170849845882874</v>
      </c>
      <c r="BX559" s="75">
        <f>BW559*(1-PARAM!$C$27)*$I$21+(MOD($B559,60)=PARAM!$B$56)*($B559&gt;(60-PARAM!$B$56))*HLOOKUP(($B559+PARAM!$B$56)/12,Loyalty,2)*$F$1*MAX(BZ558,0)</f>
        <v>18.557001321003963</v>
      </c>
      <c r="BY559" s="75">
        <f>PARAM!$C$26+MAX($G$21-CHOOSE(PARAM!$B$44,MAX(0,BZ558*$F$1),0),0)*RATES!$L535/12+$H$21*(PARAM!$D$51/12)*RATES!$N535/100</f>
        <v>174.70833333333331</v>
      </c>
      <c r="BZ559" s="16">
        <f t="shared" si="388"/>
        <v>-14619.541654774825</v>
      </c>
      <c r="CA559" s="15">
        <f t="shared" si="363"/>
        <v>22.170849845882874</v>
      </c>
      <c r="CB559" s="75">
        <f>CA559*(1-PARAM!$C$27)*$I$22+(MOD($B559,60)=PARAM!$B$56)*($B559&gt;(60-PARAM!$B$56))*HLOOKUP(($B559+PARAM!$B$56)/12,Loyalty,2)*$F$1*MAX(CD558,0)</f>
        <v>18.557001321003963</v>
      </c>
      <c r="CC559" s="75">
        <f>PARAM!$C$26+MAX($G$22-CHOOSE(PARAM!$B$44,MAX(0,CD558*$F$1),0),0)*RATES!$L535/12+$H$22*(PARAM!$D$51/12)*RATES!$N535/100</f>
        <v>174.70833333333331</v>
      </c>
      <c r="CD559" s="16">
        <f t="shared" si="389"/>
        <v>-14619.541654774825</v>
      </c>
      <c r="CE559" s="33">
        <f>IF(0=MOD(B559,12/PARAM!$D$51),1,0)</f>
        <v>1</v>
      </c>
      <c r="CF559" s="15">
        <f t="shared" si="364"/>
        <v>0</v>
      </c>
      <c r="CG559" s="75">
        <f>CF559*(1-PARAM!$C$27)*$R$3+(MOD($B559/12,5)=0)*($B559&gt;60)*HLOOKUP($B559/12,Loyalty,2)*$F$1*MAX(CI558,0)</f>
        <v>0</v>
      </c>
      <c r="CH559" s="75">
        <f>PARAM!$C$26+MAX($P$3-CHOOSE(PARAM!$B$44,MAX(0,CI558*$F$1),0),0)*RATES!$L535/12+$Q$3*(PARAM!$D$51/12)*RATES!$N535/100</f>
        <v>174.70833333333331</v>
      </c>
      <c r="CI559" s="16">
        <f>IF(CI558&gt;0,CI558*PARAM!$C$53,CI558)+CG559-CH559</f>
        <v>-24372.291666666635</v>
      </c>
      <c r="CJ559" s="15">
        <f t="shared" si="390"/>
        <v>0</v>
      </c>
      <c r="CK559" s="75">
        <f>CJ559*(1-PARAM!$C$27)*$R$4+(MOD($B559/12,5)=0)*($B559&gt;60)*HLOOKUP($B559/12,Loyalty,2)*$F$1*MAX(CM558,0)</f>
        <v>0</v>
      </c>
      <c r="CL559" s="75">
        <f>PARAM!$C$26+MAX($P$4-CHOOSE(PARAM!$B$44,MAX(0,CM558*$F$1),0),0)*RATES!$L535/12+$Q$4*(PARAM!$D$51/12)*RATES!$N535/100</f>
        <v>174.70833333333331</v>
      </c>
      <c r="CM559" s="16">
        <f>IF(CM558&gt;0,CM558*PARAM!$C$53,CM558)+CK559-CL559</f>
        <v>-24372.291666666635</v>
      </c>
      <c r="CO559" s="176"/>
    </row>
    <row r="560" spans="1:93" x14ac:dyDescent="0.2">
      <c r="A560" t="b">
        <f t="shared" si="365"/>
        <v>0</v>
      </c>
      <c r="B560" s="33">
        <v>533</v>
      </c>
      <c r="C560" s="15">
        <f t="shared" si="366"/>
        <v>20.081305947392778</v>
      </c>
      <c r="D560" s="75">
        <f>C560*(1-PARAM!$C$27)*$I$3+(MOD($B560,60)=PARAM!$B$56)*($B560&gt;(60-PARAM!$B$56))*HLOOKUP(($B560+PARAM!$B$56)/12,Loyalty,2)*$F$1*MAX(F559,0)</f>
        <v>16.808053077967756</v>
      </c>
      <c r="E560" s="75">
        <f>PARAM!$C$26+MAX($G$3-CHOOSE(PARAM!$B$44,MAX(0,F559*$F$1),0),0)*RATES!$L536/12+$H$3*(PARAM!$D$51/12)*RATES!$N536/100</f>
        <v>174.70833333333331</v>
      </c>
      <c r="F560" s="16">
        <f t="shared" si="367"/>
        <v>-15744.732900846915</v>
      </c>
      <c r="G560" s="15">
        <f t="shared" si="368"/>
        <v>22.035289406060361</v>
      </c>
      <c r="H560" s="75">
        <f>G560*(1-PARAM!$C$27)*$I$4+(MOD($B560,60)=PARAM!$B$56)*($B560&gt;(60-PARAM!$B$56))*HLOOKUP(($B560+PARAM!$B$56)/12,Loyalty,2)*$F$1*MAX(J559,0)</f>
        <v>18.443537232872522</v>
      </c>
      <c r="I560" s="75">
        <f>PARAM!$C$26+MAX($G$4-CHOOSE(PARAM!$B$44,MAX(0,J559*$F$1),0),0)*RATES!$L536/12+$H$4*(PARAM!$D$51/12)*RATES!$N536/100</f>
        <v>174.70833333333331</v>
      </c>
      <c r="J560" s="16">
        <f t="shared" si="369"/>
        <v>-14839.186882161006</v>
      </c>
      <c r="K560" s="15">
        <f t="shared" si="370"/>
        <v>22.170849845882874</v>
      </c>
      <c r="L560" s="75">
        <f>K560*(1-PARAM!$C$27)*$I$5+(MOD($B560,60)=PARAM!$B$56)*($B560&gt;(60-PARAM!$B$56))*HLOOKUP(($B560+PARAM!$B$56)/12,Loyalty,2)*$F$1*MAX(N559,0)</f>
        <v>18.557001321003963</v>
      </c>
      <c r="M560" s="75">
        <f>PARAM!$C$26+MAX($G$5-CHOOSE(PARAM!$B$44,MAX(0,N559*$F$1),0),0)*RATES!$L536/12+$H$5*(PARAM!$D$51/12)*RATES!$N536/100</f>
        <v>174.70833333333331</v>
      </c>
      <c r="N560" s="16">
        <f t="shared" si="371"/>
        <v>-14775.692986787155</v>
      </c>
      <c r="O560" s="15">
        <f t="shared" si="372"/>
        <v>22.170849845882874</v>
      </c>
      <c r="P560" s="75">
        <f>O560*(1-PARAM!$C$27)*$I$6+(MOD($B560,60)=PARAM!$B$56)*($B560&gt;(60-PARAM!$B$56))*HLOOKUP(($B560+PARAM!$B$56)/12,Loyalty,2)*$F$1*MAX(R559,0)</f>
        <v>18.557001321003963</v>
      </c>
      <c r="Q560" s="75">
        <f>PARAM!$C$26+MAX($G$6-CHOOSE(PARAM!$B$44,MAX(0,R559*$F$1),0),0)*RATES!$L536/12+$H$6*(PARAM!$D$51/12)*RATES!$N536/100</f>
        <v>174.70833333333331</v>
      </c>
      <c r="R560" s="16">
        <f t="shared" si="373"/>
        <v>-14775.692986787155</v>
      </c>
      <c r="S560" s="15">
        <f t="shared" si="348"/>
        <v>22.170849845882874</v>
      </c>
      <c r="T560" s="75">
        <f>S560*(1-PARAM!$C$27)*$I$7+(MOD($B560,60)=PARAM!$B$56)*($B560&gt;(60-PARAM!$B$56))*HLOOKUP(($B560+PARAM!$B$56)/12,Loyalty,2)*$F$1*MAX(V559,0)</f>
        <v>18.557001321003963</v>
      </c>
      <c r="U560" s="75">
        <f>PARAM!$C$26+MAX($G$7-CHOOSE(PARAM!$B$44,MAX(0,V559*$F$1),0),0)*RATES!$L536/12+$H$7*(PARAM!$D$51/12)*RATES!$N536/100</f>
        <v>174.70833333333331</v>
      </c>
      <c r="V560" s="16">
        <f t="shared" si="374"/>
        <v>-14775.692986787155</v>
      </c>
      <c r="W560" s="15">
        <f t="shared" si="349"/>
        <v>22.170849845882874</v>
      </c>
      <c r="X560" s="75">
        <f>W560*(1-PARAM!$C$27)*$I$8+(MOD($B560,60)=PARAM!$B$56)*($B560&gt;(60-PARAM!$B$56))*HLOOKUP(($B560+PARAM!$B$56)/12,Loyalty,2)*$F$1*MAX(Z559,0)</f>
        <v>18.557001321003963</v>
      </c>
      <c r="Y560" s="75">
        <f>PARAM!$C$26+MAX($G$8-CHOOSE(PARAM!$B$44,MAX(0,Z559*$F$1),0),0)*RATES!$L536/12+$H$8*(PARAM!$D$51/12)*RATES!$N536/100</f>
        <v>174.70833333333331</v>
      </c>
      <c r="Z560" s="16">
        <f t="shared" si="375"/>
        <v>-14775.692986787155</v>
      </c>
      <c r="AA560" s="15">
        <f t="shared" si="350"/>
        <v>22.170849845882874</v>
      </c>
      <c r="AB560" s="75">
        <f>AA560*(1-PARAM!$C$27)*$I$9+(MOD($B560,60)=PARAM!$B$56)*($B560&gt;(60-PARAM!$B$56))*HLOOKUP(($B560+PARAM!$B$56)/12,Loyalty,2)*$F$1*MAX(AD559,0)</f>
        <v>18.557001321003963</v>
      </c>
      <c r="AC560" s="75">
        <f>PARAM!$C$26+MAX($G$9-CHOOSE(PARAM!$B$44,MAX(0,AD559*$F$1),0),0)*RATES!$L536/12+$H$9*(PARAM!$D$51/12)*RATES!$N536/100</f>
        <v>174.70833333333331</v>
      </c>
      <c r="AD560" s="16">
        <f t="shared" si="376"/>
        <v>-14775.692986787155</v>
      </c>
      <c r="AE560" s="15">
        <f t="shared" si="351"/>
        <v>22.170849845882874</v>
      </c>
      <c r="AF560" s="75">
        <f>AE560*(1-PARAM!$C$27)*$I$10+(MOD($B560,60)=PARAM!$B$56)*($B560&gt;(60-PARAM!$B$56))*HLOOKUP(($B560+PARAM!$B$56)/12,Loyalty,2)*$F$1*MAX(AH559,0)</f>
        <v>18.557001321003963</v>
      </c>
      <c r="AG560" s="75">
        <f>PARAM!$C$26+MAX($G$10-CHOOSE(PARAM!$B$44,MAX(0,AH559*$F$1),0),0)*RATES!$L536/12+$H$10*(PARAM!$D$51/12)*RATES!$N536/100</f>
        <v>174.70833333333331</v>
      </c>
      <c r="AH560" s="16">
        <f t="shared" si="377"/>
        <v>-14775.692986787155</v>
      </c>
      <c r="AI560" s="15">
        <f t="shared" si="352"/>
        <v>22.170849845882874</v>
      </c>
      <c r="AJ560" s="75">
        <f>AI560*(1-PARAM!$C$27)*$I$11+(MOD($B560,60)=PARAM!$B$56)*($B560&gt;(60-PARAM!$B$56))*HLOOKUP(($B560+PARAM!$B$56)/12,Loyalty,2)*$F$1*MAX(AL559,0)</f>
        <v>18.557001321003963</v>
      </c>
      <c r="AK560" s="75">
        <f>PARAM!$C$26+MAX($G$11-CHOOSE(PARAM!$B$44,MAX(0,AL559*$F$1),0),0)*RATES!$L536/12+$H$11*(PARAM!$D$51/12)*RATES!$N536/100</f>
        <v>174.70833333333331</v>
      </c>
      <c r="AL560" s="16">
        <f t="shared" si="378"/>
        <v>-14775.692986787155</v>
      </c>
      <c r="AM560" s="15">
        <f t="shared" si="353"/>
        <v>22.170849845882874</v>
      </c>
      <c r="AN560" s="75">
        <f>AM560*(1-PARAM!$C$27)*$I$12+(MOD($B560,60)=PARAM!$B$56)*($B560&gt;(60-PARAM!$B$56))*HLOOKUP(($B560+PARAM!$B$56)/12,Loyalty,2)*$F$1*MAX(AP559,0)</f>
        <v>18.557001321003963</v>
      </c>
      <c r="AO560" s="75">
        <f>PARAM!$C$26+MAX($G$12-CHOOSE(PARAM!$B$44,MAX(0,AP559*$F$1),0),0)*RATES!$L536/12+$H$12*(PARAM!$D$51/12)*RATES!$N536/100</f>
        <v>174.70833333333331</v>
      </c>
      <c r="AP560" s="16">
        <f t="shared" si="379"/>
        <v>-14775.692986787155</v>
      </c>
      <c r="AQ560" s="15">
        <f t="shared" si="354"/>
        <v>22.170849845882874</v>
      </c>
      <c r="AR560" s="75">
        <f>AQ560*(1-PARAM!$C$27)*$I$13+(MOD($B560,60)=PARAM!$B$56)*($B560&gt;(60-PARAM!$B$56))*HLOOKUP(($B560+PARAM!$B$56)/12,Loyalty,2)*$F$1*MAX(AT559,0)</f>
        <v>18.557001321003963</v>
      </c>
      <c r="AS560" s="75">
        <f>PARAM!$C$26+MAX($G$13-CHOOSE(PARAM!$B$44,MAX(0,AT559*$F$1),0),0)*RATES!$L536/12+$H$13*(PARAM!$D$51/12)*RATES!$N536/100</f>
        <v>174.70833333333331</v>
      </c>
      <c r="AT560" s="16">
        <f t="shared" si="380"/>
        <v>-14775.692986787155</v>
      </c>
      <c r="AU560" s="15">
        <f t="shared" si="355"/>
        <v>22.170849845882874</v>
      </c>
      <c r="AV560" s="75">
        <f>AU560*(1-PARAM!$C$27)*$I$14+(MOD($B560,60)=PARAM!$B$56)*($B560&gt;(60-PARAM!$B$56))*HLOOKUP(($B560+PARAM!$B$56)/12,Loyalty,2)*$F$1*MAX(AX559,0)</f>
        <v>18.557001321003963</v>
      </c>
      <c r="AW560" s="75">
        <f>PARAM!$C$26+MAX($G$14-CHOOSE(PARAM!$B$44,MAX(0,AX559*$F$1),0),0)*RATES!$L536/12+$H$14*(PARAM!$D$51/12)*RATES!$N536/100</f>
        <v>174.70833333333331</v>
      </c>
      <c r="AX560" s="16">
        <f t="shared" si="381"/>
        <v>-14775.692986787155</v>
      </c>
      <c r="AY560" s="15">
        <f t="shared" si="356"/>
        <v>22.170849845882874</v>
      </c>
      <c r="AZ560" s="75">
        <f>AY560*(1-PARAM!$C$27)*$I$15+(MOD($B560,60)=PARAM!$B$56)*($B560&gt;(60-PARAM!$B$56))*HLOOKUP(($B560+PARAM!$B$56)/12,Loyalty,2)*$F$1*MAX(BB559,0)</f>
        <v>18.557001321003963</v>
      </c>
      <c r="BA560" s="75">
        <f>PARAM!$C$26+MAX($G$15-CHOOSE(PARAM!$B$44,MAX(0,BB559*$F$1),0),0)*RATES!$L536/12+$H$15*(PARAM!$D$51/12)*RATES!$N536/100</f>
        <v>174.70833333333331</v>
      </c>
      <c r="BB560" s="16">
        <f t="shared" si="382"/>
        <v>-14775.692986787155</v>
      </c>
      <c r="BC560" s="15">
        <f t="shared" si="357"/>
        <v>22.170849845882874</v>
      </c>
      <c r="BD560" s="75">
        <f>BC560*(1-PARAM!$C$27)*$I$16+(MOD($B560,60)=PARAM!$B$56)*($B560&gt;(60-PARAM!$B$56))*HLOOKUP(($B560+PARAM!$B$56)/12,Loyalty,2)*$F$1*MAX(BF559,0)</f>
        <v>18.557001321003963</v>
      </c>
      <c r="BE560" s="75">
        <f>PARAM!$C$26+MAX($G$16-CHOOSE(PARAM!$B$44,MAX(0,BF559*$F$1),0),0)*RATES!$L536/12+$H$16*(PARAM!$D$51/12)*RATES!$N536/100</f>
        <v>174.70833333333331</v>
      </c>
      <c r="BF560" s="16">
        <f t="shared" si="383"/>
        <v>-14775.692986787155</v>
      </c>
      <c r="BG560" s="15">
        <f t="shared" si="358"/>
        <v>22.170849845882874</v>
      </c>
      <c r="BH560" s="75">
        <f>BG560*(1-PARAM!$C$27)*$I$17+(MOD($B560,60)=PARAM!$B$56)*($B560&gt;(60-PARAM!$B$56))*HLOOKUP(($B560+PARAM!$B$56)/12,Loyalty,2)*$F$1*MAX(BJ559,0)</f>
        <v>18.557001321003963</v>
      </c>
      <c r="BI560" s="75">
        <f>PARAM!$C$26+MAX($G$17-CHOOSE(PARAM!$B$44,MAX(0,BJ559*$F$1),0),0)*RATES!$L536/12+$H$17*(PARAM!$D$51/12)*RATES!$N536/100</f>
        <v>174.70833333333331</v>
      </c>
      <c r="BJ560" s="16">
        <f t="shared" si="384"/>
        <v>-14775.692986787155</v>
      </c>
      <c r="BK560" s="15">
        <f t="shared" si="359"/>
        <v>22.170849845882874</v>
      </c>
      <c r="BL560" s="75">
        <f>BK560*(1-PARAM!$C$27)*$I$18+(MOD($B560,60)=PARAM!$B$56)*($B560&gt;(60-PARAM!$B$56))*HLOOKUP(($B560+PARAM!$B$56)/12,Loyalty,2)*$F$1*MAX(BN559,0)</f>
        <v>18.557001321003963</v>
      </c>
      <c r="BM560" s="75">
        <f>PARAM!$C$26+MAX($G$18-CHOOSE(PARAM!$B$44,MAX(0,BN559*$F$1),0),0)*RATES!$L536/12+$H$18*(PARAM!$D$51/12)*RATES!$N536/100</f>
        <v>174.70833333333331</v>
      </c>
      <c r="BN560" s="16">
        <f t="shared" si="385"/>
        <v>-14775.692986787155</v>
      </c>
      <c r="BO560" s="15">
        <f t="shared" si="360"/>
        <v>22.170849845882874</v>
      </c>
      <c r="BP560" s="75">
        <f>BO560*(1-PARAM!$C$27)*$I$19+(MOD($B560,60)=PARAM!$B$56)*($B560&gt;(60-PARAM!$B$56))*HLOOKUP(($B560+PARAM!$B$56)/12,Loyalty,2)*$F$1*MAX(BR559,0)</f>
        <v>18.557001321003963</v>
      </c>
      <c r="BQ560" s="75">
        <f>PARAM!$C$26+MAX($G$19-CHOOSE(PARAM!$B$44,MAX(0,BR559*$F$1),0),0)*RATES!$L536/12+$H$19*(PARAM!$D$51/12)*RATES!$N536/100</f>
        <v>174.70833333333331</v>
      </c>
      <c r="BR560" s="16">
        <f t="shared" si="386"/>
        <v>-14775.692986787155</v>
      </c>
      <c r="BS560" s="15">
        <f t="shared" si="361"/>
        <v>22.170849845882874</v>
      </c>
      <c r="BT560" s="75">
        <f>BS560*(1-PARAM!$C$27)*$I$20+(MOD($B560,60)=PARAM!$B$56)*($B560&gt;(60-PARAM!$B$56))*HLOOKUP(($B560+PARAM!$B$56)/12,Loyalty,2)*$F$1*MAX(BV559,0)</f>
        <v>18.557001321003963</v>
      </c>
      <c r="BU560" s="75">
        <f>PARAM!$C$26+MAX($G$20-CHOOSE(PARAM!$B$44,MAX(0,BV559*$F$1),0),0)*RATES!$L536/12+$H$20*(PARAM!$D$51/12)*RATES!$N536/100</f>
        <v>174.70833333333331</v>
      </c>
      <c r="BV560" s="16">
        <f t="shared" si="387"/>
        <v>-14775.692986787155</v>
      </c>
      <c r="BW560" s="15">
        <f t="shared" si="362"/>
        <v>22.170849845882874</v>
      </c>
      <c r="BX560" s="75">
        <f>BW560*(1-PARAM!$C$27)*$I$21+(MOD($B560,60)=PARAM!$B$56)*($B560&gt;(60-PARAM!$B$56))*HLOOKUP(($B560+PARAM!$B$56)/12,Loyalty,2)*$F$1*MAX(BZ559,0)</f>
        <v>18.557001321003963</v>
      </c>
      <c r="BY560" s="75">
        <f>PARAM!$C$26+MAX($G$21-CHOOSE(PARAM!$B$44,MAX(0,BZ559*$F$1),0),0)*RATES!$L536/12+$H$21*(PARAM!$D$51/12)*RATES!$N536/100</f>
        <v>174.70833333333331</v>
      </c>
      <c r="BZ560" s="16">
        <f t="shared" si="388"/>
        <v>-14775.692986787155</v>
      </c>
      <c r="CA560" s="15">
        <f t="shared" si="363"/>
        <v>22.170849845882874</v>
      </c>
      <c r="CB560" s="75">
        <f>CA560*(1-PARAM!$C$27)*$I$22+(MOD($B560,60)=PARAM!$B$56)*($B560&gt;(60-PARAM!$B$56))*HLOOKUP(($B560+PARAM!$B$56)/12,Loyalty,2)*$F$1*MAX(CD559,0)</f>
        <v>18.557001321003963</v>
      </c>
      <c r="CC560" s="75">
        <f>PARAM!$C$26+MAX($G$22-CHOOSE(PARAM!$B$44,MAX(0,CD559*$F$1),0),0)*RATES!$L536/12+$H$22*(PARAM!$D$51/12)*RATES!$N536/100</f>
        <v>174.70833333333331</v>
      </c>
      <c r="CD560" s="16">
        <f t="shared" si="389"/>
        <v>-14775.692986787155</v>
      </c>
      <c r="CE560" s="33">
        <f>IF(0=MOD(B560,12/PARAM!$D$51),1,0)</f>
        <v>1</v>
      </c>
      <c r="CF560" s="15">
        <f t="shared" si="364"/>
        <v>0</v>
      </c>
      <c r="CG560" s="75">
        <f>CF560*(1-PARAM!$C$27)*$R$3+(MOD($B560/12,5)=0)*($B560&gt;60)*HLOOKUP($B560/12,Loyalty,2)*$F$1*MAX(CI559,0)</f>
        <v>0</v>
      </c>
      <c r="CH560" s="75">
        <f>PARAM!$C$26+MAX($P$3-CHOOSE(PARAM!$B$44,MAX(0,CI559*$F$1),0),0)*RATES!$L536/12+$Q$3*(PARAM!$D$51/12)*RATES!$N536/100</f>
        <v>174.70833333333331</v>
      </c>
      <c r="CI560" s="16">
        <f>IF(CI559&gt;0,CI559*PARAM!$C$53,CI559)+CG560-CH560</f>
        <v>-24546.999999999967</v>
      </c>
      <c r="CJ560" s="15">
        <f t="shared" si="390"/>
        <v>0</v>
      </c>
      <c r="CK560" s="75">
        <f>CJ560*(1-PARAM!$C$27)*$R$4+(MOD($B560/12,5)=0)*($B560&gt;60)*HLOOKUP($B560/12,Loyalty,2)*$F$1*MAX(CM559,0)</f>
        <v>0</v>
      </c>
      <c r="CL560" s="75">
        <f>PARAM!$C$26+MAX($P$4-CHOOSE(PARAM!$B$44,MAX(0,CM559*$F$1),0),0)*RATES!$L536/12+$Q$4*(PARAM!$D$51/12)*RATES!$N536/100</f>
        <v>174.70833333333331</v>
      </c>
      <c r="CM560" s="16">
        <f>IF(CM559&gt;0,CM559*PARAM!$C$53,CM559)+CK560-CL560</f>
        <v>-24546.999999999967</v>
      </c>
      <c r="CO560" s="176"/>
    </row>
    <row r="561" spans="1:93" x14ac:dyDescent="0.2">
      <c r="A561" t="b">
        <f t="shared" si="365"/>
        <v>0</v>
      </c>
      <c r="B561" s="33">
        <v>534</v>
      </c>
      <c r="C561" s="15">
        <f t="shared" si="366"/>
        <v>20.081305947392778</v>
      </c>
      <c r="D561" s="75">
        <f>C561*(1-PARAM!$C$27)*$I$3+(MOD($B561,60)=PARAM!$B$56)*($B561&gt;(60-PARAM!$B$56))*HLOOKUP(($B561+PARAM!$B$56)/12,Loyalty,2)*$F$1*MAX(F560,0)</f>
        <v>16.808053077967756</v>
      </c>
      <c r="E561" s="75">
        <f>PARAM!$C$26+MAX($G$3-CHOOSE(PARAM!$B$44,MAX(0,F560*$F$1),0),0)*RATES!$L537/12+$H$3*(PARAM!$D$51/12)*RATES!$N537/100</f>
        <v>191.66666666666666</v>
      </c>
      <c r="F561" s="16">
        <f t="shared" si="367"/>
        <v>-15919.591514435613</v>
      </c>
      <c r="G561" s="15">
        <f t="shared" si="368"/>
        <v>22.035289406060361</v>
      </c>
      <c r="H561" s="75">
        <f>G561*(1-PARAM!$C$27)*$I$4+(MOD($B561,60)=PARAM!$B$56)*($B561&gt;(60-PARAM!$B$56))*HLOOKUP(($B561+PARAM!$B$56)/12,Loyalty,2)*$F$1*MAX(J560,0)</f>
        <v>18.443537232872522</v>
      </c>
      <c r="I561" s="75">
        <f>PARAM!$C$26+MAX($G$4-CHOOSE(PARAM!$B$44,MAX(0,J560*$F$1),0),0)*RATES!$L537/12+$H$4*(PARAM!$D$51/12)*RATES!$N537/100</f>
        <v>191.66666666666666</v>
      </c>
      <c r="J561" s="16">
        <f t="shared" si="369"/>
        <v>-15012.4100115948</v>
      </c>
      <c r="K561" s="15">
        <f t="shared" si="370"/>
        <v>22.170849845882874</v>
      </c>
      <c r="L561" s="75">
        <f>K561*(1-PARAM!$C$27)*$I$5+(MOD($B561,60)=PARAM!$B$56)*($B561&gt;(60-PARAM!$B$56))*HLOOKUP(($B561+PARAM!$B$56)/12,Loyalty,2)*$F$1*MAX(N560,0)</f>
        <v>18.557001321003963</v>
      </c>
      <c r="M561" s="75">
        <f>PARAM!$C$26+MAX($G$5-CHOOSE(PARAM!$B$44,MAX(0,N560*$F$1),0),0)*RATES!$L537/12+$H$5*(PARAM!$D$51/12)*RATES!$N537/100</f>
        <v>191.66666666666666</v>
      </c>
      <c r="N561" s="16">
        <f t="shared" si="371"/>
        <v>-14948.802652132817</v>
      </c>
      <c r="O561" s="15">
        <f t="shared" si="372"/>
        <v>22.170849845882874</v>
      </c>
      <c r="P561" s="75">
        <f>O561*(1-PARAM!$C$27)*$I$6+(MOD($B561,60)=PARAM!$B$56)*($B561&gt;(60-PARAM!$B$56))*HLOOKUP(($B561+PARAM!$B$56)/12,Loyalty,2)*$F$1*MAX(R560,0)</f>
        <v>18.557001321003963</v>
      </c>
      <c r="Q561" s="75">
        <f>PARAM!$C$26+MAX($G$6-CHOOSE(PARAM!$B$44,MAX(0,R560*$F$1),0),0)*RATES!$L537/12+$H$6*(PARAM!$D$51/12)*RATES!$N537/100</f>
        <v>191.66666666666666</v>
      </c>
      <c r="R561" s="16">
        <f t="shared" si="373"/>
        <v>-14948.802652132817</v>
      </c>
      <c r="S561" s="15">
        <f t="shared" si="348"/>
        <v>22.170849845882874</v>
      </c>
      <c r="T561" s="75">
        <f>S561*(1-PARAM!$C$27)*$I$7+(MOD($B561,60)=PARAM!$B$56)*($B561&gt;(60-PARAM!$B$56))*HLOOKUP(($B561+PARAM!$B$56)/12,Loyalty,2)*$F$1*MAX(V560,0)</f>
        <v>18.557001321003963</v>
      </c>
      <c r="U561" s="75">
        <f>PARAM!$C$26+MAX($G$7-CHOOSE(PARAM!$B$44,MAX(0,V560*$F$1),0),0)*RATES!$L537/12+$H$7*(PARAM!$D$51/12)*RATES!$N537/100</f>
        <v>191.66666666666666</v>
      </c>
      <c r="V561" s="16">
        <f t="shared" si="374"/>
        <v>-14948.802652132817</v>
      </c>
      <c r="W561" s="15">
        <f t="shared" si="349"/>
        <v>22.170849845882874</v>
      </c>
      <c r="X561" s="75">
        <f>W561*(1-PARAM!$C$27)*$I$8+(MOD($B561,60)=PARAM!$B$56)*($B561&gt;(60-PARAM!$B$56))*HLOOKUP(($B561+PARAM!$B$56)/12,Loyalty,2)*$F$1*MAX(Z560,0)</f>
        <v>18.557001321003963</v>
      </c>
      <c r="Y561" s="75">
        <f>PARAM!$C$26+MAX($G$8-CHOOSE(PARAM!$B$44,MAX(0,Z560*$F$1),0),0)*RATES!$L537/12+$H$8*(PARAM!$D$51/12)*RATES!$N537/100</f>
        <v>191.66666666666666</v>
      </c>
      <c r="Z561" s="16">
        <f t="shared" si="375"/>
        <v>-14948.802652132817</v>
      </c>
      <c r="AA561" s="15">
        <f t="shared" si="350"/>
        <v>22.170849845882874</v>
      </c>
      <c r="AB561" s="75">
        <f>AA561*(1-PARAM!$C$27)*$I$9+(MOD($B561,60)=PARAM!$B$56)*($B561&gt;(60-PARAM!$B$56))*HLOOKUP(($B561+PARAM!$B$56)/12,Loyalty,2)*$F$1*MAX(AD560,0)</f>
        <v>18.557001321003963</v>
      </c>
      <c r="AC561" s="75">
        <f>PARAM!$C$26+MAX($G$9-CHOOSE(PARAM!$B$44,MAX(0,AD560*$F$1),0),0)*RATES!$L537/12+$H$9*(PARAM!$D$51/12)*RATES!$N537/100</f>
        <v>191.66666666666666</v>
      </c>
      <c r="AD561" s="16">
        <f t="shared" si="376"/>
        <v>-14948.802652132817</v>
      </c>
      <c r="AE561" s="15">
        <f t="shared" si="351"/>
        <v>22.170849845882874</v>
      </c>
      <c r="AF561" s="75">
        <f>AE561*(1-PARAM!$C$27)*$I$10+(MOD($B561,60)=PARAM!$B$56)*($B561&gt;(60-PARAM!$B$56))*HLOOKUP(($B561+PARAM!$B$56)/12,Loyalty,2)*$F$1*MAX(AH560,0)</f>
        <v>18.557001321003963</v>
      </c>
      <c r="AG561" s="75">
        <f>PARAM!$C$26+MAX($G$10-CHOOSE(PARAM!$B$44,MAX(0,AH560*$F$1),0),0)*RATES!$L537/12+$H$10*(PARAM!$D$51/12)*RATES!$N537/100</f>
        <v>191.66666666666666</v>
      </c>
      <c r="AH561" s="16">
        <f t="shared" si="377"/>
        <v>-14948.802652132817</v>
      </c>
      <c r="AI561" s="15">
        <f t="shared" si="352"/>
        <v>22.170849845882874</v>
      </c>
      <c r="AJ561" s="75">
        <f>AI561*(1-PARAM!$C$27)*$I$11+(MOD($B561,60)=PARAM!$B$56)*($B561&gt;(60-PARAM!$B$56))*HLOOKUP(($B561+PARAM!$B$56)/12,Loyalty,2)*$F$1*MAX(AL560,0)</f>
        <v>18.557001321003963</v>
      </c>
      <c r="AK561" s="75">
        <f>PARAM!$C$26+MAX($G$11-CHOOSE(PARAM!$B$44,MAX(0,AL560*$F$1),0),0)*RATES!$L537/12+$H$11*(PARAM!$D$51/12)*RATES!$N537/100</f>
        <v>191.66666666666666</v>
      </c>
      <c r="AL561" s="16">
        <f t="shared" si="378"/>
        <v>-14948.802652132817</v>
      </c>
      <c r="AM561" s="15">
        <f t="shared" si="353"/>
        <v>22.170849845882874</v>
      </c>
      <c r="AN561" s="75">
        <f>AM561*(1-PARAM!$C$27)*$I$12+(MOD($B561,60)=PARAM!$B$56)*($B561&gt;(60-PARAM!$B$56))*HLOOKUP(($B561+PARAM!$B$56)/12,Loyalty,2)*$F$1*MAX(AP560,0)</f>
        <v>18.557001321003963</v>
      </c>
      <c r="AO561" s="75">
        <f>PARAM!$C$26+MAX($G$12-CHOOSE(PARAM!$B$44,MAX(0,AP560*$F$1),0),0)*RATES!$L537/12+$H$12*(PARAM!$D$51/12)*RATES!$N537/100</f>
        <v>191.66666666666666</v>
      </c>
      <c r="AP561" s="16">
        <f t="shared" si="379"/>
        <v>-14948.802652132817</v>
      </c>
      <c r="AQ561" s="15">
        <f t="shared" si="354"/>
        <v>22.170849845882874</v>
      </c>
      <c r="AR561" s="75">
        <f>AQ561*(1-PARAM!$C$27)*$I$13+(MOD($B561,60)=PARAM!$B$56)*($B561&gt;(60-PARAM!$B$56))*HLOOKUP(($B561+PARAM!$B$56)/12,Loyalty,2)*$F$1*MAX(AT560,0)</f>
        <v>18.557001321003963</v>
      </c>
      <c r="AS561" s="75">
        <f>PARAM!$C$26+MAX($G$13-CHOOSE(PARAM!$B$44,MAX(0,AT560*$F$1),0),0)*RATES!$L537/12+$H$13*(PARAM!$D$51/12)*RATES!$N537/100</f>
        <v>191.66666666666666</v>
      </c>
      <c r="AT561" s="16">
        <f t="shared" si="380"/>
        <v>-14948.802652132817</v>
      </c>
      <c r="AU561" s="15">
        <f t="shared" si="355"/>
        <v>22.170849845882874</v>
      </c>
      <c r="AV561" s="75">
        <f>AU561*(1-PARAM!$C$27)*$I$14+(MOD($B561,60)=PARAM!$B$56)*($B561&gt;(60-PARAM!$B$56))*HLOOKUP(($B561+PARAM!$B$56)/12,Loyalty,2)*$F$1*MAX(AX560,0)</f>
        <v>18.557001321003963</v>
      </c>
      <c r="AW561" s="75">
        <f>PARAM!$C$26+MAX($G$14-CHOOSE(PARAM!$B$44,MAX(0,AX560*$F$1),0),0)*RATES!$L537/12+$H$14*(PARAM!$D$51/12)*RATES!$N537/100</f>
        <v>191.66666666666666</v>
      </c>
      <c r="AX561" s="16">
        <f t="shared" si="381"/>
        <v>-14948.802652132817</v>
      </c>
      <c r="AY561" s="15">
        <f t="shared" si="356"/>
        <v>22.170849845882874</v>
      </c>
      <c r="AZ561" s="75">
        <f>AY561*(1-PARAM!$C$27)*$I$15+(MOD($B561,60)=PARAM!$B$56)*($B561&gt;(60-PARAM!$B$56))*HLOOKUP(($B561+PARAM!$B$56)/12,Loyalty,2)*$F$1*MAX(BB560,0)</f>
        <v>18.557001321003963</v>
      </c>
      <c r="BA561" s="75">
        <f>PARAM!$C$26+MAX($G$15-CHOOSE(PARAM!$B$44,MAX(0,BB560*$F$1),0),0)*RATES!$L537/12+$H$15*(PARAM!$D$51/12)*RATES!$N537/100</f>
        <v>191.66666666666666</v>
      </c>
      <c r="BB561" s="16">
        <f t="shared" si="382"/>
        <v>-14948.802652132817</v>
      </c>
      <c r="BC561" s="15">
        <f t="shared" si="357"/>
        <v>22.170849845882874</v>
      </c>
      <c r="BD561" s="75">
        <f>BC561*(1-PARAM!$C$27)*$I$16+(MOD($B561,60)=PARAM!$B$56)*($B561&gt;(60-PARAM!$B$56))*HLOOKUP(($B561+PARAM!$B$56)/12,Loyalty,2)*$F$1*MAX(BF560,0)</f>
        <v>18.557001321003963</v>
      </c>
      <c r="BE561" s="75">
        <f>PARAM!$C$26+MAX($G$16-CHOOSE(PARAM!$B$44,MAX(0,BF560*$F$1),0),0)*RATES!$L537/12+$H$16*(PARAM!$D$51/12)*RATES!$N537/100</f>
        <v>191.66666666666666</v>
      </c>
      <c r="BF561" s="16">
        <f t="shared" si="383"/>
        <v>-14948.802652132817</v>
      </c>
      <c r="BG561" s="15">
        <f t="shared" si="358"/>
        <v>22.170849845882874</v>
      </c>
      <c r="BH561" s="75">
        <f>BG561*(1-PARAM!$C$27)*$I$17+(MOD($B561,60)=PARAM!$B$56)*($B561&gt;(60-PARAM!$B$56))*HLOOKUP(($B561+PARAM!$B$56)/12,Loyalty,2)*$F$1*MAX(BJ560,0)</f>
        <v>18.557001321003963</v>
      </c>
      <c r="BI561" s="75">
        <f>PARAM!$C$26+MAX($G$17-CHOOSE(PARAM!$B$44,MAX(0,BJ560*$F$1),0),0)*RATES!$L537/12+$H$17*(PARAM!$D$51/12)*RATES!$N537/100</f>
        <v>191.66666666666666</v>
      </c>
      <c r="BJ561" s="16">
        <f t="shared" si="384"/>
        <v>-14948.802652132817</v>
      </c>
      <c r="BK561" s="15">
        <f t="shared" si="359"/>
        <v>22.170849845882874</v>
      </c>
      <c r="BL561" s="75">
        <f>BK561*(1-PARAM!$C$27)*$I$18+(MOD($B561,60)=PARAM!$B$56)*($B561&gt;(60-PARAM!$B$56))*HLOOKUP(($B561+PARAM!$B$56)/12,Loyalty,2)*$F$1*MAX(BN560,0)</f>
        <v>18.557001321003963</v>
      </c>
      <c r="BM561" s="75">
        <f>PARAM!$C$26+MAX($G$18-CHOOSE(PARAM!$B$44,MAX(0,BN560*$F$1),0),0)*RATES!$L537/12+$H$18*(PARAM!$D$51/12)*RATES!$N537/100</f>
        <v>191.66666666666666</v>
      </c>
      <c r="BN561" s="16">
        <f t="shared" si="385"/>
        <v>-14948.802652132817</v>
      </c>
      <c r="BO561" s="15">
        <f t="shared" si="360"/>
        <v>22.170849845882874</v>
      </c>
      <c r="BP561" s="75">
        <f>BO561*(1-PARAM!$C$27)*$I$19+(MOD($B561,60)=PARAM!$B$56)*($B561&gt;(60-PARAM!$B$56))*HLOOKUP(($B561+PARAM!$B$56)/12,Loyalty,2)*$F$1*MAX(BR560,0)</f>
        <v>18.557001321003963</v>
      </c>
      <c r="BQ561" s="75">
        <f>PARAM!$C$26+MAX($G$19-CHOOSE(PARAM!$B$44,MAX(0,BR560*$F$1),0),0)*RATES!$L537/12+$H$19*(PARAM!$D$51/12)*RATES!$N537/100</f>
        <v>191.66666666666666</v>
      </c>
      <c r="BR561" s="16">
        <f t="shared" si="386"/>
        <v>-14948.802652132817</v>
      </c>
      <c r="BS561" s="15">
        <f t="shared" si="361"/>
        <v>22.170849845882874</v>
      </c>
      <c r="BT561" s="75">
        <f>BS561*(1-PARAM!$C$27)*$I$20+(MOD($B561,60)=PARAM!$B$56)*($B561&gt;(60-PARAM!$B$56))*HLOOKUP(($B561+PARAM!$B$56)/12,Loyalty,2)*$F$1*MAX(BV560,0)</f>
        <v>18.557001321003963</v>
      </c>
      <c r="BU561" s="75">
        <f>PARAM!$C$26+MAX($G$20-CHOOSE(PARAM!$B$44,MAX(0,BV560*$F$1),0),0)*RATES!$L537/12+$H$20*(PARAM!$D$51/12)*RATES!$N537/100</f>
        <v>191.66666666666666</v>
      </c>
      <c r="BV561" s="16">
        <f t="shared" si="387"/>
        <v>-14948.802652132817</v>
      </c>
      <c r="BW561" s="15">
        <f t="shared" si="362"/>
        <v>22.170849845882874</v>
      </c>
      <c r="BX561" s="75">
        <f>BW561*(1-PARAM!$C$27)*$I$21+(MOD($B561,60)=PARAM!$B$56)*($B561&gt;(60-PARAM!$B$56))*HLOOKUP(($B561+PARAM!$B$56)/12,Loyalty,2)*$F$1*MAX(BZ560,0)</f>
        <v>18.557001321003963</v>
      </c>
      <c r="BY561" s="75">
        <f>PARAM!$C$26+MAX($G$21-CHOOSE(PARAM!$B$44,MAX(0,BZ560*$F$1),0),0)*RATES!$L537/12+$H$21*(PARAM!$D$51/12)*RATES!$N537/100</f>
        <v>191.66666666666666</v>
      </c>
      <c r="BZ561" s="16">
        <f t="shared" si="388"/>
        <v>-14948.802652132817</v>
      </c>
      <c r="CA561" s="15">
        <f t="shared" si="363"/>
        <v>22.170849845882874</v>
      </c>
      <c r="CB561" s="75">
        <f>CA561*(1-PARAM!$C$27)*$I$22+(MOD($B561,60)=PARAM!$B$56)*($B561&gt;(60-PARAM!$B$56))*HLOOKUP(($B561+PARAM!$B$56)/12,Loyalty,2)*$F$1*MAX(CD560,0)</f>
        <v>18.557001321003963</v>
      </c>
      <c r="CC561" s="75">
        <f>PARAM!$C$26+MAX($G$22-CHOOSE(PARAM!$B$44,MAX(0,CD560*$F$1),0),0)*RATES!$L537/12+$H$22*(PARAM!$D$51/12)*RATES!$N537/100</f>
        <v>191.66666666666666</v>
      </c>
      <c r="CD561" s="16">
        <f t="shared" si="389"/>
        <v>-14948.802652132817</v>
      </c>
      <c r="CE561" s="33">
        <f>IF(0=MOD(B561,12/PARAM!$D$51),1,0)</f>
        <v>1</v>
      </c>
      <c r="CF561" s="15">
        <f t="shared" si="364"/>
        <v>0</v>
      </c>
      <c r="CG561" s="75">
        <f>CF561*(1-PARAM!$C$27)*$R$3+(MOD($B561/12,5)=0)*($B561&gt;60)*HLOOKUP($B561/12,Loyalty,2)*$F$1*MAX(CI560,0)</f>
        <v>0</v>
      </c>
      <c r="CH561" s="75">
        <f>PARAM!$C$26+MAX($P$3-CHOOSE(PARAM!$B$44,MAX(0,CI560*$F$1),0),0)*RATES!$L537/12+$Q$3*(PARAM!$D$51/12)*RATES!$N537/100</f>
        <v>191.66666666666666</v>
      </c>
      <c r="CI561" s="16">
        <f>IF(CI560&gt;0,CI560*PARAM!$C$53,CI560)+CG561-CH561</f>
        <v>-24738.666666666635</v>
      </c>
      <c r="CJ561" s="15">
        <f t="shared" si="390"/>
        <v>0</v>
      </c>
      <c r="CK561" s="75">
        <f>CJ561*(1-PARAM!$C$27)*$R$4+(MOD($B561/12,5)=0)*($B561&gt;60)*HLOOKUP($B561/12,Loyalty,2)*$F$1*MAX(CM560,0)</f>
        <v>0</v>
      </c>
      <c r="CL561" s="75">
        <f>PARAM!$C$26+MAX($P$4-CHOOSE(PARAM!$B$44,MAX(0,CM560*$F$1),0),0)*RATES!$L537/12+$Q$4*(PARAM!$D$51/12)*RATES!$N537/100</f>
        <v>191.66666666666666</v>
      </c>
      <c r="CM561" s="16">
        <f>IF(CM560&gt;0,CM560*PARAM!$C$53,CM560)+CK561-CL561</f>
        <v>-24738.666666666635</v>
      </c>
      <c r="CO561" s="176"/>
    </row>
    <row r="562" spans="1:93" x14ac:dyDescent="0.2">
      <c r="A562" t="b">
        <f t="shared" si="365"/>
        <v>0</v>
      </c>
      <c r="B562" s="33">
        <v>535</v>
      </c>
      <c r="C562" s="15">
        <f t="shared" si="366"/>
        <v>20.081305947392778</v>
      </c>
      <c r="D562" s="75">
        <f>C562*(1-PARAM!$C$27)*$I$3+(MOD($B562,60)=PARAM!$B$56)*($B562&gt;(60-PARAM!$B$56))*HLOOKUP(($B562+PARAM!$B$56)/12,Loyalty,2)*$F$1*MAX(F561,0)</f>
        <v>16.808053077967756</v>
      </c>
      <c r="E562" s="75">
        <f>PARAM!$C$26+MAX($G$3-CHOOSE(PARAM!$B$44,MAX(0,F561*$F$1),0),0)*RATES!$L538/12+$H$3*(PARAM!$D$51/12)*RATES!$N538/100</f>
        <v>191.66666666666666</v>
      </c>
      <c r="F562" s="16">
        <f t="shared" si="367"/>
        <v>-16094.450128024311</v>
      </c>
      <c r="G562" s="15">
        <f t="shared" si="368"/>
        <v>22.035289406060361</v>
      </c>
      <c r="H562" s="75">
        <f>G562*(1-PARAM!$C$27)*$I$4+(MOD($B562,60)=PARAM!$B$56)*($B562&gt;(60-PARAM!$B$56))*HLOOKUP(($B562+PARAM!$B$56)/12,Loyalty,2)*$F$1*MAX(J561,0)</f>
        <v>18.443537232872522</v>
      </c>
      <c r="I562" s="75">
        <f>PARAM!$C$26+MAX($G$4-CHOOSE(PARAM!$B$44,MAX(0,J561*$F$1),0),0)*RATES!$L538/12+$H$4*(PARAM!$D$51/12)*RATES!$N538/100</f>
        <v>191.66666666666666</v>
      </c>
      <c r="J562" s="16">
        <f t="shared" si="369"/>
        <v>-15185.633141028595</v>
      </c>
      <c r="K562" s="15">
        <f t="shared" si="370"/>
        <v>22.170849845882874</v>
      </c>
      <c r="L562" s="75">
        <f>K562*(1-PARAM!$C$27)*$I$5+(MOD($B562,60)=PARAM!$B$56)*($B562&gt;(60-PARAM!$B$56))*HLOOKUP(($B562+PARAM!$B$56)/12,Loyalty,2)*$F$1*MAX(N561,0)</f>
        <v>18.557001321003963</v>
      </c>
      <c r="M562" s="75">
        <f>PARAM!$C$26+MAX($G$5-CHOOSE(PARAM!$B$44,MAX(0,N561*$F$1),0),0)*RATES!$L538/12+$H$5*(PARAM!$D$51/12)*RATES!$N538/100</f>
        <v>191.66666666666666</v>
      </c>
      <c r="N562" s="16">
        <f t="shared" si="371"/>
        <v>-15121.91231747848</v>
      </c>
      <c r="O562" s="15">
        <f t="shared" si="372"/>
        <v>22.170849845882874</v>
      </c>
      <c r="P562" s="75">
        <f>O562*(1-PARAM!$C$27)*$I$6+(MOD($B562,60)=PARAM!$B$56)*($B562&gt;(60-PARAM!$B$56))*HLOOKUP(($B562+PARAM!$B$56)/12,Loyalty,2)*$F$1*MAX(R561,0)</f>
        <v>18.557001321003963</v>
      </c>
      <c r="Q562" s="75">
        <f>PARAM!$C$26+MAX($G$6-CHOOSE(PARAM!$B$44,MAX(0,R561*$F$1),0),0)*RATES!$L538/12+$H$6*(PARAM!$D$51/12)*RATES!$N538/100</f>
        <v>191.66666666666666</v>
      </c>
      <c r="R562" s="16">
        <f t="shared" si="373"/>
        <v>-15121.91231747848</v>
      </c>
      <c r="S562" s="15">
        <f t="shared" si="348"/>
        <v>22.170849845882874</v>
      </c>
      <c r="T562" s="75">
        <f>S562*(1-PARAM!$C$27)*$I$7+(MOD($B562,60)=PARAM!$B$56)*($B562&gt;(60-PARAM!$B$56))*HLOOKUP(($B562+PARAM!$B$56)/12,Loyalty,2)*$F$1*MAX(V561,0)</f>
        <v>18.557001321003963</v>
      </c>
      <c r="U562" s="75">
        <f>PARAM!$C$26+MAX($G$7-CHOOSE(PARAM!$B$44,MAX(0,V561*$F$1),0),0)*RATES!$L538/12+$H$7*(PARAM!$D$51/12)*RATES!$N538/100</f>
        <v>191.66666666666666</v>
      </c>
      <c r="V562" s="16">
        <f t="shared" si="374"/>
        <v>-15121.91231747848</v>
      </c>
      <c r="W562" s="15">
        <f t="shared" si="349"/>
        <v>22.170849845882874</v>
      </c>
      <c r="X562" s="75">
        <f>W562*(1-PARAM!$C$27)*$I$8+(MOD($B562,60)=PARAM!$B$56)*($B562&gt;(60-PARAM!$B$56))*HLOOKUP(($B562+PARAM!$B$56)/12,Loyalty,2)*$F$1*MAX(Z561,0)</f>
        <v>18.557001321003963</v>
      </c>
      <c r="Y562" s="75">
        <f>PARAM!$C$26+MAX($G$8-CHOOSE(PARAM!$B$44,MAX(0,Z561*$F$1),0),0)*RATES!$L538/12+$H$8*(PARAM!$D$51/12)*RATES!$N538/100</f>
        <v>191.66666666666666</v>
      </c>
      <c r="Z562" s="16">
        <f t="shared" si="375"/>
        <v>-15121.91231747848</v>
      </c>
      <c r="AA562" s="15">
        <f t="shared" si="350"/>
        <v>22.170849845882874</v>
      </c>
      <c r="AB562" s="75">
        <f>AA562*(1-PARAM!$C$27)*$I$9+(MOD($B562,60)=PARAM!$B$56)*($B562&gt;(60-PARAM!$B$56))*HLOOKUP(($B562+PARAM!$B$56)/12,Loyalty,2)*$F$1*MAX(AD561,0)</f>
        <v>18.557001321003963</v>
      </c>
      <c r="AC562" s="75">
        <f>PARAM!$C$26+MAX($G$9-CHOOSE(PARAM!$B$44,MAX(0,AD561*$F$1),0),0)*RATES!$L538/12+$H$9*(PARAM!$D$51/12)*RATES!$N538/100</f>
        <v>191.66666666666666</v>
      </c>
      <c r="AD562" s="16">
        <f t="shared" si="376"/>
        <v>-15121.91231747848</v>
      </c>
      <c r="AE562" s="15">
        <f t="shared" si="351"/>
        <v>22.170849845882874</v>
      </c>
      <c r="AF562" s="75">
        <f>AE562*(1-PARAM!$C$27)*$I$10+(MOD($B562,60)=PARAM!$B$56)*($B562&gt;(60-PARAM!$B$56))*HLOOKUP(($B562+PARAM!$B$56)/12,Loyalty,2)*$F$1*MAX(AH561,0)</f>
        <v>18.557001321003963</v>
      </c>
      <c r="AG562" s="75">
        <f>PARAM!$C$26+MAX($G$10-CHOOSE(PARAM!$B$44,MAX(0,AH561*$F$1),0),0)*RATES!$L538/12+$H$10*(PARAM!$D$51/12)*RATES!$N538/100</f>
        <v>191.66666666666666</v>
      </c>
      <c r="AH562" s="16">
        <f t="shared" si="377"/>
        <v>-15121.91231747848</v>
      </c>
      <c r="AI562" s="15">
        <f t="shared" si="352"/>
        <v>22.170849845882874</v>
      </c>
      <c r="AJ562" s="75">
        <f>AI562*(1-PARAM!$C$27)*$I$11+(MOD($B562,60)=PARAM!$B$56)*($B562&gt;(60-PARAM!$B$56))*HLOOKUP(($B562+PARAM!$B$56)/12,Loyalty,2)*$F$1*MAX(AL561,0)</f>
        <v>18.557001321003963</v>
      </c>
      <c r="AK562" s="75">
        <f>PARAM!$C$26+MAX($G$11-CHOOSE(PARAM!$B$44,MAX(0,AL561*$F$1),0),0)*RATES!$L538/12+$H$11*(PARAM!$D$51/12)*RATES!$N538/100</f>
        <v>191.66666666666666</v>
      </c>
      <c r="AL562" s="16">
        <f t="shared" si="378"/>
        <v>-15121.91231747848</v>
      </c>
      <c r="AM562" s="15">
        <f t="shared" si="353"/>
        <v>22.170849845882874</v>
      </c>
      <c r="AN562" s="75">
        <f>AM562*(1-PARAM!$C$27)*$I$12+(MOD($B562,60)=PARAM!$B$56)*($B562&gt;(60-PARAM!$B$56))*HLOOKUP(($B562+PARAM!$B$56)/12,Loyalty,2)*$F$1*MAX(AP561,0)</f>
        <v>18.557001321003963</v>
      </c>
      <c r="AO562" s="75">
        <f>PARAM!$C$26+MAX($G$12-CHOOSE(PARAM!$B$44,MAX(0,AP561*$F$1),0),0)*RATES!$L538/12+$H$12*(PARAM!$D$51/12)*RATES!$N538/100</f>
        <v>191.66666666666666</v>
      </c>
      <c r="AP562" s="16">
        <f t="shared" si="379"/>
        <v>-15121.91231747848</v>
      </c>
      <c r="AQ562" s="15">
        <f t="shared" si="354"/>
        <v>22.170849845882874</v>
      </c>
      <c r="AR562" s="75">
        <f>AQ562*(1-PARAM!$C$27)*$I$13+(MOD($B562,60)=PARAM!$B$56)*($B562&gt;(60-PARAM!$B$56))*HLOOKUP(($B562+PARAM!$B$56)/12,Loyalty,2)*$F$1*MAX(AT561,0)</f>
        <v>18.557001321003963</v>
      </c>
      <c r="AS562" s="75">
        <f>PARAM!$C$26+MAX($G$13-CHOOSE(PARAM!$B$44,MAX(0,AT561*$F$1),0),0)*RATES!$L538/12+$H$13*(PARAM!$D$51/12)*RATES!$N538/100</f>
        <v>191.66666666666666</v>
      </c>
      <c r="AT562" s="16">
        <f t="shared" si="380"/>
        <v>-15121.91231747848</v>
      </c>
      <c r="AU562" s="15">
        <f t="shared" si="355"/>
        <v>22.170849845882874</v>
      </c>
      <c r="AV562" s="75">
        <f>AU562*(1-PARAM!$C$27)*$I$14+(MOD($B562,60)=PARAM!$B$56)*($B562&gt;(60-PARAM!$B$56))*HLOOKUP(($B562+PARAM!$B$56)/12,Loyalty,2)*$F$1*MAX(AX561,0)</f>
        <v>18.557001321003963</v>
      </c>
      <c r="AW562" s="75">
        <f>PARAM!$C$26+MAX($G$14-CHOOSE(PARAM!$B$44,MAX(0,AX561*$F$1),0),0)*RATES!$L538/12+$H$14*(PARAM!$D$51/12)*RATES!$N538/100</f>
        <v>191.66666666666666</v>
      </c>
      <c r="AX562" s="16">
        <f t="shared" si="381"/>
        <v>-15121.91231747848</v>
      </c>
      <c r="AY562" s="15">
        <f t="shared" si="356"/>
        <v>22.170849845882874</v>
      </c>
      <c r="AZ562" s="75">
        <f>AY562*(1-PARAM!$C$27)*$I$15+(MOD($B562,60)=PARAM!$B$56)*($B562&gt;(60-PARAM!$B$56))*HLOOKUP(($B562+PARAM!$B$56)/12,Loyalty,2)*$F$1*MAX(BB561,0)</f>
        <v>18.557001321003963</v>
      </c>
      <c r="BA562" s="75">
        <f>PARAM!$C$26+MAX($G$15-CHOOSE(PARAM!$B$44,MAX(0,BB561*$F$1),0),0)*RATES!$L538/12+$H$15*(PARAM!$D$51/12)*RATES!$N538/100</f>
        <v>191.66666666666666</v>
      </c>
      <c r="BB562" s="16">
        <f t="shared" si="382"/>
        <v>-15121.91231747848</v>
      </c>
      <c r="BC562" s="15">
        <f t="shared" si="357"/>
        <v>22.170849845882874</v>
      </c>
      <c r="BD562" s="75">
        <f>BC562*(1-PARAM!$C$27)*$I$16+(MOD($B562,60)=PARAM!$B$56)*($B562&gt;(60-PARAM!$B$56))*HLOOKUP(($B562+PARAM!$B$56)/12,Loyalty,2)*$F$1*MAX(BF561,0)</f>
        <v>18.557001321003963</v>
      </c>
      <c r="BE562" s="75">
        <f>PARAM!$C$26+MAX($G$16-CHOOSE(PARAM!$B$44,MAX(0,BF561*$F$1),0),0)*RATES!$L538/12+$H$16*(PARAM!$D$51/12)*RATES!$N538/100</f>
        <v>191.66666666666666</v>
      </c>
      <c r="BF562" s="16">
        <f t="shared" si="383"/>
        <v>-15121.91231747848</v>
      </c>
      <c r="BG562" s="15">
        <f t="shared" si="358"/>
        <v>22.170849845882874</v>
      </c>
      <c r="BH562" s="75">
        <f>BG562*(1-PARAM!$C$27)*$I$17+(MOD($B562,60)=PARAM!$B$56)*($B562&gt;(60-PARAM!$B$56))*HLOOKUP(($B562+PARAM!$B$56)/12,Loyalty,2)*$F$1*MAX(BJ561,0)</f>
        <v>18.557001321003963</v>
      </c>
      <c r="BI562" s="75">
        <f>PARAM!$C$26+MAX($G$17-CHOOSE(PARAM!$B$44,MAX(0,BJ561*$F$1),0),0)*RATES!$L538/12+$H$17*(PARAM!$D$51/12)*RATES!$N538/100</f>
        <v>191.66666666666666</v>
      </c>
      <c r="BJ562" s="16">
        <f t="shared" si="384"/>
        <v>-15121.91231747848</v>
      </c>
      <c r="BK562" s="15">
        <f t="shared" si="359"/>
        <v>22.170849845882874</v>
      </c>
      <c r="BL562" s="75">
        <f>BK562*(1-PARAM!$C$27)*$I$18+(MOD($B562,60)=PARAM!$B$56)*($B562&gt;(60-PARAM!$B$56))*HLOOKUP(($B562+PARAM!$B$56)/12,Loyalty,2)*$F$1*MAX(BN561,0)</f>
        <v>18.557001321003963</v>
      </c>
      <c r="BM562" s="75">
        <f>PARAM!$C$26+MAX($G$18-CHOOSE(PARAM!$B$44,MAX(0,BN561*$F$1),0),0)*RATES!$L538/12+$H$18*(PARAM!$D$51/12)*RATES!$N538/100</f>
        <v>191.66666666666666</v>
      </c>
      <c r="BN562" s="16">
        <f t="shared" si="385"/>
        <v>-15121.91231747848</v>
      </c>
      <c r="BO562" s="15">
        <f t="shared" si="360"/>
        <v>22.170849845882874</v>
      </c>
      <c r="BP562" s="75">
        <f>BO562*(1-PARAM!$C$27)*$I$19+(MOD($B562,60)=PARAM!$B$56)*($B562&gt;(60-PARAM!$B$56))*HLOOKUP(($B562+PARAM!$B$56)/12,Loyalty,2)*$F$1*MAX(BR561,0)</f>
        <v>18.557001321003963</v>
      </c>
      <c r="BQ562" s="75">
        <f>PARAM!$C$26+MAX($G$19-CHOOSE(PARAM!$B$44,MAX(0,BR561*$F$1),0),0)*RATES!$L538/12+$H$19*(PARAM!$D$51/12)*RATES!$N538/100</f>
        <v>191.66666666666666</v>
      </c>
      <c r="BR562" s="16">
        <f t="shared" si="386"/>
        <v>-15121.91231747848</v>
      </c>
      <c r="BS562" s="15">
        <f t="shared" si="361"/>
        <v>22.170849845882874</v>
      </c>
      <c r="BT562" s="75">
        <f>BS562*(1-PARAM!$C$27)*$I$20+(MOD($B562,60)=PARAM!$B$56)*($B562&gt;(60-PARAM!$B$56))*HLOOKUP(($B562+PARAM!$B$56)/12,Loyalty,2)*$F$1*MAX(BV561,0)</f>
        <v>18.557001321003963</v>
      </c>
      <c r="BU562" s="75">
        <f>PARAM!$C$26+MAX($G$20-CHOOSE(PARAM!$B$44,MAX(0,BV561*$F$1),0),0)*RATES!$L538/12+$H$20*(PARAM!$D$51/12)*RATES!$N538/100</f>
        <v>191.66666666666666</v>
      </c>
      <c r="BV562" s="16">
        <f t="shared" si="387"/>
        <v>-15121.91231747848</v>
      </c>
      <c r="BW562" s="15">
        <f t="shared" si="362"/>
        <v>22.170849845882874</v>
      </c>
      <c r="BX562" s="75">
        <f>BW562*(1-PARAM!$C$27)*$I$21+(MOD($B562,60)=PARAM!$B$56)*($B562&gt;(60-PARAM!$B$56))*HLOOKUP(($B562+PARAM!$B$56)/12,Loyalty,2)*$F$1*MAX(BZ561,0)</f>
        <v>18.557001321003963</v>
      </c>
      <c r="BY562" s="75">
        <f>PARAM!$C$26+MAX($G$21-CHOOSE(PARAM!$B$44,MAX(0,BZ561*$F$1),0),0)*RATES!$L538/12+$H$21*(PARAM!$D$51/12)*RATES!$N538/100</f>
        <v>191.66666666666666</v>
      </c>
      <c r="BZ562" s="16">
        <f t="shared" si="388"/>
        <v>-15121.91231747848</v>
      </c>
      <c r="CA562" s="15">
        <f t="shared" si="363"/>
        <v>22.170849845882874</v>
      </c>
      <c r="CB562" s="75">
        <f>CA562*(1-PARAM!$C$27)*$I$22+(MOD($B562,60)=PARAM!$B$56)*($B562&gt;(60-PARAM!$B$56))*HLOOKUP(($B562+PARAM!$B$56)/12,Loyalty,2)*$F$1*MAX(CD561,0)</f>
        <v>18.557001321003963</v>
      </c>
      <c r="CC562" s="75">
        <f>PARAM!$C$26+MAX($G$22-CHOOSE(PARAM!$B$44,MAX(0,CD561*$F$1),0),0)*RATES!$L538/12+$H$22*(PARAM!$D$51/12)*RATES!$N538/100</f>
        <v>191.66666666666666</v>
      </c>
      <c r="CD562" s="16">
        <f t="shared" si="389"/>
        <v>-15121.91231747848</v>
      </c>
      <c r="CE562" s="33">
        <f>IF(0=MOD(B562,12/PARAM!$D$51),1,0)</f>
        <v>1</v>
      </c>
      <c r="CF562" s="15">
        <f t="shared" si="364"/>
        <v>0</v>
      </c>
      <c r="CG562" s="75">
        <f>CF562*(1-PARAM!$C$27)*$R$3+(MOD($B562/12,5)=0)*($B562&gt;60)*HLOOKUP($B562/12,Loyalty,2)*$F$1*MAX(CI561,0)</f>
        <v>0</v>
      </c>
      <c r="CH562" s="75">
        <f>PARAM!$C$26+MAX($P$3-CHOOSE(PARAM!$B$44,MAX(0,CI561*$F$1),0),0)*RATES!$L538/12+$Q$3*(PARAM!$D$51/12)*RATES!$N538/100</f>
        <v>191.66666666666666</v>
      </c>
      <c r="CI562" s="16">
        <f>IF(CI561&gt;0,CI561*PARAM!$C$53,CI561)+CG562-CH562</f>
        <v>-24930.333333333303</v>
      </c>
      <c r="CJ562" s="15">
        <f t="shared" si="390"/>
        <v>0</v>
      </c>
      <c r="CK562" s="75">
        <f>CJ562*(1-PARAM!$C$27)*$R$4+(MOD($B562/12,5)=0)*($B562&gt;60)*HLOOKUP($B562/12,Loyalty,2)*$F$1*MAX(CM561,0)</f>
        <v>0</v>
      </c>
      <c r="CL562" s="75">
        <f>PARAM!$C$26+MAX($P$4-CHOOSE(PARAM!$B$44,MAX(0,CM561*$F$1),0),0)*RATES!$L538/12+$Q$4*(PARAM!$D$51/12)*RATES!$N538/100</f>
        <v>191.66666666666666</v>
      </c>
      <c r="CM562" s="16">
        <f>IF(CM561&gt;0,CM561*PARAM!$C$53,CM561)+CK562-CL562</f>
        <v>-24930.333333333303</v>
      </c>
      <c r="CO562" s="176"/>
    </row>
    <row r="563" spans="1:93" x14ac:dyDescent="0.2">
      <c r="A563" t="b">
        <f t="shared" si="365"/>
        <v>0</v>
      </c>
      <c r="B563" s="33">
        <v>536</v>
      </c>
      <c r="C563" s="15">
        <f t="shared" si="366"/>
        <v>20.081305947392778</v>
      </c>
      <c r="D563" s="75">
        <f>C563*(1-PARAM!$C$27)*$I$3+(MOD($B563,60)=PARAM!$B$56)*($B563&gt;(60-PARAM!$B$56))*HLOOKUP(($B563+PARAM!$B$56)/12,Loyalty,2)*$F$1*MAX(F562,0)</f>
        <v>16.808053077967756</v>
      </c>
      <c r="E563" s="75">
        <f>PARAM!$C$26+MAX($G$3-CHOOSE(PARAM!$B$44,MAX(0,F562*$F$1),0),0)*RATES!$L539/12+$H$3*(PARAM!$D$51/12)*RATES!$N539/100</f>
        <v>191.66666666666666</v>
      </c>
      <c r="F563" s="16">
        <f t="shared" si="367"/>
        <v>-16269.308741613009</v>
      </c>
      <c r="G563" s="15">
        <f t="shared" si="368"/>
        <v>22.035289406060361</v>
      </c>
      <c r="H563" s="75">
        <f>G563*(1-PARAM!$C$27)*$I$4+(MOD($B563,60)=PARAM!$B$56)*($B563&gt;(60-PARAM!$B$56))*HLOOKUP(($B563+PARAM!$B$56)/12,Loyalty,2)*$F$1*MAX(J562,0)</f>
        <v>18.443537232872522</v>
      </c>
      <c r="I563" s="75">
        <f>PARAM!$C$26+MAX($G$4-CHOOSE(PARAM!$B$44,MAX(0,J562*$F$1),0),0)*RATES!$L539/12+$H$4*(PARAM!$D$51/12)*RATES!$N539/100</f>
        <v>191.66666666666666</v>
      </c>
      <c r="J563" s="16">
        <f t="shared" si="369"/>
        <v>-15358.856270462389</v>
      </c>
      <c r="K563" s="15">
        <f t="shared" si="370"/>
        <v>22.170849845882874</v>
      </c>
      <c r="L563" s="75">
        <f>K563*(1-PARAM!$C$27)*$I$5+(MOD($B563,60)=PARAM!$B$56)*($B563&gt;(60-PARAM!$B$56))*HLOOKUP(($B563+PARAM!$B$56)/12,Loyalty,2)*$F$1*MAX(N562,0)</f>
        <v>18.557001321003963</v>
      </c>
      <c r="M563" s="75">
        <f>PARAM!$C$26+MAX($G$5-CHOOSE(PARAM!$B$44,MAX(0,N562*$F$1),0),0)*RATES!$L539/12+$H$5*(PARAM!$D$51/12)*RATES!$N539/100</f>
        <v>191.66666666666666</v>
      </c>
      <c r="N563" s="16">
        <f t="shared" si="371"/>
        <v>-15295.021982824142</v>
      </c>
      <c r="O563" s="15">
        <f t="shared" si="372"/>
        <v>22.170849845882874</v>
      </c>
      <c r="P563" s="75">
        <f>O563*(1-PARAM!$C$27)*$I$6+(MOD($B563,60)=PARAM!$B$56)*($B563&gt;(60-PARAM!$B$56))*HLOOKUP(($B563+PARAM!$B$56)/12,Loyalty,2)*$F$1*MAX(R562,0)</f>
        <v>18.557001321003963</v>
      </c>
      <c r="Q563" s="75">
        <f>PARAM!$C$26+MAX($G$6-CHOOSE(PARAM!$B$44,MAX(0,R562*$F$1),0),0)*RATES!$L539/12+$H$6*(PARAM!$D$51/12)*RATES!$N539/100</f>
        <v>191.66666666666666</v>
      </c>
      <c r="R563" s="16">
        <f t="shared" si="373"/>
        <v>-15295.021982824142</v>
      </c>
      <c r="S563" s="15">
        <f t="shared" si="348"/>
        <v>22.170849845882874</v>
      </c>
      <c r="T563" s="75">
        <f>S563*(1-PARAM!$C$27)*$I$7+(MOD($B563,60)=PARAM!$B$56)*($B563&gt;(60-PARAM!$B$56))*HLOOKUP(($B563+PARAM!$B$56)/12,Loyalty,2)*$F$1*MAX(V562,0)</f>
        <v>18.557001321003963</v>
      </c>
      <c r="U563" s="75">
        <f>PARAM!$C$26+MAX($G$7-CHOOSE(PARAM!$B$44,MAX(0,V562*$F$1),0),0)*RATES!$L539/12+$H$7*(PARAM!$D$51/12)*RATES!$N539/100</f>
        <v>191.66666666666666</v>
      </c>
      <c r="V563" s="16">
        <f t="shared" si="374"/>
        <v>-15295.021982824142</v>
      </c>
      <c r="W563" s="15">
        <f t="shared" si="349"/>
        <v>22.170849845882874</v>
      </c>
      <c r="X563" s="75">
        <f>W563*(1-PARAM!$C$27)*$I$8+(MOD($B563,60)=PARAM!$B$56)*($B563&gt;(60-PARAM!$B$56))*HLOOKUP(($B563+PARAM!$B$56)/12,Loyalty,2)*$F$1*MAX(Z562,0)</f>
        <v>18.557001321003963</v>
      </c>
      <c r="Y563" s="75">
        <f>PARAM!$C$26+MAX($G$8-CHOOSE(PARAM!$B$44,MAX(0,Z562*$F$1),0),0)*RATES!$L539/12+$H$8*(PARAM!$D$51/12)*RATES!$N539/100</f>
        <v>191.66666666666666</v>
      </c>
      <c r="Z563" s="16">
        <f t="shared" si="375"/>
        <v>-15295.021982824142</v>
      </c>
      <c r="AA563" s="15">
        <f t="shared" si="350"/>
        <v>22.170849845882874</v>
      </c>
      <c r="AB563" s="75">
        <f>AA563*(1-PARAM!$C$27)*$I$9+(MOD($B563,60)=PARAM!$B$56)*($B563&gt;(60-PARAM!$B$56))*HLOOKUP(($B563+PARAM!$B$56)/12,Loyalty,2)*$F$1*MAX(AD562,0)</f>
        <v>18.557001321003963</v>
      </c>
      <c r="AC563" s="75">
        <f>PARAM!$C$26+MAX($G$9-CHOOSE(PARAM!$B$44,MAX(0,AD562*$F$1),0),0)*RATES!$L539/12+$H$9*(PARAM!$D$51/12)*RATES!$N539/100</f>
        <v>191.66666666666666</v>
      </c>
      <c r="AD563" s="16">
        <f t="shared" si="376"/>
        <v>-15295.021982824142</v>
      </c>
      <c r="AE563" s="15">
        <f t="shared" si="351"/>
        <v>22.170849845882874</v>
      </c>
      <c r="AF563" s="75">
        <f>AE563*(1-PARAM!$C$27)*$I$10+(MOD($B563,60)=PARAM!$B$56)*($B563&gt;(60-PARAM!$B$56))*HLOOKUP(($B563+PARAM!$B$56)/12,Loyalty,2)*$F$1*MAX(AH562,0)</f>
        <v>18.557001321003963</v>
      </c>
      <c r="AG563" s="75">
        <f>PARAM!$C$26+MAX($G$10-CHOOSE(PARAM!$B$44,MAX(0,AH562*$F$1),0),0)*RATES!$L539/12+$H$10*(PARAM!$D$51/12)*RATES!$N539/100</f>
        <v>191.66666666666666</v>
      </c>
      <c r="AH563" s="16">
        <f t="shared" si="377"/>
        <v>-15295.021982824142</v>
      </c>
      <c r="AI563" s="15">
        <f t="shared" si="352"/>
        <v>22.170849845882874</v>
      </c>
      <c r="AJ563" s="75">
        <f>AI563*(1-PARAM!$C$27)*$I$11+(MOD($B563,60)=PARAM!$B$56)*($B563&gt;(60-PARAM!$B$56))*HLOOKUP(($B563+PARAM!$B$56)/12,Loyalty,2)*$F$1*MAX(AL562,0)</f>
        <v>18.557001321003963</v>
      </c>
      <c r="AK563" s="75">
        <f>PARAM!$C$26+MAX($G$11-CHOOSE(PARAM!$B$44,MAX(0,AL562*$F$1),0),0)*RATES!$L539/12+$H$11*(PARAM!$D$51/12)*RATES!$N539/100</f>
        <v>191.66666666666666</v>
      </c>
      <c r="AL563" s="16">
        <f t="shared" si="378"/>
        <v>-15295.021982824142</v>
      </c>
      <c r="AM563" s="15">
        <f t="shared" si="353"/>
        <v>22.170849845882874</v>
      </c>
      <c r="AN563" s="75">
        <f>AM563*(1-PARAM!$C$27)*$I$12+(MOD($B563,60)=PARAM!$B$56)*($B563&gt;(60-PARAM!$B$56))*HLOOKUP(($B563+PARAM!$B$56)/12,Loyalty,2)*$F$1*MAX(AP562,0)</f>
        <v>18.557001321003963</v>
      </c>
      <c r="AO563" s="75">
        <f>PARAM!$C$26+MAX($G$12-CHOOSE(PARAM!$B$44,MAX(0,AP562*$F$1),0),0)*RATES!$L539/12+$H$12*(PARAM!$D$51/12)*RATES!$N539/100</f>
        <v>191.66666666666666</v>
      </c>
      <c r="AP563" s="16">
        <f t="shared" si="379"/>
        <v>-15295.021982824142</v>
      </c>
      <c r="AQ563" s="15">
        <f t="shared" si="354"/>
        <v>22.170849845882874</v>
      </c>
      <c r="AR563" s="75">
        <f>AQ563*(1-PARAM!$C$27)*$I$13+(MOD($B563,60)=PARAM!$B$56)*($B563&gt;(60-PARAM!$B$56))*HLOOKUP(($B563+PARAM!$B$56)/12,Loyalty,2)*$F$1*MAX(AT562,0)</f>
        <v>18.557001321003963</v>
      </c>
      <c r="AS563" s="75">
        <f>PARAM!$C$26+MAX($G$13-CHOOSE(PARAM!$B$44,MAX(0,AT562*$F$1),0),0)*RATES!$L539/12+$H$13*(PARAM!$D$51/12)*RATES!$N539/100</f>
        <v>191.66666666666666</v>
      </c>
      <c r="AT563" s="16">
        <f t="shared" si="380"/>
        <v>-15295.021982824142</v>
      </c>
      <c r="AU563" s="15">
        <f t="shared" si="355"/>
        <v>22.170849845882874</v>
      </c>
      <c r="AV563" s="75">
        <f>AU563*(1-PARAM!$C$27)*$I$14+(MOD($B563,60)=PARAM!$B$56)*($B563&gt;(60-PARAM!$B$56))*HLOOKUP(($B563+PARAM!$B$56)/12,Loyalty,2)*$F$1*MAX(AX562,0)</f>
        <v>18.557001321003963</v>
      </c>
      <c r="AW563" s="75">
        <f>PARAM!$C$26+MAX($G$14-CHOOSE(PARAM!$B$44,MAX(0,AX562*$F$1),0),0)*RATES!$L539/12+$H$14*(PARAM!$D$51/12)*RATES!$N539/100</f>
        <v>191.66666666666666</v>
      </c>
      <c r="AX563" s="16">
        <f t="shared" si="381"/>
        <v>-15295.021982824142</v>
      </c>
      <c r="AY563" s="15">
        <f t="shared" si="356"/>
        <v>22.170849845882874</v>
      </c>
      <c r="AZ563" s="75">
        <f>AY563*(1-PARAM!$C$27)*$I$15+(MOD($B563,60)=PARAM!$B$56)*($B563&gt;(60-PARAM!$B$56))*HLOOKUP(($B563+PARAM!$B$56)/12,Loyalty,2)*$F$1*MAX(BB562,0)</f>
        <v>18.557001321003963</v>
      </c>
      <c r="BA563" s="75">
        <f>PARAM!$C$26+MAX($G$15-CHOOSE(PARAM!$B$44,MAX(0,BB562*$F$1),0),0)*RATES!$L539/12+$H$15*(PARAM!$D$51/12)*RATES!$N539/100</f>
        <v>191.66666666666666</v>
      </c>
      <c r="BB563" s="16">
        <f t="shared" si="382"/>
        <v>-15295.021982824142</v>
      </c>
      <c r="BC563" s="15">
        <f t="shared" si="357"/>
        <v>22.170849845882874</v>
      </c>
      <c r="BD563" s="75">
        <f>BC563*(1-PARAM!$C$27)*$I$16+(MOD($B563,60)=PARAM!$B$56)*($B563&gt;(60-PARAM!$B$56))*HLOOKUP(($B563+PARAM!$B$56)/12,Loyalty,2)*$F$1*MAX(BF562,0)</f>
        <v>18.557001321003963</v>
      </c>
      <c r="BE563" s="75">
        <f>PARAM!$C$26+MAX($G$16-CHOOSE(PARAM!$B$44,MAX(0,BF562*$F$1),0),0)*RATES!$L539/12+$H$16*(PARAM!$D$51/12)*RATES!$N539/100</f>
        <v>191.66666666666666</v>
      </c>
      <c r="BF563" s="16">
        <f t="shared" si="383"/>
        <v>-15295.021982824142</v>
      </c>
      <c r="BG563" s="15">
        <f t="shared" si="358"/>
        <v>22.170849845882874</v>
      </c>
      <c r="BH563" s="75">
        <f>BG563*(1-PARAM!$C$27)*$I$17+(MOD($B563,60)=PARAM!$B$56)*($B563&gt;(60-PARAM!$B$56))*HLOOKUP(($B563+PARAM!$B$56)/12,Loyalty,2)*$F$1*MAX(BJ562,0)</f>
        <v>18.557001321003963</v>
      </c>
      <c r="BI563" s="75">
        <f>PARAM!$C$26+MAX($G$17-CHOOSE(PARAM!$B$44,MAX(0,BJ562*$F$1),0),0)*RATES!$L539/12+$H$17*(PARAM!$D$51/12)*RATES!$N539/100</f>
        <v>191.66666666666666</v>
      </c>
      <c r="BJ563" s="16">
        <f t="shared" si="384"/>
        <v>-15295.021982824142</v>
      </c>
      <c r="BK563" s="15">
        <f t="shared" si="359"/>
        <v>22.170849845882874</v>
      </c>
      <c r="BL563" s="75">
        <f>BK563*(1-PARAM!$C$27)*$I$18+(MOD($B563,60)=PARAM!$B$56)*($B563&gt;(60-PARAM!$B$56))*HLOOKUP(($B563+PARAM!$B$56)/12,Loyalty,2)*$F$1*MAX(BN562,0)</f>
        <v>18.557001321003963</v>
      </c>
      <c r="BM563" s="75">
        <f>PARAM!$C$26+MAX($G$18-CHOOSE(PARAM!$B$44,MAX(0,BN562*$F$1),0),0)*RATES!$L539/12+$H$18*(PARAM!$D$51/12)*RATES!$N539/100</f>
        <v>191.66666666666666</v>
      </c>
      <c r="BN563" s="16">
        <f t="shared" si="385"/>
        <v>-15295.021982824142</v>
      </c>
      <c r="BO563" s="15">
        <f t="shared" si="360"/>
        <v>22.170849845882874</v>
      </c>
      <c r="BP563" s="75">
        <f>BO563*(1-PARAM!$C$27)*$I$19+(MOD($B563,60)=PARAM!$B$56)*($B563&gt;(60-PARAM!$B$56))*HLOOKUP(($B563+PARAM!$B$56)/12,Loyalty,2)*$F$1*MAX(BR562,0)</f>
        <v>18.557001321003963</v>
      </c>
      <c r="BQ563" s="75">
        <f>PARAM!$C$26+MAX($G$19-CHOOSE(PARAM!$B$44,MAX(0,BR562*$F$1),0),0)*RATES!$L539/12+$H$19*(PARAM!$D$51/12)*RATES!$N539/100</f>
        <v>191.66666666666666</v>
      </c>
      <c r="BR563" s="16">
        <f t="shared" si="386"/>
        <v>-15295.021982824142</v>
      </c>
      <c r="BS563" s="15">
        <f t="shared" si="361"/>
        <v>22.170849845882874</v>
      </c>
      <c r="BT563" s="75">
        <f>BS563*(1-PARAM!$C$27)*$I$20+(MOD($B563,60)=PARAM!$B$56)*($B563&gt;(60-PARAM!$B$56))*HLOOKUP(($B563+PARAM!$B$56)/12,Loyalty,2)*$F$1*MAX(BV562,0)</f>
        <v>18.557001321003963</v>
      </c>
      <c r="BU563" s="75">
        <f>PARAM!$C$26+MAX($G$20-CHOOSE(PARAM!$B$44,MAX(0,BV562*$F$1),0),0)*RATES!$L539/12+$H$20*(PARAM!$D$51/12)*RATES!$N539/100</f>
        <v>191.66666666666666</v>
      </c>
      <c r="BV563" s="16">
        <f t="shared" si="387"/>
        <v>-15295.021982824142</v>
      </c>
      <c r="BW563" s="15">
        <f t="shared" si="362"/>
        <v>22.170849845882874</v>
      </c>
      <c r="BX563" s="75">
        <f>BW563*(1-PARAM!$C$27)*$I$21+(MOD($B563,60)=PARAM!$B$56)*($B563&gt;(60-PARAM!$B$56))*HLOOKUP(($B563+PARAM!$B$56)/12,Loyalty,2)*$F$1*MAX(BZ562,0)</f>
        <v>18.557001321003963</v>
      </c>
      <c r="BY563" s="75">
        <f>PARAM!$C$26+MAX($G$21-CHOOSE(PARAM!$B$44,MAX(0,BZ562*$F$1),0),0)*RATES!$L539/12+$H$21*(PARAM!$D$51/12)*RATES!$N539/100</f>
        <v>191.66666666666666</v>
      </c>
      <c r="BZ563" s="16">
        <f t="shared" si="388"/>
        <v>-15295.021982824142</v>
      </c>
      <c r="CA563" s="15">
        <f t="shared" si="363"/>
        <v>22.170849845882874</v>
      </c>
      <c r="CB563" s="75">
        <f>CA563*(1-PARAM!$C$27)*$I$22+(MOD($B563,60)=PARAM!$B$56)*($B563&gt;(60-PARAM!$B$56))*HLOOKUP(($B563+PARAM!$B$56)/12,Loyalty,2)*$F$1*MAX(CD562,0)</f>
        <v>18.557001321003963</v>
      </c>
      <c r="CC563" s="75">
        <f>PARAM!$C$26+MAX($G$22-CHOOSE(PARAM!$B$44,MAX(0,CD562*$F$1),0),0)*RATES!$L539/12+$H$22*(PARAM!$D$51/12)*RATES!$N539/100</f>
        <v>191.66666666666666</v>
      </c>
      <c r="CD563" s="16">
        <f t="shared" si="389"/>
        <v>-15295.021982824142</v>
      </c>
      <c r="CE563" s="33">
        <f>IF(0=MOD(B563,12/PARAM!$D$51),1,0)</f>
        <v>1</v>
      </c>
      <c r="CF563" s="15">
        <f t="shared" si="364"/>
        <v>0</v>
      </c>
      <c r="CG563" s="75">
        <f>CF563*(1-PARAM!$C$27)*$R$3+(MOD($B563/12,5)=0)*($B563&gt;60)*HLOOKUP($B563/12,Loyalty,2)*$F$1*MAX(CI562,0)</f>
        <v>0</v>
      </c>
      <c r="CH563" s="75">
        <f>PARAM!$C$26+MAX($P$3-CHOOSE(PARAM!$B$44,MAX(0,CI562*$F$1),0),0)*RATES!$L539/12+$Q$3*(PARAM!$D$51/12)*RATES!$N539/100</f>
        <v>191.66666666666666</v>
      </c>
      <c r="CI563" s="16">
        <f>IF(CI562&gt;0,CI562*PARAM!$C$53,CI562)+CG563-CH563</f>
        <v>-25121.999999999971</v>
      </c>
      <c r="CJ563" s="15">
        <f t="shared" si="390"/>
        <v>0</v>
      </c>
      <c r="CK563" s="75">
        <f>CJ563*(1-PARAM!$C$27)*$R$4+(MOD($B563/12,5)=0)*($B563&gt;60)*HLOOKUP($B563/12,Loyalty,2)*$F$1*MAX(CM562,0)</f>
        <v>0</v>
      </c>
      <c r="CL563" s="75">
        <f>PARAM!$C$26+MAX($P$4-CHOOSE(PARAM!$B$44,MAX(0,CM562*$F$1),0),0)*RATES!$L539/12+$Q$4*(PARAM!$D$51/12)*RATES!$N539/100</f>
        <v>191.66666666666666</v>
      </c>
      <c r="CM563" s="16">
        <f>IF(CM562&gt;0,CM562*PARAM!$C$53,CM562)+CK563-CL563</f>
        <v>-25121.999999999971</v>
      </c>
      <c r="CO563" s="176"/>
    </row>
    <row r="564" spans="1:93" x14ac:dyDescent="0.2">
      <c r="A564" t="b">
        <f t="shared" si="365"/>
        <v>0</v>
      </c>
      <c r="B564" s="33">
        <v>537</v>
      </c>
      <c r="C564" s="15">
        <f t="shared" si="366"/>
        <v>20.081305947392778</v>
      </c>
      <c r="D564" s="75">
        <f>C564*(1-PARAM!$C$27)*$I$3+(MOD($B564,60)=PARAM!$B$56)*($B564&gt;(60-PARAM!$B$56))*HLOOKUP(($B564+PARAM!$B$56)/12,Loyalty,2)*$F$1*MAX(F563,0)</f>
        <v>16.808053077967756</v>
      </c>
      <c r="E564" s="75">
        <f>PARAM!$C$26+MAX($G$3-CHOOSE(PARAM!$B$44,MAX(0,F563*$F$1),0),0)*RATES!$L540/12+$H$3*(PARAM!$D$51/12)*RATES!$N540/100</f>
        <v>191.66666666666666</v>
      </c>
      <c r="F564" s="16">
        <f t="shared" si="367"/>
        <v>-16444.167355201709</v>
      </c>
      <c r="G564" s="15">
        <f t="shared" si="368"/>
        <v>22.035289406060361</v>
      </c>
      <c r="H564" s="75">
        <f>G564*(1-PARAM!$C$27)*$I$4+(MOD($B564,60)=PARAM!$B$56)*($B564&gt;(60-PARAM!$B$56))*HLOOKUP(($B564+PARAM!$B$56)/12,Loyalty,2)*$F$1*MAX(J563,0)</f>
        <v>18.443537232872522</v>
      </c>
      <c r="I564" s="75">
        <f>PARAM!$C$26+MAX($G$4-CHOOSE(PARAM!$B$44,MAX(0,J563*$F$1),0),0)*RATES!$L540/12+$H$4*(PARAM!$D$51/12)*RATES!$N540/100</f>
        <v>191.66666666666666</v>
      </c>
      <c r="J564" s="16">
        <f t="shared" si="369"/>
        <v>-15532.079399896184</v>
      </c>
      <c r="K564" s="15">
        <f t="shared" si="370"/>
        <v>22.170849845882874</v>
      </c>
      <c r="L564" s="75">
        <f>K564*(1-PARAM!$C$27)*$I$5+(MOD($B564,60)=PARAM!$B$56)*($B564&gt;(60-PARAM!$B$56))*HLOOKUP(($B564+PARAM!$B$56)/12,Loyalty,2)*$F$1*MAX(N563,0)</f>
        <v>18.557001321003963</v>
      </c>
      <c r="M564" s="75">
        <f>PARAM!$C$26+MAX($G$5-CHOOSE(PARAM!$B$44,MAX(0,N563*$F$1),0),0)*RATES!$L540/12+$H$5*(PARAM!$D$51/12)*RATES!$N540/100</f>
        <v>191.66666666666666</v>
      </c>
      <c r="N564" s="16">
        <f t="shared" si="371"/>
        <v>-15468.131648169805</v>
      </c>
      <c r="O564" s="15">
        <f t="shared" si="372"/>
        <v>22.170849845882874</v>
      </c>
      <c r="P564" s="75">
        <f>O564*(1-PARAM!$C$27)*$I$6+(MOD($B564,60)=PARAM!$B$56)*($B564&gt;(60-PARAM!$B$56))*HLOOKUP(($B564+PARAM!$B$56)/12,Loyalty,2)*$F$1*MAX(R563,0)</f>
        <v>18.557001321003963</v>
      </c>
      <c r="Q564" s="75">
        <f>PARAM!$C$26+MAX($G$6-CHOOSE(PARAM!$B$44,MAX(0,R563*$F$1),0),0)*RATES!$L540/12+$H$6*(PARAM!$D$51/12)*RATES!$N540/100</f>
        <v>191.66666666666666</v>
      </c>
      <c r="R564" s="16">
        <f t="shared" si="373"/>
        <v>-15468.131648169805</v>
      </c>
      <c r="S564" s="15">
        <f t="shared" si="348"/>
        <v>22.170849845882874</v>
      </c>
      <c r="T564" s="75">
        <f>S564*(1-PARAM!$C$27)*$I$7+(MOD($B564,60)=PARAM!$B$56)*($B564&gt;(60-PARAM!$B$56))*HLOOKUP(($B564+PARAM!$B$56)/12,Loyalty,2)*$F$1*MAX(V563,0)</f>
        <v>18.557001321003963</v>
      </c>
      <c r="U564" s="75">
        <f>PARAM!$C$26+MAX($G$7-CHOOSE(PARAM!$B$44,MAX(0,V563*$F$1),0),0)*RATES!$L540/12+$H$7*(PARAM!$D$51/12)*RATES!$N540/100</f>
        <v>191.66666666666666</v>
      </c>
      <c r="V564" s="16">
        <f t="shared" si="374"/>
        <v>-15468.131648169805</v>
      </c>
      <c r="W564" s="15">
        <f t="shared" si="349"/>
        <v>22.170849845882874</v>
      </c>
      <c r="X564" s="75">
        <f>W564*(1-PARAM!$C$27)*$I$8+(MOD($B564,60)=PARAM!$B$56)*($B564&gt;(60-PARAM!$B$56))*HLOOKUP(($B564+PARAM!$B$56)/12,Loyalty,2)*$F$1*MAX(Z563,0)</f>
        <v>18.557001321003963</v>
      </c>
      <c r="Y564" s="75">
        <f>PARAM!$C$26+MAX($G$8-CHOOSE(PARAM!$B$44,MAX(0,Z563*$F$1),0),0)*RATES!$L540/12+$H$8*(PARAM!$D$51/12)*RATES!$N540/100</f>
        <v>191.66666666666666</v>
      </c>
      <c r="Z564" s="16">
        <f t="shared" si="375"/>
        <v>-15468.131648169805</v>
      </c>
      <c r="AA564" s="15">
        <f t="shared" si="350"/>
        <v>22.170849845882874</v>
      </c>
      <c r="AB564" s="75">
        <f>AA564*(1-PARAM!$C$27)*$I$9+(MOD($B564,60)=PARAM!$B$56)*($B564&gt;(60-PARAM!$B$56))*HLOOKUP(($B564+PARAM!$B$56)/12,Loyalty,2)*$F$1*MAX(AD563,0)</f>
        <v>18.557001321003963</v>
      </c>
      <c r="AC564" s="75">
        <f>PARAM!$C$26+MAX($G$9-CHOOSE(PARAM!$B$44,MAX(0,AD563*$F$1),0),0)*RATES!$L540/12+$H$9*(PARAM!$D$51/12)*RATES!$N540/100</f>
        <v>191.66666666666666</v>
      </c>
      <c r="AD564" s="16">
        <f t="shared" si="376"/>
        <v>-15468.131648169805</v>
      </c>
      <c r="AE564" s="15">
        <f t="shared" si="351"/>
        <v>22.170849845882874</v>
      </c>
      <c r="AF564" s="75">
        <f>AE564*(1-PARAM!$C$27)*$I$10+(MOD($B564,60)=PARAM!$B$56)*($B564&gt;(60-PARAM!$B$56))*HLOOKUP(($B564+PARAM!$B$56)/12,Loyalty,2)*$F$1*MAX(AH563,0)</f>
        <v>18.557001321003963</v>
      </c>
      <c r="AG564" s="75">
        <f>PARAM!$C$26+MAX($G$10-CHOOSE(PARAM!$B$44,MAX(0,AH563*$F$1),0),0)*RATES!$L540/12+$H$10*(PARAM!$D$51/12)*RATES!$N540/100</f>
        <v>191.66666666666666</v>
      </c>
      <c r="AH564" s="16">
        <f t="shared" si="377"/>
        <v>-15468.131648169805</v>
      </c>
      <c r="AI564" s="15">
        <f t="shared" si="352"/>
        <v>22.170849845882874</v>
      </c>
      <c r="AJ564" s="75">
        <f>AI564*(1-PARAM!$C$27)*$I$11+(MOD($B564,60)=PARAM!$B$56)*($B564&gt;(60-PARAM!$B$56))*HLOOKUP(($B564+PARAM!$B$56)/12,Loyalty,2)*$F$1*MAX(AL563,0)</f>
        <v>18.557001321003963</v>
      </c>
      <c r="AK564" s="75">
        <f>PARAM!$C$26+MAX($G$11-CHOOSE(PARAM!$B$44,MAX(0,AL563*$F$1),0),0)*RATES!$L540/12+$H$11*(PARAM!$D$51/12)*RATES!$N540/100</f>
        <v>191.66666666666666</v>
      </c>
      <c r="AL564" s="16">
        <f t="shared" si="378"/>
        <v>-15468.131648169805</v>
      </c>
      <c r="AM564" s="15">
        <f t="shared" si="353"/>
        <v>22.170849845882874</v>
      </c>
      <c r="AN564" s="75">
        <f>AM564*(1-PARAM!$C$27)*$I$12+(MOD($B564,60)=PARAM!$B$56)*($B564&gt;(60-PARAM!$B$56))*HLOOKUP(($B564+PARAM!$B$56)/12,Loyalty,2)*$F$1*MAX(AP563,0)</f>
        <v>18.557001321003963</v>
      </c>
      <c r="AO564" s="75">
        <f>PARAM!$C$26+MAX($G$12-CHOOSE(PARAM!$B$44,MAX(0,AP563*$F$1),0),0)*RATES!$L540/12+$H$12*(PARAM!$D$51/12)*RATES!$N540/100</f>
        <v>191.66666666666666</v>
      </c>
      <c r="AP564" s="16">
        <f t="shared" si="379"/>
        <v>-15468.131648169805</v>
      </c>
      <c r="AQ564" s="15">
        <f t="shared" si="354"/>
        <v>22.170849845882874</v>
      </c>
      <c r="AR564" s="75">
        <f>AQ564*(1-PARAM!$C$27)*$I$13+(MOD($B564,60)=PARAM!$B$56)*($B564&gt;(60-PARAM!$B$56))*HLOOKUP(($B564+PARAM!$B$56)/12,Loyalty,2)*$F$1*MAX(AT563,0)</f>
        <v>18.557001321003963</v>
      </c>
      <c r="AS564" s="75">
        <f>PARAM!$C$26+MAX($G$13-CHOOSE(PARAM!$B$44,MAX(0,AT563*$F$1),0),0)*RATES!$L540/12+$H$13*(PARAM!$D$51/12)*RATES!$N540/100</f>
        <v>191.66666666666666</v>
      </c>
      <c r="AT564" s="16">
        <f t="shared" si="380"/>
        <v>-15468.131648169805</v>
      </c>
      <c r="AU564" s="15">
        <f t="shared" si="355"/>
        <v>22.170849845882874</v>
      </c>
      <c r="AV564" s="75">
        <f>AU564*(1-PARAM!$C$27)*$I$14+(MOD($B564,60)=PARAM!$B$56)*($B564&gt;(60-PARAM!$B$56))*HLOOKUP(($B564+PARAM!$B$56)/12,Loyalty,2)*$F$1*MAX(AX563,0)</f>
        <v>18.557001321003963</v>
      </c>
      <c r="AW564" s="75">
        <f>PARAM!$C$26+MAX($G$14-CHOOSE(PARAM!$B$44,MAX(0,AX563*$F$1),0),0)*RATES!$L540/12+$H$14*(PARAM!$D$51/12)*RATES!$N540/100</f>
        <v>191.66666666666666</v>
      </c>
      <c r="AX564" s="16">
        <f t="shared" si="381"/>
        <v>-15468.131648169805</v>
      </c>
      <c r="AY564" s="15">
        <f t="shared" si="356"/>
        <v>22.170849845882874</v>
      </c>
      <c r="AZ564" s="75">
        <f>AY564*(1-PARAM!$C$27)*$I$15+(MOD($B564,60)=PARAM!$B$56)*($B564&gt;(60-PARAM!$B$56))*HLOOKUP(($B564+PARAM!$B$56)/12,Loyalty,2)*$F$1*MAX(BB563,0)</f>
        <v>18.557001321003963</v>
      </c>
      <c r="BA564" s="75">
        <f>PARAM!$C$26+MAX($G$15-CHOOSE(PARAM!$B$44,MAX(0,BB563*$F$1),0),0)*RATES!$L540/12+$H$15*(PARAM!$D$51/12)*RATES!$N540/100</f>
        <v>191.66666666666666</v>
      </c>
      <c r="BB564" s="16">
        <f t="shared" si="382"/>
        <v>-15468.131648169805</v>
      </c>
      <c r="BC564" s="15">
        <f t="shared" si="357"/>
        <v>22.170849845882874</v>
      </c>
      <c r="BD564" s="75">
        <f>BC564*(1-PARAM!$C$27)*$I$16+(MOD($B564,60)=PARAM!$B$56)*($B564&gt;(60-PARAM!$B$56))*HLOOKUP(($B564+PARAM!$B$56)/12,Loyalty,2)*$F$1*MAX(BF563,0)</f>
        <v>18.557001321003963</v>
      </c>
      <c r="BE564" s="75">
        <f>PARAM!$C$26+MAX($G$16-CHOOSE(PARAM!$B$44,MAX(0,BF563*$F$1),0),0)*RATES!$L540/12+$H$16*(PARAM!$D$51/12)*RATES!$N540/100</f>
        <v>191.66666666666666</v>
      </c>
      <c r="BF564" s="16">
        <f t="shared" si="383"/>
        <v>-15468.131648169805</v>
      </c>
      <c r="BG564" s="15">
        <f t="shared" si="358"/>
        <v>22.170849845882874</v>
      </c>
      <c r="BH564" s="75">
        <f>BG564*(1-PARAM!$C$27)*$I$17+(MOD($B564,60)=PARAM!$B$56)*($B564&gt;(60-PARAM!$B$56))*HLOOKUP(($B564+PARAM!$B$56)/12,Loyalty,2)*$F$1*MAX(BJ563,0)</f>
        <v>18.557001321003963</v>
      </c>
      <c r="BI564" s="75">
        <f>PARAM!$C$26+MAX($G$17-CHOOSE(PARAM!$B$44,MAX(0,BJ563*$F$1),0),0)*RATES!$L540/12+$H$17*(PARAM!$D$51/12)*RATES!$N540/100</f>
        <v>191.66666666666666</v>
      </c>
      <c r="BJ564" s="16">
        <f t="shared" si="384"/>
        <v>-15468.131648169805</v>
      </c>
      <c r="BK564" s="15">
        <f t="shared" si="359"/>
        <v>22.170849845882874</v>
      </c>
      <c r="BL564" s="75">
        <f>BK564*(1-PARAM!$C$27)*$I$18+(MOD($B564,60)=PARAM!$B$56)*($B564&gt;(60-PARAM!$B$56))*HLOOKUP(($B564+PARAM!$B$56)/12,Loyalty,2)*$F$1*MAX(BN563,0)</f>
        <v>18.557001321003963</v>
      </c>
      <c r="BM564" s="75">
        <f>PARAM!$C$26+MAX($G$18-CHOOSE(PARAM!$B$44,MAX(0,BN563*$F$1),0),0)*RATES!$L540/12+$H$18*(PARAM!$D$51/12)*RATES!$N540/100</f>
        <v>191.66666666666666</v>
      </c>
      <c r="BN564" s="16">
        <f t="shared" si="385"/>
        <v>-15468.131648169805</v>
      </c>
      <c r="BO564" s="15">
        <f t="shared" si="360"/>
        <v>22.170849845882874</v>
      </c>
      <c r="BP564" s="75">
        <f>BO564*(1-PARAM!$C$27)*$I$19+(MOD($B564,60)=PARAM!$B$56)*($B564&gt;(60-PARAM!$B$56))*HLOOKUP(($B564+PARAM!$B$56)/12,Loyalty,2)*$F$1*MAX(BR563,0)</f>
        <v>18.557001321003963</v>
      </c>
      <c r="BQ564" s="75">
        <f>PARAM!$C$26+MAX($G$19-CHOOSE(PARAM!$B$44,MAX(0,BR563*$F$1),0),0)*RATES!$L540/12+$H$19*(PARAM!$D$51/12)*RATES!$N540/100</f>
        <v>191.66666666666666</v>
      </c>
      <c r="BR564" s="16">
        <f t="shared" si="386"/>
        <v>-15468.131648169805</v>
      </c>
      <c r="BS564" s="15">
        <f t="shared" si="361"/>
        <v>22.170849845882874</v>
      </c>
      <c r="BT564" s="75">
        <f>BS564*(1-PARAM!$C$27)*$I$20+(MOD($B564,60)=PARAM!$B$56)*($B564&gt;(60-PARAM!$B$56))*HLOOKUP(($B564+PARAM!$B$56)/12,Loyalty,2)*$F$1*MAX(BV563,0)</f>
        <v>18.557001321003963</v>
      </c>
      <c r="BU564" s="75">
        <f>PARAM!$C$26+MAX($G$20-CHOOSE(PARAM!$B$44,MAX(0,BV563*$F$1),0),0)*RATES!$L540/12+$H$20*(PARAM!$D$51/12)*RATES!$N540/100</f>
        <v>191.66666666666666</v>
      </c>
      <c r="BV564" s="16">
        <f t="shared" si="387"/>
        <v>-15468.131648169805</v>
      </c>
      <c r="BW564" s="15">
        <f t="shared" si="362"/>
        <v>22.170849845882874</v>
      </c>
      <c r="BX564" s="75">
        <f>BW564*(1-PARAM!$C$27)*$I$21+(MOD($B564,60)=PARAM!$B$56)*($B564&gt;(60-PARAM!$B$56))*HLOOKUP(($B564+PARAM!$B$56)/12,Loyalty,2)*$F$1*MAX(BZ563,0)</f>
        <v>18.557001321003963</v>
      </c>
      <c r="BY564" s="75">
        <f>PARAM!$C$26+MAX($G$21-CHOOSE(PARAM!$B$44,MAX(0,BZ563*$F$1),0),0)*RATES!$L540/12+$H$21*(PARAM!$D$51/12)*RATES!$N540/100</f>
        <v>191.66666666666666</v>
      </c>
      <c r="BZ564" s="16">
        <f t="shared" si="388"/>
        <v>-15468.131648169805</v>
      </c>
      <c r="CA564" s="15">
        <f t="shared" si="363"/>
        <v>22.170849845882874</v>
      </c>
      <c r="CB564" s="75">
        <f>CA564*(1-PARAM!$C$27)*$I$22+(MOD($B564,60)=PARAM!$B$56)*($B564&gt;(60-PARAM!$B$56))*HLOOKUP(($B564+PARAM!$B$56)/12,Loyalty,2)*$F$1*MAX(CD563,0)</f>
        <v>18.557001321003963</v>
      </c>
      <c r="CC564" s="75">
        <f>PARAM!$C$26+MAX($G$22-CHOOSE(PARAM!$B$44,MAX(0,CD563*$F$1),0),0)*RATES!$L540/12+$H$22*(PARAM!$D$51/12)*RATES!$N540/100</f>
        <v>191.66666666666666</v>
      </c>
      <c r="CD564" s="16">
        <f t="shared" si="389"/>
        <v>-15468.131648169805</v>
      </c>
      <c r="CE564" s="33">
        <f>IF(0=MOD(B564,12/PARAM!$D$51),1,0)</f>
        <v>1</v>
      </c>
      <c r="CF564" s="15">
        <f t="shared" si="364"/>
        <v>0</v>
      </c>
      <c r="CG564" s="75">
        <f>CF564*(1-PARAM!$C$27)*$R$3+(MOD($B564/12,5)=0)*($B564&gt;60)*HLOOKUP($B564/12,Loyalty,2)*$F$1*MAX(CI563,0)</f>
        <v>0</v>
      </c>
      <c r="CH564" s="75">
        <f>PARAM!$C$26+MAX($P$3-CHOOSE(PARAM!$B$44,MAX(0,CI563*$F$1),0),0)*RATES!$L540/12+$Q$3*(PARAM!$D$51/12)*RATES!$N540/100</f>
        <v>191.66666666666666</v>
      </c>
      <c r="CI564" s="16">
        <f>IF(CI563&gt;0,CI563*PARAM!$C$53,CI563)+CG564-CH564</f>
        <v>-25313.666666666639</v>
      </c>
      <c r="CJ564" s="15">
        <f t="shared" si="390"/>
        <v>0</v>
      </c>
      <c r="CK564" s="75">
        <f>CJ564*(1-PARAM!$C$27)*$R$4+(MOD($B564/12,5)=0)*($B564&gt;60)*HLOOKUP($B564/12,Loyalty,2)*$F$1*MAX(CM563,0)</f>
        <v>0</v>
      </c>
      <c r="CL564" s="75">
        <f>PARAM!$C$26+MAX($P$4-CHOOSE(PARAM!$B$44,MAX(0,CM563*$F$1),0),0)*RATES!$L540/12+$Q$4*(PARAM!$D$51/12)*RATES!$N540/100</f>
        <v>191.66666666666666</v>
      </c>
      <c r="CM564" s="16">
        <f>IF(CM563&gt;0,CM563*PARAM!$C$53,CM563)+CK564-CL564</f>
        <v>-25313.666666666639</v>
      </c>
      <c r="CO564" s="176"/>
    </row>
    <row r="565" spans="1:93" x14ac:dyDescent="0.2">
      <c r="A565" t="b">
        <f t="shared" si="365"/>
        <v>0</v>
      </c>
      <c r="B565" s="33">
        <v>538</v>
      </c>
      <c r="C565" s="15">
        <f t="shared" si="366"/>
        <v>20.081305947392778</v>
      </c>
      <c r="D565" s="75">
        <f>C565*(1-PARAM!$C$27)*$I$3+(MOD($B565,60)=PARAM!$B$56)*($B565&gt;(60-PARAM!$B$56))*HLOOKUP(($B565+PARAM!$B$56)/12,Loyalty,2)*$F$1*MAX(F564,0)</f>
        <v>16.808053077967756</v>
      </c>
      <c r="E565" s="75">
        <f>PARAM!$C$26+MAX($G$3-CHOOSE(PARAM!$B$44,MAX(0,F564*$F$1),0),0)*RATES!$L541/12+$H$3*(PARAM!$D$51/12)*RATES!$N541/100</f>
        <v>191.66666666666666</v>
      </c>
      <c r="F565" s="16">
        <f t="shared" si="367"/>
        <v>-16619.025968790411</v>
      </c>
      <c r="G565" s="15">
        <f t="shared" si="368"/>
        <v>22.035289406060361</v>
      </c>
      <c r="H565" s="75">
        <f>G565*(1-PARAM!$C$27)*$I$4+(MOD($B565,60)=PARAM!$B$56)*($B565&gt;(60-PARAM!$B$56))*HLOOKUP(($B565+PARAM!$B$56)/12,Loyalty,2)*$F$1*MAX(J564,0)</f>
        <v>18.443537232872522</v>
      </c>
      <c r="I565" s="75">
        <f>PARAM!$C$26+MAX($G$4-CHOOSE(PARAM!$B$44,MAX(0,J564*$F$1),0),0)*RATES!$L541/12+$H$4*(PARAM!$D$51/12)*RATES!$N541/100</f>
        <v>191.66666666666666</v>
      </c>
      <c r="J565" s="16">
        <f t="shared" si="369"/>
        <v>-15705.302529329978</v>
      </c>
      <c r="K565" s="15">
        <f t="shared" si="370"/>
        <v>22.170849845882874</v>
      </c>
      <c r="L565" s="75">
        <f>K565*(1-PARAM!$C$27)*$I$5+(MOD($B565,60)=PARAM!$B$56)*($B565&gt;(60-PARAM!$B$56))*HLOOKUP(($B565+PARAM!$B$56)/12,Loyalty,2)*$F$1*MAX(N564,0)</f>
        <v>18.557001321003963</v>
      </c>
      <c r="M565" s="75">
        <f>PARAM!$C$26+MAX($G$5-CHOOSE(PARAM!$B$44,MAX(0,N564*$F$1),0),0)*RATES!$L541/12+$H$5*(PARAM!$D$51/12)*RATES!$N541/100</f>
        <v>191.66666666666666</v>
      </c>
      <c r="N565" s="16">
        <f t="shared" si="371"/>
        <v>-15641.241313515467</v>
      </c>
      <c r="O565" s="15">
        <f t="shared" si="372"/>
        <v>22.170849845882874</v>
      </c>
      <c r="P565" s="75">
        <f>O565*(1-PARAM!$C$27)*$I$6+(MOD($B565,60)=PARAM!$B$56)*($B565&gt;(60-PARAM!$B$56))*HLOOKUP(($B565+PARAM!$B$56)/12,Loyalty,2)*$F$1*MAX(R564,0)</f>
        <v>18.557001321003963</v>
      </c>
      <c r="Q565" s="75">
        <f>PARAM!$C$26+MAX($G$6-CHOOSE(PARAM!$B$44,MAX(0,R564*$F$1),0),0)*RATES!$L541/12+$H$6*(PARAM!$D$51/12)*RATES!$N541/100</f>
        <v>191.66666666666666</v>
      </c>
      <c r="R565" s="16">
        <f t="shared" si="373"/>
        <v>-15641.241313515467</v>
      </c>
      <c r="S565" s="15">
        <f t="shared" si="348"/>
        <v>22.170849845882874</v>
      </c>
      <c r="T565" s="75">
        <f>S565*(1-PARAM!$C$27)*$I$7+(MOD($B565,60)=PARAM!$B$56)*($B565&gt;(60-PARAM!$B$56))*HLOOKUP(($B565+PARAM!$B$56)/12,Loyalty,2)*$F$1*MAX(V564,0)</f>
        <v>18.557001321003963</v>
      </c>
      <c r="U565" s="75">
        <f>PARAM!$C$26+MAX($G$7-CHOOSE(PARAM!$B$44,MAX(0,V564*$F$1),0),0)*RATES!$L541/12+$H$7*(PARAM!$D$51/12)*RATES!$N541/100</f>
        <v>191.66666666666666</v>
      </c>
      <c r="V565" s="16">
        <f t="shared" si="374"/>
        <v>-15641.241313515467</v>
      </c>
      <c r="W565" s="15">
        <f t="shared" si="349"/>
        <v>22.170849845882874</v>
      </c>
      <c r="X565" s="75">
        <f>W565*(1-PARAM!$C$27)*$I$8+(MOD($B565,60)=PARAM!$B$56)*($B565&gt;(60-PARAM!$B$56))*HLOOKUP(($B565+PARAM!$B$56)/12,Loyalty,2)*$F$1*MAX(Z564,0)</f>
        <v>18.557001321003963</v>
      </c>
      <c r="Y565" s="75">
        <f>PARAM!$C$26+MAX($G$8-CHOOSE(PARAM!$B$44,MAX(0,Z564*$F$1),0),0)*RATES!$L541/12+$H$8*(PARAM!$D$51/12)*RATES!$N541/100</f>
        <v>191.66666666666666</v>
      </c>
      <c r="Z565" s="16">
        <f t="shared" si="375"/>
        <v>-15641.241313515467</v>
      </c>
      <c r="AA565" s="15">
        <f t="shared" si="350"/>
        <v>22.170849845882874</v>
      </c>
      <c r="AB565" s="75">
        <f>AA565*(1-PARAM!$C$27)*$I$9+(MOD($B565,60)=PARAM!$B$56)*($B565&gt;(60-PARAM!$B$56))*HLOOKUP(($B565+PARAM!$B$56)/12,Loyalty,2)*$F$1*MAX(AD564,0)</f>
        <v>18.557001321003963</v>
      </c>
      <c r="AC565" s="75">
        <f>PARAM!$C$26+MAX($G$9-CHOOSE(PARAM!$B$44,MAX(0,AD564*$F$1),0),0)*RATES!$L541/12+$H$9*(PARAM!$D$51/12)*RATES!$N541/100</f>
        <v>191.66666666666666</v>
      </c>
      <c r="AD565" s="16">
        <f t="shared" si="376"/>
        <v>-15641.241313515467</v>
      </c>
      <c r="AE565" s="15">
        <f t="shared" si="351"/>
        <v>22.170849845882874</v>
      </c>
      <c r="AF565" s="75">
        <f>AE565*(1-PARAM!$C$27)*$I$10+(MOD($B565,60)=PARAM!$B$56)*($B565&gt;(60-PARAM!$B$56))*HLOOKUP(($B565+PARAM!$B$56)/12,Loyalty,2)*$F$1*MAX(AH564,0)</f>
        <v>18.557001321003963</v>
      </c>
      <c r="AG565" s="75">
        <f>PARAM!$C$26+MAX($G$10-CHOOSE(PARAM!$B$44,MAX(0,AH564*$F$1),0),0)*RATES!$L541/12+$H$10*(PARAM!$D$51/12)*RATES!$N541/100</f>
        <v>191.66666666666666</v>
      </c>
      <c r="AH565" s="16">
        <f t="shared" si="377"/>
        <v>-15641.241313515467</v>
      </c>
      <c r="AI565" s="15">
        <f t="shared" si="352"/>
        <v>22.170849845882874</v>
      </c>
      <c r="AJ565" s="75">
        <f>AI565*(1-PARAM!$C$27)*$I$11+(MOD($B565,60)=PARAM!$B$56)*($B565&gt;(60-PARAM!$B$56))*HLOOKUP(($B565+PARAM!$B$56)/12,Loyalty,2)*$F$1*MAX(AL564,0)</f>
        <v>18.557001321003963</v>
      </c>
      <c r="AK565" s="75">
        <f>PARAM!$C$26+MAX($G$11-CHOOSE(PARAM!$B$44,MAX(0,AL564*$F$1),0),0)*RATES!$L541/12+$H$11*(PARAM!$D$51/12)*RATES!$N541/100</f>
        <v>191.66666666666666</v>
      </c>
      <c r="AL565" s="16">
        <f t="shared" si="378"/>
        <v>-15641.241313515467</v>
      </c>
      <c r="AM565" s="15">
        <f t="shared" si="353"/>
        <v>22.170849845882874</v>
      </c>
      <c r="AN565" s="75">
        <f>AM565*(1-PARAM!$C$27)*$I$12+(MOD($B565,60)=PARAM!$B$56)*($B565&gt;(60-PARAM!$B$56))*HLOOKUP(($B565+PARAM!$B$56)/12,Loyalty,2)*$F$1*MAX(AP564,0)</f>
        <v>18.557001321003963</v>
      </c>
      <c r="AO565" s="75">
        <f>PARAM!$C$26+MAX($G$12-CHOOSE(PARAM!$B$44,MAX(0,AP564*$F$1),0),0)*RATES!$L541/12+$H$12*(PARAM!$D$51/12)*RATES!$N541/100</f>
        <v>191.66666666666666</v>
      </c>
      <c r="AP565" s="16">
        <f t="shared" si="379"/>
        <v>-15641.241313515467</v>
      </c>
      <c r="AQ565" s="15">
        <f t="shared" si="354"/>
        <v>22.170849845882874</v>
      </c>
      <c r="AR565" s="75">
        <f>AQ565*(1-PARAM!$C$27)*$I$13+(MOD($B565,60)=PARAM!$B$56)*($B565&gt;(60-PARAM!$B$56))*HLOOKUP(($B565+PARAM!$B$56)/12,Loyalty,2)*$F$1*MAX(AT564,0)</f>
        <v>18.557001321003963</v>
      </c>
      <c r="AS565" s="75">
        <f>PARAM!$C$26+MAX($G$13-CHOOSE(PARAM!$B$44,MAX(0,AT564*$F$1),0),0)*RATES!$L541/12+$H$13*(PARAM!$D$51/12)*RATES!$N541/100</f>
        <v>191.66666666666666</v>
      </c>
      <c r="AT565" s="16">
        <f t="shared" si="380"/>
        <v>-15641.241313515467</v>
      </c>
      <c r="AU565" s="15">
        <f t="shared" si="355"/>
        <v>22.170849845882874</v>
      </c>
      <c r="AV565" s="75">
        <f>AU565*(1-PARAM!$C$27)*$I$14+(MOD($B565,60)=PARAM!$B$56)*($B565&gt;(60-PARAM!$B$56))*HLOOKUP(($B565+PARAM!$B$56)/12,Loyalty,2)*$F$1*MAX(AX564,0)</f>
        <v>18.557001321003963</v>
      </c>
      <c r="AW565" s="75">
        <f>PARAM!$C$26+MAX($G$14-CHOOSE(PARAM!$B$44,MAX(0,AX564*$F$1),0),0)*RATES!$L541/12+$H$14*(PARAM!$D$51/12)*RATES!$N541/100</f>
        <v>191.66666666666666</v>
      </c>
      <c r="AX565" s="16">
        <f t="shared" si="381"/>
        <v>-15641.241313515467</v>
      </c>
      <c r="AY565" s="15">
        <f t="shared" si="356"/>
        <v>22.170849845882874</v>
      </c>
      <c r="AZ565" s="75">
        <f>AY565*(1-PARAM!$C$27)*$I$15+(MOD($B565,60)=PARAM!$B$56)*($B565&gt;(60-PARAM!$B$56))*HLOOKUP(($B565+PARAM!$B$56)/12,Loyalty,2)*$F$1*MAX(BB564,0)</f>
        <v>18.557001321003963</v>
      </c>
      <c r="BA565" s="75">
        <f>PARAM!$C$26+MAX($G$15-CHOOSE(PARAM!$B$44,MAX(0,BB564*$F$1),0),0)*RATES!$L541/12+$H$15*(PARAM!$D$51/12)*RATES!$N541/100</f>
        <v>191.66666666666666</v>
      </c>
      <c r="BB565" s="16">
        <f t="shared" si="382"/>
        <v>-15641.241313515467</v>
      </c>
      <c r="BC565" s="15">
        <f t="shared" si="357"/>
        <v>22.170849845882874</v>
      </c>
      <c r="BD565" s="75">
        <f>BC565*(1-PARAM!$C$27)*$I$16+(MOD($B565,60)=PARAM!$B$56)*($B565&gt;(60-PARAM!$B$56))*HLOOKUP(($B565+PARAM!$B$56)/12,Loyalty,2)*$F$1*MAX(BF564,0)</f>
        <v>18.557001321003963</v>
      </c>
      <c r="BE565" s="75">
        <f>PARAM!$C$26+MAX($G$16-CHOOSE(PARAM!$B$44,MAX(0,BF564*$F$1),0),0)*RATES!$L541/12+$H$16*(PARAM!$D$51/12)*RATES!$N541/100</f>
        <v>191.66666666666666</v>
      </c>
      <c r="BF565" s="16">
        <f t="shared" si="383"/>
        <v>-15641.241313515467</v>
      </c>
      <c r="BG565" s="15">
        <f t="shared" si="358"/>
        <v>22.170849845882874</v>
      </c>
      <c r="BH565" s="75">
        <f>BG565*(1-PARAM!$C$27)*$I$17+(MOD($B565,60)=PARAM!$B$56)*($B565&gt;(60-PARAM!$B$56))*HLOOKUP(($B565+PARAM!$B$56)/12,Loyalty,2)*$F$1*MAX(BJ564,0)</f>
        <v>18.557001321003963</v>
      </c>
      <c r="BI565" s="75">
        <f>PARAM!$C$26+MAX($G$17-CHOOSE(PARAM!$B$44,MAX(0,BJ564*$F$1),0),0)*RATES!$L541/12+$H$17*(PARAM!$D$51/12)*RATES!$N541/100</f>
        <v>191.66666666666666</v>
      </c>
      <c r="BJ565" s="16">
        <f t="shared" si="384"/>
        <v>-15641.241313515467</v>
      </c>
      <c r="BK565" s="15">
        <f t="shared" si="359"/>
        <v>22.170849845882874</v>
      </c>
      <c r="BL565" s="75">
        <f>BK565*(1-PARAM!$C$27)*$I$18+(MOD($B565,60)=PARAM!$B$56)*($B565&gt;(60-PARAM!$B$56))*HLOOKUP(($B565+PARAM!$B$56)/12,Loyalty,2)*$F$1*MAX(BN564,0)</f>
        <v>18.557001321003963</v>
      </c>
      <c r="BM565" s="75">
        <f>PARAM!$C$26+MAX($G$18-CHOOSE(PARAM!$B$44,MAX(0,BN564*$F$1),0),0)*RATES!$L541/12+$H$18*(PARAM!$D$51/12)*RATES!$N541/100</f>
        <v>191.66666666666666</v>
      </c>
      <c r="BN565" s="16">
        <f t="shared" si="385"/>
        <v>-15641.241313515467</v>
      </c>
      <c r="BO565" s="15">
        <f t="shared" si="360"/>
        <v>22.170849845882874</v>
      </c>
      <c r="BP565" s="75">
        <f>BO565*(1-PARAM!$C$27)*$I$19+(MOD($B565,60)=PARAM!$B$56)*($B565&gt;(60-PARAM!$B$56))*HLOOKUP(($B565+PARAM!$B$56)/12,Loyalty,2)*$F$1*MAX(BR564,0)</f>
        <v>18.557001321003963</v>
      </c>
      <c r="BQ565" s="75">
        <f>PARAM!$C$26+MAX($G$19-CHOOSE(PARAM!$B$44,MAX(0,BR564*$F$1),0),0)*RATES!$L541/12+$H$19*(PARAM!$D$51/12)*RATES!$N541/100</f>
        <v>191.66666666666666</v>
      </c>
      <c r="BR565" s="16">
        <f t="shared" si="386"/>
        <v>-15641.241313515467</v>
      </c>
      <c r="BS565" s="15">
        <f t="shared" si="361"/>
        <v>22.170849845882874</v>
      </c>
      <c r="BT565" s="75">
        <f>BS565*(1-PARAM!$C$27)*$I$20+(MOD($B565,60)=PARAM!$B$56)*($B565&gt;(60-PARAM!$B$56))*HLOOKUP(($B565+PARAM!$B$56)/12,Loyalty,2)*$F$1*MAX(BV564,0)</f>
        <v>18.557001321003963</v>
      </c>
      <c r="BU565" s="75">
        <f>PARAM!$C$26+MAX($G$20-CHOOSE(PARAM!$B$44,MAX(0,BV564*$F$1),0),0)*RATES!$L541/12+$H$20*(PARAM!$D$51/12)*RATES!$N541/100</f>
        <v>191.66666666666666</v>
      </c>
      <c r="BV565" s="16">
        <f t="shared" si="387"/>
        <v>-15641.241313515467</v>
      </c>
      <c r="BW565" s="15">
        <f t="shared" si="362"/>
        <v>22.170849845882874</v>
      </c>
      <c r="BX565" s="75">
        <f>BW565*(1-PARAM!$C$27)*$I$21+(MOD($B565,60)=PARAM!$B$56)*($B565&gt;(60-PARAM!$B$56))*HLOOKUP(($B565+PARAM!$B$56)/12,Loyalty,2)*$F$1*MAX(BZ564,0)</f>
        <v>18.557001321003963</v>
      </c>
      <c r="BY565" s="75">
        <f>PARAM!$C$26+MAX($G$21-CHOOSE(PARAM!$B$44,MAX(0,BZ564*$F$1),0),0)*RATES!$L541/12+$H$21*(PARAM!$D$51/12)*RATES!$N541/100</f>
        <v>191.66666666666666</v>
      </c>
      <c r="BZ565" s="16">
        <f t="shared" si="388"/>
        <v>-15641.241313515467</v>
      </c>
      <c r="CA565" s="15">
        <f t="shared" si="363"/>
        <v>22.170849845882874</v>
      </c>
      <c r="CB565" s="75">
        <f>CA565*(1-PARAM!$C$27)*$I$22+(MOD($B565,60)=PARAM!$B$56)*($B565&gt;(60-PARAM!$B$56))*HLOOKUP(($B565+PARAM!$B$56)/12,Loyalty,2)*$F$1*MAX(CD564,0)</f>
        <v>18.557001321003963</v>
      </c>
      <c r="CC565" s="75">
        <f>PARAM!$C$26+MAX($G$22-CHOOSE(PARAM!$B$44,MAX(0,CD564*$F$1),0),0)*RATES!$L541/12+$H$22*(PARAM!$D$51/12)*RATES!$N541/100</f>
        <v>191.66666666666666</v>
      </c>
      <c r="CD565" s="16">
        <f t="shared" si="389"/>
        <v>-15641.241313515467</v>
      </c>
      <c r="CE565" s="33">
        <f>IF(0=MOD(B565,12/PARAM!$D$51),1,0)</f>
        <v>1</v>
      </c>
      <c r="CF565" s="15">
        <f t="shared" si="364"/>
        <v>0</v>
      </c>
      <c r="CG565" s="75">
        <f>CF565*(1-PARAM!$C$27)*$R$3+(MOD($B565/12,5)=0)*($B565&gt;60)*HLOOKUP($B565/12,Loyalty,2)*$F$1*MAX(CI564,0)</f>
        <v>0</v>
      </c>
      <c r="CH565" s="75">
        <f>PARAM!$C$26+MAX($P$3-CHOOSE(PARAM!$B$44,MAX(0,CI564*$F$1),0),0)*RATES!$L541/12+$Q$3*(PARAM!$D$51/12)*RATES!$N541/100</f>
        <v>191.66666666666666</v>
      </c>
      <c r="CI565" s="16">
        <f>IF(CI564&gt;0,CI564*PARAM!$C$53,CI564)+CG565-CH565</f>
        <v>-25505.333333333307</v>
      </c>
      <c r="CJ565" s="15">
        <f t="shared" si="390"/>
        <v>0</v>
      </c>
      <c r="CK565" s="75">
        <f>CJ565*(1-PARAM!$C$27)*$R$4+(MOD($B565/12,5)=0)*($B565&gt;60)*HLOOKUP($B565/12,Loyalty,2)*$F$1*MAX(CM564,0)</f>
        <v>0</v>
      </c>
      <c r="CL565" s="75">
        <f>PARAM!$C$26+MAX($P$4-CHOOSE(PARAM!$B$44,MAX(0,CM564*$F$1),0),0)*RATES!$L541/12+$Q$4*(PARAM!$D$51/12)*RATES!$N541/100</f>
        <v>191.66666666666666</v>
      </c>
      <c r="CM565" s="16">
        <f>IF(CM564&gt;0,CM564*PARAM!$C$53,CM564)+CK565-CL565</f>
        <v>-25505.333333333307</v>
      </c>
      <c r="CO565" s="176"/>
    </row>
    <row r="566" spans="1:93" x14ac:dyDescent="0.2">
      <c r="A566" t="b">
        <f t="shared" si="365"/>
        <v>0</v>
      </c>
      <c r="B566" s="33">
        <v>539</v>
      </c>
      <c r="C566" s="15">
        <f t="shared" si="366"/>
        <v>20.081305947392778</v>
      </c>
      <c r="D566" s="75">
        <f>C566*(1-PARAM!$C$27)*$I$3+(MOD($B566,60)=PARAM!$B$56)*($B566&gt;(60-PARAM!$B$56))*HLOOKUP(($B566+PARAM!$B$56)/12,Loyalty,2)*$F$1*MAX(F565,0)</f>
        <v>16.808053077967756</v>
      </c>
      <c r="E566" s="75">
        <f>PARAM!$C$26+MAX($G$3-CHOOSE(PARAM!$B$44,MAX(0,F565*$F$1),0),0)*RATES!$L542/12+$H$3*(PARAM!$D$51/12)*RATES!$N542/100</f>
        <v>191.66666666666666</v>
      </c>
      <c r="F566" s="16">
        <f t="shared" si="367"/>
        <v>-16793.884582379113</v>
      </c>
      <c r="G566" s="15">
        <f t="shared" si="368"/>
        <v>22.035289406060361</v>
      </c>
      <c r="H566" s="75">
        <f>G566*(1-PARAM!$C$27)*$I$4+(MOD($B566,60)=PARAM!$B$56)*($B566&gt;(60-PARAM!$B$56))*HLOOKUP(($B566+PARAM!$B$56)/12,Loyalty,2)*$F$1*MAX(J565,0)</f>
        <v>18.443537232872522</v>
      </c>
      <c r="I566" s="75">
        <f>PARAM!$C$26+MAX($G$4-CHOOSE(PARAM!$B$44,MAX(0,J565*$F$1),0),0)*RATES!$L542/12+$H$4*(PARAM!$D$51/12)*RATES!$N542/100</f>
        <v>191.66666666666666</v>
      </c>
      <c r="J566" s="16">
        <f t="shared" si="369"/>
        <v>-15878.525658763772</v>
      </c>
      <c r="K566" s="15">
        <f t="shared" si="370"/>
        <v>22.170849845882874</v>
      </c>
      <c r="L566" s="75">
        <f>K566*(1-PARAM!$C$27)*$I$5+(MOD($B566,60)=PARAM!$B$56)*($B566&gt;(60-PARAM!$B$56))*HLOOKUP(($B566+PARAM!$B$56)/12,Loyalty,2)*$F$1*MAX(N565,0)</f>
        <v>18.557001321003963</v>
      </c>
      <c r="M566" s="75">
        <f>PARAM!$C$26+MAX($G$5-CHOOSE(PARAM!$B$44,MAX(0,N565*$F$1),0),0)*RATES!$L542/12+$H$5*(PARAM!$D$51/12)*RATES!$N542/100</f>
        <v>191.66666666666666</v>
      </c>
      <c r="N566" s="16">
        <f t="shared" si="371"/>
        <v>-15814.35097886113</v>
      </c>
      <c r="O566" s="15">
        <f t="shared" si="372"/>
        <v>22.170849845882874</v>
      </c>
      <c r="P566" s="75">
        <f>O566*(1-PARAM!$C$27)*$I$6+(MOD($B566,60)=PARAM!$B$56)*($B566&gt;(60-PARAM!$B$56))*HLOOKUP(($B566+PARAM!$B$56)/12,Loyalty,2)*$F$1*MAX(R565,0)</f>
        <v>18.557001321003963</v>
      </c>
      <c r="Q566" s="75">
        <f>PARAM!$C$26+MAX($G$6-CHOOSE(PARAM!$B$44,MAX(0,R565*$F$1),0),0)*RATES!$L542/12+$H$6*(PARAM!$D$51/12)*RATES!$N542/100</f>
        <v>191.66666666666666</v>
      </c>
      <c r="R566" s="16">
        <f t="shared" si="373"/>
        <v>-15814.35097886113</v>
      </c>
      <c r="S566" s="15">
        <f t="shared" si="348"/>
        <v>22.170849845882874</v>
      </c>
      <c r="T566" s="75">
        <f>S566*(1-PARAM!$C$27)*$I$7+(MOD($B566,60)=PARAM!$B$56)*($B566&gt;(60-PARAM!$B$56))*HLOOKUP(($B566+PARAM!$B$56)/12,Loyalty,2)*$F$1*MAX(V565,0)</f>
        <v>18.557001321003963</v>
      </c>
      <c r="U566" s="75">
        <f>PARAM!$C$26+MAX($G$7-CHOOSE(PARAM!$B$44,MAX(0,V565*$F$1),0),0)*RATES!$L542/12+$H$7*(PARAM!$D$51/12)*RATES!$N542/100</f>
        <v>191.66666666666666</v>
      </c>
      <c r="V566" s="16">
        <f t="shared" si="374"/>
        <v>-15814.35097886113</v>
      </c>
      <c r="W566" s="15">
        <f t="shared" si="349"/>
        <v>22.170849845882874</v>
      </c>
      <c r="X566" s="75">
        <f>W566*(1-PARAM!$C$27)*$I$8+(MOD($B566,60)=PARAM!$B$56)*($B566&gt;(60-PARAM!$B$56))*HLOOKUP(($B566+PARAM!$B$56)/12,Loyalty,2)*$F$1*MAX(Z565,0)</f>
        <v>18.557001321003963</v>
      </c>
      <c r="Y566" s="75">
        <f>PARAM!$C$26+MAX($G$8-CHOOSE(PARAM!$B$44,MAX(0,Z565*$F$1),0),0)*RATES!$L542/12+$H$8*(PARAM!$D$51/12)*RATES!$N542/100</f>
        <v>191.66666666666666</v>
      </c>
      <c r="Z566" s="16">
        <f t="shared" si="375"/>
        <v>-15814.35097886113</v>
      </c>
      <c r="AA566" s="15">
        <f t="shared" si="350"/>
        <v>22.170849845882874</v>
      </c>
      <c r="AB566" s="75">
        <f>AA566*(1-PARAM!$C$27)*$I$9+(MOD($B566,60)=PARAM!$B$56)*($B566&gt;(60-PARAM!$B$56))*HLOOKUP(($B566+PARAM!$B$56)/12,Loyalty,2)*$F$1*MAX(AD565,0)</f>
        <v>18.557001321003963</v>
      </c>
      <c r="AC566" s="75">
        <f>PARAM!$C$26+MAX($G$9-CHOOSE(PARAM!$B$44,MAX(0,AD565*$F$1),0),0)*RATES!$L542/12+$H$9*(PARAM!$D$51/12)*RATES!$N542/100</f>
        <v>191.66666666666666</v>
      </c>
      <c r="AD566" s="16">
        <f t="shared" si="376"/>
        <v>-15814.35097886113</v>
      </c>
      <c r="AE566" s="15">
        <f t="shared" si="351"/>
        <v>22.170849845882874</v>
      </c>
      <c r="AF566" s="75">
        <f>AE566*(1-PARAM!$C$27)*$I$10+(MOD($B566,60)=PARAM!$B$56)*($B566&gt;(60-PARAM!$B$56))*HLOOKUP(($B566+PARAM!$B$56)/12,Loyalty,2)*$F$1*MAX(AH565,0)</f>
        <v>18.557001321003963</v>
      </c>
      <c r="AG566" s="75">
        <f>PARAM!$C$26+MAX($G$10-CHOOSE(PARAM!$B$44,MAX(0,AH565*$F$1),0),0)*RATES!$L542/12+$H$10*(PARAM!$D$51/12)*RATES!$N542/100</f>
        <v>191.66666666666666</v>
      </c>
      <c r="AH566" s="16">
        <f t="shared" si="377"/>
        <v>-15814.35097886113</v>
      </c>
      <c r="AI566" s="15">
        <f t="shared" si="352"/>
        <v>22.170849845882874</v>
      </c>
      <c r="AJ566" s="75">
        <f>AI566*(1-PARAM!$C$27)*$I$11+(MOD($B566,60)=PARAM!$B$56)*($B566&gt;(60-PARAM!$B$56))*HLOOKUP(($B566+PARAM!$B$56)/12,Loyalty,2)*$F$1*MAX(AL565,0)</f>
        <v>18.557001321003963</v>
      </c>
      <c r="AK566" s="75">
        <f>PARAM!$C$26+MAX($G$11-CHOOSE(PARAM!$B$44,MAX(0,AL565*$F$1),0),0)*RATES!$L542/12+$H$11*(PARAM!$D$51/12)*RATES!$N542/100</f>
        <v>191.66666666666666</v>
      </c>
      <c r="AL566" s="16">
        <f t="shared" si="378"/>
        <v>-15814.35097886113</v>
      </c>
      <c r="AM566" s="15">
        <f t="shared" si="353"/>
        <v>22.170849845882874</v>
      </c>
      <c r="AN566" s="75">
        <f>AM566*(1-PARAM!$C$27)*$I$12+(MOD($B566,60)=PARAM!$B$56)*($B566&gt;(60-PARAM!$B$56))*HLOOKUP(($B566+PARAM!$B$56)/12,Loyalty,2)*$F$1*MAX(AP565,0)</f>
        <v>18.557001321003963</v>
      </c>
      <c r="AO566" s="75">
        <f>PARAM!$C$26+MAX($G$12-CHOOSE(PARAM!$B$44,MAX(0,AP565*$F$1),0),0)*RATES!$L542/12+$H$12*(PARAM!$D$51/12)*RATES!$N542/100</f>
        <v>191.66666666666666</v>
      </c>
      <c r="AP566" s="16">
        <f t="shared" si="379"/>
        <v>-15814.35097886113</v>
      </c>
      <c r="AQ566" s="15">
        <f t="shared" si="354"/>
        <v>22.170849845882874</v>
      </c>
      <c r="AR566" s="75">
        <f>AQ566*(1-PARAM!$C$27)*$I$13+(MOD($B566,60)=PARAM!$B$56)*($B566&gt;(60-PARAM!$B$56))*HLOOKUP(($B566+PARAM!$B$56)/12,Loyalty,2)*$F$1*MAX(AT565,0)</f>
        <v>18.557001321003963</v>
      </c>
      <c r="AS566" s="75">
        <f>PARAM!$C$26+MAX($G$13-CHOOSE(PARAM!$B$44,MAX(0,AT565*$F$1),0),0)*RATES!$L542/12+$H$13*(PARAM!$D$51/12)*RATES!$N542/100</f>
        <v>191.66666666666666</v>
      </c>
      <c r="AT566" s="16">
        <f t="shared" si="380"/>
        <v>-15814.35097886113</v>
      </c>
      <c r="AU566" s="15">
        <f t="shared" si="355"/>
        <v>22.170849845882874</v>
      </c>
      <c r="AV566" s="75">
        <f>AU566*(1-PARAM!$C$27)*$I$14+(MOD($B566,60)=PARAM!$B$56)*($B566&gt;(60-PARAM!$B$56))*HLOOKUP(($B566+PARAM!$B$56)/12,Loyalty,2)*$F$1*MAX(AX565,0)</f>
        <v>18.557001321003963</v>
      </c>
      <c r="AW566" s="75">
        <f>PARAM!$C$26+MAX($G$14-CHOOSE(PARAM!$B$44,MAX(0,AX565*$F$1),0),0)*RATES!$L542/12+$H$14*(PARAM!$D$51/12)*RATES!$N542/100</f>
        <v>191.66666666666666</v>
      </c>
      <c r="AX566" s="16">
        <f t="shared" si="381"/>
        <v>-15814.35097886113</v>
      </c>
      <c r="AY566" s="15">
        <f t="shared" si="356"/>
        <v>22.170849845882874</v>
      </c>
      <c r="AZ566" s="75">
        <f>AY566*(1-PARAM!$C$27)*$I$15+(MOD($B566,60)=PARAM!$B$56)*($B566&gt;(60-PARAM!$B$56))*HLOOKUP(($B566+PARAM!$B$56)/12,Loyalty,2)*$F$1*MAX(BB565,0)</f>
        <v>18.557001321003963</v>
      </c>
      <c r="BA566" s="75">
        <f>PARAM!$C$26+MAX($G$15-CHOOSE(PARAM!$B$44,MAX(0,BB565*$F$1),0),0)*RATES!$L542/12+$H$15*(PARAM!$D$51/12)*RATES!$N542/100</f>
        <v>191.66666666666666</v>
      </c>
      <c r="BB566" s="16">
        <f t="shared" si="382"/>
        <v>-15814.35097886113</v>
      </c>
      <c r="BC566" s="15">
        <f t="shared" si="357"/>
        <v>22.170849845882874</v>
      </c>
      <c r="BD566" s="75">
        <f>BC566*(1-PARAM!$C$27)*$I$16+(MOD($B566,60)=PARAM!$B$56)*($B566&gt;(60-PARAM!$B$56))*HLOOKUP(($B566+PARAM!$B$56)/12,Loyalty,2)*$F$1*MAX(BF565,0)</f>
        <v>18.557001321003963</v>
      </c>
      <c r="BE566" s="75">
        <f>PARAM!$C$26+MAX($G$16-CHOOSE(PARAM!$B$44,MAX(0,BF565*$F$1),0),0)*RATES!$L542/12+$H$16*(PARAM!$D$51/12)*RATES!$N542/100</f>
        <v>191.66666666666666</v>
      </c>
      <c r="BF566" s="16">
        <f t="shared" si="383"/>
        <v>-15814.35097886113</v>
      </c>
      <c r="BG566" s="15">
        <f t="shared" si="358"/>
        <v>22.170849845882874</v>
      </c>
      <c r="BH566" s="75">
        <f>BG566*(1-PARAM!$C$27)*$I$17+(MOD($B566,60)=PARAM!$B$56)*($B566&gt;(60-PARAM!$B$56))*HLOOKUP(($B566+PARAM!$B$56)/12,Loyalty,2)*$F$1*MAX(BJ565,0)</f>
        <v>18.557001321003963</v>
      </c>
      <c r="BI566" s="75">
        <f>PARAM!$C$26+MAX($G$17-CHOOSE(PARAM!$B$44,MAX(0,BJ565*$F$1),0),0)*RATES!$L542/12+$H$17*(PARAM!$D$51/12)*RATES!$N542/100</f>
        <v>191.66666666666666</v>
      </c>
      <c r="BJ566" s="16">
        <f t="shared" si="384"/>
        <v>-15814.35097886113</v>
      </c>
      <c r="BK566" s="15">
        <f t="shared" si="359"/>
        <v>22.170849845882874</v>
      </c>
      <c r="BL566" s="75">
        <f>BK566*(1-PARAM!$C$27)*$I$18+(MOD($B566,60)=PARAM!$B$56)*($B566&gt;(60-PARAM!$B$56))*HLOOKUP(($B566+PARAM!$B$56)/12,Loyalty,2)*$F$1*MAX(BN565,0)</f>
        <v>18.557001321003963</v>
      </c>
      <c r="BM566" s="75">
        <f>PARAM!$C$26+MAX($G$18-CHOOSE(PARAM!$B$44,MAX(0,BN565*$F$1),0),0)*RATES!$L542/12+$H$18*(PARAM!$D$51/12)*RATES!$N542/100</f>
        <v>191.66666666666666</v>
      </c>
      <c r="BN566" s="16">
        <f t="shared" si="385"/>
        <v>-15814.35097886113</v>
      </c>
      <c r="BO566" s="15">
        <f t="shared" si="360"/>
        <v>22.170849845882874</v>
      </c>
      <c r="BP566" s="75">
        <f>BO566*(1-PARAM!$C$27)*$I$19+(MOD($B566,60)=PARAM!$B$56)*($B566&gt;(60-PARAM!$B$56))*HLOOKUP(($B566+PARAM!$B$56)/12,Loyalty,2)*$F$1*MAX(BR565,0)</f>
        <v>18.557001321003963</v>
      </c>
      <c r="BQ566" s="75">
        <f>PARAM!$C$26+MAX($G$19-CHOOSE(PARAM!$B$44,MAX(0,BR565*$F$1),0),0)*RATES!$L542/12+$H$19*(PARAM!$D$51/12)*RATES!$N542/100</f>
        <v>191.66666666666666</v>
      </c>
      <c r="BR566" s="16">
        <f t="shared" si="386"/>
        <v>-15814.35097886113</v>
      </c>
      <c r="BS566" s="15">
        <f t="shared" si="361"/>
        <v>22.170849845882874</v>
      </c>
      <c r="BT566" s="75">
        <f>BS566*(1-PARAM!$C$27)*$I$20+(MOD($B566,60)=PARAM!$B$56)*($B566&gt;(60-PARAM!$B$56))*HLOOKUP(($B566+PARAM!$B$56)/12,Loyalty,2)*$F$1*MAX(BV565,0)</f>
        <v>18.557001321003963</v>
      </c>
      <c r="BU566" s="75">
        <f>PARAM!$C$26+MAX($G$20-CHOOSE(PARAM!$B$44,MAX(0,BV565*$F$1),0),0)*RATES!$L542/12+$H$20*(PARAM!$D$51/12)*RATES!$N542/100</f>
        <v>191.66666666666666</v>
      </c>
      <c r="BV566" s="16">
        <f t="shared" si="387"/>
        <v>-15814.35097886113</v>
      </c>
      <c r="BW566" s="15">
        <f t="shared" si="362"/>
        <v>22.170849845882874</v>
      </c>
      <c r="BX566" s="75">
        <f>BW566*(1-PARAM!$C$27)*$I$21+(MOD($B566,60)=PARAM!$B$56)*($B566&gt;(60-PARAM!$B$56))*HLOOKUP(($B566+PARAM!$B$56)/12,Loyalty,2)*$F$1*MAX(BZ565,0)</f>
        <v>18.557001321003963</v>
      </c>
      <c r="BY566" s="75">
        <f>PARAM!$C$26+MAX($G$21-CHOOSE(PARAM!$B$44,MAX(0,BZ565*$F$1),0),0)*RATES!$L542/12+$H$21*(PARAM!$D$51/12)*RATES!$N542/100</f>
        <v>191.66666666666666</v>
      </c>
      <c r="BZ566" s="16">
        <f t="shared" si="388"/>
        <v>-15814.35097886113</v>
      </c>
      <c r="CA566" s="15">
        <f t="shared" si="363"/>
        <v>22.170849845882874</v>
      </c>
      <c r="CB566" s="75">
        <f>CA566*(1-PARAM!$C$27)*$I$22+(MOD($B566,60)=PARAM!$B$56)*($B566&gt;(60-PARAM!$B$56))*HLOOKUP(($B566+PARAM!$B$56)/12,Loyalty,2)*$F$1*MAX(CD565,0)</f>
        <v>18.557001321003963</v>
      </c>
      <c r="CC566" s="75">
        <f>PARAM!$C$26+MAX($G$22-CHOOSE(PARAM!$B$44,MAX(0,CD565*$F$1),0),0)*RATES!$L542/12+$H$22*(PARAM!$D$51/12)*RATES!$N542/100</f>
        <v>191.66666666666666</v>
      </c>
      <c r="CD566" s="16">
        <f t="shared" si="389"/>
        <v>-15814.35097886113</v>
      </c>
      <c r="CE566" s="33">
        <f>IF(0=MOD(B566,12/PARAM!$D$51),1,0)</f>
        <v>1</v>
      </c>
      <c r="CF566" s="15">
        <f t="shared" si="364"/>
        <v>0</v>
      </c>
      <c r="CG566" s="75">
        <f>CF566*(1-PARAM!$C$27)*$R$3+(MOD($B566/12,5)=0)*($B566&gt;60)*HLOOKUP($B566/12,Loyalty,2)*$F$1*MAX(CI565,0)</f>
        <v>0</v>
      </c>
      <c r="CH566" s="75">
        <f>PARAM!$C$26+MAX($P$3-CHOOSE(PARAM!$B$44,MAX(0,CI565*$F$1),0),0)*RATES!$L542/12+$Q$3*(PARAM!$D$51/12)*RATES!$N542/100</f>
        <v>191.66666666666666</v>
      </c>
      <c r="CI566" s="16">
        <f>IF(CI565&gt;0,CI565*PARAM!$C$53,CI565)+CG566-CH566</f>
        <v>-25696.999999999975</v>
      </c>
      <c r="CJ566" s="15">
        <f t="shared" si="390"/>
        <v>0</v>
      </c>
      <c r="CK566" s="75">
        <f>CJ566*(1-PARAM!$C$27)*$R$4+(MOD($B566/12,5)=0)*($B566&gt;60)*HLOOKUP($B566/12,Loyalty,2)*$F$1*MAX(CM565,0)</f>
        <v>0</v>
      </c>
      <c r="CL566" s="75">
        <f>PARAM!$C$26+MAX($P$4-CHOOSE(PARAM!$B$44,MAX(0,CM565*$F$1),0),0)*RATES!$L542/12+$Q$4*(PARAM!$D$51/12)*RATES!$N542/100</f>
        <v>191.66666666666666</v>
      </c>
      <c r="CM566" s="16">
        <f>IF(CM565&gt;0,CM565*PARAM!$C$53,CM565)+CK566-CL566</f>
        <v>-25696.999999999975</v>
      </c>
      <c r="CO566" s="176"/>
    </row>
    <row r="567" spans="1:93" x14ac:dyDescent="0.2">
      <c r="A567" t="b">
        <f t="shared" si="365"/>
        <v>0</v>
      </c>
      <c r="B567" s="33">
        <v>540</v>
      </c>
      <c r="C567" s="15">
        <f t="shared" si="366"/>
        <v>20.081305947392778</v>
      </c>
      <c r="D567" s="75">
        <f>C567*(1-PARAM!$C$27)*$I$3+(MOD($B567,60)=PARAM!$B$56)*($B567&gt;(60-PARAM!$B$56))*HLOOKUP(($B567+PARAM!$B$56)/12,Loyalty,2)*$F$1*MAX(F566,0)</f>
        <v>16.808053077967756</v>
      </c>
      <c r="E567" s="75">
        <f>PARAM!$C$26+MAX($G$3-CHOOSE(PARAM!$B$44,MAX(0,F566*$F$1),0),0)*RATES!$L543/12+$H$3*(PARAM!$D$51/12)*RATES!$N543/100</f>
        <v>191.66666666666666</v>
      </c>
      <c r="F567" s="16">
        <f t="shared" si="367"/>
        <v>-16968.743195967814</v>
      </c>
      <c r="G567" s="15">
        <f t="shared" si="368"/>
        <v>22.035289406060361</v>
      </c>
      <c r="H567" s="75">
        <f>G567*(1-PARAM!$C$27)*$I$4+(MOD($B567,60)=PARAM!$B$56)*($B567&gt;(60-PARAM!$B$56))*HLOOKUP(($B567+PARAM!$B$56)/12,Loyalty,2)*$F$1*MAX(J566,0)</f>
        <v>18.443537232872522</v>
      </c>
      <c r="I567" s="75">
        <f>PARAM!$C$26+MAX($G$4-CHOOSE(PARAM!$B$44,MAX(0,J566*$F$1),0),0)*RATES!$L543/12+$H$4*(PARAM!$D$51/12)*RATES!$N543/100</f>
        <v>191.66666666666666</v>
      </c>
      <c r="J567" s="16">
        <f t="shared" si="369"/>
        <v>-16051.748788197567</v>
      </c>
      <c r="K567" s="15">
        <f t="shared" si="370"/>
        <v>22.170849845882874</v>
      </c>
      <c r="L567" s="75">
        <f>K567*(1-PARAM!$C$27)*$I$5+(MOD($B567,60)=PARAM!$B$56)*($B567&gt;(60-PARAM!$B$56))*HLOOKUP(($B567+PARAM!$B$56)/12,Loyalty,2)*$F$1*MAX(N566,0)</f>
        <v>18.557001321003963</v>
      </c>
      <c r="M567" s="75">
        <f>PARAM!$C$26+MAX($G$5-CHOOSE(PARAM!$B$44,MAX(0,N566*$F$1),0),0)*RATES!$L543/12+$H$5*(PARAM!$D$51/12)*RATES!$N543/100</f>
        <v>191.66666666666666</v>
      </c>
      <c r="N567" s="16">
        <f t="shared" si="371"/>
        <v>-15987.460644206792</v>
      </c>
      <c r="O567" s="15">
        <f t="shared" si="372"/>
        <v>22.170849845882874</v>
      </c>
      <c r="P567" s="75">
        <f>O567*(1-PARAM!$C$27)*$I$6+(MOD($B567,60)=PARAM!$B$56)*($B567&gt;(60-PARAM!$B$56))*HLOOKUP(($B567+PARAM!$B$56)/12,Loyalty,2)*$F$1*MAX(R566,0)</f>
        <v>18.557001321003963</v>
      </c>
      <c r="Q567" s="75">
        <f>PARAM!$C$26+MAX($G$6-CHOOSE(PARAM!$B$44,MAX(0,R566*$F$1),0),0)*RATES!$L543/12+$H$6*(PARAM!$D$51/12)*RATES!$N543/100</f>
        <v>191.66666666666666</v>
      </c>
      <c r="R567" s="16">
        <f t="shared" si="373"/>
        <v>-15987.460644206792</v>
      </c>
      <c r="S567" s="15">
        <f t="shared" si="348"/>
        <v>22.170849845882874</v>
      </c>
      <c r="T567" s="75">
        <f>S567*(1-PARAM!$C$27)*$I$7+(MOD($B567,60)=PARAM!$B$56)*($B567&gt;(60-PARAM!$B$56))*HLOOKUP(($B567+PARAM!$B$56)/12,Loyalty,2)*$F$1*MAX(V566,0)</f>
        <v>18.557001321003963</v>
      </c>
      <c r="U567" s="75">
        <f>PARAM!$C$26+MAX($G$7-CHOOSE(PARAM!$B$44,MAX(0,V566*$F$1),0),0)*RATES!$L543/12+$H$7*(PARAM!$D$51/12)*RATES!$N543/100</f>
        <v>191.66666666666666</v>
      </c>
      <c r="V567" s="16">
        <f t="shared" si="374"/>
        <v>-15987.460644206792</v>
      </c>
      <c r="W567" s="15">
        <f t="shared" si="349"/>
        <v>22.170849845882874</v>
      </c>
      <c r="X567" s="75">
        <f>W567*(1-PARAM!$C$27)*$I$8+(MOD($B567,60)=PARAM!$B$56)*($B567&gt;(60-PARAM!$B$56))*HLOOKUP(($B567+PARAM!$B$56)/12,Loyalty,2)*$F$1*MAX(Z566,0)</f>
        <v>18.557001321003963</v>
      </c>
      <c r="Y567" s="75">
        <f>PARAM!$C$26+MAX($G$8-CHOOSE(PARAM!$B$44,MAX(0,Z566*$F$1),0),0)*RATES!$L543/12+$H$8*(PARAM!$D$51/12)*RATES!$N543/100</f>
        <v>191.66666666666666</v>
      </c>
      <c r="Z567" s="16">
        <f t="shared" si="375"/>
        <v>-15987.460644206792</v>
      </c>
      <c r="AA567" s="15">
        <f t="shared" si="350"/>
        <v>22.170849845882874</v>
      </c>
      <c r="AB567" s="75">
        <f>AA567*(1-PARAM!$C$27)*$I$9+(MOD($B567,60)=PARAM!$B$56)*($B567&gt;(60-PARAM!$B$56))*HLOOKUP(($B567+PARAM!$B$56)/12,Loyalty,2)*$F$1*MAX(AD566,0)</f>
        <v>18.557001321003963</v>
      </c>
      <c r="AC567" s="75">
        <f>PARAM!$C$26+MAX($G$9-CHOOSE(PARAM!$B$44,MAX(0,AD566*$F$1),0),0)*RATES!$L543/12+$H$9*(PARAM!$D$51/12)*RATES!$N543/100</f>
        <v>191.66666666666666</v>
      </c>
      <c r="AD567" s="16">
        <f t="shared" si="376"/>
        <v>-15987.460644206792</v>
      </c>
      <c r="AE567" s="15">
        <f t="shared" si="351"/>
        <v>22.170849845882874</v>
      </c>
      <c r="AF567" s="75">
        <f>AE567*(1-PARAM!$C$27)*$I$10+(MOD($B567,60)=PARAM!$B$56)*($B567&gt;(60-PARAM!$B$56))*HLOOKUP(($B567+PARAM!$B$56)/12,Loyalty,2)*$F$1*MAX(AH566,0)</f>
        <v>18.557001321003963</v>
      </c>
      <c r="AG567" s="75">
        <f>PARAM!$C$26+MAX($G$10-CHOOSE(PARAM!$B$44,MAX(0,AH566*$F$1),0),0)*RATES!$L543/12+$H$10*(PARAM!$D$51/12)*RATES!$N543/100</f>
        <v>191.66666666666666</v>
      </c>
      <c r="AH567" s="16">
        <f t="shared" si="377"/>
        <v>-15987.460644206792</v>
      </c>
      <c r="AI567" s="15">
        <f t="shared" si="352"/>
        <v>22.170849845882874</v>
      </c>
      <c r="AJ567" s="75">
        <f>AI567*(1-PARAM!$C$27)*$I$11+(MOD($B567,60)=PARAM!$B$56)*($B567&gt;(60-PARAM!$B$56))*HLOOKUP(($B567+PARAM!$B$56)/12,Loyalty,2)*$F$1*MAX(AL566,0)</f>
        <v>18.557001321003963</v>
      </c>
      <c r="AK567" s="75">
        <f>PARAM!$C$26+MAX($G$11-CHOOSE(PARAM!$B$44,MAX(0,AL566*$F$1),0),0)*RATES!$L543/12+$H$11*(PARAM!$D$51/12)*RATES!$N543/100</f>
        <v>191.66666666666666</v>
      </c>
      <c r="AL567" s="16">
        <f t="shared" si="378"/>
        <v>-15987.460644206792</v>
      </c>
      <c r="AM567" s="15">
        <f t="shared" si="353"/>
        <v>22.170849845882874</v>
      </c>
      <c r="AN567" s="75">
        <f>AM567*(1-PARAM!$C$27)*$I$12+(MOD($B567,60)=PARAM!$B$56)*($B567&gt;(60-PARAM!$B$56))*HLOOKUP(($B567+PARAM!$B$56)/12,Loyalty,2)*$F$1*MAX(AP566,0)</f>
        <v>18.557001321003963</v>
      </c>
      <c r="AO567" s="75">
        <f>PARAM!$C$26+MAX($G$12-CHOOSE(PARAM!$B$44,MAX(0,AP566*$F$1),0),0)*RATES!$L543/12+$H$12*(PARAM!$D$51/12)*RATES!$N543/100</f>
        <v>191.66666666666666</v>
      </c>
      <c r="AP567" s="16">
        <f t="shared" si="379"/>
        <v>-15987.460644206792</v>
      </c>
      <c r="AQ567" s="15">
        <f t="shared" si="354"/>
        <v>22.170849845882874</v>
      </c>
      <c r="AR567" s="75">
        <f>AQ567*(1-PARAM!$C$27)*$I$13+(MOD($B567,60)=PARAM!$B$56)*($B567&gt;(60-PARAM!$B$56))*HLOOKUP(($B567+PARAM!$B$56)/12,Loyalty,2)*$F$1*MAX(AT566,0)</f>
        <v>18.557001321003963</v>
      </c>
      <c r="AS567" s="75">
        <f>PARAM!$C$26+MAX($G$13-CHOOSE(PARAM!$B$44,MAX(0,AT566*$F$1),0),0)*RATES!$L543/12+$H$13*(PARAM!$D$51/12)*RATES!$N543/100</f>
        <v>191.66666666666666</v>
      </c>
      <c r="AT567" s="16">
        <f t="shared" si="380"/>
        <v>-15987.460644206792</v>
      </c>
      <c r="AU567" s="15">
        <f t="shared" si="355"/>
        <v>22.170849845882874</v>
      </c>
      <c r="AV567" s="75">
        <f>AU567*(1-PARAM!$C$27)*$I$14+(MOD($B567,60)=PARAM!$B$56)*($B567&gt;(60-PARAM!$B$56))*HLOOKUP(($B567+PARAM!$B$56)/12,Loyalty,2)*$F$1*MAX(AX566,0)</f>
        <v>18.557001321003963</v>
      </c>
      <c r="AW567" s="75">
        <f>PARAM!$C$26+MAX($G$14-CHOOSE(PARAM!$B$44,MAX(0,AX566*$F$1),0),0)*RATES!$L543/12+$H$14*(PARAM!$D$51/12)*RATES!$N543/100</f>
        <v>191.66666666666666</v>
      </c>
      <c r="AX567" s="16">
        <f t="shared" si="381"/>
        <v>-15987.460644206792</v>
      </c>
      <c r="AY567" s="15">
        <f t="shared" si="356"/>
        <v>22.170849845882874</v>
      </c>
      <c r="AZ567" s="75">
        <f>AY567*(1-PARAM!$C$27)*$I$15+(MOD($B567,60)=PARAM!$B$56)*($B567&gt;(60-PARAM!$B$56))*HLOOKUP(($B567+PARAM!$B$56)/12,Loyalty,2)*$F$1*MAX(BB566,0)</f>
        <v>18.557001321003963</v>
      </c>
      <c r="BA567" s="75">
        <f>PARAM!$C$26+MAX($G$15-CHOOSE(PARAM!$B$44,MAX(0,BB566*$F$1),0),0)*RATES!$L543/12+$H$15*(PARAM!$D$51/12)*RATES!$N543/100</f>
        <v>191.66666666666666</v>
      </c>
      <c r="BB567" s="16">
        <f t="shared" si="382"/>
        <v>-15987.460644206792</v>
      </c>
      <c r="BC567" s="15">
        <f t="shared" si="357"/>
        <v>22.170849845882874</v>
      </c>
      <c r="BD567" s="75">
        <f>BC567*(1-PARAM!$C$27)*$I$16+(MOD($B567,60)=PARAM!$B$56)*($B567&gt;(60-PARAM!$B$56))*HLOOKUP(($B567+PARAM!$B$56)/12,Loyalty,2)*$F$1*MAX(BF566,0)</f>
        <v>18.557001321003963</v>
      </c>
      <c r="BE567" s="75">
        <f>PARAM!$C$26+MAX($G$16-CHOOSE(PARAM!$B$44,MAX(0,BF566*$F$1),0),0)*RATES!$L543/12+$H$16*(PARAM!$D$51/12)*RATES!$N543/100</f>
        <v>191.66666666666666</v>
      </c>
      <c r="BF567" s="16">
        <f t="shared" si="383"/>
        <v>-15987.460644206792</v>
      </c>
      <c r="BG567" s="15">
        <f t="shared" si="358"/>
        <v>22.170849845882874</v>
      </c>
      <c r="BH567" s="75">
        <f>BG567*(1-PARAM!$C$27)*$I$17+(MOD($B567,60)=PARAM!$B$56)*($B567&gt;(60-PARAM!$B$56))*HLOOKUP(($B567+PARAM!$B$56)/12,Loyalty,2)*$F$1*MAX(BJ566,0)</f>
        <v>18.557001321003963</v>
      </c>
      <c r="BI567" s="75">
        <f>PARAM!$C$26+MAX($G$17-CHOOSE(PARAM!$B$44,MAX(0,BJ566*$F$1),0),0)*RATES!$L543/12+$H$17*(PARAM!$D$51/12)*RATES!$N543/100</f>
        <v>191.66666666666666</v>
      </c>
      <c r="BJ567" s="16">
        <f t="shared" si="384"/>
        <v>-15987.460644206792</v>
      </c>
      <c r="BK567" s="15">
        <f t="shared" si="359"/>
        <v>22.170849845882874</v>
      </c>
      <c r="BL567" s="75">
        <f>BK567*(1-PARAM!$C$27)*$I$18+(MOD($B567,60)=PARAM!$B$56)*($B567&gt;(60-PARAM!$B$56))*HLOOKUP(($B567+PARAM!$B$56)/12,Loyalty,2)*$F$1*MAX(BN566,0)</f>
        <v>18.557001321003963</v>
      </c>
      <c r="BM567" s="75">
        <f>PARAM!$C$26+MAX($G$18-CHOOSE(PARAM!$B$44,MAX(0,BN566*$F$1),0),0)*RATES!$L543/12+$H$18*(PARAM!$D$51/12)*RATES!$N543/100</f>
        <v>191.66666666666666</v>
      </c>
      <c r="BN567" s="16">
        <f t="shared" si="385"/>
        <v>-15987.460644206792</v>
      </c>
      <c r="BO567" s="15">
        <f t="shared" si="360"/>
        <v>22.170849845882874</v>
      </c>
      <c r="BP567" s="75">
        <f>BO567*(1-PARAM!$C$27)*$I$19+(MOD($B567,60)=PARAM!$B$56)*($B567&gt;(60-PARAM!$B$56))*HLOOKUP(($B567+PARAM!$B$56)/12,Loyalty,2)*$F$1*MAX(BR566,0)</f>
        <v>18.557001321003963</v>
      </c>
      <c r="BQ567" s="75">
        <f>PARAM!$C$26+MAX($G$19-CHOOSE(PARAM!$B$44,MAX(0,BR566*$F$1),0),0)*RATES!$L543/12+$H$19*(PARAM!$D$51/12)*RATES!$N543/100</f>
        <v>191.66666666666666</v>
      </c>
      <c r="BR567" s="16">
        <f t="shared" si="386"/>
        <v>-15987.460644206792</v>
      </c>
      <c r="BS567" s="15">
        <f t="shared" si="361"/>
        <v>22.170849845882874</v>
      </c>
      <c r="BT567" s="75">
        <f>BS567*(1-PARAM!$C$27)*$I$20+(MOD($B567,60)=PARAM!$B$56)*($B567&gt;(60-PARAM!$B$56))*HLOOKUP(($B567+PARAM!$B$56)/12,Loyalty,2)*$F$1*MAX(BV566,0)</f>
        <v>18.557001321003963</v>
      </c>
      <c r="BU567" s="75">
        <f>PARAM!$C$26+MAX($G$20-CHOOSE(PARAM!$B$44,MAX(0,BV566*$F$1),0),0)*RATES!$L543/12+$H$20*(PARAM!$D$51/12)*RATES!$N543/100</f>
        <v>191.66666666666666</v>
      </c>
      <c r="BV567" s="16">
        <f t="shared" si="387"/>
        <v>-15987.460644206792</v>
      </c>
      <c r="BW567" s="15">
        <f t="shared" si="362"/>
        <v>22.170849845882874</v>
      </c>
      <c r="BX567" s="75">
        <f>BW567*(1-PARAM!$C$27)*$I$21+(MOD($B567,60)=PARAM!$B$56)*($B567&gt;(60-PARAM!$B$56))*HLOOKUP(($B567+PARAM!$B$56)/12,Loyalty,2)*$F$1*MAX(BZ566,0)</f>
        <v>18.557001321003963</v>
      </c>
      <c r="BY567" s="75">
        <f>PARAM!$C$26+MAX($G$21-CHOOSE(PARAM!$B$44,MAX(0,BZ566*$F$1),0),0)*RATES!$L543/12+$H$21*(PARAM!$D$51/12)*RATES!$N543/100</f>
        <v>191.66666666666666</v>
      </c>
      <c r="BZ567" s="16">
        <f t="shared" si="388"/>
        <v>-15987.460644206792</v>
      </c>
      <c r="CA567" s="15">
        <f t="shared" si="363"/>
        <v>22.170849845882874</v>
      </c>
      <c r="CB567" s="75">
        <f>CA567*(1-PARAM!$C$27)*$I$22+(MOD($B567,60)=PARAM!$B$56)*($B567&gt;(60-PARAM!$B$56))*HLOOKUP(($B567+PARAM!$B$56)/12,Loyalty,2)*$F$1*MAX(CD566,0)</f>
        <v>18.557001321003963</v>
      </c>
      <c r="CC567" s="75">
        <f>PARAM!$C$26+MAX($G$22-CHOOSE(PARAM!$B$44,MAX(0,CD566*$F$1),0),0)*RATES!$L543/12+$H$22*(PARAM!$D$51/12)*RATES!$N543/100</f>
        <v>191.66666666666666</v>
      </c>
      <c r="CD567" s="16">
        <f t="shared" si="389"/>
        <v>-15987.460644206792</v>
      </c>
      <c r="CE567" s="33">
        <f>IF(0=MOD(B567,12/PARAM!$D$51),1,0)</f>
        <v>1</v>
      </c>
      <c r="CF567" s="15">
        <f t="shared" si="364"/>
        <v>0</v>
      </c>
      <c r="CG567" s="75">
        <f>CF567*(1-PARAM!$C$27)*$R$3+(MOD($B567/12,5)=0)*($B567&gt;60)*HLOOKUP($B567/12,Loyalty,2)*$F$1*MAX(CI566,0)</f>
        <v>0</v>
      </c>
      <c r="CH567" s="75">
        <f>PARAM!$C$26+MAX($P$3-CHOOSE(PARAM!$B$44,MAX(0,CI566*$F$1),0),0)*RATES!$L543/12+$Q$3*(PARAM!$D$51/12)*RATES!$N543/100</f>
        <v>191.66666666666666</v>
      </c>
      <c r="CI567" s="16">
        <f>IF(CI566&gt;0,CI566*PARAM!$C$53,CI566)+CG567-CH567</f>
        <v>-25888.666666666642</v>
      </c>
      <c r="CJ567" s="15">
        <f t="shared" si="390"/>
        <v>0</v>
      </c>
      <c r="CK567" s="75">
        <f>CJ567*(1-PARAM!$C$27)*$R$4+(MOD($B567/12,5)=0)*($B567&gt;60)*HLOOKUP($B567/12,Loyalty,2)*$F$1*MAX(CM566,0)</f>
        <v>0</v>
      </c>
      <c r="CL567" s="75">
        <f>PARAM!$C$26+MAX($P$4-CHOOSE(PARAM!$B$44,MAX(0,CM566*$F$1),0),0)*RATES!$L543/12+$Q$4*(PARAM!$D$51/12)*RATES!$N543/100</f>
        <v>191.66666666666666</v>
      </c>
      <c r="CM567" s="16">
        <f>IF(CM566&gt;0,CM566*PARAM!$C$53,CM566)+CK567-CL567</f>
        <v>-25888.666666666642</v>
      </c>
      <c r="CO567" s="176"/>
    </row>
    <row r="568" spans="1:93" x14ac:dyDescent="0.2">
      <c r="A568" t="b">
        <f t="shared" si="365"/>
        <v>0</v>
      </c>
      <c r="B568" s="33">
        <v>541</v>
      </c>
      <c r="C568" s="15">
        <f t="shared" si="366"/>
        <v>20.081305947392778</v>
      </c>
      <c r="D568" s="75">
        <f>C568*(1-PARAM!$C$27)*$I$3+(MOD($B568,60)=PARAM!$B$56)*($B568&gt;(60-PARAM!$B$56))*HLOOKUP(($B568+PARAM!$B$56)/12,Loyalty,2)*$F$1*MAX(F567,0)</f>
        <v>16.808053077967756</v>
      </c>
      <c r="E568" s="75">
        <f>PARAM!$C$26+MAX($G$3-CHOOSE(PARAM!$B$44,MAX(0,F567*$F$1),0),0)*RATES!$L544/12+$H$3*(PARAM!$D$51/12)*RATES!$N544/100</f>
        <v>191.66666666666666</v>
      </c>
      <c r="F568" s="16">
        <f t="shared" si="367"/>
        <v>-17143.601809556516</v>
      </c>
      <c r="G568" s="15">
        <f t="shared" si="368"/>
        <v>22.035289406060361</v>
      </c>
      <c r="H568" s="75">
        <f>G568*(1-PARAM!$C$27)*$I$4+(MOD($B568,60)=PARAM!$B$56)*($B568&gt;(60-PARAM!$B$56))*HLOOKUP(($B568+PARAM!$B$56)/12,Loyalty,2)*$F$1*MAX(J567,0)</f>
        <v>18.443537232872522</v>
      </c>
      <c r="I568" s="75">
        <f>PARAM!$C$26+MAX($G$4-CHOOSE(PARAM!$B$44,MAX(0,J567*$F$1),0),0)*RATES!$L544/12+$H$4*(PARAM!$D$51/12)*RATES!$N544/100</f>
        <v>191.66666666666666</v>
      </c>
      <c r="J568" s="16">
        <f t="shared" si="369"/>
        <v>-16224.971917631361</v>
      </c>
      <c r="K568" s="15">
        <f t="shared" si="370"/>
        <v>22.170849845882874</v>
      </c>
      <c r="L568" s="75">
        <f>K568*(1-PARAM!$C$27)*$I$5+(MOD($B568,60)=PARAM!$B$56)*($B568&gt;(60-PARAM!$B$56))*HLOOKUP(($B568+PARAM!$B$56)/12,Loyalty,2)*$F$1*MAX(N567,0)</f>
        <v>18.557001321003963</v>
      </c>
      <c r="M568" s="75">
        <f>PARAM!$C$26+MAX($G$5-CHOOSE(PARAM!$B$44,MAX(0,N567*$F$1),0),0)*RATES!$L544/12+$H$5*(PARAM!$D$51/12)*RATES!$N544/100</f>
        <v>191.66666666666666</v>
      </c>
      <c r="N568" s="16">
        <f t="shared" si="371"/>
        <v>-16160.570309552455</v>
      </c>
      <c r="O568" s="15">
        <f t="shared" si="372"/>
        <v>22.170849845882874</v>
      </c>
      <c r="P568" s="75">
        <f>O568*(1-PARAM!$C$27)*$I$6+(MOD($B568,60)=PARAM!$B$56)*($B568&gt;(60-PARAM!$B$56))*HLOOKUP(($B568+PARAM!$B$56)/12,Loyalty,2)*$F$1*MAX(R567,0)</f>
        <v>18.557001321003963</v>
      </c>
      <c r="Q568" s="75">
        <f>PARAM!$C$26+MAX($G$6-CHOOSE(PARAM!$B$44,MAX(0,R567*$F$1),0),0)*RATES!$L544/12+$H$6*(PARAM!$D$51/12)*RATES!$N544/100</f>
        <v>191.66666666666666</v>
      </c>
      <c r="R568" s="16">
        <f t="shared" si="373"/>
        <v>-16160.570309552455</v>
      </c>
      <c r="S568" s="15">
        <f t="shared" si="348"/>
        <v>22.170849845882874</v>
      </c>
      <c r="T568" s="75">
        <f>S568*(1-PARAM!$C$27)*$I$7+(MOD($B568,60)=PARAM!$B$56)*($B568&gt;(60-PARAM!$B$56))*HLOOKUP(($B568+PARAM!$B$56)/12,Loyalty,2)*$F$1*MAX(V567,0)</f>
        <v>18.557001321003963</v>
      </c>
      <c r="U568" s="75">
        <f>PARAM!$C$26+MAX($G$7-CHOOSE(PARAM!$B$44,MAX(0,V567*$F$1),0),0)*RATES!$L544/12+$H$7*(PARAM!$D$51/12)*RATES!$N544/100</f>
        <v>191.66666666666666</v>
      </c>
      <c r="V568" s="16">
        <f t="shared" si="374"/>
        <v>-16160.570309552455</v>
      </c>
      <c r="W568" s="15">
        <f t="shared" si="349"/>
        <v>22.170849845882874</v>
      </c>
      <c r="X568" s="75">
        <f>W568*(1-PARAM!$C$27)*$I$8+(MOD($B568,60)=PARAM!$B$56)*($B568&gt;(60-PARAM!$B$56))*HLOOKUP(($B568+PARAM!$B$56)/12,Loyalty,2)*$F$1*MAX(Z567,0)</f>
        <v>18.557001321003963</v>
      </c>
      <c r="Y568" s="75">
        <f>PARAM!$C$26+MAX($G$8-CHOOSE(PARAM!$B$44,MAX(0,Z567*$F$1),0),0)*RATES!$L544/12+$H$8*(PARAM!$D$51/12)*RATES!$N544/100</f>
        <v>191.66666666666666</v>
      </c>
      <c r="Z568" s="16">
        <f t="shared" si="375"/>
        <v>-16160.570309552455</v>
      </c>
      <c r="AA568" s="15">
        <f t="shared" si="350"/>
        <v>22.170849845882874</v>
      </c>
      <c r="AB568" s="75">
        <f>AA568*(1-PARAM!$C$27)*$I$9+(MOD($B568,60)=PARAM!$B$56)*($B568&gt;(60-PARAM!$B$56))*HLOOKUP(($B568+PARAM!$B$56)/12,Loyalty,2)*$F$1*MAX(AD567,0)</f>
        <v>18.557001321003963</v>
      </c>
      <c r="AC568" s="75">
        <f>PARAM!$C$26+MAX($G$9-CHOOSE(PARAM!$B$44,MAX(0,AD567*$F$1),0),0)*RATES!$L544/12+$H$9*(PARAM!$D$51/12)*RATES!$N544/100</f>
        <v>191.66666666666666</v>
      </c>
      <c r="AD568" s="16">
        <f t="shared" si="376"/>
        <v>-16160.570309552455</v>
      </c>
      <c r="AE568" s="15">
        <f t="shared" si="351"/>
        <v>22.170849845882874</v>
      </c>
      <c r="AF568" s="75">
        <f>AE568*(1-PARAM!$C$27)*$I$10+(MOD($B568,60)=PARAM!$B$56)*($B568&gt;(60-PARAM!$B$56))*HLOOKUP(($B568+PARAM!$B$56)/12,Loyalty,2)*$F$1*MAX(AH567,0)</f>
        <v>18.557001321003963</v>
      </c>
      <c r="AG568" s="75">
        <f>PARAM!$C$26+MAX($G$10-CHOOSE(PARAM!$B$44,MAX(0,AH567*$F$1),0),0)*RATES!$L544/12+$H$10*(PARAM!$D$51/12)*RATES!$N544/100</f>
        <v>191.66666666666666</v>
      </c>
      <c r="AH568" s="16">
        <f t="shared" si="377"/>
        <v>-16160.570309552455</v>
      </c>
      <c r="AI568" s="15">
        <f t="shared" si="352"/>
        <v>22.170849845882874</v>
      </c>
      <c r="AJ568" s="75">
        <f>AI568*(1-PARAM!$C$27)*$I$11+(MOD($B568,60)=PARAM!$B$56)*($B568&gt;(60-PARAM!$B$56))*HLOOKUP(($B568+PARAM!$B$56)/12,Loyalty,2)*$F$1*MAX(AL567,0)</f>
        <v>18.557001321003963</v>
      </c>
      <c r="AK568" s="75">
        <f>PARAM!$C$26+MAX($G$11-CHOOSE(PARAM!$B$44,MAX(0,AL567*$F$1),0),0)*RATES!$L544/12+$H$11*(PARAM!$D$51/12)*RATES!$N544/100</f>
        <v>191.66666666666666</v>
      </c>
      <c r="AL568" s="16">
        <f t="shared" si="378"/>
        <v>-16160.570309552455</v>
      </c>
      <c r="AM568" s="15">
        <f t="shared" si="353"/>
        <v>22.170849845882874</v>
      </c>
      <c r="AN568" s="75">
        <f>AM568*(1-PARAM!$C$27)*$I$12+(MOD($B568,60)=PARAM!$B$56)*($B568&gt;(60-PARAM!$B$56))*HLOOKUP(($B568+PARAM!$B$56)/12,Loyalty,2)*$F$1*MAX(AP567,0)</f>
        <v>18.557001321003963</v>
      </c>
      <c r="AO568" s="75">
        <f>PARAM!$C$26+MAX($G$12-CHOOSE(PARAM!$B$44,MAX(0,AP567*$F$1),0),0)*RATES!$L544/12+$H$12*(PARAM!$D$51/12)*RATES!$N544/100</f>
        <v>191.66666666666666</v>
      </c>
      <c r="AP568" s="16">
        <f t="shared" si="379"/>
        <v>-16160.570309552455</v>
      </c>
      <c r="AQ568" s="15">
        <f t="shared" si="354"/>
        <v>22.170849845882874</v>
      </c>
      <c r="AR568" s="75">
        <f>AQ568*(1-PARAM!$C$27)*$I$13+(MOD($B568,60)=PARAM!$B$56)*($B568&gt;(60-PARAM!$B$56))*HLOOKUP(($B568+PARAM!$B$56)/12,Loyalty,2)*$F$1*MAX(AT567,0)</f>
        <v>18.557001321003963</v>
      </c>
      <c r="AS568" s="75">
        <f>PARAM!$C$26+MAX($G$13-CHOOSE(PARAM!$B$44,MAX(0,AT567*$F$1),0),0)*RATES!$L544/12+$H$13*(PARAM!$D$51/12)*RATES!$N544/100</f>
        <v>191.66666666666666</v>
      </c>
      <c r="AT568" s="16">
        <f t="shared" si="380"/>
        <v>-16160.570309552455</v>
      </c>
      <c r="AU568" s="15">
        <f t="shared" si="355"/>
        <v>22.170849845882874</v>
      </c>
      <c r="AV568" s="75">
        <f>AU568*(1-PARAM!$C$27)*$I$14+(MOD($B568,60)=PARAM!$B$56)*($B568&gt;(60-PARAM!$B$56))*HLOOKUP(($B568+PARAM!$B$56)/12,Loyalty,2)*$F$1*MAX(AX567,0)</f>
        <v>18.557001321003963</v>
      </c>
      <c r="AW568" s="75">
        <f>PARAM!$C$26+MAX($G$14-CHOOSE(PARAM!$B$44,MAX(0,AX567*$F$1),0),0)*RATES!$L544/12+$H$14*(PARAM!$D$51/12)*RATES!$N544/100</f>
        <v>191.66666666666666</v>
      </c>
      <c r="AX568" s="16">
        <f t="shared" si="381"/>
        <v>-16160.570309552455</v>
      </c>
      <c r="AY568" s="15">
        <f t="shared" si="356"/>
        <v>22.170849845882874</v>
      </c>
      <c r="AZ568" s="75">
        <f>AY568*(1-PARAM!$C$27)*$I$15+(MOD($B568,60)=PARAM!$B$56)*($B568&gt;(60-PARAM!$B$56))*HLOOKUP(($B568+PARAM!$B$56)/12,Loyalty,2)*$F$1*MAX(BB567,0)</f>
        <v>18.557001321003963</v>
      </c>
      <c r="BA568" s="75">
        <f>PARAM!$C$26+MAX($G$15-CHOOSE(PARAM!$B$44,MAX(0,BB567*$F$1),0),0)*RATES!$L544/12+$H$15*(PARAM!$D$51/12)*RATES!$N544/100</f>
        <v>191.66666666666666</v>
      </c>
      <c r="BB568" s="16">
        <f t="shared" si="382"/>
        <v>-16160.570309552455</v>
      </c>
      <c r="BC568" s="15">
        <f t="shared" si="357"/>
        <v>22.170849845882874</v>
      </c>
      <c r="BD568" s="75">
        <f>BC568*(1-PARAM!$C$27)*$I$16+(MOD($B568,60)=PARAM!$B$56)*($B568&gt;(60-PARAM!$B$56))*HLOOKUP(($B568+PARAM!$B$56)/12,Loyalty,2)*$F$1*MAX(BF567,0)</f>
        <v>18.557001321003963</v>
      </c>
      <c r="BE568" s="75">
        <f>PARAM!$C$26+MAX($G$16-CHOOSE(PARAM!$B$44,MAX(0,BF567*$F$1),0),0)*RATES!$L544/12+$H$16*(PARAM!$D$51/12)*RATES!$N544/100</f>
        <v>191.66666666666666</v>
      </c>
      <c r="BF568" s="16">
        <f t="shared" si="383"/>
        <v>-16160.570309552455</v>
      </c>
      <c r="BG568" s="15">
        <f t="shared" si="358"/>
        <v>22.170849845882874</v>
      </c>
      <c r="BH568" s="75">
        <f>BG568*(1-PARAM!$C$27)*$I$17+(MOD($B568,60)=PARAM!$B$56)*($B568&gt;(60-PARAM!$B$56))*HLOOKUP(($B568+PARAM!$B$56)/12,Loyalty,2)*$F$1*MAX(BJ567,0)</f>
        <v>18.557001321003963</v>
      </c>
      <c r="BI568" s="75">
        <f>PARAM!$C$26+MAX($G$17-CHOOSE(PARAM!$B$44,MAX(0,BJ567*$F$1),0),0)*RATES!$L544/12+$H$17*(PARAM!$D$51/12)*RATES!$N544/100</f>
        <v>191.66666666666666</v>
      </c>
      <c r="BJ568" s="16">
        <f t="shared" si="384"/>
        <v>-16160.570309552455</v>
      </c>
      <c r="BK568" s="15">
        <f t="shared" si="359"/>
        <v>22.170849845882874</v>
      </c>
      <c r="BL568" s="75">
        <f>BK568*(1-PARAM!$C$27)*$I$18+(MOD($B568,60)=PARAM!$B$56)*($B568&gt;(60-PARAM!$B$56))*HLOOKUP(($B568+PARAM!$B$56)/12,Loyalty,2)*$F$1*MAX(BN567,0)</f>
        <v>18.557001321003963</v>
      </c>
      <c r="BM568" s="75">
        <f>PARAM!$C$26+MAX($G$18-CHOOSE(PARAM!$B$44,MAX(0,BN567*$F$1),0),0)*RATES!$L544/12+$H$18*(PARAM!$D$51/12)*RATES!$N544/100</f>
        <v>191.66666666666666</v>
      </c>
      <c r="BN568" s="16">
        <f t="shared" si="385"/>
        <v>-16160.570309552455</v>
      </c>
      <c r="BO568" s="15">
        <f t="shared" si="360"/>
        <v>22.170849845882874</v>
      </c>
      <c r="BP568" s="75">
        <f>BO568*(1-PARAM!$C$27)*$I$19+(MOD($B568,60)=PARAM!$B$56)*($B568&gt;(60-PARAM!$B$56))*HLOOKUP(($B568+PARAM!$B$56)/12,Loyalty,2)*$F$1*MAX(BR567,0)</f>
        <v>18.557001321003963</v>
      </c>
      <c r="BQ568" s="75">
        <f>PARAM!$C$26+MAX($G$19-CHOOSE(PARAM!$B$44,MAX(0,BR567*$F$1),0),0)*RATES!$L544/12+$H$19*(PARAM!$D$51/12)*RATES!$N544/100</f>
        <v>191.66666666666666</v>
      </c>
      <c r="BR568" s="16">
        <f t="shared" si="386"/>
        <v>-16160.570309552455</v>
      </c>
      <c r="BS568" s="15">
        <f t="shared" si="361"/>
        <v>22.170849845882874</v>
      </c>
      <c r="BT568" s="75">
        <f>BS568*(1-PARAM!$C$27)*$I$20+(MOD($B568,60)=PARAM!$B$56)*($B568&gt;(60-PARAM!$B$56))*HLOOKUP(($B568+PARAM!$B$56)/12,Loyalty,2)*$F$1*MAX(BV567,0)</f>
        <v>18.557001321003963</v>
      </c>
      <c r="BU568" s="75">
        <f>PARAM!$C$26+MAX($G$20-CHOOSE(PARAM!$B$44,MAX(0,BV567*$F$1),0),0)*RATES!$L544/12+$H$20*(PARAM!$D$51/12)*RATES!$N544/100</f>
        <v>191.66666666666666</v>
      </c>
      <c r="BV568" s="16">
        <f t="shared" si="387"/>
        <v>-16160.570309552455</v>
      </c>
      <c r="BW568" s="15">
        <f t="shared" si="362"/>
        <v>22.170849845882874</v>
      </c>
      <c r="BX568" s="75">
        <f>BW568*(1-PARAM!$C$27)*$I$21+(MOD($B568,60)=PARAM!$B$56)*($B568&gt;(60-PARAM!$B$56))*HLOOKUP(($B568+PARAM!$B$56)/12,Loyalty,2)*$F$1*MAX(BZ567,0)</f>
        <v>18.557001321003963</v>
      </c>
      <c r="BY568" s="75">
        <f>PARAM!$C$26+MAX($G$21-CHOOSE(PARAM!$B$44,MAX(0,BZ567*$F$1),0),0)*RATES!$L544/12+$H$21*(PARAM!$D$51/12)*RATES!$N544/100</f>
        <v>191.66666666666666</v>
      </c>
      <c r="BZ568" s="16">
        <f t="shared" si="388"/>
        <v>-16160.570309552455</v>
      </c>
      <c r="CA568" s="15">
        <f t="shared" si="363"/>
        <v>22.170849845882874</v>
      </c>
      <c r="CB568" s="75">
        <f>CA568*(1-PARAM!$C$27)*$I$22+(MOD($B568,60)=PARAM!$B$56)*($B568&gt;(60-PARAM!$B$56))*HLOOKUP(($B568+PARAM!$B$56)/12,Loyalty,2)*$F$1*MAX(CD567,0)</f>
        <v>18.557001321003963</v>
      </c>
      <c r="CC568" s="75">
        <f>PARAM!$C$26+MAX($G$22-CHOOSE(PARAM!$B$44,MAX(0,CD567*$F$1),0),0)*RATES!$L544/12+$H$22*(PARAM!$D$51/12)*RATES!$N544/100</f>
        <v>191.66666666666666</v>
      </c>
      <c r="CD568" s="16">
        <f t="shared" si="389"/>
        <v>-16160.570309552455</v>
      </c>
      <c r="CE568" s="33">
        <f>IF(0=MOD(B568,12/PARAM!$D$51),1,0)</f>
        <v>1</v>
      </c>
      <c r="CF568" s="15">
        <f t="shared" si="364"/>
        <v>0</v>
      </c>
      <c r="CG568" s="75">
        <f>CF568*(1-PARAM!$C$27)*$R$3+(MOD($B568/12,5)=0)*($B568&gt;60)*HLOOKUP($B568/12,Loyalty,2)*$F$1*MAX(CI567,0)</f>
        <v>0</v>
      </c>
      <c r="CH568" s="75">
        <f>PARAM!$C$26+MAX($P$3-CHOOSE(PARAM!$B$44,MAX(0,CI567*$F$1),0),0)*RATES!$L544/12+$Q$3*(PARAM!$D$51/12)*RATES!$N544/100</f>
        <v>191.66666666666666</v>
      </c>
      <c r="CI568" s="16">
        <f>IF(CI567&gt;0,CI567*PARAM!$C$53,CI567)+CG568-CH568</f>
        <v>-26080.33333333331</v>
      </c>
      <c r="CJ568" s="15">
        <f t="shared" si="390"/>
        <v>0</v>
      </c>
      <c r="CK568" s="75">
        <f>CJ568*(1-PARAM!$C$27)*$R$4+(MOD($B568/12,5)=0)*($B568&gt;60)*HLOOKUP($B568/12,Loyalty,2)*$F$1*MAX(CM567,0)</f>
        <v>0</v>
      </c>
      <c r="CL568" s="75">
        <f>PARAM!$C$26+MAX($P$4-CHOOSE(PARAM!$B$44,MAX(0,CM567*$F$1),0),0)*RATES!$L544/12+$Q$4*(PARAM!$D$51/12)*RATES!$N544/100</f>
        <v>191.66666666666666</v>
      </c>
      <c r="CM568" s="16">
        <f>IF(CM567&gt;0,CM567*PARAM!$C$53,CM567)+CK568-CL568</f>
        <v>-26080.33333333331</v>
      </c>
      <c r="CO568" s="176"/>
    </row>
    <row r="569" spans="1:93" x14ac:dyDescent="0.2">
      <c r="A569" t="b">
        <f t="shared" si="365"/>
        <v>0</v>
      </c>
      <c r="B569" s="33">
        <v>542</v>
      </c>
      <c r="C569" s="15">
        <f t="shared" si="366"/>
        <v>20.081305947392778</v>
      </c>
      <c r="D569" s="75">
        <f>C569*(1-PARAM!$C$27)*$I$3+(MOD($B569,60)=PARAM!$B$56)*($B569&gt;(60-PARAM!$B$56))*HLOOKUP(($B569+PARAM!$B$56)/12,Loyalty,2)*$F$1*MAX(F568,0)</f>
        <v>16.808053077967756</v>
      </c>
      <c r="E569" s="75">
        <f>PARAM!$C$26+MAX($G$3-CHOOSE(PARAM!$B$44,MAX(0,F568*$F$1),0),0)*RATES!$L545/12+$H$3*(PARAM!$D$51/12)*RATES!$N545/100</f>
        <v>191.66666666666666</v>
      </c>
      <c r="F569" s="16">
        <f t="shared" si="367"/>
        <v>-17318.460423145218</v>
      </c>
      <c r="G569" s="15">
        <f t="shared" si="368"/>
        <v>22.035289406060361</v>
      </c>
      <c r="H569" s="75">
        <f>G569*(1-PARAM!$C$27)*$I$4+(MOD($B569,60)=PARAM!$B$56)*($B569&gt;(60-PARAM!$B$56))*HLOOKUP(($B569+PARAM!$B$56)/12,Loyalty,2)*$F$1*MAX(J568,0)</f>
        <v>18.443537232872522</v>
      </c>
      <c r="I569" s="75">
        <f>PARAM!$C$26+MAX($G$4-CHOOSE(PARAM!$B$44,MAX(0,J568*$F$1),0),0)*RATES!$L545/12+$H$4*(PARAM!$D$51/12)*RATES!$N545/100</f>
        <v>191.66666666666666</v>
      </c>
      <c r="J569" s="16">
        <f t="shared" si="369"/>
        <v>-16398.195047065157</v>
      </c>
      <c r="K569" s="15">
        <f t="shared" si="370"/>
        <v>22.170849845882874</v>
      </c>
      <c r="L569" s="75">
        <f>K569*(1-PARAM!$C$27)*$I$5+(MOD($B569,60)=PARAM!$B$56)*($B569&gt;(60-PARAM!$B$56))*HLOOKUP(($B569+PARAM!$B$56)/12,Loyalty,2)*$F$1*MAX(N568,0)</f>
        <v>18.557001321003963</v>
      </c>
      <c r="M569" s="75">
        <f>PARAM!$C$26+MAX($G$5-CHOOSE(PARAM!$B$44,MAX(0,N568*$F$1),0),0)*RATES!$L545/12+$H$5*(PARAM!$D$51/12)*RATES!$N545/100</f>
        <v>191.66666666666666</v>
      </c>
      <c r="N569" s="16">
        <f t="shared" si="371"/>
        <v>-16333.679974898118</v>
      </c>
      <c r="O569" s="15">
        <f t="shared" si="372"/>
        <v>22.170849845882874</v>
      </c>
      <c r="P569" s="75">
        <f>O569*(1-PARAM!$C$27)*$I$6+(MOD($B569,60)=PARAM!$B$56)*($B569&gt;(60-PARAM!$B$56))*HLOOKUP(($B569+PARAM!$B$56)/12,Loyalty,2)*$F$1*MAX(R568,0)</f>
        <v>18.557001321003963</v>
      </c>
      <c r="Q569" s="75">
        <f>PARAM!$C$26+MAX($G$6-CHOOSE(PARAM!$B$44,MAX(0,R568*$F$1),0),0)*RATES!$L545/12+$H$6*(PARAM!$D$51/12)*RATES!$N545/100</f>
        <v>191.66666666666666</v>
      </c>
      <c r="R569" s="16">
        <f t="shared" si="373"/>
        <v>-16333.679974898118</v>
      </c>
      <c r="S569" s="15">
        <f t="shared" si="348"/>
        <v>22.170849845882874</v>
      </c>
      <c r="T569" s="75">
        <f>S569*(1-PARAM!$C$27)*$I$7+(MOD($B569,60)=PARAM!$B$56)*($B569&gt;(60-PARAM!$B$56))*HLOOKUP(($B569+PARAM!$B$56)/12,Loyalty,2)*$F$1*MAX(V568,0)</f>
        <v>18.557001321003963</v>
      </c>
      <c r="U569" s="75">
        <f>PARAM!$C$26+MAX($G$7-CHOOSE(PARAM!$B$44,MAX(0,V568*$F$1),0),0)*RATES!$L545/12+$H$7*(PARAM!$D$51/12)*RATES!$N545/100</f>
        <v>191.66666666666666</v>
      </c>
      <c r="V569" s="16">
        <f t="shared" si="374"/>
        <v>-16333.679974898118</v>
      </c>
      <c r="W569" s="15">
        <f t="shared" si="349"/>
        <v>22.170849845882874</v>
      </c>
      <c r="X569" s="75">
        <f>W569*(1-PARAM!$C$27)*$I$8+(MOD($B569,60)=PARAM!$B$56)*($B569&gt;(60-PARAM!$B$56))*HLOOKUP(($B569+PARAM!$B$56)/12,Loyalty,2)*$F$1*MAX(Z568,0)</f>
        <v>18.557001321003963</v>
      </c>
      <c r="Y569" s="75">
        <f>PARAM!$C$26+MAX($G$8-CHOOSE(PARAM!$B$44,MAX(0,Z568*$F$1),0),0)*RATES!$L545/12+$H$8*(PARAM!$D$51/12)*RATES!$N545/100</f>
        <v>191.66666666666666</v>
      </c>
      <c r="Z569" s="16">
        <f t="shared" si="375"/>
        <v>-16333.679974898118</v>
      </c>
      <c r="AA569" s="15">
        <f t="shared" si="350"/>
        <v>22.170849845882874</v>
      </c>
      <c r="AB569" s="75">
        <f>AA569*(1-PARAM!$C$27)*$I$9+(MOD($B569,60)=PARAM!$B$56)*($B569&gt;(60-PARAM!$B$56))*HLOOKUP(($B569+PARAM!$B$56)/12,Loyalty,2)*$F$1*MAX(AD568,0)</f>
        <v>18.557001321003963</v>
      </c>
      <c r="AC569" s="75">
        <f>PARAM!$C$26+MAX($G$9-CHOOSE(PARAM!$B$44,MAX(0,AD568*$F$1),0),0)*RATES!$L545/12+$H$9*(PARAM!$D$51/12)*RATES!$N545/100</f>
        <v>191.66666666666666</v>
      </c>
      <c r="AD569" s="16">
        <f t="shared" si="376"/>
        <v>-16333.679974898118</v>
      </c>
      <c r="AE569" s="15">
        <f t="shared" si="351"/>
        <v>22.170849845882874</v>
      </c>
      <c r="AF569" s="75">
        <f>AE569*(1-PARAM!$C$27)*$I$10+(MOD($B569,60)=PARAM!$B$56)*($B569&gt;(60-PARAM!$B$56))*HLOOKUP(($B569+PARAM!$B$56)/12,Loyalty,2)*$F$1*MAX(AH568,0)</f>
        <v>18.557001321003963</v>
      </c>
      <c r="AG569" s="75">
        <f>PARAM!$C$26+MAX($G$10-CHOOSE(PARAM!$B$44,MAX(0,AH568*$F$1),0),0)*RATES!$L545/12+$H$10*(PARAM!$D$51/12)*RATES!$N545/100</f>
        <v>191.66666666666666</v>
      </c>
      <c r="AH569" s="16">
        <f t="shared" si="377"/>
        <v>-16333.679974898118</v>
      </c>
      <c r="AI569" s="15">
        <f t="shared" si="352"/>
        <v>22.170849845882874</v>
      </c>
      <c r="AJ569" s="75">
        <f>AI569*(1-PARAM!$C$27)*$I$11+(MOD($B569,60)=PARAM!$B$56)*($B569&gt;(60-PARAM!$B$56))*HLOOKUP(($B569+PARAM!$B$56)/12,Loyalty,2)*$F$1*MAX(AL568,0)</f>
        <v>18.557001321003963</v>
      </c>
      <c r="AK569" s="75">
        <f>PARAM!$C$26+MAX($G$11-CHOOSE(PARAM!$B$44,MAX(0,AL568*$F$1),0),0)*RATES!$L545/12+$H$11*(PARAM!$D$51/12)*RATES!$N545/100</f>
        <v>191.66666666666666</v>
      </c>
      <c r="AL569" s="16">
        <f t="shared" si="378"/>
        <v>-16333.679974898118</v>
      </c>
      <c r="AM569" s="15">
        <f t="shared" si="353"/>
        <v>22.170849845882874</v>
      </c>
      <c r="AN569" s="75">
        <f>AM569*(1-PARAM!$C$27)*$I$12+(MOD($B569,60)=PARAM!$B$56)*($B569&gt;(60-PARAM!$B$56))*HLOOKUP(($B569+PARAM!$B$56)/12,Loyalty,2)*$F$1*MAX(AP568,0)</f>
        <v>18.557001321003963</v>
      </c>
      <c r="AO569" s="75">
        <f>PARAM!$C$26+MAX($G$12-CHOOSE(PARAM!$B$44,MAX(0,AP568*$F$1),0),0)*RATES!$L545/12+$H$12*(PARAM!$D$51/12)*RATES!$N545/100</f>
        <v>191.66666666666666</v>
      </c>
      <c r="AP569" s="16">
        <f t="shared" si="379"/>
        <v>-16333.679974898118</v>
      </c>
      <c r="AQ569" s="15">
        <f t="shared" si="354"/>
        <v>22.170849845882874</v>
      </c>
      <c r="AR569" s="75">
        <f>AQ569*(1-PARAM!$C$27)*$I$13+(MOD($B569,60)=PARAM!$B$56)*($B569&gt;(60-PARAM!$B$56))*HLOOKUP(($B569+PARAM!$B$56)/12,Loyalty,2)*$F$1*MAX(AT568,0)</f>
        <v>18.557001321003963</v>
      </c>
      <c r="AS569" s="75">
        <f>PARAM!$C$26+MAX($G$13-CHOOSE(PARAM!$B$44,MAX(0,AT568*$F$1),0),0)*RATES!$L545/12+$H$13*(PARAM!$D$51/12)*RATES!$N545/100</f>
        <v>191.66666666666666</v>
      </c>
      <c r="AT569" s="16">
        <f t="shared" si="380"/>
        <v>-16333.679974898118</v>
      </c>
      <c r="AU569" s="15">
        <f t="shared" si="355"/>
        <v>22.170849845882874</v>
      </c>
      <c r="AV569" s="75">
        <f>AU569*(1-PARAM!$C$27)*$I$14+(MOD($B569,60)=PARAM!$B$56)*($B569&gt;(60-PARAM!$B$56))*HLOOKUP(($B569+PARAM!$B$56)/12,Loyalty,2)*$F$1*MAX(AX568,0)</f>
        <v>18.557001321003963</v>
      </c>
      <c r="AW569" s="75">
        <f>PARAM!$C$26+MAX($G$14-CHOOSE(PARAM!$B$44,MAX(0,AX568*$F$1),0),0)*RATES!$L545/12+$H$14*(PARAM!$D$51/12)*RATES!$N545/100</f>
        <v>191.66666666666666</v>
      </c>
      <c r="AX569" s="16">
        <f t="shared" si="381"/>
        <v>-16333.679974898118</v>
      </c>
      <c r="AY569" s="15">
        <f t="shared" si="356"/>
        <v>22.170849845882874</v>
      </c>
      <c r="AZ569" s="75">
        <f>AY569*(1-PARAM!$C$27)*$I$15+(MOD($B569,60)=PARAM!$B$56)*($B569&gt;(60-PARAM!$B$56))*HLOOKUP(($B569+PARAM!$B$56)/12,Loyalty,2)*$F$1*MAX(BB568,0)</f>
        <v>18.557001321003963</v>
      </c>
      <c r="BA569" s="75">
        <f>PARAM!$C$26+MAX($G$15-CHOOSE(PARAM!$B$44,MAX(0,BB568*$F$1),0),0)*RATES!$L545/12+$H$15*(PARAM!$D$51/12)*RATES!$N545/100</f>
        <v>191.66666666666666</v>
      </c>
      <c r="BB569" s="16">
        <f t="shared" si="382"/>
        <v>-16333.679974898118</v>
      </c>
      <c r="BC569" s="15">
        <f t="shared" si="357"/>
        <v>22.170849845882874</v>
      </c>
      <c r="BD569" s="75">
        <f>BC569*(1-PARAM!$C$27)*$I$16+(MOD($B569,60)=PARAM!$B$56)*($B569&gt;(60-PARAM!$B$56))*HLOOKUP(($B569+PARAM!$B$56)/12,Loyalty,2)*$F$1*MAX(BF568,0)</f>
        <v>18.557001321003963</v>
      </c>
      <c r="BE569" s="75">
        <f>PARAM!$C$26+MAX($G$16-CHOOSE(PARAM!$B$44,MAX(0,BF568*$F$1),0),0)*RATES!$L545/12+$H$16*(PARAM!$D$51/12)*RATES!$N545/100</f>
        <v>191.66666666666666</v>
      </c>
      <c r="BF569" s="16">
        <f t="shared" si="383"/>
        <v>-16333.679974898118</v>
      </c>
      <c r="BG569" s="15">
        <f t="shared" si="358"/>
        <v>22.170849845882874</v>
      </c>
      <c r="BH569" s="75">
        <f>BG569*(1-PARAM!$C$27)*$I$17+(MOD($B569,60)=PARAM!$B$56)*($B569&gt;(60-PARAM!$B$56))*HLOOKUP(($B569+PARAM!$B$56)/12,Loyalty,2)*$F$1*MAX(BJ568,0)</f>
        <v>18.557001321003963</v>
      </c>
      <c r="BI569" s="75">
        <f>PARAM!$C$26+MAX($G$17-CHOOSE(PARAM!$B$44,MAX(0,BJ568*$F$1),0),0)*RATES!$L545/12+$H$17*(PARAM!$D$51/12)*RATES!$N545/100</f>
        <v>191.66666666666666</v>
      </c>
      <c r="BJ569" s="16">
        <f t="shared" si="384"/>
        <v>-16333.679974898118</v>
      </c>
      <c r="BK569" s="15">
        <f t="shared" si="359"/>
        <v>22.170849845882874</v>
      </c>
      <c r="BL569" s="75">
        <f>BK569*(1-PARAM!$C$27)*$I$18+(MOD($B569,60)=PARAM!$B$56)*($B569&gt;(60-PARAM!$B$56))*HLOOKUP(($B569+PARAM!$B$56)/12,Loyalty,2)*$F$1*MAX(BN568,0)</f>
        <v>18.557001321003963</v>
      </c>
      <c r="BM569" s="75">
        <f>PARAM!$C$26+MAX($G$18-CHOOSE(PARAM!$B$44,MAX(0,BN568*$F$1),0),0)*RATES!$L545/12+$H$18*(PARAM!$D$51/12)*RATES!$N545/100</f>
        <v>191.66666666666666</v>
      </c>
      <c r="BN569" s="16">
        <f t="shared" si="385"/>
        <v>-16333.679974898118</v>
      </c>
      <c r="BO569" s="15">
        <f t="shared" si="360"/>
        <v>22.170849845882874</v>
      </c>
      <c r="BP569" s="75">
        <f>BO569*(1-PARAM!$C$27)*$I$19+(MOD($B569,60)=PARAM!$B$56)*($B569&gt;(60-PARAM!$B$56))*HLOOKUP(($B569+PARAM!$B$56)/12,Loyalty,2)*$F$1*MAX(BR568,0)</f>
        <v>18.557001321003963</v>
      </c>
      <c r="BQ569" s="75">
        <f>PARAM!$C$26+MAX($G$19-CHOOSE(PARAM!$B$44,MAX(0,BR568*$F$1),0),0)*RATES!$L545/12+$H$19*(PARAM!$D$51/12)*RATES!$N545/100</f>
        <v>191.66666666666666</v>
      </c>
      <c r="BR569" s="16">
        <f t="shared" si="386"/>
        <v>-16333.679974898118</v>
      </c>
      <c r="BS569" s="15">
        <f t="shared" si="361"/>
        <v>22.170849845882874</v>
      </c>
      <c r="BT569" s="75">
        <f>BS569*(1-PARAM!$C$27)*$I$20+(MOD($B569,60)=PARAM!$B$56)*($B569&gt;(60-PARAM!$B$56))*HLOOKUP(($B569+PARAM!$B$56)/12,Loyalty,2)*$F$1*MAX(BV568,0)</f>
        <v>18.557001321003963</v>
      </c>
      <c r="BU569" s="75">
        <f>PARAM!$C$26+MAX($G$20-CHOOSE(PARAM!$B$44,MAX(0,BV568*$F$1),0),0)*RATES!$L545/12+$H$20*(PARAM!$D$51/12)*RATES!$N545/100</f>
        <v>191.66666666666666</v>
      </c>
      <c r="BV569" s="16">
        <f t="shared" si="387"/>
        <v>-16333.679974898118</v>
      </c>
      <c r="BW569" s="15">
        <f t="shared" si="362"/>
        <v>22.170849845882874</v>
      </c>
      <c r="BX569" s="75">
        <f>BW569*(1-PARAM!$C$27)*$I$21+(MOD($B569,60)=PARAM!$B$56)*($B569&gt;(60-PARAM!$B$56))*HLOOKUP(($B569+PARAM!$B$56)/12,Loyalty,2)*$F$1*MAX(BZ568,0)</f>
        <v>18.557001321003963</v>
      </c>
      <c r="BY569" s="75">
        <f>PARAM!$C$26+MAX($G$21-CHOOSE(PARAM!$B$44,MAX(0,BZ568*$F$1),0),0)*RATES!$L545/12+$H$21*(PARAM!$D$51/12)*RATES!$N545/100</f>
        <v>191.66666666666666</v>
      </c>
      <c r="BZ569" s="16">
        <f t="shared" si="388"/>
        <v>-16333.679974898118</v>
      </c>
      <c r="CA569" s="15">
        <f t="shared" si="363"/>
        <v>22.170849845882874</v>
      </c>
      <c r="CB569" s="75">
        <f>CA569*(1-PARAM!$C$27)*$I$22+(MOD($B569,60)=PARAM!$B$56)*($B569&gt;(60-PARAM!$B$56))*HLOOKUP(($B569+PARAM!$B$56)/12,Loyalty,2)*$F$1*MAX(CD568,0)</f>
        <v>18.557001321003963</v>
      </c>
      <c r="CC569" s="75">
        <f>PARAM!$C$26+MAX($G$22-CHOOSE(PARAM!$B$44,MAX(0,CD568*$F$1),0),0)*RATES!$L545/12+$H$22*(PARAM!$D$51/12)*RATES!$N545/100</f>
        <v>191.66666666666666</v>
      </c>
      <c r="CD569" s="16">
        <f t="shared" si="389"/>
        <v>-16333.679974898118</v>
      </c>
      <c r="CE569" s="33">
        <f>IF(0=MOD(B569,12/PARAM!$D$51),1,0)</f>
        <v>1</v>
      </c>
      <c r="CF569" s="15">
        <f t="shared" si="364"/>
        <v>0</v>
      </c>
      <c r="CG569" s="75">
        <f>CF569*(1-PARAM!$C$27)*$R$3+(MOD($B569/12,5)=0)*($B569&gt;60)*HLOOKUP($B569/12,Loyalty,2)*$F$1*MAX(CI568,0)</f>
        <v>0</v>
      </c>
      <c r="CH569" s="75">
        <f>PARAM!$C$26+MAX($P$3-CHOOSE(PARAM!$B$44,MAX(0,CI568*$F$1),0),0)*RATES!$L545/12+$Q$3*(PARAM!$D$51/12)*RATES!$N545/100</f>
        <v>191.66666666666666</v>
      </c>
      <c r="CI569" s="16">
        <f>IF(CI568&gt;0,CI568*PARAM!$C$53,CI568)+CG569-CH569</f>
        <v>-26271.999999999978</v>
      </c>
      <c r="CJ569" s="15">
        <f t="shared" si="390"/>
        <v>0</v>
      </c>
      <c r="CK569" s="75">
        <f>CJ569*(1-PARAM!$C$27)*$R$4+(MOD($B569/12,5)=0)*($B569&gt;60)*HLOOKUP($B569/12,Loyalty,2)*$F$1*MAX(CM568,0)</f>
        <v>0</v>
      </c>
      <c r="CL569" s="75">
        <f>PARAM!$C$26+MAX($P$4-CHOOSE(PARAM!$B$44,MAX(0,CM568*$F$1),0),0)*RATES!$L545/12+$Q$4*(PARAM!$D$51/12)*RATES!$N545/100</f>
        <v>191.66666666666666</v>
      </c>
      <c r="CM569" s="16">
        <f>IF(CM568&gt;0,CM568*PARAM!$C$53,CM568)+CK569-CL569</f>
        <v>-26271.999999999978</v>
      </c>
      <c r="CO569" s="176"/>
    </row>
    <row r="570" spans="1:93" x14ac:dyDescent="0.2">
      <c r="A570" t="b">
        <f t="shared" si="365"/>
        <v>0</v>
      </c>
      <c r="B570" s="33">
        <v>543</v>
      </c>
      <c r="C570" s="15">
        <f t="shared" si="366"/>
        <v>20.081305947392778</v>
      </c>
      <c r="D570" s="75">
        <f>C570*(1-PARAM!$C$27)*$I$3+(MOD($B570,60)=PARAM!$B$56)*($B570&gt;(60-PARAM!$B$56))*HLOOKUP(($B570+PARAM!$B$56)/12,Loyalty,2)*$F$1*MAX(F569,0)</f>
        <v>16.808053077967756</v>
      </c>
      <c r="E570" s="75">
        <f>PARAM!$C$26+MAX($G$3-CHOOSE(PARAM!$B$44,MAX(0,F569*$F$1),0),0)*RATES!$L546/12+$H$3*(PARAM!$D$51/12)*RATES!$N546/100</f>
        <v>191.66666666666666</v>
      </c>
      <c r="F570" s="16">
        <f t="shared" si="367"/>
        <v>-17493.319036733919</v>
      </c>
      <c r="G570" s="15">
        <f t="shared" si="368"/>
        <v>22.035289406060361</v>
      </c>
      <c r="H570" s="75">
        <f>G570*(1-PARAM!$C$27)*$I$4+(MOD($B570,60)=PARAM!$B$56)*($B570&gt;(60-PARAM!$B$56))*HLOOKUP(($B570+PARAM!$B$56)/12,Loyalty,2)*$F$1*MAX(J569,0)</f>
        <v>18.443537232872522</v>
      </c>
      <c r="I570" s="75">
        <f>PARAM!$C$26+MAX($G$4-CHOOSE(PARAM!$B$44,MAX(0,J569*$F$1),0),0)*RATES!$L546/12+$H$4*(PARAM!$D$51/12)*RATES!$N546/100</f>
        <v>191.66666666666666</v>
      </c>
      <c r="J570" s="16">
        <f t="shared" si="369"/>
        <v>-16571.418176498952</v>
      </c>
      <c r="K570" s="15">
        <f t="shared" si="370"/>
        <v>22.170849845882874</v>
      </c>
      <c r="L570" s="75">
        <f>K570*(1-PARAM!$C$27)*$I$5+(MOD($B570,60)=PARAM!$B$56)*($B570&gt;(60-PARAM!$B$56))*HLOOKUP(($B570+PARAM!$B$56)/12,Loyalty,2)*$F$1*MAX(N569,0)</f>
        <v>18.557001321003963</v>
      </c>
      <c r="M570" s="75">
        <f>PARAM!$C$26+MAX($G$5-CHOOSE(PARAM!$B$44,MAX(0,N569*$F$1),0),0)*RATES!$L546/12+$H$5*(PARAM!$D$51/12)*RATES!$N546/100</f>
        <v>191.66666666666666</v>
      </c>
      <c r="N570" s="16">
        <f t="shared" si="371"/>
        <v>-16506.78964024378</v>
      </c>
      <c r="O570" s="15">
        <f t="shared" si="372"/>
        <v>22.170849845882874</v>
      </c>
      <c r="P570" s="75">
        <f>O570*(1-PARAM!$C$27)*$I$6+(MOD($B570,60)=PARAM!$B$56)*($B570&gt;(60-PARAM!$B$56))*HLOOKUP(($B570+PARAM!$B$56)/12,Loyalty,2)*$F$1*MAX(R569,0)</f>
        <v>18.557001321003963</v>
      </c>
      <c r="Q570" s="75">
        <f>PARAM!$C$26+MAX($G$6-CHOOSE(PARAM!$B$44,MAX(0,R569*$F$1),0),0)*RATES!$L546/12+$H$6*(PARAM!$D$51/12)*RATES!$N546/100</f>
        <v>191.66666666666666</v>
      </c>
      <c r="R570" s="16">
        <f t="shared" si="373"/>
        <v>-16506.78964024378</v>
      </c>
      <c r="S570" s="15">
        <f t="shared" si="348"/>
        <v>22.170849845882874</v>
      </c>
      <c r="T570" s="75">
        <f>S570*(1-PARAM!$C$27)*$I$7+(MOD($B570,60)=PARAM!$B$56)*($B570&gt;(60-PARAM!$B$56))*HLOOKUP(($B570+PARAM!$B$56)/12,Loyalty,2)*$F$1*MAX(V569,0)</f>
        <v>18.557001321003963</v>
      </c>
      <c r="U570" s="75">
        <f>PARAM!$C$26+MAX($G$7-CHOOSE(PARAM!$B$44,MAX(0,V569*$F$1),0),0)*RATES!$L546/12+$H$7*(PARAM!$D$51/12)*RATES!$N546/100</f>
        <v>191.66666666666666</v>
      </c>
      <c r="V570" s="16">
        <f t="shared" si="374"/>
        <v>-16506.78964024378</v>
      </c>
      <c r="W570" s="15">
        <f t="shared" si="349"/>
        <v>22.170849845882874</v>
      </c>
      <c r="X570" s="75">
        <f>W570*(1-PARAM!$C$27)*$I$8+(MOD($B570,60)=PARAM!$B$56)*($B570&gt;(60-PARAM!$B$56))*HLOOKUP(($B570+PARAM!$B$56)/12,Loyalty,2)*$F$1*MAX(Z569,0)</f>
        <v>18.557001321003963</v>
      </c>
      <c r="Y570" s="75">
        <f>PARAM!$C$26+MAX($G$8-CHOOSE(PARAM!$B$44,MAX(0,Z569*$F$1),0),0)*RATES!$L546/12+$H$8*(PARAM!$D$51/12)*RATES!$N546/100</f>
        <v>191.66666666666666</v>
      </c>
      <c r="Z570" s="16">
        <f t="shared" si="375"/>
        <v>-16506.78964024378</v>
      </c>
      <c r="AA570" s="15">
        <f t="shared" si="350"/>
        <v>22.170849845882874</v>
      </c>
      <c r="AB570" s="75">
        <f>AA570*(1-PARAM!$C$27)*$I$9+(MOD($B570,60)=PARAM!$B$56)*($B570&gt;(60-PARAM!$B$56))*HLOOKUP(($B570+PARAM!$B$56)/12,Loyalty,2)*$F$1*MAX(AD569,0)</f>
        <v>18.557001321003963</v>
      </c>
      <c r="AC570" s="75">
        <f>PARAM!$C$26+MAX($G$9-CHOOSE(PARAM!$B$44,MAX(0,AD569*$F$1),0),0)*RATES!$L546/12+$H$9*(PARAM!$D$51/12)*RATES!$N546/100</f>
        <v>191.66666666666666</v>
      </c>
      <c r="AD570" s="16">
        <f t="shared" si="376"/>
        <v>-16506.78964024378</v>
      </c>
      <c r="AE570" s="15">
        <f t="shared" si="351"/>
        <v>22.170849845882874</v>
      </c>
      <c r="AF570" s="75">
        <f>AE570*(1-PARAM!$C$27)*$I$10+(MOD($B570,60)=PARAM!$B$56)*($B570&gt;(60-PARAM!$B$56))*HLOOKUP(($B570+PARAM!$B$56)/12,Loyalty,2)*$F$1*MAX(AH569,0)</f>
        <v>18.557001321003963</v>
      </c>
      <c r="AG570" s="75">
        <f>PARAM!$C$26+MAX($G$10-CHOOSE(PARAM!$B$44,MAX(0,AH569*$F$1),0),0)*RATES!$L546/12+$H$10*(PARAM!$D$51/12)*RATES!$N546/100</f>
        <v>191.66666666666666</v>
      </c>
      <c r="AH570" s="16">
        <f t="shared" si="377"/>
        <v>-16506.78964024378</v>
      </c>
      <c r="AI570" s="15">
        <f t="shared" si="352"/>
        <v>22.170849845882874</v>
      </c>
      <c r="AJ570" s="75">
        <f>AI570*(1-PARAM!$C$27)*$I$11+(MOD($B570,60)=PARAM!$B$56)*($B570&gt;(60-PARAM!$B$56))*HLOOKUP(($B570+PARAM!$B$56)/12,Loyalty,2)*$F$1*MAX(AL569,0)</f>
        <v>18.557001321003963</v>
      </c>
      <c r="AK570" s="75">
        <f>PARAM!$C$26+MAX($G$11-CHOOSE(PARAM!$B$44,MAX(0,AL569*$F$1),0),0)*RATES!$L546/12+$H$11*(PARAM!$D$51/12)*RATES!$N546/100</f>
        <v>191.66666666666666</v>
      </c>
      <c r="AL570" s="16">
        <f t="shared" si="378"/>
        <v>-16506.78964024378</v>
      </c>
      <c r="AM570" s="15">
        <f t="shared" si="353"/>
        <v>22.170849845882874</v>
      </c>
      <c r="AN570" s="75">
        <f>AM570*(1-PARAM!$C$27)*$I$12+(MOD($B570,60)=PARAM!$B$56)*($B570&gt;(60-PARAM!$B$56))*HLOOKUP(($B570+PARAM!$B$56)/12,Loyalty,2)*$F$1*MAX(AP569,0)</f>
        <v>18.557001321003963</v>
      </c>
      <c r="AO570" s="75">
        <f>PARAM!$C$26+MAX($G$12-CHOOSE(PARAM!$B$44,MAX(0,AP569*$F$1),0),0)*RATES!$L546/12+$H$12*(PARAM!$D$51/12)*RATES!$N546/100</f>
        <v>191.66666666666666</v>
      </c>
      <c r="AP570" s="16">
        <f t="shared" si="379"/>
        <v>-16506.78964024378</v>
      </c>
      <c r="AQ570" s="15">
        <f t="shared" si="354"/>
        <v>22.170849845882874</v>
      </c>
      <c r="AR570" s="75">
        <f>AQ570*(1-PARAM!$C$27)*$I$13+(MOD($B570,60)=PARAM!$B$56)*($B570&gt;(60-PARAM!$B$56))*HLOOKUP(($B570+PARAM!$B$56)/12,Loyalty,2)*$F$1*MAX(AT569,0)</f>
        <v>18.557001321003963</v>
      </c>
      <c r="AS570" s="75">
        <f>PARAM!$C$26+MAX($G$13-CHOOSE(PARAM!$B$44,MAX(0,AT569*$F$1),0),0)*RATES!$L546/12+$H$13*(PARAM!$D$51/12)*RATES!$N546/100</f>
        <v>191.66666666666666</v>
      </c>
      <c r="AT570" s="16">
        <f t="shared" si="380"/>
        <v>-16506.78964024378</v>
      </c>
      <c r="AU570" s="15">
        <f t="shared" si="355"/>
        <v>22.170849845882874</v>
      </c>
      <c r="AV570" s="75">
        <f>AU570*(1-PARAM!$C$27)*$I$14+(MOD($B570,60)=PARAM!$B$56)*($B570&gt;(60-PARAM!$B$56))*HLOOKUP(($B570+PARAM!$B$56)/12,Loyalty,2)*$F$1*MAX(AX569,0)</f>
        <v>18.557001321003963</v>
      </c>
      <c r="AW570" s="75">
        <f>PARAM!$C$26+MAX($G$14-CHOOSE(PARAM!$B$44,MAX(0,AX569*$F$1),0),0)*RATES!$L546/12+$H$14*(PARAM!$D$51/12)*RATES!$N546/100</f>
        <v>191.66666666666666</v>
      </c>
      <c r="AX570" s="16">
        <f t="shared" si="381"/>
        <v>-16506.78964024378</v>
      </c>
      <c r="AY570" s="15">
        <f t="shared" si="356"/>
        <v>22.170849845882874</v>
      </c>
      <c r="AZ570" s="75">
        <f>AY570*(1-PARAM!$C$27)*$I$15+(MOD($B570,60)=PARAM!$B$56)*($B570&gt;(60-PARAM!$B$56))*HLOOKUP(($B570+PARAM!$B$56)/12,Loyalty,2)*$F$1*MAX(BB569,0)</f>
        <v>18.557001321003963</v>
      </c>
      <c r="BA570" s="75">
        <f>PARAM!$C$26+MAX($G$15-CHOOSE(PARAM!$B$44,MAX(0,BB569*$F$1),0),0)*RATES!$L546/12+$H$15*(PARAM!$D$51/12)*RATES!$N546/100</f>
        <v>191.66666666666666</v>
      </c>
      <c r="BB570" s="16">
        <f t="shared" si="382"/>
        <v>-16506.78964024378</v>
      </c>
      <c r="BC570" s="15">
        <f t="shared" si="357"/>
        <v>22.170849845882874</v>
      </c>
      <c r="BD570" s="75">
        <f>BC570*(1-PARAM!$C$27)*$I$16+(MOD($B570,60)=PARAM!$B$56)*($B570&gt;(60-PARAM!$B$56))*HLOOKUP(($B570+PARAM!$B$56)/12,Loyalty,2)*$F$1*MAX(BF569,0)</f>
        <v>18.557001321003963</v>
      </c>
      <c r="BE570" s="75">
        <f>PARAM!$C$26+MAX($G$16-CHOOSE(PARAM!$B$44,MAX(0,BF569*$F$1),0),0)*RATES!$L546/12+$H$16*(PARAM!$D$51/12)*RATES!$N546/100</f>
        <v>191.66666666666666</v>
      </c>
      <c r="BF570" s="16">
        <f t="shared" si="383"/>
        <v>-16506.78964024378</v>
      </c>
      <c r="BG570" s="15">
        <f t="shared" si="358"/>
        <v>22.170849845882874</v>
      </c>
      <c r="BH570" s="75">
        <f>BG570*(1-PARAM!$C$27)*$I$17+(MOD($B570,60)=PARAM!$B$56)*($B570&gt;(60-PARAM!$B$56))*HLOOKUP(($B570+PARAM!$B$56)/12,Loyalty,2)*$F$1*MAX(BJ569,0)</f>
        <v>18.557001321003963</v>
      </c>
      <c r="BI570" s="75">
        <f>PARAM!$C$26+MAX($G$17-CHOOSE(PARAM!$B$44,MAX(0,BJ569*$F$1),0),0)*RATES!$L546/12+$H$17*(PARAM!$D$51/12)*RATES!$N546/100</f>
        <v>191.66666666666666</v>
      </c>
      <c r="BJ570" s="16">
        <f t="shared" si="384"/>
        <v>-16506.78964024378</v>
      </c>
      <c r="BK570" s="15">
        <f t="shared" si="359"/>
        <v>22.170849845882874</v>
      </c>
      <c r="BL570" s="75">
        <f>BK570*(1-PARAM!$C$27)*$I$18+(MOD($B570,60)=PARAM!$B$56)*($B570&gt;(60-PARAM!$B$56))*HLOOKUP(($B570+PARAM!$B$56)/12,Loyalty,2)*$F$1*MAX(BN569,0)</f>
        <v>18.557001321003963</v>
      </c>
      <c r="BM570" s="75">
        <f>PARAM!$C$26+MAX($G$18-CHOOSE(PARAM!$B$44,MAX(0,BN569*$F$1),0),0)*RATES!$L546/12+$H$18*(PARAM!$D$51/12)*RATES!$N546/100</f>
        <v>191.66666666666666</v>
      </c>
      <c r="BN570" s="16">
        <f t="shared" si="385"/>
        <v>-16506.78964024378</v>
      </c>
      <c r="BO570" s="15">
        <f t="shared" si="360"/>
        <v>22.170849845882874</v>
      </c>
      <c r="BP570" s="75">
        <f>BO570*(1-PARAM!$C$27)*$I$19+(MOD($B570,60)=PARAM!$B$56)*($B570&gt;(60-PARAM!$B$56))*HLOOKUP(($B570+PARAM!$B$56)/12,Loyalty,2)*$F$1*MAX(BR569,0)</f>
        <v>18.557001321003963</v>
      </c>
      <c r="BQ570" s="75">
        <f>PARAM!$C$26+MAX($G$19-CHOOSE(PARAM!$B$44,MAX(0,BR569*$F$1),0),0)*RATES!$L546/12+$H$19*(PARAM!$D$51/12)*RATES!$N546/100</f>
        <v>191.66666666666666</v>
      </c>
      <c r="BR570" s="16">
        <f t="shared" si="386"/>
        <v>-16506.78964024378</v>
      </c>
      <c r="BS570" s="15">
        <f t="shared" si="361"/>
        <v>22.170849845882874</v>
      </c>
      <c r="BT570" s="75">
        <f>BS570*(1-PARAM!$C$27)*$I$20+(MOD($B570,60)=PARAM!$B$56)*($B570&gt;(60-PARAM!$B$56))*HLOOKUP(($B570+PARAM!$B$56)/12,Loyalty,2)*$F$1*MAX(BV569,0)</f>
        <v>18.557001321003963</v>
      </c>
      <c r="BU570" s="75">
        <f>PARAM!$C$26+MAX($G$20-CHOOSE(PARAM!$B$44,MAX(0,BV569*$F$1),0),0)*RATES!$L546/12+$H$20*(PARAM!$D$51/12)*RATES!$N546/100</f>
        <v>191.66666666666666</v>
      </c>
      <c r="BV570" s="16">
        <f t="shared" si="387"/>
        <v>-16506.78964024378</v>
      </c>
      <c r="BW570" s="15">
        <f t="shared" si="362"/>
        <v>22.170849845882874</v>
      </c>
      <c r="BX570" s="75">
        <f>BW570*(1-PARAM!$C$27)*$I$21+(MOD($B570,60)=PARAM!$B$56)*($B570&gt;(60-PARAM!$B$56))*HLOOKUP(($B570+PARAM!$B$56)/12,Loyalty,2)*$F$1*MAX(BZ569,0)</f>
        <v>18.557001321003963</v>
      </c>
      <c r="BY570" s="75">
        <f>PARAM!$C$26+MAX($G$21-CHOOSE(PARAM!$B$44,MAX(0,BZ569*$F$1),0),0)*RATES!$L546/12+$H$21*(PARAM!$D$51/12)*RATES!$N546/100</f>
        <v>191.66666666666666</v>
      </c>
      <c r="BZ570" s="16">
        <f t="shared" si="388"/>
        <v>-16506.78964024378</v>
      </c>
      <c r="CA570" s="15">
        <f t="shared" si="363"/>
        <v>22.170849845882874</v>
      </c>
      <c r="CB570" s="75">
        <f>CA570*(1-PARAM!$C$27)*$I$22+(MOD($B570,60)=PARAM!$B$56)*($B570&gt;(60-PARAM!$B$56))*HLOOKUP(($B570+PARAM!$B$56)/12,Loyalty,2)*$F$1*MAX(CD569,0)</f>
        <v>18.557001321003963</v>
      </c>
      <c r="CC570" s="75">
        <f>PARAM!$C$26+MAX($G$22-CHOOSE(PARAM!$B$44,MAX(0,CD569*$F$1),0),0)*RATES!$L546/12+$H$22*(PARAM!$D$51/12)*RATES!$N546/100</f>
        <v>191.66666666666666</v>
      </c>
      <c r="CD570" s="16">
        <f t="shared" si="389"/>
        <v>-16506.78964024378</v>
      </c>
      <c r="CE570" s="33">
        <f>IF(0=MOD(B570,12/PARAM!$D$51),1,0)</f>
        <v>1</v>
      </c>
      <c r="CF570" s="15">
        <f t="shared" si="364"/>
        <v>0</v>
      </c>
      <c r="CG570" s="75">
        <f>CF570*(1-PARAM!$C$27)*$R$3+(MOD($B570/12,5)=0)*($B570&gt;60)*HLOOKUP($B570/12,Loyalty,2)*$F$1*MAX(CI569,0)</f>
        <v>0</v>
      </c>
      <c r="CH570" s="75">
        <f>PARAM!$C$26+MAX($P$3-CHOOSE(PARAM!$B$44,MAX(0,CI569*$F$1),0),0)*RATES!$L546/12+$Q$3*(PARAM!$D$51/12)*RATES!$N546/100</f>
        <v>191.66666666666666</v>
      </c>
      <c r="CI570" s="16">
        <f>IF(CI569&gt;0,CI569*PARAM!$C$53,CI569)+CG570-CH570</f>
        <v>-26463.666666666646</v>
      </c>
      <c r="CJ570" s="15">
        <f t="shared" si="390"/>
        <v>0</v>
      </c>
      <c r="CK570" s="75">
        <f>CJ570*(1-PARAM!$C$27)*$R$4+(MOD($B570/12,5)=0)*($B570&gt;60)*HLOOKUP($B570/12,Loyalty,2)*$F$1*MAX(CM569,0)</f>
        <v>0</v>
      </c>
      <c r="CL570" s="75">
        <f>PARAM!$C$26+MAX($P$4-CHOOSE(PARAM!$B$44,MAX(0,CM569*$F$1),0),0)*RATES!$L546/12+$Q$4*(PARAM!$D$51/12)*RATES!$N546/100</f>
        <v>191.66666666666666</v>
      </c>
      <c r="CM570" s="16">
        <f>IF(CM569&gt;0,CM569*PARAM!$C$53,CM569)+CK570-CL570</f>
        <v>-26463.666666666646</v>
      </c>
      <c r="CO570" s="176"/>
    </row>
    <row r="571" spans="1:93" x14ac:dyDescent="0.2">
      <c r="A571" t="b">
        <f t="shared" si="365"/>
        <v>0</v>
      </c>
      <c r="B571" s="33">
        <v>544</v>
      </c>
      <c r="C571" s="15">
        <f t="shared" si="366"/>
        <v>20.081305947392778</v>
      </c>
      <c r="D571" s="75">
        <f>C571*(1-PARAM!$C$27)*$I$3+(MOD($B571,60)=PARAM!$B$56)*($B571&gt;(60-PARAM!$B$56))*HLOOKUP(($B571+PARAM!$B$56)/12,Loyalty,2)*$F$1*MAX(F570,0)</f>
        <v>16.808053077967756</v>
      </c>
      <c r="E571" s="75">
        <f>PARAM!$C$26+MAX($G$3-CHOOSE(PARAM!$B$44,MAX(0,F570*$F$1),0),0)*RATES!$L547/12+$H$3*(PARAM!$D$51/12)*RATES!$N547/100</f>
        <v>191.66666666666666</v>
      </c>
      <c r="F571" s="16">
        <f t="shared" si="367"/>
        <v>-17668.177650322621</v>
      </c>
      <c r="G571" s="15">
        <f t="shared" si="368"/>
        <v>22.035289406060361</v>
      </c>
      <c r="H571" s="75">
        <f>G571*(1-PARAM!$C$27)*$I$4+(MOD($B571,60)=PARAM!$B$56)*($B571&gt;(60-PARAM!$B$56))*HLOOKUP(($B571+PARAM!$B$56)/12,Loyalty,2)*$F$1*MAX(J570,0)</f>
        <v>18.443537232872522</v>
      </c>
      <c r="I571" s="75">
        <f>PARAM!$C$26+MAX($G$4-CHOOSE(PARAM!$B$44,MAX(0,J570*$F$1),0),0)*RATES!$L547/12+$H$4*(PARAM!$D$51/12)*RATES!$N547/100</f>
        <v>191.66666666666666</v>
      </c>
      <c r="J571" s="16">
        <f t="shared" si="369"/>
        <v>-16744.641305932746</v>
      </c>
      <c r="K571" s="15">
        <f t="shared" si="370"/>
        <v>22.170849845882874</v>
      </c>
      <c r="L571" s="75">
        <f>K571*(1-PARAM!$C$27)*$I$5+(MOD($B571,60)=PARAM!$B$56)*($B571&gt;(60-PARAM!$B$56))*HLOOKUP(($B571+PARAM!$B$56)/12,Loyalty,2)*$F$1*MAX(N570,0)</f>
        <v>18.557001321003963</v>
      </c>
      <c r="M571" s="75">
        <f>PARAM!$C$26+MAX($G$5-CHOOSE(PARAM!$B$44,MAX(0,N570*$F$1),0),0)*RATES!$L547/12+$H$5*(PARAM!$D$51/12)*RATES!$N547/100</f>
        <v>191.66666666666666</v>
      </c>
      <c r="N571" s="16">
        <f t="shared" si="371"/>
        <v>-16679.899305589443</v>
      </c>
      <c r="O571" s="15">
        <f t="shared" si="372"/>
        <v>22.170849845882874</v>
      </c>
      <c r="P571" s="75">
        <f>O571*(1-PARAM!$C$27)*$I$6+(MOD($B571,60)=PARAM!$B$56)*($B571&gt;(60-PARAM!$B$56))*HLOOKUP(($B571+PARAM!$B$56)/12,Loyalty,2)*$F$1*MAX(R570,0)</f>
        <v>18.557001321003963</v>
      </c>
      <c r="Q571" s="75">
        <f>PARAM!$C$26+MAX($G$6-CHOOSE(PARAM!$B$44,MAX(0,R570*$F$1),0),0)*RATES!$L547/12+$H$6*(PARAM!$D$51/12)*RATES!$N547/100</f>
        <v>191.66666666666666</v>
      </c>
      <c r="R571" s="16">
        <f t="shared" si="373"/>
        <v>-16679.899305589443</v>
      </c>
      <c r="S571" s="15">
        <f t="shared" si="348"/>
        <v>22.170849845882874</v>
      </c>
      <c r="T571" s="75">
        <f>S571*(1-PARAM!$C$27)*$I$7+(MOD($B571,60)=PARAM!$B$56)*($B571&gt;(60-PARAM!$B$56))*HLOOKUP(($B571+PARAM!$B$56)/12,Loyalty,2)*$F$1*MAX(V570,0)</f>
        <v>18.557001321003963</v>
      </c>
      <c r="U571" s="75">
        <f>PARAM!$C$26+MAX($G$7-CHOOSE(PARAM!$B$44,MAX(0,V570*$F$1),0),0)*RATES!$L547/12+$H$7*(PARAM!$D$51/12)*RATES!$N547/100</f>
        <v>191.66666666666666</v>
      </c>
      <c r="V571" s="16">
        <f t="shared" si="374"/>
        <v>-16679.899305589443</v>
      </c>
      <c r="W571" s="15">
        <f t="shared" si="349"/>
        <v>22.170849845882874</v>
      </c>
      <c r="X571" s="75">
        <f>W571*(1-PARAM!$C$27)*$I$8+(MOD($B571,60)=PARAM!$B$56)*($B571&gt;(60-PARAM!$B$56))*HLOOKUP(($B571+PARAM!$B$56)/12,Loyalty,2)*$F$1*MAX(Z570,0)</f>
        <v>18.557001321003963</v>
      </c>
      <c r="Y571" s="75">
        <f>PARAM!$C$26+MAX($G$8-CHOOSE(PARAM!$B$44,MAX(0,Z570*$F$1),0),0)*RATES!$L547/12+$H$8*(PARAM!$D$51/12)*RATES!$N547/100</f>
        <v>191.66666666666666</v>
      </c>
      <c r="Z571" s="16">
        <f t="shared" si="375"/>
        <v>-16679.899305589443</v>
      </c>
      <c r="AA571" s="15">
        <f t="shared" si="350"/>
        <v>22.170849845882874</v>
      </c>
      <c r="AB571" s="75">
        <f>AA571*(1-PARAM!$C$27)*$I$9+(MOD($B571,60)=PARAM!$B$56)*($B571&gt;(60-PARAM!$B$56))*HLOOKUP(($B571+PARAM!$B$56)/12,Loyalty,2)*$F$1*MAX(AD570,0)</f>
        <v>18.557001321003963</v>
      </c>
      <c r="AC571" s="75">
        <f>PARAM!$C$26+MAX($G$9-CHOOSE(PARAM!$B$44,MAX(0,AD570*$F$1),0),0)*RATES!$L547/12+$H$9*(PARAM!$D$51/12)*RATES!$N547/100</f>
        <v>191.66666666666666</v>
      </c>
      <c r="AD571" s="16">
        <f t="shared" si="376"/>
        <v>-16679.899305589443</v>
      </c>
      <c r="AE571" s="15">
        <f t="shared" si="351"/>
        <v>22.170849845882874</v>
      </c>
      <c r="AF571" s="75">
        <f>AE571*(1-PARAM!$C$27)*$I$10+(MOD($B571,60)=PARAM!$B$56)*($B571&gt;(60-PARAM!$B$56))*HLOOKUP(($B571+PARAM!$B$56)/12,Loyalty,2)*$F$1*MAX(AH570,0)</f>
        <v>18.557001321003963</v>
      </c>
      <c r="AG571" s="75">
        <f>PARAM!$C$26+MAX($G$10-CHOOSE(PARAM!$B$44,MAX(0,AH570*$F$1),0),0)*RATES!$L547/12+$H$10*(PARAM!$D$51/12)*RATES!$N547/100</f>
        <v>191.66666666666666</v>
      </c>
      <c r="AH571" s="16">
        <f t="shared" si="377"/>
        <v>-16679.899305589443</v>
      </c>
      <c r="AI571" s="15">
        <f t="shared" si="352"/>
        <v>22.170849845882874</v>
      </c>
      <c r="AJ571" s="75">
        <f>AI571*(1-PARAM!$C$27)*$I$11+(MOD($B571,60)=PARAM!$B$56)*($B571&gt;(60-PARAM!$B$56))*HLOOKUP(($B571+PARAM!$B$56)/12,Loyalty,2)*$F$1*MAX(AL570,0)</f>
        <v>18.557001321003963</v>
      </c>
      <c r="AK571" s="75">
        <f>PARAM!$C$26+MAX($G$11-CHOOSE(PARAM!$B$44,MAX(0,AL570*$F$1),0),0)*RATES!$L547/12+$H$11*(PARAM!$D$51/12)*RATES!$N547/100</f>
        <v>191.66666666666666</v>
      </c>
      <c r="AL571" s="16">
        <f t="shared" si="378"/>
        <v>-16679.899305589443</v>
      </c>
      <c r="AM571" s="15">
        <f t="shared" si="353"/>
        <v>22.170849845882874</v>
      </c>
      <c r="AN571" s="75">
        <f>AM571*(1-PARAM!$C$27)*$I$12+(MOD($B571,60)=PARAM!$B$56)*($B571&gt;(60-PARAM!$B$56))*HLOOKUP(($B571+PARAM!$B$56)/12,Loyalty,2)*$F$1*MAX(AP570,0)</f>
        <v>18.557001321003963</v>
      </c>
      <c r="AO571" s="75">
        <f>PARAM!$C$26+MAX($G$12-CHOOSE(PARAM!$B$44,MAX(0,AP570*$F$1),0),0)*RATES!$L547/12+$H$12*(PARAM!$D$51/12)*RATES!$N547/100</f>
        <v>191.66666666666666</v>
      </c>
      <c r="AP571" s="16">
        <f t="shared" si="379"/>
        <v>-16679.899305589443</v>
      </c>
      <c r="AQ571" s="15">
        <f t="shared" si="354"/>
        <v>22.170849845882874</v>
      </c>
      <c r="AR571" s="75">
        <f>AQ571*(1-PARAM!$C$27)*$I$13+(MOD($B571,60)=PARAM!$B$56)*($B571&gt;(60-PARAM!$B$56))*HLOOKUP(($B571+PARAM!$B$56)/12,Loyalty,2)*$F$1*MAX(AT570,0)</f>
        <v>18.557001321003963</v>
      </c>
      <c r="AS571" s="75">
        <f>PARAM!$C$26+MAX($G$13-CHOOSE(PARAM!$B$44,MAX(0,AT570*$F$1),0),0)*RATES!$L547/12+$H$13*(PARAM!$D$51/12)*RATES!$N547/100</f>
        <v>191.66666666666666</v>
      </c>
      <c r="AT571" s="16">
        <f t="shared" si="380"/>
        <v>-16679.899305589443</v>
      </c>
      <c r="AU571" s="15">
        <f t="shared" si="355"/>
        <v>22.170849845882874</v>
      </c>
      <c r="AV571" s="75">
        <f>AU571*(1-PARAM!$C$27)*$I$14+(MOD($B571,60)=PARAM!$B$56)*($B571&gt;(60-PARAM!$B$56))*HLOOKUP(($B571+PARAM!$B$56)/12,Loyalty,2)*$F$1*MAX(AX570,0)</f>
        <v>18.557001321003963</v>
      </c>
      <c r="AW571" s="75">
        <f>PARAM!$C$26+MAX($G$14-CHOOSE(PARAM!$B$44,MAX(0,AX570*$F$1),0),0)*RATES!$L547/12+$H$14*(PARAM!$D$51/12)*RATES!$N547/100</f>
        <v>191.66666666666666</v>
      </c>
      <c r="AX571" s="16">
        <f t="shared" si="381"/>
        <v>-16679.899305589443</v>
      </c>
      <c r="AY571" s="15">
        <f t="shared" si="356"/>
        <v>22.170849845882874</v>
      </c>
      <c r="AZ571" s="75">
        <f>AY571*(1-PARAM!$C$27)*$I$15+(MOD($B571,60)=PARAM!$B$56)*($B571&gt;(60-PARAM!$B$56))*HLOOKUP(($B571+PARAM!$B$56)/12,Loyalty,2)*$F$1*MAX(BB570,0)</f>
        <v>18.557001321003963</v>
      </c>
      <c r="BA571" s="75">
        <f>PARAM!$C$26+MAX($G$15-CHOOSE(PARAM!$B$44,MAX(0,BB570*$F$1),0),0)*RATES!$L547/12+$H$15*(PARAM!$D$51/12)*RATES!$N547/100</f>
        <v>191.66666666666666</v>
      </c>
      <c r="BB571" s="16">
        <f t="shared" si="382"/>
        <v>-16679.899305589443</v>
      </c>
      <c r="BC571" s="15">
        <f t="shared" si="357"/>
        <v>22.170849845882874</v>
      </c>
      <c r="BD571" s="75">
        <f>BC571*(1-PARAM!$C$27)*$I$16+(MOD($B571,60)=PARAM!$B$56)*($B571&gt;(60-PARAM!$B$56))*HLOOKUP(($B571+PARAM!$B$56)/12,Loyalty,2)*$F$1*MAX(BF570,0)</f>
        <v>18.557001321003963</v>
      </c>
      <c r="BE571" s="75">
        <f>PARAM!$C$26+MAX($G$16-CHOOSE(PARAM!$B$44,MAX(0,BF570*$F$1),0),0)*RATES!$L547/12+$H$16*(PARAM!$D$51/12)*RATES!$N547/100</f>
        <v>191.66666666666666</v>
      </c>
      <c r="BF571" s="16">
        <f t="shared" si="383"/>
        <v>-16679.899305589443</v>
      </c>
      <c r="BG571" s="15">
        <f t="shared" si="358"/>
        <v>22.170849845882874</v>
      </c>
      <c r="BH571" s="75">
        <f>BG571*(1-PARAM!$C$27)*$I$17+(MOD($B571,60)=PARAM!$B$56)*($B571&gt;(60-PARAM!$B$56))*HLOOKUP(($B571+PARAM!$B$56)/12,Loyalty,2)*$F$1*MAX(BJ570,0)</f>
        <v>18.557001321003963</v>
      </c>
      <c r="BI571" s="75">
        <f>PARAM!$C$26+MAX($G$17-CHOOSE(PARAM!$B$44,MAX(0,BJ570*$F$1),0),0)*RATES!$L547/12+$H$17*(PARAM!$D$51/12)*RATES!$N547/100</f>
        <v>191.66666666666666</v>
      </c>
      <c r="BJ571" s="16">
        <f t="shared" si="384"/>
        <v>-16679.899305589443</v>
      </c>
      <c r="BK571" s="15">
        <f t="shared" si="359"/>
        <v>22.170849845882874</v>
      </c>
      <c r="BL571" s="75">
        <f>BK571*(1-PARAM!$C$27)*$I$18+(MOD($B571,60)=PARAM!$B$56)*($B571&gt;(60-PARAM!$B$56))*HLOOKUP(($B571+PARAM!$B$56)/12,Loyalty,2)*$F$1*MAX(BN570,0)</f>
        <v>18.557001321003963</v>
      </c>
      <c r="BM571" s="75">
        <f>PARAM!$C$26+MAX($G$18-CHOOSE(PARAM!$B$44,MAX(0,BN570*$F$1),0),0)*RATES!$L547/12+$H$18*(PARAM!$D$51/12)*RATES!$N547/100</f>
        <v>191.66666666666666</v>
      </c>
      <c r="BN571" s="16">
        <f t="shared" si="385"/>
        <v>-16679.899305589443</v>
      </c>
      <c r="BO571" s="15">
        <f t="shared" si="360"/>
        <v>22.170849845882874</v>
      </c>
      <c r="BP571" s="75">
        <f>BO571*(1-PARAM!$C$27)*$I$19+(MOD($B571,60)=PARAM!$B$56)*($B571&gt;(60-PARAM!$B$56))*HLOOKUP(($B571+PARAM!$B$56)/12,Loyalty,2)*$F$1*MAX(BR570,0)</f>
        <v>18.557001321003963</v>
      </c>
      <c r="BQ571" s="75">
        <f>PARAM!$C$26+MAX($G$19-CHOOSE(PARAM!$B$44,MAX(0,BR570*$F$1),0),0)*RATES!$L547/12+$H$19*(PARAM!$D$51/12)*RATES!$N547/100</f>
        <v>191.66666666666666</v>
      </c>
      <c r="BR571" s="16">
        <f t="shared" si="386"/>
        <v>-16679.899305589443</v>
      </c>
      <c r="BS571" s="15">
        <f t="shared" si="361"/>
        <v>22.170849845882874</v>
      </c>
      <c r="BT571" s="75">
        <f>BS571*(1-PARAM!$C$27)*$I$20+(MOD($B571,60)=PARAM!$B$56)*($B571&gt;(60-PARAM!$B$56))*HLOOKUP(($B571+PARAM!$B$56)/12,Loyalty,2)*$F$1*MAX(BV570,0)</f>
        <v>18.557001321003963</v>
      </c>
      <c r="BU571" s="75">
        <f>PARAM!$C$26+MAX($G$20-CHOOSE(PARAM!$B$44,MAX(0,BV570*$F$1),0),0)*RATES!$L547/12+$H$20*(PARAM!$D$51/12)*RATES!$N547/100</f>
        <v>191.66666666666666</v>
      </c>
      <c r="BV571" s="16">
        <f t="shared" si="387"/>
        <v>-16679.899305589443</v>
      </c>
      <c r="BW571" s="15">
        <f t="shared" si="362"/>
        <v>22.170849845882874</v>
      </c>
      <c r="BX571" s="75">
        <f>BW571*(1-PARAM!$C$27)*$I$21+(MOD($B571,60)=PARAM!$B$56)*($B571&gt;(60-PARAM!$B$56))*HLOOKUP(($B571+PARAM!$B$56)/12,Loyalty,2)*$F$1*MAX(BZ570,0)</f>
        <v>18.557001321003963</v>
      </c>
      <c r="BY571" s="75">
        <f>PARAM!$C$26+MAX($G$21-CHOOSE(PARAM!$B$44,MAX(0,BZ570*$F$1),0),0)*RATES!$L547/12+$H$21*(PARAM!$D$51/12)*RATES!$N547/100</f>
        <v>191.66666666666666</v>
      </c>
      <c r="BZ571" s="16">
        <f t="shared" si="388"/>
        <v>-16679.899305589443</v>
      </c>
      <c r="CA571" s="15">
        <f t="shared" si="363"/>
        <v>22.170849845882874</v>
      </c>
      <c r="CB571" s="75">
        <f>CA571*(1-PARAM!$C$27)*$I$22+(MOD($B571,60)=PARAM!$B$56)*($B571&gt;(60-PARAM!$B$56))*HLOOKUP(($B571+PARAM!$B$56)/12,Loyalty,2)*$F$1*MAX(CD570,0)</f>
        <v>18.557001321003963</v>
      </c>
      <c r="CC571" s="75">
        <f>PARAM!$C$26+MAX($G$22-CHOOSE(PARAM!$B$44,MAX(0,CD570*$F$1),0),0)*RATES!$L547/12+$H$22*(PARAM!$D$51/12)*RATES!$N547/100</f>
        <v>191.66666666666666</v>
      </c>
      <c r="CD571" s="16">
        <f t="shared" si="389"/>
        <v>-16679.899305589443</v>
      </c>
      <c r="CE571" s="33">
        <f>IF(0=MOD(B571,12/PARAM!$D$51),1,0)</f>
        <v>1</v>
      </c>
      <c r="CF571" s="15">
        <f t="shared" si="364"/>
        <v>0</v>
      </c>
      <c r="CG571" s="75">
        <f>CF571*(1-PARAM!$C$27)*$R$3+(MOD($B571/12,5)=0)*($B571&gt;60)*HLOOKUP($B571/12,Loyalty,2)*$F$1*MAX(CI570,0)</f>
        <v>0</v>
      </c>
      <c r="CH571" s="75">
        <f>PARAM!$C$26+MAX($P$3-CHOOSE(PARAM!$B$44,MAX(0,CI570*$F$1),0),0)*RATES!$L547/12+$Q$3*(PARAM!$D$51/12)*RATES!$N547/100</f>
        <v>191.66666666666666</v>
      </c>
      <c r="CI571" s="16">
        <f>IF(CI570&gt;0,CI570*PARAM!$C$53,CI570)+CG571-CH571</f>
        <v>-26655.333333333314</v>
      </c>
      <c r="CJ571" s="15">
        <f t="shared" si="390"/>
        <v>0</v>
      </c>
      <c r="CK571" s="75">
        <f>CJ571*(1-PARAM!$C$27)*$R$4+(MOD($B571/12,5)=0)*($B571&gt;60)*HLOOKUP($B571/12,Loyalty,2)*$F$1*MAX(CM570,0)</f>
        <v>0</v>
      </c>
      <c r="CL571" s="75">
        <f>PARAM!$C$26+MAX($P$4-CHOOSE(PARAM!$B$44,MAX(0,CM570*$F$1),0),0)*RATES!$L547/12+$Q$4*(PARAM!$D$51/12)*RATES!$N547/100</f>
        <v>191.66666666666666</v>
      </c>
      <c r="CM571" s="16">
        <f>IF(CM570&gt;0,CM570*PARAM!$C$53,CM570)+CK571-CL571</f>
        <v>-26655.333333333314</v>
      </c>
      <c r="CO571" s="176"/>
    </row>
    <row r="572" spans="1:93" x14ac:dyDescent="0.2">
      <c r="A572" t="b">
        <f t="shared" si="365"/>
        <v>0</v>
      </c>
      <c r="B572" s="33">
        <v>545</v>
      </c>
      <c r="C572" s="15">
        <f t="shared" si="366"/>
        <v>20.081305947392778</v>
      </c>
      <c r="D572" s="75">
        <f>C572*(1-PARAM!$C$27)*$I$3+(MOD($B572,60)=PARAM!$B$56)*($B572&gt;(60-PARAM!$B$56))*HLOOKUP(($B572+PARAM!$B$56)/12,Loyalty,2)*$F$1*MAX(F571,0)</f>
        <v>16.808053077967756</v>
      </c>
      <c r="E572" s="75">
        <f>PARAM!$C$26+MAX($G$3-CHOOSE(PARAM!$B$44,MAX(0,F571*$F$1),0),0)*RATES!$L548/12+$H$3*(PARAM!$D$51/12)*RATES!$N548/100</f>
        <v>191.66666666666666</v>
      </c>
      <c r="F572" s="16">
        <f t="shared" si="367"/>
        <v>-17843.036263911323</v>
      </c>
      <c r="G572" s="15">
        <f t="shared" si="368"/>
        <v>22.035289406060361</v>
      </c>
      <c r="H572" s="75">
        <f>G572*(1-PARAM!$C$27)*$I$4+(MOD($B572,60)=PARAM!$B$56)*($B572&gt;(60-PARAM!$B$56))*HLOOKUP(($B572+PARAM!$B$56)/12,Loyalty,2)*$F$1*MAX(J571,0)</f>
        <v>18.443537232872522</v>
      </c>
      <c r="I572" s="75">
        <f>PARAM!$C$26+MAX($G$4-CHOOSE(PARAM!$B$44,MAX(0,J571*$F$1),0),0)*RATES!$L548/12+$H$4*(PARAM!$D$51/12)*RATES!$N548/100</f>
        <v>191.66666666666666</v>
      </c>
      <c r="J572" s="16">
        <f t="shared" si="369"/>
        <v>-16917.86443536654</v>
      </c>
      <c r="K572" s="15">
        <f t="shared" si="370"/>
        <v>22.170849845882874</v>
      </c>
      <c r="L572" s="75">
        <f>K572*(1-PARAM!$C$27)*$I$5+(MOD($B572,60)=PARAM!$B$56)*($B572&gt;(60-PARAM!$B$56))*HLOOKUP(($B572+PARAM!$B$56)/12,Loyalty,2)*$F$1*MAX(N571,0)</f>
        <v>18.557001321003963</v>
      </c>
      <c r="M572" s="75">
        <f>PARAM!$C$26+MAX($G$5-CHOOSE(PARAM!$B$44,MAX(0,N571*$F$1),0),0)*RATES!$L548/12+$H$5*(PARAM!$D$51/12)*RATES!$N548/100</f>
        <v>191.66666666666666</v>
      </c>
      <c r="N572" s="16">
        <f t="shared" si="371"/>
        <v>-16853.008970935105</v>
      </c>
      <c r="O572" s="15">
        <f t="shared" si="372"/>
        <v>22.170849845882874</v>
      </c>
      <c r="P572" s="75">
        <f>O572*(1-PARAM!$C$27)*$I$6+(MOD($B572,60)=PARAM!$B$56)*($B572&gt;(60-PARAM!$B$56))*HLOOKUP(($B572+PARAM!$B$56)/12,Loyalty,2)*$F$1*MAX(R571,0)</f>
        <v>18.557001321003963</v>
      </c>
      <c r="Q572" s="75">
        <f>PARAM!$C$26+MAX($G$6-CHOOSE(PARAM!$B$44,MAX(0,R571*$F$1),0),0)*RATES!$L548/12+$H$6*(PARAM!$D$51/12)*RATES!$N548/100</f>
        <v>191.66666666666666</v>
      </c>
      <c r="R572" s="16">
        <f t="shared" si="373"/>
        <v>-16853.008970935105</v>
      </c>
      <c r="S572" s="15">
        <f t="shared" si="348"/>
        <v>22.170849845882874</v>
      </c>
      <c r="T572" s="75">
        <f>S572*(1-PARAM!$C$27)*$I$7+(MOD($B572,60)=PARAM!$B$56)*($B572&gt;(60-PARAM!$B$56))*HLOOKUP(($B572+PARAM!$B$56)/12,Loyalty,2)*$F$1*MAX(V571,0)</f>
        <v>18.557001321003963</v>
      </c>
      <c r="U572" s="75">
        <f>PARAM!$C$26+MAX($G$7-CHOOSE(PARAM!$B$44,MAX(0,V571*$F$1),0),0)*RATES!$L548/12+$H$7*(PARAM!$D$51/12)*RATES!$N548/100</f>
        <v>191.66666666666666</v>
      </c>
      <c r="V572" s="16">
        <f t="shared" si="374"/>
        <v>-16853.008970935105</v>
      </c>
      <c r="W572" s="15">
        <f t="shared" si="349"/>
        <v>22.170849845882874</v>
      </c>
      <c r="X572" s="75">
        <f>W572*(1-PARAM!$C$27)*$I$8+(MOD($B572,60)=PARAM!$B$56)*($B572&gt;(60-PARAM!$B$56))*HLOOKUP(($B572+PARAM!$B$56)/12,Loyalty,2)*$F$1*MAX(Z571,0)</f>
        <v>18.557001321003963</v>
      </c>
      <c r="Y572" s="75">
        <f>PARAM!$C$26+MAX($G$8-CHOOSE(PARAM!$B$44,MAX(0,Z571*$F$1),0),0)*RATES!$L548/12+$H$8*(PARAM!$D$51/12)*RATES!$N548/100</f>
        <v>191.66666666666666</v>
      </c>
      <c r="Z572" s="16">
        <f t="shared" si="375"/>
        <v>-16853.008970935105</v>
      </c>
      <c r="AA572" s="15">
        <f t="shared" si="350"/>
        <v>22.170849845882874</v>
      </c>
      <c r="AB572" s="75">
        <f>AA572*(1-PARAM!$C$27)*$I$9+(MOD($B572,60)=PARAM!$B$56)*($B572&gt;(60-PARAM!$B$56))*HLOOKUP(($B572+PARAM!$B$56)/12,Loyalty,2)*$F$1*MAX(AD571,0)</f>
        <v>18.557001321003963</v>
      </c>
      <c r="AC572" s="75">
        <f>PARAM!$C$26+MAX($G$9-CHOOSE(PARAM!$B$44,MAX(0,AD571*$F$1),0),0)*RATES!$L548/12+$H$9*(PARAM!$D$51/12)*RATES!$N548/100</f>
        <v>191.66666666666666</v>
      </c>
      <c r="AD572" s="16">
        <f t="shared" si="376"/>
        <v>-16853.008970935105</v>
      </c>
      <c r="AE572" s="15">
        <f t="shared" si="351"/>
        <v>22.170849845882874</v>
      </c>
      <c r="AF572" s="75">
        <f>AE572*(1-PARAM!$C$27)*$I$10+(MOD($B572,60)=PARAM!$B$56)*($B572&gt;(60-PARAM!$B$56))*HLOOKUP(($B572+PARAM!$B$56)/12,Loyalty,2)*$F$1*MAX(AH571,0)</f>
        <v>18.557001321003963</v>
      </c>
      <c r="AG572" s="75">
        <f>PARAM!$C$26+MAX($G$10-CHOOSE(PARAM!$B$44,MAX(0,AH571*$F$1),0),0)*RATES!$L548/12+$H$10*(PARAM!$D$51/12)*RATES!$N548/100</f>
        <v>191.66666666666666</v>
      </c>
      <c r="AH572" s="16">
        <f t="shared" si="377"/>
        <v>-16853.008970935105</v>
      </c>
      <c r="AI572" s="15">
        <f t="shared" si="352"/>
        <v>22.170849845882874</v>
      </c>
      <c r="AJ572" s="75">
        <f>AI572*(1-PARAM!$C$27)*$I$11+(MOD($B572,60)=PARAM!$B$56)*($B572&gt;(60-PARAM!$B$56))*HLOOKUP(($B572+PARAM!$B$56)/12,Loyalty,2)*$F$1*MAX(AL571,0)</f>
        <v>18.557001321003963</v>
      </c>
      <c r="AK572" s="75">
        <f>PARAM!$C$26+MAX($G$11-CHOOSE(PARAM!$B$44,MAX(0,AL571*$F$1),0),0)*RATES!$L548/12+$H$11*(PARAM!$D$51/12)*RATES!$N548/100</f>
        <v>191.66666666666666</v>
      </c>
      <c r="AL572" s="16">
        <f t="shared" si="378"/>
        <v>-16853.008970935105</v>
      </c>
      <c r="AM572" s="15">
        <f t="shared" si="353"/>
        <v>22.170849845882874</v>
      </c>
      <c r="AN572" s="75">
        <f>AM572*(1-PARAM!$C$27)*$I$12+(MOD($B572,60)=PARAM!$B$56)*($B572&gt;(60-PARAM!$B$56))*HLOOKUP(($B572+PARAM!$B$56)/12,Loyalty,2)*$F$1*MAX(AP571,0)</f>
        <v>18.557001321003963</v>
      </c>
      <c r="AO572" s="75">
        <f>PARAM!$C$26+MAX($G$12-CHOOSE(PARAM!$B$44,MAX(0,AP571*$F$1),0),0)*RATES!$L548/12+$H$12*(PARAM!$D$51/12)*RATES!$N548/100</f>
        <v>191.66666666666666</v>
      </c>
      <c r="AP572" s="16">
        <f t="shared" si="379"/>
        <v>-16853.008970935105</v>
      </c>
      <c r="AQ572" s="15">
        <f t="shared" si="354"/>
        <v>22.170849845882874</v>
      </c>
      <c r="AR572" s="75">
        <f>AQ572*(1-PARAM!$C$27)*$I$13+(MOD($B572,60)=PARAM!$B$56)*($B572&gt;(60-PARAM!$B$56))*HLOOKUP(($B572+PARAM!$B$56)/12,Loyalty,2)*$F$1*MAX(AT571,0)</f>
        <v>18.557001321003963</v>
      </c>
      <c r="AS572" s="75">
        <f>PARAM!$C$26+MAX($G$13-CHOOSE(PARAM!$B$44,MAX(0,AT571*$F$1),0),0)*RATES!$L548/12+$H$13*(PARAM!$D$51/12)*RATES!$N548/100</f>
        <v>191.66666666666666</v>
      </c>
      <c r="AT572" s="16">
        <f t="shared" si="380"/>
        <v>-16853.008970935105</v>
      </c>
      <c r="AU572" s="15">
        <f t="shared" si="355"/>
        <v>22.170849845882874</v>
      </c>
      <c r="AV572" s="75">
        <f>AU572*(1-PARAM!$C$27)*$I$14+(MOD($B572,60)=PARAM!$B$56)*($B572&gt;(60-PARAM!$B$56))*HLOOKUP(($B572+PARAM!$B$56)/12,Loyalty,2)*$F$1*MAX(AX571,0)</f>
        <v>18.557001321003963</v>
      </c>
      <c r="AW572" s="75">
        <f>PARAM!$C$26+MAX($G$14-CHOOSE(PARAM!$B$44,MAX(0,AX571*$F$1),0),0)*RATES!$L548/12+$H$14*(PARAM!$D$51/12)*RATES!$N548/100</f>
        <v>191.66666666666666</v>
      </c>
      <c r="AX572" s="16">
        <f t="shared" si="381"/>
        <v>-16853.008970935105</v>
      </c>
      <c r="AY572" s="15">
        <f t="shared" si="356"/>
        <v>22.170849845882874</v>
      </c>
      <c r="AZ572" s="75">
        <f>AY572*(1-PARAM!$C$27)*$I$15+(MOD($B572,60)=PARAM!$B$56)*($B572&gt;(60-PARAM!$B$56))*HLOOKUP(($B572+PARAM!$B$56)/12,Loyalty,2)*$F$1*MAX(BB571,0)</f>
        <v>18.557001321003963</v>
      </c>
      <c r="BA572" s="75">
        <f>PARAM!$C$26+MAX($G$15-CHOOSE(PARAM!$B$44,MAX(0,BB571*$F$1),0),0)*RATES!$L548/12+$H$15*(PARAM!$D$51/12)*RATES!$N548/100</f>
        <v>191.66666666666666</v>
      </c>
      <c r="BB572" s="16">
        <f t="shared" si="382"/>
        <v>-16853.008970935105</v>
      </c>
      <c r="BC572" s="15">
        <f t="shared" si="357"/>
        <v>22.170849845882874</v>
      </c>
      <c r="BD572" s="75">
        <f>BC572*(1-PARAM!$C$27)*$I$16+(MOD($B572,60)=PARAM!$B$56)*($B572&gt;(60-PARAM!$B$56))*HLOOKUP(($B572+PARAM!$B$56)/12,Loyalty,2)*$F$1*MAX(BF571,0)</f>
        <v>18.557001321003963</v>
      </c>
      <c r="BE572" s="75">
        <f>PARAM!$C$26+MAX($G$16-CHOOSE(PARAM!$B$44,MAX(0,BF571*$F$1),0),0)*RATES!$L548/12+$H$16*(PARAM!$D$51/12)*RATES!$N548/100</f>
        <v>191.66666666666666</v>
      </c>
      <c r="BF572" s="16">
        <f t="shared" si="383"/>
        <v>-16853.008970935105</v>
      </c>
      <c r="BG572" s="15">
        <f t="shared" si="358"/>
        <v>22.170849845882874</v>
      </c>
      <c r="BH572" s="75">
        <f>BG572*(1-PARAM!$C$27)*$I$17+(MOD($B572,60)=PARAM!$B$56)*($B572&gt;(60-PARAM!$B$56))*HLOOKUP(($B572+PARAM!$B$56)/12,Loyalty,2)*$F$1*MAX(BJ571,0)</f>
        <v>18.557001321003963</v>
      </c>
      <c r="BI572" s="75">
        <f>PARAM!$C$26+MAX($G$17-CHOOSE(PARAM!$B$44,MAX(0,BJ571*$F$1),0),0)*RATES!$L548/12+$H$17*(PARAM!$D$51/12)*RATES!$N548/100</f>
        <v>191.66666666666666</v>
      </c>
      <c r="BJ572" s="16">
        <f t="shared" si="384"/>
        <v>-16853.008970935105</v>
      </c>
      <c r="BK572" s="15">
        <f t="shared" si="359"/>
        <v>22.170849845882874</v>
      </c>
      <c r="BL572" s="75">
        <f>BK572*(1-PARAM!$C$27)*$I$18+(MOD($B572,60)=PARAM!$B$56)*($B572&gt;(60-PARAM!$B$56))*HLOOKUP(($B572+PARAM!$B$56)/12,Loyalty,2)*$F$1*MAX(BN571,0)</f>
        <v>18.557001321003963</v>
      </c>
      <c r="BM572" s="75">
        <f>PARAM!$C$26+MAX($G$18-CHOOSE(PARAM!$B$44,MAX(0,BN571*$F$1),0),0)*RATES!$L548/12+$H$18*(PARAM!$D$51/12)*RATES!$N548/100</f>
        <v>191.66666666666666</v>
      </c>
      <c r="BN572" s="16">
        <f t="shared" si="385"/>
        <v>-16853.008970935105</v>
      </c>
      <c r="BO572" s="15">
        <f t="shared" si="360"/>
        <v>22.170849845882874</v>
      </c>
      <c r="BP572" s="75">
        <f>BO572*(1-PARAM!$C$27)*$I$19+(MOD($B572,60)=PARAM!$B$56)*($B572&gt;(60-PARAM!$B$56))*HLOOKUP(($B572+PARAM!$B$56)/12,Loyalty,2)*$F$1*MAX(BR571,0)</f>
        <v>18.557001321003963</v>
      </c>
      <c r="BQ572" s="75">
        <f>PARAM!$C$26+MAX($G$19-CHOOSE(PARAM!$B$44,MAX(0,BR571*$F$1),0),0)*RATES!$L548/12+$H$19*(PARAM!$D$51/12)*RATES!$N548/100</f>
        <v>191.66666666666666</v>
      </c>
      <c r="BR572" s="16">
        <f t="shared" si="386"/>
        <v>-16853.008970935105</v>
      </c>
      <c r="BS572" s="15">
        <f t="shared" si="361"/>
        <v>22.170849845882874</v>
      </c>
      <c r="BT572" s="75">
        <f>BS572*(1-PARAM!$C$27)*$I$20+(MOD($B572,60)=PARAM!$B$56)*($B572&gt;(60-PARAM!$B$56))*HLOOKUP(($B572+PARAM!$B$56)/12,Loyalty,2)*$F$1*MAX(BV571,0)</f>
        <v>18.557001321003963</v>
      </c>
      <c r="BU572" s="75">
        <f>PARAM!$C$26+MAX($G$20-CHOOSE(PARAM!$B$44,MAX(0,BV571*$F$1),0),0)*RATES!$L548/12+$H$20*(PARAM!$D$51/12)*RATES!$N548/100</f>
        <v>191.66666666666666</v>
      </c>
      <c r="BV572" s="16">
        <f t="shared" si="387"/>
        <v>-16853.008970935105</v>
      </c>
      <c r="BW572" s="15">
        <f t="shared" si="362"/>
        <v>22.170849845882874</v>
      </c>
      <c r="BX572" s="75">
        <f>BW572*(1-PARAM!$C$27)*$I$21+(MOD($B572,60)=PARAM!$B$56)*($B572&gt;(60-PARAM!$B$56))*HLOOKUP(($B572+PARAM!$B$56)/12,Loyalty,2)*$F$1*MAX(BZ571,0)</f>
        <v>18.557001321003963</v>
      </c>
      <c r="BY572" s="75">
        <f>PARAM!$C$26+MAX($G$21-CHOOSE(PARAM!$B$44,MAX(0,BZ571*$F$1),0),0)*RATES!$L548/12+$H$21*(PARAM!$D$51/12)*RATES!$N548/100</f>
        <v>191.66666666666666</v>
      </c>
      <c r="BZ572" s="16">
        <f t="shared" si="388"/>
        <v>-16853.008970935105</v>
      </c>
      <c r="CA572" s="15">
        <f t="shared" si="363"/>
        <v>22.170849845882874</v>
      </c>
      <c r="CB572" s="75">
        <f>CA572*(1-PARAM!$C$27)*$I$22+(MOD($B572,60)=PARAM!$B$56)*($B572&gt;(60-PARAM!$B$56))*HLOOKUP(($B572+PARAM!$B$56)/12,Loyalty,2)*$F$1*MAX(CD571,0)</f>
        <v>18.557001321003963</v>
      </c>
      <c r="CC572" s="75">
        <f>PARAM!$C$26+MAX($G$22-CHOOSE(PARAM!$B$44,MAX(0,CD571*$F$1),0),0)*RATES!$L548/12+$H$22*(PARAM!$D$51/12)*RATES!$N548/100</f>
        <v>191.66666666666666</v>
      </c>
      <c r="CD572" s="16">
        <f t="shared" si="389"/>
        <v>-16853.008970935105</v>
      </c>
      <c r="CE572" s="33">
        <f>IF(0=MOD(B572,12/PARAM!$D$51),1,0)</f>
        <v>1</v>
      </c>
      <c r="CF572" s="15">
        <f t="shared" si="364"/>
        <v>0</v>
      </c>
      <c r="CG572" s="75">
        <f>CF572*(1-PARAM!$C$27)*$R$3+(MOD($B572/12,5)=0)*($B572&gt;60)*HLOOKUP($B572/12,Loyalty,2)*$F$1*MAX(CI571,0)</f>
        <v>0</v>
      </c>
      <c r="CH572" s="75">
        <f>PARAM!$C$26+MAX($P$3-CHOOSE(PARAM!$B$44,MAX(0,CI571*$F$1),0),0)*RATES!$L548/12+$Q$3*(PARAM!$D$51/12)*RATES!$N548/100</f>
        <v>191.66666666666666</v>
      </c>
      <c r="CI572" s="16">
        <f>IF(CI571&gt;0,CI571*PARAM!$C$53,CI571)+CG572-CH572</f>
        <v>-26846.999999999982</v>
      </c>
      <c r="CJ572" s="15">
        <f t="shared" si="390"/>
        <v>0</v>
      </c>
      <c r="CK572" s="75">
        <f>CJ572*(1-PARAM!$C$27)*$R$4+(MOD($B572/12,5)=0)*($B572&gt;60)*HLOOKUP($B572/12,Loyalty,2)*$F$1*MAX(CM571,0)</f>
        <v>0</v>
      </c>
      <c r="CL572" s="75">
        <f>PARAM!$C$26+MAX($P$4-CHOOSE(PARAM!$B$44,MAX(0,CM571*$F$1),0),0)*RATES!$L548/12+$Q$4*(PARAM!$D$51/12)*RATES!$N548/100</f>
        <v>191.66666666666666</v>
      </c>
      <c r="CM572" s="16">
        <f>IF(CM571&gt;0,CM571*PARAM!$C$53,CM571)+CK572-CL572</f>
        <v>-26846.999999999982</v>
      </c>
      <c r="CO572" s="176"/>
    </row>
    <row r="573" spans="1:93" x14ac:dyDescent="0.2">
      <c r="A573" t="b">
        <f t="shared" si="365"/>
        <v>0</v>
      </c>
      <c r="B573" s="33">
        <v>546</v>
      </c>
      <c r="C573" s="15">
        <f t="shared" si="366"/>
        <v>20.081305947392778</v>
      </c>
      <c r="D573" s="75">
        <f>C573*(1-PARAM!$C$27)*$I$3+(MOD($B573,60)=PARAM!$B$56)*($B573&gt;(60-PARAM!$B$56))*HLOOKUP(($B573+PARAM!$B$56)/12,Loyalty,2)*$F$1*MAX(F572,0)</f>
        <v>16.808053077967756</v>
      </c>
      <c r="E573" s="75">
        <f>PARAM!$C$26+MAX($G$3-CHOOSE(PARAM!$B$44,MAX(0,F572*$F$1),0),0)*RATES!$L549/12+$H$3*(PARAM!$D$51/12)*RATES!$N549/100</f>
        <v>210.16666666666666</v>
      </c>
      <c r="F573" s="16">
        <f t="shared" si="367"/>
        <v>-18036.394877500024</v>
      </c>
      <c r="G573" s="15">
        <f t="shared" si="368"/>
        <v>22.035289406060361</v>
      </c>
      <c r="H573" s="75">
        <f>G573*(1-PARAM!$C$27)*$I$4+(MOD($B573,60)=PARAM!$B$56)*($B573&gt;(60-PARAM!$B$56))*HLOOKUP(($B573+PARAM!$B$56)/12,Loyalty,2)*$F$1*MAX(J572,0)</f>
        <v>18.443537232872522</v>
      </c>
      <c r="I573" s="75">
        <f>PARAM!$C$26+MAX($G$4-CHOOSE(PARAM!$B$44,MAX(0,J572*$F$1),0),0)*RATES!$L549/12+$H$4*(PARAM!$D$51/12)*RATES!$N549/100</f>
        <v>210.16666666666666</v>
      </c>
      <c r="J573" s="16">
        <f t="shared" si="369"/>
        <v>-17109.587564800335</v>
      </c>
      <c r="K573" s="15">
        <f t="shared" si="370"/>
        <v>22.170849845882874</v>
      </c>
      <c r="L573" s="75">
        <f>K573*(1-PARAM!$C$27)*$I$5+(MOD($B573,60)=PARAM!$B$56)*($B573&gt;(60-PARAM!$B$56))*HLOOKUP(($B573+PARAM!$B$56)/12,Loyalty,2)*$F$1*MAX(N572,0)</f>
        <v>18.557001321003963</v>
      </c>
      <c r="M573" s="75">
        <f>PARAM!$C$26+MAX($G$5-CHOOSE(PARAM!$B$44,MAX(0,N572*$F$1),0),0)*RATES!$L549/12+$H$5*(PARAM!$D$51/12)*RATES!$N549/100</f>
        <v>210.16666666666666</v>
      </c>
      <c r="N573" s="16">
        <f t="shared" si="371"/>
        <v>-17044.618636280768</v>
      </c>
      <c r="O573" s="15">
        <f t="shared" si="372"/>
        <v>22.170849845882874</v>
      </c>
      <c r="P573" s="75">
        <f>O573*(1-PARAM!$C$27)*$I$6+(MOD($B573,60)=PARAM!$B$56)*($B573&gt;(60-PARAM!$B$56))*HLOOKUP(($B573+PARAM!$B$56)/12,Loyalty,2)*$F$1*MAX(R572,0)</f>
        <v>18.557001321003963</v>
      </c>
      <c r="Q573" s="75">
        <f>PARAM!$C$26+MAX($G$6-CHOOSE(PARAM!$B$44,MAX(0,R572*$F$1),0),0)*RATES!$L549/12+$H$6*(PARAM!$D$51/12)*RATES!$N549/100</f>
        <v>210.16666666666666</v>
      </c>
      <c r="R573" s="16">
        <f t="shared" si="373"/>
        <v>-17044.618636280768</v>
      </c>
      <c r="S573" s="15">
        <f t="shared" si="348"/>
        <v>22.170849845882874</v>
      </c>
      <c r="T573" s="75">
        <f>S573*(1-PARAM!$C$27)*$I$7+(MOD($B573,60)=PARAM!$B$56)*($B573&gt;(60-PARAM!$B$56))*HLOOKUP(($B573+PARAM!$B$56)/12,Loyalty,2)*$F$1*MAX(V572,0)</f>
        <v>18.557001321003963</v>
      </c>
      <c r="U573" s="75">
        <f>PARAM!$C$26+MAX($G$7-CHOOSE(PARAM!$B$44,MAX(0,V572*$F$1),0),0)*RATES!$L549/12+$H$7*(PARAM!$D$51/12)*RATES!$N549/100</f>
        <v>210.16666666666666</v>
      </c>
      <c r="V573" s="16">
        <f t="shared" si="374"/>
        <v>-17044.618636280768</v>
      </c>
      <c r="W573" s="15">
        <f t="shared" si="349"/>
        <v>22.170849845882874</v>
      </c>
      <c r="X573" s="75">
        <f>W573*(1-PARAM!$C$27)*$I$8+(MOD($B573,60)=PARAM!$B$56)*($B573&gt;(60-PARAM!$B$56))*HLOOKUP(($B573+PARAM!$B$56)/12,Loyalty,2)*$F$1*MAX(Z572,0)</f>
        <v>18.557001321003963</v>
      </c>
      <c r="Y573" s="75">
        <f>PARAM!$C$26+MAX($G$8-CHOOSE(PARAM!$B$44,MAX(0,Z572*$F$1),0),0)*RATES!$L549/12+$H$8*(PARAM!$D$51/12)*RATES!$N549/100</f>
        <v>210.16666666666666</v>
      </c>
      <c r="Z573" s="16">
        <f t="shared" si="375"/>
        <v>-17044.618636280768</v>
      </c>
      <c r="AA573" s="15">
        <f t="shared" si="350"/>
        <v>22.170849845882874</v>
      </c>
      <c r="AB573" s="75">
        <f>AA573*(1-PARAM!$C$27)*$I$9+(MOD($B573,60)=PARAM!$B$56)*($B573&gt;(60-PARAM!$B$56))*HLOOKUP(($B573+PARAM!$B$56)/12,Loyalty,2)*$F$1*MAX(AD572,0)</f>
        <v>18.557001321003963</v>
      </c>
      <c r="AC573" s="75">
        <f>PARAM!$C$26+MAX($G$9-CHOOSE(PARAM!$B$44,MAX(0,AD572*$F$1),0),0)*RATES!$L549/12+$H$9*(PARAM!$D$51/12)*RATES!$N549/100</f>
        <v>210.16666666666666</v>
      </c>
      <c r="AD573" s="16">
        <f t="shared" si="376"/>
        <v>-17044.618636280768</v>
      </c>
      <c r="AE573" s="15">
        <f t="shared" si="351"/>
        <v>22.170849845882874</v>
      </c>
      <c r="AF573" s="75">
        <f>AE573*(1-PARAM!$C$27)*$I$10+(MOD($B573,60)=PARAM!$B$56)*($B573&gt;(60-PARAM!$B$56))*HLOOKUP(($B573+PARAM!$B$56)/12,Loyalty,2)*$F$1*MAX(AH572,0)</f>
        <v>18.557001321003963</v>
      </c>
      <c r="AG573" s="75">
        <f>PARAM!$C$26+MAX($G$10-CHOOSE(PARAM!$B$44,MAX(0,AH572*$F$1),0),0)*RATES!$L549/12+$H$10*(PARAM!$D$51/12)*RATES!$N549/100</f>
        <v>210.16666666666666</v>
      </c>
      <c r="AH573" s="16">
        <f t="shared" si="377"/>
        <v>-17044.618636280768</v>
      </c>
      <c r="AI573" s="15">
        <f t="shared" si="352"/>
        <v>22.170849845882874</v>
      </c>
      <c r="AJ573" s="75">
        <f>AI573*(1-PARAM!$C$27)*$I$11+(MOD($B573,60)=PARAM!$B$56)*($B573&gt;(60-PARAM!$B$56))*HLOOKUP(($B573+PARAM!$B$56)/12,Loyalty,2)*$F$1*MAX(AL572,0)</f>
        <v>18.557001321003963</v>
      </c>
      <c r="AK573" s="75">
        <f>PARAM!$C$26+MAX($G$11-CHOOSE(PARAM!$B$44,MAX(0,AL572*$F$1),0),0)*RATES!$L549/12+$H$11*(PARAM!$D$51/12)*RATES!$N549/100</f>
        <v>210.16666666666666</v>
      </c>
      <c r="AL573" s="16">
        <f t="shared" si="378"/>
        <v>-17044.618636280768</v>
      </c>
      <c r="AM573" s="15">
        <f t="shared" si="353"/>
        <v>22.170849845882874</v>
      </c>
      <c r="AN573" s="75">
        <f>AM573*(1-PARAM!$C$27)*$I$12+(MOD($B573,60)=PARAM!$B$56)*($B573&gt;(60-PARAM!$B$56))*HLOOKUP(($B573+PARAM!$B$56)/12,Loyalty,2)*$F$1*MAX(AP572,0)</f>
        <v>18.557001321003963</v>
      </c>
      <c r="AO573" s="75">
        <f>PARAM!$C$26+MAX($G$12-CHOOSE(PARAM!$B$44,MAX(0,AP572*$F$1),0),0)*RATES!$L549/12+$H$12*(PARAM!$D$51/12)*RATES!$N549/100</f>
        <v>210.16666666666666</v>
      </c>
      <c r="AP573" s="16">
        <f t="shared" si="379"/>
        <v>-17044.618636280768</v>
      </c>
      <c r="AQ573" s="15">
        <f t="shared" si="354"/>
        <v>22.170849845882874</v>
      </c>
      <c r="AR573" s="75">
        <f>AQ573*(1-PARAM!$C$27)*$I$13+(MOD($B573,60)=PARAM!$B$56)*($B573&gt;(60-PARAM!$B$56))*HLOOKUP(($B573+PARAM!$B$56)/12,Loyalty,2)*$F$1*MAX(AT572,0)</f>
        <v>18.557001321003963</v>
      </c>
      <c r="AS573" s="75">
        <f>PARAM!$C$26+MAX($G$13-CHOOSE(PARAM!$B$44,MAX(0,AT572*$F$1),0),0)*RATES!$L549/12+$H$13*(PARAM!$D$51/12)*RATES!$N549/100</f>
        <v>210.16666666666666</v>
      </c>
      <c r="AT573" s="16">
        <f t="shared" si="380"/>
        <v>-17044.618636280768</v>
      </c>
      <c r="AU573" s="15">
        <f t="shared" si="355"/>
        <v>22.170849845882874</v>
      </c>
      <c r="AV573" s="75">
        <f>AU573*(1-PARAM!$C$27)*$I$14+(MOD($B573,60)=PARAM!$B$56)*($B573&gt;(60-PARAM!$B$56))*HLOOKUP(($B573+PARAM!$B$56)/12,Loyalty,2)*$F$1*MAX(AX572,0)</f>
        <v>18.557001321003963</v>
      </c>
      <c r="AW573" s="75">
        <f>PARAM!$C$26+MAX($G$14-CHOOSE(PARAM!$B$44,MAX(0,AX572*$F$1),0),0)*RATES!$L549/12+$H$14*(PARAM!$D$51/12)*RATES!$N549/100</f>
        <v>210.16666666666666</v>
      </c>
      <c r="AX573" s="16">
        <f t="shared" si="381"/>
        <v>-17044.618636280768</v>
      </c>
      <c r="AY573" s="15">
        <f t="shared" si="356"/>
        <v>22.170849845882874</v>
      </c>
      <c r="AZ573" s="75">
        <f>AY573*(1-PARAM!$C$27)*$I$15+(MOD($B573,60)=PARAM!$B$56)*($B573&gt;(60-PARAM!$B$56))*HLOOKUP(($B573+PARAM!$B$56)/12,Loyalty,2)*$F$1*MAX(BB572,0)</f>
        <v>18.557001321003963</v>
      </c>
      <c r="BA573" s="75">
        <f>PARAM!$C$26+MAX($G$15-CHOOSE(PARAM!$B$44,MAX(0,BB572*$F$1),0),0)*RATES!$L549/12+$H$15*(PARAM!$D$51/12)*RATES!$N549/100</f>
        <v>210.16666666666666</v>
      </c>
      <c r="BB573" s="16">
        <f t="shared" si="382"/>
        <v>-17044.618636280768</v>
      </c>
      <c r="BC573" s="15">
        <f t="shared" si="357"/>
        <v>22.170849845882874</v>
      </c>
      <c r="BD573" s="75">
        <f>BC573*(1-PARAM!$C$27)*$I$16+(MOD($B573,60)=PARAM!$B$56)*($B573&gt;(60-PARAM!$B$56))*HLOOKUP(($B573+PARAM!$B$56)/12,Loyalty,2)*$F$1*MAX(BF572,0)</f>
        <v>18.557001321003963</v>
      </c>
      <c r="BE573" s="75">
        <f>PARAM!$C$26+MAX($G$16-CHOOSE(PARAM!$B$44,MAX(0,BF572*$F$1),0),0)*RATES!$L549/12+$H$16*(PARAM!$D$51/12)*RATES!$N549/100</f>
        <v>210.16666666666666</v>
      </c>
      <c r="BF573" s="16">
        <f t="shared" si="383"/>
        <v>-17044.618636280768</v>
      </c>
      <c r="BG573" s="15">
        <f t="shared" si="358"/>
        <v>22.170849845882874</v>
      </c>
      <c r="BH573" s="75">
        <f>BG573*(1-PARAM!$C$27)*$I$17+(MOD($B573,60)=PARAM!$B$56)*($B573&gt;(60-PARAM!$B$56))*HLOOKUP(($B573+PARAM!$B$56)/12,Loyalty,2)*$F$1*MAX(BJ572,0)</f>
        <v>18.557001321003963</v>
      </c>
      <c r="BI573" s="75">
        <f>PARAM!$C$26+MAX($G$17-CHOOSE(PARAM!$B$44,MAX(0,BJ572*$F$1),0),0)*RATES!$L549/12+$H$17*(PARAM!$D$51/12)*RATES!$N549/100</f>
        <v>210.16666666666666</v>
      </c>
      <c r="BJ573" s="16">
        <f t="shared" si="384"/>
        <v>-17044.618636280768</v>
      </c>
      <c r="BK573" s="15">
        <f t="shared" si="359"/>
        <v>22.170849845882874</v>
      </c>
      <c r="BL573" s="75">
        <f>BK573*(1-PARAM!$C$27)*$I$18+(MOD($B573,60)=PARAM!$B$56)*($B573&gt;(60-PARAM!$B$56))*HLOOKUP(($B573+PARAM!$B$56)/12,Loyalty,2)*$F$1*MAX(BN572,0)</f>
        <v>18.557001321003963</v>
      </c>
      <c r="BM573" s="75">
        <f>PARAM!$C$26+MAX($G$18-CHOOSE(PARAM!$B$44,MAX(0,BN572*$F$1),0),0)*RATES!$L549/12+$H$18*(PARAM!$D$51/12)*RATES!$N549/100</f>
        <v>210.16666666666666</v>
      </c>
      <c r="BN573" s="16">
        <f t="shared" si="385"/>
        <v>-17044.618636280768</v>
      </c>
      <c r="BO573" s="15">
        <f t="shared" si="360"/>
        <v>22.170849845882874</v>
      </c>
      <c r="BP573" s="75">
        <f>BO573*(1-PARAM!$C$27)*$I$19+(MOD($B573,60)=PARAM!$B$56)*($B573&gt;(60-PARAM!$B$56))*HLOOKUP(($B573+PARAM!$B$56)/12,Loyalty,2)*$F$1*MAX(BR572,0)</f>
        <v>18.557001321003963</v>
      </c>
      <c r="BQ573" s="75">
        <f>PARAM!$C$26+MAX($G$19-CHOOSE(PARAM!$B$44,MAX(0,BR572*$F$1),0),0)*RATES!$L549/12+$H$19*(PARAM!$D$51/12)*RATES!$N549/100</f>
        <v>210.16666666666666</v>
      </c>
      <c r="BR573" s="16">
        <f t="shared" si="386"/>
        <v>-17044.618636280768</v>
      </c>
      <c r="BS573" s="15">
        <f t="shared" si="361"/>
        <v>22.170849845882874</v>
      </c>
      <c r="BT573" s="75">
        <f>BS573*(1-PARAM!$C$27)*$I$20+(MOD($B573,60)=PARAM!$B$56)*($B573&gt;(60-PARAM!$B$56))*HLOOKUP(($B573+PARAM!$B$56)/12,Loyalty,2)*$F$1*MAX(BV572,0)</f>
        <v>18.557001321003963</v>
      </c>
      <c r="BU573" s="75">
        <f>PARAM!$C$26+MAX($G$20-CHOOSE(PARAM!$B$44,MAX(0,BV572*$F$1),0),0)*RATES!$L549/12+$H$20*(PARAM!$D$51/12)*RATES!$N549/100</f>
        <v>210.16666666666666</v>
      </c>
      <c r="BV573" s="16">
        <f t="shared" si="387"/>
        <v>-17044.618636280768</v>
      </c>
      <c r="BW573" s="15">
        <f t="shared" si="362"/>
        <v>22.170849845882874</v>
      </c>
      <c r="BX573" s="75">
        <f>BW573*(1-PARAM!$C$27)*$I$21+(MOD($B573,60)=PARAM!$B$56)*($B573&gt;(60-PARAM!$B$56))*HLOOKUP(($B573+PARAM!$B$56)/12,Loyalty,2)*$F$1*MAX(BZ572,0)</f>
        <v>18.557001321003963</v>
      </c>
      <c r="BY573" s="75">
        <f>PARAM!$C$26+MAX($G$21-CHOOSE(PARAM!$B$44,MAX(0,BZ572*$F$1),0),0)*RATES!$L549/12+$H$21*(PARAM!$D$51/12)*RATES!$N549/100</f>
        <v>210.16666666666666</v>
      </c>
      <c r="BZ573" s="16">
        <f t="shared" si="388"/>
        <v>-17044.618636280768</v>
      </c>
      <c r="CA573" s="15">
        <f t="shared" si="363"/>
        <v>22.170849845882874</v>
      </c>
      <c r="CB573" s="75">
        <f>CA573*(1-PARAM!$C$27)*$I$22+(MOD($B573,60)=PARAM!$B$56)*($B573&gt;(60-PARAM!$B$56))*HLOOKUP(($B573+PARAM!$B$56)/12,Loyalty,2)*$F$1*MAX(CD572,0)</f>
        <v>18.557001321003963</v>
      </c>
      <c r="CC573" s="75">
        <f>PARAM!$C$26+MAX($G$22-CHOOSE(PARAM!$B$44,MAX(0,CD572*$F$1),0),0)*RATES!$L549/12+$H$22*(PARAM!$D$51/12)*RATES!$N549/100</f>
        <v>210.16666666666666</v>
      </c>
      <c r="CD573" s="16">
        <f t="shared" si="389"/>
        <v>-17044.618636280768</v>
      </c>
      <c r="CE573" s="33">
        <f>IF(0=MOD(B573,12/PARAM!$D$51),1,0)</f>
        <v>1</v>
      </c>
      <c r="CF573" s="15">
        <f t="shared" si="364"/>
        <v>0</v>
      </c>
      <c r="CG573" s="75">
        <f>CF573*(1-PARAM!$C$27)*$R$3+(MOD($B573/12,5)=0)*($B573&gt;60)*HLOOKUP($B573/12,Loyalty,2)*$F$1*MAX(CI572,0)</f>
        <v>0</v>
      </c>
      <c r="CH573" s="75">
        <f>PARAM!$C$26+MAX($P$3-CHOOSE(PARAM!$B$44,MAX(0,CI572*$F$1),0),0)*RATES!$L549/12+$Q$3*(PARAM!$D$51/12)*RATES!$N549/100</f>
        <v>210.16666666666666</v>
      </c>
      <c r="CI573" s="16">
        <f>IF(CI572&gt;0,CI572*PARAM!$C$53,CI572)+CG573-CH573</f>
        <v>-27057.16666666665</v>
      </c>
      <c r="CJ573" s="15">
        <f t="shared" si="390"/>
        <v>0</v>
      </c>
      <c r="CK573" s="75">
        <f>CJ573*(1-PARAM!$C$27)*$R$4+(MOD($B573/12,5)=0)*($B573&gt;60)*HLOOKUP($B573/12,Loyalty,2)*$F$1*MAX(CM572,0)</f>
        <v>0</v>
      </c>
      <c r="CL573" s="75">
        <f>PARAM!$C$26+MAX($P$4-CHOOSE(PARAM!$B$44,MAX(0,CM572*$F$1),0),0)*RATES!$L549/12+$Q$4*(PARAM!$D$51/12)*RATES!$N549/100</f>
        <v>210.16666666666666</v>
      </c>
      <c r="CM573" s="16">
        <f>IF(CM572&gt;0,CM572*PARAM!$C$53,CM572)+CK573-CL573</f>
        <v>-27057.16666666665</v>
      </c>
      <c r="CO573" s="176"/>
    </row>
    <row r="574" spans="1:93" x14ac:dyDescent="0.2">
      <c r="A574" t="b">
        <f t="shared" si="365"/>
        <v>0</v>
      </c>
      <c r="B574" s="33">
        <v>547</v>
      </c>
      <c r="C574" s="15">
        <f t="shared" si="366"/>
        <v>20.081305947392778</v>
      </c>
      <c r="D574" s="75">
        <f>C574*(1-PARAM!$C$27)*$I$3+(MOD($B574,60)=PARAM!$B$56)*($B574&gt;(60-PARAM!$B$56))*HLOOKUP(($B574+PARAM!$B$56)/12,Loyalty,2)*$F$1*MAX(F573,0)</f>
        <v>16.808053077967756</v>
      </c>
      <c r="E574" s="75">
        <f>PARAM!$C$26+MAX($G$3-CHOOSE(PARAM!$B$44,MAX(0,F573*$F$1),0),0)*RATES!$L550/12+$H$3*(PARAM!$D$51/12)*RATES!$N550/100</f>
        <v>210.16666666666666</v>
      </c>
      <c r="F574" s="16">
        <f t="shared" si="367"/>
        <v>-18229.753491088726</v>
      </c>
      <c r="G574" s="15">
        <f t="shared" si="368"/>
        <v>22.035289406060361</v>
      </c>
      <c r="H574" s="75">
        <f>G574*(1-PARAM!$C$27)*$I$4+(MOD($B574,60)=PARAM!$B$56)*($B574&gt;(60-PARAM!$B$56))*HLOOKUP(($B574+PARAM!$B$56)/12,Loyalty,2)*$F$1*MAX(J573,0)</f>
        <v>18.443537232872522</v>
      </c>
      <c r="I574" s="75">
        <f>PARAM!$C$26+MAX($G$4-CHOOSE(PARAM!$B$44,MAX(0,J573*$F$1),0),0)*RATES!$L550/12+$H$4*(PARAM!$D$51/12)*RATES!$N550/100</f>
        <v>210.16666666666666</v>
      </c>
      <c r="J574" s="16">
        <f t="shared" si="369"/>
        <v>-17301.310694234129</v>
      </c>
      <c r="K574" s="15">
        <f t="shared" si="370"/>
        <v>22.170849845882874</v>
      </c>
      <c r="L574" s="75">
        <f>K574*(1-PARAM!$C$27)*$I$5+(MOD($B574,60)=PARAM!$B$56)*($B574&gt;(60-PARAM!$B$56))*HLOOKUP(($B574+PARAM!$B$56)/12,Loyalty,2)*$F$1*MAX(N573,0)</f>
        <v>18.557001321003963</v>
      </c>
      <c r="M574" s="75">
        <f>PARAM!$C$26+MAX($G$5-CHOOSE(PARAM!$B$44,MAX(0,N573*$F$1),0),0)*RATES!$L550/12+$H$5*(PARAM!$D$51/12)*RATES!$N550/100</f>
        <v>210.16666666666666</v>
      </c>
      <c r="N574" s="16">
        <f t="shared" si="371"/>
        <v>-17236.22830162643</v>
      </c>
      <c r="O574" s="15">
        <f t="shared" si="372"/>
        <v>22.170849845882874</v>
      </c>
      <c r="P574" s="75">
        <f>O574*(1-PARAM!$C$27)*$I$6+(MOD($B574,60)=PARAM!$B$56)*($B574&gt;(60-PARAM!$B$56))*HLOOKUP(($B574+PARAM!$B$56)/12,Loyalty,2)*$F$1*MAX(R573,0)</f>
        <v>18.557001321003963</v>
      </c>
      <c r="Q574" s="75">
        <f>PARAM!$C$26+MAX($G$6-CHOOSE(PARAM!$B$44,MAX(0,R573*$F$1),0),0)*RATES!$L550/12+$H$6*(PARAM!$D$51/12)*RATES!$N550/100</f>
        <v>210.16666666666666</v>
      </c>
      <c r="R574" s="16">
        <f t="shared" si="373"/>
        <v>-17236.22830162643</v>
      </c>
      <c r="S574" s="15">
        <f t="shared" si="348"/>
        <v>22.170849845882874</v>
      </c>
      <c r="T574" s="75">
        <f>S574*(1-PARAM!$C$27)*$I$7+(MOD($B574,60)=PARAM!$B$56)*($B574&gt;(60-PARAM!$B$56))*HLOOKUP(($B574+PARAM!$B$56)/12,Loyalty,2)*$F$1*MAX(V573,0)</f>
        <v>18.557001321003963</v>
      </c>
      <c r="U574" s="75">
        <f>PARAM!$C$26+MAX($G$7-CHOOSE(PARAM!$B$44,MAX(0,V573*$F$1),0),0)*RATES!$L550/12+$H$7*(PARAM!$D$51/12)*RATES!$N550/100</f>
        <v>210.16666666666666</v>
      </c>
      <c r="V574" s="16">
        <f t="shared" si="374"/>
        <v>-17236.22830162643</v>
      </c>
      <c r="W574" s="15">
        <f t="shared" si="349"/>
        <v>22.170849845882874</v>
      </c>
      <c r="X574" s="75">
        <f>W574*(1-PARAM!$C$27)*$I$8+(MOD($B574,60)=PARAM!$B$56)*($B574&gt;(60-PARAM!$B$56))*HLOOKUP(($B574+PARAM!$B$56)/12,Loyalty,2)*$F$1*MAX(Z573,0)</f>
        <v>18.557001321003963</v>
      </c>
      <c r="Y574" s="75">
        <f>PARAM!$C$26+MAX($G$8-CHOOSE(PARAM!$B$44,MAX(0,Z573*$F$1),0),0)*RATES!$L550/12+$H$8*(PARAM!$D$51/12)*RATES!$N550/100</f>
        <v>210.16666666666666</v>
      </c>
      <c r="Z574" s="16">
        <f t="shared" si="375"/>
        <v>-17236.22830162643</v>
      </c>
      <c r="AA574" s="15">
        <f t="shared" si="350"/>
        <v>22.170849845882874</v>
      </c>
      <c r="AB574" s="75">
        <f>AA574*(1-PARAM!$C$27)*$I$9+(MOD($B574,60)=PARAM!$B$56)*($B574&gt;(60-PARAM!$B$56))*HLOOKUP(($B574+PARAM!$B$56)/12,Loyalty,2)*$F$1*MAX(AD573,0)</f>
        <v>18.557001321003963</v>
      </c>
      <c r="AC574" s="75">
        <f>PARAM!$C$26+MAX($G$9-CHOOSE(PARAM!$B$44,MAX(0,AD573*$F$1),0),0)*RATES!$L550/12+$H$9*(PARAM!$D$51/12)*RATES!$N550/100</f>
        <v>210.16666666666666</v>
      </c>
      <c r="AD574" s="16">
        <f t="shared" si="376"/>
        <v>-17236.22830162643</v>
      </c>
      <c r="AE574" s="15">
        <f t="shared" si="351"/>
        <v>22.170849845882874</v>
      </c>
      <c r="AF574" s="75">
        <f>AE574*(1-PARAM!$C$27)*$I$10+(MOD($B574,60)=PARAM!$B$56)*($B574&gt;(60-PARAM!$B$56))*HLOOKUP(($B574+PARAM!$B$56)/12,Loyalty,2)*$F$1*MAX(AH573,0)</f>
        <v>18.557001321003963</v>
      </c>
      <c r="AG574" s="75">
        <f>PARAM!$C$26+MAX($G$10-CHOOSE(PARAM!$B$44,MAX(0,AH573*$F$1),0),0)*RATES!$L550/12+$H$10*(PARAM!$D$51/12)*RATES!$N550/100</f>
        <v>210.16666666666666</v>
      </c>
      <c r="AH574" s="16">
        <f t="shared" si="377"/>
        <v>-17236.22830162643</v>
      </c>
      <c r="AI574" s="15">
        <f t="shared" si="352"/>
        <v>22.170849845882874</v>
      </c>
      <c r="AJ574" s="75">
        <f>AI574*(1-PARAM!$C$27)*$I$11+(MOD($B574,60)=PARAM!$B$56)*($B574&gt;(60-PARAM!$B$56))*HLOOKUP(($B574+PARAM!$B$56)/12,Loyalty,2)*$F$1*MAX(AL573,0)</f>
        <v>18.557001321003963</v>
      </c>
      <c r="AK574" s="75">
        <f>PARAM!$C$26+MAX($G$11-CHOOSE(PARAM!$B$44,MAX(0,AL573*$F$1),0),0)*RATES!$L550/12+$H$11*(PARAM!$D$51/12)*RATES!$N550/100</f>
        <v>210.16666666666666</v>
      </c>
      <c r="AL574" s="16">
        <f t="shared" si="378"/>
        <v>-17236.22830162643</v>
      </c>
      <c r="AM574" s="15">
        <f t="shared" si="353"/>
        <v>22.170849845882874</v>
      </c>
      <c r="AN574" s="75">
        <f>AM574*(1-PARAM!$C$27)*$I$12+(MOD($B574,60)=PARAM!$B$56)*($B574&gt;(60-PARAM!$B$56))*HLOOKUP(($B574+PARAM!$B$56)/12,Loyalty,2)*$F$1*MAX(AP573,0)</f>
        <v>18.557001321003963</v>
      </c>
      <c r="AO574" s="75">
        <f>PARAM!$C$26+MAX($G$12-CHOOSE(PARAM!$B$44,MAX(0,AP573*$F$1),0),0)*RATES!$L550/12+$H$12*(PARAM!$D$51/12)*RATES!$N550/100</f>
        <v>210.16666666666666</v>
      </c>
      <c r="AP574" s="16">
        <f t="shared" si="379"/>
        <v>-17236.22830162643</v>
      </c>
      <c r="AQ574" s="15">
        <f t="shared" si="354"/>
        <v>22.170849845882874</v>
      </c>
      <c r="AR574" s="75">
        <f>AQ574*(1-PARAM!$C$27)*$I$13+(MOD($B574,60)=PARAM!$B$56)*($B574&gt;(60-PARAM!$B$56))*HLOOKUP(($B574+PARAM!$B$56)/12,Loyalty,2)*$F$1*MAX(AT573,0)</f>
        <v>18.557001321003963</v>
      </c>
      <c r="AS574" s="75">
        <f>PARAM!$C$26+MAX($G$13-CHOOSE(PARAM!$B$44,MAX(0,AT573*$F$1),0),0)*RATES!$L550/12+$H$13*(PARAM!$D$51/12)*RATES!$N550/100</f>
        <v>210.16666666666666</v>
      </c>
      <c r="AT574" s="16">
        <f t="shared" si="380"/>
        <v>-17236.22830162643</v>
      </c>
      <c r="AU574" s="15">
        <f t="shared" si="355"/>
        <v>22.170849845882874</v>
      </c>
      <c r="AV574" s="75">
        <f>AU574*(1-PARAM!$C$27)*$I$14+(MOD($B574,60)=PARAM!$B$56)*($B574&gt;(60-PARAM!$B$56))*HLOOKUP(($B574+PARAM!$B$56)/12,Loyalty,2)*$F$1*MAX(AX573,0)</f>
        <v>18.557001321003963</v>
      </c>
      <c r="AW574" s="75">
        <f>PARAM!$C$26+MAX($G$14-CHOOSE(PARAM!$B$44,MAX(0,AX573*$F$1),0),0)*RATES!$L550/12+$H$14*(PARAM!$D$51/12)*RATES!$N550/100</f>
        <v>210.16666666666666</v>
      </c>
      <c r="AX574" s="16">
        <f t="shared" si="381"/>
        <v>-17236.22830162643</v>
      </c>
      <c r="AY574" s="15">
        <f t="shared" si="356"/>
        <v>22.170849845882874</v>
      </c>
      <c r="AZ574" s="75">
        <f>AY574*(1-PARAM!$C$27)*$I$15+(MOD($B574,60)=PARAM!$B$56)*($B574&gt;(60-PARAM!$B$56))*HLOOKUP(($B574+PARAM!$B$56)/12,Loyalty,2)*$F$1*MAX(BB573,0)</f>
        <v>18.557001321003963</v>
      </c>
      <c r="BA574" s="75">
        <f>PARAM!$C$26+MAX($G$15-CHOOSE(PARAM!$B$44,MAX(0,BB573*$F$1),0),0)*RATES!$L550/12+$H$15*(PARAM!$D$51/12)*RATES!$N550/100</f>
        <v>210.16666666666666</v>
      </c>
      <c r="BB574" s="16">
        <f t="shared" si="382"/>
        <v>-17236.22830162643</v>
      </c>
      <c r="BC574" s="15">
        <f t="shared" si="357"/>
        <v>22.170849845882874</v>
      </c>
      <c r="BD574" s="75">
        <f>BC574*(1-PARAM!$C$27)*$I$16+(MOD($B574,60)=PARAM!$B$56)*($B574&gt;(60-PARAM!$B$56))*HLOOKUP(($B574+PARAM!$B$56)/12,Loyalty,2)*$F$1*MAX(BF573,0)</f>
        <v>18.557001321003963</v>
      </c>
      <c r="BE574" s="75">
        <f>PARAM!$C$26+MAX($G$16-CHOOSE(PARAM!$B$44,MAX(0,BF573*$F$1),0),0)*RATES!$L550/12+$H$16*(PARAM!$D$51/12)*RATES!$N550/100</f>
        <v>210.16666666666666</v>
      </c>
      <c r="BF574" s="16">
        <f t="shared" si="383"/>
        <v>-17236.22830162643</v>
      </c>
      <c r="BG574" s="15">
        <f t="shared" si="358"/>
        <v>22.170849845882874</v>
      </c>
      <c r="BH574" s="75">
        <f>BG574*(1-PARAM!$C$27)*$I$17+(MOD($B574,60)=PARAM!$B$56)*($B574&gt;(60-PARAM!$B$56))*HLOOKUP(($B574+PARAM!$B$56)/12,Loyalty,2)*$F$1*MAX(BJ573,0)</f>
        <v>18.557001321003963</v>
      </c>
      <c r="BI574" s="75">
        <f>PARAM!$C$26+MAX($G$17-CHOOSE(PARAM!$B$44,MAX(0,BJ573*$F$1),0),0)*RATES!$L550/12+$H$17*(PARAM!$D$51/12)*RATES!$N550/100</f>
        <v>210.16666666666666</v>
      </c>
      <c r="BJ574" s="16">
        <f t="shared" si="384"/>
        <v>-17236.22830162643</v>
      </c>
      <c r="BK574" s="15">
        <f t="shared" si="359"/>
        <v>22.170849845882874</v>
      </c>
      <c r="BL574" s="75">
        <f>BK574*(1-PARAM!$C$27)*$I$18+(MOD($B574,60)=PARAM!$B$56)*($B574&gt;(60-PARAM!$B$56))*HLOOKUP(($B574+PARAM!$B$56)/12,Loyalty,2)*$F$1*MAX(BN573,0)</f>
        <v>18.557001321003963</v>
      </c>
      <c r="BM574" s="75">
        <f>PARAM!$C$26+MAX($G$18-CHOOSE(PARAM!$B$44,MAX(0,BN573*$F$1),0),0)*RATES!$L550/12+$H$18*(PARAM!$D$51/12)*RATES!$N550/100</f>
        <v>210.16666666666666</v>
      </c>
      <c r="BN574" s="16">
        <f t="shared" si="385"/>
        <v>-17236.22830162643</v>
      </c>
      <c r="BO574" s="15">
        <f t="shared" si="360"/>
        <v>22.170849845882874</v>
      </c>
      <c r="BP574" s="75">
        <f>BO574*(1-PARAM!$C$27)*$I$19+(MOD($B574,60)=PARAM!$B$56)*($B574&gt;(60-PARAM!$B$56))*HLOOKUP(($B574+PARAM!$B$56)/12,Loyalty,2)*$F$1*MAX(BR573,0)</f>
        <v>18.557001321003963</v>
      </c>
      <c r="BQ574" s="75">
        <f>PARAM!$C$26+MAX($G$19-CHOOSE(PARAM!$B$44,MAX(0,BR573*$F$1),0),0)*RATES!$L550/12+$H$19*(PARAM!$D$51/12)*RATES!$N550/100</f>
        <v>210.16666666666666</v>
      </c>
      <c r="BR574" s="16">
        <f t="shared" si="386"/>
        <v>-17236.22830162643</v>
      </c>
      <c r="BS574" s="15">
        <f t="shared" si="361"/>
        <v>22.170849845882874</v>
      </c>
      <c r="BT574" s="75">
        <f>BS574*(1-PARAM!$C$27)*$I$20+(MOD($B574,60)=PARAM!$B$56)*($B574&gt;(60-PARAM!$B$56))*HLOOKUP(($B574+PARAM!$B$56)/12,Loyalty,2)*$F$1*MAX(BV573,0)</f>
        <v>18.557001321003963</v>
      </c>
      <c r="BU574" s="75">
        <f>PARAM!$C$26+MAX($G$20-CHOOSE(PARAM!$B$44,MAX(0,BV573*$F$1),0),0)*RATES!$L550/12+$H$20*(PARAM!$D$51/12)*RATES!$N550/100</f>
        <v>210.16666666666666</v>
      </c>
      <c r="BV574" s="16">
        <f t="shared" si="387"/>
        <v>-17236.22830162643</v>
      </c>
      <c r="BW574" s="15">
        <f t="shared" si="362"/>
        <v>22.170849845882874</v>
      </c>
      <c r="BX574" s="75">
        <f>BW574*(1-PARAM!$C$27)*$I$21+(MOD($B574,60)=PARAM!$B$56)*($B574&gt;(60-PARAM!$B$56))*HLOOKUP(($B574+PARAM!$B$56)/12,Loyalty,2)*$F$1*MAX(BZ573,0)</f>
        <v>18.557001321003963</v>
      </c>
      <c r="BY574" s="75">
        <f>PARAM!$C$26+MAX($G$21-CHOOSE(PARAM!$B$44,MAX(0,BZ573*$F$1),0),0)*RATES!$L550/12+$H$21*(PARAM!$D$51/12)*RATES!$N550/100</f>
        <v>210.16666666666666</v>
      </c>
      <c r="BZ574" s="16">
        <f t="shared" si="388"/>
        <v>-17236.22830162643</v>
      </c>
      <c r="CA574" s="15">
        <f t="shared" si="363"/>
        <v>22.170849845882874</v>
      </c>
      <c r="CB574" s="75">
        <f>CA574*(1-PARAM!$C$27)*$I$22+(MOD($B574,60)=PARAM!$B$56)*($B574&gt;(60-PARAM!$B$56))*HLOOKUP(($B574+PARAM!$B$56)/12,Loyalty,2)*$F$1*MAX(CD573,0)</f>
        <v>18.557001321003963</v>
      </c>
      <c r="CC574" s="75">
        <f>PARAM!$C$26+MAX($G$22-CHOOSE(PARAM!$B$44,MAX(0,CD573*$F$1),0),0)*RATES!$L550/12+$H$22*(PARAM!$D$51/12)*RATES!$N550/100</f>
        <v>210.16666666666666</v>
      </c>
      <c r="CD574" s="16">
        <f t="shared" si="389"/>
        <v>-17236.22830162643</v>
      </c>
      <c r="CE574" s="33">
        <f>IF(0=MOD(B574,12/PARAM!$D$51),1,0)</f>
        <v>1</v>
      </c>
      <c r="CF574" s="15">
        <f t="shared" si="364"/>
        <v>0</v>
      </c>
      <c r="CG574" s="75">
        <f>CF574*(1-PARAM!$C$27)*$R$3+(MOD($B574/12,5)=0)*($B574&gt;60)*HLOOKUP($B574/12,Loyalty,2)*$F$1*MAX(CI573,0)</f>
        <v>0</v>
      </c>
      <c r="CH574" s="75">
        <f>PARAM!$C$26+MAX($P$3-CHOOSE(PARAM!$B$44,MAX(0,CI573*$F$1),0),0)*RATES!$L550/12+$Q$3*(PARAM!$D$51/12)*RATES!$N550/100</f>
        <v>210.16666666666666</v>
      </c>
      <c r="CI574" s="16">
        <f>IF(CI573&gt;0,CI573*PARAM!$C$53,CI573)+CG574-CH574</f>
        <v>-27267.333333333318</v>
      </c>
      <c r="CJ574" s="15">
        <f t="shared" si="390"/>
        <v>0</v>
      </c>
      <c r="CK574" s="75">
        <f>CJ574*(1-PARAM!$C$27)*$R$4+(MOD($B574/12,5)=0)*($B574&gt;60)*HLOOKUP($B574/12,Loyalty,2)*$F$1*MAX(CM573,0)</f>
        <v>0</v>
      </c>
      <c r="CL574" s="75">
        <f>PARAM!$C$26+MAX($P$4-CHOOSE(PARAM!$B$44,MAX(0,CM573*$F$1),0),0)*RATES!$L550/12+$Q$4*(PARAM!$D$51/12)*RATES!$N550/100</f>
        <v>210.16666666666666</v>
      </c>
      <c r="CM574" s="16">
        <f>IF(CM573&gt;0,CM573*PARAM!$C$53,CM573)+CK574-CL574</f>
        <v>-27267.333333333318</v>
      </c>
      <c r="CO574" s="176"/>
    </row>
    <row r="575" spans="1:93" x14ac:dyDescent="0.2">
      <c r="A575" t="b">
        <f t="shared" si="365"/>
        <v>0</v>
      </c>
      <c r="B575" s="33">
        <v>548</v>
      </c>
      <c r="C575" s="15">
        <f t="shared" si="366"/>
        <v>20.081305947392778</v>
      </c>
      <c r="D575" s="75">
        <f>C575*(1-PARAM!$C$27)*$I$3+(MOD($B575,60)=PARAM!$B$56)*($B575&gt;(60-PARAM!$B$56))*HLOOKUP(($B575+PARAM!$B$56)/12,Loyalty,2)*$F$1*MAX(F574,0)</f>
        <v>16.808053077967756</v>
      </c>
      <c r="E575" s="75">
        <f>PARAM!$C$26+MAX($G$3-CHOOSE(PARAM!$B$44,MAX(0,F574*$F$1),0),0)*RATES!$L551/12+$H$3*(PARAM!$D$51/12)*RATES!$N551/100</f>
        <v>210.16666666666666</v>
      </c>
      <c r="F575" s="16">
        <f t="shared" si="367"/>
        <v>-18423.112104677428</v>
      </c>
      <c r="G575" s="15">
        <f t="shared" si="368"/>
        <v>22.035289406060361</v>
      </c>
      <c r="H575" s="75">
        <f>G575*(1-PARAM!$C$27)*$I$4+(MOD($B575,60)=PARAM!$B$56)*($B575&gt;(60-PARAM!$B$56))*HLOOKUP(($B575+PARAM!$B$56)/12,Loyalty,2)*$F$1*MAX(J574,0)</f>
        <v>18.443537232872522</v>
      </c>
      <c r="I575" s="75">
        <f>PARAM!$C$26+MAX($G$4-CHOOSE(PARAM!$B$44,MAX(0,J574*$F$1),0),0)*RATES!$L551/12+$H$4*(PARAM!$D$51/12)*RATES!$N551/100</f>
        <v>210.16666666666666</v>
      </c>
      <c r="J575" s="16">
        <f t="shared" si="369"/>
        <v>-17493.033823667924</v>
      </c>
      <c r="K575" s="15">
        <f t="shared" si="370"/>
        <v>22.170849845882874</v>
      </c>
      <c r="L575" s="75">
        <f>K575*(1-PARAM!$C$27)*$I$5+(MOD($B575,60)=PARAM!$B$56)*($B575&gt;(60-PARAM!$B$56))*HLOOKUP(($B575+PARAM!$B$56)/12,Loyalty,2)*$F$1*MAX(N574,0)</f>
        <v>18.557001321003963</v>
      </c>
      <c r="M575" s="75">
        <f>PARAM!$C$26+MAX($G$5-CHOOSE(PARAM!$B$44,MAX(0,N574*$F$1),0),0)*RATES!$L551/12+$H$5*(PARAM!$D$51/12)*RATES!$N551/100</f>
        <v>210.16666666666666</v>
      </c>
      <c r="N575" s="16">
        <f t="shared" si="371"/>
        <v>-17427.837966972093</v>
      </c>
      <c r="O575" s="15">
        <f t="shared" si="372"/>
        <v>22.170849845882874</v>
      </c>
      <c r="P575" s="75">
        <f>O575*(1-PARAM!$C$27)*$I$6+(MOD($B575,60)=PARAM!$B$56)*($B575&gt;(60-PARAM!$B$56))*HLOOKUP(($B575+PARAM!$B$56)/12,Loyalty,2)*$F$1*MAX(R574,0)</f>
        <v>18.557001321003963</v>
      </c>
      <c r="Q575" s="75">
        <f>PARAM!$C$26+MAX($G$6-CHOOSE(PARAM!$B$44,MAX(0,R574*$F$1),0),0)*RATES!$L551/12+$H$6*(PARAM!$D$51/12)*RATES!$N551/100</f>
        <v>210.16666666666666</v>
      </c>
      <c r="R575" s="16">
        <f t="shared" si="373"/>
        <v>-17427.837966972093</v>
      </c>
      <c r="S575" s="15">
        <f t="shared" si="348"/>
        <v>22.170849845882874</v>
      </c>
      <c r="T575" s="75">
        <f>S575*(1-PARAM!$C$27)*$I$7+(MOD($B575,60)=PARAM!$B$56)*($B575&gt;(60-PARAM!$B$56))*HLOOKUP(($B575+PARAM!$B$56)/12,Loyalty,2)*$F$1*MAX(V574,0)</f>
        <v>18.557001321003963</v>
      </c>
      <c r="U575" s="75">
        <f>PARAM!$C$26+MAX($G$7-CHOOSE(PARAM!$B$44,MAX(0,V574*$F$1),0),0)*RATES!$L551/12+$H$7*(PARAM!$D$51/12)*RATES!$N551/100</f>
        <v>210.16666666666666</v>
      </c>
      <c r="V575" s="16">
        <f t="shared" si="374"/>
        <v>-17427.837966972093</v>
      </c>
      <c r="W575" s="15">
        <f t="shared" si="349"/>
        <v>22.170849845882874</v>
      </c>
      <c r="X575" s="75">
        <f>W575*(1-PARAM!$C$27)*$I$8+(MOD($B575,60)=PARAM!$B$56)*($B575&gt;(60-PARAM!$B$56))*HLOOKUP(($B575+PARAM!$B$56)/12,Loyalty,2)*$F$1*MAX(Z574,0)</f>
        <v>18.557001321003963</v>
      </c>
      <c r="Y575" s="75">
        <f>PARAM!$C$26+MAX($G$8-CHOOSE(PARAM!$B$44,MAX(0,Z574*$F$1),0),0)*RATES!$L551/12+$H$8*(PARAM!$D$51/12)*RATES!$N551/100</f>
        <v>210.16666666666666</v>
      </c>
      <c r="Z575" s="16">
        <f t="shared" si="375"/>
        <v>-17427.837966972093</v>
      </c>
      <c r="AA575" s="15">
        <f t="shared" si="350"/>
        <v>22.170849845882874</v>
      </c>
      <c r="AB575" s="75">
        <f>AA575*(1-PARAM!$C$27)*$I$9+(MOD($B575,60)=PARAM!$B$56)*($B575&gt;(60-PARAM!$B$56))*HLOOKUP(($B575+PARAM!$B$56)/12,Loyalty,2)*$F$1*MAX(AD574,0)</f>
        <v>18.557001321003963</v>
      </c>
      <c r="AC575" s="75">
        <f>PARAM!$C$26+MAX($G$9-CHOOSE(PARAM!$B$44,MAX(0,AD574*$F$1),0),0)*RATES!$L551/12+$H$9*(PARAM!$D$51/12)*RATES!$N551/100</f>
        <v>210.16666666666666</v>
      </c>
      <c r="AD575" s="16">
        <f t="shared" si="376"/>
        <v>-17427.837966972093</v>
      </c>
      <c r="AE575" s="15">
        <f t="shared" si="351"/>
        <v>22.170849845882874</v>
      </c>
      <c r="AF575" s="75">
        <f>AE575*(1-PARAM!$C$27)*$I$10+(MOD($B575,60)=PARAM!$B$56)*($B575&gt;(60-PARAM!$B$56))*HLOOKUP(($B575+PARAM!$B$56)/12,Loyalty,2)*$F$1*MAX(AH574,0)</f>
        <v>18.557001321003963</v>
      </c>
      <c r="AG575" s="75">
        <f>PARAM!$C$26+MAX($G$10-CHOOSE(PARAM!$B$44,MAX(0,AH574*$F$1),0),0)*RATES!$L551/12+$H$10*(PARAM!$D$51/12)*RATES!$N551/100</f>
        <v>210.16666666666666</v>
      </c>
      <c r="AH575" s="16">
        <f t="shared" si="377"/>
        <v>-17427.837966972093</v>
      </c>
      <c r="AI575" s="15">
        <f t="shared" si="352"/>
        <v>22.170849845882874</v>
      </c>
      <c r="AJ575" s="75">
        <f>AI575*(1-PARAM!$C$27)*$I$11+(MOD($B575,60)=PARAM!$B$56)*($B575&gt;(60-PARAM!$B$56))*HLOOKUP(($B575+PARAM!$B$56)/12,Loyalty,2)*$F$1*MAX(AL574,0)</f>
        <v>18.557001321003963</v>
      </c>
      <c r="AK575" s="75">
        <f>PARAM!$C$26+MAX($G$11-CHOOSE(PARAM!$B$44,MAX(0,AL574*$F$1),0),0)*RATES!$L551/12+$H$11*(PARAM!$D$51/12)*RATES!$N551/100</f>
        <v>210.16666666666666</v>
      </c>
      <c r="AL575" s="16">
        <f t="shared" si="378"/>
        <v>-17427.837966972093</v>
      </c>
      <c r="AM575" s="15">
        <f t="shared" si="353"/>
        <v>22.170849845882874</v>
      </c>
      <c r="AN575" s="75">
        <f>AM575*(1-PARAM!$C$27)*$I$12+(MOD($B575,60)=PARAM!$B$56)*($B575&gt;(60-PARAM!$B$56))*HLOOKUP(($B575+PARAM!$B$56)/12,Loyalty,2)*$F$1*MAX(AP574,0)</f>
        <v>18.557001321003963</v>
      </c>
      <c r="AO575" s="75">
        <f>PARAM!$C$26+MAX($G$12-CHOOSE(PARAM!$B$44,MAX(0,AP574*$F$1),0),0)*RATES!$L551/12+$H$12*(PARAM!$D$51/12)*RATES!$N551/100</f>
        <v>210.16666666666666</v>
      </c>
      <c r="AP575" s="16">
        <f t="shared" si="379"/>
        <v>-17427.837966972093</v>
      </c>
      <c r="AQ575" s="15">
        <f t="shared" si="354"/>
        <v>22.170849845882874</v>
      </c>
      <c r="AR575" s="75">
        <f>AQ575*(1-PARAM!$C$27)*$I$13+(MOD($B575,60)=PARAM!$B$56)*($B575&gt;(60-PARAM!$B$56))*HLOOKUP(($B575+PARAM!$B$56)/12,Loyalty,2)*$F$1*MAX(AT574,0)</f>
        <v>18.557001321003963</v>
      </c>
      <c r="AS575" s="75">
        <f>PARAM!$C$26+MAX($G$13-CHOOSE(PARAM!$B$44,MAX(0,AT574*$F$1),0),0)*RATES!$L551/12+$H$13*(PARAM!$D$51/12)*RATES!$N551/100</f>
        <v>210.16666666666666</v>
      </c>
      <c r="AT575" s="16">
        <f t="shared" si="380"/>
        <v>-17427.837966972093</v>
      </c>
      <c r="AU575" s="15">
        <f t="shared" si="355"/>
        <v>22.170849845882874</v>
      </c>
      <c r="AV575" s="75">
        <f>AU575*(1-PARAM!$C$27)*$I$14+(MOD($B575,60)=PARAM!$B$56)*($B575&gt;(60-PARAM!$B$56))*HLOOKUP(($B575+PARAM!$B$56)/12,Loyalty,2)*$F$1*MAX(AX574,0)</f>
        <v>18.557001321003963</v>
      </c>
      <c r="AW575" s="75">
        <f>PARAM!$C$26+MAX($G$14-CHOOSE(PARAM!$B$44,MAX(0,AX574*$F$1),0),0)*RATES!$L551/12+$H$14*(PARAM!$D$51/12)*RATES!$N551/100</f>
        <v>210.16666666666666</v>
      </c>
      <c r="AX575" s="16">
        <f t="shared" si="381"/>
        <v>-17427.837966972093</v>
      </c>
      <c r="AY575" s="15">
        <f t="shared" si="356"/>
        <v>22.170849845882874</v>
      </c>
      <c r="AZ575" s="75">
        <f>AY575*(1-PARAM!$C$27)*$I$15+(MOD($B575,60)=PARAM!$B$56)*($B575&gt;(60-PARAM!$B$56))*HLOOKUP(($B575+PARAM!$B$56)/12,Loyalty,2)*$F$1*MAX(BB574,0)</f>
        <v>18.557001321003963</v>
      </c>
      <c r="BA575" s="75">
        <f>PARAM!$C$26+MAX($G$15-CHOOSE(PARAM!$B$44,MAX(0,BB574*$F$1),0),0)*RATES!$L551/12+$H$15*(PARAM!$D$51/12)*RATES!$N551/100</f>
        <v>210.16666666666666</v>
      </c>
      <c r="BB575" s="16">
        <f t="shared" si="382"/>
        <v>-17427.837966972093</v>
      </c>
      <c r="BC575" s="15">
        <f t="shared" si="357"/>
        <v>22.170849845882874</v>
      </c>
      <c r="BD575" s="75">
        <f>BC575*(1-PARAM!$C$27)*$I$16+(MOD($B575,60)=PARAM!$B$56)*($B575&gt;(60-PARAM!$B$56))*HLOOKUP(($B575+PARAM!$B$56)/12,Loyalty,2)*$F$1*MAX(BF574,0)</f>
        <v>18.557001321003963</v>
      </c>
      <c r="BE575" s="75">
        <f>PARAM!$C$26+MAX($G$16-CHOOSE(PARAM!$B$44,MAX(0,BF574*$F$1),0),0)*RATES!$L551/12+$H$16*(PARAM!$D$51/12)*RATES!$N551/100</f>
        <v>210.16666666666666</v>
      </c>
      <c r="BF575" s="16">
        <f t="shared" si="383"/>
        <v>-17427.837966972093</v>
      </c>
      <c r="BG575" s="15">
        <f t="shared" si="358"/>
        <v>22.170849845882874</v>
      </c>
      <c r="BH575" s="75">
        <f>BG575*(1-PARAM!$C$27)*$I$17+(MOD($B575,60)=PARAM!$B$56)*($B575&gt;(60-PARAM!$B$56))*HLOOKUP(($B575+PARAM!$B$56)/12,Loyalty,2)*$F$1*MAX(BJ574,0)</f>
        <v>18.557001321003963</v>
      </c>
      <c r="BI575" s="75">
        <f>PARAM!$C$26+MAX($G$17-CHOOSE(PARAM!$B$44,MAX(0,BJ574*$F$1),0),0)*RATES!$L551/12+$H$17*(PARAM!$D$51/12)*RATES!$N551/100</f>
        <v>210.16666666666666</v>
      </c>
      <c r="BJ575" s="16">
        <f t="shared" si="384"/>
        <v>-17427.837966972093</v>
      </c>
      <c r="BK575" s="15">
        <f t="shared" si="359"/>
        <v>22.170849845882874</v>
      </c>
      <c r="BL575" s="75">
        <f>BK575*(1-PARAM!$C$27)*$I$18+(MOD($B575,60)=PARAM!$B$56)*($B575&gt;(60-PARAM!$B$56))*HLOOKUP(($B575+PARAM!$B$56)/12,Loyalty,2)*$F$1*MAX(BN574,0)</f>
        <v>18.557001321003963</v>
      </c>
      <c r="BM575" s="75">
        <f>PARAM!$C$26+MAX($G$18-CHOOSE(PARAM!$B$44,MAX(0,BN574*$F$1),0),0)*RATES!$L551/12+$H$18*(PARAM!$D$51/12)*RATES!$N551/100</f>
        <v>210.16666666666666</v>
      </c>
      <c r="BN575" s="16">
        <f t="shared" si="385"/>
        <v>-17427.837966972093</v>
      </c>
      <c r="BO575" s="15">
        <f t="shared" si="360"/>
        <v>22.170849845882874</v>
      </c>
      <c r="BP575" s="75">
        <f>BO575*(1-PARAM!$C$27)*$I$19+(MOD($B575,60)=PARAM!$B$56)*($B575&gt;(60-PARAM!$B$56))*HLOOKUP(($B575+PARAM!$B$56)/12,Loyalty,2)*$F$1*MAX(BR574,0)</f>
        <v>18.557001321003963</v>
      </c>
      <c r="BQ575" s="75">
        <f>PARAM!$C$26+MAX($G$19-CHOOSE(PARAM!$B$44,MAX(0,BR574*$F$1),0),0)*RATES!$L551/12+$H$19*(PARAM!$D$51/12)*RATES!$N551/100</f>
        <v>210.16666666666666</v>
      </c>
      <c r="BR575" s="16">
        <f t="shared" si="386"/>
        <v>-17427.837966972093</v>
      </c>
      <c r="BS575" s="15">
        <f t="shared" si="361"/>
        <v>22.170849845882874</v>
      </c>
      <c r="BT575" s="75">
        <f>BS575*(1-PARAM!$C$27)*$I$20+(MOD($B575,60)=PARAM!$B$56)*($B575&gt;(60-PARAM!$B$56))*HLOOKUP(($B575+PARAM!$B$56)/12,Loyalty,2)*$F$1*MAX(BV574,0)</f>
        <v>18.557001321003963</v>
      </c>
      <c r="BU575" s="75">
        <f>PARAM!$C$26+MAX($G$20-CHOOSE(PARAM!$B$44,MAX(0,BV574*$F$1),0),0)*RATES!$L551/12+$H$20*(PARAM!$D$51/12)*RATES!$N551/100</f>
        <v>210.16666666666666</v>
      </c>
      <c r="BV575" s="16">
        <f t="shared" si="387"/>
        <v>-17427.837966972093</v>
      </c>
      <c r="BW575" s="15">
        <f t="shared" si="362"/>
        <v>22.170849845882874</v>
      </c>
      <c r="BX575" s="75">
        <f>BW575*(1-PARAM!$C$27)*$I$21+(MOD($B575,60)=PARAM!$B$56)*($B575&gt;(60-PARAM!$B$56))*HLOOKUP(($B575+PARAM!$B$56)/12,Loyalty,2)*$F$1*MAX(BZ574,0)</f>
        <v>18.557001321003963</v>
      </c>
      <c r="BY575" s="75">
        <f>PARAM!$C$26+MAX($G$21-CHOOSE(PARAM!$B$44,MAX(0,BZ574*$F$1),0),0)*RATES!$L551/12+$H$21*(PARAM!$D$51/12)*RATES!$N551/100</f>
        <v>210.16666666666666</v>
      </c>
      <c r="BZ575" s="16">
        <f t="shared" si="388"/>
        <v>-17427.837966972093</v>
      </c>
      <c r="CA575" s="15">
        <f t="shared" si="363"/>
        <v>22.170849845882874</v>
      </c>
      <c r="CB575" s="75">
        <f>CA575*(1-PARAM!$C$27)*$I$22+(MOD($B575,60)=PARAM!$B$56)*($B575&gt;(60-PARAM!$B$56))*HLOOKUP(($B575+PARAM!$B$56)/12,Loyalty,2)*$F$1*MAX(CD574,0)</f>
        <v>18.557001321003963</v>
      </c>
      <c r="CC575" s="75">
        <f>PARAM!$C$26+MAX($G$22-CHOOSE(PARAM!$B$44,MAX(0,CD574*$F$1),0),0)*RATES!$L551/12+$H$22*(PARAM!$D$51/12)*RATES!$N551/100</f>
        <v>210.16666666666666</v>
      </c>
      <c r="CD575" s="16">
        <f t="shared" si="389"/>
        <v>-17427.837966972093</v>
      </c>
      <c r="CE575" s="33">
        <f>IF(0=MOD(B575,12/PARAM!$D$51),1,0)</f>
        <v>1</v>
      </c>
      <c r="CF575" s="15">
        <f t="shared" si="364"/>
        <v>0</v>
      </c>
      <c r="CG575" s="75">
        <f>CF575*(1-PARAM!$C$27)*$R$3+(MOD($B575/12,5)=0)*($B575&gt;60)*HLOOKUP($B575/12,Loyalty,2)*$F$1*MAX(CI574,0)</f>
        <v>0</v>
      </c>
      <c r="CH575" s="75">
        <f>PARAM!$C$26+MAX($P$3-CHOOSE(PARAM!$B$44,MAX(0,CI574*$F$1),0),0)*RATES!$L551/12+$Q$3*(PARAM!$D$51/12)*RATES!$N551/100</f>
        <v>210.16666666666666</v>
      </c>
      <c r="CI575" s="16">
        <f>IF(CI574&gt;0,CI574*PARAM!$C$53,CI574)+CG575-CH575</f>
        <v>-27477.499999999985</v>
      </c>
      <c r="CJ575" s="15">
        <f t="shared" si="390"/>
        <v>0</v>
      </c>
      <c r="CK575" s="75">
        <f>CJ575*(1-PARAM!$C$27)*$R$4+(MOD($B575/12,5)=0)*($B575&gt;60)*HLOOKUP($B575/12,Loyalty,2)*$F$1*MAX(CM574,0)</f>
        <v>0</v>
      </c>
      <c r="CL575" s="75">
        <f>PARAM!$C$26+MAX($P$4-CHOOSE(PARAM!$B$44,MAX(0,CM574*$F$1),0),0)*RATES!$L551/12+$Q$4*(PARAM!$D$51/12)*RATES!$N551/100</f>
        <v>210.16666666666666</v>
      </c>
      <c r="CM575" s="16">
        <f>IF(CM574&gt;0,CM574*PARAM!$C$53,CM574)+CK575-CL575</f>
        <v>-27477.499999999985</v>
      </c>
      <c r="CO575" s="176"/>
    </row>
    <row r="576" spans="1:93" x14ac:dyDescent="0.2">
      <c r="A576" t="b">
        <f t="shared" si="365"/>
        <v>0</v>
      </c>
      <c r="B576" s="33">
        <v>549</v>
      </c>
      <c r="C576" s="15">
        <f t="shared" si="366"/>
        <v>20.081305947392778</v>
      </c>
      <c r="D576" s="75">
        <f>C576*(1-PARAM!$C$27)*$I$3+(MOD($B576,60)=PARAM!$B$56)*($B576&gt;(60-PARAM!$B$56))*HLOOKUP(($B576+PARAM!$B$56)/12,Loyalty,2)*$F$1*MAX(F575,0)</f>
        <v>16.808053077967756</v>
      </c>
      <c r="E576" s="75">
        <f>PARAM!$C$26+MAX($G$3-CHOOSE(PARAM!$B$44,MAX(0,F575*$F$1),0),0)*RATES!$L552/12+$H$3*(PARAM!$D$51/12)*RATES!$N552/100</f>
        <v>210.16666666666666</v>
      </c>
      <c r="F576" s="16">
        <f t="shared" si="367"/>
        <v>-18616.47071826613</v>
      </c>
      <c r="G576" s="15">
        <f t="shared" si="368"/>
        <v>22.035289406060361</v>
      </c>
      <c r="H576" s="75">
        <f>G576*(1-PARAM!$C$27)*$I$4+(MOD($B576,60)=PARAM!$B$56)*($B576&gt;(60-PARAM!$B$56))*HLOOKUP(($B576+PARAM!$B$56)/12,Loyalty,2)*$F$1*MAX(J575,0)</f>
        <v>18.443537232872522</v>
      </c>
      <c r="I576" s="75">
        <f>PARAM!$C$26+MAX($G$4-CHOOSE(PARAM!$B$44,MAX(0,J575*$F$1),0),0)*RATES!$L552/12+$H$4*(PARAM!$D$51/12)*RATES!$N552/100</f>
        <v>210.16666666666666</v>
      </c>
      <c r="J576" s="16">
        <f t="shared" si="369"/>
        <v>-17684.756953101718</v>
      </c>
      <c r="K576" s="15">
        <f t="shared" si="370"/>
        <v>22.170849845882874</v>
      </c>
      <c r="L576" s="75">
        <f>K576*(1-PARAM!$C$27)*$I$5+(MOD($B576,60)=PARAM!$B$56)*($B576&gt;(60-PARAM!$B$56))*HLOOKUP(($B576+PARAM!$B$56)/12,Loyalty,2)*$F$1*MAX(N575,0)</f>
        <v>18.557001321003963</v>
      </c>
      <c r="M576" s="75">
        <f>PARAM!$C$26+MAX($G$5-CHOOSE(PARAM!$B$44,MAX(0,N575*$F$1),0),0)*RATES!$L552/12+$H$5*(PARAM!$D$51/12)*RATES!$N552/100</f>
        <v>210.16666666666666</v>
      </c>
      <c r="N576" s="16">
        <f t="shared" si="371"/>
        <v>-17619.447632317755</v>
      </c>
      <c r="O576" s="15">
        <f t="shared" si="372"/>
        <v>22.170849845882874</v>
      </c>
      <c r="P576" s="75">
        <f>O576*(1-PARAM!$C$27)*$I$6+(MOD($B576,60)=PARAM!$B$56)*($B576&gt;(60-PARAM!$B$56))*HLOOKUP(($B576+PARAM!$B$56)/12,Loyalty,2)*$F$1*MAX(R575,0)</f>
        <v>18.557001321003963</v>
      </c>
      <c r="Q576" s="75">
        <f>PARAM!$C$26+MAX($G$6-CHOOSE(PARAM!$B$44,MAX(0,R575*$F$1),0),0)*RATES!$L552/12+$H$6*(PARAM!$D$51/12)*RATES!$N552/100</f>
        <v>210.16666666666666</v>
      </c>
      <c r="R576" s="16">
        <f t="shared" si="373"/>
        <v>-17619.447632317755</v>
      </c>
      <c r="S576" s="15">
        <f t="shared" si="348"/>
        <v>22.170849845882874</v>
      </c>
      <c r="T576" s="75">
        <f>S576*(1-PARAM!$C$27)*$I$7+(MOD($B576,60)=PARAM!$B$56)*($B576&gt;(60-PARAM!$B$56))*HLOOKUP(($B576+PARAM!$B$56)/12,Loyalty,2)*$F$1*MAX(V575,0)</f>
        <v>18.557001321003963</v>
      </c>
      <c r="U576" s="75">
        <f>PARAM!$C$26+MAX($G$7-CHOOSE(PARAM!$B$44,MAX(0,V575*$F$1),0),0)*RATES!$L552/12+$H$7*(PARAM!$D$51/12)*RATES!$N552/100</f>
        <v>210.16666666666666</v>
      </c>
      <c r="V576" s="16">
        <f t="shared" si="374"/>
        <v>-17619.447632317755</v>
      </c>
      <c r="W576" s="15">
        <f t="shared" si="349"/>
        <v>22.170849845882874</v>
      </c>
      <c r="X576" s="75">
        <f>W576*(1-PARAM!$C$27)*$I$8+(MOD($B576,60)=PARAM!$B$56)*($B576&gt;(60-PARAM!$B$56))*HLOOKUP(($B576+PARAM!$B$56)/12,Loyalty,2)*$F$1*MAX(Z575,0)</f>
        <v>18.557001321003963</v>
      </c>
      <c r="Y576" s="75">
        <f>PARAM!$C$26+MAX($G$8-CHOOSE(PARAM!$B$44,MAX(0,Z575*$F$1),0),0)*RATES!$L552/12+$H$8*(PARAM!$D$51/12)*RATES!$N552/100</f>
        <v>210.16666666666666</v>
      </c>
      <c r="Z576" s="16">
        <f t="shared" si="375"/>
        <v>-17619.447632317755</v>
      </c>
      <c r="AA576" s="15">
        <f t="shared" si="350"/>
        <v>22.170849845882874</v>
      </c>
      <c r="AB576" s="75">
        <f>AA576*(1-PARAM!$C$27)*$I$9+(MOD($B576,60)=PARAM!$B$56)*($B576&gt;(60-PARAM!$B$56))*HLOOKUP(($B576+PARAM!$B$56)/12,Loyalty,2)*$F$1*MAX(AD575,0)</f>
        <v>18.557001321003963</v>
      </c>
      <c r="AC576" s="75">
        <f>PARAM!$C$26+MAX($G$9-CHOOSE(PARAM!$B$44,MAX(0,AD575*$F$1),0),0)*RATES!$L552/12+$H$9*(PARAM!$D$51/12)*RATES!$N552/100</f>
        <v>210.16666666666666</v>
      </c>
      <c r="AD576" s="16">
        <f t="shared" si="376"/>
        <v>-17619.447632317755</v>
      </c>
      <c r="AE576" s="15">
        <f t="shared" si="351"/>
        <v>22.170849845882874</v>
      </c>
      <c r="AF576" s="75">
        <f>AE576*(1-PARAM!$C$27)*$I$10+(MOD($B576,60)=PARAM!$B$56)*($B576&gt;(60-PARAM!$B$56))*HLOOKUP(($B576+PARAM!$B$56)/12,Loyalty,2)*$F$1*MAX(AH575,0)</f>
        <v>18.557001321003963</v>
      </c>
      <c r="AG576" s="75">
        <f>PARAM!$C$26+MAX($G$10-CHOOSE(PARAM!$B$44,MAX(0,AH575*$F$1),0),0)*RATES!$L552/12+$H$10*(PARAM!$D$51/12)*RATES!$N552/100</f>
        <v>210.16666666666666</v>
      </c>
      <c r="AH576" s="16">
        <f t="shared" si="377"/>
        <v>-17619.447632317755</v>
      </c>
      <c r="AI576" s="15">
        <f t="shared" si="352"/>
        <v>22.170849845882874</v>
      </c>
      <c r="AJ576" s="75">
        <f>AI576*(1-PARAM!$C$27)*$I$11+(MOD($B576,60)=PARAM!$B$56)*($B576&gt;(60-PARAM!$B$56))*HLOOKUP(($B576+PARAM!$B$56)/12,Loyalty,2)*$F$1*MAX(AL575,0)</f>
        <v>18.557001321003963</v>
      </c>
      <c r="AK576" s="75">
        <f>PARAM!$C$26+MAX($G$11-CHOOSE(PARAM!$B$44,MAX(0,AL575*$F$1),0),0)*RATES!$L552/12+$H$11*(PARAM!$D$51/12)*RATES!$N552/100</f>
        <v>210.16666666666666</v>
      </c>
      <c r="AL576" s="16">
        <f t="shared" si="378"/>
        <v>-17619.447632317755</v>
      </c>
      <c r="AM576" s="15">
        <f t="shared" si="353"/>
        <v>22.170849845882874</v>
      </c>
      <c r="AN576" s="75">
        <f>AM576*(1-PARAM!$C$27)*$I$12+(MOD($B576,60)=PARAM!$B$56)*($B576&gt;(60-PARAM!$B$56))*HLOOKUP(($B576+PARAM!$B$56)/12,Loyalty,2)*$F$1*MAX(AP575,0)</f>
        <v>18.557001321003963</v>
      </c>
      <c r="AO576" s="75">
        <f>PARAM!$C$26+MAX($G$12-CHOOSE(PARAM!$B$44,MAX(0,AP575*$F$1),0),0)*RATES!$L552/12+$H$12*(PARAM!$D$51/12)*RATES!$N552/100</f>
        <v>210.16666666666666</v>
      </c>
      <c r="AP576" s="16">
        <f t="shared" si="379"/>
        <v>-17619.447632317755</v>
      </c>
      <c r="AQ576" s="15">
        <f t="shared" si="354"/>
        <v>22.170849845882874</v>
      </c>
      <c r="AR576" s="75">
        <f>AQ576*(1-PARAM!$C$27)*$I$13+(MOD($B576,60)=PARAM!$B$56)*($B576&gt;(60-PARAM!$B$56))*HLOOKUP(($B576+PARAM!$B$56)/12,Loyalty,2)*$F$1*MAX(AT575,0)</f>
        <v>18.557001321003963</v>
      </c>
      <c r="AS576" s="75">
        <f>PARAM!$C$26+MAX($G$13-CHOOSE(PARAM!$B$44,MAX(0,AT575*$F$1),0),0)*RATES!$L552/12+$H$13*(PARAM!$D$51/12)*RATES!$N552/100</f>
        <v>210.16666666666666</v>
      </c>
      <c r="AT576" s="16">
        <f t="shared" si="380"/>
        <v>-17619.447632317755</v>
      </c>
      <c r="AU576" s="15">
        <f t="shared" si="355"/>
        <v>22.170849845882874</v>
      </c>
      <c r="AV576" s="75">
        <f>AU576*(1-PARAM!$C$27)*$I$14+(MOD($B576,60)=PARAM!$B$56)*($B576&gt;(60-PARAM!$B$56))*HLOOKUP(($B576+PARAM!$B$56)/12,Loyalty,2)*$F$1*MAX(AX575,0)</f>
        <v>18.557001321003963</v>
      </c>
      <c r="AW576" s="75">
        <f>PARAM!$C$26+MAX($G$14-CHOOSE(PARAM!$B$44,MAX(0,AX575*$F$1),0),0)*RATES!$L552/12+$H$14*(PARAM!$D$51/12)*RATES!$N552/100</f>
        <v>210.16666666666666</v>
      </c>
      <c r="AX576" s="16">
        <f t="shared" si="381"/>
        <v>-17619.447632317755</v>
      </c>
      <c r="AY576" s="15">
        <f t="shared" si="356"/>
        <v>22.170849845882874</v>
      </c>
      <c r="AZ576" s="75">
        <f>AY576*(1-PARAM!$C$27)*$I$15+(MOD($B576,60)=PARAM!$B$56)*($B576&gt;(60-PARAM!$B$56))*HLOOKUP(($B576+PARAM!$B$56)/12,Loyalty,2)*$F$1*MAX(BB575,0)</f>
        <v>18.557001321003963</v>
      </c>
      <c r="BA576" s="75">
        <f>PARAM!$C$26+MAX($G$15-CHOOSE(PARAM!$B$44,MAX(0,BB575*$F$1),0),0)*RATES!$L552/12+$H$15*(PARAM!$D$51/12)*RATES!$N552/100</f>
        <v>210.16666666666666</v>
      </c>
      <c r="BB576" s="16">
        <f t="shared" si="382"/>
        <v>-17619.447632317755</v>
      </c>
      <c r="BC576" s="15">
        <f t="shared" si="357"/>
        <v>22.170849845882874</v>
      </c>
      <c r="BD576" s="75">
        <f>BC576*(1-PARAM!$C$27)*$I$16+(MOD($B576,60)=PARAM!$B$56)*($B576&gt;(60-PARAM!$B$56))*HLOOKUP(($B576+PARAM!$B$56)/12,Loyalty,2)*$F$1*MAX(BF575,0)</f>
        <v>18.557001321003963</v>
      </c>
      <c r="BE576" s="75">
        <f>PARAM!$C$26+MAX($G$16-CHOOSE(PARAM!$B$44,MAX(0,BF575*$F$1),0),0)*RATES!$L552/12+$H$16*(PARAM!$D$51/12)*RATES!$N552/100</f>
        <v>210.16666666666666</v>
      </c>
      <c r="BF576" s="16">
        <f t="shared" si="383"/>
        <v>-17619.447632317755</v>
      </c>
      <c r="BG576" s="15">
        <f t="shared" si="358"/>
        <v>22.170849845882874</v>
      </c>
      <c r="BH576" s="75">
        <f>BG576*(1-PARAM!$C$27)*$I$17+(MOD($B576,60)=PARAM!$B$56)*($B576&gt;(60-PARAM!$B$56))*HLOOKUP(($B576+PARAM!$B$56)/12,Loyalty,2)*$F$1*MAX(BJ575,0)</f>
        <v>18.557001321003963</v>
      </c>
      <c r="BI576" s="75">
        <f>PARAM!$C$26+MAX($G$17-CHOOSE(PARAM!$B$44,MAX(0,BJ575*$F$1),0),0)*RATES!$L552/12+$H$17*(PARAM!$D$51/12)*RATES!$N552/100</f>
        <v>210.16666666666666</v>
      </c>
      <c r="BJ576" s="16">
        <f t="shared" si="384"/>
        <v>-17619.447632317755</v>
      </c>
      <c r="BK576" s="15">
        <f t="shared" si="359"/>
        <v>22.170849845882874</v>
      </c>
      <c r="BL576" s="75">
        <f>BK576*(1-PARAM!$C$27)*$I$18+(MOD($B576,60)=PARAM!$B$56)*($B576&gt;(60-PARAM!$B$56))*HLOOKUP(($B576+PARAM!$B$56)/12,Loyalty,2)*$F$1*MAX(BN575,0)</f>
        <v>18.557001321003963</v>
      </c>
      <c r="BM576" s="75">
        <f>PARAM!$C$26+MAX($G$18-CHOOSE(PARAM!$B$44,MAX(0,BN575*$F$1),0),0)*RATES!$L552/12+$H$18*(PARAM!$D$51/12)*RATES!$N552/100</f>
        <v>210.16666666666666</v>
      </c>
      <c r="BN576" s="16">
        <f t="shared" si="385"/>
        <v>-17619.447632317755</v>
      </c>
      <c r="BO576" s="15">
        <f t="shared" si="360"/>
        <v>22.170849845882874</v>
      </c>
      <c r="BP576" s="75">
        <f>BO576*(1-PARAM!$C$27)*$I$19+(MOD($B576,60)=PARAM!$B$56)*($B576&gt;(60-PARAM!$B$56))*HLOOKUP(($B576+PARAM!$B$56)/12,Loyalty,2)*$F$1*MAX(BR575,0)</f>
        <v>18.557001321003963</v>
      </c>
      <c r="BQ576" s="75">
        <f>PARAM!$C$26+MAX($G$19-CHOOSE(PARAM!$B$44,MAX(0,BR575*$F$1),0),0)*RATES!$L552/12+$H$19*(PARAM!$D$51/12)*RATES!$N552/100</f>
        <v>210.16666666666666</v>
      </c>
      <c r="BR576" s="16">
        <f t="shared" si="386"/>
        <v>-17619.447632317755</v>
      </c>
      <c r="BS576" s="15">
        <f t="shared" si="361"/>
        <v>22.170849845882874</v>
      </c>
      <c r="BT576" s="75">
        <f>BS576*(1-PARAM!$C$27)*$I$20+(MOD($B576,60)=PARAM!$B$56)*($B576&gt;(60-PARAM!$B$56))*HLOOKUP(($B576+PARAM!$B$56)/12,Loyalty,2)*$F$1*MAX(BV575,0)</f>
        <v>18.557001321003963</v>
      </c>
      <c r="BU576" s="75">
        <f>PARAM!$C$26+MAX($G$20-CHOOSE(PARAM!$B$44,MAX(0,BV575*$F$1),0),0)*RATES!$L552/12+$H$20*(PARAM!$D$51/12)*RATES!$N552/100</f>
        <v>210.16666666666666</v>
      </c>
      <c r="BV576" s="16">
        <f t="shared" si="387"/>
        <v>-17619.447632317755</v>
      </c>
      <c r="BW576" s="15">
        <f t="shared" si="362"/>
        <v>22.170849845882874</v>
      </c>
      <c r="BX576" s="75">
        <f>BW576*(1-PARAM!$C$27)*$I$21+(MOD($B576,60)=PARAM!$B$56)*($B576&gt;(60-PARAM!$B$56))*HLOOKUP(($B576+PARAM!$B$56)/12,Loyalty,2)*$F$1*MAX(BZ575,0)</f>
        <v>18.557001321003963</v>
      </c>
      <c r="BY576" s="75">
        <f>PARAM!$C$26+MAX($G$21-CHOOSE(PARAM!$B$44,MAX(0,BZ575*$F$1),0),0)*RATES!$L552/12+$H$21*(PARAM!$D$51/12)*RATES!$N552/100</f>
        <v>210.16666666666666</v>
      </c>
      <c r="BZ576" s="16">
        <f t="shared" si="388"/>
        <v>-17619.447632317755</v>
      </c>
      <c r="CA576" s="15">
        <f t="shared" si="363"/>
        <v>22.170849845882874</v>
      </c>
      <c r="CB576" s="75">
        <f>CA576*(1-PARAM!$C$27)*$I$22+(MOD($B576,60)=PARAM!$B$56)*($B576&gt;(60-PARAM!$B$56))*HLOOKUP(($B576+PARAM!$B$56)/12,Loyalty,2)*$F$1*MAX(CD575,0)</f>
        <v>18.557001321003963</v>
      </c>
      <c r="CC576" s="75">
        <f>PARAM!$C$26+MAX($G$22-CHOOSE(PARAM!$B$44,MAX(0,CD575*$F$1),0),0)*RATES!$L552/12+$H$22*(PARAM!$D$51/12)*RATES!$N552/100</f>
        <v>210.16666666666666</v>
      </c>
      <c r="CD576" s="16">
        <f t="shared" si="389"/>
        <v>-17619.447632317755</v>
      </c>
      <c r="CE576" s="33">
        <f>IF(0=MOD(B576,12/PARAM!$D$51),1,0)</f>
        <v>1</v>
      </c>
      <c r="CF576" s="15">
        <f t="shared" si="364"/>
        <v>0</v>
      </c>
      <c r="CG576" s="75">
        <f>CF576*(1-PARAM!$C$27)*$R$3+(MOD($B576/12,5)=0)*($B576&gt;60)*HLOOKUP($B576/12,Loyalty,2)*$F$1*MAX(CI575,0)</f>
        <v>0</v>
      </c>
      <c r="CH576" s="75">
        <f>PARAM!$C$26+MAX($P$3-CHOOSE(PARAM!$B$44,MAX(0,CI575*$F$1),0),0)*RATES!$L552/12+$Q$3*(PARAM!$D$51/12)*RATES!$N552/100</f>
        <v>210.16666666666666</v>
      </c>
      <c r="CI576" s="16">
        <f>IF(CI575&gt;0,CI575*PARAM!$C$53,CI575)+CG576-CH576</f>
        <v>-27687.666666666653</v>
      </c>
      <c r="CJ576" s="15">
        <f t="shared" si="390"/>
        <v>0</v>
      </c>
      <c r="CK576" s="75">
        <f>CJ576*(1-PARAM!$C$27)*$R$4+(MOD($B576/12,5)=0)*($B576&gt;60)*HLOOKUP($B576/12,Loyalty,2)*$F$1*MAX(CM575,0)</f>
        <v>0</v>
      </c>
      <c r="CL576" s="75">
        <f>PARAM!$C$26+MAX($P$4-CHOOSE(PARAM!$B$44,MAX(0,CM575*$F$1),0),0)*RATES!$L552/12+$Q$4*(PARAM!$D$51/12)*RATES!$N552/100</f>
        <v>210.16666666666666</v>
      </c>
      <c r="CM576" s="16">
        <f>IF(CM575&gt;0,CM575*PARAM!$C$53,CM575)+CK576-CL576</f>
        <v>-27687.666666666653</v>
      </c>
      <c r="CO576" s="176"/>
    </row>
    <row r="577" spans="1:93" x14ac:dyDescent="0.2">
      <c r="A577" t="b">
        <f t="shared" si="365"/>
        <v>0</v>
      </c>
      <c r="B577" s="33">
        <v>550</v>
      </c>
      <c r="C577" s="15">
        <f t="shared" si="366"/>
        <v>20.081305947392778</v>
      </c>
      <c r="D577" s="75">
        <f>C577*(1-PARAM!$C$27)*$I$3+(MOD($B577,60)=PARAM!$B$56)*($B577&gt;(60-PARAM!$B$56))*HLOOKUP(($B577+PARAM!$B$56)/12,Loyalty,2)*$F$1*MAX(F576,0)</f>
        <v>16.808053077967756</v>
      </c>
      <c r="E577" s="75">
        <f>PARAM!$C$26+MAX($G$3-CHOOSE(PARAM!$B$44,MAX(0,F576*$F$1),0),0)*RATES!$L553/12+$H$3*(PARAM!$D$51/12)*RATES!$N553/100</f>
        <v>210.16666666666666</v>
      </c>
      <c r="F577" s="16">
        <f t="shared" si="367"/>
        <v>-18809.829331854831</v>
      </c>
      <c r="G577" s="15">
        <f t="shared" si="368"/>
        <v>22.035289406060361</v>
      </c>
      <c r="H577" s="75">
        <f>G577*(1-PARAM!$C$27)*$I$4+(MOD($B577,60)=PARAM!$B$56)*($B577&gt;(60-PARAM!$B$56))*HLOOKUP(($B577+PARAM!$B$56)/12,Loyalty,2)*$F$1*MAX(J576,0)</f>
        <v>18.443537232872522</v>
      </c>
      <c r="I577" s="75">
        <f>PARAM!$C$26+MAX($G$4-CHOOSE(PARAM!$B$44,MAX(0,J576*$F$1),0),0)*RATES!$L553/12+$H$4*(PARAM!$D$51/12)*RATES!$N553/100</f>
        <v>210.16666666666666</v>
      </c>
      <c r="J577" s="16">
        <f t="shared" si="369"/>
        <v>-17876.480082535512</v>
      </c>
      <c r="K577" s="15">
        <f t="shared" si="370"/>
        <v>22.170849845882874</v>
      </c>
      <c r="L577" s="75">
        <f>K577*(1-PARAM!$C$27)*$I$5+(MOD($B577,60)=PARAM!$B$56)*($B577&gt;(60-PARAM!$B$56))*HLOOKUP(($B577+PARAM!$B$56)/12,Loyalty,2)*$F$1*MAX(N576,0)</f>
        <v>18.557001321003963</v>
      </c>
      <c r="M577" s="75">
        <f>PARAM!$C$26+MAX($G$5-CHOOSE(PARAM!$B$44,MAX(0,N576*$F$1),0),0)*RATES!$L553/12+$H$5*(PARAM!$D$51/12)*RATES!$N553/100</f>
        <v>210.16666666666666</v>
      </c>
      <c r="N577" s="16">
        <f t="shared" si="371"/>
        <v>-17811.057297663418</v>
      </c>
      <c r="O577" s="15">
        <f t="shared" si="372"/>
        <v>22.170849845882874</v>
      </c>
      <c r="P577" s="75">
        <f>O577*(1-PARAM!$C$27)*$I$6+(MOD($B577,60)=PARAM!$B$56)*($B577&gt;(60-PARAM!$B$56))*HLOOKUP(($B577+PARAM!$B$56)/12,Loyalty,2)*$F$1*MAX(R576,0)</f>
        <v>18.557001321003963</v>
      </c>
      <c r="Q577" s="75">
        <f>PARAM!$C$26+MAX($G$6-CHOOSE(PARAM!$B$44,MAX(0,R576*$F$1),0),0)*RATES!$L553/12+$H$6*(PARAM!$D$51/12)*RATES!$N553/100</f>
        <v>210.16666666666666</v>
      </c>
      <c r="R577" s="16">
        <f t="shared" si="373"/>
        <v>-17811.057297663418</v>
      </c>
      <c r="S577" s="15">
        <f t="shared" si="348"/>
        <v>22.170849845882874</v>
      </c>
      <c r="T577" s="75">
        <f>S577*(1-PARAM!$C$27)*$I$7+(MOD($B577,60)=PARAM!$B$56)*($B577&gt;(60-PARAM!$B$56))*HLOOKUP(($B577+PARAM!$B$56)/12,Loyalty,2)*$F$1*MAX(V576,0)</f>
        <v>18.557001321003963</v>
      </c>
      <c r="U577" s="75">
        <f>PARAM!$C$26+MAX($G$7-CHOOSE(PARAM!$B$44,MAX(0,V576*$F$1),0),0)*RATES!$L553/12+$H$7*(PARAM!$D$51/12)*RATES!$N553/100</f>
        <v>210.16666666666666</v>
      </c>
      <c r="V577" s="16">
        <f t="shared" si="374"/>
        <v>-17811.057297663418</v>
      </c>
      <c r="W577" s="15">
        <f t="shared" si="349"/>
        <v>22.170849845882874</v>
      </c>
      <c r="X577" s="75">
        <f>W577*(1-PARAM!$C$27)*$I$8+(MOD($B577,60)=PARAM!$B$56)*($B577&gt;(60-PARAM!$B$56))*HLOOKUP(($B577+PARAM!$B$56)/12,Loyalty,2)*$F$1*MAX(Z576,0)</f>
        <v>18.557001321003963</v>
      </c>
      <c r="Y577" s="75">
        <f>PARAM!$C$26+MAX($G$8-CHOOSE(PARAM!$B$44,MAX(0,Z576*$F$1),0),0)*RATES!$L553/12+$H$8*(PARAM!$D$51/12)*RATES!$N553/100</f>
        <v>210.16666666666666</v>
      </c>
      <c r="Z577" s="16">
        <f t="shared" si="375"/>
        <v>-17811.057297663418</v>
      </c>
      <c r="AA577" s="15">
        <f t="shared" si="350"/>
        <v>22.170849845882874</v>
      </c>
      <c r="AB577" s="75">
        <f>AA577*(1-PARAM!$C$27)*$I$9+(MOD($B577,60)=PARAM!$B$56)*($B577&gt;(60-PARAM!$B$56))*HLOOKUP(($B577+PARAM!$B$56)/12,Loyalty,2)*$F$1*MAX(AD576,0)</f>
        <v>18.557001321003963</v>
      </c>
      <c r="AC577" s="75">
        <f>PARAM!$C$26+MAX($G$9-CHOOSE(PARAM!$B$44,MAX(0,AD576*$F$1),0),0)*RATES!$L553/12+$H$9*(PARAM!$D$51/12)*RATES!$N553/100</f>
        <v>210.16666666666666</v>
      </c>
      <c r="AD577" s="16">
        <f t="shared" si="376"/>
        <v>-17811.057297663418</v>
      </c>
      <c r="AE577" s="15">
        <f t="shared" si="351"/>
        <v>22.170849845882874</v>
      </c>
      <c r="AF577" s="75">
        <f>AE577*(1-PARAM!$C$27)*$I$10+(MOD($B577,60)=PARAM!$B$56)*($B577&gt;(60-PARAM!$B$56))*HLOOKUP(($B577+PARAM!$B$56)/12,Loyalty,2)*$F$1*MAX(AH576,0)</f>
        <v>18.557001321003963</v>
      </c>
      <c r="AG577" s="75">
        <f>PARAM!$C$26+MAX($G$10-CHOOSE(PARAM!$B$44,MAX(0,AH576*$F$1),0),0)*RATES!$L553/12+$H$10*(PARAM!$D$51/12)*RATES!$N553/100</f>
        <v>210.16666666666666</v>
      </c>
      <c r="AH577" s="16">
        <f t="shared" si="377"/>
        <v>-17811.057297663418</v>
      </c>
      <c r="AI577" s="15">
        <f t="shared" si="352"/>
        <v>22.170849845882874</v>
      </c>
      <c r="AJ577" s="75">
        <f>AI577*(1-PARAM!$C$27)*$I$11+(MOD($B577,60)=PARAM!$B$56)*($B577&gt;(60-PARAM!$B$56))*HLOOKUP(($B577+PARAM!$B$56)/12,Loyalty,2)*$F$1*MAX(AL576,0)</f>
        <v>18.557001321003963</v>
      </c>
      <c r="AK577" s="75">
        <f>PARAM!$C$26+MAX($G$11-CHOOSE(PARAM!$B$44,MAX(0,AL576*$F$1),0),0)*RATES!$L553/12+$H$11*(PARAM!$D$51/12)*RATES!$N553/100</f>
        <v>210.16666666666666</v>
      </c>
      <c r="AL577" s="16">
        <f t="shared" si="378"/>
        <v>-17811.057297663418</v>
      </c>
      <c r="AM577" s="15">
        <f t="shared" si="353"/>
        <v>22.170849845882874</v>
      </c>
      <c r="AN577" s="75">
        <f>AM577*(1-PARAM!$C$27)*$I$12+(MOD($B577,60)=PARAM!$B$56)*($B577&gt;(60-PARAM!$B$56))*HLOOKUP(($B577+PARAM!$B$56)/12,Loyalty,2)*$F$1*MAX(AP576,0)</f>
        <v>18.557001321003963</v>
      </c>
      <c r="AO577" s="75">
        <f>PARAM!$C$26+MAX($G$12-CHOOSE(PARAM!$B$44,MAX(0,AP576*$F$1),0),0)*RATES!$L553/12+$H$12*(PARAM!$D$51/12)*RATES!$N553/100</f>
        <v>210.16666666666666</v>
      </c>
      <c r="AP577" s="16">
        <f t="shared" si="379"/>
        <v>-17811.057297663418</v>
      </c>
      <c r="AQ577" s="15">
        <f t="shared" si="354"/>
        <v>22.170849845882874</v>
      </c>
      <c r="AR577" s="75">
        <f>AQ577*(1-PARAM!$C$27)*$I$13+(MOD($B577,60)=PARAM!$B$56)*($B577&gt;(60-PARAM!$B$56))*HLOOKUP(($B577+PARAM!$B$56)/12,Loyalty,2)*$F$1*MAX(AT576,0)</f>
        <v>18.557001321003963</v>
      </c>
      <c r="AS577" s="75">
        <f>PARAM!$C$26+MAX($G$13-CHOOSE(PARAM!$B$44,MAX(0,AT576*$F$1),0),0)*RATES!$L553/12+$H$13*(PARAM!$D$51/12)*RATES!$N553/100</f>
        <v>210.16666666666666</v>
      </c>
      <c r="AT577" s="16">
        <f t="shared" si="380"/>
        <v>-17811.057297663418</v>
      </c>
      <c r="AU577" s="15">
        <f t="shared" si="355"/>
        <v>22.170849845882874</v>
      </c>
      <c r="AV577" s="75">
        <f>AU577*(1-PARAM!$C$27)*$I$14+(MOD($B577,60)=PARAM!$B$56)*($B577&gt;(60-PARAM!$B$56))*HLOOKUP(($B577+PARAM!$B$56)/12,Loyalty,2)*$F$1*MAX(AX576,0)</f>
        <v>18.557001321003963</v>
      </c>
      <c r="AW577" s="75">
        <f>PARAM!$C$26+MAX($G$14-CHOOSE(PARAM!$B$44,MAX(0,AX576*$F$1),0),0)*RATES!$L553/12+$H$14*(PARAM!$D$51/12)*RATES!$N553/100</f>
        <v>210.16666666666666</v>
      </c>
      <c r="AX577" s="16">
        <f t="shared" si="381"/>
        <v>-17811.057297663418</v>
      </c>
      <c r="AY577" s="15">
        <f t="shared" si="356"/>
        <v>22.170849845882874</v>
      </c>
      <c r="AZ577" s="75">
        <f>AY577*(1-PARAM!$C$27)*$I$15+(MOD($B577,60)=PARAM!$B$56)*($B577&gt;(60-PARAM!$B$56))*HLOOKUP(($B577+PARAM!$B$56)/12,Loyalty,2)*$F$1*MAX(BB576,0)</f>
        <v>18.557001321003963</v>
      </c>
      <c r="BA577" s="75">
        <f>PARAM!$C$26+MAX($G$15-CHOOSE(PARAM!$B$44,MAX(0,BB576*$F$1),0),0)*RATES!$L553/12+$H$15*(PARAM!$D$51/12)*RATES!$N553/100</f>
        <v>210.16666666666666</v>
      </c>
      <c r="BB577" s="16">
        <f t="shared" si="382"/>
        <v>-17811.057297663418</v>
      </c>
      <c r="BC577" s="15">
        <f t="shared" si="357"/>
        <v>22.170849845882874</v>
      </c>
      <c r="BD577" s="75">
        <f>BC577*(1-PARAM!$C$27)*$I$16+(MOD($B577,60)=PARAM!$B$56)*($B577&gt;(60-PARAM!$B$56))*HLOOKUP(($B577+PARAM!$B$56)/12,Loyalty,2)*$F$1*MAX(BF576,0)</f>
        <v>18.557001321003963</v>
      </c>
      <c r="BE577" s="75">
        <f>PARAM!$C$26+MAX($G$16-CHOOSE(PARAM!$B$44,MAX(0,BF576*$F$1),0),0)*RATES!$L553/12+$H$16*(PARAM!$D$51/12)*RATES!$N553/100</f>
        <v>210.16666666666666</v>
      </c>
      <c r="BF577" s="16">
        <f t="shared" si="383"/>
        <v>-17811.057297663418</v>
      </c>
      <c r="BG577" s="15">
        <f t="shared" si="358"/>
        <v>22.170849845882874</v>
      </c>
      <c r="BH577" s="75">
        <f>BG577*(1-PARAM!$C$27)*$I$17+(MOD($B577,60)=PARAM!$B$56)*($B577&gt;(60-PARAM!$B$56))*HLOOKUP(($B577+PARAM!$B$56)/12,Loyalty,2)*$F$1*MAX(BJ576,0)</f>
        <v>18.557001321003963</v>
      </c>
      <c r="BI577" s="75">
        <f>PARAM!$C$26+MAX($G$17-CHOOSE(PARAM!$B$44,MAX(0,BJ576*$F$1),0),0)*RATES!$L553/12+$H$17*(PARAM!$D$51/12)*RATES!$N553/100</f>
        <v>210.16666666666666</v>
      </c>
      <c r="BJ577" s="16">
        <f t="shared" si="384"/>
        <v>-17811.057297663418</v>
      </c>
      <c r="BK577" s="15">
        <f t="shared" si="359"/>
        <v>22.170849845882874</v>
      </c>
      <c r="BL577" s="75">
        <f>BK577*(1-PARAM!$C$27)*$I$18+(MOD($B577,60)=PARAM!$B$56)*($B577&gt;(60-PARAM!$B$56))*HLOOKUP(($B577+PARAM!$B$56)/12,Loyalty,2)*$F$1*MAX(BN576,0)</f>
        <v>18.557001321003963</v>
      </c>
      <c r="BM577" s="75">
        <f>PARAM!$C$26+MAX($G$18-CHOOSE(PARAM!$B$44,MAX(0,BN576*$F$1),0),0)*RATES!$L553/12+$H$18*(PARAM!$D$51/12)*RATES!$N553/100</f>
        <v>210.16666666666666</v>
      </c>
      <c r="BN577" s="16">
        <f t="shared" si="385"/>
        <v>-17811.057297663418</v>
      </c>
      <c r="BO577" s="15">
        <f t="shared" si="360"/>
        <v>22.170849845882874</v>
      </c>
      <c r="BP577" s="75">
        <f>BO577*(1-PARAM!$C$27)*$I$19+(MOD($B577,60)=PARAM!$B$56)*($B577&gt;(60-PARAM!$B$56))*HLOOKUP(($B577+PARAM!$B$56)/12,Loyalty,2)*$F$1*MAX(BR576,0)</f>
        <v>18.557001321003963</v>
      </c>
      <c r="BQ577" s="75">
        <f>PARAM!$C$26+MAX($G$19-CHOOSE(PARAM!$B$44,MAX(0,BR576*$F$1),0),0)*RATES!$L553/12+$H$19*(PARAM!$D$51/12)*RATES!$N553/100</f>
        <v>210.16666666666666</v>
      </c>
      <c r="BR577" s="16">
        <f t="shared" si="386"/>
        <v>-17811.057297663418</v>
      </c>
      <c r="BS577" s="15">
        <f t="shared" si="361"/>
        <v>22.170849845882874</v>
      </c>
      <c r="BT577" s="75">
        <f>BS577*(1-PARAM!$C$27)*$I$20+(MOD($B577,60)=PARAM!$B$56)*($B577&gt;(60-PARAM!$B$56))*HLOOKUP(($B577+PARAM!$B$56)/12,Loyalty,2)*$F$1*MAX(BV576,0)</f>
        <v>18.557001321003963</v>
      </c>
      <c r="BU577" s="75">
        <f>PARAM!$C$26+MAX($G$20-CHOOSE(PARAM!$B$44,MAX(0,BV576*$F$1),0),0)*RATES!$L553/12+$H$20*(PARAM!$D$51/12)*RATES!$N553/100</f>
        <v>210.16666666666666</v>
      </c>
      <c r="BV577" s="16">
        <f t="shared" si="387"/>
        <v>-17811.057297663418</v>
      </c>
      <c r="BW577" s="15">
        <f t="shared" si="362"/>
        <v>22.170849845882874</v>
      </c>
      <c r="BX577" s="75">
        <f>BW577*(1-PARAM!$C$27)*$I$21+(MOD($B577,60)=PARAM!$B$56)*($B577&gt;(60-PARAM!$B$56))*HLOOKUP(($B577+PARAM!$B$56)/12,Loyalty,2)*$F$1*MAX(BZ576,0)</f>
        <v>18.557001321003963</v>
      </c>
      <c r="BY577" s="75">
        <f>PARAM!$C$26+MAX($G$21-CHOOSE(PARAM!$B$44,MAX(0,BZ576*$F$1),0),0)*RATES!$L553/12+$H$21*(PARAM!$D$51/12)*RATES!$N553/100</f>
        <v>210.16666666666666</v>
      </c>
      <c r="BZ577" s="16">
        <f t="shared" si="388"/>
        <v>-17811.057297663418</v>
      </c>
      <c r="CA577" s="15">
        <f t="shared" si="363"/>
        <v>22.170849845882874</v>
      </c>
      <c r="CB577" s="75">
        <f>CA577*(1-PARAM!$C$27)*$I$22+(MOD($B577,60)=PARAM!$B$56)*($B577&gt;(60-PARAM!$B$56))*HLOOKUP(($B577+PARAM!$B$56)/12,Loyalty,2)*$F$1*MAX(CD576,0)</f>
        <v>18.557001321003963</v>
      </c>
      <c r="CC577" s="75">
        <f>PARAM!$C$26+MAX($G$22-CHOOSE(PARAM!$B$44,MAX(0,CD576*$F$1),0),0)*RATES!$L553/12+$H$22*(PARAM!$D$51/12)*RATES!$N553/100</f>
        <v>210.16666666666666</v>
      </c>
      <c r="CD577" s="16">
        <f t="shared" si="389"/>
        <v>-17811.057297663418</v>
      </c>
      <c r="CE577" s="33">
        <f>IF(0=MOD(B577,12/PARAM!$D$51),1,0)</f>
        <v>1</v>
      </c>
      <c r="CF577" s="15">
        <f t="shared" si="364"/>
        <v>0</v>
      </c>
      <c r="CG577" s="75">
        <f>CF577*(1-PARAM!$C$27)*$R$3+(MOD($B577/12,5)=0)*($B577&gt;60)*HLOOKUP($B577/12,Loyalty,2)*$F$1*MAX(CI576,0)</f>
        <v>0</v>
      </c>
      <c r="CH577" s="75">
        <f>PARAM!$C$26+MAX($P$3-CHOOSE(PARAM!$B$44,MAX(0,CI576*$F$1),0),0)*RATES!$L553/12+$Q$3*(PARAM!$D$51/12)*RATES!$N553/100</f>
        <v>210.16666666666666</v>
      </c>
      <c r="CI577" s="16">
        <f>IF(CI576&gt;0,CI576*PARAM!$C$53,CI576)+CG577-CH577</f>
        <v>-27897.833333333321</v>
      </c>
      <c r="CJ577" s="15">
        <f t="shared" si="390"/>
        <v>0</v>
      </c>
      <c r="CK577" s="75">
        <f>CJ577*(1-PARAM!$C$27)*$R$4+(MOD($B577/12,5)=0)*($B577&gt;60)*HLOOKUP($B577/12,Loyalty,2)*$F$1*MAX(CM576,0)</f>
        <v>0</v>
      </c>
      <c r="CL577" s="75">
        <f>PARAM!$C$26+MAX($P$4-CHOOSE(PARAM!$B$44,MAX(0,CM576*$F$1),0),0)*RATES!$L553/12+$Q$4*(PARAM!$D$51/12)*RATES!$N553/100</f>
        <v>210.16666666666666</v>
      </c>
      <c r="CM577" s="16">
        <f>IF(CM576&gt;0,CM576*PARAM!$C$53,CM576)+CK577-CL577</f>
        <v>-27897.833333333321</v>
      </c>
      <c r="CO577" s="176"/>
    </row>
    <row r="578" spans="1:93" x14ac:dyDescent="0.2">
      <c r="A578" t="b">
        <f t="shared" si="365"/>
        <v>0</v>
      </c>
      <c r="B578" s="33">
        <v>551</v>
      </c>
      <c r="C578" s="15">
        <f t="shared" si="366"/>
        <v>20.081305947392778</v>
      </c>
      <c r="D578" s="75">
        <f>C578*(1-PARAM!$C$27)*$I$3+(MOD($B578,60)=PARAM!$B$56)*($B578&gt;(60-PARAM!$B$56))*HLOOKUP(($B578+PARAM!$B$56)/12,Loyalty,2)*$F$1*MAX(F577,0)</f>
        <v>16.808053077967756</v>
      </c>
      <c r="E578" s="75">
        <f>PARAM!$C$26+MAX($G$3-CHOOSE(PARAM!$B$44,MAX(0,F577*$F$1),0),0)*RATES!$L554/12+$H$3*(PARAM!$D$51/12)*RATES!$N554/100</f>
        <v>210.16666666666666</v>
      </c>
      <c r="F578" s="16">
        <f t="shared" si="367"/>
        <v>-19003.187945443533</v>
      </c>
      <c r="G578" s="15">
        <f t="shared" si="368"/>
        <v>22.035289406060361</v>
      </c>
      <c r="H578" s="75">
        <f>G578*(1-PARAM!$C$27)*$I$4+(MOD($B578,60)=PARAM!$B$56)*($B578&gt;(60-PARAM!$B$56))*HLOOKUP(($B578+PARAM!$B$56)/12,Loyalty,2)*$F$1*MAX(J577,0)</f>
        <v>18.443537232872522</v>
      </c>
      <c r="I578" s="75">
        <f>PARAM!$C$26+MAX($G$4-CHOOSE(PARAM!$B$44,MAX(0,J577*$F$1),0),0)*RATES!$L554/12+$H$4*(PARAM!$D$51/12)*RATES!$N554/100</f>
        <v>210.16666666666666</v>
      </c>
      <c r="J578" s="16">
        <f t="shared" si="369"/>
        <v>-18068.203211969307</v>
      </c>
      <c r="K578" s="15">
        <f t="shared" si="370"/>
        <v>22.170849845882874</v>
      </c>
      <c r="L578" s="75">
        <f>K578*(1-PARAM!$C$27)*$I$5+(MOD($B578,60)=PARAM!$B$56)*($B578&gt;(60-PARAM!$B$56))*HLOOKUP(($B578+PARAM!$B$56)/12,Loyalty,2)*$F$1*MAX(N577,0)</f>
        <v>18.557001321003963</v>
      </c>
      <c r="M578" s="75">
        <f>PARAM!$C$26+MAX($G$5-CHOOSE(PARAM!$B$44,MAX(0,N577*$F$1),0),0)*RATES!$L554/12+$H$5*(PARAM!$D$51/12)*RATES!$N554/100</f>
        <v>210.16666666666666</v>
      </c>
      <c r="N578" s="16">
        <f t="shared" si="371"/>
        <v>-18002.66696300908</v>
      </c>
      <c r="O578" s="15">
        <f t="shared" si="372"/>
        <v>22.170849845882874</v>
      </c>
      <c r="P578" s="75">
        <f>O578*(1-PARAM!$C$27)*$I$6+(MOD($B578,60)=PARAM!$B$56)*($B578&gt;(60-PARAM!$B$56))*HLOOKUP(($B578+PARAM!$B$56)/12,Loyalty,2)*$F$1*MAX(R577,0)</f>
        <v>18.557001321003963</v>
      </c>
      <c r="Q578" s="75">
        <f>PARAM!$C$26+MAX($G$6-CHOOSE(PARAM!$B$44,MAX(0,R577*$F$1),0),0)*RATES!$L554/12+$H$6*(PARAM!$D$51/12)*RATES!$N554/100</f>
        <v>210.16666666666666</v>
      </c>
      <c r="R578" s="16">
        <f t="shared" si="373"/>
        <v>-18002.66696300908</v>
      </c>
      <c r="S578" s="15">
        <f t="shared" si="348"/>
        <v>22.170849845882874</v>
      </c>
      <c r="T578" s="75">
        <f>S578*(1-PARAM!$C$27)*$I$7+(MOD($B578,60)=PARAM!$B$56)*($B578&gt;(60-PARAM!$B$56))*HLOOKUP(($B578+PARAM!$B$56)/12,Loyalty,2)*$F$1*MAX(V577,0)</f>
        <v>18.557001321003963</v>
      </c>
      <c r="U578" s="75">
        <f>PARAM!$C$26+MAX($G$7-CHOOSE(PARAM!$B$44,MAX(0,V577*$F$1),0),0)*RATES!$L554/12+$H$7*(PARAM!$D$51/12)*RATES!$N554/100</f>
        <v>210.16666666666666</v>
      </c>
      <c r="V578" s="16">
        <f t="shared" si="374"/>
        <v>-18002.66696300908</v>
      </c>
      <c r="W578" s="15">
        <f t="shared" si="349"/>
        <v>22.170849845882874</v>
      </c>
      <c r="X578" s="75">
        <f>W578*(1-PARAM!$C$27)*$I$8+(MOD($B578,60)=PARAM!$B$56)*($B578&gt;(60-PARAM!$B$56))*HLOOKUP(($B578+PARAM!$B$56)/12,Loyalty,2)*$F$1*MAX(Z577,0)</f>
        <v>18.557001321003963</v>
      </c>
      <c r="Y578" s="75">
        <f>PARAM!$C$26+MAX($G$8-CHOOSE(PARAM!$B$44,MAX(0,Z577*$F$1),0),0)*RATES!$L554/12+$H$8*(PARAM!$D$51/12)*RATES!$N554/100</f>
        <v>210.16666666666666</v>
      </c>
      <c r="Z578" s="16">
        <f t="shared" si="375"/>
        <v>-18002.66696300908</v>
      </c>
      <c r="AA578" s="15">
        <f t="shared" si="350"/>
        <v>22.170849845882874</v>
      </c>
      <c r="AB578" s="75">
        <f>AA578*(1-PARAM!$C$27)*$I$9+(MOD($B578,60)=PARAM!$B$56)*($B578&gt;(60-PARAM!$B$56))*HLOOKUP(($B578+PARAM!$B$56)/12,Loyalty,2)*$F$1*MAX(AD577,0)</f>
        <v>18.557001321003963</v>
      </c>
      <c r="AC578" s="75">
        <f>PARAM!$C$26+MAX($G$9-CHOOSE(PARAM!$B$44,MAX(0,AD577*$F$1),0),0)*RATES!$L554/12+$H$9*(PARAM!$D$51/12)*RATES!$N554/100</f>
        <v>210.16666666666666</v>
      </c>
      <c r="AD578" s="16">
        <f t="shared" si="376"/>
        <v>-18002.66696300908</v>
      </c>
      <c r="AE578" s="15">
        <f t="shared" si="351"/>
        <v>22.170849845882874</v>
      </c>
      <c r="AF578" s="75">
        <f>AE578*(1-PARAM!$C$27)*$I$10+(MOD($B578,60)=PARAM!$B$56)*($B578&gt;(60-PARAM!$B$56))*HLOOKUP(($B578+PARAM!$B$56)/12,Loyalty,2)*$F$1*MAX(AH577,0)</f>
        <v>18.557001321003963</v>
      </c>
      <c r="AG578" s="75">
        <f>PARAM!$C$26+MAX($G$10-CHOOSE(PARAM!$B$44,MAX(0,AH577*$F$1),0),0)*RATES!$L554/12+$H$10*(PARAM!$D$51/12)*RATES!$N554/100</f>
        <v>210.16666666666666</v>
      </c>
      <c r="AH578" s="16">
        <f t="shared" si="377"/>
        <v>-18002.66696300908</v>
      </c>
      <c r="AI578" s="15">
        <f t="shared" si="352"/>
        <v>22.170849845882874</v>
      </c>
      <c r="AJ578" s="75">
        <f>AI578*(1-PARAM!$C$27)*$I$11+(MOD($B578,60)=PARAM!$B$56)*($B578&gt;(60-PARAM!$B$56))*HLOOKUP(($B578+PARAM!$B$56)/12,Loyalty,2)*$F$1*MAX(AL577,0)</f>
        <v>18.557001321003963</v>
      </c>
      <c r="AK578" s="75">
        <f>PARAM!$C$26+MAX($G$11-CHOOSE(PARAM!$B$44,MAX(0,AL577*$F$1),0),0)*RATES!$L554/12+$H$11*(PARAM!$D$51/12)*RATES!$N554/100</f>
        <v>210.16666666666666</v>
      </c>
      <c r="AL578" s="16">
        <f t="shared" si="378"/>
        <v>-18002.66696300908</v>
      </c>
      <c r="AM578" s="15">
        <f t="shared" si="353"/>
        <v>22.170849845882874</v>
      </c>
      <c r="AN578" s="75">
        <f>AM578*(1-PARAM!$C$27)*$I$12+(MOD($B578,60)=PARAM!$B$56)*($B578&gt;(60-PARAM!$B$56))*HLOOKUP(($B578+PARAM!$B$56)/12,Loyalty,2)*$F$1*MAX(AP577,0)</f>
        <v>18.557001321003963</v>
      </c>
      <c r="AO578" s="75">
        <f>PARAM!$C$26+MAX($G$12-CHOOSE(PARAM!$B$44,MAX(0,AP577*$F$1),0),0)*RATES!$L554/12+$H$12*(PARAM!$D$51/12)*RATES!$N554/100</f>
        <v>210.16666666666666</v>
      </c>
      <c r="AP578" s="16">
        <f t="shared" si="379"/>
        <v>-18002.66696300908</v>
      </c>
      <c r="AQ578" s="15">
        <f t="shared" si="354"/>
        <v>22.170849845882874</v>
      </c>
      <c r="AR578" s="75">
        <f>AQ578*(1-PARAM!$C$27)*$I$13+(MOD($B578,60)=PARAM!$B$56)*($B578&gt;(60-PARAM!$B$56))*HLOOKUP(($B578+PARAM!$B$56)/12,Loyalty,2)*$F$1*MAX(AT577,0)</f>
        <v>18.557001321003963</v>
      </c>
      <c r="AS578" s="75">
        <f>PARAM!$C$26+MAX($G$13-CHOOSE(PARAM!$B$44,MAX(0,AT577*$F$1),0),0)*RATES!$L554/12+$H$13*(PARAM!$D$51/12)*RATES!$N554/100</f>
        <v>210.16666666666666</v>
      </c>
      <c r="AT578" s="16">
        <f t="shared" si="380"/>
        <v>-18002.66696300908</v>
      </c>
      <c r="AU578" s="15">
        <f t="shared" si="355"/>
        <v>22.170849845882874</v>
      </c>
      <c r="AV578" s="75">
        <f>AU578*(1-PARAM!$C$27)*$I$14+(MOD($B578,60)=PARAM!$B$56)*($B578&gt;(60-PARAM!$B$56))*HLOOKUP(($B578+PARAM!$B$56)/12,Loyalty,2)*$F$1*MAX(AX577,0)</f>
        <v>18.557001321003963</v>
      </c>
      <c r="AW578" s="75">
        <f>PARAM!$C$26+MAX($G$14-CHOOSE(PARAM!$B$44,MAX(0,AX577*$F$1),0),0)*RATES!$L554/12+$H$14*(PARAM!$D$51/12)*RATES!$N554/100</f>
        <v>210.16666666666666</v>
      </c>
      <c r="AX578" s="16">
        <f t="shared" si="381"/>
        <v>-18002.66696300908</v>
      </c>
      <c r="AY578" s="15">
        <f t="shared" si="356"/>
        <v>22.170849845882874</v>
      </c>
      <c r="AZ578" s="75">
        <f>AY578*(1-PARAM!$C$27)*$I$15+(MOD($B578,60)=PARAM!$B$56)*($B578&gt;(60-PARAM!$B$56))*HLOOKUP(($B578+PARAM!$B$56)/12,Loyalty,2)*$F$1*MAX(BB577,0)</f>
        <v>18.557001321003963</v>
      </c>
      <c r="BA578" s="75">
        <f>PARAM!$C$26+MAX($G$15-CHOOSE(PARAM!$B$44,MAX(0,BB577*$F$1),0),0)*RATES!$L554/12+$H$15*(PARAM!$D$51/12)*RATES!$N554/100</f>
        <v>210.16666666666666</v>
      </c>
      <c r="BB578" s="16">
        <f t="shared" si="382"/>
        <v>-18002.66696300908</v>
      </c>
      <c r="BC578" s="15">
        <f t="shared" si="357"/>
        <v>22.170849845882874</v>
      </c>
      <c r="BD578" s="75">
        <f>BC578*(1-PARAM!$C$27)*$I$16+(MOD($B578,60)=PARAM!$B$56)*($B578&gt;(60-PARAM!$B$56))*HLOOKUP(($B578+PARAM!$B$56)/12,Loyalty,2)*$F$1*MAX(BF577,0)</f>
        <v>18.557001321003963</v>
      </c>
      <c r="BE578" s="75">
        <f>PARAM!$C$26+MAX($G$16-CHOOSE(PARAM!$B$44,MAX(0,BF577*$F$1),0),0)*RATES!$L554/12+$H$16*(PARAM!$D$51/12)*RATES!$N554/100</f>
        <v>210.16666666666666</v>
      </c>
      <c r="BF578" s="16">
        <f t="shared" si="383"/>
        <v>-18002.66696300908</v>
      </c>
      <c r="BG578" s="15">
        <f t="shared" si="358"/>
        <v>22.170849845882874</v>
      </c>
      <c r="BH578" s="75">
        <f>BG578*(1-PARAM!$C$27)*$I$17+(MOD($B578,60)=PARAM!$B$56)*($B578&gt;(60-PARAM!$B$56))*HLOOKUP(($B578+PARAM!$B$56)/12,Loyalty,2)*$F$1*MAX(BJ577,0)</f>
        <v>18.557001321003963</v>
      </c>
      <c r="BI578" s="75">
        <f>PARAM!$C$26+MAX($G$17-CHOOSE(PARAM!$B$44,MAX(0,BJ577*$F$1),0),0)*RATES!$L554/12+$H$17*(PARAM!$D$51/12)*RATES!$N554/100</f>
        <v>210.16666666666666</v>
      </c>
      <c r="BJ578" s="16">
        <f t="shared" si="384"/>
        <v>-18002.66696300908</v>
      </c>
      <c r="BK578" s="15">
        <f t="shared" si="359"/>
        <v>22.170849845882874</v>
      </c>
      <c r="BL578" s="75">
        <f>BK578*(1-PARAM!$C$27)*$I$18+(MOD($B578,60)=PARAM!$B$56)*($B578&gt;(60-PARAM!$B$56))*HLOOKUP(($B578+PARAM!$B$56)/12,Loyalty,2)*$F$1*MAX(BN577,0)</f>
        <v>18.557001321003963</v>
      </c>
      <c r="BM578" s="75">
        <f>PARAM!$C$26+MAX($G$18-CHOOSE(PARAM!$B$44,MAX(0,BN577*$F$1),0),0)*RATES!$L554/12+$H$18*(PARAM!$D$51/12)*RATES!$N554/100</f>
        <v>210.16666666666666</v>
      </c>
      <c r="BN578" s="16">
        <f t="shared" si="385"/>
        <v>-18002.66696300908</v>
      </c>
      <c r="BO578" s="15">
        <f t="shared" si="360"/>
        <v>22.170849845882874</v>
      </c>
      <c r="BP578" s="75">
        <f>BO578*(1-PARAM!$C$27)*$I$19+(MOD($B578,60)=PARAM!$B$56)*($B578&gt;(60-PARAM!$B$56))*HLOOKUP(($B578+PARAM!$B$56)/12,Loyalty,2)*$F$1*MAX(BR577,0)</f>
        <v>18.557001321003963</v>
      </c>
      <c r="BQ578" s="75">
        <f>PARAM!$C$26+MAX($G$19-CHOOSE(PARAM!$B$44,MAX(0,BR577*$F$1),0),0)*RATES!$L554/12+$H$19*(PARAM!$D$51/12)*RATES!$N554/100</f>
        <v>210.16666666666666</v>
      </c>
      <c r="BR578" s="16">
        <f t="shared" si="386"/>
        <v>-18002.66696300908</v>
      </c>
      <c r="BS578" s="15">
        <f t="shared" si="361"/>
        <v>22.170849845882874</v>
      </c>
      <c r="BT578" s="75">
        <f>BS578*(1-PARAM!$C$27)*$I$20+(MOD($B578,60)=PARAM!$B$56)*($B578&gt;(60-PARAM!$B$56))*HLOOKUP(($B578+PARAM!$B$56)/12,Loyalty,2)*$F$1*MAX(BV577,0)</f>
        <v>18.557001321003963</v>
      </c>
      <c r="BU578" s="75">
        <f>PARAM!$C$26+MAX($G$20-CHOOSE(PARAM!$B$44,MAX(0,BV577*$F$1),0),0)*RATES!$L554/12+$H$20*(PARAM!$D$51/12)*RATES!$N554/100</f>
        <v>210.16666666666666</v>
      </c>
      <c r="BV578" s="16">
        <f t="shared" si="387"/>
        <v>-18002.66696300908</v>
      </c>
      <c r="BW578" s="15">
        <f t="shared" si="362"/>
        <v>22.170849845882874</v>
      </c>
      <c r="BX578" s="75">
        <f>BW578*(1-PARAM!$C$27)*$I$21+(MOD($B578,60)=PARAM!$B$56)*($B578&gt;(60-PARAM!$B$56))*HLOOKUP(($B578+PARAM!$B$56)/12,Loyalty,2)*$F$1*MAX(BZ577,0)</f>
        <v>18.557001321003963</v>
      </c>
      <c r="BY578" s="75">
        <f>PARAM!$C$26+MAX($G$21-CHOOSE(PARAM!$B$44,MAX(0,BZ577*$F$1),0),0)*RATES!$L554/12+$H$21*(PARAM!$D$51/12)*RATES!$N554/100</f>
        <v>210.16666666666666</v>
      </c>
      <c r="BZ578" s="16">
        <f t="shared" si="388"/>
        <v>-18002.66696300908</v>
      </c>
      <c r="CA578" s="15">
        <f t="shared" si="363"/>
        <v>22.170849845882874</v>
      </c>
      <c r="CB578" s="75">
        <f>CA578*(1-PARAM!$C$27)*$I$22+(MOD($B578,60)=PARAM!$B$56)*($B578&gt;(60-PARAM!$B$56))*HLOOKUP(($B578+PARAM!$B$56)/12,Loyalty,2)*$F$1*MAX(CD577,0)</f>
        <v>18.557001321003963</v>
      </c>
      <c r="CC578" s="75">
        <f>PARAM!$C$26+MAX($G$22-CHOOSE(PARAM!$B$44,MAX(0,CD577*$F$1),0),0)*RATES!$L554/12+$H$22*(PARAM!$D$51/12)*RATES!$N554/100</f>
        <v>210.16666666666666</v>
      </c>
      <c r="CD578" s="16">
        <f t="shared" si="389"/>
        <v>-18002.66696300908</v>
      </c>
      <c r="CE578" s="33">
        <f>IF(0=MOD(B578,12/PARAM!$D$51),1,0)</f>
        <v>1</v>
      </c>
      <c r="CF578" s="15">
        <f t="shared" si="364"/>
        <v>0</v>
      </c>
      <c r="CG578" s="75">
        <f>CF578*(1-PARAM!$C$27)*$R$3+(MOD($B578/12,5)=0)*($B578&gt;60)*HLOOKUP($B578/12,Loyalty,2)*$F$1*MAX(CI577,0)</f>
        <v>0</v>
      </c>
      <c r="CH578" s="75">
        <f>PARAM!$C$26+MAX($P$3-CHOOSE(PARAM!$B$44,MAX(0,CI577*$F$1),0),0)*RATES!$L554/12+$Q$3*(PARAM!$D$51/12)*RATES!$N554/100</f>
        <v>210.16666666666666</v>
      </c>
      <c r="CI578" s="16">
        <f>IF(CI577&gt;0,CI577*PARAM!$C$53,CI577)+CG578-CH578</f>
        <v>-28107.999999999989</v>
      </c>
      <c r="CJ578" s="15">
        <f t="shared" si="390"/>
        <v>0</v>
      </c>
      <c r="CK578" s="75">
        <f>CJ578*(1-PARAM!$C$27)*$R$4+(MOD($B578/12,5)=0)*($B578&gt;60)*HLOOKUP($B578/12,Loyalty,2)*$F$1*MAX(CM577,0)</f>
        <v>0</v>
      </c>
      <c r="CL578" s="75">
        <f>PARAM!$C$26+MAX($P$4-CHOOSE(PARAM!$B$44,MAX(0,CM577*$F$1),0),0)*RATES!$L554/12+$Q$4*(PARAM!$D$51/12)*RATES!$N554/100</f>
        <v>210.16666666666666</v>
      </c>
      <c r="CM578" s="16">
        <f>IF(CM577&gt;0,CM577*PARAM!$C$53,CM577)+CK578-CL578</f>
        <v>-28107.999999999989</v>
      </c>
      <c r="CO578" s="176"/>
    </row>
    <row r="579" spans="1:93" x14ac:dyDescent="0.2">
      <c r="A579" t="b">
        <f t="shared" si="365"/>
        <v>0</v>
      </c>
      <c r="B579" s="33">
        <v>552</v>
      </c>
      <c r="C579" s="15">
        <f t="shared" si="366"/>
        <v>20.081305947392778</v>
      </c>
      <c r="D579" s="75">
        <f>C579*(1-PARAM!$C$27)*$I$3+(MOD($B579,60)=PARAM!$B$56)*($B579&gt;(60-PARAM!$B$56))*HLOOKUP(($B579+PARAM!$B$56)/12,Loyalty,2)*$F$1*MAX(F578,0)</f>
        <v>16.808053077967756</v>
      </c>
      <c r="E579" s="75">
        <f>PARAM!$C$26+MAX($G$3-CHOOSE(PARAM!$B$44,MAX(0,F578*$F$1),0),0)*RATES!$L555/12+$H$3*(PARAM!$D$51/12)*RATES!$N555/100</f>
        <v>210.16666666666666</v>
      </c>
      <c r="F579" s="16">
        <f t="shared" si="367"/>
        <v>-19196.546559032235</v>
      </c>
      <c r="G579" s="15">
        <f t="shared" si="368"/>
        <v>22.035289406060361</v>
      </c>
      <c r="H579" s="75">
        <f>G579*(1-PARAM!$C$27)*$I$4+(MOD($B579,60)=PARAM!$B$56)*($B579&gt;(60-PARAM!$B$56))*HLOOKUP(($B579+PARAM!$B$56)/12,Loyalty,2)*$F$1*MAX(J578,0)</f>
        <v>18.443537232872522</v>
      </c>
      <c r="I579" s="75">
        <f>PARAM!$C$26+MAX($G$4-CHOOSE(PARAM!$B$44,MAX(0,J578*$F$1),0),0)*RATES!$L555/12+$H$4*(PARAM!$D$51/12)*RATES!$N555/100</f>
        <v>210.16666666666666</v>
      </c>
      <c r="J579" s="16">
        <f t="shared" si="369"/>
        <v>-18259.926341403101</v>
      </c>
      <c r="K579" s="15">
        <f t="shared" si="370"/>
        <v>22.170849845882874</v>
      </c>
      <c r="L579" s="75">
        <f>K579*(1-PARAM!$C$27)*$I$5+(MOD($B579,60)=PARAM!$B$56)*($B579&gt;(60-PARAM!$B$56))*HLOOKUP(($B579+PARAM!$B$56)/12,Loyalty,2)*$F$1*MAX(N578,0)</f>
        <v>18.557001321003963</v>
      </c>
      <c r="M579" s="75">
        <f>PARAM!$C$26+MAX($G$5-CHOOSE(PARAM!$B$44,MAX(0,N578*$F$1),0),0)*RATES!$L555/12+$H$5*(PARAM!$D$51/12)*RATES!$N555/100</f>
        <v>210.16666666666666</v>
      </c>
      <c r="N579" s="16">
        <f t="shared" si="371"/>
        <v>-18194.276628354743</v>
      </c>
      <c r="O579" s="15">
        <f t="shared" si="372"/>
        <v>22.170849845882874</v>
      </c>
      <c r="P579" s="75">
        <f>O579*(1-PARAM!$C$27)*$I$6+(MOD($B579,60)=PARAM!$B$56)*($B579&gt;(60-PARAM!$B$56))*HLOOKUP(($B579+PARAM!$B$56)/12,Loyalty,2)*$F$1*MAX(R578,0)</f>
        <v>18.557001321003963</v>
      </c>
      <c r="Q579" s="75">
        <f>PARAM!$C$26+MAX($G$6-CHOOSE(PARAM!$B$44,MAX(0,R578*$F$1),0),0)*RATES!$L555/12+$H$6*(PARAM!$D$51/12)*RATES!$N555/100</f>
        <v>210.16666666666666</v>
      </c>
      <c r="R579" s="16">
        <f t="shared" si="373"/>
        <v>-18194.276628354743</v>
      </c>
      <c r="S579" s="15">
        <f t="shared" si="348"/>
        <v>22.170849845882874</v>
      </c>
      <c r="T579" s="75">
        <f>S579*(1-PARAM!$C$27)*$I$7+(MOD($B579,60)=PARAM!$B$56)*($B579&gt;(60-PARAM!$B$56))*HLOOKUP(($B579+PARAM!$B$56)/12,Loyalty,2)*$F$1*MAX(V578,0)</f>
        <v>18.557001321003963</v>
      </c>
      <c r="U579" s="75">
        <f>PARAM!$C$26+MAX($G$7-CHOOSE(PARAM!$B$44,MAX(0,V578*$F$1),0),0)*RATES!$L555/12+$H$7*(PARAM!$D$51/12)*RATES!$N555/100</f>
        <v>210.16666666666666</v>
      </c>
      <c r="V579" s="16">
        <f t="shared" si="374"/>
        <v>-18194.276628354743</v>
      </c>
      <c r="W579" s="15">
        <f t="shared" si="349"/>
        <v>22.170849845882874</v>
      </c>
      <c r="X579" s="75">
        <f>W579*(1-PARAM!$C$27)*$I$8+(MOD($B579,60)=PARAM!$B$56)*($B579&gt;(60-PARAM!$B$56))*HLOOKUP(($B579+PARAM!$B$56)/12,Loyalty,2)*$F$1*MAX(Z578,0)</f>
        <v>18.557001321003963</v>
      </c>
      <c r="Y579" s="75">
        <f>PARAM!$C$26+MAX($G$8-CHOOSE(PARAM!$B$44,MAX(0,Z578*$F$1),0),0)*RATES!$L555/12+$H$8*(PARAM!$D$51/12)*RATES!$N555/100</f>
        <v>210.16666666666666</v>
      </c>
      <c r="Z579" s="16">
        <f t="shared" si="375"/>
        <v>-18194.276628354743</v>
      </c>
      <c r="AA579" s="15">
        <f t="shared" si="350"/>
        <v>22.170849845882874</v>
      </c>
      <c r="AB579" s="75">
        <f>AA579*(1-PARAM!$C$27)*$I$9+(MOD($B579,60)=PARAM!$B$56)*($B579&gt;(60-PARAM!$B$56))*HLOOKUP(($B579+PARAM!$B$56)/12,Loyalty,2)*$F$1*MAX(AD578,0)</f>
        <v>18.557001321003963</v>
      </c>
      <c r="AC579" s="75">
        <f>PARAM!$C$26+MAX($G$9-CHOOSE(PARAM!$B$44,MAX(0,AD578*$F$1),0),0)*RATES!$L555/12+$H$9*(PARAM!$D$51/12)*RATES!$N555/100</f>
        <v>210.16666666666666</v>
      </c>
      <c r="AD579" s="16">
        <f t="shared" si="376"/>
        <v>-18194.276628354743</v>
      </c>
      <c r="AE579" s="15">
        <f t="shared" si="351"/>
        <v>22.170849845882874</v>
      </c>
      <c r="AF579" s="75">
        <f>AE579*(1-PARAM!$C$27)*$I$10+(MOD($B579,60)=PARAM!$B$56)*($B579&gt;(60-PARAM!$B$56))*HLOOKUP(($B579+PARAM!$B$56)/12,Loyalty,2)*$F$1*MAX(AH578,0)</f>
        <v>18.557001321003963</v>
      </c>
      <c r="AG579" s="75">
        <f>PARAM!$C$26+MAX($G$10-CHOOSE(PARAM!$B$44,MAX(0,AH578*$F$1),0),0)*RATES!$L555/12+$H$10*(PARAM!$D$51/12)*RATES!$N555/100</f>
        <v>210.16666666666666</v>
      </c>
      <c r="AH579" s="16">
        <f t="shared" si="377"/>
        <v>-18194.276628354743</v>
      </c>
      <c r="AI579" s="15">
        <f t="shared" si="352"/>
        <v>22.170849845882874</v>
      </c>
      <c r="AJ579" s="75">
        <f>AI579*(1-PARAM!$C$27)*$I$11+(MOD($B579,60)=PARAM!$B$56)*($B579&gt;(60-PARAM!$B$56))*HLOOKUP(($B579+PARAM!$B$56)/12,Loyalty,2)*$F$1*MAX(AL578,0)</f>
        <v>18.557001321003963</v>
      </c>
      <c r="AK579" s="75">
        <f>PARAM!$C$26+MAX($G$11-CHOOSE(PARAM!$B$44,MAX(0,AL578*$F$1),0),0)*RATES!$L555/12+$H$11*(PARAM!$D$51/12)*RATES!$N555/100</f>
        <v>210.16666666666666</v>
      </c>
      <c r="AL579" s="16">
        <f t="shared" si="378"/>
        <v>-18194.276628354743</v>
      </c>
      <c r="AM579" s="15">
        <f t="shared" si="353"/>
        <v>22.170849845882874</v>
      </c>
      <c r="AN579" s="75">
        <f>AM579*(1-PARAM!$C$27)*$I$12+(MOD($B579,60)=PARAM!$B$56)*($B579&gt;(60-PARAM!$B$56))*HLOOKUP(($B579+PARAM!$B$56)/12,Loyalty,2)*$F$1*MAX(AP578,0)</f>
        <v>18.557001321003963</v>
      </c>
      <c r="AO579" s="75">
        <f>PARAM!$C$26+MAX($G$12-CHOOSE(PARAM!$B$44,MAX(0,AP578*$F$1),0),0)*RATES!$L555/12+$H$12*(PARAM!$D$51/12)*RATES!$N555/100</f>
        <v>210.16666666666666</v>
      </c>
      <c r="AP579" s="16">
        <f t="shared" si="379"/>
        <v>-18194.276628354743</v>
      </c>
      <c r="AQ579" s="15">
        <f t="shared" si="354"/>
        <v>22.170849845882874</v>
      </c>
      <c r="AR579" s="75">
        <f>AQ579*(1-PARAM!$C$27)*$I$13+(MOD($B579,60)=PARAM!$B$56)*($B579&gt;(60-PARAM!$B$56))*HLOOKUP(($B579+PARAM!$B$56)/12,Loyalty,2)*$F$1*MAX(AT578,0)</f>
        <v>18.557001321003963</v>
      </c>
      <c r="AS579" s="75">
        <f>PARAM!$C$26+MAX($G$13-CHOOSE(PARAM!$B$44,MAX(0,AT578*$F$1),0),0)*RATES!$L555/12+$H$13*(PARAM!$D$51/12)*RATES!$N555/100</f>
        <v>210.16666666666666</v>
      </c>
      <c r="AT579" s="16">
        <f t="shared" si="380"/>
        <v>-18194.276628354743</v>
      </c>
      <c r="AU579" s="15">
        <f t="shared" si="355"/>
        <v>22.170849845882874</v>
      </c>
      <c r="AV579" s="75">
        <f>AU579*(1-PARAM!$C$27)*$I$14+(MOD($B579,60)=PARAM!$B$56)*($B579&gt;(60-PARAM!$B$56))*HLOOKUP(($B579+PARAM!$B$56)/12,Loyalty,2)*$F$1*MAX(AX578,0)</f>
        <v>18.557001321003963</v>
      </c>
      <c r="AW579" s="75">
        <f>PARAM!$C$26+MAX($G$14-CHOOSE(PARAM!$B$44,MAX(0,AX578*$F$1),0),0)*RATES!$L555/12+$H$14*(PARAM!$D$51/12)*RATES!$N555/100</f>
        <v>210.16666666666666</v>
      </c>
      <c r="AX579" s="16">
        <f t="shared" si="381"/>
        <v>-18194.276628354743</v>
      </c>
      <c r="AY579" s="15">
        <f t="shared" si="356"/>
        <v>22.170849845882874</v>
      </c>
      <c r="AZ579" s="75">
        <f>AY579*(1-PARAM!$C$27)*$I$15+(MOD($B579,60)=PARAM!$B$56)*($B579&gt;(60-PARAM!$B$56))*HLOOKUP(($B579+PARAM!$B$56)/12,Loyalty,2)*$F$1*MAX(BB578,0)</f>
        <v>18.557001321003963</v>
      </c>
      <c r="BA579" s="75">
        <f>PARAM!$C$26+MAX($G$15-CHOOSE(PARAM!$B$44,MAX(0,BB578*$F$1),0),0)*RATES!$L555/12+$H$15*(PARAM!$D$51/12)*RATES!$N555/100</f>
        <v>210.16666666666666</v>
      </c>
      <c r="BB579" s="16">
        <f t="shared" si="382"/>
        <v>-18194.276628354743</v>
      </c>
      <c r="BC579" s="15">
        <f t="shared" si="357"/>
        <v>22.170849845882874</v>
      </c>
      <c r="BD579" s="75">
        <f>BC579*(1-PARAM!$C$27)*$I$16+(MOD($B579,60)=PARAM!$B$56)*($B579&gt;(60-PARAM!$B$56))*HLOOKUP(($B579+PARAM!$B$56)/12,Loyalty,2)*$F$1*MAX(BF578,0)</f>
        <v>18.557001321003963</v>
      </c>
      <c r="BE579" s="75">
        <f>PARAM!$C$26+MAX($G$16-CHOOSE(PARAM!$B$44,MAX(0,BF578*$F$1),0),0)*RATES!$L555/12+$H$16*(PARAM!$D$51/12)*RATES!$N555/100</f>
        <v>210.16666666666666</v>
      </c>
      <c r="BF579" s="16">
        <f t="shared" si="383"/>
        <v>-18194.276628354743</v>
      </c>
      <c r="BG579" s="15">
        <f t="shared" si="358"/>
        <v>22.170849845882874</v>
      </c>
      <c r="BH579" s="75">
        <f>BG579*(1-PARAM!$C$27)*$I$17+(MOD($B579,60)=PARAM!$B$56)*($B579&gt;(60-PARAM!$B$56))*HLOOKUP(($B579+PARAM!$B$56)/12,Loyalty,2)*$F$1*MAX(BJ578,0)</f>
        <v>18.557001321003963</v>
      </c>
      <c r="BI579" s="75">
        <f>PARAM!$C$26+MAX($G$17-CHOOSE(PARAM!$B$44,MAX(0,BJ578*$F$1),0),0)*RATES!$L555/12+$H$17*(PARAM!$D$51/12)*RATES!$N555/100</f>
        <v>210.16666666666666</v>
      </c>
      <c r="BJ579" s="16">
        <f t="shared" si="384"/>
        <v>-18194.276628354743</v>
      </c>
      <c r="BK579" s="15">
        <f t="shared" si="359"/>
        <v>22.170849845882874</v>
      </c>
      <c r="BL579" s="75">
        <f>BK579*(1-PARAM!$C$27)*$I$18+(MOD($B579,60)=PARAM!$B$56)*($B579&gt;(60-PARAM!$B$56))*HLOOKUP(($B579+PARAM!$B$56)/12,Loyalty,2)*$F$1*MAX(BN578,0)</f>
        <v>18.557001321003963</v>
      </c>
      <c r="BM579" s="75">
        <f>PARAM!$C$26+MAX($G$18-CHOOSE(PARAM!$B$44,MAX(0,BN578*$F$1),0),0)*RATES!$L555/12+$H$18*(PARAM!$D$51/12)*RATES!$N555/100</f>
        <v>210.16666666666666</v>
      </c>
      <c r="BN579" s="16">
        <f t="shared" si="385"/>
        <v>-18194.276628354743</v>
      </c>
      <c r="BO579" s="15">
        <f t="shared" si="360"/>
        <v>22.170849845882874</v>
      </c>
      <c r="BP579" s="75">
        <f>BO579*(1-PARAM!$C$27)*$I$19+(MOD($B579,60)=PARAM!$B$56)*($B579&gt;(60-PARAM!$B$56))*HLOOKUP(($B579+PARAM!$B$56)/12,Loyalty,2)*$F$1*MAX(BR578,0)</f>
        <v>18.557001321003963</v>
      </c>
      <c r="BQ579" s="75">
        <f>PARAM!$C$26+MAX($G$19-CHOOSE(PARAM!$B$44,MAX(0,BR578*$F$1),0),0)*RATES!$L555/12+$H$19*(PARAM!$D$51/12)*RATES!$N555/100</f>
        <v>210.16666666666666</v>
      </c>
      <c r="BR579" s="16">
        <f t="shared" si="386"/>
        <v>-18194.276628354743</v>
      </c>
      <c r="BS579" s="15">
        <f t="shared" si="361"/>
        <v>22.170849845882874</v>
      </c>
      <c r="BT579" s="75">
        <f>BS579*(1-PARAM!$C$27)*$I$20+(MOD($B579,60)=PARAM!$B$56)*($B579&gt;(60-PARAM!$B$56))*HLOOKUP(($B579+PARAM!$B$56)/12,Loyalty,2)*$F$1*MAX(BV578,0)</f>
        <v>18.557001321003963</v>
      </c>
      <c r="BU579" s="75">
        <f>PARAM!$C$26+MAX($G$20-CHOOSE(PARAM!$B$44,MAX(0,BV578*$F$1),0),0)*RATES!$L555/12+$H$20*(PARAM!$D$51/12)*RATES!$N555/100</f>
        <v>210.16666666666666</v>
      </c>
      <c r="BV579" s="16">
        <f t="shared" si="387"/>
        <v>-18194.276628354743</v>
      </c>
      <c r="BW579" s="15">
        <f t="shared" si="362"/>
        <v>22.170849845882874</v>
      </c>
      <c r="BX579" s="75">
        <f>BW579*(1-PARAM!$C$27)*$I$21+(MOD($B579,60)=PARAM!$B$56)*($B579&gt;(60-PARAM!$B$56))*HLOOKUP(($B579+PARAM!$B$56)/12,Loyalty,2)*$F$1*MAX(BZ578,0)</f>
        <v>18.557001321003963</v>
      </c>
      <c r="BY579" s="75">
        <f>PARAM!$C$26+MAX($G$21-CHOOSE(PARAM!$B$44,MAX(0,BZ578*$F$1),0),0)*RATES!$L555/12+$H$21*(PARAM!$D$51/12)*RATES!$N555/100</f>
        <v>210.16666666666666</v>
      </c>
      <c r="BZ579" s="16">
        <f t="shared" si="388"/>
        <v>-18194.276628354743</v>
      </c>
      <c r="CA579" s="15">
        <f t="shared" si="363"/>
        <v>22.170849845882874</v>
      </c>
      <c r="CB579" s="75">
        <f>CA579*(1-PARAM!$C$27)*$I$22+(MOD($B579,60)=PARAM!$B$56)*($B579&gt;(60-PARAM!$B$56))*HLOOKUP(($B579+PARAM!$B$56)/12,Loyalty,2)*$F$1*MAX(CD578,0)</f>
        <v>18.557001321003963</v>
      </c>
      <c r="CC579" s="75">
        <f>PARAM!$C$26+MAX($G$22-CHOOSE(PARAM!$B$44,MAX(0,CD578*$F$1),0),0)*RATES!$L555/12+$H$22*(PARAM!$D$51/12)*RATES!$N555/100</f>
        <v>210.16666666666666</v>
      </c>
      <c r="CD579" s="16">
        <f t="shared" si="389"/>
        <v>-18194.276628354743</v>
      </c>
      <c r="CE579" s="33">
        <f>IF(0=MOD(B579,12/PARAM!$D$51),1,0)</f>
        <v>1</v>
      </c>
      <c r="CF579" s="15">
        <f t="shared" si="364"/>
        <v>0</v>
      </c>
      <c r="CG579" s="75">
        <f>CF579*(1-PARAM!$C$27)*$R$3+(MOD($B579/12,5)=0)*($B579&gt;60)*HLOOKUP($B579/12,Loyalty,2)*$F$1*MAX(CI578,0)</f>
        <v>0</v>
      </c>
      <c r="CH579" s="75">
        <f>PARAM!$C$26+MAX($P$3-CHOOSE(PARAM!$B$44,MAX(0,CI578*$F$1),0),0)*RATES!$L555/12+$Q$3*(PARAM!$D$51/12)*RATES!$N555/100</f>
        <v>210.16666666666666</v>
      </c>
      <c r="CI579" s="16">
        <f>IF(CI578&gt;0,CI578*PARAM!$C$53,CI578)+CG579-CH579</f>
        <v>-28318.166666666657</v>
      </c>
      <c r="CJ579" s="15">
        <f t="shared" si="390"/>
        <v>0</v>
      </c>
      <c r="CK579" s="75">
        <f>CJ579*(1-PARAM!$C$27)*$R$4+(MOD($B579/12,5)=0)*($B579&gt;60)*HLOOKUP($B579/12,Loyalty,2)*$F$1*MAX(CM578,0)</f>
        <v>0</v>
      </c>
      <c r="CL579" s="75">
        <f>PARAM!$C$26+MAX($P$4-CHOOSE(PARAM!$B$44,MAX(0,CM578*$F$1),0),0)*RATES!$L555/12+$Q$4*(PARAM!$D$51/12)*RATES!$N555/100</f>
        <v>210.16666666666666</v>
      </c>
      <c r="CM579" s="16">
        <f>IF(CM578&gt;0,CM578*PARAM!$C$53,CM578)+CK579-CL579</f>
        <v>-28318.166666666657</v>
      </c>
      <c r="CO579" s="176"/>
    </row>
    <row r="580" spans="1:93" x14ac:dyDescent="0.2">
      <c r="A580" t="b">
        <f t="shared" si="365"/>
        <v>0</v>
      </c>
      <c r="B580" s="33">
        <v>553</v>
      </c>
      <c r="C580" s="15">
        <f t="shared" si="366"/>
        <v>20.081305947392778</v>
      </c>
      <c r="D580" s="75">
        <f>C580*(1-PARAM!$C$27)*$I$3+(MOD($B580,60)=PARAM!$B$56)*($B580&gt;(60-PARAM!$B$56))*HLOOKUP(($B580+PARAM!$B$56)/12,Loyalty,2)*$F$1*MAX(F579,0)</f>
        <v>16.808053077967756</v>
      </c>
      <c r="E580" s="75">
        <f>PARAM!$C$26+MAX($G$3-CHOOSE(PARAM!$B$44,MAX(0,F579*$F$1),0),0)*RATES!$L556/12+$H$3*(PARAM!$D$51/12)*RATES!$N556/100</f>
        <v>210.16666666666666</v>
      </c>
      <c r="F580" s="16">
        <f t="shared" si="367"/>
        <v>-19389.905172620936</v>
      </c>
      <c r="G580" s="15">
        <f t="shared" si="368"/>
        <v>22.035289406060361</v>
      </c>
      <c r="H580" s="75">
        <f>G580*(1-PARAM!$C$27)*$I$4+(MOD($B580,60)=PARAM!$B$56)*($B580&gt;(60-PARAM!$B$56))*HLOOKUP(($B580+PARAM!$B$56)/12,Loyalty,2)*$F$1*MAX(J579,0)</f>
        <v>18.443537232872522</v>
      </c>
      <c r="I580" s="75">
        <f>PARAM!$C$26+MAX($G$4-CHOOSE(PARAM!$B$44,MAX(0,J579*$F$1),0),0)*RATES!$L556/12+$H$4*(PARAM!$D$51/12)*RATES!$N556/100</f>
        <v>210.16666666666666</v>
      </c>
      <c r="J580" s="16">
        <f t="shared" si="369"/>
        <v>-18451.649470836895</v>
      </c>
      <c r="K580" s="15">
        <f t="shared" si="370"/>
        <v>22.170849845882874</v>
      </c>
      <c r="L580" s="75">
        <f>K580*(1-PARAM!$C$27)*$I$5+(MOD($B580,60)=PARAM!$B$56)*($B580&gt;(60-PARAM!$B$56))*HLOOKUP(($B580+PARAM!$B$56)/12,Loyalty,2)*$F$1*MAX(N579,0)</f>
        <v>18.557001321003963</v>
      </c>
      <c r="M580" s="75">
        <f>PARAM!$C$26+MAX($G$5-CHOOSE(PARAM!$B$44,MAX(0,N579*$F$1),0),0)*RATES!$L556/12+$H$5*(PARAM!$D$51/12)*RATES!$N556/100</f>
        <v>210.16666666666666</v>
      </c>
      <c r="N580" s="16">
        <f t="shared" si="371"/>
        <v>-18385.886293700405</v>
      </c>
      <c r="O580" s="15">
        <f t="shared" si="372"/>
        <v>22.170849845882874</v>
      </c>
      <c r="P580" s="75">
        <f>O580*(1-PARAM!$C$27)*$I$6+(MOD($B580,60)=PARAM!$B$56)*($B580&gt;(60-PARAM!$B$56))*HLOOKUP(($B580+PARAM!$B$56)/12,Loyalty,2)*$F$1*MAX(R579,0)</f>
        <v>18.557001321003963</v>
      </c>
      <c r="Q580" s="75">
        <f>PARAM!$C$26+MAX($G$6-CHOOSE(PARAM!$B$44,MAX(0,R579*$F$1),0),0)*RATES!$L556/12+$H$6*(PARAM!$D$51/12)*RATES!$N556/100</f>
        <v>210.16666666666666</v>
      </c>
      <c r="R580" s="16">
        <f t="shared" si="373"/>
        <v>-18385.886293700405</v>
      </c>
      <c r="S580" s="15">
        <f t="shared" si="348"/>
        <v>22.170849845882874</v>
      </c>
      <c r="T580" s="75">
        <f>S580*(1-PARAM!$C$27)*$I$7+(MOD($B580,60)=PARAM!$B$56)*($B580&gt;(60-PARAM!$B$56))*HLOOKUP(($B580+PARAM!$B$56)/12,Loyalty,2)*$F$1*MAX(V579,0)</f>
        <v>18.557001321003963</v>
      </c>
      <c r="U580" s="75">
        <f>PARAM!$C$26+MAX($G$7-CHOOSE(PARAM!$B$44,MAX(0,V579*$F$1),0),0)*RATES!$L556/12+$H$7*(PARAM!$D$51/12)*RATES!$N556/100</f>
        <v>210.16666666666666</v>
      </c>
      <c r="V580" s="16">
        <f t="shared" si="374"/>
        <v>-18385.886293700405</v>
      </c>
      <c r="W580" s="15">
        <f t="shared" si="349"/>
        <v>22.170849845882874</v>
      </c>
      <c r="X580" s="75">
        <f>W580*(1-PARAM!$C$27)*$I$8+(MOD($B580,60)=PARAM!$B$56)*($B580&gt;(60-PARAM!$B$56))*HLOOKUP(($B580+PARAM!$B$56)/12,Loyalty,2)*$F$1*MAX(Z579,0)</f>
        <v>18.557001321003963</v>
      </c>
      <c r="Y580" s="75">
        <f>PARAM!$C$26+MAX($G$8-CHOOSE(PARAM!$B$44,MAX(0,Z579*$F$1),0),0)*RATES!$L556/12+$H$8*(PARAM!$D$51/12)*RATES!$N556/100</f>
        <v>210.16666666666666</v>
      </c>
      <c r="Z580" s="16">
        <f t="shared" si="375"/>
        <v>-18385.886293700405</v>
      </c>
      <c r="AA580" s="15">
        <f t="shared" si="350"/>
        <v>22.170849845882874</v>
      </c>
      <c r="AB580" s="75">
        <f>AA580*(1-PARAM!$C$27)*$I$9+(MOD($B580,60)=PARAM!$B$56)*($B580&gt;(60-PARAM!$B$56))*HLOOKUP(($B580+PARAM!$B$56)/12,Loyalty,2)*$F$1*MAX(AD579,0)</f>
        <v>18.557001321003963</v>
      </c>
      <c r="AC580" s="75">
        <f>PARAM!$C$26+MAX($G$9-CHOOSE(PARAM!$B$44,MAX(0,AD579*$F$1),0),0)*RATES!$L556/12+$H$9*(PARAM!$D$51/12)*RATES!$N556/100</f>
        <v>210.16666666666666</v>
      </c>
      <c r="AD580" s="16">
        <f t="shared" si="376"/>
        <v>-18385.886293700405</v>
      </c>
      <c r="AE580" s="15">
        <f t="shared" si="351"/>
        <v>22.170849845882874</v>
      </c>
      <c r="AF580" s="75">
        <f>AE580*(1-PARAM!$C$27)*$I$10+(MOD($B580,60)=PARAM!$B$56)*($B580&gt;(60-PARAM!$B$56))*HLOOKUP(($B580+PARAM!$B$56)/12,Loyalty,2)*$F$1*MAX(AH579,0)</f>
        <v>18.557001321003963</v>
      </c>
      <c r="AG580" s="75">
        <f>PARAM!$C$26+MAX($G$10-CHOOSE(PARAM!$B$44,MAX(0,AH579*$F$1),0),0)*RATES!$L556/12+$H$10*(PARAM!$D$51/12)*RATES!$N556/100</f>
        <v>210.16666666666666</v>
      </c>
      <c r="AH580" s="16">
        <f t="shared" si="377"/>
        <v>-18385.886293700405</v>
      </c>
      <c r="AI580" s="15">
        <f t="shared" si="352"/>
        <v>22.170849845882874</v>
      </c>
      <c r="AJ580" s="75">
        <f>AI580*(1-PARAM!$C$27)*$I$11+(MOD($B580,60)=PARAM!$B$56)*($B580&gt;(60-PARAM!$B$56))*HLOOKUP(($B580+PARAM!$B$56)/12,Loyalty,2)*$F$1*MAX(AL579,0)</f>
        <v>18.557001321003963</v>
      </c>
      <c r="AK580" s="75">
        <f>PARAM!$C$26+MAX($G$11-CHOOSE(PARAM!$B$44,MAX(0,AL579*$F$1),0),0)*RATES!$L556/12+$H$11*(PARAM!$D$51/12)*RATES!$N556/100</f>
        <v>210.16666666666666</v>
      </c>
      <c r="AL580" s="16">
        <f t="shared" si="378"/>
        <v>-18385.886293700405</v>
      </c>
      <c r="AM580" s="15">
        <f t="shared" si="353"/>
        <v>22.170849845882874</v>
      </c>
      <c r="AN580" s="75">
        <f>AM580*(1-PARAM!$C$27)*$I$12+(MOD($B580,60)=PARAM!$B$56)*($B580&gt;(60-PARAM!$B$56))*HLOOKUP(($B580+PARAM!$B$56)/12,Loyalty,2)*$F$1*MAX(AP579,0)</f>
        <v>18.557001321003963</v>
      </c>
      <c r="AO580" s="75">
        <f>PARAM!$C$26+MAX($G$12-CHOOSE(PARAM!$B$44,MAX(0,AP579*$F$1),0),0)*RATES!$L556/12+$H$12*(PARAM!$D$51/12)*RATES!$N556/100</f>
        <v>210.16666666666666</v>
      </c>
      <c r="AP580" s="16">
        <f t="shared" si="379"/>
        <v>-18385.886293700405</v>
      </c>
      <c r="AQ580" s="15">
        <f t="shared" si="354"/>
        <v>22.170849845882874</v>
      </c>
      <c r="AR580" s="75">
        <f>AQ580*(1-PARAM!$C$27)*$I$13+(MOD($B580,60)=PARAM!$B$56)*($B580&gt;(60-PARAM!$B$56))*HLOOKUP(($B580+PARAM!$B$56)/12,Loyalty,2)*$F$1*MAX(AT579,0)</f>
        <v>18.557001321003963</v>
      </c>
      <c r="AS580" s="75">
        <f>PARAM!$C$26+MAX($G$13-CHOOSE(PARAM!$B$44,MAX(0,AT579*$F$1),0),0)*RATES!$L556/12+$H$13*(PARAM!$D$51/12)*RATES!$N556/100</f>
        <v>210.16666666666666</v>
      </c>
      <c r="AT580" s="16">
        <f t="shared" si="380"/>
        <v>-18385.886293700405</v>
      </c>
      <c r="AU580" s="15">
        <f t="shared" si="355"/>
        <v>22.170849845882874</v>
      </c>
      <c r="AV580" s="75">
        <f>AU580*(1-PARAM!$C$27)*$I$14+(MOD($B580,60)=PARAM!$B$56)*($B580&gt;(60-PARAM!$B$56))*HLOOKUP(($B580+PARAM!$B$56)/12,Loyalty,2)*$F$1*MAX(AX579,0)</f>
        <v>18.557001321003963</v>
      </c>
      <c r="AW580" s="75">
        <f>PARAM!$C$26+MAX($G$14-CHOOSE(PARAM!$B$44,MAX(0,AX579*$F$1),0),0)*RATES!$L556/12+$H$14*(PARAM!$D$51/12)*RATES!$N556/100</f>
        <v>210.16666666666666</v>
      </c>
      <c r="AX580" s="16">
        <f t="shared" si="381"/>
        <v>-18385.886293700405</v>
      </c>
      <c r="AY580" s="15">
        <f t="shared" si="356"/>
        <v>22.170849845882874</v>
      </c>
      <c r="AZ580" s="75">
        <f>AY580*(1-PARAM!$C$27)*$I$15+(MOD($B580,60)=PARAM!$B$56)*($B580&gt;(60-PARAM!$B$56))*HLOOKUP(($B580+PARAM!$B$56)/12,Loyalty,2)*$F$1*MAX(BB579,0)</f>
        <v>18.557001321003963</v>
      </c>
      <c r="BA580" s="75">
        <f>PARAM!$C$26+MAX($G$15-CHOOSE(PARAM!$B$44,MAX(0,BB579*$F$1),0),0)*RATES!$L556/12+$H$15*(PARAM!$D$51/12)*RATES!$N556/100</f>
        <v>210.16666666666666</v>
      </c>
      <c r="BB580" s="16">
        <f t="shared" si="382"/>
        <v>-18385.886293700405</v>
      </c>
      <c r="BC580" s="15">
        <f t="shared" si="357"/>
        <v>22.170849845882874</v>
      </c>
      <c r="BD580" s="75">
        <f>BC580*(1-PARAM!$C$27)*$I$16+(MOD($B580,60)=PARAM!$B$56)*($B580&gt;(60-PARAM!$B$56))*HLOOKUP(($B580+PARAM!$B$56)/12,Loyalty,2)*$F$1*MAX(BF579,0)</f>
        <v>18.557001321003963</v>
      </c>
      <c r="BE580" s="75">
        <f>PARAM!$C$26+MAX($G$16-CHOOSE(PARAM!$B$44,MAX(0,BF579*$F$1),0),0)*RATES!$L556/12+$H$16*(PARAM!$D$51/12)*RATES!$N556/100</f>
        <v>210.16666666666666</v>
      </c>
      <c r="BF580" s="16">
        <f t="shared" si="383"/>
        <v>-18385.886293700405</v>
      </c>
      <c r="BG580" s="15">
        <f t="shared" si="358"/>
        <v>22.170849845882874</v>
      </c>
      <c r="BH580" s="75">
        <f>BG580*(1-PARAM!$C$27)*$I$17+(MOD($B580,60)=PARAM!$B$56)*($B580&gt;(60-PARAM!$B$56))*HLOOKUP(($B580+PARAM!$B$56)/12,Loyalty,2)*$F$1*MAX(BJ579,0)</f>
        <v>18.557001321003963</v>
      </c>
      <c r="BI580" s="75">
        <f>PARAM!$C$26+MAX($G$17-CHOOSE(PARAM!$B$44,MAX(0,BJ579*$F$1),0),0)*RATES!$L556/12+$H$17*(PARAM!$D$51/12)*RATES!$N556/100</f>
        <v>210.16666666666666</v>
      </c>
      <c r="BJ580" s="16">
        <f t="shared" si="384"/>
        <v>-18385.886293700405</v>
      </c>
      <c r="BK580" s="15">
        <f t="shared" si="359"/>
        <v>22.170849845882874</v>
      </c>
      <c r="BL580" s="75">
        <f>BK580*(1-PARAM!$C$27)*$I$18+(MOD($B580,60)=PARAM!$B$56)*($B580&gt;(60-PARAM!$B$56))*HLOOKUP(($B580+PARAM!$B$56)/12,Loyalty,2)*$F$1*MAX(BN579,0)</f>
        <v>18.557001321003963</v>
      </c>
      <c r="BM580" s="75">
        <f>PARAM!$C$26+MAX($G$18-CHOOSE(PARAM!$B$44,MAX(0,BN579*$F$1),0),0)*RATES!$L556/12+$H$18*(PARAM!$D$51/12)*RATES!$N556/100</f>
        <v>210.16666666666666</v>
      </c>
      <c r="BN580" s="16">
        <f t="shared" si="385"/>
        <v>-18385.886293700405</v>
      </c>
      <c r="BO580" s="15">
        <f t="shared" si="360"/>
        <v>22.170849845882874</v>
      </c>
      <c r="BP580" s="75">
        <f>BO580*(1-PARAM!$C$27)*$I$19+(MOD($B580,60)=PARAM!$B$56)*($B580&gt;(60-PARAM!$B$56))*HLOOKUP(($B580+PARAM!$B$56)/12,Loyalty,2)*$F$1*MAX(BR579,0)</f>
        <v>18.557001321003963</v>
      </c>
      <c r="BQ580" s="75">
        <f>PARAM!$C$26+MAX($G$19-CHOOSE(PARAM!$B$44,MAX(0,BR579*$F$1),0),0)*RATES!$L556/12+$H$19*(PARAM!$D$51/12)*RATES!$N556/100</f>
        <v>210.16666666666666</v>
      </c>
      <c r="BR580" s="16">
        <f t="shared" si="386"/>
        <v>-18385.886293700405</v>
      </c>
      <c r="BS580" s="15">
        <f t="shared" si="361"/>
        <v>22.170849845882874</v>
      </c>
      <c r="BT580" s="75">
        <f>BS580*(1-PARAM!$C$27)*$I$20+(MOD($B580,60)=PARAM!$B$56)*($B580&gt;(60-PARAM!$B$56))*HLOOKUP(($B580+PARAM!$B$56)/12,Loyalty,2)*$F$1*MAX(BV579,0)</f>
        <v>18.557001321003963</v>
      </c>
      <c r="BU580" s="75">
        <f>PARAM!$C$26+MAX($G$20-CHOOSE(PARAM!$B$44,MAX(0,BV579*$F$1),0),0)*RATES!$L556/12+$H$20*(PARAM!$D$51/12)*RATES!$N556/100</f>
        <v>210.16666666666666</v>
      </c>
      <c r="BV580" s="16">
        <f t="shared" si="387"/>
        <v>-18385.886293700405</v>
      </c>
      <c r="BW580" s="15">
        <f t="shared" si="362"/>
        <v>22.170849845882874</v>
      </c>
      <c r="BX580" s="75">
        <f>BW580*(1-PARAM!$C$27)*$I$21+(MOD($B580,60)=PARAM!$B$56)*($B580&gt;(60-PARAM!$B$56))*HLOOKUP(($B580+PARAM!$B$56)/12,Loyalty,2)*$F$1*MAX(BZ579,0)</f>
        <v>18.557001321003963</v>
      </c>
      <c r="BY580" s="75">
        <f>PARAM!$C$26+MAX($G$21-CHOOSE(PARAM!$B$44,MAX(0,BZ579*$F$1),0),0)*RATES!$L556/12+$H$21*(PARAM!$D$51/12)*RATES!$N556/100</f>
        <v>210.16666666666666</v>
      </c>
      <c r="BZ580" s="16">
        <f t="shared" si="388"/>
        <v>-18385.886293700405</v>
      </c>
      <c r="CA580" s="15">
        <f t="shared" si="363"/>
        <v>22.170849845882874</v>
      </c>
      <c r="CB580" s="75">
        <f>CA580*(1-PARAM!$C$27)*$I$22+(MOD($B580,60)=PARAM!$B$56)*($B580&gt;(60-PARAM!$B$56))*HLOOKUP(($B580+PARAM!$B$56)/12,Loyalty,2)*$F$1*MAX(CD579,0)</f>
        <v>18.557001321003963</v>
      </c>
      <c r="CC580" s="75">
        <f>PARAM!$C$26+MAX($G$22-CHOOSE(PARAM!$B$44,MAX(0,CD579*$F$1),0),0)*RATES!$L556/12+$H$22*(PARAM!$D$51/12)*RATES!$N556/100</f>
        <v>210.16666666666666</v>
      </c>
      <c r="CD580" s="16">
        <f t="shared" si="389"/>
        <v>-18385.886293700405</v>
      </c>
      <c r="CE580" s="33">
        <f>IF(0=MOD(B580,12/PARAM!$D$51),1,0)</f>
        <v>1</v>
      </c>
      <c r="CF580" s="15">
        <f t="shared" si="364"/>
        <v>0</v>
      </c>
      <c r="CG580" s="75">
        <f>CF580*(1-PARAM!$C$27)*$R$3+(MOD($B580/12,5)=0)*($B580&gt;60)*HLOOKUP($B580/12,Loyalty,2)*$F$1*MAX(CI579,0)</f>
        <v>0</v>
      </c>
      <c r="CH580" s="75">
        <f>PARAM!$C$26+MAX($P$3-CHOOSE(PARAM!$B$44,MAX(0,CI579*$F$1),0),0)*RATES!$L556/12+$Q$3*(PARAM!$D$51/12)*RATES!$N556/100</f>
        <v>210.16666666666666</v>
      </c>
      <c r="CI580" s="16">
        <f>IF(CI579&gt;0,CI579*PARAM!$C$53,CI579)+CG580-CH580</f>
        <v>-28528.333333333325</v>
      </c>
      <c r="CJ580" s="15">
        <f t="shared" si="390"/>
        <v>0</v>
      </c>
      <c r="CK580" s="75">
        <f>CJ580*(1-PARAM!$C$27)*$R$4+(MOD($B580/12,5)=0)*($B580&gt;60)*HLOOKUP($B580/12,Loyalty,2)*$F$1*MAX(CM579,0)</f>
        <v>0</v>
      </c>
      <c r="CL580" s="75">
        <f>PARAM!$C$26+MAX($P$4-CHOOSE(PARAM!$B$44,MAX(0,CM579*$F$1),0),0)*RATES!$L556/12+$Q$4*(PARAM!$D$51/12)*RATES!$N556/100</f>
        <v>210.16666666666666</v>
      </c>
      <c r="CM580" s="16">
        <f>IF(CM579&gt;0,CM579*PARAM!$C$53,CM579)+CK580-CL580</f>
        <v>-28528.333333333325</v>
      </c>
      <c r="CO580" s="176"/>
    </row>
    <row r="581" spans="1:93" x14ac:dyDescent="0.2">
      <c r="A581" t="b">
        <f t="shared" si="365"/>
        <v>0</v>
      </c>
      <c r="B581" s="33">
        <v>554</v>
      </c>
      <c r="C581" s="15">
        <f t="shared" si="366"/>
        <v>20.081305947392778</v>
      </c>
      <c r="D581" s="75">
        <f>C581*(1-PARAM!$C$27)*$I$3+(MOD($B581,60)=PARAM!$B$56)*($B581&gt;(60-PARAM!$B$56))*HLOOKUP(($B581+PARAM!$B$56)/12,Loyalty,2)*$F$1*MAX(F580,0)</f>
        <v>16.808053077967756</v>
      </c>
      <c r="E581" s="75">
        <f>PARAM!$C$26+MAX($G$3-CHOOSE(PARAM!$B$44,MAX(0,F580*$F$1),0),0)*RATES!$L557/12+$H$3*(PARAM!$D$51/12)*RATES!$N557/100</f>
        <v>210.16666666666666</v>
      </c>
      <c r="F581" s="16">
        <f t="shared" si="367"/>
        <v>-19583.263786209638</v>
      </c>
      <c r="G581" s="15">
        <f t="shared" si="368"/>
        <v>22.035289406060361</v>
      </c>
      <c r="H581" s="75">
        <f>G581*(1-PARAM!$C$27)*$I$4+(MOD($B581,60)=PARAM!$B$56)*($B581&gt;(60-PARAM!$B$56))*HLOOKUP(($B581+PARAM!$B$56)/12,Loyalty,2)*$F$1*MAX(J580,0)</f>
        <v>18.443537232872522</v>
      </c>
      <c r="I581" s="75">
        <f>PARAM!$C$26+MAX($G$4-CHOOSE(PARAM!$B$44,MAX(0,J580*$F$1),0),0)*RATES!$L557/12+$H$4*(PARAM!$D$51/12)*RATES!$N557/100</f>
        <v>210.16666666666666</v>
      </c>
      <c r="J581" s="16">
        <f t="shared" si="369"/>
        <v>-18643.37260027069</v>
      </c>
      <c r="K581" s="15">
        <f t="shared" si="370"/>
        <v>22.170849845882874</v>
      </c>
      <c r="L581" s="75">
        <f>K581*(1-PARAM!$C$27)*$I$5+(MOD($B581,60)=PARAM!$B$56)*($B581&gt;(60-PARAM!$B$56))*HLOOKUP(($B581+PARAM!$B$56)/12,Loyalty,2)*$F$1*MAX(N580,0)</f>
        <v>18.557001321003963</v>
      </c>
      <c r="M581" s="75">
        <f>PARAM!$C$26+MAX($G$5-CHOOSE(PARAM!$B$44,MAX(0,N580*$F$1),0),0)*RATES!$L557/12+$H$5*(PARAM!$D$51/12)*RATES!$N557/100</f>
        <v>210.16666666666666</v>
      </c>
      <c r="N581" s="16">
        <f t="shared" si="371"/>
        <v>-18577.495959046068</v>
      </c>
      <c r="O581" s="15">
        <f t="shared" si="372"/>
        <v>22.170849845882874</v>
      </c>
      <c r="P581" s="75">
        <f>O581*(1-PARAM!$C$27)*$I$6+(MOD($B581,60)=PARAM!$B$56)*($B581&gt;(60-PARAM!$B$56))*HLOOKUP(($B581+PARAM!$B$56)/12,Loyalty,2)*$F$1*MAX(R580,0)</f>
        <v>18.557001321003963</v>
      </c>
      <c r="Q581" s="75">
        <f>PARAM!$C$26+MAX($G$6-CHOOSE(PARAM!$B$44,MAX(0,R580*$F$1),0),0)*RATES!$L557/12+$H$6*(PARAM!$D$51/12)*RATES!$N557/100</f>
        <v>210.16666666666666</v>
      </c>
      <c r="R581" s="16">
        <f t="shared" si="373"/>
        <v>-18577.495959046068</v>
      </c>
      <c r="S581" s="15">
        <f t="shared" si="348"/>
        <v>22.170849845882874</v>
      </c>
      <c r="T581" s="75">
        <f>S581*(1-PARAM!$C$27)*$I$7+(MOD($B581,60)=PARAM!$B$56)*($B581&gt;(60-PARAM!$B$56))*HLOOKUP(($B581+PARAM!$B$56)/12,Loyalty,2)*$F$1*MAX(V580,0)</f>
        <v>18.557001321003963</v>
      </c>
      <c r="U581" s="75">
        <f>PARAM!$C$26+MAX($G$7-CHOOSE(PARAM!$B$44,MAX(0,V580*$F$1),0),0)*RATES!$L557/12+$H$7*(PARAM!$D$51/12)*RATES!$N557/100</f>
        <v>210.16666666666666</v>
      </c>
      <c r="V581" s="16">
        <f t="shared" si="374"/>
        <v>-18577.495959046068</v>
      </c>
      <c r="W581" s="15">
        <f t="shared" si="349"/>
        <v>22.170849845882874</v>
      </c>
      <c r="X581" s="75">
        <f>W581*(1-PARAM!$C$27)*$I$8+(MOD($B581,60)=PARAM!$B$56)*($B581&gt;(60-PARAM!$B$56))*HLOOKUP(($B581+PARAM!$B$56)/12,Loyalty,2)*$F$1*MAX(Z580,0)</f>
        <v>18.557001321003963</v>
      </c>
      <c r="Y581" s="75">
        <f>PARAM!$C$26+MAX($G$8-CHOOSE(PARAM!$B$44,MAX(0,Z580*$F$1),0),0)*RATES!$L557/12+$H$8*(PARAM!$D$51/12)*RATES!$N557/100</f>
        <v>210.16666666666666</v>
      </c>
      <c r="Z581" s="16">
        <f t="shared" si="375"/>
        <v>-18577.495959046068</v>
      </c>
      <c r="AA581" s="15">
        <f t="shared" si="350"/>
        <v>22.170849845882874</v>
      </c>
      <c r="AB581" s="75">
        <f>AA581*(1-PARAM!$C$27)*$I$9+(MOD($B581,60)=PARAM!$B$56)*($B581&gt;(60-PARAM!$B$56))*HLOOKUP(($B581+PARAM!$B$56)/12,Loyalty,2)*$F$1*MAX(AD580,0)</f>
        <v>18.557001321003963</v>
      </c>
      <c r="AC581" s="75">
        <f>PARAM!$C$26+MAX($G$9-CHOOSE(PARAM!$B$44,MAX(0,AD580*$F$1),0),0)*RATES!$L557/12+$H$9*(PARAM!$D$51/12)*RATES!$N557/100</f>
        <v>210.16666666666666</v>
      </c>
      <c r="AD581" s="16">
        <f t="shared" si="376"/>
        <v>-18577.495959046068</v>
      </c>
      <c r="AE581" s="15">
        <f t="shared" si="351"/>
        <v>22.170849845882874</v>
      </c>
      <c r="AF581" s="75">
        <f>AE581*(1-PARAM!$C$27)*$I$10+(MOD($B581,60)=PARAM!$B$56)*($B581&gt;(60-PARAM!$B$56))*HLOOKUP(($B581+PARAM!$B$56)/12,Loyalty,2)*$F$1*MAX(AH580,0)</f>
        <v>18.557001321003963</v>
      </c>
      <c r="AG581" s="75">
        <f>PARAM!$C$26+MAX($G$10-CHOOSE(PARAM!$B$44,MAX(0,AH580*$F$1),0),0)*RATES!$L557/12+$H$10*(PARAM!$D$51/12)*RATES!$N557/100</f>
        <v>210.16666666666666</v>
      </c>
      <c r="AH581" s="16">
        <f t="shared" si="377"/>
        <v>-18577.495959046068</v>
      </c>
      <c r="AI581" s="15">
        <f t="shared" si="352"/>
        <v>22.170849845882874</v>
      </c>
      <c r="AJ581" s="75">
        <f>AI581*(1-PARAM!$C$27)*$I$11+(MOD($B581,60)=PARAM!$B$56)*($B581&gt;(60-PARAM!$B$56))*HLOOKUP(($B581+PARAM!$B$56)/12,Loyalty,2)*$F$1*MAX(AL580,0)</f>
        <v>18.557001321003963</v>
      </c>
      <c r="AK581" s="75">
        <f>PARAM!$C$26+MAX($G$11-CHOOSE(PARAM!$B$44,MAX(0,AL580*$F$1),0),0)*RATES!$L557/12+$H$11*(PARAM!$D$51/12)*RATES!$N557/100</f>
        <v>210.16666666666666</v>
      </c>
      <c r="AL581" s="16">
        <f t="shared" si="378"/>
        <v>-18577.495959046068</v>
      </c>
      <c r="AM581" s="15">
        <f t="shared" si="353"/>
        <v>22.170849845882874</v>
      </c>
      <c r="AN581" s="75">
        <f>AM581*(1-PARAM!$C$27)*$I$12+(MOD($B581,60)=PARAM!$B$56)*($B581&gt;(60-PARAM!$B$56))*HLOOKUP(($B581+PARAM!$B$56)/12,Loyalty,2)*$F$1*MAX(AP580,0)</f>
        <v>18.557001321003963</v>
      </c>
      <c r="AO581" s="75">
        <f>PARAM!$C$26+MAX($G$12-CHOOSE(PARAM!$B$44,MAX(0,AP580*$F$1),0),0)*RATES!$L557/12+$H$12*(PARAM!$D$51/12)*RATES!$N557/100</f>
        <v>210.16666666666666</v>
      </c>
      <c r="AP581" s="16">
        <f t="shared" si="379"/>
        <v>-18577.495959046068</v>
      </c>
      <c r="AQ581" s="15">
        <f t="shared" si="354"/>
        <v>22.170849845882874</v>
      </c>
      <c r="AR581" s="75">
        <f>AQ581*(1-PARAM!$C$27)*$I$13+(MOD($B581,60)=PARAM!$B$56)*($B581&gt;(60-PARAM!$B$56))*HLOOKUP(($B581+PARAM!$B$56)/12,Loyalty,2)*$F$1*MAX(AT580,0)</f>
        <v>18.557001321003963</v>
      </c>
      <c r="AS581" s="75">
        <f>PARAM!$C$26+MAX($G$13-CHOOSE(PARAM!$B$44,MAX(0,AT580*$F$1),0),0)*RATES!$L557/12+$H$13*(PARAM!$D$51/12)*RATES!$N557/100</f>
        <v>210.16666666666666</v>
      </c>
      <c r="AT581" s="16">
        <f t="shared" si="380"/>
        <v>-18577.495959046068</v>
      </c>
      <c r="AU581" s="15">
        <f t="shared" si="355"/>
        <v>22.170849845882874</v>
      </c>
      <c r="AV581" s="75">
        <f>AU581*(1-PARAM!$C$27)*$I$14+(MOD($B581,60)=PARAM!$B$56)*($B581&gt;(60-PARAM!$B$56))*HLOOKUP(($B581+PARAM!$B$56)/12,Loyalty,2)*$F$1*MAX(AX580,0)</f>
        <v>18.557001321003963</v>
      </c>
      <c r="AW581" s="75">
        <f>PARAM!$C$26+MAX($G$14-CHOOSE(PARAM!$B$44,MAX(0,AX580*$F$1),0),0)*RATES!$L557/12+$H$14*(PARAM!$D$51/12)*RATES!$N557/100</f>
        <v>210.16666666666666</v>
      </c>
      <c r="AX581" s="16">
        <f t="shared" si="381"/>
        <v>-18577.495959046068</v>
      </c>
      <c r="AY581" s="15">
        <f t="shared" si="356"/>
        <v>22.170849845882874</v>
      </c>
      <c r="AZ581" s="75">
        <f>AY581*(1-PARAM!$C$27)*$I$15+(MOD($B581,60)=PARAM!$B$56)*($B581&gt;(60-PARAM!$B$56))*HLOOKUP(($B581+PARAM!$B$56)/12,Loyalty,2)*$F$1*MAX(BB580,0)</f>
        <v>18.557001321003963</v>
      </c>
      <c r="BA581" s="75">
        <f>PARAM!$C$26+MAX($G$15-CHOOSE(PARAM!$B$44,MAX(0,BB580*$F$1),0),0)*RATES!$L557/12+$H$15*(PARAM!$D$51/12)*RATES!$N557/100</f>
        <v>210.16666666666666</v>
      </c>
      <c r="BB581" s="16">
        <f t="shared" si="382"/>
        <v>-18577.495959046068</v>
      </c>
      <c r="BC581" s="15">
        <f t="shared" si="357"/>
        <v>22.170849845882874</v>
      </c>
      <c r="BD581" s="75">
        <f>BC581*(1-PARAM!$C$27)*$I$16+(MOD($B581,60)=PARAM!$B$56)*($B581&gt;(60-PARAM!$B$56))*HLOOKUP(($B581+PARAM!$B$56)/12,Loyalty,2)*$F$1*MAX(BF580,0)</f>
        <v>18.557001321003963</v>
      </c>
      <c r="BE581" s="75">
        <f>PARAM!$C$26+MAX($G$16-CHOOSE(PARAM!$B$44,MAX(0,BF580*$F$1),0),0)*RATES!$L557/12+$H$16*(PARAM!$D$51/12)*RATES!$N557/100</f>
        <v>210.16666666666666</v>
      </c>
      <c r="BF581" s="16">
        <f t="shared" si="383"/>
        <v>-18577.495959046068</v>
      </c>
      <c r="BG581" s="15">
        <f t="shared" si="358"/>
        <v>22.170849845882874</v>
      </c>
      <c r="BH581" s="75">
        <f>BG581*(1-PARAM!$C$27)*$I$17+(MOD($B581,60)=PARAM!$B$56)*($B581&gt;(60-PARAM!$B$56))*HLOOKUP(($B581+PARAM!$B$56)/12,Loyalty,2)*$F$1*MAX(BJ580,0)</f>
        <v>18.557001321003963</v>
      </c>
      <c r="BI581" s="75">
        <f>PARAM!$C$26+MAX($G$17-CHOOSE(PARAM!$B$44,MAX(0,BJ580*$F$1),0),0)*RATES!$L557/12+$H$17*(PARAM!$D$51/12)*RATES!$N557/100</f>
        <v>210.16666666666666</v>
      </c>
      <c r="BJ581" s="16">
        <f t="shared" si="384"/>
        <v>-18577.495959046068</v>
      </c>
      <c r="BK581" s="15">
        <f t="shared" si="359"/>
        <v>22.170849845882874</v>
      </c>
      <c r="BL581" s="75">
        <f>BK581*(1-PARAM!$C$27)*$I$18+(MOD($B581,60)=PARAM!$B$56)*($B581&gt;(60-PARAM!$B$56))*HLOOKUP(($B581+PARAM!$B$56)/12,Loyalty,2)*$F$1*MAX(BN580,0)</f>
        <v>18.557001321003963</v>
      </c>
      <c r="BM581" s="75">
        <f>PARAM!$C$26+MAX($G$18-CHOOSE(PARAM!$B$44,MAX(0,BN580*$F$1),0),0)*RATES!$L557/12+$H$18*(PARAM!$D$51/12)*RATES!$N557/100</f>
        <v>210.16666666666666</v>
      </c>
      <c r="BN581" s="16">
        <f t="shared" si="385"/>
        <v>-18577.495959046068</v>
      </c>
      <c r="BO581" s="15">
        <f t="shared" si="360"/>
        <v>22.170849845882874</v>
      </c>
      <c r="BP581" s="75">
        <f>BO581*(1-PARAM!$C$27)*$I$19+(MOD($B581,60)=PARAM!$B$56)*($B581&gt;(60-PARAM!$B$56))*HLOOKUP(($B581+PARAM!$B$56)/12,Loyalty,2)*$F$1*MAX(BR580,0)</f>
        <v>18.557001321003963</v>
      </c>
      <c r="BQ581" s="75">
        <f>PARAM!$C$26+MAX($G$19-CHOOSE(PARAM!$B$44,MAX(0,BR580*$F$1),0),0)*RATES!$L557/12+$H$19*(PARAM!$D$51/12)*RATES!$N557/100</f>
        <v>210.16666666666666</v>
      </c>
      <c r="BR581" s="16">
        <f t="shared" si="386"/>
        <v>-18577.495959046068</v>
      </c>
      <c r="BS581" s="15">
        <f t="shared" si="361"/>
        <v>22.170849845882874</v>
      </c>
      <c r="BT581" s="75">
        <f>BS581*(1-PARAM!$C$27)*$I$20+(MOD($B581,60)=PARAM!$B$56)*($B581&gt;(60-PARAM!$B$56))*HLOOKUP(($B581+PARAM!$B$56)/12,Loyalty,2)*$F$1*MAX(BV580,0)</f>
        <v>18.557001321003963</v>
      </c>
      <c r="BU581" s="75">
        <f>PARAM!$C$26+MAX($G$20-CHOOSE(PARAM!$B$44,MAX(0,BV580*$F$1),0),0)*RATES!$L557/12+$H$20*(PARAM!$D$51/12)*RATES!$N557/100</f>
        <v>210.16666666666666</v>
      </c>
      <c r="BV581" s="16">
        <f t="shared" si="387"/>
        <v>-18577.495959046068</v>
      </c>
      <c r="BW581" s="15">
        <f t="shared" si="362"/>
        <v>22.170849845882874</v>
      </c>
      <c r="BX581" s="75">
        <f>BW581*(1-PARAM!$C$27)*$I$21+(MOD($B581,60)=PARAM!$B$56)*($B581&gt;(60-PARAM!$B$56))*HLOOKUP(($B581+PARAM!$B$56)/12,Loyalty,2)*$F$1*MAX(BZ580,0)</f>
        <v>18.557001321003963</v>
      </c>
      <c r="BY581" s="75">
        <f>PARAM!$C$26+MAX($G$21-CHOOSE(PARAM!$B$44,MAX(0,BZ580*$F$1),0),0)*RATES!$L557/12+$H$21*(PARAM!$D$51/12)*RATES!$N557/100</f>
        <v>210.16666666666666</v>
      </c>
      <c r="BZ581" s="16">
        <f t="shared" si="388"/>
        <v>-18577.495959046068</v>
      </c>
      <c r="CA581" s="15">
        <f t="shared" si="363"/>
        <v>22.170849845882874</v>
      </c>
      <c r="CB581" s="75">
        <f>CA581*(1-PARAM!$C$27)*$I$22+(MOD($B581,60)=PARAM!$B$56)*($B581&gt;(60-PARAM!$B$56))*HLOOKUP(($B581+PARAM!$B$56)/12,Loyalty,2)*$F$1*MAX(CD580,0)</f>
        <v>18.557001321003963</v>
      </c>
      <c r="CC581" s="75">
        <f>PARAM!$C$26+MAX($G$22-CHOOSE(PARAM!$B$44,MAX(0,CD580*$F$1),0),0)*RATES!$L557/12+$H$22*(PARAM!$D$51/12)*RATES!$N557/100</f>
        <v>210.16666666666666</v>
      </c>
      <c r="CD581" s="16">
        <f t="shared" si="389"/>
        <v>-18577.495959046068</v>
      </c>
      <c r="CE581" s="33">
        <f>IF(0=MOD(B581,12/PARAM!$D$51),1,0)</f>
        <v>1</v>
      </c>
      <c r="CF581" s="15">
        <f t="shared" si="364"/>
        <v>0</v>
      </c>
      <c r="CG581" s="75">
        <f>CF581*(1-PARAM!$C$27)*$R$3+(MOD($B581/12,5)=0)*($B581&gt;60)*HLOOKUP($B581/12,Loyalty,2)*$F$1*MAX(CI580,0)</f>
        <v>0</v>
      </c>
      <c r="CH581" s="75">
        <f>PARAM!$C$26+MAX($P$3-CHOOSE(PARAM!$B$44,MAX(0,CI580*$F$1),0),0)*RATES!$L557/12+$Q$3*(PARAM!$D$51/12)*RATES!$N557/100</f>
        <v>210.16666666666666</v>
      </c>
      <c r="CI581" s="16">
        <f>IF(CI580&gt;0,CI580*PARAM!$C$53,CI580)+CG581-CH581</f>
        <v>-28738.499999999993</v>
      </c>
      <c r="CJ581" s="15">
        <f t="shared" si="390"/>
        <v>0</v>
      </c>
      <c r="CK581" s="75">
        <f>CJ581*(1-PARAM!$C$27)*$R$4+(MOD($B581/12,5)=0)*($B581&gt;60)*HLOOKUP($B581/12,Loyalty,2)*$F$1*MAX(CM580,0)</f>
        <v>0</v>
      </c>
      <c r="CL581" s="75">
        <f>PARAM!$C$26+MAX($P$4-CHOOSE(PARAM!$B$44,MAX(0,CM580*$F$1),0),0)*RATES!$L557/12+$Q$4*(PARAM!$D$51/12)*RATES!$N557/100</f>
        <v>210.16666666666666</v>
      </c>
      <c r="CM581" s="16">
        <f>IF(CM580&gt;0,CM580*PARAM!$C$53,CM580)+CK581-CL581</f>
        <v>-28738.499999999993</v>
      </c>
      <c r="CO581" s="176"/>
    </row>
    <row r="582" spans="1:93" x14ac:dyDescent="0.2">
      <c r="A582" t="b">
        <f t="shared" si="365"/>
        <v>0</v>
      </c>
      <c r="B582" s="33">
        <v>555</v>
      </c>
      <c r="C582" s="15">
        <f t="shared" si="366"/>
        <v>20.081305947392778</v>
      </c>
      <c r="D582" s="75">
        <f>C582*(1-PARAM!$C$27)*$I$3+(MOD($B582,60)=PARAM!$B$56)*($B582&gt;(60-PARAM!$B$56))*HLOOKUP(($B582+PARAM!$B$56)/12,Loyalty,2)*$F$1*MAX(F581,0)</f>
        <v>16.808053077967756</v>
      </c>
      <c r="E582" s="75">
        <f>PARAM!$C$26+MAX($G$3-CHOOSE(PARAM!$B$44,MAX(0,F581*$F$1),0),0)*RATES!$L558/12+$H$3*(PARAM!$D$51/12)*RATES!$N558/100</f>
        <v>210.16666666666666</v>
      </c>
      <c r="F582" s="16">
        <f t="shared" si="367"/>
        <v>-19776.62239979834</v>
      </c>
      <c r="G582" s="15">
        <f t="shared" si="368"/>
        <v>22.035289406060361</v>
      </c>
      <c r="H582" s="75">
        <f>G582*(1-PARAM!$C$27)*$I$4+(MOD($B582,60)=PARAM!$B$56)*($B582&gt;(60-PARAM!$B$56))*HLOOKUP(($B582+PARAM!$B$56)/12,Loyalty,2)*$F$1*MAX(J581,0)</f>
        <v>18.443537232872522</v>
      </c>
      <c r="I582" s="75">
        <f>PARAM!$C$26+MAX($G$4-CHOOSE(PARAM!$B$44,MAX(0,J581*$F$1),0),0)*RATES!$L558/12+$H$4*(PARAM!$D$51/12)*RATES!$N558/100</f>
        <v>210.16666666666666</v>
      </c>
      <c r="J582" s="16">
        <f t="shared" si="369"/>
        <v>-18835.095729704484</v>
      </c>
      <c r="K582" s="15">
        <f t="shared" si="370"/>
        <v>22.170849845882874</v>
      </c>
      <c r="L582" s="75">
        <f>K582*(1-PARAM!$C$27)*$I$5+(MOD($B582,60)=PARAM!$B$56)*($B582&gt;(60-PARAM!$B$56))*HLOOKUP(($B582+PARAM!$B$56)/12,Loyalty,2)*$F$1*MAX(N581,0)</f>
        <v>18.557001321003963</v>
      </c>
      <c r="M582" s="75">
        <f>PARAM!$C$26+MAX($G$5-CHOOSE(PARAM!$B$44,MAX(0,N581*$F$1),0),0)*RATES!$L558/12+$H$5*(PARAM!$D$51/12)*RATES!$N558/100</f>
        <v>210.16666666666666</v>
      </c>
      <c r="N582" s="16">
        <f t="shared" si="371"/>
        <v>-18769.10562439173</v>
      </c>
      <c r="O582" s="15">
        <f t="shared" si="372"/>
        <v>22.170849845882874</v>
      </c>
      <c r="P582" s="75">
        <f>O582*(1-PARAM!$C$27)*$I$6+(MOD($B582,60)=PARAM!$B$56)*($B582&gt;(60-PARAM!$B$56))*HLOOKUP(($B582+PARAM!$B$56)/12,Loyalty,2)*$F$1*MAX(R581,0)</f>
        <v>18.557001321003963</v>
      </c>
      <c r="Q582" s="75">
        <f>PARAM!$C$26+MAX($G$6-CHOOSE(PARAM!$B$44,MAX(0,R581*$F$1),0),0)*RATES!$L558/12+$H$6*(PARAM!$D$51/12)*RATES!$N558/100</f>
        <v>210.16666666666666</v>
      </c>
      <c r="R582" s="16">
        <f t="shared" si="373"/>
        <v>-18769.10562439173</v>
      </c>
      <c r="S582" s="15">
        <f t="shared" si="348"/>
        <v>22.170849845882874</v>
      </c>
      <c r="T582" s="75">
        <f>S582*(1-PARAM!$C$27)*$I$7+(MOD($B582,60)=PARAM!$B$56)*($B582&gt;(60-PARAM!$B$56))*HLOOKUP(($B582+PARAM!$B$56)/12,Loyalty,2)*$F$1*MAX(V581,0)</f>
        <v>18.557001321003963</v>
      </c>
      <c r="U582" s="75">
        <f>PARAM!$C$26+MAX($G$7-CHOOSE(PARAM!$B$44,MAX(0,V581*$F$1),0),0)*RATES!$L558/12+$H$7*(PARAM!$D$51/12)*RATES!$N558/100</f>
        <v>210.16666666666666</v>
      </c>
      <c r="V582" s="16">
        <f t="shared" si="374"/>
        <v>-18769.10562439173</v>
      </c>
      <c r="W582" s="15">
        <f t="shared" si="349"/>
        <v>22.170849845882874</v>
      </c>
      <c r="X582" s="75">
        <f>W582*(1-PARAM!$C$27)*$I$8+(MOD($B582,60)=PARAM!$B$56)*($B582&gt;(60-PARAM!$B$56))*HLOOKUP(($B582+PARAM!$B$56)/12,Loyalty,2)*$F$1*MAX(Z581,0)</f>
        <v>18.557001321003963</v>
      </c>
      <c r="Y582" s="75">
        <f>PARAM!$C$26+MAX($G$8-CHOOSE(PARAM!$B$44,MAX(0,Z581*$F$1),0),0)*RATES!$L558/12+$H$8*(PARAM!$D$51/12)*RATES!$N558/100</f>
        <v>210.16666666666666</v>
      </c>
      <c r="Z582" s="16">
        <f t="shared" si="375"/>
        <v>-18769.10562439173</v>
      </c>
      <c r="AA582" s="15">
        <f t="shared" si="350"/>
        <v>22.170849845882874</v>
      </c>
      <c r="AB582" s="75">
        <f>AA582*(1-PARAM!$C$27)*$I$9+(MOD($B582,60)=PARAM!$B$56)*($B582&gt;(60-PARAM!$B$56))*HLOOKUP(($B582+PARAM!$B$56)/12,Loyalty,2)*$F$1*MAX(AD581,0)</f>
        <v>18.557001321003963</v>
      </c>
      <c r="AC582" s="75">
        <f>PARAM!$C$26+MAX($G$9-CHOOSE(PARAM!$B$44,MAX(0,AD581*$F$1),0),0)*RATES!$L558/12+$H$9*(PARAM!$D$51/12)*RATES!$N558/100</f>
        <v>210.16666666666666</v>
      </c>
      <c r="AD582" s="16">
        <f t="shared" si="376"/>
        <v>-18769.10562439173</v>
      </c>
      <c r="AE582" s="15">
        <f t="shared" si="351"/>
        <v>22.170849845882874</v>
      </c>
      <c r="AF582" s="75">
        <f>AE582*(1-PARAM!$C$27)*$I$10+(MOD($B582,60)=PARAM!$B$56)*($B582&gt;(60-PARAM!$B$56))*HLOOKUP(($B582+PARAM!$B$56)/12,Loyalty,2)*$F$1*MAX(AH581,0)</f>
        <v>18.557001321003963</v>
      </c>
      <c r="AG582" s="75">
        <f>PARAM!$C$26+MAX($G$10-CHOOSE(PARAM!$B$44,MAX(0,AH581*$F$1),0),0)*RATES!$L558/12+$H$10*(PARAM!$D$51/12)*RATES!$N558/100</f>
        <v>210.16666666666666</v>
      </c>
      <c r="AH582" s="16">
        <f t="shared" si="377"/>
        <v>-18769.10562439173</v>
      </c>
      <c r="AI582" s="15">
        <f t="shared" si="352"/>
        <v>22.170849845882874</v>
      </c>
      <c r="AJ582" s="75">
        <f>AI582*(1-PARAM!$C$27)*$I$11+(MOD($B582,60)=PARAM!$B$56)*($B582&gt;(60-PARAM!$B$56))*HLOOKUP(($B582+PARAM!$B$56)/12,Loyalty,2)*$F$1*MAX(AL581,0)</f>
        <v>18.557001321003963</v>
      </c>
      <c r="AK582" s="75">
        <f>PARAM!$C$26+MAX($G$11-CHOOSE(PARAM!$B$44,MAX(0,AL581*$F$1),0),0)*RATES!$L558/12+$H$11*(PARAM!$D$51/12)*RATES!$N558/100</f>
        <v>210.16666666666666</v>
      </c>
      <c r="AL582" s="16">
        <f t="shared" si="378"/>
        <v>-18769.10562439173</v>
      </c>
      <c r="AM582" s="15">
        <f t="shared" si="353"/>
        <v>22.170849845882874</v>
      </c>
      <c r="AN582" s="75">
        <f>AM582*(1-PARAM!$C$27)*$I$12+(MOD($B582,60)=PARAM!$B$56)*($B582&gt;(60-PARAM!$B$56))*HLOOKUP(($B582+PARAM!$B$56)/12,Loyalty,2)*$F$1*MAX(AP581,0)</f>
        <v>18.557001321003963</v>
      </c>
      <c r="AO582" s="75">
        <f>PARAM!$C$26+MAX($G$12-CHOOSE(PARAM!$B$44,MAX(0,AP581*$F$1),0),0)*RATES!$L558/12+$H$12*(PARAM!$D$51/12)*RATES!$N558/100</f>
        <v>210.16666666666666</v>
      </c>
      <c r="AP582" s="16">
        <f t="shared" si="379"/>
        <v>-18769.10562439173</v>
      </c>
      <c r="AQ582" s="15">
        <f t="shared" si="354"/>
        <v>22.170849845882874</v>
      </c>
      <c r="AR582" s="75">
        <f>AQ582*(1-PARAM!$C$27)*$I$13+(MOD($B582,60)=PARAM!$B$56)*($B582&gt;(60-PARAM!$B$56))*HLOOKUP(($B582+PARAM!$B$56)/12,Loyalty,2)*$F$1*MAX(AT581,0)</f>
        <v>18.557001321003963</v>
      </c>
      <c r="AS582" s="75">
        <f>PARAM!$C$26+MAX($G$13-CHOOSE(PARAM!$B$44,MAX(0,AT581*$F$1),0),0)*RATES!$L558/12+$H$13*(PARAM!$D$51/12)*RATES!$N558/100</f>
        <v>210.16666666666666</v>
      </c>
      <c r="AT582" s="16">
        <f t="shared" si="380"/>
        <v>-18769.10562439173</v>
      </c>
      <c r="AU582" s="15">
        <f t="shared" si="355"/>
        <v>22.170849845882874</v>
      </c>
      <c r="AV582" s="75">
        <f>AU582*(1-PARAM!$C$27)*$I$14+(MOD($B582,60)=PARAM!$B$56)*($B582&gt;(60-PARAM!$B$56))*HLOOKUP(($B582+PARAM!$B$56)/12,Loyalty,2)*$F$1*MAX(AX581,0)</f>
        <v>18.557001321003963</v>
      </c>
      <c r="AW582" s="75">
        <f>PARAM!$C$26+MAX($G$14-CHOOSE(PARAM!$B$44,MAX(0,AX581*$F$1),0),0)*RATES!$L558/12+$H$14*(PARAM!$D$51/12)*RATES!$N558/100</f>
        <v>210.16666666666666</v>
      </c>
      <c r="AX582" s="16">
        <f t="shared" si="381"/>
        <v>-18769.10562439173</v>
      </c>
      <c r="AY582" s="15">
        <f t="shared" si="356"/>
        <v>22.170849845882874</v>
      </c>
      <c r="AZ582" s="75">
        <f>AY582*(1-PARAM!$C$27)*$I$15+(MOD($B582,60)=PARAM!$B$56)*($B582&gt;(60-PARAM!$B$56))*HLOOKUP(($B582+PARAM!$B$56)/12,Loyalty,2)*$F$1*MAX(BB581,0)</f>
        <v>18.557001321003963</v>
      </c>
      <c r="BA582" s="75">
        <f>PARAM!$C$26+MAX($G$15-CHOOSE(PARAM!$B$44,MAX(0,BB581*$F$1),0),0)*RATES!$L558/12+$H$15*(PARAM!$D$51/12)*RATES!$N558/100</f>
        <v>210.16666666666666</v>
      </c>
      <c r="BB582" s="16">
        <f t="shared" si="382"/>
        <v>-18769.10562439173</v>
      </c>
      <c r="BC582" s="15">
        <f t="shared" si="357"/>
        <v>22.170849845882874</v>
      </c>
      <c r="BD582" s="75">
        <f>BC582*(1-PARAM!$C$27)*$I$16+(MOD($B582,60)=PARAM!$B$56)*($B582&gt;(60-PARAM!$B$56))*HLOOKUP(($B582+PARAM!$B$56)/12,Loyalty,2)*$F$1*MAX(BF581,0)</f>
        <v>18.557001321003963</v>
      </c>
      <c r="BE582" s="75">
        <f>PARAM!$C$26+MAX($G$16-CHOOSE(PARAM!$B$44,MAX(0,BF581*$F$1),0),0)*RATES!$L558/12+$H$16*(PARAM!$D$51/12)*RATES!$N558/100</f>
        <v>210.16666666666666</v>
      </c>
      <c r="BF582" s="16">
        <f t="shared" si="383"/>
        <v>-18769.10562439173</v>
      </c>
      <c r="BG582" s="15">
        <f t="shared" si="358"/>
        <v>22.170849845882874</v>
      </c>
      <c r="BH582" s="75">
        <f>BG582*(1-PARAM!$C$27)*$I$17+(MOD($B582,60)=PARAM!$B$56)*($B582&gt;(60-PARAM!$B$56))*HLOOKUP(($B582+PARAM!$B$56)/12,Loyalty,2)*$F$1*MAX(BJ581,0)</f>
        <v>18.557001321003963</v>
      </c>
      <c r="BI582" s="75">
        <f>PARAM!$C$26+MAX($G$17-CHOOSE(PARAM!$B$44,MAX(0,BJ581*$F$1),0),0)*RATES!$L558/12+$H$17*(PARAM!$D$51/12)*RATES!$N558/100</f>
        <v>210.16666666666666</v>
      </c>
      <c r="BJ582" s="16">
        <f t="shared" si="384"/>
        <v>-18769.10562439173</v>
      </c>
      <c r="BK582" s="15">
        <f t="shared" si="359"/>
        <v>22.170849845882874</v>
      </c>
      <c r="BL582" s="75">
        <f>BK582*(1-PARAM!$C$27)*$I$18+(MOD($B582,60)=PARAM!$B$56)*($B582&gt;(60-PARAM!$B$56))*HLOOKUP(($B582+PARAM!$B$56)/12,Loyalty,2)*$F$1*MAX(BN581,0)</f>
        <v>18.557001321003963</v>
      </c>
      <c r="BM582" s="75">
        <f>PARAM!$C$26+MAX($G$18-CHOOSE(PARAM!$B$44,MAX(0,BN581*$F$1),0),0)*RATES!$L558/12+$H$18*(PARAM!$D$51/12)*RATES!$N558/100</f>
        <v>210.16666666666666</v>
      </c>
      <c r="BN582" s="16">
        <f t="shared" si="385"/>
        <v>-18769.10562439173</v>
      </c>
      <c r="BO582" s="15">
        <f t="shared" si="360"/>
        <v>22.170849845882874</v>
      </c>
      <c r="BP582" s="75">
        <f>BO582*(1-PARAM!$C$27)*$I$19+(MOD($B582,60)=PARAM!$B$56)*($B582&gt;(60-PARAM!$B$56))*HLOOKUP(($B582+PARAM!$B$56)/12,Loyalty,2)*$F$1*MAX(BR581,0)</f>
        <v>18.557001321003963</v>
      </c>
      <c r="BQ582" s="75">
        <f>PARAM!$C$26+MAX($G$19-CHOOSE(PARAM!$B$44,MAX(0,BR581*$F$1),0),0)*RATES!$L558/12+$H$19*(PARAM!$D$51/12)*RATES!$N558/100</f>
        <v>210.16666666666666</v>
      </c>
      <c r="BR582" s="16">
        <f t="shared" si="386"/>
        <v>-18769.10562439173</v>
      </c>
      <c r="BS582" s="15">
        <f t="shared" si="361"/>
        <v>22.170849845882874</v>
      </c>
      <c r="BT582" s="75">
        <f>BS582*(1-PARAM!$C$27)*$I$20+(MOD($B582,60)=PARAM!$B$56)*($B582&gt;(60-PARAM!$B$56))*HLOOKUP(($B582+PARAM!$B$56)/12,Loyalty,2)*$F$1*MAX(BV581,0)</f>
        <v>18.557001321003963</v>
      </c>
      <c r="BU582" s="75">
        <f>PARAM!$C$26+MAX($G$20-CHOOSE(PARAM!$B$44,MAX(0,BV581*$F$1),0),0)*RATES!$L558/12+$H$20*(PARAM!$D$51/12)*RATES!$N558/100</f>
        <v>210.16666666666666</v>
      </c>
      <c r="BV582" s="16">
        <f t="shared" si="387"/>
        <v>-18769.10562439173</v>
      </c>
      <c r="BW582" s="15">
        <f t="shared" si="362"/>
        <v>22.170849845882874</v>
      </c>
      <c r="BX582" s="75">
        <f>BW582*(1-PARAM!$C$27)*$I$21+(MOD($B582,60)=PARAM!$B$56)*($B582&gt;(60-PARAM!$B$56))*HLOOKUP(($B582+PARAM!$B$56)/12,Loyalty,2)*$F$1*MAX(BZ581,0)</f>
        <v>18.557001321003963</v>
      </c>
      <c r="BY582" s="75">
        <f>PARAM!$C$26+MAX($G$21-CHOOSE(PARAM!$B$44,MAX(0,BZ581*$F$1),0),0)*RATES!$L558/12+$H$21*(PARAM!$D$51/12)*RATES!$N558/100</f>
        <v>210.16666666666666</v>
      </c>
      <c r="BZ582" s="16">
        <f t="shared" si="388"/>
        <v>-18769.10562439173</v>
      </c>
      <c r="CA582" s="15">
        <f t="shared" si="363"/>
        <v>22.170849845882874</v>
      </c>
      <c r="CB582" s="75">
        <f>CA582*(1-PARAM!$C$27)*$I$22+(MOD($B582,60)=PARAM!$B$56)*($B582&gt;(60-PARAM!$B$56))*HLOOKUP(($B582+PARAM!$B$56)/12,Loyalty,2)*$F$1*MAX(CD581,0)</f>
        <v>18.557001321003963</v>
      </c>
      <c r="CC582" s="75">
        <f>PARAM!$C$26+MAX($G$22-CHOOSE(PARAM!$B$44,MAX(0,CD581*$F$1),0),0)*RATES!$L558/12+$H$22*(PARAM!$D$51/12)*RATES!$N558/100</f>
        <v>210.16666666666666</v>
      </c>
      <c r="CD582" s="16">
        <f t="shared" si="389"/>
        <v>-18769.10562439173</v>
      </c>
      <c r="CE582" s="33">
        <f>IF(0=MOD(B582,12/PARAM!$D$51),1,0)</f>
        <v>1</v>
      </c>
      <c r="CF582" s="15">
        <f t="shared" si="364"/>
        <v>0</v>
      </c>
      <c r="CG582" s="75">
        <f>CF582*(1-PARAM!$C$27)*$R$3+(MOD($B582/12,5)=0)*($B582&gt;60)*HLOOKUP($B582/12,Loyalty,2)*$F$1*MAX(CI581,0)</f>
        <v>0</v>
      </c>
      <c r="CH582" s="75">
        <f>PARAM!$C$26+MAX($P$3-CHOOSE(PARAM!$B$44,MAX(0,CI581*$F$1),0),0)*RATES!$L558/12+$Q$3*(PARAM!$D$51/12)*RATES!$N558/100</f>
        <v>210.16666666666666</v>
      </c>
      <c r="CI582" s="16">
        <f>IF(CI581&gt;0,CI581*PARAM!$C$53,CI581)+CG582-CH582</f>
        <v>-28948.666666666661</v>
      </c>
      <c r="CJ582" s="15">
        <f t="shared" si="390"/>
        <v>0</v>
      </c>
      <c r="CK582" s="75">
        <f>CJ582*(1-PARAM!$C$27)*$R$4+(MOD($B582/12,5)=0)*($B582&gt;60)*HLOOKUP($B582/12,Loyalty,2)*$F$1*MAX(CM581,0)</f>
        <v>0</v>
      </c>
      <c r="CL582" s="75">
        <f>PARAM!$C$26+MAX($P$4-CHOOSE(PARAM!$B$44,MAX(0,CM581*$F$1),0),0)*RATES!$L558/12+$Q$4*(PARAM!$D$51/12)*RATES!$N558/100</f>
        <v>210.16666666666666</v>
      </c>
      <c r="CM582" s="16">
        <f>IF(CM581&gt;0,CM581*PARAM!$C$53,CM581)+CK582-CL582</f>
        <v>-28948.666666666661</v>
      </c>
      <c r="CO582" s="176"/>
    </row>
    <row r="583" spans="1:93" x14ac:dyDescent="0.2">
      <c r="A583" t="b">
        <f t="shared" si="365"/>
        <v>0</v>
      </c>
      <c r="B583" s="33">
        <v>556</v>
      </c>
      <c r="C583" s="15">
        <f t="shared" si="366"/>
        <v>20.081305947392778</v>
      </c>
      <c r="D583" s="75">
        <f>C583*(1-PARAM!$C$27)*$I$3+(MOD($B583,60)=PARAM!$B$56)*($B583&gt;(60-PARAM!$B$56))*HLOOKUP(($B583+PARAM!$B$56)/12,Loyalty,2)*$F$1*MAX(F582,0)</f>
        <v>16.808053077967756</v>
      </c>
      <c r="E583" s="75">
        <f>PARAM!$C$26+MAX($G$3-CHOOSE(PARAM!$B$44,MAX(0,F582*$F$1),0),0)*RATES!$L559/12+$H$3*(PARAM!$D$51/12)*RATES!$N559/100</f>
        <v>210.16666666666666</v>
      </c>
      <c r="F583" s="16">
        <f t="shared" si="367"/>
        <v>-19969.981013387041</v>
      </c>
      <c r="G583" s="15">
        <f t="shared" si="368"/>
        <v>22.035289406060361</v>
      </c>
      <c r="H583" s="75">
        <f>G583*(1-PARAM!$C$27)*$I$4+(MOD($B583,60)=PARAM!$B$56)*($B583&gt;(60-PARAM!$B$56))*HLOOKUP(($B583+PARAM!$B$56)/12,Loyalty,2)*$F$1*MAX(J582,0)</f>
        <v>18.443537232872522</v>
      </c>
      <c r="I583" s="75">
        <f>PARAM!$C$26+MAX($G$4-CHOOSE(PARAM!$B$44,MAX(0,J582*$F$1),0),0)*RATES!$L559/12+$H$4*(PARAM!$D$51/12)*RATES!$N559/100</f>
        <v>210.16666666666666</v>
      </c>
      <c r="J583" s="16">
        <f t="shared" si="369"/>
        <v>-19026.818859138279</v>
      </c>
      <c r="K583" s="15">
        <f t="shared" si="370"/>
        <v>22.170849845882874</v>
      </c>
      <c r="L583" s="75">
        <f>K583*(1-PARAM!$C$27)*$I$5+(MOD($B583,60)=PARAM!$B$56)*($B583&gt;(60-PARAM!$B$56))*HLOOKUP(($B583+PARAM!$B$56)/12,Loyalty,2)*$F$1*MAX(N582,0)</f>
        <v>18.557001321003963</v>
      </c>
      <c r="M583" s="75">
        <f>PARAM!$C$26+MAX($G$5-CHOOSE(PARAM!$B$44,MAX(0,N582*$F$1),0),0)*RATES!$L559/12+$H$5*(PARAM!$D$51/12)*RATES!$N559/100</f>
        <v>210.16666666666666</v>
      </c>
      <c r="N583" s="16">
        <f t="shared" si="371"/>
        <v>-18960.715289737393</v>
      </c>
      <c r="O583" s="15">
        <f t="shared" si="372"/>
        <v>22.170849845882874</v>
      </c>
      <c r="P583" s="75">
        <f>O583*(1-PARAM!$C$27)*$I$6+(MOD($B583,60)=PARAM!$B$56)*($B583&gt;(60-PARAM!$B$56))*HLOOKUP(($B583+PARAM!$B$56)/12,Loyalty,2)*$F$1*MAX(R582,0)</f>
        <v>18.557001321003963</v>
      </c>
      <c r="Q583" s="75">
        <f>PARAM!$C$26+MAX($G$6-CHOOSE(PARAM!$B$44,MAX(0,R582*$F$1),0),0)*RATES!$L559/12+$H$6*(PARAM!$D$51/12)*RATES!$N559/100</f>
        <v>210.16666666666666</v>
      </c>
      <c r="R583" s="16">
        <f t="shared" si="373"/>
        <v>-18960.715289737393</v>
      </c>
      <c r="S583" s="15">
        <f t="shared" si="348"/>
        <v>22.170849845882874</v>
      </c>
      <c r="T583" s="75">
        <f>S583*(1-PARAM!$C$27)*$I$7+(MOD($B583,60)=PARAM!$B$56)*($B583&gt;(60-PARAM!$B$56))*HLOOKUP(($B583+PARAM!$B$56)/12,Loyalty,2)*$F$1*MAX(V582,0)</f>
        <v>18.557001321003963</v>
      </c>
      <c r="U583" s="75">
        <f>PARAM!$C$26+MAX($G$7-CHOOSE(PARAM!$B$44,MAX(0,V582*$F$1),0),0)*RATES!$L559/12+$H$7*(PARAM!$D$51/12)*RATES!$N559/100</f>
        <v>210.16666666666666</v>
      </c>
      <c r="V583" s="16">
        <f t="shared" si="374"/>
        <v>-18960.715289737393</v>
      </c>
      <c r="W583" s="15">
        <f t="shared" si="349"/>
        <v>22.170849845882874</v>
      </c>
      <c r="X583" s="75">
        <f>W583*(1-PARAM!$C$27)*$I$8+(MOD($B583,60)=PARAM!$B$56)*($B583&gt;(60-PARAM!$B$56))*HLOOKUP(($B583+PARAM!$B$56)/12,Loyalty,2)*$F$1*MAX(Z582,0)</f>
        <v>18.557001321003963</v>
      </c>
      <c r="Y583" s="75">
        <f>PARAM!$C$26+MAX($G$8-CHOOSE(PARAM!$B$44,MAX(0,Z582*$F$1),0),0)*RATES!$L559/12+$H$8*(PARAM!$D$51/12)*RATES!$N559/100</f>
        <v>210.16666666666666</v>
      </c>
      <c r="Z583" s="16">
        <f t="shared" si="375"/>
        <v>-18960.715289737393</v>
      </c>
      <c r="AA583" s="15">
        <f t="shared" si="350"/>
        <v>22.170849845882874</v>
      </c>
      <c r="AB583" s="75">
        <f>AA583*(1-PARAM!$C$27)*$I$9+(MOD($B583,60)=PARAM!$B$56)*($B583&gt;(60-PARAM!$B$56))*HLOOKUP(($B583+PARAM!$B$56)/12,Loyalty,2)*$F$1*MAX(AD582,0)</f>
        <v>18.557001321003963</v>
      </c>
      <c r="AC583" s="75">
        <f>PARAM!$C$26+MAX($G$9-CHOOSE(PARAM!$B$44,MAX(0,AD582*$F$1),0),0)*RATES!$L559/12+$H$9*(PARAM!$D$51/12)*RATES!$N559/100</f>
        <v>210.16666666666666</v>
      </c>
      <c r="AD583" s="16">
        <f t="shared" si="376"/>
        <v>-18960.715289737393</v>
      </c>
      <c r="AE583" s="15">
        <f t="shared" si="351"/>
        <v>22.170849845882874</v>
      </c>
      <c r="AF583" s="75">
        <f>AE583*(1-PARAM!$C$27)*$I$10+(MOD($B583,60)=PARAM!$B$56)*($B583&gt;(60-PARAM!$B$56))*HLOOKUP(($B583+PARAM!$B$56)/12,Loyalty,2)*$F$1*MAX(AH582,0)</f>
        <v>18.557001321003963</v>
      </c>
      <c r="AG583" s="75">
        <f>PARAM!$C$26+MAX($G$10-CHOOSE(PARAM!$B$44,MAX(0,AH582*$F$1),0),0)*RATES!$L559/12+$H$10*(PARAM!$D$51/12)*RATES!$N559/100</f>
        <v>210.16666666666666</v>
      </c>
      <c r="AH583" s="16">
        <f t="shared" si="377"/>
        <v>-18960.715289737393</v>
      </c>
      <c r="AI583" s="15">
        <f t="shared" si="352"/>
        <v>22.170849845882874</v>
      </c>
      <c r="AJ583" s="75">
        <f>AI583*(1-PARAM!$C$27)*$I$11+(MOD($B583,60)=PARAM!$B$56)*($B583&gt;(60-PARAM!$B$56))*HLOOKUP(($B583+PARAM!$B$56)/12,Loyalty,2)*$F$1*MAX(AL582,0)</f>
        <v>18.557001321003963</v>
      </c>
      <c r="AK583" s="75">
        <f>PARAM!$C$26+MAX($G$11-CHOOSE(PARAM!$B$44,MAX(0,AL582*$F$1),0),0)*RATES!$L559/12+$H$11*(PARAM!$D$51/12)*RATES!$N559/100</f>
        <v>210.16666666666666</v>
      </c>
      <c r="AL583" s="16">
        <f t="shared" si="378"/>
        <v>-18960.715289737393</v>
      </c>
      <c r="AM583" s="15">
        <f t="shared" si="353"/>
        <v>22.170849845882874</v>
      </c>
      <c r="AN583" s="75">
        <f>AM583*(1-PARAM!$C$27)*$I$12+(MOD($B583,60)=PARAM!$B$56)*($B583&gt;(60-PARAM!$B$56))*HLOOKUP(($B583+PARAM!$B$56)/12,Loyalty,2)*$F$1*MAX(AP582,0)</f>
        <v>18.557001321003963</v>
      </c>
      <c r="AO583" s="75">
        <f>PARAM!$C$26+MAX($G$12-CHOOSE(PARAM!$B$44,MAX(0,AP582*$F$1),0),0)*RATES!$L559/12+$H$12*(PARAM!$D$51/12)*RATES!$N559/100</f>
        <v>210.16666666666666</v>
      </c>
      <c r="AP583" s="16">
        <f t="shared" si="379"/>
        <v>-18960.715289737393</v>
      </c>
      <c r="AQ583" s="15">
        <f t="shared" si="354"/>
        <v>22.170849845882874</v>
      </c>
      <c r="AR583" s="75">
        <f>AQ583*(1-PARAM!$C$27)*$I$13+(MOD($B583,60)=PARAM!$B$56)*($B583&gt;(60-PARAM!$B$56))*HLOOKUP(($B583+PARAM!$B$56)/12,Loyalty,2)*$F$1*MAX(AT582,0)</f>
        <v>18.557001321003963</v>
      </c>
      <c r="AS583" s="75">
        <f>PARAM!$C$26+MAX($G$13-CHOOSE(PARAM!$B$44,MAX(0,AT582*$F$1),0),0)*RATES!$L559/12+$H$13*(PARAM!$D$51/12)*RATES!$N559/100</f>
        <v>210.16666666666666</v>
      </c>
      <c r="AT583" s="16">
        <f t="shared" si="380"/>
        <v>-18960.715289737393</v>
      </c>
      <c r="AU583" s="15">
        <f t="shared" si="355"/>
        <v>22.170849845882874</v>
      </c>
      <c r="AV583" s="75">
        <f>AU583*(1-PARAM!$C$27)*$I$14+(MOD($B583,60)=PARAM!$B$56)*($B583&gt;(60-PARAM!$B$56))*HLOOKUP(($B583+PARAM!$B$56)/12,Loyalty,2)*$F$1*MAX(AX582,0)</f>
        <v>18.557001321003963</v>
      </c>
      <c r="AW583" s="75">
        <f>PARAM!$C$26+MAX($G$14-CHOOSE(PARAM!$B$44,MAX(0,AX582*$F$1),0),0)*RATES!$L559/12+$H$14*(PARAM!$D$51/12)*RATES!$N559/100</f>
        <v>210.16666666666666</v>
      </c>
      <c r="AX583" s="16">
        <f t="shared" si="381"/>
        <v>-18960.715289737393</v>
      </c>
      <c r="AY583" s="15">
        <f t="shared" si="356"/>
        <v>22.170849845882874</v>
      </c>
      <c r="AZ583" s="75">
        <f>AY583*(1-PARAM!$C$27)*$I$15+(MOD($B583,60)=PARAM!$B$56)*($B583&gt;(60-PARAM!$B$56))*HLOOKUP(($B583+PARAM!$B$56)/12,Loyalty,2)*$F$1*MAX(BB582,0)</f>
        <v>18.557001321003963</v>
      </c>
      <c r="BA583" s="75">
        <f>PARAM!$C$26+MAX($G$15-CHOOSE(PARAM!$B$44,MAX(0,BB582*$F$1),0),0)*RATES!$L559/12+$H$15*(PARAM!$D$51/12)*RATES!$N559/100</f>
        <v>210.16666666666666</v>
      </c>
      <c r="BB583" s="16">
        <f t="shared" si="382"/>
        <v>-18960.715289737393</v>
      </c>
      <c r="BC583" s="15">
        <f t="shared" si="357"/>
        <v>22.170849845882874</v>
      </c>
      <c r="BD583" s="75">
        <f>BC583*(1-PARAM!$C$27)*$I$16+(MOD($B583,60)=PARAM!$B$56)*($B583&gt;(60-PARAM!$B$56))*HLOOKUP(($B583+PARAM!$B$56)/12,Loyalty,2)*$F$1*MAX(BF582,0)</f>
        <v>18.557001321003963</v>
      </c>
      <c r="BE583" s="75">
        <f>PARAM!$C$26+MAX($G$16-CHOOSE(PARAM!$B$44,MAX(0,BF582*$F$1),0),0)*RATES!$L559/12+$H$16*(PARAM!$D$51/12)*RATES!$N559/100</f>
        <v>210.16666666666666</v>
      </c>
      <c r="BF583" s="16">
        <f t="shared" si="383"/>
        <v>-18960.715289737393</v>
      </c>
      <c r="BG583" s="15">
        <f t="shared" si="358"/>
        <v>22.170849845882874</v>
      </c>
      <c r="BH583" s="75">
        <f>BG583*(1-PARAM!$C$27)*$I$17+(MOD($B583,60)=PARAM!$B$56)*($B583&gt;(60-PARAM!$B$56))*HLOOKUP(($B583+PARAM!$B$56)/12,Loyalty,2)*$F$1*MAX(BJ582,0)</f>
        <v>18.557001321003963</v>
      </c>
      <c r="BI583" s="75">
        <f>PARAM!$C$26+MAX($G$17-CHOOSE(PARAM!$B$44,MAX(0,BJ582*$F$1),0),0)*RATES!$L559/12+$H$17*(PARAM!$D$51/12)*RATES!$N559/100</f>
        <v>210.16666666666666</v>
      </c>
      <c r="BJ583" s="16">
        <f t="shared" si="384"/>
        <v>-18960.715289737393</v>
      </c>
      <c r="BK583" s="15">
        <f t="shared" si="359"/>
        <v>22.170849845882874</v>
      </c>
      <c r="BL583" s="75">
        <f>BK583*(1-PARAM!$C$27)*$I$18+(MOD($B583,60)=PARAM!$B$56)*($B583&gt;(60-PARAM!$B$56))*HLOOKUP(($B583+PARAM!$B$56)/12,Loyalty,2)*$F$1*MAX(BN582,0)</f>
        <v>18.557001321003963</v>
      </c>
      <c r="BM583" s="75">
        <f>PARAM!$C$26+MAX($G$18-CHOOSE(PARAM!$B$44,MAX(0,BN582*$F$1),0),0)*RATES!$L559/12+$H$18*(PARAM!$D$51/12)*RATES!$N559/100</f>
        <v>210.16666666666666</v>
      </c>
      <c r="BN583" s="16">
        <f t="shared" si="385"/>
        <v>-18960.715289737393</v>
      </c>
      <c r="BO583" s="15">
        <f t="shared" si="360"/>
        <v>22.170849845882874</v>
      </c>
      <c r="BP583" s="75">
        <f>BO583*(1-PARAM!$C$27)*$I$19+(MOD($B583,60)=PARAM!$B$56)*($B583&gt;(60-PARAM!$B$56))*HLOOKUP(($B583+PARAM!$B$56)/12,Loyalty,2)*$F$1*MAX(BR582,0)</f>
        <v>18.557001321003963</v>
      </c>
      <c r="BQ583" s="75">
        <f>PARAM!$C$26+MAX($G$19-CHOOSE(PARAM!$B$44,MAX(0,BR582*$F$1),0),0)*RATES!$L559/12+$H$19*(PARAM!$D$51/12)*RATES!$N559/100</f>
        <v>210.16666666666666</v>
      </c>
      <c r="BR583" s="16">
        <f t="shared" si="386"/>
        <v>-18960.715289737393</v>
      </c>
      <c r="BS583" s="15">
        <f t="shared" si="361"/>
        <v>22.170849845882874</v>
      </c>
      <c r="BT583" s="75">
        <f>BS583*(1-PARAM!$C$27)*$I$20+(MOD($B583,60)=PARAM!$B$56)*($B583&gt;(60-PARAM!$B$56))*HLOOKUP(($B583+PARAM!$B$56)/12,Loyalty,2)*$F$1*MAX(BV582,0)</f>
        <v>18.557001321003963</v>
      </c>
      <c r="BU583" s="75">
        <f>PARAM!$C$26+MAX($G$20-CHOOSE(PARAM!$B$44,MAX(0,BV582*$F$1),0),0)*RATES!$L559/12+$H$20*(PARAM!$D$51/12)*RATES!$N559/100</f>
        <v>210.16666666666666</v>
      </c>
      <c r="BV583" s="16">
        <f t="shared" si="387"/>
        <v>-18960.715289737393</v>
      </c>
      <c r="BW583" s="15">
        <f t="shared" si="362"/>
        <v>22.170849845882874</v>
      </c>
      <c r="BX583" s="75">
        <f>BW583*(1-PARAM!$C$27)*$I$21+(MOD($B583,60)=PARAM!$B$56)*($B583&gt;(60-PARAM!$B$56))*HLOOKUP(($B583+PARAM!$B$56)/12,Loyalty,2)*$F$1*MAX(BZ582,0)</f>
        <v>18.557001321003963</v>
      </c>
      <c r="BY583" s="75">
        <f>PARAM!$C$26+MAX($G$21-CHOOSE(PARAM!$B$44,MAX(0,BZ582*$F$1),0),0)*RATES!$L559/12+$H$21*(PARAM!$D$51/12)*RATES!$N559/100</f>
        <v>210.16666666666666</v>
      </c>
      <c r="BZ583" s="16">
        <f t="shared" si="388"/>
        <v>-18960.715289737393</v>
      </c>
      <c r="CA583" s="15">
        <f t="shared" si="363"/>
        <v>22.170849845882874</v>
      </c>
      <c r="CB583" s="75">
        <f>CA583*(1-PARAM!$C$27)*$I$22+(MOD($B583,60)=PARAM!$B$56)*($B583&gt;(60-PARAM!$B$56))*HLOOKUP(($B583+PARAM!$B$56)/12,Loyalty,2)*$F$1*MAX(CD582,0)</f>
        <v>18.557001321003963</v>
      </c>
      <c r="CC583" s="75">
        <f>PARAM!$C$26+MAX($G$22-CHOOSE(PARAM!$B$44,MAX(0,CD582*$F$1),0),0)*RATES!$L559/12+$H$22*(PARAM!$D$51/12)*RATES!$N559/100</f>
        <v>210.16666666666666</v>
      </c>
      <c r="CD583" s="16">
        <f t="shared" si="389"/>
        <v>-18960.715289737393</v>
      </c>
      <c r="CE583" s="33">
        <f>IF(0=MOD(B583,12/PARAM!$D$51),1,0)</f>
        <v>1</v>
      </c>
      <c r="CF583" s="15">
        <f t="shared" si="364"/>
        <v>0</v>
      </c>
      <c r="CG583" s="75">
        <f>CF583*(1-PARAM!$C$27)*$R$3+(MOD($B583/12,5)=0)*($B583&gt;60)*HLOOKUP($B583/12,Loyalty,2)*$F$1*MAX(CI582,0)</f>
        <v>0</v>
      </c>
      <c r="CH583" s="75">
        <f>PARAM!$C$26+MAX($P$3-CHOOSE(PARAM!$B$44,MAX(0,CI582*$F$1),0),0)*RATES!$L559/12+$Q$3*(PARAM!$D$51/12)*RATES!$N559/100</f>
        <v>210.16666666666666</v>
      </c>
      <c r="CI583" s="16">
        <f>IF(CI582&gt;0,CI582*PARAM!$C$53,CI582)+CG583-CH583</f>
        <v>-29158.833333333328</v>
      </c>
      <c r="CJ583" s="15">
        <f t="shared" si="390"/>
        <v>0</v>
      </c>
      <c r="CK583" s="75">
        <f>CJ583*(1-PARAM!$C$27)*$R$4+(MOD($B583/12,5)=0)*($B583&gt;60)*HLOOKUP($B583/12,Loyalty,2)*$F$1*MAX(CM582,0)</f>
        <v>0</v>
      </c>
      <c r="CL583" s="75">
        <f>PARAM!$C$26+MAX($P$4-CHOOSE(PARAM!$B$44,MAX(0,CM582*$F$1),0),0)*RATES!$L559/12+$Q$4*(PARAM!$D$51/12)*RATES!$N559/100</f>
        <v>210.16666666666666</v>
      </c>
      <c r="CM583" s="16">
        <f>IF(CM582&gt;0,CM582*PARAM!$C$53,CM582)+CK583-CL583</f>
        <v>-29158.833333333328</v>
      </c>
      <c r="CO583" s="176"/>
    </row>
    <row r="584" spans="1:93" x14ac:dyDescent="0.2">
      <c r="A584" t="b">
        <f t="shared" si="365"/>
        <v>0</v>
      </c>
      <c r="B584" s="33">
        <v>557</v>
      </c>
      <c r="C584" s="15">
        <f t="shared" si="366"/>
        <v>20.081305947392778</v>
      </c>
      <c r="D584" s="75">
        <f>C584*(1-PARAM!$C$27)*$I$3+(MOD($B584,60)=PARAM!$B$56)*($B584&gt;(60-PARAM!$B$56))*HLOOKUP(($B584+PARAM!$B$56)/12,Loyalty,2)*$F$1*MAX(F583,0)</f>
        <v>16.808053077967756</v>
      </c>
      <c r="E584" s="75">
        <f>PARAM!$C$26+MAX($G$3-CHOOSE(PARAM!$B$44,MAX(0,F583*$F$1),0),0)*RATES!$L560/12+$H$3*(PARAM!$D$51/12)*RATES!$N560/100</f>
        <v>210.16666666666666</v>
      </c>
      <c r="F584" s="16">
        <f t="shared" si="367"/>
        <v>-20163.339626975743</v>
      </c>
      <c r="G584" s="15">
        <f t="shared" si="368"/>
        <v>22.035289406060361</v>
      </c>
      <c r="H584" s="75">
        <f>G584*(1-PARAM!$C$27)*$I$4+(MOD($B584,60)=PARAM!$B$56)*($B584&gt;(60-PARAM!$B$56))*HLOOKUP(($B584+PARAM!$B$56)/12,Loyalty,2)*$F$1*MAX(J583,0)</f>
        <v>18.443537232872522</v>
      </c>
      <c r="I584" s="75">
        <f>PARAM!$C$26+MAX($G$4-CHOOSE(PARAM!$B$44,MAX(0,J583*$F$1),0),0)*RATES!$L560/12+$H$4*(PARAM!$D$51/12)*RATES!$N560/100</f>
        <v>210.16666666666666</v>
      </c>
      <c r="J584" s="16">
        <f t="shared" si="369"/>
        <v>-19218.541988572073</v>
      </c>
      <c r="K584" s="15">
        <f t="shared" si="370"/>
        <v>22.170849845882874</v>
      </c>
      <c r="L584" s="75">
        <f>K584*(1-PARAM!$C$27)*$I$5+(MOD($B584,60)=PARAM!$B$56)*($B584&gt;(60-PARAM!$B$56))*HLOOKUP(($B584+PARAM!$B$56)/12,Loyalty,2)*$F$1*MAX(N583,0)</f>
        <v>18.557001321003963</v>
      </c>
      <c r="M584" s="75">
        <f>PARAM!$C$26+MAX($G$5-CHOOSE(PARAM!$B$44,MAX(0,N583*$F$1),0),0)*RATES!$L560/12+$H$5*(PARAM!$D$51/12)*RATES!$N560/100</f>
        <v>210.16666666666666</v>
      </c>
      <c r="N584" s="16">
        <f t="shared" si="371"/>
        <v>-19152.324955083055</v>
      </c>
      <c r="O584" s="15">
        <f t="shared" si="372"/>
        <v>22.170849845882874</v>
      </c>
      <c r="P584" s="75">
        <f>O584*(1-PARAM!$C$27)*$I$6+(MOD($B584,60)=PARAM!$B$56)*($B584&gt;(60-PARAM!$B$56))*HLOOKUP(($B584+PARAM!$B$56)/12,Loyalty,2)*$F$1*MAX(R583,0)</f>
        <v>18.557001321003963</v>
      </c>
      <c r="Q584" s="75">
        <f>PARAM!$C$26+MAX($G$6-CHOOSE(PARAM!$B$44,MAX(0,R583*$F$1),0),0)*RATES!$L560/12+$H$6*(PARAM!$D$51/12)*RATES!$N560/100</f>
        <v>210.16666666666666</v>
      </c>
      <c r="R584" s="16">
        <f t="shared" si="373"/>
        <v>-19152.324955083055</v>
      </c>
      <c r="S584" s="15">
        <f t="shared" si="348"/>
        <v>22.170849845882874</v>
      </c>
      <c r="T584" s="75">
        <f>S584*(1-PARAM!$C$27)*$I$7+(MOD($B584,60)=PARAM!$B$56)*($B584&gt;(60-PARAM!$B$56))*HLOOKUP(($B584+PARAM!$B$56)/12,Loyalty,2)*$F$1*MAX(V583,0)</f>
        <v>18.557001321003963</v>
      </c>
      <c r="U584" s="75">
        <f>PARAM!$C$26+MAX($G$7-CHOOSE(PARAM!$B$44,MAX(0,V583*$F$1),0),0)*RATES!$L560/12+$H$7*(PARAM!$D$51/12)*RATES!$N560/100</f>
        <v>210.16666666666666</v>
      </c>
      <c r="V584" s="16">
        <f t="shared" si="374"/>
        <v>-19152.324955083055</v>
      </c>
      <c r="W584" s="15">
        <f t="shared" si="349"/>
        <v>22.170849845882874</v>
      </c>
      <c r="X584" s="75">
        <f>W584*(1-PARAM!$C$27)*$I$8+(MOD($B584,60)=PARAM!$B$56)*($B584&gt;(60-PARAM!$B$56))*HLOOKUP(($B584+PARAM!$B$56)/12,Loyalty,2)*$F$1*MAX(Z583,0)</f>
        <v>18.557001321003963</v>
      </c>
      <c r="Y584" s="75">
        <f>PARAM!$C$26+MAX($G$8-CHOOSE(PARAM!$B$44,MAX(0,Z583*$F$1),0),0)*RATES!$L560/12+$H$8*(PARAM!$D$51/12)*RATES!$N560/100</f>
        <v>210.16666666666666</v>
      </c>
      <c r="Z584" s="16">
        <f t="shared" si="375"/>
        <v>-19152.324955083055</v>
      </c>
      <c r="AA584" s="15">
        <f t="shared" si="350"/>
        <v>22.170849845882874</v>
      </c>
      <c r="AB584" s="75">
        <f>AA584*(1-PARAM!$C$27)*$I$9+(MOD($B584,60)=PARAM!$B$56)*($B584&gt;(60-PARAM!$B$56))*HLOOKUP(($B584+PARAM!$B$56)/12,Loyalty,2)*$F$1*MAX(AD583,0)</f>
        <v>18.557001321003963</v>
      </c>
      <c r="AC584" s="75">
        <f>PARAM!$C$26+MAX($G$9-CHOOSE(PARAM!$B$44,MAX(0,AD583*$F$1),0),0)*RATES!$L560/12+$H$9*(PARAM!$D$51/12)*RATES!$N560/100</f>
        <v>210.16666666666666</v>
      </c>
      <c r="AD584" s="16">
        <f t="shared" si="376"/>
        <v>-19152.324955083055</v>
      </c>
      <c r="AE584" s="15">
        <f t="shared" si="351"/>
        <v>22.170849845882874</v>
      </c>
      <c r="AF584" s="75">
        <f>AE584*(1-PARAM!$C$27)*$I$10+(MOD($B584,60)=PARAM!$B$56)*($B584&gt;(60-PARAM!$B$56))*HLOOKUP(($B584+PARAM!$B$56)/12,Loyalty,2)*$F$1*MAX(AH583,0)</f>
        <v>18.557001321003963</v>
      </c>
      <c r="AG584" s="75">
        <f>PARAM!$C$26+MAX($G$10-CHOOSE(PARAM!$B$44,MAX(0,AH583*$F$1),0),0)*RATES!$L560/12+$H$10*(PARAM!$D$51/12)*RATES!$N560/100</f>
        <v>210.16666666666666</v>
      </c>
      <c r="AH584" s="16">
        <f t="shared" si="377"/>
        <v>-19152.324955083055</v>
      </c>
      <c r="AI584" s="15">
        <f t="shared" si="352"/>
        <v>22.170849845882874</v>
      </c>
      <c r="AJ584" s="75">
        <f>AI584*(1-PARAM!$C$27)*$I$11+(MOD($B584,60)=PARAM!$B$56)*($B584&gt;(60-PARAM!$B$56))*HLOOKUP(($B584+PARAM!$B$56)/12,Loyalty,2)*$F$1*MAX(AL583,0)</f>
        <v>18.557001321003963</v>
      </c>
      <c r="AK584" s="75">
        <f>PARAM!$C$26+MAX($G$11-CHOOSE(PARAM!$B$44,MAX(0,AL583*$F$1),0),0)*RATES!$L560/12+$H$11*(PARAM!$D$51/12)*RATES!$N560/100</f>
        <v>210.16666666666666</v>
      </c>
      <c r="AL584" s="16">
        <f t="shared" si="378"/>
        <v>-19152.324955083055</v>
      </c>
      <c r="AM584" s="15">
        <f t="shared" si="353"/>
        <v>22.170849845882874</v>
      </c>
      <c r="AN584" s="75">
        <f>AM584*(1-PARAM!$C$27)*$I$12+(MOD($B584,60)=PARAM!$B$56)*($B584&gt;(60-PARAM!$B$56))*HLOOKUP(($B584+PARAM!$B$56)/12,Loyalty,2)*$F$1*MAX(AP583,0)</f>
        <v>18.557001321003963</v>
      </c>
      <c r="AO584" s="75">
        <f>PARAM!$C$26+MAX($G$12-CHOOSE(PARAM!$B$44,MAX(0,AP583*$F$1),0),0)*RATES!$L560/12+$H$12*(PARAM!$D$51/12)*RATES!$N560/100</f>
        <v>210.16666666666666</v>
      </c>
      <c r="AP584" s="16">
        <f t="shared" si="379"/>
        <v>-19152.324955083055</v>
      </c>
      <c r="AQ584" s="15">
        <f t="shared" si="354"/>
        <v>22.170849845882874</v>
      </c>
      <c r="AR584" s="75">
        <f>AQ584*(1-PARAM!$C$27)*$I$13+(MOD($B584,60)=PARAM!$B$56)*($B584&gt;(60-PARAM!$B$56))*HLOOKUP(($B584+PARAM!$B$56)/12,Loyalty,2)*$F$1*MAX(AT583,0)</f>
        <v>18.557001321003963</v>
      </c>
      <c r="AS584" s="75">
        <f>PARAM!$C$26+MAX($G$13-CHOOSE(PARAM!$B$44,MAX(0,AT583*$F$1),0),0)*RATES!$L560/12+$H$13*(PARAM!$D$51/12)*RATES!$N560/100</f>
        <v>210.16666666666666</v>
      </c>
      <c r="AT584" s="16">
        <f t="shared" si="380"/>
        <v>-19152.324955083055</v>
      </c>
      <c r="AU584" s="15">
        <f t="shared" si="355"/>
        <v>22.170849845882874</v>
      </c>
      <c r="AV584" s="75">
        <f>AU584*(1-PARAM!$C$27)*$I$14+(MOD($B584,60)=PARAM!$B$56)*($B584&gt;(60-PARAM!$B$56))*HLOOKUP(($B584+PARAM!$B$56)/12,Loyalty,2)*$F$1*MAX(AX583,0)</f>
        <v>18.557001321003963</v>
      </c>
      <c r="AW584" s="75">
        <f>PARAM!$C$26+MAX($G$14-CHOOSE(PARAM!$B$44,MAX(0,AX583*$F$1),0),0)*RATES!$L560/12+$H$14*(PARAM!$D$51/12)*RATES!$N560/100</f>
        <v>210.16666666666666</v>
      </c>
      <c r="AX584" s="16">
        <f t="shared" si="381"/>
        <v>-19152.324955083055</v>
      </c>
      <c r="AY584" s="15">
        <f t="shared" si="356"/>
        <v>22.170849845882874</v>
      </c>
      <c r="AZ584" s="75">
        <f>AY584*(1-PARAM!$C$27)*$I$15+(MOD($B584,60)=PARAM!$B$56)*($B584&gt;(60-PARAM!$B$56))*HLOOKUP(($B584+PARAM!$B$56)/12,Loyalty,2)*$F$1*MAX(BB583,0)</f>
        <v>18.557001321003963</v>
      </c>
      <c r="BA584" s="75">
        <f>PARAM!$C$26+MAX($G$15-CHOOSE(PARAM!$B$44,MAX(0,BB583*$F$1),0),0)*RATES!$L560/12+$H$15*(PARAM!$D$51/12)*RATES!$N560/100</f>
        <v>210.16666666666666</v>
      </c>
      <c r="BB584" s="16">
        <f t="shared" si="382"/>
        <v>-19152.324955083055</v>
      </c>
      <c r="BC584" s="15">
        <f t="shared" si="357"/>
        <v>22.170849845882874</v>
      </c>
      <c r="BD584" s="75">
        <f>BC584*(1-PARAM!$C$27)*$I$16+(MOD($B584,60)=PARAM!$B$56)*($B584&gt;(60-PARAM!$B$56))*HLOOKUP(($B584+PARAM!$B$56)/12,Loyalty,2)*$F$1*MAX(BF583,0)</f>
        <v>18.557001321003963</v>
      </c>
      <c r="BE584" s="75">
        <f>PARAM!$C$26+MAX($G$16-CHOOSE(PARAM!$B$44,MAX(0,BF583*$F$1),0),0)*RATES!$L560/12+$H$16*(PARAM!$D$51/12)*RATES!$N560/100</f>
        <v>210.16666666666666</v>
      </c>
      <c r="BF584" s="16">
        <f t="shared" si="383"/>
        <v>-19152.324955083055</v>
      </c>
      <c r="BG584" s="15">
        <f t="shared" si="358"/>
        <v>22.170849845882874</v>
      </c>
      <c r="BH584" s="75">
        <f>BG584*(1-PARAM!$C$27)*$I$17+(MOD($B584,60)=PARAM!$B$56)*($B584&gt;(60-PARAM!$B$56))*HLOOKUP(($B584+PARAM!$B$56)/12,Loyalty,2)*$F$1*MAX(BJ583,0)</f>
        <v>18.557001321003963</v>
      </c>
      <c r="BI584" s="75">
        <f>PARAM!$C$26+MAX($G$17-CHOOSE(PARAM!$B$44,MAX(0,BJ583*$F$1),0),0)*RATES!$L560/12+$H$17*(PARAM!$D$51/12)*RATES!$N560/100</f>
        <v>210.16666666666666</v>
      </c>
      <c r="BJ584" s="16">
        <f t="shared" si="384"/>
        <v>-19152.324955083055</v>
      </c>
      <c r="BK584" s="15">
        <f t="shared" si="359"/>
        <v>22.170849845882874</v>
      </c>
      <c r="BL584" s="75">
        <f>BK584*(1-PARAM!$C$27)*$I$18+(MOD($B584,60)=PARAM!$B$56)*($B584&gt;(60-PARAM!$B$56))*HLOOKUP(($B584+PARAM!$B$56)/12,Loyalty,2)*$F$1*MAX(BN583,0)</f>
        <v>18.557001321003963</v>
      </c>
      <c r="BM584" s="75">
        <f>PARAM!$C$26+MAX($G$18-CHOOSE(PARAM!$B$44,MAX(0,BN583*$F$1),0),0)*RATES!$L560/12+$H$18*(PARAM!$D$51/12)*RATES!$N560/100</f>
        <v>210.16666666666666</v>
      </c>
      <c r="BN584" s="16">
        <f t="shared" si="385"/>
        <v>-19152.324955083055</v>
      </c>
      <c r="BO584" s="15">
        <f t="shared" si="360"/>
        <v>22.170849845882874</v>
      </c>
      <c r="BP584" s="75">
        <f>BO584*(1-PARAM!$C$27)*$I$19+(MOD($B584,60)=PARAM!$B$56)*($B584&gt;(60-PARAM!$B$56))*HLOOKUP(($B584+PARAM!$B$56)/12,Loyalty,2)*$F$1*MAX(BR583,0)</f>
        <v>18.557001321003963</v>
      </c>
      <c r="BQ584" s="75">
        <f>PARAM!$C$26+MAX($G$19-CHOOSE(PARAM!$B$44,MAX(0,BR583*$F$1),0),0)*RATES!$L560/12+$H$19*(PARAM!$D$51/12)*RATES!$N560/100</f>
        <v>210.16666666666666</v>
      </c>
      <c r="BR584" s="16">
        <f t="shared" si="386"/>
        <v>-19152.324955083055</v>
      </c>
      <c r="BS584" s="15">
        <f t="shared" si="361"/>
        <v>22.170849845882874</v>
      </c>
      <c r="BT584" s="75">
        <f>BS584*(1-PARAM!$C$27)*$I$20+(MOD($B584,60)=PARAM!$B$56)*($B584&gt;(60-PARAM!$B$56))*HLOOKUP(($B584+PARAM!$B$56)/12,Loyalty,2)*$F$1*MAX(BV583,0)</f>
        <v>18.557001321003963</v>
      </c>
      <c r="BU584" s="75">
        <f>PARAM!$C$26+MAX($G$20-CHOOSE(PARAM!$B$44,MAX(0,BV583*$F$1),0),0)*RATES!$L560/12+$H$20*(PARAM!$D$51/12)*RATES!$N560/100</f>
        <v>210.16666666666666</v>
      </c>
      <c r="BV584" s="16">
        <f t="shared" si="387"/>
        <v>-19152.324955083055</v>
      </c>
      <c r="BW584" s="15">
        <f t="shared" si="362"/>
        <v>22.170849845882874</v>
      </c>
      <c r="BX584" s="75">
        <f>BW584*(1-PARAM!$C$27)*$I$21+(MOD($B584,60)=PARAM!$B$56)*($B584&gt;(60-PARAM!$B$56))*HLOOKUP(($B584+PARAM!$B$56)/12,Loyalty,2)*$F$1*MAX(BZ583,0)</f>
        <v>18.557001321003963</v>
      </c>
      <c r="BY584" s="75">
        <f>PARAM!$C$26+MAX($G$21-CHOOSE(PARAM!$B$44,MAX(0,BZ583*$F$1),0),0)*RATES!$L560/12+$H$21*(PARAM!$D$51/12)*RATES!$N560/100</f>
        <v>210.16666666666666</v>
      </c>
      <c r="BZ584" s="16">
        <f t="shared" si="388"/>
        <v>-19152.324955083055</v>
      </c>
      <c r="CA584" s="15">
        <f t="shared" si="363"/>
        <v>22.170849845882874</v>
      </c>
      <c r="CB584" s="75">
        <f>CA584*(1-PARAM!$C$27)*$I$22+(MOD($B584,60)=PARAM!$B$56)*($B584&gt;(60-PARAM!$B$56))*HLOOKUP(($B584+PARAM!$B$56)/12,Loyalty,2)*$F$1*MAX(CD583,0)</f>
        <v>18.557001321003963</v>
      </c>
      <c r="CC584" s="75">
        <f>PARAM!$C$26+MAX($G$22-CHOOSE(PARAM!$B$44,MAX(0,CD583*$F$1),0),0)*RATES!$L560/12+$H$22*(PARAM!$D$51/12)*RATES!$N560/100</f>
        <v>210.16666666666666</v>
      </c>
      <c r="CD584" s="16">
        <f t="shared" si="389"/>
        <v>-19152.324955083055</v>
      </c>
      <c r="CE584" s="33">
        <f>IF(0=MOD(B584,12/PARAM!$D$51),1,0)</f>
        <v>1</v>
      </c>
      <c r="CF584" s="15">
        <f t="shared" si="364"/>
        <v>0</v>
      </c>
      <c r="CG584" s="75">
        <f>CF584*(1-PARAM!$C$27)*$R$3+(MOD($B584/12,5)=0)*($B584&gt;60)*HLOOKUP($B584/12,Loyalty,2)*$F$1*MAX(CI583,0)</f>
        <v>0</v>
      </c>
      <c r="CH584" s="75">
        <f>PARAM!$C$26+MAX($P$3-CHOOSE(PARAM!$B$44,MAX(0,CI583*$F$1),0),0)*RATES!$L560/12+$Q$3*(PARAM!$D$51/12)*RATES!$N560/100</f>
        <v>210.16666666666666</v>
      </c>
      <c r="CI584" s="16">
        <f>IF(CI583&gt;0,CI583*PARAM!$C$53,CI583)+CG584-CH584</f>
        <v>-29368.999999999996</v>
      </c>
      <c r="CJ584" s="15">
        <f t="shared" si="390"/>
        <v>0</v>
      </c>
      <c r="CK584" s="75">
        <f>CJ584*(1-PARAM!$C$27)*$R$4+(MOD($B584/12,5)=0)*($B584&gt;60)*HLOOKUP($B584/12,Loyalty,2)*$F$1*MAX(CM583,0)</f>
        <v>0</v>
      </c>
      <c r="CL584" s="75">
        <f>PARAM!$C$26+MAX($P$4-CHOOSE(PARAM!$B$44,MAX(0,CM583*$F$1),0),0)*RATES!$L560/12+$Q$4*(PARAM!$D$51/12)*RATES!$N560/100</f>
        <v>210.16666666666666</v>
      </c>
      <c r="CM584" s="16">
        <f>IF(CM583&gt;0,CM583*PARAM!$C$53,CM583)+CK584-CL584</f>
        <v>-29368.999999999996</v>
      </c>
      <c r="CO584" s="176"/>
    </row>
    <row r="585" spans="1:93" x14ac:dyDescent="0.2">
      <c r="A585" t="b">
        <f t="shared" si="365"/>
        <v>0</v>
      </c>
      <c r="B585" s="33">
        <v>558</v>
      </c>
      <c r="C585" s="15">
        <f t="shared" si="366"/>
        <v>20.081305947392778</v>
      </c>
      <c r="D585" s="75">
        <f>C585*(1-PARAM!$C$27)*$I$3+(MOD($B585,60)=PARAM!$B$56)*($B585&gt;(60-PARAM!$B$56))*HLOOKUP(($B585+PARAM!$B$56)/12,Loyalty,2)*$F$1*MAX(F584,0)</f>
        <v>16.808053077967756</v>
      </c>
      <c r="E585" s="75">
        <f>PARAM!$C$26+MAX($G$3-CHOOSE(PARAM!$B$44,MAX(0,F584*$F$1),0),0)*RATES!$L561/12+$H$3*(PARAM!$D$51/12)*RATES!$N561/100</f>
        <v>230.41666666666666</v>
      </c>
      <c r="F585" s="16">
        <f t="shared" si="367"/>
        <v>-20376.948240564445</v>
      </c>
      <c r="G585" s="15">
        <f t="shared" si="368"/>
        <v>22.035289406060361</v>
      </c>
      <c r="H585" s="75">
        <f>G585*(1-PARAM!$C$27)*$I$4+(MOD($B585,60)=PARAM!$B$56)*($B585&gt;(60-PARAM!$B$56))*HLOOKUP(($B585+PARAM!$B$56)/12,Loyalty,2)*$F$1*MAX(J584,0)</f>
        <v>18.443537232872522</v>
      </c>
      <c r="I585" s="75">
        <f>PARAM!$C$26+MAX($G$4-CHOOSE(PARAM!$B$44,MAX(0,J584*$F$1),0),0)*RATES!$L561/12+$H$4*(PARAM!$D$51/12)*RATES!$N561/100</f>
        <v>230.41666666666666</v>
      </c>
      <c r="J585" s="16">
        <f t="shared" si="369"/>
        <v>-19430.515118005867</v>
      </c>
      <c r="K585" s="15">
        <f t="shared" si="370"/>
        <v>22.170849845882874</v>
      </c>
      <c r="L585" s="75">
        <f>K585*(1-PARAM!$C$27)*$I$5+(MOD($B585,60)=PARAM!$B$56)*($B585&gt;(60-PARAM!$B$56))*HLOOKUP(($B585+PARAM!$B$56)/12,Loyalty,2)*$F$1*MAX(N584,0)</f>
        <v>18.557001321003963</v>
      </c>
      <c r="M585" s="75">
        <f>PARAM!$C$26+MAX($G$5-CHOOSE(PARAM!$B$44,MAX(0,N584*$F$1),0),0)*RATES!$L561/12+$H$5*(PARAM!$D$51/12)*RATES!$N561/100</f>
        <v>230.41666666666666</v>
      </c>
      <c r="N585" s="16">
        <f t="shared" si="371"/>
        <v>-19364.184620428718</v>
      </c>
      <c r="O585" s="15">
        <f t="shared" si="372"/>
        <v>22.170849845882874</v>
      </c>
      <c r="P585" s="75">
        <f>O585*(1-PARAM!$C$27)*$I$6+(MOD($B585,60)=PARAM!$B$56)*($B585&gt;(60-PARAM!$B$56))*HLOOKUP(($B585+PARAM!$B$56)/12,Loyalty,2)*$F$1*MAX(R584,0)</f>
        <v>18.557001321003963</v>
      </c>
      <c r="Q585" s="75">
        <f>PARAM!$C$26+MAX($G$6-CHOOSE(PARAM!$B$44,MAX(0,R584*$F$1),0),0)*RATES!$L561/12+$H$6*(PARAM!$D$51/12)*RATES!$N561/100</f>
        <v>230.41666666666666</v>
      </c>
      <c r="R585" s="16">
        <f t="shared" si="373"/>
        <v>-19364.184620428718</v>
      </c>
      <c r="S585" s="15">
        <f t="shared" si="348"/>
        <v>22.170849845882874</v>
      </c>
      <c r="T585" s="75">
        <f>S585*(1-PARAM!$C$27)*$I$7+(MOD($B585,60)=PARAM!$B$56)*($B585&gt;(60-PARAM!$B$56))*HLOOKUP(($B585+PARAM!$B$56)/12,Loyalty,2)*$F$1*MAX(V584,0)</f>
        <v>18.557001321003963</v>
      </c>
      <c r="U585" s="75">
        <f>PARAM!$C$26+MAX($G$7-CHOOSE(PARAM!$B$44,MAX(0,V584*$F$1),0),0)*RATES!$L561/12+$H$7*(PARAM!$D$51/12)*RATES!$N561/100</f>
        <v>230.41666666666666</v>
      </c>
      <c r="V585" s="16">
        <f t="shared" si="374"/>
        <v>-19364.184620428718</v>
      </c>
      <c r="W585" s="15">
        <f t="shared" si="349"/>
        <v>22.170849845882874</v>
      </c>
      <c r="X585" s="75">
        <f>W585*(1-PARAM!$C$27)*$I$8+(MOD($B585,60)=PARAM!$B$56)*($B585&gt;(60-PARAM!$B$56))*HLOOKUP(($B585+PARAM!$B$56)/12,Loyalty,2)*$F$1*MAX(Z584,0)</f>
        <v>18.557001321003963</v>
      </c>
      <c r="Y585" s="75">
        <f>PARAM!$C$26+MAX($G$8-CHOOSE(PARAM!$B$44,MAX(0,Z584*$F$1),0),0)*RATES!$L561/12+$H$8*(PARAM!$D$51/12)*RATES!$N561/100</f>
        <v>230.41666666666666</v>
      </c>
      <c r="Z585" s="16">
        <f t="shared" si="375"/>
        <v>-19364.184620428718</v>
      </c>
      <c r="AA585" s="15">
        <f t="shared" si="350"/>
        <v>22.170849845882874</v>
      </c>
      <c r="AB585" s="75">
        <f>AA585*(1-PARAM!$C$27)*$I$9+(MOD($B585,60)=PARAM!$B$56)*($B585&gt;(60-PARAM!$B$56))*HLOOKUP(($B585+PARAM!$B$56)/12,Loyalty,2)*$F$1*MAX(AD584,0)</f>
        <v>18.557001321003963</v>
      </c>
      <c r="AC585" s="75">
        <f>PARAM!$C$26+MAX($G$9-CHOOSE(PARAM!$B$44,MAX(0,AD584*$F$1),0),0)*RATES!$L561/12+$H$9*(PARAM!$D$51/12)*RATES!$N561/100</f>
        <v>230.41666666666666</v>
      </c>
      <c r="AD585" s="16">
        <f t="shared" si="376"/>
        <v>-19364.184620428718</v>
      </c>
      <c r="AE585" s="15">
        <f t="shared" si="351"/>
        <v>22.170849845882874</v>
      </c>
      <c r="AF585" s="75">
        <f>AE585*(1-PARAM!$C$27)*$I$10+(MOD($B585,60)=PARAM!$B$56)*($B585&gt;(60-PARAM!$B$56))*HLOOKUP(($B585+PARAM!$B$56)/12,Loyalty,2)*$F$1*MAX(AH584,0)</f>
        <v>18.557001321003963</v>
      </c>
      <c r="AG585" s="75">
        <f>PARAM!$C$26+MAX($G$10-CHOOSE(PARAM!$B$44,MAX(0,AH584*$F$1),0),0)*RATES!$L561/12+$H$10*(PARAM!$D$51/12)*RATES!$N561/100</f>
        <v>230.41666666666666</v>
      </c>
      <c r="AH585" s="16">
        <f t="shared" si="377"/>
        <v>-19364.184620428718</v>
      </c>
      <c r="AI585" s="15">
        <f t="shared" si="352"/>
        <v>22.170849845882874</v>
      </c>
      <c r="AJ585" s="75">
        <f>AI585*(1-PARAM!$C$27)*$I$11+(MOD($B585,60)=PARAM!$B$56)*($B585&gt;(60-PARAM!$B$56))*HLOOKUP(($B585+PARAM!$B$56)/12,Loyalty,2)*$F$1*MAX(AL584,0)</f>
        <v>18.557001321003963</v>
      </c>
      <c r="AK585" s="75">
        <f>PARAM!$C$26+MAX($G$11-CHOOSE(PARAM!$B$44,MAX(0,AL584*$F$1),0),0)*RATES!$L561/12+$H$11*(PARAM!$D$51/12)*RATES!$N561/100</f>
        <v>230.41666666666666</v>
      </c>
      <c r="AL585" s="16">
        <f t="shared" si="378"/>
        <v>-19364.184620428718</v>
      </c>
      <c r="AM585" s="15">
        <f t="shared" si="353"/>
        <v>22.170849845882874</v>
      </c>
      <c r="AN585" s="75">
        <f>AM585*(1-PARAM!$C$27)*$I$12+(MOD($B585,60)=PARAM!$B$56)*($B585&gt;(60-PARAM!$B$56))*HLOOKUP(($B585+PARAM!$B$56)/12,Loyalty,2)*$F$1*MAX(AP584,0)</f>
        <v>18.557001321003963</v>
      </c>
      <c r="AO585" s="75">
        <f>PARAM!$C$26+MAX($G$12-CHOOSE(PARAM!$B$44,MAX(0,AP584*$F$1),0),0)*RATES!$L561/12+$H$12*(PARAM!$D$51/12)*RATES!$N561/100</f>
        <v>230.41666666666666</v>
      </c>
      <c r="AP585" s="16">
        <f t="shared" si="379"/>
        <v>-19364.184620428718</v>
      </c>
      <c r="AQ585" s="15">
        <f t="shared" si="354"/>
        <v>22.170849845882874</v>
      </c>
      <c r="AR585" s="75">
        <f>AQ585*(1-PARAM!$C$27)*$I$13+(MOD($B585,60)=PARAM!$B$56)*($B585&gt;(60-PARAM!$B$56))*HLOOKUP(($B585+PARAM!$B$56)/12,Loyalty,2)*$F$1*MAX(AT584,0)</f>
        <v>18.557001321003963</v>
      </c>
      <c r="AS585" s="75">
        <f>PARAM!$C$26+MAX($G$13-CHOOSE(PARAM!$B$44,MAX(0,AT584*$F$1),0),0)*RATES!$L561/12+$H$13*(PARAM!$D$51/12)*RATES!$N561/100</f>
        <v>230.41666666666666</v>
      </c>
      <c r="AT585" s="16">
        <f t="shared" si="380"/>
        <v>-19364.184620428718</v>
      </c>
      <c r="AU585" s="15">
        <f t="shared" si="355"/>
        <v>22.170849845882874</v>
      </c>
      <c r="AV585" s="75">
        <f>AU585*(1-PARAM!$C$27)*$I$14+(MOD($B585,60)=PARAM!$B$56)*($B585&gt;(60-PARAM!$B$56))*HLOOKUP(($B585+PARAM!$B$56)/12,Loyalty,2)*$F$1*MAX(AX584,0)</f>
        <v>18.557001321003963</v>
      </c>
      <c r="AW585" s="75">
        <f>PARAM!$C$26+MAX($G$14-CHOOSE(PARAM!$B$44,MAX(0,AX584*$F$1),0),0)*RATES!$L561/12+$H$14*(PARAM!$D$51/12)*RATES!$N561/100</f>
        <v>230.41666666666666</v>
      </c>
      <c r="AX585" s="16">
        <f t="shared" si="381"/>
        <v>-19364.184620428718</v>
      </c>
      <c r="AY585" s="15">
        <f t="shared" si="356"/>
        <v>22.170849845882874</v>
      </c>
      <c r="AZ585" s="75">
        <f>AY585*(1-PARAM!$C$27)*$I$15+(MOD($B585,60)=PARAM!$B$56)*($B585&gt;(60-PARAM!$B$56))*HLOOKUP(($B585+PARAM!$B$56)/12,Loyalty,2)*$F$1*MAX(BB584,0)</f>
        <v>18.557001321003963</v>
      </c>
      <c r="BA585" s="75">
        <f>PARAM!$C$26+MAX($G$15-CHOOSE(PARAM!$B$44,MAX(0,BB584*$F$1),0),0)*RATES!$L561/12+$H$15*(PARAM!$D$51/12)*RATES!$N561/100</f>
        <v>230.41666666666666</v>
      </c>
      <c r="BB585" s="16">
        <f t="shared" si="382"/>
        <v>-19364.184620428718</v>
      </c>
      <c r="BC585" s="15">
        <f t="shared" si="357"/>
        <v>22.170849845882874</v>
      </c>
      <c r="BD585" s="75">
        <f>BC585*(1-PARAM!$C$27)*$I$16+(MOD($B585,60)=PARAM!$B$56)*($B585&gt;(60-PARAM!$B$56))*HLOOKUP(($B585+PARAM!$B$56)/12,Loyalty,2)*$F$1*MAX(BF584,0)</f>
        <v>18.557001321003963</v>
      </c>
      <c r="BE585" s="75">
        <f>PARAM!$C$26+MAX($G$16-CHOOSE(PARAM!$B$44,MAX(0,BF584*$F$1),0),0)*RATES!$L561/12+$H$16*(PARAM!$D$51/12)*RATES!$N561/100</f>
        <v>230.41666666666666</v>
      </c>
      <c r="BF585" s="16">
        <f t="shared" si="383"/>
        <v>-19364.184620428718</v>
      </c>
      <c r="BG585" s="15">
        <f t="shared" si="358"/>
        <v>22.170849845882874</v>
      </c>
      <c r="BH585" s="75">
        <f>BG585*(1-PARAM!$C$27)*$I$17+(MOD($B585,60)=PARAM!$B$56)*($B585&gt;(60-PARAM!$B$56))*HLOOKUP(($B585+PARAM!$B$56)/12,Loyalty,2)*$F$1*MAX(BJ584,0)</f>
        <v>18.557001321003963</v>
      </c>
      <c r="BI585" s="75">
        <f>PARAM!$C$26+MAX($G$17-CHOOSE(PARAM!$B$44,MAX(0,BJ584*$F$1),0),0)*RATES!$L561/12+$H$17*(PARAM!$D$51/12)*RATES!$N561/100</f>
        <v>230.41666666666666</v>
      </c>
      <c r="BJ585" s="16">
        <f t="shared" si="384"/>
        <v>-19364.184620428718</v>
      </c>
      <c r="BK585" s="15">
        <f t="shared" si="359"/>
        <v>22.170849845882874</v>
      </c>
      <c r="BL585" s="75">
        <f>BK585*(1-PARAM!$C$27)*$I$18+(MOD($B585,60)=PARAM!$B$56)*($B585&gt;(60-PARAM!$B$56))*HLOOKUP(($B585+PARAM!$B$56)/12,Loyalty,2)*$F$1*MAX(BN584,0)</f>
        <v>18.557001321003963</v>
      </c>
      <c r="BM585" s="75">
        <f>PARAM!$C$26+MAX($G$18-CHOOSE(PARAM!$B$44,MAX(0,BN584*$F$1),0),0)*RATES!$L561/12+$H$18*(PARAM!$D$51/12)*RATES!$N561/100</f>
        <v>230.41666666666666</v>
      </c>
      <c r="BN585" s="16">
        <f t="shared" si="385"/>
        <v>-19364.184620428718</v>
      </c>
      <c r="BO585" s="15">
        <f t="shared" si="360"/>
        <v>22.170849845882874</v>
      </c>
      <c r="BP585" s="75">
        <f>BO585*(1-PARAM!$C$27)*$I$19+(MOD($B585,60)=PARAM!$B$56)*($B585&gt;(60-PARAM!$B$56))*HLOOKUP(($B585+PARAM!$B$56)/12,Loyalty,2)*$F$1*MAX(BR584,0)</f>
        <v>18.557001321003963</v>
      </c>
      <c r="BQ585" s="75">
        <f>PARAM!$C$26+MAX($G$19-CHOOSE(PARAM!$B$44,MAX(0,BR584*$F$1),0),0)*RATES!$L561/12+$H$19*(PARAM!$D$51/12)*RATES!$N561/100</f>
        <v>230.41666666666666</v>
      </c>
      <c r="BR585" s="16">
        <f t="shared" si="386"/>
        <v>-19364.184620428718</v>
      </c>
      <c r="BS585" s="15">
        <f t="shared" si="361"/>
        <v>22.170849845882874</v>
      </c>
      <c r="BT585" s="75">
        <f>BS585*(1-PARAM!$C$27)*$I$20+(MOD($B585,60)=PARAM!$B$56)*($B585&gt;(60-PARAM!$B$56))*HLOOKUP(($B585+PARAM!$B$56)/12,Loyalty,2)*$F$1*MAX(BV584,0)</f>
        <v>18.557001321003963</v>
      </c>
      <c r="BU585" s="75">
        <f>PARAM!$C$26+MAX($G$20-CHOOSE(PARAM!$B$44,MAX(0,BV584*$F$1),0),0)*RATES!$L561/12+$H$20*(PARAM!$D$51/12)*RATES!$N561/100</f>
        <v>230.41666666666666</v>
      </c>
      <c r="BV585" s="16">
        <f t="shared" si="387"/>
        <v>-19364.184620428718</v>
      </c>
      <c r="BW585" s="15">
        <f t="shared" si="362"/>
        <v>22.170849845882874</v>
      </c>
      <c r="BX585" s="75">
        <f>BW585*(1-PARAM!$C$27)*$I$21+(MOD($B585,60)=PARAM!$B$56)*($B585&gt;(60-PARAM!$B$56))*HLOOKUP(($B585+PARAM!$B$56)/12,Loyalty,2)*$F$1*MAX(BZ584,0)</f>
        <v>18.557001321003963</v>
      </c>
      <c r="BY585" s="75">
        <f>PARAM!$C$26+MAX($G$21-CHOOSE(PARAM!$B$44,MAX(0,BZ584*$F$1),0),0)*RATES!$L561/12+$H$21*(PARAM!$D$51/12)*RATES!$N561/100</f>
        <v>230.41666666666666</v>
      </c>
      <c r="BZ585" s="16">
        <f t="shared" si="388"/>
        <v>-19364.184620428718</v>
      </c>
      <c r="CA585" s="15">
        <f t="shared" si="363"/>
        <v>22.170849845882874</v>
      </c>
      <c r="CB585" s="75">
        <f>CA585*(1-PARAM!$C$27)*$I$22+(MOD($B585,60)=PARAM!$B$56)*($B585&gt;(60-PARAM!$B$56))*HLOOKUP(($B585+PARAM!$B$56)/12,Loyalty,2)*$F$1*MAX(CD584,0)</f>
        <v>18.557001321003963</v>
      </c>
      <c r="CC585" s="75">
        <f>PARAM!$C$26+MAX($G$22-CHOOSE(PARAM!$B$44,MAX(0,CD584*$F$1),0),0)*RATES!$L561/12+$H$22*(PARAM!$D$51/12)*RATES!$N561/100</f>
        <v>230.41666666666666</v>
      </c>
      <c r="CD585" s="16">
        <f t="shared" si="389"/>
        <v>-19364.184620428718</v>
      </c>
      <c r="CE585" s="33">
        <f>IF(0=MOD(B585,12/PARAM!$D$51),1,0)</f>
        <v>1</v>
      </c>
      <c r="CF585" s="15">
        <f t="shared" si="364"/>
        <v>0</v>
      </c>
      <c r="CG585" s="75">
        <f>CF585*(1-PARAM!$C$27)*$R$3+(MOD($B585/12,5)=0)*($B585&gt;60)*HLOOKUP($B585/12,Loyalty,2)*$F$1*MAX(CI584,0)</f>
        <v>0</v>
      </c>
      <c r="CH585" s="75">
        <f>PARAM!$C$26+MAX($P$3-CHOOSE(PARAM!$B$44,MAX(0,CI584*$F$1),0),0)*RATES!$L561/12+$Q$3*(PARAM!$D$51/12)*RATES!$N561/100</f>
        <v>230.41666666666666</v>
      </c>
      <c r="CI585" s="16">
        <f>IF(CI584&gt;0,CI584*PARAM!$C$53,CI584)+CG585-CH585</f>
        <v>-29599.416666666664</v>
      </c>
      <c r="CJ585" s="15">
        <f t="shared" si="390"/>
        <v>0</v>
      </c>
      <c r="CK585" s="75">
        <f>CJ585*(1-PARAM!$C$27)*$R$4+(MOD($B585/12,5)=0)*($B585&gt;60)*HLOOKUP($B585/12,Loyalty,2)*$F$1*MAX(CM584,0)</f>
        <v>0</v>
      </c>
      <c r="CL585" s="75">
        <f>PARAM!$C$26+MAX($P$4-CHOOSE(PARAM!$B$44,MAX(0,CM584*$F$1),0),0)*RATES!$L561/12+$Q$4*(PARAM!$D$51/12)*RATES!$N561/100</f>
        <v>230.41666666666666</v>
      </c>
      <c r="CM585" s="16">
        <f>IF(CM584&gt;0,CM584*PARAM!$C$53,CM584)+CK585-CL585</f>
        <v>-29599.416666666664</v>
      </c>
      <c r="CO585" s="176"/>
    </row>
    <row r="586" spans="1:93" x14ac:dyDescent="0.2">
      <c r="A586" t="b">
        <f t="shared" si="365"/>
        <v>0</v>
      </c>
      <c r="B586" s="33">
        <v>559</v>
      </c>
      <c r="C586" s="15">
        <f t="shared" si="366"/>
        <v>20.081305947392778</v>
      </c>
      <c r="D586" s="75">
        <f>C586*(1-PARAM!$C$27)*$I$3+(MOD($B586,60)=PARAM!$B$56)*($B586&gt;(60-PARAM!$B$56))*HLOOKUP(($B586+PARAM!$B$56)/12,Loyalty,2)*$F$1*MAX(F585,0)</f>
        <v>16.808053077967756</v>
      </c>
      <c r="E586" s="75">
        <f>PARAM!$C$26+MAX($G$3-CHOOSE(PARAM!$B$44,MAX(0,F585*$F$1),0),0)*RATES!$L562/12+$H$3*(PARAM!$D$51/12)*RATES!$N562/100</f>
        <v>230.41666666666666</v>
      </c>
      <c r="F586" s="16">
        <f t="shared" si="367"/>
        <v>-20590.556854153147</v>
      </c>
      <c r="G586" s="15">
        <f t="shared" si="368"/>
        <v>22.035289406060361</v>
      </c>
      <c r="H586" s="75">
        <f>G586*(1-PARAM!$C$27)*$I$4+(MOD($B586,60)=PARAM!$B$56)*($B586&gt;(60-PARAM!$B$56))*HLOOKUP(($B586+PARAM!$B$56)/12,Loyalty,2)*$F$1*MAX(J585,0)</f>
        <v>18.443537232872522</v>
      </c>
      <c r="I586" s="75">
        <f>PARAM!$C$26+MAX($G$4-CHOOSE(PARAM!$B$44,MAX(0,J585*$F$1),0),0)*RATES!$L562/12+$H$4*(PARAM!$D$51/12)*RATES!$N562/100</f>
        <v>230.41666666666666</v>
      </c>
      <c r="J586" s="16">
        <f t="shared" si="369"/>
        <v>-19642.488247439662</v>
      </c>
      <c r="K586" s="15">
        <f t="shared" si="370"/>
        <v>22.170849845882874</v>
      </c>
      <c r="L586" s="75">
        <f>K586*(1-PARAM!$C$27)*$I$5+(MOD($B586,60)=PARAM!$B$56)*($B586&gt;(60-PARAM!$B$56))*HLOOKUP(($B586+PARAM!$B$56)/12,Loyalty,2)*$F$1*MAX(N585,0)</f>
        <v>18.557001321003963</v>
      </c>
      <c r="M586" s="75">
        <f>PARAM!$C$26+MAX($G$5-CHOOSE(PARAM!$B$44,MAX(0,N585*$F$1),0),0)*RATES!$L562/12+$H$5*(PARAM!$D$51/12)*RATES!$N562/100</f>
        <v>230.41666666666666</v>
      </c>
      <c r="N586" s="16">
        <f t="shared" si="371"/>
        <v>-19576.04428577438</v>
      </c>
      <c r="O586" s="15">
        <f t="shared" si="372"/>
        <v>22.170849845882874</v>
      </c>
      <c r="P586" s="75">
        <f>O586*(1-PARAM!$C$27)*$I$6+(MOD($B586,60)=PARAM!$B$56)*($B586&gt;(60-PARAM!$B$56))*HLOOKUP(($B586+PARAM!$B$56)/12,Loyalty,2)*$F$1*MAX(R585,0)</f>
        <v>18.557001321003963</v>
      </c>
      <c r="Q586" s="75">
        <f>PARAM!$C$26+MAX($G$6-CHOOSE(PARAM!$B$44,MAX(0,R585*$F$1),0),0)*RATES!$L562/12+$H$6*(PARAM!$D$51/12)*RATES!$N562/100</f>
        <v>230.41666666666666</v>
      </c>
      <c r="R586" s="16">
        <f t="shared" si="373"/>
        <v>-19576.04428577438</v>
      </c>
      <c r="S586" s="15">
        <f t="shared" si="348"/>
        <v>22.170849845882874</v>
      </c>
      <c r="T586" s="75">
        <f>S586*(1-PARAM!$C$27)*$I$7+(MOD($B586,60)=PARAM!$B$56)*($B586&gt;(60-PARAM!$B$56))*HLOOKUP(($B586+PARAM!$B$56)/12,Loyalty,2)*$F$1*MAX(V585,0)</f>
        <v>18.557001321003963</v>
      </c>
      <c r="U586" s="75">
        <f>PARAM!$C$26+MAX($G$7-CHOOSE(PARAM!$B$44,MAX(0,V585*$F$1),0),0)*RATES!$L562/12+$H$7*(PARAM!$D$51/12)*RATES!$N562/100</f>
        <v>230.41666666666666</v>
      </c>
      <c r="V586" s="16">
        <f t="shared" si="374"/>
        <v>-19576.04428577438</v>
      </c>
      <c r="W586" s="15">
        <f t="shared" si="349"/>
        <v>22.170849845882874</v>
      </c>
      <c r="X586" s="75">
        <f>W586*(1-PARAM!$C$27)*$I$8+(MOD($B586,60)=PARAM!$B$56)*($B586&gt;(60-PARAM!$B$56))*HLOOKUP(($B586+PARAM!$B$56)/12,Loyalty,2)*$F$1*MAX(Z585,0)</f>
        <v>18.557001321003963</v>
      </c>
      <c r="Y586" s="75">
        <f>PARAM!$C$26+MAX($G$8-CHOOSE(PARAM!$B$44,MAX(0,Z585*$F$1),0),0)*RATES!$L562/12+$H$8*(PARAM!$D$51/12)*RATES!$N562/100</f>
        <v>230.41666666666666</v>
      </c>
      <c r="Z586" s="16">
        <f t="shared" si="375"/>
        <v>-19576.04428577438</v>
      </c>
      <c r="AA586" s="15">
        <f t="shared" si="350"/>
        <v>22.170849845882874</v>
      </c>
      <c r="AB586" s="75">
        <f>AA586*(1-PARAM!$C$27)*$I$9+(MOD($B586,60)=PARAM!$B$56)*($B586&gt;(60-PARAM!$B$56))*HLOOKUP(($B586+PARAM!$B$56)/12,Loyalty,2)*$F$1*MAX(AD585,0)</f>
        <v>18.557001321003963</v>
      </c>
      <c r="AC586" s="75">
        <f>PARAM!$C$26+MAX($G$9-CHOOSE(PARAM!$B$44,MAX(0,AD585*$F$1),0),0)*RATES!$L562/12+$H$9*(PARAM!$D$51/12)*RATES!$N562/100</f>
        <v>230.41666666666666</v>
      </c>
      <c r="AD586" s="16">
        <f t="shared" si="376"/>
        <v>-19576.04428577438</v>
      </c>
      <c r="AE586" s="15">
        <f t="shared" si="351"/>
        <v>22.170849845882874</v>
      </c>
      <c r="AF586" s="75">
        <f>AE586*(1-PARAM!$C$27)*$I$10+(MOD($B586,60)=PARAM!$B$56)*($B586&gt;(60-PARAM!$B$56))*HLOOKUP(($B586+PARAM!$B$56)/12,Loyalty,2)*$F$1*MAX(AH585,0)</f>
        <v>18.557001321003963</v>
      </c>
      <c r="AG586" s="75">
        <f>PARAM!$C$26+MAX($G$10-CHOOSE(PARAM!$B$44,MAX(0,AH585*$F$1),0),0)*RATES!$L562/12+$H$10*(PARAM!$D$51/12)*RATES!$N562/100</f>
        <v>230.41666666666666</v>
      </c>
      <c r="AH586" s="16">
        <f t="shared" si="377"/>
        <v>-19576.04428577438</v>
      </c>
      <c r="AI586" s="15">
        <f t="shared" si="352"/>
        <v>22.170849845882874</v>
      </c>
      <c r="AJ586" s="75">
        <f>AI586*(1-PARAM!$C$27)*$I$11+(MOD($B586,60)=PARAM!$B$56)*($B586&gt;(60-PARAM!$B$56))*HLOOKUP(($B586+PARAM!$B$56)/12,Loyalty,2)*$F$1*MAX(AL585,0)</f>
        <v>18.557001321003963</v>
      </c>
      <c r="AK586" s="75">
        <f>PARAM!$C$26+MAX($G$11-CHOOSE(PARAM!$B$44,MAX(0,AL585*$F$1),0),0)*RATES!$L562/12+$H$11*(PARAM!$D$51/12)*RATES!$N562/100</f>
        <v>230.41666666666666</v>
      </c>
      <c r="AL586" s="16">
        <f t="shared" si="378"/>
        <v>-19576.04428577438</v>
      </c>
      <c r="AM586" s="15">
        <f t="shared" si="353"/>
        <v>22.170849845882874</v>
      </c>
      <c r="AN586" s="75">
        <f>AM586*(1-PARAM!$C$27)*$I$12+(MOD($B586,60)=PARAM!$B$56)*($B586&gt;(60-PARAM!$B$56))*HLOOKUP(($B586+PARAM!$B$56)/12,Loyalty,2)*$F$1*MAX(AP585,0)</f>
        <v>18.557001321003963</v>
      </c>
      <c r="AO586" s="75">
        <f>PARAM!$C$26+MAX($G$12-CHOOSE(PARAM!$B$44,MAX(0,AP585*$F$1),0),0)*RATES!$L562/12+$H$12*(PARAM!$D$51/12)*RATES!$N562/100</f>
        <v>230.41666666666666</v>
      </c>
      <c r="AP586" s="16">
        <f t="shared" si="379"/>
        <v>-19576.04428577438</v>
      </c>
      <c r="AQ586" s="15">
        <f t="shared" si="354"/>
        <v>22.170849845882874</v>
      </c>
      <c r="AR586" s="75">
        <f>AQ586*(1-PARAM!$C$27)*$I$13+(MOD($B586,60)=PARAM!$B$56)*($B586&gt;(60-PARAM!$B$56))*HLOOKUP(($B586+PARAM!$B$56)/12,Loyalty,2)*$F$1*MAX(AT585,0)</f>
        <v>18.557001321003963</v>
      </c>
      <c r="AS586" s="75">
        <f>PARAM!$C$26+MAX($G$13-CHOOSE(PARAM!$B$44,MAX(0,AT585*$F$1),0),0)*RATES!$L562/12+$H$13*(PARAM!$D$51/12)*RATES!$N562/100</f>
        <v>230.41666666666666</v>
      </c>
      <c r="AT586" s="16">
        <f t="shared" si="380"/>
        <v>-19576.04428577438</v>
      </c>
      <c r="AU586" s="15">
        <f t="shared" si="355"/>
        <v>22.170849845882874</v>
      </c>
      <c r="AV586" s="75">
        <f>AU586*(1-PARAM!$C$27)*$I$14+(MOD($B586,60)=PARAM!$B$56)*($B586&gt;(60-PARAM!$B$56))*HLOOKUP(($B586+PARAM!$B$56)/12,Loyalty,2)*$F$1*MAX(AX585,0)</f>
        <v>18.557001321003963</v>
      </c>
      <c r="AW586" s="75">
        <f>PARAM!$C$26+MAX($G$14-CHOOSE(PARAM!$B$44,MAX(0,AX585*$F$1),0),0)*RATES!$L562/12+$H$14*(PARAM!$D$51/12)*RATES!$N562/100</f>
        <v>230.41666666666666</v>
      </c>
      <c r="AX586" s="16">
        <f t="shared" si="381"/>
        <v>-19576.04428577438</v>
      </c>
      <c r="AY586" s="15">
        <f t="shared" si="356"/>
        <v>22.170849845882874</v>
      </c>
      <c r="AZ586" s="75">
        <f>AY586*(1-PARAM!$C$27)*$I$15+(MOD($B586,60)=PARAM!$B$56)*($B586&gt;(60-PARAM!$B$56))*HLOOKUP(($B586+PARAM!$B$56)/12,Loyalty,2)*$F$1*MAX(BB585,0)</f>
        <v>18.557001321003963</v>
      </c>
      <c r="BA586" s="75">
        <f>PARAM!$C$26+MAX($G$15-CHOOSE(PARAM!$B$44,MAX(0,BB585*$F$1),0),0)*RATES!$L562/12+$H$15*(PARAM!$D$51/12)*RATES!$N562/100</f>
        <v>230.41666666666666</v>
      </c>
      <c r="BB586" s="16">
        <f t="shared" si="382"/>
        <v>-19576.04428577438</v>
      </c>
      <c r="BC586" s="15">
        <f t="shared" si="357"/>
        <v>22.170849845882874</v>
      </c>
      <c r="BD586" s="75">
        <f>BC586*(1-PARAM!$C$27)*$I$16+(MOD($B586,60)=PARAM!$B$56)*($B586&gt;(60-PARAM!$B$56))*HLOOKUP(($B586+PARAM!$B$56)/12,Loyalty,2)*$F$1*MAX(BF585,0)</f>
        <v>18.557001321003963</v>
      </c>
      <c r="BE586" s="75">
        <f>PARAM!$C$26+MAX($G$16-CHOOSE(PARAM!$B$44,MAX(0,BF585*$F$1),0),0)*RATES!$L562/12+$H$16*(PARAM!$D$51/12)*RATES!$N562/100</f>
        <v>230.41666666666666</v>
      </c>
      <c r="BF586" s="16">
        <f t="shared" si="383"/>
        <v>-19576.04428577438</v>
      </c>
      <c r="BG586" s="15">
        <f t="shared" si="358"/>
        <v>22.170849845882874</v>
      </c>
      <c r="BH586" s="75">
        <f>BG586*(1-PARAM!$C$27)*$I$17+(MOD($B586,60)=PARAM!$B$56)*($B586&gt;(60-PARAM!$B$56))*HLOOKUP(($B586+PARAM!$B$56)/12,Loyalty,2)*$F$1*MAX(BJ585,0)</f>
        <v>18.557001321003963</v>
      </c>
      <c r="BI586" s="75">
        <f>PARAM!$C$26+MAX($G$17-CHOOSE(PARAM!$B$44,MAX(0,BJ585*$F$1),0),0)*RATES!$L562/12+$H$17*(PARAM!$D$51/12)*RATES!$N562/100</f>
        <v>230.41666666666666</v>
      </c>
      <c r="BJ586" s="16">
        <f t="shared" si="384"/>
        <v>-19576.04428577438</v>
      </c>
      <c r="BK586" s="15">
        <f t="shared" si="359"/>
        <v>22.170849845882874</v>
      </c>
      <c r="BL586" s="75">
        <f>BK586*(1-PARAM!$C$27)*$I$18+(MOD($B586,60)=PARAM!$B$56)*($B586&gt;(60-PARAM!$B$56))*HLOOKUP(($B586+PARAM!$B$56)/12,Loyalty,2)*$F$1*MAX(BN585,0)</f>
        <v>18.557001321003963</v>
      </c>
      <c r="BM586" s="75">
        <f>PARAM!$C$26+MAX($G$18-CHOOSE(PARAM!$B$44,MAX(0,BN585*$F$1),0),0)*RATES!$L562/12+$H$18*(PARAM!$D$51/12)*RATES!$N562/100</f>
        <v>230.41666666666666</v>
      </c>
      <c r="BN586" s="16">
        <f t="shared" si="385"/>
        <v>-19576.04428577438</v>
      </c>
      <c r="BO586" s="15">
        <f t="shared" si="360"/>
        <v>22.170849845882874</v>
      </c>
      <c r="BP586" s="75">
        <f>BO586*(1-PARAM!$C$27)*$I$19+(MOD($B586,60)=PARAM!$B$56)*($B586&gt;(60-PARAM!$B$56))*HLOOKUP(($B586+PARAM!$B$56)/12,Loyalty,2)*$F$1*MAX(BR585,0)</f>
        <v>18.557001321003963</v>
      </c>
      <c r="BQ586" s="75">
        <f>PARAM!$C$26+MAX($G$19-CHOOSE(PARAM!$B$44,MAX(0,BR585*$F$1),0),0)*RATES!$L562/12+$H$19*(PARAM!$D$51/12)*RATES!$N562/100</f>
        <v>230.41666666666666</v>
      </c>
      <c r="BR586" s="16">
        <f t="shared" si="386"/>
        <v>-19576.04428577438</v>
      </c>
      <c r="BS586" s="15">
        <f t="shared" si="361"/>
        <v>22.170849845882874</v>
      </c>
      <c r="BT586" s="75">
        <f>BS586*(1-PARAM!$C$27)*$I$20+(MOD($B586,60)=PARAM!$B$56)*($B586&gt;(60-PARAM!$B$56))*HLOOKUP(($B586+PARAM!$B$56)/12,Loyalty,2)*$F$1*MAX(BV585,0)</f>
        <v>18.557001321003963</v>
      </c>
      <c r="BU586" s="75">
        <f>PARAM!$C$26+MAX($G$20-CHOOSE(PARAM!$B$44,MAX(0,BV585*$F$1),0),0)*RATES!$L562/12+$H$20*(PARAM!$D$51/12)*RATES!$N562/100</f>
        <v>230.41666666666666</v>
      </c>
      <c r="BV586" s="16">
        <f t="shared" si="387"/>
        <v>-19576.04428577438</v>
      </c>
      <c r="BW586" s="15">
        <f t="shared" si="362"/>
        <v>22.170849845882874</v>
      </c>
      <c r="BX586" s="75">
        <f>BW586*(1-PARAM!$C$27)*$I$21+(MOD($B586,60)=PARAM!$B$56)*($B586&gt;(60-PARAM!$B$56))*HLOOKUP(($B586+PARAM!$B$56)/12,Loyalty,2)*$F$1*MAX(BZ585,0)</f>
        <v>18.557001321003963</v>
      </c>
      <c r="BY586" s="75">
        <f>PARAM!$C$26+MAX($G$21-CHOOSE(PARAM!$B$44,MAX(0,BZ585*$F$1),0),0)*RATES!$L562/12+$H$21*(PARAM!$D$51/12)*RATES!$N562/100</f>
        <v>230.41666666666666</v>
      </c>
      <c r="BZ586" s="16">
        <f t="shared" si="388"/>
        <v>-19576.04428577438</v>
      </c>
      <c r="CA586" s="15">
        <f t="shared" si="363"/>
        <v>22.170849845882874</v>
      </c>
      <c r="CB586" s="75">
        <f>CA586*(1-PARAM!$C$27)*$I$22+(MOD($B586,60)=PARAM!$B$56)*($B586&gt;(60-PARAM!$B$56))*HLOOKUP(($B586+PARAM!$B$56)/12,Loyalty,2)*$F$1*MAX(CD585,0)</f>
        <v>18.557001321003963</v>
      </c>
      <c r="CC586" s="75">
        <f>PARAM!$C$26+MAX($G$22-CHOOSE(PARAM!$B$44,MAX(0,CD585*$F$1),0),0)*RATES!$L562/12+$H$22*(PARAM!$D$51/12)*RATES!$N562/100</f>
        <v>230.41666666666666</v>
      </c>
      <c r="CD586" s="16">
        <f t="shared" si="389"/>
        <v>-19576.04428577438</v>
      </c>
      <c r="CE586" s="33">
        <f>IF(0=MOD(B586,12/PARAM!$D$51),1,0)</f>
        <v>1</v>
      </c>
      <c r="CF586" s="15">
        <f t="shared" si="364"/>
        <v>0</v>
      </c>
      <c r="CG586" s="75">
        <f>CF586*(1-PARAM!$C$27)*$R$3+(MOD($B586/12,5)=0)*($B586&gt;60)*HLOOKUP($B586/12,Loyalty,2)*$F$1*MAX(CI585,0)</f>
        <v>0</v>
      </c>
      <c r="CH586" s="75">
        <f>PARAM!$C$26+MAX($P$3-CHOOSE(PARAM!$B$44,MAX(0,CI585*$F$1),0),0)*RATES!$L562/12+$Q$3*(PARAM!$D$51/12)*RATES!$N562/100</f>
        <v>230.41666666666666</v>
      </c>
      <c r="CI586" s="16">
        <f>IF(CI585&gt;0,CI585*PARAM!$C$53,CI585)+CG586-CH586</f>
        <v>-29829.833333333332</v>
      </c>
      <c r="CJ586" s="15">
        <f t="shared" si="390"/>
        <v>0</v>
      </c>
      <c r="CK586" s="75">
        <f>CJ586*(1-PARAM!$C$27)*$R$4+(MOD($B586/12,5)=0)*($B586&gt;60)*HLOOKUP($B586/12,Loyalty,2)*$F$1*MAX(CM585,0)</f>
        <v>0</v>
      </c>
      <c r="CL586" s="75">
        <f>PARAM!$C$26+MAX($P$4-CHOOSE(PARAM!$B$44,MAX(0,CM585*$F$1),0),0)*RATES!$L562/12+$Q$4*(PARAM!$D$51/12)*RATES!$N562/100</f>
        <v>230.41666666666666</v>
      </c>
      <c r="CM586" s="16">
        <f>IF(CM585&gt;0,CM585*PARAM!$C$53,CM585)+CK586-CL586</f>
        <v>-29829.833333333332</v>
      </c>
      <c r="CO586" s="176"/>
    </row>
    <row r="587" spans="1:93" x14ac:dyDescent="0.2">
      <c r="A587" t="b">
        <f t="shared" si="365"/>
        <v>0</v>
      </c>
      <c r="B587" s="33">
        <v>560</v>
      </c>
      <c r="C587" s="15">
        <f t="shared" si="366"/>
        <v>20.081305947392778</v>
      </c>
      <c r="D587" s="75">
        <f>C587*(1-PARAM!$C$27)*$I$3+(MOD($B587,60)=PARAM!$B$56)*($B587&gt;(60-PARAM!$B$56))*HLOOKUP(($B587+PARAM!$B$56)/12,Loyalty,2)*$F$1*MAX(F586,0)</f>
        <v>16.808053077967756</v>
      </c>
      <c r="E587" s="75">
        <f>PARAM!$C$26+MAX($G$3-CHOOSE(PARAM!$B$44,MAX(0,F586*$F$1),0),0)*RATES!$L563/12+$H$3*(PARAM!$D$51/12)*RATES!$N563/100</f>
        <v>230.41666666666666</v>
      </c>
      <c r="F587" s="16">
        <f t="shared" si="367"/>
        <v>-20804.165467741848</v>
      </c>
      <c r="G587" s="15">
        <f t="shared" si="368"/>
        <v>22.035289406060361</v>
      </c>
      <c r="H587" s="75">
        <f>G587*(1-PARAM!$C$27)*$I$4+(MOD($B587,60)=PARAM!$B$56)*($B587&gt;(60-PARAM!$B$56))*HLOOKUP(($B587+PARAM!$B$56)/12,Loyalty,2)*$F$1*MAX(J586,0)</f>
        <v>18.443537232872522</v>
      </c>
      <c r="I587" s="75">
        <f>PARAM!$C$26+MAX($G$4-CHOOSE(PARAM!$B$44,MAX(0,J586*$F$1),0),0)*RATES!$L563/12+$H$4*(PARAM!$D$51/12)*RATES!$N563/100</f>
        <v>230.41666666666666</v>
      </c>
      <c r="J587" s="16">
        <f t="shared" si="369"/>
        <v>-19854.461376873456</v>
      </c>
      <c r="K587" s="15">
        <f t="shared" si="370"/>
        <v>22.170849845882874</v>
      </c>
      <c r="L587" s="75">
        <f>K587*(1-PARAM!$C$27)*$I$5+(MOD($B587,60)=PARAM!$B$56)*($B587&gt;(60-PARAM!$B$56))*HLOOKUP(($B587+PARAM!$B$56)/12,Loyalty,2)*$F$1*MAX(N586,0)</f>
        <v>18.557001321003963</v>
      </c>
      <c r="M587" s="75">
        <f>PARAM!$C$26+MAX($G$5-CHOOSE(PARAM!$B$44,MAX(0,N586*$F$1),0),0)*RATES!$L563/12+$H$5*(PARAM!$D$51/12)*RATES!$N563/100</f>
        <v>230.41666666666666</v>
      </c>
      <c r="N587" s="16">
        <f t="shared" si="371"/>
        <v>-19787.903951120043</v>
      </c>
      <c r="O587" s="15">
        <f t="shared" si="372"/>
        <v>22.170849845882874</v>
      </c>
      <c r="P587" s="75">
        <f>O587*(1-PARAM!$C$27)*$I$6+(MOD($B587,60)=PARAM!$B$56)*($B587&gt;(60-PARAM!$B$56))*HLOOKUP(($B587+PARAM!$B$56)/12,Loyalty,2)*$F$1*MAX(R586,0)</f>
        <v>18.557001321003963</v>
      </c>
      <c r="Q587" s="75">
        <f>PARAM!$C$26+MAX($G$6-CHOOSE(PARAM!$B$44,MAX(0,R586*$F$1),0),0)*RATES!$L563/12+$H$6*(PARAM!$D$51/12)*RATES!$N563/100</f>
        <v>230.41666666666666</v>
      </c>
      <c r="R587" s="16">
        <f t="shared" si="373"/>
        <v>-19787.903951120043</v>
      </c>
      <c r="S587" s="15">
        <f t="shared" si="348"/>
        <v>22.170849845882874</v>
      </c>
      <c r="T587" s="75">
        <f>S587*(1-PARAM!$C$27)*$I$7+(MOD($B587,60)=PARAM!$B$56)*($B587&gt;(60-PARAM!$B$56))*HLOOKUP(($B587+PARAM!$B$56)/12,Loyalty,2)*$F$1*MAX(V586,0)</f>
        <v>18.557001321003963</v>
      </c>
      <c r="U587" s="75">
        <f>PARAM!$C$26+MAX($G$7-CHOOSE(PARAM!$B$44,MAX(0,V586*$F$1),0),0)*RATES!$L563/12+$H$7*(PARAM!$D$51/12)*RATES!$N563/100</f>
        <v>230.41666666666666</v>
      </c>
      <c r="V587" s="16">
        <f t="shared" si="374"/>
        <v>-19787.903951120043</v>
      </c>
      <c r="W587" s="15">
        <f t="shared" si="349"/>
        <v>22.170849845882874</v>
      </c>
      <c r="X587" s="75">
        <f>W587*(1-PARAM!$C$27)*$I$8+(MOD($B587,60)=PARAM!$B$56)*($B587&gt;(60-PARAM!$B$56))*HLOOKUP(($B587+PARAM!$B$56)/12,Loyalty,2)*$F$1*MAX(Z586,0)</f>
        <v>18.557001321003963</v>
      </c>
      <c r="Y587" s="75">
        <f>PARAM!$C$26+MAX($G$8-CHOOSE(PARAM!$B$44,MAX(0,Z586*$F$1),0),0)*RATES!$L563/12+$H$8*(PARAM!$D$51/12)*RATES!$N563/100</f>
        <v>230.41666666666666</v>
      </c>
      <c r="Z587" s="16">
        <f t="shared" si="375"/>
        <v>-19787.903951120043</v>
      </c>
      <c r="AA587" s="15">
        <f t="shared" si="350"/>
        <v>22.170849845882874</v>
      </c>
      <c r="AB587" s="75">
        <f>AA587*(1-PARAM!$C$27)*$I$9+(MOD($B587,60)=PARAM!$B$56)*($B587&gt;(60-PARAM!$B$56))*HLOOKUP(($B587+PARAM!$B$56)/12,Loyalty,2)*$F$1*MAX(AD586,0)</f>
        <v>18.557001321003963</v>
      </c>
      <c r="AC587" s="75">
        <f>PARAM!$C$26+MAX($G$9-CHOOSE(PARAM!$B$44,MAX(0,AD586*$F$1),0),0)*RATES!$L563/12+$H$9*(PARAM!$D$51/12)*RATES!$N563/100</f>
        <v>230.41666666666666</v>
      </c>
      <c r="AD587" s="16">
        <f t="shared" si="376"/>
        <v>-19787.903951120043</v>
      </c>
      <c r="AE587" s="15">
        <f t="shared" si="351"/>
        <v>22.170849845882874</v>
      </c>
      <c r="AF587" s="75">
        <f>AE587*(1-PARAM!$C$27)*$I$10+(MOD($B587,60)=PARAM!$B$56)*($B587&gt;(60-PARAM!$B$56))*HLOOKUP(($B587+PARAM!$B$56)/12,Loyalty,2)*$F$1*MAX(AH586,0)</f>
        <v>18.557001321003963</v>
      </c>
      <c r="AG587" s="75">
        <f>PARAM!$C$26+MAX($G$10-CHOOSE(PARAM!$B$44,MAX(0,AH586*$F$1),0),0)*RATES!$L563/12+$H$10*(PARAM!$D$51/12)*RATES!$N563/100</f>
        <v>230.41666666666666</v>
      </c>
      <c r="AH587" s="16">
        <f t="shared" si="377"/>
        <v>-19787.903951120043</v>
      </c>
      <c r="AI587" s="15">
        <f t="shared" si="352"/>
        <v>22.170849845882874</v>
      </c>
      <c r="AJ587" s="75">
        <f>AI587*(1-PARAM!$C$27)*$I$11+(MOD($B587,60)=PARAM!$B$56)*($B587&gt;(60-PARAM!$B$56))*HLOOKUP(($B587+PARAM!$B$56)/12,Loyalty,2)*$F$1*MAX(AL586,0)</f>
        <v>18.557001321003963</v>
      </c>
      <c r="AK587" s="75">
        <f>PARAM!$C$26+MAX($G$11-CHOOSE(PARAM!$B$44,MAX(0,AL586*$F$1),0),0)*RATES!$L563/12+$H$11*(PARAM!$D$51/12)*RATES!$N563/100</f>
        <v>230.41666666666666</v>
      </c>
      <c r="AL587" s="16">
        <f t="shared" si="378"/>
        <v>-19787.903951120043</v>
      </c>
      <c r="AM587" s="15">
        <f t="shared" si="353"/>
        <v>22.170849845882874</v>
      </c>
      <c r="AN587" s="75">
        <f>AM587*(1-PARAM!$C$27)*$I$12+(MOD($B587,60)=PARAM!$B$56)*($B587&gt;(60-PARAM!$B$56))*HLOOKUP(($B587+PARAM!$B$56)/12,Loyalty,2)*$F$1*MAX(AP586,0)</f>
        <v>18.557001321003963</v>
      </c>
      <c r="AO587" s="75">
        <f>PARAM!$C$26+MAX($G$12-CHOOSE(PARAM!$B$44,MAX(0,AP586*$F$1),0),0)*RATES!$L563/12+$H$12*(PARAM!$D$51/12)*RATES!$N563/100</f>
        <v>230.41666666666666</v>
      </c>
      <c r="AP587" s="16">
        <f t="shared" si="379"/>
        <v>-19787.903951120043</v>
      </c>
      <c r="AQ587" s="15">
        <f t="shared" si="354"/>
        <v>22.170849845882874</v>
      </c>
      <c r="AR587" s="75">
        <f>AQ587*(1-PARAM!$C$27)*$I$13+(MOD($B587,60)=PARAM!$B$56)*($B587&gt;(60-PARAM!$B$56))*HLOOKUP(($B587+PARAM!$B$56)/12,Loyalty,2)*$F$1*MAX(AT586,0)</f>
        <v>18.557001321003963</v>
      </c>
      <c r="AS587" s="75">
        <f>PARAM!$C$26+MAX($G$13-CHOOSE(PARAM!$B$44,MAX(0,AT586*$F$1),0),0)*RATES!$L563/12+$H$13*(PARAM!$D$51/12)*RATES!$N563/100</f>
        <v>230.41666666666666</v>
      </c>
      <c r="AT587" s="16">
        <f t="shared" si="380"/>
        <v>-19787.903951120043</v>
      </c>
      <c r="AU587" s="15">
        <f t="shared" si="355"/>
        <v>22.170849845882874</v>
      </c>
      <c r="AV587" s="75">
        <f>AU587*(1-PARAM!$C$27)*$I$14+(MOD($B587,60)=PARAM!$B$56)*($B587&gt;(60-PARAM!$B$56))*HLOOKUP(($B587+PARAM!$B$56)/12,Loyalty,2)*$F$1*MAX(AX586,0)</f>
        <v>18.557001321003963</v>
      </c>
      <c r="AW587" s="75">
        <f>PARAM!$C$26+MAX($G$14-CHOOSE(PARAM!$B$44,MAX(0,AX586*$F$1),0),0)*RATES!$L563/12+$H$14*(PARAM!$D$51/12)*RATES!$N563/100</f>
        <v>230.41666666666666</v>
      </c>
      <c r="AX587" s="16">
        <f t="shared" si="381"/>
        <v>-19787.903951120043</v>
      </c>
      <c r="AY587" s="15">
        <f t="shared" si="356"/>
        <v>22.170849845882874</v>
      </c>
      <c r="AZ587" s="75">
        <f>AY587*(1-PARAM!$C$27)*$I$15+(MOD($B587,60)=PARAM!$B$56)*($B587&gt;(60-PARAM!$B$56))*HLOOKUP(($B587+PARAM!$B$56)/12,Loyalty,2)*$F$1*MAX(BB586,0)</f>
        <v>18.557001321003963</v>
      </c>
      <c r="BA587" s="75">
        <f>PARAM!$C$26+MAX($G$15-CHOOSE(PARAM!$B$44,MAX(0,BB586*$F$1),0),0)*RATES!$L563/12+$H$15*(PARAM!$D$51/12)*RATES!$N563/100</f>
        <v>230.41666666666666</v>
      </c>
      <c r="BB587" s="16">
        <f t="shared" si="382"/>
        <v>-19787.903951120043</v>
      </c>
      <c r="BC587" s="15">
        <f t="shared" si="357"/>
        <v>22.170849845882874</v>
      </c>
      <c r="BD587" s="75">
        <f>BC587*(1-PARAM!$C$27)*$I$16+(MOD($B587,60)=PARAM!$B$56)*($B587&gt;(60-PARAM!$B$56))*HLOOKUP(($B587+PARAM!$B$56)/12,Loyalty,2)*$F$1*MAX(BF586,0)</f>
        <v>18.557001321003963</v>
      </c>
      <c r="BE587" s="75">
        <f>PARAM!$C$26+MAX($G$16-CHOOSE(PARAM!$B$44,MAX(0,BF586*$F$1),0),0)*RATES!$L563/12+$H$16*(PARAM!$D$51/12)*RATES!$N563/100</f>
        <v>230.41666666666666</v>
      </c>
      <c r="BF587" s="16">
        <f t="shared" si="383"/>
        <v>-19787.903951120043</v>
      </c>
      <c r="BG587" s="15">
        <f t="shared" si="358"/>
        <v>22.170849845882874</v>
      </c>
      <c r="BH587" s="75">
        <f>BG587*(1-PARAM!$C$27)*$I$17+(MOD($B587,60)=PARAM!$B$56)*($B587&gt;(60-PARAM!$B$56))*HLOOKUP(($B587+PARAM!$B$56)/12,Loyalty,2)*$F$1*MAX(BJ586,0)</f>
        <v>18.557001321003963</v>
      </c>
      <c r="BI587" s="75">
        <f>PARAM!$C$26+MAX($G$17-CHOOSE(PARAM!$B$44,MAX(0,BJ586*$F$1),0),0)*RATES!$L563/12+$H$17*(PARAM!$D$51/12)*RATES!$N563/100</f>
        <v>230.41666666666666</v>
      </c>
      <c r="BJ587" s="16">
        <f t="shared" si="384"/>
        <v>-19787.903951120043</v>
      </c>
      <c r="BK587" s="15">
        <f t="shared" si="359"/>
        <v>22.170849845882874</v>
      </c>
      <c r="BL587" s="75">
        <f>BK587*(1-PARAM!$C$27)*$I$18+(MOD($B587,60)=PARAM!$B$56)*($B587&gt;(60-PARAM!$B$56))*HLOOKUP(($B587+PARAM!$B$56)/12,Loyalty,2)*$F$1*MAX(BN586,0)</f>
        <v>18.557001321003963</v>
      </c>
      <c r="BM587" s="75">
        <f>PARAM!$C$26+MAX($G$18-CHOOSE(PARAM!$B$44,MAX(0,BN586*$F$1),0),0)*RATES!$L563/12+$H$18*(PARAM!$D$51/12)*RATES!$N563/100</f>
        <v>230.41666666666666</v>
      </c>
      <c r="BN587" s="16">
        <f t="shared" si="385"/>
        <v>-19787.903951120043</v>
      </c>
      <c r="BO587" s="15">
        <f t="shared" si="360"/>
        <v>22.170849845882874</v>
      </c>
      <c r="BP587" s="75">
        <f>BO587*(1-PARAM!$C$27)*$I$19+(MOD($B587,60)=PARAM!$B$56)*($B587&gt;(60-PARAM!$B$56))*HLOOKUP(($B587+PARAM!$B$56)/12,Loyalty,2)*$F$1*MAX(BR586,0)</f>
        <v>18.557001321003963</v>
      </c>
      <c r="BQ587" s="75">
        <f>PARAM!$C$26+MAX($G$19-CHOOSE(PARAM!$B$44,MAX(0,BR586*$F$1),0),0)*RATES!$L563/12+$H$19*(PARAM!$D$51/12)*RATES!$N563/100</f>
        <v>230.41666666666666</v>
      </c>
      <c r="BR587" s="16">
        <f t="shared" si="386"/>
        <v>-19787.903951120043</v>
      </c>
      <c r="BS587" s="15">
        <f t="shared" si="361"/>
        <v>22.170849845882874</v>
      </c>
      <c r="BT587" s="75">
        <f>BS587*(1-PARAM!$C$27)*$I$20+(MOD($B587,60)=PARAM!$B$56)*($B587&gt;(60-PARAM!$B$56))*HLOOKUP(($B587+PARAM!$B$56)/12,Loyalty,2)*$F$1*MAX(BV586,0)</f>
        <v>18.557001321003963</v>
      </c>
      <c r="BU587" s="75">
        <f>PARAM!$C$26+MAX($G$20-CHOOSE(PARAM!$B$44,MAX(0,BV586*$F$1),0),0)*RATES!$L563/12+$H$20*(PARAM!$D$51/12)*RATES!$N563/100</f>
        <v>230.41666666666666</v>
      </c>
      <c r="BV587" s="16">
        <f t="shared" si="387"/>
        <v>-19787.903951120043</v>
      </c>
      <c r="BW587" s="15">
        <f t="shared" si="362"/>
        <v>22.170849845882874</v>
      </c>
      <c r="BX587" s="75">
        <f>BW587*(1-PARAM!$C$27)*$I$21+(MOD($B587,60)=PARAM!$B$56)*($B587&gt;(60-PARAM!$B$56))*HLOOKUP(($B587+PARAM!$B$56)/12,Loyalty,2)*$F$1*MAX(BZ586,0)</f>
        <v>18.557001321003963</v>
      </c>
      <c r="BY587" s="75">
        <f>PARAM!$C$26+MAX($G$21-CHOOSE(PARAM!$B$44,MAX(0,BZ586*$F$1),0),0)*RATES!$L563/12+$H$21*(PARAM!$D$51/12)*RATES!$N563/100</f>
        <v>230.41666666666666</v>
      </c>
      <c r="BZ587" s="16">
        <f t="shared" si="388"/>
        <v>-19787.903951120043</v>
      </c>
      <c r="CA587" s="15">
        <f t="shared" si="363"/>
        <v>22.170849845882874</v>
      </c>
      <c r="CB587" s="75">
        <f>CA587*(1-PARAM!$C$27)*$I$22+(MOD($B587,60)=PARAM!$B$56)*($B587&gt;(60-PARAM!$B$56))*HLOOKUP(($B587+PARAM!$B$56)/12,Loyalty,2)*$F$1*MAX(CD586,0)</f>
        <v>18.557001321003963</v>
      </c>
      <c r="CC587" s="75">
        <f>PARAM!$C$26+MAX($G$22-CHOOSE(PARAM!$B$44,MAX(0,CD586*$F$1),0),0)*RATES!$L563/12+$H$22*(PARAM!$D$51/12)*RATES!$N563/100</f>
        <v>230.41666666666666</v>
      </c>
      <c r="CD587" s="16">
        <f t="shared" si="389"/>
        <v>-19787.903951120043</v>
      </c>
      <c r="CE587" s="33">
        <f>IF(0=MOD(B587,12/PARAM!$D$51),1,0)</f>
        <v>1</v>
      </c>
      <c r="CF587" s="15">
        <f t="shared" si="364"/>
        <v>0</v>
      </c>
      <c r="CG587" s="75">
        <f>CF587*(1-PARAM!$C$27)*$R$3+(MOD($B587/12,5)=0)*($B587&gt;60)*HLOOKUP($B587/12,Loyalty,2)*$F$1*MAX(CI586,0)</f>
        <v>0</v>
      </c>
      <c r="CH587" s="75">
        <f>PARAM!$C$26+MAX($P$3-CHOOSE(PARAM!$B$44,MAX(0,CI586*$F$1),0),0)*RATES!$L563/12+$Q$3*(PARAM!$D$51/12)*RATES!$N563/100</f>
        <v>230.41666666666666</v>
      </c>
      <c r="CI587" s="16">
        <f>IF(CI586&gt;0,CI586*PARAM!$C$53,CI586)+CG587-CH587</f>
        <v>-30060.25</v>
      </c>
      <c r="CJ587" s="15">
        <f t="shared" si="390"/>
        <v>0</v>
      </c>
      <c r="CK587" s="75">
        <f>CJ587*(1-PARAM!$C$27)*$R$4+(MOD($B587/12,5)=0)*($B587&gt;60)*HLOOKUP($B587/12,Loyalty,2)*$F$1*MAX(CM586,0)</f>
        <v>0</v>
      </c>
      <c r="CL587" s="75">
        <f>PARAM!$C$26+MAX($P$4-CHOOSE(PARAM!$B$44,MAX(0,CM586*$F$1),0),0)*RATES!$L563/12+$Q$4*(PARAM!$D$51/12)*RATES!$N563/100</f>
        <v>230.41666666666666</v>
      </c>
      <c r="CM587" s="16">
        <f>IF(CM586&gt;0,CM586*PARAM!$C$53,CM586)+CK587-CL587</f>
        <v>-30060.25</v>
      </c>
      <c r="CO587" s="176"/>
    </row>
    <row r="588" spans="1:93" x14ac:dyDescent="0.2">
      <c r="A588" t="b">
        <f t="shared" si="365"/>
        <v>0</v>
      </c>
      <c r="B588" s="33">
        <v>561</v>
      </c>
      <c r="C588" s="15">
        <f t="shared" si="366"/>
        <v>20.081305947392778</v>
      </c>
      <c r="D588" s="75">
        <f>C588*(1-PARAM!$C$27)*$I$3+(MOD($B588,60)=PARAM!$B$56)*($B588&gt;(60-PARAM!$B$56))*HLOOKUP(($B588+PARAM!$B$56)/12,Loyalty,2)*$F$1*MAX(F587,0)</f>
        <v>16.808053077967756</v>
      </c>
      <c r="E588" s="75">
        <f>PARAM!$C$26+MAX($G$3-CHOOSE(PARAM!$B$44,MAX(0,F587*$F$1),0),0)*RATES!$L564/12+$H$3*(PARAM!$D$51/12)*RATES!$N564/100</f>
        <v>230.41666666666666</v>
      </c>
      <c r="F588" s="16">
        <f t="shared" si="367"/>
        <v>-21017.77408133055</v>
      </c>
      <c r="G588" s="15">
        <f t="shared" si="368"/>
        <v>22.035289406060361</v>
      </c>
      <c r="H588" s="75">
        <f>G588*(1-PARAM!$C$27)*$I$4+(MOD($B588,60)=PARAM!$B$56)*($B588&gt;(60-PARAM!$B$56))*HLOOKUP(($B588+PARAM!$B$56)/12,Loyalty,2)*$F$1*MAX(J587,0)</f>
        <v>18.443537232872522</v>
      </c>
      <c r="I588" s="75">
        <f>PARAM!$C$26+MAX($G$4-CHOOSE(PARAM!$B$44,MAX(0,J587*$F$1),0),0)*RATES!$L564/12+$H$4*(PARAM!$D$51/12)*RATES!$N564/100</f>
        <v>230.41666666666666</v>
      </c>
      <c r="J588" s="16">
        <f t="shared" si="369"/>
        <v>-20066.434506307251</v>
      </c>
      <c r="K588" s="15">
        <f t="shared" si="370"/>
        <v>22.170849845882874</v>
      </c>
      <c r="L588" s="75">
        <f>K588*(1-PARAM!$C$27)*$I$5+(MOD($B588,60)=PARAM!$B$56)*($B588&gt;(60-PARAM!$B$56))*HLOOKUP(($B588+PARAM!$B$56)/12,Loyalty,2)*$F$1*MAX(N587,0)</f>
        <v>18.557001321003963</v>
      </c>
      <c r="M588" s="75">
        <f>PARAM!$C$26+MAX($G$5-CHOOSE(PARAM!$B$44,MAX(0,N587*$F$1),0),0)*RATES!$L564/12+$H$5*(PARAM!$D$51/12)*RATES!$N564/100</f>
        <v>230.41666666666666</v>
      </c>
      <c r="N588" s="16">
        <f t="shared" si="371"/>
        <v>-19999.763616465705</v>
      </c>
      <c r="O588" s="15">
        <f t="shared" si="372"/>
        <v>22.170849845882874</v>
      </c>
      <c r="P588" s="75">
        <f>O588*(1-PARAM!$C$27)*$I$6+(MOD($B588,60)=PARAM!$B$56)*($B588&gt;(60-PARAM!$B$56))*HLOOKUP(($B588+PARAM!$B$56)/12,Loyalty,2)*$F$1*MAX(R587,0)</f>
        <v>18.557001321003963</v>
      </c>
      <c r="Q588" s="75">
        <f>PARAM!$C$26+MAX($G$6-CHOOSE(PARAM!$B$44,MAX(0,R587*$F$1),0),0)*RATES!$L564/12+$H$6*(PARAM!$D$51/12)*RATES!$N564/100</f>
        <v>230.41666666666666</v>
      </c>
      <c r="R588" s="16">
        <f t="shared" si="373"/>
        <v>-19999.763616465705</v>
      </c>
      <c r="S588" s="15">
        <f t="shared" si="348"/>
        <v>22.170849845882874</v>
      </c>
      <c r="T588" s="75">
        <f>S588*(1-PARAM!$C$27)*$I$7+(MOD($B588,60)=PARAM!$B$56)*($B588&gt;(60-PARAM!$B$56))*HLOOKUP(($B588+PARAM!$B$56)/12,Loyalty,2)*$F$1*MAX(V587,0)</f>
        <v>18.557001321003963</v>
      </c>
      <c r="U588" s="75">
        <f>PARAM!$C$26+MAX($G$7-CHOOSE(PARAM!$B$44,MAX(0,V587*$F$1),0),0)*RATES!$L564/12+$H$7*(PARAM!$D$51/12)*RATES!$N564/100</f>
        <v>230.41666666666666</v>
      </c>
      <c r="V588" s="16">
        <f t="shared" si="374"/>
        <v>-19999.763616465705</v>
      </c>
      <c r="W588" s="15">
        <f t="shared" si="349"/>
        <v>22.170849845882874</v>
      </c>
      <c r="X588" s="75">
        <f>W588*(1-PARAM!$C$27)*$I$8+(MOD($B588,60)=PARAM!$B$56)*($B588&gt;(60-PARAM!$B$56))*HLOOKUP(($B588+PARAM!$B$56)/12,Loyalty,2)*$F$1*MAX(Z587,0)</f>
        <v>18.557001321003963</v>
      </c>
      <c r="Y588" s="75">
        <f>PARAM!$C$26+MAX($G$8-CHOOSE(PARAM!$B$44,MAX(0,Z587*$F$1),0),0)*RATES!$L564/12+$H$8*(PARAM!$D$51/12)*RATES!$N564/100</f>
        <v>230.41666666666666</v>
      </c>
      <c r="Z588" s="16">
        <f t="shared" si="375"/>
        <v>-19999.763616465705</v>
      </c>
      <c r="AA588" s="15">
        <f t="shared" si="350"/>
        <v>22.170849845882874</v>
      </c>
      <c r="AB588" s="75">
        <f>AA588*(1-PARAM!$C$27)*$I$9+(MOD($B588,60)=PARAM!$B$56)*($B588&gt;(60-PARAM!$B$56))*HLOOKUP(($B588+PARAM!$B$56)/12,Loyalty,2)*$F$1*MAX(AD587,0)</f>
        <v>18.557001321003963</v>
      </c>
      <c r="AC588" s="75">
        <f>PARAM!$C$26+MAX($G$9-CHOOSE(PARAM!$B$44,MAX(0,AD587*$F$1),0),0)*RATES!$L564/12+$H$9*(PARAM!$D$51/12)*RATES!$N564/100</f>
        <v>230.41666666666666</v>
      </c>
      <c r="AD588" s="16">
        <f t="shared" si="376"/>
        <v>-19999.763616465705</v>
      </c>
      <c r="AE588" s="15">
        <f t="shared" si="351"/>
        <v>22.170849845882874</v>
      </c>
      <c r="AF588" s="75">
        <f>AE588*(1-PARAM!$C$27)*$I$10+(MOD($B588,60)=PARAM!$B$56)*($B588&gt;(60-PARAM!$B$56))*HLOOKUP(($B588+PARAM!$B$56)/12,Loyalty,2)*$F$1*MAX(AH587,0)</f>
        <v>18.557001321003963</v>
      </c>
      <c r="AG588" s="75">
        <f>PARAM!$C$26+MAX($G$10-CHOOSE(PARAM!$B$44,MAX(0,AH587*$F$1),0),0)*RATES!$L564/12+$H$10*(PARAM!$D$51/12)*RATES!$N564/100</f>
        <v>230.41666666666666</v>
      </c>
      <c r="AH588" s="16">
        <f t="shared" si="377"/>
        <v>-19999.763616465705</v>
      </c>
      <c r="AI588" s="15">
        <f t="shared" si="352"/>
        <v>22.170849845882874</v>
      </c>
      <c r="AJ588" s="75">
        <f>AI588*(1-PARAM!$C$27)*$I$11+(MOD($B588,60)=PARAM!$B$56)*($B588&gt;(60-PARAM!$B$56))*HLOOKUP(($B588+PARAM!$B$56)/12,Loyalty,2)*$F$1*MAX(AL587,0)</f>
        <v>18.557001321003963</v>
      </c>
      <c r="AK588" s="75">
        <f>PARAM!$C$26+MAX($G$11-CHOOSE(PARAM!$B$44,MAX(0,AL587*$F$1),0),0)*RATES!$L564/12+$H$11*(PARAM!$D$51/12)*RATES!$N564/100</f>
        <v>230.41666666666666</v>
      </c>
      <c r="AL588" s="16">
        <f t="shared" si="378"/>
        <v>-19999.763616465705</v>
      </c>
      <c r="AM588" s="15">
        <f t="shared" si="353"/>
        <v>22.170849845882874</v>
      </c>
      <c r="AN588" s="75">
        <f>AM588*(1-PARAM!$C$27)*$I$12+(MOD($B588,60)=PARAM!$B$56)*($B588&gt;(60-PARAM!$B$56))*HLOOKUP(($B588+PARAM!$B$56)/12,Loyalty,2)*$F$1*MAX(AP587,0)</f>
        <v>18.557001321003963</v>
      </c>
      <c r="AO588" s="75">
        <f>PARAM!$C$26+MAX($G$12-CHOOSE(PARAM!$B$44,MAX(0,AP587*$F$1),0),0)*RATES!$L564/12+$H$12*(PARAM!$D$51/12)*RATES!$N564/100</f>
        <v>230.41666666666666</v>
      </c>
      <c r="AP588" s="16">
        <f t="shared" si="379"/>
        <v>-19999.763616465705</v>
      </c>
      <c r="AQ588" s="15">
        <f t="shared" si="354"/>
        <v>22.170849845882874</v>
      </c>
      <c r="AR588" s="75">
        <f>AQ588*(1-PARAM!$C$27)*$I$13+(MOD($B588,60)=PARAM!$B$56)*($B588&gt;(60-PARAM!$B$56))*HLOOKUP(($B588+PARAM!$B$56)/12,Loyalty,2)*$F$1*MAX(AT587,0)</f>
        <v>18.557001321003963</v>
      </c>
      <c r="AS588" s="75">
        <f>PARAM!$C$26+MAX($G$13-CHOOSE(PARAM!$B$44,MAX(0,AT587*$F$1),0),0)*RATES!$L564/12+$H$13*(PARAM!$D$51/12)*RATES!$N564/100</f>
        <v>230.41666666666666</v>
      </c>
      <c r="AT588" s="16">
        <f t="shared" si="380"/>
        <v>-19999.763616465705</v>
      </c>
      <c r="AU588" s="15">
        <f t="shared" si="355"/>
        <v>22.170849845882874</v>
      </c>
      <c r="AV588" s="75">
        <f>AU588*(1-PARAM!$C$27)*$I$14+(MOD($B588,60)=PARAM!$B$56)*($B588&gt;(60-PARAM!$B$56))*HLOOKUP(($B588+PARAM!$B$56)/12,Loyalty,2)*$F$1*MAX(AX587,0)</f>
        <v>18.557001321003963</v>
      </c>
      <c r="AW588" s="75">
        <f>PARAM!$C$26+MAX($G$14-CHOOSE(PARAM!$B$44,MAX(0,AX587*$F$1),0),0)*RATES!$L564/12+$H$14*(PARAM!$D$51/12)*RATES!$N564/100</f>
        <v>230.41666666666666</v>
      </c>
      <c r="AX588" s="16">
        <f t="shared" si="381"/>
        <v>-19999.763616465705</v>
      </c>
      <c r="AY588" s="15">
        <f t="shared" si="356"/>
        <v>22.170849845882874</v>
      </c>
      <c r="AZ588" s="75">
        <f>AY588*(1-PARAM!$C$27)*$I$15+(MOD($B588,60)=PARAM!$B$56)*($B588&gt;(60-PARAM!$B$56))*HLOOKUP(($B588+PARAM!$B$56)/12,Loyalty,2)*$F$1*MAX(BB587,0)</f>
        <v>18.557001321003963</v>
      </c>
      <c r="BA588" s="75">
        <f>PARAM!$C$26+MAX($G$15-CHOOSE(PARAM!$B$44,MAX(0,BB587*$F$1),0),0)*RATES!$L564/12+$H$15*(PARAM!$D$51/12)*RATES!$N564/100</f>
        <v>230.41666666666666</v>
      </c>
      <c r="BB588" s="16">
        <f t="shared" si="382"/>
        <v>-19999.763616465705</v>
      </c>
      <c r="BC588" s="15">
        <f t="shared" si="357"/>
        <v>22.170849845882874</v>
      </c>
      <c r="BD588" s="75">
        <f>BC588*(1-PARAM!$C$27)*$I$16+(MOD($B588,60)=PARAM!$B$56)*($B588&gt;(60-PARAM!$B$56))*HLOOKUP(($B588+PARAM!$B$56)/12,Loyalty,2)*$F$1*MAX(BF587,0)</f>
        <v>18.557001321003963</v>
      </c>
      <c r="BE588" s="75">
        <f>PARAM!$C$26+MAX($G$16-CHOOSE(PARAM!$B$44,MAX(0,BF587*$F$1),0),0)*RATES!$L564/12+$H$16*(PARAM!$D$51/12)*RATES!$N564/100</f>
        <v>230.41666666666666</v>
      </c>
      <c r="BF588" s="16">
        <f t="shared" si="383"/>
        <v>-19999.763616465705</v>
      </c>
      <c r="BG588" s="15">
        <f t="shared" si="358"/>
        <v>22.170849845882874</v>
      </c>
      <c r="BH588" s="75">
        <f>BG588*(1-PARAM!$C$27)*$I$17+(MOD($B588,60)=PARAM!$B$56)*($B588&gt;(60-PARAM!$B$56))*HLOOKUP(($B588+PARAM!$B$56)/12,Loyalty,2)*$F$1*MAX(BJ587,0)</f>
        <v>18.557001321003963</v>
      </c>
      <c r="BI588" s="75">
        <f>PARAM!$C$26+MAX($G$17-CHOOSE(PARAM!$B$44,MAX(0,BJ587*$F$1),0),0)*RATES!$L564/12+$H$17*(PARAM!$D$51/12)*RATES!$N564/100</f>
        <v>230.41666666666666</v>
      </c>
      <c r="BJ588" s="16">
        <f t="shared" si="384"/>
        <v>-19999.763616465705</v>
      </c>
      <c r="BK588" s="15">
        <f t="shared" si="359"/>
        <v>22.170849845882874</v>
      </c>
      <c r="BL588" s="75">
        <f>BK588*(1-PARAM!$C$27)*$I$18+(MOD($B588,60)=PARAM!$B$56)*($B588&gt;(60-PARAM!$B$56))*HLOOKUP(($B588+PARAM!$B$56)/12,Loyalty,2)*$F$1*MAX(BN587,0)</f>
        <v>18.557001321003963</v>
      </c>
      <c r="BM588" s="75">
        <f>PARAM!$C$26+MAX($G$18-CHOOSE(PARAM!$B$44,MAX(0,BN587*$F$1),0),0)*RATES!$L564/12+$H$18*(PARAM!$D$51/12)*RATES!$N564/100</f>
        <v>230.41666666666666</v>
      </c>
      <c r="BN588" s="16">
        <f t="shared" si="385"/>
        <v>-19999.763616465705</v>
      </c>
      <c r="BO588" s="15">
        <f t="shared" si="360"/>
        <v>22.170849845882874</v>
      </c>
      <c r="BP588" s="75">
        <f>BO588*(1-PARAM!$C$27)*$I$19+(MOD($B588,60)=PARAM!$B$56)*($B588&gt;(60-PARAM!$B$56))*HLOOKUP(($B588+PARAM!$B$56)/12,Loyalty,2)*$F$1*MAX(BR587,0)</f>
        <v>18.557001321003963</v>
      </c>
      <c r="BQ588" s="75">
        <f>PARAM!$C$26+MAX($G$19-CHOOSE(PARAM!$B$44,MAX(0,BR587*$F$1),0),0)*RATES!$L564/12+$H$19*(PARAM!$D$51/12)*RATES!$N564/100</f>
        <v>230.41666666666666</v>
      </c>
      <c r="BR588" s="16">
        <f t="shared" si="386"/>
        <v>-19999.763616465705</v>
      </c>
      <c r="BS588" s="15">
        <f t="shared" si="361"/>
        <v>22.170849845882874</v>
      </c>
      <c r="BT588" s="75">
        <f>BS588*(1-PARAM!$C$27)*$I$20+(MOD($B588,60)=PARAM!$B$56)*($B588&gt;(60-PARAM!$B$56))*HLOOKUP(($B588+PARAM!$B$56)/12,Loyalty,2)*$F$1*MAX(BV587,0)</f>
        <v>18.557001321003963</v>
      </c>
      <c r="BU588" s="75">
        <f>PARAM!$C$26+MAX($G$20-CHOOSE(PARAM!$B$44,MAX(0,BV587*$F$1),0),0)*RATES!$L564/12+$H$20*(PARAM!$D$51/12)*RATES!$N564/100</f>
        <v>230.41666666666666</v>
      </c>
      <c r="BV588" s="16">
        <f t="shared" si="387"/>
        <v>-19999.763616465705</v>
      </c>
      <c r="BW588" s="15">
        <f t="shared" si="362"/>
        <v>22.170849845882874</v>
      </c>
      <c r="BX588" s="75">
        <f>BW588*(1-PARAM!$C$27)*$I$21+(MOD($B588,60)=PARAM!$B$56)*($B588&gt;(60-PARAM!$B$56))*HLOOKUP(($B588+PARAM!$B$56)/12,Loyalty,2)*$F$1*MAX(BZ587,0)</f>
        <v>18.557001321003963</v>
      </c>
      <c r="BY588" s="75">
        <f>PARAM!$C$26+MAX($G$21-CHOOSE(PARAM!$B$44,MAX(0,BZ587*$F$1),0),0)*RATES!$L564/12+$H$21*(PARAM!$D$51/12)*RATES!$N564/100</f>
        <v>230.41666666666666</v>
      </c>
      <c r="BZ588" s="16">
        <f t="shared" si="388"/>
        <v>-19999.763616465705</v>
      </c>
      <c r="CA588" s="15">
        <f t="shared" si="363"/>
        <v>22.170849845882874</v>
      </c>
      <c r="CB588" s="75">
        <f>CA588*(1-PARAM!$C$27)*$I$22+(MOD($B588,60)=PARAM!$B$56)*($B588&gt;(60-PARAM!$B$56))*HLOOKUP(($B588+PARAM!$B$56)/12,Loyalty,2)*$F$1*MAX(CD587,0)</f>
        <v>18.557001321003963</v>
      </c>
      <c r="CC588" s="75">
        <f>PARAM!$C$26+MAX($G$22-CHOOSE(PARAM!$B$44,MAX(0,CD587*$F$1),0),0)*RATES!$L564/12+$H$22*(PARAM!$D$51/12)*RATES!$N564/100</f>
        <v>230.41666666666666</v>
      </c>
      <c r="CD588" s="16">
        <f t="shared" si="389"/>
        <v>-19999.763616465705</v>
      </c>
      <c r="CE588" s="33">
        <f>IF(0=MOD(B588,12/PARAM!$D$51),1,0)</f>
        <v>1</v>
      </c>
      <c r="CF588" s="15">
        <f t="shared" si="364"/>
        <v>0</v>
      </c>
      <c r="CG588" s="75">
        <f>CF588*(1-PARAM!$C$27)*$R$3+(MOD($B588/12,5)=0)*($B588&gt;60)*HLOOKUP($B588/12,Loyalty,2)*$F$1*MAX(CI587,0)</f>
        <v>0</v>
      </c>
      <c r="CH588" s="75">
        <f>PARAM!$C$26+MAX($P$3-CHOOSE(PARAM!$B$44,MAX(0,CI587*$F$1),0),0)*RATES!$L564/12+$Q$3*(PARAM!$D$51/12)*RATES!$N564/100</f>
        <v>230.41666666666666</v>
      </c>
      <c r="CI588" s="16">
        <f>IF(CI587&gt;0,CI587*PARAM!$C$53,CI587)+CG588-CH588</f>
        <v>-30290.666666666668</v>
      </c>
      <c r="CJ588" s="15">
        <f t="shared" si="390"/>
        <v>0</v>
      </c>
      <c r="CK588" s="75">
        <f>CJ588*(1-PARAM!$C$27)*$R$4+(MOD($B588/12,5)=0)*($B588&gt;60)*HLOOKUP($B588/12,Loyalty,2)*$F$1*MAX(CM587,0)</f>
        <v>0</v>
      </c>
      <c r="CL588" s="75">
        <f>PARAM!$C$26+MAX($P$4-CHOOSE(PARAM!$B$44,MAX(0,CM587*$F$1),0),0)*RATES!$L564/12+$Q$4*(PARAM!$D$51/12)*RATES!$N564/100</f>
        <v>230.41666666666666</v>
      </c>
      <c r="CM588" s="16">
        <f>IF(CM587&gt;0,CM587*PARAM!$C$53,CM587)+CK588-CL588</f>
        <v>-30290.666666666668</v>
      </c>
      <c r="CO588" s="176"/>
    </row>
    <row r="589" spans="1:93" x14ac:dyDescent="0.2">
      <c r="A589" t="b">
        <f t="shared" si="365"/>
        <v>0</v>
      </c>
      <c r="B589" s="33">
        <v>562</v>
      </c>
      <c r="C589" s="15">
        <f t="shared" si="366"/>
        <v>20.081305947392778</v>
      </c>
      <c r="D589" s="75">
        <f>C589*(1-PARAM!$C$27)*$I$3+(MOD($B589,60)=PARAM!$B$56)*($B589&gt;(60-PARAM!$B$56))*HLOOKUP(($B589+PARAM!$B$56)/12,Loyalty,2)*$F$1*MAX(F588,0)</f>
        <v>16.808053077967756</v>
      </c>
      <c r="E589" s="75">
        <f>PARAM!$C$26+MAX($G$3-CHOOSE(PARAM!$B$44,MAX(0,F588*$F$1),0),0)*RATES!$L565/12+$H$3*(PARAM!$D$51/12)*RATES!$N565/100</f>
        <v>230.41666666666666</v>
      </c>
      <c r="F589" s="16">
        <f t="shared" si="367"/>
        <v>-21231.382694919252</v>
      </c>
      <c r="G589" s="15">
        <f t="shared" si="368"/>
        <v>22.035289406060361</v>
      </c>
      <c r="H589" s="75">
        <f>G589*(1-PARAM!$C$27)*$I$4+(MOD($B589,60)=PARAM!$B$56)*($B589&gt;(60-PARAM!$B$56))*HLOOKUP(($B589+PARAM!$B$56)/12,Loyalty,2)*$F$1*MAX(J588,0)</f>
        <v>18.443537232872522</v>
      </c>
      <c r="I589" s="75">
        <f>PARAM!$C$26+MAX($G$4-CHOOSE(PARAM!$B$44,MAX(0,J588*$F$1),0),0)*RATES!$L565/12+$H$4*(PARAM!$D$51/12)*RATES!$N565/100</f>
        <v>230.41666666666666</v>
      </c>
      <c r="J589" s="16">
        <f t="shared" si="369"/>
        <v>-20278.407635741045</v>
      </c>
      <c r="K589" s="15">
        <f t="shared" si="370"/>
        <v>22.170849845882874</v>
      </c>
      <c r="L589" s="75">
        <f>K589*(1-PARAM!$C$27)*$I$5+(MOD($B589,60)=PARAM!$B$56)*($B589&gt;(60-PARAM!$B$56))*HLOOKUP(($B589+PARAM!$B$56)/12,Loyalty,2)*$F$1*MAX(N588,0)</f>
        <v>18.557001321003963</v>
      </c>
      <c r="M589" s="75">
        <f>PARAM!$C$26+MAX($G$5-CHOOSE(PARAM!$B$44,MAX(0,N588*$F$1),0),0)*RATES!$L565/12+$H$5*(PARAM!$D$51/12)*RATES!$N565/100</f>
        <v>230.41666666666666</v>
      </c>
      <c r="N589" s="16">
        <f t="shared" si="371"/>
        <v>-20211.623281811368</v>
      </c>
      <c r="O589" s="15">
        <f t="shared" si="372"/>
        <v>22.170849845882874</v>
      </c>
      <c r="P589" s="75">
        <f>O589*(1-PARAM!$C$27)*$I$6+(MOD($B589,60)=PARAM!$B$56)*($B589&gt;(60-PARAM!$B$56))*HLOOKUP(($B589+PARAM!$B$56)/12,Loyalty,2)*$F$1*MAX(R588,0)</f>
        <v>18.557001321003963</v>
      </c>
      <c r="Q589" s="75">
        <f>PARAM!$C$26+MAX($G$6-CHOOSE(PARAM!$B$44,MAX(0,R588*$F$1),0),0)*RATES!$L565/12+$H$6*(PARAM!$D$51/12)*RATES!$N565/100</f>
        <v>230.41666666666666</v>
      </c>
      <c r="R589" s="16">
        <f t="shared" si="373"/>
        <v>-20211.623281811368</v>
      </c>
      <c r="S589" s="15">
        <f t="shared" si="348"/>
        <v>22.170849845882874</v>
      </c>
      <c r="T589" s="75">
        <f>S589*(1-PARAM!$C$27)*$I$7+(MOD($B589,60)=PARAM!$B$56)*($B589&gt;(60-PARAM!$B$56))*HLOOKUP(($B589+PARAM!$B$56)/12,Loyalty,2)*$F$1*MAX(V588,0)</f>
        <v>18.557001321003963</v>
      </c>
      <c r="U589" s="75">
        <f>PARAM!$C$26+MAX($G$7-CHOOSE(PARAM!$B$44,MAX(0,V588*$F$1),0),0)*RATES!$L565/12+$H$7*(PARAM!$D$51/12)*RATES!$N565/100</f>
        <v>230.41666666666666</v>
      </c>
      <c r="V589" s="16">
        <f t="shared" si="374"/>
        <v>-20211.623281811368</v>
      </c>
      <c r="W589" s="15">
        <f t="shared" si="349"/>
        <v>22.170849845882874</v>
      </c>
      <c r="X589" s="75">
        <f>W589*(1-PARAM!$C$27)*$I$8+(MOD($B589,60)=PARAM!$B$56)*($B589&gt;(60-PARAM!$B$56))*HLOOKUP(($B589+PARAM!$B$56)/12,Loyalty,2)*$F$1*MAX(Z588,0)</f>
        <v>18.557001321003963</v>
      </c>
      <c r="Y589" s="75">
        <f>PARAM!$C$26+MAX($G$8-CHOOSE(PARAM!$B$44,MAX(0,Z588*$F$1),0),0)*RATES!$L565/12+$H$8*(PARAM!$D$51/12)*RATES!$N565/100</f>
        <v>230.41666666666666</v>
      </c>
      <c r="Z589" s="16">
        <f t="shared" si="375"/>
        <v>-20211.623281811368</v>
      </c>
      <c r="AA589" s="15">
        <f t="shared" si="350"/>
        <v>22.170849845882874</v>
      </c>
      <c r="AB589" s="75">
        <f>AA589*(1-PARAM!$C$27)*$I$9+(MOD($B589,60)=PARAM!$B$56)*($B589&gt;(60-PARAM!$B$56))*HLOOKUP(($B589+PARAM!$B$56)/12,Loyalty,2)*$F$1*MAX(AD588,0)</f>
        <v>18.557001321003963</v>
      </c>
      <c r="AC589" s="75">
        <f>PARAM!$C$26+MAX($G$9-CHOOSE(PARAM!$B$44,MAX(0,AD588*$F$1),0),0)*RATES!$L565/12+$H$9*(PARAM!$D$51/12)*RATES!$N565/100</f>
        <v>230.41666666666666</v>
      </c>
      <c r="AD589" s="16">
        <f t="shared" si="376"/>
        <v>-20211.623281811368</v>
      </c>
      <c r="AE589" s="15">
        <f t="shared" si="351"/>
        <v>22.170849845882874</v>
      </c>
      <c r="AF589" s="75">
        <f>AE589*(1-PARAM!$C$27)*$I$10+(MOD($B589,60)=PARAM!$B$56)*($B589&gt;(60-PARAM!$B$56))*HLOOKUP(($B589+PARAM!$B$56)/12,Loyalty,2)*$F$1*MAX(AH588,0)</f>
        <v>18.557001321003963</v>
      </c>
      <c r="AG589" s="75">
        <f>PARAM!$C$26+MAX($G$10-CHOOSE(PARAM!$B$44,MAX(0,AH588*$F$1),0),0)*RATES!$L565/12+$H$10*(PARAM!$D$51/12)*RATES!$N565/100</f>
        <v>230.41666666666666</v>
      </c>
      <c r="AH589" s="16">
        <f t="shared" si="377"/>
        <v>-20211.623281811368</v>
      </c>
      <c r="AI589" s="15">
        <f t="shared" si="352"/>
        <v>22.170849845882874</v>
      </c>
      <c r="AJ589" s="75">
        <f>AI589*(1-PARAM!$C$27)*$I$11+(MOD($B589,60)=PARAM!$B$56)*($B589&gt;(60-PARAM!$B$56))*HLOOKUP(($B589+PARAM!$B$56)/12,Loyalty,2)*$F$1*MAX(AL588,0)</f>
        <v>18.557001321003963</v>
      </c>
      <c r="AK589" s="75">
        <f>PARAM!$C$26+MAX($G$11-CHOOSE(PARAM!$B$44,MAX(0,AL588*$F$1),0),0)*RATES!$L565/12+$H$11*(PARAM!$D$51/12)*RATES!$N565/100</f>
        <v>230.41666666666666</v>
      </c>
      <c r="AL589" s="16">
        <f t="shared" si="378"/>
        <v>-20211.623281811368</v>
      </c>
      <c r="AM589" s="15">
        <f t="shared" si="353"/>
        <v>22.170849845882874</v>
      </c>
      <c r="AN589" s="75">
        <f>AM589*(1-PARAM!$C$27)*$I$12+(MOD($B589,60)=PARAM!$B$56)*($B589&gt;(60-PARAM!$B$56))*HLOOKUP(($B589+PARAM!$B$56)/12,Loyalty,2)*$F$1*MAX(AP588,0)</f>
        <v>18.557001321003963</v>
      </c>
      <c r="AO589" s="75">
        <f>PARAM!$C$26+MAX($G$12-CHOOSE(PARAM!$B$44,MAX(0,AP588*$F$1),0),0)*RATES!$L565/12+$H$12*(PARAM!$D$51/12)*RATES!$N565/100</f>
        <v>230.41666666666666</v>
      </c>
      <c r="AP589" s="16">
        <f t="shared" si="379"/>
        <v>-20211.623281811368</v>
      </c>
      <c r="AQ589" s="15">
        <f t="shared" si="354"/>
        <v>22.170849845882874</v>
      </c>
      <c r="AR589" s="75">
        <f>AQ589*(1-PARAM!$C$27)*$I$13+(MOD($B589,60)=PARAM!$B$56)*($B589&gt;(60-PARAM!$B$56))*HLOOKUP(($B589+PARAM!$B$56)/12,Loyalty,2)*$F$1*MAX(AT588,0)</f>
        <v>18.557001321003963</v>
      </c>
      <c r="AS589" s="75">
        <f>PARAM!$C$26+MAX($G$13-CHOOSE(PARAM!$B$44,MAX(0,AT588*$F$1),0),0)*RATES!$L565/12+$H$13*(PARAM!$D$51/12)*RATES!$N565/100</f>
        <v>230.41666666666666</v>
      </c>
      <c r="AT589" s="16">
        <f t="shared" si="380"/>
        <v>-20211.623281811368</v>
      </c>
      <c r="AU589" s="15">
        <f t="shared" si="355"/>
        <v>22.170849845882874</v>
      </c>
      <c r="AV589" s="75">
        <f>AU589*(1-PARAM!$C$27)*$I$14+(MOD($B589,60)=PARAM!$B$56)*($B589&gt;(60-PARAM!$B$56))*HLOOKUP(($B589+PARAM!$B$56)/12,Loyalty,2)*$F$1*MAX(AX588,0)</f>
        <v>18.557001321003963</v>
      </c>
      <c r="AW589" s="75">
        <f>PARAM!$C$26+MAX($G$14-CHOOSE(PARAM!$B$44,MAX(0,AX588*$F$1),0),0)*RATES!$L565/12+$H$14*(PARAM!$D$51/12)*RATES!$N565/100</f>
        <v>230.41666666666666</v>
      </c>
      <c r="AX589" s="16">
        <f t="shared" si="381"/>
        <v>-20211.623281811368</v>
      </c>
      <c r="AY589" s="15">
        <f t="shared" si="356"/>
        <v>22.170849845882874</v>
      </c>
      <c r="AZ589" s="75">
        <f>AY589*(1-PARAM!$C$27)*$I$15+(MOD($B589,60)=PARAM!$B$56)*($B589&gt;(60-PARAM!$B$56))*HLOOKUP(($B589+PARAM!$B$56)/12,Loyalty,2)*$F$1*MAX(BB588,0)</f>
        <v>18.557001321003963</v>
      </c>
      <c r="BA589" s="75">
        <f>PARAM!$C$26+MAX($G$15-CHOOSE(PARAM!$B$44,MAX(0,BB588*$F$1),0),0)*RATES!$L565/12+$H$15*(PARAM!$D$51/12)*RATES!$N565/100</f>
        <v>230.41666666666666</v>
      </c>
      <c r="BB589" s="16">
        <f t="shared" si="382"/>
        <v>-20211.623281811368</v>
      </c>
      <c r="BC589" s="15">
        <f t="shared" si="357"/>
        <v>22.170849845882874</v>
      </c>
      <c r="BD589" s="75">
        <f>BC589*(1-PARAM!$C$27)*$I$16+(MOD($B589,60)=PARAM!$B$56)*($B589&gt;(60-PARAM!$B$56))*HLOOKUP(($B589+PARAM!$B$56)/12,Loyalty,2)*$F$1*MAX(BF588,0)</f>
        <v>18.557001321003963</v>
      </c>
      <c r="BE589" s="75">
        <f>PARAM!$C$26+MAX($G$16-CHOOSE(PARAM!$B$44,MAX(0,BF588*$F$1),0),0)*RATES!$L565/12+$H$16*(PARAM!$D$51/12)*RATES!$N565/100</f>
        <v>230.41666666666666</v>
      </c>
      <c r="BF589" s="16">
        <f t="shared" si="383"/>
        <v>-20211.623281811368</v>
      </c>
      <c r="BG589" s="15">
        <f t="shared" si="358"/>
        <v>22.170849845882874</v>
      </c>
      <c r="BH589" s="75">
        <f>BG589*(1-PARAM!$C$27)*$I$17+(MOD($B589,60)=PARAM!$B$56)*($B589&gt;(60-PARAM!$B$56))*HLOOKUP(($B589+PARAM!$B$56)/12,Loyalty,2)*$F$1*MAX(BJ588,0)</f>
        <v>18.557001321003963</v>
      </c>
      <c r="BI589" s="75">
        <f>PARAM!$C$26+MAX($G$17-CHOOSE(PARAM!$B$44,MAX(0,BJ588*$F$1),0),0)*RATES!$L565/12+$H$17*(PARAM!$D$51/12)*RATES!$N565/100</f>
        <v>230.41666666666666</v>
      </c>
      <c r="BJ589" s="16">
        <f t="shared" si="384"/>
        <v>-20211.623281811368</v>
      </c>
      <c r="BK589" s="15">
        <f t="shared" si="359"/>
        <v>22.170849845882874</v>
      </c>
      <c r="BL589" s="75">
        <f>BK589*(1-PARAM!$C$27)*$I$18+(MOD($B589,60)=PARAM!$B$56)*($B589&gt;(60-PARAM!$B$56))*HLOOKUP(($B589+PARAM!$B$56)/12,Loyalty,2)*$F$1*MAX(BN588,0)</f>
        <v>18.557001321003963</v>
      </c>
      <c r="BM589" s="75">
        <f>PARAM!$C$26+MAX($G$18-CHOOSE(PARAM!$B$44,MAX(0,BN588*$F$1),0),0)*RATES!$L565/12+$H$18*(PARAM!$D$51/12)*RATES!$N565/100</f>
        <v>230.41666666666666</v>
      </c>
      <c r="BN589" s="16">
        <f t="shared" si="385"/>
        <v>-20211.623281811368</v>
      </c>
      <c r="BO589" s="15">
        <f t="shared" si="360"/>
        <v>22.170849845882874</v>
      </c>
      <c r="BP589" s="75">
        <f>BO589*(1-PARAM!$C$27)*$I$19+(MOD($B589,60)=PARAM!$B$56)*($B589&gt;(60-PARAM!$B$56))*HLOOKUP(($B589+PARAM!$B$56)/12,Loyalty,2)*$F$1*MAX(BR588,0)</f>
        <v>18.557001321003963</v>
      </c>
      <c r="BQ589" s="75">
        <f>PARAM!$C$26+MAX($G$19-CHOOSE(PARAM!$B$44,MAX(0,BR588*$F$1),0),0)*RATES!$L565/12+$H$19*(PARAM!$D$51/12)*RATES!$N565/100</f>
        <v>230.41666666666666</v>
      </c>
      <c r="BR589" s="16">
        <f t="shared" si="386"/>
        <v>-20211.623281811368</v>
      </c>
      <c r="BS589" s="15">
        <f t="shared" si="361"/>
        <v>22.170849845882874</v>
      </c>
      <c r="BT589" s="75">
        <f>BS589*(1-PARAM!$C$27)*$I$20+(MOD($B589,60)=PARAM!$B$56)*($B589&gt;(60-PARAM!$B$56))*HLOOKUP(($B589+PARAM!$B$56)/12,Loyalty,2)*$F$1*MAX(BV588,0)</f>
        <v>18.557001321003963</v>
      </c>
      <c r="BU589" s="75">
        <f>PARAM!$C$26+MAX($G$20-CHOOSE(PARAM!$B$44,MAX(0,BV588*$F$1),0),0)*RATES!$L565/12+$H$20*(PARAM!$D$51/12)*RATES!$N565/100</f>
        <v>230.41666666666666</v>
      </c>
      <c r="BV589" s="16">
        <f t="shared" si="387"/>
        <v>-20211.623281811368</v>
      </c>
      <c r="BW589" s="15">
        <f t="shared" si="362"/>
        <v>22.170849845882874</v>
      </c>
      <c r="BX589" s="75">
        <f>BW589*(1-PARAM!$C$27)*$I$21+(MOD($B589,60)=PARAM!$B$56)*($B589&gt;(60-PARAM!$B$56))*HLOOKUP(($B589+PARAM!$B$56)/12,Loyalty,2)*$F$1*MAX(BZ588,0)</f>
        <v>18.557001321003963</v>
      </c>
      <c r="BY589" s="75">
        <f>PARAM!$C$26+MAX($G$21-CHOOSE(PARAM!$B$44,MAX(0,BZ588*$F$1),0),0)*RATES!$L565/12+$H$21*(PARAM!$D$51/12)*RATES!$N565/100</f>
        <v>230.41666666666666</v>
      </c>
      <c r="BZ589" s="16">
        <f t="shared" si="388"/>
        <v>-20211.623281811368</v>
      </c>
      <c r="CA589" s="15">
        <f t="shared" si="363"/>
        <v>22.170849845882874</v>
      </c>
      <c r="CB589" s="75">
        <f>CA589*(1-PARAM!$C$27)*$I$22+(MOD($B589,60)=PARAM!$B$56)*($B589&gt;(60-PARAM!$B$56))*HLOOKUP(($B589+PARAM!$B$56)/12,Loyalty,2)*$F$1*MAX(CD588,0)</f>
        <v>18.557001321003963</v>
      </c>
      <c r="CC589" s="75">
        <f>PARAM!$C$26+MAX($G$22-CHOOSE(PARAM!$B$44,MAX(0,CD588*$F$1),0),0)*RATES!$L565/12+$H$22*(PARAM!$D$51/12)*RATES!$N565/100</f>
        <v>230.41666666666666</v>
      </c>
      <c r="CD589" s="16">
        <f t="shared" si="389"/>
        <v>-20211.623281811368</v>
      </c>
      <c r="CE589" s="33">
        <f>IF(0=MOD(B589,12/PARAM!$D$51),1,0)</f>
        <v>1</v>
      </c>
      <c r="CF589" s="15">
        <f t="shared" si="364"/>
        <v>0</v>
      </c>
      <c r="CG589" s="75">
        <f>CF589*(1-PARAM!$C$27)*$R$3+(MOD($B589/12,5)=0)*($B589&gt;60)*HLOOKUP($B589/12,Loyalty,2)*$F$1*MAX(CI588,0)</f>
        <v>0</v>
      </c>
      <c r="CH589" s="75">
        <f>PARAM!$C$26+MAX($P$3-CHOOSE(PARAM!$B$44,MAX(0,CI588*$F$1),0),0)*RATES!$L565/12+$Q$3*(PARAM!$D$51/12)*RATES!$N565/100</f>
        <v>230.41666666666666</v>
      </c>
      <c r="CI589" s="16">
        <f>IF(CI588&gt;0,CI588*PARAM!$C$53,CI588)+CG589-CH589</f>
        <v>-30521.083333333336</v>
      </c>
      <c r="CJ589" s="15">
        <f t="shared" si="390"/>
        <v>0</v>
      </c>
      <c r="CK589" s="75">
        <f>CJ589*(1-PARAM!$C$27)*$R$4+(MOD($B589/12,5)=0)*($B589&gt;60)*HLOOKUP($B589/12,Loyalty,2)*$F$1*MAX(CM588,0)</f>
        <v>0</v>
      </c>
      <c r="CL589" s="75">
        <f>PARAM!$C$26+MAX($P$4-CHOOSE(PARAM!$B$44,MAX(0,CM588*$F$1),0),0)*RATES!$L565/12+$Q$4*(PARAM!$D$51/12)*RATES!$N565/100</f>
        <v>230.41666666666666</v>
      </c>
      <c r="CM589" s="16">
        <f>IF(CM588&gt;0,CM588*PARAM!$C$53,CM588)+CK589-CL589</f>
        <v>-30521.083333333336</v>
      </c>
      <c r="CO589" s="176"/>
    </row>
    <row r="590" spans="1:93" x14ac:dyDescent="0.2">
      <c r="A590" t="b">
        <f t="shared" si="365"/>
        <v>0</v>
      </c>
      <c r="B590" s="33">
        <v>563</v>
      </c>
      <c r="C590" s="15">
        <f t="shared" si="366"/>
        <v>20.081305947392778</v>
      </c>
      <c r="D590" s="75">
        <f>C590*(1-PARAM!$C$27)*$I$3+(MOD($B590,60)=PARAM!$B$56)*($B590&gt;(60-PARAM!$B$56))*HLOOKUP(($B590+PARAM!$B$56)/12,Loyalty,2)*$F$1*MAX(F589,0)</f>
        <v>16.808053077967756</v>
      </c>
      <c r="E590" s="75">
        <f>PARAM!$C$26+MAX($G$3-CHOOSE(PARAM!$B$44,MAX(0,F589*$F$1),0),0)*RATES!$L566/12+$H$3*(PARAM!$D$51/12)*RATES!$N566/100</f>
        <v>230.41666666666666</v>
      </c>
      <c r="F590" s="16">
        <f t="shared" si="367"/>
        <v>-21444.991308507953</v>
      </c>
      <c r="G590" s="15">
        <f t="shared" si="368"/>
        <v>22.035289406060361</v>
      </c>
      <c r="H590" s="75">
        <f>G590*(1-PARAM!$C$27)*$I$4+(MOD($B590,60)=PARAM!$B$56)*($B590&gt;(60-PARAM!$B$56))*HLOOKUP(($B590+PARAM!$B$56)/12,Loyalty,2)*$F$1*MAX(J589,0)</f>
        <v>18.443537232872522</v>
      </c>
      <c r="I590" s="75">
        <f>PARAM!$C$26+MAX($G$4-CHOOSE(PARAM!$B$44,MAX(0,J589*$F$1),0),0)*RATES!$L566/12+$H$4*(PARAM!$D$51/12)*RATES!$N566/100</f>
        <v>230.41666666666666</v>
      </c>
      <c r="J590" s="16">
        <f t="shared" si="369"/>
        <v>-20490.380765174839</v>
      </c>
      <c r="K590" s="15">
        <f t="shared" si="370"/>
        <v>22.170849845882874</v>
      </c>
      <c r="L590" s="75">
        <f>K590*(1-PARAM!$C$27)*$I$5+(MOD($B590,60)=PARAM!$B$56)*($B590&gt;(60-PARAM!$B$56))*HLOOKUP(($B590+PARAM!$B$56)/12,Loyalty,2)*$F$1*MAX(N589,0)</f>
        <v>18.557001321003963</v>
      </c>
      <c r="M590" s="75">
        <f>PARAM!$C$26+MAX($G$5-CHOOSE(PARAM!$B$44,MAX(0,N589*$F$1),0),0)*RATES!$L566/12+$H$5*(PARAM!$D$51/12)*RATES!$N566/100</f>
        <v>230.41666666666666</v>
      </c>
      <c r="N590" s="16">
        <f t="shared" si="371"/>
        <v>-20423.48294715703</v>
      </c>
      <c r="O590" s="15">
        <f t="shared" si="372"/>
        <v>22.170849845882874</v>
      </c>
      <c r="P590" s="75">
        <f>O590*(1-PARAM!$C$27)*$I$6+(MOD($B590,60)=PARAM!$B$56)*($B590&gt;(60-PARAM!$B$56))*HLOOKUP(($B590+PARAM!$B$56)/12,Loyalty,2)*$F$1*MAX(R589,0)</f>
        <v>18.557001321003963</v>
      </c>
      <c r="Q590" s="75">
        <f>PARAM!$C$26+MAX($G$6-CHOOSE(PARAM!$B$44,MAX(0,R589*$F$1),0),0)*RATES!$L566/12+$H$6*(PARAM!$D$51/12)*RATES!$N566/100</f>
        <v>230.41666666666666</v>
      </c>
      <c r="R590" s="16">
        <f t="shared" si="373"/>
        <v>-20423.48294715703</v>
      </c>
      <c r="S590" s="15">
        <f t="shared" si="348"/>
        <v>22.170849845882874</v>
      </c>
      <c r="T590" s="75">
        <f>S590*(1-PARAM!$C$27)*$I$7+(MOD($B590,60)=PARAM!$B$56)*($B590&gt;(60-PARAM!$B$56))*HLOOKUP(($B590+PARAM!$B$56)/12,Loyalty,2)*$F$1*MAX(V589,0)</f>
        <v>18.557001321003963</v>
      </c>
      <c r="U590" s="75">
        <f>PARAM!$C$26+MAX($G$7-CHOOSE(PARAM!$B$44,MAX(0,V589*$F$1),0),0)*RATES!$L566/12+$H$7*(PARAM!$D$51/12)*RATES!$N566/100</f>
        <v>230.41666666666666</v>
      </c>
      <c r="V590" s="16">
        <f t="shared" si="374"/>
        <v>-20423.48294715703</v>
      </c>
      <c r="W590" s="15">
        <f t="shared" si="349"/>
        <v>22.170849845882874</v>
      </c>
      <c r="X590" s="75">
        <f>W590*(1-PARAM!$C$27)*$I$8+(MOD($B590,60)=PARAM!$B$56)*($B590&gt;(60-PARAM!$B$56))*HLOOKUP(($B590+PARAM!$B$56)/12,Loyalty,2)*$F$1*MAX(Z589,0)</f>
        <v>18.557001321003963</v>
      </c>
      <c r="Y590" s="75">
        <f>PARAM!$C$26+MAX($G$8-CHOOSE(PARAM!$B$44,MAX(0,Z589*$F$1),0),0)*RATES!$L566/12+$H$8*(PARAM!$D$51/12)*RATES!$N566/100</f>
        <v>230.41666666666666</v>
      </c>
      <c r="Z590" s="16">
        <f t="shared" si="375"/>
        <v>-20423.48294715703</v>
      </c>
      <c r="AA590" s="15">
        <f t="shared" si="350"/>
        <v>22.170849845882874</v>
      </c>
      <c r="AB590" s="75">
        <f>AA590*(1-PARAM!$C$27)*$I$9+(MOD($B590,60)=PARAM!$B$56)*($B590&gt;(60-PARAM!$B$56))*HLOOKUP(($B590+PARAM!$B$56)/12,Loyalty,2)*$F$1*MAX(AD589,0)</f>
        <v>18.557001321003963</v>
      </c>
      <c r="AC590" s="75">
        <f>PARAM!$C$26+MAX($G$9-CHOOSE(PARAM!$B$44,MAX(0,AD589*$F$1),0),0)*RATES!$L566/12+$H$9*(PARAM!$D$51/12)*RATES!$N566/100</f>
        <v>230.41666666666666</v>
      </c>
      <c r="AD590" s="16">
        <f t="shared" si="376"/>
        <v>-20423.48294715703</v>
      </c>
      <c r="AE590" s="15">
        <f t="shared" si="351"/>
        <v>22.170849845882874</v>
      </c>
      <c r="AF590" s="75">
        <f>AE590*(1-PARAM!$C$27)*$I$10+(MOD($B590,60)=PARAM!$B$56)*($B590&gt;(60-PARAM!$B$56))*HLOOKUP(($B590+PARAM!$B$56)/12,Loyalty,2)*$F$1*MAX(AH589,0)</f>
        <v>18.557001321003963</v>
      </c>
      <c r="AG590" s="75">
        <f>PARAM!$C$26+MAX($G$10-CHOOSE(PARAM!$B$44,MAX(0,AH589*$F$1),0),0)*RATES!$L566/12+$H$10*(PARAM!$D$51/12)*RATES!$N566/100</f>
        <v>230.41666666666666</v>
      </c>
      <c r="AH590" s="16">
        <f t="shared" si="377"/>
        <v>-20423.48294715703</v>
      </c>
      <c r="AI590" s="15">
        <f t="shared" si="352"/>
        <v>22.170849845882874</v>
      </c>
      <c r="AJ590" s="75">
        <f>AI590*(1-PARAM!$C$27)*$I$11+(MOD($B590,60)=PARAM!$B$56)*($B590&gt;(60-PARAM!$B$56))*HLOOKUP(($B590+PARAM!$B$56)/12,Loyalty,2)*$F$1*MAX(AL589,0)</f>
        <v>18.557001321003963</v>
      </c>
      <c r="AK590" s="75">
        <f>PARAM!$C$26+MAX($G$11-CHOOSE(PARAM!$B$44,MAX(0,AL589*$F$1),0),0)*RATES!$L566/12+$H$11*(PARAM!$D$51/12)*RATES!$N566/100</f>
        <v>230.41666666666666</v>
      </c>
      <c r="AL590" s="16">
        <f t="shared" si="378"/>
        <v>-20423.48294715703</v>
      </c>
      <c r="AM590" s="15">
        <f t="shared" si="353"/>
        <v>22.170849845882874</v>
      </c>
      <c r="AN590" s="75">
        <f>AM590*(1-PARAM!$C$27)*$I$12+(MOD($B590,60)=PARAM!$B$56)*($B590&gt;(60-PARAM!$B$56))*HLOOKUP(($B590+PARAM!$B$56)/12,Loyalty,2)*$F$1*MAX(AP589,0)</f>
        <v>18.557001321003963</v>
      </c>
      <c r="AO590" s="75">
        <f>PARAM!$C$26+MAX($G$12-CHOOSE(PARAM!$B$44,MAX(0,AP589*$F$1),0),0)*RATES!$L566/12+$H$12*(PARAM!$D$51/12)*RATES!$N566/100</f>
        <v>230.41666666666666</v>
      </c>
      <c r="AP590" s="16">
        <f t="shared" si="379"/>
        <v>-20423.48294715703</v>
      </c>
      <c r="AQ590" s="15">
        <f t="shared" si="354"/>
        <v>22.170849845882874</v>
      </c>
      <c r="AR590" s="75">
        <f>AQ590*(1-PARAM!$C$27)*$I$13+(MOD($B590,60)=PARAM!$B$56)*($B590&gt;(60-PARAM!$B$56))*HLOOKUP(($B590+PARAM!$B$56)/12,Loyalty,2)*$F$1*MAX(AT589,0)</f>
        <v>18.557001321003963</v>
      </c>
      <c r="AS590" s="75">
        <f>PARAM!$C$26+MAX($G$13-CHOOSE(PARAM!$B$44,MAX(0,AT589*$F$1),0),0)*RATES!$L566/12+$H$13*(PARAM!$D$51/12)*RATES!$N566/100</f>
        <v>230.41666666666666</v>
      </c>
      <c r="AT590" s="16">
        <f t="shared" si="380"/>
        <v>-20423.48294715703</v>
      </c>
      <c r="AU590" s="15">
        <f t="shared" si="355"/>
        <v>22.170849845882874</v>
      </c>
      <c r="AV590" s="75">
        <f>AU590*(1-PARAM!$C$27)*$I$14+(MOD($B590,60)=PARAM!$B$56)*($B590&gt;(60-PARAM!$B$56))*HLOOKUP(($B590+PARAM!$B$56)/12,Loyalty,2)*$F$1*MAX(AX589,0)</f>
        <v>18.557001321003963</v>
      </c>
      <c r="AW590" s="75">
        <f>PARAM!$C$26+MAX($G$14-CHOOSE(PARAM!$B$44,MAX(0,AX589*$F$1),0),0)*RATES!$L566/12+$H$14*(PARAM!$D$51/12)*RATES!$N566/100</f>
        <v>230.41666666666666</v>
      </c>
      <c r="AX590" s="16">
        <f t="shared" si="381"/>
        <v>-20423.48294715703</v>
      </c>
      <c r="AY590" s="15">
        <f t="shared" si="356"/>
        <v>22.170849845882874</v>
      </c>
      <c r="AZ590" s="75">
        <f>AY590*(1-PARAM!$C$27)*$I$15+(MOD($B590,60)=PARAM!$B$56)*($B590&gt;(60-PARAM!$B$56))*HLOOKUP(($B590+PARAM!$B$56)/12,Loyalty,2)*$F$1*MAX(BB589,0)</f>
        <v>18.557001321003963</v>
      </c>
      <c r="BA590" s="75">
        <f>PARAM!$C$26+MAX($G$15-CHOOSE(PARAM!$B$44,MAX(0,BB589*$F$1),0),0)*RATES!$L566/12+$H$15*(PARAM!$D$51/12)*RATES!$N566/100</f>
        <v>230.41666666666666</v>
      </c>
      <c r="BB590" s="16">
        <f t="shared" si="382"/>
        <v>-20423.48294715703</v>
      </c>
      <c r="BC590" s="15">
        <f t="shared" si="357"/>
        <v>22.170849845882874</v>
      </c>
      <c r="BD590" s="75">
        <f>BC590*(1-PARAM!$C$27)*$I$16+(MOD($B590,60)=PARAM!$B$56)*($B590&gt;(60-PARAM!$B$56))*HLOOKUP(($B590+PARAM!$B$56)/12,Loyalty,2)*$F$1*MAX(BF589,0)</f>
        <v>18.557001321003963</v>
      </c>
      <c r="BE590" s="75">
        <f>PARAM!$C$26+MAX($G$16-CHOOSE(PARAM!$B$44,MAX(0,BF589*$F$1),0),0)*RATES!$L566/12+$H$16*(PARAM!$D$51/12)*RATES!$N566/100</f>
        <v>230.41666666666666</v>
      </c>
      <c r="BF590" s="16">
        <f t="shared" si="383"/>
        <v>-20423.48294715703</v>
      </c>
      <c r="BG590" s="15">
        <f t="shared" si="358"/>
        <v>22.170849845882874</v>
      </c>
      <c r="BH590" s="75">
        <f>BG590*(1-PARAM!$C$27)*$I$17+(MOD($B590,60)=PARAM!$B$56)*($B590&gt;(60-PARAM!$B$56))*HLOOKUP(($B590+PARAM!$B$56)/12,Loyalty,2)*$F$1*MAX(BJ589,0)</f>
        <v>18.557001321003963</v>
      </c>
      <c r="BI590" s="75">
        <f>PARAM!$C$26+MAX($G$17-CHOOSE(PARAM!$B$44,MAX(0,BJ589*$F$1),0),0)*RATES!$L566/12+$H$17*(PARAM!$D$51/12)*RATES!$N566/100</f>
        <v>230.41666666666666</v>
      </c>
      <c r="BJ590" s="16">
        <f t="shared" si="384"/>
        <v>-20423.48294715703</v>
      </c>
      <c r="BK590" s="15">
        <f t="shared" si="359"/>
        <v>22.170849845882874</v>
      </c>
      <c r="BL590" s="75">
        <f>BK590*(1-PARAM!$C$27)*$I$18+(MOD($B590,60)=PARAM!$B$56)*($B590&gt;(60-PARAM!$B$56))*HLOOKUP(($B590+PARAM!$B$56)/12,Loyalty,2)*$F$1*MAX(BN589,0)</f>
        <v>18.557001321003963</v>
      </c>
      <c r="BM590" s="75">
        <f>PARAM!$C$26+MAX($G$18-CHOOSE(PARAM!$B$44,MAX(0,BN589*$F$1),0),0)*RATES!$L566/12+$H$18*(PARAM!$D$51/12)*RATES!$N566/100</f>
        <v>230.41666666666666</v>
      </c>
      <c r="BN590" s="16">
        <f t="shared" si="385"/>
        <v>-20423.48294715703</v>
      </c>
      <c r="BO590" s="15">
        <f t="shared" si="360"/>
        <v>22.170849845882874</v>
      </c>
      <c r="BP590" s="75">
        <f>BO590*(1-PARAM!$C$27)*$I$19+(MOD($B590,60)=PARAM!$B$56)*($B590&gt;(60-PARAM!$B$56))*HLOOKUP(($B590+PARAM!$B$56)/12,Loyalty,2)*$F$1*MAX(BR589,0)</f>
        <v>18.557001321003963</v>
      </c>
      <c r="BQ590" s="75">
        <f>PARAM!$C$26+MAX($G$19-CHOOSE(PARAM!$B$44,MAX(0,BR589*$F$1),0),0)*RATES!$L566/12+$H$19*(PARAM!$D$51/12)*RATES!$N566/100</f>
        <v>230.41666666666666</v>
      </c>
      <c r="BR590" s="16">
        <f t="shared" si="386"/>
        <v>-20423.48294715703</v>
      </c>
      <c r="BS590" s="15">
        <f t="shared" si="361"/>
        <v>22.170849845882874</v>
      </c>
      <c r="BT590" s="75">
        <f>BS590*(1-PARAM!$C$27)*$I$20+(MOD($B590,60)=PARAM!$B$56)*($B590&gt;(60-PARAM!$B$56))*HLOOKUP(($B590+PARAM!$B$56)/12,Loyalty,2)*$F$1*MAX(BV589,0)</f>
        <v>18.557001321003963</v>
      </c>
      <c r="BU590" s="75">
        <f>PARAM!$C$26+MAX($G$20-CHOOSE(PARAM!$B$44,MAX(0,BV589*$F$1),0),0)*RATES!$L566/12+$H$20*(PARAM!$D$51/12)*RATES!$N566/100</f>
        <v>230.41666666666666</v>
      </c>
      <c r="BV590" s="16">
        <f t="shared" si="387"/>
        <v>-20423.48294715703</v>
      </c>
      <c r="BW590" s="15">
        <f t="shared" si="362"/>
        <v>22.170849845882874</v>
      </c>
      <c r="BX590" s="75">
        <f>BW590*(1-PARAM!$C$27)*$I$21+(MOD($B590,60)=PARAM!$B$56)*($B590&gt;(60-PARAM!$B$56))*HLOOKUP(($B590+PARAM!$B$56)/12,Loyalty,2)*$F$1*MAX(BZ589,0)</f>
        <v>18.557001321003963</v>
      </c>
      <c r="BY590" s="75">
        <f>PARAM!$C$26+MAX($G$21-CHOOSE(PARAM!$B$44,MAX(0,BZ589*$F$1),0),0)*RATES!$L566/12+$H$21*(PARAM!$D$51/12)*RATES!$N566/100</f>
        <v>230.41666666666666</v>
      </c>
      <c r="BZ590" s="16">
        <f t="shared" si="388"/>
        <v>-20423.48294715703</v>
      </c>
      <c r="CA590" s="15">
        <f t="shared" si="363"/>
        <v>22.170849845882874</v>
      </c>
      <c r="CB590" s="75">
        <f>CA590*(1-PARAM!$C$27)*$I$22+(MOD($B590,60)=PARAM!$B$56)*($B590&gt;(60-PARAM!$B$56))*HLOOKUP(($B590+PARAM!$B$56)/12,Loyalty,2)*$F$1*MAX(CD589,0)</f>
        <v>18.557001321003963</v>
      </c>
      <c r="CC590" s="75">
        <f>PARAM!$C$26+MAX($G$22-CHOOSE(PARAM!$B$44,MAX(0,CD589*$F$1),0),0)*RATES!$L566/12+$H$22*(PARAM!$D$51/12)*RATES!$N566/100</f>
        <v>230.41666666666666</v>
      </c>
      <c r="CD590" s="16">
        <f t="shared" si="389"/>
        <v>-20423.48294715703</v>
      </c>
      <c r="CE590" s="33">
        <f>IF(0=MOD(B590,12/PARAM!$D$51),1,0)</f>
        <v>1</v>
      </c>
      <c r="CF590" s="15">
        <f t="shared" si="364"/>
        <v>0</v>
      </c>
      <c r="CG590" s="75">
        <f>CF590*(1-PARAM!$C$27)*$R$3+(MOD($B590/12,5)=0)*($B590&gt;60)*HLOOKUP($B590/12,Loyalty,2)*$F$1*MAX(CI589,0)</f>
        <v>0</v>
      </c>
      <c r="CH590" s="75">
        <f>PARAM!$C$26+MAX($P$3-CHOOSE(PARAM!$B$44,MAX(0,CI589*$F$1),0),0)*RATES!$L566/12+$Q$3*(PARAM!$D$51/12)*RATES!$N566/100</f>
        <v>230.41666666666666</v>
      </c>
      <c r="CI590" s="16">
        <f>IF(CI589&gt;0,CI589*PARAM!$C$53,CI589)+CG590-CH590</f>
        <v>-30751.500000000004</v>
      </c>
      <c r="CJ590" s="15">
        <f t="shared" si="390"/>
        <v>0</v>
      </c>
      <c r="CK590" s="75">
        <f>CJ590*(1-PARAM!$C$27)*$R$4+(MOD($B590/12,5)=0)*($B590&gt;60)*HLOOKUP($B590/12,Loyalty,2)*$F$1*MAX(CM589,0)</f>
        <v>0</v>
      </c>
      <c r="CL590" s="75">
        <f>PARAM!$C$26+MAX($P$4-CHOOSE(PARAM!$B$44,MAX(0,CM589*$F$1),0),0)*RATES!$L566/12+$Q$4*(PARAM!$D$51/12)*RATES!$N566/100</f>
        <v>230.41666666666666</v>
      </c>
      <c r="CM590" s="16">
        <f>IF(CM589&gt;0,CM589*PARAM!$C$53,CM589)+CK590-CL590</f>
        <v>-30751.500000000004</v>
      </c>
      <c r="CO590" s="176"/>
    </row>
    <row r="591" spans="1:93" x14ac:dyDescent="0.2">
      <c r="A591" t="b">
        <f t="shared" si="365"/>
        <v>0</v>
      </c>
      <c r="B591" s="33">
        <v>564</v>
      </c>
      <c r="C591" s="15">
        <f t="shared" si="366"/>
        <v>20.081305947392778</v>
      </c>
      <c r="D591" s="75">
        <f>C591*(1-PARAM!$C$27)*$I$3+(MOD($B591,60)=PARAM!$B$56)*($B591&gt;(60-PARAM!$B$56))*HLOOKUP(($B591+PARAM!$B$56)/12,Loyalty,2)*$F$1*MAX(F590,0)</f>
        <v>16.808053077967756</v>
      </c>
      <c r="E591" s="75">
        <f>PARAM!$C$26+MAX($G$3-CHOOSE(PARAM!$B$44,MAX(0,F590*$F$1),0),0)*RATES!$L567/12+$H$3*(PARAM!$D$51/12)*RATES!$N567/100</f>
        <v>230.41666666666666</v>
      </c>
      <c r="F591" s="16">
        <f t="shared" si="367"/>
        <v>-21658.599922096655</v>
      </c>
      <c r="G591" s="15">
        <f t="shared" si="368"/>
        <v>22.035289406060361</v>
      </c>
      <c r="H591" s="75">
        <f>G591*(1-PARAM!$C$27)*$I$4+(MOD($B591,60)=PARAM!$B$56)*($B591&gt;(60-PARAM!$B$56))*HLOOKUP(($B591+PARAM!$B$56)/12,Loyalty,2)*$F$1*MAX(J590,0)</f>
        <v>18.443537232872522</v>
      </c>
      <c r="I591" s="75">
        <f>PARAM!$C$26+MAX($G$4-CHOOSE(PARAM!$B$44,MAX(0,J590*$F$1),0),0)*RATES!$L567/12+$H$4*(PARAM!$D$51/12)*RATES!$N567/100</f>
        <v>230.41666666666666</v>
      </c>
      <c r="J591" s="16">
        <f t="shared" si="369"/>
        <v>-20702.353894608634</v>
      </c>
      <c r="K591" s="15">
        <f t="shared" si="370"/>
        <v>22.170849845882874</v>
      </c>
      <c r="L591" s="75">
        <f>K591*(1-PARAM!$C$27)*$I$5+(MOD($B591,60)=PARAM!$B$56)*($B591&gt;(60-PARAM!$B$56))*HLOOKUP(($B591+PARAM!$B$56)/12,Loyalty,2)*$F$1*MAX(N590,0)</f>
        <v>18.557001321003963</v>
      </c>
      <c r="M591" s="75">
        <f>PARAM!$C$26+MAX($G$5-CHOOSE(PARAM!$B$44,MAX(0,N590*$F$1),0),0)*RATES!$L567/12+$H$5*(PARAM!$D$51/12)*RATES!$N567/100</f>
        <v>230.41666666666666</v>
      </c>
      <c r="N591" s="16">
        <f t="shared" si="371"/>
        <v>-20635.342612502693</v>
      </c>
      <c r="O591" s="15">
        <f t="shared" si="372"/>
        <v>22.170849845882874</v>
      </c>
      <c r="P591" s="75">
        <f>O591*(1-PARAM!$C$27)*$I$6+(MOD($B591,60)=PARAM!$B$56)*($B591&gt;(60-PARAM!$B$56))*HLOOKUP(($B591+PARAM!$B$56)/12,Loyalty,2)*$F$1*MAX(R590,0)</f>
        <v>18.557001321003963</v>
      </c>
      <c r="Q591" s="75">
        <f>PARAM!$C$26+MAX($G$6-CHOOSE(PARAM!$B$44,MAX(0,R590*$F$1),0),0)*RATES!$L567/12+$H$6*(PARAM!$D$51/12)*RATES!$N567/100</f>
        <v>230.41666666666666</v>
      </c>
      <c r="R591" s="16">
        <f t="shared" si="373"/>
        <v>-20635.342612502693</v>
      </c>
      <c r="S591" s="15">
        <f t="shared" si="348"/>
        <v>22.170849845882874</v>
      </c>
      <c r="T591" s="75">
        <f>S591*(1-PARAM!$C$27)*$I$7+(MOD($B591,60)=PARAM!$B$56)*($B591&gt;(60-PARAM!$B$56))*HLOOKUP(($B591+PARAM!$B$56)/12,Loyalty,2)*$F$1*MAX(V590,0)</f>
        <v>18.557001321003963</v>
      </c>
      <c r="U591" s="75">
        <f>PARAM!$C$26+MAX($G$7-CHOOSE(PARAM!$B$44,MAX(0,V590*$F$1),0),0)*RATES!$L567/12+$H$7*(PARAM!$D$51/12)*RATES!$N567/100</f>
        <v>230.41666666666666</v>
      </c>
      <c r="V591" s="16">
        <f t="shared" si="374"/>
        <v>-20635.342612502693</v>
      </c>
      <c r="W591" s="15">
        <f t="shared" si="349"/>
        <v>22.170849845882874</v>
      </c>
      <c r="X591" s="75">
        <f>W591*(1-PARAM!$C$27)*$I$8+(MOD($B591,60)=PARAM!$B$56)*($B591&gt;(60-PARAM!$B$56))*HLOOKUP(($B591+PARAM!$B$56)/12,Loyalty,2)*$F$1*MAX(Z590,0)</f>
        <v>18.557001321003963</v>
      </c>
      <c r="Y591" s="75">
        <f>PARAM!$C$26+MAX($G$8-CHOOSE(PARAM!$B$44,MAX(0,Z590*$F$1),0),0)*RATES!$L567/12+$H$8*(PARAM!$D$51/12)*RATES!$N567/100</f>
        <v>230.41666666666666</v>
      </c>
      <c r="Z591" s="16">
        <f t="shared" si="375"/>
        <v>-20635.342612502693</v>
      </c>
      <c r="AA591" s="15">
        <f t="shared" si="350"/>
        <v>22.170849845882874</v>
      </c>
      <c r="AB591" s="75">
        <f>AA591*(1-PARAM!$C$27)*$I$9+(MOD($B591,60)=PARAM!$B$56)*($B591&gt;(60-PARAM!$B$56))*HLOOKUP(($B591+PARAM!$B$56)/12,Loyalty,2)*$F$1*MAX(AD590,0)</f>
        <v>18.557001321003963</v>
      </c>
      <c r="AC591" s="75">
        <f>PARAM!$C$26+MAX($G$9-CHOOSE(PARAM!$B$44,MAX(0,AD590*$F$1),0),0)*RATES!$L567/12+$H$9*(PARAM!$D$51/12)*RATES!$N567/100</f>
        <v>230.41666666666666</v>
      </c>
      <c r="AD591" s="16">
        <f t="shared" si="376"/>
        <v>-20635.342612502693</v>
      </c>
      <c r="AE591" s="15">
        <f t="shared" si="351"/>
        <v>22.170849845882874</v>
      </c>
      <c r="AF591" s="75">
        <f>AE591*(1-PARAM!$C$27)*$I$10+(MOD($B591,60)=PARAM!$B$56)*($B591&gt;(60-PARAM!$B$56))*HLOOKUP(($B591+PARAM!$B$56)/12,Loyalty,2)*$F$1*MAX(AH590,0)</f>
        <v>18.557001321003963</v>
      </c>
      <c r="AG591" s="75">
        <f>PARAM!$C$26+MAX($G$10-CHOOSE(PARAM!$B$44,MAX(0,AH590*$F$1),0),0)*RATES!$L567/12+$H$10*(PARAM!$D$51/12)*RATES!$N567/100</f>
        <v>230.41666666666666</v>
      </c>
      <c r="AH591" s="16">
        <f t="shared" si="377"/>
        <v>-20635.342612502693</v>
      </c>
      <c r="AI591" s="15">
        <f t="shared" si="352"/>
        <v>22.170849845882874</v>
      </c>
      <c r="AJ591" s="75">
        <f>AI591*(1-PARAM!$C$27)*$I$11+(MOD($B591,60)=PARAM!$B$56)*($B591&gt;(60-PARAM!$B$56))*HLOOKUP(($B591+PARAM!$B$56)/12,Loyalty,2)*$F$1*MAX(AL590,0)</f>
        <v>18.557001321003963</v>
      </c>
      <c r="AK591" s="75">
        <f>PARAM!$C$26+MAX($G$11-CHOOSE(PARAM!$B$44,MAX(0,AL590*$F$1),0),0)*RATES!$L567/12+$H$11*(PARAM!$D$51/12)*RATES!$N567/100</f>
        <v>230.41666666666666</v>
      </c>
      <c r="AL591" s="16">
        <f t="shared" si="378"/>
        <v>-20635.342612502693</v>
      </c>
      <c r="AM591" s="15">
        <f t="shared" si="353"/>
        <v>22.170849845882874</v>
      </c>
      <c r="AN591" s="75">
        <f>AM591*(1-PARAM!$C$27)*$I$12+(MOD($B591,60)=PARAM!$B$56)*($B591&gt;(60-PARAM!$B$56))*HLOOKUP(($B591+PARAM!$B$56)/12,Loyalty,2)*$F$1*MAX(AP590,0)</f>
        <v>18.557001321003963</v>
      </c>
      <c r="AO591" s="75">
        <f>PARAM!$C$26+MAX($G$12-CHOOSE(PARAM!$B$44,MAX(0,AP590*$F$1),0),0)*RATES!$L567/12+$H$12*(PARAM!$D$51/12)*RATES!$N567/100</f>
        <v>230.41666666666666</v>
      </c>
      <c r="AP591" s="16">
        <f t="shared" si="379"/>
        <v>-20635.342612502693</v>
      </c>
      <c r="AQ591" s="15">
        <f t="shared" si="354"/>
        <v>22.170849845882874</v>
      </c>
      <c r="AR591" s="75">
        <f>AQ591*(1-PARAM!$C$27)*$I$13+(MOD($B591,60)=PARAM!$B$56)*($B591&gt;(60-PARAM!$B$56))*HLOOKUP(($B591+PARAM!$B$56)/12,Loyalty,2)*$F$1*MAX(AT590,0)</f>
        <v>18.557001321003963</v>
      </c>
      <c r="AS591" s="75">
        <f>PARAM!$C$26+MAX($G$13-CHOOSE(PARAM!$B$44,MAX(0,AT590*$F$1),0),0)*RATES!$L567/12+$H$13*(PARAM!$D$51/12)*RATES!$N567/100</f>
        <v>230.41666666666666</v>
      </c>
      <c r="AT591" s="16">
        <f t="shared" si="380"/>
        <v>-20635.342612502693</v>
      </c>
      <c r="AU591" s="15">
        <f t="shared" si="355"/>
        <v>22.170849845882874</v>
      </c>
      <c r="AV591" s="75">
        <f>AU591*(1-PARAM!$C$27)*$I$14+(MOD($B591,60)=PARAM!$B$56)*($B591&gt;(60-PARAM!$B$56))*HLOOKUP(($B591+PARAM!$B$56)/12,Loyalty,2)*$F$1*MAX(AX590,0)</f>
        <v>18.557001321003963</v>
      </c>
      <c r="AW591" s="75">
        <f>PARAM!$C$26+MAX($G$14-CHOOSE(PARAM!$B$44,MAX(0,AX590*$F$1),0),0)*RATES!$L567/12+$H$14*(PARAM!$D$51/12)*RATES!$N567/100</f>
        <v>230.41666666666666</v>
      </c>
      <c r="AX591" s="16">
        <f t="shared" si="381"/>
        <v>-20635.342612502693</v>
      </c>
      <c r="AY591" s="15">
        <f t="shared" si="356"/>
        <v>22.170849845882874</v>
      </c>
      <c r="AZ591" s="75">
        <f>AY591*(1-PARAM!$C$27)*$I$15+(MOD($B591,60)=PARAM!$B$56)*($B591&gt;(60-PARAM!$B$56))*HLOOKUP(($B591+PARAM!$B$56)/12,Loyalty,2)*$F$1*MAX(BB590,0)</f>
        <v>18.557001321003963</v>
      </c>
      <c r="BA591" s="75">
        <f>PARAM!$C$26+MAX($G$15-CHOOSE(PARAM!$B$44,MAX(0,BB590*$F$1),0),0)*RATES!$L567/12+$H$15*(PARAM!$D$51/12)*RATES!$N567/100</f>
        <v>230.41666666666666</v>
      </c>
      <c r="BB591" s="16">
        <f t="shared" si="382"/>
        <v>-20635.342612502693</v>
      </c>
      <c r="BC591" s="15">
        <f t="shared" si="357"/>
        <v>22.170849845882874</v>
      </c>
      <c r="BD591" s="75">
        <f>BC591*(1-PARAM!$C$27)*$I$16+(MOD($B591,60)=PARAM!$B$56)*($B591&gt;(60-PARAM!$B$56))*HLOOKUP(($B591+PARAM!$B$56)/12,Loyalty,2)*$F$1*MAX(BF590,0)</f>
        <v>18.557001321003963</v>
      </c>
      <c r="BE591" s="75">
        <f>PARAM!$C$26+MAX($G$16-CHOOSE(PARAM!$B$44,MAX(0,BF590*$F$1),0),0)*RATES!$L567/12+$H$16*(PARAM!$D$51/12)*RATES!$N567/100</f>
        <v>230.41666666666666</v>
      </c>
      <c r="BF591" s="16">
        <f t="shared" si="383"/>
        <v>-20635.342612502693</v>
      </c>
      <c r="BG591" s="15">
        <f t="shared" si="358"/>
        <v>22.170849845882874</v>
      </c>
      <c r="BH591" s="75">
        <f>BG591*(1-PARAM!$C$27)*$I$17+(MOD($B591,60)=PARAM!$B$56)*($B591&gt;(60-PARAM!$B$56))*HLOOKUP(($B591+PARAM!$B$56)/12,Loyalty,2)*$F$1*MAX(BJ590,0)</f>
        <v>18.557001321003963</v>
      </c>
      <c r="BI591" s="75">
        <f>PARAM!$C$26+MAX($G$17-CHOOSE(PARAM!$B$44,MAX(0,BJ590*$F$1),0),0)*RATES!$L567/12+$H$17*(PARAM!$D$51/12)*RATES!$N567/100</f>
        <v>230.41666666666666</v>
      </c>
      <c r="BJ591" s="16">
        <f t="shared" si="384"/>
        <v>-20635.342612502693</v>
      </c>
      <c r="BK591" s="15">
        <f t="shared" si="359"/>
        <v>22.170849845882874</v>
      </c>
      <c r="BL591" s="75">
        <f>BK591*(1-PARAM!$C$27)*$I$18+(MOD($B591,60)=PARAM!$B$56)*($B591&gt;(60-PARAM!$B$56))*HLOOKUP(($B591+PARAM!$B$56)/12,Loyalty,2)*$F$1*MAX(BN590,0)</f>
        <v>18.557001321003963</v>
      </c>
      <c r="BM591" s="75">
        <f>PARAM!$C$26+MAX($G$18-CHOOSE(PARAM!$B$44,MAX(0,BN590*$F$1),0),0)*RATES!$L567/12+$H$18*(PARAM!$D$51/12)*RATES!$N567/100</f>
        <v>230.41666666666666</v>
      </c>
      <c r="BN591" s="16">
        <f t="shared" si="385"/>
        <v>-20635.342612502693</v>
      </c>
      <c r="BO591" s="15">
        <f t="shared" si="360"/>
        <v>22.170849845882874</v>
      </c>
      <c r="BP591" s="75">
        <f>BO591*(1-PARAM!$C$27)*$I$19+(MOD($B591,60)=PARAM!$B$56)*($B591&gt;(60-PARAM!$B$56))*HLOOKUP(($B591+PARAM!$B$56)/12,Loyalty,2)*$F$1*MAX(BR590,0)</f>
        <v>18.557001321003963</v>
      </c>
      <c r="BQ591" s="75">
        <f>PARAM!$C$26+MAX($G$19-CHOOSE(PARAM!$B$44,MAX(0,BR590*$F$1),0),0)*RATES!$L567/12+$H$19*(PARAM!$D$51/12)*RATES!$N567/100</f>
        <v>230.41666666666666</v>
      </c>
      <c r="BR591" s="16">
        <f t="shared" si="386"/>
        <v>-20635.342612502693</v>
      </c>
      <c r="BS591" s="15">
        <f t="shared" si="361"/>
        <v>22.170849845882874</v>
      </c>
      <c r="BT591" s="75">
        <f>BS591*(1-PARAM!$C$27)*$I$20+(MOD($B591,60)=PARAM!$B$56)*($B591&gt;(60-PARAM!$B$56))*HLOOKUP(($B591+PARAM!$B$56)/12,Loyalty,2)*$F$1*MAX(BV590,0)</f>
        <v>18.557001321003963</v>
      </c>
      <c r="BU591" s="75">
        <f>PARAM!$C$26+MAX($G$20-CHOOSE(PARAM!$B$44,MAX(0,BV590*$F$1),0),0)*RATES!$L567/12+$H$20*(PARAM!$D$51/12)*RATES!$N567/100</f>
        <v>230.41666666666666</v>
      </c>
      <c r="BV591" s="16">
        <f t="shared" si="387"/>
        <v>-20635.342612502693</v>
      </c>
      <c r="BW591" s="15">
        <f t="shared" si="362"/>
        <v>22.170849845882874</v>
      </c>
      <c r="BX591" s="75">
        <f>BW591*(1-PARAM!$C$27)*$I$21+(MOD($B591,60)=PARAM!$B$56)*($B591&gt;(60-PARAM!$B$56))*HLOOKUP(($B591+PARAM!$B$56)/12,Loyalty,2)*$F$1*MAX(BZ590,0)</f>
        <v>18.557001321003963</v>
      </c>
      <c r="BY591" s="75">
        <f>PARAM!$C$26+MAX($G$21-CHOOSE(PARAM!$B$44,MAX(0,BZ590*$F$1),0),0)*RATES!$L567/12+$H$21*(PARAM!$D$51/12)*RATES!$N567/100</f>
        <v>230.41666666666666</v>
      </c>
      <c r="BZ591" s="16">
        <f t="shared" si="388"/>
        <v>-20635.342612502693</v>
      </c>
      <c r="CA591" s="15">
        <f t="shared" si="363"/>
        <v>22.170849845882874</v>
      </c>
      <c r="CB591" s="75">
        <f>CA591*(1-PARAM!$C$27)*$I$22+(MOD($B591,60)=PARAM!$B$56)*($B591&gt;(60-PARAM!$B$56))*HLOOKUP(($B591+PARAM!$B$56)/12,Loyalty,2)*$F$1*MAX(CD590,0)</f>
        <v>18.557001321003963</v>
      </c>
      <c r="CC591" s="75">
        <f>PARAM!$C$26+MAX($G$22-CHOOSE(PARAM!$B$44,MAX(0,CD590*$F$1),0),0)*RATES!$L567/12+$H$22*(PARAM!$D$51/12)*RATES!$N567/100</f>
        <v>230.41666666666666</v>
      </c>
      <c r="CD591" s="16">
        <f t="shared" si="389"/>
        <v>-20635.342612502693</v>
      </c>
      <c r="CE591" s="33">
        <f>IF(0=MOD(B591,12/PARAM!$D$51),1,0)</f>
        <v>1</v>
      </c>
      <c r="CF591" s="15">
        <f t="shared" si="364"/>
        <v>0</v>
      </c>
      <c r="CG591" s="75">
        <f>CF591*(1-PARAM!$C$27)*$R$3+(MOD($B591/12,5)=0)*($B591&gt;60)*HLOOKUP($B591/12,Loyalty,2)*$F$1*MAX(CI590,0)</f>
        <v>0</v>
      </c>
      <c r="CH591" s="75">
        <f>PARAM!$C$26+MAX($P$3-CHOOSE(PARAM!$B$44,MAX(0,CI590*$F$1),0),0)*RATES!$L567/12+$Q$3*(PARAM!$D$51/12)*RATES!$N567/100</f>
        <v>230.41666666666666</v>
      </c>
      <c r="CI591" s="16">
        <f>IF(CI590&gt;0,CI590*PARAM!$C$53,CI590)+CG591-CH591</f>
        <v>-30981.916666666672</v>
      </c>
      <c r="CJ591" s="15">
        <f t="shared" si="390"/>
        <v>0</v>
      </c>
      <c r="CK591" s="75">
        <f>CJ591*(1-PARAM!$C$27)*$R$4+(MOD($B591/12,5)=0)*($B591&gt;60)*HLOOKUP($B591/12,Loyalty,2)*$F$1*MAX(CM590,0)</f>
        <v>0</v>
      </c>
      <c r="CL591" s="75">
        <f>PARAM!$C$26+MAX($P$4-CHOOSE(PARAM!$B$44,MAX(0,CM590*$F$1),0),0)*RATES!$L567/12+$Q$4*(PARAM!$D$51/12)*RATES!$N567/100</f>
        <v>230.41666666666666</v>
      </c>
      <c r="CM591" s="16">
        <f>IF(CM590&gt;0,CM590*PARAM!$C$53,CM590)+CK591-CL591</f>
        <v>-30981.916666666672</v>
      </c>
      <c r="CO591" s="176"/>
    </row>
    <row r="592" spans="1:93" x14ac:dyDescent="0.2">
      <c r="A592" t="b">
        <f t="shared" si="365"/>
        <v>0</v>
      </c>
      <c r="B592" s="33">
        <v>565</v>
      </c>
      <c r="C592" s="15">
        <f t="shared" si="366"/>
        <v>20.081305947392778</v>
      </c>
      <c r="D592" s="75">
        <f>C592*(1-PARAM!$C$27)*$I$3+(MOD($B592,60)=PARAM!$B$56)*($B592&gt;(60-PARAM!$B$56))*HLOOKUP(($B592+PARAM!$B$56)/12,Loyalty,2)*$F$1*MAX(F591,0)</f>
        <v>16.808053077967756</v>
      </c>
      <c r="E592" s="75">
        <f>PARAM!$C$26+MAX($G$3-CHOOSE(PARAM!$B$44,MAX(0,F591*$F$1),0),0)*RATES!$L568/12+$H$3*(PARAM!$D$51/12)*RATES!$N568/100</f>
        <v>230.41666666666666</v>
      </c>
      <c r="F592" s="16">
        <f t="shared" si="367"/>
        <v>-21872.208535685357</v>
      </c>
      <c r="G592" s="15">
        <f t="shared" si="368"/>
        <v>22.035289406060361</v>
      </c>
      <c r="H592" s="75">
        <f>G592*(1-PARAM!$C$27)*$I$4+(MOD($B592,60)=PARAM!$B$56)*($B592&gt;(60-PARAM!$B$56))*HLOOKUP(($B592+PARAM!$B$56)/12,Loyalty,2)*$F$1*MAX(J591,0)</f>
        <v>18.443537232872522</v>
      </c>
      <c r="I592" s="75">
        <f>PARAM!$C$26+MAX($G$4-CHOOSE(PARAM!$B$44,MAX(0,J591*$F$1),0),0)*RATES!$L568/12+$H$4*(PARAM!$D$51/12)*RATES!$N568/100</f>
        <v>230.41666666666666</v>
      </c>
      <c r="J592" s="16">
        <f t="shared" si="369"/>
        <v>-20914.327024042428</v>
      </c>
      <c r="K592" s="15">
        <f t="shared" si="370"/>
        <v>22.170849845882874</v>
      </c>
      <c r="L592" s="75">
        <f>K592*(1-PARAM!$C$27)*$I$5+(MOD($B592,60)=PARAM!$B$56)*($B592&gt;(60-PARAM!$B$56))*HLOOKUP(($B592+PARAM!$B$56)/12,Loyalty,2)*$F$1*MAX(N591,0)</f>
        <v>18.557001321003963</v>
      </c>
      <c r="M592" s="75">
        <f>PARAM!$C$26+MAX($G$5-CHOOSE(PARAM!$B$44,MAX(0,N591*$F$1),0),0)*RATES!$L568/12+$H$5*(PARAM!$D$51/12)*RATES!$N568/100</f>
        <v>230.41666666666666</v>
      </c>
      <c r="N592" s="16">
        <f t="shared" si="371"/>
        <v>-20847.202277848355</v>
      </c>
      <c r="O592" s="15">
        <f t="shared" si="372"/>
        <v>22.170849845882874</v>
      </c>
      <c r="P592" s="75">
        <f>O592*(1-PARAM!$C$27)*$I$6+(MOD($B592,60)=PARAM!$B$56)*($B592&gt;(60-PARAM!$B$56))*HLOOKUP(($B592+PARAM!$B$56)/12,Loyalty,2)*$F$1*MAX(R591,0)</f>
        <v>18.557001321003963</v>
      </c>
      <c r="Q592" s="75">
        <f>PARAM!$C$26+MAX($G$6-CHOOSE(PARAM!$B$44,MAX(0,R591*$F$1),0),0)*RATES!$L568/12+$H$6*(PARAM!$D$51/12)*RATES!$N568/100</f>
        <v>230.41666666666666</v>
      </c>
      <c r="R592" s="16">
        <f t="shared" si="373"/>
        <v>-20847.202277848355</v>
      </c>
      <c r="S592" s="15">
        <f t="shared" si="348"/>
        <v>22.170849845882874</v>
      </c>
      <c r="T592" s="75">
        <f>S592*(1-PARAM!$C$27)*$I$7+(MOD($B592,60)=PARAM!$B$56)*($B592&gt;(60-PARAM!$B$56))*HLOOKUP(($B592+PARAM!$B$56)/12,Loyalty,2)*$F$1*MAX(V591,0)</f>
        <v>18.557001321003963</v>
      </c>
      <c r="U592" s="75">
        <f>PARAM!$C$26+MAX($G$7-CHOOSE(PARAM!$B$44,MAX(0,V591*$F$1),0),0)*RATES!$L568/12+$H$7*(PARAM!$D$51/12)*RATES!$N568/100</f>
        <v>230.41666666666666</v>
      </c>
      <c r="V592" s="16">
        <f t="shared" si="374"/>
        <v>-20847.202277848355</v>
      </c>
      <c r="W592" s="15">
        <f t="shared" si="349"/>
        <v>22.170849845882874</v>
      </c>
      <c r="X592" s="75">
        <f>W592*(1-PARAM!$C$27)*$I$8+(MOD($B592,60)=PARAM!$B$56)*($B592&gt;(60-PARAM!$B$56))*HLOOKUP(($B592+PARAM!$B$56)/12,Loyalty,2)*$F$1*MAX(Z591,0)</f>
        <v>18.557001321003963</v>
      </c>
      <c r="Y592" s="75">
        <f>PARAM!$C$26+MAX($G$8-CHOOSE(PARAM!$B$44,MAX(0,Z591*$F$1),0),0)*RATES!$L568/12+$H$8*(PARAM!$D$51/12)*RATES!$N568/100</f>
        <v>230.41666666666666</v>
      </c>
      <c r="Z592" s="16">
        <f t="shared" si="375"/>
        <v>-20847.202277848355</v>
      </c>
      <c r="AA592" s="15">
        <f t="shared" si="350"/>
        <v>22.170849845882874</v>
      </c>
      <c r="AB592" s="75">
        <f>AA592*(1-PARAM!$C$27)*$I$9+(MOD($B592,60)=PARAM!$B$56)*($B592&gt;(60-PARAM!$B$56))*HLOOKUP(($B592+PARAM!$B$56)/12,Loyalty,2)*$F$1*MAX(AD591,0)</f>
        <v>18.557001321003963</v>
      </c>
      <c r="AC592" s="75">
        <f>PARAM!$C$26+MAX($G$9-CHOOSE(PARAM!$B$44,MAX(0,AD591*$F$1),0),0)*RATES!$L568/12+$H$9*(PARAM!$D$51/12)*RATES!$N568/100</f>
        <v>230.41666666666666</v>
      </c>
      <c r="AD592" s="16">
        <f t="shared" si="376"/>
        <v>-20847.202277848355</v>
      </c>
      <c r="AE592" s="15">
        <f t="shared" si="351"/>
        <v>22.170849845882874</v>
      </c>
      <c r="AF592" s="75">
        <f>AE592*(1-PARAM!$C$27)*$I$10+(MOD($B592,60)=PARAM!$B$56)*($B592&gt;(60-PARAM!$B$56))*HLOOKUP(($B592+PARAM!$B$56)/12,Loyalty,2)*$F$1*MAX(AH591,0)</f>
        <v>18.557001321003963</v>
      </c>
      <c r="AG592" s="75">
        <f>PARAM!$C$26+MAX($G$10-CHOOSE(PARAM!$B$44,MAX(0,AH591*$F$1),0),0)*RATES!$L568/12+$H$10*(PARAM!$D$51/12)*RATES!$N568/100</f>
        <v>230.41666666666666</v>
      </c>
      <c r="AH592" s="16">
        <f t="shared" si="377"/>
        <v>-20847.202277848355</v>
      </c>
      <c r="AI592" s="15">
        <f t="shared" si="352"/>
        <v>22.170849845882874</v>
      </c>
      <c r="AJ592" s="75">
        <f>AI592*(1-PARAM!$C$27)*$I$11+(MOD($B592,60)=PARAM!$B$56)*($B592&gt;(60-PARAM!$B$56))*HLOOKUP(($B592+PARAM!$B$56)/12,Loyalty,2)*$F$1*MAX(AL591,0)</f>
        <v>18.557001321003963</v>
      </c>
      <c r="AK592" s="75">
        <f>PARAM!$C$26+MAX($G$11-CHOOSE(PARAM!$B$44,MAX(0,AL591*$F$1),0),0)*RATES!$L568/12+$H$11*(PARAM!$D$51/12)*RATES!$N568/100</f>
        <v>230.41666666666666</v>
      </c>
      <c r="AL592" s="16">
        <f t="shared" si="378"/>
        <v>-20847.202277848355</v>
      </c>
      <c r="AM592" s="15">
        <f t="shared" si="353"/>
        <v>22.170849845882874</v>
      </c>
      <c r="AN592" s="75">
        <f>AM592*(1-PARAM!$C$27)*$I$12+(MOD($B592,60)=PARAM!$B$56)*($B592&gt;(60-PARAM!$B$56))*HLOOKUP(($B592+PARAM!$B$56)/12,Loyalty,2)*$F$1*MAX(AP591,0)</f>
        <v>18.557001321003963</v>
      </c>
      <c r="AO592" s="75">
        <f>PARAM!$C$26+MAX($G$12-CHOOSE(PARAM!$B$44,MAX(0,AP591*$F$1),0),0)*RATES!$L568/12+$H$12*(PARAM!$D$51/12)*RATES!$N568/100</f>
        <v>230.41666666666666</v>
      </c>
      <c r="AP592" s="16">
        <f t="shared" si="379"/>
        <v>-20847.202277848355</v>
      </c>
      <c r="AQ592" s="15">
        <f t="shared" si="354"/>
        <v>22.170849845882874</v>
      </c>
      <c r="AR592" s="75">
        <f>AQ592*(1-PARAM!$C$27)*$I$13+(MOD($B592,60)=PARAM!$B$56)*($B592&gt;(60-PARAM!$B$56))*HLOOKUP(($B592+PARAM!$B$56)/12,Loyalty,2)*$F$1*MAX(AT591,0)</f>
        <v>18.557001321003963</v>
      </c>
      <c r="AS592" s="75">
        <f>PARAM!$C$26+MAX($G$13-CHOOSE(PARAM!$B$44,MAX(0,AT591*$F$1),0),0)*RATES!$L568/12+$H$13*(PARAM!$D$51/12)*RATES!$N568/100</f>
        <v>230.41666666666666</v>
      </c>
      <c r="AT592" s="16">
        <f t="shared" si="380"/>
        <v>-20847.202277848355</v>
      </c>
      <c r="AU592" s="15">
        <f t="shared" si="355"/>
        <v>22.170849845882874</v>
      </c>
      <c r="AV592" s="75">
        <f>AU592*(1-PARAM!$C$27)*$I$14+(MOD($B592,60)=PARAM!$B$56)*($B592&gt;(60-PARAM!$B$56))*HLOOKUP(($B592+PARAM!$B$56)/12,Loyalty,2)*$F$1*MAX(AX591,0)</f>
        <v>18.557001321003963</v>
      </c>
      <c r="AW592" s="75">
        <f>PARAM!$C$26+MAX($G$14-CHOOSE(PARAM!$B$44,MAX(0,AX591*$F$1),0),0)*RATES!$L568/12+$H$14*(PARAM!$D$51/12)*RATES!$N568/100</f>
        <v>230.41666666666666</v>
      </c>
      <c r="AX592" s="16">
        <f t="shared" si="381"/>
        <v>-20847.202277848355</v>
      </c>
      <c r="AY592" s="15">
        <f t="shared" si="356"/>
        <v>22.170849845882874</v>
      </c>
      <c r="AZ592" s="75">
        <f>AY592*(1-PARAM!$C$27)*$I$15+(MOD($B592,60)=PARAM!$B$56)*($B592&gt;(60-PARAM!$B$56))*HLOOKUP(($B592+PARAM!$B$56)/12,Loyalty,2)*$F$1*MAX(BB591,0)</f>
        <v>18.557001321003963</v>
      </c>
      <c r="BA592" s="75">
        <f>PARAM!$C$26+MAX($G$15-CHOOSE(PARAM!$B$44,MAX(0,BB591*$F$1),0),0)*RATES!$L568/12+$H$15*(PARAM!$D$51/12)*RATES!$N568/100</f>
        <v>230.41666666666666</v>
      </c>
      <c r="BB592" s="16">
        <f t="shared" si="382"/>
        <v>-20847.202277848355</v>
      </c>
      <c r="BC592" s="15">
        <f t="shared" si="357"/>
        <v>22.170849845882874</v>
      </c>
      <c r="BD592" s="75">
        <f>BC592*(1-PARAM!$C$27)*$I$16+(MOD($B592,60)=PARAM!$B$56)*($B592&gt;(60-PARAM!$B$56))*HLOOKUP(($B592+PARAM!$B$56)/12,Loyalty,2)*$F$1*MAX(BF591,0)</f>
        <v>18.557001321003963</v>
      </c>
      <c r="BE592" s="75">
        <f>PARAM!$C$26+MAX($G$16-CHOOSE(PARAM!$B$44,MAX(0,BF591*$F$1),0),0)*RATES!$L568/12+$H$16*(PARAM!$D$51/12)*RATES!$N568/100</f>
        <v>230.41666666666666</v>
      </c>
      <c r="BF592" s="16">
        <f t="shared" si="383"/>
        <v>-20847.202277848355</v>
      </c>
      <c r="BG592" s="15">
        <f t="shared" si="358"/>
        <v>22.170849845882874</v>
      </c>
      <c r="BH592" s="75">
        <f>BG592*(1-PARAM!$C$27)*$I$17+(MOD($B592,60)=PARAM!$B$56)*($B592&gt;(60-PARAM!$B$56))*HLOOKUP(($B592+PARAM!$B$56)/12,Loyalty,2)*$F$1*MAX(BJ591,0)</f>
        <v>18.557001321003963</v>
      </c>
      <c r="BI592" s="75">
        <f>PARAM!$C$26+MAX($G$17-CHOOSE(PARAM!$B$44,MAX(0,BJ591*$F$1),0),0)*RATES!$L568/12+$H$17*(PARAM!$D$51/12)*RATES!$N568/100</f>
        <v>230.41666666666666</v>
      </c>
      <c r="BJ592" s="16">
        <f t="shared" si="384"/>
        <v>-20847.202277848355</v>
      </c>
      <c r="BK592" s="15">
        <f t="shared" si="359"/>
        <v>22.170849845882874</v>
      </c>
      <c r="BL592" s="75">
        <f>BK592*(1-PARAM!$C$27)*$I$18+(MOD($B592,60)=PARAM!$B$56)*($B592&gt;(60-PARAM!$B$56))*HLOOKUP(($B592+PARAM!$B$56)/12,Loyalty,2)*$F$1*MAX(BN591,0)</f>
        <v>18.557001321003963</v>
      </c>
      <c r="BM592" s="75">
        <f>PARAM!$C$26+MAX($G$18-CHOOSE(PARAM!$B$44,MAX(0,BN591*$F$1),0),0)*RATES!$L568/12+$H$18*(PARAM!$D$51/12)*RATES!$N568/100</f>
        <v>230.41666666666666</v>
      </c>
      <c r="BN592" s="16">
        <f t="shared" si="385"/>
        <v>-20847.202277848355</v>
      </c>
      <c r="BO592" s="15">
        <f t="shared" si="360"/>
        <v>22.170849845882874</v>
      </c>
      <c r="BP592" s="75">
        <f>BO592*(1-PARAM!$C$27)*$I$19+(MOD($B592,60)=PARAM!$B$56)*($B592&gt;(60-PARAM!$B$56))*HLOOKUP(($B592+PARAM!$B$56)/12,Loyalty,2)*$F$1*MAX(BR591,0)</f>
        <v>18.557001321003963</v>
      </c>
      <c r="BQ592" s="75">
        <f>PARAM!$C$26+MAX($G$19-CHOOSE(PARAM!$B$44,MAX(0,BR591*$F$1),0),0)*RATES!$L568/12+$H$19*(PARAM!$D$51/12)*RATES!$N568/100</f>
        <v>230.41666666666666</v>
      </c>
      <c r="BR592" s="16">
        <f t="shared" si="386"/>
        <v>-20847.202277848355</v>
      </c>
      <c r="BS592" s="15">
        <f t="shared" si="361"/>
        <v>22.170849845882874</v>
      </c>
      <c r="BT592" s="75">
        <f>BS592*(1-PARAM!$C$27)*$I$20+(MOD($B592,60)=PARAM!$B$56)*($B592&gt;(60-PARAM!$B$56))*HLOOKUP(($B592+PARAM!$B$56)/12,Loyalty,2)*$F$1*MAX(BV591,0)</f>
        <v>18.557001321003963</v>
      </c>
      <c r="BU592" s="75">
        <f>PARAM!$C$26+MAX($G$20-CHOOSE(PARAM!$B$44,MAX(0,BV591*$F$1),0),0)*RATES!$L568/12+$H$20*(PARAM!$D$51/12)*RATES!$N568/100</f>
        <v>230.41666666666666</v>
      </c>
      <c r="BV592" s="16">
        <f t="shared" si="387"/>
        <v>-20847.202277848355</v>
      </c>
      <c r="BW592" s="15">
        <f t="shared" si="362"/>
        <v>22.170849845882874</v>
      </c>
      <c r="BX592" s="75">
        <f>BW592*(1-PARAM!$C$27)*$I$21+(MOD($B592,60)=PARAM!$B$56)*($B592&gt;(60-PARAM!$B$56))*HLOOKUP(($B592+PARAM!$B$56)/12,Loyalty,2)*$F$1*MAX(BZ591,0)</f>
        <v>18.557001321003963</v>
      </c>
      <c r="BY592" s="75">
        <f>PARAM!$C$26+MAX($G$21-CHOOSE(PARAM!$B$44,MAX(0,BZ591*$F$1),0),0)*RATES!$L568/12+$H$21*(PARAM!$D$51/12)*RATES!$N568/100</f>
        <v>230.41666666666666</v>
      </c>
      <c r="BZ592" s="16">
        <f t="shared" si="388"/>
        <v>-20847.202277848355</v>
      </c>
      <c r="CA592" s="15">
        <f t="shared" si="363"/>
        <v>22.170849845882874</v>
      </c>
      <c r="CB592" s="75">
        <f>CA592*(1-PARAM!$C$27)*$I$22+(MOD($B592,60)=PARAM!$B$56)*($B592&gt;(60-PARAM!$B$56))*HLOOKUP(($B592+PARAM!$B$56)/12,Loyalty,2)*$F$1*MAX(CD591,0)</f>
        <v>18.557001321003963</v>
      </c>
      <c r="CC592" s="75">
        <f>PARAM!$C$26+MAX($G$22-CHOOSE(PARAM!$B$44,MAX(0,CD591*$F$1),0),0)*RATES!$L568/12+$H$22*(PARAM!$D$51/12)*RATES!$N568/100</f>
        <v>230.41666666666666</v>
      </c>
      <c r="CD592" s="16">
        <f t="shared" si="389"/>
        <v>-20847.202277848355</v>
      </c>
      <c r="CE592" s="33">
        <f>IF(0=MOD(B592,12/PARAM!$D$51),1,0)</f>
        <v>1</v>
      </c>
      <c r="CF592" s="15">
        <f t="shared" si="364"/>
        <v>0</v>
      </c>
      <c r="CG592" s="75">
        <f>CF592*(1-PARAM!$C$27)*$R$3+(MOD($B592/12,5)=0)*($B592&gt;60)*HLOOKUP($B592/12,Loyalty,2)*$F$1*MAX(CI591,0)</f>
        <v>0</v>
      </c>
      <c r="CH592" s="75">
        <f>PARAM!$C$26+MAX($P$3-CHOOSE(PARAM!$B$44,MAX(0,CI591*$F$1),0),0)*RATES!$L568/12+$Q$3*(PARAM!$D$51/12)*RATES!$N568/100</f>
        <v>230.41666666666666</v>
      </c>
      <c r="CI592" s="16">
        <f>IF(CI591&gt;0,CI591*PARAM!$C$53,CI591)+CG592-CH592</f>
        <v>-31212.333333333339</v>
      </c>
      <c r="CJ592" s="15">
        <f t="shared" si="390"/>
        <v>0</v>
      </c>
      <c r="CK592" s="75">
        <f>CJ592*(1-PARAM!$C$27)*$R$4+(MOD($B592/12,5)=0)*($B592&gt;60)*HLOOKUP($B592/12,Loyalty,2)*$F$1*MAX(CM591,0)</f>
        <v>0</v>
      </c>
      <c r="CL592" s="75">
        <f>PARAM!$C$26+MAX($P$4-CHOOSE(PARAM!$B$44,MAX(0,CM591*$F$1),0),0)*RATES!$L568/12+$Q$4*(PARAM!$D$51/12)*RATES!$N568/100</f>
        <v>230.41666666666666</v>
      </c>
      <c r="CM592" s="16">
        <f>IF(CM591&gt;0,CM591*PARAM!$C$53,CM591)+CK592-CL592</f>
        <v>-31212.333333333339</v>
      </c>
      <c r="CO592" s="176"/>
    </row>
    <row r="593" spans="1:93" x14ac:dyDescent="0.2">
      <c r="A593" t="b">
        <f t="shared" si="365"/>
        <v>0</v>
      </c>
      <c r="B593" s="33">
        <v>566</v>
      </c>
      <c r="C593" s="15">
        <f t="shared" si="366"/>
        <v>20.081305947392778</v>
      </c>
      <c r="D593" s="75">
        <f>C593*(1-PARAM!$C$27)*$I$3+(MOD($B593,60)=PARAM!$B$56)*($B593&gt;(60-PARAM!$B$56))*HLOOKUP(($B593+PARAM!$B$56)/12,Loyalty,2)*$F$1*MAX(F592,0)</f>
        <v>16.808053077967756</v>
      </c>
      <c r="E593" s="75">
        <f>PARAM!$C$26+MAX($G$3-CHOOSE(PARAM!$B$44,MAX(0,F592*$F$1),0),0)*RATES!$L569/12+$H$3*(PARAM!$D$51/12)*RATES!$N569/100</f>
        <v>230.41666666666666</v>
      </c>
      <c r="F593" s="16">
        <f t="shared" si="367"/>
        <v>-22085.817149274058</v>
      </c>
      <c r="G593" s="15">
        <f t="shared" si="368"/>
        <v>22.035289406060361</v>
      </c>
      <c r="H593" s="75">
        <f>G593*(1-PARAM!$C$27)*$I$4+(MOD($B593,60)=PARAM!$B$56)*($B593&gt;(60-PARAM!$B$56))*HLOOKUP(($B593+PARAM!$B$56)/12,Loyalty,2)*$F$1*MAX(J592,0)</f>
        <v>18.443537232872522</v>
      </c>
      <c r="I593" s="75">
        <f>PARAM!$C$26+MAX($G$4-CHOOSE(PARAM!$B$44,MAX(0,J592*$F$1),0),0)*RATES!$L569/12+$H$4*(PARAM!$D$51/12)*RATES!$N569/100</f>
        <v>230.41666666666666</v>
      </c>
      <c r="J593" s="16">
        <f t="shared" si="369"/>
        <v>-21126.300153476222</v>
      </c>
      <c r="K593" s="15">
        <f t="shared" si="370"/>
        <v>22.170849845882874</v>
      </c>
      <c r="L593" s="75">
        <f>K593*(1-PARAM!$C$27)*$I$5+(MOD($B593,60)=PARAM!$B$56)*($B593&gt;(60-PARAM!$B$56))*HLOOKUP(($B593+PARAM!$B$56)/12,Loyalty,2)*$F$1*MAX(N592,0)</f>
        <v>18.557001321003963</v>
      </c>
      <c r="M593" s="75">
        <f>PARAM!$C$26+MAX($G$5-CHOOSE(PARAM!$B$44,MAX(0,N592*$F$1),0),0)*RATES!$L569/12+$H$5*(PARAM!$D$51/12)*RATES!$N569/100</f>
        <v>230.41666666666666</v>
      </c>
      <c r="N593" s="16">
        <f t="shared" si="371"/>
        <v>-21059.061943194018</v>
      </c>
      <c r="O593" s="15">
        <f t="shared" si="372"/>
        <v>22.170849845882874</v>
      </c>
      <c r="P593" s="75">
        <f>O593*(1-PARAM!$C$27)*$I$6+(MOD($B593,60)=PARAM!$B$56)*($B593&gt;(60-PARAM!$B$56))*HLOOKUP(($B593+PARAM!$B$56)/12,Loyalty,2)*$F$1*MAX(R592,0)</f>
        <v>18.557001321003963</v>
      </c>
      <c r="Q593" s="75">
        <f>PARAM!$C$26+MAX($G$6-CHOOSE(PARAM!$B$44,MAX(0,R592*$F$1),0),0)*RATES!$L569/12+$H$6*(PARAM!$D$51/12)*RATES!$N569/100</f>
        <v>230.41666666666666</v>
      </c>
      <c r="R593" s="16">
        <f t="shared" si="373"/>
        <v>-21059.061943194018</v>
      </c>
      <c r="S593" s="15">
        <f t="shared" si="348"/>
        <v>22.170849845882874</v>
      </c>
      <c r="T593" s="75">
        <f>S593*(1-PARAM!$C$27)*$I$7+(MOD($B593,60)=PARAM!$B$56)*($B593&gt;(60-PARAM!$B$56))*HLOOKUP(($B593+PARAM!$B$56)/12,Loyalty,2)*$F$1*MAX(V592,0)</f>
        <v>18.557001321003963</v>
      </c>
      <c r="U593" s="75">
        <f>PARAM!$C$26+MAX($G$7-CHOOSE(PARAM!$B$44,MAX(0,V592*$F$1),0),0)*RATES!$L569/12+$H$7*(PARAM!$D$51/12)*RATES!$N569/100</f>
        <v>230.41666666666666</v>
      </c>
      <c r="V593" s="16">
        <f t="shared" si="374"/>
        <v>-21059.061943194018</v>
      </c>
      <c r="W593" s="15">
        <f t="shared" si="349"/>
        <v>22.170849845882874</v>
      </c>
      <c r="X593" s="75">
        <f>W593*(1-PARAM!$C$27)*$I$8+(MOD($B593,60)=PARAM!$B$56)*($B593&gt;(60-PARAM!$B$56))*HLOOKUP(($B593+PARAM!$B$56)/12,Loyalty,2)*$F$1*MAX(Z592,0)</f>
        <v>18.557001321003963</v>
      </c>
      <c r="Y593" s="75">
        <f>PARAM!$C$26+MAX($G$8-CHOOSE(PARAM!$B$44,MAX(0,Z592*$F$1),0),0)*RATES!$L569/12+$H$8*(PARAM!$D$51/12)*RATES!$N569/100</f>
        <v>230.41666666666666</v>
      </c>
      <c r="Z593" s="16">
        <f t="shared" si="375"/>
        <v>-21059.061943194018</v>
      </c>
      <c r="AA593" s="15">
        <f t="shared" si="350"/>
        <v>22.170849845882874</v>
      </c>
      <c r="AB593" s="75">
        <f>AA593*(1-PARAM!$C$27)*$I$9+(MOD($B593,60)=PARAM!$B$56)*($B593&gt;(60-PARAM!$B$56))*HLOOKUP(($B593+PARAM!$B$56)/12,Loyalty,2)*$F$1*MAX(AD592,0)</f>
        <v>18.557001321003963</v>
      </c>
      <c r="AC593" s="75">
        <f>PARAM!$C$26+MAX($G$9-CHOOSE(PARAM!$B$44,MAX(0,AD592*$F$1),0),0)*RATES!$L569/12+$H$9*(PARAM!$D$51/12)*RATES!$N569/100</f>
        <v>230.41666666666666</v>
      </c>
      <c r="AD593" s="16">
        <f t="shared" si="376"/>
        <v>-21059.061943194018</v>
      </c>
      <c r="AE593" s="15">
        <f t="shared" si="351"/>
        <v>22.170849845882874</v>
      </c>
      <c r="AF593" s="75">
        <f>AE593*(1-PARAM!$C$27)*$I$10+(MOD($B593,60)=PARAM!$B$56)*($B593&gt;(60-PARAM!$B$56))*HLOOKUP(($B593+PARAM!$B$56)/12,Loyalty,2)*$F$1*MAX(AH592,0)</f>
        <v>18.557001321003963</v>
      </c>
      <c r="AG593" s="75">
        <f>PARAM!$C$26+MAX($G$10-CHOOSE(PARAM!$B$44,MAX(0,AH592*$F$1),0),0)*RATES!$L569/12+$H$10*(PARAM!$D$51/12)*RATES!$N569/100</f>
        <v>230.41666666666666</v>
      </c>
      <c r="AH593" s="16">
        <f t="shared" si="377"/>
        <v>-21059.061943194018</v>
      </c>
      <c r="AI593" s="15">
        <f t="shared" si="352"/>
        <v>22.170849845882874</v>
      </c>
      <c r="AJ593" s="75">
        <f>AI593*(1-PARAM!$C$27)*$I$11+(MOD($B593,60)=PARAM!$B$56)*($B593&gt;(60-PARAM!$B$56))*HLOOKUP(($B593+PARAM!$B$56)/12,Loyalty,2)*$F$1*MAX(AL592,0)</f>
        <v>18.557001321003963</v>
      </c>
      <c r="AK593" s="75">
        <f>PARAM!$C$26+MAX($G$11-CHOOSE(PARAM!$B$44,MAX(0,AL592*$F$1),0),0)*RATES!$L569/12+$H$11*(PARAM!$D$51/12)*RATES!$N569/100</f>
        <v>230.41666666666666</v>
      </c>
      <c r="AL593" s="16">
        <f t="shared" si="378"/>
        <v>-21059.061943194018</v>
      </c>
      <c r="AM593" s="15">
        <f t="shared" si="353"/>
        <v>22.170849845882874</v>
      </c>
      <c r="AN593" s="75">
        <f>AM593*(1-PARAM!$C$27)*$I$12+(MOD($B593,60)=PARAM!$B$56)*($B593&gt;(60-PARAM!$B$56))*HLOOKUP(($B593+PARAM!$B$56)/12,Loyalty,2)*$F$1*MAX(AP592,0)</f>
        <v>18.557001321003963</v>
      </c>
      <c r="AO593" s="75">
        <f>PARAM!$C$26+MAX($G$12-CHOOSE(PARAM!$B$44,MAX(0,AP592*$F$1),0),0)*RATES!$L569/12+$H$12*(PARAM!$D$51/12)*RATES!$N569/100</f>
        <v>230.41666666666666</v>
      </c>
      <c r="AP593" s="16">
        <f t="shared" si="379"/>
        <v>-21059.061943194018</v>
      </c>
      <c r="AQ593" s="15">
        <f t="shared" si="354"/>
        <v>22.170849845882874</v>
      </c>
      <c r="AR593" s="75">
        <f>AQ593*(1-PARAM!$C$27)*$I$13+(MOD($B593,60)=PARAM!$B$56)*($B593&gt;(60-PARAM!$B$56))*HLOOKUP(($B593+PARAM!$B$56)/12,Loyalty,2)*$F$1*MAX(AT592,0)</f>
        <v>18.557001321003963</v>
      </c>
      <c r="AS593" s="75">
        <f>PARAM!$C$26+MAX($G$13-CHOOSE(PARAM!$B$44,MAX(0,AT592*$F$1),0),0)*RATES!$L569/12+$H$13*(PARAM!$D$51/12)*RATES!$N569/100</f>
        <v>230.41666666666666</v>
      </c>
      <c r="AT593" s="16">
        <f t="shared" si="380"/>
        <v>-21059.061943194018</v>
      </c>
      <c r="AU593" s="15">
        <f t="shared" si="355"/>
        <v>22.170849845882874</v>
      </c>
      <c r="AV593" s="75">
        <f>AU593*(1-PARAM!$C$27)*$I$14+(MOD($B593,60)=PARAM!$B$56)*($B593&gt;(60-PARAM!$B$56))*HLOOKUP(($B593+PARAM!$B$56)/12,Loyalty,2)*$F$1*MAX(AX592,0)</f>
        <v>18.557001321003963</v>
      </c>
      <c r="AW593" s="75">
        <f>PARAM!$C$26+MAX($G$14-CHOOSE(PARAM!$B$44,MAX(0,AX592*$F$1),0),0)*RATES!$L569/12+$H$14*(PARAM!$D$51/12)*RATES!$N569/100</f>
        <v>230.41666666666666</v>
      </c>
      <c r="AX593" s="16">
        <f t="shared" si="381"/>
        <v>-21059.061943194018</v>
      </c>
      <c r="AY593" s="15">
        <f t="shared" si="356"/>
        <v>22.170849845882874</v>
      </c>
      <c r="AZ593" s="75">
        <f>AY593*(1-PARAM!$C$27)*$I$15+(MOD($B593,60)=PARAM!$B$56)*($B593&gt;(60-PARAM!$B$56))*HLOOKUP(($B593+PARAM!$B$56)/12,Loyalty,2)*$F$1*MAX(BB592,0)</f>
        <v>18.557001321003963</v>
      </c>
      <c r="BA593" s="75">
        <f>PARAM!$C$26+MAX($G$15-CHOOSE(PARAM!$B$44,MAX(0,BB592*$F$1),0),0)*RATES!$L569/12+$H$15*(PARAM!$D$51/12)*RATES!$N569/100</f>
        <v>230.41666666666666</v>
      </c>
      <c r="BB593" s="16">
        <f t="shared" si="382"/>
        <v>-21059.061943194018</v>
      </c>
      <c r="BC593" s="15">
        <f t="shared" si="357"/>
        <v>22.170849845882874</v>
      </c>
      <c r="BD593" s="75">
        <f>BC593*(1-PARAM!$C$27)*$I$16+(MOD($B593,60)=PARAM!$B$56)*($B593&gt;(60-PARAM!$B$56))*HLOOKUP(($B593+PARAM!$B$56)/12,Loyalty,2)*$F$1*MAX(BF592,0)</f>
        <v>18.557001321003963</v>
      </c>
      <c r="BE593" s="75">
        <f>PARAM!$C$26+MAX($G$16-CHOOSE(PARAM!$B$44,MAX(0,BF592*$F$1),0),0)*RATES!$L569/12+$H$16*(PARAM!$D$51/12)*RATES!$N569/100</f>
        <v>230.41666666666666</v>
      </c>
      <c r="BF593" s="16">
        <f t="shared" si="383"/>
        <v>-21059.061943194018</v>
      </c>
      <c r="BG593" s="15">
        <f t="shared" si="358"/>
        <v>22.170849845882874</v>
      </c>
      <c r="BH593" s="75">
        <f>BG593*(1-PARAM!$C$27)*$I$17+(MOD($B593,60)=PARAM!$B$56)*($B593&gt;(60-PARAM!$B$56))*HLOOKUP(($B593+PARAM!$B$56)/12,Loyalty,2)*$F$1*MAX(BJ592,0)</f>
        <v>18.557001321003963</v>
      </c>
      <c r="BI593" s="75">
        <f>PARAM!$C$26+MAX($G$17-CHOOSE(PARAM!$B$44,MAX(0,BJ592*$F$1),0),0)*RATES!$L569/12+$H$17*(PARAM!$D$51/12)*RATES!$N569/100</f>
        <v>230.41666666666666</v>
      </c>
      <c r="BJ593" s="16">
        <f t="shared" si="384"/>
        <v>-21059.061943194018</v>
      </c>
      <c r="BK593" s="15">
        <f t="shared" si="359"/>
        <v>22.170849845882874</v>
      </c>
      <c r="BL593" s="75">
        <f>BK593*(1-PARAM!$C$27)*$I$18+(MOD($B593,60)=PARAM!$B$56)*($B593&gt;(60-PARAM!$B$56))*HLOOKUP(($B593+PARAM!$B$56)/12,Loyalty,2)*$F$1*MAX(BN592,0)</f>
        <v>18.557001321003963</v>
      </c>
      <c r="BM593" s="75">
        <f>PARAM!$C$26+MAX($G$18-CHOOSE(PARAM!$B$44,MAX(0,BN592*$F$1),0),0)*RATES!$L569/12+$H$18*(PARAM!$D$51/12)*RATES!$N569/100</f>
        <v>230.41666666666666</v>
      </c>
      <c r="BN593" s="16">
        <f t="shared" si="385"/>
        <v>-21059.061943194018</v>
      </c>
      <c r="BO593" s="15">
        <f t="shared" si="360"/>
        <v>22.170849845882874</v>
      </c>
      <c r="BP593" s="75">
        <f>BO593*(1-PARAM!$C$27)*$I$19+(MOD($B593,60)=PARAM!$B$56)*($B593&gt;(60-PARAM!$B$56))*HLOOKUP(($B593+PARAM!$B$56)/12,Loyalty,2)*$F$1*MAX(BR592,0)</f>
        <v>18.557001321003963</v>
      </c>
      <c r="BQ593" s="75">
        <f>PARAM!$C$26+MAX($G$19-CHOOSE(PARAM!$B$44,MAX(0,BR592*$F$1),0),0)*RATES!$L569/12+$H$19*(PARAM!$D$51/12)*RATES!$N569/100</f>
        <v>230.41666666666666</v>
      </c>
      <c r="BR593" s="16">
        <f t="shared" si="386"/>
        <v>-21059.061943194018</v>
      </c>
      <c r="BS593" s="15">
        <f t="shared" si="361"/>
        <v>22.170849845882874</v>
      </c>
      <c r="BT593" s="75">
        <f>BS593*(1-PARAM!$C$27)*$I$20+(MOD($B593,60)=PARAM!$B$56)*($B593&gt;(60-PARAM!$B$56))*HLOOKUP(($B593+PARAM!$B$56)/12,Loyalty,2)*$F$1*MAX(BV592,0)</f>
        <v>18.557001321003963</v>
      </c>
      <c r="BU593" s="75">
        <f>PARAM!$C$26+MAX($G$20-CHOOSE(PARAM!$B$44,MAX(0,BV592*$F$1),0),0)*RATES!$L569/12+$H$20*(PARAM!$D$51/12)*RATES!$N569/100</f>
        <v>230.41666666666666</v>
      </c>
      <c r="BV593" s="16">
        <f t="shared" si="387"/>
        <v>-21059.061943194018</v>
      </c>
      <c r="BW593" s="15">
        <f t="shared" si="362"/>
        <v>22.170849845882874</v>
      </c>
      <c r="BX593" s="75">
        <f>BW593*(1-PARAM!$C$27)*$I$21+(MOD($B593,60)=PARAM!$B$56)*($B593&gt;(60-PARAM!$B$56))*HLOOKUP(($B593+PARAM!$B$56)/12,Loyalty,2)*$F$1*MAX(BZ592,0)</f>
        <v>18.557001321003963</v>
      </c>
      <c r="BY593" s="75">
        <f>PARAM!$C$26+MAX($G$21-CHOOSE(PARAM!$B$44,MAX(0,BZ592*$F$1),0),0)*RATES!$L569/12+$H$21*(PARAM!$D$51/12)*RATES!$N569/100</f>
        <v>230.41666666666666</v>
      </c>
      <c r="BZ593" s="16">
        <f t="shared" si="388"/>
        <v>-21059.061943194018</v>
      </c>
      <c r="CA593" s="15">
        <f t="shared" si="363"/>
        <v>22.170849845882874</v>
      </c>
      <c r="CB593" s="75">
        <f>CA593*(1-PARAM!$C$27)*$I$22+(MOD($B593,60)=PARAM!$B$56)*($B593&gt;(60-PARAM!$B$56))*HLOOKUP(($B593+PARAM!$B$56)/12,Loyalty,2)*$F$1*MAX(CD592,0)</f>
        <v>18.557001321003963</v>
      </c>
      <c r="CC593" s="75">
        <f>PARAM!$C$26+MAX($G$22-CHOOSE(PARAM!$B$44,MAX(0,CD592*$F$1),0),0)*RATES!$L569/12+$H$22*(PARAM!$D$51/12)*RATES!$N569/100</f>
        <v>230.41666666666666</v>
      </c>
      <c r="CD593" s="16">
        <f t="shared" si="389"/>
        <v>-21059.061943194018</v>
      </c>
      <c r="CE593" s="33">
        <f>IF(0=MOD(B593,12/PARAM!$D$51),1,0)</f>
        <v>1</v>
      </c>
      <c r="CF593" s="15">
        <f t="shared" si="364"/>
        <v>0</v>
      </c>
      <c r="CG593" s="75">
        <f>CF593*(1-PARAM!$C$27)*$R$3+(MOD($B593/12,5)=0)*($B593&gt;60)*HLOOKUP($B593/12,Loyalty,2)*$F$1*MAX(CI592,0)</f>
        <v>0</v>
      </c>
      <c r="CH593" s="75">
        <f>PARAM!$C$26+MAX($P$3-CHOOSE(PARAM!$B$44,MAX(0,CI592*$F$1),0),0)*RATES!$L569/12+$Q$3*(PARAM!$D$51/12)*RATES!$N569/100</f>
        <v>230.41666666666666</v>
      </c>
      <c r="CI593" s="16">
        <f>IF(CI592&gt;0,CI592*PARAM!$C$53,CI592)+CG593-CH593</f>
        <v>-31442.750000000007</v>
      </c>
      <c r="CJ593" s="15">
        <f t="shared" si="390"/>
        <v>0</v>
      </c>
      <c r="CK593" s="75">
        <f>CJ593*(1-PARAM!$C$27)*$R$4+(MOD($B593/12,5)=0)*($B593&gt;60)*HLOOKUP($B593/12,Loyalty,2)*$F$1*MAX(CM592,0)</f>
        <v>0</v>
      </c>
      <c r="CL593" s="75">
        <f>PARAM!$C$26+MAX($P$4-CHOOSE(PARAM!$B$44,MAX(0,CM592*$F$1),0),0)*RATES!$L569/12+$Q$4*(PARAM!$D$51/12)*RATES!$N569/100</f>
        <v>230.41666666666666</v>
      </c>
      <c r="CM593" s="16">
        <f>IF(CM592&gt;0,CM592*PARAM!$C$53,CM592)+CK593-CL593</f>
        <v>-31442.750000000007</v>
      </c>
      <c r="CO593" s="176"/>
    </row>
    <row r="594" spans="1:93" x14ac:dyDescent="0.2">
      <c r="A594" t="b">
        <f t="shared" si="365"/>
        <v>0</v>
      </c>
      <c r="B594" s="33">
        <v>567</v>
      </c>
      <c r="C594" s="15">
        <f t="shared" si="366"/>
        <v>20.081305947392778</v>
      </c>
      <c r="D594" s="75">
        <f>C594*(1-PARAM!$C$27)*$I$3+(MOD($B594,60)=PARAM!$B$56)*($B594&gt;(60-PARAM!$B$56))*HLOOKUP(($B594+PARAM!$B$56)/12,Loyalty,2)*$F$1*MAX(F593,0)</f>
        <v>16.808053077967756</v>
      </c>
      <c r="E594" s="75">
        <f>PARAM!$C$26+MAX($G$3-CHOOSE(PARAM!$B$44,MAX(0,F593*$F$1),0),0)*RATES!$L570/12+$H$3*(PARAM!$D$51/12)*RATES!$N570/100</f>
        <v>230.41666666666666</v>
      </c>
      <c r="F594" s="16">
        <f t="shared" si="367"/>
        <v>-22299.42576286276</v>
      </c>
      <c r="G594" s="15">
        <f t="shared" si="368"/>
        <v>22.035289406060361</v>
      </c>
      <c r="H594" s="75">
        <f>G594*(1-PARAM!$C$27)*$I$4+(MOD($B594,60)=PARAM!$B$56)*($B594&gt;(60-PARAM!$B$56))*HLOOKUP(($B594+PARAM!$B$56)/12,Loyalty,2)*$F$1*MAX(J593,0)</f>
        <v>18.443537232872522</v>
      </c>
      <c r="I594" s="75">
        <f>PARAM!$C$26+MAX($G$4-CHOOSE(PARAM!$B$44,MAX(0,J593*$F$1),0),0)*RATES!$L570/12+$H$4*(PARAM!$D$51/12)*RATES!$N570/100</f>
        <v>230.41666666666666</v>
      </c>
      <c r="J594" s="16">
        <f t="shared" si="369"/>
        <v>-21338.273282910017</v>
      </c>
      <c r="K594" s="15">
        <f t="shared" si="370"/>
        <v>22.170849845882874</v>
      </c>
      <c r="L594" s="75">
        <f>K594*(1-PARAM!$C$27)*$I$5+(MOD($B594,60)=PARAM!$B$56)*($B594&gt;(60-PARAM!$B$56))*HLOOKUP(($B594+PARAM!$B$56)/12,Loyalty,2)*$F$1*MAX(N593,0)</f>
        <v>18.557001321003963</v>
      </c>
      <c r="M594" s="75">
        <f>PARAM!$C$26+MAX($G$5-CHOOSE(PARAM!$B$44,MAX(0,N593*$F$1),0),0)*RATES!$L570/12+$H$5*(PARAM!$D$51/12)*RATES!$N570/100</f>
        <v>230.41666666666666</v>
      </c>
      <c r="N594" s="16">
        <f t="shared" si="371"/>
        <v>-21270.92160853968</v>
      </c>
      <c r="O594" s="15">
        <f t="shared" si="372"/>
        <v>22.170849845882874</v>
      </c>
      <c r="P594" s="75">
        <f>O594*(1-PARAM!$C$27)*$I$6+(MOD($B594,60)=PARAM!$B$56)*($B594&gt;(60-PARAM!$B$56))*HLOOKUP(($B594+PARAM!$B$56)/12,Loyalty,2)*$F$1*MAX(R593,0)</f>
        <v>18.557001321003963</v>
      </c>
      <c r="Q594" s="75">
        <f>PARAM!$C$26+MAX($G$6-CHOOSE(PARAM!$B$44,MAX(0,R593*$F$1),0),0)*RATES!$L570/12+$H$6*(PARAM!$D$51/12)*RATES!$N570/100</f>
        <v>230.41666666666666</v>
      </c>
      <c r="R594" s="16">
        <f t="shared" si="373"/>
        <v>-21270.92160853968</v>
      </c>
      <c r="S594" s="15">
        <f t="shared" si="348"/>
        <v>22.170849845882874</v>
      </c>
      <c r="T594" s="75">
        <f>S594*(1-PARAM!$C$27)*$I$7+(MOD($B594,60)=PARAM!$B$56)*($B594&gt;(60-PARAM!$B$56))*HLOOKUP(($B594+PARAM!$B$56)/12,Loyalty,2)*$F$1*MAX(V593,0)</f>
        <v>18.557001321003963</v>
      </c>
      <c r="U594" s="75">
        <f>PARAM!$C$26+MAX($G$7-CHOOSE(PARAM!$B$44,MAX(0,V593*$F$1),0),0)*RATES!$L570/12+$H$7*(PARAM!$D$51/12)*RATES!$N570/100</f>
        <v>230.41666666666666</v>
      </c>
      <c r="V594" s="16">
        <f t="shared" si="374"/>
        <v>-21270.92160853968</v>
      </c>
      <c r="W594" s="15">
        <f t="shared" si="349"/>
        <v>22.170849845882874</v>
      </c>
      <c r="X594" s="75">
        <f>W594*(1-PARAM!$C$27)*$I$8+(MOD($B594,60)=PARAM!$B$56)*($B594&gt;(60-PARAM!$B$56))*HLOOKUP(($B594+PARAM!$B$56)/12,Loyalty,2)*$F$1*MAX(Z593,0)</f>
        <v>18.557001321003963</v>
      </c>
      <c r="Y594" s="75">
        <f>PARAM!$C$26+MAX($G$8-CHOOSE(PARAM!$B$44,MAX(0,Z593*$F$1),0),0)*RATES!$L570/12+$H$8*(PARAM!$D$51/12)*RATES!$N570/100</f>
        <v>230.41666666666666</v>
      </c>
      <c r="Z594" s="16">
        <f t="shared" si="375"/>
        <v>-21270.92160853968</v>
      </c>
      <c r="AA594" s="15">
        <f t="shared" si="350"/>
        <v>22.170849845882874</v>
      </c>
      <c r="AB594" s="75">
        <f>AA594*(1-PARAM!$C$27)*$I$9+(MOD($B594,60)=PARAM!$B$56)*($B594&gt;(60-PARAM!$B$56))*HLOOKUP(($B594+PARAM!$B$56)/12,Loyalty,2)*$F$1*MAX(AD593,0)</f>
        <v>18.557001321003963</v>
      </c>
      <c r="AC594" s="75">
        <f>PARAM!$C$26+MAX($G$9-CHOOSE(PARAM!$B$44,MAX(0,AD593*$F$1),0),0)*RATES!$L570/12+$H$9*(PARAM!$D$51/12)*RATES!$N570/100</f>
        <v>230.41666666666666</v>
      </c>
      <c r="AD594" s="16">
        <f t="shared" si="376"/>
        <v>-21270.92160853968</v>
      </c>
      <c r="AE594" s="15">
        <f t="shared" si="351"/>
        <v>22.170849845882874</v>
      </c>
      <c r="AF594" s="75">
        <f>AE594*(1-PARAM!$C$27)*$I$10+(MOD($B594,60)=PARAM!$B$56)*($B594&gt;(60-PARAM!$B$56))*HLOOKUP(($B594+PARAM!$B$56)/12,Loyalty,2)*$F$1*MAX(AH593,0)</f>
        <v>18.557001321003963</v>
      </c>
      <c r="AG594" s="75">
        <f>PARAM!$C$26+MAX($G$10-CHOOSE(PARAM!$B$44,MAX(0,AH593*$F$1),0),0)*RATES!$L570/12+$H$10*(PARAM!$D$51/12)*RATES!$N570/100</f>
        <v>230.41666666666666</v>
      </c>
      <c r="AH594" s="16">
        <f t="shared" si="377"/>
        <v>-21270.92160853968</v>
      </c>
      <c r="AI594" s="15">
        <f t="shared" si="352"/>
        <v>22.170849845882874</v>
      </c>
      <c r="AJ594" s="75">
        <f>AI594*(1-PARAM!$C$27)*$I$11+(MOD($B594,60)=PARAM!$B$56)*($B594&gt;(60-PARAM!$B$56))*HLOOKUP(($B594+PARAM!$B$56)/12,Loyalty,2)*$F$1*MAX(AL593,0)</f>
        <v>18.557001321003963</v>
      </c>
      <c r="AK594" s="75">
        <f>PARAM!$C$26+MAX($G$11-CHOOSE(PARAM!$B$44,MAX(0,AL593*$F$1),0),0)*RATES!$L570/12+$H$11*(PARAM!$D$51/12)*RATES!$N570/100</f>
        <v>230.41666666666666</v>
      </c>
      <c r="AL594" s="16">
        <f t="shared" si="378"/>
        <v>-21270.92160853968</v>
      </c>
      <c r="AM594" s="15">
        <f t="shared" si="353"/>
        <v>22.170849845882874</v>
      </c>
      <c r="AN594" s="75">
        <f>AM594*(1-PARAM!$C$27)*$I$12+(MOD($B594,60)=PARAM!$B$56)*($B594&gt;(60-PARAM!$B$56))*HLOOKUP(($B594+PARAM!$B$56)/12,Loyalty,2)*$F$1*MAX(AP593,0)</f>
        <v>18.557001321003963</v>
      </c>
      <c r="AO594" s="75">
        <f>PARAM!$C$26+MAX($G$12-CHOOSE(PARAM!$B$44,MAX(0,AP593*$F$1),0),0)*RATES!$L570/12+$H$12*(PARAM!$D$51/12)*RATES!$N570/100</f>
        <v>230.41666666666666</v>
      </c>
      <c r="AP594" s="16">
        <f t="shared" si="379"/>
        <v>-21270.92160853968</v>
      </c>
      <c r="AQ594" s="15">
        <f t="shared" si="354"/>
        <v>22.170849845882874</v>
      </c>
      <c r="AR594" s="75">
        <f>AQ594*(1-PARAM!$C$27)*$I$13+(MOD($B594,60)=PARAM!$B$56)*($B594&gt;(60-PARAM!$B$56))*HLOOKUP(($B594+PARAM!$B$56)/12,Loyalty,2)*$F$1*MAX(AT593,0)</f>
        <v>18.557001321003963</v>
      </c>
      <c r="AS594" s="75">
        <f>PARAM!$C$26+MAX($G$13-CHOOSE(PARAM!$B$44,MAX(0,AT593*$F$1),0),0)*RATES!$L570/12+$H$13*(PARAM!$D$51/12)*RATES!$N570/100</f>
        <v>230.41666666666666</v>
      </c>
      <c r="AT594" s="16">
        <f t="shared" si="380"/>
        <v>-21270.92160853968</v>
      </c>
      <c r="AU594" s="15">
        <f t="shared" si="355"/>
        <v>22.170849845882874</v>
      </c>
      <c r="AV594" s="75">
        <f>AU594*(1-PARAM!$C$27)*$I$14+(MOD($B594,60)=PARAM!$B$56)*($B594&gt;(60-PARAM!$B$56))*HLOOKUP(($B594+PARAM!$B$56)/12,Loyalty,2)*$F$1*MAX(AX593,0)</f>
        <v>18.557001321003963</v>
      </c>
      <c r="AW594" s="75">
        <f>PARAM!$C$26+MAX($G$14-CHOOSE(PARAM!$B$44,MAX(0,AX593*$F$1),0),0)*RATES!$L570/12+$H$14*(PARAM!$D$51/12)*RATES!$N570/100</f>
        <v>230.41666666666666</v>
      </c>
      <c r="AX594" s="16">
        <f t="shared" si="381"/>
        <v>-21270.92160853968</v>
      </c>
      <c r="AY594" s="15">
        <f t="shared" si="356"/>
        <v>22.170849845882874</v>
      </c>
      <c r="AZ594" s="75">
        <f>AY594*(1-PARAM!$C$27)*$I$15+(MOD($B594,60)=PARAM!$B$56)*($B594&gt;(60-PARAM!$B$56))*HLOOKUP(($B594+PARAM!$B$56)/12,Loyalty,2)*$F$1*MAX(BB593,0)</f>
        <v>18.557001321003963</v>
      </c>
      <c r="BA594" s="75">
        <f>PARAM!$C$26+MAX($G$15-CHOOSE(PARAM!$B$44,MAX(0,BB593*$F$1),0),0)*RATES!$L570/12+$H$15*(PARAM!$D$51/12)*RATES!$N570/100</f>
        <v>230.41666666666666</v>
      </c>
      <c r="BB594" s="16">
        <f t="shared" si="382"/>
        <v>-21270.92160853968</v>
      </c>
      <c r="BC594" s="15">
        <f t="shared" si="357"/>
        <v>22.170849845882874</v>
      </c>
      <c r="BD594" s="75">
        <f>BC594*(1-PARAM!$C$27)*$I$16+(MOD($B594,60)=PARAM!$B$56)*($B594&gt;(60-PARAM!$B$56))*HLOOKUP(($B594+PARAM!$B$56)/12,Loyalty,2)*$F$1*MAX(BF593,0)</f>
        <v>18.557001321003963</v>
      </c>
      <c r="BE594" s="75">
        <f>PARAM!$C$26+MAX($G$16-CHOOSE(PARAM!$B$44,MAX(0,BF593*$F$1),0),0)*RATES!$L570/12+$H$16*(PARAM!$D$51/12)*RATES!$N570/100</f>
        <v>230.41666666666666</v>
      </c>
      <c r="BF594" s="16">
        <f t="shared" si="383"/>
        <v>-21270.92160853968</v>
      </c>
      <c r="BG594" s="15">
        <f t="shared" si="358"/>
        <v>22.170849845882874</v>
      </c>
      <c r="BH594" s="75">
        <f>BG594*(1-PARAM!$C$27)*$I$17+(MOD($B594,60)=PARAM!$B$56)*($B594&gt;(60-PARAM!$B$56))*HLOOKUP(($B594+PARAM!$B$56)/12,Loyalty,2)*$F$1*MAX(BJ593,0)</f>
        <v>18.557001321003963</v>
      </c>
      <c r="BI594" s="75">
        <f>PARAM!$C$26+MAX($G$17-CHOOSE(PARAM!$B$44,MAX(0,BJ593*$F$1),0),0)*RATES!$L570/12+$H$17*(PARAM!$D$51/12)*RATES!$N570/100</f>
        <v>230.41666666666666</v>
      </c>
      <c r="BJ594" s="16">
        <f t="shared" si="384"/>
        <v>-21270.92160853968</v>
      </c>
      <c r="BK594" s="15">
        <f t="shared" si="359"/>
        <v>22.170849845882874</v>
      </c>
      <c r="BL594" s="75">
        <f>BK594*(1-PARAM!$C$27)*$I$18+(MOD($B594,60)=PARAM!$B$56)*($B594&gt;(60-PARAM!$B$56))*HLOOKUP(($B594+PARAM!$B$56)/12,Loyalty,2)*$F$1*MAX(BN593,0)</f>
        <v>18.557001321003963</v>
      </c>
      <c r="BM594" s="75">
        <f>PARAM!$C$26+MAX($G$18-CHOOSE(PARAM!$B$44,MAX(0,BN593*$F$1),0),0)*RATES!$L570/12+$H$18*(PARAM!$D$51/12)*RATES!$N570/100</f>
        <v>230.41666666666666</v>
      </c>
      <c r="BN594" s="16">
        <f t="shared" si="385"/>
        <v>-21270.92160853968</v>
      </c>
      <c r="BO594" s="15">
        <f t="shared" si="360"/>
        <v>22.170849845882874</v>
      </c>
      <c r="BP594" s="75">
        <f>BO594*(1-PARAM!$C$27)*$I$19+(MOD($B594,60)=PARAM!$B$56)*($B594&gt;(60-PARAM!$B$56))*HLOOKUP(($B594+PARAM!$B$56)/12,Loyalty,2)*$F$1*MAX(BR593,0)</f>
        <v>18.557001321003963</v>
      </c>
      <c r="BQ594" s="75">
        <f>PARAM!$C$26+MAX($G$19-CHOOSE(PARAM!$B$44,MAX(0,BR593*$F$1),0),0)*RATES!$L570/12+$H$19*(PARAM!$D$51/12)*RATES!$N570/100</f>
        <v>230.41666666666666</v>
      </c>
      <c r="BR594" s="16">
        <f t="shared" si="386"/>
        <v>-21270.92160853968</v>
      </c>
      <c r="BS594" s="15">
        <f t="shared" si="361"/>
        <v>22.170849845882874</v>
      </c>
      <c r="BT594" s="75">
        <f>BS594*(1-PARAM!$C$27)*$I$20+(MOD($B594,60)=PARAM!$B$56)*($B594&gt;(60-PARAM!$B$56))*HLOOKUP(($B594+PARAM!$B$56)/12,Loyalty,2)*$F$1*MAX(BV593,0)</f>
        <v>18.557001321003963</v>
      </c>
      <c r="BU594" s="75">
        <f>PARAM!$C$26+MAX($G$20-CHOOSE(PARAM!$B$44,MAX(0,BV593*$F$1),0),0)*RATES!$L570/12+$H$20*(PARAM!$D$51/12)*RATES!$N570/100</f>
        <v>230.41666666666666</v>
      </c>
      <c r="BV594" s="16">
        <f t="shared" si="387"/>
        <v>-21270.92160853968</v>
      </c>
      <c r="BW594" s="15">
        <f t="shared" si="362"/>
        <v>22.170849845882874</v>
      </c>
      <c r="BX594" s="75">
        <f>BW594*(1-PARAM!$C$27)*$I$21+(MOD($B594,60)=PARAM!$B$56)*($B594&gt;(60-PARAM!$B$56))*HLOOKUP(($B594+PARAM!$B$56)/12,Loyalty,2)*$F$1*MAX(BZ593,0)</f>
        <v>18.557001321003963</v>
      </c>
      <c r="BY594" s="75">
        <f>PARAM!$C$26+MAX($G$21-CHOOSE(PARAM!$B$44,MAX(0,BZ593*$F$1),0),0)*RATES!$L570/12+$H$21*(PARAM!$D$51/12)*RATES!$N570/100</f>
        <v>230.41666666666666</v>
      </c>
      <c r="BZ594" s="16">
        <f t="shared" si="388"/>
        <v>-21270.92160853968</v>
      </c>
      <c r="CA594" s="15">
        <f t="shared" si="363"/>
        <v>22.170849845882874</v>
      </c>
      <c r="CB594" s="75">
        <f>CA594*(1-PARAM!$C$27)*$I$22+(MOD($B594,60)=PARAM!$B$56)*($B594&gt;(60-PARAM!$B$56))*HLOOKUP(($B594+PARAM!$B$56)/12,Loyalty,2)*$F$1*MAX(CD593,0)</f>
        <v>18.557001321003963</v>
      </c>
      <c r="CC594" s="75">
        <f>PARAM!$C$26+MAX($G$22-CHOOSE(PARAM!$B$44,MAX(0,CD593*$F$1),0),0)*RATES!$L570/12+$H$22*(PARAM!$D$51/12)*RATES!$N570/100</f>
        <v>230.41666666666666</v>
      </c>
      <c r="CD594" s="16">
        <f t="shared" si="389"/>
        <v>-21270.92160853968</v>
      </c>
      <c r="CE594" s="33">
        <f>IF(0=MOD(B594,12/PARAM!$D$51),1,0)</f>
        <v>1</v>
      </c>
      <c r="CF594" s="15">
        <f t="shared" si="364"/>
        <v>0</v>
      </c>
      <c r="CG594" s="75">
        <f>CF594*(1-PARAM!$C$27)*$R$3+(MOD($B594/12,5)=0)*($B594&gt;60)*HLOOKUP($B594/12,Loyalty,2)*$F$1*MAX(CI593,0)</f>
        <v>0</v>
      </c>
      <c r="CH594" s="75">
        <f>PARAM!$C$26+MAX($P$3-CHOOSE(PARAM!$B$44,MAX(0,CI593*$F$1),0),0)*RATES!$L570/12+$Q$3*(PARAM!$D$51/12)*RATES!$N570/100</f>
        <v>230.41666666666666</v>
      </c>
      <c r="CI594" s="16">
        <f>IF(CI593&gt;0,CI593*PARAM!$C$53,CI593)+CG594-CH594</f>
        <v>-31673.166666666675</v>
      </c>
      <c r="CJ594" s="15">
        <f t="shared" si="390"/>
        <v>0</v>
      </c>
      <c r="CK594" s="75">
        <f>CJ594*(1-PARAM!$C$27)*$R$4+(MOD($B594/12,5)=0)*($B594&gt;60)*HLOOKUP($B594/12,Loyalty,2)*$F$1*MAX(CM593,0)</f>
        <v>0</v>
      </c>
      <c r="CL594" s="75">
        <f>PARAM!$C$26+MAX($P$4-CHOOSE(PARAM!$B$44,MAX(0,CM593*$F$1),0),0)*RATES!$L570/12+$Q$4*(PARAM!$D$51/12)*RATES!$N570/100</f>
        <v>230.41666666666666</v>
      </c>
      <c r="CM594" s="16">
        <f>IF(CM593&gt;0,CM593*PARAM!$C$53,CM593)+CK594-CL594</f>
        <v>-31673.166666666675</v>
      </c>
      <c r="CO594" s="176"/>
    </row>
    <row r="595" spans="1:93" x14ac:dyDescent="0.2">
      <c r="A595" t="b">
        <f t="shared" si="365"/>
        <v>0</v>
      </c>
      <c r="B595" s="33">
        <v>568</v>
      </c>
      <c r="C595" s="15">
        <f t="shared" si="366"/>
        <v>20.081305947392778</v>
      </c>
      <c r="D595" s="75">
        <f>C595*(1-PARAM!$C$27)*$I$3+(MOD($B595,60)=PARAM!$B$56)*($B595&gt;(60-PARAM!$B$56))*HLOOKUP(($B595+PARAM!$B$56)/12,Loyalty,2)*$F$1*MAX(F594,0)</f>
        <v>16.808053077967756</v>
      </c>
      <c r="E595" s="75">
        <f>PARAM!$C$26+MAX($G$3-CHOOSE(PARAM!$B$44,MAX(0,F594*$F$1),0),0)*RATES!$L571/12+$H$3*(PARAM!$D$51/12)*RATES!$N571/100</f>
        <v>230.41666666666666</v>
      </c>
      <c r="F595" s="16">
        <f t="shared" si="367"/>
        <v>-22513.034376451462</v>
      </c>
      <c r="G595" s="15">
        <f t="shared" si="368"/>
        <v>22.035289406060361</v>
      </c>
      <c r="H595" s="75">
        <f>G595*(1-PARAM!$C$27)*$I$4+(MOD($B595,60)=PARAM!$B$56)*($B595&gt;(60-PARAM!$B$56))*HLOOKUP(($B595+PARAM!$B$56)/12,Loyalty,2)*$F$1*MAX(J594,0)</f>
        <v>18.443537232872522</v>
      </c>
      <c r="I595" s="75">
        <f>PARAM!$C$26+MAX($G$4-CHOOSE(PARAM!$B$44,MAX(0,J594*$F$1),0),0)*RATES!$L571/12+$H$4*(PARAM!$D$51/12)*RATES!$N571/100</f>
        <v>230.41666666666666</v>
      </c>
      <c r="J595" s="16">
        <f t="shared" si="369"/>
        <v>-21550.246412343811</v>
      </c>
      <c r="K595" s="15">
        <f t="shared" si="370"/>
        <v>22.170849845882874</v>
      </c>
      <c r="L595" s="75">
        <f>K595*(1-PARAM!$C$27)*$I$5+(MOD($B595,60)=PARAM!$B$56)*($B595&gt;(60-PARAM!$B$56))*HLOOKUP(($B595+PARAM!$B$56)/12,Loyalty,2)*$F$1*MAX(N594,0)</f>
        <v>18.557001321003963</v>
      </c>
      <c r="M595" s="75">
        <f>PARAM!$C$26+MAX($G$5-CHOOSE(PARAM!$B$44,MAX(0,N594*$F$1),0),0)*RATES!$L571/12+$H$5*(PARAM!$D$51/12)*RATES!$N571/100</f>
        <v>230.41666666666666</v>
      </c>
      <c r="N595" s="16">
        <f t="shared" si="371"/>
        <v>-21482.781273885343</v>
      </c>
      <c r="O595" s="15">
        <f t="shared" si="372"/>
        <v>22.170849845882874</v>
      </c>
      <c r="P595" s="75">
        <f>O595*(1-PARAM!$C$27)*$I$6+(MOD($B595,60)=PARAM!$B$56)*($B595&gt;(60-PARAM!$B$56))*HLOOKUP(($B595+PARAM!$B$56)/12,Loyalty,2)*$F$1*MAX(R594,0)</f>
        <v>18.557001321003963</v>
      </c>
      <c r="Q595" s="75">
        <f>PARAM!$C$26+MAX($G$6-CHOOSE(PARAM!$B$44,MAX(0,R594*$F$1),0),0)*RATES!$L571/12+$H$6*(PARAM!$D$51/12)*RATES!$N571/100</f>
        <v>230.41666666666666</v>
      </c>
      <c r="R595" s="16">
        <f t="shared" si="373"/>
        <v>-21482.781273885343</v>
      </c>
      <c r="S595" s="15">
        <f t="shared" si="348"/>
        <v>22.170849845882874</v>
      </c>
      <c r="T595" s="75">
        <f>S595*(1-PARAM!$C$27)*$I$7+(MOD($B595,60)=PARAM!$B$56)*($B595&gt;(60-PARAM!$B$56))*HLOOKUP(($B595+PARAM!$B$56)/12,Loyalty,2)*$F$1*MAX(V594,0)</f>
        <v>18.557001321003963</v>
      </c>
      <c r="U595" s="75">
        <f>PARAM!$C$26+MAX($G$7-CHOOSE(PARAM!$B$44,MAX(0,V594*$F$1),0),0)*RATES!$L571/12+$H$7*(PARAM!$D$51/12)*RATES!$N571/100</f>
        <v>230.41666666666666</v>
      </c>
      <c r="V595" s="16">
        <f t="shared" si="374"/>
        <v>-21482.781273885343</v>
      </c>
      <c r="W595" s="15">
        <f t="shared" si="349"/>
        <v>22.170849845882874</v>
      </c>
      <c r="X595" s="75">
        <f>W595*(1-PARAM!$C$27)*$I$8+(MOD($B595,60)=PARAM!$B$56)*($B595&gt;(60-PARAM!$B$56))*HLOOKUP(($B595+PARAM!$B$56)/12,Loyalty,2)*$F$1*MAX(Z594,0)</f>
        <v>18.557001321003963</v>
      </c>
      <c r="Y595" s="75">
        <f>PARAM!$C$26+MAX($G$8-CHOOSE(PARAM!$B$44,MAX(0,Z594*$F$1),0),0)*RATES!$L571/12+$H$8*(PARAM!$D$51/12)*RATES!$N571/100</f>
        <v>230.41666666666666</v>
      </c>
      <c r="Z595" s="16">
        <f t="shared" si="375"/>
        <v>-21482.781273885343</v>
      </c>
      <c r="AA595" s="15">
        <f t="shared" si="350"/>
        <v>22.170849845882874</v>
      </c>
      <c r="AB595" s="75">
        <f>AA595*(1-PARAM!$C$27)*$I$9+(MOD($B595,60)=PARAM!$B$56)*($B595&gt;(60-PARAM!$B$56))*HLOOKUP(($B595+PARAM!$B$56)/12,Loyalty,2)*$F$1*MAX(AD594,0)</f>
        <v>18.557001321003963</v>
      </c>
      <c r="AC595" s="75">
        <f>PARAM!$C$26+MAX($G$9-CHOOSE(PARAM!$B$44,MAX(0,AD594*$F$1),0),0)*RATES!$L571/12+$H$9*(PARAM!$D$51/12)*RATES!$N571/100</f>
        <v>230.41666666666666</v>
      </c>
      <c r="AD595" s="16">
        <f t="shared" si="376"/>
        <v>-21482.781273885343</v>
      </c>
      <c r="AE595" s="15">
        <f t="shared" si="351"/>
        <v>22.170849845882874</v>
      </c>
      <c r="AF595" s="75">
        <f>AE595*(1-PARAM!$C$27)*$I$10+(MOD($B595,60)=PARAM!$B$56)*($B595&gt;(60-PARAM!$B$56))*HLOOKUP(($B595+PARAM!$B$56)/12,Loyalty,2)*$F$1*MAX(AH594,0)</f>
        <v>18.557001321003963</v>
      </c>
      <c r="AG595" s="75">
        <f>PARAM!$C$26+MAX($G$10-CHOOSE(PARAM!$B$44,MAX(0,AH594*$F$1),0),0)*RATES!$L571/12+$H$10*(PARAM!$D$51/12)*RATES!$N571/100</f>
        <v>230.41666666666666</v>
      </c>
      <c r="AH595" s="16">
        <f t="shared" si="377"/>
        <v>-21482.781273885343</v>
      </c>
      <c r="AI595" s="15">
        <f t="shared" si="352"/>
        <v>22.170849845882874</v>
      </c>
      <c r="AJ595" s="75">
        <f>AI595*(1-PARAM!$C$27)*$I$11+(MOD($B595,60)=PARAM!$B$56)*($B595&gt;(60-PARAM!$B$56))*HLOOKUP(($B595+PARAM!$B$56)/12,Loyalty,2)*$F$1*MAX(AL594,0)</f>
        <v>18.557001321003963</v>
      </c>
      <c r="AK595" s="75">
        <f>PARAM!$C$26+MAX($G$11-CHOOSE(PARAM!$B$44,MAX(0,AL594*$F$1),0),0)*RATES!$L571/12+$H$11*(PARAM!$D$51/12)*RATES!$N571/100</f>
        <v>230.41666666666666</v>
      </c>
      <c r="AL595" s="16">
        <f t="shared" si="378"/>
        <v>-21482.781273885343</v>
      </c>
      <c r="AM595" s="15">
        <f t="shared" si="353"/>
        <v>22.170849845882874</v>
      </c>
      <c r="AN595" s="75">
        <f>AM595*(1-PARAM!$C$27)*$I$12+(MOD($B595,60)=PARAM!$B$56)*($B595&gt;(60-PARAM!$B$56))*HLOOKUP(($B595+PARAM!$B$56)/12,Loyalty,2)*$F$1*MAX(AP594,0)</f>
        <v>18.557001321003963</v>
      </c>
      <c r="AO595" s="75">
        <f>PARAM!$C$26+MAX($G$12-CHOOSE(PARAM!$B$44,MAX(0,AP594*$F$1),0),0)*RATES!$L571/12+$H$12*(PARAM!$D$51/12)*RATES!$N571/100</f>
        <v>230.41666666666666</v>
      </c>
      <c r="AP595" s="16">
        <f t="shared" si="379"/>
        <v>-21482.781273885343</v>
      </c>
      <c r="AQ595" s="15">
        <f t="shared" si="354"/>
        <v>22.170849845882874</v>
      </c>
      <c r="AR595" s="75">
        <f>AQ595*(1-PARAM!$C$27)*$I$13+(MOD($B595,60)=PARAM!$B$56)*($B595&gt;(60-PARAM!$B$56))*HLOOKUP(($B595+PARAM!$B$56)/12,Loyalty,2)*$F$1*MAX(AT594,0)</f>
        <v>18.557001321003963</v>
      </c>
      <c r="AS595" s="75">
        <f>PARAM!$C$26+MAX($G$13-CHOOSE(PARAM!$B$44,MAX(0,AT594*$F$1),0),0)*RATES!$L571/12+$H$13*(PARAM!$D$51/12)*RATES!$N571/100</f>
        <v>230.41666666666666</v>
      </c>
      <c r="AT595" s="16">
        <f t="shared" si="380"/>
        <v>-21482.781273885343</v>
      </c>
      <c r="AU595" s="15">
        <f t="shared" si="355"/>
        <v>22.170849845882874</v>
      </c>
      <c r="AV595" s="75">
        <f>AU595*(1-PARAM!$C$27)*$I$14+(MOD($B595,60)=PARAM!$B$56)*($B595&gt;(60-PARAM!$B$56))*HLOOKUP(($B595+PARAM!$B$56)/12,Loyalty,2)*$F$1*MAX(AX594,0)</f>
        <v>18.557001321003963</v>
      </c>
      <c r="AW595" s="75">
        <f>PARAM!$C$26+MAX($G$14-CHOOSE(PARAM!$B$44,MAX(0,AX594*$F$1),0),0)*RATES!$L571/12+$H$14*(PARAM!$D$51/12)*RATES!$N571/100</f>
        <v>230.41666666666666</v>
      </c>
      <c r="AX595" s="16">
        <f t="shared" si="381"/>
        <v>-21482.781273885343</v>
      </c>
      <c r="AY595" s="15">
        <f t="shared" si="356"/>
        <v>22.170849845882874</v>
      </c>
      <c r="AZ595" s="75">
        <f>AY595*(1-PARAM!$C$27)*$I$15+(MOD($B595,60)=PARAM!$B$56)*($B595&gt;(60-PARAM!$B$56))*HLOOKUP(($B595+PARAM!$B$56)/12,Loyalty,2)*$F$1*MAX(BB594,0)</f>
        <v>18.557001321003963</v>
      </c>
      <c r="BA595" s="75">
        <f>PARAM!$C$26+MAX($G$15-CHOOSE(PARAM!$B$44,MAX(0,BB594*$F$1),0),0)*RATES!$L571/12+$H$15*(PARAM!$D$51/12)*RATES!$N571/100</f>
        <v>230.41666666666666</v>
      </c>
      <c r="BB595" s="16">
        <f t="shared" si="382"/>
        <v>-21482.781273885343</v>
      </c>
      <c r="BC595" s="15">
        <f t="shared" si="357"/>
        <v>22.170849845882874</v>
      </c>
      <c r="BD595" s="75">
        <f>BC595*(1-PARAM!$C$27)*$I$16+(MOD($B595,60)=PARAM!$B$56)*($B595&gt;(60-PARAM!$B$56))*HLOOKUP(($B595+PARAM!$B$56)/12,Loyalty,2)*$F$1*MAX(BF594,0)</f>
        <v>18.557001321003963</v>
      </c>
      <c r="BE595" s="75">
        <f>PARAM!$C$26+MAX($G$16-CHOOSE(PARAM!$B$44,MAX(0,BF594*$F$1),0),0)*RATES!$L571/12+$H$16*(PARAM!$D$51/12)*RATES!$N571/100</f>
        <v>230.41666666666666</v>
      </c>
      <c r="BF595" s="16">
        <f t="shared" si="383"/>
        <v>-21482.781273885343</v>
      </c>
      <c r="BG595" s="15">
        <f t="shared" si="358"/>
        <v>22.170849845882874</v>
      </c>
      <c r="BH595" s="75">
        <f>BG595*(1-PARAM!$C$27)*$I$17+(MOD($B595,60)=PARAM!$B$56)*($B595&gt;(60-PARAM!$B$56))*HLOOKUP(($B595+PARAM!$B$56)/12,Loyalty,2)*$F$1*MAX(BJ594,0)</f>
        <v>18.557001321003963</v>
      </c>
      <c r="BI595" s="75">
        <f>PARAM!$C$26+MAX($G$17-CHOOSE(PARAM!$B$44,MAX(0,BJ594*$F$1),0),0)*RATES!$L571/12+$H$17*(PARAM!$D$51/12)*RATES!$N571/100</f>
        <v>230.41666666666666</v>
      </c>
      <c r="BJ595" s="16">
        <f t="shared" si="384"/>
        <v>-21482.781273885343</v>
      </c>
      <c r="BK595" s="15">
        <f t="shared" si="359"/>
        <v>22.170849845882874</v>
      </c>
      <c r="BL595" s="75">
        <f>BK595*(1-PARAM!$C$27)*$I$18+(MOD($B595,60)=PARAM!$B$56)*($B595&gt;(60-PARAM!$B$56))*HLOOKUP(($B595+PARAM!$B$56)/12,Loyalty,2)*$F$1*MAX(BN594,0)</f>
        <v>18.557001321003963</v>
      </c>
      <c r="BM595" s="75">
        <f>PARAM!$C$26+MAX($G$18-CHOOSE(PARAM!$B$44,MAX(0,BN594*$F$1),0),0)*RATES!$L571/12+$H$18*(PARAM!$D$51/12)*RATES!$N571/100</f>
        <v>230.41666666666666</v>
      </c>
      <c r="BN595" s="16">
        <f t="shared" si="385"/>
        <v>-21482.781273885343</v>
      </c>
      <c r="BO595" s="15">
        <f t="shared" si="360"/>
        <v>22.170849845882874</v>
      </c>
      <c r="BP595" s="75">
        <f>BO595*(1-PARAM!$C$27)*$I$19+(MOD($B595,60)=PARAM!$B$56)*($B595&gt;(60-PARAM!$B$56))*HLOOKUP(($B595+PARAM!$B$56)/12,Loyalty,2)*$F$1*MAX(BR594,0)</f>
        <v>18.557001321003963</v>
      </c>
      <c r="BQ595" s="75">
        <f>PARAM!$C$26+MAX($G$19-CHOOSE(PARAM!$B$44,MAX(0,BR594*$F$1),0),0)*RATES!$L571/12+$H$19*(PARAM!$D$51/12)*RATES!$N571/100</f>
        <v>230.41666666666666</v>
      </c>
      <c r="BR595" s="16">
        <f t="shared" si="386"/>
        <v>-21482.781273885343</v>
      </c>
      <c r="BS595" s="15">
        <f t="shared" si="361"/>
        <v>22.170849845882874</v>
      </c>
      <c r="BT595" s="75">
        <f>BS595*(1-PARAM!$C$27)*$I$20+(MOD($B595,60)=PARAM!$B$56)*($B595&gt;(60-PARAM!$B$56))*HLOOKUP(($B595+PARAM!$B$56)/12,Loyalty,2)*$F$1*MAX(BV594,0)</f>
        <v>18.557001321003963</v>
      </c>
      <c r="BU595" s="75">
        <f>PARAM!$C$26+MAX($G$20-CHOOSE(PARAM!$B$44,MAX(0,BV594*$F$1),0),0)*RATES!$L571/12+$H$20*(PARAM!$D$51/12)*RATES!$N571/100</f>
        <v>230.41666666666666</v>
      </c>
      <c r="BV595" s="16">
        <f t="shared" si="387"/>
        <v>-21482.781273885343</v>
      </c>
      <c r="BW595" s="15">
        <f t="shared" si="362"/>
        <v>22.170849845882874</v>
      </c>
      <c r="BX595" s="75">
        <f>BW595*(1-PARAM!$C$27)*$I$21+(MOD($B595,60)=PARAM!$B$56)*($B595&gt;(60-PARAM!$B$56))*HLOOKUP(($B595+PARAM!$B$56)/12,Loyalty,2)*$F$1*MAX(BZ594,0)</f>
        <v>18.557001321003963</v>
      </c>
      <c r="BY595" s="75">
        <f>PARAM!$C$26+MAX($G$21-CHOOSE(PARAM!$B$44,MAX(0,BZ594*$F$1),0),0)*RATES!$L571/12+$H$21*(PARAM!$D$51/12)*RATES!$N571/100</f>
        <v>230.41666666666666</v>
      </c>
      <c r="BZ595" s="16">
        <f t="shared" si="388"/>
        <v>-21482.781273885343</v>
      </c>
      <c r="CA595" s="15">
        <f t="shared" si="363"/>
        <v>22.170849845882874</v>
      </c>
      <c r="CB595" s="75">
        <f>CA595*(1-PARAM!$C$27)*$I$22+(MOD($B595,60)=PARAM!$B$56)*($B595&gt;(60-PARAM!$B$56))*HLOOKUP(($B595+PARAM!$B$56)/12,Loyalty,2)*$F$1*MAX(CD594,0)</f>
        <v>18.557001321003963</v>
      </c>
      <c r="CC595" s="75">
        <f>PARAM!$C$26+MAX($G$22-CHOOSE(PARAM!$B$44,MAX(0,CD594*$F$1),0),0)*RATES!$L571/12+$H$22*(PARAM!$D$51/12)*RATES!$N571/100</f>
        <v>230.41666666666666</v>
      </c>
      <c r="CD595" s="16">
        <f t="shared" si="389"/>
        <v>-21482.781273885343</v>
      </c>
      <c r="CE595" s="33">
        <f>IF(0=MOD(B595,12/PARAM!$D$51),1,0)</f>
        <v>1</v>
      </c>
      <c r="CF595" s="15">
        <f t="shared" si="364"/>
        <v>0</v>
      </c>
      <c r="CG595" s="75">
        <f>CF595*(1-PARAM!$C$27)*$R$3+(MOD($B595/12,5)=0)*($B595&gt;60)*HLOOKUP($B595/12,Loyalty,2)*$F$1*MAX(CI594,0)</f>
        <v>0</v>
      </c>
      <c r="CH595" s="75">
        <f>PARAM!$C$26+MAX($P$3-CHOOSE(PARAM!$B$44,MAX(0,CI594*$F$1),0),0)*RATES!$L571/12+$Q$3*(PARAM!$D$51/12)*RATES!$N571/100</f>
        <v>230.41666666666666</v>
      </c>
      <c r="CI595" s="16">
        <f>IF(CI594&gt;0,CI594*PARAM!$C$53,CI594)+CG595-CH595</f>
        <v>-31903.583333333343</v>
      </c>
      <c r="CJ595" s="15">
        <f t="shared" si="390"/>
        <v>0</v>
      </c>
      <c r="CK595" s="75">
        <f>CJ595*(1-PARAM!$C$27)*$R$4+(MOD($B595/12,5)=0)*($B595&gt;60)*HLOOKUP($B595/12,Loyalty,2)*$F$1*MAX(CM594,0)</f>
        <v>0</v>
      </c>
      <c r="CL595" s="75">
        <f>PARAM!$C$26+MAX($P$4-CHOOSE(PARAM!$B$44,MAX(0,CM594*$F$1),0),0)*RATES!$L571/12+$Q$4*(PARAM!$D$51/12)*RATES!$N571/100</f>
        <v>230.41666666666666</v>
      </c>
      <c r="CM595" s="16">
        <f>IF(CM594&gt;0,CM594*PARAM!$C$53,CM594)+CK595-CL595</f>
        <v>-31903.583333333343</v>
      </c>
      <c r="CO595" s="176"/>
    </row>
    <row r="596" spans="1:93" x14ac:dyDescent="0.2">
      <c r="A596" t="b">
        <f t="shared" si="365"/>
        <v>0</v>
      </c>
      <c r="B596" s="33">
        <v>569</v>
      </c>
      <c r="C596" s="15">
        <f t="shared" si="366"/>
        <v>20.081305947392778</v>
      </c>
      <c r="D596" s="75">
        <f>C596*(1-PARAM!$C$27)*$I$3+(MOD($B596,60)=PARAM!$B$56)*($B596&gt;(60-PARAM!$B$56))*HLOOKUP(($B596+PARAM!$B$56)/12,Loyalty,2)*$F$1*MAX(F595,0)</f>
        <v>16.808053077967756</v>
      </c>
      <c r="E596" s="75">
        <f>PARAM!$C$26+MAX($G$3-CHOOSE(PARAM!$B$44,MAX(0,F595*$F$1),0),0)*RATES!$L572/12+$H$3*(PARAM!$D$51/12)*RATES!$N572/100</f>
        <v>230.41666666666666</v>
      </c>
      <c r="F596" s="16">
        <f t="shared" si="367"/>
        <v>-22726.642990040164</v>
      </c>
      <c r="G596" s="15">
        <f t="shared" si="368"/>
        <v>22.035289406060361</v>
      </c>
      <c r="H596" s="75">
        <f>G596*(1-PARAM!$C$27)*$I$4+(MOD($B596,60)=PARAM!$B$56)*($B596&gt;(60-PARAM!$B$56))*HLOOKUP(($B596+PARAM!$B$56)/12,Loyalty,2)*$F$1*MAX(J595,0)</f>
        <v>18.443537232872522</v>
      </c>
      <c r="I596" s="75">
        <f>PARAM!$C$26+MAX($G$4-CHOOSE(PARAM!$B$44,MAX(0,J595*$F$1),0),0)*RATES!$L572/12+$H$4*(PARAM!$D$51/12)*RATES!$N572/100</f>
        <v>230.41666666666666</v>
      </c>
      <c r="J596" s="16">
        <f t="shared" si="369"/>
        <v>-21762.219541777606</v>
      </c>
      <c r="K596" s="15">
        <f t="shared" si="370"/>
        <v>22.170849845882874</v>
      </c>
      <c r="L596" s="75">
        <f>K596*(1-PARAM!$C$27)*$I$5+(MOD($B596,60)=PARAM!$B$56)*($B596&gt;(60-PARAM!$B$56))*HLOOKUP(($B596+PARAM!$B$56)/12,Loyalty,2)*$F$1*MAX(N595,0)</f>
        <v>18.557001321003963</v>
      </c>
      <c r="M596" s="75">
        <f>PARAM!$C$26+MAX($G$5-CHOOSE(PARAM!$B$44,MAX(0,N595*$F$1),0),0)*RATES!$L572/12+$H$5*(PARAM!$D$51/12)*RATES!$N572/100</f>
        <v>230.41666666666666</v>
      </c>
      <c r="N596" s="16">
        <f t="shared" si="371"/>
        <v>-21694.640939231005</v>
      </c>
      <c r="O596" s="15">
        <f t="shared" si="372"/>
        <v>22.170849845882874</v>
      </c>
      <c r="P596" s="75">
        <f>O596*(1-PARAM!$C$27)*$I$6+(MOD($B596,60)=PARAM!$B$56)*($B596&gt;(60-PARAM!$B$56))*HLOOKUP(($B596+PARAM!$B$56)/12,Loyalty,2)*$F$1*MAX(R595,0)</f>
        <v>18.557001321003963</v>
      </c>
      <c r="Q596" s="75">
        <f>PARAM!$C$26+MAX($G$6-CHOOSE(PARAM!$B$44,MAX(0,R595*$F$1),0),0)*RATES!$L572/12+$H$6*(PARAM!$D$51/12)*RATES!$N572/100</f>
        <v>230.41666666666666</v>
      </c>
      <c r="R596" s="16">
        <f t="shared" si="373"/>
        <v>-21694.640939231005</v>
      </c>
      <c r="S596" s="15">
        <f t="shared" si="348"/>
        <v>22.170849845882874</v>
      </c>
      <c r="T596" s="75">
        <f>S596*(1-PARAM!$C$27)*$I$7+(MOD($B596,60)=PARAM!$B$56)*($B596&gt;(60-PARAM!$B$56))*HLOOKUP(($B596+PARAM!$B$56)/12,Loyalty,2)*$F$1*MAX(V595,0)</f>
        <v>18.557001321003963</v>
      </c>
      <c r="U596" s="75">
        <f>PARAM!$C$26+MAX($G$7-CHOOSE(PARAM!$B$44,MAX(0,V595*$F$1),0),0)*RATES!$L572/12+$H$7*(PARAM!$D$51/12)*RATES!$N572/100</f>
        <v>230.41666666666666</v>
      </c>
      <c r="V596" s="16">
        <f t="shared" si="374"/>
        <v>-21694.640939231005</v>
      </c>
      <c r="W596" s="15">
        <f t="shared" si="349"/>
        <v>22.170849845882874</v>
      </c>
      <c r="X596" s="75">
        <f>W596*(1-PARAM!$C$27)*$I$8+(MOD($B596,60)=PARAM!$B$56)*($B596&gt;(60-PARAM!$B$56))*HLOOKUP(($B596+PARAM!$B$56)/12,Loyalty,2)*$F$1*MAX(Z595,0)</f>
        <v>18.557001321003963</v>
      </c>
      <c r="Y596" s="75">
        <f>PARAM!$C$26+MAX($G$8-CHOOSE(PARAM!$B$44,MAX(0,Z595*$F$1),0),0)*RATES!$L572/12+$H$8*(PARAM!$D$51/12)*RATES!$N572/100</f>
        <v>230.41666666666666</v>
      </c>
      <c r="Z596" s="16">
        <f t="shared" si="375"/>
        <v>-21694.640939231005</v>
      </c>
      <c r="AA596" s="15">
        <f t="shared" si="350"/>
        <v>22.170849845882874</v>
      </c>
      <c r="AB596" s="75">
        <f>AA596*(1-PARAM!$C$27)*$I$9+(MOD($B596,60)=PARAM!$B$56)*($B596&gt;(60-PARAM!$B$56))*HLOOKUP(($B596+PARAM!$B$56)/12,Loyalty,2)*$F$1*MAX(AD595,0)</f>
        <v>18.557001321003963</v>
      </c>
      <c r="AC596" s="75">
        <f>PARAM!$C$26+MAX($G$9-CHOOSE(PARAM!$B$44,MAX(0,AD595*$F$1),0),0)*RATES!$L572/12+$H$9*(PARAM!$D$51/12)*RATES!$N572/100</f>
        <v>230.41666666666666</v>
      </c>
      <c r="AD596" s="16">
        <f t="shared" si="376"/>
        <v>-21694.640939231005</v>
      </c>
      <c r="AE596" s="15">
        <f t="shared" si="351"/>
        <v>22.170849845882874</v>
      </c>
      <c r="AF596" s="75">
        <f>AE596*(1-PARAM!$C$27)*$I$10+(MOD($B596,60)=PARAM!$B$56)*($B596&gt;(60-PARAM!$B$56))*HLOOKUP(($B596+PARAM!$B$56)/12,Loyalty,2)*$F$1*MAX(AH595,0)</f>
        <v>18.557001321003963</v>
      </c>
      <c r="AG596" s="75">
        <f>PARAM!$C$26+MAX($G$10-CHOOSE(PARAM!$B$44,MAX(0,AH595*$F$1),0),0)*RATES!$L572/12+$H$10*(PARAM!$D$51/12)*RATES!$N572/100</f>
        <v>230.41666666666666</v>
      </c>
      <c r="AH596" s="16">
        <f t="shared" si="377"/>
        <v>-21694.640939231005</v>
      </c>
      <c r="AI596" s="15">
        <f t="shared" si="352"/>
        <v>22.170849845882874</v>
      </c>
      <c r="AJ596" s="75">
        <f>AI596*(1-PARAM!$C$27)*$I$11+(MOD($B596,60)=PARAM!$B$56)*($B596&gt;(60-PARAM!$B$56))*HLOOKUP(($B596+PARAM!$B$56)/12,Loyalty,2)*$F$1*MAX(AL595,0)</f>
        <v>18.557001321003963</v>
      </c>
      <c r="AK596" s="75">
        <f>PARAM!$C$26+MAX($G$11-CHOOSE(PARAM!$B$44,MAX(0,AL595*$F$1),0),0)*RATES!$L572/12+$H$11*(PARAM!$D$51/12)*RATES!$N572/100</f>
        <v>230.41666666666666</v>
      </c>
      <c r="AL596" s="16">
        <f t="shared" si="378"/>
        <v>-21694.640939231005</v>
      </c>
      <c r="AM596" s="15">
        <f t="shared" si="353"/>
        <v>22.170849845882874</v>
      </c>
      <c r="AN596" s="75">
        <f>AM596*(1-PARAM!$C$27)*$I$12+(MOD($B596,60)=PARAM!$B$56)*($B596&gt;(60-PARAM!$B$56))*HLOOKUP(($B596+PARAM!$B$56)/12,Loyalty,2)*$F$1*MAX(AP595,0)</f>
        <v>18.557001321003963</v>
      </c>
      <c r="AO596" s="75">
        <f>PARAM!$C$26+MAX($G$12-CHOOSE(PARAM!$B$44,MAX(0,AP595*$F$1),0),0)*RATES!$L572/12+$H$12*(PARAM!$D$51/12)*RATES!$N572/100</f>
        <v>230.41666666666666</v>
      </c>
      <c r="AP596" s="16">
        <f t="shared" si="379"/>
        <v>-21694.640939231005</v>
      </c>
      <c r="AQ596" s="15">
        <f t="shared" si="354"/>
        <v>22.170849845882874</v>
      </c>
      <c r="AR596" s="75">
        <f>AQ596*(1-PARAM!$C$27)*$I$13+(MOD($B596,60)=PARAM!$B$56)*($B596&gt;(60-PARAM!$B$56))*HLOOKUP(($B596+PARAM!$B$56)/12,Loyalty,2)*$F$1*MAX(AT595,0)</f>
        <v>18.557001321003963</v>
      </c>
      <c r="AS596" s="75">
        <f>PARAM!$C$26+MAX($G$13-CHOOSE(PARAM!$B$44,MAX(0,AT595*$F$1),0),0)*RATES!$L572/12+$H$13*(PARAM!$D$51/12)*RATES!$N572/100</f>
        <v>230.41666666666666</v>
      </c>
      <c r="AT596" s="16">
        <f t="shared" si="380"/>
        <v>-21694.640939231005</v>
      </c>
      <c r="AU596" s="15">
        <f t="shared" si="355"/>
        <v>22.170849845882874</v>
      </c>
      <c r="AV596" s="75">
        <f>AU596*(1-PARAM!$C$27)*$I$14+(MOD($B596,60)=PARAM!$B$56)*($B596&gt;(60-PARAM!$B$56))*HLOOKUP(($B596+PARAM!$B$56)/12,Loyalty,2)*$F$1*MAX(AX595,0)</f>
        <v>18.557001321003963</v>
      </c>
      <c r="AW596" s="75">
        <f>PARAM!$C$26+MAX($G$14-CHOOSE(PARAM!$B$44,MAX(0,AX595*$F$1),0),0)*RATES!$L572/12+$H$14*(PARAM!$D$51/12)*RATES!$N572/100</f>
        <v>230.41666666666666</v>
      </c>
      <c r="AX596" s="16">
        <f t="shared" si="381"/>
        <v>-21694.640939231005</v>
      </c>
      <c r="AY596" s="15">
        <f t="shared" si="356"/>
        <v>22.170849845882874</v>
      </c>
      <c r="AZ596" s="75">
        <f>AY596*(1-PARAM!$C$27)*$I$15+(MOD($B596,60)=PARAM!$B$56)*($B596&gt;(60-PARAM!$B$56))*HLOOKUP(($B596+PARAM!$B$56)/12,Loyalty,2)*$F$1*MAX(BB595,0)</f>
        <v>18.557001321003963</v>
      </c>
      <c r="BA596" s="75">
        <f>PARAM!$C$26+MAX($G$15-CHOOSE(PARAM!$B$44,MAX(0,BB595*$F$1),0),0)*RATES!$L572/12+$H$15*(PARAM!$D$51/12)*RATES!$N572/100</f>
        <v>230.41666666666666</v>
      </c>
      <c r="BB596" s="16">
        <f t="shared" si="382"/>
        <v>-21694.640939231005</v>
      </c>
      <c r="BC596" s="15">
        <f t="shared" si="357"/>
        <v>22.170849845882874</v>
      </c>
      <c r="BD596" s="75">
        <f>BC596*(1-PARAM!$C$27)*$I$16+(MOD($B596,60)=PARAM!$B$56)*($B596&gt;(60-PARAM!$B$56))*HLOOKUP(($B596+PARAM!$B$56)/12,Loyalty,2)*$F$1*MAX(BF595,0)</f>
        <v>18.557001321003963</v>
      </c>
      <c r="BE596" s="75">
        <f>PARAM!$C$26+MAX($G$16-CHOOSE(PARAM!$B$44,MAX(0,BF595*$F$1),0),0)*RATES!$L572/12+$H$16*(PARAM!$D$51/12)*RATES!$N572/100</f>
        <v>230.41666666666666</v>
      </c>
      <c r="BF596" s="16">
        <f t="shared" si="383"/>
        <v>-21694.640939231005</v>
      </c>
      <c r="BG596" s="15">
        <f t="shared" si="358"/>
        <v>22.170849845882874</v>
      </c>
      <c r="BH596" s="75">
        <f>BG596*(1-PARAM!$C$27)*$I$17+(MOD($B596,60)=PARAM!$B$56)*($B596&gt;(60-PARAM!$B$56))*HLOOKUP(($B596+PARAM!$B$56)/12,Loyalty,2)*$F$1*MAX(BJ595,0)</f>
        <v>18.557001321003963</v>
      </c>
      <c r="BI596" s="75">
        <f>PARAM!$C$26+MAX($G$17-CHOOSE(PARAM!$B$44,MAX(0,BJ595*$F$1),0),0)*RATES!$L572/12+$H$17*(PARAM!$D$51/12)*RATES!$N572/100</f>
        <v>230.41666666666666</v>
      </c>
      <c r="BJ596" s="16">
        <f t="shared" si="384"/>
        <v>-21694.640939231005</v>
      </c>
      <c r="BK596" s="15">
        <f t="shared" si="359"/>
        <v>22.170849845882874</v>
      </c>
      <c r="BL596" s="75">
        <f>BK596*(1-PARAM!$C$27)*$I$18+(MOD($B596,60)=PARAM!$B$56)*($B596&gt;(60-PARAM!$B$56))*HLOOKUP(($B596+PARAM!$B$56)/12,Loyalty,2)*$F$1*MAX(BN595,0)</f>
        <v>18.557001321003963</v>
      </c>
      <c r="BM596" s="75">
        <f>PARAM!$C$26+MAX($G$18-CHOOSE(PARAM!$B$44,MAX(0,BN595*$F$1),0),0)*RATES!$L572/12+$H$18*(PARAM!$D$51/12)*RATES!$N572/100</f>
        <v>230.41666666666666</v>
      </c>
      <c r="BN596" s="16">
        <f t="shared" si="385"/>
        <v>-21694.640939231005</v>
      </c>
      <c r="BO596" s="15">
        <f t="shared" si="360"/>
        <v>22.170849845882874</v>
      </c>
      <c r="BP596" s="75">
        <f>BO596*(1-PARAM!$C$27)*$I$19+(MOD($B596,60)=PARAM!$B$56)*($B596&gt;(60-PARAM!$B$56))*HLOOKUP(($B596+PARAM!$B$56)/12,Loyalty,2)*$F$1*MAX(BR595,0)</f>
        <v>18.557001321003963</v>
      </c>
      <c r="BQ596" s="75">
        <f>PARAM!$C$26+MAX($G$19-CHOOSE(PARAM!$B$44,MAX(0,BR595*$F$1),0),0)*RATES!$L572/12+$H$19*(PARAM!$D$51/12)*RATES!$N572/100</f>
        <v>230.41666666666666</v>
      </c>
      <c r="BR596" s="16">
        <f t="shared" si="386"/>
        <v>-21694.640939231005</v>
      </c>
      <c r="BS596" s="15">
        <f t="shared" si="361"/>
        <v>22.170849845882874</v>
      </c>
      <c r="BT596" s="75">
        <f>BS596*(1-PARAM!$C$27)*$I$20+(MOD($B596,60)=PARAM!$B$56)*($B596&gt;(60-PARAM!$B$56))*HLOOKUP(($B596+PARAM!$B$56)/12,Loyalty,2)*$F$1*MAX(BV595,0)</f>
        <v>18.557001321003963</v>
      </c>
      <c r="BU596" s="75">
        <f>PARAM!$C$26+MAX($G$20-CHOOSE(PARAM!$B$44,MAX(0,BV595*$F$1),0),0)*RATES!$L572/12+$H$20*(PARAM!$D$51/12)*RATES!$N572/100</f>
        <v>230.41666666666666</v>
      </c>
      <c r="BV596" s="16">
        <f t="shared" si="387"/>
        <v>-21694.640939231005</v>
      </c>
      <c r="BW596" s="15">
        <f t="shared" si="362"/>
        <v>22.170849845882874</v>
      </c>
      <c r="BX596" s="75">
        <f>BW596*(1-PARAM!$C$27)*$I$21+(MOD($B596,60)=PARAM!$B$56)*($B596&gt;(60-PARAM!$B$56))*HLOOKUP(($B596+PARAM!$B$56)/12,Loyalty,2)*$F$1*MAX(BZ595,0)</f>
        <v>18.557001321003963</v>
      </c>
      <c r="BY596" s="75">
        <f>PARAM!$C$26+MAX($G$21-CHOOSE(PARAM!$B$44,MAX(0,BZ595*$F$1),0),0)*RATES!$L572/12+$H$21*(PARAM!$D$51/12)*RATES!$N572/100</f>
        <v>230.41666666666666</v>
      </c>
      <c r="BZ596" s="16">
        <f t="shared" si="388"/>
        <v>-21694.640939231005</v>
      </c>
      <c r="CA596" s="15">
        <f t="shared" si="363"/>
        <v>22.170849845882874</v>
      </c>
      <c r="CB596" s="75">
        <f>CA596*(1-PARAM!$C$27)*$I$22+(MOD($B596,60)=PARAM!$B$56)*($B596&gt;(60-PARAM!$B$56))*HLOOKUP(($B596+PARAM!$B$56)/12,Loyalty,2)*$F$1*MAX(CD595,0)</f>
        <v>18.557001321003963</v>
      </c>
      <c r="CC596" s="75">
        <f>PARAM!$C$26+MAX($G$22-CHOOSE(PARAM!$B$44,MAX(0,CD595*$F$1),0),0)*RATES!$L572/12+$H$22*(PARAM!$D$51/12)*RATES!$N572/100</f>
        <v>230.41666666666666</v>
      </c>
      <c r="CD596" s="16">
        <f t="shared" si="389"/>
        <v>-21694.640939231005</v>
      </c>
      <c r="CE596" s="33">
        <f>IF(0=MOD(B596,12/PARAM!$D$51),1,0)</f>
        <v>1</v>
      </c>
      <c r="CF596" s="15">
        <f t="shared" si="364"/>
        <v>0</v>
      </c>
      <c r="CG596" s="75">
        <f>CF596*(1-PARAM!$C$27)*$R$3+(MOD($B596/12,5)=0)*($B596&gt;60)*HLOOKUP($B596/12,Loyalty,2)*$F$1*MAX(CI595,0)</f>
        <v>0</v>
      </c>
      <c r="CH596" s="75">
        <f>PARAM!$C$26+MAX($P$3-CHOOSE(PARAM!$B$44,MAX(0,CI595*$F$1),0),0)*RATES!$L572/12+$Q$3*(PARAM!$D$51/12)*RATES!$N572/100</f>
        <v>230.41666666666666</v>
      </c>
      <c r="CI596" s="16">
        <f>IF(CI595&gt;0,CI595*PARAM!$C$53,CI595)+CG596-CH596</f>
        <v>-32134.000000000011</v>
      </c>
      <c r="CJ596" s="15">
        <f t="shared" si="390"/>
        <v>0</v>
      </c>
      <c r="CK596" s="75">
        <f>CJ596*(1-PARAM!$C$27)*$R$4+(MOD($B596/12,5)=0)*($B596&gt;60)*HLOOKUP($B596/12,Loyalty,2)*$F$1*MAX(CM595,0)</f>
        <v>0</v>
      </c>
      <c r="CL596" s="75">
        <f>PARAM!$C$26+MAX($P$4-CHOOSE(PARAM!$B$44,MAX(0,CM595*$F$1),0),0)*RATES!$L572/12+$Q$4*(PARAM!$D$51/12)*RATES!$N572/100</f>
        <v>230.41666666666666</v>
      </c>
      <c r="CM596" s="16">
        <f>IF(CM595&gt;0,CM595*PARAM!$C$53,CM595)+CK596-CL596</f>
        <v>-32134.000000000011</v>
      </c>
      <c r="CO596" s="176"/>
    </row>
    <row r="597" spans="1:93" x14ac:dyDescent="0.2">
      <c r="A597" t="b">
        <f t="shared" si="365"/>
        <v>0</v>
      </c>
      <c r="B597" s="33">
        <v>570</v>
      </c>
      <c r="C597" s="15">
        <f t="shared" si="366"/>
        <v>20.081305947392778</v>
      </c>
      <c r="D597" s="75">
        <f>C597*(1-PARAM!$C$27)*$I$3+(MOD($B597,60)=PARAM!$B$56)*($B597&gt;(60-PARAM!$B$56))*HLOOKUP(($B597+PARAM!$B$56)/12,Loyalty,2)*$F$1*MAX(F596,0)</f>
        <v>16.808053077967756</v>
      </c>
      <c r="E597" s="75">
        <f>PARAM!$C$26+MAX($G$3-CHOOSE(PARAM!$B$44,MAX(0,F596*$F$1),0),0)*RATES!$L573/12+$H$3*(PARAM!$D$51/12)*RATES!$N573/100</f>
        <v>252.45833333333334</v>
      </c>
      <c r="F597" s="16">
        <f t="shared" si="367"/>
        <v>-22962.29327029553</v>
      </c>
      <c r="G597" s="15">
        <f t="shared" si="368"/>
        <v>22.035289406060361</v>
      </c>
      <c r="H597" s="75">
        <f>G597*(1-PARAM!$C$27)*$I$4+(MOD($B597,60)=PARAM!$B$56)*($B597&gt;(60-PARAM!$B$56))*HLOOKUP(($B597+PARAM!$B$56)/12,Loyalty,2)*$F$1*MAX(J596,0)</f>
        <v>18.443537232872522</v>
      </c>
      <c r="I597" s="75">
        <f>PARAM!$C$26+MAX($G$4-CHOOSE(PARAM!$B$44,MAX(0,J596*$F$1),0),0)*RATES!$L573/12+$H$4*(PARAM!$D$51/12)*RATES!$N573/100</f>
        <v>252.45833333333334</v>
      </c>
      <c r="J597" s="16">
        <f t="shared" si="369"/>
        <v>-21996.234337878064</v>
      </c>
      <c r="K597" s="15">
        <f t="shared" si="370"/>
        <v>22.170849845882874</v>
      </c>
      <c r="L597" s="75">
        <f>K597*(1-PARAM!$C$27)*$I$5+(MOD($B597,60)=PARAM!$B$56)*($B597&gt;(60-PARAM!$B$56))*HLOOKUP(($B597+PARAM!$B$56)/12,Loyalty,2)*$F$1*MAX(N596,0)</f>
        <v>18.557001321003963</v>
      </c>
      <c r="M597" s="75">
        <f>PARAM!$C$26+MAX($G$5-CHOOSE(PARAM!$B$44,MAX(0,N596*$F$1),0),0)*RATES!$L573/12+$H$5*(PARAM!$D$51/12)*RATES!$N573/100</f>
        <v>252.45833333333334</v>
      </c>
      <c r="N597" s="16">
        <f t="shared" si="371"/>
        <v>-21928.542271243332</v>
      </c>
      <c r="O597" s="15">
        <f t="shared" si="372"/>
        <v>22.170849845882874</v>
      </c>
      <c r="P597" s="75">
        <f>O597*(1-PARAM!$C$27)*$I$6+(MOD($B597,60)=PARAM!$B$56)*($B597&gt;(60-PARAM!$B$56))*HLOOKUP(($B597+PARAM!$B$56)/12,Loyalty,2)*$F$1*MAX(R596,0)</f>
        <v>18.557001321003963</v>
      </c>
      <c r="Q597" s="75">
        <f>PARAM!$C$26+MAX($G$6-CHOOSE(PARAM!$B$44,MAX(0,R596*$F$1),0),0)*RATES!$L573/12+$H$6*(PARAM!$D$51/12)*RATES!$N573/100</f>
        <v>252.45833333333334</v>
      </c>
      <c r="R597" s="16">
        <f t="shared" si="373"/>
        <v>-21928.542271243332</v>
      </c>
      <c r="S597" s="15">
        <f t="shared" si="348"/>
        <v>22.170849845882874</v>
      </c>
      <c r="T597" s="75">
        <f>S597*(1-PARAM!$C$27)*$I$7+(MOD($B597,60)=PARAM!$B$56)*($B597&gt;(60-PARAM!$B$56))*HLOOKUP(($B597+PARAM!$B$56)/12,Loyalty,2)*$F$1*MAX(V596,0)</f>
        <v>18.557001321003963</v>
      </c>
      <c r="U597" s="75">
        <f>PARAM!$C$26+MAX($G$7-CHOOSE(PARAM!$B$44,MAX(0,V596*$F$1),0),0)*RATES!$L573/12+$H$7*(PARAM!$D$51/12)*RATES!$N573/100</f>
        <v>252.45833333333334</v>
      </c>
      <c r="V597" s="16">
        <f t="shared" si="374"/>
        <v>-21928.542271243332</v>
      </c>
      <c r="W597" s="15">
        <f t="shared" si="349"/>
        <v>22.170849845882874</v>
      </c>
      <c r="X597" s="75">
        <f>W597*(1-PARAM!$C$27)*$I$8+(MOD($B597,60)=PARAM!$B$56)*($B597&gt;(60-PARAM!$B$56))*HLOOKUP(($B597+PARAM!$B$56)/12,Loyalty,2)*$F$1*MAX(Z596,0)</f>
        <v>18.557001321003963</v>
      </c>
      <c r="Y597" s="75">
        <f>PARAM!$C$26+MAX($G$8-CHOOSE(PARAM!$B$44,MAX(0,Z596*$F$1),0),0)*RATES!$L573/12+$H$8*(PARAM!$D$51/12)*RATES!$N573/100</f>
        <v>252.45833333333334</v>
      </c>
      <c r="Z597" s="16">
        <f t="shared" si="375"/>
        <v>-21928.542271243332</v>
      </c>
      <c r="AA597" s="15">
        <f t="shared" si="350"/>
        <v>22.170849845882874</v>
      </c>
      <c r="AB597" s="75">
        <f>AA597*(1-PARAM!$C$27)*$I$9+(MOD($B597,60)=PARAM!$B$56)*($B597&gt;(60-PARAM!$B$56))*HLOOKUP(($B597+PARAM!$B$56)/12,Loyalty,2)*$F$1*MAX(AD596,0)</f>
        <v>18.557001321003963</v>
      </c>
      <c r="AC597" s="75">
        <f>PARAM!$C$26+MAX($G$9-CHOOSE(PARAM!$B$44,MAX(0,AD596*$F$1),0),0)*RATES!$L573/12+$H$9*(PARAM!$D$51/12)*RATES!$N573/100</f>
        <v>252.45833333333334</v>
      </c>
      <c r="AD597" s="16">
        <f t="shared" si="376"/>
        <v>-21928.542271243332</v>
      </c>
      <c r="AE597" s="15">
        <f t="shared" si="351"/>
        <v>22.170849845882874</v>
      </c>
      <c r="AF597" s="75">
        <f>AE597*(1-PARAM!$C$27)*$I$10+(MOD($B597,60)=PARAM!$B$56)*($B597&gt;(60-PARAM!$B$56))*HLOOKUP(($B597+PARAM!$B$56)/12,Loyalty,2)*$F$1*MAX(AH596,0)</f>
        <v>18.557001321003963</v>
      </c>
      <c r="AG597" s="75">
        <f>PARAM!$C$26+MAX($G$10-CHOOSE(PARAM!$B$44,MAX(0,AH596*$F$1),0),0)*RATES!$L573/12+$H$10*(PARAM!$D$51/12)*RATES!$N573/100</f>
        <v>252.45833333333334</v>
      </c>
      <c r="AH597" s="16">
        <f t="shared" si="377"/>
        <v>-21928.542271243332</v>
      </c>
      <c r="AI597" s="15">
        <f t="shared" si="352"/>
        <v>22.170849845882874</v>
      </c>
      <c r="AJ597" s="75">
        <f>AI597*(1-PARAM!$C$27)*$I$11+(MOD($B597,60)=PARAM!$B$56)*($B597&gt;(60-PARAM!$B$56))*HLOOKUP(($B597+PARAM!$B$56)/12,Loyalty,2)*$F$1*MAX(AL596,0)</f>
        <v>18.557001321003963</v>
      </c>
      <c r="AK597" s="75">
        <f>PARAM!$C$26+MAX($G$11-CHOOSE(PARAM!$B$44,MAX(0,AL596*$F$1),0),0)*RATES!$L573/12+$H$11*(PARAM!$D$51/12)*RATES!$N573/100</f>
        <v>252.45833333333334</v>
      </c>
      <c r="AL597" s="16">
        <f t="shared" si="378"/>
        <v>-21928.542271243332</v>
      </c>
      <c r="AM597" s="15">
        <f t="shared" si="353"/>
        <v>22.170849845882874</v>
      </c>
      <c r="AN597" s="75">
        <f>AM597*(1-PARAM!$C$27)*$I$12+(MOD($B597,60)=PARAM!$B$56)*($B597&gt;(60-PARAM!$B$56))*HLOOKUP(($B597+PARAM!$B$56)/12,Loyalty,2)*$F$1*MAX(AP596,0)</f>
        <v>18.557001321003963</v>
      </c>
      <c r="AO597" s="75">
        <f>PARAM!$C$26+MAX($G$12-CHOOSE(PARAM!$B$44,MAX(0,AP596*$F$1),0),0)*RATES!$L573/12+$H$12*(PARAM!$D$51/12)*RATES!$N573/100</f>
        <v>252.45833333333334</v>
      </c>
      <c r="AP597" s="16">
        <f t="shared" si="379"/>
        <v>-21928.542271243332</v>
      </c>
      <c r="AQ597" s="15">
        <f t="shared" si="354"/>
        <v>22.170849845882874</v>
      </c>
      <c r="AR597" s="75">
        <f>AQ597*(1-PARAM!$C$27)*$I$13+(MOD($B597,60)=PARAM!$B$56)*($B597&gt;(60-PARAM!$B$56))*HLOOKUP(($B597+PARAM!$B$56)/12,Loyalty,2)*$F$1*MAX(AT596,0)</f>
        <v>18.557001321003963</v>
      </c>
      <c r="AS597" s="75">
        <f>PARAM!$C$26+MAX($G$13-CHOOSE(PARAM!$B$44,MAX(0,AT596*$F$1),0),0)*RATES!$L573/12+$H$13*(PARAM!$D$51/12)*RATES!$N573/100</f>
        <v>252.45833333333334</v>
      </c>
      <c r="AT597" s="16">
        <f t="shared" si="380"/>
        <v>-21928.542271243332</v>
      </c>
      <c r="AU597" s="15">
        <f t="shared" si="355"/>
        <v>22.170849845882874</v>
      </c>
      <c r="AV597" s="75">
        <f>AU597*(1-PARAM!$C$27)*$I$14+(MOD($B597,60)=PARAM!$B$56)*($B597&gt;(60-PARAM!$B$56))*HLOOKUP(($B597+PARAM!$B$56)/12,Loyalty,2)*$F$1*MAX(AX596,0)</f>
        <v>18.557001321003963</v>
      </c>
      <c r="AW597" s="75">
        <f>PARAM!$C$26+MAX($G$14-CHOOSE(PARAM!$B$44,MAX(0,AX596*$F$1),0),0)*RATES!$L573/12+$H$14*(PARAM!$D$51/12)*RATES!$N573/100</f>
        <v>252.45833333333334</v>
      </c>
      <c r="AX597" s="16">
        <f t="shared" si="381"/>
        <v>-21928.542271243332</v>
      </c>
      <c r="AY597" s="15">
        <f t="shared" si="356"/>
        <v>22.170849845882874</v>
      </c>
      <c r="AZ597" s="75">
        <f>AY597*(1-PARAM!$C$27)*$I$15+(MOD($B597,60)=PARAM!$B$56)*($B597&gt;(60-PARAM!$B$56))*HLOOKUP(($B597+PARAM!$B$56)/12,Loyalty,2)*$F$1*MAX(BB596,0)</f>
        <v>18.557001321003963</v>
      </c>
      <c r="BA597" s="75">
        <f>PARAM!$C$26+MAX($G$15-CHOOSE(PARAM!$B$44,MAX(0,BB596*$F$1),0),0)*RATES!$L573/12+$H$15*(PARAM!$D$51/12)*RATES!$N573/100</f>
        <v>252.45833333333334</v>
      </c>
      <c r="BB597" s="16">
        <f t="shared" si="382"/>
        <v>-21928.542271243332</v>
      </c>
      <c r="BC597" s="15">
        <f t="shared" si="357"/>
        <v>22.170849845882874</v>
      </c>
      <c r="BD597" s="75">
        <f>BC597*(1-PARAM!$C$27)*$I$16+(MOD($B597,60)=PARAM!$B$56)*($B597&gt;(60-PARAM!$B$56))*HLOOKUP(($B597+PARAM!$B$56)/12,Loyalty,2)*$F$1*MAX(BF596,0)</f>
        <v>18.557001321003963</v>
      </c>
      <c r="BE597" s="75">
        <f>PARAM!$C$26+MAX($G$16-CHOOSE(PARAM!$B$44,MAX(0,BF596*$F$1),0),0)*RATES!$L573/12+$H$16*(PARAM!$D$51/12)*RATES!$N573/100</f>
        <v>252.45833333333334</v>
      </c>
      <c r="BF597" s="16">
        <f t="shared" si="383"/>
        <v>-21928.542271243332</v>
      </c>
      <c r="BG597" s="15">
        <f t="shared" si="358"/>
        <v>22.170849845882874</v>
      </c>
      <c r="BH597" s="75">
        <f>BG597*(1-PARAM!$C$27)*$I$17+(MOD($B597,60)=PARAM!$B$56)*($B597&gt;(60-PARAM!$B$56))*HLOOKUP(($B597+PARAM!$B$56)/12,Loyalty,2)*$F$1*MAX(BJ596,0)</f>
        <v>18.557001321003963</v>
      </c>
      <c r="BI597" s="75">
        <f>PARAM!$C$26+MAX($G$17-CHOOSE(PARAM!$B$44,MAX(0,BJ596*$F$1),0),0)*RATES!$L573/12+$H$17*(PARAM!$D$51/12)*RATES!$N573/100</f>
        <v>252.45833333333334</v>
      </c>
      <c r="BJ597" s="16">
        <f t="shared" si="384"/>
        <v>-21928.542271243332</v>
      </c>
      <c r="BK597" s="15">
        <f t="shared" si="359"/>
        <v>22.170849845882874</v>
      </c>
      <c r="BL597" s="75">
        <f>BK597*(1-PARAM!$C$27)*$I$18+(MOD($B597,60)=PARAM!$B$56)*($B597&gt;(60-PARAM!$B$56))*HLOOKUP(($B597+PARAM!$B$56)/12,Loyalty,2)*$F$1*MAX(BN596,0)</f>
        <v>18.557001321003963</v>
      </c>
      <c r="BM597" s="75">
        <f>PARAM!$C$26+MAX($G$18-CHOOSE(PARAM!$B$44,MAX(0,BN596*$F$1),0),0)*RATES!$L573/12+$H$18*(PARAM!$D$51/12)*RATES!$N573/100</f>
        <v>252.45833333333334</v>
      </c>
      <c r="BN597" s="16">
        <f t="shared" si="385"/>
        <v>-21928.542271243332</v>
      </c>
      <c r="BO597" s="15">
        <f t="shared" si="360"/>
        <v>22.170849845882874</v>
      </c>
      <c r="BP597" s="75">
        <f>BO597*(1-PARAM!$C$27)*$I$19+(MOD($B597,60)=PARAM!$B$56)*($B597&gt;(60-PARAM!$B$56))*HLOOKUP(($B597+PARAM!$B$56)/12,Loyalty,2)*$F$1*MAX(BR596,0)</f>
        <v>18.557001321003963</v>
      </c>
      <c r="BQ597" s="75">
        <f>PARAM!$C$26+MAX($G$19-CHOOSE(PARAM!$B$44,MAX(0,BR596*$F$1),0),0)*RATES!$L573/12+$H$19*(PARAM!$D$51/12)*RATES!$N573/100</f>
        <v>252.45833333333334</v>
      </c>
      <c r="BR597" s="16">
        <f t="shared" si="386"/>
        <v>-21928.542271243332</v>
      </c>
      <c r="BS597" s="15">
        <f t="shared" si="361"/>
        <v>22.170849845882874</v>
      </c>
      <c r="BT597" s="75">
        <f>BS597*(1-PARAM!$C$27)*$I$20+(MOD($B597,60)=PARAM!$B$56)*($B597&gt;(60-PARAM!$B$56))*HLOOKUP(($B597+PARAM!$B$56)/12,Loyalty,2)*$F$1*MAX(BV596,0)</f>
        <v>18.557001321003963</v>
      </c>
      <c r="BU597" s="75">
        <f>PARAM!$C$26+MAX($G$20-CHOOSE(PARAM!$B$44,MAX(0,BV596*$F$1),0),0)*RATES!$L573/12+$H$20*(PARAM!$D$51/12)*RATES!$N573/100</f>
        <v>252.45833333333334</v>
      </c>
      <c r="BV597" s="16">
        <f t="shared" si="387"/>
        <v>-21928.542271243332</v>
      </c>
      <c r="BW597" s="15">
        <f t="shared" si="362"/>
        <v>22.170849845882874</v>
      </c>
      <c r="BX597" s="75">
        <f>BW597*(1-PARAM!$C$27)*$I$21+(MOD($B597,60)=PARAM!$B$56)*($B597&gt;(60-PARAM!$B$56))*HLOOKUP(($B597+PARAM!$B$56)/12,Loyalty,2)*$F$1*MAX(BZ596,0)</f>
        <v>18.557001321003963</v>
      </c>
      <c r="BY597" s="75">
        <f>PARAM!$C$26+MAX($G$21-CHOOSE(PARAM!$B$44,MAX(0,BZ596*$F$1),0),0)*RATES!$L573/12+$H$21*(PARAM!$D$51/12)*RATES!$N573/100</f>
        <v>252.45833333333334</v>
      </c>
      <c r="BZ597" s="16">
        <f t="shared" si="388"/>
        <v>-21928.542271243332</v>
      </c>
      <c r="CA597" s="15">
        <f t="shared" si="363"/>
        <v>22.170849845882874</v>
      </c>
      <c r="CB597" s="75">
        <f>CA597*(1-PARAM!$C$27)*$I$22+(MOD($B597,60)=PARAM!$B$56)*($B597&gt;(60-PARAM!$B$56))*HLOOKUP(($B597+PARAM!$B$56)/12,Loyalty,2)*$F$1*MAX(CD596,0)</f>
        <v>18.557001321003963</v>
      </c>
      <c r="CC597" s="75">
        <f>PARAM!$C$26+MAX($G$22-CHOOSE(PARAM!$B$44,MAX(0,CD596*$F$1),0),0)*RATES!$L573/12+$H$22*(PARAM!$D$51/12)*RATES!$N573/100</f>
        <v>252.45833333333334</v>
      </c>
      <c r="CD597" s="16">
        <f t="shared" si="389"/>
        <v>-21928.542271243332</v>
      </c>
      <c r="CE597" s="33">
        <f>IF(0=MOD(B597,12/PARAM!$D$51),1,0)</f>
        <v>1</v>
      </c>
      <c r="CF597" s="15">
        <f t="shared" si="364"/>
        <v>0</v>
      </c>
      <c r="CG597" s="75">
        <f>CF597*(1-PARAM!$C$27)*$R$3+(MOD($B597/12,5)=0)*($B597&gt;60)*HLOOKUP($B597/12,Loyalty,2)*$F$1*MAX(CI596,0)</f>
        <v>0</v>
      </c>
      <c r="CH597" s="75">
        <f>PARAM!$C$26+MAX($P$3-CHOOSE(PARAM!$B$44,MAX(0,CI596*$F$1),0),0)*RATES!$L573/12+$Q$3*(PARAM!$D$51/12)*RATES!$N573/100</f>
        <v>252.45833333333334</v>
      </c>
      <c r="CI597" s="16">
        <f>IF(CI596&gt;0,CI596*PARAM!$C$53,CI596)+CG597-CH597</f>
        <v>-32386.458333333343</v>
      </c>
      <c r="CJ597" s="15">
        <f t="shared" si="390"/>
        <v>0</v>
      </c>
      <c r="CK597" s="75">
        <f>CJ597*(1-PARAM!$C$27)*$R$4+(MOD($B597/12,5)=0)*($B597&gt;60)*HLOOKUP($B597/12,Loyalty,2)*$F$1*MAX(CM596,0)</f>
        <v>0</v>
      </c>
      <c r="CL597" s="75">
        <f>PARAM!$C$26+MAX($P$4-CHOOSE(PARAM!$B$44,MAX(0,CM596*$F$1),0),0)*RATES!$L573/12+$Q$4*(PARAM!$D$51/12)*RATES!$N573/100</f>
        <v>252.45833333333334</v>
      </c>
      <c r="CM597" s="16">
        <f>IF(CM596&gt;0,CM596*PARAM!$C$53,CM596)+CK597-CL597</f>
        <v>-32386.458333333343</v>
      </c>
      <c r="CO597" s="176"/>
    </row>
    <row r="598" spans="1:93" x14ac:dyDescent="0.2">
      <c r="A598" t="b">
        <f t="shared" si="365"/>
        <v>0</v>
      </c>
      <c r="B598" s="33">
        <v>571</v>
      </c>
      <c r="C598" s="15">
        <f t="shared" si="366"/>
        <v>20.081305947392778</v>
      </c>
      <c r="D598" s="75">
        <f>C598*(1-PARAM!$C$27)*$I$3+(MOD($B598,60)=PARAM!$B$56)*($B598&gt;(60-PARAM!$B$56))*HLOOKUP(($B598+PARAM!$B$56)/12,Loyalty,2)*$F$1*MAX(F597,0)</f>
        <v>16.808053077967756</v>
      </c>
      <c r="E598" s="75">
        <f>PARAM!$C$26+MAX($G$3-CHOOSE(PARAM!$B$44,MAX(0,F597*$F$1),0),0)*RATES!$L574/12+$H$3*(PARAM!$D$51/12)*RATES!$N574/100</f>
        <v>252.45833333333334</v>
      </c>
      <c r="F598" s="16">
        <f t="shared" si="367"/>
        <v>-23197.943550550895</v>
      </c>
      <c r="G598" s="15">
        <f t="shared" si="368"/>
        <v>22.035289406060361</v>
      </c>
      <c r="H598" s="75">
        <f>G598*(1-PARAM!$C$27)*$I$4+(MOD($B598,60)=PARAM!$B$56)*($B598&gt;(60-PARAM!$B$56))*HLOOKUP(($B598+PARAM!$B$56)/12,Loyalty,2)*$F$1*MAX(J597,0)</f>
        <v>18.443537232872522</v>
      </c>
      <c r="I598" s="75">
        <f>PARAM!$C$26+MAX($G$4-CHOOSE(PARAM!$B$44,MAX(0,J597*$F$1),0),0)*RATES!$L574/12+$H$4*(PARAM!$D$51/12)*RATES!$N574/100</f>
        <v>252.45833333333334</v>
      </c>
      <c r="J598" s="16">
        <f t="shared" si="369"/>
        <v>-22230.249133978523</v>
      </c>
      <c r="K598" s="15">
        <f t="shared" si="370"/>
        <v>22.170849845882874</v>
      </c>
      <c r="L598" s="75">
        <f>K598*(1-PARAM!$C$27)*$I$5+(MOD($B598,60)=PARAM!$B$56)*($B598&gt;(60-PARAM!$B$56))*HLOOKUP(($B598+PARAM!$B$56)/12,Loyalty,2)*$F$1*MAX(N597,0)</f>
        <v>18.557001321003963</v>
      </c>
      <c r="M598" s="75">
        <f>PARAM!$C$26+MAX($G$5-CHOOSE(PARAM!$B$44,MAX(0,N597*$F$1),0),0)*RATES!$L574/12+$H$5*(PARAM!$D$51/12)*RATES!$N574/100</f>
        <v>252.45833333333334</v>
      </c>
      <c r="N598" s="16">
        <f t="shared" si="371"/>
        <v>-22162.443603255659</v>
      </c>
      <c r="O598" s="15">
        <f t="shared" si="372"/>
        <v>22.170849845882874</v>
      </c>
      <c r="P598" s="75">
        <f>O598*(1-PARAM!$C$27)*$I$6+(MOD($B598,60)=PARAM!$B$56)*($B598&gt;(60-PARAM!$B$56))*HLOOKUP(($B598+PARAM!$B$56)/12,Loyalty,2)*$F$1*MAX(R597,0)</f>
        <v>18.557001321003963</v>
      </c>
      <c r="Q598" s="75">
        <f>PARAM!$C$26+MAX($G$6-CHOOSE(PARAM!$B$44,MAX(0,R597*$F$1),0),0)*RATES!$L574/12+$H$6*(PARAM!$D$51/12)*RATES!$N574/100</f>
        <v>252.45833333333334</v>
      </c>
      <c r="R598" s="16">
        <f t="shared" si="373"/>
        <v>-22162.443603255659</v>
      </c>
      <c r="S598" s="15">
        <f t="shared" si="348"/>
        <v>22.170849845882874</v>
      </c>
      <c r="T598" s="75">
        <f>S598*(1-PARAM!$C$27)*$I$7+(MOD($B598,60)=PARAM!$B$56)*($B598&gt;(60-PARAM!$B$56))*HLOOKUP(($B598+PARAM!$B$56)/12,Loyalty,2)*$F$1*MAX(V597,0)</f>
        <v>18.557001321003963</v>
      </c>
      <c r="U598" s="75">
        <f>PARAM!$C$26+MAX($G$7-CHOOSE(PARAM!$B$44,MAX(0,V597*$F$1),0),0)*RATES!$L574/12+$H$7*(PARAM!$D$51/12)*RATES!$N574/100</f>
        <v>252.45833333333334</v>
      </c>
      <c r="V598" s="16">
        <f t="shared" si="374"/>
        <v>-22162.443603255659</v>
      </c>
      <c r="W598" s="15">
        <f t="shared" si="349"/>
        <v>22.170849845882874</v>
      </c>
      <c r="X598" s="75">
        <f>W598*(1-PARAM!$C$27)*$I$8+(MOD($B598,60)=PARAM!$B$56)*($B598&gt;(60-PARAM!$B$56))*HLOOKUP(($B598+PARAM!$B$56)/12,Loyalty,2)*$F$1*MAX(Z597,0)</f>
        <v>18.557001321003963</v>
      </c>
      <c r="Y598" s="75">
        <f>PARAM!$C$26+MAX($G$8-CHOOSE(PARAM!$B$44,MAX(0,Z597*$F$1),0),0)*RATES!$L574/12+$H$8*(PARAM!$D$51/12)*RATES!$N574/100</f>
        <v>252.45833333333334</v>
      </c>
      <c r="Z598" s="16">
        <f t="shared" si="375"/>
        <v>-22162.443603255659</v>
      </c>
      <c r="AA598" s="15">
        <f t="shared" si="350"/>
        <v>22.170849845882874</v>
      </c>
      <c r="AB598" s="75">
        <f>AA598*(1-PARAM!$C$27)*$I$9+(MOD($B598,60)=PARAM!$B$56)*($B598&gt;(60-PARAM!$B$56))*HLOOKUP(($B598+PARAM!$B$56)/12,Loyalty,2)*$F$1*MAX(AD597,0)</f>
        <v>18.557001321003963</v>
      </c>
      <c r="AC598" s="75">
        <f>PARAM!$C$26+MAX($G$9-CHOOSE(PARAM!$B$44,MAX(0,AD597*$F$1),0),0)*RATES!$L574/12+$H$9*(PARAM!$D$51/12)*RATES!$N574/100</f>
        <v>252.45833333333334</v>
      </c>
      <c r="AD598" s="16">
        <f t="shared" si="376"/>
        <v>-22162.443603255659</v>
      </c>
      <c r="AE598" s="15">
        <f t="shared" si="351"/>
        <v>22.170849845882874</v>
      </c>
      <c r="AF598" s="75">
        <f>AE598*(1-PARAM!$C$27)*$I$10+(MOD($B598,60)=PARAM!$B$56)*($B598&gt;(60-PARAM!$B$56))*HLOOKUP(($B598+PARAM!$B$56)/12,Loyalty,2)*$F$1*MAX(AH597,0)</f>
        <v>18.557001321003963</v>
      </c>
      <c r="AG598" s="75">
        <f>PARAM!$C$26+MAX($G$10-CHOOSE(PARAM!$B$44,MAX(0,AH597*$F$1),0),0)*RATES!$L574/12+$H$10*(PARAM!$D$51/12)*RATES!$N574/100</f>
        <v>252.45833333333334</v>
      </c>
      <c r="AH598" s="16">
        <f t="shared" si="377"/>
        <v>-22162.443603255659</v>
      </c>
      <c r="AI598" s="15">
        <f t="shared" si="352"/>
        <v>22.170849845882874</v>
      </c>
      <c r="AJ598" s="75">
        <f>AI598*(1-PARAM!$C$27)*$I$11+(MOD($B598,60)=PARAM!$B$56)*($B598&gt;(60-PARAM!$B$56))*HLOOKUP(($B598+PARAM!$B$56)/12,Loyalty,2)*$F$1*MAX(AL597,0)</f>
        <v>18.557001321003963</v>
      </c>
      <c r="AK598" s="75">
        <f>PARAM!$C$26+MAX($G$11-CHOOSE(PARAM!$B$44,MAX(0,AL597*$F$1),0),0)*RATES!$L574/12+$H$11*(PARAM!$D$51/12)*RATES!$N574/100</f>
        <v>252.45833333333334</v>
      </c>
      <c r="AL598" s="16">
        <f t="shared" si="378"/>
        <v>-22162.443603255659</v>
      </c>
      <c r="AM598" s="15">
        <f t="shared" si="353"/>
        <v>22.170849845882874</v>
      </c>
      <c r="AN598" s="75">
        <f>AM598*(1-PARAM!$C$27)*$I$12+(MOD($B598,60)=PARAM!$B$56)*($B598&gt;(60-PARAM!$B$56))*HLOOKUP(($B598+PARAM!$B$56)/12,Loyalty,2)*$F$1*MAX(AP597,0)</f>
        <v>18.557001321003963</v>
      </c>
      <c r="AO598" s="75">
        <f>PARAM!$C$26+MAX($G$12-CHOOSE(PARAM!$B$44,MAX(0,AP597*$F$1),0),0)*RATES!$L574/12+$H$12*(PARAM!$D$51/12)*RATES!$N574/100</f>
        <v>252.45833333333334</v>
      </c>
      <c r="AP598" s="16">
        <f t="shared" si="379"/>
        <v>-22162.443603255659</v>
      </c>
      <c r="AQ598" s="15">
        <f t="shared" si="354"/>
        <v>22.170849845882874</v>
      </c>
      <c r="AR598" s="75">
        <f>AQ598*(1-PARAM!$C$27)*$I$13+(MOD($B598,60)=PARAM!$B$56)*($B598&gt;(60-PARAM!$B$56))*HLOOKUP(($B598+PARAM!$B$56)/12,Loyalty,2)*$F$1*MAX(AT597,0)</f>
        <v>18.557001321003963</v>
      </c>
      <c r="AS598" s="75">
        <f>PARAM!$C$26+MAX($G$13-CHOOSE(PARAM!$B$44,MAX(0,AT597*$F$1),0),0)*RATES!$L574/12+$H$13*(PARAM!$D$51/12)*RATES!$N574/100</f>
        <v>252.45833333333334</v>
      </c>
      <c r="AT598" s="16">
        <f t="shared" si="380"/>
        <v>-22162.443603255659</v>
      </c>
      <c r="AU598" s="15">
        <f t="shared" si="355"/>
        <v>22.170849845882874</v>
      </c>
      <c r="AV598" s="75">
        <f>AU598*(1-PARAM!$C$27)*$I$14+(MOD($B598,60)=PARAM!$B$56)*($B598&gt;(60-PARAM!$B$56))*HLOOKUP(($B598+PARAM!$B$56)/12,Loyalty,2)*$F$1*MAX(AX597,0)</f>
        <v>18.557001321003963</v>
      </c>
      <c r="AW598" s="75">
        <f>PARAM!$C$26+MAX($G$14-CHOOSE(PARAM!$B$44,MAX(0,AX597*$F$1),0),0)*RATES!$L574/12+$H$14*(PARAM!$D$51/12)*RATES!$N574/100</f>
        <v>252.45833333333334</v>
      </c>
      <c r="AX598" s="16">
        <f t="shared" si="381"/>
        <v>-22162.443603255659</v>
      </c>
      <c r="AY598" s="15">
        <f t="shared" si="356"/>
        <v>22.170849845882874</v>
      </c>
      <c r="AZ598" s="75">
        <f>AY598*(1-PARAM!$C$27)*$I$15+(MOD($B598,60)=PARAM!$B$56)*($B598&gt;(60-PARAM!$B$56))*HLOOKUP(($B598+PARAM!$B$56)/12,Loyalty,2)*$F$1*MAX(BB597,0)</f>
        <v>18.557001321003963</v>
      </c>
      <c r="BA598" s="75">
        <f>PARAM!$C$26+MAX($G$15-CHOOSE(PARAM!$B$44,MAX(0,BB597*$F$1),0),0)*RATES!$L574/12+$H$15*(PARAM!$D$51/12)*RATES!$N574/100</f>
        <v>252.45833333333334</v>
      </c>
      <c r="BB598" s="16">
        <f t="shared" si="382"/>
        <v>-22162.443603255659</v>
      </c>
      <c r="BC598" s="15">
        <f t="shared" si="357"/>
        <v>22.170849845882874</v>
      </c>
      <c r="BD598" s="75">
        <f>BC598*(1-PARAM!$C$27)*$I$16+(MOD($B598,60)=PARAM!$B$56)*($B598&gt;(60-PARAM!$B$56))*HLOOKUP(($B598+PARAM!$B$56)/12,Loyalty,2)*$F$1*MAX(BF597,0)</f>
        <v>18.557001321003963</v>
      </c>
      <c r="BE598" s="75">
        <f>PARAM!$C$26+MAX($G$16-CHOOSE(PARAM!$B$44,MAX(0,BF597*$F$1),0),0)*RATES!$L574/12+$H$16*(PARAM!$D$51/12)*RATES!$N574/100</f>
        <v>252.45833333333334</v>
      </c>
      <c r="BF598" s="16">
        <f t="shared" si="383"/>
        <v>-22162.443603255659</v>
      </c>
      <c r="BG598" s="15">
        <f t="shared" si="358"/>
        <v>22.170849845882874</v>
      </c>
      <c r="BH598" s="75">
        <f>BG598*(1-PARAM!$C$27)*$I$17+(MOD($B598,60)=PARAM!$B$56)*($B598&gt;(60-PARAM!$B$56))*HLOOKUP(($B598+PARAM!$B$56)/12,Loyalty,2)*$F$1*MAX(BJ597,0)</f>
        <v>18.557001321003963</v>
      </c>
      <c r="BI598" s="75">
        <f>PARAM!$C$26+MAX($G$17-CHOOSE(PARAM!$B$44,MAX(0,BJ597*$F$1),0),0)*RATES!$L574/12+$H$17*(PARAM!$D$51/12)*RATES!$N574/100</f>
        <v>252.45833333333334</v>
      </c>
      <c r="BJ598" s="16">
        <f t="shared" si="384"/>
        <v>-22162.443603255659</v>
      </c>
      <c r="BK598" s="15">
        <f t="shared" si="359"/>
        <v>22.170849845882874</v>
      </c>
      <c r="BL598" s="75">
        <f>BK598*(1-PARAM!$C$27)*$I$18+(MOD($B598,60)=PARAM!$B$56)*($B598&gt;(60-PARAM!$B$56))*HLOOKUP(($B598+PARAM!$B$56)/12,Loyalty,2)*$F$1*MAX(BN597,0)</f>
        <v>18.557001321003963</v>
      </c>
      <c r="BM598" s="75">
        <f>PARAM!$C$26+MAX($G$18-CHOOSE(PARAM!$B$44,MAX(0,BN597*$F$1),0),0)*RATES!$L574/12+$H$18*(PARAM!$D$51/12)*RATES!$N574/100</f>
        <v>252.45833333333334</v>
      </c>
      <c r="BN598" s="16">
        <f t="shared" si="385"/>
        <v>-22162.443603255659</v>
      </c>
      <c r="BO598" s="15">
        <f t="shared" si="360"/>
        <v>22.170849845882874</v>
      </c>
      <c r="BP598" s="75">
        <f>BO598*(1-PARAM!$C$27)*$I$19+(MOD($B598,60)=PARAM!$B$56)*($B598&gt;(60-PARAM!$B$56))*HLOOKUP(($B598+PARAM!$B$56)/12,Loyalty,2)*$F$1*MAX(BR597,0)</f>
        <v>18.557001321003963</v>
      </c>
      <c r="BQ598" s="75">
        <f>PARAM!$C$26+MAX($G$19-CHOOSE(PARAM!$B$44,MAX(0,BR597*$F$1),0),0)*RATES!$L574/12+$H$19*(PARAM!$D$51/12)*RATES!$N574/100</f>
        <v>252.45833333333334</v>
      </c>
      <c r="BR598" s="16">
        <f t="shared" si="386"/>
        <v>-22162.443603255659</v>
      </c>
      <c r="BS598" s="15">
        <f t="shared" si="361"/>
        <v>22.170849845882874</v>
      </c>
      <c r="BT598" s="75">
        <f>BS598*(1-PARAM!$C$27)*$I$20+(MOD($B598,60)=PARAM!$B$56)*($B598&gt;(60-PARAM!$B$56))*HLOOKUP(($B598+PARAM!$B$56)/12,Loyalty,2)*$F$1*MAX(BV597,0)</f>
        <v>18.557001321003963</v>
      </c>
      <c r="BU598" s="75">
        <f>PARAM!$C$26+MAX($G$20-CHOOSE(PARAM!$B$44,MAX(0,BV597*$F$1),0),0)*RATES!$L574/12+$H$20*(PARAM!$D$51/12)*RATES!$N574/100</f>
        <v>252.45833333333334</v>
      </c>
      <c r="BV598" s="16">
        <f t="shared" si="387"/>
        <v>-22162.443603255659</v>
      </c>
      <c r="BW598" s="15">
        <f t="shared" si="362"/>
        <v>22.170849845882874</v>
      </c>
      <c r="BX598" s="75">
        <f>BW598*(1-PARAM!$C$27)*$I$21+(MOD($B598,60)=PARAM!$B$56)*($B598&gt;(60-PARAM!$B$56))*HLOOKUP(($B598+PARAM!$B$56)/12,Loyalty,2)*$F$1*MAX(BZ597,0)</f>
        <v>18.557001321003963</v>
      </c>
      <c r="BY598" s="75">
        <f>PARAM!$C$26+MAX($G$21-CHOOSE(PARAM!$B$44,MAX(0,BZ597*$F$1),0),0)*RATES!$L574/12+$H$21*(PARAM!$D$51/12)*RATES!$N574/100</f>
        <v>252.45833333333334</v>
      </c>
      <c r="BZ598" s="16">
        <f t="shared" si="388"/>
        <v>-22162.443603255659</v>
      </c>
      <c r="CA598" s="15">
        <f t="shared" si="363"/>
        <v>22.170849845882874</v>
      </c>
      <c r="CB598" s="75">
        <f>CA598*(1-PARAM!$C$27)*$I$22+(MOD($B598,60)=PARAM!$B$56)*($B598&gt;(60-PARAM!$B$56))*HLOOKUP(($B598+PARAM!$B$56)/12,Loyalty,2)*$F$1*MAX(CD597,0)</f>
        <v>18.557001321003963</v>
      </c>
      <c r="CC598" s="75">
        <f>PARAM!$C$26+MAX($G$22-CHOOSE(PARAM!$B$44,MAX(0,CD597*$F$1),0),0)*RATES!$L574/12+$H$22*(PARAM!$D$51/12)*RATES!$N574/100</f>
        <v>252.45833333333334</v>
      </c>
      <c r="CD598" s="16">
        <f t="shared" si="389"/>
        <v>-22162.443603255659</v>
      </c>
      <c r="CE598" s="33">
        <f>IF(0=MOD(B598,12/PARAM!$D$51),1,0)</f>
        <v>1</v>
      </c>
      <c r="CF598" s="15">
        <f t="shared" si="364"/>
        <v>0</v>
      </c>
      <c r="CG598" s="75">
        <f>CF598*(1-PARAM!$C$27)*$R$3+(MOD($B598/12,5)=0)*($B598&gt;60)*HLOOKUP($B598/12,Loyalty,2)*$F$1*MAX(CI597,0)</f>
        <v>0</v>
      </c>
      <c r="CH598" s="75">
        <f>PARAM!$C$26+MAX($P$3-CHOOSE(PARAM!$B$44,MAX(0,CI597*$F$1),0),0)*RATES!$L574/12+$Q$3*(PARAM!$D$51/12)*RATES!$N574/100</f>
        <v>252.45833333333334</v>
      </c>
      <c r="CI598" s="16">
        <f>IF(CI597&gt;0,CI597*PARAM!$C$53,CI597)+CG598-CH598</f>
        <v>-32638.916666666675</v>
      </c>
      <c r="CJ598" s="15">
        <f t="shared" si="390"/>
        <v>0</v>
      </c>
      <c r="CK598" s="75">
        <f>CJ598*(1-PARAM!$C$27)*$R$4+(MOD($B598/12,5)=0)*($B598&gt;60)*HLOOKUP($B598/12,Loyalty,2)*$F$1*MAX(CM597,0)</f>
        <v>0</v>
      </c>
      <c r="CL598" s="75">
        <f>PARAM!$C$26+MAX($P$4-CHOOSE(PARAM!$B$44,MAX(0,CM597*$F$1),0),0)*RATES!$L574/12+$Q$4*(PARAM!$D$51/12)*RATES!$N574/100</f>
        <v>252.45833333333334</v>
      </c>
      <c r="CM598" s="16">
        <f>IF(CM597&gt;0,CM597*PARAM!$C$53,CM597)+CK598-CL598</f>
        <v>-32638.916666666675</v>
      </c>
      <c r="CO598" s="176"/>
    </row>
    <row r="599" spans="1:93" x14ac:dyDescent="0.2">
      <c r="A599" t="b">
        <f t="shared" si="365"/>
        <v>0</v>
      </c>
      <c r="B599" s="33">
        <v>572</v>
      </c>
      <c r="C599" s="15">
        <f t="shared" si="366"/>
        <v>20.081305947392778</v>
      </c>
      <c r="D599" s="75">
        <f>C599*(1-PARAM!$C$27)*$I$3+(MOD($B599,60)=PARAM!$B$56)*($B599&gt;(60-PARAM!$B$56))*HLOOKUP(($B599+PARAM!$B$56)/12,Loyalty,2)*$F$1*MAX(F598,0)</f>
        <v>16.808053077967756</v>
      </c>
      <c r="E599" s="75">
        <f>PARAM!$C$26+MAX($G$3-CHOOSE(PARAM!$B$44,MAX(0,F598*$F$1),0),0)*RATES!$L575/12+$H$3*(PARAM!$D$51/12)*RATES!$N575/100</f>
        <v>252.45833333333334</v>
      </c>
      <c r="F599" s="16">
        <f t="shared" si="367"/>
        <v>-23433.593830806261</v>
      </c>
      <c r="G599" s="15">
        <f t="shared" si="368"/>
        <v>22.035289406060361</v>
      </c>
      <c r="H599" s="75">
        <f>G599*(1-PARAM!$C$27)*$I$4+(MOD($B599,60)=PARAM!$B$56)*($B599&gt;(60-PARAM!$B$56))*HLOOKUP(($B599+PARAM!$B$56)/12,Loyalty,2)*$F$1*MAX(J598,0)</f>
        <v>18.443537232872522</v>
      </c>
      <c r="I599" s="75">
        <f>PARAM!$C$26+MAX($G$4-CHOOSE(PARAM!$B$44,MAX(0,J598*$F$1),0),0)*RATES!$L575/12+$H$4*(PARAM!$D$51/12)*RATES!$N575/100</f>
        <v>252.45833333333334</v>
      </c>
      <c r="J599" s="16">
        <f t="shared" si="369"/>
        <v>-22464.263930078982</v>
      </c>
      <c r="K599" s="15">
        <f t="shared" si="370"/>
        <v>22.170849845882874</v>
      </c>
      <c r="L599" s="75">
        <f>K599*(1-PARAM!$C$27)*$I$5+(MOD($B599,60)=PARAM!$B$56)*($B599&gt;(60-PARAM!$B$56))*HLOOKUP(($B599+PARAM!$B$56)/12,Loyalty,2)*$F$1*MAX(N598,0)</f>
        <v>18.557001321003963</v>
      </c>
      <c r="M599" s="75">
        <f>PARAM!$C$26+MAX($G$5-CHOOSE(PARAM!$B$44,MAX(0,N598*$F$1),0),0)*RATES!$L575/12+$H$5*(PARAM!$D$51/12)*RATES!$N575/100</f>
        <v>252.45833333333334</v>
      </c>
      <c r="N599" s="16">
        <f t="shared" si="371"/>
        <v>-22396.344935267985</v>
      </c>
      <c r="O599" s="15">
        <f t="shared" si="372"/>
        <v>22.170849845882874</v>
      </c>
      <c r="P599" s="75">
        <f>O599*(1-PARAM!$C$27)*$I$6+(MOD($B599,60)=PARAM!$B$56)*($B599&gt;(60-PARAM!$B$56))*HLOOKUP(($B599+PARAM!$B$56)/12,Loyalty,2)*$F$1*MAX(R598,0)</f>
        <v>18.557001321003963</v>
      </c>
      <c r="Q599" s="75">
        <f>PARAM!$C$26+MAX($G$6-CHOOSE(PARAM!$B$44,MAX(0,R598*$F$1),0),0)*RATES!$L575/12+$H$6*(PARAM!$D$51/12)*RATES!$N575/100</f>
        <v>252.45833333333334</v>
      </c>
      <c r="R599" s="16">
        <f t="shared" si="373"/>
        <v>-22396.344935267985</v>
      </c>
      <c r="S599" s="15">
        <f t="shared" si="348"/>
        <v>22.170849845882874</v>
      </c>
      <c r="T599" s="75">
        <f>S599*(1-PARAM!$C$27)*$I$7+(MOD($B599,60)=PARAM!$B$56)*($B599&gt;(60-PARAM!$B$56))*HLOOKUP(($B599+PARAM!$B$56)/12,Loyalty,2)*$F$1*MAX(V598,0)</f>
        <v>18.557001321003963</v>
      </c>
      <c r="U599" s="75">
        <f>PARAM!$C$26+MAX($G$7-CHOOSE(PARAM!$B$44,MAX(0,V598*$F$1),0),0)*RATES!$L575/12+$H$7*(PARAM!$D$51/12)*RATES!$N575/100</f>
        <v>252.45833333333334</v>
      </c>
      <c r="V599" s="16">
        <f t="shared" si="374"/>
        <v>-22396.344935267985</v>
      </c>
      <c r="W599" s="15">
        <f t="shared" si="349"/>
        <v>22.170849845882874</v>
      </c>
      <c r="X599" s="75">
        <f>W599*(1-PARAM!$C$27)*$I$8+(MOD($B599,60)=PARAM!$B$56)*($B599&gt;(60-PARAM!$B$56))*HLOOKUP(($B599+PARAM!$B$56)/12,Loyalty,2)*$F$1*MAX(Z598,0)</f>
        <v>18.557001321003963</v>
      </c>
      <c r="Y599" s="75">
        <f>PARAM!$C$26+MAX($G$8-CHOOSE(PARAM!$B$44,MAX(0,Z598*$F$1),0),0)*RATES!$L575/12+$H$8*(PARAM!$D$51/12)*RATES!$N575/100</f>
        <v>252.45833333333334</v>
      </c>
      <c r="Z599" s="16">
        <f t="shared" si="375"/>
        <v>-22396.344935267985</v>
      </c>
      <c r="AA599" s="15">
        <f t="shared" si="350"/>
        <v>22.170849845882874</v>
      </c>
      <c r="AB599" s="75">
        <f>AA599*(1-PARAM!$C$27)*$I$9+(MOD($B599,60)=PARAM!$B$56)*($B599&gt;(60-PARAM!$B$56))*HLOOKUP(($B599+PARAM!$B$56)/12,Loyalty,2)*$F$1*MAX(AD598,0)</f>
        <v>18.557001321003963</v>
      </c>
      <c r="AC599" s="75">
        <f>PARAM!$C$26+MAX($G$9-CHOOSE(PARAM!$B$44,MAX(0,AD598*$F$1),0),0)*RATES!$L575/12+$H$9*(PARAM!$D$51/12)*RATES!$N575/100</f>
        <v>252.45833333333334</v>
      </c>
      <c r="AD599" s="16">
        <f t="shared" si="376"/>
        <v>-22396.344935267985</v>
      </c>
      <c r="AE599" s="15">
        <f t="shared" si="351"/>
        <v>22.170849845882874</v>
      </c>
      <c r="AF599" s="75">
        <f>AE599*(1-PARAM!$C$27)*$I$10+(MOD($B599,60)=PARAM!$B$56)*($B599&gt;(60-PARAM!$B$56))*HLOOKUP(($B599+PARAM!$B$56)/12,Loyalty,2)*$F$1*MAX(AH598,0)</f>
        <v>18.557001321003963</v>
      </c>
      <c r="AG599" s="75">
        <f>PARAM!$C$26+MAX($G$10-CHOOSE(PARAM!$B$44,MAX(0,AH598*$F$1),0),0)*RATES!$L575/12+$H$10*(PARAM!$D$51/12)*RATES!$N575/100</f>
        <v>252.45833333333334</v>
      </c>
      <c r="AH599" s="16">
        <f t="shared" si="377"/>
        <v>-22396.344935267985</v>
      </c>
      <c r="AI599" s="15">
        <f t="shared" si="352"/>
        <v>22.170849845882874</v>
      </c>
      <c r="AJ599" s="75">
        <f>AI599*(1-PARAM!$C$27)*$I$11+(MOD($B599,60)=PARAM!$B$56)*($B599&gt;(60-PARAM!$B$56))*HLOOKUP(($B599+PARAM!$B$56)/12,Loyalty,2)*$F$1*MAX(AL598,0)</f>
        <v>18.557001321003963</v>
      </c>
      <c r="AK599" s="75">
        <f>PARAM!$C$26+MAX($G$11-CHOOSE(PARAM!$B$44,MAX(0,AL598*$F$1),0),0)*RATES!$L575/12+$H$11*(PARAM!$D$51/12)*RATES!$N575/100</f>
        <v>252.45833333333334</v>
      </c>
      <c r="AL599" s="16">
        <f t="shared" si="378"/>
        <v>-22396.344935267985</v>
      </c>
      <c r="AM599" s="15">
        <f t="shared" si="353"/>
        <v>22.170849845882874</v>
      </c>
      <c r="AN599" s="75">
        <f>AM599*(1-PARAM!$C$27)*$I$12+(MOD($B599,60)=PARAM!$B$56)*($B599&gt;(60-PARAM!$B$56))*HLOOKUP(($B599+PARAM!$B$56)/12,Loyalty,2)*$F$1*MAX(AP598,0)</f>
        <v>18.557001321003963</v>
      </c>
      <c r="AO599" s="75">
        <f>PARAM!$C$26+MAX($G$12-CHOOSE(PARAM!$B$44,MAX(0,AP598*$F$1),0),0)*RATES!$L575/12+$H$12*(PARAM!$D$51/12)*RATES!$N575/100</f>
        <v>252.45833333333334</v>
      </c>
      <c r="AP599" s="16">
        <f t="shared" si="379"/>
        <v>-22396.344935267985</v>
      </c>
      <c r="AQ599" s="15">
        <f t="shared" si="354"/>
        <v>22.170849845882874</v>
      </c>
      <c r="AR599" s="75">
        <f>AQ599*(1-PARAM!$C$27)*$I$13+(MOD($B599,60)=PARAM!$B$56)*($B599&gt;(60-PARAM!$B$56))*HLOOKUP(($B599+PARAM!$B$56)/12,Loyalty,2)*$F$1*MAX(AT598,0)</f>
        <v>18.557001321003963</v>
      </c>
      <c r="AS599" s="75">
        <f>PARAM!$C$26+MAX($G$13-CHOOSE(PARAM!$B$44,MAX(0,AT598*$F$1),0),0)*RATES!$L575/12+$H$13*(PARAM!$D$51/12)*RATES!$N575/100</f>
        <v>252.45833333333334</v>
      </c>
      <c r="AT599" s="16">
        <f t="shared" si="380"/>
        <v>-22396.344935267985</v>
      </c>
      <c r="AU599" s="15">
        <f t="shared" si="355"/>
        <v>22.170849845882874</v>
      </c>
      <c r="AV599" s="75">
        <f>AU599*(1-PARAM!$C$27)*$I$14+(MOD($B599,60)=PARAM!$B$56)*($B599&gt;(60-PARAM!$B$56))*HLOOKUP(($B599+PARAM!$B$56)/12,Loyalty,2)*$F$1*MAX(AX598,0)</f>
        <v>18.557001321003963</v>
      </c>
      <c r="AW599" s="75">
        <f>PARAM!$C$26+MAX($G$14-CHOOSE(PARAM!$B$44,MAX(0,AX598*$F$1),0),0)*RATES!$L575/12+$H$14*(PARAM!$D$51/12)*RATES!$N575/100</f>
        <v>252.45833333333334</v>
      </c>
      <c r="AX599" s="16">
        <f t="shared" si="381"/>
        <v>-22396.344935267985</v>
      </c>
      <c r="AY599" s="15">
        <f t="shared" si="356"/>
        <v>22.170849845882874</v>
      </c>
      <c r="AZ599" s="75">
        <f>AY599*(1-PARAM!$C$27)*$I$15+(MOD($B599,60)=PARAM!$B$56)*($B599&gt;(60-PARAM!$B$56))*HLOOKUP(($B599+PARAM!$B$56)/12,Loyalty,2)*$F$1*MAX(BB598,0)</f>
        <v>18.557001321003963</v>
      </c>
      <c r="BA599" s="75">
        <f>PARAM!$C$26+MAX($G$15-CHOOSE(PARAM!$B$44,MAX(0,BB598*$F$1),0),0)*RATES!$L575/12+$H$15*(PARAM!$D$51/12)*RATES!$N575/100</f>
        <v>252.45833333333334</v>
      </c>
      <c r="BB599" s="16">
        <f t="shared" si="382"/>
        <v>-22396.344935267985</v>
      </c>
      <c r="BC599" s="15">
        <f t="shared" si="357"/>
        <v>22.170849845882874</v>
      </c>
      <c r="BD599" s="75">
        <f>BC599*(1-PARAM!$C$27)*$I$16+(MOD($B599,60)=PARAM!$B$56)*($B599&gt;(60-PARAM!$B$56))*HLOOKUP(($B599+PARAM!$B$56)/12,Loyalty,2)*$F$1*MAX(BF598,0)</f>
        <v>18.557001321003963</v>
      </c>
      <c r="BE599" s="75">
        <f>PARAM!$C$26+MAX($G$16-CHOOSE(PARAM!$B$44,MAX(0,BF598*$F$1),0),0)*RATES!$L575/12+$H$16*(PARAM!$D$51/12)*RATES!$N575/100</f>
        <v>252.45833333333334</v>
      </c>
      <c r="BF599" s="16">
        <f t="shared" si="383"/>
        <v>-22396.344935267985</v>
      </c>
      <c r="BG599" s="15">
        <f t="shared" si="358"/>
        <v>22.170849845882874</v>
      </c>
      <c r="BH599" s="75">
        <f>BG599*(1-PARAM!$C$27)*$I$17+(MOD($B599,60)=PARAM!$B$56)*($B599&gt;(60-PARAM!$B$56))*HLOOKUP(($B599+PARAM!$B$56)/12,Loyalty,2)*$F$1*MAX(BJ598,0)</f>
        <v>18.557001321003963</v>
      </c>
      <c r="BI599" s="75">
        <f>PARAM!$C$26+MAX($G$17-CHOOSE(PARAM!$B$44,MAX(0,BJ598*$F$1),0),0)*RATES!$L575/12+$H$17*(PARAM!$D$51/12)*RATES!$N575/100</f>
        <v>252.45833333333334</v>
      </c>
      <c r="BJ599" s="16">
        <f t="shared" si="384"/>
        <v>-22396.344935267985</v>
      </c>
      <c r="BK599" s="15">
        <f t="shared" si="359"/>
        <v>22.170849845882874</v>
      </c>
      <c r="BL599" s="75">
        <f>BK599*(1-PARAM!$C$27)*$I$18+(MOD($B599,60)=PARAM!$B$56)*($B599&gt;(60-PARAM!$B$56))*HLOOKUP(($B599+PARAM!$B$56)/12,Loyalty,2)*$F$1*MAX(BN598,0)</f>
        <v>18.557001321003963</v>
      </c>
      <c r="BM599" s="75">
        <f>PARAM!$C$26+MAX($G$18-CHOOSE(PARAM!$B$44,MAX(0,BN598*$F$1),0),0)*RATES!$L575/12+$H$18*(PARAM!$D$51/12)*RATES!$N575/100</f>
        <v>252.45833333333334</v>
      </c>
      <c r="BN599" s="16">
        <f t="shared" si="385"/>
        <v>-22396.344935267985</v>
      </c>
      <c r="BO599" s="15">
        <f t="shared" si="360"/>
        <v>22.170849845882874</v>
      </c>
      <c r="BP599" s="75">
        <f>BO599*(1-PARAM!$C$27)*$I$19+(MOD($B599,60)=PARAM!$B$56)*($B599&gt;(60-PARAM!$B$56))*HLOOKUP(($B599+PARAM!$B$56)/12,Loyalty,2)*$F$1*MAX(BR598,0)</f>
        <v>18.557001321003963</v>
      </c>
      <c r="BQ599" s="75">
        <f>PARAM!$C$26+MAX($G$19-CHOOSE(PARAM!$B$44,MAX(0,BR598*$F$1),0),0)*RATES!$L575/12+$H$19*(PARAM!$D$51/12)*RATES!$N575/100</f>
        <v>252.45833333333334</v>
      </c>
      <c r="BR599" s="16">
        <f t="shared" si="386"/>
        <v>-22396.344935267985</v>
      </c>
      <c r="BS599" s="15">
        <f t="shared" si="361"/>
        <v>22.170849845882874</v>
      </c>
      <c r="BT599" s="75">
        <f>BS599*(1-PARAM!$C$27)*$I$20+(MOD($B599,60)=PARAM!$B$56)*($B599&gt;(60-PARAM!$B$56))*HLOOKUP(($B599+PARAM!$B$56)/12,Loyalty,2)*$F$1*MAX(BV598,0)</f>
        <v>18.557001321003963</v>
      </c>
      <c r="BU599" s="75">
        <f>PARAM!$C$26+MAX($G$20-CHOOSE(PARAM!$B$44,MAX(0,BV598*$F$1),0),0)*RATES!$L575/12+$H$20*(PARAM!$D$51/12)*RATES!$N575/100</f>
        <v>252.45833333333334</v>
      </c>
      <c r="BV599" s="16">
        <f t="shared" si="387"/>
        <v>-22396.344935267985</v>
      </c>
      <c r="BW599" s="15">
        <f t="shared" si="362"/>
        <v>22.170849845882874</v>
      </c>
      <c r="BX599" s="75">
        <f>BW599*(1-PARAM!$C$27)*$I$21+(MOD($B599,60)=PARAM!$B$56)*($B599&gt;(60-PARAM!$B$56))*HLOOKUP(($B599+PARAM!$B$56)/12,Loyalty,2)*$F$1*MAX(BZ598,0)</f>
        <v>18.557001321003963</v>
      </c>
      <c r="BY599" s="75">
        <f>PARAM!$C$26+MAX($G$21-CHOOSE(PARAM!$B$44,MAX(0,BZ598*$F$1),0),0)*RATES!$L575/12+$H$21*(PARAM!$D$51/12)*RATES!$N575/100</f>
        <v>252.45833333333334</v>
      </c>
      <c r="BZ599" s="16">
        <f t="shared" si="388"/>
        <v>-22396.344935267985</v>
      </c>
      <c r="CA599" s="15">
        <f t="shared" si="363"/>
        <v>22.170849845882874</v>
      </c>
      <c r="CB599" s="75">
        <f>CA599*(1-PARAM!$C$27)*$I$22+(MOD($B599,60)=PARAM!$B$56)*($B599&gt;(60-PARAM!$B$56))*HLOOKUP(($B599+PARAM!$B$56)/12,Loyalty,2)*$F$1*MAX(CD598,0)</f>
        <v>18.557001321003963</v>
      </c>
      <c r="CC599" s="75">
        <f>PARAM!$C$26+MAX($G$22-CHOOSE(PARAM!$B$44,MAX(0,CD598*$F$1),0),0)*RATES!$L575/12+$H$22*(PARAM!$D$51/12)*RATES!$N575/100</f>
        <v>252.45833333333334</v>
      </c>
      <c r="CD599" s="16">
        <f t="shared" si="389"/>
        <v>-22396.344935267985</v>
      </c>
      <c r="CE599" s="33">
        <f>IF(0=MOD(B599,12/PARAM!$D$51),1,0)</f>
        <v>1</v>
      </c>
      <c r="CF599" s="15">
        <f t="shared" si="364"/>
        <v>0</v>
      </c>
      <c r="CG599" s="75">
        <f>CF599*(1-PARAM!$C$27)*$R$3+(MOD($B599/12,5)=0)*($B599&gt;60)*HLOOKUP($B599/12,Loyalty,2)*$F$1*MAX(CI598,0)</f>
        <v>0</v>
      </c>
      <c r="CH599" s="75">
        <f>PARAM!$C$26+MAX($P$3-CHOOSE(PARAM!$B$44,MAX(0,CI598*$F$1),0),0)*RATES!$L575/12+$Q$3*(PARAM!$D$51/12)*RATES!$N575/100</f>
        <v>252.45833333333334</v>
      </c>
      <c r="CI599" s="16">
        <f>IF(CI598&gt;0,CI598*PARAM!$C$53,CI598)+CG599-CH599</f>
        <v>-32891.375000000007</v>
      </c>
      <c r="CJ599" s="15">
        <f t="shared" si="390"/>
        <v>0</v>
      </c>
      <c r="CK599" s="75">
        <f>CJ599*(1-PARAM!$C$27)*$R$4+(MOD($B599/12,5)=0)*($B599&gt;60)*HLOOKUP($B599/12,Loyalty,2)*$F$1*MAX(CM598,0)</f>
        <v>0</v>
      </c>
      <c r="CL599" s="75">
        <f>PARAM!$C$26+MAX($P$4-CHOOSE(PARAM!$B$44,MAX(0,CM598*$F$1),0),0)*RATES!$L575/12+$Q$4*(PARAM!$D$51/12)*RATES!$N575/100</f>
        <v>252.45833333333334</v>
      </c>
      <c r="CM599" s="16">
        <f>IF(CM598&gt;0,CM598*PARAM!$C$53,CM598)+CK599-CL599</f>
        <v>-32891.375000000007</v>
      </c>
      <c r="CO599" s="176"/>
    </row>
    <row r="600" spans="1:93" x14ac:dyDescent="0.2">
      <c r="A600" t="b">
        <f t="shared" si="365"/>
        <v>0</v>
      </c>
      <c r="B600" s="33">
        <v>573</v>
      </c>
      <c r="C600" s="15">
        <f t="shared" si="366"/>
        <v>20.081305947392778</v>
      </c>
      <c r="D600" s="75">
        <f>C600*(1-PARAM!$C$27)*$I$3+(MOD($B600,60)=PARAM!$B$56)*($B600&gt;(60-PARAM!$B$56))*HLOOKUP(($B600+PARAM!$B$56)/12,Loyalty,2)*$F$1*MAX(F599,0)</f>
        <v>16.808053077967756</v>
      </c>
      <c r="E600" s="75">
        <f>PARAM!$C$26+MAX($G$3-CHOOSE(PARAM!$B$44,MAX(0,F599*$F$1),0),0)*RATES!$L576/12+$H$3*(PARAM!$D$51/12)*RATES!$N576/100</f>
        <v>252.45833333333334</v>
      </c>
      <c r="F600" s="16">
        <f t="shared" si="367"/>
        <v>-23669.244111061627</v>
      </c>
      <c r="G600" s="15">
        <f t="shared" si="368"/>
        <v>22.035289406060361</v>
      </c>
      <c r="H600" s="75">
        <f>G600*(1-PARAM!$C$27)*$I$4+(MOD($B600,60)=PARAM!$B$56)*($B600&gt;(60-PARAM!$B$56))*HLOOKUP(($B600+PARAM!$B$56)/12,Loyalty,2)*$F$1*MAX(J599,0)</f>
        <v>18.443537232872522</v>
      </c>
      <c r="I600" s="75">
        <f>PARAM!$C$26+MAX($G$4-CHOOSE(PARAM!$B$44,MAX(0,J599*$F$1),0),0)*RATES!$L576/12+$H$4*(PARAM!$D$51/12)*RATES!$N576/100</f>
        <v>252.45833333333334</v>
      </c>
      <c r="J600" s="16">
        <f t="shared" si="369"/>
        <v>-22698.27872617944</v>
      </c>
      <c r="K600" s="15">
        <f t="shared" si="370"/>
        <v>22.170849845882874</v>
      </c>
      <c r="L600" s="75">
        <f>K600*(1-PARAM!$C$27)*$I$5+(MOD($B600,60)=PARAM!$B$56)*($B600&gt;(60-PARAM!$B$56))*HLOOKUP(($B600+PARAM!$B$56)/12,Loyalty,2)*$F$1*MAX(N599,0)</f>
        <v>18.557001321003963</v>
      </c>
      <c r="M600" s="75">
        <f>PARAM!$C$26+MAX($G$5-CHOOSE(PARAM!$B$44,MAX(0,N599*$F$1),0),0)*RATES!$L576/12+$H$5*(PARAM!$D$51/12)*RATES!$N576/100</f>
        <v>252.45833333333334</v>
      </c>
      <c r="N600" s="16">
        <f t="shared" si="371"/>
        <v>-22630.246267280312</v>
      </c>
      <c r="O600" s="15">
        <f t="shared" si="372"/>
        <v>22.170849845882874</v>
      </c>
      <c r="P600" s="75">
        <f>O600*(1-PARAM!$C$27)*$I$6+(MOD($B600,60)=PARAM!$B$56)*($B600&gt;(60-PARAM!$B$56))*HLOOKUP(($B600+PARAM!$B$56)/12,Loyalty,2)*$F$1*MAX(R599,0)</f>
        <v>18.557001321003963</v>
      </c>
      <c r="Q600" s="75">
        <f>PARAM!$C$26+MAX($G$6-CHOOSE(PARAM!$B$44,MAX(0,R599*$F$1),0),0)*RATES!$L576/12+$H$6*(PARAM!$D$51/12)*RATES!$N576/100</f>
        <v>252.45833333333334</v>
      </c>
      <c r="R600" s="16">
        <f t="shared" si="373"/>
        <v>-22630.246267280312</v>
      </c>
      <c r="S600" s="15">
        <f t="shared" si="348"/>
        <v>22.170849845882874</v>
      </c>
      <c r="T600" s="75">
        <f>S600*(1-PARAM!$C$27)*$I$7+(MOD($B600,60)=PARAM!$B$56)*($B600&gt;(60-PARAM!$B$56))*HLOOKUP(($B600+PARAM!$B$56)/12,Loyalty,2)*$F$1*MAX(V599,0)</f>
        <v>18.557001321003963</v>
      </c>
      <c r="U600" s="75">
        <f>PARAM!$C$26+MAX($G$7-CHOOSE(PARAM!$B$44,MAX(0,V599*$F$1),0),0)*RATES!$L576/12+$H$7*(PARAM!$D$51/12)*RATES!$N576/100</f>
        <v>252.45833333333334</v>
      </c>
      <c r="V600" s="16">
        <f t="shared" si="374"/>
        <v>-22630.246267280312</v>
      </c>
      <c r="W600" s="15">
        <f t="shared" si="349"/>
        <v>22.170849845882874</v>
      </c>
      <c r="X600" s="75">
        <f>W600*(1-PARAM!$C$27)*$I$8+(MOD($B600,60)=PARAM!$B$56)*($B600&gt;(60-PARAM!$B$56))*HLOOKUP(($B600+PARAM!$B$56)/12,Loyalty,2)*$F$1*MAX(Z599,0)</f>
        <v>18.557001321003963</v>
      </c>
      <c r="Y600" s="75">
        <f>PARAM!$C$26+MAX($G$8-CHOOSE(PARAM!$B$44,MAX(0,Z599*$F$1),0),0)*RATES!$L576/12+$H$8*(PARAM!$D$51/12)*RATES!$N576/100</f>
        <v>252.45833333333334</v>
      </c>
      <c r="Z600" s="16">
        <f t="shared" si="375"/>
        <v>-22630.246267280312</v>
      </c>
      <c r="AA600" s="15">
        <f t="shared" si="350"/>
        <v>22.170849845882874</v>
      </c>
      <c r="AB600" s="75">
        <f>AA600*(1-PARAM!$C$27)*$I$9+(MOD($B600,60)=PARAM!$B$56)*($B600&gt;(60-PARAM!$B$56))*HLOOKUP(($B600+PARAM!$B$56)/12,Loyalty,2)*$F$1*MAX(AD599,0)</f>
        <v>18.557001321003963</v>
      </c>
      <c r="AC600" s="75">
        <f>PARAM!$C$26+MAX($G$9-CHOOSE(PARAM!$B$44,MAX(0,AD599*$F$1),0),0)*RATES!$L576/12+$H$9*(PARAM!$D$51/12)*RATES!$N576/100</f>
        <v>252.45833333333334</v>
      </c>
      <c r="AD600" s="16">
        <f t="shared" si="376"/>
        <v>-22630.246267280312</v>
      </c>
      <c r="AE600" s="15">
        <f t="shared" si="351"/>
        <v>22.170849845882874</v>
      </c>
      <c r="AF600" s="75">
        <f>AE600*(1-PARAM!$C$27)*$I$10+(MOD($B600,60)=PARAM!$B$56)*($B600&gt;(60-PARAM!$B$56))*HLOOKUP(($B600+PARAM!$B$56)/12,Loyalty,2)*$F$1*MAX(AH599,0)</f>
        <v>18.557001321003963</v>
      </c>
      <c r="AG600" s="75">
        <f>PARAM!$C$26+MAX($G$10-CHOOSE(PARAM!$B$44,MAX(0,AH599*$F$1),0),0)*RATES!$L576/12+$H$10*(PARAM!$D$51/12)*RATES!$N576/100</f>
        <v>252.45833333333334</v>
      </c>
      <c r="AH600" s="16">
        <f t="shared" si="377"/>
        <v>-22630.246267280312</v>
      </c>
      <c r="AI600" s="15">
        <f t="shared" si="352"/>
        <v>22.170849845882874</v>
      </c>
      <c r="AJ600" s="75">
        <f>AI600*(1-PARAM!$C$27)*$I$11+(MOD($B600,60)=PARAM!$B$56)*($B600&gt;(60-PARAM!$B$56))*HLOOKUP(($B600+PARAM!$B$56)/12,Loyalty,2)*$F$1*MAX(AL599,0)</f>
        <v>18.557001321003963</v>
      </c>
      <c r="AK600" s="75">
        <f>PARAM!$C$26+MAX($G$11-CHOOSE(PARAM!$B$44,MAX(0,AL599*$F$1),0),0)*RATES!$L576/12+$H$11*(PARAM!$D$51/12)*RATES!$N576/100</f>
        <v>252.45833333333334</v>
      </c>
      <c r="AL600" s="16">
        <f t="shared" si="378"/>
        <v>-22630.246267280312</v>
      </c>
      <c r="AM600" s="15">
        <f t="shared" si="353"/>
        <v>22.170849845882874</v>
      </c>
      <c r="AN600" s="75">
        <f>AM600*(1-PARAM!$C$27)*$I$12+(MOD($B600,60)=PARAM!$B$56)*($B600&gt;(60-PARAM!$B$56))*HLOOKUP(($B600+PARAM!$B$56)/12,Loyalty,2)*$F$1*MAX(AP599,0)</f>
        <v>18.557001321003963</v>
      </c>
      <c r="AO600" s="75">
        <f>PARAM!$C$26+MAX($G$12-CHOOSE(PARAM!$B$44,MAX(0,AP599*$F$1),0),0)*RATES!$L576/12+$H$12*(PARAM!$D$51/12)*RATES!$N576/100</f>
        <v>252.45833333333334</v>
      </c>
      <c r="AP600" s="16">
        <f t="shared" si="379"/>
        <v>-22630.246267280312</v>
      </c>
      <c r="AQ600" s="15">
        <f t="shared" si="354"/>
        <v>22.170849845882874</v>
      </c>
      <c r="AR600" s="75">
        <f>AQ600*(1-PARAM!$C$27)*$I$13+(MOD($B600,60)=PARAM!$B$56)*($B600&gt;(60-PARAM!$B$56))*HLOOKUP(($B600+PARAM!$B$56)/12,Loyalty,2)*$F$1*MAX(AT599,0)</f>
        <v>18.557001321003963</v>
      </c>
      <c r="AS600" s="75">
        <f>PARAM!$C$26+MAX($G$13-CHOOSE(PARAM!$B$44,MAX(0,AT599*$F$1),0),0)*RATES!$L576/12+$H$13*(PARAM!$D$51/12)*RATES!$N576/100</f>
        <v>252.45833333333334</v>
      </c>
      <c r="AT600" s="16">
        <f t="shared" si="380"/>
        <v>-22630.246267280312</v>
      </c>
      <c r="AU600" s="15">
        <f t="shared" si="355"/>
        <v>22.170849845882874</v>
      </c>
      <c r="AV600" s="75">
        <f>AU600*(1-PARAM!$C$27)*$I$14+(MOD($B600,60)=PARAM!$B$56)*($B600&gt;(60-PARAM!$B$56))*HLOOKUP(($B600+PARAM!$B$56)/12,Loyalty,2)*$F$1*MAX(AX599,0)</f>
        <v>18.557001321003963</v>
      </c>
      <c r="AW600" s="75">
        <f>PARAM!$C$26+MAX($G$14-CHOOSE(PARAM!$B$44,MAX(0,AX599*$F$1),0),0)*RATES!$L576/12+$H$14*(PARAM!$D$51/12)*RATES!$N576/100</f>
        <v>252.45833333333334</v>
      </c>
      <c r="AX600" s="16">
        <f t="shared" si="381"/>
        <v>-22630.246267280312</v>
      </c>
      <c r="AY600" s="15">
        <f t="shared" si="356"/>
        <v>22.170849845882874</v>
      </c>
      <c r="AZ600" s="75">
        <f>AY600*(1-PARAM!$C$27)*$I$15+(MOD($B600,60)=PARAM!$B$56)*($B600&gt;(60-PARAM!$B$56))*HLOOKUP(($B600+PARAM!$B$56)/12,Loyalty,2)*$F$1*MAX(BB599,0)</f>
        <v>18.557001321003963</v>
      </c>
      <c r="BA600" s="75">
        <f>PARAM!$C$26+MAX($G$15-CHOOSE(PARAM!$B$44,MAX(0,BB599*$F$1),0),0)*RATES!$L576/12+$H$15*(PARAM!$D$51/12)*RATES!$N576/100</f>
        <v>252.45833333333334</v>
      </c>
      <c r="BB600" s="16">
        <f t="shared" si="382"/>
        <v>-22630.246267280312</v>
      </c>
      <c r="BC600" s="15">
        <f t="shared" si="357"/>
        <v>22.170849845882874</v>
      </c>
      <c r="BD600" s="75">
        <f>BC600*(1-PARAM!$C$27)*$I$16+(MOD($B600,60)=PARAM!$B$56)*($B600&gt;(60-PARAM!$B$56))*HLOOKUP(($B600+PARAM!$B$56)/12,Loyalty,2)*$F$1*MAX(BF599,0)</f>
        <v>18.557001321003963</v>
      </c>
      <c r="BE600" s="75">
        <f>PARAM!$C$26+MAX($G$16-CHOOSE(PARAM!$B$44,MAX(0,BF599*$F$1),0),0)*RATES!$L576/12+$H$16*(PARAM!$D$51/12)*RATES!$N576/100</f>
        <v>252.45833333333334</v>
      </c>
      <c r="BF600" s="16">
        <f t="shared" si="383"/>
        <v>-22630.246267280312</v>
      </c>
      <c r="BG600" s="15">
        <f t="shared" si="358"/>
        <v>22.170849845882874</v>
      </c>
      <c r="BH600" s="75">
        <f>BG600*(1-PARAM!$C$27)*$I$17+(MOD($B600,60)=PARAM!$B$56)*($B600&gt;(60-PARAM!$B$56))*HLOOKUP(($B600+PARAM!$B$56)/12,Loyalty,2)*$F$1*MAX(BJ599,0)</f>
        <v>18.557001321003963</v>
      </c>
      <c r="BI600" s="75">
        <f>PARAM!$C$26+MAX($G$17-CHOOSE(PARAM!$B$44,MAX(0,BJ599*$F$1),0),0)*RATES!$L576/12+$H$17*(PARAM!$D$51/12)*RATES!$N576/100</f>
        <v>252.45833333333334</v>
      </c>
      <c r="BJ600" s="16">
        <f t="shared" si="384"/>
        <v>-22630.246267280312</v>
      </c>
      <c r="BK600" s="15">
        <f t="shared" si="359"/>
        <v>22.170849845882874</v>
      </c>
      <c r="BL600" s="75">
        <f>BK600*(1-PARAM!$C$27)*$I$18+(MOD($B600,60)=PARAM!$B$56)*($B600&gt;(60-PARAM!$B$56))*HLOOKUP(($B600+PARAM!$B$56)/12,Loyalty,2)*$F$1*MAX(BN599,0)</f>
        <v>18.557001321003963</v>
      </c>
      <c r="BM600" s="75">
        <f>PARAM!$C$26+MAX($G$18-CHOOSE(PARAM!$B$44,MAX(0,BN599*$F$1),0),0)*RATES!$L576/12+$H$18*(PARAM!$D$51/12)*RATES!$N576/100</f>
        <v>252.45833333333334</v>
      </c>
      <c r="BN600" s="16">
        <f t="shared" si="385"/>
        <v>-22630.246267280312</v>
      </c>
      <c r="BO600" s="15">
        <f t="shared" si="360"/>
        <v>22.170849845882874</v>
      </c>
      <c r="BP600" s="75">
        <f>BO600*(1-PARAM!$C$27)*$I$19+(MOD($B600,60)=PARAM!$B$56)*($B600&gt;(60-PARAM!$B$56))*HLOOKUP(($B600+PARAM!$B$56)/12,Loyalty,2)*$F$1*MAX(BR599,0)</f>
        <v>18.557001321003963</v>
      </c>
      <c r="BQ600" s="75">
        <f>PARAM!$C$26+MAX($G$19-CHOOSE(PARAM!$B$44,MAX(0,BR599*$F$1),0),0)*RATES!$L576/12+$H$19*(PARAM!$D$51/12)*RATES!$N576/100</f>
        <v>252.45833333333334</v>
      </c>
      <c r="BR600" s="16">
        <f t="shared" si="386"/>
        <v>-22630.246267280312</v>
      </c>
      <c r="BS600" s="15">
        <f t="shared" si="361"/>
        <v>22.170849845882874</v>
      </c>
      <c r="BT600" s="75">
        <f>BS600*(1-PARAM!$C$27)*$I$20+(MOD($B600,60)=PARAM!$B$56)*($B600&gt;(60-PARAM!$B$56))*HLOOKUP(($B600+PARAM!$B$56)/12,Loyalty,2)*$F$1*MAX(BV599,0)</f>
        <v>18.557001321003963</v>
      </c>
      <c r="BU600" s="75">
        <f>PARAM!$C$26+MAX($G$20-CHOOSE(PARAM!$B$44,MAX(0,BV599*$F$1),0),0)*RATES!$L576/12+$H$20*(PARAM!$D$51/12)*RATES!$N576/100</f>
        <v>252.45833333333334</v>
      </c>
      <c r="BV600" s="16">
        <f t="shared" si="387"/>
        <v>-22630.246267280312</v>
      </c>
      <c r="BW600" s="15">
        <f t="shared" si="362"/>
        <v>22.170849845882874</v>
      </c>
      <c r="BX600" s="75">
        <f>BW600*(1-PARAM!$C$27)*$I$21+(MOD($B600,60)=PARAM!$B$56)*($B600&gt;(60-PARAM!$B$56))*HLOOKUP(($B600+PARAM!$B$56)/12,Loyalty,2)*$F$1*MAX(BZ599,0)</f>
        <v>18.557001321003963</v>
      </c>
      <c r="BY600" s="75">
        <f>PARAM!$C$26+MAX($G$21-CHOOSE(PARAM!$B$44,MAX(0,BZ599*$F$1),0),0)*RATES!$L576/12+$H$21*(PARAM!$D$51/12)*RATES!$N576/100</f>
        <v>252.45833333333334</v>
      </c>
      <c r="BZ600" s="16">
        <f t="shared" si="388"/>
        <v>-22630.246267280312</v>
      </c>
      <c r="CA600" s="15">
        <f t="shared" si="363"/>
        <v>22.170849845882874</v>
      </c>
      <c r="CB600" s="75">
        <f>CA600*(1-PARAM!$C$27)*$I$22+(MOD($B600,60)=PARAM!$B$56)*($B600&gt;(60-PARAM!$B$56))*HLOOKUP(($B600+PARAM!$B$56)/12,Loyalty,2)*$F$1*MAX(CD599,0)</f>
        <v>18.557001321003963</v>
      </c>
      <c r="CC600" s="75">
        <f>PARAM!$C$26+MAX($G$22-CHOOSE(PARAM!$B$44,MAX(0,CD599*$F$1),0),0)*RATES!$L576/12+$H$22*(PARAM!$D$51/12)*RATES!$N576/100</f>
        <v>252.45833333333334</v>
      </c>
      <c r="CD600" s="16">
        <f t="shared" si="389"/>
        <v>-22630.246267280312</v>
      </c>
      <c r="CE600" s="33">
        <f>IF(0=MOD(B600,12/PARAM!$D$51),1,0)</f>
        <v>1</v>
      </c>
      <c r="CF600" s="15">
        <f t="shared" si="364"/>
        <v>0</v>
      </c>
      <c r="CG600" s="75">
        <f>CF600*(1-PARAM!$C$27)*$R$3+(MOD($B600/12,5)=0)*($B600&gt;60)*HLOOKUP($B600/12,Loyalty,2)*$F$1*MAX(CI599,0)</f>
        <v>0</v>
      </c>
      <c r="CH600" s="75">
        <f>PARAM!$C$26+MAX($P$3-CHOOSE(PARAM!$B$44,MAX(0,CI599*$F$1),0),0)*RATES!$L576/12+$Q$3*(PARAM!$D$51/12)*RATES!$N576/100</f>
        <v>252.45833333333334</v>
      </c>
      <c r="CI600" s="16">
        <f>IF(CI599&gt;0,CI599*PARAM!$C$53,CI599)+CG600-CH600</f>
        <v>-33143.833333333343</v>
      </c>
      <c r="CJ600" s="15">
        <f t="shared" si="390"/>
        <v>0</v>
      </c>
      <c r="CK600" s="75">
        <f>CJ600*(1-PARAM!$C$27)*$R$4+(MOD($B600/12,5)=0)*($B600&gt;60)*HLOOKUP($B600/12,Loyalty,2)*$F$1*MAX(CM599,0)</f>
        <v>0</v>
      </c>
      <c r="CL600" s="75">
        <f>PARAM!$C$26+MAX($P$4-CHOOSE(PARAM!$B$44,MAX(0,CM599*$F$1),0),0)*RATES!$L576/12+$Q$4*(PARAM!$D$51/12)*RATES!$N576/100</f>
        <v>252.45833333333334</v>
      </c>
      <c r="CM600" s="16">
        <f>IF(CM599&gt;0,CM599*PARAM!$C$53,CM599)+CK600-CL600</f>
        <v>-33143.833333333343</v>
      </c>
      <c r="CO600" s="176"/>
    </row>
    <row r="601" spans="1:93" x14ac:dyDescent="0.2">
      <c r="A601" t="b">
        <f t="shared" si="365"/>
        <v>0</v>
      </c>
      <c r="B601" s="33">
        <v>574</v>
      </c>
      <c r="C601" s="15">
        <f t="shared" si="366"/>
        <v>20.081305947392778</v>
      </c>
      <c r="D601" s="75">
        <f>C601*(1-PARAM!$C$27)*$I$3+(MOD($B601,60)=PARAM!$B$56)*($B601&gt;(60-PARAM!$B$56))*HLOOKUP(($B601+PARAM!$B$56)/12,Loyalty,2)*$F$1*MAX(F600,0)</f>
        <v>16.808053077967756</v>
      </c>
      <c r="E601" s="75">
        <f>PARAM!$C$26+MAX($G$3-CHOOSE(PARAM!$B$44,MAX(0,F600*$F$1),0),0)*RATES!$L577/12+$H$3*(PARAM!$D$51/12)*RATES!$N577/100</f>
        <v>252.45833333333334</v>
      </c>
      <c r="F601" s="16">
        <f t="shared" si="367"/>
        <v>-23904.894391316993</v>
      </c>
      <c r="G601" s="15">
        <f t="shared" si="368"/>
        <v>22.035289406060361</v>
      </c>
      <c r="H601" s="75">
        <f>G601*(1-PARAM!$C$27)*$I$4+(MOD($B601,60)=PARAM!$B$56)*($B601&gt;(60-PARAM!$B$56))*HLOOKUP(($B601+PARAM!$B$56)/12,Loyalty,2)*$F$1*MAX(J600,0)</f>
        <v>18.443537232872522</v>
      </c>
      <c r="I601" s="75">
        <f>PARAM!$C$26+MAX($G$4-CHOOSE(PARAM!$B$44,MAX(0,J600*$F$1),0),0)*RATES!$L577/12+$H$4*(PARAM!$D$51/12)*RATES!$N577/100</f>
        <v>252.45833333333334</v>
      </c>
      <c r="J601" s="16">
        <f t="shared" si="369"/>
        <v>-22932.293522279899</v>
      </c>
      <c r="K601" s="15">
        <f t="shared" si="370"/>
        <v>22.170849845882874</v>
      </c>
      <c r="L601" s="75">
        <f>K601*(1-PARAM!$C$27)*$I$5+(MOD($B601,60)=PARAM!$B$56)*($B601&gt;(60-PARAM!$B$56))*HLOOKUP(($B601+PARAM!$B$56)/12,Loyalty,2)*$F$1*MAX(N600,0)</f>
        <v>18.557001321003963</v>
      </c>
      <c r="M601" s="75">
        <f>PARAM!$C$26+MAX($G$5-CHOOSE(PARAM!$B$44,MAX(0,N600*$F$1),0),0)*RATES!$L577/12+$H$5*(PARAM!$D$51/12)*RATES!$N577/100</f>
        <v>252.45833333333334</v>
      </c>
      <c r="N601" s="16">
        <f t="shared" si="371"/>
        <v>-22864.147599292639</v>
      </c>
      <c r="O601" s="15">
        <f t="shared" si="372"/>
        <v>22.170849845882874</v>
      </c>
      <c r="P601" s="75">
        <f>O601*(1-PARAM!$C$27)*$I$6+(MOD($B601,60)=PARAM!$B$56)*($B601&gt;(60-PARAM!$B$56))*HLOOKUP(($B601+PARAM!$B$56)/12,Loyalty,2)*$F$1*MAX(R600,0)</f>
        <v>18.557001321003963</v>
      </c>
      <c r="Q601" s="75">
        <f>PARAM!$C$26+MAX($G$6-CHOOSE(PARAM!$B$44,MAX(0,R600*$F$1),0),0)*RATES!$L577/12+$H$6*(PARAM!$D$51/12)*RATES!$N577/100</f>
        <v>252.45833333333334</v>
      </c>
      <c r="R601" s="16">
        <f t="shared" si="373"/>
        <v>-22864.147599292639</v>
      </c>
      <c r="S601" s="15">
        <f t="shared" si="348"/>
        <v>22.170849845882874</v>
      </c>
      <c r="T601" s="75">
        <f>S601*(1-PARAM!$C$27)*$I$7+(MOD($B601,60)=PARAM!$B$56)*($B601&gt;(60-PARAM!$B$56))*HLOOKUP(($B601+PARAM!$B$56)/12,Loyalty,2)*$F$1*MAX(V600,0)</f>
        <v>18.557001321003963</v>
      </c>
      <c r="U601" s="75">
        <f>PARAM!$C$26+MAX($G$7-CHOOSE(PARAM!$B$44,MAX(0,V600*$F$1),0),0)*RATES!$L577/12+$H$7*(PARAM!$D$51/12)*RATES!$N577/100</f>
        <v>252.45833333333334</v>
      </c>
      <c r="V601" s="16">
        <f t="shared" si="374"/>
        <v>-22864.147599292639</v>
      </c>
      <c r="W601" s="15">
        <f t="shared" si="349"/>
        <v>22.170849845882874</v>
      </c>
      <c r="X601" s="75">
        <f>W601*(1-PARAM!$C$27)*$I$8+(MOD($B601,60)=PARAM!$B$56)*($B601&gt;(60-PARAM!$B$56))*HLOOKUP(($B601+PARAM!$B$56)/12,Loyalty,2)*$F$1*MAX(Z600,0)</f>
        <v>18.557001321003963</v>
      </c>
      <c r="Y601" s="75">
        <f>PARAM!$C$26+MAX($G$8-CHOOSE(PARAM!$B$44,MAX(0,Z600*$F$1),0),0)*RATES!$L577/12+$H$8*(PARAM!$D$51/12)*RATES!$N577/100</f>
        <v>252.45833333333334</v>
      </c>
      <c r="Z601" s="16">
        <f t="shared" si="375"/>
        <v>-22864.147599292639</v>
      </c>
      <c r="AA601" s="15">
        <f t="shared" si="350"/>
        <v>22.170849845882874</v>
      </c>
      <c r="AB601" s="75">
        <f>AA601*(1-PARAM!$C$27)*$I$9+(MOD($B601,60)=PARAM!$B$56)*($B601&gt;(60-PARAM!$B$56))*HLOOKUP(($B601+PARAM!$B$56)/12,Loyalty,2)*$F$1*MAX(AD600,0)</f>
        <v>18.557001321003963</v>
      </c>
      <c r="AC601" s="75">
        <f>PARAM!$C$26+MAX($G$9-CHOOSE(PARAM!$B$44,MAX(0,AD600*$F$1),0),0)*RATES!$L577/12+$H$9*(PARAM!$D$51/12)*RATES!$N577/100</f>
        <v>252.45833333333334</v>
      </c>
      <c r="AD601" s="16">
        <f t="shared" si="376"/>
        <v>-22864.147599292639</v>
      </c>
      <c r="AE601" s="15">
        <f t="shared" si="351"/>
        <v>22.170849845882874</v>
      </c>
      <c r="AF601" s="75">
        <f>AE601*(1-PARAM!$C$27)*$I$10+(MOD($B601,60)=PARAM!$B$56)*($B601&gt;(60-PARAM!$B$56))*HLOOKUP(($B601+PARAM!$B$56)/12,Loyalty,2)*$F$1*MAX(AH600,0)</f>
        <v>18.557001321003963</v>
      </c>
      <c r="AG601" s="75">
        <f>PARAM!$C$26+MAX($G$10-CHOOSE(PARAM!$B$44,MAX(0,AH600*$F$1),0),0)*RATES!$L577/12+$H$10*(PARAM!$D$51/12)*RATES!$N577/100</f>
        <v>252.45833333333334</v>
      </c>
      <c r="AH601" s="16">
        <f t="shared" si="377"/>
        <v>-22864.147599292639</v>
      </c>
      <c r="AI601" s="15">
        <f t="shared" si="352"/>
        <v>22.170849845882874</v>
      </c>
      <c r="AJ601" s="75">
        <f>AI601*(1-PARAM!$C$27)*$I$11+(MOD($B601,60)=PARAM!$B$56)*($B601&gt;(60-PARAM!$B$56))*HLOOKUP(($B601+PARAM!$B$56)/12,Loyalty,2)*$F$1*MAX(AL600,0)</f>
        <v>18.557001321003963</v>
      </c>
      <c r="AK601" s="75">
        <f>PARAM!$C$26+MAX($G$11-CHOOSE(PARAM!$B$44,MAX(0,AL600*$F$1),0),0)*RATES!$L577/12+$H$11*(PARAM!$D$51/12)*RATES!$N577/100</f>
        <v>252.45833333333334</v>
      </c>
      <c r="AL601" s="16">
        <f t="shared" si="378"/>
        <v>-22864.147599292639</v>
      </c>
      <c r="AM601" s="15">
        <f t="shared" si="353"/>
        <v>22.170849845882874</v>
      </c>
      <c r="AN601" s="75">
        <f>AM601*(1-PARAM!$C$27)*$I$12+(MOD($B601,60)=PARAM!$B$56)*($B601&gt;(60-PARAM!$B$56))*HLOOKUP(($B601+PARAM!$B$56)/12,Loyalty,2)*$F$1*MAX(AP600,0)</f>
        <v>18.557001321003963</v>
      </c>
      <c r="AO601" s="75">
        <f>PARAM!$C$26+MAX($G$12-CHOOSE(PARAM!$B$44,MAX(0,AP600*$F$1),0),0)*RATES!$L577/12+$H$12*(PARAM!$D$51/12)*RATES!$N577/100</f>
        <v>252.45833333333334</v>
      </c>
      <c r="AP601" s="16">
        <f t="shared" si="379"/>
        <v>-22864.147599292639</v>
      </c>
      <c r="AQ601" s="15">
        <f t="shared" si="354"/>
        <v>22.170849845882874</v>
      </c>
      <c r="AR601" s="75">
        <f>AQ601*(1-PARAM!$C$27)*$I$13+(MOD($B601,60)=PARAM!$B$56)*($B601&gt;(60-PARAM!$B$56))*HLOOKUP(($B601+PARAM!$B$56)/12,Loyalty,2)*$F$1*MAX(AT600,0)</f>
        <v>18.557001321003963</v>
      </c>
      <c r="AS601" s="75">
        <f>PARAM!$C$26+MAX($G$13-CHOOSE(PARAM!$B$44,MAX(0,AT600*$F$1),0),0)*RATES!$L577/12+$H$13*(PARAM!$D$51/12)*RATES!$N577/100</f>
        <v>252.45833333333334</v>
      </c>
      <c r="AT601" s="16">
        <f t="shared" si="380"/>
        <v>-22864.147599292639</v>
      </c>
      <c r="AU601" s="15">
        <f t="shared" si="355"/>
        <v>22.170849845882874</v>
      </c>
      <c r="AV601" s="75">
        <f>AU601*(1-PARAM!$C$27)*$I$14+(MOD($B601,60)=PARAM!$B$56)*($B601&gt;(60-PARAM!$B$56))*HLOOKUP(($B601+PARAM!$B$56)/12,Loyalty,2)*$F$1*MAX(AX600,0)</f>
        <v>18.557001321003963</v>
      </c>
      <c r="AW601" s="75">
        <f>PARAM!$C$26+MAX($G$14-CHOOSE(PARAM!$B$44,MAX(0,AX600*$F$1),0),0)*RATES!$L577/12+$H$14*(PARAM!$D$51/12)*RATES!$N577/100</f>
        <v>252.45833333333334</v>
      </c>
      <c r="AX601" s="16">
        <f t="shared" si="381"/>
        <v>-22864.147599292639</v>
      </c>
      <c r="AY601" s="15">
        <f t="shared" si="356"/>
        <v>22.170849845882874</v>
      </c>
      <c r="AZ601" s="75">
        <f>AY601*(1-PARAM!$C$27)*$I$15+(MOD($B601,60)=PARAM!$B$56)*($B601&gt;(60-PARAM!$B$56))*HLOOKUP(($B601+PARAM!$B$56)/12,Loyalty,2)*$F$1*MAX(BB600,0)</f>
        <v>18.557001321003963</v>
      </c>
      <c r="BA601" s="75">
        <f>PARAM!$C$26+MAX($G$15-CHOOSE(PARAM!$B$44,MAX(0,BB600*$F$1),0),0)*RATES!$L577/12+$H$15*(PARAM!$D$51/12)*RATES!$N577/100</f>
        <v>252.45833333333334</v>
      </c>
      <c r="BB601" s="16">
        <f t="shared" si="382"/>
        <v>-22864.147599292639</v>
      </c>
      <c r="BC601" s="15">
        <f t="shared" si="357"/>
        <v>22.170849845882874</v>
      </c>
      <c r="BD601" s="75">
        <f>BC601*(1-PARAM!$C$27)*$I$16+(MOD($B601,60)=PARAM!$B$56)*($B601&gt;(60-PARAM!$B$56))*HLOOKUP(($B601+PARAM!$B$56)/12,Loyalty,2)*$F$1*MAX(BF600,0)</f>
        <v>18.557001321003963</v>
      </c>
      <c r="BE601" s="75">
        <f>PARAM!$C$26+MAX($G$16-CHOOSE(PARAM!$B$44,MAX(0,BF600*$F$1),0),0)*RATES!$L577/12+$H$16*(PARAM!$D$51/12)*RATES!$N577/100</f>
        <v>252.45833333333334</v>
      </c>
      <c r="BF601" s="16">
        <f t="shared" si="383"/>
        <v>-22864.147599292639</v>
      </c>
      <c r="BG601" s="15">
        <f t="shared" si="358"/>
        <v>22.170849845882874</v>
      </c>
      <c r="BH601" s="75">
        <f>BG601*(1-PARAM!$C$27)*$I$17+(MOD($B601,60)=PARAM!$B$56)*($B601&gt;(60-PARAM!$B$56))*HLOOKUP(($B601+PARAM!$B$56)/12,Loyalty,2)*$F$1*MAX(BJ600,0)</f>
        <v>18.557001321003963</v>
      </c>
      <c r="BI601" s="75">
        <f>PARAM!$C$26+MAX($G$17-CHOOSE(PARAM!$B$44,MAX(0,BJ600*$F$1),0),0)*RATES!$L577/12+$H$17*(PARAM!$D$51/12)*RATES!$N577/100</f>
        <v>252.45833333333334</v>
      </c>
      <c r="BJ601" s="16">
        <f t="shared" si="384"/>
        <v>-22864.147599292639</v>
      </c>
      <c r="BK601" s="15">
        <f t="shared" si="359"/>
        <v>22.170849845882874</v>
      </c>
      <c r="BL601" s="75">
        <f>BK601*(1-PARAM!$C$27)*$I$18+(MOD($B601,60)=PARAM!$B$56)*($B601&gt;(60-PARAM!$B$56))*HLOOKUP(($B601+PARAM!$B$56)/12,Loyalty,2)*$F$1*MAX(BN600,0)</f>
        <v>18.557001321003963</v>
      </c>
      <c r="BM601" s="75">
        <f>PARAM!$C$26+MAX($G$18-CHOOSE(PARAM!$B$44,MAX(0,BN600*$F$1),0),0)*RATES!$L577/12+$H$18*(PARAM!$D$51/12)*RATES!$N577/100</f>
        <v>252.45833333333334</v>
      </c>
      <c r="BN601" s="16">
        <f t="shared" si="385"/>
        <v>-22864.147599292639</v>
      </c>
      <c r="BO601" s="15">
        <f t="shared" si="360"/>
        <v>22.170849845882874</v>
      </c>
      <c r="BP601" s="75">
        <f>BO601*(1-PARAM!$C$27)*$I$19+(MOD($B601,60)=PARAM!$B$56)*($B601&gt;(60-PARAM!$B$56))*HLOOKUP(($B601+PARAM!$B$56)/12,Loyalty,2)*$F$1*MAX(BR600,0)</f>
        <v>18.557001321003963</v>
      </c>
      <c r="BQ601" s="75">
        <f>PARAM!$C$26+MAX($G$19-CHOOSE(PARAM!$B$44,MAX(0,BR600*$F$1),0),0)*RATES!$L577/12+$H$19*(PARAM!$D$51/12)*RATES!$N577/100</f>
        <v>252.45833333333334</v>
      </c>
      <c r="BR601" s="16">
        <f t="shared" si="386"/>
        <v>-22864.147599292639</v>
      </c>
      <c r="BS601" s="15">
        <f t="shared" si="361"/>
        <v>22.170849845882874</v>
      </c>
      <c r="BT601" s="75">
        <f>BS601*(1-PARAM!$C$27)*$I$20+(MOD($B601,60)=PARAM!$B$56)*($B601&gt;(60-PARAM!$B$56))*HLOOKUP(($B601+PARAM!$B$56)/12,Loyalty,2)*$F$1*MAX(BV600,0)</f>
        <v>18.557001321003963</v>
      </c>
      <c r="BU601" s="75">
        <f>PARAM!$C$26+MAX($G$20-CHOOSE(PARAM!$B$44,MAX(0,BV600*$F$1),0),0)*RATES!$L577/12+$H$20*(PARAM!$D$51/12)*RATES!$N577/100</f>
        <v>252.45833333333334</v>
      </c>
      <c r="BV601" s="16">
        <f t="shared" si="387"/>
        <v>-22864.147599292639</v>
      </c>
      <c r="BW601" s="15">
        <f t="shared" si="362"/>
        <v>22.170849845882874</v>
      </c>
      <c r="BX601" s="75">
        <f>BW601*(1-PARAM!$C$27)*$I$21+(MOD($B601,60)=PARAM!$B$56)*($B601&gt;(60-PARAM!$B$56))*HLOOKUP(($B601+PARAM!$B$56)/12,Loyalty,2)*$F$1*MAX(BZ600,0)</f>
        <v>18.557001321003963</v>
      </c>
      <c r="BY601" s="75">
        <f>PARAM!$C$26+MAX($G$21-CHOOSE(PARAM!$B$44,MAX(0,BZ600*$F$1),0),0)*RATES!$L577/12+$H$21*(PARAM!$D$51/12)*RATES!$N577/100</f>
        <v>252.45833333333334</v>
      </c>
      <c r="BZ601" s="16">
        <f t="shared" si="388"/>
        <v>-22864.147599292639</v>
      </c>
      <c r="CA601" s="15">
        <f t="shared" si="363"/>
        <v>22.170849845882874</v>
      </c>
      <c r="CB601" s="75">
        <f>CA601*(1-PARAM!$C$27)*$I$22+(MOD($B601,60)=PARAM!$B$56)*($B601&gt;(60-PARAM!$B$56))*HLOOKUP(($B601+PARAM!$B$56)/12,Loyalty,2)*$F$1*MAX(CD600,0)</f>
        <v>18.557001321003963</v>
      </c>
      <c r="CC601" s="75">
        <f>PARAM!$C$26+MAX($G$22-CHOOSE(PARAM!$B$44,MAX(0,CD600*$F$1),0),0)*RATES!$L577/12+$H$22*(PARAM!$D$51/12)*RATES!$N577/100</f>
        <v>252.45833333333334</v>
      </c>
      <c r="CD601" s="16">
        <f t="shared" si="389"/>
        <v>-22864.147599292639</v>
      </c>
      <c r="CE601" s="33">
        <f>IF(0=MOD(B601,12/PARAM!$D$51),1,0)</f>
        <v>1</v>
      </c>
      <c r="CF601" s="15">
        <f t="shared" si="364"/>
        <v>0</v>
      </c>
      <c r="CG601" s="75">
        <f>CF601*(1-PARAM!$C$27)*$R$3+(MOD($B601/12,5)=0)*($B601&gt;60)*HLOOKUP($B601/12,Loyalty,2)*$F$1*MAX(CI600,0)</f>
        <v>0</v>
      </c>
      <c r="CH601" s="75">
        <f>PARAM!$C$26+MAX($P$3-CHOOSE(PARAM!$B$44,MAX(0,CI600*$F$1),0),0)*RATES!$L577/12+$Q$3*(PARAM!$D$51/12)*RATES!$N577/100</f>
        <v>252.45833333333334</v>
      </c>
      <c r="CI601" s="16">
        <f>IF(CI600&gt;0,CI600*PARAM!$C$53,CI600)+CG601-CH601</f>
        <v>-33396.291666666679</v>
      </c>
      <c r="CJ601" s="15">
        <f t="shared" si="390"/>
        <v>0</v>
      </c>
      <c r="CK601" s="75">
        <f>CJ601*(1-PARAM!$C$27)*$R$4+(MOD($B601/12,5)=0)*($B601&gt;60)*HLOOKUP($B601/12,Loyalty,2)*$F$1*MAX(CM600,0)</f>
        <v>0</v>
      </c>
      <c r="CL601" s="75">
        <f>PARAM!$C$26+MAX($P$4-CHOOSE(PARAM!$B$44,MAX(0,CM600*$F$1),0),0)*RATES!$L577/12+$Q$4*(PARAM!$D$51/12)*RATES!$N577/100</f>
        <v>252.45833333333334</v>
      </c>
      <c r="CM601" s="16">
        <f>IF(CM600&gt;0,CM600*PARAM!$C$53,CM600)+CK601-CL601</f>
        <v>-33396.291666666679</v>
      </c>
      <c r="CO601" s="176"/>
    </row>
    <row r="602" spans="1:93" x14ac:dyDescent="0.2">
      <c r="A602" t="b">
        <f t="shared" si="365"/>
        <v>0</v>
      </c>
      <c r="B602" s="33">
        <v>575</v>
      </c>
      <c r="C602" s="15">
        <f t="shared" si="366"/>
        <v>20.081305947392778</v>
      </c>
      <c r="D602" s="75">
        <f>C602*(1-PARAM!$C$27)*$I$3+(MOD($B602,60)=PARAM!$B$56)*($B602&gt;(60-PARAM!$B$56))*HLOOKUP(($B602+PARAM!$B$56)/12,Loyalty,2)*$F$1*MAX(F601,0)</f>
        <v>16.808053077967756</v>
      </c>
      <c r="E602" s="75">
        <f>PARAM!$C$26+MAX($G$3-CHOOSE(PARAM!$B$44,MAX(0,F601*$F$1),0),0)*RATES!$L578/12+$H$3*(PARAM!$D$51/12)*RATES!$N578/100</f>
        <v>252.45833333333334</v>
      </c>
      <c r="F602" s="16">
        <f t="shared" si="367"/>
        <v>-24140.544671572359</v>
      </c>
      <c r="G602" s="15">
        <f t="shared" si="368"/>
        <v>22.035289406060361</v>
      </c>
      <c r="H602" s="75">
        <f>G602*(1-PARAM!$C$27)*$I$4+(MOD($B602,60)=PARAM!$B$56)*($B602&gt;(60-PARAM!$B$56))*HLOOKUP(($B602+PARAM!$B$56)/12,Loyalty,2)*$F$1*MAX(J601,0)</f>
        <v>18.443537232872522</v>
      </c>
      <c r="I602" s="75">
        <f>PARAM!$C$26+MAX($G$4-CHOOSE(PARAM!$B$44,MAX(0,J601*$F$1),0),0)*RATES!$L578/12+$H$4*(PARAM!$D$51/12)*RATES!$N578/100</f>
        <v>252.45833333333334</v>
      </c>
      <c r="J602" s="16">
        <f t="shared" si="369"/>
        <v>-23166.308318380357</v>
      </c>
      <c r="K602" s="15">
        <f t="shared" si="370"/>
        <v>22.170849845882874</v>
      </c>
      <c r="L602" s="75">
        <f>K602*(1-PARAM!$C$27)*$I$5+(MOD($B602,60)=PARAM!$B$56)*($B602&gt;(60-PARAM!$B$56))*HLOOKUP(($B602+PARAM!$B$56)/12,Loyalty,2)*$F$1*MAX(N601,0)</f>
        <v>18.557001321003963</v>
      </c>
      <c r="M602" s="75">
        <f>PARAM!$C$26+MAX($G$5-CHOOSE(PARAM!$B$44,MAX(0,N601*$F$1),0),0)*RATES!$L578/12+$H$5*(PARAM!$D$51/12)*RATES!$N578/100</f>
        <v>252.45833333333334</v>
      </c>
      <c r="N602" s="16">
        <f t="shared" si="371"/>
        <v>-23098.048931304966</v>
      </c>
      <c r="O602" s="15">
        <f t="shared" si="372"/>
        <v>22.170849845882874</v>
      </c>
      <c r="P602" s="75">
        <f>O602*(1-PARAM!$C$27)*$I$6+(MOD($B602,60)=PARAM!$B$56)*($B602&gt;(60-PARAM!$B$56))*HLOOKUP(($B602+PARAM!$B$56)/12,Loyalty,2)*$F$1*MAX(R601,0)</f>
        <v>18.557001321003963</v>
      </c>
      <c r="Q602" s="75">
        <f>PARAM!$C$26+MAX($G$6-CHOOSE(PARAM!$B$44,MAX(0,R601*$F$1),0),0)*RATES!$L578/12+$H$6*(PARAM!$D$51/12)*RATES!$N578/100</f>
        <v>252.45833333333334</v>
      </c>
      <c r="R602" s="16">
        <f t="shared" si="373"/>
        <v>-23098.048931304966</v>
      </c>
      <c r="S602" s="15">
        <f t="shared" si="348"/>
        <v>22.170849845882874</v>
      </c>
      <c r="T602" s="75">
        <f>S602*(1-PARAM!$C$27)*$I$7+(MOD($B602,60)=PARAM!$B$56)*($B602&gt;(60-PARAM!$B$56))*HLOOKUP(($B602+PARAM!$B$56)/12,Loyalty,2)*$F$1*MAX(V601,0)</f>
        <v>18.557001321003963</v>
      </c>
      <c r="U602" s="75">
        <f>PARAM!$C$26+MAX($G$7-CHOOSE(PARAM!$B$44,MAX(0,V601*$F$1),0),0)*RATES!$L578/12+$H$7*(PARAM!$D$51/12)*RATES!$N578/100</f>
        <v>252.45833333333334</v>
      </c>
      <c r="V602" s="16">
        <f t="shared" si="374"/>
        <v>-23098.048931304966</v>
      </c>
      <c r="W602" s="15">
        <f t="shared" si="349"/>
        <v>22.170849845882874</v>
      </c>
      <c r="X602" s="75">
        <f>W602*(1-PARAM!$C$27)*$I$8+(MOD($B602,60)=PARAM!$B$56)*($B602&gt;(60-PARAM!$B$56))*HLOOKUP(($B602+PARAM!$B$56)/12,Loyalty,2)*$F$1*MAX(Z601,0)</f>
        <v>18.557001321003963</v>
      </c>
      <c r="Y602" s="75">
        <f>PARAM!$C$26+MAX($G$8-CHOOSE(PARAM!$B$44,MAX(0,Z601*$F$1),0),0)*RATES!$L578/12+$H$8*(PARAM!$D$51/12)*RATES!$N578/100</f>
        <v>252.45833333333334</v>
      </c>
      <c r="Z602" s="16">
        <f t="shared" si="375"/>
        <v>-23098.048931304966</v>
      </c>
      <c r="AA602" s="15">
        <f t="shared" si="350"/>
        <v>22.170849845882874</v>
      </c>
      <c r="AB602" s="75">
        <f>AA602*(1-PARAM!$C$27)*$I$9+(MOD($B602,60)=PARAM!$B$56)*($B602&gt;(60-PARAM!$B$56))*HLOOKUP(($B602+PARAM!$B$56)/12,Loyalty,2)*$F$1*MAX(AD601,0)</f>
        <v>18.557001321003963</v>
      </c>
      <c r="AC602" s="75">
        <f>PARAM!$C$26+MAX($G$9-CHOOSE(PARAM!$B$44,MAX(0,AD601*$F$1),0),0)*RATES!$L578/12+$H$9*(PARAM!$D$51/12)*RATES!$N578/100</f>
        <v>252.45833333333334</v>
      </c>
      <c r="AD602" s="16">
        <f t="shared" si="376"/>
        <v>-23098.048931304966</v>
      </c>
      <c r="AE602" s="15">
        <f t="shared" si="351"/>
        <v>22.170849845882874</v>
      </c>
      <c r="AF602" s="75">
        <f>AE602*(1-PARAM!$C$27)*$I$10+(MOD($B602,60)=PARAM!$B$56)*($B602&gt;(60-PARAM!$B$56))*HLOOKUP(($B602+PARAM!$B$56)/12,Loyalty,2)*$F$1*MAX(AH601,0)</f>
        <v>18.557001321003963</v>
      </c>
      <c r="AG602" s="75">
        <f>PARAM!$C$26+MAX($G$10-CHOOSE(PARAM!$B$44,MAX(0,AH601*$F$1),0),0)*RATES!$L578/12+$H$10*(PARAM!$D$51/12)*RATES!$N578/100</f>
        <v>252.45833333333334</v>
      </c>
      <c r="AH602" s="16">
        <f t="shared" si="377"/>
        <v>-23098.048931304966</v>
      </c>
      <c r="AI602" s="15">
        <f t="shared" si="352"/>
        <v>22.170849845882874</v>
      </c>
      <c r="AJ602" s="75">
        <f>AI602*(1-PARAM!$C$27)*$I$11+(MOD($B602,60)=PARAM!$B$56)*($B602&gt;(60-PARAM!$B$56))*HLOOKUP(($B602+PARAM!$B$56)/12,Loyalty,2)*$F$1*MAX(AL601,0)</f>
        <v>18.557001321003963</v>
      </c>
      <c r="AK602" s="75">
        <f>PARAM!$C$26+MAX($G$11-CHOOSE(PARAM!$B$44,MAX(0,AL601*$F$1),0),0)*RATES!$L578/12+$H$11*(PARAM!$D$51/12)*RATES!$N578/100</f>
        <v>252.45833333333334</v>
      </c>
      <c r="AL602" s="16">
        <f t="shared" si="378"/>
        <v>-23098.048931304966</v>
      </c>
      <c r="AM602" s="15">
        <f t="shared" si="353"/>
        <v>22.170849845882874</v>
      </c>
      <c r="AN602" s="75">
        <f>AM602*(1-PARAM!$C$27)*$I$12+(MOD($B602,60)=PARAM!$B$56)*($B602&gt;(60-PARAM!$B$56))*HLOOKUP(($B602+PARAM!$B$56)/12,Loyalty,2)*$F$1*MAX(AP601,0)</f>
        <v>18.557001321003963</v>
      </c>
      <c r="AO602" s="75">
        <f>PARAM!$C$26+MAX($G$12-CHOOSE(PARAM!$B$44,MAX(0,AP601*$F$1),0),0)*RATES!$L578/12+$H$12*(PARAM!$D$51/12)*RATES!$N578/100</f>
        <v>252.45833333333334</v>
      </c>
      <c r="AP602" s="16">
        <f t="shared" si="379"/>
        <v>-23098.048931304966</v>
      </c>
      <c r="AQ602" s="15">
        <f t="shared" si="354"/>
        <v>22.170849845882874</v>
      </c>
      <c r="AR602" s="75">
        <f>AQ602*(1-PARAM!$C$27)*$I$13+(MOD($B602,60)=PARAM!$B$56)*($B602&gt;(60-PARAM!$B$56))*HLOOKUP(($B602+PARAM!$B$56)/12,Loyalty,2)*$F$1*MAX(AT601,0)</f>
        <v>18.557001321003963</v>
      </c>
      <c r="AS602" s="75">
        <f>PARAM!$C$26+MAX($G$13-CHOOSE(PARAM!$B$44,MAX(0,AT601*$F$1),0),0)*RATES!$L578/12+$H$13*(PARAM!$D$51/12)*RATES!$N578/100</f>
        <v>252.45833333333334</v>
      </c>
      <c r="AT602" s="16">
        <f t="shared" si="380"/>
        <v>-23098.048931304966</v>
      </c>
      <c r="AU602" s="15">
        <f t="shared" si="355"/>
        <v>22.170849845882874</v>
      </c>
      <c r="AV602" s="75">
        <f>AU602*(1-PARAM!$C$27)*$I$14+(MOD($B602,60)=PARAM!$B$56)*($B602&gt;(60-PARAM!$B$56))*HLOOKUP(($B602+PARAM!$B$56)/12,Loyalty,2)*$F$1*MAX(AX601,0)</f>
        <v>18.557001321003963</v>
      </c>
      <c r="AW602" s="75">
        <f>PARAM!$C$26+MAX($G$14-CHOOSE(PARAM!$B$44,MAX(0,AX601*$F$1),0),0)*RATES!$L578/12+$H$14*(PARAM!$D$51/12)*RATES!$N578/100</f>
        <v>252.45833333333334</v>
      </c>
      <c r="AX602" s="16">
        <f t="shared" si="381"/>
        <v>-23098.048931304966</v>
      </c>
      <c r="AY602" s="15">
        <f t="shared" si="356"/>
        <v>22.170849845882874</v>
      </c>
      <c r="AZ602" s="75">
        <f>AY602*(1-PARAM!$C$27)*$I$15+(MOD($B602,60)=PARAM!$B$56)*($B602&gt;(60-PARAM!$B$56))*HLOOKUP(($B602+PARAM!$B$56)/12,Loyalty,2)*$F$1*MAX(BB601,0)</f>
        <v>18.557001321003963</v>
      </c>
      <c r="BA602" s="75">
        <f>PARAM!$C$26+MAX($G$15-CHOOSE(PARAM!$B$44,MAX(0,BB601*$F$1),0),0)*RATES!$L578/12+$H$15*(PARAM!$D$51/12)*RATES!$N578/100</f>
        <v>252.45833333333334</v>
      </c>
      <c r="BB602" s="16">
        <f t="shared" si="382"/>
        <v>-23098.048931304966</v>
      </c>
      <c r="BC602" s="15">
        <f t="shared" si="357"/>
        <v>22.170849845882874</v>
      </c>
      <c r="BD602" s="75">
        <f>BC602*(1-PARAM!$C$27)*$I$16+(MOD($B602,60)=PARAM!$B$56)*($B602&gt;(60-PARAM!$B$56))*HLOOKUP(($B602+PARAM!$B$56)/12,Loyalty,2)*$F$1*MAX(BF601,0)</f>
        <v>18.557001321003963</v>
      </c>
      <c r="BE602" s="75">
        <f>PARAM!$C$26+MAX($G$16-CHOOSE(PARAM!$B$44,MAX(0,BF601*$F$1),0),0)*RATES!$L578/12+$H$16*(PARAM!$D$51/12)*RATES!$N578/100</f>
        <v>252.45833333333334</v>
      </c>
      <c r="BF602" s="16">
        <f t="shared" si="383"/>
        <v>-23098.048931304966</v>
      </c>
      <c r="BG602" s="15">
        <f t="shared" si="358"/>
        <v>22.170849845882874</v>
      </c>
      <c r="BH602" s="75">
        <f>BG602*(1-PARAM!$C$27)*$I$17+(MOD($B602,60)=PARAM!$B$56)*($B602&gt;(60-PARAM!$B$56))*HLOOKUP(($B602+PARAM!$B$56)/12,Loyalty,2)*$F$1*MAX(BJ601,0)</f>
        <v>18.557001321003963</v>
      </c>
      <c r="BI602" s="75">
        <f>PARAM!$C$26+MAX($G$17-CHOOSE(PARAM!$B$44,MAX(0,BJ601*$F$1),0),0)*RATES!$L578/12+$H$17*(PARAM!$D$51/12)*RATES!$N578/100</f>
        <v>252.45833333333334</v>
      </c>
      <c r="BJ602" s="16">
        <f t="shared" si="384"/>
        <v>-23098.048931304966</v>
      </c>
      <c r="BK602" s="15">
        <f t="shared" si="359"/>
        <v>22.170849845882874</v>
      </c>
      <c r="BL602" s="75">
        <f>BK602*(1-PARAM!$C$27)*$I$18+(MOD($B602,60)=PARAM!$B$56)*($B602&gt;(60-PARAM!$B$56))*HLOOKUP(($B602+PARAM!$B$56)/12,Loyalty,2)*$F$1*MAX(BN601,0)</f>
        <v>18.557001321003963</v>
      </c>
      <c r="BM602" s="75">
        <f>PARAM!$C$26+MAX($G$18-CHOOSE(PARAM!$B$44,MAX(0,BN601*$F$1),0),0)*RATES!$L578/12+$H$18*(PARAM!$D$51/12)*RATES!$N578/100</f>
        <v>252.45833333333334</v>
      </c>
      <c r="BN602" s="16">
        <f t="shared" si="385"/>
        <v>-23098.048931304966</v>
      </c>
      <c r="BO602" s="15">
        <f t="shared" si="360"/>
        <v>22.170849845882874</v>
      </c>
      <c r="BP602" s="75">
        <f>BO602*(1-PARAM!$C$27)*$I$19+(MOD($B602,60)=PARAM!$B$56)*($B602&gt;(60-PARAM!$B$56))*HLOOKUP(($B602+PARAM!$B$56)/12,Loyalty,2)*$F$1*MAX(BR601,0)</f>
        <v>18.557001321003963</v>
      </c>
      <c r="BQ602" s="75">
        <f>PARAM!$C$26+MAX($G$19-CHOOSE(PARAM!$B$44,MAX(0,BR601*$F$1),0),0)*RATES!$L578/12+$H$19*(PARAM!$D$51/12)*RATES!$N578/100</f>
        <v>252.45833333333334</v>
      </c>
      <c r="BR602" s="16">
        <f t="shared" si="386"/>
        <v>-23098.048931304966</v>
      </c>
      <c r="BS602" s="15">
        <f t="shared" si="361"/>
        <v>22.170849845882874</v>
      </c>
      <c r="BT602" s="75">
        <f>BS602*(1-PARAM!$C$27)*$I$20+(MOD($B602,60)=PARAM!$B$56)*($B602&gt;(60-PARAM!$B$56))*HLOOKUP(($B602+PARAM!$B$56)/12,Loyalty,2)*$F$1*MAX(BV601,0)</f>
        <v>18.557001321003963</v>
      </c>
      <c r="BU602" s="75">
        <f>PARAM!$C$26+MAX($G$20-CHOOSE(PARAM!$B$44,MAX(0,BV601*$F$1),0),0)*RATES!$L578/12+$H$20*(PARAM!$D$51/12)*RATES!$N578/100</f>
        <v>252.45833333333334</v>
      </c>
      <c r="BV602" s="16">
        <f t="shared" si="387"/>
        <v>-23098.048931304966</v>
      </c>
      <c r="BW602" s="15">
        <f t="shared" si="362"/>
        <v>22.170849845882874</v>
      </c>
      <c r="BX602" s="75">
        <f>BW602*(1-PARAM!$C$27)*$I$21+(MOD($B602,60)=PARAM!$B$56)*($B602&gt;(60-PARAM!$B$56))*HLOOKUP(($B602+PARAM!$B$56)/12,Loyalty,2)*$F$1*MAX(BZ601,0)</f>
        <v>18.557001321003963</v>
      </c>
      <c r="BY602" s="75">
        <f>PARAM!$C$26+MAX($G$21-CHOOSE(PARAM!$B$44,MAX(0,BZ601*$F$1),0),0)*RATES!$L578/12+$H$21*(PARAM!$D$51/12)*RATES!$N578/100</f>
        <v>252.45833333333334</v>
      </c>
      <c r="BZ602" s="16">
        <f t="shared" si="388"/>
        <v>-23098.048931304966</v>
      </c>
      <c r="CA602" s="15">
        <f t="shared" si="363"/>
        <v>22.170849845882874</v>
      </c>
      <c r="CB602" s="75">
        <f>CA602*(1-PARAM!$C$27)*$I$22+(MOD($B602,60)=PARAM!$B$56)*($B602&gt;(60-PARAM!$B$56))*HLOOKUP(($B602+PARAM!$B$56)/12,Loyalty,2)*$F$1*MAX(CD601,0)</f>
        <v>18.557001321003963</v>
      </c>
      <c r="CC602" s="75">
        <f>PARAM!$C$26+MAX($G$22-CHOOSE(PARAM!$B$44,MAX(0,CD601*$F$1),0),0)*RATES!$L578/12+$H$22*(PARAM!$D$51/12)*RATES!$N578/100</f>
        <v>252.45833333333334</v>
      </c>
      <c r="CD602" s="16">
        <f t="shared" si="389"/>
        <v>-23098.048931304966</v>
      </c>
      <c r="CE602" s="33">
        <f>IF(0=MOD(B602,12/PARAM!$D$51),1,0)</f>
        <v>1</v>
      </c>
      <c r="CF602" s="15">
        <f t="shared" si="364"/>
        <v>0</v>
      </c>
      <c r="CG602" s="75">
        <f>CF602*(1-PARAM!$C$27)*$R$3+(MOD($B602/12,5)=0)*($B602&gt;60)*HLOOKUP($B602/12,Loyalty,2)*$F$1*MAX(CI601,0)</f>
        <v>0</v>
      </c>
      <c r="CH602" s="75">
        <f>PARAM!$C$26+MAX($P$3-CHOOSE(PARAM!$B$44,MAX(0,CI601*$F$1),0),0)*RATES!$L578/12+$Q$3*(PARAM!$D$51/12)*RATES!$N578/100</f>
        <v>252.45833333333334</v>
      </c>
      <c r="CI602" s="16">
        <f>IF(CI601&gt;0,CI601*PARAM!$C$53,CI601)+CG602-CH602</f>
        <v>-33648.750000000015</v>
      </c>
      <c r="CJ602" s="15">
        <f t="shared" si="390"/>
        <v>0</v>
      </c>
      <c r="CK602" s="75">
        <f>CJ602*(1-PARAM!$C$27)*$R$4+(MOD($B602/12,5)=0)*($B602&gt;60)*HLOOKUP($B602/12,Loyalty,2)*$F$1*MAX(CM601,0)</f>
        <v>0</v>
      </c>
      <c r="CL602" s="75">
        <f>PARAM!$C$26+MAX($P$4-CHOOSE(PARAM!$B$44,MAX(0,CM601*$F$1),0),0)*RATES!$L578/12+$Q$4*(PARAM!$D$51/12)*RATES!$N578/100</f>
        <v>252.45833333333334</v>
      </c>
      <c r="CM602" s="16">
        <f>IF(CM601&gt;0,CM601*PARAM!$C$53,CM601)+CK602-CL602</f>
        <v>-33648.750000000015</v>
      </c>
      <c r="CO602" s="176"/>
    </row>
    <row r="603" spans="1:93" x14ac:dyDescent="0.2">
      <c r="A603" t="b">
        <f t="shared" si="365"/>
        <v>0</v>
      </c>
      <c r="B603" s="33">
        <v>576</v>
      </c>
      <c r="C603" s="15">
        <f t="shared" si="366"/>
        <v>20.081305947392778</v>
      </c>
      <c r="D603" s="75">
        <f>C603*(1-PARAM!$C$27)*$I$3+(MOD($B603,60)=PARAM!$B$56)*($B603&gt;(60-PARAM!$B$56))*HLOOKUP(($B603+PARAM!$B$56)/12,Loyalty,2)*$F$1*MAX(F602,0)</f>
        <v>16.808053077967756</v>
      </c>
      <c r="E603" s="75">
        <f>PARAM!$C$26+MAX($G$3-CHOOSE(PARAM!$B$44,MAX(0,F602*$F$1),0),0)*RATES!$L579/12+$H$3*(PARAM!$D$51/12)*RATES!$N579/100</f>
        <v>252.45833333333334</v>
      </c>
      <c r="F603" s="16">
        <f t="shared" si="367"/>
        <v>-24376.194951827725</v>
      </c>
      <c r="G603" s="15">
        <f t="shared" si="368"/>
        <v>22.035289406060361</v>
      </c>
      <c r="H603" s="75">
        <f>G603*(1-PARAM!$C$27)*$I$4+(MOD($B603,60)=PARAM!$B$56)*($B603&gt;(60-PARAM!$B$56))*HLOOKUP(($B603+PARAM!$B$56)/12,Loyalty,2)*$F$1*MAX(J602,0)</f>
        <v>18.443537232872522</v>
      </c>
      <c r="I603" s="75">
        <f>PARAM!$C$26+MAX($G$4-CHOOSE(PARAM!$B$44,MAX(0,J602*$F$1),0),0)*RATES!$L579/12+$H$4*(PARAM!$D$51/12)*RATES!$N579/100</f>
        <v>252.45833333333334</v>
      </c>
      <c r="J603" s="16">
        <f t="shared" si="369"/>
        <v>-23400.323114480816</v>
      </c>
      <c r="K603" s="15">
        <f t="shared" si="370"/>
        <v>22.170849845882874</v>
      </c>
      <c r="L603" s="75">
        <f>K603*(1-PARAM!$C$27)*$I$5+(MOD($B603,60)=PARAM!$B$56)*($B603&gt;(60-PARAM!$B$56))*HLOOKUP(($B603+PARAM!$B$56)/12,Loyalty,2)*$F$1*MAX(N602,0)</f>
        <v>18.557001321003963</v>
      </c>
      <c r="M603" s="75">
        <f>PARAM!$C$26+MAX($G$5-CHOOSE(PARAM!$B$44,MAX(0,N602*$F$1),0),0)*RATES!$L579/12+$H$5*(PARAM!$D$51/12)*RATES!$N579/100</f>
        <v>252.45833333333334</v>
      </c>
      <c r="N603" s="16">
        <f t="shared" si="371"/>
        <v>-23331.950263317292</v>
      </c>
      <c r="O603" s="15">
        <f t="shared" si="372"/>
        <v>22.170849845882874</v>
      </c>
      <c r="P603" s="75">
        <f>O603*(1-PARAM!$C$27)*$I$6+(MOD($B603,60)=PARAM!$B$56)*($B603&gt;(60-PARAM!$B$56))*HLOOKUP(($B603+PARAM!$B$56)/12,Loyalty,2)*$F$1*MAX(R602,0)</f>
        <v>18.557001321003963</v>
      </c>
      <c r="Q603" s="75">
        <f>PARAM!$C$26+MAX($G$6-CHOOSE(PARAM!$B$44,MAX(0,R602*$F$1),0),0)*RATES!$L579/12+$H$6*(PARAM!$D$51/12)*RATES!$N579/100</f>
        <v>252.45833333333334</v>
      </c>
      <c r="R603" s="16">
        <f t="shared" si="373"/>
        <v>-23331.950263317292</v>
      </c>
      <c r="S603" s="15">
        <f t="shared" ref="S603:S666" si="391">$H$7*$CE603</f>
        <v>22.170849845882874</v>
      </c>
      <c r="T603" s="75">
        <f>S603*(1-PARAM!$C$27)*$I$7+(MOD($B603,60)=PARAM!$B$56)*($B603&gt;(60-PARAM!$B$56))*HLOOKUP(($B603+PARAM!$B$56)/12,Loyalty,2)*$F$1*MAX(V602,0)</f>
        <v>18.557001321003963</v>
      </c>
      <c r="U603" s="75">
        <f>PARAM!$C$26+MAX($G$7-CHOOSE(PARAM!$B$44,MAX(0,V602*$F$1),0),0)*RATES!$L579/12+$H$7*(PARAM!$D$51/12)*RATES!$N579/100</f>
        <v>252.45833333333334</v>
      </c>
      <c r="V603" s="16">
        <f t="shared" si="374"/>
        <v>-23331.950263317292</v>
      </c>
      <c r="W603" s="15">
        <f t="shared" ref="W603:W666" si="392">$H$8*$CE603</f>
        <v>22.170849845882874</v>
      </c>
      <c r="X603" s="75">
        <f>W603*(1-PARAM!$C$27)*$I$8+(MOD($B603,60)=PARAM!$B$56)*($B603&gt;(60-PARAM!$B$56))*HLOOKUP(($B603+PARAM!$B$56)/12,Loyalty,2)*$F$1*MAX(Z602,0)</f>
        <v>18.557001321003963</v>
      </c>
      <c r="Y603" s="75">
        <f>PARAM!$C$26+MAX($G$8-CHOOSE(PARAM!$B$44,MAX(0,Z602*$F$1),0),0)*RATES!$L579/12+$H$8*(PARAM!$D$51/12)*RATES!$N579/100</f>
        <v>252.45833333333334</v>
      </c>
      <c r="Z603" s="16">
        <f t="shared" si="375"/>
        <v>-23331.950263317292</v>
      </c>
      <c r="AA603" s="15">
        <f t="shared" ref="AA603:AA666" si="393">$H$9*$CE603</f>
        <v>22.170849845882874</v>
      </c>
      <c r="AB603" s="75">
        <f>AA603*(1-PARAM!$C$27)*$I$9+(MOD($B603,60)=PARAM!$B$56)*($B603&gt;(60-PARAM!$B$56))*HLOOKUP(($B603+PARAM!$B$56)/12,Loyalty,2)*$F$1*MAX(AD602,0)</f>
        <v>18.557001321003963</v>
      </c>
      <c r="AC603" s="75">
        <f>PARAM!$C$26+MAX($G$9-CHOOSE(PARAM!$B$44,MAX(0,AD602*$F$1),0),0)*RATES!$L579/12+$H$9*(PARAM!$D$51/12)*RATES!$N579/100</f>
        <v>252.45833333333334</v>
      </c>
      <c r="AD603" s="16">
        <f t="shared" si="376"/>
        <v>-23331.950263317292</v>
      </c>
      <c r="AE603" s="15">
        <f t="shared" ref="AE603:AE666" si="394">$H$10*$CE603</f>
        <v>22.170849845882874</v>
      </c>
      <c r="AF603" s="75">
        <f>AE603*(1-PARAM!$C$27)*$I$10+(MOD($B603,60)=PARAM!$B$56)*($B603&gt;(60-PARAM!$B$56))*HLOOKUP(($B603+PARAM!$B$56)/12,Loyalty,2)*$F$1*MAX(AH602,0)</f>
        <v>18.557001321003963</v>
      </c>
      <c r="AG603" s="75">
        <f>PARAM!$C$26+MAX($G$10-CHOOSE(PARAM!$B$44,MAX(0,AH602*$F$1),0),0)*RATES!$L579/12+$H$10*(PARAM!$D$51/12)*RATES!$N579/100</f>
        <v>252.45833333333334</v>
      </c>
      <c r="AH603" s="16">
        <f t="shared" si="377"/>
        <v>-23331.950263317292</v>
      </c>
      <c r="AI603" s="15">
        <f t="shared" ref="AI603:AI666" si="395">$H$11*$CE603</f>
        <v>22.170849845882874</v>
      </c>
      <c r="AJ603" s="75">
        <f>AI603*(1-PARAM!$C$27)*$I$11+(MOD($B603,60)=PARAM!$B$56)*($B603&gt;(60-PARAM!$B$56))*HLOOKUP(($B603+PARAM!$B$56)/12,Loyalty,2)*$F$1*MAX(AL602,0)</f>
        <v>18.557001321003963</v>
      </c>
      <c r="AK603" s="75">
        <f>PARAM!$C$26+MAX($G$11-CHOOSE(PARAM!$B$44,MAX(0,AL602*$F$1),0),0)*RATES!$L579/12+$H$11*(PARAM!$D$51/12)*RATES!$N579/100</f>
        <v>252.45833333333334</v>
      </c>
      <c r="AL603" s="16">
        <f t="shared" si="378"/>
        <v>-23331.950263317292</v>
      </c>
      <c r="AM603" s="15">
        <f t="shared" ref="AM603:AM666" si="396">$H$12*$CE603</f>
        <v>22.170849845882874</v>
      </c>
      <c r="AN603" s="75">
        <f>AM603*(1-PARAM!$C$27)*$I$12+(MOD($B603,60)=PARAM!$B$56)*($B603&gt;(60-PARAM!$B$56))*HLOOKUP(($B603+PARAM!$B$56)/12,Loyalty,2)*$F$1*MAX(AP602,0)</f>
        <v>18.557001321003963</v>
      </c>
      <c r="AO603" s="75">
        <f>PARAM!$C$26+MAX($G$12-CHOOSE(PARAM!$B$44,MAX(0,AP602*$F$1),0),0)*RATES!$L579/12+$H$12*(PARAM!$D$51/12)*RATES!$N579/100</f>
        <v>252.45833333333334</v>
      </c>
      <c r="AP603" s="16">
        <f t="shared" si="379"/>
        <v>-23331.950263317292</v>
      </c>
      <c r="AQ603" s="15">
        <f t="shared" ref="AQ603:AQ666" si="397">$H$13*$CE603</f>
        <v>22.170849845882874</v>
      </c>
      <c r="AR603" s="75">
        <f>AQ603*(1-PARAM!$C$27)*$I$13+(MOD($B603,60)=PARAM!$B$56)*($B603&gt;(60-PARAM!$B$56))*HLOOKUP(($B603+PARAM!$B$56)/12,Loyalty,2)*$F$1*MAX(AT602,0)</f>
        <v>18.557001321003963</v>
      </c>
      <c r="AS603" s="75">
        <f>PARAM!$C$26+MAX($G$13-CHOOSE(PARAM!$B$44,MAX(0,AT602*$F$1),0),0)*RATES!$L579/12+$H$13*(PARAM!$D$51/12)*RATES!$N579/100</f>
        <v>252.45833333333334</v>
      </c>
      <c r="AT603" s="16">
        <f t="shared" si="380"/>
        <v>-23331.950263317292</v>
      </c>
      <c r="AU603" s="15">
        <f t="shared" ref="AU603:AU666" si="398">$H$14*$CE603</f>
        <v>22.170849845882874</v>
      </c>
      <c r="AV603" s="75">
        <f>AU603*(1-PARAM!$C$27)*$I$14+(MOD($B603,60)=PARAM!$B$56)*($B603&gt;(60-PARAM!$B$56))*HLOOKUP(($B603+PARAM!$B$56)/12,Loyalty,2)*$F$1*MAX(AX602,0)</f>
        <v>18.557001321003963</v>
      </c>
      <c r="AW603" s="75">
        <f>PARAM!$C$26+MAX($G$14-CHOOSE(PARAM!$B$44,MAX(0,AX602*$F$1),0),0)*RATES!$L579/12+$H$14*(PARAM!$D$51/12)*RATES!$N579/100</f>
        <v>252.45833333333334</v>
      </c>
      <c r="AX603" s="16">
        <f t="shared" si="381"/>
        <v>-23331.950263317292</v>
      </c>
      <c r="AY603" s="15">
        <f t="shared" ref="AY603:AY666" si="399">$H$15*$CE603</f>
        <v>22.170849845882874</v>
      </c>
      <c r="AZ603" s="75">
        <f>AY603*(1-PARAM!$C$27)*$I$15+(MOD($B603,60)=PARAM!$B$56)*($B603&gt;(60-PARAM!$B$56))*HLOOKUP(($B603+PARAM!$B$56)/12,Loyalty,2)*$F$1*MAX(BB602,0)</f>
        <v>18.557001321003963</v>
      </c>
      <c r="BA603" s="75">
        <f>PARAM!$C$26+MAX($G$15-CHOOSE(PARAM!$B$44,MAX(0,BB602*$F$1),0),0)*RATES!$L579/12+$H$15*(PARAM!$D$51/12)*RATES!$N579/100</f>
        <v>252.45833333333334</v>
      </c>
      <c r="BB603" s="16">
        <f t="shared" si="382"/>
        <v>-23331.950263317292</v>
      </c>
      <c r="BC603" s="15">
        <f t="shared" ref="BC603:BC666" si="400">$H$16*$CE603</f>
        <v>22.170849845882874</v>
      </c>
      <c r="BD603" s="75">
        <f>BC603*(1-PARAM!$C$27)*$I$16+(MOD($B603,60)=PARAM!$B$56)*($B603&gt;(60-PARAM!$B$56))*HLOOKUP(($B603+PARAM!$B$56)/12,Loyalty,2)*$F$1*MAX(BF602,0)</f>
        <v>18.557001321003963</v>
      </c>
      <c r="BE603" s="75">
        <f>PARAM!$C$26+MAX($G$16-CHOOSE(PARAM!$B$44,MAX(0,BF602*$F$1),0),0)*RATES!$L579/12+$H$16*(PARAM!$D$51/12)*RATES!$N579/100</f>
        <v>252.45833333333334</v>
      </c>
      <c r="BF603" s="16">
        <f t="shared" si="383"/>
        <v>-23331.950263317292</v>
      </c>
      <c r="BG603" s="15">
        <f t="shared" ref="BG603:BG666" si="401">$H$17*$CE603</f>
        <v>22.170849845882874</v>
      </c>
      <c r="BH603" s="75">
        <f>BG603*(1-PARAM!$C$27)*$I$17+(MOD($B603,60)=PARAM!$B$56)*($B603&gt;(60-PARAM!$B$56))*HLOOKUP(($B603+PARAM!$B$56)/12,Loyalty,2)*$F$1*MAX(BJ602,0)</f>
        <v>18.557001321003963</v>
      </c>
      <c r="BI603" s="75">
        <f>PARAM!$C$26+MAX($G$17-CHOOSE(PARAM!$B$44,MAX(0,BJ602*$F$1),0),0)*RATES!$L579/12+$H$17*(PARAM!$D$51/12)*RATES!$N579/100</f>
        <v>252.45833333333334</v>
      </c>
      <c r="BJ603" s="16">
        <f t="shared" si="384"/>
        <v>-23331.950263317292</v>
      </c>
      <c r="BK603" s="15">
        <f t="shared" ref="BK603:BK666" si="402">$H$18*$CE603</f>
        <v>22.170849845882874</v>
      </c>
      <c r="BL603" s="75">
        <f>BK603*(1-PARAM!$C$27)*$I$18+(MOD($B603,60)=PARAM!$B$56)*($B603&gt;(60-PARAM!$B$56))*HLOOKUP(($B603+PARAM!$B$56)/12,Loyalty,2)*$F$1*MAX(BN602,0)</f>
        <v>18.557001321003963</v>
      </c>
      <c r="BM603" s="75">
        <f>PARAM!$C$26+MAX($G$18-CHOOSE(PARAM!$B$44,MAX(0,BN602*$F$1),0),0)*RATES!$L579/12+$H$18*(PARAM!$D$51/12)*RATES!$N579/100</f>
        <v>252.45833333333334</v>
      </c>
      <c r="BN603" s="16">
        <f t="shared" si="385"/>
        <v>-23331.950263317292</v>
      </c>
      <c r="BO603" s="15">
        <f t="shared" ref="BO603:BO666" si="403">$H$19*$CE603</f>
        <v>22.170849845882874</v>
      </c>
      <c r="BP603" s="75">
        <f>BO603*(1-PARAM!$C$27)*$I$19+(MOD($B603,60)=PARAM!$B$56)*($B603&gt;(60-PARAM!$B$56))*HLOOKUP(($B603+PARAM!$B$56)/12,Loyalty,2)*$F$1*MAX(BR602,0)</f>
        <v>18.557001321003963</v>
      </c>
      <c r="BQ603" s="75">
        <f>PARAM!$C$26+MAX($G$19-CHOOSE(PARAM!$B$44,MAX(0,BR602*$F$1),0),0)*RATES!$L579/12+$H$19*(PARAM!$D$51/12)*RATES!$N579/100</f>
        <v>252.45833333333334</v>
      </c>
      <c r="BR603" s="16">
        <f t="shared" si="386"/>
        <v>-23331.950263317292</v>
      </c>
      <c r="BS603" s="15">
        <f t="shared" ref="BS603:BS666" si="404">$H$20*$CE603</f>
        <v>22.170849845882874</v>
      </c>
      <c r="BT603" s="75">
        <f>BS603*(1-PARAM!$C$27)*$I$20+(MOD($B603,60)=PARAM!$B$56)*($B603&gt;(60-PARAM!$B$56))*HLOOKUP(($B603+PARAM!$B$56)/12,Loyalty,2)*$F$1*MAX(BV602,0)</f>
        <v>18.557001321003963</v>
      </c>
      <c r="BU603" s="75">
        <f>PARAM!$C$26+MAX($G$20-CHOOSE(PARAM!$B$44,MAX(0,BV602*$F$1),0),0)*RATES!$L579/12+$H$20*(PARAM!$D$51/12)*RATES!$N579/100</f>
        <v>252.45833333333334</v>
      </c>
      <c r="BV603" s="16">
        <f t="shared" si="387"/>
        <v>-23331.950263317292</v>
      </c>
      <c r="BW603" s="15">
        <f t="shared" ref="BW603:BW666" si="405">$H$21*$CE603</f>
        <v>22.170849845882874</v>
      </c>
      <c r="BX603" s="75">
        <f>BW603*(1-PARAM!$C$27)*$I$21+(MOD($B603,60)=PARAM!$B$56)*($B603&gt;(60-PARAM!$B$56))*HLOOKUP(($B603+PARAM!$B$56)/12,Loyalty,2)*$F$1*MAX(BZ602,0)</f>
        <v>18.557001321003963</v>
      </c>
      <c r="BY603" s="75">
        <f>PARAM!$C$26+MAX($G$21-CHOOSE(PARAM!$B$44,MAX(0,BZ602*$F$1),0),0)*RATES!$L579/12+$H$21*(PARAM!$D$51/12)*RATES!$N579/100</f>
        <v>252.45833333333334</v>
      </c>
      <c r="BZ603" s="16">
        <f t="shared" si="388"/>
        <v>-23331.950263317292</v>
      </c>
      <c r="CA603" s="15">
        <f t="shared" ref="CA603:CA666" si="406">$H$22*$CE603</f>
        <v>22.170849845882874</v>
      </c>
      <c r="CB603" s="75">
        <f>CA603*(1-PARAM!$C$27)*$I$22+(MOD($B603,60)=PARAM!$B$56)*($B603&gt;(60-PARAM!$B$56))*HLOOKUP(($B603+PARAM!$B$56)/12,Loyalty,2)*$F$1*MAX(CD602,0)</f>
        <v>18.557001321003963</v>
      </c>
      <c r="CC603" s="75">
        <f>PARAM!$C$26+MAX($G$22-CHOOSE(PARAM!$B$44,MAX(0,CD602*$F$1),0),0)*RATES!$L579/12+$H$22*(PARAM!$D$51/12)*RATES!$N579/100</f>
        <v>252.45833333333334</v>
      </c>
      <c r="CD603" s="16">
        <f t="shared" si="389"/>
        <v>-23331.950263317292</v>
      </c>
      <c r="CE603" s="33">
        <f>IF(0=MOD(B603,12/PARAM!$D$51),1,0)</f>
        <v>1</v>
      </c>
      <c r="CF603" s="15">
        <f t="shared" ref="CF603:CF666" si="407">$Q$3*CE603</f>
        <v>0</v>
      </c>
      <c r="CG603" s="75">
        <f>CF603*(1-PARAM!$C$27)*$R$3+(MOD($B603/12,5)=0)*($B603&gt;60)*HLOOKUP($B603/12,Loyalty,2)*$F$1*MAX(CI602,0)</f>
        <v>0</v>
      </c>
      <c r="CH603" s="75">
        <f>PARAM!$C$26+MAX($P$3-CHOOSE(PARAM!$B$44,MAX(0,CI602*$F$1),0),0)*RATES!$L579/12+$Q$3*(PARAM!$D$51/12)*RATES!$N579/100</f>
        <v>252.45833333333334</v>
      </c>
      <c r="CI603" s="16">
        <f>IF(CI602&gt;0,CI602*PARAM!$C$53,CI602)+CG603-CH603</f>
        <v>-33901.20833333335</v>
      </c>
      <c r="CJ603" s="15">
        <f t="shared" si="390"/>
        <v>0</v>
      </c>
      <c r="CK603" s="75">
        <f>CJ603*(1-PARAM!$C$27)*$R$4+(MOD($B603/12,5)=0)*($B603&gt;60)*HLOOKUP($B603/12,Loyalty,2)*$F$1*MAX(CM602,0)</f>
        <v>0</v>
      </c>
      <c r="CL603" s="75">
        <f>PARAM!$C$26+MAX($P$4-CHOOSE(PARAM!$B$44,MAX(0,CM602*$F$1),0),0)*RATES!$L579/12+$Q$4*(PARAM!$D$51/12)*RATES!$N579/100</f>
        <v>252.45833333333334</v>
      </c>
      <c r="CM603" s="16">
        <f>IF(CM602&gt;0,CM602*PARAM!$C$53,CM602)+CK603-CL603</f>
        <v>-33901.20833333335</v>
      </c>
      <c r="CO603" s="176"/>
    </row>
    <row r="604" spans="1:93" x14ac:dyDescent="0.2">
      <c r="A604" t="b">
        <f t="shared" ref="A604:A667" si="408">F604&gt;0</f>
        <v>0</v>
      </c>
      <c r="B604" s="33">
        <v>577</v>
      </c>
      <c r="C604" s="15">
        <f t="shared" ref="C604:C667" si="409">$H$3*$CE604</f>
        <v>20.081305947392778</v>
      </c>
      <c r="D604" s="75">
        <f>C604*(1-PARAM!$C$27)*$I$3+(MOD($B604,60)=PARAM!$B$56)*($B604&gt;(60-PARAM!$B$56))*HLOOKUP(($B604+PARAM!$B$56)/12,Loyalty,2)*$F$1*MAX(F603,0)</f>
        <v>16.808053077967756</v>
      </c>
      <c r="E604" s="75">
        <f>PARAM!$C$26+MAX($G$3-CHOOSE(PARAM!$B$44,MAX(0,F603*$F$1),0),0)*RATES!$L580/12+$H$3*(PARAM!$D$51/12)*RATES!$N580/100</f>
        <v>252.45833333333334</v>
      </c>
      <c r="F604" s="16">
        <f t="shared" ref="F604:F667" si="410">IF(F603&gt;0,F603*$F$1,F603)+D604-E604</f>
        <v>-24611.845232083091</v>
      </c>
      <c r="G604" s="15">
        <f t="shared" ref="G604:G667" si="411">$H$4*$CE604</f>
        <v>22.035289406060361</v>
      </c>
      <c r="H604" s="75">
        <f>G604*(1-PARAM!$C$27)*$I$4+(MOD($B604,60)=PARAM!$B$56)*($B604&gt;(60-PARAM!$B$56))*HLOOKUP(($B604+PARAM!$B$56)/12,Loyalty,2)*$F$1*MAX(J603,0)</f>
        <v>18.443537232872522</v>
      </c>
      <c r="I604" s="75">
        <f>PARAM!$C$26+MAX($G$4-CHOOSE(PARAM!$B$44,MAX(0,J603*$F$1),0),0)*RATES!$L580/12+$H$4*(PARAM!$D$51/12)*RATES!$N580/100</f>
        <v>252.45833333333334</v>
      </c>
      <c r="J604" s="16">
        <f t="shared" ref="J604:J667" si="412">IF(J603&gt;0,J603*$F$1,J603)+H604-I604</f>
        <v>-23634.337910581275</v>
      </c>
      <c r="K604" s="15">
        <f t="shared" ref="K604:K667" si="413">$H$5*$CE604</f>
        <v>22.170849845882874</v>
      </c>
      <c r="L604" s="75">
        <f>K604*(1-PARAM!$C$27)*$I$5+(MOD($B604,60)=PARAM!$B$56)*($B604&gt;(60-PARAM!$B$56))*HLOOKUP(($B604+PARAM!$B$56)/12,Loyalty,2)*$F$1*MAX(N603,0)</f>
        <v>18.557001321003963</v>
      </c>
      <c r="M604" s="75">
        <f>PARAM!$C$26+MAX($G$5-CHOOSE(PARAM!$B$44,MAX(0,N603*$F$1),0),0)*RATES!$L580/12+$H$5*(PARAM!$D$51/12)*RATES!$N580/100</f>
        <v>252.45833333333334</v>
      </c>
      <c r="N604" s="16">
        <f t="shared" ref="N604:N667" si="414">IF(N603&gt;0,N603*$F$1,N603)+L604-M604</f>
        <v>-23565.851595329619</v>
      </c>
      <c r="O604" s="15">
        <f t="shared" ref="O604:O667" si="415">$H$6*$CE604</f>
        <v>22.170849845882874</v>
      </c>
      <c r="P604" s="75">
        <f>O604*(1-PARAM!$C$27)*$I$6+(MOD($B604,60)=PARAM!$B$56)*($B604&gt;(60-PARAM!$B$56))*HLOOKUP(($B604+PARAM!$B$56)/12,Loyalty,2)*$F$1*MAX(R603,0)</f>
        <v>18.557001321003963</v>
      </c>
      <c r="Q604" s="75">
        <f>PARAM!$C$26+MAX($G$6-CHOOSE(PARAM!$B$44,MAX(0,R603*$F$1),0),0)*RATES!$L580/12+$H$6*(PARAM!$D$51/12)*RATES!$N580/100</f>
        <v>252.45833333333334</v>
      </c>
      <c r="R604" s="16">
        <f t="shared" ref="R604:R667" si="416">IF(R603&gt;0,R603*$F$1,R603)+P604-Q604</f>
        <v>-23565.851595329619</v>
      </c>
      <c r="S604" s="15">
        <f t="shared" si="391"/>
        <v>22.170849845882874</v>
      </c>
      <c r="T604" s="75">
        <f>S604*(1-PARAM!$C$27)*$I$7+(MOD($B604,60)=PARAM!$B$56)*($B604&gt;(60-PARAM!$B$56))*HLOOKUP(($B604+PARAM!$B$56)/12,Loyalty,2)*$F$1*MAX(V603,0)</f>
        <v>18.557001321003963</v>
      </c>
      <c r="U604" s="75">
        <f>PARAM!$C$26+MAX($G$7-CHOOSE(PARAM!$B$44,MAX(0,V603*$F$1),0),0)*RATES!$L580/12+$H$7*(PARAM!$D$51/12)*RATES!$N580/100</f>
        <v>252.45833333333334</v>
      </c>
      <c r="V604" s="16">
        <f t="shared" ref="V604:V667" si="417">IF(V603&gt;0,V603*$F$1,V603)+T604-U604</f>
        <v>-23565.851595329619</v>
      </c>
      <c r="W604" s="15">
        <f t="shared" si="392"/>
        <v>22.170849845882874</v>
      </c>
      <c r="X604" s="75">
        <f>W604*(1-PARAM!$C$27)*$I$8+(MOD($B604,60)=PARAM!$B$56)*($B604&gt;(60-PARAM!$B$56))*HLOOKUP(($B604+PARAM!$B$56)/12,Loyalty,2)*$F$1*MAX(Z603,0)</f>
        <v>18.557001321003963</v>
      </c>
      <c r="Y604" s="75">
        <f>PARAM!$C$26+MAX($G$8-CHOOSE(PARAM!$B$44,MAX(0,Z603*$F$1),0),0)*RATES!$L580/12+$H$8*(PARAM!$D$51/12)*RATES!$N580/100</f>
        <v>252.45833333333334</v>
      </c>
      <c r="Z604" s="16">
        <f t="shared" ref="Z604:Z667" si="418">IF(Z603&gt;0,Z603*$F$1,Z603)+X604-Y604</f>
        <v>-23565.851595329619</v>
      </c>
      <c r="AA604" s="15">
        <f t="shared" si="393"/>
        <v>22.170849845882874</v>
      </c>
      <c r="AB604" s="75">
        <f>AA604*(1-PARAM!$C$27)*$I$9+(MOD($B604,60)=PARAM!$B$56)*($B604&gt;(60-PARAM!$B$56))*HLOOKUP(($B604+PARAM!$B$56)/12,Loyalty,2)*$F$1*MAX(AD603,0)</f>
        <v>18.557001321003963</v>
      </c>
      <c r="AC604" s="75">
        <f>PARAM!$C$26+MAX($G$9-CHOOSE(PARAM!$B$44,MAX(0,AD603*$F$1),0),0)*RATES!$L580/12+$H$9*(PARAM!$D$51/12)*RATES!$N580/100</f>
        <v>252.45833333333334</v>
      </c>
      <c r="AD604" s="16">
        <f t="shared" ref="AD604:AD667" si="419">IF(AD603&gt;0,AD603*$F$1,AD603)+AB604-AC604</f>
        <v>-23565.851595329619</v>
      </c>
      <c r="AE604" s="15">
        <f t="shared" si="394"/>
        <v>22.170849845882874</v>
      </c>
      <c r="AF604" s="75">
        <f>AE604*(1-PARAM!$C$27)*$I$10+(MOD($B604,60)=PARAM!$B$56)*($B604&gt;(60-PARAM!$B$56))*HLOOKUP(($B604+PARAM!$B$56)/12,Loyalty,2)*$F$1*MAX(AH603,0)</f>
        <v>18.557001321003963</v>
      </c>
      <c r="AG604" s="75">
        <f>PARAM!$C$26+MAX($G$10-CHOOSE(PARAM!$B$44,MAX(0,AH603*$F$1),0),0)*RATES!$L580/12+$H$10*(PARAM!$D$51/12)*RATES!$N580/100</f>
        <v>252.45833333333334</v>
      </c>
      <c r="AH604" s="16">
        <f t="shared" ref="AH604:AH667" si="420">IF(AH603&gt;0,AH603*$F$1,AH603)+AF604-AG604</f>
        <v>-23565.851595329619</v>
      </c>
      <c r="AI604" s="15">
        <f t="shared" si="395"/>
        <v>22.170849845882874</v>
      </c>
      <c r="AJ604" s="75">
        <f>AI604*(1-PARAM!$C$27)*$I$11+(MOD($B604,60)=PARAM!$B$56)*($B604&gt;(60-PARAM!$B$56))*HLOOKUP(($B604+PARAM!$B$56)/12,Loyalty,2)*$F$1*MAX(AL603,0)</f>
        <v>18.557001321003963</v>
      </c>
      <c r="AK604" s="75">
        <f>PARAM!$C$26+MAX($G$11-CHOOSE(PARAM!$B$44,MAX(0,AL603*$F$1),0),0)*RATES!$L580/12+$H$11*(PARAM!$D$51/12)*RATES!$N580/100</f>
        <v>252.45833333333334</v>
      </c>
      <c r="AL604" s="16">
        <f t="shared" ref="AL604:AL667" si="421">IF(AL603&gt;0,AL603*$F$1,AL603)+AJ604-AK604</f>
        <v>-23565.851595329619</v>
      </c>
      <c r="AM604" s="15">
        <f t="shared" si="396"/>
        <v>22.170849845882874</v>
      </c>
      <c r="AN604" s="75">
        <f>AM604*(1-PARAM!$C$27)*$I$12+(MOD($B604,60)=PARAM!$B$56)*($B604&gt;(60-PARAM!$B$56))*HLOOKUP(($B604+PARAM!$B$56)/12,Loyalty,2)*$F$1*MAX(AP603,0)</f>
        <v>18.557001321003963</v>
      </c>
      <c r="AO604" s="75">
        <f>PARAM!$C$26+MAX($G$12-CHOOSE(PARAM!$B$44,MAX(0,AP603*$F$1),0),0)*RATES!$L580/12+$H$12*(PARAM!$D$51/12)*RATES!$N580/100</f>
        <v>252.45833333333334</v>
      </c>
      <c r="AP604" s="16">
        <f t="shared" ref="AP604:AP667" si="422">IF(AP603&gt;0,AP603*$F$1,AP603)+AN604-AO604</f>
        <v>-23565.851595329619</v>
      </c>
      <c r="AQ604" s="15">
        <f t="shared" si="397"/>
        <v>22.170849845882874</v>
      </c>
      <c r="AR604" s="75">
        <f>AQ604*(1-PARAM!$C$27)*$I$13+(MOD($B604,60)=PARAM!$B$56)*($B604&gt;(60-PARAM!$B$56))*HLOOKUP(($B604+PARAM!$B$56)/12,Loyalty,2)*$F$1*MAX(AT603,0)</f>
        <v>18.557001321003963</v>
      </c>
      <c r="AS604" s="75">
        <f>PARAM!$C$26+MAX($G$13-CHOOSE(PARAM!$B$44,MAX(0,AT603*$F$1),0),0)*RATES!$L580/12+$H$13*(PARAM!$D$51/12)*RATES!$N580/100</f>
        <v>252.45833333333334</v>
      </c>
      <c r="AT604" s="16">
        <f t="shared" ref="AT604:AT667" si="423">IF(AT603&gt;0,AT603*$F$1,AT603)+AR604-AS604</f>
        <v>-23565.851595329619</v>
      </c>
      <c r="AU604" s="15">
        <f t="shared" si="398"/>
        <v>22.170849845882874</v>
      </c>
      <c r="AV604" s="75">
        <f>AU604*(1-PARAM!$C$27)*$I$14+(MOD($B604,60)=PARAM!$B$56)*($B604&gt;(60-PARAM!$B$56))*HLOOKUP(($B604+PARAM!$B$56)/12,Loyalty,2)*$F$1*MAX(AX603,0)</f>
        <v>18.557001321003963</v>
      </c>
      <c r="AW604" s="75">
        <f>PARAM!$C$26+MAX($G$14-CHOOSE(PARAM!$B$44,MAX(0,AX603*$F$1),0),0)*RATES!$L580/12+$H$14*(PARAM!$D$51/12)*RATES!$N580/100</f>
        <v>252.45833333333334</v>
      </c>
      <c r="AX604" s="16">
        <f t="shared" ref="AX604:AX667" si="424">IF(AX603&gt;0,AX603*$F$1,AX603)+AV604-AW604</f>
        <v>-23565.851595329619</v>
      </c>
      <c r="AY604" s="15">
        <f t="shared" si="399"/>
        <v>22.170849845882874</v>
      </c>
      <c r="AZ604" s="75">
        <f>AY604*(1-PARAM!$C$27)*$I$15+(MOD($B604,60)=PARAM!$B$56)*($B604&gt;(60-PARAM!$B$56))*HLOOKUP(($B604+PARAM!$B$56)/12,Loyalty,2)*$F$1*MAX(BB603,0)</f>
        <v>18.557001321003963</v>
      </c>
      <c r="BA604" s="75">
        <f>PARAM!$C$26+MAX($G$15-CHOOSE(PARAM!$B$44,MAX(0,BB603*$F$1),0),0)*RATES!$L580/12+$H$15*(PARAM!$D$51/12)*RATES!$N580/100</f>
        <v>252.45833333333334</v>
      </c>
      <c r="BB604" s="16">
        <f t="shared" ref="BB604:BB667" si="425">IF(BB603&gt;0,BB603*$F$1,BB603)+AZ604-BA604</f>
        <v>-23565.851595329619</v>
      </c>
      <c r="BC604" s="15">
        <f t="shared" si="400"/>
        <v>22.170849845882874</v>
      </c>
      <c r="BD604" s="75">
        <f>BC604*(1-PARAM!$C$27)*$I$16+(MOD($B604,60)=PARAM!$B$56)*($B604&gt;(60-PARAM!$B$56))*HLOOKUP(($B604+PARAM!$B$56)/12,Loyalty,2)*$F$1*MAX(BF603,0)</f>
        <v>18.557001321003963</v>
      </c>
      <c r="BE604" s="75">
        <f>PARAM!$C$26+MAX($G$16-CHOOSE(PARAM!$B$44,MAX(0,BF603*$F$1),0),0)*RATES!$L580/12+$H$16*(PARAM!$D$51/12)*RATES!$N580/100</f>
        <v>252.45833333333334</v>
      </c>
      <c r="BF604" s="16">
        <f t="shared" ref="BF604:BF667" si="426">IF(BF603&gt;0,BF603*$F$1,BF603)+BD604-BE604</f>
        <v>-23565.851595329619</v>
      </c>
      <c r="BG604" s="15">
        <f t="shared" si="401"/>
        <v>22.170849845882874</v>
      </c>
      <c r="BH604" s="75">
        <f>BG604*(1-PARAM!$C$27)*$I$17+(MOD($B604,60)=PARAM!$B$56)*($B604&gt;(60-PARAM!$B$56))*HLOOKUP(($B604+PARAM!$B$56)/12,Loyalty,2)*$F$1*MAX(BJ603,0)</f>
        <v>18.557001321003963</v>
      </c>
      <c r="BI604" s="75">
        <f>PARAM!$C$26+MAX($G$17-CHOOSE(PARAM!$B$44,MAX(0,BJ603*$F$1),0),0)*RATES!$L580/12+$H$17*(PARAM!$D$51/12)*RATES!$N580/100</f>
        <v>252.45833333333334</v>
      </c>
      <c r="BJ604" s="16">
        <f t="shared" ref="BJ604:BJ667" si="427">IF(BJ603&gt;0,BJ603*$F$1,BJ603)+BH604-BI604</f>
        <v>-23565.851595329619</v>
      </c>
      <c r="BK604" s="15">
        <f t="shared" si="402"/>
        <v>22.170849845882874</v>
      </c>
      <c r="BL604" s="75">
        <f>BK604*(1-PARAM!$C$27)*$I$18+(MOD($B604,60)=PARAM!$B$56)*($B604&gt;(60-PARAM!$B$56))*HLOOKUP(($B604+PARAM!$B$56)/12,Loyalty,2)*$F$1*MAX(BN603,0)</f>
        <v>18.557001321003963</v>
      </c>
      <c r="BM604" s="75">
        <f>PARAM!$C$26+MAX($G$18-CHOOSE(PARAM!$B$44,MAX(0,BN603*$F$1),0),0)*RATES!$L580/12+$H$18*(PARAM!$D$51/12)*RATES!$N580/100</f>
        <v>252.45833333333334</v>
      </c>
      <c r="BN604" s="16">
        <f t="shared" ref="BN604:BN667" si="428">IF(BN603&gt;0,BN603*$F$1,BN603)+BL604-BM604</f>
        <v>-23565.851595329619</v>
      </c>
      <c r="BO604" s="15">
        <f t="shared" si="403"/>
        <v>22.170849845882874</v>
      </c>
      <c r="BP604" s="75">
        <f>BO604*(1-PARAM!$C$27)*$I$19+(MOD($B604,60)=PARAM!$B$56)*($B604&gt;(60-PARAM!$B$56))*HLOOKUP(($B604+PARAM!$B$56)/12,Loyalty,2)*$F$1*MAX(BR603,0)</f>
        <v>18.557001321003963</v>
      </c>
      <c r="BQ604" s="75">
        <f>PARAM!$C$26+MAX($G$19-CHOOSE(PARAM!$B$44,MAX(0,BR603*$F$1),0),0)*RATES!$L580/12+$H$19*(PARAM!$D$51/12)*RATES!$N580/100</f>
        <v>252.45833333333334</v>
      </c>
      <c r="BR604" s="16">
        <f t="shared" ref="BR604:BR667" si="429">IF(BR603&gt;0,BR603*$F$1,BR603)+BP604-BQ604</f>
        <v>-23565.851595329619</v>
      </c>
      <c r="BS604" s="15">
        <f t="shared" si="404"/>
        <v>22.170849845882874</v>
      </c>
      <c r="BT604" s="75">
        <f>BS604*(1-PARAM!$C$27)*$I$20+(MOD($B604,60)=PARAM!$B$56)*($B604&gt;(60-PARAM!$B$56))*HLOOKUP(($B604+PARAM!$B$56)/12,Loyalty,2)*$F$1*MAX(BV603,0)</f>
        <v>18.557001321003963</v>
      </c>
      <c r="BU604" s="75">
        <f>PARAM!$C$26+MAX($G$20-CHOOSE(PARAM!$B$44,MAX(0,BV603*$F$1),0),0)*RATES!$L580/12+$H$20*(PARAM!$D$51/12)*RATES!$N580/100</f>
        <v>252.45833333333334</v>
      </c>
      <c r="BV604" s="16">
        <f t="shared" ref="BV604:BV667" si="430">IF(BV603&gt;0,BV603*$F$1,BV603)+BT604-BU604</f>
        <v>-23565.851595329619</v>
      </c>
      <c r="BW604" s="15">
        <f t="shared" si="405"/>
        <v>22.170849845882874</v>
      </c>
      <c r="BX604" s="75">
        <f>BW604*(1-PARAM!$C$27)*$I$21+(MOD($B604,60)=PARAM!$B$56)*($B604&gt;(60-PARAM!$B$56))*HLOOKUP(($B604+PARAM!$B$56)/12,Loyalty,2)*$F$1*MAX(BZ603,0)</f>
        <v>18.557001321003963</v>
      </c>
      <c r="BY604" s="75">
        <f>PARAM!$C$26+MAX($G$21-CHOOSE(PARAM!$B$44,MAX(0,BZ603*$F$1),0),0)*RATES!$L580/12+$H$21*(PARAM!$D$51/12)*RATES!$N580/100</f>
        <v>252.45833333333334</v>
      </c>
      <c r="BZ604" s="16">
        <f t="shared" ref="BZ604:BZ667" si="431">IF(BZ603&gt;0,BZ603*$F$1,BZ603)+BX604-BY604</f>
        <v>-23565.851595329619</v>
      </c>
      <c r="CA604" s="15">
        <f t="shared" si="406"/>
        <v>22.170849845882874</v>
      </c>
      <c r="CB604" s="75">
        <f>CA604*(1-PARAM!$C$27)*$I$22+(MOD($B604,60)=PARAM!$B$56)*($B604&gt;(60-PARAM!$B$56))*HLOOKUP(($B604+PARAM!$B$56)/12,Loyalty,2)*$F$1*MAX(CD603,0)</f>
        <v>18.557001321003963</v>
      </c>
      <c r="CC604" s="75">
        <f>PARAM!$C$26+MAX($G$22-CHOOSE(PARAM!$B$44,MAX(0,CD603*$F$1),0),0)*RATES!$L580/12+$H$22*(PARAM!$D$51/12)*RATES!$N580/100</f>
        <v>252.45833333333334</v>
      </c>
      <c r="CD604" s="16">
        <f t="shared" ref="CD604:CD667" si="432">IF(CD603&gt;0,CD603*$F$1,CD603)+CB604-CC604</f>
        <v>-23565.851595329619</v>
      </c>
      <c r="CE604" s="33">
        <f>IF(0=MOD(B604,12/PARAM!$D$51),1,0)</f>
        <v>1</v>
      </c>
      <c r="CF604" s="15">
        <f t="shared" si="407"/>
        <v>0</v>
      </c>
      <c r="CG604" s="75">
        <f>CF604*(1-PARAM!$C$27)*$R$3+(MOD($B604/12,5)=0)*($B604&gt;60)*HLOOKUP($B604/12,Loyalty,2)*$F$1*MAX(CI603,0)</f>
        <v>0</v>
      </c>
      <c r="CH604" s="75">
        <f>PARAM!$C$26+MAX($P$3-CHOOSE(PARAM!$B$44,MAX(0,CI603*$F$1),0),0)*RATES!$L580/12+$Q$3*(PARAM!$D$51/12)*RATES!$N580/100</f>
        <v>252.45833333333334</v>
      </c>
      <c r="CI604" s="16">
        <f>IF(CI603&gt;0,CI603*PARAM!$C$53,CI603)+CG604-CH604</f>
        <v>-34153.666666666686</v>
      </c>
      <c r="CJ604" s="15">
        <f t="shared" ref="CJ604:CJ667" si="433">$Q$4*CE604</f>
        <v>0</v>
      </c>
      <c r="CK604" s="75">
        <f>CJ604*(1-PARAM!$C$27)*$R$4+(MOD($B604/12,5)=0)*($B604&gt;60)*HLOOKUP($B604/12,Loyalty,2)*$F$1*MAX(CM603,0)</f>
        <v>0</v>
      </c>
      <c r="CL604" s="75">
        <f>PARAM!$C$26+MAX($P$4-CHOOSE(PARAM!$B$44,MAX(0,CM603*$F$1),0),0)*RATES!$L580/12+$Q$4*(PARAM!$D$51/12)*RATES!$N580/100</f>
        <v>252.45833333333334</v>
      </c>
      <c r="CM604" s="16">
        <f>IF(CM603&gt;0,CM603*PARAM!$C$53,CM603)+CK604-CL604</f>
        <v>-34153.666666666686</v>
      </c>
      <c r="CO604" s="176"/>
    </row>
    <row r="605" spans="1:93" x14ac:dyDescent="0.2">
      <c r="A605" t="b">
        <f t="shared" si="408"/>
        <v>0</v>
      </c>
      <c r="B605" s="33">
        <v>578</v>
      </c>
      <c r="C605" s="15">
        <f t="shared" si="409"/>
        <v>20.081305947392778</v>
      </c>
      <c r="D605" s="75">
        <f>C605*(1-PARAM!$C$27)*$I$3+(MOD($B605,60)=PARAM!$B$56)*($B605&gt;(60-PARAM!$B$56))*HLOOKUP(($B605+PARAM!$B$56)/12,Loyalty,2)*$F$1*MAX(F604,0)</f>
        <v>16.808053077967756</v>
      </c>
      <c r="E605" s="75">
        <f>PARAM!$C$26+MAX($G$3-CHOOSE(PARAM!$B$44,MAX(0,F604*$F$1),0),0)*RATES!$L581/12+$H$3*(PARAM!$D$51/12)*RATES!$N581/100</f>
        <v>252.45833333333334</v>
      </c>
      <c r="F605" s="16">
        <f t="shared" si="410"/>
        <v>-24847.495512338457</v>
      </c>
      <c r="G605" s="15">
        <f t="shared" si="411"/>
        <v>22.035289406060361</v>
      </c>
      <c r="H605" s="75">
        <f>G605*(1-PARAM!$C$27)*$I$4+(MOD($B605,60)=PARAM!$B$56)*($B605&gt;(60-PARAM!$B$56))*HLOOKUP(($B605+PARAM!$B$56)/12,Loyalty,2)*$F$1*MAX(J604,0)</f>
        <v>18.443537232872522</v>
      </c>
      <c r="I605" s="75">
        <f>PARAM!$C$26+MAX($G$4-CHOOSE(PARAM!$B$44,MAX(0,J604*$F$1),0),0)*RATES!$L581/12+$H$4*(PARAM!$D$51/12)*RATES!$N581/100</f>
        <v>252.45833333333334</v>
      </c>
      <c r="J605" s="16">
        <f t="shared" si="412"/>
        <v>-23868.352706681733</v>
      </c>
      <c r="K605" s="15">
        <f t="shared" si="413"/>
        <v>22.170849845882874</v>
      </c>
      <c r="L605" s="75">
        <f>K605*(1-PARAM!$C$27)*$I$5+(MOD($B605,60)=PARAM!$B$56)*($B605&gt;(60-PARAM!$B$56))*HLOOKUP(($B605+PARAM!$B$56)/12,Loyalty,2)*$F$1*MAX(N604,0)</f>
        <v>18.557001321003963</v>
      </c>
      <c r="M605" s="75">
        <f>PARAM!$C$26+MAX($G$5-CHOOSE(PARAM!$B$44,MAX(0,N604*$F$1),0),0)*RATES!$L581/12+$H$5*(PARAM!$D$51/12)*RATES!$N581/100</f>
        <v>252.45833333333334</v>
      </c>
      <c r="N605" s="16">
        <f t="shared" si="414"/>
        <v>-23799.752927341946</v>
      </c>
      <c r="O605" s="15">
        <f t="shared" si="415"/>
        <v>22.170849845882874</v>
      </c>
      <c r="P605" s="75">
        <f>O605*(1-PARAM!$C$27)*$I$6+(MOD($B605,60)=PARAM!$B$56)*($B605&gt;(60-PARAM!$B$56))*HLOOKUP(($B605+PARAM!$B$56)/12,Loyalty,2)*$F$1*MAX(R604,0)</f>
        <v>18.557001321003963</v>
      </c>
      <c r="Q605" s="75">
        <f>PARAM!$C$26+MAX($G$6-CHOOSE(PARAM!$B$44,MAX(0,R604*$F$1),0),0)*RATES!$L581/12+$H$6*(PARAM!$D$51/12)*RATES!$N581/100</f>
        <v>252.45833333333334</v>
      </c>
      <c r="R605" s="16">
        <f t="shared" si="416"/>
        <v>-23799.752927341946</v>
      </c>
      <c r="S605" s="15">
        <f t="shared" si="391"/>
        <v>22.170849845882874</v>
      </c>
      <c r="T605" s="75">
        <f>S605*(1-PARAM!$C$27)*$I$7+(MOD($B605,60)=PARAM!$B$56)*($B605&gt;(60-PARAM!$B$56))*HLOOKUP(($B605+PARAM!$B$56)/12,Loyalty,2)*$F$1*MAX(V604,0)</f>
        <v>18.557001321003963</v>
      </c>
      <c r="U605" s="75">
        <f>PARAM!$C$26+MAX($G$7-CHOOSE(PARAM!$B$44,MAX(0,V604*$F$1),0),0)*RATES!$L581/12+$H$7*(PARAM!$D$51/12)*RATES!$N581/100</f>
        <v>252.45833333333334</v>
      </c>
      <c r="V605" s="16">
        <f t="shared" si="417"/>
        <v>-23799.752927341946</v>
      </c>
      <c r="W605" s="15">
        <f t="shared" si="392"/>
        <v>22.170849845882874</v>
      </c>
      <c r="X605" s="75">
        <f>W605*(1-PARAM!$C$27)*$I$8+(MOD($B605,60)=PARAM!$B$56)*($B605&gt;(60-PARAM!$B$56))*HLOOKUP(($B605+PARAM!$B$56)/12,Loyalty,2)*$F$1*MAX(Z604,0)</f>
        <v>18.557001321003963</v>
      </c>
      <c r="Y605" s="75">
        <f>PARAM!$C$26+MAX($G$8-CHOOSE(PARAM!$B$44,MAX(0,Z604*$F$1),0),0)*RATES!$L581/12+$H$8*(PARAM!$D$51/12)*RATES!$N581/100</f>
        <v>252.45833333333334</v>
      </c>
      <c r="Z605" s="16">
        <f t="shared" si="418"/>
        <v>-23799.752927341946</v>
      </c>
      <c r="AA605" s="15">
        <f t="shared" si="393"/>
        <v>22.170849845882874</v>
      </c>
      <c r="AB605" s="75">
        <f>AA605*(1-PARAM!$C$27)*$I$9+(MOD($B605,60)=PARAM!$B$56)*($B605&gt;(60-PARAM!$B$56))*HLOOKUP(($B605+PARAM!$B$56)/12,Loyalty,2)*$F$1*MAX(AD604,0)</f>
        <v>18.557001321003963</v>
      </c>
      <c r="AC605" s="75">
        <f>PARAM!$C$26+MAX($G$9-CHOOSE(PARAM!$B$44,MAX(0,AD604*$F$1),0),0)*RATES!$L581/12+$H$9*(PARAM!$D$51/12)*RATES!$N581/100</f>
        <v>252.45833333333334</v>
      </c>
      <c r="AD605" s="16">
        <f t="shared" si="419"/>
        <v>-23799.752927341946</v>
      </c>
      <c r="AE605" s="15">
        <f t="shared" si="394"/>
        <v>22.170849845882874</v>
      </c>
      <c r="AF605" s="75">
        <f>AE605*(1-PARAM!$C$27)*$I$10+(MOD($B605,60)=PARAM!$B$56)*($B605&gt;(60-PARAM!$B$56))*HLOOKUP(($B605+PARAM!$B$56)/12,Loyalty,2)*$F$1*MAX(AH604,0)</f>
        <v>18.557001321003963</v>
      </c>
      <c r="AG605" s="75">
        <f>PARAM!$C$26+MAX($G$10-CHOOSE(PARAM!$B$44,MAX(0,AH604*$F$1),0),0)*RATES!$L581/12+$H$10*(PARAM!$D$51/12)*RATES!$N581/100</f>
        <v>252.45833333333334</v>
      </c>
      <c r="AH605" s="16">
        <f t="shared" si="420"/>
        <v>-23799.752927341946</v>
      </c>
      <c r="AI605" s="15">
        <f t="shared" si="395"/>
        <v>22.170849845882874</v>
      </c>
      <c r="AJ605" s="75">
        <f>AI605*(1-PARAM!$C$27)*$I$11+(MOD($B605,60)=PARAM!$B$56)*($B605&gt;(60-PARAM!$B$56))*HLOOKUP(($B605+PARAM!$B$56)/12,Loyalty,2)*$F$1*MAX(AL604,0)</f>
        <v>18.557001321003963</v>
      </c>
      <c r="AK605" s="75">
        <f>PARAM!$C$26+MAX($G$11-CHOOSE(PARAM!$B$44,MAX(0,AL604*$F$1),0),0)*RATES!$L581/12+$H$11*(PARAM!$D$51/12)*RATES!$N581/100</f>
        <v>252.45833333333334</v>
      </c>
      <c r="AL605" s="16">
        <f t="shared" si="421"/>
        <v>-23799.752927341946</v>
      </c>
      <c r="AM605" s="15">
        <f t="shared" si="396"/>
        <v>22.170849845882874</v>
      </c>
      <c r="AN605" s="75">
        <f>AM605*(1-PARAM!$C$27)*$I$12+(MOD($B605,60)=PARAM!$B$56)*($B605&gt;(60-PARAM!$B$56))*HLOOKUP(($B605+PARAM!$B$56)/12,Loyalty,2)*$F$1*MAX(AP604,0)</f>
        <v>18.557001321003963</v>
      </c>
      <c r="AO605" s="75">
        <f>PARAM!$C$26+MAX($G$12-CHOOSE(PARAM!$B$44,MAX(0,AP604*$F$1),0),0)*RATES!$L581/12+$H$12*(PARAM!$D$51/12)*RATES!$N581/100</f>
        <v>252.45833333333334</v>
      </c>
      <c r="AP605" s="16">
        <f t="shared" si="422"/>
        <v>-23799.752927341946</v>
      </c>
      <c r="AQ605" s="15">
        <f t="shared" si="397"/>
        <v>22.170849845882874</v>
      </c>
      <c r="AR605" s="75">
        <f>AQ605*(1-PARAM!$C$27)*$I$13+(MOD($B605,60)=PARAM!$B$56)*($B605&gt;(60-PARAM!$B$56))*HLOOKUP(($B605+PARAM!$B$56)/12,Loyalty,2)*$F$1*MAX(AT604,0)</f>
        <v>18.557001321003963</v>
      </c>
      <c r="AS605" s="75">
        <f>PARAM!$C$26+MAX($G$13-CHOOSE(PARAM!$B$44,MAX(0,AT604*$F$1),0),0)*RATES!$L581/12+$H$13*(PARAM!$D$51/12)*RATES!$N581/100</f>
        <v>252.45833333333334</v>
      </c>
      <c r="AT605" s="16">
        <f t="shared" si="423"/>
        <v>-23799.752927341946</v>
      </c>
      <c r="AU605" s="15">
        <f t="shared" si="398"/>
        <v>22.170849845882874</v>
      </c>
      <c r="AV605" s="75">
        <f>AU605*(1-PARAM!$C$27)*$I$14+(MOD($B605,60)=PARAM!$B$56)*($B605&gt;(60-PARAM!$B$56))*HLOOKUP(($B605+PARAM!$B$56)/12,Loyalty,2)*$F$1*MAX(AX604,0)</f>
        <v>18.557001321003963</v>
      </c>
      <c r="AW605" s="75">
        <f>PARAM!$C$26+MAX($G$14-CHOOSE(PARAM!$B$44,MAX(0,AX604*$F$1),0),0)*RATES!$L581/12+$H$14*(PARAM!$D$51/12)*RATES!$N581/100</f>
        <v>252.45833333333334</v>
      </c>
      <c r="AX605" s="16">
        <f t="shared" si="424"/>
        <v>-23799.752927341946</v>
      </c>
      <c r="AY605" s="15">
        <f t="shared" si="399"/>
        <v>22.170849845882874</v>
      </c>
      <c r="AZ605" s="75">
        <f>AY605*(1-PARAM!$C$27)*$I$15+(MOD($B605,60)=PARAM!$B$56)*($B605&gt;(60-PARAM!$B$56))*HLOOKUP(($B605+PARAM!$B$56)/12,Loyalty,2)*$F$1*MAX(BB604,0)</f>
        <v>18.557001321003963</v>
      </c>
      <c r="BA605" s="75">
        <f>PARAM!$C$26+MAX($G$15-CHOOSE(PARAM!$B$44,MAX(0,BB604*$F$1),0),0)*RATES!$L581/12+$H$15*(PARAM!$D$51/12)*RATES!$N581/100</f>
        <v>252.45833333333334</v>
      </c>
      <c r="BB605" s="16">
        <f t="shared" si="425"/>
        <v>-23799.752927341946</v>
      </c>
      <c r="BC605" s="15">
        <f t="shared" si="400"/>
        <v>22.170849845882874</v>
      </c>
      <c r="BD605" s="75">
        <f>BC605*(1-PARAM!$C$27)*$I$16+(MOD($B605,60)=PARAM!$B$56)*($B605&gt;(60-PARAM!$B$56))*HLOOKUP(($B605+PARAM!$B$56)/12,Loyalty,2)*$F$1*MAX(BF604,0)</f>
        <v>18.557001321003963</v>
      </c>
      <c r="BE605" s="75">
        <f>PARAM!$C$26+MAX($G$16-CHOOSE(PARAM!$B$44,MAX(0,BF604*$F$1),0),0)*RATES!$L581/12+$H$16*(PARAM!$D$51/12)*RATES!$N581/100</f>
        <v>252.45833333333334</v>
      </c>
      <c r="BF605" s="16">
        <f t="shared" si="426"/>
        <v>-23799.752927341946</v>
      </c>
      <c r="BG605" s="15">
        <f t="shared" si="401"/>
        <v>22.170849845882874</v>
      </c>
      <c r="BH605" s="75">
        <f>BG605*(1-PARAM!$C$27)*$I$17+(MOD($B605,60)=PARAM!$B$56)*($B605&gt;(60-PARAM!$B$56))*HLOOKUP(($B605+PARAM!$B$56)/12,Loyalty,2)*$F$1*MAX(BJ604,0)</f>
        <v>18.557001321003963</v>
      </c>
      <c r="BI605" s="75">
        <f>PARAM!$C$26+MAX($G$17-CHOOSE(PARAM!$B$44,MAX(0,BJ604*$F$1),0),0)*RATES!$L581/12+$H$17*(PARAM!$D$51/12)*RATES!$N581/100</f>
        <v>252.45833333333334</v>
      </c>
      <c r="BJ605" s="16">
        <f t="shared" si="427"/>
        <v>-23799.752927341946</v>
      </c>
      <c r="BK605" s="15">
        <f t="shared" si="402"/>
        <v>22.170849845882874</v>
      </c>
      <c r="BL605" s="75">
        <f>BK605*(1-PARAM!$C$27)*$I$18+(MOD($B605,60)=PARAM!$B$56)*($B605&gt;(60-PARAM!$B$56))*HLOOKUP(($B605+PARAM!$B$56)/12,Loyalty,2)*$F$1*MAX(BN604,0)</f>
        <v>18.557001321003963</v>
      </c>
      <c r="BM605" s="75">
        <f>PARAM!$C$26+MAX($G$18-CHOOSE(PARAM!$B$44,MAX(0,BN604*$F$1),0),0)*RATES!$L581/12+$H$18*(PARAM!$D$51/12)*RATES!$N581/100</f>
        <v>252.45833333333334</v>
      </c>
      <c r="BN605" s="16">
        <f t="shared" si="428"/>
        <v>-23799.752927341946</v>
      </c>
      <c r="BO605" s="15">
        <f t="shared" si="403"/>
        <v>22.170849845882874</v>
      </c>
      <c r="BP605" s="75">
        <f>BO605*(1-PARAM!$C$27)*$I$19+(MOD($B605,60)=PARAM!$B$56)*($B605&gt;(60-PARAM!$B$56))*HLOOKUP(($B605+PARAM!$B$56)/12,Loyalty,2)*$F$1*MAX(BR604,0)</f>
        <v>18.557001321003963</v>
      </c>
      <c r="BQ605" s="75">
        <f>PARAM!$C$26+MAX($G$19-CHOOSE(PARAM!$B$44,MAX(0,BR604*$F$1),0),0)*RATES!$L581/12+$H$19*(PARAM!$D$51/12)*RATES!$N581/100</f>
        <v>252.45833333333334</v>
      </c>
      <c r="BR605" s="16">
        <f t="shared" si="429"/>
        <v>-23799.752927341946</v>
      </c>
      <c r="BS605" s="15">
        <f t="shared" si="404"/>
        <v>22.170849845882874</v>
      </c>
      <c r="BT605" s="75">
        <f>BS605*(1-PARAM!$C$27)*$I$20+(MOD($B605,60)=PARAM!$B$56)*($B605&gt;(60-PARAM!$B$56))*HLOOKUP(($B605+PARAM!$B$56)/12,Loyalty,2)*$F$1*MAX(BV604,0)</f>
        <v>18.557001321003963</v>
      </c>
      <c r="BU605" s="75">
        <f>PARAM!$C$26+MAX($G$20-CHOOSE(PARAM!$B$44,MAX(0,BV604*$F$1),0),0)*RATES!$L581/12+$H$20*(PARAM!$D$51/12)*RATES!$N581/100</f>
        <v>252.45833333333334</v>
      </c>
      <c r="BV605" s="16">
        <f t="shared" si="430"/>
        <v>-23799.752927341946</v>
      </c>
      <c r="BW605" s="15">
        <f t="shared" si="405"/>
        <v>22.170849845882874</v>
      </c>
      <c r="BX605" s="75">
        <f>BW605*(1-PARAM!$C$27)*$I$21+(MOD($B605,60)=PARAM!$B$56)*($B605&gt;(60-PARAM!$B$56))*HLOOKUP(($B605+PARAM!$B$56)/12,Loyalty,2)*$F$1*MAX(BZ604,0)</f>
        <v>18.557001321003963</v>
      </c>
      <c r="BY605" s="75">
        <f>PARAM!$C$26+MAX($G$21-CHOOSE(PARAM!$B$44,MAX(0,BZ604*$F$1),0),0)*RATES!$L581/12+$H$21*(PARAM!$D$51/12)*RATES!$N581/100</f>
        <v>252.45833333333334</v>
      </c>
      <c r="BZ605" s="16">
        <f t="shared" si="431"/>
        <v>-23799.752927341946</v>
      </c>
      <c r="CA605" s="15">
        <f t="shared" si="406"/>
        <v>22.170849845882874</v>
      </c>
      <c r="CB605" s="75">
        <f>CA605*(1-PARAM!$C$27)*$I$22+(MOD($B605,60)=PARAM!$B$56)*($B605&gt;(60-PARAM!$B$56))*HLOOKUP(($B605+PARAM!$B$56)/12,Loyalty,2)*$F$1*MAX(CD604,0)</f>
        <v>18.557001321003963</v>
      </c>
      <c r="CC605" s="75">
        <f>PARAM!$C$26+MAX($G$22-CHOOSE(PARAM!$B$44,MAX(0,CD604*$F$1),0),0)*RATES!$L581/12+$H$22*(PARAM!$D$51/12)*RATES!$N581/100</f>
        <v>252.45833333333334</v>
      </c>
      <c r="CD605" s="16">
        <f t="shared" si="432"/>
        <v>-23799.752927341946</v>
      </c>
      <c r="CE605" s="33">
        <f>IF(0=MOD(B605,12/PARAM!$D$51),1,0)</f>
        <v>1</v>
      </c>
      <c r="CF605" s="15">
        <f t="shared" si="407"/>
        <v>0</v>
      </c>
      <c r="CG605" s="75">
        <f>CF605*(1-PARAM!$C$27)*$R$3+(MOD($B605/12,5)=0)*($B605&gt;60)*HLOOKUP($B605/12,Loyalty,2)*$F$1*MAX(CI604,0)</f>
        <v>0</v>
      </c>
      <c r="CH605" s="75">
        <f>PARAM!$C$26+MAX($P$3-CHOOSE(PARAM!$B$44,MAX(0,CI604*$F$1),0),0)*RATES!$L581/12+$Q$3*(PARAM!$D$51/12)*RATES!$N581/100</f>
        <v>252.45833333333334</v>
      </c>
      <c r="CI605" s="16">
        <f>IF(CI604&gt;0,CI604*PARAM!$C$53,CI604)+CG605-CH605</f>
        <v>-34406.125000000022</v>
      </c>
      <c r="CJ605" s="15">
        <f t="shared" si="433"/>
        <v>0</v>
      </c>
      <c r="CK605" s="75">
        <f>CJ605*(1-PARAM!$C$27)*$R$4+(MOD($B605/12,5)=0)*($B605&gt;60)*HLOOKUP($B605/12,Loyalty,2)*$F$1*MAX(CM604,0)</f>
        <v>0</v>
      </c>
      <c r="CL605" s="75">
        <f>PARAM!$C$26+MAX($P$4-CHOOSE(PARAM!$B$44,MAX(0,CM604*$F$1),0),0)*RATES!$L581/12+$Q$4*(PARAM!$D$51/12)*RATES!$N581/100</f>
        <v>252.45833333333334</v>
      </c>
      <c r="CM605" s="16">
        <f>IF(CM604&gt;0,CM604*PARAM!$C$53,CM604)+CK605-CL605</f>
        <v>-34406.125000000022</v>
      </c>
      <c r="CO605" s="176"/>
    </row>
    <row r="606" spans="1:93" x14ac:dyDescent="0.2">
      <c r="A606" t="b">
        <f t="shared" si="408"/>
        <v>0</v>
      </c>
      <c r="B606" s="33">
        <v>579</v>
      </c>
      <c r="C606" s="15">
        <f t="shared" si="409"/>
        <v>20.081305947392778</v>
      </c>
      <c r="D606" s="75">
        <f>C606*(1-PARAM!$C$27)*$I$3+(MOD($B606,60)=PARAM!$B$56)*($B606&gt;(60-PARAM!$B$56))*HLOOKUP(($B606+PARAM!$B$56)/12,Loyalty,2)*$F$1*MAX(F605,0)</f>
        <v>16.808053077967756</v>
      </c>
      <c r="E606" s="75">
        <f>PARAM!$C$26+MAX($G$3-CHOOSE(PARAM!$B$44,MAX(0,F605*$F$1),0),0)*RATES!$L582/12+$H$3*(PARAM!$D$51/12)*RATES!$N582/100</f>
        <v>252.45833333333334</v>
      </c>
      <c r="F606" s="16">
        <f t="shared" si="410"/>
        <v>-25083.145792593823</v>
      </c>
      <c r="G606" s="15">
        <f t="shared" si="411"/>
        <v>22.035289406060361</v>
      </c>
      <c r="H606" s="75">
        <f>G606*(1-PARAM!$C$27)*$I$4+(MOD($B606,60)=PARAM!$B$56)*($B606&gt;(60-PARAM!$B$56))*HLOOKUP(($B606+PARAM!$B$56)/12,Loyalty,2)*$F$1*MAX(J605,0)</f>
        <v>18.443537232872522</v>
      </c>
      <c r="I606" s="75">
        <f>PARAM!$C$26+MAX($G$4-CHOOSE(PARAM!$B$44,MAX(0,J605*$F$1),0),0)*RATES!$L582/12+$H$4*(PARAM!$D$51/12)*RATES!$N582/100</f>
        <v>252.45833333333334</v>
      </c>
      <c r="J606" s="16">
        <f t="shared" si="412"/>
        <v>-24102.367502782192</v>
      </c>
      <c r="K606" s="15">
        <f t="shared" si="413"/>
        <v>22.170849845882874</v>
      </c>
      <c r="L606" s="75">
        <f>K606*(1-PARAM!$C$27)*$I$5+(MOD($B606,60)=PARAM!$B$56)*($B606&gt;(60-PARAM!$B$56))*HLOOKUP(($B606+PARAM!$B$56)/12,Loyalty,2)*$F$1*MAX(N605,0)</f>
        <v>18.557001321003963</v>
      </c>
      <c r="M606" s="75">
        <f>PARAM!$C$26+MAX($G$5-CHOOSE(PARAM!$B$44,MAX(0,N605*$F$1),0),0)*RATES!$L582/12+$H$5*(PARAM!$D$51/12)*RATES!$N582/100</f>
        <v>252.45833333333334</v>
      </c>
      <c r="N606" s="16">
        <f t="shared" si="414"/>
        <v>-24033.654259354273</v>
      </c>
      <c r="O606" s="15">
        <f t="shared" si="415"/>
        <v>22.170849845882874</v>
      </c>
      <c r="P606" s="75">
        <f>O606*(1-PARAM!$C$27)*$I$6+(MOD($B606,60)=PARAM!$B$56)*($B606&gt;(60-PARAM!$B$56))*HLOOKUP(($B606+PARAM!$B$56)/12,Loyalty,2)*$F$1*MAX(R605,0)</f>
        <v>18.557001321003963</v>
      </c>
      <c r="Q606" s="75">
        <f>PARAM!$C$26+MAX($G$6-CHOOSE(PARAM!$B$44,MAX(0,R605*$F$1),0),0)*RATES!$L582/12+$H$6*(PARAM!$D$51/12)*RATES!$N582/100</f>
        <v>252.45833333333334</v>
      </c>
      <c r="R606" s="16">
        <f t="shared" si="416"/>
        <v>-24033.654259354273</v>
      </c>
      <c r="S606" s="15">
        <f t="shared" si="391"/>
        <v>22.170849845882874</v>
      </c>
      <c r="T606" s="75">
        <f>S606*(1-PARAM!$C$27)*$I$7+(MOD($B606,60)=PARAM!$B$56)*($B606&gt;(60-PARAM!$B$56))*HLOOKUP(($B606+PARAM!$B$56)/12,Loyalty,2)*$F$1*MAX(V605,0)</f>
        <v>18.557001321003963</v>
      </c>
      <c r="U606" s="75">
        <f>PARAM!$C$26+MAX($G$7-CHOOSE(PARAM!$B$44,MAX(0,V605*$F$1),0),0)*RATES!$L582/12+$H$7*(PARAM!$D$51/12)*RATES!$N582/100</f>
        <v>252.45833333333334</v>
      </c>
      <c r="V606" s="16">
        <f t="shared" si="417"/>
        <v>-24033.654259354273</v>
      </c>
      <c r="W606" s="15">
        <f t="shared" si="392"/>
        <v>22.170849845882874</v>
      </c>
      <c r="X606" s="75">
        <f>W606*(1-PARAM!$C$27)*$I$8+(MOD($B606,60)=PARAM!$B$56)*($B606&gt;(60-PARAM!$B$56))*HLOOKUP(($B606+PARAM!$B$56)/12,Loyalty,2)*$F$1*MAX(Z605,0)</f>
        <v>18.557001321003963</v>
      </c>
      <c r="Y606" s="75">
        <f>PARAM!$C$26+MAX($G$8-CHOOSE(PARAM!$B$44,MAX(0,Z605*$F$1),0),0)*RATES!$L582/12+$H$8*(PARAM!$D$51/12)*RATES!$N582/100</f>
        <v>252.45833333333334</v>
      </c>
      <c r="Z606" s="16">
        <f t="shared" si="418"/>
        <v>-24033.654259354273</v>
      </c>
      <c r="AA606" s="15">
        <f t="shared" si="393"/>
        <v>22.170849845882874</v>
      </c>
      <c r="AB606" s="75">
        <f>AA606*(1-PARAM!$C$27)*$I$9+(MOD($B606,60)=PARAM!$B$56)*($B606&gt;(60-PARAM!$B$56))*HLOOKUP(($B606+PARAM!$B$56)/12,Loyalty,2)*$F$1*MAX(AD605,0)</f>
        <v>18.557001321003963</v>
      </c>
      <c r="AC606" s="75">
        <f>PARAM!$C$26+MAX($G$9-CHOOSE(PARAM!$B$44,MAX(0,AD605*$F$1),0),0)*RATES!$L582/12+$H$9*(PARAM!$D$51/12)*RATES!$N582/100</f>
        <v>252.45833333333334</v>
      </c>
      <c r="AD606" s="16">
        <f t="shared" si="419"/>
        <v>-24033.654259354273</v>
      </c>
      <c r="AE606" s="15">
        <f t="shared" si="394"/>
        <v>22.170849845882874</v>
      </c>
      <c r="AF606" s="75">
        <f>AE606*(1-PARAM!$C$27)*$I$10+(MOD($B606,60)=PARAM!$B$56)*($B606&gt;(60-PARAM!$B$56))*HLOOKUP(($B606+PARAM!$B$56)/12,Loyalty,2)*$F$1*MAX(AH605,0)</f>
        <v>18.557001321003963</v>
      </c>
      <c r="AG606" s="75">
        <f>PARAM!$C$26+MAX($G$10-CHOOSE(PARAM!$B$44,MAX(0,AH605*$F$1),0),0)*RATES!$L582/12+$H$10*(PARAM!$D$51/12)*RATES!$N582/100</f>
        <v>252.45833333333334</v>
      </c>
      <c r="AH606" s="16">
        <f t="shared" si="420"/>
        <v>-24033.654259354273</v>
      </c>
      <c r="AI606" s="15">
        <f t="shared" si="395"/>
        <v>22.170849845882874</v>
      </c>
      <c r="AJ606" s="75">
        <f>AI606*(1-PARAM!$C$27)*$I$11+(MOD($B606,60)=PARAM!$B$56)*($B606&gt;(60-PARAM!$B$56))*HLOOKUP(($B606+PARAM!$B$56)/12,Loyalty,2)*$F$1*MAX(AL605,0)</f>
        <v>18.557001321003963</v>
      </c>
      <c r="AK606" s="75">
        <f>PARAM!$C$26+MAX($G$11-CHOOSE(PARAM!$B$44,MAX(0,AL605*$F$1),0),0)*RATES!$L582/12+$H$11*(PARAM!$D$51/12)*RATES!$N582/100</f>
        <v>252.45833333333334</v>
      </c>
      <c r="AL606" s="16">
        <f t="shared" si="421"/>
        <v>-24033.654259354273</v>
      </c>
      <c r="AM606" s="15">
        <f t="shared" si="396"/>
        <v>22.170849845882874</v>
      </c>
      <c r="AN606" s="75">
        <f>AM606*(1-PARAM!$C$27)*$I$12+(MOD($B606,60)=PARAM!$B$56)*($B606&gt;(60-PARAM!$B$56))*HLOOKUP(($B606+PARAM!$B$56)/12,Loyalty,2)*$F$1*MAX(AP605,0)</f>
        <v>18.557001321003963</v>
      </c>
      <c r="AO606" s="75">
        <f>PARAM!$C$26+MAX($G$12-CHOOSE(PARAM!$B$44,MAX(0,AP605*$F$1),0),0)*RATES!$L582/12+$H$12*(PARAM!$D$51/12)*RATES!$N582/100</f>
        <v>252.45833333333334</v>
      </c>
      <c r="AP606" s="16">
        <f t="shared" si="422"/>
        <v>-24033.654259354273</v>
      </c>
      <c r="AQ606" s="15">
        <f t="shared" si="397"/>
        <v>22.170849845882874</v>
      </c>
      <c r="AR606" s="75">
        <f>AQ606*(1-PARAM!$C$27)*$I$13+(MOD($B606,60)=PARAM!$B$56)*($B606&gt;(60-PARAM!$B$56))*HLOOKUP(($B606+PARAM!$B$56)/12,Loyalty,2)*$F$1*MAX(AT605,0)</f>
        <v>18.557001321003963</v>
      </c>
      <c r="AS606" s="75">
        <f>PARAM!$C$26+MAX($G$13-CHOOSE(PARAM!$B$44,MAX(0,AT605*$F$1),0),0)*RATES!$L582/12+$H$13*(PARAM!$D$51/12)*RATES!$N582/100</f>
        <v>252.45833333333334</v>
      </c>
      <c r="AT606" s="16">
        <f t="shared" si="423"/>
        <v>-24033.654259354273</v>
      </c>
      <c r="AU606" s="15">
        <f t="shared" si="398"/>
        <v>22.170849845882874</v>
      </c>
      <c r="AV606" s="75">
        <f>AU606*(1-PARAM!$C$27)*$I$14+(MOD($B606,60)=PARAM!$B$56)*($B606&gt;(60-PARAM!$B$56))*HLOOKUP(($B606+PARAM!$B$56)/12,Loyalty,2)*$F$1*MAX(AX605,0)</f>
        <v>18.557001321003963</v>
      </c>
      <c r="AW606" s="75">
        <f>PARAM!$C$26+MAX($G$14-CHOOSE(PARAM!$B$44,MAX(0,AX605*$F$1),0),0)*RATES!$L582/12+$H$14*(PARAM!$D$51/12)*RATES!$N582/100</f>
        <v>252.45833333333334</v>
      </c>
      <c r="AX606" s="16">
        <f t="shared" si="424"/>
        <v>-24033.654259354273</v>
      </c>
      <c r="AY606" s="15">
        <f t="shared" si="399"/>
        <v>22.170849845882874</v>
      </c>
      <c r="AZ606" s="75">
        <f>AY606*(1-PARAM!$C$27)*$I$15+(MOD($B606,60)=PARAM!$B$56)*($B606&gt;(60-PARAM!$B$56))*HLOOKUP(($B606+PARAM!$B$56)/12,Loyalty,2)*$F$1*MAX(BB605,0)</f>
        <v>18.557001321003963</v>
      </c>
      <c r="BA606" s="75">
        <f>PARAM!$C$26+MAX($G$15-CHOOSE(PARAM!$B$44,MAX(0,BB605*$F$1),0),0)*RATES!$L582/12+$H$15*(PARAM!$D$51/12)*RATES!$N582/100</f>
        <v>252.45833333333334</v>
      </c>
      <c r="BB606" s="16">
        <f t="shared" si="425"/>
        <v>-24033.654259354273</v>
      </c>
      <c r="BC606" s="15">
        <f t="shared" si="400"/>
        <v>22.170849845882874</v>
      </c>
      <c r="BD606" s="75">
        <f>BC606*(1-PARAM!$C$27)*$I$16+(MOD($B606,60)=PARAM!$B$56)*($B606&gt;(60-PARAM!$B$56))*HLOOKUP(($B606+PARAM!$B$56)/12,Loyalty,2)*$F$1*MAX(BF605,0)</f>
        <v>18.557001321003963</v>
      </c>
      <c r="BE606" s="75">
        <f>PARAM!$C$26+MAX($G$16-CHOOSE(PARAM!$B$44,MAX(0,BF605*$F$1),0),0)*RATES!$L582/12+$H$16*(PARAM!$D$51/12)*RATES!$N582/100</f>
        <v>252.45833333333334</v>
      </c>
      <c r="BF606" s="16">
        <f t="shared" si="426"/>
        <v>-24033.654259354273</v>
      </c>
      <c r="BG606" s="15">
        <f t="shared" si="401"/>
        <v>22.170849845882874</v>
      </c>
      <c r="BH606" s="75">
        <f>BG606*(1-PARAM!$C$27)*$I$17+(MOD($B606,60)=PARAM!$B$56)*($B606&gt;(60-PARAM!$B$56))*HLOOKUP(($B606+PARAM!$B$56)/12,Loyalty,2)*$F$1*MAX(BJ605,0)</f>
        <v>18.557001321003963</v>
      </c>
      <c r="BI606" s="75">
        <f>PARAM!$C$26+MAX($G$17-CHOOSE(PARAM!$B$44,MAX(0,BJ605*$F$1),0),0)*RATES!$L582/12+$H$17*(PARAM!$D$51/12)*RATES!$N582/100</f>
        <v>252.45833333333334</v>
      </c>
      <c r="BJ606" s="16">
        <f t="shared" si="427"/>
        <v>-24033.654259354273</v>
      </c>
      <c r="BK606" s="15">
        <f t="shared" si="402"/>
        <v>22.170849845882874</v>
      </c>
      <c r="BL606" s="75">
        <f>BK606*(1-PARAM!$C$27)*$I$18+(MOD($B606,60)=PARAM!$B$56)*($B606&gt;(60-PARAM!$B$56))*HLOOKUP(($B606+PARAM!$B$56)/12,Loyalty,2)*$F$1*MAX(BN605,0)</f>
        <v>18.557001321003963</v>
      </c>
      <c r="BM606" s="75">
        <f>PARAM!$C$26+MAX($G$18-CHOOSE(PARAM!$B$44,MAX(0,BN605*$F$1),0),0)*RATES!$L582/12+$H$18*(PARAM!$D$51/12)*RATES!$N582/100</f>
        <v>252.45833333333334</v>
      </c>
      <c r="BN606" s="16">
        <f t="shared" si="428"/>
        <v>-24033.654259354273</v>
      </c>
      <c r="BO606" s="15">
        <f t="shared" si="403"/>
        <v>22.170849845882874</v>
      </c>
      <c r="BP606" s="75">
        <f>BO606*(1-PARAM!$C$27)*$I$19+(MOD($B606,60)=PARAM!$B$56)*($B606&gt;(60-PARAM!$B$56))*HLOOKUP(($B606+PARAM!$B$56)/12,Loyalty,2)*$F$1*MAX(BR605,0)</f>
        <v>18.557001321003963</v>
      </c>
      <c r="BQ606" s="75">
        <f>PARAM!$C$26+MAX($G$19-CHOOSE(PARAM!$B$44,MAX(0,BR605*$F$1),0),0)*RATES!$L582/12+$H$19*(PARAM!$D$51/12)*RATES!$N582/100</f>
        <v>252.45833333333334</v>
      </c>
      <c r="BR606" s="16">
        <f t="shared" si="429"/>
        <v>-24033.654259354273</v>
      </c>
      <c r="BS606" s="15">
        <f t="shared" si="404"/>
        <v>22.170849845882874</v>
      </c>
      <c r="BT606" s="75">
        <f>BS606*(1-PARAM!$C$27)*$I$20+(MOD($B606,60)=PARAM!$B$56)*($B606&gt;(60-PARAM!$B$56))*HLOOKUP(($B606+PARAM!$B$56)/12,Loyalty,2)*$F$1*MAX(BV605,0)</f>
        <v>18.557001321003963</v>
      </c>
      <c r="BU606" s="75">
        <f>PARAM!$C$26+MAX($G$20-CHOOSE(PARAM!$B$44,MAX(0,BV605*$F$1),0),0)*RATES!$L582/12+$H$20*(PARAM!$D$51/12)*RATES!$N582/100</f>
        <v>252.45833333333334</v>
      </c>
      <c r="BV606" s="16">
        <f t="shared" si="430"/>
        <v>-24033.654259354273</v>
      </c>
      <c r="BW606" s="15">
        <f t="shared" si="405"/>
        <v>22.170849845882874</v>
      </c>
      <c r="BX606" s="75">
        <f>BW606*(1-PARAM!$C$27)*$I$21+(MOD($B606,60)=PARAM!$B$56)*($B606&gt;(60-PARAM!$B$56))*HLOOKUP(($B606+PARAM!$B$56)/12,Loyalty,2)*$F$1*MAX(BZ605,0)</f>
        <v>18.557001321003963</v>
      </c>
      <c r="BY606" s="75">
        <f>PARAM!$C$26+MAX($G$21-CHOOSE(PARAM!$B$44,MAX(0,BZ605*$F$1),0),0)*RATES!$L582/12+$H$21*(PARAM!$D$51/12)*RATES!$N582/100</f>
        <v>252.45833333333334</v>
      </c>
      <c r="BZ606" s="16">
        <f t="shared" si="431"/>
        <v>-24033.654259354273</v>
      </c>
      <c r="CA606" s="15">
        <f t="shared" si="406"/>
        <v>22.170849845882874</v>
      </c>
      <c r="CB606" s="75">
        <f>CA606*(1-PARAM!$C$27)*$I$22+(MOD($B606,60)=PARAM!$B$56)*($B606&gt;(60-PARAM!$B$56))*HLOOKUP(($B606+PARAM!$B$56)/12,Loyalty,2)*$F$1*MAX(CD605,0)</f>
        <v>18.557001321003963</v>
      </c>
      <c r="CC606" s="75">
        <f>PARAM!$C$26+MAX($G$22-CHOOSE(PARAM!$B$44,MAX(0,CD605*$F$1),0),0)*RATES!$L582/12+$H$22*(PARAM!$D$51/12)*RATES!$N582/100</f>
        <v>252.45833333333334</v>
      </c>
      <c r="CD606" s="16">
        <f t="shared" si="432"/>
        <v>-24033.654259354273</v>
      </c>
      <c r="CE606" s="33">
        <f>IF(0=MOD(B606,12/PARAM!$D$51),1,0)</f>
        <v>1</v>
      </c>
      <c r="CF606" s="15">
        <f t="shared" si="407"/>
        <v>0</v>
      </c>
      <c r="CG606" s="75">
        <f>CF606*(1-PARAM!$C$27)*$R$3+(MOD($B606/12,5)=0)*($B606&gt;60)*HLOOKUP($B606/12,Loyalty,2)*$F$1*MAX(CI605,0)</f>
        <v>0</v>
      </c>
      <c r="CH606" s="75">
        <f>PARAM!$C$26+MAX($P$3-CHOOSE(PARAM!$B$44,MAX(0,CI605*$F$1),0),0)*RATES!$L582/12+$Q$3*(PARAM!$D$51/12)*RATES!$N582/100</f>
        <v>252.45833333333334</v>
      </c>
      <c r="CI606" s="16">
        <f>IF(CI605&gt;0,CI605*PARAM!$C$53,CI605)+CG606-CH606</f>
        <v>-34658.583333333358</v>
      </c>
      <c r="CJ606" s="15">
        <f t="shared" si="433"/>
        <v>0</v>
      </c>
      <c r="CK606" s="75">
        <f>CJ606*(1-PARAM!$C$27)*$R$4+(MOD($B606/12,5)=0)*($B606&gt;60)*HLOOKUP($B606/12,Loyalty,2)*$F$1*MAX(CM605,0)</f>
        <v>0</v>
      </c>
      <c r="CL606" s="75">
        <f>PARAM!$C$26+MAX($P$4-CHOOSE(PARAM!$B$44,MAX(0,CM605*$F$1),0),0)*RATES!$L582/12+$Q$4*(PARAM!$D$51/12)*RATES!$N582/100</f>
        <v>252.45833333333334</v>
      </c>
      <c r="CM606" s="16">
        <f>IF(CM605&gt;0,CM605*PARAM!$C$53,CM605)+CK606-CL606</f>
        <v>-34658.583333333358</v>
      </c>
      <c r="CO606" s="176"/>
    </row>
    <row r="607" spans="1:93" x14ac:dyDescent="0.2">
      <c r="A607" t="b">
        <f t="shared" si="408"/>
        <v>0</v>
      </c>
      <c r="B607" s="33">
        <v>580</v>
      </c>
      <c r="C607" s="15">
        <f t="shared" si="409"/>
        <v>20.081305947392778</v>
      </c>
      <c r="D607" s="75">
        <f>C607*(1-PARAM!$C$27)*$I$3+(MOD($B607,60)=PARAM!$B$56)*($B607&gt;(60-PARAM!$B$56))*HLOOKUP(($B607+PARAM!$B$56)/12,Loyalty,2)*$F$1*MAX(F606,0)</f>
        <v>16.808053077967756</v>
      </c>
      <c r="E607" s="75">
        <f>PARAM!$C$26+MAX($G$3-CHOOSE(PARAM!$B$44,MAX(0,F606*$F$1),0),0)*RATES!$L583/12+$H$3*(PARAM!$D$51/12)*RATES!$N583/100</f>
        <v>252.45833333333334</v>
      </c>
      <c r="F607" s="16">
        <f t="shared" si="410"/>
        <v>-25318.796072849189</v>
      </c>
      <c r="G607" s="15">
        <f t="shared" si="411"/>
        <v>22.035289406060361</v>
      </c>
      <c r="H607" s="75">
        <f>G607*(1-PARAM!$C$27)*$I$4+(MOD($B607,60)=PARAM!$B$56)*($B607&gt;(60-PARAM!$B$56))*HLOOKUP(($B607+PARAM!$B$56)/12,Loyalty,2)*$F$1*MAX(J606,0)</f>
        <v>18.443537232872522</v>
      </c>
      <c r="I607" s="75">
        <f>PARAM!$C$26+MAX($G$4-CHOOSE(PARAM!$B$44,MAX(0,J606*$F$1),0),0)*RATES!$L583/12+$H$4*(PARAM!$D$51/12)*RATES!$N583/100</f>
        <v>252.45833333333334</v>
      </c>
      <c r="J607" s="16">
        <f t="shared" si="412"/>
        <v>-24336.382298882651</v>
      </c>
      <c r="K607" s="15">
        <f t="shared" si="413"/>
        <v>22.170849845882874</v>
      </c>
      <c r="L607" s="75">
        <f>K607*(1-PARAM!$C$27)*$I$5+(MOD($B607,60)=PARAM!$B$56)*($B607&gt;(60-PARAM!$B$56))*HLOOKUP(($B607+PARAM!$B$56)/12,Loyalty,2)*$F$1*MAX(N606,0)</f>
        <v>18.557001321003963</v>
      </c>
      <c r="M607" s="75">
        <f>PARAM!$C$26+MAX($G$5-CHOOSE(PARAM!$B$44,MAX(0,N606*$F$1),0),0)*RATES!$L583/12+$H$5*(PARAM!$D$51/12)*RATES!$N583/100</f>
        <v>252.45833333333334</v>
      </c>
      <c r="N607" s="16">
        <f t="shared" si="414"/>
        <v>-24267.555591366599</v>
      </c>
      <c r="O607" s="15">
        <f t="shared" si="415"/>
        <v>22.170849845882874</v>
      </c>
      <c r="P607" s="75">
        <f>O607*(1-PARAM!$C$27)*$I$6+(MOD($B607,60)=PARAM!$B$56)*($B607&gt;(60-PARAM!$B$56))*HLOOKUP(($B607+PARAM!$B$56)/12,Loyalty,2)*$F$1*MAX(R606,0)</f>
        <v>18.557001321003963</v>
      </c>
      <c r="Q607" s="75">
        <f>PARAM!$C$26+MAX($G$6-CHOOSE(PARAM!$B$44,MAX(0,R606*$F$1),0),0)*RATES!$L583/12+$H$6*(PARAM!$D$51/12)*RATES!$N583/100</f>
        <v>252.45833333333334</v>
      </c>
      <c r="R607" s="16">
        <f t="shared" si="416"/>
        <v>-24267.555591366599</v>
      </c>
      <c r="S607" s="15">
        <f t="shared" si="391"/>
        <v>22.170849845882874</v>
      </c>
      <c r="T607" s="75">
        <f>S607*(1-PARAM!$C$27)*$I$7+(MOD($B607,60)=PARAM!$B$56)*($B607&gt;(60-PARAM!$B$56))*HLOOKUP(($B607+PARAM!$B$56)/12,Loyalty,2)*$F$1*MAX(V606,0)</f>
        <v>18.557001321003963</v>
      </c>
      <c r="U607" s="75">
        <f>PARAM!$C$26+MAX($G$7-CHOOSE(PARAM!$B$44,MAX(0,V606*$F$1),0),0)*RATES!$L583/12+$H$7*(PARAM!$D$51/12)*RATES!$N583/100</f>
        <v>252.45833333333334</v>
      </c>
      <c r="V607" s="16">
        <f t="shared" si="417"/>
        <v>-24267.555591366599</v>
      </c>
      <c r="W607" s="15">
        <f t="shared" si="392"/>
        <v>22.170849845882874</v>
      </c>
      <c r="X607" s="75">
        <f>W607*(1-PARAM!$C$27)*$I$8+(MOD($B607,60)=PARAM!$B$56)*($B607&gt;(60-PARAM!$B$56))*HLOOKUP(($B607+PARAM!$B$56)/12,Loyalty,2)*$F$1*MAX(Z606,0)</f>
        <v>18.557001321003963</v>
      </c>
      <c r="Y607" s="75">
        <f>PARAM!$C$26+MAX($G$8-CHOOSE(PARAM!$B$44,MAX(0,Z606*$F$1),0),0)*RATES!$L583/12+$H$8*(PARAM!$D$51/12)*RATES!$N583/100</f>
        <v>252.45833333333334</v>
      </c>
      <c r="Z607" s="16">
        <f t="shared" si="418"/>
        <v>-24267.555591366599</v>
      </c>
      <c r="AA607" s="15">
        <f t="shared" si="393"/>
        <v>22.170849845882874</v>
      </c>
      <c r="AB607" s="75">
        <f>AA607*(1-PARAM!$C$27)*$I$9+(MOD($B607,60)=PARAM!$B$56)*($B607&gt;(60-PARAM!$B$56))*HLOOKUP(($B607+PARAM!$B$56)/12,Loyalty,2)*$F$1*MAX(AD606,0)</f>
        <v>18.557001321003963</v>
      </c>
      <c r="AC607" s="75">
        <f>PARAM!$C$26+MAX($G$9-CHOOSE(PARAM!$B$44,MAX(0,AD606*$F$1),0),0)*RATES!$L583/12+$H$9*(PARAM!$D$51/12)*RATES!$N583/100</f>
        <v>252.45833333333334</v>
      </c>
      <c r="AD607" s="16">
        <f t="shared" si="419"/>
        <v>-24267.555591366599</v>
      </c>
      <c r="AE607" s="15">
        <f t="shared" si="394"/>
        <v>22.170849845882874</v>
      </c>
      <c r="AF607" s="75">
        <f>AE607*(1-PARAM!$C$27)*$I$10+(MOD($B607,60)=PARAM!$B$56)*($B607&gt;(60-PARAM!$B$56))*HLOOKUP(($B607+PARAM!$B$56)/12,Loyalty,2)*$F$1*MAX(AH606,0)</f>
        <v>18.557001321003963</v>
      </c>
      <c r="AG607" s="75">
        <f>PARAM!$C$26+MAX($G$10-CHOOSE(PARAM!$B$44,MAX(0,AH606*$F$1),0),0)*RATES!$L583/12+$H$10*(PARAM!$D$51/12)*RATES!$N583/100</f>
        <v>252.45833333333334</v>
      </c>
      <c r="AH607" s="16">
        <f t="shared" si="420"/>
        <v>-24267.555591366599</v>
      </c>
      <c r="AI607" s="15">
        <f t="shared" si="395"/>
        <v>22.170849845882874</v>
      </c>
      <c r="AJ607" s="75">
        <f>AI607*(1-PARAM!$C$27)*$I$11+(MOD($B607,60)=PARAM!$B$56)*($B607&gt;(60-PARAM!$B$56))*HLOOKUP(($B607+PARAM!$B$56)/12,Loyalty,2)*$F$1*MAX(AL606,0)</f>
        <v>18.557001321003963</v>
      </c>
      <c r="AK607" s="75">
        <f>PARAM!$C$26+MAX($G$11-CHOOSE(PARAM!$B$44,MAX(0,AL606*$F$1),0),0)*RATES!$L583/12+$H$11*(PARAM!$D$51/12)*RATES!$N583/100</f>
        <v>252.45833333333334</v>
      </c>
      <c r="AL607" s="16">
        <f t="shared" si="421"/>
        <v>-24267.555591366599</v>
      </c>
      <c r="AM607" s="15">
        <f t="shared" si="396"/>
        <v>22.170849845882874</v>
      </c>
      <c r="AN607" s="75">
        <f>AM607*(1-PARAM!$C$27)*$I$12+(MOD($B607,60)=PARAM!$B$56)*($B607&gt;(60-PARAM!$B$56))*HLOOKUP(($B607+PARAM!$B$56)/12,Loyalty,2)*$F$1*MAX(AP606,0)</f>
        <v>18.557001321003963</v>
      </c>
      <c r="AO607" s="75">
        <f>PARAM!$C$26+MAX($G$12-CHOOSE(PARAM!$B$44,MAX(0,AP606*$F$1),0),0)*RATES!$L583/12+$H$12*(PARAM!$D$51/12)*RATES!$N583/100</f>
        <v>252.45833333333334</v>
      </c>
      <c r="AP607" s="16">
        <f t="shared" si="422"/>
        <v>-24267.555591366599</v>
      </c>
      <c r="AQ607" s="15">
        <f t="shared" si="397"/>
        <v>22.170849845882874</v>
      </c>
      <c r="AR607" s="75">
        <f>AQ607*(1-PARAM!$C$27)*$I$13+(MOD($B607,60)=PARAM!$B$56)*($B607&gt;(60-PARAM!$B$56))*HLOOKUP(($B607+PARAM!$B$56)/12,Loyalty,2)*$F$1*MAX(AT606,0)</f>
        <v>18.557001321003963</v>
      </c>
      <c r="AS607" s="75">
        <f>PARAM!$C$26+MAX($G$13-CHOOSE(PARAM!$B$44,MAX(0,AT606*$F$1),0),0)*RATES!$L583/12+$H$13*(PARAM!$D$51/12)*RATES!$N583/100</f>
        <v>252.45833333333334</v>
      </c>
      <c r="AT607" s="16">
        <f t="shared" si="423"/>
        <v>-24267.555591366599</v>
      </c>
      <c r="AU607" s="15">
        <f t="shared" si="398"/>
        <v>22.170849845882874</v>
      </c>
      <c r="AV607" s="75">
        <f>AU607*(1-PARAM!$C$27)*$I$14+(MOD($B607,60)=PARAM!$B$56)*($B607&gt;(60-PARAM!$B$56))*HLOOKUP(($B607+PARAM!$B$56)/12,Loyalty,2)*$F$1*MAX(AX606,0)</f>
        <v>18.557001321003963</v>
      </c>
      <c r="AW607" s="75">
        <f>PARAM!$C$26+MAX($G$14-CHOOSE(PARAM!$B$44,MAX(0,AX606*$F$1),0),0)*RATES!$L583/12+$H$14*(PARAM!$D$51/12)*RATES!$N583/100</f>
        <v>252.45833333333334</v>
      </c>
      <c r="AX607" s="16">
        <f t="shared" si="424"/>
        <v>-24267.555591366599</v>
      </c>
      <c r="AY607" s="15">
        <f t="shared" si="399"/>
        <v>22.170849845882874</v>
      </c>
      <c r="AZ607" s="75">
        <f>AY607*(1-PARAM!$C$27)*$I$15+(MOD($B607,60)=PARAM!$B$56)*($B607&gt;(60-PARAM!$B$56))*HLOOKUP(($B607+PARAM!$B$56)/12,Loyalty,2)*$F$1*MAX(BB606,0)</f>
        <v>18.557001321003963</v>
      </c>
      <c r="BA607" s="75">
        <f>PARAM!$C$26+MAX($G$15-CHOOSE(PARAM!$B$44,MAX(0,BB606*$F$1),0),0)*RATES!$L583/12+$H$15*(PARAM!$D$51/12)*RATES!$N583/100</f>
        <v>252.45833333333334</v>
      </c>
      <c r="BB607" s="16">
        <f t="shared" si="425"/>
        <v>-24267.555591366599</v>
      </c>
      <c r="BC607" s="15">
        <f t="shared" si="400"/>
        <v>22.170849845882874</v>
      </c>
      <c r="BD607" s="75">
        <f>BC607*(1-PARAM!$C$27)*$I$16+(MOD($B607,60)=PARAM!$B$56)*($B607&gt;(60-PARAM!$B$56))*HLOOKUP(($B607+PARAM!$B$56)/12,Loyalty,2)*$F$1*MAX(BF606,0)</f>
        <v>18.557001321003963</v>
      </c>
      <c r="BE607" s="75">
        <f>PARAM!$C$26+MAX($G$16-CHOOSE(PARAM!$B$44,MAX(0,BF606*$F$1),0),0)*RATES!$L583/12+$H$16*(PARAM!$D$51/12)*RATES!$N583/100</f>
        <v>252.45833333333334</v>
      </c>
      <c r="BF607" s="16">
        <f t="shared" si="426"/>
        <v>-24267.555591366599</v>
      </c>
      <c r="BG607" s="15">
        <f t="shared" si="401"/>
        <v>22.170849845882874</v>
      </c>
      <c r="BH607" s="75">
        <f>BG607*(1-PARAM!$C$27)*$I$17+(MOD($B607,60)=PARAM!$B$56)*($B607&gt;(60-PARAM!$B$56))*HLOOKUP(($B607+PARAM!$B$56)/12,Loyalty,2)*$F$1*MAX(BJ606,0)</f>
        <v>18.557001321003963</v>
      </c>
      <c r="BI607" s="75">
        <f>PARAM!$C$26+MAX($G$17-CHOOSE(PARAM!$B$44,MAX(0,BJ606*$F$1),0),0)*RATES!$L583/12+$H$17*(PARAM!$D$51/12)*RATES!$N583/100</f>
        <v>252.45833333333334</v>
      </c>
      <c r="BJ607" s="16">
        <f t="shared" si="427"/>
        <v>-24267.555591366599</v>
      </c>
      <c r="BK607" s="15">
        <f t="shared" si="402"/>
        <v>22.170849845882874</v>
      </c>
      <c r="BL607" s="75">
        <f>BK607*(1-PARAM!$C$27)*$I$18+(MOD($B607,60)=PARAM!$B$56)*($B607&gt;(60-PARAM!$B$56))*HLOOKUP(($B607+PARAM!$B$56)/12,Loyalty,2)*$F$1*MAX(BN606,0)</f>
        <v>18.557001321003963</v>
      </c>
      <c r="BM607" s="75">
        <f>PARAM!$C$26+MAX($G$18-CHOOSE(PARAM!$B$44,MAX(0,BN606*$F$1),0),0)*RATES!$L583/12+$H$18*(PARAM!$D$51/12)*RATES!$N583/100</f>
        <v>252.45833333333334</v>
      </c>
      <c r="BN607" s="16">
        <f t="shared" si="428"/>
        <v>-24267.555591366599</v>
      </c>
      <c r="BO607" s="15">
        <f t="shared" si="403"/>
        <v>22.170849845882874</v>
      </c>
      <c r="BP607" s="75">
        <f>BO607*(1-PARAM!$C$27)*$I$19+(MOD($B607,60)=PARAM!$B$56)*($B607&gt;(60-PARAM!$B$56))*HLOOKUP(($B607+PARAM!$B$56)/12,Loyalty,2)*$F$1*MAX(BR606,0)</f>
        <v>18.557001321003963</v>
      </c>
      <c r="BQ607" s="75">
        <f>PARAM!$C$26+MAX($G$19-CHOOSE(PARAM!$B$44,MAX(0,BR606*$F$1),0),0)*RATES!$L583/12+$H$19*(PARAM!$D$51/12)*RATES!$N583/100</f>
        <v>252.45833333333334</v>
      </c>
      <c r="BR607" s="16">
        <f t="shared" si="429"/>
        <v>-24267.555591366599</v>
      </c>
      <c r="BS607" s="15">
        <f t="shared" si="404"/>
        <v>22.170849845882874</v>
      </c>
      <c r="BT607" s="75">
        <f>BS607*(1-PARAM!$C$27)*$I$20+(MOD($B607,60)=PARAM!$B$56)*($B607&gt;(60-PARAM!$B$56))*HLOOKUP(($B607+PARAM!$B$56)/12,Loyalty,2)*$F$1*MAX(BV606,0)</f>
        <v>18.557001321003963</v>
      </c>
      <c r="BU607" s="75">
        <f>PARAM!$C$26+MAX($G$20-CHOOSE(PARAM!$B$44,MAX(0,BV606*$F$1),0),0)*RATES!$L583/12+$H$20*(PARAM!$D$51/12)*RATES!$N583/100</f>
        <v>252.45833333333334</v>
      </c>
      <c r="BV607" s="16">
        <f t="shared" si="430"/>
        <v>-24267.555591366599</v>
      </c>
      <c r="BW607" s="15">
        <f t="shared" si="405"/>
        <v>22.170849845882874</v>
      </c>
      <c r="BX607" s="75">
        <f>BW607*(1-PARAM!$C$27)*$I$21+(MOD($B607,60)=PARAM!$B$56)*($B607&gt;(60-PARAM!$B$56))*HLOOKUP(($B607+PARAM!$B$56)/12,Loyalty,2)*$F$1*MAX(BZ606,0)</f>
        <v>18.557001321003963</v>
      </c>
      <c r="BY607" s="75">
        <f>PARAM!$C$26+MAX($G$21-CHOOSE(PARAM!$B$44,MAX(0,BZ606*$F$1),0),0)*RATES!$L583/12+$H$21*(PARAM!$D$51/12)*RATES!$N583/100</f>
        <v>252.45833333333334</v>
      </c>
      <c r="BZ607" s="16">
        <f t="shared" si="431"/>
        <v>-24267.555591366599</v>
      </c>
      <c r="CA607" s="15">
        <f t="shared" si="406"/>
        <v>22.170849845882874</v>
      </c>
      <c r="CB607" s="75">
        <f>CA607*(1-PARAM!$C$27)*$I$22+(MOD($B607,60)=PARAM!$B$56)*($B607&gt;(60-PARAM!$B$56))*HLOOKUP(($B607+PARAM!$B$56)/12,Loyalty,2)*$F$1*MAX(CD606,0)</f>
        <v>18.557001321003963</v>
      </c>
      <c r="CC607" s="75">
        <f>PARAM!$C$26+MAX($G$22-CHOOSE(PARAM!$B$44,MAX(0,CD606*$F$1),0),0)*RATES!$L583/12+$H$22*(PARAM!$D$51/12)*RATES!$N583/100</f>
        <v>252.45833333333334</v>
      </c>
      <c r="CD607" s="16">
        <f t="shared" si="432"/>
        <v>-24267.555591366599</v>
      </c>
      <c r="CE607" s="33">
        <f>IF(0=MOD(B607,12/PARAM!$D$51),1,0)</f>
        <v>1</v>
      </c>
      <c r="CF607" s="15">
        <f t="shared" si="407"/>
        <v>0</v>
      </c>
      <c r="CG607" s="75">
        <f>CF607*(1-PARAM!$C$27)*$R$3+(MOD($B607/12,5)=0)*($B607&gt;60)*HLOOKUP($B607/12,Loyalty,2)*$F$1*MAX(CI606,0)</f>
        <v>0</v>
      </c>
      <c r="CH607" s="75">
        <f>PARAM!$C$26+MAX($P$3-CHOOSE(PARAM!$B$44,MAX(0,CI606*$F$1),0),0)*RATES!$L583/12+$Q$3*(PARAM!$D$51/12)*RATES!$N583/100</f>
        <v>252.45833333333334</v>
      </c>
      <c r="CI607" s="16">
        <f>IF(CI606&gt;0,CI606*PARAM!$C$53,CI606)+CG607-CH607</f>
        <v>-34911.041666666693</v>
      </c>
      <c r="CJ607" s="15">
        <f t="shared" si="433"/>
        <v>0</v>
      </c>
      <c r="CK607" s="75">
        <f>CJ607*(1-PARAM!$C$27)*$R$4+(MOD($B607/12,5)=0)*($B607&gt;60)*HLOOKUP($B607/12,Loyalty,2)*$F$1*MAX(CM606,0)</f>
        <v>0</v>
      </c>
      <c r="CL607" s="75">
        <f>PARAM!$C$26+MAX($P$4-CHOOSE(PARAM!$B$44,MAX(0,CM606*$F$1),0),0)*RATES!$L583/12+$Q$4*(PARAM!$D$51/12)*RATES!$N583/100</f>
        <v>252.45833333333334</v>
      </c>
      <c r="CM607" s="16">
        <f>IF(CM606&gt;0,CM606*PARAM!$C$53,CM606)+CK607-CL607</f>
        <v>-34911.041666666693</v>
      </c>
      <c r="CO607" s="176"/>
    </row>
    <row r="608" spans="1:93" x14ac:dyDescent="0.2">
      <c r="A608" t="b">
        <f t="shared" si="408"/>
        <v>0</v>
      </c>
      <c r="B608" s="33">
        <v>581</v>
      </c>
      <c r="C608" s="15">
        <f t="shared" si="409"/>
        <v>20.081305947392778</v>
      </c>
      <c r="D608" s="75">
        <f>C608*(1-PARAM!$C$27)*$I$3+(MOD($B608,60)=PARAM!$B$56)*($B608&gt;(60-PARAM!$B$56))*HLOOKUP(($B608+PARAM!$B$56)/12,Loyalty,2)*$F$1*MAX(F607,0)</f>
        <v>16.808053077967756</v>
      </c>
      <c r="E608" s="75">
        <f>PARAM!$C$26+MAX($G$3-CHOOSE(PARAM!$B$44,MAX(0,F607*$F$1),0),0)*RATES!$L584/12+$H$3*(PARAM!$D$51/12)*RATES!$N584/100</f>
        <v>252.45833333333334</v>
      </c>
      <c r="F608" s="16">
        <f t="shared" si="410"/>
        <v>-25554.446353104555</v>
      </c>
      <c r="G608" s="15">
        <f t="shared" si="411"/>
        <v>22.035289406060361</v>
      </c>
      <c r="H608" s="75">
        <f>G608*(1-PARAM!$C$27)*$I$4+(MOD($B608,60)=PARAM!$B$56)*($B608&gt;(60-PARAM!$B$56))*HLOOKUP(($B608+PARAM!$B$56)/12,Loyalty,2)*$F$1*MAX(J607,0)</f>
        <v>18.443537232872522</v>
      </c>
      <c r="I608" s="75">
        <f>PARAM!$C$26+MAX($G$4-CHOOSE(PARAM!$B$44,MAX(0,J607*$F$1),0),0)*RATES!$L584/12+$H$4*(PARAM!$D$51/12)*RATES!$N584/100</f>
        <v>252.45833333333334</v>
      </c>
      <c r="J608" s="16">
        <f t="shared" si="412"/>
        <v>-24570.397094983109</v>
      </c>
      <c r="K608" s="15">
        <f t="shared" si="413"/>
        <v>22.170849845882874</v>
      </c>
      <c r="L608" s="75">
        <f>K608*(1-PARAM!$C$27)*$I$5+(MOD($B608,60)=PARAM!$B$56)*($B608&gt;(60-PARAM!$B$56))*HLOOKUP(($B608+PARAM!$B$56)/12,Loyalty,2)*$F$1*MAX(N607,0)</f>
        <v>18.557001321003963</v>
      </c>
      <c r="M608" s="75">
        <f>PARAM!$C$26+MAX($G$5-CHOOSE(PARAM!$B$44,MAX(0,N607*$F$1),0),0)*RATES!$L584/12+$H$5*(PARAM!$D$51/12)*RATES!$N584/100</f>
        <v>252.45833333333334</v>
      </c>
      <c r="N608" s="16">
        <f t="shared" si="414"/>
        <v>-24501.456923378926</v>
      </c>
      <c r="O608" s="15">
        <f t="shared" si="415"/>
        <v>22.170849845882874</v>
      </c>
      <c r="P608" s="75">
        <f>O608*(1-PARAM!$C$27)*$I$6+(MOD($B608,60)=PARAM!$B$56)*($B608&gt;(60-PARAM!$B$56))*HLOOKUP(($B608+PARAM!$B$56)/12,Loyalty,2)*$F$1*MAX(R607,0)</f>
        <v>18.557001321003963</v>
      </c>
      <c r="Q608" s="75">
        <f>PARAM!$C$26+MAX($G$6-CHOOSE(PARAM!$B$44,MAX(0,R607*$F$1),0),0)*RATES!$L584/12+$H$6*(PARAM!$D$51/12)*RATES!$N584/100</f>
        <v>252.45833333333334</v>
      </c>
      <c r="R608" s="16">
        <f t="shared" si="416"/>
        <v>-24501.456923378926</v>
      </c>
      <c r="S608" s="15">
        <f t="shared" si="391"/>
        <v>22.170849845882874</v>
      </c>
      <c r="T608" s="75">
        <f>S608*(1-PARAM!$C$27)*$I$7+(MOD($B608,60)=PARAM!$B$56)*($B608&gt;(60-PARAM!$B$56))*HLOOKUP(($B608+PARAM!$B$56)/12,Loyalty,2)*$F$1*MAX(V607,0)</f>
        <v>18.557001321003963</v>
      </c>
      <c r="U608" s="75">
        <f>PARAM!$C$26+MAX($G$7-CHOOSE(PARAM!$B$44,MAX(0,V607*$F$1),0),0)*RATES!$L584/12+$H$7*(PARAM!$D$51/12)*RATES!$N584/100</f>
        <v>252.45833333333334</v>
      </c>
      <c r="V608" s="16">
        <f t="shared" si="417"/>
        <v>-24501.456923378926</v>
      </c>
      <c r="W608" s="15">
        <f t="shared" si="392"/>
        <v>22.170849845882874</v>
      </c>
      <c r="X608" s="75">
        <f>W608*(1-PARAM!$C$27)*$I$8+(MOD($B608,60)=PARAM!$B$56)*($B608&gt;(60-PARAM!$B$56))*HLOOKUP(($B608+PARAM!$B$56)/12,Loyalty,2)*$F$1*MAX(Z607,0)</f>
        <v>18.557001321003963</v>
      </c>
      <c r="Y608" s="75">
        <f>PARAM!$C$26+MAX($G$8-CHOOSE(PARAM!$B$44,MAX(0,Z607*$F$1),0),0)*RATES!$L584/12+$H$8*(PARAM!$D$51/12)*RATES!$N584/100</f>
        <v>252.45833333333334</v>
      </c>
      <c r="Z608" s="16">
        <f t="shared" si="418"/>
        <v>-24501.456923378926</v>
      </c>
      <c r="AA608" s="15">
        <f t="shared" si="393"/>
        <v>22.170849845882874</v>
      </c>
      <c r="AB608" s="75">
        <f>AA608*(1-PARAM!$C$27)*$I$9+(MOD($B608,60)=PARAM!$B$56)*($B608&gt;(60-PARAM!$B$56))*HLOOKUP(($B608+PARAM!$B$56)/12,Loyalty,2)*$F$1*MAX(AD607,0)</f>
        <v>18.557001321003963</v>
      </c>
      <c r="AC608" s="75">
        <f>PARAM!$C$26+MAX($G$9-CHOOSE(PARAM!$B$44,MAX(0,AD607*$F$1),0),0)*RATES!$L584/12+$H$9*(PARAM!$D$51/12)*RATES!$N584/100</f>
        <v>252.45833333333334</v>
      </c>
      <c r="AD608" s="16">
        <f t="shared" si="419"/>
        <v>-24501.456923378926</v>
      </c>
      <c r="AE608" s="15">
        <f t="shared" si="394"/>
        <v>22.170849845882874</v>
      </c>
      <c r="AF608" s="75">
        <f>AE608*(1-PARAM!$C$27)*$I$10+(MOD($B608,60)=PARAM!$B$56)*($B608&gt;(60-PARAM!$B$56))*HLOOKUP(($B608+PARAM!$B$56)/12,Loyalty,2)*$F$1*MAX(AH607,0)</f>
        <v>18.557001321003963</v>
      </c>
      <c r="AG608" s="75">
        <f>PARAM!$C$26+MAX($G$10-CHOOSE(PARAM!$B$44,MAX(0,AH607*$F$1),0),0)*RATES!$L584/12+$H$10*(PARAM!$D$51/12)*RATES!$N584/100</f>
        <v>252.45833333333334</v>
      </c>
      <c r="AH608" s="16">
        <f t="shared" si="420"/>
        <v>-24501.456923378926</v>
      </c>
      <c r="AI608" s="15">
        <f t="shared" si="395"/>
        <v>22.170849845882874</v>
      </c>
      <c r="AJ608" s="75">
        <f>AI608*(1-PARAM!$C$27)*$I$11+(MOD($B608,60)=PARAM!$B$56)*($B608&gt;(60-PARAM!$B$56))*HLOOKUP(($B608+PARAM!$B$56)/12,Loyalty,2)*$F$1*MAX(AL607,0)</f>
        <v>18.557001321003963</v>
      </c>
      <c r="AK608" s="75">
        <f>PARAM!$C$26+MAX($G$11-CHOOSE(PARAM!$B$44,MAX(0,AL607*$F$1),0),0)*RATES!$L584/12+$H$11*(PARAM!$D$51/12)*RATES!$N584/100</f>
        <v>252.45833333333334</v>
      </c>
      <c r="AL608" s="16">
        <f t="shared" si="421"/>
        <v>-24501.456923378926</v>
      </c>
      <c r="AM608" s="15">
        <f t="shared" si="396"/>
        <v>22.170849845882874</v>
      </c>
      <c r="AN608" s="75">
        <f>AM608*(1-PARAM!$C$27)*$I$12+(MOD($B608,60)=PARAM!$B$56)*($B608&gt;(60-PARAM!$B$56))*HLOOKUP(($B608+PARAM!$B$56)/12,Loyalty,2)*$F$1*MAX(AP607,0)</f>
        <v>18.557001321003963</v>
      </c>
      <c r="AO608" s="75">
        <f>PARAM!$C$26+MAX($G$12-CHOOSE(PARAM!$B$44,MAX(0,AP607*$F$1),0),0)*RATES!$L584/12+$H$12*(PARAM!$D$51/12)*RATES!$N584/100</f>
        <v>252.45833333333334</v>
      </c>
      <c r="AP608" s="16">
        <f t="shared" si="422"/>
        <v>-24501.456923378926</v>
      </c>
      <c r="AQ608" s="15">
        <f t="shared" si="397"/>
        <v>22.170849845882874</v>
      </c>
      <c r="AR608" s="75">
        <f>AQ608*(1-PARAM!$C$27)*$I$13+(MOD($B608,60)=PARAM!$B$56)*($B608&gt;(60-PARAM!$B$56))*HLOOKUP(($B608+PARAM!$B$56)/12,Loyalty,2)*$F$1*MAX(AT607,0)</f>
        <v>18.557001321003963</v>
      </c>
      <c r="AS608" s="75">
        <f>PARAM!$C$26+MAX($G$13-CHOOSE(PARAM!$B$44,MAX(0,AT607*$F$1),0),0)*RATES!$L584/12+$H$13*(PARAM!$D$51/12)*RATES!$N584/100</f>
        <v>252.45833333333334</v>
      </c>
      <c r="AT608" s="16">
        <f t="shared" si="423"/>
        <v>-24501.456923378926</v>
      </c>
      <c r="AU608" s="15">
        <f t="shared" si="398"/>
        <v>22.170849845882874</v>
      </c>
      <c r="AV608" s="75">
        <f>AU608*(1-PARAM!$C$27)*$I$14+(MOD($B608,60)=PARAM!$B$56)*($B608&gt;(60-PARAM!$B$56))*HLOOKUP(($B608+PARAM!$B$56)/12,Loyalty,2)*$F$1*MAX(AX607,0)</f>
        <v>18.557001321003963</v>
      </c>
      <c r="AW608" s="75">
        <f>PARAM!$C$26+MAX($G$14-CHOOSE(PARAM!$B$44,MAX(0,AX607*$F$1),0),0)*RATES!$L584/12+$H$14*(PARAM!$D$51/12)*RATES!$N584/100</f>
        <v>252.45833333333334</v>
      </c>
      <c r="AX608" s="16">
        <f t="shared" si="424"/>
        <v>-24501.456923378926</v>
      </c>
      <c r="AY608" s="15">
        <f t="shared" si="399"/>
        <v>22.170849845882874</v>
      </c>
      <c r="AZ608" s="75">
        <f>AY608*(1-PARAM!$C$27)*$I$15+(MOD($B608,60)=PARAM!$B$56)*($B608&gt;(60-PARAM!$B$56))*HLOOKUP(($B608+PARAM!$B$56)/12,Loyalty,2)*$F$1*MAX(BB607,0)</f>
        <v>18.557001321003963</v>
      </c>
      <c r="BA608" s="75">
        <f>PARAM!$C$26+MAX($G$15-CHOOSE(PARAM!$B$44,MAX(0,BB607*$F$1),0),0)*RATES!$L584/12+$H$15*(PARAM!$D$51/12)*RATES!$N584/100</f>
        <v>252.45833333333334</v>
      </c>
      <c r="BB608" s="16">
        <f t="shared" si="425"/>
        <v>-24501.456923378926</v>
      </c>
      <c r="BC608" s="15">
        <f t="shared" si="400"/>
        <v>22.170849845882874</v>
      </c>
      <c r="BD608" s="75">
        <f>BC608*(1-PARAM!$C$27)*$I$16+(MOD($B608,60)=PARAM!$B$56)*($B608&gt;(60-PARAM!$B$56))*HLOOKUP(($B608+PARAM!$B$56)/12,Loyalty,2)*$F$1*MAX(BF607,0)</f>
        <v>18.557001321003963</v>
      </c>
      <c r="BE608" s="75">
        <f>PARAM!$C$26+MAX($G$16-CHOOSE(PARAM!$B$44,MAX(0,BF607*$F$1),0),0)*RATES!$L584/12+$H$16*(PARAM!$D$51/12)*RATES!$N584/100</f>
        <v>252.45833333333334</v>
      </c>
      <c r="BF608" s="16">
        <f t="shared" si="426"/>
        <v>-24501.456923378926</v>
      </c>
      <c r="BG608" s="15">
        <f t="shared" si="401"/>
        <v>22.170849845882874</v>
      </c>
      <c r="BH608" s="75">
        <f>BG608*(1-PARAM!$C$27)*$I$17+(MOD($B608,60)=PARAM!$B$56)*($B608&gt;(60-PARAM!$B$56))*HLOOKUP(($B608+PARAM!$B$56)/12,Loyalty,2)*$F$1*MAX(BJ607,0)</f>
        <v>18.557001321003963</v>
      </c>
      <c r="BI608" s="75">
        <f>PARAM!$C$26+MAX($G$17-CHOOSE(PARAM!$B$44,MAX(0,BJ607*$F$1),0),0)*RATES!$L584/12+$H$17*(PARAM!$D$51/12)*RATES!$N584/100</f>
        <v>252.45833333333334</v>
      </c>
      <c r="BJ608" s="16">
        <f t="shared" si="427"/>
        <v>-24501.456923378926</v>
      </c>
      <c r="BK608" s="15">
        <f t="shared" si="402"/>
        <v>22.170849845882874</v>
      </c>
      <c r="BL608" s="75">
        <f>BK608*(1-PARAM!$C$27)*$I$18+(MOD($B608,60)=PARAM!$B$56)*($B608&gt;(60-PARAM!$B$56))*HLOOKUP(($B608+PARAM!$B$56)/12,Loyalty,2)*$F$1*MAX(BN607,0)</f>
        <v>18.557001321003963</v>
      </c>
      <c r="BM608" s="75">
        <f>PARAM!$C$26+MAX($G$18-CHOOSE(PARAM!$B$44,MAX(0,BN607*$F$1),0),0)*RATES!$L584/12+$H$18*(PARAM!$D$51/12)*RATES!$N584/100</f>
        <v>252.45833333333334</v>
      </c>
      <c r="BN608" s="16">
        <f t="shared" si="428"/>
        <v>-24501.456923378926</v>
      </c>
      <c r="BO608" s="15">
        <f t="shared" si="403"/>
        <v>22.170849845882874</v>
      </c>
      <c r="BP608" s="75">
        <f>BO608*(1-PARAM!$C$27)*$I$19+(MOD($B608,60)=PARAM!$B$56)*($B608&gt;(60-PARAM!$B$56))*HLOOKUP(($B608+PARAM!$B$56)/12,Loyalty,2)*$F$1*MAX(BR607,0)</f>
        <v>18.557001321003963</v>
      </c>
      <c r="BQ608" s="75">
        <f>PARAM!$C$26+MAX($G$19-CHOOSE(PARAM!$B$44,MAX(0,BR607*$F$1),0),0)*RATES!$L584/12+$H$19*(PARAM!$D$51/12)*RATES!$N584/100</f>
        <v>252.45833333333334</v>
      </c>
      <c r="BR608" s="16">
        <f t="shared" si="429"/>
        <v>-24501.456923378926</v>
      </c>
      <c r="BS608" s="15">
        <f t="shared" si="404"/>
        <v>22.170849845882874</v>
      </c>
      <c r="BT608" s="75">
        <f>BS608*(1-PARAM!$C$27)*$I$20+(MOD($B608,60)=PARAM!$B$56)*($B608&gt;(60-PARAM!$B$56))*HLOOKUP(($B608+PARAM!$B$56)/12,Loyalty,2)*$F$1*MAX(BV607,0)</f>
        <v>18.557001321003963</v>
      </c>
      <c r="BU608" s="75">
        <f>PARAM!$C$26+MAX($G$20-CHOOSE(PARAM!$B$44,MAX(0,BV607*$F$1),0),0)*RATES!$L584/12+$H$20*(PARAM!$D$51/12)*RATES!$N584/100</f>
        <v>252.45833333333334</v>
      </c>
      <c r="BV608" s="16">
        <f t="shared" si="430"/>
        <v>-24501.456923378926</v>
      </c>
      <c r="BW608" s="15">
        <f t="shared" si="405"/>
        <v>22.170849845882874</v>
      </c>
      <c r="BX608" s="75">
        <f>BW608*(1-PARAM!$C$27)*$I$21+(MOD($B608,60)=PARAM!$B$56)*($B608&gt;(60-PARAM!$B$56))*HLOOKUP(($B608+PARAM!$B$56)/12,Loyalty,2)*$F$1*MAX(BZ607,0)</f>
        <v>18.557001321003963</v>
      </c>
      <c r="BY608" s="75">
        <f>PARAM!$C$26+MAX($G$21-CHOOSE(PARAM!$B$44,MAX(0,BZ607*$F$1),0),0)*RATES!$L584/12+$H$21*(PARAM!$D$51/12)*RATES!$N584/100</f>
        <v>252.45833333333334</v>
      </c>
      <c r="BZ608" s="16">
        <f t="shared" si="431"/>
        <v>-24501.456923378926</v>
      </c>
      <c r="CA608" s="15">
        <f t="shared" si="406"/>
        <v>22.170849845882874</v>
      </c>
      <c r="CB608" s="75">
        <f>CA608*(1-PARAM!$C$27)*$I$22+(MOD($B608,60)=PARAM!$B$56)*($B608&gt;(60-PARAM!$B$56))*HLOOKUP(($B608+PARAM!$B$56)/12,Loyalty,2)*$F$1*MAX(CD607,0)</f>
        <v>18.557001321003963</v>
      </c>
      <c r="CC608" s="75">
        <f>PARAM!$C$26+MAX($G$22-CHOOSE(PARAM!$B$44,MAX(0,CD607*$F$1),0),0)*RATES!$L584/12+$H$22*(PARAM!$D$51/12)*RATES!$N584/100</f>
        <v>252.45833333333334</v>
      </c>
      <c r="CD608" s="16">
        <f t="shared" si="432"/>
        <v>-24501.456923378926</v>
      </c>
      <c r="CE608" s="33">
        <f>IF(0=MOD(B608,12/PARAM!$D$51),1,0)</f>
        <v>1</v>
      </c>
      <c r="CF608" s="15">
        <f t="shared" si="407"/>
        <v>0</v>
      </c>
      <c r="CG608" s="75">
        <f>CF608*(1-PARAM!$C$27)*$R$3+(MOD($B608/12,5)=0)*($B608&gt;60)*HLOOKUP($B608/12,Loyalty,2)*$F$1*MAX(CI607,0)</f>
        <v>0</v>
      </c>
      <c r="CH608" s="75">
        <f>PARAM!$C$26+MAX($P$3-CHOOSE(PARAM!$B$44,MAX(0,CI607*$F$1),0),0)*RATES!$L584/12+$Q$3*(PARAM!$D$51/12)*RATES!$N584/100</f>
        <v>252.45833333333334</v>
      </c>
      <c r="CI608" s="16">
        <f>IF(CI607&gt;0,CI607*PARAM!$C$53,CI607)+CG608-CH608</f>
        <v>-35163.500000000029</v>
      </c>
      <c r="CJ608" s="15">
        <f t="shared" si="433"/>
        <v>0</v>
      </c>
      <c r="CK608" s="75">
        <f>CJ608*(1-PARAM!$C$27)*$R$4+(MOD($B608/12,5)=0)*($B608&gt;60)*HLOOKUP($B608/12,Loyalty,2)*$F$1*MAX(CM607,0)</f>
        <v>0</v>
      </c>
      <c r="CL608" s="75">
        <f>PARAM!$C$26+MAX($P$4-CHOOSE(PARAM!$B$44,MAX(0,CM607*$F$1),0),0)*RATES!$L584/12+$Q$4*(PARAM!$D$51/12)*RATES!$N584/100</f>
        <v>252.45833333333334</v>
      </c>
      <c r="CM608" s="16">
        <f>IF(CM607&gt;0,CM607*PARAM!$C$53,CM607)+CK608-CL608</f>
        <v>-35163.500000000029</v>
      </c>
      <c r="CO608" s="176"/>
    </row>
    <row r="609" spans="1:93" x14ac:dyDescent="0.2">
      <c r="A609" t="b">
        <f t="shared" si="408"/>
        <v>0</v>
      </c>
      <c r="B609" s="33">
        <v>582</v>
      </c>
      <c r="C609" s="15">
        <f t="shared" si="409"/>
        <v>20.081305947392778</v>
      </c>
      <c r="D609" s="75">
        <f>C609*(1-PARAM!$C$27)*$I$3+(MOD($B609,60)=PARAM!$B$56)*($B609&gt;(60-PARAM!$B$56))*HLOOKUP(($B609+PARAM!$B$56)/12,Loyalty,2)*$F$1*MAX(F608,0)</f>
        <v>16.808053077967756</v>
      </c>
      <c r="E609" s="75">
        <f>PARAM!$C$26+MAX($G$3-CHOOSE(PARAM!$B$44,MAX(0,F608*$F$1),0),0)*RATES!$L585/12+$H$3*(PARAM!$D$51/12)*RATES!$N585/100</f>
        <v>276.5</v>
      </c>
      <c r="F609" s="16">
        <f t="shared" si="410"/>
        <v>-25814.138300026589</v>
      </c>
      <c r="G609" s="15">
        <f t="shared" si="411"/>
        <v>22.035289406060361</v>
      </c>
      <c r="H609" s="75">
        <f>G609*(1-PARAM!$C$27)*$I$4+(MOD($B609,60)=PARAM!$B$56)*($B609&gt;(60-PARAM!$B$56))*HLOOKUP(($B609+PARAM!$B$56)/12,Loyalty,2)*$F$1*MAX(J608,0)</f>
        <v>18.443537232872522</v>
      </c>
      <c r="I609" s="75">
        <f>PARAM!$C$26+MAX($G$4-CHOOSE(PARAM!$B$44,MAX(0,J608*$F$1),0),0)*RATES!$L585/12+$H$4*(PARAM!$D$51/12)*RATES!$N585/100</f>
        <v>276.5</v>
      </c>
      <c r="J609" s="16">
        <f t="shared" si="412"/>
        <v>-24828.453557750236</v>
      </c>
      <c r="K609" s="15">
        <f t="shared" si="413"/>
        <v>22.170849845882874</v>
      </c>
      <c r="L609" s="75">
        <f>K609*(1-PARAM!$C$27)*$I$5+(MOD($B609,60)=PARAM!$B$56)*($B609&gt;(60-PARAM!$B$56))*HLOOKUP(($B609+PARAM!$B$56)/12,Loyalty,2)*$F$1*MAX(N608,0)</f>
        <v>18.557001321003963</v>
      </c>
      <c r="M609" s="75">
        <f>PARAM!$C$26+MAX($G$5-CHOOSE(PARAM!$B$44,MAX(0,N608*$F$1),0),0)*RATES!$L585/12+$H$5*(PARAM!$D$51/12)*RATES!$N585/100</f>
        <v>276.5</v>
      </c>
      <c r="N609" s="16">
        <f t="shared" si="414"/>
        <v>-24759.399922057921</v>
      </c>
      <c r="O609" s="15">
        <f t="shared" si="415"/>
        <v>22.170849845882874</v>
      </c>
      <c r="P609" s="75">
        <f>O609*(1-PARAM!$C$27)*$I$6+(MOD($B609,60)=PARAM!$B$56)*($B609&gt;(60-PARAM!$B$56))*HLOOKUP(($B609+PARAM!$B$56)/12,Loyalty,2)*$F$1*MAX(R608,0)</f>
        <v>18.557001321003963</v>
      </c>
      <c r="Q609" s="75">
        <f>PARAM!$C$26+MAX($G$6-CHOOSE(PARAM!$B$44,MAX(0,R608*$F$1),0),0)*RATES!$L585/12+$H$6*(PARAM!$D$51/12)*RATES!$N585/100</f>
        <v>276.5</v>
      </c>
      <c r="R609" s="16">
        <f t="shared" si="416"/>
        <v>-24759.399922057921</v>
      </c>
      <c r="S609" s="15">
        <f t="shared" si="391"/>
        <v>22.170849845882874</v>
      </c>
      <c r="T609" s="75">
        <f>S609*(1-PARAM!$C$27)*$I$7+(MOD($B609,60)=PARAM!$B$56)*($B609&gt;(60-PARAM!$B$56))*HLOOKUP(($B609+PARAM!$B$56)/12,Loyalty,2)*$F$1*MAX(V608,0)</f>
        <v>18.557001321003963</v>
      </c>
      <c r="U609" s="75">
        <f>PARAM!$C$26+MAX($G$7-CHOOSE(PARAM!$B$44,MAX(0,V608*$F$1),0),0)*RATES!$L585/12+$H$7*(PARAM!$D$51/12)*RATES!$N585/100</f>
        <v>276.5</v>
      </c>
      <c r="V609" s="16">
        <f t="shared" si="417"/>
        <v>-24759.399922057921</v>
      </c>
      <c r="W609" s="15">
        <f t="shared" si="392"/>
        <v>22.170849845882874</v>
      </c>
      <c r="X609" s="75">
        <f>W609*(1-PARAM!$C$27)*$I$8+(MOD($B609,60)=PARAM!$B$56)*($B609&gt;(60-PARAM!$B$56))*HLOOKUP(($B609+PARAM!$B$56)/12,Loyalty,2)*$F$1*MAX(Z608,0)</f>
        <v>18.557001321003963</v>
      </c>
      <c r="Y609" s="75">
        <f>PARAM!$C$26+MAX($G$8-CHOOSE(PARAM!$B$44,MAX(0,Z608*$F$1),0),0)*RATES!$L585/12+$H$8*(PARAM!$D$51/12)*RATES!$N585/100</f>
        <v>276.5</v>
      </c>
      <c r="Z609" s="16">
        <f t="shared" si="418"/>
        <v>-24759.399922057921</v>
      </c>
      <c r="AA609" s="15">
        <f t="shared" si="393"/>
        <v>22.170849845882874</v>
      </c>
      <c r="AB609" s="75">
        <f>AA609*(1-PARAM!$C$27)*$I$9+(MOD($B609,60)=PARAM!$B$56)*($B609&gt;(60-PARAM!$B$56))*HLOOKUP(($B609+PARAM!$B$56)/12,Loyalty,2)*$F$1*MAX(AD608,0)</f>
        <v>18.557001321003963</v>
      </c>
      <c r="AC609" s="75">
        <f>PARAM!$C$26+MAX($G$9-CHOOSE(PARAM!$B$44,MAX(0,AD608*$F$1),0),0)*RATES!$L585/12+$H$9*(PARAM!$D$51/12)*RATES!$N585/100</f>
        <v>276.5</v>
      </c>
      <c r="AD609" s="16">
        <f t="shared" si="419"/>
        <v>-24759.399922057921</v>
      </c>
      <c r="AE609" s="15">
        <f t="shared" si="394"/>
        <v>22.170849845882874</v>
      </c>
      <c r="AF609" s="75">
        <f>AE609*(1-PARAM!$C$27)*$I$10+(MOD($B609,60)=PARAM!$B$56)*($B609&gt;(60-PARAM!$B$56))*HLOOKUP(($B609+PARAM!$B$56)/12,Loyalty,2)*$F$1*MAX(AH608,0)</f>
        <v>18.557001321003963</v>
      </c>
      <c r="AG609" s="75">
        <f>PARAM!$C$26+MAX($G$10-CHOOSE(PARAM!$B$44,MAX(0,AH608*$F$1),0),0)*RATES!$L585/12+$H$10*(PARAM!$D$51/12)*RATES!$N585/100</f>
        <v>276.5</v>
      </c>
      <c r="AH609" s="16">
        <f t="shared" si="420"/>
        <v>-24759.399922057921</v>
      </c>
      <c r="AI609" s="15">
        <f t="shared" si="395"/>
        <v>22.170849845882874</v>
      </c>
      <c r="AJ609" s="75">
        <f>AI609*(1-PARAM!$C$27)*$I$11+(MOD($B609,60)=PARAM!$B$56)*($B609&gt;(60-PARAM!$B$56))*HLOOKUP(($B609+PARAM!$B$56)/12,Loyalty,2)*$F$1*MAX(AL608,0)</f>
        <v>18.557001321003963</v>
      </c>
      <c r="AK609" s="75">
        <f>PARAM!$C$26+MAX($G$11-CHOOSE(PARAM!$B$44,MAX(0,AL608*$F$1),0),0)*RATES!$L585/12+$H$11*(PARAM!$D$51/12)*RATES!$N585/100</f>
        <v>276.5</v>
      </c>
      <c r="AL609" s="16">
        <f t="shared" si="421"/>
        <v>-24759.399922057921</v>
      </c>
      <c r="AM609" s="15">
        <f t="shared" si="396"/>
        <v>22.170849845882874</v>
      </c>
      <c r="AN609" s="75">
        <f>AM609*(1-PARAM!$C$27)*$I$12+(MOD($B609,60)=PARAM!$B$56)*($B609&gt;(60-PARAM!$B$56))*HLOOKUP(($B609+PARAM!$B$56)/12,Loyalty,2)*$F$1*MAX(AP608,0)</f>
        <v>18.557001321003963</v>
      </c>
      <c r="AO609" s="75">
        <f>PARAM!$C$26+MAX($G$12-CHOOSE(PARAM!$B$44,MAX(0,AP608*$F$1),0),0)*RATES!$L585/12+$H$12*(PARAM!$D$51/12)*RATES!$N585/100</f>
        <v>276.5</v>
      </c>
      <c r="AP609" s="16">
        <f t="shared" si="422"/>
        <v>-24759.399922057921</v>
      </c>
      <c r="AQ609" s="15">
        <f t="shared" si="397"/>
        <v>22.170849845882874</v>
      </c>
      <c r="AR609" s="75">
        <f>AQ609*(1-PARAM!$C$27)*$I$13+(MOD($B609,60)=PARAM!$B$56)*($B609&gt;(60-PARAM!$B$56))*HLOOKUP(($B609+PARAM!$B$56)/12,Loyalty,2)*$F$1*MAX(AT608,0)</f>
        <v>18.557001321003963</v>
      </c>
      <c r="AS609" s="75">
        <f>PARAM!$C$26+MAX($G$13-CHOOSE(PARAM!$B$44,MAX(0,AT608*$F$1),0),0)*RATES!$L585/12+$H$13*(PARAM!$D$51/12)*RATES!$N585/100</f>
        <v>276.5</v>
      </c>
      <c r="AT609" s="16">
        <f t="shared" si="423"/>
        <v>-24759.399922057921</v>
      </c>
      <c r="AU609" s="15">
        <f t="shared" si="398"/>
        <v>22.170849845882874</v>
      </c>
      <c r="AV609" s="75">
        <f>AU609*(1-PARAM!$C$27)*$I$14+(MOD($B609,60)=PARAM!$B$56)*($B609&gt;(60-PARAM!$B$56))*HLOOKUP(($B609+PARAM!$B$56)/12,Loyalty,2)*$F$1*MAX(AX608,0)</f>
        <v>18.557001321003963</v>
      </c>
      <c r="AW609" s="75">
        <f>PARAM!$C$26+MAX($G$14-CHOOSE(PARAM!$B$44,MAX(0,AX608*$F$1),0),0)*RATES!$L585/12+$H$14*(PARAM!$D$51/12)*RATES!$N585/100</f>
        <v>276.5</v>
      </c>
      <c r="AX609" s="16">
        <f t="shared" si="424"/>
        <v>-24759.399922057921</v>
      </c>
      <c r="AY609" s="15">
        <f t="shared" si="399"/>
        <v>22.170849845882874</v>
      </c>
      <c r="AZ609" s="75">
        <f>AY609*(1-PARAM!$C$27)*$I$15+(MOD($B609,60)=PARAM!$B$56)*($B609&gt;(60-PARAM!$B$56))*HLOOKUP(($B609+PARAM!$B$56)/12,Loyalty,2)*$F$1*MAX(BB608,0)</f>
        <v>18.557001321003963</v>
      </c>
      <c r="BA609" s="75">
        <f>PARAM!$C$26+MAX($G$15-CHOOSE(PARAM!$B$44,MAX(0,BB608*$F$1),0),0)*RATES!$L585/12+$H$15*(PARAM!$D$51/12)*RATES!$N585/100</f>
        <v>276.5</v>
      </c>
      <c r="BB609" s="16">
        <f t="shared" si="425"/>
        <v>-24759.399922057921</v>
      </c>
      <c r="BC609" s="15">
        <f t="shared" si="400"/>
        <v>22.170849845882874</v>
      </c>
      <c r="BD609" s="75">
        <f>BC609*(1-PARAM!$C$27)*$I$16+(MOD($B609,60)=PARAM!$B$56)*($B609&gt;(60-PARAM!$B$56))*HLOOKUP(($B609+PARAM!$B$56)/12,Loyalty,2)*$F$1*MAX(BF608,0)</f>
        <v>18.557001321003963</v>
      </c>
      <c r="BE609" s="75">
        <f>PARAM!$C$26+MAX($G$16-CHOOSE(PARAM!$B$44,MAX(0,BF608*$F$1),0),0)*RATES!$L585/12+$H$16*(PARAM!$D$51/12)*RATES!$N585/100</f>
        <v>276.5</v>
      </c>
      <c r="BF609" s="16">
        <f t="shared" si="426"/>
        <v>-24759.399922057921</v>
      </c>
      <c r="BG609" s="15">
        <f t="shared" si="401"/>
        <v>22.170849845882874</v>
      </c>
      <c r="BH609" s="75">
        <f>BG609*(1-PARAM!$C$27)*$I$17+(MOD($B609,60)=PARAM!$B$56)*($B609&gt;(60-PARAM!$B$56))*HLOOKUP(($B609+PARAM!$B$56)/12,Loyalty,2)*$F$1*MAX(BJ608,0)</f>
        <v>18.557001321003963</v>
      </c>
      <c r="BI609" s="75">
        <f>PARAM!$C$26+MAX($G$17-CHOOSE(PARAM!$B$44,MAX(0,BJ608*$F$1),0),0)*RATES!$L585/12+$H$17*(PARAM!$D$51/12)*RATES!$N585/100</f>
        <v>276.5</v>
      </c>
      <c r="BJ609" s="16">
        <f t="shared" si="427"/>
        <v>-24759.399922057921</v>
      </c>
      <c r="BK609" s="15">
        <f t="shared" si="402"/>
        <v>22.170849845882874</v>
      </c>
      <c r="BL609" s="75">
        <f>BK609*(1-PARAM!$C$27)*$I$18+(MOD($B609,60)=PARAM!$B$56)*($B609&gt;(60-PARAM!$B$56))*HLOOKUP(($B609+PARAM!$B$56)/12,Loyalty,2)*$F$1*MAX(BN608,0)</f>
        <v>18.557001321003963</v>
      </c>
      <c r="BM609" s="75">
        <f>PARAM!$C$26+MAX($G$18-CHOOSE(PARAM!$B$44,MAX(0,BN608*$F$1),0),0)*RATES!$L585/12+$H$18*(PARAM!$D$51/12)*RATES!$N585/100</f>
        <v>276.5</v>
      </c>
      <c r="BN609" s="16">
        <f t="shared" si="428"/>
        <v>-24759.399922057921</v>
      </c>
      <c r="BO609" s="15">
        <f t="shared" si="403"/>
        <v>22.170849845882874</v>
      </c>
      <c r="BP609" s="75">
        <f>BO609*(1-PARAM!$C$27)*$I$19+(MOD($B609,60)=PARAM!$B$56)*($B609&gt;(60-PARAM!$B$56))*HLOOKUP(($B609+PARAM!$B$56)/12,Loyalty,2)*$F$1*MAX(BR608,0)</f>
        <v>18.557001321003963</v>
      </c>
      <c r="BQ609" s="75">
        <f>PARAM!$C$26+MAX($G$19-CHOOSE(PARAM!$B$44,MAX(0,BR608*$F$1),0),0)*RATES!$L585/12+$H$19*(PARAM!$D$51/12)*RATES!$N585/100</f>
        <v>276.5</v>
      </c>
      <c r="BR609" s="16">
        <f t="shared" si="429"/>
        <v>-24759.399922057921</v>
      </c>
      <c r="BS609" s="15">
        <f t="shared" si="404"/>
        <v>22.170849845882874</v>
      </c>
      <c r="BT609" s="75">
        <f>BS609*(1-PARAM!$C$27)*$I$20+(MOD($B609,60)=PARAM!$B$56)*($B609&gt;(60-PARAM!$B$56))*HLOOKUP(($B609+PARAM!$B$56)/12,Loyalty,2)*$F$1*MAX(BV608,0)</f>
        <v>18.557001321003963</v>
      </c>
      <c r="BU609" s="75">
        <f>PARAM!$C$26+MAX($G$20-CHOOSE(PARAM!$B$44,MAX(0,BV608*$F$1),0),0)*RATES!$L585/12+$H$20*(PARAM!$D$51/12)*RATES!$N585/100</f>
        <v>276.5</v>
      </c>
      <c r="BV609" s="16">
        <f t="shared" si="430"/>
        <v>-24759.399922057921</v>
      </c>
      <c r="BW609" s="15">
        <f t="shared" si="405"/>
        <v>22.170849845882874</v>
      </c>
      <c r="BX609" s="75">
        <f>BW609*(1-PARAM!$C$27)*$I$21+(MOD($B609,60)=PARAM!$B$56)*($B609&gt;(60-PARAM!$B$56))*HLOOKUP(($B609+PARAM!$B$56)/12,Loyalty,2)*$F$1*MAX(BZ608,0)</f>
        <v>18.557001321003963</v>
      </c>
      <c r="BY609" s="75">
        <f>PARAM!$C$26+MAX($G$21-CHOOSE(PARAM!$B$44,MAX(0,BZ608*$F$1),0),0)*RATES!$L585/12+$H$21*(PARAM!$D$51/12)*RATES!$N585/100</f>
        <v>276.5</v>
      </c>
      <c r="BZ609" s="16">
        <f t="shared" si="431"/>
        <v>-24759.399922057921</v>
      </c>
      <c r="CA609" s="15">
        <f t="shared" si="406"/>
        <v>22.170849845882874</v>
      </c>
      <c r="CB609" s="75">
        <f>CA609*(1-PARAM!$C$27)*$I$22+(MOD($B609,60)=PARAM!$B$56)*($B609&gt;(60-PARAM!$B$56))*HLOOKUP(($B609+PARAM!$B$56)/12,Loyalty,2)*$F$1*MAX(CD608,0)</f>
        <v>18.557001321003963</v>
      </c>
      <c r="CC609" s="75">
        <f>PARAM!$C$26+MAX($G$22-CHOOSE(PARAM!$B$44,MAX(0,CD608*$F$1),0),0)*RATES!$L585/12+$H$22*(PARAM!$D$51/12)*RATES!$N585/100</f>
        <v>276.5</v>
      </c>
      <c r="CD609" s="16">
        <f t="shared" si="432"/>
        <v>-24759.399922057921</v>
      </c>
      <c r="CE609" s="33">
        <f>IF(0=MOD(B609,12/PARAM!$D$51),1,0)</f>
        <v>1</v>
      </c>
      <c r="CF609" s="15">
        <f t="shared" si="407"/>
        <v>0</v>
      </c>
      <c r="CG609" s="75">
        <f>CF609*(1-PARAM!$C$27)*$R$3+(MOD($B609/12,5)=0)*($B609&gt;60)*HLOOKUP($B609/12,Loyalty,2)*$F$1*MAX(CI608,0)</f>
        <v>0</v>
      </c>
      <c r="CH609" s="75">
        <f>PARAM!$C$26+MAX($P$3-CHOOSE(PARAM!$B$44,MAX(0,CI608*$F$1),0),0)*RATES!$L585/12+$Q$3*(PARAM!$D$51/12)*RATES!$N585/100</f>
        <v>276.5</v>
      </c>
      <c r="CI609" s="16">
        <f>IF(CI608&gt;0,CI608*PARAM!$C$53,CI608)+CG609-CH609</f>
        <v>-35440.000000000029</v>
      </c>
      <c r="CJ609" s="15">
        <f t="shared" si="433"/>
        <v>0</v>
      </c>
      <c r="CK609" s="75">
        <f>CJ609*(1-PARAM!$C$27)*$R$4+(MOD($B609/12,5)=0)*($B609&gt;60)*HLOOKUP($B609/12,Loyalty,2)*$F$1*MAX(CM608,0)</f>
        <v>0</v>
      </c>
      <c r="CL609" s="75">
        <f>PARAM!$C$26+MAX($P$4-CHOOSE(PARAM!$B$44,MAX(0,CM608*$F$1),0),0)*RATES!$L585/12+$Q$4*(PARAM!$D$51/12)*RATES!$N585/100</f>
        <v>276.5</v>
      </c>
      <c r="CM609" s="16">
        <f>IF(CM608&gt;0,CM608*PARAM!$C$53,CM608)+CK609-CL609</f>
        <v>-35440.000000000029</v>
      </c>
      <c r="CO609" s="176"/>
    </row>
    <row r="610" spans="1:93" x14ac:dyDescent="0.2">
      <c r="A610" t="b">
        <f t="shared" si="408"/>
        <v>0</v>
      </c>
      <c r="B610" s="33">
        <v>583</v>
      </c>
      <c r="C610" s="15">
        <f t="shared" si="409"/>
        <v>20.081305947392778</v>
      </c>
      <c r="D610" s="75">
        <f>C610*(1-PARAM!$C$27)*$I$3+(MOD($B610,60)=PARAM!$B$56)*($B610&gt;(60-PARAM!$B$56))*HLOOKUP(($B610+PARAM!$B$56)/12,Loyalty,2)*$F$1*MAX(F609,0)</f>
        <v>16.808053077967756</v>
      </c>
      <c r="E610" s="75">
        <f>PARAM!$C$26+MAX($G$3-CHOOSE(PARAM!$B$44,MAX(0,F609*$F$1),0),0)*RATES!$L586/12+$H$3*(PARAM!$D$51/12)*RATES!$N586/100</f>
        <v>276.5</v>
      </c>
      <c r="F610" s="16">
        <f t="shared" si="410"/>
        <v>-26073.830246948623</v>
      </c>
      <c r="G610" s="15">
        <f t="shared" si="411"/>
        <v>22.035289406060361</v>
      </c>
      <c r="H610" s="75">
        <f>G610*(1-PARAM!$C$27)*$I$4+(MOD($B610,60)=PARAM!$B$56)*($B610&gt;(60-PARAM!$B$56))*HLOOKUP(($B610+PARAM!$B$56)/12,Loyalty,2)*$F$1*MAX(J609,0)</f>
        <v>18.443537232872522</v>
      </c>
      <c r="I610" s="75">
        <f>PARAM!$C$26+MAX($G$4-CHOOSE(PARAM!$B$44,MAX(0,J609*$F$1),0),0)*RATES!$L586/12+$H$4*(PARAM!$D$51/12)*RATES!$N586/100</f>
        <v>276.5</v>
      </c>
      <c r="J610" s="16">
        <f t="shared" si="412"/>
        <v>-25086.510020517362</v>
      </c>
      <c r="K610" s="15">
        <f t="shared" si="413"/>
        <v>22.170849845882874</v>
      </c>
      <c r="L610" s="75">
        <f>K610*(1-PARAM!$C$27)*$I$5+(MOD($B610,60)=PARAM!$B$56)*($B610&gt;(60-PARAM!$B$56))*HLOOKUP(($B610+PARAM!$B$56)/12,Loyalty,2)*$F$1*MAX(N609,0)</f>
        <v>18.557001321003963</v>
      </c>
      <c r="M610" s="75">
        <f>PARAM!$C$26+MAX($G$5-CHOOSE(PARAM!$B$44,MAX(0,N609*$F$1),0),0)*RATES!$L586/12+$H$5*(PARAM!$D$51/12)*RATES!$N586/100</f>
        <v>276.5</v>
      </c>
      <c r="N610" s="16">
        <f t="shared" si="414"/>
        <v>-25017.342920736915</v>
      </c>
      <c r="O610" s="15">
        <f t="shared" si="415"/>
        <v>22.170849845882874</v>
      </c>
      <c r="P610" s="75">
        <f>O610*(1-PARAM!$C$27)*$I$6+(MOD($B610,60)=PARAM!$B$56)*($B610&gt;(60-PARAM!$B$56))*HLOOKUP(($B610+PARAM!$B$56)/12,Loyalty,2)*$F$1*MAX(R609,0)</f>
        <v>18.557001321003963</v>
      </c>
      <c r="Q610" s="75">
        <f>PARAM!$C$26+MAX($G$6-CHOOSE(PARAM!$B$44,MAX(0,R609*$F$1),0),0)*RATES!$L586/12+$H$6*(PARAM!$D$51/12)*RATES!$N586/100</f>
        <v>276.5</v>
      </c>
      <c r="R610" s="16">
        <f t="shared" si="416"/>
        <v>-25017.342920736915</v>
      </c>
      <c r="S610" s="15">
        <f t="shared" si="391"/>
        <v>22.170849845882874</v>
      </c>
      <c r="T610" s="75">
        <f>S610*(1-PARAM!$C$27)*$I$7+(MOD($B610,60)=PARAM!$B$56)*($B610&gt;(60-PARAM!$B$56))*HLOOKUP(($B610+PARAM!$B$56)/12,Loyalty,2)*$F$1*MAX(V609,0)</f>
        <v>18.557001321003963</v>
      </c>
      <c r="U610" s="75">
        <f>PARAM!$C$26+MAX($G$7-CHOOSE(PARAM!$B$44,MAX(0,V609*$F$1),0),0)*RATES!$L586/12+$H$7*(PARAM!$D$51/12)*RATES!$N586/100</f>
        <v>276.5</v>
      </c>
      <c r="V610" s="16">
        <f t="shared" si="417"/>
        <v>-25017.342920736915</v>
      </c>
      <c r="W610" s="15">
        <f t="shared" si="392"/>
        <v>22.170849845882874</v>
      </c>
      <c r="X610" s="75">
        <f>W610*(1-PARAM!$C$27)*$I$8+(MOD($B610,60)=PARAM!$B$56)*($B610&gt;(60-PARAM!$B$56))*HLOOKUP(($B610+PARAM!$B$56)/12,Loyalty,2)*$F$1*MAX(Z609,0)</f>
        <v>18.557001321003963</v>
      </c>
      <c r="Y610" s="75">
        <f>PARAM!$C$26+MAX($G$8-CHOOSE(PARAM!$B$44,MAX(0,Z609*$F$1),0),0)*RATES!$L586/12+$H$8*(PARAM!$D$51/12)*RATES!$N586/100</f>
        <v>276.5</v>
      </c>
      <c r="Z610" s="16">
        <f t="shared" si="418"/>
        <v>-25017.342920736915</v>
      </c>
      <c r="AA610" s="15">
        <f t="shared" si="393"/>
        <v>22.170849845882874</v>
      </c>
      <c r="AB610" s="75">
        <f>AA610*(1-PARAM!$C$27)*$I$9+(MOD($B610,60)=PARAM!$B$56)*($B610&gt;(60-PARAM!$B$56))*HLOOKUP(($B610+PARAM!$B$56)/12,Loyalty,2)*$F$1*MAX(AD609,0)</f>
        <v>18.557001321003963</v>
      </c>
      <c r="AC610" s="75">
        <f>PARAM!$C$26+MAX($G$9-CHOOSE(PARAM!$B$44,MAX(0,AD609*$F$1),0),0)*RATES!$L586/12+$H$9*(PARAM!$D$51/12)*RATES!$N586/100</f>
        <v>276.5</v>
      </c>
      <c r="AD610" s="16">
        <f t="shared" si="419"/>
        <v>-25017.342920736915</v>
      </c>
      <c r="AE610" s="15">
        <f t="shared" si="394"/>
        <v>22.170849845882874</v>
      </c>
      <c r="AF610" s="75">
        <f>AE610*(1-PARAM!$C$27)*$I$10+(MOD($B610,60)=PARAM!$B$56)*($B610&gt;(60-PARAM!$B$56))*HLOOKUP(($B610+PARAM!$B$56)/12,Loyalty,2)*$F$1*MAX(AH609,0)</f>
        <v>18.557001321003963</v>
      </c>
      <c r="AG610" s="75">
        <f>PARAM!$C$26+MAX($G$10-CHOOSE(PARAM!$B$44,MAX(0,AH609*$F$1),0),0)*RATES!$L586/12+$H$10*(PARAM!$D$51/12)*RATES!$N586/100</f>
        <v>276.5</v>
      </c>
      <c r="AH610" s="16">
        <f t="shared" si="420"/>
        <v>-25017.342920736915</v>
      </c>
      <c r="AI610" s="15">
        <f t="shared" si="395"/>
        <v>22.170849845882874</v>
      </c>
      <c r="AJ610" s="75">
        <f>AI610*(1-PARAM!$C$27)*$I$11+(MOD($B610,60)=PARAM!$B$56)*($B610&gt;(60-PARAM!$B$56))*HLOOKUP(($B610+PARAM!$B$56)/12,Loyalty,2)*$F$1*MAX(AL609,0)</f>
        <v>18.557001321003963</v>
      </c>
      <c r="AK610" s="75">
        <f>PARAM!$C$26+MAX($G$11-CHOOSE(PARAM!$B$44,MAX(0,AL609*$F$1),0),0)*RATES!$L586/12+$H$11*(PARAM!$D$51/12)*RATES!$N586/100</f>
        <v>276.5</v>
      </c>
      <c r="AL610" s="16">
        <f t="shared" si="421"/>
        <v>-25017.342920736915</v>
      </c>
      <c r="AM610" s="15">
        <f t="shared" si="396"/>
        <v>22.170849845882874</v>
      </c>
      <c r="AN610" s="75">
        <f>AM610*(1-PARAM!$C$27)*$I$12+(MOD($B610,60)=PARAM!$B$56)*($B610&gt;(60-PARAM!$B$56))*HLOOKUP(($B610+PARAM!$B$56)/12,Loyalty,2)*$F$1*MAX(AP609,0)</f>
        <v>18.557001321003963</v>
      </c>
      <c r="AO610" s="75">
        <f>PARAM!$C$26+MAX($G$12-CHOOSE(PARAM!$B$44,MAX(0,AP609*$F$1),0),0)*RATES!$L586/12+$H$12*(PARAM!$D$51/12)*RATES!$N586/100</f>
        <v>276.5</v>
      </c>
      <c r="AP610" s="16">
        <f t="shared" si="422"/>
        <v>-25017.342920736915</v>
      </c>
      <c r="AQ610" s="15">
        <f t="shared" si="397"/>
        <v>22.170849845882874</v>
      </c>
      <c r="AR610" s="75">
        <f>AQ610*(1-PARAM!$C$27)*$I$13+(MOD($B610,60)=PARAM!$B$56)*($B610&gt;(60-PARAM!$B$56))*HLOOKUP(($B610+PARAM!$B$56)/12,Loyalty,2)*$F$1*MAX(AT609,0)</f>
        <v>18.557001321003963</v>
      </c>
      <c r="AS610" s="75">
        <f>PARAM!$C$26+MAX($G$13-CHOOSE(PARAM!$B$44,MAX(0,AT609*$F$1),0),0)*RATES!$L586/12+$H$13*(PARAM!$D$51/12)*RATES!$N586/100</f>
        <v>276.5</v>
      </c>
      <c r="AT610" s="16">
        <f t="shared" si="423"/>
        <v>-25017.342920736915</v>
      </c>
      <c r="AU610" s="15">
        <f t="shared" si="398"/>
        <v>22.170849845882874</v>
      </c>
      <c r="AV610" s="75">
        <f>AU610*(1-PARAM!$C$27)*$I$14+(MOD($B610,60)=PARAM!$B$56)*($B610&gt;(60-PARAM!$B$56))*HLOOKUP(($B610+PARAM!$B$56)/12,Loyalty,2)*$F$1*MAX(AX609,0)</f>
        <v>18.557001321003963</v>
      </c>
      <c r="AW610" s="75">
        <f>PARAM!$C$26+MAX($G$14-CHOOSE(PARAM!$B$44,MAX(0,AX609*$F$1),0),0)*RATES!$L586/12+$H$14*(PARAM!$D$51/12)*RATES!$N586/100</f>
        <v>276.5</v>
      </c>
      <c r="AX610" s="16">
        <f t="shared" si="424"/>
        <v>-25017.342920736915</v>
      </c>
      <c r="AY610" s="15">
        <f t="shared" si="399"/>
        <v>22.170849845882874</v>
      </c>
      <c r="AZ610" s="75">
        <f>AY610*(1-PARAM!$C$27)*$I$15+(MOD($B610,60)=PARAM!$B$56)*($B610&gt;(60-PARAM!$B$56))*HLOOKUP(($B610+PARAM!$B$56)/12,Loyalty,2)*$F$1*MAX(BB609,0)</f>
        <v>18.557001321003963</v>
      </c>
      <c r="BA610" s="75">
        <f>PARAM!$C$26+MAX($G$15-CHOOSE(PARAM!$B$44,MAX(0,BB609*$F$1),0),0)*RATES!$L586/12+$H$15*(PARAM!$D$51/12)*RATES!$N586/100</f>
        <v>276.5</v>
      </c>
      <c r="BB610" s="16">
        <f t="shared" si="425"/>
        <v>-25017.342920736915</v>
      </c>
      <c r="BC610" s="15">
        <f t="shared" si="400"/>
        <v>22.170849845882874</v>
      </c>
      <c r="BD610" s="75">
        <f>BC610*(1-PARAM!$C$27)*$I$16+(MOD($B610,60)=PARAM!$B$56)*($B610&gt;(60-PARAM!$B$56))*HLOOKUP(($B610+PARAM!$B$56)/12,Loyalty,2)*$F$1*MAX(BF609,0)</f>
        <v>18.557001321003963</v>
      </c>
      <c r="BE610" s="75">
        <f>PARAM!$C$26+MAX($G$16-CHOOSE(PARAM!$B$44,MAX(0,BF609*$F$1),0),0)*RATES!$L586/12+$H$16*(PARAM!$D$51/12)*RATES!$N586/100</f>
        <v>276.5</v>
      </c>
      <c r="BF610" s="16">
        <f t="shared" si="426"/>
        <v>-25017.342920736915</v>
      </c>
      <c r="BG610" s="15">
        <f t="shared" si="401"/>
        <v>22.170849845882874</v>
      </c>
      <c r="BH610" s="75">
        <f>BG610*(1-PARAM!$C$27)*$I$17+(MOD($B610,60)=PARAM!$B$56)*($B610&gt;(60-PARAM!$B$56))*HLOOKUP(($B610+PARAM!$B$56)/12,Loyalty,2)*$F$1*MAX(BJ609,0)</f>
        <v>18.557001321003963</v>
      </c>
      <c r="BI610" s="75">
        <f>PARAM!$C$26+MAX($G$17-CHOOSE(PARAM!$B$44,MAX(0,BJ609*$F$1),0),0)*RATES!$L586/12+$H$17*(PARAM!$D$51/12)*RATES!$N586/100</f>
        <v>276.5</v>
      </c>
      <c r="BJ610" s="16">
        <f t="shared" si="427"/>
        <v>-25017.342920736915</v>
      </c>
      <c r="BK610" s="15">
        <f t="shared" si="402"/>
        <v>22.170849845882874</v>
      </c>
      <c r="BL610" s="75">
        <f>BK610*(1-PARAM!$C$27)*$I$18+(MOD($B610,60)=PARAM!$B$56)*($B610&gt;(60-PARAM!$B$56))*HLOOKUP(($B610+PARAM!$B$56)/12,Loyalty,2)*$F$1*MAX(BN609,0)</f>
        <v>18.557001321003963</v>
      </c>
      <c r="BM610" s="75">
        <f>PARAM!$C$26+MAX($G$18-CHOOSE(PARAM!$B$44,MAX(0,BN609*$F$1),0),0)*RATES!$L586/12+$H$18*(PARAM!$D$51/12)*RATES!$N586/100</f>
        <v>276.5</v>
      </c>
      <c r="BN610" s="16">
        <f t="shared" si="428"/>
        <v>-25017.342920736915</v>
      </c>
      <c r="BO610" s="15">
        <f t="shared" si="403"/>
        <v>22.170849845882874</v>
      </c>
      <c r="BP610" s="75">
        <f>BO610*(1-PARAM!$C$27)*$I$19+(MOD($B610,60)=PARAM!$B$56)*($B610&gt;(60-PARAM!$B$56))*HLOOKUP(($B610+PARAM!$B$56)/12,Loyalty,2)*$F$1*MAX(BR609,0)</f>
        <v>18.557001321003963</v>
      </c>
      <c r="BQ610" s="75">
        <f>PARAM!$C$26+MAX($G$19-CHOOSE(PARAM!$B$44,MAX(0,BR609*$F$1),0),0)*RATES!$L586/12+$H$19*(PARAM!$D$51/12)*RATES!$N586/100</f>
        <v>276.5</v>
      </c>
      <c r="BR610" s="16">
        <f t="shared" si="429"/>
        <v>-25017.342920736915</v>
      </c>
      <c r="BS610" s="15">
        <f t="shared" si="404"/>
        <v>22.170849845882874</v>
      </c>
      <c r="BT610" s="75">
        <f>BS610*(1-PARAM!$C$27)*$I$20+(MOD($B610,60)=PARAM!$B$56)*($B610&gt;(60-PARAM!$B$56))*HLOOKUP(($B610+PARAM!$B$56)/12,Loyalty,2)*$F$1*MAX(BV609,0)</f>
        <v>18.557001321003963</v>
      </c>
      <c r="BU610" s="75">
        <f>PARAM!$C$26+MAX($G$20-CHOOSE(PARAM!$B$44,MAX(0,BV609*$F$1),0),0)*RATES!$L586/12+$H$20*(PARAM!$D$51/12)*RATES!$N586/100</f>
        <v>276.5</v>
      </c>
      <c r="BV610" s="16">
        <f t="shared" si="430"/>
        <v>-25017.342920736915</v>
      </c>
      <c r="BW610" s="15">
        <f t="shared" si="405"/>
        <v>22.170849845882874</v>
      </c>
      <c r="BX610" s="75">
        <f>BW610*(1-PARAM!$C$27)*$I$21+(MOD($B610,60)=PARAM!$B$56)*($B610&gt;(60-PARAM!$B$56))*HLOOKUP(($B610+PARAM!$B$56)/12,Loyalty,2)*$F$1*MAX(BZ609,0)</f>
        <v>18.557001321003963</v>
      </c>
      <c r="BY610" s="75">
        <f>PARAM!$C$26+MAX($G$21-CHOOSE(PARAM!$B$44,MAX(0,BZ609*$F$1),0),0)*RATES!$L586/12+$H$21*(PARAM!$D$51/12)*RATES!$N586/100</f>
        <v>276.5</v>
      </c>
      <c r="BZ610" s="16">
        <f t="shared" si="431"/>
        <v>-25017.342920736915</v>
      </c>
      <c r="CA610" s="15">
        <f t="shared" si="406"/>
        <v>22.170849845882874</v>
      </c>
      <c r="CB610" s="75">
        <f>CA610*(1-PARAM!$C$27)*$I$22+(MOD($B610,60)=PARAM!$B$56)*($B610&gt;(60-PARAM!$B$56))*HLOOKUP(($B610+PARAM!$B$56)/12,Loyalty,2)*$F$1*MAX(CD609,0)</f>
        <v>18.557001321003963</v>
      </c>
      <c r="CC610" s="75">
        <f>PARAM!$C$26+MAX($G$22-CHOOSE(PARAM!$B$44,MAX(0,CD609*$F$1),0),0)*RATES!$L586/12+$H$22*(PARAM!$D$51/12)*RATES!$N586/100</f>
        <v>276.5</v>
      </c>
      <c r="CD610" s="16">
        <f t="shared" si="432"/>
        <v>-25017.342920736915</v>
      </c>
      <c r="CE610" s="33">
        <f>IF(0=MOD(B610,12/PARAM!$D$51),1,0)</f>
        <v>1</v>
      </c>
      <c r="CF610" s="15">
        <f t="shared" si="407"/>
        <v>0</v>
      </c>
      <c r="CG610" s="75">
        <f>CF610*(1-PARAM!$C$27)*$R$3+(MOD($B610/12,5)=0)*($B610&gt;60)*HLOOKUP($B610/12,Loyalty,2)*$F$1*MAX(CI609,0)</f>
        <v>0</v>
      </c>
      <c r="CH610" s="75">
        <f>PARAM!$C$26+MAX($P$3-CHOOSE(PARAM!$B$44,MAX(0,CI609*$F$1),0),0)*RATES!$L586/12+$Q$3*(PARAM!$D$51/12)*RATES!$N586/100</f>
        <v>276.5</v>
      </c>
      <c r="CI610" s="16">
        <f>IF(CI609&gt;0,CI609*PARAM!$C$53,CI609)+CG610-CH610</f>
        <v>-35716.500000000029</v>
      </c>
      <c r="CJ610" s="15">
        <f t="shared" si="433"/>
        <v>0</v>
      </c>
      <c r="CK610" s="75">
        <f>CJ610*(1-PARAM!$C$27)*$R$4+(MOD($B610/12,5)=0)*($B610&gt;60)*HLOOKUP($B610/12,Loyalty,2)*$F$1*MAX(CM609,0)</f>
        <v>0</v>
      </c>
      <c r="CL610" s="75">
        <f>PARAM!$C$26+MAX($P$4-CHOOSE(PARAM!$B$44,MAX(0,CM609*$F$1),0),0)*RATES!$L586/12+$Q$4*(PARAM!$D$51/12)*RATES!$N586/100</f>
        <v>276.5</v>
      </c>
      <c r="CM610" s="16">
        <f>IF(CM609&gt;0,CM609*PARAM!$C$53,CM609)+CK610-CL610</f>
        <v>-35716.500000000029</v>
      </c>
      <c r="CO610" s="176"/>
    </row>
    <row r="611" spans="1:93" x14ac:dyDescent="0.2">
      <c r="A611" t="b">
        <f t="shared" si="408"/>
        <v>0</v>
      </c>
      <c r="B611" s="33">
        <v>584</v>
      </c>
      <c r="C611" s="15">
        <f t="shared" si="409"/>
        <v>20.081305947392778</v>
      </c>
      <c r="D611" s="75">
        <f>C611*(1-PARAM!$C$27)*$I$3+(MOD($B611,60)=PARAM!$B$56)*($B611&gt;(60-PARAM!$B$56))*HLOOKUP(($B611+PARAM!$B$56)/12,Loyalty,2)*$F$1*MAX(F610,0)</f>
        <v>16.808053077967756</v>
      </c>
      <c r="E611" s="75">
        <f>PARAM!$C$26+MAX($G$3-CHOOSE(PARAM!$B$44,MAX(0,F610*$F$1),0),0)*RATES!$L587/12+$H$3*(PARAM!$D$51/12)*RATES!$N587/100</f>
        <v>276.5</v>
      </c>
      <c r="F611" s="16">
        <f t="shared" si="410"/>
        <v>-26333.522193870656</v>
      </c>
      <c r="G611" s="15">
        <f t="shared" si="411"/>
        <v>22.035289406060361</v>
      </c>
      <c r="H611" s="75">
        <f>G611*(1-PARAM!$C$27)*$I$4+(MOD($B611,60)=PARAM!$B$56)*($B611&gt;(60-PARAM!$B$56))*HLOOKUP(($B611+PARAM!$B$56)/12,Loyalty,2)*$F$1*MAX(J610,0)</f>
        <v>18.443537232872522</v>
      </c>
      <c r="I611" s="75">
        <f>PARAM!$C$26+MAX($G$4-CHOOSE(PARAM!$B$44,MAX(0,J610*$F$1),0),0)*RATES!$L587/12+$H$4*(PARAM!$D$51/12)*RATES!$N587/100</f>
        <v>276.5</v>
      </c>
      <c r="J611" s="16">
        <f t="shared" si="412"/>
        <v>-25344.566483284489</v>
      </c>
      <c r="K611" s="15">
        <f t="shared" si="413"/>
        <v>22.170849845882874</v>
      </c>
      <c r="L611" s="75">
        <f>K611*(1-PARAM!$C$27)*$I$5+(MOD($B611,60)=PARAM!$B$56)*($B611&gt;(60-PARAM!$B$56))*HLOOKUP(($B611+PARAM!$B$56)/12,Loyalty,2)*$F$1*MAX(N610,0)</f>
        <v>18.557001321003963</v>
      </c>
      <c r="M611" s="75">
        <f>PARAM!$C$26+MAX($G$5-CHOOSE(PARAM!$B$44,MAX(0,N610*$F$1),0),0)*RATES!$L587/12+$H$5*(PARAM!$D$51/12)*RATES!$N587/100</f>
        <v>276.5</v>
      </c>
      <c r="N611" s="16">
        <f t="shared" si="414"/>
        <v>-25275.28591941591</v>
      </c>
      <c r="O611" s="15">
        <f t="shared" si="415"/>
        <v>22.170849845882874</v>
      </c>
      <c r="P611" s="75">
        <f>O611*(1-PARAM!$C$27)*$I$6+(MOD($B611,60)=PARAM!$B$56)*($B611&gt;(60-PARAM!$B$56))*HLOOKUP(($B611+PARAM!$B$56)/12,Loyalty,2)*$F$1*MAX(R610,0)</f>
        <v>18.557001321003963</v>
      </c>
      <c r="Q611" s="75">
        <f>PARAM!$C$26+MAX($G$6-CHOOSE(PARAM!$B$44,MAX(0,R610*$F$1),0),0)*RATES!$L587/12+$H$6*(PARAM!$D$51/12)*RATES!$N587/100</f>
        <v>276.5</v>
      </c>
      <c r="R611" s="16">
        <f t="shared" si="416"/>
        <v>-25275.28591941591</v>
      </c>
      <c r="S611" s="15">
        <f t="shared" si="391"/>
        <v>22.170849845882874</v>
      </c>
      <c r="T611" s="75">
        <f>S611*(1-PARAM!$C$27)*$I$7+(MOD($B611,60)=PARAM!$B$56)*($B611&gt;(60-PARAM!$B$56))*HLOOKUP(($B611+PARAM!$B$56)/12,Loyalty,2)*$F$1*MAX(V610,0)</f>
        <v>18.557001321003963</v>
      </c>
      <c r="U611" s="75">
        <f>PARAM!$C$26+MAX($G$7-CHOOSE(PARAM!$B$44,MAX(0,V610*$F$1),0),0)*RATES!$L587/12+$H$7*(PARAM!$D$51/12)*RATES!$N587/100</f>
        <v>276.5</v>
      </c>
      <c r="V611" s="16">
        <f t="shared" si="417"/>
        <v>-25275.28591941591</v>
      </c>
      <c r="W611" s="15">
        <f t="shared" si="392"/>
        <v>22.170849845882874</v>
      </c>
      <c r="X611" s="75">
        <f>W611*(1-PARAM!$C$27)*$I$8+(MOD($B611,60)=PARAM!$B$56)*($B611&gt;(60-PARAM!$B$56))*HLOOKUP(($B611+PARAM!$B$56)/12,Loyalty,2)*$F$1*MAX(Z610,0)</f>
        <v>18.557001321003963</v>
      </c>
      <c r="Y611" s="75">
        <f>PARAM!$C$26+MAX($G$8-CHOOSE(PARAM!$B$44,MAX(0,Z610*$F$1),0),0)*RATES!$L587/12+$H$8*(PARAM!$D$51/12)*RATES!$N587/100</f>
        <v>276.5</v>
      </c>
      <c r="Z611" s="16">
        <f t="shared" si="418"/>
        <v>-25275.28591941591</v>
      </c>
      <c r="AA611" s="15">
        <f t="shared" si="393"/>
        <v>22.170849845882874</v>
      </c>
      <c r="AB611" s="75">
        <f>AA611*(1-PARAM!$C$27)*$I$9+(MOD($B611,60)=PARAM!$B$56)*($B611&gt;(60-PARAM!$B$56))*HLOOKUP(($B611+PARAM!$B$56)/12,Loyalty,2)*$F$1*MAX(AD610,0)</f>
        <v>18.557001321003963</v>
      </c>
      <c r="AC611" s="75">
        <f>PARAM!$C$26+MAX($G$9-CHOOSE(PARAM!$B$44,MAX(0,AD610*$F$1),0),0)*RATES!$L587/12+$H$9*(PARAM!$D$51/12)*RATES!$N587/100</f>
        <v>276.5</v>
      </c>
      <c r="AD611" s="16">
        <f t="shared" si="419"/>
        <v>-25275.28591941591</v>
      </c>
      <c r="AE611" s="15">
        <f t="shared" si="394"/>
        <v>22.170849845882874</v>
      </c>
      <c r="AF611" s="75">
        <f>AE611*(1-PARAM!$C$27)*$I$10+(MOD($B611,60)=PARAM!$B$56)*($B611&gt;(60-PARAM!$B$56))*HLOOKUP(($B611+PARAM!$B$56)/12,Loyalty,2)*$F$1*MAX(AH610,0)</f>
        <v>18.557001321003963</v>
      </c>
      <c r="AG611" s="75">
        <f>PARAM!$C$26+MAX($G$10-CHOOSE(PARAM!$B$44,MAX(0,AH610*$F$1),0),0)*RATES!$L587/12+$H$10*(PARAM!$D$51/12)*RATES!$N587/100</f>
        <v>276.5</v>
      </c>
      <c r="AH611" s="16">
        <f t="shared" si="420"/>
        <v>-25275.28591941591</v>
      </c>
      <c r="AI611" s="15">
        <f t="shared" si="395"/>
        <v>22.170849845882874</v>
      </c>
      <c r="AJ611" s="75">
        <f>AI611*(1-PARAM!$C$27)*$I$11+(MOD($B611,60)=PARAM!$B$56)*($B611&gt;(60-PARAM!$B$56))*HLOOKUP(($B611+PARAM!$B$56)/12,Loyalty,2)*$F$1*MAX(AL610,0)</f>
        <v>18.557001321003963</v>
      </c>
      <c r="AK611" s="75">
        <f>PARAM!$C$26+MAX($G$11-CHOOSE(PARAM!$B$44,MAX(0,AL610*$F$1),0),0)*RATES!$L587/12+$H$11*(PARAM!$D$51/12)*RATES!$N587/100</f>
        <v>276.5</v>
      </c>
      <c r="AL611" s="16">
        <f t="shared" si="421"/>
        <v>-25275.28591941591</v>
      </c>
      <c r="AM611" s="15">
        <f t="shared" si="396"/>
        <v>22.170849845882874</v>
      </c>
      <c r="AN611" s="75">
        <f>AM611*(1-PARAM!$C$27)*$I$12+(MOD($B611,60)=PARAM!$B$56)*($B611&gt;(60-PARAM!$B$56))*HLOOKUP(($B611+PARAM!$B$56)/12,Loyalty,2)*$F$1*MAX(AP610,0)</f>
        <v>18.557001321003963</v>
      </c>
      <c r="AO611" s="75">
        <f>PARAM!$C$26+MAX($G$12-CHOOSE(PARAM!$B$44,MAX(0,AP610*$F$1),0),0)*RATES!$L587/12+$H$12*(PARAM!$D$51/12)*RATES!$N587/100</f>
        <v>276.5</v>
      </c>
      <c r="AP611" s="16">
        <f t="shared" si="422"/>
        <v>-25275.28591941591</v>
      </c>
      <c r="AQ611" s="15">
        <f t="shared" si="397"/>
        <v>22.170849845882874</v>
      </c>
      <c r="AR611" s="75">
        <f>AQ611*(1-PARAM!$C$27)*$I$13+(MOD($B611,60)=PARAM!$B$56)*($B611&gt;(60-PARAM!$B$56))*HLOOKUP(($B611+PARAM!$B$56)/12,Loyalty,2)*$F$1*MAX(AT610,0)</f>
        <v>18.557001321003963</v>
      </c>
      <c r="AS611" s="75">
        <f>PARAM!$C$26+MAX($G$13-CHOOSE(PARAM!$B$44,MAX(0,AT610*$F$1),0),0)*RATES!$L587/12+$H$13*(PARAM!$D$51/12)*RATES!$N587/100</f>
        <v>276.5</v>
      </c>
      <c r="AT611" s="16">
        <f t="shared" si="423"/>
        <v>-25275.28591941591</v>
      </c>
      <c r="AU611" s="15">
        <f t="shared" si="398"/>
        <v>22.170849845882874</v>
      </c>
      <c r="AV611" s="75">
        <f>AU611*(1-PARAM!$C$27)*$I$14+(MOD($B611,60)=PARAM!$B$56)*($B611&gt;(60-PARAM!$B$56))*HLOOKUP(($B611+PARAM!$B$56)/12,Loyalty,2)*$F$1*MAX(AX610,0)</f>
        <v>18.557001321003963</v>
      </c>
      <c r="AW611" s="75">
        <f>PARAM!$C$26+MAX($G$14-CHOOSE(PARAM!$B$44,MAX(0,AX610*$F$1),0),0)*RATES!$L587/12+$H$14*(PARAM!$D$51/12)*RATES!$N587/100</f>
        <v>276.5</v>
      </c>
      <c r="AX611" s="16">
        <f t="shared" si="424"/>
        <v>-25275.28591941591</v>
      </c>
      <c r="AY611" s="15">
        <f t="shared" si="399"/>
        <v>22.170849845882874</v>
      </c>
      <c r="AZ611" s="75">
        <f>AY611*(1-PARAM!$C$27)*$I$15+(MOD($B611,60)=PARAM!$B$56)*($B611&gt;(60-PARAM!$B$56))*HLOOKUP(($B611+PARAM!$B$56)/12,Loyalty,2)*$F$1*MAX(BB610,0)</f>
        <v>18.557001321003963</v>
      </c>
      <c r="BA611" s="75">
        <f>PARAM!$C$26+MAX($G$15-CHOOSE(PARAM!$B$44,MAX(0,BB610*$F$1),0),0)*RATES!$L587/12+$H$15*(PARAM!$D$51/12)*RATES!$N587/100</f>
        <v>276.5</v>
      </c>
      <c r="BB611" s="16">
        <f t="shared" si="425"/>
        <v>-25275.28591941591</v>
      </c>
      <c r="BC611" s="15">
        <f t="shared" si="400"/>
        <v>22.170849845882874</v>
      </c>
      <c r="BD611" s="75">
        <f>BC611*(1-PARAM!$C$27)*$I$16+(MOD($B611,60)=PARAM!$B$56)*($B611&gt;(60-PARAM!$B$56))*HLOOKUP(($B611+PARAM!$B$56)/12,Loyalty,2)*$F$1*MAX(BF610,0)</f>
        <v>18.557001321003963</v>
      </c>
      <c r="BE611" s="75">
        <f>PARAM!$C$26+MAX($G$16-CHOOSE(PARAM!$B$44,MAX(0,BF610*$F$1),0),0)*RATES!$L587/12+$H$16*(PARAM!$D$51/12)*RATES!$N587/100</f>
        <v>276.5</v>
      </c>
      <c r="BF611" s="16">
        <f t="shared" si="426"/>
        <v>-25275.28591941591</v>
      </c>
      <c r="BG611" s="15">
        <f t="shared" si="401"/>
        <v>22.170849845882874</v>
      </c>
      <c r="BH611" s="75">
        <f>BG611*(1-PARAM!$C$27)*$I$17+(MOD($B611,60)=PARAM!$B$56)*($B611&gt;(60-PARAM!$B$56))*HLOOKUP(($B611+PARAM!$B$56)/12,Loyalty,2)*$F$1*MAX(BJ610,0)</f>
        <v>18.557001321003963</v>
      </c>
      <c r="BI611" s="75">
        <f>PARAM!$C$26+MAX($G$17-CHOOSE(PARAM!$B$44,MAX(0,BJ610*$F$1),0),0)*RATES!$L587/12+$H$17*(PARAM!$D$51/12)*RATES!$N587/100</f>
        <v>276.5</v>
      </c>
      <c r="BJ611" s="16">
        <f t="shared" si="427"/>
        <v>-25275.28591941591</v>
      </c>
      <c r="BK611" s="15">
        <f t="shared" si="402"/>
        <v>22.170849845882874</v>
      </c>
      <c r="BL611" s="75">
        <f>BK611*(1-PARAM!$C$27)*$I$18+(MOD($B611,60)=PARAM!$B$56)*($B611&gt;(60-PARAM!$B$56))*HLOOKUP(($B611+PARAM!$B$56)/12,Loyalty,2)*$F$1*MAX(BN610,0)</f>
        <v>18.557001321003963</v>
      </c>
      <c r="BM611" s="75">
        <f>PARAM!$C$26+MAX($G$18-CHOOSE(PARAM!$B$44,MAX(0,BN610*$F$1),0),0)*RATES!$L587/12+$H$18*(PARAM!$D$51/12)*RATES!$N587/100</f>
        <v>276.5</v>
      </c>
      <c r="BN611" s="16">
        <f t="shared" si="428"/>
        <v>-25275.28591941591</v>
      </c>
      <c r="BO611" s="15">
        <f t="shared" si="403"/>
        <v>22.170849845882874</v>
      </c>
      <c r="BP611" s="75">
        <f>BO611*(1-PARAM!$C$27)*$I$19+(MOD($B611,60)=PARAM!$B$56)*($B611&gt;(60-PARAM!$B$56))*HLOOKUP(($B611+PARAM!$B$56)/12,Loyalty,2)*$F$1*MAX(BR610,0)</f>
        <v>18.557001321003963</v>
      </c>
      <c r="BQ611" s="75">
        <f>PARAM!$C$26+MAX($G$19-CHOOSE(PARAM!$B$44,MAX(0,BR610*$F$1),0),0)*RATES!$L587/12+$H$19*(PARAM!$D$51/12)*RATES!$N587/100</f>
        <v>276.5</v>
      </c>
      <c r="BR611" s="16">
        <f t="shared" si="429"/>
        <v>-25275.28591941591</v>
      </c>
      <c r="BS611" s="15">
        <f t="shared" si="404"/>
        <v>22.170849845882874</v>
      </c>
      <c r="BT611" s="75">
        <f>BS611*(1-PARAM!$C$27)*$I$20+(MOD($B611,60)=PARAM!$B$56)*($B611&gt;(60-PARAM!$B$56))*HLOOKUP(($B611+PARAM!$B$56)/12,Loyalty,2)*$F$1*MAX(BV610,0)</f>
        <v>18.557001321003963</v>
      </c>
      <c r="BU611" s="75">
        <f>PARAM!$C$26+MAX($G$20-CHOOSE(PARAM!$B$44,MAX(0,BV610*$F$1),0),0)*RATES!$L587/12+$H$20*(PARAM!$D$51/12)*RATES!$N587/100</f>
        <v>276.5</v>
      </c>
      <c r="BV611" s="16">
        <f t="shared" si="430"/>
        <v>-25275.28591941591</v>
      </c>
      <c r="BW611" s="15">
        <f t="shared" si="405"/>
        <v>22.170849845882874</v>
      </c>
      <c r="BX611" s="75">
        <f>BW611*(1-PARAM!$C$27)*$I$21+(MOD($B611,60)=PARAM!$B$56)*($B611&gt;(60-PARAM!$B$56))*HLOOKUP(($B611+PARAM!$B$56)/12,Loyalty,2)*$F$1*MAX(BZ610,0)</f>
        <v>18.557001321003963</v>
      </c>
      <c r="BY611" s="75">
        <f>PARAM!$C$26+MAX($G$21-CHOOSE(PARAM!$B$44,MAX(0,BZ610*$F$1),0),0)*RATES!$L587/12+$H$21*(PARAM!$D$51/12)*RATES!$N587/100</f>
        <v>276.5</v>
      </c>
      <c r="BZ611" s="16">
        <f t="shared" si="431"/>
        <v>-25275.28591941591</v>
      </c>
      <c r="CA611" s="15">
        <f t="shared" si="406"/>
        <v>22.170849845882874</v>
      </c>
      <c r="CB611" s="75">
        <f>CA611*(1-PARAM!$C$27)*$I$22+(MOD($B611,60)=PARAM!$B$56)*($B611&gt;(60-PARAM!$B$56))*HLOOKUP(($B611+PARAM!$B$56)/12,Loyalty,2)*$F$1*MAX(CD610,0)</f>
        <v>18.557001321003963</v>
      </c>
      <c r="CC611" s="75">
        <f>PARAM!$C$26+MAX($G$22-CHOOSE(PARAM!$B$44,MAX(0,CD610*$F$1),0),0)*RATES!$L587/12+$H$22*(PARAM!$D$51/12)*RATES!$N587/100</f>
        <v>276.5</v>
      </c>
      <c r="CD611" s="16">
        <f t="shared" si="432"/>
        <v>-25275.28591941591</v>
      </c>
      <c r="CE611" s="33">
        <f>IF(0=MOD(B611,12/PARAM!$D$51),1,0)</f>
        <v>1</v>
      </c>
      <c r="CF611" s="15">
        <f t="shared" si="407"/>
        <v>0</v>
      </c>
      <c r="CG611" s="75">
        <f>CF611*(1-PARAM!$C$27)*$R$3+(MOD($B611/12,5)=0)*($B611&gt;60)*HLOOKUP($B611/12,Loyalty,2)*$F$1*MAX(CI610,0)</f>
        <v>0</v>
      </c>
      <c r="CH611" s="75">
        <f>PARAM!$C$26+MAX($P$3-CHOOSE(PARAM!$B$44,MAX(0,CI610*$F$1),0),0)*RATES!$L587/12+$Q$3*(PARAM!$D$51/12)*RATES!$N587/100</f>
        <v>276.5</v>
      </c>
      <c r="CI611" s="16">
        <f>IF(CI610&gt;0,CI610*PARAM!$C$53,CI610)+CG611-CH611</f>
        <v>-35993.000000000029</v>
      </c>
      <c r="CJ611" s="15">
        <f t="shared" si="433"/>
        <v>0</v>
      </c>
      <c r="CK611" s="75">
        <f>CJ611*(1-PARAM!$C$27)*$R$4+(MOD($B611/12,5)=0)*($B611&gt;60)*HLOOKUP($B611/12,Loyalty,2)*$F$1*MAX(CM610,0)</f>
        <v>0</v>
      </c>
      <c r="CL611" s="75">
        <f>PARAM!$C$26+MAX($P$4-CHOOSE(PARAM!$B$44,MAX(0,CM610*$F$1),0),0)*RATES!$L587/12+$Q$4*(PARAM!$D$51/12)*RATES!$N587/100</f>
        <v>276.5</v>
      </c>
      <c r="CM611" s="16">
        <f>IF(CM610&gt;0,CM610*PARAM!$C$53,CM610)+CK611-CL611</f>
        <v>-35993.000000000029</v>
      </c>
      <c r="CO611" s="176"/>
    </row>
    <row r="612" spans="1:93" x14ac:dyDescent="0.2">
      <c r="A612" t="b">
        <f t="shared" si="408"/>
        <v>0</v>
      </c>
      <c r="B612" s="33">
        <v>585</v>
      </c>
      <c r="C612" s="15">
        <f t="shared" si="409"/>
        <v>20.081305947392778</v>
      </c>
      <c r="D612" s="75">
        <f>C612*(1-PARAM!$C$27)*$I$3+(MOD($B612,60)=PARAM!$B$56)*($B612&gt;(60-PARAM!$B$56))*HLOOKUP(($B612+PARAM!$B$56)/12,Loyalty,2)*$F$1*MAX(F611,0)</f>
        <v>16.808053077967756</v>
      </c>
      <c r="E612" s="75">
        <f>PARAM!$C$26+MAX($G$3-CHOOSE(PARAM!$B$44,MAX(0,F611*$F$1),0),0)*RATES!$L588/12+$H$3*(PARAM!$D$51/12)*RATES!$N588/100</f>
        <v>276.5</v>
      </c>
      <c r="F612" s="16">
        <f t="shared" si="410"/>
        <v>-26593.21414079269</v>
      </c>
      <c r="G612" s="15">
        <f t="shared" si="411"/>
        <v>22.035289406060361</v>
      </c>
      <c r="H612" s="75">
        <f>G612*(1-PARAM!$C$27)*$I$4+(MOD($B612,60)=PARAM!$B$56)*($B612&gt;(60-PARAM!$B$56))*HLOOKUP(($B612+PARAM!$B$56)/12,Loyalty,2)*$F$1*MAX(J611,0)</f>
        <v>18.443537232872522</v>
      </c>
      <c r="I612" s="75">
        <f>PARAM!$C$26+MAX($G$4-CHOOSE(PARAM!$B$44,MAX(0,J611*$F$1),0),0)*RATES!$L588/12+$H$4*(PARAM!$D$51/12)*RATES!$N588/100</f>
        <v>276.5</v>
      </c>
      <c r="J612" s="16">
        <f t="shared" si="412"/>
        <v>-25602.622946051615</v>
      </c>
      <c r="K612" s="15">
        <f t="shared" si="413"/>
        <v>22.170849845882874</v>
      </c>
      <c r="L612" s="75">
        <f>K612*(1-PARAM!$C$27)*$I$5+(MOD($B612,60)=PARAM!$B$56)*($B612&gt;(60-PARAM!$B$56))*HLOOKUP(($B612+PARAM!$B$56)/12,Loyalty,2)*$F$1*MAX(N611,0)</f>
        <v>18.557001321003963</v>
      </c>
      <c r="M612" s="75">
        <f>PARAM!$C$26+MAX($G$5-CHOOSE(PARAM!$B$44,MAX(0,N611*$F$1),0),0)*RATES!$L588/12+$H$5*(PARAM!$D$51/12)*RATES!$N588/100</f>
        <v>276.5</v>
      </c>
      <c r="N612" s="16">
        <f t="shared" si="414"/>
        <v>-25533.228918094905</v>
      </c>
      <c r="O612" s="15">
        <f t="shared" si="415"/>
        <v>22.170849845882874</v>
      </c>
      <c r="P612" s="75">
        <f>O612*(1-PARAM!$C$27)*$I$6+(MOD($B612,60)=PARAM!$B$56)*($B612&gt;(60-PARAM!$B$56))*HLOOKUP(($B612+PARAM!$B$56)/12,Loyalty,2)*$F$1*MAX(R611,0)</f>
        <v>18.557001321003963</v>
      </c>
      <c r="Q612" s="75">
        <f>PARAM!$C$26+MAX($G$6-CHOOSE(PARAM!$B$44,MAX(0,R611*$F$1),0),0)*RATES!$L588/12+$H$6*(PARAM!$D$51/12)*RATES!$N588/100</f>
        <v>276.5</v>
      </c>
      <c r="R612" s="16">
        <f t="shared" si="416"/>
        <v>-25533.228918094905</v>
      </c>
      <c r="S612" s="15">
        <f t="shared" si="391"/>
        <v>22.170849845882874</v>
      </c>
      <c r="T612" s="75">
        <f>S612*(1-PARAM!$C$27)*$I$7+(MOD($B612,60)=PARAM!$B$56)*($B612&gt;(60-PARAM!$B$56))*HLOOKUP(($B612+PARAM!$B$56)/12,Loyalty,2)*$F$1*MAX(V611,0)</f>
        <v>18.557001321003963</v>
      </c>
      <c r="U612" s="75">
        <f>PARAM!$C$26+MAX($G$7-CHOOSE(PARAM!$B$44,MAX(0,V611*$F$1),0),0)*RATES!$L588/12+$H$7*(PARAM!$D$51/12)*RATES!$N588/100</f>
        <v>276.5</v>
      </c>
      <c r="V612" s="16">
        <f t="shared" si="417"/>
        <v>-25533.228918094905</v>
      </c>
      <c r="W612" s="15">
        <f t="shared" si="392"/>
        <v>22.170849845882874</v>
      </c>
      <c r="X612" s="75">
        <f>W612*(1-PARAM!$C$27)*$I$8+(MOD($B612,60)=PARAM!$B$56)*($B612&gt;(60-PARAM!$B$56))*HLOOKUP(($B612+PARAM!$B$56)/12,Loyalty,2)*$F$1*MAX(Z611,0)</f>
        <v>18.557001321003963</v>
      </c>
      <c r="Y612" s="75">
        <f>PARAM!$C$26+MAX($G$8-CHOOSE(PARAM!$B$44,MAX(0,Z611*$F$1),0),0)*RATES!$L588/12+$H$8*(PARAM!$D$51/12)*RATES!$N588/100</f>
        <v>276.5</v>
      </c>
      <c r="Z612" s="16">
        <f t="shared" si="418"/>
        <v>-25533.228918094905</v>
      </c>
      <c r="AA612" s="15">
        <f t="shared" si="393"/>
        <v>22.170849845882874</v>
      </c>
      <c r="AB612" s="75">
        <f>AA612*(1-PARAM!$C$27)*$I$9+(MOD($B612,60)=PARAM!$B$56)*($B612&gt;(60-PARAM!$B$56))*HLOOKUP(($B612+PARAM!$B$56)/12,Loyalty,2)*$F$1*MAX(AD611,0)</f>
        <v>18.557001321003963</v>
      </c>
      <c r="AC612" s="75">
        <f>PARAM!$C$26+MAX($G$9-CHOOSE(PARAM!$B$44,MAX(0,AD611*$F$1),0),0)*RATES!$L588/12+$H$9*(PARAM!$D$51/12)*RATES!$N588/100</f>
        <v>276.5</v>
      </c>
      <c r="AD612" s="16">
        <f t="shared" si="419"/>
        <v>-25533.228918094905</v>
      </c>
      <c r="AE612" s="15">
        <f t="shared" si="394"/>
        <v>22.170849845882874</v>
      </c>
      <c r="AF612" s="75">
        <f>AE612*(1-PARAM!$C$27)*$I$10+(MOD($B612,60)=PARAM!$B$56)*($B612&gt;(60-PARAM!$B$56))*HLOOKUP(($B612+PARAM!$B$56)/12,Loyalty,2)*$F$1*MAX(AH611,0)</f>
        <v>18.557001321003963</v>
      </c>
      <c r="AG612" s="75">
        <f>PARAM!$C$26+MAX($G$10-CHOOSE(PARAM!$B$44,MAX(0,AH611*$F$1),0),0)*RATES!$L588/12+$H$10*(PARAM!$D$51/12)*RATES!$N588/100</f>
        <v>276.5</v>
      </c>
      <c r="AH612" s="16">
        <f t="shared" si="420"/>
        <v>-25533.228918094905</v>
      </c>
      <c r="AI612" s="15">
        <f t="shared" si="395"/>
        <v>22.170849845882874</v>
      </c>
      <c r="AJ612" s="75">
        <f>AI612*(1-PARAM!$C$27)*$I$11+(MOD($B612,60)=PARAM!$B$56)*($B612&gt;(60-PARAM!$B$56))*HLOOKUP(($B612+PARAM!$B$56)/12,Loyalty,2)*$F$1*MAX(AL611,0)</f>
        <v>18.557001321003963</v>
      </c>
      <c r="AK612" s="75">
        <f>PARAM!$C$26+MAX($G$11-CHOOSE(PARAM!$B$44,MAX(0,AL611*$F$1),0),0)*RATES!$L588/12+$H$11*(PARAM!$D$51/12)*RATES!$N588/100</f>
        <v>276.5</v>
      </c>
      <c r="AL612" s="16">
        <f t="shared" si="421"/>
        <v>-25533.228918094905</v>
      </c>
      <c r="AM612" s="15">
        <f t="shared" si="396"/>
        <v>22.170849845882874</v>
      </c>
      <c r="AN612" s="75">
        <f>AM612*(1-PARAM!$C$27)*$I$12+(MOD($B612,60)=PARAM!$B$56)*($B612&gt;(60-PARAM!$B$56))*HLOOKUP(($B612+PARAM!$B$56)/12,Loyalty,2)*$F$1*MAX(AP611,0)</f>
        <v>18.557001321003963</v>
      </c>
      <c r="AO612" s="75">
        <f>PARAM!$C$26+MAX($G$12-CHOOSE(PARAM!$B$44,MAX(0,AP611*$F$1),0),0)*RATES!$L588/12+$H$12*(PARAM!$D$51/12)*RATES!$N588/100</f>
        <v>276.5</v>
      </c>
      <c r="AP612" s="16">
        <f t="shared" si="422"/>
        <v>-25533.228918094905</v>
      </c>
      <c r="AQ612" s="15">
        <f t="shared" si="397"/>
        <v>22.170849845882874</v>
      </c>
      <c r="AR612" s="75">
        <f>AQ612*(1-PARAM!$C$27)*$I$13+(MOD($B612,60)=PARAM!$B$56)*($B612&gt;(60-PARAM!$B$56))*HLOOKUP(($B612+PARAM!$B$56)/12,Loyalty,2)*$F$1*MAX(AT611,0)</f>
        <v>18.557001321003963</v>
      </c>
      <c r="AS612" s="75">
        <f>PARAM!$C$26+MAX($G$13-CHOOSE(PARAM!$B$44,MAX(0,AT611*$F$1),0),0)*RATES!$L588/12+$H$13*(PARAM!$D$51/12)*RATES!$N588/100</f>
        <v>276.5</v>
      </c>
      <c r="AT612" s="16">
        <f t="shared" si="423"/>
        <v>-25533.228918094905</v>
      </c>
      <c r="AU612" s="15">
        <f t="shared" si="398"/>
        <v>22.170849845882874</v>
      </c>
      <c r="AV612" s="75">
        <f>AU612*(1-PARAM!$C$27)*$I$14+(MOD($B612,60)=PARAM!$B$56)*($B612&gt;(60-PARAM!$B$56))*HLOOKUP(($B612+PARAM!$B$56)/12,Loyalty,2)*$F$1*MAX(AX611,0)</f>
        <v>18.557001321003963</v>
      </c>
      <c r="AW612" s="75">
        <f>PARAM!$C$26+MAX($G$14-CHOOSE(PARAM!$B$44,MAX(0,AX611*$F$1),0),0)*RATES!$L588/12+$H$14*(PARAM!$D$51/12)*RATES!$N588/100</f>
        <v>276.5</v>
      </c>
      <c r="AX612" s="16">
        <f t="shared" si="424"/>
        <v>-25533.228918094905</v>
      </c>
      <c r="AY612" s="15">
        <f t="shared" si="399"/>
        <v>22.170849845882874</v>
      </c>
      <c r="AZ612" s="75">
        <f>AY612*(1-PARAM!$C$27)*$I$15+(MOD($B612,60)=PARAM!$B$56)*($B612&gt;(60-PARAM!$B$56))*HLOOKUP(($B612+PARAM!$B$56)/12,Loyalty,2)*$F$1*MAX(BB611,0)</f>
        <v>18.557001321003963</v>
      </c>
      <c r="BA612" s="75">
        <f>PARAM!$C$26+MAX($G$15-CHOOSE(PARAM!$B$44,MAX(0,BB611*$F$1),0),0)*RATES!$L588/12+$H$15*(PARAM!$D$51/12)*RATES!$N588/100</f>
        <v>276.5</v>
      </c>
      <c r="BB612" s="16">
        <f t="shared" si="425"/>
        <v>-25533.228918094905</v>
      </c>
      <c r="BC612" s="15">
        <f t="shared" si="400"/>
        <v>22.170849845882874</v>
      </c>
      <c r="BD612" s="75">
        <f>BC612*(1-PARAM!$C$27)*$I$16+(MOD($B612,60)=PARAM!$B$56)*($B612&gt;(60-PARAM!$B$56))*HLOOKUP(($B612+PARAM!$B$56)/12,Loyalty,2)*$F$1*MAX(BF611,0)</f>
        <v>18.557001321003963</v>
      </c>
      <c r="BE612" s="75">
        <f>PARAM!$C$26+MAX($G$16-CHOOSE(PARAM!$B$44,MAX(0,BF611*$F$1),0),0)*RATES!$L588/12+$H$16*(PARAM!$D$51/12)*RATES!$N588/100</f>
        <v>276.5</v>
      </c>
      <c r="BF612" s="16">
        <f t="shared" si="426"/>
        <v>-25533.228918094905</v>
      </c>
      <c r="BG612" s="15">
        <f t="shared" si="401"/>
        <v>22.170849845882874</v>
      </c>
      <c r="BH612" s="75">
        <f>BG612*(1-PARAM!$C$27)*$I$17+(MOD($B612,60)=PARAM!$B$56)*($B612&gt;(60-PARAM!$B$56))*HLOOKUP(($B612+PARAM!$B$56)/12,Loyalty,2)*$F$1*MAX(BJ611,0)</f>
        <v>18.557001321003963</v>
      </c>
      <c r="BI612" s="75">
        <f>PARAM!$C$26+MAX($G$17-CHOOSE(PARAM!$B$44,MAX(0,BJ611*$F$1),0),0)*RATES!$L588/12+$H$17*(PARAM!$D$51/12)*RATES!$N588/100</f>
        <v>276.5</v>
      </c>
      <c r="BJ612" s="16">
        <f t="shared" si="427"/>
        <v>-25533.228918094905</v>
      </c>
      <c r="BK612" s="15">
        <f t="shared" si="402"/>
        <v>22.170849845882874</v>
      </c>
      <c r="BL612" s="75">
        <f>BK612*(1-PARAM!$C$27)*$I$18+(MOD($B612,60)=PARAM!$B$56)*($B612&gt;(60-PARAM!$B$56))*HLOOKUP(($B612+PARAM!$B$56)/12,Loyalty,2)*$F$1*MAX(BN611,0)</f>
        <v>18.557001321003963</v>
      </c>
      <c r="BM612" s="75">
        <f>PARAM!$C$26+MAX($G$18-CHOOSE(PARAM!$B$44,MAX(0,BN611*$F$1),0),0)*RATES!$L588/12+$H$18*(PARAM!$D$51/12)*RATES!$N588/100</f>
        <v>276.5</v>
      </c>
      <c r="BN612" s="16">
        <f t="shared" si="428"/>
        <v>-25533.228918094905</v>
      </c>
      <c r="BO612" s="15">
        <f t="shared" si="403"/>
        <v>22.170849845882874</v>
      </c>
      <c r="BP612" s="75">
        <f>BO612*(1-PARAM!$C$27)*$I$19+(MOD($B612,60)=PARAM!$B$56)*($B612&gt;(60-PARAM!$B$56))*HLOOKUP(($B612+PARAM!$B$56)/12,Loyalty,2)*$F$1*MAX(BR611,0)</f>
        <v>18.557001321003963</v>
      </c>
      <c r="BQ612" s="75">
        <f>PARAM!$C$26+MAX($G$19-CHOOSE(PARAM!$B$44,MAX(0,BR611*$F$1),0),0)*RATES!$L588/12+$H$19*(PARAM!$D$51/12)*RATES!$N588/100</f>
        <v>276.5</v>
      </c>
      <c r="BR612" s="16">
        <f t="shared" si="429"/>
        <v>-25533.228918094905</v>
      </c>
      <c r="BS612" s="15">
        <f t="shared" si="404"/>
        <v>22.170849845882874</v>
      </c>
      <c r="BT612" s="75">
        <f>BS612*(1-PARAM!$C$27)*$I$20+(MOD($B612,60)=PARAM!$B$56)*($B612&gt;(60-PARAM!$B$56))*HLOOKUP(($B612+PARAM!$B$56)/12,Loyalty,2)*$F$1*MAX(BV611,0)</f>
        <v>18.557001321003963</v>
      </c>
      <c r="BU612" s="75">
        <f>PARAM!$C$26+MAX($G$20-CHOOSE(PARAM!$B$44,MAX(0,BV611*$F$1),0),0)*RATES!$L588/12+$H$20*(PARAM!$D$51/12)*RATES!$N588/100</f>
        <v>276.5</v>
      </c>
      <c r="BV612" s="16">
        <f t="shared" si="430"/>
        <v>-25533.228918094905</v>
      </c>
      <c r="BW612" s="15">
        <f t="shared" si="405"/>
        <v>22.170849845882874</v>
      </c>
      <c r="BX612" s="75">
        <f>BW612*(1-PARAM!$C$27)*$I$21+(MOD($B612,60)=PARAM!$B$56)*($B612&gt;(60-PARAM!$B$56))*HLOOKUP(($B612+PARAM!$B$56)/12,Loyalty,2)*$F$1*MAX(BZ611,0)</f>
        <v>18.557001321003963</v>
      </c>
      <c r="BY612" s="75">
        <f>PARAM!$C$26+MAX($G$21-CHOOSE(PARAM!$B$44,MAX(0,BZ611*$F$1),0),0)*RATES!$L588/12+$H$21*(PARAM!$D$51/12)*RATES!$N588/100</f>
        <v>276.5</v>
      </c>
      <c r="BZ612" s="16">
        <f t="shared" si="431"/>
        <v>-25533.228918094905</v>
      </c>
      <c r="CA612" s="15">
        <f t="shared" si="406"/>
        <v>22.170849845882874</v>
      </c>
      <c r="CB612" s="75">
        <f>CA612*(1-PARAM!$C$27)*$I$22+(MOD($B612,60)=PARAM!$B$56)*($B612&gt;(60-PARAM!$B$56))*HLOOKUP(($B612+PARAM!$B$56)/12,Loyalty,2)*$F$1*MAX(CD611,0)</f>
        <v>18.557001321003963</v>
      </c>
      <c r="CC612" s="75">
        <f>PARAM!$C$26+MAX($G$22-CHOOSE(PARAM!$B$44,MAX(0,CD611*$F$1),0),0)*RATES!$L588/12+$H$22*(PARAM!$D$51/12)*RATES!$N588/100</f>
        <v>276.5</v>
      </c>
      <c r="CD612" s="16">
        <f t="shared" si="432"/>
        <v>-25533.228918094905</v>
      </c>
      <c r="CE612" s="33">
        <f>IF(0=MOD(B612,12/PARAM!$D$51),1,0)</f>
        <v>1</v>
      </c>
      <c r="CF612" s="15">
        <f t="shared" si="407"/>
        <v>0</v>
      </c>
      <c r="CG612" s="75">
        <f>CF612*(1-PARAM!$C$27)*$R$3+(MOD($B612/12,5)=0)*($B612&gt;60)*HLOOKUP($B612/12,Loyalty,2)*$F$1*MAX(CI611,0)</f>
        <v>0</v>
      </c>
      <c r="CH612" s="75">
        <f>PARAM!$C$26+MAX($P$3-CHOOSE(PARAM!$B$44,MAX(0,CI611*$F$1),0),0)*RATES!$L588/12+$Q$3*(PARAM!$D$51/12)*RATES!$N588/100</f>
        <v>276.5</v>
      </c>
      <c r="CI612" s="16">
        <f>IF(CI611&gt;0,CI611*PARAM!$C$53,CI611)+CG612-CH612</f>
        <v>-36269.500000000029</v>
      </c>
      <c r="CJ612" s="15">
        <f t="shared" si="433"/>
        <v>0</v>
      </c>
      <c r="CK612" s="75">
        <f>CJ612*(1-PARAM!$C$27)*$R$4+(MOD($B612/12,5)=0)*($B612&gt;60)*HLOOKUP($B612/12,Loyalty,2)*$F$1*MAX(CM611,0)</f>
        <v>0</v>
      </c>
      <c r="CL612" s="75">
        <f>PARAM!$C$26+MAX($P$4-CHOOSE(PARAM!$B$44,MAX(0,CM611*$F$1),0),0)*RATES!$L588/12+$Q$4*(PARAM!$D$51/12)*RATES!$N588/100</f>
        <v>276.5</v>
      </c>
      <c r="CM612" s="16">
        <f>IF(CM611&gt;0,CM611*PARAM!$C$53,CM611)+CK612-CL612</f>
        <v>-36269.500000000029</v>
      </c>
      <c r="CO612" s="176"/>
    </row>
    <row r="613" spans="1:93" x14ac:dyDescent="0.2">
      <c r="A613" t="b">
        <f t="shared" si="408"/>
        <v>0</v>
      </c>
      <c r="B613" s="33">
        <v>586</v>
      </c>
      <c r="C613" s="15">
        <f t="shared" si="409"/>
        <v>20.081305947392778</v>
      </c>
      <c r="D613" s="75">
        <f>C613*(1-PARAM!$C$27)*$I$3+(MOD($B613,60)=PARAM!$B$56)*($B613&gt;(60-PARAM!$B$56))*HLOOKUP(($B613+PARAM!$B$56)/12,Loyalty,2)*$F$1*MAX(F612,0)</f>
        <v>16.808053077967756</v>
      </c>
      <c r="E613" s="75">
        <f>PARAM!$C$26+MAX($G$3-CHOOSE(PARAM!$B$44,MAX(0,F612*$F$1),0),0)*RATES!$L589/12+$H$3*(PARAM!$D$51/12)*RATES!$N589/100</f>
        <v>276.5</v>
      </c>
      <c r="F613" s="16">
        <f t="shared" si="410"/>
        <v>-26852.906087714724</v>
      </c>
      <c r="G613" s="15">
        <f t="shared" si="411"/>
        <v>22.035289406060361</v>
      </c>
      <c r="H613" s="75">
        <f>G613*(1-PARAM!$C$27)*$I$4+(MOD($B613,60)=PARAM!$B$56)*($B613&gt;(60-PARAM!$B$56))*HLOOKUP(($B613+PARAM!$B$56)/12,Loyalty,2)*$F$1*MAX(J612,0)</f>
        <v>18.443537232872522</v>
      </c>
      <c r="I613" s="75">
        <f>PARAM!$C$26+MAX($G$4-CHOOSE(PARAM!$B$44,MAX(0,J612*$F$1),0),0)*RATES!$L589/12+$H$4*(PARAM!$D$51/12)*RATES!$N589/100</f>
        <v>276.5</v>
      </c>
      <c r="J613" s="16">
        <f t="shared" si="412"/>
        <v>-25860.679408818742</v>
      </c>
      <c r="K613" s="15">
        <f t="shared" si="413"/>
        <v>22.170849845882874</v>
      </c>
      <c r="L613" s="75">
        <f>K613*(1-PARAM!$C$27)*$I$5+(MOD($B613,60)=PARAM!$B$56)*($B613&gt;(60-PARAM!$B$56))*HLOOKUP(($B613+PARAM!$B$56)/12,Loyalty,2)*$F$1*MAX(N612,0)</f>
        <v>18.557001321003963</v>
      </c>
      <c r="M613" s="75">
        <f>PARAM!$C$26+MAX($G$5-CHOOSE(PARAM!$B$44,MAX(0,N612*$F$1),0),0)*RATES!$L589/12+$H$5*(PARAM!$D$51/12)*RATES!$N589/100</f>
        <v>276.5</v>
      </c>
      <c r="N613" s="16">
        <f t="shared" si="414"/>
        <v>-25791.171916773899</v>
      </c>
      <c r="O613" s="15">
        <f t="shared" si="415"/>
        <v>22.170849845882874</v>
      </c>
      <c r="P613" s="75">
        <f>O613*(1-PARAM!$C$27)*$I$6+(MOD($B613,60)=PARAM!$B$56)*($B613&gt;(60-PARAM!$B$56))*HLOOKUP(($B613+PARAM!$B$56)/12,Loyalty,2)*$F$1*MAX(R612,0)</f>
        <v>18.557001321003963</v>
      </c>
      <c r="Q613" s="75">
        <f>PARAM!$C$26+MAX($G$6-CHOOSE(PARAM!$B$44,MAX(0,R612*$F$1),0),0)*RATES!$L589/12+$H$6*(PARAM!$D$51/12)*RATES!$N589/100</f>
        <v>276.5</v>
      </c>
      <c r="R613" s="16">
        <f t="shared" si="416"/>
        <v>-25791.171916773899</v>
      </c>
      <c r="S613" s="15">
        <f t="shared" si="391"/>
        <v>22.170849845882874</v>
      </c>
      <c r="T613" s="75">
        <f>S613*(1-PARAM!$C$27)*$I$7+(MOD($B613,60)=PARAM!$B$56)*($B613&gt;(60-PARAM!$B$56))*HLOOKUP(($B613+PARAM!$B$56)/12,Loyalty,2)*$F$1*MAX(V612,0)</f>
        <v>18.557001321003963</v>
      </c>
      <c r="U613" s="75">
        <f>PARAM!$C$26+MAX($G$7-CHOOSE(PARAM!$B$44,MAX(0,V612*$F$1),0),0)*RATES!$L589/12+$H$7*(PARAM!$D$51/12)*RATES!$N589/100</f>
        <v>276.5</v>
      </c>
      <c r="V613" s="16">
        <f t="shared" si="417"/>
        <v>-25791.171916773899</v>
      </c>
      <c r="W613" s="15">
        <f t="shared" si="392"/>
        <v>22.170849845882874</v>
      </c>
      <c r="X613" s="75">
        <f>W613*(1-PARAM!$C$27)*$I$8+(MOD($B613,60)=PARAM!$B$56)*($B613&gt;(60-PARAM!$B$56))*HLOOKUP(($B613+PARAM!$B$56)/12,Loyalty,2)*$F$1*MAX(Z612,0)</f>
        <v>18.557001321003963</v>
      </c>
      <c r="Y613" s="75">
        <f>PARAM!$C$26+MAX($G$8-CHOOSE(PARAM!$B$44,MAX(0,Z612*$F$1),0),0)*RATES!$L589/12+$H$8*(PARAM!$D$51/12)*RATES!$N589/100</f>
        <v>276.5</v>
      </c>
      <c r="Z613" s="16">
        <f t="shared" si="418"/>
        <v>-25791.171916773899</v>
      </c>
      <c r="AA613" s="15">
        <f t="shared" si="393"/>
        <v>22.170849845882874</v>
      </c>
      <c r="AB613" s="75">
        <f>AA613*(1-PARAM!$C$27)*$I$9+(MOD($B613,60)=PARAM!$B$56)*($B613&gt;(60-PARAM!$B$56))*HLOOKUP(($B613+PARAM!$B$56)/12,Loyalty,2)*$F$1*MAX(AD612,0)</f>
        <v>18.557001321003963</v>
      </c>
      <c r="AC613" s="75">
        <f>PARAM!$C$26+MAX($G$9-CHOOSE(PARAM!$B$44,MAX(0,AD612*$F$1),0),0)*RATES!$L589/12+$H$9*(PARAM!$D$51/12)*RATES!$N589/100</f>
        <v>276.5</v>
      </c>
      <c r="AD613" s="16">
        <f t="shared" si="419"/>
        <v>-25791.171916773899</v>
      </c>
      <c r="AE613" s="15">
        <f t="shared" si="394"/>
        <v>22.170849845882874</v>
      </c>
      <c r="AF613" s="75">
        <f>AE613*(1-PARAM!$C$27)*$I$10+(MOD($B613,60)=PARAM!$B$56)*($B613&gt;(60-PARAM!$B$56))*HLOOKUP(($B613+PARAM!$B$56)/12,Loyalty,2)*$F$1*MAX(AH612,0)</f>
        <v>18.557001321003963</v>
      </c>
      <c r="AG613" s="75">
        <f>PARAM!$C$26+MAX($G$10-CHOOSE(PARAM!$B$44,MAX(0,AH612*$F$1),0),0)*RATES!$L589/12+$H$10*(PARAM!$D$51/12)*RATES!$N589/100</f>
        <v>276.5</v>
      </c>
      <c r="AH613" s="16">
        <f t="shared" si="420"/>
        <v>-25791.171916773899</v>
      </c>
      <c r="AI613" s="15">
        <f t="shared" si="395"/>
        <v>22.170849845882874</v>
      </c>
      <c r="AJ613" s="75">
        <f>AI613*(1-PARAM!$C$27)*$I$11+(MOD($B613,60)=PARAM!$B$56)*($B613&gt;(60-PARAM!$B$56))*HLOOKUP(($B613+PARAM!$B$56)/12,Loyalty,2)*$F$1*MAX(AL612,0)</f>
        <v>18.557001321003963</v>
      </c>
      <c r="AK613" s="75">
        <f>PARAM!$C$26+MAX($G$11-CHOOSE(PARAM!$B$44,MAX(0,AL612*$F$1),0),0)*RATES!$L589/12+$H$11*(PARAM!$D$51/12)*RATES!$N589/100</f>
        <v>276.5</v>
      </c>
      <c r="AL613" s="16">
        <f t="shared" si="421"/>
        <v>-25791.171916773899</v>
      </c>
      <c r="AM613" s="15">
        <f t="shared" si="396"/>
        <v>22.170849845882874</v>
      </c>
      <c r="AN613" s="75">
        <f>AM613*(1-PARAM!$C$27)*$I$12+(MOD($B613,60)=PARAM!$B$56)*($B613&gt;(60-PARAM!$B$56))*HLOOKUP(($B613+PARAM!$B$56)/12,Loyalty,2)*$F$1*MAX(AP612,0)</f>
        <v>18.557001321003963</v>
      </c>
      <c r="AO613" s="75">
        <f>PARAM!$C$26+MAX($G$12-CHOOSE(PARAM!$B$44,MAX(0,AP612*$F$1),0),0)*RATES!$L589/12+$H$12*(PARAM!$D$51/12)*RATES!$N589/100</f>
        <v>276.5</v>
      </c>
      <c r="AP613" s="16">
        <f t="shared" si="422"/>
        <v>-25791.171916773899</v>
      </c>
      <c r="AQ613" s="15">
        <f t="shared" si="397"/>
        <v>22.170849845882874</v>
      </c>
      <c r="AR613" s="75">
        <f>AQ613*(1-PARAM!$C$27)*$I$13+(MOD($B613,60)=PARAM!$B$56)*($B613&gt;(60-PARAM!$B$56))*HLOOKUP(($B613+PARAM!$B$56)/12,Loyalty,2)*$F$1*MAX(AT612,0)</f>
        <v>18.557001321003963</v>
      </c>
      <c r="AS613" s="75">
        <f>PARAM!$C$26+MAX($G$13-CHOOSE(PARAM!$B$44,MAX(0,AT612*$F$1),0),0)*RATES!$L589/12+$H$13*(PARAM!$D$51/12)*RATES!$N589/100</f>
        <v>276.5</v>
      </c>
      <c r="AT613" s="16">
        <f t="shared" si="423"/>
        <v>-25791.171916773899</v>
      </c>
      <c r="AU613" s="15">
        <f t="shared" si="398"/>
        <v>22.170849845882874</v>
      </c>
      <c r="AV613" s="75">
        <f>AU613*(1-PARAM!$C$27)*$I$14+(MOD($B613,60)=PARAM!$B$56)*($B613&gt;(60-PARAM!$B$56))*HLOOKUP(($B613+PARAM!$B$56)/12,Loyalty,2)*$F$1*MAX(AX612,0)</f>
        <v>18.557001321003963</v>
      </c>
      <c r="AW613" s="75">
        <f>PARAM!$C$26+MAX($G$14-CHOOSE(PARAM!$B$44,MAX(0,AX612*$F$1),0),0)*RATES!$L589/12+$H$14*(PARAM!$D$51/12)*RATES!$N589/100</f>
        <v>276.5</v>
      </c>
      <c r="AX613" s="16">
        <f t="shared" si="424"/>
        <v>-25791.171916773899</v>
      </c>
      <c r="AY613" s="15">
        <f t="shared" si="399"/>
        <v>22.170849845882874</v>
      </c>
      <c r="AZ613" s="75">
        <f>AY613*(1-PARAM!$C$27)*$I$15+(MOD($B613,60)=PARAM!$B$56)*($B613&gt;(60-PARAM!$B$56))*HLOOKUP(($B613+PARAM!$B$56)/12,Loyalty,2)*$F$1*MAX(BB612,0)</f>
        <v>18.557001321003963</v>
      </c>
      <c r="BA613" s="75">
        <f>PARAM!$C$26+MAX($G$15-CHOOSE(PARAM!$B$44,MAX(0,BB612*$F$1),0),0)*RATES!$L589/12+$H$15*(PARAM!$D$51/12)*RATES!$N589/100</f>
        <v>276.5</v>
      </c>
      <c r="BB613" s="16">
        <f t="shared" si="425"/>
        <v>-25791.171916773899</v>
      </c>
      <c r="BC613" s="15">
        <f t="shared" si="400"/>
        <v>22.170849845882874</v>
      </c>
      <c r="BD613" s="75">
        <f>BC613*(1-PARAM!$C$27)*$I$16+(MOD($B613,60)=PARAM!$B$56)*($B613&gt;(60-PARAM!$B$56))*HLOOKUP(($B613+PARAM!$B$56)/12,Loyalty,2)*$F$1*MAX(BF612,0)</f>
        <v>18.557001321003963</v>
      </c>
      <c r="BE613" s="75">
        <f>PARAM!$C$26+MAX($G$16-CHOOSE(PARAM!$B$44,MAX(0,BF612*$F$1),0),0)*RATES!$L589/12+$H$16*(PARAM!$D$51/12)*RATES!$N589/100</f>
        <v>276.5</v>
      </c>
      <c r="BF613" s="16">
        <f t="shared" si="426"/>
        <v>-25791.171916773899</v>
      </c>
      <c r="BG613" s="15">
        <f t="shared" si="401"/>
        <v>22.170849845882874</v>
      </c>
      <c r="BH613" s="75">
        <f>BG613*(1-PARAM!$C$27)*$I$17+(MOD($B613,60)=PARAM!$B$56)*($B613&gt;(60-PARAM!$B$56))*HLOOKUP(($B613+PARAM!$B$56)/12,Loyalty,2)*$F$1*MAX(BJ612,0)</f>
        <v>18.557001321003963</v>
      </c>
      <c r="BI613" s="75">
        <f>PARAM!$C$26+MAX($G$17-CHOOSE(PARAM!$B$44,MAX(0,BJ612*$F$1),0),0)*RATES!$L589/12+$H$17*(PARAM!$D$51/12)*RATES!$N589/100</f>
        <v>276.5</v>
      </c>
      <c r="BJ613" s="16">
        <f t="shared" si="427"/>
        <v>-25791.171916773899</v>
      </c>
      <c r="BK613" s="15">
        <f t="shared" si="402"/>
        <v>22.170849845882874</v>
      </c>
      <c r="BL613" s="75">
        <f>BK613*(1-PARAM!$C$27)*$I$18+(MOD($B613,60)=PARAM!$B$56)*($B613&gt;(60-PARAM!$B$56))*HLOOKUP(($B613+PARAM!$B$56)/12,Loyalty,2)*$F$1*MAX(BN612,0)</f>
        <v>18.557001321003963</v>
      </c>
      <c r="BM613" s="75">
        <f>PARAM!$C$26+MAX($G$18-CHOOSE(PARAM!$B$44,MAX(0,BN612*$F$1),0),0)*RATES!$L589/12+$H$18*(PARAM!$D$51/12)*RATES!$N589/100</f>
        <v>276.5</v>
      </c>
      <c r="BN613" s="16">
        <f t="shared" si="428"/>
        <v>-25791.171916773899</v>
      </c>
      <c r="BO613" s="15">
        <f t="shared" si="403"/>
        <v>22.170849845882874</v>
      </c>
      <c r="BP613" s="75">
        <f>BO613*(1-PARAM!$C$27)*$I$19+(MOD($B613,60)=PARAM!$B$56)*($B613&gt;(60-PARAM!$B$56))*HLOOKUP(($B613+PARAM!$B$56)/12,Loyalty,2)*$F$1*MAX(BR612,0)</f>
        <v>18.557001321003963</v>
      </c>
      <c r="BQ613" s="75">
        <f>PARAM!$C$26+MAX($G$19-CHOOSE(PARAM!$B$44,MAX(0,BR612*$F$1),0),0)*RATES!$L589/12+$H$19*(PARAM!$D$51/12)*RATES!$N589/100</f>
        <v>276.5</v>
      </c>
      <c r="BR613" s="16">
        <f t="shared" si="429"/>
        <v>-25791.171916773899</v>
      </c>
      <c r="BS613" s="15">
        <f t="shared" si="404"/>
        <v>22.170849845882874</v>
      </c>
      <c r="BT613" s="75">
        <f>BS613*(1-PARAM!$C$27)*$I$20+(MOD($B613,60)=PARAM!$B$56)*($B613&gt;(60-PARAM!$B$56))*HLOOKUP(($B613+PARAM!$B$56)/12,Loyalty,2)*$F$1*MAX(BV612,0)</f>
        <v>18.557001321003963</v>
      </c>
      <c r="BU613" s="75">
        <f>PARAM!$C$26+MAX($G$20-CHOOSE(PARAM!$B$44,MAX(0,BV612*$F$1),0),0)*RATES!$L589/12+$H$20*(PARAM!$D$51/12)*RATES!$N589/100</f>
        <v>276.5</v>
      </c>
      <c r="BV613" s="16">
        <f t="shared" si="430"/>
        <v>-25791.171916773899</v>
      </c>
      <c r="BW613" s="15">
        <f t="shared" si="405"/>
        <v>22.170849845882874</v>
      </c>
      <c r="BX613" s="75">
        <f>BW613*(1-PARAM!$C$27)*$I$21+(MOD($B613,60)=PARAM!$B$56)*($B613&gt;(60-PARAM!$B$56))*HLOOKUP(($B613+PARAM!$B$56)/12,Loyalty,2)*$F$1*MAX(BZ612,0)</f>
        <v>18.557001321003963</v>
      </c>
      <c r="BY613" s="75">
        <f>PARAM!$C$26+MAX($G$21-CHOOSE(PARAM!$B$44,MAX(0,BZ612*$F$1),0),0)*RATES!$L589/12+$H$21*(PARAM!$D$51/12)*RATES!$N589/100</f>
        <v>276.5</v>
      </c>
      <c r="BZ613" s="16">
        <f t="shared" si="431"/>
        <v>-25791.171916773899</v>
      </c>
      <c r="CA613" s="15">
        <f t="shared" si="406"/>
        <v>22.170849845882874</v>
      </c>
      <c r="CB613" s="75">
        <f>CA613*(1-PARAM!$C$27)*$I$22+(MOD($B613,60)=PARAM!$B$56)*($B613&gt;(60-PARAM!$B$56))*HLOOKUP(($B613+PARAM!$B$56)/12,Loyalty,2)*$F$1*MAX(CD612,0)</f>
        <v>18.557001321003963</v>
      </c>
      <c r="CC613" s="75">
        <f>PARAM!$C$26+MAX($G$22-CHOOSE(PARAM!$B$44,MAX(0,CD612*$F$1),0),0)*RATES!$L589/12+$H$22*(PARAM!$D$51/12)*RATES!$N589/100</f>
        <v>276.5</v>
      </c>
      <c r="CD613" s="16">
        <f t="shared" si="432"/>
        <v>-25791.171916773899</v>
      </c>
      <c r="CE613" s="33">
        <f>IF(0=MOD(B613,12/PARAM!$D$51),1,0)</f>
        <v>1</v>
      </c>
      <c r="CF613" s="15">
        <f t="shared" si="407"/>
        <v>0</v>
      </c>
      <c r="CG613" s="75">
        <f>CF613*(1-PARAM!$C$27)*$R$3+(MOD($B613/12,5)=0)*($B613&gt;60)*HLOOKUP($B613/12,Loyalty,2)*$F$1*MAX(CI612,0)</f>
        <v>0</v>
      </c>
      <c r="CH613" s="75">
        <f>PARAM!$C$26+MAX($P$3-CHOOSE(PARAM!$B$44,MAX(0,CI612*$F$1),0),0)*RATES!$L589/12+$Q$3*(PARAM!$D$51/12)*RATES!$N589/100</f>
        <v>276.5</v>
      </c>
      <c r="CI613" s="16">
        <f>IF(CI612&gt;0,CI612*PARAM!$C$53,CI612)+CG613-CH613</f>
        <v>-36546.000000000029</v>
      </c>
      <c r="CJ613" s="15">
        <f t="shared" si="433"/>
        <v>0</v>
      </c>
      <c r="CK613" s="75">
        <f>CJ613*(1-PARAM!$C$27)*$R$4+(MOD($B613/12,5)=0)*($B613&gt;60)*HLOOKUP($B613/12,Loyalty,2)*$F$1*MAX(CM612,0)</f>
        <v>0</v>
      </c>
      <c r="CL613" s="75">
        <f>PARAM!$C$26+MAX($P$4-CHOOSE(PARAM!$B$44,MAX(0,CM612*$F$1),0),0)*RATES!$L589/12+$Q$4*(PARAM!$D$51/12)*RATES!$N589/100</f>
        <v>276.5</v>
      </c>
      <c r="CM613" s="16">
        <f>IF(CM612&gt;0,CM612*PARAM!$C$53,CM612)+CK613-CL613</f>
        <v>-36546.000000000029</v>
      </c>
      <c r="CO613" s="176"/>
    </row>
    <row r="614" spans="1:93" x14ac:dyDescent="0.2">
      <c r="A614" t="b">
        <f t="shared" si="408"/>
        <v>0</v>
      </c>
      <c r="B614" s="33">
        <v>587</v>
      </c>
      <c r="C614" s="15">
        <f t="shared" si="409"/>
        <v>20.081305947392778</v>
      </c>
      <c r="D614" s="75">
        <f>C614*(1-PARAM!$C$27)*$I$3+(MOD($B614,60)=PARAM!$B$56)*($B614&gt;(60-PARAM!$B$56))*HLOOKUP(($B614+PARAM!$B$56)/12,Loyalty,2)*$F$1*MAX(F613,0)</f>
        <v>16.808053077967756</v>
      </c>
      <c r="E614" s="75">
        <f>PARAM!$C$26+MAX($G$3-CHOOSE(PARAM!$B$44,MAX(0,F613*$F$1),0),0)*RATES!$L590/12+$H$3*(PARAM!$D$51/12)*RATES!$N590/100</f>
        <v>276.5</v>
      </c>
      <c r="F614" s="16">
        <f t="shared" si="410"/>
        <v>-27112.598034636758</v>
      </c>
      <c r="G614" s="15">
        <f t="shared" si="411"/>
        <v>22.035289406060361</v>
      </c>
      <c r="H614" s="75">
        <f>G614*(1-PARAM!$C$27)*$I$4+(MOD($B614,60)=PARAM!$B$56)*($B614&gt;(60-PARAM!$B$56))*HLOOKUP(($B614+PARAM!$B$56)/12,Loyalty,2)*$F$1*MAX(J613,0)</f>
        <v>18.443537232872522</v>
      </c>
      <c r="I614" s="75">
        <f>PARAM!$C$26+MAX($G$4-CHOOSE(PARAM!$B$44,MAX(0,J613*$F$1),0),0)*RATES!$L590/12+$H$4*(PARAM!$D$51/12)*RATES!$N590/100</f>
        <v>276.5</v>
      </c>
      <c r="J614" s="16">
        <f t="shared" si="412"/>
        <v>-26118.735871585868</v>
      </c>
      <c r="K614" s="15">
        <f t="shared" si="413"/>
        <v>22.170849845882874</v>
      </c>
      <c r="L614" s="75">
        <f>K614*(1-PARAM!$C$27)*$I$5+(MOD($B614,60)=PARAM!$B$56)*($B614&gt;(60-PARAM!$B$56))*HLOOKUP(($B614+PARAM!$B$56)/12,Loyalty,2)*$F$1*MAX(N613,0)</f>
        <v>18.557001321003963</v>
      </c>
      <c r="M614" s="75">
        <f>PARAM!$C$26+MAX($G$5-CHOOSE(PARAM!$B$44,MAX(0,N613*$F$1),0),0)*RATES!$L590/12+$H$5*(PARAM!$D$51/12)*RATES!$N590/100</f>
        <v>276.5</v>
      </c>
      <c r="N614" s="16">
        <f t="shared" si="414"/>
        <v>-26049.114915452894</v>
      </c>
      <c r="O614" s="15">
        <f t="shared" si="415"/>
        <v>22.170849845882874</v>
      </c>
      <c r="P614" s="75">
        <f>O614*(1-PARAM!$C$27)*$I$6+(MOD($B614,60)=PARAM!$B$56)*($B614&gt;(60-PARAM!$B$56))*HLOOKUP(($B614+PARAM!$B$56)/12,Loyalty,2)*$F$1*MAX(R613,0)</f>
        <v>18.557001321003963</v>
      </c>
      <c r="Q614" s="75">
        <f>PARAM!$C$26+MAX($G$6-CHOOSE(PARAM!$B$44,MAX(0,R613*$F$1),0),0)*RATES!$L590/12+$H$6*(PARAM!$D$51/12)*RATES!$N590/100</f>
        <v>276.5</v>
      </c>
      <c r="R614" s="16">
        <f t="shared" si="416"/>
        <v>-26049.114915452894</v>
      </c>
      <c r="S614" s="15">
        <f t="shared" si="391"/>
        <v>22.170849845882874</v>
      </c>
      <c r="T614" s="75">
        <f>S614*(1-PARAM!$C$27)*$I$7+(MOD($B614,60)=PARAM!$B$56)*($B614&gt;(60-PARAM!$B$56))*HLOOKUP(($B614+PARAM!$B$56)/12,Loyalty,2)*$F$1*MAX(V613,0)</f>
        <v>18.557001321003963</v>
      </c>
      <c r="U614" s="75">
        <f>PARAM!$C$26+MAX($G$7-CHOOSE(PARAM!$B$44,MAX(0,V613*$F$1),0),0)*RATES!$L590/12+$H$7*(PARAM!$D$51/12)*RATES!$N590/100</f>
        <v>276.5</v>
      </c>
      <c r="V614" s="16">
        <f t="shared" si="417"/>
        <v>-26049.114915452894</v>
      </c>
      <c r="W614" s="15">
        <f t="shared" si="392"/>
        <v>22.170849845882874</v>
      </c>
      <c r="X614" s="75">
        <f>W614*(1-PARAM!$C$27)*$I$8+(MOD($B614,60)=PARAM!$B$56)*($B614&gt;(60-PARAM!$B$56))*HLOOKUP(($B614+PARAM!$B$56)/12,Loyalty,2)*$F$1*MAX(Z613,0)</f>
        <v>18.557001321003963</v>
      </c>
      <c r="Y614" s="75">
        <f>PARAM!$C$26+MAX($G$8-CHOOSE(PARAM!$B$44,MAX(0,Z613*$F$1),0),0)*RATES!$L590/12+$H$8*(PARAM!$D$51/12)*RATES!$N590/100</f>
        <v>276.5</v>
      </c>
      <c r="Z614" s="16">
        <f t="shared" si="418"/>
        <v>-26049.114915452894</v>
      </c>
      <c r="AA614" s="15">
        <f t="shared" si="393"/>
        <v>22.170849845882874</v>
      </c>
      <c r="AB614" s="75">
        <f>AA614*(1-PARAM!$C$27)*$I$9+(MOD($B614,60)=PARAM!$B$56)*($B614&gt;(60-PARAM!$B$56))*HLOOKUP(($B614+PARAM!$B$56)/12,Loyalty,2)*$F$1*MAX(AD613,0)</f>
        <v>18.557001321003963</v>
      </c>
      <c r="AC614" s="75">
        <f>PARAM!$C$26+MAX($G$9-CHOOSE(PARAM!$B$44,MAX(0,AD613*$F$1),0),0)*RATES!$L590/12+$H$9*(PARAM!$D$51/12)*RATES!$N590/100</f>
        <v>276.5</v>
      </c>
      <c r="AD614" s="16">
        <f t="shared" si="419"/>
        <v>-26049.114915452894</v>
      </c>
      <c r="AE614" s="15">
        <f t="shared" si="394"/>
        <v>22.170849845882874</v>
      </c>
      <c r="AF614" s="75">
        <f>AE614*(1-PARAM!$C$27)*$I$10+(MOD($B614,60)=PARAM!$B$56)*($B614&gt;(60-PARAM!$B$56))*HLOOKUP(($B614+PARAM!$B$56)/12,Loyalty,2)*$F$1*MAX(AH613,0)</f>
        <v>18.557001321003963</v>
      </c>
      <c r="AG614" s="75">
        <f>PARAM!$C$26+MAX($G$10-CHOOSE(PARAM!$B$44,MAX(0,AH613*$F$1),0),0)*RATES!$L590/12+$H$10*(PARAM!$D$51/12)*RATES!$N590/100</f>
        <v>276.5</v>
      </c>
      <c r="AH614" s="16">
        <f t="shared" si="420"/>
        <v>-26049.114915452894</v>
      </c>
      <c r="AI614" s="15">
        <f t="shared" si="395"/>
        <v>22.170849845882874</v>
      </c>
      <c r="AJ614" s="75">
        <f>AI614*(1-PARAM!$C$27)*$I$11+(MOD($B614,60)=PARAM!$B$56)*($B614&gt;(60-PARAM!$B$56))*HLOOKUP(($B614+PARAM!$B$56)/12,Loyalty,2)*$F$1*MAX(AL613,0)</f>
        <v>18.557001321003963</v>
      </c>
      <c r="AK614" s="75">
        <f>PARAM!$C$26+MAX($G$11-CHOOSE(PARAM!$B$44,MAX(0,AL613*$F$1),0),0)*RATES!$L590/12+$H$11*(PARAM!$D$51/12)*RATES!$N590/100</f>
        <v>276.5</v>
      </c>
      <c r="AL614" s="16">
        <f t="shared" si="421"/>
        <v>-26049.114915452894</v>
      </c>
      <c r="AM614" s="15">
        <f t="shared" si="396"/>
        <v>22.170849845882874</v>
      </c>
      <c r="AN614" s="75">
        <f>AM614*(1-PARAM!$C$27)*$I$12+(MOD($B614,60)=PARAM!$B$56)*($B614&gt;(60-PARAM!$B$56))*HLOOKUP(($B614+PARAM!$B$56)/12,Loyalty,2)*$F$1*MAX(AP613,0)</f>
        <v>18.557001321003963</v>
      </c>
      <c r="AO614" s="75">
        <f>PARAM!$C$26+MAX($G$12-CHOOSE(PARAM!$B$44,MAX(0,AP613*$F$1),0),0)*RATES!$L590/12+$H$12*(PARAM!$D$51/12)*RATES!$N590/100</f>
        <v>276.5</v>
      </c>
      <c r="AP614" s="16">
        <f t="shared" si="422"/>
        <v>-26049.114915452894</v>
      </c>
      <c r="AQ614" s="15">
        <f t="shared" si="397"/>
        <v>22.170849845882874</v>
      </c>
      <c r="AR614" s="75">
        <f>AQ614*(1-PARAM!$C$27)*$I$13+(MOD($B614,60)=PARAM!$B$56)*($B614&gt;(60-PARAM!$B$56))*HLOOKUP(($B614+PARAM!$B$56)/12,Loyalty,2)*$F$1*MAX(AT613,0)</f>
        <v>18.557001321003963</v>
      </c>
      <c r="AS614" s="75">
        <f>PARAM!$C$26+MAX($G$13-CHOOSE(PARAM!$B$44,MAX(0,AT613*$F$1),0),0)*RATES!$L590/12+$H$13*(PARAM!$D$51/12)*RATES!$N590/100</f>
        <v>276.5</v>
      </c>
      <c r="AT614" s="16">
        <f t="shared" si="423"/>
        <v>-26049.114915452894</v>
      </c>
      <c r="AU614" s="15">
        <f t="shared" si="398"/>
        <v>22.170849845882874</v>
      </c>
      <c r="AV614" s="75">
        <f>AU614*(1-PARAM!$C$27)*$I$14+(MOD($B614,60)=PARAM!$B$56)*($B614&gt;(60-PARAM!$B$56))*HLOOKUP(($B614+PARAM!$B$56)/12,Loyalty,2)*$F$1*MAX(AX613,0)</f>
        <v>18.557001321003963</v>
      </c>
      <c r="AW614" s="75">
        <f>PARAM!$C$26+MAX($G$14-CHOOSE(PARAM!$B$44,MAX(0,AX613*$F$1),0),0)*RATES!$L590/12+$H$14*(PARAM!$D$51/12)*RATES!$N590/100</f>
        <v>276.5</v>
      </c>
      <c r="AX614" s="16">
        <f t="shared" si="424"/>
        <v>-26049.114915452894</v>
      </c>
      <c r="AY614" s="15">
        <f t="shared" si="399"/>
        <v>22.170849845882874</v>
      </c>
      <c r="AZ614" s="75">
        <f>AY614*(1-PARAM!$C$27)*$I$15+(MOD($B614,60)=PARAM!$B$56)*($B614&gt;(60-PARAM!$B$56))*HLOOKUP(($B614+PARAM!$B$56)/12,Loyalty,2)*$F$1*MAX(BB613,0)</f>
        <v>18.557001321003963</v>
      </c>
      <c r="BA614" s="75">
        <f>PARAM!$C$26+MAX($G$15-CHOOSE(PARAM!$B$44,MAX(0,BB613*$F$1),0),0)*RATES!$L590/12+$H$15*(PARAM!$D$51/12)*RATES!$N590/100</f>
        <v>276.5</v>
      </c>
      <c r="BB614" s="16">
        <f t="shared" si="425"/>
        <v>-26049.114915452894</v>
      </c>
      <c r="BC614" s="15">
        <f t="shared" si="400"/>
        <v>22.170849845882874</v>
      </c>
      <c r="BD614" s="75">
        <f>BC614*(1-PARAM!$C$27)*$I$16+(MOD($B614,60)=PARAM!$B$56)*($B614&gt;(60-PARAM!$B$56))*HLOOKUP(($B614+PARAM!$B$56)/12,Loyalty,2)*$F$1*MAX(BF613,0)</f>
        <v>18.557001321003963</v>
      </c>
      <c r="BE614" s="75">
        <f>PARAM!$C$26+MAX($G$16-CHOOSE(PARAM!$B$44,MAX(0,BF613*$F$1),0),0)*RATES!$L590/12+$H$16*(PARAM!$D$51/12)*RATES!$N590/100</f>
        <v>276.5</v>
      </c>
      <c r="BF614" s="16">
        <f t="shared" si="426"/>
        <v>-26049.114915452894</v>
      </c>
      <c r="BG614" s="15">
        <f t="shared" si="401"/>
        <v>22.170849845882874</v>
      </c>
      <c r="BH614" s="75">
        <f>BG614*(1-PARAM!$C$27)*$I$17+(MOD($B614,60)=PARAM!$B$56)*($B614&gt;(60-PARAM!$B$56))*HLOOKUP(($B614+PARAM!$B$56)/12,Loyalty,2)*$F$1*MAX(BJ613,0)</f>
        <v>18.557001321003963</v>
      </c>
      <c r="BI614" s="75">
        <f>PARAM!$C$26+MAX($G$17-CHOOSE(PARAM!$B$44,MAX(0,BJ613*$F$1),0),0)*RATES!$L590/12+$H$17*(PARAM!$D$51/12)*RATES!$N590/100</f>
        <v>276.5</v>
      </c>
      <c r="BJ614" s="16">
        <f t="shared" si="427"/>
        <v>-26049.114915452894</v>
      </c>
      <c r="BK614" s="15">
        <f t="shared" si="402"/>
        <v>22.170849845882874</v>
      </c>
      <c r="BL614" s="75">
        <f>BK614*(1-PARAM!$C$27)*$I$18+(MOD($B614,60)=PARAM!$B$56)*($B614&gt;(60-PARAM!$B$56))*HLOOKUP(($B614+PARAM!$B$56)/12,Loyalty,2)*$F$1*MAX(BN613,0)</f>
        <v>18.557001321003963</v>
      </c>
      <c r="BM614" s="75">
        <f>PARAM!$C$26+MAX($G$18-CHOOSE(PARAM!$B$44,MAX(0,BN613*$F$1),0),0)*RATES!$L590/12+$H$18*(PARAM!$D$51/12)*RATES!$N590/100</f>
        <v>276.5</v>
      </c>
      <c r="BN614" s="16">
        <f t="shared" si="428"/>
        <v>-26049.114915452894</v>
      </c>
      <c r="BO614" s="15">
        <f t="shared" si="403"/>
        <v>22.170849845882874</v>
      </c>
      <c r="BP614" s="75">
        <f>BO614*(1-PARAM!$C$27)*$I$19+(MOD($B614,60)=PARAM!$B$56)*($B614&gt;(60-PARAM!$B$56))*HLOOKUP(($B614+PARAM!$B$56)/12,Loyalty,2)*$F$1*MAX(BR613,0)</f>
        <v>18.557001321003963</v>
      </c>
      <c r="BQ614" s="75">
        <f>PARAM!$C$26+MAX($G$19-CHOOSE(PARAM!$B$44,MAX(0,BR613*$F$1),0),0)*RATES!$L590/12+$H$19*(PARAM!$D$51/12)*RATES!$N590/100</f>
        <v>276.5</v>
      </c>
      <c r="BR614" s="16">
        <f t="shared" si="429"/>
        <v>-26049.114915452894</v>
      </c>
      <c r="BS614" s="15">
        <f t="shared" si="404"/>
        <v>22.170849845882874</v>
      </c>
      <c r="BT614" s="75">
        <f>BS614*(1-PARAM!$C$27)*$I$20+(MOD($B614,60)=PARAM!$B$56)*($B614&gt;(60-PARAM!$B$56))*HLOOKUP(($B614+PARAM!$B$56)/12,Loyalty,2)*$F$1*MAX(BV613,0)</f>
        <v>18.557001321003963</v>
      </c>
      <c r="BU614" s="75">
        <f>PARAM!$C$26+MAX($G$20-CHOOSE(PARAM!$B$44,MAX(0,BV613*$F$1),0),0)*RATES!$L590/12+$H$20*(PARAM!$D$51/12)*RATES!$N590/100</f>
        <v>276.5</v>
      </c>
      <c r="BV614" s="16">
        <f t="shared" si="430"/>
        <v>-26049.114915452894</v>
      </c>
      <c r="BW614" s="15">
        <f t="shared" si="405"/>
        <v>22.170849845882874</v>
      </c>
      <c r="BX614" s="75">
        <f>BW614*(1-PARAM!$C$27)*$I$21+(MOD($B614,60)=PARAM!$B$56)*($B614&gt;(60-PARAM!$B$56))*HLOOKUP(($B614+PARAM!$B$56)/12,Loyalty,2)*$F$1*MAX(BZ613,0)</f>
        <v>18.557001321003963</v>
      </c>
      <c r="BY614" s="75">
        <f>PARAM!$C$26+MAX($G$21-CHOOSE(PARAM!$B$44,MAX(0,BZ613*$F$1),0),0)*RATES!$L590/12+$H$21*(PARAM!$D$51/12)*RATES!$N590/100</f>
        <v>276.5</v>
      </c>
      <c r="BZ614" s="16">
        <f t="shared" si="431"/>
        <v>-26049.114915452894</v>
      </c>
      <c r="CA614" s="15">
        <f t="shared" si="406"/>
        <v>22.170849845882874</v>
      </c>
      <c r="CB614" s="75">
        <f>CA614*(1-PARAM!$C$27)*$I$22+(MOD($B614,60)=PARAM!$B$56)*($B614&gt;(60-PARAM!$B$56))*HLOOKUP(($B614+PARAM!$B$56)/12,Loyalty,2)*$F$1*MAX(CD613,0)</f>
        <v>18.557001321003963</v>
      </c>
      <c r="CC614" s="75">
        <f>PARAM!$C$26+MAX($G$22-CHOOSE(PARAM!$B$44,MAX(0,CD613*$F$1),0),0)*RATES!$L590/12+$H$22*(PARAM!$D$51/12)*RATES!$N590/100</f>
        <v>276.5</v>
      </c>
      <c r="CD614" s="16">
        <f t="shared" si="432"/>
        <v>-26049.114915452894</v>
      </c>
      <c r="CE614" s="33">
        <f>IF(0=MOD(B614,12/PARAM!$D$51),1,0)</f>
        <v>1</v>
      </c>
      <c r="CF614" s="15">
        <f t="shared" si="407"/>
        <v>0</v>
      </c>
      <c r="CG614" s="75">
        <f>CF614*(1-PARAM!$C$27)*$R$3+(MOD($B614/12,5)=0)*($B614&gt;60)*HLOOKUP($B614/12,Loyalty,2)*$F$1*MAX(CI613,0)</f>
        <v>0</v>
      </c>
      <c r="CH614" s="75">
        <f>PARAM!$C$26+MAX($P$3-CHOOSE(PARAM!$B$44,MAX(0,CI613*$F$1),0),0)*RATES!$L590/12+$Q$3*(PARAM!$D$51/12)*RATES!$N590/100</f>
        <v>276.5</v>
      </c>
      <c r="CI614" s="16">
        <f>IF(CI613&gt;0,CI613*PARAM!$C$53,CI613)+CG614-CH614</f>
        <v>-36822.500000000029</v>
      </c>
      <c r="CJ614" s="15">
        <f t="shared" si="433"/>
        <v>0</v>
      </c>
      <c r="CK614" s="75">
        <f>CJ614*(1-PARAM!$C$27)*$R$4+(MOD($B614/12,5)=0)*($B614&gt;60)*HLOOKUP($B614/12,Loyalty,2)*$F$1*MAX(CM613,0)</f>
        <v>0</v>
      </c>
      <c r="CL614" s="75">
        <f>PARAM!$C$26+MAX($P$4-CHOOSE(PARAM!$B$44,MAX(0,CM613*$F$1),0),0)*RATES!$L590/12+$Q$4*(PARAM!$D$51/12)*RATES!$N590/100</f>
        <v>276.5</v>
      </c>
      <c r="CM614" s="16">
        <f>IF(CM613&gt;0,CM613*PARAM!$C$53,CM613)+CK614-CL614</f>
        <v>-36822.500000000029</v>
      </c>
      <c r="CO614" s="176"/>
    </row>
    <row r="615" spans="1:93" x14ac:dyDescent="0.2">
      <c r="A615" t="b">
        <f t="shared" si="408"/>
        <v>0</v>
      </c>
      <c r="B615" s="33">
        <v>588</v>
      </c>
      <c r="C615" s="15">
        <f t="shared" si="409"/>
        <v>20.081305947392778</v>
      </c>
      <c r="D615" s="75">
        <f>C615*(1-PARAM!$C$27)*$I$3+(MOD($B615,60)=PARAM!$B$56)*($B615&gt;(60-PARAM!$B$56))*HLOOKUP(($B615+PARAM!$B$56)/12,Loyalty,2)*$F$1*MAX(F614,0)</f>
        <v>16.808053077967756</v>
      </c>
      <c r="E615" s="75">
        <f>PARAM!$C$26+MAX($G$3-CHOOSE(PARAM!$B$44,MAX(0,F614*$F$1),0),0)*RATES!$L591/12+$H$3*(PARAM!$D$51/12)*RATES!$N591/100</f>
        <v>276.5</v>
      </c>
      <c r="F615" s="16">
        <f t="shared" si="410"/>
        <v>-27372.289981558792</v>
      </c>
      <c r="G615" s="15">
        <f t="shared" si="411"/>
        <v>22.035289406060361</v>
      </c>
      <c r="H615" s="75">
        <f>G615*(1-PARAM!$C$27)*$I$4+(MOD($B615,60)=PARAM!$B$56)*($B615&gt;(60-PARAM!$B$56))*HLOOKUP(($B615+PARAM!$B$56)/12,Loyalty,2)*$F$1*MAX(J614,0)</f>
        <v>18.443537232872522</v>
      </c>
      <c r="I615" s="75">
        <f>PARAM!$C$26+MAX($G$4-CHOOSE(PARAM!$B$44,MAX(0,J614*$F$1),0),0)*RATES!$L591/12+$H$4*(PARAM!$D$51/12)*RATES!$N591/100</f>
        <v>276.5</v>
      </c>
      <c r="J615" s="16">
        <f t="shared" si="412"/>
        <v>-26376.792334352995</v>
      </c>
      <c r="K615" s="15">
        <f t="shared" si="413"/>
        <v>22.170849845882874</v>
      </c>
      <c r="L615" s="75">
        <f>K615*(1-PARAM!$C$27)*$I$5+(MOD($B615,60)=PARAM!$B$56)*($B615&gt;(60-PARAM!$B$56))*HLOOKUP(($B615+PARAM!$B$56)/12,Loyalty,2)*$F$1*MAX(N614,0)</f>
        <v>18.557001321003963</v>
      </c>
      <c r="M615" s="75">
        <f>PARAM!$C$26+MAX($G$5-CHOOSE(PARAM!$B$44,MAX(0,N614*$F$1),0),0)*RATES!$L591/12+$H$5*(PARAM!$D$51/12)*RATES!$N591/100</f>
        <v>276.5</v>
      </c>
      <c r="N615" s="16">
        <f t="shared" si="414"/>
        <v>-26307.057914131889</v>
      </c>
      <c r="O615" s="15">
        <f t="shared" si="415"/>
        <v>22.170849845882874</v>
      </c>
      <c r="P615" s="75">
        <f>O615*(1-PARAM!$C$27)*$I$6+(MOD($B615,60)=PARAM!$B$56)*($B615&gt;(60-PARAM!$B$56))*HLOOKUP(($B615+PARAM!$B$56)/12,Loyalty,2)*$F$1*MAX(R614,0)</f>
        <v>18.557001321003963</v>
      </c>
      <c r="Q615" s="75">
        <f>PARAM!$C$26+MAX($G$6-CHOOSE(PARAM!$B$44,MAX(0,R614*$F$1),0),0)*RATES!$L591/12+$H$6*(PARAM!$D$51/12)*RATES!$N591/100</f>
        <v>276.5</v>
      </c>
      <c r="R615" s="16">
        <f t="shared" si="416"/>
        <v>-26307.057914131889</v>
      </c>
      <c r="S615" s="15">
        <f t="shared" si="391"/>
        <v>22.170849845882874</v>
      </c>
      <c r="T615" s="75">
        <f>S615*(1-PARAM!$C$27)*$I$7+(MOD($B615,60)=PARAM!$B$56)*($B615&gt;(60-PARAM!$B$56))*HLOOKUP(($B615+PARAM!$B$56)/12,Loyalty,2)*$F$1*MAX(V614,0)</f>
        <v>18.557001321003963</v>
      </c>
      <c r="U615" s="75">
        <f>PARAM!$C$26+MAX($G$7-CHOOSE(PARAM!$B$44,MAX(0,V614*$F$1),0),0)*RATES!$L591/12+$H$7*(PARAM!$D$51/12)*RATES!$N591/100</f>
        <v>276.5</v>
      </c>
      <c r="V615" s="16">
        <f t="shared" si="417"/>
        <v>-26307.057914131889</v>
      </c>
      <c r="W615" s="15">
        <f t="shared" si="392"/>
        <v>22.170849845882874</v>
      </c>
      <c r="X615" s="75">
        <f>W615*(1-PARAM!$C$27)*$I$8+(MOD($B615,60)=PARAM!$B$56)*($B615&gt;(60-PARAM!$B$56))*HLOOKUP(($B615+PARAM!$B$56)/12,Loyalty,2)*$F$1*MAX(Z614,0)</f>
        <v>18.557001321003963</v>
      </c>
      <c r="Y615" s="75">
        <f>PARAM!$C$26+MAX($G$8-CHOOSE(PARAM!$B$44,MAX(0,Z614*$F$1),0),0)*RATES!$L591/12+$H$8*(PARAM!$D$51/12)*RATES!$N591/100</f>
        <v>276.5</v>
      </c>
      <c r="Z615" s="16">
        <f t="shared" si="418"/>
        <v>-26307.057914131889</v>
      </c>
      <c r="AA615" s="15">
        <f t="shared" si="393"/>
        <v>22.170849845882874</v>
      </c>
      <c r="AB615" s="75">
        <f>AA615*(1-PARAM!$C$27)*$I$9+(MOD($B615,60)=PARAM!$B$56)*($B615&gt;(60-PARAM!$B$56))*HLOOKUP(($B615+PARAM!$B$56)/12,Loyalty,2)*$F$1*MAX(AD614,0)</f>
        <v>18.557001321003963</v>
      </c>
      <c r="AC615" s="75">
        <f>PARAM!$C$26+MAX($G$9-CHOOSE(PARAM!$B$44,MAX(0,AD614*$F$1),0),0)*RATES!$L591/12+$H$9*(PARAM!$D$51/12)*RATES!$N591/100</f>
        <v>276.5</v>
      </c>
      <c r="AD615" s="16">
        <f t="shared" si="419"/>
        <v>-26307.057914131889</v>
      </c>
      <c r="AE615" s="15">
        <f t="shared" si="394"/>
        <v>22.170849845882874</v>
      </c>
      <c r="AF615" s="75">
        <f>AE615*(1-PARAM!$C$27)*$I$10+(MOD($B615,60)=PARAM!$B$56)*($B615&gt;(60-PARAM!$B$56))*HLOOKUP(($B615+PARAM!$B$56)/12,Loyalty,2)*$F$1*MAX(AH614,0)</f>
        <v>18.557001321003963</v>
      </c>
      <c r="AG615" s="75">
        <f>PARAM!$C$26+MAX($G$10-CHOOSE(PARAM!$B$44,MAX(0,AH614*$F$1),0),0)*RATES!$L591/12+$H$10*(PARAM!$D$51/12)*RATES!$N591/100</f>
        <v>276.5</v>
      </c>
      <c r="AH615" s="16">
        <f t="shared" si="420"/>
        <v>-26307.057914131889</v>
      </c>
      <c r="AI615" s="15">
        <f t="shared" si="395"/>
        <v>22.170849845882874</v>
      </c>
      <c r="AJ615" s="75">
        <f>AI615*(1-PARAM!$C$27)*$I$11+(MOD($B615,60)=PARAM!$B$56)*($B615&gt;(60-PARAM!$B$56))*HLOOKUP(($B615+PARAM!$B$56)/12,Loyalty,2)*$F$1*MAX(AL614,0)</f>
        <v>18.557001321003963</v>
      </c>
      <c r="AK615" s="75">
        <f>PARAM!$C$26+MAX($G$11-CHOOSE(PARAM!$B$44,MAX(0,AL614*$F$1),0),0)*RATES!$L591/12+$H$11*(PARAM!$D$51/12)*RATES!$N591/100</f>
        <v>276.5</v>
      </c>
      <c r="AL615" s="16">
        <f t="shared" si="421"/>
        <v>-26307.057914131889</v>
      </c>
      <c r="AM615" s="15">
        <f t="shared" si="396"/>
        <v>22.170849845882874</v>
      </c>
      <c r="AN615" s="75">
        <f>AM615*(1-PARAM!$C$27)*$I$12+(MOD($B615,60)=PARAM!$B$56)*($B615&gt;(60-PARAM!$B$56))*HLOOKUP(($B615+PARAM!$B$56)/12,Loyalty,2)*$F$1*MAX(AP614,0)</f>
        <v>18.557001321003963</v>
      </c>
      <c r="AO615" s="75">
        <f>PARAM!$C$26+MAX($G$12-CHOOSE(PARAM!$B$44,MAX(0,AP614*$F$1),0),0)*RATES!$L591/12+$H$12*(PARAM!$D$51/12)*RATES!$N591/100</f>
        <v>276.5</v>
      </c>
      <c r="AP615" s="16">
        <f t="shared" si="422"/>
        <v>-26307.057914131889</v>
      </c>
      <c r="AQ615" s="15">
        <f t="shared" si="397"/>
        <v>22.170849845882874</v>
      </c>
      <c r="AR615" s="75">
        <f>AQ615*(1-PARAM!$C$27)*$I$13+(MOD($B615,60)=PARAM!$B$56)*($B615&gt;(60-PARAM!$B$56))*HLOOKUP(($B615+PARAM!$B$56)/12,Loyalty,2)*$F$1*MAX(AT614,0)</f>
        <v>18.557001321003963</v>
      </c>
      <c r="AS615" s="75">
        <f>PARAM!$C$26+MAX($G$13-CHOOSE(PARAM!$B$44,MAX(0,AT614*$F$1),0),0)*RATES!$L591/12+$H$13*(PARAM!$D$51/12)*RATES!$N591/100</f>
        <v>276.5</v>
      </c>
      <c r="AT615" s="16">
        <f t="shared" si="423"/>
        <v>-26307.057914131889</v>
      </c>
      <c r="AU615" s="15">
        <f t="shared" si="398"/>
        <v>22.170849845882874</v>
      </c>
      <c r="AV615" s="75">
        <f>AU615*(1-PARAM!$C$27)*$I$14+(MOD($B615,60)=PARAM!$B$56)*($B615&gt;(60-PARAM!$B$56))*HLOOKUP(($B615+PARAM!$B$56)/12,Loyalty,2)*$F$1*MAX(AX614,0)</f>
        <v>18.557001321003963</v>
      </c>
      <c r="AW615" s="75">
        <f>PARAM!$C$26+MAX($G$14-CHOOSE(PARAM!$B$44,MAX(0,AX614*$F$1),0),0)*RATES!$L591/12+$H$14*(PARAM!$D$51/12)*RATES!$N591/100</f>
        <v>276.5</v>
      </c>
      <c r="AX615" s="16">
        <f t="shared" si="424"/>
        <v>-26307.057914131889</v>
      </c>
      <c r="AY615" s="15">
        <f t="shared" si="399"/>
        <v>22.170849845882874</v>
      </c>
      <c r="AZ615" s="75">
        <f>AY615*(1-PARAM!$C$27)*$I$15+(MOD($B615,60)=PARAM!$B$56)*($B615&gt;(60-PARAM!$B$56))*HLOOKUP(($B615+PARAM!$B$56)/12,Loyalty,2)*$F$1*MAX(BB614,0)</f>
        <v>18.557001321003963</v>
      </c>
      <c r="BA615" s="75">
        <f>PARAM!$C$26+MAX($G$15-CHOOSE(PARAM!$B$44,MAX(0,BB614*$F$1),0),0)*RATES!$L591/12+$H$15*(PARAM!$D$51/12)*RATES!$N591/100</f>
        <v>276.5</v>
      </c>
      <c r="BB615" s="16">
        <f t="shared" si="425"/>
        <v>-26307.057914131889</v>
      </c>
      <c r="BC615" s="15">
        <f t="shared" si="400"/>
        <v>22.170849845882874</v>
      </c>
      <c r="BD615" s="75">
        <f>BC615*(1-PARAM!$C$27)*$I$16+(MOD($B615,60)=PARAM!$B$56)*($B615&gt;(60-PARAM!$B$56))*HLOOKUP(($B615+PARAM!$B$56)/12,Loyalty,2)*$F$1*MAX(BF614,0)</f>
        <v>18.557001321003963</v>
      </c>
      <c r="BE615" s="75">
        <f>PARAM!$C$26+MAX($G$16-CHOOSE(PARAM!$B$44,MAX(0,BF614*$F$1),0),0)*RATES!$L591/12+$H$16*(PARAM!$D$51/12)*RATES!$N591/100</f>
        <v>276.5</v>
      </c>
      <c r="BF615" s="16">
        <f t="shared" si="426"/>
        <v>-26307.057914131889</v>
      </c>
      <c r="BG615" s="15">
        <f t="shared" si="401"/>
        <v>22.170849845882874</v>
      </c>
      <c r="BH615" s="75">
        <f>BG615*(1-PARAM!$C$27)*$I$17+(MOD($B615,60)=PARAM!$B$56)*($B615&gt;(60-PARAM!$B$56))*HLOOKUP(($B615+PARAM!$B$56)/12,Loyalty,2)*$F$1*MAX(BJ614,0)</f>
        <v>18.557001321003963</v>
      </c>
      <c r="BI615" s="75">
        <f>PARAM!$C$26+MAX($G$17-CHOOSE(PARAM!$B$44,MAX(0,BJ614*$F$1),0),0)*RATES!$L591/12+$H$17*(PARAM!$D$51/12)*RATES!$N591/100</f>
        <v>276.5</v>
      </c>
      <c r="BJ615" s="16">
        <f t="shared" si="427"/>
        <v>-26307.057914131889</v>
      </c>
      <c r="BK615" s="15">
        <f t="shared" si="402"/>
        <v>22.170849845882874</v>
      </c>
      <c r="BL615" s="75">
        <f>BK615*(1-PARAM!$C$27)*$I$18+(MOD($B615,60)=PARAM!$B$56)*($B615&gt;(60-PARAM!$B$56))*HLOOKUP(($B615+PARAM!$B$56)/12,Loyalty,2)*$F$1*MAX(BN614,0)</f>
        <v>18.557001321003963</v>
      </c>
      <c r="BM615" s="75">
        <f>PARAM!$C$26+MAX($G$18-CHOOSE(PARAM!$B$44,MAX(0,BN614*$F$1),0),0)*RATES!$L591/12+$H$18*(PARAM!$D$51/12)*RATES!$N591/100</f>
        <v>276.5</v>
      </c>
      <c r="BN615" s="16">
        <f t="shared" si="428"/>
        <v>-26307.057914131889</v>
      </c>
      <c r="BO615" s="15">
        <f t="shared" si="403"/>
        <v>22.170849845882874</v>
      </c>
      <c r="BP615" s="75">
        <f>BO615*(1-PARAM!$C$27)*$I$19+(MOD($B615,60)=PARAM!$B$56)*($B615&gt;(60-PARAM!$B$56))*HLOOKUP(($B615+PARAM!$B$56)/12,Loyalty,2)*$F$1*MAX(BR614,0)</f>
        <v>18.557001321003963</v>
      </c>
      <c r="BQ615" s="75">
        <f>PARAM!$C$26+MAX($G$19-CHOOSE(PARAM!$B$44,MAX(0,BR614*$F$1),0),0)*RATES!$L591/12+$H$19*(PARAM!$D$51/12)*RATES!$N591/100</f>
        <v>276.5</v>
      </c>
      <c r="BR615" s="16">
        <f t="shared" si="429"/>
        <v>-26307.057914131889</v>
      </c>
      <c r="BS615" s="15">
        <f t="shared" si="404"/>
        <v>22.170849845882874</v>
      </c>
      <c r="BT615" s="75">
        <f>BS615*(1-PARAM!$C$27)*$I$20+(MOD($B615,60)=PARAM!$B$56)*($B615&gt;(60-PARAM!$B$56))*HLOOKUP(($B615+PARAM!$B$56)/12,Loyalty,2)*$F$1*MAX(BV614,0)</f>
        <v>18.557001321003963</v>
      </c>
      <c r="BU615" s="75">
        <f>PARAM!$C$26+MAX($G$20-CHOOSE(PARAM!$B$44,MAX(0,BV614*$F$1),0),0)*RATES!$L591/12+$H$20*(PARAM!$D$51/12)*RATES!$N591/100</f>
        <v>276.5</v>
      </c>
      <c r="BV615" s="16">
        <f t="shared" si="430"/>
        <v>-26307.057914131889</v>
      </c>
      <c r="BW615" s="15">
        <f t="shared" si="405"/>
        <v>22.170849845882874</v>
      </c>
      <c r="BX615" s="75">
        <f>BW615*(1-PARAM!$C$27)*$I$21+(MOD($B615,60)=PARAM!$B$56)*($B615&gt;(60-PARAM!$B$56))*HLOOKUP(($B615+PARAM!$B$56)/12,Loyalty,2)*$F$1*MAX(BZ614,0)</f>
        <v>18.557001321003963</v>
      </c>
      <c r="BY615" s="75">
        <f>PARAM!$C$26+MAX($G$21-CHOOSE(PARAM!$B$44,MAX(0,BZ614*$F$1),0),0)*RATES!$L591/12+$H$21*(PARAM!$D$51/12)*RATES!$N591/100</f>
        <v>276.5</v>
      </c>
      <c r="BZ615" s="16">
        <f t="shared" si="431"/>
        <v>-26307.057914131889</v>
      </c>
      <c r="CA615" s="15">
        <f t="shared" si="406"/>
        <v>22.170849845882874</v>
      </c>
      <c r="CB615" s="75">
        <f>CA615*(1-PARAM!$C$27)*$I$22+(MOD($B615,60)=PARAM!$B$56)*($B615&gt;(60-PARAM!$B$56))*HLOOKUP(($B615+PARAM!$B$56)/12,Loyalty,2)*$F$1*MAX(CD614,0)</f>
        <v>18.557001321003963</v>
      </c>
      <c r="CC615" s="75">
        <f>PARAM!$C$26+MAX($G$22-CHOOSE(PARAM!$B$44,MAX(0,CD614*$F$1),0),0)*RATES!$L591/12+$H$22*(PARAM!$D$51/12)*RATES!$N591/100</f>
        <v>276.5</v>
      </c>
      <c r="CD615" s="16">
        <f t="shared" si="432"/>
        <v>-26307.057914131889</v>
      </c>
      <c r="CE615" s="33">
        <f>IF(0=MOD(B615,12/PARAM!$D$51),1,0)</f>
        <v>1</v>
      </c>
      <c r="CF615" s="15">
        <f t="shared" si="407"/>
        <v>0</v>
      </c>
      <c r="CG615" s="75">
        <f>CF615*(1-PARAM!$C$27)*$R$3+(MOD($B615/12,5)=0)*($B615&gt;60)*HLOOKUP($B615/12,Loyalty,2)*$F$1*MAX(CI614,0)</f>
        <v>0</v>
      </c>
      <c r="CH615" s="75">
        <f>PARAM!$C$26+MAX($P$3-CHOOSE(PARAM!$B$44,MAX(0,CI614*$F$1),0),0)*RATES!$L591/12+$Q$3*(PARAM!$D$51/12)*RATES!$N591/100</f>
        <v>276.5</v>
      </c>
      <c r="CI615" s="16">
        <f>IF(CI614&gt;0,CI614*PARAM!$C$53,CI614)+CG615-CH615</f>
        <v>-37099.000000000029</v>
      </c>
      <c r="CJ615" s="15">
        <f t="shared" si="433"/>
        <v>0</v>
      </c>
      <c r="CK615" s="75">
        <f>CJ615*(1-PARAM!$C$27)*$R$4+(MOD($B615/12,5)=0)*($B615&gt;60)*HLOOKUP($B615/12,Loyalty,2)*$F$1*MAX(CM614,0)</f>
        <v>0</v>
      </c>
      <c r="CL615" s="75">
        <f>PARAM!$C$26+MAX($P$4-CHOOSE(PARAM!$B$44,MAX(0,CM614*$F$1),0),0)*RATES!$L591/12+$Q$4*(PARAM!$D$51/12)*RATES!$N591/100</f>
        <v>276.5</v>
      </c>
      <c r="CM615" s="16">
        <f>IF(CM614&gt;0,CM614*PARAM!$C$53,CM614)+CK615-CL615</f>
        <v>-37099.000000000029</v>
      </c>
      <c r="CO615" s="176"/>
    </row>
    <row r="616" spans="1:93" x14ac:dyDescent="0.2">
      <c r="A616" t="b">
        <f t="shared" si="408"/>
        <v>0</v>
      </c>
      <c r="B616" s="33">
        <v>589</v>
      </c>
      <c r="C616" s="15">
        <f t="shared" si="409"/>
        <v>20.081305947392778</v>
      </c>
      <c r="D616" s="75">
        <f>C616*(1-PARAM!$C$27)*$I$3+(MOD($B616,60)=PARAM!$B$56)*($B616&gt;(60-PARAM!$B$56))*HLOOKUP(($B616+PARAM!$B$56)/12,Loyalty,2)*$F$1*MAX(F615,0)</f>
        <v>16.808053077967756</v>
      </c>
      <c r="E616" s="75">
        <f>PARAM!$C$26+MAX($G$3-CHOOSE(PARAM!$B$44,MAX(0,F615*$F$1),0),0)*RATES!$L592/12+$H$3*(PARAM!$D$51/12)*RATES!$N592/100</f>
        <v>276.5</v>
      </c>
      <c r="F616" s="16">
        <f t="shared" si="410"/>
        <v>-27631.981928480825</v>
      </c>
      <c r="G616" s="15">
        <f t="shared" si="411"/>
        <v>22.035289406060361</v>
      </c>
      <c r="H616" s="75">
        <f>G616*(1-PARAM!$C$27)*$I$4+(MOD($B616,60)=PARAM!$B$56)*($B616&gt;(60-PARAM!$B$56))*HLOOKUP(($B616+PARAM!$B$56)/12,Loyalty,2)*$F$1*MAX(J615,0)</f>
        <v>18.443537232872522</v>
      </c>
      <c r="I616" s="75">
        <f>PARAM!$C$26+MAX($G$4-CHOOSE(PARAM!$B$44,MAX(0,J615*$F$1),0),0)*RATES!$L592/12+$H$4*(PARAM!$D$51/12)*RATES!$N592/100</f>
        <v>276.5</v>
      </c>
      <c r="J616" s="16">
        <f t="shared" si="412"/>
        <v>-26634.848797120121</v>
      </c>
      <c r="K616" s="15">
        <f t="shared" si="413"/>
        <v>22.170849845882874</v>
      </c>
      <c r="L616" s="75">
        <f>K616*(1-PARAM!$C$27)*$I$5+(MOD($B616,60)=PARAM!$B$56)*($B616&gt;(60-PARAM!$B$56))*HLOOKUP(($B616+PARAM!$B$56)/12,Loyalty,2)*$F$1*MAX(N615,0)</f>
        <v>18.557001321003963</v>
      </c>
      <c r="M616" s="75">
        <f>PARAM!$C$26+MAX($G$5-CHOOSE(PARAM!$B$44,MAX(0,N615*$F$1),0),0)*RATES!$L592/12+$H$5*(PARAM!$D$51/12)*RATES!$N592/100</f>
        <v>276.5</v>
      </c>
      <c r="N616" s="16">
        <f t="shared" si="414"/>
        <v>-26565.000912810883</v>
      </c>
      <c r="O616" s="15">
        <f t="shared" si="415"/>
        <v>22.170849845882874</v>
      </c>
      <c r="P616" s="75">
        <f>O616*(1-PARAM!$C$27)*$I$6+(MOD($B616,60)=PARAM!$B$56)*($B616&gt;(60-PARAM!$B$56))*HLOOKUP(($B616+PARAM!$B$56)/12,Loyalty,2)*$F$1*MAX(R615,0)</f>
        <v>18.557001321003963</v>
      </c>
      <c r="Q616" s="75">
        <f>PARAM!$C$26+MAX($G$6-CHOOSE(PARAM!$B$44,MAX(0,R615*$F$1),0),0)*RATES!$L592/12+$H$6*(PARAM!$D$51/12)*RATES!$N592/100</f>
        <v>276.5</v>
      </c>
      <c r="R616" s="16">
        <f t="shared" si="416"/>
        <v>-26565.000912810883</v>
      </c>
      <c r="S616" s="15">
        <f t="shared" si="391"/>
        <v>22.170849845882874</v>
      </c>
      <c r="T616" s="75">
        <f>S616*(1-PARAM!$C$27)*$I$7+(MOD($B616,60)=PARAM!$B$56)*($B616&gt;(60-PARAM!$B$56))*HLOOKUP(($B616+PARAM!$B$56)/12,Loyalty,2)*$F$1*MAX(V615,0)</f>
        <v>18.557001321003963</v>
      </c>
      <c r="U616" s="75">
        <f>PARAM!$C$26+MAX($G$7-CHOOSE(PARAM!$B$44,MAX(0,V615*$F$1),0),0)*RATES!$L592/12+$H$7*(PARAM!$D$51/12)*RATES!$N592/100</f>
        <v>276.5</v>
      </c>
      <c r="V616" s="16">
        <f t="shared" si="417"/>
        <v>-26565.000912810883</v>
      </c>
      <c r="W616" s="15">
        <f t="shared" si="392"/>
        <v>22.170849845882874</v>
      </c>
      <c r="X616" s="75">
        <f>W616*(1-PARAM!$C$27)*$I$8+(MOD($B616,60)=PARAM!$B$56)*($B616&gt;(60-PARAM!$B$56))*HLOOKUP(($B616+PARAM!$B$56)/12,Loyalty,2)*$F$1*MAX(Z615,0)</f>
        <v>18.557001321003963</v>
      </c>
      <c r="Y616" s="75">
        <f>PARAM!$C$26+MAX($G$8-CHOOSE(PARAM!$B$44,MAX(0,Z615*$F$1),0),0)*RATES!$L592/12+$H$8*(PARAM!$D$51/12)*RATES!$N592/100</f>
        <v>276.5</v>
      </c>
      <c r="Z616" s="16">
        <f t="shared" si="418"/>
        <v>-26565.000912810883</v>
      </c>
      <c r="AA616" s="15">
        <f t="shared" si="393"/>
        <v>22.170849845882874</v>
      </c>
      <c r="AB616" s="75">
        <f>AA616*(1-PARAM!$C$27)*$I$9+(MOD($B616,60)=PARAM!$B$56)*($B616&gt;(60-PARAM!$B$56))*HLOOKUP(($B616+PARAM!$B$56)/12,Loyalty,2)*$F$1*MAX(AD615,0)</f>
        <v>18.557001321003963</v>
      </c>
      <c r="AC616" s="75">
        <f>PARAM!$C$26+MAX($G$9-CHOOSE(PARAM!$B$44,MAX(0,AD615*$F$1),0),0)*RATES!$L592/12+$H$9*(PARAM!$D$51/12)*RATES!$N592/100</f>
        <v>276.5</v>
      </c>
      <c r="AD616" s="16">
        <f t="shared" si="419"/>
        <v>-26565.000912810883</v>
      </c>
      <c r="AE616" s="15">
        <f t="shared" si="394"/>
        <v>22.170849845882874</v>
      </c>
      <c r="AF616" s="75">
        <f>AE616*(1-PARAM!$C$27)*$I$10+(MOD($B616,60)=PARAM!$B$56)*($B616&gt;(60-PARAM!$B$56))*HLOOKUP(($B616+PARAM!$B$56)/12,Loyalty,2)*$F$1*MAX(AH615,0)</f>
        <v>18.557001321003963</v>
      </c>
      <c r="AG616" s="75">
        <f>PARAM!$C$26+MAX($G$10-CHOOSE(PARAM!$B$44,MAX(0,AH615*$F$1),0),0)*RATES!$L592/12+$H$10*(PARAM!$D$51/12)*RATES!$N592/100</f>
        <v>276.5</v>
      </c>
      <c r="AH616" s="16">
        <f t="shared" si="420"/>
        <v>-26565.000912810883</v>
      </c>
      <c r="AI616" s="15">
        <f t="shared" si="395"/>
        <v>22.170849845882874</v>
      </c>
      <c r="AJ616" s="75">
        <f>AI616*(1-PARAM!$C$27)*$I$11+(MOD($B616,60)=PARAM!$B$56)*($B616&gt;(60-PARAM!$B$56))*HLOOKUP(($B616+PARAM!$B$56)/12,Loyalty,2)*$F$1*MAX(AL615,0)</f>
        <v>18.557001321003963</v>
      </c>
      <c r="AK616" s="75">
        <f>PARAM!$C$26+MAX($G$11-CHOOSE(PARAM!$B$44,MAX(0,AL615*$F$1),0),0)*RATES!$L592/12+$H$11*(PARAM!$D$51/12)*RATES!$N592/100</f>
        <v>276.5</v>
      </c>
      <c r="AL616" s="16">
        <f t="shared" si="421"/>
        <v>-26565.000912810883</v>
      </c>
      <c r="AM616" s="15">
        <f t="shared" si="396"/>
        <v>22.170849845882874</v>
      </c>
      <c r="AN616" s="75">
        <f>AM616*(1-PARAM!$C$27)*$I$12+(MOD($B616,60)=PARAM!$B$56)*($B616&gt;(60-PARAM!$B$56))*HLOOKUP(($B616+PARAM!$B$56)/12,Loyalty,2)*$F$1*MAX(AP615,0)</f>
        <v>18.557001321003963</v>
      </c>
      <c r="AO616" s="75">
        <f>PARAM!$C$26+MAX($G$12-CHOOSE(PARAM!$B$44,MAX(0,AP615*$F$1),0),0)*RATES!$L592/12+$H$12*(PARAM!$D$51/12)*RATES!$N592/100</f>
        <v>276.5</v>
      </c>
      <c r="AP616" s="16">
        <f t="shared" si="422"/>
        <v>-26565.000912810883</v>
      </c>
      <c r="AQ616" s="15">
        <f t="shared" si="397"/>
        <v>22.170849845882874</v>
      </c>
      <c r="AR616" s="75">
        <f>AQ616*(1-PARAM!$C$27)*$I$13+(MOD($B616,60)=PARAM!$B$56)*($B616&gt;(60-PARAM!$B$56))*HLOOKUP(($B616+PARAM!$B$56)/12,Loyalty,2)*$F$1*MAX(AT615,0)</f>
        <v>18.557001321003963</v>
      </c>
      <c r="AS616" s="75">
        <f>PARAM!$C$26+MAX($G$13-CHOOSE(PARAM!$B$44,MAX(0,AT615*$F$1),0),0)*RATES!$L592/12+$H$13*(PARAM!$D$51/12)*RATES!$N592/100</f>
        <v>276.5</v>
      </c>
      <c r="AT616" s="16">
        <f t="shared" si="423"/>
        <v>-26565.000912810883</v>
      </c>
      <c r="AU616" s="15">
        <f t="shared" si="398"/>
        <v>22.170849845882874</v>
      </c>
      <c r="AV616" s="75">
        <f>AU616*(1-PARAM!$C$27)*$I$14+(MOD($B616,60)=PARAM!$B$56)*($B616&gt;(60-PARAM!$B$56))*HLOOKUP(($B616+PARAM!$B$56)/12,Loyalty,2)*$F$1*MAX(AX615,0)</f>
        <v>18.557001321003963</v>
      </c>
      <c r="AW616" s="75">
        <f>PARAM!$C$26+MAX($G$14-CHOOSE(PARAM!$B$44,MAX(0,AX615*$F$1),0),0)*RATES!$L592/12+$H$14*(PARAM!$D$51/12)*RATES!$N592/100</f>
        <v>276.5</v>
      </c>
      <c r="AX616" s="16">
        <f t="shared" si="424"/>
        <v>-26565.000912810883</v>
      </c>
      <c r="AY616" s="15">
        <f t="shared" si="399"/>
        <v>22.170849845882874</v>
      </c>
      <c r="AZ616" s="75">
        <f>AY616*(1-PARAM!$C$27)*$I$15+(MOD($B616,60)=PARAM!$B$56)*($B616&gt;(60-PARAM!$B$56))*HLOOKUP(($B616+PARAM!$B$56)/12,Loyalty,2)*$F$1*MAX(BB615,0)</f>
        <v>18.557001321003963</v>
      </c>
      <c r="BA616" s="75">
        <f>PARAM!$C$26+MAX($G$15-CHOOSE(PARAM!$B$44,MAX(0,BB615*$F$1),0),0)*RATES!$L592/12+$H$15*(PARAM!$D$51/12)*RATES!$N592/100</f>
        <v>276.5</v>
      </c>
      <c r="BB616" s="16">
        <f t="shared" si="425"/>
        <v>-26565.000912810883</v>
      </c>
      <c r="BC616" s="15">
        <f t="shared" si="400"/>
        <v>22.170849845882874</v>
      </c>
      <c r="BD616" s="75">
        <f>BC616*(1-PARAM!$C$27)*$I$16+(MOD($B616,60)=PARAM!$B$56)*($B616&gt;(60-PARAM!$B$56))*HLOOKUP(($B616+PARAM!$B$56)/12,Loyalty,2)*$F$1*MAX(BF615,0)</f>
        <v>18.557001321003963</v>
      </c>
      <c r="BE616" s="75">
        <f>PARAM!$C$26+MAX($G$16-CHOOSE(PARAM!$B$44,MAX(0,BF615*$F$1),0),0)*RATES!$L592/12+$H$16*(PARAM!$D$51/12)*RATES!$N592/100</f>
        <v>276.5</v>
      </c>
      <c r="BF616" s="16">
        <f t="shared" si="426"/>
        <v>-26565.000912810883</v>
      </c>
      <c r="BG616" s="15">
        <f t="shared" si="401"/>
        <v>22.170849845882874</v>
      </c>
      <c r="BH616" s="75">
        <f>BG616*(1-PARAM!$C$27)*$I$17+(MOD($B616,60)=PARAM!$B$56)*($B616&gt;(60-PARAM!$B$56))*HLOOKUP(($B616+PARAM!$B$56)/12,Loyalty,2)*$F$1*MAX(BJ615,0)</f>
        <v>18.557001321003963</v>
      </c>
      <c r="BI616" s="75">
        <f>PARAM!$C$26+MAX($G$17-CHOOSE(PARAM!$B$44,MAX(0,BJ615*$F$1),0),0)*RATES!$L592/12+$H$17*(PARAM!$D$51/12)*RATES!$N592/100</f>
        <v>276.5</v>
      </c>
      <c r="BJ616" s="16">
        <f t="shared" si="427"/>
        <v>-26565.000912810883</v>
      </c>
      <c r="BK616" s="15">
        <f t="shared" si="402"/>
        <v>22.170849845882874</v>
      </c>
      <c r="BL616" s="75">
        <f>BK616*(1-PARAM!$C$27)*$I$18+(MOD($B616,60)=PARAM!$B$56)*($B616&gt;(60-PARAM!$B$56))*HLOOKUP(($B616+PARAM!$B$56)/12,Loyalty,2)*$F$1*MAX(BN615,0)</f>
        <v>18.557001321003963</v>
      </c>
      <c r="BM616" s="75">
        <f>PARAM!$C$26+MAX($G$18-CHOOSE(PARAM!$B$44,MAX(0,BN615*$F$1),0),0)*RATES!$L592/12+$H$18*(PARAM!$D$51/12)*RATES!$N592/100</f>
        <v>276.5</v>
      </c>
      <c r="BN616" s="16">
        <f t="shared" si="428"/>
        <v>-26565.000912810883</v>
      </c>
      <c r="BO616" s="15">
        <f t="shared" si="403"/>
        <v>22.170849845882874</v>
      </c>
      <c r="BP616" s="75">
        <f>BO616*(1-PARAM!$C$27)*$I$19+(MOD($B616,60)=PARAM!$B$56)*($B616&gt;(60-PARAM!$B$56))*HLOOKUP(($B616+PARAM!$B$56)/12,Loyalty,2)*$F$1*MAX(BR615,0)</f>
        <v>18.557001321003963</v>
      </c>
      <c r="BQ616" s="75">
        <f>PARAM!$C$26+MAX($G$19-CHOOSE(PARAM!$B$44,MAX(0,BR615*$F$1),0),0)*RATES!$L592/12+$H$19*(PARAM!$D$51/12)*RATES!$N592/100</f>
        <v>276.5</v>
      </c>
      <c r="BR616" s="16">
        <f t="shared" si="429"/>
        <v>-26565.000912810883</v>
      </c>
      <c r="BS616" s="15">
        <f t="shared" si="404"/>
        <v>22.170849845882874</v>
      </c>
      <c r="BT616" s="75">
        <f>BS616*(1-PARAM!$C$27)*$I$20+(MOD($B616,60)=PARAM!$B$56)*($B616&gt;(60-PARAM!$B$56))*HLOOKUP(($B616+PARAM!$B$56)/12,Loyalty,2)*$F$1*MAX(BV615,0)</f>
        <v>18.557001321003963</v>
      </c>
      <c r="BU616" s="75">
        <f>PARAM!$C$26+MAX($G$20-CHOOSE(PARAM!$B$44,MAX(0,BV615*$F$1),0),0)*RATES!$L592/12+$H$20*(PARAM!$D$51/12)*RATES!$N592/100</f>
        <v>276.5</v>
      </c>
      <c r="BV616" s="16">
        <f t="shared" si="430"/>
        <v>-26565.000912810883</v>
      </c>
      <c r="BW616" s="15">
        <f t="shared" si="405"/>
        <v>22.170849845882874</v>
      </c>
      <c r="BX616" s="75">
        <f>BW616*(1-PARAM!$C$27)*$I$21+(MOD($B616,60)=PARAM!$B$56)*($B616&gt;(60-PARAM!$B$56))*HLOOKUP(($B616+PARAM!$B$56)/12,Loyalty,2)*$F$1*MAX(BZ615,0)</f>
        <v>18.557001321003963</v>
      </c>
      <c r="BY616" s="75">
        <f>PARAM!$C$26+MAX($G$21-CHOOSE(PARAM!$B$44,MAX(0,BZ615*$F$1),0),0)*RATES!$L592/12+$H$21*(PARAM!$D$51/12)*RATES!$N592/100</f>
        <v>276.5</v>
      </c>
      <c r="BZ616" s="16">
        <f t="shared" si="431"/>
        <v>-26565.000912810883</v>
      </c>
      <c r="CA616" s="15">
        <f t="shared" si="406"/>
        <v>22.170849845882874</v>
      </c>
      <c r="CB616" s="75">
        <f>CA616*(1-PARAM!$C$27)*$I$22+(MOD($B616,60)=PARAM!$B$56)*($B616&gt;(60-PARAM!$B$56))*HLOOKUP(($B616+PARAM!$B$56)/12,Loyalty,2)*$F$1*MAX(CD615,0)</f>
        <v>18.557001321003963</v>
      </c>
      <c r="CC616" s="75">
        <f>PARAM!$C$26+MAX($G$22-CHOOSE(PARAM!$B$44,MAX(0,CD615*$F$1),0),0)*RATES!$L592/12+$H$22*(PARAM!$D$51/12)*RATES!$N592/100</f>
        <v>276.5</v>
      </c>
      <c r="CD616" s="16">
        <f t="shared" si="432"/>
        <v>-26565.000912810883</v>
      </c>
      <c r="CE616" s="33">
        <f>IF(0=MOD(B616,12/PARAM!$D$51),1,0)</f>
        <v>1</v>
      </c>
      <c r="CF616" s="15">
        <f t="shared" si="407"/>
        <v>0</v>
      </c>
      <c r="CG616" s="75">
        <f>CF616*(1-PARAM!$C$27)*$R$3+(MOD($B616/12,5)=0)*($B616&gt;60)*HLOOKUP($B616/12,Loyalty,2)*$F$1*MAX(CI615,0)</f>
        <v>0</v>
      </c>
      <c r="CH616" s="75">
        <f>PARAM!$C$26+MAX($P$3-CHOOSE(PARAM!$B$44,MAX(0,CI615*$F$1),0),0)*RATES!$L592/12+$Q$3*(PARAM!$D$51/12)*RATES!$N592/100</f>
        <v>276.5</v>
      </c>
      <c r="CI616" s="16">
        <f>IF(CI615&gt;0,CI615*PARAM!$C$53,CI615)+CG616-CH616</f>
        <v>-37375.500000000029</v>
      </c>
      <c r="CJ616" s="15">
        <f t="shared" si="433"/>
        <v>0</v>
      </c>
      <c r="CK616" s="75">
        <f>CJ616*(1-PARAM!$C$27)*$R$4+(MOD($B616/12,5)=0)*($B616&gt;60)*HLOOKUP($B616/12,Loyalty,2)*$F$1*MAX(CM615,0)</f>
        <v>0</v>
      </c>
      <c r="CL616" s="75">
        <f>PARAM!$C$26+MAX($P$4-CHOOSE(PARAM!$B$44,MAX(0,CM615*$F$1),0),0)*RATES!$L592/12+$Q$4*(PARAM!$D$51/12)*RATES!$N592/100</f>
        <v>276.5</v>
      </c>
      <c r="CM616" s="16">
        <f>IF(CM615&gt;0,CM615*PARAM!$C$53,CM615)+CK616-CL616</f>
        <v>-37375.500000000029</v>
      </c>
      <c r="CO616" s="176"/>
    </row>
    <row r="617" spans="1:93" x14ac:dyDescent="0.2">
      <c r="A617" t="b">
        <f t="shared" si="408"/>
        <v>0</v>
      </c>
      <c r="B617" s="33">
        <v>590</v>
      </c>
      <c r="C617" s="15">
        <f t="shared" si="409"/>
        <v>20.081305947392778</v>
      </c>
      <c r="D617" s="75">
        <f>C617*(1-PARAM!$C$27)*$I$3+(MOD($B617,60)=PARAM!$B$56)*($B617&gt;(60-PARAM!$B$56))*HLOOKUP(($B617+PARAM!$B$56)/12,Loyalty,2)*$F$1*MAX(F616,0)</f>
        <v>16.808053077967756</v>
      </c>
      <c r="E617" s="75">
        <f>PARAM!$C$26+MAX($G$3-CHOOSE(PARAM!$B$44,MAX(0,F616*$F$1),0),0)*RATES!$L593/12+$H$3*(PARAM!$D$51/12)*RATES!$N593/100</f>
        <v>276.5</v>
      </c>
      <c r="F617" s="16">
        <f t="shared" si="410"/>
        <v>-27891.673875402859</v>
      </c>
      <c r="G617" s="15">
        <f t="shared" si="411"/>
        <v>22.035289406060361</v>
      </c>
      <c r="H617" s="75">
        <f>G617*(1-PARAM!$C$27)*$I$4+(MOD($B617,60)=PARAM!$B$56)*($B617&gt;(60-PARAM!$B$56))*HLOOKUP(($B617+PARAM!$B$56)/12,Loyalty,2)*$F$1*MAX(J616,0)</f>
        <v>18.443537232872522</v>
      </c>
      <c r="I617" s="75">
        <f>PARAM!$C$26+MAX($G$4-CHOOSE(PARAM!$B$44,MAX(0,J616*$F$1),0),0)*RATES!$L593/12+$H$4*(PARAM!$D$51/12)*RATES!$N593/100</f>
        <v>276.5</v>
      </c>
      <c r="J617" s="16">
        <f t="shared" si="412"/>
        <v>-26892.905259887248</v>
      </c>
      <c r="K617" s="15">
        <f t="shared" si="413"/>
        <v>22.170849845882874</v>
      </c>
      <c r="L617" s="75">
        <f>K617*(1-PARAM!$C$27)*$I$5+(MOD($B617,60)=PARAM!$B$56)*($B617&gt;(60-PARAM!$B$56))*HLOOKUP(($B617+PARAM!$B$56)/12,Loyalty,2)*$F$1*MAX(N616,0)</f>
        <v>18.557001321003963</v>
      </c>
      <c r="M617" s="75">
        <f>PARAM!$C$26+MAX($G$5-CHOOSE(PARAM!$B$44,MAX(0,N616*$F$1),0),0)*RATES!$L593/12+$H$5*(PARAM!$D$51/12)*RATES!$N593/100</f>
        <v>276.5</v>
      </c>
      <c r="N617" s="16">
        <f t="shared" si="414"/>
        <v>-26822.943911489878</v>
      </c>
      <c r="O617" s="15">
        <f t="shared" si="415"/>
        <v>22.170849845882874</v>
      </c>
      <c r="P617" s="75">
        <f>O617*(1-PARAM!$C$27)*$I$6+(MOD($B617,60)=PARAM!$B$56)*($B617&gt;(60-PARAM!$B$56))*HLOOKUP(($B617+PARAM!$B$56)/12,Loyalty,2)*$F$1*MAX(R616,0)</f>
        <v>18.557001321003963</v>
      </c>
      <c r="Q617" s="75">
        <f>PARAM!$C$26+MAX($G$6-CHOOSE(PARAM!$B$44,MAX(0,R616*$F$1),0),0)*RATES!$L593/12+$H$6*(PARAM!$D$51/12)*RATES!$N593/100</f>
        <v>276.5</v>
      </c>
      <c r="R617" s="16">
        <f t="shared" si="416"/>
        <v>-26822.943911489878</v>
      </c>
      <c r="S617" s="15">
        <f t="shared" si="391"/>
        <v>22.170849845882874</v>
      </c>
      <c r="T617" s="75">
        <f>S617*(1-PARAM!$C$27)*$I$7+(MOD($B617,60)=PARAM!$B$56)*($B617&gt;(60-PARAM!$B$56))*HLOOKUP(($B617+PARAM!$B$56)/12,Loyalty,2)*$F$1*MAX(V616,0)</f>
        <v>18.557001321003963</v>
      </c>
      <c r="U617" s="75">
        <f>PARAM!$C$26+MAX($G$7-CHOOSE(PARAM!$B$44,MAX(0,V616*$F$1),0),0)*RATES!$L593/12+$H$7*(PARAM!$D$51/12)*RATES!$N593/100</f>
        <v>276.5</v>
      </c>
      <c r="V617" s="16">
        <f t="shared" si="417"/>
        <v>-26822.943911489878</v>
      </c>
      <c r="W617" s="15">
        <f t="shared" si="392"/>
        <v>22.170849845882874</v>
      </c>
      <c r="X617" s="75">
        <f>W617*(1-PARAM!$C$27)*$I$8+(MOD($B617,60)=PARAM!$B$56)*($B617&gt;(60-PARAM!$B$56))*HLOOKUP(($B617+PARAM!$B$56)/12,Loyalty,2)*$F$1*MAX(Z616,0)</f>
        <v>18.557001321003963</v>
      </c>
      <c r="Y617" s="75">
        <f>PARAM!$C$26+MAX($G$8-CHOOSE(PARAM!$B$44,MAX(0,Z616*$F$1),0),0)*RATES!$L593/12+$H$8*(PARAM!$D$51/12)*RATES!$N593/100</f>
        <v>276.5</v>
      </c>
      <c r="Z617" s="16">
        <f t="shared" si="418"/>
        <v>-26822.943911489878</v>
      </c>
      <c r="AA617" s="15">
        <f t="shared" si="393"/>
        <v>22.170849845882874</v>
      </c>
      <c r="AB617" s="75">
        <f>AA617*(1-PARAM!$C$27)*$I$9+(MOD($B617,60)=PARAM!$B$56)*($B617&gt;(60-PARAM!$B$56))*HLOOKUP(($B617+PARAM!$B$56)/12,Loyalty,2)*$F$1*MAX(AD616,0)</f>
        <v>18.557001321003963</v>
      </c>
      <c r="AC617" s="75">
        <f>PARAM!$C$26+MAX($G$9-CHOOSE(PARAM!$B$44,MAX(0,AD616*$F$1),0),0)*RATES!$L593/12+$H$9*(PARAM!$D$51/12)*RATES!$N593/100</f>
        <v>276.5</v>
      </c>
      <c r="AD617" s="16">
        <f t="shared" si="419"/>
        <v>-26822.943911489878</v>
      </c>
      <c r="AE617" s="15">
        <f t="shared" si="394"/>
        <v>22.170849845882874</v>
      </c>
      <c r="AF617" s="75">
        <f>AE617*(1-PARAM!$C$27)*$I$10+(MOD($B617,60)=PARAM!$B$56)*($B617&gt;(60-PARAM!$B$56))*HLOOKUP(($B617+PARAM!$B$56)/12,Loyalty,2)*$F$1*MAX(AH616,0)</f>
        <v>18.557001321003963</v>
      </c>
      <c r="AG617" s="75">
        <f>PARAM!$C$26+MAX($G$10-CHOOSE(PARAM!$B$44,MAX(0,AH616*$F$1),0),0)*RATES!$L593/12+$H$10*(PARAM!$D$51/12)*RATES!$N593/100</f>
        <v>276.5</v>
      </c>
      <c r="AH617" s="16">
        <f t="shared" si="420"/>
        <v>-26822.943911489878</v>
      </c>
      <c r="AI617" s="15">
        <f t="shared" si="395"/>
        <v>22.170849845882874</v>
      </c>
      <c r="AJ617" s="75">
        <f>AI617*(1-PARAM!$C$27)*$I$11+(MOD($B617,60)=PARAM!$B$56)*($B617&gt;(60-PARAM!$B$56))*HLOOKUP(($B617+PARAM!$B$56)/12,Loyalty,2)*$F$1*MAX(AL616,0)</f>
        <v>18.557001321003963</v>
      </c>
      <c r="AK617" s="75">
        <f>PARAM!$C$26+MAX($G$11-CHOOSE(PARAM!$B$44,MAX(0,AL616*$F$1),0),0)*RATES!$L593/12+$H$11*(PARAM!$D$51/12)*RATES!$N593/100</f>
        <v>276.5</v>
      </c>
      <c r="AL617" s="16">
        <f t="shared" si="421"/>
        <v>-26822.943911489878</v>
      </c>
      <c r="AM617" s="15">
        <f t="shared" si="396"/>
        <v>22.170849845882874</v>
      </c>
      <c r="AN617" s="75">
        <f>AM617*(1-PARAM!$C$27)*$I$12+(MOD($B617,60)=PARAM!$B$56)*($B617&gt;(60-PARAM!$B$56))*HLOOKUP(($B617+PARAM!$B$56)/12,Loyalty,2)*$F$1*MAX(AP616,0)</f>
        <v>18.557001321003963</v>
      </c>
      <c r="AO617" s="75">
        <f>PARAM!$C$26+MAX($G$12-CHOOSE(PARAM!$B$44,MAX(0,AP616*$F$1),0),0)*RATES!$L593/12+$H$12*(PARAM!$D$51/12)*RATES!$N593/100</f>
        <v>276.5</v>
      </c>
      <c r="AP617" s="16">
        <f t="shared" si="422"/>
        <v>-26822.943911489878</v>
      </c>
      <c r="AQ617" s="15">
        <f t="shared" si="397"/>
        <v>22.170849845882874</v>
      </c>
      <c r="AR617" s="75">
        <f>AQ617*(1-PARAM!$C$27)*$I$13+(MOD($B617,60)=PARAM!$B$56)*($B617&gt;(60-PARAM!$B$56))*HLOOKUP(($B617+PARAM!$B$56)/12,Loyalty,2)*$F$1*MAX(AT616,0)</f>
        <v>18.557001321003963</v>
      </c>
      <c r="AS617" s="75">
        <f>PARAM!$C$26+MAX($G$13-CHOOSE(PARAM!$B$44,MAX(0,AT616*$F$1),0),0)*RATES!$L593/12+$H$13*(PARAM!$D$51/12)*RATES!$N593/100</f>
        <v>276.5</v>
      </c>
      <c r="AT617" s="16">
        <f t="shared" si="423"/>
        <v>-26822.943911489878</v>
      </c>
      <c r="AU617" s="15">
        <f t="shared" si="398"/>
        <v>22.170849845882874</v>
      </c>
      <c r="AV617" s="75">
        <f>AU617*(1-PARAM!$C$27)*$I$14+(MOD($B617,60)=PARAM!$B$56)*($B617&gt;(60-PARAM!$B$56))*HLOOKUP(($B617+PARAM!$B$56)/12,Loyalty,2)*$F$1*MAX(AX616,0)</f>
        <v>18.557001321003963</v>
      </c>
      <c r="AW617" s="75">
        <f>PARAM!$C$26+MAX($G$14-CHOOSE(PARAM!$B$44,MAX(0,AX616*$F$1),0),0)*RATES!$L593/12+$H$14*(PARAM!$D$51/12)*RATES!$N593/100</f>
        <v>276.5</v>
      </c>
      <c r="AX617" s="16">
        <f t="shared" si="424"/>
        <v>-26822.943911489878</v>
      </c>
      <c r="AY617" s="15">
        <f t="shared" si="399"/>
        <v>22.170849845882874</v>
      </c>
      <c r="AZ617" s="75">
        <f>AY617*(1-PARAM!$C$27)*$I$15+(MOD($B617,60)=PARAM!$B$56)*($B617&gt;(60-PARAM!$B$56))*HLOOKUP(($B617+PARAM!$B$56)/12,Loyalty,2)*$F$1*MAX(BB616,0)</f>
        <v>18.557001321003963</v>
      </c>
      <c r="BA617" s="75">
        <f>PARAM!$C$26+MAX($G$15-CHOOSE(PARAM!$B$44,MAX(0,BB616*$F$1),0),0)*RATES!$L593/12+$H$15*(PARAM!$D$51/12)*RATES!$N593/100</f>
        <v>276.5</v>
      </c>
      <c r="BB617" s="16">
        <f t="shared" si="425"/>
        <v>-26822.943911489878</v>
      </c>
      <c r="BC617" s="15">
        <f t="shared" si="400"/>
        <v>22.170849845882874</v>
      </c>
      <c r="BD617" s="75">
        <f>BC617*(1-PARAM!$C$27)*$I$16+(MOD($B617,60)=PARAM!$B$56)*($B617&gt;(60-PARAM!$B$56))*HLOOKUP(($B617+PARAM!$B$56)/12,Loyalty,2)*$F$1*MAX(BF616,0)</f>
        <v>18.557001321003963</v>
      </c>
      <c r="BE617" s="75">
        <f>PARAM!$C$26+MAX($G$16-CHOOSE(PARAM!$B$44,MAX(0,BF616*$F$1),0),0)*RATES!$L593/12+$H$16*(PARAM!$D$51/12)*RATES!$N593/100</f>
        <v>276.5</v>
      </c>
      <c r="BF617" s="16">
        <f t="shared" si="426"/>
        <v>-26822.943911489878</v>
      </c>
      <c r="BG617" s="15">
        <f t="shared" si="401"/>
        <v>22.170849845882874</v>
      </c>
      <c r="BH617" s="75">
        <f>BG617*(1-PARAM!$C$27)*$I$17+(MOD($B617,60)=PARAM!$B$56)*($B617&gt;(60-PARAM!$B$56))*HLOOKUP(($B617+PARAM!$B$56)/12,Loyalty,2)*$F$1*MAX(BJ616,0)</f>
        <v>18.557001321003963</v>
      </c>
      <c r="BI617" s="75">
        <f>PARAM!$C$26+MAX($G$17-CHOOSE(PARAM!$B$44,MAX(0,BJ616*$F$1),0),0)*RATES!$L593/12+$H$17*(PARAM!$D$51/12)*RATES!$N593/100</f>
        <v>276.5</v>
      </c>
      <c r="BJ617" s="16">
        <f t="shared" si="427"/>
        <v>-26822.943911489878</v>
      </c>
      <c r="BK617" s="15">
        <f t="shared" si="402"/>
        <v>22.170849845882874</v>
      </c>
      <c r="BL617" s="75">
        <f>BK617*(1-PARAM!$C$27)*$I$18+(MOD($B617,60)=PARAM!$B$56)*($B617&gt;(60-PARAM!$B$56))*HLOOKUP(($B617+PARAM!$B$56)/12,Loyalty,2)*$F$1*MAX(BN616,0)</f>
        <v>18.557001321003963</v>
      </c>
      <c r="BM617" s="75">
        <f>PARAM!$C$26+MAX($G$18-CHOOSE(PARAM!$B$44,MAX(0,BN616*$F$1),0),0)*RATES!$L593/12+$H$18*(PARAM!$D$51/12)*RATES!$N593/100</f>
        <v>276.5</v>
      </c>
      <c r="BN617" s="16">
        <f t="shared" si="428"/>
        <v>-26822.943911489878</v>
      </c>
      <c r="BO617" s="15">
        <f t="shared" si="403"/>
        <v>22.170849845882874</v>
      </c>
      <c r="BP617" s="75">
        <f>BO617*(1-PARAM!$C$27)*$I$19+(MOD($B617,60)=PARAM!$B$56)*($B617&gt;(60-PARAM!$B$56))*HLOOKUP(($B617+PARAM!$B$56)/12,Loyalty,2)*$F$1*MAX(BR616,0)</f>
        <v>18.557001321003963</v>
      </c>
      <c r="BQ617" s="75">
        <f>PARAM!$C$26+MAX($G$19-CHOOSE(PARAM!$B$44,MAX(0,BR616*$F$1),0),0)*RATES!$L593/12+$H$19*(PARAM!$D$51/12)*RATES!$N593/100</f>
        <v>276.5</v>
      </c>
      <c r="BR617" s="16">
        <f t="shared" si="429"/>
        <v>-26822.943911489878</v>
      </c>
      <c r="BS617" s="15">
        <f t="shared" si="404"/>
        <v>22.170849845882874</v>
      </c>
      <c r="BT617" s="75">
        <f>BS617*(1-PARAM!$C$27)*$I$20+(MOD($B617,60)=PARAM!$B$56)*($B617&gt;(60-PARAM!$B$56))*HLOOKUP(($B617+PARAM!$B$56)/12,Loyalty,2)*$F$1*MAX(BV616,0)</f>
        <v>18.557001321003963</v>
      </c>
      <c r="BU617" s="75">
        <f>PARAM!$C$26+MAX($G$20-CHOOSE(PARAM!$B$44,MAX(0,BV616*$F$1),0),0)*RATES!$L593/12+$H$20*(PARAM!$D$51/12)*RATES!$N593/100</f>
        <v>276.5</v>
      </c>
      <c r="BV617" s="16">
        <f t="shared" si="430"/>
        <v>-26822.943911489878</v>
      </c>
      <c r="BW617" s="15">
        <f t="shared" si="405"/>
        <v>22.170849845882874</v>
      </c>
      <c r="BX617" s="75">
        <f>BW617*(1-PARAM!$C$27)*$I$21+(MOD($B617,60)=PARAM!$B$56)*($B617&gt;(60-PARAM!$B$56))*HLOOKUP(($B617+PARAM!$B$56)/12,Loyalty,2)*$F$1*MAX(BZ616,0)</f>
        <v>18.557001321003963</v>
      </c>
      <c r="BY617" s="75">
        <f>PARAM!$C$26+MAX($G$21-CHOOSE(PARAM!$B$44,MAX(0,BZ616*$F$1),0),0)*RATES!$L593/12+$H$21*(PARAM!$D$51/12)*RATES!$N593/100</f>
        <v>276.5</v>
      </c>
      <c r="BZ617" s="16">
        <f t="shared" si="431"/>
        <v>-26822.943911489878</v>
      </c>
      <c r="CA617" s="15">
        <f t="shared" si="406"/>
        <v>22.170849845882874</v>
      </c>
      <c r="CB617" s="75">
        <f>CA617*(1-PARAM!$C$27)*$I$22+(MOD($B617,60)=PARAM!$B$56)*($B617&gt;(60-PARAM!$B$56))*HLOOKUP(($B617+PARAM!$B$56)/12,Loyalty,2)*$F$1*MAX(CD616,0)</f>
        <v>18.557001321003963</v>
      </c>
      <c r="CC617" s="75">
        <f>PARAM!$C$26+MAX($G$22-CHOOSE(PARAM!$B$44,MAX(0,CD616*$F$1),0),0)*RATES!$L593/12+$H$22*(PARAM!$D$51/12)*RATES!$N593/100</f>
        <v>276.5</v>
      </c>
      <c r="CD617" s="16">
        <f t="shared" si="432"/>
        <v>-26822.943911489878</v>
      </c>
      <c r="CE617" s="33">
        <f>IF(0=MOD(B617,12/PARAM!$D$51),1,0)</f>
        <v>1</v>
      </c>
      <c r="CF617" s="15">
        <f t="shared" si="407"/>
        <v>0</v>
      </c>
      <c r="CG617" s="75">
        <f>CF617*(1-PARAM!$C$27)*$R$3+(MOD($B617/12,5)=0)*($B617&gt;60)*HLOOKUP($B617/12,Loyalty,2)*$F$1*MAX(CI616,0)</f>
        <v>0</v>
      </c>
      <c r="CH617" s="75">
        <f>PARAM!$C$26+MAX($P$3-CHOOSE(PARAM!$B$44,MAX(0,CI616*$F$1),0),0)*RATES!$L593/12+$Q$3*(PARAM!$D$51/12)*RATES!$N593/100</f>
        <v>276.5</v>
      </c>
      <c r="CI617" s="16">
        <f>IF(CI616&gt;0,CI616*PARAM!$C$53,CI616)+CG617-CH617</f>
        <v>-37652.000000000029</v>
      </c>
      <c r="CJ617" s="15">
        <f t="shared" si="433"/>
        <v>0</v>
      </c>
      <c r="CK617" s="75">
        <f>CJ617*(1-PARAM!$C$27)*$R$4+(MOD($B617/12,5)=0)*($B617&gt;60)*HLOOKUP($B617/12,Loyalty,2)*$F$1*MAX(CM616,0)</f>
        <v>0</v>
      </c>
      <c r="CL617" s="75">
        <f>PARAM!$C$26+MAX($P$4-CHOOSE(PARAM!$B$44,MAX(0,CM616*$F$1),0),0)*RATES!$L593/12+$Q$4*(PARAM!$D$51/12)*RATES!$N593/100</f>
        <v>276.5</v>
      </c>
      <c r="CM617" s="16">
        <f>IF(CM616&gt;0,CM616*PARAM!$C$53,CM616)+CK617-CL617</f>
        <v>-37652.000000000029</v>
      </c>
      <c r="CO617" s="176"/>
    </row>
    <row r="618" spans="1:93" x14ac:dyDescent="0.2">
      <c r="A618" t="b">
        <f t="shared" si="408"/>
        <v>0</v>
      </c>
      <c r="B618" s="33">
        <v>591</v>
      </c>
      <c r="C618" s="15">
        <f t="shared" si="409"/>
        <v>20.081305947392778</v>
      </c>
      <c r="D618" s="75">
        <f>C618*(1-PARAM!$C$27)*$I$3+(MOD($B618,60)=PARAM!$B$56)*($B618&gt;(60-PARAM!$B$56))*HLOOKUP(($B618+PARAM!$B$56)/12,Loyalty,2)*$F$1*MAX(F617,0)</f>
        <v>16.808053077967756</v>
      </c>
      <c r="E618" s="75">
        <f>PARAM!$C$26+MAX($G$3-CHOOSE(PARAM!$B$44,MAX(0,F617*$F$1),0),0)*RATES!$L594/12+$H$3*(PARAM!$D$51/12)*RATES!$N594/100</f>
        <v>276.5</v>
      </c>
      <c r="F618" s="16">
        <f t="shared" si="410"/>
        <v>-28151.365822324893</v>
      </c>
      <c r="G618" s="15">
        <f t="shared" si="411"/>
        <v>22.035289406060361</v>
      </c>
      <c r="H618" s="75">
        <f>G618*(1-PARAM!$C$27)*$I$4+(MOD($B618,60)=PARAM!$B$56)*($B618&gt;(60-PARAM!$B$56))*HLOOKUP(($B618+PARAM!$B$56)/12,Loyalty,2)*$F$1*MAX(J617,0)</f>
        <v>18.443537232872522</v>
      </c>
      <c r="I618" s="75">
        <f>PARAM!$C$26+MAX($G$4-CHOOSE(PARAM!$B$44,MAX(0,J617*$F$1),0),0)*RATES!$L594/12+$H$4*(PARAM!$D$51/12)*RATES!$N594/100</f>
        <v>276.5</v>
      </c>
      <c r="J618" s="16">
        <f t="shared" si="412"/>
        <v>-27150.961722654374</v>
      </c>
      <c r="K618" s="15">
        <f t="shared" si="413"/>
        <v>22.170849845882874</v>
      </c>
      <c r="L618" s="75">
        <f>K618*(1-PARAM!$C$27)*$I$5+(MOD($B618,60)=PARAM!$B$56)*($B618&gt;(60-PARAM!$B$56))*HLOOKUP(($B618+PARAM!$B$56)/12,Loyalty,2)*$F$1*MAX(N617,0)</f>
        <v>18.557001321003963</v>
      </c>
      <c r="M618" s="75">
        <f>PARAM!$C$26+MAX($G$5-CHOOSE(PARAM!$B$44,MAX(0,N617*$F$1),0),0)*RATES!$L594/12+$H$5*(PARAM!$D$51/12)*RATES!$N594/100</f>
        <v>276.5</v>
      </c>
      <c r="N618" s="16">
        <f t="shared" si="414"/>
        <v>-27080.886910168872</v>
      </c>
      <c r="O618" s="15">
        <f t="shared" si="415"/>
        <v>22.170849845882874</v>
      </c>
      <c r="P618" s="75">
        <f>O618*(1-PARAM!$C$27)*$I$6+(MOD($B618,60)=PARAM!$B$56)*($B618&gt;(60-PARAM!$B$56))*HLOOKUP(($B618+PARAM!$B$56)/12,Loyalty,2)*$F$1*MAX(R617,0)</f>
        <v>18.557001321003963</v>
      </c>
      <c r="Q618" s="75">
        <f>PARAM!$C$26+MAX($G$6-CHOOSE(PARAM!$B$44,MAX(0,R617*$F$1),0),0)*RATES!$L594/12+$H$6*(PARAM!$D$51/12)*RATES!$N594/100</f>
        <v>276.5</v>
      </c>
      <c r="R618" s="16">
        <f t="shared" si="416"/>
        <v>-27080.886910168872</v>
      </c>
      <c r="S618" s="15">
        <f t="shared" si="391"/>
        <v>22.170849845882874</v>
      </c>
      <c r="T618" s="75">
        <f>S618*(1-PARAM!$C$27)*$I$7+(MOD($B618,60)=PARAM!$B$56)*($B618&gt;(60-PARAM!$B$56))*HLOOKUP(($B618+PARAM!$B$56)/12,Loyalty,2)*$F$1*MAX(V617,0)</f>
        <v>18.557001321003963</v>
      </c>
      <c r="U618" s="75">
        <f>PARAM!$C$26+MAX($G$7-CHOOSE(PARAM!$B$44,MAX(0,V617*$F$1),0),0)*RATES!$L594/12+$H$7*(PARAM!$D$51/12)*RATES!$N594/100</f>
        <v>276.5</v>
      </c>
      <c r="V618" s="16">
        <f t="shared" si="417"/>
        <v>-27080.886910168872</v>
      </c>
      <c r="W618" s="15">
        <f t="shared" si="392"/>
        <v>22.170849845882874</v>
      </c>
      <c r="X618" s="75">
        <f>W618*(1-PARAM!$C$27)*$I$8+(MOD($B618,60)=PARAM!$B$56)*($B618&gt;(60-PARAM!$B$56))*HLOOKUP(($B618+PARAM!$B$56)/12,Loyalty,2)*$F$1*MAX(Z617,0)</f>
        <v>18.557001321003963</v>
      </c>
      <c r="Y618" s="75">
        <f>PARAM!$C$26+MAX($G$8-CHOOSE(PARAM!$B$44,MAX(0,Z617*$F$1),0),0)*RATES!$L594/12+$H$8*(PARAM!$D$51/12)*RATES!$N594/100</f>
        <v>276.5</v>
      </c>
      <c r="Z618" s="16">
        <f t="shared" si="418"/>
        <v>-27080.886910168872</v>
      </c>
      <c r="AA618" s="15">
        <f t="shared" si="393"/>
        <v>22.170849845882874</v>
      </c>
      <c r="AB618" s="75">
        <f>AA618*(1-PARAM!$C$27)*$I$9+(MOD($B618,60)=PARAM!$B$56)*($B618&gt;(60-PARAM!$B$56))*HLOOKUP(($B618+PARAM!$B$56)/12,Loyalty,2)*$F$1*MAX(AD617,0)</f>
        <v>18.557001321003963</v>
      </c>
      <c r="AC618" s="75">
        <f>PARAM!$C$26+MAX($G$9-CHOOSE(PARAM!$B$44,MAX(0,AD617*$F$1),0),0)*RATES!$L594/12+$H$9*(PARAM!$D$51/12)*RATES!$N594/100</f>
        <v>276.5</v>
      </c>
      <c r="AD618" s="16">
        <f t="shared" si="419"/>
        <v>-27080.886910168872</v>
      </c>
      <c r="AE618" s="15">
        <f t="shared" si="394"/>
        <v>22.170849845882874</v>
      </c>
      <c r="AF618" s="75">
        <f>AE618*(1-PARAM!$C$27)*$I$10+(MOD($B618,60)=PARAM!$B$56)*($B618&gt;(60-PARAM!$B$56))*HLOOKUP(($B618+PARAM!$B$56)/12,Loyalty,2)*$F$1*MAX(AH617,0)</f>
        <v>18.557001321003963</v>
      </c>
      <c r="AG618" s="75">
        <f>PARAM!$C$26+MAX($G$10-CHOOSE(PARAM!$B$44,MAX(0,AH617*$F$1),0),0)*RATES!$L594/12+$H$10*(PARAM!$D$51/12)*RATES!$N594/100</f>
        <v>276.5</v>
      </c>
      <c r="AH618" s="16">
        <f t="shared" si="420"/>
        <v>-27080.886910168872</v>
      </c>
      <c r="AI618" s="15">
        <f t="shared" si="395"/>
        <v>22.170849845882874</v>
      </c>
      <c r="AJ618" s="75">
        <f>AI618*(1-PARAM!$C$27)*$I$11+(MOD($B618,60)=PARAM!$B$56)*($B618&gt;(60-PARAM!$B$56))*HLOOKUP(($B618+PARAM!$B$56)/12,Loyalty,2)*$F$1*MAX(AL617,0)</f>
        <v>18.557001321003963</v>
      </c>
      <c r="AK618" s="75">
        <f>PARAM!$C$26+MAX($G$11-CHOOSE(PARAM!$B$44,MAX(0,AL617*$F$1),0),0)*RATES!$L594/12+$H$11*(PARAM!$D$51/12)*RATES!$N594/100</f>
        <v>276.5</v>
      </c>
      <c r="AL618" s="16">
        <f t="shared" si="421"/>
        <v>-27080.886910168872</v>
      </c>
      <c r="AM618" s="15">
        <f t="shared" si="396"/>
        <v>22.170849845882874</v>
      </c>
      <c r="AN618" s="75">
        <f>AM618*(1-PARAM!$C$27)*$I$12+(MOD($B618,60)=PARAM!$B$56)*($B618&gt;(60-PARAM!$B$56))*HLOOKUP(($B618+PARAM!$B$56)/12,Loyalty,2)*$F$1*MAX(AP617,0)</f>
        <v>18.557001321003963</v>
      </c>
      <c r="AO618" s="75">
        <f>PARAM!$C$26+MAX($G$12-CHOOSE(PARAM!$B$44,MAX(0,AP617*$F$1),0),0)*RATES!$L594/12+$H$12*(PARAM!$D$51/12)*RATES!$N594/100</f>
        <v>276.5</v>
      </c>
      <c r="AP618" s="16">
        <f t="shared" si="422"/>
        <v>-27080.886910168872</v>
      </c>
      <c r="AQ618" s="15">
        <f t="shared" si="397"/>
        <v>22.170849845882874</v>
      </c>
      <c r="AR618" s="75">
        <f>AQ618*(1-PARAM!$C$27)*$I$13+(MOD($B618,60)=PARAM!$B$56)*($B618&gt;(60-PARAM!$B$56))*HLOOKUP(($B618+PARAM!$B$56)/12,Loyalty,2)*$F$1*MAX(AT617,0)</f>
        <v>18.557001321003963</v>
      </c>
      <c r="AS618" s="75">
        <f>PARAM!$C$26+MAX($G$13-CHOOSE(PARAM!$B$44,MAX(0,AT617*$F$1),0),0)*RATES!$L594/12+$H$13*(PARAM!$D$51/12)*RATES!$N594/100</f>
        <v>276.5</v>
      </c>
      <c r="AT618" s="16">
        <f t="shared" si="423"/>
        <v>-27080.886910168872</v>
      </c>
      <c r="AU618" s="15">
        <f t="shared" si="398"/>
        <v>22.170849845882874</v>
      </c>
      <c r="AV618" s="75">
        <f>AU618*(1-PARAM!$C$27)*$I$14+(MOD($B618,60)=PARAM!$B$56)*($B618&gt;(60-PARAM!$B$56))*HLOOKUP(($B618+PARAM!$B$56)/12,Loyalty,2)*$F$1*MAX(AX617,0)</f>
        <v>18.557001321003963</v>
      </c>
      <c r="AW618" s="75">
        <f>PARAM!$C$26+MAX($G$14-CHOOSE(PARAM!$B$44,MAX(0,AX617*$F$1),0),0)*RATES!$L594/12+$H$14*(PARAM!$D$51/12)*RATES!$N594/100</f>
        <v>276.5</v>
      </c>
      <c r="AX618" s="16">
        <f t="shared" si="424"/>
        <v>-27080.886910168872</v>
      </c>
      <c r="AY618" s="15">
        <f t="shared" si="399"/>
        <v>22.170849845882874</v>
      </c>
      <c r="AZ618" s="75">
        <f>AY618*(1-PARAM!$C$27)*$I$15+(MOD($B618,60)=PARAM!$B$56)*($B618&gt;(60-PARAM!$B$56))*HLOOKUP(($B618+PARAM!$B$56)/12,Loyalty,2)*$F$1*MAX(BB617,0)</f>
        <v>18.557001321003963</v>
      </c>
      <c r="BA618" s="75">
        <f>PARAM!$C$26+MAX($G$15-CHOOSE(PARAM!$B$44,MAX(0,BB617*$F$1),0),0)*RATES!$L594/12+$H$15*(PARAM!$D$51/12)*RATES!$N594/100</f>
        <v>276.5</v>
      </c>
      <c r="BB618" s="16">
        <f t="shared" si="425"/>
        <v>-27080.886910168872</v>
      </c>
      <c r="BC618" s="15">
        <f t="shared" si="400"/>
        <v>22.170849845882874</v>
      </c>
      <c r="BD618" s="75">
        <f>BC618*(1-PARAM!$C$27)*$I$16+(MOD($B618,60)=PARAM!$B$56)*($B618&gt;(60-PARAM!$B$56))*HLOOKUP(($B618+PARAM!$B$56)/12,Loyalty,2)*$F$1*MAX(BF617,0)</f>
        <v>18.557001321003963</v>
      </c>
      <c r="BE618" s="75">
        <f>PARAM!$C$26+MAX($G$16-CHOOSE(PARAM!$B$44,MAX(0,BF617*$F$1),0),0)*RATES!$L594/12+$H$16*(PARAM!$D$51/12)*RATES!$N594/100</f>
        <v>276.5</v>
      </c>
      <c r="BF618" s="16">
        <f t="shared" si="426"/>
        <v>-27080.886910168872</v>
      </c>
      <c r="BG618" s="15">
        <f t="shared" si="401"/>
        <v>22.170849845882874</v>
      </c>
      <c r="BH618" s="75">
        <f>BG618*(1-PARAM!$C$27)*$I$17+(MOD($B618,60)=PARAM!$B$56)*($B618&gt;(60-PARAM!$B$56))*HLOOKUP(($B618+PARAM!$B$56)/12,Loyalty,2)*$F$1*MAX(BJ617,0)</f>
        <v>18.557001321003963</v>
      </c>
      <c r="BI618" s="75">
        <f>PARAM!$C$26+MAX($G$17-CHOOSE(PARAM!$B$44,MAX(0,BJ617*$F$1),0),0)*RATES!$L594/12+$H$17*(PARAM!$D$51/12)*RATES!$N594/100</f>
        <v>276.5</v>
      </c>
      <c r="BJ618" s="16">
        <f t="shared" si="427"/>
        <v>-27080.886910168872</v>
      </c>
      <c r="BK618" s="15">
        <f t="shared" si="402"/>
        <v>22.170849845882874</v>
      </c>
      <c r="BL618" s="75">
        <f>BK618*(1-PARAM!$C$27)*$I$18+(MOD($B618,60)=PARAM!$B$56)*($B618&gt;(60-PARAM!$B$56))*HLOOKUP(($B618+PARAM!$B$56)/12,Loyalty,2)*$F$1*MAX(BN617,0)</f>
        <v>18.557001321003963</v>
      </c>
      <c r="BM618" s="75">
        <f>PARAM!$C$26+MAX($G$18-CHOOSE(PARAM!$B$44,MAX(0,BN617*$F$1),0),0)*RATES!$L594/12+$H$18*(PARAM!$D$51/12)*RATES!$N594/100</f>
        <v>276.5</v>
      </c>
      <c r="BN618" s="16">
        <f t="shared" si="428"/>
        <v>-27080.886910168872</v>
      </c>
      <c r="BO618" s="15">
        <f t="shared" si="403"/>
        <v>22.170849845882874</v>
      </c>
      <c r="BP618" s="75">
        <f>BO618*(1-PARAM!$C$27)*$I$19+(MOD($B618,60)=PARAM!$B$56)*($B618&gt;(60-PARAM!$B$56))*HLOOKUP(($B618+PARAM!$B$56)/12,Loyalty,2)*$F$1*MAX(BR617,0)</f>
        <v>18.557001321003963</v>
      </c>
      <c r="BQ618" s="75">
        <f>PARAM!$C$26+MAX($G$19-CHOOSE(PARAM!$B$44,MAX(0,BR617*$F$1),0),0)*RATES!$L594/12+$H$19*(PARAM!$D$51/12)*RATES!$N594/100</f>
        <v>276.5</v>
      </c>
      <c r="BR618" s="16">
        <f t="shared" si="429"/>
        <v>-27080.886910168872</v>
      </c>
      <c r="BS618" s="15">
        <f t="shared" si="404"/>
        <v>22.170849845882874</v>
      </c>
      <c r="BT618" s="75">
        <f>BS618*(1-PARAM!$C$27)*$I$20+(MOD($B618,60)=PARAM!$B$56)*($B618&gt;(60-PARAM!$B$56))*HLOOKUP(($B618+PARAM!$B$56)/12,Loyalty,2)*$F$1*MAX(BV617,0)</f>
        <v>18.557001321003963</v>
      </c>
      <c r="BU618" s="75">
        <f>PARAM!$C$26+MAX($G$20-CHOOSE(PARAM!$B$44,MAX(0,BV617*$F$1),0),0)*RATES!$L594/12+$H$20*(PARAM!$D$51/12)*RATES!$N594/100</f>
        <v>276.5</v>
      </c>
      <c r="BV618" s="16">
        <f t="shared" si="430"/>
        <v>-27080.886910168872</v>
      </c>
      <c r="BW618" s="15">
        <f t="shared" si="405"/>
        <v>22.170849845882874</v>
      </c>
      <c r="BX618" s="75">
        <f>BW618*(1-PARAM!$C$27)*$I$21+(MOD($B618,60)=PARAM!$B$56)*($B618&gt;(60-PARAM!$B$56))*HLOOKUP(($B618+PARAM!$B$56)/12,Loyalty,2)*$F$1*MAX(BZ617,0)</f>
        <v>18.557001321003963</v>
      </c>
      <c r="BY618" s="75">
        <f>PARAM!$C$26+MAX($G$21-CHOOSE(PARAM!$B$44,MAX(0,BZ617*$F$1),0),0)*RATES!$L594/12+$H$21*(PARAM!$D$51/12)*RATES!$N594/100</f>
        <v>276.5</v>
      </c>
      <c r="BZ618" s="16">
        <f t="shared" si="431"/>
        <v>-27080.886910168872</v>
      </c>
      <c r="CA618" s="15">
        <f t="shared" si="406"/>
        <v>22.170849845882874</v>
      </c>
      <c r="CB618" s="75">
        <f>CA618*(1-PARAM!$C$27)*$I$22+(MOD($B618,60)=PARAM!$B$56)*($B618&gt;(60-PARAM!$B$56))*HLOOKUP(($B618+PARAM!$B$56)/12,Loyalty,2)*$F$1*MAX(CD617,0)</f>
        <v>18.557001321003963</v>
      </c>
      <c r="CC618" s="75">
        <f>PARAM!$C$26+MAX($G$22-CHOOSE(PARAM!$B$44,MAX(0,CD617*$F$1),0),0)*RATES!$L594/12+$H$22*(PARAM!$D$51/12)*RATES!$N594/100</f>
        <v>276.5</v>
      </c>
      <c r="CD618" s="16">
        <f t="shared" si="432"/>
        <v>-27080.886910168872</v>
      </c>
      <c r="CE618" s="33">
        <f>IF(0=MOD(B618,12/PARAM!$D$51),1,0)</f>
        <v>1</v>
      </c>
      <c r="CF618" s="15">
        <f t="shared" si="407"/>
        <v>0</v>
      </c>
      <c r="CG618" s="75">
        <f>CF618*(1-PARAM!$C$27)*$R$3+(MOD($B618/12,5)=0)*($B618&gt;60)*HLOOKUP($B618/12,Loyalty,2)*$F$1*MAX(CI617,0)</f>
        <v>0</v>
      </c>
      <c r="CH618" s="75">
        <f>PARAM!$C$26+MAX($P$3-CHOOSE(PARAM!$B$44,MAX(0,CI617*$F$1),0),0)*RATES!$L594/12+$Q$3*(PARAM!$D$51/12)*RATES!$N594/100</f>
        <v>276.5</v>
      </c>
      <c r="CI618" s="16">
        <f>IF(CI617&gt;0,CI617*PARAM!$C$53,CI617)+CG618-CH618</f>
        <v>-37928.500000000029</v>
      </c>
      <c r="CJ618" s="15">
        <f t="shared" si="433"/>
        <v>0</v>
      </c>
      <c r="CK618" s="75">
        <f>CJ618*(1-PARAM!$C$27)*$R$4+(MOD($B618/12,5)=0)*($B618&gt;60)*HLOOKUP($B618/12,Loyalty,2)*$F$1*MAX(CM617,0)</f>
        <v>0</v>
      </c>
      <c r="CL618" s="75">
        <f>PARAM!$C$26+MAX($P$4-CHOOSE(PARAM!$B$44,MAX(0,CM617*$F$1),0),0)*RATES!$L594/12+$Q$4*(PARAM!$D$51/12)*RATES!$N594/100</f>
        <v>276.5</v>
      </c>
      <c r="CM618" s="16">
        <f>IF(CM617&gt;0,CM617*PARAM!$C$53,CM617)+CK618-CL618</f>
        <v>-37928.500000000029</v>
      </c>
      <c r="CO618" s="176"/>
    </row>
    <row r="619" spans="1:93" x14ac:dyDescent="0.2">
      <c r="A619" t="b">
        <f t="shared" si="408"/>
        <v>0</v>
      </c>
      <c r="B619" s="33">
        <v>592</v>
      </c>
      <c r="C619" s="15">
        <f t="shared" si="409"/>
        <v>20.081305947392778</v>
      </c>
      <c r="D619" s="75">
        <f>C619*(1-PARAM!$C$27)*$I$3+(MOD($B619,60)=PARAM!$B$56)*($B619&gt;(60-PARAM!$B$56))*HLOOKUP(($B619+PARAM!$B$56)/12,Loyalty,2)*$F$1*MAX(F618,0)</f>
        <v>16.808053077967756</v>
      </c>
      <c r="E619" s="75">
        <f>PARAM!$C$26+MAX($G$3-CHOOSE(PARAM!$B$44,MAX(0,F618*$F$1),0),0)*RATES!$L595/12+$H$3*(PARAM!$D$51/12)*RATES!$N595/100</f>
        <v>276.5</v>
      </c>
      <c r="F619" s="16">
        <f t="shared" si="410"/>
        <v>-28411.057769246927</v>
      </c>
      <c r="G619" s="15">
        <f t="shared" si="411"/>
        <v>22.035289406060361</v>
      </c>
      <c r="H619" s="75">
        <f>G619*(1-PARAM!$C$27)*$I$4+(MOD($B619,60)=PARAM!$B$56)*($B619&gt;(60-PARAM!$B$56))*HLOOKUP(($B619+PARAM!$B$56)/12,Loyalty,2)*$F$1*MAX(J618,0)</f>
        <v>18.443537232872522</v>
      </c>
      <c r="I619" s="75">
        <f>PARAM!$C$26+MAX($G$4-CHOOSE(PARAM!$B$44,MAX(0,J618*$F$1),0),0)*RATES!$L595/12+$H$4*(PARAM!$D$51/12)*RATES!$N595/100</f>
        <v>276.5</v>
      </c>
      <c r="J619" s="16">
        <f t="shared" si="412"/>
        <v>-27409.018185421501</v>
      </c>
      <c r="K619" s="15">
        <f t="shared" si="413"/>
        <v>22.170849845882874</v>
      </c>
      <c r="L619" s="75">
        <f>K619*(1-PARAM!$C$27)*$I$5+(MOD($B619,60)=PARAM!$B$56)*($B619&gt;(60-PARAM!$B$56))*HLOOKUP(($B619+PARAM!$B$56)/12,Loyalty,2)*$F$1*MAX(N618,0)</f>
        <v>18.557001321003963</v>
      </c>
      <c r="M619" s="75">
        <f>PARAM!$C$26+MAX($G$5-CHOOSE(PARAM!$B$44,MAX(0,N618*$F$1),0),0)*RATES!$L595/12+$H$5*(PARAM!$D$51/12)*RATES!$N595/100</f>
        <v>276.5</v>
      </c>
      <c r="N619" s="16">
        <f t="shared" si="414"/>
        <v>-27338.829908847867</v>
      </c>
      <c r="O619" s="15">
        <f t="shared" si="415"/>
        <v>22.170849845882874</v>
      </c>
      <c r="P619" s="75">
        <f>O619*(1-PARAM!$C$27)*$I$6+(MOD($B619,60)=PARAM!$B$56)*($B619&gt;(60-PARAM!$B$56))*HLOOKUP(($B619+PARAM!$B$56)/12,Loyalty,2)*$F$1*MAX(R618,0)</f>
        <v>18.557001321003963</v>
      </c>
      <c r="Q619" s="75">
        <f>PARAM!$C$26+MAX($G$6-CHOOSE(PARAM!$B$44,MAX(0,R618*$F$1),0),0)*RATES!$L595/12+$H$6*(PARAM!$D$51/12)*RATES!$N595/100</f>
        <v>276.5</v>
      </c>
      <c r="R619" s="16">
        <f t="shared" si="416"/>
        <v>-27338.829908847867</v>
      </c>
      <c r="S619" s="15">
        <f t="shared" si="391"/>
        <v>22.170849845882874</v>
      </c>
      <c r="T619" s="75">
        <f>S619*(1-PARAM!$C$27)*$I$7+(MOD($B619,60)=PARAM!$B$56)*($B619&gt;(60-PARAM!$B$56))*HLOOKUP(($B619+PARAM!$B$56)/12,Loyalty,2)*$F$1*MAX(V618,0)</f>
        <v>18.557001321003963</v>
      </c>
      <c r="U619" s="75">
        <f>PARAM!$C$26+MAX($G$7-CHOOSE(PARAM!$B$44,MAX(0,V618*$F$1),0),0)*RATES!$L595/12+$H$7*(PARAM!$D$51/12)*RATES!$N595/100</f>
        <v>276.5</v>
      </c>
      <c r="V619" s="16">
        <f t="shared" si="417"/>
        <v>-27338.829908847867</v>
      </c>
      <c r="W619" s="15">
        <f t="shared" si="392"/>
        <v>22.170849845882874</v>
      </c>
      <c r="X619" s="75">
        <f>W619*(1-PARAM!$C$27)*$I$8+(MOD($B619,60)=PARAM!$B$56)*($B619&gt;(60-PARAM!$B$56))*HLOOKUP(($B619+PARAM!$B$56)/12,Loyalty,2)*$F$1*MAX(Z618,0)</f>
        <v>18.557001321003963</v>
      </c>
      <c r="Y619" s="75">
        <f>PARAM!$C$26+MAX($G$8-CHOOSE(PARAM!$B$44,MAX(0,Z618*$F$1),0),0)*RATES!$L595/12+$H$8*(PARAM!$D$51/12)*RATES!$N595/100</f>
        <v>276.5</v>
      </c>
      <c r="Z619" s="16">
        <f t="shared" si="418"/>
        <v>-27338.829908847867</v>
      </c>
      <c r="AA619" s="15">
        <f t="shared" si="393"/>
        <v>22.170849845882874</v>
      </c>
      <c r="AB619" s="75">
        <f>AA619*(1-PARAM!$C$27)*$I$9+(MOD($B619,60)=PARAM!$B$56)*($B619&gt;(60-PARAM!$B$56))*HLOOKUP(($B619+PARAM!$B$56)/12,Loyalty,2)*$F$1*MAX(AD618,0)</f>
        <v>18.557001321003963</v>
      </c>
      <c r="AC619" s="75">
        <f>PARAM!$C$26+MAX($G$9-CHOOSE(PARAM!$B$44,MAX(0,AD618*$F$1),0),0)*RATES!$L595/12+$H$9*(PARAM!$D$51/12)*RATES!$N595/100</f>
        <v>276.5</v>
      </c>
      <c r="AD619" s="16">
        <f t="shared" si="419"/>
        <v>-27338.829908847867</v>
      </c>
      <c r="AE619" s="15">
        <f t="shared" si="394"/>
        <v>22.170849845882874</v>
      </c>
      <c r="AF619" s="75">
        <f>AE619*(1-PARAM!$C$27)*$I$10+(MOD($B619,60)=PARAM!$B$56)*($B619&gt;(60-PARAM!$B$56))*HLOOKUP(($B619+PARAM!$B$56)/12,Loyalty,2)*$F$1*MAX(AH618,0)</f>
        <v>18.557001321003963</v>
      </c>
      <c r="AG619" s="75">
        <f>PARAM!$C$26+MAX($G$10-CHOOSE(PARAM!$B$44,MAX(0,AH618*$F$1),0),0)*RATES!$L595/12+$H$10*(PARAM!$D$51/12)*RATES!$N595/100</f>
        <v>276.5</v>
      </c>
      <c r="AH619" s="16">
        <f t="shared" si="420"/>
        <v>-27338.829908847867</v>
      </c>
      <c r="AI619" s="15">
        <f t="shared" si="395"/>
        <v>22.170849845882874</v>
      </c>
      <c r="AJ619" s="75">
        <f>AI619*(1-PARAM!$C$27)*$I$11+(MOD($B619,60)=PARAM!$B$56)*($B619&gt;(60-PARAM!$B$56))*HLOOKUP(($B619+PARAM!$B$56)/12,Loyalty,2)*$F$1*MAX(AL618,0)</f>
        <v>18.557001321003963</v>
      </c>
      <c r="AK619" s="75">
        <f>PARAM!$C$26+MAX($G$11-CHOOSE(PARAM!$B$44,MAX(0,AL618*$F$1),0),0)*RATES!$L595/12+$H$11*(PARAM!$D$51/12)*RATES!$N595/100</f>
        <v>276.5</v>
      </c>
      <c r="AL619" s="16">
        <f t="shared" si="421"/>
        <v>-27338.829908847867</v>
      </c>
      <c r="AM619" s="15">
        <f t="shared" si="396"/>
        <v>22.170849845882874</v>
      </c>
      <c r="AN619" s="75">
        <f>AM619*(1-PARAM!$C$27)*$I$12+(MOD($B619,60)=PARAM!$B$56)*($B619&gt;(60-PARAM!$B$56))*HLOOKUP(($B619+PARAM!$B$56)/12,Loyalty,2)*$F$1*MAX(AP618,0)</f>
        <v>18.557001321003963</v>
      </c>
      <c r="AO619" s="75">
        <f>PARAM!$C$26+MAX($G$12-CHOOSE(PARAM!$B$44,MAX(0,AP618*$F$1),0),0)*RATES!$L595/12+$H$12*(PARAM!$D$51/12)*RATES!$N595/100</f>
        <v>276.5</v>
      </c>
      <c r="AP619" s="16">
        <f t="shared" si="422"/>
        <v>-27338.829908847867</v>
      </c>
      <c r="AQ619" s="15">
        <f t="shared" si="397"/>
        <v>22.170849845882874</v>
      </c>
      <c r="AR619" s="75">
        <f>AQ619*(1-PARAM!$C$27)*$I$13+(MOD($B619,60)=PARAM!$B$56)*($B619&gt;(60-PARAM!$B$56))*HLOOKUP(($B619+PARAM!$B$56)/12,Loyalty,2)*$F$1*MAX(AT618,0)</f>
        <v>18.557001321003963</v>
      </c>
      <c r="AS619" s="75">
        <f>PARAM!$C$26+MAX($G$13-CHOOSE(PARAM!$B$44,MAX(0,AT618*$F$1),0),0)*RATES!$L595/12+$H$13*(PARAM!$D$51/12)*RATES!$N595/100</f>
        <v>276.5</v>
      </c>
      <c r="AT619" s="16">
        <f t="shared" si="423"/>
        <v>-27338.829908847867</v>
      </c>
      <c r="AU619" s="15">
        <f t="shared" si="398"/>
        <v>22.170849845882874</v>
      </c>
      <c r="AV619" s="75">
        <f>AU619*(1-PARAM!$C$27)*$I$14+(MOD($B619,60)=PARAM!$B$56)*($B619&gt;(60-PARAM!$B$56))*HLOOKUP(($B619+PARAM!$B$56)/12,Loyalty,2)*$F$1*MAX(AX618,0)</f>
        <v>18.557001321003963</v>
      </c>
      <c r="AW619" s="75">
        <f>PARAM!$C$26+MAX($G$14-CHOOSE(PARAM!$B$44,MAX(0,AX618*$F$1),0),0)*RATES!$L595/12+$H$14*(PARAM!$D$51/12)*RATES!$N595/100</f>
        <v>276.5</v>
      </c>
      <c r="AX619" s="16">
        <f t="shared" si="424"/>
        <v>-27338.829908847867</v>
      </c>
      <c r="AY619" s="15">
        <f t="shared" si="399"/>
        <v>22.170849845882874</v>
      </c>
      <c r="AZ619" s="75">
        <f>AY619*(1-PARAM!$C$27)*$I$15+(MOD($B619,60)=PARAM!$B$56)*($B619&gt;(60-PARAM!$B$56))*HLOOKUP(($B619+PARAM!$B$56)/12,Loyalty,2)*$F$1*MAX(BB618,0)</f>
        <v>18.557001321003963</v>
      </c>
      <c r="BA619" s="75">
        <f>PARAM!$C$26+MAX($G$15-CHOOSE(PARAM!$B$44,MAX(0,BB618*$F$1),0),0)*RATES!$L595/12+$H$15*(PARAM!$D$51/12)*RATES!$N595/100</f>
        <v>276.5</v>
      </c>
      <c r="BB619" s="16">
        <f t="shared" si="425"/>
        <v>-27338.829908847867</v>
      </c>
      <c r="BC619" s="15">
        <f t="shared" si="400"/>
        <v>22.170849845882874</v>
      </c>
      <c r="BD619" s="75">
        <f>BC619*(1-PARAM!$C$27)*$I$16+(MOD($B619,60)=PARAM!$B$56)*($B619&gt;(60-PARAM!$B$56))*HLOOKUP(($B619+PARAM!$B$56)/12,Loyalty,2)*$F$1*MAX(BF618,0)</f>
        <v>18.557001321003963</v>
      </c>
      <c r="BE619" s="75">
        <f>PARAM!$C$26+MAX($G$16-CHOOSE(PARAM!$B$44,MAX(0,BF618*$F$1),0),0)*RATES!$L595/12+$H$16*(PARAM!$D$51/12)*RATES!$N595/100</f>
        <v>276.5</v>
      </c>
      <c r="BF619" s="16">
        <f t="shared" si="426"/>
        <v>-27338.829908847867</v>
      </c>
      <c r="BG619" s="15">
        <f t="shared" si="401"/>
        <v>22.170849845882874</v>
      </c>
      <c r="BH619" s="75">
        <f>BG619*(1-PARAM!$C$27)*$I$17+(MOD($B619,60)=PARAM!$B$56)*($B619&gt;(60-PARAM!$B$56))*HLOOKUP(($B619+PARAM!$B$56)/12,Loyalty,2)*$F$1*MAX(BJ618,0)</f>
        <v>18.557001321003963</v>
      </c>
      <c r="BI619" s="75">
        <f>PARAM!$C$26+MAX($G$17-CHOOSE(PARAM!$B$44,MAX(0,BJ618*$F$1),0),0)*RATES!$L595/12+$H$17*(PARAM!$D$51/12)*RATES!$N595/100</f>
        <v>276.5</v>
      </c>
      <c r="BJ619" s="16">
        <f t="shared" si="427"/>
        <v>-27338.829908847867</v>
      </c>
      <c r="BK619" s="15">
        <f t="shared" si="402"/>
        <v>22.170849845882874</v>
      </c>
      <c r="BL619" s="75">
        <f>BK619*(1-PARAM!$C$27)*$I$18+(MOD($B619,60)=PARAM!$B$56)*($B619&gt;(60-PARAM!$B$56))*HLOOKUP(($B619+PARAM!$B$56)/12,Loyalty,2)*$F$1*MAX(BN618,0)</f>
        <v>18.557001321003963</v>
      </c>
      <c r="BM619" s="75">
        <f>PARAM!$C$26+MAX($G$18-CHOOSE(PARAM!$B$44,MAX(0,BN618*$F$1),0),0)*RATES!$L595/12+$H$18*(PARAM!$D$51/12)*RATES!$N595/100</f>
        <v>276.5</v>
      </c>
      <c r="BN619" s="16">
        <f t="shared" si="428"/>
        <v>-27338.829908847867</v>
      </c>
      <c r="BO619" s="15">
        <f t="shared" si="403"/>
        <v>22.170849845882874</v>
      </c>
      <c r="BP619" s="75">
        <f>BO619*(1-PARAM!$C$27)*$I$19+(MOD($B619,60)=PARAM!$B$56)*($B619&gt;(60-PARAM!$B$56))*HLOOKUP(($B619+PARAM!$B$56)/12,Loyalty,2)*$F$1*MAX(BR618,0)</f>
        <v>18.557001321003963</v>
      </c>
      <c r="BQ619" s="75">
        <f>PARAM!$C$26+MAX($G$19-CHOOSE(PARAM!$B$44,MAX(0,BR618*$F$1),0),0)*RATES!$L595/12+$H$19*(PARAM!$D$51/12)*RATES!$N595/100</f>
        <v>276.5</v>
      </c>
      <c r="BR619" s="16">
        <f t="shared" si="429"/>
        <v>-27338.829908847867</v>
      </c>
      <c r="BS619" s="15">
        <f t="shared" si="404"/>
        <v>22.170849845882874</v>
      </c>
      <c r="BT619" s="75">
        <f>BS619*(1-PARAM!$C$27)*$I$20+(MOD($B619,60)=PARAM!$B$56)*($B619&gt;(60-PARAM!$B$56))*HLOOKUP(($B619+PARAM!$B$56)/12,Loyalty,2)*$F$1*MAX(BV618,0)</f>
        <v>18.557001321003963</v>
      </c>
      <c r="BU619" s="75">
        <f>PARAM!$C$26+MAX($G$20-CHOOSE(PARAM!$B$44,MAX(0,BV618*$F$1),0),0)*RATES!$L595/12+$H$20*(PARAM!$D$51/12)*RATES!$N595/100</f>
        <v>276.5</v>
      </c>
      <c r="BV619" s="16">
        <f t="shared" si="430"/>
        <v>-27338.829908847867</v>
      </c>
      <c r="BW619" s="15">
        <f t="shared" si="405"/>
        <v>22.170849845882874</v>
      </c>
      <c r="BX619" s="75">
        <f>BW619*(1-PARAM!$C$27)*$I$21+(MOD($B619,60)=PARAM!$B$56)*($B619&gt;(60-PARAM!$B$56))*HLOOKUP(($B619+PARAM!$B$56)/12,Loyalty,2)*$F$1*MAX(BZ618,0)</f>
        <v>18.557001321003963</v>
      </c>
      <c r="BY619" s="75">
        <f>PARAM!$C$26+MAX($G$21-CHOOSE(PARAM!$B$44,MAX(0,BZ618*$F$1),0),0)*RATES!$L595/12+$H$21*(PARAM!$D$51/12)*RATES!$N595/100</f>
        <v>276.5</v>
      </c>
      <c r="BZ619" s="16">
        <f t="shared" si="431"/>
        <v>-27338.829908847867</v>
      </c>
      <c r="CA619" s="15">
        <f t="shared" si="406"/>
        <v>22.170849845882874</v>
      </c>
      <c r="CB619" s="75">
        <f>CA619*(1-PARAM!$C$27)*$I$22+(MOD($B619,60)=PARAM!$B$56)*($B619&gt;(60-PARAM!$B$56))*HLOOKUP(($B619+PARAM!$B$56)/12,Loyalty,2)*$F$1*MAX(CD618,0)</f>
        <v>18.557001321003963</v>
      </c>
      <c r="CC619" s="75">
        <f>PARAM!$C$26+MAX($G$22-CHOOSE(PARAM!$B$44,MAX(0,CD618*$F$1),0),0)*RATES!$L595/12+$H$22*(PARAM!$D$51/12)*RATES!$N595/100</f>
        <v>276.5</v>
      </c>
      <c r="CD619" s="16">
        <f t="shared" si="432"/>
        <v>-27338.829908847867</v>
      </c>
      <c r="CE619" s="33">
        <f>IF(0=MOD(B619,12/PARAM!$D$51),1,0)</f>
        <v>1</v>
      </c>
      <c r="CF619" s="15">
        <f t="shared" si="407"/>
        <v>0</v>
      </c>
      <c r="CG619" s="75">
        <f>CF619*(1-PARAM!$C$27)*$R$3+(MOD($B619/12,5)=0)*($B619&gt;60)*HLOOKUP($B619/12,Loyalty,2)*$F$1*MAX(CI618,0)</f>
        <v>0</v>
      </c>
      <c r="CH619" s="75">
        <f>PARAM!$C$26+MAX($P$3-CHOOSE(PARAM!$B$44,MAX(0,CI618*$F$1),0),0)*RATES!$L595/12+$Q$3*(PARAM!$D$51/12)*RATES!$N595/100</f>
        <v>276.5</v>
      </c>
      <c r="CI619" s="16">
        <f>IF(CI618&gt;0,CI618*PARAM!$C$53,CI618)+CG619-CH619</f>
        <v>-38205.000000000029</v>
      </c>
      <c r="CJ619" s="15">
        <f t="shared" si="433"/>
        <v>0</v>
      </c>
      <c r="CK619" s="75">
        <f>CJ619*(1-PARAM!$C$27)*$R$4+(MOD($B619/12,5)=0)*($B619&gt;60)*HLOOKUP($B619/12,Loyalty,2)*$F$1*MAX(CM618,0)</f>
        <v>0</v>
      </c>
      <c r="CL619" s="75">
        <f>PARAM!$C$26+MAX($P$4-CHOOSE(PARAM!$B$44,MAX(0,CM618*$F$1),0),0)*RATES!$L595/12+$Q$4*(PARAM!$D$51/12)*RATES!$N595/100</f>
        <v>276.5</v>
      </c>
      <c r="CM619" s="16">
        <f>IF(CM618&gt;0,CM618*PARAM!$C$53,CM618)+CK619-CL619</f>
        <v>-38205.000000000029</v>
      </c>
      <c r="CO619" s="176"/>
    </row>
    <row r="620" spans="1:93" x14ac:dyDescent="0.2">
      <c r="A620" t="b">
        <f t="shared" si="408"/>
        <v>0</v>
      </c>
      <c r="B620" s="33">
        <v>593</v>
      </c>
      <c r="C620" s="15">
        <f t="shared" si="409"/>
        <v>20.081305947392778</v>
      </c>
      <c r="D620" s="75">
        <f>C620*(1-PARAM!$C$27)*$I$3+(MOD($B620,60)=PARAM!$B$56)*($B620&gt;(60-PARAM!$B$56))*HLOOKUP(($B620+PARAM!$B$56)/12,Loyalty,2)*$F$1*MAX(F619,0)</f>
        <v>16.808053077967756</v>
      </c>
      <c r="E620" s="75">
        <f>PARAM!$C$26+MAX($G$3-CHOOSE(PARAM!$B$44,MAX(0,F619*$F$1),0),0)*RATES!$L596/12+$H$3*(PARAM!$D$51/12)*RATES!$N596/100</f>
        <v>276.5</v>
      </c>
      <c r="F620" s="16">
        <f t="shared" si="410"/>
        <v>-28670.749716168961</v>
      </c>
      <c r="G620" s="15">
        <f t="shared" si="411"/>
        <v>22.035289406060361</v>
      </c>
      <c r="H620" s="75">
        <f>G620*(1-PARAM!$C$27)*$I$4+(MOD($B620,60)=PARAM!$B$56)*($B620&gt;(60-PARAM!$B$56))*HLOOKUP(($B620+PARAM!$B$56)/12,Loyalty,2)*$F$1*MAX(J619,0)</f>
        <v>18.443537232872522</v>
      </c>
      <c r="I620" s="75">
        <f>PARAM!$C$26+MAX($G$4-CHOOSE(PARAM!$B$44,MAX(0,J619*$F$1),0),0)*RATES!$L596/12+$H$4*(PARAM!$D$51/12)*RATES!$N596/100</f>
        <v>276.5</v>
      </c>
      <c r="J620" s="16">
        <f t="shared" si="412"/>
        <v>-27667.074648188627</v>
      </c>
      <c r="K620" s="15">
        <f t="shared" si="413"/>
        <v>22.170849845882874</v>
      </c>
      <c r="L620" s="75">
        <f>K620*(1-PARAM!$C$27)*$I$5+(MOD($B620,60)=PARAM!$B$56)*($B620&gt;(60-PARAM!$B$56))*HLOOKUP(($B620+PARAM!$B$56)/12,Loyalty,2)*$F$1*MAX(N619,0)</f>
        <v>18.557001321003963</v>
      </c>
      <c r="M620" s="75">
        <f>PARAM!$C$26+MAX($G$5-CHOOSE(PARAM!$B$44,MAX(0,N619*$F$1),0),0)*RATES!$L596/12+$H$5*(PARAM!$D$51/12)*RATES!$N596/100</f>
        <v>276.5</v>
      </c>
      <c r="N620" s="16">
        <f t="shared" si="414"/>
        <v>-27596.772907526862</v>
      </c>
      <c r="O620" s="15">
        <f t="shared" si="415"/>
        <v>22.170849845882874</v>
      </c>
      <c r="P620" s="75">
        <f>O620*(1-PARAM!$C$27)*$I$6+(MOD($B620,60)=PARAM!$B$56)*($B620&gt;(60-PARAM!$B$56))*HLOOKUP(($B620+PARAM!$B$56)/12,Loyalty,2)*$F$1*MAX(R619,0)</f>
        <v>18.557001321003963</v>
      </c>
      <c r="Q620" s="75">
        <f>PARAM!$C$26+MAX($G$6-CHOOSE(PARAM!$B$44,MAX(0,R619*$F$1),0),0)*RATES!$L596/12+$H$6*(PARAM!$D$51/12)*RATES!$N596/100</f>
        <v>276.5</v>
      </c>
      <c r="R620" s="16">
        <f t="shared" si="416"/>
        <v>-27596.772907526862</v>
      </c>
      <c r="S620" s="15">
        <f t="shared" si="391"/>
        <v>22.170849845882874</v>
      </c>
      <c r="T620" s="75">
        <f>S620*(1-PARAM!$C$27)*$I$7+(MOD($B620,60)=PARAM!$B$56)*($B620&gt;(60-PARAM!$B$56))*HLOOKUP(($B620+PARAM!$B$56)/12,Loyalty,2)*$F$1*MAX(V619,0)</f>
        <v>18.557001321003963</v>
      </c>
      <c r="U620" s="75">
        <f>PARAM!$C$26+MAX($G$7-CHOOSE(PARAM!$B$44,MAX(0,V619*$F$1),0),0)*RATES!$L596/12+$H$7*(PARAM!$D$51/12)*RATES!$N596/100</f>
        <v>276.5</v>
      </c>
      <c r="V620" s="16">
        <f t="shared" si="417"/>
        <v>-27596.772907526862</v>
      </c>
      <c r="W620" s="15">
        <f t="shared" si="392"/>
        <v>22.170849845882874</v>
      </c>
      <c r="X620" s="75">
        <f>W620*(1-PARAM!$C$27)*$I$8+(MOD($B620,60)=PARAM!$B$56)*($B620&gt;(60-PARAM!$B$56))*HLOOKUP(($B620+PARAM!$B$56)/12,Loyalty,2)*$F$1*MAX(Z619,0)</f>
        <v>18.557001321003963</v>
      </c>
      <c r="Y620" s="75">
        <f>PARAM!$C$26+MAX($G$8-CHOOSE(PARAM!$B$44,MAX(0,Z619*$F$1),0),0)*RATES!$L596/12+$H$8*(PARAM!$D$51/12)*RATES!$N596/100</f>
        <v>276.5</v>
      </c>
      <c r="Z620" s="16">
        <f t="shared" si="418"/>
        <v>-27596.772907526862</v>
      </c>
      <c r="AA620" s="15">
        <f t="shared" si="393"/>
        <v>22.170849845882874</v>
      </c>
      <c r="AB620" s="75">
        <f>AA620*(1-PARAM!$C$27)*$I$9+(MOD($B620,60)=PARAM!$B$56)*($B620&gt;(60-PARAM!$B$56))*HLOOKUP(($B620+PARAM!$B$56)/12,Loyalty,2)*$F$1*MAX(AD619,0)</f>
        <v>18.557001321003963</v>
      </c>
      <c r="AC620" s="75">
        <f>PARAM!$C$26+MAX($G$9-CHOOSE(PARAM!$B$44,MAX(0,AD619*$F$1),0),0)*RATES!$L596/12+$H$9*(PARAM!$D$51/12)*RATES!$N596/100</f>
        <v>276.5</v>
      </c>
      <c r="AD620" s="16">
        <f t="shared" si="419"/>
        <v>-27596.772907526862</v>
      </c>
      <c r="AE620" s="15">
        <f t="shared" si="394"/>
        <v>22.170849845882874</v>
      </c>
      <c r="AF620" s="75">
        <f>AE620*(1-PARAM!$C$27)*$I$10+(MOD($B620,60)=PARAM!$B$56)*($B620&gt;(60-PARAM!$B$56))*HLOOKUP(($B620+PARAM!$B$56)/12,Loyalty,2)*$F$1*MAX(AH619,0)</f>
        <v>18.557001321003963</v>
      </c>
      <c r="AG620" s="75">
        <f>PARAM!$C$26+MAX($G$10-CHOOSE(PARAM!$B$44,MAX(0,AH619*$F$1),0),0)*RATES!$L596/12+$H$10*(PARAM!$D$51/12)*RATES!$N596/100</f>
        <v>276.5</v>
      </c>
      <c r="AH620" s="16">
        <f t="shared" si="420"/>
        <v>-27596.772907526862</v>
      </c>
      <c r="AI620" s="15">
        <f t="shared" si="395"/>
        <v>22.170849845882874</v>
      </c>
      <c r="AJ620" s="75">
        <f>AI620*(1-PARAM!$C$27)*$I$11+(MOD($B620,60)=PARAM!$B$56)*($B620&gt;(60-PARAM!$B$56))*HLOOKUP(($B620+PARAM!$B$56)/12,Loyalty,2)*$F$1*MAX(AL619,0)</f>
        <v>18.557001321003963</v>
      </c>
      <c r="AK620" s="75">
        <f>PARAM!$C$26+MAX($G$11-CHOOSE(PARAM!$B$44,MAX(0,AL619*$F$1),0),0)*RATES!$L596/12+$H$11*(PARAM!$D$51/12)*RATES!$N596/100</f>
        <v>276.5</v>
      </c>
      <c r="AL620" s="16">
        <f t="shared" si="421"/>
        <v>-27596.772907526862</v>
      </c>
      <c r="AM620" s="15">
        <f t="shared" si="396"/>
        <v>22.170849845882874</v>
      </c>
      <c r="AN620" s="75">
        <f>AM620*(1-PARAM!$C$27)*$I$12+(MOD($B620,60)=PARAM!$B$56)*($B620&gt;(60-PARAM!$B$56))*HLOOKUP(($B620+PARAM!$B$56)/12,Loyalty,2)*$F$1*MAX(AP619,0)</f>
        <v>18.557001321003963</v>
      </c>
      <c r="AO620" s="75">
        <f>PARAM!$C$26+MAX($G$12-CHOOSE(PARAM!$B$44,MAX(0,AP619*$F$1),0),0)*RATES!$L596/12+$H$12*(PARAM!$D$51/12)*RATES!$N596/100</f>
        <v>276.5</v>
      </c>
      <c r="AP620" s="16">
        <f t="shared" si="422"/>
        <v>-27596.772907526862</v>
      </c>
      <c r="AQ620" s="15">
        <f t="shared" si="397"/>
        <v>22.170849845882874</v>
      </c>
      <c r="AR620" s="75">
        <f>AQ620*(1-PARAM!$C$27)*$I$13+(MOD($B620,60)=PARAM!$B$56)*($B620&gt;(60-PARAM!$B$56))*HLOOKUP(($B620+PARAM!$B$56)/12,Loyalty,2)*$F$1*MAX(AT619,0)</f>
        <v>18.557001321003963</v>
      </c>
      <c r="AS620" s="75">
        <f>PARAM!$C$26+MAX($G$13-CHOOSE(PARAM!$B$44,MAX(0,AT619*$F$1),0),0)*RATES!$L596/12+$H$13*(PARAM!$D$51/12)*RATES!$N596/100</f>
        <v>276.5</v>
      </c>
      <c r="AT620" s="16">
        <f t="shared" si="423"/>
        <v>-27596.772907526862</v>
      </c>
      <c r="AU620" s="15">
        <f t="shared" si="398"/>
        <v>22.170849845882874</v>
      </c>
      <c r="AV620" s="75">
        <f>AU620*(1-PARAM!$C$27)*$I$14+(MOD($B620,60)=PARAM!$B$56)*($B620&gt;(60-PARAM!$B$56))*HLOOKUP(($B620+PARAM!$B$56)/12,Loyalty,2)*$F$1*MAX(AX619,0)</f>
        <v>18.557001321003963</v>
      </c>
      <c r="AW620" s="75">
        <f>PARAM!$C$26+MAX($G$14-CHOOSE(PARAM!$B$44,MAX(0,AX619*$F$1),0),0)*RATES!$L596/12+$H$14*(PARAM!$D$51/12)*RATES!$N596/100</f>
        <v>276.5</v>
      </c>
      <c r="AX620" s="16">
        <f t="shared" si="424"/>
        <v>-27596.772907526862</v>
      </c>
      <c r="AY620" s="15">
        <f t="shared" si="399"/>
        <v>22.170849845882874</v>
      </c>
      <c r="AZ620" s="75">
        <f>AY620*(1-PARAM!$C$27)*$I$15+(MOD($B620,60)=PARAM!$B$56)*($B620&gt;(60-PARAM!$B$56))*HLOOKUP(($B620+PARAM!$B$56)/12,Loyalty,2)*$F$1*MAX(BB619,0)</f>
        <v>18.557001321003963</v>
      </c>
      <c r="BA620" s="75">
        <f>PARAM!$C$26+MAX($G$15-CHOOSE(PARAM!$B$44,MAX(0,BB619*$F$1),0),0)*RATES!$L596/12+$H$15*(PARAM!$D$51/12)*RATES!$N596/100</f>
        <v>276.5</v>
      </c>
      <c r="BB620" s="16">
        <f t="shared" si="425"/>
        <v>-27596.772907526862</v>
      </c>
      <c r="BC620" s="15">
        <f t="shared" si="400"/>
        <v>22.170849845882874</v>
      </c>
      <c r="BD620" s="75">
        <f>BC620*(1-PARAM!$C$27)*$I$16+(MOD($B620,60)=PARAM!$B$56)*($B620&gt;(60-PARAM!$B$56))*HLOOKUP(($B620+PARAM!$B$56)/12,Loyalty,2)*$F$1*MAX(BF619,0)</f>
        <v>18.557001321003963</v>
      </c>
      <c r="BE620" s="75">
        <f>PARAM!$C$26+MAX($G$16-CHOOSE(PARAM!$B$44,MAX(0,BF619*$F$1),0),0)*RATES!$L596/12+$H$16*(PARAM!$D$51/12)*RATES!$N596/100</f>
        <v>276.5</v>
      </c>
      <c r="BF620" s="16">
        <f t="shared" si="426"/>
        <v>-27596.772907526862</v>
      </c>
      <c r="BG620" s="15">
        <f t="shared" si="401"/>
        <v>22.170849845882874</v>
      </c>
      <c r="BH620" s="75">
        <f>BG620*(1-PARAM!$C$27)*$I$17+(MOD($B620,60)=PARAM!$B$56)*($B620&gt;(60-PARAM!$B$56))*HLOOKUP(($B620+PARAM!$B$56)/12,Loyalty,2)*$F$1*MAX(BJ619,0)</f>
        <v>18.557001321003963</v>
      </c>
      <c r="BI620" s="75">
        <f>PARAM!$C$26+MAX($G$17-CHOOSE(PARAM!$B$44,MAX(0,BJ619*$F$1),0),0)*RATES!$L596/12+$H$17*(PARAM!$D$51/12)*RATES!$N596/100</f>
        <v>276.5</v>
      </c>
      <c r="BJ620" s="16">
        <f t="shared" si="427"/>
        <v>-27596.772907526862</v>
      </c>
      <c r="BK620" s="15">
        <f t="shared" si="402"/>
        <v>22.170849845882874</v>
      </c>
      <c r="BL620" s="75">
        <f>BK620*(1-PARAM!$C$27)*$I$18+(MOD($B620,60)=PARAM!$B$56)*($B620&gt;(60-PARAM!$B$56))*HLOOKUP(($B620+PARAM!$B$56)/12,Loyalty,2)*$F$1*MAX(BN619,0)</f>
        <v>18.557001321003963</v>
      </c>
      <c r="BM620" s="75">
        <f>PARAM!$C$26+MAX($G$18-CHOOSE(PARAM!$B$44,MAX(0,BN619*$F$1),0),0)*RATES!$L596/12+$H$18*(PARAM!$D$51/12)*RATES!$N596/100</f>
        <v>276.5</v>
      </c>
      <c r="BN620" s="16">
        <f t="shared" si="428"/>
        <v>-27596.772907526862</v>
      </c>
      <c r="BO620" s="15">
        <f t="shared" si="403"/>
        <v>22.170849845882874</v>
      </c>
      <c r="BP620" s="75">
        <f>BO620*(1-PARAM!$C$27)*$I$19+(MOD($B620,60)=PARAM!$B$56)*($B620&gt;(60-PARAM!$B$56))*HLOOKUP(($B620+PARAM!$B$56)/12,Loyalty,2)*$F$1*MAX(BR619,0)</f>
        <v>18.557001321003963</v>
      </c>
      <c r="BQ620" s="75">
        <f>PARAM!$C$26+MAX($G$19-CHOOSE(PARAM!$B$44,MAX(0,BR619*$F$1),0),0)*RATES!$L596/12+$H$19*(PARAM!$D$51/12)*RATES!$N596/100</f>
        <v>276.5</v>
      </c>
      <c r="BR620" s="16">
        <f t="shared" si="429"/>
        <v>-27596.772907526862</v>
      </c>
      <c r="BS620" s="15">
        <f t="shared" si="404"/>
        <v>22.170849845882874</v>
      </c>
      <c r="BT620" s="75">
        <f>BS620*(1-PARAM!$C$27)*$I$20+(MOD($B620,60)=PARAM!$B$56)*($B620&gt;(60-PARAM!$B$56))*HLOOKUP(($B620+PARAM!$B$56)/12,Loyalty,2)*$F$1*MAX(BV619,0)</f>
        <v>18.557001321003963</v>
      </c>
      <c r="BU620" s="75">
        <f>PARAM!$C$26+MAX($G$20-CHOOSE(PARAM!$B$44,MAX(0,BV619*$F$1),0),0)*RATES!$L596/12+$H$20*(PARAM!$D$51/12)*RATES!$N596/100</f>
        <v>276.5</v>
      </c>
      <c r="BV620" s="16">
        <f t="shared" si="430"/>
        <v>-27596.772907526862</v>
      </c>
      <c r="BW620" s="15">
        <f t="shared" si="405"/>
        <v>22.170849845882874</v>
      </c>
      <c r="BX620" s="75">
        <f>BW620*(1-PARAM!$C$27)*$I$21+(MOD($B620,60)=PARAM!$B$56)*($B620&gt;(60-PARAM!$B$56))*HLOOKUP(($B620+PARAM!$B$56)/12,Loyalty,2)*$F$1*MAX(BZ619,0)</f>
        <v>18.557001321003963</v>
      </c>
      <c r="BY620" s="75">
        <f>PARAM!$C$26+MAX($G$21-CHOOSE(PARAM!$B$44,MAX(0,BZ619*$F$1),0),0)*RATES!$L596/12+$H$21*(PARAM!$D$51/12)*RATES!$N596/100</f>
        <v>276.5</v>
      </c>
      <c r="BZ620" s="16">
        <f t="shared" si="431"/>
        <v>-27596.772907526862</v>
      </c>
      <c r="CA620" s="15">
        <f t="shared" si="406"/>
        <v>22.170849845882874</v>
      </c>
      <c r="CB620" s="75">
        <f>CA620*(1-PARAM!$C$27)*$I$22+(MOD($B620,60)=PARAM!$B$56)*($B620&gt;(60-PARAM!$B$56))*HLOOKUP(($B620+PARAM!$B$56)/12,Loyalty,2)*$F$1*MAX(CD619,0)</f>
        <v>18.557001321003963</v>
      </c>
      <c r="CC620" s="75">
        <f>PARAM!$C$26+MAX($G$22-CHOOSE(PARAM!$B$44,MAX(0,CD619*$F$1),0),0)*RATES!$L596/12+$H$22*(PARAM!$D$51/12)*RATES!$N596/100</f>
        <v>276.5</v>
      </c>
      <c r="CD620" s="16">
        <f t="shared" si="432"/>
        <v>-27596.772907526862</v>
      </c>
      <c r="CE620" s="33">
        <f>IF(0=MOD(B620,12/PARAM!$D$51),1,0)</f>
        <v>1</v>
      </c>
      <c r="CF620" s="15">
        <f t="shared" si="407"/>
        <v>0</v>
      </c>
      <c r="CG620" s="75">
        <f>CF620*(1-PARAM!$C$27)*$R$3+(MOD($B620/12,5)=0)*($B620&gt;60)*HLOOKUP($B620/12,Loyalty,2)*$F$1*MAX(CI619,0)</f>
        <v>0</v>
      </c>
      <c r="CH620" s="75">
        <f>PARAM!$C$26+MAX($P$3-CHOOSE(PARAM!$B$44,MAX(0,CI619*$F$1),0),0)*RATES!$L596/12+$Q$3*(PARAM!$D$51/12)*RATES!$N596/100</f>
        <v>276.5</v>
      </c>
      <c r="CI620" s="16">
        <f>IF(CI619&gt;0,CI619*PARAM!$C$53,CI619)+CG620-CH620</f>
        <v>-38481.500000000029</v>
      </c>
      <c r="CJ620" s="15">
        <f t="shared" si="433"/>
        <v>0</v>
      </c>
      <c r="CK620" s="75">
        <f>CJ620*(1-PARAM!$C$27)*$R$4+(MOD($B620/12,5)=0)*($B620&gt;60)*HLOOKUP($B620/12,Loyalty,2)*$F$1*MAX(CM619,0)</f>
        <v>0</v>
      </c>
      <c r="CL620" s="75">
        <f>PARAM!$C$26+MAX($P$4-CHOOSE(PARAM!$B$44,MAX(0,CM619*$F$1),0),0)*RATES!$L596/12+$Q$4*(PARAM!$D$51/12)*RATES!$N596/100</f>
        <v>276.5</v>
      </c>
      <c r="CM620" s="16">
        <f>IF(CM619&gt;0,CM619*PARAM!$C$53,CM619)+CK620-CL620</f>
        <v>-38481.500000000029</v>
      </c>
      <c r="CO620" s="176"/>
    </row>
    <row r="621" spans="1:93" x14ac:dyDescent="0.2">
      <c r="A621" t="b">
        <f t="shared" si="408"/>
        <v>0</v>
      </c>
      <c r="B621" s="33">
        <v>594</v>
      </c>
      <c r="C621" s="15">
        <f t="shared" si="409"/>
        <v>20.081305947392778</v>
      </c>
      <c r="D621" s="75">
        <f>C621*(1-PARAM!$C$27)*$I$3+(MOD($B621,60)=PARAM!$B$56)*($B621&gt;(60-PARAM!$B$56))*HLOOKUP(($B621+PARAM!$B$56)/12,Loyalty,2)*$F$1*MAX(F620,0)</f>
        <v>16.808053077967756</v>
      </c>
      <c r="E621" s="75">
        <f>PARAM!$C$26+MAX($G$3-CHOOSE(PARAM!$B$44,MAX(0,F620*$F$1),0),0)*RATES!$L597/12+$H$3*(PARAM!$D$51/12)*RATES!$N597/100</f>
        <v>302.41666666666669</v>
      </c>
      <c r="F621" s="16">
        <f t="shared" si="410"/>
        <v>-28956.358329757662</v>
      </c>
      <c r="G621" s="15">
        <f t="shared" si="411"/>
        <v>22.035289406060361</v>
      </c>
      <c r="H621" s="75">
        <f>G621*(1-PARAM!$C$27)*$I$4+(MOD($B621,60)=PARAM!$B$56)*($B621&gt;(60-PARAM!$B$56))*HLOOKUP(($B621+PARAM!$B$56)/12,Loyalty,2)*$F$1*MAX(J620,0)</f>
        <v>18.443537232872522</v>
      </c>
      <c r="I621" s="75">
        <f>PARAM!$C$26+MAX($G$4-CHOOSE(PARAM!$B$44,MAX(0,J620*$F$1),0),0)*RATES!$L597/12+$H$4*(PARAM!$D$51/12)*RATES!$N597/100</f>
        <v>302.41666666666669</v>
      </c>
      <c r="J621" s="16">
        <f t="shared" si="412"/>
        <v>-27951.047777622422</v>
      </c>
      <c r="K621" s="15">
        <f t="shared" si="413"/>
        <v>22.170849845882874</v>
      </c>
      <c r="L621" s="75">
        <f>K621*(1-PARAM!$C$27)*$I$5+(MOD($B621,60)=PARAM!$B$56)*($B621&gt;(60-PARAM!$B$56))*HLOOKUP(($B621+PARAM!$B$56)/12,Loyalty,2)*$F$1*MAX(N620,0)</f>
        <v>18.557001321003963</v>
      </c>
      <c r="M621" s="75">
        <f>PARAM!$C$26+MAX($G$5-CHOOSE(PARAM!$B$44,MAX(0,N620*$F$1),0),0)*RATES!$L597/12+$H$5*(PARAM!$D$51/12)*RATES!$N597/100</f>
        <v>302.41666666666669</v>
      </c>
      <c r="N621" s="16">
        <f t="shared" si="414"/>
        <v>-27880.632572872524</v>
      </c>
      <c r="O621" s="15">
        <f t="shared" si="415"/>
        <v>22.170849845882874</v>
      </c>
      <c r="P621" s="75">
        <f>O621*(1-PARAM!$C$27)*$I$6+(MOD($B621,60)=PARAM!$B$56)*($B621&gt;(60-PARAM!$B$56))*HLOOKUP(($B621+PARAM!$B$56)/12,Loyalty,2)*$F$1*MAX(R620,0)</f>
        <v>18.557001321003963</v>
      </c>
      <c r="Q621" s="75">
        <f>PARAM!$C$26+MAX($G$6-CHOOSE(PARAM!$B$44,MAX(0,R620*$F$1),0),0)*RATES!$L597/12+$H$6*(PARAM!$D$51/12)*RATES!$N597/100</f>
        <v>302.41666666666669</v>
      </c>
      <c r="R621" s="16">
        <f t="shared" si="416"/>
        <v>-27880.632572872524</v>
      </c>
      <c r="S621" s="15">
        <f t="shared" si="391"/>
        <v>22.170849845882874</v>
      </c>
      <c r="T621" s="75">
        <f>S621*(1-PARAM!$C$27)*$I$7+(MOD($B621,60)=PARAM!$B$56)*($B621&gt;(60-PARAM!$B$56))*HLOOKUP(($B621+PARAM!$B$56)/12,Loyalty,2)*$F$1*MAX(V620,0)</f>
        <v>18.557001321003963</v>
      </c>
      <c r="U621" s="75">
        <f>PARAM!$C$26+MAX($G$7-CHOOSE(PARAM!$B$44,MAX(0,V620*$F$1),0),0)*RATES!$L597/12+$H$7*(PARAM!$D$51/12)*RATES!$N597/100</f>
        <v>302.41666666666669</v>
      </c>
      <c r="V621" s="16">
        <f t="shared" si="417"/>
        <v>-27880.632572872524</v>
      </c>
      <c r="W621" s="15">
        <f t="shared" si="392"/>
        <v>22.170849845882874</v>
      </c>
      <c r="X621" s="75">
        <f>W621*(1-PARAM!$C$27)*$I$8+(MOD($B621,60)=PARAM!$B$56)*($B621&gt;(60-PARAM!$B$56))*HLOOKUP(($B621+PARAM!$B$56)/12,Loyalty,2)*$F$1*MAX(Z620,0)</f>
        <v>18.557001321003963</v>
      </c>
      <c r="Y621" s="75">
        <f>PARAM!$C$26+MAX($G$8-CHOOSE(PARAM!$B$44,MAX(0,Z620*$F$1),0),0)*RATES!$L597/12+$H$8*(PARAM!$D$51/12)*RATES!$N597/100</f>
        <v>302.41666666666669</v>
      </c>
      <c r="Z621" s="16">
        <f t="shared" si="418"/>
        <v>-27880.632572872524</v>
      </c>
      <c r="AA621" s="15">
        <f t="shared" si="393"/>
        <v>22.170849845882874</v>
      </c>
      <c r="AB621" s="75">
        <f>AA621*(1-PARAM!$C$27)*$I$9+(MOD($B621,60)=PARAM!$B$56)*($B621&gt;(60-PARAM!$B$56))*HLOOKUP(($B621+PARAM!$B$56)/12,Loyalty,2)*$F$1*MAX(AD620,0)</f>
        <v>18.557001321003963</v>
      </c>
      <c r="AC621" s="75">
        <f>PARAM!$C$26+MAX($G$9-CHOOSE(PARAM!$B$44,MAX(0,AD620*$F$1),0),0)*RATES!$L597/12+$H$9*(PARAM!$D$51/12)*RATES!$N597/100</f>
        <v>302.41666666666669</v>
      </c>
      <c r="AD621" s="16">
        <f t="shared" si="419"/>
        <v>-27880.632572872524</v>
      </c>
      <c r="AE621" s="15">
        <f t="shared" si="394"/>
        <v>22.170849845882874</v>
      </c>
      <c r="AF621" s="75">
        <f>AE621*(1-PARAM!$C$27)*$I$10+(MOD($B621,60)=PARAM!$B$56)*($B621&gt;(60-PARAM!$B$56))*HLOOKUP(($B621+PARAM!$B$56)/12,Loyalty,2)*$F$1*MAX(AH620,0)</f>
        <v>18.557001321003963</v>
      </c>
      <c r="AG621" s="75">
        <f>PARAM!$C$26+MAX($G$10-CHOOSE(PARAM!$B$44,MAX(0,AH620*$F$1),0),0)*RATES!$L597/12+$H$10*(PARAM!$D$51/12)*RATES!$N597/100</f>
        <v>302.41666666666669</v>
      </c>
      <c r="AH621" s="16">
        <f t="shared" si="420"/>
        <v>-27880.632572872524</v>
      </c>
      <c r="AI621" s="15">
        <f t="shared" si="395"/>
        <v>22.170849845882874</v>
      </c>
      <c r="AJ621" s="75">
        <f>AI621*(1-PARAM!$C$27)*$I$11+(MOD($B621,60)=PARAM!$B$56)*($B621&gt;(60-PARAM!$B$56))*HLOOKUP(($B621+PARAM!$B$56)/12,Loyalty,2)*$F$1*MAX(AL620,0)</f>
        <v>18.557001321003963</v>
      </c>
      <c r="AK621" s="75">
        <f>PARAM!$C$26+MAX($G$11-CHOOSE(PARAM!$B$44,MAX(0,AL620*$F$1),0),0)*RATES!$L597/12+$H$11*(PARAM!$D$51/12)*RATES!$N597/100</f>
        <v>302.41666666666669</v>
      </c>
      <c r="AL621" s="16">
        <f t="shared" si="421"/>
        <v>-27880.632572872524</v>
      </c>
      <c r="AM621" s="15">
        <f t="shared" si="396"/>
        <v>22.170849845882874</v>
      </c>
      <c r="AN621" s="75">
        <f>AM621*(1-PARAM!$C$27)*$I$12+(MOD($B621,60)=PARAM!$B$56)*($B621&gt;(60-PARAM!$B$56))*HLOOKUP(($B621+PARAM!$B$56)/12,Loyalty,2)*$F$1*MAX(AP620,0)</f>
        <v>18.557001321003963</v>
      </c>
      <c r="AO621" s="75">
        <f>PARAM!$C$26+MAX($G$12-CHOOSE(PARAM!$B$44,MAX(0,AP620*$F$1),0),0)*RATES!$L597/12+$H$12*(PARAM!$D$51/12)*RATES!$N597/100</f>
        <v>302.41666666666669</v>
      </c>
      <c r="AP621" s="16">
        <f t="shared" si="422"/>
        <v>-27880.632572872524</v>
      </c>
      <c r="AQ621" s="15">
        <f t="shared" si="397"/>
        <v>22.170849845882874</v>
      </c>
      <c r="AR621" s="75">
        <f>AQ621*(1-PARAM!$C$27)*$I$13+(MOD($B621,60)=PARAM!$B$56)*($B621&gt;(60-PARAM!$B$56))*HLOOKUP(($B621+PARAM!$B$56)/12,Loyalty,2)*$F$1*MAX(AT620,0)</f>
        <v>18.557001321003963</v>
      </c>
      <c r="AS621" s="75">
        <f>PARAM!$C$26+MAX($G$13-CHOOSE(PARAM!$B$44,MAX(0,AT620*$F$1),0),0)*RATES!$L597/12+$H$13*(PARAM!$D$51/12)*RATES!$N597/100</f>
        <v>302.41666666666669</v>
      </c>
      <c r="AT621" s="16">
        <f t="shared" si="423"/>
        <v>-27880.632572872524</v>
      </c>
      <c r="AU621" s="15">
        <f t="shared" si="398"/>
        <v>22.170849845882874</v>
      </c>
      <c r="AV621" s="75">
        <f>AU621*(1-PARAM!$C$27)*$I$14+(MOD($B621,60)=PARAM!$B$56)*($B621&gt;(60-PARAM!$B$56))*HLOOKUP(($B621+PARAM!$B$56)/12,Loyalty,2)*$F$1*MAX(AX620,0)</f>
        <v>18.557001321003963</v>
      </c>
      <c r="AW621" s="75">
        <f>PARAM!$C$26+MAX($G$14-CHOOSE(PARAM!$B$44,MAX(0,AX620*$F$1),0),0)*RATES!$L597/12+$H$14*(PARAM!$D$51/12)*RATES!$N597/100</f>
        <v>302.41666666666669</v>
      </c>
      <c r="AX621" s="16">
        <f t="shared" si="424"/>
        <v>-27880.632572872524</v>
      </c>
      <c r="AY621" s="15">
        <f t="shared" si="399"/>
        <v>22.170849845882874</v>
      </c>
      <c r="AZ621" s="75">
        <f>AY621*(1-PARAM!$C$27)*$I$15+(MOD($B621,60)=PARAM!$B$56)*($B621&gt;(60-PARAM!$B$56))*HLOOKUP(($B621+PARAM!$B$56)/12,Loyalty,2)*$F$1*MAX(BB620,0)</f>
        <v>18.557001321003963</v>
      </c>
      <c r="BA621" s="75">
        <f>PARAM!$C$26+MAX($G$15-CHOOSE(PARAM!$B$44,MAX(0,BB620*$F$1),0),0)*RATES!$L597/12+$H$15*(PARAM!$D$51/12)*RATES!$N597/100</f>
        <v>302.41666666666669</v>
      </c>
      <c r="BB621" s="16">
        <f t="shared" si="425"/>
        <v>-27880.632572872524</v>
      </c>
      <c r="BC621" s="15">
        <f t="shared" si="400"/>
        <v>22.170849845882874</v>
      </c>
      <c r="BD621" s="75">
        <f>BC621*(1-PARAM!$C$27)*$I$16+(MOD($B621,60)=PARAM!$B$56)*($B621&gt;(60-PARAM!$B$56))*HLOOKUP(($B621+PARAM!$B$56)/12,Loyalty,2)*$F$1*MAX(BF620,0)</f>
        <v>18.557001321003963</v>
      </c>
      <c r="BE621" s="75">
        <f>PARAM!$C$26+MAX($G$16-CHOOSE(PARAM!$B$44,MAX(0,BF620*$F$1),0),0)*RATES!$L597/12+$H$16*(PARAM!$D$51/12)*RATES!$N597/100</f>
        <v>302.41666666666669</v>
      </c>
      <c r="BF621" s="16">
        <f t="shared" si="426"/>
        <v>-27880.632572872524</v>
      </c>
      <c r="BG621" s="15">
        <f t="shared" si="401"/>
        <v>22.170849845882874</v>
      </c>
      <c r="BH621" s="75">
        <f>BG621*(1-PARAM!$C$27)*$I$17+(MOD($B621,60)=PARAM!$B$56)*($B621&gt;(60-PARAM!$B$56))*HLOOKUP(($B621+PARAM!$B$56)/12,Loyalty,2)*$F$1*MAX(BJ620,0)</f>
        <v>18.557001321003963</v>
      </c>
      <c r="BI621" s="75">
        <f>PARAM!$C$26+MAX($G$17-CHOOSE(PARAM!$B$44,MAX(0,BJ620*$F$1),0),0)*RATES!$L597/12+$H$17*(PARAM!$D$51/12)*RATES!$N597/100</f>
        <v>302.41666666666669</v>
      </c>
      <c r="BJ621" s="16">
        <f t="shared" si="427"/>
        <v>-27880.632572872524</v>
      </c>
      <c r="BK621" s="15">
        <f t="shared" si="402"/>
        <v>22.170849845882874</v>
      </c>
      <c r="BL621" s="75">
        <f>BK621*(1-PARAM!$C$27)*$I$18+(MOD($B621,60)=PARAM!$B$56)*($B621&gt;(60-PARAM!$B$56))*HLOOKUP(($B621+PARAM!$B$56)/12,Loyalty,2)*$F$1*MAX(BN620,0)</f>
        <v>18.557001321003963</v>
      </c>
      <c r="BM621" s="75">
        <f>PARAM!$C$26+MAX($G$18-CHOOSE(PARAM!$B$44,MAX(0,BN620*$F$1),0),0)*RATES!$L597/12+$H$18*(PARAM!$D$51/12)*RATES!$N597/100</f>
        <v>302.41666666666669</v>
      </c>
      <c r="BN621" s="16">
        <f t="shared" si="428"/>
        <v>-27880.632572872524</v>
      </c>
      <c r="BO621" s="15">
        <f t="shared" si="403"/>
        <v>22.170849845882874</v>
      </c>
      <c r="BP621" s="75">
        <f>BO621*(1-PARAM!$C$27)*$I$19+(MOD($B621,60)=PARAM!$B$56)*($B621&gt;(60-PARAM!$B$56))*HLOOKUP(($B621+PARAM!$B$56)/12,Loyalty,2)*$F$1*MAX(BR620,0)</f>
        <v>18.557001321003963</v>
      </c>
      <c r="BQ621" s="75">
        <f>PARAM!$C$26+MAX($G$19-CHOOSE(PARAM!$B$44,MAX(0,BR620*$F$1),0),0)*RATES!$L597/12+$H$19*(PARAM!$D$51/12)*RATES!$N597/100</f>
        <v>302.41666666666669</v>
      </c>
      <c r="BR621" s="16">
        <f t="shared" si="429"/>
        <v>-27880.632572872524</v>
      </c>
      <c r="BS621" s="15">
        <f t="shared" si="404"/>
        <v>22.170849845882874</v>
      </c>
      <c r="BT621" s="75">
        <f>BS621*(1-PARAM!$C$27)*$I$20+(MOD($B621,60)=PARAM!$B$56)*($B621&gt;(60-PARAM!$B$56))*HLOOKUP(($B621+PARAM!$B$56)/12,Loyalty,2)*$F$1*MAX(BV620,0)</f>
        <v>18.557001321003963</v>
      </c>
      <c r="BU621" s="75">
        <f>PARAM!$C$26+MAX($G$20-CHOOSE(PARAM!$B$44,MAX(0,BV620*$F$1),0),0)*RATES!$L597/12+$H$20*(PARAM!$D$51/12)*RATES!$N597/100</f>
        <v>302.41666666666669</v>
      </c>
      <c r="BV621" s="16">
        <f t="shared" si="430"/>
        <v>-27880.632572872524</v>
      </c>
      <c r="BW621" s="15">
        <f t="shared" si="405"/>
        <v>22.170849845882874</v>
      </c>
      <c r="BX621" s="75">
        <f>BW621*(1-PARAM!$C$27)*$I$21+(MOD($B621,60)=PARAM!$B$56)*($B621&gt;(60-PARAM!$B$56))*HLOOKUP(($B621+PARAM!$B$56)/12,Loyalty,2)*$F$1*MAX(BZ620,0)</f>
        <v>18.557001321003963</v>
      </c>
      <c r="BY621" s="75">
        <f>PARAM!$C$26+MAX($G$21-CHOOSE(PARAM!$B$44,MAX(0,BZ620*$F$1),0),0)*RATES!$L597/12+$H$21*(PARAM!$D$51/12)*RATES!$N597/100</f>
        <v>302.41666666666669</v>
      </c>
      <c r="BZ621" s="16">
        <f t="shared" si="431"/>
        <v>-27880.632572872524</v>
      </c>
      <c r="CA621" s="15">
        <f t="shared" si="406"/>
        <v>22.170849845882874</v>
      </c>
      <c r="CB621" s="75">
        <f>CA621*(1-PARAM!$C$27)*$I$22+(MOD($B621,60)=PARAM!$B$56)*($B621&gt;(60-PARAM!$B$56))*HLOOKUP(($B621+PARAM!$B$56)/12,Loyalty,2)*$F$1*MAX(CD620,0)</f>
        <v>18.557001321003963</v>
      </c>
      <c r="CC621" s="75">
        <f>PARAM!$C$26+MAX($G$22-CHOOSE(PARAM!$B$44,MAX(0,CD620*$F$1),0),0)*RATES!$L597/12+$H$22*(PARAM!$D$51/12)*RATES!$N597/100</f>
        <v>302.41666666666669</v>
      </c>
      <c r="CD621" s="16">
        <f t="shared" si="432"/>
        <v>-27880.632572872524</v>
      </c>
      <c r="CE621" s="33">
        <f>IF(0=MOD(B621,12/PARAM!$D$51),1,0)</f>
        <v>1</v>
      </c>
      <c r="CF621" s="15">
        <f t="shared" si="407"/>
        <v>0</v>
      </c>
      <c r="CG621" s="75">
        <f>CF621*(1-PARAM!$C$27)*$R$3+(MOD($B621/12,5)=0)*($B621&gt;60)*HLOOKUP($B621/12,Loyalty,2)*$F$1*MAX(CI620,0)</f>
        <v>0</v>
      </c>
      <c r="CH621" s="75">
        <f>PARAM!$C$26+MAX($P$3-CHOOSE(PARAM!$B$44,MAX(0,CI620*$F$1),0),0)*RATES!$L597/12+$Q$3*(PARAM!$D$51/12)*RATES!$N597/100</f>
        <v>302.41666666666669</v>
      </c>
      <c r="CI621" s="16">
        <f>IF(CI620&gt;0,CI620*PARAM!$C$53,CI620)+CG621-CH621</f>
        <v>-38783.916666666693</v>
      </c>
      <c r="CJ621" s="15">
        <f t="shared" si="433"/>
        <v>0</v>
      </c>
      <c r="CK621" s="75">
        <f>CJ621*(1-PARAM!$C$27)*$R$4+(MOD($B621/12,5)=0)*($B621&gt;60)*HLOOKUP($B621/12,Loyalty,2)*$F$1*MAX(CM620,0)</f>
        <v>0</v>
      </c>
      <c r="CL621" s="75">
        <f>PARAM!$C$26+MAX($P$4-CHOOSE(PARAM!$B$44,MAX(0,CM620*$F$1),0),0)*RATES!$L597/12+$Q$4*(PARAM!$D$51/12)*RATES!$N597/100</f>
        <v>302.41666666666669</v>
      </c>
      <c r="CM621" s="16">
        <f>IF(CM620&gt;0,CM620*PARAM!$C$53,CM620)+CK621-CL621</f>
        <v>-38783.916666666693</v>
      </c>
      <c r="CO621" s="176"/>
    </row>
    <row r="622" spans="1:93" x14ac:dyDescent="0.2">
      <c r="A622" t="b">
        <f t="shared" si="408"/>
        <v>0</v>
      </c>
      <c r="B622" s="33">
        <v>595</v>
      </c>
      <c r="C622" s="15">
        <f t="shared" si="409"/>
        <v>20.081305947392778</v>
      </c>
      <c r="D622" s="75">
        <f>C622*(1-PARAM!$C$27)*$I$3+(MOD($B622,60)=PARAM!$B$56)*($B622&gt;(60-PARAM!$B$56))*HLOOKUP(($B622+PARAM!$B$56)/12,Loyalty,2)*$F$1*MAX(F621,0)</f>
        <v>16.808053077967756</v>
      </c>
      <c r="E622" s="75">
        <f>PARAM!$C$26+MAX($G$3-CHOOSE(PARAM!$B$44,MAX(0,F621*$F$1),0),0)*RATES!$L598/12+$H$3*(PARAM!$D$51/12)*RATES!$N598/100</f>
        <v>302.41666666666669</v>
      </c>
      <c r="F622" s="16">
        <f t="shared" si="410"/>
        <v>-29241.966943346364</v>
      </c>
      <c r="G622" s="15">
        <f t="shared" si="411"/>
        <v>22.035289406060361</v>
      </c>
      <c r="H622" s="75">
        <f>G622*(1-PARAM!$C$27)*$I$4+(MOD($B622,60)=PARAM!$B$56)*($B622&gt;(60-PARAM!$B$56))*HLOOKUP(($B622+PARAM!$B$56)/12,Loyalty,2)*$F$1*MAX(J621,0)</f>
        <v>18.443537232872522</v>
      </c>
      <c r="I622" s="75">
        <f>PARAM!$C$26+MAX($G$4-CHOOSE(PARAM!$B$44,MAX(0,J621*$F$1),0),0)*RATES!$L598/12+$H$4*(PARAM!$D$51/12)*RATES!$N598/100</f>
        <v>302.41666666666669</v>
      </c>
      <c r="J622" s="16">
        <f t="shared" si="412"/>
        <v>-28235.020907056216</v>
      </c>
      <c r="K622" s="15">
        <f t="shared" si="413"/>
        <v>22.170849845882874</v>
      </c>
      <c r="L622" s="75">
        <f>K622*(1-PARAM!$C$27)*$I$5+(MOD($B622,60)=PARAM!$B$56)*($B622&gt;(60-PARAM!$B$56))*HLOOKUP(($B622+PARAM!$B$56)/12,Loyalty,2)*$F$1*MAX(N621,0)</f>
        <v>18.557001321003963</v>
      </c>
      <c r="M622" s="75">
        <f>PARAM!$C$26+MAX($G$5-CHOOSE(PARAM!$B$44,MAX(0,N621*$F$1),0),0)*RATES!$L598/12+$H$5*(PARAM!$D$51/12)*RATES!$N598/100</f>
        <v>302.41666666666669</v>
      </c>
      <c r="N622" s="16">
        <f t="shared" si="414"/>
        <v>-28164.492238218187</v>
      </c>
      <c r="O622" s="15">
        <f t="shared" si="415"/>
        <v>22.170849845882874</v>
      </c>
      <c r="P622" s="75">
        <f>O622*(1-PARAM!$C$27)*$I$6+(MOD($B622,60)=PARAM!$B$56)*($B622&gt;(60-PARAM!$B$56))*HLOOKUP(($B622+PARAM!$B$56)/12,Loyalty,2)*$F$1*MAX(R621,0)</f>
        <v>18.557001321003963</v>
      </c>
      <c r="Q622" s="75">
        <f>PARAM!$C$26+MAX($G$6-CHOOSE(PARAM!$B$44,MAX(0,R621*$F$1),0),0)*RATES!$L598/12+$H$6*(PARAM!$D$51/12)*RATES!$N598/100</f>
        <v>302.41666666666669</v>
      </c>
      <c r="R622" s="16">
        <f t="shared" si="416"/>
        <v>-28164.492238218187</v>
      </c>
      <c r="S622" s="15">
        <f t="shared" si="391"/>
        <v>22.170849845882874</v>
      </c>
      <c r="T622" s="75">
        <f>S622*(1-PARAM!$C$27)*$I$7+(MOD($B622,60)=PARAM!$B$56)*($B622&gt;(60-PARAM!$B$56))*HLOOKUP(($B622+PARAM!$B$56)/12,Loyalty,2)*$F$1*MAX(V621,0)</f>
        <v>18.557001321003963</v>
      </c>
      <c r="U622" s="75">
        <f>PARAM!$C$26+MAX($G$7-CHOOSE(PARAM!$B$44,MAX(0,V621*$F$1),0),0)*RATES!$L598/12+$H$7*(PARAM!$D$51/12)*RATES!$N598/100</f>
        <v>302.41666666666669</v>
      </c>
      <c r="V622" s="16">
        <f t="shared" si="417"/>
        <v>-28164.492238218187</v>
      </c>
      <c r="W622" s="15">
        <f t="shared" si="392"/>
        <v>22.170849845882874</v>
      </c>
      <c r="X622" s="75">
        <f>W622*(1-PARAM!$C$27)*$I$8+(MOD($B622,60)=PARAM!$B$56)*($B622&gt;(60-PARAM!$B$56))*HLOOKUP(($B622+PARAM!$B$56)/12,Loyalty,2)*$F$1*MAX(Z621,0)</f>
        <v>18.557001321003963</v>
      </c>
      <c r="Y622" s="75">
        <f>PARAM!$C$26+MAX($G$8-CHOOSE(PARAM!$B$44,MAX(0,Z621*$F$1),0),0)*RATES!$L598/12+$H$8*(PARAM!$D$51/12)*RATES!$N598/100</f>
        <v>302.41666666666669</v>
      </c>
      <c r="Z622" s="16">
        <f t="shared" si="418"/>
        <v>-28164.492238218187</v>
      </c>
      <c r="AA622" s="15">
        <f t="shared" si="393"/>
        <v>22.170849845882874</v>
      </c>
      <c r="AB622" s="75">
        <f>AA622*(1-PARAM!$C$27)*$I$9+(MOD($B622,60)=PARAM!$B$56)*($B622&gt;(60-PARAM!$B$56))*HLOOKUP(($B622+PARAM!$B$56)/12,Loyalty,2)*$F$1*MAX(AD621,0)</f>
        <v>18.557001321003963</v>
      </c>
      <c r="AC622" s="75">
        <f>PARAM!$C$26+MAX($G$9-CHOOSE(PARAM!$B$44,MAX(0,AD621*$F$1),0),0)*RATES!$L598/12+$H$9*(PARAM!$D$51/12)*RATES!$N598/100</f>
        <v>302.41666666666669</v>
      </c>
      <c r="AD622" s="16">
        <f t="shared" si="419"/>
        <v>-28164.492238218187</v>
      </c>
      <c r="AE622" s="15">
        <f t="shared" si="394"/>
        <v>22.170849845882874</v>
      </c>
      <c r="AF622" s="75">
        <f>AE622*(1-PARAM!$C$27)*$I$10+(MOD($B622,60)=PARAM!$B$56)*($B622&gt;(60-PARAM!$B$56))*HLOOKUP(($B622+PARAM!$B$56)/12,Loyalty,2)*$F$1*MAX(AH621,0)</f>
        <v>18.557001321003963</v>
      </c>
      <c r="AG622" s="75">
        <f>PARAM!$C$26+MAX($G$10-CHOOSE(PARAM!$B$44,MAX(0,AH621*$F$1),0),0)*RATES!$L598/12+$H$10*(PARAM!$D$51/12)*RATES!$N598/100</f>
        <v>302.41666666666669</v>
      </c>
      <c r="AH622" s="16">
        <f t="shared" si="420"/>
        <v>-28164.492238218187</v>
      </c>
      <c r="AI622" s="15">
        <f t="shared" si="395"/>
        <v>22.170849845882874</v>
      </c>
      <c r="AJ622" s="75">
        <f>AI622*(1-PARAM!$C$27)*$I$11+(MOD($B622,60)=PARAM!$B$56)*($B622&gt;(60-PARAM!$B$56))*HLOOKUP(($B622+PARAM!$B$56)/12,Loyalty,2)*$F$1*MAX(AL621,0)</f>
        <v>18.557001321003963</v>
      </c>
      <c r="AK622" s="75">
        <f>PARAM!$C$26+MAX($G$11-CHOOSE(PARAM!$B$44,MAX(0,AL621*$F$1),0),0)*RATES!$L598/12+$H$11*(PARAM!$D$51/12)*RATES!$N598/100</f>
        <v>302.41666666666669</v>
      </c>
      <c r="AL622" s="16">
        <f t="shared" si="421"/>
        <v>-28164.492238218187</v>
      </c>
      <c r="AM622" s="15">
        <f t="shared" si="396"/>
        <v>22.170849845882874</v>
      </c>
      <c r="AN622" s="75">
        <f>AM622*(1-PARAM!$C$27)*$I$12+(MOD($B622,60)=PARAM!$B$56)*($B622&gt;(60-PARAM!$B$56))*HLOOKUP(($B622+PARAM!$B$56)/12,Loyalty,2)*$F$1*MAX(AP621,0)</f>
        <v>18.557001321003963</v>
      </c>
      <c r="AO622" s="75">
        <f>PARAM!$C$26+MAX($G$12-CHOOSE(PARAM!$B$44,MAX(0,AP621*$F$1),0),0)*RATES!$L598/12+$H$12*(PARAM!$D$51/12)*RATES!$N598/100</f>
        <v>302.41666666666669</v>
      </c>
      <c r="AP622" s="16">
        <f t="shared" si="422"/>
        <v>-28164.492238218187</v>
      </c>
      <c r="AQ622" s="15">
        <f t="shared" si="397"/>
        <v>22.170849845882874</v>
      </c>
      <c r="AR622" s="75">
        <f>AQ622*(1-PARAM!$C$27)*$I$13+(MOD($B622,60)=PARAM!$B$56)*($B622&gt;(60-PARAM!$B$56))*HLOOKUP(($B622+PARAM!$B$56)/12,Loyalty,2)*$F$1*MAX(AT621,0)</f>
        <v>18.557001321003963</v>
      </c>
      <c r="AS622" s="75">
        <f>PARAM!$C$26+MAX($G$13-CHOOSE(PARAM!$B$44,MAX(0,AT621*$F$1),0),0)*RATES!$L598/12+$H$13*(PARAM!$D$51/12)*RATES!$N598/100</f>
        <v>302.41666666666669</v>
      </c>
      <c r="AT622" s="16">
        <f t="shared" si="423"/>
        <v>-28164.492238218187</v>
      </c>
      <c r="AU622" s="15">
        <f t="shared" si="398"/>
        <v>22.170849845882874</v>
      </c>
      <c r="AV622" s="75">
        <f>AU622*(1-PARAM!$C$27)*$I$14+(MOD($B622,60)=PARAM!$B$56)*($B622&gt;(60-PARAM!$B$56))*HLOOKUP(($B622+PARAM!$B$56)/12,Loyalty,2)*$F$1*MAX(AX621,0)</f>
        <v>18.557001321003963</v>
      </c>
      <c r="AW622" s="75">
        <f>PARAM!$C$26+MAX($G$14-CHOOSE(PARAM!$B$44,MAX(0,AX621*$F$1),0),0)*RATES!$L598/12+$H$14*(PARAM!$D$51/12)*RATES!$N598/100</f>
        <v>302.41666666666669</v>
      </c>
      <c r="AX622" s="16">
        <f t="shared" si="424"/>
        <v>-28164.492238218187</v>
      </c>
      <c r="AY622" s="15">
        <f t="shared" si="399"/>
        <v>22.170849845882874</v>
      </c>
      <c r="AZ622" s="75">
        <f>AY622*(1-PARAM!$C$27)*$I$15+(MOD($B622,60)=PARAM!$B$56)*($B622&gt;(60-PARAM!$B$56))*HLOOKUP(($B622+PARAM!$B$56)/12,Loyalty,2)*$F$1*MAX(BB621,0)</f>
        <v>18.557001321003963</v>
      </c>
      <c r="BA622" s="75">
        <f>PARAM!$C$26+MAX($G$15-CHOOSE(PARAM!$B$44,MAX(0,BB621*$F$1),0),0)*RATES!$L598/12+$H$15*(PARAM!$D$51/12)*RATES!$N598/100</f>
        <v>302.41666666666669</v>
      </c>
      <c r="BB622" s="16">
        <f t="shared" si="425"/>
        <v>-28164.492238218187</v>
      </c>
      <c r="BC622" s="15">
        <f t="shared" si="400"/>
        <v>22.170849845882874</v>
      </c>
      <c r="BD622" s="75">
        <f>BC622*(1-PARAM!$C$27)*$I$16+(MOD($B622,60)=PARAM!$B$56)*($B622&gt;(60-PARAM!$B$56))*HLOOKUP(($B622+PARAM!$B$56)/12,Loyalty,2)*$F$1*MAX(BF621,0)</f>
        <v>18.557001321003963</v>
      </c>
      <c r="BE622" s="75">
        <f>PARAM!$C$26+MAX($G$16-CHOOSE(PARAM!$B$44,MAX(0,BF621*$F$1),0),0)*RATES!$L598/12+$H$16*(PARAM!$D$51/12)*RATES!$N598/100</f>
        <v>302.41666666666669</v>
      </c>
      <c r="BF622" s="16">
        <f t="shared" si="426"/>
        <v>-28164.492238218187</v>
      </c>
      <c r="BG622" s="15">
        <f t="shared" si="401"/>
        <v>22.170849845882874</v>
      </c>
      <c r="BH622" s="75">
        <f>BG622*(1-PARAM!$C$27)*$I$17+(MOD($B622,60)=PARAM!$B$56)*($B622&gt;(60-PARAM!$B$56))*HLOOKUP(($B622+PARAM!$B$56)/12,Loyalty,2)*$F$1*MAX(BJ621,0)</f>
        <v>18.557001321003963</v>
      </c>
      <c r="BI622" s="75">
        <f>PARAM!$C$26+MAX($G$17-CHOOSE(PARAM!$B$44,MAX(0,BJ621*$F$1),0),0)*RATES!$L598/12+$H$17*(PARAM!$D$51/12)*RATES!$N598/100</f>
        <v>302.41666666666669</v>
      </c>
      <c r="BJ622" s="16">
        <f t="shared" si="427"/>
        <v>-28164.492238218187</v>
      </c>
      <c r="BK622" s="15">
        <f t="shared" si="402"/>
        <v>22.170849845882874</v>
      </c>
      <c r="BL622" s="75">
        <f>BK622*(1-PARAM!$C$27)*$I$18+(MOD($B622,60)=PARAM!$B$56)*($B622&gt;(60-PARAM!$B$56))*HLOOKUP(($B622+PARAM!$B$56)/12,Loyalty,2)*$F$1*MAX(BN621,0)</f>
        <v>18.557001321003963</v>
      </c>
      <c r="BM622" s="75">
        <f>PARAM!$C$26+MAX($G$18-CHOOSE(PARAM!$B$44,MAX(0,BN621*$F$1),0),0)*RATES!$L598/12+$H$18*(PARAM!$D$51/12)*RATES!$N598/100</f>
        <v>302.41666666666669</v>
      </c>
      <c r="BN622" s="16">
        <f t="shared" si="428"/>
        <v>-28164.492238218187</v>
      </c>
      <c r="BO622" s="15">
        <f t="shared" si="403"/>
        <v>22.170849845882874</v>
      </c>
      <c r="BP622" s="75">
        <f>BO622*(1-PARAM!$C$27)*$I$19+(MOD($B622,60)=PARAM!$B$56)*($B622&gt;(60-PARAM!$B$56))*HLOOKUP(($B622+PARAM!$B$56)/12,Loyalty,2)*$F$1*MAX(BR621,0)</f>
        <v>18.557001321003963</v>
      </c>
      <c r="BQ622" s="75">
        <f>PARAM!$C$26+MAX($G$19-CHOOSE(PARAM!$B$44,MAX(0,BR621*$F$1),0),0)*RATES!$L598/12+$H$19*(PARAM!$D$51/12)*RATES!$N598/100</f>
        <v>302.41666666666669</v>
      </c>
      <c r="BR622" s="16">
        <f t="shared" si="429"/>
        <v>-28164.492238218187</v>
      </c>
      <c r="BS622" s="15">
        <f t="shared" si="404"/>
        <v>22.170849845882874</v>
      </c>
      <c r="BT622" s="75">
        <f>BS622*(1-PARAM!$C$27)*$I$20+(MOD($B622,60)=PARAM!$B$56)*($B622&gt;(60-PARAM!$B$56))*HLOOKUP(($B622+PARAM!$B$56)/12,Loyalty,2)*$F$1*MAX(BV621,0)</f>
        <v>18.557001321003963</v>
      </c>
      <c r="BU622" s="75">
        <f>PARAM!$C$26+MAX($G$20-CHOOSE(PARAM!$B$44,MAX(0,BV621*$F$1),0),0)*RATES!$L598/12+$H$20*(PARAM!$D$51/12)*RATES!$N598/100</f>
        <v>302.41666666666669</v>
      </c>
      <c r="BV622" s="16">
        <f t="shared" si="430"/>
        <v>-28164.492238218187</v>
      </c>
      <c r="BW622" s="15">
        <f t="shared" si="405"/>
        <v>22.170849845882874</v>
      </c>
      <c r="BX622" s="75">
        <f>BW622*(1-PARAM!$C$27)*$I$21+(MOD($B622,60)=PARAM!$B$56)*($B622&gt;(60-PARAM!$B$56))*HLOOKUP(($B622+PARAM!$B$56)/12,Loyalty,2)*$F$1*MAX(BZ621,0)</f>
        <v>18.557001321003963</v>
      </c>
      <c r="BY622" s="75">
        <f>PARAM!$C$26+MAX($G$21-CHOOSE(PARAM!$B$44,MAX(0,BZ621*$F$1),0),0)*RATES!$L598/12+$H$21*(PARAM!$D$51/12)*RATES!$N598/100</f>
        <v>302.41666666666669</v>
      </c>
      <c r="BZ622" s="16">
        <f t="shared" si="431"/>
        <v>-28164.492238218187</v>
      </c>
      <c r="CA622" s="15">
        <f t="shared" si="406"/>
        <v>22.170849845882874</v>
      </c>
      <c r="CB622" s="75">
        <f>CA622*(1-PARAM!$C$27)*$I$22+(MOD($B622,60)=PARAM!$B$56)*($B622&gt;(60-PARAM!$B$56))*HLOOKUP(($B622+PARAM!$B$56)/12,Loyalty,2)*$F$1*MAX(CD621,0)</f>
        <v>18.557001321003963</v>
      </c>
      <c r="CC622" s="75">
        <f>PARAM!$C$26+MAX($G$22-CHOOSE(PARAM!$B$44,MAX(0,CD621*$F$1),0),0)*RATES!$L598/12+$H$22*(PARAM!$D$51/12)*RATES!$N598/100</f>
        <v>302.41666666666669</v>
      </c>
      <c r="CD622" s="16">
        <f t="shared" si="432"/>
        <v>-28164.492238218187</v>
      </c>
      <c r="CE622" s="33">
        <f>IF(0=MOD(B622,12/PARAM!$D$51),1,0)</f>
        <v>1</v>
      </c>
      <c r="CF622" s="15">
        <f t="shared" si="407"/>
        <v>0</v>
      </c>
      <c r="CG622" s="75">
        <f>CF622*(1-PARAM!$C$27)*$R$3+(MOD($B622/12,5)=0)*($B622&gt;60)*HLOOKUP($B622/12,Loyalty,2)*$F$1*MAX(CI621,0)</f>
        <v>0</v>
      </c>
      <c r="CH622" s="75">
        <f>PARAM!$C$26+MAX($P$3-CHOOSE(PARAM!$B$44,MAX(0,CI621*$F$1),0),0)*RATES!$L598/12+$Q$3*(PARAM!$D$51/12)*RATES!$N598/100</f>
        <v>302.41666666666669</v>
      </c>
      <c r="CI622" s="16">
        <f>IF(CI621&gt;0,CI621*PARAM!$C$53,CI621)+CG622-CH622</f>
        <v>-39086.333333333358</v>
      </c>
      <c r="CJ622" s="15">
        <f t="shared" si="433"/>
        <v>0</v>
      </c>
      <c r="CK622" s="75">
        <f>CJ622*(1-PARAM!$C$27)*$R$4+(MOD($B622/12,5)=0)*($B622&gt;60)*HLOOKUP($B622/12,Loyalty,2)*$F$1*MAX(CM621,0)</f>
        <v>0</v>
      </c>
      <c r="CL622" s="75">
        <f>PARAM!$C$26+MAX($P$4-CHOOSE(PARAM!$B$44,MAX(0,CM621*$F$1),0),0)*RATES!$L598/12+$Q$4*(PARAM!$D$51/12)*RATES!$N598/100</f>
        <v>302.41666666666669</v>
      </c>
      <c r="CM622" s="16">
        <f>IF(CM621&gt;0,CM621*PARAM!$C$53,CM621)+CK622-CL622</f>
        <v>-39086.333333333358</v>
      </c>
      <c r="CO622" s="176"/>
    </row>
    <row r="623" spans="1:93" x14ac:dyDescent="0.2">
      <c r="A623" t="b">
        <f t="shared" si="408"/>
        <v>0</v>
      </c>
      <c r="B623" s="33">
        <v>596</v>
      </c>
      <c r="C623" s="15">
        <f t="shared" si="409"/>
        <v>20.081305947392778</v>
      </c>
      <c r="D623" s="75">
        <f>C623*(1-PARAM!$C$27)*$I$3+(MOD($B623,60)=PARAM!$B$56)*($B623&gt;(60-PARAM!$B$56))*HLOOKUP(($B623+PARAM!$B$56)/12,Loyalty,2)*$F$1*MAX(F622,0)</f>
        <v>16.808053077967756</v>
      </c>
      <c r="E623" s="75">
        <f>PARAM!$C$26+MAX($G$3-CHOOSE(PARAM!$B$44,MAX(0,F622*$F$1),0),0)*RATES!$L599/12+$H$3*(PARAM!$D$51/12)*RATES!$N599/100</f>
        <v>302.41666666666669</v>
      </c>
      <c r="F623" s="16">
        <f t="shared" si="410"/>
        <v>-29527.575556935066</v>
      </c>
      <c r="G623" s="15">
        <f t="shared" si="411"/>
        <v>22.035289406060361</v>
      </c>
      <c r="H623" s="75">
        <f>G623*(1-PARAM!$C$27)*$I$4+(MOD($B623,60)=PARAM!$B$56)*($B623&gt;(60-PARAM!$B$56))*HLOOKUP(($B623+PARAM!$B$56)/12,Loyalty,2)*$F$1*MAX(J622,0)</f>
        <v>18.443537232872522</v>
      </c>
      <c r="I623" s="75">
        <f>PARAM!$C$26+MAX($G$4-CHOOSE(PARAM!$B$44,MAX(0,J622*$F$1),0),0)*RATES!$L599/12+$H$4*(PARAM!$D$51/12)*RATES!$N599/100</f>
        <v>302.41666666666669</v>
      </c>
      <c r="J623" s="16">
        <f t="shared" si="412"/>
        <v>-28518.99403649001</v>
      </c>
      <c r="K623" s="15">
        <f t="shared" si="413"/>
        <v>22.170849845882874</v>
      </c>
      <c r="L623" s="75">
        <f>K623*(1-PARAM!$C$27)*$I$5+(MOD($B623,60)=PARAM!$B$56)*($B623&gt;(60-PARAM!$B$56))*HLOOKUP(($B623+PARAM!$B$56)/12,Loyalty,2)*$F$1*MAX(N622,0)</f>
        <v>18.557001321003963</v>
      </c>
      <c r="M623" s="75">
        <f>PARAM!$C$26+MAX($G$5-CHOOSE(PARAM!$B$44,MAX(0,N622*$F$1),0),0)*RATES!$L599/12+$H$5*(PARAM!$D$51/12)*RATES!$N599/100</f>
        <v>302.41666666666669</v>
      </c>
      <c r="N623" s="16">
        <f t="shared" si="414"/>
        <v>-28448.351903563849</v>
      </c>
      <c r="O623" s="15">
        <f t="shared" si="415"/>
        <v>22.170849845882874</v>
      </c>
      <c r="P623" s="75">
        <f>O623*(1-PARAM!$C$27)*$I$6+(MOD($B623,60)=PARAM!$B$56)*($B623&gt;(60-PARAM!$B$56))*HLOOKUP(($B623+PARAM!$B$56)/12,Loyalty,2)*$F$1*MAX(R622,0)</f>
        <v>18.557001321003963</v>
      </c>
      <c r="Q623" s="75">
        <f>PARAM!$C$26+MAX($G$6-CHOOSE(PARAM!$B$44,MAX(0,R622*$F$1),0),0)*RATES!$L599/12+$H$6*(PARAM!$D$51/12)*RATES!$N599/100</f>
        <v>302.41666666666669</v>
      </c>
      <c r="R623" s="16">
        <f t="shared" si="416"/>
        <v>-28448.351903563849</v>
      </c>
      <c r="S623" s="15">
        <f t="shared" si="391"/>
        <v>22.170849845882874</v>
      </c>
      <c r="T623" s="75">
        <f>S623*(1-PARAM!$C$27)*$I$7+(MOD($B623,60)=PARAM!$B$56)*($B623&gt;(60-PARAM!$B$56))*HLOOKUP(($B623+PARAM!$B$56)/12,Loyalty,2)*$F$1*MAX(V622,0)</f>
        <v>18.557001321003963</v>
      </c>
      <c r="U623" s="75">
        <f>PARAM!$C$26+MAX($G$7-CHOOSE(PARAM!$B$44,MAX(0,V622*$F$1),0),0)*RATES!$L599/12+$H$7*(PARAM!$D$51/12)*RATES!$N599/100</f>
        <v>302.41666666666669</v>
      </c>
      <c r="V623" s="16">
        <f t="shared" si="417"/>
        <v>-28448.351903563849</v>
      </c>
      <c r="W623" s="15">
        <f t="shared" si="392"/>
        <v>22.170849845882874</v>
      </c>
      <c r="X623" s="75">
        <f>W623*(1-PARAM!$C$27)*$I$8+(MOD($B623,60)=PARAM!$B$56)*($B623&gt;(60-PARAM!$B$56))*HLOOKUP(($B623+PARAM!$B$56)/12,Loyalty,2)*$F$1*MAX(Z622,0)</f>
        <v>18.557001321003963</v>
      </c>
      <c r="Y623" s="75">
        <f>PARAM!$C$26+MAX($G$8-CHOOSE(PARAM!$B$44,MAX(0,Z622*$F$1),0),0)*RATES!$L599/12+$H$8*(PARAM!$D$51/12)*RATES!$N599/100</f>
        <v>302.41666666666669</v>
      </c>
      <c r="Z623" s="16">
        <f t="shared" si="418"/>
        <v>-28448.351903563849</v>
      </c>
      <c r="AA623" s="15">
        <f t="shared" si="393"/>
        <v>22.170849845882874</v>
      </c>
      <c r="AB623" s="75">
        <f>AA623*(1-PARAM!$C$27)*$I$9+(MOD($B623,60)=PARAM!$B$56)*($B623&gt;(60-PARAM!$B$56))*HLOOKUP(($B623+PARAM!$B$56)/12,Loyalty,2)*$F$1*MAX(AD622,0)</f>
        <v>18.557001321003963</v>
      </c>
      <c r="AC623" s="75">
        <f>PARAM!$C$26+MAX($G$9-CHOOSE(PARAM!$B$44,MAX(0,AD622*$F$1),0),0)*RATES!$L599/12+$H$9*(PARAM!$D$51/12)*RATES!$N599/100</f>
        <v>302.41666666666669</v>
      </c>
      <c r="AD623" s="16">
        <f t="shared" si="419"/>
        <v>-28448.351903563849</v>
      </c>
      <c r="AE623" s="15">
        <f t="shared" si="394"/>
        <v>22.170849845882874</v>
      </c>
      <c r="AF623" s="75">
        <f>AE623*(1-PARAM!$C$27)*$I$10+(MOD($B623,60)=PARAM!$B$56)*($B623&gt;(60-PARAM!$B$56))*HLOOKUP(($B623+PARAM!$B$56)/12,Loyalty,2)*$F$1*MAX(AH622,0)</f>
        <v>18.557001321003963</v>
      </c>
      <c r="AG623" s="75">
        <f>PARAM!$C$26+MAX($G$10-CHOOSE(PARAM!$B$44,MAX(0,AH622*$F$1),0),0)*RATES!$L599/12+$H$10*(PARAM!$D$51/12)*RATES!$N599/100</f>
        <v>302.41666666666669</v>
      </c>
      <c r="AH623" s="16">
        <f t="shared" si="420"/>
        <v>-28448.351903563849</v>
      </c>
      <c r="AI623" s="15">
        <f t="shared" si="395"/>
        <v>22.170849845882874</v>
      </c>
      <c r="AJ623" s="75">
        <f>AI623*(1-PARAM!$C$27)*$I$11+(MOD($B623,60)=PARAM!$B$56)*($B623&gt;(60-PARAM!$B$56))*HLOOKUP(($B623+PARAM!$B$56)/12,Loyalty,2)*$F$1*MAX(AL622,0)</f>
        <v>18.557001321003963</v>
      </c>
      <c r="AK623" s="75">
        <f>PARAM!$C$26+MAX($G$11-CHOOSE(PARAM!$B$44,MAX(0,AL622*$F$1),0),0)*RATES!$L599/12+$H$11*(PARAM!$D$51/12)*RATES!$N599/100</f>
        <v>302.41666666666669</v>
      </c>
      <c r="AL623" s="16">
        <f t="shared" si="421"/>
        <v>-28448.351903563849</v>
      </c>
      <c r="AM623" s="15">
        <f t="shared" si="396"/>
        <v>22.170849845882874</v>
      </c>
      <c r="AN623" s="75">
        <f>AM623*(1-PARAM!$C$27)*$I$12+(MOD($B623,60)=PARAM!$B$56)*($B623&gt;(60-PARAM!$B$56))*HLOOKUP(($B623+PARAM!$B$56)/12,Loyalty,2)*$F$1*MAX(AP622,0)</f>
        <v>18.557001321003963</v>
      </c>
      <c r="AO623" s="75">
        <f>PARAM!$C$26+MAX($G$12-CHOOSE(PARAM!$B$44,MAX(0,AP622*$F$1),0),0)*RATES!$L599/12+$H$12*(PARAM!$D$51/12)*RATES!$N599/100</f>
        <v>302.41666666666669</v>
      </c>
      <c r="AP623" s="16">
        <f t="shared" si="422"/>
        <v>-28448.351903563849</v>
      </c>
      <c r="AQ623" s="15">
        <f t="shared" si="397"/>
        <v>22.170849845882874</v>
      </c>
      <c r="AR623" s="75">
        <f>AQ623*(1-PARAM!$C$27)*$I$13+(MOD($B623,60)=PARAM!$B$56)*($B623&gt;(60-PARAM!$B$56))*HLOOKUP(($B623+PARAM!$B$56)/12,Loyalty,2)*$F$1*MAX(AT622,0)</f>
        <v>18.557001321003963</v>
      </c>
      <c r="AS623" s="75">
        <f>PARAM!$C$26+MAX($G$13-CHOOSE(PARAM!$B$44,MAX(0,AT622*$F$1),0),0)*RATES!$L599/12+$H$13*(PARAM!$D$51/12)*RATES!$N599/100</f>
        <v>302.41666666666669</v>
      </c>
      <c r="AT623" s="16">
        <f t="shared" si="423"/>
        <v>-28448.351903563849</v>
      </c>
      <c r="AU623" s="15">
        <f t="shared" si="398"/>
        <v>22.170849845882874</v>
      </c>
      <c r="AV623" s="75">
        <f>AU623*(1-PARAM!$C$27)*$I$14+(MOD($B623,60)=PARAM!$B$56)*($B623&gt;(60-PARAM!$B$56))*HLOOKUP(($B623+PARAM!$B$56)/12,Loyalty,2)*$F$1*MAX(AX622,0)</f>
        <v>18.557001321003963</v>
      </c>
      <c r="AW623" s="75">
        <f>PARAM!$C$26+MAX($G$14-CHOOSE(PARAM!$B$44,MAX(0,AX622*$F$1),0),0)*RATES!$L599/12+$H$14*(PARAM!$D$51/12)*RATES!$N599/100</f>
        <v>302.41666666666669</v>
      </c>
      <c r="AX623" s="16">
        <f t="shared" si="424"/>
        <v>-28448.351903563849</v>
      </c>
      <c r="AY623" s="15">
        <f t="shared" si="399"/>
        <v>22.170849845882874</v>
      </c>
      <c r="AZ623" s="75">
        <f>AY623*(1-PARAM!$C$27)*$I$15+(MOD($B623,60)=PARAM!$B$56)*($B623&gt;(60-PARAM!$B$56))*HLOOKUP(($B623+PARAM!$B$56)/12,Loyalty,2)*$F$1*MAX(BB622,0)</f>
        <v>18.557001321003963</v>
      </c>
      <c r="BA623" s="75">
        <f>PARAM!$C$26+MAX($G$15-CHOOSE(PARAM!$B$44,MAX(0,BB622*$F$1),0),0)*RATES!$L599/12+$H$15*(PARAM!$D$51/12)*RATES!$N599/100</f>
        <v>302.41666666666669</v>
      </c>
      <c r="BB623" s="16">
        <f t="shared" si="425"/>
        <v>-28448.351903563849</v>
      </c>
      <c r="BC623" s="15">
        <f t="shared" si="400"/>
        <v>22.170849845882874</v>
      </c>
      <c r="BD623" s="75">
        <f>BC623*(1-PARAM!$C$27)*$I$16+(MOD($B623,60)=PARAM!$B$56)*($B623&gt;(60-PARAM!$B$56))*HLOOKUP(($B623+PARAM!$B$56)/12,Loyalty,2)*$F$1*MAX(BF622,0)</f>
        <v>18.557001321003963</v>
      </c>
      <c r="BE623" s="75">
        <f>PARAM!$C$26+MAX($G$16-CHOOSE(PARAM!$B$44,MAX(0,BF622*$F$1),0),0)*RATES!$L599/12+$H$16*(PARAM!$D$51/12)*RATES!$N599/100</f>
        <v>302.41666666666669</v>
      </c>
      <c r="BF623" s="16">
        <f t="shared" si="426"/>
        <v>-28448.351903563849</v>
      </c>
      <c r="BG623" s="15">
        <f t="shared" si="401"/>
        <v>22.170849845882874</v>
      </c>
      <c r="BH623" s="75">
        <f>BG623*(1-PARAM!$C$27)*$I$17+(MOD($B623,60)=PARAM!$B$56)*($B623&gt;(60-PARAM!$B$56))*HLOOKUP(($B623+PARAM!$B$56)/12,Loyalty,2)*$F$1*MAX(BJ622,0)</f>
        <v>18.557001321003963</v>
      </c>
      <c r="BI623" s="75">
        <f>PARAM!$C$26+MAX($G$17-CHOOSE(PARAM!$B$44,MAX(0,BJ622*$F$1),0),0)*RATES!$L599/12+$H$17*(PARAM!$D$51/12)*RATES!$N599/100</f>
        <v>302.41666666666669</v>
      </c>
      <c r="BJ623" s="16">
        <f t="shared" si="427"/>
        <v>-28448.351903563849</v>
      </c>
      <c r="BK623" s="15">
        <f t="shared" si="402"/>
        <v>22.170849845882874</v>
      </c>
      <c r="BL623" s="75">
        <f>BK623*(1-PARAM!$C$27)*$I$18+(MOD($B623,60)=PARAM!$B$56)*($B623&gt;(60-PARAM!$B$56))*HLOOKUP(($B623+PARAM!$B$56)/12,Loyalty,2)*$F$1*MAX(BN622,0)</f>
        <v>18.557001321003963</v>
      </c>
      <c r="BM623" s="75">
        <f>PARAM!$C$26+MAX($G$18-CHOOSE(PARAM!$B$44,MAX(0,BN622*$F$1),0),0)*RATES!$L599/12+$H$18*(PARAM!$D$51/12)*RATES!$N599/100</f>
        <v>302.41666666666669</v>
      </c>
      <c r="BN623" s="16">
        <f t="shared" si="428"/>
        <v>-28448.351903563849</v>
      </c>
      <c r="BO623" s="15">
        <f t="shared" si="403"/>
        <v>22.170849845882874</v>
      </c>
      <c r="BP623" s="75">
        <f>BO623*(1-PARAM!$C$27)*$I$19+(MOD($B623,60)=PARAM!$B$56)*($B623&gt;(60-PARAM!$B$56))*HLOOKUP(($B623+PARAM!$B$56)/12,Loyalty,2)*$F$1*MAX(BR622,0)</f>
        <v>18.557001321003963</v>
      </c>
      <c r="BQ623" s="75">
        <f>PARAM!$C$26+MAX($G$19-CHOOSE(PARAM!$B$44,MAX(0,BR622*$F$1),0),0)*RATES!$L599/12+$H$19*(PARAM!$D$51/12)*RATES!$N599/100</f>
        <v>302.41666666666669</v>
      </c>
      <c r="BR623" s="16">
        <f t="shared" si="429"/>
        <v>-28448.351903563849</v>
      </c>
      <c r="BS623" s="15">
        <f t="shared" si="404"/>
        <v>22.170849845882874</v>
      </c>
      <c r="BT623" s="75">
        <f>BS623*(1-PARAM!$C$27)*$I$20+(MOD($B623,60)=PARAM!$B$56)*($B623&gt;(60-PARAM!$B$56))*HLOOKUP(($B623+PARAM!$B$56)/12,Loyalty,2)*$F$1*MAX(BV622,0)</f>
        <v>18.557001321003963</v>
      </c>
      <c r="BU623" s="75">
        <f>PARAM!$C$26+MAX($G$20-CHOOSE(PARAM!$B$44,MAX(0,BV622*$F$1),0),0)*RATES!$L599/12+$H$20*(PARAM!$D$51/12)*RATES!$N599/100</f>
        <v>302.41666666666669</v>
      </c>
      <c r="BV623" s="16">
        <f t="shared" si="430"/>
        <v>-28448.351903563849</v>
      </c>
      <c r="BW623" s="15">
        <f t="shared" si="405"/>
        <v>22.170849845882874</v>
      </c>
      <c r="BX623" s="75">
        <f>BW623*(1-PARAM!$C$27)*$I$21+(MOD($B623,60)=PARAM!$B$56)*($B623&gt;(60-PARAM!$B$56))*HLOOKUP(($B623+PARAM!$B$56)/12,Loyalty,2)*$F$1*MAX(BZ622,0)</f>
        <v>18.557001321003963</v>
      </c>
      <c r="BY623" s="75">
        <f>PARAM!$C$26+MAX($G$21-CHOOSE(PARAM!$B$44,MAX(0,BZ622*$F$1),0),0)*RATES!$L599/12+$H$21*(PARAM!$D$51/12)*RATES!$N599/100</f>
        <v>302.41666666666669</v>
      </c>
      <c r="BZ623" s="16">
        <f t="shared" si="431"/>
        <v>-28448.351903563849</v>
      </c>
      <c r="CA623" s="15">
        <f t="shared" si="406"/>
        <v>22.170849845882874</v>
      </c>
      <c r="CB623" s="75">
        <f>CA623*(1-PARAM!$C$27)*$I$22+(MOD($B623,60)=PARAM!$B$56)*($B623&gt;(60-PARAM!$B$56))*HLOOKUP(($B623+PARAM!$B$56)/12,Loyalty,2)*$F$1*MAX(CD622,0)</f>
        <v>18.557001321003963</v>
      </c>
      <c r="CC623" s="75">
        <f>PARAM!$C$26+MAX($G$22-CHOOSE(PARAM!$B$44,MAX(0,CD622*$F$1),0),0)*RATES!$L599/12+$H$22*(PARAM!$D$51/12)*RATES!$N599/100</f>
        <v>302.41666666666669</v>
      </c>
      <c r="CD623" s="16">
        <f t="shared" si="432"/>
        <v>-28448.351903563849</v>
      </c>
      <c r="CE623" s="33">
        <f>IF(0=MOD(B623,12/PARAM!$D$51),1,0)</f>
        <v>1</v>
      </c>
      <c r="CF623" s="15">
        <f t="shared" si="407"/>
        <v>0</v>
      </c>
      <c r="CG623" s="75">
        <f>CF623*(1-PARAM!$C$27)*$R$3+(MOD($B623/12,5)=0)*($B623&gt;60)*HLOOKUP($B623/12,Loyalty,2)*$F$1*MAX(CI622,0)</f>
        <v>0</v>
      </c>
      <c r="CH623" s="75">
        <f>PARAM!$C$26+MAX($P$3-CHOOSE(PARAM!$B$44,MAX(0,CI622*$F$1),0),0)*RATES!$L599/12+$Q$3*(PARAM!$D$51/12)*RATES!$N599/100</f>
        <v>302.41666666666669</v>
      </c>
      <c r="CI623" s="16">
        <f>IF(CI622&gt;0,CI622*PARAM!$C$53,CI622)+CG623-CH623</f>
        <v>-39388.750000000022</v>
      </c>
      <c r="CJ623" s="15">
        <f t="shared" si="433"/>
        <v>0</v>
      </c>
      <c r="CK623" s="75">
        <f>CJ623*(1-PARAM!$C$27)*$R$4+(MOD($B623/12,5)=0)*($B623&gt;60)*HLOOKUP($B623/12,Loyalty,2)*$F$1*MAX(CM622,0)</f>
        <v>0</v>
      </c>
      <c r="CL623" s="75">
        <f>PARAM!$C$26+MAX($P$4-CHOOSE(PARAM!$B$44,MAX(0,CM622*$F$1),0),0)*RATES!$L599/12+$Q$4*(PARAM!$D$51/12)*RATES!$N599/100</f>
        <v>302.41666666666669</v>
      </c>
      <c r="CM623" s="16">
        <f>IF(CM622&gt;0,CM622*PARAM!$C$53,CM622)+CK623-CL623</f>
        <v>-39388.750000000022</v>
      </c>
      <c r="CO623" s="176"/>
    </row>
    <row r="624" spans="1:93" x14ac:dyDescent="0.2">
      <c r="A624" t="b">
        <f t="shared" si="408"/>
        <v>0</v>
      </c>
      <c r="B624" s="33">
        <v>597</v>
      </c>
      <c r="C624" s="15">
        <f t="shared" si="409"/>
        <v>20.081305947392778</v>
      </c>
      <c r="D624" s="75">
        <f>C624*(1-PARAM!$C$27)*$I$3+(MOD($B624,60)=PARAM!$B$56)*($B624&gt;(60-PARAM!$B$56))*HLOOKUP(($B624+PARAM!$B$56)/12,Loyalty,2)*$F$1*MAX(F623,0)</f>
        <v>16.808053077967756</v>
      </c>
      <c r="E624" s="75">
        <f>PARAM!$C$26+MAX($G$3-CHOOSE(PARAM!$B$44,MAX(0,F623*$F$1),0),0)*RATES!$L600/12+$H$3*(PARAM!$D$51/12)*RATES!$N600/100</f>
        <v>302.41666666666669</v>
      </c>
      <c r="F624" s="16">
        <f t="shared" si="410"/>
        <v>-29813.184170523768</v>
      </c>
      <c r="G624" s="15">
        <f t="shared" si="411"/>
        <v>22.035289406060361</v>
      </c>
      <c r="H624" s="75">
        <f>G624*(1-PARAM!$C$27)*$I$4+(MOD($B624,60)=PARAM!$B$56)*($B624&gt;(60-PARAM!$B$56))*HLOOKUP(($B624+PARAM!$B$56)/12,Loyalty,2)*$F$1*MAX(J623,0)</f>
        <v>18.443537232872522</v>
      </c>
      <c r="I624" s="75">
        <f>PARAM!$C$26+MAX($G$4-CHOOSE(PARAM!$B$44,MAX(0,J623*$F$1),0),0)*RATES!$L600/12+$H$4*(PARAM!$D$51/12)*RATES!$N600/100</f>
        <v>302.41666666666669</v>
      </c>
      <c r="J624" s="16">
        <f t="shared" si="412"/>
        <v>-28802.967165923805</v>
      </c>
      <c r="K624" s="15">
        <f t="shared" si="413"/>
        <v>22.170849845882874</v>
      </c>
      <c r="L624" s="75">
        <f>K624*(1-PARAM!$C$27)*$I$5+(MOD($B624,60)=PARAM!$B$56)*($B624&gt;(60-PARAM!$B$56))*HLOOKUP(($B624+PARAM!$B$56)/12,Loyalty,2)*$F$1*MAX(N623,0)</f>
        <v>18.557001321003963</v>
      </c>
      <c r="M624" s="75">
        <f>PARAM!$C$26+MAX($G$5-CHOOSE(PARAM!$B$44,MAX(0,N623*$F$1),0),0)*RATES!$L600/12+$H$5*(PARAM!$D$51/12)*RATES!$N600/100</f>
        <v>302.41666666666669</v>
      </c>
      <c r="N624" s="16">
        <f t="shared" si="414"/>
        <v>-28732.211568909512</v>
      </c>
      <c r="O624" s="15">
        <f t="shared" si="415"/>
        <v>22.170849845882874</v>
      </c>
      <c r="P624" s="75">
        <f>O624*(1-PARAM!$C$27)*$I$6+(MOD($B624,60)=PARAM!$B$56)*($B624&gt;(60-PARAM!$B$56))*HLOOKUP(($B624+PARAM!$B$56)/12,Loyalty,2)*$F$1*MAX(R623,0)</f>
        <v>18.557001321003963</v>
      </c>
      <c r="Q624" s="75">
        <f>PARAM!$C$26+MAX($G$6-CHOOSE(PARAM!$B$44,MAX(0,R623*$F$1),0),0)*RATES!$L600/12+$H$6*(PARAM!$D$51/12)*RATES!$N600/100</f>
        <v>302.41666666666669</v>
      </c>
      <c r="R624" s="16">
        <f t="shared" si="416"/>
        <v>-28732.211568909512</v>
      </c>
      <c r="S624" s="15">
        <f t="shared" si="391"/>
        <v>22.170849845882874</v>
      </c>
      <c r="T624" s="75">
        <f>S624*(1-PARAM!$C$27)*$I$7+(MOD($B624,60)=PARAM!$B$56)*($B624&gt;(60-PARAM!$B$56))*HLOOKUP(($B624+PARAM!$B$56)/12,Loyalty,2)*$F$1*MAX(V623,0)</f>
        <v>18.557001321003963</v>
      </c>
      <c r="U624" s="75">
        <f>PARAM!$C$26+MAX($G$7-CHOOSE(PARAM!$B$44,MAX(0,V623*$F$1),0),0)*RATES!$L600/12+$H$7*(PARAM!$D$51/12)*RATES!$N600/100</f>
        <v>302.41666666666669</v>
      </c>
      <c r="V624" s="16">
        <f t="shared" si="417"/>
        <v>-28732.211568909512</v>
      </c>
      <c r="W624" s="15">
        <f t="shared" si="392"/>
        <v>22.170849845882874</v>
      </c>
      <c r="X624" s="75">
        <f>W624*(1-PARAM!$C$27)*$I$8+(MOD($B624,60)=PARAM!$B$56)*($B624&gt;(60-PARAM!$B$56))*HLOOKUP(($B624+PARAM!$B$56)/12,Loyalty,2)*$F$1*MAX(Z623,0)</f>
        <v>18.557001321003963</v>
      </c>
      <c r="Y624" s="75">
        <f>PARAM!$C$26+MAX($G$8-CHOOSE(PARAM!$B$44,MAX(0,Z623*$F$1),0),0)*RATES!$L600/12+$H$8*(PARAM!$D$51/12)*RATES!$N600/100</f>
        <v>302.41666666666669</v>
      </c>
      <c r="Z624" s="16">
        <f t="shared" si="418"/>
        <v>-28732.211568909512</v>
      </c>
      <c r="AA624" s="15">
        <f t="shared" si="393"/>
        <v>22.170849845882874</v>
      </c>
      <c r="AB624" s="75">
        <f>AA624*(1-PARAM!$C$27)*$I$9+(MOD($B624,60)=PARAM!$B$56)*($B624&gt;(60-PARAM!$B$56))*HLOOKUP(($B624+PARAM!$B$56)/12,Loyalty,2)*$F$1*MAX(AD623,0)</f>
        <v>18.557001321003963</v>
      </c>
      <c r="AC624" s="75">
        <f>PARAM!$C$26+MAX($G$9-CHOOSE(PARAM!$B$44,MAX(0,AD623*$F$1),0),0)*RATES!$L600/12+$H$9*(PARAM!$D$51/12)*RATES!$N600/100</f>
        <v>302.41666666666669</v>
      </c>
      <c r="AD624" s="16">
        <f t="shared" si="419"/>
        <v>-28732.211568909512</v>
      </c>
      <c r="AE624" s="15">
        <f t="shared" si="394"/>
        <v>22.170849845882874</v>
      </c>
      <c r="AF624" s="75">
        <f>AE624*(1-PARAM!$C$27)*$I$10+(MOD($B624,60)=PARAM!$B$56)*($B624&gt;(60-PARAM!$B$56))*HLOOKUP(($B624+PARAM!$B$56)/12,Loyalty,2)*$F$1*MAX(AH623,0)</f>
        <v>18.557001321003963</v>
      </c>
      <c r="AG624" s="75">
        <f>PARAM!$C$26+MAX($G$10-CHOOSE(PARAM!$B$44,MAX(0,AH623*$F$1),0),0)*RATES!$L600/12+$H$10*(PARAM!$D$51/12)*RATES!$N600/100</f>
        <v>302.41666666666669</v>
      </c>
      <c r="AH624" s="16">
        <f t="shared" si="420"/>
        <v>-28732.211568909512</v>
      </c>
      <c r="AI624" s="15">
        <f t="shared" si="395"/>
        <v>22.170849845882874</v>
      </c>
      <c r="AJ624" s="75">
        <f>AI624*(1-PARAM!$C$27)*$I$11+(MOD($B624,60)=PARAM!$B$56)*($B624&gt;(60-PARAM!$B$56))*HLOOKUP(($B624+PARAM!$B$56)/12,Loyalty,2)*$F$1*MAX(AL623,0)</f>
        <v>18.557001321003963</v>
      </c>
      <c r="AK624" s="75">
        <f>PARAM!$C$26+MAX($G$11-CHOOSE(PARAM!$B$44,MAX(0,AL623*$F$1),0),0)*RATES!$L600/12+$H$11*(PARAM!$D$51/12)*RATES!$N600/100</f>
        <v>302.41666666666669</v>
      </c>
      <c r="AL624" s="16">
        <f t="shared" si="421"/>
        <v>-28732.211568909512</v>
      </c>
      <c r="AM624" s="15">
        <f t="shared" si="396"/>
        <v>22.170849845882874</v>
      </c>
      <c r="AN624" s="75">
        <f>AM624*(1-PARAM!$C$27)*$I$12+(MOD($B624,60)=PARAM!$B$56)*($B624&gt;(60-PARAM!$B$56))*HLOOKUP(($B624+PARAM!$B$56)/12,Loyalty,2)*$F$1*MAX(AP623,0)</f>
        <v>18.557001321003963</v>
      </c>
      <c r="AO624" s="75">
        <f>PARAM!$C$26+MAX($G$12-CHOOSE(PARAM!$B$44,MAX(0,AP623*$F$1),0),0)*RATES!$L600/12+$H$12*(PARAM!$D$51/12)*RATES!$N600/100</f>
        <v>302.41666666666669</v>
      </c>
      <c r="AP624" s="16">
        <f t="shared" si="422"/>
        <v>-28732.211568909512</v>
      </c>
      <c r="AQ624" s="15">
        <f t="shared" si="397"/>
        <v>22.170849845882874</v>
      </c>
      <c r="AR624" s="75">
        <f>AQ624*(1-PARAM!$C$27)*$I$13+(MOD($B624,60)=PARAM!$B$56)*($B624&gt;(60-PARAM!$B$56))*HLOOKUP(($B624+PARAM!$B$56)/12,Loyalty,2)*$F$1*MAX(AT623,0)</f>
        <v>18.557001321003963</v>
      </c>
      <c r="AS624" s="75">
        <f>PARAM!$C$26+MAX($G$13-CHOOSE(PARAM!$B$44,MAX(0,AT623*$F$1),0),0)*RATES!$L600/12+$H$13*(PARAM!$D$51/12)*RATES!$N600/100</f>
        <v>302.41666666666669</v>
      </c>
      <c r="AT624" s="16">
        <f t="shared" si="423"/>
        <v>-28732.211568909512</v>
      </c>
      <c r="AU624" s="15">
        <f t="shared" si="398"/>
        <v>22.170849845882874</v>
      </c>
      <c r="AV624" s="75">
        <f>AU624*(1-PARAM!$C$27)*$I$14+(MOD($B624,60)=PARAM!$B$56)*($B624&gt;(60-PARAM!$B$56))*HLOOKUP(($B624+PARAM!$B$56)/12,Loyalty,2)*$F$1*MAX(AX623,0)</f>
        <v>18.557001321003963</v>
      </c>
      <c r="AW624" s="75">
        <f>PARAM!$C$26+MAX($G$14-CHOOSE(PARAM!$B$44,MAX(0,AX623*$F$1),0),0)*RATES!$L600/12+$H$14*(PARAM!$D$51/12)*RATES!$N600/100</f>
        <v>302.41666666666669</v>
      </c>
      <c r="AX624" s="16">
        <f t="shared" si="424"/>
        <v>-28732.211568909512</v>
      </c>
      <c r="AY624" s="15">
        <f t="shared" si="399"/>
        <v>22.170849845882874</v>
      </c>
      <c r="AZ624" s="75">
        <f>AY624*(1-PARAM!$C$27)*$I$15+(MOD($B624,60)=PARAM!$B$56)*($B624&gt;(60-PARAM!$B$56))*HLOOKUP(($B624+PARAM!$B$56)/12,Loyalty,2)*$F$1*MAX(BB623,0)</f>
        <v>18.557001321003963</v>
      </c>
      <c r="BA624" s="75">
        <f>PARAM!$C$26+MAX($G$15-CHOOSE(PARAM!$B$44,MAX(0,BB623*$F$1),0),0)*RATES!$L600/12+$H$15*(PARAM!$D$51/12)*RATES!$N600/100</f>
        <v>302.41666666666669</v>
      </c>
      <c r="BB624" s="16">
        <f t="shared" si="425"/>
        <v>-28732.211568909512</v>
      </c>
      <c r="BC624" s="15">
        <f t="shared" si="400"/>
        <v>22.170849845882874</v>
      </c>
      <c r="BD624" s="75">
        <f>BC624*(1-PARAM!$C$27)*$I$16+(MOD($B624,60)=PARAM!$B$56)*($B624&gt;(60-PARAM!$B$56))*HLOOKUP(($B624+PARAM!$B$56)/12,Loyalty,2)*$F$1*MAX(BF623,0)</f>
        <v>18.557001321003963</v>
      </c>
      <c r="BE624" s="75">
        <f>PARAM!$C$26+MAX($G$16-CHOOSE(PARAM!$B$44,MAX(0,BF623*$F$1),0),0)*RATES!$L600/12+$H$16*(PARAM!$D$51/12)*RATES!$N600/100</f>
        <v>302.41666666666669</v>
      </c>
      <c r="BF624" s="16">
        <f t="shared" si="426"/>
        <v>-28732.211568909512</v>
      </c>
      <c r="BG624" s="15">
        <f t="shared" si="401"/>
        <v>22.170849845882874</v>
      </c>
      <c r="BH624" s="75">
        <f>BG624*(1-PARAM!$C$27)*$I$17+(MOD($B624,60)=PARAM!$B$56)*($B624&gt;(60-PARAM!$B$56))*HLOOKUP(($B624+PARAM!$B$56)/12,Loyalty,2)*$F$1*MAX(BJ623,0)</f>
        <v>18.557001321003963</v>
      </c>
      <c r="BI624" s="75">
        <f>PARAM!$C$26+MAX($G$17-CHOOSE(PARAM!$B$44,MAX(0,BJ623*$F$1),0),0)*RATES!$L600/12+$H$17*(PARAM!$D$51/12)*RATES!$N600/100</f>
        <v>302.41666666666669</v>
      </c>
      <c r="BJ624" s="16">
        <f t="shared" si="427"/>
        <v>-28732.211568909512</v>
      </c>
      <c r="BK624" s="15">
        <f t="shared" si="402"/>
        <v>22.170849845882874</v>
      </c>
      <c r="BL624" s="75">
        <f>BK624*(1-PARAM!$C$27)*$I$18+(MOD($B624,60)=PARAM!$B$56)*($B624&gt;(60-PARAM!$B$56))*HLOOKUP(($B624+PARAM!$B$56)/12,Loyalty,2)*$F$1*MAX(BN623,0)</f>
        <v>18.557001321003963</v>
      </c>
      <c r="BM624" s="75">
        <f>PARAM!$C$26+MAX($G$18-CHOOSE(PARAM!$B$44,MAX(0,BN623*$F$1),0),0)*RATES!$L600/12+$H$18*(PARAM!$D$51/12)*RATES!$N600/100</f>
        <v>302.41666666666669</v>
      </c>
      <c r="BN624" s="16">
        <f t="shared" si="428"/>
        <v>-28732.211568909512</v>
      </c>
      <c r="BO624" s="15">
        <f t="shared" si="403"/>
        <v>22.170849845882874</v>
      </c>
      <c r="BP624" s="75">
        <f>BO624*(1-PARAM!$C$27)*$I$19+(MOD($B624,60)=PARAM!$B$56)*($B624&gt;(60-PARAM!$B$56))*HLOOKUP(($B624+PARAM!$B$56)/12,Loyalty,2)*$F$1*MAX(BR623,0)</f>
        <v>18.557001321003963</v>
      </c>
      <c r="BQ624" s="75">
        <f>PARAM!$C$26+MAX($G$19-CHOOSE(PARAM!$B$44,MAX(0,BR623*$F$1),0),0)*RATES!$L600/12+$H$19*(PARAM!$D$51/12)*RATES!$N600/100</f>
        <v>302.41666666666669</v>
      </c>
      <c r="BR624" s="16">
        <f t="shared" si="429"/>
        <v>-28732.211568909512</v>
      </c>
      <c r="BS624" s="15">
        <f t="shared" si="404"/>
        <v>22.170849845882874</v>
      </c>
      <c r="BT624" s="75">
        <f>BS624*(1-PARAM!$C$27)*$I$20+(MOD($B624,60)=PARAM!$B$56)*($B624&gt;(60-PARAM!$B$56))*HLOOKUP(($B624+PARAM!$B$56)/12,Loyalty,2)*$F$1*MAX(BV623,0)</f>
        <v>18.557001321003963</v>
      </c>
      <c r="BU624" s="75">
        <f>PARAM!$C$26+MAX($G$20-CHOOSE(PARAM!$B$44,MAX(0,BV623*$F$1),0),0)*RATES!$L600/12+$H$20*(PARAM!$D$51/12)*RATES!$N600/100</f>
        <v>302.41666666666669</v>
      </c>
      <c r="BV624" s="16">
        <f t="shared" si="430"/>
        <v>-28732.211568909512</v>
      </c>
      <c r="BW624" s="15">
        <f t="shared" si="405"/>
        <v>22.170849845882874</v>
      </c>
      <c r="BX624" s="75">
        <f>BW624*(1-PARAM!$C$27)*$I$21+(MOD($B624,60)=PARAM!$B$56)*($B624&gt;(60-PARAM!$B$56))*HLOOKUP(($B624+PARAM!$B$56)/12,Loyalty,2)*$F$1*MAX(BZ623,0)</f>
        <v>18.557001321003963</v>
      </c>
      <c r="BY624" s="75">
        <f>PARAM!$C$26+MAX($G$21-CHOOSE(PARAM!$B$44,MAX(0,BZ623*$F$1),0),0)*RATES!$L600/12+$H$21*(PARAM!$D$51/12)*RATES!$N600/100</f>
        <v>302.41666666666669</v>
      </c>
      <c r="BZ624" s="16">
        <f t="shared" si="431"/>
        <v>-28732.211568909512</v>
      </c>
      <c r="CA624" s="15">
        <f t="shared" si="406"/>
        <v>22.170849845882874</v>
      </c>
      <c r="CB624" s="75">
        <f>CA624*(1-PARAM!$C$27)*$I$22+(MOD($B624,60)=PARAM!$B$56)*($B624&gt;(60-PARAM!$B$56))*HLOOKUP(($B624+PARAM!$B$56)/12,Loyalty,2)*$F$1*MAX(CD623,0)</f>
        <v>18.557001321003963</v>
      </c>
      <c r="CC624" s="75">
        <f>PARAM!$C$26+MAX($G$22-CHOOSE(PARAM!$B$44,MAX(0,CD623*$F$1),0),0)*RATES!$L600/12+$H$22*(PARAM!$D$51/12)*RATES!$N600/100</f>
        <v>302.41666666666669</v>
      </c>
      <c r="CD624" s="16">
        <f t="shared" si="432"/>
        <v>-28732.211568909512</v>
      </c>
      <c r="CE624" s="33">
        <f>IF(0=MOD(B624,12/PARAM!$D$51),1,0)</f>
        <v>1</v>
      </c>
      <c r="CF624" s="15">
        <f t="shared" si="407"/>
        <v>0</v>
      </c>
      <c r="CG624" s="75">
        <f>CF624*(1-PARAM!$C$27)*$R$3+(MOD($B624/12,5)=0)*($B624&gt;60)*HLOOKUP($B624/12,Loyalty,2)*$F$1*MAX(CI623,0)</f>
        <v>0</v>
      </c>
      <c r="CH624" s="75">
        <f>PARAM!$C$26+MAX($P$3-CHOOSE(PARAM!$B$44,MAX(0,CI623*$F$1),0),0)*RATES!$L600/12+$Q$3*(PARAM!$D$51/12)*RATES!$N600/100</f>
        <v>302.41666666666669</v>
      </c>
      <c r="CI624" s="16">
        <f>IF(CI623&gt;0,CI623*PARAM!$C$53,CI623)+CG624-CH624</f>
        <v>-39691.166666666686</v>
      </c>
      <c r="CJ624" s="15">
        <f t="shared" si="433"/>
        <v>0</v>
      </c>
      <c r="CK624" s="75">
        <f>CJ624*(1-PARAM!$C$27)*$R$4+(MOD($B624/12,5)=0)*($B624&gt;60)*HLOOKUP($B624/12,Loyalty,2)*$F$1*MAX(CM623,0)</f>
        <v>0</v>
      </c>
      <c r="CL624" s="75">
        <f>PARAM!$C$26+MAX($P$4-CHOOSE(PARAM!$B$44,MAX(0,CM623*$F$1),0),0)*RATES!$L600/12+$Q$4*(PARAM!$D$51/12)*RATES!$N600/100</f>
        <v>302.41666666666669</v>
      </c>
      <c r="CM624" s="16">
        <f>IF(CM623&gt;0,CM623*PARAM!$C$53,CM623)+CK624-CL624</f>
        <v>-39691.166666666686</v>
      </c>
      <c r="CO624" s="176"/>
    </row>
    <row r="625" spans="1:93" x14ac:dyDescent="0.2">
      <c r="A625" t="b">
        <f t="shared" si="408"/>
        <v>0</v>
      </c>
      <c r="B625" s="33">
        <v>598</v>
      </c>
      <c r="C625" s="15">
        <f t="shared" si="409"/>
        <v>20.081305947392778</v>
      </c>
      <c r="D625" s="75">
        <f>C625*(1-PARAM!$C$27)*$I$3+(MOD($B625,60)=PARAM!$B$56)*($B625&gt;(60-PARAM!$B$56))*HLOOKUP(($B625+PARAM!$B$56)/12,Loyalty,2)*$F$1*MAX(F624,0)</f>
        <v>16.808053077967756</v>
      </c>
      <c r="E625" s="75">
        <f>PARAM!$C$26+MAX($G$3-CHOOSE(PARAM!$B$44,MAX(0,F624*$F$1),0),0)*RATES!$L601/12+$H$3*(PARAM!$D$51/12)*RATES!$N601/100</f>
        <v>302.41666666666669</v>
      </c>
      <c r="F625" s="16">
        <f t="shared" si="410"/>
        <v>-30098.792784112469</v>
      </c>
      <c r="G625" s="15">
        <f t="shared" si="411"/>
        <v>22.035289406060361</v>
      </c>
      <c r="H625" s="75">
        <f>G625*(1-PARAM!$C$27)*$I$4+(MOD($B625,60)=PARAM!$B$56)*($B625&gt;(60-PARAM!$B$56))*HLOOKUP(($B625+PARAM!$B$56)/12,Loyalty,2)*$F$1*MAX(J624,0)</f>
        <v>18.443537232872522</v>
      </c>
      <c r="I625" s="75">
        <f>PARAM!$C$26+MAX($G$4-CHOOSE(PARAM!$B$44,MAX(0,J624*$F$1),0),0)*RATES!$L601/12+$H$4*(PARAM!$D$51/12)*RATES!$N601/100</f>
        <v>302.41666666666669</v>
      </c>
      <c r="J625" s="16">
        <f t="shared" si="412"/>
        <v>-29086.940295357599</v>
      </c>
      <c r="K625" s="15">
        <f t="shared" si="413"/>
        <v>22.170849845882874</v>
      </c>
      <c r="L625" s="75">
        <f>K625*(1-PARAM!$C$27)*$I$5+(MOD($B625,60)=PARAM!$B$56)*($B625&gt;(60-PARAM!$B$56))*HLOOKUP(($B625+PARAM!$B$56)/12,Loyalty,2)*$F$1*MAX(N624,0)</f>
        <v>18.557001321003963</v>
      </c>
      <c r="M625" s="75">
        <f>PARAM!$C$26+MAX($G$5-CHOOSE(PARAM!$B$44,MAX(0,N624*$F$1),0),0)*RATES!$L601/12+$H$5*(PARAM!$D$51/12)*RATES!$N601/100</f>
        <v>302.41666666666669</v>
      </c>
      <c r="N625" s="16">
        <f t="shared" si="414"/>
        <v>-29016.071234255174</v>
      </c>
      <c r="O625" s="15">
        <f t="shared" si="415"/>
        <v>22.170849845882874</v>
      </c>
      <c r="P625" s="75">
        <f>O625*(1-PARAM!$C$27)*$I$6+(MOD($B625,60)=PARAM!$B$56)*($B625&gt;(60-PARAM!$B$56))*HLOOKUP(($B625+PARAM!$B$56)/12,Loyalty,2)*$F$1*MAX(R624,0)</f>
        <v>18.557001321003963</v>
      </c>
      <c r="Q625" s="75">
        <f>PARAM!$C$26+MAX($G$6-CHOOSE(PARAM!$B$44,MAX(0,R624*$F$1),0),0)*RATES!$L601/12+$H$6*(PARAM!$D$51/12)*RATES!$N601/100</f>
        <v>302.41666666666669</v>
      </c>
      <c r="R625" s="16">
        <f t="shared" si="416"/>
        <v>-29016.071234255174</v>
      </c>
      <c r="S625" s="15">
        <f t="shared" si="391"/>
        <v>22.170849845882874</v>
      </c>
      <c r="T625" s="75">
        <f>S625*(1-PARAM!$C$27)*$I$7+(MOD($B625,60)=PARAM!$B$56)*($B625&gt;(60-PARAM!$B$56))*HLOOKUP(($B625+PARAM!$B$56)/12,Loyalty,2)*$F$1*MAX(V624,0)</f>
        <v>18.557001321003963</v>
      </c>
      <c r="U625" s="75">
        <f>PARAM!$C$26+MAX($G$7-CHOOSE(PARAM!$B$44,MAX(0,V624*$F$1),0),0)*RATES!$L601/12+$H$7*(PARAM!$D$51/12)*RATES!$N601/100</f>
        <v>302.41666666666669</v>
      </c>
      <c r="V625" s="16">
        <f t="shared" si="417"/>
        <v>-29016.071234255174</v>
      </c>
      <c r="W625" s="15">
        <f t="shared" si="392"/>
        <v>22.170849845882874</v>
      </c>
      <c r="X625" s="75">
        <f>W625*(1-PARAM!$C$27)*$I$8+(MOD($B625,60)=PARAM!$B$56)*($B625&gt;(60-PARAM!$B$56))*HLOOKUP(($B625+PARAM!$B$56)/12,Loyalty,2)*$F$1*MAX(Z624,0)</f>
        <v>18.557001321003963</v>
      </c>
      <c r="Y625" s="75">
        <f>PARAM!$C$26+MAX($G$8-CHOOSE(PARAM!$B$44,MAX(0,Z624*$F$1),0),0)*RATES!$L601/12+$H$8*(PARAM!$D$51/12)*RATES!$N601/100</f>
        <v>302.41666666666669</v>
      </c>
      <c r="Z625" s="16">
        <f t="shared" si="418"/>
        <v>-29016.071234255174</v>
      </c>
      <c r="AA625" s="15">
        <f t="shared" si="393"/>
        <v>22.170849845882874</v>
      </c>
      <c r="AB625" s="75">
        <f>AA625*(1-PARAM!$C$27)*$I$9+(MOD($B625,60)=PARAM!$B$56)*($B625&gt;(60-PARAM!$B$56))*HLOOKUP(($B625+PARAM!$B$56)/12,Loyalty,2)*$F$1*MAX(AD624,0)</f>
        <v>18.557001321003963</v>
      </c>
      <c r="AC625" s="75">
        <f>PARAM!$C$26+MAX($G$9-CHOOSE(PARAM!$B$44,MAX(0,AD624*$F$1),0),0)*RATES!$L601/12+$H$9*(PARAM!$D$51/12)*RATES!$N601/100</f>
        <v>302.41666666666669</v>
      </c>
      <c r="AD625" s="16">
        <f t="shared" si="419"/>
        <v>-29016.071234255174</v>
      </c>
      <c r="AE625" s="15">
        <f t="shared" si="394"/>
        <v>22.170849845882874</v>
      </c>
      <c r="AF625" s="75">
        <f>AE625*(1-PARAM!$C$27)*$I$10+(MOD($B625,60)=PARAM!$B$56)*($B625&gt;(60-PARAM!$B$56))*HLOOKUP(($B625+PARAM!$B$56)/12,Loyalty,2)*$F$1*MAX(AH624,0)</f>
        <v>18.557001321003963</v>
      </c>
      <c r="AG625" s="75">
        <f>PARAM!$C$26+MAX($G$10-CHOOSE(PARAM!$B$44,MAX(0,AH624*$F$1),0),0)*RATES!$L601/12+$H$10*(PARAM!$D$51/12)*RATES!$N601/100</f>
        <v>302.41666666666669</v>
      </c>
      <c r="AH625" s="16">
        <f t="shared" si="420"/>
        <v>-29016.071234255174</v>
      </c>
      <c r="AI625" s="15">
        <f t="shared" si="395"/>
        <v>22.170849845882874</v>
      </c>
      <c r="AJ625" s="75">
        <f>AI625*(1-PARAM!$C$27)*$I$11+(MOD($B625,60)=PARAM!$B$56)*($B625&gt;(60-PARAM!$B$56))*HLOOKUP(($B625+PARAM!$B$56)/12,Loyalty,2)*$F$1*MAX(AL624,0)</f>
        <v>18.557001321003963</v>
      </c>
      <c r="AK625" s="75">
        <f>PARAM!$C$26+MAX($G$11-CHOOSE(PARAM!$B$44,MAX(0,AL624*$F$1),0),0)*RATES!$L601/12+$H$11*(PARAM!$D$51/12)*RATES!$N601/100</f>
        <v>302.41666666666669</v>
      </c>
      <c r="AL625" s="16">
        <f t="shared" si="421"/>
        <v>-29016.071234255174</v>
      </c>
      <c r="AM625" s="15">
        <f t="shared" si="396"/>
        <v>22.170849845882874</v>
      </c>
      <c r="AN625" s="75">
        <f>AM625*(1-PARAM!$C$27)*$I$12+(MOD($B625,60)=PARAM!$B$56)*($B625&gt;(60-PARAM!$B$56))*HLOOKUP(($B625+PARAM!$B$56)/12,Loyalty,2)*$F$1*MAX(AP624,0)</f>
        <v>18.557001321003963</v>
      </c>
      <c r="AO625" s="75">
        <f>PARAM!$C$26+MAX($G$12-CHOOSE(PARAM!$B$44,MAX(0,AP624*$F$1),0),0)*RATES!$L601/12+$H$12*(PARAM!$D$51/12)*RATES!$N601/100</f>
        <v>302.41666666666669</v>
      </c>
      <c r="AP625" s="16">
        <f t="shared" si="422"/>
        <v>-29016.071234255174</v>
      </c>
      <c r="AQ625" s="15">
        <f t="shared" si="397"/>
        <v>22.170849845882874</v>
      </c>
      <c r="AR625" s="75">
        <f>AQ625*(1-PARAM!$C$27)*$I$13+(MOD($B625,60)=PARAM!$B$56)*($B625&gt;(60-PARAM!$B$56))*HLOOKUP(($B625+PARAM!$B$56)/12,Loyalty,2)*$F$1*MAX(AT624,0)</f>
        <v>18.557001321003963</v>
      </c>
      <c r="AS625" s="75">
        <f>PARAM!$C$26+MAX($G$13-CHOOSE(PARAM!$B$44,MAX(0,AT624*$F$1),0),0)*RATES!$L601/12+$H$13*(PARAM!$D$51/12)*RATES!$N601/100</f>
        <v>302.41666666666669</v>
      </c>
      <c r="AT625" s="16">
        <f t="shared" si="423"/>
        <v>-29016.071234255174</v>
      </c>
      <c r="AU625" s="15">
        <f t="shared" si="398"/>
        <v>22.170849845882874</v>
      </c>
      <c r="AV625" s="75">
        <f>AU625*(1-PARAM!$C$27)*$I$14+(MOD($B625,60)=PARAM!$B$56)*($B625&gt;(60-PARAM!$B$56))*HLOOKUP(($B625+PARAM!$B$56)/12,Loyalty,2)*$F$1*MAX(AX624,0)</f>
        <v>18.557001321003963</v>
      </c>
      <c r="AW625" s="75">
        <f>PARAM!$C$26+MAX($G$14-CHOOSE(PARAM!$B$44,MAX(0,AX624*$F$1),0),0)*RATES!$L601/12+$H$14*(PARAM!$D$51/12)*RATES!$N601/100</f>
        <v>302.41666666666669</v>
      </c>
      <c r="AX625" s="16">
        <f t="shared" si="424"/>
        <v>-29016.071234255174</v>
      </c>
      <c r="AY625" s="15">
        <f t="shared" si="399"/>
        <v>22.170849845882874</v>
      </c>
      <c r="AZ625" s="75">
        <f>AY625*(1-PARAM!$C$27)*$I$15+(MOD($B625,60)=PARAM!$B$56)*($B625&gt;(60-PARAM!$B$56))*HLOOKUP(($B625+PARAM!$B$56)/12,Loyalty,2)*$F$1*MAX(BB624,0)</f>
        <v>18.557001321003963</v>
      </c>
      <c r="BA625" s="75">
        <f>PARAM!$C$26+MAX($G$15-CHOOSE(PARAM!$B$44,MAX(0,BB624*$F$1),0),0)*RATES!$L601/12+$H$15*(PARAM!$D$51/12)*RATES!$N601/100</f>
        <v>302.41666666666669</v>
      </c>
      <c r="BB625" s="16">
        <f t="shared" si="425"/>
        <v>-29016.071234255174</v>
      </c>
      <c r="BC625" s="15">
        <f t="shared" si="400"/>
        <v>22.170849845882874</v>
      </c>
      <c r="BD625" s="75">
        <f>BC625*(1-PARAM!$C$27)*$I$16+(MOD($B625,60)=PARAM!$B$56)*($B625&gt;(60-PARAM!$B$56))*HLOOKUP(($B625+PARAM!$B$56)/12,Loyalty,2)*$F$1*MAX(BF624,0)</f>
        <v>18.557001321003963</v>
      </c>
      <c r="BE625" s="75">
        <f>PARAM!$C$26+MAX($G$16-CHOOSE(PARAM!$B$44,MAX(0,BF624*$F$1),0),0)*RATES!$L601/12+$H$16*(PARAM!$D$51/12)*RATES!$N601/100</f>
        <v>302.41666666666669</v>
      </c>
      <c r="BF625" s="16">
        <f t="shared" si="426"/>
        <v>-29016.071234255174</v>
      </c>
      <c r="BG625" s="15">
        <f t="shared" si="401"/>
        <v>22.170849845882874</v>
      </c>
      <c r="BH625" s="75">
        <f>BG625*(1-PARAM!$C$27)*$I$17+(MOD($B625,60)=PARAM!$B$56)*($B625&gt;(60-PARAM!$B$56))*HLOOKUP(($B625+PARAM!$B$56)/12,Loyalty,2)*$F$1*MAX(BJ624,0)</f>
        <v>18.557001321003963</v>
      </c>
      <c r="BI625" s="75">
        <f>PARAM!$C$26+MAX($G$17-CHOOSE(PARAM!$B$44,MAX(0,BJ624*$F$1),0),0)*RATES!$L601/12+$H$17*(PARAM!$D$51/12)*RATES!$N601/100</f>
        <v>302.41666666666669</v>
      </c>
      <c r="BJ625" s="16">
        <f t="shared" si="427"/>
        <v>-29016.071234255174</v>
      </c>
      <c r="BK625" s="15">
        <f t="shared" si="402"/>
        <v>22.170849845882874</v>
      </c>
      <c r="BL625" s="75">
        <f>BK625*(1-PARAM!$C$27)*$I$18+(MOD($B625,60)=PARAM!$B$56)*($B625&gt;(60-PARAM!$B$56))*HLOOKUP(($B625+PARAM!$B$56)/12,Loyalty,2)*$F$1*MAX(BN624,0)</f>
        <v>18.557001321003963</v>
      </c>
      <c r="BM625" s="75">
        <f>PARAM!$C$26+MAX($G$18-CHOOSE(PARAM!$B$44,MAX(0,BN624*$F$1),0),0)*RATES!$L601/12+$H$18*(PARAM!$D$51/12)*RATES!$N601/100</f>
        <v>302.41666666666669</v>
      </c>
      <c r="BN625" s="16">
        <f t="shared" si="428"/>
        <v>-29016.071234255174</v>
      </c>
      <c r="BO625" s="15">
        <f t="shared" si="403"/>
        <v>22.170849845882874</v>
      </c>
      <c r="BP625" s="75">
        <f>BO625*(1-PARAM!$C$27)*$I$19+(MOD($B625,60)=PARAM!$B$56)*($B625&gt;(60-PARAM!$B$56))*HLOOKUP(($B625+PARAM!$B$56)/12,Loyalty,2)*$F$1*MAX(BR624,0)</f>
        <v>18.557001321003963</v>
      </c>
      <c r="BQ625" s="75">
        <f>PARAM!$C$26+MAX($G$19-CHOOSE(PARAM!$B$44,MAX(0,BR624*$F$1),0),0)*RATES!$L601/12+$H$19*(PARAM!$D$51/12)*RATES!$N601/100</f>
        <v>302.41666666666669</v>
      </c>
      <c r="BR625" s="16">
        <f t="shared" si="429"/>
        <v>-29016.071234255174</v>
      </c>
      <c r="BS625" s="15">
        <f t="shared" si="404"/>
        <v>22.170849845882874</v>
      </c>
      <c r="BT625" s="75">
        <f>BS625*(1-PARAM!$C$27)*$I$20+(MOD($B625,60)=PARAM!$B$56)*($B625&gt;(60-PARAM!$B$56))*HLOOKUP(($B625+PARAM!$B$56)/12,Loyalty,2)*$F$1*MAX(BV624,0)</f>
        <v>18.557001321003963</v>
      </c>
      <c r="BU625" s="75">
        <f>PARAM!$C$26+MAX($G$20-CHOOSE(PARAM!$B$44,MAX(0,BV624*$F$1),0),0)*RATES!$L601/12+$H$20*(PARAM!$D$51/12)*RATES!$N601/100</f>
        <v>302.41666666666669</v>
      </c>
      <c r="BV625" s="16">
        <f t="shared" si="430"/>
        <v>-29016.071234255174</v>
      </c>
      <c r="BW625" s="15">
        <f t="shared" si="405"/>
        <v>22.170849845882874</v>
      </c>
      <c r="BX625" s="75">
        <f>BW625*(1-PARAM!$C$27)*$I$21+(MOD($B625,60)=PARAM!$B$56)*($B625&gt;(60-PARAM!$B$56))*HLOOKUP(($B625+PARAM!$B$56)/12,Loyalty,2)*$F$1*MAX(BZ624,0)</f>
        <v>18.557001321003963</v>
      </c>
      <c r="BY625" s="75">
        <f>PARAM!$C$26+MAX($G$21-CHOOSE(PARAM!$B$44,MAX(0,BZ624*$F$1),0),0)*RATES!$L601/12+$H$21*(PARAM!$D$51/12)*RATES!$N601/100</f>
        <v>302.41666666666669</v>
      </c>
      <c r="BZ625" s="16">
        <f t="shared" si="431"/>
        <v>-29016.071234255174</v>
      </c>
      <c r="CA625" s="15">
        <f t="shared" si="406"/>
        <v>22.170849845882874</v>
      </c>
      <c r="CB625" s="75">
        <f>CA625*(1-PARAM!$C$27)*$I$22+(MOD($B625,60)=PARAM!$B$56)*($B625&gt;(60-PARAM!$B$56))*HLOOKUP(($B625+PARAM!$B$56)/12,Loyalty,2)*$F$1*MAX(CD624,0)</f>
        <v>18.557001321003963</v>
      </c>
      <c r="CC625" s="75">
        <f>PARAM!$C$26+MAX($G$22-CHOOSE(PARAM!$B$44,MAX(0,CD624*$F$1),0),0)*RATES!$L601/12+$H$22*(PARAM!$D$51/12)*RATES!$N601/100</f>
        <v>302.41666666666669</v>
      </c>
      <c r="CD625" s="16">
        <f t="shared" si="432"/>
        <v>-29016.071234255174</v>
      </c>
      <c r="CE625" s="33">
        <f>IF(0=MOD(B625,12/PARAM!$D$51),1,0)</f>
        <v>1</v>
      </c>
      <c r="CF625" s="15">
        <f t="shared" si="407"/>
        <v>0</v>
      </c>
      <c r="CG625" s="75">
        <f>CF625*(1-PARAM!$C$27)*$R$3+(MOD($B625/12,5)=0)*($B625&gt;60)*HLOOKUP($B625/12,Loyalty,2)*$F$1*MAX(CI624,0)</f>
        <v>0</v>
      </c>
      <c r="CH625" s="75">
        <f>PARAM!$C$26+MAX($P$3-CHOOSE(PARAM!$B$44,MAX(0,CI624*$F$1),0),0)*RATES!$L601/12+$Q$3*(PARAM!$D$51/12)*RATES!$N601/100</f>
        <v>302.41666666666669</v>
      </c>
      <c r="CI625" s="16">
        <f>IF(CI624&gt;0,CI624*PARAM!$C$53,CI624)+CG625-CH625</f>
        <v>-39993.58333333335</v>
      </c>
      <c r="CJ625" s="15">
        <f t="shared" si="433"/>
        <v>0</v>
      </c>
      <c r="CK625" s="75">
        <f>CJ625*(1-PARAM!$C$27)*$R$4+(MOD($B625/12,5)=0)*($B625&gt;60)*HLOOKUP($B625/12,Loyalty,2)*$F$1*MAX(CM624,0)</f>
        <v>0</v>
      </c>
      <c r="CL625" s="75">
        <f>PARAM!$C$26+MAX($P$4-CHOOSE(PARAM!$B$44,MAX(0,CM624*$F$1),0),0)*RATES!$L601/12+$Q$4*(PARAM!$D$51/12)*RATES!$N601/100</f>
        <v>302.41666666666669</v>
      </c>
      <c r="CM625" s="16">
        <f>IF(CM624&gt;0,CM624*PARAM!$C$53,CM624)+CK625-CL625</f>
        <v>-39993.58333333335</v>
      </c>
      <c r="CO625" s="176"/>
    </row>
    <row r="626" spans="1:93" x14ac:dyDescent="0.2">
      <c r="A626" t="b">
        <f t="shared" si="408"/>
        <v>0</v>
      </c>
      <c r="B626" s="33">
        <v>599</v>
      </c>
      <c r="C626" s="15">
        <f t="shared" si="409"/>
        <v>20.081305947392778</v>
      </c>
      <c r="D626" s="75">
        <f>C626*(1-PARAM!$C$27)*$I$3+(MOD($B626,60)=PARAM!$B$56)*($B626&gt;(60-PARAM!$B$56))*HLOOKUP(($B626+PARAM!$B$56)/12,Loyalty,2)*$F$1*MAX(F625,0)</f>
        <v>16.808053077967756</v>
      </c>
      <c r="E626" s="75">
        <f>PARAM!$C$26+MAX($G$3-CHOOSE(PARAM!$B$44,MAX(0,F625*$F$1),0),0)*RATES!$L602/12+$H$3*(PARAM!$D$51/12)*RATES!$N602/100</f>
        <v>302.41666666666669</v>
      </c>
      <c r="F626" s="16">
        <f t="shared" si="410"/>
        <v>-30384.401397701171</v>
      </c>
      <c r="G626" s="15">
        <f t="shared" si="411"/>
        <v>22.035289406060361</v>
      </c>
      <c r="H626" s="75">
        <f>G626*(1-PARAM!$C$27)*$I$4+(MOD($B626,60)=PARAM!$B$56)*($B626&gt;(60-PARAM!$B$56))*HLOOKUP(($B626+PARAM!$B$56)/12,Loyalty,2)*$F$1*MAX(J625,0)</f>
        <v>18.443537232872522</v>
      </c>
      <c r="I626" s="75">
        <f>PARAM!$C$26+MAX($G$4-CHOOSE(PARAM!$B$44,MAX(0,J625*$F$1),0),0)*RATES!$L602/12+$H$4*(PARAM!$D$51/12)*RATES!$N602/100</f>
        <v>302.41666666666669</v>
      </c>
      <c r="J626" s="16">
        <f t="shared" si="412"/>
        <v>-29370.913424791393</v>
      </c>
      <c r="K626" s="15">
        <f t="shared" si="413"/>
        <v>22.170849845882874</v>
      </c>
      <c r="L626" s="75">
        <f>K626*(1-PARAM!$C$27)*$I$5+(MOD($B626,60)=PARAM!$B$56)*($B626&gt;(60-PARAM!$B$56))*HLOOKUP(($B626+PARAM!$B$56)/12,Loyalty,2)*$F$1*MAX(N625,0)</f>
        <v>18.557001321003963</v>
      </c>
      <c r="M626" s="75">
        <f>PARAM!$C$26+MAX($G$5-CHOOSE(PARAM!$B$44,MAX(0,N625*$F$1),0),0)*RATES!$L602/12+$H$5*(PARAM!$D$51/12)*RATES!$N602/100</f>
        <v>302.41666666666669</v>
      </c>
      <c r="N626" s="16">
        <f t="shared" si="414"/>
        <v>-29299.930899600837</v>
      </c>
      <c r="O626" s="15">
        <f t="shared" si="415"/>
        <v>22.170849845882874</v>
      </c>
      <c r="P626" s="75">
        <f>O626*(1-PARAM!$C$27)*$I$6+(MOD($B626,60)=PARAM!$B$56)*($B626&gt;(60-PARAM!$B$56))*HLOOKUP(($B626+PARAM!$B$56)/12,Loyalty,2)*$F$1*MAX(R625,0)</f>
        <v>18.557001321003963</v>
      </c>
      <c r="Q626" s="75">
        <f>PARAM!$C$26+MAX($G$6-CHOOSE(PARAM!$B$44,MAX(0,R625*$F$1),0),0)*RATES!$L602/12+$H$6*(PARAM!$D$51/12)*RATES!$N602/100</f>
        <v>302.41666666666669</v>
      </c>
      <c r="R626" s="16">
        <f t="shared" si="416"/>
        <v>-29299.930899600837</v>
      </c>
      <c r="S626" s="15">
        <f t="shared" si="391"/>
        <v>22.170849845882874</v>
      </c>
      <c r="T626" s="75">
        <f>S626*(1-PARAM!$C$27)*$I$7+(MOD($B626,60)=PARAM!$B$56)*($B626&gt;(60-PARAM!$B$56))*HLOOKUP(($B626+PARAM!$B$56)/12,Loyalty,2)*$F$1*MAX(V625,0)</f>
        <v>18.557001321003963</v>
      </c>
      <c r="U626" s="75">
        <f>PARAM!$C$26+MAX($G$7-CHOOSE(PARAM!$B$44,MAX(0,V625*$F$1),0),0)*RATES!$L602/12+$H$7*(PARAM!$D$51/12)*RATES!$N602/100</f>
        <v>302.41666666666669</v>
      </c>
      <c r="V626" s="16">
        <f t="shared" si="417"/>
        <v>-29299.930899600837</v>
      </c>
      <c r="W626" s="15">
        <f t="shared" si="392"/>
        <v>22.170849845882874</v>
      </c>
      <c r="X626" s="75">
        <f>W626*(1-PARAM!$C$27)*$I$8+(MOD($B626,60)=PARAM!$B$56)*($B626&gt;(60-PARAM!$B$56))*HLOOKUP(($B626+PARAM!$B$56)/12,Loyalty,2)*$F$1*MAX(Z625,0)</f>
        <v>18.557001321003963</v>
      </c>
      <c r="Y626" s="75">
        <f>PARAM!$C$26+MAX($G$8-CHOOSE(PARAM!$B$44,MAX(0,Z625*$F$1),0),0)*RATES!$L602/12+$H$8*(PARAM!$D$51/12)*RATES!$N602/100</f>
        <v>302.41666666666669</v>
      </c>
      <c r="Z626" s="16">
        <f t="shared" si="418"/>
        <v>-29299.930899600837</v>
      </c>
      <c r="AA626" s="15">
        <f t="shared" si="393"/>
        <v>22.170849845882874</v>
      </c>
      <c r="AB626" s="75">
        <f>AA626*(1-PARAM!$C$27)*$I$9+(MOD($B626,60)=PARAM!$B$56)*($B626&gt;(60-PARAM!$B$56))*HLOOKUP(($B626+PARAM!$B$56)/12,Loyalty,2)*$F$1*MAX(AD625,0)</f>
        <v>18.557001321003963</v>
      </c>
      <c r="AC626" s="75">
        <f>PARAM!$C$26+MAX($G$9-CHOOSE(PARAM!$B$44,MAX(0,AD625*$F$1),0),0)*RATES!$L602/12+$H$9*(PARAM!$D$51/12)*RATES!$N602/100</f>
        <v>302.41666666666669</v>
      </c>
      <c r="AD626" s="16">
        <f t="shared" si="419"/>
        <v>-29299.930899600837</v>
      </c>
      <c r="AE626" s="15">
        <f t="shared" si="394"/>
        <v>22.170849845882874</v>
      </c>
      <c r="AF626" s="75">
        <f>AE626*(1-PARAM!$C$27)*$I$10+(MOD($B626,60)=PARAM!$B$56)*($B626&gt;(60-PARAM!$B$56))*HLOOKUP(($B626+PARAM!$B$56)/12,Loyalty,2)*$F$1*MAX(AH625,0)</f>
        <v>18.557001321003963</v>
      </c>
      <c r="AG626" s="75">
        <f>PARAM!$C$26+MAX($G$10-CHOOSE(PARAM!$B$44,MAX(0,AH625*$F$1),0),0)*RATES!$L602/12+$H$10*(PARAM!$D$51/12)*RATES!$N602/100</f>
        <v>302.41666666666669</v>
      </c>
      <c r="AH626" s="16">
        <f t="shared" si="420"/>
        <v>-29299.930899600837</v>
      </c>
      <c r="AI626" s="15">
        <f t="shared" si="395"/>
        <v>22.170849845882874</v>
      </c>
      <c r="AJ626" s="75">
        <f>AI626*(1-PARAM!$C$27)*$I$11+(MOD($B626,60)=PARAM!$B$56)*($B626&gt;(60-PARAM!$B$56))*HLOOKUP(($B626+PARAM!$B$56)/12,Loyalty,2)*$F$1*MAX(AL625,0)</f>
        <v>18.557001321003963</v>
      </c>
      <c r="AK626" s="75">
        <f>PARAM!$C$26+MAX($G$11-CHOOSE(PARAM!$B$44,MAX(0,AL625*$F$1),0),0)*RATES!$L602/12+$H$11*(PARAM!$D$51/12)*RATES!$N602/100</f>
        <v>302.41666666666669</v>
      </c>
      <c r="AL626" s="16">
        <f t="shared" si="421"/>
        <v>-29299.930899600837</v>
      </c>
      <c r="AM626" s="15">
        <f t="shared" si="396"/>
        <v>22.170849845882874</v>
      </c>
      <c r="AN626" s="75">
        <f>AM626*(1-PARAM!$C$27)*$I$12+(MOD($B626,60)=PARAM!$B$56)*($B626&gt;(60-PARAM!$B$56))*HLOOKUP(($B626+PARAM!$B$56)/12,Loyalty,2)*$F$1*MAX(AP625,0)</f>
        <v>18.557001321003963</v>
      </c>
      <c r="AO626" s="75">
        <f>PARAM!$C$26+MAX($G$12-CHOOSE(PARAM!$B$44,MAX(0,AP625*$F$1),0),0)*RATES!$L602/12+$H$12*(PARAM!$D$51/12)*RATES!$N602/100</f>
        <v>302.41666666666669</v>
      </c>
      <c r="AP626" s="16">
        <f t="shared" si="422"/>
        <v>-29299.930899600837</v>
      </c>
      <c r="AQ626" s="15">
        <f t="shared" si="397"/>
        <v>22.170849845882874</v>
      </c>
      <c r="AR626" s="75">
        <f>AQ626*(1-PARAM!$C$27)*$I$13+(MOD($B626,60)=PARAM!$B$56)*($B626&gt;(60-PARAM!$B$56))*HLOOKUP(($B626+PARAM!$B$56)/12,Loyalty,2)*$F$1*MAX(AT625,0)</f>
        <v>18.557001321003963</v>
      </c>
      <c r="AS626" s="75">
        <f>PARAM!$C$26+MAX($G$13-CHOOSE(PARAM!$B$44,MAX(0,AT625*$F$1),0),0)*RATES!$L602/12+$H$13*(PARAM!$D$51/12)*RATES!$N602/100</f>
        <v>302.41666666666669</v>
      </c>
      <c r="AT626" s="16">
        <f t="shared" si="423"/>
        <v>-29299.930899600837</v>
      </c>
      <c r="AU626" s="15">
        <f t="shared" si="398"/>
        <v>22.170849845882874</v>
      </c>
      <c r="AV626" s="75">
        <f>AU626*(1-PARAM!$C$27)*$I$14+(MOD($B626,60)=PARAM!$B$56)*($B626&gt;(60-PARAM!$B$56))*HLOOKUP(($B626+PARAM!$B$56)/12,Loyalty,2)*$F$1*MAX(AX625,0)</f>
        <v>18.557001321003963</v>
      </c>
      <c r="AW626" s="75">
        <f>PARAM!$C$26+MAX($G$14-CHOOSE(PARAM!$B$44,MAX(0,AX625*$F$1),0),0)*RATES!$L602/12+$H$14*(PARAM!$D$51/12)*RATES!$N602/100</f>
        <v>302.41666666666669</v>
      </c>
      <c r="AX626" s="16">
        <f t="shared" si="424"/>
        <v>-29299.930899600837</v>
      </c>
      <c r="AY626" s="15">
        <f t="shared" si="399"/>
        <v>22.170849845882874</v>
      </c>
      <c r="AZ626" s="75">
        <f>AY626*(1-PARAM!$C$27)*$I$15+(MOD($B626,60)=PARAM!$B$56)*($B626&gt;(60-PARAM!$B$56))*HLOOKUP(($B626+PARAM!$B$56)/12,Loyalty,2)*$F$1*MAX(BB625,0)</f>
        <v>18.557001321003963</v>
      </c>
      <c r="BA626" s="75">
        <f>PARAM!$C$26+MAX($G$15-CHOOSE(PARAM!$B$44,MAX(0,BB625*$F$1),0),0)*RATES!$L602/12+$H$15*(PARAM!$D$51/12)*RATES!$N602/100</f>
        <v>302.41666666666669</v>
      </c>
      <c r="BB626" s="16">
        <f t="shared" si="425"/>
        <v>-29299.930899600837</v>
      </c>
      <c r="BC626" s="15">
        <f t="shared" si="400"/>
        <v>22.170849845882874</v>
      </c>
      <c r="BD626" s="75">
        <f>BC626*(1-PARAM!$C$27)*$I$16+(MOD($B626,60)=PARAM!$B$56)*($B626&gt;(60-PARAM!$B$56))*HLOOKUP(($B626+PARAM!$B$56)/12,Loyalty,2)*$F$1*MAX(BF625,0)</f>
        <v>18.557001321003963</v>
      </c>
      <c r="BE626" s="75">
        <f>PARAM!$C$26+MAX($G$16-CHOOSE(PARAM!$B$44,MAX(0,BF625*$F$1),0),0)*RATES!$L602/12+$H$16*(PARAM!$D$51/12)*RATES!$N602/100</f>
        <v>302.41666666666669</v>
      </c>
      <c r="BF626" s="16">
        <f t="shared" si="426"/>
        <v>-29299.930899600837</v>
      </c>
      <c r="BG626" s="15">
        <f t="shared" si="401"/>
        <v>22.170849845882874</v>
      </c>
      <c r="BH626" s="75">
        <f>BG626*(1-PARAM!$C$27)*$I$17+(MOD($B626,60)=PARAM!$B$56)*($B626&gt;(60-PARAM!$B$56))*HLOOKUP(($B626+PARAM!$B$56)/12,Loyalty,2)*$F$1*MAX(BJ625,0)</f>
        <v>18.557001321003963</v>
      </c>
      <c r="BI626" s="75">
        <f>PARAM!$C$26+MAX($G$17-CHOOSE(PARAM!$B$44,MAX(0,BJ625*$F$1),0),0)*RATES!$L602/12+$H$17*(PARAM!$D$51/12)*RATES!$N602/100</f>
        <v>302.41666666666669</v>
      </c>
      <c r="BJ626" s="16">
        <f t="shared" si="427"/>
        <v>-29299.930899600837</v>
      </c>
      <c r="BK626" s="15">
        <f t="shared" si="402"/>
        <v>22.170849845882874</v>
      </c>
      <c r="BL626" s="75">
        <f>BK626*(1-PARAM!$C$27)*$I$18+(MOD($B626,60)=PARAM!$B$56)*($B626&gt;(60-PARAM!$B$56))*HLOOKUP(($B626+PARAM!$B$56)/12,Loyalty,2)*$F$1*MAX(BN625,0)</f>
        <v>18.557001321003963</v>
      </c>
      <c r="BM626" s="75">
        <f>PARAM!$C$26+MAX($G$18-CHOOSE(PARAM!$B$44,MAX(0,BN625*$F$1),0),0)*RATES!$L602/12+$H$18*(PARAM!$D$51/12)*RATES!$N602/100</f>
        <v>302.41666666666669</v>
      </c>
      <c r="BN626" s="16">
        <f t="shared" si="428"/>
        <v>-29299.930899600837</v>
      </c>
      <c r="BO626" s="15">
        <f t="shared" si="403"/>
        <v>22.170849845882874</v>
      </c>
      <c r="BP626" s="75">
        <f>BO626*(1-PARAM!$C$27)*$I$19+(MOD($B626,60)=PARAM!$B$56)*($B626&gt;(60-PARAM!$B$56))*HLOOKUP(($B626+PARAM!$B$56)/12,Loyalty,2)*$F$1*MAX(BR625,0)</f>
        <v>18.557001321003963</v>
      </c>
      <c r="BQ626" s="75">
        <f>PARAM!$C$26+MAX($G$19-CHOOSE(PARAM!$B$44,MAX(0,BR625*$F$1),0),0)*RATES!$L602/12+$H$19*(PARAM!$D$51/12)*RATES!$N602/100</f>
        <v>302.41666666666669</v>
      </c>
      <c r="BR626" s="16">
        <f t="shared" si="429"/>
        <v>-29299.930899600837</v>
      </c>
      <c r="BS626" s="15">
        <f t="shared" si="404"/>
        <v>22.170849845882874</v>
      </c>
      <c r="BT626" s="75">
        <f>BS626*(1-PARAM!$C$27)*$I$20+(MOD($B626,60)=PARAM!$B$56)*($B626&gt;(60-PARAM!$B$56))*HLOOKUP(($B626+PARAM!$B$56)/12,Loyalty,2)*$F$1*MAX(BV625,0)</f>
        <v>18.557001321003963</v>
      </c>
      <c r="BU626" s="75">
        <f>PARAM!$C$26+MAX($G$20-CHOOSE(PARAM!$B$44,MAX(0,BV625*$F$1),0),0)*RATES!$L602/12+$H$20*(PARAM!$D$51/12)*RATES!$N602/100</f>
        <v>302.41666666666669</v>
      </c>
      <c r="BV626" s="16">
        <f t="shared" si="430"/>
        <v>-29299.930899600837</v>
      </c>
      <c r="BW626" s="15">
        <f t="shared" si="405"/>
        <v>22.170849845882874</v>
      </c>
      <c r="BX626" s="75">
        <f>BW626*(1-PARAM!$C$27)*$I$21+(MOD($B626,60)=PARAM!$B$56)*($B626&gt;(60-PARAM!$B$56))*HLOOKUP(($B626+PARAM!$B$56)/12,Loyalty,2)*$F$1*MAX(BZ625,0)</f>
        <v>18.557001321003963</v>
      </c>
      <c r="BY626" s="75">
        <f>PARAM!$C$26+MAX($G$21-CHOOSE(PARAM!$B$44,MAX(0,BZ625*$F$1),0),0)*RATES!$L602/12+$H$21*(PARAM!$D$51/12)*RATES!$N602/100</f>
        <v>302.41666666666669</v>
      </c>
      <c r="BZ626" s="16">
        <f t="shared" si="431"/>
        <v>-29299.930899600837</v>
      </c>
      <c r="CA626" s="15">
        <f t="shared" si="406"/>
        <v>22.170849845882874</v>
      </c>
      <c r="CB626" s="75">
        <f>CA626*(1-PARAM!$C$27)*$I$22+(MOD($B626,60)=PARAM!$B$56)*($B626&gt;(60-PARAM!$B$56))*HLOOKUP(($B626+PARAM!$B$56)/12,Loyalty,2)*$F$1*MAX(CD625,0)</f>
        <v>18.557001321003963</v>
      </c>
      <c r="CC626" s="75">
        <f>PARAM!$C$26+MAX($G$22-CHOOSE(PARAM!$B$44,MAX(0,CD625*$F$1),0),0)*RATES!$L602/12+$H$22*(PARAM!$D$51/12)*RATES!$N602/100</f>
        <v>302.41666666666669</v>
      </c>
      <c r="CD626" s="16">
        <f t="shared" si="432"/>
        <v>-29299.930899600837</v>
      </c>
      <c r="CE626" s="33">
        <f>IF(0=MOD(B626,12/PARAM!$D$51),1,0)</f>
        <v>1</v>
      </c>
      <c r="CF626" s="15">
        <f t="shared" si="407"/>
        <v>0</v>
      </c>
      <c r="CG626" s="75">
        <f>CF626*(1-PARAM!$C$27)*$R$3+(MOD($B626/12,5)=0)*($B626&gt;60)*HLOOKUP($B626/12,Loyalty,2)*$F$1*MAX(CI625,0)</f>
        <v>0</v>
      </c>
      <c r="CH626" s="75">
        <f>PARAM!$C$26+MAX($P$3-CHOOSE(PARAM!$B$44,MAX(0,CI625*$F$1),0),0)*RATES!$L602/12+$Q$3*(PARAM!$D$51/12)*RATES!$N602/100</f>
        <v>302.41666666666669</v>
      </c>
      <c r="CI626" s="16">
        <f>IF(CI625&gt;0,CI625*PARAM!$C$53,CI625)+CG626-CH626</f>
        <v>-40296.000000000015</v>
      </c>
      <c r="CJ626" s="15">
        <f t="shared" si="433"/>
        <v>0</v>
      </c>
      <c r="CK626" s="75">
        <f>CJ626*(1-PARAM!$C$27)*$R$4+(MOD($B626/12,5)=0)*($B626&gt;60)*HLOOKUP($B626/12,Loyalty,2)*$F$1*MAX(CM625,0)</f>
        <v>0</v>
      </c>
      <c r="CL626" s="75">
        <f>PARAM!$C$26+MAX($P$4-CHOOSE(PARAM!$B$44,MAX(0,CM625*$F$1),0),0)*RATES!$L602/12+$Q$4*(PARAM!$D$51/12)*RATES!$N602/100</f>
        <v>302.41666666666669</v>
      </c>
      <c r="CM626" s="16">
        <f>IF(CM625&gt;0,CM625*PARAM!$C$53,CM625)+CK626-CL626</f>
        <v>-40296.000000000015</v>
      </c>
      <c r="CO626" s="176"/>
    </row>
    <row r="627" spans="1:93" x14ac:dyDescent="0.2">
      <c r="A627" t="b">
        <f t="shared" si="408"/>
        <v>0</v>
      </c>
      <c r="B627" s="33">
        <v>600</v>
      </c>
      <c r="C627" s="15">
        <f t="shared" si="409"/>
        <v>20.081305947392778</v>
      </c>
      <c r="D627" s="75">
        <f>C627*(1-PARAM!$C$27)*$I$3+(MOD($B627,60)=PARAM!$B$56)*($B627&gt;(60-PARAM!$B$56))*HLOOKUP(($B627+PARAM!$B$56)/12,Loyalty,2)*$F$1*MAX(F626,0)</f>
        <v>16.808053077967756</v>
      </c>
      <c r="E627" s="75">
        <f>PARAM!$C$26+MAX($G$3-CHOOSE(PARAM!$B$44,MAX(0,F626*$F$1),0),0)*RATES!$L603/12+$H$3*(PARAM!$D$51/12)*RATES!$N603/100</f>
        <v>302.41666666666669</v>
      </c>
      <c r="F627" s="16">
        <f t="shared" si="410"/>
        <v>-30670.010011289873</v>
      </c>
      <c r="G627" s="15">
        <f t="shared" si="411"/>
        <v>22.035289406060361</v>
      </c>
      <c r="H627" s="75">
        <f>G627*(1-PARAM!$C$27)*$I$4+(MOD($B627,60)=PARAM!$B$56)*($B627&gt;(60-PARAM!$B$56))*HLOOKUP(($B627+PARAM!$B$56)/12,Loyalty,2)*$F$1*MAX(J626,0)</f>
        <v>18.443537232872522</v>
      </c>
      <c r="I627" s="75">
        <f>PARAM!$C$26+MAX($G$4-CHOOSE(PARAM!$B$44,MAX(0,J626*$F$1),0),0)*RATES!$L603/12+$H$4*(PARAM!$D$51/12)*RATES!$N603/100</f>
        <v>302.41666666666669</v>
      </c>
      <c r="J627" s="16">
        <f t="shared" si="412"/>
        <v>-29654.886554225188</v>
      </c>
      <c r="K627" s="15">
        <f t="shared" si="413"/>
        <v>22.170849845882874</v>
      </c>
      <c r="L627" s="75">
        <f>K627*(1-PARAM!$C$27)*$I$5+(MOD($B627,60)=PARAM!$B$56)*($B627&gt;(60-PARAM!$B$56))*HLOOKUP(($B627+PARAM!$B$56)/12,Loyalty,2)*$F$1*MAX(N626,0)</f>
        <v>18.557001321003963</v>
      </c>
      <c r="M627" s="75">
        <f>PARAM!$C$26+MAX($G$5-CHOOSE(PARAM!$B$44,MAX(0,N626*$F$1),0),0)*RATES!$L603/12+$H$5*(PARAM!$D$51/12)*RATES!$N603/100</f>
        <v>302.41666666666669</v>
      </c>
      <c r="N627" s="16">
        <f t="shared" si="414"/>
        <v>-29583.790564946499</v>
      </c>
      <c r="O627" s="15">
        <f t="shared" si="415"/>
        <v>22.170849845882874</v>
      </c>
      <c r="P627" s="75">
        <f>O627*(1-PARAM!$C$27)*$I$6+(MOD($B627,60)=PARAM!$B$56)*($B627&gt;(60-PARAM!$B$56))*HLOOKUP(($B627+PARAM!$B$56)/12,Loyalty,2)*$F$1*MAX(R626,0)</f>
        <v>18.557001321003963</v>
      </c>
      <c r="Q627" s="75">
        <f>PARAM!$C$26+MAX($G$6-CHOOSE(PARAM!$B$44,MAX(0,R626*$F$1),0),0)*RATES!$L603/12+$H$6*(PARAM!$D$51/12)*RATES!$N603/100</f>
        <v>302.41666666666669</v>
      </c>
      <c r="R627" s="16">
        <f t="shared" si="416"/>
        <v>-29583.790564946499</v>
      </c>
      <c r="S627" s="15">
        <f t="shared" si="391"/>
        <v>22.170849845882874</v>
      </c>
      <c r="T627" s="75">
        <f>S627*(1-PARAM!$C$27)*$I$7+(MOD($B627,60)=PARAM!$B$56)*($B627&gt;(60-PARAM!$B$56))*HLOOKUP(($B627+PARAM!$B$56)/12,Loyalty,2)*$F$1*MAX(V626,0)</f>
        <v>18.557001321003963</v>
      </c>
      <c r="U627" s="75">
        <f>PARAM!$C$26+MAX($G$7-CHOOSE(PARAM!$B$44,MAX(0,V626*$F$1),0),0)*RATES!$L603/12+$H$7*(PARAM!$D$51/12)*RATES!$N603/100</f>
        <v>302.41666666666669</v>
      </c>
      <c r="V627" s="16">
        <f t="shared" si="417"/>
        <v>-29583.790564946499</v>
      </c>
      <c r="W627" s="15">
        <f t="shared" si="392"/>
        <v>22.170849845882874</v>
      </c>
      <c r="X627" s="75">
        <f>W627*(1-PARAM!$C$27)*$I$8+(MOD($B627,60)=PARAM!$B$56)*($B627&gt;(60-PARAM!$B$56))*HLOOKUP(($B627+PARAM!$B$56)/12,Loyalty,2)*$F$1*MAX(Z626,0)</f>
        <v>18.557001321003963</v>
      </c>
      <c r="Y627" s="75">
        <f>PARAM!$C$26+MAX($G$8-CHOOSE(PARAM!$B$44,MAX(0,Z626*$F$1),0),0)*RATES!$L603/12+$H$8*(PARAM!$D$51/12)*RATES!$N603/100</f>
        <v>302.41666666666669</v>
      </c>
      <c r="Z627" s="16">
        <f t="shared" si="418"/>
        <v>-29583.790564946499</v>
      </c>
      <c r="AA627" s="15">
        <f t="shared" si="393"/>
        <v>22.170849845882874</v>
      </c>
      <c r="AB627" s="75">
        <f>AA627*(1-PARAM!$C$27)*$I$9+(MOD($B627,60)=PARAM!$B$56)*($B627&gt;(60-PARAM!$B$56))*HLOOKUP(($B627+PARAM!$B$56)/12,Loyalty,2)*$F$1*MAX(AD626,0)</f>
        <v>18.557001321003963</v>
      </c>
      <c r="AC627" s="75">
        <f>PARAM!$C$26+MAX($G$9-CHOOSE(PARAM!$B$44,MAX(0,AD626*$F$1),0),0)*RATES!$L603/12+$H$9*(PARAM!$D$51/12)*RATES!$N603/100</f>
        <v>302.41666666666669</v>
      </c>
      <c r="AD627" s="16">
        <f t="shared" si="419"/>
        <v>-29583.790564946499</v>
      </c>
      <c r="AE627" s="15">
        <f t="shared" si="394"/>
        <v>22.170849845882874</v>
      </c>
      <c r="AF627" s="75">
        <f>AE627*(1-PARAM!$C$27)*$I$10+(MOD($B627,60)=PARAM!$B$56)*($B627&gt;(60-PARAM!$B$56))*HLOOKUP(($B627+PARAM!$B$56)/12,Loyalty,2)*$F$1*MAX(AH626,0)</f>
        <v>18.557001321003963</v>
      </c>
      <c r="AG627" s="75">
        <f>PARAM!$C$26+MAX($G$10-CHOOSE(PARAM!$B$44,MAX(0,AH626*$F$1),0),0)*RATES!$L603/12+$H$10*(PARAM!$D$51/12)*RATES!$N603/100</f>
        <v>302.41666666666669</v>
      </c>
      <c r="AH627" s="16">
        <f t="shared" si="420"/>
        <v>-29583.790564946499</v>
      </c>
      <c r="AI627" s="15">
        <f t="shared" si="395"/>
        <v>22.170849845882874</v>
      </c>
      <c r="AJ627" s="75">
        <f>AI627*(1-PARAM!$C$27)*$I$11+(MOD($B627,60)=PARAM!$B$56)*($B627&gt;(60-PARAM!$B$56))*HLOOKUP(($B627+PARAM!$B$56)/12,Loyalty,2)*$F$1*MAX(AL626,0)</f>
        <v>18.557001321003963</v>
      </c>
      <c r="AK627" s="75">
        <f>PARAM!$C$26+MAX($G$11-CHOOSE(PARAM!$B$44,MAX(0,AL626*$F$1),0),0)*RATES!$L603/12+$H$11*(PARAM!$D$51/12)*RATES!$N603/100</f>
        <v>302.41666666666669</v>
      </c>
      <c r="AL627" s="16">
        <f t="shared" si="421"/>
        <v>-29583.790564946499</v>
      </c>
      <c r="AM627" s="15">
        <f t="shared" si="396"/>
        <v>22.170849845882874</v>
      </c>
      <c r="AN627" s="75">
        <f>AM627*(1-PARAM!$C$27)*$I$12+(MOD($B627,60)=PARAM!$B$56)*($B627&gt;(60-PARAM!$B$56))*HLOOKUP(($B627+PARAM!$B$56)/12,Loyalty,2)*$F$1*MAX(AP626,0)</f>
        <v>18.557001321003963</v>
      </c>
      <c r="AO627" s="75">
        <f>PARAM!$C$26+MAX($G$12-CHOOSE(PARAM!$B$44,MAX(0,AP626*$F$1),0),0)*RATES!$L603/12+$H$12*(PARAM!$D$51/12)*RATES!$N603/100</f>
        <v>302.41666666666669</v>
      </c>
      <c r="AP627" s="16">
        <f t="shared" si="422"/>
        <v>-29583.790564946499</v>
      </c>
      <c r="AQ627" s="15">
        <f t="shared" si="397"/>
        <v>22.170849845882874</v>
      </c>
      <c r="AR627" s="75">
        <f>AQ627*(1-PARAM!$C$27)*$I$13+(MOD($B627,60)=PARAM!$B$56)*($B627&gt;(60-PARAM!$B$56))*HLOOKUP(($B627+PARAM!$B$56)/12,Loyalty,2)*$F$1*MAX(AT626,0)</f>
        <v>18.557001321003963</v>
      </c>
      <c r="AS627" s="75">
        <f>PARAM!$C$26+MAX($G$13-CHOOSE(PARAM!$B$44,MAX(0,AT626*$F$1),0),0)*RATES!$L603/12+$H$13*(PARAM!$D$51/12)*RATES!$N603/100</f>
        <v>302.41666666666669</v>
      </c>
      <c r="AT627" s="16">
        <f t="shared" si="423"/>
        <v>-29583.790564946499</v>
      </c>
      <c r="AU627" s="15">
        <f t="shared" si="398"/>
        <v>22.170849845882874</v>
      </c>
      <c r="AV627" s="75">
        <f>AU627*(1-PARAM!$C$27)*$I$14+(MOD($B627,60)=PARAM!$B$56)*($B627&gt;(60-PARAM!$B$56))*HLOOKUP(($B627+PARAM!$B$56)/12,Loyalty,2)*$F$1*MAX(AX626,0)</f>
        <v>18.557001321003963</v>
      </c>
      <c r="AW627" s="75">
        <f>PARAM!$C$26+MAX($G$14-CHOOSE(PARAM!$B$44,MAX(0,AX626*$F$1),0),0)*RATES!$L603/12+$H$14*(PARAM!$D$51/12)*RATES!$N603/100</f>
        <v>302.41666666666669</v>
      </c>
      <c r="AX627" s="16">
        <f t="shared" si="424"/>
        <v>-29583.790564946499</v>
      </c>
      <c r="AY627" s="15">
        <f t="shared" si="399"/>
        <v>22.170849845882874</v>
      </c>
      <c r="AZ627" s="75">
        <f>AY627*(1-PARAM!$C$27)*$I$15+(MOD($B627,60)=PARAM!$B$56)*($B627&gt;(60-PARAM!$B$56))*HLOOKUP(($B627+PARAM!$B$56)/12,Loyalty,2)*$F$1*MAX(BB626,0)</f>
        <v>18.557001321003963</v>
      </c>
      <c r="BA627" s="75">
        <f>PARAM!$C$26+MAX($G$15-CHOOSE(PARAM!$B$44,MAX(0,BB626*$F$1),0),0)*RATES!$L603/12+$H$15*(PARAM!$D$51/12)*RATES!$N603/100</f>
        <v>302.41666666666669</v>
      </c>
      <c r="BB627" s="16">
        <f t="shared" si="425"/>
        <v>-29583.790564946499</v>
      </c>
      <c r="BC627" s="15">
        <f t="shared" si="400"/>
        <v>22.170849845882874</v>
      </c>
      <c r="BD627" s="75">
        <f>BC627*(1-PARAM!$C$27)*$I$16+(MOD($B627,60)=PARAM!$B$56)*($B627&gt;(60-PARAM!$B$56))*HLOOKUP(($B627+PARAM!$B$56)/12,Loyalty,2)*$F$1*MAX(BF626,0)</f>
        <v>18.557001321003963</v>
      </c>
      <c r="BE627" s="75">
        <f>PARAM!$C$26+MAX($G$16-CHOOSE(PARAM!$B$44,MAX(0,BF626*$F$1),0),0)*RATES!$L603/12+$H$16*(PARAM!$D$51/12)*RATES!$N603/100</f>
        <v>302.41666666666669</v>
      </c>
      <c r="BF627" s="16">
        <f t="shared" si="426"/>
        <v>-29583.790564946499</v>
      </c>
      <c r="BG627" s="15">
        <f t="shared" si="401"/>
        <v>22.170849845882874</v>
      </c>
      <c r="BH627" s="75">
        <f>BG627*(1-PARAM!$C$27)*$I$17+(MOD($B627,60)=PARAM!$B$56)*($B627&gt;(60-PARAM!$B$56))*HLOOKUP(($B627+PARAM!$B$56)/12,Loyalty,2)*$F$1*MAX(BJ626,0)</f>
        <v>18.557001321003963</v>
      </c>
      <c r="BI627" s="75">
        <f>PARAM!$C$26+MAX($G$17-CHOOSE(PARAM!$B$44,MAX(0,BJ626*$F$1),0),0)*RATES!$L603/12+$H$17*(PARAM!$D$51/12)*RATES!$N603/100</f>
        <v>302.41666666666669</v>
      </c>
      <c r="BJ627" s="16">
        <f t="shared" si="427"/>
        <v>-29583.790564946499</v>
      </c>
      <c r="BK627" s="15">
        <f t="shared" si="402"/>
        <v>22.170849845882874</v>
      </c>
      <c r="BL627" s="75">
        <f>BK627*(1-PARAM!$C$27)*$I$18+(MOD($B627,60)=PARAM!$B$56)*($B627&gt;(60-PARAM!$B$56))*HLOOKUP(($B627+PARAM!$B$56)/12,Loyalty,2)*$F$1*MAX(BN626,0)</f>
        <v>18.557001321003963</v>
      </c>
      <c r="BM627" s="75">
        <f>PARAM!$C$26+MAX($G$18-CHOOSE(PARAM!$B$44,MAX(0,BN626*$F$1),0),0)*RATES!$L603/12+$H$18*(PARAM!$D$51/12)*RATES!$N603/100</f>
        <v>302.41666666666669</v>
      </c>
      <c r="BN627" s="16">
        <f t="shared" si="428"/>
        <v>-29583.790564946499</v>
      </c>
      <c r="BO627" s="15">
        <f t="shared" si="403"/>
        <v>22.170849845882874</v>
      </c>
      <c r="BP627" s="75">
        <f>BO627*(1-PARAM!$C$27)*$I$19+(MOD($B627,60)=PARAM!$B$56)*($B627&gt;(60-PARAM!$B$56))*HLOOKUP(($B627+PARAM!$B$56)/12,Loyalty,2)*$F$1*MAX(BR626,0)</f>
        <v>18.557001321003963</v>
      </c>
      <c r="BQ627" s="75">
        <f>PARAM!$C$26+MAX($G$19-CHOOSE(PARAM!$B$44,MAX(0,BR626*$F$1),0),0)*RATES!$L603/12+$H$19*(PARAM!$D$51/12)*RATES!$N603/100</f>
        <v>302.41666666666669</v>
      </c>
      <c r="BR627" s="16">
        <f t="shared" si="429"/>
        <v>-29583.790564946499</v>
      </c>
      <c r="BS627" s="15">
        <f t="shared" si="404"/>
        <v>22.170849845882874</v>
      </c>
      <c r="BT627" s="75">
        <f>BS627*(1-PARAM!$C$27)*$I$20+(MOD($B627,60)=PARAM!$B$56)*($B627&gt;(60-PARAM!$B$56))*HLOOKUP(($B627+PARAM!$B$56)/12,Loyalty,2)*$F$1*MAX(BV626,0)</f>
        <v>18.557001321003963</v>
      </c>
      <c r="BU627" s="75">
        <f>PARAM!$C$26+MAX($G$20-CHOOSE(PARAM!$B$44,MAX(0,BV626*$F$1),0),0)*RATES!$L603/12+$H$20*(PARAM!$D$51/12)*RATES!$N603/100</f>
        <v>302.41666666666669</v>
      </c>
      <c r="BV627" s="16">
        <f t="shared" si="430"/>
        <v>-29583.790564946499</v>
      </c>
      <c r="BW627" s="15">
        <f t="shared" si="405"/>
        <v>22.170849845882874</v>
      </c>
      <c r="BX627" s="75">
        <f>BW627*(1-PARAM!$C$27)*$I$21+(MOD($B627,60)=PARAM!$B$56)*($B627&gt;(60-PARAM!$B$56))*HLOOKUP(($B627+PARAM!$B$56)/12,Loyalty,2)*$F$1*MAX(BZ626,0)</f>
        <v>18.557001321003963</v>
      </c>
      <c r="BY627" s="75">
        <f>PARAM!$C$26+MAX($G$21-CHOOSE(PARAM!$B$44,MAX(0,BZ626*$F$1),0),0)*RATES!$L603/12+$H$21*(PARAM!$D$51/12)*RATES!$N603/100</f>
        <v>302.41666666666669</v>
      </c>
      <c r="BZ627" s="16">
        <f t="shared" si="431"/>
        <v>-29583.790564946499</v>
      </c>
      <c r="CA627" s="15">
        <f t="shared" si="406"/>
        <v>22.170849845882874</v>
      </c>
      <c r="CB627" s="75">
        <f>CA627*(1-PARAM!$C$27)*$I$22+(MOD($B627,60)=PARAM!$B$56)*($B627&gt;(60-PARAM!$B$56))*HLOOKUP(($B627+PARAM!$B$56)/12,Loyalty,2)*$F$1*MAX(CD626,0)</f>
        <v>18.557001321003963</v>
      </c>
      <c r="CC627" s="75">
        <f>PARAM!$C$26+MAX($G$22-CHOOSE(PARAM!$B$44,MAX(0,CD626*$F$1),0),0)*RATES!$L603/12+$H$22*(PARAM!$D$51/12)*RATES!$N603/100</f>
        <v>302.41666666666669</v>
      </c>
      <c r="CD627" s="16">
        <f t="shared" si="432"/>
        <v>-29583.790564946499</v>
      </c>
      <c r="CE627" s="33">
        <f>IF(0=MOD(B627,12/PARAM!$D$51),1,0)</f>
        <v>1</v>
      </c>
      <c r="CF627" s="15">
        <f t="shared" si="407"/>
        <v>0</v>
      </c>
      <c r="CG627" s="75">
        <f>CF627*(1-PARAM!$C$27)*$R$3+(MOD($B627/12,5)=0)*($B627&gt;60)*HLOOKUP($B627/12,Loyalty,2)*$F$1*MAX(CI626,0)</f>
        <v>0</v>
      </c>
      <c r="CH627" s="75">
        <f>PARAM!$C$26+MAX($P$3-CHOOSE(PARAM!$B$44,MAX(0,CI626*$F$1),0),0)*RATES!$L603/12+$Q$3*(PARAM!$D$51/12)*RATES!$N603/100</f>
        <v>302.41666666666669</v>
      </c>
      <c r="CI627" s="16">
        <f>IF(CI626&gt;0,CI626*PARAM!$C$53,CI626)+CG627-CH627</f>
        <v>-40598.416666666679</v>
      </c>
      <c r="CJ627" s="15">
        <f t="shared" si="433"/>
        <v>0</v>
      </c>
      <c r="CK627" s="75">
        <f>CJ627*(1-PARAM!$C$27)*$R$4+(MOD($B627/12,5)=0)*($B627&gt;60)*HLOOKUP($B627/12,Loyalty,2)*$F$1*MAX(CM626,0)</f>
        <v>0</v>
      </c>
      <c r="CL627" s="75">
        <f>PARAM!$C$26+MAX($P$4-CHOOSE(PARAM!$B$44,MAX(0,CM626*$F$1),0),0)*RATES!$L603/12+$Q$4*(PARAM!$D$51/12)*RATES!$N603/100</f>
        <v>302.41666666666669</v>
      </c>
      <c r="CM627" s="16">
        <f>IF(CM626&gt;0,CM626*PARAM!$C$53,CM626)+CK627-CL627</f>
        <v>-40598.416666666679</v>
      </c>
      <c r="CO627" s="176"/>
    </row>
    <row r="628" spans="1:93" x14ac:dyDescent="0.2">
      <c r="A628" t="b">
        <f t="shared" si="408"/>
        <v>0</v>
      </c>
      <c r="B628" s="33">
        <v>601</v>
      </c>
      <c r="C628" s="15">
        <f t="shared" si="409"/>
        <v>20.081305947392778</v>
      </c>
      <c r="D628" s="75">
        <f>C628*(1-PARAM!$C$27)*$I$3+(MOD($B628,60)=PARAM!$B$56)*($B628&gt;(60-PARAM!$B$56))*HLOOKUP(($B628+PARAM!$B$56)/12,Loyalty,2)*$F$1*MAX(F627,0)</f>
        <v>16.808053077967756</v>
      </c>
      <c r="E628" s="75">
        <f>PARAM!$C$26+MAX($G$3-CHOOSE(PARAM!$B$44,MAX(0,F627*$F$1),0),0)*RATES!$L604/12+$H$3*(PARAM!$D$51/12)*RATES!$N604/100</f>
        <v>302.41666666666669</v>
      </c>
      <c r="F628" s="16">
        <f t="shared" si="410"/>
        <v>-30955.618624878574</v>
      </c>
      <c r="G628" s="15">
        <f t="shared" si="411"/>
        <v>22.035289406060361</v>
      </c>
      <c r="H628" s="75">
        <f>G628*(1-PARAM!$C$27)*$I$4+(MOD($B628,60)=PARAM!$B$56)*($B628&gt;(60-PARAM!$B$56))*HLOOKUP(($B628+PARAM!$B$56)/12,Loyalty,2)*$F$1*MAX(J627,0)</f>
        <v>18.443537232872522</v>
      </c>
      <c r="I628" s="75">
        <f>PARAM!$C$26+MAX($G$4-CHOOSE(PARAM!$B$44,MAX(0,J627*$F$1),0),0)*RATES!$L604/12+$H$4*(PARAM!$D$51/12)*RATES!$N604/100</f>
        <v>302.41666666666669</v>
      </c>
      <c r="J628" s="16">
        <f t="shared" si="412"/>
        <v>-29938.859683658982</v>
      </c>
      <c r="K628" s="15">
        <f t="shared" si="413"/>
        <v>22.170849845882874</v>
      </c>
      <c r="L628" s="75">
        <f>K628*(1-PARAM!$C$27)*$I$5+(MOD($B628,60)=PARAM!$B$56)*($B628&gt;(60-PARAM!$B$56))*HLOOKUP(($B628+PARAM!$B$56)/12,Loyalty,2)*$F$1*MAX(N627,0)</f>
        <v>18.557001321003963</v>
      </c>
      <c r="M628" s="75">
        <f>PARAM!$C$26+MAX($G$5-CHOOSE(PARAM!$B$44,MAX(0,N627*$F$1),0),0)*RATES!$L604/12+$H$5*(PARAM!$D$51/12)*RATES!$N604/100</f>
        <v>302.41666666666669</v>
      </c>
      <c r="N628" s="16">
        <f t="shared" si="414"/>
        <v>-29867.650230292162</v>
      </c>
      <c r="O628" s="15">
        <f t="shared" si="415"/>
        <v>22.170849845882874</v>
      </c>
      <c r="P628" s="75">
        <f>O628*(1-PARAM!$C$27)*$I$6+(MOD($B628,60)=PARAM!$B$56)*($B628&gt;(60-PARAM!$B$56))*HLOOKUP(($B628+PARAM!$B$56)/12,Loyalty,2)*$F$1*MAX(R627,0)</f>
        <v>18.557001321003963</v>
      </c>
      <c r="Q628" s="75">
        <f>PARAM!$C$26+MAX($G$6-CHOOSE(PARAM!$B$44,MAX(0,R627*$F$1),0),0)*RATES!$L604/12+$H$6*(PARAM!$D$51/12)*RATES!$N604/100</f>
        <v>302.41666666666669</v>
      </c>
      <c r="R628" s="16">
        <f t="shared" si="416"/>
        <v>-29867.650230292162</v>
      </c>
      <c r="S628" s="15">
        <f t="shared" si="391"/>
        <v>22.170849845882874</v>
      </c>
      <c r="T628" s="75">
        <f>S628*(1-PARAM!$C$27)*$I$7+(MOD($B628,60)=PARAM!$B$56)*($B628&gt;(60-PARAM!$B$56))*HLOOKUP(($B628+PARAM!$B$56)/12,Loyalty,2)*$F$1*MAX(V627,0)</f>
        <v>18.557001321003963</v>
      </c>
      <c r="U628" s="75">
        <f>PARAM!$C$26+MAX($G$7-CHOOSE(PARAM!$B$44,MAX(0,V627*$F$1),0),0)*RATES!$L604/12+$H$7*(PARAM!$D$51/12)*RATES!$N604/100</f>
        <v>302.41666666666669</v>
      </c>
      <c r="V628" s="16">
        <f t="shared" si="417"/>
        <v>-29867.650230292162</v>
      </c>
      <c r="W628" s="15">
        <f t="shared" si="392"/>
        <v>22.170849845882874</v>
      </c>
      <c r="X628" s="75">
        <f>W628*(1-PARAM!$C$27)*$I$8+(MOD($B628,60)=PARAM!$B$56)*($B628&gt;(60-PARAM!$B$56))*HLOOKUP(($B628+PARAM!$B$56)/12,Loyalty,2)*$F$1*MAX(Z627,0)</f>
        <v>18.557001321003963</v>
      </c>
      <c r="Y628" s="75">
        <f>PARAM!$C$26+MAX($G$8-CHOOSE(PARAM!$B$44,MAX(0,Z627*$F$1),0),0)*RATES!$L604/12+$H$8*(PARAM!$D$51/12)*RATES!$N604/100</f>
        <v>302.41666666666669</v>
      </c>
      <c r="Z628" s="16">
        <f t="shared" si="418"/>
        <v>-29867.650230292162</v>
      </c>
      <c r="AA628" s="15">
        <f t="shared" si="393"/>
        <v>22.170849845882874</v>
      </c>
      <c r="AB628" s="75">
        <f>AA628*(1-PARAM!$C$27)*$I$9+(MOD($B628,60)=PARAM!$B$56)*($B628&gt;(60-PARAM!$B$56))*HLOOKUP(($B628+PARAM!$B$56)/12,Loyalty,2)*$F$1*MAX(AD627,0)</f>
        <v>18.557001321003963</v>
      </c>
      <c r="AC628" s="75">
        <f>PARAM!$C$26+MAX($G$9-CHOOSE(PARAM!$B$44,MAX(0,AD627*$F$1),0),0)*RATES!$L604/12+$H$9*(PARAM!$D$51/12)*RATES!$N604/100</f>
        <v>302.41666666666669</v>
      </c>
      <c r="AD628" s="16">
        <f t="shared" si="419"/>
        <v>-29867.650230292162</v>
      </c>
      <c r="AE628" s="15">
        <f t="shared" si="394"/>
        <v>22.170849845882874</v>
      </c>
      <c r="AF628" s="75">
        <f>AE628*(1-PARAM!$C$27)*$I$10+(MOD($B628,60)=PARAM!$B$56)*($B628&gt;(60-PARAM!$B$56))*HLOOKUP(($B628+PARAM!$B$56)/12,Loyalty,2)*$F$1*MAX(AH627,0)</f>
        <v>18.557001321003963</v>
      </c>
      <c r="AG628" s="75">
        <f>PARAM!$C$26+MAX($G$10-CHOOSE(PARAM!$B$44,MAX(0,AH627*$F$1),0),0)*RATES!$L604/12+$H$10*(PARAM!$D$51/12)*RATES!$N604/100</f>
        <v>302.41666666666669</v>
      </c>
      <c r="AH628" s="16">
        <f t="shared" si="420"/>
        <v>-29867.650230292162</v>
      </c>
      <c r="AI628" s="15">
        <f t="shared" si="395"/>
        <v>22.170849845882874</v>
      </c>
      <c r="AJ628" s="75">
        <f>AI628*(1-PARAM!$C$27)*$I$11+(MOD($B628,60)=PARAM!$B$56)*($B628&gt;(60-PARAM!$B$56))*HLOOKUP(($B628+PARAM!$B$56)/12,Loyalty,2)*$F$1*MAX(AL627,0)</f>
        <v>18.557001321003963</v>
      </c>
      <c r="AK628" s="75">
        <f>PARAM!$C$26+MAX($G$11-CHOOSE(PARAM!$B$44,MAX(0,AL627*$F$1),0),0)*RATES!$L604/12+$H$11*(PARAM!$D$51/12)*RATES!$N604/100</f>
        <v>302.41666666666669</v>
      </c>
      <c r="AL628" s="16">
        <f t="shared" si="421"/>
        <v>-29867.650230292162</v>
      </c>
      <c r="AM628" s="15">
        <f t="shared" si="396"/>
        <v>22.170849845882874</v>
      </c>
      <c r="AN628" s="75">
        <f>AM628*(1-PARAM!$C$27)*$I$12+(MOD($B628,60)=PARAM!$B$56)*($B628&gt;(60-PARAM!$B$56))*HLOOKUP(($B628+PARAM!$B$56)/12,Loyalty,2)*$F$1*MAX(AP627,0)</f>
        <v>18.557001321003963</v>
      </c>
      <c r="AO628" s="75">
        <f>PARAM!$C$26+MAX($G$12-CHOOSE(PARAM!$B$44,MAX(0,AP627*$F$1),0),0)*RATES!$L604/12+$H$12*(PARAM!$D$51/12)*RATES!$N604/100</f>
        <v>302.41666666666669</v>
      </c>
      <c r="AP628" s="16">
        <f t="shared" si="422"/>
        <v>-29867.650230292162</v>
      </c>
      <c r="AQ628" s="15">
        <f t="shared" si="397"/>
        <v>22.170849845882874</v>
      </c>
      <c r="AR628" s="75">
        <f>AQ628*(1-PARAM!$C$27)*$I$13+(MOD($B628,60)=PARAM!$B$56)*($B628&gt;(60-PARAM!$B$56))*HLOOKUP(($B628+PARAM!$B$56)/12,Loyalty,2)*$F$1*MAX(AT627,0)</f>
        <v>18.557001321003963</v>
      </c>
      <c r="AS628" s="75">
        <f>PARAM!$C$26+MAX($G$13-CHOOSE(PARAM!$B$44,MAX(0,AT627*$F$1),0),0)*RATES!$L604/12+$H$13*(PARAM!$D$51/12)*RATES!$N604/100</f>
        <v>302.41666666666669</v>
      </c>
      <c r="AT628" s="16">
        <f t="shared" si="423"/>
        <v>-29867.650230292162</v>
      </c>
      <c r="AU628" s="15">
        <f t="shared" si="398"/>
        <v>22.170849845882874</v>
      </c>
      <c r="AV628" s="75">
        <f>AU628*(1-PARAM!$C$27)*$I$14+(MOD($B628,60)=PARAM!$B$56)*($B628&gt;(60-PARAM!$B$56))*HLOOKUP(($B628+PARAM!$B$56)/12,Loyalty,2)*$F$1*MAX(AX627,0)</f>
        <v>18.557001321003963</v>
      </c>
      <c r="AW628" s="75">
        <f>PARAM!$C$26+MAX($G$14-CHOOSE(PARAM!$B$44,MAX(0,AX627*$F$1),0),0)*RATES!$L604/12+$H$14*(PARAM!$D$51/12)*RATES!$N604/100</f>
        <v>302.41666666666669</v>
      </c>
      <c r="AX628" s="16">
        <f t="shared" si="424"/>
        <v>-29867.650230292162</v>
      </c>
      <c r="AY628" s="15">
        <f t="shared" si="399"/>
        <v>22.170849845882874</v>
      </c>
      <c r="AZ628" s="75">
        <f>AY628*(1-PARAM!$C$27)*$I$15+(MOD($B628,60)=PARAM!$B$56)*($B628&gt;(60-PARAM!$B$56))*HLOOKUP(($B628+PARAM!$B$56)/12,Loyalty,2)*$F$1*MAX(BB627,0)</f>
        <v>18.557001321003963</v>
      </c>
      <c r="BA628" s="75">
        <f>PARAM!$C$26+MAX($G$15-CHOOSE(PARAM!$B$44,MAX(0,BB627*$F$1),0),0)*RATES!$L604/12+$H$15*(PARAM!$D$51/12)*RATES!$N604/100</f>
        <v>302.41666666666669</v>
      </c>
      <c r="BB628" s="16">
        <f t="shared" si="425"/>
        <v>-29867.650230292162</v>
      </c>
      <c r="BC628" s="15">
        <f t="shared" si="400"/>
        <v>22.170849845882874</v>
      </c>
      <c r="BD628" s="75">
        <f>BC628*(1-PARAM!$C$27)*$I$16+(MOD($B628,60)=PARAM!$B$56)*($B628&gt;(60-PARAM!$B$56))*HLOOKUP(($B628+PARAM!$B$56)/12,Loyalty,2)*$F$1*MAX(BF627,0)</f>
        <v>18.557001321003963</v>
      </c>
      <c r="BE628" s="75">
        <f>PARAM!$C$26+MAX($G$16-CHOOSE(PARAM!$B$44,MAX(0,BF627*$F$1),0),0)*RATES!$L604/12+$H$16*(PARAM!$D$51/12)*RATES!$N604/100</f>
        <v>302.41666666666669</v>
      </c>
      <c r="BF628" s="16">
        <f t="shared" si="426"/>
        <v>-29867.650230292162</v>
      </c>
      <c r="BG628" s="15">
        <f t="shared" si="401"/>
        <v>22.170849845882874</v>
      </c>
      <c r="BH628" s="75">
        <f>BG628*(1-PARAM!$C$27)*$I$17+(MOD($B628,60)=PARAM!$B$56)*($B628&gt;(60-PARAM!$B$56))*HLOOKUP(($B628+PARAM!$B$56)/12,Loyalty,2)*$F$1*MAX(BJ627,0)</f>
        <v>18.557001321003963</v>
      </c>
      <c r="BI628" s="75">
        <f>PARAM!$C$26+MAX($G$17-CHOOSE(PARAM!$B$44,MAX(0,BJ627*$F$1),0),0)*RATES!$L604/12+$H$17*(PARAM!$D$51/12)*RATES!$N604/100</f>
        <v>302.41666666666669</v>
      </c>
      <c r="BJ628" s="16">
        <f t="shared" si="427"/>
        <v>-29867.650230292162</v>
      </c>
      <c r="BK628" s="15">
        <f t="shared" si="402"/>
        <v>22.170849845882874</v>
      </c>
      <c r="BL628" s="75">
        <f>BK628*(1-PARAM!$C$27)*$I$18+(MOD($B628,60)=PARAM!$B$56)*($B628&gt;(60-PARAM!$B$56))*HLOOKUP(($B628+PARAM!$B$56)/12,Loyalty,2)*$F$1*MAX(BN627,0)</f>
        <v>18.557001321003963</v>
      </c>
      <c r="BM628" s="75">
        <f>PARAM!$C$26+MAX($G$18-CHOOSE(PARAM!$B$44,MAX(0,BN627*$F$1),0),0)*RATES!$L604/12+$H$18*(PARAM!$D$51/12)*RATES!$N604/100</f>
        <v>302.41666666666669</v>
      </c>
      <c r="BN628" s="16">
        <f t="shared" si="428"/>
        <v>-29867.650230292162</v>
      </c>
      <c r="BO628" s="15">
        <f t="shared" si="403"/>
        <v>22.170849845882874</v>
      </c>
      <c r="BP628" s="75">
        <f>BO628*(1-PARAM!$C$27)*$I$19+(MOD($B628,60)=PARAM!$B$56)*($B628&gt;(60-PARAM!$B$56))*HLOOKUP(($B628+PARAM!$B$56)/12,Loyalty,2)*$F$1*MAX(BR627,0)</f>
        <v>18.557001321003963</v>
      </c>
      <c r="BQ628" s="75">
        <f>PARAM!$C$26+MAX($G$19-CHOOSE(PARAM!$B$44,MAX(0,BR627*$F$1),0),0)*RATES!$L604/12+$H$19*(PARAM!$D$51/12)*RATES!$N604/100</f>
        <v>302.41666666666669</v>
      </c>
      <c r="BR628" s="16">
        <f t="shared" si="429"/>
        <v>-29867.650230292162</v>
      </c>
      <c r="BS628" s="15">
        <f t="shared" si="404"/>
        <v>22.170849845882874</v>
      </c>
      <c r="BT628" s="75">
        <f>BS628*(1-PARAM!$C$27)*$I$20+(MOD($B628,60)=PARAM!$B$56)*($B628&gt;(60-PARAM!$B$56))*HLOOKUP(($B628+PARAM!$B$56)/12,Loyalty,2)*$F$1*MAX(BV627,0)</f>
        <v>18.557001321003963</v>
      </c>
      <c r="BU628" s="75">
        <f>PARAM!$C$26+MAX($G$20-CHOOSE(PARAM!$B$44,MAX(0,BV627*$F$1),0),0)*RATES!$L604/12+$H$20*(PARAM!$D$51/12)*RATES!$N604/100</f>
        <v>302.41666666666669</v>
      </c>
      <c r="BV628" s="16">
        <f t="shared" si="430"/>
        <v>-29867.650230292162</v>
      </c>
      <c r="BW628" s="15">
        <f t="shared" si="405"/>
        <v>22.170849845882874</v>
      </c>
      <c r="BX628" s="75">
        <f>BW628*(1-PARAM!$C$27)*$I$21+(MOD($B628,60)=PARAM!$B$56)*($B628&gt;(60-PARAM!$B$56))*HLOOKUP(($B628+PARAM!$B$56)/12,Loyalty,2)*$F$1*MAX(BZ627,0)</f>
        <v>18.557001321003963</v>
      </c>
      <c r="BY628" s="75">
        <f>PARAM!$C$26+MAX($G$21-CHOOSE(PARAM!$B$44,MAX(0,BZ627*$F$1),0),0)*RATES!$L604/12+$H$21*(PARAM!$D$51/12)*RATES!$N604/100</f>
        <v>302.41666666666669</v>
      </c>
      <c r="BZ628" s="16">
        <f t="shared" si="431"/>
        <v>-29867.650230292162</v>
      </c>
      <c r="CA628" s="15">
        <f t="shared" si="406"/>
        <v>22.170849845882874</v>
      </c>
      <c r="CB628" s="75">
        <f>CA628*(1-PARAM!$C$27)*$I$22+(MOD($B628,60)=PARAM!$B$56)*($B628&gt;(60-PARAM!$B$56))*HLOOKUP(($B628+PARAM!$B$56)/12,Loyalty,2)*$F$1*MAX(CD627,0)</f>
        <v>18.557001321003963</v>
      </c>
      <c r="CC628" s="75">
        <f>PARAM!$C$26+MAX($G$22-CHOOSE(PARAM!$B$44,MAX(0,CD627*$F$1),0),0)*RATES!$L604/12+$H$22*(PARAM!$D$51/12)*RATES!$N604/100</f>
        <v>302.41666666666669</v>
      </c>
      <c r="CD628" s="16">
        <f t="shared" si="432"/>
        <v>-29867.650230292162</v>
      </c>
      <c r="CE628" s="33">
        <f>IF(0=MOD(B628,12/PARAM!$D$51),1,0)</f>
        <v>1</v>
      </c>
      <c r="CF628" s="15">
        <f t="shared" si="407"/>
        <v>0</v>
      </c>
      <c r="CG628" s="75">
        <f>CF628*(1-PARAM!$C$27)*$R$3+(MOD($B628/12,5)=0)*($B628&gt;60)*HLOOKUP($B628/12,Loyalty,2)*$F$1*MAX(CI627,0)</f>
        <v>0</v>
      </c>
      <c r="CH628" s="75">
        <f>PARAM!$C$26+MAX($P$3-CHOOSE(PARAM!$B$44,MAX(0,CI627*$F$1),0),0)*RATES!$L604/12+$Q$3*(PARAM!$D$51/12)*RATES!$N604/100</f>
        <v>302.41666666666669</v>
      </c>
      <c r="CI628" s="16">
        <f>IF(CI627&gt;0,CI627*PARAM!$C$53,CI627)+CG628-CH628</f>
        <v>-40900.833333333343</v>
      </c>
      <c r="CJ628" s="15">
        <f t="shared" si="433"/>
        <v>0</v>
      </c>
      <c r="CK628" s="75">
        <f>CJ628*(1-PARAM!$C$27)*$R$4+(MOD($B628/12,5)=0)*($B628&gt;60)*HLOOKUP($B628/12,Loyalty,2)*$F$1*MAX(CM627,0)</f>
        <v>0</v>
      </c>
      <c r="CL628" s="75">
        <f>PARAM!$C$26+MAX($P$4-CHOOSE(PARAM!$B$44,MAX(0,CM627*$F$1),0),0)*RATES!$L604/12+$Q$4*(PARAM!$D$51/12)*RATES!$N604/100</f>
        <v>302.41666666666669</v>
      </c>
      <c r="CM628" s="16">
        <f>IF(CM627&gt;0,CM627*PARAM!$C$53,CM627)+CK628-CL628</f>
        <v>-40900.833333333343</v>
      </c>
      <c r="CO628" s="176"/>
    </row>
    <row r="629" spans="1:93" x14ac:dyDescent="0.2">
      <c r="A629" t="b">
        <f t="shared" si="408"/>
        <v>0</v>
      </c>
      <c r="B629" s="33">
        <v>602</v>
      </c>
      <c r="C629" s="15">
        <f t="shared" si="409"/>
        <v>20.081305947392778</v>
      </c>
      <c r="D629" s="75">
        <f>C629*(1-PARAM!$C$27)*$I$3+(MOD($B629,60)=PARAM!$B$56)*($B629&gt;(60-PARAM!$B$56))*HLOOKUP(($B629+PARAM!$B$56)/12,Loyalty,2)*$F$1*MAX(F628,0)</f>
        <v>16.808053077967756</v>
      </c>
      <c r="E629" s="75">
        <f>PARAM!$C$26+MAX($G$3-CHOOSE(PARAM!$B$44,MAX(0,F628*$F$1),0),0)*RATES!$L605/12+$H$3*(PARAM!$D$51/12)*RATES!$N605/100</f>
        <v>302.41666666666669</v>
      </c>
      <c r="F629" s="16">
        <f t="shared" si="410"/>
        <v>-31241.227238467276</v>
      </c>
      <c r="G629" s="15">
        <f t="shared" si="411"/>
        <v>22.035289406060361</v>
      </c>
      <c r="H629" s="75">
        <f>G629*(1-PARAM!$C$27)*$I$4+(MOD($B629,60)=PARAM!$B$56)*($B629&gt;(60-PARAM!$B$56))*HLOOKUP(($B629+PARAM!$B$56)/12,Loyalty,2)*$F$1*MAX(J628,0)</f>
        <v>18.443537232872522</v>
      </c>
      <c r="I629" s="75">
        <f>PARAM!$C$26+MAX($G$4-CHOOSE(PARAM!$B$44,MAX(0,J628*$F$1),0),0)*RATES!$L605/12+$H$4*(PARAM!$D$51/12)*RATES!$N605/100</f>
        <v>302.41666666666669</v>
      </c>
      <c r="J629" s="16">
        <f t="shared" si="412"/>
        <v>-30222.832813092777</v>
      </c>
      <c r="K629" s="15">
        <f t="shared" si="413"/>
        <v>22.170849845882874</v>
      </c>
      <c r="L629" s="75">
        <f>K629*(1-PARAM!$C$27)*$I$5+(MOD($B629,60)=PARAM!$B$56)*($B629&gt;(60-PARAM!$B$56))*HLOOKUP(($B629+PARAM!$B$56)/12,Loyalty,2)*$F$1*MAX(N628,0)</f>
        <v>18.557001321003963</v>
      </c>
      <c r="M629" s="75">
        <f>PARAM!$C$26+MAX($G$5-CHOOSE(PARAM!$B$44,MAX(0,N628*$F$1),0),0)*RATES!$L605/12+$H$5*(PARAM!$D$51/12)*RATES!$N605/100</f>
        <v>302.41666666666669</v>
      </c>
      <c r="N629" s="16">
        <f t="shared" si="414"/>
        <v>-30151.509895637824</v>
      </c>
      <c r="O629" s="15">
        <f t="shared" si="415"/>
        <v>22.170849845882874</v>
      </c>
      <c r="P629" s="75">
        <f>O629*(1-PARAM!$C$27)*$I$6+(MOD($B629,60)=PARAM!$B$56)*($B629&gt;(60-PARAM!$B$56))*HLOOKUP(($B629+PARAM!$B$56)/12,Loyalty,2)*$F$1*MAX(R628,0)</f>
        <v>18.557001321003963</v>
      </c>
      <c r="Q629" s="75">
        <f>PARAM!$C$26+MAX($G$6-CHOOSE(PARAM!$B$44,MAX(0,R628*$F$1),0),0)*RATES!$L605/12+$H$6*(PARAM!$D$51/12)*RATES!$N605/100</f>
        <v>302.41666666666669</v>
      </c>
      <c r="R629" s="16">
        <f t="shared" si="416"/>
        <v>-30151.509895637824</v>
      </c>
      <c r="S629" s="15">
        <f t="shared" si="391"/>
        <v>22.170849845882874</v>
      </c>
      <c r="T629" s="75">
        <f>S629*(1-PARAM!$C$27)*$I$7+(MOD($B629,60)=PARAM!$B$56)*($B629&gt;(60-PARAM!$B$56))*HLOOKUP(($B629+PARAM!$B$56)/12,Loyalty,2)*$F$1*MAX(V628,0)</f>
        <v>18.557001321003963</v>
      </c>
      <c r="U629" s="75">
        <f>PARAM!$C$26+MAX($G$7-CHOOSE(PARAM!$B$44,MAX(0,V628*$F$1),0),0)*RATES!$L605/12+$H$7*(PARAM!$D$51/12)*RATES!$N605/100</f>
        <v>302.41666666666669</v>
      </c>
      <c r="V629" s="16">
        <f t="shared" si="417"/>
        <v>-30151.509895637824</v>
      </c>
      <c r="W629" s="15">
        <f t="shared" si="392"/>
        <v>22.170849845882874</v>
      </c>
      <c r="X629" s="75">
        <f>W629*(1-PARAM!$C$27)*$I$8+(MOD($B629,60)=PARAM!$B$56)*($B629&gt;(60-PARAM!$B$56))*HLOOKUP(($B629+PARAM!$B$56)/12,Loyalty,2)*$F$1*MAX(Z628,0)</f>
        <v>18.557001321003963</v>
      </c>
      <c r="Y629" s="75">
        <f>PARAM!$C$26+MAX($G$8-CHOOSE(PARAM!$B$44,MAX(0,Z628*$F$1),0),0)*RATES!$L605/12+$H$8*(PARAM!$D$51/12)*RATES!$N605/100</f>
        <v>302.41666666666669</v>
      </c>
      <c r="Z629" s="16">
        <f t="shared" si="418"/>
        <v>-30151.509895637824</v>
      </c>
      <c r="AA629" s="15">
        <f t="shared" si="393"/>
        <v>22.170849845882874</v>
      </c>
      <c r="AB629" s="75">
        <f>AA629*(1-PARAM!$C$27)*$I$9+(MOD($B629,60)=PARAM!$B$56)*($B629&gt;(60-PARAM!$B$56))*HLOOKUP(($B629+PARAM!$B$56)/12,Loyalty,2)*$F$1*MAX(AD628,0)</f>
        <v>18.557001321003963</v>
      </c>
      <c r="AC629" s="75">
        <f>PARAM!$C$26+MAX($G$9-CHOOSE(PARAM!$B$44,MAX(0,AD628*$F$1),0),0)*RATES!$L605/12+$H$9*(PARAM!$D$51/12)*RATES!$N605/100</f>
        <v>302.41666666666669</v>
      </c>
      <c r="AD629" s="16">
        <f t="shared" si="419"/>
        <v>-30151.509895637824</v>
      </c>
      <c r="AE629" s="15">
        <f t="shared" si="394"/>
        <v>22.170849845882874</v>
      </c>
      <c r="AF629" s="75">
        <f>AE629*(1-PARAM!$C$27)*$I$10+(MOD($B629,60)=PARAM!$B$56)*($B629&gt;(60-PARAM!$B$56))*HLOOKUP(($B629+PARAM!$B$56)/12,Loyalty,2)*$F$1*MAX(AH628,0)</f>
        <v>18.557001321003963</v>
      </c>
      <c r="AG629" s="75">
        <f>PARAM!$C$26+MAX($G$10-CHOOSE(PARAM!$B$44,MAX(0,AH628*$F$1),0),0)*RATES!$L605/12+$H$10*(PARAM!$D$51/12)*RATES!$N605/100</f>
        <v>302.41666666666669</v>
      </c>
      <c r="AH629" s="16">
        <f t="shared" si="420"/>
        <v>-30151.509895637824</v>
      </c>
      <c r="AI629" s="15">
        <f t="shared" si="395"/>
        <v>22.170849845882874</v>
      </c>
      <c r="AJ629" s="75">
        <f>AI629*(1-PARAM!$C$27)*$I$11+(MOD($B629,60)=PARAM!$B$56)*($B629&gt;(60-PARAM!$B$56))*HLOOKUP(($B629+PARAM!$B$56)/12,Loyalty,2)*$F$1*MAX(AL628,0)</f>
        <v>18.557001321003963</v>
      </c>
      <c r="AK629" s="75">
        <f>PARAM!$C$26+MAX($G$11-CHOOSE(PARAM!$B$44,MAX(0,AL628*$F$1),0),0)*RATES!$L605/12+$H$11*(PARAM!$D$51/12)*RATES!$N605/100</f>
        <v>302.41666666666669</v>
      </c>
      <c r="AL629" s="16">
        <f t="shared" si="421"/>
        <v>-30151.509895637824</v>
      </c>
      <c r="AM629" s="15">
        <f t="shared" si="396"/>
        <v>22.170849845882874</v>
      </c>
      <c r="AN629" s="75">
        <f>AM629*(1-PARAM!$C$27)*$I$12+(MOD($B629,60)=PARAM!$B$56)*($B629&gt;(60-PARAM!$B$56))*HLOOKUP(($B629+PARAM!$B$56)/12,Loyalty,2)*$F$1*MAX(AP628,0)</f>
        <v>18.557001321003963</v>
      </c>
      <c r="AO629" s="75">
        <f>PARAM!$C$26+MAX($G$12-CHOOSE(PARAM!$B$44,MAX(0,AP628*$F$1),0),0)*RATES!$L605/12+$H$12*(PARAM!$D$51/12)*RATES!$N605/100</f>
        <v>302.41666666666669</v>
      </c>
      <c r="AP629" s="16">
        <f t="shared" si="422"/>
        <v>-30151.509895637824</v>
      </c>
      <c r="AQ629" s="15">
        <f t="shared" si="397"/>
        <v>22.170849845882874</v>
      </c>
      <c r="AR629" s="75">
        <f>AQ629*(1-PARAM!$C$27)*$I$13+(MOD($B629,60)=PARAM!$B$56)*($B629&gt;(60-PARAM!$B$56))*HLOOKUP(($B629+PARAM!$B$56)/12,Loyalty,2)*$F$1*MAX(AT628,0)</f>
        <v>18.557001321003963</v>
      </c>
      <c r="AS629" s="75">
        <f>PARAM!$C$26+MAX($G$13-CHOOSE(PARAM!$B$44,MAX(0,AT628*$F$1),0),0)*RATES!$L605/12+$H$13*(PARAM!$D$51/12)*RATES!$N605/100</f>
        <v>302.41666666666669</v>
      </c>
      <c r="AT629" s="16">
        <f t="shared" si="423"/>
        <v>-30151.509895637824</v>
      </c>
      <c r="AU629" s="15">
        <f t="shared" si="398"/>
        <v>22.170849845882874</v>
      </c>
      <c r="AV629" s="75">
        <f>AU629*(1-PARAM!$C$27)*$I$14+(MOD($B629,60)=PARAM!$B$56)*($B629&gt;(60-PARAM!$B$56))*HLOOKUP(($B629+PARAM!$B$56)/12,Loyalty,2)*$F$1*MAX(AX628,0)</f>
        <v>18.557001321003963</v>
      </c>
      <c r="AW629" s="75">
        <f>PARAM!$C$26+MAX($G$14-CHOOSE(PARAM!$B$44,MAX(0,AX628*$F$1),0),0)*RATES!$L605/12+$H$14*(PARAM!$D$51/12)*RATES!$N605/100</f>
        <v>302.41666666666669</v>
      </c>
      <c r="AX629" s="16">
        <f t="shared" si="424"/>
        <v>-30151.509895637824</v>
      </c>
      <c r="AY629" s="15">
        <f t="shared" si="399"/>
        <v>22.170849845882874</v>
      </c>
      <c r="AZ629" s="75">
        <f>AY629*(1-PARAM!$C$27)*$I$15+(MOD($B629,60)=PARAM!$B$56)*($B629&gt;(60-PARAM!$B$56))*HLOOKUP(($B629+PARAM!$B$56)/12,Loyalty,2)*$F$1*MAX(BB628,0)</f>
        <v>18.557001321003963</v>
      </c>
      <c r="BA629" s="75">
        <f>PARAM!$C$26+MAX($G$15-CHOOSE(PARAM!$B$44,MAX(0,BB628*$F$1),0),0)*RATES!$L605/12+$H$15*(PARAM!$D$51/12)*RATES!$N605/100</f>
        <v>302.41666666666669</v>
      </c>
      <c r="BB629" s="16">
        <f t="shared" si="425"/>
        <v>-30151.509895637824</v>
      </c>
      <c r="BC629" s="15">
        <f t="shared" si="400"/>
        <v>22.170849845882874</v>
      </c>
      <c r="BD629" s="75">
        <f>BC629*(1-PARAM!$C$27)*$I$16+(MOD($B629,60)=PARAM!$B$56)*($B629&gt;(60-PARAM!$B$56))*HLOOKUP(($B629+PARAM!$B$56)/12,Loyalty,2)*$F$1*MAX(BF628,0)</f>
        <v>18.557001321003963</v>
      </c>
      <c r="BE629" s="75">
        <f>PARAM!$C$26+MAX($G$16-CHOOSE(PARAM!$B$44,MAX(0,BF628*$F$1),0),0)*RATES!$L605/12+$H$16*(PARAM!$D$51/12)*RATES!$N605/100</f>
        <v>302.41666666666669</v>
      </c>
      <c r="BF629" s="16">
        <f t="shared" si="426"/>
        <v>-30151.509895637824</v>
      </c>
      <c r="BG629" s="15">
        <f t="shared" si="401"/>
        <v>22.170849845882874</v>
      </c>
      <c r="BH629" s="75">
        <f>BG629*(1-PARAM!$C$27)*$I$17+(MOD($B629,60)=PARAM!$B$56)*($B629&gt;(60-PARAM!$B$56))*HLOOKUP(($B629+PARAM!$B$56)/12,Loyalty,2)*$F$1*MAX(BJ628,0)</f>
        <v>18.557001321003963</v>
      </c>
      <c r="BI629" s="75">
        <f>PARAM!$C$26+MAX($G$17-CHOOSE(PARAM!$B$44,MAX(0,BJ628*$F$1),0),0)*RATES!$L605/12+$H$17*(PARAM!$D$51/12)*RATES!$N605/100</f>
        <v>302.41666666666669</v>
      </c>
      <c r="BJ629" s="16">
        <f t="shared" si="427"/>
        <v>-30151.509895637824</v>
      </c>
      <c r="BK629" s="15">
        <f t="shared" si="402"/>
        <v>22.170849845882874</v>
      </c>
      <c r="BL629" s="75">
        <f>BK629*(1-PARAM!$C$27)*$I$18+(MOD($B629,60)=PARAM!$B$56)*($B629&gt;(60-PARAM!$B$56))*HLOOKUP(($B629+PARAM!$B$56)/12,Loyalty,2)*$F$1*MAX(BN628,0)</f>
        <v>18.557001321003963</v>
      </c>
      <c r="BM629" s="75">
        <f>PARAM!$C$26+MAX($G$18-CHOOSE(PARAM!$B$44,MAX(0,BN628*$F$1),0),0)*RATES!$L605/12+$H$18*(PARAM!$D$51/12)*RATES!$N605/100</f>
        <v>302.41666666666669</v>
      </c>
      <c r="BN629" s="16">
        <f t="shared" si="428"/>
        <v>-30151.509895637824</v>
      </c>
      <c r="BO629" s="15">
        <f t="shared" si="403"/>
        <v>22.170849845882874</v>
      </c>
      <c r="BP629" s="75">
        <f>BO629*(1-PARAM!$C$27)*$I$19+(MOD($B629,60)=PARAM!$B$56)*($B629&gt;(60-PARAM!$B$56))*HLOOKUP(($B629+PARAM!$B$56)/12,Loyalty,2)*$F$1*MAX(BR628,0)</f>
        <v>18.557001321003963</v>
      </c>
      <c r="BQ629" s="75">
        <f>PARAM!$C$26+MAX($G$19-CHOOSE(PARAM!$B$44,MAX(0,BR628*$F$1),0),0)*RATES!$L605/12+$H$19*(PARAM!$D$51/12)*RATES!$N605/100</f>
        <v>302.41666666666669</v>
      </c>
      <c r="BR629" s="16">
        <f t="shared" si="429"/>
        <v>-30151.509895637824</v>
      </c>
      <c r="BS629" s="15">
        <f t="shared" si="404"/>
        <v>22.170849845882874</v>
      </c>
      <c r="BT629" s="75">
        <f>BS629*(1-PARAM!$C$27)*$I$20+(MOD($B629,60)=PARAM!$B$56)*($B629&gt;(60-PARAM!$B$56))*HLOOKUP(($B629+PARAM!$B$56)/12,Loyalty,2)*$F$1*MAX(BV628,0)</f>
        <v>18.557001321003963</v>
      </c>
      <c r="BU629" s="75">
        <f>PARAM!$C$26+MAX($G$20-CHOOSE(PARAM!$B$44,MAX(0,BV628*$F$1),0),0)*RATES!$L605/12+$H$20*(PARAM!$D$51/12)*RATES!$N605/100</f>
        <v>302.41666666666669</v>
      </c>
      <c r="BV629" s="16">
        <f t="shared" si="430"/>
        <v>-30151.509895637824</v>
      </c>
      <c r="BW629" s="15">
        <f t="shared" si="405"/>
        <v>22.170849845882874</v>
      </c>
      <c r="BX629" s="75">
        <f>BW629*(1-PARAM!$C$27)*$I$21+(MOD($B629,60)=PARAM!$B$56)*($B629&gt;(60-PARAM!$B$56))*HLOOKUP(($B629+PARAM!$B$56)/12,Loyalty,2)*$F$1*MAX(BZ628,0)</f>
        <v>18.557001321003963</v>
      </c>
      <c r="BY629" s="75">
        <f>PARAM!$C$26+MAX($G$21-CHOOSE(PARAM!$B$44,MAX(0,BZ628*$F$1),0),0)*RATES!$L605/12+$H$21*(PARAM!$D$51/12)*RATES!$N605/100</f>
        <v>302.41666666666669</v>
      </c>
      <c r="BZ629" s="16">
        <f t="shared" si="431"/>
        <v>-30151.509895637824</v>
      </c>
      <c r="CA629" s="15">
        <f t="shared" si="406"/>
        <v>22.170849845882874</v>
      </c>
      <c r="CB629" s="75">
        <f>CA629*(1-PARAM!$C$27)*$I$22+(MOD($B629,60)=PARAM!$B$56)*($B629&gt;(60-PARAM!$B$56))*HLOOKUP(($B629+PARAM!$B$56)/12,Loyalty,2)*$F$1*MAX(CD628,0)</f>
        <v>18.557001321003963</v>
      </c>
      <c r="CC629" s="75">
        <f>PARAM!$C$26+MAX($G$22-CHOOSE(PARAM!$B$44,MAX(0,CD628*$F$1),0),0)*RATES!$L605/12+$H$22*(PARAM!$D$51/12)*RATES!$N605/100</f>
        <v>302.41666666666669</v>
      </c>
      <c r="CD629" s="16">
        <f t="shared" si="432"/>
        <v>-30151.509895637824</v>
      </c>
      <c r="CE629" s="33">
        <f>IF(0=MOD(B629,12/PARAM!$D$51),1,0)</f>
        <v>1</v>
      </c>
      <c r="CF629" s="15">
        <f t="shared" si="407"/>
        <v>0</v>
      </c>
      <c r="CG629" s="75">
        <f>CF629*(1-PARAM!$C$27)*$R$3+(MOD($B629/12,5)=0)*($B629&gt;60)*HLOOKUP($B629/12,Loyalty,2)*$F$1*MAX(CI628,0)</f>
        <v>0</v>
      </c>
      <c r="CH629" s="75">
        <f>PARAM!$C$26+MAX($P$3-CHOOSE(PARAM!$B$44,MAX(0,CI628*$F$1),0),0)*RATES!$L605/12+$Q$3*(PARAM!$D$51/12)*RATES!$N605/100</f>
        <v>302.41666666666669</v>
      </c>
      <c r="CI629" s="16">
        <f>IF(CI628&gt;0,CI628*PARAM!$C$53,CI628)+CG629-CH629</f>
        <v>-41203.250000000007</v>
      </c>
      <c r="CJ629" s="15">
        <f t="shared" si="433"/>
        <v>0</v>
      </c>
      <c r="CK629" s="75">
        <f>CJ629*(1-PARAM!$C$27)*$R$4+(MOD($B629/12,5)=0)*($B629&gt;60)*HLOOKUP($B629/12,Loyalty,2)*$F$1*MAX(CM628,0)</f>
        <v>0</v>
      </c>
      <c r="CL629" s="75">
        <f>PARAM!$C$26+MAX($P$4-CHOOSE(PARAM!$B$44,MAX(0,CM628*$F$1),0),0)*RATES!$L605/12+$Q$4*(PARAM!$D$51/12)*RATES!$N605/100</f>
        <v>302.41666666666669</v>
      </c>
      <c r="CM629" s="16">
        <f>IF(CM628&gt;0,CM628*PARAM!$C$53,CM628)+CK629-CL629</f>
        <v>-41203.250000000007</v>
      </c>
      <c r="CO629" s="176"/>
    </row>
    <row r="630" spans="1:93" x14ac:dyDescent="0.2">
      <c r="A630" t="b">
        <f t="shared" si="408"/>
        <v>0</v>
      </c>
      <c r="B630" s="33">
        <v>603</v>
      </c>
      <c r="C630" s="15">
        <f t="shared" si="409"/>
        <v>20.081305947392778</v>
      </c>
      <c r="D630" s="75">
        <f>C630*(1-PARAM!$C$27)*$I$3+(MOD($B630,60)=PARAM!$B$56)*($B630&gt;(60-PARAM!$B$56))*HLOOKUP(($B630+PARAM!$B$56)/12,Loyalty,2)*$F$1*MAX(F629,0)</f>
        <v>16.808053077967756</v>
      </c>
      <c r="E630" s="75">
        <f>PARAM!$C$26+MAX($G$3-CHOOSE(PARAM!$B$44,MAX(0,F629*$F$1),0),0)*RATES!$L606/12+$H$3*(PARAM!$D$51/12)*RATES!$N606/100</f>
        <v>302.41666666666669</v>
      </c>
      <c r="F630" s="16">
        <f t="shared" si="410"/>
        <v>-31526.835852055978</v>
      </c>
      <c r="G630" s="15">
        <f t="shared" si="411"/>
        <v>22.035289406060361</v>
      </c>
      <c r="H630" s="75">
        <f>G630*(1-PARAM!$C$27)*$I$4+(MOD($B630,60)=PARAM!$B$56)*($B630&gt;(60-PARAM!$B$56))*HLOOKUP(($B630+PARAM!$B$56)/12,Loyalty,2)*$F$1*MAX(J629,0)</f>
        <v>18.443537232872522</v>
      </c>
      <c r="I630" s="75">
        <f>PARAM!$C$26+MAX($G$4-CHOOSE(PARAM!$B$44,MAX(0,J629*$F$1),0),0)*RATES!$L606/12+$H$4*(PARAM!$D$51/12)*RATES!$N606/100</f>
        <v>302.41666666666669</v>
      </c>
      <c r="J630" s="16">
        <f t="shared" si="412"/>
        <v>-30506.805942526571</v>
      </c>
      <c r="K630" s="15">
        <f t="shared" si="413"/>
        <v>22.170849845882874</v>
      </c>
      <c r="L630" s="75">
        <f>K630*(1-PARAM!$C$27)*$I$5+(MOD($B630,60)=PARAM!$B$56)*($B630&gt;(60-PARAM!$B$56))*HLOOKUP(($B630+PARAM!$B$56)/12,Loyalty,2)*$F$1*MAX(N629,0)</f>
        <v>18.557001321003963</v>
      </c>
      <c r="M630" s="75">
        <f>PARAM!$C$26+MAX($G$5-CHOOSE(PARAM!$B$44,MAX(0,N629*$F$1),0),0)*RATES!$L606/12+$H$5*(PARAM!$D$51/12)*RATES!$N606/100</f>
        <v>302.41666666666669</v>
      </c>
      <c r="N630" s="16">
        <f t="shared" si="414"/>
        <v>-30435.369560983487</v>
      </c>
      <c r="O630" s="15">
        <f t="shared" si="415"/>
        <v>22.170849845882874</v>
      </c>
      <c r="P630" s="75">
        <f>O630*(1-PARAM!$C$27)*$I$6+(MOD($B630,60)=PARAM!$B$56)*($B630&gt;(60-PARAM!$B$56))*HLOOKUP(($B630+PARAM!$B$56)/12,Loyalty,2)*$F$1*MAX(R629,0)</f>
        <v>18.557001321003963</v>
      </c>
      <c r="Q630" s="75">
        <f>PARAM!$C$26+MAX($G$6-CHOOSE(PARAM!$B$44,MAX(0,R629*$F$1),0),0)*RATES!$L606/12+$H$6*(PARAM!$D$51/12)*RATES!$N606/100</f>
        <v>302.41666666666669</v>
      </c>
      <c r="R630" s="16">
        <f t="shared" si="416"/>
        <v>-30435.369560983487</v>
      </c>
      <c r="S630" s="15">
        <f t="shared" si="391"/>
        <v>22.170849845882874</v>
      </c>
      <c r="T630" s="75">
        <f>S630*(1-PARAM!$C$27)*$I$7+(MOD($B630,60)=PARAM!$B$56)*($B630&gt;(60-PARAM!$B$56))*HLOOKUP(($B630+PARAM!$B$56)/12,Loyalty,2)*$F$1*MAX(V629,0)</f>
        <v>18.557001321003963</v>
      </c>
      <c r="U630" s="75">
        <f>PARAM!$C$26+MAX($G$7-CHOOSE(PARAM!$B$44,MAX(0,V629*$F$1),0),0)*RATES!$L606/12+$H$7*(PARAM!$D$51/12)*RATES!$N606/100</f>
        <v>302.41666666666669</v>
      </c>
      <c r="V630" s="16">
        <f t="shared" si="417"/>
        <v>-30435.369560983487</v>
      </c>
      <c r="W630" s="15">
        <f t="shared" si="392"/>
        <v>22.170849845882874</v>
      </c>
      <c r="X630" s="75">
        <f>W630*(1-PARAM!$C$27)*$I$8+(MOD($B630,60)=PARAM!$B$56)*($B630&gt;(60-PARAM!$B$56))*HLOOKUP(($B630+PARAM!$B$56)/12,Loyalty,2)*$F$1*MAX(Z629,0)</f>
        <v>18.557001321003963</v>
      </c>
      <c r="Y630" s="75">
        <f>PARAM!$C$26+MAX($G$8-CHOOSE(PARAM!$B$44,MAX(0,Z629*$F$1),0),0)*RATES!$L606/12+$H$8*(PARAM!$D$51/12)*RATES!$N606/100</f>
        <v>302.41666666666669</v>
      </c>
      <c r="Z630" s="16">
        <f t="shared" si="418"/>
        <v>-30435.369560983487</v>
      </c>
      <c r="AA630" s="15">
        <f t="shared" si="393"/>
        <v>22.170849845882874</v>
      </c>
      <c r="AB630" s="75">
        <f>AA630*(1-PARAM!$C$27)*$I$9+(MOD($B630,60)=PARAM!$B$56)*($B630&gt;(60-PARAM!$B$56))*HLOOKUP(($B630+PARAM!$B$56)/12,Loyalty,2)*$F$1*MAX(AD629,0)</f>
        <v>18.557001321003963</v>
      </c>
      <c r="AC630" s="75">
        <f>PARAM!$C$26+MAX($G$9-CHOOSE(PARAM!$B$44,MAX(0,AD629*$F$1),0),0)*RATES!$L606/12+$H$9*(PARAM!$D$51/12)*RATES!$N606/100</f>
        <v>302.41666666666669</v>
      </c>
      <c r="AD630" s="16">
        <f t="shared" si="419"/>
        <v>-30435.369560983487</v>
      </c>
      <c r="AE630" s="15">
        <f t="shared" si="394"/>
        <v>22.170849845882874</v>
      </c>
      <c r="AF630" s="75">
        <f>AE630*(1-PARAM!$C$27)*$I$10+(MOD($B630,60)=PARAM!$B$56)*($B630&gt;(60-PARAM!$B$56))*HLOOKUP(($B630+PARAM!$B$56)/12,Loyalty,2)*$F$1*MAX(AH629,0)</f>
        <v>18.557001321003963</v>
      </c>
      <c r="AG630" s="75">
        <f>PARAM!$C$26+MAX($G$10-CHOOSE(PARAM!$B$44,MAX(0,AH629*$F$1),0),0)*RATES!$L606/12+$H$10*(PARAM!$D$51/12)*RATES!$N606/100</f>
        <v>302.41666666666669</v>
      </c>
      <c r="AH630" s="16">
        <f t="shared" si="420"/>
        <v>-30435.369560983487</v>
      </c>
      <c r="AI630" s="15">
        <f t="shared" si="395"/>
        <v>22.170849845882874</v>
      </c>
      <c r="AJ630" s="75">
        <f>AI630*(1-PARAM!$C$27)*$I$11+(MOD($B630,60)=PARAM!$B$56)*($B630&gt;(60-PARAM!$B$56))*HLOOKUP(($B630+PARAM!$B$56)/12,Loyalty,2)*$F$1*MAX(AL629,0)</f>
        <v>18.557001321003963</v>
      </c>
      <c r="AK630" s="75">
        <f>PARAM!$C$26+MAX($G$11-CHOOSE(PARAM!$B$44,MAX(0,AL629*$F$1),0),0)*RATES!$L606/12+$H$11*(PARAM!$D$51/12)*RATES!$N606/100</f>
        <v>302.41666666666669</v>
      </c>
      <c r="AL630" s="16">
        <f t="shared" si="421"/>
        <v>-30435.369560983487</v>
      </c>
      <c r="AM630" s="15">
        <f t="shared" si="396"/>
        <v>22.170849845882874</v>
      </c>
      <c r="AN630" s="75">
        <f>AM630*(1-PARAM!$C$27)*$I$12+(MOD($B630,60)=PARAM!$B$56)*($B630&gt;(60-PARAM!$B$56))*HLOOKUP(($B630+PARAM!$B$56)/12,Loyalty,2)*$F$1*MAX(AP629,0)</f>
        <v>18.557001321003963</v>
      </c>
      <c r="AO630" s="75">
        <f>PARAM!$C$26+MAX($G$12-CHOOSE(PARAM!$B$44,MAX(0,AP629*$F$1),0),0)*RATES!$L606/12+$H$12*(PARAM!$D$51/12)*RATES!$N606/100</f>
        <v>302.41666666666669</v>
      </c>
      <c r="AP630" s="16">
        <f t="shared" si="422"/>
        <v>-30435.369560983487</v>
      </c>
      <c r="AQ630" s="15">
        <f t="shared" si="397"/>
        <v>22.170849845882874</v>
      </c>
      <c r="AR630" s="75">
        <f>AQ630*(1-PARAM!$C$27)*$I$13+(MOD($B630,60)=PARAM!$B$56)*($B630&gt;(60-PARAM!$B$56))*HLOOKUP(($B630+PARAM!$B$56)/12,Loyalty,2)*$F$1*MAX(AT629,0)</f>
        <v>18.557001321003963</v>
      </c>
      <c r="AS630" s="75">
        <f>PARAM!$C$26+MAX($G$13-CHOOSE(PARAM!$B$44,MAX(0,AT629*$F$1),0),0)*RATES!$L606/12+$H$13*(PARAM!$D$51/12)*RATES!$N606/100</f>
        <v>302.41666666666669</v>
      </c>
      <c r="AT630" s="16">
        <f t="shared" si="423"/>
        <v>-30435.369560983487</v>
      </c>
      <c r="AU630" s="15">
        <f t="shared" si="398"/>
        <v>22.170849845882874</v>
      </c>
      <c r="AV630" s="75">
        <f>AU630*(1-PARAM!$C$27)*$I$14+(MOD($B630,60)=PARAM!$B$56)*($B630&gt;(60-PARAM!$B$56))*HLOOKUP(($B630+PARAM!$B$56)/12,Loyalty,2)*$F$1*MAX(AX629,0)</f>
        <v>18.557001321003963</v>
      </c>
      <c r="AW630" s="75">
        <f>PARAM!$C$26+MAX($G$14-CHOOSE(PARAM!$B$44,MAX(0,AX629*$F$1),0),0)*RATES!$L606/12+$H$14*(PARAM!$D$51/12)*RATES!$N606/100</f>
        <v>302.41666666666669</v>
      </c>
      <c r="AX630" s="16">
        <f t="shared" si="424"/>
        <v>-30435.369560983487</v>
      </c>
      <c r="AY630" s="15">
        <f t="shared" si="399"/>
        <v>22.170849845882874</v>
      </c>
      <c r="AZ630" s="75">
        <f>AY630*(1-PARAM!$C$27)*$I$15+(MOD($B630,60)=PARAM!$B$56)*($B630&gt;(60-PARAM!$B$56))*HLOOKUP(($B630+PARAM!$B$56)/12,Loyalty,2)*$F$1*MAX(BB629,0)</f>
        <v>18.557001321003963</v>
      </c>
      <c r="BA630" s="75">
        <f>PARAM!$C$26+MAX($G$15-CHOOSE(PARAM!$B$44,MAX(0,BB629*$F$1),0),0)*RATES!$L606/12+$H$15*(PARAM!$D$51/12)*RATES!$N606/100</f>
        <v>302.41666666666669</v>
      </c>
      <c r="BB630" s="16">
        <f t="shared" si="425"/>
        <v>-30435.369560983487</v>
      </c>
      <c r="BC630" s="15">
        <f t="shared" si="400"/>
        <v>22.170849845882874</v>
      </c>
      <c r="BD630" s="75">
        <f>BC630*(1-PARAM!$C$27)*$I$16+(MOD($B630,60)=PARAM!$B$56)*($B630&gt;(60-PARAM!$B$56))*HLOOKUP(($B630+PARAM!$B$56)/12,Loyalty,2)*$F$1*MAX(BF629,0)</f>
        <v>18.557001321003963</v>
      </c>
      <c r="BE630" s="75">
        <f>PARAM!$C$26+MAX($G$16-CHOOSE(PARAM!$B$44,MAX(0,BF629*$F$1),0),0)*RATES!$L606/12+$H$16*(PARAM!$D$51/12)*RATES!$N606/100</f>
        <v>302.41666666666669</v>
      </c>
      <c r="BF630" s="16">
        <f t="shared" si="426"/>
        <v>-30435.369560983487</v>
      </c>
      <c r="BG630" s="15">
        <f t="shared" si="401"/>
        <v>22.170849845882874</v>
      </c>
      <c r="BH630" s="75">
        <f>BG630*(1-PARAM!$C$27)*$I$17+(MOD($B630,60)=PARAM!$B$56)*($B630&gt;(60-PARAM!$B$56))*HLOOKUP(($B630+PARAM!$B$56)/12,Loyalty,2)*$F$1*MAX(BJ629,0)</f>
        <v>18.557001321003963</v>
      </c>
      <c r="BI630" s="75">
        <f>PARAM!$C$26+MAX($G$17-CHOOSE(PARAM!$B$44,MAX(0,BJ629*$F$1),0),0)*RATES!$L606/12+$H$17*(PARAM!$D$51/12)*RATES!$N606/100</f>
        <v>302.41666666666669</v>
      </c>
      <c r="BJ630" s="16">
        <f t="shared" si="427"/>
        <v>-30435.369560983487</v>
      </c>
      <c r="BK630" s="15">
        <f t="shared" si="402"/>
        <v>22.170849845882874</v>
      </c>
      <c r="BL630" s="75">
        <f>BK630*(1-PARAM!$C$27)*$I$18+(MOD($B630,60)=PARAM!$B$56)*($B630&gt;(60-PARAM!$B$56))*HLOOKUP(($B630+PARAM!$B$56)/12,Loyalty,2)*$F$1*MAX(BN629,0)</f>
        <v>18.557001321003963</v>
      </c>
      <c r="BM630" s="75">
        <f>PARAM!$C$26+MAX($G$18-CHOOSE(PARAM!$B$44,MAX(0,BN629*$F$1),0),0)*RATES!$L606/12+$H$18*(PARAM!$D$51/12)*RATES!$N606/100</f>
        <v>302.41666666666669</v>
      </c>
      <c r="BN630" s="16">
        <f t="shared" si="428"/>
        <v>-30435.369560983487</v>
      </c>
      <c r="BO630" s="15">
        <f t="shared" si="403"/>
        <v>22.170849845882874</v>
      </c>
      <c r="BP630" s="75">
        <f>BO630*(1-PARAM!$C$27)*$I$19+(MOD($B630,60)=PARAM!$B$56)*($B630&gt;(60-PARAM!$B$56))*HLOOKUP(($B630+PARAM!$B$56)/12,Loyalty,2)*$F$1*MAX(BR629,0)</f>
        <v>18.557001321003963</v>
      </c>
      <c r="BQ630" s="75">
        <f>PARAM!$C$26+MAX($G$19-CHOOSE(PARAM!$B$44,MAX(0,BR629*$F$1),0),0)*RATES!$L606/12+$H$19*(PARAM!$D$51/12)*RATES!$N606/100</f>
        <v>302.41666666666669</v>
      </c>
      <c r="BR630" s="16">
        <f t="shared" si="429"/>
        <v>-30435.369560983487</v>
      </c>
      <c r="BS630" s="15">
        <f t="shared" si="404"/>
        <v>22.170849845882874</v>
      </c>
      <c r="BT630" s="75">
        <f>BS630*(1-PARAM!$C$27)*$I$20+(MOD($B630,60)=PARAM!$B$56)*($B630&gt;(60-PARAM!$B$56))*HLOOKUP(($B630+PARAM!$B$56)/12,Loyalty,2)*$F$1*MAX(BV629,0)</f>
        <v>18.557001321003963</v>
      </c>
      <c r="BU630" s="75">
        <f>PARAM!$C$26+MAX($G$20-CHOOSE(PARAM!$B$44,MAX(0,BV629*$F$1),0),0)*RATES!$L606/12+$H$20*(PARAM!$D$51/12)*RATES!$N606/100</f>
        <v>302.41666666666669</v>
      </c>
      <c r="BV630" s="16">
        <f t="shared" si="430"/>
        <v>-30435.369560983487</v>
      </c>
      <c r="BW630" s="15">
        <f t="shared" si="405"/>
        <v>22.170849845882874</v>
      </c>
      <c r="BX630" s="75">
        <f>BW630*(1-PARAM!$C$27)*$I$21+(MOD($B630,60)=PARAM!$B$56)*($B630&gt;(60-PARAM!$B$56))*HLOOKUP(($B630+PARAM!$B$56)/12,Loyalty,2)*$F$1*MAX(BZ629,0)</f>
        <v>18.557001321003963</v>
      </c>
      <c r="BY630" s="75">
        <f>PARAM!$C$26+MAX($G$21-CHOOSE(PARAM!$B$44,MAX(0,BZ629*$F$1),0),0)*RATES!$L606/12+$H$21*(PARAM!$D$51/12)*RATES!$N606/100</f>
        <v>302.41666666666669</v>
      </c>
      <c r="BZ630" s="16">
        <f t="shared" si="431"/>
        <v>-30435.369560983487</v>
      </c>
      <c r="CA630" s="15">
        <f t="shared" si="406"/>
        <v>22.170849845882874</v>
      </c>
      <c r="CB630" s="75">
        <f>CA630*(1-PARAM!$C$27)*$I$22+(MOD($B630,60)=PARAM!$B$56)*($B630&gt;(60-PARAM!$B$56))*HLOOKUP(($B630+PARAM!$B$56)/12,Loyalty,2)*$F$1*MAX(CD629,0)</f>
        <v>18.557001321003963</v>
      </c>
      <c r="CC630" s="75">
        <f>PARAM!$C$26+MAX($G$22-CHOOSE(PARAM!$B$44,MAX(0,CD629*$F$1),0),0)*RATES!$L606/12+$H$22*(PARAM!$D$51/12)*RATES!$N606/100</f>
        <v>302.41666666666669</v>
      </c>
      <c r="CD630" s="16">
        <f t="shared" si="432"/>
        <v>-30435.369560983487</v>
      </c>
      <c r="CE630" s="33">
        <f>IF(0=MOD(B630,12/PARAM!$D$51),1,0)</f>
        <v>1</v>
      </c>
      <c r="CF630" s="15">
        <f t="shared" si="407"/>
        <v>0</v>
      </c>
      <c r="CG630" s="75">
        <f>CF630*(1-PARAM!$C$27)*$R$3+(MOD($B630/12,5)=0)*($B630&gt;60)*HLOOKUP($B630/12,Loyalty,2)*$F$1*MAX(CI629,0)</f>
        <v>0</v>
      </c>
      <c r="CH630" s="75">
        <f>PARAM!$C$26+MAX($P$3-CHOOSE(PARAM!$B$44,MAX(0,CI629*$F$1),0),0)*RATES!$L606/12+$Q$3*(PARAM!$D$51/12)*RATES!$N606/100</f>
        <v>302.41666666666669</v>
      </c>
      <c r="CI630" s="16">
        <f>IF(CI629&gt;0,CI629*PARAM!$C$53,CI629)+CG630-CH630</f>
        <v>-41505.666666666672</v>
      </c>
      <c r="CJ630" s="15">
        <f t="shared" si="433"/>
        <v>0</v>
      </c>
      <c r="CK630" s="75">
        <f>CJ630*(1-PARAM!$C$27)*$R$4+(MOD($B630/12,5)=0)*($B630&gt;60)*HLOOKUP($B630/12,Loyalty,2)*$F$1*MAX(CM629,0)</f>
        <v>0</v>
      </c>
      <c r="CL630" s="75">
        <f>PARAM!$C$26+MAX($P$4-CHOOSE(PARAM!$B$44,MAX(0,CM629*$F$1),0),0)*RATES!$L606/12+$Q$4*(PARAM!$D$51/12)*RATES!$N606/100</f>
        <v>302.41666666666669</v>
      </c>
      <c r="CM630" s="16">
        <f>IF(CM629&gt;0,CM629*PARAM!$C$53,CM629)+CK630-CL630</f>
        <v>-41505.666666666672</v>
      </c>
      <c r="CO630" s="176"/>
    </row>
    <row r="631" spans="1:93" x14ac:dyDescent="0.2">
      <c r="A631" t="b">
        <f t="shared" si="408"/>
        <v>0</v>
      </c>
      <c r="B631" s="33">
        <v>604</v>
      </c>
      <c r="C631" s="15">
        <f t="shared" si="409"/>
        <v>20.081305947392778</v>
      </c>
      <c r="D631" s="75">
        <f>C631*(1-PARAM!$C$27)*$I$3+(MOD($B631,60)=PARAM!$B$56)*($B631&gt;(60-PARAM!$B$56))*HLOOKUP(($B631+PARAM!$B$56)/12,Loyalty,2)*$F$1*MAX(F630,0)</f>
        <v>16.808053077967756</v>
      </c>
      <c r="E631" s="75">
        <f>PARAM!$C$26+MAX($G$3-CHOOSE(PARAM!$B$44,MAX(0,F630*$F$1),0),0)*RATES!$L607/12+$H$3*(PARAM!$D$51/12)*RATES!$N607/100</f>
        <v>302.41666666666669</v>
      </c>
      <c r="F631" s="16">
        <f t="shared" si="410"/>
        <v>-31812.444465644679</v>
      </c>
      <c r="G631" s="15">
        <f t="shared" si="411"/>
        <v>22.035289406060361</v>
      </c>
      <c r="H631" s="75">
        <f>G631*(1-PARAM!$C$27)*$I$4+(MOD($B631,60)=PARAM!$B$56)*($B631&gt;(60-PARAM!$B$56))*HLOOKUP(($B631+PARAM!$B$56)/12,Loyalty,2)*$F$1*MAX(J630,0)</f>
        <v>18.443537232872522</v>
      </c>
      <c r="I631" s="75">
        <f>PARAM!$C$26+MAX($G$4-CHOOSE(PARAM!$B$44,MAX(0,J630*$F$1),0),0)*RATES!$L607/12+$H$4*(PARAM!$D$51/12)*RATES!$N607/100</f>
        <v>302.41666666666669</v>
      </c>
      <c r="J631" s="16">
        <f t="shared" si="412"/>
        <v>-30790.779071960365</v>
      </c>
      <c r="K631" s="15">
        <f t="shared" si="413"/>
        <v>22.170849845882874</v>
      </c>
      <c r="L631" s="75">
        <f>K631*(1-PARAM!$C$27)*$I$5+(MOD($B631,60)=PARAM!$B$56)*($B631&gt;(60-PARAM!$B$56))*HLOOKUP(($B631+PARAM!$B$56)/12,Loyalty,2)*$F$1*MAX(N630,0)</f>
        <v>18.557001321003963</v>
      </c>
      <c r="M631" s="75">
        <f>PARAM!$C$26+MAX($G$5-CHOOSE(PARAM!$B$44,MAX(0,N630*$F$1),0),0)*RATES!$L607/12+$H$5*(PARAM!$D$51/12)*RATES!$N607/100</f>
        <v>302.41666666666669</v>
      </c>
      <c r="N631" s="16">
        <f t="shared" si="414"/>
        <v>-30719.229226329149</v>
      </c>
      <c r="O631" s="15">
        <f t="shared" si="415"/>
        <v>22.170849845882874</v>
      </c>
      <c r="P631" s="75">
        <f>O631*(1-PARAM!$C$27)*$I$6+(MOD($B631,60)=PARAM!$B$56)*($B631&gt;(60-PARAM!$B$56))*HLOOKUP(($B631+PARAM!$B$56)/12,Loyalty,2)*$F$1*MAX(R630,0)</f>
        <v>18.557001321003963</v>
      </c>
      <c r="Q631" s="75">
        <f>PARAM!$C$26+MAX($G$6-CHOOSE(PARAM!$B$44,MAX(0,R630*$F$1),0),0)*RATES!$L607/12+$H$6*(PARAM!$D$51/12)*RATES!$N607/100</f>
        <v>302.41666666666669</v>
      </c>
      <c r="R631" s="16">
        <f t="shared" si="416"/>
        <v>-30719.229226329149</v>
      </c>
      <c r="S631" s="15">
        <f t="shared" si="391"/>
        <v>22.170849845882874</v>
      </c>
      <c r="T631" s="75">
        <f>S631*(1-PARAM!$C$27)*$I$7+(MOD($B631,60)=PARAM!$B$56)*($B631&gt;(60-PARAM!$B$56))*HLOOKUP(($B631+PARAM!$B$56)/12,Loyalty,2)*$F$1*MAX(V630,0)</f>
        <v>18.557001321003963</v>
      </c>
      <c r="U631" s="75">
        <f>PARAM!$C$26+MAX($G$7-CHOOSE(PARAM!$B$44,MAX(0,V630*$F$1),0),0)*RATES!$L607/12+$H$7*(PARAM!$D$51/12)*RATES!$N607/100</f>
        <v>302.41666666666669</v>
      </c>
      <c r="V631" s="16">
        <f t="shared" si="417"/>
        <v>-30719.229226329149</v>
      </c>
      <c r="W631" s="15">
        <f t="shared" si="392"/>
        <v>22.170849845882874</v>
      </c>
      <c r="X631" s="75">
        <f>W631*(1-PARAM!$C$27)*$I$8+(MOD($B631,60)=PARAM!$B$56)*($B631&gt;(60-PARAM!$B$56))*HLOOKUP(($B631+PARAM!$B$56)/12,Loyalty,2)*$F$1*MAX(Z630,0)</f>
        <v>18.557001321003963</v>
      </c>
      <c r="Y631" s="75">
        <f>PARAM!$C$26+MAX($G$8-CHOOSE(PARAM!$B$44,MAX(0,Z630*$F$1),0),0)*RATES!$L607/12+$H$8*(PARAM!$D$51/12)*RATES!$N607/100</f>
        <v>302.41666666666669</v>
      </c>
      <c r="Z631" s="16">
        <f t="shared" si="418"/>
        <v>-30719.229226329149</v>
      </c>
      <c r="AA631" s="15">
        <f t="shared" si="393"/>
        <v>22.170849845882874</v>
      </c>
      <c r="AB631" s="75">
        <f>AA631*(1-PARAM!$C$27)*$I$9+(MOD($B631,60)=PARAM!$B$56)*($B631&gt;(60-PARAM!$B$56))*HLOOKUP(($B631+PARAM!$B$56)/12,Loyalty,2)*$F$1*MAX(AD630,0)</f>
        <v>18.557001321003963</v>
      </c>
      <c r="AC631" s="75">
        <f>PARAM!$C$26+MAX($G$9-CHOOSE(PARAM!$B$44,MAX(0,AD630*$F$1),0),0)*RATES!$L607/12+$H$9*(PARAM!$D$51/12)*RATES!$N607/100</f>
        <v>302.41666666666669</v>
      </c>
      <c r="AD631" s="16">
        <f t="shared" si="419"/>
        <v>-30719.229226329149</v>
      </c>
      <c r="AE631" s="15">
        <f t="shared" si="394"/>
        <v>22.170849845882874</v>
      </c>
      <c r="AF631" s="75">
        <f>AE631*(1-PARAM!$C$27)*$I$10+(MOD($B631,60)=PARAM!$B$56)*($B631&gt;(60-PARAM!$B$56))*HLOOKUP(($B631+PARAM!$B$56)/12,Loyalty,2)*$F$1*MAX(AH630,0)</f>
        <v>18.557001321003963</v>
      </c>
      <c r="AG631" s="75">
        <f>PARAM!$C$26+MAX($G$10-CHOOSE(PARAM!$B$44,MAX(0,AH630*$F$1),0),0)*RATES!$L607/12+$H$10*(PARAM!$D$51/12)*RATES!$N607/100</f>
        <v>302.41666666666669</v>
      </c>
      <c r="AH631" s="16">
        <f t="shared" si="420"/>
        <v>-30719.229226329149</v>
      </c>
      <c r="AI631" s="15">
        <f t="shared" si="395"/>
        <v>22.170849845882874</v>
      </c>
      <c r="AJ631" s="75">
        <f>AI631*(1-PARAM!$C$27)*$I$11+(MOD($B631,60)=PARAM!$B$56)*($B631&gt;(60-PARAM!$B$56))*HLOOKUP(($B631+PARAM!$B$56)/12,Loyalty,2)*$F$1*MAX(AL630,0)</f>
        <v>18.557001321003963</v>
      </c>
      <c r="AK631" s="75">
        <f>PARAM!$C$26+MAX($G$11-CHOOSE(PARAM!$B$44,MAX(0,AL630*$F$1),0),0)*RATES!$L607/12+$H$11*(PARAM!$D$51/12)*RATES!$N607/100</f>
        <v>302.41666666666669</v>
      </c>
      <c r="AL631" s="16">
        <f t="shared" si="421"/>
        <v>-30719.229226329149</v>
      </c>
      <c r="AM631" s="15">
        <f t="shared" si="396"/>
        <v>22.170849845882874</v>
      </c>
      <c r="AN631" s="75">
        <f>AM631*(1-PARAM!$C$27)*$I$12+(MOD($B631,60)=PARAM!$B$56)*($B631&gt;(60-PARAM!$B$56))*HLOOKUP(($B631+PARAM!$B$56)/12,Loyalty,2)*$F$1*MAX(AP630,0)</f>
        <v>18.557001321003963</v>
      </c>
      <c r="AO631" s="75">
        <f>PARAM!$C$26+MAX($G$12-CHOOSE(PARAM!$B$44,MAX(0,AP630*$F$1),0),0)*RATES!$L607/12+$H$12*(PARAM!$D$51/12)*RATES!$N607/100</f>
        <v>302.41666666666669</v>
      </c>
      <c r="AP631" s="16">
        <f t="shared" si="422"/>
        <v>-30719.229226329149</v>
      </c>
      <c r="AQ631" s="15">
        <f t="shared" si="397"/>
        <v>22.170849845882874</v>
      </c>
      <c r="AR631" s="75">
        <f>AQ631*(1-PARAM!$C$27)*$I$13+(MOD($B631,60)=PARAM!$B$56)*($B631&gt;(60-PARAM!$B$56))*HLOOKUP(($B631+PARAM!$B$56)/12,Loyalty,2)*$F$1*MAX(AT630,0)</f>
        <v>18.557001321003963</v>
      </c>
      <c r="AS631" s="75">
        <f>PARAM!$C$26+MAX($G$13-CHOOSE(PARAM!$B$44,MAX(0,AT630*$F$1),0),0)*RATES!$L607/12+$H$13*(PARAM!$D$51/12)*RATES!$N607/100</f>
        <v>302.41666666666669</v>
      </c>
      <c r="AT631" s="16">
        <f t="shared" si="423"/>
        <v>-30719.229226329149</v>
      </c>
      <c r="AU631" s="15">
        <f t="shared" si="398"/>
        <v>22.170849845882874</v>
      </c>
      <c r="AV631" s="75">
        <f>AU631*(1-PARAM!$C$27)*$I$14+(MOD($B631,60)=PARAM!$B$56)*($B631&gt;(60-PARAM!$B$56))*HLOOKUP(($B631+PARAM!$B$56)/12,Loyalty,2)*$F$1*MAX(AX630,0)</f>
        <v>18.557001321003963</v>
      </c>
      <c r="AW631" s="75">
        <f>PARAM!$C$26+MAX($G$14-CHOOSE(PARAM!$B$44,MAX(0,AX630*$F$1),0),0)*RATES!$L607/12+$H$14*(PARAM!$D$51/12)*RATES!$N607/100</f>
        <v>302.41666666666669</v>
      </c>
      <c r="AX631" s="16">
        <f t="shared" si="424"/>
        <v>-30719.229226329149</v>
      </c>
      <c r="AY631" s="15">
        <f t="shared" si="399"/>
        <v>22.170849845882874</v>
      </c>
      <c r="AZ631" s="75">
        <f>AY631*(1-PARAM!$C$27)*$I$15+(MOD($B631,60)=PARAM!$B$56)*($B631&gt;(60-PARAM!$B$56))*HLOOKUP(($B631+PARAM!$B$56)/12,Loyalty,2)*$F$1*MAX(BB630,0)</f>
        <v>18.557001321003963</v>
      </c>
      <c r="BA631" s="75">
        <f>PARAM!$C$26+MAX($G$15-CHOOSE(PARAM!$B$44,MAX(0,BB630*$F$1),0),0)*RATES!$L607/12+$H$15*(PARAM!$D$51/12)*RATES!$N607/100</f>
        <v>302.41666666666669</v>
      </c>
      <c r="BB631" s="16">
        <f t="shared" si="425"/>
        <v>-30719.229226329149</v>
      </c>
      <c r="BC631" s="15">
        <f t="shared" si="400"/>
        <v>22.170849845882874</v>
      </c>
      <c r="BD631" s="75">
        <f>BC631*(1-PARAM!$C$27)*$I$16+(MOD($B631,60)=PARAM!$B$56)*($B631&gt;(60-PARAM!$B$56))*HLOOKUP(($B631+PARAM!$B$56)/12,Loyalty,2)*$F$1*MAX(BF630,0)</f>
        <v>18.557001321003963</v>
      </c>
      <c r="BE631" s="75">
        <f>PARAM!$C$26+MAX($G$16-CHOOSE(PARAM!$B$44,MAX(0,BF630*$F$1),0),0)*RATES!$L607/12+$H$16*(PARAM!$D$51/12)*RATES!$N607/100</f>
        <v>302.41666666666669</v>
      </c>
      <c r="BF631" s="16">
        <f t="shared" si="426"/>
        <v>-30719.229226329149</v>
      </c>
      <c r="BG631" s="15">
        <f t="shared" si="401"/>
        <v>22.170849845882874</v>
      </c>
      <c r="BH631" s="75">
        <f>BG631*(1-PARAM!$C$27)*$I$17+(MOD($B631,60)=PARAM!$B$56)*($B631&gt;(60-PARAM!$B$56))*HLOOKUP(($B631+PARAM!$B$56)/12,Loyalty,2)*$F$1*MAX(BJ630,0)</f>
        <v>18.557001321003963</v>
      </c>
      <c r="BI631" s="75">
        <f>PARAM!$C$26+MAX($G$17-CHOOSE(PARAM!$B$44,MAX(0,BJ630*$F$1),0),0)*RATES!$L607/12+$H$17*(PARAM!$D$51/12)*RATES!$N607/100</f>
        <v>302.41666666666669</v>
      </c>
      <c r="BJ631" s="16">
        <f t="shared" si="427"/>
        <v>-30719.229226329149</v>
      </c>
      <c r="BK631" s="15">
        <f t="shared" si="402"/>
        <v>22.170849845882874</v>
      </c>
      <c r="BL631" s="75">
        <f>BK631*(1-PARAM!$C$27)*$I$18+(MOD($B631,60)=PARAM!$B$56)*($B631&gt;(60-PARAM!$B$56))*HLOOKUP(($B631+PARAM!$B$56)/12,Loyalty,2)*$F$1*MAX(BN630,0)</f>
        <v>18.557001321003963</v>
      </c>
      <c r="BM631" s="75">
        <f>PARAM!$C$26+MAX($G$18-CHOOSE(PARAM!$B$44,MAX(0,BN630*$F$1),0),0)*RATES!$L607/12+$H$18*(PARAM!$D$51/12)*RATES!$N607/100</f>
        <v>302.41666666666669</v>
      </c>
      <c r="BN631" s="16">
        <f t="shared" si="428"/>
        <v>-30719.229226329149</v>
      </c>
      <c r="BO631" s="15">
        <f t="shared" si="403"/>
        <v>22.170849845882874</v>
      </c>
      <c r="BP631" s="75">
        <f>BO631*(1-PARAM!$C$27)*$I$19+(MOD($B631,60)=PARAM!$B$56)*($B631&gt;(60-PARAM!$B$56))*HLOOKUP(($B631+PARAM!$B$56)/12,Loyalty,2)*$F$1*MAX(BR630,0)</f>
        <v>18.557001321003963</v>
      </c>
      <c r="BQ631" s="75">
        <f>PARAM!$C$26+MAX($G$19-CHOOSE(PARAM!$B$44,MAX(0,BR630*$F$1),0),0)*RATES!$L607/12+$H$19*(PARAM!$D$51/12)*RATES!$N607/100</f>
        <v>302.41666666666669</v>
      </c>
      <c r="BR631" s="16">
        <f t="shared" si="429"/>
        <v>-30719.229226329149</v>
      </c>
      <c r="BS631" s="15">
        <f t="shared" si="404"/>
        <v>22.170849845882874</v>
      </c>
      <c r="BT631" s="75">
        <f>BS631*(1-PARAM!$C$27)*$I$20+(MOD($B631,60)=PARAM!$B$56)*($B631&gt;(60-PARAM!$B$56))*HLOOKUP(($B631+PARAM!$B$56)/12,Loyalty,2)*$F$1*MAX(BV630,0)</f>
        <v>18.557001321003963</v>
      </c>
      <c r="BU631" s="75">
        <f>PARAM!$C$26+MAX($G$20-CHOOSE(PARAM!$B$44,MAX(0,BV630*$F$1),0),0)*RATES!$L607/12+$H$20*(PARAM!$D$51/12)*RATES!$N607/100</f>
        <v>302.41666666666669</v>
      </c>
      <c r="BV631" s="16">
        <f t="shared" si="430"/>
        <v>-30719.229226329149</v>
      </c>
      <c r="BW631" s="15">
        <f t="shared" si="405"/>
        <v>22.170849845882874</v>
      </c>
      <c r="BX631" s="75">
        <f>BW631*(1-PARAM!$C$27)*$I$21+(MOD($B631,60)=PARAM!$B$56)*($B631&gt;(60-PARAM!$B$56))*HLOOKUP(($B631+PARAM!$B$56)/12,Loyalty,2)*$F$1*MAX(BZ630,0)</f>
        <v>18.557001321003963</v>
      </c>
      <c r="BY631" s="75">
        <f>PARAM!$C$26+MAX($G$21-CHOOSE(PARAM!$B$44,MAX(0,BZ630*$F$1),0),0)*RATES!$L607/12+$H$21*(PARAM!$D$51/12)*RATES!$N607/100</f>
        <v>302.41666666666669</v>
      </c>
      <c r="BZ631" s="16">
        <f t="shared" si="431"/>
        <v>-30719.229226329149</v>
      </c>
      <c r="CA631" s="15">
        <f t="shared" si="406"/>
        <v>22.170849845882874</v>
      </c>
      <c r="CB631" s="75">
        <f>CA631*(1-PARAM!$C$27)*$I$22+(MOD($B631,60)=PARAM!$B$56)*($B631&gt;(60-PARAM!$B$56))*HLOOKUP(($B631+PARAM!$B$56)/12,Loyalty,2)*$F$1*MAX(CD630,0)</f>
        <v>18.557001321003963</v>
      </c>
      <c r="CC631" s="75">
        <f>PARAM!$C$26+MAX($G$22-CHOOSE(PARAM!$B$44,MAX(0,CD630*$F$1),0),0)*RATES!$L607/12+$H$22*(PARAM!$D$51/12)*RATES!$N607/100</f>
        <v>302.41666666666669</v>
      </c>
      <c r="CD631" s="16">
        <f t="shared" si="432"/>
        <v>-30719.229226329149</v>
      </c>
      <c r="CE631" s="33">
        <f>IF(0=MOD(B631,12/PARAM!$D$51),1,0)</f>
        <v>1</v>
      </c>
      <c r="CF631" s="15">
        <f t="shared" si="407"/>
        <v>0</v>
      </c>
      <c r="CG631" s="75">
        <f>CF631*(1-PARAM!$C$27)*$R$3+(MOD($B631/12,5)=0)*($B631&gt;60)*HLOOKUP($B631/12,Loyalty,2)*$F$1*MAX(CI630,0)</f>
        <v>0</v>
      </c>
      <c r="CH631" s="75">
        <f>PARAM!$C$26+MAX($P$3-CHOOSE(PARAM!$B$44,MAX(0,CI630*$F$1),0),0)*RATES!$L607/12+$Q$3*(PARAM!$D$51/12)*RATES!$N607/100</f>
        <v>302.41666666666669</v>
      </c>
      <c r="CI631" s="16">
        <f>IF(CI630&gt;0,CI630*PARAM!$C$53,CI630)+CG631-CH631</f>
        <v>-41808.083333333336</v>
      </c>
      <c r="CJ631" s="15">
        <f t="shared" si="433"/>
        <v>0</v>
      </c>
      <c r="CK631" s="75">
        <f>CJ631*(1-PARAM!$C$27)*$R$4+(MOD($B631/12,5)=0)*($B631&gt;60)*HLOOKUP($B631/12,Loyalty,2)*$F$1*MAX(CM630,0)</f>
        <v>0</v>
      </c>
      <c r="CL631" s="75">
        <f>PARAM!$C$26+MAX($P$4-CHOOSE(PARAM!$B$44,MAX(0,CM630*$F$1),0),0)*RATES!$L607/12+$Q$4*(PARAM!$D$51/12)*RATES!$N607/100</f>
        <v>302.41666666666669</v>
      </c>
      <c r="CM631" s="16">
        <f>IF(CM630&gt;0,CM630*PARAM!$C$53,CM630)+CK631-CL631</f>
        <v>-41808.083333333336</v>
      </c>
      <c r="CO631" s="176"/>
    </row>
    <row r="632" spans="1:93" x14ac:dyDescent="0.2">
      <c r="A632" t="b">
        <f t="shared" si="408"/>
        <v>0</v>
      </c>
      <c r="B632" s="33">
        <v>605</v>
      </c>
      <c r="C632" s="15">
        <f t="shared" si="409"/>
        <v>20.081305947392778</v>
      </c>
      <c r="D632" s="75">
        <f>C632*(1-PARAM!$C$27)*$I$3+(MOD($B632,60)=PARAM!$B$56)*($B632&gt;(60-PARAM!$B$56))*HLOOKUP(($B632+PARAM!$B$56)/12,Loyalty,2)*$F$1*MAX(F631,0)</f>
        <v>16.808053077967756</v>
      </c>
      <c r="E632" s="75">
        <f>PARAM!$C$26+MAX($G$3-CHOOSE(PARAM!$B$44,MAX(0,F631*$F$1),0),0)*RATES!$L608/12+$H$3*(PARAM!$D$51/12)*RATES!$N608/100</f>
        <v>302.41666666666669</v>
      </c>
      <c r="F632" s="16">
        <f t="shared" si="410"/>
        <v>-32098.053079233381</v>
      </c>
      <c r="G632" s="15">
        <f t="shared" si="411"/>
        <v>22.035289406060361</v>
      </c>
      <c r="H632" s="75">
        <f>G632*(1-PARAM!$C$27)*$I$4+(MOD($B632,60)=PARAM!$B$56)*($B632&gt;(60-PARAM!$B$56))*HLOOKUP(($B632+PARAM!$B$56)/12,Loyalty,2)*$F$1*MAX(J631,0)</f>
        <v>18.443537232872522</v>
      </c>
      <c r="I632" s="75">
        <f>PARAM!$C$26+MAX($G$4-CHOOSE(PARAM!$B$44,MAX(0,J631*$F$1),0),0)*RATES!$L608/12+$H$4*(PARAM!$D$51/12)*RATES!$N608/100</f>
        <v>302.41666666666669</v>
      </c>
      <c r="J632" s="16">
        <f t="shared" si="412"/>
        <v>-31074.75220139416</v>
      </c>
      <c r="K632" s="15">
        <f t="shared" si="413"/>
        <v>22.170849845882874</v>
      </c>
      <c r="L632" s="75">
        <f>K632*(1-PARAM!$C$27)*$I$5+(MOD($B632,60)=PARAM!$B$56)*($B632&gt;(60-PARAM!$B$56))*HLOOKUP(($B632+PARAM!$B$56)/12,Loyalty,2)*$F$1*MAX(N631,0)</f>
        <v>18.557001321003963</v>
      </c>
      <c r="M632" s="75">
        <f>PARAM!$C$26+MAX($G$5-CHOOSE(PARAM!$B$44,MAX(0,N631*$F$1),0),0)*RATES!$L608/12+$H$5*(PARAM!$D$51/12)*RATES!$N608/100</f>
        <v>302.41666666666669</v>
      </c>
      <c r="N632" s="16">
        <f t="shared" si="414"/>
        <v>-31003.088891674812</v>
      </c>
      <c r="O632" s="15">
        <f t="shared" si="415"/>
        <v>22.170849845882874</v>
      </c>
      <c r="P632" s="75">
        <f>O632*(1-PARAM!$C$27)*$I$6+(MOD($B632,60)=PARAM!$B$56)*($B632&gt;(60-PARAM!$B$56))*HLOOKUP(($B632+PARAM!$B$56)/12,Loyalty,2)*$F$1*MAX(R631,0)</f>
        <v>18.557001321003963</v>
      </c>
      <c r="Q632" s="75">
        <f>PARAM!$C$26+MAX($G$6-CHOOSE(PARAM!$B$44,MAX(0,R631*$F$1),0),0)*RATES!$L608/12+$H$6*(PARAM!$D$51/12)*RATES!$N608/100</f>
        <v>302.41666666666669</v>
      </c>
      <c r="R632" s="16">
        <f t="shared" si="416"/>
        <v>-31003.088891674812</v>
      </c>
      <c r="S632" s="15">
        <f t="shared" si="391"/>
        <v>22.170849845882874</v>
      </c>
      <c r="T632" s="75">
        <f>S632*(1-PARAM!$C$27)*$I$7+(MOD($B632,60)=PARAM!$B$56)*($B632&gt;(60-PARAM!$B$56))*HLOOKUP(($B632+PARAM!$B$56)/12,Loyalty,2)*$F$1*MAX(V631,0)</f>
        <v>18.557001321003963</v>
      </c>
      <c r="U632" s="75">
        <f>PARAM!$C$26+MAX($G$7-CHOOSE(PARAM!$B$44,MAX(0,V631*$F$1),0),0)*RATES!$L608/12+$H$7*(PARAM!$D$51/12)*RATES!$N608/100</f>
        <v>302.41666666666669</v>
      </c>
      <c r="V632" s="16">
        <f t="shared" si="417"/>
        <v>-31003.088891674812</v>
      </c>
      <c r="W632" s="15">
        <f t="shared" si="392"/>
        <v>22.170849845882874</v>
      </c>
      <c r="X632" s="75">
        <f>W632*(1-PARAM!$C$27)*$I$8+(MOD($B632,60)=PARAM!$B$56)*($B632&gt;(60-PARAM!$B$56))*HLOOKUP(($B632+PARAM!$B$56)/12,Loyalty,2)*$F$1*MAX(Z631,0)</f>
        <v>18.557001321003963</v>
      </c>
      <c r="Y632" s="75">
        <f>PARAM!$C$26+MAX($G$8-CHOOSE(PARAM!$B$44,MAX(0,Z631*$F$1),0),0)*RATES!$L608/12+$H$8*(PARAM!$D$51/12)*RATES!$N608/100</f>
        <v>302.41666666666669</v>
      </c>
      <c r="Z632" s="16">
        <f t="shared" si="418"/>
        <v>-31003.088891674812</v>
      </c>
      <c r="AA632" s="15">
        <f t="shared" si="393"/>
        <v>22.170849845882874</v>
      </c>
      <c r="AB632" s="75">
        <f>AA632*(1-PARAM!$C$27)*$I$9+(MOD($B632,60)=PARAM!$B$56)*($B632&gt;(60-PARAM!$B$56))*HLOOKUP(($B632+PARAM!$B$56)/12,Loyalty,2)*$F$1*MAX(AD631,0)</f>
        <v>18.557001321003963</v>
      </c>
      <c r="AC632" s="75">
        <f>PARAM!$C$26+MAX($G$9-CHOOSE(PARAM!$B$44,MAX(0,AD631*$F$1),0),0)*RATES!$L608/12+$H$9*(PARAM!$D$51/12)*RATES!$N608/100</f>
        <v>302.41666666666669</v>
      </c>
      <c r="AD632" s="16">
        <f t="shared" si="419"/>
        <v>-31003.088891674812</v>
      </c>
      <c r="AE632" s="15">
        <f t="shared" si="394"/>
        <v>22.170849845882874</v>
      </c>
      <c r="AF632" s="75">
        <f>AE632*(1-PARAM!$C$27)*$I$10+(MOD($B632,60)=PARAM!$B$56)*($B632&gt;(60-PARAM!$B$56))*HLOOKUP(($B632+PARAM!$B$56)/12,Loyalty,2)*$F$1*MAX(AH631,0)</f>
        <v>18.557001321003963</v>
      </c>
      <c r="AG632" s="75">
        <f>PARAM!$C$26+MAX($G$10-CHOOSE(PARAM!$B$44,MAX(0,AH631*$F$1),0),0)*RATES!$L608/12+$H$10*(PARAM!$D$51/12)*RATES!$N608/100</f>
        <v>302.41666666666669</v>
      </c>
      <c r="AH632" s="16">
        <f t="shared" si="420"/>
        <v>-31003.088891674812</v>
      </c>
      <c r="AI632" s="15">
        <f t="shared" si="395"/>
        <v>22.170849845882874</v>
      </c>
      <c r="AJ632" s="75">
        <f>AI632*(1-PARAM!$C$27)*$I$11+(MOD($B632,60)=PARAM!$B$56)*($B632&gt;(60-PARAM!$B$56))*HLOOKUP(($B632+PARAM!$B$56)/12,Loyalty,2)*$F$1*MAX(AL631,0)</f>
        <v>18.557001321003963</v>
      </c>
      <c r="AK632" s="75">
        <f>PARAM!$C$26+MAX($G$11-CHOOSE(PARAM!$B$44,MAX(0,AL631*$F$1),0),0)*RATES!$L608/12+$H$11*(PARAM!$D$51/12)*RATES!$N608/100</f>
        <v>302.41666666666669</v>
      </c>
      <c r="AL632" s="16">
        <f t="shared" si="421"/>
        <v>-31003.088891674812</v>
      </c>
      <c r="AM632" s="15">
        <f t="shared" si="396"/>
        <v>22.170849845882874</v>
      </c>
      <c r="AN632" s="75">
        <f>AM632*(1-PARAM!$C$27)*$I$12+(MOD($B632,60)=PARAM!$B$56)*($B632&gt;(60-PARAM!$B$56))*HLOOKUP(($B632+PARAM!$B$56)/12,Loyalty,2)*$F$1*MAX(AP631,0)</f>
        <v>18.557001321003963</v>
      </c>
      <c r="AO632" s="75">
        <f>PARAM!$C$26+MAX($G$12-CHOOSE(PARAM!$B$44,MAX(0,AP631*$F$1),0),0)*RATES!$L608/12+$H$12*(PARAM!$D$51/12)*RATES!$N608/100</f>
        <v>302.41666666666669</v>
      </c>
      <c r="AP632" s="16">
        <f t="shared" si="422"/>
        <v>-31003.088891674812</v>
      </c>
      <c r="AQ632" s="15">
        <f t="shared" si="397"/>
        <v>22.170849845882874</v>
      </c>
      <c r="AR632" s="75">
        <f>AQ632*(1-PARAM!$C$27)*$I$13+(MOD($B632,60)=PARAM!$B$56)*($B632&gt;(60-PARAM!$B$56))*HLOOKUP(($B632+PARAM!$B$56)/12,Loyalty,2)*$F$1*MAX(AT631,0)</f>
        <v>18.557001321003963</v>
      </c>
      <c r="AS632" s="75">
        <f>PARAM!$C$26+MAX($G$13-CHOOSE(PARAM!$B$44,MAX(0,AT631*$F$1),0),0)*RATES!$L608/12+$H$13*(PARAM!$D$51/12)*RATES!$N608/100</f>
        <v>302.41666666666669</v>
      </c>
      <c r="AT632" s="16">
        <f t="shared" si="423"/>
        <v>-31003.088891674812</v>
      </c>
      <c r="AU632" s="15">
        <f t="shared" si="398"/>
        <v>22.170849845882874</v>
      </c>
      <c r="AV632" s="75">
        <f>AU632*(1-PARAM!$C$27)*$I$14+(MOD($B632,60)=PARAM!$B$56)*($B632&gt;(60-PARAM!$B$56))*HLOOKUP(($B632+PARAM!$B$56)/12,Loyalty,2)*$F$1*MAX(AX631,0)</f>
        <v>18.557001321003963</v>
      </c>
      <c r="AW632" s="75">
        <f>PARAM!$C$26+MAX($G$14-CHOOSE(PARAM!$B$44,MAX(0,AX631*$F$1),0),0)*RATES!$L608/12+$H$14*(PARAM!$D$51/12)*RATES!$N608/100</f>
        <v>302.41666666666669</v>
      </c>
      <c r="AX632" s="16">
        <f t="shared" si="424"/>
        <v>-31003.088891674812</v>
      </c>
      <c r="AY632" s="15">
        <f t="shared" si="399"/>
        <v>22.170849845882874</v>
      </c>
      <c r="AZ632" s="75">
        <f>AY632*(1-PARAM!$C$27)*$I$15+(MOD($B632,60)=PARAM!$B$56)*($B632&gt;(60-PARAM!$B$56))*HLOOKUP(($B632+PARAM!$B$56)/12,Loyalty,2)*$F$1*MAX(BB631,0)</f>
        <v>18.557001321003963</v>
      </c>
      <c r="BA632" s="75">
        <f>PARAM!$C$26+MAX($G$15-CHOOSE(PARAM!$B$44,MAX(0,BB631*$F$1),0),0)*RATES!$L608/12+$H$15*(PARAM!$D$51/12)*RATES!$N608/100</f>
        <v>302.41666666666669</v>
      </c>
      <c r="BB632" s="16">
        <f t="shared" si="425"/>
        <v>-31003.088891674812</v>
      </c>
      <c r="BC632" s="15">
        <f t="shared" si="400"/>
        <v>22.170849845882874</v>
      </c>
      <c r="BD632" s="75">
        <f>BC632*(1-PARAM!$C$27)*$I$16+(MOD($B632,60)=PARAM!$B$56)*($B632&gt;(60-PARAM!$B$56))*HLOOKUP(($B632+PARAM!$B$56)/12,Loyalty,2)*$F$1*MAX(BF631,0)</f>
        <v>18.557001321003963</v>
      </c>
      <c r="BE632" s="75">
        <f>PARAM!$C$26+MAX($G$16-CHOOSE(PARAM!$B$44,MAX(0,BF631*$F$1),0),0)*RATES!$L608/12+$H$16*(PARAM!$D$51/12)*RATES!$N608/100</f>
        <v>302.41666666666669</v>
      </c>
      <c r="BF632" s="16">
        <f t="shared" si="426"/>
        <v>-31003.088891674812</v>
      </c>
      <c r="BG632" s="15">
        <f t="shared" si="401"/>
        <v>22.170849845882874</v>
      </c>
      <c r="BH632" s="75">
        <f>BG632*(1-PARAM!$C$27)*$I$17+(MOD($B632,60)=PARAM!$B$56)*($B632&gt;(60-PARAM!$B$56))*HLOOKUP(($B632+PARAM!$B$56)/12,Loyalty,2)*$F$1*MAX(BJ631,0)</f>
        <v>18.557001321003963</v>
      </c>
      <c r="BI632" s="75">
        <f>PARAM!$C$26+MAX($G$17-CHOOSE(PARAM!$B$44,MAX(0,BJ631*$F$1),0),0)*RATES!$L608/12+$H$17*(PARAM!$D$51/12)*RATES!$N608/100</f>
        <v>302.41666666666669</v>
      </c>
      <c r="BJ632" s="16">
        <f t="shared" si="427"/>
        <v>-31003.088891674812</v>
      </c>
      <c r="BK632" s="15">
        <f t="shared" si="402"/>
        <v>22.170849845882874</v>
      </c>
      <c r="BL632" s="75">
        <f>BK632*(1-PARAM!$C$27)*$I$18+(MOD($B632,60)=PARAM!$B$56)*($B632&gt;(60-PARAM!$B$56))*HLOOKUP(($B632+PARAM!$B$56)/12,Loyalty,2)*$F$1*MAX(BN631,0)</f>
        <v>18.557001321003963</v>
      </c>
      <c r="BM632" s="75">
        <f>PARAM!$C$26+MAX($G$18-CHOOSE(PARAM!$B$44,MAX(0,BN631*$F$1),0),0)*RATES!$L608/12+$H$18*(PARAM!$D$51/12)*RATES!$N608/100</f>
        <v>302.41666666666669</v>
      </c>
      <c r="BN632" s="16">
        <f t="shared" si="428"/>
        <v>-31003.088891674812</v>
      </c>
      <c r="BO632" s="15">
        <f t="shared" si="403"/>
        <v>22.170849845882874</v>
      </c>
      <c r="BP632" s="75">
        <f>BO632*(1-PARAM!$C$27)*$I$19+(MOD($B632,60)=PARAM!$B$56)*($B632&gt;(60-PARAM!$B$56))*HLOOKUP(($B632+PARAM!$B$56)/12,Loyalty,2)*$F$1*MAX(BR631,0)</f>
        <v>18.557001321003963</v>
      </c>
      <c r="BQ632" s="75">
        <f>PARAM!$C$26+MAX($G$19-CHOOSE(PARAM!$B$44,MAX(0,BR631*$F$1),0),0)*RATES!$L608/12+$H$19*(PARAM!$D$51/12)*RATES!$N608/100</f>
        <v>302.41666666666669</v>
      </c>
      <c r="BR632" s="16">
        <f t="shared" si="429"/>
        <v>-31003.088891674812</v>
      </c>
      <c r="BS632" s="15">
        <f t="shared" si="404"/>
        <v>22.170849845882874</v>
      </c>
      <c r="BT632" s="75">
        <f>BS632*(1-PARAM!$C$27)*$I$20+(MOD($B632,60)=PARAM!$B$56)*($B632&gt;(60-PARAM!$B$56))*HLOOKUP(($B632+PARAM!$B$56)/12,Loyalty,2)*$F$1*MAX(BV631,0)</f>
        <v>18.557001321003963</v>
      </c>
      <c r="BU632" s="75">
        <f>PARAM!$C$26+MAX($G$20-CHOOSE(PARAM!$B$44,MAX(0,BV631*$F$1),0),0)*RATES!$L608/12+$H$20*(PARAM!$D$51/12)*RATES!$N608/100</f>
        <v>302.41666666666669</v>
      </c>
      <c r="BV632" s="16">
        <f t="shared" si="430"/>
        <v>-31003.088891674812</v>
      </c>
      <c r="BW632" s="15">
        <f t="shared" si="405"/>
        <v>22.170849845882874</v>
      </c>
      <c r="BX632" s="75">
        <f>BW632*(1-PARAM!$C$27)*$I$21+(MOD($B632,60)=PARAM!$B$56)*($B632&gt;(60-PARAM!$B$56))*HLOOKUP(($B632+PARAM!$B$56)/12,Loyalty,2)*$F$1*MAX(BZ631,0)</f>
        <v>18.557001321003963</v>
      </c>
      <c r="BY632" s="75">
        <f>PARAM!$C$26+MAX($G$21-CHOOSE(PARAM!$B$44,MAX(0,BZ631*$F$1),0),0)*RATES!$L608/12+$H$21*(PARAM!$D$51/12)*RATES!$N608/100</f>
        <v>302.41666666666669</v>
      </c>
      <c r="BZ632" s="16">
        <f t="shared" si="431"/>
        <v>-31003.088891674812</v>
      </c>
      <c r="CA632" s="15">
        <f t="shared" si="406"/>
        <v>22.170849845882874</v>
      </c>
      <c r="CB632" s="75">
        <f>CA632*(1-PARAM!$C$27)*$I$22+(MOD($B632,60)=PARAM!$B$56)*($B632&gt;(60-PARAM!$B$56))*HLOOKUP(($B632+PARAM!$B$56)/12,Loyalty,2)*$F$1*MAX(CD631,0)</f>
        <v>18.557001321003963</v>
      </c>
      <c r="CC632" s="75">
        <f>PARAM!$C$26+MAX($G$22-CHOOSE(PARAM!$B$44,MAX(0,CD631*$F$1),0),0)*RATES!$L608/12+$H$22*(PARAM!$D$51/12)*RATES!$N608/100</f>
        <v>302.41666666666669</v>
      </c>
      <c r="CD632" s="16">
        <f t="shared" si="432"/>
        <v>-31003.088891674812</v>
      </c>
      <c r="CE632" s="33">
        <f>IF(0=MOD(B632,12/PARAM!$D$51),1,0)</f>
        <v>1</v>
      </c>
      <c r="CF632" s="15">
        <f t="shared" si="407"/>
        <v>0</v>
      </c>
      <c r="CG632" s="75">
        <f>CF632*(1-PARAM!$C$27)*$R$3+(MOD($B632/12,5)=0)*($B632&gt;60)*HLOOKUP($B632/12,Loyalty,2)*$F$1*MAX(CI631,0)</f>
        <v>0</v>
      </c>
      <c r="CH632" s="75">
        <f>PARAM!$C$26+MAX($P$3-CHOOSE(PARAM!$B$44,MAX(0,CI631*$F$1),0),0)*RATES!$L608/12+$Q$3*(PARAM!$D$51/12)*RATES!$N608/100</f>
        <v>302.41666666666669</v>
      </c>
      <c r="CI632" s="16">
        <f>IF(CI631&gt;0,CI631*PARAM!$C$53,CI631)+CG632-CH632</f>
        <v>-42110.5</v>
      </c>
      <c r="CJ632" s="15">
        <f t="shared" si="433"/>
        <v>0</v>
      </c>
      <c r="CK632" s="75">
        <f>CJ632*(1-PARAM!$C$27)*$R$4+(MOD($B632/12,5)=0)*($B632&gt;60)*HLOOKUP($B632/12,Loyalty,2)*$F$1*MAX(CM631,0)</f>
        <v>0</v>
      </c>
      <c r="CL632" s="75">
        <f>PARAM!$C$26+MAX($P$4-CHOOSE(PARAM!$B$44,MAX(0,CM631*$F$1),0),0)*RATES!$L608/12+$Q$4*(PARAM!$D$51/12)*RATES!$N608/100</f>
        <v>302.41666666666669</v>
      </c>
      <c r="CM632" s="16">
        <f>IF(CM631&gt;0,CM631*PARAM!$C$53,CM631)+CK632-CL632</f>
        <v>-42110.5</v>
      </c>
      <c r="CO632" s="176"/>
    </row>
    <row r="633" spans="1:93" x14ac:dyDescent="0.2">
      <c r="A633" t="b">
        <f t="shared" si="408"/>
        <v>0</v>
      </c>
      <c r="B633" s="33">
        <v>606</v>
      </c>
      <c r="C633" s="15">
        <f t="shared" si="409"/>
        <v>20.081305947392778</v>
      </c>
      <c r="D633" s="75">
        <f>C633*(1-PARAM!$C$27)*$I$3+(MOD($B633,60)=PARAM!$B$56)*($B633&gt;(60-PARAM!$B$56))*HLOOKUP(($B633+PARAM!$B$56)/12,Loyalty,2)*$F$1*MAX(F632,0)</f>
        <v>16.808053077967756</v>
      </c>
      <c r="E633" s="75">
        <f>PARAM!$C$26+MAX($G$3-CHOOSE(PARAM!$B$44,MAX(0,F632*$F$1),0),0)*RATES!$L609/12+$H$3*(PARAM!$D$51/12)*RATES!$N609/100</f>
        <v>330.37500000000006</v>
      </c>
      <c r="F633" s="16">
        <f t="shared" si="410"/>
        <v>-32411.620026155415</v>
      </c>
      <c r="G633" s="15">
        <f t="shared" si="411"/>
        <v>22.035289406060361</v>
      </c>
      <c r="H633" s="75">
        <f>G633*(1-PARAM!$C$27)*$I$4+(MOD($B633,60)=PARAM!$B$56)*($B633&gt;(60-PARAM!$B$56))*HLOOKUP(($B633+PARAM!$B$56)/12,Loyalty,2)*$F$1*MAX(J632,0)</f>
        <v>18.443537232872522</v>
      </c>
      <c r="I633" s="75">
        <f>PARAM!$C$26+MAX($G$4-CHOOSE(PARAM!$B$44,MAX(0,J632*$F$1),0),0)*RATES!$L609/12+$H$4*(PARAM!$D$51/12)*RATES!$N609/100</f>
        <v>330.37500000000006</v>
      </c>
      <c r="J633" s="16">
        <f t="shared" si="412"/>
        <v>-31386.683664161286</v>
      </c>
      <c r="K633" s="15">
        <f t="shared" si="413"/>
        <v>22.170849845882874</v>
      </c>
      <c r="L633" s="75">
        <f>K633*(1-PARAM!$C$27)*$I$5+(MOD($B633,60)=PARAM!$B$56)*($B633&gt;(60-PARAM!$B$56))*HLOOKUP(($B633+PARAM!$B$56)/12,Loyalty,2)*$F$1*MAX(N632,0)</f>
        <v>18.557001321003963</v>
      </c>
      <c r="M633" s="75">
        <f>PARAM!$C$26+MAX($G$5-CHOOSE(PARAM!$B$44,MAX(0,N632*$F$1),0),0)*RATES!$L609/12+$H$5*(PARAM!$D$51/12)*RATES!$N609/100</f>
        <v>330.37500000000006</v>
      </c>
      <c r="N633" s="16">
        <f t="shared" si="414"/>
        <v>-31314.906890353806</v>
      </c>
      <c r="O633" s="15">
        <f t="shared" si="415"/>
        <v>22.170849845882874</v>
      </c>
      <c r="P633" s="75">
        <f>O633*(1-PARAM!$C$27)*$I$6+(MOD($B633,60)=PARAM!$B$56)*($B633&gt;(60-PARAM!$B$56))*HLOOKUP(($B633+PARAM!$B$56)/12,Loyalty,2)*$F$1*MAX(R632,0)</f>
        <v>18.557001321003963</v>
      </c>
      <c r="Q633" s="75">
        <f>PARAM!$C$26+MAX($G$6-CHOOSE(PARAM!$B$44,MAX(0,R632*$F$1),0),0)*RATES!$L609/12+$H$6*(PARAM!$D$51/12)*RATES!$N609/100</f>
        <v>330.37500000000006</v>
      </c>
      <c r="R633" s="16">
        <f t="shared" si="416"/>
        <v>-31314.906890353806</v>
      </c>
      <c r="S633" s="15">
        <f t="shared" si="391"/>
        <v>22.170849845882874</v>
      </c>
      <c r="T633" s="75">
        <f>S633*(1-PARAM!$C$27)*$I$7+(MOD($B633,60)=PARAM!$B$56)*($B633&gt;(60-PARAM!$B$56))*HLOOKUP(($B633+PARAM!$B$56)/12,Loyalty,2)*$F$1*MAX(V632,0)</f>
        <v>18.557001321003963</v>
      </c>
      <c r="U633" s="75">
        <f>PARAM!$C$26+MAX($G$7-CHOOSE(PARAM!$B$44,MAX(0,V632*$F$1),0),0)*RATES!$L609/12+$H$7*(PARAM!$D$51/12)*RATES!$N609/100</f>
        <v>330.37500000000006</v>
      </c>
      <c r="V633" s="16">
        <f t="shared" si="417"/>
        <v>-31314.906890353806</v>
      </c>
      <c r="W633" s="15">
        <f t="shared" si="392"/>
        <v>22.170849845882874</v>
      </c>
      <c r="X633" s="75">
        <f>W633*(1-PARAM!$C$27)*$I$8+(MOD($B633,60)=PARAM!$B$56)*($B633&gt;(60-PARAM!$B$56))*HLOOKUP(($B633+PARAM!$B$56)/12,Loyalty,2)*$F$1*MAX(Z632,0)</f>
        <v>18.557001321003963</v>
      </c>
      <c r="Y633" s="75">
        <f>PARAM!$C$26+MAX($G$8-CHOOSE(PARAM!$B$44,MAX(0,Z632*$F$1),0),0)*RATES!$L609/12+$H$8*(PARAM!$D$51/12)*RATES!$N609/100</f>
        <v>330.37500000000006</v>
      </c>
      <c r="Z633" s="16">
        <f t="shared" si="418"/>
        <v>-31314.906890353806</v>
      </c>
      <c r="AA633" s="15">
        <f t="shared" si="393"/>
        <v>22.170849845882874</v>
      </c>
      <c r="AB633" s="75">
        <f>AA633*(1-PARAM!$C$27)*$I$9+(MOD($B633,60)=PARAM!$B$56)*($B633&gt;(60-PARAM!$B$56))*HLOOKUP(($B633+PARAM!$B$56)/12,Loyalty,2)*$F$1*MAX(AD632,0)</f>
        <v>18.557001321003963</v>
      </c>
      <c r="AC633" s="75">
        <f>PARAM!$C$26+MAX($G$9-CHOOSE(PARAM!$B$44,MAX(0,AD632*$F$1),0),0)*RATES!$L609/12+$H$9*(PARAM!$D$51/12)*RATES!$N609/100</f>
        <v>330.37500000000006</v>
      </c>
      <c r="AD633" s="16">
        <f t="shared" si="419"/>
        <v>-31314.906890353806</v>
      </c>
      <c r="AE633" s="15">
        <f t="shared" si="394"/>
        <v>22.170849845882874</v>
      </c>
      <c r="AF633" s="75">
        <f>AE633*(1-PARAM!$C$27)*$I$10+(MOD($B633,60)=PARAM!$B$56)*($B633&gt;(60-PARAM!$B$56))*HLOOKUP(($B633+PARAM!$B$56)/12,Loyalty,2)*$F$1*MAX(AH632,0)</f>
        <v>18.557001321003963</v>
      </c>
      <c r="AG633" s="75">
        <f>PARAM!$C$26+MAX($G$10-CHOOSE(PARAM!$B$44,MAX(0,AH632*$F$1),0),0)*RATES!$L609/12+$H$10*(PARAM!$D$51/12)*RATES!$N609/100</f>
        <v>330.37500000000006</v>
      </c>
      <c r="AH633" s="16">
        <f t="shared" si="420"/>
        <v>-31314.906890353806</v>
      </c>
      <c r="AI633" s="15">
        <f t="shared" si="395"/>
        <v>22.170849845882874</v>
      </c>
      <c r="AJ633" s="75">
        <f>AI633*(1-PARAM!$C$27)*$I$11+(MOD($B633,60)=PARAM!$B$56)*($B633&gt;(60-PARAM!$B$56))*HLOOKUP(($B633+PARAM!$B$56)/12,Loyalty,2)*$F$1*MAX(AL632,0)</f>
        <v>18.557001321003963</v>
      </c>
      <c r="AK633" s="75">
        <f>PARAM!$C$26+MAX($G$11-CHOOSE(PARAM!$B$44,MAX(0,AL632*$F$1),0),0)*RATES!$L609/12+$H$11*(PARAM!$D$51/12)*RATES!$N609/100</f>
        <v>330.37500000000006</v>
      </c>
      <c r="AL633" s="16">
        <f t="shared" si="421"/>
        <v>-31314.906890353806</v>
      </c>
      <c r="AM633" s="15">
        <f t="shared" si="396"/>
        <v>22.170849845882874</v>
      </c>
      <c r="AN633" s="75">
        <f>AM633*(1-PARAM!$C$27)*$I$12+(MOD($B633,60)=PARAM!$B$56)*($B633&gt;(60-PARAM!$B$56))*HLOOKUP(($B633+PARAM!$B$56)/12,Loyalty,2)*$F$1*MAX(AP632,0)</f>
        <v>18.557001321003963</v>
      </c>
      <c r="AO633" s="75">
        <f>PARAM!$C$26+MAX($G$12-CHOOSE(PARAM!$B$44,MAX(0,AP632*$F$1),0),0)*RATES!$L609/12+$H$12*(PARAM!$D$51/12)*RATES!$N609/100</f>
        <v>330.37500000000006</v>
      </c>
      <c r="AP633" s="16">
        <f t="shared" si="422"/>
        <v>-31314.906890353806</v>
      </c>
      <c r="AQ633" s="15">
        <f t="shared" si="397"/>
        <v>22.170849845882874</v>
      </c>
      <c r="AR633" s="75">
        <f>AQ633*(1-PARAM!$C$27)*$I$13+(MOD($B633,60)=PARAM!$B$56)*($B633&gt;(60-PARAM!$B$56))*HLOOKUP(($B633+PARAM!$B$56)/12,Loyalty,2)*$F$1*MAX(AT632,0)</f>
        <v>18.557001321003963</v>
      </c>
      <c r="AS633" s="75">
        <f>PARAM!$C$26+MAX($G$13-CHOOSE(PARAM!$B$44,MAX(0,AT632*$F$1),0),0)*RATES!$L609/12+$H$13*(PARAM!$D$51/12)*RATES!$N609/100</f>
        <v>330.37500000000006</v>
      </c>
      <c r="AT633" s="16">
        <f t="shared" si="423"/>
        <v>-31314.906890353806</v>
      </c>
      <c r="AU633" s="15">
        <f t="shared" si="398"/>
        <v>22.170849845882874</v>
      </c>
      <c r="AV633" s="75">
        <f>AU633*(1-PARAM!$C$27)*$I$14+(MOD($B633,60)=PARAM!$B$56)*($B633&gt;(60-PARAM!$B$56))*HLOOKUP(($B633+PARAM!$B$56)/12,Loyalty,2)*$F$1*MAX(AX632,0)</f>
        <v>18.557001321003963</v>
      </c>
      <c r="AW633" s="75">
        <f>PARAM!$C$26+MAX($G$14-CHOOSE(PARAM!$B$44,MAX(0,AX632*$F$1),0),0)*RATES!$L609/12+$H$14*(PARAM!$D$51/12)*RATES!$N609/100</f>
        <v>330.37500000000006</v>
      </c>
      <c r="AX633" s="16">
        <f t="shared" si="424"/>
        <v>-31314.906890353806</v>
      </c>
      <c r="AY633" s="15">
        <f t="shared" si="399"/>
        <v>22.170849845882874</v>
      </c>
      <c r="AZ633" s="75">
        <f>AY633*(1-PARAM!$C$27)*$I$15+(MOD($B633,60)=PARAM!$B$56)*($B633&gt;(60-PARAM!$B$56))*HLOOKUP(($B633+PARAM!$B$56)/12,Loyalty,2)*$F$1*MAX(BB632,0)</f>
        <v>18.557001321003963</v>
      </c>
      <c r="BA633" s="75">
        <f>PARAM!$C$26+MAX($G$15-CHOOSE(PARAM!$B$44,MAX(0,BB632*$F$1),0),0)*RATES!$L609/12+$H$15*(PARAM!$D$51/12)*RATES!$N609/100</f>
        <v>330.37500000000006</v>
      </c>
      <c r="BB633" s="16">
        <f t="shared" si="425"/>
        <v>-31314.906890353806</v>
      </c>
      <c r="BC633" s="15">
        <f t="shared" si="400"/>
        <v>22.170849845882874</v>
      </c>
      <c r="BD633" s="75">
        <f>BC633*(1-PARAM!$C$27)*$I$16+(MOD($B633,60)=PARAM!$B$56)*($B633&gt;(60-PARAM!$B$56))*HLOOKUP(($B633+PARAM!$B$56)/12,Loyalty,2)*$F$1*MAX(BF632,0)</f>
        <v>18.557001321003963</v>
      </c>
      <c r="BE633" s="75">
        <f>PARAM!$C$26+MAX($G$16-CHOOSE(PARAM!$B$44,MAX(0,BF632*$F$1),0),0)*RATES!$L609/12+$H$16*(PARAM!$D$51/12)*RATES!$N609/100</f>
        <v>330.37500000000006</v>
      </c>
      <c r="BF633" s="16">
        <f t="shared" si="426"/>
        <v>-31314.906890353806</v>
      </c>
      <c r="BG633" s="15">
        <f t="shared" si="401"/>
        <v>22.170849845882874</v>
      </c>
      <c r="BH633" s="75">
        <f>BG633*(1-PARAM!$C$27)*$I$17+(MOD($B633,60)=PARAM!$B$56)*($B633&gt;(60-PARAM!$B$56))*HLOOKUP(($B633+PARAM!$B$56)/12,Loyalty,2)*$F$1*MAX(BJ632,0)</f>
        <v>18.557001321003963</v>
      </c>
      <c r="BI633" s="75">
        <f>PARAM!$C$26+MAX($G$17-CHOOSE(PARAM!$B$44,MAX(0,BJ632*$F$1),0),0)*RATES!$L609/12+$H$17*(PARAM!$D$51/12)*RATES!$N609/100</f>
        <v>330.37500000000006</v>
      </c>
      <c r="BJ633" s="16">
        <f t="shared" si="427"/>
        <v>-31314.906890353806</v>
      </c>
      <c r="BK633" s="15">
        <f t="shared" si="402"/>
        <v>22.170849845882874</v>
      </c>
      <c r="BL633" s="75">
        <f>BK633*(1-PARAM!$C$27)*$I$18+(MOD($B633,60)=PARAM!$B$56)*($B633&gt;(60-PARAM!$B$56))*HLOOKUP(($B633+PARAM!$B$56)/12,Loyalty,2)*$F$1*MAX(BN632,0)</f>
        <v>18.557001321003963</v>
      </c>
      <c r="BM633" s="75">
        <f>PARAM!$C$26+MAX($G$18-CHOOSE(PARAM!$B$44,MAX(0,BN632*$F$1),0),0)*RATES!$L609/12+$H$18*(PARAM!$D$51/12)*RATES!$N609/100</f>
        <v>330.37500000000006</v>
      </c>
      <c r="BN633" s="16">
        <f t="shared" si="428"/>
        <v>-31314.906890353806</v>
      </c>
      <c r="BO633" s="15">
        <f t="shared" si="403"/>
        <v>22.170849845882874</v>
      </c>
      <c r="BP633" s="75">
        <f>BO633*(1-PARAM!$C$27)*$I$19+(MOD($B633,60)=PARAM!$B$56)*($B633&gt;(60-PARAM!$B$56))*HLOOKUP(($B633+PARAM!$B$56)/12,Loyalty,2)*$F$1*MAX(BR632,0)</f>
        <v>18.557001321003963</v>
      </c>
      <c r="BQ633" s="75">
        <f>PARAM!$C$26+MAX($G$19-CHOOSE(PARAM!$B$44,MAX(0,BR632*$F$1),0),0)*RATES!$L609/12+$H$19*(PARAM!$D$51/12)*RATES!$N609/100</f>
        <v>330.37500000000006</v>
      </c>
      <c r="BR633" s="16">
        <f t="shared" si="429"/>
        <v>-31314.906890353806</v>
      </c>
      <c r="BS633" s="15">
        <f t="shared" si="404"/>
        <v>22.170849845882874</v>
      </c>
      <c r="BT633" s="75">
        <f>BS633*(1-PARAM!$C$27)*$I$20+(MOD($B633,60)=PARAM!$B$56)*($B633&gt;(60-PARAM!$B$56))*HLOOKUP(($B633+PARAM!$B$56)/12,Loyalty,2)*$F$1*MAX(BV632,0)</f>
        <v>18.557001321003963</v>
      </c>
      <c r="BU633" s="75">
        <f>PARAM!$C$26+MAX($G$20-CHOOSE(PARAM!$B$44,MAX(0,BV632*$F$1),0),0)*RATES!$L609/12+$H$20*(PARAM!$D$51/12)*RATES!$N609/100</f>
        <v>330.37500000000006</v>
      </c>
      <c r="BV633" s="16">
        <f t="shared" si="430"/>
        <v>-31314.906890353806</v>
      </c>
      <c r="BW633" s="15">
        <f t="shared" si="405"/>
        <v>22.170849845882874</v>
      </c>
      <c r="BX633" s="75">
        <f>BW633*(1-PARAM!$C$27)*$I$21+(MOD($B633,60)=PARAM!$B$56)*($B633&gt;(60-PARAM!$B$56))*HLOOKUP(($B633+PARAM!$B$56)/12,Loyalty,2)*$F$1*MAX(BZ632,0)</f>
        <v>18.557001321003963</v>
      </c>
      <c r="BY633" s="75">
        <f>PARAM!$C$26+MAX($G$21-CHOOSE(PARAM!$B$44,MAX(0,BZ632*$F$1),0),0)*RATES!$L609/12+$H$21*(PARAM!$D$51/12)*RATES!$N609/100</f>
        <v>330.37500000000006</v>
      </c>
      <c r="BZ633" s="16">
        <f t="shared" si="431"/>
        <v>-31314.906890353806</v>
      </c>
      <c r="CA633" s="15">
        <f t="shared" si="406"/>
        <v>22.170849845882874</v>
      </c>
      <c r="CB633" s="75">
        <f>CA633*(1-PARAM!$C$27)*$I$22+(MOD($B633,60)=PARAM!$B$56)*($B633&gt;(60-PARAM!$B$56))*HLOOKUP(($B633+PARAM!$B$56)/12,Loyalty,2)*$F$1*MAX(CD632,0)</f>
        <v>18.557001321003963</v>
      </c>
      <c r="CC633" s="75">
        <f>PARAM!$C$26+MAX($G$22-CHOOSE(PARAM!$B$44,MAX(0,CD632*$F$1),0),0)*RATES!$L609/12+$H$22*(PARAM!$D$51/12)*RATES!$N609/100</f>
        <v>330.37500000000006</v>
      </c>
      <c r="CD633" s="16">
        <f t="shared" si="432"/>
        <v>-31314.906890353806</v>
      </c>
      <c r="CE633" s="33">
        <f>IF(0=MOD(B633,12/PARAM!$D$51),1,0)</f>
        <v>1</v>
      </c>
      <c r="CF633" s="15">
        <f t="shared" si="407"/>
        <v>0</v>
      </c>
      <c r="CG633" s="75">
        <f>CF633*(1-PARAM!$C$27)*$R$3+(MOD($B633/12,5)=0)*($B633&gt;60)*HLOOKUP($B633/12,Loyalty,2)*$F$1*MAX(CI632,0)</f>
        <v>0</v>
      </c>
      <c r="CH633" s="75">
        <f>PARAM!$C$26+MAX($P$3-CHOOSE(PARAM!$B$44,MAX(0,CI632*$F$1),0),0)*RATES!$L609/12+$Q$3*(PARAM!$D$51/12)*RATES!$N609/100</f>
        <v>330.37500000000006</v>
      </c>
      <c r="CI633" s="16">
        <f>IF(CI632&gt;0,CI632*PARAM!$C$53,CI632)+CG633-CH633</f>
        <v>-42440.875</v>
      </c>
      <c r="CJ633" s="15">
        <f t="shared" si="433"/>
        <v>0</v>
      </c>
      <c r="CK633" s="75">
        <f>CJ633*(1-PARAM!$C$27)*$R$4+(MOD($B633/12,5)=0)*($B633&gt;60)*HLOOKUP($B633/12,Loyalty,2)*$F$1*MAX(CM632,0)</f>
        <v>0</v>
      </c>
      <c r="CL633" s="75">
        <f>PARAM!$C$26+MAX($P$4-CHOOSE(PARAM!$B$44,MAX(0,CM632*$F$1),0),0)*RATES!$L609/12+$Q$4*(PARAM!$D$51/12)*RATES!$N609/100</f>
        <v>330.37500000000006</v>
      </c>
      <c r="CM633" s="16">
        <f>IF(CM632&gt;0,CM632*PARAM!$C$53,CM632)+CK633-CL633</f>
        <v>-42440.875</v>
      </c>
      <c r="CO633" s="176"/>
    </row>
    <row r="634" spans="1:93" x14ac:dyDescent="0.2">
      <c r="A634" t="b">
        <f t="shared" si="408"/>
        <v>0</v>
      </c>
      <c r="B634" s="33">
        <v>607</v>
      </c>
      <c r="C634" s="15">
        <f t="shared" si="409"/>
        <v>20.081305947392778</v>
      </c>
      <c r="D634" s="75">
        <f>C634*(1-PARAM!$C$27)*$I$3+(MOD($B634,60)=PARAM!$B$56)*($B634&gt;(60-PARAM!$B$56))*HLOOKUP(($B634+PARAM!$B$56)/12,Loyalty,2)*$F$1*MAX(F633,0)</f>
        <v>16.808053077967756</v>
      </c>
      <c r="E634" s="75">
        <f>PARAM!$C$26+MAX($G$3-CHOOSE(PARAM!$B$44,MAX(0,F633*$F$1),0),0)*RATES!$L610/12+$H$3*(PARAM!$D$51/12)*RATES!$N610/100</f>
        <v>330.37500000000006</v>
      </c>
      <c r="F634" s="16">
        <f t="shared" si="410"/>
        <v>-32725.186973077449</v>
      </c>
      <c r="G634" s="15">
        <f t="shared" si="411"/>
        <v>22.035289406060361</v>
      </c>
      <c r="H634" s="75">
        <f>G634*(1-PARAM!$C$27)*$I$4+(MOD($B634,60)=PARAM!$B$56)*($B634&gt;(60-PARAM!$B$56))*HLOOKUP(($B634+PARAM!$B$56)/12,Loyalty,2)*$F$1*MAX(J633,0)</f>
        <v>18.443537232872522</v>
      </c>
      <c r="I634" s="75">
        <f>PARAM!$C$26+MAX($G$4-CHOOSE(PARAM!$B$44,MAX(0,J633*$F$1),0),0)*RATES!$L610/12+$H$4*(PARAM!$D$51/12)*RATES!$N610/100</f>
        <v>330.37500000000006</v>
      </c>
      <c r="J634" s="16">
        <f t="shared" si="412"/>
        <v>-31698.615126928413</v>
      </c>
      <c r="K634" s="15">
        <f t="shared" si="413"/>
        <v>22.170849845882874</v>
      </c>
      <c r="L634" s="75">
        <f>K634*(1-PARAM!$C$27)*$I$5+(MOD($B634,60)=PARAM!$B$56)*($B634&gt;(60-PARAM!$B$56))*HLOOKUP(($B634+PARAM!$B$56)/12,Loyalty,2)*$F$1*MAX(N633,0)</f>
        <v>18.557001321003963</v>
      </c>
      <c r="M634" s="75">
        <f>PARAM!$C$26+MAX($G$5-CHOOSE(PARAM!$B$44,MAX(0,N633*$F$1),0),0)*RATES!$L610/12+$H$5*(PARAM!$D$51/12)*RATES!$N610/100</f>
        <v>330.37500000000006</v>
      </c>
      <c r="N634" s="16">
        <f t="shared" si="414"/>
        <v>-31626.724889032801</v>
      </c>
      <c r="O634" s="15">
        <f t="shared" si="415"/>
        <v>22.170849845882874</v>
      </c>
      <c r="P634" s="75">
        <f>O634*(1-PARAM!$C$27)*$I$6+(MOD($B634,60)=PARAM!$B$56)*($B634&gt;(60-PARAM!$B$56))*HLOOKUP(($B634+PARAM!$B$56)/12,Loyalty,2)*$F$1*MAX(R633,0)</f>
        <v>18.557001321003963</v>
      </c>
      <c r="Q634" s="75">
        <f>PARAM!$C$26+MAX($G$6-CHOOSE(PARAM!$B$44,MAX(0,R633*$F$1),0),0)*RATES!$L610/12+$H$6*(PARAM!$D$51/12)*RATES!$N610/100</f>
        <v>330.37500000000006</v>
      </c>
      <c r="R634" s="16">
        <f t="shared" si="416"/>
        <v>-31626.724889032801</v>
      </c>
      <c r="S634" s="15">
        <f t="shared" si="391"/>
        <v>22.170849845882874</v>
      </c>
      <c r="T634" s="75">
        <f>S634*(1-PARAM!$C$27)*$I$7+(MOD($B634,60)=PARAM!$B$56)*($B634&gt;(60-PARAM!$B$56))*HLOOKUP(($B634+PARAM!$B$56)/12,Loyalty,2)*$F$1*MAX(V633,0)</f>
        <v>18.557001321003963</v>
      </c>
      <c r="U634" s="75">
        <f>PARAM!$C$26+MAX($G$7-CHOOSE(PARAM!$B$44,MAX(0,V633*$F$1),0),0)*RATES!$L610/12+$H$7*(PARAM!$D$51/12)*RATES!$N610/100</f>
        <v>330.37500000000006</v>
      </c>
      <c r="V634" s="16">
        <f t="shared" si="417"/>
        <v>-31626.724889032801</v>
      </c>
      <c r="W634" s="15">
        <f t="shared" si="392"/>
        <v>22.170849845882874</v>
      </c>
      <c r="X634" s="75">
        <f>W634*(1-PARAM!$C$27)*$I$8+(MOD($B634,60)=PARAM!$B$56)*($B634&gt;(60-PARAM!$B$56))*HLOOKUP(($B634+PARAM!$B$56)/12,Loyalty,2)*$F$1*MAX(Z633,0)</f>
        <v>18.557001321003963</v>
      </c>
      <c r="Y634" s="75">
        <f>PARAM!$C$26+MAX($G$8-CHOOSE(PARAM!$B$44,MAX(0,Z633*$F$1),0),0)*RATES!$L610/12+$H$8*(PARAM!$D$51/12)*RATES!$N610/100</f>
        <v>330.37500000000006</v>
      </c>
      <c r="Z634" s="16">
        <f t="shared" si="418"/>
        <v>-31626.724889032801</v>
      </c>
      <c r="AA634" s="15">
        <f t="shared" si="393"/>
        <v>22.170849845882874</v>
      </c>
      <c r="AB634" s="75">
        <f>AA634*(1-PARAM!$C$27)*$I$9+(MOD($B634,60)=PARAM!$B$56)*($B634&gt;(60-PARAM!$B$56))*HLOOKUP(($B634+PARAM!$B$56)/12,Loyalty,2)*$F$1*MAX(AD633,0)</f>
        <v>18.557001321003963</v>
      </c>
      <c r="AC634" s="75">
        <f>PARAM!$C$26+MAX($G$9-CHOOSE(PARAM!$B$44,MAX(0,AD633*$F$1),0),0)*RATES!$L610/12+$H$9*(PARAM!$D$51/12)*RATES!$N610/100</f>
        <v>330.37500000000006</v>
      </c>
      <c r="AD634" s="16">
        <f t="shared" si="419"/>
        <v>-31626.724889032801</v>
      </c>
      <c r="AE634" s="15">
        <f t="shared" si="394"/>
        <v>22.170849845882874</v>
      </c>
      <c r="AF634" s="75">
        <f>AE634*(1-PARAM!$C$27)*$I$10+(MOD($B634,60)=PARAM!$B$56)*($B634&gt;(60-PARAM!$B$56))*HLOOKUP(($B634+PARAM!$B$56)/12,Loyalty,2)*$F$1*MAX(AH633,0)</f>
        <v>18.557001321003963</v>
      </c>
      <c r="AG634" s="75">
        <f>PARAM!$C$26+MAX($G$10-CHOOSE(PARAM!$B$44,MAX(0,AH633*$F$1),0),0)*RATES!$L610/12+$H$10*(PARAM!$D$51/12)*RATES!$N610/100</f>
        <v>330.37500000000006</v>
      </c>
      <c r="AH634" s="16">
        <f t="shared" si="420"/>
        <v>-31626.724889032801</v>
      </c>
      <c r="AI634" s="15">
        <f t="shared" si="395"/>
        <v>22.170849845882874</v>
      </c>
      <c r="AJ634" s="75">
        <f>AI634*(1-PARAM!$C$27)*$I$11+(MOD($B634,60)=PARAM!$B$56)*($B634&gt;(60-PARAM!$B$56))*HLOOKUP(($B634+PARAM!$B$56)/12,Loyalty,2)*$F$1*MAX(AL633,0)</f>
        <v>18.557001321003963</v>
      </c>
      <c r="AK634" s="75">
        <f>PARAM!$C$26+MAX($G$11-CHOOSE(PARAM!$B$44,MAX(0,AL633*$F$1),0),0)*RATES!$L610/12+$H$11*(PARAM!$D$51/12)*RATES!$N610/100</f>
        <v>330.37500000000006</v>
      </c>
      <c r="AL634" s="16">
        <f t="shared" si="421"/>
        <v>-31626.724889032801</v>
      </c>
      <c r="AM634" s="15">
        <f t="shared" si="396"/>
        <v>22.170849845882874</v>
      </c>
      <c r="AN634" s="75">
        <f>AM634*(1-PARAM!$C$27)*$I$12+(MOD($B634,60)=PARAM!$B$56)*($B634&gt;(60-PARAM!$B$56))*HLOOKUP(($B634+PARAM!$B$56)/12,Loyalty,2)*$F$1*MAX(AP633,0)</f>
        <v>18.557001321003963</v>
      </c>
      <c r="AO634" s="75">
        <f>PARAM!$C$26+MAX($G$12-CHOOSE(PARAM!$B$44,MAX(0,AP633*$F$1),0),0)*RATES!$L610/12+$H$12*(PARAM!$D$51/12)*RATES!$N610/100</f>
        <v>330.37500000000006</v>
      </c>
      <c r="AP634" s="16">
        <f t="shared" si="422"/>
        <v>-31626.724889032801</v>
      </c>
      <c r="AQ634" s="15">
        <f t="shared" si="397"/>
        <v>22.170849845882874</v>
      </c>
      <c r="AR634" s="75">
        <f>AQ634*(1-PARAM!$C$27)*$I$13+(MOD($B634,60)=PARAM!$B$56)*($B634&gt;(60-PARAM!$B$56))*HLOOKUP(($B634+PARAM!$B$56)/12,Loyalty,2)*$F$1*MAX(AT633,0)</f>
        <v>18.557001321003963</v>
      </c>
      <c r="AS634" s="75">
        <f>PARAM!$C$26+MAX($G$13-CHOOSE(PARAM!$B$44,MAX(0,AT633*$F$1),0),0)*RATES!$L610/12+$H$13*(PARAM!$D$51/12)*RATES!$N610/100</f>
        <v>330.37500000000006</v>
      </c>
      <c r="AT634" s="16">
        <f t="shared" si="423"/>
        <v>-31626.724889032801</v>
      </c>
      <c r="AU634" s="15">
        <f t="shared" si="398"/>
        <v>22.170849845882874</v>
      </c>
      <c r="AV634" s="75">
        <f>AU634*(1-PARAM!$C$27)*$I$14+(MOD($B634,60)=PARAM!$B$56)*($B634&gt;(60-PARAM!$B$56))*HLOOKUP(($B634+PARAM!$B$56)/12,Loyalty,2)*$F$1*MAX(AX633,0)</f>
        <v>18.557001321003963</v>
      </c>
      <c r="AW634" s="75">
        <f>PARAM!$C$26+MAX($G$14-CHOOSE(PARAM!$B$44,MAX(0,AX633*$F$1),0),0)*RATES!$L610/12+$H$14*(PARAM!$D$51/12)*RATES!$N610/100</f>
        <v>330.37500000000006</v>
      </c>
      <c r="AX634" s="16">
        <f t="shared" si="424"/>
        <v>-31626.724889032801</v>
      </c>
      <c r="AY634" s="15">
        <f t="shared" si="399"/>
        <v>22.170849845882874</v>
      </c>
      <c r="AZ634" s="75">
        <f>AY634*(1-PARAM!$C$27)*$I$15+(MOD($B634,60)=PARAM!$B$56)*($B634&gt;(60-PARAM!$B$56))*HLOOKUP(($B634+PARAM!$B$56)/12,Loyalty,2)*$F$1*MAX(BB633,0)</f>
        <v>18.557001321003963</v>
      </c>
      <c r="BA634" s="75">
        <f>PARAM!$C$26+MAX($G$15-CHOOSE(PARAM!$B$44,MAX(0,BB633*$F$1),0),0)*RATES!$L610/12+$H$15*(PARAM!$D$51/12)*RATES!$N610/100</f>
        <v>330.37500000000006</v>
      </c>
      <c r="BB634" s="16">
        <f t="shared" si="425"/>
        <v>-31626.724889032801</v>
      </c>
      <c r="BC634" s="15">
        <f t="shared" si="400"/>
        <v>22.170849845882874</v>
      </c>
      <c r="BD634" s="75">
        <f>BC634*(1-PARAM!$C$27)*$I$16+(MOD($B634,60)=PARAM!$B$56)*($B634&gt;(60-PARAM!$B$56))*HLOOKUP(($B634+PARAM!$B$56)/12,Loyalty,2)*$F$1*MAX(BF633,0)</f>
        <v>18.557001321003963</v>
      </c>
      <c r="BE634" s="75">
        <f>PARAM!$C$26+MAX($G$16-CHOOSE(PARAM!$B$44,MAX(0,BF633*$F$1),0),0)*RATES!$L610/12+$H$16*(PARAM!$D$51/12)*RATES!$N610/100</f>
        <v>330.37500000000006</v>
      </c>
      <c r="BF634" s="16">
        <f t="shared" si="426"/>
        <v>-31626.724889032801</v>
      </c>
      <c r="BG634" s="15">
        <f t="shared" si="401"/>
        <v>22.170849845882874</v>
      </c>
      <c r="BH634" s="75">
        <f>BG634*(1-PARAM!$C$27)*$I$17+(MOD($B634,60)=PARAM!$B$56)*($B634&gt;(60-PARAM!$B$56))*HLOOKUP(($B634+PARAM!$B$56)/12,Loyalty,2)*$F$1*MAX(BJ633,0)</f>
        <v>18.557001321003963</v>
      </c>
      <c r="BI634" s="75">
        <f>PARAM!$C$26+MAX($G$17-CHOOSE(PARAM!$B$44,MAX(0,BJ633*$F$1),0),0)*RATES!$L610/12+$H$17*(PARAM!$D$51/12)*RATES!$N610/100</f>
        <v>330.37500000000006</v>
      </c>
      <c r="BJ634" s="16">
        <f t="shared" si="427"/>
        <v>-31626.724889032801</v>
      </c>
      <c r="BK634" s="15">
        <f t="shared" si="402"/>
        <v>22.170849845882874</v>
      </c>
      <c r="BL634" s="75">
        <f>BK634*(1-PARAM!$C$27)*$I$18+(MOD($B634,60)=PARAM!$B$56)*($B634&gt;(60-PARAM!$B$56))*HLOOKUP(($B634+PARAM!$B$56)/12,Loyalty,2)*$F$1*MAX(BN633,0)</f>
        <v>18.557001321003963</v>
      </c>
      <c r="BM634" s="75">
        <f>PARAM!$C$26+MAX($G$18-CHOOSE(PARAM!$B$44,MAX(0,BN633*$F$1),0),0)*RATES!$L610/12+$H$18*(PARAM!$D$51/12)*RATES!$N610/100</f>
        <v>330.37500000000006</v>
      </c>
      <c r="BN634" s="16">
        <f t="shared" si="428"/>
        <v>-31626.724889032801</v>
      </c>
      <c r="BO634" s="15">
        <f t="shared" si="403"/>
        <v>22.170849845882874</v>
      </c>
      <c r="BP634" s="75">
        <f>BO634*(1-PARAM!$C$27)*$I$19+(MOD($B634,60)=PARAM!$B$56)*($B634&gt;(60-PARAM!$B$56))*HLOOKUP(($B634+PARAM!$B$56)/12,Loyalty,2)*$F$1*MAX(BR633,0)</f>
        <v>18.557001321003963</v>
      </c>
      <c r="BQ634" s="75">
        <f>PARAM!$C$26+MAX($G$19-CHOOSE(PARAM!$B$44,MAX(0,BR633*$F$1),0),0)*RATES!$L610/12+$H$19*(PARAM!$D$51/12)*RATES!$N610/100</f>
        <v>330.37500000000006</v>
      </c>
      <c r="BR634" s="16">
        <f t="shared" si="429"/>
        <v>-31626.724889032801</v>
      </c>
      <c r="BS634" s="15">
        <f t="shared" si="404"/>
        <v>22.170849845882874</v>
      </c>
      <c r="BT634" s="75">
        <f>BS634*(1-PARAM!$C$27)*$I$20+(MOD($B634,60)=PARAM!$B$56)*($B634&gt;(60-PARAM!$B$56))*HLOOKUP(($B634+PARAM!$B$56)/12,Loyalty,2)*$F$1*MAX(BV633,0)</f>
        <v>18.557001321003963</v>
      </c>
      <c r="BU634" s="75">
        <f>PARAM!$C$26+MAX($G$20-CHOOSE(PARAM!$B$44,MAX(0,BV633*$F$1),0),0)*RATES!$L610/12+$H$20*(PARAM!$D$51/12)*RATES!$N610/100</f>
        <v>330.37500000000006</v>
      </c>
      <c r="BV634" s="16">
        <f t="shared" si="430"/>
        <v>-31626.724889032801</v>
      </c>
      <c r="BW634" s="15">
        <f t="shared" si="405"/>
        <v>22.170849845882874</v>
      </c>
      <c r="BX634" s="75">
        <f>BW634*(1-PARAM!$C$27)*$I$21+(MOD($B634,60)=PARAM!$B$56)*($B634&gt;(60-PARAM!$B$56))*HLOOKUP(($B634+PARAM!$B$56)/12,Loyalty,2)*$F$1*MAX(BZ633,0)</f>
        <v>18.557001321003963</v>
      </c>
      <c r="BY634" s="75">
        <f>PARAM!$C$26+MAX($G$21-CHOOSE(PARAM!$B$44,MAX(0,BZ633*$F$1),0),0)*RATES!$L610/12+$H$21*(PARAM!$D$51/12)*RATES!$N610/100</f>
        <v>330.37500000000006</v>
      </c>
      <c r="BZ634" s="16">
        <f t="shared" si="431"/>
        <v>-31626.724889032801</v>
      </c>
      <c r="CA634" s="15">
        <f t="shared" si="406"/>
        <v>22.170849845882874</v>
      </c>
      <c r="CB634" s="75">
        <f>CA634*(1-PARAM!$C$27)*$I$22+(MOD($B634,60)=PARAM!$B$56)*($B634&gt;(60-PARAM!$B$56))*HLOOKUP(($B634+PARAM!$B$56)/12,Loyalty,2)*$F$1*MAX(CD633,0)</f>
        <v>18.557001321003963</v>
      </c>
      <c r="CC634" s="75">
        <f>PARAM!$C$26+MAX($G$22-CHOOSE(PARAM!$B$44,MAX(0,CD633*$F$1),0),0)*RATES!$L610/12+$H$22*(PARAM!$D$51/12)*RATES!$N610/100</f>
        <v>330.37500000000006</v>
      </c>
      <c r="CD634" s="16">
        <f t="shared" si="432"/>
        <v>-31626.724889032801</v>
      </c>
      <c r="CE634" s="33">
        <f>IF(0=MOD(B634,12/PARAM!$D$51),1,0)</f>
        <v>1</v>
      </c>
      <c r="CF634" s="15">
        <f t="shared" si="407"/>
        <v>0</v>
      </c>
      <c r="CG634" s="75">
        <f>CF634*(1-PARAM!$C$27)*$R$3+(MOD($B634/12,5)=0)*($B634&gt;60)*HLOOKUP($B634/12,Loyalty,2)*$F$1*MAX(CI633,0)</f>
        <v>0</v>
      </c>
      <c r="CH634" s="75">
        <f>PARAM!$C$26+MAX($P$3-CHOOSE(PARAM!$B$44,MAX(0,CI633*$F$1),0),0)*RATES!$L610/12+$Q$3*(PARAM!$D$51/12)*RATES!$N610/100</f>
        <v>330.37500000000006</v>
      </c>
      <c r="CI634" s="16">
        <f>IF(CI633&gt;0,CI633*PARAM!$C$53,CI633)+CG634-CH634</f>
        <v>-42771.25</v>
      </c>
      <c r="CJ634" s="15">
        <f t="shared" si="433"/>
        <v>0</v>
      </c>
      <c r="CK634" s="75">
        <f>CJ634*(1-PARAM!$C$27)*$R$4+(MOD($B634/12,5)=0)*($B634&gt;60)*HLOOKUP($B634/12,Loyalty,2)*$F$1*MAX(CM633,0)</f>
        <v>0</v>
      </c>
      <c r="CL634" s="75">
        <f>PARAM!$C$26+MAX($P$4-CHOOSE(PARAM!$B$44,MAX(0,CM633*$F$1),0),0)*RATES!$L610/12+$Q$4*(PARAM!$D$51/12)*RATES!$N610/100</f>
        <v>330.37500000000006</v>
      </c>
      <c r="CM634" s="16">
        <f>IF(CM633&gt;0,CM633*PARAM!$C$53,CM633)+CK634-CL634</f>
        <v>-42771.25</v>
      </c>
      <c r="CO634" s="176"/>
    </row>
    <row r="635" spans="1:93" x14ac:dyDescent="0.2">
      <c r="A635" t="b">
        <f t="shared" si="408"/>
        <v>0</v>
      </c>
      <c r="B635" s="33">
        <v>608</v>
      </c>
      <c r="C635" s="15">
        <f t="shared" si="409"/>
        <v>20.081305947392778</v>
      </c>
      <c r="D635" s="75">
        <f>C635*(1-PARAM!$C$27)*$I$3+(MOD($B635,60)=PARAM!$B$56)*($B635&gt;(60-PARAM!$B$56))*HLOOKUP(($B635+PARAM!$B$56)/12,Loyalty,2)*$F$1*MAX(F634,0)</f>
        <v>16.808053077967756</v>
      </c>
      <c r="E635" s="75">
        <f>PARAM!$C$26+MAX($G$3-CHOOSE(PARAM!$B$44,MAX(0,F634*$F$1),0),0)*RATES!$L611/12+$H$3*(PARAM!$D$51/12)*RATES!$N611/100</f>
        <v>330.37500000000006</v>
      </c>
      <c r="F635" s="16">
        <f t="shared" si="410"/>
        <v>-33038.753919999486</v>
      </c>
      <c r="G635" s="15">
        <f t="shared" si="411"/>
        <v>22.035289406060361</v>
      </c>
      <c r="H635" s="75">
        <f>G635*(1-PARAM!$C$27)*$I$4+(MOD($B635,60)=PARAM!$B$56)*($B635&gt;(60-PARAM!$B$56))*HLOOKUP(($B635+PARAM!$B$56)/12,Loyalty,2)*$F$1*MAX(J634,0)</f>
        <v>18.443537232872522</v>
      </c>
      <c r="I635" s="75">
        <f>PARAM!$C$26+MAX($G$4-CHOOSE(PARAM!$B$44,MAX(0,J634*$F$1),0),0)*RATES!$L611/12+$H$4*(PARAM!$D$51/12)*RATES!$N611/100</f>
        <v>330.37500000000006</v>
      </c>
      <c r="J635" s="16">
        <f t="shared" si="412"/>
        <v>-32010.546589695539</v>
      </c>
      <c r="K635" s="15">
        <f t="shared" si="413"/>
        <v>22.170849845882874</v>
      </c>
      <c r="L635" s="75">
        <f>K635*(1-PARAM!$C$27)*$I$5+(MOD($B635,60)=PARAM!$B$56)*($B635&gt;(60-PARAM!$B$56))*HLOOKUP(($B635+PARAM!$B$56)/12,Loyalty,2)*$F$1*MAX(N634,0)</f>
        <v>18.557001321003963</v>
      </c>
      <c r="M635" s="75">
        <f>PARAM!$C$26+MAX($G$5-CHOOSE(PARAM!$B$44,MAX(0,N634*$F$1),0),0)*RATES!$L611/12+$H$5*(PARAM!$D$51/12)*RATES!$N611/100</f>
        <v>330.37500000000006</v>
      </c>
      <c r="N635" s="16">
        <f t="shared" si="414"/>
        <v>-31938.542887711796</v>
      </c>
      <c r="O635" s="15">
        <f t="shared" si="415"/>
        <v>22.170849845882874</v>
      </c>
      <c r="P635" s="75">
        <f>O635*(1-PARAM!$C$27)*$I$6+(MOD($B635,60)=PARAM!$B$56)*($B635&gt;(60-PARAM!$B$56))*HLOOKUP(($B635+PARAM!$B$56)/12,Loyalty,2)*$F$1*MAX(R634,0)</f>
        <v>18.557001321003963</v>
      </c>
      <c r="Q635" s="75">
        <f>PARAM!$C$26+MAX($G$6-CHOOSE(PARAM!$B$44,MAX(0,R634*$F$1),0),0)*RATES!$L611/12+$H$6*(PARAM!$D$51/12)*RATES!$N611/100</f>
        <v>330.37500000000006</v>
      </c>
      <c r="R635" s="16">
        <f t="shared" si="416"/>
        <v>-31938.542887711796</v>
      </c>
      <c r="S635" s="15">
        <f t="shared" si="391"/>
        <v>22.170849845882874</v>
      </c>
      <c r="T635" s="75">
        <f>S635*(1-PARAM!$C$27)*$I$7+(MOD($B635,60)=PARAM!$B$56)*($B635&gt;(60-PARAM!$B$56))*HLOOKUP(($B635+PARAM!$B$56)/12,Loyalty,2)*$F$1*MAX(V634,0)</f>
        <v>18.557001321003963</v>
      </c>
      <c r="U635" s="75">
        <f>PARAM!$C$26+MAX($G$7-CHOOSE(PARAM!$B$44,MAX(0,V634*$F$1),0),0)*RATES!$L611/12+$H$7*(PARAM!$D$51/12)*RATES!$N611/100</f>
        <v>330.37500000000006</v>
      </c>
      <c r="V635" s="16">
        <f t="shared" si="417"/>
        <v>-31938.542887711796</v>
      </c>
      <c r="W635" s="15">
        <f t="shared" si="392"/>
        <v>22.170849845882874</v>
      </c>
      <c r="X635" s="75">
        <f>W635*(1-PARAM!$C$27)*$I$8+(MOD($B635,60)=PARAM!$B$56)*($B635&gt;(60-PARAM!$B$56))*HLOOKUP(($B635+PARAM!$B$56)/12,Loyalty,2)*$F$1*MAX(Z634,0)</f>
        <v>18.557001321003963</v>
      </c>
      <c r="Y635" s="75">
        <f>PARAM!$C$26+MAX($G$8-CHOOSE(PARAM!$B$44,MAX(0,Z634*$F$1),0),0)*RATES!$L611/12+$H$8*(PARAM!$D$51/12)*RATES!$N611/100</f>
        <v>330.37500000000006</v>
      </c>
      <c r="Z635" s="16">
        <f t="shared" si="418"/>
        <v>-31938.542887711796</v>
      </c>
      <c r="AA635" s="15">
        <f t="shared" si="393"/>
        <v>22.170849845882874</v>
      </c>
      <c r="AB635" s="75">
        <f>AA635*(1-PARAM!$C$27)*$I$9+(MOD($B635,60)=PARAM!$B$56)*($B635&gt;(60-PARAM!$B$56))*HLOOKUP(($B635+PARAM!$B$56)/12,Loyalty,2)*$F$1*MAX(AD634,0)</f>
        <v>18.557001321003963</v>
      </c>
      <c r="AC635" s="75">
        <f>PARAM!$C$26+MAX($G$9-CHOOSE(PARAM!$B$44,MAX(0,AD634*$F$1),0),0)*RATES!$L611/12+$H$9*(PARAM!$D$51/12)*RATES!$N611/100</f>
        <v>330.37500000000006</v>
      </c>
      <c r="AD635" s="16">
        <f t="shared" si="419"/>
        <v>-31938.542887711796</v>
      </c>
      <c r="AE635" s="15">
        <f t="shared" si="394"/>
        <v>22.170849845882874</v>
      </c>
      <c r="AF635" s="75">
        <f>AE635*(1-PARAM!$C$27)*$I$10+(MOD($B635,60)=PARAM!$B$56)*($B635&gt;(60-PARAM!$B$56))*HLOOKUP(($B635+PARAM!$B$56)/12,Loyalty,2)*$F$1*MAX(AH634,0)</f>
        <v>18.557001321003963</v>
      </c>
      <c r="AG635" s="75">
        <f>PARAM!$C$26+MAX($G$10-CHOOSE(PARAM!$B$44,MAX(0,AH634*$F$1),0),0)*RATES!$L611/12+$H$10*(PARAM!$D$51/12)*RATES!$N611/100</f>
        <v>330.37500000000006</v>
      </c>
      <c r="AH635" s="16">
        <f t="shared" si="420"/>
        <v>-31938.542887711796</v>
      </c>
      <c r="AI635" s="15">
        <f t="shared" si="395"/>
        <v>22.170849845882874</v>
      </c>
      <c r="AJ635" s="75">
        <f>AI635*(1-PARAM!$C$27)*$I$11+(MOD($B635,60)=PARAM!$B$56)*($B635&gt;(60-PARAM!$B$56))*HLOOKUP(($B635+PARAM!$B$56)/12,Loyalty,2)*$F$1*MAX(AL634,0)</f>
        <v>18.557001321003963</v>
      </c>
      <c r="AK635" s="75">
        <f>PARAM!$C$26+MAX($G$11-CHOOSE(PARAM!$B$44,MAX(0,AL634*$F$1),0),0)*RATES!$L611/12+$H$11*(PARAM!$D$51/12)*RATES!$N611/100</f>
        <v>330.37500000000006</v>
      </c>
      <c r="AL635" s="16">
        <f t="shared" si="421"/>
        <v>-31938.542887711796</v>
      </c>
      <c r="AM635" s="15">
        <f t="shared" si="396"/>
        <v>22.170849845882874</v>
      </c>
      <c r="AN635" s="75">
        <f>AM635*(1-PARAM!$C$27)*$I$12+(MOD($B635,60)=PARAM!$B$56)*($B635&gt;(60-PARAM!$B$56))*HLOOKUP(($B635+PARAM!$B$56)/12,Loyalty,2)*$F$1*MAX(AP634,0)</f>
        <v>18.557001321003963</v>
      </c>
      <c r="AO635" s="75">
        <f>PARAM!$C$26+MAX($G$12-CHOOSE(PARAM!$B$44,MAX(0,AP634*$F$1),0),0)*RATES!$L611/12+$H$12*(PARAM!$D$51/12)*RATES!$N611/100</f>
        <v>330.37500000000006</v>
      </c>
      <c r="AP635" s="16">
        <f t="shared" si="422"/>
        <v>-31938.542887711796</v>
      </c>
      <c r="AQ635" s="15">
        <f t="shared" si="397"/>
        <v>22.170849845882874</v>
      </c>
      <c r="AR635" s="75">
        <f>AQ635*(1-PARAM!$C$27)*$I$13+(MOD($B635,60)=PARAM!$B$56)*($B635&gt;(60-PARAM!$B$56))*HLOOKUP(($B635+PARAM!$B$56)/12,Loyalty,2)*$F$1*MAX(AT634,0)</f>
        <v>18.557001321003963</v>
      </c>
      <c r="AS635" s="75">
        <f>PARAM!$C$26+MAX($G$13-CHOOSE(PARAM!$B$44,MAX(0,AT634*$F$1),0),0)*RATES!$L611/12+$H$13*(PARAM!$D$51/12)*RATES!$N611/100</f>
        <v>330.37500000000006</v>
      </c>
      <c r="AT635" s="16">
        <f t="shared" si="423"/>
        <v>-31938.542887711796</v>
      </c>
      <c r="AU635" s="15">
        <f t="shared" si="398"/>
        <v>22.170849845882874</v>
      </c>
      <c r="AV635" s="75">
        <f>AU635*(1-PARAM!$C$27)*$I$14+(MOD($B635,60)=PARAM!$B$56)*($B635&gt;(60-PARAM!$B$56))*HLOOKUP(($B635+PARAM!$B$56)/12,Loyalty,2)*$F$1*MAX(AX634,0)</f>
        <v>18.557001321003963</v>
      </c>
      <c r="AW635" s="75">
        <f>PARAM!$C$26+MAX($G$14-CHOOSE(PARAM!$B$44,MAX(0,AX634*$F$1),0),0)*RATES!$L611/12+$H$14*(PARAM!$D$51/12)*RATES!$N611/100</f>
        <v>330.37500000000006</v>
      </c>
      <c r="AX635" s="16">
        <f t="shared" si="424"/>
        <v>-31938.542887711796</v>
      </c>
      <c r="AY635" s="15">
        <f t="shared" si="399"/>
        <v>22.170849845882874</v>
      </c>
      <c r="AZ635" s="75">
        <f>AY635*(1-PARAM!$C$27)*$I$15+(MOD($B635,60)=PARAM!$B$56)*($B635&gt;(60-PARAM!$B$56))*HLOOKUP(($B635+PARAM!$B$56)/12,Loyalty,2)*$F$1*MAX(BB634,0)</f>
        <v>18.557001321003963</v>
      </c>
      <c r="BA635" s="75">
        <f>PARAM!$C$26+MAX($G$15-CHOOSE(PARAM!$B$44,MAX(0,BB634*$F$1),0),0)*RATES!$L611/12+$H$15*(PARAM!$D$51/12)*RATES!$N611/100</f>
        <v>330.37500000000006</v>
      </c>
      <c r="BB635" s="16">
        <f t="shared" si="425"/>
        <v>-31938.542887711796</v>
      </c>
      <c r="BC635" s="15">
        <f t="shared" si="400"/>
        <v>22.170849845882874</v>
      </c>
      <c r="BD635" s="75">
        <f>BC635*(1-PARAM!$C$27)*$I$16+(MOD($B635,60)=PARAM!$B$56)*($B635&gt;(60-PARAM!$B$56))*HLOOKUP(($B635+PARAM!$B$56)/12,Loyalty,2)*$F$1*MAX(BF634,0)</f>
        <v>18.557001321003963</v>
      </c>
      <c r="BE635" s="75">
        <f>PARAM!$C$26+MAX($G$16-CHOOSE(PARAM!$B$44,MAX(0,BF634*$F$1),0),0)*RATES!$L611/12+$H$16*(PARAM!$D$51/12)*RATES!$N611/100</f>
        <v>330.37500000000006</v>
      </c>
      <c r="BF635" s="16">
        <f t="shared" si="426"/>
        <v>-31938.542887711796</v>
      </c>
      <c r="BG635" s="15">
        <f t="shared" si="401"/>
        <v>22.170849845882874</v>
      </c>
      <c r="BH635" s="75">
        <f>BG635*(1-PARAM!$C$27)*$I$17+(MOD($B635,60)=PARAM!$B$56)*($B635&gt;(60-PARAM!$B$56))*HLOOKUP(($B635+PARAM!$B$56)/12,Loyalty,2)*$F$1*MAX(BJ634,0)</f>
        <v>18.557001321003963</v>
      </c>
      <c r="BI635" s="75">
        <f>PARAM!$C$26+MAX($G$17-CHOOSE(PARAM!$B$44,MAX(0,BJ634*$F$1),0),0)*RATES!$L611/12+$H$17*(PARAM!$D$51/12)*RATES!$N611/100</f>
        <v>330.37500000000006</v>
      </c>
      <c r="BJ635" s="16">
        <f t="shared" si="427"/>
        <v>-31938.542887711796</v>
      </c>
      <c r="BK635" s="15">
        <f t="shared" si="402"/>
        <v>22.170849845882874</v>
      </c>
      <c r="BL635" s="75">
        <f>BK635*(1-PARAM!$C$27)*$I$18+(MOD($B635,60)=PARAM!$B$56)*($B635&gt;(60-PARAM!$B$56))*HLOOKUP(($B635+PARAM!$B$56)/12,Loyalty,2)*$F$1*MAX(BN634,0)</f>
        <v>18.557001321003963</v>
      </c>
      <c r="BM635" s="75">
        <f>PARAM!$C$26+MAX($G$18-CHOOSE(PARAM!$B$44,MAX(0,BN634*$F$1),0),0)*RATES!$L611/12+$H$18*(PARAM!$D$51/12)*RATES!$N611/100</f>
        <v>330.37500000000006</v>
      </c>
      <c r="BN635" s="16">
        <f t="shared" si="428"/>
        <v>-31938.542887711796</v>
      </c>
      <c r="BO635" s="15">
        <f t="shared" si="403"/>
        <v>22.170849845882874</v>
      </c>
      <c r="BP635" s="75">
        <f>BO635*(1-PARAM!$C$27)*$I$19+(MOD($B635,60)=PARAM!$B$56)*($B635&gt;(60-PARAM!$B$56))*HLOOKUP(($B635+PARAM!$B$56)/12,Loyalty,2)*$F$1*MAX(BR634,0)</f>
        <v>18.557001321003963</v>
      </c>
      <c r="BQ635" s="75">
        <f>PARAM!$C$26+MAX($G$19-CHOOSE(PARAM!$B$44,MAX(0,BR634*$F$1),0),0)*RATES!$L611/12+$H$19*(PARAM!$D$51/12)*RATES!$N611/100</f>
        <v>330.37500000000006</v>
      </c>
      <c r="BR635" s="16">
        <f t="shared" si="429"/>
        <v>-31938.542887711796</v>
      </c>
      <c r="BS635" s="15">
        <f t="shared" si="404"/>
        <v>22.170849845882874</v>
      </c>
      <c r="BT635" s="75">
        <f>BS635*(1-PARAM!$C$27)*$I$20+(MOD($B635,60)=PARAM!$B$56)*($B635&gt;(60-PARAM!$B$56))*HLOOKUP(($B635+PARAM!$B$56)/12,Loyalty,2)*$F$1*MAX(BV634,0)</f>
        <v>18.557001321003963</v>
      </c>
      <c r="BU635" s="75">
        <f>PARAM!$C$26+MAX($G$20-CHOOSE(PARAM!$B$44,MAX(0,BV634*$F$1),0),0)*RATES!$L611/12+$H$20*(PARAM!$D$51/12)*RATES!$N611/100</f>
        <v>330.37500000000006</v>
      </c>
      <c r="BV635" s="16">
        <f t="shared" si="430"/>
        <v>-31938.542887711796</v>
      </c>
      <c r="BW635" s="15">
        <f t="shared" si="405"/>
        <v>22.170849845882874</v>
      </c>
      <c r="BX635" s="75">
        <f>BW635*(1-PARAM!$C$27)*$I$21+(MOD($B635,60)=PARAM!$B$56)*($B635&gt;(60-PARAM!$B$56))*HLOOKUP(($B635+PARAM!$B$56)/12,Loyalty,2)*$F$1*MAX(BZ634,0)</f>
        <v>18.557001321003963</v>
      </c>
      <c r="BY635" s="75">
        <f>PARAM!$C$26+MAX($G$21-CHOOSE(PARAM!$B$44,MAX(0,BZ634*$F$1),0),0)*RATES!$L611/12+$H$21*(PARAM!$D$51/12)*RATES!$N611/100</f>
        <v>330.37500000000006</v>
      </c>
      <c r="BZ635" s="16">
        <f t="shared" si="431"/>
        <v>-31938.542887711796</v>
      </c>
      <c r="CA635" s="15">
        <f t="shared" si="406"/>
        <v>22.170849845882874</v>
      </c>
      <c r="CB635" s="75">
        <f>CA635*(1-PARAM!$C$27)*$I$22+(MOD($B635,60)=PARAM!$B$56)*($B635&gt;(60-PARAM!$B$56))*HLOOKUP(($B635+PARAM!$B$56)/12,Loyalty,2)*$F$1*MAX(CD634,0)</f>
        <v>18.557001321003963</v>
      </c>
      <c r="CC635" s="75">
        <f>PARAM!$C$26+MAX($G$22-CHOOSE(PARAM!$B$44,MAX(0,CD634*$F$1),0),0)*RATES!$L611/12+$H$22*(PARAM!$D$51/12)*RATES!$N611/100</f>
        <v>330.37500000000006</v>
      </c>
      <c r="CD635" s="16">
        <f t="shared" si="432"/>
        <v>-31938.542887711796</v>
      </c>
      <c r="CE635" s="33">
        <f>IF(0=MOD(B635,12/PARAM!$D$51),1,0)</f>
        <v>1</v>
      </c>
      <c r="CF635" s="15">
        <f t="shared" si="407"/>
        <v>0</v>
      </c>
      <c r="CG635" s="75">
        <f>CF635*(1-PARAM!$C$27)*$R$3+(MOD($B635/12,5)=0)*($B635&gt;60)*HLOOKUP($B635/12,Loyalty,2)*$F$1*MAX(CI634,0)</f>
        <v>0</v>
      </c>
      <c r="CH635" s="75">
        <f>PARAM!$C$26+MAX($P$3-CHOOSE(PARAM!$B$44,MAX(0,CI634*$F$1),0),0)*RATES!$L611/12+$Q$3*(PARAM!$D$51/12)*RATES!$N611/100</f>
        <v>330.37500000000006</v>
      </c>
      <c r="CI635" s="16">
        <f>IF(CI634&gt;0,CI634*PARAM!$C$53,CI634)+CG635-CH635</f>
        <v>-43101.625</v>
      </c>
      <c r="CJ635" s="15">
        <f t="shared" si="433"/>
        <v>0</v>
      </c>
      <c r="CK635" s="75">
        <f>CJ635*(1-PARAM!$C$27)*$R$4+(MOD($B635/12,5)=0)*($B635&gt;60)*HLOOKUP($B635/12,Loyalty,2)*$F$1*MAX(CM634,0)</f>
        <v>0</v>
      </c>
      <c r="CL635" s="75">
        <f>PARAM!$C$26+MAX($P$4-CHOOSE(PARAM!$B$44,MAX(0,CM634*$F$1),0),0)*RATES!$L611/12+$Q$4*(PARAM!$D$51/12)*RATES!$N611/100</f>
        <v>330.37500000000006</v>
      </c>
      <c r="CM635" s="16">
        <f>IF(CM634&gt;0,CM634*PARAM!$C$53,CM634)+CK635-CL635</f>
        <v>-43101.625</v>
      </c>
      <c r="CO635" s="176"/>
    </row>
    <row r="636" spans="1:93" x14ac:dyDescent="0.2">
      <c r="A636" t="b">
        <f t="shared" si="408"/>
        <v>0</v>
      </c>
      <c r="B636" s="33">
        <v>609</v>
      </c>
      <c r="C636" s="15">
        <f t="shared" si="409"/>
        <v>20.081305947392778</v>
      </c>
      <c r="D636" s="75">
        <f>C636*(1-PARAM!$C$27)*$I$3+(MOD($B636,60)=PARAM!$B$56)*($B636&gt;(60-PARAM!$B$56))*HLOOKUP(($B636+PARAM!$B$56)/12,Loyalty,2)*$F$1*MAX(F635,0)</f>
        <v>16.808053077967756</v>
      </c>
      <c r="E636" s="75">
        <f>PARAM!$C$26+MAX($G$3-CHOOSE(PARAM!$B$44,MAX(0,F635*$F$1),0),0)*RATES!$L612/12+$H$3*(PARAM!$D$51/12)*RATES!$N612/100</f>
        <v>330.37500000000006</v>
      </c>
      <c r="F636" s="16">
        <f t="shared" si="410"/>
        <v>-33352.320866921516</v>
      </c>
      <c r="G636" s="15">
        <f t="shared" si="411"/>
        <v>22.035289406060361</v>
      </c>
      <c r="H636" s="75">
        <f>G636*(1-PARAM!$C$27)*$I$4+(MOD($B636,60)=PARAM!$B$56)*($B636&gt;(60-PARAM!$B$56))*HLOOKUP(($B636+PARAM!$B$56)/12,Loyalty,2)*$F$1*MAX(J635,0)</f>
        <v>18.443537232872522</v>
      </c>
      <c r="I636" s="75">
        <f>PARAM!$C$26+MAX($G$4-CHOOSE(PARAM!$B$44,MAX(0,J635*$F$1),0),0)*RATES!$L612/12+$H$4*(PARAM!$D$51/12)*RATES!$N612/100</f>
        <v>330.37500000000006</v>
      </c>
      <c r="J636" s="16">
        <f t="shared" si="412"/>
        <v>-32322.478052462666</v>
      </c>
      <c r="K636" s="15">
        <f t="shared" si="413"/>
        <v>22.170849845882874</v>
      </c>
      <c r="L636" s="75">
        <f>K636*(1-PARAM!$C$27)*$I$5+(MOD($B636,60)=PARAM!$B$56)*($B636&gt;(60-PARAM!$B$56))*HLOOKUP(($B636+PARAM!$B$56)/12,Loyalty,2)*$F$1*MAX(N635,0)</f>
        <v>18.557001321003963</v>
      </c>
      <c r="M636" s="75">
        <f>PARAM!$C$26+MAX($G$5-CHOOSE(PARAM!$B$44,MAX(0,N635*$F$1),0),0)*RATES!$L612/12+$H$5*(PARAM!$D$51/12)*RATES!$N612/100</f>
        <v>330.37500000000006</v>
      </c>
      <c r="N636" s="16">
        <f t="shared" si="414"/>
        <v>-32250.36088639079</v>
      </c>
      <c r="O636" s="15">
        <f t="shared" si="415"/>
        <v>22.170849845882874</v>
      </c>
      <c r="P636" s="75">
        <f>O636*(1-PARAM!$C$27)*$I$6+(MOD($B636,60)=PARAM!$B$56)*($B636&gt;(60-PARAM!$B$56))*HLOOKUP(($B636+PARAM!$B$56)/12,Loyalty,2)*$F$1*MAX(R635,0)</f>
        <v>18.557001321003963</v>
      </c>
      <c r="Q636" s="75">
        <f>PARAM!$C$26+MAX($G$6-CHOOSE(PARAM!$B$44,MAX(0,R635*$F$1),0),0)*RATES!$L612/12+$H$6*(PARAM!$D$51/12)*RATES!$N612/100</f>
        <v>330.37500000000006</v>
      </c>
      <c r="R636" s="16">
        <f t="shared" si="416"/>
        <v>-32250.36088639079</v>
      </c>
      <c r="S636" s="15">
        <f t="shared" si="391"/>
        <v>22.170849845882874</v>
      </c>
      <c r="T636" s="75">
        <f>S636*(1-PARAM!$C$27)*$I$7+(MOD($B636,60)=PARAM!$B$56)*($B636&gt;(60-PARAM!$B$56))*HLOOKUP(($B636+PARAM!$B$56)/12,Loyalty,2)*$F$1*MAX(V635,0)</f>
        <v>18.557001321003963</v>
      </c>
      <c r="U636" s="75">
        <f>PARAM!$C$26+MAX($G$7-CHOOSE(PARAM!$B$44,MAX(0,V635*$F$1),0),0)*RATES!$L612/12+$H$7*(PARAM!$D$51/12)*RATES!$N612/100</f>
        <v>330.37500000000006</v>
      </c>
      <c r="V636" s="16">
        <f t="shared" si="417"/>
        <v>-32250.36088639079</v>
      </c>
      <c r="W636" s="15">
        <f t="shared" si="392"/>
        <v>22.170849845882874</v>
      </c>
      <c r="X636" s="75">
        <f>W636*(1-PARAM!$C$27)*$I$8+(MOD($B636,60)=PARAM!$B$56)*($B636&gt;(60-PARAM!$B$56))*HLOOKUP(($B636+PARAM!$B$56)/12,Loyalty,2)*$F$1*MAX(Z635,0)</f>
        <v>18.557001321003963</v>
      </c>
      <c r="Y636" s="75">
        <f>PARAM!$C$26+MAX($G$8-CHOOSE(PARAM!$B$44,MAX(0,Z635*$F$1),0),0)*RATES!$L612/12+$H$8*(PARAM!$D$51/12)*RATES!$N612/100</f>
        <v>330.37500000000006</v>
      </c>
      <c r="Z636" s="16">
        <f t="shared" si="418"/>
        <v>-32250.36088639079</v>
      </c>
      <c r="AA636" s="15">
        <f t="shared" si="393"/>
        <v>22.170849845882874</v>
      </c>
      <c r="AB636" s="75">
        <f>AA636*(1-PARAM!$C$27)*$I$9+(MOD($B636,60)=PARAM!$B$56)*($B636&gt;(60-PARAM!$B$56))*HLOOKUP(($B636+PARAM!$B$56)/12,Loyalty,2)*$F$1*MAX(AD635,0)</f>
        <v>18.557001321003963</v>
      </c>
      <c r="AC636" s="75">
        <f>PARAM!$C$26+MAX($G$9-CHOOSE(PARAM!$B$44,MAX(0,AD635*$F$1),0),0)*RATES!$L612/12+$H$9*(PARAM!$D$51/12)*RATES!$N612/100</f>
        <v>330.37500000000006</v>
      </c>
      <c r="AD636" s="16">
        <f t="shared" si="419"/>
        <v>-32250.36088639079</v>
      </c>
      <c r="AE636" s="15">
        <f t="shared" si="394"/>
        <v>22.170849845882874</v>
      </c>
      <c r="AF636" s="75">
        <f>AE636*(1-PARAM!$C$27)*$I$10+(MOD($B636,60)=PARAM!$B$56)*($B636&gt;(60-PARAM!$B$56))*HLOOKUP(($B636+PARAM!$B$56)/12,Loyalty,2)*$F$1*MAX(AH635,0)</f>
        <v>18.557001321003963</v>
      </c>
      <c r="AG636" s="75">
        <f>PARAM!$C$26+MAX($G$10-CHOOSE(PARAM!$B$44,MAX(0,AH635*$F$1),0),0)*RATES!$L612/12+$H$10*(PARAM!$D$51/12)*RATES!$N612/100</f>
        <v>330.37500000000006</v>
      </c>
      <c r="AH636" s="16">
        <f t="shared" si="420"/>
        <v>-32250.36088639079</v>
      </c>
      <c r="AI636" s="15">
        <f t="shared" si="395"/>
        <v>22.170849845882874</v>
      </c>
      <c r="AJ636" s="75">
        <f>AI636*(1-PARAM!$C$27)*$I$11+(MOD($B636,60)=PARAM!$B$56)*($B636&gt;(60-PARAM!$B$56))*HLOOKUP(($B636+PARAM!$B$56)/12,Loyalty,2)*$F$1*MAX(AL635,0)</f>
        <v>18.557001321003963</v>
      </c>
      <c r="AK636" s="75">
        <f>PARAM!$C$26+MAX($G$11-CHOOSE(PARAM!$B$44,MAX(0,AL635*$F$1),0),0)*RATES!$L612/12+$H$11*(PARAM!$D$51/12)*RATES!$N612/100</f>
        <v>330.37500000000006</v>
      </c>
      <c r="AL636" s="16">
        <f t="shared" si="421"/>
        <v>-32250.36088639079</v>
      </c>
      <c r="AM636" s="15">
        <f t="shared" si="396"/>
        <v>22.170849845882874</v>
      </c>
      <c r="AN636" s="75">
        <f>AM636*(1-PARAM!$C$27)*$I$12+(MOD($B636,60)=PARAM!$B$56)*($B636&gt;(60-PARAM!$B$56))*HLOOKUP(($B636+PARAM!$B$56)/12,Loyalty,2)*$F$1*MAX(AP635,0)</f>
        <v>18.557001321003963</v>
      </c>
      <c r="AO636" s="75">
        <f>PARAM!$C$26+MAX($G$12-CHOOSE(PARAM!$B$44,MAX(0,AP635*$F$1),0),0)*RATES!$L612/12+$H$12*(PARAM!$D$51/12)*RATES!$N612/100</f>
        <v>330.37500000000006</v>
      </c>
      <c r="AP636" s="16">
        <f t="shared" si="422"/>
        <v>-32250.36088639079</v>
      </c>
      <c r="AQ636" s="15">
        <f t="shared" si="397"/>
        <v>22.170849845882874</v>
      </c>
      <c r="AR636" s="75">
        <f>AQ636*(1-PARAM!$C$27)*$I$13+(MOD($B636,60)=PARAM!$B$56)*($B636&gt;(60-PARAM!$B$56))*HLOOKUP(($B636+PARAM!$B$56)/12,Loyalty,2)*$F$1*MAX(AT635,0)</f>
        <v>18.557001321003963</v>
      </c>
      <c r="AS636" s="75">
        <f>PARAM!$C$26+MAX($G$13-CHOOSE(PARAM!$B$44,MAX(0,AT635*$F$1),0),0)*RATES!$L612/12+$H$13*(PARAM!$D$51/12)*RATES!$N612/100</f>
        <v>330.37500000000006</v>
      </c>
      <c r="AT636" s="16">
        <f t="shared" si="423"/>
        <v>-32250.36088639079</v>
      </c>
      <c r="AU636" s="15">
        <f t="shared" si="398"/>
        <v>22.170849845882874</v>
      </c>
      <c r="AV636" s="75">
        <f>AU636*(1-PARAM!$C$27)*$I$14+(MOD($B636,60)=PARAM!$B$56)*($B636&gt;(60-PARAM!$B$56))*HLOOKUP(($B636+PARAM!$B$56)/12,Loyalty,2)*$F$1*MAX(AX635,0)</f>
        <v>18.557001321003963</v>
      </c>
      <c r="AW636" s="75">
        <f>PARAM!$C$26+MAX($G$14-CHOOSE(PARAM!$B$44,MAX(0,AX635*$F$1),0),0)*RATES!$L612/12+$H$14*(PARAM!$D$51/12)*RATES!$N612/100</f>
        <v>330.37500000000006</v>
      </c>
      <c r="AX636" s="16">
        <f t="shared" si="424"/>
        <v>-32250.36088639079</v>
      </c>
      <c r="AY636" s="15">
        <f t="shared" si="399"/>
        <v>22.170849845882874</v>
      </c>
      <c r="AZ636" s="75">
        <f>AY636*(1-PARAM!$C$27)*$I$15+(MOD($B636,60)=PARAM!$B$56)*($B636&gt;(60-PARAM!$B$56))*HLOOKUP(($B636+PARAM!$B$56)/12,Loyalty,2)*$F$1*MAX(BB635,0)</f>
        <v>18.557001321003963</v>
      </c>
      <c r="BA636" s="75">
        <f>PARAM!$C$26+MAX($G$15-CHOOSE(PARAM!$B$44,MAX(0,BB635*$F$1),0),0)*RATES!$L612/12+$H$15*(PARAM!$D$51/12)*RATES!$N612/100</f>
        <v>330.37500000000006</v>
      </c>
      <c r="BB636" s="16">
        <f t="shared" si="425"/>
        <v>-32250.36088639079</v>
      </c>
      <c r="BC636" s="15">
        <f t="shared" si="400"/>
        <v>22.170849845882874</v>
      </c>
      <c r="BD636" s="75">
        <f>BC636*(1-PARAM!$C$27)*$I$16+(MOD($B636,60)=PARAM!$B$56)*($B636&gt;(60-PARAM!$B$56))*HLOOKUP(($B636+PARAM!$B$56)/12,Loyalty,2)*$F$1*MAX(BF635,0)</f>
        <v>18.557001321003963</v>
      </c>
      <c r="BE636" s="75">
        <f>PARAM!$C$26+MAX($G$16-CHOOSE(PARAM!$B$44,MAX(0,BF635*$F$1),0),0)*RATES!$L612/12+$H$16*(PARAM!$D$51/12)*RATES!$N612/100</f>
        <v>330.37500000000006</v>
      </c>
      <c r="BF636" s="16">
        <f t="shared" si="426"/>
        <v>-32250.36088639079</v>
      </c>
      <c r="BG636" s="15">
        <f t="shared" si="401"/>
        <v>22.170849845882874</v>
      </c>
      <c r="BH636" s="75">
        <f>BG636*(1-PARAM!$C$27)*$I$17+(MOD($B636,60)=PARAM!$B$56)*($B636&gt;(60-PARAM!$B$56))*HLOOKUP(($B636+PARAM!$B$56)/12,Loyalty,2)*$F$1*MAX(BJ635,0)</f>
        <v>18.557001321003963</v>
      </c>
      <c r="BI636" s="75">
        <f>PARAM!$C$26+MAX($G$17-CHOOSE(PARAM!$B$44,MAX(0,BJ635*$F$1),0),0)*RATES!$L612/12+$H$17*(PARAM!$D$51/12)*RATES!$N612/100</f>
        <v>330.37500000000006</v>
      </c>
      <c r="BJ636" s="16">
        <f t="shared" si="427"/>
        <v>-32250.36088639079</v>
      </c>
      <c r="BK636" s="15">
        <f t="shared" si="402"/>
        <v>22.170849845882874</v>
      </c>
      <c r="BL636" s="75">
        <f>BK636*(1-PARAM!$C$27)*$I$18+(MOD($B636,60)=PARAM!$B$56)*($B636&gt;(60-PARAM!$B$56))*HLOOKUP(($B636+PARAM!$B$56)/12,Loyalty,2)*$F$1*MAX(BN635,0)</f>
        <v>18.557001321003963</v>
      </c>
      <c r="BM636" s="75">
        <f>PARAM!$C$26+MAX($G$18-CHOOSE(PARAM!$B$44,MAX(0,BN635*$F$1),0),0)*RATES!$L612/12+$H$18*(PARAM!$D$51/12)*RATES!$N612/100</f>
        <v>330.37500000000006</v>
      </c>
      <c r="BN636" s="16">
        <f t="shared" si="428"/>
        <v>-32250.36088639079</v>
      </c>
      <c r="BO636" s="15">
        <f t="shared" si="403"/>
        <v>22.170849845882874</v>
      </c>
      <c r="BP636" s="75">
        <f>BO636*(1-PARAM!$C$27)*$I$19+(MOD($B636,60)=PARAM!$B$56)*($B636&gt;(60-PARAM!$B$56))*HLOOKUP(($B636+PARAM!$B$56)/12,Loyalty,2)*$F$1*MAX(BR635,0)</f>
        <v>18.557001321003963</v>
      </c>
      <c r="BQ636" s="75">
        <f>PARAM!$C$26+MAX($G$19-CHOOSE(PARAM!$B$44,MAX(0,BR635*$F$1),0),0)*RATES!$L612/12+$H$19*(PARAM!$D$51/12)*RATES!$N612/100</f>
        <v>330.37500000000006</v>
      </c>
      <c r="BR636" s="16">
        <f t="shared" si="429"/>
        <v>-32250.36088639079</v>
      </c>
      <c r="BS636" s="15">
        <f t="shared" si="404"/>
        <v>22.170849845882874</v>
      </c>
      <c r="BT636" s="75">
        <f>BS636*(1-PARAM!$C$27)*$I$20+(MOD($B636,60)=PARAM!$B$56)*($B636&gt;(60-PARAM!$B$56))*HLOOKUP(($B636+PARAM!$B$56)/12,Loyalty,2)*$F$1*MAX(BV635,0)</f>
        <v>18.557001321003963</v>
      </c>
      <c r="BU636" s="75">
        <f>PARAM!$C$26+MAX($G$20-CHOOSE(PARAM!$B$44,MAX(0,BV635*$F$1),0),0)*RATES!$L612/12+$H$20*(PARAM!$D$51/12)*RATES!$N612/100</f>
        <v>330.37500000000006</v>
      </c>
      <c r="BV636" s="16">
        <f t="shared" si="430"/>
        <v>-32250.36088639079</v>
      </c>
      <c r="BW636" s="15">
        <f t="shared" si="405"/>
        <v>22.170849845882874</v>
      </c>
      <c r="BX636" s="75">
        <f>BW636*(1-PARAM!$C$27)*$I$21+(MOD($B636,60)=PARAM!$B$56)*($B636&gt;(60-PARAM!$B$56))*HLOOKUP(($B636+PARAM!$B$56)/12,Loyalty,2)*$F$1*MAX(BZ635,0)</f>
        <v>18.557001321003963</v>
      </c>
      <c r="BY636" s="75">
        <f>PARAM!$C$26+MAX($G$21-CHOOSE(PARAM!$B$44,MAX(0,BZ635*$F$1),0),0)*RATES!$L612/12+$H$21*(PARAM!$D$51/12)*RATES!$N612/100</f>
        <v>330.37500000000006</v>
      </c>
      <c r="BZ636" s="16">
        <f t="shared" si="431"/>
        <v>-32250.36088639079</v>
      </c>
      <c r="CA636" s="15">
        <f t="shared" si="406"/>
        <v>22.170849845882874</v>
      </c>
      <c r="CB636" s="75">
        <f>CA636*(1-PARAM!$C$27)*$I$22+(MOD($B636,60)=PARAM!$B$56)*($B636&gt;(60-PARAM!$B$56))*HLOOKUP(($B636+PARAM!$B$56)/12,Loyalty,2)*$F$1*MAX(CD635,0)</f>
        <v>18.557001321003963</v>
      </c>
      <c r="CC636" s="75">
        <f>PARAM!$C$26+MAX($G$22-CHOOSE(PARAM!$B$44,MAX(0,CD635*$F$1),0),0)*RATES!$L612/12+$H$22*(PARAM!$D$51/12)*RATES!$N612/100</f>
        <v>330.37500000000006</v>
      </c>
      <c r="CD636" s="16">
        <f t="shared" si="432"/>
        <v>-32250.36088639079</v>
      </c>
      <c r="CE636" s="33">
        <f>IF(0=MOD(B636,12/PARAM!$D$51),1,0)</f>
        <v>1</v>
      </c>
      <c r="CF636" s="15">
        <f t="shared" si="407"/>
        <v>0</v>
      </c>
      <c r="CG636" s="75">
        <f>CF636*(1-PARAM!$C$27)*$R$3+(MOD($B636/12,5)=0)*($B636&gt;60)*HLOOKUP($B636/12,Loyalty,2)*$F$1*MAX(CI635,0)</f>
        <v>0</v>
      </c>
      <c r="CH636" s="75">
        <f>PARAM!$C$26+MAX($P$3-CHOOSE(PARAM!$B$44,MAX(0,CI635*$F$1),0),0)*RATES!$L612/12+$Q$3*(PARAM!$D$51/12)*RATES!$N612/100</f>
        <v>330.37500000000006</v>
      </c>
      <c r="CI636" s="16">
        <f>IF(CI635&gt;0,CI635*PARAM!$C$53,CI635)+CG636-CH636</f>
        <v>-43432</v>
      </c>
      <c r="CJ636" s="15">
        <f t="shared" si="433"/>
        <v>0</v>
      </c>
      <c r="CK636" s="75">
        <f>CJ636*(1-PARAM!$C$27)*$R$4+(MOD($B636/12,5)=0)*($B636&gt;60)*HLOOKUP($B636/12,Loyalty,2)*$F$1*MAX(CM635,0)</f>
        <v>0</v>
      </c>
      <c r="CL636" s="75">
        <f>PARAM!$C$26+MAX($P$4-CHOOSE(PARAM!$B$44,MAX(0,CM635*$F$1),0),0)*RATES!$L612/12+$Q$4*(PARAM!$D$51/12)*RATES!$N612/100</f>
        <v>330.37500000000006</v>
      </c>
      <c r="CM636" s="16">
        <f>IF(CM635&gt;0,CM635*PARAM!$C$53,CM635)+CK636-CL636</f>
        <v>-43432</v>
      </c>
      <c r="CO636" s="176"/>
    </row>
    <row r="637" spans="1:93" x14ac:dyDescent="0.2">
      <c r="A637" t="b">
        <f t="shared" si="408"/>
        <v>0</v>
      </c>
      <c r="B637" s="33">
        <v>610</v>
      </c>
      <c r="C637" s="15">
        <f t="shared" si="409"/>
        <v>20.081305947392778</v>
      </c>
      <c r="D637" s="75">
        <f>C637*(1-PARAM!$C$27)*$I$3+(MOD($B637,60)=PARAM!$B$56)*($B637&gt;(60-PARAM!$B$56))*HLOOKUP(($B637+PARAM!$B$56)/12,Loyalty,2)*$F$1*MAX(F636,0)</f>
        <v>16.808053077967756</v>
      </c>
      <c r="E637" s="75">
        <f>PARAM!$C$26+MAX($G$3-CHOOSE(PARAM!$B$44,MAX(0,F636*$F$1),0),0)*RATES!$L613/12+$H$3*(PARAM!$D$51/12)*RATES!$N613/100</f>
        <v>330.37500000000006</v>
      </c>
      <c r="F637" s="16">
        <f t="shared" si="410"/>
        <v>-33665.887813843547</v>
      </c>
      <c r="G637" s="15">
        <f t="shared" si="411"/>
        <v>22.035289406060361</v>
      </c>
      <c r="H637" s="75">
        <f>G637*(1-PARAM!$C$27)*$I$4+(MOD($B637,60)=PARAM!$B$56)*($B637&gt;(60-PARAM!$B$56))*HLOOKUP(($B637+PARAM!$B$56)/12,Loyalty,2)*$F$1*MAX(J636,0)</f>
        <v>18.443537232872522</v>
      </c>
      <c r="I637" s="75">
        <f>PARAM!$C$26+MAX($G$4-CHOOSE(PARAM!$B$44,MAX(0,J636*$F$1),0),0)*RATES!$L613/12+$H$4*(PARAM!$D$51/12)*RATES!$N613/100</f>
        <v>330.37500000000006</v>
      </c>
      <c r="J637" s="16">
        <f t="shared" si="412"/>
        <v>-32634.409515229792</v>
      </c>
      <c r="K637" s="15">
        <f t="shared" si="413"/>
        <v>22.170849845882874</v>
      </c>
      <c r="L637" s="75">
        <f>K637*(1-PARAM!$C$27)*$I$5+(MOD($B637,60)=PARAM!$B$56)*($B637&gt;(60-PARAM!$B$56))*HLOOKUP(($B637+PARAM!$B$56)/12,Loyalty,2)*$F$1*MAX(N636,0)</f>
        <v>18.557001321003963</v>
      </c>
      <c r="M637" s="75">
        <f>PARAM!$C$26+MAX($G$5-CHOOSE(PARAM!$B$44,MAX(0,N636*$F$1),0),0)*RATES!$L613/12+$H$5*(PARAM!$D$51/12)*RATES!$N613/100</f>
        <v>330.37500000000006</v>
      </c>
      <c r="N637" s="16">
        <f t="shared" si="414"/>
        <v>-32562.178885069785</v>
      </c>
      <c r="O637" s="15">
        <f t="shared" si="415"/>
        <v>22.170849845882874</v>
      </c>
      <c r="P637" s="75">
        <f>O637*(1-PARAM!$C$27)*$I$6+(MOD($B637,60)=PARAM!$B$56)*($B637&gt;(60-PARAM!$B$56))*HLOOKUP(($B637+PARAM!$B$56)/12,Loyalty,2)*$F$1*MAX(R636,0)</f>
        <v>18.557001321003963</v>
      </c>
      <c r="Q637" s="75">
        <f>PARAM!$C$26+MAX($G$6-CHOOSE(PARAM!$B$44,MAX(0,R636*$F$1),0),0)*RATES!$L613/12+$H$6*(PARAM!$D$51/12)*RATES!$N613/100</f>
        <v>330.37500000000006</v>
      </c>
      <c r="R637" s="16">
        <f t="shared" si="416"/>
        <v>-32562.178885069785</v>
      </c>
      <c r="S637" s="15">
        <f t="shared" si="391"/>
        <v>22.170849845882874</v>
      </c>
      <c r="T637" s="75">
        <f>S637*(1-PARAM!$C$27)*$I$7+(MOD($B637,60)=PARAM!$B$56)*($B637&gt;(60-PARAM!$B$56))*HLOOKUP(($B637+PARAM!$B$56)/12,Loyalty,2)*$F$1*MAX(V636,0)</f>
        <v>18.557001321003963</v>
      </c>
      <c r="U637" s="75">
        <f>PARAM!$C$26+MAX($G$7-CHOOSE(PARAM!$B$44,MAX(0,V636*$F$1),0),0)*RATES!$L613/12+$H$7*(PARAM!$D$51/12)*RATES!$N613/100</f>
        <v>330.37500000000006</v>
      </c>
      <c r="V637" s="16">
        <f t="shared" si="417"/>
        <v>-32562.178885069785</v>
      </c>
      <c r="W637" s="15">
        <f t="shared" si="392"/>
        <v>22.170849845882874</v>
      </c>
      <c r="X637" s="75">
        <f>W637*(1-PARAM!$C$27)*$I$8+(MOD($B637,60)=PARAM!$B$56)*($B637&gt;(60-PARAM!$B$56))*HLOOKUP(($B637+PARAM!$B$56)/12,Loyalty,2)*$F$1*MAX(Z636,0)</f>
        <v>18.557001321003963</v>
      </c>
      <c r="Y637" s="75">
        <f>PARAM!$C$26+MAX($G$8-CHOOSE(PARAM!$B$44,MAX(0,Z636*$F$1),0),0)*RATES!$L613/12+$H$8*(PARAM!$D$51/12)*RATES!$N613/100</f>
        <v>330.37500000000006</v>
      </c>
      <c r="Z637" s="16">
        <f t="shared" si="418"/>
        <v>-32562.178885069785</v>
      </c>
      <c r="AA637" s="15">
        <f t="shared" si="393"/>
        <v>22.170849845882874</v>
      </c>
      <c r="AB637" s="75">
        <f>AA637*(1-PARAM!$C$27)*$I$9+(MOD($B637,60)=PARAM!$B$56)*($B637&gt;(60-PARAM!$B$56))*HLOOKUP(($B637+PARAM!$B$56)/12,Loyalty,2)*$F$1*MAX(AD636,0)</f>
        <v>18.557001321003963</v>
      </c>
      <c r="AC637" s="75">
        <f>PARAM!$C$26+MAX($G$9-CHOOSE(PARAM!$B$44,MAX(0,AD636*$F$1),0),0)*RATES!$L613/12+$H$9*(PARAM!$D$51/12)*RATES!$N613/100</f>
        <v>330.37500000000006</v>
      </c>
      <c r="AD637" s="16">
        <f t="shared" si="419"/>
        <v>-32562.178885069785</v>
      </c>
      <c r="AE637" s="15">
        <f t="shared" si="394"/>
        <v>22.170849845882874</v>
      </c>
      <c r="AF637" s="75">
        <f>AE637*(1-PARAM!$C$27)*$I$10+(MOD($B637,60)=PARAM!$B$56)*($B637&gt;(60-PARAM!$B$56))*HLOOKUP(($B637+PARAM!$B$56)/12,Loyalty,2)*$F$1*MAX(AH636,0)</f>
        <v>18.557001321003963</v>
      </c>
      <c r="AG637" s="75">
        <f>PARAM!$C$26+MAX($G$10-CHOOSE(PARAM!$B$44,MAX(0,AH636*$F$1),0),0)*RATES!$L613/12+$H$10*(PARAM!$D$51/12)*RATES!$N613/100</f>
        <v>330.37500000000006</v>
      </c>
      <c r="AH637" s="16">
        <f t="shared" si="420"/>
        <v>-32562.178885069785</v>
      </c>
      <c r="AI637" s="15">
        <f t="shared" si="395"/>
        <v>22.170849845882874</v>
      </c>
      <c r="AJ637" s="75">
        <f>AI637*(1-PARAM!$C$27)*$I$11+(MOD($B637,60)=PARAM!$B$56)*($B637&gt;(60-PARAM!$B$56))*HLOOKUP(($B637+PARAM!$B$56)/12,Loyalty,2)*$F$1*MAX(AL636,0)</f>
        <v>18.557001321003963</v>
      </c>
      <c r="AK637" s="75">
        <f>PARAM!$C$26+MAX($G$11-CHOOSE(PARAM!$B$44,MAX(0,AL636*$F$1),0),0)*RATES!$L613/12+$H$11*(PARAM!$D$51/12)*RATES!$N613/100</f>
        <v>330.37500000000006</v>
      </c>
      <c r="AL637" s="16">
        <f t="shared" si="421"/>
        <v>-32562.178885069785</v>
      </c>
      <c r="AM637" s="15">
        <f t="shared" si="396"/>
        <v>22.170849845882874</v>
      </c>
      <c r="AN637" s="75">
        <f>AM637*(1-PARAM!$C$27)*$I$12+(MOD($B637,60)=PARAM!$B$56)*($B637&gt;(60-PARAM!$B$56))*HLOOKUP(($B637+PARAM!$B$56)/12,Loyalty,2)*$F$1*MAX(AP636,0)</f>
        <v>18.557001321003963</v>
      </c>
      <c r="AO637" s="75">
        <f>PARAM!$C$26+MAX($G$12-CHOOSE(PARAM!$B$44,MAX(0,AP636*$F$1),0),0)*RATES!$L613/12+$H$12*(PARAM!$D$51/12)*RATES!$N613/100</f>
        <v>330.37500000000006</v>
      </c>
      <c r="AP637" s="16">
        <f t="shared" si="422"/>
        <v>-32562.178885069785</v>
      </c>
      <c r="AQ637" s="15">
        <f t="shared" si="397"/>
        <v>22.170849845882874</v>
      </c>
      <c r="AR637" s="75">
        <f>AQ637*(1-PARAM!$C$27)*$I$13+(MOD($B637,60)=PARAM!$B$56)*($B637&gt;(60-PARAM!$B$56))*HLOOKUP(($B637+PARAM!$B$56)/12,Loyalty,2)*$F$1*MAX(AT636,0)</f>
        <v>18.557001321003963</v>
      </c>
      <c r="AS637" s="75">
        <f>PARAM!$C$26+MAX($G$13-CHOOSE(PARAM!$B$44,MAX(0,AT636*$F$1),0),0)*RATES!$L613/12+$H$13*(PARAM!$D$51/12)*RATES!$N613/100</f>
        <v>330.37500000000006</v>
      </c>
      <c r="AT637" s="16">
        <f t="shared" si="423"/>
        <v>-32562.178885069785</v>
      </c>
      <c r="AU637" s="15">
        <f t="shared" si="398"/>
        <v>22.170849845882874</v>
      </c>
      <c r="AV637" s="75">
        <f>AU637*(1-PARAM!$C$27)*$I$14+(MOD($B637,60)=PARAM!$B$56)*($B637&gt;(60-PARAM!$B$56))*HLOOKUP(($B637+PARAM!$B$56)/12,Loyalty,2)*$F$1*MAX(AX636,0)</f>
        <v>18.557001321003963</v>
      </c>
      <c r="AW637" s="75">
        <f>PARAM!$C$26+MAX($G$14-CHOOSE(PARAM!$B$44,MAX(0,AX636*$F$1),0),0)*RATES!$L613/12+$H$14*(PARAM!$D$51/12)*RATES!$N613/100</f>
        <v>330.37500000000006</v>
      </c>
      <c r="AX637" s="16">
        <f t="shared" si="424"/>
        <v>-32562.178885069785</v>
      </c>
      <c r="AY637" s="15">
        <f t="shared" si="399"/>
        <v>22.170849845882874</v>
      </c>
      <c r="AZ637" s="75">
        <f>AY637*(1-PARAM!$C$27)*$I$15+(MOD($B637,60)=PARAM!$B$56)*($B637&gt;(60-PARAM!$B$56))*HLOOKUP(($B637+PARAM!$B$56)/12,Loyalty,2)*$F$1*MAX(BB636,0)</f>
        <v>18.557001321003963</v>
      </c>
      <c r="BA637" s="75">
        <f>PARAM!$C$26+MAX($G$15-CHOOSE(PARAM!$B$44,MAX(0,BB636*$F$1),0),0)*RATES!$L613/12+$H$15*(PARAM!$D$51/12)*RATES!$N613/100</f>
        <v>330.37500000000006</v>
      </c>
      <c r="BB637" s="16">
        <f t="shared" si="425"/>
        <v>-32562.178885069785</v>
      </c>
      <c r="BC637" s="15">
        <f t="shared" si="400"/>
        <v>22.170849845882874</v>
      </c>
      <c r="BD637" s="75">
        <f>BC637*(1-PARAM!$C$27)*$I$16+(MOD($B637,60)=PARAM!$B$56)*($B637&gt;(60-PARAM!$B$56))*HLOOKUP(($B637+PARAM!$B$56)/12,Loyalty,2)*$F$1*MAX(BF636,0)</f>
        <v>18.557001321003963</v>
      </c>
      <c r="BE637" s="75">
        <f>PARAM!$C$26+MAX($G$16-CHOOSE(PARAM!$B$44,MAX(0,BF636*$F$1),0),0)*RATES!$L613/12+$H$16*(PARAM!$D$51/12)*RATES!$N613/100</f>
        <v>330.37500000000006</v>
      </c>
      <c r="BF637" s="16">
        <f t="shared" si="426"/>
        <v>-32562.178885069785</v>
      </c>
      <c r="BG637" s="15">
        <f t="shared" si="401"/>
        <v>22.170849845882874</v>
      </c>
      <c r="BH637" s="75">
        <f>BG637*(1-PARAM!$C$27)*$I$17+(MOD($B637,60)=PARAM!$B$56)*($B637&gt;(60-PARAM!$B$56))*HLOOKUP(($B637+PARAM!$B$56)/12,Loyalty,2)*$F$1*MAX(BJ636,0)</f>
        <v>18.557001321003963</v>
      </c>
      <c r="BI637" s="75">
        <f>PARAM!$C$26+MAX($G$17-CHOOSE(PARAM!$B$44,MAX(0,BJ636*$F$1),0),0)*RATES!$L613/12+$H$17*(PARAM!$D$51/12)*RATES!$N613/100</f>
        <v>330.37500000000006</v>
      </c>
      <c r="BJ637" s="16">
        <f t="shared" si="427"/>
        <v>-32562.178885069785</v>
      </c>
      <c r="BK637" s="15">
        <f t="shared" si="402"/>
        <v>22.170849845882874</v>
      </c>
      <c r="BL637" s="75">
        <f>BK637*(1-PARAM!$C$27)*$I$18+(MOD($B637,60)=PARAM!$B$56)*($B637&gt;(60-PARAM!$B$56))*HLOOKUP(($B637+PARAM!$B$56)/12,Loyalty,2)*$F$1*MAX(BN636,0)</f>
        <v>18.557001321003963</v>
      </c>
      <c r="BM637" s="75">
        <f>PARAM!$C$26+MAX($G$18-CHOOSE(PARAM!$B$44,MAX(0,BN636*$F$1),0),0)*RATES!$L613/12+$H$18*(PARAM!$D$51/12)*RATES!$N613/100</f>
        <v>330.37500000000006</v>
      </c>
      <c r="BN637" s="16">
        <f t="shared" si="428"/>
        <v>-32562.178885069785</v>
      </c>
      <c r="BO637" s="15">
        <f t="shared" si="403"/>
        <v>22.170849845882874</v>
      </c>
      <c r="BP637" s="75">
        <f>BO637*(1-PARAM!$C$27)*$I$19+(MOD($B637,60)=PARAM!$B$56)*($B637&gt;(60-PARAM!$B$56))*HLOOKUP(($B637+PARAM!$B$56)/12,Loyalty,2)*$F$1*MAX(BR636,0)</f>
        <v>18.557001321003963</v>
      </c>
      <c r="BQ637" s="75">
        <f>PARAM!$C$26+MAX($G$19-CHOOSE(PARAM!$B$44,MAX(0,BR636*$F$1),0),0)*RATES!$L613/12+$H$19*(PARAM!$D$51/12)*RATES!$N613/100</f>
        <v>330.37500000000006</v>
      </c>
      <c r="BR637" s="16">
        <f t="shared" si="429"/>
        <v>-32562.178885069785</v>
      </c>
      <c r="BS637" s="15">
        <f t="shared" si="404"/>
        <v>22.170849845882874</v>
      </c>
      <c r="BT637" s="75">
        <f>BS637*(1-PARAM!$C$27)*$I$20+(MOD($B637,60)=PARAM!$B$56)*($B637&gt;(60-PARAM!$B$56))*HLOOKUP(($B637+PARAM!$B$56)/12,Loyalty,2)*$F$1*MAX(BV636,0)</f>
        <v>18.557001321003963</v>
      </c>
      <c r="BU637" s="75">
        <f>PARAM!$C$26+MAX($G$20-CHOOSE(PARAM!$B$44,MAX(0,BV636*$F$1),0),0)*RATES!$L613/12+$H$20*(PARAM!$D$51/12)*RATES!$N613/100</f>
        <v>330.37500000000006</v>
      </c>
      <c r="BV637" s="16">
        <f t="shared" si="430"/>
        <v>-32562.178885069785</v>
      </c>
      <c r="BW637" s="15">
        <f t="shared" si="405"/>
        <v>22.170849845882874</v>
      </c>
      <c r="BX637" s="75">
        <f>BW637*(1-PARAM!$C$27)*$I$21+(MOD($B637,60)=PARAM!$B$56)*($B637&gt;(60-PARAM!$B$56))*HLOOKUP(($B637+PARAM!$B$56)/12,Loyalty,2)*$F$1*MAX(BZ636,0)</f>
        <v>18.557001321003963</v>
      </c>
      <c r="BY637" s="75">
        <f>PARAM!$C$26+MAX($G$21-CHOOSE(PARAM!$B$44,MAX(0,BZ636*$F$1),0),0)*RATES!$L613/12+$H$21*(PARAM!$D$51/12)*RATES!$N613/100</f>
        <v>330.37500000000006</v>
      </c>
      <c r="BZ637" s="16">
        <f t="shared" si="431"/>
        <v>-32562.178885069785</v>
      </c>
      <c r="CA637" s="15">
        <f t="shared" si="406"/>
        <v>22.170849845882874</v>
      </c>
      <c r="CB637" s="75">
        <f>CA637*(1-PARAM!$C$27)*$I$22+(MOD($B637,60)=PARAM!$B$56)*($B637&gt;(60-PARAM!$B$56))*HLOOKUP(($B637+PARAM!$B$56)/12,Loyalty,2)*$F$1*MAX(CD636,0)</f>
        <v>18.557001321003963</v>
      </c>
      <c r="CC637" s="75">
        <f>PARAM!$C$26+MAX($G$22-CHOOSE(PARAM!$B$44,MAX(0,CD636*$F$1),0),0)*RATES!$L613/12+$H$22*(PARAM!$D$51/12)*RATES!$N613/100</f>
        <v>330.37500000000006</v>
      </c>
      <c r="CD637" s="16">
        <f t="shared" si="432"/>
        <v>-32562.178885069785</v>
      </c>
      <c r="CE637" s="33">
        <f>IF(0=MOD(B637,12/PARAM!$D$51),1,0)</f>
        <v>1</v>
      </c>
      <c r="CF637" s="15">
        <f t="shared" si="407"/>
        <v>0</v>
      </c>
      <c r="CG637" s="75">
        <f>CF637*(1-PARAM!$C$27)*$R$3+(MOD($B637/12,5)=0)*($B637&gt;60)*HLOOKUP($B637/12,Loyalty,2)*$F$1*MAX(CI636,0)</f>
        <v>0</v>
      </c>
      <c r="CH637" s="75">
        <f>PARAM!$C$26+MAX($P$3-CHOOSE(PARAM!$B$44,MAX(0,CI636*$F$1),0),0)*RATES!$L613/12+$Q$3*(PARAM!$D$51/12)*RATES!$N613/100</f>
        <v>330.37500000000006</v>
      </c>
      <c r="CI637" s="16">
        <f>IF(CI636&gt;0,CI636*PARAM!$C$53,CI636)+CG637-CH637</f>
        <v>-43762.375</v>
      </c>
      <c r="CJ637" s="15">
        <f t="shared" si="433"/>
        <v>0</v>
      </c>
      <c r="CK637" s="75">
        <f>CJ637*(1-PARAM!$C$27)*$R$4+(MOD($B637/12,5)=0)*($B637&gt;60)*HLOOKUP($B637/12,Loyalty,2)*$F$1*MAX(CM636,0)</f>
        <v>0</v>
      </c>
      <c r="CL637" s="75">
        <f>PARAM!$C$26+MAX($P$4-CHOOSE(PARAM!$B$44,MAX(0,CM636*$F$1),0),0)*RATES!$L613/12+$Q$4*(PARAM!$D$51/12)*RATES!$N613/100</f>
        <v>330.37500000000006</v>
      </c>
      <c r="CM637" s="16">
        <f>IF(CM636&gt;0,CM636*PARAM!$C$53,CM636)+CK637-CL637</f>
        <v>-43762.375</v>
      </c>
      <c r="CO637" s="176"/>
    </row>
    <row r="638" spans="1:93" x14ac:dyDescent="0.2">
      <c r="A638" t="b">
        <f t="shared" si="408"/>
        <v>0</v>
      </c>
      <c r="B638" s="33">
        <v>611</v>
      </c>
      <c r="C638" s="15">
        <f t="shared" si="409"/>
        <v>20.081305947392778</v>
      </c>
      <c r="D638" s="75">
        <f>C638*(1-PARAM!$C$27)*$I$3+(MOD($B638,60)=PARAM!$B$56)*($B638&gt;(60-PARAM!$B$56))*HLOOKUP(($B638+PARAM!$B$56)/12,Loyalty,2)*$F$1*MAX(F637,0)</f>
        <v>16.808053077967756</v>
      </c>
      <c r="E638" s="75">
        <f>PARAM!$C$26+MAX($G$3-CHOOSE(PARAM!$B$44,MAX(0,F637*$F$1),0),0)*RATES!$L614/12+$H$3*(PARAM!$D$51/12)*RATES!$N614/100</f>
        <v>330.37500000000006</v>
      </c>
      <c r="F638" s="16">
        <f t="shared" si="410"/>
        <v>-33979.454760765577</v>
      </c>
      <c r="G638" s="15">
        <f t="shared" si="411"/>
        <v>22.035289406060361</v>
      </c>
      <c r="H638" s="75">
        <f>G638*(1-PARAM!$C$27)*$I$4+(MOD($B638,60)=PARAM!$B$56)*($B638&gt;(60-PARAM!$B$56))*HLOOKUP(($B638+PARAM!$B$56)/12,Loyalty,2)*$F$1*MAX(J637,0)</f>
        <v>18.443537232872522</v>
      </c>
      <c r="I638" s="75">
        <f>PARAM!$C$26+MAX($G$4-CHOOSE(PARAM!$B$44,MAX(0,J637*$F$1),0),0)*RATES!$L614/12+$H$4*(PARAM!$D$51/12)*RATES!$N614/100</f>
        <v>330.37500000000006</v>
      </c>
      <c r="J638" s="16">
        <f t="shared" si="412"/>
        <v>-32946.340977996922</v>
      </c>
      <c r="K638" s="15">
        <f t="shared" si="413"/>
        <v>22.170849845882874</v>
      </c>
      <c r="L638" s="75">
        <f>K638*(1-PARAM!$C$27)*$I$5+(MOD($B638,60)=PARAM!$B$56)*($B638&gt;(60-PARAM!$B$56))*HLOOKUP(($B638+PARAM!$B$56)/12,Loyalty,2)*$F$1*MAX(N637,0)</f>
        <v>18.557001321003963</v>
      </c>
      <c r="M638" s="75">
        <f>PARAM!$C$26+MAX($G$5-CHOOSE(PARAM!$B$44,MAX(0,N637*$F$1),0),0)*RATES!$L614/12+$H$5*(PARAM!$D$51/12)*RATES!$N614/100</f>
        <v>330.37500000000006</v>
      </c>
      <c r="N638" s="16">
        <f t="shared" si="414"/>
        <v>-32873.996883748783</v>
      </c>
      <c r="O638" s="15">
        <f t="shared" si="415"/>
        <v>22.170849845882874</v>
      </c>
      <c r="P638" s="75">
        <f>O638*(1-PARAM!$C$27)*$I$6+(MOD($B638,60)=PARAM!$B$56)*($B638&gt;(60-PARAM!$B$56))*HLOOKUP(($B638+PARAM!$B$56)/12,Loyalty,2)*$F$1*MAX(R637,0)</f>
        <v>18.557001321003963</v>
      </c>
      <c r="Q638" s="75">
        <f>PARAM!$C$26+MAX($G$6-CHOOSE(PARAM!$B$44,MAX(0,R637*$F$1),0),0)*RATES!$L614/12+$H$6*(PARAM!$D$51/12)*RATES!$N614/100</f>
        <v>330.37500000000006</v>
      </c>
      <c r="R638" s="16">
        <f t="shared" si="416"/>
        <v>-32873.996883748783</v>
      </c>
      <c r="S638" s="15">
        <f t="shared" si="391"/>
        <v>22.170849845882874</v>
      </c>
      <c r="T638" s="75">
        <f>S638*(1-PARAM!$C$27)*$I$7+(MOD($B638,60)=PARAM!$B$56)*($B638&gt;(60-PARAM!$B$56))*HLOOKUP(($B638+PARAM!$B$56)/12,Loyalty,2)*$F$1*MAX(V637,0)</f>
        <v>18.557001321003963</v>
      </c>
      <c r="U638" s="75">
        <f>PARAM!$C$26+MAX($G$7-CHOOSE(PARAM!$B$44,MAX(0,V637*$F$1),0),0)*RATES!$L614/12+$H$7*(PARAM!$D$51/12)*RATES!$N614/100</f>
        <v>330.37500000000006</v>
      </c>
      <c r="V638" s="16">
        <f t="shared" si="417"/>
        <v>-32873.996883748783</v>
      </c>
      <c r="W638" s="15">
        <f t="shared" si="392"/>
        <v>22.170849845882874</v>
      </c>
      <c r="X638" s="75">
        <f>W638*(1-PARAM!$C$27)*$I$8+(MOD($B638,60)=PARAM!$B$56)*($B638&gt;(60-PARAM!$B$56))*HLOOKUP(($B638+PARAM!$B$56)/12,Loyalty,2)*$F$1*MAX(Z637,0)</f>
        <v>18.557001321003963</v>
      </c>
      <c r="Y638" s="75">
        <f>PARAM!$C$26+MAX($G$8-CHOOSE(PARAM!$B$44,MAX(0,Z637*$F$1),0),0)*RATES!$L614/12+$H$8*(PARAM!$D$51/12)*RATES!$N614/100</f>
        <v>330.37500000000006</v>
      </c>
      <c r="Z638" s="16">
        <f t="shared" si="418"/>
        <v>-32873.996883748783</v>
      </c>
      <c r="AA638" s="15">
        <f t="shared" si="393"/>
        <v>22.170849845882874</v>
      </c>
      <c r="AB638" s="75">
        <f>AA638*(1-PARAM!$C$27)*$I$9+(MOD($B638,60)=PARAM!$B$56)*($B638&gt;(60-PARAM!$B$56))*HLOOKUP(($B638+PARAM!$B$56)/12,Loyalty,2)*$F$1*MAX(AD637,0)</f>
        <v>18.557001321003963</v>
      </c>
      <c r="AC638" s="75">
        <f>PARAM!$C$26+MAX($G$9-CHOOSE(PARAM!$B$44,MAX(0,AD637*$F$1),0),0)*RATES!$L614/12+$H$9*(PARAM!$D$51/12)*RATES!$N614/100</f>
        <v>330.37500000000006</v>
      </c>
      <c r="AD638" s="16">
        <f t="shared" si="419"/>
        <v>-32873.996883748783</v>
      </c>
      <c r="AE638" s="15">
        <f t="shared" si="394"/>
        <v>22.170849845882874</v>
      </c>
      <c r="AF638" s="75">
        <f>AE638*(1-PARAM!$C$27)*$I$10+(MOD($B638,60)=PARAM!$B$56)*($B638&gt;(60-PARAM!$B$56))*HLOOKUP(($B638+PARAM!$B$56)/12,Loyalty,2)*$F$1*MAX(AH637,0)</f>
        <v>18.557001321003963</v>
      </c>
      <c r="AG638" s="75">
        <f>PARAM!$C$26+MAX($G$10-CHOOSE(PARAM!$B$44,MAX(0,AH637*$F$1),0),0)*RATES!$L614/12+$H$10*(PARAM!$D$51/12)*RATES!$N614/100</f>
        <v>330.37500000000006</v>
      </c>
      <c r="AH638" s="16">
        <f t="shared" si="420"/>
        <v>-32873.996883748783</v>
      </c>
      <c r="AI638" s="15">
        <f t="shared" si="395"/>
        <v>22.170849845882874</v>
      </c>
      <c r="AJ638" s="75">
        <f>AI638*(1-PARAM!$C$27)*$I$11+(MOD($B638,60)=PARAM!$B$56)*($B638&gt;(60-PARAM!$B$56))*HLOOKUP(($B638+PARAM!$B$56)/12,Loyalty,2)*$F$1*MAX(AL637,0)</f>
        <v>18.557001321003963</v>
      </c>
      <c r="AK638" s="75">
        <f>PARAM!$C$26+MAX($G$11-CHOOSE(PARAM!$B$44,MAX(0,AL637*$F$1),0),0)*RATES!$L614/12+$H$11*(PARAM!$D$51/12)*RATES!$N614/100</f>
        <v>330.37500000000006</v>
      </c>
      <c r="AL638" s="16">
        <f t="shared" si="421"/>
        <v>-32873.996883748783</v>
      </c>
      <c r="AM638" s="15">
        <f t="shared" si="396"/>
        <v>22.170849845882874</v>
      </c>
      <c r="AN638" s="75">
        <f>AM638*(1-PARAM!$C$27)*$I$12+(MOD($B638,60)=PARAM!$B$56)*($B638&gt;(60-PARAM!$B$56))*HLOOKUP(($B638+PARAM!$B$56)/12,Loyalty,2)*$F$1*MAX(AP637,0)</f>
        <v>18.557001321003963</v>
      </c>
      <c r="AO638" s="75">
        <f>PARAM!$C$26+MAX($G$12-CHOOSE(PARAM!$B$44,MAX(0,AP637*$F$1),0),0)*RATES!$L614/12+$H$12*(PARAM!$D$51/12)*RATES!$N614/100</f>
        <v>330.37500000000006</v>
      </c>
      <c r="AP638" s="16">
        <f t="shared" si="422"/>
        <v>-32873.996883748783</v>
      </c>
      <c r="AQ638" s="15">
        <f t="shared" si="397"/>
        <v>22.170849845882874</v>
      </c>
      <c r="AR638" s="75">
        <f>AQ638*(1-PARAM!$C$27)*$I$13+(MOD($B638,60)=PARAM!$B$56)*($B638&gt;(60-PARAM!$B$56))*HLOOKUP(($B638+PARAM!$B$56)/12,Loyalty,2)*$F$1*MAX(AT637,0)</f>
        <v>18.557001321003963</v>
      </c>
      <c r="AS638" s="75">
        <f>PARAM!$C$26+MAX($G$13-CHOOSE(PARAM!$B$44,MAX(0,AT637*$F$1),0),0)*RATES!$L614/12+$H$13*(PARAM!$D$51/12)*RATES!$N614/100</f>
        <v>330.37500000000006</v>
      </c>
      <c r="AT638" s="16">
        <f t="shared" si="423"/>
        <v>-32873.996883748783</v>
      </c>
      <c r="AU638" s="15">
        <f t="shared" si="398"/>
        <v>22.170849845882874</v>
      </c>
      <c r="AV638" s="75">
        <f>AU638*(1-PARAM!$C$27)*$I$14+(MOD($B638,60)=PARAM!$B$56)*($B638&gt;(60-PARAM!$B$56))*HLOOKUP(($B638+PARAM!$B$56)/12,Loyalty,2)*$F$1*MAX(AX637,0)</f>
        <v>18.557001321003963</v>
      </c>
      <c r="AW638" s="75">
        <f>PARAM!$C$26+MAX($G$14-CHOOSE(PARAM!$B$44,MAX(0,AX637*$F$1),0),0)*RATES!$L614/12+$H$14*(PARAM!$D$51/12)*RATES!$N614/100</f>
        <v>330.37500000000006</v>
      </c>
      <c r="AX638" s="16">
        <f t="shared" si="424"/>
        <v>-32873.996883748783</v>
      </c>
      <c r="AY638" s="15">
        <f t="shared" si="399"/>
        <v>22.170849845882874</v>
      </c>
      <c r="AZ638" s="75">
        <f>AY638*(1-PARAM!$C$27)*$I$15+(MOD($B638,60)=PARAM!$B$56)*($B638&gt;(60-PARAM!$B$56))*HLOOKUP(($B638+PARAM!$B$56)/12,Loyalty,2)*$F$1*MAX(BB637,0)</f>
        <v>18.557001321003963</v>
      </c>
      <c r="BA638" s="75">
        <f>PARAM!$C$26+MAX($G$15-CHOOSE(PARAM!$B$44,MAX(0,BB637*$F$1),0),0)*RATES!$L614/12+$H$15*(PARAM!$D$51/12)*RATES!$N614/100</f>
        <v>330.37500000000006</v>
      </c>
      <c r="BB638" s="16">
        <f t="shared" si="425"/>
        <v>-32873.996883748783</v>
      </c>
      <c r="BC638" s="15">
        <f t="shared" si="400"/>
        <v>22.170849845882874</v>
      </c>
      <c r="BD638" s="75">
        <f>BC638*(1-PARAM!$C$27)*$I$16+(MOD($B638,60)=PARAM!$B$56)*($B638&gt;(60-PARAM!$B$56))*HLOOKUP(($B638+PARAM!$B$56)/12,Loyalty,2)*$F$1*MAX(BF637,0)</f>
        <v>18.557001321003963</v>
      </c>
      <c r="BE638" s="75">
        <f>PARAM!$C$26+MAX($G$16-CHOOSE(PARAM!$B$44,MAX(0,BF637*$F$1),0),0)*RATES!$L614/12+$H$16*(PARAM!$D$51/12)*RATES!$N614/100</f>
        <v>330.37500000000006</v>
      </c>
      <c r="BF638" s="16">
        <f t="shared" si="426"/>
        <v>-32873.996883748783</v>
      </c>
      <c r="BG638" s="15">
        <f t="shared" si="401"/>
        <v>22.170849845882874</v>
      </c>
      <c r="BH638" s="75">
        <f>BG638*(1-PARAM!$C$27)*$I$17+(MOD($B638,60)=PARAM!$B$56)*($B638&gt;(60-PARAM!$B$56))*HLOOKUP(($B638+PARAM!$B$56)/12,Loyalty,2)*$F$1*MAX(BJ637,0)</f>
        <v>18.557001321003963</v>
      </c>
      <c r="BI638" s="75">
        <f>PARAM!$C$26+MAX($G$17-CHOOSE(PARAM!$B$44,MAX(0,BJ637*$F$1),0),0)*RATES!$L614/12+$H$17*(PARAM!$D$51/12)*RATES!$N614/100</f>
        <v>330.37500000000006</v>
      </c>
      <c r="BJ638" s="16">
        <f t="shared" si="427"/>
        <v>-32873.996883748783</v>
      </c>
      <c r="BK638" s="15">
        <f t="shared" si="402"/>
        <v>22.170849845882874</v>
      </c>
      <c r="BL638" s="75">
        <f>BK638*(1-PARAM!$C$27)*$I$18+(MOD($B638,60)=PARAM!$B$56)*($B638&gt;(60-PARAM!$B$56))*HLOOKUP(($B638+PARAM!$B$56)/12,Loyalty,2)*$F$1*MAX(BN637,0)</f>
        <v>18.557001321003963</v>
      </c>
      <c r="BM638" s="75">
        <f>PARAM!$C$26+MAX($G$18-CHOOSE(PARAM!$B$44,MAX(0,BN637*$F$1),0),0)*RATES!$L614/12+$H$18*(PARAM!$D$51/12)*RATES!$N614/100</f>
        <v>330.37500000000006</v>
      </c>
      <c r="BN638" s="16">
        <f t="shared" si="428"/>
        <v>-32873.996883748783</v>
      </c>
      <c r="BO638" s="15">
        <f t="shared" si="403"/>
        <v>22.170849845882874</v>
      </c>
      <c r="BP638" s="75">
        <f>BO638*(1-PARAM!$C$27)*$I$19+(MOD($B638,60)=PARAM!$B$56)*($B638&gt;(60-PARAM!$B$56))*HLOOKUP(($B638+PARAM!$B$56)/12,Loyalty,2)*$F$1*MAX(BR637,0)</f>
        <v>18.557001321003963</v>
      </c>
      <c r="BQ638" s="75">
        <f>PARAM!$C$26+MAX($G$19-CHOOSE(PARAM!$B$44,MAX(0,BR637*$F$1),0),0)*RATES!$L614/12+$H$19*(PARAM!$D$51/12)*RATES!$N614/100</f>
        <v>330.37500000000006</v>
      </c>
      <c r="BR638" s="16">
        <f t="shared" si="429"/>
        <v>-32873.996883748783</v>
      </c>
      <c r="BS638" s="15">
        <f t="shared" si="404"/>
        <v>22.170849845882874</v>
      </c>
      <c r="BT638" s="75">
        <f>BS638*(1-PARAM!$C$27)*$I$20+(MOD($B638,60)=PARAM!$B$56)*($B638&gt;(60-PARAM!$B$56))*HLOOKUP(($B638+PARAM!$B$56)/12,Loyalty,2)*$F$1*MAX(BV637,0)</f>
        <v>18.557001321003963</v>
      </c>
      <c r="BU638" s="75">
        <f>PARAM!$C$26+MAX($G$20-CHOOSE(PARAM!$B$44,MAX(0,BV637*$F$1),0),0)*RATES!$L614/12+$H$20*(PARAM!$D$51/12)*RATES!$N614/100</f>
        <v>330.37500000000006</v>
      </c>
      <c r="BV638" s="16">
        <f t="shared" si="430"/>
        <v>-32873.996883748783</v>
      </c>
      <c r="BW638" s="15">
        <f t="shared" si="405"/>
        <v>22.170849845882874</v>
      </c>
      <c r="BX638" s="75">
        <f>BW638*(1-PARAM!$C$27)*$I$21+(MOD($B638,60)=PARAM!$B$56)*($B638&gt;(60-PARAM!$B$56))*HLOOKUP(($B638+PARAM!$B$56)/12,Loyalty,2)*$F$1*MAX(BZ637,0)</f>
        <v>18.557001321003963</v>
      </c>
      <c r="BY638" s="75">
        <f>PARAM!$C$26+MAX($G$21-CHOOSE(PARAM!$B$44,MAX(0,BZ637*$F$1),0),0)*RATES!$L614/12+$H$21*(PARAM!$D$51/12)*RATES!$N614/100</f>
        <v>330.37500000000006</v>
      </c>
      <c r="BZ638" s="16">
        <f t="shared" si="431"/>
        <v>-32873.996883748783</v>
      </c>
      <c r="CA638" s="15">
        <f t="shared" si="406"/>
        <v>22.170849845882874</v>
      </c>
      <c r="CB638" s="75">
        <f>CA638*(1-PARAM!$C$27)*$I$22+(MOD($B638,60)=PARAM!$B$56)*($B638&gt;(60-PARAM!$B$56))*HLOOKUP(($B638+PARAM!$B$56)/12,Loyalty,2)*$F$1*MAX(CD637,0)</f>
        <v>18.557001321003963</v>
      </c>
      <c r="CC638" s="75">
        <f>PARAM!$C$26+MAX($G$22-CHOOSE(PARAM!$B$44,MAX(0,CD637*$F$1),0),0)*RATES!$L614/12+$H$22*(PARAM!$D$51/12)*RATES!$N614/100</f>
        <v>330.37500000000006</v>
      </c>
      <c r="CD638" s="16">
        <f t="shared" si="432"/>
        <v>-32873.996883748783</v>
      </c>
      <c r="CE638" s="33">
        <f>IF(0=MOD(B638,12/PARAM!$D$51),1,0)</f>
        <v>1</v>
      </c>
      <c r="CF638" s="15">
        <f t="shared" si="407"/>
        <v>0</v>
      </c>
      <c r="CG638" s="75">
        <f>CF638*(1-PARAM!$C$27)*$R$3+(MOD($B638/12,5)=0)*($B638&gt;60)*HLOOKUP($B638/12,Loyalty,2)*$F$1*MAX(CI637,0)</f>
        <v>0</v>
      </c>
      <c r="CH638" s="75">
        <f>PARAM!$C$26+MAX($P$3-CHOOSE(PARAM!$B$44,MAX(0,CI637*$F$1),0),0)*RATES!$L614/12+$Q$3*(PARAM!$D$51/12)*RATES!$N614/100</f>
        <v>330.37500000000006</v>
      </c>
      <c r="CI638" s="16">
        <f>IF(CI637&gt;0,CI637*PARAM!$C$53,CI637)+CG638-CH638</f>
        <v>-44092.75</v>
      </c>
      <c r="CJ638" s="15">
        <f t="shared" si="433"/>
        <v>0</v>
      </c>
      <c r="CK638" s="75">
        <f>CJ638*(1-PARAM!$C$27)*$R$4+(MOD($B638/12,5)=0)*($B638&gt;60)*HLOOKUP($B638/12,Loyalty,2)*$F$1*MAX(CM637,0)</f>
        <v>0</v>
      </c>
      <c r="CL638" s="75">
        <f>PARAM!$C$26+MAX($P$4-CHOOSE(PARAM!$B$44,MAX(0,CM637*$F$1),0),0)*RATES!$L614/12+$Q$4*(PARAM!$D$51/12)*RATES!$N614/100</f>
        <v>330.37500000000006</v>
      </c>
      <c r="CM638" s="16">
        <f>IF(CM637&gt;0,CM637*PARAM!$C$53,CM637)+CK638-CL638</f>
        <v>-44092.75</v>
      </c>
      <c r="CO638" s="176"/>
    </row>
    <row r="639" spans="1:93" x14ac:dyDescent="0.2">
      <c r="A639" t="b">
        <f t="shared" si="408"/>
        <v>0</v>
      </c>
      <c r="B639" s="33">
        <v>612</v>
      </c>
      <c r="C639" s="15">
        <f t="shared" si="409"/>
        <v>20.081305947392778</v>
      </c>
      <c r="D639" s="75">
        <f>C639*(1-PARAM!$C$27)*$I$3+(MOD($B639,60)=PARAM!$B$56)*($B639&gt;(60-PARAM!$B$56))*HLOOKUP(($B639+PARAM!$B$56)/12,Loyalty,2)*$F$1*MAX(F638,0)</f>
        <v>16.808053077967756</v>
      </c>
      <c r="E639" s="75">
        <f>PARAM!$C$26+MAX($G$3-CHOOSE(PARAM!$B$44,MAX(0,F638*$F$1),0),0)*RATES!$L615/12+$H$3*(PARAM!$D$51/12)*RATES!$N615/100</f>
        <v>330.37500000000006</v>
      </c>
      <c r="F639" s="16">
        <f t="shared" si="410"/>
        <v>-34293.021707687607</v>
      </c>
      <c r="G639" s="15">
        <f t="shared" si="411"/>
        <v>22.035289406060361</v>
      </c>
      <c r="H639" s="75">
        <f>G639*(1-PARAM!$C$27)*$I$4+(MOD($B639,60)=PARAM!$B$56)*($B639&gt;(60-PARAM!$B$56))*HLOOKUP(($B639+PARAM!$B$56)/12,Loyalty,2)*$F$1*MAX(J638,0)</f>
        <v>18.443537232872522</v>
      </c>
      <c r="I639" s="75">
        <f>PARAM!$C$26+MAX($G$4-CHOOSE(PARAM!$B$44,MAX(0,J638*$F$1),0),0)*RATES!$L615/12+$H$4*(PARAM!$D$51/12)*RATES!$N615/100</f>
        <v>330.37500000000006</v>
      </c>
      <c r="J639" s="16">
        <f t="shared" si="412"/>
        <v>-33258.272440764049</v>
      </c>
      <c r="K639" s="15">
        <f t="shared" si="413"/>
        <v>22.170849845882874</v>
      </c>
      <c r="L639" s="75">
        <f>K639*(1-PARAM!$C$27)*$I$5+(MOD($B639,60)=PARAM!$B$56)*($B639&gt;(60-PARAM!$B$56))*HLOOKUP(($B639+PARAM!$B$56)/12,Loyalty,2)*$F$1*MAX(N638,0)</f>
        <v>18.557001321003963</v>
      </c>
      <c r="M639" s="75">
        <f>PARAM!$C$26+MAX($G$5-CHOOSE(PARAM!$B$44,MAX(0,N638*$F$1),0),0)*RATES!$L615/12+$H$5*(PARAM!$D$51/12)*RATES!$N615/100</f>
        <v>330.37500000000006</v>
      </c>
      <c r="N639" s="16">
        <f t="shared" si="414"/>
        <v>-33185.814882427781</v>
      </c>
      <c r="O639" s="15">
        <f t="shared" si="415"/>
        <v>22.170849845882874</v>
      </c>
      <c r="P639" s="75">
        <f>O639*(1-PARAM!$C$27)*$I$6+(MOD($B639,60)=PARAM!$B$56)*($B639&gt;(60-PARAM!$B$56))*HLOOKUP(($B639+PARAM!$B$56)/12,Loyalty,2)*$F$1*MAX(R638,0)</f>
        <v>18.557001321003963</v>
      </c>
      <c r="Q639" s="75">
        <f>PARAM!$C$26+MAX($G$6-CHOOSE(PARAM!$B$44,MAX(0,R638*$F$1),0),0)*RATES!$L615/12+$H$6*(PARAM!$D$51/12)*RATES!$N615/100</f>
        <v>330.37500000000006</v>
      </c>
      <c r="R639" s="16">
        <f t="shared" si="416"/>
        <v>-33185.814882427781</v>
      </c>
      <c r="S639" s="15">
        <f t="shared" si="391"/>
        <v>22.170849845882874</v>
      </c>
      <c r="T639" s="75">
        <f>S639*(1-PARAM!$C$27)*$I$7+(MOD($B639,60)=PARAM!$B$56)*($B639&gt;(60-PARAM!$B$56))*HLOOKUP(($B639+PARAM!$B$56)/12,Loyalty,2)*$F$1*MAX(V638,0)</f>
        <v>18.557001321003963</v>
      </c>
      <c r="U639" s="75">
        <f>PARAM!$C$26+MAX($G$7-CHOOSE(PARAM!$B$44,MAX(0,V638*$F$1),0),0)*RATES!$L615/12+$H$7*(PARAM!$D$51/12)*RATES!$N615/100</f>
        <v>330.37500000000006</v>
      </c>
      <c r="V639" s="16">
        <f t="shared" si="417"/>
        <v>-33185.814882427781</v>
      </c>
      <c r="W639" s="15">
        <f t="shared" si="392"/>
        <v>22.170849845882874</v>
      </c>
      <c r="X639" s="75">
        <f>W639*(1-PARAM!$C$27)*$I$8+(MOD($B639,60)=PARAM!$B$56)*($B639&gt;(60-PARAM!$B$56))*HLOOKUP(($B639+PARAM!$B$56)/12,Loyalty,2)*$F$1*MAX(Z638,0)</f>
        <v>18.557001321003963</v>
      </c>
      <c r="Y639" s="75">
        <f>PARAM!$C$26+MAX($G$8-CHOOSE(PARAM!$B$44,MAX(0,Z638*$F$1),0),0)*RATES!$L615/12+$H$8*(PARAM!$D$51/12)*RATES!$N615/100</f>
        <v>330.37500000000006</v>
      </c>
      <c r="Z639" s="16">
        <f t="shared" si="418"/>
        <v>-33185.814882427781</v>
      </c>
      <c r="AA639" s="15">
        <f t="shared" si="393"/>
        <v>22.170849845882874</v>
      </c>
      <c r="AB639" s="75">
        <f>AA639*(1-PARAM!$C$27)*$I$9+(MOD($B639,60)=PARAM!$B$56)*($B639&gt;(60-PARAM!$B$56))*HLOOKUP(($B639+PARAM!$B$56)/12,Loyalty,2)*$F$1*MAX(AD638,0)</f>
        <v>18.557001321003963</v>
      </c>
      <c r="AC639" s="75">
        <f>PARAM!$C$26+MAX($G$9-CHOOSE(PARAM!$B$44,MAX(0,AD638*$F$1),0),0)*RATES!$L615/12+$H$9*(PARAM!$D$51/12)*RATES!$N615/100</f>
        <v>330.37500000000006</v>
      </c>
      <c r="AD639" s="16">
        <f t="shared" si="419"/>
        <v>-33185.814882427781</v>
      </c>
      <c r="AE639" s="15">
        <f t="shared" si="394"/>
        <v>22.170849845882874</v>
      </c>
      <c r="AF639" s="75">
        <f>AE639*(1-PARAM!$C$27)*$I$10+(MOD($B639,60)=PARAM!$B$56)*($B639&gt;(60-PARAM!$B$56))*HLOOKUP(($B639+PARAM!$B$56)/12,Loyalty,2)*$F$1*MAX(AH638,0)</f>
        <v>18.557001321003963</v>
      </c>
      <c r="AG639" s="75">
        <f>PARAM!$C$26+MAX($G$10-CHOOSE(PARAM!$B$44,MAX(0,AH638*$F$1),0),0)*RATES!$L615/12+$H$10*(PARAM!$D$51/12)*RATES!$N615/100</f>
        <v>330.37500000000006</v>
      </c>
      <c r="AH639" s="16">
        <f t="shared" si="420"/>
        <v>-33185.814882427781</v>
      </c>
      <c r="AI639" s="15">
        <f t="shared" si="395"/>
        <v>22.170849845882874</v>
      </c>
      <c r="AJ639" s="75">
        <f>AI639*(1-PARAM!$C$27)*$I$11+(MOD($B639,60)=PARAM!$B$56)*($B639&gt;(60-PARAM!$B$56))*HLOOKUP(($B639+PARAM!$B$56)/12,Loyalty,2)*$F$1*MAX(AL638,0)</f>
        <v>18.557001321003963</v>
      </c>
      <c r="AK639" s="75">
        <f>PARAM!$C$26+MAX($G$11-CHOOSE(PARAM!$B$44,MAX(0,AL638*$F$1),0),0)*RATES!$L615/12+$H$11*(PARAM!$D$51/12)*RATES!$N615/100</f>
        <v>330.37500000000006</v>
      </c>
      <c r="AL639" s="16">
        <f t="shared" si="421"/>
        <v>-33185.814882427781</v>
      </c>
      <c r="AM639" s="15">
        <f t="shared" si="396"/>
        <v>22.170849845882874</v>
      </c>
      <c r="AN639" s="75">
        <f>AM639*(1-PARAM!$C$27)*$I$12+(MOD($B639,60)=PARAM!$B$56)*($B639&gt;(60-PARAM!$B$56))*HLOOKUP(($B639+PARAM!$B$56)/12,Loyalty,2)*$F$1*MAX(AP638,0)</f>
        <v>18.557001321003963</v>
      </c>
      <c r="AO639" s="75">
        <f>PARAM!$C$26+MAX($G$12-CHOOSE(PARAM!$B$44,MAX(0,AP638*$F$1),0),0)*RATES!$L615/12+$H$12*(PARAM!$D$51/12)*RATES!$N615/100</f>
        <v>330.37500000000006</v>
      </c>
      <c r="AP639" s="16">
        <f t="shared" si="422"/>
        <v>-33185.814882427781</v>
      </c>
      <c r="AQ639" s="15">
        <f t="shared" si="397"/>
        <v>22.170849845882874</v>
      </c>
      <c r="AR639" s="75">
        <f>AQ639*(1-PARAM!$C$27)*$I$13+(MOD($B639,60)=PARAM!$B$56)*($B639&gt;(60-PARAM!$B$56))*HLOOKUP(($B639+PARAM!$B$56)/12,Loyalty,2)*$F$1*MAX(AT638,0)</f>
        <v>18.557001321003963</v>
      </c>
      <c r="AS639" s="75">
        <f>PARAM!$C$26+MAX($G$13-CHOOSE(PARAM!$B$44,MAX(0,AT638*$F$1),0),0)*RATES!$L615/12+$H$13*(PARAM!$D$51/12)*RATES!$N615/100</f>
        <v>330.37500000000006</v>
      </c>
      <c r="AT639" s="16">
        <f t="shared" si="423"/>
        <v>-33185.814882427781</v>
      </c>
      <c r="AU639" s="15">
        <f t="shared" si="398"/>
        <v>22.170849845882874</v>
      </c>
      <c r="AV639" s="75">
        <f>AU639*(1-PARAM!$C$27)*$I$14+(MOD($B639,60)=PARAM!$B$56)*($B639&gt;(60-PARAM!$B$56))*HLOOKUP(($B639+PARAM!$B$56)/12,Loyalty,2)*$F$1*MAX(AX638,0)</f>
        <v>18.557001321003963</v>
      </c>
      <c r="AW639" s="75">
        <f>PARAM!$C$26+MAX($G$14-CHOOSE(PARAM!$B$44,MAX(0,AX638*$F$1),0),0)*RATES!$L615/12+$H$14*(PARAM!$D$51/12)*RATES!$N615/100</f>
        <v>330.37500000000006</v>
      </c>
      <c r="AX639" s="16">
        <f t="shared" si="424"/>
        <v>-33185.814882427781</v>
      </c>
      <c r="AY639" s="15">
        <f t="shared" si="399"/>
        <v>22.170849845882874</v>
      </c>
      <c r="AZ639" s="75">
        <f>AY639*(1-PARAM!$C$27)*$I$15+(MOD($B639,60)=PARAM!$B$56)*($B639&gt;(60-PARAM!$B$56))*HLOOKUP(($B639+PARAM!$B$56)/12,Loyalty,2)*$F$1*MAX(BB638,0)</f>
        <v>18.557001321003963</v>
      </c>
      <c r="BA639" s="75">
        <f>PARAM!$C$26+MAX($G$15-CHOOSE(PARAM!$B$44,MAX(0,BB638*$F$1),0),0)*RATES!$L615/12+$H$15*(PARAM!$D$51/12)*RATES!$N615/100</f>
        <v>330.37500000000006</v>
      </c>
      <c r="BB639" s="16">
        <f t="shared" si="425"/>
        <v>-33185.814882427781</v>
      </c>
      <c r="BC639" s="15">
        <f t="shared" si="400"/>
        <v>22.170849845882874</v>
      </c>
      <c r="BD639" s="75">
        <f>BC639*(1-PARAM!$C$27)*$I$16+(MOD($B639,60)=PARAM!$B$56)*($B639&gt;(60-PARAM!$B$56))*HLOOKUP(($B639+PARAM!$B$56)/12,Loyalty,2)*$F$1*MAX(BF638,0)</f>
        <v>18.557001321003963</v>
      </c>
      <c r="BE639" s="75">
        <f>PARAM!$C$26+MAX($G$16-CHOOSE(PARAM!$B$44,MAX(0,BF638*$F$1),0),0)*RATES!$L615/12+$H$16*(PARAM!$D$51/12)*RATES!$N615/100</f>
        <v>330.37500000000006</v>
      </c>
      <c r="BF639" s="16">
        <f t="shared" si="426"/>
        <v>-33185.814882427781</v>
      </c>
      <c r="BG639" s="15">
        <f t="shared" si="401"/>
        <v>22.170849845882874</v>
      </c>
      <c r="BH639" s="75">
        <f>BG639*(1-PARAM!$C$27)*$I$17+(MOD($B639,60)=PARAM!$B$56)*($B639&gt;(60-PARAM!$B$56))*HLOOKUP(($B639+PARAM!$B$56)/12,Loyalty,2)*$F$1*MAX(BJ638,0)</f>
        <v>18.557001321003963</v>
      </c>
      <c r="BI639" s="75">
        <f>PARAM!$C$26+MAX($G$17-CHOOSE(PARAM!$B$44,MAX(0,BJ638*$F$1),0),0)*RATES!$L615/12+$H$17*(PARAM!$D$51/12)*RATES!$N615/100</f>
        <v>330.37500000000006</v>
      </c>
      <c r="BJ639" s="16">
        <f t="shared" si="427"/>
        <v>-33185.814882427781</v>
      </c>
      <c r="BK639" s="15">
        <f t="shared" si="402"/>
        <v>22.170849845882874</v>
      </c>
      <c r="BL639" s="75">
        <f>BK639*(1-PARAM!$C$27)*$I$18+(MOD($B639,60)=PARAM!$B$56)*($B639&gt;(60-PARAM!$B$56))*HLOOKUP(($B639+PARAM!$B$56)/12,Loyalty,2)*$F$1*MAX(BN638,0)</f>
        <v>18.557001321003963</v>
      </c>
      <c r="BM639" s="75">
        <f>PARAM!$C$26+MAX($G$18-CHOOSE(PARAM!$B$44,MAX(0,BN638*$F$1),0),0)*RATES!$L615/12+$H$18*(PARAM!$D$51/12)*RATES!$N615/100</f>
        <v>330.37500000000006</v>
      </c>
      <c r="BN639" s="16">
        <f t="shared" si="428"/>
        <v>-33185.814882427781</v>
      </c>
      <c r="BO639" s="15">
        <f t="shared" si="403"/>
        <v>22.170849845882874</v>
      </c>
      <c r="BP639" s="75">
        <f>BO639*(1-PARAM!$C$27)*$I$19+(MOD($B639,60)=PARAM!$B$56)*($B639&gt;(60-PARAM!$B$56))*HLOOKUP(($B639+PARAM!$B$56)/12,Loyalty,2)*$F$1*MAX(BR638,0)</f>
        <v>18.557001321003963</v>
      </c>
      <c r="BQ639" s="75">
        <f>PARAM!$C$26+MAX($G$19-CHOOSE(PARAM!$B$44,MAX(0,BR638*$F$1),0),0)*RATES!$L615/12+$H$19*(PARAM!$D$51/12)*RATES!$N615/100</f>
        <v>330.37500000000006</v>
      </c>
      <c r="BR639" s="16">
        <f t="shared" si="429"/>
        <v>-33185.814882427781</v>
      </c>
      <c r="BS639" s="15">
        <f t="shared" si="404"/>
        <v>22.170849845882874</v>
      </c>
      <c r="BT639" s="75">
        <f>BS639*(1-PARAM!$C$27)*$I$20+(MOD($B639,60)=PARAM!$B$56)*($B639&gt;(60-PARAM!$B$56))*HLOOKUP(($B639+PARAM!$B$56)/12,Loyalty,2)*$F$1*MAX(BV638,0)</f>
        <v>18.557001321003963</v>
      </c>
      <c r="BU639" s="75">
        <f>PARAM!$C$26+MAX($G$20-CHOOSE(PARAM!$B$44,MAX(0,BV638*$F$1),0),0)*RATES!$L615/12+$H$20*(PARAM!$D$51/12)*RATES!$N615/100</f>
        <v>330.37500000000006</v>
      </c>
      <c r="BV639" s="16">
        <f t="shared" si="430"/>
        <v>-33185.814882427781</v>
      </c>
      <c r="BW639" s="15">
        <f t="shared" si="405"/>
        <v>22.170849845882874</v>
      </c>
      <c r="BX639" s="75">
        <f>BW639*(1-PARAM!$C$27)*$I$21+(MOD($B639,60)=PARAM!$B$56)*($B639&gt;(60-PARAM!$B$56))*HLOOKUP(($B639+PARAM!$B$56)/12,Loyalty,2)*$F$1*MAX(BZ638,0)</f>
        <v>18.557001321003963</v>
      </c>
      <c r="BY639" s="75">
        <f>PARAM!$C$26+MAX($G$21-CHOOSE(PARAM!$B$44,MAX(0,BZ638*$F$1),0),0)*RATES!$L615/12+$H$21*(PARAM!$D$51/12)*RATES!$N615/100</f>
        <v>330.37500000000006</v>
      </c>
      <c r="BZ639" s="16">
        <f t="shared" si="431"/>
        <v>-33185.814882427781</v>
      </c>
      <c r="CA639" s="15">
        <f t="shared" si="406"/>
        <v>22.170849845882874</v>
      </c>
      <c r="CB639" s="75">
        <f>CA639*(1-PARAM!$C$27)*$I$22+(MOD($B639,60)=PARAM!$B$56)*($B639&gt;(60-PARAM!$B$56))*HLOOKUP(($B639+PARAM!$B$56)/12,Loyalty,2)*$F$1*MAX(CD638,0)</f>
        <v>18.557001321003963</v>
      </c>
      <c r="CC639" s="75">
        <f>PARAM!$C$26+MAX($G$22-CHOOSE(PARAM!$B$44,MAX(0,CD638*$F$1),0),0)*RATES!$L615/12+$H$22*(PARAM!$D$51/12)*RATES!$N615/100</f>
        <v>330.37500000000006</v>
      </c>
      <c r="CD639" s="16">
        <f t="shared" si="432"/>
        <v>-33185.814882427781</v>
      </c>
      <c r="CE639" s="33">
        <f>IF(0=MOD(B639,12/PARAM!$D$51),1,0)</f>
        <v>1</v>
      </c>
      <c r="CF639" s="15">
        <f t="shared" si="407"/>
        <v>0</v>
      </c>
      <c r="CG639" s="75">
        <f>CF639*(1-PARAM!$C$27)*$R$3+(MOD($B639/12,5)=0)*($B639&gt;60)*HLOOKUP($B639/12,Loyalty,2)*$F$1*MAX(CI638,0)</f>
        <v>0</v>
      </c>
      <c r="CH639" s="75">
        <f>PARAM!$C$26+MAX($P$3-CHOOSE(PARAM!$B$44,MAX(0,CI638*$F$1),0),0)*RATES!$L615/12+$Q$3*(PARAM!$D$51/12)*RATES!$N615/100</f>
        <v>330.37500000000006</v>
      </c>
      <c r="CI639" s="16">
        <f>IF(CI638&gt;0,CI638*PARAM!$C$53,CI638)+CG639-CH639</f>
        <v>-44423.125</v>
      </c>
      <c r="CJ639" s="15">
        <f t="shared" si="433"/>
        <v>0</v>
      </c>
      <c r="CK639" s="75">
        <f>CJ639*(1-PARAM!$C$27)*$R$4+(MOD($B639/12,5)=0)*($B639&gt;60)*HLOOKUP($B639/12,Loyalty,2)*$F$1*MAX(CM638,0)</f>
        <v>0</v>
      </c>
      <c r="CL639" s="75">
        <f>PARAM!$C$26+MAX($P$4-CHOOSE(PARAM!$B$44,MAX(0,CM638*$F$1),0),0)*RATES!$L615/12+$Q$4*(PARAM!$D$51/12)*RATES!$N615/100</f>
        <v>330.37500000000006</v>
      </c>
      <c r="CM639" s="16">
        <f>IF(CM638&gt;0,CM638*PARAM!$C$53,CM638)+CK639-CL639</f>
        <v>-44423.125</v>
      </c>
      <c r="CO639" s="176"/>
    </row>
    <row r="640" spans="1:93" x14ac:dyDescent="0.2">
      <c r="A640" t="b">
        <f t="shared" si="408"/>
        <v>0</v>
      </c>
      <c r="B640" s="33">
        <v>613</v>
      </c>
      <c r="C640" s="15">
        <f t="shared" si="409"/>
        <v>20.081305947392778</v>
      </c>
      <c r="D640" s="75">
        <f>C640*(1-PARAM!$C$27)*$I$3+(MOD($B640,60)=PARAM!$B$56)*($B640&gt;(60-PARAM!$B$56))*HLOOKUP(($B640+PARAM!$B$56)/12,Loyalty,2)*$F$1*MAX(F639,0)</f>
        <v>16.808053077967756</v>
      </c>
      <c r="E640" s="75">
        <f>PARAM!$C$26+MAX($G$3-CHOOSE(PARAM!$B$44,MAX(0,F639*$F$1),0),0)*RATES!$L616/12+$H$3*(PARAM!$D$51/12)*RATES!$N616/100</f>
        <v>330.37500000000006</v>
      </c>
      <c r="F640" s="16">
        <f t="shared" si="410"/>
        <v>-34606.588654609637</v>
      </c>
      <c r="G640" s="15">
        <f t="shared" si="411"/>
        <v>22.035289406060361</v>
      </c>
      <c r="H640" s="75">
        <f>G640*(1-PARAM!$C$27)*$I$4+(MOD($B640,60)=PARAM!$B$56)*($B640&gt;(60-PARAM!$B$56))*HLOOKUP(($B640+PARAM!$B$56)/12,Loyalty,2)*$F$1*MAX(J639,0)</f>
        <v>18.443537232872522</v>
      </c>
      <c r="I640" s="75">
        <f>PARAM!$C$26+MAX($G$4-CHOOSE(PARAM!$B$44,MAX(0,J639*$F$1),0),0)*RATES!$L616/12+$H$4*(PARAM!$D$51/12)*RATES!$N616/100</f>
        <v>330.37500000000006</v>
      </c>
      <c r="J640" s="16">
        <f t="shared" si="412"/>
        <v>-33570.203903531175</v>
      </c>
      <c r="K640" s="15">
        <f t="shared" si="413"/>
        <v>22.170849845882874</v>
      </c>
      <c r="L640" s="75">
        <f>K640*(1-PARAM!$C$27)*$I$5+(MOD($B640,60)=PARAM!$B$56)*($B640&gt;(60-PARAM!$B$56))*HLOOKUP(($B640+PARAM!$B$56)/12,Loyalty,2)*$F$1*MAX(N639,0)</f>
        <v>18.557001321003963</v>
      </c>
      <c r="M640" s="75">
        <f>PARAM!$C$26+MAX($G$5-CHOOSE(PARAM!$B$44,MAX(0,N639*$F$1),0),0)*RATES!$L616/12+$H$5*(PARAM!$D$51/12)*RATES!$N616/100</f>
        <v>330.37500000000006</v>
      </c>
      <c r="N640" s="16">
        <f t="shared" si="414"/>
        <v>-33497.63288110678</v>
      </c>
      <c r="O640" s="15">
        <f t="shared" si="415"/>
        <v>22.170849845882874</v>
      </c>
      <c r="P640" s="75">
        <f>O640*(1-PARAM!$C$27)*$I$6+(MOD($B640,60)=PARAM!$B$56)*($B640&gt;(60-PARAM!$B$56))*HLOOKUP(($B640+PARAM!$B$56)/12,Loyalty,2)*$F$1*MAX(R639,0)</f>
        <v>18.557001321003963</v>
      </c>
      <c r="Q640" s="75">
        <f>PARAM!$C$26+MAX($G$6-CHOOSE(PARAM!$B$44,MAX(0,R639*$F$1),0),0)*RATES!$L616/12+$H$6*(PARAM!$D$51/12)*RATES!$N616/100</f>
        <v>330.37500000000006</v>
      </c>
      <c r="R640" s="16">
        <f t="shared" si="416"/>
        <v>-33497.63288110678</v>
      </c>
      <c r="S640" s="15">
        <f t="shared" si="391"/>
        <v>22.170849845882874</v>
      </c>
      <c r="T640" s="75">
        <f>S640*(1-PARAM!$C$27)*$I$7+(MOD($B640,60)=PARAM!$B$56)*($B640&gt;(60-PARAM!$B$56))*HLOOKUP(($B640+PARAM!$B$56)/12,Loyalty,2)*$F$1*MAX(V639,0)</f>
        <v>18.557001321003963</v>
      </c>
      <c r="U640" s="75">
        <f>PARAM!$C$26+MAX($G$7-CHOOSE(PARAM!$B$44,MAX(0,V639*$F$1),0),0)*RATES!$L616/12+$H$7*(PARAM!$D$51/12)*RATES!$N616/100</f>
        <v>330.37500000000006</v>
      </c>
      <c r="V640" s="16">
        <f t="shared" si="417"/>
        <v>-33497.63288110678</v>
      </c>
      <c r="W640" s="15">
        <f t="shared" si="392"/>
        <v>22.170849845882874</v>
      </c>
      <c r="X640" s="75">
        <f>W640*(1-PARAM!$C$27)*$I$8+(MOD($B640,60)=PARAM!$B$56)*($B640&gt;(60-PARAM!$B$56))*HLOOKUP(($B640+PARAM!$B$56)/12,Loyalty,2)*$F$1*MAX(Z639,0)</f>
        <v>18.557001321003963</v>
      </c>
      <c r="Y640" s="75">
        <f>PARAM!$C$26+MAX($G$8-CHOOSE(PARAM!$B$44,MAX(0,Z639*$F$1),0),0)*RATES!$L616/12+$H$8*(PARAM!$D$51/12)*RATES!$N616/100</f>
        <v>330.37500000000006</v>
      </c>
      <c r="Z640" s="16">
        <f t="shared" si="418"/>
        <v>-33497.63288110678</v>
      </c>
      <c r="AA640" s="15">
        <f t="shared" si="393"/>
        <v>22.170849845882874</v>
      </c>
      <c r="AB640" s="75">
        <f>AA640*(1-PARAM!$C$27)*$I$9+(MOD($B640,60)=PARAM!$B$56)*($B640&gt;(60-PARAM!$B$56))*HLOOKUP(($B640+PARAM!$B$56)/12,Loyalty,2)*$F$1*MAX(AD639,0)</f>
        <v>18.557001321003963</v>
      </c>
      <c r="AC640" s="75">
        <f>PARAM!$C$26+MAX($G$9-CHOOSE(PARAM!$B$44,MAX(0,AD639*$F$1),0),0)*RATES!$L616/12+$H$9*(PARAM!$D$51/12)*RATES!$N616/100</f>
        <v>330.37500000000006</v>
      </c>
      <c r="AD640" s="16">
        <f t="shared" si="419"/>
        <v>-33497.63288110678</v>
      </c>
      <c r="AE640" s="15">
        <f t="shared" si="394"/>
        <v>22.170849845882874</v>
      </c>
      <c r="AF640" s="75">
        <f>AE640*(1-PARAM!$C$27)*$I$10+(MOD($B640,60)=PARAM!$B$56)*($B640&gt;(60-PARAM!$B$56))*HLOOKUP(($B640+PARAM!$B$56)/12,Loyalty,2)*$F$1*MAX(AH639,0)</f>
        <v>18.557001321003963</v>
      </c>
      <c r="AG640" s="75">
        <f>PARAM!$C$26+MAX($G$10-CHOOSE(PARAM!$B$44,MAX(0,AH639*$F$1),0),0)*RATES!$L616/12+$H$10*(PARAM!$D$51/12)*RATES!$N616/100</f>
        <v>330.37500000000006</v>
      </c>
      <c r="AH640" s="16">
        <f t="shared" si="420"/>
        <v>-33497.63288110678</v>
      </c>
      <c r="AI640" s="15">
        <f t="shared" si="395"/>
        <v>22.170849845882874</v>
      </c>
      <c r="AJ640" s="75">
        <f>AI640*(1-PARAM!$C$27)*$I$11+(MOD($B640,60)=PARAM!$B$56)*($B640&gt;(60-PARAM!$B$56))*HLOOKUP(($B640+PARAM!$B$56)/12,Loyalty,2)*$F$1*MAX(AL639,0)</f>
        <v>18.557001321003963</v>
      </c>
      <c r="AK640" s="75">
        <f>PARAM!$C$26+MAX($G$11-CHOOSE(PARAM!$B$44,MAX(0,AL639*$F$1),0),0)*RATES!$L616/12+$H$11*(PARAM!$D$51/12)*RATES!$N616/100</f>
        <v>330.37500000000006</v>
      </c>
      <c r="AL640" s="16">
        <f t="shared" si="421"/>
        <v>-33497.63288110678</v>
      </c>
      <c r="AM640" s="15">
        <f t="shared" si="396"/>
        <v>22.170849845882874</v>
      </c>
      <c r="AN640" s="75">
        <f>AM640*(1-PARAM!$C$27)*$I$12+(MOD($B640,60)=PARAM!$B$56)*($B640&gt;(60-PARAM!$B$56))*HLOOKUP(($B640+PARAM!$B$56)/12,Loyalty,2)*$F$1*MAX(AP639,0)</f>
        <v>18.557001321003963</v>
      </c>
      <c r="AO640" s="75">
        <f>PARAM!$C$26+MAX($G$12-CHOOSE(PARAM!$B$44,MAX(0,AP639*$F$1),0),0)*RATES!$L616/12+$H$12*(PARAM!$D$51/12)*RATES!$N616/100</f>
        <v>330.37500000000006</v>
      </c>
      <c r="AP640" s="16">
        <f t="shared" si="422"/>
        <v>-33497.63288110678</v>
      </c>
      <c r="AQ640" s="15">
        <f t="shared" si="397"/>
        <v>22.170849845882874</v>
      </c>
      <c r="AR640" s="75">
        <f>AQ640*(1-PARAM!$C$27)*$I$13+(MOD($B640,60)=PARAM!$B$56)*($B640&gt;(60-PARAM!$B$56))*HLOOKUP(($B640+PARAM!$B$56)/12,Loyalty,2)*$F$1*MAX(AT639,0)</f>
        <v>18.557001321003963</v>
      </c>
      <c r="AS640" s="75">
        <f>PARAM!$C$26+MAX($G$13-CHOOSE(PARAM!$B$44,MAX(0,AT639*$F$1),0),0)*RATES!$L616/12+$H$13*(PARAM!$D$51/12)*RATES!$N616/100</f>
        <v>330.37500000000006</v>
      </c>
      <c r="AT640" s="16">
        <f t="shared" si="423"/>
        <v>-33497.63288110678</v>
      </c>
      <c r="AU640" s="15">
        <f t="shared" si="398"/>
        <v>22.170849845882874</v>
      </c>
      <c r="AV640" s="75">
        <f>AU640*(1-PARAM!$C$27)*$I$14+(MOD($B640,60)=PARAM!$B$56)*($B640&gt;(60-PARAM!$B$56))*HLOOKUP(($B640+PARAM!$B$56)/12,Loyalty,2)*$F$1*MAX(AX639,0)</f>
        <v>18.557001321003963</v>
      </c>
      <c r="AW640" s="75">
        <f>PARAM!$C$26+MAX($G$14-CHOOSE(PARAM!$B$44,MAX(0,AX639*$F$1),0),0)*RATES!$L616/12+$H$14*(PARAM!$D$51/12)*RATES!$N616/100</f>
        <v>330.37500000000006</v>
      </c>
      <c r="AX640" s="16">
        <f t="shared" si="424"/>
        <v>-33497.63288110678</v>
      </c>
      <c r="AY640" s="15">
        <f t="shared" si="399"/>
        <v>22.170849845882874</v>
      </c>
      <c r="AZ640" s="75">
        <f>AY640*(1-PARAM!$C$27)*$I$15+(MOD($B640,60)=PARAM!$B$56)*($B640&gt;(60-PARAM!$B$56))*HLOOKUP(($B640+PARAM!$B$56)/12,Loyalty,2)*$F$1*MAX(BB639,0)</f>
        <v>18.557001321003963</v>
      </c>
      <c r="BA640" s="75">
        <f>PARAM!$C$26+MAX($G$15-CHOOSE(PARAM!$B$44,MAX(0,BB639*$F$1),0),0)*RATES!$L616/12+$H$15*(PARAM!$D$51/12)*RATES!$N616/100</f>
        <v>330.37500000000006</v>
      </c>
      <c r="BB640" s="16">
        <f t="shared" si="425"/>
        <v>-33497.63288110678</v>
      </c>
      <c r="BC640" s="15">
        <f t="shared" si="400"/>
        <v>22.170849845882874</v>
      </c>
      <c r="BD640" s="75">
        <f>BC640*(1-PARAM!$C$27)*$I$16+(MOD($B640,60)=PARAM!$B$56)*($B640&gt;(60-PARAM!$B$56))*HLOOKUP(($B640+PARAM!$B$56)/12,Loyalty,2)*$F$1*MAX(BF639,0)</f>
        <v>18.557001321003963</v>
      </c>
      <c r="BE640" s="75">
        <f>PARAM!$C$26+MAX($G$16-CHOOSE(PARAM!$B$44,MAX(0,BF639*$F$1),0),0)*RATES!$L616/12+$H$16*(PARAM!$D$51/12)*RATES!$N616/100</f>
        <v>330.37500000000006</v>
      </c>
      <c r="BF640" s="16">
        <f t="shared" si="426"/>
        <v>-33497.63288110678</v>
      </c>
      <c r="BG640" s="15">
        <f t="shared" si="401"/>
        <v>22.170849845882874</v>
      </c>
      <c r="BH640" s="75">
        <f>BG640*(1-PARAM!$C$27)*$I$17+(MOD($B640,60)=PARAM!$B$56)*($B640&gt;(60-PARAM!$B$56))*HLOOKUP(($B640+PARAM!$B$56)/12,Loyalty,2)*$F$1*MAX(BJ639,0)</f>
        <v>18.557001321003963</v>
      </c>
      <c r="BI640" s="75">
        <f>PARAM!$C$26+MAX($G$17-CHOOSE(PARAM!$B$44,MAX(0,BJ639*$F$1),0),0)*RATES!$L616/12+$H$17*(PARAM!$D$51/12)*RATES!$N616/100</f>
        <v>330.37500000000006</v>
      </c>
      <c r="BJ640" s="16">
        <f t="shared" si="427"/>
        <v>-33497.63288110678</v>
      </c>
      <c r="BK640" s="15">
        <f t="shared" si="402"/>
        <v>22.170849845882874</v>
      </c>
      <c r="BL640" s="75">
        <f>BK640*(1-PARAM!$C$27)*$I$18+(MOD($B640,60)=PARAM!$B$56)*($B640&gt;(60-PARAM!$B$56))*HLOOKUP(($B640+PARAM!$B$56)/12,Loyalty,2)*$F$1*MAX(BN639,0)</f>
        <v>18.557001321003963</v>
      </c>
      <c r="BM640" s="75">
        <f>PARAM!$C$26+MAX($G$18-CHOOSE(PARAM!$B$44,MAX(0,BN639*$F$1),0),0)*RATES!$L616/12+$H$18*(PARAM!$D$51/12)*RATES!$N616/100</f>
        <v>330.37500000000006</v>
      </c>
      <c r="BN640" s="16">
        <f t="shared" si="428"/>
        <v>-33497.63288110678</v>
      </c>
      <c r="BO640" s="15">
        <f t="shared" si="403"/>
        <v>22.170849845882874</v>
      </c>
      <c r="BP640" s="75">
        <f>BO640*(1-PARAM!$C$27)*$I$19+(MOD($B640,60)=PARAM!$B$56)*($B640&gt;(60-PARAM!$B$56))*HLOOKUP(($B640+PARAM!$B$56)/12,Loyalty,2)*$F$1*MAX(BR639,0)</f>
        <v>18.557001321003963</v>
      </c>
      <c r="BQ640" s="75">
        <f>PARAM!$C$26+MAX($G$19-CHOOSE(PARAM!$B$44,MAX(0,BR639*$F$1),0),0)*RATES!$L616/12+$H$19*(PARAM!$D$51/12)*RATES!$N616/100</f>
        <v>330.37500000000006</v>
      </c>
      <c r="BR640" s="16">
        <f t="shared" si="429"/>
        <v>-33497.63288110678</v>
      </c>
      <c r="BS640" s="15">
        <f t="shared" si="404"/>
        <v>22.170849845882874</v>
      </c>
      <c r="BT640" s="75">
        <f>BS640*(1-PARAM!$C$27)*$I$20+(MOD($B640,60)=PARAM!$B$56)*($B640&gt;(60-PARAM!$B$56))*HLOOKUP(($B640+PARAM!$B$56)/12,Loyalty,2)*$F$1*MAX(BV639,0)</f>
        <v>18.557001321003963</v>
      </c>
      <c r="BU640" s="75">
        <f>PARAM!$C$26+MAX($G$20-CHOOSE(PARAM!$B$44,MAX(0,BV639*$F$1),0),0)*RATES!$L616/12+$H$20*(PARAM!$D$51/12)*RATES!$N616/100</f>
        <v>330.37500000000006</v>
      </c>
      <c r="BV640" s="16">
        <f t="shared" si="430"/>
        <v>-33497.63288110678</v>
      </c>
      <c r="BW640" s="15">
        <f t="shared" si="405"/>
        <v>22.170849845882874</v>
      </c>
      <c r="BX640" s="75">
        <f>BW640*(1-PARAM!$C$27)*$I$21+(MOD($B640,60)=PARAM!$B$56)*($B640&gt;(60-PARAM!$B$56))*HLOOKUP(($B640+PARAM!$B$56)/12,Loyalty,2)*$F$1*MAX(BZ639,0)</f>
        <v>18.557001321003963</v>
      </c>
      <c r="BY640" s="75">
        <f>PARAM!$C$26+MAX($G$21-CHOOSE(PARAM!$B$44,MAX(0,BZ639*$F$1),0),0)*RATES!$L616/12+$H$21*(PARAM!$D$51/12)*RATES!$N616/100</f>
        <v>330.37500000000006</v>
      </c>
      <c r="BZ640" s="16">
        <f t="shared" si="431"/>
        <v>-33497.63288110678</v>
      </c>
      <c r="CA640" s="15">
        <f t="shared" si="406"/>
        <v>22.170849845882874</v>
      </c>
      <c r="CB640" s="75">
        <f>CA640*(1-PARAM!$C$27)*$I$22+(MOD($B640,60)=PARAM!$B$56)*($B640&gt;(60-PARAM!$B$56))*HLOOKUP(($B640+PARAM!$B$56)/12,Loyalty,2)*$F$1*MAX(CD639,0)</f>
        <v>18.557001321003963</v>
      </c>
      <c r="CC640" s="75">
        <f>PARAM!$C$26+MAX($G$22-CHOOSE(PARAM!$B$44,MAX(0,CD639*$F$1),0),0)*RATES!$L616/12+$H$22*(PARAM!$D$51/12)*RATES!$N616/100</f>
        <v>330.37500000000006</v>
      </c>
      <c r="CD640" s="16">
        <f t="shared" si="432"/>
        <v>-33497.63288110678</v>
      </c>
      <c r="CE640" s="33">
        <f>IF(0=MOD(B640,12/PARAM!$D$51),1,0)</f>
        <v>1</v>
      </c>
      <c r="CF640" s="15">
        <f t="shared" si="407"/>
        <v>0</v>
      </c>
      <c r="CG640" s="75">
        <f>CF640*(1-PARAM!$C$27)*$R$3+(MOD($B640/12,5)=0)*($B640&gt;60)*HLOOKUP($B640/12,Loyalty,2)*$F$1*MAX(CI639,0)</f>
        <v>0</v>
      </c>
      <c r="CH640" s="75">
        <f>PARAM!$C$26+MAX($P$3-CHOOSE(PARAM!$B$44,MAX(0,CI639*$F$1),0),0)*RATES!$L616/12+$Q$3*(PARAM!$D$51/12)*RATES!$N616/100</f>
        <v>330.37500000000006</v>
      </c>
      <c r="CI640" s="16">
        <f>IF(CI639&gt;0,CI639*PARAM!$C$53,CI639)+CG640-CH640</f>
        <v>-44753.5</v>
      </c>
      <c r="CJ640" s="15">
        <f t="shared" si="433"/>
        <v>0</v>
      </c>
      <c r="CK640" s="75">
        <f>CJ640*(1-PARAM!$C$27)*$R$4+(MOD($B640/12,5)=0)*($B640&gt;60)*HLOOKUP($B640/12,Loyalty,2)*$F$1*MAX(CM639,0)</f>
        <v>0</v>
      </c>
      <c r="CL640" s="75">
        <f>PARAM!$C$26+MAX($P$4-CHOOSE(PARAM!$B$44,MAX(0,CM639*$F$1),0),0)*RATES!$L616/12+$Q$4*(PARAM!$D$51/12)*RATES!$N616/100</f>
        <v>330.37500000000006</v>
      </c>
      <c r="CM640" s="16">
        <f>IF(CM639&gt;0,CM639*PARAM!$C$53,CM639)+CK640-CL640</f>
        <v>-44753.5</v>
      </c>
      <c r="CO640" s="176"/>
    </row>
    <row r="641" spans="1:93" x14ac:dyDescent="0.2">
      <c r="A641" t="b">
        <f t="shared" si="408"/>
        <v>0</v>
      </c>
      <c r="B641" s="33">
        <v>614</v>
      </c>
      <c r="C641" s="15">
        <f t="shared" si="409"/>
        <v>20.081305947392778</v>
      </c>
      <c r="D641" s="75">
        <f>C641*(1-PARAM!$C$27)*$I$3+(MOD($B641,60)=PARAM!$B$56)*($B641&gt;(60-PARAM!$B$56))*HLOOKUP(($B641+PARAM!$B$56)/12,Loyalty,2)*$F$1*MAX(F640,0)</f>
        <v>16.808053077967756</v>
      </c>
      <c r="E641" s="75">
        <f>PARAM!$C$26+MAX($G$3-CHOOSE(PARAM!$B$44,MAX(0,F640*$F$1),0),0)*RATES!$L617/12+$H$3*(PARAM!$D$51/12)*RATES!$N617/100</f>
        <v>330.37500000000006</v>
      </c>
      <c r="F641" s="16">
        <f t="shared" si="410"/>
        <v>-34920.155601531667</v>
      </c>
      <c r="G641" s="15">
        <f t="shared" si="411"/>
        <v>22.035289406060361</v>
      </c>
      <c r="H641" s="75">
        <f>G641*(1-PARAM!$C$27)*$I$4+(MOD($B641,60)=PARAM!$B$56)*($B641&gt;(60-PARAM!$B$56))*HLOOKUP(($B641+PARAM!$B$56)/12,Loyalty,2)*$F$1*MAX(J640,0)</f>
        <v>18.443537232872522</v>
      </c>
      <c r="I641" s="75">
        <f>PARAM!$C$26+MAX($G$4-CHOOSE(PARAM!$B$44,MAX(0,J640*$F$1),0),0)*RATES!$L617/12+$H$4*(PARAM!$D$51/12)*RATES!$N617/100</f>
        <v>330.37500000000006</v>
      </c>
      <c r="J641" s="16">
        <f t="shared" si="412"/>
        <v>-33882.135366298302</v>
      </c>
      <c r="K641" s="15">
        <f t="shared" si="413"/>
        <v>22.170849845882874</v>
      </c>
      <c r="L641" s="75">
        <f>K641*(1-PARAM!$C$27)*$I$5+(MOD($B641,60)=PARAM!$B$56)*($B641&gt;(60-PARAM!$B$56))*HLOOKUP(($B641+PARAM!$B$56)/12,Loyalty,2)*$F$1*MAX(N640,0)</f>
        <v>18.557001321003963</v>
      </c>
      <c r="M641" s="75">
        <f>PARAM!$C$26+MAX($G$5-CHOOSE(PARAM!$B$44,MAX(0,N640*$F$1),0),0)*RATES!$L617/12+$H$5*(PARAM!$D$51/12)*RATES!$N617/100</f>
        <v>330.37500000000006</v>
      </c>
      <c r="N641" s="16">
        <f t="shared" si="414"/>
        <v>-33809.450879785778</v>
      </c>
      <c r="O641" s="15">
        <f t="shared" si="415"/>
        <v>22.170849845882874</v>
      </c>
      <c r="P641" s="75">
        <f>O641*(1-PARAM!$C$27)*$I$6+(MOD($B641,60)=PARAM!$B$56)*($B641&gt;(60-PARAM!$B$56))*HLOOKUP(($B641+PARAM!$B$56)/12,Loyalty,2)*$F$1*MAX(R640,0)</f>
        <v>18.557001321003963</v>
      </c>
      <c r="Q641" s="75">
        <f>PARAM!$C$26+MAX($G$6-CHOOSE(PARAM!$B$44,MAX(0,R640*$F$1),0),0)*RATES!$L617/12+$H$6*(PARAM!$D$51/12)*RATES!$N617/100</f>
        <v>330.37500000000006</v>
      </c>
      <c r="R641" s="16">
        <f t="shared" si="416"/>
        <v>-33809.450879785778</v>
      </c>
      <c r="S641" s="15">
        <f t="shared" si="391"/>
        <v>22.170849845882874</v>
      </c>
      <c r="T641" s="75">
        <f>S641*(1-PARAM!$C$27)*$I$7+(MOD($B641,60)=PARAM!$B$56)*($B641&gt;(60-PARAM!$B$56))*HLOOKUP(($B641+PARAM!$B$56)/12,Loyalty,2)*$F$1*MAX(V640,0)</f>
        <v>18.557001321003963</v>
      </c>
      <c r="U641" s="75">
        <f>PARAM!$C$26+MAX($G$7-CHOOSE(PARAM!$B$44,MAX(0,V640*$F$1),0),0)*RATES!$L617/12+$H$7*(PARAM!$D$51/12)*RATES!$N617/100</f>
        <v>330.37500000000006</v>
      </c>
      <c r="V641" s="16">
        <f t="shared" si="417"/>
        <v>-33809.450879785778</v>
      </c>
      <c r="W641" s="15">
        <f t="shared" si="392"/>
        <v>22.170849845882874</v>
      </c>
      <c r="X641" s="75">
        <f>W641*(1-PARAM!$C$27)*$I$8+(MOD($B641,60)=PARAM!$B$56)*($B641&gt;(60-PARAM!$B$56))*HLOOKUP(($B641+PARAM!$B$56)/12,Loyalty,2)*$F$1*MAX(Z640,0)</f>
        <v>18.557001321003963</v>
      </c>
      <c r="Y641" s="75">
        <f>PARAM!$C$26+MAX($G$8-CHOOSE(PARAM!$B$44,MAX(0,Z640*$F$1),0),0)*RATES!$L617/12+$H$8*(PARAM!$D$51/12)*RATES!$N617/100</f>
        <v>330.37500000000006</v>
      </c>
      <c r="Z641" s="16">
        <f t="shared" si="418"/>
        <v>-33809.450879785778</v>
      </c>
      <c r="AA641" s="15">
        <f t="shared" si="393"/>
        <v>22.170849845882874</v>
      </c>
      <c r="AB641" s="75">
        <f>AA641*(1-PARAM!$C$27)*$I$9+(MOD($B641,60)=PARAM!$B$56)*($B641&gt;(60-PARAM!$B$56))*HLOOKUP(($B641+PARAM!$B$56)/12,Loyalty,2)*$F$1*MAX(AD640,0)</f>
        <v>18.557001321003963</v>
      </c>
      <c r="AC641" s="75">
        <f>PARAM!$C$26+MAX($G$9-CHOOSE(PARAM!$B$44,MAX(0,AD640*$F$1),0),0)*RATES!$L617/12+$H$9*(PARAM!$D$51/12)*RATES!$N617/100</f>
        <v>330.37500000000006</v>
      </c>
      <c r="AD641" s="16">
        <f t="shared" si="419"/>
        <v>-33809.450879785778</v>
      </c>
      <c r="AE641" s="15">
        <f t="shared" si="394"/>
        <v>22.170849845882874</v>
      </c>
      <c r="AF641" s="75">
        <f>AE641*(1-PARAM!$C$27)*$I$10+(MOD($B641,60)=PARAM!$B$56)*($B641&gt;(60-PARAM!$B$56))*HLOOKUP(($B641+PARAM!$B$56)/12,Loyalty,2)*$F$1*MAX(AH640,0)</f>
        <v>18.557001321003963</v>
      </c>
      <c r="AG641" s="75">
        <f>PARAM!$C$26+MAX($G$10-CHOOSE(PARAM!$B$44,MAX(0,AH640*$F$1),0),0)*RATES!$L617/12+$H$10*(PARAM!$D$51/12)*RATES!$N617/100</f>
        <v>330.37500000000006</v>
      </c>
      <c r="AH641" s="16">
        <f t="shared" si="420"/>
        <v>-33809.450879785778</v>
      </c>
      <c r="AI641" s="15">
        <f t="shared" si="395"/>
        <v>22.170849845882874</v>
      </c>
      <c r="AJ641" s="75">
        <f>AI641*(1-PARAM!$C$27)*$I$11+(MOD($B641,60)=PARAM!$B$56)*($B641&gt;(60-PARAM!$B$56))*HLOOKUP(($B641+PARAM!$B$56)/12,Loyalty,2)*$F$1*MAX(AL640,0)</f>
        <v>18.557001321003963</v>
      </c>
      <c r="AK641" s="75">
        <f>PARAM!$C$26+MAX($G$11-CHOOSE(PARAM!$B$44,MAX(0,AL640*$F$1),0),0)*RATES!$L617/12+$H$11*(PARAM!$D$51/12)*RATES!$N617/100</f>
        <v>330.37500000000006</v>
      </c>
      <c r="AL641" s="16">
        <f t="shared" si="421"/>
        <v>-33809.450879785778</v>
      </c>
      <c r="AM641" s="15">
        <f t="shared" si="396"/>
        <v>22.170849845882874</v>
      </c>
      <c r="AN641" s="75">
        <f>AM641*(1-PARAM!$C$27)*$I$12+(MOD($B641,60)=PARAM!$B$56)*($B641&gt;(60-PARAM!$B$56))*HLOOKUP(($B641+PARAM!$B$56)/12,Loyalty,2)*$F$1*MAX(AP640,0)</f>
        <v>18.557001321003963</v>
      </c>
      <c r="AO641" s="75">
        <f>PARAM!$C$26+MAX($G$12-CHOOSE(PARAM!$B$44,MAX(0,AP640*$F$1),0),0)*RATES!$L617/12+$H$12*(PARAM!$D$51/12)*RATES!$N617/100</f>
        <v>330.37500000000006</v>
      </c>
      <c r="AP641" s="16">
        <f t="shared" si="422"/>
        <v>-33809.450879785778</v>
      </c>
      <c r="AQ641" s="15">
        <f t="shared" si="397"/>
        <v>22.170849845882874</v>
      </c>
      <c r="AR641" s="75">
        <f>AQ641*(1-PARAM!$C$27)*$I$13+(MOD($B641,60)=PARAM!$B$56)*($B641&gt;(60-PARAM!$B$56))*HLOOKUP(($B641+PARAM!$B$56)/12,Loyalty,2)*$F$1*MAX(AT640,0)</f>
        <v>18.557001321003963</v>
      </c>
      <c r="AS641" s="75">
        <f>PARAM!$C$26+MAX($G$13-CHOOSE(PARAM!$B$44,MAX(0,AT640*$F$1),0),0)*RATES!$L617/12+$H$13*(PARAM!$D$51/12)*RATES!$N617/100</f>
        <v>330.37500000000006</v>
      </c>
      <c r="AT641" s="16">
        <f t="shared" si="423"/>
        <v>-33809.450879785778</v>
      </c>
      <c r="AU641" s="15">
        <f t="shared" si="398"/>
        <v>22.170849845882874</v>
      </c>
      <c r="AV641" s="75">
        <f>AU641*(1-PARAM!$C$27)*$I$14+(MOD($B641,60)=PARAM!$B$56)*($B641&gt;(60-PARAM!$B$56))*HLOOKUP(($B641+PARAM!$B$56)/12,Loyalty,2)*$F$1*MAX(AX640,0)</f>
        <v>18.557001321003963</v>
      </c>
      <c r="AW641" s="75">
        <f>PARAM!$C$26+MAX($G$14-CHOOSE(PARAM!$B$44,MAX(0,AX640*$F$1),0),0)*RATES!$L617/12+$H$14*(PARAM!$D$51/12)*RATES!$N617/100</f>
        <v>330.37500000000006</v>
      </c>
      <c r="AX641" s="16">
        <f t="shared" si="424"/>
        <v>-33809.450879785778</v>
      </c>
      <c r="AY641" s="15">
        <f t="shared" si="399"/>
        <v>22.170849845882874</v>
      </c>
      <c r="AZ641" s="75">
        <f>AY641*(1-PARAM!$C$27)*$I$15+(MOD($B641,60)=PARAM!$B$56)*($B641&gt;(60-PARAM!$B$56))*HLOOKUP(($B641+PARAM!$B$56)/12,Loyalty,2)*$F$1*MAX(BB640,0)</f>
        <v>18.557001321003963</v>
      </c>
      <c r="BA641" s="75">
        <f>PARAM!$C$26+MAX($G$15-CHOOSE(PARAM!$B$44,MAX(0,BB640*$F$1),0),0)*RATES!$L617/12+$H$15*(PARAM!$D$51/12)*RATES!$N617/100</f>
        <v>330.37500000000006</v>
      </c>
      <c r="BB641" s="16">
        <f t="shared" si="425"/>
        <v>-33809.450879785778</v>
      </c>
      <c r="BC641" s="15">
        <f t="shared" si="400"/>
        <v>22.170849845882874</v>
      </c>
      <c r="BD641" s="75">
        <f>BC641*(1-PARAM!$C$27)*$I$16+(MOD($B641,60)=PARAM!$B$56)*($B641&gt;(60-PARAM!$B$56))*HLOOKUP(($B641+PARAM!$B$56)/12,Loyalty,2)*$F$1*MAX(BF640,0)</f>
        <v>18.557001321003963</v>
      </c>
      <c r="BE641" s="75">
        <f>PARAM!$C$26+MAX($G$16-CHOOSE(PARAM!$B$44,MAX(0,BF640*$F$1),0),0)*RATES!$L617/12+$H$16*(PARAM!$D$51/12)*RATES!$N617/100</f>
        <v>330.37500000000006</v>
      </c>
      <c r="BF641" s="16">
        <f t="shared" si="426"/>
        <v>-33809.450879785778</v>
      </c>
      <c r="BG641" s="15">
        <f t="shared" si="401"/>
        <v>22.170849845882874</v>
      </c>
      <c r="BH641" s="75">
        <f>BG641*(1-PARAM!$C$27)*$I$17+(MOD($B641,60)=PARAM!$B$56)*($B641&gt;(60-PARAM!$B$56))*HLOOKUP(($B641+PARAM!$B$56)/12,Loyalty,2)*$F$1*MAX(BJ640,0)</f>
        <v>18.557001321003963</v>
      </c>
      <c r="BI641" s="75">
        <f>PARAM!$C$26+MAX($G$17-CHOOSE(PARAM!$B$44,MAX(0,BJ640*$F$1),0),0)*RATES!$L617/12+$H$17*(PARAM!$D$51/12)*RATES!$N617/100</f>
        <v>330.37500000000006</v>
      </c>
      <c r="BJ641" s="16">
        <f t="shared" si="427"/>
        <v>-33809.450879785778</v>
      </c>
      <c r="BK641" s="15">
        <f t="shared" si="402"/>
        <v>22.170849845882874</v>
      </c>
      <c r="BL641" s="75">
        <f>BK641*(1-PARAM!$C$27)*$I$18+(MOD($B641,60)=PARAM!$B$56)*($B641&gt;(60-PARAM!$B$56))*HLOOKUP(($B641+PARAM!$B$56)/12,Loyalty,2)*$F$1*MAX(BN640,0)</f>
        <v>18.557001321003963</v>
      </c>
      <c r="BM641" s="75">
        <f>PARAM!$C$26+MAX($G$18-CHOOSE(PARAM!$B$44,MAX(0,BN640*$F$1),0),0)*RATES!$L617/12+$H$18*(PARAM!$D$51/12)*RATES!$N617/100</f>
        <v>330.37500000000006</v>
      </c>
      <c r="BN641" s="16">
        <f t="shared" si="428"/>
        <v>-33809.450879785778</v>
      </c>
      <c r="BO641" s="15">
        <f t="shared" si="403"/>
        <v>22.170849845882874</v>
      </c>
      <c r="BP641" s="75">
        <f>BO641*(1-PARAM!$C$27)*$I$19+(MOD($B641,60)=PARAM!$B$56)*($B641&gt;(60-PARAM!$B$56))*HLOOKUP(($B641+PARAM!$B$56)/12,Loyalty,2)*$F$1*MAX(BR640,0)</f>
        <v>18.557001321003963</v>
      </c>
      <c r="BQ641" s="75">
        <f>PARAM!$C$26+MAX($G$19-CHOOSE(PARAM!$B$44,MAX(0,BR640*$F$1),0),0)*RATES!$L617/12+$H$19*(PARAM!$D$51/12)*RATES!$N617/100</f>
        <v>330.37500000000006</v>
      </c>
      <c r="BR641" s="16">
        <f t="shared" si="429"/>
        <v>-33809.450879785778</v>
      </c>
      <c r="BS641" s="15">
        <f t="shared" si="404"/>
        <v>22.170849845882874</v>
      </c>
      <c r="BT641" s="75">
        <f>BS641*(1-PARAM!$C$27)*$I$20+(MOD($B641,60)=PARAM!$B$56)*($B641&gt;(60-PARAM!$B$56))*HLOOKUP(($B641+PARAM!$B$56)/12,Loyalty,2)*$F$1*MAX(BV640,0)</f>
        <v>18.557001321003963</v>
      </c>
      <c r="BU641" s="75">
        <f>PARAM!$C$26+MAX($G$20-CHOOSE(PARAM!$B$44,MAX(0,BV640*$F$1),0),0)*RATES!$L617/12+$H$20*(PARAM!$D$51/12)*RATES!$N617/100</f>
        <v>330.37500000000006</v>
      </c>
      <c r="BV641" s="16">
        <f t="shared" si="430"/>
        <v>-33809.450879785778</v>
      </c>
      <c r="BW641" s="15">
        <f t="shared" si="405"/>
        <v>22.170849845882874</v>
      </c>
      <c r="BX641" s="75">
        <f>BW641*(1-PARAM!$C$27)*$I$21+(MOD($B641,60)=PARAM!$B$56)*($B641&gt;(60-PARAM!$B$56))*HLOOKUP(($B641+PARAM!$B$56)/12,Loyalty,2)*$F$1*MAX(BZ640,0)</f>
        <v>18.557001321003963</v>
      </c>
      <c r="BY641" s="75">
        <f>PARAM!$C$26+MAX($G$21-CHOOSE(PARAM!$B$44,MAX(0,BZ640*$F$1),0),0)*RATES!$L617/12+$H$21*(PARAM!$D$51/12)*RATES!$N617/100</f>
        <v>330.37500000000006</v>
      </c>
      <c r="BZ641" s="16">
        <f t="shared" si="431"/>
        <v>-33809.450879785778</v>
      </c>
      <c r="CA641" s="15">
        <f t="shared" si="406"/>
        <v>22.170849845882874</v>
      </c>
      <c r="CB641" s="75">
        <f>CA641*(1-PARAM!$C$27)*$I$22+(MOD($B641,60)=PARAM!$B$56)*($B641&gt;(60-PARAM!$B$56))*HLOOKUP(($B641+PARAM!$B$56)/12,Loyalty,2)*$F$1*MAX(CD640,0)</f>
        <v>18.557001321003963</v>
      </c>
      <c r="CC641" s="75">
        <f>PARAM!$C$26+MAX($G$22-CHOOSE(PARAM!$B$44,MAX(0,CD640*$F$1),0),0)*RATES!$L617/12+$H$22*(PARAM!$D$51/12)*RATES!$N617/100</f>
        <v>330.37500000000006</v>
      </c>
      <c r="CD641" s="16">
        <f t="shared" si="432"/>
        <v>-33809.450879785778</v>
      </c>
      <c r="CE641" s="33">
        <f>IF(0=MOD(B641,12/PARAM!$D$51),1,0)</f>
        <v>1</v>
      </c>
      <c r="CF641" s="15">
        <f t="shared" si="407"/>
        <v>0</v>
      </c>
      <c r="CG641" s="75">
        <f>CF641*(1-PARAM!$C$27)*$R$3+(MOD($B641/12,5)=0)*($B641&gt;60)*HLOOKUP($B641/12,Loyalty,2)*$F$1*MAX(CI640,0)</f>
        <v>0</v>
      </c>
      <c r="CH641" s="75">
        <f>PARAM!$C$26+MAX($P$3-CHOOSE(PARAM!$B$44,MAX(0,CI640*$F$1),0),0)*RATES!$L617/12+$Q$3*(PARAM!$D$51/12)*RATES!$N617/100</f>
        <v>330.37500000000006</v>
      </c>
      <c r="CI641" s="16">
        <f>IF(CI640&gt;0,CI640*PARAM!$C$53,CI640)+CG641-CH641</f>
        <v>-45083.875</v>
      </c>
      <c r="CJ641" s="15">
        <f t="shared" si="433"/>
        <v>0</v>
      </c>
      <c r="CK641" s="75">
        <f>CJ641*(1-PARAM!$C$27)*$R$4+(MOD($B641/12,5)=0)*($B641&gt;60)*HLOOKUP($B641/12,Loyalty,2)*$F$1*MAX(CM640,0)</f>
        <v>0</v>
      </c>
      <c r="CL641" s="75">
        <f>PARAM!$C$26+MAX($P$4-CHOOSE(PARAM!$B$44,MAX(0,CM640*$F$1),0),0)*RATES!$L617/12+$Q$4*(PARAM!$D$51/12)*RATES!$N617/100</f>
        <v>330.37500000000006</v>
      </c>
      <c r="CM641" s="16">
        <f>IF(CM640&gt;0,CM640*PARAM!$C$53,CM640)+CK641-CL641</f>
        <v>-45083.875</v>
      </c>
      <c r="CO641" s="176"/>
    </row>
    <row r="642" spans="1:93" x14ac:dyDescent="0.2">
      <c r="A642" t="b">
        <f t="shared" si="408"/>
        <v>0</v>
      </c>
      <c r="B642" s="33">
        <v>615</v>
      </c>
      <c r="C642" s="15">
        <f t="shared" si="409"/>
        <v>20.081305947392778</v>
      </c>
      <c r="D642" s="75">
        <f>C642*(1-PARAM!$C$27)*$I$3+(MOD($B642,60)=PARAM!$B$56)*($B642&gt;(60-PARAM!$B$56))*HLOOKUP(($B642+PARAM!$B$56)/12,Loyalty,2)*$F$1*MAX(F641,0)</f>
        <v>16.808053077967756</v>
      </c>
      <c r="E642" s="75">
        <f>PARAM!$C$26+MAX($G$3-CHOOSE(PARAM!$B$44,MAX(0,F641*$F$1),0),0)*RATES!$L618/12+$H$3*(PARAM!$D$51/12)*RATES!$N618/100</f>
        <v>330.37500000000006</v>
      </c>
      <c r="F642" s="16">
        <f t="shared" si="410"/>
        <v>-35233.722548453698</v>
      </c>
      <c r="G642" s="15">
        <f t="shared" si="411"/>
        <v>22.035289406060361</v>
      </c>
      <c r="H642" s="75">
        <f>G642*(1-PARAM!$C$27)*$I$4+(MOD($B642,60)=PARAM!$B$56)*($B642&gt;(60-PARAM!$B$56))*HLOOKUP(($B642+PARAM!$B$56)/12,Loyalty,2)*$F$1*MAX(J641,0)</f>
        <v>18.443537232872522</v>
      </c>
      <c r="I642" s="75">
        <f>PARAM!$C$26+MAX($G$4-CHOOSE(PARAM!$B$44,MAX(0,J641*$F$1),0),0)*RATES!$L618/12+$H$4*(PARAM!$D$51/12)*RATES!$N618/100</f>
        <v>330.37500000000006</v>
      </c>
      <c r="J642" s="16">
        <f t="shared" si="412"/>
        <v>-34194.066829065428</v>
      </c>
      <c r="K642" s="15">
        <f t="shared" si="413"/>
        <v>22.170849845882874</v>
      </c>
      <c r="L642" s="75">
        <f>K642*(1-PARAM!$C$27)*$I$5+(MOD($B642,60)=PARAM!$B$56)*($B642&gt;(60-PARAM!$B$56))*HLOOKUP(($B642+PARAM!$B$56)/12,Loyalty,2)*$F$1*MAX(N641,0)</f>
        <v>18.557001321003963</v>
      </c>
      <c r="M642" s="75">
        <f>PARAM!$C$26+MAX($G$5-CHOOSE(PARAM!$B$44,MAX(0,N641*$F$1),0),0)*RATES!$L618/12+$H$5*(PARAM!$D$51/12)*RATES!$N618/100</f>
        <v>330.37500000000006</v>
      </c>
      <c r="N642" s="16">
        <f t="shared" si="414"/>
        <v>-34121.268878464776</v>
      </c>
      <c r="O642" s="15">
        <f t="shared" si="415"/>
        <v>22.170849845882874</v>
      </c>
      <c r="P642" s="75">
        <f>O642*(1-PARAM!$C$27)*$I$6+(MOD($B642,60)=PARAM!$B$56)*($B642&gt;(60-PARAM!$B$56))*HLOOKUP(($B642+PARAM!$B$56)/12,Loyalty,2)*$F$1*MAX(R641,0)</f>
        <v>18.557001321003963</v>
      </c>
      <c r="Q642" s="75">
        <f>PARAM!$C$26+MAX($G$6-CHOOSE(PARAM!$B$44,MAX(0,R641*$F$1),0),0)*RATES!$L618/12+$H$6*(PARAM!$D$51/12)*RATES!$N618/100</f>
        <v>330.37500000000006</v>
      </c>
      <c r="R642" s="16">
        <f t="shared" si="416"/>
        <v>-34121.268878464776</v>
      </c>
      <c r="S642" s="15">
        <f t="shared" si="391"/>
        <v>22.170849845882874</v>
      </c>
      <c r="T642" s="75">
        <f>S642*(1-PARAM!$C$27)*$I$7+(MOD($B642,60)=PARAM!$B$56)*($B642&gt;(60-PARAM!$B$56))*HLOOKUP(($B642+PARAM!$B$56)/12,Loyalty,2)*$F$1*MAX(V641,0)</f>
        <v>18.557001321003963</v>
      </c>
      <c r="U642" s="75">
        <f>PARAM!$C$26+MAX($G$7-CHOOSE(PARAM!$B$44,MAX(0,V641*$F$1),0),0)*RATES!$L618/12+$H$7*(PARAM!$D$51/12)*RATES!$N618/100</f>
        <v>330.37500000000006</v>
      </c>
      <c r="V642" s="16">
        <f t="shared" si="417"/>
        <v>-34121.268878464776</v>
      </c>
      <c r="W642" s="15">
        <f t="shared" si="392"/>
        <v>22.170849845882874</v>
      </c>
      <c r="X642" s="75">
        <f>W642*(1-PARAM!$C$27)*$I$8+(MOD($B642,60)=PARAM!$B$56)*($B642&gt;(60-PARAM!$B$56))*HLOOKUP(($B642+PARAM!$B$56)/12,Loyalty,2)*$F$1*MAX(Z641,0)</f>
        <v>18.557001321003963</v>
      </c>
      <c r="Y642" s="75">
        <f>PARAM!$C$26+MAX($G$8-CHOOSE(PARAM!$B$44,MAX(0,Z641*$F$1),0),0)*RATES!$L618/12+$H$8*(PARAM!$D$51/12)*RATES!$N618/100</f>
        <v>330.37500000000006</v>
      </c>
      <c r="Z642" s="16">
        <f t="shared" si="418"/>
        <v>-34121.268878464776</v>
      </c>
      <c r="AA642" s="15">
        <f t="shared" si="393"/>
        <v>22.170849845882874</v>
      </c>
      <c r="AB642" s="75">
        <f>AA642*(1-PARAM!$C$27)*$I$9+(MOD($B642,60)=PARAM!$B$56)*($B642&gt;(60-PARAM!$B$56))*HLOOKUP(($B642+PARAM!$B$56)/12,Loyalty,2)*$F$1*MAX(AD641,0)</f>
        <v>18.557001321003963</v>
      </c>
      <c r="AC642" s="75">
        <f>PARAM!$C$26+MAX($G$9-CHOOSE(PARAM!$B$44,MAX(0,AD641*$F$1),0),0)*RATES!$L618/12+$H$9*(PARAM!$D$51/12)*RATES!$N618/100</f>
        <v>330.37500000000006</v>
      </c>
      <c r="AD642" s="16">
        <f t="shared" si="419"/>
        <v>-34121.268878464776</v>
      </c>
      <c r="AE642" s="15">
        <f t="shared" si="394"/>
        <v>22.170849845882874</v>
      </c>
      <c r="AF642" s="75">
        <f>AE642*(1-PARAM!$C$27)*$I$10+(MOD($B642,60)=PARAM!$B$56)*($B642&gt;(60-PARAM!$B$56))*HLOOKUP(($B642+PARAM!$B$56)/12,Loyalty,2)*$F$1*MAX(AH641,0)</f>
        <v>18.557001321003963</v>
      </c>
      <c r="AG642" s="75">
        <f>PARAM!$C$26+MAX($G$10-CHOOSE(PARAM!$B$44,MAX(0,AH641*$F$1),0),0)*RATES!$L618/12+$H$10*(PARAM!$D$51/12)*RATES!$N618/100</f>
        <v>330.37500000000006</v>
      </c>
      <c r="AH642" s="16">
        <f t="shared" si="420"/>
        <v>-34121.268878464776</v>
      </c>
      <c r="AI642" s="15">
        <f t="shared" si="395"/>
        <v>22.170849845882874</v>
      </c>
      <c r="AJ642" s="75">
        <f>AI642*(1-PARAM!$C$27)*$I$11+(MOD($B642,60)=PARAM!$B$56)*($B642&gt;(60-PARAM!$B$56))*HLOOKUP(($B642+PARAM!$B$56)/12,Loyalty,2)*$F$1*MAX(AL641,0)</f>
        <v>18.557001321003963</v>
      </c>
      <c r="AK642" s="75">
        <f>PARAM!$C$26+MAX($G$11-CHOOSE(PARAM!$B$44,MAX(0,AL641*$F$1),0),0)*RATES!$L618/12+$H$11*(PARAM!$D$51/12)*RATES!$N618/100</f>
        <v>330.37500000000006</v>
      </c>
      <c r="AL642" s="16">
        <f t="shared" si="421"/>
        <v>-34121.268878464776</v>
      </c>
      <c r="AM642" s="15">
        <f t="shared" si="396"/>
        <v>22.170849845882874</v>
      </c>
      <c r="AN642" s="75">
        <f>AM642*(1-PARAM!$C$27)*$I$12+(MOD($B642,60)=PARAM!$B$56)*($B642&gt;(60-PARAM!$B$56))*HLOOKUP(($B642+PARAM!$B$56)/12,Loyalty,2)*$F$1*MAX(AP641,0)</f>
        <v>18.557001321003963</v>
      </c>
      <c r="AO642" s="75">
        <f>PARAM!$C$26+MAX($G$12-CHOOSE(PARAM!$B$44,MAX(0,AP641*$F$1),0),0)*RATES!$L618/12+$H$12*(PARAM!$D$51/12)*RATES!$N618/100</f>
        <v>330.37500000000006</v>
      </c>
      <c r="AP642" s="16">
        <f t="shared" si="422"/>
        <v>-34121.268878464776</v>
      </c>
      <c r="AQ642" s="15">
        <f t="shared" si="397"/>
        <v>22.170849845882874</v>
      </c>
      <c r="AR642" s="75">
        <f>AQ642*(1-PARAM!$C$27)*$I$13+(MOD($B642,60)=PARAM!$B$56)*($B642&gt;(60-PARAM!$B$56))*HLOOKUP(($B642+PARAM!$B$56)/12,Loyalty,2)*$F$1*MAX(AT641,0)</f>
        <v>18.557001321003963</v>
      </c>
      <c r="AS642" s="75">
        <f>PARAM!$C$26+MAX($G$13-CHOOSE(PARAM!$B$44,MAX(0,AT641*$F$1),0),0)*RATES!$L618/12+$H$13*(PARAM!$D$51/12)*RATES!$N618/100</f>
        <v>330.37500000000006</v>
      </c>
      <c r="AT642" s="16">
        <f t="shared" si="423"/>
        <v>-34121.268878464776</v>
      </c>
      <c r="AU642" s="15">
        <f t="shared" si="398"/>
        <v>22.170849845882874</v>
      </c>
      <c r="AV642" s="75">
        <f>AU642*(1-PARAM!$C$27)*$I$14+(MOD($B642,60)=PARAM!$B$56)*($B642&gt;(60-PARAM!$B$56))*HLOOKUP(($B642+PARAM!$B$56)/12,Loyalty,2)*$F$1*MAX(AX641,0)</f>
        <v>18.557001321003963</v>
      </c>
      <c r="AW642" s="75">
        <f>PARAM!$C$26+MAX($G$14-CHOOSE(PARAM!$B$44,MAX(0,AX641*$F$1),0),0)*RATES!$L618/12+$H$14*(PARAM!$D$51/12)*RATES!$N618/100</f>
        <v>330.37500000000006</v>
      </c>
      <c r="AX642" s="16">
        <f t="shared" si="424"/>
        <v>-34121.268878464776</v>
      </c>
      <c r="AY642" s="15">
        <f t="shared" si="399"/>
        <v>22.170849845882874</v>
      </c>
      <c r="AZ642" s="75">
        <f>AY642*(1-PARAM!$C$27)*$I$15+(MOD($B642,60)=PARAM!$B$56)*($B642&gt;(60-PARAM!$B$56))*HLOOKUP(($B642+PARAM!$B$56)/12,Loyalty,2)*$F$1*MAX(BB641,0)</f>
        <v>18.557001321003963</v>
      </c>
      <c r="BA642" s="75">
        <f>PARAM!$C$26+MAX($G$15-CHOOSE(PARAM!$B$44,MAX(0,BB641*$F$1),0),0)*RATES!$L618/12+$H$15*(PARAM!$D$51/12)*RATES!$N618/100</f>
        <v>330.37500000000006</v>
      </c>
      <c r="BB642" s="16">
        <f t="shared" si="425"/>
        <v>-34121.268878464776</v>
      </c>
      <c r="BC642" s="15">
        <f t="shared" si="400"/>
        <v>22.170849845882874</v>
      </c>
      <c r="BD642" s="75">
        <f>BC642*(1-PARAM!$C$27)*$I$16+(MOD($B642,60)=PARAM!$B$56)*($B642&gt;(60-PARAM!$B$56))*HLOOKUP(($B642+PARAM!$B$56)/12,Loyalty,2)*$F$1*MAX(BF641,0)</f>
        <v>18.557001321003963</v>
      </c>
      <c r="BE642" s="75">
        <f>PARAM!$C$26+MAX($G$16-CHOOSE(PARAM!$B$44,MAX(0,BF641*$F$1),0),0)*RATES!$L618/12+$H$16*(PARAM!$D$51/12)*RATES!$N618/100</f>
        <v>330.37500000000006</v>
      </c>
      <c r="BF642" s="16">
        <f t="shared" si="426"/>
        <v>-34121.268878464776</v>
      </c>
      <c r="BG642" s="15">
        <f t="shared" si="401"/>
        <v>22.170849845882874</v>
      </c>
      <c r="BH642" s="75">
        <f>BG642*(1-PARAM!$C$27)*$I$17+(MOD($B642,60)=PARAM!$B$56)*($B642&gt;(60-PARAM!$B$56))*HLOOKUP(($B642+PARAM!$B$56)/12,Loyalty,2)*$F$1*MAX(BJ641,0)</f>
        <v>18.557001321003963</v>
      </c>
      <c r="BI642" s="75">
        <f>PARAM!$C$26+MAX($G$17-CHOOSE(PARAM!$B$44,MAX(0,BJ641*$F$1),0),0)*RATES!$L618/12+$H$17*(PARAM!$D$51/12)*RATES!$N618/100</f>
        <v>330.37500000000006</v>
      </c>
      <c r="BJ642" s="16">
        <f t="shared" si="427"/>
        <v>-34121.268878464776</v>
      </c>
      <c r="BK642" s="15">
        <f t="shared" si="402"/>
        <v>22.170849845882874</v>
      </c>
      <c r="BL642" s="75">
        <f>BK642*(1-PARAM!$C$27)*$I$18+(MOD($B642,60)=PARAM!$B$56)*($B642&gt;(60-PARAM!$B$56))*HLOOKUP(($B642+PARAM!$B$56)/12,Loyalty,2)*$F$1*MAX(BN641,0)</f>
        <v>18.557001321003963</v>
      </c>
      <c r="BM642" s="75">
        <f>PARAM!$C$26+MAX($G$18-CHOOSE(PARAM!$B$44,MAX(0,BN641*$F$1),0),0)*RATES!$L618/12+$H$18*(PARAM!$D$51/12)*RATES!$N618/100</f>
        <v>330.37500000000006</v>
      </c>
      <c r="BN642" s="16">
        <f t="shared" si="428"/>
        <v>-34121.268878464776</v>
      </c>
      <c r="BO642" s="15">
        <f t="shared" si="403"/>
        <v>22.170849845882874</v>
      </c>
      <c r="BP642" s="75">
        <f>BO642*(1-PARAM!$C$27)*$I$19+(MOD($B642,60)=PARAM!$B$56)*($B642&gt;(60-PARAM!$B$56))*HLOOKUP(($B642+PARAM!$B$56)/12,Loyalty,2)*$F$1*MAX(BR641,0)</f>
        <v>18.557001321003963</v>
      </c>
      <c r="BQ642" s="75">
        <f>PARAM!$C$26+MAX($G$19-CHOOSE(PARAM!$B$44,MAX(0,BR641*$F$1),0),0)*RATES!$L618/12+$H$19*(PARAM!$D$51/12)*RATES!$N618/100</f>
        <v>330.37500000000006</v>
      </c>
      <c r="BR642" s="16">
        <f t="shared" si="429"/>
        <v>-34121.268878464776</v>
      </c>
      <c r="BS642" s="15">
        <f t="shared" si="404"/>
        <v>22.170849845882874</v>
      </c>
      <c r="BT642" s="75">
        <f>BS642*(1-PARAM!$C$27)*$I$20+(MOD($B642,60)=PARAM!$B$56)*($B642&gt;(60-PARAM!$B$56))*HLOOKUP(($B642+PARAM!$B$56)/12,Loyalty,2)*$F$1*MAX(BV641,0)</f>
        <v>18.557001321003963</v>
      </c>
      <c r="BU642" s="75">
        <f>PARAM!$C$26+MAX($G$20-CHOOSE(PARAM!$B$44,MAX(0,BV641*$F$1),0),0)*RATES!$L618/12+$H$20*(PARAM!$D$51/12)*RATES!$N618/100</f>
        <v>330.37500000000006</v>
      </c>
      <c r="BV642" s="16">
        <f t="shared" si="430"/>
        <v>-34121.268878464776</v>
      </c>
      <c r="BW642" s="15">
        <f t="shared" si="405"/>
        <v>22.170849845882874</v>
      </c>
      <c r="BX642" s="75">
        <f>BW642*(1-PARAM!$C$27)*$I$21+(MOD($B642,60)=PARAM!$B$56)*($B642&gt;(60-PARAM!$B$56))*HLOOKUP(($B642+PARAM!$B$56)/12,Loyalty,2)*$F$1*MAX(BZ641,0)</f>
        <v>18.557001321003963</v>
      </c>
      <c r="BY642" s="75">
        <f>PARAM!$C$26+MAX($G$21-CHOOSE(PARAM!$B$44,MAX(0,BZ641*$F$1),0),0)*RATES!$L618/12+$H$21*(PARAM!$D$51/12)*RATES!$N618/100</f>
        <v>330.37500000000006</v>
      </c>
      <c r="BZ642" s="16">
        <f t="shared" si="431"/>
        <v>-34121.268878464776</v>
      </c>
      <c r="CA642" s="15">
        <f t="shared" si="406"/>
        <v>22.170849845882874</v>
      </c>
      <c r="CB642" s="75">
        <f>CA642*(1-PARAM!$C$27)*$I$22+(MOD($B642,60)=PARAM!$B$56)*($B642&gt;(60-PARAM!$B$56))*HLOOKUP(($B642+PARAM!$B$56)/12,Loyalty,2)*$F$1*MAX(CD641,0)</f>
        <v>18.557001321003963</v>
      </c>
      <c r="CC642" s="75">
        <f>PARAM!$C$26+MAX($G$22-CHOOSE(PARAM!$B$44,MAX(0,CD641*$F$1),0),0)*RATES!$L618/12+$H$22*(PARAM!$D$51/12)*RATES!$N618/100</f>
        <v>330.37500000000006</v>
      </c>
      <c r="CD642" s="16">
        <f t="shared" si="432"/>
        <v>-34121.268878464776</v>
      </c>
      <c r="CE642" s="33">
        <f>IF(0=MOD(B642,12/PARAM!$D$51),1,0)</f>
        <v>1</v>
      </c>
      <c r="CF642" s="15">
        <f t="shared" si="407"/>
        <v>0</v>
      </c>
      <c r="CG642" s="75">
        <f>CF642*(1-PARAM!$C$27)*$R$3+(MOD($B642/12,5)=0)*($B642&gt;60)*HLOOKUP($B642/12,Loyalty,2)*$F$1*MAX(CI641,0)</f>
        <v>0</v>
      </c>
      <c r="CH642" s="75">
        <f>PARAM!$C$26+MAX($P$3-CHOOSE(PARAM!$B$44,MAX(0,CI641*$F$1),0),0)*RATES!$L618/12+$Q$3*(PARAM!$D$51/12)*RATES!$N618/100</f>
        <v>330.37500000000006</v>
      </c>
      <c r="CI642" s="16">
        <f>IF(CI641&gt;0,CI641*PARAM!$C$53,CI641)+CG642-CH642</f>
        <v>-45414.25</v>
      </c>
      <c r="CJ642" s="15">
        <f t="shared" si="433"/>
        <v>0</v>
      </c>
      <c r="CK642" s="75">
        <f>CJ642*(1-PARAM!$C$27)*$R$4+(MOD($B642/12,5)=0)*($B642&gt;60)*HLOOKUP($B642/12,Loyalty,2)*$F$1*MAX(CM641,0)</f>
        <v>0</v>
      </c>
      <c r="CL642" s="75">
        <f>PARAM!$C$26+MAX($P$4-CHOOSE(PARAM!$B$44,MAX(0,CM641*$F$1),0),0)*RATES!$L618/12+$Q$4*(PARAM!$D$51/12)*RATES!$N618/100</f>
        <v>330.37500000000006</v>
      </c>
      <c r="CM642" s="16">
        <f>IF(CM641&gt;0,CM641*PARAM!$C$53,CM641)+CK642-CL642</f>
        <v>-45414.25</v>
      </c>
      <c r="CO642" s="176"/>
    </row>
    <row r="643" spans="1:93" x14ac:dyDescent="0.2">
      <c r="A643" t="b">
        <f t="shared" si="408"/>
        <v>0</v>
      </c>
      <c r="B643" s="33">
        <v>616</v>
      </c>
      <c r="C643" s="15">
        <f t="shared" si="409"/>
        <v>20.081305947392778</v>
      </c>
      <c r="D643" s="75">
        <f>C643*(1-PARAM!$C$27)*$I$3+(MOD($B643,60)=PARAM!$B$56)*($B643&gt;(60-PARAM!$B$56))*HLOOKUP(($B643+PARAM!$B$56)/12,Loyalty,2)*$F$1*MAX(F642,0)</f>
        <v>16.808053077967756</v>
      </c>
      <c r="E643" s="75">
        <f>PARAM!$C$26+MAX($G$3-CHOOSE(PARAM!$B$44,MAX(0,F642*$F$1),0),0)*RATES!$L619/12+$H$3*(PARAM!$D$51/12)*RATES!$N619/100</f>
        <v>330.37500000000006</v>
      </c>
      <c r="F643" s="16">
        <f t="shared" si="410"/>
        <v>-35547.289495375728</v>
      </c>
      <c r="G643" s="15">
        <f t="shared" si="411"/>
        <v>22.035289406060361</v>
      </c>
      <c r="H643" s="75">
        <f>G643*(1-PARAM!$C$27)*$I$4+(MOD($B643,60)=PARAM!$B$56)*($B643&gt;(60-PARAM!$B$56))*HLOOKUP(($B643+PARAM!$B$56)/12,Loyalty,2)*$F$1*MAX(J642,0)</f>
        <v>18.443537232872522</v>
      </c>
      <c r="I643" s="75">
        <f>PARAM!$C$26+MAX($G$4-CHOOSE(PARAM!$B$44,MAX(0,J642*$F$1),0),0)*RATES!$L619/12+$H$4*(PARAM!$D$51/12)*RATES!$N619/100</f>
        <v>330.37500000000006</v>
      </c>
      <c r="J643" s="16">
        <f t="shared" si="412"/>
        <v>-34505.998291832555</v>
      </c>
      <c r="K643" s="15">
        <f t="shared" si="413"/>
        <v>22.170849845882874</v>
      </c>
      <c r="L643" s="75">
        <f>K643*(1-PARAM!$C$27)*$I$5+(MOD($B643,60)=PARAM!$B$56)*($B643&gt;(60-PARAM!$B$56))*HLOOKUP(($B643+PARAM!$B$56)/12,Loyalty,2)*$F$1*MAX(N642,0)</f>
        <v>18.557001321003963</v>
      </c>
      <c r="M643" s="75">
        <f>PARAM!$C$26+MAX($G$5-CHOOSE(PARAM!$B$44,MAX(0,N642*$F$1),0),0)*RATES!$L619/12+$H$5*(PARAM!$D$51/12)*RATES!$N619/100</f>
        <v>330.37500000000006</v>
      </c>
      <c r="N643" s="16">
        <f t="shared" si="414"/>
        <v>-34433.086877143774</v>
      </c>
      <c r="O643" s="15">
        <f t="shared" si="415"/>
        <v>22.170849845882874</v>
      </c>
      <c r="P643" s="75">
        <f>O643*(1-PARAM!$C$27)*$I$6+(MOD($B643,60)=PARAM!$B$56)*($B643&gt;(60-PARAM!$B$56))*HLOOKUP(($B643+PARAM!$B$56)/12,Loyalty,2)*$F$1*MAX(R642,0)</f>
        <v>18.557001321003963</v>
      </c>
      <c r="Q643" s="75">
        <f>PARAM!$C$26+MAX($G$6-CHOOSE(PARAM!$B$44,MAX(0,R642*$F$1),0),0)*RATES!$L619/12+$H$6*(PARAM!$D$51/12)*RATES!$N619/100</f>
        <v>330.37500000000006</v>
      </c>
      <c r="R643" s="16">
        <f t="shared" si="416"/>
        <v>-34433.086877143774</v>
      </c>
      <c r="S643" s="15">
        <f t="shared" si="391"/>
        <v>22.170849845882874</v>
      </c>
      <c r="T643" s="75">
        <f>S643*(1-PARAM!$C$27)*$I$7+(MOD($B643,60)=PARAM!$B$56)*($B643&gt;(60-PARAM!$B$56))*HLOOKUP(($B643+PARAM!$B$56)/12,Loyalty,2)*$F$1*MAX(V642,0)</f>
        <v>18.557001321003963</v>
      </c>
      <c r="U643" s="75">
        <f>PARAM!$C$26+MAX($G$7-CHOOSE(PARAM!$B$44,MAX(0,V642*$F$1),0),0)*RATES!$L619/12+$H$7*(PARAM!$D$51/12)*RATES!$N619/100</f>
        <v>330.37500000000006</v>
      </c>
      <c r="V643" s="16">
        <f t="shared" si="417"/>
        <v>-34433.086877143774</v>
      </c>
      <c r="W643" s="15">
        <f t="shared" si="392"/>
        <v>22.170849845882874</v>
      </c>
      <c r="X643" s="75">
        <f>W643*(1-PARAM!$C$27)*$I$8+(MOD($B643,60)=PARAM!$B$56)*($B643&gt;(60-PARAM!$B$56))*HLOOKUP(($B643+PARAM!$B$56)/12,Loyalty,2)*$F$1*MAX(Z642,0)</f>
        <v>18.557001321003963</v>
      </c>
      <c r="Y643" s="75">
        <f>PARAM!$C$26+MAX($G$8-CHOOSE(PARAM!$B$44,MAX(0,Z642*$F$1),0),0)*RATES!$L619/12+$H$8*(PARAM!$D$51/12)*RATES!$N619/100</f>
        <v>330.37500000000006</v>
      </c>
      <c r="Z643" s="16">
        <f t="shared" si="418"/>
        <v>-34433.086877143774</v>
      </c>
      <c r="AA643" s="15">
        <f t="shared" si="393"/>
        <v>22.170849845882874</v>
      </c>
      <c r="AB643" s="75">
        <f>AA643*(1-PARAM!$C$27)*$I$9+(MOD($B643,60)=PARAM!$B$56)*($B643&gt;(60-PARAM!$B$56))*HLOOKUP(($B643+PARAM!$B$56)/12,Loyalty,2)*$F$1*MAX(AD642,0)</f>
        <v>18.557001321003963</v>
      </c>
      <c r="AC643" s="75">
        <f>PARAM!$C$26+MAX($G$9-CHOOSE(PARAM!$B$44,MAX(0,AD642*$F$1),0),0)*RATES!$L619/12+$H$9*(PARAM!$D$51/12)*RATES!$N619/100</f>
        <v>330.37500000000006</v>
      </c>
      <c r="AD643" s="16">
        <f t="shared" si="419"/>
        <v>-34433.086877143774</v>
      </c>
      <c r="AE643" s="15">
        <f t="shared" si="394"/>
        <v>22.170849845882874</v>
      </c>
      <c r="AF643" s="75">
        <f>AE643*(1-PARAM!$C$27)*$I$10+(MOD($B643,60)=PARAM!$B$56)*($B643&gt;(60-PARAM!$B$56))*HLOOKUP(($B643+PARAM!$B$56)/12,Loyalty,2)*$F$1*MAX(AH642,0)</f>
        <v>18.557001321003963</v>
      </c>
      <c r="AG643" s="75">
        <f>PARAM!$C$26+MAX($G$10-CHOOSE(PARAM!$B$44,MAX(0,AH642*$F$1),0),0)*RATES!$L619/12+$H$10*(PARAM!$D$51/12)*RATES!$N619/100</f>
        <v>330.37500000000006</v>
      </c>
      <c r="AH643" s="16">
        <f t="shared" si="420"/>
        <v>-34433.086877143774</v>
      </c>
      <c r="AI643" s="15">
        <f t="shared" si="395"/>
        <v>22.170849845882874</v>
      </c>
      <c r="AJ643" s="75">
        <f>AI643*(1-PARAM!$C$27)*$I$11+(MOD($B643,60)=PARAM!$B$56)*($B643&gt;(60-PARAM!$B$56))*HLOOKUP(($B643+PARAM!$B$56)/12,Loyalty,2)*$F$1*MAX(AL642,0)</f>
        <v>18.557001321003963</v>
      </c>
      <c r="AK643" s="75">
        <f>PARAM!$C$26+MAX($G$11-CHOOSE(PARAM!$B$44,MAX(0,AL642*$F$1),0),0)*RATES!$L619/12+$H$11*(PARAM!$D$51/12)*RATES!$N619/100</f>
        <v>330.37500000000006</v>
      </c>
      <c r="AL643" s="16">
        <f t="shared" si="421"/>
        <v>-34433.086877143774</v>
      </c>
      <c r="AM643" s="15">
        <f t="shared" si="396"/>
        <v>22.170849845882874</v>
      </c>
      <c r="AN643" s="75">
        <f>AM643*(1-PARAM!$C$27)*$I$12+(MOD($B643,60)=PARAM!$B$56)*($B643&gt;(60-PARAM!$B$56))*HLOOKUP(($B643+PARAM!$B$56)/12,Loyalty,2)*$F$1*MAX(AP642,0)</f>
        <v>18.557001321003963</v>
      </c>
      <c r="AO643" s="75">
        <f>PARAM!$C$26+MAX($G$12-CHOOSE(PARAM!$B$44,MAX(0,AP642*$F$1),0),0)*RATES!$L619/12+$H$12*(PARAM!$D$51/12)*RATES!$N619/100</f>
        <v>330.37500000000006</v>
      </c>
      <c r="AP643" s="16">
        <f t="shared" si="422"/>
        <v>-34433.086877143774</v>
      </c>
      <c r="AQ643" s="15">
        <f t="shared" si="397"/>
        <v>22.170849845882874</v>
      </c>
      <c r="AR643" s="75">
        <f>AQ643*(1-PARAM!$C$27)*$I$13+(MOD($B643,60)=PARAM!$B$56)*($B643&gt;(60-PARAM!$B$56))*HLOOKUP(($B643+PARAM!$B$56)/12,Loyalty,2)*$F$1*MAX(AT642,0)</f>
        <v>18.557001321003963</v>
      </c>
      <c r="AS643" s="75">
        <f>PARAM!$C$26+MAX($G$13-CHOOSE(PARAM!$B$44,MAX(0,AT642*$F$1),0),0)*RATES!$L619/12+$H$13*(PARAM!$D$51/12)*RATES!$N619/100</f>
        <v>330.37500000000006</v>
      </c>
      <c r="AT643" s="16">
        <f t="shared" si="423"/>
        <v>-34433.086877143774</v>
      </c>
      <c r="AU643" s="15">
        <f t="shared" si="398"/>
        <v>22.170849845882874</v>
      </c>
      <c r="AV643" s="75">
        <f>AU643*(1-PARAM!$C$27)*$I$14+(MOD($B643,60)=PARAM!$B$56)*($B643&gt;(60-PARAM!$B$56))*HLOOKUP(($B643+PARAM!$B$56)/12,Loyalty,2)*$F$1*MAX(AX642,0)</f>
        <v>18.557001321003963</v>
      </c>
      <c r="AW643" s="75">
        <f>PARAM!$C$26+MAX($G$14-CHOOSE(PARAM!$B$44,MAX(0,AX642*$F$1),0),0)*RATES!$L619/12+$H$14*(PARAM!$D$51/12)*RATES!$N619/100</f>
        <v>330.37500000000006</v>
      </c>
      <c r="AX643" s="16">
        <f t="shared" si="424"/>
        <v>-34433.086877143774</v>
      </c>
      <c r="AY643" s="15">
        <f t="shared" si="399"/>
        <v>22.170849845882874</v>
      </c>
      <c r="AZ643" s="75">
        <f>AY643*(1-PARAM!$C$27)*$I$15+(MOD($B643,60)=PARAM!$B$56)*($B643&gt;(60-PARAM!$B$56))*HLOOKUP(($B643+PARAM!$B$56)/12,Loyalty,2)*$F$1*MAX(BB642,0)</f>
        <v>18.557001321003963</v>
      </c>
      <c r="BA643" s="75">
        <f>PARAM!$C$26+MAX($G$15-CHOOSE(PARAM!$B$44,MAX(0,BB642*$F$1),0),0)*RATES!$L619/12+$H$15*(PARAM!$D$51/12)*RATES!$N619/100</f>
        <v>330.37500000000006</v>
      </c>
      <c r="BB643" s="16">
        <f t="shared" si="425"/>
        <v>-34433.086877143774</v>
      </c>
      <c r="BC643" s="15">
        <f t="shared" si="400"/>
        <v>22.170849845882874</v>
      </c>
      <c r="BD643" s="75">
        <f>BC643*(1-PARAM!$C$27)*$I$16+(MOD($B643,60)=PARAM!$B$56)*($B643&gt;(60-PARAM!$B$56))*HLOOKUP(($B643+PARAM!$B$56)/12,Loyalty,2)*$F$1*MAX(BF642,0)</f>
        <v>18.557001321003963</v>
      </c>
      <c r="BE643" s="75">
        <f>PARAM!$C$26+MAX($G$16-CHOOSE(PARAM!$B$44,MAX(0,BF642*$F$1),0),0)*RATES!$L619/12+$H$16*(PARAM!$D$51/12)*RATES!$N619/100</f>
        <v>330.37500000000006</v>
      </c>
      <c r="BF643" s="16">
        <f t="shared" si="426"/>
        <v>-34433.086877143774</v>
      </c>
      <c r="BG643" s="15">
        <f t="shared" si="401"/>
        <v>22.170849845882874</v>
      </c>
      <c r="BH643" s="75">
        <f>BG643*(1-PARAM!$C$27)*$I$17+(MOD($B643,60)=PARAM!$B$56)*($B643&gt;(60-PARAM!$B$56))*HLOOKUP(($B643+PARAM!$B$56)/12,Loyalty,2)*$F$1*MAX(BJ642,0)</f>
        <v>18.557001321003963</v>
      </c>
      <c r="BI643" s="75">
        <f>PARAM!$C$26+MAX($G$17-CHOOSE(PARAM!$B$44,MAX(0,BJ642*$F$1),0),0)*RATES!$L619/12+$H$17*(PARAM!$D$51/12)*RATES!$N619/100</f>
        <v>330.37500000000006</v>
      </c>
      <c r="BJ643" s="16">
        <f t="shared" si="427"/>
        <v>-34433.086877143774</v>
      </c>
      <c r="BK643" s="15">
        <f t="shared" si="402"/>
        <v>22.170849845882874</v>
      </c>
      <c r="BL643" s="75">
        <f>BK643*(1-PARAM!$C$27)*$I$18+(MOD($B643,60)=PARAM!$B$56)*($B643&gt;(60-PARAM!$B$56))*HLOOKUP(($B643+PARAM!$B$56)/12,Loyalty,2)*$F$1*MAX(BN642,0)</f>
        <v>18.557001321003963</v>
      </c>
      <c r="BM643" s="75">
        <f>PARAM!$C$26+MAX($G$18-CHOOSE(PARAM!$B$44,MAX(0,BN642*$F$1),0),0)*RATES!$L619/12+$H$18*(PARAM!$D$51/12)*RATES!$N619/100</f>
        <v>330.37500000000006</v>
      </c>
      <c r="BN643" s="16">
        <f t="shared" si="428"/>
        <v>-34433.086877143774</v>
      </c>
      <c r="BO643" s="15">
        <f t="shared" si="403"/>
        <v>22.170849845882874</v>
      </c>
      <c r="BP643" s="75">
        <f>BO643*(1-PARAM!$C$27)*$I$19+(MOD($B643,60)=PARAM!$B$56)*($B643&gt;(60-PARAM!$B$56))*HLOOKUP(($B643+PARAM!$B$56)/12,Loyalty,2)*$F$1*MAX(BR642,0)</f>
        <v>18.557001321003963</v>
      </c>
      <c r="BQ643" s="75">
        <f>PARAM!$C$26+MAX($G$19-CHOOSE(PARAM!$B$44,MAX(0,BR642*$F$1),0),0)*RATES!$L619/12+$H$19*(PARAM!$D$51/12)*RATES!$N619/100</f>
        <v>330.37500000000006</v>
      </c>
      <c r="BR643" s="16">
        <f t="shared" si="429"/>
        <v>-34433.086877143774</v>
      </c>
      <c r="BS643" s="15">
        <f t="shared" si="404"/>
        <v>22.170849845882874</v>
      </c>
      <c r="BT643" s="75">
        <f>BS643*(1-PARAM!$C$27)*$I$20+(MOD($B643,60)=PARAM!$B$56)*($B643&gt;(60-PARAM!$B$56))*HLOOKUP(($B643+PARAM!$B$56)/12,Loyalty,2)*$F$1*MAX(BV642,0)</f>
        <v>18.557001321003963</v>
      </c>
      <c r="BU643" s="75">
        <f>PARAM!$C$26+MAX($G$20-CHOOSE(PARAM!$B$44,MAX(0,BV642*$F$1),0),0)*RATES!$L619/12+$H$20*(PARAM!$D$51/12)*RATES!$N619/100</f>
        <v>330.37500000000006</v>
      </c>
      <c r="BV643" s="16">
        <f t="shared" si="430"/>
        <v>-34433.086877143774</v>
      </c>
      <c r="BW643" s="15">
        <f t="shared" si="405"/>
        <v>22.170849845882874</v>
      </c>
      <c r="BX643" s="75">
        <f>BW643*(1-PARAM!$C$27)*$I$21+(MOD($B643,60)=PARAM!$B$56)*($B643&gt;(60-PARAM!$B$56))*HLOOKUP(($B643+PARAM!$B$56)/12,Loyalty,2)*$F$1*MAX(BZ642,0)</f>
        <v>18.557001321003963</v>
      </c>
      <c r="BY643" s="75">
        <f>PARAM!$C$26+MAX($G$21-CHOOSE(PARAM!$B$44,MAX(0,BZ642*$F$1),0),0)*RATES!$L619/12+$H$21*(PARAM!$D$51/12)*RATES!$N619/100</f>
        <v>330.37500000000006</v>
      </c>
      <c r="BZ643" s="16">
        <f t="shared" si="431"/>
        <v>-34433.086877143774</v>
      </c>
      <c r="CA643" s="15">
        <f t="shared" si="406"/>
        <v>22.170849845882874</v>
      </c>
      <c r="CB643" s="75">
        <f>CA643*(1-PARAM!$C$27)*$I$22+(MOD($B643,60)=PARAM!$B$56)*($B643&gt;(60-PARAM!$B$56))*HLOOKUP(($B643+PARAM!$B$56)/12,Loyalty,2)*$F$1*MAX(CD642,0)</f>
        <v>18.557001321003963</v>
      </c>
      <c r="CC643" s="75">
        <f>PARAM!$C$26+MAX($G$22-CHOOSE(PARAM!$B$44,MAX(0,CD642*$F$1),0),0)*RATES!$L619/12+$H$22*(PARAM!$D$51/12)*RATES!$N619/100</f>
        <v>330.37500000000006</v>
      </c>
      <c r="CD643" s="16">
        <f t="shared" si="432"/>
        <v>-34433.086877143774</v>
      </c>
      <c r="CE643" s="33">
        <f>IF(0=MOD(B643,12/PARAM!$D$51),1,0)</f>
        <v>1</v>
      </c>
      <c r="CF643" s="15">
        <f t="shared" si="407"/>
        <v>0</v>
      </c>
      <c r="CG643" s="75">
        <f>CF643*(1-PARAM!$C$27)*$R$3+(MOD($B643/12,5)=0)*($B643&gt;60)*HLOOKUP($B643/12,Loyalty,2)*$F$1*MAX(CI642,0)</f>
        <v>0</v>
      </c>
      <c r="CH643" s="75">
        <f>PARAM!$C$26+MAX($P$3-CHOOSE(PARAM!$B$44,MAX(0,CI642*$F$1),0),0)*RATES!$L619/12+$Q$3*(PARAM!$D$51/12)*RATES!$N619/100</f>
        <v>330.37500000000006</v>
      </c>
      <c r="CI643" s="16">
        <f>IF(CI642&gt;0,CI642*PARAM!$C$53,CI642)+CG643-CH643</f>
        <v>-45744.625</v>
      </c>
      <c r="CJ643" s="15">
        <f t="shared" si="433"/>
        <v>0</v>
      </c>
      <c r="CK643" s="75">
        <f>CJ643*(1-PARAM!$C$27)*$R$4+(MOD($B643/12,5)=0)*($B643&gt;60)*HLOOKUP($B643/12,Loyalty,2)*$F$1*MAX(CM642,0)</f>
        <v>0</v>
      </c>
      <c r="CL643" s="75">
        <f>PARAM!$C$26+MAX($P$4-CHOOSE(PARAM!$B$44,MAX(0,CM642*$F$1),0),0)*RATES!$L619/12+$Q$4*(PARAM!$D$51/12)*RATES!$N619/100</f>
        <v>330.37500000000006</v>
      </c>
      <c r="CM643" s="16">
        <f>IF(CM642&gt;0,CM642*PARAM!$C$53,CM642)+CK643-CL643</f>
        <v>-45744.625</v>
      </c>
      <c r="CO643" s="176"/>
    </row>
    <row r="644" spans="1:93" x14ac:dyDescent="0.2">
      <c r="A644" t="b">
        <f t="shared" si="408"/>
        <v>0</v>
      </c>
      <c r="B644" s="33">
        <v>617</v>
      </c>
      <c r="C644" s="15">
        <f t="shared" si="409"/>
        <v>20.081305947392778</v>
      </c>
      <c r="D644" s="75">
        <f>C644*(1-PARAM!$C$27)*$I$3+(MOD($B644,60)=PARAM!$B$56)*($B644&gt;(60-PARAM!$B$56))*HLOOKUP(($B644+PARAM!$B$56)/12,Loyalty,2)*$F$1*MAX(F643,0)</f>
        <v>16.808053077967756</v>
      </c>
      <c r="E644" s="75">
        <f>PARAM!$C$26+MAX($G$3-CHOOSE(PARAM!$B$44,MAX(0,F643*$F$1),0),0)*RATES!$L620/12+$H$3*(PARAM!$D$51/12)*RATES!$N620/100</f>
        <v>330.37500000000006</v>
      </c>
      <c r="F644" s="16">
        <f t="shared" si="410"/>
        <v>-35860.856442297758</v>
      </c>
      <c r="G644" s="15">
        <f t="shared" si="411"/>
        <v>22.035289406060361</v>
      </c>
      <c r="H644" s="75">
        <f>G644*(1-PARAM!$C$27)*$I$4+(MOD($B644,60)=PARAM!$B$56)*($B644&gt;(60-PARAM!$B$56))*HLOOKUP(($B644+PARAM!$B$56)/12,Loyalty,2)*$F$1*MAX(J643,0)</f>
        <v>18.443537232872522</v>
      </c>
      <c r="I644" s="75">
        <f>PARAM!$C$26+MAX($G$4-CHOOSE(PARAM!$B$44,MAX(0,J643*$F$1),0),0)*RATES!$L620/12+$H$4*(PARAM!$D$51/12)*RATES!$N620/100</f>
        <v>330.37500000000006</v>
      </c>
      <c r="J644" s="16">
        <f t="shared" si="412"/>
        <v>-34817.929754599681</v>
      </c>
      <c r="K644" s="15">
        <f t="shared" si="413"/>
        <v>22.170849845882874</v>
      </c>
      <c r="L644" s="75">
        <f>K644*(1-PARAM!$C$27)*$I$5+(MOD($B644,60)=PARAM!$B$56)*($B644&gt;(60-PARAM!$B$56))*HLOOKUP(($B644+PARAM!$B$56)/12,Loyalty,2)*$F$1*MAX(N643,0)</f>
        <v>18.557001321003963</v>
      </c>
      <c r="M644" s="75">
        <f>PARAM!$C$26+MAX($G$5-CHOOSE(PARAM!$B$44,MAX(0,N643*$F$1),0),0)*RATES!$L620/12+$H$5*(PARAM!$D$51/12)*RATES!$N620/100</f>
        <v>330.37500000000006</v>
      </c>
      <c r="N644" s="16">
        <f t="shared" si="414"/>
        <v>-34744.904875822773</v>
      </c>
      <c r="O644" s="15">
        <f t="shared" si="415"/>
        <v>22.170849845882874</v>
      </c>
      <c r="P644" s="75">
        <f>O644*(1-PARAM!$C$27)*$I$6+(MOD($B644,60)=PARAM!$B$56)*($B644&gt;(60-PARAM!$B$56))*HLOOKUP(($B644+PARAM!$B$56)/12,Loyalty,2)*$F$1*MAX(R643,0)</f>
        <v>18.557001321003963</v>
      </c>
      <c r="Q644" s="75">
        <f>PARAM!$C$26+MAX($G$6-CHOOSE(PARAM!$B$44,MAX(0,R643*$F$1),0),0)*RATES!$L620/12+$H$6*(PARAM!$D$51/12)*RATES!$N620/100</f>
        <v>330.37500000000006</v>
      </c>
      <c r="R644" s="16">
        <f t="shared" si="416"/>
        <v>-34744.904875822773</v>
      </c>
      <c r="S644" s="15">
        <f t="shared" si="391"/>
        <v>22.170849845882874</v>
      </c>
      <c r="T644" s="75">
        <f>S644*(1-PARAM!$C$27)*$I$7+(MOD($B644,60)=PARAM!$B$56)*($B644&gt;(60-PARAM!$B$56))*HLOOKUP(($B644+PARAM!$B$56)/12,Loyalty,2)*$F$1*MAX(V643,0)</f>
        <v>18.557001321003963</v>
      </c>
      <c r="U644" s="75">
        <f>PARAM!$C$26+MAX($G$7-CHOOSE(PARAM!$B$44,MAX(0,V643*$F$1),0),0)*RATES!$L620/12+$H$7*(PARAM!$D$51/12)*RATES!$N620/100</f>
        <v>330.37500000000006</v>
      </c>
      <c r="V644" s="16">
        <f t="shared" si="417"/>
        <v>-34744.904875822773</v>
      </c>
      <c r="W644" s="15">
        <f t="shared" si="392"/>
        <v>22.170849845882874</v>
      </c>
      <c r="X644" s="75">
        <f>W644*(1-PARAM!$C$27)*$I$8+(MOD($B644,60)=PARAM!$B$56)*($B644&gt;(60-PARAM!$B$56))*HLOOKUP(($B644+PARAM!$B$56)/12,Loyalty,2)*$F$1*MAX(Z643,0)</f>
        <v>18.557001321003963</v>
      </c>
      <c r="Y644" s="75">
        <f>PARAM!$C$26+MAX($G$8-CHOOSE(PARAM!$B$44,MAX(0,Z643*$F$1),0),0)*RATES!$L620/12+$H$8*(PARAM!$D$51/12)*RATES!$N620/100</f>
        <v>330.37500000000006</v>
      </c>
      <c r="Z644" s="16">
        <f t="shared" si="418"/>
        <v>-34744.904875822773</v>
      </c>
      <c r="AA644" s="15">
        <f t="shared" si="393"/>
        <v>22.170849845882874</v>
      </c>
      <c r="AB644" s="75">
        <f>AA644*(1-PARAM!$C$27)*$I$9+(MOD($B644,60)=PARAM!$B$56)*($B644&gt;(60-PARAM!$B$56))*HLOOKUP(($B644+PARAM!$B$56)/12,Loyalty,2)*$F$1*MAX(AD643,0)</f>
        <v>18.557001321003963</v>
      </c>
      <c r="AC644" s="75">
        <f>PARAM!$C$26+MAX($G$9-CHOOSE(PARAM!$B$44,MAX(0,AD643*$F$1),0),0)*RATES!$L620/12+$H$9*(PARAM!$D$51/12)*RATES!$N620/100</f>
        <v>330.37500000000006</v>
      </c>
      <c r="AD644" s="16">
        <f t="shared" si="419"/>
        <v>-34744.904875822773</v>
      </c>
      <c r="AE644" s="15">
        <f t="shared" si="394"/>
        <v>22.170849845882874</v>
      </c>
      <c r="AF644" s="75">
        <f>AE644*(1-PARAM!$C$27)*$I$10+(MOD($B644,60)=PARAM!$B$56)*($B644&gt;(60-PARAM!$B$56))*HLOOKUP(($B644+PARAM!$B$56)/12,Loyalty,2)*$F$1*MAX(AH643,0)</f>
        <v>18.557001321003963</v>
      </c>
      <c r="AG644" s="75">
        <f>PARAM!$C$26+MAX($G$10-CHOOSE(PARAM!$B$44,MAX(0,AH643*$F$1),0),0)*RATES!$L620/12+$H$10*(PARAM!$D$51/12)*RATES!$N620/100</f>
        <v>330.37500000000006</v>
      </c>
      <c r="AH644" s="16">
        <f t="shared" si="420"/>
        <v>-34744.904875822773</v>
      </c>
      <c r="AI644" s="15">
        <f t="shared" si="395"/>
        <v>22.170849845882874</v>
      </c>
      <c r="AJ644" s="75">
        <f>AI644*(1-PARAM!$C$27)*$I$11+(MOD($B644,60)=PARAM!$B$56)*($B644&gt;(60-PARAM!$B$56))*HLOOKUP(($B644+PARAM!$B$56)/12,Loyalty,2)*$F$1*MAX(AL643,0)</f>
        <v>18.557001321003963</v>
      </c>
      <c r="AK644" s="75">
        <f>PARAM!$C$26+MAX($G$11-CHOOSE(PARAM!$B$44,MAX(0,AL643*$F$1),0),0)*RATES!$L620/12+$H$11*(PARAM!$D$51/12)*RATES!$N620/100</f>
        <v>330.37500000000006</v>
      </c>
      <c r="AL644" s="16">
        <f t="shared" si="421"/>
        <v>-34744.904875822773</v>
      </c>
      <c r="AM644" s="15">
        <f t="shared" si="396"/>
        <v>22.170849845882874</v>
      </c>
      <c r="AN644" s="75">
        <f>AM644*(1-PARAM!$C$27)*$I$12+(MOD($B644,60)=PARAM!$B$56)*($B644&gt;(60-PARAM!$B$56))*HLOOKUP(($B644+PARAM!$B$56)/12,Loyalty,2)*$F$1*MAX(AP643,0)</f>
        <v>18.557001321003963</v>
      </c>
      <c r="AO644" s="75">
        <f>PARAM!$C$26+MAX($G$12-CHOOSE(PARAM!$B$44,MAX(0,AP643*$F$1),0),0)*RATES!$L620/12+$H$12*(PARAM!$D$51/12)*RATES!$N620/100</f>
        <v>330.37500000000006</v>
      </c>
      <c r="AP644" s="16">
        <f t="shared" si="422"/>
        <v>-34744.904875822773</v>
      </c>
      <c r="AQ644" s="15">
        <f t="shared" si="397"/>
        <v>22.170849845882874</v>
      </c>
      <c r="AR644" s="75">
        <f>AQ644*(1-PARAM!$C$27)*$I$13+(MOD($B644,60)=PARAM!$B$56)*($B644&gt;(60-PARAM!$B$56))*HLOOKUP(($B644+PARAM!$B$56)/12,Loyalty,2)*$F$1*MAX(AT643,0)</f>
        <v>18.557001321003963</v>
      </c>
      <c r="AS644" s="75">
        <f>PARAM!$C$26+MAX($G$13-CHOOSE(PARAM!$B$44,MAX(0,AT643*$F$1),0),0)*RATES!$L620/12+$H$13*(PARAM!$D$51/12)*RATES!$N620/100</f>
        <v>330.37500000000006</v>
      </c>
      <c r="AT644" s="16">
        <f t="shared" si="423"/>
        <v>-34744.904875822773</v>
      </c>
      <c r="AU644" s="15">
        <f t="shared" si="398"/>
        <v>22.170849845882874</v>
      </c>
      <c r="AV644" s="75">
        <f>AU644*(1-PARAM!$C$27)*$I$14+(MOD($B644,60)=PARAM!$B$56)*($B644&gt;(60-PARAM!$B$56))*HLOOKUP(($B644+PARAM!$B$56)/12,Loyalty,2)*$F$1*MAX(AX643,0)</f>
        <v>18.557001321003963</v>
      </c>
      <c r="AW644" s="75">
        <f>PARAM!$C$26+MAX($G$14-CHOOSE(PARAM!$B$44,MAX(0,AX643*$F$1),0),0)*RATES!$L620/12+$H$14*(PARAM!$D$51/12)*RATES!$N620/100</f>
        <v>330.37500000000006</v>
      </c>
      <c r="AX644" s="16">
        <f t="shared" si="424"/>
        <v>-34744.904875822773</v>
      </c>
      <c r="AY644" s="15">
        <f t="shared" si="399"/>
        <v>22.170849845882874</v>
      </c>
      <c r="AZ644" s="75">
        <f>AY644*(1-PARAM!$C$27)*$I$15+(MOD($B644,60)=PARAM!$B$56)*($B644&gt;(60-PARAM!$B$56))*HLOOKUP(($B644+PARAM!$B$56)/12,Loyalty,2)*$F$1*MAX(BB643,0)</f>
        <v>18.557001321003963</v>
      </c>
      <c r="BA644" s="75">
        <f>PARAM!$C$26+MAX($G$15-CHOOSE(PARAM!$B$44,MAX(0,BB643*$F$1),0),0)*RATES!$L620/12+$H$15*(PARAM!$D$51/12)*RATES!$N620/100</f>
        <v>330.37500000000006</v>
      </c>
      <c r="BB644" s="16">
        <f t="shared" si="425"/>
        <v>-34744.904875822773</v>
      </c>
      <c r="BC644" s="15">
        <f t="shared" si="400"/>
        <v>22.170849845882874</v>
      </c>
      <c r="BD644" s="75">
        <f>BC644*(1-PARAM!$C$27)*$I$16+(MOD($B644,60)=PARAM!$B$56)*($B644&gt;(60-PARAM!$B$56))*HLOOKUP(($B644+PARAM!$B$56)/12,Loyalty,2)*$F$1*MAX(BF643,0)</f>
        <v>18.557001321003963</v>
      </c>
      <c r="BE644" s="75">
        <f>PARAM!$C$26+MAX($G$16-CHOOSE(PARAM!$B$44,MAX(0,BF643*$F$1),0),0)*RATES!$L620/12+$H$16*(PARAM!$D$51/12)*RATES!$N620/100</f>
        <v>330.37500000000006</v>
      </c>
      <c r="BF644" s="16">
        <f t="shared" si="426"/>
        <v>-34744.904875822773</v>
      </c>
      <c r="BG644" s="15">
        <f t="shared" si="401"/>
        <v>22.170849845882874</v>
      </c>
      <c r="BH644" s="75">
        <f>BG644*(1-PARAM!$C$27)*$I$17+(MOD($B644,60)=PARAM!$B$56)*($B644&gt;(60-PARAM!$B$56))*HLOOKUP(($B644+PARAM!$B$56)/12,Loyalty,2)*$F$1*MAX(BJ643,0)</f>
        <v>18.557001321003963</v>
      </c>
      <c r="BI644" s="75">
        <f>PARAM!$C$26+MAX($G$17-CHOOSE(PARAM!$B$44,MAX(0,BJ643*$F$1),0),0)*RATES!$L620/12+$H$17*(PARAM!$D$51/12)*RATES!$N620/100</f>
        <v>330.37500000000006</v>
      </c>
      <c r="BJ644" s="16">
        <f t="shared" si="427"/>
        <v>-34744.904875822773</v>
      </c>
      <c r="BK644" s="15">
        <f t="shared" si="402"/>
        <v>22.170849845882874</v>
      </c>
      <c r="BL644" s="75">
        <f>BK644*(1-PARAM!$C$27)*$I$18+(MOD($B644,60)=PARAM!$B$56)*($B644&gt;(60-PARAM!$B$56))*HLOOKUP(($B644+PARAM!$B$56)/12,Loyalty,2)*$F$1*MAX(BN643,0)</f>
        <v>18.557001321003963</v>
      </c>
      <c r="BM644" s="75">
        <f>PARAM!$C$26+MAX($G$18-CHOOSE(PARAM!$B$44,MAX(0,BN643*$F$1),0),0)*RATES!$L620/12+$H$18*(PARAM!$D$51/12)*RATES!$N620/100</f>
        <v>330.37500000000006</v>
      </c>
      <c r="BN644" s="16">
        <f t="shared" si="428"/>
        <v>-34744.904875822773</v>
      </c>
      <c r="BO644" s="15">
        <f t="shared" si="403"/>
        <v>22.170849845882874</v>
      </c>
      <c r="BP644" s="75">
        <f>BO644*(1-PARAM!$C$27)*$I$19+(MOD($B644,60)=PARAM!$B$56)*($B644&gt;(60-PARAM!$B$56))*HLOOKUP(($B644+PARAM!$B$56)/12,Loyalty,2)*$F$1*MAX(BR643,0)</f>
        <v>18.557001321003963</v>
      </c>
      <c r="BQ644" s="75">
        <f>PARAM!$C$26+MAX($G$19-CHOOSE(PARAM!$B$44,MAX(0,BR643*$F$1),0),0)*RATES!$L620/12+$H$19*(PARAM!$D$51/12)*RATES!$N620/100</f>
        <v>330.37500000000006</v>
      </c>
      <c r="BR644" s="16">
        <f t="shared" si="429"/>
        <v>-34744.904875822773</v>
      </c>
      <c r="BS644" s="15">
        <f t="shared" si="404"/>
        <v>22.170849845882874</v>
      </c>
      <c r="BT644" s="75">
        <f>BS644*(1-PARAM!$C$27)*$I$20+(MOD($B644,60)=PARAM!$B$56)*($B644&gt;(60-PARAM!$B$56))*HLOOKUP(($B644+PARAM!$B$56)/12,Loyalty,2)*$F$1*MAX(BV643,0)</f>
        <v>18.557001321003963</v>
      </c>
      <c r="BU644" s="75">
        <f>PARAM!$C$26+MAX($G$20-CHOOSE(PARAM!$B$44,MAX(0,BV643*$F$1),0),0)*RATES!$L620/12+$H$20*(PARAM!$D$51/12)*RATES!$N620/100</f>
        <v>330.37500000000006</v>
      </c>
      <c r="BV644" s="16">
        <f t="shared" si="430"/>
        <v>-34744.904875822773</v>
      </c>
      <c r="BW644" s="15">
        <f t="shared" si="405"/>
        <v>22.170849845882874</v>
      </c>
      <c r="BX644" s="75">
        <f>BW644*(1-PARAM!$C$27)*$I$21+(MOD($B644,60)=PARAM!$B$56)*($B644&gt;(60-PARAM!$B$56))*HLOOKUP(($B644+PARAM!$B$56)/12,Loyalty,2)*$F$1*MAX(BZ643,0)</f>
        <v>18.557001321003963</v>
      </c>
      <c r="BY644" s="75">
        <f>PARAM!$C$26+MAX($G$21-CHOOSE(PARAM!$B$44,MAX(0,BZ643*$F$1),0),0)*RATES!$L620/12+$H$21*(PARAM!$D$51/12)*RATES!$N620/100</f>
        <v>330.37500000000006</v>
      </c>
      <c r="BZ644" s="16">
        <f t="shared" si="431"/>
        <v>-34744.904875822773</v>
      </c>
      <c r="CA644" s="15">
        <f t="shared" si="406"/>
        <v>22.170849845882874</v>
      </c>
      <c r="CB644" s="75">
        <f>CA644*(1-PARAM!$C$27)*$I$22+(MOD($B644,60)=PARAM!$B$56)*($B644&gt;(60-PARAM!$B$56))*HLOOKUP(($B644+PARAM!$B$56)/12,Loyalty,2)*$F$1*MAX(CD643,0)</f>
        <v>18.557001321003963</v>
      </c>
      <c r="CC644" s="75">
        <f>PARAM!$C$26+MAX($G$22-CHOOSE(PARAM!$B$44,MAX(0,CD643*$F$1),0),0)*RATES!$L620/12+$H$22*(PARAM!$D$51/12)*RATES!$N620/100</f>
        <v>330.37500000000006</v>
      </c>
      <c r="CD644" s="16">
        <f t="shared" si="432"/>
        <v>-34744.904875822773</v>
      </c>
      <c r="CE644" s="33">
        <f>IF(0=MOD(B644,12/PARAM!$D$51),1,0)</f>
        <v>1</v>
      </c>
      <c r="CF644" s="15">
        <f t="shared" si="407"/>
        <v>0</v>
      </c>
      <c r="CG644" s="75">
        <f>CF644*(1-PARAM!$C$27)*$R$3+(MOD($B644/12,5)=0)*($B644&gt;60)*HLOOKUP($B644/12,Loyalty,2)*$F$1*MAX(CI643,0)</f>
        <v>0</v>
      </c>
      <c r="CH644" s="75">
        <f>PARAM!$C$26+MAX($P$3-CHOOSE(PARAM!$B$44,MAX(0,CI643*$F$1),0),0)*RATES!$L620/12+$Q$3*(PARAM!$D$51/12)*RATES!$N620/100</f>
        <v>330.37500000000006</v>
      </c>
      <c r="CI644" s="16">
        <f>IF(CI643&gt;0,CI643*PARAM!$C$53,CI643)+CG644-CH644</f>
        <v>-46075</v>
      </c>
      <c r="CJ644" s="15">
        <f t="shared" si="433"/>
        <v>0</v>
      </c>
      <c r="CK644" s="75">
        <f>CJ644*(1-PARAM!$C$27)*$R$4+(MOD($B644/12,5)=0)*($B644&gt;60)*HLOOKUP($B644/12,Loyalty,2)*$F$1*MAX(CM643,0)</f>
        <v>0</v>
      </c>
      <c r="CL644" s="75">
        <f>PARAM!$C$26+MAX($P$4-CHOOSE(PARAM!$B$44,MAX(0,CM643*$F$1),0),0)*RATES!$L620/12+$Q$4*(PARAM!$D$51/12)*RATES!$N620/100</f>
        <v>330.37500000000006</v>
      </c>
      <c r="CM644" s="16">
        <f>IF(CM643&gt;0,CM643*PARAM!$C$53,CM643)+CK644-CL644</f>
        <v>-46075</v>
      </c>
      <c r="CO644" s="176"/>
    </row>
    <row r="645" spans="1:93" x14ac:dyDescent="0.2">
      <c r="A645" t="b">
        <f t="shared" si="408"/>
        <v>0</v>
      </c>
      <c r="B645" s="33">
        <v>618</v>
      </c>
      <c r="C645" s="15">
        <f t="shared" si="409"/>
        <v>20.081305947392778</v>
      </c>
      <c r="D645" s="75">
        <f>C645*(1-PARAM!$C$27)*$I$3+(MOD($B645,60)=PARAM!$B$56)*($B645&gt;(60-PARAM!$B$56))*HLOOKUP(($B645+PARAM!$B$56)/12,Loyalty,2)*$F$1*MAX(F644,0)</f>
        <v>16.808053077967756</v>
      </c>
      <c r="E645" s="75">
        <f>PARAM!$C$26+MAX($G$3-CHOOSE(PARAM!$B$44,MAX(0,F644*$F$1),0),0)*RATES!$L621/12+$H$3*(PARAM!$D$51/12)*RATES!$N621/100</f>
        <v>360.45833333333331</v>
      </c>
      <c r="F645" s="16">
        <f t="shared" si="410"/>
        <v>-36204.506722553124</v>
      </c>
      <c r="G645" s="15">
        <f t="shared" si="411"/>
        <v>22.035289406060361</v>
      </c>
      <c r="H645" s="75">
        <f>G645*(1-PARAM!$C$27)*$I$4+(MOD($B645,60)=PARAM!$B$56)*($B645&gt;(60-PARAM!$B$56))*HLOOKUP(($B645+PARAM!$B$56)/12,Loyalty,2)*$F$1*MAX(J644,0)</f>
        <v>18.443537232872522</v>
      </c>
      <c r="I645" s="75">
        <f>PARAM!$C$26+MAX($G$4-CHOOSE(PARAM!$B$44,MAX(0,J644*$F$1),0),0)*RATES!$L621/12+$H$4*(PARAM!$D$51/12)*RATES!$N621/100</f>
        <v>360.45833333333331</v>
      </c>
      <c r="J645" s="16">
        <f t="shared" si="412"/>
        <v>-35159.944550700144</v>
      </c>
      <c r="K645" s="15">
        <f t="shared" si="413"/>
        <v>22.170849845882874</v>
      </c>
      <c r="L645" s="75">
        <f>K645*(1-PARAM!$C$27)*$I$5+(MOD($B645,60)=PARAM!$B$56)*($B645&gt;(60-PARAM!$B$56))*HLOOKUP(($B645+PARAM!$B$56)/12,Loyalty,2)*$F$1*MAX(N644,0)</f>
        <v>18.557001321003963</v>
      </c>
      <c r="M645" s="75">
        <f>PARAM!$C$26+MAX($G$5-CHOOSE(PARAM!$B$44,MAX(0,N644*$F$1),0),0)*RATES!$L621/12+$H$5*(PARAM!$D$51/12)*RATES!$N621/100</f>
        <v>360.45833333333331</v>
      </c>
      <c r="N645" s="16">
        <f t="shared" si="414"/>
        <v>-35086.806207835107</v>
      </c>
      <c r="O645" s="15">
        <f t="shared" si="415"/>
        <v>22.170849845882874</v>
      </c>
      <c r="P645" s="75">
        <f>O645*(1-PARAM!$C$27)*$I$6+(MOD($B645,60)=PARAM!$B$56)*($B645&gt;(60-PARAM!$B$56))*HLOOKUP(($B645+PARAM!$B$56)/12,Loyalty,2)*$F$1*MAX(R644,0)</f>
        <v>18.557001321003963</v>
      </c>
      <c r="Q645" s="75">
        <f>PARAM!$C$26+MAX($G$6-CHOOSE(PARAM!$B$44,MAX(0,R644*$F$1),0),0)*RATES!$L621/12+$H$6*(PARAM!$D$51/12)*RATES!$N621/100</f>
        <v>360.45833333333331</v>
      </c>
      <c r="R645" s="16">
        <f t="shared" si="416"/>
        <v>-35086.806207835107</v>
      </c>
      <c r="S645" s="15">
        <f t="shared" si="391"/>
        <v>22.170849845882874</v>
      </c>
      <c r="T645" s="75">
        <f>S645*(1-PARAM!$C$27)*$I$7+(MOD($B645,60)=PARAM!$B$56)*($B645&gt;(60-PARAM!$B$56))*HLOOKUP(($B645+PARAM!$B$56)/12,Loyalty,2)*$F$1*MAX(V644,0)</f>
        <v>18.557001321003963</v>
      </c>
      <c r="U645" s="75">
        <f>PARAM!$C$26+MAX($G$7-CHOOSE(PARAM!$B$44,MAX(0,V644*$F$1),0),0)*RATES!$L621/12+$H$7*(PARAM!$D$51/12)*RATES!$N621/100</f>
        <v>360.45833333333331</v>
      </c>
      <c r="V645" s="16">
        <f t="shared" si="417"/>
        <v>-35086.806207835107</v>
      </c>
      <c r="W645" s="15">
        <f t="shared" si="392"/>
        <v>22.170849845882874</v>
      </c>
      <c r="X645" s="75">
        <f>W645*(1-PARAM!$C$27)*$I$8+(MOD($B645,60)=PARAM!$B$56)*($B645&gt;(60-PARAM!$B$56))*HLOOKUP(($B645+PARAM!$B$56)/12,Loyalty,2)*$F$1*MAX(Z644,0)</f>
        <v>18.557001321003963</v>
      </c>
      <c r="Y645" s="75">
        <f>PARAM!$C$26+MAX($G$8-CHOOSE(PARAM!$B$44,MAX(0,Z644*$F$1),0),0)*RATES!$L621/12+$H$8*(PARAM!$D$51/12)*RATES!$N621/100</f>
        <v>360.45833333333331</v>
      </c>
      <c r="Z645" s="16">
        <f t="shared" si="418"/>
        <v>-35086.806207835107</v>
      </c>
      <c r="AA645" s="15">
        <f t="shared" si="393"/>
        <v>22.170849845882874</v>
      </c>
      <c r="AB645" s="75">
        <f>AA645*(1-PARAM!$C$27)*$I$9+(MOD($B645,60)=PARAM!$B$56)*($B645&gt;(60-PARAM!$B$56))*HLOOKUP(($B645+PARAM!$B$56)/12,Loyalty,2)*$F$1*MAX(AD644,0)</f>
        <v>18.557001321003963</v>
      </c>
      <c r="AC645" s="75">
        <f>PARAM!$C$26+MAX($G$9-CHOOSE(PARAM!$B$44,MAX(0,AD644*$F$1),0),0)*RATES!$L621/12+$H$9*(PARAM!$D$51/12)*RATES!$N621/100</f>
        <v>360.45833333333331</v>
      </c>
      <c r="AD645" s="16">
        <f t="shared" si="419"/>
        <v>-35086.806207835107</v>
      </c>
      <c r="AE645" s="15">
        <f t="shared" si="394"/>
        <v>22.170849845882874</v>
      </c>
      <c r="AF645" s="75">
        <f>AE645*(1-PARAM!$C$27)*$I$10+(MOD($B645,60)=PARAM!$B$56)*($B645&gt;(60-PARAM!$B$56))*HLOOKUP(($B645+PARAM!$B$56)/12,Loyalty,2)*$F$1*MAX(AH644,0)</f>
        <v>18.557001321003963</v>
      </c>
      <c r="AG645" s="75">
        <f>PARAM!$C$26+MAX($G$10-CHOOSE(PARAM!$B$44,MAX(0,AH644*$F$1),0),0)*RATES!$L621/12+$H$10*(PARAM!$D$51/12)*RATES!$N621/100</f>
        <v>360.45833333333331</v>
      </c>
      <c r="AH645" s="16">
        <f t="shared" si="420"/>
        <v>-35086.806207835107</v>
      </c>
      <c r="AI645" s="15">
        <f t="shared" si="395"/>
        <v>22.170849845882874</v>
      </c>
      <c r="AJ645" s="75">
        <f>AI645*(1-PARAM!$C$27)*$I$11+(MOD($B645,60)=PARAM!$B$56)*($B645&gt;(60-PARAM!$B$56))*HLOOKUP(($B645+PARAM!$B$56)/12,Loyalty,2)*$F$1*MAX(AL644,0)</f>
        <v>18.557001321003963</v>
      </c>
      <c r="AK645" s="75">
        <f>PARAM!$C$26+MAX($G$11-CHOOSE(PARAM!$B$44,MAX(0,AL644*$F$1),0),0)*RATES!$L621/12+$H$11*(PARAM!$D$51/12)*RATES!$N621/100</f>
        <v>360.45833333333331</v>
      </c>
      <c r="AL645" s="16">
        <f t="shared" si="421"/>
        <v>-35086.806207835107</v>
      </c>
      <c r="AM645" s="15">
        <f t="shared" si="396"/>
        <v>22.170849845882874</v>
      </c>
      <c r="AN645" s="75">
        <f>AM645*(1-PARAM!$C$27)*$I$12+(MOD($B645,60)=PARAM!$B$56)*($B645&gt;(60-PARAM!$B$56))*HLOOKUP(($B645+PARAM!$B$56)/12,Loyalty,2)*$F$1*MAX(AP644,0)</f>
        <v>18.557001321003963</v>
      </c>
      <c r="AO645" s="75">
        <f>PARAM!$C$26+MAX($G$12-CHOOSE(PARAM!$B$44,MAX(0,AP644*$F$1),0),0)*RATES!$L621/12+$H$12*(PARAM!$D$51/12)*RATES!$N621/100</f>
        <v>360.45833333333331</v>
      </c>
      <c r="AP645" s="16">
        <f t="shared" si="422"/>
        <v>-35086.806207835107</v>
      </c>
      <c r="AQ645" s="15">
        <f t="shared" si="397"/>
        <v>22.170849845882874</v>
      </c>
      <c r="AR645" s="75">
        <f>AQ645*(1-PARAM!$C$27)*$I$13+(MOD($B645,60)=PARAM!$B$56)*($B645&gt;(60-PARAM!$B$56))*HLOOKUP(($B645+PARAM!$B$56)/12,Loyalty,2)*$F$1*MAX(AT644,0)</f>
        <v>18.557001321003963</v>
      </c>
      <c r="AS645" s="75">
        <f>PARAM!$C$26+MAX($G$13-CHOOSE(PARAM!$B$44,MAX(0,AT644*$F$1),0),0)*RATES!$L621/12+$H$13*(PARAM!$D$51/12)*RATES!$N621/100</f>
        <v>360.45833333333331</v>
      </c>
      <c r="AT645" s="16">
        <f t="shared" si="423"/>
        <v>-35086.806207835107</v>
      </c>
      <c r="AU645" s="15">
        <f t="shared" si="398"/>
        <v>22.170849845882874</v>
      </c>
      <c r="AV645" s="75">
        <f>AU645*(1-PARAM!$C$27)*$I$14+(MOD($B645,60)=PARAM!$B$56)*($B645&gt;(60-PARAM!$B$56))*HLOOKUP(($B645+PARAM!$B$56)/12,Loyalty,2)*$F$1*MAX(AX644,0)</f>
        <v>18.557001321003963</v>
      </c>
      <c r="AW645" s="75">
        <f>PARAM!$C$26+MAX($G$14-CHOOSE(PARAM!$B$44,MAX(0,AX644*$F$1),0),0)*RATES!$L621/12+$H$14*(PARAM!$D$51/12)*RATES!$N621/100</f>
        <v>360.45833333333331</v>
      </c>
      <c r="AX645" s="16">
        <f t="shared" si="424"/>
        <v>-35086.806207835107</v>
      </c>
      <c r="AY645" s="15">
        <f t="shared" si="399"/>
        <v>22.170849845882874</v>
      </c>
      <c r="AZ645" s="75">
        <f>AY645*(1-PARAM!$C$27)*$I$15+(MOD($B645,60)=PARAM!$B$56)*($B645&gt;(60-PARAM!$B$56))*HLOOKUP(($B645+PARAM!$B$56)/12,Loyalty,2)*$F$1*MAX(BB644,0)</f>
        <v>18.557001321003963</v>
      </c>
      <c r="BA645" s="75">
        <f>PARAM!$C$26+MAX($G$15-CHOOSE(PARAM!$B$44,MAX(0,BB644*$F$1),0),0)*RATES!$L621/12+$H$15*(PARAM!$D$51/12)*RATES!$N621/100</f>
        <v>360.45833333333331</v>
      </c>
      <c r="BB645" s="16">
        <f t="shared" si="425"/>
        <v>-35086.806207835107</v>
      </c>
      <c r="BC645" s="15">
        <f t="shared" si="400"/>
        <v>22.170849845882874</v>
      </c>
      <c r="BD645" s="75">
        <f>BC645*(1-PARAM!$C$27)*$I$16+(MOD($B645,60)=PARAM!$B$56)*($B645&gt;(60-PARAM!$B$56))*HLOOKUP(($B645+PARAM!$B$56)/12,Loyalty,2)*$F$1*MAX(BF644,0)</f>
        <v>18.557001321003963</v>
      </c>
      <c r="BE645" s="75">
        <f>PARAM!$C$26+MAX($G$16-CHOOSE(PARAM!$B$44,MAX(0,BF644*$F$1),0),0)*RATES!$L621/12+$H$16*(PARAM!$D$51/12)*RATES!$N621/100</f>
        <v>360.45833333333331</v>
      </c>
      <c r="BF645" s="16">
        <f t="shared" si="426"/>
        <v>-35086.806207835107</v>
      </c>
      <c r="BG645" s="15">
        <f t="shared" si="401"/>
        <v>22.170849845882874</v>
      </c>
      <c r="BH645" s="75">
        <f>BG645*(1-PARAM!$C$27)*$I$17+(MOD($B645,60)=PARAM!$B$56)*($B645&gt;(60-PARAM!$B$56))*HLOOKUP(($B645+PARAM!$B$56)/12,Loyalty,2)*$F$1*MAX(BJ644,0)</f>
        <v>18.557001321003963</v>
      </c>
      <c r="BI645" s="75">
        <f>PARAM!$C$26+MAX($G$17-CHOOSE(PARAM!$B$44,MAX(0,BJ644*$F$1),0),0)*RATES!$L621/12+$H$17*(PARAM!$D$51/12)*RATES!$N621/100</f>
        <v>360.45833333333331</v>
      </c>
      <c r="BJ645" s="16">
        <f t="shared" si="427"/>
        <v>-35086.806207835107</v>
      </c>
      <c r="BK645" s="15">
        <f t="shared" si="402"/>
        <v>22.170849845882874</v>
      </c>
      <c r="BL645" s="75">
        <f>BK645*(1-PARAM!$C$27)*$I$18+(MOD($B645,60)=PARAM!$B$56)*($B645&gt;(60-PARAM!$B$56))*HLOOKUP(($B645+PARAM!$B$56)/12,Loyalty,2)*$F$1*MAX(BN644,0)</f>
        <v>18.557001321003963</v>
      </c>
      <c r="BM645" s="75">
        <f>PARAM!$C$26+MAX($G$18-CHOOSE(PARAM!$B$44,MAX(0,BN644*$F$1),0),0)*RATES!$L621/12+$H$18*(PARAM!$D$51/12)*RATES!$N621/100</f>
        <v>360.45833333333331</v>
      </c>
      <c r="BN645" s="16">
        <f t="shared" si="428"/>
        <v>-35086.806207835107</v>
      </c>
      <c r="BO645" s="15">
        <f t="shared" si="403"/>
        <v>22.170849845882874</v>
      </c>
      <c r="BP645" s="75">
        <f>BO645*(1-PARAM!$C$27)*$I$19+(MOD($B645,60)=PARAM!$B$56)*($B645&gt;(60-PARAM!$B$56))*HLOOKUP(($B645+PARAM!$B$56)/12,Loyalty,2)*$F$1*MAX(BR644,0)</f>
        <v>18.557001321003963</v>
      </c>
      <c r="BQ645" s="75">
        <f>PARAM!$C$26+MAX($G$19-CHOOSE(PARAM!$B$44,MAX(0,BR644*$F$1),0),0)*RATES!$L621/12+$H$19*(PARAM!$D$51/12)*RATES!$N621/100</f>
        <v>360.45833333333331</v>
      </c>
      <c r="BR645" s="16">
        <f t="shared" si="429"/>
        <v>-35086.806207835107</v>
      </c>
      <c r="BS645" s="15">
        <f t="shared" si="404"/>
        <v>22.170849845882874</v>
      </c>
      <c r="BT645" s="75">
        <f>BS645*(1-PARAM!$C$27)*$I$20+(MOD($B645,60)=PARAM!$B$56)*($B645&gt;(60-PARAM!$B$56))*HLOOKUP(($B645+PARAM!$B$56)/12,Loyalty,2)*$F$1*MAX(BV644,0)</f>
        <v>18.557001321003963</v>
      </c>
      <c r="BU645" s="75">
        <f>PARAM!$C$26+MAX($G$20-CHOOSE(PARAM!$B$44,MAX(0,BV644*$F$1),0),0)*RATES!$L621/12+$H$20*(PARAM!$D$51/12)*RATES!$N621/100</f>
        <v>360.45833333333331</v>
      </c>
      <c r="BV645" s="16">
        <f t="shared" si="430"/>
        <v>-35086.806207835107</v>
      </c>
      <c r="BW645" s="15">
        <f t="shared" si="405"/>
        <v>22.170849845882874</v>
      </c>
      <c r="BX645" s="75">
        <f>BW645*(1-PARAM!$C$27)*$I$21+(MOD($B645,60)=PARAM!$B$56)*($B645&gt;(60-PARAM!$B$56))*HLOOKUP(($B645+PARAM!$B$56)/12,Loyalty,2)*$F$1*MAX(BZ644,0)</f>
        <v>18.557001321003963</v>
      </c>
      <c r="BY645" s="75">
        <f>PARAM!$C$26+MAX($G$21-CHOOSE(PARAM!$B$44,MAX(0,BZ644*$F$1),0),0)*RATES!$L621/12+$H$21*(PARAM!$D$51/12)*RATES!$N621/100</f>
        <v>360.45833333333331</v>
      </c>
      <c r="BZ645" s="16">
        <f t="shared" si="431"/>
        <v>-35086.806207835107</v>
      </c>
      <c r="CA645" s="15">
        <f t="shared" si="406"/>
        <v>22.170849845882874</v>
      </c>
      <c r="CB645" s="75">
        <f>CA645*(1-PARAM!$C$27)*$I$22+(MOD($B645,60)=PARAM!$B$56)*($B645&gt;(60-PARAM!$B$56))*HLOOKUP(($B645+PARAM!$B$56)/12,Loyalty,2)*$F$1*MAX(CD644,0)</f>
        <v>18.557001321003963</v>
      </c>
      <c r="CC645" s="75">
        <f>PARAM!$C$26+MAX($G$22-CHOOSE(PARAM!$B$44,MAX(0,CD644*$F$1),0),0)*RATES!$L621/12+$H$22*(PARAM!$D$51/12)*RATES!$N621/100</f>
        <v>360.45833333333331</v>
      </c>
      <c r="CD645" s="16">
        <f t="shared" si="432"/>
        <v>-35086.806207835107</v>
      </c>
      <c r="CE645" s="33">
        <f>IF(0=MOD(B645,12/PARAM!$D$51),1,0)</f>
        <v>1</v>
      </c>
      <c r="CF645" s="15">
        <f t="shared" si="407"/>
        <v>0</v>
      </c>
      <c r="CG645" s="75">
        <f>CF645*(1-PARAM!$C$27)*$R$3+(MOD($B645/12,5)=0)*($B645&gt;60)*HLOOKUP($B645/12,Loyalty,2)*$F$1*MAX(CI644,0)</f>
        <v>0</v>
      </c>
      <c r="CH645" s="75">
        <f>PARAM!$C$26+MAX($P$3-CHOOSE(PARAM!$B$44,MAX(0,CI644*$F$1),0),0)*RATES!$L621/12+$Q$3*(PARAM!$D$51/12)*RATES!$N621/100</f>
        <v>360.45833333333331</v>
      </c>
      <c r="CI645" s="16">
        <f>IF(CI644&gt;0,CI644*PARAM!$C$53,CI644)+CG645-CH645</f>
        <v>-46435.458333333336</v>
      </c>
      <c r="CJ645" s="15">
        <f t="shared" si="433"/>
        <v>0</v>
      </c>
      <c r="CK645" s="75">
        <f>CJ645*(1-PARAM!$C$27)*$R$4+(MOD($B645/12,5)=0)*($B645&gt;60)*HLOOKUP($B645/12,Loyalty,2)*$F$1*MAX(CM644,0)</f>
        <v>0</v>
      </c>
      <c r="CL645" s="75">
        <f>PARAM!$C$26+MAX($P$4-CHOOSE(PARAM!$B$44,MAX(0,CM644*$F$1),0),0)*RATES!$L621/12+$Q$4*(PARAM!$D$51/12)*RATES!$N621/100</f>
        <v>360.45833333333331</v>
      </c>
      <c r="CM645" s="16">
        <f>IF(CM644&gt;0,CM644*PARAM!$C$53,CM644)+CK645-CL645</f>
        <v>-46435.458333333336</v>
      </c>
      <c r="CO645" s="176"/>
    </row>
    <row r="646" spans="1:93" x14ac:dyDescent="0.2">
      <c r="A646" t="b">
        <f t="shared" si="408"/>
        <v>0</v>
      </c>
      <c r="B646" s="33">
        <v>619</v>
      </c>
      <c r="C646" s="15">
        <f t="shared" si="409"/>
        <v>20.081305947392778</v>
      </c>
      <c r="D646" s="75">
        <f>C646*(1-PARAM!$C$27)*$I$3+(MOD($B646,60)=PARAM!$B$56)*($B646&gt;(60-PARAM!$B$56))*HLOOKUP(($B646+PARAM!$B$56)/12,Loyalty,2)*$F$1*MAX(F645,0)</f>
        <v>16.808053077967756</v>
      </c>
      <c r="E646" s="75">
        <f>PARAM!$C$26+MAX($G$3-CHOOSE(PARAM!$B$44,MAX(0,F645*$F$1),0),0)*RATES!$L622/12+$H$3*(PARAM!$D$51/12)*RATES!$N622/100</f>
        <v>360.45833333333331</v>
      </c>
      <c r="F646" s="16">
        <f t="shared" si="410"/>
        <v>-36548.15700280849</v>
      </c>
      <c r="G646" s="15">
        <f t="shared" si="411"/>
        <v>22.035289406060361</v>
      </c>
      <c r="H646" s="75">
        <f>G646*(1-PARAM!$C$27)*$I$4+(MOD($B646,60)=PARAM!$B$56)*($B646&gt;(60-PARAM!$B$56))*HLOOKUP(($B646+PARAM!$B$56)/12,Loyalty,2)*$F$1*MAX(J645,0)</f>
        <v>18.443537232872522</v>
      </c>
      <c r="I646" s="75">
        <f>PARAM!$C$26+MAX($G$4-CHOOSE(PARAM!$B$44,MAX(0,J645*$F$1),0),0)*RATES!$L622/12+$H$4*(PARAM!$D$51/12)*RATES!$N622/100</f>
        <v>360.45833333333331</v>
      </c>
      <c r="J646" s="16">
        <f t="shared" si="412"/>
        <v>-35501.959346800606</v>
      </c>
      <c r="K646" s="15">
        <f t="shared" si="413"/>
        <v>22.170849845882874</v>
      </c>
      <c r="L646" s="75">
        <f>K646*(1-PARAM!$C$27)*$I$5+(MOD($B646,60)=PARAM!$B$56)*($B646&gt;(60-PARAM!$B$56))*HLOOKUP(($B646+PARAM!$B$56)/12,Loyalty,2)*$F$1*MAX(N645,0)</f>
        <v>18.557001321003963</v>
      </c>
      <c r="M646" s="75">
        <f>PARAM!$C$26+MAX($G$5-CHOOSE(PARAM!$B$44,MAX(0,N645*$F$1),0),0)*RATES!$L622/12+$H$5*(PARAM!$D$51/12)*RATES!$N622/100</f>
        <v>360.45833333333331</v>
      </c>
      <c r="N646" s="16">
        <f t="shared" si="414"/>
        <v>-35428.707539847441</v>
      </c>
      <c r="O646" s="15">
        <f t="shared" si="415"/>
        <v>22.170849845882874</v>
      </c>
      <c r="P646" s="75">
        <f>O646*(1-PARAM!$C$27)*$I$6+(MOD($B646,60)=PARAM!$B$56)*($B646&gt;(60-PARAM!$B$56))*HLOOKUP(($B646+PARAM!$B$56)/12,Loyalty,2)*$F$1*MAX(R645,0)</f>
        <v>18.557001321003963</v>
      </c>
      <c r="Q646" s="75">
        <f>PARAM!$C$26+MAX($G$6-CHOOSE(PARAM!$B$44,MAX(0,R645*$F$1),0),0)*RATES!$L622/12+$H$6*(PARAM!$D$51/12)*RATES!$N622/100</f>
        <v>360.45833333333331</v>
      </c>
      <c r="R646" s="16">
        <f t="shared" si="416"/>
        <v>-35428.707539847441</v>
      </c>
      <c r="S646" s="15">
        <f t="shared" si="391"/>
        <v>22.170849845882874</v>
      </c>
      <c r="T646" s="75">
        <f>S646*(1-PARAM!$C$27)*$I$7+(MOD($B646,60)=PARAM!$B$56)*($B646&gt;(60-PARAM!$B$56))*HLOOKUP(($B646+PARAM!$B$56)/12,Loyalty,2)*$F$1*MAX(V645,0)</f>
        <v>18.557001321003963</v>
      </c>
      <c r="U646" s="75">
        <f>PARAM!$C$26+MAX($G$7-CHOOSE(PARAM!$B$44,MAX(0,V645*$F$1),0),0)*RATES!$L622/12+$H$7*(PARAM!$D$51/12)*RATES!$N622/100</f>
        <v>360.45833333333331</v>
      </c>
      <c r="V646" s="16">
        <f t="shared" si="417"/>
        <v>-35428.707539847441</v>
      </c>
      <c r="W646" s="15">
        <f t="shared" si="392"/>
        <v>22.170849845882874</v>
      </c>
      <c r="X646" s="75">
        <f>W646*(1-PARAM!$C$27)*$I$8+(MOD($B646,60)=PARAM!$B$56)*($B646&gt;(60-PARAM!$B$56))*HLOOKUP(($B646+PARAM!$B$56)/12,Loyalty,2)*$F$1*MAX(Z645,0)</f>
        <v>18.557001321003963</v>
      </c>
      <c r="Y646" s="75">
        <f>PARAM!$C$26+MAX($G$8-CHOOSE(PARAM!$B$44,MAX(0,Z645*$F$1),0),0)*RATES!$L622/12+$H$8*(PARAM!$D$51/12)*RATES!$N622/100</f>
        <v>360.45833333333331</v>
      </c>
      <c r="Z646" s="16">
        <f t="shared" si="418"/>
        <v>-35428.707539847441</v>
      </c>
      <c r="AA646" s="15">
        <f t="shared" si="393"/>
        <v>22.170849845882874</v>
      </c>
      <c r="AB646" s="75">
        <f>AA646*(1-PARAM!$C$27)*$I$9+(MOD($B646,60)=PARAM!$B$56)*($B646&gt;(60-PARAM!$B$56))*HLOOKUP(($B646+PARAM!$B$56)/12,Loyalty,2)*$F$1*MAX(AD645,0)</f>
        <v>18.557001321003963</v>
      </c>
      <c r="AC646" s="75">
        <f>PARAM!$C$26+MAX($G$9-CHOOSE(PARAM!$B$44,MAX(0,AD645*$F$1),0),0)*RATES!$L622/12+$H$9*(PARAM!$D$51/12)*RATES!$N622/100</f>
        <v>360.45833333333331</v>
      </c>
      <c r="AD646" s="16">
        <f t="shared" si="419"/>
        <v>-35428.707539847441</v>
      </c>
      <c r="AE646" s="15">
        <f t="shared" si="394"/>
        <v>22.170849845882874</v>
      </c>
      <c r="AF646" s="75">
        <f>AE646*(1-PARAM!$C$27)*$I$10+(MOD($B646,60)=PARAM!$B$56)*($B646&gt;(60-PARAM!$B$56))*HLOOKUP(($B646+PARAM!$B$56)/12,Loyalty,2)*$F$1*MAX(AH645,0)</f>
        <v>18.557001321003963</v>
      </c>
      <c r="AG646" s="75">
        <f>PARAM!$C$26+MAX($G$10-CHOOSE(PARAM!$B$44,MAX(0,AH645*$F$1),0),0)*RATES!$L622/12+$H$10*(PARAM!$D$51/12)*RATES!$N622/100</f>
        <v>360.45833333333331</v>
      </c>
      <c r="AH646" s="16">
        <f t="shared" si="420"/>
        <v>-35428.707539847441</v>
      </c>
      <c r="AI646" s="15">
        <f t="shared" si="395"/>
        <v>22.170849845882874</v>
      </c>
      <c r="AJ646" s="75">
        <f>AI646*(1-PARAM!$C$27)*$I$11+(MOD($B646,60)=PARAM!$B$56)*($B646&gt;(60-PARAM!$B$56))*HLOOKUP(($B646+PARAM!$B$56)/12,Loyalty,2)*$F$1*MAX(AL645,0)</f>
        <v>18.557001321003963</v>
      </c>
      <c r="AK646" s="75">
        <f>PARAM!$C$26+MAX($G$11-CHOOSE(PARAM!$B$44,MAX(0,AL645*$F$1),0),0)*RATES!$L622/12+$H$11*(PARAM!$D$51/12)*RATES!$N622/100</f>
        <v>360.45833333333331</v>
      </c>
      <c r="AL646" s="16">
        <f t="shared" si="421"/>
        <v>-35428.707539847441</v>
      </c>
      <c r="AM646" s="15">
        <f t="shared" si="396"/>
        <v>22.170849845882874</v>
      </c>
      <c r="AN646" s="75">
        <f>AM646*(1-PARAM!$C$27)*$I$12+(MOD($B646,60)=PARAM!$B$56)*($B646&gt;(60-PARAM!$B$56))*HLOOKUP(($B646+PARAM!$B$56)/12,Loyalty,2)*$F$1*MAX(AP645,0)</f>
        <v>18.557001321003963</v>
      </c>
      <c r="AO646" s="75">
        <f>PARAM!$C$26+MAX($G$12-CHOOSE(PARAM!$B$44,MAX(0,AP645*$F$1),0),0)*RATES!$L622/12+$H$12*(PARAM!$D$51/12)*RATES!$N622/100</f>
        <v>360.45833333333331</v>
      </c>
      <c r="AP646" s="16">
        <f t="shared" si="422"/>
        <v>-35428.707539847441</v>
      </c>
      <c r="AQ646" s="15">
        <f t="shared" si="397"/>
        <v>22.170849845882874</v>
      </c>
      <c r="AR646" s="75">
        <f>AQ646*(1-PARAM!$C$27)*$I$13+(MOD($B646,60)=PARAM!$B$56)*($B646&gt;(60-PARAM!$B$56))*HLOOKUP(($B646+PARAM!$B$56)/12,Loyalty,2)*$F$1*MAX(AT645,0)</f>
        <v>18.557001321003963</v>
      </c>
      <c r="AS646" s="75">
        <f>PARAM!$C$26+MAX($G$13-CHOOSE(PARAM!$B$44,MAX(0,AT645*$F$1),0),0)*RATES!$L622/12+$H$13*(PARAM!$D$51/12)*RATES!$N622/100</f>
        <v>360.45833333333331</v>
      </c>
      <c r="AT646" s="16">
        <f t="shared" si="423"/>
        <v>-35428.707539847441</v>
      </c>
      <c r="AU646" s="15">
        <f t="shared" si="398"/>
        <v>22.170849845882874</v>
      </c>
      <c r="AV646" s="75">
        <f>AU646*(1-PARAM!$C$27)*$I$14+(MOD($B646,60)=PARAM!$B$56)*($B646&gt;(60-PARAM!$B$56))*HLOOKUP(($B646+PARAM!$B$56)/12,Loyalty,2)*$F$1*MAX(AX645,0)</f>
        <v>18.557001321003963</v>
      </c>
      <c r="AW646" s="75">
        <f>PARAM!$C$26+MAX($G$14-CHOOSE(PARAM!$B$44,MAX(0,AX645*$F$1),0),0)*RATES!$L622/12+$H$14*(PARAM!$D$51/12)*RATES!$N622/100</f>
        <v>360.45833333333331</v>
      </c>
      <c r="AX646" s="16">
        <f t="shared" si="424"/>
        <v>-35428.707539847441</v>
      </c>
      <c r="AY646" s="15">
        <f t="shared" si="399"/>
        <v>22.170849845882874</v>
      </c>
      <c r="AZ646" s="75">
        <f>AY646*(1-PARAM!$C$27)*$I$15+(MOD($B646,60)=PARAM!$B$56)*($B646&gt;(60-PARAM!$B$56))*HLOOKUP(($B646+PARAM!$B$56)/12,Loyalty,2)*$F$1*MAX(BB645,0)</f>
        <v>18.557001321003963</v>
      </c>
      <c r="BA646" s="75">
        <f>PARAM!$C$26+MAX($G$15-CHOOSE(PARAM!$B$44,MAX(0,BB645*$F$1),0),0)*RATES!$L622/12+$H$15*(PARAM!$D$51/12)*RATES!$N622/100</f>
        <v>360.45833333333331</v>
      </c>
      <c r="BB646" s="16">
        <f t="shared" si="425"/>
        <v>-35428.707539847441</v>
      </c>
      <c r="BC646" s="15">
        <f t="shared" si="400"/>
        <v>22.170849845882874</v>
      </c>
      <c r="BD646" s="75">
        <f>BC646*(1-PARAM!$C$27)*$I$16+(MOD($B646,60)=PARAM!$B$56)*($B646&gt;(60-PARAM!$B$56))*HLOOKUP(($B646+PARAM!$B$56)/12,Loyalty,2)*$F$1*MAX(BF645,0)</f>
        <v>18.557001321003963</v>
      </c>
      <c r="BE646" s="75">
        <f>PARAM!$C$26+MAX($G$16-CHOOSE(PARAM!$B$44,MAX(0,BF645*$F$1),0),0)*RATES!$L622/12+$H$16*(PARAM!$D$51/12)*RATES!$N622/100</f>
        <v>360.45833333333331</v>
      </c>
      <c r="BF646" s="16">
        <f t="shared" si="426"/>
        <v>-35428.707539847441</v>
      </c>
      <c r="BG646" s="15">
        <f t="shared" si="401"/>
        <v>22.170849845882874</v>
      </c>
      <c r="BH646" s="75">
        <f>BG646*(1-PARAM!$C$27)*$I$17+(MOD($B646,60)=PARAM!$B$56)*($B646&gt;(60-PARAM!$B$56))*HLOOKUP(($B646+PARAM!$B$56)/12,Loyalty,2)*$F$1*MAX(BJ645,0)</f>
        <v>18.557001321003963</v>
      </c>
      <c r="BI646" s="75">
        <f>PARAM!$C$26+MAX($G$17-CHOOSE(PARAM!$B$44,MAX(0,BJ645*$F$1),0),0)*RATES!$L622/12+$H$17*(PARAM!$D$51/12)*RATES!$N622/100</f>
        <v>360.45833333333331</v>
      </c>
      <c r="BJ646" s="16">
        <f t="shared" si="427"/>
        <v>-35428.707539847441</v>
      </c>
      <c r="BK646" s="15">
        <f t="shared" si="402"/>
        <v>22.170849845882874</v>
      </c>
      <c r="BL646" s="75">
        <f>BK646*(1-PARAM!$C$27)*$I$18+(MOD($B646,60)=PARAM!$B$56)*($B646&gt;(60-PARAM!$B$56))*HLOOKUP(($B646+PARAM!$B$56)/12,Loyalty,2)*$F$1*MAX(BN645,0)</f>
        <v>18.557001321003963</v>
      </c>
      <c r="BM646" s="75">
        <f>PARAM!$C$26+MAX($G$18-CHOOSE(PARAM!$B$44,MAX(0,BN645*$F$1),0),0)*RATES!$L622/12+$H$18*(PARAM!$D$51/12)*RATES!$N622/100</f>
        <v>360.45833333333331</v>
      </c>
      <c r="BN646" s="16">
        <f t="shared" si="428"/>
        <v>-35428.707539847441</v>
      </c>
      <c r="BO646" s="15">
        <f t="shared" si="403"/>
        <v>22.170849845882874</v>
      </c>
      <c r="BP646" s="75">
        <f>BO646*(1-PARAM!$C$27)*$I$19+(MOD($B646,60)=PARAM!$B$56)*($B646&gt;(60-PARAM!$B$56))*HLOOKUP(($B646+PARAM!$B$56)/12,Loyalty,2)*$F$1*MAX(BR645,0)</f>
        <v>18.557001321003963</v>
      </c>
      <c r="BQ646" s="75">
        <f>PARAM!$C$26+MAX($G$19-CHOOSE(PARAM!$B$44,MAX(0,BR645*$F$1),0),0)*RATES!$L622/12+$H$19*(PARAM!$D$51/12)*RATES!$N622/100</f>
        <v>360.45833333333331</v>
      </c>
      <c r="BR646" s="16">
        <f t="shared" si="429"/>
        <v>-35428.707539847441</v>
      </c>
      <c r="BS646" s="15">
        <f t="shared" si="404"/>
        <v>22.170849845882874</v>
      </c>
      <c r="BT646" s="75">
        <f>BS646*(1-PARAM!$C$27)*$I$20+(MOD($B646,60)=PARAM!$B$56)*($B646&gt;(60-PARAM!$B$56))*HLOOKUP(($B646+PARAM!$B$56)/12,Loyalty,2)*$F$1*MAX(BV645,0)</f>
        <v>18.557001321003963</v>
      </c>
      <c r="BU646" s="75">
        <f>PARAM!$C$26+MAX($G$20-CHOOSE(PARAM!$B$44,MAX(0,BV645*$F$1),0),0)*RATES!$L622/12+$H$20*(PARAM!$D$51/12)*RATES!$N622/100</f>
        <v>360.45833333333331</v>
      </c>
      <c r="BV646" s="16">
        <f t="shared" si="430"/>
        <v>-35428.707539847441</v>
      </c>
      <c r="BW646" s="15">
        <f t="shared" si="405"/>
        <v>22.170849845882874</v>
      </c>
      <c r="BX646" s="75">
        <f>BW646*(1-PARAM!$C$27)*$I$21+(MOD($B646,60)=PARAM!$B$56)*($B646&gt;(60-PARAM!$B$56))*HLOOKUP(($B646+PARAM!$B$56)/12,Loyalty,2)*$F$1*MAX(BZ645,0)</f>
        <v>18.557001321003963</v>
      </c>
      <c r="BY646" s="75">
        <f>PARAM!$C$26+MAX($G$21-CHOOSE(PARAM!$B$44,MAX(0,BZ645*$F$1),0),0)*RATES!$L622/12+$H$21*(PARAM!$D$51/12)*RATES!$N622/100</f>
        <v>360.45833333333331</v>
      </c>
      <c r="BZ646" s="16">
        <f t="shared" si="431"/>
        <v>-35428.707539847441</v>
      </c>
      <c r="CA646" s="15">
        <f t="shared" si="406"/>
        <v>22.170849845882874</v>
      </c>
      <c r="CB646" s="75">
        <f>CA646*(1-PARAM!$C$27)*$I$22+(MOD($B646,60)=PARAM!$B$56)*($B646&gt;(60-PARAM!$B$56))*HLOOKUP(($B646+PARAM!$B$56)/12,Loyalty,2)*$F$1*MAX(CD645,0)</f>
        <v>18.557001321003963</v>
      </c>
      <c r="CC646" s="75">
        <f>PARAM!$C$26+MAX($G$22-CHOOSE(PARAM!$B$44,MAX(0,CD645*$F$1),0),0)*RATES!$L622/12+$H$22*(PARAM!$D$51/12)*RATES!$N622/100</f>
        <v>360.45833333333331</v>
      </c>
      <c r="CD646" s="16">
        <f t="shared" si="432"/>
        <v>-35428.707539847441</v>
      </c>
      <c r="CE646" s="33">
        <f>IF(0=MOD(B646,12/PARAM!$D$51),1,0)</f>
        <v>1</v>
      </c>
      <c r="CF646" s="15">
        <f t="shared" si="407"/>
        <v>0</v>
      </c>
      <c r="CG646" s="75">
        <f>CF646*(1-PARAM!$C$27)*$R$3+(MOD($B646/12,5)=0)*($B646&gt;60)*HLOOKUP($B646/12,Loyalty,2)*$F$1*MAX(CI645,0)</f>
        <v>0</v>
      </c>
      <c r="CH646" s="75">
        <f>PARAM!$C$26+MAX($P$3-CHOOSE(PARAM!$B$44,MAX(0,CI645*$F$1),0),0)*RATES!$L622/12+$Q$3*(PARAM!$D$51/12)*RATES!$N622/100</f>
        <v>360.45833333333331</v>
      </c>
      <c r="CI646" s="16">
        <f>IF(CI645&gt;0,CI645*PARAM!$C$53,CI645)+CG646-CH646</f>
        <v>-46795.916666666672</v>
      </c>
      <c r="CJ646" s="15">
        <f t="shared" si="433"/>
        <v>0</v>
      </c>
      <c r="CK646" s="75">
        <f>CJ646*(1-PARAM!$C$27)*$R$4+(MOD($B646/12,5)=0)*($B646&gt;60)*HLOOKUP($B646/12,Loyalty,2)*$F$1*MAX(CM645,0)</f>
        <v>0</v>
      </c>
      <c r="CL646" s="75">
        <f>PARAM!$C$26+MAX($P$4-CHOOSE(PARAM!$B$44,MAX(0,CM645*$F$1),0),0)*RATES!$L622/12+$Q$4*(PARAM!$D$51/12)*RATES!$N622/100</f>
        <v>360.45833333333331</v>
      </c>
      <c r="CM646" s="16">
        <f>IF(CM645&gt;0,CM645*PARAM!$C$53,CM645)+CK646-CL646</f>
        <v>-46795.916666666672</v>
      </c>
      <c r="CO646" s="176"/>
    </row>
    <row r="647" spans="1:93" x14ac:dyDescent="0.2">
      <c r="A647" t="b">
        <f t="shared" si="408"/>
        <v>0</v>
      </c>
      <c r="B647" s="33">
        <v>620</v>
      </c>
      <c r="C647" s="15">
        <f t="shared" si="409"/>
        <v>20.081305947392778</v>
      </c>
      <c r="D647" s="75">
        <f>C647*(1-PARAM!$C$27)*$I$3+(MOD($B647,60)=PARAM!$B$56)*($B647&gt;(60-PARAM!$B$56))*HLOOKUP(($B647+PARAM!$B$56)/12,Loyalty,2)*$F$1*MAX(F646,0)</f>
        <v>16.808053077967756</v>
      </c>
      <c r="E647" s="75">
        <f>PARAM!$C$26+MAX($G$3-CHOOSE(PARAM!$B$44,MAX(0,F646*$F$1),0),0)*RATES!$L623/12+$H$3*(PARAM!$D$51/12)*RATES!$N623/100</f>
        <v>360.45833333333331</v>
      </c>
      <c r="F647" s="16">
        <f t="shared" si="410"/>
        <v>-36891.807283063856</v>
      </c>
      <c r="G647" s="15">
        <f t="shared" si="411"/>
        <v>22.035289406060361</v>
      </c>
      <c r="H647" s="75">
        <f>G647*(1-PARAM!$C$27)*$I$4+(MOD($B647,60)=PARAM!$B$56)*($B647&gt;(60-PARAM!$B$56))*HLOOKUP(($B647+PARAM!$B$56)/12,Loyalty,2)*$F$1*MAX(J646,0)</f>
        <v>18.443537232872522</v>
      </c>
      <c r="I647" s="75">
        <f>PARAM!$C$26+MAX($G$4-CHOOSE(PARAM!$B$44,MAX(0,J646*$F$1),0),0)*RATES!$L623/12+$H$4*(PARAM!$D$51/12)*RATES!$N623/100</f>
        <v>360.45833333333331</v>
      </c>
      <c r="J647" s="16">
        <f t="shared" si="412"/>
        <v>-35843.974142901068</v>
      </c>
      <c r="K647" s="15">
        <f t="shared" si="413"/>
        <v>22.170849845882874</v>
      </c>
      <c r="L647" s="75">
        <f>K647*(1-PARAM!$C$27)*$I$5+(MOD($B647,60)=PARAM!$B$56)*($B647&gt;(60-PARAM!$B$56))*HLOOKUP(($B647+PARAM!$B$56)/12,Loyalty,2)*$F$1*MAX(N646,0)</f>
        <v>18.557001321003963</v>
      </c>
      <c r="M647" s="75">
        <f>PARAM!$C$26+MAX($G$5-CHOOSE(PARAM!$B$44,MAX(0,N646*$F$1),0),0)*RATES!$L623/12+$H$5*(PARAM!$D$51/12)*RATES!$N623/100</f>
        <v>360.45833333333331</v>
      </c>
      <c r="N647" s="16">
        <f t="shared" si="414"/>
        <v>-35770.608871859775</v>
      </c>
      <c r="O647" s="15">
        <f t="shared" si="415"/>
        <v>22.170849845882874</v>
      </c>
      <c r="P647" s="75">
        <f>O647*(1-PARAM!$C$27)*$I$6+(MOD($B647,60)=PARAM!$B$56)*($B647&gt;(60-PARAM!$B$56))*HLOOKUP(($B647+PARAM!$B$56)/12,Loyalty,2)*$F$1*MAX(R646,0)</f>
        <v>18.557001321003963</v>
      </c>
      <c r="Q647" s="75">
        <f>PARAM!$C$26+MAX($G$6-CHOOSE(PARAM!$B$44,MAX(0,R646*$F$1),0),0)*RATES!$L623/12+$H$6*(PARAM!$D$51/12)*RATES!$N623/100</f>
        <v>360.45833333333331</v>
      </c>
      <c r="R647" s="16">
        <f t="shared" si="416"/>
        <v>-35770.608871859775</v>
      </c>
      <c r="S647" s="15">
        <f t="shared" si="391"/>
        <v>22.170849845882874</v>
      </c>
      <c r="T647" s="75">
        <f>S647*(1-PARAM!$C$27)*$I$7+(MOD($B647,60)=PARAM!$B$56)*($B647&gt;(60-PARAM!$B$56))*HLOOKUP(($B647+PARAM!$B$56)/12,Loyalty,2)*$F$1*MAX(V646,0)</f>
        <v>18.557001321003963</v>
      </c>
      <c r="U647" s="75">
        <f>PARAM!$C$26+MAX($G$7-CHOOSE(PARAM!$B$44,MAX(0,V646*$F$1),0),0)*RATES!$L623/12+$H$7*(PARAM!$D$51/12)*RATES!$N623/100</f>
        <v>360.45833333333331</v>
      </c>
      <c r="V647" s="16">
        <f t="shared" si="417"/>
        <v>-35770.608871859775</v>
      </c>
      <c r="W647" s="15">
        <f t="shared" si="392"/>
        <v>22.170849845882874</v>
      </c>
      <c r="X647" s="75">
        <f>W647*(1-PARAM!$C$27)*$I$8+(MOD($B647,60)=PARAM!$B$56)*($B647&gt;(60-PARAM!$B$56))*HLOOKUP(($B647+PARAM!$B$56)/12,Loyalty,2)*$F$1*MAX(Z646,0)</f>
        <v>18.557001321003963</v>
      </c>
      <c r="Y647" s="75">
        <f>PARAM!$C$26+MAX($G$8-CHOOSE(PARAM!$B$44,MAX(0,Z646*$F$1),0),0)*RATES!$L623/12+$H$8*(PARAM!$D$51/12)*RATES!$N623/100</f>
        <v>360.45833333333331</v>
      </c>
      <c r="Z647" s="16">
        <f t="shared" si="418"/>
        <v>-35770.608871859775</v>
      </c>
      <c r="AA647" s="15">
        <f t="shared" si="393"/>
        <v>22.170849845882874</v>
      </c>
      <c r="AB647" s="75">
        <f>AA647*(1-PARAM!$C$27)*$I$9+(MOD($B647,60)=PARAM!$B$56)*($B647&gt;(60-PARAM!$B$56))*HLOOKUP(($B647+PARAM!$B$56)/12,Loyalty,2)*$F$1*MAX(AD646,0)</f>
        <v>18.557001321003963</v>
      </c>
      <c r="AC647" s="75">
        <f>PARAM!$C$26+MAX($G$9-CHOOSE(PARAM!$B$44,MAX(0,AD646*$F$1),0),0)*RATES!$L623/12+$H$9*(PARAM!$D$51/12)*RATES!$N623/100</f>
        <v>360.45833333333331</v>
      </c>
      <c r="AD647" s="16">
        <f t="shared" si="419"/>
        <v>-35770.608871859775</v>
      </c>
      <c r="AE647" s="15">
        <f t="shared" si="394"/>
        <v>22.170849845882874</v>
      </c>
      <c r="AF647" s="75">
        <f>AE647*(1-PARAM!$C$27)*$I$10+(MOD($B647,60)=PARAM!$B$56)*($B647&gt;(60-PARAM!$B$56))*HLOOKUP(($B647+PARAM!$B$56)/12,Loyalty,2)*$F$1*MAX(AH646,0)</f>
        <v>18.557001321003963</v>
      </c>
      <c r="AG647" s="75">
        <f>PARAM!$C$26+MAX($G$10-CHOOSE(PARAM!$B$44,MAX(0,AH646*$F$1),0),0)*RATES!$L623/12+$H$10*(PARAM!$D$51/12)*RATES!$N623/100</f>
        <v>360.45833333333331</v>
      </c>
      <c r="AH647" s="16">
        <f t="shared" si="420"/>
        <v>-35770.608871859775</v>
      </c>
      <c r="AI647" s="15">
        <f t="shared" si="395"/>
        <v>22.170849845882874</v>
      </c>
      <c r="AJ647" s="75">
        <f>AI647*(1-PARAM!$C$27)*$I$11+(MOD($B647,60)=PARAM!$B$56)*($B647&gt;(60-PARAM!$B$56))*HLOOKUP(($B647+PARAM!$B$56)/12,Loyalty,2)*$F$1*MAX(AL646,0)</f>
        <v>18.557001321003963</v>
      </c>
      <c r="AK647" s="75">
        <f>PARAM!$C$26+MAX($G$11-CHOOSE(PARAM!$B$44,MAX(0,AL646*$F$1),0),0)*RATES!$L623/12+$H$11*(PARAM!$D$51/12)*RATES!$N623/100</f>
        <v>360.45833333333331</v>
      </c>
      <c r="AL647" s="16">
        <f t="shared" si="421"/>
        <v>-35770.608871859775</v>
      </c>
      <c r="AM647" s="15">
        <f t="shared" si="396"/>
        <v>22.170849845882874</v>
      </c>
      <c r="AN647" s="75">
        <f>AM647*(1-PARAM!$C$27)*$I$12+(MOD($B647,60)=PARAM!$B$56)*($B647&gt;(60-PARAM!$B$56))*HLOOKUP(($B647+PARAM!$B$56)/12,Loyalty,2)*$F$1*MAX(AP646,0)</f>
        <v>18.557001321003963</v>
      </c>
      <c r="AO647" s="75">
        <f>PARAM!$C$26+MAX($G$12-CHOOSE(PARAM!$B$44,MAX(0,AP646*$F$1),0),0)*RATES!$L623/12+$H$12*(PARAM!$D$51/12)*RATES!$N623/100</f>
        <v>360.45833333333331</v>
      </c>
      <c r="AP647" s="16">
        <f t="shared" si="422"/>
        <v>-35770.608871859775</v>
      </c>
      <c r="AQ647" s="15">
        <f t="shared" si="397"/>
        <v>22.170849845882874</v>
      </c>
      <c r="AR647" s="75">
        <f>AQ647*(1-PARAM!$C$27)*$I$13+(MOD($B647,60)=PARAM!$B$56)*($B647&gt;(60-PARAM!$B$56))*HLOOKUP(($B647+PARAM!$B$56)/12,Loyalty,2)*$F$1*MAX(AT646,0)</f>
        <v>18.557001321003963</v>
      </c>
      <c r="AS647" s="75">
        <f>PARAM!$C$26+MAX($G$13-CHOOSE(PARAM!$B$44,MAX(0,AT646*$F$1),0),0)*RATES!$L623/12+$H$13*(PARAM!$D$51/12)*RATES!$N623/100</f>
        <v>360.45833333333331</v>
      </c>
      <c r="AT647" s="16">
        <f t="shared" si="423"/>
        <v>-35770.608871859775</v>
      </c>
      <c r="AU647" s="15">
        <f t="shared" si="398"/>
        <v>22.170849845882874</v>
      </c>
      <c r="AV647" s="75">
        <f>AU647*(1-PARAM!$C$27)*$I$14+(MOD($B647,60)=PARAM!$B$56)*($B647&gt;(60-PARAM!$B$56))*HLOOKUP(($B647+PARAM!$B$56)/12,Loyalty,2)*$F$1*MAX(AX646,0)</f>
        <v>18.557001321003963</v>
      </c>
      <c r="AW647" s="75">
        <f>PARAM!$C$26+MAX($G$14-CHOOSE(PARAM!$B$44,MAX(0,AX646*$F$1),0),0)*RATES!$L623/12+$H$14*(PARAM!$D$51/12)*RATES!$N623/100</f>
        <v>360.45833333333331</v>
      </c>
      <c r="AX647" s="16">
        <f t="shared" si="424"/>
        <v>-35770.608871859775</v>
      </c>
      <c r="AY647" s="15">
        <f t="shared" si="399"/>
        <v>22.170849845882874</v>
      </c>
      <c r="AZ647" s="75">
        <f>AY647*(1-PARAM!$C$27)*$I$15+(MOD($B647,60)=PARAM!$B$56)*($B647&gt;(60-PARAM!$B$56))*HLOOKUP(($B647+PARAM!$B$56)/12,Loyalty,2)*$F$1*MAX(BB646,0)</f>
        <v>18.557001321003963</v>
      </c>
      <c r="BA647" s="75">
        <f>PARAM!$C$26+MAX($G$15-CHOOSE(PARAM!$B$44,MAX(0,BB646*$F$1),0),0)*RATES!$L623/12+$H$15*(PARAM!$D$51/12)*RATES!$N623/100</f>
        <v>360.45833333333331</v>
      </c>
      <c r="BB647" s="16">
        <f t="shared" si="425"/>
        <v>-35770.608871859775</v>
      </c>
      <c r="BC647" s="15">
        <f t="shared" si="400"/>
        <v>22.170849845882874</v>
      </c>
      <c r="BD647" s="75">
        <f>BC647*(1-PARAM!$C$27)*$I$16+(MOD($B647,60)=PARAM!$B$56)*($B647&gt;(60-PARAM!$B$56))*HLOOKUP(($B647+PARAM!$B$56)/12,Loyalty,2)*$F$1*MAX(BF646,0)</f>
        <v>18.557001321003963</v>
      </c>
      <c r="BE647" s="75">
        <f>PARAM!$C$26+MAX($G$16-CHOOSE(PARAM!$B$44,MAX(0,BF646*$F$1),0),0)*RATES!$L623/12+$H$16*(PARAM!$D$51/12)*RATES!$N623/100</f>
        <v>360.45833333333331</v>
      </c>
      <c r="BF647" s="16">
        <f t="shared" si="426"/>
        <v>-35770.608871859775</v>
      </c>
      <c r="BG647" s="15">
        <f t="shared" si="401"/>
        <v>22.170849845882874</v>
      </c>
      <c r="BH647" s="75">
        <f>BG647*(1-PARAM!$C$27)*$I$17+(MOD($B647,60)=PARAM!$B$56)*($B647&gt;(60-PARAM!$B$56))*HLOOKUP(($B647+PARAM!$B$56)/12,Loyalty,2)*$F$1*MAX(BJ646,0)</f>
        <v>18.557001321003963</v>
      </c>
      <c r="BI647" s="75">
        <f>PARAM!$C$26+MAX($G$17-CHOOSE(PARAM!$B$44,MAX(0,BJ646*$F$1),0),0)*RATES!$L623/12+$H$17*(PARAM!$D$51/12)*RATES!$N623/100</f>
        <v>360.45833333333331</v>
      </c>
      <c r="BJ647" s="16">
        <f t="shared" si="427"/>
        <v>-35770.608871859775</v>
      </c>
      <c r="BK647" s="15">
        <f t="shared" si="402"/>
        <v>22.170849845882874</v>
      </c>
      <c r="BL647" s="75">
        <f>BK647*(1-PARAM!$C$27)*$I$18+(MOD($B647,60)=PARAM!$B$56)*($B647&gt;(60-PARAM!$B$56))*HLOOKUP(($B647+PARAM!$B$56)/12,Loyalty,2)*$F$1*MAX(BN646,0)</f>
        <v>18.557001321003963</v>
      </c>
      <c r="BM647" s="75">
        <f>PARAM!$C$26+MAX($G$18-CHOOSE(PARAM!$B$44,MAX(0,BN646*$F$1),0),0)*RATES!$L623/12+$H$18*(PARAM!$D$51/12)*RATES!$N623/100</f>
        <v>360.45833333333331</v>
      </c>
      <c r="BN647" s="16">
        <f t="shared" si="428"/>
        <v>-35770.608871859775</v>
      </c>
      <c r="BO647" s="15">
        <f t="shared" si="403"/>
        <v>22.170849845882874</v>
      </c>
      <c r="BP647" s="75">
        <f>BO647*(1-PARAM!$C$27)*$I$19+(MOD($B647,60)=PARAM!$B$56)*($B647&gt;(60-PARAM!$B$56))*HLOOKUP(($B647+PARAM!$B$56)/12,Loyalty,2)*$F$1*MAX(BR646,0)</f>
        <v>18.557001321003963</v>
      </c>
      <c r="BQ647" s="75">
        <f>PARAM!$C$26+MAX($G$19-CHOOSE(PARAM!$B$44,MAX(0,BR646*$F$1),0),0)*RATES!$L623/12+$H$19*(PARAM!$D$51/12)*RATES!$N623/100</f>
        <v>360.45833333333331</v>
      </c>
      <c r="BR647" s="16">
        <f t="shared" si="429"/>
        <v>-35770.608871859775</v>
      </c>
      <c r="BS647" s="15">
        <f t="shared" si="404"/>
        <v>22.170849845882874</v>
      </c>
      <c r="BT647" s="75">
        <f>BS647*(1-PARAM!$C$27)*$I$20+(MOD($B647,60)=PARAM!$B$56)*($B647&gt;(60-PARAM!$B$56))*HLOOKUP(($B647+PARAM!$B$56)/12,Loyalty,2)*$F$1*MAX(BV646,0)</f>
        <v>18.557001321003963</v>
      </c>
      <c r="BU647" s="75">
        <f>PARAM!$C$26+MAX($G$20-CHOOSE(PARAM!$B$44,MAX(0,BV646*$F$1),0),0)*RATES!$L623/12+$H$20*(PARAM!$D$51/12)*RATES!$N623/100</f>
        <v>360.45833333333331</v>
      </c>
      <c r="BV647" s="16">
        <f t="shared" si="430"/>
        <v>-35770.608871859775</v>
      </c>
      <c r="BW647" s="15">
        <f t="shared" si="405"/>
        <v>22.170849845882874</v>
      </c>
      <c r="BX647" s="75">
        <f>BW647*(1-PARAM!$C$27)*$I$21+(MOD($B647,60)=PARAM!$B$56)*($B647&gt;(60-PARAM!$B$56))*HLOOKUP(($B647+PARAM!$B$56)/12,Loyalty,2)*$F$1*MAX(BZ646,0)</f>
        <v>18.557001321003963</v>
      </c>
      <c r="BY647" s="75">
        <f>PARAM!$C$26+MAX($G$21-CHOOSE(PARAM!$B$44,MAX(0,BZ646*$F$1),0),0)*RATES!$L623/12+$H$21*(PARAM!$D$51/12)*RATES!$N623/100</f>
        <v>360.45833333333331</v>
      </c>
      <c r="BZ647" s="16">
        <f t="shared" si="431"/>
        <v>-35770.608871859775</v>
      </c>
      <c r="CA647" s="15">
        <f t="shared" si="406"/>
        <v>22.170849845882874</v>
      </c>
      <c r="CB647" s="75">
        <f>CA647*(1-PARAM!$C$27)*$I$22+(MOD($B647,60)=PARAM!$B$56)*($B647&gt;(60-PARAM!$B$56))*HLOOKUP(($B647+PARAM!$B$56)/12,Loyalty,2)*$F$1*MAX(CD646,0)</f>
        <v>18.557001321003963</v>
      </c>
      <c r="CC647" s="75">
        <f>PARAM!$C$26+MAX($G$22-CHOOSE(PARAM!$B$44,MAX(0,CD646*$F$1),0),0)*RATES!$L623/12+$H$22*(PARAM!$D$51/12)*RATES!$N623/100</f>
        <v>360.45833333333331</v>
      </c>
      <c r="CD647" s="16">
        <f t="shared" si="432"/>
        <v>-35770.608871859775</v>
      </c>
      <c r="CE647" s="33">
        <f>IF(0=MOD(B647,12/PARAM!$D$51),1,0)</f>
        <v>1</v>
      </c>
      <c r="CF647" s="15">
        <f t="shared" si="407"/>
        <v>0</v>
      </c>
      <c r="CG647" s="75">
        <f>CF647*(1-PARAM!$C$27)*$R$3+(MOD($B647/12,5)=0)*($B647&gt;60)*HLOOKUP($B647/12,Loyalty,2)*$F$1*MAX(CI646,0)</f>
        <v>0</v>
      </c>
      <c r="CH647" s="75">
        <f>PARAM!$C$26+MAX($P$3-CHOOSE(PARAM!$B$44,MAX(0,CI646*$F$1),0),0)*RATES!$L623/12+$Q$3*(PARAM!$D$51/12)*RATES!$N623/100</f>
        <v>360.45833333333331</v>
      </c>
      <c r="CI647" s="16">
        <f>IF(CI646&gt;0,CI646*PARAM!$C$53,CI646)+CG647-CH647</f>
        <v>-47156.375000000007</v>
      </c>
      <c r="CJ647" s="15">
        <f t="shared" si="433"/>
        <v>0</v>
      </c>
      <c r="CK647" s="75">
        <f>CJ647*(1-PARAM!$C$27)*$R$4+(MOD($B647/12,5)=0)*($B647&gt;60)*HLOOKUP($B647/12,Loyalty,2)*$F$1*MAX(CM646,0)</f>
        <v>0</v>
      </c>
      <c r="CL647" s="75">
        <f>PARAM!$C$26+MAX($P$4-CHOOSE(PARAM!$B$44,MAX(0,CM646*$F$1),0),0)*RATES!$L623/12+$Q$4*(PARAM!$D$51/12)*RATES!$N623/100</f>
        <v>360.45833333333331</v>
      </c>
      <c r="CM647" s="16">
        <f>IF(CM646&gt;0,CM646*PARAM!$C$53,CM646)+CK647-CL647</f>
        <v>-47156.375000000007</v>
      </c>
      <c r="CO647" s="176"/>
    </row>
    <row r="648" spans="1:93" x14ac:dyDescent="0.2">
      <c r="A648" t="b">
        <f t="shared" si="408"/>
        <v>0</v>
      </c>
      <c r="B648" s="33">
        <v>621</v>
      </c>
      <c r="C648" s="15">
        <f t="shared" si="409"/>
        <v>20.081305947392778</v>
      </c>
      <c r="D648" s="75">
        <f>C648*(1-PARAM!$C$27)*$I$3+(MOD($B648,60)=PARAM!$B$56)*($B648&gt;(60-PARAM!$B$56))*HLOOKUP(($B648+PARAM!$B$56)/12,Loyalty,2)*$F$1*MAX(F647,0)</f>
        <v>16.808053077967756</v>
      </c>
      <c r="E648" s="75">
        <f>PARAM!$C$26+MAX($G$3-CHOOSE(PARAM!$B$44,MAX(0,F647*$F$1),0),0)*RATES!$L624/12+$H$3*(PARAM!$D$51/12)*RATES!$N624/100</f>
        <v>360.45833333333331</v>
      </c>
      <c r="F648" s="16">
        <f t="shared" si="410"/>
        <v>-37235.457563319222</v>
      </c>
      <c r="G648" s="15">
        <f t="shared" si="411"/>
        <v>22.035289406060361</v>
      </c>
      <c r="H648" s="75">
        <f>G648*(1-PARAM!$C$27)*$I$4+(MOD($B648,60)=PARAM!$B$56)*($B648&gt;(60-PARAM!$B$56))*HLOOKUP(($B648+PARAM!$B$56)/12,Loyalty,2)*$F$1*MAX(J647,0)</f>
        <v>18.443537232872522</v>
      </c>
      <c r="I648" s="75">
        <f>PARAM!$C$26+MAX($G$4-CHOOSE(PARAM!$B$44,MAX(0,J647*$F$1),0),0)*RATES!$L624/12+$H$4*(PARAM!$D$51/12)*RATES!$N624/100</f>
        <v>360.45833333333331</v>
      </c>
      <c r="J648" s="16">
        <f t="shared" si="412"/>
        <v>-36185.988939001531</v>
      </c>
      <c r="K648" s="15">
        <f t="shared" si="413"/>
        <v>22.170849845882874</v>
      </c>
      <c r="L648" s="75">
        <f>K648*(1-PARAM!$C$27)*$I$5+(MOD($B648,60)=PARAM!$B$56)*($B648&gt;(60-PARAM!$B$56))*HLOOKUP(($B648+PARAM!$B$56)/12,Loyalty,2)*$F$1*MAX(N647,0)</f>
        <v>18.557001321003963</v>
      </c>
      <c r="M648" s="75">
        <f>PARAM!$C$26+MAX($G$5-CHOOSE(PARAM!$B$44,MAX(0,N647*$F$1),0),0)*RATES!$L624/12+$H$5*(PARAM!$D$51/12)*RATES!$N624/100</f>
        <v>360.45833333333331</v>
      </c>
      <c r="N648" s="16">
        <f t="shared" si="414"/>
        <v>-36112.510203872109</v>
      </c>
      <c r="O648" s="15">
        <f t="shared" si="415"/>
        <v>22.170849845882874</v>
      </c>
      <c r="P648" s="75">
        <f>O648*(1-PARAM!$C$27)*$I$6+(MOD($B648,60)=PARAM!$B$56)*($B648&gt;(60-PARAM!$B$56))*HLOOKUP(($B648+PARAM!$B$56)/12,Loyalty,2)*$F$1*MAX(R647,0)</f>
        <v>18.557001321003963</v>
      </c>
      <c r="Q648" s="75">
        <f>PARAM!$C$26+MAX($G$6-CHOOSE(PARAM!$B$44,MAX(0,R647*$F$1),0),0)*RATES!$L624/12+$H$6*(PARAM!$D$51/12)*RATES!$N624/100</f>
        <v>360.45833333333331</v>
      </c>
      <c r="R648" s="16">
        <f t="shared" si="416"/>
        <v>-36112.510203872109</v>
      </c>
      <c r="S648" s="15">
        <f t="shared" si="391"/>
        <v>22.170849845882874</v>
      </c>
      <c r="T648" s="75">
        <f>S648*(1-PARAM!$C$27)*$I$7+(MOD($B648,60)=PARAM!$B$56)*($B648&gt;(60-PARAM!$B$56))*HLOOKUP(($B648+PARAM!$B$56)/12,Loyalty,2)*$F$1*MAX(V647,0)</f>
        <v>18.557001321003963</v>
      </c>
      <c r="U648" s="75">
        <f>PARAM!$C$26+MAX($G$7-CHOOSE(PARAM!$B$44,MAX(0,V647*$F$1),0),0)*RATES!$L624/12+$H$7*(PARAM!$D$51/12)*RATES!$N624/100</f>
        <v>360.45833333333331</v>
      </c>
      <c r="V648" s="16">
        <f t="shared" si="417"/>
        <v>-36112.510203872109</v>
      </c>
      <c r="W648" s="15">
        <f t="shared" si="392"/>
        <v>22.170849845882874</v>
      </c>
      <c r="X648" s="75">
        <f>W648*(1-PARAM!$C$27)*$I$8+(MOD($B648,60)=PARAM!$B$56)*($B648&gt;(60-PARAM!$B$56))*HLOOKUP(($B648+PARAM!$B$56)/12,Loyalty,2)*$F$1*MAX(Z647,0)</f>
        <v>18.557001321003963</v>
      </c>
      <c r="Y648" s="75">
        <f>PARAM!$C$26+MAX($G$8-CHOOSE(PARAM!$B$44,MAX(0,Z647*$F$1),0),0)*RATES!$L624/12+$H$8*(PARAM!$D$51/12)*RATES!$N624/100</f>
        <v>360.45833333333331</v>
      </c>
      <c r="Z648" s="16">
        <f t="shared" si="418"/>
        <v>-36112.510203872109</v>
      </c>
      <c r="AA648" s="15">
        <f t="shared" si="393"/>
        <v>22.170849845882874</v>
      </c>
      <c r="AB648" s="75">
        <f>AA648*(1-PARAM!$C$27)*$I$9+(MOD($B648,60)=PARAM!$B$56)*($B648&gt;(60-PARAM!$B$56))*HLOOKUP(($B648+PARAM!$B$56)/12,Loyalty,2)*$F$1*MAX(AD647,0)</f>
        <v>18.557001321003963</v>
      </c>
      <c r="AC648" s="75">
        <f>PARAM!$C$26+MAX($G$9-CHOOSE(PARAM!$B$44,MAX(0,AD647*$F$1),0),0)*RATES!$L624/12+$H$9*(PARAM!$D$51/12)*RATES!$N624/100</f>
        <v>360.45833333333331</v>
      </c>
      <c r="AD648" s="16">
        <f t="shared" si="419"/>
        <v>-36112.510203872109</v>
      </c>
      <c r="AE648" s="15">
        <f t="shared" si="394"/>
        <v>22.170849845882874</v>
      </c>
      <c r="AF648" s="75">
        <f>AE648*(1-PARAM!$C$27)*$I$10+(MOD($B648,60)=PARAM!$B$56)*($B648&gt;(60-PARAM!$B$56))*HLOOKUP(($B648+PARAM!$B$56)/12,Loyalty,2)*$F$1*MAX(AH647,0)</f>
        <v>18.557001321003963</v>
      </c>
      <c r="AG648" s="75">
        <f>PARAM!$C$26+MAX($G$10-CHOOSE(PARAM!$B$44,MAX(0,AH647*$F$1),0),0)*RATES!$L624/12+$H$10*(PARAM!$D$51/12)*RATES!$N624/100</f>
        <v>360.45833333333331</v>
      </c>
      <c r="AH648" s="16">
        <f t="shared" si="420"/>
        <v>-36112.510203872109</v>
      </c>
      <c r="AI648" s="15">
        <f t="shared" si="395"/>
        <v>22.170849845882874</v>
      </c>
      <c r="AJ648" s="75">
        <f>AI648*(1-PARAM!$C$27)*$I$11+(MOD($B648,60)=PARAM!$B$56)*($B648&gt;(60-PARAM!$B$56))*HLOOKUP(($B648+PARAM!$B$56)/12,Loyalty,2)*$F$1*MAX(AL647,0)</f>
        <v>18.557001321003963</v>
      </c>
      <c r="AK648" s="75">
        <f>PARAM!$C$26+MAX($G$11-CHOOSE(PARAM!$B$44,MAX(0,AL647*$F$1),0),0)*RATES!$L624/12+$H$11*(PARAM!$D$51/12)*RATES!$N624/100</f>
        <v>360.45833333333331</v>
      </c>
      <c r="AL648" s="16">
        <f t="shared" si="421"/>
        <v>-36112.510203872109</v>
      </c>
      <c r="AM648" s="15">
        <f t="shared" si="396"/>
        <v>22.170849845882874</v>
      </c>
      <c r="AN648" s="75">
        <f>AM648*(1-PARAM!$C$27)*$I$12+(MOD($B648,60)=PARAM!$B$56)*($B648&gt;(60-PARAM!$B$56))*HLOOKUP(($B648+PARAM!$B$56)/12,Loyalty,2)*$F$1*MAX(AP647,0)</f>
        <v>18.557001321003963</v>
      </c>
      <c r="AO648" s="75">
        <f>PARAM!$C$26+MAX($G$12-CHOOSE(PARAM!$B$44,MAX(0,AP647*$F$1),0),0)*RATES!$L624/12+$H$12*(PARAM!$D$51/12)*RATES!$N624/100</f>
        <v>360.45833333333331</v>
      </c>
      <c r="AP648" s="16">
        <f t="shared" si="422"/>
        <v>-36112.510203872109</v>
      </c>
      <c r="AQ648" s="15">
        <f t="shared" si="397"/>
        <v>22.170849845882874</v>
      </c>
      <c r="AR648" s="75">
        <f>AQ648*(1-PARAM!$C$27)*$I$13+(MOD($B648,60)=PARAM!$B$56)*($B648&gt;(60-PARAM!$B$56))*HLOOKUP(($B648+PARAM!$B$56)/12,Loyalty,2)*$F$1*MAX(AT647,0)</f>
        <v>18.557001321003963</v>
      </c>
      <c r="AS648" s="75">
        <f>PARAM!$C$26+MAX($G$13-CHOOSE(PARAM!$B$44,MAX(0,AT647*$F$1),0),0)*RATES!$L624/12+$H$13*(PARAM!$D$51/12)*RATES!$N624/100</f>
        <v>360.45833333333331</v>
      </c>
      <c r="AT648" s="16">
        <f t="shared" si="423"/>
        <v>-36112.510203872109</v>
      </c>
      <c r="AU648" s="15">
        <f t="shared" si="398"/>
        <v>22.170849845882874</v>
      </c>
      <c r="AV648" s="75">
        <f>AU648*(1-PARAM!$C$27)*$I$14+(MOD($B648,60)=PARAM!$B$56)*($B648&gt;(60-PARAM!$B$56))*HLOOKUP(($B648+PARAM!$B$56)/12,Loyalty,2)*$F$1*MAX(AX647,0)</f>
        <v>18.557001321003963</v>
      </c>
      <c r="AW648" s="75">
        <f>PARAM!$C$26+MAX($G$14-CHOOSE(PARAM!$B$44,MAX(0,AX647*$F$1),0),0)*RATES!$L624/12+$H$14*(PARAM!$D$51/12)*RATES!$N624/100</f>
        <v>360.45833333333331</v>
      </c>
      <c r="AX648" s="16">
        <f t="shared" si="424"/>
        <v>-36112.510203872109</v>
      </c>
      <c r="AY648" s="15">
        <f t="shared" si="399"/>
        <v>22.170849845882874</v>
      </c>
      <c r="AZ648" s="75">
        <f>AY648*(1-PARAM!$C$27)*$I$15+(MOD($B648,60)=PARAM!$B$56)*($B648&gt;(60-PARAM!$B$56))*HLOOKUP(($B648+PARAM!$B$56)/12,Loyalty,2)*$F$1*MAX(BB647,0)</f>
        <v>18.557001321003963</v>
      </c>
      <c r="BA648" s="75">
        <f>PARAM!$C$26+MAX($G$15-CHOOSE(PARAM!$B$44,MAX(0,BB647*$F$1),0),0)*RATES!$L624/12+$H$15*(PARAM!$D$51/12)*RATES!$N624/100</f>
        <v>360.45833333333331</v>
      </c>
      <c r="BB648" s="16">
        <f t="shared" si="425"/>
        <v>-36112.510203872109</v>
      </c>
      <c r="BC648" s="15">
        <f t="shared" si="400"/>
        <v>22.170849845882874</v>
      </c>
      <c r="BD648" s="75">
        <f>BC648*(1-PARAM!$C$27)*$I$16+(MOD($B648,60)=PARAM!$B$56)*($B648&gt;(60-PARAM!$B$56))*HLOOKUP(($B648+PARAM!$B$56)/12,Loyalty,2)*$F$1*MAX(BF647,0)</f>
        <v>18.557001321003963</v>
      </c>
      <c r="BE648" s="75">
        <f>PARAM!$C$26+MAX($G$16-CHOOSE(PARAM!$B$44,MAX(0,BF647*$F$1),0),0)*RATES!$L624/12+$H$16*(PARAM!$D$51/12)*RATES!$N624/100</f>
        <v>360.45833333333331</v>
      </c>
      <c r="BF648" s="16">
        <f t="shared" si="426"/>
        <v>-36112.510203872109</v>
      </c>
      <c r="BG648" s="15">
        <f t="shared" si="401"/>
        <v>22.170849845882874</v>
      </c>
      <c r="BH648" s="75">
        <f>BG648*(1-PARAM!$C$27)*$I$17+(MOD($B648,60)=PARAM!$B$56)*($B648&gt;(60-PARAM!$B$56))*HLOOKUP(($B648+PARAM!$B$56)/12,Loyalty,2)*$F$1*MAX(BJ647,0)</f>
        <v>18.557001321003963</v>
      </c>
      <c r="BI648" s="75">
        <f>PARAM!$C$26+MAX($G$17-CHOOSE(PARAM!$B$44,MAX(0,BJ647*$F$1),0),0)*RATES!$L624/12+$H$17*(PARAM!$D$51/12)*RATES!$N624/100</f>
        <v>360.45833333333331</v>
      </c>
      <c r="BJ648" s="16">
        <f t="shared" si="427"/>
        <v>-36112.510203872109</v>
      </c>
      <c r="BK648" s="15">
        <f t="shared" si="402"/>
        <v>22.170849845882874</v>
      </c>
      <c r="BL648" s="75">
        <f>BK648*(1-PARAM!$C$27)*$I$18+(MOD($B648,60)=PARAM!$B$56)*($B648&gt;(60-PARAM!$B$56))*HLOOKUP(($B648+PARAM!$B$56)/12,Loyalty,2)*$F$1*MAX(BN647,0)</f>
        <v>18.557001321003963</v>
      </c>
      <c r="BM648" s="75">
        <f>PARAM!$C$26+MAX($G$18-CHOOSE(PARAM!$B$44,MAX(0,BN647*$F$1),0),0)*RATES!$L624/12+$H$18*(PARAM!$D$51/12)*RATES!$N624/100</f>
        <v>360.45833333333331</v>
      </c>
      <c r="BN648" s="16">
        <f t="shared" si="428"/>
        <v>-36112.510203872109</v>
      </c>
      <c r="BO648" s="15">
        <f t="shared" si="403"/>
        <v>22.170849845882874</v>
      </c>
      <c r="BP648" s="75">
        <f>BO648*(1-PARAM!$C$27)*$I$19+(MOD($B648,60)=PARAM!$B$56)*($B648&gt;(60-PARAM!$B$56))*HLOOKUP(($B648+PARAM!$B$56)/12,Loyalty,2)*$F$1*MAX(BR647,0)</f>
        <v>18.557001321003963</v>
      </c>
      <c r="BQ648" s="75">
        <f>PARAM!$C$26+MAX($G$19-CHOOSE(PARAM!$B$44,MAX(0,BR647*$F$1),0),0)*RATES!$L624/12+$H$19*(PARAM!$D$51/12)*RATES!$N624/100</f>
        <v>360.45833333333331</v>
      </c>
      <c r="BR648" s="16">
        <f t="shared" si="429"/>
        <v>-36112.510203872109</v>
      </c>
      <c r="BS648" s="15">
        <f t="shared" si="404"/>
        <v>22.170849845882874</v>
      </c>
      <c r="BT648" s="75">
        <f>BS648*(1-PARAM!$C$27)*$I$20+(MOD($B648,60)=PARAM!$B$56)*($B648&gt;(60-PARAM!$B$56))*HLOOKUP(($B648+PARAM!$B$56)/12,Loyalty,2)*$F$1*MAX(BV647,0)</f>
        <v>18.557001321003963</v>
      </c>
      <c r="BU648" s="75">
        <f>PARAM!$C$26+MAX($G$20-CHOOSE(PARAM!$B$44,MAX(0,BV647*$F$1),0),0)*RATES!$L624/12+$H$20*(PARAM!$D$51/12)*RATES!$N624/100</f>
        <v>360.45833333333331</v>
      </c>
      <c r="BV648" s="16">
        <f t="shared" si="430"/>
        <v>-36112.510203872109</v>
      </c>
      <c r="BW648" s="15">
        <f t="shared" si="405"/>
        <v>22.170849845882874</v>
      </c>
      <c r="BX648" s="75">
        <f>BW648*(1-PARAM!$C$27)*$I$21+(MOD($B648,60)=PARAM!$B$56)*($B648&gt;(60-PARAM!$B$56))*HLOOKUP(($B648+PARAM!$B$56)/12,Loyalty,2)*$F$1*MAX(BZ647,0)</f>
        <v>18.557001321003963</v>
      </c>
      <c r="BY648" s="75">
        <f>PARAM!$C$26+MAX($G$21-CHOOSE(PARAM!$B$44,MAX(0,BZ647*$F$1),0),0)*RATES!$L624/12+$H$21*(PARAM!$D$51/12)*RATES!$N624/100</f>
        <v>360.45833333333331</v>
      </c>
      <c r="BZ648" s="16">
        <f t="shared" si="431"/>
        <v>-36112.510203872109</v>
      </c>
      <c r="CA648" s="15">
        <f t="shared" si="406"/>
        <v>22.170849845882874</v>
      </c>
      <c r="CB648" s="75">
        <f>CA648*(1-PARAM!$C$27)*$I$22+(MOD($B648,60)=PARAM!$B$56)*($B648&gt;(60-PARAM!$B$56))*HLOOKUP(($B648+PARAM!$B$56)/12,Loyalty,2)*$F$1*MAX(CD647,0)</f>
        <v>18.557001321003963</v>
      </c>
      <c r="CC648" s="75">
        <f>PARAM!$C$26+MAX($G$22-CHOOSE(PARAM!$B$44,MAX(0,CD647*$F$1),0),0)*RATES!$L624/12+$H$22*(PARAM!$D$51/12)*RATES!$N624/100</f>
        <v>360.45833333333331</v>
      </c>
      <c r="CD648" s="16">
        <f t="shared" si="432"/>
        <v>-36112.510203872109</v>
      </c>
      <c r="CE648" s="33">
        <f>IF(0=MOD(B648,12/PARAM!$D$51),1,0)</f>
        <v>1</v>
      </c>
      <c r="CF648" s="15">
        <f t="shared" si="407"/>
        <v>0</v>
      </c>
      <c r="CG648" s="75">
        <f>CF648*(1-PARAM!$C$27)*$R$3+(MOD($B648/12,5)=0)*($B648&gt;60)*HLOOKUP($B648/12,Loyalty,2)*$F$1*MAX(CI647,0)</f>
        <v>0</v>
      </c>
      <c r="CH648" s="75">
        <f>PARAM!$C$26+MAX($P$3-CHOOSE(PARAM!$B$44,MAX(0,CI647*$F$1),0),0)*RATES!$L624/12+$Q$3*(PARAM!$D$51/12)*RATES!$N624/100</f>
        <v>360.45833333333331</v>
      </c>
      <c r="CI648" s="16">
        <f>IF(CI647&gt;0,CI647*PARAM!$C$53,CI647)+CG648-CH648</f>
        <v>-47516.833333333343</v>
      </c>
      <c r="CJ648" s="15">
        <f t="shared" si="433"/>
        <v>0</v>
      </c>
      <c r="CK648" s="75">
        <f>CJ648*(1-PARAM!$C$27)*$R$4+(MOD($B648/12,5)=0)*($B648&gt;60)*HLOOKUP($B648/12,Loyalty,2)*$F$1*MAX(CM647,0)</f>
        <v>0</v>
      </c>
      <c r="CL648" s="75">
        <f>PARAM!$C$26+MAX($P$4-CHOOSE(PARAM!$B$44,MAX(0,CM647*$F$1),0),0)*RATES!$L624/12+$Q$4*(PARAM!$D$51/12)*RATES!$N624/100</f>
        <v>360.45833333333331</v>
      </c>
      <c r="CM648" s="16">
        <f>IF(CM647&gt;0,CM647*PARAM!$C$53,CM647)+CK648-CL648</f>
        <v>-47516.833333333343</v>
      </c>
      <c r="CO648" s="176"/>
    </row>
    <row r="649" spans="1:93" x14ac:dyDescent="0.2">
      <c r="A649" t="b">
        <f t="shared" si="408"/>
        <v>0</v>
      </c>
      <c r="B649" s="33">
        <v>622</v>
      </c>
      <c r="C649" s="15">
        <f t="shared" si="409"/>
        <v>20.081305947392778</v>
      </c>
      <c r="D649" s="75">
        <f>C649*(1-PARAM!$C$27)*$I$3+(MOD($B649,60)=PARAM!$B$56)*($B649&gt;(60-PARAM!$B$56))*HLOOKUP(($B649+PARAM!$B$56)/12,Loyalty,2)*$F$1*MAX(F648,0)</f>
        <v>16.808053077967756</v>
      </c>
      <c r="E649" s="75">
        <f>PARAM!$C$26+MAX($G$3-CHOOSE(PARAM!$B$44,MAX(0,F648*$F$1),0),0)*RATES!$L625/12+$H$3*(PARAM!$D$51/12)*RATES!$N625/100</f>
        <v>360.45833333333331</v>
      </c>
      <c r="F649" s="16">
        <f t="shared" si="410"/>
        <v>-37579.107843574588</v>
      </c>
      <c r="G649" s="15">
        <f t="shared" si="411"/>
        <v>22.035289406060361</v>
      </c>
      <c r="H649" s="75">
        <f>G649*(1-PARAM!$C$27)*$I$4+(MOD($B649,60)=PARAM!$B$56)*($B649&gt;(60-PARAM!$B$56))*HLOOKUP(($B649+PARAM!$B$56)/12,Loyalty,2)*$F$1*MAX(J648,0)</f>
        <v>18.443537232872522</v>
      </c>
      <c r="I649" s="75">
        <f>PARAM!$C$26+MAX($G$4-CHOOSE(PARAM!$B$44,MAX(0,J648*$F$1),0),0)*RATES!$L625/12+$H$4*(PARAM!$D$51/12)*RATES!$N625/100</f>
        <v>360.45833333333331</v>
      </c>
      <c r="J649" s="16">
        <f t="shared" si="412"/>
        <v>-36528.003735101993</v>
      </c>
      <c r="K649" s="15">
        <f t="shared" si="413"/>
        <v>22.170849845882874</v>
      </c>
      <c r="L649" s="75">
        <f>K649*(1-PARAM!$C$27)*$I$5+(MOD($B649,60)=PARAM!$B$56)*($B649&gt;(60-PARAM!$B$56))*HLOOKUP(($B649+PARAM!$B$56)/12,Loyalty,2)*$F$1*MAX(N648,0)</f>
        <v>18.557001321003963</v>
      </c>
      <c r="M649" s="75">
        <f>PARAM!$C$26+MAX($G$5-CHOOSE(PARAM!$B$44,MAX(0,N648*$F$1),0),0)*RATES!$L625/12+$H$5*(PARAM!$D$51/12)*RATES!$N625/100</f>
        <v>360.45833333333331</v>
      </c>
      <c r="N649" s="16">
        <f t="shared" si="414"/>
        <v>-36454.411535884443</v>
      </c>
      <c r="O649" s="15">
        <f t="shared" si="415"/>
        <v>22.170849845882874</v>
      </c>
      <c r="P649" s="75">
        <f>O649*(1-PARAM!$C$27)*$I$6+(MOD($B649,60)=PARAM!$B$56)*($B649&gt;(60-PARAM!$B$56))*HLOOKUP(($B649+PARAM!$B$56)/12,Loyalty,2)*$F$1*MAX(R648,0)</f>
        <v>18.557001321003963</v>
      </c>
      <c r="Q649" s="75">
        <f>PARAM!$C$26+MAX($G$6-CHOOSE(PARAM!$B$44,MAX(0,R648*$F$1),0),0)*RATES!$L625/12+$H$6*(PARAM!$D$51/12)*RATES!$N625/100</f>
        <v>360.45833333333331</v>
      </c>
      <c r="R649" s="16">
        <f t="shared" si="416"/>
        <v>-36454.411535884443</v>
      </c>
      <c r="S649" s="15">
        <f t="shared" si="391"/>
        <v>22.170849845882874</v>
      </c>
      <c r="T649" s="75">
        <f>S649*(1-PARAM!$C$27)*$I$7+(MOD($B649,60)=PARAM!$B$56)*($B649&gt;(60-PARAM!$B$56))*HLOOKUP(($B649+PARAM!$B$56)/12,Loyalty,2)*$F$1*MAX(V648,0)</f>
        <v>18.557001321003963</v>
      </c>
      <c r="U649" s="75">
        <f>PARAM!$C$26+MAX($G$7-CHOOSE(PARAM!$B$44,MAX(0,V648*$F$1),0),0)*RATES!$L625/12+$H$7*(PARAM!$D$51/12)*RATES!$N625/100</f>
        <v>360.45833333333331</v>
      </c>
      <c r="V649" s="16">
        <f t="shared" si="417"/>
        <v>-36454.411535884443</v>
      </c>
      <c r="W649" s="15">
        <f t="shared" si="392"/>
        <v>22.170849845882874</v>
      </c>
      <c r="X649" s="75">
        <f>W649*(1-PARAM!$C$27)*$I$8+(MOD($B649,60)=PARAM!$B$56)*($B649&gt;(60-PARAM!$B$56))*HLOOKUP(($B649+PARAM!$B$56)/12,Loyalty,2)*$F$1*MAX(Z648,0)</f>
        <v>18.557001321003963</v>
      </c>
      <c r="Y649" s="75">
        <f>PARAM!$C$26+MAX($G$8-CHOOSE(PARAM!$B$44,MAX(0,Z648*$F$1),0),0)*RATES!$L625/12+$H$8*(PARAM!$D$51/12)*RATES!$N625/100</f>
        <v>360.45833333333331</v>
      </c>
      <c r="Z649" s="16">
        <f t="shared" si="418"/>
        <v>-36454.411535884443</v>
      </c>
      <c r="AA649" s="15">
        <f t="shared" si="393"/>
        <v>22.170849845882874</v>
      </c>
      <c r="AB649" s="75">
        <f>AA649*(1-PARAM!$C$27)*$I$9+(MOD($B649,60)=PARAM!$B$56)*($B649&gt;(60-PARAM!$B$56))*HLOOKUP(($B649+PARAM!$B$56)/12,Loyalty,2)*$F$1*MAX(AD648,0)</f>
        <v>18.557001321003963</v>
      </c>
      <c r="AC649" s="75">
        <f>PARAM!$C$26+MAX($G$9-CHOOSE(PARAM!$B$44,MAX(0,AD648*$F$1),0),0)*RATES!$L625/12+$H$9*(PARAM!$D$51/12)*RATES!$N625/100</f>
        <v>360.45833333333331</v>
      </c>
      <c r="AD649" s="16">
        <f t="shared" si="419"/>
        <v>-36454.411535884443</v>
      </c>
      <c r="AE649" s="15">
        <f t="shared" si="394"/>
        <v>22.170849845882874</v>
      </c>
      <c r="AF649" s="75">
        <f>AE649*(1-PARAM!$C$27)*$I$10+(MOD($B649,60)=PARAM!$B$56)*($B649&gt;(60-PARAM!$B$56))*HLOOKUP(($B649+PARAM!$B$56)/12,Loyalty,2)*$F$1*MAX(AH648,0)</f>
        <v>18.557001321003963</v>
      </c>
      <c r="AG649" s="75">
        <f>PARAM!$C$26+MAX($G$10-CHOOSE(PARAM!$B$44,MAX(0,AH648*$F$1),0),0)*RATES!$L625/12+$H$10*(PARAM!$D$51/12)*RATES!$N625/100</f>
        <v>360.45833333333331</v>
      </c>
      <c r="AH649" s="16">
        <f t="shared" si="420"/>
        <v>-36454.411535884443</v>
      </c>
      <c r="AI649" s="15">
        <f t="shared" si="395"/>
        <v>22.170849845882874</v>
      </c>
      <c r="AJ649" s="75">
        <f>AI649*(1-PARAM!$C$27)*$I$11+(MOD($B649,60)=PARAM!$B$56)*($B649&gt;(60-PARAM!$B$56))*HLOOKUP(($B649+PARAM!$B$56)/12,Loyalty,2)*$F$1*MAX(AL648,0)</f>
        <v>18.557001321003963</v>
      </c>
      <c r="AK649" s="75">
        <f>PARAM!$C$26+MAX($G$11-CHOOSE(PARAM!$B$44,MAX(0,AL648*$F$1),0),0)*RATES!$L625/12+$H$11*(PARAM!$D$51/12)*RATES!$N625/100</f>
        <v>360.45833333333331</v>
      </c>
      <c r="AL649" s="16">
        <f t="shared" si="421"/>
        <v>-36454.411535884443</v>
      </c>
      <c r="AM649" s="15">
        <f t="shared" si="396"/>
        <v>22.170849845882874</v>
      </c>
      <c r="AN649" s="75">
        <f>AM649*(1-PARAM!$C$27)*$I$12+(MOD($B649,60)=PARAM!$B$56)*($B649&gt;(60-PARAM!$B$56))*HLOOKUP(($B649+PARAM!$B$56)/12,Loyalty,2)*$F$1*MAX(AP648,0)</f>
        <v>18.557001321003963</v>
      </c>
      <c r="AO649" s="75">
        <f>PARAM!$C$26+MAX($G$12-CHOOSE(PARAM!$B$44,MAX(0,AP648*$F$1),0),0)*RATES!$L625/12+$H$12*(PARAM!$D$51/12)*RATES!$N625/100</f>
        <v>360.45833333333331</v>
      </c>
      <c r="AP649" s="16">
        <f t="shared" si="422"/>
        <v>-36454.411535884443</v>
      </c>
      <c r="AQ649" s="15">
        <f t="shared" si="397"/>
        <v>22.170849845882874</v>
      </c>
      <c r="AR649" s="75">
        <f>AQ649*(1-PARAM!$C$27)*$I$13+(MOD($B649,60)=PARAM!$B$56)*($B649&gt;(60-PARAM!$B$56))*HLOOKUP(($B649+PARAM!$B$56)/12,Loyalty,2)*$F$1*MAX(AT648,0)</f>
        <v>18.557001321003963</v>
      </c>
      <c r="AS649" s="75">
        <f>PARAM!$C$26+MAX($G$13-CHOOSE(PARAM!$B$44,MAX(0,AT648*$F$1),0),0)*RATES!$L625/12+$H$13*(PARAM!$D$51/12)*RATES!$N625/100</f>
        <v>360.45833333333331</v>
      </c>
      <c r="AT649" s="16">
        <f t="shared" si="423"/>
        <v>-36454.411535884443</v>
      </c>
      <c r="AU649" s="15">
        <f t="shared" si="398"/>
        <v>22.170849845882874</v>
      </c>
      <c r="AV649" s="75">
        <f>AU649*(1-PARAM!$C$27)*$I$14+(MOD($B649,60)=PARAM!$B$56)*($B649&gt;(60-PARAM!$B$56))*HLOOKUP(($B649+PARAM!$B$56)/12,Loyalty,2)*$F$1*MAX(AX648,0)</f>
        <v>18.557001321003963</v>
      </c>
      <c r="AW649" s="75">
        <f>PARAM!$C$26+MAX($G$14-CHOOSE(PARAM!$B$44,MAX(0,AX648*$F$1),0),0)*RATES!$L625/12+$H$14*(PARAM!$D$51/12)*RATES!$N625/100</f>
        <v>360.45833333333331</v>
      </c>
      <c r="AX649" s="16">
        <f t="shared" si="424"/>
        <v>-36454.411535884443</v>
      </c>
      <c r="AY649" s="15">
        <f t="shared" si="399"/>
        <v>22.170849845882874</v>
      </c>
      <c r="AZ649" s="75">
        <f>AY649*(1-PARAM!$C$27)*$I$15+(MOD($B649,60)=PARAM!$B$56)*($B649&gt;(60-PARAM!$B$56))*HLOOKUP(($B649+PARAM!$B$56)/12,Loyalty,2)*$F$1*MAX(BB648,0)</f>
        <v>18.557001321003963</v>
      </c>
      <c r="BA649" s="75">
        <f>PARAM!$C$26+MAX($G$15-CHOOSE(PARAM!$B$44,MAX(0,BB648*$F$1),0),0)*RATES!$L625/12+$H$15*(PARAM!$D$51/12)*RATES!$N625/100</f>
        <v>360.45833333333331</v>
      </c>
      <c r="BB649" s="16">
        <f t="shared" si="425"/>
        <v>-36454.411535884443</v>
      </c>
      <c r="BC649" s="15">
        <f t="shared" si="400"/>
        <v>22.170849845882874</v>
      </c>
      <c r="BD649" s="75">
        <f>BC649*(1-PARAM!$C$27)*$I$16+(MOD($B649,60)=PARAM!$B$56)*($B649&gt;(60-PARAM!$B$56))*HLOOKUP(($B649+PARAM!$B$56)/12,Loyalty,2)*$F$1*MAX(BF648,0)</f>
        <v>18.557001321003963</v>
      </c>
      <c r="BE649" s="75">
        <f>PARAM!$C$26+MAX($G$16-CHOOSE(PARAM!$B$44,MAX(0,BF648*$F$1),0),0)*RATES!$L625/12+$H$16*(PARAM!$D$51/12)*RATES!$N625/100</f>
        <v>360.45833333333331</v>
      </c>
      <c r="BF649" s="16">
        <f t="shared" si="426"/>
        <v>-36454.411535884443</v>
      </c>
      <c r="BG649" s="15">
        <f t="shared" si="401"/>
        <v>22.170849845882874</v>
      </c>
      <c r="BH649" s="75">
        <f>BG649*(1-PARAM!$C$27)*$I$17+(MOD($B649,60)=PARAM!$B$56)*($B649&gt;(60-PARAM!$B$56))*HLOOKUP(($B649+PARAM!$B$56)/12,Loyalty,2)*$F$1*MAX(BJ648,0)</f>
        <v>18.557001321003963</v>
      </c>
      <c r="BI649" s="75">
        <f>PARAM!$C$26+MAX($G$17-CHOOSE(PARAM!$B$44,MAX(0,BJ648*$F$1),0),0)*RATES!$L625/12+$H$17*(PARAM!$D$51/12)*RATES!$N625/100</f>
        <v>360.45833333333331</v>
      </c>
      <c r="BJ649" s="16">
        <f t="shared" si="427"/>
        <v>-36454.411535884443</v>
      </c>
      <c r="BK649" s="15">
        <f t="shared" si="402"/>
        <v>22.170849845882874</v>
      </c>
      <c r="BL649" s="75">
        <f>BK649*(1-PARAM!$C$27)*$I$18+(MOD($B649,60)=PARAM!$B$56)*($B649&gt;(60-PARAM!$B$56))*HLOOKUP(($B649+PARAM!$B$56)/12,Loyalty,2)*$F$1*MAX(BN648,0)</f>
        <v>18.557001321003963</v>
      </c>
      <c r="BM649" s="75">
        <f>PARAM!$C$26+MAX($G$18-CHOOSE(PARAM!$B$44,MAX(0,BN648*$F$1),0),0)*RATES!$L625/12+$H$18*(PARAM!$D$51/12)*RATES!$N625/100</f>
        <v>360.45833333333331</v>
      </c>
      <c r="BN649" s="16">
        <f t="shared" si="428"/>
        <v>-36454.411535884443</v>
      </c>
      <c r="BO649" s="15">
        <f t="shared" si="403"/>
        <v>22.170849845882874</v>
      </c>
      <c r="BP649" s="75">
        <f>BO649*(1-PARAM!$C$27)*$I$19+(MOD($B649,60)=PARAM!$B$56)*($B649&gt;(60-PARAM!$B$56))*HLOOKUP(($B649+PARAM!$B$56)/12,Loyalty,2)*$F$1*MAX(BR648,0)</f>
        <v>18.557001321003963</v>
      </c>
      <c r="BQ649" s="75">
        <f>PARAM!$C$26+MAX($G$19-CHOOSE(PARAM!$B$44,MAX(0,BR648*$F$1),0),0)*RATES!$L625/12+$H$19*(PARAM!$D$51/12)*RATES!$N625/100</f>
        <v>360.45833333333331</v>
      </c>
      <c r="BR649" s="16">
        <f t="shared" si="429"/>
        <v>-36454.411535884443</v>
      </c>
      <c r="BS649" s="15">
        <f t="shared" si="404"/>
        <v>22.170849845882874</v>
      </c>
      <c r="BT649" s="75">
        <f>BS649*(1-PARAM!$C$27)*$I$20+(MOD($B649,60)=PARAM!$B$56)*($B649&gt;(60-PARAM!$B$56))*HLOOKUP(($B649+PARAM!$B$56)/12,Loyalty,2)*$F$1*MAX(BV648,0)</f>
        <v>18.557001321003963</v>
      </c>
      <c r="BU649" s="75">
        <f>PARAM!$C$26+MAX($G$20-CHOOSE(PARAM!$B$44,MAX(0,BV648*$F$1),0),0)*RATES!$L625/12+$H$20*(PARAM!$D$51/12)*RATES!$N625/100</f>
        <v>360.45833333333331</v>
      </c>
      <c r="BV649" s="16">
        <f t="shared" si="430"/>
        <v>-36454.411535884443</v>
      </c>
      <c r="BW649" s="15">
        <f t="shared" si="405"/>
        <v>22.170849845882874</v>
      </c>
      <c r="BX649" s="75">
        <f>BW649*(1-PARAM!$C$27)*$I$21+(MOD($B649,60)=PARAM!$B$56)*($B649&gt;(60-PARAM!$B$56))*HLOOKUP(($B649+PARAM!$B$56)/12,Loyalty,2)*$F$1*MAX(BZ648,0)</f>
        <v>18.557001321003963</v>
      </c>
      <c r="BY649" s="75">
        <f>PARAM!$C$26+MAX($G$21-CHOOSE(PARAM!$B$44,MAX(0,BZ648*$F$1),0),0)*RATES!$L625/12+$H$21*(PARAM!$D$51/12)*RATES!$N625/100</f>
        <v>360.45833333333331</v>
      </c>
      <c r="BZ649" s="16">
        <f t="shared" si="431"/>
        <v>-36454.411535884443</v>
      </c>
      <c r="CA649" s="15">
        <f t="shared" si="406"/>
        <v>22.170849845882874</v>
      </c>
      <c r="CB649" s="75">
        <f>CA649*(1-PARAM!$C$27)*$I$22+(MOD($B649,60)=PARAM!$B$56)*($B649&gt;(60-PARAM!$B$56))*HLOOKUP(($B649+PARAM!$B$56)/12,Loyalty,2)*$F$1*MAX(CD648,0)</f>
        <v>18.557001321003963</v>
      </c>
      <c r="CC649" s="75">
        <f>PARAM!$C$26+MAX($G$22-CHOOSE(PARAM!$B$44,MAX(0,CD648*$F$1),0),0)*RATES!$L625/12+$H$22*(PARAM!$D$51/12)*RATES!$N625/100</f>
        <v>360.45833333333331</v>
      </c>
      <c r="CD649" s="16">
        <f t="shared" si="432"/>
        <v>-36454.411535884443</v>
      </c>
      <c r="CE649" s="33">
        <f>IF(0=MOD(B649,12/PARAM!$D$51),1,0)</f>
        <v>1</v>
      </c>
      <c r="CF649" s="15">
        <f t="shared" si="407"/>
        <v>0</v>
      </c>
      <c r="CG649" s="75">
        <f>CF649*(1-PARAM!$C$27)*$R$3+(MOD($B649/12,5)=0)*($B649&gt;60)*HLOOKUP($B649/12,Loyalty,2)*$F$1*MAX(CI648,0)</f>
        <v>0</v>
      </c>
      <c r="CH649" s="75">
        <f>PARAM!$C$26+MAX($P$3-CHOOSE(PARAM!$B$44,MAX(0,CI648*$F$1),0),0)*RATES!$L625/12+$Q$3*(PARAM!$D$51/12)*RATES!$N625/100</f>
        <v>360.45833333333331</v>
      </c>
      <c r="CI649" s="16">
        <f>IF(CI648&gt;0,CI648*PARAM!$C$53,CI648)+CG649-CH649</f>
        <v>-47877.291666666679</v>
      </c>
      <c r="CJ649" s="15">
        <f t="shared" si="433"/>
        <v>0</v>
      </c>
      <c r="CK649" s="75">
        <f>CJ649*(1-PARAM!$C$27)*$R$4+(MOD($B649/12,5)=0)*($B649&gt;60)*HLOOKUP($B649/12,Loyalty,2)*$F$1*MAX(CM648,0)</f>
        <v>0</v>
      </c>
      <c r="CL649" s="75">
        <f>PARAM!$C$26+MAX($P$4-CHOOSE(PARAM!$B$44,MAX(0,CM648*$F$1),0),0)*RATES!$L625/12+$Q$4*(PARAM!$D$51/12)*RATES!$N625/100</f>
        <v>360.45833333333331</v>
      </c>
      <c r="CM649" s="16">
        <f>IF(CM648&gt;0,CM648*PARAM!$C$53,CM648)+CK649-CL649</f>
        <v>-47877.291666666679</v>
      </c>
      <c r="CO649" s="176"/>
    </row>
    <row r="650" spans="1:93" x14ac:dyDescent="0.2">
      <c r="A650" t="b">
        <f t="shared" si="408"/>
        <v>0</v>
      </c>
      <c r="B650" s="33">
        <v>623</v>
      </c>
      <c r="C650" s="15">
        <f t="shared" si="409"/>
        <v>20.081305947392778</v>
      </c>
      <c r="D650" s="75">
        <f>C650*(1-PARAM!$C$27)*$I$3+(MOD($B650,60)=PARAM!$B$56)*($B650&gt;(60-PARAM!$B$56))*HLOOKUP(($B650+PARAM!$B$56)/12,Loyalty,2)*$F$1*MAX(F649,0)</f>
        <v>16.808053077967756</v>
      </c>
      <c r="E650" s="75">
        <f>PARAM!$C$26+MAX($G$3-CHOOSE(PARAM!$B$44,MAX(0,F649*$F$1),0),0)*RATES!$L626/12+$H$3*(PARAM!$D$51/12)*RATES!$N626/100</f>
        <v>360.45833333333331</v>
      </c>
      <c r="F650" s="16">
        <f t="shared" si="410"/>
        <v>-37922.758123829954</v>
      </c>
      <c r="G650" s="15">
        <f t="shared" si="411"/>
        <v>22.035289406060361</v>
      </c>
      <c r="H650" s="75">
        <f>G650*(1-PARAM!$C$27)*$I$4+(MOD($B650,60)=PARAM!$B$56)*($B650&gt;(60-PARAM!$B$56))*HLOOKUP(($B650+PARAM!$B$56)/12,Loyalty,2)*$F$1*MAX(J649,0)</f>
        <v>18.443537232872522</v>
      </c>
      <c r="I650" s="75">
        <f>PARAM!$C$26+MAX($G$4-CHOOSE(PARAM!$B$44,MAX(0,J649*$F$1),0),0)*RATES!$L626/12+$H$4*(PARAM!$D$51/12)*RATES!$N626/100</f>
        <v>360.45833333333331</v>
      </c>
      <c r="J650" s="16">
        <f t="shared" si="412"/>
        <v>-36870.018531202455</v>
      </c>
      <c r="K650" s="15">
        <f t="shared" si="413"/>
        <v>22.170849845882874</v>
      </c>
      <c r="L650" s="75">
        <f>K650*(1-PARAM!$C$27)*$I$5+(MOD($B650,60)=PARAM!$B$56)*($B650&gt;(60-PARAM!$B$56))*HLOOKUP(($B650+PARAM!$B$56)/12,Loyalty,2)*$F$1*MAX(N649,0)</f>
        <v>18.557001321003963</v>
      </c>
      <c r="M650" s="75">
        <f>PARAM!$C$26+MAX($G$5-CHOOSE(PARAM!$B$44,MAX(0,N649*$F$1),0),0)*RATES!$L626/12+$H$5*(PARAM!$D$51/12)*RATES!$N626/100</f>
        <v>360.45833333333331</v>
      </c>
      <c r="N650" s="16">
        <f t="shared" si="414"/>
        <v>-36796.312867896777</v>
      </c>
      <c r="O650" s="15">
        <f t="shared" si="415"/>
        <v>22.170849845882874</v>
      </c>
      <c r="P650" s="75">
        <f>O650*(1-PARAM!$C$27)*$I$6+(MOD($B650,60)=PARAM!$B$56)*($B650&gt;(60-PARAM!$B$56))*HLOOKUP(($B650+PARAM!$B$56)/12,Loyalty,2)*$F$1*MAX(R649,0)</f>
        <v>18.557001321003963</v>
      </c>
      <c r="Q650" s="75">
        <f>PARAM!$C$26+MAX($G$6-CHOOSE(PARAM!$B$44,MAX(0,R649*$F$1),0),0)*RATES!$L626/12+$H$6*(PARAM!$D$51/12)*RATES!$N626/100</f>
        <v>360.45833333333331</v>
      </c>
      <c r="R650" s="16">
        <f t="shared" si="416"/>
        <v>-36796.312867896777</v>
      </c>
      <c r="S650" s="15">
        <f t="shared" si="391"/>
        <v>22.170849845882874</v>
      </c>
      <c r="T650" s="75">
        <f>S650*(1-PARAM!$C$27)*$I$7+(MOD($B650,60)=PARAM!$B$56)*($B650&gt;(60-PARAM!$B$56))*HLOOKUP(($B650+PARAM!$B$56)/12,Loyalty,2)*$F$1*MAX(V649,0)</f>
        <v>18.557001321003963</v>
      </c>
      <c r="U650" s="75">
        <f>PARAM!$C$26+MAX($G$7-CHOOSE(PARAM!$B$44,MAX(0,V649*$F$1),0),0)*RATES!$L626/12+$H$7*(PARAM!$D$51/12)*RATES!$N626/100</f>
        <v>360.45833333333331</v>
      </c>
      <c r="V650" s="16">
        <f t="shared" si="417"/>
        <v>-36796.312867896777</v>
      </c>
      <c r="W650" s="15">
        <f t="shared" si="392"/>
        <v>22.170849845882874</v>
      </c>
      <c r="X650" s="75">
        <f>W650*(1-PARAM!$C$27)*$I$8+(MOD($B650,60)=PARAM!$B$56)*($B650&gt;(60-PARAM!$B$56))*HLOOKUP(($B650+PARAM!$B$56)/12,Loyalty,2)*$F$1*MAX(Z649,0)</f>
        <v>18.557001321003963</v>
      </c>
      <c r="Y650" s="75">
        <f>PARAM!$C$26+MAX($G$8-CHOOSE(PARAM!$B$44,MAX(0,Z649*$F$1),0),0)*RATES!$L626/12+$H$8*(PARAM!$D$51/12)*RATES!$N626/100</f>
        <v>360.45833333333331</v>
      </c>
      <c r="Z650" s="16">
        <f t="shared" si="418"/>
        <v>-36796.312867896777</v>
      </c>
      <c r="AA650" s="15">
        <f t="shared" si="393"/>
        <v>22.170849845882874</v>
      </c>
      <c r="AB650" s="75">
        <f>AA650*(1-PARAM!$C$27)*$I$9+(MOD($B650,60)=PARAM!$B$56)*($B650&gt;(60-PARAM!$B$56))*HLOOKUP(($B650+PARAM!$B$56)/12,Loyalty,2)*$F$1*MAX(AD649,0)</f>
        <v>18.557001321003963</v>
      </c>
      <c r="AC650" s="75">
        <f>PARAM!$C$26+MAX($G$9-CHOOSE(PARAM!$B$44,MAX(0,AD649*$F$1),0),0)*RATES!$L626/12+$H$9*(PARAM!$D$51/12)*RATES!$N626/100</f>
        <v>360.45833333333331</v>
      </c>
      <c r="AD650" s="16">
        <f t="shared" si="419"/>
        <v>-36796.312867896777</v>
      </c>
      <c r="AE650" s="15">
        <f t="shared" si="394"/>
        <v>22.170849845882874</v>
      </c>
      <c r="AF650" s="75">
        <f>AE650*(1-PARAM!$C$27)*$I$10+(MOD($B650,60)=PARAM!$B$56)*($B650&gt;(60-PARAM!$B$56))*HLOOKUP(($B650+PARAM!$B$56)/12,Loyalty,2)*$F$1*MAX(AH649,0)</f>
        <v>18.557001321003963</v>
      </c>
      <c r="AG650" s="75">
        <f>PARAM!$C$26+MAX($G$10-CHOOSE(PARAM!$B$44,MAX(0,AH649*$F$1),0),0)*RATES!$L626/12+$H$10*(PARAM!$D$51/12)*RATES!$N626/100</f>
        <v>360.45833333333331</v>
      </c>
      <c r="AH650" s="16">
        <f t="shared" si="420"/>
        <v>-36796.312867896777</v>
      </c>
      <c r="AI650" s="15">
        <f t="shared" si="395"/>
        <v>22.170849845882874</v>
      </c>
      <c r="AJ650" s="75">
        <f>AI650*(1-PARAM!$C$27)*$I$11+(MOD($B650,60)=PARAM!$B$56)*($B650&gt;(60-PARAM!$B$56))*HLOOKUP(($B650+PARAM!$B$56)/12,Loyalty,2)*$F$1*MAX(AL649,0)</f>
        <v>18.557001321003963</v>
      </c>
      <c r="AK650" s="75">
        <f>PARAM!$C$26+MAX($G$11-CHOOSE(PARAM!$B$44,MAX(0,AL649*$F$1),0),0)*RATES!$L626/12+$H$11*(PARAM!$D$51/12)*RATES!$N626/100</f>
        <v>360.45833333333331</v>
      </c>
      <c r="AL650" s="16">
        <f t="shared" si="421"/>
        <v>-36796.312867896777</v>
      </c>
      <c r="AM650" s="15">
        <f t="shared" si="396"/>
        <v>22.170849845882874</v>
      </c>
      <c r="AN650" s="75">
        <f>AM650*(1-PARAM!$C$27)*$I$12+(MOD($B650,60)=PARAM!$B$56)*($B650&gt;(60-PARAM!$B$56))*HLOOKUP(($B650+PARAM!$B$56)/12,Loyalty,2)*$F$1*MAX(AP649,0)</f>
        <v>18.557001321003963</v>
      </c>
      <c r="AO650" s="75">
        <f>PARAM!$C$26+MAX($G$12-CHOOSE(PARAM!$B$44,MAX(0,AP649*$F$1),0),0)*RATES!$L626/12+$H$12*(PARAM!$D$51/12)*RATES!$N626/100</f>
        <v>360.45833333333331</v>
      </c>
      <c r="AP650" s="16">
        <f t="shared" si="422"/>
        <v>-36796.312867896777</v>
      </c>
      <c r="AQ650" s="15">
        <f t="shared" si="397"/>
        <v>22.170849845882874</v>
      </c>
      <c r="AR650" s="75">
        <f>AQ650*(1-PARAM!$C$27)*$I$13+(MOD($B650,60)=PARAM!$B$56)*($B650&gt;(60-PARAM!$B$56))*HLOOKUP(($B650+PARAM!$B$56)/12,Loyalty,2)*$F$1*MAX(AT649,0)</f>
        <v>18.557001321003963</v>
      </c>
      <c r="AS650" s="75">
        <f>PARAM!$C$26+MAX($G$13-CHOOSE(PARAM!$B$44,MAX(0,AT649*$F$1),0),0)*RATES!$L626/12+$H$13*(PARAM!$D$51/12)*RATES!$N626/100</f>
        <v>360.45833333333331</v>
      </c>
      <c r="AT650" s="16">
        <f t="shared" si="423"/>
        <v>-36796.312867896777</v>
      </c>
      <c r="AU650" s="15">
        <f t="shared" si="398"/>
        <v>22.170849845882874</v>
      </c>
      <c r="AV650" s="75">
        <f>AU650*(1-PARAM!$C$27)*$I$14+(MOD($B650,60)=PARAM!$B$56)*($B650&gt;(60-PARAM!$B$56))*HLOOKUP(($B650+PARAM!$B$56)/12,Loyalty,2)*$F$1*MAX(AX649,0)</f>
        <v>18.557001321003963</v>
      </c>
      <c r="AW650" s="75">
        <f>PARAM!$C$26+MAX($G$14-CHOOSE(PARAM!$B$44,MAX(0,AX649*$F$1),0),0)*RATES!$L626/12+$H$14*(PARAM!$D$51/12)*RATES!$N626/100</f>
        <v>360.45833333333331</v>
      </c>
      <c r="AX650" s="16">
        <f t="shared" si="424"/>
        <v>-36796.312867896777</v>
      </c>
      <c r="AY650" s="15">
        <f t="shared" si="399"/>
        <v>22.170849845882874</v>
      </c>
      <c r="AZ650" s="75">
        <f>AY650*(1-PARAM!$C$27)*$I$15+(MOD($B650,60)=PARAM!$B$56)*($B650&gt;(60-PARAM!$B$56))*HLOOKUP(($B650+PARAM!$B$56)/12,Loyalty,2)*$F$1*MAX(BB649,0)</f>
        <v>18.557001321003963</v>
      </c>
      <c r="BA650" s="75">
        <f>PARAM!$C$26+MAX($G$15-CHOOSE(PARAM!$B$44,MAX(0,BB649*$F$1),0),0)*RATES!$L626/12+$H$15*(PARAM!$D$51/12)*RATES!$N626/100</f>
        <v>360.45833333333331</v>
      </c>
      <c r="BB650" s="16">
        <f t="shared" si="425"/>
        <v>-36796.312867896777</v>
      </c>
      <c r="BC650" s="15">
        <f t="shared" si="400"/>
        <v>22.170849845882874</v>
      </c>
      <c r="BD650" s="75">
        <f>BC650*(1-PARAM!$C$27)*$I$16+(MOD($B650,60)=PARAM!$B$56)*($B650&gt;(60-PARAM!$B$56))*HLOOKUP(($B650+PARAM!$B$56)/12,Loyalty,2)*$F$1*MAX(BF649,0)</f>
        <v>18.557001321003963</v>
      </c>
      <c r="BE650" s="75">
        <f>PARAM!$C$26+MAX($G$16-CHOOSE(PARAM!$B$44,MAX(0,BF649*$F$1),0),0)*RATES!$L626/12+$H$16*(PARAM!$D$51/12)*RATES!$N626/100</f>
        <v>360.45833333333331</v>
      </c>
      <c r="BF650" s="16">
        <f t="shared" si="426"/>
        <v>-36796.312867896777</v>
      </c>
      <c r="BG650" s="15">
        <f t="shared" si="401"/>
        <v>22.170849845882874</v>
      </c>
      <c r="BH650" s="75">
        <f>BG650*(1-PARAM!$C$27)*$I$17+(MOD($B650,60)=PARAM!$B$56)*($B650&gt;(60-PARAM!$B$56))*HLOOKUP(($B650+PARAM!$B$56)/12,Loyalty,2)*$F$1*MAX(BJ649,0)</f>
        <v>18.557001321003963</v>
      </c>
      <c r="BI650" s="75">
        <f>PARAM!$C$26+MAX($G$17-CHOOSE(PARAM!$B$44,MAX(0,BJ649*$F$1),0),0)*RATES!$L626/12+$H$17*(PARAM!$D$51/12)*RATES!$N626/100</f>
        <v>360.45833333333331</v>
      </c>
      <c r="BJ650" s="16">
        <f t="shared" si="427"/>
        <v>-36796.312867896777</v>
      </c>
      <c r="BK650" s="15">
        <f t="shared" si="402"/>
        <v>22.170849845882874</v>
      </c>
      <c r="BL650" s="75">
        <f>BK650*(1-PARAM!$C$27)*$I$18+(MOD($B650,60)=PARAM!$B$56)*($B650&gt;(60-PARAM!$B$56))*HLOOKUP(($B650+PARAM!$B$56)/12,Loyalty,2)*$F$1*MAX(BN649,0)</f>
        <v>18.557001321003963</v>
      </c>
      <c r="BM650" s="75">
        <f>PARAM!$C$26+MAX($G$18-CHOOSE(PARAM!$B$44,MAX(0,BN649*$F$1),0),0)*RATES!$L626/12+$H$18*(PARAM!$D$51/12)*RATES!$N626/100</f>
        <v>360.45833333333331</v>
      </c>
      <c r="BN650" s="16">
        <f t="shared" si="428"/>
        <v>-36796.312867896777</v>
      </c>
      <c r="BO650" s="15">
        <f t="shared" si="403"/>
        <v>22.170849845882874</v>
      </c>
      <c r="BP650" s="75">
        <f>BO650*(1-PARAM!$C$27)*$I$19+(MOD($B650,60)=PARAM!$B$56)*($B650&gt;(60-PARAM!$B$56))*HLOOKUP(($B650+PARAM!$B$56)/12,Loyalty,2)*$F$1*MAX(BR649,0)</f>
        <v>18.557001321003963</v>
      </c>
      <c r="BQ650" s="75">
        <f>PARAM!$C$26+MAX($G$19-CHOOSE(PARAM!$B$44,MAX(0,BR649*$F$1),0),0)*RATES!$L626/12+$H$19*(PARAM!$D$51/12)*RATES!$N626/100</f>
        <v>360.45833333333331</v>
      </c>
      <c r="BR650" s="16">
        <f t="shared" si="429"/>
        <v>-36796.312867896777</v>
      </c>
      <c r="BS650" s="15">
        <f t="shared" si="404"/>
        <v>22.170849845882874</v>
      </c>
      <c r="BT650" s="75">
        <f>BS650*(1-PARAM!$C$27)*$I$20+(MOD($B650,60)=PARAM!$B$56)*($B650&gt;(60-PARAM!$B$56))*HLOOKUP(($B650+PARAM!$B$56)/12,Loyalty,2)*$F$1*MAX(BV649,0)</f>
        <v>18.557001321003963</v>
      </c>
      <c r="BU650" s="75">
        <f>PARAM!$C$26+MAX($G$20-CHOOSE(PARAM!$B$44,MAX(0,BV649*$F$1),0),0)*RATES!$L626/12+$H$20*(PARAM!$D$51/12)*RATES!$N626/100</f>
        <v>360.45833333333331</v>
      </c>
      <c r="BV650" s="16">
        <f t="shared" si="430"/>
        <v>-36796.312867896777</v>
      </c>
      <c r="BW650" s="15">
        <f t="shared" si="405"/>
        <v>22.170849845882874</v>
      </c>
      <c r="BX650" s="75">
        <f>BW650*(1-PARAM!$C$27)*$I$21+(MOD($B650,60)=PARAM!$B$56)*($B650&gt;(60-PARAM!$B$56))*HLOOKUP(($B650+PARAM!$B$56)/12,Loyalty,2)*$F$1*MAX(BZ649,0)</f>
        <v>18.557001321003963</v>
      </c>
      <c r="BY650" s="75">
        <f>PARAM!$C$26+MAX($G$21-CHOOSE(PARAM!$B$44,MAX(0,BZ649*$F$1),0),0)*RATES!$L626/12+$H$21*(PARAM!$D$51/12)*RATES!$N626/100</f>
        <v>360.45833333333331</v>
      </c>
      <c r="BZ650" s="16">
        <f t="shared" si="431"/>
        <v>-36796.312867896777</v>
      </c>
      <c r="CA650" s="15">
        <f t="shared" si="406"/>
        <v>22.170849845882874</v>
      </c>
      <c r="CB650" s="75">
        <f>CA650*(1-PARAM!$C$27)*$I$22+(MOD($B650,60)=PARAM!$B$56)*($B650&gt;(60-PARAM!$B$56))*HLOOKUP(($B650+PARAM!$B$56)/12,Loyalty,2)*$F$1*MAX(CD649,0)</f>
        <v>18.557001321003963</v>
      </c>
      <c r="CC650" s="75">
        <f>PARAM!$C$26+MAX($G$22-CHOOSE(PARAM!$B$44,MAX(0,CD649*$F$1),0),0)*RATES!$L626/12+$H$22*(PARAM!$D$51/12)*RATES!$N626/100</f>
        <v>360.45833333333331</v>
      </c>
      <c r="CD650" s="16">
        <f t="shared" si="432"/>
        <v>-36796.312867896777</v>
      </c>
      <c r="CE650" s="33">
        <f>IF(0=MOD(B650,12/PARAM!$D$51),1,0)</f>
        <v>1</v>
      </c>
      <c r="CF650" s="15">
        <f t="shared" si="407"/>
        <v>0</v>
      </c>
      <c r="CG650" s="75">
        <f>CF650*(1-PARAM!$C$27)*$R$3+(MOD($B650/12,5)=0)*($B650&gt;60)*HLOOKUP($B650/12,Loyalty,2)*$F$1*MAX(CI649,0)</f>
        <v>0</v>
      </c>
      <c r="CH650" s="75">
        <f>PARAM!$C$26+MAX($P$3-CHOOSE(PARAM!$B$44,MAX(0,CI649*$F$1),0),0)*RATES!$L626/12+$Q$3*(PARAM!$D$51/12)*RATES!$N626/100</f>
        <v>360.45833333333331</v>
      </c>
      <c r="CI650" s="16">
        <f>IF(CI649&gt;0,CI649*PARAM!$C$53,CI649)+CG650-CH650</f>
        <v>-48237.750000000015</v>
      </c>
      <c r="CJ650" s="15">
        <f t="shared" si="433"/>
        <v>0</v>
      </c>
      <c r="CK650" s="75">
        <f>CJ650*(1-PARAM!$C$27)*$R$4+(MOD($B650/12,5)=0)*($B650&gt;60)*HLOOKUP($B650/12,Loyalty,2)*$F$1*MAX(CM649,0)</f>
        <v>0</v>
      </c>
      <c r="CL650" s="75">
        <f>PARAM!$C$26+MAX($P$4-CHOOSE(PARAM!$B$44,MAX(0,CM649*$F$1),0),0)*RATES!$L626/12+$Q$4*(PARAM!$D$51/12)*RATES!$N626/100</f>
        <v>360.45833333333331</v>
      </c>
      <c r="CM650" s="16">
        <f>IF(CM649&gt;0,CM649*PARAM!$C$53,CM649)+CK650-CL650</f>
        <v>-48237.750000000015</v>
      </c>
      <c r="CO650" s="176"/>
    </row>
    <row r="651" spans="1:93" x14ac:dyDescent="0.2">
      <c r="A651" t="b">
        <f t="shared" si="408"/>
        <v>0</v>
      </c>
      <c r="B651" s="33">
        <v>624</v>
      </c>
      <c r="C651" s="15">
        <f t="shared" si="409"/>
        <v>20.081305947392778</v>
      </c>
      <c r="D651" s="75">
        <f>C651*(1-PARAM!$C$27)*$I$3+(MOD($B651,60)=PARAM!$B$56)*($B651&gt;(60-PARAM!$B$56))*HLOOKUP(($B651+PARAM!$B$56)/12,Loyalty,2)*$F$1*MAX(F650,0)</f>
        <v>16.808053077967756</v>
      </c>
      <c r="E651" s="75">
        <f>PARAM!$C$26+MAX($G$3-CHOOSE(PARAM!$B$44,MAX(0,F650*$F$1),0),0)*RATES!$L627/12+$H$3*(PARAM!$D$51/12)*RATES!$N627/100</f>
        <v>360.45833333333331</v>
      </c>
      <c r="F651" s="16">
        <f t="shared" si="410"/>
        <v>-38266.408404085319</v>
      </c>
      <c r="G651" s="15">
        <f t="shared" si="411"/>
        <v>22.035289406060361</v>
      </c>
      <c r="H651" s="75">
        <f>G651*(1-PARAM!$C$27)*$I$4+(MOD($B651,60)=PARAM!$B$56)*($B651&gt;(60-PARAM!$B$56))*HLOOKUP(($B651+PARAM!$B$56)/12,Loyalty,2)*$F$1*MAX(J650,0)</f>
        <v>18.443537232872522</v>
      </c>
      <c r="I651" s="75">
        <f>PARAM!$C$26+MAX($G$4-CHOOSE(PARAM!$B$44,MAX(0,J650*$F$1),0),0)*RATES!$L627/12+$H$4*(PARAM!$D$51/12)*RATES!$N627/100</f>
        <v>360.45833333333331</v>
      </c>
      <c r="J651" s="16">
        <f t="shared" si="412"/>
        <v>-37212.033327302917</v>
      </c>
      <c r="K651" s="15">
        <f t="shared" si="413"/>
        <v>22.170849845882874</v>
      </c>
      <c r="L651" s="75">
        <f>K651*(1-PARAM!$C$27)*$I$5+(MOD($B651,60)=PARAM!$B$56)*($B651&gt;(60-PARAM!$B$56))*HLOOKUP(($B651+PARAM!$B$56)/12,Loyalty,2)*$F$1*MAX(N650,0)</f>
        <v>18.557001321003963</v>
      </c>
      <c r="M651" s="75">
        <f>PARAM!$C$26+MAX($G$5-CHOOSE(PARAM!$B$44,MAX(0,N650*$F$1),0),0)*RATES!$L627/12+$H$5*(PARAM!$D$51/12)*RATES!$N627/100</f>
        <v>360.45833333333331</v>
      </c>
      <c r="N651" s="16">
        <f t="shared" si="414"/>
        <v>-37138.214199909111</v>
      </c>
      <c r="O651" s="15">
        <f t="shared" si="415"/>
        <v>22.170849845882874</v>
      </c>
      <c r="P651" s="75">
        <f>O651*(1-PARAM!$C$27)*$I$6+(MOD($B651,60)=PARAM!$B$56)*($B651&gt;(60-PARAM!$B$56))*HLOOKUP(($B651+PARAM!$B$56)/12,Loyalty,2)*$F$1*MAX(R650,0)</f>
        <v>18.557001321003963</v>
      </c>
      <c r="Q651" s="75">
        <f>PARAM!$C$26+MAX($G$6-CHOOSE(PARAM!$B$44,MAX(0,R650*$F$1),0),0)*RATES!$L627/12+$H$6*(PARAM!$D$51/12)*RATES!$N627/100</f>
        <v>360.45833333333331</v>
      </c>
      <c r="R651" s="16">
        <f t="shared" si="416"/>
        <v>-37138.214199909111</v>
      </c>
      <c r="S651" s="15">
        <f t="shared" si="391"/>
        <v>22.170849845882874</v>
      </c>
      <c r="T651" s="75">
        <f>S651*(1-PARAM!$C$27)*$I$7+(MOD($B651,60)=PARAM!$B$56)*($B651&gt;(60-PARAM!$B$56))*HLOOKUP(($B651+PARAM!$B$56)/12,Loyalty,2)*$F$1*MAX(V650,0)</f>
        <v>18.557001321003963</v>
      </c>
      <c r="U651" s="75">
        <f>PARAM!$C$26+MAX($G$7-CHOOSE(PARAM!$B$44,MAX(0,V650*$F$1),0),0)*RATES!$L627/12+$H$7*(PARAM!$D$51/12)*RATES!$N627/100</f>
        <v>360.45833333333331</v>
      </c>
      <c r="V651" s="16">
        <f t="shared" si="417"/>
        <v>-37138.214199909111</v>
      </c>
      <c r="W651" s="15">
        <f t="shared" si="392"/>
        <v>22.170849845882874</v>
      </c>
      <c r="X651" s="75">
        <f>W651*(1-PARAM!$C$27)*$I$8+(MOD($B651,60)=PARAM!$B$56)*($B651&gt;(60-PARAM!$B$56))*HLOOKUP(($B651+PARAM!$B$56)/12,Loyalty,2)*$F$1*MAX(Z650,0)</f>
        <v>18.557001321003963</v>
      </c>
      <c r="Y651" s="75">
        <f>PARAM!$C$26+MAX($G$8-CHOOSE(PARAM!$B$44,MAX(0,Z650*$F$1),0),0)*RATES!$L627/12+$H$8*(PARAM!$D$51/12)*RATES!$N627/100</f>
        <v>360.45833333333331</v>
      </c>
      <c r="Z651" s="16">
        <f t="shared" si="418"/>
        <v>-37138.214199909111</v>
      </c>
      <c r="AA651" s="15">
        <f t="shared" si="393"/>
        <v>22.170849845882874</v>
      </c>
      <c r="AB651" s="75">
        <f>AA651*(1-PARAM!$C$27)*$I$9+(MOD($B651,60)=PARAM!$B$56)*($B651&gt;(60-PARAM!$B$56))*HLOOKUP(($B651+PARAM!$B$56)/12,Loyalty,2)*$F$1*MAX(AD650,0)</f>
        <v>18.557001321003963</v>
      </c>
      <c r="AC651" s="75">
        <f>PARAM!$C$26+MAX($G$9-CHOOSE(PARAM!$B$44,MAX(0,AD650*$F$1),0),0)*RATES!$L627/12+$H$9*(PARAM!$D$51/12)*RATES!$N627/100</f>
        <v>360.45833333333331</v>
      </c>
      <c r="AD651" s="16">
        <f t="shared" si="419"/>
        <v>-37138.214199909111</v>
      </c>
      <c r="AE651" s="15">
        <f t="shared" si="394"/>
        <v>22.170849845882874</v>
      </c>
      <c r="AF651" s="75">
        <f>AE651*(1-PARAM!$C$27)*$I$10+(MOD($B651,60)=PARAM!$B$56)*($B651&gt;(60-PARAM!$B$56))*HLOOKUP(($B651+PARAM!$B$56)/12,Loyalty,2)*$F$1*MAX(AH650,0)</f>
        <v>18.557001321003963</v>
      </c>
      <c r="AG651" s="75">
        <f>PARAM!$C$26+MAX($G$10-CHOOSE(PARAM!$B$44,MAX(0,AH650*$F$1),0),0)*RATES!$L627/12+$H$10*(PARAM!$D$51/12)*RATES!$N627/100</f>
        <v>360.45833333333331</v>
      </c>
      <c r="AH651" s="16">
        <f t="shared" si="420"/>
        <v>-37138.214199909111</v>
      </c>
      <c r="AI651" s="15">
        <f t="shared" si="395"/>
        <v>22.170849845882874</v>
      </c>
      <c r="AJ651" s="75">
        <f>AI651*(1-PARAM!$C$27)*$I$11+(MOD($B651,60)=PARAM!$B$56)*($B651&gt;(60-PARAM!$B$56))*HLOOKUP(($B651+PARAM!$B$56)/12,Loyalty,2)*$F$1*MAX(AL650,0)</f>
        <v>18.557001321003963</v>
      </c>
      <c r="AK651" s="75">
        <f>PARAM!$C$26+MAX($G$11-CHOOSE(PARAM!$B$44,MAX(0,AL650*$F$1),0),0)*RATES!$L627/12+$H$11*(PARAM!$D$51/12)*RATES!$N627/100</f>
        <v>360.45833333333331</v>
      </c>
      <c r="AL651" s="16">
        <f t="shared" si="421"/>
        <v>-37138.214199909111</v>
      </c>
      <c r="AM651" s="15">
        <f t="shared" si="396"/>
        <v>22.170849845882874</v>
      </c>
      <c r="AN651" s="75">
        <f>AM651*(1-PARAM!$C$27)*$I$12+(MOD($B651,60)=PARAM!$B$56)*($B651&gt;(60-PARAM!$B$56))*HLOOKUP(($B651+PARAM!$B$56)/12,Loyalty,2)*$F$1*MAX(AP650,0)</f>
        <v>18.557001321003963</v>
      </c>
      <c r="AO651" s="75">
        <f>PARAM!$C$26+MAX($G$12-CHOOSE(PARAM!$B$44,MAX(0,AP650*$F$1),0),0)*RATES!$L627/12+$H$12*(PARAM!$D$51/12)*RATES!$N627/100</f>
        <v>360.45833333333331</v>
      </c>
      <c r="AP651" s="16">
        <f t="shared" si="422"/>
        <v>-37138.214199909111</v>
      </c>
      <c r="AQ651" s="15">
        <f t="shared" si="397"/>
        <v>22.170849845882874</v>
      </c>
      <c r="AR651" s="75">
        <f>AQ651*(1-PARAM!$C$27)*$I$13+(MOD($B651,60)=PARAM!$B$56)*($B651&gt;(60-PARAM!$B$56))*HLOOKUP(($B651+PARAM!$B$56)/12,Loyalty,2)*$F$1*MAX(AT650,0)</f>
        <v>18.557001321003963</v>
      </c>
      <c r="AS651" s="75">
        <f>PARAM!$C$26+MAX($G$13-CHOOSE(PARAM!$B$44,MAX(0,AT650*$F$1),0),0)*RATES!$L627/12+$H$13*(PARAM!$D$51/12)*RATES!$N627/100</f>
        <v>360.45833333333331</v>
      </c>
      <c r="AT651" s="16">
        <f t="shared" si="423"/>
        <v>-37138.214199909111</v>
      </c>
      <c r="AU651" s="15">
        <f t="shared" si="398"/>
        <v>22.170849845882874</v>
      </c>
      <c r="AV651" s="75">
        <f>AU651*(1-PARAM!$C$27)*$I$14+(MOD($B651,60)=PARAM!$B$56)*($B651&gt;(60-PARAM!$B$56))*HLOOKUP(($B651+PARAM!$B$56)/12,Loyalty,2)*$F$1*MAX(AX650,0)</f>
        <v>18.557001321003963</v>
      </c>
      <c r="AW651" s="75">
        <f>PARAM!$C$26+MAX($G$14-CHOOSE(PARAM!$B$44,MAX(0,AX650*$F$1),0),0)*RATES!$L627/12+$H$14*(PARAM!$D$51/12)*RATES!$N627/100</f>
        <v>360.45833333333331</v>
      </c>
      <c r="AX651" s="16">
        <f t="shared" si="424"/>
        <v>-37138.214199909111</v>
      </c>
      <c r="AY651" s="15">
        <f t="shared" si="399"/>
        <v>22.170849845882874</v>
      </c>
      <c r="AZ651" s="75">
        <f>AY651*(1-PARAM!$C$27)*$I$15+(MOD($B651,60)=PARAM!$B$56)*($B651&gt;(60-PARAM!$B$56))*HLOOKUP(($B651+PARAM!$B$56)/12,Loyalty,2)*$F$1*MAX(BB650,0)</f>
        <v>18.557001321003963</v>
      </c>
      <c r="BA651" s="75">
        <f>PARAM!$C$26+MAX($G$15-CHOOSE(PARAM!$B$44,MAX(0,BB650*$F$1),0),0)*RATES!$L627/12+$H$15*(PARAM!$D$51/12)*RATES!$N627/100</f>
        <v>360.45833333333331</v>
      </c>
      <c r="BB651" s="16">
        <f t="shared" si="425"/>
        <v>-37138.214199909111</v>
      </c>
      <c r="BC651" s="15">
        <f t="shared" si="400"/>
        <v>22.170849845882874</v>
      </c>
      <c r="BD651" s="75">
        <f>BC651*(1-PARAM!$C$27)*$I$16+(MOD($B651,60)=PARAM!$B$56)*($B651&gt;(60-PARAM!$B$56))*HLOOKUP(($B651+PARAM!$B$56)/12,Loyalty,2)*$F$1*MAX(BF650,0)</f>
        <v>18.557001321003963</v>
      </c>
      <c r="BE651" s="75">
        <f>PARAM!$C$26+MAX($G$16-CHOOSE(PARAM!$B$44,MAX(0,BF650*$F$1),0),0)*RATES!$L627/12+$H$16*(PARAM!$D$51/12)*RATES!$N627/100</f>
        <v>360.45833333333331</v>
      </c>
      <c r="BF651" s="16">
        <f t="shared" si="426"/>
        <v>-37138.214199909111</v>
      </c>
      <c r="BG651" s="15">
        <f t="shared" si="401"/>
        <v>22.170849845882874</v>
      </c>
      <c r="BH651" s="75">
        <f>BG651*(1-PARAM!$C$27)*$I$17+(MOD($B651,60)=PARAM!$B$56)*($B651&gt;(60-PARAM!$B$56))*HLOOKUP(($B651+PARAM!$B$56)/12,Loyalty,2)*$F$1*MAX(BJ650,0)</f>
        <v>18.557001321003963</v>
      </c>
      <c r="BI651" s="75">
        <f>PARAM!$C$26+MAX($G$17-CHOOSE(PARAM!$B$44,MAX(0,BJ650*$F$1),0),0)*RATES!$L627/12+$H$17*(PARAM!$D$51/12)*RATES!$N627/100</f>
        <v>360.45833333333331</v>
      </c>
      <c r="BJ651" s="16">
        <f t="shared" si="427"/>
        <v>-37138.214199909111</v>
      </c>
      <c r="BK651" s="15">
        <f t="shared" si="402"/>
        <v>22.170849845882874</v>
      </c>
      <c r="BL651" s="75">
        <f>BK651*(1-PARAM!$C$27)*$I$18+(MOD($B651,60)=PARAM!$B$56)*($B651&gt;(60-PARAM!$B$56))*HLOOKUP(($B651+PARAM!$B$56)/12,Loyalty,2)*$F$1*MAX(BN650,0)</f>
        <v>18.557001321003963</v>
      </c>
      <c r="BM651" s="75">
        <f>PARAM!$C$26+MAX($G$18-CHOOSE(PARAM!$B$44,MAX(0,BN650*$F$1),0),0)*RATES!$L627/12+$H$18*(PARAM!$D$51/12)*RATES!$N627/100</f>
        <v>360.45833333333331</v>
      </c>
      <c r="BN651" s="16">
        <f t="shared" si="428"/>
        <v>-37138.214199909111</v>
      </c>
      <c r="BO651" s="15">
        <f t="shared" si="403"/>
        <v>22.170849845882874</v>
      </c>
      <c r="BP651" s="75">
        <f>BO651*(1-PARAM!$C$27)*$I$19+(MOD($B651,60)=PARAM!$B$56)*($B651&gt;(60-PARAM!$B$56))*HLOOKUP(($B651+PARAM!$B$56)/12,Loyalty,2)*$F$1*MAX(BR650,0)</f>
        <v>18.557001321003963</v>
      </c>
      <c r="BQ651" s="75">
        <f>PARAM!$C$26+MAX($G$19-CHOOSE(PARAM!$B$44,MAX(0,BR650*$F$1),0),0)*RATES!$L627/12+$H$19*(PARAM!$D$51/12)*RATES!$N627/100</f>
        <v>360.45833333333331</v>
      </c>
      <c r="BR651" s="16">
        <f t="shared" si="429"/>
        <v>-37138.214199909111</v>
      </c>
      <c r="BS651" s="15">
        <f t="shared" si="404"/>
        <v>22.170849845882874</v>
      </c>
      <c r="BT651" s="75">
        <f>BS651*(1-PARAM!$C$27)*$I$20+(MOD($B651,60)=PARAM!$B$56)*($B651&gt;(60-PARAM!$B$56))*HLOOKUP(($B651+PARAM!$B$56)/12,Loyalty,2)*$F$1*MAX(BV650,0)</f>
        <v>18.557001321003963</v>
      </c>
      <c r="BU651" s="75">
        <f>PARAM!$C$26+MAX($G$20-CHOOSE(PARAM!$B$44,MAX(0,BV650*$F$1),0),0)*RATES!$L627/12+$H$20*(PARAM!$D$51/12)*RATES!$N627/100</f>
        <v>360.45833333333331</v>
      </c>
      <c r="BV651" s="16">
        <f t="shared" si="430"/>
        <v>-37138.214199909111</v>
      </c>
      <c r="BW651" s="15">
        <f t="shared" si="405"/>
        <v>22.170849845882874</v>
      </c>
      <c r="BX651" s="75">
        <f>BW651*(1-PARAM!$C$27)*$I$21+(MOD($B651,60)=PARAM!$B$56)*($B651&gt;(60-PARAM!$B$56))*HLOOKUP(($B651+PARAM!$B$56)/12,Loyalty,2)*$F$1*MAX(BZ650,0)</f>
        <v>18.557001321003963</v>
      </c>
      <c r="BY651" s="75">
        <f>PARAM!$C$26+MAX($G$21-CHOOSE(PARAM!$B$44,MAX(0,BZ650*$F$1),0),0)*RATES!$L627/12+$H$21*(PARAM!$D$51/12)*RATES!$N627/100</f>
        <v>360.45833333333331</v>
      </c>
      <c r="BZ651" s="16">
        <f t="shared" si="431"/>
        <v>-37138.214199909111</v>
      </c>
      <c r="CA651" s="15">
        <f t="shared" si="406"/>
        <v>22.170849845882874</v>
      </c>
      <c r="CB651" s="75">
        <f>CA651*(1-PARAM!$C$27)*$I$22+(MOD($B651,60)=PARAM!$B$56)*($B651&gt;(60-PARAM!$B$56))*HLOOKUP(($B651+PARAM!$B$56)/12,Loyalty,2)*$F$1*MAX(CD650,0)</f>
        <v>18.557001321003963</v>
      </c>
      <c r="CC651" s="75">
        <f>PARAM!$C$26+MAX($G$22-CHOOSE(PARAM!$B$44,MAX(0,CD650*$F$1),0),0)*RATES!$L627/12+$H$22*(PARAM!$D$51/12)*RATES!$N627/100</f>
        <v>360.45833333333331</v>
      </c>
      <c r="CD651" s="16">
        <f t="shared" si="432"/>
        <v>-37138.214199909111</v>
      </c>
      <c r="CE651" s="33">
        <f>IF(0=MOD(B651,12/PARAM!$D$51),1,0)</f>
        <v>1</v>
      </c>
      <c r="CF651" s="15">
        <f t="shared" si="407"/>
        <v>0</v>
      </c>
      <c r="CG651" s="75">
        <f>CF651*(1-PARAM!$C$27)*$R$3+(MOD($B651/12,5)=0)*($B651&gt;60)*HLOOKUP($B651/12,Loyalty,2)*$F$1*MAX(CI650,0)</f>
        <v>0</v>
      </c>
      <c r="CH651" s="75">
        <f>PARAM!$C$26+MAX($P$3-CHOOSE(PARAM!$B$44,MAX(0,CI650*$F$1),0),0)*RATES!$L627/12+$Q$3*(PARAM!$D$51/12)*RATES!$N627/100</f>
        <v>360.45833333333331</v>
      </c>
      <c r="CI651" s="16">
        <f>IF(CI650&gt;0,CI650*PARAM!$C$53,CI650)+CG651-CH651</f>
        <v>-48598.20833333335</v>
      </c>
      <c r="CJ651" s="15">
        <f t="shared" si="433"/>
        <v>0</v>
      </c>
      <c r="CK651" s="75">
        <f>CJ651*(1-PARAM!$C$27)*$R$4+(MOD($B651/12,5)=0)*($B651&gt;60)*HLOOKUP($B651/12,Loyalty,2)*$F$1*MAX(CM650,0)</f>
        <v>0</v>
      </c>
      <c r="CL651" s="75">
        <f>PARAM!$C$26+MAX($P$4-CHOOSE(PARAM!$B$44,MAX(0,CM650*$F$1),0),0)*RATES!$L627/12+$Q$4*(PARAM!$D$51/12)*RATES!$N627/100</f>
        <v>360.45833333333331</v>
      </c>
      <c r="CM651" s="16">
        <f>IF(CM650&gt;0,CM650*PARAM!$C$53,CM650)+CK651-CL651</f>
        <v>-48598.20833333335</v>
      </c>
      <c r="CO651" s="176"/>
    </row>
    <row r="652" spans="1:93" x14ac:dyDescent="0.2">
      <c r="A652" t="b">
        <f t="shared" si="408"/>
        <v>0</v>
      </c>
      <c r="B652" s="33">
        <v>625</v>
      </c>
      <c r="C652" s="15">
        <f t="shared" si="409"/>
        <v>20.081305947392778</v>
      </c>
      <c r="D652" s="75">
        <f>C652*(1-PARAM!$C$27)*$I$3+(MOD($B652,60)=PARAM!$B$56)*($B652&gt;(60-PARAM!$B$56))*HLOOKUP(($B652+PARAM!$B$56)/12,Loyalty,2)*$F$1*MAX(F651,0)</f>
        <v>16.808053077967756</v>
      </c>
      <c r="E652" s="75">
        <f>PARAM!$C$26+MAX($G$3-CHOOSE(PARAM!$B$44,MAX(0,F651*$F$1),0),0)*RATES!$L628/12+$H$3*(PARAM!$D$51/12)*RATES!$N628/100</f>
        <v>360.45833333333331</v>
      </c>
      <c r="F652" s="16">
        <f t="shared" si="410"/>
        <v>-38610.058684340685</v>
      </c>
      <c r="G652" s="15">
        <f t="shared" si="411"/>
        <v>22.035289406060361</v>
      </c>
      <c r="H652" s="75">
        <f>G652*(1-PARAM!$C$27)*$I$4+(MOD($B652,60)=PARAM!$B$56)*($B652&gt;(60-PARAM!$B$56))*HLOOKUP(($B652+PARAM!$B$56)/12,Loyalty,2)*$F$1*MAX(J651,0)</f>
        <v>18.443537232872522</v>
      </c>
      <c r="I652" s="75">
        <f>PARAM!$C$26+MAX($G$4-CHOOSE(PARAM!$B$44,MAX(0,J651*$F$1),0),0)*RATES!$L628/12+$H$4*(PARAM!$D$51/12)*RATES!$N628/100</f>
        <v>360.45833333333331</v>
      </c>
      <c r="J652" s="16">
        <f t="shared" si="412"/>
        <v>-37554.04812340338</v>
      </c>
      <c r="K652" s="15">
        <f t="shared" si="413"/>
        <v>22.170849845882874</v>
      </c>
      <c r="L652" s="75">
        <f>K652*(1-PARAM!$C$27)*$I$5+(MOD($B652,60)=PARAM!$B$56)*($B652&gt;(60-PARAM!$B$56))*HLOOKUP(($B652+PARAM!$B$56)/12,Loyalty,2)*$F$1*MAX(N651,0)</f>
        <v>18.557001321003963</v>
      </c>
      <c r="M652" s="75">
        <f>PARAM!$C$26+MAX($G$5-CHOOSE(PARAM!$B$44,MAX(0,N651*$F$1),0),0)*RATES!$L628/12+$H$5*(PARAM!$D$51/12)*RATES!$N628/100</f>
        <v>360.45833333333331</v>
      </c>
      <c r="N652" s="16">
        <f t="shared" si="414"/>
        <v>-37480.115531921445</v>
      </c>
      <c r="O652" s="15">
        <f t="shared" si="415"/>
        <v>22.170849845882874</v>
      </c>
      <c r="P652" s="75">
        <f>O652*(1-PARAM!$C$27)*$I$6+(MOD($B652,60)=PARAM!$B$56)*($B652&gt;(60-PARAM!$B$56))*HLOOKUP(($B652+PARAM!$B$56)/12,Loyalty,2)*$F$1*MAX(R651,0)</f>
        <v>18.557001321003963</v>
      </c>
      <c r="Q652" s="75">
        <f>PARAM!$C$26+MAX($G$6-CHOOSE(PARAM!$B$44,MAX(0,R651*$F$1),0),0)*RATES!$L628/12+$H$6*(PARAM!$D$51/12)*RATES!$N628/100</f>
        <v>360.45833333333331</v>
      </c>
      <c r="R652" s="16">
        <f t="shared" si="416"/>
        <v>-37480.115531921445</v>
      </c>
      <c r="S652" s="15">
        <f t="shared" si="391"/>
        <v>22.170849845882874</v>
      </c>
      <c r="T652" s="75">
        <f>S652*(1-PARAM!$C$27)*$I$7+(MOD($B652,60)=PARAM!$B$56)*($B652&gt;(60-PARAM!$B$56))*HLOOKUP(($B652+PARAM!$B$56)/12,Loyalty,2)*$F$1*MAX(V651,0)</f>
        <v>18.557001321003963</v>
      </c>
      <c r="U652" s="75">
        <f>PARAM!$C$26+MAX($G$7-CHOOSE(PARAM!$B$44,MAX(0,V651*$F$1),0),0)*RATES!$L628/12+$H$7*(PARAM!$D$51/12)*RATES!$N628/100</f>
        <v>360.45833333333331</v>
      </c>
      <c r="V652" s="16">
        <f t="shared" si="417"/>
        <v>-37480.115531921445</v>
      </c>
      <c r="W652" s="15">
        <f t="shared" si="392"/>
        <v>22.170849845882874</v>
      </c>
      <c r="X652" s="75">
        <f>W652*(1-PARAM!$C$27)*$I$8+(MOD($B652,60)=PARAM!$B$56)*($B652&gt;(60-PARAM!$B$56))*HLOOKUP(($B652+PARAM!$B$56)/12,Loyalty,2)*$F$1*MAX(Z651,0)</f>
        <v>18.557001321003963</v>
      </c>
      <c r="Y652" s="75">
        <f>PARAM!$C$26+MAX($G$8-CHOOSE(PARAM!$B$44,MAX(0,Z651*$F$1),0),0)*RATES!$L628/12+$H$8*(PARAM!$D$51/12)*RATES!$N628/100</f>
        <v>360.45833333333331</v>
      </c>
      <c r="Z652" s="16">
        <f t="shared" si="418"/>
        <v>-37480.115531921445</v>
      </c>
      <c r="AA652" s="15">
        <f t="shared" si="393"/>
        <v>22.170849845882874</v>
      </c>
      <c r="AB652" s="75">
        <f>AA652*(1-PARAM!$C$27)*$I$9+(MOD($B652,60)=PARAM!$B$56)*($B652&gt;(60-PARAM!$B$56))*HLOOKUP(($B652+PARAM!$B$56)/12,Loyalty,2)*$F$1*MAX(AD651,0)</f>
        <v>18.557001321003963</v>
      </c>
      <c r="AC652" s="75">
        <f>PARAM!$C$26+MAX($G$9-CHOOSE(PARAM!$B$44,MAX(0,AD651*$F$1),0),0)*RATES!$L628/12+$H$9*(PARAM!$D$51/12)*RATES!$N628/100</f>
        <v>360.45833333333331</v>
      </c>
      <c r="AD652" s="16">
        <f t="shared" si="419"/>
        <v>-37480.115531921445</v>
      </c>
      <c r="AE652" s="15">
        <f t="shared" si="394"/>
        <v>22.170849845882874</v>
      </c>
      <c r="AF652" s="75">
        <f>AE652*(1-PARAM!$C$27)*$I$10+(MOD($B652,60)=PARAM!$B$56)*($B652&gt;(60-PARAM!$B$56))*HLOOKUP(($B652+PARAM!$B$56)/12,Loyalty,2)*$F$1*MAX(AH651,0)</f>
        <v>18.557001321003963</v>
      </c>
      <c r="AG652" s="75">
        <f>PARAM!$C$26+MAX($G$10-CHOOSE(PARAM!$B$44,MAX(0,AH651*$F$1),0),0)*RATES!$L628/12+$H$10*(PARAM!$D$51/12)*RATES!$N628/100</f>
        <v>360.45833333333331</v>
      </c>
      <c r="AH652" s="16">
        <f t="shared" si="420"/>
        <v>-37480.115531921445</v>
      </c>
      <c r="AI652" s="15">
        <f t="shared" si="395"/>
        <v>22.170849845882874</v>
      </c>
      <c r="AJ652" s="75">
        <f>AI652*(1-PARAM!$C$27)*$I$11+(MOD($B652,60)=PARAM!$B$56)*($B652&gt;(60-PARAM!$B$56))*HLOOKUP(($B652+PARAM!$B$56)/12,Loyalty,2)*$F$1*MAX(AL651,0)</f>
        <v>18.557001321003963</v>
      </c>
      <c r="AK652" s="75">
        <f>PARAM!$C$26+MAX($G$11-CHOOSE(PARAM!$B$44,MAX(0,AL651*$F$1),0),0)*RATES!$L628/12+$H$11*(PARAM!$D$51/12)*RATES!$N628/100</f>
        <v>360.45833333333331</v>
      </c>
      <c r="AL652" s="16">
        <f t="shared" si="421"/>
        <v>-37480.115531921445</v>
      </c>
      <c r="AM652" s="15">
        <f t="shared" si="396"/>
        <v>22.170849845882874</v>
      </c>
      <c r="AN652" s="75">
        <f>AM652*(1-PARAM!$C$27)*$I$12+(MOD($B652,60)=PARAM!$B$56)*($B652&gt;(60-PARAM!$B$56))*HLOOKUP(($B652+PARAM!$B$56)/12,Loyalty,2)*$F$1*MAX(AP651,0)</f>
        <v>18.557001321003963</v>
      </c>
      <c r="AO652" s="75">
        <f>PARAM!$C$26+MAX($G$12-CHOOSE(PARAM!$B$44,MAX(0,AP651*$F$1),0),0)*RATES!$L628/12+$H$12*(PARAM!$D$51/12)*RATES!$N628/100</f>
        <v>360.45833333333331</v>
      </c>
      <c r="AP652" s="16">
        <f t="shared" si="422"/>
        <v>-37480.115531921445</v>
      </c>
      <c r="AQ652" s="15">
        <f t="shared" si="397"/>
        <v>22.170849845882874</v>
      </c>
      <c r="AR652" s="75">
        <f>AQ652*(1-PARAM!$C$27)*$I$13+(MOD($B652,60)=PARAM!$B$56)*($B652&gt;(60-PARAM!$B$56))*HLOOKUP(($B652+PARAM!$B$56)/12,Loyalty,2)*$F$1*MAX(AT651,0)</f>
        <v>18.557001321003963</v>
      </c>
      <c r="AS652" s="75">
        <f>PARAM!$C$26+MAX($G$13-CHOOSE(PARAM!$B$44,MAX(0,AT651*$F$1),0),0)*RATES!$L628/12+$H$13*(PARAM!$D$51/12)*RATES!$N628/100</f>
        <v>360.45833333333331</v>
      </c>
      <c r="AT652" s="16">
        <f t="shared" si="423"/>
        <v>-37480.115531921445</v>
      </c>
      <c r="AU652" s="15">
        <f t="shared" si="398"/>
        <v>22.170849845882874</v>
      </c>
      <c r="AV652" s="75">
        <f>AU652*(1-PARAM!$C$27)*$I$14+(MOD($B652,60)=PARAM!$B$56)*($B652&gt;(60-PARAM!$B$56))*HLOOKUP(($B652+PARAM!$B$56)/12,Loyalty,2)*$F$1*MAX(AX651,0)</f>
        <v>18.557001321003963</v>
      </c>
      <c r="AW652" s="75">
        <f>PARAM!$C$26+MAX($G$14-CHOOSE(PARAM!$B$44,MAX(0,AX651*$F$1),0),0)*RATES!$L628/12+$H$14*(PARAM!$D$51/12)*RATES!$N628/100</f>
        <v>360.45833333333331</v>
      </c>
      <c r="AX652" s="16">
        <f t="shared" si="424"/>
        <v>-37480.115531921445</v>
      </c>
      <c r="AY652" s="15">
        <f t="shared" si="399"/>
        <v>22.170849845882874</v>
      </c>
      <c r="AZ652" s="75">
        <f>AY652*(1-PARAM!$C$27)*$I$15+(MOD($B652,60)=PARAM!$B$56)*($B652&gt;(60-PARAM!$B$56))*HLOOKUP(($B652+PARAM!$B$56)/12,Loyalty,2)*$F$1*MAX(BB651,0)</f>
        <v>18.557001321003963</v>
      </c>
      <c r="BA652" s="75">
        <f>PARAM!$C$26+MAX($G$15-CHOOSE(PARAM!$B$44,MAX(0,BB651*$F$1),0),0)*RATES!$L628/12+$H$15*(PARAM!$D$51/12)*RATES!$N628/100</f>
        <v>360.45833333333331</v>
      </c>
      <c r="BB652" s="16">
        <f t="shared" si="425"/>
        <v>-37480.115531921445</v>
      </c>
      <c r="BC652" s="15">
        <f t="shared" si="400"/>
        <v>22.170849845882874</v>
      </c>
      <c r="BD652" s="75">
        <f>BC652*(1-PARAM!$C$27)*$I$16+(MOD($B652,60)=PARAM!$B$56)*($B652&gt;(60-PARAM!$B$56))*HLOOKUP(($B652+PARAM!$B$56)/12,Loyalty,2)*$F$1*MAX(BF651,0)</f>
        <v>18.557001321003963</v>
      </c>
      <c r="BE652" s="75">
        <f>PARAM!$C$26+MAX($G$16-CHOOSE(PARAM!$B$44,MAX(0,BF651*$F$1),0),0)*RATES!$L628/12+$H$16*(PARAM!$D$51/12)*RATES!$N628/100</f>
        <v>360.45833333333331</v>
      </c>
      <c r="BF652" s="16">
        <f t="shared" si="426"/>
        <v>-37480.115531921445</v>
      </c>
      <c r="BG652" s="15">
        <f t="shared" si="401"/>
        <v>22.170849845882874</v>
      </c>
      <c r="BH652" s="75">
        <f>BG652*(1-PARAM!$C$27)*$I$17+(MOD($B652,60)=PARAM!$B$56)*($B652&gt;(60-PARAM!$B$56))*HLOOKUP(($B652+PARAM!$B$56)/12,Loyalty,2)*$F$1*MAX(BJ651,0)</f>
        <v>18.557001321003963</v>
      </c>
      <c r="BI652" s="75">
        <f>PARAM!$C$26+MAX($G$17-CHOOSE(PARAM!$B$44,MAX(0,BJ651*$F$1),0),0)*RATES!$L628/12+$H$17*(PARAM!$D$51/12)*RATES!$N628/100</f>
        <v>360.45833333333331</v>
      </c>
      <c r="BJ652" s="16">
        <f t="shared" si="427"/>
        <v>-37480.115531921445</v>
      </c>
      <c r="BK652" s="15">
        <f t="shared" si="402"/>
        <v>22.170849845882874</v>
      </c>
      <c r="BL652" s="75">
        <f>BK652*(1-PARAM!$C$27)*$I$18+(MOD($B652,60)=PARAM!$B$56)*($B652&gt;(60-PARAM!$B$56))*HLOOKUP(($B652+PARAM!$B$56)/12,Loyalty,2)*$F$1*MAX(BN651,0)</f>
        <v>18.557001321003963</v>
      </c>
      <c r="BM652" s="75">
        <f>PARAM!$C$26+MAX($G$18-CHOOSE(PARAM!$B$44,MAX(0,BN651*$F$1),0),0)*RATES!$L628/12+$H$18*(PARAM!$D$51/12)*RATES!$N628/100</f>
        <v>360.45833333333331</v>
      </c>
      <c r="BN652" s="16">
        <f t="shared" si="428"/>
        <v>-37480.115531921445</v>
      </c>
      <c r="BO652" s="15">
        <f t="shared" si="403"/>
        <v>22.170849845882874</v>
      </c>
      <c r="BP652" s="75">
        <f>BO652*(1-PARAM!$C$27)*$I$19+(MOD($B652,60)=PARAM!$B$56)*($B652&gt;(60-PARAM!$B$56))*HLOOKUP(($B652+PARAM!$B$56)/12,Loyalty,2)*$F$1*MAX(BR651,0)</f>
        <v>18.557001321003963</v>
      </c>
      <c r="BQ652" s="75">
        <f>PARAM!$C$26+MAX($G$19-CHOOSE(PARAM!$B$44,MAX(0,BR651*$F$1),0),0)*RATES!$L628/12+$H$19*(PARAM!$D$51/12)*RATES!$N628/100</f>
        <v>360.45833333333331</v>
      </c>
      <c r="BR652" s="16">
        <f t="shared" si="429"/>
        <v>-37480.115531921445</v>
      </c>
      <c r="BS652" s="15">
        <f t="shared" si="404"/>
        <v>22.170849845882874</v>
      </c>
      <c r="BT652" s="75">
        <f>BS652*(1-PARAM!$C$27)*$I$20+(MOD($B652,60)=PARAM!$B$56)*($B652&gt;(60-PARAM!$B$56))*HLOOKUP(($B652+PARAM!$B$56)/12,Loyalty,2)*$F$1*MAX(BV651,0)</f>
        <v>18.557001321003963</v>
      </c>
      <c r="BU652" s="75">
        <f>PARAM!$C$26+MAX($G$20-CHOOSE(PARAM!$B$44,MAX(0,BV651*$F$1),0),0)*RATES!$L628/12+$H$20*(PARAM!$D$51/12)*RATES!$N628/100</f>
        <v>360.45833333333331</v>
      </c>
      <c r="BV652" s="16">
        <f t="shared" si="430"/>
        <v>-37480.115531921445</v>
      </c>
      <c r="BW652" s="15">
        <f t="shared" si="405"/>
        <v>22.170849845882874</v>
      </c>
      <c r="BX652" s="75">
        <f>BW652*(1-PARAM!$C$27)*$I$21+(MOD($B652,60)=PARAM!$B$56)*($B652&gt;(60-PARAM!$B$56))*HLOOKUP(($B652+PARAM!$B$56)/12,Loyalty,2)*$F$1*MAX(BZ651,0)</f>
        <v>18.557001321003963</v>
      </c>
      <c r="BY652" s="75">
        <f>PARAM!$C$26+MAX($G$21-CHOOSE(PARAM!$B$44,MAX(0,BZ651*$F$1),0),0)*RATES!$L628/12+$H$21*(PARAM!$D$51/12)*RATES!$N628/100</f>
        <v>360.45833333333331</v>
      </c>
      <c r="BZ652" s="16">
        <f t="shared" si="431"/>
        <v>-37480.115531921445</v>
      </c>
      <c r="CA652" s="15">
        <f t="shared" si="406"/>
        <v>22.170849845882874</v>
      </c>
      <c r="CB652" s="75">
        <f>CA652*(1-PARAM!$C$27)*$I$22+(MOD($B652,60)=PARAM!$B$56)*($B652&gt;(60-PARAM!$B$56))*HLOOKUP(($B652+PARAM!$B$56)/12,Loyalty,2)*$F$1*MAX(CD651,0)</f>
        <v>18.557001321003963</v>
      </c>
      <c r="CC652" s="75">
        <f>PARAM!$C$26+MAX($G$22-CHOOSE(PARAM!$B$44,MAX(0,CD651*$F$1),0),0)*RATES!$L628/12+$H$22*(PARAM!$D$51/12)*RATES!$N628/100</f>
        <v>360.45833333333331</v>
      </c>
      <c r="CD652" s="16">
        <f t="shared" si="432"/>
        <v>-37480.115531921445</v>
      </c>
      <c r="CE652" s="33">
        <f>IF(0=MOD(B652,12/PARAM!$D$51),1,0)</f>
        <v>1</v>
      </c>
      <c r="CF652" s="15">
        <f t="shared" si="407"/>
        <v>0</v>
      </c>
      <c r="CG652" s="75">
        <f>CF652*(1-PARAM!$C$27)*$R$3+(MOD($B652/12,5)=0)*($B652&gt;60)*HLOOKUP($B652/12,Loyalty,2)*$F$1*MAX(CI651,0)</f>
        <v>0</v>
      </c>
      <c r="CH652" s="75">
        <f>PARAM!$C$26+MAX($P$3-CHOOSE(PARAM!$B$44,MAX(0,CI651*$F$1),0),0)*RATES!$L628/12+$Q$3*(PARAM!$D$51/12)*RATES!$N628/100</f>
        <v>360.45833333333331</v>
      </c>
      <c r="CI652" s="16">
        <f>IF(CI651&gt;0,CI651*PARAM!$C$53,CI651)+CG652-CH652</f>
        <v>-48958.666666666686</v>
      </c>
      <c r="CJ652" s="15">
        <f t="shared" si="433"/>
        <v>0</v>
      </c>
      <c r="CK652" s="75">
        <f>CJ652*(1-PARAM!$C$27)*$R$4+(MOD($B652/12,5)=0)*($B652&gt;60)*HLOOKUP($B652/12,Loyalty,2)*$F$1*MAX(CM651,0)</f>
        <v>0</v>
      </c>
      <c r="CL652" s="75">
        <f>PARAM!$C$26+MAX($P$4-CHOOSE(PARAM!$B$44,MAX(0,CM651*$F$1),0),0)*RATES!$L628/12+$Q$4*(PARAM!$D$51/12)*RATES!$N628/100</f>
        <v>360.45833333333331</v>
      </c>
      <c r="CM652" s="16">
        <f>IF(CM651&gt;0,CM651*PARAM!$C$53,CM651)+CK652-CL652</f>
        <v>-48958.666666666686</v>
      </c>
      <c r="CO652" s="176"/>
    </row>
    <row r="653" spans="1:93" x14ac:dyDescent="0.2">
      <c r="A653" t="b">
        <f t="shared" si="408"/>
        <v>0</v>
      </c>
      <c r="B653" s="33">
        <v>626</v>
      </c>
      <c r="C653" s="15">
        <f t="shared" si="409"/>
        <v>20.081305947392778</v>
      </c>
      <c r="D653" s="75">
        <f>C653*(1-PARAM!$C$27)*$I$3+(MOD($B653,60)=PARAM!$B$56)*($B653&gt;(60-PARAM!$B$56))*HLOOKUP(($B653+PARAM!$B$56)/12,Loyalty,2)*$F$1*MAX(F652,0)</f>
        <v>16.808053077967756</v>
      </c>
      <c r="E653" s="75">
        <f>PARAM!$C$26+MAX($G$3-CHOOSE(PARAM!$B$44,MAX(0,F652*$F$1),0),0)*RATES!$L629/12+$H$3*(PARAM!$D$51/12)*RATES!$N629/100</f>
        <v>360.45833333333331</v>
      </c>
      <c r="F653" s="16">
        <f t="shared" si="410"/>
        <v>-38953.708964596051</v>
      </c>
      <c r="G653" s="15">
        <f t="shared" si="411"/>
        <v>22.035289406060361</v>
      </c>
      <c r="H653" s="75">
        <f>G653*(1-PARAM!$C$27)*$I$4+(MOD($B653,60)=PARAM!$B$56)*($B653&gt;(60-PARAM!$B$56))*HLOOKUP(($B653+PARAM!$B$56)/12,Loyalty,2)*$F$1*MAX(J652,0)</f>
        <v>18.443537232872522</v>
      </c>
      <c r="I653" s="75">
        <f>PARAM!$C$26+MAX($G$4-CHOOSE(PARAM!$B$44,MAX(0,J652*$F$1),0),0)*RATES!$L629/12+$H$4*(PARAM!$D$51/12)*RATES!$N629/100</f>
        <v>360.45833333333331</v>
      </c>
      <c r="J653" s="16">
        <f t="shared" si="412"/>
        <v>-37896.062919503842</v>
      </c>
      <c r="K653" s="15">
        <f t="shared" si="413"/>
        <v>22.170849845882874</v>
      </c>
      <c r="L653" s="75">
        <f>K653*(1-PARAM!$C$27)*$I$5+(MOD($B653,60)=PARAM!$B$56)*($B653&gt;(60-PARAM!$B$56))*HLOOKUP(($B653+PARAM!$B$56)/12,Loyalty,2)*$F$1*MAX(N652,0)</f>
        <v>18.557001321003963</v>
      </c>
      <c r="M653" s="75">
        <f>PARAM!$C$26+MAX($G$5-CHOOSE(PARAM!$B$44,MAX(0,N652*$F$1),0),0)*RATES!$L629/12+$H$5*(PARAM!$D$51/12)*RATES!$N629/100</f>
        <v>360.45833333333331</v>
      </c>
      <c r="N653" s="16">
        <f t="shared" si="414"/>
        <v>-37822.016863933779</v>
      </c>
      <c r="O653" s="15">
        <f t="shared" si="415"/>
        <v>22.170849845882874</v>
      </c>
      <c r="P653" s="75">
        <f>O653*(1-PARAM!$C$27)*$I$6+(MOD($B653,60)=PARAM!$B$56)*($B653&gt;(60-PARAM!$B$56))*HLOOKUP(($B653+PARAM!$B$56)/12,Loyalty,2)*$F$1*MAX(R652,0)</f>
        <v>18.557001321003963</v>
      </c>
      <c r="Q653" s="75">
        <f>PARAM!$C$26+MAX($G$6-CHOOSE(PARAM!$B$44,MAX(0,R652*$F$1),0),0)*RATES!$L629/12+$H$6*(PARAM!$D$51/12)*RATES!$N629/100</f>
        <v>360.45833333333331</v>
      </c>
      <c r="R653" s="16">
        <f t="shared" si="416"/>
        <v>-37822.016863933779</v>
      </c>
      <c r="S653" s="15">
        <f t="shared" si="391"/>
        <v>22.170849845882874</v>
      </c>
      <c r="T653" s="75">
        <f>S653*(1-PARAM!$C$27)*$I$7+(MOD($B653,60)=PARAM!$B$56)*($B653&gt;(60-PARAM!$B$56))*HLOOKUP(($B653+PARAM!$B$56)/12,Loyalty,2)*$F$1*MAX(V652,0)</f>
        <v>18.557001321003963</v>
      </c>
      <c r="U653" s="75">
        <f>PARAM!$C$26+MAX($G$7-CHOOSE(PARAM!$B$44,MAX(0,V652*$F$1),0),0)*RATES!$L629/12+$H$7*(PARAM!$D$51/12)*RATES!$N629/100</f>
        <v>360.45833333333331</v>
      </c>
      <c r="V653" s="16">
        <f t="shared" si="417"/>
        <v>-37822.016863933779</v>
      </c>
      <c r="W653" s="15">
        <f t="shared" si="392"/>
        <v>22.170849845882874</v>
      </c>
      <c r="X653" s="75">
        <f>W653*(1-PARAM!$C$27)*$I$8+(MOD($B653,60)=PARAM!$B$56)*($B653&gt;(60-PARAM!$B$56))*HLOOKUP(($B653+PARAM!$B$56)/12,Loyalty,2)*$F$1*MAX(Z652,0)</f>
        <v>18.557001321003963</v>
      </c>
      <c r="Y653" s="75">
        <f>PARAM!$C$26+MAX($G$8-CHOOSE(PARAM!$B$44,MAX(0,Z652*$F$1),0),0)*RATES!$L629/12+$H$8*(PARAM!$D$51/12)*RATES!$N629/100</f>
        <v>360.45833333333331</v>
      </c>
      <c r="Z653" s="16">
        <f t="shared" si="418"/>
        <v>-37822.016863933779</v>
      </c>
      <c r="AA653" s="15">
        <f t="shared" si="393"/>
        <v>22.170849845882874</v>
      </c>
      <c r="AB653" s="75">
        <f>AA653*(1-PARAM!$C$27)*$I$9+(MOD($B653,60)=PARAM!$B$56)*($B653&gt;(60-PARAM!$B$56))*HLOOKUP(($B653+PARAM!$B$56)/12,Loyalty,2)*$F$1*MAX(AD652,0)</f>
        <v>18.557001321003963</v>
      </c>
      <c r="AC653" s="75">
        <f>PARAM!$C$26+MAX($G$9-CHOOSE(PARAM!$B$44,MAX(0,AD652*$F$1),0),0)*RATES!$L629/12+$H$9*(PARAM!$D$51/12)*RATES!$N629/100</f>
        <v>360.45833333333331</v>
      </c>
      <c r="AD653" s="16">
        <f t="shared" si="419"/>
        <v>-37822.016863933779</v>
      </c>
      <c r="AE653" s="15">
        <f t="shared" si="394"/>
        <v>22.170849845882874</v>
      </c>
      <c r="AF653" s="75">
        <f>AE653*(1-PARAM!$C$27)*$I$10+(MOD($B653,60)=PARAM!$B$56)*($B653&gt;(60-PARAM!$B$56))*HLOOKUP(($B653+PARAM!$B$56)/12,Loyalty,2)*$F$1*MAX(AH652,0)</f>
        <v>18.557001321003963</v>
      </c>
      <c r="AG653" s="75">
        <f>PARAM!$C$26+MAX($G$10-CHOOSE(PARAM!$B$44,MAX(0,AH652*$F$1),0),0)*RATES!$L629/12+$H$10*(PARAM!$D$51/12)*RATES!$N629/100</f>
        <v>360.45833333333331</v>
      </c>
      <c r="AH653" s="16">
        <f t="shared" si="420"/>
        <v>-37822.016863933779</v>
      </c>
      <c r="AI653" s="15">
        <f t="shared" si="395"/>
        <v>22.170849845882874</v>
      </c>
      <c r="AJ653" s="75">
        <f>AI653*(1-PARAM!$C$27)*$I$11+(MOD($B653,60)=PARAM!$B$56)*($B653&gt;(60-PARAM!$B$56))*HLOOKUP(($B653+PARAM!$B$56)/12,Loyalty,2)*$F$1*MAX(AL652,0)</f>
        <v>18.557001321003963</v>
      </c>
      <c r="AK653" s="75">
        <f>PARAM!$C$26+MAX($G$11-CHOOSE(PARAM!$B$44,MAX(0,AL652*$F$1),0),0)*RATES!$L629/12+$H$11*(PARAM!$D$51/12)*RATES!$N629/100</f>
        <v>360.45833333333331</v>
      </c>
      <c r="AL653" s="16">
        <f t="shared" si="421"/>
        <v>-37822.016863933779</v>
      </c>
      <c r="AM653" s="15">
        <f t="shared" si="396"/>
        <v>22.170849845882874</v>
      </c>
      <c r="AN653" s="75">
        <f>AM653*(1-PARAM!$C$27)*$I$12+(MOD($B653,60)=PARAM!$B$56)*($B653&gt;(60-PARAM!$B$56))*HLOOKUP(($B653+PARAM!$B$56)/12,Loyalty,2)*$F$1*MAX(AP652,0)</f>
        <v>18.557001321003963</v>
      </c>
      <c r="AO653" s="75">
        <f>PARAM!$C$26+MAX($G$12-CHOOSE(PARAM!$B$44,MAX(0,AP652*$F$1),0),0)*RATES!$L629/12+$H$12*(PARAM!$D$51/12)*RATES!$N629/100</f>
        <v>360.45833333333331</v>
      </c>
      <c r="AP653" s="16">
        <f t="shared" si="422"/>
        <v>-37822.016863933779</v>
      </c>
      <c r="AQ653" s="15">
        <f t="shared" si="397"/>
        <v>22.170849845882874</v>
      </c>
      <c r="AR653" s="75">
        <f>AQ653*(1-PARAM!$C$27)*$I$13+(MOD($B653,60)=PARAM!$B$56)*($B653&gt;(60-PARAM!$B$56))*HLOOKUP(($B653+PARAM!$B$56)/12,Loyalty,2)*$F$1*MAX(AT652,0)</f>
        <v>18.557001321003963</v>
      </c>
      <c r="AS653" s="75">
        <f>PARAM!$C$26+MAX($G$13-CHOOSE(PARAM!$B$44,MAX(0,AT652*$F$1),0),0)*RATES!$L629/12+$H$13*(PARAM!$D$51/12)*RATES!$N629/100</f>
        <v>360.45833333333331</v>
      </c>
      <c r="AT653" s="16">
        <f t="shared" si="423"/>
        <v>-37822.016863933779</v>
      </c>
      <c r="AU653" s="15">
        <f t="shared" si="398"/>
        <v>22.170849845882874</v>
      </c>
      <c r="AV653" s="75">
        <f>AU653*(1-PARAM!$C$27)*$I$14+(MOD($B653,60)=PARAM!$B$56)*($B653&gt;(60-PARAM!$B$56))*HLOOKUP(($B653+PARAM!$B$56)/12,Loyalty,2)*$F$1*MAX(AX652,0)</f>
        <v>18.557001321003963</v>
      </c>
      <c r="AW653" s="75">
        <f>PARAM!$C$26+MAX($G$14-CHOOSE(PARAM!$B$44,MAX(0,AX652*$F$1),0),0)*RATES!$L629/12+$H$14*(PARAM!$D$51/12)*RATES!$N629/100</f>
        <v>360.45833333333331</v>
      </c>
      <c r="AX653" s="16">
        <f t="shared" si="424"/>
        <v>-37822.016863933779</v>
      </c>
      <c r="AY653" s="15">
        <f t="shared" si="399"/>
        <v>22.170849845882874</v>
      </c>
      <c r="AZ653" s="75">
        <f>AY653*(1-PARAM!$C$27)*$I$15+(MOD($B653,60)=PARAM!$B$56)*($B653&gt;(60-PARAM!$B$56))*HLOOKUP(($B653+PARAM!$B$56)/12,Loyalty,2)*$F$1*MAX(BB652,0)</f>
        <v>18.557001321003963</v>
      </c>
      <c r="BA653" s="75">
        <f>PARAM!$C$26+MAX($G$15-CHOOSE(PARAM!$B$44,MAX(0,BB652*$F$1),0),0)*RATES!$L629/12+$H$15*(PARAM!$D$51/12)*RATES!$N629/100</f>
        <v>360.45833333333331</v>
      </c>
      <c r="BB653" s="16">
        <f t="shared" si="425"/>
        <v>-37822.016863933779</v>
      </c>
      <c r="BC653" s="15">
        <f t="shared" si="400"/>
        <v>22.170849845882874</v>
      </c>
      <c r="BD653" s="75">
        <f>BC653*(1-PARAM!$C$27)*$I$16+(MOD($B653,60)=PARAM!$B$56)*($B653&gt;(60-PARAM!$B$56))*HLOOKUP(($B653+PARAM!$B$56)/12,Loyalty,2)*$F$1*MAX(BF652,0)</f>
        <v>18.557001321003963</v>
      </c>
      <c r="BE653" s="75">
        <f>PARAM!$C$26+MAX($G$16-CHOOSE(PARAM!$B$44,MAX(0,BF652*$F$1),0),0)*RATES!$L629/12+$H$16*(PARAM!$D$51/12)*RATES!$N629/100</f>
        <v>360.45833333333331</v>
      </c>
      <c r="BF653" s="16">
        <f t="shared" si="426"/>
        <v>-37822.016863933779</v>
      </c>
      <c r="BG653" s="15">
        <f t="shared" si="401"/>
        <v>22.170849845882874</v>
      </c>
      <c r="BH653" s="75">
        <f>BG653*(1-PARAM!$C$27)*$I$17+(MOD($B653,60)=PARAM!$B$56)*($B653&gt;(60-PARAM!$B$56))*HLOOKUP(($B653+PARAM!$B$56)/12,Loyalty,2)*$F$1*MAX(BJ652,0)</f>
        <v>18.557001321003963</v>
      </c>
      <c r="BI653" s="75">
        <f>PARAM!$C$26+MAX($G$17-CHOOSE(PARAM!$B$44,MAX(0,BJ652*$F$1),0),0)*RATES!$L629/12+$H$17*(PARAM!$D$51/12)*RATES!$N629/100</f>
        <v>360.45833333333331</v>
      </c>
      <c r="BJ653" s="16">
        <f t="shared" si="427"/>
        <v>-37822.016863933779</v>
      </c>
      <c r="BK653" s="15">
        <f t="shared" si="402"/>
        <v>22.170849845882874</v>
      </c>
      <c r="BL653" s="75">
        <f>BK653*(1-PARAM!$C$27)*$I$18+(MOD($B653,60)=PARAM!$B$56)*($B653&gt;(60-PARAM!$B$56))*HLOOKUP(($B653+PARAM!$B$56)/12,Loyalty,2)*$F$1*MAX(BN652,0)</f>
        <v>18.557001321003963</v>
      </c>
      <c r="BM653" s="75">
        <f>PARAM!$C$26+MAX($G$18-CHOOSE(PARAM!$B$44,MAX(0,BN652*$F$1),0),0)*RATES!$L629/12+$H$18*(PARAM!$D$51/12)*RATES!$N629/100</f>
        <v>360.45833333333331</v>
      </c>
      <c r="BN653" s="16">
        <f t="shared" si="428"/>
        <v>-37822.016863933779</v>
      </c>
      <c r="BO653" s="15">
        <f t="shared" si="403"/>
        <v>22.170849845882874</v>
      </c>
      <c r="BP653" s="75">
        <f>BO653*(1-PARAM!$C$27)*$I$19+(MOD($B653,60)=PARAM!$B$56)*($B653&gt;(60-PARAM!$B$56))*HLOOKUP(($B653+PARAM!$B$56)/12,Loyalty,2)*$F$1*MAX(BR652,0)</f>
        <v>18.557001321003963</v>
      </c>
      <c r="BQ653" s="75">
        <f>PARAM!$C$26+MAX($G$19-CHOOSE(PARAM!$B$44,MAX(0,BR652*$F$1),0),0)*RATES!$L629/12+$H$19*(PARAM!$D$51/12)*RATES!$N629/100</f>
        <v>360.45833333333331</v>
      </c>
      <c r="BR653" s="16">
        <f t="shared" si="429"/>
        <v>-37822.016863933779</v>
      </c>
      <c r="BS653" s="15">
        <f t="shared" si="404"/>
        <v>22.170849845882874</v>
      </c>
      <c r="BT653" s="75">
        <f>BS653*(1-PARAM!$C$27)*$I$20+(MOD($B653,60)=PARAM!$B$56)*($B653&gt;(60-PARAM!$B$56))*HLOOKUP(($B653+PARAM!$B$56)/12,Loyalty,2)*$F$1*MAX(BV652,0)</f>
        <v>18.557001321003963</v>
      </c>
      <c r="BU653" s="75">
        <f>PARAM!$C$26+MAX($G$20-CHOOSE(PARAM!$B$44,MAX(0,BV652*$F$1),0),0)*RATES!$L629/12+$H$20*(PARAM!$D$51/12)*RATES!$N629/100</f>
        <v>360.45833333333331</v>
      </c>
      <c r="BV653" s="16">
        <f t="shared" si="430"/>
        <v>-37822.016863933779</v>
      </c>
      <c r="BW653" s="15">
        <f t="shared" si="405"/>
        <v>22.170849845882874</v>
      </c>
      <c r="BX653" s="75">
        <f>BW653*(1-PARAM!$C$27)*$I$21+(MOD($B653,60)=PARAM!$B$56)*($B653&gt;(60-PARAM!$B$56))*HLOOKUP(($B653+PARAM!$B$56)/12,Loyalty,2)*$F$1*MAX(BZ652,0)</f>
        <v>18.557001321003963</v>
      </c>
      <c r="BY653" s="75">
        <f>PARAM!$C$26+MAX($G$21-CHOOSE(PARAM!$B$44,MAX(0,BZ652*$F$1),0),0)*RATES!$L629/12+$H$21*(PARAM!$D$51/12)*RATES!$N629/100</f>
        <v>360.45833333333331</v>
      </c>
      <c r="BZ653" s="16">
        <f t="shared" si="431"/>
        <v>-37822.016863933779</v>
      </c>
      <c r="CA653" s="15">
        <f t="shared" si="406"/>
        <v>22.170849845882874</v>
      </c>
      <c r="CB653" s="75">
        <f>CA653*(1-PARAM!$C$27)*$I$22+(MOD($B653,60)=PARAM!$B$56)*($B653&gt;(60-PARAM!$B$56))*HLOOKUP(($B653+PARAM!$B$56)/12,Loyalty,2)*$F$1*MAX(CD652,0)</f>
        <v>18.557001321003963</v>
      </c>
      <c r="CC653" s="75">
        <f>PARAM!$C$26+MAX($G$22-CHOOSE(PARAM!$B$44,MAX(0,CD652*$F$1),0),0)*RATES!$L629/12+$H$22*(PARAM!$D$51/12)*RATES!$N629/100</f>
        <v>360.45833333333331</v>
      </c>
      <c r="CD653" s="16">
        <f t="shared" si="432"/>
        <v>-37822.016863933779</v>
      </c>
      <c r="CE653" s="33">
        <f>IF(0=MOD(B653,12/PARAM!$D$51),1,0)</f>
        <v>1</v>
      </c>
      <c r="CF653" s="15">
        <f t="shared" si="407"/>
        <v>0</v>
      </c>
      <c r="CG653" s="75">
        <f>CF653*(1-PARAM!$C$27)*$R$3+(MOD($B653/12,5)=0)*($B653&gt;60)*HLOOKUP($B653/12,Loyalty,2)*$F$1*MAX(CI652,0)</f>
        <v>0</v>
      </c>
      <c r="CH653" s="75">
        <f>PARAM!$C$26+MAX($P$3-CHOOSE(PARAM!$B$44,MAX(0,CI652*$F$1),0),0)*RATES!$L629/12+$Q$3*(PARAM!$D$51/12)*RATES!$N629/100</f>
        <v>360.45833333333331</v>
      </c>
      <c r="CI653" s="16">
        <f>IF(CI652&gt;0,CI652*PARAM!$C$53,CI652)+CG653-CH653</f>
        <v>-49319.125000000022</v>
      </c>
      <c r="CJ653" s="15">
        <f t="shared" si="433"/>
        <v>0</v>
      </c>
      <c r="CK653" s="75">
        <f>CJ653*(1-PARAM!$C$27)*$R$4+(MOD($B653/12,5)=0)*($B653&gt;60)*HLOOKUP($B653/12,Loyalty,2)*$F$1*MAX(CM652,0)</f>
        <v>0</v>
      </c>
      <c r="CL653" s="75">
        <f>PARAM!$C$26+MAX($P$4-CHOOSE(PARAM!$B$44,MAX(0,CM652*$F$1),0),0)*RATES!$L629/12+$Q$4*(PARAM!$D$51/12)*RATES!$N629/100</f>
        <v>360.45833333333331</v>
      </c>
      <c r="CM653" s="16">
        <f>IF(CM652&gt;0,CM652*PARAM!$C$53,CM652)+CK653-CL653</f>
        <v>-49319.125000000022</v>
      </c>
      <c r="CO653" s="176"/>
    </row>
    <row r="654" spans="1:93" x14ac:dyDescent="0.2">
      <c r="A654" t="b">
        <f t="shared" si="408"/>
        <v>0</v>
      </c>
      <c r="B654" s="33">
        <v>627</v>
      </c>
      <c r="C654" s="15">
        <f t="shared" si="409"/>
        <v>20.081305947392778</v>
      </c>
      <c r="D654" s="75">
        <f>C654*(1-PARAM!$C$27)*$I$3+(MOD($B654,60)=PARAM!$B$56)*($B654&gt;(60-PARAM!$B$56))*HLOOKUP(($B654+PARAM!$B$56)/12,Loyalty,2)*$F$1*MAX(F653,0)</f>
        <v>16.808053077967756</v>
      </c>
      <c r="E654" s="75">
        <f>PARAM!$C$26+MAX($G$3-CHOOSE(PARAM!$B$44,MAX(0,F653*$F$1),0),0)*RATES!$L630/12+$H$3*(PARAM!$D$51/12)*RATES!$N630/100</f>
        <v>360.45833333333331</v>
      </c>
      <c r="F654" s="16">
        <f t="shared" si="410"/>
        <v>-39297.359244851417</v>
      </c>
      <c r="G654" s="15">
        <f t="shared" si="411"/>
        <v>22.035289406060361</v>
      </c>
      <c r="H654" s="75">
        <f>G654*(1-PARAM!$C$27)*$I$4+(MOD($B654,60)=PARAM!$B$56)*($B654&gt;(60-PARAM!$B$56))*HLOOKUP(($B654+PARAM!$B$56)/12,Loyalty,2)*$F$1*MAX(J653,0)</f>
        <v>18.443537232872522</v>
      </c>
      <c r="I654" s="75">
        <f>PARAM!$C$26+MAX($G$4-CHOOSE(PARAM!$B$44,MAX(0,J653*$F$1),0),0)*RATES!$L630/12+$H$4*(PARAM!$D$51/12)*RATES!$N630/100</f>
        <v>360.45833333333331</v>
      </c>
      <c r="J654" s="16">
        <f t="shared" si="412"/>
        <v>-38238.077715604304</v>
      </c>
      <c r="K654" s="15">
        <f t="shared" si="413"/>
        <v>22.170849845882874</v>
      </c>
      <c r="L654" s="75">
        <f>K654*(1-PARAM!$C$27)*$I$5+(MOD($B654,60)=PARAM!$B$56)*($B654&gt;(60-PARAM!$B$56))*HLOOKUP(($B654+PARAM!$B$56)/12,Loyalty,2)*$F$1*MAX(N653,0)</f>
        <v>18.557001321003963</v>
      </c>
      <c r="M654" s="75">
        <f>PARAM!$C$26+MAX($G$5-CHOOSE(PARAM!$B$44,MAX(0,N653*$F$1),0),0)*RATES!$L630/12+$H$5*(PARAM!$D$51/12)*RATES!$N630/100</f>
        <v>360.45833333333331</v>
      </c>
      <c r="N654" s="16">
        <f t="shared" si="414"/>
        <v>-38163.918195946113</v>
      </c>
      <c r="O654" s="15">
        <f t="shared" si="415"/>
        <v>22.170849845882874</v>
      </c>
      <c r="P654" s="75">
        <f>O654*(1-PARAM!$C$27)*$I$6+(MOD($B654,60)=PARAM!$B$56)*($B654&gt;(60-PARAM!$B$56))*HLOOKUP(($B654+PARAM!$B$56)/12,Loyalty,2)*$F$1*MAX(R653,0)</f>
        <v>18.557001321003963</v>
      </c>
      <c r="Q654" s="75">
        <f>PARAM!$C$26+MAX($G$6-CHOOSE(PARAM!$B$44,MAX(0,R653*$F$1),0),0)*RATES!$L630/12+$H$6*(PARAM!$D$51/12)*RATES!$N630/100</f>
        <v>360.45833333333331</v>
      </c>
      <c r="R654" s="16">
        <f t="shared" si="416"/>
        <v>-38163.918195946113</v>
      </c>
      <c r="S654" s="15">
        <f t="shared" si="391"/>
        <v>22.170849845882874</v>
      </c>
      <c r="T654" s="75">
        <f>S654*(1-PARAM!$C$27)*$I$7+(MOD($B654,60)=PARAM!$B$56)*($B654&gt;(60-PARAM!$B$56))*HLOOKUP(($B654+PARAM!$B$56)/12,Loyalty,2)*$F$1*MAX(V653,0)</f>
        <v>18.557001321003963</v>
      </c>
      <c r="U654" s="75">
        <f>PARAM!$C$26+MAX($G$7-CHOOSE(PARAM!$B$44,MAX(0,V653*$F$1),0),0)*RATES!$L630/12+$H$7*(PARAM!$D$51/12)*RATES!$N630/100</f>
        <v>360.45833333333331</v>
      </c>
      <c r="V654" s="16">
        <f t="shared" si="417"/>
        <v>-38163.918195946113</v>
      </c>
      <c r="W654" s="15">
        <f t="shared" si="392"/>
        <v>22.170849845882874</v>
      </c>
      <c r="X654" s="75">
        <f>W654*(1-PARAM!$C$27)*$I$8+(MOD($B654,60)=PARAM!$B$56)*($B654&gt;(60-PARAM!$B$56))*HLOOKUP(($B654+PARAM!$B$56)/12,Loyalty,2)*$F$1*MAX(Z653,0)</f>
        <v>18.557001321003963</v>
      </c>
      <c r="Y654" s="75">
        <f>PARAM!$C$26+MAX($G$8-CHOOSE(PARAM!$B$44,MAX(0,Z653*$F$1),0),0)*RATES!$L630/12+$H$8*(PARAM!$D$51/12)*RATES!$N630/100</f>
        <v>360.45833333333331</v>
      </c>
      <c r="Z654" s="16">
        <f t="shared" si="418"/>
        <v>-38163.918195946113</v>
      </c>
      <c r="AA654" s="15">
        <f t="shared" si="393"/>
        <v>22.170849845882874</v>
      </c>
      <c r="AB654" s="75">
        <f>AA654*(1-PARAM!$C$27)*$I$9+(MOD($B654,60)=PARAM!$B$56)*($B654&gt;(60-PARAM!$B$56))*HLOOKUP(($B654+PARAM!$B$56)/12,Loyalty,2)*$F$1*MAX(AD653,0)</f>
        <v>18.557001321003963</v>
      </c>
      <c r="AC654" s="75">
        <f>PARAM!$C$26+MAX($G$9-CHOOSE(PARAM!$B$44,MAX(0,AD653*$F$1),0),0)*RATES!$L630/12+$H$9*(PARAM!$D$51/12)*RATES!$N630/100</f>
        <v>360.45833333333331</v>
      </c>
      <c r="AD654" s="16">
        <f t="shared" si="419"/>
        <v>-38163.918195946113</v>
      </c>
      <c r="AE654" s="15">
        <f t="shared" si="394"/>
        <v>22.170849845882874</v>
      </c>
      <c r="AF654" s="75">
        <f>AE654*(1-PARAM!$C$27)*$I$10+(MOD($B654,60)=PARAM!$B$56)*($B654&gt;(60-PARAM!$B$56))*HLOOKUP(($B654+PARAM!$B$56)/12,Loyalty,2)*$F$1*MAX(AH653,0)</f>
        <v>18.557001321003963</v>
      </c>
      <c r="AG654" s="75">
        <f>PARAM!$C$26+MAX($G$10-CHOOSE(PARAM!$B$44,MAX(0,AH653*$F$1),0),0)*RATES!$L630/12+$H$10*(PARAM!$D$51/12)*RATES!$N630/100</f>
        <v>360.45833333333331</v>
      </c>
      <c r="AH654" s="16">
        <f t="shared" si="420"/>
        <v>-38163.918195946113</v>
      </c>
      <c r="AI654" s="15">
        <f t="shared" si="395"/>
        <v>22.170849845882874</v>
      </c>
      <c r="AJ654" s="75">
        <f>AI654*(1-PARAM!$C$27)*$I$11+(MOD($B654,60)=PARAM!$B$56)*($B654&gt;(60-PARAM!$B$56))*HLOOKUP(($B654+PARAM!$B$56)/12,Loyalty,2)*$F$1*MAX(AL653,0)</f>
        <v>18.557001321003963</v>
      </c>
      <c r="AK654" s="75">
        <f>PARAM!$C$26+MAX($G$11-CHOOSE(PARAM!$B$44,MAX(0,AL653*$F$1),0),0)*RATES!$L630/12+$H$11*(PARAM!$D$51/12)*RATES!$N630/100</f>
        <v>360.45833333333331</v>
      </c>
      <c r="AL654" s="16">
        <f t="shared" si="421"/>
        <v>-38163.918195946113</v>
      </c>
      <c r="AM654" s="15">
        <f t="shared" si="396"/>
        <v>22.170849845882874</v>
      </c>
      <c r="AN654" s="75">
        <f>AM654*(1-PARAM!$C$27)*$I$12+(MOD($B654,60)=PARAM!$B$56)*($B654&gt;(60-PARAM!$B$56))*HLOOKUP(($B654+PARAM!$B$56)/12,Loyalty,2)*$F$1*MAX(AP653,0)</f>
        <v>18.557001321003963</v>
      </c>
      <c r="AO654" s="75">
        <f>PARAM!$C$26+MAX($G$12-CHOOSE(PARAM!$B$44,MAX(0,AP653*$F$1),0),0)*RATES!$L630/12+$H$12*(PARAM!$D$51/12)*RATES!$N630/100</f>
        <v>360.45833333333331</v>
      </c>
      <c r="AP654" s="16">
        <f t="shared" si="422"/>
        <v>-38163.918195946113</v>
      </c>
      <c r="AQ654" s="15">
        <f t="shared" si="397"/>
        <v>22.170849845882874</v>
      </c>
      <c r="AR654" s="75">
        <f>AQ654*(1-PARAM!$C$27)*$I$13+(MOD($B654,60)=PARAM!$B$56)*($B654&gt;(60-PARAM!$B$56))*HLOOKUP(($B654+PARAM!$B$56)/12,Loyalty,2)*$F$1*MAX(AT653,0)</f>
        <v>18.557001321003963</v>
      </c>
      <c r="AS654" s="75">
        <f>PARAM!$C$26+MAX($G$13-CHOOSE(PARAM!$B$44,MAX(0,AT653*$F$1),0),0)*RATES!$L630/12+$H$13*(PARAM!$D$51/12)*RATES!$N630/100</f>
        <v>360.45833333333331</v>
      </c>
      <c r="AT654" s="16">
        <f t="shared" si="423"/>
        <v>-38163.918195946113</v>
      </c>
      <c r="AU654" s="15">
        <f t="shared" si="398"/>
        <v>22.170849845882874</v>
      </c>
      <c r="AV654" s="75">
        <f>AU654*(1-PARAM!$C$27)*$I$14+(MOD($B654,60)=PARAM!$B$56)*($B654&gt;(60-PARAM!$B$56))*HLOOKUP(($B654+PARAM!$B$56)/12,Loyalty,2)*$F$1*MAX(AX653,0)</f>
        <v>18.557001321003963</v>
      </c>
      <c r="AW654" s="75">
        <f>PARAM!$C$26+MAX($G$14-CHOOSE(PARAM!$B$44,MAX(0,AX653*$F$1),0),0)*RATES!$L630/12+$H$14*(PARAM!$D$51/12)*RATES!$N630/100</f>
        <v>360.45833333333331</v>
      </c>
      <c r="AX654" s="16">
        <f t="shared" si="424"/>
        <v>-38163.918195946113</v>
      </c>
      <c r="AY654" s="15">
        <f t="shared" si="399"/>
        <v>22.170849845882874</v>
      </c>
      <c r="AZ654" s="75">
        <f>AY654*(1-PARAM!$C$27)*$I$15+(MOD($B654,60)=PARAM!$B$56)*($B654&gt;(60-PARAM!$B$56))*HLOOKUP(($B654+PARAM!$B$56)/12,Loyalty,2)*$F$1*MAX(BB653,0)</f>
        <v>18.557001321003963</v>
      </c>
      <c r="BA654" s="75">
        <f>PARAM!$C$26+MAX($G$15-CHOOSE(PARAM!$B$44,MAX(0,BB653*$F$1),0),0)*RATES!$L630/12+$H$15*(PARAM!$D$51/12)*RATES!$N630/100</f>
        <v>360.45833333333331</v>
      </c>
      <c r="BB654" s="16">
        <f t="shared" si="425"/>
        <v>-38163.918195946113</v>
      </c>
      <c r="BC654" s="15">
        <f t="shared" si="400"/>
        <v>22.170849845882874</v>
      </c>
      <c r="BD654" s="75">
        <f>BC654*(1-PARAM!$C$27)*$I$16+(MOD($B654,60)=PARAM!$B$56)*($B654&gt;(60-PARAM!$B$56))*HLOOKUP(($B654+PARAM!$B$56)/12,Loyalty,2)*$F$1*MAX(BF653,0)</f>
        <v>18.557001321003963</v>
      </c>
      <c r="BE654" s="75">
        <f>PARAM!$C$26+MAX($G$16-CHOOSE(PARAM!$B$44,MAX(0,BF653*$F$1),0),0)*RATES!$L630/12+$H$16*(PARAM!$D$51/12)*RATES!$N630/100</f>
        <v>360.45833333333331</v>
      </c>
      <c r="BF654" s="16">
        <f t="shared" si="426"/>
        <v>-38163.918195946113</v>
      </c>
      <c r="BG654" s="15">
        <f t="shared" si="401"/>
        <v>22.170849845882874</v>
      </c>
      <c r="BH654" s="75">
        <f>BG654*(1-PARAM!$C$27)*$I$17+(MOD($B654,60)=PARAM!$B$56)*($B654&gt;(60-PARAM!$B$56))*HLOOKUP(($B654+PARAM!$B$56)/12,Loyalty,2)*$F$1*MAX(BJ653,0)</f>
        <v>18.557001321003963</v>
      </c>
      <c r="BI654" s="75">
        <f>PARAM!$C$26+MAX($G$17-CHOOSE(PARAM!$B$44,MAX(0,BJ653*$F$1),0),0)*RATES!$L630/12+$H$17*(PARAM!$D$51/12)*RATES!$N630/100</f>
        <v>360.45833333333331</v>
      </c>
      <c r="BJ654" s="16">
        <f t="shared" si="427"/>
        <v>-38163.918195946113</v>
      </c>
      <c r="BK654" s="15">
        <f t="shared" si="402"/>
        <v>22.170849845882874</v>
      </c>
      <c r="BL654" s="75">
        <f>BK654*(1-PARAM!$C$27)*$I$18+(MOD($B654,60)=PARAM!$B$56)*($B654&gt;(60-PARAM!$B$56))*HLOOKUP(($B654+PARAM!$B$56)/12,Loyalty,2)*$F$1*MAX(BN653,0)</f>
        <v>18.557001321003963</v>
      </c>
      <c r="BM654" s="75">
        <f>PARAM!$C$26+MAX($G$18-CHOOSE(PARAM!$B$44,MAX(0,BN653*$F$1),0),0)*RATES!$L630/12+$H$18*(PARAM!$D$51/12)*RATES!$N630/100</f>
        <v>360.45833333333331</v>
      </c>
      <c r="BN654" s="16">
        <f t="shared" si="428"/>
        <v>-38163.918195946113</v>
      </c>
      <c r="BO654" s="15">
        <f t="shared" si="403"/>
        <v>22.170849845882874</v>
      </c>
      <c r="BP654" s="75">
        <f>BO654*(1-PARAM!$C$27)*$I$19+(MOD($B654,60)=PARAM!$B$56)*($B654&gt;(60-PARAM!$B$56))*HLOOKUP(($B654+PARAM!$B$56)/12,Loyalty,2)*$F$1*MAX(BR653,0)</f>
        <v>18.557001321003963</v>
      </c>
      <c r="BQ654" s="75">
        <f>PARAM!$C$26+MAX($G$19-CHOOSE(PARAM!$B$44,MAX(0,BR653*$F$1),0),0)*RATES!$L630/12+$H$19*(PARAM!$D$51/12)*RATES!$N630/100</f>
        <v>360.45833333333331</v>
      </c>
      <c r="BR654" s="16">
        <f t="shared" si="429"/>
        <v>-38163.918195946113</v>
      </c>
      <c r="BS654" s="15">
        <f t="shared" si="404"/>
        <v>22.170849845882874</v>
      </c>
      <c r="BT654" s="75">
        <f>BS654*(1-PARAM!$C$27)*$I$20+(MOD($B654,60)=PARAM!$B$56)*($B654&gt;(60-PARAM!$B$56))*HLOOKUP(($B654+PARAM!$B$56)/12,Loyalty,2)*$F$1*MAX(BV653,0)</f>
        <v>18.557001321003963</v>
      </c>
      <c r="BU654" s="75">
        <f>PARAM!$C$26+MAX($G$20-CHOOSE(PARAM!$B$44,MAX(0,BV653*$F$1),0),0)*RATES!$L630/12+$H$20*(PARAM!$D$51/12)*RATES!$N630/100</f>
        <v>360.45833333333331</v>
      </c>
      <c r="BV654" s="16">
        <f t="shared" si="430"/>
        <v>-38163.918195946113</v>
      </c>
      <c r="BW654" s="15">
        <f t="shared" si="405"/>
        <v>22.170849845882874</v>
      </c>
      <c r="BX654" s="75">
        <f>BW654*(1-PARAM!$C$27)*$I$21+(MOD($B654,60)=PARAM!$B$56)*($B654&gt;(60-PARAM!$B$56))*HLOOKUP(($B654+PARAM!$B$56)/12,Loyalty,2)*$F$1*MAX(BZ653,0)</f>
        <v>18.557001321003963</v>
      </c>
      <c r="BY654" s="75">
        <f>PARAM!$C$26+MAX($G$21-CHOOSE(PARAM!$B$44,MAX(0,BZ653*$F$1),0),0)*RATES!$L630/12+$H$21*(PARAM!$D$51/12)*RATES!$N630/100</f>
        <v>360.45833333333331</v>
      </c>
      <c r="BZ654" s="16">
        <f t="shared" si="431"/>
        <v>-38163.918195946113</v>
      </c>
      <c r="CA654" s="15">
        <f t="shared" si="406"/>
        <v>22.170849845882874</v>
      </c>
      <c r="CB654" s="75">
        <f>CA654*(1-PARAM!$C$27)*$I$22+(MOD($B654,60)=PARAM!$B$56)*($B654&gt;(60-PARAM!$B$56))*HLOOKUP(($B654+PARAM!$B$56)/12,Loyalty,2)*$F$1*MAX(CD653,0)</f>
        <v>18.557001321003963</v>
      </c>
      <c r="CC654" s="75">
        <f>PARAM!$C$26+MAX($G$22-CHOOSE(PARAM!$B$44,MAX(0,CD653*$F$1),0),0)*RATES!$L630/12+$H$22*(PARAM!$D$51/12)*RATES!$N630/100</f>
        <v>360.45833333333331</v>
      </c>
      <c r="CD654" s="16">
        <f t="shared" si="432"/>
        <v>-38163.918195946113</v>
      </c>
      <c r="CE654" s="33">
        <f>IF(0=MOD(B654,12/PARAM!$D$51),1,0)</f>
        <v>1</v>
      </c>
      <c r="CF654" s="15">
        <f t="shared" si="407"/>
        <v>0</v>
      </c>
      <c r="CG654" s="75">
        <f>CF654*(1-PARAM!$C$27)*$R$3+(MOD($B654/12,5)=0)*($B654&gt;60)*HLOOKUP($B654/12,Loyalty,2)*$F$1*MAX(CI653,0)</f>
        <v>0</v>
      </c>
      <c r="CH654" s="75">
        <f>PARAM!$C$26+MAX($P$3-CHOOSE(PARAM!$B$44,MAX(0,CI653*$F$1),0),0)*RATES!$L630/12+$Q$3*(PARAM!$D$51/12)*RATES!$N630/100</f>
        <v>360.45833333333331</v>
      </c>
      <c r="CI654" s="16">
        <f>IF(CI653&gt;0,CI653*PARAM!$C$53,CI653)+CG654-CH654</f>
        <v>-49679.583333333358</v>
      </c>
      <c r="CJ654" s="15">
        <f t="shared" si="433"/>
        <v>0</v>
      </c>
      <c r="CK654" s="75">
        <f>CJ654*(1-PARAM!$C$27)*$R$4+(MOD($B654/12,5)=0)*($B654&gt;60)*HLOOKUP($B654/12,Loyalty,2)*$F$1*MAX(CM653,0)</f>
        <v>0</v>
      </c>
      <c r="CL654" s="75">
        <f>PARAM!$C$26+MAX($P$4-CHOOSE(PARAM!$B$44,MAX(0,CM653*$F$1),0),0)*RATES!$L630/12+$Q$4*(PARAM!$D$51/12)*RATES!$N630/100</f>
        <v>360.45833333333331</v>
      </c>
      <c r="CM654" s="16">
        <f>IF(CM653&gt;0,CM653*PARAM!$C$53,CM653)+CK654-CL654</f>
        <v>-49679.583333333358</v>
      </c>
      <c r="CO654" s="176"/>
    </row>
    <row r="655" spans="1:93" x14ac:dyDescent="0.2">
      <c r="A655" t="b">
        <f t="shared" si="408"/>
        <v>0</v>
      </c>
      <c r="B655" s="33">
        <v>628</v>
      </c>
      <c r="C655" s="15">
        <f t="shared" si="409"/>
        <v>20.081305947392778</v>
      </c>
      <c r="D655" s="75">
        <f>C655*(1-PARAM!$C$27)*$I$3+(MOD($B655,60)=PARAM!$B$56)*($B655&gt;(60-PARAM!$B$56))*HLOOKUP(($B655+PARAM!$B$56)/12,Loyalty,2)*$F$1*MAX(F654,0)</f>
        <v>16.808053077967756</v>
      </c>
      <c r="E655" s="75">
        <f>PARAM!$C$26+MAX($G$3-CHOOSE(PARAM!$B$44,MAX(0,F654*$F$1),0),0)*RATES!$L631/12+$H$3*(PARAM!$D$51/12)*RATES!$N631/100</f>
        <v>360.45833333333331</v>
      </c>
      <c r="F655" s="16">
        <f t="shared" si="410"/>
        <v>-39641.009525106783</v>
      </c>
      <c r="G655" s="15">
        <f t="shared" si="411"/>
        <v>22.035289406060361</v>
      </c>
      <c r="H655" s="75">
        <f>G655*(1-PARAM!$C$27)*$I$4+(MOD($B655,60)=PARAM!$B$56)*($B655&gt;(60-PARAM!$B$56))*HLOOKUP(($B655+PARAM!$B$56)/12,Loyalty,2)*$F$1*MAX(J654,0)</f>
        <v>18.443537232872522</v>
      </c>
      <c r="I655" s="75">
        <f>PARAM!$C$26+MAX($G$4-CHOOSE(PARAM!$B$44,MAX(0,J654*$F$1),0),0)*RATES!$L631/12+$H$4*(PARAM!$D$51/12)*RATES!$N631/100</f>
        <v>360.45833333333331</v>
      </c>
      <c r="J655" s="16">
        <f t="shared" si="412"/>
        <v>-38580.092511704766</v>
      </c>
      <c r="K655" s="15">
        <f t="shared" si="413"/>
        <v>22.170849845882874</v>
      </c>
      <c r="L655" s="75">
        <f>K655*(1-PARAM!$C$27)*$I$5+(MOD($B655,60)=PARAM!$B$56)*($B655&gt;(60-PARAM!$B$56))*HLOOKUP(($B655+PARAM!$B$56)/12,Loyalty,2)*$F$1*MAX(N654,0)</f>
        <v>18.557001321003963</v>
      </c>
      <c r="M655" s="75">
        <f>PARAM!$C$26+MAX($G$5-CHOOSE(PARAM!$B$44,MAX(0,N654*$F$1),0),0)*RATES!$L631/12+$H$5*(PARAM!$D$51/12)*RATES!$N631/100</f>
        <v>360.45833333333331</v>
      </c>
      <c r="N655" s="16">
        <f t="shared" si="414"/>
        <v>-38505.819527958447</v>
      </c>
      <c r="O655" s="15">
        <f t="shared" si="415"/>
        <v>22.170849845882874</v>
      </c>
      <c r="P655" s="75">
        <f>O655*(1-PARAM!$C$27)*$I$6+(MOD($B655,60)=PARAM!$B$56)*($B655&gt;(60-PARAM!$B$56))*HLOOKUP(($B655+PARAM!$B$56)/12,Loyalty,2)*$F$1*MAX(R654,0)</f>
        <v>18.557001321003963</v>
      </c>
      <c r="Q655" s="75">
        <f>PARAM!$C$26+MAX($G$6-CHOOSE(PARAM!$B$44,MAX(0,R654*$F$1),0),0)*RATES!$L631/12+$H$6*(PARAM!$D$51/12)*RATES!$N631/100</f>
        <v>360.45833333333331</v>
      </c>
      <c r="R655" s="16">
        <f t="shared" si="416"/>
        <v>-38505.819527958447</v>
      </c>
      <c r="S655" s="15">
        <f t="shared" si="391"/>
        <v>22.170849845882874</v>
      </c>
      <c r="T655" s="75">
        <f>S655*(1-PARAM!$C$27)*$I$7+(MOD($B655,60)=PARAM!$B$56)*($B655&gt;(60-PARAM!$B$56))*HLOOKUP(($B655+PARAM!$B$56)/12,Loyalty,2)*$F$1*MAX(V654,0)</f>
        <v>18.557001321003963</v>
      </c>
      <c r="U655" s="75">
        <f>PARAM!$C$26+MAX($G$7-CHOOSE(PARAM!$B$44,MAX(0,V654*$F$1),0),0)*RATES!$L631/12+$H$7*(PARAM!$D$51/12)*RATES!$N631/100</f>
        <v>360.45833333333331</v>
      </c>
      <c r="V655" s="16">
        <f t="shared" si="417"/>
        <v>-38505.819527958447</v>
      </c>
      <c r="W655" s="15">
        <f t="shared" si="392"/>
        <v>22.170849845882874</v>
      </c>
      <c r="X655" s="75">
        <f>W655*(1-PARAM!$C$27)*$I$8+(MOD($B655,60)=PARAM!$B$56)*($B655&gt;(60-PARAM!$B$56))*HLOOKUP(($B655+PARAM!$B$56)/12,Loyalty,2)*$F$1*MAX(Z654,0)</f>
        <v>18.557001321003963</v>
      </c>
      <c r="Y655" s="75">
        <f>PARAM!$C$26+MAX($G$8-CHOOSE(PARAM!$B$44,MAX(0,Z654*$F$1),0),0)*RATES!$L631/12+$H$8*(PARAM!$D$51/12)*RATES!$N631/100</f>
        <v>360.45833333333331</v>
      </c>
      <c r="Z655" s="16">
        <f t="shared" si="418"/>
        <v>-38505.819527958447</v>
      </c>
      <c r="AA655" s="15">
        <f t="shared" si="393"/>
        <v>22.170849845882874</v>
      </c>
      <c r="AB655" s="75">
        <f>AA655*(1-PARAM!$C$27)*$I$9+(MOD($B655,60)=PARAM!$B$56)*($B655&gt;(60-PARAM!$B$56))*HLOOKUP(($B655+PARAM!$B$56)/12,Loyalty,2)*$F$1*MAX(AD654,0)</f>
        <v>18.557001321003963</v>
      </c>
      <c r="AC655" s="75">
        <f>PARAM!$C$26+MAX($G$9-CHOOSE(PARAM!$B$44,MAX(0,AD654*$F$1),0),0)*RATES!$L631/12+$H$9*(PARAM!$D$51/12)*RATES!$N631/100</f>
        <v>360.45833333333331</v>
      </c>
      <c r="AD655" s="16">
        <f t="shared" si="419"/>
        <v>-38505.819527958447</v>
      </c>
      <c r="AE655" s="15">
        <f t="shared" si="394"/>
        <v>22.170849845882874</v>
      </c>
      <c r="AF655" s="75">
        <f>AE655*(1-PARAM!$C$27)*$I$10+(MOD($B655,60)=PARAM!$B$56)*($B655&gt;(60-PARAM!$B$56))*HLOOKUP(($B655+PARAM!$B$56)/12,Loyalty,2)*$F$1*MAX(AH654,0)</f>
        <v>18.557001321003963</v>
      </c>
      <c r="AG655" s="75">
        <f>PARAM!$C$26+MAX($G$10-CHOOSE(PARAM!$B$44,MAX(0,AH654*$F$1),0),0)*RATES!$L631/12+$H$10*(PARAM!$D$51/12)*RATES!$N631/100</f>
        <v>360.45833333333331</v>
      </c>
      <c r="AH655" s="16">
        <f t="shared" si="420"/>
        <v>-38505.819527958447</v>
      </c>
      <c r="AI655" s="15">
        <f t="shared" si="395"/>
        <v>22.170849845882874</v>
      </c>
      <c r="AJ655" s="75">
        <f>AI655*(1-PARAM!$C$27)*$I$11+(MOD($B655,60)=PARAM!$B$56)*($B655&gt;(60-PARAM!$B$56))*HLOOKUP(($B655+PARAM!$B$56)/12,Loyalty,2)*$F$1*MAX(AL654,0)</f>
        <v>18.557001321003963</v>
      </c>
      <c r="AK655" s="75">
        <f>PARAM!$C$26+MAX($G$11-CHOOSE(PARAM!$B$44,MAX(0,AL654*$F$1),0),0)*RATES!$L631/12+$H$11*(PARAM!$D$51/12)*RATES!$N631/100</f>
        <v>360.45833333333331</v>
      </c>
      <c r="AL655" s="16">
        <f t="shared" si="421"/>
        <v>-38505.819527958447</v>
      </c>
      <c r="AM655" s="15">
        <f t="shared" si="396"/>
        <v>22.170849845882874</v>
      </c>
      <c r="AN655" s="75">
        <f>AM655*(1-PARAM!$C$27)*$I$12+(MOD($B655,60)=PARAM!$B$56)*($B655&gt;(60-PARAM!$B$56))*HLOOKUP(($B655+PARAM!$B$56)/12,Loyalty,2)*$F$1*MAX(AP654,0)</f>
        <v>18.557001321003963</v>
      </c>
      <c r="AO655" s="75">
        <f>PARAM!$C$26+MAX($G$12-CHOOSE(PARAM!$B$44,MAX(0,AP654*$F$1),0),0)*RATES!$L631/12+$H$12*(PARAM!$D$51/12)*RATES!$N631/100</f>
        <v>360.45833333333331</v>
      </c>
      <c r="AP655" s="16">
        <f t="shared" si="422"/>
        <v>-38505.819527958447</v>
      </c>
      <c r="AQ655" s="15">
        <f t="shared" si="397"/>
        <v>22.170849845882874</v>
      </c>
      <c r="AR655" s="75">
        <f>AQ655*(1-PARAM!$C$27)*$I$13+(MOD($B655,60)=PARAM!$B$56)*($B655&gt;(60-PARAM!$B$56))*HLOOKUP(($B655+PARAM!$B$56)/12,Loyalty,2)*$F$1*MAX(AT654,0)</f>
        <v>18.557001321003963</v>
      </c>
      <c r="AS655" s="75">
        <f>PARAM!$C$26+MAX($G$13-CHOOSE(PARAM!$B$44,MAX(0,AT654*$F$1),0),0)*RATES!$L631/12+$H$13*(PARAM!$D$51/12)*RATES!$N631/100</f>
        <v>360.45833333333331</v>
      </c>
      <c r="AT655" s="16">
        <f t="shared" si="423"/>
        <v>-38505.819527958447</v>
      </c>
      <c r="AU655" s="15">
        <f t="shared" si="398"/>
        <v>22.170849845882874</v>
      </c>
      <c r="AV655" s="75">
        <f>AU655*(1-PARAM!$C$27)*$I$14+(MOD($B655,60)=PARAM!$B$56)*($B655&gt;(60-PARAM!$B$56))*HLOOKUP(($B655+PARAM!$B$56)/12,Loyalty,2)*$F$1*MAX(AX654,0)</f>
        <v>18.557001321003963</v>
      </c>
      <c r="AW655" s="75">
        <f>PARAM!$C$26+MAX($G$14-CHOOSE(PARAM!$B$44,MAX(0,AX654*$F$1),0),0)*RATES!$L631/12+$H$14*(PARAM!$D$51/12)*RATES!$N631/100</f>
        <v>360.45833333333331</v>
      </c>
      <c r="AX655" s="16">
        <f t="shared" si="424"/>
        <v>-38505.819527958447</v>
      </c>
      <c r="AY655" s="15">
        <f t="shared" si="399"/>
        <v>22.170849845882874</v>
      </c>
      <c r="AZ655" s="75">
        <f>AY655*(1-PARAM!$C$27)*$I$15+(MOD($B655,60)=PARAM!$B$56)*($B655&gt;(60-PARAM!$B$56))*HLOOKUP(($B655+PARAM!$B$56)/12,Loyalty,2)*$F$1*MAX(BB654,0)</f>
        <v>18.557001321003963</v>
      </c>
      <c r="BA655" s="75">
        <f>PARAM!$C$26+MAX($G$15-CHOOSE(PARAM!$B$44,MAX(0,BB654*$F$1),0),0)*RATES!$L631/12+$H$15*(PARAM!$D$51/12)*RATES!$N631/100</f>
        <v>360.45833333333331</v>
      </c>
      <c r="BB655" s="16">
        <f t="shared" si="425"/>
        <v>-38505.819527958447</v>
      </c>
      <c r="BC655" s="15">
        <f t="shared" si="400"/>
        <v>22.170849845882874</v>
      </c>
      <c r="BD655" s="75">
        <f>BC655*(1-PARAM!$C$27)*$I$16+(MOD($B655,60)=PARAM!$B$56)*($B655&gt;(60-PARAM!$B$56))*HLOOKUP(($B655+PARAM!$B$56)/12,Loyalty,2)*$F$1*MAX(BF654,0)</f>
        <v>18.557001321003963</v>
      </c>
      <c r="BE655" s="75">
        <f>PARAM!$C$26+MAX($G$16-CHOOSE(PARAM!$B$44,MAX(0,BF654*$F$1),0),0)*RATES!$L631/12+$H$16*(PARAM!$D$51/12)*RATES!$N631/100</f>
        <v>360.45833333333331</v>
      </c>
      <c r="BF655" s="16">
        <f t="shared" si="426"/>
        <v>-38505.819527958447</v>
      </c>
      <c r="BG655" s="15">
        <f t="shared" si="401"/>
        <v>22.170849845882874</v>
      </c>
      <c r="BH655" s="75">
        <f>BG655*(1-PARAM!$C$27)*$I$17+(MOD($B655,60)=PARAM!$B$56)*($B655&gt;(60-PARAM!$B$56))*HLOOKUP(($B655+PARAM!$B$56)/12,Loyalty,2)*$F$1*MAX(BJ654,0)</f>
        <v>18.557001321003963</v>
      </c>
      <c r="BI655" s="75">
        <f>PARAM!$C$26+MAX($G$17-CHOOSE(PARAM!$B$44,MAX(0,BJ654*$F$1),0),0)*RATES!$L631/12+$H$17*(PARAM!$D$51/12)*RATES!$N631/100</f>
        <v>360.45833333333331</v>
      </c>
      <c r="BJ655" s="16">
        <f t="shared" si="427"/>
        <v>-38505.819527958447</v>
      </c>
      <c r="BK655" s="15">
        <f t="shared" si="402"/>
        <v>22.170849845882874</v>
      </c>
      <c r="BL655" s="75">
        <f>BK655*(1-PARAM!$C$27)*$I$18+(MOD($B655,60)=PARAM!$B$56)*($B655&gt;(60-PARAM!$B$56))*HLOOKUP(($B655+PARAM!$B$56)/12,Loyalty,2)*$F$1*MAX(BN654,0)</f>
        <v>18.557001321003963</v>
      </c>
      <c r="BM655" s="75">
        <f>PARAM!$C$26+MAX($G$18-CHOOSE(PARAM!$B$44,MAX(0,BN654*$F$1),0),0)*RATES!$L631/12+$H$18*(PARAM!$D$51/12)*RATES!$N631/100</f>
        <v>360.45833333333331</v>
      </c>
      <c r="BN655" s="16">
        <f t="shared" si="428"/>
        <v>-38505.819527958447</v>
      </c>
      <c r="BO655" s="15">
        <f t="shared" si="403"/>
        <v>22.170849845882874</v>
      </c>
      <c r="BP655" s="75">
        <f>BO655*(1-PARAM!$C$27)*$I$19+(MOD($B655,60)=PARAM!$B$56)*($B655&gt;(60-PARAM!$B$56))*HLOOKUP(($B655+PARAM!$B$56)/12,Loyalty,2)*$F$1*MAX(BR654,0)</f>
        <v>18.557001321003963</v>
      </c>
      <c r="BQ655" s="75">
        <f>PARAM!$C$26+MAX($G$19-CHOOSE(PARAM!$B$44,MAX(0,BR654*$F$1),0),0)*RATES!$L631/12+$H$19*(PARAM!$D$51/12)*RATES!$N631/100</f>
        <v>360.45833333333331</v>
      </c>
      <c r="BR655" s="16">
        <f t="shared" si="429"/>
        <v>-38505.819527958447</v>
      </c>
      <c r="BS655" s="15">
        <f t="shared" si="404"/>
        <v>22.170849845882874</v>
      </c>
      <c r="BT655" s="75">
        <f>BS655*(1-PARAM!$C$27)*$I$20+(MOD($B655,60)=PARAM!$B$56)*($B655&gt;(60-PARAM!$B$56))*HLOOKUP(($B655+PARAM!$B$56)/12,Loyalty,2)*$F$1*MAX(BV654,0)</f>
        <v>18.557001321003963</v>
      </c>
      <c r="BU655" s="75">
        <f>PARAM!$C$26+MAX($G$20-CHOOSE(PARAM!$B$44,MAX(0,BV654*$F$1),0),0)*RATES!$L631/12+$H$20*(PARAM!$D$51/12)*RATES!$N631/100</f>
        <v>360.45833333333331</v>
      </c>
      <c r="BV655" s="16">
        <f t="shared" si="430"/>
        <v>-38505.819527958447</v>
      </c>
      <c r="BW655" s="15">
        <f t="shared" si="405"/>
        <v>22.170849845882874</v>
      </c>
      <c r="BX655" s="75">
        <f>BW655*(1-PARAM!$C$27)*$I$21+(MOD($B655,60)=PARAM!$B$56)*($B655&gt;(60-PARAM!$B$56))*HLOOKUP(($B655+PARAM!$B$56)/12,Loyalty,2)*$F$1*MAX(BZ654,0)</f>
        <v>18.557001321003963</v>
      </c>
      <c r="BY655" s="75">
        <f>PARAM!$C$26+MAX($G$21-CHOOSE(PARAM!$B$44,MAX(0,BZ654*$F$1),0),0)*RATES!$L631/12+$H$21*(PARAM!$D$51/12)*RATES!$N631/100</f>
        <v>360.45833333333331</v>
      </c>
      <c r="BZ655" s="16">
        <f t="shared" si="431"/>
        <v>-38505.819527958447</v>
      </c>
      <c r="CA655" s="15">
        <f t="shared" si="406"/>
        <v>22.170849845882874</v>
      </c>
      <c r="CB655" s="75">
        <f>CA655*(1-PARAM!$C$27)*$I$22+(MOD($B655,60)=PARAM!$B$56)*($B655&gt;(60-PARAM!$B$56))*HLOOKUP(($B655+PARAM!$B$56)/12,Loyalty,2)*$F$1*MAX(CD654,0)</f>
        <v>18.557001321003963</v>
      </c>
      <c r="CC655" s="75">
        <f>PARAM!$C$26+MAX($G$22-CHOOSE(PARAM!$B$44,MAX(0,CD654*$F$1),0),0)*RATES!$L631/12+$H$22*(PARAM!$D$51/12)*RATES!$N631/100</f>
        <v>360.45833333333331</v>
      </c>
      <c r="CD655" s="16">
        <f t="shared" si="432"/>
        <v>-38505.819527958447</v>
      </c>
      <c r="CE655" s="33">
        <f>IF(0=MOD(B655,12/PARAM!$D$51),1,0)</f>
        <v>1</v>
      </c>
      <c r="CF655" s="15">
        <f t="shared" si="407"/>
        <v>0</v>
      </c>
      <c r="CG655" s="75">
        <f>CF655*(1-PARAM!$C$27)*$R$3+(MOD($B655/12,5)=0)*($B655&gt;60)*HLOOKUP($B655/12,Loyalty,2)*$F$1*MAX(CI654,0)</f>
        <v>0</v>
      </c>
      <c r="CH655" s="75">
        <f>PARAM!$C$26+MAX($P$3-CHOOSE(PARAM!$B$44,MAX(0,CI654*$F$1),0),0)*RATES!$L631/12+$Q$3*(PARAM!$D$51/12)*RATES!$N631/100</f>
        <v>360.45833333333331</v>
      </c>
      <c r="CI655" s="16">
        <f>IF(CI654&gt;0,CI654*PARAM!$C$53,CI654)+CG655-CH655</f>
        <v>-50040.041666666693</v>
      </c>
      <c r="CJ655" s="15">
        <f t="shared" si="433"/>
        <v>0</v>
      </c>
      <c r="CK655" s="75">
        <f>CJ655*(1-PARAM!$C$27)*$R$4+(MOD($B655/12,5)=0)*($B655&gt;60)*HLOOKUP($B655/12,Loyalty,2)*$F$1*MAX(CM654,0)</f>
        <v>0</v>
      </c>
      <c r="CL655" s="75">
        <f>PARAM!$C$26+MAX($P$4-CHOOSE(PARAM!$B$44,MAX(0,CM654*$F$1),0),0)*RATES!$L631/12+$Q$4*(PARAM!$D$51/12)*RATES!$N631/100</f>
        <v>360.45833333333331</v>
      </c>
      <c r="CM655" s="16">
        <f>IF(CM654&gt;0,CM654*PARAM!$C$53,CM654)+CK655-CL655</f>
        <v>-50040.041666666693</v>
      </c>
      <c r="CO655" s="176"/>
    </row>
    <row r="656" spans="1:93" x14ac:dyDescent="0.2">
      <c r="A656" t="b">
        <f t="shared" si="408"/>
        <v>0</v>
      </c>
      <c r="B656" s="33">
        <v>629</v>
      </c>
      <c r="C656" s="15">
        <f t="shared" si="409"/>
        <v>20.081305947392778</v>
      </c>
      <c r="D656" s="75">
        <f>C656*(1-PARAM!$C$27)*$I$3+(MOD($B656,60)=PARAM!$B$56)*($B656&gt;(60-PARAM!$B$56))*HLOOKUP(($B656+PARAM!$B$56)/12,Loyalty,2)*$F$1*MAX(F655,0)</f>
        <v>16.808053077967756</v>
      </c>
      <c r="E656" s="75">
        <f>PARAM!$C$26+MAX($G$3-CHOOSE(PARAM!$B$44,MAX(0,F655*$F$1),0),0)*RATES!$L632/12+$H$3*(PARAM!$D$51/12)*RATES!$N632/100</f>
        <v>360.45833333333331</v>
      </c>
      <c r="F656" s="16">
        <f t="shared" si="410"/>
        <v>-39984.659805362149</v>
      </c>
      <c r="G656" s="15">
        <f t="shared" si="411"/>
        <v>22.035289406060361</v>
      </c>
      <c r="H656" s="75">
        <f>G656*(1-PARAM!$C$27)*$I$4+(MOD($B656,60)=PARAM!$B$56)*($B656&gt;(60-PARAM!$B$56))*HLOOKUP(($B656+PARAM!$B$56)/12,Loyalty,2)*$F$1*MAX(J655,0)</f>
        <v>18.443537232872522</v>
      </c>
      <c r="I656" s="75">
        <f>PARAM!$C$26+MAX($G$4-CHOOSE(PARAM!$B$44,MAX(0,J655*$F$1),0),0)*RATES!$L632/12+$H$4*(PARAM!$D$51/12)*RATES!$N632/100</f>
        <v>360.45833333333331</v>
      </c>
      <c r="J656" s="16">
        <f t="shared" si="412"/>
        <v>-38922.107307805229</v>
      </c>
      <c r="K656" s="15">
        <f t="shared" si="413"/>
        <v>22.170849845882874</v>
      </c>
      <c r="L656" s="75">
        <f>K656*(1-PARAM!$C$27)*$I$5+(MOD($B656,60)=PARAM!$B$56)*($B656&gt;(60-PARAM!$B$56))*HLOOKUP(($B656+PARAM!$B$56)/12,Loyalty,2)*$F$1*MAX(N655,0)</f>
        <v>18.557001321003963</v>
      </c>
      <c r="M656" s="75">
        <f>PARAM!$C$26+MAX($G$5-CHOOSE(PARAM!$B$44,MAX(0,N655*$F$1),0),0)*RATES!$L632/12+$H$5*(PARAM!$D$51/12)*RATES!$N632/100</f>
        <v>360.45833333333331</v>
      </c>
      <c r="N656" s="16">
        <f t="shared" si="414"/>
        <v>-38847.720859970781</v>
      </c>
      <c r="O656" s="15">
        <f t="shared" si="415"/>
        <v>22.170849845882874</v>
      </c>
      <c r="P656" s="75">
        <f>O656*(1-PARAM!$C$27)*$I$6+(MOD($B656,60)=PARAM!$B$56)*($B656&gt;(60-PARAM!$B$56))*HLOOKUP(($B656+PARAM!$B$56)/12,Loyalty,2)*$F$1*MAX(R655,0)</f>
        <v>18.557001321003963</v>
      </c>
      <c r="Q656" s="75">
        <f>PARAM!$C$26+MAX($G$6-CHOOSE(PARAM!$B$44,MAX(0,R655*$F$1),0),0)*RATES!$L632/12+$H$6*(PARAM!$D$51/12)*RATES!$N632/100</f>
        <v>360.45833333333331</v>
      </c>
      <c r="R656" s="16">
        <f t="shared" si="416"/>
        <v>-38847.720859970781</v>
      </c>
      <c r="S656" s="15">
        <f t="shared" si="391"/>
        <v>22.170849845882874</v>
      </c>
      <c r="T656" s="75">
        <f>S656*(1-PARAM!$C$27)*$I$7+(MOD($B656,60)=PARAM!$B$56)*($B656&gt;(60-PARAM!$B$56))*HLOOKUP(($B656+PARAM!$B$56)/12,Loyalty,2)*$F$1*MAX(V655,0)</f>
        <v>18.557001321003963</v>
      </c>
      <c r="U656" s="75">
        <f>PARAM!$C$26+MAX($G$7-CHOOSE(PARAM!$B$44,MAX(0,V655*$F$1),0),0)*RATES!$L632/12+$H$7*(PARAM!$D$51/12)*RATES!$N632/100</f>
        <v>360.45833333333331</v>
      </c>
      <c r="V656" s="16">
        <f t="shared" si="417"/>
        <v>-38847.720859970781</v>
      </c>
      <c r="W656" s="15">
        <f t="shared" si="392"/>
        <v>22.170849845882874</v>
      </c>
      <c r="X656" s="75">
        <f>W656*(1-PARAM!$C$27)*$I$8+(MOD($B656,60)=PARAM!$B$56)*($B656&gt;(60-PARAM!$B$56))*HLOOKUP(($B656+PARAM!$B$56)/12,Loyalty,2)*$F$1*MAX(Z655,0)</f>
        <v>18.557001321003963</v>
      </c>
      <c r="Y656" s="75">
        <f>PARAM!$C$26+MAX($G$8-CHOOSE(PARAM!$B$44,MAX(0,Z655*$F$1),0),0)*RATES!$L632/12+$H$8*(PARAM!$D$51/12)*RATES!$N632/100</f>
        <v>360.45833333333331</v>
      </c>
      <c r="Z656" s="16">
        <f t="shared" si="418"/>
        <v>-38847.720859970781</v>
      </c>
      <c r="AA656" s="15">
        <f t="shared" si="393"/>
        <v>22.170849845882874</v>
      </c>
      <c r="AB656" s="75">
        <f>AA656*(1-PARAM!$C$27)*$I$9+(MOD($B656,60)=PARAM!$B$56)*($B656&gt;(60-PARAM!$B$56))*HLOOKUP(($B656+PARAM!$B$56)/12,Loyalty,2)*$F$1*MAX(AD655,0)</f>
        <v>18.557001321003963</v>
      </c>
      <c r="AC656" s="75">
        <f>PARAM!$C$26+MAX($G$9-CHOOSE(PARAM!$B$44,MAX(0,AD655*$F$1),0),0)*RATES!$L632/12+$H$9*(PARAM!$D$51/12)*RATES!$N632/100</f>
        <v>360.45833333333331</v>
      </c>
      <c r="AD656" s="16">
        <f t="shared" si="419"/>
        <v>-38847.720859970781</v>
      </c>
      <c r="AE656" s="15">
        <f t="shared" si="394"/>
        <v>22.170849845882874</v>
      </c>
      <c r="AF656" s="75">
        <f>AE656*(1-PARAM!$C$27)*$I$10+(MOD($B656,60)=PARAM!$B$56)*($B656&gt;(60-PARAM!$B$56))*HLOOKUP(($B656+PARAM!$B$56)/12,Loyalty,2)*$F$1*MAX(AH655,0)</f>
        <v>18.557001321003963</v>
      </c>
      <c r="AG656" s="75">
        <f>PARAM!$C$26+MAX($G$10-CHOOSE(PARAM!$B$44,MAX(0,AH655*$F$1),0),0)*RATES!$L632/12+$H$10*(PARAM!$D$51/12)*RATES!$N632/100</f>
        <v>360.45833333333331</v>
      </c>
      <c r="AH656" s="16">
        <f t="shared" si="420"/>
        <v>-38847.720859970781</v>
      </c>
      <c r="AI656" s="15">
        <f t="shared" si="395"/>
        <v>22.170849845882874</v>
      </c>
      <c r="AJ656" s="75">
        <f>AI656*(1-PARAM!$C$27)*$I$11+(MOD($B656,60)=PARAM!$B$56)*($B656&gt;(60-PARAM!$B$56))*HLOOKUP(($B656+PARAM!$B$56)/12,Loyalty,2)*$F$1*MAX(AL655,0)</f>
        <v>18.557001321003963</v>
      </c>
      <c r="AK656" s="75">
        <f>PARAM!$C$26+MAX($G$11-CHOOSE(PARAM!$B$44,MAX(0,AL655*$F$1),0),0)*RATES!$L632/12+$H$11*(PARAM!$D$51/12)*RATES!$N632/100</f>
        <v>360.45833333333331</v>
      </c>
      <c r="AL656" s="16">
        <f t="shared" si="421"/>
        <v>-38847.720859970781</v>
      </c>
      <c r="AM656" s="15">
        <f t="shared" si="396"/>
        <v>22.170849845882874</v>
      </c>
      <c r="AN656" s="75">
        <f>AM656*(1-PARAM!$C$27)*$I$12+(MOD($B656,60)=PARAM!$B$56)*($B656&gt;(60-PARAM!$B$56))*HLOOKUP(($B656+PARAM!$B$56)/12,Loyalty,2)*$F$1*MAX(AP655,0)</f>
        <v>18.557001321003963</v>
      </c>
      <c r="AO656" s="75">
        <f>PARAM!$C$26+MAX($G$12-CHOOSE(PARAM!$B$44,MAX(0,AP655*$F$1),0),0)*RATES!$L632/12+$H$12*(PARAM!$D$51/12)*RATES!$N632/100</f>
        <v>360.45833333333331</v>
      </c>
      <c r="AP656" s="16">
        <f t="shared" si="422"/>
        <v>-38847.720859970781</v>
      </c>
      <c r="AQ656" s="15">
        <f t="shared" si="397"/>
        <v>22.170849845882874</v>
      </c>
      <c r="AR656" s="75">
        <f>AQ656*(1-PARAM!$C$27)*$I$13+(MOD($B656,60)=PARAM!$B$56)*($B656&gt;(60-PARAM!$B$56))*HLOOKUP(($B656+PARAM!$B$56)/12,Loyalty,2)*$F$1*MAX(AT655,0)</f>
        <v>18.557001321003963</v>
      </c>
      <c r="AS656" s="75">
        <f>PARAM!$C$26+MAX($G$13-CHOOSE(PARAM!$B$44,MAX(0,AT655*$F$1),0),0)*RATES!$L632/12+$H$13*(PARAM!$D$51/12)*RATES!$N632/100</f>
        <v>360.45833333333331</v>
      </c>
      <c r="AT656" s="16">
        <f t="shared" si="423"/>
        <v>-38847.720859970781</v>
      </c>
      <c r="AU656" s="15">
        <f t="shared" si="398"/>
        <v>22.170849845882874</v>
      </c>
      <c r="AV656" s="75">
        <f>AU656*(1-PARAM!$C$27)*$I$14+(MOD($B656,60)=PARAM!$B$56)*($B656&gt;(60-PARAM!$B$56))*HLOOKUP(($B656+PARAM!$B$56)/12,Loyalty,2)*$F$1*MAX(AX655,0)</f>
        <v>18.557001321003963</v>
      </c>
      <c r="AW656" s="75">
        <f>PARAM!$C$26+MAX($G$14-CHOOSE(PARAM!$B$44,MAX(0,AX655*$F$1),0),0)*RATES!$L632/12+$H$14*(PARAM!$D$51/12)*RATES!$N632/100</f>
        <v>360.45833333333331</v>
      </c>
      <c r="AX656" s="16">
        <f t="shared" si="424"/>
        <v>-38847.720859970781</v>
      </c>
      <c r="AY656" s="15">
        <f t="shared" si="399"/>
        <v>22.170849845882874</v>
      </c>
      <c r="AZ656" s="75">
        <f>AY656*(1-PARAM!$C$27)*$I$15+(MOD($B656,60)=PARAM!$B$56)*($B656&gt;(60-PARAM!$B$56))*HLOOKUP(($B656+PARAM!$B$56)/12,Loyalty,2)*$F$1*MAX(BB655,0)</f>
        <v>18.557001321003963</v>
      </c>
      <c r="BA656" s="75">
        <f>PARAM!$C$26+MAX($G$15-CHOOSE(PARAM!$B$44,MAX(0,BB655*$F$1),0),0)*RATES!$L632/12+$H$15*(PARAM!$D$51/12)*RATES!$N632/100</f>
        <v>360.45833333333331</v>
      </c>
      <c r="BB656" s="16">
        <f t="shared" si="425"/>
        <v>-38847.720859970781</v>
      </c>
      <c r="BC656" s="15">
        <f t="shared" si="400"/>
        <v>22.170849845882874</v>
      </c>
      <c r="BD656" s="75">
        <f>BC656*(1-PARAM!$C$27)*$I$16+(MOD($B656,60)=PARAM!$B$56)*($B656&gt;(60-PARAM!$B$56))*HLOOKUP(($B656+PARAM!$B$56)/12,Loyalty,2)*$F$1*MAX(BF655,0)</f>
        <v>18.557001321003963</v>
      </c>
      <c r="BE656" s="75">
        <f>PARAM!$C$26+MAX($G$16-CHOOSE(PARAM!$B$44,MAX(0,BF655*$F$1),0),0)*RATES!$L632/12+$H$16*(PARAM!$D$51/12)*RATES!$N632/100</f>
        <v>360.45833333333331</v>
      </c>
      <c r="BF656" s="16">
        <f t="shared" si="426"/>
        <v>-38847.720859970781</v>
      </c>
      <c r="BG656" s="15">
        <f t="shared" si="401"/>
        <v>22.170849845882874</v>
      </c>
      <c r="BH656" s="75">
        <f>BG656*(1-PARAM!$C$27)*$I$17+(MOD($B656,60)=PARAM!$B$56)*($B656&gt;(60-PARAM!$B$56))*HLOOKUP(($B656+PARAM!$B$56)/12,Loyalty,2)*$F$1*MAX(BJ655,0)</f>
        <v>18.557001321003963</v>
      </c>
      <c r="BI656" s="75">
        <f>PARAM!$C$26+MAX($G$17-CHOOSE(PARAM!$B$44,MAX(0,BJ655*$F$1),0),0)*RATES!$L632/12+$H$17*(PARAM!$D$51/12)*RATES!$N632/100</f>
        <v>360.45833333333331</v>
      </c>
      <c r="BJ656" s="16">
        <f t="shared" si="427"/>
        <v>-38847.720859970781</v>
      </c>
      <c r="BK656" s="15">
        <f t="shared" si="402"/>
        <v>22.170849845882874</v>
      </c>
      <c r="BL656" s="75">
        <f>BK656*(1-PARAM!$C$27)*$I$18+(MOD($B656,60)=PARAM!$B$56)*($B656&gt;(60-PARAM!$B$56))*HLOOKUP(($B656+PARAM!$B$56)/12,Loyalty,2)*$F$1*MAX(BN655,0)</f>
        <v>18.557001321003963</v>
      </c>
      <c r="BM656" s="75">
        <f>PARAM!$C$26+MAX($G$18-CHOOSE(PARAM!$B$44,MAX(0,BN655*$F$1),0),0)*RATES!$L632/12+$H$18*(PARAM!$D$51/12)*RATES!$N632/100</f>
        <v>360.45833333333331</v>
      </c>
      <c r="BN656" s="16">
        <f t="shared" si="428"/>
        <v>-38847.720859970781</v>
      </c>
      <c r="BO656" s="15">
        <f t="shared" si="403"/>
        <v>22.170849845882874</v>
      </c>
      <c r="BP656" s="75">
        <f>BO656*(1-PARAM!$C$27)*$I$19+(MOD($B656,60)=PARAM!$B$56)*($B656&gt;(60-PARAM!$B$56))*HLOOKUP(($B656+PARAM!$B$56)/12,Loyalty,2)*$F$1*MAX(BR655,0)</f>
        <v>18.557001321003963</v>
      </c>
      <c r="BQ656" s="75">
        <f>PARAM!$C$26+MAX($G$19-CHOOSE(PARAM!$B$44,MAX(0,BR655*$F$1),0),0)*RATES!$L632/12+$H$19*(PARAM!$D$51/12)*RATES!$N632/100</f>
        <v>360.45833333333331</v>
      </c>
      <c r="BR656" s="16">
        <f t="shared" si="429"/>
        <v>-38847.720859970781</v>
      </c>
      <c r="BS656" s="15">
        <f t="shared" si="404"/>
        <v>22.170849845882874</v>
      </c>
      <c r="BT656" s="75">
        <f>BS656*(1-PARAM!$C$27)*$I$20+(MOD($B656,60)=PARAM!$B$56)*($B656&gt;(60-PARAM!$B$56))*HLOOKUP(($B656+PARAM!$B$56)/12,Loyalty,2)*$F$1*MAX(BV655,0)</f>
        <v>18.557001321003963</v>
      </c>
      <c r="BU656" s="75">
        <f>PARAM!$C$26+MAX($G$20-CHOOSE(PARAM!$B$44,MAX(0,BV655*$F$1),0),0)*RATES!$L632/12+$H$20*(PARAM!$D$51/12)*RATES!$N632/100</f>
        <v>360.45833333333331</v>
      </c>
      <c r="BV656" s="16">
        <f t="shared" si="430"/>
        <v>-38847.720859970781</v>
      </c>
      <c r="BW656" s="15">
        <f t="shared" si="405"/>
        <v>22.170849845882874</v>
      </c>
      <c r="BX656" s="75">
        <f>BW656*(1-PARAM!$C$27)*$I$21+(MOD($B656,60)=PARAM!$B$56)*($B656&gt;(60-PARAM!$B$56))*HLOOKUP(($B656+PARAM!$B$56)/12,Loyalty,2)*$F$1*MAX(BZ655,0)</f>
        <v>18.557001321003963</v>
      </c>
      <c r="BY656" s="75">
        <f>PARAM!$C$26+MAX($G$21-CHOOSE(PARAM!$B$44,MAX(0,BZ655*$F$1),0),0)*RATES!$L632/12+$H$21*(PARAM!$D$51/12)*RATES!$N632/100</f>
        <v>360.45833333333331</v>
      </c>
      <c r="BZ656" s="16">
        <f t="shared" si="431"/>
        <v>-38847.720859970781</v>
      </c>
      <c r="CA656" s="15">
        <f t="shared" si="406"/>
        <v>22.170849845882874</v>
      </c>
      <c r="CB656" s="75">
        <f>CA656*(1-PARAM!$C$27)*$I$22+(MOD($B656,60)=PARAM!$B$56)*($B656&gt;(60-PARAM!$B$56))*HLOOKUP(($B656+PARAM!$B$56)/12,Loyalty,2)*$F$1*MAX(CD655,0)</f>
        <v>18.557001321003963</v>
      </c>
      <c r="CC656" s="75">
        <f>PARAM!$C$26+MAX($G$22-CHOOSE(PARAM!$B$44,MAX(0,CD655*$F$1),0),0)*RATES!$L632/12+$H$22*(PARAM!$D$51/12)*RATES!$N632/100</f>
        <v>360.45833333333331</v>
      </c>
      <c r="CD656" s="16">
        <f t="shared" si="432"/>
        <v>-38847.720859970781</v>
      </c>
      <c r="CE656" s="33">
        <f>IF(0=MOD(B656,12/PARAM!$D$51),1,0)</f>
        <v>1</v>
      </c>
      <c r="CF656" s="15">
        <f t="shared" si="407"/>
        <v>0</v>
      </c>
      <c r="CG656" s="75">
        <f>CF656*(1-PARAM!$C$27)*$R$3+(MOD($B656/12,5)=0)*($B656&gt;60)*HLOOKUP($B656/12,Loyalty,2)*$F$1*MAX(CI655,0)</f>
        <v>0</v>
      </c>
      <c r="CH656" s="75">
        <f>PARAM!$C$26+MAX($P$3-CHOOSE(PARAM!$B$44,MAX(0,CI655*$F$1),0),0)*RATES!$L632/12+$Q$3*(PARAM!$D$51/12)*RATES!$N632/100</f>
        <v>360.45833333333331</v>
      </c>
      <c r="CI656" s="16">
        <f>IF(CI655&gt;0,CI655*PARAM!$C$53,CI655)+CG656-CH656</f>
        <v>-50400.500000000029</v>
      </c>
      <c r="CJ656" s="15">
        <f t="shared" si="433"/>
        <v>0</v>
      </c>
      <c r="CK656" s="75">
        <f>CJ656*(1-PARAM!$C$27)*$R$4+(MOD($B656/12,5)=0)*($B656&gt;60)*HLOOKUP($B656/12,Loyalty,2)*$F$1*MAX(CM655,0)</f>
        <v>0</v>
      </c>
      <c r="CL656" s="75">
        <f>PARAM!$C$26+MAX($P$4-CHOOSE(PARAM!$B$44,MAX(0,CM655*$F$1),0),0)*RATES!$L632/12+$Q$4*(PARAM!$D$51/12)*RATES!$N632/100</f>
        <v>360.45833333333331</v>
      </c>
      <c r="CM656" s="16">
        <f>IF(CM655&gt;0,CM655*PARAM!$C$53,CM655)+CK656-CL656</f>
        <v>-50400.500000000029</v>
      </c>
      <c r="CO656" s="176"/>
    </row>
    <row r="657" spans="1:93" x14ac:dyDescent="0.2">
      <c r="A657" t="b">
        <f t="shared" si="408"/>
        <v>0</v>
      </c>
      <c r="B657" s="33">
        <v>630</v>
      </c>
      <c r="C657" s="15">
        <f t="shared" si="409"/>
        <v>20.081305947392778</v>
      </c>
      <c r="D657" s="75">
        <f>C657*(1-PARAM!$C$27)*$I$3+(MOD($B657,60)=PARAM!$B$56)*($B657&gt;(60-PARAM!$B$56))*HLOOKUP(($B657+PARAM!$B$56)/12,Loyalty,2)*$F$1*MAX(F656,0)</f>
        <v>16.808053077967756</v>
      </c>
      <c r="E657" s="75">
        <f>PARAM!$C$26+MAX($G$3-CHOOSE(PARAM!$B$44,MAX(0,F656*$F$1),0),0)*RATES!$L633/12+$H$3*(PARAM!$D$51/12)*RATES!$N633/100</f>
        <v>392.75</v>
      </c>
      <c r="F657" s="16">
        <f t="shared" si="410"/>
        <v>-40360.601752284179</v>
      </c>
      <c r="G657" s="15">
        <f t="shared" si="411"/>
        <v>22.035289406060361</v>
      </c>
      <c r="H657" s="75">
        <f>G657*(1-PARAM!$C$27)*$I$4+(MOD($B657,60)=PARAM!$B$56)*($B657&gt;(60-PARAM!$B$56))*HLOOKUP(($B657+PARAM!$B$56)/12,Loyalty,2)*$F$1*MAX(J656,0)</f>
        <v>18.443537232872522</v>
      </c>
      <c r="I657" s="75">
        <f>PARAM!$C$26+MAX($G$4-CHOOSE(PARAM!$B$44,MAX(0,J656*$F$1),0),0)*RATES!$L633/12+$H$4*(PARAM!$D$51/12)*RATES!$N633/100</f>
        <v>392.75</v>
      </c>
      <c r="J657" s="16">
        <f t="shared" si="412"/>
        <v>-39296.413770572355</v>
      </c>
      <c r="K657" s="15">
        <f t="shared" si="413"/>
        <v>22.170849845882874</v>
      </c>
      <c r="L657" s="75">
        <f>K657*(1-PARAM!$C$27)*$I$5+(MOD($B657,60)=PARAM!$B$56)*($B657&gt;(60-PARAM!$B$56))*HLOOKUP(($B657+PARAM!$B$56)/12,Loyalty,2)*$F$1*MAX(N656,0)</f>
        <v>18.557001321003963</v>
      </c>
      <c r="M657" s="75">
        <f>PARAM!$C$26+MAX($G$5-CHOOSE(PARAM!$B$44,MAX(0,N656*$F$1),0),0)*RATES!$L633/12+$H$5*(PARAM!$D$51/12)*RATES!$N633/100</f>
        <v>392.75</v>
      </c>
      <c r="N657" s="16">
        <f t="shared" si="414"/>
        <v>-39221.913858649779</v>
      </c>
      <c r="O657" s="15">
        <f t="shared" si="415"/>
        <v>22.170849845882874</v>
      </c>
      <c r="P657" s="75">
        <f>O657*(1-PARAM!$C$27)*$I$6+(MOD($B657,60)=PARAM!$B$56)*($B657&gt;(60-PARAM!$B$56))*HLOOKUP(($B657+PARAM!$B$56)/12,Loyalty,2)*$F$1*MAX(R656,0)</f>
        <v>18.557001321003963</v>
      </c>
      <c r="Q657" s="75">
        <f>PARAM!$C$26+MAX($G$6-CHOOSE(PARAM!$B$44,MAX(0,R656*$F$1),0),0)*RATES!$L633/12+$H$6*(PARAM!$D$51/12)*RATES!$N633/100</f>
        <v>392.75</v>
      </c>
      <c r="R657" s="16">
        <f t="shared" si="416"/>
        <v>-39221.913858649779</v>
      </c>
      <c r="S657" s="15">
        <f t="shared" si="391"/>
        <v>22.170849845882874</v>
      </c>
      <c r="T657" s="75">
        <f>S657*(1-PARAM!$C$27)*$I$7+(MOD($B657,60)=PARAM!$B$56)*($B657&gt;(60-PARAM!$B$56))*HLOOKUP(($B657+PARAM!$B$56)/12,Loyalty,2)*$F$1*MAX(V656,0)</f>
        <v>18.557001321003963</v>
      </c>
      <c r="U657" s="75">
        <f>PARAM!$C$26+MAX($G$7-CHOOSE(PARAM!$B$44,MAX(0,V656*$F$1),0),0)*RATES!$L633/12+$H$7*(PARAM!$D$51/12)*RATES!$N633/100</f>
        <v>392.75</v>
      </c>
      <c r="V657" s="16">
        <f t="shared" si="417"/>
        <v>-39221.913858649779</v>
      </c>
      <c r="W657" s="15">
        <f t="shared" si="392"/>
        <v>22.170849845882874</v>
      </c>
      <c r="X657" s="75">
        <f>W657*(1-PARAM!$C$27)*$I$8+(MOD($B657,60)=PARAM!$B$56)*($B657&gt;(60-PARAM!$B$56))*HLOOKUP(($B657+PARAM!$B$56)/12,Loyalty,2)*$F$1*MAX(Z656,0)</f>
        <v>18.557001321003963</v>
      </c>
      <c r="Y657" s="75">
        <f>PARAM!$C$26+MAX($G$8-CHOOSE(PARAM!$B$44,MAX(0,Z656*$F$1),0),0)*RATES!$L633/12+$H$8*(PARAM!$D$51/12)*RATES!$N633/100</f>
        <v>392.75</v>
      </c>
      <c r="Z657" s="16">
        <f t="shared" si="418"/>
        <v>-39221.913858649779</v>
      </c>
      <c r="AA657" s="15">
        <f t="shared" si="393"/>
        <v>22.170849845882874</v>
      </c>
      <c r="AB657" s="75">
        <f>AA657*(1-PARAM!$C$27)*$I$9+(MOD($B657,60)=PARAM!$B$56)*($B657&gt;(60-PARAM!$B$56))*HLOOKUP(($B657+PARAM!$B$56)/12,Loyalty,2)*$F$1*MAX(AD656,0)</f>
        <v>18.557001321003963</v>
      </c>
      <c r="AC657" s="75">
        <f>PARAM!$C$26+MAX($G$9-CHOOSE(PARAM!$B$44,MAX(0,AD656*$F$1),0),0)*RATES!$L633/12+$H$9*(PARAM!$D$51/12)*RATES!$N633/100</f>
        <v>392.75</v>
      </c>
      <c r="AD657" s="16">
        <f t="shared" si="419"/>
        <v>-39221.913858649779</v>
      </c>
      <c r="AE657" s="15">
        <f t="shared" si="394"/>
        <v>22.170849845882874</v>
      </c>
      <c r="AF657" s="75">
        <f>AE657*(1-PARAM!$C$27)*$I$10+(MOD($B657,60)=PARAM!$B$56)*($B657&gt;(60-PARAM!$B$56))*HLOOKUP(($B657+PARAM!$B$56)/12,Loyalty,2)*$F$1*MAX(AH656,0)</f>
        <v>18.557001321003963</v>
      </c>
      <c r="AG657" s="75">
        <f>PARAM!$C$26+MAX($G$10-CHOOSE(PARAM!$B$44,MAX(0,AH656*$F$1),0),0)*RATES!$L633/12+$H$10*(PARAM!$D$51/12)*RATES!$N633/100</f>
        <v>392.75</v>
      </c>
      <c r="AH657" s="16">
        <f t="shared" si="420"/>
        <v>-39221.913858649779</v>
      </c>
      <c r="AI657" s="15">
        <f t="shared" si="395"/>
        <v>22.170849845882874</v>
      </c>
      <c r="AJ657" s="75">
        <f>AI657*(1-PARAM!$C$27)*$I$11+(MOD($B657,60)=PARAM!$B$56)*($B657&gt;(60-PARAM!$B$56))*HLOOKUP(($B657+PARAM!$B$56)/12,Loyalty,2)*$F$1*MAX(AL656,0)</f>
        <v>18.557001321003963</v>
      </c>
      <c r="AK657" s="75">
        <f>PARAM!$C$26+MAX($G$11-CHOOSE(PARAM!$B$44,MAX(0,AL656*$F$1),0),0)*RATES!$L633/12+$H$11*(PARAM!$D$51/12)*RATES!$N633/100</f>
        <v>392.75</v>
      </c>
      <c r="AL657" s="16">
        <f t="shared" si="421"/>
        <v>-39221.913858649779</v>
      </c>
      <c r="AM657" s="15">
        <f t="shared" si="396"/>
        <v>22.170849845882874</v>
      </c>
      <c r="AN657" s="75">
        <f>AM657*(1-PARAM!$C$27)*$I$12+(MOD($B657,60)=PARAM!$B$56)*($B657&gt;(60-PARAM!$B$56))*HLOOKUP(($B657+PARAM!$B$56)/12,Loyalty,2)*$F$1*MAX(AP656,0)</f>
        <v>18.557001321003963</v>
      </c>
      <c r="AO657" s="75">
        <f>PARAM!$C$26+MAX($G$12-CHOOSE(PARAM!$B$44,MAX(0,AP656*$F$1),0),0)*RATES!$L633/12+$H$12*(PARAM!$D$51/12)*RATES!$N633/100</f>
        <v>392.75</v>
      </c>
      <c r="AP657" s="16">
        <f t="shared" si="422"/>
        <v>-39221.913858649779</v>
      </c>
      <c r="AQ657" s="15">
        <f t="shared" si="397"/>
        <v>22.170849845882874</v>
      </c>
      <c r="AR657" s="75">
        <f>AQ657*(1-PARAM!$C$27)*$I$13+(MOD($B657,60)=PARAM!$B$56)*($B657&gt;(60-PARAM!$B$56))*HLOOKUP(($B657+PARAM!$B$56)/12,Loyalty,2)*$F$1*MAX(AT656,0)</f>
        <v>18.557001321003963</v>
      </c>
      <c r="AS657" s="75">
        <f>PARAM!$C$26+MAX($G$13-CHOOSE(PARAM!$B$44,MAX(0,AT656*$F$1),0),0)*RATES!$L633/12+$H$13*(PARAM!$D$51/12)*RATES!$N633/100</f>
        <v>392.75</v>
      </c>
      <c r="AT657" s="16">
        <f t="shared" si="423"/>
        <v>-39221.913858649779</v>
      </c>
      <c r="AU657" s="15">
        <f t="shared" si="398"/>
        <v>22.170849845882874</v>
      </c>
      <c r="AV657" s="75">
        <f>AU657*(1-PARAM!$C$27)*$I$14+(MOD($B657,60)=PARAM!$B$56)*($B657&gt;(60-PARAM!$B$56))*HLOOKUP(($B657+PARAM!$B$56)/12,Loyalty,2)*$F$1*MAX(AX656,0)</f>
        <v>18.557001321003963</v>
      </c>
      <c r="AW657" s="75">
        <f>PARAM!$C$26+MAX($G$14-CHOOSE(PARAM!$B$44,MAX(0,AX656*$F$1),0),0)*RATES!$L633/12+$H$14*(PARAM!$D$51/12)*RATES!$N633/100</f>
        <v>392.75</v>
      </c>
      <c r="AX657" s="16">
        <f t="shared" si="424"/>
        <v>-39221.913858649779</v>
      </c>
      <c r="AY657" s="15">
        <f t="shared" si="399"/>
        <v>22.170849845882874</v>
      </c>
      <c r="AZ657" s="75">
        <f>AY657*(1-PARAM!$C$27)*$I$15+(MOD($B657,60)=PARAM!$B$56)*($B657&gt;(60-PARAM!$B$56))*HLOOKUP(($B657+PARAM!$B$56)/12,Loyalty,2)*$F$1*MAX(BB656,0)</f>
        <v>18.557001321003963</v>
      </c>
      <c r="BA657" s="75">
        <f>PARAM!$C$26+MAX($G$15-CHOOSE(PARAM!$B$44,MAX(0,BB656*$F$1),0),0)*RATES!$L633/12+$H$15*(PARAM!$D$51/12)*RATES!$N633/100</f>
        <v>392.75</v>
      </c>
      <c r="BB657" s="16">
        <f t="shared" si="425"/>
        <v>-39221.913858649779</v>
      </c>
      <c r="BC657" s="15">
        <f t="shared" si="400"/>
        <v>22.170849845882874</v>
      </c>
      <c r="BD657" s="75">
        <f>BC657*(1-PARAM!$C$27)*$I$16+(MOD($B657,60)=PARAM!$B$56)*($B657&gt;(60-PARAM!$B$56))*HLOOKUP(($B657+PARAM!$B$56)/12,Loyalty,2)*$F$1*MAX(BF656,0)</f>
        <v>18.557001321003963</v>
      </c>
      <c r="BE657" s="75">
        <f>PARAM!$C$26+MAX($G$16-CHOOSE(PARAM!$B$44,MAX(0,BF656*$F$1),0),0)*RATES!$L633/12+$H$16*(PARAM!$D$51/12)*RATES!$N633/100</f>
        <v>392.75</v>
      </c>
      <c r="BF657" s="16">
        <f t="shared" si="426"/>
        <v>-39221.913858649779</v>
      </c>
      <c r="BG657" s="15">
        <f t="shared" si="401"/>
        <v>22.170849845882874</v>
      </c>
      <c r="BH657" s="75">
        <f>BG657*(1-PARAM!$C$27)*$I$17+(MOD($B657,60)=PARAM!$B$56)*($B657&gt;(60-PARAM!$B$56))*HLOOKUP(($B657+PARAM!$B$56)/12,Loyalty,2)*$F$1*MAX(BJ656,0)</f>
        <v>18.557001321003963</v>
      </c>
      <c r="BI657" s="75">
        <f>PARAM!$C$26+MAX($G$17-CHOOSE(PARAM!$B$44,MAX(0,BJ656*$F$1),0),0)*RATES!$L633/12+$H$17*(PARAM!$D$51/12)*RATES!$N633/100</f>
        <v>392.75</v>
      </c>
      <c r="BJ657" s="16">
        <f t="shared" si="427"/>
        <v>-39221.913858649779</v>
      </c>
      <c r="BK657" s="15">
        <f t="shared" si="402"/>
        <v>22.170849845882874</v>
      </c>
      <c r="BL657" s="75">
        <f>BK657*(1-PARAM!$C$27)*$I$18+(MOD($B657,60)=PARAM!$B$56)*($B657&gt;(60-PARAM!$B$56))*HLOOKUP(($B657+PARAM!$B$56)/12,Loyalty,2)*$F$1*MAX(BN656,0)</f>
        <v>18.557001321003963</v>
      </c>
      <c r="BM657" s="75">
        <f>PARAM!$C$26+MAX($G$18-CHOOSE(PARAM!$B$44,MAX(0,BN656*$F$1),0),0)*RATES!$L633/12+$H$18*(PARAM!$D$51/12)*RATES!$N633/100</f>
        <v>392.75</v>
      </c>
      <c r="BN657" s="16">
        <f t="shared" si="428"/>
        <v>-39221.913858649779</v>
      </c>
      <c r="BO657" s="15">
        <f t="shared" si="403"/>
        <v>22.170849845882874</v>
      </c>
      <c r="BP657" s="75">
        <f>BO657*(1-PARAM!$C$27)*$I$19+(MOD($B657,60)=PARAM!$B$56)*($B657&gt;(60-PARAM!$B$56))*HLOOKUP(($B657+PARAM!$B$56)/12,Loyalty,2)*$F$1*MAX(BR656,0)</f>
        <v>18.557001321003963</v>
      </c>
      <c r="BQ657" s="75">
        <f>PARAM!$C$26+MAX($G$19-CHOOSE(PARAM!$B$44,MAX(0,BR656*$F$1),0),0)*RATES!$L633/12+$H$19*(PARAM!$D$51/12)*RATES!$N633/100</f>
        <v>392.75</v>
      </c>
      <c r="BR657" s="16">
        <f t="shared" si="429"/>
        <v>-39221.913858649779</v>
      </c>
      <c r="BS657" s="15">
        <f t="shared" si="404"/>
        <v>22.170849845882874</v>
      </c>
      <c r="BT657" s="75">
        <f>BS657*(1-PARAM!$C$27)*$I$20+(MOD($B657,60)=PARAM!$B$56)*($B657&gt;(60-PARAM!$B$56))*HLOOKUP(($B657+PARAM!$B$56)/12,Loyalty,2)*$F$1*MAX(BV656,0)</f>
        <v>18.557001321003963</v>
      </c>
      <c r="BU657" s="75">
        <f>PARAM!$C$26+MAX($G$20-CHOOSE(PARAM!$B$44,MAX(0,BV656*$F$1),0),0)*RATES!$L633/12+$H$20*(PARAM!$D$51/12)*RATES!$N633/100</f>
        <v>392.75</v>
      </c>
      <c r="BV657" s="16">
        <f t="shared" si="430"/>
        <v>-39221.913858649779</v>
      </c>
      <c r="BW657" s="15">
        <f t="shared" si="405"/>
        <v>22.170849845882874</v>
      </c>
      <c r="BX657" s="75">
        <f>BW657*(1-PARAM!$C$27)*$I$21+(MOD($B657,60)=PARAM!$B$56)*($B657&gt;(60-PARAM!$B$56))*HLOOKUP(($B657+PARAM!$B$56)/12,Loyalty,2)*$F$1*MAX(BZ656,0)</f>
        <v>18.557001321003963</v>
      </c>
      <c r="BY657" s="75">
        <f>PARAM!$C$26+MAX($G$21-CHOOSE(PARAM!$B$44,MAX(0,BZ656*$F$1),0),0)*RATES!$L633/12+$H$21*(PARAM!$D$51/12)*RATES!$N633/100</f>
        <v>392.75</v>
      </c>
      <c r="BZ657" s="16">
        <f t="shared" si="431"/>
        <v>-39221.913858649779</v>
      </c>
      <c r="CA657" s="15">
        <f t="shared" si="406"/>
        <v>22.170849845882874</v>
      </c>
      <c r="CB657" s="75">
        <f>CA657*(1-PARAM!$C$27)*$I$22+(MOD($B657,60)=PARAM!$B$56)*($B657&gt;(60-PARAM!$B$56))*HLOOKUP(($B657+PARAM!$B$56)/12,Loyalty,2)*$F$1*MAX(CD656,0)</f>
        <v>18.557001321003963</v>
      </c>
      <c r="CC657" s="75">
        <f>PARAM!$C$26+MAX($G$22-CHOOSE(PARAM!$B$44,MAX(0,CD656*$F$1),0),0)*RATES!$L633/12+$H$22*(PARAM!$D$51/12)*RATES!$N633/100</f>
        <v>392.75</v>
      </c>
      <c r="CD657" s="16">
        <f t="shared" si="432"/>
        <v>-39221.913858649779</v>
      </c>
      <c r="CE657" s="33">
        <f>IF(0=MOD(B657,12/PARAM!$D$51),1,0)</f>
        <v>1</v>
      </c>
      <c r="CF657" s="15">
        <f t="shared" si="407"/>
        <v>0</v>
      </c>
      <c r="CG657" s="75">
        <f>CF657*(1-PARAM!$C$27)*$R$3+(MOD($B657/12,5)=0)*($B657&gt;60)*HLOOKUP($B657/12,Loyalty,2)*$F$1*MAX(CI656,0)</f>
        <v>0</v>
      </c>
      <c r="CH657" s="75">
        <f>PARAM!$C$26+MAX($P$3-CHOOSE(PARAM!$B$44,MAX(0,CI656*$F$1),0),0)*RATES!$L633/12+$Q$3*(PARAM!$D$51/12)*RATES!$N633/100</f>
        <v>392.75</v>
      </c>
      <c r="CI657" s="16">
        <f>IF(CI656&gt;0,CI656*PARAM!$C$53,CI656)+CG657-CH657</f>
        <v>-50793.250000000029</v>
      </c>
      <c r="CJ657" s="15">
        <f t="shared" si="433"/>
        <v>0</v>
      </c>
      <c r="CK657" s="75">
        <f>CJ657*(1-PARAM!$C$27)*$R$4+(MOD($B657/12,5)=0)*($B657&gt;60)*HLOOKUP($B657/12,Loyalty,2)*$F$1*MAX(CM656,0)</f>
        <v>0</v>
      </c>
      <c r="CL657" s="75">
        <f>PARAM!$C$26+MAX($P$4-CHOOSE(PARAM!$B$44,MAX(0,CM656*$F$1),0),0)*RATES!$L633/12+$Q$4*(PARAM!$D$51/12)*RATES!$N633/100</f>
        <v>392.75</v>
      </c>
      <c r="CM657" s="16">
        <f>IF(CM656&gt;0,CM656*PARAM!$C$53,CM656)+CK657-CL657</f>
        <v>-50793.250000000029</v>
      </c>
      <c r="CO657" s="176"/>
    </row>
    <row r="658" spans="1:93" x14ac:dyDescent="0.2">
      <c r="A658" t="b">
        <f t="shared" si="408"/>
        <v>0</v>
      </c>
      <c r="B658" s="33">
        <v>631</v>
      </c>
      <c r="C658" s="15">
        <f t="shared" si="409"/>
        <v>20.081305947392778</v>
      </c>
      <c r="D658" s="75">
        <f>C658*(1-PARAM!$C$27)*$I$3+(MOD($B658,60)=PARAM!$B$56)*($B658&gt;(60-PARAM!$B$56))*HLOOKUP(($B658+PARAM!$B$56)/12,Loyalty,2)*$F$1*MAX(F657,0)</f>
        <v>16.808053077967756</v>
      </c>
      <c r="E658" s="75">
        <f>PARAM!$C$26+MAX($G$3-CHOOSE(PARAM!$B$44,MAX(0,F657*$F$1),0),0)*RATES!$L634/12+$H$3*(PARAM!$D$51/12)*RATES!$N634/100</f>
        <v>392.75</v>
      </c>
      <c r="F658" s="16">
        <f t="shared" si="410"/>
        <v>-40736.54369920621</v>
      </c>
      <c r="G658" s="15">
        <f t="shared" si="411"/>
        <v>22.035289406060361</v>
      </c>
      <c r="H658" s="75">
        <f>G658*(1-PARAM!$C$27)*$I$4+(MOD($B658,60)=PARAM!$B$56)*($B658&gt;(60-PARAM!$B$56))*HLOOKUP(($B658+PARAM!$B$56)/12,Loyalty,2)*$F$1*MAX(J657,0)</f>
        <v>18.443537232872522</v>
      </c>
      <c r="I658" s="75">
        <f>PARAM!$C$26+MAX($G$4-CHOOSE(PARAM!$B$44,MAX(0,J657*$F$1),0),0)*RATES!$L634/12+$H$4*(PARAM!$D$51/12)*RATES!$N634/100</f>
        <v>392.75</v>
      </c>
      <c r="J658" s="16">
        <f t="shared" si="412"/>
        <v>-39670.720233339482</v>
      </c>
      <c r="K658" s="15">
        <f t="shared" si="413"/>
        <v>22.170849845882874</v>
      </c>
      <c r="L658" s="75">
        <f>K658*(1-PARAM!$C$27)*$I$5+(MOD($B658,60)=PARAM!$B$56)*($B658&gt;(60-PARAM!$B$56))*HLOOKUP(($B658+PARAM!$B$56)/12,Loyalty,2)*$F$1*MAX(N657,0)</f>
        <v>18.557001321003963</v>
      </c>
      <c r="M658" s="75">
        <f>PARAM!$C$26+MAX($G$5-CHOOSE(PARAM!$B$44,MAX(0,N657*$F$1),0),0)*RATES!$L634/12+$H$5*(PARAM!$D$51/12)*RATES!$N634/100</f>
        <v>392.75</v>
      </c>
      <c r="N658" s="16">
        <f t="shared" si="414"/>
        <v>-39596.106857328778</v>
      </c>
      <c r="O658" s="15">
        <f t="shared" si="415"/>
        <v>22.170849845882874</v>
      </c>
      <c r="P658" s="75">
        <f>O658*(1-PARAM!$C$27)*$I$6+(MOD($B658,60)=PARAM!$B$56)*($B658&gt;(60-PARAM!$B$56))*HLOOKUP(($B658+PARAM!$B$56)/12,Loyalty,2)*$F$1*MAX(R657,0)</f>
        <v>18.557001321003963</v>
      </c>
      <c r="Q658" s="75">
        <f>PARAM!$C$26+MAX($G$6-CHOOSE(PARAM!$B$44,MAX(0,R657*$F$1),0),0)*RATES!$L634/12+$H$6*(PARAM!$D$51/12)*RATES!$N634/100</f>
        <v>392.75</v>
      </c>
      <c r="R658" s="16">
        <f t="shared" si="416"/>
        <v>-39596.106857328778</v>
      </c>
      <c r="S658" s="15">
        <f t="shared" si="391"/>
        <v>22.170849845882874</v>
      </c>
      <c r="T658" s="75">
        <f>S658*(1-PARAM!$C$27)*$I$7+(MOD($B658,60)=PARAM!$B$56)*($B658&gt;(60-PARAM!$B$56))*HLOOKUP(($B658+PARAM!$B$56)/12,Loyalty,2)*$F$1*MAX(V657,0)</f>
        <v>18.557001321003963</v>
      </c>
      <c r="U658" s="75">
        <f>PARAM!$C$26+MAX($G$7-CHOOSE(PARAM!$B$44,MAX(0,V657*$F$1),0),0)*RATES!$L634/12+$H$7*(PARAM!$D$51/12)*RATES!$N634/100</f>
        <v>392.75</v>
      </c>
      <c r="V658" s="16">
        <f t="shared" si="417"/>
        <v>-39596.106857328778</v>
      </c>
      <c r="W658" s="15">
        <f t="shared" si="392"/>
        <v>22.170849845882874</v>
      </c>
      <c r="X658" s="75">
        <f>W658*(1-PARAM!$C$27)*$I$8+(MOD($B658,60)=PARAM!$B$56)*($B658&gt;(60-PARAM!$B$56))*HLOOKUP(($B658+PARAM!$B$56)/12,Loyalty,2)*$F$1*MAX(Z657,0)</f>
        <v>18.557001321003963</v>
      </c>
      <c r="Y658" s="75">
        <f>PARAM!$C$26+MAX($G$8-CHOOSE(PARAM!$B$44,MAX(0,Z657*$F$1),0),0)*RATES!$L634/12+$H$8*(PARAM!$D$51/12)*RATES!$N634/100</f>
        <v>392.75</v>
      </c>
      <c r="Z658" s="16">
        <f t="shared" si="418"/>
        <v>-39596.106857328778</v>
      </c>
      <c r="AA658" s="15">
        <f t="shared" si="393"/>
        <v>22.170849845882874</v>
      </c>
      <c r="AB658" s="75">
        <f>AA658*(1-PARAM!$C$27)*$I$9+(MOD($B658,60)=PARAM!$B$56)*($B658&gt;(60-PARAM!$B$56))*HLOOKUP(($B658+PARAM!$B$56)/12,Loyalty,2)*$F$1*MAX(AD657,0)</f>
        <v>18.557001321003963</v>
      </c>
      <c r="AC658" s="75">
        <f>PARAM!$C$26+MAX($G$9-CHOOSE(PARAM!$B$44,MAX(0,AD657*$F$1),0),0)*RATES!$L634/12+$H$9*(PARAM!$D$51/12)*RATES!$N634/100</f>
        <v>392.75</v>
      </c>
      <c r="AD658" s="16">
        <f t="shared" si="419"/>
        <v>-39596.106857328778</v>
      </c>
      <c r="AE658" s="15">
        <f t="shared" si="394"/>
        <v>22.170849845882874</v>
      </c>
      <c r="AF658" s="75">
        <f>AE658*(1-PARAM!$C$27)*$I$10+(MOD($B658,60)=PARAM!$B$56)*($B658&gt;(60-PARAM!$B$56))*HLOOKUP(($B658+PARAM!$B$56)/12,Loyalty,2)*$F$1*MAX(AH657,0)</f>
        <v>18.557001321003963</v>
      </c>
      <c r="AG658" s="75">
        <f>PARAM!$C$26+MAX($G$10-CHOOSE(PARAM!$B$44,MAX(0,AH657*$F$1),0),0)*RATES!$L634/12+$H$10*(PARAM!$D$51/12)*RATES!$N634/100</f>
        <v>392.75</v>
      </c>
      <c r="AH658" s="16">
        <f t="shared" si="420"/>
        <v>-39596.106857328778</v>
      </c>
      <c r="AI658" s="15">
        <f t="shared" si="395"/>
        <v>22.170849845882874</v>
      </c>
      <c r="AJ658" s="75">
        <f>AI658*(1-PARAM!$C$27)*$I$11+(MOD($B658,60)=PARAM!$B$56)*($B658&gt;(60-PARAM!$B$56))*HLOOKUP(($B658+PARAM!$B$56)/12,Loyalty,2)*$F$1*MAX(AL657,0)</f>
        <v>18.557001321003963</v>
      </c>
      <c r="AK658" s="75">
        <f>PARAM!$C$26+MAX($G$11-CHOOSE(PARAM!$B$44,MAX(0,AL657*$F$1),0),0)*RATES!$L634/12+$H$11*(PARAM!$D$51/12)*RATES!$N634/100</f>
        <v>392.75</v>
      </c>
      <c r="AL658" s="16">
        <f t="shared" si="421"/>
        <v>-39596.106857328778</v>
      </c>
      <c r="AM658" s="15">
        <f t="shared" si="396"/>
        <v>22.170849845882874</v>
      </c>
      <c r="AN658" s="75">
        <f>AM658*(1-PARAM!$C$27)*$I$12+(MOD($B658,60)=PARAM!$B$56)*($B658&gt;(60-PARAM!$B$56))*HLOOKUP(($B658+PARAM!$B$56)/12,Loyalty,2)*$F$1*MAX(AP657,0)</f>
        <v>18.557001321003963</v>
      </c>
      <c r="AO658" s="75">
        <f>PARAM!$C$26+MAX($G$12-CHOOSE(PARAM!$B$44,MAX(0,AP657*$F$1),0),0)*RATES!$L634/12+$H$12*(PARAM!$D$51/12)*RATES!$N634/100</f>
        <v>392.75</v>
      </c>
      <c r="AP658" s="16">
        <f t="shared" si="422"/>
        <v>-39596.106857328778</v>
      </c>
      <c r="AQ658" s="15">
        <f t="shared" si="397"/>
        <v>22.170849845882874</v>
      </c>
      <c r="AR658" s="75">
        <f>AQ658*(1-PARAM!$C$27)*$I$13+(MOD($B658,60)=PARAM!$B$56)*($B658&gt;(60-PARAM!$B$56))*HLOOKUP(($B658+PARAM!$B$56)/12,Loyalty,2)*$F$1*MAX(AT657,0)</f>
        <v>18.557001321003963</v>
      </c>
      <c r="AS658" s="75">
        <f>PARAM!$C$26+MAX($G$13-CHOOSE(PARAM!$B$44,MAX(0,AT657*$F$1),0),0)*RATES!$L634/12+$H$13*(PARAM!$D$51/12)*RATES!$N634/100</f>
        <v>392.75</v>
      </c>
      <c r="AT658" s="16">
        <f t="shared" si="423"/>
        <v>-39596.106857328778</v>
      </c>
      <c r="AU658" s="15">
        <f t="shared" si="398"/>
        <v>22.170849845882874</v>
      </c>
      <c r="AV658" s="75">
        <f>AU658*(1-PARAM!$C$27)*$I$14+(MOD($B658,60)=PARAM!$B$56)*($B658&gt;(60-PARAM!$B$56))*HLOOKUP(($B658+PARAM!$B$56)/12,Loyalty,2)*$F$1*MAX(AX657,0)</f>
        <v>18.557001321003963</v>
      </c>
      <c r="AW658" s="75">
        <f>PARAM!$C$26+MAX($G$14-CHOOSE(PARAM!$B$44,MAX(0,AX657*$F$1),0),0)*RATES!$L634/12+$H$14*(PARAM!$D$51/12)*RATES!$N634/100</f>
        <v>392.75</v>
      </c>
      <c r="AX658" s="16">
        <f t="shared" si="424"/>
        <v>-39596.106857328778</v>
      </c>
      <c r="AY658" s="15">
        <f t="shared" si="399"/>
        <v>22.170849845882874</v>
      </c>
      <c r="AZ658" s="75">
        <f>AY658*(1-PARAM!$C$27)*$I$15+(MOD($B658,60)=PARAM!$B$56)*($B658&gt;(60-PARAM!$B$56))*HLOOKUP(($B658+PARAM!$B$56)/12,Loyalty,2)*$F$1*MAX(BB657,0)</f>
        <v>18.557001321003963</v>
      </c>
      <c r="BA658" s="75">
        <f>PARAM!$C$26+MAX($G$15-CHOOSE(PARAM!$B$44,MAX(0,BB657*$F$1),0),0)*RATES!$L634/12+$H$15*(PARAM!$D$51/12)*RATES!$N634/100</f>
        <v>392.75</v>
      </c>
      <c r="BB658" s="16">
        <f t="shared" si="425"/>
        <v>-39596.106857328778</v>
      </c>
      <c r="BC658" s="15">
        <f t="shared" si="400"/>
        <v>22.170849845882874</v>
      </c>
      <c r="BD658" s="75">
        <f>BC658*(1-PARAM!$C$27)*$I$16+(MOD($B658,60)=PARAM!$B$56)*($B658&gt;(60-PARAM!$B$56))*HLOOKUP(($B658+PARAM!$B$56)/12,Loyalty,2)*$F$1*MAX(BF657,0)</f>
        <v>18.557001321003963</v>
      </c>
      <c r="BE658" s="75">
        <f>PARAM!$C$26+MAX($G$16-CHOOSE(PARAM!$B$44,MAX(0,BF657*$F$1),0),0)*RATES!$L634/12+$H$16*(PARAM!$D$51/12)*RATES!$N634/100</f>
        <v>392.75</v>
      </c>
      <c r="BF658" s="16">
        <f t="shared" si="426"/>
        <v>-39596.106857328778</v>
      </c>
      <c r="BG658" s="15">
        <f t="shared" si="401"/>
        <v>22.170849845882874</v>
      </c>
      <c r="BH658" s="75">
        <f>BG658*(1-PARAM!$C$27)*$I$17+(MOD($B658,60)=PARAM!$B$56)*($B658&gt;(60-PARAM!$B$56))*HLOOKUP(($B658+PARAM!$B$56)/12,Loyalty,2)*$F$1*MAX(BJ657,0)</f>
        <v>18.557001321003963</v>
      </c>
      <c r="BI658" s="75">
        <f>PARAM!$C$26+MAX($G$17-CHOOSE(PARAM!$B$44,MAX(0,BJ657*$F$1),0),0)*RATES!$L634/12+$H$17*(PARAM!$D$51/12)*RATES!$N634/100</f>
        <v>392.75</v>
      </c>
      <c r="BJ658" s="16">
        <f t="shared" si="427"/>
        <v>-39596.106857328778</v>
      </c>
      <c r="BK658" s="15">
        <f t="shared" si="402"/>
        <v>22.170849845882874</v>
      </c>
      <c r="BL658" s="75">
        <f>BK658*(1-PARAM!$C$27)*$I$18+(MOD($B658,60)=PARAM!$B$56)*($B658&gt;(60-PARAM!$B$56))*HLOOKUP(($B658+PARAM!$B$56)/12,Loyalty,2)*$F$1*MAX(BN657,0)</f>
        <v>18.557001321003963</v>
      </c>
      <c r="BM658" s="75">
        <f>PARAM!$C$26+MAX($G$18-CHOOSE(PARAM!$B$44,MAX(0,BN657*$F$1),0),0)*RATES!$L634/12+$H$18*(PARAM!$D$51/12)*RATES!$N634/100</f>
        <v>392.75</v>
      </c>
      <c r="BN658" s="16">
        <f t="shared" si="428"/>
        <v>-39596.106857328778</v>
      </c>
      <c r="BO658" s="15">
        <f t="shared" si="403"/>
        <v>22.170849845882874</v>
      </c>
      <c r="BP658" s="75">
        <f>BO658*(1-PARAM!$C$27)*$I$19+(MOD($B658,60)=PARAM!$B$56)*($B658&gt;(60-PARAM!$B$56))*HLOOKUP(($B658+PARAM!$B$56)/12,Loyalty,2)*$F$1*MAX(BR657,0)</f>
        <v>18.557001321003963</v>
      </c>
      <c r="BQ658" s="75">
        <f>PARAM!$C$26+MAX($G$19-CHOOSE(PARAM!$B$44,MAX(0,BR657*$F$1),0),0)*RATES!$L634/12+$H$19*(PARAM!$D$51/12)*RATES!$N634/100</f>
        <v>392.75</v>
      </c>
      <c r="BR658" s="16">
        <f t="shared" si="429"/>
        <v>-39596.106857328778</v>
      </c>
      <c r="BS658" s="15">
        <f t="shared" si="404"/>
        <v>22.170849845882874</v>
      </c>
      <c r="BT658" s="75">
        <f>BS658*(1-PARAM!$C$27)*$I$20+(MOD($B658,60)=PARAM!$B$56)*($B658&gt;(60-PARAM!$B$56))*HLOOKUP(($B658+PARAM!$B$56)/12,Loyalty,2)*$F$1*MAX(BV657,0)</f>
        <v>18.557001321003963</v>
      </c>
      <c r="BU658" s="75">
        <f>PARAM!$C$26+MAX($G$20-CHOOSE(PARAM!$B$44,MAX(0,BV657*$F$1),0),0)*RATES!$L634/12+$H$20*(PARAM!$D$51/12)*RATES!$N634/100</f>
        <v>392.75</v>
      </c>
      <c r="BV658" s="16">
        <f t="shared" si="430"/>
        <v>-39596.106857328778</v>
      </c>
      <c r="BW658" s="15">
        <f t="shared" si="405"/>
        <v>22.170849845882874</v>
      </c>
      <c r="BX658" s="75">
        <f>BW658*(1-PARAM!$C$27)*$I$21+(MOD($B658,60)=PARAM!$B$56)*($B658&gt;(60-PARAM!$B$56))*HLOOKUP(($B658+PARAM!$B$56)/12,Loyalty,2)*$F$1*MAX(BZ657,0)</f>
        <v>18.557001321003963</v>
      </c>
      <c r="BY658" s="75">
        <f>PARAM!$C$26+MAX($G$21-CHOOSE(PARAM!$B$44,MAX(0,BZ657*$F$1),0),0)*RATES!$L634/12+$H$21*(PARAM!$D$51/12)*RATES!$N634/100</f>
        <v>392.75</v>
      </c>
      <c r="BZ658" s="16">
        <f t="shared" si="431"/>
        <v>-39596.106857328778</v>
      </c>
      <c r="CA658" s="15">
        <f t="shared" si="406"/>
        <v>22.170849845882874</v>
      </c>
      <c r="CB658" s="75">
        <f>CA658*(1-PARAM!$C$27)*$I$22+(MOD($B658,60)=PARAM!$B$56)*($B658&gt;(60-PARAM!$B$56))*HLOOKUP(($B658+PARAM!$B$56)/12,Loyalty,2)*$F$1*MAX(CD657,0)</f>
        <v>18.557001321003963</v>
      </c>
      <c r="CC658" s="75">
        <f>PARAM!$C$26+MAX($G$22-CHOOSE(PARAM!$B$44,MAX(0,CD657*$F$1),0),0)*RATES!$L634/12+$H$22*(PARAM!$D$51/12)*RATES!$N634/100</f>
        <v>392.75</v>
      </c>
      <c r="CD658" s="16">
        <f t="shared" si="432"/>
        <v>-39596.106857328778</v>
      </c>
      <c r="CE658" s="33">
        <f>IF(0=MOD(B658,12/PARAM!$D$51),1,0)</f>
        <v>1</v>
      </c>
      <c r="CF658" s="15">
        <f t="shared" si="407"/>
        <v>0</v>
      </c>
      <c r="CG658" s="75">
        <f>CF658*(1-PARAM!$C$27)*$R$3+(MOD($B658/12,5)=0)*($B658&gt;60)*HLOOKUP($B658/12,Loyalty,2)*$F$1*MAX(CI657,0)</f>
        <v>0</v>
      </c>
      <c r="CH658" s="75">
        <f>PARAM!$C$26+MAX($P$3-CHOOSE(PARAM!$B$44,MAX(0,CI657*$F$1),0),0)*RATES!$L634/12+$Q$3*(PARAM!$D$51/12)*RATES!$N634/100</f>
        <v>392.75</v>
      </c>
      <c r="CI658" s="16">
        <f>IF(CI657&gt;0,CI657*PARAM!$C$53,CI657)+CG658-CH658</f>
        <v>-51186.000000000029</v>
      </c>
      <c r="CJ658" s="15">
        <f t="shared" si="433"/>
        <v>0</v>
      </c>
      <c r="CK658" s="75">
        <f>CJ658*(1-PARAM!$C$27)*$R$4+(MOD($B658/12,5)=0)*($B658&gt;60)*HLOOKUP($B658/12,Loyalty,2)*$F$1*MAX(CM657,0)</f>
        <v>0</v>
      </c>
      <c r="CL658" s="75">
        <f>PARAM!$C$26+MAX($P$4-CHOOSE(PARAM!$B$44,MAX(0,CM657*$F$1),0),0)*RATES!$L634/12+$Q$4*(PARAM!$D$51/12)*RATES!$N634/100</f>
        <v>392.75</v>
      </c>
      <c r="CM658" s="16">
        <f>IF(CM657&gt;0,CM657*PARAM!$C$53,CM657)+CK658-CL658</f>
        <v>-51186.000000000029</v>
      </c>
      <c r="CO658" s="176"/>
    </row>
    <row r="659" spans="1:93" x14ac:dyDescent="0.2">
      <c r="A659" t="b">
        <f t="shared" si="408"/>
        <v>0</v>
      </c>
      <c r="B659" s="33">
        <v>632</v>
      </c>
      <c r="C659" s="15">
        <f t="shared" si="409"/>
        <v>20.081305947392778</v>
      </c>
      <c r="D659" s="75">
        <f>C659*(1-PARAM!$C$27)*$I$3+(MOD($B659,60)=PARAM!$B$56)*($B659&gt;(60-PARAM!$B$56))*HLOOKUP(($B659+PARAM!$B$56)/12,Loyalty,2)*$F$1*MAX(F658,0)</f>
        <v>16.808053077967756</v>
      </c>
      <c r="E659" s="75">
        <f>PARAM!$C$26+MAX($G$3-CHOOSE(PARAM!$B$44,MAX(0,F658*$F$1),0),0)*RATES!$L635/12+$H$3*(PARAM!$D$51/12)*RATES!$N635/100</f>
        <v>392.75</v>
      </c>
      <c r="F659" s="16">
        <f t="shared" si="410"/>
        <v>-41112.48564612824</v>
      </c>
      <c r="G659" s="15">
        <f t="shared" si="411"/>
        <v>22.035289406060361</v>
      </c>
      <c r="H659" s="75">
        <f>G659*(1-PARAM!$C$27)*$I$4+(MOD($B659,60)=PARAM!$B$56)*($B659&gt;(60-PARAM!$B$56))*HLOOKUP(($B659+PARAM!$B$56)/12,Loyalty,2)*$F$1*MAX(J658,0)</f>
        <v>18.443537232872522</v>
      </c>
      <c r="I659" s="75">
        <f>PARAM!$C$26+MAX($G$4-CHOOSE(PARAM!$B$44,MAX(0,J658*$F$1),0),0)*RATES!$L635/12+$H$4*(PARAM!$D$51/12)*RATES!$N635/100</f>
        <v>392.75</v>
      </c>
      <c r="J659" s="16">
        <f t="shared" si="412"/>
        <v>-40045.026696106608</v>
      </c>
      <c r="K659" s="15">
        <f t="shared" si="413"/>
        <v>22.170849845882874</v>
      </c>
      <c r="L659" s="75">
        <f>K659*(1-PARAM!$C$27)*$I$5+(MOD($B659,60)=PARAM!$B$56)*($B659&gt;(60-PARAM!$B$56))*HLOOKUP(($B659+PARAM!$B$56)/12,Loyalty,2)*$F$1*MAX(N658,0)</f>
        <v>18.557001321003963</v>
      </c>
      <c r="M659" s="75">
        <f>PARAM!$C$26+MAX($G$5-CHOOSE(PARAM!$B$44,MAX(0,N658*$F$1),0),0)*RATES!$L635/12+$H$5*(PARAM!$D$51/12)*RATES!$N635/100</f>
        <v>392.75</v>
      </c>
      <c r="N659" s="16">
        <f t="shared" si="414"/>
        <v>-39970.299856007776</v>
      </c>
      <c r="O659" s="15">
        <f t="shared" si="415"/>
        <v>22.170849845882874</v>
      </c>
      <c r="P659" s="75">
        <f>O659*(1-PARAM!$C$27)*$I$6+(MOD($B659,60)=PARAM!$B$56)*($B659&gt;(60-PARAM!$B$56))*HLOOKUP(($B659+PARAM!$B$56)/12,Loyalty,2)*$F$1*MAX(R658,0)</f>
        <v>18.557001321003963</v>
      </c>
      <c r="Q659" s="75">
        <f>PARAM!$C$26+MAX($G$6-CHOOSE(PARAM!$B$44,MAX(0,R658*$F$1),0),0)*RATES!$L635/12+$H$6*(PARAM!$D$51/12)*RATES!$N635/100</f>
        <v>392.75</v>
      </c>
      <c r="R659" s="16">
        <f t="shared" si="416"/>
        <v>-39970.299856007776</v>
      </c>
      <c r="S659" s="15">
        <f t="shared" si="391"/>
        <v>22.170849845882874</v>
      </c>
      <c r="T659" s="75">
        <f>S659*(1-PARAM!$C$27)*$I$7+(MOD($B659,60)=PARAM!$B$56)*($B659&gt;(60-PARAM!$B$56))*HLOOKUP(($B659+PARAM!$B$56)/12,Loyalty,2)*$F$1*MAX(V658,0)</f>
        <v>18.557001321003963</v>
      </c>
      <c r="U659" s="75">
        <f>PARAM!$C$26+MAX($G$7-CHOOSE(PARAM!$B$44,MAX(0,V658*$F$1),0),0)*RATES!$L635/12+$H$7*(PARAM!$D$51/12)*RATES!$N635/100</f>
        <v>392.75</v>
      </c>
      <c r="V659" s="16">
        <f t="shared" si="417"/>
        <v>-39970.299856007776</v>
      </c>
      <c r="W659" s="15">
        <f t="shared" si="392"/>
        <v>22.170849845882874</v>
      </c>
      <c r="X659" s="75">
        <f>W659*(1-PARAM!$C$27)*$I$8+(MOD($B659,60)=PARAM!$B$56)*($B659&gt;(60-PARAM!$B$56))*HLOOKUP(($B659+PARAM!$B$56)/12,Loyalty,2)*$F$1*MAX(Z658,0)</f>
        <v>18.557001321003963</v>
      </c>
      <c r="Y659" s="75">
        <f>PARAM!$C$26+MAX($G$8-CHOOSE(PARAM!$B$44,MAX(0,Z658*$F$1),0),0)*RATES!$L635/12+$H$8*(PARAM!$D$51/12)*RATES!$N635/100</f>
        <v>392.75</v>
      </c>
      <c r="Z659" s="16">
        <f t="shared" si="418"/>
        <v>-39970.299856007776</v>
      </c>
      <c r="AA659" s="15">
        <f t="shared" si="393"/>
        <v>22.170849845882874</v>
      </c>
      <c r="AB659" s="75">
        <f>AA659*(1-PARAM!$C$27)*$I$9+(MOD($B659,60)=PARAM!$B$56)*($B659&gt;(60-PARAM!$B$56))*HLOOKUP(($B659+PARAM!$B$56)/12,Loyalty,2)*$F$1*MAX(AD658,0)</f>
        <v>18.557001321003963</v>
      </c>
      <c r="AC659" s="75">
        <f>PARAM!$C$26+MAX($G$9-CHOOSE(PARAM!$B$44,MAX(0,AD658*$F$1),0),0)*RATES!$L635/12+$H$9*(PARAM!$D$51/12)*RATES!$N635/100</f>
        <v>392.75</v>
      </c>
      <c r="AD659" s="16">
        <f t="shared" si="419"/>
        <v>-39970.299856007776</v>
      </c>
      <c r="AE659" s="15">
        <f t="shared" si="394"/>
        <v>22.170849845882874</v>
      </c>
      <c r="AF659" s="75">
        <f>AE659*(1-PARAM!$C$27)*$I$10+(MOD($B659,60)=PARAM!$B$56)*($B659&gt;(60-PARAM!$B$56))*HLOOKUP(($B659+PARAM!$B$56)/12,Loyalty,2)*$F$1*MAX(AH658,0)</f>
        <v>18.557001321003963</v>
      </c>
      <c r="AG659" s="75">
        <f>PARAM!$C$26+MAX($G$10-CHOOSE(PARAM!$B$44,MAX(0,AH658*$F$1),0),0)*RATES!$L635/12+$H$10*(PARAM!$D$51/12)*RATES!$N635/100</f>
        <v>392.75</v>
      </c>
      <c r="AH659" s="16">
        <f t="shared" si="420"/>
        <v>-39970.299856007776</v>
      </c>
      <c r="AI659" s="15">
        <f t="shared" si="395"/>
        <v>22.170849845882874</v>
      </c>
      <c r="AJ659" s="75">
        <f>AI659*(1-PARAM!$C$27)*$I$11+(MOD($B659,60)=PARAM!$B$56)*($B659&gt;(60-PARAM!$B$56))*HLOOKUP(($B659+PARAM!$B$56)/12,Loyalty,2)*$F$1*MAX(AL658,0)</f>
        <v>18.557001321003963</v>
      </c>
      <c r="AK659" s="75">
        <f>PARAM!$C$26+MAX($G$11-CHOOSE(PARAM!$B$44,MAX(0,AL658*$F$1),0),0)*RATES!$L635/12+$H$11*(PARAM!$D$51/12)*RATES!$N635/100</f>
        <v>392.75</v>
      </c>
      <c r="AL659" s="16">
        <f t="shared" si="421"/>
        <v>-39970.299856007776</v>
      </c>
      <c r="AM659" s="15">
        <f t="shared" si="396"/>
        <v>22.170849845882874</v>
      </c>
      <c r="AN659" s="75">
        <f>AM659*(1-PARAM!$C$27)*$I$12+(MOD($B659,60)=PARAM!$B$56)*($B659&gt;(60-PARAM!$B$56))*HLOOKUP(($B659+PARAM!$B$56)/12,Loyalty,2)*$F$1*MAX(AP658,0)</f>
        <v>18.557001321003963</v>
      </c>
      <c r="AO659" s="75">
        <f>PARAM!$C$26+MAX($G$12-CHOOSE(PARAM!$B$44,MAX(0,AP658*$F$1),0),0)*RATES!$L635/12+$H$12*(PARAM!$D$51/12)*RATES!$N635/100</f>
        <v>392.75</v>
      </c>
      <c r="AP659" s="16">
        <f t="shared" si="422"/>
        <v>-39970.299856007776</v>
      </c>
      <c r="AQ659" s="15">
        <f t="shared" si="397"/>
        <v>22.170849845882874</v>
      </c>
      <c r="AR659" s="75">
        <f>AQ659*(1-PARAM!$C$27)*$I$13+(MOD($B659,60)=PARAM!$B$56)*($B659&gt;(60-PARAM!$B$56))*HLOOKUP(($B659+PARAM!$B$56)/12,Loyalty,2)*$F$1*MAX(AT658,0)</f>
        <v>18.557001321003963</v>
      </c>
      <c r="AS659" s="75">
        <f>PARAM!$C$26+MAX($G$13-CHOOSE(PARAM!$B$44,MAX(0,AT658*$F$1),0),0)*RATES!$L635/12+$H$13*(PARAM!$D$51/12)*RATES!$N635/100</f>
        <v>392.75</v>
      </c>
      <c r="AT659" s="16">
        <f t="shared" si="423"/>
        <v>-39970.299856007776</v>
      </c>
      <c r="AU659" s="15">
        <f t="shared" si="398"/>
        <v>22.170849845882874</v>
      </c>
      <c r="AV659" s="75">
        <f>AU659*(1-PARAM!$C$27)*$I$14+(MOD($B659,60)=PARAM!$B$56)*($B659&gt;(60-PARAM!$B$56))*HLOOKUP(($B659+PARAM!$B$56)/12,Loyalty,2)*$F$1*MAX(AX658,0)</f>
        <v>18.557001321003963</v>
      </c>
      <c r="AW659" s="75">
        <f>PARAM!$C$26+MAX($G$14-CHOOSE(PARAM!$B$44,MAX(0,AX658*$F$1),0),0)*RATES!$L635/12+$H$14*(PARAM!$D$51/12)*RATES!$N635/100</f>
        <v>392.75</v>
      </c>
      <c r="AX659" s="16">
        <f t="shared" si="424"/>
        <v>-39970.299856007776</v>
      </c>
      <c r="AY659" s="15">
        <f t="shared" si="399"/>
        <v>22.170849845882874</v>
      </c>
      <c r="AZ659" s="75">
        <f>AY659*(1-PARAM!$C$27)*$I$15+(MOD($B659,60)=PARAM!$B$56)*($B659&gt;(60-PARAM!$B$56))*HLOOKUP(($B659+PARAM!$B$56)/12,Loyalty,2)*$F$1*MAX(BB658,0)</f>
        <v>18.557001321003963</v>
      </c>
      <c r="BA659" s="75">
        <f>PARAM!$C$26+MAX($G$15-CHOOSE(PARAM!$B$44,MAX(0,BB658*$F$1),0),0)*RATES!$L635/12+$H$15*(PARAM!$D$51/12)*RATES!$N635/100</f>
        <v>392.75</v>
      </c>
      <c r="BB659" s="16">
        <f t="shared" si="425"/>
        <v>-39970.299856007776</v>
      </c>
      <c r="BC659" s="15">
        <f t="shared" si="400"/>
        <v>22.170849845882874</v>
      </c>
      <c r="BD659" s="75">
        <f>BC659*(1-PARAM!$C$27)*$I$16+(MOD($B659,60)=PARAM!$B$56)*($B659&gt;(60-PARAM!$B$56))*HLOOKUP(($B659+PARAM!$B$56)/12,Loyalty,2)*$F$1*MAX(BF658,0)</f>
        <v>18.557001321003963</v>
      </c>
      <c r="BE659" s="75">
        <f>PARAM!$C$26+MAX($G$16-CHOOSE(PARAM!$B$44,MAX(0,BF658*$F$1),0),0)*RATES!$L635/12+$H$16*(PARAM!$D$51/12)*RATES!$N635/100</f>
        <v>392.75</v>
      </c>
      <c r="BF659" s="16">
        <f t="shared" si="426"/>
        <v>-39970.299856007776</v>
      </c>
      <c r="BG659" s="15">
        <f t="shared" si="401"/>
        <v>22.170849845882874</v>
      </c>
      <c r="BH659" s="75">
        <f>BG659*(1-PARAM!$C$27)*$I$17+(MOD($B659,60)=PARAM!$B$56)*($B659&gt;(60-PARAM!$B$56))*HLOOKUP(($B659+PARAM!$B$56)/12,Loyalty,2)*$F$1*MAX(BJ658,0)</f>
        <v>18.557001321003963</v>
      </c>
      <c r="BI659" s="75">
        <f>PARAM!$C$26+MAX($G$17-CHOOSE(PARAM!$B$44,MAX(0,BJ658*$F$1),0),0)*RATES!$L635/12+$H$17*(PARAM!$D$51/12)*RATES!$N635/100</f>
        <v>392.75</v>
      </c>
      <c r="BJ659" s="16">
        <f t="shared" si="427"/>
        <v>-39970.299856007776</v>
      </c>
      <c r="BK659" s="15">
        <f t="shared" si="402"/>
        <v>22.170849845882874</v>
      </c>
      <c r="BL659" s="75">
        <f>BK659*(1-PARAM!$C$27)*$I$18+(MOD($B659,60)=PARAM!$B$56)*($B659&gt;(60-PARAM!$B$56))*HLOOKUP(($B659+PARAM!$B$56)/12,Loyalty,2)*$F$1*MAX(BN658,0)</f>
        <v>18.557001321003963</v>
      </c>
      <c r="BM659" s="75">
        <f>PARAM!$C$26+MAX($G$18-CHOOSE(PARAM!$B$44,MAX(0,BN658*$F$1),0),0)*RATES!$L635/12+$H$18*(PARAM!$D$51/12)*RATES!$N635/100</f>
        <v>392.75</v>
      </c>
      <c r="BN659" s="16">
        <f t="shared" si="428"/>
        <v>-39970.299856007776</v>
      </c>
      <c r="BO659" s="15">
        <f t="shared" si="403"/>
        <v>22.170849845882874</v>
      </c>
      <c r="BP659" s="75">
        <f>BO659*(1-PARAM!$C$27)*$I$19+(MOD($B659,60)=PARAM!$B$56)*($B659&gt;(60-PARAM!$B$56))*HLOOKUP(($B659+PARAM!$B$56)/12,Loyalty,2)*$F$1*MAX(BR658,0)</f>
        <v>18.557001321003963</v>
      </c>
      <c r="BQ659" s="75">
        <f>PARAM!$C$26+MAX($G$19-CHOOSE(PARAM!$B$44,MAX(0,BR658*$F$1),0),0)*RATES!$L635/12+$H$19*(PARAM!$D$51/12)*RATES!$N635/100</f>
        <v>392.75</v>
      </c>
      <c r="BR659" s="16">
        <f t="shared" si="429"/>
        <v>-39970.299856007776</v>
      </c>
      <c r="BS659" s="15">
        <f t="shared" si="404"/>
        <v>22.170849845882874</v>
      </c>
      <c r="BT659" s="75">
        <f>BS659*(1-PARAM!$C$27)*$I$20+(MOD($B659,60)=PARAM!$B$56)*($B659&gt;(60-PARAM!$B$56))*HLOOKUP(($B659+PARAM!$B$56)/12,Loyalty,2)*$F$1*MAX(BV658,0)</f>
        <v>18.557001321003963</v>
      </c>
      <c r="BU659" s="75">
        <f>PARAM!$C$26+MAX($G$20-CHOOSE(PARAM!$B$44,MAX(0,BV658*$F$1),0),0)*RATES!$L635/12+$H$20*(PARAM!$D$51/12)*RATES!$N635/100</f>
        <v>392.75</v>
      </c>
      <c r="BV659" s="16">
        <f t="shared" si="430"/>
        <v>-39970.299856007776</v>
      </c>
      <c r="BW659" s="15">
        <f t="shared" si="405"/>
        <v>22.170849845882874</v>
      </c>
      <c r="BX659" s="75">
        <f>BW659*(1-PARAM!$C$27)*$I$21+(MOD($B659,60)=PARAM!$B$56)*($B659&gt;(60-PARAM!$B$56))*HLOOKUP(($B659+PARAM!$B$56)/12,Loyalty,2)*$F$1*MAX(BZ658,0)</f>
        <v>18.557001321003963</v>
      </c>
      <c r="BY659" s="75">
        <f>PARAM!$C$26+MAX($G$21-CHOOSE(PARAM!$B$44,MAX(0,BZ658*$F$1),0),0)*RATES!$L635/12+$H$21*(PARAM!$D$51/12)*RATES!$N635/100</f>
        <v>392.75</v>
      </c>
      <c r="BZ659" s="16">
        <f t="shared" si="431"/>
        <v>-39970.299856007776</v>
      </c>
      <c r="CA659" s="15">
        <f t="shared" si="406"/>
        <v>22.170849845882874</v>
      </c>
      <c r="CB659" s="75">
        <f>CA659*(1-PARAM!$C$27)*$I$22+(MOD($B659,60)=PARAM!$B$56)*($B659&gt;(60-PARAM!$B$56))*HLOOKUP(($B659+PARAM!$B$56)/12,Loyalty,2)*$F$1*MAX(CD658,0)</f>
        <v>18.557001321003963</v>
      </c>
      <c r="CC659" s="75">
        <f>PARAM!$C$26+MAX($G$22-CHOOSE(PARAM!$B$44,MAX(0,CD658*$F$1),0),0)*RATES!$L635/12+$H$22*(PARAM!$D$51/12)*RATES!$N635/100</f>
        <v>392.75</v>
      </c>
      <c r="CD659" s="16">
        <f t="shared" si="432"/>
        <v>-39970.299856007776</v>
      </c>
      <c r="CE659" s="33">
        <f>IF(0=MOD(B659,12/PARAM!$D$51),1,0)</f>
        <v>1</v>
      </c>
      <c r="CF659" s="15">
        <f t="shared" si="407"/>
        <v>0</v>
      </c>
      <c r="CG659" s="75">
        <f>CF659*(1-PARAM!$C$27)*$R$3+(MOD($B659/12,5)=0)*($B659&gt;60)*HLOOKUP($B659/12,Loyalty,2)*$F$1*MAX(CI658,0)</f>
        <v>0</v>
      </c>
      <c r="CH659" s="75">
        <f>PARAM!$C$26+MAX($P$3-CHOOSE(PARAM!$B$44,MAX(0,CI658*$F$1),0),0)*RATES!$L635/12+$Q$3*(PARAM!$D$51/12)*RATES!$N635/100</f>
        <v>392.75</v>
      </c>
      <c r="CI659" s="16">
        <f>IF(CI658&gt;0,CI658*PARAM!$C$53,CI658)+CG659-CH659</f>
        <v>-51578.750000000029</v>
      </c>
      <c r="CJ659" s="15">
        <f t="shared" si="433"/>
        <v>0</v>
      </c>
      <c r="CK659" s="75">
        <f>CJ659*(1-PARAM!$C$27)*$R$4+(MOD($B659/12,5)=0)*($B659&gt;60)*HLOOKUP($B659/12,Loyalty,2)*$F$1*MAX(CM658,0)</f>
        <v>0</v>
      </c>
      <c r="CL659" s="75">
        <f>PARAM!$C$26+MAX($P$4-CHOOSE(PARAM!$B$44,MAX(0,CM658*$F$1),0),0)*RATES!$L635/12+$Q$4*(PARAM!$D$51/12)*RATES!$N635/100</f>
        <v>392.75</v>
      </c>
      <c r="CM659" s="16">
        <f>IF(CM658&gt;0,CM658*PARAM!$C$53,CM658)+CK659-CL659</f>
        <v>-51578.750000000029</v>
      </c>
      <c r="CO659" s="176"/>
    </row>
    <row r="660" spans="1:93" x14ac:dyDescent="0.2">
      <c r="A660" t="b">
        <f t="shared" si="408"/>
        <v>0</v>
      </c>
      <c r="B660" s="33">
        <v>633</v>
      </c>
      <c r="C660" s="15">
        <f t="shared" si="409"/>
        <v>20.081305947392778</v>
      </c>
      <c r="D660" s="75">
        <f>C660*(1-PARAM!$C$27)*$I$3+(MOD($B660,60)=PARAM!$B$56)*($B660&gt;(60-PARAM!$B$56))*HLOOKUP(($B660+PARAM!$B$56)/12,Loyalty,2)*$F$1*MAX(F659,0)</f>
        <v>16.808053077967756</v>
      </c>
      <c r="E660" s="75">
        <f>PARAM!$C$26+MAX($G$3-CHOOSE(PARAM!$B$44,MAX(0,F659*$F$1),0),0)*RATES!$L636/12+$H$3*(PARAM!$D$51/12)*RATES!$N636/100</f>
        <v>392.75</v>
      </c>
      <c r="F660" s="16">
        <f t="shared" si="410"/>
        <v>-41488.42759305027</v>
      </c>
      <c r="G660" s="15">
        <f t="shared" si="411"/>
        <v>22.035289406060361</v>
      </c>
      <c r="H660" s="75">
        <f>G660*(1-PARAM!$C$27)*$I$4+(MOD($B660,60)=PARAM!$B$56)*($B660&gt;(60-PARAM!$B$56))*HLOOKUP(($B660+PARAM!$B$56)/12,Loyalty,2)*$F$1*MAX(J659,0)</f>
        <v>18.443537232872522</v>
      </c>
      <c r="I660" s="75">
        <f>PARAM!$C$26+MAX($G$4-CHOOSE(PARAM!$B$44,MAX(0,J659*$F$1),0),0)*RATES!$L636/12+$H$4*(PARAM!$D$51/12)*RATES!$N636/100</f>
        <v>392.75</v>
      </c>
      <c r="J660" s="16">
        <f t="shared" si="412"/>
        <v>-40419.333158873735</v>
      </c>
      <c r="K660" s="15">
        <f t="shared" si="413"/>
        <v>22.170849845882874</v>
      </c>
      <c r="L660" s="75">
        <f>K660*(1-PARAM!$C$27)*$I$5+(MOD($B660,60)=PARAM!$B$56)*($B660&gt;(60-PARAM!$B$56))*HLOOKUP(($B660+PARAM!$B$56)/12,Loyalty,2)*$F$1*MAX(N659,0)</f>
        <v>18.557001321003963</v>
      </c>
      <c r="M660" s="75">
        <f>PARAM!$C$26+MAX($G$5-CHOOSE(PARAM!$B$44,MAX(0,N659*$F$1),0),0)*RATES!$L636/12+$H$5*(PARAM!$D$51/12)*RATES!$N636/100</f>
        <v>392.75</v>
      </c>
      <c r="N660" s="16">
        <f t="shared" si="414"/>
        <v>-40344.492854686774</v>
      </c>
      <c r="O660" s="15">
        <f t="shared" si="415"/>
        <v>22.170849845882874</v>
      </c>
      <c r="P660" s="75">
        <f>O660*(1-PARAM!$C$27)*$I$6+(MOD($B660,60)=PARAM!$B$56)*($B660&gt;(60-PARAM!$B$56))*HLOOKUP(($B660+PARAM!$B$56)/12,Loyalty,2)*$F$1*MAX(R659,0)</f>
        <v>18.557001321003963</v>
      </c>
      <c r="Q660" s="75">
        <f>PARAM!$C$26+MAX($G$6-CHOOSE(PARAM!$B$44,MAX(0,R659*$F$1),0),0)*RATES!$L636/12+$H$6*(PARAM!$D$51/12)*RATES!$N636/100</f>
        <v>392.75</v>
      </c>
      <c r="R660" s="16">
        <f t="shared" si="416"/>
        <v>-40344.492854686774</v>
      </c>
      <c r="S660" s="15">
        <f t="shared" si="391"/>
        <v>22.170849845882874</v>
      </c>
      <c r="T660" s="75">
        <f>S660*(1-PARAM!$C$27)*$I$7+(MOD($B660,60)=PARAM!$B$56)*($B660&gt;(60-PARAM!$B$56))*HLOOKUP(($B660+PARAM!$B$56)/12,Loyalty,2)*$F$1*MAX(V659,0)</f>
        <v>18.557001321003963</v>
      </c>
      <c r="U660" s="75">
        <f>PARAM!$C$26+MAX($G$7-CHOOSE(PARAM!$B$44,MAX(0,V659*$F$1),0),0)*RATES!$L636/12+$H$7*(PARAM!$D$51/12)*RATES!$N636/100</f>
        <v>392.75</v>
      </c>
      <c r="V660" s="16">
        <f t="shared" si="417"/>
        <v>-40344.492854686774</v>
      </c>
      <c r="W660" s="15">
        <f t="shared" si="392"/>
        <v>22.170849845882874</v>
      </c>
      <c r="X660" s="75">
        <f>W660*(1-PARAM!$C$27)*$I$8+(MOD($B660,60)=PARAM!$B$56)*($B660&gt;(60-PARAM!$B$56))*HLOOKUP(($B660+PARAM!$B$56)/12,Loyalty,2)*$F$1*MAX(Z659,0)</f>
        <v>18.557001321003963</v>
      </c>
      <c r="Y660" s="75">
        <f>PARAM!$C$26+MAX($G$8-CHOOSE(PARAM!$B$44,MAX(0,Z659*$F$1),0),0)*RATES!$L636/12+$H$8*(PARAM!$D$51/12)*RATES!$N636/100</f>
        <v>392.75</v>
      </c>
      <c r="Z660" s="16">
        <f t="shared" si="418"/>
        <v>-40344.492854686774</v>
      </c>
      <c r="AA660" s="15">
        <f t="shared" si="393"/>
        <v>22.170849845882874</v>
      </c>
      <c r="AB660" s="75">
        <f>AA660*(1-PARAM!$C$27)*$I$9+(MOD($B660,60)=PARAM!$B$56)*($B660&gt;(60-PARAM!$B$56))*HLOOKUP(($B660+PARAM!$B$56)/12,Loyalty,2)*$F$1*MAX(AD659,0)</f>
        <v>18.557001321003963</v>
      </c>
      <c r="AC660" s="75">
        <f>PARAM!$C$26+MAX($G$9-CHOOSE(PARAM!$B$44,MAX(0,AD659*$F$1),0),0)*RATES!$L636/12+$H$9*(PARAM!$D$51/12)*RATES!$N636/100</f>
        <v>392.75</v>
      </c>
      <c r="AD660" s="16">
        <f t="shared" si="419"/>
        <v>-40344.492854686774</v>
      </c>
      <c r="AE660" s="15">
        <f t="shared" si="394"/>
        <v>22.170849845882874</v>
      </c>
      <c r="AF660" s="75">
        <f>AE660*(1-PARAM!$C$27)*$I$10+(MOD($B660,60)=PARAM!$B$56)*($B660&gt;(60-PARAM!$B$56))*HLOOKUP(($B660+PARAM!$B$56)/12,Loyalty,2)*$F$1*MAX(AH659,0)</f>
        <v>18.557001321003963</v>
      </c>
      <c r="AG660" s="75">
        <f>PARAM!$C$26+MAX($G$10-CHOOSE(PARAM!$B$44,MAX(0,AH659*$F$1),0),0)*RATES!$L636/12+$H$10*(PARAM!$D$51/12)*RATES!$N636/100</f>
        <v>392.75</v>
      </c>
      <c r="AH660" s="16">
        <f t="shared" si="420"/>
        <v>-40344.492854686774</v>
      </c>
      <c r="AI660" s="15">
        <f t="shared" si="395"/>
        <v>22.170849845882874</v>
      </c>
      <c r="AJ660" s="75">
        <f>AI660*(1-PARAM!$C$27)*$I$11+(MOD($B660,60)=PARAM!$B$56)*($B660&gt;(60-PARAM!$B$56))*HLOOKUP(($B660+PARAM!$B$56)/12,Loyalty,2)*$F$1*MAX(AL659,0)</f>
        <v>18.557001321003963</v>
      </c>
      <c r="AK660" s="75">
        <f>PARAM!$C$26+MAX($G$11-CHOOSE(PARAM!$B$44,MAX(0,AL659*$F$1),0),0)*RATES!$L636/12+$H$11*(PARAM!$D$51/12)*RATES!$N636/100</f>
        <v>392.75</v>
      </c>
      <c r="AL660" s="16">
        <f t="shared" si="421"/>
        <v>-40344.492854686774</v>
      </c>
      <c r="AM660" s="15">
        <f t="shared" si="396"/>
        <v>22.170849845882874</v>
      </c>
      <c r="AN660" s="75">
        <f>AM660*(1-PARAM!$C$27)*$I$12+(MOD($B660,60)=PARAM!$B$56)*($B660&gt;(60-PARAM!$B$56))*HLOOKUP(($B660+PARAM!$B$56)/12,Loyalty,2)*$F$1*MAX(AP659,0)</f>
        <v>18.557001321003963</v>
      </c>
      <c r="AO660" s="75">
        <f>PARAM!$C$26+MAX($G$12-CHOOSE(PARAM!$B$44,MAX(0,AP659*$F$1),0),0)*RATES!$L636/12+$H$12*(PARAM!$D$51/12)*RATES!$N636/100</f>
        <v>392.75</v>
      </c>
      <c r="AP660" s="16">
        <f t="shared" si="422"/>
        <v>-40344.492854686774</v>
      </c>
      <c r="AQ660" s="15">
        <f t="shared" si="397"/>
        <v>22.170849845882874</v>
      </c>
      <c r="AR660" s="75">
        <f>AQ660*(1-PARAM!$C$27)*$I$13+(MOD($B660,60)=PARAM!$B$56)*($B660&gt;(60-PARAM!$B$56))*HLOOKUP(($B660+PARAM!$B$56)/12,Loyalty,2)*$F$1*MAX(AT659,0)</f>
        <v>18.557001321003963</v>
      </c>
      <c r="AS660" s="75">
        <f>PARAM!$C$26+MAX($G$13-CHOOSE(PARAM!$B$44,MAX(0,AT659*$F$1),0),0)*RATES!$L636/12+$H$13*(PARAM!$D$51/12)*RATES!$N636/100</f>
        <v>392.75</v>
      </c>
      <c r="AT660" s="16">
        <f t="shared" si="423"/>
        <v>-40344.492854686774</v>
      </c>
      <c r="AU660" s="15">
        <f t="shared" si="398"/>
        <v>22.170849845882874</v>
      </c>
      <c r="AV660" s="75">
        <f>AU660*(1-PARAM!$C$27)*$I$14+(MOD($B660,60)=PARAM!$B$56)*($B660&gt;(60-PARAM!$B$56))*HLOOKUP(($B660+PARAM!$B$56)/12,Loyalty,2)*$F$1*MAX(AX659,0)</f>
        <v>18.557001321003963</v>
      </c>
      <c r="AW660" s="75">
        <f>PARAM!$C$26+MAX($G$14-CHOOSE(PARAM!$B$44,MAX(0,AX659*$F$1),0),0)*RATES!$L636/12+$H$14*(PARAM!$D$51/12)*RATES!$N636/100</f>
        <v>392.75</v>
      </c>
      <c r="AX660" s="16">
        <f t="shared" si="424"/>
        <v>-40344.492854686774</v>
      </c>
      <c r="AY660" s="15">
        <f t="shared" si="399"/>
        <v>22.170849845882874</v>
      </c>
      <c r="AZ660" s="75">
        <f>AY660*(1-PARAM!$C$27)*$I$15+(MOD($B660,60)=PARAM!$B$56)*($B660&gt;(60-PARAM!$B$56))*HLOOKUP(($B660+PARAM!$B$56)/12,Loyalty,2)*$F$1*MAX(BB659,0)</f>
        <v>18.557001321003963</v>
      </c>
      <c r="BA660" s="75">
        <f>PARAM!$C$26+MAX($G$15-CHOOSE(PARAM!$B$44,MAX(0,BB659*$F$1),0),0)*RATES!$L636/12+$H$15*(PARAM!$D$51/12)*RATES!$N636/100</f>
        <v>392.75</v>
      </c>
      <c r="BB660" s="16">
        <f t="shared" si="425"/>
        <v>-40344.492854686774</v>
      </c>
      <c r="BC660" s="15">
        <f t="shared" si="400"/>
        <v>22.170849845882874</v>
      </c>
      <c r="BD660" s="75">
        <f>BC660*(1-PARAM!$C$27)*$I$16+(MOD($B660,60)=PARAM!$B$56)*($B660&gt;(60-PARAM!$B$56))*HLOOKUP(($B660+PARAM!$B$56)/12,Loyalty,2)*$F$1*MAX(BF659,0)</f>
        <v>18.557001321003963</v>
      </c>
      <c r="BE660" s="75">
        <f>PARAM!$C$26+MAX($G$16-CHOOSE(PARAM!$B$44,MAX(0,BF659*$F$1),0),0)*RATES!$L636/12+$H$16*(PARAM!$D$51/12)*RATES!$N636/100</f>
        <v>392.75</v>
      </c>
      <c r="BF660" s="16">
        <f t="shared" si="426"/>
        <v>-40344.492854686774</v>
      </c>
      <c r="BG660" s="15">
        <f t="shared" si="401"/>
        <v>22.170849845882874</v>
      </c>
      <c r="BH660" s="75">
        <f>BG660*(1-PARAM!$C$27)*$I$17+(MOD($B660,60)=PARAM!$B$56)*($B660&gt;(60-PARAM!$B$56))*HLOOKUP(($B660+PARAM!$B$56)/12,Loyalty,2)*$F$1*MAX(BJ659,0)</f>
        <v>18.557001321003963</v>
      </c>
      <c r="BI660" s="75">
        <f>PARAM!$C$26+MAX($G$17-CHOOSE(PARAM!$B$44,MAX(0,BJ659*$F$1),0),0)*RATES!$L636/12+$H$17*(PARAM!$D$51/12)*RATES!$N636/100</f>
        <v>392.75</v>
      </c>
      <c r="BJ660" s="16">
        <f t="shared" si="427"/>
        <v>-40344.492854686774</v>
      </c>
      <c r="BK660" s="15">
        <f t="shared" si="402"/>
        <v>22.170849845882874</v>
      </c>
      <c r="BL660" s="75">
        <f>BK660*(1-PARAM!$C$27)*$I$18+(MOD($B660,60)=PARAM!$B$56)*($B660&gt;(60-PARAM!$B$56))*HLOOKUP(($B660+PARAM!$B$56)/12,Loyalty,2)*$F$1*MAX(BN659,0)</f>
        <v>18.557001321003963</v>
      </c>
      <c r="BM660" s="75">
        <f>PARAM!$C$26+MAX($G$18-CHOOSE(PARAM!$B$44,MAX(0,BN659*$F$1),0),0)*RATES!$L636/12+$H$18*(PARAM!$D$51/12)*RATES!$N636/100</f>
        <v>392.75</v>
      </c>
      <c r="BN660" s="16">
        <f t="shared" si="428"/>
        <v>-40344.492854686774</v>
      </c>
      <c r="BO660" s="15">
        <f t="shared" si="403"/>
        <v>22.170849845882874</v>
      </c>
      <c r="BP660" s="75">
        <f>BO660*(1-PARAM!$C$27)*$I$19+(MOD($B660,60)=PARAM!$B$56)*($B660&gt;(60-PARAM!$B$56))*HLOOKUP(($B660+PARAM!$B$56)/12,Loyalty,2)*$F$1*MAX(BR659,0)</f>
        <v>18.557001321003963</v>
      </c>
      <c r="BQ660" s="75">
        <f>PARAM!$C$26+MAX($G$19-CHOOSE(PARAM!$B$44,MAX(0,BR659*$F$1),0),0)*RATES!$L636/12+$H$19*(PARAM!$D$51/12)*RATES!$N636/100</f>
        <v>392.75</v>
      </c>
      <c r="BR660" s="16">
        <f t="shared" si="429"/>
        <v>-40344.492854686774</v>
      </c>
      <c r="BS660" s="15">
        <f t="shared" si="404"/>
        <v>22.170849845882874</v>
      </c>
      <c r="BT660" s="75">
        <f>BS660*(1-PARAM!$C$27)*$I$20+(MOD($B660,60)=PARAM!$B$56)*($B660&gt;(60-PARAM!$B$56))*HLOOKUP(($B660+PARAM!$B$56)/12,Loyalty,2)*$F$1*MAX(BV659,0)</f>
        <v>18.557001321003963</v>
      </c>
      <c r="BU660" s="75">
        <f>PARAM!$C$26+MAX($G$20-CHOOSE(PARAM!$B$44,MAX(0,BV659*$F$1),0),0)*RATES!$L636/12+$H$20*(PARAM!$D$51/12)*RATES!$N636/100</f>
        <v>392.75</v>
      </c>
      <c r="BV660" s="16">
        <f t="shared" si="430"/>
        <v>-40344.492854686774</v>
      </c>
      <c r="BW660" s="15">
        <f t="shared" si="405"/>
        <v>22.170849845882874</v>
      </c>
      <c r="BX660" s="75">
        <f>BW660*(1-PARAM!$C$27)*$I$21+(MOD($B660,60)=PARAM!$B$56)*($B660&gt;(60-PARAM!$B$56))*HLOOKUP(($B660+PARAM!$B$56)/12,Loyalty,2)*$F$1*MAX(BZ659,0)</f>
        <v>18.557001321003963</v>
      </c>
      <c r="BY660" s="75">
        <f>PARAM!$C$26+MAX($G$21-CHOOSE(PARAM!$B$44,MAX(0,BZ659*$F$1),0),0)*RATES!$L636/12+$H$21*(PARAM!$D$51/12)*RATES!$N636/100</f>
        <v>392.75</v>
      </c>
      <c r="BZ660" s="16">
        <f t="shared" si="431"/>
        <v>-40344.492854686774</v>
      </c>
      <c r="CA660" s="15">
        <f t="shared" si="406"/>
        <v>22.170849845882874</v>
      </c>
      <c r="CB660" s="75">
        <f>CA660*(1-PARAM!$C$27)*$I$22+(MOD($B660,60)=PARAM!$B$56)*($B660&gt;(60-PARAM!$B$56))*HLOOKUP(($B660+PARAM!$B$56)/12,Loyalty,2)*$F$1*MAX(CD659,0)</f>
        <v>18.557001321003963</v>
      </c>
      <c r="CC660" s="75">
        <f>PARAM!$C$26+MAX($G$22-CHOOSE(PARAM!$B$44,MAX(0,CD659*$F$1),0),0)*RATES!$L636/12+$H$22*(PARAM!$D$51/12)*RATES!$N636/100</f>
        <v>392.75</v>
      </c>
      <c r="CD660" s="16">
        <f t="shared" si="432"/>
        <v>-40344.492854686774</v>
      </c>
      <c r="CE660" s="33">
        <f>IF(0=MOD(B660,12/PARAM!$D$51),1,0)</f>
        <v>1</v>
      </c>
      <c r="CF660" s="15">
        <f t="shared" si="407"/>
        <v>0</v>
      </c>
      <c r="CG660" s="75">
        <f>CF660*(1-PARAM!$C$27)*$R$3+(MOD($B660/12,5)=0)*($B660&gt;60)*HLOOKUP($B660/12,Loyalty,2)*$F$1*MAX(CI659,0)</f>
        <v>0</v>
      </c>
      <c r="CH660" s="75">
        <f>PARAM!$C$26+MAX($P$3-CHOOSE(PARAM!$B$44,MAX(0,CI659*$F$1),0),0)*RATES!$L636/12+$Q$3*(PARAM!$D$51/12)*RATES!$N636/100</f>
        <v>392.75</v>
      </c>
      <c r="CI660" s="16">
        <f>IF(CI659&gt;0,CI659*PARAM!$C$53,CI659)+CG660-CH660</f>
        <v>-51971.500000000029</v>
      </c>
      <c r="CJ660" s="15">
        <f t="shared" si="433"/>
        <v>0</v>
      </c>
      <c r="CK660" s="75">
        <f>CJ660*(1-PARAM!$C$27)*$R$4+(MOD($B660/12,5)=0)*($B660&gt;60)*HLOOKUP($B660/12,Loyalty,2)*$F$1*MAX(CM659,0)</f>
        <v>0</v>
      </c>
      <c r="CL660" s="75">
        <f>PARAM!$C$26+MAX($P$4-CHOOSE(PARAM!$B$44,MAX(0,CM659*$F$1),0),0)*RATES!$L636/12+$Q$4*(PARAM!$D$51/12)*RATES!$N636/100</f>
        <v>392.75</v>
      </c>
      <c r="CM660" s="16">
        <f>IF(CM659&gt;0,CM659*PARAM!$C$53,CM659)+CK660-CL660</f>
        <v>-51971.500000000029</v>
      </c>
      <c r="CO660" s="176"/>
    </row>
    <row r="661" spans="1:93" x14ac:dyDescent="0.2">
      <c r="A661" t="b">
        <f t="shared" si="408"/>
        <v>0</v>
      </c>
      <c r="B661" s="33">
        <v>634</v>
      </c>
      <c r="C661" s="15">
        <f t="shared" si="409"/>
        <v>20.081305947392778</v>
      </c>
      <c r="D661" s="75">
        <f>C661*(1-PARAM!$C$27)*$I$3+(MOD($B661,60)=PARAM!$B$56)*($B661&gt;(60-PARAM!$B$56))*HLOOKUP(($B661+PARAM!$B$56)/12,Loyalty,2)*$F$1*MAX(F660,0)</f>
        <v>16.808053077967756</v>
      </c>
      <c r="E661" s="75">
        <f>PARAM!$C$26+MAX($G$3-CHOOSE(PARAM!$B$44,MAX(0,F660*$F$1),0),0)*RATES!$L637/12+$H$3*(PARAM!$D$51/12)*RATES!$N637/100</f>
        <v>392.75</v>
      </c>
      <c r="F661" s="16">
        <f t="shared" si="410"/>
        <v>-41864.3695399723</v>
      </c>
      <c r="G661" s="15">
        <f t="shared" si="411"/>
        <v>22.035289406060361</v>
      </c>
      <c r="H661" s="75">
        <f>G661*(1-PARAM!$C$27)*$I$4+(MOD($B661,60)=PARAM!$B$56)*($B661&gt;(60-PARAM!$B$56))*HLOOKUP(($B661+PARAM!$B$56)/12,Loyalty,2)*$F$1*MAX(J660,0)</f>
        <v>18.443537232872522</v>
      </c>
      <c r="I661" s="75">
        <f>PARAM!$C$26+MAX($G$4-CHOOSE(PARAM!$B$44,MAX(0,J660*$F$1),0),0)*RATES!$L637/12+$H$4*(PARAM!$D$51/12)*RATES!$N637/100</f>
        <v>392.75</v>
      </c>
      <c r="J661" s="16">
        <f t="shared" si="412"/>
        <v>-40793.639621640861</v>
      </c>
      <c r="K661" s="15">
        <f t="shared" si="413"/>
        <v>22.170849845882874</v>
      </c>
      <c r="L661" s="75">
        <f>K661*(1-PARAM!$C$27)*$I$5+(MOD($B661,60)=PARAM!$B$56)*($B661&gt;(60-PARAM!$B$56))*HLOOKUP(($B661+PARAM!$B$56)/12,Loyalty,2)*$F$1*MAX(N660,0)</f>
        <v>18.557001321003963</v>
      </c>
      <c r="M661" s="75">
        <f>PARAM!$C$26+MAX($G$5-CHOOSE(PARAM!$B$44,MAX(0,N660*$F$1),0),0)*RATES!$L637/12+$H$5*(PARAM!$D$51/12)*RATES!$N637/100</f>
        <v>392.75</v>
      </c>
      <c r="N661" s="16">
        <f t="shared" si="414"/>
        <v>-40718.685853365772</v>
      </c>
      <c r="O661" s="15">
        <f t="shared" si="415"/>
        <v>22.170849845882874</v>
      </c>
      <c r="P661" s="75">
        <f>O661*(1-PARAM!$C$27)*$I$6+(MOD($B661,60)=PARAM!$B$56)*($B661&gt;(60-PARAM!$B$56))*HLOOKUP(($B661+PARAM!$B$56)/12,Loyalty,2)*$F$1*MAX(R660,0)</f>
        <v>18.557001321003963</v>
      </c>
      <c r="Q661" s="75">
        <f>PARAM!$C$26+MAX($G$6-CHOOSE(PARAM!$B$44,MAX(0,R660*$F$1),0),0)*RATES!$L637/12+$H$6*(PARAM!$D$51/12)*RATES!$N637/100</f>
        <v>392.75</v>
      </c>
      <c r="R661" s="16">
        <f t="shared" si="416"/>
        <v>-40718.685853365772</v>
      </c>
      <c r="S661" s="15">
        <f t="shared" si="391"/>
        <v>22.170849845882874</v>
      </c>
      <c r="T661" s="75">
        <f>S661*(1-PARAM!$C$27)*$I$7+(MOD($B661,60)=PARAM!$B$56)*($B661&gt;(60-PARAM!$B$56))*HLOOKUP(($B661+PARAM!$B$56)/12,Loyalty,2)*$F$1*MAX(V660,0)</f>
        <v>18.557001321003963</v>
      </c>
      <c r="U661" s="75">
        <f>PARAM!$C$26+MAX($G$7-CHOOSE(PARAM!$B$44,MAX(0,V660*$F$1),0),0)*RATES!$L637/12+$H$7*(PARAM!$D$51/12)*RATES!$N637/100</f>
        <v>392.75</v>
      </c>
      <c r="V661" s="16">
        <f t="shared" si="417"/>
        <v>-40718.685853365772</v>
      </c>
      <c r="W661" s="15">
        <f t="shared" si="392"/>
        <v>22.170849845882874</v>
      </c>
      <c r="X661" s="75">
        <f>W661*(1-PARAM!$C$27)*$I$8+(MOD($B661,60)=PARAM!$B$56)*($B661&gt;(60-PARAM!$B$56))*HLOOKUP(($B661+PARAM!$B$56)/12,Loyalty,2)*$F$1*MAX(Z660,0)</f>
        <v>18.557001321003963</v>
      </c>
      <c r="Y661" s="75">
        <f>PARAM!$C$26+MAX($G$8-CHOOSE(PARAM!$B$44,MAX(0,Z660*$F$1),0),0)*RATES!$L637/12+$H$8*(PARAM!$D$51/12)*RATES!$N637/100</f>
        <v>392.75</v>
      </c>
      <c r="Z661" s="16">
        <f t="shared" si="418"/>
        <v>-40718.685853365772</v>
      </c>
      <c r="AA661" s="15">
        <f t="shared" si="393"/>
        <v>22.170849845882874</v>
      </c>
      <c r="AB661" s="75">
        <f>AA661*(1-PARAM!$C$27)*$I$9+(MOD($B661,60)=PARAM!$B$56)*($B661&gt;(60-PARAM!$B$56))*HLOOKUP(($B661+PARAM!$B$56)/12,Loyalty,2)*$F$1*MAX(AD660,0)</f>
        <v>18.557001321003963</v>
      </c>
      <c r="AC661" s="75">
        <f>PARAM!$C$26+MAX($G$9-CHOOSE(PARAM!$B$44,MAX(0,AD660*$F$1),0),0)*RATES!$L637/12+$H$9*(PARAM!$D$51/12)*RATES!$N637/100</f>
        <v>392.75</v>
      </c>
      <c r="AD661" s="16">
        <f t="shared" si="419"/>
        <v>-40718.685853365772</v>
      </c>
      <c r="AE661" s="15">
        <f t="shared" si="394"/>
        <v>22.170849845882874</v>
      </c>
      <c r="AF661" s="75">
        <f>AE661*(1-PARAM!$C$27)*$I$10+(MOD($B661,60)=PARAM!$B$56)*($B661&gt;(60-PARAM!$B$56))*HLOOKUP(($B661+PARAM!$B$56)/12,Loyalty,2)*$F$1*MAX(AH660,0)</f>
        <v>18.557001321003963</v>
      </c>
      <c r="AG661" s="75">
        <f>PARAM!$C$26+MAX($G$10-CHOOSE(PARAM!$B$44,MAX(0,AH660*$F$1),0),0)*RATES!$L637/12+$H$10*(PARAM!$D$51/12)*RATES!$N637/100</f>
        <v>392.75</v>
      </c>
      <c r="AH661" s="16">
        <f t="shared" si="420"/>
        <v>-40718.685853365772</v>
      </c>
      <c r="AI661" s="15">
        <f t="shared" si="395"/>
        <v>22.170849845882874</v>
      </c>
      <c r="AJ661" s="75">
        <f>AI661*(1-PARAM!$C$27)*$I$11+(MOD($B661,60)=PARAM!$B$56)*($B661&gt;(60-PARAM!$B$56))*HLOOKUP(($B661+PARAM!$B$56)/12,Loyalty,2)*$F$1*MAX(AL660,0)</f>
        <v>18.557001321003963</v>
      </c>
      <c r="AK661" s="75">
        <f>PARAM!$C$26+MAX($G$11-CHOOSE(PARAM!$B$44,MAX(0,AL660*$F$1),0),0)*RATES!$L637/12+$H$11*(PARAM!$D$51/12)*RATES!$N637/100</f>
        <v>392.75</v>
      </c>
      <c r="AL661" s="16">
        <f t="shared" si="421"/>
        <v>-40718.685853365772</v>
      </c>
      <c r="AM661" s="15">
        <f t="shared" si="396"/>
        <v>22.170849845882874</v>
      </c>
      <c r="AN661" s="75">
        <f>AM661*(1-PARAM!$C$27)*$I$12+(MOD($B661,60)=PARAM!$B$56)*($B661&gt;(60-PARAM!$B$56))*HLOOKUP(($B661+PARAM!$B$56)/12,Loyalty,2)*$F$1*MAX(AP660,0)</f>
        <v>18.557001321003963</v>
      </c>
      <c r="AO661" s="75">
        <f>PARAM!$C$26+MAX($G$12-CHOOSE(PARAM!$B$44,MAX(0,AP660*$F$1),0),0)*RATES!$L637/12+$H$12*(PARAM!$D$51/12)*RATES!$N637/100</f>
        <v>392.75</v>
      </c>
      <c r="AP661" s="16">
        <f t="shared" si="422"/>
        <v>-40718.685853365772</v>
      </c>
      <c r="AQ661" s="15">
        <f t="shared" si="397"/>
        <v>22.170849845882874</v>
      </c>
      <c r="AR661" s="75">
        <f>AQ661*(1-PARAM!$C$27)*$I$13+(MOD($B661,60)=PARAM!$B$56)*($B661&gt;(60-PARAM!$B$56))*HLOOKUP(($B661+PARAM!$B$56)/12,Loyalty,2)*$F$1*MAX(AT660,0)</f>
        <v>18.557001321003963</v>
      </c>
      <c r="AS661" s="75">
        <f>PARAM!$C$26+MAX($G$13-CHOOSE(PARAM!$B$44,MAX(0,AT660*$F$1),0),0)*RATES!$L637/12+$H$13*(PARAM!$D$51/12)*RATES!$N637/100</f>
        <v>392.75</v>
      </c>
      <c r="AT661" s="16">
        <f t="shared" si="423"/>
        <v>-40718.685853365772</v>
      </c>
      <c r="AU661" s="15">
        <f t="shared" si="398"/>
        <v>22.170849845882874</v>
      </c>
      <c r="AV661" s="75">
        <f>AU661*(1-PARAM!$C$27)*$I$14+(MOD($B661,60)=PARAM!$B$56)*($B661&gt;(60-PARAM!$B$56))*HLOOKUP(($B661+PARAM!$B$56)/12,Loyalty,2)*$F$1*MAX(AX660,0)</f>
        <v>18.557001321003963</v>
      </c>
      <c r="AW661" s="75">
        <f>PARAM!$C$26+MAX($G$14-CHOOSE(PARAM!$B$44,MAX(0,AX660*$F$1),0),0)*RATES!$L637/12+$H$14*(PARAM!$D$51/12)*RATES!$N637/100</f>
        <v>392.75</v>
      </c>
      <c r="AX661" s="16">
        <f t="shared" si="424"/>
        <v>-40718.685853365772</v>
      </c>
      <c r="AY661" s="15">
        <f t="shared" si="399"/>
        <v>22.170849845882874</v>
      </c>
      <c r="AZ661" s="75">
        <f>AY661*(1-PARAM!$C$27)*$I$15+(MOD($B661,60)=PARAM!$B$56)*($B661&gt;(60-PARAM!$B$56))*HLOOKUP(($B661+PARAM!$B$56)/12,Loyalty,2)*$F$1*MAX(BB660,0)</f>
        <v>18.557001321003963</v>
      </c>
      <c r="BA661" s="75">
        <f>PARAM!$C$26+MAX($G$15-CHOOSE(PARAM!$B$44,MAX(0,BB660*$F$1),0),0)*RATES!$L637/12+$H$15*(PARAM!$D$51/12)*RATES!$N637/100</f>
        <v>392.75</v>
      </c>
      <c r="BB661" s="16">
        <f t="shared" si="425"/>
        <v>-40718.685853365772</v>
      </c>
      <c r="BC661" s="15">
        <f t="shared" si="400"/>
        <v>22.170849845882874</v>
      </c>
      <c r="BD661" s="75">
        <f>BC661*(1-PARAM!$C$27)*$I$16+(MOD($B661,60)=PARAM!$B$56)*($B661&gt;(60-PARAM!$B$56))*HLOOKUP(($B661+PARAM!$B$56)/12,Loyalty,2)*$F$1*MAX(BF660,0)</f>
        <v>18.557001321003963</v>
      </c>
      <c r="BE661" s="75">
        <f>PARAM!$C$26+MAX($G$16-CHOOSE(PARAM!$B$44,MAX(0,BF660*$F$1),0),0)*RATES!$L637/12+$H$16*(PARAM!$D$51/12)*RATES!$N637/100</f>
        <v>392.75</v>
      </c>
      <c r="BF661" s="16">
        <f t="shared" si="426"/>
        <v>-40718.685853365772</v>
      </c>
      <c r="BG661" s="15">
        <f t="shared" si="401"/>
        <v>22.170849845882874</v>
      </c>
      <c r="BH661" s="75">
        <f>BG661*(1-PARAM!$C$27)*$I$17+(MOD($B661,60)=PARAM!$B$56)*($B661&gt;(60-PARAM!$B$56))*HLOOKUP(($B661+PARAM!$B$56)/12,Loyalty,2)*$F$1*MAX(BJ660,0)</f>
        <v>18.557001321003963</v>
      </c>
      <c r="BI661" s="75">
        <f>PARAM!$C$26+MAX($G$17-CHOOSE(PARAM!$B$44,MAX(0,BJ660*$F$1),0),0)*RATES!$L637/12+$H$17*(PARAM!$D$51/12)*RATES!$N637/100</f>
        <v>392.75</v>
      </c>
      <c r="BJ661" s="16">
        <f t="shared" si="427"/>
        <v>-40718.685853365772</v>
      </c>
      <c r="BK661" s="15">
        <f t="shared" si="402"/>
        <v>22.170849845882874</v>
      </c>
      <c r="BL661" s="75">
        <f>BK661*(1-PARAM!$C$27)*$I$18+(MOD($B661,60)=PARAM!$B$56)*($B661&gt;(60-PARAM!$B$56))*HLOOKUP(($B661+PARAM!$B$56)/12,Loyalty,2)*$F$1*MAX(BN660,0)</f>
        <v>18.557001321003963</v>
      </c>
      <c r="BM661" s="75">
        <f>PARAM!$C$26+MAX($G$18-CHOOSE(PARAM!$B$44,MAX(0,BN660*$F$1),0),0)*RATES!$L637/12+$H$18*(PARAM!$D$51/12)*RATES!$N637/100</f>
        <v>392.75</v>
      </c>
      <c r="BN661" s="16">
        <f t="shared" si="428"/>
        <v>-40718.685853365772</v>
      </c>
      <c r="BO661" s="15">
        <f t="shared" si="403"/>
        <v>22.170849845882874</v>
      </c>
      <c r="BP661" s="75">
        <f>BO661*(1-PARAM!$C$27)*$I$19+(MOD($B661,60)=PARAM!$B$56)*($B661&gt;(60-PARAM!$B$56))*HLOOKUP(($B661+PARAM!$B$56)/12,Loyalty,2)*$F$1*MAX(BR660,0)</f>
        <v>18.557001321003963</v>
      </c>
      <c r="BQ661" s="75">
        <f>PARAM!$C$26+MAX($G$19-CHOOSE(PARAM!$B$44,MAX(0,BR660*$F$1),0),0)*RATES!$L637/12+$H$19*(PARAM!$D$51/12)*RATES!$N637/100</f>
        <v>392.75</v>
      </c>
      <c r="BR661" s="16">
        <f t="shared" si="429"/>
        <v>-40718.685853365772</v>
      </c>
      <c r="BS661" s="15">
        <f t="shared" si="404"/>
        <v>22.170849845882874</v>
      </c>
      <c r="BT661" s="75">
        <f>BS661*(1-PARAM!$C$27)*$I$20+(MOD($B661,60)=PARAM!$B$56)*($B661&gt;(60-PARAM!$B$56))*HLOOKUP(($B661+PARAM!$B$56)/12,Loyalty,2)*$F$1*MAX(BV660,0)</f>
        <v>18.557001321003963</v>
      </c>
      <c r="BU661" s="75">
        <f>PARAM!$C$26+MAX($G$20-CHOOSE(PARAM!$B$44,MAX(0,BV660*$F$1),0),0)*RATES!$L637/12+$H$20*(PARAM!$D$51/12)*RATES!$N637/100</f>
        <v>392.75</v>
      </c>
      <c r="BV661" s="16">
        <f t="shared" si="430"/>
        <v>-40718.685853365772</v>
      </c>
      <c r="BW661" s="15">
        <f t="shared" si="405"/>
        <v>22.170849845882874</v>
      </c>
      <c r="BX661" s="75">
        <f>BW661*(1-PARAM!$C$27)*$I$21+(MOD($B661,60)=PARAM!$B$56)*($B661&gt;(60-PARAM!$B$56))*HLOOKUP(($B661+PARAM!$B$56)/12,Loyalty,2)*$F$1*MAX(BZ660,0)</f>
        <v>18.557001321003963</v>
      </c>
      <c r="BY661" s="75">
        <f>PARAM!$C$26+MAX($G$21-CHOOSE(PARAM!$B$44,MAX(0,BZ660*$F$1),0),0)*RATES!$L637/12+$H$21*(PARAM!$D$51/12)*RATES!$N637/100</f>
        <v>392.75</v>
      </c>
      <c r="BZ661" s="16">
        <f t="shared" si="431"/>
        <v>-40718.685853365772</v>
      </c>
      <c r="CA661" s="15">
        <f t="shared" si="406"/>
        <v>22.170849845882874</v>
      </c>
      <c r="CB661" s="75">
        <f>CA661*(1-PARAM!$C$27)*$I$22+(MOD($B661,60)=PARAM!$B$56)*($B661&gt;(60-PARAM!$B$56))*HLOOKUP(($B661+PARAM!$B$56)/12,Loyalty,2)*$F$1*MAX(CD660,0)</f>
        <v>18.557001321003963</v>
      </c>
      <c r="CC661" s="75">
        <f>PARAM!$C$26+MAX($G$22-CHOOSE(PARAM!$B$44,MAX(0,CD660*$F$1),0),0)*RATES!$L637/12+$H$22*(PARAM!$D$51/12)*RATES!$N637/100</f>
        <v>392.75</v>
      </c>
      <c r="CD661" s="16">
        <f t="shared" si="432"/>
        <v>-40718.685853365772</v>
      </c>
      <c r="CE661" s="33">
        <f>IF(0=MOD(B661,12/PARAM!$D$51),1,0)</f>
        <v>1</v>
      </c>
      <c r="CF661" s="15">
        <f t="shared" si="407"/>
        <v>0</v>
      </c>
      <c r="CG661" s="75">
        <f>CF661*(1-PARAM!$C$27)*$R$3+(MOD($B661/12,5)=0)*($B661&gt;60)*HLOOKUP($B661/12,Loyalty,2)*$F$1*MAX(CI660,0)</f>
        <v>0</v>
      </c>
      <c r="CH661" s="75">
        <f>PARAM!$C$26+MAX($P$3-CHOOSE(PARAM!$B$44,MAX(0,CI660*$F$1),0),0)*RATES!$L637/12+$Q$3*(PARAM!$D$51/12)*RATES!$N637/100</f>
        <v>392.75</v>
      </c>
      <c r="CI661" s="16">
        <f>IF(CI660&gt;0,CI660*PARAM!$C$53,CI660)+CG661-CH661</f>
        <v>-52364.250000000029</v>
      </c>
      <c r="CJ661" s="15">
        <f t="shared" si="433"/>
        <v>0</v>
      </c>
      <c r="CK661" s="75">
        <f>CJ661*(1-PARAM!$C$27)*$R$4+(MOD($B661/12,5)=0)*($B661&gt;60)*HLOOKUP($B661/12,Loyalty,2)*$F$1*MAX(CM660,0)</f>
        <v>0</v>
      </c>
      <c r="CL661" s="75">
        <f>PARAM!$C$26+MAX($P$4-CHOOSE(PARAM!$B$44,MAX(0,CM660*$F$1),0),0)*RATES!$L637/12+$Q$4*(PARAM!$D$51/12)*RATES!$N637/100</f>
        <v>392.75</v>
      </c>
      <c r="CM661" s="16">
        <f>IF(CM660&gt;0,CM660*PARAM!$C$53,CM660)+CK661-CL661</f>
        <v>-52364.250000000029</v>
      </c>
      <c r="CO661" s="176"/>
    </row>
    <row r="662" spans="1:93" x14ac:dyDescent="0.2">
      <c r="A662" t="b">
        <f t="shared" si="408"/>
        <v>0</v>
      </c>
      <c r="B662" s="33">
        <v>635</v>
      </c>
      <c r="C662" s="15">
        <f t="shared" si="409"/>
        <v>20.081305947392778</v>
      </c>
      <c r="D662" s="75">
        <f>C662*(1-PARAM!$C$27)*$I$3+(MOD($B662,60)=PARAM!$B$56)*($B662&gt;(60-PARAM!$B$56))*HLOOKUP(($B662+PARAM!$B$56)/12,Loyalty,2)*$F$1*MAX(F661,0)</f>
        <v>16.808053077967756</v>
      </c>
      <c r="E662" s="75">
        <f>PARAM!$C$26+MAX($G$3-CHOOSE(PARAM!$B$44,MAX(0,F661*$F$1),0),0)*RATES!$L638/12+$H$3*(PARAM!$D$51/12)*RATES!$N638/100</f>
        <v>392.75</v>
      </c>
      <c r="F662" s="16">
        <f t="shared" si="410"/>
        <v>-42240.31148689433</v>
      </c>
      <c r="G662" s="15">
        <f t="shared" si="411"/>
        <v>22.035289406060361</v>
      </c>
      <c r="H662" s="75">
        <f>G662*(1-PARAM!$C$27)*$I$4+(MOD($B662,60)=PARAM!$B$56)*($B662&gt;(60-PARAM!$B$56))*HLOOKUP(($B662+PARAM!$B$56)/12,Loyalty,2)*$F$1*MAX(J661,0)</f>
        <v>18.443537232872522</v>
      </c>
      <c r="I662" s="75">
        <f>PARAM!$C$26+MAX($G$4-CHOOSE(PARAM!$B$44,MAX(0,J661*$F$1),0),0)*RATES!$L638/12+$H$4*(PARAM!$D$51/12)*RATES!$N638/100</f>
        <v>392.75</v>
      </c>
      <c r="J662" s="16">
        <f t="shared" si="412"/>
        <v>-41167.946084407988</v>
      </c>
      <c r="K662" s="15">
        <f t="shared" si="413"/>
        <v>22.170849845882874</v>
      </c>
      <c r="L662" s="75">
        <f>K662*(1-PARAM!$C$27)*$I$5+(MOD($B662,60)=PARAM!$B$56)*($B662&gt;(60-PARAM!$B$56))*HLOOKUP(($B662+PARAM!$B$56)/12,Loyalty,2)*$F$1*MAX(N661,0)</f>
        <v>18.557001321003963</v>
      </c>
      <c r="M662" s="75">
        <f>PARAM!$C$26+MAX($G$5-CHOOSE(PARAM!$B$44,MAX(0,N661*$F$1),0),0)*RATES!$L638/12+$H$5*(PARAM!$D$51/12)*RATES!$N638/100</f>
        <v>392.75</v>
      </c>
      <c r="N662" s="16">
        <f t="shared" si="414"/>
        <v>-41092.878852044771</v>
      </c>
      <c r="O662" s="15">
        <f t="shared" si="415"/>
        <v>22.170849845882874</v>
      </c>
      <c r="P662" s="75">
        <f>O662*(1-PARAM!$C$27)*$I$6+(MOD($B662,60)=PARAM!$B$56)*($B662&gt;(60-PARAM!$B$56))*HLOOKUP(($B662+PARAM!$B$56)/12,Loyalty,2)*$F$1*MAX(R661,0)</f>
        <v>18.557001321003963</v>
      </c>
      <c r="Q662" s="75">
        <f>PARAM!$C$26+MAX($G$6-CHOOSE(PARAM!$B$44,MAX(0,R661*$F$1),0),0)*RATES!$L638/12+$H$6*(PARAM!$D$51/12)*RATES!$N638/100</f>
        <v>392.75</v>
      </c>
      <c r="R662" s="16">
        <f t="shared" si="416"/>
        <v>-41092.878852044771</v>
      </c>
      <c r="S662" s="15">
        <f t="shared" si="391"/>
        <v>22.170849845882874</v>
      </c>
      <c r="T662" s="75">
        <f>S662*(1-PARAM!$C$27)*$I$7+(MOD($B662,60)=PARAM!$B$56)*($B662&gt;(60-PARAM!$B$56))*HLOOKUP(($B662+PARAM!$B$56)/12,Loyalty,2)*$F$1*MAX(V661,0)</f>
        <v>18.557001321003963</v>
      </c>
      <c r="U662" s="75">
        <f>PARAM!$C$26+MAX($G$7-CHOOSE(PARAM!$B$44,MAX(0,V661*$F$1),0),0)*RATES!$L638/12+$H$7*(PARAM!$D$51/12)*RATES!$N638/100</f>
        <v>392.75</v>
      </c>
      <c r="V662" s="16">
        <f t="shared" si="417"/>
        <v>-41092.878852044771</v>
      </c>
      <c r="W662" s="15">
        <f t="shared" si="392"/>
        <v>22.170849845882874</v>
      </c>
      <c r="X662" s="75">
        <f>W662*(1-PARAM!$C$27)*$I$8+(MOD($B662,60)=PARAM!$B$56)*($B662&gt;(60-PARAM!$B$56))*HLOOKUP(($B662+PARAM!$B$56)/12,Loyalty,2)*$F$1*MAX(Z661,0)</f>
        <v>18.557001321003963</v>
      </c>
      <c r="Y662" s="75">
        <f>PARAM!$C$26+MAX($G$8-CHOOSE(PARAM!$B$44,MAX(0,Z661*$F$1),0),0)*RATES!$L638/12+$H$8*(PARAM!$D$51/12)*RATES!$N638/100</f>
        <v>392.75</v>
      </c>
      <c r="Z662" s="16">
        <f t="shared" si="418"/>
        <v>-41092.878852044771</v>
      </c>
      <c r="AA662" s="15">
        <f t="shared" si="393"/>
        <v>22.170849845882874</v>
      </c>
      <c r="AB662" s="75">
        <f>AA662*(1-PARAM!$C$27)*$I$9+(MOD($B662,60)=PARAM!$B$56)*($B662&gt;(60-PARAM!$B$56))*HLOOKUP(($B662+PARAM!$B$56)/12,Loyalty,2)*$F$1*MAX(AD661,0)</f>
        <v>18.557001321003963</v>
      </c>
      <c r="AC662" s="75">
        <f>PARAM!$C$26+MAX($G$9-CHOOSE(PARAM!$B$44,MAX(0,AD661*$F$1),0),0)*RATES!$L638/12+$H$9*(PARAM!$D$51/12)*RATES!$N638/100</f>
        <v>392.75</v>
      </c>
      <c r="AD662" s="16">
        <f t="shared" si="419"/>
        <v>-41092.878852044771</v>
      </c>
      <c r="AE662" s="15">
        <f t="shared" si="394"/>
        <v>22.170849845882874</v>
      </c>
      <c r="AF662" s="75">
        <f>AE662*(1-PARAM!$C$27)*$I$10+(MOD($B662,60)=PARAM!$B$56)*($B662&gt;(60-PARAM!$B$56))*HLOOKUP(($B662+PARAM!$B$56)/12,Loyalty,2)*$F$1*MAX(AH661,0)</f>
        <v>18.557001321003963</v>
      </c>
      <c r="AG662" s="75">
        <f>PARAM!$C$26+MAX($G$10-CHOOSE(PARAM!$B$44,MAX(0,AH661*$F$1),0),0)*RATES!$L638/12+$H$10*(PARAM!$D$51/12)*RATES!$N638/100</f>
        <v>392.75</v>
      </c>
      <c r="AH662" s="16">
        <f t="shared" si="420"/>
        <v>-41092.878852044771</v>
      </c>
      <c r="AI662" s="15">
        <f t="shared" si="395"/>
        <v>22.170849845882874</v>
      </c>
      <c r="AJ662" s="75">
        <f>AI662*(1-PARAM!$C$27)*$I$11+(MOD($B662,60)=PARAM!$B$56)*($B662&gt;(60-PARAM!$B$56))*HLOOKUP(($B662+PARAM!$B$56)/12,Loyalty,2)*$F$1*MAX(AL661,0)</f>
        <v>18.557001321003963</v>
      </c>
      <c r="AK662" s="75">
        <f>PARAM!$C$26+MAX($G$11-CHOOSE(PARAM!$B$44,MAX(0,AL661*$F$1),0),0)*RATES!$L638/12+$H$11*(PARAM!$D$51/12)*RATES!$N638/100</f>
        <v>392.75</v>
      </c>
      <c r="AL662" s="16">
        <f t="shared" si="421"/>
        <v>-41092.878852044771</v>
      </c>
      <c r="AM662" s="15">
        <f t="shared" si="396"/>
        <v>22.170849845882874</v>
      </c>
      <c r="AN662" s="75">
        <f>AM662*(1-PARAM!$C$27)*$I$12+(MOD($B662,60)=PARAM!$B$56)*($B662&gt;(60-PARAM!$B$56))*HLOOKUP(($B662+PARAM!$B$56)/12,Loyalty,2)*$F$1*MAX(AP661,0)</f>
        <v>18.557001321003963</v>
      </c>
      <c r="AO662" s="75">
        <f>PARAM!$C$26+MAX($G$12-CHOOSE(PARAM!$B$44,MAX(0,AP661*$F$1),0),0)*RATES!$L638/12+$H$12*(PARAM!$D$51/12)*RATES!$N638/100</f>
        <v>392.75</v>
      </c>
      <c r="AP662" s="16">
        <f t="shared" si="422"/>
        <v>-41092.878852044771</v>
      </c>
      <c r="AQ662" s="15">
        <f t="shared" si="397"/>
        <v>22.170849845882874</v>
      </c>
      <c r="AR662" s="75">
        <f>AQ662*(1-PARAM!$C$27)*$I$13+(MOD($B662,60)=PARAM!$B$56)*($B662&gt;(60-PARAM!$B$56))*HLOOKUP(($B662+PARAM!$B$56)/12,Loyalty,2)*$F$1*MAX(AT661,0)</f>
        <v>18.557001321003963</v>
      </c>
      <c r="AS662" s="75">
        <f>PARAM!$C$26+MAX($G$13-CHOOSE(PARAM!$B$44,MAX(0,AT661*$F$1),0),0)*RATES!$L638/12+$H$13*(PARAM!$D$51/12)*RATES!$N638/100</f>
        <v>392.75</v>
      </c>
      <c r="AT662" s="16">
        <f t="shared" si="423"/>
        <v>-41092.878852044771</v>
      </c>
      <c r="AU662" s="15">
        <f t="shared" si="398"/>
        <v>22.170849845882874</v>
      </c>
      <c r="AV662" s="75">
        <f>AU662*(1-PARAM!$C$27)*$I$14+(MOD($B662,60)=PARAM!$B$56)*($B662&gt;(60-PARAM!$B$56))*HLOOKUP(($B662+PARAM!$B$56)/12,Loyalty,2)*$F$1*MAX(AX661,0)</f>
        <v>18.557001321003963</v>
      </c>
      <c r="AW662" s="75">
        <f>PARAM!$C$26+MAX($G$14-CHOOSE(PARAM!$B$44,MAX(0,AX661*$F$1),0),0)*RATES!$L638/12+$H$14*(PARAM!$D$51/12)*RATES!$N638/100</f>
        <v>392.75</v>
      </c>
      <c r="AX662" s="16">
        <f t="shared" si="424"/>
        <v>-41092.878852044771</v>
      </c>
      <c r="AY662" s="15">
        <f t="shared" si="399"/>
        <v>22.170849845882874</v>
      </c>
      <c r="AZ662" s="75">
        <f>AY662*(1-PARAM!$C$27)*$I$15+(MOD($B662,60)=PARAM!$B$56)*($B662&gt;(60-PARAM!$B$56))*HLOOKUP(($B662+PARAM!$B$56)/12,Loyalty,2)*$F$1*MAX(BB661,0)</f>
        <v>18.557001321003963</v>
      </c>
      <c r="BA662" s="75">
        <f>PARAM!$C$26+MAX($G$15-CHOOSE(PARAM!$B$44,MAX(0,BB661*$F$1),0),0)*RATES!$L638/12+$H$15*(PARAM!$D$51/12)*RATES!$N638/100</f>
        <v>392.75</v>
      </c>
      <c r="BB662" s="16">
        <f t="shared" si="425"/>
        <v>-41092.878852044771</v>
      </c>
      <c r="BC662" s="15">
        <f t="shared" si="400"/>
        <v>22.170849845882874</v>
      </c>
      <c r="BD662" s="75">
        <f>BC662*(1-PARAM!$C$27)*$I$16+(MOD($B662,60)=PARAM!$B$56)*($B662&gt;(60-PARAM!$B$56))*HLOOKUP(($B662+PARAM!$B$56)/12,Loyalty,2)*$F$1*MAX(BF661,0)</f>
        <v>18.557001321003963</v>
      </c>
      <c r="BE662" s="75">
        <f>PARAM!$C$26+MAX($G$16-CHOOSE(PARAM!$B$44,MAX(0,BF661*$F$1),0),0)*RATES!$L638/12+$H$16*(PARAM!$D$51/12)*RATES!$N638/100</f>
        <v>392.75</v>
      </c>
      <c r="BF662" s="16">
        <f t="shared" si="426"/>
        <v>-41092.878852044771</v>
      </c>
      <c r="BG662" s="15">
        <f t="shared" si="401"/>
        <v>22.170849845882874</v>
      </c>
      <c r="BH662" s="75">
        <f>BG662*(1-PARAM!$C$27)*$I$17+(MOD($B662,60)=PARAM!$B$56)*($B662&gt;(60-PARAM!$B$56))*HLOOKUP(($B662+PARAM!$B$56)/12,Loyalty,2)*$F$1*MAX(BJ661,0)</f>
        <v>18.557001321003963</v>
      </c>
      <c r="BI662" s="75">
        <f>PARAM!$C$26+MAX($G$17-CHOOSE(PARAM!$B$44,MAX(0,BJ661*$F$1),0),0)*RATES!$L638/12+$H$17*(PARAM!$D$51/12)*RATES!$N638/100</f>
        <v>392.75</v>
      </c>
      <c r="BJ662" s="16">
        <f t="shared" si="427"/>
        <v>-41092.878852044771</v>
      </c>
      <c r="BK662" s="15">
        <f t="shared" si="402"/>
        <v>22.170849845882874</v>
      </c>
      <c r="BL662" s="75">
        <f>BK662*(1-PARAM!$C$27)*$I$18+(MOD($B662,60)=PARAM!$B$56)*($B662&gt;(60-PARAM!$B$56))*HLOOKUP(($B662+PARAM!$B$56)/12,Loyalty,2)*$F$1*MAX(BN661,0)</f>
        <v>18.557001321003963</v>
      </c>
      <c r="BM662" s="75">
        <f>PARAM!$C$26+MAX($G$18-CHOOSE(PARAM!$B$44,MAX(0,BN661*$F$1),0),0)*RATES!$L638/12+$H$18*(PARAM!$D$51/12)*RATES!$N638/100</f>
        <v>392.75</v>
      </c>
      <c r="BN662" s="16">
        <f t="shared" si="428"/>
        <v>-41092.878852044771</v>
      </c>
      <c r="BO662" s="15">
        <f t="shared" si="403"/>
        <v>22.170849845882874</v>
      </c>
      <c r="BP662" s="75">
        <f>BO662*(1-PARAM!$C$27)*$I$19+(MOD($B662,60)=PARAM!$B$56)*($B662&gt;(60-PARAM!$B$56))*HLOOKUP(($B662+PARAM!$B$56)/12,Loyalty,2)*$F$1*MAX(BR661,0)</f>
        <v>18.557001321003963</v>
      </c>
      <c r="BQ662" s="75">
        <f>PARAM!$C$26+MAX($G$19-CHOOSE(PARAM!$B$44,MAX(0,BR661*$F$1),0),0)*RATES!$L638/12+$H$19*(PARAM!$D$51/12)*RATES!$N638/100</f>
        <v>392.75</v>
      </c>
      <c r="BR662" s="16">
        <f t="shared" si="429"/>
        <v>-41092.878852044771</v>
      </c>
      <c r="BS662" s="15">
        <f t="shared" si="404"/>
        <v>22.170849845882874</v>
      </c>
      <c r="BT662" s="75">
        <f>BS662*(1-PARAM!$C$27)*$I$20+(MOD($B662,60)=PARAM!$B$56)*($B662&gt;(60-PARAM!$B$56))*HLOOKUP(($B662+PARAM!$B$56)/12,Loyalty,2)*$F$1*MAX(BV661,0)</f>
        <v>18.557001321003963</v>
      </c>
      <c r="BU662" s="75">
        <f>PARAM!$C$26+MAX($G$20-CHOOSE(PARAM!$B$44,MAX(0,BV661*$F$1),0),0)*RATES!$L638/12+$H$20*(PARAM!$D$51/12)*RATES!$N638/100</f>
        <v>392.75</v>
      </c>
      <c r="BV662" s="16">
        <f t="shared" si="430"/>
        <v>-41092.878852044771</v>
      </c>
      <c r="BW662" s="15">
        <f t="shared" si="405"/>
        <v>22.170849845882874</v>
      </c>
      <c r="BX662" s="75">
        <f>BW662*(1-PARAM!$C$27)*$I$21+(MOD($B662,60)=PARAM!$B$56)*($B662&gt;(60-PARAM!$B$56))*HLOOKUP(($B662+PARAM!$B$56)/12,Loyalty,2)*$F$1*MAX(BZ661,0)</f>
        <v>18.557001321003963</v>
      </c>
      <c r="BY662" s="75">
        <f>PARAM!$C$26+MAX($G$21-CHOOSE(PARAM!$B$44,MAX(0,BZ661*$F$1),0),0)*RATES!$L638/12+$H$21*(PARAM!$D$51/12)*RATES!$N638/100</f>
        <v>392.75</v>
      </c>
      <c r="BZ662" s="16">
        <f t="shared" si="431"/>
        <v>-41092.878852044771</v>
      </c>
      <c r="CA662" s="15">
        <f t="shared" si="406"/>
        <v>22.170849845882874</v>
      </c>
      <c r="CB662" s="75">
        <f>CA662*(1-PARAM!$C$27)*$I$22+(MOD($B662,60)=PARAM!$B$56)*($B662&gt;(60-PARAM!$B$56))*HLOOKUP(($B662+PARAM!$B$56)/12,Loyalty,2)*$F$1*MAX(CD661,0)</f>
        <v>18.557001321003963</v>
      </c>
      <c r="CC662" s="75">
        <f>PARAM!$C$26+MAX($G$22-CHOOSE(PARAM!$B$44,MAX(0,CD661*$F$1),0),0)*RATES!$L638/12+$H$22*(PARAM!$D$51/12)*RATES!$N638/100</f>
        <v>392.75</v>
      </c>
      <c r="CD662" s="16">
        <f t="shared" si="432"/>
        <v>-41092.878852044771</v>
      </c>
      <c r="CE662" s="33">
        <f>IF(0=MOD(B662,12/PARAM!$D$51),1,0)</f>
        <v>1</v>
      </c>
      <c r="CF662" s="15">
        <f t="shared" si="407"/>
        <v>0</v>
      </c>
      <c r="CG662" s="75">
        <f>CF662*(1-PARAM!$C$27)*$R$3+(MOD($B662/12,5)=0)*($B662&gt;60)*HLOOKUP($B662/12,Loyalty,2)*$F$1*MAX(CI661,0)</f>
        <v>0</v>
      </c>
      <c r="CH662" s="75">
        <f>PARAM!$C$26+MAX($P$3-CHOOSE(PARAM!$B$44,MAX(0,CI661*$F$1),0),0)*RATES!$L638/12+$Q$3*(PARAM!$D$51/12)*RATES!$N638/100</f>
        <v>392.75</v>
      </c>
      <c r="CI662" s="16">
        <f>IF(CI661&gt;0,CI661*PARAM!$C$53,CI661)+CG662-CH662</f>
        <v>-52757.000000000029</v>
      </c>
      <c r="CJ662" s="15">
        <f t="shared" si="433"/>
        <v>0</v>
      </c>
      <c r="CK662" s="75">
        <f>CJ662*(1-PARAM!$C$27)*$R$4+(MOD($B662/12,5)=0)*($B662&gt;60)*HLOOKUP($B662/12,Loyalty,2)*$F$1*MAX(CM661,0)</f>
        <v>0</v>
      </c>
      <c r="CL662" s="75">
        <f>PARAM!$C$26+MAX($P$4-CHOOSE(PARAM!$B$44,MAX(0,CM661*$F$1),0),0)*RATES!$L638/12+$Q$4*(PARAM!$D$51/12)*RATES!$N638/100</f>
        <v>392.75</v>
      </c>
      <c r="CM662" s="16">
        <f>IF(CM661&gt;0,CM661*PARAM!$C$53,CM661)+CK662-CL662</f>
        <v>-52757.000000000029</v>
      </c>
      <c r="CO662" s="176"/>
    </row>
    <row r="663" spans="1:93" x14ac:dyDescent="0.2">
      <c r="A663" t="b">
        <f t="shared" si="408"/>
        <v>0</v>
      </c>
      <c r="B663" s="33">
        <v>636</v>
      </c>
      <c r="C663" s="15">
        <f t="shared" si="409"/>
        <v>20.081305947392778</v>
      </c>
      <c r="D663" s="75">
        <f>C663*(1-PARAM!$C$27)*$I$3+(MOD($B663,60)=PARAM!$B$56)*($B663&gt;(60-PARAM!$B$56))*HLOOKUP(($B663+PARAM!$B$56)/12,Loyalty,2)*$F$1*MAX(F662,0)</f>
        <v>16.808053077967756</v>
      </c>
      <c r="E663" s="75">
        <f>PARAM!$C$26+MAX($G$3-CHOOSE(PARAM!$B$44,MAX(0,F662*$F$1),0),0)*RATES!$L639/12+$H$3*(PARAM!$D$51/12)*RATES!$N639/100</f>
        <v>392.75</v>
      </c>
      <c r="F663" s="16">
        <f t="shared" si="410"/>
        <v>-42616.25343381636</v>
      </c>
      <c r="G663" s="15">
        <f t="shared" si="411"/>
        <v>22.035289406060361</v>
      </c>
      <c r="H663" s="75">
        <f>G663*(1-PARAM!$C$27)*$I$4+(MOD($B663,60)=PARAM!$B$56)*($B663&gt;(60-PARAM!$B$56))*HLOOKUP(($B663+PARAM!$B$56)/12,Loyalty,2)*$F$1*MAX(J662,0)</f>
        <v>18.443537232872522</v>
      </c>
      <c r="I663" s="75">
        <f>PARAM!$C$26+MAX($G$4-CHOOSE(PARAM!$B$44,MAX(0,J662*$F$1),0),0)*RATES!$L639/12+$H$4*(PARAM!$D$51/12)*RATES!$N639/100</f>
        <v>392.75</v>
      </c>
      <c r="J663" s="16">
        <f t="shared" si="412"/>
        <v>-41542.252547175114</v>
      </c>
      <c r="K663" s="15">
        <f t="shared" si="413"/>
        <v>22.170849845882874</v>
      </c>
      <c r="L663" s="75">
        <f>K663*(1-PARAM!$C$27)*$I$5+(MOD($B663,60)=PARAM!$B$56)*($B663&gt;(60-PARAM!$B$56))*HLOOKUP(($B663+PARAM!$B$56)/12,Loyalty,2)*$F$1*MAX(N662,0)</f>
        <v>18.557001321003963</v>
      </c>
      <c r="M663" s="75">
        <f>PARAM!$C$26+MAX($G$5-CHOOSE(PARAM!$B$44,MAX(0,N662*$F$1),0),0)*RATES!$L639/12+$H$5*(PARAM!$D$51/12)*RATES!$N639/100</f>
        <v>392.75</v>
      </c>
      <c r="N663" s="16">
        <f t="shared" si="414"/>
        <v>-41467.071850723769</v>
      </c>
      <c r="O663" s="15">
        <f t="shared" si="415"/>
        <v>22.170849845882874</v>
      </c>
      <c r="P663" s="75">
        <f>O663*(1-PARAM!$C$27)*$I$6+(MOD($B663,60)=PARAM!$B$56)*($B663&gt;(60-PARAM!$B$56))*HLOOKUP(($B663+PARAM!$B$56)/12,Loyalty,2)*$F$1*MAX(R662,0)</f>
        <v>18.557001321003963</v>
      </c>
      <c r="Q663" s="75">
        <f>PARAM!$C$26+MAX($G$6-CHOOSE(PARAM!$B$44,MAX(0,R662*$F$1),0),0)*RATES!$L639/12+$H$6*(PARAM!$D$51/12)*RATES!$N639/100</f>
        <v>392.75</v>
      </c>
      <c r="R663" s="16">
        <f t="shared" si="416"/>
        <v>-41467.071850723769</v>
      </c>
      <c r="S663" s="15">
        <f t="shared" si="391"/>
        <v>22.170849845882874</v>
      </c>
      <c r="T663" s="75">
        <f>S663*(1-PARAM!$C$27)*$I$7+(MOD($B663,60)=PARAM!$B$56)*($B663&gt;(60-PARAM!$B$56))*HLOOKUP(($B663+PARAM!$B$56)/12,Loyalty,2)*$F$1*MAX(V662,0)</f>
        <v>18.557001321003963</v>
      </c>
      <c r="U663" s="75">
        <f>PARAM!$C$26+MAX($G$7-CHOOSE(PARAM!$B$44,MAX(0,V662*$F$1),0),0)*RATES!$L639/12+$H$7*(PARAM!$D$51/12)*RATES!$N639/100</f>
        <v>392.75</v>
      </c>
      <c r="V663" s="16">
        <f t="shared" si="417"/>
        <v>-41467.071850723769</v>
      </c>
      <c r="W663" s="15">
        <f t="shared" si="392"/>
        <v>22.170849845882874</v>
      </c>
      <c r="X663" s="75">
        <f>W663*(1-PARAM!$C$27)*$I$8+(MOD($B663,60)=PARAM!$B$56)*($B663&gt;(60-PARAM!$B$56))*HLOOKUP(($B663+PARAM!$B$56)/12,Loyalty,2)*$F$1*MAX(Z662,0)</f>
        <v>18.557001321003963</v>
      </c>
      <c r="Y663" s="75">
        <f>PARAM!$C$26+MAX($G$8-CHOOSE(PARAM!$B$44,MAX(0,Z662*$F$1),0),0)*RATES!$L639/12+$H$8*(PARAM!$D$51/12)*RATES!$N639/100</f>
        <v>392.75</v>
      </c>
      <c r="Z663" s="16">
        <f t="shared" si="418"/>
        <v>-41467.071850723769</v>
      </c>
      <c r="AA663" s="15">
        <f t="shared" si="393"/>
        <v>22.170849845882874</v>
      </c>
      <c r="AB663" s="75">
        <f>AA663*(1-PARAM!$C$27)*$I$9+(MOD($B663,60)=PARAM!$B$56)*($B663&gt;(60-PARAM!$B$56))*HLOOKUP(($B663+PARAM!$B$56)/12,Loyalty,2)*$F$1*MAX(AD662,0)</f>
        <v>18.557001321003963</v>
      </c>
      <c r="AC663" s="75">
        <f>PARAM!$C$26+MAX($G$9-CHOOSE(PARAM!$B$44,MAX(0,AD662*$F$1),0),0)*RATES!$L639/12+$H$9*(PARAM!$D$51/12)*RATES!$N639/100</f>
        <v>392.75</v>
      </c>
      <c r="AD663" s="16">
        <f t="shared" si="419"/>
        <v>-41467.071850723769</v>
      </c>
      <c r="AE663" s="15">
        <f t="shared" si="394"/>
        <v>22.170849845882874</v>
      </c>
      <c r="AF663" s="75">
        <f>AE663*(1-PARAM!$C$27)*$I$10+(MOD($B663,60)=PARAM!$B$56)*($B663&gt;(60-PARAM!$B$56))*HLOOKUP(($B663+PARAM!$B$56)/12,Loyalty,2)*$F$1*MAX(AH662,0)</f>
        <v>18.557001321003963</v>
      </c>
      <c r="AG663" s="75">
        <f>PARAM!$C$26+MAX($G$10-CHOOSE(PARAM!$B$44,MAX(0,AH662*$F$1),0),0)*RATES!$L639/12+$H$10*(PARAM!$D$51/12)*RATES!$N639/100</f>
        <v>392.75</v>
      </c>
      <c r="AH663" s="16">
        <f t="shared" si="420"/>
        <v>-41467.071850723769</v>
      </c>
      <c r="AI663" s="15">
        <f t="shared" si="395"/>
        <v>22.170849845882874</v>
      </c>
      <c r="AJ663" s="75">
        <f>AI663*(1-PARAM!$C$27)*$I$11+(MOD($B663,60)=PARAM!$B$56)*($B663&gt;(60-PARAM!$B$56))*HLOOKUP(($B663+PARAM!$B$56)/12,Loyalty,2)*$F$1*MAX(AL662,0)</f>
        <v>18.557001321003963</v>
      </c>
      <c r="AK663" s="75">
        <f>PARAM!$C$26+MAX($G$11-CHOOSE(PARAM!$B$44,MAX(0,AL662*$F$1),0),0)*RATES!$L639/12+$H$11*(PARAM!$D$51/12)*RATES!$N639/100</f>
        <v>392.75</v>
      </c>
      <c r="AL663" s="16">
        <f t="shared" si="421"/>
        <v>-41467.071850723769</v>
      </c>
      <c r="AM663" s="15">
        <f t="shared" si="396"/>
        <v>22.170849845882874</v>
      </c>
      <c r="AN663" s="75">
        <f>AM663*(1-PARAM!$C$27)*$I$12+(MOD($B663,60)=PARAM!$B$56)*($B663&gt;(60-PARAM!$B$56))*HLOOKUP(($B663+PARAM!$B$56)/12,Loyalty,2)*$F$1*MAX(AP662,0)</f>
        <v>18.557001321003963</v>
      </c>
      <c r="AO663" s="75">
        <f>PARAM!$C$26+MAX($G$12-CHOOSE(PARAM!$B$44,MAX(0,AP662*$F$1),0),0)*RATES!$L639/12+$H$12*(PARAM!$D$51/12)*RATES!$N639/100</f>
        <v>392.75</v>
      </c>
      <c r="AP663" s="16">
        <f t="shared" si="422"/>
        <v>-41467.071850723769</v>
      </c>
      <c r="AQ663" s="15">
        <f t="shared" si="397"/>
        <v>22.170849845882874</v>
      </c>
      <c r="AR663" s="75">
        <f>AQ663*(1-PARAM!$C$27)*$I$13+(MOD($B663,60)=PARAM!$B$56)*($B663&gt;(60-PARAM!$B$56))*HLOOKUP(($B663+PARAM!$B$56)/12,Loyalty,2)*$F$1*MAX(AT662,0)</f>
        <v>18.557001321003963</v>
      </c>
      <c r="AS663" s="75">
        <f>PARAM!$C$26+MAX($G$13-CHOOSE(PARAM!$B$44,MAX(0,AT662*$F$1),0),0)*RATES!$L639/12+$H$13*(PARAM!$D$51/12)*RATES!$N639/100</f>
        <v>392.75</v>
      </c>
      <c r="AT663" s="16">
        <f t="shared" si="423"/>
        <v>-41467.071850723769</v>
      </c>
      <c r="AU663" s="15">
        <f t="shared" si="398"/>
        <v>22.170849845882874</v>
      </c>
      <c r="AV663" s="75">
        <f>AU663*(1-PARAM!$C$27)*$I$14+(MOD($B663,60)=PARAM!$B$56)*($B663&gt;(60-PARAM!$B$56))*HLOOKUP(($B663+PARAM!$B$56)/12,Loyalty,2)*$F$1*MAX(AX662,0)</f>
        <v>18.557001321003963</v>
      </c>
      <c r="AW663" s="75">
        <f>PARAM!$C$26+MAX($G$14-CHOOSE(PARAM!$B$44,MAX(0,AX662*$F$1),0),0)*RATES!$L639/12+$H$14*(PARAM!$D$51/12)*RATES!$N639/100</f>
        <v>392.75</v>
      </c>
      <c r="AX663" s="16">
        <f t="shared" si="424"/>
        <v>-41467.071850723769</v>
      </c>
      <c r="AY663" s="15">
        <f t="shared" si="399"/>
        <v>22.170849845882874</v>
      </c>
      <c r="AZ663" s="75">
        <f>AY663*(1-PARAM!$C$27)*$I$15+(MOD($B663,60)=PARAM!$B$56)*($B663&gt;(60-PARAM!$B$56))*HLOOKUP(($B663+PARAM!$B$56)/12,Loyalty,2)*$F$1*MAX(BB662,0)</f>
        <v>18.557001321003963</v>
      </c>
      <c r="BA663" s="75">
        <f>PARAM!$C$26+MAX($G$15-CHOOSE(PARAM!$B$44,MAX(0,BB662*$F$1),0),0)*RATES!$L639/12+$H$15*(PARAM!$D$51/12)*RATES!$N639/100</f>
        <v>392.75</v>
      </c>
      <c r="BB663" s="16">
        <f t="shared" si="425"/>
        <v>-41467.071850723769</v>
      </c>
      <c r="BC663" s="15">
        <f t="shared" si="400"/>
        <v>22.170849845882874</v>
      </c>
      <c r="BD663" s="75">
        <f>BC663*(1-PARAM!$C$27)*$I$16+(MOD($B663,60)=PARAM!$B$56)*($B663&gt;(60-PARAM!$B$56))*HLOOKUP(($B663+PARAM!$B$56)/12,Loyalty,2)*$F$1*MAX(BF662,0)</f>
        <v>18.557001321003963</v>
      </c>
      <c r="BE663" s="75">
        <f>PARAM!$C$26+MAX($G$16-CHOOSE(PARAM!$B$44,MAX(0,BF662*$F$1),0),0)*RATES!$L639/12+$H$16*(PARAM!$D$51/12)*RATES!$N639/100</f>
        <v>392.75</v>
      </c>
      <c r="BF663" s="16">
        <f t="shared" si="426"/>
        <v>-41467.071850723769</v>
      </c>
      <c r="BG663" s="15">
        <f t="shared" si="401"/>
        <v>22.170849845882874</v>
      </c>
      <c r="BH663" s="75">
        <f>BG663*(1-PARAM!$C$27)*$I$17+(MOD($B663,60)=PARAM!$B$56)*($B663&gt;(60-PARAM!$B$56))*HLOOKUP(($B663+PARAM!$B$56)/12,Loyalty,2)*$F$1*MAX(BJ662,0)</f>
        <v>18.557001321003963</v>
      </c>
      <c r="BI663" s="75">
        <f>PARAM!$C$26+MAX($G$17-CHOOSE(PARAM!$B$44,MAX(0,BJ662*$F$1),0),0)*RATES!$L639/12+$H$17*(PARAM!$D$51/12)*RATES!$N639/100</f>
        <v>392.75</v>
      </c>
      <c r="BJ663" s="16">
        <f t="shared" si="427"/>
        <v>-41467.071850723769</v>
      </c>
      <c r="BK663" s="15">
        <f t="shared" si="402"/>
        <v>22.170849845882874</v>
      </c>
      <c r="BL663" s="75">
        <f>BK663*(1-PARAM!$C$27)*$I$18+(MOD($B663,60)=PARAM!$B$56)*($B663&gt;(60-PARAM!$B$56))*HLOOKUP(($B663+PARAM!$B$56)/12,Loyalty,2)*$F$1*MAX(BN662,0)</f>
        <v>18.557001321003963</v>
      </c>
      <c r="BM663" s="75">
        <f>PARAM!$C$26+MAX($G$18-CHOOSE(PARAM!$B$44,MAX(0,BN662*$F$1),0),0)*RATES!$L639/12+$H$18*(PARAM!$D$51/12)*RATES!$N639/100</f>
        <v>392.75</v>
      </c>
      <c r="BN663" s="16">
        <f t="shared" si="428"/>
        <v>-41467.071850723769</v>
      </c>
      <c r="BO663" s="15">
        <f t="shared" si="403"/>
        <v>22.170849845882874</v>
      </c>
      <c r="BP663" s="75">
        <f>BO663*(1-PARAM!$C$27)*$I$19+(MOD($B663,60)=PARAM!$B$56)*($B663&gt;(60-PARAM!$B$56))*HLOOKUP(($B663+PARAM!$B$56)/12,Loyalty,2)*$F$1*MAX(BR662,0)</f>
        <v>18.557001321003963</v>
      </c>
      <c r="BQ663" s="75">
        <f>PARAM!$C$26+MAX($G$19-CHOOSE(PARAM!$B$44,MAX(0,BR662*$F$1),0),0)*RATES!$L639/12+$H$19*(PARAM!$D$51/12)*RATES!$N639/100</f>
        <v>392.75</v>
      </c>
      <c r="BR663" s="16">
        <f t="shared" si="429"/>
        <v>-41467.071850723769</v>
      </c>
      <c r="BS663" s="15">
        <f t="shared" si="404"/>
        <v>22.170849845882874</v>
      </c>
      <c r="BT663" s="75">
        <f>BS663*(1-PARAM!$C$27)*$I$20+(MOD($B663,60)=PARAM!$B$56)*($B663&gt;(60-PARAM!$B$56))*HLOOKUP(($B663+PARAM!$B$56)/12,Loyalty,2)*$F$1*MAX(BV662,0)</f>
        <v>18.557001321003963</v>
      </c>
      <c r="BU663" s="75">
        <f>PARAM!$C$26+MAX($G$20-CHOOSE(PARAM!$B$44,MAX(0,BV662*$F$1),0),0)*RATES!$L639/12+$H$20*(PARAM!$D$51/12)*RATES!$N639/100</f>
        <v>392.75</v>
      </c>
      <c r="BV663" s="16">
        <f t="shared" si="430"/>
        <v>-41467.071850723769</v>
      </c>
      <c r="BW663" s="15">
        <f t="shared" si="405"/>
        <v>22.170849845882874</v>
      </c>
      <c r="BX663" s="75">
        <f>BW663*(1-PARAM!$C$27)*$I$21+(MOD($B663,60)=PARAM!$B$56)*($B663&gt;(60-PARAM!$B$56))*HLOOKUP(($B663+PARAM!$B$56)/12,Loyalty,2)*$F$1*MAX(BZ662,0)</f>
        <v>18.557001321003963</v>
      </c>
      <c r="BY663" s="75">
        <f>PARAM!$C$26+MAX($G$21-CHOOSE(PARAM!$B$44,MAX(0,BZ662*$F$1),0),0)*RATES!$L639/12+$H$21*(PARAM!$D$51/12)*RATES!$N639/100</f>
        <v>392.75</v>
      </c>
      <c r="BZ663" s="16">
        <f t="shared" si="431"/>
        <v>-41467.071850723769</v>
      </c>
      <c r="CA663" s="15">
        <f t="shared" si="406"/>
        <v>22.170849845882874</v>
      </c>
      <c r="CB663" s="75">
        <f>CA663*(1-PARAM!$C$27)*$I$22+(MOD($B663,60)=PARAM!$B$56)*($B663&gt;(60-PARAM!$B$56))*HLOOKUP(($B663+PARAM!$B$56)/12,Loyalty,2)*$F$1*MAX(CD662,0)</f>
        <v>18.557001321003963</v>
      </c>
      <c r="CC663" s="75">
        <f>PARAM!$C$26+MAX($G$22-CHOOSE(PARAM!$B$44,MAX(0,CD662*$F$1),0),0)*RATES!$L639/12+$H$22*(PARAM!$D$51/12)*RATES!$N639/100</f>
        <v>392.75</v>
      </c>
      <c r="CD663" s="16">
        <f t="shared" si="432"/>
        <v>-41467.071850723769</v>
      </c>
      <c r="CE663" s="33">
        <f>IF(0=MOD(B663,12/PARAM!$D$51),1,0)</f>
        <v>1</v>
      </c>
      <c r="CF663" s="15">
        <f t="shared" si="407"/>
        <v>0</v>
      </c>
      <c r="CG663" s="75">
        <f>CF663*(1-PARAM!$C$27)*$R$3+(MOD($B663/12,5)=0)*($B663&gt;60)*HLOOKUP($B663/12,Loyalty,2)*$F$1*MAX(CI662,0)</f>
        <v>0</v>
      </c>
      <c r="CH663" s="75">
        <f>PARAM!$C$26+MAX($P$3-CHOOSE(PARAM!$B$44,MAX(0,CI662*$F$1),0),0)*RATES!$L639/12+$Q$3*(PARAM!$D$51/12)*RATES!$N639/100</f>
        <v>392.75</v>
      </c>
      <c r="CI663" s="16">
        <f>IF(CI662&gt;0,CI662*PARAM!$C$53,CI662)+CG663-CH663</f>
        <v>-53149.750000000029</v>
      </c>
      <c r="CJ663" s="15">
        <f t="shared" si="433"/>
        <v>0</v>
      </c>
      <c r="CK663" s="75">
        <f>CJ663*(1-PARAM!$C$27)*$R$4+(MOD($B663/12,5)=0)*($B663&gt;60)*HLOOKUP($B663/12,Loyalty,2)*$F$1*MAX(CM662,0)</f>
        <v>0</v>
      </c>
      <c r="CL663" s="75">
        <f>PARAM!$C$26+MAX($P$4-CHOOSE(PARAM!$B$44,MAX(0,CM662*$F$1),0),0)*RATES!$L639/12+$Q$4*(PARAM!$D$51/12)*RATES!$N639/100</f>
        <v>392.75</v>
      </c>
      <c r="CM663" s="16">
        <f>IF(CM662&gt;0,CM662*PARAM!$C$53,CM662)+CK663-CL663</f>
        <v>-53149.750000000029</v>
      </c>
      <c r="CO663" s="176"/>
    </row>
    <row r="664" spans="1:93" x14ac:dyDescent="0.2">
      <c r="A664" t="b">
        <f t="shared" si="408"/>
        <v>0</v>
      </c>
      <c r="B664" s="33">
        <v>637</v>
      </c>
      <c r="C664" s="15">
        <f t="shared" si="409"/>
        <v>20.081305947392778</v>
      </c>
      <c r="D664" s="75">
        <f>C664*(1-PARAM!$C$27)*$I$3+(MOD($B664,60)=PARAM!$B$56)*($B664&gt;(60-PARAM!$B$56))*HLOOKUP(($B664+PARAM!$B$56)/12,Loyalty,2)*$F$1*MAX(F663,0)</f>
        <v>16.808053077967756</v>
      </c>
      <c r="E664" s="75">
        <f>PARAM!$C$26+MAX($G$3-CHOOSE(PARAM!$B$44,MAX(0,F663*$F$1),0),0)*RATES!$L640/12+$H$3*(PARAM!$D$51/12)*RATES!$N640/100</f>
        <v>392.75</v>
      </c>
      <c r="F664" s="16">
        <f t="shared" si="410"/>
        <v>-42992.195380738391</v>
      </c>
      <c r="G664" s="15">
        <f t="shared" si="411"/>
        <v>22.035289406060361</v>
      </c>
      <c r="H664" s="75">
        <f>G664*(1-PARAM!$C$27)*$I$4+(MOD($B664,60)=PARAM!$B$56)*($B664&gt;(60-PARAM!$B$56))*HLOOKUP(($B664+PARAM!$B$56)/12,Loyalty,2)*$F$1*MAX(J663,0)</f>
        <v>18.443537232872522</v>
      </c>
      <c r="I664" s="75">
        <f>PARAM!$C$26+MAX($G$4-CHOOSE(PARAM!$B$44,MAX(0,J663*$F$1),0),0)*RATES!$L640/12+$H$4*(PARAM!$D$51/12)*RATES!$N640/100</f>
        <v>392.75</v>
      </c>
      <c r="J664" s="16">
        <f t="shared" si="412"/>
        <v>-41916.559009942241</v>
      </c>
      <c r="K664" s="15">
        <f t="shared" si="413"/>
        <v>22.170849845882874</v>
      </c>
      <c r="L664" s="75">
        <f>K664*(1-PARAM!$C$27)*$I$5+(MOD($B664,60)=PARAM!$B$56)*($B664&gt;(60-PARAM!$B$56))*HLOOKUP(($B664+PARAM!$B$56)/12,Loyalty,2)*$F$1*MAX(N663,0)</f>
        <v>18.557001321003963</v>
      </c>
      <c r="M664" s="75">
        <f>PARAM!$C$26+MAX($G$5-CHOOSE(PARAM!$B$44,MAX(0,N663*$F$1),0),0)*RATES!$L640/12+$H$5*(PARAM!$D$51/12)*RATES!$N640/100</f>
        <v>392.75</v>
      </c>
      <c r="N664" s="16">
        <f t="shared" si="414"/>
        <v>-41841.264849402767</v>
      </c>
      <c r="O664" s="15">
        <f t="shared" si="415"/>
        <v>22.170849845882874</v>
      </c>
      <c r="P664" s="75">
        <f>O664*(1-PARAM!$C$27)*$I$6+(MOD($B664,60)=PARAM!$B$56)*($B664&gt;(60-PARAM!$B$56))*HLOOKUP(($B664+PARAM!$B$56)/12,Loyalty,2)*$F$1*MAX(R663,0)</f>
        <v>18.557001321003963</v>
      </c>
      <c r="Q664" s="75">
        <f>PARAM!$C$26+MAX($G$6-CHOOSE(PARAM!$B$44,MAX(0,R663*$F$1),0),0)*RATES!$L640/12+$H$6*(PARAM!$D$51/12)*RATES!$N640/100</f>
        <v>392.75</v>
      </c>
      <c r="R664" s="16">
        <f t="shared" si="416"/>
        <v>-41841.264849402767</v>
      </c>
      <c r="S664" s="15">
        <f t="shared" si="391"/>
        <v>22.170849845882874</v>
      </c>
      <c r="T664" s="75">
        <f>S664*(1-PARAM!$C$27)*$I$7+(MOD($B664,60)=PARAM!$B$56)*($B664&gt;(60-PARAM!$B$56))*HLOOKUP(($B664+PARAM!$B$56)/12,Loyalty,2)*$F$1*MAX(V663,0)</f>
        <v>18.557001321003963</v>
      </c>
      <c r="U664" s="75">
        <f>PARAM!$C$26+MAX($G$7-CHOOSE(PARAM!$B$44,MAX(0,V663*$F$1),0),0)*RATES!$L640/12+$H$7*(PARAM!$D$51/12)*RATES!$N640/100</f>
        <v>392.75</v>
      </c>
      <c r="V664" s="16">
        <f t="shared" si="417"/>
        <v>-41841.264849402767</v>
      </c>
      <c r="W664" s="15">
        <f t="shared" si="392"/>
        <v>22.170849845882874</v>
      </c>
      <c r="X664" s="75">
        <f>W664*(1-PARAM!$C$27)*$I$8+(MOD($B664,60)=PARAM!$B$56)*($B664&gt;(60-PARAM!$B$56))*HLOOKUP(($B664+PARAM!$B$56)/12,Loyalty,2)*$F$1*MAX(Z663,0)</f>
        <v>18.557001321003963</v>
      </c>
      <c r="Y664" s="75">
        <f>PARAM!$C$26+MAX($G$8-CHOOSE(PARAM!$B$44,MAX(0,Z663*$F$1),0),0)*RATES!$L640/12+$H$8*(PARAM!$D$51/12)*RATES!$N640/100</f>
        <v>392.75</v>
      </c>
      <c r="Z664" s="16">
        <f t="shared" si="418"/>
        <v>-41841.264849402767</v>
      </c>
      <c r="AA664" s="15">
        <f t="shared" si="393"/>
        <v>22.170849845882874</v>
      </c>
      <c r="AB664" s="75">
        <f>AA664*(1-PARAM!$C$27)*$I$9+(MOD($B664,60)=PARAM!$B$56)*($B664&gt;(60-PARAM!$B$56))*HLOOKUP(($B664+PARAM!$B$56)/12,Loyalty,2)*$F$1*MAX(AD663,0)</f>
        <v>18.557001321003963</v>
      </c>
      <c r="AC664" s="75">
        <f>PARAM!$C$26+MAX($G$9-CHOOSE(PARAM!$B$44,MAX(0,AD663*$F$1),0),0)*RATES!$L640/12+$H$9*(PARAM!$D$51/12)*RATES!$N640/100</f>
        <v>392.75</v>
      </c>
      <c r="AD664" s="16">
        <f t="shared" si="419"/>
        <v>-41841.264849402767</v>
      </c>
      <c r="AE664" s="15">
        <f t="shared" si="394"/>
        <v>22.170849845882874</v>
      </c>
      <c r="AF664" s="75">
        <f>AE664*(1-PARAM!$C$27)*$I$10+(MOD($B664,60)=PARAM!$B$56)*($B664&gt;(60-PARAM!$B$56))*HLOOKUP(($B664+PARAM!$B$56)/12,Loyalty,2)*$F$1*MAX(AH663,0)</f>
        <v>18.557001321003963</v>
      </c>
      <c r="AG664" s="75">
        <f>PARAM!$C$26+MAX($G$10-CHOOSE(PARAM!$B$44,MAX(0,AH663*$F$1),0),0)*RATES!$L640/12+$H$10*(PARAM!$D$51/12)*RATES!$N640/100</f>
        <v>392.75</v>
      </c>
      <c r="AH664" s="16">
        <f t="shared" si="420"/>
        <v>-41841.264849402767</v>
      </c>
      <c r="AI664" s="15">
        <f t="shared" si="395"/>
        <v>22.170849845882874</v>
      </c>
      <c r="AJ664" s="75">
        <f>AI664*(1-PARAM!$C$27)*$I$11+(MOD($B664,60)=PARAM!$B$56)*($B664&gt;(60-PARAM!$B$56))*HLOOKUP(($B664+PARAM!$B$56)/12,Loyalty,2)*$F$1*MAX(AL663,0)</f>
        <v>18.557001321003963</v>
      </c>
      <c r="AK664" s="75">
        <f>PARAM!$C$26+MAX($G$11-CHOOSE(PARAM!$B$44,MAX(0,AL663*$F$1),0),0)*RATES!$L640/12+$H$11*(PARAM!$D$51/12)*RATES!$N640/100</f>
        <v>392.75</v>
      </c>
      <c r="AL664" s="16">
        <f t="shared" si="421"/>
        <v>-41841.264849402767</v>
      </c>
      <c r="AM664" s="15">
        <f t="shared" si="396"/>
        <v>22.170849845882874</v>
      </c>
      <c r="AN664" s="75">
        <f>AM664*(1-PARAM!$C$27)*$I$12+(MOD($B664,60)=PARAM!$B$56)*($B664&gt;(60-PARAM!$B$56))*HLOOKUP(($B664+PARAM!$B$56)/12,Loyalty,2)*$F$1*MAX(AP663,0)</f>
        <v>18.557001321003963</v>
      </c>
      <c r="AO664" s="75">
        <f>PARAM!$C$26+MAX($G$12-CHOOSE(PARAM!$B$44,MAX(0,AP663*$F$1),0),0)*RATES!$L640/12+$H$12*(PARAM!$D$51/12)*RATES!$N640/100</f>
        <v>392.75</v>
      </c>
      <c r="AP664" s="16">
        <f t="shared" si="422"/>
        <v>-41841.264849402767</v>
      </c>
      <c r="AQ664" s="15">
        <f t="shared" si="397"/>
        <v>22.170849845882874</v>
      </c>
      <c r="AR664" s="75">
        <f>AQ664*(1-PARAM!$C$27)*$I$13+(MOD($B664,60)=PARAM!$B$56)*($B664&gt;(60-PARAM!$B$56))*HLOOKUP(($B664+PARAM!$B$56)/12,Loyalty,2)*$F$1*MAX(AT663,0)</f>
        <v>18.557001321003963</v>
      </c>
      <c r="AS664" s="75">
        <f>PARAM!$C$26+MAX($G$13-CHOOSE(PARAM!$B$44,MAX(0,AT663*$F$1),0),0)*RATES!$L640/12+$H$13*(PARAM!$D$51/12)*RATES!$N640/100</f>
        <v>392.75</v>
      </c>
      <c r="AT664" s="16">
        <f t="shared" si="423"/>
        <v>-41841.264849402767</v>
      </c>
      <c r="AU664" s="15">
        <f t="shared" si="398"/>
        <v>22.170849845882874</v>
      </c>
      <c r="AV664" s="75">
        <f>AU664*(1-PARAM!$C$27)*$I$14+(MOD($B664,60)=PARAM!$B$56)*($B664&gt;(60-PARAM!$B$56))*HLOOKUP(($B664+PARAM!$B$56)/12,Loyalty,2)*$F$1*MAX(AX663,0)</f>
        <v>18.557001321003963</v>
      </c>
      <c r="AW664" s="75">
        <f>PARAM!$C$26+MAX($G$14-CHOOSE(PARAM!$B$44,MAX(0,AX663*$F$1),0),0)*RATES!$L640/12+$H$14*(PARAM!$D$51/12)*RATES!$N640/100</f>
        <v>392.75</v>
      </c>
      <c r="AX664" s="16">
        <f t="shared" si="424"/>
        <v>-41841.264849402767</v>
      </c>
      <c r="AY664" s="15">
        <f t="shared" si="399"/>
        <v>22.170849845882874</v>
      </c>
      <c r="AZ664" s="75">
        <f>AY664*(1-PARAM!$C$27)*$I$15+(MOD($B664,60)=PARAM!$B$56)*($B664&gt;(60-PARAM!$B$56))*HLOOKUP(($B664+PARAM!$B$56)/12,Loyalty,2)*$F$1*MAX(BB663,0)</f>
        <v>18.557001321003963</v>
      </c>
      <c r="BA664" s="75">
        <f>PARAM!$C$26+MAX($G$15-CHOOSE(PARAM!$B$44,MAX(0,BB663*$F$1),0),0)*RATES!$L640/12+$H$15*(PARAM!$D$51/12)*RATES!$N640/100</f>
        <v>392.75</v>
      </c>
      <c r="BB664" s="16">
        <f t="shared" si="425"/>
        <v>-41841.264849402767</v>
      </c>
      <c r="BC664" s="15">
        <f t="shared" si="400"/>
        <v>22.170849845882874</v>
      </c>
      <c r="BD664" s="75">
        <f>BC664*(1-PARAM!$C$27)*$I$16+(MOD($B664,60)=PARAM!$B$56)*($B664&gt;(60-PARAM!$B$56))*HLOOKUP(($B664+PARAM!$B$56)/12,Loyalty,2)*$F$1*MAX(BF663,0)</f>
        <v>18.557001321003963</v>
      </c>
      <c r="BE664" s="75">
        <f>PARAM!$C$26+MAX($G$16-CHOOSE(PARAM!$B$44,MAX(0,BF663*$F$1),0),0)*RATES!$L640/12+$H$16*(PARAM!$D$51/12)*RATES!$N640/100</f>
        <v>392.75</v>
      </c>
      <c r="BF664" s="16">
        <f t="shared" si="426"/>
        <v>-41841.264849402767</v>
      </c>
      <c r="BG664" s="15">
        <f t="shared" si="401"/>
        <v>22.170849845882874</v>
      </c>
      <c r="BH664" s="75">
        <f>BG664*(1-PARAM!$C$27)*$I$17+(MOD($B664,60)=PARAM!$B$56)*($B664&gt;(60-PARAM!$B$56))*HLOOKUP(($B664+PARAM!$B$56)/12,Loyalty,2)*$F$1*MAX(BJ663,0)</f>
        <v>18.557001321003963</v>
      </c>
      <c r="BI664" s="75">
        <f>PARAM!$C$26+MAX($G$17-CHOOSE(PARAM!$B$44,MAX(0,BJ663*$F$1),0),0)*RATES!$L640/12+$H$17*(PARAM!$D$51/12)*RATES!$N640/100</f>
        <v>392.75</v>
      </c>
      <c r="BJ664" s="16">
        <f t="shared" si="427"/>
        <v>-41841.264849402767</v>
      </c>
      <c r="BK664" s="15">
        <f t="shared" si="402"/>
        <v>22.170849845882874</v>
      </c>
      <c r="BL664" s="75">
        <f>BK664*(1-PARAM!$C$27)*$I$18+(MOD($B664,60)=PARAM!$B$56)*($B664&gt;(60-PARAM!$B$56))*HLOOKUP(($B664+PARAM!$B$56)/12,Loyalty,2)*$F$1*MAX(BN663,0)</f>
        <v>18.557001321003963</v>
      </c>
      <c r="BM664" s="75">
        <f>PARAM!$C$26+MAX($G$18-CHOOSE(PARAM!$B$44,MAX(0,BN663*$F$1),0),0)*RATES!$L640/12+$H$18*(PARAM!$D$51/12)*RATES!$N640/100</f>
        <v>392.75</v>
      </c>
      <c r="BN664" s="16">
        <f t="shared" si="428"/>
        <v>-41841.264849402767</v>
      </c>
      <c r="BO664" s="15">
        <f t="shared" si="403"/>
        <v>22.170849845882874</v>
      </c>
      <c r="BP664" s="75">
        <f>BO664*(1-PARAM!$C$27)*$I$19+(MOD($B664,60)=PARAM!$B$56)*($B664&gt;(60-PARAM!$B$56))*HLOOKUP(($B664+PARAM!$B$56)/12,Loyalty,2)*$F$1*MAX(BR663,0)</f>
        <v>18.557001321003963</v>
      </c>
      <c r="BQ664" s="75">
        <f>PARAM!$C$26+MAX($G$19-CHOOSE(PARAM!$B$44,MAX(0,BR663*$F$1),0),0)*RATES!$L640/12+$H$19*(PARAM!$D$51/12)*RATES!$N640/100</f>
        <v>392.75</v>
      </c>
      <c r="BR664" s="16">
        <f t="shared" si="429"/>
        <v>-41841.264849402767</v>
      </c>
      <c r="BS664" s="15">
        <f t="shared" si="404"/>
        <v>22.170849845882874</v>
      </c>
      <c r="BT664" s="75">
        <f>BS664*(1-PARAM!$C$27)*$I$20+(MOD($B664,60)=PARAM!$B$56)*($B664&gt;(60-PARAM!$B$56))*HLOOKUP(($B664+PARAM!$B$56)/12,Loyalty,2)*$F$1*MAX(BV663,0)</f>
        <v>18.557001321003963</v>
      </c>
      <c r="BU664" s="75">
        <f>PARAM!$C$26+MAX($G$20-CHOOSE(PARAM!$B$44,MAX(0,BV663*$F$1),0),0)*RATES!$L640/12+$H$20*(PARAM!$D$51/12)*RATES!$N640/100</f>
        <v>392.75</v>
      </c>
      <c r="BV664" s="16">
        <f t="shared" si="430"/>
        <v>-41841.264849402767</v>
      </c>
      <c r="BW664" s="15">
        <f t="shared" si="405"/>
        <v>22.170849845882874</v>
      </c>
      <c r="BX664" s="75">
        <f>BW664*(1-PARAM!$C$27)*$I$21+(MOD($B664,60)=PARAM!$B$56)*($B664&gt;(60-PARAM!$B$56))*HLOOKUP(($B664+PARAM!$B$56)/12,Loyalty,2)*$F$1*MAX(BZ663,0)</f>
        <v>18.557001321003963</v>
      </c>
      <c r="BY664" s="75">
        <f>PARAM!$C$26+MAX($G$21-CHOOSE(PARAM!$B$44,MAX(0,BZ663*$F$1),0),0)*RATES!$L640/12+$H$21*(PARAM!$D$51/12)*RATES!$N640/100</f>
        <v>392.75</v>
      </c>
      <c r="BZ664" s="16">
        <f t="shared" si="431"/>
        <v>-41841.264849402767</v>
      </c>
      <c r="CA664" s="15">
        <f t="shared" si="406"/>
        <v>22.170849845882874</v>
      </c>
      <c r="CB664" s="75">
        <f>CA664*(1-PARAM!$C$27)*$I$22+(MOD($B664,60)=PARAM!$B$56)*($B664&gt;(60-PARAM!$B$56))*HLOOKUP(($B664+PARAM!$B$56)/12,Loyalty,2)*$F$1*MAX(CD663,0)</f>
        <v>18.557001321003963</v>
      </c>
      <c r="CC664" s="75">
        <f>PARAM!$C$26+MAX($G$22-CHOOSE(PARAM!$B$44,MAX(0,CD663*$F$1),0),0)*RATES!$L640/12+$H$22*(PARAM!$D$51/12)*RATES!$N640/100</f>
        <v>392.75</v>
      </c>
      <c r="CD664" s="16">
        <f t="shared" si="432"/>
        <v>-41841.264849402767</v>
      </c>
      <c r="CE664" s="33">
        <f>IF(0=MOD(B664,12/PARAM!$D$51),1,0)</f>
        <v>1</v>
      </c>
      <c r="CF664" s="15">
        <f t="shared" si="407"/>
        <v>0</v>
      </c>
      <c r="CG664" s="75">
        <f>CF664*(1-PARAM!$C$27)*$R$3+(MOD($B664/12,5)=0)*($B664&gt;60)*HLOOKUP($B664/12,Loyalty,2)*$F$1*MAX(CI663,0)</f>
        <v>0</v>
      </c>
      <c r="CH664" s="75">
        <f>PARAM!$C$26+MAX($P$3-CHOOSE(PARAM!$B$44,MAX(0,CI663*$F$1),0),0)*RATES!$L640/12+$Q$3*(PARAM!$D$51/12)*RATES!$N640/100</f>
        <v>392.75</v>
      </c>
      <c r="CI664" s="16">
        <f>IF(CI663&gt;0,CI663*PARAM!$C$53,CI663)+CG664-CH664</f>
        <v>-53542.500000000029</v>
      </c>
      <c r="CJ664" s="15">
        <f t="shared" si="433"/>
        <v>0</v>
      </c>
      <c r="CK664" s="75">
        <f>CJ664*(1-PARAM!$C$27)*$R$4+(MOD($B664/12,5)=0)*($B664&gt;60)*HLOOKUP($B664/12,Loyalty,2)*$F$1*MAX(CM663,0)</f>
        <v>0</v>
      </c>
      <c r="CL664" s="75">
        <f>PARAM!$C$26+MAX($P$4-CHOOSE(PARAM!$B$44,MAX(0,CM663*$F$1),0),0)*RATES!$L640/12+$Q$4*(PARAM!$D$51/12)*RATES!$N640/100</f>
        <v>392.75</v>
      </c>
      <c r="CM664" s="16">
        <f>IF(CM663&gt;0,CM663*PARAM!$C$53,CM663)+CK664-CL664</f>
        <v>-53542.500000000029</v>
      </c>
      <c r="CO664" s="176"/>
    </row>
    <row r="665" spans="1:93" x14ac:dyDescent="0.2">
      <c r="A665" t="b">
        <f t="shared" si="408"/>
        <v>0</v>
      </c>
      <c r="B665" s="33">
        <v>638</v>
      </c>
      <c r="C665" s="15">
        <f t="shared" si="409"/>
        <v>20.081305947392778</v>
      </c>
      <c r="D665" s="75">
        <f>C665*(1-PARAM!$C$27)*$I$3+(MOD($B665,60)=PARAM!$B$56)*($B665&gt;(60-PARAM!$B$56))*HLOOKUP(($B665+PARAM!$B$56)/12,Loyalty,2)*$F$1*MAX(F664,0)</f>
        <v>16.808053077967756</v>
      </c>
      <c r="E665" s="75">
        <f>PARAM!$C$26+MAX($G$3-CHOOSE(PARAM!$B$44,MAX(0,F664*$F$1),0),0)*RATES!$L641/12+$H$3*(PARAM!$D$51/12)*RATES!$N641/100</f>
        <v>392.75</v>
      </c>
      <c r="F665" s="16">
        <f t="shared" si="410"/>
        <v>-43368.137327660421</v>
      </c>
      <c r="G665" s="15">
        <f t="shared" si="411"/>
        <v>22.035289406060361</v>
      </c>
      <c r="H665" s="75">
        <f>G665*(1-PARAM!$C$27)*$I$4+(MOD($B665,60)=PARAM!$B$56)*($B665&gt;(60-PARAM!$B$56))*HLOOKUP(($B665+PARAM!$B$56)/12,Loyalty,2)*$F$1*MAX(J664,0)</f>
        <v>18.443537232872522</v>
      </c>
      <c r="I665" s="75">
        <f>PARAM!$C$26+MAX($G$4-CHOOSE(PARAM!$B$44,MAX(0,J664*$F$1),0),0)*RATES!$L641/12+$H$4*(PARAM!$D$51/12)*RATES!$N641/100</f>
        <v>392.75</v>
      </c>
      <c r="J665" s="16">
        <f t="shared" si="412"/>
        <v>-42290.865472709367</v>
      </c>
      <c r="K665" s="15">
        <f t="shared" si="413"/>
        <v>22.170849845882874</v>
      </c>
      <c r="L665" s="75">
        <f>K665*(1-PARAM!$C$27)*$I$5+(MOD($B665,60)=PARAM!$B$56)*($B665&gt;(60-PARAM!$B$56))*HLOOKUP(($B665+PARAM!$B$56)/12,Loyalty,2)*$F$1*MAX(N664,0)</f>
        <v>18.557001321003963</v>
      </c>
      <c r="M665" s="75">
        <f>PARAM!$C$26+MAX($G$5-CHOOSE(PARAM!$B$44,MAX(0,N664*$F$1),0),0)*RATES!$L641/12+$H$5*(PARAM!$D$51/12)*RATES!$N641/100</f>
        <v>392.75</v>
      </c>
      <c r="N665" s="16">
        <f t="shared" si="414"/>
        <v>-42215.457848081765</v>
      </c>
      <c r="O665" s="15">
        <f t="shared" si="415"/>
        <v>22.170849845882874</v>
      </c>
      <c r="P665" s="75">
        <f>O665*(1-PARAM!$C$27)*$I$6+(MOD($B665,60)=PARAM!$B$56)*($B665&gt;(60-PARAM!$B$56))*HLOOKUP(($B665+PARAM!$B$56)/12,Loyalty,2)*$F$1*MAX(R664,0)</f>
        <v>18.557001321003963</v>
      </c>
      <c r="Q665" s="75">
        <f>PARAM!$C$26+MAX($G$6-CHOOSE(PARAM!$B$44,MAX(0,R664*$F$1),0),0)*RATES!$L641/12+$H$6*(PARAM!$D$51/12)*RATES!$N641/100</f>
        <v>392.75</v>
      </c>
      <c r="R665" s="16">
        <f t="shared" si="416"/>
        <v>-42215.457848081765</v>
      </c>
      <c r="S665" s="15">
        <f t="shared" si="391"/>
        <v>22.170849845882874</v>
      </c>
      <c r="T665" s="75">
        <f>S665*(1-PARAM!$C$27)*$I$7+(MOD($B665,60)=PARAM!$B$56)*($B665&gt;(60-PARAM!$B$56))*HLOOKUP(($B665+PARAM!$B$56)/12,Loyalty,2)*$F$1*MAX(V664,0)</f>
        <v>18.557001321003963</v>
      </c>
      <c r="U665" s="75">
        <f>PARAM!$C$26+MAX($G$7-CHOOSE(PARAM!$B$44,MAX(0,V664*$F$1),0),0)*RATES!$L641/12+$H$7*(PARAM!$D$51/12)*RATES!$N641/100</f>
        <v>392.75</v>
      </c>
      <c r="V665" s="16">
        <f t="shared" si="417"/>
        <v>-42215.457848081765</v>
      </c>
      <c r="W665" s="15">
        <f t="shared" si="392"/>
        <v>22.170849845882874</v>
      </c>
      <c r="X665" s="75">
        <f>W665*(1-PARAM!$C$27)*$I$8+(MOD($B665,60)=PARAM!$B$56)*($B665&gt;(60-PARAM!$B$56))*HLOOKUP(($B665+PARAM!$B$56)/12,Loyalty,2)*$F$1*MAX(Z664,0)</f>
        <v>18.557001321003963</v>
      </c>
      <c r="Y665" s="75">
        <f>PARAM!$C$26+MAX($G$8-CHOOSE(PARAM!$B$44,MAX(0,Z664*$F$1),0),0)*RATES!$L641/12+$H$8*(PARAM!$D$51/12)*RATES!$N641/100</f>
        <v>392.75</v>
      </c>
      <c r="Z665" s="16">
        <f t="shared" si="418"/>
        <v>-42215.457848081765</v>
      </c>
      <c r="AA665" s="15">
        <f t="shared" si="393"/>
        <v>22.170849845882874</v>
      </c>
      <c r="AB665" s="75">
        <f>AA665*(1-PARAM!$C$27)*$I$9+(MOD($B665,60)=PARAM!$B$56)*($B665&gt;(60-PARAM!$B$56))*HLOOKUP(($B665+PARAM!$B$56)/12,Loyalty,2)*$F$1*MAX(AD664,0)</f>
        <v>18.557001321003963</v>
      </c>
      <c r="AC665" s="75">
        <f>PARAM!$C$26+MAX($G$9-CHOOSE(PARAM!$B$44,MAX(0,AD664*$F$1),0),0)*RATES!$L641/12+$H$9*(PARAM!$D$51/12)*RATES!$N641/100</f>
        <v>392.75</v>
      </c>
      <c r="AD665" s="16">
        <f t="shared" si="419"/>
        <v>-42215.457848081765</v>
      </c>
      <c r="AE665" s="15">
        <f t="shared" si="394"/>
        <v>22.170849845882874</v>
      </c>
      <c r="AF665" s="75">
        <f>AE665*(1-PARAM!$C$27)*$I$10+(MOD($B665,60)=PARAM!$B$56)*($B665&gt;(60-PARAM!$B$56))*HLOOKUP(($B665+PARAM!$B$56)/12,Loyalty,2)*$F$1*MAX(AH664,0)</f>
        <v>18.557001321003963</v>
      </c>
      <c r="AG665" s="75">
        <f>PARAM!$C$26+MAX($G$10-CHOOSE(PARAM!$B$44,MAX(0,AH664*$F$1),0),0)*RATES!$L641/12+$H$10*(PARAM!$D$51/12)*RATES!$N641/100</f>
        <v>392.75</v>
      </c>
      <c r="AH665" s="16">
        <f t="shared" si="420"/>
        <v>-42215.457848081765</v>
      </c>
      <c r="AI665" s="15">
        <f t="shared" si="395"/>
        <v>22.170849845882874</v>
      </c>
      <c r="AJ665" s="75">
        <f>AI665*(1-PARAM!$C$27)*$I$11+(MOD($B665,60)=PARAM!$B$56)*($B665&gt;(60-PARAM!$B$56))*HLOOKUP(($B665+PARAM!$B$56)/12,Loyalty,2)*$F$1*MAX(AL664,0)</f>
        <v>18.557001321003963</v>
      </c>
      <c r="AK665" s="75">
        <f>PARAM!$C$26+MAX($G$11-CHOOSE(PARAM!$B$44,MAX(0,AL664*$F$1),0),0)*RATES!$L641/12+$H$11*(PARAM!$D$51/12)*RATES!$N641/100</f>
        <v>392.75</v>
      </c>
      <c r="AL665" s="16">
        <f t="shared" si="421"/>
        <v>-42215.457848081765</v>
      </c>
      <c r="AM665" s="15">
        <f t="shared" si="396"/>
        <v>22.170849845882874</v>
      </c>
      <c r="AN665" s="75">
        <f>AM665*(1-PARAM!$C$27)*$I$12+(MOD($B665,60)=PARAM!$B$56)*($B665&gt;(60-PARAM!$B$56))*HLOOKUP(($B665+PARAM!$B$56)/12,Loyalty,2)*$F$1*MAX(AP664,0)</f>
        <v>18.557001321003963</v>
      </c>
      <c r="AO665" s="75">
        <f>PARAM!$C$26+MAX($G$12-CHOOSE(PARAM!$B$44,MAX(0,AP664*$F$1),0),0)*RATES!$L641/12+$H$12*(PARAM!$D$51/12)*RATES!$N641/100</f>
        <v>392.75</v>
      </c>
      <c r="AP665" s="16">
        <f t="shared" si="422"/>
        <v>-42215.457848081765</v>
      </c>
      <c r="AQ665" s="15">
        <f t="shared" si="397"/>
        <v>22.170849845882874</v>
      </c>
      <c r="AR665" s="75">
        <f>AQ665*(1-PARAM!$C$27)*$I$13+(MOD($B665,60)=PARAM!$B$56)*($B665&gt;(60-PARAM!$B$56))*HLOOKUP(($B665+PARAM!$B$56)/12,Loyalty,2)*$F$1*MAX(AT664,0)</f>
        <v>18.557001321003963</v>
      </c>
      <c r="AS665" s="75">
        <f>PARAM!$C$26+MAX($G$13-CHOOSE(PARAM!$B$44,MAX(0,AT664*$F$1),0),0)*RATES!$L641/12+$H$13*(PARAM!$D$51/12)*RATES!$N641/100</f>
        <v>392.75</v>
      </c>
      <c r="AT665" s="16">
        <f t="shared" si="423"/>
        <v>-42215.457848081765</v>
      </c>
      <c r="AU665" s="15">
        <f t="shared" si="398"/>
        <v>22.170849845882874</v>
      </c>
      <c r="AV665" s="75">
        <f>AU665*(1-PARAM!$C$27)*$I$14+(MOD($B665,60)=PARAM!$B$56)*($B665&gt;(60-PARAM!$B$56))*HLOOKUP(($B665+PARAM!$B$56)/12,Loyalty,2)*$F$1*MAX(AX664,0)</f>
        <v>18.557001321003963</v>
      </c>
      <c r="AW665" s="75">
        <f>PARAM!$C$26+MAX($G$14-CHOOSE(PARAM!$B$44,MAX(0,AX664*$F$1),0),0)*RATES!$L641/12+$H$14*(PARAM!$D$51/12)*RATES!$N641/100</f>
        <v>392.75</v>
      </c>
      <c r="AX665" s="16">
        <f t="shared" si="424"/>
        <v>-42215.457848081765</v>
      </c>
      <c r="AY665" s="15">
        <f t="shared" si="399"/>
        <v>22.170849845882874</v>
      </c>
      <c r="AZ665" s="75">
        <f>AY665*(1-PARAM!$C$27)*$I$15+(MOD($B665,60)=PARAM!$B$56)*($B665&gt;(60-PARAM!$B$56))*HLOOKUP(($B665+PARAM!$B$56)/12,Loyalty,2)*$F$1*MAX(BB664,0)</f>
        <v>18.557001321003963</v>
      </c>
      <c r="BA665" s="75">
        <f>PARAM!$C$26+MAX($G$15-CHOOSE(PARAM!$B$44,MAX(0,BB664*$F$1),0),0)*RATES!$L641/12+$H$15*(PARAM!$D$51/12)*RATES!$N641/100</f>
        <v>392.75</v>
      </c>
      <c r="BB665" s="16">
        <f t="shared" si="425"/>
        <v>-42215.457848081765</v>
      </c>
      <c r="BC665" s="15">
        <f t="shared" si="400"/>
        <v>22.170849845882874</v>
      </c>
      <c r="BD665" s="75">
        <f>BC665*(1-PARAM!$C$27)*$I$16+(MOD($B665,60)=PARAM!$B$56)*($B665&gt;(60-PARAM!$B$56))*HLOOKUP(($B665+PARAM!$B$56)/12,Loyalty,2)*$F$1*MAX(BF664,0)</f>
        <v>18.557001321003963</v>
      </c>
      <c r="BE665" s="75">
        <f>PARAM!$C$26+MAX($G$16-CHOOSE(PARAM!$B$44,MAX(0,BF664*$F$1),0),0)*RATES!$L641/12+$H$16*(PARAM!$D$51/12)*RATES!$N641/100</f>
        <v>392.75</v>
      </c>
      <c r="BF665" s="16">
        <f t="shared" si="426"/>
        <v>-42215.457848081765</v>
      </c>
      <c r="BG665" s="15">
        <f t="shared" si="401"/>
        <v>22.170849845882874</v>
      </c>
      <c r="BH665" s="75">
        <f>BG665*(1-PARAM!$C$27)*$I$17+(MOD($B665,60)=PARAM!$B$56)*($B665&gt;(60-PARAM!$B$56))*HLOOKUP(($B665+PARAM!$B$56)/12,Loyalty,2)*$F$1*MAX(BJ664,0)</f>
        <v>18.557001321003963</v>
      </c>
      <c r="BI665" s="75">
        <f>PARAM!$C$26+MAX($G$17-CHOOSE(PARAM!$B$44,MAX(0,BJ664*$F$1),0),0)*RATES!$L641/12+$H$17*(PARAM!$D$51/12)*RATES!$N641/100</f>
        <v>392.75</v>
      </c>
      <c r="BJ665" s="16">
        <f t="shared" si="427"/>
        <v>-42215.457848081765</v>
      </c>
      <c r="BK665" s="15">
        <f t="shared" si="402"/>
        <v>22.170849845882874</v>
      </c>
      <c r="BL665" s="75">
        <f>BK665*(1-PARAM!$C$27)*$I$18+(MOD($B665,60)=PARAM!$B$56)*($B665&gt;(60-PARAM!$B$56))*HLOOKUP(($B665+PARAM!$B$56)/12,Loyalty,2)*$F$1*MAX(BN664,0)</f>
        <v>18.557001321003963</v>
      </c>
      <c r="BM665" s="75">
        <f>PARAM!$C$26+MAX($G$18-CHOOSE(PARAM!$B$44,MAX(0,BN664*$F$1),0),0)*RATES!$L641/12+$H$18*(PARAM!$D$51/12)*RATES!$N641/100</f>
        <v>392.75</v>
      </c>
      <c r="BN665" s="16">
        <f t="shared" si="428"/>
        <v>-42215.457848081765</v>
      </c>
      <c r="BO665" s="15">
        <f t="shared" si="403"/>
        <v>22.170849845882874</v>
      </c>
      <c r="BP665" s="75">
        <f>BO665*(1-PARAM!$C$27)*$I$19+(MOD($B665,60)=PARAM!$B$56)*($B665&gt;(60-PARAM!$B$56))*HLOOKUP(($B665+PARAM!$B$56)/12,Loyalty,2)*$F$1*MAX(BR664,0)</f>
        <v>18.557001321003963</v>
      </c>
      <c r="BQ665" s="75">
        <f>PARAM!$C$26+MAX($G$19-CHOOSE(PARAM!$B$44,MAX(0,BR664*$F$1),0),0)*RATES!$L641/12+$H$19*(PARAM!$D$51/12)*RATES!$N641/100</f>
        <v>392.75</v>
      </c>
      <c r="BR665" s="16">
        <f t="shared" si="429"/>
        <v>-42215.457848081765</v>
      </c>
      <c r="BS665" s="15">
        <f t="shared" si="404"/>
        <v>22.170849845882874</v>
      </c>
      <c r="BT665" s="75">
        <f>BS665*(1-PARAM!$C$27)*$I$20+(MOD($B665,60)=PARAM!$B$56)*($B665&gt;(60-PARAM!$B$56))*HLOOKUP(($B665+PARAM!$B$56)/12,Loyalty,2)*$F$1*MAX(BV664,0)</f>
        <v>18.557001321003963</v>
      </c>
      <c r="BU665" s="75">
        <f>PARAM!$C$26+MAX($G$20-CHOOSE(PARAM!$B$44,MAX(0,BV664*$F$1),0),0)*RATES!$L641/12+$H$20*(PARAM!$D$51/12)*RATES!$N641/100</f>
        <v>392.75</v>
      </c>
      <c r="BV665" s="16">
        <f t="shared" si="430"/>
        <v>-42215.457848081765</v>
      </c>
      <c r="BW665" s="15">
        <f t="shared" si="405"/>
        <v>22.170849845882874</v>
      </c>
      <c r="BX665" s="75">
        <f>BW665*(1-PARAM!$C$27)*$I$21+(MOD($B665,60)=PARAM!$B$56)*($B665&gt;(60-PARAM!$B$56))*HLOOKUP(($B665+PARAM!$B$56)/12,Loyalty,2)*$F$1*MAX(BZ664,0)</f>
        <v>18.557001321003963</v>
      </c>
      <c r="BY665" s="75">
        <f>PARAM!$C$26+MAX($G$21-CHOOSE(PARAM!$B$44,MAX(0,BZ664*$F$1),0),0)*RATES!$L641/12+$H$21*(PARAM!$D$51/12)*RATES!$N641/100</f>
        <v>392.75</v>
      </c>
      <c r="BZ665" s="16">
        <f t="shared" si="431"/>
        <v>-42215.457848081765</v>
      </c>
      <c r="CA665" s="15">
        <f t="shared" si="406"/>
        <v>22.170849845882874</v>
      </c>
      <c r="CB665" s="75">
        <f>CA665*(1-PARAM!$C$27)*$I$22+(MOD($B665,60)=PARAM!$B$56)*($B665&gt;(60-PARAM!$B$56))*HLOOKUP(($B665+PARAM!$B$56)/12,Loyalty,2)*$F$1*MAX(CD664,0)</f>
        <v>18.557001321003963</v>
      </c>
      <c r="CC665" s="75">
        <f>PARAM!$C$26+MAX($G$22-CHOOSE(PARAM!$B$44,MAX(0,CD664*$F$1),0),0)*RATES!$L641/12+$H$22*(PARAM!$D$51/12)*RATES!$N641/100</f>
        <v>392.75</v>
      </c>
      <c r="CD665" s="16">
        <f t="shared" si="432"/>
        <v>-42215.457848081765</v>
      </c>
      <c r="CE665" s="33">
        <f>IF(0=MOD(B665,12/PARAM!$D$51),1,0)</f>
        <v>1</v>
      </c>
      <c r="CF665" s="15">
        <f t="shared" si="407"/>
        <v>0</v>
      </c>
      <c r="CG665" s="75">
        <f>CF665*(1-PARAM!$C$27)*$R$3+(MOD($B665/12,5)=0)*($B665&gt;60)*HLOOKUP($B665/12,Loyalty,2)*$F$1*MAX(CI664,0)</f>
        <v>0</v>
      </c>
      <c r="CH665" s="75">
        <f>PARAM!$C$26+MAX($P$3-CHOOSE(PARAM!$B$44,MAX(0,CI664*$F$1),0),0)*RATES!$L641/12+$Q$3*(PARAM!$D$51/12)*RATES!$N641/100</f>
        <v>392.75</v>
      </c>
      <c r="CI665" s="16">
        <f>IF(CI664&gt;0,CI664*PARAM!$C$53,CI664)+CG665-CH665</f>
        <v>-53935.250000000029</v>
      </c>
      <c r="CJ665" s="15">
        <f t="shared" si="433"/>
        <v>0</v>
      </c>
      <c r="CK665" s="75">
        <f>CJ665*(1-PARAM!$C$27)*$R$4+(MOD($B665/12,5)=0)*($B665&gt;60)*HLOOKUP($B665/12,Loyalty,2)*$F$1*MAX(CM664,0)</f>
        <v>0</v>
      </c>
      <c r="CL665" s="75">
        <f>PARAM!$C$26+MAX($P$4-CHOOSE(PARAM!$B$44,MAX(0,CM664*$F$1),0),0)*RATES!$L641/12+$Q$4*(PARAM!$D$51/12)*RATES!$N641/100</f>
        <v>392.75</v>
      </c>
      <c r="CM665" s="16">
        <f>IF(CM664&gt;0,CM664*PARAM!$C$53,CM664)+CK665-CL665</f>
        <v>-53935.250000000029</v>
      </c>
      <c r="CO665" s="176"/>
    </row>
    <row r="666" spans="1:93" x14ac:dyDescent="0.2">
      <c r="A666" t="b">
        <f t="shared" si="408"/>
        <v>0</v>
      </c>
      <c r="B666" s="33">
        <v>639</v>
      </c>
      <c r="C666" s="15">
        <f t="shared" si="409"/>
        <v>20.081305947392778</v>
      </c>
      <c r="D666" s="75">
        <f>C666*(1-PARAM!$C$27)*$I$3+(MOD($B666,60)=PARAM!$B$56)*($B666&gt;(60-PARAM!$B$56))*HLOOKUP(($B666+PARAM!$B$56)/12,Loyalty,2)*$F$1*MAX(F665,0)</f>
        <v>16.808053077967756</v>
      </c>
      <c r="E666" s="75">
        <f>PARAM!$C$26+MAX($G$3-CHOOSE(PARAM!$B$44,MAX(0,F665*$F$1),0),0)*RATES!$L642/12+$H$3*(PARAM!$D$51/12)*RATES!$N642/100</f>
        <v>392.75</v>
      </c>
      <c r="F666" s="16">
        <f t="shared" si="410"/>
        <v>-43744.079274582451</v>
      </c>
      <c r="G666" s="15">
        <f t="shared" si="411"/>
        <v>22.035289406060361</v>
      </c>
      <c r="H666" s="75">
        <f>G666*(1-PARAM!$C$27)*$I$4+(MOD($B666,60)=PARAM!$B$56)*($B666&gt;(60-PARAM!$B$56))*HLOOKUP(($B666+PARAM!$B$56)/12,Loyalty,2)*$F$1*MAX(J665,0)</f>
        <v>18.443537232872522</v>
      </c>
      <c r="I666" s="75">
        <f>PARAM!$C$26+MAX($G$4-CHOOSE(PARAM!$B$44,MAX(0,J665*$F$1),0),0)*RATES!$L642/12+$H$4*(PARAM!$D$51/12)*RATES!$N642/100</f>
        <v>392.75</v>
      </c>
      <c r="J666" s="16">
        <f t="shared" si="412"/>
        <v>-42665.171935476494</v>
      </c>
      <c r="K666" s="15">
        <f t="shared" si="413"/>
        <v>22.170849845882874</v>
      </c>
      <c r="L666" s="75">
        <f>K666*(1-PARAM!$C$27)*$I$5+(MOD($B666,60)=PARAM!$B$56)*($B666&gt;(60-PARAM!$B$56))*HLOOKUP(($B666+PARAM!$B$56)/12,Loyalty,2)*$F$1*MAX(N665,0)</f>
        <v>18.557001321003963</v>
      </c>
      <c r="M666" s="75">
        <f>PARAM!$C$26+MAX($G$5-CHOOSE(PARAM!$B$44,MAX(0,N665*$F$1),0),0)*RATES!$L642/12+$H$5*(PARAM!$D$51/12)*RATES!$N642/100</f>
        <v>392.75</v>
      </c>
      <c r="N666" s="16">
        <f t="shared" si="414"/>
        <v>-42589.650846760764</v>
      </c>
      <c r="O666" s="15">
        <f t="shared" si="415"/>
        <v>22.170849845882874</v>
      </c>
      <c r="P666" s="75">
        <f>O666*(1-PARAM!$C$27)*$I$6+(MOD($B666,60)=PARAM!$B$56)*($B666&gt;(60-PARAM!$B$56))*HLOOKUP(($B666+PARAM!$B$56)/12,Loyalty,2)*$F$1*MAX(R665,0)</f>
        <v>18.557001321003963</v>
      </c>
      <c r="Q666" s="75">
        <f>PARAM!$C$26+MAX($G$6-CHOOSE(PARAM!$B$44,MAX(0,R665*$F$1),0),0)*RATES!$L642/12+$H$6*(PARAM!$D$51/12)*RATES!$N642/100</f>
        <v>392.75</v>
      </c>
      <c r="R666" s="16">
        <f t="shared" si="416"/>
        <v>-42589.650846760764</v>
      </c>
      <c r="S666" s="15">
        <f t="shared" si="391"/>
        <v>22.170849845882874</v>
      </c>
      <c r="T666" s="75">
        <f>S666*(1-PARAM!$C$27)*$I$7+(MOD($B666,60)=PARAM!$B$56)*($B666&gt;(60-PARAM!$B$56))*HLOOKUP(($B666+PARAM!$B$56)/12,Loyalty,2)*$F$1*MAX(V665,0)</f>
        <v>18.557001321003963</v>
      </c>
      <c r="U666" s="75">
        <f>PARAM!$C$26+MAX($G$7-CHOOSE(PARAM!$B$44,MAX(0,V665*$F$1),0),0)*RATES!$L642/12+$H$7*(PARAM!$D$51/12)*RATES!$N642/100</f>
        <v>392.75</v>
      </c>
      <c r="V666" s="16">
        <f t="shared" si="417"/>
        <v>-42589.650846760764</v>
      </c>
      <c r="W666" s="15">
        <f t="shared" si="392"/>
        <v>22.170849845882874</v>
      </c>
      <c r="X666" s="75">
        <f>W666*(1-PARAM!$C$27)*$I$8+(MOD($B666,60)=PARAM!$B$56)*($B666&gt;(60-PARAM!$B$56))*HLOOKUP(($B666+PARAM!$B$56)/12,Loyalty,2)*$F$1*MAX(Z665,0)</f>
        <v>18.557001321003963</v>
      </c>
      <c r="Y666" s="75">
        <f>PARAM!$C$26+MAX($G$8-CHOOSE(PARAM!$B$44,MAX(0,Z665*$F$1),0),0)*RATES!$L642/12+$H$8*(PARAM!$D$51/12)*RATES!$N642/100</f>
        <v>392.75</v>
      </c>
      <c r="Z666" s="16">
        <f t="shared" si="418"/>
        <v>-42589.650846760764</v>
      </c>
      <c r="AA666" s="15">
        <f t="shared" si="393"/>
        <v>22.170849845882874</v>
      </c>
      <c r="AB666" s="75">
        <f>AA666*(1-PARAM!$C$27)*$I$9+(MOD($B666,60)=PARAM!$B$56)*($B666&gt;(60-PARAM!$B$56))*HLOOKUP(($B666+PARAM!$B$56)/12,Loyalty,2)*$F$1*MAX(AD665,0)</f>
        <v>18.557001321003963</v>
      </c>
      <c r="AC666" s="75">
        <f>PARAM!$C$26+MAX($G$9-CHOOSE(PARAM!$B$44,MAX(0,AD665*$F$1),0),0)*RATES!$L642/12+$H$9*(PARAM!$D$51/12)*RATES!$N642/100</f>
        <v>392.75</v>
      </c>
      <c r="AD666" s="16">
        <f t="shared" si="419"/>
        <v>-42589.650846760764</v>
      </c>
      <c r="AE666" s="15">
        <f t="shared" si="394"/>
        <v>22.170849845882874</v>
      </c>
      <c r="AF666" s="75">
        <f>AE666*(1-PARAM!$C$27)*$I$10+(MOD($B666,60)=PARAM!$B$56)*($B666&gt;(60-PARAM!$B$56))*HLOOKUP(($B666+PARAM!$B$56)/12,Loyalty,2)*$F$1*MAX(AH665,0)</f>
        <v>18.557001321003963</v>
      </c>
      <c r="AG666" s="75">
        <f>PARAM!$C$26+MAX($G$10-CHOOSE(PARAM!$B$44,MAX(0,AH665*$F$1),0),0)*RATES!$L642/12+$H$10*(PARAM!$D$51/12)*RATES!$N642/100</f>
        <v>392.75</v>
      </c>
      <c r="AH666" s="16">
        <f t="shared" si="420"/>
        <v>-42589.650846760764</v>
      </c>
      <c r="AI666" s="15">
        <f t="shared" si="395"/>
        <v>22.170849845882874</v>
      </c>
      <c r="AJ666" s="75">
        <f>AI666*(1-PARAM!$C$27)*$I$11+(MOD($B666,60)=PARAM!$B$56)*($B666&gt;(60-PARAM!$B$56))*HLOOKUP(($B666+PARAM!$B$56)/12,Loyalty,2)*$F$1*MAX(AL665,0)</f>
        <v>18.557001321003963</v>
      </c>
      <c r="AK666" s="75">
        <f>PARAM!$C$26+MAX($G$11-CHOOSE(PARAM!$B$44,MAX(0,AL665*$F$1),0),0)*RATES!$L642/12+$H$11*(PARAM!$D$51/12)*RATES!$N642/100</f>
        <v>392.75</v>
      </c>
      <c r="AL666" s="16">
        <f t="shared" si="421"/>
        <v>-42589.650846760764</v>
      </c>
      <c r="AM666" s="15">
        <f t="shared" si="396"/>
        <v>22.170849845882874</v>
      </c>
      <c r="AN666" s="75">
        <f>AM666*(1-PARAM!$C$27)*$I$12+(MOD($B666,60)=PARAM!$B$56)*($B666&gt;(60-PARAM!$B$56))*HLOOKUP(($B666+PARAM!$B$56)/12,Loyalty,2)*$F$1*MAX(AP665,0)</f>
        <v>18.557001321003963</v>
      </c>
      <c r="AO666" s="75">
        <f>PARAM!$C$26+MAX($G$12-CHOOSE(PARAM!$B$44,MAX(0,AP665*$F$1),0),0)*RATES!$L642/12+$H$12*(PARAM!$D$51/12)*RATES!$N642/100</f>
        <v>392.75</v>
      </c>
      <c r="AP666" s="16">
        <f t="shared" si="422"/>
        <v>-42589.650846760764</v>
      </c>
      <c r="AQ666" s="15">
        <f t="shared" si="397"/>
        <v>22.170849845882874</v>
      </c>
      <c r="AR666" s="75">
        <f>AQ666*(1-PARAM!$C$27)*$I$13+(MOD($B666,60)=PARAM!$B$56)*($B666&gt;(60-PARAM!$B$56))*HLOOKUP(($B666+PARAM!$B$56)/12,Loyalty,2)*$F$1*MAX(AT665,0)</f>
        <v>18.557001321003963</v>
      </c>
      <c r="AS666" s="75">
        <f>PARAM!$C$26+MAX($G$13-CHOOSE(PARAM!$B$44,MAX(0,AT665*$F$1),0),0)*RATES!$L642/12+$H$13*(PARAM!$D$51/12)*RATES!$N642/100</f>
        <v>392.75</v>
      </c>
      <c r="AT666" s="16">
        <f t="shared" si="423"/>
        <v>-42589.650846760764</v>
      </c>
      <c r="AU666" s="15">
        <f t="shared" si="398"/>
        <v>22.170849845882874</v>
      </c>
      <c r="AV666" s="75">
        <f>AU666*(1-PARAM!$C$27)*$I$14+(MOD($B666,60)=PARAM!$B$56)*($B666&gt;(60-PARAM!$B$56))*HLOOKUP(($B666+PARAM!$B$56)/12,Loyalty,2)*$F$1*MAX(AX665,0)</f>
        <v>18.557001321003963</v>
      </c>
      <c r="AW666" s="75">
        <f>PARAM!$C$26+MAX($G$14-CHOOSE(PARAM!$B$44,MAX(0,AX665*$F$1),0),0)*RATES!$L642/12+$H$14*(PARAM!$D$51/12)*RATES!$N642/100</f>
        <v>392.75</v>
      </c>
      <c r="AX666" s="16">
        <f t="shared" si="424"/>
        <v>-42589.650846760764</v>
      </c>
      <c r="AY666" s="15">
        <f t="shared" si="399"/>
        <v>22.170849845882874</v>
      </c>
      <c r="AZ666" s="75">
        <f>AY666*(1-PARAM!$C$27)*$I$15+(MOD($B666,60)=PARAM!$B$56)*($B666&gt;(60-PARAM!$B$56))*HLOOKUP(($B666+PARAM!$B$56)/12,Loyalty,2)*$F$1*MAX(BB665,0)</f>
        <v>18.557001321003963</v>
      </c>
      <c r="BA666" s="75">
        <f>PARAM!$C$26+MAX($G$15-CHOOSE(PARAM!$B$44,MAX(0,BB665*$F$1),0),0)*RATES!$L642/12+$H$15*(PARAM!$D$51/12)*RATES!$N642/100</f>
        <v>392.75</v>
      </c>
      <c r="BB666" s="16">
        <f t="shared" si="425"/>
        <v>-42589.650846760764</v>
      </c>
      <c r="BC666" s="15">
        <f t="shared" si="400"/>
        <v>22.170849845882874</v>
      </c>
      <c r="BD666" s="75">
        <f>BC666*(1-PARAM!$C$27)*$I$16+(MOD($B666,60)=PARAM!$B$56)*($B666&gt;(60-PARAM!$B$56))*HLOOKUP(($B666+PARAM!$B$56)/12,Loyalty,2)*$F$1*MAX(BF665,0)</f>
        <v>18.557001321003963</v>
      </c>
      <c r="BE666" s="75">
        <f>PARAM!$C$26+MAX($G$16-CHOOSE(PARAM!$B$44,MAX(0,BF665*$F$1),0),0)*RATES!$L642/12+$H$16*(PARAM!$D$51/12)*RATES!$N642/100</f>
        <v>392.75</v>
      </c>
      <c r="BF666" s="16">
        <f t="shared" si="426"/>
        <v>-42589.650846760764</v>
      </c>
      <c r="BG666" s="15">
        <f t="shared" si="401"/>
        <v>22.170849845882874</v>
      </c>
      <c r="BH666" s="75">
        <f>BG666*(1-PARAM!$C$27)*$I$17+(MOD($B666,60)=PARAM!$B$56)*($B666&gt;(60-PARAM!$B$56))*HLOOKUP(($B666+PARAM!$B$56)/12,Loyalty,2)*$F$1*MAX(BJ665,0)</f>
        <v>18.557001321003963</v>
      </c>
      <c r="BI666" s="75">
        <f>PARAM!$C$26+MAX($G$17-CHOOSE(PARAM!$B$44,MAX(0,BJ665*$F$1),0),0)*RATES!$L642/12+$H$17*(PARAM!$D$51/12)*RATES!$N642/100</f>
        <v>392.75</v>
      </c>
      <c r="BJ666" s="16">
        <f t="shared" si="427"/>
        <v>-42589.650846760764</v>
      </c>
      <c r="BK666" s="15">
        <f t="shared" si="402"/>
        <v>22.170849845882874</v>
      </c>
      <c r="BL666" s="75">
        <f>BK666*(1-PARAM!$C$27)*$I$18+(MOD($B666,60)=PARAM!$B$56)*($B666&gt;(60-PARAM!$B$56))*HLOOKUP(($B666+PARAM!$B$56)/12,Loyalty,2)*$F$1*MAX(BN665,0)</f>
        <v>18.557001321003963</v>
      </c>
      <c r="BM666" s="75">
        <f>PARAM!$C$26+MAX($G$18-CHOOSE(PARAM!$B$44,MAX(0,BN665*$F$1),0),0)*RATES!$L642/12+$H$18*(PARAM!$D$51/12)*RATES!$N642/100</f>
        <v>392.75</v>
      </c>
      <c r="BN666" s="16">
        <f t="shared" si="428"/>
        <v>-42589.650846760764</v>
      </c>
      <c r="BO666" s="15">
        <f t="shared" si="403"/>
        <v>22.170849845882874</v>
      </c>
      <c r="BP666" s="75">
        <f>BO666*(1-PARAM!$C$27)*$I$19+(MOD($B666,60)=PARAM!$B$56)*($B666&gt;(60-PARAM!$B$56))*HLOOKUP(($B666+PARAM!$B$56)/12,Loyalty,2)*$F$1*MAX(BR665,0)</f>
        <v>18.557001321003963</v>
      </c>
      <c r="BQ666" s="75">
        <f>PARAM!$C$26+MAX($G$19-CHOOSE(PARAM!$B$44,MAX(0,BR665*$F$1),0),0)*RATES!$L642/12+$H$19*(PARAM!$D$51/12)*RATES!$N642/100</f>
        <v>392.75</v>
      </c>
      <c r="BR666" s="16">
        <f t="shared" si="429"/>
        <v>-42589.650846760764</v>
      </c>
      <c r="BS666" s="15">
        <f t="shared" si="404"/>
        <v>22.170849845882874</v>
      </c>
      <c r="BT666" s="75">
        <f>BS666*(1-PARAM!$C$27)*$I$20+(MOD($B666,60)=PARAM!$B$56)*($B666&gt;(60-PARAM!$B$56))*HLOOKUP(($B666+PARAM!$B$56)/12,Loyalty,2)*$F$1*MAX(BV665,0)</f>
        <v>18.557001321003963</v>
      </c>
      <c r="BU666" s="75">
        <f>PARAM!$C$26+MAX($G$20-CHOOSE(PARAM!$B$44,MAX(0,BV665*$F$1),0),0)*RATES!$L642/12+$H$20*(PARAM!$D$51/12)*RATES!$N642/100</f>
        <v>392.75</v>
      </c>
      <c r="BV666" s="16">
        <f t="shared" si="430"/>
        <v>-42589.650846760764</v>
      </c>
      <c r="BW666" s="15">
        <f t="shared" si="405"/>
        <v>22.170849845882874</v>
      </c>
      <c r="BX666" s="75">
        <f>BW666*(1-PARAM!$C$27)*$I$21+(MOD($B666,60)=PARAM!$B$56)*($B666&gt;(60-PARAM!$B$56))*HLOOKUP(($B666+PARAM!$B$56)/12,Loyalty,2)*$F$1*MAX(BZ665,0)</f>
        <v>18.557001321003963</v>
      </c>
      <c r="BY666" s="75">
        <f>PARAM!$C$26+MAX($G$21-CHOOSE(PARAM!$B$44,MAX(0,BZ665*$F$1),0),0)*RATES!$L642/12+$H$21*(PARAM!$D$51/12)*RATES!$N642/100</f>
        <v>392.75</v>
      </c>
      <c r="BZ666" s="16">
        <f t="shared" si="431"/>
        <v>-42589.650846760764</v>
      </c>
      <c r="CA666" s="15">
        <f t="shared" si="406"/>
        <v>22.170849845882874</v>
      </c>
      <c r="CB666" s="75">
        <f>CA666*(1-PARAM!$C$27)*$I$22+(MOD($B666,60)=PARAM!$B$56)*($B666&gt;(60-PARAM!$B$56))*HLOOKUP(($B666+PARAM!$B$56)/12,Loyalty,2)*$F$1*MAX(CD665,0)</f>
        <v>18.557001321003963</v>
      </c>
      <c r="CC666" s="75">
        <f>PARAM!$C$26+MAX($G$22-CHOOSE(PARAM!$B$44,MAX(0,CD665*$F$1),0),0)*RATES!$L642/12+$H$22*(PARAM!$D$51/12)*RATES!$N642/100</f>
        <v>392.75</v>
      </c>
      <c r="CD666" s="16">
        <f t="shared" si="432"/>
        <v>-42589.650846760764</v>
      </c>
      <c r="CE666" s="33">
        <f>IF(0=MOD(B666,12/PARAM!$D$51),1,0)</f>
        <v>1</v>
      </c>
      <c r="CF666" s="15">
        <f t="shared" si="407"/>
        <v>0</v>
      </c>
      <c r="CG666" s="75">
        <f>CF666*(1-PARAM!$C$27)*$R$3+(MOD($B666/12,5)=0)*($B666&gt;60)*HLOOKUP($B666/12,Loyalty,2)*$F$1*MAX(CI665,0)</f>
        <v>0</v>
      </c>
      <c r="CH666" s="75">
        <f>PARAM!$C$26+MAX($P$3-CHOOSE(PARAM!$B$44,MAX(0,CI665*$F$1),0),0)*RATES!$L642/12+$Q$3*(PARAM!$D$51/12)*RATES!$N642/100</f>
        <v>392.75</v>
      </c>
      <c r="CI666" s="16">
        <f>IF(CI665&gt;0,CI665*PARAM!$C$53,CI665)+CG666-CH666</f>
        <v>-54328.000000000029</v>
      </c>
      <c r="CJ666" s="15">
        <f t="shared" si="433"/>
        <v>0</v>
      </c>
      <c r="CK666" s="75">
        <f>CJ666*(1-PARAM!$C$27)*$R$4+(MOD($B666/12,5)=0)*($B666&gt;60)*HLOOKUP($B666/12,Loyalty,2)*$F$1*MAX(CM665,0)</f>
        <v>0</v>
      </c>
      <c r="CL666" s="75">
        <f>PARAM!$C$26+MAX($P$4-CHOOSE(PARAM!$B$44,MAX(0,CM665*$F$1),0),0)*RATES!$L642/12+$Q$4*(PARAM!$D$51/12)*RATES!$N642/100</f>
        <v>392.75</v>
      </c>
      <c r="CM666" s="16">
        <f>IF(CM665&gt;0,CM665*PARAM!$C$53,CM665)+CK666-CL666</f>
        <v>-54328.000000000029</v>
      </c>
      <c r="CO666" s="176"/>
    </row>
    <row r="667" spans="1:93" x14ac:dyDescent="0.2">
      <c r="A667" t="b">
        <f t="shared" si="408"/>
        <v>0</v>
      </c>
      <c r="B667" s="33">
        <v>640</v>
      </c>
      <c r="C667" s="15">
        <f t="shared" si="409"/>
        <v>20.081305947392778</v>
      </c>
      <c r="D667" s="75">
        <f>C667*(1-PARAM!$C$27)*$I$3+(MOD($B667,60)=PARAM!$B$56)*($B667&gt;(60-PARAM!$B$56))*HLOOKUP(($B667+PARAM!$B$56)/12,Loyalty,2)*$F$1*MAX(F666,0)</f>
        <v>16.808053077967756</v>
      </c>
      <c r="E667" s="75">
        <f>PARAM!$C$26+MAX($G$3-CHOOSE(PARAM!$B$44,MAX(0,F666*$F$1),0),0)*RATES!$L643/12+$H$3*(PARAM!$D$51/12)*RATES!$N643/100</f>
        <v>392.75</v>
      </c>
      <c r="F667" s="16">
        <f t="shared" si="410"/>
        <v>-44120.021221504481</v>
      </c>
      <c r="G667" s="15">
        <f t="shared" si="411"/>
        <v>22.035289406060361</v>
      </c>
      <c r="H667" s="75">
        <f>G667*(1-PARAM!$C$27)*$I$4+(MOD($B667,60)=PARAM!$B$56)*($B667&gt;(60-PARAM!$B$56))*HLOOKUP(($B667+PARAM!$B$56)/12,Loyalty,2)*$F$1*MAX(J666,0)</f>
        <v>18.443537232872522</v>
      </c>
      <c r="I667" s="75">
        <f>PARAM!$C$26+MAX($G$4-CHOOSE(PARAM!$B$44,MAX(0,J666*$F$1),0),0)*RATES!$L643/12+$H$4*(PARAM!$D$51/12)*RATES!$N643/100</f>
        <v>392.75</v>
      </c>
      <c r="J667" s="16">
        <f t="shared" si="412"/>
        <v>-43039.47839824362</v>
      </c>
      <c r="K667" s="15">
        <f t="shared" si="413"/>
        <v>22.170849845882874</v>
      </c>
      <c r="L667" s="75">
        <f>K667*(1-PARAM!$C$27)*$I$5+(MOD($B667,60)=PARAM!$B$56)*($B667&gt;(60-PARAM!$B$56))*HLOOKUP(($B667+PARAM!$B$56)/12,Loyalty,2)*$F$1*MAX(N666,0)</f>
        <v>18.557001321003963</v>
      </c>
      <c r="M667" s="75">
        <f>PARAM!$C$26+MAX($G$5-CHOOSE(PARAM!$B$44,MAX(0,N666*$F$1),0),0)*RATES!$L643/12+$H$5*(PARAM!$D$51/12)*RATES!$N643/100</f>
        <v>392.75</v>
      </c>
      <c r="N667" s="16">
        <f t="shared" si="414"/>
        <v>-42963.843845439762</v>
      </c>
      <c r="O667" s="15">
        <f t="shared" si="415"/>
        <v>22.170849845882874</v>
      </c>
      <c r="P667" s="75">
        <f>O667*(1-PARAM!$C$27)*$I$6+(MOD($B667,60)=PARAM!$B$56)*($B667&gt;(60-PARAM!$B$56))*HLOOKUP(($B667+PARAM!$B$56)/12,Loyalty,2)*$F$1*MAX(R666,0)</f>
        <v>18.557001321003963</v>
      </c>
      <c r="Q667" s="75">
        <f>PARAM!$C$26+MAX($G$6-CHOOSE(PARAM!$B$44,MAX(0,R666*$F$1),0),0)*RATES!$L643/12+$H$6*(PARAM!$D$51/12)*RATES!$N643/100</f>
        <v>392.75</v>
      </c>
      <c r="R667" s="16">
        <f t="shared" si="416"/>
        <v>-42963.843845439762</v>
      </c>
      <c r="S667" s="15">
        <f t="shared" ref="S667:S730" si="434">$H$7*$CE667</f>
        <v>22.170849845882874</v>
      </c>
      <c r="T667" s="75">
        <f>S667*(1-PARAM!$C$27)*$I$7+(MOD($B667,60)=PARAM!$B$56)*($B667&gt;(60-PARAM!$B$56))*HLOOKUP(($B667+PARAM!$B$56)/12,Loyalty,2)*$F$1*MAX(V666,0)</f>
        <v>18.557001321003963</v>
      </c>
      <c r="U667" s="75">
        <f>PARAM!$C$26+MAX($G$7-CHOOSE(PARAM!$B$44,MAX(0,V666*$F$1),0),0)*RATES!$L643/12+$H$7*(PARAM!$D$51/12)*RATES!$N643/100</f>
        <v>392.75</v>
      </c>
      <c r="V667" s="16">
        <f t="shared" si="417"/>
        <v>-42963.843845439762</v>
      </c>
      <c r="W667" s="15">
        <f t="shared" ref="W667:W730" si="435">$H$8*$CE667</f>
        <v>22.170849845882874</v>
      </c>
      <c r="X667" s="75">
        <f>W667*(1-PARAM!$C$27)*$I$8+(MOD($B667,60)=PARAM!$B$56)*($B667&gt;(60-PARAM!$B$56))*HLOOKUP(($B667+PARAM!$B$56)/12,Loyalty,2)*$F$1*MAX(Z666,0)</f>
        <v>18.557001321003963</v>
      </c>
      <c r="Y667" s="75">
        <f>PARAM!$C$26+MAX($G$8-CHOOSE(PARAM!$B$44,MAX(0,Z666*$F$1),0),0)*RATES!$L643/12+$H$8*(PARAM!$D$51/12)*RATES!$N643/100</f>
        <v>392.75</v>
      </c>
      <c r="Z667" s="16">
        <f t="shared" si="418"/>
        <v>-42963.843845439762</v>
      </c>
      <c r="AA667" s="15">
        <f t="shared" ref="AA667:AA730" si="436">$H$9*$CE667</f>
        <v>22.170849845882874</v>
      </c>
      <c r="AB667" s="75">
        <f>AA667*(1-PARAM!$C$27)*$I$9+(MOD($B667,60)=PARAM!$B$56)*($B667&gt;(60-PARAM!$B$56))*HLOOKUP(($B667+PARAM!$B$56)/12,Loyalty,2)*$F$1*MAX(AD666,0)</f>
        <v>18.557001321003963</v>
      </c>
      <c r="AC667" s="75">
        <f>PARAM!$C$26+MAX($G$9-CHOOSE(PARAM!$B$44,MAX(0,AD666*$F$1),0),0)*RATES!$L643/12+$H$9*(PARAM!$D$51/12)*RATES!$N643/100</f>
        <v>392.75</v>
      </c>
      <c r="AD667" s="16">
        <f t="shared" si="419"/>
        <v>-42963.843845439762</v>
      </c>
      <c r="AE667" s="15">
        <f t="shared" ref="AE667:AE730" si="437">$H$10*$CE667</f>
        <v>22.170849845882874</v>
      </c>
      <c r="AF667" s="75">
        <f>AE667*(1-PARAM!$C$27)*$I$10+(MOD($B667,60)=PARAM!$B$56)*($B667&gt;(60-PARAM!$B$56))*HLOOKUP(($B667+PARAM!$B$56)/12,Loyalty,2)*$F$1*MAX(AH666,0)</f>
        <v>18.557001321003963</v>
      </c>
      <c r="AG667" s="75">
        <f>PARAM!$C$26+MAX($G$10-CHOOSE(PARAM!$B$44,MAX(0,AH666*$F$1),0),0)*RATES!$L643/12+$H$10*(PARAM!$D$51/12)*RATES!$N643/100</f>
        <v>392.75</v>
      </c>
      <c r="AH667" s="16">
        <f t="shared" si="420"/>
        <v>-42963.843845439762</v>
      </c>
      <c r="AI667" s="15">
        <f t="shared" ref="AI667:AI730" si="438">$H$11*$CE667</f>
        <v>22.170849845882874</v>
      </c>
      <c r="AJ667" s="75">
        <f>AI667*(1-PARAM!$C$27)*$I$11+(MOD($B667,60)=PARAM!$B$56)*($B667&gt;(60-PARAM!$B$56))*HLOOKUP(($B667+PARAM!$B$56)/12,Loyalty,2)*$F$1*MAX(AL666,0)</f>
        <v>18.557001321003963</v>
      </c>
      <c r="AK667" s="75">
        <f>PARAM!$C$26+MAX($G$11-CHOOSE(PARAM!$B$44,MAX(0,AL666*$F$1),0),0)*RATES!$L643/12+$H$11*(PARAM!$D$51/12)*RATES!$N643/100</f>
        <v>392.75</v>
      </c>
      <c r="AL667" s="16">
        <f t="shared" si="421"/>
        <v>-42963.843845439762</v>
      </c>
      <c r="AM667" s="15">
        <f t="shared" ref="AM667:AM730" si="439">$H$12*$CE667</f>
        <v>22.170849845882874</v>
      </c>
      <c r="AN667" s="75">
        <f>AM667*(1-PARAM!$C$27)*$I$12+(MOD($B667,60)=PARAM!$B$56)*($B667&gt;(60-PARAM!$B$56))*HLOOKUP(($B667+PARAM!$B$56)/12,Loyalty,2)*$F$1*MAX(AP666,0)</f>
        <v>18.557001321003963</v>
      </c>
      <c r="AO667" s="75">
        <f>PARAM!$C$26+MAX($G$12-CHOOSE(PARAM!$B$44,MAX(0,AP666*$F$1),0),0)*RATES!$L643/12+$H$12*(PARAM!$D$51/12)*RATES!$N643/100</f>
        <v>392.75</v>
      </c>
      <c r="AP667" s="16">
        <f t="shared" si="422"/>
        <v>-42963.843845439762</v>
      </c>
      <c r="AQ667" s="15">
        <f t="shared" ref="AQ667:AQ730" si="440">$H$13*$CE667</f>
        <v>22.170849845882874</v>
      </c>
      <c r="AR667" s="75">
        <f>AQ667*(1-PARAM!$C$27)*$I$13+(MOD($B667,60)=PARAM!$B$56)*($B667&gt;(60-PARAM!$B$56))*HLOOKUP(($B667+PARAM!$B$56)/12,Loyalty,2)*$F$1*MAX(AT666,0)</f>
        <v>18.557001321003963</v>
      </c>
      <c r="AS667" s="75">
        <f>PARAM!$C$26+MAX($G$13-CHOOSE(PARAM!$B$44,MAX(0,AT666*$F$1),0),0)*RATES!$L643/12+$H$13*(PARAM!$D$51/12)*RATES!$N643/100</f>
        <v>392.75</v>
      </c>
      <c r="AT667" s="16">
        <f t="shared" si="423"/>
        <v>-42963.843845439762</v>
      </c>
      <c r="AU667" s="15">
        <f t="shared" ref="AU667:AU730" si="441">$H$14*$CE667</f>
        <v>22.170849845882874</v>
      </c>
      <c r="AV667" s="75">
        <f>AU667*(1-PARAM!$C$27)*$I$14+(MOD($B667,60)=PARAM!$B$56)*($B667&gt;(60-PARAM!$B$56))*HLOOKUP(($B667+PARAM!$B$56)/12,Loyalty,2)*$F$1*MAX(AX666,0)</f>
        <v>18.557001321003963</v>
      </c>
      <c r="AW667" s="75">
        <f>PARAM!$C$26+MAX($G$14-CHOOSE(PARAM!$B$44,MAX(0,AX666*$F$1),0),0)*RATES!$L643/12+$H$14*(PARAM!$D$51/12)*RATES!$N643/100</f>
        <v>392.75</v>
      </c>
      <c r="AX667" s="16">
        <f t="shared" si="424"/>
        <v>-42963.843845439762</v>
      </c>
      <c r="AY667" s="15">
        <f t="shared" ref="AY667:AY730" si="442">$H$15*$CE667</f>
        <v>22.170849845882874</v>
      </c>
      <c r="AZ667" s="75">
        <f>AY667*(1-PARAM!$C$27)*$I$15+(MOD($B667,60)=PARAM!$B$56)*($B667&gt;(60-PARAM!$B$56))*HLOOKUP(($B667+PARAM!$B$56)/12,Loyalty,2)*$F$1*MAX(BB666,0)</f>
        <v>18.557001321003963</v>
      </c>
      <c r="BA667" s="75">
        <f>PARAM!$C$26+MAX($G$15-CHOOSE(PARAM!$B$44,MAX(0,BB666*$F$1),0),0)*RATES!$L643/12+$H$15*(PARAM!$D$51/12)*RATES!$N643/100</f>
        <v>392.75</v>
      </c>
      <c r="BB667" s="16">
        <f t="shared" si="425"/>
        <v>-42963.843845439762</v>
      </c>
      <c r="BC667" s="15">
        <f t="shared" ref="BC667:BC730" si="443">$H$16*$CE667</f>
        <v>22.170849845882874</v>
      </c>
      <c r="BD667" s="75">
        <f>BC667*(1-PARAM!$C$27)*$I$16+(MOD($B667,60)=PARAM!$B$56)*($B667&gt;(60-PARAM!$B$56))*HLOOKUP(($B667+PARAM!$B$56)/12,Loyalty,2)*$F$1*MAX(BF666,0)</f>
        <v>18.557001321003963</v>
      </c>
      <c r="BE667" s="75">
        <f>PARAM!$C$26+MAX($G$16-CHOOSE(PARAM!$B$44,MAX(0,BF666*$F$1),0),0)*RATES!$L643/12+$H$16*(PARAM!$D$51/12)*RATES!$N643/100</f>
        <v>392.75</v>
      </c>
      <c r="BF667" s="16">
        <f t="shared" si="426"/>
        <v>-42963.843845439762</v>
      </c>
      <c r="BG667" s="15">
        <f t="shared" ref="BG667:BG730" si="444">$H$17*$CE667</f>
        <v>22.170849845882874</v>
      </c>
      <c r="BH667" s="75">
        <f>BG667*(1-PARAM!$C$27)*$I$17+(MOD($B667,60)=PARAM!$B$56)*($B667&gt;(60-PARAM!$B$56))*HLOOKUP(($B667+PARAM!$B$56)/12,Loyalty,2)*$F$1*MAX(BJ666,0)</f>
        <v>18.557001321003963</v>
      </c>
      <c r="BI667" s="75">
        <f>PARAM!$C$26+MAX($G$17-CHOOSE(PARAM!$B$44,MAX(0,BJ666*$F$1),0),0)*RATES!$L643/12+$H$17*(PARAM!$D$51/12)*RATES!$N643/100</f>
        <v>392.75</v>
      </c>
      <c r="BJ667" s="16">
        <f t="shared" si="427"/>
        <v>-42963.843845439762</v>
      </c>
      <c r="BK667" s="15">
        <f t="shared" ref="BK667:BK730" si="445">$H$18*$CE667</f>
        <v>22.170849845882874</v>
      </c>
      <c r="BL667" s="75">
        <f>BK667*(1-PARAM!$C$27)*$I$18+(MOD($B667,60)=PARAM!$B$56)*($B667&gt;(60-PARAM!$B$56))*HLOOKUP(($B667+PARAM!$B$56)/12,Loyalty,2)*$F$1*MAX(BN666,0)</f>
        <v>18.557001321003963</v>
      </c>
      <c r="BM667" s="75">
        <f>PARAM!$C$26+MAX($G$18-CHOOSE(PARAM!$B$44,MAX(0,BN666*$F$1),0),0)*RATES!$L643/12+$H$18*(PARAM!$D$51/12)*RATES!$N643/100</f>
        <v>392.75</v>
      </c>
      <c r="BN667" s="16">
        <f t="shared" si="428"/>
        <v>-42963.843845439762</v>
      </c>
      <c r="BO667" s="15">
        <f t="shared" ref="BO667:BO730" si="446">$H$19*$CE667</f>
        <v>22.170849845882874</v>
      </c>
      <c r="BP667" s="75">
        <f>BO667*(1-PARAM!$C$27)*$I$19+(MOD($B667,60)=PARAM!$B$56)*($B667&gt;(60-PARAM!$B$56))*HLOOKUP(($B667+PARAM!$B$56)/12,Loyalty,2)*$F$1*MAX(BR666,0)</f>
        <v>18.557001321003963</v>
      </c>
      <c r="BQ667" s="75">
        <f>PARAM!$C$26+MAX($G$19-CHOOSE(PARAM!$B$44,MAX(0,BR666*$F$1),0),0)*RATES!$L643/12+$H$19*(PARAM!$D$51/12)*RATES!$N643/100</f>
        <v>392.75</v>
      </c>
      <c r="BR667" s="16">
        <f t="shared" si="429"/>
        <v>-42963.843845439762</v>
      </c>
      <c r="BS667" s="15">
        <f t="shared" ref="BS667:BS730" si="447">$H$20*$CE667</f>
        <v>22.170849845882874</v>
      </c>
      <c r="BT667" s="75">
        <f>BS667*(1-PARAM!$C$27)*$I$20+(MOD($B667,60)=PARAM!$B$56)*($B667&gt;(60-PARAM!$B$56))*HLOOKUP(($B667+PARAM!$B$56)/12,Loyalty,2)*$F$1*MAX(BV666,0)</f>
        <v>18.557001321003963</v>
      </c>
      <c r="BU667" s="75">
        <f>PARAM!$C$26+MAX($G$20-CHOOSE(PARAM!$B$44,MAX(0,BV666*$F$1),0),0)*RATES!$L643/12+$H$20*(PARAM!$D$51/12)*RATES!$N643/100</f>
        <v>392.75</v>
      </c>
      <c r="BV667" s="16">
        <f t="shared" si="430"/>
        <v>-42963.843845439762</v>
      </c>
      <c r="BW667" s="15">
        <f t="shared" ref="BW667:BW730" si="448">$H$21*$CE667</f>
        <v>22.170849845882874</v>
      </c>
      <c r="BX667" s="75">
        <f>BW667*(1-PARAM!$C$27)*$I$21+(MOD($B667,60)=PARAM!$B$56)*($B667&gt;(60-PARAM!$B$56))*HLOOKUP(($B667+PARAM!$B$56)/12,Loyalty,2)*$F$1*MAX(BZ666,0)</f>
        <v>18.557001321003963</v>
      </c>
      <c r="BY667" s="75">
        <f>PARAM!$C$26+MAX($G$21-CHOOSE(PARAM!$B$44,MAX(0,BZ666*$F$1),0),0)*RATES!$L643/12+$H$21*(PARAM!$D$51/12)*RATES!$N643/100</f>
        <v>392.75</v>
      </c>
      <c r="BZ667" s="16">
        <f t="shared" si="431"/>
        <v>-42963.843845439762</v>
      </c>
      <c r="CA667" s="15">
        <f t="shared" ref="CA667:CA730" si="449">$H$22*$CE667</f>
        <v>22.170849845882874</v>
      </c>
      <c r="CB667" s="75">
        <f>CA667*(1-PARAM!$C$27)*$I$22+(MOD($B667,60)=PARAM!$B$56)*($B667&gt;(60-PARAM!$B$56))*HLOOKUP(($B667+PARAM!$B$56)/12,Loyalty,2)*$F$1*MAX(CD666,0)</f>
        <v>18.557001321003963</v>
      </c>
      <c r="CC667" s="75">
        <f>PARAM!$C$26+MAX($G$22-CHOOSE(PARAM!$B$44,MAX(0,CD666*$F$1),0),0)*RATES!$L643/12+$H$22*(PARAM!$D$51/12)*RATES!$N643/100</f>
        <v>392.75</v>
      </c>
      <c r="CD667" s="16">
        <f t="shared" si="432"/>
        <v>-42963.843845439762</v>
      </c>
      <c r="CE667" s="33">
        <f>IF(0=MOD(B667,12/PARAM!$D$51),1,0)</f>
        <v>1</v>
      </c>
      <c r="CF667" s="15">
        <f t="shared" ref="CF667:CF730" si="450">$Q$3*CE667</f>
        <v>0</v>
      </c>
      <c r="CG667" s="75">
        <f>CF667*(1-PARAM!$C$27)*$R$3+(MOD($B667/12,5)=0)*($B667&gt;60)*HLOOKUP($B667/12,Loyalty,2)*$F$1*MAX(CI666,0)</f>
        <v>0</v>
      </c>
      <c r="CH667" s="75">
        <f>PARAM!$C$26+MAX($P$3-CHOOSE(PARAM!$B$44,MAX(0,CI666*$F$1),0),0)*RATES!$L643/12+$Q$3*(PARAM!$D$51/12)*RATES!$N643/100</f>
        <v>392.75</v>
      </c>
      <c r="CI667" s="16">
        <f>IF(CI666&gt;0,CI666*PARAM!$C$53,CI666)+CG667-CH667</f>
        <v>-54720.750000000029</v>
      </c>
      <c r="CJ667" s="15">
        <f t="shared" si="433"/>
        <v>0</v>
      </c>
      <c r="CK667" s="75">
        <f>CJ667*(1-PARAM!$C$27)*$R$4+(MOD($B667/12,5)=0)*($B667&gt;60)*HLOOKUP($B667/12,Loyalty,2)*$F$1*MAX(CM666,0)</f>
        <v>0</v>
      </c>
      <c r="CL667" s="75">
        <f>PARAM!$C$26+MAX($P$4-CHOOSE(PARAM!$B$44,MAX(0,CM666*$F$1),0),0)*RATES!$L643/12+$Q$4*(PARAM!$D$51/12)*RATES!$N643/100</f>
        <v>392.75</v>
      </c>
      <c r="CM667" s="16">
        <f>IF(CM666&gt;0,CM666*PARAM!$C$53,CM666)+CK667-CL667</f>
        <v>-54720.750000000029</v>
      </c>
      <c r="CO667" s="176"/>
    </row>
    <row r="668" spans="1:93" x14ac:dyDescent="0.2">
      <c r="A668" t="b">
        <f t="shared" ref="A668:A731" si="451">F668&gt;0</f>
        <v>0</v>
      </c>
      <c r="B668" s="33">
        <v>641</v>
      </c>
      <c r="C668" s="15">
        <f t="shared" ref="C668:C731" si="452">$H$3*$CE668</f>
        <v>20.081305947392778</v>
      </c>
      <c r="D668" s="75">
        <f>C668*(1-PARAM!$C$27)*$I$3+(MOD($B668,60)=PARAM!$B$56)*($B668&gt;(60-PARAM!$B$56))*HLOOKUP(($B668+PARAM!$B$56)/12,Loyalty,2)*$F$1*MAX(F667,0)</f>
        <v>16.808053077967756</v>
      </c>
      <c r="E668" s="75">
        <f>PARAM!$C$26+MAX($G$3-CHOOSE(PARAM!$B$44,MAX(0,F667*$F$1),0),0)*RATES!$L644/12+$H$3*(PARAM!$D$51/12)*RATES!$N644/100</f>
        <v>392.75</v>
      </c>
      <c r="F668" s="16">
        <f t="shared" ref="F668:F731" si="453">IF(F667&gt;0,F667*$F$1,F667)+D668-E668</f>
        <v>-44495.963168426511</v>
      </c>
      <c r="G668" s="15">
        <f t="shared" ref="G668:G731" si="454">$H$4*$CE668</f>
        <v>22.035289406060361</v>
      </c>
      <c r="H668" s="75">
        <f>G668*(1-PARAM!$C$27)*$I$4+(MOD($B668,60)=PARAM!$B$56)*($B668&gt;(60-PARAM!$B$56))*HLOOKUP(($B668+PARAM!$B$56)/12,Loyalty,2)*$F$1*MAX(J667,0)</f>
        <v>18.443537232872522</v>
      </c>
      <c r="I668" s="75">
        <f>PARAM!$C$26+MAX($G$4-CHOOSE(PARAM!$B$44,MAX(0,J667*$F$1),0),0)*RATES!$L644/12+$H$4*(PARAM!$D$51/12)*RATES!$N644/100</f>
        <v>392.75</v>
      </c>
      <c r="J668" s="16">
        <f t="shared" ref="J668:J731" si="455">IF(J667&gt;0,J667*$F$1,J667)+H668-I668</f>
        <v>-43413.784861010747</v>
      </c>
      <c r="K668" s="15">
        <f t="shared" ref="K668:K731" si="456">$H$5*$CE668</f>
        <v>22.170849845882874</v>
      </c>
      <c r="L668" s="75">
        <f>K668*(1-PARAM!$C$27)*$I$5+(MOD($B668,60)=PARAM!$B$56)*($B668&gt;(60-PARAM!$B$56))*HLOOKUP(($B668+PARAM!$B$56)/12,Loyalty,2)*$F$1*MAX(N667,0)</f>
        <v>18.557001321003963</v>
      </c>
      <c r="M668" s="75">
        <f>PARAM!$C$26+MAX($G$5-CHOOSE(PARAM!$B$44,MAX(0,N667*$F$1),0),0)*RATES!$L644/12+$H$5*(PARAM!$D$51/12)*RATES!$N644/100</f>
        <v>392.75</v>
      </c>
      <c r="N668" s="16">
        <f t="shared" ref="N668:N731" si="457">IF(N667&gt;0,N667*$F$1,N667)+L668-M668</f>
        <v>-43338.03684411876</v>
      </c>
      <c r="O668" s="15">
        <f t="shared" ref="O668:O731" si="458">$H$6*$CE668</f>
        <v>22.170849845882874</v>
      </c>
      <c r="P668" s="75">
        <f>O668*(1-PARAM!$C$27)*$I$6+(MOD($B668,60)=PARAM!$B$56)*($B668&gt;(60-PARAM!$B$56))*HLOOKUP(($B668+PARAM!$B$56)/12,Loyalty,2)*$F$1*MAX(R667,0)</f>
        <v>18.557001321003963</v>
      </c>
      <c r="Q668" s="75">
        <f>PARAM!$C$26+MAX($G$6-CHOOSE(PARAM!$B$44,MAX(0,R667*$F$1),0),0)*RATES!$L644/12+$H$6*(PARAM!$D$51/12)*RATES!$N644/100</f>
        <v>392.75</v>
      </c>
      <c r="R668" s="16">
        <f t="shared" ref="R668:R731" si="459">IF(R667&gt;0,R667*$F$1,R667)+P668-Q668</f>
        <v>-43338.03684411876</v>
      </c>
      <c r="S668" s="15">
        <f t="shared" si="434"/>
        <v>22.170849845882874</v>
      </c>
      <c r="T668" s="75">
        <f>S668*(1-PARAM!$C$27)*$I$7+(MOD($B668,60)=PARAM!$B$56)*($B668&gt;(60-PARAM!$B$56))*HLOOKUP(($B668+PARAM!$B$56)/12,Loyalty,2)*$F$1*MAX(V667,0)</f>
        <v>18.557001321003963</v>
      </c>
      <c r="U668" s="75">
        <f>PARAM!$C$26+MAX($G$7-CHOOSE(PARAM!$B$44,MAX(0,V667*$F$1),0),0)*RATES!$L644/12+$H$7*(PARAM!$D$51/12)*RATES!$N644/100</f>
        <v>392.75</v>
      </c>
      <c r="V668" s="16">
        <f t="shared" ref="V668:V731" si="460">IF(V667&gt;0,V667*$F$1,V667)+T668-U668</f>
        <v>-43338.03684411876</v>
      </c>
      <c r="W668" s="15">
        <f t="shared" si="435"/>
        <v>22.170849845882874</v>
      </c>
      <c r="X668" s="75">
        <f>W668*(1-PARAM!$C$27)*$I$8+(MOD($B668,60)=PARAM!$B$56)*($B668&gt;(60-PARAM!$B$56))*HLOOKUP(($B668+PARAM!$B$56)/12,Loyalty,2)*$F$1*MAX(Z667,0)</f>
        <v>18.557001321003963</v>
      </c>
      <c r="Y668" s="75">
        <f>PARAM!$C$26+MAX($G$8-CHOOSE(PARAM!$B$44,MAX(0,Z667*$F$1),0),0)*RATES!$L644/12+$H$8*(PARAM!$D$51/12)*RATES!$N644/100</f>
        <v>392.75</v>
      </c>
      <c r="Z668" s="16">
        <f t="shared" ref="Z668:Z731" si="461">IF(Z667&gt;0,Z667*$F$1,Z667)+X668-Y668</f>
        <v>-43338.03684411876</v>
      </c>
      <c r="AA668" s="15">
        <f t="shared" si="436"/>
        <v>22.170849845882874</v>
      </c>
      <c r="AB668" s="75">
        <f>AA668*(1-PARAM!$C$27)*$I$9+(MOD($B668,60)=PARAM!$B$56)*($B668&gt;(60-PARAM!$B$56))*HLOOKUP(($B668+PARAM!$B$56)/12,Loyalty,2)*$F$1*MAX(AD667,0)</f>
        <v>18.557001321003963</v>
      </c>
      <c r="AC668" s="75">
        <f>PARAM!$C$26+MAX($G$9-CHOOSE(PARAM!$B$44,MAX(0,AD667*$F$1),0),0)*RATES!$L644/12+$H$9*(PARAM!$D$51/12)*RATES!$N644/100</f>
        <v>392.75</v>
      </c>
      <c r="AD668" s="16">
        <f t="shared" ref="AD668:AD731" si="462">IF(AD667&gt;0,AD667*$F$1,AD667)+AB668-AC668</f>
        <v>-43338.03684411876</v>
      </c>
      <c r="AE668" s="15">
        <f t="shared" si="437"/>
        <v>22.170849845882874</v>
      </c>
      <c r="AF668" s="75">
        <f>AE668*(1-PARAM!$C$27)*$I$10+(MOD($B668,60)=PARAM!$B$56)*($B668&gt;(60-PARAM!$B$56))*HLOOKUP(($B668+PARAM!$B$56)/12,Loyalty,2)*$F$1*MAX(AH667,0)</f>
        <v>18.557001321003963</v>
      </c>
      <c r="AG668" s="75">
        <f>PARAM!$C$26+MAX($G$10-CHOOSE(PARAM!$B$44,MAX(0,AH667*$F$1),0),0)*RATES!$L644/12+$H$10*(PARAM!$D$51/12)*RATES!$N644/100</f>
        <v>392.75</v>
      </c>
      <c r="AH668" s="16">
        <f t="shared" ref="AH668:AH731" si="463">IF(AH667&gt;0,AH667*$F$1,AH667)+AF668-AG668</f>
        <v>-43338.03684411876</v>
      </c>
      <c r="AI668" s="15">
        <f t="shared" si="438"/>
        <v>22.170849845882874</v>
      </c>
      <c r="AJ668" s="75">
        <f>AI668*(1-PARAM!$C$27)*$I$11+(MOD($B668,60)=PARAM!$B$56)*($B668&gt;(60-PARAM!$B$56))*HLOOKUP(($B668+PARAM!$B$56)/12,Loyalty,2)*$F$1*MAX(AL667,0)</f>
        <v>18.557001321003963</v>
      </c>
      <c r="AK668" s="75">
        <f>PARAM!$C$26+MAX($G$11-CHOOSE(PARAM!$B$44,MAX(0,AL667*$F$1),0),0)*RATES!$L644/12+$H$11*(PARAM!$D$51/12)*RATES!$N644/100</f>
        <v>392.75</v>
      </c>
      <c r="AL668" s="16">
        <f t="shared" ref="AL668:AL731" si="464">IF(AL667&gt;0,AL667*$F$1,AL667)+AJ668-AK668</f>
        <v>-43338.03684411876</v>
      </c>
      <c r="AM668" s="15">
        <f t="shared" si="439"/>
        <v>22.170849845882874</v>
      </c>
      <c r="AN668" s="75">
        <f>AM668*(1-PARAM!$C$27)*$I$12+(MOD($B668,60)=PARAM!$B$56)*($B668&gt;(60-PARAM!$B$56))*HLOOKUP(($B668+PARAM!$B$56)/12,Loyalty,2)*$F$1*MAX(AP667,0)</f>
        <v>18.557001321003963</v>
      </c>
      <c r="AO668" s="75">
        <f>PARAM!$C$26+MAX($G$12-CHOOSE(PARAM!$B$44,MAX(0,AP667*$F$1),0),0)*RATES!$L644/12+$H$12*(PARAM!$D$51/12)*RATES!$N644/100</f>
        <v>392.75</v>
      </c>
      <c r="AP668" s="16">
        <f t="shared" ref="AP668:AP731" si="465">IF(AP667&gt;0,AP667*$F$1,AP667)+AN668-AO668</f>
        <v>-43338.03684411876</v>
      </c>
      <c r="AQ668" s="15">
        <f t="shared" si="440"/>
        <v>22.170849845882874</v>
      </c>
      <c r="AR668" s="75">
        <f>AQ668*(1-PARAM!$C$27)*$I$13+(MOD($B668,60)=PARAM!$B$56)*($B668&gt;(60-PARAM!$B$56))*HLOOKUP(($B668+PARAM!$B$56)/12,Loyalty,2)*$F$1*MAX(AT667,0)</f>
        <v>18.557001321003963</v>
      </c>
      <c r="AS668" s="75">
        <f>PARAM!$C$26+MAX($G$13-CHOOSE(PARAM!$B$44,MAX(0,AT667*$F$1),0),0)*RATES!$L644/12+$H$13*(PARAM!$D$51/12)*RATES!$N644/100</f>
        <v>392.75</v>
      </c>
      <c r="AT668" s="16">
        <f t="shared" ref="AT668:AT731" si="466">IF(AT667&gt;0,AT667*$F$1,AT667)+AR668-AS668</f>
        <v>-43338.03684411876</v>
      </c>
      <c r="AU668" s="15">
        <f t="shared" si="441"/>
        <v>22.170849845882874</v>
      </c>
      <c r="AV668" s="75">
        <f>AU668*(1-PARAM!$C$27)*$I$14+(MOD($B668,60)=PARAM!$B$56)*($B668&gt;(60-PARAM!$B$56))*HLOOKUP(($B668+PARAM!$B$56)/12,Loyalty,2)*$F$1*MAX(AX667,0)</f>
        <v>18.557001321003963</v>
      </c>
      <c r="AW668" s="75">
        <f>PARAM!$C$26+MAX($G$14-CHOOSE(PARAM!$B$44,MAX(0,AX667*$F$1),0),0)*RATES!$L644/12+$H$14*(PARAM!$D$51/12)*RATES!$N644/100</f>
        <v>392.75</v>
      </c>
      <c r="AX668" s="16">
        <f t="shared" ref="AX668:AX731" si="467">IF(AX667&gt;0,AX667*$F$1,AX667)+AV668-AW668</f>
        <v>-43338.03684411876</v>
      </c>
      <c r="AY668" s="15">
        <f t="shared" si="442"/>
        <v>22.170849845882874</v>
      </c>
      <c r="AZ668" s="75">
        <f>AY668*(1-PARAM!$C$27)*$I$15+(MOD($B668,60)=PARAM!$B$56)*($B668&gt;(60-PARAM!$B$56))*HLOOKUP(($B668+PARAM!$B$56)/12,Loyalty,2)*$F$1*MAX(BB667,0)</f>
        <v>18.557001321003963</v>
      </c>
      <c r="BA668" s="75">
        <f>PARAM!$C$26+MAX($G$15-CHOOSE(PARAM!$B$44,MAX(0,BB667*$F$1),0),0)*RATES!$L644/12+$H$15*(PARAM!$D$51/12)*RATES!$N644/100</f>
        <v>392.75</v>
      </c>
      <c r="BB668" s="16">
        <f t="shared" ref="BB668:BB731" si="468">IF(BB667&gt;0,BB667*$F$1,BB667)+AZ668-BA668</f>
        <v>-43338.03684411876</v>
      </c>
      <c r="BC668" s="15">
        <f t="shared" si="443"/>
        <v>22.170849845882874</v>
      </c>
      <c r="BD668" s="75">
        <f>BC668*(1-PARAM!$C$27)*$I$16+(MOD($B668,60)=PARAM!$B$56)*($B668&gt;(60-PARAM!$B$56))*HLOOKUP(($B668+PARAM!$B$56)/12,Loyalty,2)*$F$1*MAX(BF667,0)</f>
        <v>18.557001321003963</v>
      </c>
      <c r="BE668" s="75">
        <f>PARAM!$C$26+MAX($G$16-CHOOSE(PARAM!$B$44,MAX(0,BF667*$F$1),0),0)*RATES!$L644/12+$H$16*(PARAM!$D$51/12)*RATES!$N644/100</f>
        <v>392.75</v>
      </c>
      <c r="BF668" s="16">
        <f t="shared" ref="BF668:BF731" si="469">IF(BF667&gt;0,BF667*$F$1,BF667)+BD668-BE668</f>
        <v>-43338.03684411876</v>
      </c>
      <c r="BG668" s="15">
        <f t="shared" si="444"/>
        <v>22.170849845882874</v>
      </c>
      <c r="BH668" s="75">
        <f>BG668*(1-PARAM!$C$27)*$I$17+(MOD($B668,60)=PARAM!$B$56)*($B668&gt;(60-PARAM!$B$56))*HLOOKUP(($B668+PARAM!$B$56)/12,Loyalty,2)*$F$1*MAX(BJ667,0)</f>
        <v>18.557001321003963</v>
      </c>
      <c r="BI668" s="75">
        <f>PARAM!$C$26+MAX($G$17-CHOOSE(PARAM!$B$44,MAX(0,BJ667*$F$1),0),0)*RATES!$L644/12+$H$17*(PARAM!$D$51/12)*RATES!$N644/100</f>
        <v>392.75</v>
      </c>
      <c r="BJ668" s="16">
        <f t="shared" ref="BJ668:BJ731" si="470">IF(BJ667&gt;0,BJ667*$F$1,BJ667)+BH668-BI668</f>
        <v>-43338.03684411876</v>
      </c>
      <c r="BK668" s="15">
        <f t="shared" si="445"/>
        <v>22.170849845882874</v>
      </c>
      <c r="BL668" s="75">
        <f>BK668*(1-PARAM!$C$27)*$I$18+(MOD($B668,60)=PARAM!$B$56)*($B668&gt;(60-PARAM!$B$56))*HLOOKUP(($B668+PARAM!$B$56)/12,Loyalty,2)*$F$1*MAX(BN667,0)</f>
        <v>18.557001321003963</v>
      </c>
      <c r="BM668" s="75">
        <f>PARAM!$C$26+MAX($G$18-CHOOSE(PARAM!$B$44,MAX(0,BN667*$F$1),0),0)*RATES!$L644/12+$H$18*(PARAM!$D$51/12)*RATES!$N644/100</f>
        <v>392.75</v>
      </c>
      <c r="BN668" s="16">
        <f t="shared" ref="BN668:BN731" si="471">IF(BN667&gt;0,BN667*$F$1,BN667)+BL668-BM668</f>
        <v>-43338.03684411876</v>
      </c>
      <c r="BO668" s="15">
        <f t="shared" si="446"/>
        <v>22.170849845882874</v>
      </c>
      <c r="BP668" s="75">
        <f>BO668*(1-PARAM!$C$27)*$I$19+(MOD($B668,60)=PARAM!$B$56)*($B668&gt;(60-PARAM!$B$56))*HLOOKUP(($B668+PARAM!$B$56)/12,Loyalty,2)*$F$1*MAX(BR667,0)</f>
        <v>18.557001321003963</v>
      </c>
      <c r="BQ668" s="75">
        <f>PARAM!$C$26+MAX($G$19-CHOOSE(PARAM!$B$44,MAX(0,BR667*$F$1),0),0)*RATES!$L644/12+$H$19*(PARAM!$D$51/12)*RATES!$N644/100</f>
        <v>392.75</v>
      </c>
      <c r="BR668" s="16">
        <f t="shared" ref="BR668:BR731" si="472">IF(BR667&gt;0,BR667*$F$1,BR667)+BP668-BQ668</f>
        <v>-43338.03684411876</v>
      </c>
      <c r="BS668" s="15">
        <f t="shared" si="447"/>
        <v>22.170849845882874</v>
      </c>
      <c r="BT668" s="75">
        <f>BS668*(1-PARAM!$C$27)*$I$20+(MOD($B668,60)=PARAM!$B$56)*($B668&gt;(60-PARAM!$B$56))*HLOOKUP(($B668+PARAM!$B$56)/12,Loyalty,2)*$F$1*MAX(BV667,0)</f>
        <v>18.557001321003963</v>
      </c>
      <c r="BU668" s="75">
        <f>PARAM!$C$26+MAX($G$20-CHOOSE(PARAM!$B$44,MAX(0,BV667*$F$1),0),0)*RATES!$L644/12+$H$20*(PARAM!$D$51/12)*RATES!$N644/100</f>
        <v>392.75</v>
      </c>
      <c r="BV668" s="16">
        <f t="shared" ref="BV668:BV731" si="473">IF(BV667&gt;0,BV667*$F$1,BV667)+BT668-BU668</f>
        <v>-43338.03684411876</v>
      </c>
      <c r="BW668" s="15">
        <f t="shared" si="448"/>
        <v>22.170849845882874</v>
      </c>
      <c r="BX668" s="75">
        <f>BW668*(1-PARAM!$C$27)*$I$21+(MOD($B668,60)=PARAM!$B$56)*($B668&gt;(60-PARAM!$B$56))*HLOOKUP(($B668+PARAM!$B$56)/12,Loyalty,2)*$F$1*MAX(BZ667,0)</f>
        <v>18.557001321003963</v>
      </c>
      <c r="BY668" s="75">
        <f>PARAM!$C$26+MAX($G$21-CHOOSE(PARAM!$B$44,MAX(0,BZ667*$F$1),0),0)*RATES!$L644/12+$H$21*(PARAM!$D$51/12)*RATES!$N644/100</f>
        <v>392.75</v>
      </c>
      <c r="BZ668" s="16">
        <f t="shared" ref="BZ668:BZ731" si="474">IF(BZ667&gt;0,BZ667*$F$1,BZ667)+BX668-BY668</f>
        <v>-43338.03684411876</v>
      </c>
      <c r="CA668" s="15">
        <f t="shared" si="449"/>
        <v>22.170849845882874</v>
      </c>
      <c r="CB668" s="75">
        <f>CA668*(1-PARAM!$C$27)*$I$22+(MOD($B668,60)=PARAM!$B$56)*($B668&gt;(60-PARAM!$B$56))*HLOOKUP(($B668+PARAM!$B$56)/12,Loyalty,2)*$F$1*MAX(CD667,0)</f>
        <v>18.557001321003963</v>
      </c>
      <c r="CC668" s="75">
        <f>PARAM!$C$26+MAX($G$22-CHOOSE(PARAM!$B$44,MAX(0,CD667*$F$1),0),0)*RATES!$L644/12+$H$22*(PARAM!$D$51/12)*RATES!$N644/100</f>
        <v>392.75</v>
      </c>
      <c r="CD668" s="16">
        <f t="shared" ref="CD668:CD731" si="475">IF(CD667&gt;0,CD667*$F$1,CD667)+CB668-CC668</f>
        <v>-43338.03684411876</v>
      </c>
      <c r="CE668" s="33">
        <f>IF(0=MOD(B668,12/PARAM!$D$51),1,0)</f>
        <v>1</v>
      </c>
      <c r="CF668" s="15">
        <f t="shared" si="450"/>
        <v>0</v>
      </c>
      <c r="CG668" s="75">
        <f>CF668*(1-PARAM!$C$27)*$R$3+(MOD($B668/12,5)=0)*($B668&gt;60)*HLOOKUP($B668/12,Loyalty,2)*$F$1*MAX(CI667,0)</f>
        <v>0</v>
      </c>
      <c r="CH668" s="75">
        <f>PARAM!$C$26+MAX($P$3-CHOOSE(PARAM!$B$44,MAX(0,CI667*$F$1),0),0)*RATES!$L644/12+$Q$3*(PARAM!$D$51/12)*RATES!$N644/100</f>
        <v>392.75</v>
      </c>
      <c r="CI668" s="16">
        <f>IF(CI667&gt;0,CI667*PARAM!$C$53,CI667)+CG668-CH668</f>
        <v>-55113.500000000029</v>
      </c>
      <c r="CJ668" s="15">
        <f t="shared" ref="CJ668:CJ731" si="476">$Q$4*CE668</f>
        <v>0</v>
      </c>
      <c r="CK668" s="75">
        <f>CJ668*(1-PARAM!$C$27)*$R$4+(MOD($B668/12,5)=0)*($B668&gt;60)*HLOOKUP($B668/12,Loyalty,2)*$F$1*MAX(CM667,0)</f>
        <v>0</v>
      </c>
      <c r="CL668" s="75">
        <f>PARAM!$C$26+MAX($P$4-CHOOSE(PARAM!$B$44,MAX(0,CM667*$F$1),0),0)*RATES!$L644/12+$Q$4*(PARAM!$D$51/12)*RATES!$N644/100</f>
        <v>392.75</v>
      </c>
      <c r="CM668" s="16">
        <f>IF(CM667&gt;0,CM667*PARAM!$C$53,CM667)+CK668-CL668</f>
        <v>-55113.500000000029</v>
      </c>
      <c r="CO668" s="176"/>
    </row>
    <row r="669" spans="1:93" x14ac:dyDescent="0.2">
      <c r="A669" t="b">
        <f t="shared" si="451"/>
        <v>0</v>
      </c>
      <c r="B669" s="33">
        <v>642</v>
      </c>
      <c r="C669" s="15">
        <f t="shared" si="452"/>
        <v>20.081305947392778</v>
      </c>
      <c r="D669" s="75">
        <f>C669*(1-PARAM!$C$27)*$I$3+(MOD($B669,60)=PARAM!$B$56)*($B669&gt;(60-PARAM!$B$56))*HLOOKUP(($B669+PARAM!$B$56)/12,Loyalty,2)*$F$1*MAX(F668,0)</f>
        <v>16.808053077967756</v>
      </c>
      <c r="E669" s="75">
        <f>PARAM!$C$26+MAX($G$3-CHOOSE(PARAM!$B$44,MAX(0,F668*$F$1),0),0)*RATES!$L645/12+$H$3*(PARAM!$D$51/12)*RATES!$N645/100</f>
        <v>427.375</v>
      </c>
      <c r="F669" s="16">
        <f t="shared" si="453"/>
        <v>-44906.530115348542</v>
      </c>
      <c r="G669" s="15">
        <f t="shared" si="454"/>
        <v>22.035289406060361</v>
      </c>
      <c r="H669" s="75">
        <f>G669*(1-PARAM!$C$27)*$I$4+(MOD($B669,60)=PARAM!$B$56)*($B669&gt;(60-PARAM!$B$56))*HLOOKUP(($B669+PARAM!$B$56)/12,Loyalty,2)*$F$1*MAX(J668,0)</f>
        <v>18.443537232872522</v>
      </c>
      <c r="I669" s="75">
        <f>PARAM!$C$26+MAX($G$4-CHOOSE(PARAM!$B$44,MAX(0,J668*$F$1),0),0)*RATES!$L645/12+$H$4*(PARAM!$D$51/12)*RATES!$N645/100</f>
        <v>427.375</v>
      </c>
      <c r="J669" s="16">
        <f t="shared" si="455"/>
        <v>-43822.716323777873</v>
      </c>
      <c r="K669" s="15">
        <f t="shared" si="456"/>
        <v>22.170849845882874</v>
      </c>
      <c r="L669" s="75">
        <f>K669*(1-PARAM!$C$27)*$I$5+(MOD($B669,60)=PARAM!$B$56)*($B669&gt;(60-PARAM!$B$56))*HLOOKUP(($B669+PARAM!$B$56)/12,Loyalty,2)*$F$1*MAX(N668,0)</f>
        <v>18.557001321003963</v>
      </c>
      <c r="M669" s="75">
        <f>PARAM!$C$26+MAX($G$5-CHOOSE(PARAM!$B$44,MAX(0,N668*$F$1),0),0)*RATES!$L645/12+$H$5*(PARAM!$D$51/12)*RATES!$N645/100</f>
        <v>427.375</v>
      </c>
      <c r="N669" s="16">
        <f t="shared" si="457"/>
        <v>-43746.854842797758</v>
      </c>
      <c r="O669" s="15">
        <f t="shared" si="458"/>
        <v>22.170849845882874</v>
      </c>
      <c r="P669" s="75">
        <f>O669*(1-PARAM!$C$27)*$I$6+(MOD($B669,60)=PARAM!$B$56)*($B669&gt;(60-PARAM!$B$56))*HLOOKUP(($B669+PARAM!$B$56)/12,Loyalty,2)*$F$1*MAX(R668,0)</f>
        <v>18.557001321003963</v>
      </c>
      <c r="Q669" s="75">
        <f>PARAM!$C$26+MAX($G$6-CHOOSE(PARAM!$B$44,MAX(0,R668*$F$1),0),0)*RATES!$L645/12+$H$6*(PARAM!$D$51/12)*RATES!$N645/100</f>
        <v>427.375</v>
      </c>
      <c r="R669" s="16">
        <f t="shared" si="459"/>
        <v>-43746.854842797758</v>
      </c>
      <c r="S669" s="15">
        <f t="shared" si="434"/>
        <v>22.170849845882874</v>
      </c>
      <c r="T669" s="75">
        <f>S669*(1-PARAM!$C$27)*$I$7+(MOD($B669,60)=PARAM!$B$56)*($B669&gt;(60-PARAM!$B$56))*HLOOKUP(($B669+PARAM!$B$56)/12,Loyalty,2)*$F$1*MAX(V668,0)</f>
        <v>18.557001321003963</v>
      </c>
      <c r="U669" s="75">
        <f>PARAM!$C$26+MAX($G$7-CHOOSE(PARAM!$B$44,MAX(0,V668*$F$1),0),0)*RATES!$L645/12+$H$7*(PARAM!$D$51/12)*RATES!$N645/100</f>
        <v>427.375</v>
      </c>
      <c r="V669" s="16">
        <f t="shared" si="460"/>
        <v>-43746.854842797758</v>
      </c>
      <c r="W669" s="15">
        <f t="shared" si="435"/>
        <v>22.170849845882874</v>
      </c>
      <c r="X669" s="75">
        <f>W669*(1-PARAM!$C$27)*$I$8+(MOD($B669,60)=PARAM!$B$56)*($B669&gt;(60-PARAM!$B$56))*HLOOKUP(($B669+PARAM!$B$56)/12,Loyalty,2)*$F$1*MAX(Z668,0)</f>
        <v>18.557001321003963</v>
      </c>
      <c r="Y669" s="75">
        <f>PARAM!$C$26+MAX($G$8-CHOOSE(PARAM!$B$44,MAX(0,Z668*$F$1),0),0)*RATES!$L645/12+$H$8*(PARAM!$D$51/12)*RATES!$N645/100</f>
        <v>427.375</v>
      </c>
      <c r="Z669" s="16">
        <f t="shared" si="461"/>
        <v>-43746.854842797758</v>
      </c>
      <c r="AA669" s="15">
        <f t="shared" si="436"/>
        <v>22.170849845882874</v>
      </c>
      <c r="AB669" s="75">
        <f>AA669*(1-PARAM!$C$27)*$I$9+(MOD($B669,60)=PARAM!$B$56)*($B669&gt;(60-PARAM!$B$56))*HLOOKUP(($B669+PARAM!$B$56)/12,Loyalty,2)*$F$1*MAX(AD668,0)</f>
        <v>18.557001321003963</v>
      </c>
      <c r="AC669" s="75">
        <f>PARAM!$C$26+MAX($G$9-CHOOSE(PARAM!$B$44,MAX(0,AD668*$F$1),0),0)*RATES!$L645/12+$H$9*(PARAM!$D$51/12)*RATES!$N645/100</f>
        <v>427.375</v>
      </c>
      <c r="AD669" s="16">
        <f t="shared" si="462"/>
        <v>-43746.854842797758</v>
      </c>
      <c r="AE669" s="15">
        <f t="shared" si="437"/>
        <v>22.170849845882874</v>
      </c>
      <c r="AF669" s="75">
        <f>AE669*(1-PARAM!$C$27)*$I$10+(MOD($B669,60)=PARAM!$B$56)*($B669&gt;(60-PARAM!$B$56))*HLOOKUP(($B669+PARAM!$B$56)/12,Loyalty,2)*$F$1*MAX(AH668,0)</f>
        <v>18.557001321003963</v>
      </c>
      <c r="AG669" s="75">
        <f>PARAM!$C$26+MAX($G$10-CHOOSE(PARAM!$B$44,MAX(0,AH668*$F$1),0),0)*RATES!$L645/12+$H$10*(PARAM!$D$51/12)*RATES!$N645/100</f>
        <v>427.375</v>
      </c>
      <c r="AH669" s="16">
        <f t="shared" si="463"/>
        <v>-43746.854842797758</v>
      </c>
      <c r="AI669" s="15">
        <f t="shared" si="438"/>
        <v>22.170849845882874</v>
      </c>
      <c r="AJ669" s="75">
        <f>AI669*(1-PARAM!$C$27)*$I$11+(MOD($B669,60)=PARAM!$B$56)*($B669&gt;(60-PARAM!$B$56))*HLOOKUP(($B669+PARAM!$B$56)/12,Loyalty,2)*$F$1*MAX(AL668,0)</f>
        <v>18.557001321003963</v>
      </c>
      <c r="AK669" s="75">
        <f>PARAM!$C$26+MAX($G$11-CHOOSE(PARAM!$B$44,MAX(0,AL668*$F$1),0),0)*RATES!$L645/12+$H$11*(PARAM!$D$51/12)*RATES!$N645/100</f>
        <v>427.375</v>
      </c>
      <c r="AL669" s="16">
        <f t="shared" si="464"/>
        <v>-43746.854842797758</v>
      </c>
      <c r="AM669" s="15">
        <f t="shared" si="439"/>
        <v>22.170849845882874</v>
      </c>
      <c r="AN669" s="75">
        <f>AM669*(1-PARAM!$C$27)*$I$12+(MOD($B669,60)=PARAM!$B$56)*($B669&gt;(60-PARAM!$B$56))*HLOOKUP(($B669+PARAM!$B$56)/12,Loyalty,2)*$F$1*MAX(AP668,0)</f>
        <v>18.557001321003963</v>
      </c>
      <c r="AO669" s="75">
        <f>PARAM!$C$26+MAX($G$12-CHOOSE(PARAM!$B$44,MAX(0,AP668*$F$1),0),0)*RATES!$L645/12+$H$12*(PARAM!$D$51/12)*RATES!$N645/100</f>
        <v>427.375</v>
      </c>
      <c r="AP669" s="16">
        <f t="shared" si="465"/>
        <v>-43746.854842797758</v>
      </c>
      <c r="AQ669" s="15">
        <f t="shared" si="440"/>
        <v>22.170849845882874</v>
      </c>
      <c r="AR669" s="75">
        <f>AQ669*(1-PARAM!$C$27)*$I$13+(MOD($B669,60)=PARAM!$B$56)*($B669&gt;(60-PARAM!$B$56))*HLOOKUP(($B669+PARAM!$B$56)/12,Loyalty,2)*$F$1*MAX(AT668,0)</f>
        <v>18.557001321003963</v>
      </c>
      <c r="AS669" s="75">
        <f>PARAM!$C$26+MAX($G$13-CHOOSE(PARAM!$B$44,MAX(0,AT668*$F$1),0),0)*RATES!$L645/12+$H$13*(PARAM!$D$51/12)*RATES!$N645/100</f>
        <v>427.375</v>
      </c>
      <c r="AT669" s="16">
        <f t="shared" si="466"/>
        <v>-43746.854842797758</v>
      </c>
      <c r="AU669" s="15">
        <f t="shared" si="441"/>
        <v>22.170849845882874</v>
      </c>
      <c r="AV669" s="75">
        <f>AU669*(1-PARAM!$C$27)*$I$14+(MOD($B669,60)=PARAM!$B$56)*($B669&gt;(60-PARAM!$B$56))*HLOOKUP(($B669+PARAM!$B$56)/12,Loyalty,2)*$F$1*MAX(AX668,0)</f>
        <v>18.557001321003963</v>
      </c>
      <c r="AW669" s="75">
        <f>PARAM!$C$26+MAX($G$14-CHOOSE(PARAM!$B$44,MAX(0,AX668*$F$1),0),0)*RATES!$L645/12+$H$14*(PARAM!$D$51/12)*RATES!$N645/100</f>
        <v>427.375</v>
      </c>
      <c r="AX669" s="16">
        <f t="shared" si="467"/>
        <v>-43746.854842797758</v>
      </c>
      <c r="AY669" s="15">
        <f t="shared" si="442"/>
        <v>22.170849845882874</v>
      </c>
      <c r="AZ669" s="75">
        <f>AY669*(1-PARAM!$C$27)*$I$15+(MOD($B669,60)=PARAM!$B$56)*($B669&gt;(60-PARAM!$B$56))*HLOOKUP(($B669+PARAM!$B$56)/12,Loyalty,2)*$F$1*MAX(BB668,0)</f>
        <v>18.557001321003963</v>
      </c>
      <c r="BA669" s="75">
        <f>PARAM!$C$26+MAX($G$15-CHOOSE(PARAM!$B$44,MAX(0,BB668*$F$1),0),0)*RATES!$L645/12+$H$15*(PARAM!$D$51/12)*RATES!$N645/100</f>
        <v>427.375</v>
      </c>
      <c r="BB669" s="16">
        <f t="shared" si="468"/>
        <v>-43746.854842797758</v>
      </c>
      <c r="BC669" s="15">
        <f t="shared" si="443"/>
        <v>22.170849845882874</v>
      </c>
      <c r="BD669" s="75">
        <f>BC669*(1-PARAM!$C$27)*$I$16+(MOD($B669,60)=PARAM!$B$56)*($B669&gt;(60-PARAM!$B$56))*HLOOKUP(($B669+PARAM!$B$56)/12,Loyalty,2)*$F$1*MAX(BF668,0)</f>
        <v>18.557001321003963</v>
      </c>
      <c r="BE669" s="75">
        <f>PARAM!$C$26+MAX($G$16-CHOOSE(PARAM!$B$44,MAX(0,BF668*$F$1),0),0)*RATES!$L645/12+$H$16*(PARAM!$D$51/12)*RATES!$N645/100</f>
        <v>427.375</v>
      </c>
      <c r="BF669" s="16">
        <f t="shared" si="469"/>
        <v>-43746.854842797758</v>
      </c>
      <c r="BG669" s="15">
        <f t="shared" si="444"/>
        <v>22.170849845882874</v>
      </c>
      <c r="BH669" s="75">
        <f>BG669*(1-PARAM!$C$27)*$I$17+(MOD($B669,60)=PARAM!$B$56)*($B669&gt;(60-PARAM!$B$56))*HLOOKUP(($B669+PARAM!$B$56)/12,Loyalty,2)*$F$1*MAX(BJ668,0)</f>
        <v>18.557001321003963</v>
      </c>
      <c r="BI669" s="75">
        <f>PARAM!$C$26+MAX($G$17-CHOOSE(PARAM!$B$44,MAX(0,BJ668*$F$1),0),0)*RATES!$L645/12+$H$17*(PARAM!$D$51/12)*RATES!$N645/100</f>
        <v>427.375</v>
      </c>
      <c r="BJ669" s="16">
        <f t="shared" si="470"/>
        <v>-43746.854842797758</v>
      </c>
      <c r="BK669" s="15">
        <f t="shared" si="445"/>
        <v>22.170849845882874</v>
      </c>
      <c r="BL669" s="75">
        <f>BK669*(1-PARAM!$C$27)*$I$18+(MOD($B669,60)=PARAM!$B$56)*($B669&gt;(60-PARAM!$B$56))*HLOOKUP(($B669+PARAM!$B$56)/12,Loyalty,2)*$F$1*MAX(BN668,0)</f>
        <v>18.557001321003963</v>
      </c>
      <c r="BM669" s="75">
        <f>PARAM!$C$26+MAX($G$18-CHOOSE(PARAM!$B$44,MAX(0,BN668*$F$1),0),0)*RATES!$L645/12+$H$18*(PARAM!$D$51/12)*RATES!$N645/100</f>
        <v>427.375</v>
      </c>
      <c r="BN669" s="16">
        <f t="shared" si="471"/>
        <v>-43746.854842797758</v>
      </c>
      <c r="BO669" s="15">
        <f t="shared" si="446"/>
        <v>22.170849845882874</v>
      </c>
      <c r="BP669" s="75">
        <f>BO669*(1-PARAM!$C$27)*$I$19+(MOD($B669,60)=PARAM!$B$56)*($B669&gt;(60-PARAM!$B$56))*HLOOKUP(($B669+PARAM!$B$56)/12,Loyalty,2)*$F$1*MAX(BR668,0)</f>
        <v>18.557001321003963</v>
      </c>
      <c r="BQ669" s="75">
        <f>PARAM!$C$26+MAX($G$19-CHOOSE(PARAM!$B$44,MAX(0,BR668*$F$1),0),0)*RATES!$L645/12+$H$19*(PARAM!$D$51/12)*RATES!$N645/100</f>
        <v>427.375</v>
      </c>
      <c r="BR669" s="16">
        <f t="shared" si="472"/>
        <v>-43746.854842797758</v>
      </c>
      <c r="BS669" s="15">
        <f t="shared" si="447"/>
        <v>22.170849845882874</v>
      </c>
      <c r="BT669" s="75">
        <f>BS669*(1-PARAM!$C$27)*$I$20+(MOD($B669,60)=PARAM!$B$56)*($B669&gt;(60-PARAM!$B$56))*HLOOKUP(($B669+PARAM!$B$56)/12,Loyalty,2)*$F$1*MAX(BV668,0)</f>
        <v>18.557001321003963</v>
      </c>
      <c r="BU669" s="75">
        <f>PARAM!$C$26+MAX($G$20-CHOOSE(PARAM!$B$44,MAX(0,BV668*$F$1),0),0)*RATES!$L645/12+$H$20*(PARAM!$D$51/12)*RATES!$N645/100</f>
        <v>427.375</v>
      </c>
      <c r="BV669" s="16">
        <f t="shared" si="473"/>
        <v>-43746.854842797758</v>
      </c>
      <c r="BW669" s="15">
        <f t="shared" si="448"/>
        <v>22.170849845882874</v>
      </c>
      <c r="BX669" s="75">
        <f>BW669*(1-PARAM!$C$27)*$I$21+(MOD($B669,60)=PARAM!$B$56)*($B669&gt;(60-PARAM!$B$56))*HLOOKUP(($B669+PARAM!$B$56)/12,Loyalty,2)*$F$1*MAX(BZ668,0)</f>
        <v>18.557001321003963</v>
      </c>
      <c r="BY669" s="75">
        <f>PARAM!$C$26+MAX($G$21-CHOOSE(PARAM!$B$44,MAX(0,BZ668*$F$1),0),0)*RATES!$L645/12+$H$21*(PARAM!$D$51/12)*RATES!$N645/100</f>
        <v>427.375</v>
      </c>
      <c r="BZ669" s="16">
        <f t="shared" si="474"/>
        <v>-43746.854842797758</v>
      </c>
      <c r="CA669" s="15">
        <f t="shared" si="449"/>
        <v>22.170849845882874</v>
      </c>
      <c r="CB669" s="75">
        <f>CA669*(1-PARAM!$C$27)*$I$22+(MOD($B669,60)=PARAM!$B$56)*($B669&gt;(60-PARAM!$B$56))*HLOOKUP(($B669+PARAM!$B$56)/12,Loyalty,2)*$F$1*MAX(CD668,0)</f>
        <v>18.557001321003963</v>
      </c>
      <c r="CC669" s="75">
        <f>PARAM!$C$26+MAX($G$22-CHOOSE(PARAM!$B$44,MAX(0,CD668*$F$1),0),0)*RATES!$L645/12+$H$22*(PARAM!$D$51/12)*RATES!$N645/100</f>
        <v>427.375</v>
      </c>
      <c r="CD669" s="16">
        <f t="shared" si="475"/>
        <v>-43746.854842797758</v>
      </c>
      <c r="CE669" s="33">
        <f>IF(0=MOD(B669,12/PARAM!$D$51),1,0)</f>
        <v>1</v>
      </c>
      <c r="CF669" s="15">
        <f t="shared" si="450"/>
        <v>0</v>
      </c>
      <c r="CG669" s="75">
        <f>CF669*(1-PARAM!$C$27)*$R$3+(MOD($B669/12,5)=0)*($B669&gt;60)*HLOOKUP($B669/12,Loyalty,2)*$F$1*MAX(CI668,0)</f>
        <v>0</v>
      </c>
      <c r="CH669" s="75">
        <f>PARAM!$C$26+MAX($P$3-CHOOSE(PARAM!$B$44,MAX(0,CI668*$F$1),0),0)*RATES!$L645/12+$Q$3*(PARAM!$D$51/12)*RATES!$N645/100</f>
        <v>427.375</v>
      </c>
      <c r="CI669" s="16">
        <f>IF(CI668&gt;0,CI668*PARAM!$C$53,CI668)+CG669-CH669</f>
        <v>-55540.875000000029</v>
      </c>
      <c r="CJ669" s="15">
        <f t="shared" si="476"/>
        <v>0</v>
      </c>
      <c r="CK669" s="75">
        <f>CJ669*(1-PARAM!$C$27)*$R$4+(MOD($B669/12,5)=0)*($B669&gt;60)*HLOOKUP($B669/12,Loyalty,2)*$F$1*MAX(CM668,0)</f>
        <v>0</v>
      </c>
      <c r="CL669" s="75">
        <f>PARAM!$C$26+MAX($P$4-CHOOSE(PARAM!$B$44,MAX(0,CM668*$F$1),0),0)*RATES!$L645/12+$Q$4*(PARAM!$D$51/12)*RATES!$N645/100</f>
        <v>427.375</v>
      </c>
      <c r="CM669" s="16">
        <f>IF(CM668&gt;0,CM668*PARAM!$C$53,CM668)+CK669-CL669</f>
        <v>-55540.875000000029</v>
      </c>
      <c r="CO669" s="176"/>
    </row>
    <row r="670" spans="1:93" x14ac:dyDescent="0.2">
      <c r="A670" t="b">
        <f t="shared" si="451"/>
        <v>0</v>
      </c>
      <c r="B670" s="33">
        <v>643</v>
      </c>
      <c r="C670" s="15">
        <f t="shared" si="452"/>
        <v>20.081305947392778</v>
      </c>
      <c r="D670" s="75">
        <f>C670*(1-PARAM!$C$27)*$I$3+(MOD($B670,60)=PARAM!$B$56)*($B670&gt;(60-PARAM!$B$56))*HLOOKUP(($B670+PARAM!$B$56)/12,Loyalty,2)*$F$1*MAX(F669,0)</f>
        <v>16.808053077967756</v>
      </c>
      <c r="E670" s="75">
        <f>PARAM!$C$26+MAX($G$3-CHOOSE(PARAM!$B$44,MAX(0,F669*$F$1),0),0)*RATES!$L646/12+$H$3*(PARAM!$D$51/12)*RATES!$N646/100</f>
        <v>427.375</v>
      </c>
      <c r="F670" s="16">
        <f t="shared" si="453"/>
        <v>-45317.097062270572</v>
      </c>
      <c r="G670" s="15">
        <f t="shared" si="454"/>
        <v>22.035289406060361</v>
      </c>
      <c r="H670" s="75">
        <f>G670*(1-PARAM!$C$27)*$I$4+(MOD($B670,60)=PARAM!$B$56)*($B670&gt;(60-PARAM!$B$56))*HLOOKUP(($B670+PARAM!$B$56)/12,Loyalty,2)*$F$1*MAX(J669,0)</f>
        <v>18.443537232872522</v>
      </c>
      <c r="I670" s="75">
        <f>PARAM!$C$26+MAX($G$4-CHOOSE(PARAM!$B$44,MAX(0,J669*$F$1),0),0)*RATES!$L646/12+$H$4*(PARAM!$D$51/12)*RATES!$N646/100</f>
        <v>427.375</v>
      </c>
      <c r="J670" s="16">
        <f t="shared" si="455"/>
        <v>-44231.647786545</v>
      </c>
      <c r="K670" s="15">
        <f t="shared" si="456"/>
        <v>22.170849845882874</v>
      </c>
      <c r="L670" s="75">
        <f>K670*(1-PARAM!$C$27)*$I$5+(MOD($B670,60)=PARAM!$B$56)*($B670&gt;(60-PARAM!$B$56))*HLOOKUP(($B670+PARAM!$B$56)/12,Loyalty,2)*$F$1*MAX(N669,0)</f>
        <v>18.557001321003963</v>
      </c>
      <c r="M670" s="75">
        <f>PARAM!$C$26+MAX($G$5-CHOOSE(PARAM!$B$44,MAX(0,N669*$F$1),0),0)*RATES!$L646/12+$H$5*(PARAM!$D$51/12)*RATES!$N646/100</f>
        <v>427.375</v>
      </c>
      <c r="N670" s="16">
        <f t="shared" si="457"/>
        <v>-44155.672841476757</v>
      </c>
      <c r="O670" s="15">
        <f t="shared" si="458"/>
        <v>22.170849845882874</v>
      </c>
      <c r="P670" s="75">
        <f>O670*(1-PARAM!$C$27)*$I$6+(MOD($B670,60)=PARAM!$B$56)*($B670&gt;(60-PARAM!$B$56))*HLOOKUP(($B670+PARAM!$B$56)/12,Loyalty,2)*$F$1*MAX(R669,0)</f>
        <v>18.557001321003963</v>
      </c>
      <c r="Q670" s="75">
        <f>PARAM!$C$26+MAX($G$6-CHOOSE(PARAM!$B$44,MAX(0,R669*$F$1),0),0)*RATES!$L646/12+$H$6*(PARAM!$D$51/12)*RATES!$N646/100</f>
        <v>427.375</v>
      </c>
      <c r="R670" s="16">
        <f t="shared" si="459"/>
        <v>-44155.672841476757</v>
      </c>
      <c r="S670" s="15">
        <f t="shared" si="434"/>
        <v>22.170849845882874</v>
      </c>
      <c r="T670" s="75">
        <f>S670*(1-PARAM!$C$27)*$I$7+(MOD($B670,60)=PARAM!$B$56)*($B670&gt;(60-PARAM!$B$56))*HLOOKUP(($B670+PARAM!$B$56)/12,Loyalty,2)*$F$1*MAX(V669,0)</f>
        <v>18.557001321003963</v>
      </c>
      <c r="U670" s="75">
        <f>PARAM!$C$26+MAX($G$7-CHOOSE(PARAM!$B$44,MAX(0,V669*$F$1),0),0)*RATES!$L646/12+$H$7*(PARAM!$D$51/12)*RATES!$N646/100</f>
        <v>427.375</v>
      </c>
      <c r="V670" s="16">
        <f t="shared" si="460"/>
        <v>-44155.672841476757</v>
      </c>
      <c r="W670" s="15">
        <f t="shared" si="435"/>
        <v>22.170849845882874</v>
      </c>
      <c r="X670" s="75">
        <f>W670*(1-PARAM!$C$27)*$I$8+(MOD($B670,60)=PARAM!$B$56)*($B670&gt;(60-PARAM!$B$56))*HLOOKUP(($B670+PARAM!$B$56)/12,Loyalty,2)*$F$1*MAX(Z669,0)</f>
        <v>18.557001321003963</v>
      </c>
      <c r="Y670" s="75">
        <f>PARAM!$C$26+MAX($G$8-CHOOSE(PARAM!$B$44,MAX(0,Z669*$F$1),0),0)*RATES!$L646/12+$H$8*(PARAM!$D$51/12)*RATES!$N646/100</f>
        <v>427.375</v>
      </c>
      <c r="Z670" s="16">
        <f t="shared" si="461"/>
        <v>-44155.672841476757</v>
      </c>
      <c r="AA670" s="15">
        <f t="shared" si="436"/>
        <v>22.170849845882874</v>
      </c>
      <c r="AB670" s="75">
        <f>AA670*(1-PARAM!$C$27)*$I$9+(MOD($B670,60)=PARAM!$B$56)*($B670&gt;(60-PARAM!$B$56))*HLOOKUP(($B670+PARAM!$B$56)/12,Loyalty,2)*$F$1*MAX(AD669,0)</f>
        <v>18.557001321003963</v>
      </c>
      <c r="AC670" s="75">
        <f>PARAM!$C$26+MAX($G$9-CHOOSE(PARAM!$B$44,MAX(0,AD669*$F$1),0),0)*RATES!$L646/12+$H$9*(PARAM!$D$51/12)*RATES!$N646/100</f>
        <v>427.375</v>
      </c>
      <c r="AD670" s="16">
        <f t="shared" si="462"/>
        <v>-44155.672841476757</v>
      </c>
      <c r="AE670" s="15">
        <f t="shared" si="437"/>
        <v>22.170849845882874</v>
      </c>
      <c r="AF670" s="75">
        <f>AE670*(1-PARAM!$C$27)*$I$10+(MOD($B670,60)=PARAM!$B$56)*($B670&gt;(60-PARAM!$B$56))*HLOOKUP(($B670+PARAM!$B$56)/12,Loyalty,2)*$F$1*MAX(AH669,0)</f>
        <v>18.557001321003963</v>
      </c>
      <c r="AG670" s="75">
        <f>PARAM!$C$26+MAX($G$10-CHOOSE(PARAM!$B$44,MAX(0,AH669*$F$1),0),0)*RATES!$L646/12+$H$10*(PARAM!$D$51/12)*RATES!$N646/100</f>
        <v>427.375</v>
      </c>
      <c r="AH670" s="16">
        <f t="shared" si="463"/>
        <v>-44155.672841476757</v>
      </c>
      <c r="AI670" s="15">
        <f t="shared" si="438"/>
        <v>22.170849845882874</v>
      </c>
      <c r="AJ670" s="75">
        <f>AI670*(1-PARAM!$C$27)*$I$11+(MOD($B670,60)=PARAM!$B$56)*($B670&gt;(60-PARAM!$B$56))*HLOOKUP(($B670+PARAM!$B$56)/12,Loyalty,2)*$F$1*MAX(AL669,0)</f>
        <v>18.557001321003963</v>
      </c>
      <c r="AK670" s="75">
        <f>PARAM!$C$26+MAX($G$11-CHOOSE(PARAM!$B$44,MAX(0,AL669*$F$1),0),0)*RATES!$L646/12+$H$11*(PARAM!$D$51/12)*RATES!$N646/100</f>
        <v>427.375</v>
      </c>
      <c r="AL670" s="16">
        <f t="shared" si="464"/>
        <v>-44155.672841476757</v>
      </c>
      <c r="AM670" s="15">
        <f t="shared" si="439"/>
        <v>22.170849845882874</v>
      </c>
      <c r="AN670" s="75">
        <f>AM670*(1-PARAM!$C$27)*$I$12+(MOD($B670,60)=PARAM!$B$56)*($B670&gt;(60-PARAM!$B$56))*HLOOKUP(($B670+PARAM!$B$56)/12,Loyalty,2)*$F$1*MAX(AP669,0)</f>
        <v>18.557001321003963</v>
      </c>
      <c r="AO670" s="75">
        <f>PARAM!$C$26+MAX($G$12-CHOOSE(PARAM!$B$44,MAX(0,AP669*$F$1),0),0)*RATES!$L646/12+$H$12*(PARAM!$D$51/12)*RATES!$N646/100</f>
        <v>427.375</v>
      </c>
      <c r="AP670" s="16">
        <f t="shared" si="465"/>
        <v>-44155.672841476757</v>
      </c>
      <c r="AQ670" s="15">
        <f t="shared" si="440"/>
        <v>22.170849845882874</v>
      </c>
      <c r="AR670" s="75">
        <f>AQ670*(1-PARAM!$C$27)*$I$13+(MOD($B670,60)=PARAM!$B$56)*($B670&gt;(60-PARAM!$B$56))*HLOOKUP(($B670+PARAM!$B$56)/12,Loyalty,2)*$F$1*MAX(AT669,0)</f>
        <v>18.557001321003963</v>
      </c>
      <c r="AS670" s="75">
        <f>PARAM!$C$26+MAX($G$13-CHOOSE(PARAM!$B$44,MAX(0,AT669*$F$1),0),0)*RATES!$L646/12+$H$13*(PARAM!$D$51/12)*RATES!$N646/100</f>
        <v>427.375</v>
      </c>
      <c r="AT670" s="16">
        <f t="shared" si="466"/>
        <v>-44155.672841476757</v>
      </c>
      <c r="AU670" s="15">
        <f t="shared" si="441"/>
        <v>22.170849845882874</v>
      </c>
      <c r="AV670" s="75">
        <f>AU670*(1-PARAM!$C$27)*$I$14+(MOD($B670,60)=PARAM!$B$56)*($B670&gt;(60-PARAM!$B$56))*HLOOKUP(($B670+PARAM!$B$56)/12,Loyalty,2)*$F$1*MAX(AX669,0)</f>
        <v>18.557001321003963</v>
      </c>
      <c r="AW670" s="75">
        <f>PARAM!$C$26+MAX($G$14-CHOOSE(PARAM!$B$44,MAX(0,AX669*$F$1),0),0)*RATES!$L646/12+$H$14*(PARAM!$D$51/12)*RATES!$N646/100</f>
        <v>427.375</v>
      </c>
      <c r="AX670" s="16">
        <f t="shared" si="467"/>
        <v>-44155.672841476757</v>
      </c>
      <c r="AY670" s="15">
        <f t="shared" si="442"/>
        <v>22.170849845882874</v>
      </c>
      <c r="AZ670" s="75">
        <f>AY670*(1-PARAM!$C$27)*$I$15+(MOD($B670,60)=PARAM!$B$56)*($B670&gt;(60-PARAM!$B$56))*HLOOKUP(($B670+PARAM!$B$56)/12,Loyalty,2)*$F$1*MAX(BB669,0)</f>
        <v>18.557001321003963</v>
      </c>
      <c r="BA670" s="75">
        <f>PARAM!$C$26+MAX($G$15-CHOOSE(PARAM!$B$44,MAX(0,BB669*$F$1),0),0)*RATES!$L646/12+$H$15*(PARAM!$D$51/12)*RATES!$N646/100</f>
        <v>427.375</v>
      </c>
      <c r="BB670" s="16">
        <f t="shared" si="468"/>
        <v>-44155.672841476757</v>
      </c>
      <c r="BC670" s="15">
        <f t="shared" si="443"/>
        <v>22.170849845882874</v>
      </c>
      <c r="BD670" s="75">
        <f>BC670*(1-PARAM!$C$27)*$I$16+(MOD($B670,60)=PARAM!$B$56)*($B670&gt;(60-PARAM!$B$56))*HLOOKUP(($B670+PARAM!$B$56)/12,Loyalty,2)*$F$1*MAX(BF669,0)</f>
        <v>18.557001321003963</v>
      </c>
      <c r="BE670" s="75">
        <f>PARAM!$C$26+MAX($G$16-CHOOSE(PARAM!$B$44,MAX(0,BF669*$F$1),0),0)*RATES!$L646/12+$H$16*(PARAM!$D$51/12)*RATES!$N646/100</f>
        <v>427.375</v>
      </c>
      <c r="BF670" s="16">
        <f t="shared" si="469"/>
        <v>-44155.672841476757</v>
      </c>
      <c r="BG670" s="15">
        <f t="shared" si="444"/>
        <v>22.170849845882874</v>
      </c>
      <c r="BH670" s="75">
        <f>BG670*(1-PARAM!$C$27)*$I$17+(MOD($B670,60)=PARAM!$B$56)*($B670&gt;(60-PARAM!$B$56))*HLOOKUP(($B670+PARAM!$B$56)/12,Loyalty,2)*$F$1*MAX(BJ669,0)</f>
        <v>18.557001321003963</v>
      </c>
      <c r="BI670" s="75">
        <f>PARAM!$C$26+MAX($G$17-CHOOSE(PARAM!$B$44,MAX(0,BJ669*$F$1),0),0)*RATES!$L646/12+$H$17*(PARAM!$D$51/12)*RATES!$N646/100</f>
        <v>427.375</v>
      </c>
      <c r="BJ670" s="16">
        <f t="shared" si="470"/>
        <v>-44155.672841476757</v>
      </c>
      <c r="BK670" s="15">
        <f t="shared" si="445"/>
        <v>22.170849845882874</v>
      </c>
      <c r="BL670" s="75">
        <f>BK670*(1-PARAM!$C$27)*$I$18+(MOD($B670,60)=PARAM!$B$56)*($B670&gt;(60-PARAM!$B$56))*HLOOKUP(($B670+PARAM!$B$56)/12,Loyalty,2)*$F$1*MAX(BN669,0)</f>
        <v>18.557001321003963</v>
      </c>
      <c r="BM670" s="75">
        <f>PARAM!$C$26+MAX($G$18-CHOOSE(PARAM!$B$44,MAX(0,BN669*$F$1),0),0)*RATES!$L646/12+$H$18*(PARAM!$D$51/12)*RATES!$N646/100</f>
        <v>427.375</v>
      </c>
      <c r="BN670" s="16">
        <f t="shared" si="471"/>
        <v>-44155.672841476757</v>
      </c>
      <c r="BO670" s="15">
        <f t="shared" si="446"/>
        <v>22.170849845882874</v>
      </c>
      <c r="BP670" s="75">
        <f>BO670*(1-PARAM!$C$27)*$I$19+(MOD($B670,60)=PARAM!$B$56)*($B670&gt;(60-PARAM!$B$56))*HLOOKUP(($B670+PARAM!$B$56)/12,Loyalty,2)*$F$1*MAX(BR669,0)</f>
        <v>18.557001321003963</v>
      </c>
      <c r="BQ670" s="75">
        <f>PARAM!$C$26+MAX($G$19-CHOOSE(PARAM!$B$44,MAX(0,BR669*$F$1),0),0)*RATES!$L646/12+$H$19*(PARAM!$D$51/12)*RATES!$N646/100</f>
        <v>427.375</v>
      </c>
      <c r="BR670" s="16">
        <f t="shared" si="472"/>
        <v>-44155.672841476757</v>
      </c>
      <c r="BS670" s="15">
        <f t="shared" si="447"/>
        <v>22.170849845882874</v>
      </c>
      <c r="BT670" s="75">
        <f>BS670*(1-PARAM!$C$27)*$I$20+(MOD($B670,60)=PARAM!$B$56)*($B670&gt;(60-PARAM!$B$56))*HLOOKUP(($B670+PARAM!$B$56)/12,Loyalty,2)*$F$1*MAX(BV669,0)</f>
        <v>18.557001321003963</v>
      </c>
      <c r="BU670" s="75">
        <f>PARAM!$C$26+MAX($G$20-CHOOSE(PARAM!$B$44,MAX(0,BV669*$F$1),0),0)*RATES!$L646/12+$H$20*(PARAM!$D$51/12)*RATES!$N646/100</f>
        <v>427.375</v>
      </c>
      <c r="BV670" s="16">
        <f t="shared" si="473"/>
        <v>-44155.672841476757</v>
      </c>
      <c r="BW670" s="15">
        <f t="shared" si="448"/>
        <v>22.170849845882874</v>
      </c>
      <c r="BX670" s="75">
        <f>BW670*(1-PARAM!$C$27)*$I$21+(MOD($B670,60)=PARAM!$B$56)*($B670&gt;(60-PARAM!$B$56))*HLOOKUP(($B670+PARAM!$B$56)/12,Loyalty,2)*$F$1*MAX(BZ669,0)</f>
        <v>18.557001321003963</v>
      </c>
      <c r="BY670" s="75">
        <f>PARAM!$C$26+MAX($G$21-CHOOSE(PARAM!$B$44,MAX(0,BZ669*$F$1),0),0)*RATES!$L646/12+$H$21*(PARAM!$D$51/12)*RATES!$N646/100</f>
        <v>427.375</v>
      </c>
      <c r="BZ670" s="16">
        <f t="shared" si="474"/>
        <v>-44155.672841476757</v>
      </c>
      <c r="CA670" s="15">
        <f t="shared" si="449"/>
        <v>22.170849845882874</v>
      </c>
      <c r="CB670" s="75">
        <f>CA670*(1-PARAM!$C$27)*$I$22+(MOD($B670,60)=PARAM!$B$56)*($B670&gt;(60-PARAM!$B$56))*HLOOKUP(($B670+PARAM!$B$56)/12,Loyalty,2)*$F$1*MAX(CD669,0)</f>
        <v>18.557001321003963</v>
      </c>
      <c r="CC670" s="75">
        <f>PARAM!$C$26+MAX($G$22-CHOOSE(PARAM!$B$44,MAX(0,CD669*$F$1),0),0)*RATES!$L646/12+$H$22*(PARAM!$D$51/12)*RATES!$N646/100</f>
        <v>427.375</v>
      </c>
      <c r="CD670" s="16">
        <f t="shared" si="475"/>
        <v>-44155.672841476757</v>
      </c>
      <c r="CE670" s="33">
        <f>IF(0=MOD(B670,12/PARAM!$D$51),1,0)</f>
        <v>1</v>
      </c>
      <c r="CF670" s="15">
        <f t="shared" si="450"/>
        <v>0</v>
      </c>
      <c r="CG670" s="75">
        <f>CF670*(1-PARAM!$C$27)*$R$3+(MOD($B670/12,5)=0)*($B670&gt;60)*HLOOKUP($B670/12,Loyalty,2)*$F$1*MAX(CI669,0)</f>
        <v>0</v>
      </c>
      <c r="CH670" s="75">
        <f>PARAM!$C$26+MAX($P$3-CHOOSE(PARAM!$B$44,MAX(0,CI669*$F$1),0),0)*RATES!$L646/12+$Q$3*(PARAM!$D$51/12)*RATES!$N646/100</f>
        <v>427.375</v>
      </c>
      <c r="CI670" s="16">
        <f>IF(CI669&gt;0,CI669*PARAM!$C$53,CI669)+CG670-CH670</f>
        <v>-55968.250000000029</v>
      </c>
      <c r="CJ670" s="15">
        <f t="shared" si="476"/>
        <v>0</v>
      </c>
      <c r="CK670" s="75">
        <f>CJ670*(1-PARAM!$C$27)*$R$4+(MOD($B670/12,5)=0)*($B670&gt;60)*HLOOKUP($B670/12,Loyalty,2)*$F$1*MAX(CM669,0)</f>
        <v>0</v>
      </c>
      <c r="CL670" s="75">
        <f>PARAM!$C$26+MAX($P$4-CHOOSE(PARAM!$B$44,MAX(0,CM669*$F$1),0),0)*RATES!$L646/12+$Q$4*(PARAM!$D$51/12)*RATES!$N646/100</f>
        <v>427.375</v>
      </c>
      <c r="CM670" s="16">
        <f>IF(CM669&gt;0,CM669*PARAM!$C$53,CM669)+CK670-CL670</f>
        <v>-55968.250000000029</v>
      </c>
      <c r="CO670" s="176"/>
    </row>
    <row r="671" spans="1:93" x14ac:dyDescent="0.2">
      <c r="A671" t="b">
        <f t="shared" si="451"/>
        <v>0</v>
      </c>
      <c r="B671" s="33">
        <v>644</v>
      </c>
      <c r="C671" s="15">
        <f t="shared" si="452"/>
        <v>20.081305947392778</v>
      </c>
      <c r="D671" s="75">
        <f>C671*(1-PARAM!$C$27)*$I$3+(MOD($B671,60)=PARAM!$B$56)*($B671&gt;(60-PARAM!$B$56))*HLOOKUP(($B671+PARAM!$B$56)/12,Loyalty,2)*$F$1*MAX(F670,0)</f>
        <v>16.808053077967756</v>
      </c>
      <c r="E671" s="75">
        <f>PARAM!$C$26+MAX($G$3-CHOOSE(PARAM!$B$44,MAX(0,F670*$F$1),0),0)*RATES!$L647/12+$H$3*(PARAM!$D$51/12)*RATES!$N647/100</f>
        <v>427.375</v>
      </c>
      <c r="F671" s="16">
        <f t="shared" si="453"/>
        <v>-45727.664009192602</v>
      </c>
      <c r="G671" s="15">
        <f t="shared" si="454"/>
        <v>22.035289406060361</v>
      </c>
      <c r="H671" s="75">
        <f>G671*(1-PARAM!$C$27)*$I$4+(MOD($B671,60)=PARAM!$B$56)*($B671&gt;(60-PARAM!$B$56))*HLOOKUP(($B671+PARAM!$B$56)/12,Loyalty,2)*$F$1*MAX(J670,0)</f>
        <v>18.443537232872522</v>
      </c>
      <c r="I671" s="75">
        <f>PARAM!$C$26+MAX($G$4-CHOOSE(PARAM!$B$44,MAX(0,J670*$F$1),0),0)*RATES!$L647/12+$H$4*(PARAM!$D$51/12)*RATES!$N647/100</f>
        <v>427.375</v>
      </c>
      <c r="J671" s="16">
        <f t="shared" si="455"/>
        <v>-44640.579249312126</v>
      </c>
      <c r="K671" s="15">
        <f t="shared" si="456"/>
        <v>22.170849845882874</v>
      </c>
      <c r="L671" s="75">
        <f>K671*(1-PARAM!$C$27)*$I$5+(MOD($B671,60)=PARAM!$B$56)*($B671&gt;(60-PARAM!$B$56))*HLOOKUP(($B671+PARAM!$B$56)/12,Loyalty,2)*$F$1*MAX(N670,0)</f>
        <v>18.557001321003963</v>
      </c>
      <c r="M671" s="75">
        <f>PARAM!$C$26+MAX($G$5-CHOOSE(PARAM!$B$44,MAX(0,N670*$F$1),0),0)*RATES!$L647/12+$H$5*(PARAM!$D$51/12)*RATES!$N647/100</f>
        <v>427.375</v>
      </c>
      <c r="N671" s="16">
        <f t="shared" si="457"/>
        <v>-44564.490840155755</v>
      </c>
      <c r="O671" s="15">
        <f t="shared" si="458"/>
        <v>22.170849845882874</v>
      </c>
      <c r="P671" s="75">
        <f>O671*(1-PARAM!$C$27)*$I$6+(MOD($B671,60)=PARAM!$B$56)*($B671&gt;(60-PARAM!$B$56))*HLOOKUP(($B671+PARAM!$B$56)/12,Loyalty,2)*$F$1*MAX(R670,0)</f>
        <v>18.557001321003963</v>
      </c>
      <c r="Q671" s="75">
        <f>PARAM!$C$26+MAX($G$6-CHOOSE(PARAM!$B$44,MAX(0,R670*$F$1),0),0)*RATES!$L647/12+$H$6*(PARAM!$D$51/12)*RATES!$N647/100</f>
        <v>427.375</v>
      </c>
      <c r="R671" s="16">
        <f t="shared" si="459"/>
        <v>-44564.490840155755</v>
      </c>
      <c r="S671" s="15">
        <f t="shared" si="434"/>
        <v>22.170849845882874</v>
      </c>
      <c r="T671" s="75">
        <f>S671*(1-PARAM!$C$27)*$I$7+(MOD($B671,60)=PARAM!$B$56)*($B671&gt;(60-PARAM!$B$56))*HLOOKUP(($B671+PARAM!$B$56)/12,Loyalty,2)*$F$1*MAX(V670,0)</f>
        <v>18.557001321003963</v>
      </c>
      <c r="U671" s="75">
        <f>PARAM!$C$26+MAX($G$7-CHOOSE(PARAM!$B$44,MAX(0,V670*$F$1),0),0)*RATES!$L647/12+$H$7*(PARAM!$D$51/12)*RATES!$N647/100</f>
        <v>427.375</v>
      </c>
      <c r="V671" s="16">
        <f t="shared" si="460"/>
        <v>-44564.490840155755</v>
      </c>
      <c r="W671" s="15">
        <f t="shared" si="435"/>
        <v>22.170849845882874</v>
      </c>
      <c r="X671" s="75">
        <f>W671*(1-PARAM!$C$27)*$I$8+(MOD($B671,60)=PARAM!$B$56)*($B671&gt;(60-PARAM!$B$56))*HLOOKUP(($B671+PARAM!$B$56)/12,Loyalty,2)*$F$1*MAX(Z670,0)</f>
        <v>18.557001321003963</v>
      </c>
      <c r="Y671" s="75">
        <f>PARAM!$C$26+MAX($G$8-CHOOSE(PARAM!$B$44,MAX(0,Z670*$F$1),0),0)*RATES!$L647/12+$H$8*(PARAM!$D$51/12)*RATES!$N647/100</f>
        <v>427.375</v>
      </c>
      <c r="Z671" s="16">
        <f t="shared" si="461"/>
        <v>-44564.490840155755</v>
      </c>
      <c r="AA671" s="15">
        <f t="shared" si="436"/>
        <v>22.170849845882874</v>
      </c>
      <c r="AB671" s="75">
        <f>AA671*(1-PARAM!$C$27)*$I$9+(MOD($B671,60)=PARAM!$B$56)*($B671&gt;(60-PARAM!$B$56))*HLOOKUP(($B671+PARAM!$B$56)/12,Loyalty,2)*$F$1*MAX(AD670,0)</f>
        <v>18.557001321003963</v>
      </c>
      <c r="AC671" s="75">
        <f>PARAM!$C$26+MAX($G$9-CHOOSE(PARAM!$B$44,MAX(0,AD670*$F$1),0),0)*RATES!$L647/12+$H$9*(PARAM!$D$51/12)*RATES!$N647/100</f>
        <v>427.375</v>
      </c>
      <c r="AD671" s="16">
        <f t="shared" si="462"/>
        <v>-44564.490840155755</v>
      </c>
      <c r="AE671" s="15">
        <f t="shared" si="437"/>
        <v>22.170849845882874</v>
      </c>
      <c r="AF671" s="75">
        <f>AE671*(1-PARAM!$C$27)*$I$10+(MOD($B671,60)=PARAM!$B$56)*($B671&gt;(60-PARAM!$B$56))*HLOOKUP(($B671+PARAM!$B$56)/12,Loyalty,2)*$F$1*MAX(AH670,0)</f>
        <v>18.557001321003963</v>
      </c>
      <c r="AG671" s="75">
        <f>PARAM!$C$26+MAX($G$10-CHOOSE(PARAM!$B$44,MAX(0,AH670*$F$1),0),0)*RATES!$L647/12+$H$10*(PARAM!$D$51/12)*RATES!$N647/100</f>
        <v>427.375</v>
      </c>
      <c r="AH671" s="16">
        <f t="shared" si="463"/>
        <v>-44564.490840155755</v>
      </c>
      <c r="AI671" s="15">
        <f t="shared" si="438"/>
        <v>22.170849845882874</v>
      </c>
      <c r="AJ671" s="75">
        <f>AI671*(1-PARAM!$C$27)*$I$11+(MOD($B671,60)=PARAM!$B$56)*($B671&gt;(60-PARAM!$B$56))*HLOOKUP(($B671+PARAM!$B$56)/12,Loyalty,2)*$F$1*MAX(AL670,0)</f>
        <v>18.557001321003963</v>
      </c>
      <c r="AK671" s="75">
        <f>PARAM!$C$26+MAX($G$11-CHOOSE(PARAM!$B$44,MAX(0,AL670*$F$1),0),0)*RATES!$L647/12+$H$11*(PARAM!$D$51/12)*RATES!$N647/100</f>
        <v>427.375</v>
      </c>
      <c r="AL671" s="16">
        <f t="shared" si="464"/>
        <v>-44564.490840155755</v>
      </c>
      <c r="AM671" s="15">
        <f t="shared" si="439"/>
        <v>22.170849845882874</v>
      </c>
      <c r="AN671" s="75">
        <f>AM671*(1-PARAM!$C$27)*$I$12+(MOD($B671,60)=PARAM!$B$56)*($B671&gt;(60-PARAM!$B$56))*HLOOKUP(($B671+PARAM!$B$56)/12,Loyalty,2)*$F$1*MAX(AP670,0)</f>
        <v>18.557001321003963</v>
      </c>
      <c r="AO671" s="75">
        <f>PARAM!$C$26+MAX($G$12-CHOOSE(PARAM!$B$44,MAX(0,AP670*$F$1),0),0)*RATES!$L647/12+$H$12*(PARAM!$D$51/12)*RATES!$N647/100</f>
        <v>427.375</v>
      </c>
      <c r="AP671" s="16">
        <f t="shared" si="465"/>
        <v>-44564.490840155755</v>
      </c>
      <c r="AQ671" s="15">
        <f t="shared" si="440"/>
        <v>22.170849845882874</v>
      </c>
      <c r="AR671" s="75">
        <f>AQ671*(1-PARAM!$C$27)*$I$13+(MOD($B671,60)=PARAM!$B$56)*($B671&gt;(60-PARAM!$B$56))*HLOOKUP(($B671+PARAM!$B$56)/12,Loyalty,2)*$F$1*MAX(AT670,0)</f>
        <v>18.557001321003963</v>
      </c>
      <c r="AS671" s="75">
        <f>PARAM!$C$26+MAX($G$13-CHOOSE(PARAM!$B$44,MAX(0,AT670*$F$1),0),0)*RATES!$L647/12+$H$13*(PARAM!$D$51/12)*RATES!$N647/100</f>
        <v>427.375</v>
      </c>
      <c r="AT671" s="16">
        <f t="shared" si="466"/>
        <v>-44564.490840155755</v>
      </c>
      <c r="AU671" s="15">
        <f t="shared" si="441"/>
        <v>22.170849845882874</v>
      </c>
      <c r="AV671" s="75">
        <f>AU671*(1-PARAM!$C$27)*$I$14+(MOD($B671,60)=PARAM!$B$56)*($B671&gt;(60-PARAM!$B$56))*HLOOKUP(($B671+PARAM!$B$56)/12,Loyalty,2)*$F$1*MAX(AX670,0)</f>
        <v>18.557001321003963</v>
      </c>
      <c r="AW671" s="75">
        <f>PARAM!$C$26+MAX($G$14-CHOOSE(PARAM!$B$44,MAX(0,AX670*$F$1),0),0)*RATES!$L647/12+$H$14*(PARAM!$D$51/12)*RATES!$N647/100</f>
        <v>427.375</v>
      </c>
      <c r="AX671" s="16">
        <f t="shared" si="467"/>
        <v>-44564.490840155755</v>
      </c>
      <c r="AY671" s="15">
        <f t="shared" si="442"/>
        <v>22.170849845882874</v>
      </c>
      <c r="AZ671" s="75">
        <f>AY671*(1-PARAM!$C$27)*$I$15+(MOD($B671,60)=PARAM!$B$56)*($B671&gt;(60-PARAM!$B$56))*HLOOKUP(($B671+PARAM!$B$56)/12,Loyalty,2)*$F$1*MAX(BB670,0)</f>
        <v>18.557001321003963</v>
      </c>
      <c r="BA671" s="75">
        <f>PARAM!$C$26+MAX($G$15-CHOOSE(PARAM!$B$44,MAX(0,BB670*$F$1),0),0)*RATES!$L647/12+$H$15*(PARAM!$D$51/12)*RATES!$N647/100</f>
        <v>427.375</v>
      </c>
      <c r="BB671" s="16">
        <f t="shared" si="468"/>
        <v>-44564.490840155755</v>
      </c>
      <c r="BC671" s="15">
        <f t="shared" si="443"/>
        <v>22.170849845882874</v>
      </c>
      <c r="BD671" s="75">
        <f>BC671*(1-PARAM!$C$27)*$I$16+(MOD($B671,60)=PARAM!$B$56)*($B671&gt;(60-PARAM!$B$56))*HLOOKUP(($B671+PARAM!$B$56)/12,Loyalty,2)*$F$1*MAX(BF670,0)</f>
        <v>18.557001321003963</v>
      </c>
      <c r="BE671" s="75">
        <f>PARAM!$C$26+MAX($G$16-CHOOSE(PARAM!$B$44,MAX(0,BF670*$F$1),0),0)*RATES!$L647/12+$H$16*(PARAM!$D$51/12)*RATES!$N647/100</f>
        <v>427.375</v>
      </c>
      <c r="BF671" s="16">
        <f t="shared" si="469"/>
        <v>-44564.490840155755</v>
      </c>
      <c r="BG671" s="15">
        <f t="shared" si="444"/>
        <v>22.170849845882874</v>
      </c>
      <c r="BH671" s="75">
        <f>BG671*(1-PARAM!$C$27)*$I$17+(MOD($B671,60)=PARAM!$B$56)*($B671&gt;(60-PARAM!$B$56))*HLOOKUP(($B671+PARAM!$B$56)/12,Loyalty,2)*$F$1*MAX(BJ670,0)</f>
        <v>18.557001321003963</v>
      </c>
      <c r="BI671" s="75">
        <f>PARAM!$C$26+MAX($G$17-CHOOSE(PARAM!$B$44,MAX(0,BJ670*$F$1),0),0)*RATES!$L647/12+$H$17*(PARAM!$D$51/12)*RATES!$N647/100</f>
        <v>427.375</v>
      </c>
      <c r="BJ671" s="16">
        <f t="shared" si="470"/>
        <v>-44564.490840155755</v>
      </c>
      <c r="BK671" s="15">
        <f t="shared" si="445"/>
        <v>22.170849845882874</v>
      </c>
      <c r="BL671" s="75">
        <f>BK671*(1-PARAM!$C$27)*$I$18+(MOD($B671,60)=PARAM!$B$56)*($B671&gt;(60-PARAM!$B$56))*HLOOKUP(($B671+PARAM!$B$56)/12,Loyalty,2)*$F$1*MAX(BN670,0)</f>
        <v>18.557001321003963</v>
      </c>
      <c r="BM671" s="75">
        <f>PARAM!$C$26+MAX($G$18-CHOOSE(PARAM!$B$44,MAX(0,BN670*$F$1),0),0)*RATES!$L647/12+$H$18*(PARAM!$D$51/12)*RATES!$N647/100</f>
        <v>427.375</v>
      </c>
      <c r="BN671" s="16">
        <f t="shared" si="471"/>
        <v>-44564.490840155755</v>
      </c>
      <c r="BO671" s="15">
        <f t="shared" si="446"/>
        <v>22.170849845882874</v>
      </c>
      <c r="BP671" s="75">
        <f>BO671*(1-PARAM!$C$27)*$I$19+(MOD($B671,60)=PARAM!$B$56)*($B671&gt;(60-PARAM!$B$56))*HLOOKUP(($B671+PARAM!$B$56)/12,Loyalty,2)*$F$1*MAX(BR670,0)</f>
        <v>18.557001321003963</v>
      </c>
      <c r="BQ671" s="75">
        <f>PARAM!$C$26+MAX($G$19-CHOOSE(PARAM!$B$44,MAX(0,BR670*$F$1),0),0)*RATES!$L647/12+$H$19*(PARAM!$D$51/12)*RATES!$N647/100</f>
        <v>427.375</v>
      </c>
      <c r="BR671" s="16">
        <f t="shared" si="472"/>
        <v>-44564.490840155755</v>
      </c>
      <c r="BS671" s="15">
        <f t="shared" si="447"/>
        <v>22.170849845882874</v>
      </c>
      <c r="BT671" s="75">
        <f>BS671*(1-PARAM!$C$27)*$I$20+(MOD($B671,60)=PARAM!$B$56)*($B671&gt;(60-PARAM!$B$56))*HLOOKUP(($B671+PARAM!$B$56)/12,Loyalty,2)*$F$1*MAX(BV670,0)</f>
        <v>18.557001321003963</v>
      </c>
      <c r="BU671" s="75">
        <f>PARAM!$C$26+MAX($G$20-CHOOSE(PARAM!$B$44,MAX(0,BV670*$F$1),0),0)*RATES!$L647/12+$H$20*(PARAM!$D$51/12)*RATES!$N647/100</f>
        <v>427.375</v>
      </c>
      <c r="BV671" s="16">
        <f t="shared" si="473"/>
        <v>-44564.490840155755</v>
      </c>
      <c r="BW671" s="15">
        <f t="shared" si="448"/>
        <v>22.170849845882874</v>
      </c>
      <c r="BX671" s="75">
        <f>BW671*(1-PARAM!$C$27)*$I$21+(MOD($B671,60)=PARAM!$B$56)*($B671&gt;(60-PARAM!$B$56))*HLOOKUP(($B671+PARAM!$B$56)/12,Loyalty,2)*$F$1*MAX(BZ670,0)</f>
        <v>18.557001321003963</v>
      </c>
      <c r="BY671" s="75">
        <f>PARAM!$C$26+MAX($G$21-CHOOSE(PARAM!$B$44,MAX(0,BZ670*$F$1),0),0)*RATES!$L647/12+$H$21*(PARAM!$D$51/12)*RATES!$N647/100</f>
        <v>427.375</v>
      </c>
      <c r="BZ671" s="16">
        <f t="shared" si="474"/>
        <v>-44564.490840155755</v>
      </c>
      <c r="CA671" s="15">
        <f t="shared" si="449"/>
        <v>22.170849845882874</v>
      </c>
      <c r="CB671" s="75">
        <f>CA671*(1-PARAM!$C$27)*$I$22+(MOD($B671,60)=PARAM!$B$56)*($B671&gt;(60-PARAM!$B$56))*HLOOKUP(($B671+PARAM!$B$56)/12,Loyalty,2)*$F$1*MAX(CD670,0)</f>
        <v>18.557001321003963</v>
      </c>
      <c r="CC671" s="75">
        <f>PARAM!$C$26+MAX($G$22-CHOOSE(PARAM!$B$44,MAX(0,CD670*$F$1),0),0)*RATES!$L647/12+$H$22*(PARAM!$D$51/12)*RATES!$N647/100</f>
        <v>427.375</v>
      </c>
      <c r="CD671" s="16">
        <f t="shared" si="475"/>
        <v>-44564.490840155755</v>
      </c>
      <c r="CE671" s="33">
        <f>IF(0=MOD(B671,12/PARAM!$D$51),1,0)</f>
        <v>1</v>
      </c>
      <c r="CF671" s="15">
        <f t="shared" si="450"/>
        <v>0</v>
      </c>
      <c r="CG671" s="75">
        <f>CF671*(1-PARAM!$C$27)*$R$3+(MOD($B671/12,5)=0)*($B671&gt;60)*HLOOKUP($B671/12,Loyalty,2)*$F$1*MAX(CI670,0)</f>
        <v>0</v>
      </c>
      <c r="CH671" s="75">
        <f>PARAM!$C$26+MAX($P$3-CHOOSE(PARAM!$B$44,MAX(0,CI670*$F$1),0),0)*RATES!$L647/12+$Q$3*(PARAM!$D$51/12)*RATES!$N647/100</f>
        <v>427.375</v>
      </c>
      <c r="CI671" s="16">
        <f>IF(CI670&gt;0,CI670*PARAM!$C$53,CI670)+CG671-CH671</f>
        <v>-56395.625000000029</v>
      </c>
      <c r="CJ671" s="15">
        <f t="shared" si="476"/>
        <v>0</v>
      </c>
      <c r="CK671" s="75">
        <f>CJ671*(1-PARAM!$C$27)*$R$4+(MOD($B671/12,5)=0)*($B671&gt;60)*HLOOKUP($B671/12,Loyalty,2)*$F$1*MAX(CM670,0)</f>
        <v>0</v>
      </c>
      <c r="CL671" s="75">
        <f>PARAM!$C$26+MAX($P$4-CHOOSE(PARAM!$B$44,MAX(0,CM670*$F$1),0),0)*RATES!$L647/12+$Q$4*(PARAM!$D$51/12)*RATES!$N647/100</f>
        <v>427.375</v>
      </c>
      <c r="CM671" s="16">
        <f>IF(CM670&gt;0,CM670*PARAM!$C$53,CM670)+CK671-CL671</f>
        <v>-56395.625000000029</v>
      </c>
      <c r="CO671" s="176"/>
    </row>
    <row r="672" spans="1:93" x14ac:dyDescent="0.2">
      <c r="A672" t="b">
        <f t="shared" si="451"/>
        <v>0</v>
      </c>
      <c r="B672" s="33">
        <v>645</v>
      </c>
      <c r="C672" s="15">
        <f t="shared" si="452"/>
        <v>20.081305947392778</v>
      </c>
      <c r="D672" s="75">
        <f>C672*(1-PARAM!$C$27)*$I$3+(MOD($B672,60)=PARAM!$B$56)*($B672&gt;(60-PARAM!$B$56))*HLOOKUP(($B672+PARAM!$B$56)/12,Loyalty,2)*$F$1*MAX(F671,0)</f>
        <v>16.808053077967756</v>
      </c>
      <c r="E672" s="75">
        <f>PARAM!$C$26+MAX($G$3-CHOOSE(PARAM!$B$44,MAX(0,F671*$F$1),0),0)*RATES!$L648/12+$H$3*(PARAM!$D$51/12)*RATES!$N648/100</f>
        <v>427.375</v>
      </c>
      <c r="F672" s="16">
        <f t="shared" si="453"/>
        <v>-46138.230956114632</v>
      </c>
      <c r="G672" s="15">
        <f t="shared" si="454"/>
        <v>22.035289406060361</v>
      </c>
      <c r="H672" s="75">
        <f>G672*(1-PARAM!$C$27)*$I$4+(MOD($B672,60)=PARAM!$B$56)*($B672&gt;(60-PARAM!$B$56))*HLOOKUP(($B672+PARAM!$B$56)/12,Loyalty,2)*$F$1*MAX(J671,0)</f>
        <v>18.443537232872522</v>
      </c>
      <c r="I672" s="75">
        <f>PARAM!$C$26+MAX($G$4-CHOOSE(PARAM!$B$44,MAX(0,J671*$F$1),0),0)*RATES!$L648/12+$H$4*(PARAM!$D$51/12)*RATES!$N648/100</f>
        <v>427.375</v>
      </c>
      <c r="J672" s="16">
        <f t="shared" si="455"/>
        <v>-45049.510712079253</v>
      </c>
      <c r="K672" s="15">
        <f t="shared" si="456"/>
        <v>22.170849845882874</v>
      </c>
      <c r="L672" s="75">
        <f>K672*(1-PARAM!$C$27)*$I$5+(MOD($B672,60)=PARAM!$B$56)*($B672&gt;(60-PARAM!$B$56))*HLOOKUP(($B672+PARAM!$B$56)/12,Loyalty,2)*$F$1*MAX(N671,0)</f>
        <v>18.557001321003963</v>
      </c>
      <c r="M672" s="75">
        <f>PARAM!$C$26+MAX($G$5-CHOOSE(PARAM!$B$44,MAX(0,N671*$F$1),0),0)*RATES!$L648/12+$H$5*(PARAM!$D$51/12)*RATES!$N648/100</f>
        <v>427.375</v>
      </c>
      <c r="N672" s="16">
        <f t="shared" si="457"/>
        <v>-44973.308838834753</v>
      </c>
      <c r="O672" s="15">
        <f t="shared" si="458"/>
        <v>22.170849845882874</v>
      </c>
      <c r="P672" s="75">
        <f>O672*(1-PARAM!$C$27)*$I$6+(MOD($B672,60)=PARAM!$B$56)*($B672&gt;(60-PARAM!$B$56))*HLOOKUP(($B672+PARAM!$B$56)/12,Loyalty,2)*$F$1*MAX(R671,0)</f>
        <v>18.557001321003963</v>
      </c>
      <c r="Q672" s="75">
        <f>PARAM!$C$26+MAX($G$6-CHOOSE(PARAM!$B$44,MAX(0,R671*$F$1),0),0)*RATES!$L648/12+$H$6*(PARAM!$D$51/12)*RATES!$N648/100</f>
        <v>427.375</v>
      </c>
      <c r="R672" s="16">
        <f t="shared" si="459"/>
        <v>-44973.308838834753</v>
      </c>
      <c r="S672" s="15">
        <f t="shared" si="434"/>
        <v>22.170849845882874</v>
      </c>
      <c r="T672" s="75">
        <f>S672*(1-PARAM!$C$27)*$I$7+(MOD($B672,60)=PARAM!$B$56)*($B672&gt;(60-PARAM!$B$56))*HLOOKUP(($B672+PARAM!$B$56)/12,Loyalty,2)*$F$1*MAX(V671,0)</f>
        <v>18.557001321003963</v>
      </c>
      <c r="U672" s="75">
        <f>PARAM!$C$26+MAX($G$7-CHOOSE(PARAM!$B$44,MAX(0,V671*$F$1),0),0)*RATES!$L648/12+$H$7*(PARAM!$D$51/12)*RATES!$N648/100</f>
        <v>427.375</v>
      </c>
      <c r="V672" s="16">
        <f t="shared" si="460"/>
        <v>-44973.308838834753</v>
      </c>
      <c r="W672" s="15">
        <f t="shared" si="435"/>
        <v>22.170849845882874</v>
      </c>
      <c r="X672" s="75">
        <f>W672*(1-PARAM!$C$27)*$I$8+(MOD($B672,60)=PARAM!$B$56)*($B672&gt;(60-PARAM!$B$56))*HLOOKUP(($B672+PARAM!$B$56)/12,Loyalty,2)*$F$1*MAX(Z671,0)</f>
        <v>18.557001321003963</v>
      </c>
      <c r="Y672" s="75">
        <f>PARAM!$C$26+MAX($G$8-CHOOSE(PARAM!$B$44,MAX(0,Z671*$F$1),0),0)*RATES!$L648/12+$H$8*(PARAM!$D$51/12)*RATES!$N648/100</f>
        <v>427.375</v>
      </c>
      <c r="Z672" s="16">
        <f t="shared" si="461"/>
        <v>-44973.308838834753</v>
      </c>
      <c r="AA672" s="15">
        <f t="shared" si="436"/>
        <v>22.170849845882874</v>
      </c>
      <c r="AB672" s="75">
        <f>AA672*(1-PARAM!$C$27)*$I$9+(MOD($B672,60)=PARAM!$B$56)*($B672&gt;(60-PARAM!$B$56))*HLOOKUP(($B672+PARAM!$B$56)/12,Loyalty,2)*$F$1*MAX(AD671,0)</f>
        <v>18.557001321003963</v>
      </c>
      <c r="AC672" s="75">
        <f>PARAM!$C$26+MAX($G$9-CHOOSE(PARAM!$B$44,MAX(0,AD671*$F$1),0),0)*RATES!$L648/12+$H$9*(PARAM!$D$51/12)*RATES!$N648/100</f>
        <v>427.375</v>
      </c>
      <c r="AD672" s="16">
        <f t="shared" si="462"/>
        <v>-44973.308838834753</v>
      </c>
      <c r="AE672" s="15">
        <f t="shared" si="437"/>
        <v>22.170849845882874</v>
      </c>
      <c r="AF672" s="75">
        <f>AE672*(1-PARAM!$C$27)*$I$10+(MOD($B672,60)=PARAM!$B$56)*($B672&gt;(60-PARAM!$B$56))*HLOOKUP(($B672+PARAM!$B$56)/12,Loyalty,2)*$F$1*MAX(AH671,0)</f>
        <v>18.557001321003963</v>
      </c>
      <c r="AG672" s="75">
        <f>PARAM!$C$26+MAX($G$10-CHOOSE(PARAM!$B$44,MAX(0,AH671*$F$1),0),0)*RATES!$L648/12+$H$10*(PARAM!$D$51/12)*RATES!$N648/100</f>
        <v>427.375</v>
      </c>
      <c r="AH672" s="16">
        <f t="shared" si="463"/>
        <v>-44973.308838834753</v>
      </c>
      <c r="AI672" s="15">
        <f t="shared" si="438"/>
        <v>22.170849845882874</v>
      </c>
      <c r="AJ672" s="75">
        <f>AI672*(1-PARAM!$C$27)*$I$11+(MOD($B672,60)=PARAM!$B$56)*($B672&gt;(60-PARAM!$B$56))*HLOOKUP(($B672+PARAM!$B$56)/12,Loyalty,2)*$F$1*MAX(AL671,0)</f>
        <v>18.557001321003963</v>
      </c>
      <c r="AK672" s="75">
        <f>PARAM!$C$26+MAX($G$11-CHOOSE(PARAM!$B$44,MAX(0,AL671*$F$1),0),0)*RATES!$L648/12+$H$11*(PARAM!$D$51/12)*RATES!$N648/100</f>
        <v>427.375</v>
      </c>
      <c r="AL672" s="16">
        <f t="shared" si="464"/>
        <v>-44973.308838834753</v>
      </c>
      <c r="AM672" s="15">
        <f t="shared" si="439"/>
        <v>22.170849845882874</v>
      </c>
      <c r="AN672" s="75">
        <f>AM672*(1-PARAM!$C$27)*$I$12+(MOD($B672,60)=PARAM!$B$56)*($B672&gt;(60-PARAM!$B$56))*HLOOKUP(($B672+PARAM!$B$56)/12,Loyalty,2)*$F$1*MAX(AP671,0)</f>
        <v>18.557001321003963</v>
      </c>
      <c r="AO672" s="75">
        <f>PARAM!$C$26+MAX($G$12-CHOOSE(PARAM!$B$44,MAX(0,AP671*$F$1),0),0)*RATES!$L648/12+$H$12*(PARAM!$D$51/12)*RATES!$N648/100</f>
        <v>427.375</v>
      </c>
      <c r="AP672" s="16">
        <f t="shared" si="465"/>
        <v>-44973.308838834753</v>
      </c>
      <c r="AQ672" s="15">
        <f t="shared" si="440"/>
        <v>22.170849845882874</v>
      </c>
      <c r="AR672" s="75">
        <f>AQ672*(1-PARAM!$C$27)*$I$13+(MOD($B672,60)=PARAM!$B$56)*($B672&gt;(60-PARAM!$B$56))*HLOOKUP(($B672+PARAM!$B$56)/12,Loyalty,2)*$F$1*MAX(AT671,0)</f>
        <v>18.557001321003963</v>
      </c>
      <c r="AS672" s="75">
        <f>PARAM!$C$26+MAX($G$13-CHOOSE(PARAM!$B$44,MAX(0,AT671*$F$1),0),0)*RATES!$L648/12+$H$13*(PARAM!$D$51/12)*RATES!$N648/100</f>
        <v>427.375</v>
      </c>
      <c r="AT672" s="16">
        <f t="shared" si="466"/>
        <v>-44973.308838834753</v>
      </c>
      <c r="AU672" s="15">
        <f t="shared" si="441"/>
        <v>22.170849845882874</v>
      </c>
      <c r="AV672" s="75">
        <f>AU672*(1-PARAM!$C$27)*$I$14+(MOD($B672,60)=PARAM!$B$56)*($B672&gt;(60-PARAM!$B$56))*HLOOKUP(($B672+PARAM!$B$56)/12,Loyalty,2)*$F$1*MAX(AX671,0)</f>
        <v>18.557001321003963</v>
      </c>
      <c r="AW672" s="75">
        <f>PARAM!$C$26+MAX($G$14-CHOOSE(PARAM!$B$44,MAX(0,AX671*$F$1),0),0)*RATES!$L648/12+$H$14*(PARAM!$D$51/12)*RATES!$N648/100</f>
        <v>427.375</v>
      </c>
      <c r="AX672" s="16">
        <f t="shared" si="467"/>
        <v>-44973.308838834753</v>
      </c>
      <c r="AY672" s="15">
        <f t="shared" si="442"/>
        <v>22.170849845882874</v>
      </c>
      <c r="AZ672" s="75">
        <f>AY672*(1-PARAM!$C$27)*$I$15+(MOD($B672,60)=PARAM!$B$56)*($B672&gt;(60-PARAM!$B$56))*HLOOKUP(($B672+PARAM!$B$56)/12,Loyalty,2)*$F$1*MAX(BB671,0)</f>
        <v>18.557001321003963</v>
      </c>
      <c r="BA672" s="75">
        <f>PARAM!$C$26+MAX($G$15-CHOOSE(PARAM!$B$44,MAX(0,BB671*$F$1),0),0)*RATES!$L648/12+$H$15*(PARAM!$D$51/12)*RATES!$N648/100</f>
        <v>427.375</v>
      </c>
      <c r="BB672" s="16">
        <f t="shared" si="468"/>
        <v>-44973.308838834753</v>
      </c>
      <c r="BC672" s="15">
        <f t="shared" si="443"/>
        <v>22.170849845882874</v>
      </c>
      <c r="BD672" s="75">
        <f>BC672*(1-PARAM!$C$27)*$I$16+(MOD($B672,60)=PARAM!$B$56)*($B672&gt;(60-PARAM!$B$56))*HLOOKUP(($B672+PARAM!$B$56)/12,Loyalty,2)*$F$1*MAX(BF671,0)</f>
        <v>18.557001321003963</v>
      </c>
      <c r="BE672" s="75">
        <f>PARAM!$C$26+MAX($G$16-CHOOSE(PARAM!$B$44,MAX(0,BF671*$F$1),0),0)*RATES!$L648/12+$H$16*(PARAM!$D$51/12)*RATES!$N648/100</f>
        <v>427.375</v>
      </c>
      <c r="BF672" s="16">
        <f t="shared" si="469"/>
        <v>-44973.308838834753</v>
      </c>
      <c r="BG672" s="15">
        <f t="shared" si="444"/>
        <v>22.170849845882874</v>
      </c>
      <c r="BH672" s="75">
        <f>BG672*(1-PARAM!$C$27)*$I$17+(MOD($B672,60)=PARAM!$B$56)*($B672&gt;(60-PARAM!$B$56))*HLOOKUP(($B672+PARAM!$B$56)/12,Loyalty,2)*$F$1*MAX(BJ671,0)</f>
        <v>18.557001321003963</v>
      </c>
      <c r="BI672" s="75">
        <f>PARAM!$C$26+MAX($G$17-CHOOSE(PARAM!$B$44,MAX(0,BJ671*$F$1),0),0)*RATES!$L648/12+$H$17*(PARAM!$D$51/12)*RATES!$N648/100</f>
        <v>427.375</v>
      </c>
      <c r="BJ672" s="16">
        <f t="shared" si="470"/>
        <v>-44973.308838834753</v>
      </c>
      <c r="BK672" s="15">
        <f t="shared" si="445"/>
        <v>22.170849845882874</v>
      </c>
      <c r="BL672" s="75">
        <f>BK672*(1-PARAM!$C$27)*$I$18+(MOD($B672,60)=PARAM!$B$56)*($B672&gt;(60-PARAM!$B$56))*HLOOKUP(($B672+PARAM!$B$56)/12,Loyalty,2)*$F$1*MAX(BN671,0)</f>
        <v>18.557001321003963</v>
      </c>
      <c r="BM672" s="75">
        <f>PARAM!$C$26+MAX($G$18-CHOOSE(PARAM!$B$44,MAX(0,BN671*$F$1),0),0)*RATES!$L648/12+$H$18*(PARAM!$D$51/12)*RATES!$N648/100</f>
        <v>427.375</v>
      </c>
      <c r="BN672" s="16">
        <f t="shared" si="471"/>
        <v>-44973.308838834753</v>
      </c>
      <c r="BO672" s="15">
        <f t="shared" si="446"/>
        <v>22.170849845882874</v>
      </c>
      <c r="BP672" s="75">
        <f>BO672*(1-PARAM!$C$27)*$I$19+(MOD($B672,60)=PARAM!$B$56)*($B672&gt;(60-PARAM!$B$56))*HLOOKUP(($B672+PARAM!$B$56)/12,Loyalty,2)*$F$1*MAX(BR671,0)</f>
        <v>18.557001321003963</v>
      </c>
      <c r="BQ672" s="75">
        <f>PARAM!$C$26+MAX($G$19-CHOOSE(PARAM!$B$44,MAX(0,BR671*$F$1),0),0)*RATES!$L648/12+$H$19*(PARAM!$D$51/12)*RATES!$N648/100</f>
        <v>427.375</v>
      </c>
      <c r="BR672" s="16">
        <f t="shared" si="472"/>
        <v>-44973.308838834753</v>
      </c>
      <c r="BS672" s="15">
        <f t="shared" si="447"/>
        <v>22.170849845882874</v>
      </c>
      <c r="BT672" s="75">
        <f>BS672*(1-PARAM!$C$27)*$I$20+(MOD($B672,60)=PARAM!$B$56)*($B672&gt;(60-PARAM!$B$56))*HLOOKUP(($B672+PARAM!$B$56)/12,Loyalty,2)*$F$1*MAX(BV671,0)</f>
        <v>18.557001321003963</v>
      </c>
      <c r="BU672" s="75">
        <f>PARAM!$C$26+MAX($G$20-CHOOSE(PARAM!$B$44,MAX(0,BV671*$F$1),0),0)*RATES!$L648/12+$H$20*(PARAM!$D$51/12)*RATES!$N648/100</f>
        <v>427.375</v>
      </c>
      <c r="BV672" s="16">
        <f t="shared" si="473"/>
        <v>-44973.308838834753</v>
      </c>
      <c r="BW672" s="15">
        <f t="shared" si="448"/>
        <v>22.170849845882874</v>
      </c>
      <c r="BX672" s="75">
        <f>BW672*(1-PARAM!$C$27)*$I$21+(MOD($B672,60)=PARAM!$B$56)*($B672&gt;(60-PARAM!$B$56))*HLOOKUP(($B672+PARAM!$B$56)/12,Loyalty,2)*$F$1*MAX(BZ671,0)</f>
        <v>18.557001321003963</v>
      </c>
      <c r="BY672" s="75">
        <f>PARAM!$C$26+MAX($G$21-CHOOSE(PARAM!$B$44,MAX(0,BZ671*$F$1),0),0)*RATES!$L648/12+$H$21*(PARAM!$D$51/12)*RATES!$N648/100</f>
        <v>427.375</v>
      </c>
      <c r="BZ672" s="16">
        <f t="shared" si="474"/>
        <v>-44973.308838834753</v>
      </c>
      <c r="CA672" s="15">
        <f t="shared" si="449"/>
        <v>22.170849845882874</v>
      </c>
      <c r="CB672" s="75">
        <f>CA672*(1-PARAM!$C$27)*$I$22+(MOD($B672,60)=PARAM!$B$56)*($B672&gt;(60-PARAM!$B$56))*HLOOKUP(($B672+PARAM!$B$56)/12,Loyalty,2)*$F$1*MAX(CD671,0)</f>
        <v>18.557001321003963</v>
      </c>
      <c r="CC672" s="75">
        <f>PARAM!$C$26+MAX($G$22-CHOOSE(PARAM!$B$44,MAX(0,CD671*$F$1),0),0)*RATES!$L648/12+$H$22*(PARAM!$D$51/12)*RATES!$N648/100</f>
        <v>427.375</v>
      </c>
      <c r="CD672" s="16">
        <f t="shared" si="475"/>
        <v>-44973.308838834753</v>
      </c>
      <c r="CE672" s="33">
        <f>IF(0=MOD(B672,12/PARAM!$D$51),1,0)</f>
        <v>1</v>
      </c>
      <c r="CF672" s="15">
        <f t="shared" si="450"/>
        <v>0</v>
      </c>
      <c r="CG672" s="75">
        <f>CF672*(1-PARAM!$C$27)*$R$3+(MOD($B672/12,5)=0)*($B672&gt;60)*HLOOKUP($B672/12,Loyalty,2)*$F$1*MAX(CI671,0)</f>
        <v>0</v>
      </c>
      <c r="CH672" s="75">
        <f>PARAM!$C$26+MAX($P$3-CHOOSE(PARAM!$B$44,MAX(0,CI671*$F$1),0),0)*RATES!$L648/12+$Q$3*(PARAM!$D$51/12)*RATES!$N648/100</f>
        <v>427.375</v>
      </c>
      <c r="CI672" s="16">
        <f>IF(CI671&gt;0,CI671*PARAM!$C$53,CI671)+CG672-CH672</f>
        <v>-56823.000000000029</v>
      </c>
      <c r="CJ672" s="15">
        <f t="shared" si="476"/>
        <v>0</v>
      </c>
      <c r="CK672" s="75">
        <f>CJ672*(1-PARAM!$C$27)*$R$4+(MOD($B672/12,5)=0)*($B672&gt;60)*HLOOKUP($B672/12,Loyalty,2)*$F$1*MAX(CM671,0)</f>
        <v>0</v>
      </c>
      <c r="CL672" s="75">
        <f>PARAM!$C$26+MAX($P$4-CHOOSE(PARAM!$B$44,MAX(0,CM671*$F$1),0),0)*RATES!$L648/12+$Q$4*(PARAM!$D$51/12)*RATES!$N648/100</f>
        <v>427.375</v>
      </c>
      <c r="CM672" s="16">
        <f>IF(CM671&gt;0,CM671*PARAM!$C$53,CM671)+CK672-CL672</f>
        <v>-56823.000000000029</v>
      </c>
      <c r="CO672" s="176"/>
    </row>
    <row r="673" spans="1:93" x14ac:dyDescent="0.2">
      <c r="A673" t="b">
        <f t="shared" si="451"/>
        <v>0</v>
      </c>
      <c r="B673" s="33">
        <v>646</v>
      </c>
      <c r="C673" s="15">
        <f t="shared" si="452"/>
        <v>20.081305947392778</v>
      </c>
      <c r="D673" s="75">
        <f>C673*(1-PARAM!$C$27)*$I$3+(MOD($B673,60)=PARAM!$B$56)*($B673&gt;(60-PARAM!$B$56))*HLOOKUP(($B673+PARAM!$B$56)/12,Loyalty,2)*$F$1*MAX(F672,0)</f>
        <v>16.808053077967756</v>
      </c>
      <c r="E673" s="75">
        <f>PARAM!$C$26+MAX($G$3-CHOOSE(PARAM!$B$44,MAX(0,F672*$F$1),0),0)*RATES!$L649/12+$H$3*(PARAM!$D$51/12)*RATES!$N649/100</f>
        <v>427.375</v>
      </c>
      <c r="F673" s="16">
        <f t="shared" si="453"/>
        <v>-46548.797903036662</v>
      </c>
      <c r="G673" s="15">
        <f t="shared" si="454"/>
        <v>22.035289406060361</v>
      </c>
      <c r="H673" s="75">
        <f>G673*(1-PARAM!$C$27)*$I$4+(MOD($B673,60)=PARAM!$B$56)*($B673&gt;(60-PARAM!$B$56))*HLOOKUP(($B673+PARAM!$B$56)/12,Loyalty,2)*$F$1*MAX(J672,0)</f>
        <v>18.443537232872522</v>
      </c>
      <c r="I673" s="75">
        <f>PARAM!$C$26+MAX($G$4-CHOOSE(PARAM!$B$44,MAX(0,J672*$F$1),0),0)*RATES!$L649/12+$H$4*(PARAM!$D$51/12)*RATES!$N649/100</f>
        <v>427.375</v>
      </c>
      <c r="J673" s="16">
        <f t="shared" si="455"/>
        <v>-45458.442174846379</v>
      </c>
      <c r="K673" s="15">
        <f t="shared" si="456"/>
        <v>22.170849845882874</v>
      </c>
      <c r="L673" s="75">
        <f>K673*(1-PARAM!$C$27)*$I$5+(MOD($B673,60)=PARAM!$B$56)*($B673&gt;(60-PARAM!$B$56))*HLOOKUP(($B673+PARAM!$B$56)/12,Loyalty,2)*$F$1*MAX(N672,0)</f>
        <v>18.557001321003963</v>
      </c>
      <c r="M673" s="75">
        <f>PARAM!$C$26+MAX($G$5-CHOOSE(PARAM!$B$44,MAX(0,N672*$F$1),0),0)*RATES!$L649/12+$H$5*(PARAM!$D$51/12)*RATES!$N649/100</f>
        <v>427.375</v>
      </c>
      <c r="N673" s="16">
        <f t="shared" si="457"/>
        <v>-45382.126837513752</v>
      </c>
      <c r="O673" s="15">
        <f t="shared" si="458"/>
        <v>22.170849845882874</v>
      </c>
      <c r="P673" s="75">
        <f>O673*(1-PARAM!$C$27)*$I$6+(MOD($B673,60)=PARAM!$B$56)*($B673&gt;(60-PARAM!$B$56))*HLOOKUP(($B673+PARAM!$B$56)/12,Loyalty,2)*$F$1*MAX(R672,0)</f>
        <v>18.557001321003963</v>
      </c>
      <c r="Q673" s="75">
        <f>PARAM!$C$26+MAX($G$6-CHOOSE(PARAM!$B$44,MAX(0,R672*$F$1),0),0)*RATES!$L649/12+$H$6*(PARAM!$D$51/12)*RATES!$N649/100</f>
        <v>427.375</v>
      </c>
      <c r="R673" s="16">
        <f t="shared" si="459"/>
        <v>-45382.126837513752</v>
      </c>
      <c r="S673" s="15">
        <f t="shared" si="434"/>
        <v>22.170849845882874</v>
      </c>
      <c r="T673" s="75">
        <f>S673*(1-PARAM!$C$27)*$I$7+(MOD($B673,60)=PARAM!$B$56)*($B673&gt;(60-PARAM!$B$56))*HLOOKUP(($B673+PARAM!$B$56)/12,Loyalty,2)*$F$1*MAX(V672,0)</f>
        <v>18.557001321003963</v>
      </c>
      <c r="U673" s="75">
        <f>PARAM!$C$26+MAX($G$7-CHOOSE(PARAM!$B$44,MAX(0,V672*$F$1),0),0)*RATES!$L649/12+$H$7*(PARAM!$D$51/12)*RATES!$N649/100</f>
        <v>427.375</v>
      </c>
      <c r="V673" s="16">
        <f t="shared" si="460"/>
        <v>-45382.126837513752</v>
      </c>
      <c r="W673" s="15">
        <f t="shared" si="435"/>
        <v>22.170849845882874</v>
      </c>
      <c r="X673" s="75">
        <f>W673*(1-PARAM!$C$27)*$I$8+(MOD($B673,60)=PARAM!$B$56)*($B673&gt;(60-PARAM!$B$56))*HLOOKUP(($B673+PARAM!$B$56)/12,Loyalty,2)*$F$1*MAX(Z672,0)</f>
        <v>18.557001321003963</v>
      </c>
      <c r="Y673" s="75">
        <f>PARAM!$C$26+MAX($G$8-CHOOSE(PARAM!$B$44,MAX(0,Z672*$F$1),0),0)*RATES!$L649/12+$H$8*(PARAM!$D$51/12)*RATES!$N649/100</f>
        <v>427.375</v>
      </c>
      <c r="Z673" s="16">
        <f t="shared" si="461"/>
        <v>-45382.126837513752</v>
      </c>
      <c r="AA673" s="15">
        <f t="shared" si="436"/>
        <v>22.170849845882874</v>
      </c>
      <c r="AB673" s="75">
        <f>AA673*(1-PARAM!$C$27)*$I$9+(MOD($B673,60)=PARAM!$B$56)*($B673&gt;(60-PARAM!$B$56))*HLOOKUP(($B673+PARAM!$B$56)/12,Loyalty,2)*$F$1*MAX(AD672,0)</f>
        <v>18.557001321003963</v>
      </c>
      <c r="AC673" s="75">
        <f>PARAM!$C$26+MAX($G$9-CHOOSE(PARAM!$B$44,MAX(0,AD672*$F$1),0),0)*RATES!$L649/12+$H$9*(PARAM!$D$51/12)*RATES!$N649/100</f>
        <v>427.375</v>
      </c>
      <c r="AD673" s="16">
        <f t="shared" si="462"/>
        <v>-45382.126837513752</v>
      </c>
      <c r="AE673" s="15">
        <f t="shared" si="437"/>
        <v>22.170849845882874</v>
      </c>
      <c r="AF673" s="75">
        <f>AE673*(1-PARAM!$C$27)*$I$10+(MOD($B673,60)=PARAM!$B$56)*($B673&gt;(60-PARAM!$B$56))*HLOOKUP(($B673+PARAM!$B$56)/12,Loyalty,2)*$F$1*MAX(AH672,0)</f>
        <v>18.557001321003963</v>
      </c>
      <c r="AG673" s="75">
        <f>PARAM!$C$26+MAX($G$10-CHOOSE(PARAM!$B$44,MAX(0,AH672*$F$1),0),0)*RATES!$L649/12+$H$10*(PARAM!$D$51/12)*RATES!$N649/100</f>
        <v>427.375</v>
      </c>
      <c r="AH673" s="16">
        <f t="shared" si="463"/>
        <v>-45382.126837513752</v>
      </c>
      <c r="AI673" s="15">
        <f t="shared" si="438"/>
        <v>22.170849845882874</v>
      </c>
      <c r="AJ673" s="75">
        <f>AI673*(1-PARAM!$C$27)*$I$11+(MOD($B673,60)=PARAM!$B$56)*($B673&gt;(60-PARAM!$B$56))*HLOOKUP(($B673+PARAM!$B$56)/12,Loyalty,2)*$F$1*MAX(AL672,0)</f>
        <v>18.557001321003963</v>
      </c>
      <c r="AK673" s="75">
        <f>PARAM!$C$26+MAX($G$11-CHOOSE(PARAM!$B$44,MAX(0,AL672*$F$1),0),0)*RATES!$L649/12+$H$11*(PARAM!$D$51/12)*RATES!$N649/100</f>
        <v>427.375</v>
      </c>
      <c r="AL673" s="16">
        <f t="shared" si="464"/>
        <v>-45382.126837513752</v>
      </c>
      <c r="AM673" s="15">
        <f t="shared" si="439"/>
        <v>22.170849845882874</v>
      </c>
      <c r="AN673" s="75">
        <f>AM673*(1-PARAM!$C$27)*$I$12+(MOD($B673,60)=PARAM!$B$56)*($B673&gt;(60-PARAM!$B$56))*HLOOKUP(($B673+PARAM!$B$56)/12,Loyalty,2)*$F$1*MAX(AP672,0)</f>
        <v>18.557001321003963</v>
      </c>
      <c r="AO673" s="75">
        <f>PARAM!$C$26+MAX($G$12-CHOOSE(PARAM!$B$44,MAX(0,AP672*$F$1),0),0)*RATES!$L649/12+$H$12*(PARAM!$D$51/12)*RATES!$N649/100</f>
        <v>427.375</v>
      </c>
      <c r="AP673" s="16">
        <f t="shared" si="465"/>
        <v>-45382.126837513752</v>
      </c>
      <c r="AQ673" s="15">
        <f t="shared" si="440"/>
        <v>22.170849845882874</v>
      </c>
      <c r="AR673" s="75">
        <f>AQ673*(1-PARAM!$C$27)*$I$13+(MOD($B673,60)=PARAM!$B$56)*($B673&gt;(60-PARAM!$B$56))*HLOOKUP(($B673+PARAM!$B$56)/12,Loyalty,2)*$F$1*MAX(AT672,0)</f>
        <v>18.557001321003963</v>
      </c>
      <c r="AS673" s="75">
        <f>PARAM!$C$26+MAX($G$13-CHOOSE(PARAM!$B$44,MAX(0,AT672*$F$1),0),0)*RATES!$L649/12+$H$13*(PARAM!$D$51/12)*RATES!$N649/100</f>
        <v>427.375</v>
      </c>
      <c r="AT673" s="16">
        <f t="shared" si="466"/>
        <v>-45382.126837513752</v>
      </c>
      <c r="AU673" s="15">
        <f t="shared" si="441"/>
        <v>22.170849845882874</v>
      </c>
      <c r="AV673" s="75">
        <f>AU673*(1-PARAM!$C$27)*$I$14+(MOD($B673,60)=PARAM!$B$56)*($B673&gt;(60-PARAM!$B$56))*HLOOKUP(($B673+PARAM!$B$56)/12,Loyalty,2)*$F$1*MAX(AX672,0)</f>
        <v>18.557001321003963</v>
      </c>
      <c r="AW673" s="75">
        <f>PARAM!$C$26+MAX($G$14-CHOOSE(PARAM!$B$44,MAX(0,AX672*$F$1),0),0)*RATES!$L649/12+$H$14*(PARAM!$D$51/12)*RATES!$N649/100</f>
        <v>427.375</v>
      </c>
      <c r="AX673" s="16">
        <f t="shared" si="467"/>
        <v>-45382.126837513752</v>
      </c>
      <c r="AY673" s="15">
        <f t="shared" si="442"/>
        <v>22.170849845882874</v>
      </c>
      <c r="AZ673" s="75">
        <f>AY673*(1-PARAM!$C$27)*$I$15+(MOD($B673,60)=PARAM!$B$56)*($B673&gt;(60-PARAM!$B$56))*HLOOKUP(($B673+PARAM!$B$56)/12,Loyalty,2)*$F$1*MAX(BB672,0)</f>
        <v>18.557001321003963</v>
      </c>
      <c r="BA673" s="75">
        <f>PARAM!$C$26+MAX($G$15-CHOOSE(PARAM!$B$44,MAX(0,BB672*$F$1),0),0)*RATES!$L649/12+$H$15*(PARAM!$D$51/12)*RATES!$N649/100</f>
        <v>427.375</v>
      </c>
      <c r="BB673" s="16">
        <f t="shared" si="468"/>
        <v>-45382.126837513752</v>
      </c>
      <c r="BC673" s="15">
        <f t="shared" si="443"/>
        <v>22.170849845882874</v>
      </c>
      <c r="BD673" s="75">
        <f>BC673*(1-PARAM!$C$27)*$I$16+(MOD($B673,60)=PARAM!$B$56)*($B673&gt;(60-PARAM!$B$56))*HLOOKUP(($B673+PARAM!$B$56)/12,Loyalty,2)*$F$1*MAX(BF672,0)</f>
        <v>18.557001321003963</v>
      </c>
      <c r="BE673" s="75">
        <f>PARAM!$C$26+MAX($G$16-CHOOSE(PARAM!$B$44,MAX(0,BF672*$F$1),0),0)*RATES!$L649/12+$H$16*(PARAM!$D$51/12)*RATES!$N649/100</f>
        <v>427.375</v>
      </c>
      <c r="BF673" s="16">
        <f t="shared" si="469"/>
        <v>-45382.126837513752</v>
      </c>
      <c r="BG673" s="15">
        <f t="shared" si="444"/>
        <v>22.170849845882874</v>
      </c>
      <c r="BH673" s="75">
        <f>BG673*(1-PARAM!$C$27)*$I$17+(MOD($B673,60)=PARAM!$B$56)*($B673&gt;(60-PARAM!$B$56))*HLOOKUP(($B673+PARAM!$B$56)/12,Loyalty,2)*$F$1*MAX(BJ672,0)</f>
        <v>18.557001321003963</v>
      </c>
      <c r="BI673" s="75">
        <f>PARAM!$C$26+MAX($G$17-CHOOSE(PARAM!$B$44,MAX(0,BJ672*$F$1),0),0)*RATES!$L649/12+$H$17*(PARAM!$D$51/12)*RATES!$N649/100</f>
        <v>427.375</v>
      </c>
      <c r="BJ673" s="16">
        <f t="shared" si="470"/>
        <v>-45382.126837513752</v>
      </c>
      <c r="BK673" s="15">
        <f t="shared" si="445"/>
        <v>22.170849845882874</v>
      </c>
      <c r="BL673" s="75">
        <f>BK673*(1-PARAM!$C$27)*$I$18+(MOD($B673,60)=PARAM!$B$56)*($B673&gt;(60-PARAM!$B$56))*HLOOKUP(($B673+PARAM!$B$56)/12,Loyalty,2)*$F$1*MAX(BN672,0)</f>
        <v>18.557001321003963</v>
      </c>
      <c r="BM673" s="75">
        <f>PARAM!$C$26+MAX($G$18-CHOOSE(PARAM!$B$44,MAX(0,BN672*$F$1),0),0)*RATES!$L649/12+$H$18*(PARAM!$D$51/12)*RATES!$N649/100</f>
        <v>427.375</v>
      </c>
      <c r="BN673" s="16">
        <f t="shared" si="471"/>
        <v>-45382.126837513752</v>
      </c>
      <c r="BO673" s="15">
        <f t="shared" si="446"/>
        <v>22.170849845882874</v>
      </c>
      <c r="BP673" s="75">
        <f>BO673*(1-PARAM!$C$27)*$I$19+(MOD($B673,60)=PARAM!$B$56)*($B673&gt;(60-PARAM!$B$56))*HLOOKUP(($B673+PARAM!$B$56)/12,Loyalty,2)*$F$1*MAX(BR672,0)</f>
        <v>18.557001321003963</v>
      </c>
      <c r="BQ673" s="75">
        <f>PARAM!$C$26+MAX($G$19-CHOOSE(PARAM!$B$44,MAX(0,BR672*$F$1),0),0)*RATES!$L649/12+$H$19*(PARAM!$D$51/12)*RATES!$N649/100</f>
        <v>427.375</v>
      </c>
      <c r="BR673" s="16">
        <f t="shared" si="472"/>
        <v>-45382.126837513752</v>
      </c>
      <c r="BS673" s="15">
        <f t="shared" si="447"/>
        <v>22.170849845882874</v>
      </c>
      <c r="BT673" s="75">
        <f>BS673*(1-PARAM!$C$27)*$I$20+(MOD($B673,60)=PARAM!$B$56)*($B673&gt;(60-PARAM!$B$56))*HLOOKUP(($B673+PARAM!$B$56)/12,Loyalty,2)*$F$1*MAX(BV672,0)</f>
        <v>18.557001321003963</v>
      </c>
      <c r="BU673" s="75">
        <f>PARAM!$C$26+MAX($G$20-CHOOSE(PARAM!$B$44,MAX(0,BV672*$F$1),0),0)*RATES!$L649/12+$H$20*(PARAM!$D$51/12)*RATES!$N649/100</f>
        <v>427.375</v>
      </c>
      <c r="BV673" s="16">
        <f t="shared" si="473"/>
        <v>-45382.126837513752</v>
      </c>
      <c r="BW673" s="15">
        <f t="shared" si="448"/>
        <v>22.170849845882874</v>
      </c>
      <c r="BX673" s="75">
        <f>BW673*(1-PARAM!$C$27)*$I$21+(MOD($B673,60)=PARAM!$B$56)*($B673&gt;(60-PARAM!$B$56))*HLOOKUP(($B673+PARAM!$B$56)/12,Loyalty,2)*$F$1*MAX(BZ672,0)</f>
        <v>18.557001321003963</v>
      </c>
      <c r="BY673" s="75">
        <f>PARAM!$C$26+MAX($G$21-CHOOSE(PARAM!$B$44,MAX(0,BZ672*$F$1),0),0)*RATES!$L649/12+$H$21*(PARAM!$D$51/12)*RATES!$N649/100</f>
        <v>427.375</v>
      </c>
      <c r="BZ673" s="16">
        <f t="shared" si="474"/>
        <v>-45382.126837513752</v>
      </c>
      <c r="CA673" s="15">
        <f t="shared" si="449"/>
        <v>22.170849845882874</v>
      </c>
      <c r="CB673" s="75">
        <f>CA673*(1-PARAM!$C$27)*$I$22+(MOD($B673,60)=PARAM!$B$56)*($B673&gt;(60-PARAM!$B$56))*HLOOKUP(($B673+PARAM!$B$56)/12,Loyalty,2)*$F$1*MAX(CD672,0)</f>
        <v>18.557001321003963</v>
      </c>
      <c r="CC673" s="75">
        <f>PARAM!$C$26+MAX($G$22-CHOOSE(PARAM!$B$44,MAX(0,CD672*$F$1),0),0)*RATES!$L649/12+$H$22*(PARAM!$D$51/12)*RATES!$N649/100</f>
        <v>427.375</v>
      </c>
      <c r="CD673" s="16">
        <f t="shared" si="475"/>
        <v>-45382.126837513752</v>
      </c>
      <c r="CE673" s="33">
        <f>IF(0=MOD(B673,12/PARAM!$D$51),1,0)</f>
        <v>1</v>
      </c>
      <c r="CF673" s="15">
        <f t="shared" si="450"/>
        <v>0</v>
      </c>
      <c r="CG673" s="75">
        <f>CF673*(1-PARAM!$C$27)*$R$3+(MOD($B673/12,5)=0)*($B673&gt;60)*HLOOKUP($B673/12,Loyalty,2)*$F$1*MAX(CI672,0)</f>
        <v>0</v>
      </c>
      <c r="CH673" s="75">
        <f>PARAM!$C$26+MAX($P$3-CHOOSE(PARAM!$B$44,MAX(0,CI672*$F$1),0),0)*RATES!$L649/12+$Q$3*(PARAM!$D$51/12)*RATES!$N649/100</f>
        <v>427.375</v>
      </c>
      <c r="CI673" s="16">
        <f>IF(CI672&gt;0,CI672*PARAM!$C$53,CI672)+CG673-CH673</f>
        <v>-57250.375000000029</v>
      </c>
      <c r="CJ673" s="15">
        <f t="shared" si="476"/>
        <v>0</v>
      </c>
      <c r="CK673" s="75">
        <f>CJ673*(1-PARAM!$C$27)*$R$4+(MOD($B673/12,5)=0)*($B673&gt;60)*HLOOKUP($B673/12,Loyalty,2)*$F$1*MAX(CM672,0)</f>
        <v>0</v>
      </c>
      <c r="CL673" s="75">
        <f>PARAM!$C$26+MAX($P$4-CHOOSE(PARAM!$B$44,MAX(0,CM672*$F$1),0),0)*RATES!$L649/12+$Q$4*(PARAM!$D$51/12)*RATES!$N649/100</f>
        <v>427.375</v>
      </c>
      <c r="CM673" s="16">
        <f>IF(CM672&gt;0,CM672*PARAM!$C$53,CM672)+CK673-CL673</f>
        <v>-57250.375000000029</v>
      </c>
      <c r="CO673" s="176"/>
    </row>
    <row r="674" spans="1:93" x14ac:dyDescent="0.2">
      <c r="A674" t="b">
        <f t="shared" si="451"/>
        <v>0</v>
      </c>
      <c r="B674" s="33">
        <v>647</v>
      </c>
      <c r="C674" s="15">
        <f t="shared" si="452"/>
        <v>20.081305947392778</v>
      </c>
      <c r="D674" s="75">
        <f>C674*(1-PARAM!$C$27)*$I$3+(MOD($B674,60)=PARAM!$B$56)*($B674&gt;(60-PARAM!$B$56))*HLOOKUP(($B674+PARAM!$B$56)/12,Loyalty,2)*$F$1*MAX(F673,0)</f>
        <v>16.808053077967756</v>
      </c>
      <c r="E674" s="75">
        <f>PARAM!$C$26+MAX($G$3-CHOOSE(PARAM!$B$44,MAX(0,F673*$F$1),0),0)*RATES!$L650/12+$H$3*(PARAM!$D$51/12)*RATES!$N650/100</f>
        <v>427.375</v>
      </c>
      <c r="F674" s="16">
        <f t="shared" si="453"/>
        <v>-46959.364849958693</v>
      </c>
      <c r="G674" s="15">
        <f t="shared" si="454"/>
        <v>22.035289406060361</v>
      </c>
      <c r="H674" s="75">
        <f>G674*(1-PARAM!$C$27)*$I$4+(MOD($B674,60)=PARAM!$B$56)*($B674&gt;(60-PARAM!$B$56))*HLOOKUP(($B674+PARAM!$B$56)/12,Loyalty,2)*$F$1*MAX(J673,0)</f>
        <v>18.443537232872522</v>
      </c>
      <c r="I674" s="75">
        <f>PARAM!$C$26+MAX($G$4-CHOOSE(PARAM!$B$44,MAX(0,J673*$F$1),0),0)*RATES!$L650/12+$H$4*(PARAM!$D$51/12)*RATES!$N650/100</f>
        <v>427.375</v>
      </c>
      <c r="J674" s="16">
        <f t="shared" si="455"/>
        <v>-45867.373637613506</v>
      </c>
      <c r="K674" s="15">
        <f t="shared" si="456"/>
        <v>22.170849845882874</v>
      </c>
      <c r="L674" s="75">
        <f>K674*(1-PARAM!$C$27)*$I$5+(MOD($B674,60)=PARAM!$B$56)*($B674&gt;(60-PARAM!$B$56))*HLOOKUP(($B674+PARAM!$B$56)/12,Loyalty,2)*$F$1*MAX(N673,0)</f>
        <v>18.557001321003963</v>
      </c>
      <c r="M674" s="75">
        <f>PARAM!$C$26+MAX($G$5-CHOOSE(PARAM!$B$44,MAX(0,N673*$F$1),0),0)*RATES!$L650/12+$H$5*(PARAM!$D$51/12)*RATES!$N650/100</f>
        <v>427.375</v>
      </c>
      <c r="N674" s="16">
        <f t="shared" si="457"/>
        <v>-45790.94483619275</v>
      </c>
      <c r="O674" s="15">
        <f t="shared" si="458"/>
        <v>22.170849845882874</v>
      </c>
      <c r="P674" s="75">
        <f>O674*(1-PARAM!$C$27)*$I$6+(MOD($B674,60)=PARAM!$B$56)*($B674&gt;(60-PARAM!$B$56))*HLOOKUP(($B674+PARAM!$B$56)/12,Loyalty,2)*$F$1*MAX(R673,0)</f>
        <v>18.557001321003963</v>
      </c>
      <c r="Q674" s="75">
        <f>PARAM!$C$26+MAX($G$6-CHOOSE(PARAM!$B$44,MAX(0,R673*$F$1),0),0)*RATES!$L650/12+$H$6*(PARAM!$D$51/12)*RATES!$N650/100</f>
        <v>427.375</v>
      </c>
      <c r="R674" s="16">
        <f t="shared" si="459"/>
        <v>-45790.94483619275</v>
      </c>
      <c r="S674" s="15">
        <f t="shared" si="434"/>
        <v>22.170849845882874</v>
      </c>
      <c r="T674" s="75">
        <f>S674*(1-PARAM!$C$27)*$I$7+(MOD($B674,60)=PARAM!$B$56)*($B674&gt;(60-PARAM!$B$56))*HLOOKUP(($B674+PARAM!$B$56)/12,Loyalty,2)*$F$1*MAX(V673,0)</f>
        <v>18.557001321003963</v>
      </c>
      <c r="U674" s="75">
        <f>PARAM!$C$26+MAX($G$7-CHOOSE(PARAM!$B$44,MAX(0,V673*$F$1),0),0)*RATES!$L650/12+$H$7*(PARAM!$D$51/12)*RATES!$N650/100</f>
        <v>427.375</v>
      </c>
      <c r="V674" s="16">
        <f t="shared" si="460"/>
        <v>-45790.94483619275</v>
      </c>
      <c r="W674" s="15">
        <f t="shared" si="435"/>
        <v>22.170849845882874</v>
      </c>
      <c r="X674" s="75">
        <f>W674*(1-PARAM!$C$27)*$I$8+(MOD($B674,60)=PARAM!$B$56)*($B674&gt;(60-PARAM!$B$56))*HLOOKUP(($B674+PARAM!$B$56)/12,Loyalty,2)*$F$1*MAX(Z673,0)</f>
        <v>18.557001321003963</v>
      </c>
      <c r="Y674" s="75">
        <f>PARAM!$C$26+MAX($G$8-CHOOSE(PARAM!$B$44,MAX(0,Z673*$F$1),0),0)*RATES!$L650/12+$H$8*(PARAM!$D$51/12)*RATES!$N650/100</f>
        <v>427.375</v>
      </c>
      <c r="Z674" s="16">
        <f t="shared" si="461"/>
        <v>-45790.94483619275</v>
      </c>
      <c r="AA674" s="15">
        <f t="shared" si="436"/>
        <v>22.170849845882874</v>
      </c>
      <c r="AB674" s="75">
        <f>AA674*(1-PARAM!$C$27)*$I$9+(MOD($B674,60)=PARAM!$B$56)*($B674&gt;(60-PARAM!$B$56))*HLOOKUP(($B674+PARAM!$B$56)/12,Loyalty,2)*$F$1*MAX(AD673,0)</f>
        <v>18.557001321003963</v>
      </c>
      <c r="AC674" s="75">
        <f>PARAM!$C$26+MAX($G$9-CHOOSE(PARAM!$B$44,MAX(0,AD673*$F$1),0),0)*RATES!$L650/12+$H$9*(PARAM!$D$51/12)*RATES!$N650/100</f>
        <v>427.375</v>
      </c>
      <c r="AD674" s="16">
        <f t="shared" si="462"/>
        <v>-45790.94483619275</v>
      </c>
      <c r="AE674" s="15">
        <f t="shared" si="437"/>
        <v>22.170849845882874</v>
      </c>
      <c r="AF674" s="75">
        <f>AE674*(1-PARAM!$C$27)*$I$10+(MOD($B674,60)=PARAM!$B$56)*($B674&gt;(60-PARAM!$B$56))*HLOOKUP(($B674+PARAM!$B$56)/12,Loyalty,2)*$F$1*MAX(AH673,0)</f>
        <v>18.557001321003963</v>
      </c>
      <c r="AG674" s="75">
        <f>PARAM!$C$26+MAX($G$10-CHOOSE(PARAM!$B$44,MAX(0,AH673*$F$1),0),0)*RATES!$L650/12+$H$10*(PARAM!$D$51/12)*RATES!$N650/100</f>
        <v>427.375</v>
      </c>
      <c r="AH674" s="16">
        <f t="shared" si="463"/>
        <v>-45790.94483619275</v>
      </c>
      <c r="AI674" s="15">
        <f t="shared" si="438"/>
        <v>22.170849845882874</v>
      </c>
      <c r="AJ674" s="75">
        <f>AI674*(1-PARAM!$C$27)*$I$11+(MOD($B674,60)=PARAM!$B$56)*($B674&gt;(60-PARAM!$B$56))*HLOOKUP(($B674+PARAM!$B$56)/12,Loyalty,2)*$F$1*MAX(AL673,0)</f>
        <v>18.557001321003963</v>
      </c>
      <c r="AK674" s="75">
        <f>PARAM!$C$26+MAX($G$11-CHOOSE(PARAM!$B$44,MAX(0,AL673*$F$1),0),0)*RATES!$L650/12+$H$11*(PARAM!$D$51/12)*RATES!$N650/100</f>
        <v>427.375</v>
      </c>
      <c r="AL674" s="16">
        <f t="shared" si="464"/>
        <v>-45790.94483619275</v>
      </c>
      <c r="AM674" s="15">
        <f t="shared" si="439"/>
        <v>22.170849845882874</v>
      </c>
      <c r="AN674" s="75">
        <f>AM674*(1-PARAM!$C$27)*$I$12+(MOD($B674,60)=PARAM!$B$56)*($B674&gt;(60-PARAM!$B$56))*HLOOKUP(($B674+PARAM!$B$56)/12,Loyalty,2)*$F$1*MAX(AP673,0)</f>
        <v>18.557001321003963</v>
      </c>
      <c r="AO674" s="75">
        <f>PARAM!$C$26+MAX($G$12-CHOOSE(PARAM!$B$44,MAX(0,AP673*$F$1),0),0)*RATES!$L650/12+$H$12*(PARAM!$D$51/12)*RATES!$N650/100</f>
        <v>427.375</v>
      </c>
      <c r="AP674" s="16">
        <f t="shared" si="465"/>
        <v>-45790.94483619275</v>
      </c>
      <c r="AQ674" s="15">
        <f t="shared" si="440"/>
        <v>22.170849845882874</v>
      </c>
      <c r="AR674" s="75">
        <f>AQ674*(1-PARAM!$C$27)*$I$13+(MOD($B674,60)=PARAM!$B$56)*($B674&gt;(60-PARAM!$B$56))*HLOOKUP(($B674+PARAM!$B$56)/12,Loyalty,2)*$F$1*MAX(AT673,0)</f>
        <v>18.557001321003963</v>
      </c>
      <c r="AS674" s="75">
        <f>PARAM!$C$26+MAX($G$13-CHOOSE(PARAM!$B$44,MAX(0,AT673*$F$1),0),0)*RATES!$L650/12+$H$13*(PARAM!$D$51/12)*RATES!$N650/100</f>
        <v>427.375</v>
      </c>
      <c r="AT674" s="16">
        <f t="shared" si="466"/>
        <v>-45790.94483619275</v>
      </c>
      <c r="AU674" s="15">
        <f t="shared" si="441"/>
        <v>22.170849845882874</v>
      </c>
      <c r="AV674" s="75">
        <f>AU674*(1-PARAM!$C$27)*$I$14+(MOD($B674,60)=PARAM!$B$56)*($B674&gt;(60-PARAM!$B$56))*HLOOKUP(($B674+PARAM!$B$56)/12,Loyalty,2)*$F$1*MAX(AX673,0)</f>
        <v>18.557001321003963</v>
      </c>
      <c r="AW674" s="75">
        <f>PARAM!$C$26+MAX($G$14-CHOOSE(PARAM!$B$44,MAX(0,AX673*$F$1),0),0)*RATES!$L650/12+$H$14*(PARAM!$D$51/12)*RATES!$N650/100</f>
        <v>427.375</v>
      </c>
      <c r="AX674" s="16">
        <f t="shared" si="467"/>
        <v>-45790.94483619275</v>
      </c>
      <c r="AY674" s="15">
        <f t="shared" si="442"/>
        <v>22.170849845882874</v>
      </c>
      <c r="AZ674" s="75">
        <f>AY674*(1-PARAM!$C$27)*$I$15+(MOD($B674,60)=PARAM!$B$56)*($B674&gt;(60-PARAM!$B$56))*HLOOKUP(($B674+PARAM!$B$56)/12,Loyalty,2)*$F$1*MAX(BB673,0)</f>
        <v>18.557001321003963</v>
      </c>
      <c r="BA674" s="75">
        <f>PARAM!$C$26+MAX($G$15-CHOOSE(PARAM!$B$44,MAX(0,BB673*$F$1),0),0)*RATES!$L650/12+$H$15*(PARAM!$D$51/12)*RATES!$N650/100</f>
        <v>427.375</v>
      </c>
      <c r="BB674" s="16">
        <f t="shared" si="468"/>
        <v>-45790.94483619275</v>
      </c>
      <c r="BC674" s="15">
        <f t="shared" si="443"/>
        <v>22.170849845882874</v>
      </c>
      <c r="BD674" s="75">
        <f>BC674*(1-PARAM!$C$27)*$I$16+(MOD($B674,60)=PARAM!$B$56)*($B674&gt;(60-PARAM!$B$56))*HLOOKUP(($B674+PARAM!$B$56)/12,Loyalty,2)*$F$1*MAX(BF673,0)</f>
        <v>18.557001321003963</v>
      </c>
      <c r="BE674" s="75">
        <f>PARAM!$C$26+MAX($G$16-CHOOSE(PARAM!$B$44,MAX(0,BF673*$F$1),0),0)*RATES!$L650/12+$H$16*(PARAM!$D$51/12)*RATES!$N650/100</f>
        <v>427.375</v>
      </c>
      <c r="BF674" s="16">
        <f t="shared" si="469"/>
        <v>-45790.94483619275</v>
      </c>
      <c r="BG674" s="15">
        <f t="shared" si="444"/>
        <v>22.170849845882874</v>
      </c>
      <c r="BH674" s="75">
        <f>BG674*(1-PARAM!$C$27)*$I$17+(MOD($B674,60)=PARAM!$B$56)*($B674&gt;(60-PARAM!$B$56))*HLOOKUP(($B674+PARAM!$B$56)/12,Loyalty,2)*$F$1*MAX(BJ673,0)</f>
        <v>18.557001321003963</v>
      </c>
      <c r="BI674" s="75">
        <f>PARAM!$C$26+MAX($G$17-CHOOSE(PARAM!$B$44,MAX(0,BJ673*$F$1),0),0)*RATES!$L650/12+$H$17*(PARAM!$D$51/12)*RATES!$N650/100</f>
        <v>427.375</v>
      </c>
      <c r="BJ674" s="16">
        <f t="shared" si="470"/>
        <v>-45790.94483619275</v>
      </c>
      <c r="BK674" s="15">
        <f t="shared" si="445"/>
        <v>22.170849845882874</v>
      </c>
      <c r="BL674" s="75">
        <f>BK674*(1-PARAM!$C$27)*$I$18+(MOD($B674,60)=PARAM!$B$56)*($B674&gt;(60-PARAM!$B$56))*HLOOKUP(($B674+PARAM!$B$56)/12,Loyalty,2)*$F$1*MAX(BN673,0)</f>
        <v>18.557001321003963</v>
      </c>
      <c r="BM674" s="75">
        <f>PARAM!$C$26+MAX($G$18-CHOOSE(PARAM!$B$44,MAX(0,BN673*$F$1),0),0)*RATES!$L650/12+$H$18*(PARAM!$D$51/12)*RATES!$N650/100</f>
        <v>427.375</v>
      </c>
      <c r="BN674" s="16">
        <f t="shared" si="471"/>
        <v>-45790.94483619275</v>
      </c>
      <c r="BO674" s="15">
        <f t="shared" si="446"/>
        <v>22.170849845882874</v>
      </c>
      <c r="BP674" s="75">
        <f>BO674*(1-PARAM!$C$27)*$I$19+(MOD($B674,60)=PARAM!$B$56)*($B674&gt;(60-PARAM!$B$56))*HLOOKUP(($B674+PARAM!$B$56)/12,Loyalty,2)*$F$1*MAX(BR673,0)</f>
        <v>18.557001321003963</v>
      </c>
      <c r="BQ674" s="75">
        <f>PARAM!$C$26+MAX($G$19-CHOOSE(PARAM!$B$44,MAX(0,BR673*$F$1),0),0)*RATES!$L650/12+$H$19*(PARAM!$D$51/12)*RATES!$N650/100</f>
        <v>427.375</v>
      </c>
      <c r="BR674" s="16">
        <f t="shared" si="472"/>
        <v>-45790.94483619275</v>
      </c>
      <c r="BS674" s="15">
        <f t="shared" si="447"/>
        <v>22.170849845882874</v>
      </c>
      <c r="BT674" s="75">
        <f>BS674*(1-PARAM!$C$27)*$I$20+(MOD($B674,60)=PARAM!$B$56)*($B674&gt;(60-PARAM!$B$56))*HLOOKUP(($B674+PARAM!$B$56)/12,Loyalty,2)*$F$1*MAX(BV673,0)</f>
        <v>18.557001321003963</v>
      </c>
      <c r="BU674" s="75">
        <f>PARAM!$C$26+MAX($G$20-CHOOSE(PARAM!$B$44,MAX(0,BV673*$F$1),0),0)*RATES!$L650/12+$H$20*(PARAM!$D$51/12)*RATES!$N650/100</f>
        <v>427.375</v>
      </c>
      <c r="BV674" s="16">
        <f t="shared" si="473"/>
        <v>-45790.94483619275</v>
      </c>
      <c r="BW674" s="15">
        <f t="shared" si="448"/>
        <v>22.170849845882874</v>
      </c>
      <c r="BX674" s="75">
        <f>BW674*(1-PARAM!$C$27)*$I$21+(MOD($B674,60)=PARAM!$B$56)*($B674&gt;(60-PARAM!$B$56))*HLOOKUP(($B674+PARAM!$B$56)/12,Loyalty,2)*$F$1*MAX(BZ673,0)</f>
        <v>18.557001321003963</v>
      </c>
      <c r="BY674" s="75">
        <f>PARAM!$C$26+MAX($G$21-CHOOSE(PARAM!$B$44,MAX(0,BZ673*$F$1),0),0)*RATES!$L650/12+$H$21*(PARAM!$D$51/12)*RATES!$N650/100</f>
        <v>427.375</v>
      </c>
      <c r="BZ674" s="16">
        <f t="shared" si="474"/>
        <v>-45790.94483619275</v>
      </c>
      <c r="CA674" s="15">
        <f t="shared" si="449"/>
        <v>22.170849845882874</v>
      </c>
      <c r="CB674" s="75">
        <f>CA674*(1-PARAM!$C$27)*$I$22+(MOD($B674,60)=PARAM!$B$56)*($B674&gt;(60-PARAM!$B$56))*HLOOKUP(($B674+PARAM!$B$56)/12,Loyalty,2)*$F$1*MAX(CD673,0)</f>
        <v>18.557001321003963</v>
      </c>
      <c r="CC674" s="75">
        <f>PARAM!$C$26+MAX($G$22-CHOOSE(PARAM!$B$44,MAX(0,CD673*$F$1),0),0)*RATES!$L650/12+$H$22*(PARAM!$D$51/12)*RATES!$N650/100</f>
        <v>427.375</v>
      </c>
      <c r="CD674" s="16">
        <f t="shared" si="475"/>
        <v>-45790.94483619275</v>
      </c>
      <c r="CE674" s="33">
        <f>IF(0=MOD(B674,12/PARAM!$D$51),1,0)</f>
        <v>1</v>
      </c>
      <c r="CF674" s="15">
        <f t="shared" si="450"/>
        <v>0</v>
      </c>
      <c r="CG674" s="75">
        <f>CF674*(1-PARAM!$C$27)*$R$3+(MOD($B674/12,5)=0)*($B674&gt;60)*HLOOKUP($B674/12,Loyalty,2)*$F$1*MAX(CI673,0)</f>
        <v>0</v>
      </c>
      <c r="CH674" s="75">
        <f>PARAM!$C$26+MAX($P$3-CHOOSE(PARAM!$B$44,MAX(0,CI673*$F$1),0),0)*RATES!$L650/12+$Q$3*(PARAM!$D$51/12)*RATES!$N650/100</f>
        <v>427.375</v>
      </c>
      <c r="CI674" s="16">
        <f>IF(CI673&gt;0,CI673*PARAM!$C$53,CI673)+CG674-CH674</f>
        <v>-57677.750000000029</v>
      </c>
      <c r="CJ674" s="15">
        <f t="shared" si="476"/>
        <v>0</v>
      </c>
      <c r="CK674" s="75">
        <f>CJ674*(1-PARAM!$C$27)*$R$4+(MOD($B674/12,5)=0)*($B674&gt;60)*HLOOKUP($B674/12,Loyalty,2)*$F$1*MAX(CM673,0)</f>
        <v>0</v>
      </c>
      <c r="CL674" s="75">
        <f>PARAM!$C$26+MAX($P$4-CHOOSE(PARAM!$B$44,MAX(0,CM673*$F$1),0),0)*RATES!$L650/12+$Q$4*(PARAM!$D$51/12)*RATES!$N650/100</f>
        <v>427.375</v>
      </c>
      <c r="CM674" s="16">
        <f>IF(CM673&gt;0,CM673*PARAM!$C$53,CM673)+CK674-CL674</f>
        <v>-57677.750000000029</v>
      </c>
      <c r="CO674" s="176"/>
    </row>
    <row r="675" spans="1:93" x14ac:dyDescent="0.2">
      <c r="A675" t="b">
        <f t="shared" si="451"/>
        <v>0</v>
      </c>
      <c r="B675" s="33">
        <v>648</v>
      </c>
      <c r="C675" s="15">
        <f t="shared" si="452"/>
        <v>20.081305947392778</v>
      </c>
      <c r="D675" s="75">
        <f>C675*(1-PARAM!$C$27)*$I$3+(MOD($B675,60)=PARAM!$B$56)*($B675&gt;(60-PARAM!$B$56))*HLOOKUP(($B675+PARAM!$B$56)/12,Loyalty,2)*$F$1*MAX(F674,0)</f>
        <v>16.808053077967756</v>
      </c>
      <c r="E675" s="75">
        <f>PARAM!$C$26+MAX($G$3-CHOOSE(PARAM!$B$44,MAX(0,F674*$F$1),0),0)*RATES!$L651/12+$H$3*(PARAM!$D$51/12)*RATES!$N651/100</f>
        <v>427.375</v>
      </c>
      <c r="F675" s="16">
        <f t="shared" si="453"/>
        <v>-47369.931796880723</v>
      </c>
      <c r="G675" s="15">
        <f t="shared" si="454"/>
        <v>22.035289406060361</v>
      </c>
      <c r="H675" s="75">
        <f>G675*(1-PARAM!$C$27)*$I$4+(MOD($B675,60)=PARAM!$B$56)*($B675&gt;(60-PARAM!$B$56))*HLOOKUP(($B675+PARAM!$B$56)/12,Loyalty,2)*$F$1*MAX(J674,0)</f>
        <v>18.443537232872522</v>
      </c>
      <c r="I675" s="75">
        <f>PARAM!$C$26+MAX($G$4-CHOOSE(PARAM!$B$44,MAX(0,J674*$F$1),0),0)*RATES!$L651/12+$H$4*(PARAM!$D$51/12)*RATES!$N651/100</f>
        <v>427.375</v>
      </c>
      <c r="J675" s="16">
        <f t="shared" si="455"/>
        <v>-46276.305100380632</v>
      </c>
      <c r="K675" s="15">
        <f t="shared" si="456"/>
        <v>22.170849845882874</v>
      </c>
      <c r="L675" s="75">
        <f>K675*(1-PARAM!$C$27)*$I$5+(MOD($B675,60)=PARAM!$B$56)*($B675&gt;(60-PARAM!$B$56))*HLOOKUP(($B675+PARAM!$B$56)/12,Loyalty,2)*$F$1*MAX(N674,0)</f>
        <v>18.557001321003963</v>
      </c>
      <c r="M675" s="75">
        <f>PARAM!$C$26+MAX($G$5-CHOOSE(PARAM!$B$44,MAX(0,N674*$F$1),0),0)*RATES!$L651/12+$H$5*(PARAM!$D$51/12)*RATES!$N651/100</f>
        <v>427.375</v>
      </c>
      <c r="N675" s="16">
        <f t="shared" si="457"/>
        <v>-46199.762834871748</v>
      </c>
      <c r="O675" s="15">
        <f t="shared" si="458"/>
        <v>22.170849845882874</v>
      </c>
      <c r="P675" s="75">
        <f>O675*(1-PARAM!$C$27)*$I$6+(MOD($B675,60)=PARAM!$B$56)*($B675&gt;(60-PARAM!$B$56))*HLOOKUP(($B675+PARAM!$B$56)/12,Loyalty,2)*$F$1*MAX(R674,0)</f>
        <v>18.557001321003963</v>
      </c>
      <c r="Q675" s="75">
        <f>PARAM!$C$26+MAX($G$6-CHOOSE(PARAM!$B$44,MAX(0,R674*$F$1),0),0)*RATES!$L651/12+$H$6*(PARAM!$D$51/12)*RATES!$N651/100</f>
        <v>427.375</v>
      </c>
      <c r="R675" s="16">
        <f t="shared" si="459"/>
        <v>-46199.762834871748</v>
      </c>
      <c r="S675" s="15">
        <f t="shared" si="434"/>
        <v>22.170849845882874</v>
      </c>
      <c r="T675" s="75">
        <f>S675*(1-PARAM!$C$27)*$I$7+(MOD($B675,60)=PARAM!$B$56)*($B675&gt;(60-PARAM!$B$56))*HLOOKUP(($B675+PARAM!$B$56)/12,Loyalty,2)*$F$1*MAX(V674,0)</f>
        <v>18.557001321003963</v>
      </c>
      <c r="U675" s="75">
        <f>PARAM!$C$26+MAX($G$7-CHOOSE(PARAM!$B$44,MAX(0,V674*$F$1),0),0)*RATES!$L651/12+$H$7*(PARAM!$D$51/12)*RATES!$N651/100</f>
        <v>427.375</v>
      </c>
      <c r="V675" s="16">
        <f t="shared" si="460"/>
        <v>-46199.762834871748</v>
      </c>
      <c r="W675" s="15">
        <f t="shared" si="435"/>
        <v>22.170849845882874</v>
      </c>
      <c r="X675" s="75">
        <f>W675*(1-PARAM!$C$27)*$I$8+(MOD($B675,60)=PARAM!$B$56)*($B675&gt;(60-PARAM!$B$56))*HLOOKUP(($B675+PARAM!$B$56)/12,Loyalty,2)*$F$1*MAX(Z674,0)</f>
        <v>18.557001321003963</v>
      </c>
      <c r="Y675" s="75">
        <f>PARAM!$C$26+MAX($G$8-CHOOSE(PARAM!$B$44,MAX(0,Z674*$F$1),0),0)*RATES!$L651/12+$H$8*(PARAM!$D$51/12)*RATES!$N651/100</f>
        <v>427.375</v>
      </c>
      <c r="Z675" s="16">
        <f t="shared" si="461"/>
        <v>-46199.762834871748</v>
      </c>
      <c r="AA675" s="15">
        <f t="shared" si="436"/>
        <v>22.170849845882874</v>
      </c>
      <c r="AB675" s="75">
        <f>AA675*(1-PARAM!$C$27)*$I$9+(MOD($B675,60)=PARAM!$B$56)*($B675&gt;(60-PARAM!$B$56))*HLOOKUP(($B675+PARAM!$B$56)/12,Loyalty,2)*$F$1*MAX(AD674,0)</f>
        <v>18.557001321003963</v>
      </c>
      <c r="AC675" s="75">
        <f>PARAM!$C$26+MAX($G$9-CHOOSE(PARAM!$B$44,MAX(0,AD674*$F$1),0),0)*RATES!$L651/12+$H$9*(PARAM!$D$51/12)*RATES!$N651/100</f>
        <v>427.375</v>
      </c>
      <c r="AD675" s="16">
        <f t="shared" si="462"/>
        <v>-46199.762834871748</v>
      </c>
      <c r="AE675" s="15">
        <f t="shared" si="437"/>
        <v>22.170849845882874</v>
      </c>
      <c r="AF675" s="75">
        <f>AE675*(1-PARAM!$C$27)*$I$10+(MOD($B675,60)=PARAM!$B$56)*($B675&gt;(60-PARAM!$B$56))*HLOOKUP(($B675+PARAM!$B$56)/12,Loyalty,2)*$F$1*MAX(AH674,0)</f>
        <v>18.557001321003963</v>
      </c>
      <c r="AG675" s="75">
        <f>PARAM!$C$26+MAX($G$10-CHOOSE(PARAM!$B$44,MAX(0,AH674*$F$1),0),0)*RATES!$L651/12+$H$10*(PARAM!$D$51/12)*RATES!$N651/100</f>
        <v>427.375</v>
      </c>
      <c r="AH675" s="16">
        <f t="shared" si="463"/>
        <v>-46199.762834871748</v>
      </c>
      <c r="AI675" s="15">
        <f t="shared" si="438"/>
        <v>22.170849845882874</v>
      </c>
      <c r="AJ675" s="75">
        <f>AI675*(1-PARAM!$C$27)*$I$11+(MOD($B675,60)=PARAM!$B$56)*($B675&gt;(60-PARAM!$B$56))*HLOOKUP(($B675+PARAM!$B$56)/12,Loyalty,2)*$F$1*MAX(AL674,0)</f>
        <v>18.557001321003963</v>
      </c>
      <c r="AK675" s="75">
        <f>PARAM!$C$26+MAX($G$11-CHOOSE(PARAM!$B$44,MAX(0,AL674*$F$1),0),0)*RATES!$L651/12+$H$11*(PARAM!$D$51/12)*RATES!$N651/100</f>
        <v>427.375</v>
      </c>
      <c r="AL675" s="16">
        <f t="shared" si="464"/>
        <v>-46199.762834871748</v>
      </c>
      <c r="AM675" s="15">
        <f t="shared" si="439"/>
        <v>22.170849845882874</v>
      </c>
      <c r="AN675" s="75">
        <f>AM675*(1-PARAM!$C$27)*$I$12+(MOD($B675,60)=PARAM!$B$56)*($B675&gt;(60-PARAM!$B$56))*HLOOKUP(($B675+PARAM!$B$56)/12,Loyalty,2)*$F$1*MAX(AP674,0)</f>
        <v>18.557001321003963</v>
      </c>
      <c r="AO675" s="75">
        <f>PARAM!$C$26+MAX($G$12-CHOOSE(PARAM!$B$44,MAX(0,AP674*$F$1),0),0)*RATES!$L651/12+$H$12*(PARAM!$D$51/12)*RATES!$N651/100</f>
        <v>427.375</v>
      </c>
      <c r="AP675" s="16">
        <f t="shared" si="465"/>
        <v>-46199.762834871748</v>
      </c>
      <c r="AQ675" s="15">
        <f t="shared" si="440"/>
        <v>22.170849845882874</v>
      </c>
      <c r="AR675" s="75">
        <f>AQ675*(1-PARAM!$C$27)*$I$13+(MOD($B675,60)=PARAM!$B$56)*($B675&gt;(60-PARAM!$B$56))*HLOOKUP(($B675+PARAM!$B$56)/12,Loyalty,2)*$F$1*MAX(AT674,0)</f>
        <v>18.557001321003963</v>
      </c>
      <c r="AS675" s="75">
        <f>PARAM!$C$26+MAX($G$13-CHOOSE(PARAM!$B$44,MAX(0,AT674*$F$1),0),0)*RATES!$L651/12+$H$13*(PARAM!$D$51/12)*RATES!$N651/100</f>
        <v>427.375</v>
      </c>
      <c r="AT675" s="16">
        <f t="shared" si="466"/>
        <v>-46199.762834871748</v>
      </c>
      <c r="AU675" s="15">
        <f t="shared" si="441"/>
        <v>22.170849845882874</v>
      </c>
      <c r="AV675" s="75">
        <f>AU675*(1-PARAM!$C$27)*$I$14+(MOD($B675,60)=PARAM!$B$56)*($B675&gt;(60-PARAM!$B$56))*HLOOKUP(($B675+PARAM!$B$56)/12,Loyalty,2)*$F$1*MAX(AX674,0)</f>
        <v>18.557001321003963</v>
      </c>
      <c r="AW675" s="75">
        <f>PARAM!$C$26+MAX($G$14-CHOOSE(PARAM!$B$44,MAX(0,AX674*$F$1),0),0)*RATES!$L651/12+$H$14*(PARAM!$D$51/12)*RATES!$N651/100</f>
        <v>427.375</v>
      </c>
      <c r="AX675" s="16">
        <f t="shared" si="467"/>
        <v>-46199.762834871748</v>
      </c>
      <c r="AY675" s="15">
        <f t="shared" si="442"/>
        <v>22.170849845882874</v>
      </c>
      <c r="AZ675" s="75">
        <f>AY675*(1-PARAM!$C$27)*$I$15+(MOD($B675,60)=PARAM!$B$56)*($B675&gt;(60-PARAM!$B$56))*HLOOKUP(($B675+PARAM!$B$56)/12,Loyalty,2)*$F$1*MAX(BB674,0)</f>
        <v>18.557001321003963</v>
      </c>
      <c r="BA675" s="75">
        <f>PARAM!$C$26+MAX($G$15-CHOOSE(PARAM!$B$44,MAX(0,BB674*$F$1),0),0)*RATES!$L651/12+$H$15*(PARAM!$D$51/12)*RATES!$N651/100</f>
        <v>427.375</v>
      </c>
      <c r="BB675" s="16">
        <f t="shared" si="468"/>
        <v>-46199.762834871748</v>
      </c>
      <c r="BC675" s="15">
        <f t="shared" si="443"/>
        <v>22.170849845882874</v>
      </c>
      <c r="BD675" s="75">
        <f>BC675*(1-PARAM!$C$27)*$I$16+(MOD($B675,60)=PARAM!$B$56)*($B675&gt;(60-PARAM!$B$56))*HLOOKUP(($B675+PARAM!$B$56)/12,Loyalty,2)*$F$1*MAX(BF674,0)</f>
        <v>18.557001321003963</v>
      </c>
      <c r="BE675" s="75">
        <f>PARAM!$C$26+MAX($G$16-CHOOSE(PARAM!$B$44,MAX(0,BF674*$F$1),0),0)*RATES!$L651/12+$H$16*(PARAM!$D$51/12)*RATES!$N651/100</f>
        <v>427.375</v>
      </c>
      <c r="BF675" s="16">
        <f t="shared" si="469"/>
        <v>-46199.762834871748</v>
      </c>
      <c r="BG675" s="15">
        <f t="shared" si="444"/>
        <v>22.170849845882874</v>
      </c>
      <c r="BH675" s="75">
        <f>BG675*(1-PARAM!$C$27)*$I$17+(MOD($B675,60)=PARAM!$B$56)*($B675&gt;(60-PARAM!$B$56))*HLOOKUP(($B675+PARAM!$B$56)/12,Loyalty,2)*$F$1*MAX(BJ674,0)</f>
        <v>18.557001321003963</v>
      </c>
      <c r="BI675" s="75">
        <f>PARAM!$C$26+MAX($G$17-CHOOSE(PARAM!$B$44,MAX(0,BJ674*$F$1),0),0)*RATES!$L651/12+$H$17*(PARAM!$D$51/12)*RATES!$N651/100</f>
        <v>427.375</v>
      </c>
      <c r="BJ675" s="16">
        <f t="shared" si="470"/>
        <v>-46199.762834871748</v>
      </c>
      <c r="BK675" s="15">
        <f t="shared" si="445"/>
        <v>22.170849845882874</v>
      </c>
      <c r="BL675" s="75">
        <f>BK675*(1-PARAM!$C$27)*$I$18+(MOD($B675,60)=PARAM!$B$56)*($B675&gt;(60-PARAM!$B$56))*HLOOKUP(($B675+PARAM!$B$56)/12,Loyalty,2)*$F$1*MAX(BN674,0)</f>
        <v>18.557001321003963</v>
      </c>
      <c r="BM675" s="75">
        <f>PARAM!$C$26+MAX($G$18-CHOOSE(PARAM!$B$44,MAX(0,BN674*$F$1),0),0)*RATES!$L651/12+$H$18*(PARAM!$D$51/12)*RATES!$N651/100</f>
        <v>427.375</v>
      </c>
      <c r="BN675" s="16">
        <f t="shared" si="471"/>
        <v>-46199.762834871748</v>
      </c>
      <c r="BO675" s="15">
        <f t="shared" si="446"/>
        <v>22.170849845882874</v>
      </c>
      <c r="BP675" s="75">
        <f>BO675*(1-PARAM!$C$27)*$I$19+(MOD($B675,60)=PARAM!$B$56)*($B675&gt;(60-PARAM!$B$56))*HLOOKUP(($B675+PARAM!$B$56)/12,Loyalty,2)*$F$1*MAX(BR674,0)</f>
        <v>18.557001321003963</v>
      </c>
      <c r="BQ675" s="75">
        <f>PARAM!$C$26+MAX($G$19-CHOOSE(PARAM!$B$44,MAX(0,BR674*$F$1),0),0)*RATES!$L651/12+$H$19*(PARAM!$D$51/12)*RATES!$N651/100</f>
        <v>427.375</v>
      </c>
      <c r="BR675" s="16">
        <f t="shared" si="472"/>
        <v>-46199.762834871748</v>
      </c>
      <c r="BS675" s="15">
        <f t="shared" si="447"/>
        <v>22.170849845882874</v>
      </c>
      <c r="BT675" s="75">
        <f>BS675*(1-PARAM!$C$27)*$I$20+(MOD($B675,60)=PARAM!$B$56)*($B675&gt;(60-PARAM!$B$56))*HLOOKUP(($B675+PARAM!$B$56)/12,Loyalty,2)*$F$1*MAX(BV674,0)</f>
        <v>18.557001321003963</v>
      </c>
      <c r="BU675" s="75">
        <f>PARAM!$C$26+MAX($G$20-CHOOSE(PARAM!$B$44,MAX(0,BV674*$F$1),0),0)*RATES!$L651/12+$H$20*(PARAM!$D$51/12)*RATES!$N651/100</f>
        <v>427.375</v>
      </c>
      <c r="BV675" s="16">
        <f t="shared" si="473"/>
        <v>-46199.762834871748</v>
      </c>
      <c r="BW675" s="15">
        <f t="shared" si="448"/>
        <v>22.170849845882874</v>
      </c>
      <c r="BX675" s="75">
        <f>BW675*(1-PARAM!$C$27)*$I$21+(MOD($B675,60)=PARAM!$B$56)*($B675&gt;(60-PARAM!$B$56))*HLOOKUP(($B675+PARAM!$B$56)/12,Loyalty,2)*$F$1*MAX(BZ674,0)</f>
        <v>18.557001321003963</v>
      </c>
      <c r="BY675" s="75">
        <f>PARAM!$C$26+MAX($G$21-CHOOSE(PARAM!$B$44,MAX(0,BZ674*$F$1),0),0)*RATES!$L651/12+$H$21*(PARAM!$D$51/12)*RATES!$N651/100</f>
        <v>427.375</v>
      </c>
      <c r="BZ675" s="16">
        <f t="shared" si="474"/>
        <v>-46199.762834871748</v>
      </c>
      <c r="CA675" s="15">
        <f t="shared" si="449"/>
        <v>22.170849845882874</v>
      </c>
      <c r="CB675" s="75">
        <f>CA675*(1-PARAM!$C$27)*$I$22+(MOD($B675,60)=PARAM!$B$56)*($B675&gt;(60-PARAM!$B$56))*HLOOKUP(($B675+PARAM!$B$56)/12,Loyalty,2)*$F$1*MAX(CD674,0)</f>
        <v>18.557001321003963</v>
      </c>
      <c r="CC675" s="75">
        <f>PARAM!$C$26+MAX($G$22-CHOOSE(PARAM!$B$44,MAX(0,CD674*$F$1),0),0)*RATES!$L651/12+$H$22*(PARAM!$D$51/12)*RATES!$N651/100</f>
        <v>427.375</v>
      </c>
      <c r="CD675" s="16">
        <f t="shared" si="475"/>
        <v>-46199.762834871748</v>
      </c>
      <c r="CE675" s="33">
        <f>IF(0=MOD(B675,12/PARAM!$D$51),1,0)</f>
        <v>1</v>
      </c>
      <c r="CF675" s="15">
        <f t="shared" si="450"/>
        <v>0</v>
      </c>
      <c r="CG675" s="75">
        <f>CF675*(1-PARAM!$C$27)*$R$3+(MOD($B675/12,5)=0)*($B675&gt;60)*HLOOKUP($B675/12,Loyalty,2)*$F$1*MAX(CI674,0)</f>
        <v>0</v>
      </c>
      <c r="CH675" s="75">
        <f>PARAM!$C$26+MAX($P$3-CHOOSE(PARAM!$B$44,MAX(0,CI674*$F$1),0),0)*RATES!$L651/12+$Q$3*(PARAM!$D$51/12)*RATES!$N651/100</f>
        <v>427.375</v>
      </c>
      <c r="CI675" s="16">
        <f>IF(CI674&gt;0,CI674*PARAM!$C$53,CI674)+CG675-CH675</f>
        <v>-58105.125000000029</v>
      </c>
      <c r="CJ675" s="15">
        <f t="shared" si="476"/>
        <v>0</v>
      </c>
      <c r="CK675" s="75">
        <f>CJ675*(1-PARAM!$C$27)*$R$4+(MOD($B675/12,5)=0)*($B675&gt;60)*HLOOKUP($B675/12,Loyalty,2)*$F$1*MAX(CM674,0)</f>
        <v>0</v>
      </c>
      <c r="CL675" s="75">
        <f>PARAM!$C$26+MAX($P$4-CHOOSE(PARAM!$B$44,MAX(0,CM674*$F$1),0),0)*RATES!$L651/12+$Q$4*(PARAM!$D$51/12)*RATES!$N651/100</f>
        <v>427.375</v>
      </c>
      <c r="CM675" s="16">
        <f>IF(CM674&gt;0,CM674*PARAM!$C$53,CM674)+CK675-CL675</f>
        <v>-58105.125000000029</v>
      </c>
      <c r="CO675" s="176"/>
    </row>
    <row r="676" spans="1:93" x14ac:dyDescent="0.2">
      <c r="A676" t="b">
        <f t="shared" si="451"/>
        <v>0</v>
      </c>
      <c r="B676" s="33">
        <v>649</v>
      </c>
      <c r="C676" s="15">
        <f t="shared" si="452"/>
        <v>20.081305947392778</v>
      </c>
      <c r="D676" s="75">
        <f>C676*(1-PARAM!$C$27)*$I$3+(MOD($B676,60)=PARAM!$B$56)*($B676&gt;(60-PARAM!$B$56))*HLOOKUP(($B676+PARAM!$B$56)/12,Loyalty,2)*$F$1*MAX(F675,0)</f>
        <v>16.808053077967756</v>
      </c>
      <c r="E676" s="75">
        <f>PARAM!$C$26+MAX($G$3-CHOOSE(PARAM!$B$44,MAX(0,F675*$F$1),0),0)*RATES!$L652/12+$H$3*(PARAM!$D$51/12)*RATES!$N652/100</f>
        <v>427.375</v>
      </c>
      <c r="F676" s="16">
        <f t="shared" si="453"/>
        <v>-47780.498743802753</v>
      </c>
      <c r="G676" s="15">
        <f t="shared" si="454"/>
        <v>22.035289406060361</v>
      </c>
      <c r="H676" s="75">
        <f>G676*(1-PARAM!$C$27)*$I$4+(MOD($B676,60)=PARAM!$B$56)*($B676&gt;(60-PARAM!$B$56))*HLOOKUP(($B676+PARAM!$B$56)/12,Loyalty,2)*$F$1*MAX(J675,0)</f>
        <v>18.443537232872522</v>
      </c>
      <c r="I676" s="75">
        <f>PARAM!$C$26+MAX($G$4-CHOOSE(PARAM!$B$44,MAX(0,J675*$F$1),0),0)*RATES!$L652/12+$H$4*(PARAM!$D$51/12)*RATES!$N652/100</f>
        <v>427.375</v>
      </c>
      <c r="J676" s="16">
        <f t="shared" si="455"/>
        <v>-46685.236563147759</v>
      </c>
      <c r="K676" s="15">
        <f t="shared" si="456"/>
        <v>22.170849845882874</v>
      </c>
      <c r="L676" s="75">
        <f>K676*(1-PARAM!$C$27)*$I$5+(MOD($B676,60)=PARAM!$B$56)*($B676&gt;(60-PARAM!$B$56))*HLOOKUP(($B676+PARAM!$B$56)/12,Loyalty,2)*$F$1*MAX(N675,0)</f>
        <v>18.557001321003963</v>
      </c>
      <c r="M676" s="75">
        <f>PARAM!$C$26+MAX($G$5-CHOOSE(PARAM!$B$44,MAX(0,N675*$F$1),0),0)*RATES!$L652/12+$H$5*(PARAM!$D$51/12)*RATES!$N652/100</f>
        <v>427.375</v>
      </c>
      <c r="N676" s="16">
        <f t="shared" si="457"/>
        <v>-46608.580833550746</v>
      </c>
      <c r="O676" s="15">
        <f t="shared" si="458"/>
        <v>22.170849845882874</v>
      </c>
      <c r="P676" s="75">
        <f>O676*(1-PARAM!$C$27)*$I$6+(MOD($B676,60)=PARAM!$B$56)*($B676&gt;(60-PARAM!$B$56))*HLOOKUP(($B676+PARAM!$B$56)/12,Loyalty,2)*$F$1*MAX(R675,0)</f>
        <v>18.557001321003963</v>
      </c>
      <c r="Q676" s="75">
        <f>PARAM!$C$26+MAX($G$6-CHOOSE(PARAM!$B$44,MAX(0,R675*$F$1),0),0)*RATES!$L652/12+$H$6*(PARAM!$D$51/12)*RATES!$N652/100</f>
        <v>427.375</v>
      </c>
      <c r="R676" s="16">
        <f t="shared" si="459"/>
        <v>-46608.580833550746</v>
      </c>
      <c r="S676" s="15">
        <f t="shared" si="434"/>
        <v>22.170849845882874</v>
      </c>
      <c r="T676" s="75">
        <f>S676*(1-PARAM!$C$27)*$I$7+(MOD($B676,60)=PARAM!$B$56)*($B676&gt;(60-PARAM!$B$56))*HLOOKUP(($B676+PARAM!$B$56)/12,Loyalty,2)*$F$1*MAX(V675,0)</f>
        <v>18.557001321003963</v>
      </c>
      <c r="U676" s="75">
        <f>PARAM!$C$26+MAX($G$7-CHOOSE(PARAM!$B$44,MAX(0,V675*$F$1),0),0)*RATES!$L652/12+$H$7*(PARAM!$D$51/12)*RATES!$N652/100</f>
        <v>427.375</v>
      </c>
      <c r="V676" s="16">
        <f t="shared" si="460"/>
        <v>-46608.580833550746</v>
      </c>
      <c r="W676" s="15">
        <f t="shared" si="435"/>
        <v>22.170849845882874</v>
      </c>
      <c r="X676" s="75">
        <f>W676*(1-PARAM!$C$27)*$I$8+(MOD($B676,60)=PARAM!$B$56)*($B676&gt;(60-PARAM!$B$56))*HLOOKUP(($B676+PARAM!$B$56)/12,Loyalty,2)*$F$1*MAX(Z675,0)</f>
        <v>18.557001321003963</v>
      </c>
      <c r="Y676" s="75">
        <f>PARAM!$C$26+MAX($G$8-CHOOSE(PARAM!$B$44,MAX(0,Z675*$F$1),0),0)*RATES!$L652/12+$H$8*(PARAM!$D$51/12)*RATES!$N652/100</f>
        <v>427.375</v>
      </c>
      <c r="Z676" s="16">
        <f t="shared" si="461"/>
        <v>-46608.580833550746</v>
      </c>
      <c r="AA676" s="15">
        <f t="shared" si="436"/>
        <v>22.170849845882874</v>
      </c>
      <c r="AB676" s="75">
        <f>AA676*(1-PARAM!$C$27)*$I$9+(MOD($B676,60)=PARAM!$B$56)*($B676&gt;(60-PARAM!$B$56))*HLOOKUP(($B676+PARAM!$B$56)/12,Loyalty,2)*$F$1*MAX(AD675,0)</f>
        <v>18.557001321003963</v>
      </c>
      <c r="AC676" s="75">
        <f>PARAM!$C$26+MAX($G$9-CHOOSE(PARAM!$B$44,MAX(0,AD675*$F$1),0),0)*RATES!$L652/12+$H$9*(PARAM!$D$51/12)*RATES!$N652/100</f>
        <v>427.375</v>
      </c>
      <c r="AD676" s="16">
        <f t="shared" si="462"/>
        <v>-46608.580833550746</v>
      </c>
      <c r="AE676" s="15">
        <f t="shared" si="437"/>
        <v>22.170849845882874</v>
      </c>
      <c r="AF676" s="75">
        <f>AE676*(1-PARAM!$C$27)*$I$10+(MOD($B676,60)=PARAM!$B$56)*($B676&gt;(60-PARAM!$B$56))*HLOOKUP(($B676+PARAM!$B$56)/12,Loyalty,2)*$F$1*MAX(AH675,0)</f>
        <v>18.557001321003963</v>
      </c>
      <c r="AG676" s="75">
        <f>PARAM!$C$26+MAX($G$10-CHOOSE(PARAM!$B$44,MAX(0,AH675*$F$1),0),0)*RATES!$L652/12+$H$10*(PARAM!$D$51/12)*RATES!$N652/100</f>
        <v>427.375</v>
      </c>
      <c r="AH676" s="16">
        <f t="shared" si="463"/>
        <v>-46608.580833550746</v>
      </c>
      <c r="AI676" s="15">
        <f t="shared" si="438"/>
        <v>22.170849845882874</v>
      </c>
      <c r="AJ676" s="75">
        <f>AI676*(1-PARAM!$C$27)*$I$11+(MOD($B676,60)=PARAM!$B$56)*($B676&gt;(60-PARAM!$B$56))*HLOOKUP(($B676+PARAM!$B$56)/12,Loyalty,2)*$F$1*MAX(AL675,0)</f>
        <v>18.557001321003963</v>
      </c>
      <c r="AK676" s="75">
        <f>PARAM!$C$26+MAX($G$11-CHOOSE(PARAM!$B$44,MAX(0,AL675*$F$1),0),0)*RATES!$L652/12+$H$11*(PARAM!$D$51/12)*RATES!$N652/100</f>
        <v>427.375</v>
      </c>
      <c r="AL676" s="16">
        <f t="shared" si="464"/>
        <v>-46608.580833550746</v>
      </c>
      <c r="AM676" s="15">
        <f t="shared" si="439"/>
        <v>22.170849845882874</v>
      </c>
      <c r="AN676" s="75">
        <f>AM676*(1-PARAM!$C$27)*$I$12+(MOD($B676,60)=PARAM!$B$56)*($B676&gt;(60-PARAM!$B$56))*HLOOKUP(($B676+PARAM!$B$56)/12,Loyalty,2)*$F$1*MAX(AP675,0)</f>
        <v>18.557001321003963</v>
      </c>
      <c r="AO676" s="75">
        <f>PARAM!$C$26+MAX($G$12-CHOOSE(PARAM!$B$44,MAX(0,AP675*$F$1),0),0)*RATES!$L652/12+$H$12*(PARAM!$D$51/12)*RATES!$N652/100</f>
        <v>427.375</v>
      </c>
      <c r="AP676" s="16">
        <f t="shared" si="465"/>
        <v>-46608.580833550746</v>
      </c>
      <c r="AQ676" s="15">
        <f t="shared" si="440"/>
        <v>22.170849845882874</v>
      </c>
      <c r="AR676" s="75">
        <f>AQ676*(1-PARAM!$C$27)*$I$13+(MOD($B676,60)=PARAM!$B$56)*($B676&gt;(60-PARAM!$B$56))*HLOOKUP(($B676+PARAM!$B$56)/12,Loyalty,2)*$F$1*MAX(AT675,0)</f>
        <v>18.557001321003963</v>
      </c>
      <c r="AS676" s="75">
        <f>PARAM!$C$26+MAX($G$13-CHOOSE(PARAM!$B$44,MAX(0,AT675*$F$1),0),0)*RATES!$L652/12+$H$13*(PARAM!$D$51/12)*RATES!$N652/100</f>
        <v>427.375</v>
      </c>
      <c r="AT676" s="16">
        <f t="shared" si="466"/>
        <v>-46608.580833550746</v>
      </c>
      <c r="AU676" s="15">
        <f t="shared" si="441"/>
        <v>22.170849845882874</v>
      </c>
      <c r="AV676" s="75">
        <f>AU676*(1-PARAM!$C$27)*$I$14+(MOD($B676,60)=PARAM!$B$56)*($B676&gt;(60-PARAM!$B$56))*HLOOKUP(($B676+PARAM!$B$56)/12,Loyalty,2)*$F$1*MAX(AX675,0)</f>
        <v>18.557001321003963</v>
      </c>
      <c r="AW676" s="75">
        <f>PARAM!$C$26+MAX($G$14-CHOOSE(PARAM!$B$44,MAX(0,AX675*$F$1),0),0)*RATES!$L652/12+$H$14*(PARAM!$D$51/12)*RATES!$N652/100</f>
        <v>427.375</v>
      </c>
      <c r="AX676" s="16">
        <f t="shared" si="467"/>
        <v>-46608.580833550746</v>
      </c>
      <c r="AY676" s="15">
        <f t="shared" si="442"/>
        <v>22.170849845882874</v>
      </c>
      <c r="AZ676" s="75">
        <f>AY676*(1-PARAM!$C$27)*$I$15+(MOD($B676,60)=PARAM!$B$56)*($B676&gt;(60-PARAM!$B$56))*HLOOKUP(($B676+PARAM!$B$56)/12,Loyalty,2)*$F$1*MAX(BB675,0)</f>
        <v>18.557001321003963</v>
      </c>
      <c r="BA676" s="75">
        <f>PARAM!$C$26+MAX($G$15-CHOOSE(PARAM!$B$44,MAX(0,BB675*$F$1),0),0)*RATES!$L652/12+$H$15*(PARAM!$D$51/12)*RATES!$N652/100</f>
        <v>427.375</v>
      </c>
      <c r="BB676" s="16">
        <f t="shared" si="468"/>
        <v>-46608.580833550746</v>
      </c>
      <c r="BC676" s="15">
        <f t="shared" si="443"/>
        <v>22.170849845882874</v>
      </c>
      <c r="BD676" s="75">
        <f>BC676*(1-PARAM!$C$27)*$I$16+(MOD($B676,60)=PARAM!$B$56)*($B676&gt;(60-PARAM!$B$56))*HLOOKUP(($B676+PARAM!$B$56)/12,Loyalty,2)*$F$1*MAX(BF675,0)</f>
        <v>18.557001321003963</v>
      </c>
      <c r="BE676" s="75">
        <f>PARAM!$C$26+MAX($G$16-CHOOSE(PARAM!$B$44,MAX(0,BF675*$F$1),0),0)*RATES!$L652/12+$H$16*(PARAM!$D$51/12)*RATES!$N652/100</f>
        <v>427.375</v>
      </c>
      <c r="BF676" s="16">
        <f t="shared" si="469"/>
        <v>-46608.580833550746</v>
      </c>
      <c r="BG676" s="15">
        <f t="shared" si="444"/>
        <v>22.170849845882874</v>
      </c>
      <c r="BH676" s="75">
        <f>BG676*(1-PARAM!$C$27)*$I$17+(MOD($B676,60)=PARAM!$B$56)*($B676&gt;(60-PARAM!$B$56))*HLOOKUP(($B676+PARAM!$B$56)/12,Loyalty,2)*$F$1*MAX(BJ675,0)</f>
        <v>18.557001321003963</v>
      </c>
      <c r="BI676" s="75">
        <f>PARAM!$C$26+MAX($G$17-CHOOSE(PARAM!$B$44,MAX(0,BJ675*$F$1),0),0)*RATES!$L652/12+$H$17*(PARAM!$D$51/12)*RATES!$N652/100</f>
        <v>427.375</v>
      </c>
      <c r="BJ676" s="16">
        <f t="shared" si="470"/>
        <v>-46608.580833550746</v>
      </c>
      <c r="BK676" s="15">
        <f t="shared" si="445"/>
        <v>22.170849845882874</v>
      </c>
      <c r="BL676" s="75">
        <f>BK676*(1-PARAM!$C$27)*$I$18+(MOD($B676,60)=PARAM!$B$56)*($B676&gt;(60-PARAM!$B$56))*HLOOKUP(($B676+PARAM!$B$56)/12,Loyalty,2)*$F$1*MAX(BN675,0)</f>
        <v>18.557001321003963</v>
      </c>
      <c r="BM676" s="75">
        <f>PARAM!$C$26+MAX($G$18-CHOOSE(PARAM!$B$44,MAX(0,BN675*$F$1),0),0)*RATES!$L652/12+$H$18*(PARAM!$D$51/12)*RATES!$N652/100</f>
        <v>427.375</v>
      </c>
      <c r="BN676" s="16">
        <f t="shared" si="471"/>
        <v>-46608.580833550746</v>
      </c>
      <c r="BO676" s="15">
        <f t="shared" si="446"/>
        <v>22.170849845882874</v>
      </c>
      <c r="BP676" s="75">
        <f>BO676*(1-PARAM!$C$27)*$I$19+(MOD($B676,60)=PARAM!$B$56)*($B676&gt;(60-PARAM!$B$56))*HLOOKUP(($B676+PARAM!$B$56)/12,Loyalty,2)*$F$1*MAX(BR675,0)</f>
        <v>18.557001321003963</v>
      </c>
      <c r="BQ676" s="75">
        <f>PARAM!$C$26+MAX($G$19-CHOOSE(PARAM!$B$44,MAX(0,BR675*$F$1),0),0)*RATES!$L652/12+$H$19*(PARAM!$D$51/12)*RATES!$N652/100</f>
        <v>427.375</v>
      </c>
      <c r="BR676" s="16">
        <f t="shared" si="472"/>
        <v>-46608.580833550746</v>
      </c>
      <c r="BS676" s="15">
        <f t="shared" si="447"/>
        <v>22.170849845882874</v>
      </c>
      <c r="BT676" s="75">
        <f>BS676*(1-PARAM!$C$27)*$I$20+(MOD($B676,60)=PARAM!$B$56)*($B676&gt;(60-PARAM!$B$56))*HLOOKUP(($B676+PARAM!$B$56)/12,Loyalty,2)*$F$1*MAX(BV675,0)</f>
        <v>18.557001321003963</v>
      </c>
      <c r="BU676" s="75">
        <f>PARAM!$C$26+MAX($G$20-CHOOSE(PARAM!$B$44,MAX(0,BV675*$F$1),0),0)*RATES!$L652/12+$H$20*(PARAM!$D$51/12)*RATES!$N652/100</f>
        <v>427.375</v>
      </c>
      <c r="BV676" s="16">
        <f t="shared" si="473"/>
        <v>-46608.580833550746</v>
      </c>
      <c r="BW676" s="15">
        <f t="shared" si="448"/>
        <v>22.170849845882874</v>
      </c>
      <c r="BX676" s="75">
        <f>BW676*(1-PARAM!$C$27)*$I$21+(MOD($B676,60)=PARAM!$B$56)*($B676&gt;(60-PARAM!$B$56))*HLOOKUP(($B676+PARAM!$B$56)/12,Loyalty,2)*$F$1*MAX(BZ675,0)</f>
        <v>18.557001321003963</v>
      </c>
      <c r="BY676" s="75">
        <f>PARAM!$C$26+MAX($G$21-CHOOSE(PARAM!$B$44,MAX(0,BZ675*$F$1),0),0)*RATES!$L652/12+$H$21*(PARAM!$D$51/12)*RATES!$N652/100</f>
        <v>427.375</v>
      </c>
      <c r="BZ676" s="16">
        <f t="shared" si="474"/>
        <v>-46608.580833550746</v>
      </c>
      <c r="CA676" s="15">
        <f t="shared" si="449"/>
        <v>22.170849845882874</v>
      </c>
      <c r="CB676" s="75">
        <f>CA676*(1-PARAM!$C$27)*$I$22+(MOD($B676,60)=PARAM!$B$56)*($B676&gt;(60-PARAM!$B$56))*HLOOKUP(($B676+PARAM!$B$56)/12,Loyalty,2)*$F$1*MAX(CD675,0)</f>
        <v>18.557001321003963</v>
      </c>
      <c r="CC676" s="75">
        <f>PARAM!$C$26+MAX($G$22-CHOOSE(PARAM!$B$44,MAX(0,CD675*$F$1),0),0)*RATES!$L652/12+$H$22*(PARAM!$D$51/12)*RATES!$N652/100</f>
        <v>427.375</v>
      </c>
      <c r="CD676" s="16">
        <f t="shared" si="475"/>
        <v>-46608.580833550746</v>
      </c>
      <c r="CE676" s="33">
        <f>IF(0=MOD(B676,12/PARAM!$D$51),1,0)</f>
        <v>1</v>
      </c>
      <c r="CF676" s="15">
        <f t="shared" si="450"/>
        <v>0</v>
      </c>
      <c r="CG676" s="75">
        <f>CF676*(1-PARAM!$C$27)*$R$3+(MOD($B676/12,5)=0)*($B676&gt;60)*HLOOKUP($B676/12,Loyalty,2)*$F$1*MAX(CI675,0)</f>
        <v>0</v>
      </c>
      <c r="CH676" s="75">
        <f>PARAM!$C$26+MAX($P$3-CHOOSE(PARAM!$B$44,MAX(0,CI675*$F$1),0),0)*RATES!$L652/12+$Q$3*(PARAM!$D$51/12)*RATES!$N652/100</f>
        <v>427.375</v>
      </c>
      <c r="CI676" s="16">
        <f>IF(CI675&gt;0,CI675*PARAM!$C$53,CI675)+CG676-CH676</f>
        <v>-58532.500000000029</v>
      </c>
      <c r="CJ676" s="15">
        <f t="shared" si="476"/>
        <v>0</v>
      </c>
      <c r="CK676" s="75">
        <f>CJ676*(1-PARAM!$C$27)*$R$4+(MOD($B676/12,5)=0)*($B676&gt;60)*HLOOKUP($B676/12,Loyalty,2)*$F$1*MAX(CM675,0)</f>
        <v>0</v>
      </c>
      <c r="CL676" s="75">
        <f>PARAM!$C$26+MAX($P$4-CHOOSE(PARAM!$B$44,MAX(0,CM675*$F$1),0),0)*RATES!$L652/12+$Q$4*(PARAM!$D$51/12)*RATES!$N652/100</f>
        <v>427.375</v>
      </c>
      <c r="CM676" s="16">
        <f>IF(CM675&gt;0,CM675*PARAM!$C$53,CM675)+CK676-CL676</f>
        <v>-58532.500000000029</v>
      </c>
      <c r="CO676" s="176"/>
    </row>
    <row r="677" spans="1:93" x14ac:dyDescent="0.2">
      <c r="A677" t="b">
        <f t="shared" si="451"/>
        <v>0</v>
      </c>
      <c r="B677" s="33">
        <v>650</v>
      </c>
      <c r="C677" s="15">
        <f t="shared" si="452"/>
        <v>20.081305947392778</v>
      </c>
      <c r="D677" s="75">
        <f>C677*(1-PARAM!$C$27)*$I$3+(MOD($B677,60)=PARAM!$B$56)*($B677&gt;(60-PARAM!$B$56))*HLOOKUP(($B677+PARAM!$B$56)/12,Loyalty,2)*$F$1*MAX(F676,0)</f>
        <v>16.808053077967756</v>
      </c>
      <c r="E677" s="75">
        <f>PARAM!$C$26+MAX($G$3-CHOOSE(PARAM!$B$44,MAX(0,F676*$F$1),0),0)*RATES!$L653/12+$H$3*(PARAM!$D$51/12)*RATES!$N653/100</f>
        <v>427.375</v>
      </c>
      <c r="F677" s="16">
        <f t="shared" si="453"/>
        <v>-48191.065690724783</v>
      </c>
      <c r="G677" s="15">
        <f t="shared" si="454"/>
        <v>22.035289406060361</v>
      </c>
      <c r="H677" s="75">
        <f>G677*(1-PARAM!$C$27)*$I$4+(MOD($B677,60)=PARAM!$B$56)*($B677&gt;(60-PARAM!$B$56))*HLOOKUP(($B677+PARAM!$B$56)/12,Loyalty,2)*$F$1*MAX(J676,0)</f>
        <v>18.443537232872522</v>
      </c>
      <c r="I677" s="75">
        <f>PARAM!$C$26+MAX($G$4-CHOOSE(PARAM!$B$44,MAX(0,J676*$F$1),0),0)*RATES!$L653/12+$H$4*(PARAM!$D$51/12)*RATES!$N653/100</f>
        <v>427.375</v>
      </c>
      <c r="J677" s="16">
        <f t="shared" si="455"/>
        <v>-47094.168025914885</v>
      </c>
      <c r="K677" s="15">
        <f t="shared" si="456"/>
        <v>22.170849845882874</v>
      </c>
      <c r="L677" s="75">
        <f>K677*(1-PARAM!$C$27)*$I$5+(MOD($B677,60)=PARAM!$B$56)*($B677&gt;(60-PARAM!$B$56))*HLOOKUP(($B677+PARAM!$B$56)/12,Loyalty,2)*$F$1*MAX(N676,0)</f>
        <v>18.557001321003963</v>
      </c>
      <c r="M677" s="75">
        <f>PARAM!$C$26+MAX($G$5-CHOOSE(PARAM!$B$44,MAX(0,N676*$F$1),0),0)*RATES!$L653/12+$H$5*(PARAM!$D$51/12)*RATES!$N653/100</f>
        <v>427.375</v>
      </c>
      <c r="N677" s="16">
        <f t="shared" si="457"/>
        <v>-47017.398832229745</v>
      </c>
      <c r="O677" s="15">
        <f t="shared" si="458"/>
        <v>22.170849845882874</v>
      </c>
      <c r="P677" s="75">
        <f>O677*(1-PARAM!$C$27)*$I$6+(MOD($B677,60)=PARAM!$B$56)*($B677&gt;(60-PARAM!$B$56))*HLOOKUP(($B677+PARAM!$B$56)/12,Loyalty,2)*$F$1*MAX(R676,0)</f>
        <v>18.557001321003963</v>
      </c>
      <c r="Q677" s="75">
        <f>PARAM!$C$26+MAX($G$6-CHOOSE(PARAM!$B$44,MAX(0,R676*$F$1),0),0)*RATES!$L653/12+$H$6*(PARAM!$D$51/12)*RATES!$N653/100</f>
        <v>427.375</v>
      </c>
      <c r="R677" s="16">
        <f t="shared" si="459"/>
        <v>-47017.398832229745</v>
      </c>
      <c r="S677" s="15">
        <f t="shared" si="434"/>
        <v>22.170849845882874</v>
      </c>
      <c r="T677" s="75">
        <f>S677*(1-PARAM!$C$27)*$I$7+(MOD($B677,60)=PARAM!$B$56)*($B677&gt;(60-PARAM!$B$56))*HLOOKUP(($B677+PARAM!$B$56)/12,Loyalty,2)*$F$1*MAX(V676,0)</f>
        <v>18.557001321003963</v>
      </c>
      <c r="U677" s="75">
        <f>PARAM!$C$26+MAX($G$7-CHOOSE(PARAM!$B$44,MAX(0,V676*$F$1),0),0)*RATES!$L653/12+$H$7*(PARAM!$D$51/12)*RATES!$N653/100</f>
        <v>427.375</v>
      </c>
      <c r="V677" s="16">
        <f t="shared" si="460"/>
        <v>-47017.398832229745</v>
      </c>
      <c r="W677" s="15">
        <f t="shared" si="435"/>
        <v>22.170849845882874</v>
      </c>
      <c r="X677" s="75">
        <f>W677*(1-PARAM!$C$27)*$I$8+(MOD($B677,60)=PARAM!$B$56)*($B677&gt;(60-PARAM!$B$56))*HLOOKUP(($B677+PARAM!$B$56)/12,Loyalty,2)*$F$1*MAX(Z676,0)</f>
        <v>18.557001321003963</v>
      </c>
      <c r="Y677" s="75">
        <f>PARAM!$C$26+MAX($G$8-CHOOSE(PARAM!$B$44,MAX(0,Z676*$F$1),0),0)*RATES!$L653/12+$H$8*(PARAM!$D$51/12)*RATES!$N653/100</f>
        <v>427.375</v>
      </c>
      <c r="Z677" s="16">
        <f t="shared" si="461"/>
        <v>-47017.398832229745</v>
      </c>
      <c r="AA677" s="15">
        <f t="shared" si="436"/>
        <v>22.170849845882874</v>
      </c>
      <c r="AB677" s="75">
        <f>AA677*(1-PARAM!$C$27)*$I$9+(MOD($B677,60)=PARAM!$B$56)*($B677&gt;(60-PARAM!$B$56))*HLOOKUP(($B677+PARAM!$B$56)/12,Loyalty,2)*$F$1*MAX(AD676,0)</f>
        <v>18.557001321003963</v>
      </c>
      <c r="AC677" s="75">
        <f>PARAM!$C$26+MAX($G$9-CHOOSE(PARAM!$B$44,MAX(0,AD676*$F$1),0),0)*RATES!$L653/12+$H$9*(PARAM!$D$51/12)*RATES!$N653/100</f>
        <v>427.375</v>
      </c>
      <c r="AD677" s="16">
        <f t="shared" si="462"/>
        <v>-47017.398832229745</v>
      </c>
      <c r="AE677" s="15">
        <f t="shared" si="437"/>
        <v>22.170849845882874</v>
      </c>
      <c r="AF677" s="75">
        <f>AE677*(1-PARAM!$C$27)*$I$10+(MOD($B677,60)=PARAM!$B$56)*($B677&gt;(60-PARAM!$B$56))*HLOOKUP(($B677+PARAM!$B$56)/12,Loyalty,2)*$F$1*MAX(AH676,0)</f>
        <v>18.557001321003963</v>
      </c>
      <c r="AG677" s="75">
        <f>PARAM!$C$26+MAX($G$10-CHOOSE(PARAM!$B$44,MAX(0,AH676*$F$1),0),0)*RATES!$L653/12+$H$10*(PARAM!$D$51/12)*RATES!$N653/100</f>
        <v>427.375</v>
      </c>
      <c r="AH677" s="16">
        <f t="shared" si="463"/>
        <v>-47017.398832229745</v>
      </c>
      <c r="AI677" s="15">
        <f t="shared" si="438"/>
        <v>22.170849845882874</v>
      </c>
      <c r="AJ677" s="75">
        <f>AI677*(1-PARAM!$C$27)*$I$11+(MOD($B677,60)=PARAM!$B$56)*($B677&gt;(60-PARAM!$B$56))*HLOOKUP(($B677+PARAM!$B$56)/12,Loyalty,2)*$F$1*MAX(AL676,0)</f>
        <v>18.557001321003963</v>
      </c>
      <c r="AK677" s="75">
        <f>PARAM!$C$26+MAX($G$11-CHOOSE(PARAM!$B$44,MAX(0,AL676*$F$1),0),0)*RATES!$L653/12+$H$11*(PARAM!$D$51/12)*RATES!$N653/100</f>
        <v>427.375</v>
      </c>
      <c r="AL677" s="16">
        <f t="shared" si="464"/>
        <v>-47017.398832229745</v>
      </c>
      <c r="AM677" s="15">
        <f t="shared" si="439"/>
        <v>22.170849845882874</v>
      </c>
      <c r="AN677" s="75">
        <f>AM677*(1-PARAM!$C$27)*$I$12+(MOD($B677,60)=PARAM!$B$56)*($B677&gt;(60-PARAM!$B$56))*HLOOKUP(($B677+PARAM!$B$56)/12,Loyalty,2)*$F$1*MAX(AP676,0)</f>
        <v>18.557001321003963</v>
      </c>
      <c r="AO677" s="75">
        <f>PARAM!$C$26+MAX($G$12-CHOOSE(PARAM!$B$44,MAX(0,AP676*$F$1),0),0)*RATES!$L653/12+$H$12*(PARAM!$D$51/12)*RATES!$N653/100</f>
        <v>427.375</v>
      </c>
      <c r="AP677" s="16">
        <f t="shared" si="465"/>
        <v>-47017.398832229745</v>
      </c>
      <c r="AQ677" s="15">
        <f t="shared" si="440"/>
        <v>22.170849845882874</v>
      </c>
      <c r="AR677" s="75">
        <f>AQ677*(1-PARAM!$C$27)*$I$13+(MOD($B677,60)=PARAM!$B$56)*($B677&gt;(60-PARAM!$B$56))*HLOOKUP(($B677+PARAM!$B$56)/12,Loyalty,2)*$F$1*MAX(AT676,0)</f>
        <v>18.557001321003963</v>
      </c>
      <c r="AS677" s="75">
        <f>PARAM!$C$26+MAX($G$13-CHOOSE(PARAM!$B$44,MAX(0,AT676*$F$1),0),0)*RATES!$L653/12+$H$13*(PARAM!$D$51/12)*RATES!$N653/100</f>
        <v>427.375</v>
      </c>
      <c r="AT677" s="16">
        <f t="shared" si="466"/>
        <v>-47017.398832229745</v>
      </c>
      <c r="AU677" s="15">
        <f t="shared" si="441"/>
        <v>22.170849845882874</v>
      </c>
      <c r="AV677" s="75">
        <f>AU677*(1-PARAM!$C$27)*$I$14+(MOD($B677,60)=PARAM!$B$56)*($B677&gt;(60-PARAM!$B$56))*HLOOKUP(($B677+PARAM!$B$56)/12,Loyalty,2)*$F$1*MAX(AX676,0)</f>
        <v>18.557001321003963</v>
      </c>
      <c r="AW677" s="75">
        <f>PARAM!$C$26+MAX($G$14-CHOOSE(PARAM!$B$44,MAX(0,AX676*$F$1),0),0)*RATES!$L653/12+$H$14*(PARAM!$D$51/12)*RATES!$N653/100</f>
        <v>427.375</v>
      </c>
      <c r="AX677" s="16">
        <f t="shared" si="467"/>
        <v>-47017.398832229745</v>
      </c>
      <c r="AY677" s="15">
        <f t="shared" si="442"/>
        <v>22.170849845882874</v>
      </c>
      <c r="AZ677" s="75">
        <f>AY677*(1-PARAM!$C$27)*$I$15+(MOD($B677,60)=PARAM!$B$56)*($B677&gt;(60-PARAM!$B$56))*HLOOKUP(($B677+PARAM!$B$56)/12,Loyalty,2)*$F$1*MAX(BB676,0)</f>
        <v>18.557001321003963</v>
      </c>
      <c r="BA677" s="75">
        <f>PARAM!$C$26+MAX($G$15-CHOOSE(PARAM!$B$44,MAX(0,BB676*$F$1),0),0)*RATES!$L653/12+$H$15*(PARAM!$D$51/12)*RATES!$N653/100</f>
        <v>427.375</v>
      </c>
      <c r="BB677" s="16">
        <f t="shared" si="468"/>
        <v>-47017.398832229745</v>
      </c>
      <c r="BC677" s="15">
        <f t="shared" si="443"/>
        <v>22.170849845882874</v>
      </c>
      <c r="BD677" s="75">
        <f>BC677*(1-PARAM!$C$27)*$I$16+(MOD($B677,60)=PARAM!$B$56)*($B677&gt;(60-PARAM!$B$56))*HLOOKUP(($B677+PARAM!$B$56)/12,Loyalty,2)*$F$1*MAX(BF676,0)</f>
        <v>18.557001321003963</v>
      </c>
      <c r="BE677" s="75">
        <f>PARAM!$C$26+MAX($G$16-CHOOSE(PARAM!$B$44,MAX(0,BF676*$F$1),0),0)*RATES!$L653/12+$H$16*(PARAM!$D$51/12)*RATES!$N653/100</f>
        <v>427.375</v>
      </c>
      <c r="BF677" s="16">
        <f t="shared" si="469"/>
        <v>-47017.398832229745</v>
      </c>
      <c r="BG677" s="15">
        <f t="shared" si="444"/>
        <v>22.170849845882874</v>
      </c>
      <c r="BH677" s="75">
        <f>BG677*(1-PARAM!$C$27)*$I$17+(MOD($B677,60)=PARAM!$B$56)*($B677&gt;(60-PARAM!$B$56))*HLOOKUP(($B677+PARAM!$B$56)/12,Loyalty,2)*$F$1*MAX(BJ676,0)</f>
        <v>18.557001321003963</v>
      </c>
      <c r="BI677" s="75">
        <f>PARAM!$C$26+MAX($G$17-CHOOSE(PARAM!$B$44,MAX(0,BJ676*$F$1),0),0)*RATES!$L653/12+$H$17*(PARAM!$D$51/12)*RATES!$N653/100</f>
        <v>427.375</v>
      </c>
      <c r="BJ677" s="16">
        <f t="shared" si="470"/>
        <v>-47017.398832229745</v>
      </c>
      <c r="BK677" s="15">
        <f t="shared" si="445"/>
        <v>22.170849845882874</v>
      </c>
      <c r="BL677" s="75">
        <f>BK677*(1-PARAM!$C$27)*$I$18+(MOD($B677,60)=PARAM!$B$56)*($B677&gt;(60-PARAM!$B$56))*HLOOKUP(($B677+PARAM!$B$56)/12,Loyalty,2)*$F$1*MAX(BN676,0)</f>
        <v>18.557001321003963</v>
      </c>
      <c r="BM677" s="75">
        <f>PARAM!$C$26+MAX($G$18-CHOOSE(PARAM!$B$44,MAX(0,BN676*$F$1),0),0)*RATES!$L653/12+$H$18*(PARAM!$D$51/12)*RATES!$N653/100</f>
        <v>427.375</v>
      </c>
      <c r="BN677" s="16">
        <f t="shared" si="471"/>
        <v>-47017.398832229745</v>
      </c>
      <c r="BO677" s="15">
        <f t="shared" si="446"/>
        <v>22.170849845882874</v>
      </c>
      <c r="BP677" s="75">
        <f>BO677*(1-PARAM!$C$27)*$I$19+(MOD($B677,60)=PARAM!$B$56)*($B677&gt;(60-PARAM!$B$56))*HLOOKUP(($B677+PARAM!$B$56)/12,Loyalty,2)*$F$1*MAX(BR676,0)</f>
        <v>18.557001321003963</v>
      </c>
      <c r="BQ677" s="75">
        <f>PARAM!$C$26+MAX($G$19-CHOOSE(PARAM!$B$44,MAX(0,BR676*$F$1),0),0)*RATES!$L653/12+$H$19*(PARAM!$D$51/12)*RATES!$N653/100</f>
        <v>427.375</v>
      </c>
      <c r="BR677" s="16">
        <f t="shared" si="472"/>
        <v>-47017.398832229745</v>
      </c>
      <c r="BS677" s="15">
        <f t="shared" si="447"/>
        <v>22.170849845882874</v>
      </c>
      <c r="BT677" s="75">
        <f>BS677*(1-PARAM!$C$27)*$I$20+(MOD($B677,60)=PARAM!$B$56)*($B677&gt;(60-PARAM!$B$56))*HLOOKUP(($B677+PARAM!$B$56)/12,Loyalty,2)*$F$1*MAX(BV676,0)</f>
        <v>18.557001321003963</v>
      </c>
      <c r="BU677" s="75">
        <f>PARAM!$C$26+MAX($G$20-CHOOSE(PARAM!$B$44,MAX(0,BV676*$F$1),0),0)*RATES!$L653/12+$H$20*(PARAM!$D$51/12)*RATES!$N653/100</f>
        <v>427.375</v>
      </c>
      <c r="BV677" s="16">
        <f t="shared" si="473"/>
        <v>-47017.398832229745</v>
      </c>
      <c r="BW677" s="15">
        <f t="shared" si="448"/>
        <v>22.170849845882874</v>
      </c>
      <c r="BX677" s="75">
        <f>BW677*(1-PARAM!$C$27)*$I$21+(MOD($B677,60)=PARAM!$B$56)*($B677&gt;(60-PARAM!$B$56))*HLOOKUP(($B677+PARAM!$B$56)/12,Loyalty,2)*$F$1*MAX(BZ676,0)</f>
        <v>18.557001321003963</v>
      </c>
      <c r="BY677" s="75">
        <f>PARAM!$C$26+MAX($G$21-CHOOSE(PARAM!$B$44,MAX(0,BZ676*$F$1),0),0)*RATES!$L653/12+$H$21*(PARAM!$D$51/12)*RATES!$N653/100</f>
        <v>427.375</v>
      </c>
      <c r="BZ677" s="16">
        <f t="shared" si="474"/>
        <v>-47017.398832229745</v>
      </c>
      <c r="CA677" s="15">
        <f t="shared" si="449"/>
        <v>22.170849845882874</v>
      </c>
      <c r="CB677" s="75">
        <f>CA677*(1-PARAM!$C$27)*$I$22+(MOD($B677,60)=PARAM!$B$56)*($B677&gt;(60-PARAM!$B$56))*HLOOKUP(($B677+PARAM!$B$56)/12,Loyalty,2)*$F$1*MAX(CD676,0)</f>
        <v>18.557001321003963</v>
      </c>
      <c r="CC677" s="75">
        <f>PARAM!$C$26+MAX($G$22-CHOOSE(PARAM!$B$44,MAX(0,CD676*$F$1),0),0)*RATES!$L653/12+$H$22*(PARAM!$D$51/12)*RATES!$N653/100</f>
        <v>427.375</v>
      </c>
      <c r="CD677" s="16">
        <f t="shared" si="475"/>
        <v>-47017.398832229745</v>
      </c>
      <c r="CE677" s="33">
        <f>IF(0=MOD(B677,12/PARAM!$D$51),1,0)</f>
        <v>1</v>
      </c>
      <c r="CF677" s="15">
        <f t="shared" si="450"/>
        <v>0</v>
      </c>
      <c r="CG677" s="75">
        <f>CF677*(1-PARAM!$C$27)*$R$3+(MOD($B677/12,5)=0)*($B677&gt;60)*HLOOKUP($B677/12,Loyalty,2)*$F$1*MAX(CI676,0)</f>
        <v>0</v>
      </c>
      <c r="CH677" s="75">
        <f>PARAM!$C$26+MAX($P$3-CHOOSE(PARAM!$B$44,MAX(0,CI676*$F$1),0),0)*RATES!$L653/12+$Q$3*(PARAM!$D$51/12)*RATES!$N653/100</f>
        <v>427.375</v>
      </c>
      <c r="CI677" s="16">
        <f>IF(CI676&gt;0,CI676*PARAM!$C$53,CI676)+CG677-CH677</f>
        <v>-58959.875000000029</v>
      </c>
      <c r="CJ677" s="15">
        <f t="shared" si="476"/>
        <v>0</v>
      </c>
      <c r="CK677" s="75">
        <f>CJ677*(1-PARAM!$C$27)*$R$4+(MOD($B677/12,5)=0)*($B677&gt;60)*HLOOKUP($B677/12,Loyalty,2)*$F$1*MAX(CM676,0)</f>
        <v>0</v>
      </c>
      <c r="CL677" s="75">
        <f>PARAM!$C$26+MAX($P$4-CHOOSE(PARAM!$B$44,MAX(0,CM676*$F$1),0),0)*RATES!$L653/12+$Q$4*(PARAM!$D$51/12)*RATES!$N653/100</f>
        <v>427.375</v>
      </c>
      <c r="CM677" s="16">
        <f>IF(CM676&gt;0,CM676*PARAM!$C$53,CM676)+CK677-CL677</f>
        <v>-58959.875000000029</v>
      </c>
      <c r="CO677" s="176"/>
    </row>
    <row r="678" spans="1:93" x14ac:dyDescent="0.2">
      <c r="A678" t="b">
        <f t="shared" si="451"/>
        <v>0</v>
      </c>
      <c r="B678" s="33">
        <v>651</v>
      </c>
      <c r="C678" s="15">
        <f t="shared" si="452"/>
        <v>20.081305947392778</v>
      </c>
      <c r="D678" s="75">
        <f>C678*(1-PARAM!$C$27)*$I$3+(MOD($B678,60)=PARAM!$B$56)*($B678&gt;(60-PARAM!$B$56))*HLOOKUP(($B678+PARAM!$B$56)/12,Loyalty,2)*$F$1*MAX(F677,0)</f>
        <v>16.808053077967756</v>
      </c>
      <c r="E678" s="75">
        <f>PARAM!$C$26+MAX($G$3-CHOOSE(PARAM!$B$44,MAX(0,F677*$F$1),0),0)*RATES!$L654/12+$H$3*(PARAM!$D$51/12)*RATES!$N654/100</f>
        <v>427.375</v>
      </c>
      <c r="F678" s="16">
        <f t="shared" si="453"/>
        <v>-48601.632637646813</v>
      </c>
      <c r="G678" s="15">
        <f t="shared" si="454"/>
        <v>22.035289406060361</v>
      </c>
      <c r="H678" s="75">
        <f>G678*(1-PARAM!$C$27)*$I$4+(MOD($B678,60)=PARAM!$B$56)*($B678&gt;(60-PARAM!$B$56))*HLOOKUP(($B678+PARAM!$B$56)/12,Loyalty,2)*$F$1*MAX(J677,0)</f>
        <v>18.443537232872522</v>
      </c>
      <c r="I678" s="75">
        <f>PARAM!$C$26+MAX($G$4-CHOOSE(PARAM!$B$44,MAX(0,J677*$F$1),0),0)*RATES!$L654/12+$H$4*(PARAM!$D$51/12)*RATES!$N654/100</f>
        <v>427.375</v>
      </c>
      <c r="J678" s="16">
        <f t="shared" si="455"/>
        <v>-47503.099488682012</v>
      </c>
      <c r="K678" s="15">
        <f t="shared" si="456"/>
        <v>22.170849845882874</v>
      </c>
      <c r="L678" s="75">
        <f>K678*(1-PARAM!$C$27)*$I$5+(MOD($B678,60)=PARAM!$B$56)*($B678&gt;(60-PARAM!$B$56))*HLOOKUP(($B678+PARAM!$B$56)/12,Loyalty,2)*$F$1*MAX(N677,0)</f>
        <v>18.557001321003963</v>
      </c>
      <c r="M678" s="75">
        <f>PARAM!$C$26+MAX($G$5-CHOOSE(PARAM!$B$44,MAX(0,N677*$F$1),0),0)*RATES!$L654/12+$H$5*(PARAM!$D$51/12)*RATES!$N654/100</f>
        <v>427.375</v>
      </c>
      <c r="N678" s="16">
        <f t="shared" si="457"/>
        <v>-47426.216830908743</v>
      </c>
      <c r="O678" s="15">
        <f t="shared" si="458"/>
        <v>22.170849845882874</v>
      </c>
      <c r="P678" s="75">
        <f>O678*(1-PARAM!$C$27)*$I$6+(MOD($B678,60)=PARAM!$B$56)*($B678&gt;(60-PARAM!$B$56))*HLOOKUP(($B678+PARAM!$B$56)/12,Loyalty,2)*$F$1*MAX(R677,0)</f>
        <v>18.557001321003963</v>
      </c>
      <c r="Q678" s="75">
        <f>PARAM!$C$26+MAX($G$6-CHOOSE(PARAM!$B$44,MAX(0,R677*$F$1),0),0)*RATES!$L654/12+$H$6*(PARAM!$D$51/12)*RATES!$N654/100</f>
        <v>427.375</v>
      </c>
      <c r="R678" s="16">
        <f t="shared" si="459"/>
        <v>-47426.216830908743</v>
      </c>
      <c r="S678" s="15">
        <f t="shared" si="434"/>
        <v>22.170849845882874</v>
      </c>
      <c r="T678" s="75">
        <f>S678*(1-PARAM!$C$27)*$I$7+(MOD($B678,60)=PARAM!$B$56)*($B678&gt;(60-PARAM!$B$56))*HLOOKUP(($B678+PARAM!$B$56)/12,Loyalty,2)*$F$1*MAX(V677,0)</f>
        <v>18.557001321003963</v>
      </c>
      <c r="U678" s="75">
        <f>PARAM!$C$26+MAX($G$7-CHOOSE(PARAM!$B$44,MAX(0,V677*$F$1),0),0)*RATES!$L654/12+$H$7*(PARAM!$D$51/12)*RATES!$N654/100</f>
        <v>427.375</v>
      </c>
      <c r="V678" s="16">
        <f t="shared" si="460"/>
        <v>-47426.216830908743</v>
      </c>
      <c r="W678" s="15">
        <f t="shared" si="435"/>
        <v>22.170849845882874</v>
      </c>
      <c r="X678" s="75">
        <f>W678*(1-PARAM!$C$27)*$I$8+(MOD($B678,60)=PARAM!$B$56)*($B678&gt;(60-PARAM!$B$56))*HLOOKUP(($B678+PARAM!$B$56)/12,Loyalty,2)*$F$1*MAX(Z677,0)</f>
        <v>18.557001321003963</v>
      </c>
      <c r="Y678" s="75">
        <f>PARAM!$C$26+MAX($G$8-CHOOSE(PARAM!$B$44,MAX(0,Z677*$F$1),0),0)*RATES!$L654/12+$H$8*(PARAM!$D$51/12)*RATES!$N654/100</f>
        <v>427.375</v>
      </c>
      <c r="Z678" s="16">
        <f t="shared" si="461"/>
        <v>-47426.216830908743</v>
      </c>
      <c r="AA678" s="15">
        <f t="shared" si="436"/>
        <v>22.170849845882874</v>
      </c>
      <c r="AB678" s="75">
        <f>AA678*(1-PARAM!$C$27)*$I$9+(MOD($B678,60)=PARAM!$B$56)*($B678&gt;(60-PARAM!$B$56))*HLOOKUP(($B678+PARAM!$B$56)/12,Loyalty,2)*$F$1*MAX(AD677,0)</f>
        <v>18.557001321003963</v>
      </c>
      <c r="AC678" s="75">
        <f>PARAM!$C$26+MAX($G$9-CHOOSE(PARAM!$B$44,MAX(0,AD677*$F$1),0),0)*RATES!$L654/12+$H$9*(PARAM!$D$51/12)*RATES!$N654/100</f>
        <v>427.375</v>
      </c>
      <c r="AD678" s="16">
        <f t="shared" si="462"/>
        <v>-47426.216830908743</v>
      </c>
      <c r="AE678" s="15">
        <f t="shared" si="437"/>
        <v>22.170849845882874</v>
      </c>
      <c r="AF678" s="75">
        <f>AE678*(1-PARAM!$C$27)*$I$10+(MOD($B678,60)=PARAM!$B$56)*($B678&gt;(60-PARAM!$B$56))*HLOOKUP(($B678+PARAM!$B$56)/12,Loyalty,2)*$F$1*MAX(AH677,0)</f>
        <v>18.557001321003963</v>
      </c>
      <c r="AG678" s="75">
        <f>PARAM!$C$26+MAX($G$10-CHOOSE(PARAM!$B$44,MAX(0,AH677*$F$1),0),0)*RATES!$L654/12+$H$10*(PARAM!$D$51/12)*RATES!$N654/100</f>
        <v>427.375</v>
      </c>
      <c r="AH678" s="16">
        <f t="shared" si="463"/>
        <v>-47426.216830908743</v>
      </c>
      <c r="AI678" s="15">
        <f t="shared" si="438"/>
        <v>22.170849845882874</v>
      </c>
      <c r="AJ678" s="75">
        <f>AI678*(1-PARAM!$C$27)*$I$11+(MOD($B678,60)=PARAM!$B$56)*($B678&gt;(60-PARAM!$B$56))*HLOOKUP(($B678+PARAM!$B$56)/12,Loyalty,2)*$F$1*MAX(AL677,0)</f>
        <v>18.557001321003963</v>
      </c>
      <c r="AK678" s="75">
        <f>PARAM!$C$26+MAX($G$11-CHOOSE(PARAM!$B$44,MAX(0,AL677*$F$1),0),0)*RATES!$L654/12+$H$11*(PARAM!$D$51/12)*RATES!$N654/100</f>
        <v>427.375</v>
      </c>
      <c r="AL678" s="16">
        <f t="shared" si="464"/>
        <v>-47426.216830908743</v>
      </c>
      <c r="AM678" s="15">
        <f t="shared" si="439"/>
        <v>22.170849845882874</v>
      </c>
      <c r="AN678" s="75">
        <f>AM678*(1-PARAM!$C$27)*$I$12+(MOD($B678,60)=PARAM!$B$56)*($B678&gt;(60-PARAM!$B$56))*HLOOKUP(($B678+PARAM!$B$56)/12,Loyalty,2)*$F$1*MAX(AP677,0)</f>
        <v>18.557001321003963</v>
      </c>
      <c r="AO678" s="75">
        <f>PARAM!$C$26+MAX($G$12-CHOOSE(PARAM!$B$44,MAX(0,AP677*$F$1),0),0)*RATES!$L654/12+$H$12*(PARAM!$D$51/12)*RATES!$N654/100</f>
        <v>427.375</v>
      </c>
      <c r="AP678" s="16">
        <f t="shared" si="465"/>
        <v>-47426.216830908743</v>
      </c>
      <c r="AQ678" s="15">
        <f t="shared" si="440"/>
        <v>22.170849845882874</v>
      </c>
      <c r="AR678" s="75">
        <f>AQ678*(1-PARAM!$C$27)*$I$13+(MOD($B678,60)=PARAM!$B$56)*($B678&gt;(60-PARAM!$B$56))*HLOOKUP(($B678+PARAM!$B$56)/12,Loyalty,2)*$F$1*MAX(AT677,0)</f>
        <v>18.557001321003963</v>
      </c>
      <c r="AS678" s="75">
        <f>PARAM!$C$26+MAX($G$13-CHOOSE(PARAM!$B$44,MAX(0,AT677*$F$1),0),0)*RATES!$L654/12+$H$13*(PARAM!$D$51/12)*RATES!$N654/100</f>
        <v>427.375</v>
      </c>
      <c r="AT678" s="16">
        <f t="shared" si="466"/>
        <v>-47426.216830908743</v>
      </c>
      <c r="AU678" s="15">
        <f t="shared" si="441"/>
        <v>22.170849845882874</v>
      </c>
      <c r="AV678" s="75">
        <f>AU678*(1-PARAM!$C$27)*$I$14+(MOD($B678,60)=PARAM!$B$56)*($B678&gt;(60-PARAM!$B$56))*HLOOKUP(($B678+PARAM!$B$56)/12,Loyalty,2)*$F$1*MAX(AX677,0)</f>
        <v>18.557001321003963</v>
      </c>
      <c r="AW678" s="75">
        <f>PARAM!$C$26+MAX($G$14-CHOOSE(PARAM!$B$44,MAX(0,AX677*$F$1),0),0)*RATES!$L654/12+$H$14*(PARAM!$D$51/12)*RATES!$N654/100</f>
        <v>427.375</v>
      </c>
      <c r="AX678" s="16">
        <f t="shared" si="467"/>
        <v>-47426.216830908743</v>
      </c>
      <c r="AY678" s="15">
        <f t="shared" si="442"/>
        <v>22.170849845882874</v>
      </c>
      <c r="AZ678" s="75">
        <f>AY678*(1-PARAM!$C$27)*$I$15+(MOD($B678,60)=PARAM!$B$56)*($B678&gt;(60-PARAM!$B$56))*HLOOKUP(($B678+PARAM!$B$56)/12,Loyalty,2)*$F$1*MAX(BB677,0)</f>
        <v>18.557001321003963</v>
      </c>
      <c r="BA678" s="75">
        <f>PARAM!$C$26+MAX($G$15-CHOOSE(PARAM!$B$44,MAX(0,BB677*$F$1),0),0)*RATES!$L654/12+$H$15*(PARAM!$D$51/12)*RATES!$N654/100</f>
        <v>427.375</v>
      </c>
      <c r="BB678" s="16">
        <f t="shared" si="468"/>
        <v>-47426.216830908743</v>
      </c>
      <c r="BC678" s="15">
        <f t="shared" si="443"/>
        <v>22.170849845882874</v>
      </c>
      <c r="BD678" s="75">
        <f>BC678*(1-PARAM!$C$27)*$I$16+(MOD($B678,60)=PARAM!$B$56)*($B678&gt;(60-PARAM!$B$56))*HLOOKUP(($B678+PARAM!$B$56)/12,Loyalty,2)*$F$1*MAX(BF677,0)</f>
        <v>18.557001321003963</v>
      </c>
      <c r="BE678" s="75">
        <f>PARAM!$C$26+MAX($G$16-CHOOSE(PARAM!$B$44,MAX(0,BF677*$F$1),0),0)*RATES!$L654/12+$H$16*(PARAM!$D$51/12)*RATES!$N654/100</f>
        <v>427.375</v>
      </c>
      <c r="BF678" s="16">
        <f t="shared" si="469"/>
        <v>-47426.216830908743</v>
      </c>
      <c r="BG678" s="15">
        <f t="shared" si="444"/>
        <v>22.170849845882874</v>
      </c>
      <c r="BH678" s="75">
        <f>BG678*(1-PARAM!$C$27)*$I$17+(MOD($B678,60)=PARAM!$B$56)*($B678&gt;(60-PARAM!$B$56))*HLOOKUP(($B678+PARAM!$B$56)/12,Loyalty,2)*$F$1*MAX(BJ677,0)</f>
        <v>18.557001321003963</v>
      </c>
      <c r="BI678" s="75">
        <f>PARAM!$C$26+MAX($G$17-CHOOSE(PARAM!$B$44,MAX(0,BJ677*$F$1),0),0)*RATES!$L654/12+$H$17*(PARAM!$D$51/12)*RATES!$N654/100</f>
        <v>427.375</v>
      </c>
      <c r="BJ678" s="16">
        <f t="shared" si="470"/>
        <v>-47426.216830908743</v>
      </c>
      <c r="BK678" s="15">
        <f t="shared" si="445"/>
        <v>22.170849845882874</v>
      </c>
      <c r="BL678" s="75">
        <f>BK678*(1-PARAM!$C$27)*$I$18+(MOD($B678,60)=PARAM!$B$56)*($B678&gt;(60-PARAM!$B$56))*HLOOKUP(($B678+PARAM!$B$56)/12,Loyalty,2)*$F$1*MAX(BN677,0)</f>
        <v>18.557001321003963</v>
      </c>
      <c r="BM678" s="75">
        <f>PARAM!$C$26+MAX($G$18-CHOOSE(PARAM!$B$44,MAX(0,BN677*$F$1),0),0)*RATES!$L654/12+$H$18*(PARAM!$D$51/12)*RATES!$N654/100</f>
        <v>427.375</v>
      </c>
      <c r="BN678" s="16">
        <f t="shared" si="471"/>
        <v>-47426.216830908743</v>
      </c>
      <c r="BO678" s="15">
        <f t="shared" si="446"/>
        <v>22.170849845882874</v>
      </c>
      <c r="BP678" s="75">
        <f>BO678*(1-PARAM!$C$27)*$I$19+(MOD($B678,60)=PARAM!$B$56)*($B678&gt;(60-PARAM!$B$56))*HLOOKUP(($B678+PARAM!$B$56)/12,Loyalty,2)*$F$1*MAX(BR677,0)</f>
        <v>18.557001321003963</v>
      </c>
      <c r="BQ678" s="75">
        <f>PARAM!$C$26+MAX($G$19-CHOOSE(PARAM!$B$44,MAX(0,BR677*$F$1),0),0)*RATES!$L654/12+$H$19*(PARAM!$D$51/12)*RATES!$N654/100</f>
        <v>427.375</v>
      </c>
      <c r="BR678" s="16">
        <f t="shared" si="472"/>
        <v>-47426.216830908743</v>
      </c>
      <c r="BS678" s="15">
        <f t="shared" si="447"/>
        <v>22.170849845882874</v>
      </c>
      <c r="BT678" s="75">
        <f>BS678*(1-PARAM!$C$27)*$I$20+(MOD($B678,60)=PARAM!$B$56)*($B678&gt;(60-PARAM!$B$56))*HLOOKUP(($B678+PARAM!$B$56)/12,Loyalty,2)*$F$1*MAX(BV677,0)</f>
        <v>18.557001321003963</v>
      </c>
      <c r="BU678" s="75">
        <f>PARAM!$C$26+MAX($G$20-CHOOSE(PARAM!$B$44,MAX(0,BV677*$F$1),0),0)*RATES!$L654/12+$H$20*(PARAM!$D$51/12)*RATES!$N654/100</f>
        <v>427.375</v>
      </c>
      <c r="BV678" s="16">
        <f t="shared" si="473"/>
        <v>-47426.216830908743</v>
      </c>
      <c r="BW678" s="15">
        <f t="shared" si="448"/>
        <v>22.170849845882874</v>
      </c>
      <c r="BX678" s="75">
        <f>BW678*(1-PARAM!$C$27)*$I$21+(MOD($B678,60)=PARAM!$B$56)*($B678&gt;(60-PARAM!$B$56))*HLOOKUP(($B678+PARAM!$B$56)/12,Loyalty,2)*$F$1*MAX(BZ677,0)</f>
        <v>18.557001321003963</v>
      </c>
      <c r="BY678" s="75">
        <f>PARAM!$C$26+MAX($G$21-CHOOSE(PARAM!$B$44,MAX(0,BZ677*$F$1),0),0)*RATES!$L654/12+$H$21*(PARAM!$D$51/12)*RATES!$N654/100</f>
        <v>427.375</v>
      </c>
      <c r="BZ678" s="16">
        <f t="shared" si="474"/>
        <v>-47426.216830908743</v>
      </c>
      <c r="CA678" s="15">
        <f t="shared" si="449"/>
        <v>22.170849845882874</v>
      </c>
      <c r="CB678" s="75">
        <f>CA678*(1-PARAM!$C$27)*$I$22+(MOD($B678,60)=PARAM!$B$56)*($B678&gt;(60-PARAM!$B$56))*HLOOKUP(($B678+PARAM!$B$56)/12,Loyalty,2)*$F$1*MAX(CD677,0)</f>
        <v>18.557001321003963</v>
      </c>
      <c r="CC678" s="75">
        <f>PARAM!$C$26+MAX($G$22-CHOOSE(PARAM!$B$44,MAX(0,CD677*$F$1),0),0)*RATES!$L654/12+$H$22*(PARAM!$D$51/12)*RATES!$N654/100</f>
        <v>427.375</v>
      </c>
      <c r="CD678" s="16">
        <f t="shared" si="475"/>
        <v>-47426.216830908743</v>
      </c>
      <c r="CE678" s="33">
        <f>IF(0=MOD(B678,12/PARAM!$D$51),1,0)</f>
        <v>1</v>
      </c>
      <c r="CF678" s="15">
        <f t="shared" si="450"/>
        <v>0</v>
      </c>
      <c r="CG678" s="75">
        <f>CF678*(1-PARAM!$C$27)*$R$3+(MOD($B678/12,5)=0)*($B678&gt;60)*HLOOKUP($B678/12,Loyalty,2)*$F$1*MAX(CI677,0)</f>
        <v>0</v>
      </c>
      <c r="CH678" s="75">
        <f>PARAM!$C$26+MAX($P$3-CHOOSE(PARAM!$B$44,MAX(0,CI677*$F$1),0),0)*RATES!$L654/12+$Q$3*(PARAM!$D$51/12)*RATES!$N654/100</f>
        <v>427.375</v>
      </c>
      <c r="CI678" s="16">
        <f>IF(CI677&gt;0,CI677*PARAM!$C$53,CI677)+CG678-CH678</f>
        <v>-59387.250000000029</v>
      </c>
      <c r="CJ678" s="15">
        <f t="shared" si="476"/>
        <v>0</v>
      </c>
      <c r="CK678" s="75">
        <f>CJ678*(1-PARAM!$C$27)*$R$4+(MOD($B678/12,5)=0)*($B678&gt;60)*HLOOKUP($B678/12,Loyalty,2)*$F$1*MAX(CM677,0)</f>
        <v>0</v>
      </c>
      <c r="CL678" s="75">
        <f>PARAM!$C$26+MAX($P$4-CHOOSE(PARAM!$B$44,MAX(0,CM677*$F$1),0),0)*RATES!$L654/12+$Q$4*(PARAM!$D$51/12)*RATES!$N654/100</f>
        <v>427.375</v>
      </c>
      <c r="CM678" s="16">
        <f>IF(CM677&gt;0,CM677*PARAM!$C$53,CM677)+CK678-CL678</f>
        <v>-59387.250000000029</v>
      </c>
      <c r="CO678" s="176"/>
    </row>
    <row r="679" spans="1:93" x14ac:dyDescent="0.2">
      <c r="A679" t="b">
        <f t="shared" si="451"/>
        <v>0</v>
      </c>
      <c r="B679" s="33">
        <v>652</v>
      </c>
      <c r="C679" s="15">
        <f t="shared" si="452"/>
        <v>20.081305947392778</v>
      </c>
      <c r="D679" s="75">
        <f>C679*(1-PARAM!$C$27)*$I$3+(MOD($B679,60)=PARAM!$B$56)*($B679&gt;(60-PARAM!$B$56))*HLOOKUP(($B679+PARAM!$B$56)/12,Loyalty,2)*$F$1*MAX(F678,0)</f>
        <v>16.808053077967756</v>
      </c>
      <c r="E679" s="75">
        <f>PARAM!$C$26+MAX($G$3-CHOOSE(PARAM!$B$44,MAX(0,F678*$F$1),0),0)*RATES!$L655/12+$H$3*(PARAM!$D$51/12)*RATES!$N655/100</f>
        <v>427.375</v>
      </c>
      <c r="F679" s="16">
        <f t="shared" si="453"/>
        <v>-49012.199584568843</v>
      </c>
      <c r="G679" s="15">
        <f t="shared" si="454"/>
        <v>22.035289406060361</v>
      </c>
      <c r="H679" s="75">
        <f>G679*(1-PARAM!$C$27)*$I$4+(MOD($B679,60)=PARAM!$B$56)*($B679&gt;(60-PARAM!$B$56))*HLOOKUP(($B679+PARAM!$B$56)/12,Loyalty,2)*$F$1*MAX(J678,0)</f>
        <v>18.443537232872522</v>
      </c>
      <c r="I679" s="75">
        <f>PARAM!$C$26+MAX($G$4-CHOOSE(PARAM!$B$44,MAX(0,J678*$F$1),0),0)*RATES!$L655/12+$H$4*(PARAM!$D$51/12)*RATES!$N655/100</f>
        <v>427.375</v>
      </c>
      <c r="J679" s="16">
        <f t="shared" si="455"/>
        <v>-47912.030951449138</v>
      </c>
      <c r="K679" s="15">
        <f t="shared" si="456"/>
        <v>22.170849845882874</v>
      </c>
      <c r="L679" s="75">
        <f>K679*(1-PARAM!$C$27)*$I$5+(MOD($B679,60)=PARAM!$B$56)*($B679&gt;(60-PARAM!$B$56))*HLOOKUP(($B679+PARAM!$B$56)/12,Loyalty,2)*$F$1*MAX(N678,0)</f>
        <v>18.557001321003963</v>
      </c>
      <c r="M679" s="75">
        <f>PARAM!$C$26+MAX($G$5-CHOOSE(PARAM!$B$44,MAX(0,N678*$F$1),0),0)*RATES!$L655/12+$H$5*(PARAM!$D$51/12)*RATES!$N655/100</f>
        <v>427.375</v>
      </c>
      <c r="N679" s="16">
        <f t="shared" si="457"/>
        <v>-47835.034829587741</v>
      </c>
      <c r="O679" s="15">
        <f t="shared" si="458"/>
        <v>22.170849845882874</v>
      </c>
      <c r="P679" s="75">
        <f>O679*(1-PARAM!$C$27)*$I$6+(MOD($B679,60)=PARAM!$B$56)*($B679&gt;(60-PARAM!$B$56))*HLOOKUP(($B679+PARAM!$B$56)/12,Loyalty,2)*$F$1*MAX(R678,0)</f>
        <v>18.557001321003963</v>
      </c>
      <c r="Q679" s="75">
        <f>PARAM!$C$26+MAX($G$6-CHOOSE(PARAM!$B$44,MAX(0,R678*$F$1),0),0)*RATES!$L655/12+$H$6*(PARAM!$D$51/12)*RATES!$N655/100</f>
        <v>427.375</v>
      </c>
      <c r="R679" s="16">
        <f t="shared" si="459"/>
        <v>-47835.034829587741</v>
      </c>
      <c r="S679" s="15">
        <f t="shared" si="434"/>
        <v>22.170849845882874</v>
      </c>
      <c r="T679" s="75">
        <f>S679*(1-PARAM!$C$27)*$I$7+(MOD($B679,60)=PARAM!$B$56)*($B679&gt;(60-PARAM!$B$56))*HLOOKUP(($B679+PARAM!$B$56)/12,Loyalty,2)*$F$1*MAX(V678,0)</f>
        <v>18.557001321003963</v>
      </c>
      <c r="U679" s="75">
        <f>PARAM!$C$26+MAX($G$7-CHOOSE(PARAM!$B$44,MAX(0,V678*$F$1),0),0)*RATES!$L655/12+$H$7*(PARAM!$D$51/12)*RATES!$N655/100</f>
        <v>427.375</v>
      </c>
      <c r="V679" s="16">
        <f t="shared" si="460"/>
        <v>-47835.034829587741</v>
      </c>
      <c r="W679" s="15">
        <f t="shared" si="435"/>
        <v>22.170849845882874</v>
      </c>
      <c r="X679" s="75">
        <f>W679*(1-PARAM!$C$27)*$I$8+(MOD($B679,60)=PARAM!$B$56)*($B679&gt;(60-PARAM!$B$56))*HLOOKUP(($B679+PARAM!$B$56)/12,Loyalty,2)*$F$1*MAX(Z678,0)</f>
        <v>18.557001321003963</v>
      </c>
      <c r="Y679" s="75">
        <f>PARAM!$C$26+MAX($G$8-CHOOSE(PARAM!$B$44,MAX(0,Z678*$F$1),0),0)*RATES!$L655/12+$H$8*(PARAM!$D$51/12)*RATES!$N655/100</f>
        <v>427.375</v>
      </c>
      <c r="Z679" s="16">
        <f t="shared" si="461"/>
        <v>-47835.034829587741</v>
      </c>
      <c r="AA679" s="15">
        <f t="shared" si="436"/>
        <v>22.170849845882874</v>
      </c>
      <c r="AB679" s="75">
        <f>AA679*(1-PARAM!$C$27)*$I$9+(MOD($B679,60)=PARAM!$B$56)*($B679&gt;(60-PARAM!$B$56))*HLOOKUP(($B679+PARAM!$B$56)/12,Loyalty,2)*$F$1*MAX(AD678,0)</f>
        <v>18.557001321003963</v>
      </c>
      <c r="AC679" s="75">
        <f>PARAM!$C$26+MAX($G$9-CHOOSE(PARAM!$B$44,MAX(0,AD678*$F$1),0),0)*RATES!$L655/12+$H$9*(PARAM!$D$51/12)*RATES!$N655/100</f>
        <v>427.375</v>
      </c>
      <c r="AD679" s="16">
        <f t="shared" si="462"/>
        <v>-47835.034829587741</v>
      </c>
      <c r="AE679" s="15">
        <f t="shared" si="437"/>
        <v>22.170849845882874</v>
      </c>
      <c r="AF679" s="75">
        <f>AE679*(1-PARAM!$C$27)*$I$10+(MOD($B679,60)=PARAM!$B$56)*($B679&gt;(60-PARAM!$B$56))*HLOOKUP(($B679+PARAM!$B$56)/12,Loyalty,2)*$F$1*MAX(AH678,0)</f>
        <v>18.557001321003963</v>
      </c>
      <c r="AG679" s="75">
        <f>PARAM!$C$26+MAX($G$10-CHOOSE(PARAM!$B$44,MAX(0,AH678*$F$1),0),0)*RATES!$L655/12+$H$10*(PARAM!$D$51/12)*RATES!$N655/100</f>
        <v>427.375</v>
      </c>
      <c r="AH679" s="16">
        <f t="shared" si="463"/>
        <v>-47835.034829587741</v>
      </c>
      <c r="AI679" s="15">
        <f t="shared" si="438"/>
        <v>22.170849845882874</v>
      </c>
      <c r="AJ679" s="75">
        <f>AI679*(1-PARAM!$C$27)*$I$11+(MOD($B679,60)=PARAM!$B$56)*($B679&gt;(60-PARAM!$B$56))*HLOOKUP(($B679+PARAM!$B$56)/12,Loyalty,2)*$F$1*MAX(AL678,0)</f>
        <v>18.557001321003963</v>
      </c>
      <c r="AK679" s="75">
        <f>PARAM!$C$26+MAX($G$11-CHOOSE(PARAM!$B$44,MAX(0,AL678*$F$1),0),0)*RATES!$L655/12+$H$11*(PARAM!$D$51/12)*RATES!$N655/100</f>
        <v>427.375</v>
      </c>
      <c r="AL679" s="16">
        <f t="shared" si="464"/>
        <v>-47835.034829587741</v>
      </c>
      <c r="AM679" s="15">
        <f t="shared" si="439"/>
        <v>22.170849845882874</v>
      </c>
      <c r="AN679" s="75">
        <f>AM679*(1-PARAM!$C$27)*$I$12+(MOD($B679,60)=PARAM!$B$56)*($B679&gt;(60-PARAM!$B$56))*HLOOKUP(($B679+PARAM!$B$56)/12,Loyalty,2)*$F$1*MAX(AP678,0)</f>
        <v>18.557001321003963</v>
      </c>
      <c r="AO679" s="75">
        <f>PARAM!$C$26+MAX($G$12-CHOOSE(PARAM!$B$44,MAX(0,AP678*$F$1),0),0)*RATES!$L655/12+$H$12*(PARAM!$D$51/12)*RATES!$N655/100</f>
        <v>427.375</v>
      </c>
      <c r="AP679" s="16">
        <f t="shared" si="465"/>
        <v>-47835.034829587741</v>
      </c>
      <c r="AQ679" s="15">
        <f t="shared" si="440"/>
        <v>22.170849845882874</v>
      </c>
      <c r="AR679" s="75">
        <f>AQ679*(1-PARAM!$C$27)*$I$13+(MOD($B679,60)=PARAM!$B$56)*($B679&gt;(60-PARAM!$B$56))*HLOOKUP(($B679+PARAM!$B$56)/12,Loyalty,2)*$F$1*MAX(AT678,0)</f>
        <v>18.557001321003963</v>
      </c>
      <c r="AS679" s="75">
        <f>PARAM!$C$26+MAX($G$13-CHOOSE(PARAM!$B$44,MAX(0,AT678*$F$1),0),0)*RATES!$L655/12+$H$13*(PARAM!$D$51/12)*RATES!$N655/100</f>
        <v>427.375</v>
      </c>
      <c r="AT679" s="16">
        <f t="shared" si="466"/>
        <v>-47835.034829587741</v>
      </c>
      <c r="AU679" s="15">
        <f t="shared" si="441"/>
        <v>22.170849845882874</v>
      </c>
      <c r="AV679" s="75">
        <f>AU679*(1-PARAM!$C$27)*$I$14+(MOD($B679,60)=PARAM!$B$56)*($B679&gt;(60-PARAM!$B$56))*HLOOKUP(($B679+PARAM!$B$56)/12,Loyalty,2)*$F$1*MAX(AX678,0)</f>
        <v>18.557001321003963</v>
      </c>
      <c r="AW679" s="75">
        <f>PARAM!$C$26+MAX($G$14-CHOOSE(PARAM!$B$44,MAX(0,AX678*$F$1),0),0)*RATES!$L655/12+$H$14*(PARAM!$D$51/12)*RATES!$N655/100</f>
        <v>427.375</v>
      </c>
      <c r="AX679" s="16">
        <f t="shared" si="467"/>
        <v>-47835.034829587741</v>
      </c>
      <c r="AY679" s="15">
        <f t="shared" si="442"/>
        <v>22.170849845882874</v>
      </c>
      <c r="AZ679" s="75">
        <f>AY679*(1-PARAM!$C$27)*$I$15+(MOD($B679,60)=PARAM!$B$56)*($B679&gt;(60-PARAM!$B$56))*HLOOKUP(($B679+PARAM!$B$56)/12,Loyalty,2)*$F$1*MAX(BB678,0)</f>
        <v>18.557001321003963</v>
      </c>
      <c r="BA679" s="75">
        <f>PARAM!$C$26+MAX($G$15-CHOOSE(PARAM!$B$44,MAX(0,BB678*$F$1),0),0)*RATES!$L655/12+$H$15*(PARAM!$D$51/12)*RATES!$N655/100</f>
        <v>427.375</v>
      </c>
      <c r="BB679" s="16">
        <f t="shared" si="468"/>
        <v>-47835.034829587741</v>
      </c>
      <c r="BC679" s="15">
        <f t="shared" si="443"/>
        <v>22.170849845882874</v>
      </c>
      <c r="BD679" s="75">
        <f>BC679*(1-PARAM!$C$27)*$I$16+(MOD($B679,60)=PARAM!$B$56)*($B679&gt;(60-PARAM!$B$56))*HLOOKUP(($B679+PARAM!$B$56)/12,Loyalty,2)*$F$1*MAX(BF678,0)</f>
        <v>18.557001321003963</v>
      </c>
      <c r="BE679" s="75">
        <f>PARAM!$C$26+MAX($G$16-CHOOSE(PARAM!$B$44,MAX(0,BF678*$F$1),0),0)*RATES!$L655/12+$H$16*(PARAM!$D$51/12)*RATES!$N655/100</f>
        <v>427.375</v>
      </c>
      <c r="BF679" s="16">
        <f t="shared" si="469"/>
        <v>-47835.034829587741</v>
      </c>
      <c r="BG679" s="15">
        <f t="shared" si="444"/>
        <v>22.170849845882874</v>
      </c>
      <c r="BH679" s="75">
        <f>BG679*(1-PARAM!$C$27)*$I$17+(MOD($B679,60)=PARAM!$B$56)*($B679&gt;(60-PARAM!$B$56))*HLOOKUP(($B679+PARAM!$B$56)/12,Loyalty,2)*$F$1*MAX(BJ678,0)</f>
        <v>18.557001321003963</v>
      </c>
      <c r="BI679" s="75">
        <f>PARAM!$C$26+MAX($G$17-CHOOSE(PARAM!$B$44,MAX(0,BJ678*$F$1),0),0)*RATES!$L655/12+$H$17*(PARAM!$D$51/12)*RATES!$N655/100</f>
        <v>427.375</v>
      </c>
      <c r="BJ679" s="16">
        <f t="shared" si="470"/>
        <v>-47835.034829587741</v>
      </c>
      <c r="BK679" s="15">
        <f t="shared" si="445"/>
        <v>22.170849845882874</v>
      </c>
      <c r="BL679" s="75">
        <f>BK679*(1-PARAM!$C$27)*$I$18+(MOD($B679,60)=PARAM!$B$56)*($B679&gt;(60-PARAM!$B$56))*HLOOKUP(($B679+PARAM!$B$56)/12,Loyalty,2)*$F$1*MAX(BN678,0)</f>
        <v>18.557001321003963</v>
      </c>
      <c r="BM679" s="75">
        <f>PARAM!$C$26+MAX($G$18-CHOOSE(PARAM!$B$44,MAX(0,BN678*$F$1),0),0)*RATES!$L655/12+$H$18*(PARAM!$D$51/12)*RATES!$N655/100</f>
        <v>427.375</v>
      </c>
      <c r="BN679" s="16">
        <f t="shared" si="471"/>
        <v>-47835.034829587741</v>
      </c>
      <c r="BO679" s="15">
        <f t="shared" si="446"/>
        <v>22.170849845882874</v>
      </c>
      <c r="BP679" s="75">
        <f>BO679*(1-PARAM!$C$27)*$I$19+(MOD($B679,60)=PARAM!$B$56)*($B679&gt;(60-PARAM!$B$56))*HLOOKUP(($B679+PARAM!$B$56)/12,Loyalty,2)*$F$1*MAX(BR678,0)</f>
        <v>18.557001321003963</v>
      </c>
      <c r="BQ679" s="75">
        <f>PARAM!$C$26+MAX($G$19-CHOOSE(PARAM!$B$44,MAX(0,BR678*$F$1),0),0)*RATES!$L655/12+$H$19*(PARAM!$D$51/12)*RATES!$N655/100</f>
        <v>427.375</v>
      </c>
      <c r="BR679" s="16">
        <f t="shared" si="472"/>
        <v>-47835.034829587741</v>
      </c>
      <c r="BS679" s="15">
        <f t="shared" si="447"/>
        <v>22.170849845882874</v>
      </c>
      <c r="BT679" s="75">
        <f>BS679*(1-PARAM!$C$27)*$I$20+(MOD($B679,60)=PARAM!$B$56)*($B679&gt;(60-PARAM!$B$56))*HLOOKUP(($B679+PARAM!$B$56)/12,Loyalty,2)*$F$1*MAX(BV678,0)</f>
        <v>18.557001321003963</v>
      </c>
      <c r="BU679" s="75">
        <f>PARAM!$C$26+MAX($G$20-CHOOSE(PARAM!$B$44,MAX(0,BV678*$F$1),0),0)*RATES!$L655/12+$H$20*(PARAM!$D$51/12)*RATES!$N655/100</f>
        <v>427.375</v>
      </c>
      <c r="BV679" s="16">
        <f t="shared" si="473"/>
        <v>-47835.034829587741</v>
      </c>
      <c r="BW679" s="15">
        <f t="shared" si="448"/>
        <v>22.170849845882874</v>
      </c>
      <c r="BX679" s="75">
        <f>BW679*(1-PARAM!$C$27)*$I$21+(MOD($B679,60)=PARAM!$B$56)*($B679&gt;(60-PARAM!$B$56))*HLOOKUP(($B679+PARAM!$B$56)/12,Loyalty,2)*$F$1*MAX(BZ678,0)</f>
        <v>18.557001321003963</v>
      </c>
      <c r="BY679" s="75">
        <f>PARAM!$C$26+MAX($G$21-CHOOSE(PARAM!$B$44,MAX(0,BZ678*$F$1),0),0)*RATES!$L655/12+$H$21*(PARAM!$D$51/12)*RATES!$N655/100</f>
        <v>427.375</v>
      </c>
      <c r="BZ679" s="16">
        <f t="shared" si="474"/>
        <v>-47835.034829587741</v>
      </c>
      <c r="CA679" s="15">
        <f t="shared" si="449"/>
        <v>22.170849845882874</v>
      </c>
      <c r="CB679" s="75">
        <f>CA679*(1-PARAM!$C$27)*$I$22+(MOD($B679,60)=PARAM!$B$56)*($B679&gt;(60-PARAM!$B$56))*HLOOKUP(($B679+PARAM!$B$56)/12,Loyalty,2)*$F$1*MAX(CD678,0)</f>
        <v>18.557001321003963</v>
      </c>
      <c r="CC679" s="75">
        <f>PARAM!$C$26+MAX($G$22-CHOOSE(PARAM!$B$44,MAX(0,CD678*$F$1),0),0)*RATES!$L655/12+$H$22*(PARAM!$D$51/12)*RATES!$N655/100</f>
        <v>427.375</v>
      </c>
      <c r="CD679" s="16">
        <f t="shared" si="475"/>
        <v>-47835.034829587741</v>
      </c>
      <c r="CE679" s="33">
        <f>IF(0=MOD(B679,12/PARAM!$D$51),1,0)</f>
        <v>1</v>
      </c>
      <c r="CF679" s="15">
        <f t="shared" si="450"/>
        <v>0</v>
      </c>
      <c r="CG679" s="75">
        <f>CF679*(1-PARAM!$C$27)*$R$3+(MOD($B679/12,5)=0)*($B679&gt;60)*HLOOKUP($B679/12,Loyalty,2)*$F$1*MAX(CI678,0)</f>
        <v>0</v>
      </c>
      <c r="CH679" s="75">
        <f>PARAM!$C$26+MAX($P$3-CHOOSE(PARAM!$B$44,MAX(0,CI678*$F$1),0),0)*RATES!$L655/12+$Q$3*(PARAM!$D$51/12)*RATES!$N655/100</f>
        <v>427.375</v>
      </c>
      <c r="CI679" s="16">
        <f>IF(CI678&gt;0,CI678*PARAM!$C$53,CI678)+CG679-CH679</f>
        <v>-59814.625000000029</v>
      </c>
      <c r="CJ679" s="15">
        <f t="shared" si="476"/>
        <v>0</v>
      </c>
      <c r="CK679" s="75">
        <f>CJ679*(1-PARAM!$C$27)*$R$4+(MOD($B679/12,5)=0)*($B679&gt;60)*HLOOKUP($B679/12,Loyalty,2)*$F$1*MAX(CM678,0)</f>
        <v>0</v>
      </c>
      <c r="CL679" s="75">
        <f>PARAM!$C$26+MAX($P$4-CHOOSE(PARAM!$B$44,MAX(0,CM678*$F$1),0),0)*RATES!$L655/12+$Q$4*(PARAM!$D$51/12)*RATES!$N655/100</f>
        <v>427.375</v>
      </c>
      <c r="CM679" s="16">
        <f>IF(CM678&gt;0,CM678*PARAM!$C$53,CM678)+CK679-CL679</f>
        <v>-59814.625000000029</v>
      </c>
      <c r="CO679" s="176"/>
    </row>
    <row r="680" spans="1:93" x14ac:dyDescent="0.2">
      <c r="A680" t="b">
        <f t="shared" si="451"/>
        <v>0</v>
      </c>
      <c r="B680" s="33">
        <v>653</v>
      </c>
      <c r="C680" s="15">
        <f t="shared" si="452"/>
        <v>20.081305947392778</v>
      </c>
      <c r="D680" s="75">
        <f>C680*(1-PARAM!$C$27)*$I$3+(MOD($B680,60)=PARAM!$B$56)*($B680&gt;(60-PARAM!$B$56))*HLOOKUP(($B680+PARAM!$B$56)/12,Loyalty,2)*$F$1*MAX(F679,0)</f>
        <v>16.808053077967756</v>
      </c>
      <c r="E680" s="75">
        <f>PARAM!$C$26+MAX($G$3-CHOOSE(PARAM!$B$44,MAX(0,F679*$F$1),0),0)*RATES!$L656/12+$H$3*(PARAM!$D$51/12)*RATES!$N656/100</f>
        <v>427.375</v>
      </c>
      <c r="F680" s="16">
        <f t="shared" si="453"/>
        <v>-49422.766531490874</v>
      </c>
      <c r="G680" s="15">
        <f t="shared" si="454"/>
        <v>22.035289406060361</v>
      </c>
      <c r="H680" s="75">
        <f>G680*(1-PARAM!$C$27)*$I$4+(MOD($B680,60)=PARAM!$B$56)*($B680&gt;(60-PARAM!$B$56))*HLOOKUP(($B680+PARAM!$B$56)/12,Loyalty,2)*$F$1*MAX(J679,0)</f>
        <v>18.443537232872522</v>
      </c>
      <c r="I680" s="75">
        <f>PARAM!$C$26+MAX($G$4-CHOOSE(PARAM!$B$44,MAX(0,J679*$F$1),0),0)*RATES!$L656/12+$H$4*(PARAM!$D$51/12)*RATES!$N656/100</f>
        <v>427.375</v>
      </c>
      <c r="J680" s="16">
        <f t="shared" si="455"/>
        <v>-48320.962414216265</v>
      </c>
      <c r="K680" s="15">
        <f t="shared" si="456"/>
        <v>22.170849845882874</v>
      </c>
      <c r="L680" s="75">
        <f>K680*(1-PARAM!$C$27)*$I$5+(MOD($B680,60)=PARAM!$B$56)*($B680&gt;(60-PARAM!$B$56))*HLOOKUP(($B680+PARAM!$B$56)/12,Loyalty,2)*$F$1*MAX(N679,0)</f>
        <v>18.557001321003963</v>
      </c>
      <c r="M680" s="75">
        <f>PARAM!$C$26+MAX($G$5-CHOOSE(PARAM!$B$44,MAX(0,N679*$F$1),0),0)*RATES!$L656/12+$H$5*(PARAM!$D$51/12)*RATES!$N656/100</f>
        <v>427.375</v>
      </c>
      <c r="N680" s="16">
        <f t="shared" si="457"/>
        <v>-48243.852828266739</v>
      </c>
      <c r="O680" s="15">
        <f t="shared" si="458"/>
        <v>22.170849845882874</v>
      </c>
      <c r="P680" s="75">
        <f>O680*(1-PARAM!$C$27)*$I$6+(MOD($B680,60)=PARAM!$B$56)*($B680&gt;(60-PARAM!$B$56))*HLOOKUP(($B680+PARAM!$B$56)/12,Loyalty,2)*$F$1*MAX(R679,0)</f>
        <v>18.557001321003963</v>
      </c>
      <c r="Q680" s="75">
        <f>PARAM!$C$26+MAX($G$6-CHOOSE(PARAM!$B$44,MAX(0,R679*$F$1),0),0)*RATES!$L656/12+$H$6*(PARAM!$D$51/12)*RATES!$N656/100</f>
        <v>427.375</v>
      </c>
      <c r="R680" s="16">
        <f t="shared" si="459"/>
        <v>-48243.852828266739</v>
      </c>
      <c r="S680" s="15">
        <f t="shared" si="434"/>
        <v>22.170849845882874</v>
      </c>
      <c r="T680" s="75">
        <f>S680*(1-PARAM!$C$27)*$I$7+(MOD($B680,60)=PARAM!$B$56)*($B680&gt;(60-PARAM!$B$56))*HLOOKUP(($B680+PARAM!$B$56)/12,Loyalty,2)*$F$1*MAX(V679,0)</f>
        <v>18.557001321003963</v>
      </c>
      <c r="U680" s="75">
        <f>PARAM!$C$26+MAX($G$7-CHOOSE(PARAM!$B$44,MAX(0,V679*$F$1),0),0)*RATES!$L656/12+$H$7*(PARAM!$D$51/12)*RATES!$N656/100</f>
        <v>427.375</v>
      </c>
      <c r="V680" s="16">
        <f t="shared" si="460"/>
        <v>-48243.852828266739</v>
      </c>
      <c r="W680" s="15">
        <f t="shared" si="435"/>
        <v>22.170849845882874</v>
      </c>
      <c r="X680" s="75">
        <f>W680*(1-PARAM!$C$27)*$I$8+(MOD($B680,60)=PARAM!$B$56)*($B680&gt;(60-PARAM!$B$56))*HLOOKUP(($B680+PARAM!$B$56)/12,Loyalty,2)*$F$1*MAX(Z679,0)</f>
        <v>18.557001321003963</v>
      </c>
      <c r="Y680" s="75">
        <f>PARAM!$C$26+MAX($G$8-CHOOSE(PARAM!$B$44,MAX(0,Z679*$F$1),0),0)*RATES!$L656/12+$H$8*(PARAM!$D$51/12)*RATES!$N656/100</f>
        <v>427.375</v>
      </c>
      <c r="Z680" s="16">
        <f t="shared" si="461"/>
        <v>-48243.852828266739</v>
      </c>
      <c r="AA680" s="15">
        <f t="shared" si="436"/>
        <v>22.170849845882874</v>
      </c>
      <c r="AB680" s="75">
        <f>AA680*(1-PARAM!$C$27)*$I$9+(MOD($B680,60)=PARAM!$B$56)*($B680&gt;(60-PARAM!$B$56))*HLOOKUP(($B680+PARAM!$B$56)/12,Loyalty,2)*$F$1*MAX(AD679,0)</f>
        <v>18.557001321003963</v>
      </c>
      <c r="AC680" s="75">
        <f>PARAM!$C$26+MAX($G$9-CHOOSE(PARAM!$B$44,MAX(0,AD679*$F$1),0),0)*RATES!$L656/12+$H$9*(PARAM!$D$51/12)*RATES!$N656/100</f>
        <v>427.375</v>
      </c>
      <c r="AD680" s="16">
        <f t="shared" si="462"/>
        <v>-48243.852828266739</v>
      </c>
      <c r="AE680" s="15">
        <f t="shared" si="437"/>
        <v>22.170849845882874</v>
      </c>
      <c r="AF680" s="75">
        <f>AE680*(1-PARAM!$C$27)*$I$10+(MOD($B680,60)=PARAM!$B$56)*($B680&gt;(60-PARAM!$B$56))*HLOOKUP(($B680+PARAM!$B$56)/12,Loyalty,2)*$F$1*MAX(AH679,0)</f>
        <v>18.557001321003963</v>
      </c>
      <c r="AG680" s="75">
        <f>PARAM!$C$26+MAX($G$10-CHOOSE(PARAM!$B$44,MAX(0,AH679*$F$1),0),0)*RATES!$L656/12+$H$10*(PARAM!$D$51/12)*RATES!$N656/100</f>
        <v>427.375</v>
      </c>
      <c r="AH680" s="16">
        <f t="shared" si="463"/>
        <v>-48243.852828266739</v>
      </c>
      <c r="AI680" s="15">
        <f t="shared" si="438"/>
        <v>22.170849845882874</v>
      </c>
      <c r="AJ680" s="75">
        <f>AI680*(1-PARAM!$C$27)*$I$11+(MOD($B680,60)=PARAM!$B$56)*($B680&gt;(60-PARAM!$B$56))*HLOOKUP(($B680+PARAM!$B$56)/12,Loyalty,2)*$F$1*MAX(AL679,0)</f>
        <v>18.557001321003963</v>
      </c>
      <c r="AK680" s="75">
        <f>PARAM!$C$26+MAX($G$11-CHOOSE(PARAM!$B$44,MAX(0,AL679*$F$1),0),0)*RATES!$L656/12+$H$11*(PARAM!$D$51/12)*RATES!$N656/100</f>
        <v>427.375</v>
      </c>
      <c r="AL680" s="16">
        <f t="shared" si="464"/>
        <v>-48243.852828266739</v>
      </c>
      <c r="AM680" s="15">
        <f t="shared" si="439"/>
        <v>22.170849845882874</v>
      </c>
      <c r="AN680" s="75">
        <f>AM680*(1-PARAM!$C$27)*$I$12+(MOD($B680,60)=PARAM!$B$56)*($B680&gt;(60-PARAM!$B$56))*HLOOKUP(($B680+PARAM!$B$56)/12,Loyalty,2)*$F$1*MAX(AP679,0)</f>
        <v>18.557001321003963</v>
      </c>
      <c r="AO680" s="75">
        <f>PARAM!$C$26+MAX($G$12-CHOOSE(PARAM!$B$44,MAX(0,AP679*$F$1),0),0)*RATES!$L656/12+$H$12*(PARAM!$D$51/12)*RATES!$N656/100</f>
        <v>427.375</v>
      </c>
      <c r="AP680" s="16">
        <f t="shared" si="465"/>
        <v>-48243.852828266739</v>
      </c>
      <c r="AQ680" s="15">
        <f t="shared" si="440"/>
        <v>22.170849845882874</v>
      </c>
      <c r="AR680" s="75">
        <f>AQ680*(1-PARAM!$C$27)*$I$13+(MOD($B680,60)=PARAM!$B$56)*($B680&gt;(60-PARAM!$B$56))*HLOOKUP(($B680+PARAM!$B$56)/12,Loyalty,2)*$F$1*MAX(AT679,0)</f>
        <v>18.557001321003963</v>
      </c>
      <c r="AS680" s="75">
        <f>PARAM!$C$26+MAX($G$13-CHOOSE(PARAM!$B$44,MAX(0,AT679*$F$1),0),0)*RATES!$L656/12+$H$13*(PARAM!$D$51/12)*RATES!$N656/100</f>
        <v>427.375</v>
      </c>
      <c r="AT680" s="16">
        <f t="shared" si="466"/>
        <v>-48243.852828266739</v>
      </c>
      <c r="AU680" s="15">
        <f t="shared" si="441"/>
        <v>22.170849845882874</v>
      </c>
      <c r="AV680" s="75">
        <f>AU680*(1-PARAM!$C$27)*$I$14+(MOD($B680,60)=PARAM!$B$56)*($B680&gt;(60-PARAM!$B$56))*HLOOKUP(($B680+PARAM!$B$56)/12,Loyalty,2)*$F$1*MAX(AX679,0)</f>
        <v>18.557001321003963</v>
      </c>
      <c r="AW680" s="75">
        <f>PARAM!$C$26+MAX($G$14-CHOOSE(PARAM!$B$44,MAX(0,AX679*$F$1),0),0)*RATES!$L656/12+$H$14*(PARAM!$D$51/12)*RATES!$N656/100</f>
        <v>427.375</v>
      </c>
      <c r="AX680" s="16">
        <f t="shared" si="467"/>
        <v>-48243.852828266739</v>
      </c>
      <c r="AY680" s="15">
        <f t="shared" si="442"/>
        <v>22.170849845882874</v>
      </c>
      <c r="AZ680" s="75">
        <f>AY680*(1-PARAM!$C$27)*$I$15+(MOD($B680,60)=PARAM!$B$56)*($B680&gt;(60-PARAM!$B$56))*HLOOKUP(($B680+PARAM!$B$56)/12,Loyalty,2)*$F$1*MAX(BB679,0)</f>
        <v>18.557001321003963</v>
      </c>
      <c r="BA680" s="75">
        <f>PARAM!$C$26+MAX($G$15-CHOOSE(PARAM!$B$44,MAX(0,BB679*$F$1),0),0)*RATES!$L656/12+$H$15*(PARAM!$D$51/12)*RATES!$N656/100</f>
        <v>427.375</v>
      </c>
      <c r="BB680" s="16">
        <f t="shared" si="468"/>
        <v>-48243.852828266739</v>
      </c>
      <c r="BC680" s="15">
        <f t="shared" si="443"/>
        <v>22.170849845882874</v>
      </c>
      <c r="BD680" s="75">
        <f>BC680*(1-PARAM!$C$27)*$I$16+(MOD($B680,60)=PARAM!$B$56)*($B680&gt;(60-PARAM!$B$56))*HLOOKUP(($B680+PARAM!$B$56)/12,Loyalty,2)*$F$1*MAX(BF679,0)</f>
        <v>18.557001321003963</v>
      </c>
      <c r="BE680" s="75">
        <f>PARAM!$C$26+MAX($G$16-CHOOSE(PARAM!$B$44,MAX(0,BF679*$F$1),0),0)*RATES!$L656/12+$H$16*(PARAM!$D$51/12)*RATES!$N656/100</f>
        <v>427.375</v>
      </c>
      <c r="BF680" s="16">
        <f t="shared" si="469"/>
        <v>-48243.852828266739</v>
      </c>
      <c r="BG680" s="15">
        <f t="shared" si="444"/>
        <v>22.170849845882874</v>
      </c>
      <c r="BH680" s="75">
        <f>BG680*(1-PARAM!$C$27)*$I$17+(MOD($B680,60)=PARAM!$B$56)*($B680&gt;(60-PARAM!$B$56))*HLOOKUP(($B680+PARAM!$B$56)/12,Loyalty,2)*$F$1*MAX(BJ679,0)</f>
        <v>18.557001321003963</v>
      </c>
      <c r="BI680" s="75">
        <f>PARAM!$C$26+MAX($G$17-CHOOSE(PARAM!$B$44,MAX(0,BJ679*$F$1),0),0)*RATES!$L656/12+$H$17*(PARAM!$D$51/12)*RATES!$N656/100</f>
        <v>427.375</v>
      </c>
      <c r="BJ680" s="16">
        <f t="shared" si="470"/>
        <v>-48243.852828266739</v>
      </c>
      <c r="BK680" s="15">
        <f t="shared" si="445"/>
        <v>22.170849845882874</v>
      </c>
      <c r="BL680" s="75">
        <f>BK680*(1-PARAM!$C$27)*$I$18+(MOD($B680,60)=PARAM!$B$56)*($B680&gt;(60-PARAM!$B$56))*HLOOKUP(($B680+PARAM!$B$56)/12,Loyalty,2)*$F$1*MAX(BN679,0)</f>
        <v>18.557001321003963</v>
      </c>
      <c r="BM680" s="75">
        <f>PARAM!$C$26+MAX($G$18-CHOOSE(PARAM!$B$44,MAX(0,BN679*$F$1),0),0)*RATES!$L656/12+$H$18*(PARAM!$D$51/12)*RATES!$N656/100</f>
        <v>427.375</v>
      </c>
      <c r="BN680" s="16">
        <f t="shared" si="471"/>
        <v>-48243.852828266739</v>
      </c>
      <c r="BO680" s="15">
        <f t="shared" si="446"/>
        <v>22.170849845882874</v>
      </c>
      <c r="BP680" s="75">
        <f>BO680*(1-PARAM!$C$27)*$I$19+(MOD($B680,60)=PARAM!$B$56)*($B680&gt;(60-PARAM!$B$56))*HLOOKUP(($B680+PARAM!$B$56)/12,Loyalty,2)*$F$1*MAX(BR679,0)</f>
        <v>18.557001321003963</v>
      </c>
      <c r="BQ680" s="75">
        <f>PARAM!$C$26+MAX($G$19-CHOOSE(PARAM!$B$44,MAX(0,BR679*$F$1),0),0)*RATES!$L656/12+$H$19*(PARAM!$D$51/12)*RATES!$N656/100</f>
        <v>427.375</v>
      </c>
      <c r="BR680" s="16">
        <f t="shared" si="472"/>
        <v>-48243.852828266739</v>
      </c>
      <c r="BS680" s="15">
        <f t="shared" si="447"/>
        <v>22.170849845882874</v>
      </c>
      <c r="BT680" s="75">
        <f>BS680*(1-PARAM!$C$27)*$I$20+(MOD($B680,60)=PARAM!$B$56)*($B680&gt;(60-PARAM!$B$56))*HLOOKUP(($B680+PARAM!$B$56)/12,Loyalty,2)*$F$1*MAX(BV679,0)</f>
        <v>18.557001321003963</v>
      </c>
      <c r="BU680" s="75">
        <f>PARAM!$C$26+MAX($G$20-CHOOSE(PARAM!$B$44,MAX(0,BV679*$F$1),0),0)*RATES!$L656/12+$H$20*(PARAM!$D$51/12)*RATES!$N656/100</f>
        <v>427.375</v>
      </c>
      <c r="BV680" s="16">
        <f t="shared" si="473"/>
        <v>-48243.852828266739</v>
      </c>
      <c r="BW680" s="15">
        <f t="shared" si="448"/>
        <v>22.170849845882874</v>
      </c>
      <c r="BX680" s="75">
        <f>BW680*(1-PARAM!$C$27)*$I$21+(MOD($B680,60)=PARAM!$B$56)*($B680&gt;(60-PARAM!$B$56))*HLOOKUP(($B680+PARAM!$B$56)/12,Loyalty,2)*$F$1*MAX(BZ679,0)</f>
        <v>18.557001321003963</v>
      </c>
      <c r="BY680" s="75">
        <f>PARAM!$C$26+MAX($G$21-CHOOSE(PARAM!$B$44,MAX(0,BZ679*$F$1),0),0)*RATES!$L656/12+$H$21*(PARAM!$D$51/12)*RATES!$N656/100</f>
        <v>427.375</v>
      </c>
      <c r="BZ680" s="16">
        <f t="shared" si="474"/>
        <v>-48243.852828266739</v>
      </c>
      <c r="CA680" s="15">
        <f t="shared" si="449"/>
        <v>22.170849845882874</v>
      </c>
      <c r="CB680" s="75">
        <f>CA680*(1-PARAM!$C$27)*$I$22+(MOD($B680,60)=PARAM!$B$56)*($B680&gt;(60-PARAM!$B$56))*HLOOKUP(($B680+PARAM!$B$56)/12,Loyalty,2)*$F$1*MAX(CD679,0)</f>
        <v>18.557001321003963</v>
      </c>
      <c r="CC680" s="75">
        <f>PARAM!$C$26+MAX($G$22-CHOOSE(PARAM!$B$44,MAX(0,CD679*$F$1),0),0)*RATES!$L656/12+$H$22*(PARAM!$D$51/12)*RATES!$N656/100</f>
        <v>427.375</v>
      </c>
      <c r="CD680" s="16">
        <f t="shared" si="475"/>
        <v>-48243.852828266739</v>
      </c>
      <c r="CE680" s="33">
        <f>IF(0=MOD(B680,12/PARAM!$D$51),1,0)</f>
        <v>1</v>
      </c>
      <c r="CF680" s="15">
        <f t="shared" si="450"/>
        <v>0</v>
      </c>
      <c r="CG680" s="75">
        <f>CF680*(1-PARAM!$C$27)*$R$3+(MOD($B680/12,5)=0)*($B680&gt;60)*HLOOKUP($B680/12,Loyalty,2)*$F$1*MAX(CI679,0)</f>
        <v>0</v>
      </c>
      <c r="CH680" s="75">
        <f>PARAM!$C$26+MAX($P$3-CHOOSE(PARAM!$B$44,MAX(0,CI679*$F$1),0),0)*RATES!$L656/12+$Q$3*(PARAM!$D$51/12)*RATES!$N656/100</f>
        <v>427.375</v>
      </c>
      <c r="CI680" s="16">
        <f>IF(CI679&gt;0,CI679*PARAM!$C$53,CI679)+CG680-CH680</f>
        <v>-60242.000000000029</v>
      </c>
      <c r="CJ680" s="15">
        <f t="shared" si="476"/>
        <v>0</v>
      </c>
      <c r="CK680" s="75">
        <f>CJ680*(1-PARAM!$C$27)*$R$4+(MOD($B680/12,5)=0)*($B680&gt;60)*HLOOKUP($B680/12,Loyalty,2)*$F$1*MAX(CM679,0)</f>
        <v>0</v>
      </c>
      <c r="CL680" s="75">
        <f>PARAM!$C$26+MAX($P$4-CHOOSE(PARAM!$B$44,MAX(0,CM679*$F$1),0),0)*RATES!$L656/12+$Q$4*(PARAM!$D$51/12)*RATES!$N656/100</f>
        <v>427.375</v>
      </c>
      <c r="CM680" s="16">
        <f>IF(CM679&gt;0,CM679*PARAM!$C$53,CM679)+CK680-CL680</f>
        <v>-60242.000000000029</v>
      </c>
      <c r="CO680" s="176"/>
    </row>
    <row r="681" spans="1:93" x14ac:dyDescent="0.2">
      <c r="A681" t="b">
        <f t="shared" si="451"/>
        <v>0</v>
      </c>
      <c r="B681" s="33">
        <v>654</v>
      </c>
      <c r="C681" s="15">
        <f t="shared" si="452"/>
        <v>20.081305947392778</v>
      </c>
      <c r="D681" s="75">
        <f>C681*(1-PARAM!$C$27)*$I$3+(MOD($B681,60)=PARAM!$B$56)*($B681&gt;(60-PARAM!$B$56))*HLOOKUP(($B681+PARAM!$B$56)/12,Loyalty,2)*$F$1*MAX(F680,0)</f>
        <v>16.808053077967756</v>
      </c>
      <c r="E681" s="75">
        <f>PARAM!$C$26+MAX($G$3-CHOOSE(PARAM!$B$44,MAX(0,F680*$F$1),0),0)*RATES!$L657/12+$H$3*(PARAM!$D$51/12)*RATES!$N657/100</f>
        <v>464.41666666666674</v>
      </c>
      <c r="F681" s="16">
        <f t="shared" si="453"/>
        <v>-49870.375145079568</v>
      </c>
      <c r="G681" s="15">
        <f t="shared" si="454"/>
        <v>22.035289406060361</v>
      </c>
      <c r="H681" s="75">
        <f>G681*(1-PARAM!$C$27)*$I$4+(MOD($B681,60)=PARAM!$B$56)*($B681&gt;(60-PARAM!$B$56))*HLOOKUP(($B681+PARAM!$B$56)/12,Loyalty,2)*$F$1*MAX(J680,0)</f>
        <v>18.443537232872522</v>
      </c>
      <c r="I681" s="75">
        <f>PARAM!$C$26+MAX($G$4-CHOOSE(PARAM!$B$44,MAX(0,J680*$F$1),0),0)*RATES!$L657/12+$H$4*(PARAM!$D$51/12)*RATES!$N657/100</f>
        <v>464.41666666666674</v>
      </c>
      <c r="J681" s="16">
        <f t="shared" si="455"/>
        <v>-48766.935543650055</v>
      </c>
      <c r="K681" s="15">
        <f t="shared" si="456"/>
        <v>22.170849845882874</v>
      </c>
      <c r="L681" s="75">
        <f>K681*(1-PARAM!$C$27)*$I$5+(MOD($B681,60)=PARAM!$B$56)*($B681&gt;(60-PARAM!$B$56))*HLOOKUP(($B681+PARAM!$B$56)/12,Loyalty,2)*$F$1*MAX(N680,0)</f>
        <v>18.557001321003963</v>
      </c>
      <c r="M681" s="75">
        <f>PARAM!$C$26+MAX($G$5-CHOOSE(PARAM!$B$44,MAX(0,N680*$F$1),0),0)*RATES!$L657/12+$H$5*(PARAM!$D$51/12)*RATES!$N657/100</f>
        <v>464.41666666666674</v>
      </c>
      <c r="N681" s="16">
        <f t="shared" si="457"/>
        <v>-48689.712493612402</v>
      </c>
      <c r="O681" s="15">
        <f t="shared" si="458"/>
        <v>22.170849845882874</v>
      </c>
      <c r="P681" s="75">
        <f>O681*(1-PARAM!$C$27)*$I$6+(MOD($B681,60)=PARAM!$B$56)*($B681&gt;(60-PARAM!$B$56))*HLOOKUP(($B681+PARAM!$B$56)/12,Loyalty,2)*$F$1*MAX(R680,0)</f>
        <v>18.557001321003963</v>
      </c>
      <c r="Q681" s="75">
        <f>PARAM!$C$26+MAX($G$6-CHOOSE(PARAM!$B$44,MAX(0,R680*$F$1),0),0)*RATES!$L657/12+$H$6*(PARAM!$D$51/12)*RATES!$N657/100</f>
        <v>464.41666666666674</v>
      </c>
      <c r="R681" s="16">
        <f t="shared" si="459"/>
        <v>-48689.712493612402</v>
      </c>
      <c r="S681" s="15">
        <f t="shared" si="434"/>
        <v>22.170849845882874</v>
      </c>
      <c r="T681" s="75">
        <f>S681*(1-PARAM!$C$27)*$I$7+(MOD($B681,60)=PARAM!$B$56)*($B681&gt;(60-PARAM!$B$56))*HLOOKUP(($B681+PARAM!$B$56)/12,Loyalty,2)*$F$1*MAX(V680,0)</f>
        <v>18.557001321003963</v>
      </c>
      <c r="U681" s="75">
        <f>PARAM!$C$26+MAX($G$7-CHOOSE(PARAM!$B$44,MAX(0,V680*$F$1),0),0)*RATES!$L657/12+$H$7*(PARAM!$D$51/12)*RATES!$N657/100</f>
        <v>464.41666666666674</v>
      </c>
      <c r="V681" s="16">
        <f t="shared" si="460"/>
        <v>-48689.712493612402</v>
      </c>
      <c r="W681" s="15">
        <f t="shared" si="435"/>
        <v>22.170849845882874</v>
      </c>
      <c r="X681" s="75">
        <f>W681*(1-PARAM!$C$27)*$I$8+(MOD($B681,60)=PARAM!$B$56)*($B681&gt;(60-PARAM!$B$56))*HLOOKUP(($B681+PARAM!$B$56)/12,Loyalty,2)*$F$1*MAX(Z680,0)</f>
        <v>18.557001321003963</v>
      </c>
      <c r="Y681" s="75">
        <f>PARAM!$C$26+MAX($G$8-CHOOSE(PARAM!$B$44,MAX(0,Z680*$F$1),0),0)*RATES!$L657/12+$H$8*(PARAM!$D$51/12)*RATES!$N657/100</f>
        <v>464.41666666666674</v>
      </c>
      <c r="Z681" s="16">
        <f t="shared" si="461"/>
        <v>-48689.712493612402</v>
      </c>
      <c r="AA681" s="15">
        <f t="shared" si="436"/>
        <v>22.170849845882874</v>
      </c>
      <c r="AB681" s="75">
        <f>AA681*(1-PARAM!$C$27)*$I$9+(MOD($B681,60)=PARAM!$B$56)*($B681&gt;(60-PARAM!$B$56))*HLOOKUP(($B681+PARAM!$B$56)/12,Loyalty,2)*$F$1*MAX(AD680,0)</f>
        <v>18.557001321003963</v>
      </c>
      <c r="AC681" s="75">
        <f>PARAM!$C$26+MAX($G$9-CHOOSE(PARAM!$B$44,MAX(0,AD680*$F$1),0),0)*RATES!$L657/12+$H$9*(PARAM!$D$51/12)*RATES!$N657/100</f>
        <v>464.41666666666674</v>
      </c>
      <c r="AD681" s="16">
        <f t="shared" si="462"/>
        <v>-48689.712493612402</v>
      </c>
      <c r="AE681" s="15">
        <f t="shared" si="437"/>
        <v>22.170849845882874</v>
      </c>
      <c r="AF681" s="75">
        <f>AE681*(1-PARAM!$C$27)*$I$10+(MOD($B681,60)=PARAM!$B$56)*($B681&gt;(60-PARAM!$B$56))*HLOOKUP(($B681+PARAM!$B$56)/12,Loyalty,2)*$F$1*MAX(AH680,0)</f>
        <v>18.557001321003963</v>
      </c>
      <c r="AG681" s="75">
        <f>PARAM!$C$26+MAX($G$10-CHOOSE(PARAM!$B$44,MAX(0,AH680*$F$1),0),0)*RATES!$L657/12+$H$10*(PARAM!$D$51/12)*RATES!$N657/100</f>
        <v>464.41666666666674</v>
      </c>
      <c r="AH681" s="16">
        <f t="shared" si="463"/>
        <v>-48689.712493612402</v>
      </c>
      <c r="AI681" s="15">
        <f t="shared" si="438"/>
        <v>22.170849845882874</v>
      </c>
      <c r="AJ681" s="75">
        <f>AI681*(1-PARAM!$C$27)*$I$11+(MOD($B681,60)=PARAM!$B$56)*($B681&gt;(60-PARAM!$B$56))*HLOOKUP(($B681+PARAM!$B$56)/12,Loyalty,2)*$F$1*MAX(AL680,0)</f>
        <v>18.557001321003963</v>
      </c>
      <c r="AK681" s="75">
        <f>PARAM!$C$26+MAX($G$11-CHOOSE(PARAM!$B$44,MAX(0,AL680*$F$1),0),0)*RATES!$L657/12+$H$11*(PARAM!$D$51/12)*RATES!$N657/100</f>
        <v>464.41666666666674</v>
      </c>
      <c r="AL681" s="16">
        <f t="shared" si="464"/>
        <v>-48689.712493612402</v>
      </c>
      <c r="AM681" s="15">
        <f t="shared" si="439"/>
        <v>22.170849845882874</v>
      </c>
      <c r="AN681" s="75">
        <f>AM681*(1-PARAM!$C$27)*$I$12+(MOD($B681,60)=PARAM!$B$56)*($B681&gt;(60-PARAM!$B$56))*HLOOKUP(($B681+PARAM!$B$56)/12,Loyalty,2)*$F$1*MAX(AP680,0)</f>
        <v>18.557001321003963</v>
      </c>
      <c r="AO681" s="75">
        <f>PARAM!$C$26+MAX($G$12-CHOOSE(PARAM!$B$44,MAX(0,AP680*$F$1),0),0)*RATES!$L657/12+$H$12*(PARAM!$D$51/12)*RATES!$N657/100</f>
        <v>464.41666666666674</v>
      </c>
      <c r="AP681" s="16">
        <f t="shared" si="465"/>
        <v>-48689.712493612402</v>
      </c>
      <c r="AQ681" s="15">
        <f t="shared" si="440"/>
        <v>22.170849845882874</v>
      </c>
      <c r="AR681" s="75">
        <f>AQ681*(1-PARAM!$C$27)*$I$13+(MOD($B681,60)=PARAM!$B$56)*($B681&gt;(60-PARAM!$B$56))*HLOOKUP(($B681+PARAM!$B$56)/12,Loyalty,2)*$F$1*MAX(AT680,0)</f>
        <v>18.557001321003963</v>
      </c>
      <c r="AS681" s="75">
        <f>PARAM!$C$26+MAX($G$13-CHOOSE(PARAM!$B$44,MAX(0,AT680*$F$1),0),0)*RATES!$L657/12+$H$13*(PARAM!$D$51/12)*RATES!$N657/100</f>
        <v>464.41666666666674</v>
      </c>
      <c r="AT681" s="16">
        <f t="shared" si="466"/>
        <v>-48689.712493612402</v>
      </c>
      <c r="AU681" s="15">
        <f t="shared" si="441"/>
        <v>22.170849845882874</v>
      </c>
      <c r="AV681" s="75">
        <f>AU681*(1-PARAM!$C$27)*$I$14+(MOD($B681,60)=PARAM!$B$56)*($B681&gt;(60-PARAM!$B$56))*HLOOKUP(($B681+PARAM!$B$56)/12,Loyalty,2)*$F$1*MAX(AX680,0)</f>
        <v>18.557001321003963</v>
      </c>
      <c r="AW681" s="75">
        <f>PARAM!$C$26+MAX($G$14-CHOOSE(PARAM!$B$44,MAX(0,AX680*$F$1),0),0)*RATES!$L657/12+$H$14*(PARAM!$D$51/12)*RATES!$N657/100</f>
        <v>464.41666666666674</v>
      </c>
      <c r="AX681" s="16">
        <f t="shared" si="467"/>
        <v>-48689.712493612402</v>
      </c>
      <c r="AY681" s="15">
        <f t="shared" si="442"/>
        <v>22.170849845882874</v>
      </c>
      <c r="AZ681" s="75">
        <f>AY681*(1-PARAM!$C$27)*$I$15+(MOD($B681,60)=PARAM!$B$56)*($B681&gt;(60-PARAM!$B$56))*HLOOKUP(($B681+PARAM!$B$56)/12,Loyalty,2)*$F$1*MAX(BB680,0)</f>
        <v>18.557001321003963</v>
      </c>
      <c r="BA681" s="75">
        <f>PARAM!$C$26+MAX($G$15-CHOOSE(PARAM!$B$44,MAX(0,BB680*$F$1),0),0)*RATES!$L657/12+$H$15*(PARAM!$D$51/12)*RATES!$N657/100</f>
        <v>464.41666666666674</v>
      </c>
      <c r="BB681" s="16">
        <f t="shared" si="468"/>
        <v>-48689.712493612402</v>
      </c>
      <c r="BC681" s="15">
        <f t="shared" si="443"/>
        <v>22.170849845882874</v>
      </c>
      <c r="BD681" s="75">
        <f>BC681*(1-PARAM!$C$27)*$I$16+(MOD($B681,60)=PARAM!$B$56)*($B681&gt;(60-PARAM!$B$56))*HLOOKUP(($B681+PARAM!$B$56)/12,Loyalty,2)*$F$1*MAX(BF680,0)</f>
        <v>18.557001321003963</v>
      </c>
      <c r="BE681" s="75">
        <f>PARAM!$C$26+MAX($G$16-CHOOSE(PARAM!$B$44,MAX(0,BF680*$F$1),0),0)*RATES!$L657/12+$H$16*(PARAM!$D$51/12)*RATES!$N657/100</f>
        <v>464.41666666666674</v>
      </c>
      <c r="BF681" s="16">
        <f t="shared" si="469"/>
        <v>-48689.712493612402</v>
      </c>
      <c r="BG681" s="15">
        <f t="shared" si="444"/>
        <v>22.170849845882874</v>
      </c>
      <c r="BH681" s="75">
        <f>BG681*(1-PARAM!$C$27)*$I$17+(MOD($B681,60)=PARAM!$B$56)*($B681&gt;(60-PARAM!$B$56))*HLOOKUP(($B681+PARAM!$B$56)/12,Loyalty,2)*$F$1*MAX(BJ680,0)</f>
        <v>18.557001321003963</v>
      </c>
      <c r="BI681" s="75">
        <f>PARAM!$C$26+MAX($G$17-CHOOSE(PARAM!$B$44,MAX(0,BJ680*$F$1),0),0)*RATES!$L657/12+$H$17*(PARAM!$D$51/12)*RATES!$N657/100</f>
        <v>464.41666666666674</v>
      </c>
      <c r="BJ681" s="16">
        <f t="shared" si="470"/>
        <v>-48689.712493612402</v>
      </c>
      <c r="BK681" s="15">
        <f t="shared" si="445"/>
        <v>22.170849845882874</v>
      </c>
      <c r="BL681" s="75">
        <f>BK681*(1-PARAM!$C$27)*$I$18+(MOD($B681,60)=PARAM!$B$56)*($B681&gt;(60-PARAM!$B$56))*HLOOKUP(($B681+PARAM!$B$56)/12,Loyalty,2)*$F$1*MAX(BN680,0)</f>
        <v>18.557001321003963</v>
      </c>
      <c r="BM681" s="75">
        <f>PARAM!$C$26+MAX($G$18-CHOOSE(PARAM!$B$44,MAX(0,BN680*$F$1),0),0)*RATES!$L657/12+$H$18*(PARAM!$D$51/12)*RATES!$N657/100</f>
        <v>464.41666666666674</v>
      </c>
      <c r="BN681" s="16">
        <f t="shared" si="471"/>
        <v>-48689.712493612402</v>
      </c>
      <c r="BO681" s="15">
        <f t="shared" si="446"/>
        <v>22.170849845882874</v>
      </c>
      <c r="BP681" s="75">
        <f>BO681*(1-PARAM!$C$27)*$I$19+(MOD($B681,60)=PARAM!$B$56)*($B681&gt;(60-PARAM!$B$56))*HLOOKUP(($B681+PARAM!$B$56)/12,Loyalty,2)*$F$1*MAX(BR680,0)</f>
        <v>18.557001321003963</v>
      </c>
      <c r="BQ681" s="75">
        <f>PARAM!$C$26+MAX($G$19-CHOOSE(PARAM!$B$44,MAX(0,BR680*$F$1),0),0)*RATES!$L657/12+$H$19*(PARAM!$D$51/12)*RATES!$N657/100</f>
        <v>464.41666666666674</v>
      </c>
      <c r="BR681" s="16">
        <f t="shared" si="472"/>
        <v>-48689.712493612402</v>
      </c>
      <c r="BS681" s="15">
        <f t="shared" si="447"/>
        <v>22.170849845882874</v>
      </c>
      <c r="BT681" s="75">
        <f>BS681*(1-PARAM!$C$27)*$I$20+(MOD($B681,60)=PARAM!$B$56)*($B681&gt;(60-PARAM!$B$56))*HLOOKUP(($B681+PARAM!$B$56)/12,Loyalty,2)*$F$1*MAX(BV680,0)</f>
        <v>18.557001321003963</v>
      </c>
      <c r="BU681" s="75">
        <f>PARAM!$C$26+MAX($G$20-CHOOSE(PARAM!$B$44,MAX(0,BV680*$F$1),0),0)*RATES!$L657/12+$H$20*(PARAM!$D$51/12)*RATES!$N657/100</f>
        <v>464.41666666666674</v>
      </c>
      <c r="BV681" s="16">
        <f t="shared" si="473"/>
        <v>-48689.712493612402</v>
      </c>
      <c r="BW681" s="15">
        <f t="shared" si="448"/>
        <v>22.170849845882874</v>
      </c>
      <c r="BX681" s="75">
        <f>BW681*(1-PARAM!$C$27)*$I$21+(MOD($B681,60)=PARAM!$B$56)*($B681&gt;(60-PARAM!$B$56))*HLOOKUP(($B681+PARAM!$B$56)/12,Loyalty,2)*$F$1*MAX(BZ680,0)</f>
        <v>18.557001321003963</v>
      </c>
      <c r="BY681" s="75">
        <f>PARAM!$C$26+MAX($G$21-CHOOSE(PARAM!$B$44,MAX(0,BZ680*$F$1),0),0)*RATES!$L657/12+$H$21*(PARAM!$D$51/12)*RATES!$N657/100</f>
        <v>464.41666666666674</v>
      </c>
      <c r="BZ681" s="16">
        <f t="shared" si="474"/>
        <v>-48689.712493612402</v>
      </c>
      <c r="CA681" s="15">
        <f t="shared" si="449"/>
        <v>22.170849845882874</v>
      </c>
      <c r="CB681" s="75">
        <f>CA681*(1-PARAM!$C$27)*$I$22+(MOD($B681,60)=PARAM!$B$56)*($B681&gt;(60-PARAM!$B$56))*HLOOKUP(($B681+PARAM!$B$56)/12,Loyalty,2)*$F$1*MAX(CD680,0)</f>
        <v>18.557001321003963</v>
      </c>
      <c r="CC681" s="75">
        <f>PARAM!$C$26+MAX($G$22-CHOOSE(PARAM!$B$44,MAX(0,CD680*$F$1),0),0)*RATES!$L657/12+$H$22*(PARAM!$D$51/12)*RATES!$N657/100</f>
        <v>464.41666666666674</v>
      </c>
      <c r="CD681" s="16">
        <f t="shared" si="475"/>
        <v>-48689.712493612402</v>
      </c>
      <c r="CE681" s="33">
        <f>IF(0=MOD(B681,12/PARAM!$D$51),1,0)</f>
        <v>1</v>
      </c>
      <c r="CF681" s="15">
        <f t="shared" si="450"/>
        <v>0</v>
      </c>
      <c r="CG681" s="75">
        <f>CF681*(1-PARAM!$C$27)*$R$3+(MOD($B681/12,5)=0)*($B681&gt;60)*HLOOKUP($B681/12,Loyalty,2)*$F$1*MAX(CI680,0)</f>
        <v>0</v>
      </c>
      <c r="CH681" s="75">
        <f>PARAM!$C$26+MAX($P$3-CHOOSE(PARAM!$B$44,MAX(0,CI680*$F$1),0),0)*RATES!$L657/12+$Q$3*(PARAM!$D$51/12)*RATES!$N657/100</f>
        <v>464.41666666666674</v>
      </c>
      <c r="CI681" s="16">
        <f>IF(CI680&gt;0,CI680*PARAM!$C$53,CI680)+CG681-CH681</f>
        <v>-60706.416666666693</v>
      </c>
      <c r="CJ681" s="15">
        <f t="shared" si="476"/>
        <v>0</v>
      </c>
      <c r="CK681" s="75">
        <f>CJ681*(1-PARAM!$C$27)*$R$4+(MOD($B681/12,5)=0)*($B681&gt;60)*HLOOKUP($B681/12,Loyalty,2)*$F$1*MAX(CM680,0)</f>
        <v>0</v>
      </c>
      <c r="CL681" s="75">
        <f>PARAM!$C$26+MAX($P$4-CHOOSE(PARAM!$B$44,MAX(0,CM680*$F$1),0),0)*RATES!$L657/12+$Q$4*(PARAM!$D$51/12)*RATES!$N657/100</f>
        <v>464.41666666666674</v>
      </c>
      <c r="CM681" s="16">
        <f>IF(CM680&gt;0,CM680*PARAM!$C$53,CM680)+CK681-CL681</f>
        <v>-60706.416666666693</v>
      </c>
      <c r="CO681" s="176"/>
    </row>
    <row r="682" spans="1:93" x14ac:dyDescent="0.2">
      <c r="A682" t="b">
        <f t="shared" si="451"/>
        <v>0</v>
      </c>
      <c r="B682" s="33">
        <v>655</v>
      </c>
      <c r="C682" s="15">
        <f t="shared" si="452"/>
        <v>20.081305947392778</v>
      </c>
      <c r="D682" s="75">
        <f>C682*(1-PARAM!$C$27)*$I$3+(MOD($B682,60)=PARAM!$B$56)*($B682&gt;(60-PARAM!$B$56))*HLOOKUP(($B682+PARAM!$B$56)/12,Loyalty,2)*$F$1*MAX(F681,0)</f>
        <v>16.808053077967756</v>
      </c>
      <c r="E682" s="75">
        <f>PARAM!$C$26+MAX($G$3-CHOOSE(PARAM!$B$44,MAX(0,F681*$F$1),0),0)*RATES!$L658/12+$H$3*(PARAM!$D$51/12)*RATES!$N658/100</f>
        <v>464.41666666666674</v>
      </c>
      <c r="F682" s="16">
        <f t="shared" si="453"/>
        <v>-50317.983758668262</v>
      </c>
      <c r="G682" s="15">
        <f t="shared" si="454"/>
        <v>22.035289406060361</v>
      </c>
      <c r="H682" s="75">
        <f>G682*(1-PARAM!$C$27)*$I$4+(MOD($B682,60)=PARAM!$B$56)*($B682&gt;(60-PARAM!$B$56))*HLOOKUP(($B682+PARAM!$B$56)/12,Loyalty,2)*$F$1*MAX(J681,0)</f>
        <v>18.443537232872522</v>
      </c>
      <c r="I682" s="75">
        <f>PARAM!$C$26+MAX($G$4-CHOOSE(PARAM!$B$44,MAX(0,J681*$F$1),0),0)*RATES!$L658/12+$H$4*(PARAM!$D$51/12)*RATES!$N658/100</f>
        <v>464.41666666666674</v>
      </c>
      <c r="J682" s="16">
        <f t="shared" si="455"/>
        <v>-49212.908673083846</v>
      </c>
      <c r="K682" s="15">
        <f t="shared" si="456"/>
        <v>22.170849845882874</v>
      </c>
      <c r="L682" s="75">
        <f>K682*(1-PARAM!$C$27)*$I$5+(MOD($B682,60)=PARAM!$B$56)*($B682&gt;(60-PARAM!$B$56))*HLOOKUP(($B682+PARAM!$B$56)/12,Loyalty,2)*$F$1*MAX(N681,0)</f>
        <v>18.557001321003963</v>
      </c>
      <c r="M682" s="75">
        <f>PARAM!$C$26+MAX($G$5-CHOOSE(PARAM!$B$44,MAX(0,N681*$F$1),0),0)*RATES!$L658/12+$H$5*(PARAM!$D$51/12)*RATES!$N658/100</f>
        <v>464.41666666666674</v>
      </c>
      <c r="N682" s="16">
        <f t="shared" si="457"/>
        <v>-49135.572158958064</v>
      </c>
      <c r="O682" s="15">
        <f t="shared" si="458"/>
        <v>22.170849845882874</v>
      </c>
      <c r="P682" s="75">
        <f>O682*(1-PARAM!$C$27)*$I$6+(MOD($B682,60)=PARAM!$B$56)*($B682&gt;(60-PARAM!$B$56))*HLOOKUP(($B682+PARAM!$B$56)/12,Loyalty,2)*$F$1*MAX(R681,0)</f>
        <v>18.557001321003963</v>
      </c>
      <c r="Q682" s="75">
        <f>PARAM!$C$26+MAX($G$6-CHOOSE(PARAM!$B$44,MAX(0,R681*$F$1),0),0)*RATES!$L658/12+$H$6*(PARAM!$D$51/12)*RATES!$N658/100</f>
        <v>464.41666666666674</v>
      </c>
      <c r="R682" s="16">
        <f t="shared" si="459"/>
        <v>-49135.572158958064</v>
      </c>
      <c r="S682" s="15">
        <f t="shared" si="434"/>
        <v>22.170849845882874</v>
      </c>
      <c r="T682" s="75">
        <f>S682*(1-PARAM!$C$27)*$I$7+(MOD($B682,60)=PARAM!$B$56)*($B682&gt;(60-PARAM!$B$56))*HLOOKUP(($B682+PARAM!$B$56)/12,Loyalty,2)*$F$1*MAX(V681,0)</f>
        <v>18.557001321003963</v>
      </c>
      <c r="U682" s="75">
        <f>PARAM!$C$26+MAX($G$7-CHOOSE(PARAM!$B$44,MAX(0,V681*$F$1),0),0)*RATES!$L658/12+$H$7*(PARAM!$D$51/12)*RATES!$N658/100</f>
        <v>464.41666666666674</v>
      </c>
      <c r="V682" s="16">
        <f t="shared" si="460"/>
        <v>-49135.572158958064</v>
      </c>
      <c r="W682" s="15">
        <f t="shared" si="435"/>
        <v>22.170849845882874</v>
      </c>
      <c r="X682" s="75">
        <f>W682*(1-PARAM!$C$27)*$I$8+(MOD($B682,60)=PARAM!$B$56)*($B682&gt;(60-PARAM!$B$56))*HLOOKUP(($B682+PARAM!$B$56)/12,Loyalty,2)*$F$1*MAX(Z681,0)</f>
        <v>18.557001321003963</v>
      </c>
      <c r="Y682" s="75">
        <f>PARAM!$C$26+MAX($G$8-CHOOSE(PARAM!$B$44,MAX(0,Z681*$F$1),0),0)*RATES!$L658/12+$H$8*(PARAM!$D$51/12)*RATES!$N658/100</f>
        <v>464.41666666666674</v>
      </c>
      <c r="Z682" s="16">
        <f t="shared" si="461"/>
        <v>-49135.572158958064</v>
      </c>
      <c r="AA682" s="15">
        <f t="shared" si="436"/>
        <v>22.170849845882874</v>
      </c>
      <c r="AB682" s="75">
        <f>AA682*(1-PARAM!$C$27)*$I$9+(MOD($B682,60)=PARAM!$B$56)*($B682&gt;(60-PARAM!$B$56))*HLOOKUP(($B682+PARAM!$B$56)/12,Loyalty,2)*$F$1*MAX(AD681,0)</f>
        <v>18.557001321003963</v>
      </c>
      <c r="AC682" s="75">
        <f>PARAM!$C$26+MAX($G$9-CHOOSE(PARAM!$B$44,MAX(0,AD681*$F$1),0),0)*RATES!$L658/12+$H$9*(PARAM!$D$51/12)*RATES!$N658/100</f>
        <v>464.41666666666674</v>
      </c>
      <c r="AD682" s="16">
        <f t="shared" si="462"/>
        <v>-49135.572158958064</v>
      </c>
      <c r="AE682" s="15">
        <f t="shared" si="437"/>
        <v>22.170849845882874</v>
      </c>
      <c r="AF682" s="75">
        <f>AE682*(1-PARAM!$C$27)*$I$10+(MOD($B682,60)=PARAM!$B$56)*($B682&gt;(60-PARAM!$B$56))*HLOOKUP(($B682+PARAM!$B$56)/12,Loyalty,2)*$F$1*MAX(AH681,0)</f>
        <v>18.557001321003963</v>
      </c>
      <c r="AG682" s="75">
        <f>PARAM!$C$26+MAX($G$10-CHOOSE(PARAM!$B$44,MAX(0,AH681*$F$1),0),0)*RATES!$L658/12+$H$10*(PARAM!$D$51/12)*RATES!$N658/100</f>
        <v>464.41666666666674</v>
      </c>
      <c r="AH682" s="16">
        <f t="shared" si="463"/>
        <v>-49135.572158958064</v>
      </c>
      <c r="AI682" s="15">
        <f t="shared" si="438"/>
        <v>22.170849845882874</v>
      </c>
      <c r="AJ682" s="75">
        <f>AI682*(1-PARAM!$C$27)*$I$11+(MOD($B682,60)=PARAM!$B$56)*($B682&gt;(60-PARAM!$B$56))*HLOOKUP(($B682+PARAM!$B$56)/12,Loyalty,2)*$F$1*MAX(AL681,0)</f>
        <v>18.557001321003963</v>
      </c>
      <c r="AK682" s="75">
        <f>PARAM!$C$26+MAX($G$11-CHOOSE(PARAM!$B$44,MAX(0,AL681*$F$1),0),0)*RATES!$L658/12+$H$11*(PARAM!$D$51/12)*RATES!$N658/100</f>
        <v>464.41666666666674</v>
      </c>
      <c r="AL682" s="16">
        <f t="shared" si="464"/>
        <v>-49135.572158958064</v>
      </c>
      <c r="AM682" s="15">
        <f t="shared" si="439"/>
        <v>22.170849845882874</v>
      </c>
      <c r="AN682" s="75">
        <f>AM682*(1-PARAM!$C$27)*$I$12+(MOD($B682,60)=PARAM!$B$56)*($B682&gt;(60-PARAM!$B$56))*HLOOKUP(($B682+PARAM!$B$56)/12,Loyalty,2)*$F$1*MAX(AP681,0)</f>
        <v>18.557001321003963</v>
      </c>
      <c r="AO682" s="75">
        <f>PARAM!$C$26+MAX($G$12-CHOOSE(PARAM!$B$44,MAX(0,AP681*$F$1),0),0)*RATES!$L658/12+$H$12*(PARAM!$D$51/12)*RATES!$N658/100</f>
        <v>464.41666666666674</v>
      </c>
      <c r="AP682" s="16">
        <f t="shared" si="465"/>
        <v>-49135.572158958064</v>
      </c>
      <c r="AQ682" s="15">
        <f t="shared" si="440"/>
        <v>22.170849845882874</v>
      </c>
      <c r="AR682" s="75">
        <f>AQ682*(1-PARAM!$C$27)*$I$13+(MOD($B682,60)=PARAM!$B$56)*($B682&gt;(60-PARAM!$B$56))*HLOOKUP(($B682+PARAM!$B$56)/12,Loyalty,2)*$F$1*MAX(AT681,0)</f>
        <v>18.557001321003963</v>
      </c>
      <c r="AS682" s="75">
        <f>PARAM!$C$26+MAX($G$13-CHOOSE(PARAM!$B$44,MAX(0,AT681*$F$1),0),0)*RATES!$L658/12+$H$13*(PARAM!$D$51/12)*RATES!$N658/100</f>
        <v>464.41666666666674</v>
      </c>
      <c r="AT682" s="16">
        <f t="shared" si="466"/>
        <v>-49135.572158958064</v>
      </c>
      <c r="AU682" s="15">
        <f t="shared" si="441"/>
        <v>22.170849845882874</v>
      </c>
      <c r="AV682" s="75">
        <f>AU682*(1-PARAM!$C$27)*$I$14+(MOD($B682,60)=PARAM!$B$56)*($B682&gt;(60-PARAM!$B$56))*HLOOKUP(($B682+PARAM!$B$56)/12,Loyalty,2)*$F$1*MAX(AX681,0)</f>
        <v>18.557001321003963</v>
      </c>
      <c r="AW682" s="75">
        <f>PARAM!$C$26+MAX($G$14-CHOOSE(PARAM!$B$44,MAX(0,AX681*$F$1),0),0)*RATES!$L658/12+$H$14*(PARAM!$D$51/12)*RATES!$N658/100</f>
        <v>464.41666666666674</v>
      </c>
      <c r="AX682" s="16">
        <f t="shared" si="467"/>
        <v>-49135.572158958064</v>
      </c>
      <c r="AY682" s="15">
        <f t="shared" si="442"/>
        <v>22.170849845882874</v>
      </c>
      <c r="AZ682" s="75">
        <f>AY682*(1-PARAM!$C$27)*$I$15+(MOD($B682,60)=PARAM!$B$56)*($B682&gt;(60-PARAM!$B$56))*HLOOKUP(($B682+PARAM!$B$56)/12,Loyalty,2)*$F$1*MAX(BB681,0)</f>
        <v>18.557001321003963</v>
      </c>
      <c r="BA682" s="75">
        <f>PARAM!$C$26+MAX($G$15-CHOOSE(PARAM!$B$44,MAX(0,BB681*$F$1),0),0)*RATES!$L658/12+$H$15*(PARAM!$D$51/12)*RATES!$N658/100</f>
        <v>464.41666666666674</v>
      </c>
      <c r="BB682" s="16">
        <f t="shared" si="468"/>
        <v>-49135.572158958064</v>
      </c>
      <c r="BC682" s="15">
        <f t="shared" si="443"/>
        <v>22.170849845882874</v>
      </c>
      <c r="BD682" s="75">
        <f>BC682*(1-PARAM!$C$27)*$I$16+(MOD($B682,60)=PARAM!$B$56)*($B682&gt;(60-PARAM!$B$56))*HLOOKUP(($B682+PARAM!$B$56)/12,Loyalty,2)*$F$1*MAX(BF681,0)</f>
        <v>18.557001321003963</v>
      </c>
      <c r="BE682" s="75">
        <f>PARAM!$C$26+MAX($G$16-CHOOSE(PARAM!$B$44,MAX(0,BF681*$F$1),0),0)*RATES!$L658/12+$H$16*(PARAM!$D$51/12)*RATES!$N658/100</f>
        <v>464.41666666666674</v>
      </c>
      <c r="BF682" s="16">
        <f t="shared" si="469"/>
        <v>-49135.572158958064</v>
      </c>
      <c r="BG682" s="15">
        <f t="shared" si="444"/>
        <v>22.170849845882874</v>
      </c>
      <c r="BH682" s="75">
        <f>BG682*(1-PARAM!$C$27)*$I$17+(MOD($B682,60)=PARAM!$B$56)*($B682&gt;(60-PARAM!$B$56))*HLOOKUP(($B682+PARAM!$B$56)/12,Loyalty,2)*$F$1*MAX(BJ681,0)</f>
        <v>18.557001321003963</v>
      </c>
      <c r="BI682" s="75">
        <f>PARAM!$C$26+MAX($G$17-CHOOSE(PARAM!$B$44,MAX(0,BJ681*$F$1),0),0)*RATES!$L658/12+$H$17*(PARAM!$D$51/12)*RATES!$N658/100</f>
        <v>464.41666666666674</v>
      </c>
      <c r="BJ682" s="16">
        <f t="shared" si="470"/>
        <v>-49135.572158958064</v>
      </c>
      <c r="BK682" s="15">
        <f t="shared" si="445"/>
        <v>22.170849845882874</v>
      </c>
      <c r="BL682" s="75">
        <f>BK682*(1-PARAM!$C$27)*$I$18+(MOD($B682,60)=PARAM!$B$56)*($B682&gt;(60-PARAM!$B$56))*HLOOKUP(($B682+PARAM!$B$56)/12,Loyalty,2)*$F$1*MAX(BN681,0)</f>
        <v>18.557001321003963</v>
      </c>
      <c r="BM682" s="75">
        <f>PARAM!$C$26+MAX($G$18-CHOOSE(PARAM!$B$44,MAX(0,BN681*$F$1),0),0)*RATES!$L658/12+$H$18*(PARAM!$D$51/12)*RATES!$N658/100</f>
        <v>464.41666666666674</v>
      </c>
      <c r="BN682" s="16">
        <f t="shared" si="471"/>
        <v>-49135.572158958064</v>
      </c>
      <c r="BO682" s="15">
        <f t="shared" si="446"/>
        <v>22.170849845882874</v>
      </c>
      <c r="BP682" s="75">
        <f>BO682*(1-PARAM!$C$27)*$I$19+(MOD($B682,60)=PARAM!$B$56)*($B682&gt;(60-PARAM!$B$56))*HLOOKUP(($B682+PARAM!$B$56)/12,Loyalty,2)*$F$1*MAX(BR681,0)</f>
        <v>18.557001321003963</v>
      </c>
      <c r="BQ682" s="75">
        <f>PARAM!$C$26+MAX($G$19-CHOOSE(PARAM!$B$44,MAX(0,BR681*$F$1),0),0)*RATES!$L658/12+$H$19*(PARAM!$D$51/12)*RATES!$N658/100</f>
        <v>464.41666666666674</v>
      </c>
      <c r="BR682" s="16">
        <f t="shared" si="472"/>
        <v>-49135.572158958064</v>
      </c>
      <c r="BS682" s="15">
        <f t="shared" si="447"/>
        <v>22.170849845882874</v>
      </c>
      <c r="BT682" s="75">
        <f>BS682*(1-PARAM!$C$27)*$I$20+(MOD($B682,60)=PARAM!$B$56)*($B682&gt;(60-PARAM!$B$56))*HLOOKUP(($B682+PARAM!$B$56)/12,Loyalty,2)*$F$1*MAX(BV681,0)</f>
        <v>18.557001321003963</v>
      </c>
      <c r="BU682" s="75">
        <f>PARAM!$C$26+MAX($G$20-CHOOSE(PARAM!$B$44,MAX(0,BV681*$F$1),0),0)*RATES!$L658/12+$H$20*(PARAM!$D$51/12)*RATES!$N658/100</f>
        <v>464.41666666666674</v>
      </c>
      <c r="BV682" s="16">
        <f t="shared" si="473"/>
        <v>-49135.572158958064</v>
      </c>
      <c r="BW682" s="15">
        <f t="shared" si="448"/>
        <v>22.170849845882874</v>
      </c>
      <c r="BX682" s="75">
        <f>BW682*(1-PARAM!$C$27)*$I$21+(MOD($B682,60)=PARAM!$B$56)*($B682&gt;(60-PARAM!$B$56))*HLOOKUP(($B682+PARAM!$B$56)/12,Loyalty,2)*$F$1*MAX(BZ681,0)</f>
        <v>18.557001321003963</v>
      </c>
      <c r="BY682" s="75">
        <f>PARAM!$C$26+MAX($G$21-CHOOSE(PARAM!$B$44,MAX(0,BZ681*$F$1),0),0)*RATES!$L658/12+$H$21*(PARAM!$D$51/12)*RATES!$N658/100</f>
        <v>464.41666666666674</v>
      </c>
      <c r="BZ682" s="16">
        <f t="shared" si="474"/>
        <v>-49135.572158958064</v>
      </c>
      <c r="CA682" s="15">
        <f t="shared" si="449"/>
        <v>22.170849845882874</v>
      </c>
      <c r="CB682" s="75">
        <f>CA682*(1-PARAM!$C$27)*$I$22+(MOD($B682,60)=PARAM!$B$56)*($B682&gt;(60-PARAM!$B$56))*HLOOKUP(($B682+PARAM!$B$56)/12,Loyalty,2)*$F$1*MAX(CD681,0)</f>
        <v>18.557001321003963</v>
      </c>
      <c r="CC682" s="75">
        <f>PARAM!$C$26+MAX($G$22-CHOOSE(PARAM!$B$44,MAX(0,CD681*$F$1),0),0)*RATES!$L658/12+$H$22*(PARAM!$D$51/12)*RATES!$N658/100</f>
        <v>464.41666666666674</v>
      </c>
      <c r="CD682" s="16">
        <f t="shared" si="475"/>
        <v>-49135.572158958064</v>
      </c>
      <c r="CE682" s="33">
        <f>IF(0=MOD(B682,12/PARAM!$D$51),1,0)</f>
        <v>1</v>
      </c>
      <c r="CF682" s="15">
        <f t="shared" si="450"/>
        <v>0</v>
      </c>
      <c r="CG682" s="75">
        <f>CF682*(1-PARAM!$C$27)*$R$3+(MOD($B682/12,5)=0)*($B682&gt;60)*HLOOKUP($B682/12,Loyalty,2)*$F$1*MAX(CI681,0)</f>
        <v>0</v>
      </c>
      <c r="CH682" s="75">
        <f>PARAM!$C$26+MAX($P$3-CHOOSE(PARAM!$B$44,MAX(0,CI681*$F$1),0),0)*RATES!$L658/12+$Q$3*(PARAM!$D$51/12)*RATES!$N658/100</f>
        <v>464.41666666666674</v>
      </c>
      <c r="CI682" s="16">
        <f>IF(CI681&gt;0,CI681*PARAM!$C$53,CI681)+CG682-CH682</f>
        <v>-61170.833333333358</v>
      </c>
      <c r="CJ682" s="15">
        <f t="shared" si="476"/>
        <v>0</v>
      </c>
      <c r="CK682" s="75">
        <f>CJ682*(1-PARAM!$C$27)*$R$4+(MOD($B682/12,5)=0)*($B682&gt;60)*HLOOKUP($B682/12,Loyalty,2)*$F$1*MAX(CM681,0)</f>
        <v>0</v>
      </c>
      <c r="CL682" s="75">
        <f>PARAM!$C$26+MAX($P$4-CHOOSE(PARAM!$B$44,MAX(0,CM681*$F$1),0),0)*RATES!$L658/12+$Q$4*(PARAM!$D$51/12)*RATES!$N658/100</f>
        <v>464.41666666666674</v>
      </c>
      <c r="CM682" s="16">
        <f>IF(CM681&gt;0,CM681*PARAM!$C$53,CM681)+CK682-CL682</f>
        <v>-61170.833333333358</v>
      </c>
      <c r="CO682" s="176"/>
    </row>
    <row r="683" spans="1:93" x14ac:dyDescent="0.2">
      <c r="A683" t="b">
        <f t="shared" si="451"/>
        <v>0</v>
      </c>
      <c r="B683" s="33">
        <v>656</v>
      </c>
      <c r="C683" s="15">
        <f t="shared" si="452"/>
        <v>20.081305947392778</v>
      </c>
      <c r="D683" s="75">
        <f>C683*(1-PARAM!$C$27)*$I$3+(MOD($B683,60)=PARAM!$B$56)*($B683&gt;(60-PARAM!$B$56))*HLOOKUP(($B683+PARAM!$B$56)/12,Loyalty,2)*$F$1*MAX(F682,0)</f>
        <v>16.808053077967756</v>
      </c>
      <c r="E683" s="75">
        <f>PARAM!$C$26+MAX($G$3-CHOOSE(PARAM!$B$44,MAX(0,F682*$F$1),0),0)*RATES!$L659/12+$H$3*(PARAM!$D$51/12)*RATES!$N659/100</f>
        <v>464.41666666666674</v>
      </c>
      <c r="F683" s="16">
        <f t="shared" si="453"/>
        <v>-50765.592372256957</v>
      </c>
      <c r="G683" s="15">
        <f t="shared" si="454"/>
        <v>22.035289406060361</v>
      </c>
      <c r="H683" s="75">
        <f>G683*(1-PARAM!$C$27)*$I$4+(MOD($B683,60)=PARAM!$B$56)*($B683&gt;(60-PARAM!$B$56))*HLOOKUP(($B683+PARAM!$B$56)/12,Loyalty,2)*$F$1*MAX(J682,0)</f>
        <v>18.443537232872522</v>
      </c>
      <c r="I683" s="75">
        <f>PARAM!$C$26+MAX($G$4-CHOOSE(PARAM!$B$44,MAX(0,J682*$F$1),0),0)*RATES!$L659/12+$H$4*(PARAM!$D$51/12)*RATES!$N659/100</f>
        <v>464.41666666666674</v>
      </c>
      <c r="J683" s="16">
        <f t="shared" si="455"/>
        <v>-49658.881802517637</v>
      </c>
      <c r="K683" s="15">
        <f t="shared" si="456"/>
        <v>22.170849845882874</v>
      </c>
      <c r="L683" s="75">
        <f>K683*(1-PARAM!$C$27)*$I$5+(MOD($B683,60)=PARAM!$B$56)*($B683&gt;(60-PARAM!$B$56))*HLOOKUP(($B683+PARAM!$B$56)/12,Loyalty,2)*$F$1*MAX(N682,0)</f>
        <v>18.557001321003963</v>
      </c>
      <c r="M683" s="75">
        <f>PARAM!$C$26+MAX($G$5-CHOOSE(PARAM!$B$44,MAX(0,N682*$F$1),0),0)*RATES!$L659/12+$H$5*(PARAM!$D$51/12)*RATES!$N659/100</f>
        <v>464.41666666666674</v>
      </c>
      <c r="N683" s="16">
        <f t="shared" si="457"/>
        <v>-49581.431824303727</v>
      </c>
      <c r="O683" s="15">
        <f t="shared" si="458"/>
        <v>22.170849845882874</v>
      </c>
      <c r="P683" s="75">
        <f>O683*(1-PARAM!$C$27)*$I$6+(MOD($B683,60)=PARAM!$B$56)*($B683&gt;(60-PARAM!$B$56))*HLOOKUP(($B683+PARAM!$B$56)/12,Loyalty,2)*$F$1*MAX(R682,0)</f>
        <v>18.557001321003963</v>
      </c>
      <c r="Q683" s="75">
        <f>PARAM!$C$26+MAX($G$6-CHOOSE(PARAM!$B$44,MAX(0,R682*$F$1),0),0)*RATES!$L659/12+$H$6*(PARAM!$D$51/12)*RATES!$N659/100</f>
        <v>464.41666666666674</v>
      </c>
      <c r="R683" s="16">
        <f t="shared" si="459"/>
        <v>-49581.431824303727</v>
      </c>
      <c r="S683" s="15">
        <f t="shared" si="434"/>
        <v>22.170849845882874</v>
      </c>
      <c r="T683" s="75">
        <f>S683*(1-PARAM!$C$27)*$I$7+(MOD($B683,60)=PARAM!$B$56)*($B683&gt;(60-PARAM!$B$56))*HLOOKUP(($B683+PARAM!$B$56)/12,Loyalty,2)*$F$1*MAX(V682,0)</f>
        <v>18.557001321003963</v>
      </c>
      <c r="U683" s="75">
        <f>PARAM!$C$26+MAX($G$7-CHOOSE(PARAM!$B$44,MAX(0,V682*$F$1),0),0)*RATES!$L659/12+$H$7*(PARAM!$D$51/12)*RATES!$N659/100</f>
        <v>464.41666666666674</v>
      </c>
      <c r="V683" s="16">
        <f t="shared" si="460"/>
        <v>-49581.431824303727</v>
      </c>
      <c r="W683" s="15">
        <f t="shared" si="435"/>
        <v>22.170849845882874</v>
      </c>
      <c r="X683" s="75">
        <f>W683*(1-PARAM!$C$27)*$I$8+(MOD($B683,60)=PARAM!$B$56)*($B683&gt;(60-PARAM!$B$56))*HLOOKUP(($B683+PARAM!$B$56)/12,Loyalty,2)*$F$1*MAX(Z682,0)</f>
        <v>18.557001321003963</v>
      </c>
      <c r="Y683" s="75">
        <f>PARAM!$C$26+MAX($G$8-CHOOSE(PARAM!$B$44,MAX(0,Z682*$F$1),0),0)*RATES!$L659/12+$H$8*(PARAM!$D$51/12)*RATES!$N659/100</f>
        <v>464.41666666666674</v>
      </c>
      <c r="Z683" s="16">
        <f t="shared" si="461"/>
        <v>-49581.431824303727</v>
      </c>
      <c r="AA683" s="15">
        <f t="shared" si="436"/>
        <v>22.170849845882874</v>
      </c>
      <c r="AB683" s="75">
        <f>AA683*(1-PARAM!$C$27)*$I$9+(MOD($B683,60)=PARAM!$B$56)*($B683&gt;(60-PARAM!$B$56))*HLOOKUP(($B683+PARAM!$B$56)/12,Loyalty,2)*$F$1*MAX(AD682,0)</f>
        <v>18.557001321003963</v>
      </c>
      <c r="AC683" s="75">
        <f>PARAM!$C$26+MAX($G$9-CHOOSE(PARAM!$B$44,MAX(0,AD682*$F$1),0),0)*RATES!$L659/12+$H$9*(PARAM!$D$51/12)*RATES!$N659/100</f>
        <v>464.41666666666674</v>
      </c>
      <c r="AD683" s="16">
        <f t="shared" si="462"/>
        <v>-49581.431824303727</v>
      </c>
      <c r="AE683" s="15">
        <f t="shared" si="437"/>
        <v>22.170849845882874</v>
      </c>
      <c r="AF683" s="75">
        <f>AE683*(1-PARAM!$C$27)*$I$10+(MOD($B683,60)=PARAM!$B$56)*($B683&gt;(60-PARAM!$B$56))*HLOOKUP(($B683+PARAM!$B$56)/12,Loyalty,2)*$F$1*MAX(AH682,0)</f>
        <v>18.557001321003963</v>
      </c>
      <c r="AG683" s="75">
        <f>PARAM!$C$26+MAX($G$10-CHOOSE(PARAM!$B$44,MAX(0,AH682*$F$1),0),0)*RATES!$L659/12+$H$10*(PARAM!$D$51/12)*RATES!$N659/100</f>
        <v>464.41666666666674</v>
      </c>
      <c r="AH683" s="16">
        <f t="shared" si="463"/>
        <v>-49581.431824303727</v>
      </c>
      <c r="AI683" s="15">
        <f t="shared" si="438"/>
        <v>22.170849845882874</v>
      </c>
      <c r="AJ683" s="75">
        <f>AI683*(1-PARAM!$C$27)*$I$11+(MOD($B683,60)=PARAM!$B$56)*($B683&gt;(60-PARAM!$B$56))*HLOOKUP(($B683+PARAM!$B$56)/12,Loyalty,2)*$F$1*MAX(AL682,0)</f>
        <v>18.557001321003963</v>
      </c>
      <c r="AK683" s="75">
        <f>PARAM!$C$26+MAX($G$11-CHOOSE(PARAM!$B$44,MAX(0,AL682*$F$1),0),0)*RATES!$L659/12+$H$11*(PARAM!$D$51/12)*RATES!$N659/100</f>
        <v>464.41666666666674</v>
      </c>
      <c r="AL683" s="16">
        <f t="shared" si="464"/>
        <v>-49581.431824303727</v>
      </c>
      <c r="AM683" s="15">
        <f t="shared" si="439"/>
        <v>22.170849845882874</v>
      </c>
      <c r="AN683" s="75">
        <f>AM683*(1-PARAM!$C$27)*$I$12+(MOD($B683,60)=PARAM!$B$56)*($B683&gt;(60-PARAM!$B$56))*HLOOKUP(($B683+PARAM!$B$56)/12,Loyalty,2)*$F$1*MAX(AP682,0)</f>
        <v>18.557001321003963</v>
      </c>
      <c r="AO683" s="75">
        <f>PARAM!$C$26+MAX($G$12-CHOOSE(PARAM!$B$44,MAX(0,AP682*$F$1),0),0)*RATES!$L659/12+$H$12*(PARAM!$D$51/12)*RATES!$N659/100</f>
        <v>464.41666666666674</v>
      </c>
      <c r="AP683" s="16">
        <f t="shared" si="465"/>
        <v>-49581.431824303727</v>
      </c>
      <c r="AQ683" s="15">
        <f t="shared" si="440"/>
        <v>22.170849845882874</v>
      </c>
      <c r="AR683" s="75">
        <f>AQ683*(1-PARAM!$C$27)*$I$13+(MOD($B683,60)=PARAM!$B$56)*($B683&gt;(60-PARAM!$B$56))*HLOOKUP(($B683+PARAM!$B$56)/12,Loyalty,2)*$F$1*MAX(AT682,0)</f>
        <v>18.557001321003963</v>
      </c>
      <c r="AS683" s="75">
        <f>PARAM!$C$26+MAX($G$13-CHOOSE(PARAM!$B$44,MAX(0,AT682*$F$1),0),0)*RATES!$L659/12+$H$13*(PARAM!$D$51/12)*RATES!$N659/100</f>
        <v>464.41666666666674</v>
      </c>
      <c r="AT683" s="16">
        <f t="shared" si="466"/>
        <v>-49581.431824303727</v>
      </c>
      <c r="AU683" s="15">
        <f t="shared" si="441"/>
        <v>22.170849845882874</v>
      </c>
      <c r="AV683" s="75">
        <f>AU683*(1-PARAM!$C$27)*$I$14+(MOD($B683,60)=PARAM!$B$56)*($B683&gt;(60-PARAM!$B$56))*HLOOKUP(($B683+PARAM!$B$56)/12,Loyalty,2)*$F$1*MAX(AX682,0)</f>
        <v>18.557001321003963</v>
      </c>
      <c r="AW683" s="75">
        <f>PARAM!$C$26+MAX($G$14-CHOOSE(PARAM!$B$44,MAX(0,AX682*$F$1),0),0)*RATES!$L659/12+$H$14*(PARAM!$D$51/12)*RATES!$N659/100</f>
        <v>464.41666666666674</v>
      </c>
      <c r="AX683" s="16">
        <f t="shared" si="467"/>
        <v>-49581.431824303727</v>
      </c>
      <c r="AY683" s="15">
        <f t="shared" si="442"/>
        <v>22.170849845882874</v>
      </c>
      <c r="AZ683" s="75">
        <f>AY683*(1-PARAM!$C$27)*$I$15+(MOD($B683,60)=PARAM!$B$56)*($B683&gt;(60-PARAM!$B$56))*HLOOKUP(($B683+PARAM!$B$56)/12,Loyalty,2)*$F$1*MAX(BB682,0)</f>
        <v>18.557001321003963</v>
      </c>
      <c r="BA683" s="75">
        <f>PARAM!$C$26+MAX($G$15-CHOOSE(PARAM!$B$44,MAX(0,BB682*$F$1),0),0)*RATES!$L659/12+$H$15*(PARAM!$D$51/12)*RATES!$N659/100</f>
        <v>464.41666666666674</v>
      </c>
      <c r="BB683" s="16">
        <f t="shared" si="468"/>
        <v>-49581.431824303727</v>
      </c>
      <c r="BC683" s="15">
        <f t="shared" si="443"/>
        <v>22.170849845882874</v>
      </c>
      <c r="BD683" s="75">
        <f>BC683*(1-PARAM!$C$27)*$I$16+(MOD($B683,60)=PARAM!$B$56)*($B683&gt;(60-PARAM!$B$56))*HLOOKUP(($B683+PARAM!$B$56)/12,Loyalty,2)*$F$1*MAX(BF682,0)</f>
        <v>18.557001321003963</v>
      </c>
      <c r="BE683" s="75">
        <f>PARAM!$C$26+MAX($G$16-CHOOSE(PARAM!$B$44,MAX(0,BF682*$F$1),0),0)*RATES!$L659/12+$H$16*(PARAM!$D$51/12)*RATES!$N659/100</f>
        <v>464.41666666666674</v>
      </c>
      <c r="BF683" s="16">
        <f t="shared" si="469"/>
        <v>-49581.431824303727</v>
      </c>
      <c r="BG683" s="15">
        <f t="shared" si="444"/>
        <v>22.170849845882874</v>
      </c>
      <c r="BH683" s="75">
        <f>BG683*(1-PARAM!$C$27)*$I$17+(MOD($B683,60)=PARAM!$B$56)*($B683&gt;(60-PARAM!$B$56))*HLOOKUP(($B683+PARAM!$B$56)/12,Loyalty,2)*$F$1*MAX(BJ682,0)</f>
        <v>18.557001321003963</v>
      </c>
      <c r="BI683" s="75">
        <f>PARAM!$C$26+MAX($G$17-CHOOSE(PARAM!$B$44,MAX(0,BJ682*$F$1),0),0)*RATES!$L659/12+$H$17*(PARAM!$D$51/12)*RATES!$N659/100</f>
        <v>464.41666666666674</v>
      </c>
      <c r="BJ683" s="16">
        <f t="shared" si="470"/>
        <v>-49581.431824303727</v>
      </c>
      <c r="BK683" s="15">
        <f t="shared" si="445"/>
        <v>22.170849845882874</v>
      </c>
      <c r="BL683" s="75">
        <f>BK683*(1-PARAM!$C$27)*$I$18+(MOD($B683,60)=PARAM!$B$56)*($B683&gt;(60-PARAM!$B$56))*HLOOKUP(($B683+PARAM!$B$56)/12,Loyalty,2)*$F$1*MAX(BN682,0)</f>
        <v>18.557001321003963</v>
      </c>
      <c r="BM683" s="75">
        <f>PARAM!$C$26+MAX($G$18-CHOOSE(PARAM!$B$44,MAX(0,BN682*$F$1),0),0)*RATES!$L659/12+$H$18*(PARAM!$D$51/12)*RATES!$N659/100</f>
        <v>464.41666666666674</v>
      </c>
      <c r="BN683" s="16">
        <f t="shared" si="471"/>
        <v>-49581.431824303727</v>
      </c>
      <c r="BO683" s="15">
        <f t="shared" si="446"/>
        <v>22.170849845882874</v>
      </c>
      <c r="BP683" s="75">
        <f>BO683*(1-PARAM!$C$27)*$I$19+(MOD($B683,60)=PARAM!$B$56)*($B683&gt;(60-PARAM!$B$56))*HLOOKUP(($B683+PARAM!$B$56)/12,Loyalty,2)*$F$1*MAX(BR682,0)</f>
        <v>18.557001321003963</v>
      </c>
      <c r="BQ683" s="75">
        <f>PARAM!$C$26+MAX($G$19-CHOOSE(PARAM!$B$44,MAX(0,BR682*$F$1),0),0)*RATES!$L659/12+$H$19*(PARAM!$D$51/12)*RATES!$N659/100</f>
        <v>464.41666666666674</v>
      </c>
      <c r="BR683" s="16">
        <f t="shared" si="472"/>
        <v>-49581.431824303727</v>
      </c>
      <c r="BS683" s="15">
        <f t="shared" si="447"/>
        <v>22.170849845882874</v>
      </c>
      <c r="BT683" s="75">
        <f>BS683*(1-PARAM!$C$27)*$I$20+(MOD($B683,60)=PARAM!$B$56)*($B683&gt;(60-PARAM!$B$56))*HLOOKUP(($B683+PARAM!$B$56)/12,Loyalty,2)*$F$1*MAX(BV682,0)</f>
        <v>18.557001321003963</v>
      </c>
      <c r="BU683" s="75">
        <f>PARAM!$C$26+MAX($G$20-CHOOSE(PARAM!$B$44,MAX(0,BV682*$F$1),0),0)*RATES!$L659/12+$H$20*(PARAM!$D$51/12)*RATES!$N659/100</f>
        <v>464.41666666666674</v>
      </c>
      <c r="BV683" s="16">
        <f t="shared" si="473"/>
        <v>-49581.431824303727</v>
      </c>
      <c r="BW683" s="15">
        <f t="shared" si="448"/>
        <v>22.170849845882874</v>
      </c>
      <c r="BX683" s="75">
        <f>BW683*(1-PARAM!$C$27)*$I$21+(MOD($B683,60)=PARAM!$B$56)*($B683&gt;(60-PARAM!$B$56))*HLOOKUP(($B683+PARAM!$B$56)/12,Loyalty,2)*$F$1*MAX(BZ682,0)</f>
        <v>18.557001321003963</v>
      </c>
      <c r="BY683" s="75">
        <f>PARAM!$C$26+MAX($G$21-CHOOSE(PARAM!$B$44,MAX(0,BZ682*$F$1),0),0)*RATES!$L659/12+$H$21*(PARAM!$D$51/12)*RATES!$N659/100</f>
        <v>464.41666666666674</v>
      </c>
      <c r="BZ683" s="16">
        <f t="shared" si="474"/>
        <v>-49581.431824303727</v>
      </c>
      <c r="CA683" s="15">
        <f t="shared" si="449"/>
        <v>22.170849845882874</v>
      </c>
      <c r="CB683" s="75">
        <f>CA683*(1-PARAM!$C$27)*$I$22+(MOD($B683,60)=PARAM!$B$56)*($B683&gt;(60-PARAM!$B$56))*HLOOKUP(($B683+PARAM!$B$56)/12,Loyalty,2)*$F$1*MAX(CD682,0)</f>
        <v>18.557001321003963</v>
      </c>
      <c r="CC683" s="75">
        <f>PARAM!$C$26+MAX($G$22-CHOOSE(PARAM!$B$44,MAX(0,CD682*$F$1),0),0)*RATES!$L659/12+$H$22*(PARAM!$D$51/12)*RATES!$N659/100</f>
        <v>464.41666666666674</v>
      </c>
      <c r="CD683" s="16">
        <f t="shared" si="475"/>
        <v>-49581.431824303727</v>
      </c>
      <c r="CE683" s="33">
        <f>IF(0=MOD(B683,12/PARAM!$D$51),1,0)</f>
        <v>1</v>
      </c>
      <c r="CF683" s="15">
        <f t="shared" si="450"/>
        <v>0</v>
      </c>
      <c r="CG683" s="75">
        <f>CF683*(1-PARAM!$C$27)*$R$3+(MOD($B683/12,5)=0)*($B683&gt;60)*HLOOKUP($B683/12,Loyalty,2)*$F$1*MAX(CI682,0)</f>
        <v>0</v>
      </c>
      <c r="CH683" s="75">
        <f>PARAM!$C$26+MAX($P$3-CHOOSE(PARAM!$B$44,MAX(0,CI682*$F$1),0),0)*RATES!$L659/12+$Q$3*(PARAM!$D$51/12)*RATES!$N659/100</f>
        <v>464.41666666666674</v>
      </c>
      <c r="CI683" s="16">
        <f>IF(CI682&gt;0,CI682*PARAM!$C$53,CI682)+CG683-CH683</f>
        <v>-61635.250000000022</v>
      </c>
      <c r="CJ683" s="15">
        <f t="shared" si="476"/>
        <v>0</v>
      </c>
      <c r="CK683" s="75">
        <f>CJ683*(1-PARAM!$C$27)*$R$4+(MOD($B683/12,5)=0)*($B683&gt;60)*HLOOKUP($B683/12,Loyalty,2)*$F$1*MAX(CM682,0)</f>
        <v>0</v>
      </c>
      <c r="CL683" s="75">
        <f>PARAM!$C$26+MAX($P$4-CHOOSE(PARAM!$B$44,MAX(0,CM682*$F$1),0),0)*RATES!$L659/12+$Q$4*(PARAM!$D$51/12)*RATES!$N659/100</f>
        <v>464.41666666666674</v>
      </c>
      <c r="CM683" s="16">
        <f>IF(CM682&gt;0,CM682*PARAM!$C$53,CM682)+CK683-CL683</f>
        <v>-61635.250000000022</v>
      </c>
      <c r="CO683" s="176"/>
    </row>
    <row r="684" spans="1:93" x14ac:dyDescent="0.2">
      <c r="A684" t="b">
        <f t="shared" si="451"/>
        <v>0</v>
      </c>
      <c r="B684" s="33">
        <v>657</v>
      </c>
      <c r="C684" s="15">
        <f t="shared" si="452"/>
        <v>20.081305947392778</v>
      </c>
      <c r="D684" s="75">
        <f>C684*(1-PARAM!$C$27)*$I$3+(MOD($B684,60)=PARAM!$B$56)*($B684&gt;(60-PARAM!$B$56))*HLOOKUP(($B684+PARAM!$B$56)/12,Loyalty,2)*$F$1*MAX(F683,0)</f>
        <v>16.808053077967756</v>
      </c>
      <c r="E684" s="75">
        <f>PARAM!$C$26+MAX($G$3-CHOOSE(PARAM!$B$44,MAX(0,F683*$F$1),0),0)*RATES!$L660/12+$H$3*(PARAM!$D$51/12)*RATES!$N660/100</f>
        <v>464.41666666666674</v>
      </c>
      <c r="F684" s="16">
        <f t="shared" si="453"/>
        <v>-51213.200985845651</v>
      </c>
      <c r="G684" s="15">
        <f t="shared" si="454"/>
        <v>22.035289406060361</v>
      </c>
      <c r="H684" s="75">
        <f>G684*(1-PARAM!$C$27)*$I$4+(MOD($B684,60)=PARAM!$B$56)*($B684&gt;(60-PARAM!$B$56))*HLOOKUP(($B684+PARAM!$B$56)/12,Loyalty,2)*$F$1*MAX(J683,0)</f>
        <v>18.443537232872522</v>
      </c>
      <c r="I684" s="75">
        <f>PARAM!$C$26+MAX($G$4-CHOOSE(PARAM!$B$44,MAX(0,J683*$F$1),0),0)*RATES!$L660/12+$H$4*(PARAM!$D$51/12)*RATES!$N660/100</f>
        <v>464.41666666666674</v>
      </c>
      <c r="J684" s="16">
        <f t="shared" si="455"/>
        <v>-50104.854931951428</v>
      </c>
      <c r="K684" s="15">
        <f t="shared" si="456"/>
        <v>22.170849845882874</v>
      </c>
      <c r="L684" s="75">
        <f>K684*(1-PARAM!$C$27)*$I$5+(MOD($B684,60)=PARAM!$B$56)*($B684&gt;(60-PARAM!$B$56))*HLOOKUP(($B684+PARAM!$B$56)/12,Loyalty,2)*$F$1*MAX(N683,0)</f>
        <v>18.557001321003963</v>
      </c>
      <c r="M684" s="75">
        <f>PARAM!$C$26+MAX($G$5-CHOOSE(PARAM!$B$44,MAX(0,N683*$F$1),0),0)*RATES!$L660/12+$H$5*(PARAM!$D$51/12)*RATES!$N660/100</f>
        <v>464.41666666666674</v>
      </c>
      <c r="N684" s="16">
        <f t="shared" si="457"/>
        <v>-50027.291489649389</v>
      </c>
      <c r="O684" s="15">
        <f t="shared" si="458"/>
        <v>22.170849845882874</v>
      </c>
      <c r="P684" s="75">
        <f>O684*(1-PARAM!$C$27)*$I$6+(MOD($B684,60)=PARAM!$B$56)*($B684&gt;(60-PARAM!$B$56))*HLOOKUP(($B684+PARAM!$B$56)/12,Loyalty,2)*$F$1*MAX(R683,0)</f>
        <v>18.557001321003963</v>
      </c>
      <c r="Q684" s="75">
        <f>PARAM!$C$26+MAX($G$6-CHOOSE(PARAM!$B$44,MAX(0,R683*$F$1),0),0)*RATES!$L660/12+$H$6*(PARAM!$D$51/12)*RATES!$N660/100</f>
        <v>464.41666666666674</v>
      </c>
      <c r="R684" s="16">
        <f t="shared" si="459"/>
        <v>-50027.291489649389</v>
      </c>
      <c r="S684" s="15">
        <f t="shared" si="434"/>
        <v>22.170849845882874</v>
      </c>
      <c r="T684" s="75">
        <f>S684*(1-PARAM!$C$27)*$I$7+(MOD($B684,60)=PARAM!$B$56)*($B684&gt;(60-PARAM!$B$56))*HLOOKUP(($B684+PARAM!$B$56)/12,Loyalty,2)*$F$1*MAX(V683,0)</f>
        <v>18.557001321003963</v>
      </c>
      <c r="U684" s="75">
        <f>PARAM!$C$26+MAX($G$7-CHOOSE(PARAM!$B$44,MAX(0,V683*$F$1),0),0)*RATES!$L660/12+$H$7*(PARAM!$D$51/12)*RATES!$N660/100</f>
        <v>464.41666666666674</v>
      </c>
      <c r="V684" s="16">
        <f t="shared" si="460"/>
        <v>-50027.291489649389</v>
      </c>
      <c r="W684" s="15">
        <f t="shared" si="435"/>
        <v>22.170849845882874</v>
      </c>
      <c r="X684" s="75">
        <f>W684*(1-PARAM!$C$27)*$I$8+(MOD($B684,60)=PARAM!$B$56)*($B684&gt;(60-PARAM!$B$56))*HLOOKUP(($B684+PARAM!$B$56)/12,Loyalty,2)*$F$1*MAX(Z683,0)</f>
        <v>18.557001321003963</v>
      </c>
      <c r="Y684" s="75">
        <f>PARAM!$C$26+MAX($G$8-CHOOSE(PARAM!$B$44,MAX(0,Z683*$F$1),0),0)*RATES!$L660/12+$H$8*(PARAM!$D$51/12)*RATES!$N660/100</f>
        <v>464.41666666666674</v>
      </c>
      <c r="Z684" s="16">
        <f t="shared" si="461"/>
        <v>-50027.291489649389</v>
      </c>
      <c r="AA684" s="15">
        <f t="shared" si="436"/>
        <v>22.170849845882874</v>
      </c>
      <c r="AB684" s="75">
        <f>AA684*(1-PARAM!$C$27)*$I$9+(MOD($B684,60)=PARAM!$B$56)*($B684&gt;(60-PARAM!$B$56))*HLOOKUP(($B684+PARAM!$B$56)/12,Loyalty,2)*$F$1*MAX(AD683,0)</f>
        <v>18.557001321003963</v>
      </c>
      <c r="AC684" s="75">
        <f>PARAM!$C$26+MAX($G$9-CHOOSE(PARAM!$B$44,MAX(0,AD683*$F$1),0),0)*RATES!$L660/12+$H$9*(PARAM!$D$51/12)*RATES!$N660/100</f>
        <v>464.41666666666674</v>
      </c>
      <c r="AD684" s="16">
        <f t="shared" si="462"/>
        <v>-50027.291489649389</v>
      </c>
      <c r="AE684" s="15">
        <f t="shared" si="437"/>
        <v>22.170849845882874</v>
      </c>
      <c r="AF684" s="75">
        <f>AE684*(1-PARAM!$C$27)*$I$10+(MOD($B684,60)=PARAM!$B$56)*($B684&gt;(60-PARAM!$B$56))*HLOOKUP(($B684+PARAM!$B$56)/12,Loyalty,2)*$F$1*MAX(AH683,0)</f>
        <v>18.557001321003963</v>
      </c>
      <c r="AG684" s="75">
        <f>PARAM!$C$26+MAX($G$10-CHOOSE(PARAM!$B$44,MAX(0,AH683*$F$1),0),0)*RATES!$L660/12+$H$10*(PARAM!$D$51/12)*RATES!$N660/100</f>
        <v>464.41666666666674</v>
      </c>
      <c r="AH684" s="16">
        <f t="shared" si="463"/>
        <v>-50027.291489649389</v>
      </c>
      <c r="AI684" s="15">
        <f t="shared" si="438"/>
        <v>22.170849845882874</v>
      </c>
      <c r="AJ684" s="75">
        <f>AI684*(1-PARAM!$C$27)*$I$11+(MOD($B684,60)=PARAM!$B$56)*($B684&gt;(60-PARAM!$B$56))*HLOOKUP(($B684+PARAM!$B$56)/12,Loyalty,2)*$F$1*MAX(AL683,0)</f>
        <v>18.557001321003963</v>
      </c>
      <c r="AK684" s="75">
        <f>PARAM!$C$26+MAX($G$11-CHOOSE(PARAM!$B$44,MAX(0,AL683*$F$1),0),0)*RATES!$L660/12+$H$11*(PARAM!$D$51/12)*RATES!$N660/100</f>
        <v>464.41666666666674</v>
      </c>
      <c r="AL684" s="16">
        <f t="shared" si="464"/>
        <v>-50027.291489649389</v>
      </c>
      <c r="AM684" s="15">
        <f t="shared" si="439"/>
        <v>22.170849845882874</v>
      </c>
      <c r="AN684" s="75">
        <f>AM684*(1-PARAM!$C$27)*$I$12+(MOD($B684,60)=PARAM!$B$56)*($B684&gt;(60-PARAM!$B$56))*HLOOKUP(($B684+PARAM!$B$56)/12,Loyalty,2)*$F$1*MAX(AP683,0)</f>
        <v>18.557001321003963</v>
      </c>
      <c r="AO684" s="75">
        <f>PARAM!$C$26+MAX($G$12-CHOOSE(PARAM!$B$44,MAX(0,AP683*$F$1),0),0)*RATES!$L660/12+$H$12*(PARAM!$D$51/12)*RATES!$N660/100</f>
        <v>464.41666666666674</v>
      </c>
      <c r="AP684" s="16">
        <f t="shared" si="465"/>
        <v>-50027.291489649389</v>
      </c>
      <c r="AQ684" s="15">
        <f t="shared" si="440"/>
        <v>22.170849845882874</v>
      </c>
      <c r="AR684" s="75">
        <f>AQ684*(1-PARAM!$C$27)*$I$13+(MOD($B684,60)=PARAM!$B$56)*($B684&gt;(60-PARAM!$B$56))*HLOOKUP(($B684+PARAM!$B$56)/12,Loyalty,2)*$F$1*MAX(AT683,0)</f>
        <v>18.557001321003963</v>
      </c>
      <c r="AS684" s="75">
        <f>PARAM!$C$26+MAX($G$13-CHOOSE(PARAM!$B$44,MAX(0,AT683*$F$1),0),0)*RATES!$L660/12+$H$13*(PARAM!$D$51/12)*RATES!$N660/100</f>
        <v>464.41666666666674</v>
      </c>
      <c r="AT684" s="16">
        <f t="shared" si="466"/>
        <v>-50027.291489649389</v>
      </c>
      <c r="AU684" s="15">
        <f t="shared" si="441"/>
        <v>22.170849845882874</v>
      </c>
      <c r="AV684" s="75">
        <f>AU684*(1-PARAM!$C$27)*$I$14+(MOD($B684,60)=PARAM!$B$56)*($B684&gt;(60-PARAM!$B$56))*HLOOKUP(($B684+PARAM!$B$56)/12,Loyalty,2)*$F$1*MAX(AX683,0)</f>
        <v>18.557001321003963</v>
      </c>
      <c r="AW684" s="75">
        <f>PARAM!$C$26+MAX($G$14-CHOOSE(PARAM!$B$44,MAX(0,AX683*$F$1),0),0)*RATES!$L660/12+$H$14*(PARAM!$D$51/12)*RATES!$N660/100</f>
        <v>464.41666666666674</v>
      </c>
      <c r="AX684" s="16">
        <f t="shared" si="467"/>
        <v>-50027.291489649389</v>
      </c>
      <c r="AY684" s="15">
        <f t="shared" si="442"/>
        <v>22.170849845882874</v>
      </c>
      <c r="AZ684" s="75">
        <f>AY684*(1-PARAM!$C$27)*$I$15+(MOD($B684,60)=PARAM!$B$56)*($B684&gt;(60-PARAM!$B$56))*HLOOKUP(($B684+PARAM!$B$56)/12,Loyalty,2)*$F$1*MAX(BB683,0)</f>
        <v>18.557001321003963</v>
      </c>
      <c r="BA684" s="75">
        <f>PARAM!$C$26+MAX($G$15-CHOOSE(PARAM!$B$44,MAX(0,BB683*$F$1),0),0)*RATES!$L660/12+$H$15*(PARAM!$D$51/12)*RATES!$N660/100</f>
        <v>464.41666666666674</v>
      </c>
      <c r="BB684" s="16">
        <f t="shared" si="468"/>
        <v>-50027.291489649389</v>
      </c>
      <c r="BC684" s="15">
        <f t="shared" si="443"/>
        <v>22.170849845882874</v>
      </c>
      <c r="BD684" s="75">
        <f>BC684*(1-PARAM!$C$27)*$I$16+(MOD($B684,60)=PARAM!$B$56)*($B684&gt;(60-PARAM!$B$56))*HLOOKUP(($B684+PARAM!$B$56)/12,Loyalty,2)*$F$1*MAX(BF683,0)</f>
        <v>18.557001321003963</v>
      </c>
      <c r="BE684" s="75">
        <f>PARAM!$C$26+MAX($G$16-CHOOSE(PARAM!$B$44,MAX(0,BF683*$F$1),0),0)*RATES!$L660/12+$H$16*(PARAM!$D$51/12)*RATES!$N660/100</f>
        <v>464.41666666666674</v>
      </c>
      <c r="BF684" s="16">
        <f t="shared" si="469"/>
        <v>-50027.291489649389</v>
      </c>
      <c r="BG684" s="15">
        <f t="shared" si="444"/>
        <v>22.170849845882874</v>
      </c>
      <c r="BH684" s="75">
        <f>BG684*(1-PARAM!$C$27)*$I$17+(MOD($B684,60)=PARAM!$B$56)*($B684&gt;(60-PARAM!$B$56))*HLOOKUP(($B684+PARAM!$B$56)/12,Loyalty,2)*$F$1*MAX(BJ683,0)</f>
        <v>18.557001321003963</v>
      </c>
      <c r="BI684" s="75">
        <f>PARAM!$C$26+MAX($G$17-CHOOSE(PARAM!$B$44,MAX(0,BJ683*$F$1),0),0)*RATES!$L660/12+$H$17*(PARAM!$D$51/12)*RATES!$N660/100</f>
        <v>464.41666666666674</v>
      </c>
      <c r="BJ684" s="16">
        <f t="shared" si="470"/>
        <v>-50027.291489649389</v>
      </c>
      <c r="BK684" s="15">
        <f t="shared" si="445"/>
        <v>22.170849845882874</v>
      </c>
      <c r="BL684" s="75">
        <f>BK684*(1-PARAM!$C$27)*$I$18+(MOD($B684,60)=PARAM!$B$56)*($B684&gt;(60-PARAM!$B$56))*HLOOKUP(($B684+PARAM!$B$56)/12,Loyalty,2)*$F$1*MAX(BN683,0)</f>
        <v>18.557001321003963</v>
      </c>
      <c r="BM684" s="75">
        <f>PARAM!$C$26+MAX($G$18-CHOOSE(PARAM!$B$44,MAX(0,BN683*$F$1),0),0)*RATES!$L660/12+$H$18*(PARAM!$D$51/12)*RATES!$N660/100</f>
        <v>464.41666666666674</v>
      </c>
      <c r="BN684" s="16">
        <f t="shared" si="471"/>
        <v>-50027.291489649389</v>
      </c>
      <c r="BO684" s="15">
        <f t="shared" si="446"/>
        <v>22.170849845882874</v>
      </c>
      <c r="BP684" s="75">
        <f>BO684*(1-PARAM!$C$27)*$I$19+(MOD($B684,60)=PARAM!$B$56)*($B684&gt;(60-PARAM!$B$56))*HLOOKUP(($B684+PARAM!$B$56)/12,Loyalty,2)*$F$1*MAX(BR683,0)</f>
        <v>18.557001321003963</v>
      </c>
      <c r="BQ684" s="75">
        <f>PARAM!$C$26+MAX($G$19-CHOOSE(PARAM!$B$44,MAX(0,BR683*$F$1),0),0)*RATES!$L660/12+$H$19*(PARAM!$D$51/12)*RATES!$N660/100</f>
        <v>464.41666666666674</v>
      </c>
      <c r="BR684" s="16">
        <f t="shared" si="472"/>
        <v>-50027.291489649389</v>
      </c>
      <c r="BS684" s="15">
        <f t="shared" si="447"/>
        <v>22.170849845882874</v>
      </c>
      <c r="BT684" s="75">
        <f>BS684*(1-PARAM!$C$27)*$I$20+(MOD($B684,60)=PARAM!$B$56)*($B684&gt;(60-PARAM!$B$56))*HLOOKUP(($B684+PARAM!$B$56)/12,Loyalty,2)*$F$1*MAX(BV683,0)</f>
        <v>18.557001321003963</v>
      </c>
      <c r="BU684" s="75">
        <f>PARAM!$C$26+MAX($G$20-CHOOSE(PARAM!$B$44,MAX(0,BV683*$F$1),0),0)*RATES!$L660/12+$H$20*(PARAM!$D$51/12)*RATES!$N660/100</f>
        <v>464.41666666666674</v>
      </c>
      <c r="BV684" s="16">
        <f t="shared" si="473"/>
        <v>-50027.291489649389</v>
      </c>
      <c r="BW684" s="15">
        <f t="shared" si="448"/>
        <v>22.170849845882874</v>
      </c>
      <c r="BX684" s="75">
        <f>BW684*(1-PARAM!$C$27)*$I$21+(MOD($B684,60)=PARAM!$B$56)*($B684&gt;(60-PARAM!$B$56))*HLOOKUP(($B684+PARAM!$B$56)/12,Loyalty,2)*$F$1*MAX(BZ683,0)</f>
        <v>18.557001321003963</v>
      </c>
      <c r="BY684" s="75">
        <f>PARAM!$C$26+MAX($G$21-CHOOSE(PARAM!$B$44,MAX(0,BZ683*$F$1),0),0)*RATES!$L660/12+$H$21*(PARAM!$D$51/12)*RATES!$N660/100</f>
        <v>464.41666666666674</v>
      </c>
      <c r="BZ684" s="16">
        <f t="shared" si="474"/>
        <v>-50027.291489649389</v>
      </c>
      <c r="CA684" s="15">
        <f t="shared" si="449"/>
        <v>22.170849845882874</v>
      </c>
      <c r="CB684" s="75">
        <f>CA684*(1-PARAM!$C$27)*$I$22+(MOD($B684,60)=PARAM!$B$56)*($B684&gt;(60-PARAM!$B$56))*HLOOKUP(($B684+PARAM!$B$56)/12,Loyalty,2)*$F$1*MAX(CD683,0)</f>
        <v>18.557001321003963</v>
      </c>
      <c r="CC684" s="75">
        <f>PARAM!$C$26+MAX($G$22-CHOOSE(PARAM!$B$44,MAX(0,CD683*$F$1),0),0)*RATES!$L660/12+$H$22*(PARAM!$D$51/12)*RATES!$N660/100</f>
        <v>464.41666666666674</v>
      </c>
      <c r="CD684" s="16">
        <f t="shared" si="475"/>
        <v>-50027.291489649389</v>
      </c>
      <c r="CE684" s="33">
        <f>IF(0=MOD(B684,12/PARAM!$D$51),1,0)</f>
        <v>1</v>
      </c>
      <c r="CF684" s="15">
        <f t="shared" si="450"/>
        <v>0</v>
      </c>
      <c r="CG684" s="75">
        <f>CF684*(1-PARAM!$C$27)*$R$3+(MOD($B684/12,5)=0)*($B684&gt;60)*HLOOKUP($B684/12,Loyalty,2)*$F$1*MAX(CI683,0)</f>
        <v>0</v>
      </c>
      <c r="CH684" s="75">
        <f>PARAM!$C$26+MAX($P$3-CHOOSE(PARAM!$B$44,MAX(0,CI683*$F$1),0),0)*RATES!$L660/12+$Q$3*(PARAM!$D$51/12)*RATES!$N660/100</f>
        <v>464.41666666666674</v>
      </c>
      <c r="CI684" s="16">
        <f>IF(CI683&gt;0,CI683*PARAM!$C$53,CI683)+CG684-CH684</f>
        <v>-62099.666666666686</v>
      </c>
      <c r="CJ684" s="15">
        <f t="shared" si="476"/>
        <v>0</v>
      </c>
      <c r="CK684" s="75">
        <f>CJ684*(1-PARAM!$C$27)*$R$4+(MOD($B684/12,5)=0)*($B684&gt;60)*HLOOKUP($B684/12,Loyalty,2)*$F$1*MAX(CM683,0)</f>
        <v>0</v>
      </c>
      <c r="CL684" s="75">
        <f>PARAM!$C$26+MAX($P$4-CHOOSE(PARAM!$B$44,MAX(0,CM683*$F$1),0),0)*RATES!$L660/12+$Q$4*(PARAM!$D$51/12)*RATES!$N660/100</f>
        <v>464.41666666666674</v>
      </c>
      <c r="CM684" s="16">
        <f>IF(CM683&gt;0,CM683*PARAM!$C$53,CM683)+CK684-CL684</f>
        <v>-62099.666666666686</v>
      </c>
      <c r="CO684" s="176"/>
    </row>
    <row r="685" spans="1:93" x14ac:dyDescent="0.2">
      <c r="A685" t="b">
        <f t="shared" si="451"/>
        <v>0</v>
      </c>
      <c r="B685" s="33">
        <v>658</v>
      </c>
      <c r="C685" s="15">
        <f t="shared" si="452"/>
        <v>20.081305947392778</v>
      </c>
      <c r="D685" s="75">
        <f>C685*(1-PARAM!$C$27)*$I$3+(MOD($B685,60)=PARAM!$B$56)*($B685&gt;(60-PARAM!$B$56))*HLOOKUP(($B685+PARAM!$B$56)/12,Loyalty,2)*$F$1*MAX(F684,0)</f>
        <v>16.808053077967756</v>
      </c>
      <c r="E685" s="75">
        <f>PARAM!$C$26+MAX($G$3-CHOOSE(PARAM!$B$44,MAX(0,F684*$F$1),0),0)*RATES!$L661/12+$H$3*(PARAM!$D$51/12)*RATES!$N661/100</f>
        <v>464.41666666666674</v>
      </c>
      <c r="F685" s="16">
        <f t="shared" si="453"/>
        <v>-51660.809599434346</v>
      </c>
      <c r="G685" s="15">
        <f t="shared" si="454"/>
        <v>22.035289406060361</v>
      </c>
      <c r="H685" s="75">
        <f>G685*(1-PARAM!$C$27)*$I$4+(MOD($B685,60)=PARAM!$B$56)*($B685&gt;(60-PARAM!$B$56))*HLOOKUP(($B685+PARAM!$B$56)/12,Loyalty,2)*$F$1*MAX(J684,0)</f>
        <v>18.443537232872522</v>
      </c>
      <c r="I685" s="75">
        <f>PARAM!$C$26+MAX($G$4-CHOOSE(PARAM!$B$44,MAX(0,J684*$F$1),0),0)*RATES!$L661/12+$H$4*(PARAM!$D$51/12)*RATES!$N661/100</f>
        <v>464.41666666666674</v>
      </c>
      <c r="J685" s="16">
        <f t="shared" si="455"/>
        <v>-50550.828061385218</v>
      </c>
      <c r="K685" s="15">
        <f t="shared" si="456"/>
        <v>22.170849845882874</v>
      </c>
      <c r="L685" s="75">
        <f>K685*(1-PARAM!$C$27)*$I$5+(MOD($B685,60)=PARAM!$B$56)*($B685&gt;(60-PARAM!$B$56))*HLOOKUP(($B685+PARAM!$B$56)/12,Loyalty,2)*$F$1*MAX(N684,0)</f>
        <v>18.557001321003963</v>
      </c>
      <c r="M685" s="75">
        <f>PARAM!$C$26+MAX($G$5-CHOOSE(PARAM!$B$44,MAX(0,N684*$F$1),0),0)*RATES!$L661/12+$H$5*(PARAM!$D$51/12)*RATES!$N661/100</f>
        <v>464.41666666666674</v>
      </c>
      <c r="N685" s="16">
        <f t="shared" si="457"/>
        <v>-50473.151154995052</v>
      </c>
      <c r="O685" s="15">
        <f t="shared" si="458"/>
        <v>22.170849845882874</v>
      </c>
      <c r="P685" s="75">
        <f>O685*(1-PARAM!$C$27)*$I$6+(MOD($B685,60)=PARAM!$B$56)*($B685&gt;(60-PARAM!$B$56))*HLOOKUP(($B685+PARAM!$B$56)/12,Loyalty,2)*$F$1*MAX(R684,0)</f>
        <v>18.557001321003963</v>
      </c>
      <c r="Q685" s="75">
        <f>PARAM!$C$26+MAX($G$6-CHOOSE(PARAM!$B$44,MAX(0,R684*$F$1),0),0)*RATES!$L661/12+$H$6*(PARAM!$D$51/12)*RATES!$N661/100</f>
        <v>464.41666666666674</v>
      </c>
      <c r="R685" s="16">
        <f t="shared" si="459"/>
        <v>-50473.151154995052</v>
      </c>
      <c r="S685" s="15">
        <f t="shared" si="434"/>
        <v>22.170849845882874</v>
      </c>
      <c r="T685" s="75">
        <f>S685*(1-PARAM!$C$27)*$I$7+(MOD($B685,60)=PARAM!$B$56)*($B685&gt;(60-PARAM!$B$56))*HLOOKUP(($B685+PARAM!$B$56)/12,Loyalty,2)*$F$1*MAX(V684,0)</f>
        <v>18.557001321003963</v>
      </c>
      <c r="U685" s="75">
        <f>PARAM!$C$26+MAX($G$7-CHOOSE(PARAM!$B$44,MAX(0,V684*$F$1),0),0)*RATES!$L661/12+$H$7*(PARAM!$D$51/12)*RATES!$N661/100</f>
        <v>464.41666666666674</v>
      </c>
      <c r="V685" s="16">
        <f t="shared" si="460"/>
        <v>-50473.151154995052</v>
      </c>
      <c r="W685" s="15">
        <f t="shared" si="435"/>
        <v>22.170849845882874</v>
      </c>
      <c r="X685" s="75">
        <f>W685*(1-PARAM!$C$27)*$I$8+(MOD($B685,60)=PARAM!$B$56)*($B685&gt;(60-PARAM!$B$56))*HLOOKUP(($B685+PARAM!$B$56)/12,Loyalty,2)*$F$1*MAX(Z684,0)</f>
        <v>18.557001321003963</v>
      </c>
      <c r="Y685" s="75">
        <f>PARAM!$C$26+MAX($G$8-CHOOSE(PARAM!$B$44,MAX(0,Z684*$F$1),0),0)*RATES!$L661/12+$H$8*(PARAM!$D$51/12)*RATES!$N661/100</f>
        <v>464.41666666666674</v>
      </c>
      <c r="Z685" s="16">
        <f t="shared" si="461"/>
        <v>-50473.151154995052</v>
      </c>
      <c r="AA685" s="15">
        <f t="shared" si="436"/>
        <v>22.170849845882874</v>
      </c>
      <c r="AB685" s="75">
        <f>AA685*(1-PARAM!$C$27)*$I$9+(MOD($B685,60)=PARAM!$B$56)*($B685&gt;(60-PARAM!$B$56))*HLOOKUP(($B685+PARAM!$B$56)/12,Loyalty,2)*$F$1*MAX(AD684,0)</f>
        <v>18.557001321003963</v>
      </c>
      <c r="AC685" s="75">
        <f>PARAM!$C$26+MAX($G$9-CHOOSE(PARAM!$B$44,MAX(0,AD684*$F$1),0),0)*RATES!$L661/12+$H$9*(PARAM!$D$51/12)*RATES!$N661/100</f>
        <v>464.41666666666674</v>
      </c>
      <c r="AD685" s="16">
        <f t="shared" si="462"/>
        <v>-50473.151154995052</v>
      </c>
      <c r="AE685" s="15">
        <f t="shared" si="437"/>
        <v>22.170849845882874</v>
      </c>
      <c r="AF685" s="75">
        <f>AE685*(1-PARAM!$C$27)*$I$10+(MOD($B685,60)=PARAM!$B$56)*($B685&gt;(60-PARAM!$B$56))*HLOOKUP(($B685+PARAM!$B$56)/12,Loyalty,2)*$F$1*MAX(AH684,0)</f>
        <v>18.557001321003963</v>
      </c>
      <c r="AG685" s="75">
        <f>PARAM!$C$26+MAX($G$10-CHOOSE(PARAM!$B$44,MAX(0,AH684*$F$1),0),0)*RATES!$L661/12+$H$10*(PARAM!$D$51/12)*RATES!$N661/100</f>
        <v>464.41666666666674</v>
      </c>
      <c r="AH685" s="16">
        <f t="shared" si="463"/>
        <v>-50473.151154995052</v>
      </c>
      <c r="AI685" s="15">
        <f t="shared" si="438"/>
        <v>22.170849845882874</v>
      </c>
      <c r="AJ685" s="75">
        <f>AI685*(1-PARAM!$C$27)*$I$11+(MOD($B685,60)=PARAM!$B$56)*($B685&gt;(60-PARAM!$B$56))*HLOOKUP(($B685+PARAM!$B$56)/12,Loyalty,2)*$F$1*MAX(AL684,0)</f>
        <v>18.557001321003963</v>
      </c>
      <c r="AK685" s="75">
        <f>PARAM!$C$26+MAX($G$11-CHOOSE(PARAM!$B$44,MAX(0,AL684*$F$1),0),0)*RATES!$L661/12+$H$11*(PARAM!$D$51/12)*RATES!$N661/100</f>
        <v>464.41666666666674</v>
      </c>
      <c r="AL685" s="16">
        <f t="shared" si="464"/>
        <v>-50473.151154995052</v>
      </c>
      <c r="AM685" s="15">
        <f t="shared" si="439"/>
        <v>22.170849845882874</v>
      </c>
      <c r="AN685" s="75">
        <f>AM685*(1-PARAM!$C$27)*$I$12+(MOD($B685,60)=PARAM!$B$56)*($B685&gt;(60-PARAM!$B$56))*HLOOKUP(($B685+PARAM!$B$56)/12,Loyalty,2)*$F$1*MAX(AP684,0)</f>
        <v>18.557001321003963</v>
      </c>
      <c r="AO685" s="75">
        <f>PARAM!$C$26+MAX($G$12-CHOOSE(PARAM!$B$44,MAX(0,AP684*$F$1),0),0)*RATES!$L661/12+$H$12*(PARAM!$D$51/12)*RATES!$N661/100</f>
        <v>464.41666666666674</v>
      </c>
      <c r="AP685" s="16">
        <f t="shared" si="465"/>
        <v>-50473.151154995052</v>
      </c>
      <c r="AQ685" s="15">
        <f t="shared" si="440"/>
        <v>22.170849845882874</v>
      </c>
      <c r="AR685" s="75">
        <f>AQ685*(1-PARAM!$C$27)*$I$13+(MOD($B685,60)=PARAM!$B$56)*($B685&gt;(60-PARAM!$B$56))*HLOOKUP(($B685+PARAM!$B$56)/12,Loyalty,2)*$F$1*MAX(AT684,0)</f>
        <v>18.557001321003963</v>
      </c>
      <c r="AS685" s="75">
        <f>PARAM!$C$26+MAX($G$13-CHOOSE(PARAM!$B$44,MAX(0,AT684*$F$1),0),0)*RATES!$L661/12+$H$13*(PARAM!$D$51/12)*RATES!$N661/100</f>
        <v>464.41666666666674</v>
      </c>
      <c r="AT685" s="16">
        <f t="shared" si="466"/>
        <v>-50473.151154995052</v>
      </c>
      <c r="AU685" s="15">
        <f t="shared" si="441"/>
        <v>22.170849845882874</v>
      </c>
      <c r="AV685" s="75">
        <f>AU685*(1-PARAM!$C$27)*$I$14+(MOD($B685,60)=PARAM!$B$56)*($B685&gt;(60-PARAM!$B$56))*HLOOKUP(($B685+PARAM!$B$56)/12,Loyalty,2)*$F$1*MAX(AX684,0)</f>
        <v>18.557001321003963</v>
      </c>
      <c r="AW685" s="75">
        <f>PARAM!$C$26+MAX($G$14-CHOOSE(PARAM!$B$44,MAX(0,AX684*$F$1),0),0)*RATES!$L661/12+$H$14*(PARAM!$D$51/12)*RATES!$N661/100</f>
        <v>464.41666666666674</v>
      </c>
      <c r="AX685" s="16">
        <f t="shared" si="467"/>
        <v>-50473.151154995052</v>
      </c>
      <c r="AY685" s="15">
        <f t="shared" si="442"/>
        <v>22.170849845882874</v>
      </c>
      <c r="AZ685" s="75">
        <f>AY685*(1-PARAM!$C$27)*$I$15+(MOD($B685,60)=PARAM!$B$56)*($B685&gt;(60-PARAM!$B$56))*HLOOKUP(($B685+PARAM!$B$56)/12,Loyalty,2)*$F$1*MAX(BB684,0)</f>
        <v>18.557001321003963</v>
      </c>
      <c r="BA685" s="75">
        <f>PARAM!$C$26+MAX($G$15-CHOOSE(PARAM!$B$44,MAX(0,BB684*$F$1),0),0)*RATES!$L661/12+$H$15*(PARAM!$D$51/12)*RATES!$N661/100</f>
        <v>464.41666666666674</v>
      </c>
      <c r="BB685" s="16">
        <f t="shared" si="468"/>
        <v>-50473.151154995052</v>
      </c>
      <c r="BC685" s="15">
        <f t="shared" si="443"/>
        <v>22.170849845882874</v>
      </c>
      <c r="BD685" s="75">
        <f>BC685*(1-PARAM!$C$27)*$I$16+(MOD($B685,60)=PARAM!$B$56)*($B685&gt;(60-PARAM!$B$56))*HLOOKUP(($B685+PARAM!$B$56)/12,Loyalty,2)*$F$1*MAX(BF684,0)</f>
        <v>18.557001321003963</v>
      </c>
      <c r="BE685" s="75">
        <f>PARAM!$C$26+MAX($G$16-CHOOSE(PARAM!$B$44,MAX(0,BF684*$F$1),0),0)*RATES!$L661/12+$H$16*(PARAM!$D$51/12)*RATES!$N661/100</f>
        <v>464.41666666666674</v>
      </c>
      <c r="BF685" s="16">
        <f t="shared" si="469"/>
        <v>-50473.151154995052</v>
      </c>
      <c r="BG685" s="15">
        <f t="shared" si="444"/>
        <v>22.170849845882874</v>
      </c>
      <c r="BH685" s="75">
        <f>BG685*(1-PARAM!$C$27)*$I$17+(MOD($B685,60)=PARAM!$B$56)*($B685&gt;(60-PARAM!$B$56))*HLOOKUP(($B685+PARAM!$B$56)/12,Loyalty,2)*$F$1*MAX(BJ684,0)</f>
        <v>18.557001321003963</v>
      </c>
      <c r="BI685" s="75">
        <f>PARAM!$C$26+MAX($G$17-CHOOSE(PARAM!$B$44,MAX(0,BJ684*$F$1),0),0)*RATES!$L661/12+$H$17*(PARAM!$D$51/12)*RATES!$N661/100</f>
        <v>464.41666666666674</v>
      </c>
      <c r="BJ685" s="16">
        <f t="shared" si="470"/>
        <v>-50473.151154995052</v>
      </c>
      <c r="BK685" s="15">
        <f t="shared" si="445"/>
        <v>22.170849845882874</v>
      </c>
      <c r="BL685" s="75">
        <f>BK685*(1-PARAM!$C$27)*$I$18+(MOD($B685,60)=PARAM!$B$56)*($B685&gt;(60-PARAM!$B$56))*HLOOKUP(($B685+PARAM!$B$56)/12,Loyalty,2)*$F$1*MAX(BN684,0)</f>
        <v>18.557001321003963</v>
      </c>
      <c r="BM685" s="75">
        <f>PARAM!$C$26+MAX($G$18-CHOOSE(PARAM!$B$44,MAX(0,BN684*$F$1),0),0)*RATES!$L661/12+$H$18*(PARAM!$D$51/12)*RATES!$N661/100</f>
        <v>464.41666666666674</v>
      </c>
      <c r="BN685" s="16">
        <f t="shared" si="471"/>
        <v>-50473.151154995052</v>
      </c>
      <c r="BO685" s="15">
        <f t="shared" si="446"/>
        <v>22.170849845882874</v>
      </c>
      <c r="BP685" s="75">
        <f>BO685*(1-PARAM!$C$27)*$I$19+(MOD($B685,60)=PARAM!$B$56)*($B685&gt;(60-PARAM!$B$56))*HLOOKUP(($B685+PARAM!$B$56)/12,Loyalty,2)*$F$1*MAX(BR684,0)</f>
        <v>18.557001321003963</v>
      </c>
      <c r="BQ685" s="75">
        <f>PARAM!$C$26+MAX($G$19-CHOOSE(PARAM!$B$44,MAX(0,BR684*$F$1),0),0)*RATES!$L661/12+$H$19*(PARAM!$D$51/12)*RATES!$N661/100</f>
        <v>464.41666666666674</v>
      </c>
      <c r="BR685" s="16">
        <f t="shared" si="472"/>
        <v>-50473.151154995052</v>
      </c>
      <c r="BS685" s="15">
        <f t="shared" si="447"/>
        <v>22.170849845882874</v>
      </c>
      <c r="BT685" s="75">
        <f>BS685*(1-PARAM!$C$27)*$I$20+(MOD($B685,60)=PARAM!$B$56)*($B685&gt;(60-PARAM!$B$56))*HLOOKUP(($B685+PARAM!$B$56)/12,Loyalty,2)*$F$1*MAX(BV684,0)</f>
        <v>18.557001321003963</v>
      </c>
      <c r="BU685" s="75">
        <f>PARAM!$C$26+MAX($G$20-CHOOSE(PARAM!$B$44,MAX(0,BV684*$F$1),0),0)*RATES!$L661/12+$H$20*(PARAM!$D$51/12)*RATES!$N661/100</f>
        <v>464.41666666666674</v>
      </c>
      <c r="BV685" s="16">
        <f t="shared" si="473"/>
        <v>-50473.151154995052</v>
      </c>
      <c r="BW685" s="15">
        <f t="shared" si="448"/>
        <v>22.170849845882874</v>
      </c>
      <c r="BX685" s="75">
        <f>BW685*(1-PARAM!$C$27)*$I$21+(MOD($B685,60)=PARAM!$B$56)*($B685&gt;(60-PARAM!$B$56))*HLOOKUP(($B685+PARAM!$B$56)/12,Loyalty,2)*$F$1*MAX(BZ684,0)</f>
        <v>18.557001321003963</v>
      </c>
      <c r="BY685" s="75">
        <f>PARAM!$C$26+MAX($G$21-CHOOSE(PARAM!$B$44,MAX(0,BZ684*$F$1),0),0)*RATES!$L661/12+$H$21*(PARAM!$D$51/12)*RATES!$N661/100</f>
        <v>464.41666666666674</v>
      </c>
      <c r="BZ685" s="16">
        <f t="shared" si="474"/>
        <v>-50473.151154995052</v>
      </c>
      <c r="CA685" s="15">
        <f t="shared" si="449"/>
        <v>22.170849845882874</v>
      </c>
      <c r="CB685" s="75">
        <f>CA685*(1-PARAM!$C$27)*$I$22+(MOD($B685,60)=PARAM!$B$56)*($B685&gt;(60-PARAM!$B$56))*HLOOKUP(($B685+PARAM!$B$56)/12,Loyalty,2)*$F$1*MAX(CD684,0)</f>
        <v>18.557001321003963</v>
      </c>
      <c r="CC685" s="75">
        <f>PARAM!$C$26+MAX($G$22-CHOOSE(PARAM!$B$44,MAX(0,CD684*$F$1),0),0)*RATES!$L661/12+$H$22*(PARAM!$D$51/12)*RATES!$N661/100</f>
        <v>464.41666666666674</v>
      </c>
      <c r="CD685" s="16">
        <f t="shared" si="475"/>
        <v>-50473.151154995052</v>
      </c>
      <c r="CE685" s="33">
        <f>IF(0=MOD(B685,12/PARAM!$D$51),1,0)</f>
        <v>1</v>
      </c>
      <c r="CF685" s="15">
        <f t="shared" si="450"/>
        <v>0</v>
      </c>
      <c r="CG685" s="75">
        <f>CF685*(1-PARAM!$C$27)*$R$3+(MOD($B685/12,5)=0)*($B685&gt;60)*HLOOKUP($B685/12,Loyalty,2)*$F$1*MAX(CI684,0)</f>
        <v>0</v>
      </c>
      <c r="CH685" s="75">
        <f>PARAM!$C$26+MAX($P$3-CHOOSE(PARAM!$B$44,MAX(0,CI684*$F$1),0),0)*RATES!$L661/12+$Q$3*(PARAM!$D$51/12)*RATES!$N661/100</f>
        <v>464.41666666666674</v>
      </c>
      <c r="CI685" s="16">
        <f>IF(CI684&gt;0,CI684*PARAM!$C$53,CI684)+CG685-CH685</f>
        <v>-62564.08333333335</v>
      </c>
      <c r="CJ685" s="15">
        <f t="shared" si="476"/>
        <v>0</v>
      </c>
      <c r="CK685" s="75">
        <f>CJ685*(1-PARAM!$C$27)*$R$4+(MOD($B685/12,5)=0)*($B685&gt;60)*HLOOKUP($B685/12,Loyalty,2)*$F$1*MAX(CM684,0)</f>
        <v>0</v>
      </c>
      <c r="CL685" s="75">
        <f>PARAM!$C$26+MAX($P$4-CHOOSE(PARAM!$B$44,MAX(0,CM684*$F$1),0),0)*RATES!$L661/12+$Q$4*(PARAM!$D$51/12)*RATES!$N661/100</f>
        <v>464.41666666666674</v>
      </c>
      <c r="CM685" s="16">
        <f>IF(CM684&gt;0,CM684*PARAM!$C$53,CM684)+CK685-CL685</f>
        <v>-62564.08333333335</v>
      </c>
      <c r="CO685" s="176"/>
    </row>
    <row r="686" spans="1:93" x14ac:dyDescent="0.2">
      <c r="A686" t="b">
        <f t="shared" si="451"/>
        <v>0</v>
      </c>
      <c r="B686" s="33">
        <v>659</v>
      </c>
      <c r="C686" s="15">
        <f t="shared" si="452"/>
        <v>20.081305947392778</v>
      </c>
      <c r="D686" s="75">
        <f>C686*(1-PARAM!$C$27)*$I$3+(MOD($B686,60)=PARAM!$B$56)*($B686&gt;(60-PARAM!$B$56))*HLOOKUP(($B686+PARAM!$B$56)/12,Loyalty,2)*$F$1*MAX(F685,0)</f>
        <v>16.808053077967756</v>
      </c>
      <c r="E686" s="75">
        <f>PARAM!$C$26+MAX($G$3-CHOOSE(PARAM!$B$44,MAX(0,F685*$F$1),0),0)*RATES!$L662/12+$H$3*(PARAM!$D$51/12)*RATES!$N662/100</f>
        <v>464.41666666666674</v>
      </c>
      <c r="F686" s="16">
        <f t="shared" si="453"/>
        <v>-52108.41821302304</v>
      </c>
      <c r="G686" s="15">
        <f t="shared" si="454"/>
        <v>22.035289406060361</v>
      </c>
      <c r="H686" s="75">
        <f>G686*(1-PARAM!$C$27)*$I$4+(MOD($B686,60)=PARAM!$B$56)*($B686&gt;(60-PARAM!$B$56))*HLOOKUP(($B686+PARAM!$B$56)/12,Loyalty,2)*$F$1*MAX(J685,0)</f>
        <v>18.443537232872522</v>
      </c>
      <c r="I686" s="75">
        <f>PARAM!$C$26+MAX($G$4-CHOOSE(PARAM!$B$44,MAX(0,J685*$F$1),0),0)*RATES!$L662/12+$H$4*(PARAM!$D$51/12)*RATES!$N662/100</f>
        <v>464.41666666666674</v>
      </c>
      <c r="J686" s="16">
        <f t="shared" si="455"/>
        <v>-50996.801190819009</v>
      </c>
      <c r="K686" s="15">
        <f t="shared" si="456"/>
        <v>22.170849845882874</v>
      </c>
      <c r="L686" s="75">
        <f>K686*(1-PARAM!$C$27)*$I$5+(MOD($B686,60)=PARAM!$B$56)*($B686&gt;(60-PARAM!$B$56))*HLOOKUP(($B686+PARAM!$B$56)/12,Loyalty,2)*$F$1*MAX(N685,0)</f>
        <v>18.557001321003963</v>
      </c>
      <c r="M686" s="75">
        <f>PARAM!$C$26+MAX($G$5-CHOOSE(PARAM!$B$44,MAX(0,N685*$F$1),0),0)*RATES!$L662/12+$H$5*(PARAM!$D$51/12)*RATES!$N662/100</f>
        <v>464.41666666666674</v>
      </c>
      <c r="N686" s="16">
        <f t="shared" si="457"/>
        <v>-50919.010820340714</v>
      </c>
      <c r="O686" s="15">
        <f t="shared" si="458"/>
        <v>22.170849845882874</v>
      </c>
      <c r="P686" s="75">
        <f>O686*(1-PARAM!$C$27)*$I$6+(MOD($B686,60)=PARAM!$B$56)*($B686&gt;(60-PARAM!$B$56))*HLOOKUP(($B686+PARAM!$B$56)/12,Loyalty,2)*$F$1*MAX(R685,0)</f>
        <v>18.557001321003963</v>
      </c>
      <c r="Q686" s="75">
        <f>PARAM!$C$26+MAX($G$6-CHOOSE(PARAM!$B$44,MAX(0,R685*$F$1),0),0)*RATES!$L662/12+$H$6*(PARAM!$D$51/12)*RATES!$N662/100</f>
        <v>464.41666666666674</v>
      </c>
      <c r="R686" s="16">
        <f t="shared" si="459"/>
        <v>-50919.010820340714</v>
      </c>
      <c r="S686" s="15">
        <f t="shared" si="434"/>
        <v>22.170849845882874</v>
      </c>
      <c r="T686" s="75">
        <f>S686*(1-PARAM!$C$27)*$I$7+(MOD($B686,60)=PARAM!$B$56)*($B686&gt;(60-PARAM!$B$56))*HLOOKUP(($B686+PARAM!$B$56)/12,Loyalty,2)*$F$1*MAX(V685,0)</f>
        <v>18.557001321003963</v>
      </c>
      <c r="U686" s="75">
        <f>PARAM!$C$26+MAX($G$7-CHOOSE(PARAM!$B$44,MAX(0,V685*$F$1),0),0)*RATES!$L662/12+$H$7*(PARAM!$D$51/12)*RATES!$N662/100</f>
        <v>464.41666666666674</v>
      </c>
      <c r="V686" s="16">
        <f t="shared" si="460"/>
        <v>-50919.010820340714</v>
      </c>
      <c r="W686" s="15">
        <f t="shared" si="435"/>
        <v>22.170849845882874</v>
      </c>
      <c r="X686" s="75">
        <f>W686*(1-PARAM!$C$27)*$I$8+(MOD($B686,60)=PARAM!$B$56)*($B686&gt;(60-PARAM!$B$56))*HLOOKUP(($B686+PARAM!$B$56)/12,Loyalty,2)*$F$1*MAX(Z685,0)</f>
        <v>18.557001321003963</v>
      </c>
      <c r="Y686" s="75">
        <f>PARAM!$C$26+MAX($G$8-CHOOSE(PARAM!$B$44,MAX(0,Z685*$F$1),0),0)*RATES!$L662/12+$H$8*(PARAM!$D$51/12)*RATES!$N662/100</f>
        <v>464.41666666666674</v>
      </c>
      <c r="Z686" s="16">
        <f t="shared" si="461"/>
        <v>-50919.010820340714</v>
      </c>
      <c r="AA686" s="15">
        <f t="shared" si="436"/>
        <v>22.170849845882874</v>
      </c>
      <c r="AB686" s="75">
        <f>AA686*(1-PARAM!$C$27)*$I$9+(MOD($B686,60)=PARAM!$B$56)*($B686&gt;(60-PARAM!$B$56))*HLOOKUP(($B686+PARAM!$B$56)/12,Loyalty,2)*$F$1*MAX(AD685,0)</f>
        <v>18.557001321003963</v>
      </c>
      <c r="AC686" s="75">
        <f>PARAM!$C$26+MAX($G$9-CHOOSE(PARAM!$B$44,MAX(0,AD685*$F$1),0),0)*RATES!$L662/12+$H$9*(PARAM!$D$51/12)*RATES!$N662/100</f>
        <v>464.41666666666674</v>
      </c>
      <c r="AD686" s="16">
        <f t="shared" si="462"/>
        <v>-50919.010820340714</v>
      </c>
      <c r="AE686" s="15">
        <f t="shared" si="437"/>
        <v>22.170849845882874</v>
      </c>
      <c r="AF686" s="75">
        <f>AE686*(1-PARAM!$C$27)*$I$10+(MOD($B686,60)=PARAM!$B$56)*($B686&gt;(60-PARAM!$B$56))*HLOOKUP(($B686+PARAM!$B$56)/12,Loyalty,2)*$F$1*MAX(AH685,0)</f>
        <v>18.557001321003963</v>
      </c>
      <c r="AG686" s="75">
        <f>PARAM!$C$26+MAX($G$10-CHOOSE(PARAM!$B$44,MAX(0,AH685*$F$1),0),0)*RATES!$L662/12+$H$10*(PARAM!$D$51/12)*RATES!$N662/100</f>
        <v>464.41666666666674</v>
      </c>
      <c r="AH686" s="16">
        <f t="shared" si="463"/>
        <v>-50919.010820340714</v>
      </c>
      <c r="AI686" s="15">
        <f t="shared" si="438"/>
        <v>22.170849845882874</v>
      </c>
      <c r="AJ686" s="75">
        <f>AI686*(1-PARAM!$C$27)*$I$11+(MOD($B686,60)=PARAM!$B$56)*($B686&gt;(60-PARAM!$B$56))*HLOOKUP(($B686+PARAM!$B$56)/12,Loyalty,2)*$F$1*MAX(AL685,0)</f>
        <v>18.557001321003963</v>
      </c>
      <c r="AK686" s="75">
        <f>PARAM!$C$26+MAX($G$11-CHOOSE(PARAM!$B$44,MAX(0,AL685*$F$1),0),0)*RATES!$L662/12+$H$11*(PARAM!$D$51/12)*RATES!$N662/100</f>
        <v>464.41666666666674</v>
      </c>
      <c r="AL686" s="16">
        <f t="shared" si="464"/>
        <v>-50919.010820340714</v>
      </c>
      <c r="AM686" s="15">
        <f t="shared" si="439"/>
        <v>22.170849845882874</v>
      </c>
      <c r="AN686" s="75">
        <f>AM686*(1-PARAM!$C$27)*$I$12+(MOD($B686,60)=PARAM!$B$56)*($B686&gt;(60-PARAM!$B$56))*HLOOKUP(($B686+PARAM!$B$56)/12,Loyalty,2)*$F$1*MAX(AP685,0)</f>
        <v>18.557001321003963</v>
      </c>
      <c r="AO686" s="75">
        <f>PARAM!$C$26+MAX($G$12-CHOOSE(PARAM!$B$44,MAX(0,AP685*$F$1),0),0)*RATES!$L662/12+$H$12*(PARAM!$D$51/12)*RATES!$N662/100</f>
        <v>464.41666666666674</v>
      </c>
      <c r="AP686" s="16">
        <f t="shared" si="465"/>
        <v>-50919.010820340714</v>
      </c>
      <c r="AQ686" s="15">
        <f t="shared" si="440"/>
        <v>22.170849845882874</v>
      </c>
      <c r="AR686" s="75">
        <f>AQ686*(1-PARAM!$C$27)*$I$13+(MOD($B686,60)=PARAM!$B$56)*($B686&gt;(60-PARAM!$B$56))*HLOOKUP(($B686+PARAM!$B$56)/12,Loyalty,2)*$F$1*MAX(AT685,0)</f>
        <v>18.557001321003963</v>
      </c>
      <c r="AS686" s="75">
        <f>PARAM!$C$26+MAX($G$13-CHOOSE(PARAM!$B$44,MAX(0,AT685*$F$1),0),0)*RATES!$L662/12+$H$13*(PARAM!$D$51/12)*RATES!$N662/100</f>
        <v>464.41666666666674</v>
      </c>
      <c r="AT686" s="16">
        <f t="shared" si="466"/>
        <v>-50919.010820340714</v>
      </c>
      <c r="AU686" s="15">
        <f t="shared" si="441"/>
        <v>22.170849845882874</v>
      </c>
      <c r="AV686" s="75">
        <f>AU686*(1-PARAM!$C$27)*$I$14+(MOD($B686,60)=PARAM!$B$56)*($B686&gt;(60-PARAM!$B$56))*HLOOKUP(($B686+PARAM!$B$56)/12,Loyalty,2)*$F$1*MAX(AX685,0)</f>
        <v>18.557001321003963</v>
      </c>
      <c r="AW686" s="75">
        <f>PARAM!$C$26+MAX($G$14-CHOOSE(PARAM!$B$44,MAX(0,AX685*$F$1),0),0)*RATES!$L662/12+$H$14*(PARAM!$D$51/12)*RATES!$N662/100</f>
        <v>464.41666666666674</v>
      </c>
      <c r="AX686" s="16">
        <f t="shared" si="467"/>
        <v>-50919.010820340714</v>
      </c>
      <c r="AY686" s="15">
        <f t="shared" si="442"/>
        <v>22.170849845882874</v>
      </c>
      <c r="AZ686" s="75">
        <f>AY686*(1-PARAM!$C$27)*$I$15+(MOD($B686,60)=PARAM!$B$56)*($B686&gt;(60-PARAM!$B$56))*HLOOKUP(($B686+PARAM!$B$56)/12,Loyalty,2)*$F$1*MAX(BB685,0)</f>
        <v>18.557001321003963</v>
      </c>
      <c r="BA686" s="75">
        <f>PARAM!$C$26+MAX($G$15-CHOOSE(PARAM!$B$44,MAX(0,BB685*$F$1),0),0)*RATES!$L662/12+$H$15*(PARAM!$D$51/12)*RATES!$N662/100</f>
        <v>464.41666666666674</v>
      </c>
      <c r="BB686" s="16">
        <f t="shared" si="468"/>
        <v>-50919.010820340714</v>
      </c>
      <c r="BC686" s="15">
        <f t="shared" si="443"/>
        <v>22.170849845882874</v>
      </c>
      <c r="BD686" s="75">
        <f>BC686*(1-PARAM!$C$27)*$I$16+(MOD($B686,60)=PARAM!$B$56)*($B686&gt;(60-PARAM!$B$56))*HLOOKUP(($B686+PARAM!$B$56)/12,Loyalty,2)*$F$1*MAX(BF685,0)</f>
        <v>18.557001321003963</v>
      </c>
      <c r="BE686" s="75">
        <f>PARAM!$C$26+MAX($G$16-CHOOSE(PARAM!$B$44,MAX(0,BF685*$F$1),0),0)*RATES!$L662/12+$H$16*(PARAM!$D$51/12)*RATES!$N662/100</f>
        <v>464.41666666666674</v>
      </c>
      <c r="BF686" s="16">
        <f t="shared" si="469"/>
        <v>-50919.010820340714</v>
      </c>
      <c r="BG686" s="15">
        <f t="shared" si="444"/>
        <v>22.170849845882874</v>
      </c>
      <c r="BH686" s="75">
        <f>BG686*(1-PARAM!$C$27)*$I$17+(MOD($B686,60)=PARAM!$B$56)*($B686&gt;(60-PARAM!$B$56))*HLOOKUP(($B686+PARAM!$B$56)/12,Loyalty,2)*$F$1*MAX(BJ685,0)</f>
        <v>18.557001321003963</v>
      </c>
      <c r="BI686" s="75">
        <f>PARAM!$C$26+MAX($G$17-CHOOSE(PARAM!$B$44,MAX(0,BJ685*$F$1),0),0)*RATES!$L662/12+$H$17*(PARAM!$D$51/12)*RATES!$N662/100</f>
        <v>464.41666666666674</v>
      </c>
      <c r="BJ686" s="16">
        <f t="shared" si="470"/>
        <v>-50919.010820340714</v>
      </c>
      <c r="BK686" s="15">
        <f t="shared" si="445"/>
        <v>22.170849845882874</v>
      </c>
      <c r="BL686" s="75">
        <f>BK686*(1-PARAM!$C$27)*$I$18+(MOD($B686,60)=PARAM!$B$56)*($B686&gt;(60-PARAM!$B$56))*HLOOKUP(($B686+PARAM!$B$56)/12,Loyalty,2)*$F$1*MAX(BN685,0)</f>
        <v>18.557001321003963</v>
      </c>
      <c r="BM686" s="75">
        <f>PARAM!$C$26+MAX($G$18-CHOOSE(PARAM!$B$44,MAX(0,BN685*$F$1),0),0)*RATES!$L662/12+$H$18*(PARAM!$D$51/12)*RATES!$N662/100</f>
        <v>464.41666666666674</v>
      </c>
      <c r="BN686" s="16">
        <f t="shared" si="471"/>
        <v>-50919.010820340714</v>
      </c>
      <c r="BO686" s="15">
        <f t="shared" si="446"/>
        <v>22.170849845882874</v>
      </c>
      <c r="BP686" s="75">
        <f>BO686*(1-PARAM!$C$27)*$I$19+(MOD($B686,60)=PARAM!$B$56)*($B686&gt;(60-PARAM!$B$56))*HLOOKUP(($B686+PARAM!$B$56)/12,Loyalty,2)*$F$1*MAX(BR685,0)</f>
        <v>18.557001321003963</v>
      </c>
      <c r="BQ686" s="75">
        <f>PARAM!$C$26+MAX($G$19-CHOOSE(PARAM!$B$44,MAX(0,BR685*$F$1),0),0)*RATES!$L662/12+$H$19*(PARAM!$D$51/12)*RATES!$N662/100</f>
        <v>464.41666666666674</v>
      </c>
      <c r="BR686" s="16">
        <f t="shared" si="472"/>
        <v>-50919.010820340714</v>
      </c>
      <c r="BS686" s="15">
        <f t="shared" si="447"/>
        <v>22.170849845882874</v>
      </c>
      <c r="BT686" s="75">
        <f>BS686*(1-PARAM!$C$27)*$I$20+(MOD($B686,60)=PARAM!$B$56)*($B686&gt;(60-PARAM!$B$56))*HLOOKUP(($B686+PARAM!$B$56)/12,Loyalty,2)*$F$1*MAX(BV685,0)</f>
        <v>18.557001321003963</v>
      </c>
      <c r="BU686" s="75">
        <f>PARAM!$C$26+MAX($G$20-CHOOSE(PARAM!$B$44,MAX(0,BV685*$F$1),0),0)*RATES!$L662/12+$H$20*(PARAM!$D$51/12)*RATES!$N662/100</f>
        <v>464.41666666666674</v>
      </c>
      <c r="BV686" s="16">
        <f t="shared" si="473"/>
        <v>-50919.010820340714</v>
      </c>
      <c r="BW686" s="15">
        <f t="shared" si="448"/>
        <v>22.170849845882874</v>
      </c>
      <c r="BX686" s="75">
        <f>BW686*(1-PARAM!$C$27)*$I$21+(MOD($B686,60)=PARAM!$B$56)*($B686&gt;(60-PARAM!$B$56))*HLOOKUP(($B686+PARAM!$B$56)/12,Loyalty,2)*$F$1*MAX(BZ685,0)</f>
        <v>18.557001321003963</v>
      </c>
      <c r="BY686" s="75">
        <f>PARAM!$C$26+MAX($G$21-CHOOSE(PARAM!$B$44,MAX(0,BZ685*$F$1),0),0)*RATES!$L662/12+$H$21*(PARAM!$D$51/12)*RATES!$N662/100</f>
        <v>464.41666666666674</v>
      </c>
      <c r="BZ686" s="16">
        <f t="shared" si="474"/>
        <v>-50919.010820340714</v>
      </c>
      <c r="CA686" s="15">
        <f t="shared" si="449"/>
        <v>22.170849845882874</v>
      </c>
      <c r="CB686" s="75">
        <f>CA686*(1-PARAM!$C$27)*$I$22+(MOD($B686,60)=PARAM!$B$56)*($B686&gt;(60-PARAM!$B$56))*HLOOKUP(($B686+PARAM!$B$56)/12,Loyalty,2)*$F$1*MAX(CD685,0)</f>
        <v>18.557001321003963</v>
      </c>
      <c r="CC686" s="75">
        <f>PARAM!$C$26+MAX($G$22-CHOOSE(PARAM!$B$44,MAX(0,CD685*$F$1),0),0)*RATES!$L662/12+$H$22*(PARAM!$D$51/12)*RATES!$N662/100</f>
        <v>464.41666666666674</v>
      </c>
      <c r="CD686" s="16">
        <f t="shared" si="475"/>
        <v>-50919.010820340714</v>
      </c>
      <c r="CE686" s="33">
        <f>IF(0=MOD(B686,12/PARAM!$D$51),1,0)</f>
        <v>1</v>
      </c>
      <c r="CF686" s="15">
        <f t="shared" si="450"/>
        <v>0</v>
      </c>
      <c r="CG686" s="75">
        <f>CF686*(1-PARAM!$C$27)*$R$3+(MOD($B686/12,5)=0)*($B686&gt;60)*HLOOKUP($B686/12,Loyalty,2)*$F$1*MAX(CI685,0)</f>
        <v>0</v>
      </c>
      <c r="CH686" s="75">
        <f>PARAM!$C$26+MAX($P$3-CHOOSE(PARAM!$B$44,MAX(0,CI685*$F$1),0),0)*RATES!$L662/12+$Q$3*(PARAM!$D$51/12)*RATES!$N662/100</f>
        <v>464.41666666666674</v>
      </c>
      <c r="CI686" s="16">
        <f>IF(CI685&gt;0,CI685*PARAM!$C$53,CI685)+CG686-CH686</f>
        <v>-63028.500000000015</v>
      </c>
      <c r="CJ686" s="15">
        <f t="shared" si="476"/>
        <v>0</v>
      </c>
      <c r="CK686" s="75">
        <f>CJ686*(1-PARAM!$C$27)*$R$4+(MOD($B686/12,5)=0)*($B686&gt;60)*HLOOKUP($B686/12,Loyalty,2)*$F$1*MAX(CM685,0)</f>
        <v>0</v>
      </c>
      <c r="CL686" s="75">
        <f>PARAM!$C$26+MAX($P$4-CHOOSE(PARAM!$B$44,MAX(0,CM685*$F$1),0),0)*RATES!$L662/12+$Q$4*(PARAM!$D$51/12)*RATES!$N662/100</f>
        <v>464.41666666666674</v>
      </c>
      <c r="CM686" s="16">
        <f>IF(CM685&gt;0,CM685*PARAM!$C$53,CM685)+CK686-CL686</f>
        <v>-63028.500000000015</v>
      </c>
      <c r="CO686" s="176"/>
    </row>
    <row r="687" spans="1:93" x14ac:dyDescent="0.2">
      <c r="A687" t="b">
        <f t="shared" si="451"/>
        <v>0</v>
      </c>
      <c r="B687" s="33">
        <v>660</v>
      </c>
      <c r="C687" s="15">
        <f t="shared" si="452"/>
        <v>20.081305947392778</v>
      </c>
      <c r="D687" s="75">
        <f>C687*(1-PARAM!$C$27)*$I$3+(MOD($B687,60)=PARAM!$B$56)*($B687&gt;(60-PARAM!$B$56))*HLOOKUP(($B687+PARAM!$B$56)/12,Loyalty,2)*$F$1*MAX(F686,0)</f>
        <v>16.808053077967756</v>
      </c>
      <c r="E687" s="75">
        <f>PARAM!$C$26+MAX($G$3-CHOOSE(PARAM!$B$44,MAX(0,F686*$F$1),0),0)*RATES!$L663/12+$H$3*(PARAM!$D$51/12)*RATES!$N663/100</f>
        <v>464.41666666666674</v>
      </c>
      <c r="F687" s="16">
        <f t="shared" si="453"/>
        <v>-52556.026826611735</v>
      </c>
      <c r="G687" s="15">
        <f t="shared" si="454"/>
        <v>22.035289406060361</v>
      </c>
      <c r="H687" s="75">
        <f>G687*(1-PARAM!$C$27)*$I$4+(MOD($B687,60)=PARAM!$B$56)*($B687&gt;(60-PARAM!$B$56))*HLOOKUP(($B687+PARAM!$B$56)/12,Loyalty,2)*$F$1*MAX(J686,0)</f>
        <v>18.443537232872522</v>
      </c>
      <c r="I687" s="75">
        <f>PARAM!$C$26+MAX($G$4-CHOOSE(PARAM!$B$44,MAX(0,J686*$F$1),0),0)*RATES!$L663/12+$H$4*(PARAM!$D$51/12)*RATES!$N663/100</f>
        <v>464.41666666666674</v>
      </c>
      <c r="J687" s="16">
        <f t="shared" si="455"/>
        <v>-51442.7743202528</v>
      </c>
      <c r="K687" s="15">
        <f t="shared" si="456"/>
        <v>22.170849845882874</v>
      </c>
      <c r="L687" s="75">
        <f>K687*(1-PARAM!$C$27)*$I$5+(MOD($B687,60)=PARAM!$B$56)*($B687&gt;(60-PARAM!$B$56))*HLOOKUP(($B687+PARAM!$B$56)/12,Loyalty,2)*$F$1*MAX(N686,0)</f>
        <v>18.557001321003963</v>
      </c>
      <c r="M687" s="75">
        <f>PARAM!$C$26+MAX($G$5-CHOOSE(PARAM!$B$44,MAX(0,N686*$F$1),0),0)*RATES!$L663/12+$H$5*(PARAM!$D$51/12)*RATES!$N663/100</f>
        <v>464.41666666666674</v>
      </c>
      <c r="N687" s="16">
        <f t="shared" si="457"/>
        <v>-51364.870485686377</v>
      </c>
      <c r="O687" s="15">
        <f t="shared" si="458"/>
        <v>22.170849845882874</v>
      </c>
      <c r="P687" s="75">
        <f>O687*(1-PARAM!$C$27)*$I$6+(MOD($B687,60)=PARAM!$B$56)*($B687&gt;(60-PARAM!$B$56))*HLOOKUP(($B687+PARAM!$B$56)/12,Loyalty,2)*$F$1*MAX(R686,0)</f>
        <v>18.557001321003963</v>
      </c>
      <c r="Q687" s="75">
        <f>PARAM!$C$26+MAX($G$6-CHOOSE(PARAM!$B$44,MAX(0,R686*$F$1),0),0)*RATES!$L663/12+$H$6*(PARAM!$D$51/12)*RATES!$N663/100</f>
        <v>464.41666666666674</v>
      </c>
      <c r="R687" s="16">
        <f t="shared" si="459"/>
        <v>-51364.870485686377</v>
      </c>
      <c r="S687" s="15">
        <f t="shared" si="434"/>
        <v>22.170849845882874</v>
      </c>
      <c r="T687" s="75">
        <f>S687*(1-PARAM!$C$27)*$I$7+(MOD($B687,60)=PARAM!$B$56)*($B687&gt;(60-PARAM!$B$56))*HLOOKUP(($B687+PARAM!$B$56)/12,Loyalty,2)*$F$1*MAX(V686,0)</f>
        <v>18.557001321003963</v>
      </c>
      <c r="U687" s="75">
        <f>PARAM!$C$26+MAX($G$7-CHOOSE(PARAM!$B$44,MAX(0,V686*$F$1),0),0)*RATES!$L663/12+$H$7*(PARAM!$D$51/12)*RATES!$N663/100</f>
        <v>464.41666666666674</v>
      </c>
      <c r="V687" s="16">
        <f t="shared" si="460"/>
        <v>-51364.870485686377</v>
      </c>
      <c r="W687" s="15">
        <f t="shared" si="435"/>
        <v>22.170849845882874</v>
      </c>
      <c r="X687" s="75">
        <f>W687*(1-PARAM!$C$27)*$I$8+(MOD($B687,60)=PARAM!$B$56)*($B687&gt;(60-PARAM!$B$56))*HLOOKUP(($B687+PARAM!$B$56)/12,Loyalty,2)*$F$1*MAX(Z686,0)</f>
        <v>18.557001321003963</v>
      </c>
      <c r="Y687" s="75">
        <f>PARAM!$C$26+MAX($G$8-CHOOSE(PARAM!$B$44,MAX(0,Z686*$F$1),0),0)*RATES!$L663/12+$H$8*(PARAM!$D$51/12)*RATES!$N663/100</f>
        <v>464.41666666666674</v>
      </c>
      <c r="Z687" s="16">
        <f t="shared" si="461"/>
        <v>-51364.870485686377</v>
      </c>
      <c r="AA687" s="15">
        <f t="shared" si="436"/>
        <v>22.170849845882874</v>
      </c>
      <c r="AB687" s="75">
        <f>AA687*(1-PARAM!$C$27)*$I$9+(MOD($B687,60)=PARAM!$B$56)*($B687&gt;(60-PARAM!$B$56))*HLOOKUP(($B687+PARAM!$B$56)/12,Loyalty,2)*$F$1*MAX(AD686,0)</f>
        <v>18.557001321003963</v>
      </c>
      <c r="AC687" s="75">
        <f>PARAM!$C$26+MAX($G$9-CHOOSE(PARAM!$B$44,MAX(0,AD686*$F$1),0),0)*RATES!$L663/12+$H$9*(PARAM!$D$51/12)*RATES!$N663/100</f>
        <v>464.41666666666674</v>
      </c>
      <c r="AD687" s="16">
        <f t="shared" si="462"/>
        <v>-51364.870485686377</v>
      </c>
      <c r="AE687" s="15">
        <f t="shared" si="437"/>
        <v>22.170849845882874</v>
      </c>
      <c r="AF687" s="75">
        <f>AE687*(1-PARAM!$C$27)*$I$10+(MOD($B687,60)=PARAM!$B$56)*($B687&gt;(60-PARAM!$B$56))*HLOOKUP(($B687+PARAM!$B$56)/12,Loyalty,2)*$F$1*MAX(AH686,0)</f>
        <v>18.557001321003963</v>
      </c>
      <c r="AG687" s="75">
        <f>PARAM!$C$26+MAX($G$10-CHOOSE(PARAM!$B$44,MAX(0,AH686*$F$1),0),0)*RATES!$L663/12+$H$10*(PARAM!$D$51/12)*RATES!$N663/100</f>
        <v>464.41666666666674</v>
      </c>
      <c r="AH687" s="16">
        <f t="shared" si="463"/>
        <v>-51364.870485686377</v>
      </c>
      <c r="AI687" s="15">
        <f t="shared" si="438"/>
        <v>22.170849845882874</v>
      </c>
      <c r="AJ687" s="75">
        <f>AI687*(1-PARAM!$C$27)*$I$11+(MOD($B687,60)=PARAM!$B$56)*($B687&gt;(60-PARAM!$B$56))*HLOOKUP(($B687+PARAM!$B$56)/12,Loyalty,2)*$F$1*MAX(AL686,0)</f>
        <v>18.557001321003963</v>
      </c>
      <c r="AK687" s="75">
        <f>PARAM!$C$26+MAX($G$11-CHOOSE(PARAM!$B$44,MAX(0,AL686*$F$1),0),0)*RATES!$L663/12+$H$11*(PARAM!$D$51/12)*RATES!$N663/100</f>
        <v>464.41666666666674</v>
      </c>
      <c r="AL687" s="16">
        <f t="shared" si="464"/>
        <v>-51364.870485686377</v>
      </c>
      <c r="AM687" s="15">
        <f t="shared" si="439"/>
        <v>22.170849845882874</v>
      </c>
      <c r="AN687" s="75">
        <f>AM687*(1-PARAM!$C$27)*$I$12+(MOD($B687,60)=PARAM!$B$56)*($B687&gt;(60-PARAM!$B$56))*HLOOKUP(($B687+PARAM!$B$56)/12,Loyalty,2)*$F$1*MAX(AP686,0)</f>
        <v>18.557001321003963</v>
      </c>
      <c r="AO687" s="75">
        <f>PARAM!$C$26+MAX($G$12-CHOOSE(PARAM!$B$44,MAX(0,AP686*$F$1),0),0)*RATES!$L663/12+$H$12*(PARAM!$D$51/12)*RATES!$N663/100</f>
        <v>464.41666666666674</v>
      </c>
      <c r="AP687" s="16">
        <f t="shared" si="465"/>
        <v>-51364.870485686377</v>
      </c>
      <c r="AQ687" s="15">
        <f t="shared" si="440"/>
        <v>22.170849845882874</v>
      </c>
      <c r="AR687" s="75">
        <f>AQ687*(1-PARAM!$C$27)*$I$13+(MOD($B687,60)=PARAM!$B$56)*($B687&gt;(60-PARAM!$B$56))*HLOOKUP(($B687+PARAM!$B$56)/12,Loyalty,2)*$F$1*MAX(AT686,0)</f>
        <v>18.557001321003963</v>
      </c>
      <c r="AS687" s="75">
        <f>PARAM!$C$26+MAX($G$13-CHOOSE(PARAM!$B$44,MAX(0,AT686*$F$1),0),0)*RATES!$L663/12+$H$13*(PARAM!$D$51/12)*RATES!$N663/100</f>
        <v>464.41666666666674</v>
      </c>
      <c r="AT687" s="16">
        <f t="shared" si="466"/>
        <v>-51364.870485686377</v>
      </c>
      <c r="AU687" s="15">
        <f t="shared" si="441"/>
        <v>22.170849845882874</v>
      </c>
      <c r="AV687" s="75">
        <f>AU687*(1-PARAM!$C$27)*$I$14+(MOD($B687,60)=PARAM!$B$56)*($B687&gt;(60-PARAM!$B$56))*HLOOKUP(($B687+PARAM!$B$56)/12,Loyalty,2)*$F$1*MAX(AX686,0)</f>
        <v>18.557001321003963</v>
      </c>
      <c r="AW687" s="75">
        <f>PARAM!$C$26+MAX($G$14-CHOOSE(PARAM!$B$44,MAX(0,AX686*$F$1),0),0)*RATES!$L663/12+$H$14*(PARAM!$D$51/12)*RATES!$N663/100</f>
        <v>464.41666666666674</v>
      </c>
      <c r="AX687" s="16">
        <f t="shared" si="467"/>
        <v>-51364.870485686377</v>
      </c>
      <c r="AY687" s="15">
        <f t="shared" si="442"/>
        <v>22.170849845882874</v>
      </c>
      <c r="AZ687" s="75">
        <f>AY687*(1-PARAM!$C$27)*$I$15+(MOD($B687,60)=PARAM!$B$56)*($B687&gt;(60-PARAM!$B$56))*HLOOKUP(($B687+PARAM!$B$56)/12,Loyalty,2)*$F$1*MAX(BB686,0)</f>
        <v>18.557001321003963</v>
      </c>
      <c r="BA687" s="75">
        <f>PARAM!$C$26+MAX($G$15-CHOOSE(PARAM!$B$44,MAX(0,BB686*$F$1),0),0)*RATES!$L663/12+$H$15*(PARAM!$D$51/12)*RATES!$N663/100</f>
        <v>464.41666666666674</v>
      </c>
      <c r="BB687" s="16">
        <f t="shared" si="468"/>
        <v>-51364.870485686377</v>
      </c>
      <c r="BC687" s="15">
        <f t="shared" si="443"/>
        <v>22.170849845882874</v>
      </c>
      <c r="BD687" s="75">
        <f>BC687*(1-PARAM!$C$27)*$I$16+(MOD($B687,60)=PARAM!$B$56)*($B687&gt;(60-PARAM!$B$56))*HLOOKUP(($B687+PARAM!$B$56)/12,Loyalty,2)*$F$1*MAX(BF686,0)</f>
        <v>18.557001321003963</v>
      </c>
      <c r="BE687" s="75">
        <f>PARAM!$C$26+MAX($G$16-CHOOSE(PARAM!$B$44,MAX(0,BF686*$F$1),0),0)*RATES!$L663/12+$H$16*(PARAM!$D$51/12)*RATES!$N663/100</f>
        <v>464.41666666666674</v>
      </c>
      <c r="BF687" s="16">
        <f t="shared" si="469"/>
        <v>-51364.870485686377</v>
      </c>
      <c r="BG687" s="15">
        <f t="shared" si="444"/>
        <v>22.170849845882874</v>
      </c>
      <c r="BH687" s="75">
        <f>BG687*(1-PARAM!$C$27)*$I$17+(MOD($B687,60)=PARAM!$B$56)*($B687&gt;(60-PARAM!$B$56))*HLOOKUP(($B687+PARAM!$B$56)/12,Loyalty,2)*$F$1*MAX(BJ686,0)</f>
        <v>18.557001321003963</v>
      </c>
      <c r="BI687" s="75">
        <f>PARAM!$C$26+MAX($G$17-CHOOSE(PARAM!$B$44,MAX(0,BJ686*$F$1),0),0)*RATES!$L663/12+$H$17*(PARAM!$D$51/12)*RATES!$N663/100</f>
        <v>464.41666666666674</v>
      </c>
      <c r="BJ687" s="16">
        <f t="shared" si="470"/>
        <v>-51364.870485686377</v>
      </c>
      <c r="BK687" s="15">
        <f t="shared" si="445"/>
        <v>22.170849845882874</v>
      </c>
      <c r="BL687" s="75">
        <f>BK687*(1-PARAM!$C$27)*$I$18+(MOD($B687,60)=PARAM!$B$56)*($B687&gt;(60-PARAM!$B$56))*HLOOKUP(($B687+PARAM!$B$56)/12,Loyalty,2)*$F$1*MAX(BN686,0)</f>
        <v>18.557001321003963</v>
      </c>
      <c r="BM687" s="75">
        <f>PARAM!$C$26+MAX($G$18-CHOOSE(PARAM!$B$44,MAX(0,BN686*$F$1),0),0)*RATES!$L663/12+$H$18*(PARAM!$D$51/12)*RATES!$N663/100</f>
        <v>464.41666666666674</v>
      </c>
      <c r="BN687" s="16">
        <f t="shared" si="471"/>
        <v>-51364.870485686377</v>
      </c>
      <c r="BO687" s="15">
        <f t="shared" si="446"/>
        <v>22.170849845882874</v>
      </c>
      <c r="BP687" s="75">
        <f>BO687*(1-PARAM!$C$27)*$I$19+(MOD($B687,60)=PARAM!$B$56)*($B687&gt;(60-PARAM!$B$56))*HLOOKUP(($B687+PARAM!$B$56)/12,Loyalty,2)*$F$1*MAX(BR686,0)</f>
        <v>18.557001321003963</v>
      </c>
      <c r="BQ687" s="75">
        <f>PARAM!$C$26+MAX($G$19-CHOOSE(PARAM!$B$44,MAX(0,BR686*$F$1),0),0)*RATES!$L663/12+$H$19*(PARAM!$D$51/12)*RATES!$N663/100</f>
        <v>464.41666666666674</v>
      </c>
      <c r="BR687" s="16">
        <f t="shared" si="472"/>
        <v>-51364.870485686377</v>
      </c>
      <c r="BS687" s="15">
        <f t="shared" si="447"/>
        <v>22.170849845882874</v>
      </c>
      <c r="BT687" s="75">
        <f>BS687*(1-PARAM!$C$27)*$I$20+(MOD($B687,60)=PARAM!$B$56)*($B687&gt;(60-PARAM!$B$56))*HLOOKUP(($B687+PARAM!$B$56)/12,Loyalty,2)*$F$1*MAX(BV686,0)</f>
        <v>18.557001321003963</v>
      </c>
      <c r="BU687" s="75">
        <f>PARAM!$C$26+MAX($G$20-CHOOSE(PARAM!$B$44,MAX(0,BV686*$F$1),0),0)*RATES!$L663/12+$H$20*(PARAM!$D$51/12)*RATES!$N663/100</f>
        <v>464.41666666666674</v>
      </c>
      <c r="BV687" s="16">
        <f t="shared" si="473"/>
        <v>-51364.870485686377</v>
      </c>
      <c r="BW687" s="15">
        <f t="shared" si="448"/>
        <v>22.170849845882874</v>
      </c>
      <c r="BX687" s="75">
        <f>BW687*(1-PARAM!$C$27)*$I$21+(MOD($B687,60)=PARAM!$B$56)*($B687&gt;(60-PARAM!$B$56))*HLOOKUP(($B687+PARAM!$B$56)/12,Loyalty,2)*$F$1*MAX(BZ686,0)</f>
        <v>18.557001321003963</v>
      </c>
      <c r="BY687" s="75">
        <f>PARAM!$C$26+MAX($G$21-CHOOSE(PARAM!$B$44,MAX(0,BZ686*$F$1),0),0)*RATES!$L663/12+$H$21*(PARAM!$D$51/12)*RATES!$N663/100</f>
        <v>464.41666666666674</v>
      </c>
      <c r="BZ687" s="16">
        <f t="shared" si="474"/>
        <v>-51364.870485686377</v>
      </c>
      <c r="CA687" s="15">
        <f t="shared" si="449"/>
        <v>22.170849845882874</v>
      </c>
      <c r="CB687" s="75">
        <f>CA687*(1-PARAM!$C$27)*$I$22+(MOD($B687,60)=PARAM!$B$56)*($B687&gt;(60-PARAM!$B$56))*HLOOKUP(($B687+PARAM!$B$56)/12,Loyalty,2)*$F$1*MAX(CD686,0)</f>
        <v>18.557001321003963</v>
      </c>
      <c r="CC687" s="75">
        <f>PARAM!$C$26+MAX($G$22-CHOOSE(PARAM!$B$44,MAX(0,CD686*$F$1),0),0)*RATES!$L663/12+$H$22*(PARAM!$D$51/12)*RATES!$N663/100</f>
        <v>464.41666666666674</v>
      </c>
      <c r="CD687" s="16">
        <f t="shared" si="475"/>
        <v>-51364.870485686377</v>
      </c>
      <c r="CE687" s="33">
        <f>IF(0=MOD(B687,12/PARAM!$D$51),1,0)</f>
        <v>1</v>
      </c>
      <c r="CF687" s="15">
        <f t="shared" si="450"/>
        <v>0</v>
      </c>
      <c r="CG687" s="75">
        <f>CF687*(1-PARAM!$C$27)*$R$3+(MOD($B687/12,5)=0)*($B687&gt;60)*HLOOKUP($B687/12,Loyalty,2)*$F$1*MAX(CI686,0)</f>
        <v>0</v>
      </c>
      <c r="CH687" s="75">
        <f>PARAM!$C$26+MAX($P$3-CHOOSE(PARAM!$B$44,MAX(0,CI686*$F$1),0),0)*RATES!$L663/12+$Q$3*(PARAM!$D$51/12)*RATES!$N663/100</f>
        <v>464.41666666666674</v>
      </c>
      <c r="CI687" s="16">
        <f>IF(CI686&gt;0,CI686*PARAM!$C$53,CI686)+CG687-CH687</f>
        <v>-63492.916666666679</v>
      </c>
      <c r="CJ687" s="15">
        <f t="shared" si="476"/>
        <v>0</v>
      </c>
      <c r="CK687" s="75">
        <f>CJ687*(1-PARAM!$C$27)*$R$4+(MOD($B687/12,5)=0)*($B687&gt;60)*HLOOKUP($B687/12,Loyalty,2)*$F$1*MAX(CM686,0)</f>
        <v>0</v>
      </c>
      <c r="CL687" s="75">
        <f>PARAM!$C$26+MAX($P$4-CHOOSE(PARAM!$B$44,MAX(0,CM686*$F$1),0),0)*RATES!$L663/12+$Q$4*(PARAM!$D$51/12)*RATES!$N663/100</f>
        <v>464.41666666666674</v>
      </c>
      <c r="CM687" s="16">
        <f>IF(CM686&gt;0,CM686*PARAM!$C$53,CM686)+CK687-CL687</f>
        <v>-63492.916666666679</v>
      </c>
      <c r="CO687" s="176"/>
    </row>
    <row r="688" spans="1:93" x14ac:dyDescent="0.2">
      <c r="A688" t="b">
        <f t="shared" si="451"/>
        <v>0</v>
      </c>
      <c r="B688" s="33">
        <v>661</v>
      </c>
      <c r="C688" s="15">
        <f t="shared" si="452"/>
        <v>20.081305947392778</v>
      </c>
      <c r="D688" s="75">
        <f>C688*(1-PARAM!$C$27)*$I$3+(MOD($B688,60)=PARAM!$B$56)*($B688&gt;(60-PARAM!$B$56))*HLOOKUP(($B688+PARAM!$B$56)/12,Loyalty,2)*$F$1*MAX(F687,0)</f>
        <v>16.808053077967756</v>
      </c>
      <c r="E688" s="75">
        <f>PARAM!$C$26+MAX($G$3-CHOOSE(PARAM!$B$44,MAX(0,F687*$F$1),0),0)*RATES!$L664/12+$H$3*(PARAM!$D$51/12)*RATES!$N664/100</f>
        <v>464.41666666666674</v>
      </c>
      <c r="F688" s="16">
        <f t="shared" si="453"/>
        <v>-53003.635440200429</v>
      </c>
      <c r="G688" s="15">
        <f t="shared" si="454"/>
        <v>22.035289406060361</v>
      </c>
      <c r="H688" s="75">
        <f>G688*(1-PARAM!$C$27)*$I$4+(MOD($B688,60)=PARAM!$B$56)*($B688&gt;(60-PARAM!$B$56))*HLOOKUP(($B688+PARAM!$B$56)/12,Loyalty,2)*$F$1*MAX(J687,0)</f>
        <v>18.443537232872522</v>
      </c>
      <c r="I688" s="75">
        <f>PARAM!$C$26+MAX($G$4-CHOOSE(PARAM!$B$44,MAX(0,J687*$F$1),0),0)*RATES!$L664/12+$H$4*(PARAM!$D$51/12)*RATES!$N664/100</f>
        <v>464.41666666666674</v>
      </c>
      <c r="J688" s="16">
        <f t="shared" si="455"/>
        <v>-51888.747449686591</v>
      </c>
      <c r="K688" s="15">
        <f t="shared" si="456"/>
        <v>22.170849845882874</v>
      </c>
      <c r="L688" s="75">
        <f>K688*(1-PARAM!$C$27)*$I$5+(MOD($B688,60)=PARAM!$B$56)*($B688&gt;(60-PARAM!$B$56))*HLOOKUP(($B688+PARAM!$B$56)/12,Loyalty,2)*$F$1*MAX(N687,0)</f>
        <v>18.557001321003963</v>
      </c>
      <c r="M688" s="75">
        <f>PARAM!$C$26+MAX($G$5-CHOOSE(PARAM!$B$44,MAX(0,N687*$F$1),0),0)*RATES!$L664/12+$H$5*(PARAM!$D$51/12)*RATES!$N664/100</f>
        <v>464.41666666666674</v>
      </c>
      <c r="N688" s="16">
        <f t="shared" si="457"/>
        <v>-51810.730151032039</v>
      </c>
      <c r="O688" s="15">
        <f t="shared" si="458"/>
        <v>22.170849845882874</v>
      </c>
      <c r="P688" s="75">
        <f>O688*(1-PARAM!$C$27)*$I$6+(MOD($B688,60)=PARAM!$B$56)*($B688&gt;(60-PARAM!$B$56))*HLOOKUP(($B688+PARAM!$B$56)/12,Loyalty,2)*$F$1*MAX(R687,0)</f>
        <v>18.557001321003963</v>
      </c>
      <c r="Q688" s="75">
        <f>PARAM!$C$26+MAX($G$6-CHOOSE(PARAM!$B$44,MAX(0,R687*$F$1),0),0)*RATES!$L664/12+$H$6*(PARAM!$D$51/12)*RATES!$N664/100</f>
        <v>464.41666666666674</v>
      </c>
      <c r="R688" s="16">
        <f t="shared" si="459"/>
        <v>-51810.730151032039</v>
      </c>
      <c r="S688" s="15">
        <f t="shared" si="434"/>
        <v>22.170849845882874</v>
      </c>
      <c r="T688" s="75">
        <f>S688*(1-PARAM!$C$27)*$I$7+(MOD($B688,60)=PARAM!$B$56)*($B688&gt;(60-PARAM!$B$56))*HLOOKUP(($B688+PARAM!$B$56)/12,Loyalty,2)*$F$1*MAX(V687,0)</f>
        <v>18.557001321003963</v>
      </c>
      <c r="U688" s="75">
        <f>PARAM!$C$26+MAX($G$7-CHOOSE(PARAM!$B$44,MAX(0,V687*$F$1),0),0)*RATES!$L664/12+$H$7*(PARAM!$D$51/12)*RATES!$N664/100</f>
        <v>464.41666666666674</v>
      </c>
      <c r="V688" s="16">
        <f t="shared" si="460"/>
        <v>-51810.730151032039</v>
      </c>
      <c r="W688" s="15">
        <f t="shared" si="435"/>
        <v>22.170849845882874</v>
      </c>
      <c r="X688" s="75">
        <f>W688*(1-PARAM!$C$27)*$I$8+(MOD($B688,60)=PARAM!$B$56)*($B688&gt;(60-PARAM!$B$56))*HLOOKUP(($B688+PARAM!$B$56)/12,Loyalty,2)*$F$1*MAX(Z687,0)</f>
        <v>18.557001321003963</v>
      </c>
      <c r="Y688" s="75">
        <f>PARAM!$C$26+MAX($G$8-CHOOSE(PARAM!$B$44,MAX(0,Z687*$F$1),0),0)*RATES!$L664/12+$H$8*(PARAM!$D$51/12)*RATES!$N664/100</f>
        <v>464.41666666666674</v>
      </c>
      <c r="Z688" s="16">
        <f t="shared" si="461"/>
        <v>-51810.730151032039</v>
      </c>
      <c r="AA688" s="15">
        <f t="shared" si="436"/>
        <v>22.170849845882874</v>
      </c>
      <c r="AB688" s="75">
        <f>AA688*(1-PARAM!$C$27)*$I$9+(MOD($B688,60)=PARAM!$B$56)*($B688&gt;(60-PARAM!$B$56))*HLOOKUP(($B688+PARAM!$B$56)/12,Loyalty,2)*$F$1*MAX(AD687,0)</f>
        <v>18.557001321003963</v>
      </c>
      <c r="AC688" s="75">
        <f>PARAM!$C$26+MAX($G$9-CHOOSE(PARAM!$B$44,MAX(0,AD687*$F$1),0),0)*RATES!$L664/12+$H$9*(PARAM!$D$51/12)*RATES!$N664/100</f>
        <v>464.41666666666674</v>
      </c>
      <c r="AD688" s="16">
        <f t="shared" si="462"/>
        <v>-51810.730151032039</v>
      </c>
      <c r="AE688" s="15">
        <f t="shared" si="437"/>
        <v>22.170849845882874</v>
      </c>
      <c r="AF688" s="75">
        <f>AE688*(1-PARAM!$C$27)*$I$10+(MOD($B688,60)=PARAM!$B$56)*($B688&gt;(60-PARAM!$B$56))*HLOOKUP(($B688+PARAM!$B$56)/12,Loyalty,2)*$F$1*MAX(AH687,0)</f>
        <v>18.557001321003963</v>
      </c>
      <c r="AG688" s="75">
        <f>PARAM!$C$26+MAX($G$10-CHOOSE(PARAM!$B$44,MAX(0,AH687*$F$1),0),0)*RATES!$L664/12+$H$10*(PARAM!$D$51/12)*RATES!$N664/100</f>
        <v>464.41666666666674</v>
      </c>
      <c r="AH688" s="16">
        <f t="shared" si="463"/>
        <v>-51810.730151032039</v>
      </c>
      <c r="AI688" s="15">
        <f t="shared" si="438"/>
        <v>22.170849845882874</v>
      </c>
      <c r="AJ688" s="75">
        <f>AI688*(1-PARAM!$C$27)*$I$11+(MOD($B688,60)=PARAM!$B$56)*($B688&gt;(60-PARAM!$B$56))*HLOOKUP(($B688+PARAM!$B$56)/12,Loyalty,2)*$F$1*MAX(AL687,0)</f>
        <v>18.557001321003963</v>
      </c>
      <c r="AK688" s="75">
        <f>PARAM!$C$26+MAX($G$11-CHOOSE(PARAM!$B$44,MAX(0,AL687*$F$1),0),0)*RATES!$L664/12+$H$11*(PARAM!$D$51/12)*RATES!$N664/100</f>
        <v>464.41666666666674</v>
      </c>
      <c r="AL688" s="16">
        <f t="shared" si="464"/>
        <v>-51810.730151032039</v>
      </c>
      <c r="AM688" s="15">
        <f t="shared" si="439"/>
        <v>22.170849845882874</v>
      </c>
      <c r="AN688" s="75">
        <f>AM688*(1-PARAM!$C$27)*$I$12+(MOD($B688,60)=PARAM!$B$56)*($B688&gt;(60-PARAM!$B$56))*HLOOKUP(($B688+PARAM!$B$56)/12,Loyalty,2)*$F$1*MAX(AP687,0)</f>
        <v>18.557001321003963</v>
      </c>
      <c r="AO688" s="75">
        <f>PARAM!$C$26+MAX($G$12-CHOOSE(PARAM!$B$44,MAX(0,AP687*$F$1),0),0)*RATES!$L664/12+$H$12*(PARAM!$D$51/12)*RATES!$N664/100</f>
        <v>464.41666666666674</v>
      </c>
      <c r="AP688" s="16">
        <f t="shared" si="465"/>
        <v>-51810.730151032039</v>
      </c>
      <c r="AQ688" s="15">
        <f t="shared" si="440"/>
        <v>22.170849845882874</v>
      </c>
      <c r="AR688" s="75">
        <f>AQ688*(1-PARAM!$C$27)*$I$13+(MOD($B688,60)=PARAM!$B$56)*($B688&gt;(60-PARAM!$B$56))*HLOOKUP(($B688+PARAM!$B$56)/12,Loyalty,2)*$F$1*MAX(AT687,0)</f>
        <v>18.557001321003963</v>
      </c>
      <c r="AS688" s="75">
        <f>PARAM!$C$26+MAX($G$13-CHOOSE(PARAM!$B$44,MAX(0,AT687*$F$1),0),0)*RATES!$L664/12+$H$13*(PARAM!$D$51/12)*RATES!$N664/100</f>
        <v>464.41666666666674</v>
      </c>
      <c r="AT688" s="16">
        <f t="shared" si="466"/>
        <v>-51810.730151032039</v>
      </c>
      <c r="AU688" s="15">
        <f t="shared" si="441"/>
        <v>22.170849845882874</v>
      </c>
      <c r="AV688" s="75">
        <f>AU688*(1-PARAM!$C$27)*$I$14+(MOD($B688,60)=PARAM!$B$56)*($B688&gt;(60-PARAM!$B$56))*HLOOKUP(($B688+PARAM!$B$56)/12,Loyalty,2)*$F$1*MAX(AX687,0)</f>
        <v>18.557001321003963</v>
      </c>
      <c r="AW688" s="75">
        <f>PARAM!$C$26+MAX($G$14-CHOOSE(PARAM!$B$44,MAX(0,AX687*$F$1),0),0)*RATES!$L664/12+$H$14*(PARAM!$D$51/12)*RATES!$N664/100</f>
        <v>464.41666666666674</v>
      </c>
      <c r="AX688" s="16">
        <f t="shared" si="467"/>
        <v>-51810.730151032039</v>
      </c>
      <c r="AY688" s="15">
        <f t="shared" si="442"/>
        <v>22.170849845882874</v>
      </c>
      <c r="AZ688" s="75">
        <f>AY688*(1-PARAM!$C$27)*$I$15+(MOD($B688,60)=PARAM!$B$56)*($B688&gt;(60-PARAM!$B$56))*HLOOKUP(($B688+PARAM!$B$56)/12,Loyalty,2)*$F$1*MAX(BB687,0)</f>
        <v>18.557001321003963</v>
      </c>
      <c r="BA688" s="75">
        <f>PARAM!$C$26+MAX($G$15-CHOOSE(PARAM!$B$44,MAX(0,BB687*$F$1),0),0)*RATES!$L664/12+$H$15*(PARAM!$D$51/12)*RATES!$N664/100</f>
        <v>464.41666666666674</v>
      </c>
      <c r="BB688" s="16">
        <f t="shared" si="468"/>
        <v>-51810.730151032039</v>
      </c>
      <c r="BC688" s="15">
        <f t="shared" si="443"/>
        <v>22.170849845882874</v>
      </c>
      <c r="BD688" s="75">
        <f>BC688*(1-PARAM!$C$27)*$I$16+(MOD($B688,60)=PARAM!$B$56)*($B688&gt;(60-PARAM!$B$56))*HLOOKUP(($B688+PARAM!$B$56)/12,Loyalty,2)*$F$1*MAX(BF687,0)</f>
        <v>18.557001321003963</v>
      </c>
      <c r="BE688" s="75">
        <f>PARAM!$C$26+MAX($G$16-CHOOSE(PARAM!$B$44,MAX(0,BF687*$F$1),0),0)*RATES!$L664/12+$H$16*(PARAM!$D$51/12)*RATES!$N664/100</f>
        <v>464.41666666666674</v>
      </c>
      <c r="BF688" s="16">
        <f t="shared" si="469"/>
        <v>-51810.730151032039</v>
      </c>
      <c r="BG688" s="15">
        <f t="shared" si="444"/>
        <v>22.170849845882874</v>
      </c>
      <c r="BH688" s="75">
        <f>BG688*(1-PARAM!$C$27)*$I$17+(MOD($B688,60)=PARAM!$B$56)*($B688&gt;(60-PARAM!$B$56))*HLOOKUP(($B688+PARAM!$B$56)/12,Loyalty,2)*$F$1*MAX(BJ687,0)</f>
        <v>18.557001321003963</v>
      </c>
      <c r="BI688" s="75">
        <f>PARAM!$C$26+MAX($G$17-CHOOSE(PARAM!$B$44,MAX(0,BJ687*$F$1),0),0)*RATES!$L664/12+$H$17*(PARAM!$D$51/12)*RATES!$N664/100</f>
        <v>464.41666666666674</v>
      </c>
      <c r="BJ688" s="16">
        <f t="shared" si="470"/>
        <v>-51810.730151032039</v>
      </c>
      <c r="BK688" s="15">
        <f t="shared" si="445"/>
        <v>22.170849845882874</v>
      </c>
      <c r="BL688" s="75">
        <f>BK688*(1-PARAM!$C$27)*$I$18+(MOD($B688,60)=PARAM!$B$56)*($B688&gt;(60-PARAM!$B$56))*HLOOKUP(($B688+PARAM!$B$56)/12,Loyalty,2)*$F$1*MAX(BN687,0)</f>
        <v>18.557001321003963</v>
      </c>
      <c r="BM688" s="75">
        <f>PARAM!$C$26+MAX($G$18-CHOOSE(PARAM!$B$44,MAX(0,BN687*$F$1),0),0)*RATES!$L664/12+$H$18*(PARAM!$D$51/12)*RATES!$N664/100</f>
        <v>464.41666666666674</v>
      </c>
      <c r="BN688" s="16">
        <f t="shared" si="471"/>
        <v>-51810.730151032039</v>
      </c>
      <c r="BO688" s="15">
        <f t="shared" si="446"/>
        <v>22.170849845882874</v>
      </c>
      <c r="BP688" s="75">
        <f>BO688*(1-PARAM!$C$27)*$I$19+(MOD($B688,60)=PARAM!$B$56)*($B688&gt;(60-PARAM!$B$56))*HLOOKUP(($B688+PARAM!$B$56)/12,Loyalty,2)*$F$1*MAX(BR687,0)</f>
        <v>18.557001321003963</v>
      </c>
      <c r="BQ688" s="75">
        <f>PARAM!$C$26+MAX($G$19-CHOOSE(PARAM!$B$44,MAX(0,BR687*$F$1),0),0)*RATES!$L664/12+$H$19*(PARAM!$D$51/12)*RATES!$N664/100</f>
        <v>464.41666666666674</v>
      </c>
      <c r="BR688" s="16">
        <f t="shared" si="472"/>
        <v>-51810.730151032039</v>
      </c>
      <c r="BS688" s="15">
        <f t="shared" si="447"/>
        <v>22.170849845882874</v>
      </c>
      <c r="BT688" s="75">
        <f>BS688*(1-PARAM!$C$27)*$I$20+(MOD($B688,60)=PARAM!$B$56)*($B688&gt;(60-PARAM!$B$56))*HLOOKUP(($B688+PARAM!$B$56)/12,Loyalty,2)*$F$1*MAX(BV687,0)</f>
        <v>18.557001321003963</v>
      </c>
      <c r="BU688" s="75">
        <f>PARAM!$C$26+MAX($G$20-CHOOSE(PARAM!$B$44,MAX(0,BV687*$F$1),0),0)*RATES!$L664/12+$H$20*(PARAM!$D$51/12)*RATES!$N664/100</f>
        <v>464.41666666666674</v>
      </c>
      <c r="BV688" s="16">
        <f t="shared" si="473"/>
        <v>-51810.730151032039</v>
      </c>
      <c r="BW688" s="15">
        <f t="shared" si="448"/>
        <v>22.170849845882874</v>
      </c>
      <c r="BX688" s="75">
        <f>BW688*(1-PARAM!$C$27)*$I$21+(MOD($B688,60)=PARAM!$B$56)*($B688&gt;(60-PARAM!$B$56))*HLOOKUP(($B688+PARAM!$B$56)/12,Loyalty,2)*$F$1*MAX(BZ687,0)</f>
        <v>18.557001321003963</v>
      </c>
      <c r="BY688" s="75">
        <f>PARAM!$C$26+MAX($G$21-CHOOSE(PARAM!$B$44,MAX(0,BZ687*$F$1),0),0)*RATES!$L664/12+$H$21*(PARAM!$D$51/12)*RATES!$N664/100</f>
        <v>464.41666666666674</v>
      </c>
      <c r="BZ688" s="16">
        <f t="shared" si="474"/>
        <v>-51810.730151032039</v>
      </c>
      <c r="CA688" s="15">
        <f t="shared" si="449"/>
        <v>22.170849845882874</v>
      </c>
      <c r="CB688" s="75">
        <f>CA688*(1-PARAM!$C$27)*$I$22+(MOD($B688,60)=PARAM!$B$56)*($B688&gt;(60-PARAM!$B$56))*HLOOKUP(($B688+PARAM!$B$56)/12,Loyalty,2)*$F$1*MAX(CD687,0)</f>
        <v>18.557001321003963</v>
      </c>
      <c r="CC688" s="75">
        <f>PARAM!$C$26+MAX($G$22-CHOOSE(PARAM!$B$44,MAX(0,CD687*$F$1),0),0)*RATES!$L664/12+$H$22*(PARAM!$D$51/12)*RATES!$N664/100</f>
        <v>464.41666666666674</v>
      </c>
      <c r="CD688" s="16">
        <f t="shared" si="475"/>
        <v>-51810.730151032039</v>
      </c>
      <c r="CE688" s="33">
        <f>IF(0=MOD(B688,12/PARAM!$D$51),1,0)</f>
        <v>1</v>
      </c>
      <c r="CF688" s="15">
        <f t="shared" si="450"/>
        <v>0</v>
      </c>
      <c r="CG688" s="75">
        <f>CF688*(1-PARAM!$C$27)*$R$3+(MOD($B688/12,5)=0)*($B688&gt;60)*HLOOKUP($B688/12,Loyalty,2)*$F$1*MAX(CI687,0)</f>
        <v>0</v>
      </c>
      <c r="CH688" s="75">
        <f>PARAM!$C$26+MAX($P$3-CHOOSE(PARAM!$B$44,MAX(0,CI687*$F$1),0),0)*RATES!$L664/12+$Q$3*(PARAM!$D$51/12)*RATES!$N664/100</f>
        <v>464.41666666666674</v>
      </c>
      <c r="CI688" s="16">
        <f>IF(CI687&gt;0,CI687*PARAM!$C$53,CI687)+CG688-CH688</f>
        <v>-63957.333333333343</v>
      </c>
      <c r="CJ688" s="15">
        <f t="shared" si="476"/>
        <v>0</v>
      </c>
      <c r="CK688" s="75">
        <f>CJ688*(1-PARAM!$C$27)*$R$4+(MOD($B688/12,5)=0)*($B688&gt;60)*HLOOKUP($B688/12,Loyalty,2)*$F$1*MAX(CM687,0)</f>
        <v>0</v>
      </c>
      <c r="CL688" s="75">
        <f>PARAM!$C$26+MAX($P$4-CHOOSE(PARAM!$B$44,MAX(0,CM687*$F$1),0),0)*RATES!$L664/12+$Q$4*(PARAM!$D$51/12)*RATES!$N664/100</f>
        <v>464.41666666666674</v>
      </c>
      <c r="CM688" s="16">
        <f>IF(CM687&gt;0,CM687*PARAM!$C$53,CM687)+CK688-CL688</f>
        <v>-63957.333333333343</v>
      </c>
      <c r="CO688" s="176"/>
    </row>
    <row r="689" spans="1:93" x14ac:dyDescent="0.2">
      <c r="A689" t="b">
        <f t="shared" si="451"/>
        <v>0</v>
      </c>
      <c r="B689" s="33">
        <v>662</v>
      </c>
      <c r="C689" s="15">
        <f t="shared" si="452"/>
        <v>20.081305947392778</v>
      </c>
      <c r="D689" s="75">
        <f>C689*(1-PARAM!$C$27)*$I$3+(MOD($B689,60)=PARAM!$B$56)*($B689&gt;(60-PARAM!$B$56))*HLOOKUP(($B689+PARAM!$B$56)/12,Loyalty,2)*$F$1*MAX(F688,0)</f>
        <v>16.808053077967756</v>
      </c>
      <c r="E689" s="75">
        <f>PARAM!$C$26+MAX($G$3-CHOOSE(PARAM!$B$44,MAX(0,F688*$F$1),0),0)*RATES!$L665/12+$H$3*(PARAM!$D$51/12)*RATES!$N665/100</f>
        <v>464.41666666666674</v>
      </c>
      <c r="F689" s="16">
        <f t="shared" si="453"/>
        <v>-53451.244053789123</v>
      </c>
      <c r="G689" s="15">
        <f t="shared" si="454"/>
        <v>22.035289406060361</v>
      </c>
      <c r="H689" s="75">
        <f>G689*(1-PARAM!$C$27)*$I$4+(MOD($B689,60)=PARAM!$B$56)*($B689&gt;(60-PARAM!$B$56))*HLOOKUP(($B689+PARAM!$B$56)/12,Loyalty,2)*$F$1*MAX(J688,0)</f>
        <v>18.443537232872522</v>
      </c>
      <c r="I689" s="75">
        <f>PARAM!$C$26+MAX($G$4-CHOOSE(PARAM!$B$44,MAX(0,J688*$F$1),0),0)*RATES!$L665/12+$H$4*(PARAM!$D$51/12)*RATES!$N665/100</f>
        <v>464.41666666666674</v>
      </c>
      <c r="J689" s="16">
        <f t="shared" si="455"/>
        <v>-52334.720579120381</v>
      </c>
      <c r="K689" s="15">
        <f t="shared" si="456"/>
        <v>22.170849845882874</v>
      </c>
      <c r="L689" s="75">
        <f>K689*(1-PARAM!$C$27)*$I$5+(MOD($B689,60)=PARAM!$B$56)*($B689&gt;(60-PARAM!$B$56))*HLOOKUP(($B689+PARAM!$B$56)/12,Loyalty,2)*$F$1*MAX(N688,0)</f>
        <v>18.557001321003963</v>
      </c>
      <c r="M689" s="75">
        <f>PARAM!$C$26+MAX($G$5-CHOOSE(PARAM!$B$44,MAX(0,N688*$F$1),0),0)*RATES!$L665/12+$H$5*(PARAM!$D$51/12)*RATES!$N665/100</f>
        <v>464.41666666666674</v>
      </c>
      <c r="N689" s="16">
        <f t="shared" si="457"/>
        <v>-52256.589816377702</v>
      </c>
      <c r="O689" s="15">
        <f t="shared" si="458"/>
        <v>22.170849845882874</v>
      </c>
      <c r="P689" s="75">
        <f>O689*(1-PARAM!$C$27)*$I$6+(MOD($B689,60)=PARAM!$B$56)*($B689&gt;(60-PARAM!$B$56))*HLOOKUP(($B689+PARAM!$B$56)/12,Loyalty,2)*$F$1*MAX(R688,0)</f>
        <v>18.557001321003963</v>
      </c>
      <c r="Q689" s="75">
        <f>PARAM!$C$26+MAX($G$6-CHOOSE(PARAM!$B$44,MAX(0,R688*$F$1),0),0)*RATES!$L665/12+$H$6*(PARAM!$D$51/12)*RATES!$N665/100</f>
        <v>464.41666666666674</v>
      </c>
      <c r="R689" s="16">
        <f t="shared" si="459"/>
        <v>-52256.589816377702</v>
      </c>
      <c r="S689" s="15">
        <f t="shared" si="434"/>
        <v>22.170849845882874</v>
      </c>
      <c r="T689" s="75">
        <f>S689*(1-PARAM!$C$27)*$I$7+(MOD($B689,60)=PARAM!$B$56)*($B689&gt;(60-PARAM!$B$56))*HLOOKUP(($B689+PARAM!$B$56)/12,Loyalty,2)*$F$1*MAX(V688,0)</f>
        <v>18.557001321003963</v>
      </c>
      <c r="U689" s="75">
        <f>PARAM!$C$26+MAX($G$7-CHOOSE(PARAM!$B$44,MAX(0,V688*$F$1),0),0)*RATES!$L665/12+$H$7*(PARAM!$D$51/12)*RATES!$N665/100</f>
        <v>464.41666666666674</v>
      </c>
      <c r="V689" s="16">
        <f t="shared" si="460"/>
        <v>-52256.589816377702</v>
      </c>
      <c r="W689" s="15">
        <f t="shared" si="435"/>
        <v>22.170849845882874</v>
      </c>
      <c r="X689" s="75">
        <f>W689*(1-PARAM!$C$27)*$I$8+(MOD($B689,60)=PARAM!$B$56)*($B689&gt;(60-PARAM!$B$56))*HLOOKUP(($B689+PARAM!$B$56)/12,Loyalty,2)*$F$1*MAX(Z688,0)</f>
        <v>18.557001321003963</v>
      </c>
      <c r="Y689" s="75">
        <f>PARAM!$C$26+MAX($G$8-CHOOSE(PARAM!$B$44,MAX(0,Z688*$F$1),0),0)*RATES!$L665/12+$H$8*(PARAM!$D$51/12)*RATES!$N665/100</f>
        <v>464.41666666666674</v>
      </c>
      <c r="Z689" s="16">
        <f t="shared" si="461"/>
        <v>-52256.589816377702</v>
      </c>
      <c r="AA689" s="15">
        <f t="shared" si="436"/>
        <v>22.170849845882874</v>
      </c>
      <c r="AB689" s="75">
        <f>AA689*(1-PARAM!$C$27)*$I$9+(MOD($B689,60)=PARAM!$B$56)*($B689&gt;(60-PARAM!$B$56))*HLOOKUP(($B689+PARAM!$B$56)/12,Loyalty,2)*$F$1*MAX(AD688,0)</f>
        <v>18.557001321003963</v>
      </c>
      <c r="AC689" s="75">
        <f>PARAM!$C$26+MAX($G$9-CHOOSE(PARAM!$B$44,MAX(0,AD688*$F$1),0),0)*RATES!$L665/12+$H$9*(PARAM!$D$51/12)*RATES!$N665/100</f>
        <v>464.41666666666674</v>
      </c>
      <c r="AD689" s="16">
        <f t="shared" si="462"/>
        <v>-52256.589816377702</v>
      </c>
      <c r="AE689" s="15">
        <f t="shared" si="437"/>
        <v>22.170849845882874</v>
      </c>
      <c r="AF689" s="75">
        <f>AE689*(1-PARAM!$C$27)*$I$10+(MOD($B689,60)=PARAM!$B$56)*($B689&gt;(60-PARAM!$B$56))*HLOOKUP(($B689+PARAM!$B$56)/12,Loyalty,2)*$F$1*MAX(AH688,0)</f>
        <v>18.557001321003963</v>
      </c>
      <c r="AG689" s="75">
        <f>PARAM!$C$26+MAX($G$10-CHOOSE(PARAM!$B$44,MAX(0,AH688*$F$1),0),0)*RATES!$L665/12+$H$10*(PARAM!$D$51/12)*RATES!$N665/100</f>
        <v>464.41666666666674</v>
      </c>
      <c r="AH689" s="16">
        <f t="shared" si="463"/>
        <v>-52256.589816377702</v>
      </c>
      <c r="AI689" s="15">
        <f t="shared" si="438"/>
        <v>22.170849845882874</v>
      </c>
      <c r="AJ689" s="75">
        <f>AI689*(1-PARAM!$C$27)*$I$11+(MOD($B689,60)=PARAM!$B$56)*($B689&gt;(60-PARAM!$B$56))*HLOOKUP(($B689+PARAM!$B$56)/12,Loyalty,2)*$F$1*MAX(AL688,0)</f>
        <v>18.557001321003963</v>
      </c>
      <c r="AK689" s="75">
        <f>PARAM!$C$26+MAX($G$11-CHOOSE(PARAM!$B$44,MAX(0,AL688*$F$1),0),0)*RATES!$L665/12+$H$11*(PARAM!$D$51/12)*RATES!$N665/100</f>
        <v>464.41666666666674</v>
      </c>
      <c r="AL689" s="16">
        <f t="shared" si="464"/>
        <v>-52256.589816377702</v>
      </c>
      <c r="AM689" s="15">
        <f t="shared" si="439"/>
        <v>22.170849845882874</v>
      </c>
      <c r="AN689" s="75">
        <f>AM689*(1-PARAM!$C$27)*$I$12+(MOD($B689,60)=PARAM!$B$56)*($B689&gt;(60-PARAM!$B$56))*HLOOKUP(($B689+PARAM!$B$56)/12,Loyalty,2)*$F$1*MAX(AP688,0)</f>
        <v>18.557001321003963</v>
      </c>
      <c r="AO689" s="75">
        <f>PARAM!$C$26+MAX($G$12-CHOOSE(PARAM!$B$44,MAX(0,AP688*$F$1),0),0)*RATES!$L665/12+$H$12*(PARAM!$D$51/12)*RATES!$N665/100</f>
        <v>464.41666666666674</v>
      </c>
      <c r="AP689" s="16">
        <f t="shared" si="465"/>
        <v>-52256.589816377702</v>
      </c>
      <c r="AQ689" s="15">
        <f t="shared" si="440"/>
        <v>22.170849845882874</v>
      </c>
      <c r="AR689" s="75">
        <f>AQ689*(1-PARAM!$C$27)*$I$13+(MOD($B689,60)=PARAM!$B$56)*($B689&gt;(60-PARAM!$B$56))*HLOOKUP(($B689+PARAM!$B$56)/12,Loyalty,2)*$F$1*MAX(AT688,0)</f>
        <v>18.557001321003963</v>
      </c>
      <c r="AS689" s="75">
        <f>PARAM!$C$26+MAX($G$13-CHOOSE(PARAM!$B$44,MAX(0,AT688*$F$1),0),0)*RATES!$L665/12+$H$13*(PARAM!$D$51/12)*RATES!$N665/100</f>
        <v>464.41666666666674</v>
      </c>
      <c r="AT689" s="16">
        <f t="shared" si="466"/>
        <v>-52256.589816377702</v>
      </c>
      <c r="AU689" s="15">
        <f t="shared" si="441"/>
        <v>22.170849845882874</v>
      </c>
      <c r="AV689" s="75">
        <f>AU689*(1-PARAM!$C$27)*$I$14+(MOD($B689,60)=PARAM!$B$56)*($B689&gt;(60-PARAM!$B$56))*HLOOKUP(($B689+PARAM!$B$56)/12,Loyalty,2)*$F$1*MAX(AX688,0)</f>
        <v>18.557001321003963</v>
      </c>
      <c r="AW689" s="75">
        <f>PARAM!$C$26+MAX($G$14-CHOOSE(PARAM!$B$44,MAX(0,AX688*$F$1),0),0)*RATES!$L665/12+$H$14*(PARAM!$D$51/12)*RATES!$N665/100</f>
        <v>464.41666666666674</v>
      </c>
      <c r="AX689" s="16">
        <f t="shared" si="467"/>
        <v>-52256.589816377702</v>
      </c>
      <c r="AY689" s="15">
        <f t="shared" si="442"/>
        <v>22.170849845882874</v>
      </c>
      <c r="AZ689" s="75">
        <f>AY689*(1-PARAM!$C$27)*$I$15+(MOD($B689,60)=PARAM!$B$56)*($B689&gt;(60-PARAM!$B$56))*HLOOKUP(($B689+PARAM!$B$56)/12,Loyalty,2)*$F$1*MAX(BB688,0)</f>
        <v>18.557001321003963</v>
      </c>
      <c r="BA689" s="75">
        <f>PARAM!$C$26+MAX($G$15-CHOOSE(PARAM!$B$44,MAX(0,BB688*$F$1),0),0)*RATES!$L665/12+$H$15*(PARAM!$D$51/12)*RATES!$N665/100</f>
        <v>464.41666666666674</v>
      </c>
      <c r="BB689" s="16">
        <f t="shared" si="468"/>
        <v>-52256.589816377702</v>
      </c>
      <c r="BC689" s="15">
        <f t="shared" si="443"/>
        <v>22.170849845882874</v>
      </c>
      <c r="BD689" s="75">
        <f>BC689*(1-PARAM!$C$27)*$I$16+(MOD($B689,60)=PARAM!$B$56)*($B689&gt;(60-PARAM!$B$56))*HLOOKUP(($B689+PARAM!$B$56)/12,Loyalty,2)*$F$1*MAX(BF688,0)</f>
        <v>18.557001321003963</v>
      </c>
      <c r="BE689" s="75">
        <f>PARAM!$C$26+MAX($G$16-CHOOSE(PARAM!$B$44,MAX(0,BF688*$F$1),0),0)*RATES!$L665/12+$H$16*(PARAM!$D$51/12)*RATES!$N665/100</f>
        <v>464.41666666666674</v>
      </c>
      <c r="BF689" s="16">
        <f t="shared" si="469"/>
        <v>-52256.589816377702</v>
      </c>
      <c r="BG689" s="15">
        <f t="shared" si="444"/>
        <v>22.170849845882874</v>
      </c>
      <c r="BH689" s="75">
        <f>BG689*(1-PARAM!$C$27)*$I$17+(MOD($B689,60)=PARAM!$B$56)*($B689&gt;(60-PARAM!$B$56))*HLOOKUP(($B689+PARAM!$B$56)/12,Loyalty,2)*$F$1*MAX(BJ688,0)</f>
        <v>18.557001321003963</v>
      </c>
      <c r="BI689" s="75">
        <f>PARAM!$C$26+MAX($G$17-CHOOSE(PARAM!$B$44,MAX(0,BJ688*$F$1),0),0)*RATES!$L665/12+$H$17*(PARAM!$D$51/12)*RATES!$N665/100</f>
        <v>464.41666666666674</v>
      </c>
      <c r="BJ689" s="16">
        <f t="shared" si="470"/>
        <v>-52256.589816377702</v>
      </c>
      <c r="BK689" s="15">
        <f t="shared" si="445"/>
        <v>22.170849845882874</v>
      </c>
      <c r="BL689" s="75">
        <f>BK689*(1-PARAM!$C$27)*$I$18+(MOD($B689,60)=PARAM!$B$56)*($B689&gt;(60-PARAM!$B$56))*HLOOKUP(($B689+PARAM!$B$56)/12,Loyalty,2)*$F$1*MAX(BN688,0)</f>
        <v>18.557001321003963</v>
      </c>
      <c r="BM689" s="75">
        <f>PARAM!$C$26+MAX($G$18-CHOOSE(PARAM!$B$44,MAX(0,BN688*$F$1),0),0)*RATES!$L665/12+$H$18*(PARAM!$D$51/12)*RATES!$N665/100</f>
        <v>464.41666666666674</v>
      </c>
      <c r="BN689" s="16">
        <f t="shared" si="471"/>
        <v>-52256.589816377702</v>
      </c>
      <c r="BO689" s="15">
        <f t="shared" si="446"/>
        <v>22.170849845882874</v>
      </c>
      <c r="BP689" s="75">
        <f>BO689*(1-PARAM!$C$27)*$I$19+(MOD($B689,60)=PARAM!$B$56)*($B689&gt;(60-PARAM!$B$56))*HLOOKUP(($B689+PARAM!$B$56)/12,Loyalty,2)*$F$1*MAX(BR688,0)</f>
        <v>18.557001321003963</v>
      </c>
      <c r="BQ689" s="75">
        <f>PARAM!$C$26+MAX($G$19-CHOOSE(PARAM!$B$44,MAX(0,BR688*$F$1),0),0)*RATES!$L665/12+$H$19*(PARAM!$D$51/12)*RATES!$N665/100</f>
        <v>464.41666666666674</v>
      </c>
      <c r="BR689" s="16">
        <f t="shared" si="472"/>
        <v>-52256.589816377702</v>
      </c>
      <c r="BS689" s="15">
        <f t="shared" si="447"/>
        <v>22.170849845882874</v>
      </c>
      <c r="BT689" s="75">
        <f>BS689*(1-PARAM!$C$27)*$I$20+(MOD($B689,60)=PARAM!$B$56)*($B689&gt;(60-PARAM!$B$56))*HLOOKUP(($B689+PARAM!$B$56)/12,Loyalty,2)*$F$1*MAX(BV688,0)</f>
        <v>18.557001321003963</v>
      </c>
      <c r="BU689" s="75">
        <f>PARAM!$C$26+MAX($G$20-CHOOSE(PARAM!$B$44,MAX(0,BV688*$F$1),0),0)*RATES!$L665/12+$H$20*(PARAM!$D$51/12)*RATES!$N665/100</f>
        <v>464.41666666666674</v>
      </c>
      <c r="BV689" s="16">
        <f t="shared" si="473"/>
        <v>-52256.589816377702</v>
      </c>
      <c r="BW689" s="15">
        <f t="shared" si="448"/>
        <v>22.170849845882874</v>
      </c>
      <c r="BX689" s="75">
        <f>BW689*(1-PARAM!$C$27)*$I$21+(MOD($B689,60)=PARAM!$B$56)*($B689&gt;(60-PARAM!$B$56))*HLOOKUP(($B689+PARAM!$B$56)/12,Loyalty,2)*$F$1*MAX(BZ688,0)</f>
        <v>18.557001321003963</v>
      </c>
      <c r="BY689" s="75">
        <f>PARAM!$C$26+MAX($G$21-CHOOSE(PARAM!$B$44,MAX(0,BZ688*$F$1),0),0)*RATES!$L665/12+$H$21*(PARAM!$D$51/12)*RATES!$N665/100</f>
        <v>464.41666666666674</v>
      </c>
      <c r="BZ689" s="16">
        <f t="shared" si="474"/>
        <v>-52256.589816377702</v>
      </c>
      <c r="CA689" s="15">
        <f t="shared" si="449"/>
        <v>22.170849845882874</v>
      </c>
      <c r="CB689" s="75">
        <f>CA689*(1-PARAM!$C$27)*$I$22+(MOD($B689,60)=PARAM!$B$56)*($B689&gt;(60-PARAM!$B$56))*HLOOKUP(($B689+PARAM!$B$56)/12,Loyalty,2)*$F$1*MAX(CD688,0)</f>
        <v>18.557001321003963</v>
      </c>
      <c r="CC689" s="75">
        <f>PARAM!$C$26+MAX($G$22-CHOOSE(PARAM!$B$44,MAX(0,CD688*$F$1),0),0)*RATES!$L665/12+$H$22*(PARAM!$D$51/12)*RATES!$N665/100</f>
        <v>464.41666666666674</v>
      </c>
      <c r="CD689" s="16">
        <f t="shared" si="475"/>
        <v>-52256.589816377702</v>
      </c>
      <c r="CE689" s="33">
        <f>IF(0=MOD(B689,12/PARAM!$D$51),1,0)</f>
        <v>1</v>
      </c>
      <c r="CF689" s="15">
        <f t="shared" si="450"/>
        <v>0</v>
      </c>
      <c r="CG689" s="75">
        <f>CF689*(1-PARAM!$C$27)*$R$3+(MOD($B689/12,5)=0)*($B689&gt;60)*HLOOKUP($B689/12,Loyalty,2)*$F$1*MAX(CI688,0)</f>
        <v>0</v>
      </c>
      <c r="CH689" s="75">
        <f>PARAM!$C$26+MAX($P$3-CHOOSE(PARAM!$B$44,MAX(0,CI688*$F$1),0),0)*RATES!$L665/12+$Q$3*(PARAM!$D$51/12)*RATES!$N665/100</f>
        <v>464.41666666666674</v>
      </c>
      <c r="CI689" s="16">
        <f>IF(CI688&gt;0,CI688*PARAM!$C$53,CI688)+CG689-CH689</f>
        <v>-64421.750000000007</v>
      </c>
      <c r="CJ689" s="15">
        <f t="shared" si="476"/>
        <v>0</v>
      </c>
      <c r="CK689" s="75">
        <f>CJ689*(1-PARAM!$C$27)*$R$4+(MOD($B689/12,5)=0)*($B689&gt;60)*HLOOKUP($B689/12,Loyalty,2)*$F$1*MAX(CM688,0)</f>
        <v>0</v>
      </c>
      <c r="CL689" s="75">
        <f>PARAM!$C$26+MAX($P$4-CHOOSE(PARAM!$B$44,MAX(0,CM688*$F$1),0),0)*RATES!$L665/12+$Q$4*(PARAM!$D$51/12)*RATES!$N665/100</f>
        <v>464.41666666666674</v>
      </c>
      <c r="CM689" s="16">
        <f>IF(CM688&gt;0,CM688*PARAM!$C$53,CM688)+CK689-CL689</f>
        <v>-64421.750000000007</v>
      </c>
      <c r="CO689" s="176"/>
    </row>
    <row r="690" spans="1:93" x14ac:dyDescent="0.2">
      <c r="A690" t="b">
        <f t="shared" si="451"/>
        <v>0</v>
      </c>
      <c r="B690" s="33">
        <v>663</v>
      </c>
      <c r="C690" s="15">
        <f t="shared" si="452"/>
        <v>20.081305947392778</v>
      </c>
      <c r="D690" s="75">
        <f>C690*(1-PARAM!$C$27)*$I$3+(MOD($B690,60)=PARAM!$B$56)*($B690&gt;(60-PARAM!$B$56))*HLOOKUP(($B690+PARAM!$B$56)/12,Loyalty,2)*$F$1*MAX(F689,0)</f>
        <v>16.808053077967756</v>
      </c>
      <c r="E690" s="75">
        <f>PARAM!$C$26+MAX($G$3-CHOOSE(PARAM!$B$44,MAX(0,F689*$F$1),0),0)*RATES!$L666/12+$H$3*(PARAM!$D$51/12)*RATES!$N666/100</f>
        <v>464.41666666666674</v>
      </c>
      <c r="F690" s="16">
        <f t="shared" si="453"/>
        <v>-53898.852667377818</v>
      </c>
      <c r="G690" s="15">
        <f t="shared" si="454"/>
        <v>22.035289406060361</v>
      </c>
      <c r="H690" s="75">
        <f>G690*(1-PARAM!$C$27)*$I$4+(MOD($B690,60)=PARAM!$B$56)*($B690&gt;(60-PARAM!$B$56))*HLOOKUP(($B690+PARAM!$B$56)/12,Loyalty,2)*$F$1*MAX(J689,0)</f>
        <v>18.443537232872522</v>
      </c>
      <c r="I690" s="75">
        <f>PARAM!$C$26+MAX($G$4-CHOOSE(PARAM!$B$44,MAX(0,J689*$F$1),0),0)*RATES!$L666/12+$H$4*(PARAM!$D$51/12)*RATES!$N666/100</f>
        <v>464.41666666666674</v>
      </c>
      <c r="J690" s="16">
        <f t="shared" si="455"/>
        <v>-52780.693708554172</v>
      </c>
      <c r="K690" s="15">
        <f t="shared" si="456"/>
        <v>22.170849845882874</v>
      </c>
      <c r="L690" s="75">
        <f>K690*(1-PARAM!$C$27)*$I$5+(MOD($B690,60)=PARAM!$B$56)*($B690&gt;(60-PARAM!$B$56))*HLOOKUP(($B690+PARAM!$B$56)/12,Loyalty,2)*$F$1*MAX(N689,0)</f>
        <v>18.557001321003963</v>
      </c>
      <c r="M690" s="75">
        <f>PARAM!$C$26+MAX($G$5-CHOOSE(PARAM!$B$44,MAX(0,N689*$F$1),0),0)*RATES!$L666/12+$H$5*(PARAM!$D$51/12)*RATES!$N666/100</f>
        <v>464.41666666666674</v>
      </c>
      <c r="N690" s="16">
        <f t="shared" si="457"/>
        <v>-52702.449481723364</v>
      </c>
      <c r="O690" s="15">
        <f t="shared" si="458"/>
        <v>22.170849845882874</v>
      </c>
      <c r="P690" s="75">
        <f>O690*(1-PARAM!$C$27)*$I$6+(MOD($B690,60)=PARAM!$B$56)*($B690&gt;(60-PARAM!$B$56))*HLOOKUP(($B690+PARAM!$B$56)/12,Loyalty,2)*$F$1*MAX(R689,0)</f>
        <v>18.557001321003963</v>
      </c>
      <c r="Q690" s="75">
        <f>PARAM!$C$26+MAX($G$6-CHOOSE(PARAM!$B$44,MAX(0,R689*$F$1),0),0)*RATES!$L666/12+$H$6*(PARAM!$D$51/12)*RATES!$N666/100</f>
        <v>464.41666666666674</v>
      </c>
      <c r="R690" s="16">
        <f t="shared" si="459"/>
        <v>-52702.449481723364</v>
      </c>
      <c r="S690" s="15">
        <f t="shared" si="434"/>
        <v>22.170849845882874</v>
      </c>
      <c r="T690" s="75">
        <f>S690*(1-PARAM!$C$27)*$I$7+(MOD($B690,60)=PARAM!$B$56)*($B690&gt;(60-PARAM!$B$56))*HLOOKUP(($B690+PARAM!$B$56)/12,Loyalty,2)*$F$1*MAX(V689,0)</f>
        <v>18.557001321003963</v>
      </c>
      <c r="U690" s="75">
        <f>PARAM!$C$26+MAX($G$7-CHOOSE(PARAM!$B$44,MAX(0,V689*$F$1),0),0)*RATES!$L666/12+$H$7*(PARAM!$D$51/12)*RATES!$N666/100</f>
        <v>464.41666666666674</v>
      </c>
      <c r="V690" s="16">
        <f t="shared" si="460"/>
        <v>-52702.449481723364</v>
      </c>
      <c r="W690" s="15">
        <f t="shared" si="435"/>
        <v>22.170849845882874</v>
      </c>
      <c r="X690" s="75">
        <f>W690*(1-PARAM!$C$27)*$I$8+(MOD($B690,60)=PARAM!$B$56)*($B690&gt;(60-PARAM!$B$56))*HLOOKUP(($B690+PARAM!$B$56)/12,Loyalty,2)*$F$1*MAX(Z689,0)</f>
        <v>18.557001321003963</v>
      </c>
      <c r="Y690" s="75">
        <f>PARAM!$C$26+MAX($G$8-CHOOSE(PARAM!$B$44,MAX(0,Z689*$F$1),0),0)*RATES!$L666/12+$H$8*(PARAM!$D$51/12)*RATES!$N666/100</f>
        <v>464.41666666666674</v>
      </c>
      <c r="Z690" s="16">
        <f t="shared" si="461"/>
        <v>-52702.449481723364</v>
      </c>
      <c r="AA690" s="15">
        <f t="shared" si="436"/>
        <v>22.170849845882874</v>
      </c>
      <c r="AB690" s="75">
        <f>AA690*(1-PARAM!$C$27)*$I$9+(MOD($B690,60)=PARAM!$B$56)*($B690&gt;(60-PARAM!$B$56))*HLOOKUP(($B690+PARAM!$B$56)/12,Loyalty,2)*$F$1*MAX(AD689,0)</f>
        <v>18.557001321003963</v>
      </c>
      <c r="AC690" s="75">
        <f>PARAM!$C$26+MAX($G$9-CHOOSE(PARAM!$B$44,MAX(0,AD689*$F$1),0),0)*RATES!$L666/12+$H$9*(PARAM!$D$51/12)*RATES!$N666/100</f>
        <v>464.41666666666674</v>
      </c>
      <c r="AD690" s="16">
        <f t="shared" si="462"/>
        <v>-52702.449481723364</v>
      </c>
      <c r="AE690" s="15">
        <f t="shared" si="437"/>
        <v>22.170849845882874</v>
      </c>
      <c r="AF690" s="75">
        <f>AE690*(1-PARAM!$C$27)*$I$10+(MOD($B690,60)=PARAM!$B$56)*($B690&gt;(60-PARAM!$B$56))*HLOOKUP(($B690+PARAM!$B$56)/12,Loyalty,2)*$F$1*MAX(AH689,0)</f>
        <v>18.557001321003963</v>
      </c>
      <c r="AG690" s="75">
        <f>PARAM!$C$26+MAX($G$10-CHOOSE(PARAM!$B$44,MAX(0,AH689*$F$1),0),0)*RATES!$L666/12+$H$10*(PARAM!$D$51/12)*RATES!$N666/100</f>
        <v>464.41666666666674</v>
      </c>
      <c r="AH690" s="16">
        <f t="shared" si="463"/>
        <v>-52702.449481723364</v>
      </c>
      <c r="AI690" s="15">
        <f t="shared" si="438"/>
        <v>22.170849845882874</v>
      </c>
      <c r="AJ690" s="75">
        <f>AI690*(1-PARAM!$C$27)*$I$11+(MOD($B690,60)=PARAM!$B$56)*($B690&gt;(60-PARAM!$B$56))*HLOOKUP(($B690+PARAM!$B$56)/12,Loyalty,2)*$F$1*MAX(AL689,0)</f>
        <v>18.557001321003963</v>
      </c>
      <c r="AK690" s="75">
        <f>PARAM!$C$26+MAX($G$11-CHOOSE(PARAM!$B$44,MAX(0,AL689*$F$1),0),0)*RATES!$L666/12+$H$11*(PARAM!$D$51/12)*RATES!$N666/100</f>
        <v>464.41666666666674</v>
      </c>
      <c r="AL690" s="16">
        <f t="shared" si="464"/>
        <v>-52702.449481723364</v>
      </c>
      <c r="AM690" s="15">
        <f t="shared" si="439"/>
        <v>22.170849845882874</v>
      </c>
      <c r="AN690" s="75">
        <f>AM690*(1-PARAM!$C$27)*$I$12+(MOD($B690,60)=PARAM!$B$56)*($B690&gt;(60-PARAM!$B$56))*HLOOKUP(($B690+PARAM!$B$56)/12,Loyalty,2)*$F$1*MAX(AP689,0)</f>
        <v>18.557001321003963</v>
      </c>
      <c r="AO690" s="75">
        <f>PARAM!$C$26+MAX($G$12-CHOOSE(PARAM!$B$44,MAX(0,AP689*$F$1),0),0)*RATES!$L666/12+$H$12*(PARAM!$D$51/12)*RATES!$N666/100</f>
        <v>464.41666666666674</v>
      </c>
      <c r="AP690" s="16">
        <f t="shared" si="465"/>
        <v>-52702.449481723364</v>
      </c>
      <c r="AQ690" s="15">
        <f t="shared" si="440"/>
        <v>22.170849845882874</v>
      </c>
      <c r="AR690" s="75">
        <f>AQ690*(1-PARAM!$C$27)*$I$13+(MOD($B690,60)=PARAM!$B$56)*($B690&gt;(60-PARAM!$B$56))*HLOOKUP(($B690+PARAM!$B$56)/12,Loyalty,2)*$F$1*MAX(AT689,0)</f>
        <v>18.557001321003963</v>
      </c>
      <c r="AS690" s="75">
        <f>PARAM!$C$26+MAX($G$13-CHOOSE(PARAM!$B$44,MAX(0,AT689*$F$1),0),0)*RATES!$L666/12+$H$13*(PARAM!$D$51/12)*RATES!$N666/100</f>
        <v>464.41666666666674</v>
      </c>
      <c r="AT690" s="16">
        <f t="shared" si="466"/>
        <v>-52702.449481723364</v>
      </c>
      <c r="AU690" s="15">
        <f t="shared" si="441"/>
        <v>22.170849845882874</v>
      </c>
      <c r="AV690" s="75">
        <f>AU690*(1-PARAM!$C$27)*$I$14+(MOD($B690,60)=PARAM!$B$56)*($B690&gt;(60-PARAM!$B$56))*HLOOKUP(($B690+PARAM!$B$56)/12,Loyalty,2)*$F$1*MAX(AX689,0)</f>
        <v>18.557001321003963</v>
      </c>
      <c r="AW690" s="75">
        <f>PARAM!$C$26+MAX($G$14-CHOOSE(PARAM!$B$44,MAX(0,AX689*$F$1),0),0)*RATES!$L666/12+$H$14*(PARAM!$D$51/12)*RATES!$N666/100</f>
        <v>464.41666666666674</v>
      </c>
      <c r="AX690" s="16">
        <f t="shared" si="467"/>
        <v>-52702.449481723364</v>
      </c>
      <c r="AY690" s="15">
        <f t="shared" si="442"/>
        <v>22.170849845882874</v>
      </c>
      <c r="AZ690" s="75">
        <f>AY690*(1-PARAM!$C$27)*$I$15+(MOD($B690,60)=PARAM!$B$56)*($B690&gt;(60-PARAM!$B$56))*HLOOKUP(($B690+PARAM!$B$56)/12,Loyalty,2)*$F$1*MAX(BB689,0)</f>
        <v>18.557001321003963</v>
      </c>
      <c r="BA690" s="75">
        <f>PARAM!$C$26+MAX($G$15-CHOOSE(PARAM!$B$44,MAX(0,BB689*$F$1),0),0)*RATES!$L666/12+$H$15*(PARAM!$D$51/12)*RATES!$N666/100</f>
        <v>464.41666666666674</v>
      </c>
      <c r="BB690" s="16">
        <f t="shared" si="468"/>
        <v>-52702.449481723364</v>
      </c>
      <c r="BC690" s="15">
        <f t="shared" si="443"/>
        <v>22.170849845882874</v>
      </c>
      <c r="BD690" s="75">
        <f>BC690*(1-PARAM!$C$27)*$I$16+(MOD($B690,60)=PARAM!$B$56)*($B690&gt;(60-PARAM!$B$56))*HLOOKUP(($B690+PARAM!$B$56)/12,Loyalty,2)*$F$1*MAX(BF689,0)</f>
        <v>18.557001321003963</v>
      </c>
      <c r="BE690" s="75">
        <f>PARAM!$C$26+MAX($G$16-CHOOSE(PARAM!$B$44,MAX(0,BF689*$F$1),0),0)*RATES!$L666/12+$H$16*(PARAM!$D$51/12)*RATES!$N666/100</f>
        <v>464.41666666666674</v>
      </c>
      <c r="BF690" s="16">
        <f t="shared" si="469"/>
        <v>-52702.449481723364</v>
      </c>
      <c r="BG690" s="15">
        <f t="shared" si="444"/>
        <v>22.170849845882874</v>
      </c>
      <c r="BH690" s="75">
        <f>BG690*(1-PARAM!$C$27)*$I$17+(MOD($B690,60)=PARAM!$B$56)*($B690&gt;(60-PARAM!$B$56))*HLOOKUP(($B690+PARAM!$B$56)/12,Loyalty,2)*$F$1*MAX(BJ689,0)</f>
        <v>18.557001321003963</v>
      </c>
      <c r="BI690" s="75">
        <f>PARAM!$C$26+MAX($G$17-CHOOSE(PARAM!$B$44,MAX(0,BJ689*$F$1),0),0)*RATES!$L666/12+$H$17*(PARAM!$D$51/12)*RATES!$N666/100</f>
        <v>464.41666666666674</v>
      </c>
      <c r="BJ690" s="16">
        <f t="shared" si="470"/>
        <v>-52702.449481723364</v>
      </c>
      <c r="BK690" s="15">
        <f t="shared" si="445"/>
        <v>22.170849845882874</v>
      </c>
      <c r="BL690" s="75">
        <f>BK690*(1-PARAM!$C$27)*$I$18+(MOD($B690,60)=PARAM!$B$56)*($B690&gt;(60-PARAM!$B$56))*HLOOKUP(($B690+PARAM!$B$56)/12,Loyalty,2)*$F$1*MAX(BN689,0)</f>
        <v>18.557001321003963</v>
      </c>
      <c r="BM690" s="75">
        <f>PARAM!$C$26+MAX($G$18-CHOOSE(PARAM!$B$44,MAX(0,BN689*$F$1),0),0)*RATES!$L666/12+$H$18*(PARAM!$D$51/12)*RATES!$N666/100</f>
        <v>464.41666666666674</v>
      </c>
      <c r="BN690" s="16">
        <f t="shared" si="471"/>
        <v>-52702.449481723364</v>
      </c>
      <c r="BO690" s="15">
        <f t="shared" si="446"/>
        <v>22.170849845882874</v>
      </c>
      <c r="BP690" s="75">
        <f>BO690*(1-PARAM!$C$27)*$I$19+(MOD($B690,60)=PARAM!$B$56)*($B690&gt;(60-PARAM!$B$56))*HLOOKUP(($B690+PARAM!$B$56)/12,Loyalty,2)*$F$1*MAX(BR689,0)</f>
        <v>18.557001321003963</v>
      </c>
      <c r="BQ690" s="75">
        <f>PARAM!$C$26+MAX($G$19-CHOOSE(PARAM!$B$44,MAX(0,BR689*$F$1),0),0)*RATES!$L666/12+$H$19*(PARAM!$D$51/12)*RATES!$N666/100</f>
        <v>464.41666666666674</v>
      </c>
      <c r="BR690" s="16">
        <f t="shared" si="472"/>
        <v>-52702.449481723364</v>
      </c>
      <c r="BS690" s="15">
        <f t="shared" si="447"/>
        <v>22.170849845882874</v>
      </c>
      <c r="BT690" s="75">
        <f>BS690*(1-PARAM!$C$27)*$I$20+(MOD($B690,60)=PARAM!$B$56)*($B690&gt;(60-PARAM!$B$56))*HLOOKUP(($B690+PARAM!$B$56)/12,Loyalty,2)*$F$1*MAX(BV689,0)</f>
        <v>18.557001321003963</v>
      </c>
      <c r="BU690" s="75">
        <f>PARAM!$C$26+MAX($G$20-CHOOSE(PARAM!$B$44,MAX(0,BV689*$F$1),0),0)*RATES!$L666/12+$H$20*(PARAM!$D$51/12)*RATES!$N666/100</f>
        <v>464.41666666666674</v>
      </c>
      <c r="BV690" s="16">
        <f t="shared" si="473"/>
        <v>-52702.449481723364</v>
      </c>
      <c r="BW690" s="15">
        <f t="shared" si="448"/>
        <v>22.170849845882874</v>
      </c>
      <c r="BX690" s="75">
        <f>BW690*(1-PARAM!$C$27)*$I$21+(MOD($B690,60)=PARAM!$B$56)*($B690&gt;(60-PARAM!$B$56))*HLOOKUP(($B690+PARAM!$B$56)/12,Loyalty,2)*$F$1*MAX(BZ689,0)</f>
        <v>18.557001321003963</v>
      </c>
      <c r="BY690" s="75">
        <f>PARAM!$C$26+MAX($G$21-CHOOSE(PARAM!$B$44,MAX(0,BZ689*$F$1),0),0)*RATES!$L666/12+$H$21*(PARAM!$D$51/12)*RATES!$N666/100</f>
        <v>464.41666666666674</v>
      </c>
      <c r="BZ690" s="16">
        <f t="shared" si="474"/>
        <v>-52702.449481723364</v>
      </c>
      <c r="CA690" s="15">
        <f t="shared" si="449"/>
        <v>22.170849845882874</v>
      </c>
      <c r="CB690" s="75">
        <f>CA690*(1-PARAM!$C$27)*$I$22+(MOD($B690,60)=PARAM!$B$56)*($B690&gt;(60-PARAM!$B$56))*HLOOKUP(($B690+PARAM!$B$56)/12,Loyalty,2)*$F$1*MAX(CD689,0)</f>
        <v>18.557001321003963</v>
      </c>
      <c r="CC690" s="75">
        <f>PARAM!$C$26+MAX($G$22-CHOOSE(PARAM!$B$44,MAX(0,CD689*$F$1),0),0)*RATES!$L666/12+$H$22*(PARAM!$D$51/12)*RATES!$N666/100</f>
        <v>464.41666666666674</v>
      </c>
      <c r="CD690" s="16">
        <f t="shared" si="475"/>
        <v>-52702.449481723364</v>
      </c>
      <c r="CE690" s="33">
        <f>IF(0=MOD(B690,12/PARAM!$D$51),1,0)</f>
        <v>1</v>
      </c>
      <c r="CF690" s="15">
        <f t="shared" si="450"/>
        <v>0</v>
      </c>
      <c r="CG690" s="75">
        <f>CF690*(1-PARAM!$C$27)*$R$3+(MOD($B690/12,5)=0)*($B690&gt;60)*HLOOKUP($B690/12,Loyalty,2)*$F$1*MAX(CI689,0)</f>
        <v>0</v>
      </c>
      <c r="CH690" s="75">
        <f>PARAM!$C$26+MAX($P$3-CHOOSE(PARAM!$B$44,MAX(0,CI689*$F$1),0),0)*RATES!$L666/12+$Q$3*(PARAM!$D$51/12)*RATES!$N666/100</f>
        <v>464.41666666666674</v>
      </c>
      <c r="CI690" s="16">
        <f>IF(CI689&gt;0,CI689*PARAM!$C$53,CI689)+CG690-CH690</f>
        <v>-64886.166666666672</v>
      </c>
      <c r="CJ690" s="15">
        <f t="shared" si="476"/>
        <v>0</v>
      </c>
      <c r="CK690" s="75">
        <f>CJ690*(1-PARAM!$C$27)*$R$4+(MOD($B690/12,5)=0)*($B690&gt;60)*HLOOKUP($B690/12,Loyalty,2)*$F$1*MAX(CM689,0)</f>
        <v>0</v>
      </c>
      <c r="CL690" s="75">
        <f>PARAM!$C$26+MAX($P$4-CHOOSE(PARAM!$B$44,MAX(0,CM689*$F$1),0),0)*RATES!$L666/12+$Q$4*(PARAM!$D$51/12)*RATES!$N666/100</f>
        <v>464.41666666666674</v>
      </c>
      <c r="CM690" s="16">
        <f>IF(CM689&gt;0,CM689*PARAM!$C$53,CM689)+CK690-CL690</f>
        <v>-64886.166666666672</v>
      </c>
      <c r="CO690" s="176"/>
    </row>
    <row r="691" spans="1:93" x14ac:dyDescent="0.2">
      <c r="A691" t="b">
        <f t="shared" si="451"/>
        <v>0</v>
      </c>
      <c r="B691" s="33">
        <v>664</v>
      </c>
      <c r="C691" s="15">
        <f t="shared" si="452"/>
        <v>20.081305947392778</v>
      </c>
      <c r="D691" s="75">
        <f>C691*(1-PARAM!$C$27)*$I$3+(MOD($B691,60)=PARAM!$B$56)*($B691&gt;(60-PARAM!$B$56))*HLOOKUP(($B691+PARAM!$B$56)/12,Loyalty,2)*$F$1*MAX(F690,0)</f>
        <v>16.808053077967756</v>
      </c>
      <c r="E691" s="75">
        <f>PARAM!$C$26+MAX($G$3-CHOOSE(PARAM!$B$44,MAX(0,F690*$F$1),0),0)*RATES!$L667/12+$H$3*(PARAM!$D$51/12)*RATES!$N667/100</f>
        <v>464.41666666666674</v>
      </c>
      <c r="F691" s="16">
        <f t="shared" si="453"/>
        <v>-54346.461280966512</v>
      </c>
      <c r="G691" s="15">
        <f t="shared" si="454"/>
        <v>22.035289406060361</v>
      </c>
      <c r="H691" s="75">
        <f>G691*(1-PARAM!$C$27)*$I$4+(MOD($B691,60)=PARAM!$B$56)*($B691&gt;(60-PARAM!$B$56))*HLOOKUP(($B691+PARAM!$B$56)/12,Loyalty,2)*$F$1*MAX(J690,0)</f>
        <v>18.443537232872522</v>
      </c>
      <c r="I691" s="75">
        <f>PARAM!$C$26+MAX($G$4-CHOOSE(PARAM!$B$44,MAX(0,J690*$F$1),0),0)*RATES!$L667/12+$H$4*(PARAM!$D$51/12)*RATES!$N667/100</f>
        <v>464.41666666666674</v>
      </c>
      <c r="J691" s="16">
        <f t="shared" si="455"/>
        <v>-53226.666837987963</v>
      </c>
      <c r="K691" s="15">
        <f t="shared" si="456"/>
        <v>22.170849845882874</v>
      </c>
      <c r="L691" s="75">
        <f>K691*(1-PARAM!$C$27)*$I$5+(MOD($B691,60)=PARAM!$B$56)*($B691&gt;(60-PARAM!$B$56))*HLOOKUP(($B691+PARAM!$B$56)/12,Loyalty,2)*$F$1*MAX(N690,0)</f>
        <v>18.557001321003963</v>
      </c>
      <c r="M691" s="75">
        <f>PARAM!$C$26+MAX($G$5-CHOOSE(PARAM!$B$44,MAX(0,N690*$F$1),0),0)*RATES!$L667/12+$H$5*(PARAM!$D$51/12)*RATES!$N667/100</f>
        <v>464.41666666666674</v>
      </c>
      <c r="N691" s="16">
        <f t="shared" si="457"/>
        <v>-53148.309147069027</v>
      </c>
      <c r="O691" s="15">
        <f t="shared" si="458"/>
        <v>22.170849845882874</v>
      </c>
      <c r="P691" s="75">
        <f>O691*(1-PARAM!$C$27)*$I$6+(MOD($B691,60)=PARAM!$B$56)*($B691&gt;(60-PARAM!$B$56))*HLOOKUP(($B691+PARAM!$B$56)/12,Loyalty,2)*$F$1*MAX(R690,0)</f>
        <v>18.557001321003963</v>
      </c>
      <c r="Q691" s="75">
        <f>PARAM!$C$26+MAX($G$6-CHOOSE(PARAM!$B$44,MAX(0,R690*$F$1),0),0)*RATES!$L667/12+$H$6*(PARAM!$D$51/12)*RATES!$N667/100</f>
        <v>464.41666666666674</v>
      </c>
      <c r="R691" s="16">
        <f t="shared" si="459"/>
        <v>-53148.309147069027</v>
      </c>
      <c r="S691" s="15">
        <f t="shared" si="434"/>
        <v>22.170849845882874</v>
      </c>
      <c r="T691" s="75">
        <f>S691*(1-PARAM!$C$27)*$I$7+(MOD($B691,60)=PARAM!$B$56)*($B691&gt;(60-PARAM!$B$56))*HLOOKUP(($B691+PARAM!$B$56)/12,Loyalty,2)*$F$1*MAX(V690,0)</f>
        <v>18.557001321003963</v>
      </c>
      <c r="U691" s="75">
        <f>PARAM!$C$26+MAX($G$7-CHOOSE(PARAM!$B$44,MAX(0,V690*$F$1),0),0)*RATES!$L667/12+$H$7*(PARAM!$D$51/12)*RATES!$N667/100</f>
        <v>464.41666666666674</v>
      </c>
      <c r="V691" s="16">
        <f t="shared" si="460"/>
        <v>-53148.309147069027</v>
      </c>
      <c r="W691" s="15">
        <f t="shared" si="435"/>
        <v>22.170849845882874</v>
      </c>
      <c r="X691" s="75">
        <f>W691*(1-PARAM!$C$27)*$I$8+(MOD($B691,60)=PARAM!$B$56)*($B691&gt;(60-PARAM!$B$56))*HLOOKUP(($B691+PARAM!$B$56)/12,Loyalty,2)*$F$1*MAX(Z690,0)</f>
        <v>18.557001321003963</v>
      </c>
      <c r="Y691" s="75">
        <f>PARAM!$C$26+MAX($G$8-CHOOSE(PARAM!$B$44,MAX(0,Z690*$F$1),0),0)*RATES!$L667/12+$H$8*(PARAM!$D$51/12)*RATES!$N667/100</f>
        <v>464.41666666666674</v>
      </c>
      <c r="Z691" s="16">
        <f t="shared" si="461"/>
        <v>-53148.309147069027</v>
      </c>
      <c r="AA691" s="15">
        <f t="shared" si="436"/>
        <v>22.170849845882874</v>
      </c>
      <c r="AB691" s="75">
        <f>AA691*(1-PARAM!$C$27)*$I$9+(MOD($B691,60)=PARAM!$B$56)*($B691&gt;(60-PARAM!$B$56))*HLOOKUP(($B691+PARAM!$B$56)/12,Loyalty,2)*$F$1*MAX(AD690,0)</f>
        <v>18.557001321003963</v>
      </c>
      <c r="AC691" s="75">
        <f>PARAM!$C$26+MAX($G$9-CHOOSE(PARAM!$B$44,MAX(0,AD690*$F$1),0),0)*RATES!$L667/12+$H$9*(PARAM!$D$51/12)*RATES!$N667/100</f>
        <v>464.41666666666674</v>
      </c>
      <c r="AD691" s="16">
        <f t="shared" si="462"/>
        <v>-53148.309147069027</v>
      </c>
      <c r="AE691" s="15">
        <f t="shared" si="437"/>
        <v>22.170849845882874</v>
      </c>
      <c r="AF691" s="75">
        <f>AE691*(1-PARAM!$C$27)*$I$10+(MOD($B691,60)=PARAM!$B$56)*($B691&gt;(60-PARAM!$B$56))*HLOOKUP(($B691+PARAM!$B$56)/12,Loyalty,2)*$F$1*MAX(AH690,0)</f>
        <v>18.557001321003963</v>
      </c>
      <c r="AG691" s="75">
        <f>PARAM!$C$26+MAX($G$10-CHOOSE(PARAM!$B$44,MAX(0,AH690*$F$1),0),0)*RATES!$L667/12+$H$10*(PARAM!$D$51/12)*RATES!$N667/100</f>
        <v>464.41666666666674</v>
      </c>
      <c r="AH691" s="16">
        <f t="shared" si="463"/>
        <v>-53148.309147069027</v>
      </c>
      <c r="AI691" s="15">
        <f t="shared" si="438"/>
        <v>22.170849845882874</v>
      </c>
      <c r="AJ691" s="75">
        <f>AI691*(1-PARAM!$C$27)*$I$11+(MOD($B691,60)=PARAM!$B$56)*($B691&gt;(60-PARAM!$B$56))*HLOOKUP(($B691+PARAM!$B$56)/12,Loyalty,2)*$F$1*MAX(AL690,0)</f>
        <v>18.557001321003963</v>
      </c>
      <c r="AK691" s="75">
        <f>PARAM!$C$26+MAX($G$11-CHOOSE(PARAM!$B$44,MAX(0,AL690*$F$1),0),0)*RATES!$L667/12+$H$11*(PARAM!$D$51/12)*RATES!$N667/100</f>
        <v>464.41666666666674</v>
      </c>
      <c r="AL691" s="16">
        <f t="shared" si="464"/>
        <v>-53148.309147069027</v>
      </c>
      <c r="AM691" s="15">
        <f t="shared" si="439"/>
        <v>22.170849845882874</v>
      </c>
      <c r="AN691" s="75">
        <f>AM691*(1-PARAM!$C$27)*$I$12+(MOD($B691,60)=PARAM!$B$56)*($B691&gt;(60-PARAM!$B$56))*HLOOKUP(($B691+PARAM!$B$56)/12,Loyalty,2)*$F$1*MAX(AP690,0)</f>
        <v>18.557001321003963</v>
      </c>
      <c r="AO691" s="75">
        <f>PARAM!$C$26+MAX($G$12-CHOOSE(PARAM!$B$44,MAX(0,AP690*$F$1),0),0)*RATES!$L667/12+$H$12*(PARAM!$D$51/12)*RATES!$N667/100</f>
        <v>464.41666666666674</v>
      </c>
      <c r="AP691" s="16">
        <f t="shared" si="465"/>
        <v>-53148.309147069027</v>
      </c>
      <c r="AQ691" s="15">
        <f t="shared" si="440"/>
        <v>22.170849845882874</v>
      </c>
      <c r="AR691" s="75">
        <f>AQ691*(1-PARAM!$C$27)*$I$13+(MOD($B691,60)=PARAM!$B$56)*($B691&gt;(60-PARAM!$B$56))*HLOOKUP(($B691+PARAM!$B$56)/12,Loyalty,2)*$F$1*MAX(AT690,0)</f>
        <v>18.557001321003963</v>
      </c>
      <c r="AS691" s="75">
        <f>PARAM!$C$26+MAX($G$13-CHOOSE(PARAM!$B$44,MAX(0,AT690*$F$1),0),0)*RATES!$L667/12+$H$13*(PARAM!$D$51/12)*RATES!$N667/100</f>
        <v>464.41666666666674</v>
      </c>
      <c r="AT691" s="16">
        <f t="shared" si="466"/>
        <v>-53148.309147069027</v>
      </c>
      <c r="AU691" s="15">
        <f t="shared" si="441"/>
        <v>22.170849845882874</v>
      </c>
      <c r="AV691" s="75">
        <f>AU691*(1-PARAM!$C$27)*$I$14+(MOD($B691,60)=PARAM!$B$56)*($B691&gt;(60-PARAM!$B$56))*HLOOKUP(($B691+PARAM!$B$56)/12,Loyalty,2)*$F$1*MAX(AX690,0)</f>
        <v>18.557001321003963</v>
      </c>
      <c r="AW691" s="75">
        <f>PARAM!$C$26+MAX($G$14-CHOOSE(PARAM!$B$44,MAX(0,AX690*$F$1),0),0)*RATES!$L667/12+$H$14*(PARAM!$D$51/12)*RATES!$N667/100</f>
        <v>464.41666666666674</v>
      </c>
      <c r="AX691" s="16">
        <f t="shared" si="467"/>
        <v>-53148.309147069027</v>
      </c>
      <c r="AY691" s="15">
        <f t="shared" si="442"/>
        <v>22.170849845882874</v>
      </c>
      <c r="AZ691" s="75">
        <f>AY691*(1-PARAM!$C$27)*$I$15+(MOD($B691,60)=PARAM!$B$56)*($B691&gt;(60-PARAM!$B$56))*HLOOKUP(($B691+PARAM!$B$56)/12,Loyalty,2)*$F$1*MAX(BB690,0)</f>
        <v>18.557001321003963</v>
      </c>
      <c r="BA691" s="75">
        <f>PARAM!$C$26+MAX($G$15-CHOOSE(PARAM!$B$44,MAX(0,BB690*$F$1),0),0)*RATES!$L667/12+$H$15*(PARAM!$D$51/12)*RATES!$N667/100</f>
        <v>464.41666666666674</v>
      </c>
      <c r="BB691" s="16">
        <f t="shared" si="468"/>
        <v>-53148.309147069027</v>
      </c>
      <c r="BC691" s="15">
        <f t="shared" si="443"/>
        <v>22.170849845882874</v>
      </c>
      <c r="BD691" s="75">
        <f>BC691*(1-PARAM!$C$27)*$I$16+(MOD($B691,60)=PARAM!$B$56)*($B691&gt;(60-PARAM!$B$56))*HLOOKUP(($B691+PARAM!$B$56)/12,Loyalty,2)*$F$1*MAX(BF690,0)</f>
        <v>18.557001321003963</v>
      </c>
      <c r="BE691" s="75">
        <f>PARAM!$C$26+MAX($G$16-CHOOSE(PARAM!$B$44,MAX(0,BF690*$F$1),0),0)*RATES!$L667/12+$H$16*(PARAM!$D$51/12)*RATES!$N667/100</f>
        <v>464.41666666666674</v>
      </c>
      <c r="BF691" s="16">
        <f t="shared" si="469"/>
        <v>-53148.309147069027</v>
      </c>
      <c r="BG691" s="15">
        <f t="shared" si="444"/>
        <v>22.170849845882874</v>
      </c>
      <c r="BH691" s="75">
        <f>BG691*(1-PARAM!$C$27)*$I$17+(MOD($B691,60)=PARAM!$B$56)*($B691&gt;(60-PARAM!$B$56))*HLOOKUP(($B691+PARAM!$B$56)/12,Loyalty,2)*$F$1*MAX(BJ690,0)</f>
        <v>18.557001321003963</v>
      </c>
      <c r="BI691" s="75">
        <f>PARAM!$C$26+MAX($G$17-CHOOSE(PARAM!$B$44,MAX(0,BJ690*$F$1),0),0)*RATES!$L667/12+$H$17*(PARAM!$D$51/12)*RATES!$N667/100</f>
        <v>464.41666666666674</v>
      </c>
      <c r="BJ691" s="16">
        <f t="shared" si="470"/>
        <v>-53148.309147069027</v>
      </c>
      <c r="BK691" s="15">
        <f t="shared" si="445"/>
        <v>22.170849845882874</v>
      </c>
      <c r="BL691" s="75">
        <f>BK691*(1-PARAM!$C$27)*$I$18+(MOD($B691,60)=PARAM!$B$56)*($B691&gt;(60-PARAM!$B$56))*HLOOKUP(($B691+PARAM!$B$56)/12,Loyalty,2)*$F$1*MAX(BN690,0)</f>
        <v>18.557001321003963</v>
      </c>
      <c r="BM691" s="75">
        <f>PARAM!$C$26+MAX($G$18-CHOOSE(PARAM!$B$44,MAX(0,BN690*$F$1),0),0)*RATES!$L667/12+$H$18*(PARAM!$D$51/12)*RATES!$N667/100</f>
        <v>464.41666666666674</v>
      </c>
      <c r="BN691" s="16">
        <f t="shared" si="471"/>
        <v>-53148.309147069027</v>
      </c>
      <c r="BO691" s="15">
        <f t="shared" si="446"/>
        <v>22.170849845882874</v>
      </c>
      <c r="BP691" s="75">
        <f>BO691*(1-PARAM!$C$27)*$I$19+(MOD($B691,60)=PARAM!$B$56)*($B691&gt;(60-PARAM!$B$56))*HLOOKUP(($B691+PARAM!$B$56)/12,Loyalty,2)*$F$1*MAX(BR690,0)</f>
        <v>18.557001321003963</v>
      </c>
      <c r="BQ691" s="75">
        <f>PARAM!$C$26+MAX($G$19-CHOOSE(PARAM!$B$44,MAX(0,BR690*$F$1),0),0)*RATES!$L667/12+$H$19*(PARAM!$D$51/12)*RATES!$N667/100</f>
        <v>464.41666666666674</v>
      </c>
      <c r="BR691" s="16">
        <f t="shared" si="472"/>
        <v>-53148.309147069027</v>
      </c>
      <c r="BS691" s="15">
        <f t="shared" si="447"/>
        <v>22.170849845882874</v>
      </c>
      <c r="BT691" s="75">
        <f>BS691*(1-PARAM!$C$27)*$I$20+(MOD($B691,60)=PARAM!$B$56)*($B691&gt;(60-PARAM!$B$56))*HLOOKUP(($B691+PARAM!$B$56)/12,Loyalty,2)*$F$1*MAX(BV690,0)</f>
        <v>18.557001321003963</v>
      </c>
      <c r="BU691" s="75">
        <f>PARAM!$C$26+MAX($G$20-CHOOSE(PARAM!$B$44,MAX(0,BV690*$F$1),0),0)*RATES!$L667/12+$H$20*(PARAM!$D$51/12)*RATES!$N667/100</f>
        <v>464.41666666666674</v>
      </c>
      <c r="BV691" s="16">
        <f t="shared" si="473"/>
        <v>-53148.309147069027</v>
      </c>
      <c r="BW691" s="15">
        <f t="shared" si="448"/>
        <v>22.170849845882874</v>
      </c>
      <c r="BX691" s="75">
        <f>BW691*(1-PARAM!$C$27)*$I$21+(MOD($B691,60)=PARAM!$B$56)*($B691&gt;(60-PARAM!$B$56))*HLOOKUP(($B691+PARAM!$B$56)/12,Loyalty,2)*$F$1*MAX(BZ690,0)</f>
        <v>18.557001321003963</v>
      </c>
      <c r="BY691" s="75">
        <f>PARAM!$C$26+MAX($G$21-CHOOSE(PARAM!$B$44,MAX(0,BZ690*$F$1),0),0)*RATES!$L667/12+$H$21*(PARAM!$D$51/12)*RATES!$N667/100</f>
        <v>464.41666666666674</v>
      </c>
      <c r="BZ691" s="16">
        <f t="shared" si="474"/>
        <v>-53148.309147069027</v>
      </c>
      <c r="CA691" s="15">
        <f t="shared" si="449"/>
        <v>22.170849845882874</v>
      </c>
      <c r="CB691" s="75">
        <f>CA691*(1-PARAM!$C$27)*$I$22+(MOD($B691,60)=PARAM!$B$56)*($B691&gt;(60-PARAM!$B$56))*HLOOKUP(($B691+PARAM!$B$56)/12,Loyalty,2)*$F$1*MAX(CD690,0)</f>
        <v>18.557001321003963</v>
      </c>
      <c r="CC691" s="75">
        <f>PARAM!$C$26+MAX($G$22-CHOOSE(PARAM!$B$44,MAX(0,CD690*$F$1),0),0)*RATES!$L667/12+$H$22*(PARAM!$D$51/12)*RATES!$N667/100</f>
        <v>464.41666666666674</v>
      </c>
      <c r="CD691" s="16">
        <f t="shared" si="475"/>
        <v>-53148.309147069027</v>
      </c>
      <c r="CE691" s="33">
        <f>IF(0=MOD(B691,12/PARAM!$D$51),1,0)</f>
        <v>1</v>
      </c>
      <c r="CF691" s="15">
        <f t="shared" si="450"/>
        <v>0</v>
      </c>
      <c r="CG691" s="75">
        <f>CF691*(1-PARAM!$C$27)*$R$3+(MOD($B691/12,5)=0)*($B691&gt;60)*HLOOKUP($B691/12,Loyalty,2)*$F$1*MAX(CI690,0)</f>
        <v>0</v>
      </c>
      <c r="CH691" s="75">
        <f>PARAM!$C$26+MAX($P$3-CHOOSE(PARAM!$B$44,MAX(0,CI690*$F$1),0),0)*RATES!$L667/12+$Q$3*(PARAM!$D$51/12)*RATES!$N667/100</f>
        <v>464.41666666666674</v>
      </c>
      <c r="CI691" s="16">
        <f>IF(CI690&gt;0,CI690*PARAM!$C$53,CI690)+CG691-CH691</f>
        <v>-65350.583333333336</v>
      </c>
      <c r="CJ691" s="15">
        <f t="shared" si="476"/>
        <v>0</v>
      </c>
      <c r="CK691" s="75">
        <f>CJ691*(1-PARAM!$C$27)*$R$4+(MOD($B691/12,5)=0)*($B691&gt;60)*HLOOKUP($B691/12,Loyalty,2)*$F$1*MAX(CM690,0)</f>
        <v>0</v>
      </c>
      <c r="CL691" s="75">
        <f>PARAM!$C$26+MAX($P$4-CHOOSE(PARAM!$B$44,MAX(0,CM690*$F$1),0),0)*RATES!$L667/12+$Q$4*(PARAM!$D$51/12)*RATES!$N667/100</f>
        <v>464.41666666666674</v>
      </c>
      <c r="CM691" s="16">
        <f>IF(CM690&gt;0,CM690*PARAM!$C$53,CM690)+CK691-CL691</f>
        <v>-65350.583333333336</v>
      </c>
      <c r="CO691" s="176"/>
    </row>
    <row r="692" spans="1:93" x14ac:dyDescent="0.2">
      <c r="A692" t="b">
        <f t="shared" si="451"/>
        <v>0</v>
      </c>
      <c r="B692" s="33">
        <v>665</v>
      </c>
      <c r="C692" s="15">
        <f t="shared" si="452"/>
        <v>20.081305947392778</v>
      </c>
      <c r="D692" s="75">
        <f>C692*(1-PARAM!$C$27)*$I$3+(MOD($B692,60)=PARAM!$B$56)*($B692&gt;(60-PARAM!$B$56))*HLOOKUP(($B692+PARAM!$B$56)/12,Loyalty,2)*$F$1*MAX(F691,0)</f>
        <v>16.808053077967756</v>
      </c>
      <c r="E692" s="75">
        <f>PARAM!$C$26+MAX($G$3-CHOOSE(PARAM!$B$44,MAX(0,F691*$F$1),0),0)*RATES!$L668/12+$H$3*(PARAM!$D$51/12)*RATES!$N668/100</f>
        <v>464.41666666666674</v>
      </c>
      <c r="F692" s="16">
        <f t="shared" si="453"/>
        <v>-54794.069894555207</v>
      </c>
      <c r="G692" s="15">
        <f t="shared" si="454"/>
        <v>22.035289406060361</v>
      </c>
      <c r="H692" s="75">
        <f>G692*(1-PARAM!$C$27)*$I$4+(MOD($B692,60)=PARAM!$B$56)*($B692&gt;(60-PARAM!$B$56))*HLOOKUP(($B692+PARAM!$B$56)/12,Loyalty,2)*$F$1*MAX(J691,0)</f>
        <v>18.443537232872522</v>
      </c>
      <c r="I692" s="75">
        <f>PARAM!$C$26+MAX($G$4-CHOOSE(PARAM!$B$44,MAX(0,J691*$F$1),0),0)*RATES!$L668/12+$H$4*(PARAM!$D$51/12)*RATES!$N668/100</f>
        <v>464.41666666666674</v>
      </c>
      <c r="J692" s="16">
        <f t="shared" si="455"/>
        <v>-53672.639967421754</v>
      </c>
      <c r="K692" s="15">
        <f t="shared" si="456"/>
        <v>22.170849845882874</v>
      </c>
      <c r="L692" s="75">
        <f>K692*(1-PARAM!$C$27)*$I$5+(MOD($B692,60)=PARAM!$B$56)*($B692&gt;(60-PARAM!$B$56))*HLOOKUP(($B692+PARAM!$B$56)/12,Loyalty,2)*$F$1*MAX(N691,0)</f>
        <v>18.557001321003963</v>
      </c>
      <c r="M692" s="75">
        <f>PARAM!$C$26+MAX($G$5-CHOOSE(PARAM!$B$44,MAX(0,N691*$F$1),0),0)*RATES!$L668/12+$H$5*(PARAM!$D$51/12)*RATES!$N668/100</f>
        <v>464.41666666666674</v>
      </c>
      <c r="N692" s="16">
        <f t="shared" si="457"/>
        <v>-53594.168812414689</v>
      </c>
      <c r="O692" s="15">
        <f t="shared" si="458"/>
        <v>22.170849845882874</v>
      </c>
      <c r="P692" s="75">
        <f>O692*(1-PARAM!$C$27)*$I$6+(MOD($B692,60)=PARAM!$B$56)*($B692&gt;(60-PARAM!$B$56))*HLOOKUP(($B692+PARAM!$B$56)/12,Loyalty,2)*$F$1*MAX(R691,0)</f>
        <v>18.557001321003963</v>
      </c>
      <c r="Q692" s="75">
        <f>PARAM!$C$26+MAX($G$6-CHOOSE(PARAM!$B$44,MAX(0,R691*$F$1),0),0)*RATES!$L668/12+$H$6*(PARAM!$D$51/12)*RATES!$N668/100</f>
        <v>464.41666666666674</v>
      </c>
      <c r="R692" s="16">
        <f t="shared" si="459"/>
        <v>-53594.168812414689</v>
      </c>
      <c r="S692" s="15">
        <f t="shared" si="434"/>
        <v>22.170849845882874</v>
      </c>
      <c r="T692" s="75">
        <f>S692*(1-PARAM!$C$27)*$I$7+(MOD($B692,60)=PARAM!$B$56)*($B692&gt;(60-PARAM!$B$56))*HLOOKUP(($B692+PARAM!$B$56)/12,Loyalty,2)*$F$1*MAX(V691,0)</f>
        <v>18.557001321003963</v>
      </c>
      <c r="U692" s="75">
        <f>PARAM!$C$26+MAX($G$7-CHOOSE(PARAM!$B$44,MAX(0,V691*$F$1),0),0)*RATES!$L668/12+$H$7*(PARAM!$D$51/12)*RATES!$N668/100</f>
        <v>464.41666666666674</v>
      </c>
      <c r="V692" s="16">
        <f t="shared" si="460"/>
        <v>-53594.168812414689</v>
      </c>
      <c r="W692" s="15">
        <f t="shared" si="435"/>
        <v>22.170849845882874</v>
      </c>
      <c r="X692" s="75">
        <f>W692*(1-PARAM!$C$27)*$I$8+(MOD($B692,60)=PARAM!$B$56)*($B692&gt;(60-PARAM!$B$56))*HLOOKUP(($B692+PARAM!$B$56)/12,Loyalty,2)*$F$1*MAX(Z691,0)</f>
        <v>18.557001321003963</v>
      </c>
      <c r="Y692" s="75">
        <f>PARAM!$C$26+MAX($G$8-CHOOSE(PARAM!$B$44,MAX(0,Z691*$F$1),0),0)*RATES!$L668/12+$H$8*(PARAM!$D$51/12)*RATES!$N668/100</f>
        <v>464.41666666666674</v>
      </c>
      <c r="Z692" s="16">
        <f t="shared" si="461"/>
        <v>-53594.168812414689</v>
      </c>
      <c r="AA692" s="15">
        <f t="shared" si="436"/>
        <v>22.170849845882874</v>
      </c>
      <c r="AB692" s="75">
        <f>AA692*(1-PARAM!$C$27)*$I$9+(MOD($B692,60)=PARAM!$B$56)*($B692&gt;(60-PARAM!$B$56))*HLOOKUP(($B692+PARAM!$B$56)/12,Loyalty,2)*$F$1*MAX(AD691,0)</f>
        <v>18.557001321003963</v>
      </c>
      <c r="AC692" s="75">
        <f>PARAM!$C$26+MAX($G$9-CHOOSE(PARAM!$B$44,MAX(0,AD691*$F$1),0),0)*RATES!$L668/12+$H$9*(PARAM!$D$51/12)*RATES!$N668/100</f>
        <v>464.41666666666674</v>
      </c>
      <c r="AD692" s="16">
        <f t="shared" si="462"/>
        <v>-53594.168812414689</v>
      </c>
      <c r="AE692" s="15">
        <f t="shared" si="437"/>
        <v>22.170849845882874</v>
      </c>
      <c r="AF692" s="75">
        <f>AE692*(1-PARAM!$C$27)*$I$10+(MOD($B692,60)=PARAM!$B$56)*($B692&gt;(60-PARAM!$B$56))*HLOOKUP(($B692+PARAM!$B$56)/12,Loyalty,2)*$F$1*MAX(AH691,0)</f>
        <v>18.557001321003963</v>
      </c>
      <c r="AG692" s="75">
        <f>PARAM!$C$26+MAX($G$10-CHOOSE(PARAM!$B$44,MAX(0,AH691*$F$1),0),0)*RATES!$L668/12+$H$10*(PARAM!$D$51/12)*RATES!$N668/100</f>
        <v>464.41666666666674</v>
      </c>
      <c r="AH692" s="16">
        <f t="shared" si="463"/>
        <v>-53594.168812414689</v>
      </c>
      <c r="AI692" s="15">
        <f t="shared" si="438"/>
        <v>22.170849845882874</v>
      </c>
      <c r="AJ692" s="75">
        <f>AI692*(1-PARAM!$C$27)*$I$11+(MOD($B692,60)=PARAM!$B$56)*($B692&gt;(60-PARAM!$B$56))*HLOOKUP(($B692+PARAM!$B$56)/12,Loyalty,2)*$F$1*MAX(AL691,0)</f>
        <v>18.557001321003963</v>
      </c>
      <c r="AK692" s="75">
        <f>PARAM!$C$26+MAX($G$11-CHOOSE(PARAM!$B$44,MAX(0,AL691*$F$1),0),0)*RATES!$L668/12+$H$11*(PARAM!$D$51/12)*RATES!$N668/100</f>
        <v>464.41666666666674</v>
      </c>
      <c r="AL692" s="16">
        <f t="shared" si="464"/>
        <v>-53594.168812414689</v>
      </c>
      <c r="AM692" s="15">
        <f t="shared" si="439"/>
        <v>22.170849845882874</v>
      </c>
      <c r="AN692" s="75">
        <f>AM692*(1-PARAM!$C$27)*$I$12+(MOD($B692,60)=PARAM!$B$56)*($B692&gt;(60-PARAM!$B$56))*HLOOKUP(($B692+PARAM!$B$56)/12,Loyalty,2)*$F$1*MAX(AP691,0)</f>
        <v>18.557001321003963</v>
      </c>
      <c r="AO692" s="75">
        <f>PARAM!$C$26+MAX($G$12-CHOOSE(PARAM!$B$44,MAX(0,AP691*$F$1),0),0)*RATES!$L668/12+$H$12*(PARAM!$D$51/12)*RATES!$N668/100</f>
        <v>464.41666666666674</v>
      </c>
      <c r="AP692" s="16">
        <f t="shared" si="465"/>
        <v>-53594.168812414689</v>
      </c>
      <c r="AQ692" s="15">
        <f t="shared" si="440"/>
        <v>22.170849845882874</v>
      </c>
      <c r="AR692" s="75">
        <f>AQ692*(1-PARAM!$C$27)*$I$13+(MOD($B692,60)=PARAM!$B$56)*($B692&gt;(60-PARAM!$B$56))*HLOOKUP(($B692+PARAM!$B$56)/12,Loyalty,2)*$F$1*MAX(AT691,0)</f>
        <v>18.557001321003963</v>
      </c>
      <c r="AS692" s="75">
        <f>PARAM!$C$26+MAX($G$13-CHOOSE(PARAM!$B$44,MAX(0,AT691*$F$1),0),0)*RATES!$L668/12+$H$13*(PARAM!$D$51/12)*RATES!$N668/100</f>
        <v>464.41666666666674</v>
      </c>
      <c r="AT692" s="16">
        <f t="shared" si="466"/>
        <v>-53594.168812414689</v>
      </c>
      <c r="AU692" s="15">
        <f t="shared" si="441"/>
        <v>22.170849845882874</v>
      </c>
      <c r="AV692" s="75">
        <f>AU692*(1-PARAM!$C$27)*$I$14+(MOD($B692,60)=PARAM!$B$56)*($B692&gt;(60-PARAM!$B$56))*HLOOKUP(($B692+PARAM!$B$56)/12,Loyalty,2)*$F$1*MAX(AX691,0)</f>
        <v>18.557001321003963</v>
      </c>
      <c r="AW692" s="75">
        <f>PARAM!$C$26+MAX($G$14-CHOOSE(PARAM!$B$44,MAX(0,AX691*$F$1),0),0)*RATES!$L668/12+$H$14*(PARAM!$D$51/12)*RATES!$N668/100</f>
        <v>464.41666666666674</v>
      </c>
      <c r="AX692" s="16">
        <f t="shared" si="467"/>
        <v>-53594.168812414689</v>
      </c>
      <c r="AY692" s="15">
        <f t="shared" si="442"/>
        <v>22.170849845882874</v>
      </c>
      <c r="AZ692" s="75">
        <f>AY692*(1-PARAM!$C$27)*$I$15+(MOD($B692,60)=PARAM!$B$56)*($B692&gt;(60-PARAM!$B$56))*HLOOKUP(($B692+PARAM!$B$56)/12,Loyalty,2)*$F$1*MAX(BB691,0)</f>
        <v>18.557001321003963</v>
      </c>
      <c r="BA692" s="75">
        <f>PARAM!$C$26+MAX($G$15-CHOOSE(PARAM!$B$44,MAX(0,BB691*$F$1),0),0)*RATES!$L668/12+$H$15*(PARAM!$D$51/12)*RATES!$N668/100</f>
        <v>464.41666666666674</v>
      </c>
      <c r="BB692" s="16">
        <f t="shared" si="468"/>
        <v>-53594.168812414689</v>
      </c>
      <c r="BC692" s="15">
        <f t="shared" si="443"/>
        <v>22.170849845882874</v>
      </c>
      <c r="BD692" s="75">
        <f>BC692*(1-PARAM!$C$27)*$I$16+(MOD($B692,60)=PARAM!$B$56)*($B692&gt;(60-PARAM!$B$56))*HLOOKUP(($B692+PARAM!$B$56)/12,Loyalty,2)*$F$1*MAX(BF691,0)</f>
        <v>18.557001321003963</v>
      </c>
      <c r="BE692" s="75">
        <f>PARAM!$C$26+MAX($G$16-CHOOSE(PARAM!$B$44,MAX(0,BF691*$F$1),0),0)*RATES!$L668/12+$H$16*(PARAM!$D$51/12)*RATES!$N668/100</f>
        <v>464.41666666666674</v>
      </c>
      <c r="BF692" s="16">
        <f t="shared" si="469"/>
        <v>-53594.168812414689</v>
      </c>
      <c r="BG692" s="15">
        <f t="shared" si="444"/>
        <v>22.170849845882874</v>
      </c>
      <c r="BH692" s="75">
        <f>BG692*(1-PARAM!$C$27)*$I$17+(MOD($B692,60)=PARAM!$B$56)*($B692&gt;(60-PARAM!$B$56))*HLOOKUP(($B692+PARAM!$B$56)/12,Loyalty,2)*$F$1*MAX(BJ691,0)</f>
        <v>18.557001321003963</v>
      </c>
      <c r="BI692" s="75">
        <f>PARAM!$C$26+MAX($G$17-CHOOSE(PARAM!$B$44,MAX(0,BJ691*$F$1),0),0)*RATES!$L668/12+$H$17*(PARAM!$D$51/12)*RATES!$N668/100</f>
        <v>464.41666666666674</v>
      </c>
      <c r="BJ692" s="16">
        <f t="shared" si="470"/>
        <v>-53594.168812414689</v>
      </c>
      <c r="BK692" s="15">
        <f t="shared" si="445"/>
        <v>22.170849845882874</v>
      </c>
      <c r="BL692" s="75">
        <f>BK692*(1-PARAM!$C$27)*$I$18+(MOD($B692,60)=PARAM!$B$56)*($B692&gt;(60-PARAM!$B$56))*HLOOKUP(($B692+PARAM!$B$56)/12,Loyalty,2)*$F$1*MAX(BN691,0)</f>
        <v>18.557001321003963</v>
      </c>
      <c r="BM692" s="75">
        <f>PARAM!$C$26+MAX($G$18-CHOOSE(PARAM!$B$44,MAX(0,BN691*$F$1),0),0)*RATES!$L668/12+$H$18*(PARAM!$D$51/12)*RATES!$N668/100</f>
        <v>464.41666666666674</v>
      </c>
      <c r="BN692" s="16">
        <f t="shared" si="471"/>
        <v>-53594.168812414689</v>
      </c>
      <c r="BO692" s="15">
        <f t="shared" si="446"/>
        <v>22.170849845882874</v>
      </c>
      <c r="BP692" s="75">
        <f>BO692*(1-PARAM!$C$27)*$I$19+(MOD($B692,60)=PARAM!$B$56)*($B692&gt;(60-PARAM!$B$56))*HLOOKUP(($B692+PARAM!$B$56)/12,Loyalty,2)*$F$1*MAX(BR691,0)</f>
        <v>18.557001321003963</v>
      </c>
      <c r="BQ692" s="75">
        <f>PARAM!$C$26+MAX($G$19-CHOOSE(PARAM!$B$44,MAX(0,BR691*$F$1),0),0)*RATES!$L668/12+$H$19*(PARAM!$D$51/12)*RATES!$N668/100</f>
        <v>464.41666666666674</v>
      </c>
      <c r="BR692" s="16">
        <f t="shared" si="472"/>
        <v>-53594.168812414689</v>
      </c>
      <c r="BS692" s="15">
        <f t="shared" si="447"/>
        <v>22.170849845882874</v>
      </c>
      <c r="BT692" s="75">
        <f>BS692*(1-PARAM!$C$27)*$I$20+(MOD($B692,60)=PARAM!$B$56)*($B692&gt;(60-PARAM!$B$56))*HLOOKUP(($B692+PARAM!$B$56)/12,Loyalty,2)*$F$1*MAX(BV691,0)</f>
        <v>18.557001321003963</v>
      </c>
      <c r="BU692" s="75">
        <f>PARAM!$C$26+MAX($G$20-CHOOSE(PARAM!$B$44,MAX(0,BV691*$F$1),0),0)*RATES!$L668/12+$H$20*(PARAM!$D$51/12)*RATES!$N668/100</f>
        <v>464.41666666666674</v>
      </c>
      <c r="BV692" s="16">
        <f t="shared" si="473"/>
        <v>-53594.168812414689</v>
      </c>
      <c r="BW692" s="15">
        <f t="shared" si="448"/>
        <v>22.170849845882874</v>
      </c>
      <c r="BX692" s="75">
        <f>BW692*(1-PARAM!$C$27)*$I$21+(MOD($B692,60)=PARAM!$B$56)*($B692&gt;(60-PARAM!$B$56))*HLOOKUP(($B692+PARAM!$B$56)/12,Loyalty,2)*$F$1*MAX(BZ691,0)</f>
        <v>18.557001321003963</v>
      </c>
      <c r="BY692" s="75">
        <f>PARAM!$C$26+MAX($G$21-CHOOSE(PARAM!$B$44,MAX(0,BZ691*$F$1),0),0)*RATES!$L668/12+$H$21*(PARAM!$D$51/12)*RATES!$N668/100</f>
        <v>464.41666666666674</v>
      </c>
      <c r="BZ692" s="16">
        <f t="shared" si="474"/>
        <v>-53594.168812414689</v>
      </c>
      <c r="CA692" s="15">
        <f t="shared" si="449"/>
        <v>22.170849845882874</v>
      </c>
      <c r="CB692" s="75">
        <f>CA692*(1-PARAM!$C$27)*$I$22+(MOD($B692,60)=PARAM!$B$56)*($B692&gt;(60-PARAM!$B$56))*HLOOKUP(($B692+PARAM!$B$56)/12,Loyalty,2)*$F$1*MAX(CD691,0)</f>
        <v>18.557001321003963</v>
      </c>
      <c r="CC692" s="75">
        <f>PARAM!$C$26+MAX($G$22-CHOOSE(PARAM!$B$44,MAX(0,CD691*$F$1),0),0)*RATES!$L668/12+$H$22*(PARAM!$D$51/12)*RATES!$N668/100</f>
        <v>464.41666666666674</v>
      </c>
      <c r="CD692" s="16">
        <f t="shared" si="475"/>
        <v>-53594.168812414689</v>
      </c>
      <c r="CE692" s="33">
        <f>IF(0=MOD(B692,12/PARAM!$D$51),1,0)</f>
        <v>1</v>
      </c>
      <c r="CF692" s="15">
        <f t="shared" si="450"/>
        <v>0</v>
      </c>
      <c r="CG692" s="75">
        <f>CF692*(1-PARAM!$C$27)*$R$3+(MOD($B692/12,5)=0)*($B692&gt;60)*HLOOKUP($B692/12,Loyalty,2)*$F$1*MAX(CI691,0)</f>
        <v>0</v>
      </c>
      <c r="CH692" s="75">
        <f>PARAM!$C$26+MAX($P$3-CHOOSE(PARAM!$B$44,MAX(0,CI691*$F$1),0),0)*RATES!$L668/12+$Q$3*(PARAM!$D$51/12)*RATES!$N668/100</f>
        <v>464.41666666666674</v>
      </c>
      <c r="CI692" s="16">
        <f>IF(CI691&gt;0,CI691*PARAM!$C$53,CI691)+CG692-CH692</f>
        <v>-65815</v>
      </c>
      <c r="CJ692" s="15">
        <f t="shared" si="476"/>
        <v>0</v>
      </c>
      <c r="CK692" s="75">
        <f>CJ692*(1-PARAM!$C$27)*$R$4+(MOD($B692/12,5)=0)*($B692&gt;60)*HLOOKUP($B692/12,Loyalty,2)*$F$1*MAX(CM691,0)</f>
        <v>0</v>
      </c>
      <c r="CL692" s="75">
        <f>PARAM!$C$26+MAX($P$4-CHOOSE(PARAM!$B$44,MAX(0,CM691*$F$1),0),0)*RATES!$L668/12+$Q$4*(PARAM!$D$51/12)*RATES!$N668/100</f>
        <v>464.41666666666674</v>
      </c>
      <c r="CM692" s="16">
        <f>IF(CM691&gt;0,CM691*PARAM!$C$53,CM691)+CK692-CL692</f>
        <v>-65815</v>
      </c>
      <c r="CO692" s="176"/>
    </row>
    <row r="693" spans="1:93" x14ac:dyDescent="0.2">
      <c r="A693" t="b">
        <f t="shared" si="451"/>
        <v>0</v>
      </c>
      <c r="B693" s="33">
        <v>666</v>
      </c>
      <c r="C693" s="15">
        <f t="shared" si="452"/>
        <v>20.081305947392778</v>
      </c>
      <c r="D693" s="75">
        <f>C693*(1-PARAM!$C$27)*$I$3+(MOD($B693,60)=PARAM!$B$56)*($B693&gt;(60-PARAM!$B$56))*HLOOKUP(($B693+PARAM!$B$56)/12,Loyalty,2)*$F$1*MAX(F692,0)</f>
        <v>16.808053077967756</v>
      </c>
      <c r="E693" s="75">
        <f>PARAM!$C$26+MAX($G$3-CHOOSE(PARAM!$B$44,MAX(0,F692*$F$1),0),0)*RATES!$L669/12+$H$3*(PARAM!$D$51/12)*RATES!$N669/100</f>
        <v>503.91666666666669</v>
      </c>
      <c r="F693" s="16">
        <f t="shared" si="453"/>
        <v>-55281.178508143901</v>
      </c>
      <c r="G693" s="15">
        <f t="shared" si="454"/>
        <v>22.035289406060361</v>
      </c>
      <c r="H693" s="75">
        <f>G693*(1-PARAM!$C$27)*$I$4+(MOD($B693,60)=PARAM!$B$56)*($B693&gt;(60-PARAM!$B$56))*HLOOKUP(($B693+PARAM!$B$56)/12,Loyalty,2)*$F$1*MAX(J692,0)</f>
        <v>18.443537232872522</v>
      </c>
      <c r="I693" s="75">
        <f>PARAM!$C$26+MAX($G$4-CHOOSE(PARAM!$B$44,MAX(0,J692*$F$1),0),0)*RATES!$L669/12+$H$4*(PARAM!$D$51/12)*RATES!$N669/100</f>
        <v>503.91666666666669</v>
      </c>
      <c r="J693" s="16">
        <f t="shared" si="455"/>
        <v>-54158.113096855544</v>
      </c>
      <c r="K693" s="15">
        <f t="shared" si="456"/>
        <v>22.170849845882874</v>
      </c>
      <c r="L693" s="75">
        <f>K693*(1-PARAM!$C$27)*$I$5+(MOD($B693,60)=PARAM!$B$56)*($B693&gt;(60-PARAM!$B$56))*HLOOKUP(($B693+PARAM!$B$56)/12,Loyalty,2)*$F$1*MAX(N692,0)</f>
        <v>18.557001321003963</v>
      </c>
      <c r="M693" s="75">
        <f>PARAM!$C$26+MAX($G$5-CHOOSE(PARAM!$B$44,MAX(0,N692*$F$1),0),0)*RATES!$L669/12+$H$5*(PARAM!$D$51/12)*RATES!$N669/100</f>
        <v>503.91666666666669</v>
      </c>
      <c r="N693" s="16">
        <f t="shared" si="457"/>
        <v>-54079.528477760352</v>
      </c>
      <c r="O693" s="15">
        <f t="shared" si="458"/>
        <v>22.170849845882874</v>
      </c>
      <c r="P693" s="75">
        <f>O693*(1-PARAM!$C$27)*$I$6+(MOD($B693,60)=PARAM!$B$56)*($B693&gt;(60-PARAM!$B$56))*HLOOKUP(($B693+PARAM!$B$56)/12,Loyalty,2)*$F$1*MAX(R692,0)</f>
        <v>18.557001321003963</v>
      </c>
      <c r="Q693" s="75">
        <f>PARAM!$C$26+MAX($G$6-CHOOSE(PARAM!$B$44,MAX(0,R692*$F$1),0),0)*RATES!$L669/12+$H$6*(PARAM!$D$51/12)*RATES!$N669/100</f>
        <v>503.91666666666669</v>
      </c>
      <c r="R693" s="16">
        <f t="shared" si="459"/>
        <v>-54079.528477760352</v>
      </c>
      <c r="S693" s="15">
        <f t="shared" si="434"/>
        <v>22.170849845882874</v>
      </c>
      <c r="T693" s="75">
        <f>S693*(1-PARAM!$C$27)*$I$7+(MOD($B693,60)=PARAM!$B$56)*($B693&gt;(60-PARAM!$B$56))*HLOOKUP(($B693+PARAM!$B$56)/12,Loyalty,2)*$F$1*MAX(V692,0)</f>
        <v>18.557001321003963</v>
      </c>
      <c r="U693" s="75">
        <f>PARAM!$C$26+MAX($G$7-CHOOSE(PARAM!$B$44,MAX(0,V692*$F$1),0),0)*RATES!$L669/12+$H$7*(PARAM!$D$51/12)*RATES!$N669/100</f>
        <v>503.91666666666669</v>
      </c>
      <c r="V693" s="16">
        <f t="shared" si="460"/>
        <v>-54079.528477760352</v>
      </c>
      <c r="W693" s="15">
        <f t="shared" si="435"/>
        <v>22.170849845882874</v>
      </c>
      <c r="X693" s="75">
        <f>W693*(1-PARAM!$C$27)*$I$8+(MOD($B693,60)=PARAM!$B$56)*($B693&gt;(60-PARAM!$B$56))*HLOOKUP(($B693+PARAM!$B$56)/12,Loyalty,2)*$F$1*MAX(Z692,0)</f>
        <v>18.557001321003963</v>
      </c>
      <c r="Y693" s="75">
        <f>PARAM!$C$26+MAX($G$8-CHOOSE(PARAM!$B$44,MAX(0,Z692*$F$1),0),0)*RATES!$L669/12+$H$8*(PARAM!$D$51/12)*RATES!$N669/100</f>
        <v>503.91666666666669</v>
      </c>
      <c r="Z693" s="16">
        <f t="shared" si="461"/>
        <v>-54079.528477760352</v>
      </c>
      <c r="AA693" s="15">
        <f t="shared" si="436"/>
        <v>22.170849845882874</v>
      </c>
      <c r="AB693" s="75">
        <f>AA693*(1-PARAM!$C$27)*$I$9+(MOD($B693,60)=PARAM!$B$56)*($B693&gt;(60-PARAM!$B$56))*HLOOKUP(($B693+PARAM!$B$56)/12,Loyalty,2)*$F$1*MAX(AD692,0)</f>
        <v>18.557001321003963</v>
      </c>
      <c r="AC693" s="75">
        <f>PARAM!$C$26+MAX($G$9-CHOOSE(PARAM!$B$44,MAX(0,AD692*$F$1),0),0)*RATES!$L669/12+$H$9*(PARAM!$D$51/12)*RATES!$N669/100</f>
        <v>503.91666666666669</v>
      </c>
      <c r="AD693" s="16">
        <f t="shared" si="462"/>
        <v>-54079.528477760352</v>
      </c>
      <c r="AE693" s="15">
        <f t="shared" si="437"/>
        <v>22.170849845882874</v>
      </c>
      <c r="AF693" s="75">
        <f>AE693*(1-PARAM!$C$27)*$I$10+(MOD($B693,60)=PARAM!$B$56)*($B693&gt;(60-PARAM!$B$56))*HLOOKUP(($B693+PARAM!$B$56)/12,Loyalty,2)*$F$1*MAX(AH692,0)</f>
        <v>18.557001321003963</v>
      </c>
      <c r="AG693" s="75">
        <f>PARAM!$C$26+MAX($G$10-CHOOSE(PARAM!$B$44,MAX(0,AH692*$F$1),0),0)*RATES!$L669/12+$H$10*(PARAM!$D$51/12)*RATES!$N669/100</f>
        <v>503.91666666666669</v>
      </c>
      <c r="AH693" s="16">
        <f t="shared" si="463"/>
        <v>-54079.528477760352</v>
      </c>
      <c r="AI693" s="15">
        <f t="shared" si="438"/>
        <v>22.170849845882874</v>
      </c>
      <c r="AJ693" s="75">
        <f>AI693*(1-PARAM!$C$27)*$I$11+(MOD($B693,60)=PARAM!$B$56)*($B693&gt;(60-PARAM!$B$56))*HLOOKUP(($B693+PARAM!$B$56)/12,Loyalty,2)*$F$1*MAX(AL692,0)</f>
        <v>18.557001321003963</v>
      </c>
      <c r="AK693" s="75">
        <f>PARAM!$C$26+MAX($G$11-CHOOSE(PARAM!$B$44,MAX(0,AL692*$F$1),0),0)*RATES!$L669/12+$H$11*(PARAM!$D$51/12)*RATES!$N669/100</f>
        <v>503.91666666666669</v>
      </c>
      <c r="AL693" s="16">
        <f t="shared" si="464"/>
        <v>-54079.528477760352</v>
      </c>
      <c r="AM693" s="15">
        <f t="shared" si="439"/>
        <v>22.170849845882874</v>
      </c>
      <c r="AN693" s="75">
        <f>AM693*(1-PARAM!$C$27)*$I$12+(MOD($B693,60)=PARAM!$B$56)*($B693&gt;(60-PARAM!$B$56))*HLOOKUP(($B693+PARAM!$B$56)/12,Loyalty,2)*$F$1*MAX(AP692,0)</f>
        <v>18.557001321003963</v>
      </c>
      <c r="AO693" s="75">
        <f>PARAM!$C$26+MAX($G$12-CHOOSE(PARAM!$B$44,MAX(0,AP692*$F$1),0),0)*RATES!$L669/12+$H$12*(PARAM!$D$51/12)*RATES!$N669/100</f>
        <v>503.91666666666669</v>
      </c>
      <c r="AP693" s="16">
        <f t="shared" si="465"/>
        <v>-54079.528477760352</v>
      </c>
      <c r="AQ693" s="15">
        <f t="shared" si="440"/>
        <v>22.170849845882874</v>
      </c>
      <c r="AR693" s="75">
        <f>AQ693*(1-PARAM!$C$27)*$I$13+(MOD($B693,60)=PARAM!$B$56)*($B693&gt;(60-PARAM!$B$56))*HLOOKUP(($B693+PARAM!$B$56)/12,Loyalty,2)*$F$1*MAX(AT692,0)</f>
        <v>18.557001321003963</v>
      </c>
      <c r="AS693" s="75">
        <f>PARAM!$C$26+MAX($G$13-CHOOSE(PARAM!$B$44,MAX(0,AT692*$F$1),0),0)*RATES!$L669/12+$H$13*(PARAM!$D$51/12)*RATES!$N669/100</f>
        <v>503.91666666666669</v>
      </c>
      <c r="AT693" s="16">
        <f t="shared" si="466"/>
        <v>-54079.528477760352</v>
      </c>
      <c r="AU693" s="15">
        <f t="shared" si="441"/>
        <v>22.170849845882874</v>
      </c>
      <c r="AV693" s="75">
        <f>AU693*(1-PARAM!$C$27)*$I$14+(MOD($B693,60)=PARAM!$B$56)*($B693&gt;(60-PARAM!$B$56))*HLOOKUP(($B693+PARAM!$B$56)/12,Loyalty,2)*$F$1*MAX(AX692,0)</f>
        <v>18.557001321003963</v>
      </c>
      <c r="AW693" s="75">
        <f>PARAM!$C$26+MAX($G$14-CHOOSE(PARAM!$B$44,MAX(0,AX692*$F$1),0),0)*RATES!$L669/12+$H$14*(PARAM!$D$51/12)*RATES!$N669/100</f>
        <v>503.91666666666669</v>
      </c>
      <c r="AX693" s="16">
        <f t="shared" si="467"/>
        <v>-54079.528477760352</v>
      </c>
      <c r="AY693" s="15">
        <f t="shared" si="442"/>
        <v>22.170849845882874</v>
      </c>
      <c r="AZ693" s="75">
        <f>AY693*(1-PARAM!$C$27)*$I$15+(MOD($B693,60)=PARAM!$B$56)*($B693&gt;(60-PARAM!$B$56))*HLOOKUP(($B693+PARAM!$B$56)/12,Loyalty,2)*$F$1*MAX(BB692,0)</f>
        <v>18.557001321003963</v>
      </c>
      <c r="BA693" s="75">
        <f>PARAM!$C$26+MAX($G$15-CHOOSE(PARAM!$B$44,MAX(0,BB692*$F$1),0),0)*RATES!$L669/12+$H$15*(PARAM!$D$51/12)*RATES!$N669/100</f>
        <v>503.91666666666669</v>
      </c>
      <c r="BB693" s="16">
        <f t="shared" si="468"/>
        <v>-54079.528477760352</v>
      </c>
      <c r="BC693" s="15">
        <f t="shared" si="443"/>
        <v>22.170849845882874</v>
      </c>
      <c r="BD693" s="75">
        <f>BC693*(1-PARAM!$C$27)*$I$16+(MOD($B693,60)=PARAM!$B$56)*($B693&gt;(60-PARAM!$B$56))*HLOOKUP(($B693+PARAM!$B$56)/12,Loyalty,2)*$F$1*MAX(BF692,0)</f>
        <v>18.557001321003963</v>
      </c>
      <c r="BE693" s="75">
        <f>PARAM!$C$26+MAX($G$16-CHOOSE(PARAM!$B$44,MAX(0,BF692*$F$1),0),0)*RATES!$L669/12+$H$16*(PARAM!$D$51/12)*RATES!$N669/100</f>
        <v>503.91666666666669</v>
      </c>
      <c r="BF693" s="16">
        <f t="shared" si="469"/>
        <v>-54079.528477760352</v>
      </c>
      <c r="BG693" s="15">
        <f t="shared" si="444"/>
        <v>22.170849845882874</v>
      </c>
      <c r="BH693" s="75">
        <f>BG693*(1-PARAM!$C$27)*$I$17+(MOD($B693,60)=PARAM!$B$56)*($B693&gt;(60-PARAM!$B$56))*HLOOKUP(($B693+PARAM!$B$56)/12,Loyalty,2)*$F$1*MAX(BJ692,0)</f>
        <v>18.557001321003963</v>
      </c>
      <c r="BI693" s="75">
        <f>PARAM!$C$26+MAX($G$17-CHOOSE(PARAM!$B$44,MAX(0,BJ692*$F$1),0),0)*RATES!$L669/12+$H$17*(PARAM!$D$51/12)*RATES!$N669/100</f>
        <v>503.91666666666669</v>
      </c>
      <c r="BJ693" s="16">
        <f t="shared" si="470"/>
        <v>-54079.528477760352</v>
      </c>
      <c r="BK693" s="15">
        <f t="shared" si="445"/>
        <v>22.170849845882874</v>
      </c>
      <c r="BL693" s="75">
        <f>BK693*(1-PARAM!$C$27)*$I$18+(MOD($B693,60)=PARAM!$B$56)*($B693&gt;(60-PARAM!$B$56))*HLOOKUP(($B693+PARAM!$B$56)/12,Loyalty,2)*$F$1*MAX(BN692,0)</f>
        <v>18.557001321003963</v>
      </c>
      <c r="BM693" s="75">
        <f>PARAM!$C$26+MAX($G$18-CHOOSE(PARAM!$B$44,MAX(0,BN692*$F$1),0),0)*RATES!$L669/12+$H$18*(PARAM!$D$51/12)*RATES!$N669/100</f>
        <v>503.91666666666669</v>
      </c>
      <c r="BN693" s="16">
        <f t="shared" si="471"/>
        <v>-54079.528477760352</v>
      </c>
      <c r="BO693" s="15">
        <f t="shared" si="446"/>
        <v>22.170849845882874</v>
      </c>
      <c r="BP693" s="75">
        <f>BO693*(1-PARAM!$C$27)*$I$19+(MOD($B693,60)=PARAM!$B$56)*($B693&gt;(60-PARAM!$B$56))*HLOOKUP(($B693+PARAM!$B$56)/12,Loyalty,2)*$F$1*MAX(BR692,0)</f>
        <v>18.557001321003963</v>
      </c>
      <c r="BQ693" s="75">
        <f>PARAM!$C$26+MAX($G$19-CHOOSE(PARAM!$B$44,MAX(0,BR692*$F$1),0),0)*RATES!$L669/12+$H$19*(PARAM!$D$51/12)*RATES!$N669/100</f>
        <v>503.91666666666669</v>
      </c>
      <c r="BR693" s="16">
        <f t="shared" si="472"/>
        <v>-54079.528477760352</v>
      </c>
      <c r="BS693" s="15">
        <f t="shared" si="447"/>
        <v>22.170849845882874</v>
      </c>
      <c r="BT693" s="75">
        <f>BS693*(1-PARAM!$C$27)*$I$20+(MOD($B693,60)=PARAM!$B$56)*($B693&gt;(60-PARAM!$B$56))*HLOOKUP(($B693+PARAM!$B$56)/12,Loyalty,2)*$F$1*MAX(BV692,0)</f>
        <v>18.557001321003963</v>
      </c>
      <c r="BU693" s="75">
        <f>PARAM!$C$26+MAX($G$20-CHOOSE(PARAM!$B$44,MAX(0,BV692*$F$1),0),0)*RATES!$L669/12+$H$20*(PARAM!$D$51/12)*RATES!$N669/100</f>
        <v>503.91666666666669</v>
      </c>
      <c r="BV693" s="16">
        <f t="shared" si="473"/>
        <v>-54079.528477760352</v>
      </c>
      <c r="BW693" s="15">
        <f t="shared" si="448"/>
        <v>22.170849845882874</v>
      </c>
      <c r="BX693" s="75">
        <f>BW693*(1-PARAM!$C$27)*$I$21+(MOD($B693,60)=PARAM!$B$56)*($B693&gt;(60-PARAM!$B$56))*HLOOKUP(($B693+PARAM!$B$56)/12,Loyalty,2)*$F$1*MAX(BZ692,0)</f>
        <v>18.557001321003963</v>
      </c>
      <c r="BY693" s="75">
        <f>PARAM!$C$26+MAX($G$21-CHOOSE(PARAM!$B$44,MAX(0,BZ692*$F$1),0),0)*RATES!$L669/12+$H$21*(PARAM!$D$51/12)*RATES!$N669/100</f>
        <v>503.91666666666669</v>
      </c>
      <c r="BZ693" s="16">
        <f t="shared" si="474"/>
        <v>-54079.528477760352</v>
      </c>
      <c r="CA693" s="15">
        <f t="shared" si="449"/>
        <v>22.170849845882874</v>
      </c>
      <c r="CB693" s="75">
        <f>CA693*(1-PARAM!$C$27)*$I$22+(MOD($B693,60)=PARAM!$B$56)*($B693&gt;(60-PARAM!$B$56))*HLOOKUP(($B693+PARAM!$B$56)/12,Loyalty,2)*$F$1*MAX(CD692,0)</f>
        <v>18.557001321003963</v>
      </c>
      <c r="CC693" s="75">
        <f>PARAM!$C$26+MAX($G$22-CHOOSE(PARAM!$B$44,MAX(0,CD692*$F$1),0),0)*RATES!$L669/12+$H$22*(PARAM!$D$51/12)*RATES!$N669/100</f>
        <v>503.91666666666669</v>
      </c>
      <c r="CD693" s="16">
        <f t="shared" si="475"/>
        <v>-54079.528477760352</v>
      </c>
      <c r="CE693" s="33">
        <f>IF(0=MOD(B693,12/PARAM!$D$51),1,0)</f>
        <v>1</v>
      </c>
      <c r="CF693" s="15">
        <f t="shared" si="450"/>
        <v>0</v>
      </c>
      <c r="CG693" s="75">
        <f>CF693*(1-PARAM!$C$27)*$R$3+(MOD($B693/12,5)=0)*($B693&gt;60)*HLOOKUP($B693/12,Loyalty,2)*$F$1*MAX(CI692,0)</f>
        <v>0</v>
      </c>
      <c r="CH693" s="75">
        <f>PARAM!$C$26+MAX($P$3-CHOOSE(PARAM!$B$44,MAX(0,CI692*$F$1),0),0)*RATES!$L669/12+$Q$3*(PARAM!$D$51/12)*RATES!$N669/100</f>
        <v>503.91666666666669</v>
      </c>
      <c r="CI693" s="16">
        <f>IF(CI692&gt;0,CI692*PARAM!$C$53,CI692)+CG693-CH693</f>
        <v>-66318.916666666672</v>
      </c>
      <c r="CJ693" s="15">
        <f t="shared" si="476"/>
        <v>0</v>
      </c>
      <c r="CK693" s="75">
        <f>CJ693*(1-PARAM!$C$27)*$R$4+(MOD($B693/12,5)=0)*($B693&gt;60)*HLOOKUP($B693/12,Loyalty,2)*$F$1*MAX(CM692,0)</f>
        <v>0</v>
      </c>
      <c r="CL693" s="75">
        <f>PARAM!$C$26+MAX($P$4-CHOOSE(PARAM!$B$44,MAX(0,CM692*$F$1),0),0)*RATES!$L669/12+$Q$4*(PARAM!$D$51/12)*RATES!$N669/100</f>
        <v>503.91666666666669</v>
      </c>
      <c r="CM693" s="16">
        <f>IF(CM692&gt;0,CM692*PARAM!$C$53,CM692)+CK693-CL693</f>
        <v>-66318.916666666672</v>
      </c>
      <c r="CO693" s="176"/>
    </row>
    <row r="694" spans="1:93" x14ac:dyDescent="0.2">
      <c r="A694" t="b">
        <f t="shared" si="451"/>
        <v>0</v>
      </c>
      <c r="B694" s="33">
        <v>667</v>
      </c>
      <c r="C694" s="15">
        <f t="shared" si="452"/>
        <v>20.081305947392778</v>
      </c>
      <c r="D694" s="75">
        <f>C694*(1-PARAM!$C$27)*$I$3+(MOD($B694,60)=PARAM!$B$56)*($B694&gt;(60-PARAM!$B$56))*HLOOKUP(($B694+PARAM!$B$56)/12,Loyalty,2)*$F$1*MAX(F693,0)</f>
        <v>16.808053077967756</v>
      </c>
      <c r="E694" s="75">
        <f>PARAM!$C$26+MAX($G$3-CHOOSE(PARAM!$B$44,MAX(0,F693*$F$1),0),0)*RATES!$L670/12+$H$3*(PARAM!$D$51/12)*RATES!$N670/100</f>
        <v>503.91666666666669</v>
      </c>
      <c r="F694" s="16">
        <f t="shared" si="453"/>
        <v>-55768.287121732596</v>
      </c>
      <c r="G694" s="15">
        <f t="shared" si="454"/>
        <v>22.035289406060361</v>
      </c>
      <c r="H694" s="75">
        <f>G694*(1-PARAM!$C$27)*$I$4+(MOD($B694,60)=PARAM!$B$56)*($B694&gt;(60-PARAM!$B$56))*HLOOKUP(($B694+PARAM!$B$56)/12,Loyalty,2)*$F$1*MAX(J693,0)</f>
        <v>18.443537232872522</v>
      </c>
      <c r="I694" s="75">
        <f>PARAM!$C$26+MAX($G$4-CHOOSE(PARAM!$B$44,MAX(0,J693*$F$1),0),0)*RATES!$L670/12+$H$4*(PARAM!$D$51/12)*RATES!$N670/100</f>
        <v>503.91666666666669</v>
      </c>
      <c r="J694" s="16">
        <f t="shared" si="455"/>
        <v>-54643.586226289335</v>
      </c>
      <c r="K694" s="15">
        <f t="shared" si="456"/>
        <v>22.170849845882874</v>
      </c>
      <c r="L694" s="75">
        <f>K694*(1-PARAM!$C$27)*$I$5+(MOD($B694,60)=PARAM!$B$56)*($B694&gt;(60-PARAM!$B$56))*HLOOKUP(($B694+PARAM!$B$56)/12,Loyalty,2)*$F$1*MAX(N693,0)</f>
        <v>18.557001321003963</v>
      </c>
      <c r="M694" s="75">
        <f>PARAM!$C$26+MAX($G$5-CHOOSE(PARAM!$B$44,MAX(0,N693*$F$1),0),0)*RATES!$L670/12+$H$5*(PARAM!$D$51/12)*RATES!$N670/100</f>
        <v>503.91666666666669</v>
      </c>
      <c r="N694" s="16">
        <f t="shared" si="457"/>
        <v>-54564.888143106014</v>
      </c>
      <c r="O694" s="15">
        <f t="shared" si="458"/>
        <v>22.170849845882874</v>
      </c>
      <c r="P694" s="75">
        <f>O694*(1-PARAM!$C$27)*$I$6+(MOD($B694,60)=PARAM!$B$56)*($B694&gt;(60-PARAM!$B$56))*HLOOKUP(($B694+PARAM!$B$56)/12,Loyalty,2)*$F$1*MAX(R693,0)</f>
        <v>18.557001321003963</v>
      </c>
      <c r="Q694" s="75">
        <f>PARAM!$C$26+MAX($G$6-CHOOSE(PARAM!$B$44,MAX(0,R693*$F$1),0),0)*RATES!$L670/12+$H$6*(PARAM!$D$51/12)*RATES!$N670/100</f>
        <v>503.91666666666669</v>
      </c>
      <c r="R694" s="16">
        <f t="shared" si="459"/>
        <v>-54564.888143106014</v>
      </c>
      <c r="S694" s="15">
        <f t="shared" si="434"/>
        <v>22.170849845882874</v>
      </c>
      <c r="T694" s="75">
        <f>S694*(1-PARAM!$C$27)*$I$7+(MOD($B694,60)=PARAM!$B$56)*($B694&gt;(60-PARAM!$B$56))*HLOOKUP(($B694+PARAM!$B$56)/12,Loyalty,2)*$F$1*MAX(V693,0)</f>
        <v>18.557001321003963</v>
      </c>
      <c r="U694" s="75">
        <f>PARAM!$C$26+MAX($G$7-CHOOSE(PARAM!$B$44,MAX(0,V693*$F$1),0),0)*RATES!$L670/12+$H$7*(PARAM!$D$51/12)*RATES!$N670/100</f>
        <v>503.91666666666669</v>
      </c>
      <c r="V694" s="16">
        <f t="shared" si="460"/>
        <v>-54564.888143106014</v>
      </c>
      <c r="W694" s="15">
        <f t="shared" si="435"/>
        <v>22.170849845882874</v>
      </c>
      <c r="X694" s="75">
        <f>W694*(1-PARAM!$C$27)*$I$8+(MOD($B694,60)=PARAM!$B$56)*($B694&gt;(60-PARAM!$B$56))*HLOOKUP(($B694+PARAM!$B$56)/12,Loyalty,2)*$F$1*MAX(Z693,0)</f>
        <v>18.557001321003963</v>
      </c>
      <c r="Y694" s="75">
        <f>PARAM!$C$26+MAX($G$8-CHOOSE(PARAM!$B$44,MAX(0,Z693*$F$1),0),0)*RATES!$L670/12+$H$8*(PARAM!$D$51/12)*RATES!$N670/100</f>
        <v>503.91666666666669</v>
      </c>
      <c r="Z694" s="16">
        <f t="shared" si="461"/>
        <v>-54564.888143106014</v>
      </c>
      <c r="AA694" s="15">
        <f t="shared" si="436"/>
        <v>22.170849845882874</v>
      </c>
      <c r="AB694" s="75">
        <f>AA694*(1-PARAM!$C$27)*$I$9+(MOD($B694,60)=PARAM!$B$56)*($B694&gt;(60-PARAM!$B$56))*HLOOKUP(($B694+PARAM!$B$56)/12,Loyalty,2)*$F$1*MAX(AD693,0)</f>
        <v>18.557001321003963</v>
      </c>
      <c r="AC694" s="75">
        <f>PARAM!$C$26+MAX($G$9-CHOOSE(PARAM!$B$44,MAX(0,AD693*$F$1),0),0)*RATES!$L670/12+$H$9*(PARAM!$D$51/12)*RATES!$N670/100</f>
        <v>503.91666666666669</v>
      </c>
      <c r="AD694" s="16">
        <f t="shared" si="462"/>
        <v>-54564.888143106014</v>
      </c>
      <c r="AE694" s="15">
        <f t="shared" si="437"/>
        <v>22.170849845882874</v>
      </c>
      <c r="AF694" s="75">
        <f>AE694*(1-PARAM!$C$27)*$I$10+(MOD($B694,60)=PARAM!$B$56)*($B694&gt;(60-PARAM!$B$56))*HLOOKUP(($B694+PARAM!$B$56)/12,Loyalty,2)*$F$1*MAX(AH693,0)</f>
        <v>18.557001321003963</v>
      </c>
      <c r="AG694" s="75">
        <f>PARAM!$C$26+MAX($G$10-CHOOSE(PARAM!$B$44,MAX(0,AH693*$F$1),0),0)*RATES!$L670/12+$H$10*(PARAM!$D$51/12)*RATES!$N670/100</f>
        <v>503.91666666666669</v>
      </c>
      <c r="AH694" s="16">
        <f t="shared" si="463"/>
        <v>-54564.888143106014</v>
      </c>
      <c r="AI694" s="15">
        <f t="shared" si="438"/>
        <v>22.170849845882874</v>
      </c>
      <c r="AJ694" s="75">
        <f>AI694*(1-PARAM!$C$27)*$I$11+(MOD($B694,60)=PARAM!$B$56)*($B694&gt;(60-PARAM!$B$56))*HLOOKUP(($B694+PARAM!$B$56)/12,Loyalty,2)*$F$1*MAX(AL693,0)</f>
        <v>18.557001321003963</v>
      </c>
      <c r="AK694" s="75">
        <f>PARAM!$C$26+MAX($G$11-CHOOSE(PARAM!$B$44,MAX(0,AL693*$F$1),0),0)*RATES!$L670/12+$H$11*(PARAM!$D$51/12)*RATES!$N670/100</f>
        <v>503.91666666666669</v>
      </c>
      <c r="AL694" s="16">
        <f t="shared" si="464"/>
        <v>-54564.888143106014</v>
      </c>
      <c r="AM694" s="15">
        <f t="shared" si="439"/>
        <v>22.170849845882874</v>
      </c>
      <c r="AN694" s="75">
        <f>AM694*(1-PARAM!$C$27)*$I$12+(MOD($B694,60)=PARAM!$B$56)*($B694&gt;(60-PARAM!$B$56))*HLOOKUP(($B694+PARAM!$B$56)/12,Loyalty,2)*$F$1*MAX(AP693,0)</f>
        <v>18.557001321003963</v>
      </c>
      <c r="AO694" s="75">
        <f>PARAM!$C$26+MAX($G$12-CHOOSE(PARAM!$B$44,MAX(0,AP693*$F$1),0),0)*RATES!$L670/12+$H$12*(PARAM!$D$51/12)*RATES!$N670/100</f>
        <v>503.91666666666669</v>
      </c>
      <c r="AP694" s="16">
        <f t="shared" si="465"/>
        <v>-54564.888143106014</v>
      </c>
      <c r="AQ694" s="15">
        <f t="shared" si="440"/>
        <v>22.170849845882874</v>
      </c>
      <c r="AR694" s="75">
        <f>AQ694*(1-PARAM!$C$27)*$I$13+(MOD($B694,60)=PARAM!$B$56)*($B694&gt;(60-PARAM!$B$56))*HLOOKUP(($B694+PARAM!$B$56)/12,Loyalty,2)*$F$1*MAX(AT693,0)</f>
        <v>18.557001321003963</v>
      </c>
      <c r="AS694" s="75">
        <f>PARAM!$C$26+MAX($G$13-CHOOSE(PARAM!$B$44,MAX(0,AT693*$F$1),0),0)*RATES!$L670/12+$H$13*(PARAM!$D$51/12)*RATES!$N670/100</f>
        <v>503.91666666666669</v>
      </c>
      <c r="AT694" s="16">
        <f t="shared" si="466"/>
        <v>-54564.888143106014</v>
      </c>
      <c r="AU694" s="15">
        <f t="shared" si="441"/>
        <v>22.170849845882874</v>
      </c>
      <c r="AV694" s="75">
        <f>AU694*(1-PARAM!$C$27)*$I$14+(MOD($B694,60)=PARAM!$B$56)*($B694&gt;(60-PARAM!$B$56))*HLOOKUP(($B694+PARAM!$B$56)/12,Loyalty,2)*$F$1*MAX(AX693,0)</f>
        <v>18.557001321003963</v>
      </c>
      <c r="AW694" s="75">
        <f>PARAM!$C$26+MAX($G$14-CHOOSE(PARAM!$B$44,MAX(0,AX693*$F$1),0),0)*RATES!$L670/12+$H$14*(PARAM!$D$51/12)*RATES!$N670/100</f>
        <v>503.91666666666669</v>
      </c>
      <c r="AX694" s="16">
        <f t="shared" si="467"/>
        <v>-54564.888143106014</v>
      </c>
      <c r="AY694" s="15">
        <f t="shared" si="442"/>
        <v>22.170849845882874</v>
      </c>
      <c r="AZ694" s="75">
        <f>AY694*(1-PARAM!$C$27)*$I$15+(MOD($B694,60)=PARAM!$B$56)*($B694&gt;(60-PARAM!$B$56))*HLOOKUP(($B694+PARAM!$B$56)/12,Loyalty,2)*$F$1*MAX(BB693,0)</f>
        <v>18.557001321003963</v>
      </c>
      <c r="BA694" s="75">
        <f>PARAM!$C$26+MAX($G$15-CHOOSE(PARAM!$B$44,MAX(0,BB693*$F$1),0),0)*RATES!$L670/12+$H$15*(PARAM!$D$51/12)*RATES!$N670/100</f>
        <v>503.91666666666669</v>
      </c>
      <c r="BB694" s="16">
        <f t="shared" si="468"/>
        <v>-54564.888143106014</v>
      </c>
      <c r="BC694" s="15">
        <f t="shared" si="443"/>
        <v>22.170849845882874</v>
      </c>
      <c r="BD694" s="75">
        <f>BC694*(1-PARAM!$C$27)*$I$16+(MOD($B694,60)=PARAM!$B$56)*($B694&gt;(60-PARAM!$B$56))*HLOOKUP(($B694+PARAM!$B$56)/12,Loyalty,2)*$F$1*MAX(BF693,0)</f>
        <v>18.557001321003963</v>
      </c>
      <c r="BE694" s="75">
        <f>PARAM!$C$26+MAX($G$16-CHOOSE(PARAM!$B$44,MAX(0,BF693*$F$1),0),0)*RATES!$L670/12+$H$16*(PARAM!$D$51/12)*RATES!$N670/100</f>
        <v>503.91666666666669</v>
      </c>
      <c r="BF694" s="16">
        <f t="shared" si="469"/>
        <v>-54564.888143106014</v>
      </c>
      <c r="BG694" s="15">
        <f t="shared" si="444"/>
        <v>22.170849845882874</v>
      </c>
      <c r="BH694" s="75">
        <f>BG694*(1-PARAM!$C$27)*$I$17+(MOD($B694,60)=PARAM!$B$56)*($B694&gt;(60-PARAM!$B$56))*HLOOKUP(($B694+PARAM!$B$56)/12,Loyalty,2)*$F$1*MAX(BJ693,0)</f>
        <v>18.557001321003963</v>
      </c>
      <c r="BI694" s="75">
        <f>PARAM!$C$26+MAX($G$17-CHOOSE(PARAM!$B$44,MAX(0,BJ693*$F$1),0),0)*RATES!$L670/12+$H$17*(PARAM!$D$51/12)*RATES!$N670/100</f>
        <v>503.91666666666669</v>
      </c>
      <c r="BJ694" s="16">
        <f t="shared" si="470"/>
        <v>-54564.888143106014</v>
      </c>
      <c r="BK694" s="15">
        <f t="shared" si="445"/>
        <v>22.170849845882874</v>
      </c>
      <c r="BL694" s="75">
        <f>BK694*(1-PARAM!$C$27)*$I$18+(MOD($B694,60)=PARAM!$B$56)*($B694&gt;(60-PARAM!$B$56))*HLOOKUP(($B694+PARAM!$B$56)/12,Loyalty,2)*$F$1*MAX(BN693,0)</f>
        <v>18.557001321003963</v>
      </c>
      <c r="BM694" s="75">
        <f>PARAM!$C$26+MAX($G$18-CHOOSE(PARAM!$B$44,MAX(0,BN693*$F$1),0),0)*RATES!$L670/12+$H$18*(PARAM!$D$51/12)*RATES!$N670/100</f>
        <v>503.91666666666669</v>
      </c>
      <c r="BN694" s="16">
        <f t="shared" si="471"/>
        <v>-54564.888143106014</v>
      </c>
      <c r="BO694" s="15">
        <f t="shared" si="446"/>
        <v>22.170849845882874</v>
      </c>
      <c r="BP694" s="75">
        <f>BO694*(1-PARAM!$C$27)*$I$19+(MOD($B694,60)=PARAM!$B$56)*($B694&gt;(60-PARAM!$B$56))*HLOOKUP(($B694+PARAM!$B$56)/12,Loyalty,2)*$F$1*MAX(BR693,0)</f>
        <v>18.557001321003963</v>
      </c>
      <c r="BQ694" s="75">
        <f>PARAM!$C$26+MAX($G$19-CHOOSE(PARAM!$B$44,MAX(0,BR693*$F$1),0),0)*RATES!$L670/12+$H$19*(PARAM!$D$51/12)*RATES!$N670/100</f>
        <v>503.91666666666669</v>
      </c>
      <c r="BR694" s="16">
        <f t="shared" si="472"/>
        <v>-54564.888143106014</v>
      </c>
      <c r="BS694" s="15">
        <f t="shared" si="447"/>
        <v>22.170849845882874</v>
      </c>
      <c r="BT694" s="75">
        <f>BS694*(1-PARAM!$C$27)*$I$20+(MOD($B694,60)=PARAM!$B$56)*($B694&gt;(60-PARAM!$B$56))*HLOOKUP(($B694+PARAM!$B$56)/12,Loyalty,2)*$F$1*MAX(BV693,0)</f>
        <v>18.557001321003963</v>
      </c>
      <c r="BU694" s="75">
        <f>PARAM!$C$26+MAX($G$20-CHOOSE(PARAM!$B$44,MAX(0,BV693*$F$1),0),0)*RATES!$L670/12+$H$20*(PARAM!$D$51/12)*RATES!$N670/100</f>
        <v>503.91666666666669</v>
      </c>
      <c r="BV694" s="16">
        <f t="shared" si="473"/>
        <v>-54564.888143106014</v>
      </c>
      <c r="BW694" s="15">
        <f t="shared" si="448"/>
        <v>22.170849845882874</v>
      </c>
      <c r="BX694" s="75">
        <f>BW694*(1-PARAM!$C$27)*$I$21+(MOD($B694,60)=PARAM!$B$56)*($B694&gt;(60-PARAM!$B$56))*HLOOKUP(($B694+PARAM!$B$56)/12,Loyalty,2)*$F$1*MAX(BZ693,0)</f>
        <v>18.557001321003963</v>
      </c>
      <c r="BY694" s="75">
        <f>PARAM!$C$26+MAX($G$21-CHOOSE(PARAM!$B$44,MAX(0,BZ693*$F$1),0),0)*RATES!$L670/12+$H$21*(PARAM!$D$51/12)*RATES!$N670/100</f>
        <v>503.91666666666669</v>
      </c>
      <c r="BZ694" s="16">
        <f t="shared" si="474"/>
        <v>-54564.888143106014</v>
      </c>
      <c r="CA694" s="15">
        <f t="shared" si="449"/>
        <v>22.170849845882874</v>
      </c>
      <c r="CB694" s="75">
        <f>CA694*(1-PARAM!$C$27)*$I$22+(MOD($B694,60)=PARAM!$B$56)*($B694&gt;(60-PARAM!$B$56))*HLOOKUP(($B694+PARAM!$B$56)/12,Loyalty,2)*$F$1*MAX(CD693,0)</f>
        <v>18.557001321003963</v>
      </c>
      <c r="CC694" s="75">
        <f>PARAM!$C$26+MAX($G$22-CHOOSE(PARAM!$B$44,MAX(0,CD693*$F$1),0),0)*RATES!$L670/12+$H$22*(PARAM!$D$51/12)*RATES!$N670/100</f>
        <v>503.91666666666669</v>
      </c>
      <c r="CD694" s="16">
        <f t="shared" si="475"/>
        <v>-54564.888143106014</v>
      </c>
      <c r="CE694" s="33">
        <f>IF(0=MOD(B694,12/PARAM!$D$51),1,0)</f>
        <v>1</v>
      </c>
      <c r="CF694" s="15">
        <f t="shared" si="450"/>
        <v>0</v>
      </c>
      <c r="CG694" s="75">
        <f>CF694*(1-PARAM!$C$27)*$R$3+(MOD($B694/12,5)=0)*($B694&gt;60)*HLOOKUP($B694/12,Loyalty,2)*$F$1*MAX(CI693,0)</f>
        <v>0</v>
      </c>
      <c r="CH694" s="75">
        <f>PARAM!$C$26+MAX($P$3-CHOOSE(PARAM!$B$44,MAX(0,CI693*$F$1),0),0)*RATES!$L670/12+$Q$3*(PARAM!$D$51/12)*RATES!$N670/100</f>
        <v>503.91666666666669</v>
      </c>
      <c r="CI694" s="16">
        <f>IF(CI693&gt;0,CI693*PARAM!$C$53,CI693)+CG694-CH694</f>
        <v>-66822.833333333343</v>
      </c>
      <c r="CJ694" s="15">
        <f t="shared" si="476"/>
        <v>0</v>
      </c>
      <c r="CK694" s="75">
        <f>CJ694*(1-PARAM!$C$27)*$R$4+(MOD($B694/12,5)=0)*($B694&gt;60)*HLOOKUP($B694/12,Loyalty,2)*$F$1*MAX(CM693,0)</f>
        <v>0</v>
      </c>
      <c r="CL694" s="75">
        <f>PARAM!$C$26+MAX($P$4-CHOOSE(PARAM!$B$44,MAX(0,CM693*$F$1),0),0)*RATES!$L670/12+$Q$4*(PARAM!$D$51/12)*RATES!$N670/100</f>
        <v>503.91666666666669</v>
      </c>
      <c r="CM694" s="16">
        <f>IF(CM693&gt;0,CM693*PARAM!$C$53,CM693)+CK694-CL694</f>
        <v>-66822.833333333343</v>
      </c>
      <c r="CO694" s="176"/>
    </row>
    <row r="695" spans="1:93" x14ac:dyDescent="0.2">
      <c r="A695" t="b">
        <f t="shared" si="451"/>
        <v>0</v>
      </c>
      <c r="B695" s="33">
        <v>668</v>
      </c>
      <c r="C695" s="15">
        <f t="shared" si="452"/>
        <v>20.081305947392778</v>
      </c>
      <c r="D695" s="75">
        <f>C695*(1-PARAM!$C$27)*$I$3+(MOD($B695,60)=PARAM!$B$56)*($B695&gt;(60-PARAM!$B$56))*HLOOKUP(($B695+PARAM!$B$56)/12,Loyalty,2)*$F$1*MAX(F694,0)</f>
        <v>16.808053077967756</v>
      </c>
      <c r="E695" s="75">
        <f>PARAM!$C$26+MAX($G$3-CHOOSE(PARAM!$B$44,MAX(0,F694*$F$1),0),0)*RATES!$L671/12+$H$3*(PARAM!$D$51/12)*RATES!$N671/100</f>
        <v>503.91666666666669</v>
      </c>
      <c r="F695" s="16">
        <f t="shared" si="453"/>
        <v>-56255.39573532129</v>
      </c>
      <c r="G695" s="15">
        <f t="shared" si="454"/>
        <v>22.035289406060361</v>
      </c>
      <c r="H695" s="75">
        <f>G695*(1-PARAM!$C$27)*$I$4+(MOD($B695,60)=PARAM!$B$56)*($B695&gt;(60-PARAM!$B$56))*HLOOKUP(($B695+PARAM!$B$56)/12,Loyalty,2)*$F$1*MAX(J694,0)</f>
        <v>18.443537232872522</v>
      </c>
      <c r="I695" s="75">
        <f>PARAM!$C$26+MAX($G$4-CHOOSE(PARAM!$B$44,MAX(0,J694*$F$1),0),0)*RATES!$L671/12+$H$4*(PARAM!$D$51/12)*RATES!$N671/100</f>
        <v>503.91666666666669</v>
      </c>
      <c r="J695" s="16">
        <f t="shared" si="455"/>
        <v>-55129.059355723126</v>
      </c>
      <c r="K695" s="15">
        <f t="shared" si="456"/>
        <v>22.170849845882874</v>
      </c>
      <c r="L695" s="75">
        <f>K695*(1-PARAM!$C$27)*$I$5+(MOD($B695,60)=PARAM!$B$56)*($B695&gt;(60-PARAM!$B$56))*HLOOKUP(($B695+PARAM!$B$56)/12,Loyalty,2)*$F$1*MAX(N694,0)</f>
        <v>18.557001321003963</v>
      </c>
      <c r="M695" s="75">
        <f>PARAM!$C$26+MAX($G$5-CHOOSE(PARAM!$B$44,MAX(0,N694*$F$1),0),0)*RATES!$L671/12+$H$5*(PARAM!$D$51/12)*RATES!$N671/100</f>
        <v>503.91666666666669</v>
      </c>
      <c r="N695" s="16">
        <f t="shared" si="457"/>
        <v>-55050.247808451677</v>
      </c>
      <c r="O695" s="15">
        <f t="shared" si="458"/>
        <v>22.170849845882874</v>
      </c>
      <c r="P695" s="75">
        <f>O695*(1-PARAM!$C$27)*$I$6+(MOD($B695,60)=PARAM!$B$56)*($B695&gt;(60-PARAM!$B$56))*HLOOKUP(($B695+PARAM!$B$56)/12,Loyalty,2)*$F$1*MAX(R694,0)</f>
        <v>18.557001321003963</v>
      </c>
      <c r="Q695" s="75">
        <f>PARAM!$C$26+MAX($G$6-CHOOSE(PARAM!$B$44,MAX(0,R694*$F$1),0),0)*RATES!$L671/12+$H$6*(PARAM!$D$51/12)*RATES!$N671/100</f>
        <v>503.91666666666669</v>
      </c>
      <c r="R695" s="16">
        <f t="shared" si="459"/>
        <v>-55050.247808451677</v>
      </c>
      <c r="S695" s="15">
        <f t="shared" si="434"/>
        <v>22.170849845882874</v>
      </c>
      <c r="T695" s="75">
        <f>S695*(1-PARAM!$C$27)*$I$7+(MOD($B695,60)=PARAM!$B$56)*($B695&gt;(60-PARAM!$B$56))*HLOOKUP(($B695+PARAM!$B$56)/12,Loyalty,2)*$F$1*MAX(V694,0)</f>
        <v>18.557001321003963</v>
      </c>
      <c r="U695" s="75">
        <f>PARAM!$C$26+MAX($G$7-CHOOSE(PARAM!$B$44,MAX(0,V694*$F$1),0),0)*RATES!$L671/12+$H$7*(PARAM!$D$51/12)*RATES!$N671/100</f>
        <v>503.91666666666669</v>
      </c>
      <c r="V695" s="16">
        <f t="shared" si="460"/>
        <v>-55050.247808451677</v>
      </c>
      <c r="W695" s="15">
        <f t="shared" si="435"/>
        <v>22.170849845882874</v>
      </c>
      <c r="X695" s="75">
        <f>W695*(1-PARAM!$C$27)*$I$8+(MOD($B695,60)=PARAM!$B$56)*($B695&gt;(60-PARAM!$B$56))*HLOOKUP(($B695+PARAM!$B$56)/12,Loyalty,2)*$F$1*MAX(Z694,0)</f>
        <v>18.557001321003963</v>
      </c>
      <c r="Y695" s="75">
        <f>PARAM!$C$26+MAX($G$8-CHOOSE(PARAM!$B$44,MAX(0,Z694*$F$1),0),0)*RATES!$L671/12+$H$8*(PARAM!$D$51/12)*RATES!$N671/100</f>
        <v>503.91666666666669</v>
      </c>
      <c r="Z695" s="16">
        <f t="shared" si="461"/>
        <v>-55050.247808451677</v>
      </c>
      <c r="AA695" s="15">
        <f t="shared" si="436"/>
        <v>22.170849845882874</v>
      </c>
      <c r="AB695" s="75">
        <f>AA695*(1-PARAM!$C$27)*$I$9+(MOD($B695,60)=PARAM!$B$56)*($B695&gt;(60-PARAM!$B$56))*HLOOKUP(($B695+PARAM!$B$56)/12,Loyalty,2)*$F$1*MAX(AD694,0)</f>
        <v>18.557001321003963</v>
      </c>
      <c r="AC695" s="75">
        <f>PARAM!$C$26+MAX($G$9-CHOOSE(PARAM!$B$44,MAX(0,AD694*$F$1),0),0)*RATES!$L671/12+$H$9*(PARAM!$D$51/12)*RATES!$N671/100</f>
        <v>503.91666666666669</v>
      </c>
      <c r="AD695" s="16">
        <f t="shared" si="462"/>
        <v>-55050.247808451677</v>
      </c>
      <c r="AE695" s="15">
        <f t="shared" si="437"/>
        <v>22.170849845882874</v>
      </c>
      <c r="AF695" s="75">
        <f>AE695*(1-PARAM!$C$27)*$I$10+(MOD($B695,60)=PARAM!$B$56)*($B695&gt;(60-PARAM!$B$56))*HLOOKUP(($B695+PARAM!$B$56)/12,Loyalty,2)*$F$1*MAX(AH694,0)</f>
        <v>18.557001321003963</v>
      </c>
      <c r="AG695" s="75">
        <f>PARAM!$C$26+MAX($G$10-CHOOSE(PARAM!$B$44,MAX(0,AH694*$F$1),0),0)*RATES!$L671/12+$H$10*(PARAM!$D$51/12)*RATES!$N671/100</f>
        <v>503.91666666666669</v>
      </c>
      <c r="AH695" s="16">
        <f t="shared" si="463"/>
        <v>-55050.247808451677</v>
      </c>
      <c r="AI695" s="15">
        <f t="shared" si="438"/>
        <v>22.170849845882874</v>
      </c>
      <c r="AJ695" s="75">
        <f>AI695*(1-PARAM!$C$27)*$I$11+(MOD($B695,60)=PARAM!$B$56)*($B695&gt;(60-PARAM!$B$56))*HLOOKUP(($B695+PARAM!$B$56)/12,Loyalty,2)*$F$1*MAX(AL694,0)</f>
        <v>18.557001321003963</v>
      </c>
      <c r="AK695" s="75">
        <f>PARAM!$C$26+MAX($G$11-CHOOSE(PARAM!$B$44,MAX(0,AL694*$F$1),0),0)*RATES!$L671/12+$H$11*(PARAM!$D$51/12)*RATES!$N671/100</f>
        <v>503.91666666666669</v>
      </c>
      <c r="AL695" s="16">
        <f t="shared" si="464"/>
        <v>-55050.247808451677</v>
      </c>
      <c r="AM695" s="15">
        <f t="shared" si="439"/>
        <v>22.170849845882874</v>
      </c>
      <c r="AN695" s="75">
        <f>AM695*(1-PARAM!$C$27)*$I$12+(MOD($B695,60)=PARAM!$B$56)*($B695&gt;(60-PARAM!$B$56))*HLOOKUP(($B695+PARAM!$B$56)/12,Loyalty,2)*$F$1*MAX(AP694,0)</f>
        <v>18.557001321003963</v>
      </c>
      <c r="AO695" s="75">
        <f>PARAM!$C$26+MAX($G$12-CHOOSE(PARAM!$B$44,MAX(0,AP694*$F$1),0),0)*RATES!$L671/12+$H$12*(PARAM!$D$51/12)*RATES!$N671/100</f>
        <v>503.91666666666669</v>
      </c>
      <c r="AP695" s="16">
        <f t="shared" si="465"/>
        <v>-55050.247808451677</v>
      </c>
      <c r="AQ695" s="15">
        <f t="shared" si="440"/>
        <v>22.170849845882874</v>
      </c>
      <c r="AR695" s="75">
        <f>AQ695*(1-PARAM!$C$27)*$I$13+(MOD($B695,60)=PARAM!$B$56)*($B695&gt;(60-PARAM!$B$56))*HLOOKUP(($B695+PARAM!$B$56)/12,Loyalty,2)*$F$1*MAX(AT694,0)</f>
        <v>18.557001321003963</v>
      </c>
      <c r="AS695" s="75">
        <f>PARAM!$C$26+MAX($G$13-CHOOSE(PARAM!$B$44,MAX(0,AT694*$F$1),0),0)*RATES!$L671/12+$H$13*(PARAM!$D$51/12)*RATES!$N671/100</f>
        <v>503.91666666666669</v>
      </c>
      <c r="AT695" s="16">
        <f t="shared" si="466"/>
        <v>-55050.247808451677</v>
      </c>
      <c r="AU695" s="15">
        <f t="shared" si="441"/>
        <v>22.170849845882874</v>
      </c>
      <c r="AV695" s="75">
        <f>AU695*(1-PARAM!$C$27)*$I$14+(MOD($B695,60)=PARAM!$B$56)*($B695&gt;(60-PARAM!$B$56))*HLOOKUP(($B695+PARAM!$B$56)/12,Loyalty,2)*$F$1*MAX(AX694,0)</f>
        <v>18.557001321003963</v>
      </c>
      <c r="AW695" s="75">
        <f>PARAM!$C$26+MAX($G$14-CHOOSE(PARAM!$B$44,MAX(0,AX694*$F$1),0),0)*RATES!$L671/12+$H$14*(PARAM!$D$51/12)*RATES!$N671/100</f>
        <v>503.91666666666669</v>
      </c>
      <c r="AX695" s="16">
        <f t="shared" si="467"/>
        <v>-55050.247808451677</v>
      </c>
      <c r="AY695" s="15">
        <f t="shared" si="442"/>
        <v>22.170849845882874</v>
      </c>
      <c r="AZ695" s="75">
        <f>AY695*(1-PARAM!$C$27)*$I$15+(MOD($B695,60)=PARAM!$B$56)*($B695&gt;(60-PARAM!$B$56))*HLOOKUP(($B695+PARAM!$B$56)/12,Loyalty,2)*$F$1*MAX(BB694,0)</f>
        <v>18.557001321003963</v>
      </c>
      <c r="BA695" s="75">
        <f>PARAM!$C$26+MAX($G$15-CHOOSE(PARAM!$B$44,MAX(0,BB694*$F$1),0),0)*RATES!$L671/12+$H$15*(PARAM!$D$51/12)*RATES!$N671/100</f>
        <v>503.91666666666669</v>
      </c>
      <c r="BB695" s="16">
        <f t="shared" si="468"/>
        <v>-55050.247808451677</v>
      </c>
      <c r="BC695" s="15">
        <f t="shared" si="443"/>
        <v>22.170849845882874</v>
      </c>
      <c r="BD695" s="75">
        <f>BC695*(1-PARAM!$C$27)*$I$16+(MOD($B695,60)=PARAM!$B$56)*($B695&gt;(60-PARAM!$B$56))*HLOOKUP(($B695+PARAM!$B$56)/12,Loyalty,2)*$F$1*MAX(BF694,0)</f>
        <v>18.557001321003963</v>
      </c>
      <c r="BE695" s="75">
        <f>PARAM!$C$26+MAX($G$16-CHOOSE(PARAM!$B$44,MAX(0,BF694*$F$1),0),0)*RATES!$L671/12+$H$16*(PARAM!$D$51/12)*RATES!$N671/100</f>
        <v>503.91666666666669</v>
      </c>
      <c r="BF695" s="16">
        <f t="shared" si="469"/>
        <v>-55050.247808451677</v>
      </c>
      <c r="BG695" s="15">
        <f t="shared" si="444"/>
        <v>22.170849845882874</v>
      </c>
      <c r="BH695" s="75">
        <f>BG695*(1-PARAM!$C$27)*$I$17+(MOD($B695,60)=PARAM!$B$56)*($B695&gt;(60-PARAM!$B$56))*HLOOKUP(($B695+PARAM!$B$56)/12,Loyalty,2)*$F$1*MAX(BJ694,0)</f>
        <v>18.557001321003963</v>
      </c>
      <c r="BI695" s="75">
        <f>PARAM!$C$26+MAX($G$17-CHOOSE(PARAM!$B$44,MAX(0,BJ694*$F$1),0),0)*RATES!$L671/12+$H$17*(PARAM!$D$51/12)*RATES!$N671/100</f>
        <v>503.91666666666669</v>
      </c>
      <c r="BJ695" s="16">
        <f t="shared" si="470"/>
        <v>-55050.247808451677</v>
      </c>
      <c r="BK695" s="15">
        <f t="shared" si="445"/>
        <v>22.170849845882874</v>
      </c>
      <c r="BL695" s="75">
        <f>BK695*(1-PARAM!$C$27)*$I$18+(MOD($B695,60)=PARAM!$B$56)*($B695&gt;(60-PARAM!$B$56))*HLOOKUP(($B695+PARAM!$B$56)/12,Loyalty,2)*$F$1*MAX(BN694,0)</f>
        <v>18.557001321003963</v>
      </c>
      <c r="BM695" s="75">
        <f>PARAM!$C$26+MAX($G$18-CHOOSE(PARAM!$B$44,MAX(0,BN694*$F$1),0),0)*RATES!$L671/12+$H$18*(PARAM!$D$51/12)*RATES!$N671/100</f>
        <v>503.91666666666669</v>
      </c>
      <c r="BN695" s="16">
        <f t="shared" si="471"/>
        <v>-55050.247808451677</v>
      </c>
      <c r="BO695" s="15">
        <f t="shared" si="446"/>
        <v>22.170849845882874</v>
      </c>
      <c r="BP695" s="75">
        <f>BO695*(1-PARAM!$C$27)*$I$19+(MOD($B695,60)=PARAM!$B$56)*($B695&gt;(60-PARAM!$B$56))*HLOOKUP(($B695+PARAM!$B$56)/12,Loyalty,2)*$F$1*MAX(BR694,0)</f>
        <v>18.557001321003963</v>
      </c>
      <c r="BQ695" s="75">
        <f>PARAM!$C$26+MAX($G$19-CHOOSE(PARAM!$B$44,MAX(0,BR694*$F$1),0),0)*RATES!$L671/12+$H$19*(PARAM!$D$51/12)*RATES!$N671/100</f>
        <v>503.91666666666669</v>
      </c>
      <c r="BR695" s="16">
        <f t="shared" si="472"/>
        <v>-55050.247808451677</v>
      </c>
      <c r="BS695" s="15">
        <f t="shared" si="447"/>
        <v>22.170849845882874</v>
      </c>
      <c r="BT695" s="75">
        <f>BS695*(1-PARAM!$C$27)*$I$20+(MOD($B695,60)=PARAM!$B$56)*($B695&gt;(60-PARAM!$B$56))*HLOOKUP(($B695+PARAM!$B$56)/12,Loyalty,2)*$F$1*MAX(BV694,0)</f>
        <v>18.557001321003963</v>
      </c>
      <c r="BU695" s="75">
        <f>PARAM!$C$26+MAX($G$20-CHOOSE(PARAM!$B$44,MAX(0,BV694*$F$1),0),0)*RATES!$L671/12+$H$20*(PARAM!$D$51/12)*RATES!$N671/100</f>
        <v>503.91666666666669</v>
      </c>
      <c r="BV695" s="16">
        <f t="shared" si="473"/>
        <v>-55050.247808451677</v>
      </c>
      <c r="BW695" s="15">
        <f t="shared" si="448"/>
        <v>22.170849845882874</v>
      </c>
      <c r="BX695" s="75">
        <f>BW695*(1-PARAM!$C$27)*$I$21+(MOD($B695,60)=PARAM!$B$56)*($B695&gt;(60-PARAM!$B$56))*HLOOKUP(($B695+PARAM!$B$56)/12,Loyalty,2)*$F$1*MAX(BZ694,0)</f>
        <v>18.557001321003963</v>
      </c>
      <c r="BY695" s="75">
        <f>PARAM!$C$26+MAX($G$21-CHOOSE(PARAM!$B$44,MAX(0,BZ694*$F$1),0),0)*RATES!$L671/12+$H$21*(PARAM!$D$51/12)*RATES!$N671/100</f>
        <v>503.91666666666669</v>
      </c>
      <c r="BZ695" s="16">
        <f t="shared" si="474"/>
        <v>-55050.247808451677</v>
      </c>
      <c r="CA695" s="15">
        <f t="shared" si="449"/>
        <v>22.170849845882874</v>
      </c>
      <c r="CB695" s="75">
        <f>CA695*(1-PARAM!$C$27)*$I$22+(MOD($B695,60)=PARAM!$B$56)*($B695&gt;(60-PARAM!$B$56))*HLOOKUP(($B695+PARAM!$B$56)/12,Loyalty,2)*$F$1*MAX(CD694,0)</f>
        <v>18.557001321003963</v>
      </c>
      <c r="CC695" s="75">
        <f>PARAM!$C$26+MAX($G$22-CHOOSE(PARAM!$B$44,MAX(0,CD694*$F$1),0),0)*RATES!$L671/12+$H$22*(PARAM!$D$51/12)*RATES!$N671/100</f>
        <v>503.91666666666669</v>
      </c>
      <c r="CD695" s="16">
        <f t="shared" si="475"/>
        <v>-55050.247808451677</v>
      </c>
      <c r="CE695" s="33">
        <f>IF(0=MOD(B695,12/PARAM!$D$51),1,0)</f>
        <v>1</v>
      </c>
      <c r="CF695" s="15">
        <f t="shared" si="450"/>
        <v>0</v>
      </c>
      <c r="CG695" s="75">
        <f>CF695*(1-PARAM!$C$27)*$R$3+(MOD($B695/12,5)=0)*($B695&gt;60)*HLOOKUP($B695/12,Loyalty,2)*$F$1*MAX(CI694,0)</f>
        <v>0</v>
      </c>
      <c r="CH695" s="75">
        <f>PARAM!$C$26+MAX($P$3-CHOOSE(PARAM!$B$44,MAX(0,CI694*$F$1),0),0)*RATES!$L671/12+$Q$3*(PARAM!$D$51/12)*RATES!$N671/100</f>
        <v>503.91666666666669</v>
      </c>
      <c r="CI695" s="16">
        <f>IF(CI694&gt;0,CI694*PARAM!$C$53,CI694)+CG695-CH695</f>
        <v>-67326.750000000015</v>
      </c>
      <c r="CJ695" s="15">
        <f t="shared" si="476"/>
        <v>0</v>
      </c>
      <c r="CK695" s="75">
        <f>CJ695*(1-PARAM!$C$27)*$R$4+(MOD($B695/12,5)=0)*($B695&gt;60)*HLOOKUP($B695/12,Loyalty,2)*$F$1*MAX(CM694,0)</f>
        <v>0</v>
      </c>
      <c r="CL695" s="75">
        <f>PARAM!$C$26+MAX($P$4-CHOOSE(PARAM!$B$44,MAX(0,CM694*$F$1),0),0)*RATES!$L671/12+$Q$4*(PARAM!$D$51/12)*RATES!$N671/100</f>
        <v>503.91666666666669</v>
      </c>
      <c r="CM695" s="16">
        <f>IF(CM694&gt;0,CM694*PARAM!$C$53,CM694)+CK695-CL695</f>
        <v>-67326.750000000015</v>
      </c>
      <c r="CO695" s="176"/>
    </row>
    <row r="696" spans="1:93" x14ac:dyDescent="0.2">
      <c r="A696" t="b">
        <f t="shared" si="451"/>
        <v>0</v>
      </c>
      <c r="B696" s="33">
        <v>669</v>
      </c>
      <c r="C696" s="15">
        <f t="shared" si="452"/>
        <v>20.081305947392778</v>
      </c>
      <c r="D696" s="75">
        <f>C696*(1-PARAM!$C$27)*$I$3+(MOD($B696,60)=PARAM!$B$56)*($B696&gt;(60-PARAM!$B$56))*HLOOKUP(($B696+PARAM!$B$56)/12,Loyalty,2)*$F$1*MAX(F695,0)</f>
        <v>16.808053077967756</v>
      </c>
      <c r="E696" s="75">
        <f>PARAM!$C$26+MAX($G$3-CHOOSE(PARAM!$B$44,MAX(0,F695*$F$1),0),0)*RATES!$L672/12+$H$3*(PARAM!$D$51/12)*RATES!$N672/100</f>
        <v>503.91666666666669</v>
      </c>
      <c r="F696" s="16">
        <f t="shared" si="453"/>
        <v>-56742.504348909984</v>
      </c>
      <c r="G696" s="15">
        <f t="shared" si="454"/>
        <v>22.035289406060361</v>
      </c>
      <c r="H696" s="75">
        <f>G696*(1-PARAM!$C$27)*$I$4+(MOD($B696,60)=PARAM!$B$56)*($B696&gt;(60-PARAM!$B$56))*HLOOKUP(($B696+PARAM!$B$56)/12,Loyalty,2)*$F$1*MAX(J695,0)</f>
        <v>18.443537232872522</v>
      </c>
      <c r="I696" s="75">
        <f>PARAM!$C$26+MAX($G$4-CHOOSE(PARAM!$B$44,MAX(0,J695*$F$1),0),0)*RATES!$L672/12+$H$4*(PARAM!$D$51/12)*RATES!$N672/100</f>
        <v>503.91666666666669</v>
      </c>
      <c r="J696" s="16">
        <f t="shared" si="455"/>
        <v>-55614.532485156917</v>
      </c>
      <c r="K696" s="15">
        <f t="shared" si="456"/>
        <v>22.170849845882874</v>
      </c>
      <c r="L696" s="75">
        <f>K696*(1-PARAM!$C$27)*$I$5+(MOD($B696,60)=PARAM!$B$56)*($B696&gt;(60-PARAM!$B$56))*HLOOKUP(($B696+PARAM!$B$56)/12,Loyalty,2)*$F$1*MAX(N695,0)</f>
        <v>18.557001321003963</v>
      </c>
      <c r="M696" s="75">
        <f>PARAM!$C$26+MAX($G$5-CHOOSE(PARAM!$B$44,MAX(0,N695*$F$1),0),0)*RATES!$L672/12+$H$5*(PARAM!$D$51/12)*RATES!$N672/100</f>
        <v>503.91666666666669</v>
      </c>
      <c r="N696" s="16">
        <f t="shared" si="457"/>
        <v>-55535.607473797339</v>
      </c>
      <c r="O696" s="15">
        <f t="shared" si="458"/>
        <v>22.170849845882874</v>
      </c>
      <c r="P696" s="75">
        <f>O696*(1-PARAM!$C$27)*$I$6+(MOD($B696,60)=PARAM!$B$56)*($B696&gt;(60-PARAM!$B$56))*HLOOKUP(($B696+PARAM!$B$56)/12,Loyalty,2)*$F$1*MAX(R695,0)</f>
        <v>18.557001321003963</v>
      </c>
      <c r="Q696" s="75">
        <f>PARAM!$C$26+MAX($G$6-CHOOSE(PARAM!$B$44,MAX(0,R695*$F$1),0),0)*RATES!$L672/12+$H$6*(PARAM!$D$51/12)*RATES!$N672/100</f>
        <v>503.91666666666669</v>
      </c>
      <c r="R696" s="16">
        <f t="shared" si="459"/>
        <v>-55535.607473797339</v>
      </c>
      <c r="S696" s="15">
        <f t="shared" si="434"/>
        <v>22.170849845882874</v>
      </c>
      <c r="T696" s="75">
        <f>S696*(1-PARAM!$C$27)*$I$7+(MOD($B696,60)=PARAM!$B$56)*($B696&gt;(60-PARAM!$B$56))*HLOOKUP(($B696+PARAM!$B$56)/12,Loyalty,2)*$F$1*MAX(V695,0)</f>
        <v>18.557001321003963</v>
      </c>
      <c r="U696" s="75">
        <f>PARAM!$C$26+MAX($G$7-CHOOSE(PARAM!$B$44,MAX(0,V695*$F$1),0),0)*RATES!$L672/12+$H$7*(PARAM!$D$51/12)*RATES!$N672/100</f>
        <v>503.91666666666669</v>
      </c>
      <c r="V696" s="16">
        <f t="shared" si="460"/>
        <v>-55535.607473797339</v>
      </c>
      <c r="W696" s="15">
        <f t="shared" si="435"/>
        <v>22.170849845882874</v>
      </c>
      <c r="X696" s="75">
        <f>W696*(1-PARAM!$C$27)*$I$8+(MOD($B696,60)=PARAM!$B$56)*($B696&gt;(60-PARAM!$B$56))*HLOOKUP(($B696+PARAM!$B$56)/12,Loyalty,2)*$F$1*MAX(Z695,0)</f>
        <v>18.557001321003963</v>
      </c>
      <c r="Y696" s="75">
        <f>PARAM!$C$26+MAX($G$8-CHOOSE(PARAM!$B$44,MAX(0,Z695*$F$1),0),0)*RATES!$L672/12+$H$8*(PARAM!$D$51/12)*RATES!$N672/100</f>
        <v>503.91666666666669</v>
      </c>
      <c r="Z696" s="16">
        <f t="shared" si="461"/>
        <v>-55535.607473797339</v>
      </c>
      <c r="AA696" s="15">
        <f t="shared" si="436"/>
        <v>22.170849845882874</v>
      </c>
      <c r="AB696" s="75">
        <f>AA696*(1-PARAM!$C$27)*$I$9+(MOD($B696,60)=PARAM!$B$56)*($B696&gt;(60-PARAM!$B$56))*HLOOKUP(($B696+PARAM!$B$56)/12,Loyalty,2)*$F$1*MAX(AD695,0)</f>
        <v>18.557001321003963</v>
      </c>
      <c r="AC696" s="75">
        <f>PARAM!$C$26+MAX($G$9-CHOOSE(PARAM!$B$44,MAX(0,AD695*$F$1),0),0)*RATES!$L672/12+$H$9*(PARAM!$D$51/12)*RATES!$N672/100</f>
        <v>503.91666666666669</v>
      </c>
      <c r="AD696" s="16">
        <f t="shared" si="462"/>
        <v>-55535.607473797339</v>
      </c>
      <c r="AE696" s="15">
        <f t="shared" si="437"/>
        <v>22.170849845882874</v>
      </c>
      <c r="AF696" s="75">
        <f>AE696*(1-PARAM!$C$27)*$I$10+(MOD($B696,60)=PARAM!$B$56)*($B696&gt;(60-PARAM!$B$56))*HLOOKUP(($B696+PARAM!$B$56)/12,Loyalty,2)*$F$1*MAX(AH695,0)</f>
        <v>18.557001321003963</v>
      </c>
      <c r="AG696" s="75">
        <f>PARAM!$C$26+MAX($G$10-CHOOSE(PARAM!$B$44,MAX(0,AH695*$F$1),0),0)*RATES!$L672/12+$H$10*(PARAM!$D$51/12)*RATES!$N672/100</f>
        <v>503.91666666666669</v>
      </c>
      <c r="AH696" s="16">
        <f t="shared" si="463"/>
        <v>-55535.607473797339</v>
      </c>
      <c r="AI696" s="15">
        <f t="shared" si="438"/>
        <v>22.170849845882874</v>
      </c>
      <c r="AJ696" s="75">
        <f>AI696*(1-PARAM!$C$27)*$I$11+(MOD($B696,60)=PARAM!$B$56)*($B696&gt;(60-PARAM!$B$56))*HLOOKUP(($B696+PARAM!$B$56)/12,Loyalty,2)*$F$1*MAX(AL695,0)</f>
        <v>18.557001321003963</v>
      </c>
      <c r="AK696" s="75">
        <f>PARAM!$C$26+MAX($G$11-CHOOSE(PARAM!$B$44,MAX(0,AL695*$F$1),0),0)*RATES!$L672/12+$H$11*(PARAM!$D$51/12)*RATES!$N672/100</f>
        <v>503.91666666666669</v>
      </c>
      <c r="AL696" s="16">
        <f t="shared" si="464"/>
        <v>-55535.607473797339</v>
      </c>
      <c r="AM696" s="15">
        <f t="shared" si="439"/>
        <v>22.170849845882874</v>
      </c>
      <c r="AN696" s="75">
        <f>AM696*(1-PARAM!$C$27)*$I$12+(MOD($B696,60)=PARAM!$B$56)*($B696&gt;(60-PARAM!$B$56))*HLOOKUP(($B696+PARAM!$B$56)/12,Loyalty,2)*$F$1*MAX(AP695,0)</f>
        <v>18.557001321003963</v>
      </c>
      <c r="AO696" s="75">
        <f>PARAM!$C$26+MAX($G$12-CHOOSE(PARAM!$B$44,MAX(0,AP695*$F$1),0),0)*RATES!$L672/12+$H$12*(PARAM!$D$51/12)*RATES!$N672/100</f>
        <v>503.91666666666669</v>
      </c>
      <c r="AP696" s="16">
        <f t="shared" si="465"/>
        <v>-55535.607473797339</v>
      </c>
      <c r="AQ696" s="15">
        <f t="shared" si="440"/>
        <v>22.170849845882874</v>
      </c>
      <c r="AR696" s="75">
        <f>AQ696*(1-PARAM!$C$27)*$I$13+(MOD($B696,60)=PARAM!$B$56)*($B696&gt;(60-PARAM!$B$56))*HLOOKUP(($B696+PARAM!$B$56)/12,Loyalty,2)*$F$1*MAX(AT695,0)</f>
        <v>18.557001321003963</v>
      </c>
      <c r="AS696" s="75">
        <f>PARAM!$C$26+MAX($G$13-CHOOSE(PARAM!$B$44,MAX(0,AT695*$F$1),0),0)*RATES!$L672/12+$H$13*(PARAM!$D$51/12)*RATES!$N672/100</f>
        <v>503.91666666666669</v>
      </c>
      <c r="AT696" s="16">
        <f t="shared" si="466"/>
        <v>-55535.607473797339</v>
      </c>
      <c r="AU696" s="15">
        <f t="shared" si="441"/>
        <v>22.170849845882874</v>
      </c>
      <c r="AV696" s="75">
        <f>AU696*(1-PARAM!$C$27)*$I$14+(MOD($B696,60)=PARAM!$B$56)*($B696&gt;(60-PARAM!$B$56))*HLOOKUP(($B696+PARAM!$B$56)/12,Loyalty,2)*$F$1*MAX(AX695,0)</f>
        <v>18.557001321003963</v>
      </c>
      <c r="AW696" s="75">
        <f>PARAM!$C$26+MAX($G$14-CHOOSE(PARAM!$B$44,MAX(0,AX695*$F$1),0),0)*RATES!$L672/12+$H$14*(PARAM!$D$51/12)*RATES!$N672/100</f>
        <v>503.91666666666669</v>
      </c>
      <c r="AX696" s="16">
        <f t="shared" si="467"/>
        <v>-55535.607473797339</v>
      </c>
      <c r="AY696" s="15">
        <f t="shared" si="442"/>
        <v>22.170849845882874</v>
      </c>
      <c r="AZ696" s="75">
        <f>AY696*(1-PARAM!$C$27)*$I$15+(MOD($B696,60)=PARAM!$B$56)*($B696&gt;(60-PARAM!$B$56))*HLOOKUP(($B696+PARAM!$B$56)/12,Loyalty,2)*$F$1*MAX(BB695,0)</f>
        <v>18.557001321003963</v>
      </c>
      <c r="BA696" s="75">
        <f>PARAM!$C$26+MAX($G$15-CHOOSE(PARAM!$B$44,MAX(0,BB695*$F$1),0),0)*RATES!$L672/12+$H$15*(PARAM!$D$51/12)*RATES!$N672/100</f>
        <v>503.91666666666669</v>
      </c>
      <c r="BB696" s="16">
        <f t="shared" si="468"/>
        <v>-55535.607473797339</v>
      </c>
      <c r="BC696" s="15">
        <f t="shared" si="443"/>
        <v>22.170849845882874</v>
      </c>
      <c r="BD696" s="75">
        <f>BC696*(1-PARAM!$C$27)*$I$16+(MOD($B696,60)=PARAM!$B$56)*($B696&gt;(60-PARAM!$B$56))*HLOOKUP(($B696+PARAM!$B$56)/12,Loyalty,2)*$F$1*MAX(BF695,0)</f>
        <v>18.557001321003963</v>
      </c>
      <c r="BE696" s="75">
        <f>PARAM!$C$26+MAX($G$16-CHOOSE(PARAM!$B$44,MAX(0,BF695*$F$1),0),0)*RATES!$L672/12+$H$16*(PARAM!$D$51/12)*RATES!$N672/100</f>
        <v>503.91666666666669</v>
      </c>
      <c r="BF696" s="16">
        <f t="shared" si="469"/>
        <v>-55535.607473797339</v>
      </c>
      <c r="BG696" s="15">
        <f t="shared" si="444"/>
        <v>22.170849845882874</v>
      </c>
      <c r="BH696" s="75">
        <f>BG696*(1-PARAM!$C$27)*$I$17+(MOD($B696,60)=PARAM!$B$56)*($B696&gt;(60-PARAM!$B$56))*HLOOKUP(($B696+PARAM!$B$56)/12,Loyalty,2)*$F$1*MAX(BJ695,0)</f>
        <v>18.557001321003963</v>
      </c>
      <c r="BI696" s="75">
        <f>PARAM!$C$26+MAX($G$17-CHOOSE(PARAM!$B$44,MAX(0,BJ695*$F$1),0),0)*RATES!$L672/12+$H$17*(PARAM!$D$51/12)*RATES!$N672/100</f>
        <v>503.91666666666669</v>
      </c>
      <c r="BJ696" s="16">
        <f t="shared" si="470"/>
        <v>-55535.607473797339</v>
      </c>
      <c r="BK696" s="15">
        <f t="shared" si="445"/>
        <v>22.170849845882874</v>
      </c>
      <c r="BL696" s="75">
        <f>BK696*(1-PARAM!$C$27)*$I$18+(MOD($B696,60)=PARAM!$B$56)*($B696&gt;(60-PARAM!$B$56))*HLOOKUP(($B696+PARAM!$B$56)/12,Loyalty,2)*$F$1*MAX(BN695,0)</f>
        <v>18.557001321003963</v>
      </c>
      <c r="BM696" s="75">
        <f>PARAM!$C$26+MAX($G$18-CHOOSE(PARAM!$B$44,MAX(0,BN695*$F$1),0),0)*RATES!$L672/12+$H$18*(PARAM!$D$51/12)*RATES!$N672/100</f>
        <v>503.91666666666669</v>
      </c>
      <c r="BN696" s="16">
        <f t="shared" si="471"/>
        <v>-55535.607473797339</v>
      </c>
      <c r="BO696" s="15">
        <f t="shared" si="446"/>
        <v>22.170849845882874</v>
      </c>
      <c r="BP696" s="75">
        <f>BO696*(1-PARAM!$C$27)*$I$19+(MOD($B696,60)=PARAM!$B$56)*($B696&gt;(60-PARAM!$B$56))*HLOOKUP(($B696+PARAM!$B$56)/12,Loyalty,2)*$F$1*MAX(BR695,0)</f>
        <v>18.557001321003963</v>
      </c>
      <c r="BQ696" s="75">
        <f>PARAM!$C$26+MAX($G$19-CHOOSE(PARAM!$B$44,MAX(0,BR695*$F$1),0),0)*RATES!$L672/12+$H$19*(PARAM!$D$51/12)*RATES!$N672/100</f>
        <v>503.91666666666669</v>
      </c>
      <c r="BR696" s="16">
        <f t="shared" si="472"/>
        <v>-55535.607473797339</v>
      </c>
      <c r="BS696" s="15">
        <f t="shared" si="447"/>
        <v>22.170849845882874</v>
      </c>
      <c r="BT696" s="75">
        <f>BS696*(1-PARAM!$C$27)*$I$20+(MOD($B696,60)=PARAM!$B$56)*($B696&gt;(60-PARAM!$B$56))*HLOOKUP(($B696+PARAM!$B$56)/12,Loyalty,2)*$F$1*MAX(BV695,0)</f>
        <v>18.557001321003963</v>
      </c>
      <c r="BU696" s="75">
        <f>PARAM!$C$26+MAX($G$20-CHOOSE(PARAM!$B$44,MAX(0,BV695*$F$1),0),0)*RATES!$L672/12+$H$20*(PARAM!$D$51/12)*RATES!$N672/100</f>
        <v>503.91666666666669</v>
      </c>
      <c r="BV696" s="16">
        <f t="shared" si="473"/>
        <v>-55535.607473797339</v>
      </c>
      <c r="BW696" s="15">
        <f t="shared" si="448"/>
        <v>22.170849845882874</v>
      </c>
      <c r="BX696" s="75">
        <f>BW696*(1-PARAM!$C$27)*$I$21+(MOD($B696,60)=PARAM!$B$56)*($B696&gt;(60-PARAM!$B$56))*HLOOKUP(($B696+PARAM!$B$56)/12,Loyalty,2)*$F$1*MAX(BZ695,0)</f>
        <v>18.557001321003963</v>
      </c>
      <c r="BY696" s="75">
        <f>PARAM!$C$26+MAX($G$21-CHOOSE(PARAM!$B$44,MAX(0,BZ695*$F$1),0),0)*RATES!$L672/12+$H$21*(PARAM!$D$51/12)*RATES!$N672/100</f>
        <v>503.91666666666669</v>
      </c>
      <c r="BZ696" s="16">
        <f t="shared" si="474"/>
        <v>-55535.607473797339</v>
      </c>
      <c r="CA696" s="15">
        <f t="shared" si="449"/>
        <v>22.170849845882874</v>
      </c>
      <c r="CB696" s="75">
        <f>CA696*(1-PARAM!$C$27)*$I$22+(MOD($B696,60)=PARAM!$B$56)*($B696&gt;(60-PARAM!$B$56))*HLOOKUP(($B696+PARAM!$B$56)/12,Loyalty,2)*$F$1*MAX(CD695,0)</f>
        <v>18.557001321003963</v>
      </c>
      <c r="CC696" s="75">
        <f>PARAM!$C$26+MAX($G$22-CHOOSE(PARAM!$B$44,MAX(0,CD695*$F$1),0),0)*RATES!$L672/12+$H$22*(PARAM!$D$51/12)*RATES!$N672/100</f>
        <v>503.91666666666669</v>
      </c>
      <c r="CD696" s="16">
        <f t="shared" si="475"/>
        <v>-55535.607473797339</v>
      </c>
      <c r="CE696" s="33">
        <f>IF(0=MOD(B696,12/PARAM!$D$51),1,0)</f>
        <v>1</v>
      </c>
      <c r="CF696" s="15">
        <f t="shared" si="450"/>
        <v>0</v>
      </c>
      <c r="CG696" s="75">
        <f>CF696*(1-PARAM!$C$27)*$R$3+(MOD($B696/12,5)=0)*($B696&gt;60)*HLOOKUP($B696/12,Loyalty,2)*$F$1*MAX(CI695,0)</f>
        <v>0</v>
      </c>
      <c r="CH696" s="75">
        <f>PARAM!$C$26+MAX($P$3-CHOOSE(PARAM!$B$44,MAX(0,CI695*$F$1),0),0)*RATES!$L672/12+$Q$3*(PARAM!$D$51/12)*RATES!$N672/100</f>
        <v>503.91666666666669</v>
      </c>
      <c r="CI696" s="16">
        <f>IF(CI695&gt;0,CI695*PARAM!$C$53,CI695)+CG696-CH696</f>
        <v>-67830.666666666686</v>
      </c>
      <c r="CJ696" s="15">
        <f t="shared" si="476"/>
        <v>0</v>
      </c>
      <c r="CK696" s="75">
        <f>CJ696*(1-PARAM!$C$27)*$R$4+(MOD($B696/12,5)=0)*($B696&gt;60)*HLOOKUP($B696/12,Loyalty,2)*$F$1*MAX(CM695,0)</f>
        <v>0</v>
      </c>
      <c r="CL696" s="75">
        <f>PARAM!$C$26+MAX($P$4-CHOOSE(PARAM!$B$44,MAX(0,CM695*$F$1),0),0)*RATES!$L672/12+$Q$4*(PARAM!$D$51/12)*RATES!$N672/100</f>
        <v>503.91666666666669</v>
      </c>
      <c r="CM696" s="16">
        <f>IF(CM695&gt;0,CM695*PARAM!$C$53,CM695)+CK696-CL696</f>
        <v>-67830.666666666686</v>
      </c>
      <c r="CO696" s="176"/>
    </row>
    <row r="697" spans="1:93" x14ac:dyDescent="0.2">
      <c r="A697" t="b">
        <f t="shared" si="451"/>
        <v>0</v>
      </c>
      <c r="B697" s="33">
        <v>670</v>
      </c>
      <c r="C697" s="15">
        <f t="shared" si="452"/>
        <v>20.081305947392778</v>
      </c>
      <c r="D697" s="75">
        <f>C697*(1-PARAM!$C$27)*$I$3+(MOD($B697,60)=PARAM!$B$56)*($B697&gt;(60-PARAM!$B$56))*HLOOKUP(($B697+PARAM!$B$56)/12,Loyalty,2)*$F$1*MAX(F696,0)</f>
        <v>16.808053077967756</v>
      </c>
      <c r="E697" s="75">
        <f>PARAM!$C$26+MAX($G$3-CHOOSE(PARAM!$B$44,MAX(0,F696*$F$1),0),0)*RATES!$L673/12+$H$3*(PARAM!$D$51/12)*RATES!$N673/100</f>
        <v>503.91666666666669</v>
      </c>
      <c r="F697" s="16">
        <f t="shared" si="453"/>
        <v>-57229.612962498679</v>
      </c>
      <c r="G697" s="15">
        <f t="shared" si="454"/>
        <v>22.035289406060361</v>
      </c>
      <c r="H697" s="75">
        <f>G697*(1-PARAM!$C$27)*$I$4+(MOD($B697,60)=PARAM!$B$56)*($B697&gt;(60-PARAM!$B$56))*HLOOKUP(($B697+PARAM!$B$56)/12,Loyalty,2)*$F$1*MAX(J696,0)</f>
        <v>18.443537232872522</v>
      </c>
      <c r="I697" s="75">
        <f>PARAM!$C$26+MAX($G$4-CHOOSE(PARAM!$B$44,MAX(0,J696*$F$1),0),0)*RATES!$L673/12+$H$4*(PARAM!$D$51/12)*RATES!$N673/100</f>
        <v>503.91666666666669</v>
      </c>
      <c r="J697" s="16">
        <f t="shared" si="455"/>
        <v>-56100.005614590707</v>
      </c>
      <c r="K697" s="15">
        <f t="shared" si="456"/>
        <v>22.170849845882874</v>
      </c>
      <c r="L697" s="75">
        <f>K697*(1-PARAM!$C$27)*$I$5+(MOD($B697,60)=PARAM!$B$56)*($B697&gt;(60-PARAM!$B$56))*HLOOKUP(($B697+PARAM!$B$56)/12,Loyalty,2)*$F$1*MAX(N696,0)</f>
        <v>18.557001321003963</v>
      </c>
      <c r="M697" s="75">
        <f>PARAM!$C$26+MAX($G$5-CHOOSE(PARAM!$B$44,MAX(0,N696*$F$1),0),0)*RATES!$L673/12+$H$5*(PARAM!$D$51/12)*RATES!$N673/100</f>
        <v>503.91666666666669</v>
      </c>
      <c r="N697" s="16">
        <f t="shared" si="457"/>
        <v>-56020.967139143002</v>
      </c>
      <c r="O697" s="15">
        <f t="shared" si="458"/>
        <v>22.170849845882874</v>
      </c>
      <c r="P697" s="75">
        <f>O697*(1-PARAM!$C$27)*$I$6+(MOD($B697,60)=PARAM!$B$56)*($B697&gt;(60-PARAM!$B$56))*HLOOKUP(($B697+PARAM!$B$56)/12,Loyalty,2)*$F$1*MAX(R696,0)</f>
        <v>18.557001321003963</v>
      </c>
      <c r="Q697" s="75">
        <f>PARAM!$C$26+MAX($G$6-CHOOSE(PARAM!$B$44,MAX(0,R696*$F$1),0),0)*RATES!$L673/12+$H$6*(PARAM!$D$51/12)*RATES!$N673/100</f>
        <v>503.91666666666669</v>
      </c>
      <c r="R697" s="16">
        <f t="shared" si="459"/>
        <v>-56020.967139143002</v>
      </c>
      <c r="S697" s="15">
        <f t="shared" si="434"/>
        <v>22.170849845882874</v>
      </c>
      <c r="T697" s="75">
        <f>S697*(1-PARAM!$C$27)*$I$7+(MOD($B697,60)=PARAM!$B$56)*($B697&gt;(60-PARAM!$B$56))*HLOOKUP(($B697+PARAM!$B$56)/12,Loyalty,2)*$F$1*MAX(V696,0)</f>
        <v>18.557001321003963</v>
      </c>
      <c r="U697" s="75">
        <f>PARAM!$C$26+MAX($G$7-CHOOSE(PARAM!$B$44,MAX(0,V696*$F$1),0),0)*RATES!$L673/12+$H$7*(PARAM!$D$51/12)*RATES!$N673/100</f>
        <v>503.91666666666669</v>
      </c>
      <c r="V697" s="16">
        <f t="shared" si="460"/>
        <v>-56020.967139143002</v>
      </c>
      <c r="W697" s="15">
        <f t="shared" si="435"/>
        <v>22.170849845882874</v>
      </c>
      <c r="X697" s="75">
        <f>W697*(1-PARAM!$C$27)*$I$8+(MOD($B697,60)=PARAM!$B$56)*($B697&gt;(60-PARAM!$B$56))*HLOOKUP(($B697+PARAM!$B$56)/12,Loyalty,2)*$F$1*MAX(Z696,0)</f>
        <v>18.557001321003963</v>
      </c>
      <c r="Y697" s="75">
        <f>PARAM!$C$26+MAX($G$8-CHOOSE(PARAM!$B$44,MAX(0,Z696*$F$1),0),0)*RATES!$L673/12+$H$8*(PARAM!$D$51/12)*RATES!$N673/100</f>
        <v>503.91666666666669</v>
      </c>
      <c r="Z697" s="16">
        <f t="shared" si="461"/>
        <v>-56020.967139143002</v>
      </c>
      <c r="AA697" s="15">
        <f t="shared" si="436"/>
        <v>22.170849845882874</v>
      </c>
      <c r="AB697" s="75">
        <f>AA697*(1-PARAM!$C$27)*$I$9+(MOD($B697,60)=PARAM!$B$56)*($B697&gt;(60-PARAM!$B$56))*HLOOKUP(($B697+PARAM!$B$56)/12,Loyalty,2)*$F$1*MAX(AD696,0)</f>
        <v>18.557001321003963</v>
      </c>
      <c r="AC697" s="75">
        <f>PARAM!$C$26+MAX($G$9-CHOOSE(PARAM!$B$44,MAX(0,AD696*$F$1),0),0)*RATES!$L673/12+$H$9*(PARAM!$D$51/12)*RATES!$N673/100</f>
        <v>503.91666666666669</v>
      </c>
      <c r="AD697" s="16">
        <f t="shared" si="462"/>
        <v>-56020.967139143002</v>
      </c>
      <c r="AE697" s="15">
        <f t="shared" si="437"/>
        <v>22.170849845882874</v>
      </c>
      <c r="AF697" s="75">
        <f>AE697*(1-PARAM!$C$27)*$I$10+(MOD($B697,60)=PARAM!$B$56)*($B697&gt;(60-PARAM!$B$56))*HLOOKUP(($B697+PARAM!$B$56)/12,Loyalty,2)*$F$1*MAX(AH696,0)</f>
        <v>18.557001321003963</v>
      </c>
      <c r="AG697" s="75">
        <f>PARAM!$C$26+MAX($G$10-CHOOSE(PARAM!$B$44,MAX(0,AH696*$F$1),0),0)*RATES!$L673/12+$H$10*(PARAM!$D$51/12)*RATES!$N673/100</f>
        <v>503.91666666666669</v>
      </c>
      <c r="AH697" s="16">
        <f t="shared" si="463"/>
        <v>-56020.967139143002</v>
      </c>
      <c r="AI697" s="15">
        <f t="shared" si="438"/>
        <v>22.170849845882874</v>
      </c>
      <c r="AJ697" s="75">
        <f>AI697*(1-PARAM!$C$27)*$I$11+(MOD($B697,60)=PARAM!$B$56)*($B697&gt;(60-PARAM!$B$56))*HLOOKUP(($B697+PARAM!$B$56)/12,Loyalty,2)*$F$1*MAX(AL696,0)</f>
        <v>18.557001321003963</v>
      </c>
      <c r="AK697" s="75">
        <f>PARAM!$C$26+MAX($G$11-CHOOSE(PARAM!$B$44,MAX(0,AL696*$F$1),0),0)*RATES!$L673/12+$H$11*(PARAM!$D$51/12)*RATES!$N673/100</f>
        <v>503.91666666666669</v>
      </c>
      <c r="AL697" s="16">
        <f t="shared" si="464"/>
        <v>-56020.967139143002</v>
      </c>
      <c r="AM697" s="15">
        <f t="shared" si="439"/>
        <v>22.170849845882874</v>
      </c>
      <c r="AN697" s="75">
        <f>AM697*(1-PARAM!$C$27)*$I$12+(MOD($B697,60)=PARAM!$B$56)*($B697&gt;(60-PARAM!$B$56))*HLOOKUP(($B697+PARAM!$B$56)/12,Loyalty,2)*$F$1*MAX(AP696,0)</f>
        <v>18.557001321003963</v>
      </c>
      <c r="AO697" s="75">
        <f>PARAM!$C$26+MAX($G$12-CHOOSE(PARAM!$B$44,MAX(0,AP696*$F$1),0),0)*RATES!$L673/12+$H$12*(PARAM!$D$51/12)*RATES!$N673/100</f>
        <v>503.91666666666669</v>
      </c>
      <c r="AP697" s="16">
        <f t="shared" si="465"/>
        <v>-56020.967139143002</v>
      </c>
      <c r="AQ697" s="15">
        <f t="shared" si="440"/>
        <v>22.170849845882874</v>
      </c>
      <c r="AR697" s="75">
        <f>AQ697*(1-PARAM!$C$27)*$I$13+(MOD($B697,60)=PARAM!$B$56)*($B697&gt;(60-PARAM!$B$56))*HLOOKUP(($B697+PARAM!$B$56)/12,Loyalty,2)*$F$1*MAX(AT696,0)</f>
        <v>18.557001321003963</v>
      </c>
      <c r="AS697" s="75">
        <f>PARAM!$C$26+MAX($G$13-CHOOSE(PARAM!$B$44,MAX(0,AT696*$F$1),0),0)*RATES!$L673/12+$H$13*(PARAM!$D$51/12)*RATES!$N673/100</f>
        <v>503.91666666666669</v>
      </c>
      <c r="AT697" s="16">
        <f t="shared" si="466"/>
        <v>-56020.967139143002</v>
      </c>
      <c r="AU697" s="15">
        <f t="shared" si="441"/>
        <v>22.170849845882874</v>
      </c>
      <c r="AV697" s="75">
        <f>AU697*(1-PARAM!$C$27)*$I$14+(MOD($B697,60)=PARAM!$B$56)*($B697&gt;(60-PARAM!$B$56))*HLOOKUP(($B697+PARAM!$B$56)/12,Loyalty,2)*$F$1*MAX(AX696,0)</f>
        <v>18.557001321003963</v>
      </c>
      <c r="AW697" s="75">
        <f>PARAM!$C$26+MAX($G$14-CHOOSE(PARAM!$B$44,MAX(0,AX696*$F$1),0),0)*RATES!$L673/12+$H$14*(PARAM!$D$51/12)*RATES!$N673/100</f>
        <v>503.91666666666669</v>
      </c>
      <c r="AX697" s="16">
        <f t="shared" si="467"/>
        <v>-56020.967139143002</v>
      </c>
      <c r="AY697" s="15">
        <f t="shared" si="442"/>
        <v>22.170849845882874</v>
      </c>
      <c r="AZ697" s="75">
        <f>AY697*(1-PARAM!$C$27)*$I$15+(MOD($B697,60)=PARAM!$B$56)*($B697&gt;(60-PARAM!$B$56))*HLOOKUP(($B697+PARAM!$B$56)/12,Loyalty,2)*$F$1*MAX(BB696,0)</f>
        <v>18.557001321003963</v>
      </c>
      <c r="BA697" s="75">
        <f>PARAM!$C$26+MAX($G$15-CHOOSE(PARAM!$B$44,MAX(0,BB696*$F$1),0),0)*RATES!$L673/12+$H$15*(PARAM!$D$51/12)*RATES!$N673/100</f>
        <v>503.91666666666669</v>
      </c>
      <c r="BB697" s="16">
        <f t="shared" si="468"/>
        <v>-56020.967139143002</v>
      </c>
      <c r="BC697" s="15">
        <f t="shared" si="443"/>
        <v>22.170849845882874</v>
      </c>
      <c r="BD697" s="75">
        <f>BC697*(1-PARAM!$C$27)*$I$16+(MOD($B697,60)=PARAM!$B$56)*($B697&gt;(60-PARAM!$B$56))*HLOOKUP(($B697+PARAM!$B$56)/12,Loyalty,2)*$F$1*MAX(BF696,0)</f>
        <v>18.557001321003963</v>
      </c>
      <c r="BE697" s="75">
        <f>PARAM!$C$26+MAX($G$16-CHOOSE(PARAM!$B$44,MAX(0,BF696*$F$1),0),0)*RATES!$L673/12+$H$16*(PARAM!$D$51/12)*RATES!$N673/100</f>
        <v>503.91666666666669</v>
      </c>
      <c r="BF697" s="16">
        <f t="shared" si="469"/>
        <v>-56020.967139143002</v>
      </c>
      <c r="BG697" s="15">
        <f t="shared" si="444"/>
        <v>22.170849845882874</v>
      </c>
      <c r="BH697" s="75">
        <f>BG697*(1-PARAM!$C$27)*$I$17+(MOD($B697,60)=PARAM!$B$56)*($B697&gt;(60-PARAM!$B$56))*HLOOKUP(($B697+PARAM!$B$56)/12,Loyalty,2)*$F$1*MAX(BJ696,0)</f>
        <v>18.557001321003963</v>
      </c>
      <c r="BI697" s="75">
        <f>PARAM!$C$26+MAX($G$17-CHOOSE(PARAM!$B$44,MAX(0,BJ696*$F$1),0),0)*RATES!$L673/12+$H$17*(PARAM!$D$51/12)*RATES!$N673/100</f>
        <v>503.91666666666669</v>
      </c>
      <c r="BJ697" s="16">
        <f t="shared" si="470"/>
        <v>-56020.967139143002</v>
      </c>
      <c r="BK697" s="15">
        <f t="shared" si="445"/>
        <v>22.170849845882874</v>
      </c>
      <c r="BL697" s="75">
        <f>BK697*(1-PARAM!$C$27)*$I$18+(MOD($B697,60)=PARAM!$B$56)*($B697&gt;(60-PARAM!$B$56))*HLOOKUP(($B697+PARAM!$B$56)/12,Loyalty,2)*$F$1*MAX(BN696,0)</f>
        <v>18.557001321003963</v>
      </c>
      <c r="BM697" s="75">
        <f>PARAM!$C$26+MAX($G$18-CHOOSE(PARAM!$B$44,MAX(0,BN696*$F$1),0),0)*RATES!$L673/12+$H$18*(PARAM!$D$51/12)*RATES!$N673/100</f>
        <v>503.91666666666669</v>
      </c>
      <c r="BN697" s="16">
        <f t="shared" si="471"/>
        <v>-56020.967139143002</v>
      </c>
      <c r="BO697" s="15">
        <f t="shared" si="446"/>
        <v>22.170849845882874</v>
      </c>
      <c r="BP697" s="75">
        <f>BO697*(1-PARAM!$C$27)*$I$19+(MOD($B697,60)=PARAM!$B$56)*($B697&gt;(60-PARAM!$B$56))*HLOOKUP(($B697+PARAM!$B$56)/12,Loyalty,2)*$F$1*MAX(BR696,0)</f>
        <v>18.557001321003963</v>
      </c>
      <c r="BQ697" s="75">
        <f>PARAM!$C$26+MAX($G$19-CHOOSE(PARAM!$B$44,MAX(0,BR696*$F$1),0),0)*RATES!$L673/12+$H$19*(PARAM!$D$51/12)*RATES!$N673/100</f>
        <v>503.91666666666669</v>
      </c>
      <c r="BR697" s="16">
        <f t="shared" si="472"/>
        <v>-56020.967139143002</v>
      </c>
      <c r="BS697" s="15">
        <f t="shared" si="447"/>
        <v>22.170849845882874</v>
      </c>
      <c r="BT697" s="75">
        <f>BS697*(1-PARAM!$C$27)*$I$20+(MOD($B697,60)=PARAM!$B$56)*($B697&gt;(60-PARAM!$B$56))*HLOOKUP(($B697+PARAM!$B$56)/12,Loyalty,2)*$F$1*MAX(BV696,0)</f>
        <v>18.557001321003963</v>
      </c>
      <c r="BU697" s="75">
        <f>PARAM!$C$26+MAX($G$20-CHOOSE(PARAM!$B$44,MAX(0,BV696*$F$1),0),0)*RATES!$L673/12+$H$20*(PARAM!$D$51/12)*RATES!$N673/100</f>
        <v>503.91666666666669</v>
      </c>
      <c r="BV697" s="16">
        <f t="shared" si="473"/>
        <v>-56020.967139143002</v>
      </c>
      <c r="BW697" s="15">
        <f t="shared" si="448"/>
        <v>22.170849845882874</v>
      </c>
      <c r="BX697" s="75">
        <f>BW697*(1-PARAM!$C$27)*$I$21+(MOD($B697,60)=PARAM!$B$56)*($B697&gt;(60-PARAM!$B$56))*HLOOKUP(($B697+PARAM!$B$56)/12,Loyalty,2)*$F$1*MAX(BZ696,0)</f>
        <v>18.557001321003963</v>
      </c>
      <c r="BY697" s="75">
        <f>PARAM!$C$26+MAX($G$21-CHOOSE(PARAM!$B$44,MAX(0,BZ696*$F$1),0),0)*RATES!$L673/12+$H$21*(PARAM!$D$51/12)*RATES!$N673/100</f>
        <v>503.91666666666669</v>
      </c>
      <c r="BZ697" s="16">
        <f t="shared" si="474"/>
        <v>-56020.967139143002</v>
      </c>
      <c r="CA697" s="15">
        <f t="shared" si="449"/>
        <v>22.170849845882874</v>
      </c>
      <c r="CB697" s="75">
        <f>CA697*(1-PARAM!$C$27)*$I$22+(MOD($B697,60)=PARAM!$B$56)*($B697&gt;(60-PARAM!$B$56))*HLOOKUP(($B697+PARAM!$B$56)/12,Loyalty,2)*$F$1*MAX(CD696,0)</f>
        <v>18.557001321003963</v>
      </c>
      <c r="CC697" s="75">
        <f>PARAM!$C$26+MAX($G$22-CHOOSE(PARAM!$B$44,MAX(0,CD696*$F$1),0),0)*RATES!$L673/12+$H$22*(PARAM!$D$51/12)*RATES!$N673/100</f>
        <v>503.91666666666669</v>
      </c>
      <c r="CD697" s="16">
        <f t="shared" si="475"/>
        <v>-56020.967139143002</v>
      </c>
      <c r="CE697" s="33">
        <f>IF(0=MOD(B697,12/PARAM!$D$51),1,0)</f>
        <v>1</v>
      </c>
      <c r="CF697" s="15">
        <f t="shared" si="450"/>
        <v>0</v>
      </c>
      <c r="CG697" s="75">
        <f>CF697*(1-PARAM!$C$27)*$R$3+(MOD($B697/12,5)=0)*($B697&gt;60)*HLOOKUP($B697/12,Loyalty,2)*$F$1*MAX(CI696,0)</f>
        <v>0</v>
      </c>
      <c r="CH697" s="75">
        <f>PARAM!$C$26+MAX($P$3-CHOOSE(PARAM!$B$44,MAX(0,CI696*$F$1),0),0)*RATES!$L673/12+$Q$3*(PARAM!$D$51/12)*RATES!$N673/100</f>
        <v>503.91666666666669</v>
      </c>
      <c r="CI697" s="16">
        <f>IF(CI696&gt;0,CI696*PARAM!$C$53,CI696)+CG697-CH697</f>
        <v>-68334.583333333358</v>
      </c>
      <c r="CJ697" s="15">
        <f t="shared" si="476"/>
        <v>0</v>
      </c>
      <c r="CK697" s="75">
        <f>CJ697*(1-PARAM!$C$27)*$R$4+(MOD($B697/12,5)=0)*($B697&gt;60)*HLOOKUP($B697/12,Loyalty,2)*$F$1*MAX(CM696,0)</f>
        <v>0</v>
      </c>
      <c r="CL697" s="75">
        <f>PARAM!$C$26+MAX($P$4-CHOOSE(PARAM!$B$44,MAX(0,CM696*$F$1),0),0)*RATES!$L673/12+$Q$4*(PARAM!$D$51/12)*RATES!$N673/100</f>
        <v>503.91666666666669</v>
      </c>
      <c r="CM697" s="16">
        <f>IF(CM696&gt;0,CM696*PARAM!$C$53,CM696)+CK697-CL697</f>
        <v>-68334.583333333358</v>
      </c>
      <c r="CO697" s="176"/>
    </row>
    <row r="698" spans="1:93" x14ac:dyDescent="0.2">
      <c r="A698" t="b">
        <f t="shared" si="451"/>
        <v>0</v>
      </c>
      <c r="B698" s="33">
        <v>671</v>
      </c>
      <c r="C698" s="15">
        <f t="shared" si="452"/>
        <v>20.081305947392778</v>
      </c>
      <c r="D698" s="75">
        <f>C698*(1-PARAM!$C$27)*$I$3+(MOD($B698,60)=PARAM!$B$56)*($B698&gt;(60-PARAM!$B$56))*HLOOKUP(($B698+PARAM!$B$56)/12,Loyalty,2)*$F$1*MAX(F697,0)</f>
        <v>16.808053077967756</v>
      </c>
      <c r="E698" s="75">
        <f>PARAM!$C$26+MAX($G$3-CHOOSE(PARAM!$B$44,MAX(0,F697*$F$1),0),0)*RATES!$L674/12+$H$3*(PARAM!$D$51/12)*RATES!$N674/100</f>
        <v>503.91666666666669</v>
      </c>
      <c r="F698" s="16">
        <f t="shared" si="453"/>
        <v>-57716.721576087373</v>
      </c>
      <c r="G698" s="15">
        <f t="shared" si="454"/>
        <v>22.035289406060361</v>
      </c>
      <c r="H698" s="75">
        <f>G698*(1-PARAM!$C$27)*$I$4+(MOD($B698,60)=PARAM!$B$56)*($B698&gt;(60-PARAM!$B$56))*HLOOKUP(($B698+PARAM!$B$56)/12,Loyalty,2)*$F$1*MAX(J697,0)</f>
        <v>18.443537232872522</v>
      </c>
      <c r="I698" s="75">
        <f>PARAM!$C$26+MAX($G$4-CHOOSE(PARAM!$B$44,MAX(0,J697*$F$1),0),0)*RATES!$L674/12+$H$4*(PARAM!$D$51/12)*RATES!$N674/100</f>
        <v>503.91666666666669</v>
      </c>
      <c r="J698" s="16">
        <f t="shared" si="455"/>
        <v>-56585.478744024498</v>
      </c>
      <c r="K698" s="15">
        <f t="shared" si="456"/>
        <v>22.170849845882874</v>
      </c>
      <c r="L698" s="75">
        <f>K698*(1-PARAM!$C$27)*$I$5+(MOD($B698,60)=PARAM!$B$56)*($B698&gt;(60-PARAM!$B$56))*HLOOKUP(($B698+PARAM!$B$56)/12,Loyalty,2)*$F$1*MAX(N697,0)</f>
        <v>18.557001321003963</v>
      </c>
      <c r="M698" s="75">
        <f>PARAM!$C$26+MAX($G$5-CHOOSE(PARAM!$B$44,MAX(0,N697*$F$1),0),0)*RATES!$L674/12+$H$5*(PARAM!$D$51/12)*RATES!$N674/100</f>
        <v>503.91666666666669</v>
      </c>
      <c r="N698" s="16">
        <f t="shared" si="457"/>
        <v>-56506.326804488664</v>
      </c>
      <c r="O698" s="15">
        <f t="shared" si="458"/>
        <v>22.170849845882874</v>
      </c>
      <c r="P698" s="75">
        <f>O698*(1-PARAM!$C$27)*$I$6+(MOD($B698,60)=PARAM!$B$56)*($B698&gt;(60-PARAM!$B$56))*HLOOKUP(($B698+PARAM!$B$56)/12,Loyalty,2)*$F$1*MAX(R697,0)</f>
        <v>18.557001321003963</v>
      </c>
      <c r="Q698" s="75">
        <f>PARAM!$C$26+MAX($G$6-CHOOSE(PARAM!$B$44,MAX(0,R697*$F$1),0),0)*RATES!$L674/12+$H$6*(PARAM!$D$51/12)*RATES!$N674/100</f>
        <v>503.91666666666669</v>
      </c>
      <c r="R698" s="16">
        <f t="shared" si="459"/>
        <v>-56506.326804488664</v>
      </c>
      <c r="S698" s="15">
        <f t="shared" si="434"/>
        <v>22.170849845882874</v>
      </c>
      <c r="T698" s="75">
        <f>S698*(1-PARAM!$C$27)*$I$7+(MOD($B698,60)=PARAM!$B$56)*($B698&gt;(60-PARAM!$B$56))*HLOOKUP(($B698+PARAM!$B$56)/12,Loyalty,2)*$F$1*MAX(V697,0)</f>
        <v>18.557001321003963</v>
      </c>
      <c r="U698" s="75">
        <f>PARAM!$C$26+MAX($G$7-CHOOSE(PARAM!$B$44,MAX(0,V697*$F$1),0),0)*RATES!$L674/12+$H$7*(PARAM!$D$51/12)*RATES!$N674/100</f>
        <v>503.91666666666669</v>
      </c>
      <c r="V698" s="16">
        <f t="shared" si="460"/>
        <v>-56506.326804488664</v>
      </c>
      <c r="W698" s="15">
        <f t="shared" si="435"/>
        <v>22.170849845882874</v>
      </c>
      <c r="X698" s="75">
        <f>W698*(1-PARAM!$C$27)*$I$8+(MOD($B698,60)=PARAM!$B$56)*($B698&gt;(60-PARAM!$B$56))*HLOOKUP(($B698+PARAM!$B$56)/12,Loyalty,2)*$F$1*MAX(Z697,0)</f>
        <v>18.557001321003963</v>
      </c>
      <c r="Y698" s="75">
        <f>PARAM!$C$26+MAX($G$8-CHOOSE(PARAM!$B$44,MAX(0,Z697*$F$1),0),0)*RATES!$L674/12+$H$8*(PARAM!$D$51/12)*RATES!$N674/100</f>
        <v>503.91666666666669</v>
      </c>
      <c r="Z698" s="16">
        <f t="shared" si="461"/>
        <v>-56506.326804488664</v>
      </c>
      <c r="AA698" s="15">
        <f t="shared" si="436"/>
        <v>22.170849845882874</v>
      </c>
      <c r="AB698" s="75">
        <f>AA698*(1-PARAM!$C$27)*$I$9+(MOD($B698,60)=PARAM!$B$56)*($B698&gt;(60-PARAM!$B$56))*HLOOKUP(($B698+PARAM!$B$56)/12,Loyalty,2)*$F$1*MAX(AD697,0)</f>
        <v>18.557001321003963</v>
      </c>
      <c r="AC698" s="75">
        <f>PARAM!$C$26+MAX($G$9-CHOOSE(PARAM!$B$44,MAX(0,AD697*$F$1),0),0)*RATES!$L674/12+$H$9*(PARAM!$D$51/12)*RATES!$N674/100</f>
        <v>503.91666666666669</v>
      </c>
      <c r="AD698" s="16">
        <f t="shared" si="462"/>
        <v>-56506.326804488664</v>
      </c>
      <c r="AE698" s="15">
        <f t="shared" si="437"/>
        <v>22.170849845882874</v>
      </c>
      <c r="AF698" s="75">
        <f>AE698*(1-PARAM!$C$27)*$I$10+(MOD($B698,60)=PARAM!$B$56)*($B698&gt;(60-PARAM!$B$56))*HLOOKUP(($B698+PARAM!$B$56)/12,Loyalty,2)*$F$1*MAX(AH697,0)</f>
        <v>18.557001321003963</v>
      </c>
      <c r="AG698" s="75">
        <f>PARAM!$C$26+MAX($G$10-CHOOSE(PARAM!$B$44,MAX(0,AH697*$F$1),0),0)*RATES!$L674/12+$H$10*(PARAM!$D$51/12)*RATES!$N674/100</f>
        <v>503.91666666666669</v>
      </c>
      <c r="AH698" s="16">
        <f t="shared" si="463"/>
        <v>-56506.326804488664</v>
      </c>
      <c r="AI698" s="15">
        <f t="shared" si="438"/>
        <v>22.170849845882874</v>
      </c>
      <c r="AJ698" s="75">
        <f>AI698*(1-PARAM!$C$27)*$I$11+(MOD($B698,60)=PARAM!$B$56)*($B698&gt;(60-PARAM!$B$56))*HLOOKUP(($B698+PARAM!$B$56)/12,Loyalty,2)*$F$1*MAX(AL697,0)</f>
        <v>18.557001321003963</v>
      </c>
      <c r="AK698" s="75">
        <f>PARAM!$C$26+MAX($G$11-CHOOSE(PARAM!$B$44,MAX(0,AL697*$F$1),0),0)*RATES!$L674/12+$H$11*(PARAM!$D$51/12)*RATES!$N674/100</f>
        <v>503.91666666666669</v>
      </c>
      <c r="AL698" s="16">
        <f t="shared" si="464"/>
        <v>-56506.326804488664</v>
      </c>
      <c r="AM698" s="15">
        <f t="shared" si="439"/>
        <v>22.170849845882874</v>
      </c>
      <c r="AN698" s="75">
        <f>AM698*(1-PARAM!$C$27)*$I$12+(MOD($B698,60)=PARAM!$B$56)*($B698&gt;(60-PARAM!$B$56))*HLOOKUP(($B698+PARAM!$B$56)/12,Loyalty,2)*$F$1*MAX(AP697,0)</f>
        <v>18.557001321003963</v>
      </c>
      <c r="AO698" s="75">
        <f>PARAM!$C$26+MAX($G$12-CHOOSE(PARAM!$B$44,MAX(0,AP697*$F$1),0),0)*RATES!$L674/12+$H$12*(PARAM!$D$51/12)*RATES!$N674/100</f>
        <v>503.91666666666669</v>
      </c>
      <c r="AP698" s="16">
        <f t="shared" si="465"/>
        <v>-56506.326804488664</v>
      </c>
      <c r="AQ698" s="15">
        <f t="shared" si="440"/>
        <v>22.170849845882874</v>
      </c>
      <c r="AR698" s="75">
        <f>AQ698*(1-PARAM!$C$27)*$I$13+(MOD($B698,60)=PARAM!$B$56)*($B698&gt;(60-PARAM!$B$56))*HLOOKUP(($B698+PARAM!$B$56)/12,Loyalty,2)*$F$1*MAX(AT697,0)</f>
        <v>18.557001321003963</v>
      </c>
      <c r="AS698" s="75">
        <f>PARAM!$C$26+MAX($G$13-CHOOSE(PARAM!$B$44,MAX(0,AT697*$F$1),0),0)*RATES!$L674/12+$H$13*(PARAM!$D$51/12)*RATES!$N674/100</f>
        <v>503.91666666666669</v>
      </c>
      <c r="AT698" s="16">
        <f t="shared" si="466"/>
        <v>-56506.326804488664</v>
      </c>
      <c r="AU698" s="15">
        <f t="shared" si="441"/>
        <v>22.170849845882874</v>
      </c>
      <c r="AV698" s="75">
        <f>AU698*(1-PARAM!$C$27)*$I$14+(MOD($B698,60)=PARAM!$B$56)*($B698&gt;(60-PARAM!$B$56))*HLOOKUP(($B698+PARAM!$B$56)/12,Loyalty,2)*$F$1*MAX(AX697,0)</f>
        <v>18.557001321003963</v>
      </c>
      <c r="AW698" s="75">
        <f>PARAM!$C$26+MAX($G$14-CHOOSE(PARAM!$B$44,MAX(0,AX697*$F$1),0),0)*RATES!$L674/12+$H$14*(PARAM!$D$51/12)*RATES!$N674/100</f>
        <v>503.91666666666669</v>
      </c>
      <c r="AX698" s="16">
        <f t="shared" si="467"/>
        <v>-56506.326804488664</v>
      </c>
      <c r="AY698" s="15">
        <f t="shared" si="442"/>
        <v>22.170849845882874</v>
      </c>
      <c r="AZ698" s="75">
        <f>AY698*(1-PARAM!$C$27)*$I$15+(MOD($B698,60)=PARAM!$B$56)*($B698&gt;(60-PARAM!$B$56))*HLOOKUP(($B698+PARAM!$B$56)/12,Loyalty,2)*$F$1*MAX(BB697,0)</f>
        <v>18.557001321003963</v>
      </c>
      <c r="BA698" s="75">
        <f>PARAM!$C$26+MAX($G$15-CHOOSE(PARAM!$B$44,MAX(0,BB697*$F$1),0),0)*RATES!$L674/12+$H$15*(PARAM!$D$51/12)*RATES!$N674/100</f>
        <v>503.91666666666669</v>
      </c>
      <c r="BB698" s="16">
        <f t="shared" si="468"/>
        <v>-56506.326804488664</v>
      </c>
      <c r="BC698" s="15">
        <f t="shared" si="443"/>
        <v>22.170849845882874</v>
      </c>
      <c r="BD698" s="75">
        <f>BC698*(1-PARAM!$C$27)*$I$16+(MOD($B698,60)=PARAM!$B$56)*($B698&gt;(60-PARAM!$B$56))*HLOOKUP(($B698+PARAM!$B$56)/12,Loyalty,2)*$F$1*MAX(BF697,0)</f>
        <v>18.557001321003963</v>
      </c>
      <c r="BE698" s="75">
        <f>PARAM!$C$26+MAX($G$16-CHOOSE(PARAM!$B$44,MAX(0,BF697*$F$1),0),0)*RATES!$L674/12+$H$16*(PARAM!$D$51/12)*RATES!$N674/100</f>
        <v>503.91666666666669</v>
      </c>
      <c r="BF698" s="16">
        <f t="shared" si="469"/>
        <v>-56506.326804488664</v>
      </c>
      <c r="BG698" s="15">
        <f t="shared" si="444"/>
        <v>22.170849845882874</v>
      </c>
      <c r="BH698" s="75">
        <f>BG698*(1-PARAM!$C$27)*$I$17+(MOD($B698,60)=PARAM!$B$56)*($B698&gt;(60-PARAM!$B$56))*HLOOKUP(($B698+PARAM!$B$56)/12,Loyalty,2)*$F$1*MAX(BJ697,0)</f>
        <v>18.557001321003963</v>
      </c>
      <c r="BI698" s="75">
        <f>PARAM!$C$26+MAX($G$17-CHOOSE(PARAM!$B$44,MAX(0,BJ697*$F$1),0),0)*RATES!$L674/12+$H$17*(PARAM!$D$51/12)*RATES!$N674/100</f>
        <v>503.91666666666669</v>
      </c>
      <c r="BJ698" s="16">
        <f t="shared" si="470"/>
        <v>-56506.326804488664</v>
      </c>
      <c r="BK698" s="15">
        <f t="shared" si="445"/>
        <v>22.170849845882874</v>
      </c>
      <c r="BL698" s="75">
        <f>BK698*(1-PARAM!$C$27)*$I$18+(MOD($B698,60)=PARAM!$B$56)*($B698&gt;(60-PARAM!$B$56))*HLOOKUP(($B698+PARAM!$B$56)/12,Loyalty,2)*$F$1*MAX(BN697,0)</f>
        <v>18.557001321003963</v>
      </c>
      <c r="BM698" s="75">
        <f>PARAM!$C$26+MAX($G$18-CHOOSE(PARAM!$B$44,MAX(0,BN697*$F$1),0),0)*RATES!$L674/12+$H$18*(PARAM!$D$51/12)*RATES!$N674/100</f>
        <v>503.91666666666669</v>
      </c>
      <c r="BN698" s="16">
        <f t="shared" si="471"/>
        <v>-56506.326804488664</v>
      </c>
      <c r="BO698" s="15">
        <f t="shared" si="446"/>
        <v>22.170849845882874</v>
      </c>
      <c r="BP698" s="75">
        <f>BO698*(1-PARAM!$C$27)*$I$19+(MOD($B698,60)=PARAM!$B$56)*($B698&gt;(60-PARAM!$B$56))*HLOOKUP(($B698+PARAM!$B$56)/12,Loyalty,2)*$F$1*MAX(BR697,0)</f>
        <v>18.557001321003963</v>
      </c>
      <c r="BQ698" s="75">
        <f>PARAM!$C$26+MAX($G$19-CHOOSE(PARAM!$B$44,MAX(0,BR697*$F$1),0),0)*RATES!$L674/12+$H$19*(PARAM!$D$51/12)*RATES!$N674/100</f>
        <v>503.91666666666669</v>
      </c>
      <c r="BR698" s="16">
        <f t="shared" si="472"/>
        <v>-56506.326804488664</v>
      </c>
      <c r="BS698" s="15">
        <f t="shared" si="447"/>
        <v>22.170849845882874</v>
      </c>
      <c r="BT698" s="75">
        <f>BS698*(1-PARAM!$C$27)*$I$20+(MOD($B698,60)=PARAM!$B$56)*($B698&gt;(60-PARAM!$B$56))*HLOOKUP(($B698+PARAM!$B$56)/12,Loyalty,2)*$F$1*MAX(BV697,0)</f>
        <v>18.557001321003963</v>
      </c>
      <c r="BU698" s="75">
        <f>PARAM!$C$26+MAX($G$20-CHOOSE(PARAM!$B$44,MAX(0,BV697*$F$1),0),0)*RATES!$L674/12+$H$20*(PARAM!$D$51/12)*RATES!$N674/100</f>
        <v>503.91666666666669</v>
      </c>
      <c r="BV698" s="16">
        <f t="shared" si="473"/>
        <v>-56506.326804488664</v>
      </c>
      <c r="BW698" s="15">
        <f t="shared" si="448"/>
        <v>22.170849845882874</v>
      </c>
      <c r="BX698" s="75">
        <f>BW698*(1-PARAM!$C$27)*$I$21+(MOD($B698,60)=PARAM!$B$56)*($B698&gt;(60-PARAM!$B$56))*HLOOKUP(($B698+PARAM!$B$56)/12,Loyalty,2)*$F$1*MAX(BZ697,0)</f>
        <v>18.557001321003963</v>
      </c>
      <c r="BY698" s="75">
        <f>PARAM!$C$26+MAX($G$21-CHOOSE(PARAM!$B$44,MAX(0,BZ697*$F$1),0),0)*RATES!$L674/12+$H$21*(PARAM!$D$51/12)*RATES!$N674/100</f>
        <v>503.91666666666669</v>
      </c>
      <c r="BZ698" s="16">
        <f t="shared" si="474"/>
        <v>-56506.326804488664</v>
      </c>
      <c r="CA698" s="15">
        <f t="shared" si="449"/>
        <v>22.170849845882874</v>
      </c>
      <c r="CB698" s="75">
        <f>CA698*(1-PARAM!$C$27)*$I$22+(MOD($B698,60)=PARAM!$B$56)*($B698&gt;(60-PARAM!$B$56))*HLOOKUP(($B698+PARAM!$B$56)/12,Loyalty,2)*$F$1*MAX(CD697,0)</f>
        <v>18.557001321003963</v>
      </c>
      <c r="CC698" s="75">
        <f>PARAM!$C$26+MAX($G$22-CHOOSE(PARAM!$B$44,MAX(0,CD697*$F$1),0),0)*RATES!$L674/12+$H$22*(PARAM!$D$51/12)*RATES!$N674/100</f>
        <v>503.91666666666669</v>
      </c>
      <c r="CD698" s="16">
        <f t="shared" si="475"/>
        <v>-56506.326804488664</v>
      </c>
      <c r="CE698" s="33">
        <f>IF(0=MOD(B698,12/PARAM!$D$51),1,0)</f>
        <v>1</v>
      </c>
      <c r="CF698" s="15">
        <f t="shared" si="450"/>
        <v>0</v>
      </c>
      <c r="CG698" s="75">
        <f>CF698*(1-PARAM!$C$27)*$R$3+(MOD($B698/12,5)=0)*($B698&gt;60)*HLOOKUP($B698/12,Loyalty,2)*$F$1*MAX(CI697,0)</f>
        <v>0</v>
      </c>
      <c r="CH698" s="75">
        <f>PARAM!$C$26+MAX($P$3-CHOOSE(PARAM!$B$44,MAX(0,CI697*$F$1),0),0)*RATES!$L674/12+$Q$3*(PARAM!$D$51/12)*RATES!$N674/100</f>
        <v>503.91666666666669</v>
      </c>
      <c r="CI698" s="16">
        <f>IF(CI697&gt;0,CI697*PARAM!$C$53,CI697)+CG698-CH698</f>
        <v>-68838.500000000029</v>
      </c>
      <c r="CJ698" s="15">
        <f t="shared" si="476"/>
        <v>0</v>
      </c>
      <c r="CK698" s="75">
        <f>CJ698*(1-PARAM!$C$27)*$R$4+(MOD($B698/12,5)=0)*($B698&gt;60)*HLOOKUP($B698/12,Loyalty,2)*$F$1*MAX(CM697,0)</f>
        <v>0</v>
      </c>
      <c r="CL698" s="75">
        <f>PARAM!$C$26+MAX($P$4-CHOOSE(PARAM!$B$44,MAX(0,CM697*$F$1),0),0)*RATES!$L674/12+$Q$4*(PARAM!$D$51/12)*RATES!$N674/100</f>
        <v>503.91666666666669</v>
      </c>
      <c r="CM698" s="16">
        <f>IF(CM697&gt;0,CM697*PARAM!$C$53,CM697)+CK698-CL698</f>
        <v>-68838.500000000029</v>
      </c>
      <c r="CO698" s="176"/>
    </row>
    <row r="699" spans="1:93" x14ac:dyDescent="0.2">
      <c r="A699" t="b">
        <f t="shared" si="451"/>
        <v>0</v>
      </c>
      <c r="B699" s="33">
        <v>672</v>
      </c>
      <c r="C699" s="15">
        <f t="shared" si="452"/>
        <v>20.081305947392778</v>
      </c>
      <c r="D699" s="75">
        <f>C699*(1-PARAM!$C$27)*$I$3+(MOD($B699,60)=PARAM!$B$56)*($B699&gt;(60-PARAM!$B$56))*HLOOKUP(($B699+PARAM!$B$56)/12,Loyalty,2)*$F$1*MAX(F698,0)</f>
        <v>16.808053077967756</v>
      </c>
      <c r="E699" s="75">
        <f>PARAM!$C$26+MAX($G$3-CHOOSE(PARAM!$B$44,MAX(0,F698*$F$1),0),0)*RATES!$L675/12+$H$3*(PARAM!$D$51/12)*RATES!$N675/100</f>
        <v>503.91666666666669</v>
      </c>
      <c r="F699" s="16">
        <f t="shared" si="453"/>
        <v>-58203.830189676068</v>
      </c>
      <c r="G699" s="15">
        <f t="shared" si="454"/>
        <v>22.035289406060361</v>
      </c>
      <c r="H699" s="75">
        <f>G699*(1-PARAM!$C$27)*$I$4+(MOD($B699,60)=PARAM!$B$56)*($B699&gt;(60-PARAM!$B$56))*HLOOKUP(($B699+PARAM!$B$56)/12,Loyalty,2)*$F$1*MAX(J698,0)</f>
        <v>18.443537232872522</v>
      </c>
      <c r="I699" s="75">
        <f>PARAM!$C$26+MAX($G$4-CHOOSE(PARAM!$B$44,MAX(0,J698*$F$1),0),0)*RATES!$L675/12+$H$4*(PARAM!$D$51/12)*RATES!$N675/100</f>
        <v>503.91666666666669</v>
      </c>
      <c r="J699" s="16">
        <f t="shared" si="455"/>
        <v>-57070.951873458289</v>
      </c>
      <c r="K699" s="15">
        <f t="shared" si="456"/>
        <v>22.170849845882874</v>
      </c>
      <c r="L699" s="75">
        <f>K699*(1-PARAM!$C$27)*$I$5+(MOD($B699,60)=PARAM!$B$56)*($B699&gt;(60-PARAM!$B$56))*HLOOKUP(($B699+PARAM!$B$56)/12,Loyalty,2)*$F$1*MAX(N698,0)</f>
        <v>18.557001321003963</v>
      </c>
      <c r="M699" s="75">
        <f>PARAM!$C$26+MAX($G$5-CHOOSE(PARAM!$B$44,MAX(0,N698*$F$1),0),0)*RATES!$L675/12+$H$5*(PARAM!$D$51/12)*RATES!$N675/100</f>
        <v>503.91666666666669</v>
      </c>
      <c r="N699" s="16">
        <f t="shared" si="457"/>
        <v>-56991.686469834327</v>
      </c>
      <c r="O699" s="15">
        <f t="shared" si="458"/>
        <v>22.170849845882874</v>
      </c>
      <c r="P699" s="75">
        <f>O699*(1-PARAM!$C$27)*$I$6+(MOD($B699,60)=PARAM!$B$56)*($B699&gt;(60-PARAM!$B$56))*HLOOKUP(($B699+PARAM!$B$56)/12,Loyalty,2)*$F$1*MAX(R698,0)</f>
        <v>18.557001321003963</v>
      </c>
      <c r="Q699" s="75">
        <f>PARAM!$C$26+MAX($G$6-CHOOSE(PARAM!$B$44,MAX(0,R698*$F$1),0),0)*RATES!$L675/12+$H$6*(PARAM!$D$51/12)*RATES!$N675/100</f>
        <v>503.91666666666669</v>
      </c>
      <c r="R699" s="16">
        <f t="shared" si="459"/>
        <v>-56991.686469834327</v>
      </c>
      <c r="S699" s="15">
        <f t="shared" si="434"/>
        <v>22.170849845882874</v>
      </c>
      <c r="T699" s="75">
        <f>S699*(1-PARAM!$C$27)*$I$7+(MOD($B699,60)=PARAM!$B$56)*($B699&gt;(60-PARAM!$B$56))*HLOOKUP(($B699+PARAM!$B$56)/12,Loyalty,2)*$F$1*MAX(V698,0)</f>
        <v>18.557001321003963</v>
      </c>
      <c r="U699" s="75">
        <f>PARAM!$C$26+MAX($G$7-CHOOSE(PARAM!$B$44,MAX(0,V698*$F$1),0),0)*RATES!$L675/12+$H$7*(PARAM!$D$51/12)*RATES!$N675/100</f>
        <v>503.91666666666669</v>
      </c>
      <c r="V699" s="16">
        <f t="shared" si="460"/>
        <v>-56991.686469834327</v>
      </c>
      <c r="W699" s="15">
        <f t="shared" si="435"/>
        <v>22.170849845882874</v>
      </c>
      <c r="X699" s="75">
        <f>W699*(1-PARAM!$C$27)*$I$8+(MOD($B699,60)=PARAM!$B$56)*($B699&gt;(60-PARAM!$B$56))*HLOOKUP(($B699+PARAM!$B$56)/12,Loyalty,2)*$F$1*MAX(Z698,0)</f>
        <v>18.557001321003963</v>
      </c>
      <c r="Y699" s="75">
        <f>PARAM!$C$26+MAX($G$8-CHOOSE(PARAM!$B$44,MAX(0,Z698*$F$1),0),0)*RATES!$L675/12+$H$8*(PARAM!$D$51/12)*RATES!$N675/100</f>
        <v>503.91666666666669</v>
      </c>
      <c r="Z699" s="16">
        <f t="shared" si="461"/>
        <v>-56991.686469834327</v>
      </c>
      <c r="AA699" s="15">
        <f t="shared" si="436"/>
        <v>22.170849845882874</v>
      </c>
      <c r="AB699" s="75">
        <f>AA699*(1-PARAM!$C$27)*$I$9+(MOD($B699,60)=PARAM!$B$56)*($B699&gt;(60-PARAM!$B$56))*HLOOKUP(($B699+PARAM!$B$56)/12,Loyalty,2)*$F$1*MAX(AD698,0)</f>
        <v>18.557001321003963</v>
      </c>
      <c r="AC699" s="75">
        <f>PARAM!$C$26+MAX($G$9-CHOOSE(PARAM!$B$44,MAX(0,AD698*$F$1),0),0)*RATES!$L675/12+$H$9*(PARAM!$D$51/12)*RATES!$N675/100</f>
        <v>503.91666666666669</v>
      </c>
      <c r="AD699" s="16">
        <f t="shared" si="462"/>
        <v>-56991.686469834327</v>
      </c>
      <c r="AE699" s="15">
        <f t="shared" si="437"/>
        <v>22.170849845882874</v>
      </c>
      <c r="AF699" s="75">
        <f>AE699*(1-PARAM!$C$27)*$I$10+(MOD($B699,60)=PARAM!$B$56)*($B699&gt;(60-PARAM!$B$56))*HLOOKUP(($B699+PARAM!$B$56)/12,Loyalty,2)*$F$1*MAX(AH698,0)</f>
        <v>18.557001321003963</v>
      </c>
      <c r="AG699" s="75">
        <f>PARAM!$C$26+MAX($G$10-CHOOSE(PARAM!$B$44,MAX(0,AH698*$F$1),0),0)*RATES!$L675/12+$H$10*(PARAM!$D$51/12)*RATES!$N675/100</f>
        <v>503.91666666666669</v>
      </c>
      <c r="AH699" s="16">
        <f t="shared" si="463"/>
        <v>-56991.686469834327</v>
      </c>
      <c r="AI699" s="15">
        <f t="shared" si="438"/>
        <v>22.170849845882874</v>
      </c>
      <c r="AJ699" s="75">
        <f>AI699*(1-PARAM!$C$27)*$I$11+(MOD($B699,60)=PARAM!$B$56)*($B699&gt;(60-PARAM!$B$56))*HLOOKUP(($B699+PARAM!$B$56)/12,Loyalty,2)*$F$1*MAX(AL698,0)</f>
        <v>18.557001321003963</v>
      </c>
      <c r="AK699" s="75">
        <f>PARAM!$C$26+MAX($G$11-CHOOSE(PARAM!$B$44,MAX(0,AL698*$F$1),0),0)*RATES!$L675/12+$H$11*(PARAM!$D$51/12)*RATES!$N675/100</f>
        <v>503.91666666666669</v>
      </c>
      <c r="AL699" s="16">
        <f t="shared" si="464"/>
        <v>-56991.686469834327</v>
      </c>
      <c r="AM699" s="15">
        <f t="shared" si="439"/>
        <v>22.170849845882874</v>
      </c>
      <c r="AN699" s="75">
        <f>AM699*(1-PARAM!$C$27)*$I$12+(MOD($B699,60)=PARAM!$B$56)*($B699&gt;(60-PARAM!$B$56))*HLOOKUP(($B699+PARAM!$B$56)/12,Loyalty,2)*$F$1*MAX(AP698,0)</f>
        <v>18.557001321003963</v>
      </c>
      <c r="AO699" s="75">
        <f>PARAM!$C$26+MAX($G$12-CHOOSE(PARAM!$B$44,MAX(0,AP698*$F$1),0),0)*RATES!$L675/12+$H$12*(PARAM!$D$51/12)*RATES!$N675/100</f>
        <v>503.91666666666669</v>
      </c>
      <c r="AP699" s="16">
        <f t="shared" si="465"/>
        <v>-56991.686469834327</v>
      </c>
      <c r="AQ699" s="15">
        <f t="shared" si="440"/>
        <v>22.170849845882874</v>
      </c>
      <c r="AR699" s="75">
        <f>AQ699*(1-PARAM!$C$27)*$I$13+(MOD($B699,60)=PARAM!$B$56)*($B699&gt;(60-PARAM!$B$56))*HLOOKUP(($B699+PARAM!$B$56)/12,Loyalty,2)*$F$1*MAX(AT698,0)</f>
        <v>18.557001321003963</v>
      </c>
      <c r="AS699" s="75">
        <f>PARAM!$C$26+MAX($G$13-CHOOSE(PARAM!$B$44,MAX(0,AT698*$F$1),0),0)*RATES!$L675/12+$H$13*(PARAM!$D$51/12)*RATES!$N675/100</f>
        <v>503.91666666666669</v>
      </c>
      <c r="AT699" s="16">
        <f t="shared" si="466"/>
        <v>-56991.686469834327</v>
      </c>
      <c r="AU699" s="15">
        <f t="shared" si="441"/>
        <v>22.170849845882874</v>
      </c>
      <c r="AV699" s="75">
        <f>AU699*(1-PARAM!$C$27)*$I$14+(MOD($B699,60)=PARAM!$B$56)*($B699&gt;(60-PARAM!$B$56))*HLOOKUP(($B699+PARAM!$B$56)/12,Loyalty,2)*$F$1*MAX(AX698,0)</f>
        <v>18.557001321003963</v>
      </c>
      <c r="AW699" s="75">
        <f>PARAM!$C$26+MAX($G$14-CHOOSE(PARAM!$B$44,MAX(0,AX698*$F$1),0),0)*RATES!$L675/12+$H$14*(PARAM!$D$51/12)*RATES!$N675/100</f>
        <v>503.91666666666669</v>
      </c>
      <c r="AX699" s="16">
        <f t="shared" si="467"/>
        <v>-56991.686469834327</v>
      </c>
      <c r="AY699" s="15">
        <f t="shared" si="442"/>
        <v>22.170849845882874</v>
      </c>
      <c r="AZ699" s="75">
        <f>AY699*(1-PARAM!$C$27)*$I$15+(MOD($B699,60)=PARAM!$B$56)*($B699&gt;(60-PARAM!$B$56))*HLOOKUP(($B699+PARAM!$B$56)/12,Loyalty,2)*$F$1*MAX(BB698,0)</f>
        <v>18.557001321003963</v>
      </c>
      <c r="BA699" s="75">
        <f>PARAM!$C$26+MAX($G$15-CHOOSE(PARAM!$B$44,MAX(0,BB698*$F$1),0),0)*RATES!$L675/12+$H$15*(PARAM!$D$51/12)*RATES!$N675/100</f>
        <v>503.91666666666669</v>
      </c>
      <c r="BB699" s="16">
        <f t="shared" si="468"/>
        <v>-56991.686469834327</v>
      </c>
      <c r="BC699" s="15">
        <f t="shared" si="443"/>
        <v>22.170849845882874</v>
      </c>
      <c r="BD699" s="75">
        <f>BC699*(1-PARAM!$C$27)*$I$16+(MOD($B699,60)=PARAM!$B$56)*($B699&gt;(60-PARAM!$B$56))*HLOOKUP(($B699+PARAM!$B$56)/12,Loyalty,2)*$F$1*MAX(BF698,0)</f>
        <v>18.557001321003963</v>
      </c>
      <c r="BE699" s="75">
        <f>PARAM!$C$26+MAX($G$16-CHOOSE(PARAM!$B$44,MAX(0,BF698*$F$1),0),0)*RATES!$L675/12+$H$16*(PARAM!$D$51/12)*RATES!$N675/100</f>
        <v>503.91666666666669</v>
      </c>
      <c r="BF699" s="16">
        <f t="shared" si="469"/>
        <v>-56991.686469834327</v>
      </c>
      <c r="BG699" s="15">
        <f t="shared" si="444"/>
        <v>22.170849845882874</v>
      </c>
      <c r="BH699" s="75">
        <f>BG699*(1-PARAM!$C$27)*$I$17+(MOD($B699,60)=PARAM!$B$56)*($B699&gt;(60-PARAM!$B$56))*HLOOKUP(($B699+PARAM!$B$56)/12,Loyalty,2)*$F$1*MAX(BJ698,0)</f>
        <v>18.557001321003963</v>
      </c>
      <c r="BI699" s="75">
        <f>PARAM!$C$26+MAX($G$17-CHOOSE(PARAM!$B$44,MAX(0,BJ698*$F$1),0),0)*RATES!$L675/12+$H$17*(PARAM!$D$51/12)*RATES!$N675/100</f>
        <v>503.91666666666669</v>
      </c>
      <c r="BJ699" s="16">
        <f t="shared" si="470"/>
        <v>-56991.686469834327</v>
      </c>
      <c r="BK699" s="15">
        <f t="shared" si="445"/>
        <v>22.170849845882874</v>
      </c>
      <c r="BL699" s="75">
        <f>BK699*(1-PARAM!$C$27)*$I$18+(MOD($B699,60)=PARAM!$B$56)*($B699&gt;(60-PARAM!$B$56))*HLOOKUP(($B699+PARAM!$B$56)/12,Loyalty,2)*$F$1*MAX(BN698,0)</f>
        <v>18.557001321003963</v>
      </c>
      <c r="BM699" s="75">
        <f>PARAM!$C$26+MAX($G$18-CHOOSE(PARAM!$B$44,MAX(0,BN698*$F$1),0),0)*RATES!$L675/12+$H$18*(PARAM!$D$51/12)*RATES!$N675/100</f>
        <v>503.91666666666669</v>
      </c>
      <c r="BN699" s="16">
        <f t="shared" si="471"/>
        <v>-56991.686469834327</v>
      </c>
      <c r="BO699" s="15">
        <f t="shared" si="446"/>
        <v>22.170849845882874</v>
      </c>
      <c r="BP699" s="75">
        <f>BO699*(1-PARAM!$C$27)*$I$19+(MOD($B699,60)=PARAM!$B$56)*($B699&gt;(60-PARAM!$B$56))*HLOOKUP(($B699+PARAM!$B$56)/12,Loyalty,2)*$F$1*MAX(BR698,0)</f>
        <v>18.557001321003963</v>
      </c>
      <c r="BQ699" s="75">
        <f>PARAM!$C$26+MAX($G$19-CHOOSE(PARAM!$B$44,MAX(0,BR698*$F$1),0),0)*RATES!$L675/12+$H$19*(PARAM!$D$51/12)*RATES!$N675/100</f>
        <v>503.91666666666669</v>
      </c>
      <c r="BR699" s="16">
        <f t="shared" si="472"/>
        <v>-56991.686469834327</v>
      </c>
      <c r="BS699" s="15">
        <f t="shared" si="447"/>
        <v>22.170849845882874</v>
      </c>
      <c r="BT699" s="75">
        <f>BS699*(1-PARAM!$C$27)*$I$20+(MOD($B699,60)=PARAM!$B$56)*($B699&gt;(60-PARAM!$B$56))*HLOOKUP(($B699+PARAM!$B$56)/12,Loyalty,2)*$F$1*MAX(BV698,0)</f>
        <v>18.557001321003963</v>
      </c>
      <c r="BU699" s="75">
        <f>PARAM!$C$26+MAX($G$20-CHOOSE(PARAM!$B$44,MAX(0,BV698*$F$1),0),0)*RATES!$L675/12+$H$20*(PARAM!$D$51/12)*RATES!$N675/100</f>
        <v>503.91666666666669</v>
      </c>
      <c r="BV699" s="16">
        <f t="shared" si="473"/>
        <v>-56991.686469834327</v>
      </c>
      <c r="BW699" s="15">
        <f t="shared" si="448"/>
        <v>22.170849845882874</v>
      </c>
      <c r="BX699" s="75">
        <f>BW699*(1-PARAM!$C$27)*$I$21+(MOD($B699,60)=PARAM!$B$56)*($B699&gt;(60-PARAM!$B$56))*HLOOKUP(($B699+PARAM!$B$56)/12,Loyalty,2)*$F$1*MAX(BZ698,0)</f>
        <v>18.557001321003963</v>
      </c>
      <c r="BY699" s="75">
        <f>PARAM!$C$26+MAX($G$21-CHOOSE(PARAM!$B$44,MAX(0,BZ698*$F$1),0),0)*RATES!$L675/12+$H$21*(PARAM!$D$51/12)*RATES!$N675/100</f>
        <v>503.91666666666669</v>
      </c>
      <c r="BZ699" s="16">
        <f t="shared" si="474"/>
        <v>-56991.686469834327</v>
      </c>
      <c r="CA699" s="15">
        <f t="shared" si="449"/>
        <v>22.170849845882874</v>
      </c>
      <c r="CB699" s="75">
        <f>CA699*(1-PARAM!$C$27)*$I$22+(MOD($B699,60)=PARAM!$B$56)*($B699&gt;(60-PARAM!$B$56))*HLOOKUP(($B699+PARAM!$B$56)/12,Loyalty,2)*$F$1*MAX(CD698,0)</f>
        <v>18.557001321003963</v>
      </c>
      <c r="CC699" s="75">
        <f>PARAM!$C$26+MAX($G$22-CHOOSE(PARAM!$B$44,MAX(0,CD698*$F$1),0),0)*RATES!$L675/12+$H$22*(PARAM!$D$51/12)*RATES!$N675/100</f>
        <v>503.91666666666669</v>
      </c>
      <c r="CD699" s="16">
        <f t="shared" si="475"/>
        <v>-56991.686469834327</v>
      </c>
      <c r="CE699" s="33">
        <f>IF(0=MOD(B699,12/PARAM!$D$51),1,0)</f>
        <v>1</v>
      </c>
      <c r="CF699" s="15">
        <f t="shared" si="450"/>
        <v>0</v>
      </c>
      <c r="CG699" s="75">
        <f>CF699*(1-PARAM!$C$27)*$R$3+(MOD($B699/12,5)=0)*($B699&gt;60)*HLOOKUP($B699/12,Loyalty,2)*$F$1*MAX(CI698,0)</f>
        <v>0</v>
      </c>
      <c r="CH699" s="75">
        <f>PARAM!$C$26+MAX($P$3-CHOOSE(PARAM!$B$44,MAX(0,CI698*$F$1),0),0)*RATES!$L675/12+$Q$3*(PARAM!$D$51/12)*RATES!$N675/100</f>
        <v>503.91666666666669</v>
      </c>
      <c r="CI699" s="16">
        <f>IF(CI698&gt;0,CI698*PARAM!$C$53,CI698)+CG699-CH699</f>
        <v>-69342.416666666701</v>
      </c>
      <c r="CJ699" s="15">
        <f t="shared" si="476"/>
        <v>0</v>
      </c>
      <c r="CK699" s="75">
        <f>CJ699*(1-PARAM!$C$27)*$R$4+(MOD($B699/12,5)=0)*($B699&gt;60)*HLOOKUP($B699/12,Loyalty,2)*$F$1*MAX(CM698,0)</f>
        <v>0</v>
      </c>
      <c r="CL699" s="75">
        <f>PARAM!$C$26+MAX($P$4-CHOOSE(PARAM!$B$44,MAX(0,CM698*$F$1),0),0)*RATES!$L675/12+$Q$4*(PARAM!$D$51/12)*RATES!$N675/100</f>
        <v>503.91666666666669</v>
      </c>
      <c r="CM699" s="16">
        <f>IF(CM698&gt;0,CM698*PARAM!$C$53,CM698)+CK699-CL699</f>
        <v>-69342.416666666701</v>
      </c>
      <c r="CO699" s="176"/>
    </row>
    <row r="700" spans="1:93" x14ac:dyDescent="0.2">
      <c r="A700" t="b">
        <f t="shared" si="451"/>
        <v>0</v>
      </c>
      <c r="B700" s="33">
        <v>673</v>
      </c>
      <c r="C700" s="15">
        <f t="shared" si="452"/>
        <v>20.081305947392778</v>
      </c>
      <c r="D700" s="75">
        <f>C700*(1-PARAM!$C$27)*$I$3+(MOD($B700,60)=PARAM!$B$56)*($B700&gt;(60-PARAM!$B$56))*HLOOKUP(($B700+PARAM!$B$56)/12,Loyalty,2)*$F$1*MAX(F699,0)</f>
        <v>16.808053077967756</v>
      </c>
      <c r="E700" s="75">
        <f>PARAM!$C$26+MAX($G$3-CHOOSE(PARAM!$B$44,MAX(0,F699*$F$1),0),0)*RATES!$L676/12+$H$3*(PARAM!$D$51/12)*RATES!$N676/100</f>
        <v>503.91666666666669</v>
      </c>
      <c r="F700" s="16">
        <f t="shared" si="453"/>
        <v>-58690.938803264762</v>
      </c>
      <c r="G700" s="15">
        <f t="shared" si="454"/>
        <v>22.035289406060361</v>
      </c>
      <c r="H700" s="75">
        <f>G700*(1-PARAM!$C$27)*$I$4+(MOD($B700,60)=PARAM!$B$56)*($B700&gt;(60-PARAM!$B$56))*HLOOKUP(($B700+PARAM!$B$56)/12,Loyalty,2)*$F$1*MAX(J699,0)</f>
        <v>18.443537232872522</v>
      </c>
      <c r="I700" s="75">
        <f>PARAM!$C$26+MAX($G$4-CHOOSE(PARAM!$B$44,MAX(0,J699*$F$1),0),0)*RATES!$L676/12+$H$4*(PARAM!$D$51/12)*RATES!$N676/100</f>
        <v>503.91666666666669</v>
      </c>
      <c r="J700" s="16">
        <f t="shared" si="455"/>
        <v>-57556.42500289208</v>
      </c>
      <c r="K700" s="15">
        <f t="shared" si="456"/>
        <v>22.170849845882874</v>
      </c>
      <c r="L700" s="75">
        <f>K700*(1-PARAM!$C$27)*$I$5+(MOD($B700,60)=PARAM!$B$56)*($B700&gt;(60-PARAM!$B$56))*HLOOKUP(($B700+PARAM!$B$56)/12,Loyalty,2)*$F$1*MAX(N699,0)</f>
        <v>18.557001321003963</v>
      </c>
      <c r="M700" s="75">
        <f>PARAM!$C$26+MAX($G$5-CHOOSE(PARAM!$B$44,MAX(0,N699*$F$1),0),0)*RATES!$L676/12+$H$5*(PARAM!$D$51/12)*RATES!$N676/100</f>
        <v>503.91666666666669</v>
      </c>
      <c r="N700" s="16">
        <f t="shared" si="457"/>
        <v>-57477.04613517999</v>
      </c>
      <c r="O700" s="15">
        <f t="shared" si="458"/>
        <v>22.170849845882874</v>
      </c>
      <c r="P700" s="75">
        <f>O700*(1-PARAM!$C$27)*$I$6+(MOD($B700,60)=PARAM!$B$56)*($B700&gt;(60-PARAM!$B$56))*HLOOKUP(($B700+PARAM!$B$56)/12,Loyalty,2)*$F$1*MAX(R699,0)</f>
        <v>18.557001321003963</v>
      </c>
      <c r="Q700" s="75">
        <f>PARAM!$C$26+MAX($G$6-CHOOSE(PARAM!$B$44,MAX(0,R699*$F$1),0),0)*RATES!$L676/12+$H$6*(PARAM!$D$51/12)*RATES!$N676/100</f>
        <v>503.91666666666669</v>
      </c>
      <c r="R700" s="16">
        <f t="shared" si="459"/>
        <v>-57477.04613517999</v>
      </c>
      <c r="S700" s="15">
        <f t="shared" si="434"/>
        <v>22.170849845882874</v>
      </c>
      <c r="T700" s="75">
        <f>S700*(1-PARAM!$C$27)*$I$7+(MOD($B700,60)=PARAM!$B$56)*($B700&gt;(60-PARAM!$B$56))*HLOOKUP(($B700+PARAM!$B$56)/12,Loyalty,2)*$F$1*MAX(V699,0)</f>
        <v>18.557001321003963</v>
      </c>
      <c r="U700" s="75">
        <f>PARAM!$C$26+MAX($G$7-CHOOSE(PARAM!$B$44,MAX(0,V699*$F$1),0),0)*RATES!$L676/12+$H$7*(PARAM!$D$51/12)*RATES!$N676/100</f>
        <v>503.91666666666669</v>
      </c>
      <c r="V700" s="16">
        <f t="shared" si="460"/>
        <v>-57477.04613517999</v>
      </c>
      <c r="W700" s="15">
        <f t="shared" si="435"/>
        <v>22.170849845882874</v>
      </c>
      <c r="X700" s="75">
        <f>W700*(1-PARAM!$C$27)*$I$8+(MOD($B700,60)=PARAM!$B$56)*($B700&gt;(60-PARAM!$B$56))*HLOOKUP(($B700+PARAM!$B$56)/12,Loyalty,2)*$F$1*MAX(Z699,0)</f>
        <v>18.557001321003963</v>
      </c>
      <c r="Y700" s="75">
        <f>PARAM!$C$26+MAX($G$8-CHOOSE(PARAM!$B$44,MAX(0,Z699*$F$1),0),0)*RATES!$L676/12+$H$8*(PARAM!$D$51/12)*RATES!$N676/100</f>
        <v>503.91666666666669</v>
      </c>
      <c r="Z700" s="16">
        <f t="shared" si="461"/>
        <v>-57477.04613517999</v>
      </c>
      <c r="AA700" s="15">
        <f t="shared" si="436"/>
        <v>22.170849845882874</v>
      </c>
      <c r="AB700" s="75">
        <f>AA700*(1-PARAM!$C$27)*$I$9+(MOD($B700,60)=PARAM!$B$56)*($B700&gt;(60-PARAM!$B$56))*HLOOKUP(($B700+PARAM!$B$56)/12,Loyalty,2)*$F$1*MAX(AD699,0)</f>
        <v>18.557001321003963</v>
      </c>
      <c r="AC700" s="75">
        <f>PARAM!$C$26+MAX($G$9-CHOOSE(PARAM!$B$44,MAX(0,AD699*$F$1),0),0)*RATES!$L676/12+$H$9*(PARAM!$D$51/12)*RATES!$N676/100</f>
        <v>503.91666666666669</v>
      </c>
      <c r="AD700" s="16">
        <f t="shared" si="462"/>
        <v>-57477.04613517999</v>
      </c>
      <c r="AE700" s="15">
        <f t="shared" si="437"/>
        <v>22.170849845882874</v>
      </c>
      <c r="AF700" s="75">
        <f>AE700*(1-PARAM!$C$27)*$I$10+(MOD($B700,60)=PARAM!$B$56)*($B700&gt;(60-PARAM!$B$56))*HLOOKUP(($B700+PARAM!$B$56)/12,Loyalty,2)*$F$1*MAX(AH699,0)</f>
        <v>18.557001321003963</v>
      </c>
      <c r="AG700" s="75">
        <f>PARAM!$C$26+MAX($G$10-CHOOSE(PARAM!$B$44,MAX(0,AH699*$F$1),0),0)*RATES!$L676/12+$H$10*(PARAM!$D$51/12)*RATES!$N676/100</f>
        <v>503.91666666666669</v>
      </c>
      <c r="AH700" s="16">
        <f t="shared" si="463"/>
        <v>-57477.04613517999</v>
      </c>
      <c r="AI700" s="15">
        <f t="shared" si="438"/>
        <v>22.170849845882874</v>
      </c>
      <c r="AJ700" s="75">
        <f>AI700*(1-PARAM!$C$27)*$I$11+(MOD($B700,60)=PARAM!$B$56)*($B700&gt;(60-PARAM!$B$56))*HLOOKUP(($B700+PARAM!$B$56)/12,Loyalty,2)*$F$1*MAX(AL699,0)</f>
        <v>18.557001321003963</v>
      </c>
      <c r="AK700" s="75">
        <f>PARAM!$C$26+MAX($G$11-CHOOSE(PARAM!$B$44,MAX(0,AL699*$F$1),0),0)*RATES!$L676/12+$H$11*(PARAM!$D$51/12)*RATES!$N676/100</f>
        <v>503.91666666666669</v>
      </c>
      <c r="AL700" s="16">
        <f t="shared" si="464"/>
        <v>-57477.04613517999</v>
      </c>
      <c r="AM700" s="15">
        <f t="shared" si="439"/>
        <v>22.170849845882874</v>
      </c>
      <c r="AN700" s="75">
        <f>AM700*(1-PARAM!$C$27)*$I$12+(MOD($B700,60)=PARAM!$B$56)*($B700&gt;(60-PARAM!$B$56))*HLOOKUP(($B700+PARAM!$B$56)/12,Loyalty,2)*$F$1*MAX(AP699,0)</f>
        <v>18.557001321003963</v>
      </c>
      <c r="AO700" s="75">
        <f>PARAM!$C$26+MAX($G$12-CHOOSE(PARAM!$B$44,MAX(0,AP699*$F$1),0),0)*RATES!$L676/12+$H$12*(PARAM!$D$51/12)*RATES!$N676/100</f>
        <v>503.91666666666669</v>
      </c>
      <c r="AP700" s="16">
        <f t="shared" si="465"/>
        <v>-57477.04613517999</v>
      </c>
      <c r="AQ700" s="15">
        <f t="shared" si="440"/>
        <v>22.170849845882874</v>
      </c>
      <c r="AR700" s="75">
        <f>AQ700*(1-PARAM!$C$27)*$I$13+(MOD($B700,60)=PARAM!$B$56)*($B700&gt;(60-PARAM!$B$56))*HLOOKUP(($B700+PARAM!$B$56)/12,Loyalty,2)*$F$1*MAX(AT699,0)</f>
        <v>18.557001321003963</v>
      </c>
      <c r="AS700" s="75">
        <f>PARAM!$C$26+MAX($G$13-CHOOSE(PARAM!$B$44,MAX(0,AT699*$F$1),0),0)*RATES!$L676/12+$H$13*(PARAM!$D$51/12)*RATES!$N676/100</f>
        <v>503.91666666666669</v>
      </c>
      <c r="AT700" s="16">
        <f t="shared" si="466"/>
        <v>-57477.04613517999</v>
      </c>
      <c r="AU700" s="15">
        <f t="shared" si="441"/>
        <v>22.170849845882874</v>
      </c>
      <c r="AV700" s="75">
        <f>AU700*(1-PARAM!$C$27)*$I$14+(MOD($B700,60)=PARAM!$B$56)*($B700&gt;(60-PARAM!$B$56))*HLOOKUP(($B700+PARAM!$B$56)/12,Loyalty,2)*$F$1*MAX(AX699,0)</f>
        <v>18.557001321003963</v>
      </c>
      <c r="AW700" s="75">
        <f>PARAM!$C$26+MAX($G$14-CHOOSE(PARAM!$B$44,MAX(0,AX699*$F$1),0),0)*RATES!$L676/12+$H$14*(PARAM!$D$51/12)*RATES!$N676/100</f>
        <v>503.91666666666669</v>
      </c>
      <c r="AX700" s="16">
        <f t="shared" si="467"/>
        <v>-57477.04613517999</v>
      </c>
      <c r="AY700" s="15">
        <f t="shared" si="442"/>
        <v>22.170849845882874</v>
      </c>
      <c r="AZ700" s="75">
        <f>AY700*(1-PARAM!$C$27)*$I$15+(MOD($B700,60)=PARAM!$B$56)*($B700&gt;(60-PARAM!$B$56))*HLOOKUP(($B700+PARAM!$B$56)/12,Loyalty,2)*$F$1*MAX(BB699,0)</f>
        <v>18.557001321003963</v>
      </c>
      <c r="BA700" s="75">
        <f>PARAM!$C$26+MAX($G$15-CHOOSE(PARAM!$B$44,MAX(0,BB699*$F$1),0),0)*RATES!$L676/12+$H$15*(PARAM!$D$51/12)*RATES!$N676/100</f>
        <v>503.91666666666669</v>
      </c>
      <c r="BB700" s="16">
        <f t="shared" si="468"/>
        <v>-57477.04613517999</v>
      </c>
      <c r="BC700" s="15">
        <f t="shared" si="443"/>
        <v>22.170849845882874</v>
      </c>
      <c r="BD700" s="75">
        <f>BC700*(1-PARAM!$C$27)*$I$16+(MOD($B700,60)=PARAM!$B$56)*($B700&gt;(60-PARAM!$B$56))*HLOOKUP(($B700+PARAM!$B$56)/12,Loyalty,2)*$F$1*MAX(BF699,0)</f>
        <v>18.557001321003963</v>
      </c>
      <c r="BE700" s="75">
        <f>PARAM!$C$26+MAX($G$16-CHOOSE(PARAM!$B$44,MAX(0,BF699*$F$1),0),0)*RATES!$L676/12+$H$16*(PARAM!$D$51/12)*RATES!$N676/100</f>
        <v>503.91666666666669</v>
      </c>
      <c r="BF700" s="16">
        <f t="shared" si="469"/>
        <v>-57477.04613517999</v>
      </c>
      <c r="BG700" s="15">
        <f t="shared" si="444"/>
        <v>22.170849845882874</v>
      </c>
      <c r="BH700" s="75">
        <f>BG700*(1-PARAM!$C$27)*$I$17+(MOD($B700,60)=PARAM!$B$56)*($B700&gt;(60-PARAM!$B$56))*HLOOKUP(($B700+PARAM!$B$56)/12,Loyalty,2)*$F$1*MAX(BJ699,0)</f>
        <v>18.557001321003963</v>
      </c>
      <c r="BI700" s="75">
        <f>PARAM!$C$26+MAX($G$17-CHOOSE(PARAM!$B$44,MAX(0,BJ699*$F$1),0),0)*RATES!$L676/12+$H$17*(PARAM!$D$51/12)*RATES!$N676/100</f>
        <v>503.91666666666669</v>
      </c>
      <c r="BJ700" s="16">
        <f t="shared" si="470"/>
        <v>-57477.04613517999</v>
      </c>
      <c r="BK700" s="15">
        <f t="shared" si="445"/>
        <v>22.170849845882874</v>
      </c>
      <c r="BL700" s="75">
        <f>BK700*(1-PARAM!$C$27)*$I$18+(MOD($B700,60)=PARAM!$B$56)*($B700&gt;(60-PARAM!$B$56))*HLOOKUP(($B700+PARAM!$B$56)/12,Loyalty,2)*$F$1*MAX(BN699,0)</f>
        <v>18.557001321003963</v>
      </c>
      <c r="BM700" s="75">
        <f>PARAM!$C$26+MAX($G$18-CHOOSE(PARAM!$B$44,MAX(0,BN699*$F$1),0),0)*RATES!$L676/12+$H$18*(PARAM!$D$51/12)*RATES!$N676/100</f>
        <v>503.91666666666669</v>
      </c>
      <c r="BN700" s="16">
        <f t="shared" si="471"/>
        <v>-57477.04613517999</v>
      </c>
      <c r="BO700" s="15">
        <f t="shared" si="446"/>
        <v>22.170849845882874</v>
      </c>
      <c r="BP700" s="75">
        <f>BO700*(1-PARAM!$C$27)*$I$19+(MOD($B700,60)=PARAM!$B$56)*($B700&gt;(60-PARAM!$B$56))*HLOOKUP(($B700+PARAM!$B$56)/12,Loyalty,2)*$F$1*MAX(BR699,0)</f>
        <v>18.557001321003963</v>
      </c>
      <c r="BQ700" s="75">
        <f>PARAM!$C$26+MAX($G$19-CHOOSE(PARAM!$B$44,MAX(0,BR699*$F$1),0),0)*RATES!$L676/12+$H$19*(PARAM!$D$51/12)*RATES!$N676/100</f>
        <v>503.91666666666669</v>
      </c>
      <c r="BR700" s="16">
        <f t="shared" si="472"/>
        <v>-57477.04613517999</v>
      </c>
      <c r="BS700" s="15">
        <f t="shared" si="447"/>
        <v>22.170849845882874</v>
      </c>
      <c r="BT700" s="75">
        <f>BS700*(1-PARAM!$C$27)*$I$20+(MOD($B700,60)=PARAM!$B$56)*($B700&gt;(60-PARAM!$B$56))*HLOOKUP(($B700+PARAM!$B$56)/12,Loyalty,2)*$F$1*MAX(BV699,0)</f>
        <v>18.557001321003963</v>
      </c>
      <c r="BU700" s="75">
        <f>PARAM!$C$26+MAX($G$20-CHOOSE(PARAM!$B$44,MAX(0,BV699*$F$1),0),0)*RATES!$L676/12+$H$20*(PARAM!$D$51/12)*RATES!$N676/100</f>
        <v>503.91666666666669</v>
      </c>
      <c r="BV700" s="16">
        <f t="shared" si="473"/>
        <v>-57477.04613517999</v>
      </c>
      <c r="BW700" s="15">
        <f t="shared" si="448"/>
        <v>22.170849845882874</v>
      </c>
      <c r="BX700" s="75">
        <f>BW700*(1-PARAM!$C$27)*$I$21+(MOD($B700,60)=PARAM!$B$56)*($B700&gt;(60-PARAM!$B$56))*HLOOKUP(($B700+PARAM!$B$56)/12,Loyalty,2)*$F$1*MAX(BZ699,0)</f>
        <v>18.557001321003963</v>
      </c>
      <c r="BY700" s="75">
        <f>PARAM!$C$26+MAX($G$21-CHOOSE(PARAM!$B$44,MAX(0,BZ699*$F$1),0),0)*RATES!$L676/12+$H$21*(PARAM!$D$51/12)*RATES!$N676/100</f>
        <v>503.91666666666669</v>
      </c>
      <c r="BZ700" s="16">
        <f t="shared" si="474"/>
        <v>-57477.04613517999</v>
      </c>
      <c r="CA700" s="15">
        <f t="shared" si="449"/>
        <v>22.170849845882874</v>
      </c>
      <c r="CB700" s="75">
        <f>CA700*(1-PARAM!$C$27)*$I$22+(MOD($B700,60)=PARAM!$B$56)*($B700&gt;(60-PARAM!$B$56))*HLOOKUP(($B700+PARAM!$B$56)/12,Loyalty,2)*$F$1*MAX(CD699,0)</f>
        <v>18.557001321003963</v>
      </c>
      <c r="CC700" s="75">
        <f>PARAM!$C$26+MAX($G$22-CHOOSE(PARAM!$B$44,MAX(0,CD699*$F$1),0),0)*RATES!$L676/12+$H$22*(PARAM!$D$51/12)*RATES!$N676/100</f>
        <v>503.91666666666669</v>
      </c>
      <c r="CD700" s="16">
        <f t="shared" si="475"/>
        <v>-57477.04613517999</v>
      </c>
      <c r="CE700" s="33">
        <f>IF(0=MOD(B700,12/PARAM!$D$51),1,0)</f>
        <v>1</v>
      </c>
      <c r="CF700" s="15">
        <f t="shared" si="450"/>
        <v>0</v>
      </c>
      <c r="CG700" s="75">
        <f>CF700*(1-PARAM!$C$27)*$R$3+(MOD($B700/12,5)=0)*($B700&gt;60)*HLOOKUP($B700/12,Loyalty,2)*$F$1*MAX(CI699,0)</f>
        <v>0</v>
      </c>
      <c r="CH700" s="75">
        <f>PARAM!$C$26+MAX($P$3-CHOOSE(PARAM!$B$44,MAX(0,CI699*$F$1),0),0)*RATES!$L676/12+$Q$3*(PARAM!$D$51/12)*RATES!$N676/100</f>
        <v>503.91666666666669</v>
      </c>
      <c r="CI700" s="16">
        <f>IF(CI699&gt;0,CI699*PARAM!$C$53,CI699)+CG700-CH700</f>
        <v>-69846.333333333372</v>
      </c>
      <c r="CJ700" s="15">
        <f t="shared" si="476"/>
        <v>0</v>
      </c>
      <c r="CK700" s="75">
        <f>CJ700*(1-PARAM!$C$27)*$R$4+(MOD($B700/12,5)=0)*($B700&gt;60)*HLOOKUP($B700/12,Loyalty,2)*$F$1*MAX(CM699,0)</f>
        <v>0</v>
      </c>
      <c r="CL700" s="75">
        <f>PARAM!$C$26+MAX($P$4-CHOOSE(PARAM!$B$44,MAX(0,CM699*$F$1),0),0)*RATES!$L676/12+$Q$4*(PARAM!$D$51/12)*RATES!$N676/100</f>
        <v>503.91666666666669</v>
      </c>
      <c r="CM700" s="16">
        <f>IF(CM699&gt;0,CM699*PARAM!$C$53,CM699)+CK700-CL700</f>
        <v>-69846.333333333372</v>
      </c>
      <c r="CO700" s="176"/>
    </row>
    <row r="701" spans="1:93" x14ac:dyDescent="0.2">
      <c r="A701" t="b">
        <f t="shared" si="451"/>
        <v>0</v>
      </c>
      <c r="B701" s="33">
        <v>674</v>
      </c>
      <c r="C701" s="15">
        <f t="shared" si="452"/>
        <v>20.081305947392778</v>
      </c>
      <c r="D701" s="75">
        <f>C701*(1-PARAM!$C$27)*$I$3+(MOD($B701,60)=PARAM!$B$56)*($B701&gt;(60-PARAM!$B$56))*HLOOKUP(($B701+PARAM!$B$56)/12,Loyalty,2)*$F$1*MAX(F700,0)</f>
        <v>16.808053077967756</v>
      </c>
      <c r="E701" s="75">
        <f>PARAM!$C$26+MAX($G$3-CHOOSE(PARAM!$B$44,MAX(0,F700*$F$1),0),0)*RATES!$L677/12+$H$3*(PARAM!$D$51/12)*RATES!$N677/100</f>
        <v>503.91666666666669</v>
      </c>
      <c r="F701" s="16">
        <f t="shared" si="453"/>
        <v>-59178.047416853457</v>
      </c>
      <c r="G701" s="15">
        <f t="shared" si="454"/>
        <v>22.035289406060361</v>
      </c>
      <c r="H701" s="75">
        <f>G701*(1-PARAM!$C$27)*$I$4+(MOD($B701,60)=PARAM!$B$56)*($B701&gt;(60-PARAM!$B$56))*HLOOKUP(($B701+PARAM!$B$56)/12,Loyalty,2)*$F$1*MAX(J700,0)</f>
        <v>18.443537232872522</v>
      </c>
      <c r="I701" s="75">
        <f>PARAM!$C$26+MAX($G$4-CHOOSE(PARAM!$B$44,MAX(0,J700*$F$1),0),0)*RATES!$L677/12+$H$4*(PARAM!$D$51/12)*RATES!$N677/100</f>
        <v>503.91666666666669</v>
      </c>
      <c r="J701" s="16">
        <f t="shared" si="455"/>
        <v>-58041.89813232587</v>
      </c>
      <c r="K701" s="15">
        <f t="shared" si="456"/>
        <v>22.170849845882874</v>
      </c>
      <c r="L701" s="75">
        <f>K701*(1-PARAM!$C$27)*$I$5+(MOD($B701,60)=PARAM!$B$56)*($B701&gt;(60-PARAM!$B$56))*HLOOKUP(($B701+PARAM!$B$56)/12,Loyalty,2)*$F$1*MAX(N700,0)</f>
        <v>18.557001321003963</v>
      </c>
      <c r="M701" s="75">
        <f>PARAM!$C$26+MAX($G$5-CHOOSE(PARAM!$B$44,MAX(0,N700*$F$1),0),0)*RATES!$L677/12+$H$5*(PARAM!$D$51/12)*RATES!$N677/100</f>
        <v>503.91666666666669</v>
      </c>
      <c r="N701" s="16">
        <f t="shared" si="457"/>
        <v>-57962.405800525652</v>
      </c>
      <c r="O701" s="15">
        <f t="shared" si="458"/>
        <v>22.170849845882874</v>
      </c>
      <c r="P701" s="75">
        <f>O701*(1-PARAM!$C$27)*$I$6+(MOD($B701,60)=PARAM!$B$56)*($B701&gt;(60-PARAM!$B$56))*HLOOKUP(($B701+PARAM!$B$56)/12,Loyalty,2)*$F$1*MAX(R700,0)</f>
        <v>18.557001321003963</v>
      </c>
      <c r="Q701" s="75">
        <f>PARAM!$C$26+MAX($G$6-CHOOSE(PARAM!$B$44,MAX(0,R700*$F$1),0),0)*RATES!$L677/12+$H$6*(PARAM!$D$51/12)*RATES!$N677/100</f>
        <v>503.91666666666669</v>
      </c>
      <c r="R701" s="16">
        <f t="shared" si="459"/>
        <v>-57962.405800525652</v>
      </c>
      <c r="S701" s="15">
        <f t="shared" si="434"/>
        <v>22.170849845882874</v>
      </c>
      <c r="T701" s="75">
        <f>S701*(1-PARAM!$C$27)*$I$7+(MOD($B701,60)=PARAM!$B$56)*($B701&gt;(60-PARAM!$B$56))*HLOOKUP(($B701+PARAM!$B$56)/12,Loyalty,2)*$F$1*MAX(V700,0)</f>
        <v>18.557001321003963</v>
      </c>
      <c r="U701" s="75">
        <f>PARAM!$C$26+MAX($G$7-CHOOSE(PARAM!$B$44,MAX(0,V700*$F$1),0),0)*RATES!$L677/12+$H$7*(PARAM!$D$51/12)*RATES!$N677/100</f>
        <v>503.91666666666669</v>
      </c>
      <c r="V701" s="16">
        <f t="shared" si="460"/>
        <v>-57962.405800525652</v>
      </c>
      <c r="W701" s="15">
        <f t="shared" si="435"/>
        <v>22.170849845882874</v>
      </c>
      <c r="X701" s="75">
        <f>W701*(1-PARAM!$C$27)*$I$8+(MOD($B701,60)=PARAM!$B$56)*($B701&gt;(60-PARAM!$B$56))*HLOOKUP(($B701+PARAM!$B$56)/12,Loyalty,2)*$F$1*MAX(Z700,0)</f>
        <v>18.557001321003963</v>
      </c>
      <c r="Y701" s="75">
        <f>PARAM!$C$26+MAX($G$8-CHOOSE(PARAM!$B$44,MAX(0,Z700*$F$1),0),0)*RATES!$L677/12+$H$8*(PARAM!$D$51/12)*RATES!$N677/100</f>
        <v>503.91666666666669</v>
      </c>
      <c r="Z701" s="16">
        <f t="shared" si="461"/>
        <v>-57962.405800525652</v>
      </c>
      <c r="AA701" s="15">
        <f t="shared" si="436"/>
        <v>22.170849845882874</v>
      </c>
      <c r="AB701" s="75">
        <f>AA701*(1-PARAM!$C$27)*$I$9+(MOD($B701,60)=PARAM!$B$56)*($B701&gt;(60-PARAM!$B$56))*HLOOKUP(($B701+PARAM!$B$56)/12,Loyalty,2)*$F$1*MAX(AD700,0)</f>
        <v>18.557001321003963</v>
      </c>
      <c r="AC701" s="75">
        <f>PARAM!$C$26+MAX($G$9-CHOOSE(PARAM!$B$44,MAX(0,AD700*$F$1),0),0)*RATES!$L677/12+$H$9*(PARAM!$D$51/12)*RATES!$N677/100</f>
        <v>503.91666666666669</v>
      </c>
      <c r="AD701" s="16">
        <f t="shared" si="462"/>
        <v>-57962.405800525652</v>
      </c>
      <c r="AE701" s="15">
        <f t="shared" si="437"/>
        <v>22.170849845882874</v>
      </c>
      <c r="AF701" s="75">
        <f>AE701*(1-PARAM!$C$27)*$I$10+(MOD($B701,60)=PARAM!$B$56)*($B701&gt;(60-PARAM!$B$56))*HLOOKUP(($B701+PARAM!$B$56)/12,Loyalty,2)*$F$1*MAX(AH700,0)</f>
        <v>18.557001321003963</v>
      </c>
      <c r="AG701" s="75">
        <f>PARAM!$C$26+MAX($G$10-CHOOSE(PARAM!$B$44,MAX(0,AH700*$F$1),0),0)*RATES!$L677/12+$H$10*(PARAM!$D$51/12)*RATES!$N677/100</f>
        <v>503.91666666666669</v>
      </c>
      <c r="AH701" s="16">
        <f t="shared" si="463"/>
        <v>-57962.405800525652</v>
      </c>
      <c r="AI701" s="15">
        <f t="shared" si="438"/>
        <v>22.170849845882874</v>
      </c>
      <c r="AJ701" s="75">
        <f>AI701*(1-PARAM!$C$27)*$I$11+(MOD($B701,60)=PARAM!$B$56)*($B701&gt;(60-PARAM!$B$56))*HLOOKUP(($B701+PARAM!$B$56)/12,Loyalty,2)*$F$1*MAX(AL700,0)</f>
        <v>18.557001321003963</v>
      </c>
      <c r="AK701" s="75">
        <f>PARAM!$C$26+MAX($G$11-CHOOSE(PARAM!$B$44,MAX(0,AL700*$F$1),0),0)*RATES!$L677/12+$H$11*(PARAM!$D$51/12)*RATES!$N677/100</f>
        <v>503.91666666666669</v>
      </c>
      <c r="AL701" s="16">
        <f t="shared" si="464"/>
        <v>-57962.405800525652</v>
      </c>
      <c r="AM701" s="15">
        <f t="shared" si="439"/>
        <v>22.170849845882874</v>
      </c>
      <c r="AN701" s="75">
        <f>AM701*(1-PARAM!$C$27)*$I$12+(MOD($B701,60)=PARAM!$B$56)*($B701&gt;(60-PARAM!$B$56))*HLOOKUP(($B701+PARAM!$B$56)/12,Loyalty,2)*$F$1*MAX(AP700,0)</f>
        <v>18.557001321003963</v>
      </c>
      <c r="AO701" s="75">
        <f>PARAM!$C$26+MAX($G$12-CHOOSE(PARAM!$B$44,MAX(0,AP700*$F$1),0),0)*RATES!$L677/12+$H$12*(PARAM!$D$51/12)*RATES!$N677/100</f>
        <v>503.91666666666669</v>
      </c>
      <c r="AP701" s="16">
        <f t="shared" si="465"/>
        <v>-57962.405800525652</v>
      </c>
      <c r="AQ701" s="15">
        <f t="shared" si="440"/>
        <v>22.170849845882874</v>
      </c>
      <c r="AR701" s="75">
        <f>AQ701*(1-PARAM!$C$27)*$I$13+(MOD($B701,60)=PARAM!$B$56)*($B701&gt;(60-PARAM!$B$56))*HLOOKUP(($B701+PARAM!$B$56)/12,Loyalty,2)*$F$1*MAX(AT700,0)</f>
        <v>18.557001321003963</v>
      </c>
      <c r="AS701" s="75">
        <f>PARAM!$C$26+MAX($G$13-CHOOSE(PARAM!$B$44,MAX(0,AT700*$F$1),0),0)*RATES!$L677/12+$H$13*(PARAM!$D$51/12)*RATES!$N677/100</f>
        <v>503.91666666666669</v>
      </c>
      <c r="AT701" s="16">
        <f t="shared" si="466"/>
        <v>-57962.405800525652</v>
      </c>
      <c r="AU701" s="15">
        <f t="shared" si="441"/>
        <v>22.170849845882874</v>
      </c>
      <c r="AV701" s="75">
        <f>AU701*(1-PARAM!$C$27)*$I$14+(MOD($B701,60)=PARAM!$B$56)*($B701&gt;(60-PARAM!$B$56))*HLOOKUP(($B701+PARAM!$B$56)/12,Loyalty,2)*$F$1*MAX(AX700,0)</f>
        <v>18.557001321003963</v>
      </c>
      <c r="AW701" s="75">
        <f>PARAM!$C$26+MAX($G$14-CHOOSE(PARAM!$B$44,MAX(0,AX700*$F$1),0),0)*RATES!$L677/12+$H$14*(PARAM!$D$51/12)*RATES!$N677/100</f>
        <v>503.91666666666669</v>
      </c>
      <c r="AX701" s="16">
        <f t="shared" si="467"/>
        <v>-57962.405800525652</v>
      </c>
      <c r="AY701" s="15">
        <f t="shared" si="442"/>
        <v>22.170849845882874</v>
      </c>
      <c r="AZ701" s="75">
        <f>AY701*(1-PARAM!$C$27)*$I$15+(MOD($B701,60)=PARAM!$B$56)*($B701&gt;(60-PARAM!$B$56))*HLOOKUP(($B701+PARAM!$B$56)/12,Loyalty,2)*$F$1*MAX(BB700,0)</f>
        <v>18.557001321003963</v>
      </c>
      <c r="BA701" s="75">
        <f>PARAM!$C$26+MAX($G$15-CHOOSE(PARAM!$B$44,MAX(0,BB700*$F$1),0),0)*RATES!$L677/12+$H$15*(PARAM!$D$51/12)*RATES!$N677/100</f>
        <v>503.91666666666669</v>
      </c>
      <c r="BB701" s="16">
        <f t="shared" si="468"/>
        <v>-57962.405800525652</v>
      </c>
      <c r="BC701" s="15">
        <f t="shared" si="443"/>
        <v>22.170849845882874</v>
      </c>
      <c r="BD701" s="75">
        <f>BC701*(1-PARAM!$C$27)*$I$16+(MOD($B701,60)=PARAM!$B$56)*($B701&gt;(60-PARAM!$B$56))*HLOOKUP(($B701+PARAM!$B$56)/12,Loyalty,2)*$F$1*MAX(BF700,0)</f>
        <v>18.557001321003963</v>
      </c>
      <c r="BE701" s="75">
        <f>PARAM!$C$26+MAX($G$16-CHOOSE(PARAM!$B$44,MAX(0,BF700*$F$1),0),0)*RATES!$L677/12+$H$16*(PARAM!$D$51/12)*RATES!$N677/100</f>
        <v>503.91666666666669</v>
      </c>
      <c r="BF701" s="16">
        <f t="shared" si="469"/>
        <v>-57962.405800525652</v>
      </c>
      <c r="BG701" s="15">
        <f t="shared" si="444"/>
        <v>22.170849845882874</v>
      </c>
      <c r="BH701" s="75">
        <f>BG701*(1-PARAM!$C$27)*$I$17+(MOD($B701,60)=PARAM!$B$56)*($B701&gt;(60-PARAM!$B$56))*HLOOKUP(($B701+PARAM!$B$56)/12,Loyalty,2)*$F$1*MAX(BJ700,0)</f>
        <v>18.557001321003963</v>
      </c>
      <c r="BI701" s="75">
        <f>PARAM!$C$26+MAX($G$17-CHOOSE(PARAM!$B$44,MAX(0,BJ700*$F$1),0),0)*RATES!$L677/12+$H$17*(PARAM!$D$51/12)*RATES!$N677/100</f>
        <v>503.91666666666669</v>
      </c>
      <c r="BJ701" s="16">
        <f t="shared" si="470"/>
        <v>-57962.405800525652</v>
      </c>
      <c r="BK701" s="15">
        <f t="shared" si="445"/>
        <v>22.170849845882874</v>
      </c>
      <c r="BL701" s="75">
        <f>BK701*(1-PARAM!$C$27)*$I$18+(MOD($B701,60)=PARAM!$B$56)*($B701&gt;(60-PARAM!$B$56))*HLOOKUP(($B701+PARAM!$B$56)/12,Loyalty,2)*$F$1*MAX(BN700,0)</f>
        <v>18.557001321003963</v>
      </c>
      <c r="BM701" s="75">
        <f>PARAM!$C$26+MAX($G$18-CHOOSE(PARAM!$B$44,MAX(0,BN700*$F$1),0),0)*RATES!$L677/12+$H$18*(PARAM!$D$51/12)*RATES!$N677/100</f>
        <v>503.91666666666669</v>
      </c>
      <c r="BN701" s="16">
        <f t="shared" si="471"/>
        <v>-57962.405800525652</v>
      </c>
      <c r="BO701" s="15">
        <f t="shared" si="446"/>
        <v>22.170849845882874</v>
      </c>
      <c r="BP701" s="75">
        <f>BO701*(1-PARAM!$C$27)*$I$19+(MOD($B701,60)=PARAM!$B$56)*($B701&gt;(60-PARAM!$B$56))*HLOOKUP(($B701+PARAM!$B$56)/12,Loyalty,2)*$F$1*MAX(BR700,0)</f>
        <v>18.557001321003963</v>
      </c>
      <c r="BQ701" s="75">
        <f>PARAM!$C$26+MAX($G$19-CHOOSE(PARAM!$B$44,MAX(0,BR700*$F$1),0),0)*RATES!$L677/12+$H$19*(PARAM!$D$51/12)*RATES!$N677/100</f>
        <v>503.91666666666669</v>
      </c>
      <c r="BR701" s="16">
        <f t="shared" si="472"/>
        <v>-57962.405800525652</v>
      </c>
      <c r="BS701" s="15">
        <f t="shared" si="447"/>
        <v>22.170849845882874</v>
      </c>
      <c r="BT701" s="75">
        <f>BS701*(1-PARAM!$C$27)*$I$20+(MOD($B701,60)=PARAM!$B$56)*($B701&gt;(60-PARAM!$B$56))*HLOOKUP(($B701+PARAM!$B$56)/12,Loyalty,2)*$F$1*MAX(BV700,0)</f>
        <v>18.557001321003963</v>
      </c>
      <c r="BU701" s="75">
        <f>PARAM!$C$26+MAX($G$20-CHOOSE(PARAM!$B$44,MAX(0,BV700*$F$1),0),0)*RATES!$L677/12+$H$20*(PARAM!$D$51/12)*RATES!$N677/100</f>
        <v>503.91666666666669</v>
      </c>
      <c r="BV701" s="16">
        <f t="shared" si="473"/>
        <v>-57962.405800525652</v>
      </c>
      <c r="BW701" s="15">
        <f t="shared" si="448"/>
        <v>22.170849845882874</v>
      </c>
      <c r="BX701" s="75">
        <f>BW701*(1-PARAM!$C$27)*$I$21+(MOD($B701,60)=PARAM!$B$56)*($B701&gt;(60-PARAM!$B$56))*HLOOKUP(($B701+PARAM!$B$56)/12,Loyalty,2)*$F$1*MAX(BZ700,0)</f>
        <v>18.557001321003963</v>
      </c>
      <c r="BY701" s="75">
        <f>PARAM!$C$26+MAX($G$21-CHOOSE(PARAM!$B$44,MAX(0,BZ700*$F$1),0),0)*RATES!$L677/12+$H$21*(PARAM!$D$51/12)*RATES!$N677/100</f>
        <v>503.91666666666669</v>
      </c>
      <c r="BZ701" s="16">
        <f t="shared" si="474"/>
        <v>-57962.405800525652</v>
      </c>
      <c r="CA701" s="15">
        <f t="shared" si="449"/>
        <v>22.170849845882874</v>
      </c>
      <c r="CB701" s="75">
        <f>CA701*(1-PARAM!$C$27)*$I$22+(MOD($B701,60)=PARAM!$B$56)*($B701&gt;(60-PARAM!$B$56))*HLOOKUP(($B701+PARAM!$B$56)/12,Loyalty,2)*$F$1*MAX(CD700,0)</f>
        <v>18.557001321003963</v>
      </c>
      <c r="CC701" s="75">
        <f>PARAM!$C$26+MAX($G$22-CHOOSE(PARAM!$B$44,MAX(0,CD700*$F$1),0),0)*RATES!$L677/12+$H$22*(PARAM!$D$51/12)*RATES!$N677/100</f>
        <v>503.91666666666669</v>
      </c>
      <c r="CD701" s="16">
        <f t="shared" si="475"/>
        <v>-57962.405800525652</v>
      </c>
      <c r="CE701" s="33">
        <f>IF(0=MOD(B701,12/PARAM!$D$51),1,0)</f>
        <v>1</v>
      </c>
      <c r="CF701" s="15">
        <f t="shared" si="450"/>
        <v>0</v>
      </c>
      <c r="CG701" s="75">
        <f>CF701*(1-PARAM!$C$27)*$R$3+(MOD($B701/12,5)=0)*($B701&gt;60)*HLOOKUP($B701/12,Loyalty,2)*$F$1*MAX(CI700,0)</f>
        <v>0</v>
      </c>
      <c r="CH701" s="75">
        <f>PARAM!$C$26+MAX($P$3-CHOOSE(PARAM!$B$44,MAX(0,CI700*$F$1),0),0)*RATES!$L677/12+$Q$3*(PARAM!$D$51/12)*RATES!$N677/100</f>
        <v>503.91666666666669</v>
      </c>
      <c r="CI701" s="16">
        <f>IF(CI700&gt;0,CI700*PARAM!$C$53,CI700)+CG701-CH701</f>
        <v>-70350.250000000044</v>
      </c>
      <c r="CJ701" s="15">
        <f t="shared" si="476"/>
        <v>0</v>
      </c>
      <c r="CK701" s="75">
        <f>CJ701*(1-PARAM!$C$27)*$R$4+(MOD($B701/12,5)=0)*($B701&gt;60)*HLOOKUP($B701/12,Loyalty,2)*$F$1*MAX(CM700,0)</f>
        <v>0</v>
      </c>
      <c r="CL701" s="75">
        <f>PARAM!$C$26+MAX($P$4-CHOOSE(PARAM!$B$44,MAX(0,CM700*$F$1),0),0)*RATES!$L677/12+$Q$4*(PARAM!$D$51/12)*RATES!$N677/100</f>
        <v>503.91666666666669</v>
      </c>
      <c r="CM701" s="16">
        <f>IF(CM700&gt;0,CM700*PARAM!$C$53,CM700)+CK701-CL701</f>
        <v>-70350.250000000044</v>
      </c>
      <c r="CO701" s="176"/>
    </row>
    <row r="702" spans="1:93" x14ac:dyDescent="0.2">
      <c r="A702" t="b">
        <f t="shared" si="451"/>
        <v>0</v>
      </c>
      <c r="B702" s="33">
        <v>675</v>
      </c>
      <c r="C702" s="15">
        <f t="shared" si="452"/>
        <v>20.081305947392778</v>
      </c>
      <c r="D702" s="75">
        <f>C702*(1-PARAM!$C$27)*$I$3+(MOD($B702,60)=PARAM!$B$56)*($B702&gt;(60-PARAM!$B$56))*HLOOKUP(($B702+PARAM!$B$56)/12,Loyalty,2)*$F$1*MAX(F701,0)</f>
        <v>16.808053077967756</v>
      </c>
      <c r="E702" s="75">
        <f>PARAM!$C$26+MAX($G$3-CHOOSE(PARAM!$B$44,MAX(0,F701*$F$1),0),0)*RATES!$L678/12+$H$3*(PARAM!$D$51/12)*RATES!$N678/100</f>
        <v>503.91666666666669</v>
      </c>
      <c r="F702" s="16">
        <f t="shared" si="453"/>
        <v>-59665.156030442151</v>
      </c>
      <c r="G702" s="15">
        <f t="shared" si="454"/>
        <v>22.035289406060361</v>
      </c>
      <c r="H702" s="75">
        <f>G702*(1-PARAM!$C$27)*$I$4+(MOD($B702,60)=PARAM!$B$56)*($B702&gt;(60-PARAM!$B$56))*HLOOKUP(($B702+PARAM!$B$56)/12,Loyalty,2)*$F$1*MAX(J701,0)</f>
        <v>18.443537232872522</v>
      </c>
      <c r="I702" s="75">
        <f>PARAM!$C$26+MAX($G$4-CHOOSE(PARAM!$B$44,MAX(0,J701*$F$1),0),0)*RATES!$L678/12+$H$4*(PARAM!$D$51/12)*RATES!$N678/100</f>
        <v>503.91666666666669</v>
      </c>
      <c r="J702" s="16">
        <f t="shared" si="455"/>
        <v>-58527.371261759661</v>
      </c>
      <c r="K702" s="15">
        <f t="shared" si="456"/>
        <v>22.170849845882874</v>
      </c>
      <c r="L702" s="75">
        <f>K702*(1-PARAM!$C$27)*$I$5+(MOD($B702,60)=PARAM!$B$56)*($B702&gt;(60-PARAM!$B$56))*HLOOKUP(($B702+PARAM!$B$56)/12,Loyalty,2)*$F$1*MAX(N701,0)</f>
        <v>18.557001321003963</v>
      </c>
      <c r="M702" s="75">
        <f>PARAM!$C$26+MAX($G$5-CHOOSE(PARAM!$B$44,MAX(0,N701*$F$1),0),0)*RATES!$L678/12+$H$5*(PARAM!$D$51/12)*RATES!$N678/100</f>
        <v>503.91666666666669</v>
      </c>
      <c r="N702" s="16">
        <f t="shared" si="457"/>
        <v>-58447.765465871315</v>
      </c>
      <c r="O702" s="15">
        <f t="shared" si="458"/>
        <v>22.170849845882874</v>
      </c>
      <c r="P702" s="75">
        <f>O702*(1-PARAM!$C$27)*$I$6+(MOD($B702,60)=PARAM!$B$56)*($B702&gt;(60-PARAM!$B$56))*HLOOKUP(($B702+PARAM!$B$56)/12,Loyalty,2)*$F$1*MAX(R701,0)</f>
        <v>18.557001321003963</v>
      </c>
      <c r="Q702" s="75">
        <f>PARAM!$C$26+MAX($G$6-CHOOSE(PARAM!$B$44,MAX(0,R701*$F$1),0),0)*RATES!$L678/12+$H$6*(PARAM!$D$51/12)*RATES!$N678/100</f>
        <v>503.91666666666669</v>
      </c>
      <c r="R702" s="16">
        <f t="shared" si="459"/>
        <v>-58447.765465871315</v>
      </c>
      <c r="S702" s="15">
        <f t="shared" si="434"/>
        <v>22.170849845882874</v>
      </c>
      <c r="T702" s="75">
        <f>S702*(1-PARAM!$C$27)*$I$7+(MOD($B702,60)=PARAM!$B$56)*($B702&gt;(60-PARAM!$B$56))*HLOOKUP(($B702+PARAM!$B$56)/12,Loyalty,2)*$F$1*MAX(V701,0)</f>
        <v>18.557001321003963</v>
      </c>
      <c r="U702" s="75">
        <f>PARAM!$C$26+MAX($G$7-CHOOSE(PARAM!$B$44,MAX(0,V701*$F$1),0),0)*RATES!$L678/12+$H$7*(PARAM!$D$51/12)*RATES!$N678/100</f>
        <v>503.91666666666669</v>
      </c>
      <c r="V702" s="16">
        <f t="shared" si="460"/>
        <v>-58447.765465871315</v>
      </c>
      <c r="W702" s="15">
        <f t="shared" si="435"/>
        <v>22.170849845882874</v>
      </c>
      <c r="X702" s="75">
        <f>W702*(1-PARAM!$C$27)*$I$8+(MOD($B702,60)=PARAM!$B$56)*($B702&gt;(60-PARAM!$B$56))*HLOOKUP(($B702+PARAM!$B$56)/12,Loyalty,2)*$F$1*MAX(Z701,0)</f>
        <v>18.557001321003963</v>
      </c>
      <c r="Y702" s="75">
        <f>PARAM!$C$26+MAX($G$8-CHOOSE(PARAM!$B$44,MAX(0,Z701*$F$1),0),0)*RATES!$L678/12+$H$8*(PARAM!$D$51/12)*RATES!$N678/100</f>
        <v>503.91666666666669</v>
      </c>
      <c r="Z702" s="16">
        <f t="shared" si="461"/>
        <v>-58447.765465871315</v>
      </c>
      <c r="AA702" s="15">
        <f t="shared" si="436"/>
        <v>22.170849845882874</v>
      </c>
      <c r="AB702" s="75">
        <f>AA702*(1-PARAM!$C$27)*$I$9+(MOD($B702,60)=PARAM!$B$56)*($B702&gt;(60-PARAM!$B$56))*HLOOKUP(($B702+PARAM!$B$56)/12,Loyalty,2)*$F$1*MAX(AD701,0)</f>
        <v>18.557001321003963</v>
      </c>
      <c r="AC702" s="75">
        <f>PARAM!$C$26+MAX($G$9-CHOOSE(PARAM!$B$44,MAX(0,AD701*$F$1),0),0)*RATES!$L678/12+$H$9*(PARAM!$D$51/12)*RATES!$N678/100</f>
        <v>503.91666666666669</v>
      </c>
      <c r="AD702" s="16">
        <f t="shared" si="462"/>
        <v>-58447.765465871315</v>
      </c>
      <c r="AE702" s="15">
        <f t="shared" si="437"/>
        <v>22.170849845882874</v>
      </c>
      <c r="AF702" s="75">
        <f>AE702*(1-PARAM!$C$27)*$I$10+(MOD($B702,60)=PARAM!$B$56)*($B702&gt;(60-PARAM!$B$56))*HLOOKUP(($B702+PARAM!$B$56)/12,Loyalty,2)*$F$1*MAX(AH701,0)</f>
        <v>18.557001321003963</v>
      </c>
      <c r="AG702" s="75">
        <f>PARAM!$C$26+MAX($G$10-CHOOSE(PARAM!$B$44,MAX(0,AH701*$F$1),0),0)*RATES!$L678/12+$H$10*(PARAM!$D$51/12)*RATES!$N678/100</f>
        <v>503.91666666666669</v>
      </c>
      <c r="AH702" s="16">
        <f t="shared" si="463"/>
        <v>-58447.765465871315</v>
      </c>
      <c r="AI702" s="15">
        <f t="shared" si="438"/>
        <v>22.170849845882874</v>
      </c>
      <c r="AJ702" s="75">
        <f>AI702*(1-PARAM!$C$27)*$I$11+(MOD($B702,60)=PARAM!$B$56)*($B702&gt;(60-PARAM!$B$56))*HLOOKUP(($B702+PARAM!$B$56)/12,Loyalty,2)*$F$1*MAX(AL701,0)</f>
        <v>18.557001321003963</v>
      </c>
      <c r="AK702" s="75">
        <f>PARAM!$C$26+MAX($G$11-CHOOSE(PARAM!$B$44,MAX(0,AL701*$F$1),0),0)*RATES!$L678/12+$H$11*(PARAM!$D$51/12)*RATES!$N678/100</f>
        <v>503.91666666666669</v>
      </c>
      <c r="AL702" s="16">
        <f t="shared" si="464"/>
        <v>-58447.765465871315</v>
      </c>
      <c r="AM702" s="15">
        <f t="shared" si="439"/>
        <v>22.170849845882874</v>
      </c>
      <c r="AN702" s="75">
        <f>AM702*(1-PARAM!$C$27)*$I$12+(MOD($B702,60)=PARAM!$B$56)*($B702&gt;(60-PARAM!$B$56))*HLOOKUP(($B702+PARAM!$B$56)/12,Loyalty,2)*$F$1*MAX(AP701,0)</f>
        <v>18.557001321003963</v>
      </c>
      <c r="AO702" s="75">
        <f>PARAM!$C$26+MAX($G$12-CHOOSE(PARAM!$B$44,MAX(0,AP701*$F$1),0),0)*RATES!$L678/12+$H$12*(PARAM!$D$51/12)*RATES!$N678/100</f>
        <v>503.91666666666669</v>
      </c>
      <c r="AP702" s="16">
        <f t="shared" si="465"/>
        <v>-58447.765465871315</v>
      </c>
      <c r="AQ702" s="15">
        <f t="shared" si="440"/>
        <v>22.170849845882874</v>
      </c>
      <c r="AR702" s="75">
        <f>AQ702*(1-PARAM!$C$27)*$I$13+(MOD($B702,60)=PARAM!$B$56)*($B702&gt;(60-PARAM!$B$56))*HLOOKUP(($B702+PARAM!$B$56)/12,Loyalty,2)*$F$1*MAX(AT701,0)</f>
        <v>18.557001321003963</v>
      </c>
      <c r="AS702" s="75">
        <f>PARAM!$C$26+MAX($G$13-CHOOSE(PARAM!$B$44,MAX(0,AT701*$F$1),0),0)*RATES!$L678/12+$H$13*(PARAM!$D$51/12)*RATES!$N678/100</f>
        <v>503.91666666666669</v>
      </c>
      <c r="AT702" s="16">
        <f t="shared" si="466"/>
        <v>-58447.765465871315</v>
      </c>
      <c r="AU702" s="15">
        <f t="shared" si="441"/>
        <v>22.170849845882874</v>
      </c>
      <c r="AV702" s="75">
        <f>AU702*(1-PARAM!$C$27)*$I$14+(MOD($B702,60)=PARAM!$B$56)*($B702&gt;(60-PARAM!$B$56))*HLOOKUP(($B702+PARAM!$B$56)/12,Loyalty,2)*$F$1*MAX(AX701,0)</f>
        <v>18.557001321003963</v>
      </c>
      <c r="AW702" s="75">
        <f>PARAM!$C$26+MAX($G$14-CHOOSE(PARAM!$B$44,MAX(0,AX701*$F$1),0),0)*RATES!$L678/12+$H$14*(PARAM!$D$51/12)*RATES!$N678/100</f>
        <v>503.91666666666669</v>
      </c>
      <c r="AX702" s="16">
        <f t="shared" si="467"/>
        <v>-58447.765465871315</v>
      </c>
      <c r="AY702" s="15">
        <f t="shared" si="442"/>
        <v>22.170849845882874</v>
      </c>
      <c r="AZ702" s="75">
        <f>AY702*(1-PARAM!$C$27)*$I$15+(MOD($B702,60)=PARAM!$B$56)*($B702&gt;(60-PARAM!$B$56))*HLOOKUP(($B702+PARAM!$B$56)/12,Loyalty,2)*$F$1*MAX(BB701,0)</f>
        <v>18.557001321003963</v>
      </c>
      <c r="BA702" s="75">
        <f>PARAM!$C$26+MAX($G$15-CHOOSE(PARAM!$B$44,MAX(0,BB701*$F$1),0),0)*RATES!$L678/12+$H$15*(PARAM!$D$51/12)*RATES!$N678/100</f>
        <v>503.91666666666669</v>
      </c>
      <c r="BB702" s="16">
        <f t="shared" si="468"/>
        <v>-58447.765465871315</v>
      </c>
      <c r="BC702" s="15">
        <f t="shared" si="443"/>
        <v>22.170849845882874</v>
      </c>
      <c r="BD702" s="75">
        <f>BC702*(1-PARAM!$C$27)*$I$16+(MOD($B702,60)=PARAM!$B$56)*($B702&gt;(60-PARAM!$B$56))*HLOOKUP(($B702+PARAM!$B$56)/12,Loyalty,2)*$F$1*MAX(BF701,0)</f>
        <v>18.557001321003963</v>
      </c>
      <c r="BE702" s="75">
        <f>PARAM!$C$26+MAX($G$16-CHOOSE(PARAM!$B$44,MAX(0,BF701*$F$1),0),0)*RATES!$L678/12+$H$16*(PARAM!$D$51/12)*RATES!$N678/100</f>
        <v>503.91666666666669</v>
      </c>
      <c r="BF702" s="16">
        <f t="shared" si="469"/>
        <v>-58447.765465871315</v>
      </c>
      <c r="BG702" s="15">
        <f t="shared" si="444"/>
        <v>22.170849845882874</v>
      </c>
      <c r="BH702" s="75">
        <f>BG702*(1-PARAM!$C$27)*$I$17+(MOD($B702,60)=PARAM!$B$56)*($B702&gt;(60-PARAM!$B$56))*HLOOKUP(($B702+PARAM!$B$56)/12,Loyalty,2)*$F$1*MAX(BJ701,0)</f>
        <v>18.557001321003963</v>
      </c>
      <c r="BI702" s="75">
        <f>PARAM!$C$26+MAX($G$17-CHOOSE(PARAM!$B$44,MAX(0,BJ701*$F$1),0),0)*RATES!$L678/12+$H$17*(PARAM!$D$51/12)*RATES!$N678/100</f>
        <v>503.91666666666669</v>
      </c>
      <c r="BJ702" s="16">
        <f t="shared" si="470"/>
        <v>-58447.765465871315</v>
      </c>
      <c r="BK702" s="15">
        <f t="shared" si="445"/>
        <v>22.170849845882874</v>
      </c>
      <c r="BL702" s="75">
        <f>BK702*(1-PARAM!$C$27)*$I$18+(MOD($B702,60)=PARAM!$B$56)*($B702&gt;(60-PARAM!$B$56))*HLOOKUP(($B702+PARAM!$B$56)/12,Loyalty,2)*$F$1*MAX(BN701,0)</f>
        <v>18.557001321003963</v>
      </c>
      <c r="BM702" s="75">
        <f>PARAM!$C$26+MAX($G$18-CHOOSE(PARAM!$B$44,MAX(0,BN701*$F$1),0),0)*RATES!$L678/12+$H$18*(PARAM!$D$51/12)*RATES!$N678/100</f>
        <v>503.91666666666669</v>
      </c>
      <c r="BN702" s="16">
        <f t="shared" si="471"/>
        <v>-58447.765465871315</v>
      </c>
      <c r="BO702" s="15">
        <f t="shared" si="446"/>
        <v>22.170849845882874</v>
      </c>
      <c r="BP702" s="75">
        <f>BO702*(1-PARAM!$C$27)*$I$19+(MOD($B702,60)=PARAM!$B$56)*($B702&gt;(60-PARAM!$B$56))*HLOOKUP(($B702+PARAM!$B$56)/12,Loyalty,2)*$F$1*MAX(BR701,0)</f>
        <v>18.557001321003963</v>
      </c>
      <c r="BQ702" s="75">
        <f>PARAM!$C$26+MAX($G$19-CHOOSE(PARAM!$B$44,MAX(0,BR701*$F$1),0),0)*RATES!$L678/12+$H$19*(PARAM!$D$51/12)*RATES!$N678/100</f>
        <v>503.91666666666669</v>
      </c>
      <c r="BR702" s="16">
        <f t="shared" si="472"/>
        <v>-58447.765465871315</v>
      </c>
      <c r="BS702" s="15">
        <f t="shared" si="447"/>
        <v>22.170849845882874</v>
      </c>
      <c r="BT702" s="75">
        <f>BS702*(1-PARAM!$C$27)*$I$20+(MOD($B702,60)=PARAM!$B$56)*($B702&gt;(60-PARAM!$B$56))*HLOOKUP(($B702+PARAM!$B$56)/12,Loyalty,2)*$F$1*MAX(BV701,0)</f>
        <v>18.557001321003963</v>
      </c>
      <c r="BU702" s="75">
        <f>PARAM!$C$26+MAX($G$20-CHOOSE(PARAM!$B$44,MAX(0,BV701*$F$1),0),0)*RATES!$L678/12+$H$20*(PARAM!$D$51/12)*RATES!$N678/100</f>
        <v>503.91666666666669</v>
      </c>
      <c r="BV702" s="16">
        <f t="shared" si="473"/>
        <v>-58447.765465871315</v>
      </c>
      <c r="BW702" s="15">
        <f t="shared" si="448"/>
        <v>22.170849845882874</v>
      </c>
      <c r="BX702" s="75">
        <f>BW702*(1-PARAM!$C$27)*$I$21+(MOD($B702,60)=PARAM!$B$56)*($B702&gt;(60-PARAM!$B$56))*HLOOKUP(($B702+PARAM!$B$56)/12,Loyalty,2)*$F$1*MAX(BZ701,0)</f>
        <v>18.557001321003963</v>
      </c>
      <c r="BY702" s="75">
        <f>PARAM!$C$26+MAX($G$21-CHOOSE(PARAM!$B$44,MAX(0,BZ701*$F$1),0),0)*RATES!$L678/12+$H$21*(PARAM!$D$51/12)*RATES!$N678/100</f>
        <v>503.91666666666669</v>
      </c>
      <c r="BZ702" s="16">
        <f t="shared" si="474"/>
        <v>-58447.765465871315</v>
      </c>
      <c r="CA702" s="15">
        <f t="shared" si="449"/>
        <v>22.170849845882874</v>
      </c>
      <c r="CB702" s="75">
        <f>CA702*(1-PARAM!$C$27)*$I$22+(MOD($B702,60)=PARAM!$B$56)*($B702&gt;(60-PARAM!$B$56))*HLOOKUP(($B702+PARAM!$B$56)/12,Loyalty,2)*$F$1*MAX(CD701,0)</f>
        <v>18.557001321003963</v>
      </c>
      <c r="CC702" s="75">
        <f>PARAM!$C$26+MAX($G$22-CHOOSE(PARAM!$B$44,MAX(0,CD701*$F$1),0),0)*RATES!$L678/12+$H$22*(PARAM!$D$51/12)*RATES!$N678/100</f>
        <v>503.91666666666669</v>
      </c>
      <c r="CD702" s="16">
        <f t="shared" si="475"/>
        <v>-58447.765465871315</v>
      </c>
      <c r="CE702" s="33">
        <f>IF(0=MOD(B702,12/PARAM!$D$51),1,0)</f>
        <v>1</v>
      </c>
      <c r="CF702" s="15">
        <f t="shared" si="450"/>
        <v>0</v>
      </c>
      <c r="CG702" s="75">
        <f>CF702*(1-PARAM!$C$27)*$R$3+(MOD($B702/12,5)=0)*($B702&gt;60)*HLOOKUP($B702/12,Loyalty,2)*$F$1*MAX(CI701,0)</f>
        <v>0</v>
      </c>
      <c r="CH702" s="75">
        <f>PARAM!$C$26+MAX($P$3-CHOOSE(PARAM!$B$44,MAX(0,CI701*$F$1),0),0)*RATES!$L678/12+$Q$3*(PARAM!$D$51/12)*RATES!$N678/100</f>
        <v>503.91666666666669</v>
      </c>
      <c r="CI702" s="16">
        <f>IF(CI701&gt;0,CI701*PARAM!$C$53,CI701)+CG702-CH702</f>
        <v>-70854.166666666715</v>
      </c>
      <c r="CJ702" s="15">
        <f t="shared" si="476"/>
        <v>0</v>
      </c>
      <c r="CK702" s="75">
        <f>CJ702*(1-PARAM!$C$27)*$R$4+(MOD($B702/12,5)=0)*($B702&gt;60)*HLOOKUP($B702/12,Loyalty,2)*$F$1*MAX(CM701,0)</f>
        <v>0</v>
      </c>
      <c r="CL702" s="75">
        <f>PARAM!$C$26+MAX($P$4-CHOOSE(PARAM!$B$44,MAX(0,CM701*$F$1),0),0)*RATES!$L678/12+$Q$4*(PARAM!$D$51/12)*RATES!$N678/100</f>
        <v>503.91666666666669</v>
      </c>
      <c r="CM702" s="16">
        <f>IF(CM701&gt;0,CM701*PARAM!$C$53,CM701)+CK702-CL702</f>
        <v>-70854.166666666715</v>
      </c>
      <c r="CO702" s="176"/>
    </row>
    <row r="703" spans="1:93" x14ac:dyDescent="0.2">
      <c r="A703" t="b">
        <f t="shared" si="451"/>
        <v>0</v>
      </c>
      <c r="B703" s="33">
        <v>676</v>
      </c>
      <c r="C703" s="15">
        <f t="shared" si="452"/>
        <v>20.081305947392778</v>
      </c>
      <c r="D703" s="75">
        <f>C703*(1-PARAM!$C$27)*$I$3+(MOD($B703,60)=PARAM!$B$56)*($B703&gt;(60-PARAM!$B$56))*HLOOKUP(($B703+PARAM!$B$56)/12,Loyalty,2)*$F$1*MAX(F702,0)</f>
        <v>16.808053077967756</v>
      </c>
      <c r="E703" s="75">
        <f>PARAM!$C$26+MAX($G$3-CHOOSE(PARAM!$B$44,MAX(0,F702*$F$1),0),0)*RATES!$L679/12+$H$3*(PARAM!$D$51/12)*RATES!$N679/100</f>
        <v>503.91666666666669</v>
      </c>
      <c r="F703" s="16">
        <f t="shared" si="453"/>
        <v>-60152.264644030845</v>
      </c>
      <c r="G703" s="15">
        <f t="shared" si="454"/>
        <v>22.035289406060361</v>
      </c>
      <c r="H703" s="75">
        <f>G703*(1-PARAM!$C$27)*$I$4+(MOD($B703,60)=PARAM!$B$56)*($B703&gt;(60-PARAM!$B$56))*HLOOKUP(($B703+PARAM!$B$56)/12,Loyalty,2)*$F$1*MAX(J702,0)</f>
        <v>18.443537232872522</v>
      </c>
      <c r="I703" s="75">
        <f>PARAM!$C$26+MAX($G$4-CHOOSE(PARAM!$B$44,MAX(0,J702*$F$1),0),0)*RATES!$L679/12+$H$4*(PARAM!$D$51/12)*RATES!$N679/100</f>
        <v>503.91666666666669</v>
      </c>
      <c r="J703" s="16">
        <f t="shared" si="455"/>
        <v>-59012.844391193452</v>
      </c>
      <c r="K703" s="15">
        <f t="shared" si="456"/>
        <v>22.170849845882874</v>
      </c>
      <c r="L703" s="75">
        <f>K703*(1-PARAM!$C$27)*$I$5+(MOD($B703,60)=PARAM!$B$56)*($B703&gt;(60-PARAM!$B$56))*HLOOKUP(($B703+PARAM!$B$56)/12,Loyalty,2)*$F$1*MAX(N702,0)</f>
        <v>18.557001321003963</v>
      </c>
      <c r="M703" s="75">
        <f>PARAM!$C$26+MAX($G$5-CHOOSE(PARAM!$B$44,MAX(0,N702*$F$1),0),0)*RATES!$L679/12+$H$5*(PARAM!$D$51/12)*RATES!$N679/100</f>
        <v>503.91666666666669</v>
      </c>
      <c r="N703" s="16">
        <f t="shared" si="457"/>
        <v>-58933.125131216977</v>
      </c>
      <c r="O703" s="15">
        <f t="shared" si="458"/>
        <v>22.170849845882874</v>
      </c>
      <c r="P703" s="75">
        <f>O703*(1-PARAM!$C$27)*$I$6+(MOD($B703,60)=PARAM!$B$56)*($B703&gt;(60-PARAM!$B$56))*HLOOKUP(($B703+PARAM!$B$56)/12,Loyalty,2)*$F$1*MAX(R702,0)</f>
        <v>18.557001321003963</v>
      </c>
      <c r="Q703" s="75">
        <f>PARAM!$C$26+MAX($G$6-CHOOSE(PARAM!$B$44,MAX(0,R702*$F$1),0),0)*RATES!$L679/12+$H$6*(PARAM!$D$51/12)*RATES!$N679/100</f>
        <v>503.91666666666669</v>
      </c>
      <c r="R703" s="16">
        <f t="shared" si="459"/>
        <v>-58933.125131216977</v>
      </c>
      <c r="S703" s="15">
        <f t="shared" si="434"/>
        <v>22.170849845882874</v>
      </c>
      <c r="T703" s="75">
        <f>S703*(1-PARAM!$C$27)*$I$7+(MOD($B703,60)=PARAM!$B$56)*($B703&gt;(60-PARAM!$B$56))*HLOOKUP(($B703+PARAM!$B$56)/12,Loyalty,2)*$F$1*MAX(V702,0)</f>
        <v>18.557001321003963</v>
      </c>
      <c r="U703" s="75">
        <f>PARAM!$C$26+MAX($G$7-CHOOSE(PARAM!$B$44,MAX(0,V702*$F$1),0),0)*RATES!$L679/12+$H$7*(PARAM!$D$51/12)*RATES!$N679/100</f>
        <v>503.91666666666669</v>
      </c>
      <c r="V703" s="16">
        <f t="shared" si="460"/>
        <v>-58933.125131216977</v>
      </c>
      <c r="W703" s="15">
        <f t="shared" si="435"/>
        <v>22.170849845882874</v>
      </c>
      <c r="X703" s="75">
        <f>W703*(1-PARAM!$C$27)*$I$8+(MOD($B703,60)=PARAM!$B$56)*($B703&gt;(60-PARAM!$B$56))*HLOOKUP(($B703+PARAM!$B$56)/12,Loyalty,2)*$F$1*MAX(Z702,0)</f>
        <v>18.557001321003963</v>
      </c>
      <c r="Y703" s="75">
        <f>PARAM!$C$26+MAX($G$8-CHOOSE(PARAM!$B$44,MAX(0,Z702*$F$1),0),0)*RATES!$L679/12+$H$8*(PARAM!$D$51/12)*RATES!$N679/100</f>
        <v>503.91666666666669</v>
      </c>
      <c r="Z703" s="16">
        <f t="shared" si="461"/>
        <v>-58933.125131216977</v>
      </c>
      <c r="AA703" s="15">
        <f t="shared" si="436"/>
        <v>22.170849845882874</v>
      </c>
      <c r="AB703" s="75">
        <f>AA703*(1-PARAM!$C$27)*$I$9+(MOD($B703,60)=PARAM!$B$56)*($B703&gt;(60-PARAM!$B$56))*HLOOKUP(($B703+PARAM!$B$56)/12,Loyalty,2)*$F$1*MAX(AD702,0)</f>
        <v>18.557001321003963</v>
      </c>
      <c r="AC703" s="75">
        <f>PARAM!$C$26+MAX($G$9-CHOOSE(PARAM!$B$44,MAX(0,AD702*$F$1),0),0)*RATES!$L679/12+$H$9*(PARAM!$D$51/12)*RATES!$N679/100</f>
        <v>503.91666666666669</v>
      </c>
      <c r="AD703" s="16">
        <f t="shared" si="462"/>
        <v>-58933.125131216977</v>
      </c>
      <c r="AE703" s="15">
        <f t="shared" si="437"/>
        <v>22.170849845882874</v>
      </c>
      <c r="AF703" s="75">
        <f>AE703*(1-PARAM!$C$27)*$I$10+(MOD($B703,60)=PARAM!$B$56)*($B703&gt;(60-PARAM!$B$56))*HLOOKUP(($B703+PARAM!$B$56)/12,Loyalty,2)*$F$1*MAX(AH702,0)</f>
        <v>18.557001321003963</v>
      </c>
      <c r="AG703" s="75">
        <f>PARAM!$C$26+MAX($G$10-CHOOSE(PARAM!$B$44,MAX(0,AH702*$F$1),0),0)*RATES!$L679/12+$H$10*(PARAM!$D$51/12)*RATES!$N679/100</f>
        <v>503.91666666666669</v>
      </c>
      <c r="AH703" s="16">
        <f t="shared" si="463"/>
        <v>-58933.125131216977</v>
      </c>
      <c r="AI703" s="15">
        <f t="shared" si="438"/>
        <v>22.170849845882874</v>
      </c>
      <c r="AJ703" s="75">
        <f>AI703*(1-PARAM!$C$27)*$I$11+(MOD($B703,60)=PARAM!$B$56)*($B703&gt;(60-PARAM!$B$56))*HLOOKUP(($B703+PARAM!$B$56)/12,Loyalty,2)*$F$1*MAX(AL702,0)</f>
        <v>18.557001321003963</v>
      </c>
      <c r="AK703" s="75">
        <f>PARAM!$C$26+MAX($G$11-CHOOSE(PARAM!$B$44,MAX(0,AL702*$F$1),0),0)*RATES!$L679/12+$H$11*(PARAM!$D$51/12)*RATES!$N679/100</f>
        <v>503.91666666666669</v>
      </c>
      <c r="AL703" s="16">
        <f t="shared" si="464"/>
        <v>-58933.125131216977</v>
      </c>
      <c r="AM703" s="15">
        <f t="shared" si="439"/>
        <v>22.170849845882874</v>
      </c>
      <c r="AN703" s="75">
        <f>AM703*(1-PARAM!$C$27)*$I$12+(MOD($B703,60)=PARAM!$B$56)*($B703&gt;(60-PARAM!$B$56))*HLOOKUP(($B703+PARAM!$B$56)/12,Loyalty,2)*$F$1*MAX(AP702,0)</f>
        <v>18.557001321003963</v>
      </c>
      <c r="AO703" s="75">
        <f>PARAM!$C$26+MAX($G$12-CHOOSE(PARAM!$B$44,MAX(0,AP702*$F$1),0),0)*RATES!$L679/12+$H$12*(PARAM!$D$51/12)*RATES!$N679/100</f>
        <v>503.91666666666669</v>
      </c>
      <c r="AP703" s="16">
        <f t="shared" si="465"/>
        <v>-58933.125131216977</v>
      </c>
      <c r="AQ703" s="15">
        <f t="shared" si="440"/>
        <v>22.170849845882874</v>
      </c>
      <c r="AR703" s="75">
        <f>AQ703*(1-PARAM!$C$27)*$I$13+(MOD($B703,60)=PARAM!$B$56)*($B703&gt;(60-PARAM!$B$56))*HLOOKUP(($B703+PARAM!$B$56)/12,Loyalty,2)*$F$1*MAX(AT702,0)</f>
        <v>18.557001321003963</v>
      </c>
      <c r="AS703" s="75">
        <f>PARAM!$C$26+MAX($G$13-CHOOSE(PARAM!$B$44,MAX(0,AT702*$F$1),0),0)*RATES!$L679/12+$H$13*(PARAM!$D$51/12)*RATES!$N679/100</f>
        <v>503.91666666666669</v>
      </c>
      <c r="AT703" s="16">
        <f t="shared" si="466"/>
        <v>-58933.125131216977</v>
      </c>
      <c r="AU703" s="15">
        <f t="shared" si="441"/>
        <v>22.170849845882874</v>
      </c>
      <c r="AV703" s="75">
        <f>AU703*(1-PARAM!$C$27)*$I$14+(MOD($B703,60)=PARAM!$B$56)*($B703&gt;(60-PARAM!$B$56))*HLOOKUP(($B703+PARAM!$B$56)/12,Loyalty,2)*$F$1*MAX(AX702,0)</f>
        <v>18.557001321003963</v>
      </c>
      <c r="AW703" s="75">
        <f>PARAM!$C$26+MAX($G$14-CHOOSE(PARAM!$B$44,MAX(0,AX702*$F$1),0),0)*RATES!$L679/12+$H$14*(PARAM!$D$51/12)*RATES!$N679/100</f>
        <v>503.91666666666669</v>
      </c>
      <c r="AX703" s="16">
        <f t="shared" si="467"/>
        <v>-58933.125131216977</v>
      </c>
      <c r="AY703" s="15">
        <f t="shared" si="442"/>
        <v>22.170849845882874</v>
      </c>
      <c r="AZ703" s="75">
        <f>AY703*(1-PARAM!$C$27)*$I$15+(MOD($B703,60)=PARAM!$B$56)*($B703&gt;(60-PARAM!$B$56))*HLOOKUP(($B703+PARAM!$B$56)/12,Loyalty,2)*$F$1*MAX(BB702,0)</f>
        <v>18.557001321003963</v>
      </c>
      <c r="BA703" s="75">
        <f>PARAM!$C$26+MAX($G$15-CHOOSE(PARAM!$B$44,MAX(0,BB702*$F$1),0),0)*RATES!$L679/12+$H$15*(PARAM!$D$51/12)*RATES!$N679/100</f>
        <v>503.91666666666669</v>
      </c>
      <c r="BB703" s="16">
        <f t="shared" si="468"/>
        <v>-58933.125131216977</v>
      </c>
      <c r="BC703" s="15">
        <f t="shared" si="443"/>
        <v>22.170849845882874</v>
      </c>
      <c r="BD703" s="75">
        <f>BC703*(1-PARAM!$C$27)*$I$16+(MOD($B703,60)=PARAM!$B$56)*($B703&gt;(60-PARAM!$B$56))*HLOOKUP(($B703+PARAM!$B$56)/12,Loyalty,2)*$F$1*MAX(BF702,0)</f>
        <v>18.557001321003963</v>
      </c>
      <c r="BE703" s="75">
        <f>PARAM!$C$26+MAX($G$16-CHOOSE(PARAM!$B$44,MAX(0,BF702*$F$1),0),0)*RATES!$L679/12+$H$16*(PARAM!$D$51/12)*RATES!$N679/100</f>
        <v>503.91666666666669</v>
      </c>
      <c r="BF703" s="16">
        <f t="shared" si="469"/>
        <v>-58933.125131216977</v>
      </c>
      <c r="BG703" s="15">
        <f t="shared" si="444"/>
        <v>22.170849845882874</v>
      </c>
      <c r="BH703" s="75">
        <f>BG703*(1-PARAM!$C$27)*$I$17+(MOD($B703,60)=PARAM!$B$56)*($B703&gt;(60-PARAM!$B$56))*HLOOKUP(($B703+PARAM!$B$56)/12,Loyalty,2)*$F$1*MAX(BJ702,0)</f>
        <v>18.557001321003963</v>
      </c>
      <c r="BI703" s="75">
        <f>PARAM!$C$26+MAX($G$17-CHOOSE(PARAM!$B$44,MAX(0,BJ702*$F$1),0),0)*RATES!$L679/12+$H$17*(PARAM!$D$51/12)*RATES!$N679/100</f>
        <v>503.91666666666669</v>
      </c>
      <c r="BJ703" s="16">
        <f t="shared" si="470"/>
        <v>-58933.125131216977</v>
      </c>
      <c r="BK703" s="15">
        <f t="shared" si="445"/>
        <v>22.170849845882874</v>
      </c>
      <c r="BL703" s="75">
        <f>BK703*(1-PARAM!$C$27)*$I$18+(MOD($B703,60)=PARAM!$B$56)*($B703&gt;(60-PARAM!$B$56))*HLOOKUP(($B703+PARAM!$B$56)/12,Loyalty,2)*$F$1*MAX(BN702,0)</f>
        <v>18.557001321003963</v>
      </c>
      <c r="BM703" s="75">
        <f>PARAM!$C$26+MAX($G$18-CHOOSE(PARAM!$B$44,MAX(0,BN702*$F$1),0),0)*RATES!$L679/12+$H$18*(PARAM!$D$51/12)*RATES!$N679/100</f>
        <v>503.91666666666669</v>
      </c>
      <c r="BN703" s="16">
        <f t="shared" si="471"/>
        <v>-58933.125131216977</v>
      </c>
      <c r="BO703" s="15">
        <f t="shared" si="446"/>
        <v>22.170849845882874</v>
      </c>
      <c r="BP703" s="75">
        <f>BO703*(1-PARAM!$C$27)*$I$19+(MOD($B703,60)=PARAM!$B$56)*($B703&gt;(60-PARAM!$B$56))*HLOOKUP(($B703+PARAM!$B$56)/12,Loyalty,2)*$F$1*MAX(BR702,0)</f>
        <v>18.557001321003963</v>
      </c>
      <c r="BQ703" s="75">
        <f>PARAM!$C$26+MAX($G$19-CHOOSE(PARAM!$B$44,MAX(0,BR702*$F$1),0),0)*RATES!$L679/12+$H$19*(PARAM!$D$51/12)*RATES!$N679/100</f>
        <v>503.91666666666669</v>
      </c>
      <c r="BR703" s="16">
        <f t="shared" si="472"/>
        <v>-58933.125131216977</v>
      </c>
      <c r="BS703" s="15">
        <f t="shared" si="447"/>
        <v>22.170849845882874</v>
      </c>
      <c r="BT703" s="75">
        <f>BS703*(1-PARAM!$C$27)*$I$20+(MOD($B703,60)=PARAM!$B$56)*($B703&gt;(60-PARAM!$B$56))*HLOOKUP(($B703+PARAM!$B$56)/12,Loyalty,2)*$F$1*MAX(BV702,0)</f>
        <v>18.557001321003963</v>
      </c>
      <c r="BU703" s="75">
        <f>PARAM!$C$26+MAX($G$20-CHOOSE(PARAM!$B$44,MAX(0,BV702*$F$1),0),0)*RATES!$L679/12+$H$20*(PARAM!$D$51/12)*RATES!$N679/100</f>
        <v>503.91666666666669</v>
      </c>
      <c r="BV703" s="16">
        <f t="shared" si="473"/>
        <v>-58933.125131216977</v>
      </c>
      <c r="BW703" s="15">
        <f t="shared" si="448"/>
        <v>22.170849845882874</v>
      </c>
      <c r="BX703" s="75">
        <f>BW703*(1-PARAM!$C$27)*$I$21+(MOD($B703,60)=PARAM!$B$56)*($B703&gt;(60-PARAM!$B$56))*HLOOKUP(($B703+PARAM!$B$56)/12,Loyalty,2)*$F$1*MAX(BZ702,0)</f>
        <v>18.557001321003963</v>
      </c>
      <c r="BY703" s="75">
        <f>PARAM!$C$26+MAX($G$21-CHOOSE(PARAM!$B$44,MAX(0,BZ702*$F$1),0),0)*RATES!$L679/12+$H$21*(PARAM!$D$51/12)*RATES!$N679/100</f>
        <v>503.91666666666669</v>
      </c>
      <c r="BZ703" s="16">
        <f t="shared" si="474"/>
        <v>-58933.125131216977</v>
      </c>
      <c r="CA703" s="15">
        <f t="shared" si="449"/>
        <v>22.170849845882874</v>
      </c>
      <c r="CB703" s="75">
        <f>CA703*(1-PARAM!$C$27)*$I$22+(MOD($B703,60)=PARAM!$B$56)*($B703&gt;(60-PARAM!$B$56))*HLOOKUP(($B703+PARAM!$B$56)/12,Loyalty,2)*$F$1*MAX(CD702,0)</f>
        <v>18.557001321003963</v>
      </c>
      <c r="CC703" s="75">
        <f>PARAM!$C$26+MAX($G$22-CHOOSE(PARAM!$B$44,MAX(0,CD702*$F$1),0),0)*RATES!$L679/12+$H$22*(PARAM!$D$51/12)*RATES!$N679/100</f>
        <v>503.91666666666669</v>
      </c>
      <c r="CD703" s="16">
        <f t="shared" si="475"/>
        <v>-58933.125131216977</v>
      </c>
      <c r="CE703" s="33">
        <f>IF(0=MOD(B703,12/PARAM!$D$51),1,0)</f>
        <v>1</v>
      </c>
      <c r="CF703" s="15">
        <f t="shared" si="450"/>
        <v>0</v>
      </c>
      <c r="CG703" s="75">
        <f>CF703*(1-PARAM!$C$27)*$R$3+(MOD($B703/12,5)=0)*($B703&gt;60)*HLOOKUP($B703/12,Loyalty,2)*$F$1*MAX(CI702,0)</f>
        <v>0</v>
      </c>
      <c r="CH703" s="75">
        <f>PARAM!$C$26+MAX($P$3-CHOOSE(PARAM!$B$44,MAX(0,CI702*$F$1),0),0)*RATES!$L679/12+$Q$3*(PARAM!$D$51/12)*RATES!$N679/100</f>
        <v>503.91666666666669</v>
      </c>
      <c r="CI703" s="16">
        <f>IF(CI702&gt;0,CI702*PARAM!$C$53,CI702)+CG703-CH703</f>
        <v>-71358.083333333387</v>
      </c>
      <c r="CJ703" s="15">
        <f t="shared" si="476"/>
        <v>0</v>
      </c>
      <c r="CK703" s="75">
        <f>CJ703*(1-PARAM!$C$27)*$R$4+(MOD($B703/12,5)=0)*($B703&gt;60)*HLOOKUP($B703/12,Loyalty,2)*$F$1*MAX(CM702,0)</f>
        <v>0</v>
      </c>
      <c r="CL703" s="75">
        <f>PARAM!$C$26+MAX($P$4-CHOOSE(PARAM!$B$44,MAX(0,CM702*$F$1),0),0)*RATES!$L679/12+$Q$4*(PARAM!$D$51/12)*RATES!$N679/100</f>
        <v>503.91666666666669</v>
      </c>
      <c r="CM703" s="16">
        <f>IF(CM702&gt;0,CM702*PARAM!$C$53,CM702)+CK703-CL703</f>
        <v>-71358.083333333387</v>
      </c>
      <c r="CO703" s="176"/>
    </row>
    <row r="704" spans="1:93" x14ac:dyDescent="0.2">
      <c r="A704" t="b">
        <f t="shared" si="451"/>
        <v>0</v>
      </c>
      <c r="B704" s="33">
        <v>677</v>
      </c>
      <c r="C704" s="15">
        <f t="shared" si="452"/>
        <v>20.081305947392778</v>
      </c>
      <c r="D704" s="75">
        <f>C704*(1-PARAM!$C$27)*$I$3+(MOD($B704,60)=PARAM!$B$56)*($B704&gt;(60-PARAM!$B$56))*HLOOKUP(($B704+PARAM!$B$56)/12,Loyalty,2)*$F$1*MAX(F703,0)</f>
        <v>16.808053077967756</v>
      </c>
      <c r="E704" s="75">
        <f>PARAM!$C$26+MAX($G$3-CHOOSE(PARAM!$B$44,MAX(0,F703*$F$1),0),0)*RATES!$L680/12+$H$3*(PARAM!$D$51/12)*RATES!$N680/100</f>
        <v>503.91666666666669</v>
      </c>
      <c r="F704" s="16">
        <f t="shared" si="453"/>
        <v>-60639.37325761954</v>
      </c>
      <c r="G704" s="15">
        <f t="shared" si="454"/>
        <v>22.035289406060361</v>
      </c>
      <c r="H704" s="75">
        <f>G704*(1-PARAM!$C$27)*$I$4+(MOD($B704,60)=PARAM!$B$56)*($B704&gt;(60-PARAM!$B$56))*HLOOKUP(($B704+PARAM!$B$56)/12,Loyalty,2)*$F$1*MAX(J703,0)</f>
        <v>18.443537232872522</v>
      </c>
      <c r="I704" s="75">
        <f>PARAM!$C$26+MAX($G$4-CHOOSE(PARAM!$B$44,MAX(0,J703*$F$1),0),0)*RATES!$L680/12+$H$4*(PARAM!$D$51/12)*RATES!$N680/100</f>
        <v>503.91666666666669</v>
      </c>
      <c r="J704" s="16">
        <f t="shared" si="455"/>
        <v>-59498.317520627243</v>
      </c>
      <c r="K704" s="15">
        <f t="shared" si="456"/>
        <v>22.170849845882874</v>
      </c>
      <c r="L704" s="75">
        <f>K704*(1-PARAM!$C$27)*$I$5+(MOD($B704,60)=PARAM!$B$56)*($B704&gt;(60-PARAM!$B$56))*HLOOKUP(($B704+PARAM!$B$56)/12,Loyalty,2)*$F$1*MAX(N703,0)</f>
        <v>18.557001321003963</v>
      </c>
      <c r="M704" s="75">
        <f>PARAM!$C$26+MAX($G$5-CHOOSE(PARAM!$B$44,MAX(0,N703*$F$1),0),0)*RATES!$L680/12+$H$5*(PARAM!$D$51/12)*RATES!$N680/100</f>
        <v>503.91666666666669</v>
      </c>
      <c r="N704" s="16">
        <f t="shared" si="457"/>
        <v>-59418.48479656264</v>
      </c>
      <c r="O704" s="15">
        <f t="shared" si="458"/>
        <v>22.170849845882874</v>
      </c>
      <c r="P704" s="75">
        <f>O704*(1-PARAM!$C$27)*$I$6+(MOD($B704,60)=PARAM!$B$56)*($B704&gt;(60-PARAM!$B$56))*HLOOKUP(($B704+PARAM!$B$56)/12,Loyalty,2)*$F$1*MAX(R703,0)</f>
        <v>18.557001321003963</v>
      </c>
      <c r="Q704" s="75">
        <f>PARAM!$C$26+MAX($G$6-CHOOSE(PARAM!$B$44,MAX(0,R703*$F$1),0),0)*RATES!$L680/12+$H$6*(PARAM!$D$51/12)*RATES!$N680/100</f>
        <v>503.91666666666669</v>
      </c>
      <c r="R704" s="16">
        <f t="shared" si="459"/>
        <v>-59418.48479656264</v>
      </c>
      <c r="S704" s="15">
        <f t="shared" si="434"/>
        <v>22.170849845882874</v>
      </c>
      <c r="T704" s="75">
        <f>S704*(1-PARAM!$C$27)*$I$7+(MOD($B704,60)=PARAM!$B$56)*($B704&gt;(60-PARAM!$B$56))*HLOOKUP(($B704+PARAM!$B$56)/12,Loyalty,2)*$F$1*MAX(V703,0)</f>
        <v>18.557001321003963</v>
      </c>
      <c r="U704" s="75">
        <f>PARAM!$C$26+MAX($G$7-CHOOSE(PARAM!$B$44,MAX(0,V703*$F$1),0),0)*RATES!$L680/12+$H$7*(PARAM!$D$51/12)*RATES!$N680/100</f>
        <v>503.91666666666669</v>
      </c>
      <c r="V704" s="16">
        <f t="shared" si="460"/>
        <v>-59418.48479656264</v>
      </c>
      <c r="W704" s="15">
        <f t="shared" si="435"/>
        <v>22.170849845882874</v>
      </c>
      <c r="X704" s="75">
        <f>W704*(1-PARAM!$C$27)*$I$8+(MOD($B704,60)=PARAM!$B$56)*($B704&gt;(60-PARAM!$B$56))*HLOOKUP(($B704+PARAM!$B$56)/12,Loyalty,2)*$F$1*MAX(Z703,0)</f>
        <v>18.557001321003963</v>
      </c>
      <c r="Y704" s="75">
        <f>PARAM!$C$26+MAX($G$8-CHOOSE(PARAM!$B$44,MAX(0,Z703*$F$1),0),0)*RATES!$L680/12+$H$8*(PARAM!$D$51/12)*RATES!$N680/100</f>
        <v>503.91666666666669</v>
      </c>
      <c r="Z704" s="16">
        <f t="shared" si="461"/>
        <v>-59418.48479656264</v>
      </c>
      <c r="AA704" s="15">
        <f t="shared" si="436"/>
        <v>22.170849845882874</v>
      </c>
      <c r="AB704" s="75">
        <f>AA704*(1-PARAM!$C$27)*$I$9+(MOD($B704,60)=PARAM!$B$56)*($B704&gt;(60-PARAM!$B$56))*HLOOKUP(($B704+PARAM!$B$56)/12,Loyalty,2)*$F$1*MAX(AD703,0)</f>
        <v>18.557001321003963</v>
      </c>
      <c r="AC704" s="75">
        <f>PARAM!$C$26+MAX($G$9-CHOOSE(PARAM!$B$44,MAX(0,AD703*$F$1),0),0)*RATES!$L680/12+$H$9*(PARAM!$D$51/12)*RATES!$N680/100</f>
        <v>503.91666666666669</v>
      </c>
      <c r="AD704" s="16">
        <f t="shared" si="462"/>
        <v>-59418.48479656264</v>
      </c>
      <c r="AE704" s="15">
        <f t="shared" si="437"/>
        <v>22.170849845882874</v>
      </c>
      <c r="AF704" s="75">
        <f>AE704*(1-PARAM!$C$27)*$I$10+(MOD($B704,60)=PARAM!$B$56)*($B704&gt;(60-PARAM!$B$56))*HLOOKUP(($B704+PARAM!$B$56)/12,Loyalty,2)*$F$1*MAX(AH703,0)</f>
        <v>18.557001321003963</v>
      </c>
      <c r="AG704" s="75">
        <f>PARAM!$C$26+MAX($G$10-CHOOSE(PARAM!$B$44,MAX(0,AH703*$F$1),0),0)*RATES!$L680/12+$H$10*(PARAM!$D$51/12)*RATES!$N680/100</f>
        <v>503.91666666666669</v>
      </c>
      <c r="AH704" s="16">
        <f t="shared" si="463"/>
        <v>-59418.48479656264</v>
      </c>
      <c r="AI704" s="15">
        <f t="shared" si="438"/>
        <v>22.170849845882874</v>
      </c>
      <c r="AJ704" s="75">
        <f>AI704*(1-PARAM!$C$27)*$I$11+(MOD($B704,60)=PARAM!$B$56)*($B704&gt;(60-PARAM!$B$56))*HLOOKUP(($B704+PARAM!$B$56)/12,Loyalty,2)*$F$1*MAX(AL703,0)</f>
        <v>18.557001321003963</v>
      </c>
      <c r="AK704" s="75">
        <f>PARAM!$C$26+MAX($G$11-CHOOSE(PARAM!$B$44,MAX(0,AL703*$F$1),0),0)*RATES!$L680/12+$H$11*(PARAM!$D$51/12)*RATES!$N680/100</f>
        <v>503.91666666666669</v>
      </c>
      <c r="AL704" s="16">
        <f t="shared" si="464"/>
        <v>-59418.48479656264</v>
      </c>
      <c r="AM704" s="15">
        <f t="shared" si="439"/>
        <v>22.170849845882874</v>
      </c>
      <c r="AN704" s="75">
        <f>AM704*(1-PARAM!$C$27)*$I$12+(MOD($B704,60)=PARAM!$B$56)*($B704&gt;(60-PARAM!$B$56))*HLOOKUP(($B704+PARAM!$B$56)/12,Loyalty,2)*$F$1*MAX(AP703,0)</f>
        <v>18.557001321003963</v>
      </c>
      <c r="AO704" s="75">
        <f>PARAM!$C$26+MAX($G$12-CHOOSE(PARAM!$B$44,MAX(0,AP703*$F$1),0),0)*RATES!$L680/12+$H$12*(PARAM!$D$51/12)*RATES!$N680/100</f>
        <v>503.91666666666669</v>
      </c>
      <c r="AP704" s="16">
        <f t="shared" si="465"/>
        <v>-59418.48479656264</v>
      </c>
      <c r="AQ704" s="15">
        <f t="shared" si="440"/>
        <v>22.170849845882874</v>
      </c>
      <c r="AR704" s="75">
        <f>AQ704*(1-PARAM!$C$27)*$I$13+(MOD($B704,60)=PARAM!$B$56)*($B704&gt;(60-PARAM!$B$56))*HLOOKUP(($B704+PARAM!$B$56)/12,Loyalty,2)*$F$1*MAX(AT703,0)</f>
        <v>18.557001321003963</v>
      </c>
      <c r="AS704" s="75">
        <f>PARAM!$C$26+MAX($G$13-CHOOSE(PARAM!$B$44,MAX(0,AT703*$F$1),0),0)*RATES!$L680/12+$H$13*(PARAM!$D$51/12)*RATES!$N680/100</f>
        <v>503.91666666666669</v>
      </c>
      <c r="AT704" s="16">
        <f t="shared" si="466"/>
        <v>-59418.48479656264</v>
      </c>
      <c r="AU704" s="15">
        <f t="shared" si="441"/>
        <v>22.170849845882874</v>
      </c>
      <c r="AV704" s="75">
        <f>AU704*(1-PARAM!$C$27)*$I$14+(MOD($B704,60)=PARAM!$B$56)*($B704&gt;(60-PARAM!$B$56))*HLOOKUP(($B704+PARAM!$B$56)/12,Loyalty,2)*$F$1*MAX(AX703,0)</f>
        <v>18.557001321003963</v>
      </c>
      <c r="AW704" s="75">
        <f>PARAM!$C$26+MAX($G$14-CHOOSE(PARAM!$B$44,MAX(0,AX703*$F$1),0),0)*RATES!$L680/12+$H$14*(PARAM!$D$51/12)*RATES!$N680/100</f>
        <v>503.91666666666669</v>
      </c>
      <c r="AX704" s="16">
        <f t="shared" si="467"/>
        <v>-59418.48479656264</v>
      </c>
      <c r="AY704" s="15">
        <f t="shared" si="442"/>
        <v>22.170849845882874</v>
      </c>
      <c r="AZ704" s="75">
        <f>AY704*(1-PARAM!$C$27)*$I$15+(MOD($B704,60)=PARAM!$B$56)*($B704&gt;(60-PARAM!$B$56))*HLOOKUP(($B704+PARAM!$B$56)/12,Loyalty,2)*$F$1*MAX(BB703,0)</f>
        <v>18.557001321003963</v>
      </c>
      <c r="BA704" s="75">
        <f>PARAM!$C$26+MAX($G$15-CHOOSE(PARAM!$B$44,MAX(0,BB703*$F$1),0),0)*RATES!$L680/12+$H$15*(PARAM!$D$51/12)*RATES!$N680/100</f>
        <v>503.91666666666669</v>
      </c>
      <c r="BB704" s="16">
        <f t="shared" si="468"/>
        <v>-59418.48479656264</v>
      </c>
      <c r="BC704" s="15">
        <f t="shared" si="443"/>
        <v>22.170849845882874</v>
      </c>
      <c r="BD704" s="75">
        <f>BC704*(1-PARAM!$C$27)*$I$16+(MOD($B704,60)=PARAM!$B$56)*($B704&gt;(60-PARAM!$B$56))*HLOOKUP(($B704+PARAM!$B$56)/12,Loyalty,2)*$F$1*MAX(BF703,0)</f>
        <v>18.557001321003963</v>
      </c>
      <c r="BE704" s="75">
        <f>PARAM!$C$26+MAX($G$16-CHOOSE(PARAM!$B$44,MAX(0,BF703*$F$1),0),0)*RATES!$L680/12+$H$16*(PARAM!$D$51/12)*RATES!$N680/100</f>
        <v>503.91666666666669</v>
      </c>
      <c r="BF704" s="16">
        <f t="shared" si="469"/>
        <v>-59418.48479656264</v>
      </c>
      <c r="BG704" s="15">
        <f t="shared" si="444"/>
        <v>22.170849845882874</v>
      </c>
      <c r="BH704" s="75">
        <f>BG704*(1-PARAM!$C$27)*$I$17+(MOD($B704,60)=PARAM!$B$56)*($B704&gt;(60-PARAM!$B$56))*HLOOKUP(($B704+PARAM!$B$56)/12,Loyalty,2)*$F$1*MAX(BJ703,0)</f>
        <v>18.557001321003963</v>
      </c>
      <c r="BI704" s="75">
        <f>PARAM!$C$26+MAX($G$17-CHOOSE(PARAM!$B$44,MAX(0,BJ703*$F$1),0),0)*RATES!$L680/12+$H$17*(PARAM!$D$51/12)*RATES!$N680/100</f>
        <v>503.91666666666669</v>
      </c>
      <c r="BJ704" s="16">
        <f t="shared" si="470"/>
        <v>-59418.48479656264</v>
      </c>
      <c r="BK704" s="15">
        <f t="shared" si="445"/>
        <v>22.170849845882874</v>
      </c>
      <c r="BL704" s="75">
        <f>BK704*(1-PARAM!$C$27)*$I$18+(MOD($B704,60)=PARAM!$B$56)*($B704&gt;(60-PARAM!$B$56))*HLOOKUP(($B704+PARAM!$B$56)/12,Loyalty,2)*$F$1*MAX(BN703,0)</f>
        <v>18.557001321003963</v>
      </c>
      <c r="BM704" s="75">
        <f>PARAM!$C$26+MAX($G$18-CHOOSE(PARAM!$B$44,MAX(0,BN703*$F$1),0),0)*RATES!$L680/12+$H$18*(PARAM!$D$51/12)*RATES!$N680/100</f>
        <v>503.91666666666669</v>
      </c>
      <c r="BN704" s="16">
        <f t="shared" si="471"/>
        <v>-59418.48479656264</v>
      </c>
      <c r="BO704" s="15">
        <f t="shared" si="446"/>
        <v>22.170849845882874</v>
      </c>
      <c r="BP704" s="75">
        <f>BO704*(1-PARAM!$C$27)*$I$19+(MOD($B704,60)=PARAM!$B$56)*($B704&gt;(60-PARAM!$B$56))*HLOOKUP(($B704+PARAM!$B$56)/12,Loyalty,2)*$F$1*MAX(BR703,0)</f>
        <v>18.557001321003963</v>
      </c>
      <c r="BQ704" s="75">
        <f>PARAM!$C$26+MAX($G$19-CHOOSE(PARAM!$B$44,MAX(0,BR703*$F$1),0),0)*RATES!$L680/12+$H$19*(PARAM!$D$51/12)*RATES!$N680/100</f>
        <v>503.91666666666669</v>
      </c>
      <c r="BR704" s="16">
        <f t="shared" si="472"/>
        <v>-59418.48479656264</v>
      </c>
      <c r="BS704" s="15">
        <f t="shared" si="447"/>
        <v>22.170849845882874</v>
      </c>
      <c r="BT704" s="75">
        <f>BS704*(1-PARAM!$C$27)*$I$20+(MOD($B704,60)=PARAM!$B$56)*($B704&gt;(60-PARAM!$B$56))*HLOOKUP(($B704+PARAM!$B$56)/12,Loyalty,2)*$F$1*MAX(BV703,0)</f>
        <v>18.557001321003963</v>
      </c>
      <c r="BU704" s="75">
        <f>PARAM!$C$26+MAX($G$20-CHOOSE(PARAM!$B$44,MAX(0,BV703*$F$1),0),0)*RATES!$L680/12+$H$20*(PARAM!$D$51/12)*RATES!$N680/100</f>
        <v>503.91666666666669</v>
      </c>
      <c r="BV704" s="16">
        <f t="shared" si="473"/>
        <v>-59418.48479656264</v>
      </c>
      <c r="BW704" s="15">
        <f t="shared" si="448"/>
        <v>22.170849845882874</v>
      </c>
      <c r="BX704" s="75">
        <f>BW704*(1-PARAM!$C$27)*$I$21+(MOD($B704,60)=PARAM!$B$56)*($B704&gt;(60-PARAM!$B$56))*HLOOKUP(($B704+PARAM!$B$56)/12,Loyalty,2)*$F$1*MAX(BZ703,0)</f>
        <v>18.557001321003963</v>
      </c>
      <c r="BY704" s="75">
        <f>PARAM!$C$26+MAX($G$21-CHOOSE(PARAM!$B$44,MAX(0,BZ703*$F$1),0),0)*RATES!$L680/12+$H$21*(PARAM!$D$51/12)*RATES!$N680/100</f>
        <v>503.91666666666669</v>
      </c>
      <c r="BZ704" s="16">
        <f t="shared" si="474"/>
        <v>-59418.48479656264</v>
      </c>
      <c r="CA704" s="15">
        <f t="shared" si="449"/>
        <v>22.170849845882874</v>
      </c>
      <c r="CB704" s="75">
        <f>CA704*(1-PARAM!$C$27)*$I$22+(MOD($B704,60)=PARAM!$B$56)*($B704&gt;(60-PARAM!$B$56))*HLOOKUP(($B704+PARAM!$B$56)/12,Loyalty,2)*$F$1*MAX(CD703,0)</f>
        <v>18.557001321003963</v>
      </c>
      <c r="CC704" s="75">
        <f>PARAM!$C$26+MAX($G$22-CHOOSE(PARAM!$B$44,MAX(0,CD703*$F$1),0),0)*RATES!$L680/12+$H$22*(PARAM!$D$51/12)*RATES!$N680/100</f>
        <v>503.91666666666669</v>
      </c>
      <c r="CD704" s="16">
        <f t="shared" si="475"/>
        <v>-59418.48479656264</v>
      </c>
      <c r="CE704" s="33">
        <f>IF(0=MOD(B704,12/PARAM!$D$51),1,0)</f>
        <v>1</v>
      </c>
      <c r="CF704" s="15">
        <f t="shared" si="450"/>
        <v>0</v>
      </c>
      <c r="CG704" s="75">
        <f>CF704*(1-PARAM!$C$27)*$R$3+(MOD($B704/12,5)=0)*($B704&gt;60)*HLOOKUP($B704/12,Loyalty,2)*$F$1*MAX(CI703,0)</f>
        <v>0</v>
      </c>
      <c r="CH704" s="75">
        <f>PARAM!$C$26+MAX($P$3-CHOOSE(PARAM!$B$44,MAX(0,CI703*$F$1),0),0)*RATES!$L680/12+$Q$3*(PARAM!$D$51/12)*RATES!$N680/100</f>
        <v>503.91666666666669</v>
      </c>
      <c r="CI704" s="16">
        <f>IF(CI703&gt;0,CI703*PARAM!$C$53,CI703)+CG704-CH704</f>
        <v>-71862.000000000058</v>
      </c>
      <c r="CJ704" s="15">
        <f t="shared" si="476"/>
        <v>0</v>
      </c>
      <c r="CK704" s="75">
        <f>CJ704*(1-PARAM!$C$27)*$R$4+(MOD($B704/12,5)=0)*($B704&gt;60)*HLOOKUP($B704/12,Loyalty,2)*$F$1*MAX(CM703,0)</f>
        <v>0</v>
      </c>
      <c r="CL704" s="75">
        <f>PARAM!$C$26+MAX($P$4-CHOOSE(PARAM!$B$44,MAX(0,CM703*$F$1),0),0)*RATES!$L680/12+$Q$4*(PARAM!$D$51/12)*RATES!$N680/100</f>
        <v>503.91666666666669</v>
      </c>
      <c r="CM704" s="16">
        <f>IF(CM703&gt;0,CM703*PARAM!$C$53,CM703)+CK704-CL704</f>
        <v>-71862.000000000058</v>
      </c>
      <c r="CO704" s="176"/>
    </row>
    <row r="705" spans="1:93" x14ac:dyDescent="0.2">
      <c r="A705" t="b">
        <f t="shared" si="451"/>
        <v>0</v>
      </c>
      <c r="B705" s="33">
        <v>678</v>
      </c>
      <c r="C705" s="15">
        <f t="shared" si="452"/>
        <v>20.081305947392778</v>
      </c>
      <c r="D705" s="75">
        <f>C705*(1-PARAM!$C$27)*$I$3+(MOD($B705,60)=PARAM!$B$56)*($B705&gt;(60-PARAM!$B$56))*HLOOKUP(($B705+PARAM!$B$56)/12,Loyalty,2)*$F$1*MAX(F704,0)</f>
        <v>16.808053077967756</v>
      </c>
      <c r="E705" s="75">
        <f>PARAM!$C$26+MAX($G$3-CHOOSE(PARAM!$B$44,MAX(0,F704*$F$1),0),0)*RATES!$L681/12+$H$3*(PARAM!$D$51/12)*RATES!$N681/100</f>
        <v>546.04166666666663</v>
      </c>
      <c r="F705" s="16">
        <f t="shared" si="453"/>
        <v>-61168.606871208234</v>
      </c>
      <c r="G705" s="15">
        <f t="shared" si="454"/>
        <v>22.035289406060361</v>
      </c>
      <c r="H705" s="75">
        <f>G705*(1-PARAM!$C$27)*$I$4+(MOD($B705,60)=PARAM!$B$56)*($B705&gt;(60-PARAM!$B$56))*HLOOKUP(($B705+PARAM!$B$56)/12,Loyalty,2)*$F$1*MAX(J704,0)</f>
        <v>18.443537232872522</v>
      </c>
      <c r="I705" s="75">
        <f>PARAM!$C$26+MAX($G$4-CHOOSE(PARAM!$B$44,MAX(0,J704*$F$1),0),0)*RATES!$L681/12+$H$4*(PARAM!$D$51/12)*RATES!$N681/100</f>
        <v>546.04166666666663</v>
      </c>
      <c r="J705" s="16">
        <f t="shared" si="455"/>
        <v>-60025.915650061033</v>
      </c>
      <c r="K705" s="15">
        <f t="shared" si="456"/>
        <v>22.170849845882874</v>
      </c>
      <c r="L705" s="75">
        <f>K705*(1-PARAM!$C$27)*$I$5+(MOD($B705,60)=PARAM!$B$56)*($B705&gt;(60-PARAM!$B$56))*HLOOKUP(($B705+PARAM!$B$56)/12,Loyalty,2)*$F$1*MAX(N704,0)</f>
        <v>18.557001321003963</v>
      </c>
      <c r="M705" s="75">
        <f>PARAM!$C$26+MAX($G$5-CHOOSE(PARAM!$B$44,MAX(0,N704*$F$1),0),0)*RATES!$L681/12+$H$5*(PARAM!$D$51/12)*RATES!$N681/100</f>
        <v>546.04166666666663</v>
      </c>
      <c r="N705" s="16">
        <f t="shared" si="457"/>
        <v>-59945.969461908302</v>
      </c>
      <c r="O705" s="15">
        <f t="shared" si="458"/>
        <v>22.170849845882874</v>
      </c>
      <c r="P705" s="75">
        <f>O705*(1-PARAM!$C$27)*$I$6+(MOD($B705,60)=PARAM!$B$56)*($B705&gt;(60-PARAM!$B$56))*HLOOKUP(($B705+PARAM!$B$56)/12,Loyalty,2)*$F$1*MAX(R704,0)</f>
        <v>18.557001321003963</v>
      </c>
      <c r="Q705" s="75">
        <f>PARAM!$C$26+MAX($G$6-CHOOSE(PARAM!$B$44,MAX(0,R704*$F$1),0),0)*RATES!$L681/12+$H$6*(PARAM!$D$51/12)*RATES!$N681/100</f>
        <v>546.04166666666663</v>
      </c>
      <c r="R705" s="16">
        <f t="shared" si="459"/>
        <v>-59945.969461908302</v>
      </c>
      <c r="S705" s="15">
        <f t="shared" si="434"/>
        <v>22.170849845882874</v>
      </c>
      <c r="T705" s="75">
        <f>S705*(1-PARAM!$C$27)*$I$7+(MOD($B705,60)=PARAM!$B$56)*($B705&gt;(60-PARAM!$B$56))*HLOOKUP(($B705+PARAM!$B$56)/12,Loyalty,2)*$F$1*MAX(V704,0)</f>
        <v>18.557001321003963</v>
      </c>
      <c r="U705" s="75">
        <f>PARAM!$C$26+MAX($G$7-CHOOSE(PARAM!$B$44,MAX(0,V704*$F$1),0),0)*RATES!$L681/12+$H$7*(PARAM!$D$51/12)*RATES!$N681/100</f>
        <v>546.04166666666663</v>
      </c>
      <c r="V705" s="16">
        <f t="shared" si="460"/>
        <v>-59945.969461908302</v>
      </c>
      <c r="W705" s="15">
        <f t="shared" si="435"/>
        <v>22.170849845882874</v>
      </c>
      <c r="X705" s="75">
        <f>W705*(1-PARAM!$C$27)*$I$8+(MOD($B705,60)=PARAM!$B$56)*($B705&gt;(60-PARAM!$B$56))*HLOOKUP(($B705+PARAM!$B$56)/12,Loyalty,2)*$F$1*MAX(Z704,0)</f>
        <v>18.557001321003963</v>
      </c>
      <c r="Y705" s="75">
        <f>PARAM!$C$26+MAX($G$8-CHOOSE(PARAM!$B$44,MAX(0,Z704*$F$1),0),0)*RATES!$L681/12+$H$8*(PARAM!$D$51/12)*RATES!$N681/100</f>
        <v>546.04166666666663</v>
      </c>
      <c r="Z705" s="16">
        <f t="shared" si="461"/>
        <v>-59945.969461908302</v>
      </c>
      <c r="AA705" s="15">
        <f t="shared" si="436"/>
        <v>22.170849845882874</v>
      </c>
      <c r="AB705" s="75">
        <f>AA705*(1-PARAM!$C$27)*$I$9+(MOD($B705,60)=PARAM!$B$56)*($B705&gt;(60-PARAM!$B$56))*HLOOKUP(($B705+PARAM!$B$56)/12,Loyalty,2)*$F$1*MAX(AD704,0)</f>
        <v>18.557001321003963</v>
      </c>
      <c r="AC705" s="75">
        <f>PARAM!$C$26+MAX($G$9-CHOOSE(PARAM!$B$44,MAX(0,AD704*$F$1),0),0)*RATES!$L681/12+$H$9*(PARAM!$D$51/12)*RATES!$N681/100</f>
        <v>546.04166666666663</v>
      </c>
      <c r="AD705" s="16">
        <f t="shared" si="462"/>
        <v>-59945.969461908302</v>
      </c>
      <c r="AE705" s="15">
        <f t="shared" si="437"/>
        <v>22.170849845882874</v>
      </c>
      <c r="AF705" s="75">
        <f>AE705*(1-PARAM!$C$27)*$I$10+(MOD($B705,60)=PARAM!$B$56)*($B705&gt;(60-PARAM!$B$56))*HLOOKUP(($B705+PARAM!$B$56)/12,Loyalty,2)*$F$1*MAX(AH704,0)</f>
        <v>18.557001321003963</v>
      </c>
      <c r="AG705" s="75">
        <f>PARAM!$C$26+MAX($G$10-CHOOSE(PARAM!$B$44,MAX(0,AH704*$F$1),0),0)*RATES!$L681/12+$H$10*(PARAM!$D$51/12)*RATES!$N681/100</f>
        <v>546.04166666666663</v>
      </c>
      <c r="AH705" s="16">
        <f t="shared" si="463"/>
        <v>-59945.969461908302</v>
      </c>
      <c r="AI705" s="15">
        <f t="shared" si="438"/>
        <v>22.170849845882874</v>
      </c>
      <c r="AJ705" s="75">
        <f>AI705*(1-PARAM!$C$27)*$I$11+(MOD($B705,60)=PARAM!$B$56)*($B705&gt;(60-PARAM!$B$56))*HLOOKUP(($B705+PARAM!$B$56)/12,Loyalty,2)*$F$1*MAX(AL704,0)</f>
        <v>18.557001321003963</v>
      </c>
      <c r="AK705" s="75">
        <f>PARAM!$C$26+MAX($G$11-CHOOSE(PARAM!$B$44,MAX(0,AL704*$F$1),0),0)*RATES!$L681/12+$H$11*(PARAM!$D$51/12)*RATES!$N681/100</f>
        <v>546.04166666666663</v>
      </c>
      <c r="AL705" s="16">
        <f t="shared" si="464"/>
        <v>-59945.969461908302</v>
      </c>
      <c r="AM705" s="15">
        <f t="shared" si="439"/>
        <v>22.170849845882874</v>
      </c>
      <c r="AN705" s="75">
        <f>AM705*(1-PARAM!$C$27)*$I$12+(MOD($B705,60)=PARAM!$B$56)*($B705&gt;(60-PARAM!$B$56))*HLOOKUP(($B705+PARAM!$B$56)/12,Loyalty,2)*$F$1*MAX(AP704,0)</f>
        <v>18.557001321003963</v>
      </c>
      <c r="AO705" s="75">
        <f>PARAM!$C$26+MAX($G$12-CHOOSE(PARAM!$B$44,MAX(0,AP704*$F$1),0),0)*RATES!$L681/12+$H$12*(PARAM!$D$51/12)*RATES!$N681/100</f>
        <v>546.04166666666663</v>
      </c>
      <c r="AP705" s="16">
        <f t="shared" si="465"/>
        <v>-59945.969461908302</v>
      </c>
      <c r="AQ705" s="15">
        <f t="shared" si="440"/>
        <v>22.170849845882874</v>
      </c>
      <c r="AR705" s="75">
        <f>AQ705*(1-PARAM!$C$27)*$I$13+(MOD($B705,60)=PARAM!$B$56)*($B705&gt;(60-PARAM!$B$56))*HLOOKUP(($B705+PARAM!$B$56)/12,Loyalty,2)*$F$1*MAX(AT704,0)</f>
        <v>18.557001321003963</v>
      </c>
      <c r="AS705" s="75">
        <f>PARAM!$C$26+MAX($G$13-CHOOSE(PARAM!$B$44,MAX(0,AT704*$F$1),0),0)*RATES!$L681/12+$H$13*(PARAM!$D$51/12)*RATES!$N681/100</f>
        <v>546.04166666666663</v>
      </c>
      <c r="AT705" s="16">
        <f t="shared" si="466"/>
        <v>-59945.969461908302</v>
      </c>
      <c r="AU705" s="15">
        <f t="shared" si="441"/>
        <v>22.170849845882874</v>
      </c>
      <c r="AV705" s="75">
        <f>AU705*(1-PARAM!$C$27)*$I$14+(MOD($B705,60)=PARAM!$B$56)*($B705&gt;(60-PARAM!$B$56))*HLOOKUP(($B705+PARAM!$B$56)/12,Loyalty,2)*$F$1*MAX(AX704,0)</f>
        <v>18.557001321003963</v>
      </c>
      <c r="AW705" s="75">
        <f>PARAM!$C$26+MAX($G$14-CHOOSE(PARAM!$B$44,MAX(0,AX704*$F$1),0),0)*RATES!$L681/12+$H$14*(PARAM!$D$51/12)*RATES!$N681/100</f>
        <v>546.04166666666663</v>
      </c>
      <c r="AX705" s="16">
        <f t="shared" si="467"/>
        <v>-59945.969461908302</v>
      </c>
      <c r="AY705" s="15">
        <f t="shared" si="442"/>
        <v>22.170849845882874</v>
      </c>
      <c r="AZ705" s="75">
        <f>AY705*(1-PARAM!$C$27)*$I$15+(MOD($B705,60)=PARAM!$B$56)*($B705&gt;(60-PARAM!$B$56))*HLOOKUP(($B705+PARAM!$B$56)/12,Loyalty,2)*$F$1*MAX(BB704,0)</f>
        <v>18.557001321003963</v>
      </c>
      <c r="BA705" s="75">
        <f>PARAM!$C$26+MAX($G$15-CHOOSE(PARAM!$B$44,MAX(0,BB704*$F$1),0),0)*RATES!$L681/12+$H$15*(PARAM!$D$51/12)*RATES!$N681/100</f>
        <v>546.04166666666663</v>
      </c>
      <c r="BB705" s="16">
        <f t="shared" si="468"/>
        <v>-59945.969461908302</v>
      </c>
      <c r="BC705" s="15">
        <f t="shared" si="443"/>
        <v>22.170849845882874</v>
      </c>
      <c r="BD705" s="75">
        <f>BC705*(1-PARAM!$C$27)*$I$16+(MOD($B705,60)=PARAM!$B$56)*($B705&gt;(60-PARAM!$B$56))*HLOOKUP(($B705+PARAM!$B$56)/12,Loyalty,2)*$F$1*MAX(BF704,0)</f>
        <v>18.557001321003963</v>
      </c>
      <c r="BE705" s="75">
        <f>PARAM!$C$26+MAX($G$16-CHOOSE(PARAM!$B$44,MAX(0,BF704*$F$1),0),0)*RATES!$L681/12+$H$16*(PARAM!$D$51/12)*RATES!$N681/100</f>
        <v>546.04166666666663</v>
      </c>
      <c r="BF705" s="16">
        <f t="shared" si="469"/>
        <v>-59945.969461908302</v>
      </c>
      <c r="BG705" s="15">
        <f t="shared" si="444"/>
        <v>22.170849845882874</v>
      </c>
      <c r="BH705" s="75">
        <f>BG705*(1-PARAM!$C$27)*$I$17+(MOD($B705,60)=PARAM!$B$56)*($B705&gt;(60-PARAM!$B$56))*HLOOKUP(($B705+PARAM!$B$56)/12,Loyalty,2)*$F$1*MAX(BJ704,0)</f>
        <v>18.557001321003963</v>
      </c>
      <c r="BI705" s="75">
        <f>PARAM!$C$26+MAX($G$17-CHOOSE(PARAM!$B$44,MAX(0,BJ704*$F$1),0),0)*RATES!$L681/12+$H$17*(PARAM!$D$51/12)*RATES!$N681/100</f>
        <v>546.04166666666663</v>
      </c>
      <c r="BJ705" s="16">
        <f t="shared" si="470"/>
        <v>-59945.969461908302</v>
      </c>
      <c r="BK705" s="15">
        <f t="shared" si="445"/>
        <v>22.170849845882874</v>
      </c>
      <c r="BL705" s="75">
        <f>BK705*(1-PARAM!$C$27)*$I$18+(MOD($B705,60)=PARAM!$B$56)*($B705&gt;(60-PARAM!$B$56))*HLOOKUP(($B705+PARAM!$B$56)/12,Loyalty,2)*$F$1*MAX(BN704,0)</f>
        <v>18.557001321003963</v>
      </c>
      <c r="BM705" s="75">
        <f>PARAM!$C$26+MAX($G$18-CHOOSE(PARAM!$B$44,MAX(0,BN704*$F$1),0),0)*RATES!$L681/12+$H$18*(PARAM!$D$51/12)*RATES!$N681/100</f>
        <v>546.04166666666663</v>
      </c>
      <c r="BN705" s="16">
        <f t="shared" si="471"/>
        <v>-59945.969461908302</v>
      </c>
      <c r="BO705" s="15">
        <f t="shared" si="446"/>
        <v>22.170849845882874</v>
      </c>
      <c r="BP705" s="75">
        <f>BO705*(1-PARAM!$C$27)*$I$19+(MOD($B705,60)=PARAM!$B$56)*($B705&gt;(60-PARAM!$B$56))*HLOOKUP(($B705+PARAM!$B$56)/12,Loyalty,2)*$F$1*MAX(BR704,0)</f>
        <v>18.557001321003963</v>
      </c>
      <c r="BQ705" s="75">
        <f>PARAM!$C$26+MAX($G$19-CHOOSE(PARAM!$B$44,MAX(0,BR704*$F$1),0),0)*RATES!$L681/12+$H$19*(PARAM!$D$51/12)*RATES!$N681/100</f>
        <v>546.04166666666663</v>
      </c>
      <c r="BR705" s="16">
        <f t="shared" si="472"/>
        <v>-59945.969461908302</v>
      </c>
      <c r="BS705" s="15">
        <f t="shared" si="447"/>
        <v>22.170849845882874</v>
      </c>
      <c r="BT705" s="75">
        <f>BS705*(1-PARAM!$C$27)*$I$20+(MOD($B705,60)=PARAM!$B$56)*($B705&gt;(60-PARAM!$B$56))*HLOOKUP(($B705+PARAM!$B$56)/12,Loyalty,2)*$F$1*MAX(BV704,0)</f>
        <v>18.557001321003963</v>
      </c>
      <c r="BU705" s="75">
        <f>PARAM!$C$26+MAX($G$20-CHOOSE(PARAM!$B$44,MAX(0,BV704*$F$1),0),0)*RATES!$L681/12+$H$20*(PARAM!$D$51/12)*RATES!$N681/100</f>
        <v>546.04166666666663</v>
      </c>
      <c r="BV705" s="16">
        <f t="shared" si="473"/>
        <v>-59945.969461908302</v>
      </c>
      <c r="BW705" s="15">
        <f t="shared" si="448"/>
        <v>22.170849845882874</v>
      </c>
      <c r="BX705" s="75">
        <f>BW705*(1-PARAM!$C$27)*$I$21+(MOD($B705,60)=PARAM!$B$56)*($B705&gt;(60-PARAM!$B$56))*HLOOKUP(($B705+PARAM!$B$56)/12,Loyalty,2)*$F$1*MAX(BZ704,0)</f>
        <v>18.557001321003963</v>
      </c>
      <c r="BY705" s="75">
        <f>PARAM!$C$26+MAX($G$21-CHOOSE(PARAM!$B$44,MAX(0,BZ704*$F$1),0),0)*RATES!$L681/12+$H$21*(PARAM!$D$51/12)*RATES!$N681/100</f>
        <v>546.04166666666663</v>
      </c>
      <c r="BZ705" s="16">
        <f t="shared" si="474"/>
        <v>-59945.969461908302</v>
      </c>
      <c r="CA705" s="15">
        <f t="shared" si="449"/>
        <v>22.170849845882874</v>
      </c>
      <c r="CB705" s="75">
        <f>CA705*(1-PARAM!$C$27)*$I$22+(MOD($B705,60)=PARAM!$B$56)*($B705&gt;(60-PARAM!$B$56))*HLOOKUP(($B705+PARAM!$B$56)/12,Loyalty,2)*$F$1*MAX(CD704,0)</f>
        <v>18.557001321003963</v>
      </c>
      <c r="CC705" s="75">
        <f>PARAM!$C$26+MAX($G$22-CHOOSE(PARAM!$B$44,MAX(0,CD704*$F$1),0),0)*RATES!$L681/12+$H$22*(PARAM!$D$51/12)*RATES!$N681/100</f>
        <v>546.04166666666663</v>
      </c>
      <c r="CD705" s="16">
        <f t="shared" si="475"/>
        <v>-59945.969461908302</v>
      </c>
      <c r="CE705" s="33">
        <f>IF(0=MOD(B705,12/PARAM!$D$51),1,0)</f>
        <v>1</v>
      </c>
      <c r="CF705" s="15">
        <f t="shared" si="450"/>
        <v>0</v>
      </c>
      <c r="CG705" s="75">
        <f>CF705*(1-PARAM!$C$27)*$R$3+(MOD($B705/12,5)=0)*($B705&gt;60)*HLOOKUP($B705/12,Loyalty,2)*$F$1*MAX(CI704,0)</f>
        <v>0</v>
      </c>
      <c r="CH705" s="75">
        <f>PARAM!$C$26+MAX($P$3-CHOOSE(PARAM!$B$44,MAX(0,CI704*$F$1),0),0)*RATES!$L681/12+$Q$3*(PARAM!$D$51/12)*RATES!$N681/100</f>
        <v>546.04166666666663</v>
      </c>
      <c r="CI705" s="16">
        <f>IF(CI704&gt;0,CI704*PARAM!$C$53,CI704)+CG705-CH705</f>
        <v>-72408.04166666673</v>
      </c>
      <c r="CJ705" s="15">
        <f t="shared" si="476"/>
        <v>0</v>
      </c>
      <c r="CK705" s="75">
        <f>CJ705*(1-PARAM!$C$27)*$R$4+(MOD($B705/12,5)=0)*($B705&gt;60)*HLOOKUP($B705/12,Loyalty,2)*$F$1*MAX(CM704,0)</f>
        <v>0</v>
      </c>
      <c r="CL705" s="75">
        <f>PARAM!$C$26+MAX($P$4-CHOOSE(PARAM!$B$44,MAX(0,CM704*$F$1),0),0)*RATES!$L681/12+$Q$4*(PARAM!$D$51/12)*RATES!$N681/100</f>
        <v>546.04166666666663</v>
      </c>
      <c r="CM705" s="16">
        <f>IF(CM704&gt;0,CM704*PARAM!$C$53,CM704)+CK705-CL705</f>
        <v>-72408.04166666673</v>
      </c>
      <c r="CO705" s="176"/>
    </row>
    <row r="706" spans="1:93" x14ac:dyDescent="0.2">
      <c r="A706" t="b">
        <f t="shared" si="451"/>
        <v>0</v>
      </c>
      <c r="B706" s="33">
        <v>679</v>
      </c>
      <c r="C706" s="15">
        <f t="shared" si="452"/>
        <v>20.081305947392778</v>
      </c>
      <c r="D706" s="75">
        <f>C706*(1-PARAM!$C$27)*$I$3+(MOD($B706,60)=PARAM!$B$56)*($B706&gt;(60-PARAM!$B$56))*HLOOKUP(($B706+PARAM!$B$56)/12,Loyalty,2)*$F$1*MAX(F705,0)</f>
        <v>16.808053077967756</v>
      </c>
      <c r="E706" s="75">
        <f>PARAM!$C$26+MAX($G$3-CHOOSE(PARAM!$B$44,MAX(0,F705*$F$1),0),0)*RATES!$L682/12+$H$3*(PARAM!$D$51/12)*RATES!$N682/100</f>
        <v>546.04166666666663</v>
      </c>
      <c r="F706" s="16">
        <f t="shared" si="453"/>
        <v>-61697.840484796929</v>
      </c>
      <c r="G706" s="15">
        <f t="shared" si="454"/>
        <v>22.035289406060361</v>
      </c>
      <c r="H706" s="75">
        <f>G706*(1-PARAM!$C$27)*$I$4+(MOD($B706,60)=PARAM!$B$56)*($B706&gt;(60-PARAM!$B$56))*HLOOKUP(($B706+PARAM!$B$56)/12,Loyalty,2)*$F$1*MAX(J705,0)</f>
        <v>18.443537232872522</v>
      </c>
      <c r="I706" s="75">
        <f>PARAM!$C$26+MAX($G$4-CHOOSE(PARAM!$B$44,MAX(0,J705*$F$1),0),0)*RATES!$L682/12+$H$4*(PARAM!$D$51/12)*RATES!$N682/100</f>
        <v>546.04166666666663</v>
      </c>
      <c r="J706" s="16">
        <f t="shared" si="455"/>
        <v>-60553.513779494824</v>
      </c>
      <c r="K706" s="15">
        <f t="shared" si="456"/>
        <v>22.170849845882874</v>
      </c>
      <c r="L706" s="75">
        <f>K706*(1-PARAM!$C$27)*$I$5+(MOD($B706,60)=PARAM!$B$56)*($B706&gt;(60-PARAM!$B$56))*HLOOKUP(($B706+PARAM!$B$56)/12,Loyalty,2)*$F$1*MAX(N705,0)</f>
        <v>18.557001321003963</v>
      </c>
      <c r="M706" s="75">
        <f>PARAM!$C$26+MAX($G$5-CHOOSE(PARAM!$B$44,MAX(0,N705*$F$1),0),0)*RATES!$L682/12+$H$5*(PARAM!$D$51/12)*RATES!$N682/100</f>
        <v>546.04166666666663</v>
      </c>
      <c r="N706" s="16">
        <f t="shared" si="457"/>
        <v>-60473.454127253965</v>
      </c>
      <c r="O706" s="15">
        <f t="shared" si="458"/>
        <v>22.170849845882874</v>
      </c>
      <c r="P706" s="75">
        <f>O706*(1-PARAM!$C$27)*$I$6+(MOD($B706,60)=PARAM!$B$56)*($B706&gt;(60-PARAM!$B$56))*HLOOKUP(($B706+PARAM!$B$56)/12,Loyalty,2)*$F$1*MAX(R705,0)</f>
        <v>18.557001321003963</v>
      </c>
      <c r="Q706" s="75">
        <f>PARAM!$C$26+MAX($G$6-CHOOSE(PARAM!$B$44,MAX(0,R705*$F$1),0),0)*RATES!$L682/12+$H$6*(PARAM!$D$51/12)*RATES!$N682/100</f>
        <v>546.04166666666663</v>
      </c>
      <c r="R706" s="16">
        <f t="shared" si="459"/>
        <v>-60473.454127253965</v>
      </c>
      <c r="S706" s="15">
        <f t="shared" si="434"/>
        <v>22.170849845882874</v>
      </c>
      <c r="T706" s="75">
        <f>S706*(1-PARAM!$C$27)*$I$7+(MOD($B706,60)=PARAM!$B$56)*($B706&gt;(60-PARAM!$B$56))*HLOOKUP(($B706+PARAM!$B$56)/12,Loyalty,2)*$F$1*MAX(V705,0)</f>
        <v>18.557001321003963</v>
      </c>
      <c r="U706" s="75">
        <f>PARAM!$C$26+MAX($G$7-CHOOSE(PARAM!$B$44,MAX(0,V705*$F$1),0),0)*RATES!$L682/12+$H$7*(PARAM!$D$51/12)*RATES!$N682/100</f>
        <v>546.04166666666663</v>
      </c>
      <c r="V706" s="16">
        <f t="shared" si="460"/>
        <v>-60473.454127253965</v>
      </c>
      <c r="W706" s="15">
        <f t="shared" si="435"/>
        <v>22.170849845882874</v>
      </c>
      <c r="X706" s="75">
        <f>W706*(1-PARAM!$C$27)*$I$8+(MOD($B706,60)=PARAM!$B$56)*($B706&gt;(60-PARAM!$B$56))*HLOOKUP(($B706+PARAM!$B$56)/12,Loyalty,2)*$F$1*MAX(Z705,0)</f>
        <v>18.557001321003963</v>
      </c>
      <c r="Y706" s="75">
        <f>PARAM!$C$26+MAX($G$8-CHOOSE(PARAM!$B$44,MAX(0,Z705*$F$1),0),0)*RATES!$L682/12+$H$8*(PARAM!$D$51/12)*RATES!$N682/100</f>
        <v>546.04166666666663</v>
      </c>
      <c r="Z706" s="16">
        <f t="shared" si="461"/>
        <v>-60473.454127253965</v>
      </c>
      <c r="AA706" s="15">
        <f t="shared" si="436"/>
        <v>22.170849845882874</v>
      </c>
      <c r="AB706" s="75">
        <f>AA706*(1-PARAM!$C$27)*$I$9+(MOD($B706,60)=PARAM!$B$56)*($B706&gt;(60-PARAM!$B$56))*HLOOKUP(($B706+PARAM!$B$56)/12,Loyalty,2)*$F$1*MAX(AD705,0)</f>
        <v>18.557001321003963</v>
      </c>
      <c r="AC706" s="75">
        <f>PARAM!$C$26+MAX($G$9-CHOOSE(PARAM!$B$44,MAX(0,AD705*$F$1),0),0)*RATES!$L682/12+$H$9*(PARAM!$D$51/12)*RATES!$N682/100</f>
        <v>546.04166666666663</v>
      </c>
      <c r="AD706" s="16">
        <f t="shared" si="462"/>
        <v>-60473.454127253965</v>
      </c>
      <c r="AE706" s="15">
        <f t="shared" si="437"/>
        <v>22.170849845882874</v>
      </c>
      <c r="AF706" s="75">
        <f>AE706*(1-PARAM!$C$27)*$I$10+(MOD($B706,60)=PARAM!$B$56)*($B706&gt;(60-PARAM!$B$56))*HLOOKUP(($B706+PARAM!$B$56)/12,Loyalty,2)*$F$1*MAX(AH705,0)</f>
        <v>18.557001321003963</v>
      </c>
      <c r="AG706" s="75">
        <f>PARAM!$C$26+MAX($G$10-CHOOSE(PARAM!$B$44,MAX(0,AH705*$F$1),0),0)*RATES!$L682/12+$H$10*(PARAM!$D$51/12)*RATES!$N682/100</f>
        <v>546.04166666666663</v>
      </c>
      <c r="AH706" s="16">
        <f t="shared" si="463"/>
        <v>-60473.454127253965</v>
      </c>
      <c r="AI706" s="15">
        <f t="shared" si="438"/>
        <v>22.170849845882874</v>
      </c>
      <c r="AJ706" s="75">
        <f>AI706*(1-PARAM!$C$27)*$I$11+(MOD($B706,60)=PARAM!$B$56)*($B706&gt;(60-PARAM!$B$56))*HLOOKUP(($B706+PARAM!$B$56)/12,Loyalty,2)*$F$1*MAX(AL705,0)</f>
        <v>18.557001321003963</v>
      </c>
      <c r="AK706" s="75">
        <f>PARAM!$C$26+MAX($G$11-CHOOSE(PARAM!$B$44,MAX(0,AL705*$F$1),0),0)*RATES!$L682/12+$H$11*(PARAM!$D$51/12)*RATES!$N682/100</f>
        <v>546.04166666666663</v>
      </c>
      <c r="AL706" s="16">
        <f t="shared" si="464"/>
        <v>-60473.454127253965</v>
      </c>
      <c r="AM706" s="15">
        <f t="shared" si="439"/>
        <v>22.170849845882874</v>
      </c>
      <c r="AN706" s="75">
        <f>AM706*(1-PARAM!$C$27)*$I$12+(MOD($B706,60)=PARAM!$B$56)*($B706&gt;(60-PARAM!$B$56))*HLOOKUP(($B706+PARAM!$B$56)/12,Loyalty,2)*$F$1*MAX(AP705,0)</f>
        <v>18.557001321003963</v>
      </c>
      <c r="AO706" s="75">
        <f>PARAM!$C$26+MAX($G$12-CHOOSE(PARAM!$B$44,MAX(0,AP705*$F$1),0),0)*RATES!$L682/12+$H$12*(PARAM!$D$51/12)*RATES!$N682/100</f>
        <v>546.04166666666663</v>
      </c>
      <c r="AP706" s="16">
        <f t="shared" si="465"/>
        <v>-60473.454127253965</v>
      </c>
      <c r="AQ706" s="15">
        <f t="shared" si="440"/>
        <v>22.170849845882874</v>
      </c>
      <c r="AR706" s="75">
        <f>AQ706*(1-PARAM!$C$27)*$I$13+(MOD($B706,60)=PARAM!$B$56)*($B706&gt;(60-PARAM!$B$56))*HLOOKUP(($B706+PARAM!$B$56)/12,Loyalty,2)*$F$1*MAX(AT705,0)</f>
        <v>18.557001321003963</v>
      </c>
      <c r="AS706" s="75">
        <f>PARAM!$C$26+MAX($G$13-CHOOSE(PARAM!$B$44,MAX(0,AT705*$F$1),0),0)*RATES!$L682/12+$H$13*(PARAM!$D$51/12)*RATES!$N682/100</f>
        <v>546.04166666666663</v>
      </c>
      <c r="AT706" s="16">
        <f t="shared" si="466"/>
        <v>-60473.454127253965</v>
      </c>
      <c r="AU706" s="15">
        <f t="shared" si="441"/>
        <v>22.170849845882874</v>
      </c>
      <c r="AV706" s="75">
        <f>AU706*(1-PARAM!$C$27)*$I$14+(MOD($B706,60)=PARAM!$B$56)*($B706&gt;(60-PARAM!$B$56))*HLOOKUP(($B706+PARAM!$B$56)/12,Loyalty,2)*$F$1*MAX(AX705,0)</f>
        <v>18.557001321003963</v>
      </c>
      <c r="AW706" s="75">
        <f>PARAM!$C$26+MAX($G$14-CHOOSE(PARAM!$B$44,MAX(0,AX705*$F$1),0),0)*RATES!$L682/12+$H$14*(PARAM!$D$51/12)*RATES!$N682/100</f>
        <v>546.04166666666663</v>
      </c>
      <c r="AX706" s="16">
        <f t="shared" si="467"/>
        <v>-60473.454127253965</v>
      </c>
      <c r="AY706" s="15">
        <f t="shared" si="442"/>
        <v>22.170849845882874</v>
      </c>
      <c r="AZ706" s="75">
        <f>AY706*(1-PARAM!$C$27)*$I$15+(MOD($B706,60)=PARAM!$B$56)*($B706&gt;(60-PARAM!$B$56))*HLOOKUP(($B706+PARAM!$B$56)/12,Loyalty,2)*$F$1*MAX(BB705,0)</f>
        <v>18.557001321003963</v>
      </c>
      <c r="BA706" s="75">
        <f>PARAM!$C$26+MAX($G$15-CHOOSE(PARAM!$B$44,MAX(0,BB705*$F$1),0),0)*RATES!$L682/12+$H$15*(PARAM!$D$51/12)*RATES!$N682/100</f>
        <v>546.04166666666663</v>
      </c>
      <c r="BB706" s="16">
        <f t="shared" si="468"/>
        <v>-60473.454127253965</v>
      </c>
      <c r="BC706" s="15">
        <f t="shared" si="443"/>
        <v>22.170849845882874</v>
      </c>
      <c r="BD706" s="75">
        <f>BC706*(1-PARAM!$C$27)*$I$16+(MOD($B706,60)=PARAM!$B$56)*($B706&gt;(60-PARAM!$B$56))*HLOOKUP(($B706+PARAM!$B$56)/12,Loyalty,2)*$F$1*MAX(BF705,0)</f>
        <v>18.557001321003963</v>
      </c>
      <c r="BE706" s="75">
        <f>PARAM!$C$26+MAX($G$16-CHOOSE(PARAM!$B$44,MAX(0,BF705*$F$1),0),0)*RATES!$L682/12+$H$16*(PARAM!$D$51/12)*RATES!$N682/100</f>
        <v>546.04166666666663</v>
      </c>
      <c r="BF706" s="16">
        <f t="shared" si="469"/>
        <v>-60473.454127253965</v>
      </c>
      <c r="BG706" s="15">
        <f t="shared" si="444"/>
        <v>22.170849845882874</v>
      </c>
      <c r="BH706" s="75">
        <f>BG706*(1-PARAM!$C$27)*$I$17+(MOD($B706,60)=PARAM!$B$56)*($B706&gt;(60-PARAM!$B$56))*HLOOKUP(($B706+PARAM!$B$56)/12,Loyalty,2)*$F$1*MAX(BJ705,0)</f>
        <v>18.557001321003963</v>
      </c>
      <c r="BI706" s="75">
        <f>PARAM!$C$26+MAX($G$17-CHOOSE(PARAM!$B$44,MAX(0,BJ705*$F$1),0),0)*RATES!$L682/12+$H$17*(PARAM!$D$51/12)*RATES!$N682/100</f>
        <v>546.04166666666663</v>
      </c>
      <c r="BJ706" s="16">
        <f t="shared" si="470"/>
        <v>-60473.454127253965</v>
      </c>
      <c r="BK706" s="15">
        <f t="shared" si="445"/>
        <v>22.170849845882874</v>
      </c>
      <c r="BL706" s="75">
        <f>BK706*(1-PARAM!$C$27)*$I$18+(MOD($B706,60)=PARAM!$B$56)*($B706&gt;(60-PARAM!$B$56))*HLOOKUP(($B706+PARAM!$B$56)/12,Loyalty,2)*$F$1*MAX(BN705,0)</f>
        <v>18.557001321003963</v>
      </c>
      <c r="BM706" s="75">
        <f>PARAM!$C$26+MAX($G$18-CHOOSE(PARAM!$B$44,MAX(0,BN705*$F$1),0),0)*RATES!$L682/12+$H$18*(PARAM!$D$51/12)*RATES!$N682/100</f>
        <v>546.04166666666663</v>
      </c>
      <c r="BN706" s="16">
        <f t="shared" si="471"/>
        <v>-60473.454127253965</v>
      </c>
      <c r="BO706" s="15">
        <f t="shared" si="446"/>
        <v>22.170849845882874</v>
      </c>
      <c r="BP706" s="75">
        <f>BO706*(1-PARAM!$C$27)*$I$19+(MOD($B706,60)=PARAM!$B$56)*($B706&gt;(60-PARAM!$B$56))*HLOOKUP(($B706+PARAM!$B$56)/12,Loyalty,2)*$F$1*MAX(BR705,0)</f>
        <v>18.557001321003963</v>
      </c>
      <c r="BQ706" s="75">
        <f>PARAM!$C$26+MAX($G$19-CHOOSE(PARAM!$B$44,MAX(0,BR705*$F$1),0),0)*RATES!$L682/12+$H$19*(PARAM!$D$51/12)*RATES!$N682/100</f>
        <v>546.04166666666663</v>
      </c>
      <c r="BR706" s="16">
        <f t="shared" si="472"/>
        <v>-60473.454127253965</v>
      </c>
      <c r="BS706" s="15">
        <f t="shared" si="447"/>
        <v>22.170849845882874</v>
      </c>
      <c r="BT706" s="75">
        <f>BS706*(1-PARAM!$C$27)*$I$20+(MOD($B706,60)=PARAM!$B$56)*($B706&gt;(60-PARAM!$B$56))*HLOOKUP(($B706+PARAM!$B$56)/12,Loyalty,2)*$F$1*MAX(BV705,0)</f>
        <v>18.557001321003963</v>
      </c>
      <c r="BU706" s="75">
        <f>PARAM!$C$26+MAX($G$20-CHOOSE(PARAM!$B$44,MAX(0,BV705*$F$1),0),0)*RATES!$L682/12+$H$20*(PARAM!$D$51/12)*RATES!$N682/100</f>
        <v>546.04166666666663</v>
      </c>
      <c r="BV706" s="16">
        <f t="shared" si="473"/>
        <v>-60473.454127253965</v>
      </c>
      <c r="BW706" s="15">
        <f t="shared" si="448"/>
        <v>22.170849845882874</v>
      </c>
      <c r="BX706" s="75">
        <f>BW706*(1-PARAM!$C$27)*$I$21+(MOD($B706,60)=PARAM!$B$56)*($B706&gt;(60-PARAM!$B$56))*HLOOKUP(($B706+PARAM!$B$56)/12,Loyalty,2)*$F$1*MAX(BZ705,0)</f>
        <v>18.557001321003963</v>
      </c>
      <c r="BY706" s="75">
        <f>PARAM!$C$26+MAX($G$21-CHOOSE(PARAM!$B$44,MAX(0,BZ705*$F$1),0),0)*RATES!$L682/12+$H$21*(PARAM!$D$51/12)*RATES!$N682/100</f>
        <v>546.04166666666663</v>
      </c>
      <c r="BZ706" s="16">
        <f t="shared" si="474"/>
        <v>-60473.454127253965</v>
      </c>
      <c r="CA706" s="15">
        <f t="shared" si="449"/>
        <v>22.170849845882874</v>
      </c>
      <c r="CB706" s="75">
        <f>CA706*(1-PARAM!$C$27)*$I$22+(MOD($B706,60)=PARAM!$B$56)*($B706&gt;(60-PARAM!$B$56))*HLOOKUP(($B706+PARAM!$B$56)/12,Loyalty,2)*$F$1*MAX(CD705,0)</f>
        <v>18.557001321003963</v>
      </c>
      <c r="CC706" s="75">
        <f>PARAM!$C$26+MAX($G$22-CHOOSE(PARAM!$B$44,MAX(0,CD705*$F$1),0),0)*RATES!$L682/12+$H$22*(PARAM!$D$51/12)*RATES!$N682/100</f>
        <v>546.04166666666663</v>
      </c>
      <c r="CD706" s="16">
        <f t="shared" si="475"/>
        <v>-60473.454127253965</v>
      </c>
      <c r="CE706" s="33">
        <f>IF(0=MOD(B706,12/PARAM!$D$51),1,0)</f>
        <v>1</v>
      </c>
      <c r="CF706" s="15">
        <f t="shared" si="450"/>
        <v>0</v>
      </c>
      <c r="CG706" s="75">
        <f>CF706*(1-PARAM!$C$27)*$R$3+(MOD($B706/12,5)=0)*($B706&gt;60)*HLOOKUP($B706/12,Loyalty,2)*$F$1*MAX(CI705,0)</f>
        <v>0</v>
      </c>
      <c r="CH706" s="75">
        <f>PARAM!$C$26+MAX($P$3-CHOOSE(PARAM!$B$44,MAX(0,CI705*$F$1),0),0)*RATES!$L682/12+$Q$3*(PARAM!$D$51/12)*RATES!$N682/100</f>
        <v>546.04166666666663</v>
      </c>
      <c r="CI706" s="16">
        <f>IF(CI705&gt;0,CI705*PARAM!$C$53,CI705)+CG706-CH706</f>
        <v>-72954.083333333401</v>
      </c>
      <c r="CJ706" s="15">
        <f t="shared" si="476"/>
        <v>0</v>
      </c>
      <c r="CK706" s="75">
        <f>CJ706*(1-PARAM!$C$27)*$R$4+(MOD($B706/12,5)=0)*($B706&gt;60)*HLOOKUP($B706/12,Loyalty,2)*$F$1*MAX(CM705,0)</f>
        <v>0</v>
      </c>
      <c r="CL706" s="75">
        <f>PARAM!$C$26+MAX($P$4-CHOOSE(PARAM!$B$44,MAX(0,CM705*$F$1),0),0)*RATES!$L682/12+$Q$4*(PARAM!$D$51/12)*RATES!$N682/100</f>
        <v>546.04166666666663</v>
      </c>
      <c r="CM706" s="16">
        <f>IF(CM705&gt;0,CM705*PARAM!$C$53,CM705)+CK706-CL706</f>
        <v>-72954.083333333401</v>
      </c>
      <c r="CO706" s="176"/>
    </row>
    <row r="707" spans="1:93" x14ac:dyDescent="0.2">
      <c r="A707" t="b">
        <f t="shared" si="451"/>
        <v>0</v>
      </c>
      <c r="B707" s="33">
        <v>680</v>
      </c>
      <c r="C707" s="15">
        <f t="shared" si="452"/>
        <v>20.081305947392778</v>
      </c>
      <c r="D707" s="75">
        <f>C707*(1-PARAM!$C$27)*$I$3+(MOD($B707,60)=PARAM!$B$56)*($B707&gt;(60-PARAM!$B$56))*HLOOKUP(($B707+PARAM!$B$56)/12,Loyalty,2)*$F$1*MAX(F706,0)</f>
        <v>16.808053077967756</v>
      </c>
      <c r="E707" s="75">
        <f>PARAM!$C$26+MAX($G$3-CHOOSE(PARAM!$B$44,MAX(0,F706*$F$1),0),0)*RATES!$L683/12+$H$3*(PARAM!$D$51/12)*RATES!$N683/100</f>
        <v>546.04166666666663</v>
      </c>
      <c r="F707" s="16">
        <f t="shared" si="453"/>
        <v>-62227.074098385623</v>
      </c>
      <c r="G707" s="15">
        <f t="shared" si="454"/>
        <v>22.035289406060361</v>
      </c>
      <c r="H707" s="75">
        <f>G707*(1-PARAM!$C$27)*$I$4+(MOD($B707,60)=PARAM!$B$56)*($B707&gt;(60-PARAM!$B$56))*HLOOKUP(($B707+PARAM!$B$56)/12,Loyalty,2)*$F$1*MAX(J706,0)</f>
        <v>18.443537232872522</v>
      </c>
      <c r="I707" s="75">
        <f>PARAM!$C$26+MAX($G$4-CHOOSE(PARAM!$B$44,MAX(0,J706*$F$1),0),0)*RATES!$L683/12+$H$4*(PARAM!$D$51/12)*RATES!$N683/100</f>
        <v>546.04166666666663</v>
      </c>
      <c r="J707" s="16">
        <f t="shared" si="455"/>
        <v>-61081.111908928615</v>
      </c>
      <c r="K707" s="15">
        <f t="shared" si="456"/>
        <v>22.170849845882874</v>
      </c>
      <c r="L707" s="75">
        <f>K707*(1-PARAM!$C$27)*$I$5+(MOD($B707,60)=PARAM!$B$56)*($B707&gt;(60-PARAM!$B$56))*HLOOKUP(($B707+PARAM!$B$56)/12,Loyalty,2)*$F$1*MAX(N706,0)</f>
        <v>18.557001321003963</v>
      </c>
      <c r="M707" s="75">
        <f>PARAM!$C$26+MAX($G$5-CHOOSE(PARAM!$B$44,MAX(0,N706*$F$1),0),0)*RATES!$L683/12+$H$5*(PARAM!$D$51/12)*RATES!$N683/100</f>
        <v>546.04166666666663</v>
      </c>
      <c r="N707" s="16">
        <f t="shared" si="457"/>
        <v>-61000.938792599627</v>
      </c>
      <c r="O707" s="15">
        <f t="shared" si="458"/>
        <v>22.170849845882874</v>
      </c>
      <c r="P707" s="75">
        <f>O707*(1-PARAM!$C$27)*$I$6+(MOD($B707,60)=PARAM!$B$56)*($B707&gt;(60-PARAM!$B$56))*HLOOKUP(($B707+PARAM!$B$56)/12,Loyalty,2)*$F$1*MAX(R706,0)</f>
        <v>18.557001321003963</v>
      </c>
      <c r="Q707" s="75">
        <f>PARAM!$C$26+MAX($G$6-CHOOSE(PARAM!$B$44,MAX(0,R706*$F$1),0),0)*RATES!$L683/12+$H$6*(PARAM!$D$51/12)*RATES!$N683/100</f>
        <v>546.04166666666663</v>
      </c>
      <c r="R707" s="16">
        <f t="shared" si="459"/>
        <v>-61000.938792599627</v>
      </c>
      <c r="S707" s="15">
        <f t="shared" si="434"/>
        <v>22.170849845882874</v>
      </c>
      <c r="T707" s="75">
        <f>S707*(1-PARAM!$C$27)*$I$7+(MOD($B707,60)=PARAM!$B$56)*($B707&gt;(60-PARAM!$B$56))*HLOOKUP(($B707+PARAM!$B$56)/12,Loyalty,2)*$F$1*MAX(V706,0)</f>
        <v>18.557001321003963</v>
      </c>
      <c r="U707" s="75">
        <f>PARAM!$C$26+MAX($G$7-CHOOSE(PARAM!$B$44,MAX(0,V706*$F$1),0),0)*RATES!$L683/12+$H$7*(PARAM!$D$51/12)*RATES!$N683/100</f>
        <v>546.04166666666663</v>
      </c>
      <c r="V707" s="16">
        <f t="shared" si="460"/>
        <v>-61000.938792599627</v>
      </c>
      <c r="W707" s="15">
        <f t="shared" si="435"/>
        <v>22.170849845882874</v>
      </c>
      <c r="X707" s="75">
        <f>W707*(1-PARAM!$C$27)*$I$8+(MOD($B707,60)=PARAM!$B$56)*($B707&gt;(60-PARAM!$B$56))*HLOOKUP(($B707+PARAM!$B$56)/12,Loyalty,2)*$F$1*MAX(Z706,0)</f>
        <v>18.557001321003963</v>
      </c>
      <c r="Y707" s="75">
        <f>PARAM!$C$26+MAX($G$8-CHOOSE(PARAM!$B$44,MAX(0,Z706*$F$1),0),0)*RATES!$L683/12+$H$8*(PARAM!$D$51/12)*RATES!$N683/100</f>
        <v>546.04166666666663</v>
      </c>
      <c r="Z707" s="16">
        <f t="shared" si="461"/>
        <v>-61000.938792599627</v>
      </c>
      <c r="AA707" s="15">
        <f t="shared" si="436"/>
        <v>22.170849845882874</v>
      </c>
      <c r="AB707" s="75">
        <f>AA707*(1-PARAM!$C$27)*$I$9+(MOD($B707,60)=PARAM!$B$56)*($B707&gt;(60-PARAM!$B$56))*HLOOKUP(($B707+PARAM!$B$56)/12,Loyalty,2)*$F$1*MAX(AD706,0)</f>
        <v>18.557001321003963</v>
      </c>
      <c r="AC707" s="75">
        <f>PARAM!$C$26+MAX($G$9-CHOOSE(PARAM!$B$44,MAX(0,AD706*$F$1),0),0)*RATES!$L683/12+$H$9*(PARAM!$D$51/12)*RATES!$N683/100</f>
        <v>546.04166666666663</v>
      </c>
      <c r="AD707" s="16">
        <f t="shared" si="462"/>
        <v>-61000.938792599627</v>
      </c>
      <c r="AE707" s="15">
        <f t="shared" si="437"/>
        <v>22.170849845882874</v>
      </c>
      <c r="AF707" s="75">
        <f>AE707*(1-PARAM!$C$27)*$I$10+(MOD($B707,60)=PARAM!$B$56)*($B707&gt;(60-PARAM!$B$56))*HLOOKUP(($B707+PARAM!$B$56)/12,Loyalty,2)*$F$1*MAX(AH706,0)</f>
        <v>18.557001321003963</v>
      </c>
      <c r="AG707" s="75">
        <f>PARAM!$C$26+MAX($G$10-CHOOSE(PARAM!$B$44,MAX(0,AH706*$F$1),0),0)*RATES!$L683/12+$H$10*(PARAM!$D$51/12)*RATES!$N683/100</f>
        <v>546.04166666666663</v>
      </c>
      <c r="AH707" s="16">
        <f t="shared" si="463"/>
        <v>-61000.938792599627</v>
      </c>
      <c r="AI707" s="15">
        <f t="shared" si="438"/>
        <v>22.170849845882874</v>
      </c>
      <c r="AJ707" s="75">
        <f>AI707*(1-PARAM!$C$27)*$I$11+(MOD($B707,60)=PARAM!$B$56)*($B707&gt;(60-PARAM!$B$56))*HLOOKUP(($B707+PARAM!$B$56)/12,Loyalty,2)*$F$1*MAX(AL706,0)</f>
        <v>18.557001321003963</v>
      </c>
      <c r="AK707" s="75">
        <f>PARAM!$C$26+MAX($G$11-CHOOSE(PARAM!$B$44,MAX(0,AL706*$F$1),0),0)*RATES!$L683/12+$H$11*(PARAM!$D$51/12)*RATES!$N683/100</f>
        <v>546.04166666666663</v>
      </c>
      <c r="AL707" s="16">
        <f t="shared" si="464"/>
        <v>-61000.938792599627</v>
      </c>
      <c r="AM707" s="15">
        <f t="shared" si="439"/>
        <v>22.170849845882874</v>
      </c>
      <c r="AN707" s="75">
        <f>AM707*(1-PARAM!$C$27)*$I$12+(MOD($B707,60)=PARAM!$B$56)*($B707&gt;(60-PARAM!$B$56))*HLOOKUP(($B707+PARAM!$B$56)/12,Loyalty,2)*$F$1*MAX(AP706,0)</f>
        <v>18.557001321003963</v>
      </c>
      <c r="AO707" s="75">
        <f>PARAM!$C$26+MAX($G$12-CHOOSE(PARAM!$B$44,MAX(0,AP706*$F$1),0),0)*RATES!$L683/12+$H$12*(PARAM!$D$51/12)*RATES!$N683/100</f>
        <v>546.04166666666663</v>
      </c>
      <c r="AP707" s="16">
        <f t="shared" si="465"/>
        <v>-61000.938792599627</v>
      </c>
      <c r="AQ707" s="15">
        <f t="shared" si="440"/>
        <v>22.170849845882874</v>
      </c>
      <c r="AR707" s="75">
        <f>AQ707*(1-PARAM!$C$27)*$I$13+(MOD($B707,60)=PARAM!$B$56)*($B707&gt;(60-PARAM!$B$56))*HLOOKUP(($B707+PARAM!$B$56)/12,Loyalty,2)*$F$1*MAX(AT706,0)</f>
        <v>18.557001321003963</v>
      </c>
      <c r="AS707" s="75">
        <f>PARAM!$C$26+MAX($G$13-CHOOSE(PARAM!$B$44,MAX(0,AT706*$F$1),0),0)*RATES!$L683/12+$H$13*(PARAM!$D$51/12)*RATES!$N683/100</f>
        <v>546.04166666666663</v>
      </c>
      <c r="AT707" s="16">
        <f t="shared" si="466"/>
        <v>-61000.938792599627</v>
      </c>
      <c r="AU707" s="15">
        <f t="shared" si="441"/>
        <v>22.170849845882874</v>
      </c>
      <c r="AV707" s="75">
        <f>AU707*(1-PARAM!$C$27)*$I$14+(MOD($B707,60)=PARAM!$B$56)*($B707&gt;(60-PARAM!$B$56))*HLOOKUP(($B707+PARAM!$B$56)/12,Loyalty,2)*$F$1*MAX(AX706,0)</f>
        <v>18.557001321003963</v>
      </c>
      <c r="AW707" s="75">
        <f>PARAM!$C$26+MAX($G$14-CHOOSE(PARAM!$B$44,MAX(0,AX706*$F$1),0),0)*RATES!$L683/12+$H$14*(PARAM!$D$51/12)*RATES!$N683/100</f>
        <v>546.04166666666663</v>
      </c>
      <c r="AX707" s="16">
        <f t="shared" si="467"/>
        <v>-61000.938792599627</v>
      </c>
      <c r="AY707" s="15">
        <f t="shared" si="442"/>
        <v>22.170849845882874</v>
      </c>
      <c r="AZ707" s="75">
        <f>AY707*(1-PARAM!$C$27)*$I$15+(MOD($B707,60)=PARAM!$B$56)*($B707&gt;(60-PARAM!$B$56))*HLOOKUP(($B707+PARAM!$B$56)/12,Loyalty,2)*$F$1*MAX(BB706,0)</f>
        <v>18.557001321003963</v>
      </c>
      <c r="BA707" s="75">
        <f>PARAM!$C$26+MAX($G$15-CHOOSE(PARAM!$B$44,MAX(0,BB706*$F$1),0),0)*RATES!$L683/12+$H$15*(PARAM!$D$51/12)*RATES!$N683/100</f>
        <v>546.04166666666663</v>
      </c>
      <c r="BB707" s="16">
        <f t="shared" si="468"/>
        <v>-61000.938792599627</v>
      </c>
      <c r="BC707" s="15">
        <f t="shared" si="443"/>
        <v>22.170849845882874</v>
      </c>
      <c r="BD707" s="75">
        <f>BC707*(1-PARAM!$C$27)*$I$16+(MOD($B707,60)=PARAM!$B$56)*($B707&gt;(60-PARAM!$B$56))*HLOOKUP(($B707+PARAM!$B$56)/12,Loyalty,2)*$F$1*MAX(BF706,0)</f>
        <v>18.557001321003963</v>
      </c>
      <c r="BE707" s="75">
        <f>PARAM!$C$26+MAX($G$16-CHOOSE(PARAM!$B$44,MAX(0,BF706*$F$1),0),0)*RATES!$L683/12+$H$16*(PARAM!$D$51/12)*RATES!$N683/100</f>
        <v>546.04166666666663</v>
      </c>
      <c r="BF707" s="16">
        <f t="shared" si="469"/>
        <v>-61000.938792599627</v>
      </c>
      <c r="BG707" s="15">
        <f t="shared" si="444"/>
        <v>22.170849845882874</v>
      </c>
      <c r="BH707" s="75">
        <f>BG707*(1-PARAM!$C$27)*$I$17+(MOD($B707,60)=PARAM!$B$56)*($B707&gt;(60-PARAM!$B$56))*HLOOKUP(($B707+PARAM!$B$56)/12,Loyalty,2)*$F$1*MAX(BJ706,0)</f>
        <v>18.557001321003963</v>
      </c>
      <c r="BI707" s="75">
        <f>PARAM!$C$26+MAX($G$17-CHOOSE(PARAM!$B$44,MAX(0,BJ706*$F$1),0),0)*RATES!$L683/12+$H$17*(PARAM!$D$51/12)*RATES!$N683/100</f>
        <v>546.04166666666663</v>
      </c>
      <c r="BJ707" s="16">
        <f t="shared" si="470"/>
        <v>-61000.938792599627</v>
      </c>
      <c r="BK707" s="15">
        <f t="shared" si="445"/>
        <v>22.170849845882874</v>
      </c>
      <c r="BL707" s="75">
        <f>BK707*(1-PARAM!$C$27)*$I$18+(MOD($B707,60)=PARAM!$B$56)*($B707&gt;(60-PARAM!$B$56))*HLOOKUP(($B707+PARAM!$B$56)/12,Loyalty,2)*$F$1*MAX(BN706,0)</f>
        <v>18.557001321003963</v>
      </c>
      <c r="BM707" s="75">
        <f>PARAM!$C$26+MAX($G$18-CHOOSE(PARAM!$B$44,MAX(0,BN706*$F$1),0),0)*RATES!$L683/12+$H$18*(PARAM!$D$51/12)*RATES!$N683/100</f>
        <v>546.04166666666663</v>
      </c>
      <c r="BN707" s="16">
        <f t="shared" si="471"/>
        <v>-61000.938792599627</v>
      </c>
      <c r="BO707" s="15">
        <f t="shared" si="446"/>
        <v>22.170849845882874</v>
      </c>
      <c r="BP707" s="75">
        <f>BO707*(1-PARAM!$C$27)*$I$19+(MOD($B707,60)=PARAM!$B$56)*($B707&gt;(60-PARAM!$B$56))*HLOOKUP(($B707+PARAM!$B$56)/12,Loyalty,2)*$F$1*MAX(BR706,0)</f>
        <v>18.557001321003963</v>
      </c>
      <c r="BQ707" s="75">
        <f>PARAM!$C$26+MAX($G$19-CHOOSE(PARAM!$B$44,MAX(0,BR706*$F$1),0),0)*RATES!$L683/12+$H$19*(PARAM!$D$51/12)*RATES!$N683/100</f>
        <v>546.04166666666663</v>
      </c>
      <c r="BR707" s="16">
        <f t="shared" si="472"/>
        <v>-61000.938792599627</v>
      </c>
      <c r="BS707" s="15">
        <f t="shared" si="447"/>
        <v>22.170849845882874</v>
      </c>
      <c r="BT707" s="75">
        <f>BS707*(1-PARAM!$C$27)*$I$20+(MOD($B707,60)=PARAM!$B$56)*($B707&gt;(60-PARAM!$B$56))*HLOOKUP(($B707+PARAM!$B$56)/12,Loyalty,2)*$F$1*MAX(BV706,0)</f>
        <v>18.557001321003963</v>
      </c>
      <c r="BU707" s="75">
        <f>PARAM!$C$26+MAX($G$20-CHOOSE(PARAM!$B$44,MAX(0,BV706*$F$1),0),0)*RATES!$L683/12+$H$20*(PARAM!$D$51/12)*RATES!$N683/100</f>
        <v>546.04166666666663</v>
      </c>
      <c r="BV707" s="16">
        <f t="shared" si="473"/>
        <v>-61000.938792599627</v>
      </c>
      <c r="BW707" s="15">
        <f t="shared" si="448"/>
        <v>22.170849845882874</v>
      </c>
      <c r="BX707" s="75">
        <f>BW707*(1-PARAM!$C$27)*$I$21+(MOD($B707,60)=PARAM!$B$56)*($B707&gt;(60-PARAM!$B$56))*HLOOKUP(($B707+PARAM!$B$56)/12,Loyalty,2)*$F$1*MAX(BZ706,0)</f>
        <v>18.557001321003963</v>
      </c>
      <c r="BY707" s="75">
        <f>PARAM!$C$26+MAX($G$21-CHOOSE(PARAM!$B$44,MAX(0,BZ706*$F$1),0),0)*RATES!$L683/12+$H$21*(PARAM!$D$51/12)*RATES!$N683/100</f>
        <v>546.04166666666663</v>
      </c>
      <c r="BZ707" s="16">
        <f t="shared" si="474"/>
        <v>-61000.938792599627</v>
      </c>
      <c r="CA707" s="15">
        <f t="shared" si="449"/>
        <v>22.170849845882874</v>
      </c>
      <c r="CB707" s="75">
        <f>CA707*(1-PARAM!$C$27)*$I$22+(MOD($B707,60)=PARAM!$B$56)*($B707&gt;(60-PARAM!$B$56))*HLOOKUP(($B707+PARAM!$B$56)/12,Loyalty,2)*$F$1*MAX(CD706,0)</f>
        <v>18.557001321003963</v>
      </c>
      <c r="CC707" s="75">
        <f>PARAM!$C$26+MAX($G$22-CHOOSE(PARAM!$B$44,MAX(0,CD706*$F$1),0),0)*RATES!$L683/12+$H$22*(PARAM!$D$51/12)*RATES!$N683/100</f>
        <v>546.04166666666663</v>
      </c>
      <c r="CD707" s="16">
        <f t="shared" si="475"/>
        <v>-61000.938792599627</v>
      </c>
      <c r="CE707" s="33">
        <f>IF(0=MOD(B707,12/PARAM!$D$51),1,0)</f>
        <v>1</v>
      </c>
      <c r="CF707" s="15">
        <f t="shared" si="450"/>
        <v>0</v>
      </c>
      <c r="CG707" s="75">
        <f>CF707*(1-PARAM!$C$27)*$R$3+(MOD($B707/12,5)=0)*($B707&gt;60)*HLOOKUP($B707/12,Loyalty,2)*$F$1*MAX(CI706,0)</f>
        <v>0</v>
      </c>
      <c r="CH707" s="75">
        <f>PARAM!$C$26+MAX($P$3-CHOOSE(PARAM!$B$44,MAX(0,CI706*$F$1),0),0)*RATES!$L683/12+$Q$3*(PARAM!$D$51/12)*RATES!$N683/100</f>
        <v>546.04166666666663</v>
      </c>
      <c r="CI707" s="16">
        <f>IF(CI706&gt;0,CI706*PARAM!$C$53,CI706)+CG707-CH707</f>
        <v>-73500.125000000073</v>
      </c>
      <c r="CJ707" s="15">
        <f t="shared" si="476"/>
        <v>0</v>
      </c>
      <c r="CK707" s="75">
        <f>CJ707*(1-PARAM!$C$27)*$R$4+(MOD($B707/12,5)=0)*($B707&gt;60)*HLOOKUP($B707/12,Loyalty,2)*$F$1*MAX(CM706,0)</f>
        <v>0</v>
      </c>
      <c r="CL707" s="75">
        <f>PARAM!$C$26+MAX($P$4-CHOOSE(PARAM!$B$44,MAX(0,CM706*$F$1),0),0)*RATES!$L683/12+$Q$4*(PARAM!$D$51/12)*RATES!$N683/100</f>
        <v>546.04166666666663</v>
      </c>
      <c r="CM707" s="16">
        <f>IF(CM706&gt;0,CM706*PARAM!$C$53,CM706)+CK707-CL707</f>
        <v>-73500.125000000073</v>
      </c>
      <c r="CO707" s="176"/>
    </row>
    <row r="708" spans="1:93" x14ac:dyDescent="0.2">
      <c r="A708" t="b">
        <f t="shared" si="451"/>
        <v>0</v>
      </c>
      <c r="B708" s="33">
        <v>681</v>
      </c>
      <c r="C708" s="15">
        <f t="shared" si="452"/>
        <v>20.081305947392778</v>
      </c>
      <c r="D708" s="75">
        <f>C708*(1-PARAM!$C$27)*$I$3+(MOD($B708,60)=PARAM!$B$56)*($B708&gt;(60-PARAM!$B$56))*HLOOKUP(($B708+PARAM!$B$56)/12,Loyalty,2)*$F$1*MAX(F707,0)</f>
        <v>16.808053077967756</v>
      </c>
      <c r="E708" s="75">
        <f>PARAM!$C$26+MAX($G$3-CHOOSE(PARAM!$B$44,MAX(0,F707*$F$1),0),0)*RATES!$L684/12+$H$3*(PARAM!$D$51/12)*RATES!$N684/100</f>
        <v>546.04166666666663</v>
      </c>
      <c r="F708" s="16">
        <f t="shared" si="453"/>
        <v>-62756.307711974317</v>
      </c>
      <c r="G708" s="15">
        <f t="shared" si="454"/>
        <v>22.035289406060361</v>
      </c>
      <c r="H708" s="75">
        <f>G708*(1-PARAM!$C$27)*$I$4+(MOD($B708,60)=PARAM!$B$56)*($B708&gt;(60-PARAM!$B$56))*HLOOKUP(($B708+PARAM!$B$56)/12,Loyalty,2)*$F$1*MAX(J707,0)</f>
        <v>18.443537232872522</v>
      </c>
      <c r="I708" s="75">
        <f>PARAM!$C$26+MAX($G$4-CHOOSE(PARAM!$B$44,MAX(0,J707*$F$1),0),0)*RATES!$L684/12+$H$4*(PARAM!$D$51/12)*RATES!$N684/100</f>
        <v>546.04166666666663</v>
      </c>
      <c r="J708" s="16">
        <f t="shared" si="455"/>
        <v>-61608.710038362406</v>
      </c>
      <c r="K708" s="15">
        <f t="shared" si="456"/>
        <v>22.170849845882874</v>
      </c>
      <c r="L708" s="75">
        <f>K708*(1-PARAM!$C$27)*$I$5+(MOD($B708,60)=PARAM!$B$56)*($B708&gt;(60-PARAM!$B$56))*HLOOKUP(($B708+PARAM!$B$56)/12,Loyalty,2)*$F$1*MAX(N707,0)</f>
        <v>18.557001321003963</v>
      </c>
      <c r="M708" s="75">
        <f>PARAM!$C$26+MAX($G$5-CHOOSE(PARAM!$B$44,MAX(0,N707*$F$1),0),0)*RATES!$L684/12+$H$5*(PARAM!$D$51/12)*RATES!$N684/100</f>
        <v>546.04166666666663</v>
      </c>
      <c r="N708" s="16">
        <f t="shared" si="457"/>
        <v>-61528.42345794529</v>
      </c>
      <c r="O708" s="15">
        <f t="shared" si="458"/>
        <v>22.170849845882874</v>
      </c>
      <c r="P708" s="75">
        <f>O708*(1-PARAM!$C$27)*$I$6+(MOD($B708,60)=PARAM!$B$56)*($B708&gt;(60-PARAM!$B$56))*HLOOKUP(($B708+PARAM!$B$56)/12,Loyalty,2)*$F$1*MAX(R707,0)</f>
        <v>18.557001321003963</v>
      </c>
      <c r="Q708" s="75">
        <f>PARAM!$C$26+MAX($G$6-CHOOSE(PARAM!$B$44,MAX(0,R707*$F$1),0),0)*RATES!$L684/12+$H$6*(PARAM!$D$51/12)*RATES!$N684/100</f>
        <v>546.04166666666663</v>
      </c>
      <c r="R708" s="16">
        <f t="shared" si="459"/>
        <v>-61528.42345794529</v>
      </c>
      <c r="S708" s="15">
        <f t="shared" si="434"/>
        <v>22.170849845882874</v>
      </c>
      <c r="T708" s="75">
        <f>S708*(1-PARAM!$C$27)*$I$7+(MOD($B708,60)=PARAM!$B$56)*($B708&gt;(60-PARAM!$B$56))*HLOOKUP(($B708+PARAM!$B$56)/12,Loyalty,2)*$F$1*MAX(V707,0)</f>
        <v>18.557001321003963</v>
      </c>
      <c r="U708" s="75">
        <f>PARAM!$C$26+MAX($G$7-CHOOSE(PARAM!$B$44,MAX(0,V707*$F$1),0),0)*RATES!$L684/12+$H$7*(PARAM!$D$51/12)*RATES!$N684/100</f>
        <v>546.04166666666663</v>
      </c>
      <c r="V708" s="16">
        <f t="shared" si="460"/>
        <v>-61528.42345794529</v>
      </c>
      <c r="W708" s="15">
        <f t="shared" si="435"/>
        <v>22.170849845882874</v>
      </c>
      <c r="X708" s="75">
        <f>W708*(1-PARAM!$C$27)*$I$8+(MOD($B708,60)=PARAM!$B$56)*($B708&gt;(60-PARAM!$B$56))*HLOOKUP(($B708+PARAM!$B$56)/12,Loyalty,2)*$F$1*MAX(Z707,0)</f>
        <v>18.557001321003963</v>
      </c>
      <c r="Y708" s="75">
        <f>PARAM!$C$26+MAX($G$8-CHOOSE(PARAM!$B$44,MAX(0,Z707*$F$1),0),0)*RATES!$L684/12+$H$8*(PARAM!$D$51/12)*RATES!$N684/100</f>
        <v>546.04166666666663</v>
      </c>
      <c r="Z708" s="16">
        <f t="shared" si="461"/>
        <v>-61528.42345794529</v>
      </c>
      <c r="AA708" s="15">
        <f t="shared" si="436"/>
        <v>22.170849845882874</v>
      </c>
      <c r="AB708" s="75">
        <f>AA708*(1-PARAM!$C$27)*$I$9+(MOD($B708,60)=PARAM!$B$56)*($B708&gt;(60-PARAM!$B$56))*HLOOKUP(($B708+PARAM!$B$56)/12,Loyalty,2)*$F$1*MAX(AD707,0)</f>
        <v>18.557001321003963</v>
      </c>
      <c r="AC708" s="75">
        <f>PARAM!$C$26+MAX($G$9-CHOOSE(PARAM!$B$44,MAX(0,AD707*$F$1),0),0)*RATES!$L684/12+$H$9*(PARAM!$D$51/12)*RATES!$N684/100</f>
        <v>546.04166666666663</v>
      </c>
      <c r="AD708" s="16">
        <f t="shared" si="462"/>
        <v>-61528.42345794529</v>
      </c>
      <c r="AE708" s="15">
        <f t="shared" si="437"/>
        <v>22.170849845882874</v>
      </c>
      <c r="AF708" s="75">
        <f>AE708*(1-PARAM!$C$27)*$I$10+(MOD($B708,60)=PARAM!$B$56)*($B708&gt;(60-PARAM!$B$56))*HLOOKUP(($B708+PARAM!$B$56)/12,Loyalty,2)*$F$1*MAX(AH707,0)</f>
        <v>18.557001321003963</v>
      </c>
      <c r="AG708" s="75">
        <f>PARAM!$C$26+MAX($G$10-CHOOSE(PARAM!$B$44,MAX(0,AH707*$F$1),0),0)*RATES!$L684/12+$H$10*(PARAM!$D$51/12)*RATES!$N684/100</f>
        <v>546.04166666666663</v>
      </c>
      <c r="AH708" s="16">
        <f t="shared" si="463"/>
        <v>-61528.42345794529</v>
      </c>
      <c r="AI708" s="15">
        <f t="shared" si="438"/>
        <v>22.170849845882874</v>
      </c>
      <c r="AJ708" s="75">
        <f>AI708*(1-PARAM!$C$27)*$I$11+(MOD($B708,60)=PARAM!$B$56)*($B708&gt;(60-PARAM!$B$56))*HLOOKUP(($B708+PARAM!$B$56)/12,Loyalty,2)*$F$1*MAX(AL707,0)</f>
        <v>18.557001321003963</v>
      </c>
      <c r="AK708" s="75">
        <f>PARAM!$C$26+MAX($G$11-CHOOSE(PARAM!$B$44,MAX(0,AL707*$F$1),0),0)*RATES!$L684/12+$H$11*(PARAM!$D$51/12)*RATES!$N684/100</f>
        <v>546.04166666666663</v>
      </c>
      <c r="AL708" s="16">
        <f t="shared" si="464"/>
        <v>-61528.42345794529</v>
      </c>
      <c r="AM708" s="15">
        <f t="shared" si="439"/>
        <v>22.170849845882874</v>
      </c>
      <c r="AN708" s="75">
        <f>AM708*(1-PARAM!$C$27)*$I$12+(MOD($B708,60)=PARAM!$B$56)*($B708&gt;(60-PARAM!$B$56))*HLOOKUP(($B708+PARAM!$B$56)/12,Loyalty,2)*$F$1*MAX(AP707,0)</f>
        <v>18.557001321003963</v>
      </c>
      <c r="AO708" s="75">
        <f>PARAM!$C$26+MAX($G$12-CHOOSE(PARAM!$B$44,MAX(0,AP707*$F$1),0),0)*RATES!$L684/12+$H$12*(PARAM!$D$51/12)*RATES!$N684/100</f>
        <v>546.04166666666663</v>
      </c>
      <c r="AP708" s="16">
        <f t="shared" si="465"/>
        <v>-61528.42345794529</v>
      </c>
      <c r="AQ708" s="15">
        <f t="shared" si="440"/>
        <v>22.170849845882874</v>
      </c>
      <c r="AR708" s="75">
        <f>AQ708*(1-PARAM!$C$27)*$I$13+(MOD($B708,60)=PARAM!$B$56)*($B708&gt;(60-PARAM!$B$56))*HLOOKUP(($B708+PARAM!$B$56)/12,Loyalty,2)*$F$1*MAX(AT707,0)</f>
        <v>18.557001321003963</v>
      </c>
      <c r="AS708" s="75">
        <f>PARAM!$C$26+MAX($G$13-CHOOSE(PARAM!$B$44,MAX(0,AT707*$F$1),0),0)*RATES!$L684/12+$H$13*(PARAM!$D$51/12)*RATES!$N684/100</f>
        <v>546.04166666666663</v>
      </c>
      <c r="AT708" s="16">
        <f t="shared" si="466"/>
        <v>-61528.42345794529</v>
      </c>
      <c r="AU708" s="15">
        <f t="shared" si="441"/>
        <v>22.170849845882874</v>
      </c>
      <c r="AV708" s="75">
        <f>AU708*(1-PARAM!$C$27)*$I$14+(MOD($B708,60)=PARAM!$B$56)*($B708&gt;(60-PARAM!$B$56))*HLOOKUP(($B708+PARAM!$B$56)/12,Loyalty,2)*$F$1*MAX(AX707,0)</f>
        <v>18.557001321003963</v>
      </c>
      <c r="AW708" s="75">
        <f>PARAM!$C$26+MAX($G$14-CHOOSE(PARAM!$B$44,MAX(0,AX707*$F$1),0),0)*RATES!$L684/12+$H$14*(PARAM!$D$51/12)*RATES!$N684/100</f>
        <v>546.04166666666663</v>
      </c>
      <c r="AX708" s="16">
        <f t="shared" si="467"/>
        <v>-61528.42345794529</v>
      </c>
      <c r="AY708" s="15">
        <f t="shared" si="442"/>
        <v>22.170849845882874</v>
      </c>
      <c r="AZ708" s="75">
        <f>AY708*(1-PARAM!$C$27)*$I$15+(MOD($B708,60)=PARAM!$B$56)*($B708&gt;(60-PARAM!$B$56))*HLOOKUP(($B708+PARAM!$B$56)/12,Loyalty,2)*$F$1*MAX(BB707,0)</f>
        <v>18.557001321003963</v>
      </c>
      <c r="BA708" s="75">
        <f>PARAM!$C$26+MAX($G$15-CHOOSE(PARAM!$B$44,MAX(0,BB707*$F$1),0),0)*RATES!$L684/12+$H$15*(PARAM!$D$51/12)*RATES!$N684/100</f>
        <v>546.04166666666663</v>
      </c>
      <c r="BB708" s="16">
        <f t="shared" si="468"/>
        <v>-61528.42345794529</v>
      </c>
      <c r="BC708" s="15">
        <f t="shared" si="443"/>
        <v>22.170849845882874</v>
      </c>
      <c r="BD708" s="75">
        <f>BC708*(1-PARAM!$C$27)*$I$16+(MOD($B708,60)=PARAM!$B$56)*($B708&gt;(60-PARAM!$B$56))*HLOOKUP(($B708+PARAM!$B$56)/12,Loyalty,2)*$F$1*MAX(BF707,0)</f>
        <v>18.557001321003963</v>
      </c>
      <c r="BE708" s="75">
        <f>PARAM!$C$26+MAX($G$16-CHOOSE(PARAM!$B$44,MAX(0,BF707*$F$1),0),0)*RATES!$L684/12+$H$16*(PARAM!$D$51/12)*RATES!$N684/100</f>
        <v>546.04166666666663</v>
      </c>
      <c r="BF708" s="16">
        <f t="shared" si="469"/>
        <v>-61528.42345794529</v>
      </c>
      <c r="BG708" s="15">
        <f t="shared" si="444"/>
        <v>22.170849845882874</v>
      </c>
      <c r="BH708" s="75">
        <f>BG708*(1-PARAM!$C$27)*$I$17+(MOD($B708,60)=PARAM!$B$56)*($B708&gt;(60-PARAM!$B$56))*HLOOKUP(($B708+PARAM!$B$56)/12,Loyalty,2)*$F$1*MAX(BJ707,0)</f>
        <v>18.557001321003963</v>
      </c>
      <c r="BI708" s="75">
        <f>PARAM!$C$26+MAX($G$17-CHOOSE(PARAM!$B$44,MAX(0,BJ707*$F$1),0),0)*RATES!$L684/12+$H$17*(PARAM!$D$51/12)*RATES!$N684/100</f>
        <v>546.04166666666663</v>
      </c>
      <c r="BJ708" s="16">
        <f t="shared" si="470"/>
        <v>-61528.42345794529</v>
      </c>
      <c r="BK708" s="15">
        <f t="shared" si="445"/>
        <v>22.170849845882874</v>
      </c>
      <c r="BL708" s="75">
        <f>BK708*(1-PARAM!$C$27)*$I$18+(MOD($B708,60)=PARAM!$B$56)*($B708&gt;(60-PARAM!$B$56))*HLOOKUP(($B708+PARAM!$B$56)/12,Loyalty,2)*$F$1*MAX(BN707,0)</f>
        <v>18.557001321003963</v>
      </c>
      <c r="BM708" s="75">
        <f>PARAM!$C$26+MAX($G$18-CHOOSE(PARAM!$B$44,MAX(0,BN707*$F$1),0),0)*RATES!$L684/12+$H$18*(PARAM!$D$51/12)*RATES!$N684/100</f>
        <v>546.04166666666663</v>
      </c>
      <c r="BN708" s="16">
        <f t="shared" si="471"/>
        <v>-61528.42345794529</v>
      </c>
      <c r="BO708" s="15">
        <f t="shared" si="446"/>
        <v>22.170849845882874</v>
      </c>
      <c r="BP708" s="75">
        <f>BO708*(1-PARAM!$C$27)*$I$19+(MOD($B708,60)=PARAM!$B$56)*($B708&gt;(60-PARAM!$B$56))*HLOOKUP(($B708+PARAM!$B$56)/12,Loyalty,2)*$F$1*MAX(BR707,0)</f>
        <v>18.557001321003963</v>
      </c>
      <c r="BQ708" s="75">
        <f>PARAM!$C$26+MAX($G$19-CHOOSE(PARAM!$B$44,MAX(0,BR707*$F$1),0),0)*RATES!$L684/12+$H$19*(PARAM!$D$51/12)*RATES!$N684/100</f>
        <v>546.04166666666663</v>
      </c>
      <c r="BR708" s="16">
        <f t="shared" si="472"/>
        <v>-61528.42345794529</v>
      </c>
      <c r="BS708" s="15">
        <f t="shared" si="447"/>
        <v>22.170849845882874</v>
      </c>
      <c r="BT708" s="75">
        <f>BS708*(1-PARAM!$C$27)*$I$20+(MOD($B708,60)=PARAM!$B$56)*($B708&gt;(60-PARAM!$B$56))*HLOOKUP(($B708+PARAM!$B$56)/12,Loyalty,2)*$F$1*MAX(BV707,0)</f>
        <v>18.557001321003963</v>
      </c>
      <c r="BU708" s="75">
        <f>PARAM!$C$26+MAX($G$20-CHOOSE(PARAM!$B$44,MAX(0,BV707*$F$1),0),0)*RATES!$L684/12+$H$20*(PARAM!$D$51/12)*RATES!$N684/100</f>
        <v>546.04166666666663</v>
      </c>
      <c r="BV708" s="16">
        <f t="shared" si="473"/>
        <v>-61528.42345794529</v>
      </c>
      <c r="BW708" s="15">
        <f t="shared" si="448"/>
        <v>22.170849845882874</v>
      </c>
      <c r="BX708" s="75">
        <f>BW708*(1-PARAM!$C$27)*$I$21+(MOD($B708,60)=PARAM!$B$56)*($B708&gt;(60-PARAM!$B$56))*HLOOKUP(($B708+PARAM!$B$56)/12,Loyalty,2)*$F$1*MAX(BZ707,0)</f>
        <v>18.557001321003963</v>
      </c>
      <c r="BY708" s="75">
        <f>PARAM!$C$26+MAX($G$21-CHOOSE(PARAM!$B$44,MAX(0,BZ707*$F$1),0),0)*RATES!$L684/12+$H$21*(PARAM!$D$51/12)*RATES!$N684/100</f>
        <v>546.04166666666663</v>
      </c>
      <c r="BZ708" s="16">
        <f t="shared" si="474"/>
        <v>-61528.42345794529</v>
      </c>
      <c r="CA708" s="15">
        <f t="shared" si="449"/>
        <v>22.170849845882874</v>
      </c>
      <c r="CB708" s="75">
        <f>CA708*(1-PARAM!$C$27)*$I$22+(MOD($B708,60)=PARAM!$B$56)*($B708&gt;(60-PARAM!$B$56))*HLOOKUP(($B708+PARAM!$B$56)/12,Loyalty,2)*$F$1*MAX(CD707,0)</f>
        <v>18.557001321003963</v>
      </c>
      <c r="CC708" s="75">
        <f>PARAM!$C$26+MAX($G$22-CHOOSE(PARAM!$B$44,MAX(0,CD707*$F$1),0),0)*RATES!$L684/12+$H$22*(PARAM!$D$51/12)*RATES!$N684/100</f>
        <v>546.04166666666663</v>
      </c>
      <c r="CD708" s="16">
        <f t="shared" si="475"/>
        <v>-61528.42345794529</v>
      </c>
      <c r="CE708" s="33">
        <f>IF(0=MOD(B708,12/PARAM!$D$51),1,0)</f>
        <v>1</v>
      </c>
      <c r="CF708" s="15">
        <f t="shared" si="450"/>
        <v>0</v>
      </c>
      <c r="CG708" s="75">
        <f>CF708*(1-PARAM!$C$27)*$R$3+(MOD($B708/12,5)=0)*($B708&gt;60)*HLOOKUP($B708/12,Loyalty,2)*$F$1*MAX(CI707,0)</f>
        <v>0</v>
      </c>
      <c r="CH708" s="75">
        <f>PARAM!$C$26+MAX($P$3-CHOOSE(PARAM!$B$44,MAX(0,CI707*$F$1),0),0)*RATES!$L684/12+$Q$3*(PARAM!$D$51/12)*RATES!$N684/100</f>
        <v>546.04166666666663</v>
      </c>
      <c r="CI708" s="16">
        <f>IF(CI707&gt;0,CI707*PARAM!$C$53,CI707)+CG708-CH708</f>
        <v>-74046.166666666744</v>
      </c>
      <c r="CJ708" s="15">
        <f t="shared" si="476"/>
        <v>0</v>
      </c>
      <c r="CK708" s="75">
        <f>CJ708*(1-PARAM!$C$27)*$R$4+(MOD($B708/12,5)=0)*($B708&gt;60)*HLOOKUP($B708/12,Loyalty,2)*$F$1*MAX(CM707,0)</f>
        <v>0</v>
      </c>
      <c r="CL708" s="75">
        <f>PARAM!$C$26+MAX($P$4-CHOOSE(PARAM!$B$44,MAX(0,CM707*$F$1),0),0)*RATES!$L684/12+$Q$4*(PARAM!$D$51/12)*RATES!$N684/100</f>
        <v>546.04166666666663</v>
      </c>
      <c r="CM708" s="16">
        <f>IF(CM707&gt;0,CM707*PARAM!$C$53,CM707)+CK708-CL708</f>
        <v>-74046.166666666744</v>
      </c>
      <c r="CO708" s="176"/>
    </row>
    <row r="709" spans="1:93" x14ac:dyDescent="0.2">
      <c r="A709" t="b">
        <f t="shared" si="451"/>
        <v>0</v>
      </c>
      <c r="B709" s="33">
        <v>682</v>
      </c>
      <c r="C709" s="15">
        <f t="shared" si="452"/>
        <v>20.081305947392778</v>
      </c>
      <c r="D709" s="75">
        <f>C709*(1-PARAM!$C$27)*$I$3+(MOD($B709,60)=PARAM!$B$56)*($B709&gt;(60-PARAM!$B$56))*HLOOKUP(($B709+PARAM!$B$56)/12,Loyalty,2)*$F$1*MAX(F708,0)</f>
        <v>16.808053077967756</v>
      </c>
      <c r="E709" s="75">
        <f>PARAM!$C$26+MAX($G$3-CHOOSE(PARAM!$B$44,MAX(0,F708*$F$1),0),0)*RATES!$L685/12+$H$3*(PARAM!$D$51/12)*RATES!$N685/100</f>
        <v>546.04166666666663</v>
      </c>
      <c r="F709" s="16">
        <f t="shared" si="453"/>
        <v>-63285.541325563012</v>
      </c>
      <c r="G709" s="15">
        <f t="shared" si="454"/>
        <v>22.035289406060361</v>
      </c>
      <c r="H709" s="75">
        <f>G709*(1-PARAM!$C$27)*$I$4+(MOD($B709,60)=PARAM!$B$56)*($B709&gt;(60-PARAM!$B$56))*HLOOKUP(($B709+PARAM!$B$56)/12,Loyalty,2)*$F$1*MAX(J708,0)</f>
        <v>18.443537232872522</v>
      </c>
      <c r="I709" s="75">
        <f>PARAM!$C$26+MAX($G$4-CHOOSE(PARAM!$B$44,MAX(0,J708*$F$1),0),0)*RATES!$L685/12+$H$4*(PARAM!$D$51/12)*RATES!$N685/100</f>
        <v>546.04166666666663</v>
      </c>
      <c r="J709" s="16">
        <f t="shared" si="455"/>
        <v>-62136.308167796196</v>
      </c>
      <c r="K709" s="15">
        <f t="shared" si="456"/>
        <v>22.170849845882874</v>
      </c>
      <c r="L709" s="75">
        <f>K709*(1-PARAM!$C$27)*$I$5+(MOD($B709,60)=PARAM!$B$56)*($B709&gt;(60-PARAM!$B$56))*HLOOKUP(($B709+PARAM!$B$56)/12,Loyalty,2)*$F$1*MAX(N708,0)</f>
        <v>18.557001321003963</v>
      </c>
      <c r="M709" s="75">
        <f>PARAM!$C$26+MAX($G$5-CHOOSE(PARAM!$B$44,MAX(0,N708*$F$1),0),0)*RATES!$L685/12+$H$5*(PARAM!$D$51/12)*RATES!$N685/100</f>
        <v>546.04166666666663</v>
      </c>
      <c r="N709" s="16">
        <f t="shared" si="457"/>
        <v>-62055.908123290952</v>
      </c>
      <c r="O709" s="15">
        <f t="shared" si="458"/>
        <v>22.170849845882874</v>
      </c>
      <c r="P709" s="75">
        <f>O709*(1-PARAM!$C$27)*$I$6+(MOD($B709,60)=PARAM!$B$56)*($B709&gt;(60-PARAM!$B$56))*HLOOKUP(($B709+PARAM!$B$56)/12,Loyalty,2)*$F$1*MAX(R708,0)</f>
        <v>18.557001321003963</v>
      </c>
      <c r="Q709" s="75">
        <f>PARAM!$C$26+MAX($G$6-CHOOSE(PARAM!$B$44,MAX(0,R708*$F$1),0),0)*RATES!$L685/12+$H$6*(PARAM!$D$51/12)*RATES!$N685/100</f>
        <v>546.04166666666663</v>
      </c>
      <c r="R709" s="16">
        <f t="shared" si="459"/>
        <v>-62055.908123290952</v>
      </c>
      <c r="S709" s="15">
        <f t="shared" si="434"/>
        <v>22.170849845882874</v>
      </c>
      <c r="T709" s="75">
        <f>S709*(1-PARAM!$C$27)*$I$7+(MOD($B709,60)=PARAM!$B$56)*($B709&gt;(60-PARAM!$B$56))*HLOOKUP(($B709+PARAM!$B$56)/12,Loyalty,2)*$F$1*MAX(V708,0)</f>
        <v>18.557001321003963</v>
      </c>
      <c r="U709" s="75">
        <f>PARAM!$C$26+MAX($G$7-CHOOSE(PARAM!$B$44,MAX(0,V708*$F$1),0),0)*RATES!$L685/12+$H$7*(PARAM!$D$51/12)*RATES!$N685/100</f>
        <v>546.04166666666663</v>
      </c>
      <c r="V709" s="16">
        <f t="shared" si="460"/>
        <v>-62055.908123290952</v>
      </c>
      <c r="W709" s="15">
        <f t="shared" si="435"/>
        <v>22.170849845882874</v>
      </c>
      <c r="X709" s="75">
        <f>W709*(1-PARAM!$C$27)*$I$8+(MOD($B709,60)=PARAM!$B$56)*($B709&gt;(60-PARAM!$B$56))*HLOOKUP(($B709+PARAM!$B$56)/12,Loyalty,2)*$F$1*MAX(Z708,0)</f>
        <v>18.557001321003963</v>
      </c>
      <c r="Y709" s="75">
        <f>PARAM!$C$26+MAX($G$8-CHOOSE(PARAM!$B$44,MAX(0,Z708*$F$1),0),0)*RATES!$L685/12+$H$8*(PARAM!$D$51/12)*RATES!$N685/100</f>
        <v>546.04166666666663</v>
      </c>
      <c r="Z709" s="16">
        <f t="shared" si="461"/>
        <v>-62055.908123290952</v>
      </c>
      <c r="AA709" s="15">
        <f t="shared" si="436"/>
        <v>22.170849845882874</v>
      </c>
      <c r="AB709" s="75">
        <f>AA709*(1-PARAM!$C$27)*$I$9+(MOD($B709,60)=PARAM!$B$56)*($B709&gt;(60-PARAM!$B$56))*HLOOKUP(($B709+PARAM!$B$56)/12,Loyalty,2)*$F$1*MAX(AD708,0)</f>
        <v>18.557001321003963</v>
      </c>
      <c r="AC709" s="75">
        <f>PARAM!$C$26+MAX($G$9-CHOOSE(PARAM!$B$44,MAX(0,AD708*$F$1),0),0)*RATES!$L685/12+$H$9*(PARAM!$D$51/12)*RATES!$N685/100</f>
        <v>546.04166666666663</v>
      </c>
      <c r="AD709" s="16">
        <f t="shared" si="462"/>
        <v>-62055.908123290952</v>
      </c>
      <c r="AE709" s="15">
        <f t="shared" si="437"/>
        <v>22.170849845882874</v>
      </c>
      <c r="AF709" s="75">
        <f>AE709*(1-PARAM!$C$27)*$I$10+(MOD($B709,60)=PARAM!$B$56)*($B709&gt;(60-PARAM!$B$56))*HLOOKUP(($B709+PARAM!$B$56)/12,Loyalty,2)*$F$1*MAX(AH708,0)</f>
        <v>18.557001321003963</v>
      </c>
      <c r="AG709" s="75">
        <f>PARAM!$C$26+MAX($G$10-CHOOSE(PARAM!$B$44,MAX(0,AH708*$F$1),0),0)*RATES!$L685/12+$H$10*(PARAM!$D$51/12)*RATES!$N685/100</f>
        <v>546.04166666666663</v>
      </c>
      <c r="AH709" s="16">
        <f t="shared" si="463"/>
        <v>-62055.908123290952</v>
      </c>
      <c r="AI709" s="15">
        <f t="shared" si="438"/>
        <v>22.170849845882874</v>
      </c>
      <c r="AJ709" s="75">
        <f>AI709*(1-PARAM!$C$27)*$I$11+(MOD($B709,60)=PARAM!$B$56)*($B709&gt;(60-PARAM!$B$56))*HLOOKUP(($B709+PARAM!$B$56)/12,Loyalty,2)*$F$1*MAX(AL708,0)</f>
        <v>18.557001321003963</v>
      </c>
      <c r="AK709" s="75">
        <f>PARAM!$C$26+MAX($G$11-CHOOSE(PARAM!$B$44,MAX(0,AL708*$F$1),0),0)*RATES!$L685/12+$H$11*(PARAM!$D$51/12)*RATES!$N685/100</f>
        <v>546.04166666666663</v>
      </c>
      <c r="AL709" s="16">
        <f t="shared" si="464"/>
        <v>-62055.908123290952</v>
      </c>
      <c r="AM709" s="15">
        <f t="shared" si="439"/>
        <v>22.170849845882874</v>
      </c>
      <c r="AN709" s="75">
        <f>AM709*(1-PARAM!$C$27)*$I$12+(MOD($B709,60)=PARAM!$B$56)*($B709&gt;(60-PARAM!$B$56))*HLOOKUP(($B709+PARAM!$B$56)/12,Loyalty,2)*$F$1*MAX(AP708,0)</f>
        <v>18.557001321003963</v>
      </c>
      <c r="AO709" s="75">
        <f>PARAM!$C$26+MAX($G$12-CHOOSE(PARAM!$B$44,MAX(0,AP708*$F$1),0),0)*RATES!$L685/12+$H$12*(PARAM!$D$51/12)*RATES!$N685/100</f>
        <v>546.04166666666663</v>
      </c>
      <c r="AP709" s="16">
        <f t="shared" si="465"/>
        <v>-62055.908123290952</v>
      </c>
      <c r="AQ709" s="15">
        <f t="shared" si="440"/>
        <v>22.170849845882874</v>
      </c>
      <c r="AR709" s="75">
        <f>AQ709*(1-PARAM!$C$27)*$I$13+(MOD($B709,60)=PARAM!$B$56)*($B709&gt;(60-PARAM!$B$56))*HLOOKUP(($B709+PARAM!$B$56)/12,Loyalty,2)*$F$1*MAX(AT708,0)</f>
        <v>18.557001321003963</v>
      </c>
      <c r="AS709" s="75">
        <f>PARAM!$C$26+MAX($G$13-CHOOSE(PARAM!$B$44,MAX(0,AT708*$F$1),0),0)*RATES!$L685/12+$H$13*(PARAM!$D$51/12)*RATES!$N685/100</f>
        <v>546.04166666666663</v>
      </c>
      <c r="AT709" s="16">
        <f t="shared" si="466"/>
        <v>-62055.908123290952</v>
      </c>
      <c r="AU709" s="15">
        <f t="shared" si="441"/>
        <v>22.170849845882874</v>
      </c>
      <c r="AV709" s="75">
        <f>AU709*(1-PARAM!$C$27)*$I$14+(MOD($B709,60)=PARAM!$B$56)*($B709&gt;(60-PARAM!$B$56))*HLOOKUP(($B709+PARAM!$B$56)/12,Loyalty,2)*$F$1*MAX(AX708,0)</f>
        <v>18.557001321003963</v>
      </c>
      <c r="AW709" s="75">
        <f>PARAM!$C$26+MAX($G$14-CHOOSE(PARAM!$B$44,MAX(0,AX708*$F$1),0),0)*RATES!$L685/12+$H$14*(PARAM!$D$51/12)*RATES!$N685/100</f>
        <v>546.04166666666663</v>
      </c>
      <c r="AX709" s="16">
        <f t="shared" si="467"/>
        <v>-62055.908123290952</v>
      </c>
      <c r="AY709" s="15">
        <f t="shared" si="442"/>
        <v>22.170849845882874</v>
      </c>
      <c r="AZ709" s="75">
        <f>AY709*(1-PARAM!$C$27)*$I$15+(MOD($B709,60)=PARAM!$B$56)*($B709&gt;(60-PARAM!$B$56))*HLOOKUP(($B709+PARAM!$B$56)/12,Loyalty,2)*$F$1*MAX(BB708,0)</f>
        <v>18.557001321003963</v>
      </c>
      <c r="BA709" s="75">
        <f>PARAM!$C$26+MAX($G$15-CHOOSE(PARAM!$B$44,MAX(0,BB708*$F$1),0),0)*RATES!$L685/12+$H$15*(PARAM!$D$51/12)*RATES!$N685/100</f>
        <v>546.04166666666663</v>
      </c>
      <c r="BB709" s="16">
        <f t="shared" si="468"/>
        <v>-62055.908123290952</v>
      </c>
      <c r="BC709" s="15">
        <f t="shared" si="443"/>
        <v>22.170849845882874</v>
      </c>
      <c r="BD709" s="75">
        <f>BC709*(1-PARAM!$C$27)*$I$16+(MOD($B709,60)=PARAM!$B$56)*($B709&gt;(60-PARAM!$B$56))*HLOOKUP(($B709+PARAM!$B$56)/12,Loyalty,2)*$F$1*MAX(BF708,0)</f>
        <v>18.557001321003963</v>
      </c>
      <c r="BE709" s="75">
        <f>PARAM!$C$26+MAX($G$16-CHOOSE(PARAM!$B$44,MAX(0,BF708*$F$1),0),0)*RATES!$L685/12+$H$16*(PARAM!$D$51/12)*RATES!$N685/100</f>
        <v>546.04166666666663</v>
      </c>
      <c r="BF709" s="16">
        <f t="shared" si="469"/>
        <v>-62055.908123290952</v>
      </c>
      <c r="BG709" s="15">
        <f t="shared" si="444"/>
        <v>22.170849845882874</v>
      </c>
      <c r="BH709" s="75">
        <f>BG709*(1-PARAM!$C$27)*$I$17+(MOD($B709,60)=PARAM!$B$56)*($B709&gt;(60-PARAM!$B$56))*HLOOKUP(($B709+PARAM!$B$56)/12,Loyalty,2)*$F$1*MAX(BJ708,0)</f>
        <v>18.557001321003963</v>
      </c>
      <c r="BI709" s="75">
        <f>PARAM!$C$26+MAX($G$17-CHOOSE(PARAM!$B$44,MAX(0,BJ708*$F$1),0),0)*RATES!$L685/12+$H$17*(PARAM!$D$51/12)*RATES!$N685/100</f>
        <v>546.04166666666663</v>
      </c>
      <c r="BJ709" s="16">
        <f t="shared" si="470"/>
        <v>-62055.908123290952</v>
      </c>
      <c r="BK709" s="15">
        <f t="shared" si="445"/>
        <v>22.170849845882874</v>
      </c>
      <c r="BL709" s="75">
        <f>BK709*(1-PARAM!$C$27)*$I$18+(MOD($B709,60)=PARAM!$B$56)*($B709&gt;(60-PARAM!$B$56))*HLOOKUP(($B709+PARAM!$B$56)/12,Loyalty,2)*$F$1*MAX(BN708,0)</f>
        <v>18.557001321003963</v>
      </c>
      <c r="BM709" s="75">
        <f>PARAM!$C$26+MAX($G$18-CHOOSE(PARAM!$B$44,MAX(0,BN708*$F$1),0),0)*RATES!$L685/12+$H$18*(PARAM!$D$51/12)*RATES!$N685/100</f>
        <v>546.04166666666663</v>
      </c>
      <c r="BN709" s="16">
        <f t="shared" si="471"/>
        <v>-62055.908123290952</v>
      </c>
      <c r="BO709" s="15">
        <f t="shared" si="446"/>
        <v>22.170849845882874</v>
      </c>
      <c r="BP709" s="75">
        <f>BO709*(1-PARAM!$C$27)*$I$19+(MOD($B709,60)=PARAM!$B$56)*($B709&gt;(60-PARAM!$B$56))*HLOOKUP(($B709+PARAM!$B$56)/12,Loyalty,2)*$F$1*MAX(BR708,0)</f>
        <v>18.557001321003963</v>
      </c>
      <c r="BQ709" s="75">
        <f>PARAM!$C$26+MAX($G$19-CHOOSE(PARAM!$B$44,MAX(0,BR708*$F$1),0),0)*RATES!$L685/12+$H$19*(PARAM!$D$51/12)*RATES!$N685/100</f>
        <v>546.04166666666663</v>
      </c>
      <c r="BR709" s="16">
        <f t="shared" si="472"/>
        <v>-62055.908123290952</v>
      </c>
      <c r="BS709" s="15">
        <f t="shared" si="447"/>
        <v>22.170849845882874</v>
      </c>
      <c r="BT709" s="75">
        <f>BS709*(1-PARAM!$C$27)*$I$20+(MOD($B709,60)=PARAM!$B$56)*($B709&gt;(60-PARAM!$B$56))*HLOOKUP(($B709+PARAM!$B$56)/12,Loyalty,2)*$F$1*MAX(BV708,0)</f>
        <v>18.557001321003963</v>
      </c>
      <c r="BU709" s="75">
        <f>PARAM!$C$26+MAX($G$20-CHOOSE(PARAM!$B$44,MAX(0,BV708*$F$1),0),0)*RATES!$L685/12+$H$20*(PARAM!$D$51/12)*RATES!$N685/100</f>
        <v>546.04166666666663</v>
      </c>
      <c r="BV709" s="16">
        <f t="shared" si="473"/>
        <v>-62055.908123290952</v>
      </c>
      <c r="BW709" s="15">
        <f t="shared" si="448"/>
        <v>22.170849845882874</v>
      </c>
      <c r="BX709" s="75">
        <f>BW709*(1-PARAM!$C$27)*$I$21+(MOD($B709,60)=PARAM!$B$56)*($B709&gt;(60-PARAM!$B$56))*HLOOKUP(($B709+PARAM!$B$56)/12,Loyalty,2)*$F$1*MAX(BZ708,0)</f>
        <v>18.557001321003963</v>
      </c>
      <c r="BY709" s="75">
        <f>PARAM!$C$26+MAX($G$21-CHOOSE(PARAM!$B$44,MAX(0,BZ708*$F$1),0),0)*RATES!$L685/12+$H$21*(PARAM!$D$51/12)*RATES!$N685/100</f>
        <v>546.04166666666663</v>
      </c>
      <c r="BZ709" s="16">
        <f t="shared" si="474"/>
        <v>-62055.908123290952</v>
      </c>
      <c r="CA709" s="15">
        <f t="shared" si="449"/>
        <v>22.170849845882874</v>
      </c>
      <c r="CB709" s="75">
        <f>CA709*(1-PARAM!$C$27)*$I$22+(MOD($B709,60)=PARAM!$B$56)*($B709&gt;(60-PARAM!$B$56))*HLOOKUP(($B709+PARAM!$B$56)/12,Loyalty,2)*$F$1*MAX(CD708,0)</f>
        <v>18.557001321003963</v>
      </c>
      <c r="CC709" s="75">
        <f>PARAM!$C$26+MAX($G$22-CHOOSE(PARAM!$B$44,MAX(0,CD708*$F$1),0),0)*RATES!$L685/12+$H$22*(PARAM!$D$51/12)*RATES!$N685/100</f>
        <v>546.04166666666663</v>
      </c>
      <c r="CD709" s="16">
        <f t="shared" si="475"/>
        <v>-62055.908123290952</v>
      </c>
      <c r="CE709" s="33">
        <f>IF(0=MOD(B709,12/PARAM!$D$51),1,0)</f>
        <v>1</v>
      </c>
      <c r="CF709" s="15">
        <f t="shared" si="450"/>
        <v>0</v>
      </c>
      <c r="CG709" s="75">
        <f>CF709*(1-PARAM!$C$27)*$R$3+(MOD($B709/12,5)=0)*($B709&gt;60)*HLOOKUP($B709/12,Loyalty,2)*$F$1*MAX(CI708,0)</f>
        <v>0</v>
      </c>
      <c r="CH709" s="75">
        <f>PARAM!$C$26+MAX($P$3-CHOOSE(PARAM!$B$44,MAX(0,CI708*$F$1),0),0)*RATES!$L685/12+$Q$3*(PARAM!$D$51/12)*RATES!$N685/100</f>
        <v>546.04166666666663</v>
      </c>
      <c r="CI709" s="16">
        <f>IF(CI708&gt;0,CI708*PARAM!$C$53,CI708)+CG709-CH709</f>
        <v>-74592.208333333416</v>
      </c>
      <c r="CJ709" s="15">
        <f t="shared" si="476"/>
        <v>0</v>
      </c>
      <c r="CK709" s="75">
        <f>CJ709*(1-PARAM!$C$27)*$R$4+(MOD($B709/12,5)=0)*($B709&gt;60)*HLOOKUP($B709/12,Loyalty,2)*$F$1*MAX(CM708,0)</f>
        <v>0</v>
      </c>
      <c r="CL709" s="75">
        <f>PARAM!$C$26+MAX($P$4-CHOOSE(PARAM!$B$44,MAX(0,CM708*$F$1),0),0)*RATES!$L685/12+$Q$4*(PARAM!$D$51/12)*RATES!$N685/100</f>
        <v>546.04166666666663</v>
      </c>
      <c r="CM709" s="16">
        <f>IF(CM708&gt;0,CM708*PARAM!$C$53,CM708)+CK709-CL709</f>
        <v>-74592.208333333416</v>
      </c>
      <c r="CO709" s="176"/>
    </row>
    <row r="710" spans="1:93" x14ac:dyDescent="0.2">
      <c r="A710" t="b">
        <f t="shared" si="451"/>
        <v>0</v>
      </c>
      <c r="B710" s="33">
        <v>683</v>
      </c>
      <c r="C710" s="15">
        <f t="shared" si="452"/>
        <v>20.081305947392778</v>
      </c>
      <c r="D710" s="75">
        <f>C710*(1-PARAM!$C$27)*$I$3+(MOD($B710,60)=PARAM!$B$56)*($B710&gt;(60-PARAM!$B$56))*HLOOKUP(($B710+PARAM!$B$56)/12,Loyalty,2)*$F$1*MAX(F709,0)</f>
        <v>16.808053077967756</v>
      </c>
      <c r="E710" s="75">
        <f>PARAM!$C$26+MAX($G$3-CHOOSE(PARAM!$B$44,MAX(0,F709*$F$1),0),0)*RATES!$L686/12+$H$3*(PARAM!$D$51/12)*RATES!$N686/100</f>
        <v>546.04166666666663</v>
      </c>
      <c r="F710" s="16">
        <f t="shared" si="453"/>
        <v>-63814.774939151706</v>
      </c>
      <c r="G710" s="15">
        <f t="shared" si="454"/>
        <v>22.035289406060361</v>
      </c>
      <c r="H710" s="75">
        <f>G710*(1-PARAM!$C$27)*$I$4+(MOD($B710,60)=PARAM!$B$56)*($B710&gt;(60-PARAM!$B$56))*HLOOKUP(($B710+PARAM!$B$56)/12,Loyalty,2)*$F$1*MAX(J709,0)</f>
        <v>18.443537232872522</v>
      </c>
      <c r="I710" s="75">
        <f>PARAM!$C$26+MAX($G$4-CHOOSE(PARAM!$B$44,MAX(0,J709*$F$1),0),0)*RATES!$L686/12+$H$4*(PARAM!$D$51/12)*RATES!$N686/100</f>
        <v>546.04166666666663</v>
      </c>
      <c r="J710" s="16">
        <f t="shared" si="455"/>
        <v>-62663.906297229987</v>
      </c>
      <c r="K710" s="15">
        <f t="shared" si="456"/>
        <v>22.170849845882874</v>
      </c>
      <c r="L710" s="75">
        <f>K710*(1-PARAM!$C$27)*$I$5+(MOD($B710,60)=PARAM!$B$56)*($B710&gt;(60-PARAM!$B$56))*HLOOKUP(($B710+PARAM!$B$56)/12,Loyalty,2)*$F$1*MAX(N709,0)</f>
        <v>18.557001321003963</v>
      </c>
      <c r="M710" s="75">
        <f>PARAM!$C$26+MAX($G$5-CHOOSE(PARAM!$B$44,MAX(0,N709*$F$1),0),0)*RATES!$L686/12+$H$5*(PARAM!$D$51/12)*RATES!$N686/100</f>
        <v>546.04166666666663</v>
      </c>
      <c r="N710" s="16">
        <f t="shared" si="457"/>
        <v>-62583.392788636615</v>
      </c>
      <c r="O710" s="15">
        <f t="shared" si="458"/>
        <v>22.170849845882874</v>
      </c>
      <c r="P710" s="75">
        <f>O710*(1-PARAM!$C$27)*$I$6+(MOD($B710,60)=PARAM!$B$56)*($B710&gt;(60-PARAM!$B$56))*HLOOKUP(($B710+PARAM!$B$56)/12,Loyalty,2)*$F$1*MAX(R709,0)</f>
        <v>18.557001321003963</v>
      </c>
      <c r="Q710" s="75">
        <f>PARAM!$C$26+MAX($G$6-CHOOSE(PARAM!$B$44,MAX(0,R709*$F$1),0),0)*RATES!$L686/12+$H$6*(PARAM!$D$51/12)*RATES!$N686/100</f>
        <v>546.04166666666663</v>
      </c>
      <c r="R710" s="16">
        <f t="shared" si="459"/>
        <v>-62583.392788636615</v>
      </c>
      <c r="S710" s="15">
        <f t="shared" si="434"/>
        <v>22.170849845882874</v>
      </c>
      <c r="T710" s="75">
        <f>S710*(1-PARAM!$C$27)*$I$7+(MOD($B710,60)=PARAM!$B$56)*($B710&gt;(60-PARAM!$B$56))*HLOOKUP(($B710+PARAM!$B$56)/12,Loyalty,2)*$F$1*MAX(V709,0)</f>
        <v>18.557001321003963</v>
      </c>
      <c r="U710" s="75">
        <f>PARAM!$C$26+MAX($G$7-CHOOSE(PARAM!$B$44,MAX(0,V709*$F$1),0),0)*RATES!$L686/12+$H$7*(PARAM!$D$51/12)*RATES!$N686/100</f>
        <v>546.04166666666663</v>
      </c>
      <c r="V710" s="16">
        <f t="shared" si="460"/>
        <v>-62583.392788636615</v>
      </c>
      <c r="W710" s="15">
        <f t="shared" si="435"/>
        <v>22.170849845882874</v>
      </c>
      <c r="X710" s="75">
        <f>W710*(1-PARAM!$C$27)*$I$8+(MOD($B710,60)=PARAM!$B$56)*($B710&gt;(60-PARAM!$B$56))*HLOOKUP(($B710+PARAM!$B$56)/12,Loyalty,2)*$F$1*MAX(Z709,0)</f>
        <v>18.557001321003963</v>
      </c>
      <c r="Y710" s="75">
        <f>PARAM!$C$26+MAX($G$8-CHOOSE(PARAM!$B$44,MAX(0,Z709*$F$1),0),0)*RATES!$L686/12+$H$8*(PARAM!$D$51/12)*RATES!$N686/100</f>
        <v>546.04166666666663</v>
      </c>
      <c r="Z710" s="16">
        <f t="shared" si="461"/>
        <v>-62583.392788636615</v>
      </c>
      <c r="AA710" s="15">
        <f t="shared" si="436"/>
        <v>22.170849845882874</v>
      </c>
      <c r="AB710" s="75">
        <f>AA710*(1-PARAM!$C$27)*$I$9+(MOD($B710,60)=PARAM!$B$56)*($B710&gt;(60-PARAM!$B$56))*HLOOKUP(($B710+PARAM!$B$56)/12,Loyalty,2)*$F$1*MAX(AD709,0)</f>
        <v>18.557001321003963</v>
      </c>
      <c r="AC710" s="75">
        <f>PARAM!$C$26+MAX($G$9-CHOOSE(PARAM!$B$44,MAX(0,AD709*$F$1),0),0)*RATES!$L686/12+$H$9*(PARAM!$D$51/12)*RATES!$N686/100</f>
        <v>546.04166666666663</v>
      </c>
      <c r="AD710" s="16">
        <f t="shared" si="462"/>
        <v>-62583.392788636615</v>
      </c>
      <c r="AE710" s="15">
        <f t="shared" si="437"/>
        <v>22.170849845882874</v>
      </c>
      <c r="AF710" s="75">
        <f>AE710*(1-PARAM!$C$27)*$I$10+(MOD($B710,60)=PARAM!$B$56)*($B710&gt;(60-PARAM!$B$56))*HLOOKUP(($B710+PARAM!$B$56)/12,Loyalty,2)*$F$1*MAX(AH709,0)</f>
        <v>18.557001321003963</v>
      </c>
      <c r="AG710" s="75">
        <f>PARAM!$C$26+MAX($G$10-CHOOSE(PARAM!$B$44,MAX(0,AH709*$F$1),0),0)*RATES!$L686/12+$H$10*(PARAM!$D$51/12)*RATES!$N686/100</f>
        <v>546.04166666666663</v>
      </c>
      <c r="AH710" s="16">
        <f t="shared" si="463"/>
        <v>-62583.392788636615</v>
      </c>
      <c r="AI710" s="15">
        <f t="shared" si="438"/>
        <v>22.170849845882874</v>
      </c>
      <c r="AJ710" s="75">
        <f>AI710*(1-PARAM!$C$27)*$I$11+(MOD($B710,60)=PARAM!$B$56)*($B710&gt;(60-PARAM!$B$56))*HLOOKUP(($B710+PARAM!$B$56)/12,Loyalty,2)*$F$1*MAX(AL709,0)</f>
        <v>18.557001321003963</v>
      </c>
      <c r="AK710" s="75">
        <f>PARAM!$C$26+MAX($G$11-CHOOSE(PARAM!$B$44,MAX(0,AL709*$F$1),0),0)*RATES!$L686/12+$H$11*(PARAM!$D$51/12)*RATES!$N686/100</f>
        <v>546.04166666666663</v>
      </c>
      <c r="AL710" s="16">
        <f t="shared" si="464"/>
        <v>-62583.392788636615</v>
      </c>
      <c r="AM710" s="15">
        <f t="shared" si="439"/>
        <v>22.170849845882874</v>
      </c>
      <c r="AN710" s="75">
        <f>AM710*(1-PARAM!$C$27)*$I$12+(MOD($B710,60)=PARAM!$B$56)*($B710&gt;(60-PARAM!$B$56))*HLOOKUP(($B710+PARAM!$B$56)/12,Loyalty,2)*$F$1*MAX(AP709,0)</f>
        <v>18.557001321003963</v>
      </c>
      <c r="AO710" s="75">
        <f>PARAM!$C$26+MAX($G$12-CHOOSE(PARAM!$B$44,MAX(0,AP709*$F$1),0),0)*RATES!$L686/12+$H$12*(PARAM!$D$51/12)*RATES!$N686/100</f>
        <v>546.04166666666663</v>
      </c>
      <c r="AP710" s="16">
        <f t="shared" si="465"/>
        <v>-62583.392788636615</v>
      </c>
      <c r="AQ710" s="15">
        <f t="shared" si="440"/>
        <v>22.170849845882874</v>
      </c>
      <c r="AR710" s="75">
        <f>AQ710*(1-PARAM!$C$27)*$I$13+(MOD($B710,60)=PARAM!$B$56)*($B710&gt;(60-PARAM!$B$56))*HLOOKUP(($B710+PARAM!$B$56)/12,Loyalty,2)*$F$1*MAX(AT709,0)</f>
        <v>18.557001321003963</v>
      </c>
      <c r="AS710" s="75">
        <f>PARAM!$C$26+MAX($G$13-CHOOSE(PARAM!$B$44,MAX(0,AT709*$F$1),0),0)*RATES!$L686/12+$H$13*(PARAM!$D$51/12)*RATES!$N686/100</f>
        <v>546.04166666666663</v>
      </c>
      <c r="AT710" s="16">
        <f t="shared" si="466"/>
        <v>-62583.392788636615</v>
      </c>
      <c r="AU710" s="15">
        <f t="shared" si="441"/>
        <v>22.170849845882874</v>
      </c>
      <c r="AV710" s="75">
        <f>AU710*(1-PARAM!$C$27)*$I$14+(MOD($B710,60)=PARAM!$B$56)*($B710&gt;(60-PARAM!$B$56))*HLOOKUP(($B710+PARAM!$B$56)/12,Loyalty,2)*$F$1*MAX(AX709,0)</f>
        <v>18.557001321003963</v>
      </c>
      <c r="AW710" s="75">
        <f>PARAM!$C$26+MAX($G$14-CHOOSE(PARAM!$B$44,MAX(0,AX709*$F$1),0),0)*RATES!$L686/12+$H$14*(PARAM!$D$51/12)*RATES!$N686/100</f>
        <v>546.04166666666663</v>
      </c>
      <c r="AX710" s="16">
        <f t="shared" si="467"/>
        <v>-62583.392788636615</v>
      </c>
      <c r="AY710" s="15">
        <f t="shared" si="442"/>
        <v>22.170849845882874</v>
      </c>
      <c r="AZ710" s="75">
        <f>AY710*(1-PARAM!$C$27)*$I$15+(MOD($B710,60)=PARAM!$B$56)*($B710&gt;(60-PARAM!$B$56))*HLOOKUP(($B710+PARAM!$B$56)/12,Loyalty,2)*$F$1*MAX(BB709,0)</f>
        <v>18.557001321003963</v>
      </c>
      <c r="BA710" s="75">
        <f>PARAM!$C$26+MAX($G$15-CHOOSE(PARAM!$B$44,MAX(0,BB709*$F$1),0),0)*RATES!$L686/12+$H$15*(PARAM!$D$51/12)*RATES!$N686/100</f>
        <v>546.04166666666663</v>
      </c>
      <c r="BB710" s="16">
        <f t="shared" si="468"/>
        <v>-62583.392788636615</v>
      </c>
      <c r="BC710" s="15">
        <f t="shared" si="443"/>
        <v>22.170849845882874</v>
      </c>
      <c r="BD710" s="75">
        <f>BC710*(1-PARAM!$C$27)*$I$16+(MOD($B710,60)=PARAM!$B$56)*($B710&gt;(60-PARAM!$B$56))*HLOOKUP(($B710+PARAM!$B$56)/12,Loyalty,2)*$F$1*MAX(BF709,0)</f>
        <v>18.557001321003963</v>
      </c>
      <c r="BE710" s="75">
        <f>PARAM!$C$26+MAX($G$16-CHOOSE(PARAM!$B$44,MAX(0,BF709*$F$1),0),0)*RATES!$L686/12+$H$16*(PARAM!$D$51/12)*RATES!$N686/100</f>
        <v>546.04166666666663</v>
      </c>
      <c r="BF710" s="16">
        <f t="shared" si="469"/>
        <v>-62583.392788636615</v>
      </c>
      <c r="BG710" s="15">
        <f t="shared" si="444"/>
        <v>22.170849845882874</v>
      </c>
      <c r="BH710" s="75">
        <f>BG710*(1-PARAM!$C$27)*$I$17+(MOD($B710,60)=PARAM!$B$56)*($B710&gt;(60-PARAM!$B$56))*HLOOKUP(($B710+PARAM!$B$56)/12,Loyalty,2)*$F$1*MAX(BJ709,0)</f>
        <v>18.557001321003963</v>
      </c>
      <c r="BI710" s="75">
        <f>PARAM!$C$26+MAX($G$17-CHOOSE(PARAM!$B$44,MAX(0,BJ709*$F$1),0),0)*RATES!$L686/12+$H$17*(PARAM!$D$51/12)*RATES!$N686/100</f>
        <v>546.04166666666663</v>
      </c>
      <c r="BJ710" s="16">
        <f t="shared" si="470"/>
        <v>-62583.392788636615</v>
      </c>
      <c r="BK710" s="15">
        <f t="shared" si="445"/>
        <v>22.170849845882874</v>
      </c>
      <c r="BL710" s="75">
        <f>BK710*(1-PARAM!$C$27)*$I$18+(MOD($B710,60)=PARAM!$B$56)*($B710&gt;(60-PARAM!$B$56))*HLOOKUP(($B710+PARAM!$B$56)/12,Loyalty,2)*$F$1*MAX(BN709,0)</f>
        <v>18.557001321003963</v>
      </c>
      <c r="BM710" s="75">
        <f>PARAM!$C$26+MAX($G$18-CHOOSE(PARAM!$B$44,MAX(0,BN709*$F$1),0),0)*RATES!$L686/12+$H$18*(PARAM!$D$51/12)*RATES!$N686/100</f>
        <v>546.04166666666663</v>
      </c>
      <c r="BN710" s="16">
        <f t="shared" si="471"/>
        <v>-62583.392788636615</v>
      </c>
      <c r="BO710" s="15">
        <f t="shared" si="446"/>
        <v>22.170849845882874</v>
      </c>
      <c r="BP710" s="75">
        <f>BO710*(1-PARAM!$C$27)*$I$19+(MOD($B710,60)=PARAM!$B$56)*($B710&gt;(60-PARAM!$B$56))*HLOOKUP(($B710+PARAM!$B$56)/12,Loyalty,2)*$F$1*MAX(BR709,0)</f>
        <v>18.557001321003963</v>
      </c>
      <c r="BQ710" s="75">
        <f>PARAM!$C$26+MAX($G$19-CHOOSE(PARAM!$B$44,MAX(0,BR709*$F$1),0),0)*RATES!$L686/12+$H$19*(PARAM!$D$51/12)*RATES!$N686/100</f>
        <v>546.04166666666663</v>
      </c>
      <c r="BR710" s="16">
        <f t="shared" si="472"/>
        <v>-62583.392788636615</v>
      </c>
      <c r="BS710" s="15">
        <f t="shared" si="447"/>
        <v>22.170849845882874</v>
      </c>
      <c r="BT710" s="75">
        <f>BS710*(1-PARAM!$C$27)*$I$20+(MOD($B710,60)=PARAM!$B$56)*($B710&gt;(60-PARAM!$B$56))*HLOOKUP(($B710+PARAM!$B$56)/12,Loyalty,2)*$F$1*MAX(BV709,0)</f>
        <v>18.557001321003963</v>
      </c>
      <c r="BU710" s="75">
        <f>PARAM!$C$26+MAX($G$20-CHOOSE(PARAM!$B$44,MAX(0,BV709*$F$1),0),0)*RATES!$L686/12+$H$20*(PARAM!$D$51/12)*RATES!$N686/100</f>
        <v>546.04166666666663</v>
      </c>
      <c r="BV710" s="16">
        <f t="shared" si="473"/>
        <v>-62583.392788636615</v>
      </c>
      <c r="BW710" s="15">
        <f t="shared" si="448"/>
        <v>22.170849845882874</v>
      </c>
      <c r="BX710" s="75">
        <f>BW710*(1-PARAM!$C$27)*$I$21+(MOD($B710,60)=PARAM!$B$56)*($B710&gt;(60-PARAM!$B$56))*HLOOKUP(($B710+PARAM!$B$56)/12,Loyalty,2)*$F$1*MAX(BZ709,0)</f>
        <v>18.557001321003963</v>
      </c>
      <c r="BY710" s="75">
        <f>PARAM!$C$26+MAX($G$21-CHOOSE(PARAM!$B$44,MAX(0,BZ709*$F$1),0),0)*RATES!$L686/12+$H$21*(PARAM!$D$51/12)*RATES!$N686/100</f>
        <v>546.04166666666663</v>
      </c>
      <c r="BZ710" s="16">
        <f t="shared" si="474"/>
        <v>-62583.392788636615</v>
      </c>
      <c r="CA710" s="15">
        <f t="shared" si="449"/>
        <v>22.170849845882874</v>
      </c>
      <c r="CB710" s="75">
        <f>CA710*(1-PARAM!$C$27)*$I$22+(MOD($B710,60)=PARAM!$B$56)*($B710&gt;(60-PARAM!$B$56))*HLOOKUP(($B710+PARAM!$B$56)/12,Loyalty,2)*$F$1*MAX(CD709,0)</f>
        <v>18.557001321003963</v>
      </c>
      <c r="CC710" s="75">
        <f>PARAM!$C$26+MAX($G$22-CHOOSE(PARAM!$B$44,MAX(0,CD709*$F$1),0),0)*RATES!$L686/12+$H$22*(PARAM!$D$51/12)*RATES!$N686/100</f>
        <v>546.04166666666663</v>
      </c>
      <c r="CD710" s="16">
        <f t="shared" si="475"/>
        <v>-62583.392788636615</v>
      </c>
      <c r="CE710" s="33">
        <f>IF(0=MOD(B710,12/PARAM!$D$51),1,0)</f>
        <v>1</v>
      </c>
      <c r="CF710" s="15">
        <f t="shared" si="450"/>
        <v>0</v>
      </c>
      <c r="CG710" s="75">
        <f>CF710*(1-PARAM!$C$27)*$R$3+(MOD($B710/12,5)=0)*($B710&gt;60)*HLOOKUP($B710/12,Loyalty,2)*$F$1*MAX(CI709,0)</f>
        <v>0</v>
      </c>
      <c r="CH710" s="75">
        <f>PARAM!$C$26+MAX($P$3-CHOOSE(PARAM!$B$44,MAX(0,CI709*$F$1),0),0)*RATES!$L686/12+$Q$3*(PARAM!$D$51/12)*RATES!$N686/100</f>
        <v>546.04166666666663</v>
      </c>
      <c r="CI710" s="16">
        <f>IF(CI709&gt;0,CI709*PARAM!$C$53,CI709)+CG710-CH710</f>
        <v>-75138.250000000087</v>
      </c>
      <c r="CJ710" s="15">
        <f t="shared" si="476"/>
        <v>0</v>
      </c>
      <c r="CK710" s="75">
        <f>CJ710*(1-PARAM!$C$27)*$R$4+(MOD($B710/12,5)=0)*($B710&gt;60)*HLOOKUP($B710/12,Loyalty,2)*$F$1*MAX(CM709,0)</f>
        <v>0</v>
      </c>
      <c r="CL710" s="75">
        <f>PARAM!$C$26+MAX($P$4-CHOOSE(PARAM!$B$44,MAX(0,CM709*$F$1),0),0)*RATES!$L686/12+$Q$4*(PARAM!$D$51/12)*RATES!$N686/100</f>
        <v>546.04166666666663</v>
      </c>
      <c r="CM710" s="16">
        <f>IF(CM709&gt;0,CM709*PARAM!$C$53,CM709)+CK710-CL710</f>
        <v>-75138.250000000087</v>
      </c>
      <c r="CO710" s="176"/>
    </row>
    <row r="711" spans="1:93" x14ac:dyDescent="0.2">
      <c r="A711" t="b">
        <f t="shared" si="451"/>
        <v>0</v>
      </c>
      <c r="B711" s="33">
        <v>684</v>
      </c>
      <c r="C711" s="15">
        <f t="shared" si="452"/>
        <v>20.081305947392778</v>
      </c>
      <c r="D711" s="75">
        <f>C711*(1-PARAM!$C$27)*$I$3+(MOD($B711,60)=PARAM!$B$56)*($B711&gt;(60-PARAM!$B$56))*HLOOKUP(($B711+PARAM!$B$56)/12,Loyalty,2)*$F$1*MAX(F710,0)</f>
        <v>16.808053077967756</v>
      </c>
      <c r="E711" s="75">
        <f>PARAM!$C$26+MAX($G$3-CHOOSE(PARAM!$B$44,MAX(0,F710*$F$1),0),0)*RATES!$L687/12+$H$3*(PARAM!$D$51/12)*RATES!$N687/100</f>
        <v>546.04166666666663</v>
      </c>
      <c r="F711" s="16">
        <f t="shared" si="453"/>
        <v>-64344.008552740401</v>
      </c>
      <c r="G711" s="15">
        <f t="shared" si="454"/>
        <v>22.035289406060361</v>
      </c>
      <c r="H711" s="75">
        <f>G711*(1-PARAM!$C$27)*$I$4+(MOD($B711,60)=PARAM!$B$56)*($B711&gt;(60-PARAM!$B$56))*HLOOKUP(($B711+PARAM!$B$56)/12,Loyalty,2)*$F$1*MAX(J710,0)</f>
        <v>18.443537232872522</v>
      </c>
      <c r="I711" s="75">
        <f>PARAM!$C$26+MAX($G$4-CHOOSE(PARAM!$B$44,MAX(0,J710*$F$1),0),0)*RATES!$L687/12+$H$4*(PARAM!$D$51/12)*RATES!$N687/100</f>
        <v>546.04166666666663</v>
      </c>
      <c r="J711" s="16">
        <f t="shared" si="455"/>
        <v>-63191.504426663778</v>
      </c>
      <c r="K711" s="15">
        <f t="shared" si="456"/>
        <v>22.170849845882874</v>
      </c>
      <c r="L711" s="75">
        <f>K711*(1-PARAM!$C$27)*$I$5+(MOD($B711,60)=PARAM!$B$56)*($B711&gt;(60-PARAM!$B$56))*HLOOKUP(($B711+PARAM!$B$56)/12,Loyalty,2)*$F$1*MAX(N710,0)</f>
        <v>18.557001321003963</v>
      </c>
      <c r="M711" s="75">
        <f>PARAM!$C$26+MAX($G$5-CHOOSE(PARAM!$B$44,MAX(0,N710*$F$1),0),0)*RATES!$L687/12+$H$5*(PARAM!$D$51/12)*RATES!$N687/100</f>
        <v>546.04166666666663</v>
      </c>
      <c r="N711" s="16">
        <f t="shared" si="457"/>
        <v>-63110.877453982277</v>
      </c>
      <c r="O711" s="15">
        <f t="shared" si="458"/>
        <v>22.170849845882874</v>
      </c>
      <c r="P711" s="75">
        <f>O711*(1-PARAM!$C$27)*$I$6+(MOD($B711,60)=PARAM!$B$56)*($B711&gt;(60-PARAM!$B$56))*HLOOKUP(($B711+PARAM!$B$56)/12,Loyalty,2)*$F$1*MAX(R710,0)</f>
        <v>18.557001321003963</v>
      </c>
      <c r="Q711" s="75">
        <f>PARAM!$C$26+MAX($G$6-CHOOSE(PARAM!$B$44,MAX(0,R710*$F$1),0),0)*RATES!$L687/12+$H$6*(PARAM!$D$51/12)*RATES!$N687/100</f>
        <v>546.04166666666663</v>
      </c>
      <c r="R711" s="16">
        <f t="shared" si="459"/>
        <v>-63110.877453982277</v>
      </c>
      <c r="S711" s="15">
        <f t="shared" si="434"/>
        <v>22.170849845882874</v>
      </c>
      <c r="T711" s="75">
        <f>S711*(1-PARAM!$C$27)*$I$7+(MOD($B711,60)=PARAM!$B$56)*($B711&gt;(60-PARAM!$B$56))*HLOOKUP(($B711+PARAM!$B$56)/12,Loyalty,2)*$F$1*MAX(V710,0)</f>
        <v>18.557001321003963</v>
      </c>
      <c r="U711" s="75">
        <f>PARAM!$C$26+MAX($G$7-CHOOSE(PARAM!$B$44,MAX(0,V710*$F$1),0),0)*RATES!$L687/12+$H$7*(PARAM!$D$51/12)*RATES!$N687/100</f>
        <v>546.04166666666663</v>
      </c>
      <c r="V711" s="16">
        <f t="shared" si="460"/>
        <v>-63110.877453982277</v>
      </c>
      <c r="W711" s="15">
        <f t="shared" si="435"/>
        <v>22.170849845882874</v>
      </c>
      <c r="X711" s="75">
        <f>W711*(1-PARAM!$C$27)*$I$8+(MOD($B711,60)=PARAM!$B$56)*($B711&gt;(60-PARAM!$B$56))*HLOOKUP(($B711+PARAM!$B$56)/12,Loyalty,2)*$F$1*MAX(Z710,0)</f>
        <v>18.557001321003963</v>
      </c>
      <c r="Y711" s="75">
        <f>PARAM!$C$26+MAX($G$8-CHOOSE(PARAM!$B$44,MAX(0,Z710*$F$1),0),0)*RATES!$L687/12+$H$8*(PARAM!$D$51/12)*RATES!$N687/100</f>
        <v>546.04166666666663</v>
      </c>
      <c r="Z711" s="16">
        <f t="shared" si="461"/>
        <v>-63110.877453982277</v>
      </c>
      <c r="AA711" s="15">
        <f t="shared" si="436"/>
        <v>22.170849845882874</v>
      </c>
      <c r="AB711" s="75">
        <f>AA711*(1-PARAM!$C$27)*$I$9+(MOD($B711,60)=PARAM!$B$56)*($B711&gt;(60-PARAM!$B$56))*HLOOKUP(($B711+PARAM!$B$56)/12,Loyalty,2)*$F$1*MAX(AD710,0)</f>
        <v>18.557001321003963</v>
      </c>
      <c r="AC711" s="75">
        <f>PARAM!$C$26+MAX($G$9-CHOOSE(PARAM!$B$44,MAX(0,AD710*$F$1),0),0)*RATES!$L687/12+$H$9*(PARAM!$D$51/12)*RATES!$N687/100</f>
        <v>546.04166666666663</v>
      </c>
      <c r="AD711" s="16">
        <f t="shared" si="462"/>
        <v>-63110.877453982277</v>
      </c>
      <c r="AE711" s="15">
        <f t="shared" si="437"/>
        <v>22.170849845882874</v>
      </c>
      <c r="AF711" s="75">
        <f>AE711*(1-PARAM!$C$27)*$I$10+(MOD($B711,60)=PARAM!$B$56)*($B711&gt;(60-PARAM!$B$56))*HLOOKUP(($B711+PARAM!$B$56)/12,Loyalty,2)*$F$1*MAX(AH710,0)</f>
        <v>18.557001321003963</v>
      </c>
      <c r="AG711" s="75">
        <f>PARAM!$C$26+MAX($G$10-CHOOSE(PARAM!$B$44,MAX(0,AH710*$F$1),0),0)*RATES!$L687/12+$H$10*(PARAM!$D$51/12)*RATES!$N687/100</f>
        <v>546.04166666666663</v>
      </c>
      <c r="AH711" s="16">
        <f t="shared" si="463"/>
        <v>-63110.877453982277</v>
      </c>
      <c r="AI711" s="15">
        <f t="shared" si="438"/>
        <v>22.170849845882874</v>
      </c>
      <c r="AJ711" s="75">
        <f>AI711*(1-PARAM!$C$27)*$I$11+(MOD($B711,60)=PARAM!$B$56)*($B711&gt;(60-PARAM!$B$56))*HLOOKUP(($B711+PARAM!$B$56)/12,Loyalty,2)*$F$1*MAX(AL710,0)</f>
        <v>18.557001321003963</v>
      </c>
      <c r="AK711" s="75">
        <f>PARAM!$C$26+MAX($G$11-CHOOSE(PARAM!$B$44,MAX(0,AL710*$F$1),0),0)*RATES!$L687/12+$H$11*(PARAM!$D$51/12)*RATES!$N687/100</f>
        <v>546.04166666666663</v>
      </c>
      <c r="AL711" s="16">
        <f t="shared" si="464"/>
        <v>-63110.877453982277</v>
      </c>
      <c r="AM711" s="15">
        <f t="shared" si="439"/>
        <v>22.170849845882874</v>
      </c>
      <c r="AN711" s="75">
        <f>AM711*(1-PARAM!$C$27)*$I$12+(MOD($B711,60)=PARAM!$B$56)*($B711&gt;(60-PARAM!$B$56))*HLOOKUP(($B711+PARAM!$B$56)/12,Loyalty,2)*$F$1*MAX(AP710,0)</f>
        <v>18.557001321003963</v>
      </c>
      <c r="AO711" s="75">
        <f>PARAM!$C$26+MAX($G$12-CHOOSE(PARAM!$B$44,MAX(0,AP710*$F$1),0),0)*RATES!$L687/12+$H$12*(PARAM!$D$51/12)*RATES!$N687/100</f>
        <v>546.04166666666663</v>
      </c>
      <c r="AP711" s="16">
        <f t="shared" si="465"/>
        <v>-63110.877453982277</v>
      </c>
      <c r="AQ711" s="15">
        <f t="shared" si="440"/>
        <v>22.170849845882874</v>
      </c>
      <c r="AR711" s="75">
        <f>AQ711*(1-PARAM!$C$27)*$I$13+(MOD($B711,60)=PARAM!$B$56)*($B711&gt;(60-PARAM!$B$56))*HLOOKUP(($B711+PARAM!$B$56)/12,Loyalty,2)*$F$1*MAX(AT710,0)</f>
        <v>18.557001321003963</v>
      </c>
      <c r="AS711" s="75">
        <f>PARAM!$C$26+MAX($G$13-CHOOSE(PARAM!$B$44,MAX(0,AT710*$F$1),0),0)*RATES!$L687/12+$H$13*(PARAM!$D$51/12)*RATES!$N687/100</f>
        <v>546.04166666666663</v>
      </c>
      <c r="AT711" s="16">
        <f t="shared" si="466"/>
        <v>-63110.877453982277</v>
      </c>
      <c r="AU711" s="15">
        <f t="shared" si="441"/>
        <v>22.170849845882874</v>
      </c>
      <c r="AV711" s="75">
        <f>AU711*(1-PARAM!$C$27)*$I$14+(MOD($B711,60)=PARAM!$B$56)*($B711&gt;(60-PARAM!$B$56))*HLOOKUP(($B711+PARAM!$B$56)/12,Loyalty,2)*$F$1*MAX(AX710,0)</f>
        <v>18.557001321003963</v>
      </c>
      <c r="AW711" s="75">
        <f>PARAM!$C$26+MAX($G$14-CHOOSE(PARAM!$B$44,MAX(0,AX710*$F$1),0),0)*RATES!$L687/12+$H$14*(PARAM!$D$51/12)*RATES!$N687/100</f>
        <v>546.04166666666663</v>
      </c>
      <c r="AX711" s="16">
        <f t="shared" si="467"/>
        <v>-63110.877453982277</v>
      </c>
      <c r="AY711" s="15">
        <f t="shared" si="442"/>
        <v>22.170849845882874</v>
      </c>
      <c r="AZ711" s="75">
        <f>AY711*(1-PARAM!$C$27)*$I$15+(MOD($B711,60)=PARAM!$B$56)*($B711&gt;(60-PARAM!$B$56))*HLOOKUP(($B711+PARAM!$B$56)/12,Loyalty,2)*$F$1*MAX(BB710,0)</f>
        <v>18.557001321003963</v>
      </c>
      <c r="BA711" s="75">
        <f>PARAM!$C$26+MAX($G$15-CHOOSE(PARAM!$B$44,MAX(0,BB710*$F$1),0),0)*RATES!$L687/12+$H$15*(PARAM!$D$51/12)*RATES!$N687/100</f>
        <v>546.04166666666663</v>
      </c>
      <c r="BB711" s="16">
        <f t="shared" si="468"/>
        <v>-63110.877453982277</v>
      </c>
      <c r="BC711" s="15">
        <f t="shared" si="443"/>
        <v>22.170849845882874</v>
      </c>
      <c r="BD711" s="75">
        <f>BC711*(1-PARAM!$C$27)*$I$16+(MOD($B711,60)=PARAM!$B$56)*($B711&gt;(60-PARAM!$B$56))*HLOOKUP(($B711+PARAM!$B$56)/12,Loyalty,2)*$F$1*MAX(BF710,0)</f>
        <v>18.557001321003963</v>
      </c>
      <c r="BE711" s="75">
        <f>PARAM!$C$26+MAX($G$16-CHOOSE(PARAM!$B$44,MAX(0,BF710*$F$1),0),0)*RATES!$L687/12+$H$16*(PARAM!$D$51/12)*RATES!$N687/100</f>
        <v>546.04166666666663</v>
      </c>
      <c r="BF711" s="16">
        <f t="shared" si="469"/>
        <v>-63110.877453982277</v>
      </c>
      <c r="BG711" s="15">
        <f t="shared" si="444"/>
        <v>22.170849845882874</v>
      </c>
      <c r="BH711" s="75">
        <f>BG711*(1-PARAM!$C$27)*$I$17+(MOD($B711,60)=PARAM!$B$56)*($B711&gt;(60-PARAM!$B$56))*HLOOKUP(($B711+PARAM!$B$56)/12,Loyalty,2)*$F$1*MAX(BJ710,0)</f>
        <v>18.557001321003963</v>
      </c>
      <c r="BI711" s="75">
        <f>PARAM!$C$26+MAX($G$17-CHOOSE(PARAM!$B$44,MAX(0,BJ710*$F$1),0),0)*RATES!$L687/12+$H$17*(PARAM!$D$51/12)*RATES!$N687/100</f>
        <v>546.04166666666663</v>
      </c>
      <c r="BJ711" s="16">
        <f t="shared" si="470"/>
        <v>-63110.877453982277</v>
      </c>
      <c r="BK711" s="15">
        <f t="shared" si="445"/>
        <v>22.170849845882874</v>
      </c>
      <c r="BL711" s="75">
        <f>BK711*(1-PARAM!$C$27)*$I$18+(MOD($B711,60)=PARAM!$B$56)*($B711&gt;(60-PARAM!$B$56))*HLOOKUP(($B711+PARAM!$B$56)/12,Loyalty,2)*$F$1*MAX(BN710,0)</f>
        <v>18.557001321003963</v>
      </c>
      <c r="BM711" s="75">
        <f>PARAM!$C$26+MAX($G$18-CHOOSE(PARAM!$B$44,MAX(0,BN710*$F$1),0),0)*RATES!$L687/12+$H$18*(PARAM!$D$51/12)*RATES!$N687/100</f>
        <v>546.04166666666663</v>
      </c>
      <c r="BN711" s="16">
        <f t="shared" si="471"/>
        <v>-63110.877453982277</v>
      </c>
      <c r="BO711" s="15">
        <f t="shared" si="446"/>
        <v>22.170849845882874</v>
      </c>
      <c r="BP711" s="75">
        <f>BO711*(1-PARAM!$C$27)*$I$19+(MOD($B711,60)=PARAM!$B$56)*($B711&gt;(60-PARAM!$B$56))*HLOOKUP(($B711+PARAM!$B$56)/12,Loyalty,2)*$F$1*MAX(BR710,0)</f>
        <v>18.557001321003963</v>
      </c>
      <c r="BQ711" s="75">
        <f>PARAM!$C$26+MAX($G$19-CHOOSE(PARAM!$B$44,MAX(0,BR710*$F$1),0),0)*RATES!$L687/12+$H$19*(PARAM!$D$51/12)*RATES!$N687/100</f>
        <v>546.04166666666663</v>
      </c>
      <c r="BR711" s="16">
        <f t="shared" si="472"/>
        <v>-63110.877453982277</v>
      </c>
      <c r="BS711" s="15">
        <f t="shared" si="447"/>
        <v>22.170849845882874</v>
      </c>
      <c r="BT711" s="75">
        <f>BS711*(1-PARAM!$C$27)*$I$20+(MOD($B711,60)=PARAM!$B$56)*($B711&gt;(60-PARAM!$B$56))*HLOOKUP(($B711+PARAM!$B$56)/12,Loyalty,2)*$F$1*MAX(BV710,0)</f>
        <v>18.557001321003963</v>
      </c>
      <c r="BU711" s="75">
        <f>PARAM!$C$26+MAX($G$20-CHOOSE(PARAM!$B$44,MAX(0,BV710*$F$1),0),0)*RATES!$L687/12+$H$20*(PARAM!$D$51/12)*RATES!$N687/100</f>
        <v>546.04166666666663</v>
      </c>
      <c r="BV711" s="16">
        <f t="shared" si="473"/>
        <v>-63110.877453982277</v>
      </c>
      <c r="BW711" s="15">
        <f t="shared" si="448"/>
        <v>22.170849845882874</v>
      </c>
      <c r="BX711" s="75">
        <f>BW711*(1-PARAM!$C$27)*$I$21+(MOD($B711,60)=PARAM!$B$56)*($B711&gt;(60-PARAM!$B$56))*HLOOKUP(($B711+PARAM!$B$56)/12,Loyalty,2)*$F$1*MAX(BZ710,0)</f>
        <v>18.557001321003963</v>
      </c>
      <c r="BY711" s="75">
        <f>PARAM!$C$26+MAX($G$21-CHOOSE(PARAM!$B$44,MAX(0,BZ710*$F$1),0),0)*RATES!$L687/12+$H$21*(PARAM!$D$51/12)*RATES!$N687/100</f>
        <v>546.04166666666663</v>
      </c>
      <c r="BZ711" s="16">
        <f t="shared" si="474"/>
        <v>-63110.877453982277</v>
      </c>
      <c r="CA711" s="15">
        <f t="shared" si="449"/>
        <v>22.170849845882874</v>
      </c>
      <c r="CB711" s="75">
        <f>CA711*(1-PARAM!$C$27)*$I$22+(MOD($B711,60)=PARAM!$B$56)*($B711&gt;(60-PARAM!$B$56))*HLOOKUP(($B711+PARAM!$B$56)/12,Loyalty,2)*$F$1*MAX(CD710,0)</f>
        <v>18.557001321003963</v>
      </c>
      <c r="CC711" s="75">
        <f>PARAM!$C$26+MAX($G$22-CHOOSE(PARAM!$B$44,MAX(0,CD710*$F$1),0),0)*RATES!$L687/12+$H$22*(PARAM!$D$51/12)*RATES!$N687/100</f>
        <v>546.04166666666663</v>
      </c>
      <c r="CD711" s="16">
        <f t="shared" si="475"/>
        <v>-63110.877453982277</v>
      </c>
      <c r="CE711" s="33">
        <f>IF(0=MOD(B711,12/PARAM!$D$51),1,0)</f>
        <v>1</v>
      </c>
      <c r="CF711" s="15">
        <f t="shared" si="450"/>
        <v>0</v>
      </c>
      <c r="CG711" s="75">
        <f>CF711*(1-PARAM!$C$27)*$R$3+(MOD($B711/12,5)=0)*($B711&gt;60)*HLOOKUP($B711/12,Loyalty,2)*$F$1*MAX(CI710,0)</f>
        <v>0</v>
      </c>
      <c r="CH711" s="75">
        <f>PARAM!$C$26+MAX($P$3-CHOOSE(PARAM!$B$44,MAX(0,CI710*$F$1),0),0)*RATES!$L687/12+$Q$3*(PARAM!$D$51/12)*RATES!$N687/100</f>
        <v>546.04166666666663</v>
      </c>
      <c r="CI711" s="16">
        <f>IF(CI710&gt;0,CI710*PARAM!$C$53,CI710)+CG711-CH711</f>
        <v>-75684.291666666759</v>
      </c>
      <c r="CJ711" s="15">
        <f t="shared" si="476"/>
        <v>0</v>
      </c>
      <c r="CK711" s="75">
        <f>CJ711*(1-PARAM!$C$27)*$R$4+(MOD($B711/12,5)=0)*($B711&gt;60)*HLOOKUP($B711/12,Loyalty,2)*$F$1*MAX(CM710,0)</f>
        <v>0</v>
      </c>
      <c r="CL711" s="75">
        <f>PARAM!$C$26+MAX($P$4-CHOOSE(PARAM!$B$44,MAX(0,CM710*$F$1),0),0)*RATES!$L687/12+$Q$4*(PARAM!$D$51/12)*RATES!$N687/100</f>
        <v>546.04166666666663</v>
      </c>
      <c r="CM711" s="16">
        <f>IF(CM710&gt;0,CM710*PARAM!$C$53,CM710)+CK711-CL711</f>
        <v>-75684.291666666759</v>
      </c>
      <c r="CO711" s="176"/>
    </row>
    <row r="712" spans="1:93" x14ac:dyDescent="0.2">
      <c r="A712" t="b">
        <f t="shared" si="451"/>
        <v>0</v>
      </c>
      <c r="B712" s="33">
        <v>685</v>
      </c>
      <c r="C712" s="15">
        <f t="shared" si="452"/>
        <v>20.081305947392778</v>
      </c>
      <c r="D712" s="75">
        <f>C712*(1-PARAM!$C$27)*$I$3+(MOD($B712,60)=PARAM!$B$56)*($B712&gt;(60-PARAM!$B$56))*HLOOKUP(($B712+PARAM!$B$56)/12,Loyalty,2)*$F$1*MAX(F711,0)</f>
        <v>16.808053077967756</v>
      </c>
      <c r="E712" s="75">
        <f>PARAM!$C$26+MAX($G$3-CHOOSE(PARAM!$B$44,MAX(0,F711*$F$1),0),0)*RATES!$L688/12+$H$3*(PARAM!$D$51/12)*RATES!$N688/100</f>
        <v>546.04166666666663</v>
      </c>
      <c r="F712" s="16">
        <f t="shared" si="453"/>
        <v>-64873.242166329095</v>
      </c>
      <c r="G712" s="15">
        <f t="shared" si="454"/>
        <v>22.035289406060361</v>
      </c>
      <c r="H712" s="75">
        <f>G712*(1-PARAM!$C$27)*$I$4+(MOD($B712,60)=PARAM!$B$56)*($B712&gt;(60-PARAM!$B$56))*HLOOKUP(($B712+PARAM!$B$56)/12,Loyalty,2)*$F$1*MAX(J711,0)</f>
        <v>18.443537232872522</v>
      </c>
      <c r="I712" s="75">
        <f>PARAM!$C$26+MAX($G$4-CHOOSE(PARAM!$B$44,MAX(0,J711*$F$1),0),0)*RATES!$L688/12+$H$4*(PARAM!$D$51/12)*RATES!$N688/100</f>
        <v>546.04166666666663</v>
      </c>
      <c r="J712" s="16">
        <f t="shared" si="455"/>
        <v>-63719.102556097569</v>
      </c>
      <c r="K712" s="15">
        <f t="shared" si="456"/>
        <v>22.170849845882874</v>
      </c>
      <c r="L712" s="75">
        <f>K712*(1-PARAM!$C$27)*$I$5+(MOD($B712,60)=PARAM!$B$56)*($B712&gt;(60-PARAM!$B$56))*HLOOKUP(($B712+PARAM!$B$56)/12,Loyalty,2)*$F$1*MAX(N711,0)</f>
        <v>18.557001321003963</v>
      </c>
      <c r="M712" s="75">
        <f>PARAM!$C$26+MAX($G$5-CHOOSE(PARAM!$B$44,MAX(0,N711*$F$1),0),0)*RATES!$L688/12+$H$5*(PARAM!$D$51/12)*RATES!$N688/100</f>
        <v>546.04166666666663</v>
      </c>
      <c r="N712" s="16">
        <f t="shared" si="457"/>
        <v>-63638.36211932794</v>
      </c>
      <c r="O712" s="15">
        <f t="shared" si="458"/>
        <v>22.170849845882874</v>
      </c>
      <c r="P712" s="75">
        <f>O712*(1-PARAM!$C$27)*$I$6+(MOD($B712,60)=PARAM!$B$56)*($B712&gt;(60-PARAM!$B$56))*HLOOKUP(($B712+PARAM!$B$56)/12,Loyalty,2)*$F$1*MAX(R711,0)</f>
        <v>18.557001321003963</v>
      </c>
      <c r="Q712" s="75">
        <f>PARAM!$C$26+MAX($G$6-CHOOSE(PARAM!$B$44,MAX(0,R711*$F$1),0),0)*RATES!$L688/12+$H$6*(PARAM!$D$51/12)*RATES!$N688/100</f>
        <v>546.04166666666663</v>
      </c>
      <c r="R712" s="16">
        <f t="shared" si="459"/>
        <v>-63638.36211932794</v>
      </c>
      <c r="S712" s="15">
        <f t="shared" si="434"/>
        <v>22.170849845882874</v>
      </c>
      <c r="T712" s="75">
        <f>S712*(1-PARAM!$C$27)*$I$7+(MOD($B712,60)=PARAM!$B$56)*($B712&gt;(60-PARAM!$B$56))*HLOOKUP(($B712+PARAM!$B$56)/12,Loyalty,2)*$F$1*MAX(V711,0)</f>
        <v>18.557001321003963</v>
      </c>
      <c r="U712" s="75">
        <f>PARAM!$C$26+MAX($G$7-CHOOSE(PARAM!$B$44,MAX(0,V711*$F$1),0),0)*RATES!$L688/12+$H$7*(PARAM!$D$51/12)*RATES!$N688/100</f>
        <v>546.04166666666663</v>
      </c>
      <c r="V712" s="16">
        <f t="shared" si="460"/>
        <v>-63638.36211932794</v>
      </c>
      <c r="W712" s="15">
        <f t="shared" si="435"/>
        <v>22.170849845882874</v>
      </c>
      <c r="X712" s="75">
        <f>W712*(1-PARAM!$C$27)*$I$8+(MOD($B712,60)=PARAM!$B$56)*($B712&gt;(60-PARAM!$B$56))*HLOOKUP(($B712+PARAM!$B$56)/12,Loyalty,2)*$F$1*MAX(Z711,0)</f>
        <v>18.557001321003963</v>
      </c>
      <c r="Y712" s="75">
        <f>PARAM!$C$26+MAX($G$8-CHOOSE(PARAM!$B$44,MAX(0,Z711*$F$1),0),0)*RATES!$L688/12+$H$8*(PARAM!$D$51/12)*RATES!$N688/100</f>
        <v>546.04166666666663</v>
      </c>
      <c r="Z712" s="16">
        <f t="shared" si="461"/>
        <v>-63638.36211932794</v>
      </c>
      <c r="AA712" s="15">
        <f t="shared" si="436"/>
        <v>22.170849845882874</v>
      </c>
      <c r="AB712" s="75">
        <f>AA712*(1-PARAM!$C$27)*$I$9+(MOD($B712,60)=PARAM!$B$56)*($B712&gt;(60-PARAM!$B$56))*HLOOKUP(($B712+PARAM!$B$56)/12,Loyalty,2)*$F$1*MAX(AD711,0)</f>
        <v>18.557001321003963</v>
      </c>
      <c r="AC712" s="75">
        <f>PARAM!$C$26+MAX($G$9-CHOOSE(PARAM!$B$44,MAX(0,AD711*$F$1),0),0)*RATES!$L688/12+$H$9*(PARAM!$D$51/12)*RATES!$N688/100</f>
        <v>546.04166666666663</v>
      </c>
      <c r="AD712" s="16">
        <f t="shared" si="462"/>
        <v>-63638.36211932794</v>
      </c>
      <c r="AE712" s="15">
        <f t="shared" si="437"/>
        <v>22.170849845882874</v>
      </c>
      <c r="AF712" s="75">
        <f>AE712*(1-PARAM!$C$27)*$I$10+(MOD($B712,60)=PARAM!$B$56)*($B712&gt;(60-PARAM!$B$56))*HLOOKUP(($B712+PARAM!$B$56)/12,Loyalty,2)*$F$1*MAX(AH711,0)</f>
        <v>18.557001321003963</v>
      </c>
      <c r="AG712" s="75">
        <f>PARAM!$C$26+MAX($G$10-CHOOSE(PARAM!$B$44,MAX(0,AH711*$F$1),0),0)*RATES!$L688/12+$H$10*(PARAM!$D$51/12)*RATES!$N688/100</f>
        <v>546.04166666666663</v>
      </c>
      <c r="AH712" s="16">
        <f t="shared" si="463"/>
        <v>-63638.36211932794</v>
      </c>
      <c r="AI712" s="15">
        <f t="shared" si="438"/>
        <v>22.170849845882874</v>
      </c>
      <c r="AJ712" s="75">
        <f>AI712*(1-PARAM!$C$27)*$I$11+(MOD($B712,60)=PARAM!$B$56)*($B712&gt;(60-PARAM!$B$56))*HLOOKUP(($B712+PARAM!$B$56)/12,Loyalty,2)*$F$1*MAX(AL711,0)</f>
        <v>18.557001321003963</v>
      </c>
      <c r="AK712" s="75">
        <f>PARAM!$C$26+MAX($G$11-CHOOSE(PARAM!$B$44,MAX(0,AL711*$F$1),0),0)*RATES!$L688/12+$H$11*(PARAM!$D$51/12)*RATES!$N688/100</f>
        <v>546.04166666666663</v>
      </c>
      <c r="AL712" s="16">
        <f t="shared" si="464"/>
        <v>-63638.36211932794</v>
      </c>
      <c r="AM712" s="15">
        <f t="shared" si="439"/>
        <v>22.170849845882874</v>
      </c>
      <c r="AN712" s="75">
        <f>AM712*(1-PARAM!$C$27)*$I$12+(MOD($B712,60)=PARAM!$B$56)*($B712&gt;(60-PARAM!$B$56))*HLOOKUP(($B712+PARAM!$B$56)/12,Loyalty,2)*$F$1*MAX(AP711,0)</f>
        <v>18.557001321003963</v>
      </c>
      <c r="AO712" s="75">
        <f>PARAM!$C$26+MAX($G$12-CHOOSE(PARAM!$B$44,MAX(0,AP711*$F$1),0),0)*RATES!$L688/12+$H$12*(PARAM!$D$51/12)*RATES!$N688/100</f>
        <v>546.04166666666663</v>
      </c>
      <c r="AP712" s="16">
        <f t="shared" si="465"/>
        <v>-63638.36211932794</v>
      </c>
      <c r="AQ712" s="15">
        <f t="shared" si="440"/>
        <v>22.170849845882874</v>
      </c>
      <c r="AR712" s="75">
        <f>AQ712*(1-PARAM!$C$27)*$I$13+(MOD($B712,60)=PARAM!$B$56)*($B712&gt;(60-PARAM!$B$56))*HLOOKUP(($B712+PARAM!$B$56)/12,Loyalty,2)*$F$1*MAX(AT711,0)</f>
        <v>18.557001321003963</v>
      </c>
      <c r="AS712" s="75">
        <f>PARAM!$C$26+MAX($G$13-CHOOSE(PARAM!$B$44,MAX(0,AT711*$F$1),0),0)*RATES!$L688/12+$H$13*(PARAM!$D$51/12)*RATES!$N688/100</f>
        <v>546.04166666666663</v>
      </c>
      <c r="AT712" s="16">
        <f t="shared" si="466"/>
        <v>-63638.36211932794</v>
      </c>
      <c r="AU712" s="15">
        <f t="shared" si="441"/>
        <v>22.170849845882874</v>
      </c>
      <c r="AV712" s="75">
        <f>AU712*(1-PARAM!$C$27)*$I$14+(MOD($B712,60)=PARAM!$B$56)*($B712&gt;(60-PARAM!$B$56))*HLOOKUP(($B712+PARAM!$B$56)/12,Loyalty,2)*$F$1*MAX(AX711,0)</f>
        <v>18.557001321003963</v>
      </c>
      <c r="AW712" s="75">
        <f>PARAM!$C$26+MAX($G$14-CHOOSE(PARAM!$B$44,MAX(0,AX711*$F$1),0),0)*RATES!$L688/12+$H$14*(PARAM!$D$51/12)*RATES!$N688/100</f>
        <v>546.04166666666663</v>
      </c>
      <c r="AX712" s="16">
        <f t="shared" si="467"/>
        <v>-63638.36211932794</v>
      </c>
      <c r="AY712" s="15">
        <f t="shared" si="442"/>
        <v>22.170849845882874</v>
      </c>
      <c r="AZ712" s="75">
        <f>AY712*(1-PARAM!$C$27)*$I$15+(MOD($B712,60)=PARAM!$B$56)*($B712&gt;(60-PARAM!$B$56))*HLOOKUP(($B712+PARAM!$B$56)/12,Loyalty,2)*$F$1*MAX(BB711,0)</f>
        <v>18.557001321003963</v>
      </c>
      <c r="BA712" s="75">
        <f>PARAM!$C$26+MAX($G$15-CHOOSE(PARAM!$B$44,MAX(0,BB711*$F$1),0),0)*RATES!$L688/12+$H$15*(PARAM!$D$51/12)*RATES!$N688/100</f>
        <v>546.04166666666663</v>
      </c>
      <c r="BB712" s="16">
        <f t="shared" si="468"/>
        <v>-63638.36211932794</v>
      </c>
      <c r="BC712" s="15">
        <f t="shared" si="443"/>
        <v>22.170849845882874</v>
      </c>
      <c r="BD712" s="75">
        <f>BC712*(1-PARAM!$C$27)*$I$16+(MOD($B712,60)=PARAM!$B$56)*($B712&gt;(60-PARAM!$B$56))*HLOOKUP(($B712+PARAM!$B$56)/12,Loyalty,2)*$F$1*MAX(BF711,0)</f>
        <v>18.557001321003963</v>
      </c>
      <c r="BE712" s="75">
        <f>PARAM!$C$26+MAX($G$16-CHOOSE(PARAM!$B$44,MAX(0,BF711*$F$1),0),0)*RATES!$L688/12+$H$16*(PARAM!$D$51/12)*RATES!$N688/100</f>
        <v>546.04166666666663</v>
      </c>
      <c r="BF712" s="16">
        <f t="shared" si="469"/>
        <v>-63638.36211932794</v>
      </c>
      <c r="BG712" s="15">
        <f t="shared" si="444"/>
        <v>22.170849845882874</v>
      </c>
      <c r="BH712" s="75">
        <f>BG712*(1-PARAM!$C$27)*$I$17+(MOD($B712,60)=PARAM!$B$56)*($B712&gt;(60-PARAM!$B$56))*HLOOKUP(($B712+PARAM!$B$56)/12,Loyalty,2)*$F$1*MAX(BJ711,0)</f>
        <v>18.557001321003963</v>
      </c>
      <c r="BI712" s="75">
        <f>PARAM!$C$26+MAX($G$17-CHOOSE(PARAM!$B$44,MAX(0,BJ711*$F$1),0),0)*RATES!$L688/12+$H$17*(PARAM!$D$51/12)*RATES!$N688/100</f>
        <v>546.04166666666663</v>
      </c>
      <c r="BJ712" s="16">
        <f t="shared" si="470"/>
        <v>-63638.36211932794</v>
      </c>
      <c r="BK712" s="15">
        <f t="shared" si="445"/>
        <v>22.170849845882874</v>
      </c>
      <c r="BL712" s="75">
        <f>BK712*(1-PARAM!$C$27)*$I$18+(MOD($B712,60)=PARAM!$B$56)*($B712&gt;(60-PARAM!$B$56))*HLOOKUP(($B712+PARAM!$B$56)/12,Loyalty,2)*$F$1*MAX(BN711,0)</f>
        <v>18.557001321003963</v>
      </c>
      <c r="BM712" s="75">
        <f>PARAM!$C$26+MAX($G$18-CHOOSE(PARAM!$B$44,MAX(0,BN711*$F$1),0),0)*RATES!$L688/12+$H$18*(PARAM!$D$51/12)*RATES!$N688/100</f>
        <v>546.04166666666663</v>
      </c>
      <c r="BN712" s="16">
        <f t="shared" si="471"/>
        <v>-63638.36211932794</v>
      </c>
      <c r="BO712" s="15">
        <f t="shared" si="446"/>
        <v>22.170849845882874</v>
      </c>
      <c r="BP712" s="75">
        <f>BO712*(1-PARAM!$C$27)*$I$19+(MOD($B712,60)=PARAM!$B$56)*($B712&gt;(60-PARAM!$B$56))*HLOOKUP(($B712+PARAM!$B$56)/12,Loyalty,2)*$F$1*MAX(BR711,0)</f>
        <v>18.557001321003963</v>
      </c>
      <c r="BQ712" s="75">
        <f>PARAM!$C$26+MAX($G$19-CHOOSE(PARAM!$B$44,MAX(0,BR711*$F$1),0),0)*RATES!$L688/12+$H$19*(PARAM!$D$51/12)*RATES!$N688/100</f>
        <v>546.04166666666663</v>
      </c>
      <c r="BR712" s="16">
        <f t="shared" si="472"/>
        <v>-63638.36211932794</v>
      </c>
      <c r="BS712" s="15">
        <f t="shared" si="447"/>
        <v>22.170849845882874</v>
      </c>
      <c r="BT712" s="75">
        <f>BS712*(1-PARAM!$C$27)*$I$20+(MOD($B712,60)=PARAM!$B$56)*($B712&gt;(60-PARAM!$B$56))*HLOOKUP(($B712+PARAM!$B$56)/12,Loyalty,2)*$F$1*MAX(BV711,0)</f>
        <v>18.557001321003963</v>
      </c>
      <c r="BU712" s="75">
        <f>PARAM!$C$26+MAX($G$20-CHOOSE(PARAM!$B$44,MAX(0,BV711*$F$1),0),0)*RATES!$L688/12+$H$20*(PARAM!$D$51/12)*RATES!$N688/100</f>
        <v>546.04166666666663</v>
      </c>
      <c r="BV712" s="16">
        <f t="shared" si="473"/>
        <v>-63638.36211932794</v>
      </c>
      <c r="BW712" s="15">
        <f t="shared" si="448"/>
        <v>22.170849845882874</v>
      </c>
      <c r="BX712" s="75">
        <f>BW712*(1-PARAM!$C$27)*$I$21+(MOD($B712,60)=PARAM!$B$56)*($B712&gt;(60-PARAM!$B$56))*HLOOKUP(($B712+PARAM!$B$56)/12,Loyalty,2)*$F$1*MAX(BZ711,0)</f>
        <v>18.557001321003963</v>
      </c>
      <c r="BY712" s="75">
        <f>PARAM!$C$26+MAX($G$21-CHOOSE(PARAM!$B$44,MAX(0,BZ711*$F$1),0),0)*RATES!$L688/12+$H$21*(PARAM!$D$51/12)*RATES!$N688/100</f>
        <v>546.04166666666663</v>
      </c>
      <c r="BZ712" s="16">
        <f t="shared" si="474"/>
        <v>-63638.36211932794</v>
      </c>
      <c r="CA712" s="15">
        <f t="shared" si="449"/>
        <v>22.170849845882874</v>
      </c>
      <c r="CB712" s="75">
        <f>CA712*(1-PARAM!$C$27)*$I$22+(MOD($B712,60)=PARAM!$B$56)*($B712&gt;(60-PARAM!$B$56))*HLOOKUP(($B712+PARAM!$B$56)/12,Loyalty,2)*$F$1*MAX(CD711,0)</f>
        <v>18.557001321003963</v>
      </c>
      <c r="CC712" s="75">
        <f>PARAM!$C$26+MAX($G$22-CHOOSE(PARAM!$B$44,MAX(0,CD711*$F$1),0),0)*RATES!$L688/12+$H$22*(PARAM!$D$51/12)*RATES!$N688/100</f>
        <v>546.04166666666663</v>
      </c>
      <c r="CD712" s="16">
        <f t="shared" si="475"/>
        <v>-63638.36211932794</v>
      </c>
      <c r="CE712" s="33">
        <f>IF(0=MOD(B712,12/PARAM!$D$51),1,0)</f>
        <v>1</v>
      </c>
      <c r="CF712" s="15">
        <f t="shared" si="450"/>
        <v>0</v>
      </c>
      <c r="CG712" s="75">
        <f>CF712*(1-PARAM!$C$27)*$R$3+(MOD($B712/12,5)=0)*($B712&gt;60)*HLOOKUP($B712/12,Loyalty,2)*$F$1*MAX(CI711,0)</f>
        <v>0</v>
      </c>
      <c r="CH712" s="75">
        <f>PARAM!$C$26+MAX($P$3-CHOOSE(PARAM!$B$44,MAX(0,CI711*$F$1),0),0)*RATES!$L688/12+$Q$3*(PARAM!$D$51/12)*RATES!$N688/100</f>
        <v>546.04166666666663</v>
      </c>
      <c r="CI712" s="16">
        <f>IF(CI711&gt;0,CI711*PARAM!$C$53,CI711)+CG712-CH712</f>
        <v>-76230.33333333343</v>
      </c>
      <c r="CJ712" s="15">
        <f t="shared" si="476"/>
        <v>0</v>
      </c>
      <c r="CK712" s="75">
        <f>CJ712*(1-PARAM!$C$27)*$R$4+(MOD($B712/12,5)=0)*($B712&gt;60)*HLOOKUP($B712/12,Loyalty,2)*$F$1*MAX(CM711,0)</f>
        <v>0</v>
      </c>
      <c r="CL712" s="75">
        <f>PARAM!$C$26+MAX($P$4-CHOOSE(PARAM!$B$44,MAX(0,CM711*$F$1),0),0)*RATES!$L688/12+$Q$4*(PARAM!$D$51/12)*RATES!$N688/100</f>
        <v>546.04166666666663</v>
      </c>
      <c r="CM712" s="16">
        <f>IF(CM711&gt;0,CM711*PARAM!$C$53,CM711)+CK712-CL712</f>
        <v>-76230.33333333343</v>
      </c>
      <c r="CO712" s="176"/>
    </row>
    <row r="713" spans="1:93" x14ac:dyDescent="0.2">
      <c r="A713" t="b">
        <f t="shared" si="451"/>
        <v>0</v>
      </c>
      <c r="B713" s="33">
        <v>686</v>
      </c>
      <c r="C713" s="15">
        <f t="shared" si="452"/>
        <v>20.081305947392778</v>
      </c>
      <c r="D713" s="75">
        <f>C713*(1-PARAM!$C$27)*$I$3+(MOD($B713,60)=PARAM!$B$56)*($B713&gt;(60-PARAM!$B$56))*HLOOKUP(($B713+PARAM!$B$56)/12,Loyalty,2)*$F$1*MAX(F712,0)</f>
        <v>16.808053077967756</v>
      </c>
      <c r="E713" s="75">
        <f>PARAM!$C$26+MAX($G$3-CHOOSE(PARAM!$B$44,MAX(0,F712*$F$1),0),0)*RATES!$L689/12+$H$3*(PARAM!$D$51/12)*RATES!$N689/100</f>
        <v>546.04166666666663</v>
      </c>
      <c r="F713" s="16">
        <f t="shared" si="453"/>
        <v>-65402.47577991779</v>
      </c>
      <c r="G713" s="15">
        <f t="shared" si="454"/>
        <v>22.035289406060361</v>
      </c>
      <c r="H713" s="75">
        <f>G713*(1-PARAM!$C$27)*$I$4+(MOD($B713,60)=PARAM!$B$56)*($B713&gt;(60-PARAM!$B$56))*HLOOKUP(($B713+PARAM!$B$56)/12,Loyalty,2)*$F$1*MAX(J712,0)</f>
        <v>18.443537232872522</v>
      </c>
      <c r="I713" s="75">
        <f>PARAM!$C$26+MAX($G$4-CHOOSE(PARAM!$B$44,MAX(0,J712*$F$1),0),0)*RATES!$L689/12+$H$4*(PARAM!$D$51/12)*RATES!$N689/100</f>
        <v>546.04166666666663</v>
      </c>
      <c r="J713" s="16">
        <f t="shared" si="455"/>
        <v>-64246.700685531359</v>
      </c>
      <c r="K713" s="15">
        <f t="shared" si="456"/>
        <v>22.170849845882874</v>
      </c>
      <c r="L713" s="75">
        <f>K713*(1-PARAM!$C$27)*$I$5+(MOD($B713,60)=PARAM!$B$56)*($B713&gt;(60-PARAM!$B$56))*HLOOKUP(($B713+PARAM!$B$56)/12,Loyalty,2)*$F$1*MAX(N712,0)</f>
        <v>18.557001321003963</v>
      </c>
      <c r="M713" s="75">
        <f>PARAM!$C$26+MAX($G$5-CHOOSE(PARAM!$B$44,MAX(0,N712*$F$1),0),0)*RATES!$L689/12+$H$5*(PARAM!$D$51/12)*RATES!$N689/100</f>
        <v>546.04166666666663</v>
      </c>
      <c r="N713" s="16">
        <f t="shared" si="457"/>
        <v>-64165.846784673602</v>
      </c>
      <c r="O713" s="15">
        <f t="shared" si="458"/>
        <v>22.170849845882874</v>
      </c>
      <c r="P713" s="75">
        <f>O713*(1-PARAM!$C$27)*$I$6+(MOD($B713,60)=PARAM!$B$56)*($B713&gt;(60-PARAM!$B$56))*HLOOKUP(($B713+PARAM!$B$56)/12,Loyalty,2)*$F$1*MAX(R712,0)</f>
        <v>18.557001321003963</v>
      </c>
      <c r="Q713" s="75">
        <f>PARAM!$C$26+MAX($G$6-CHOOSE(PARAM!$B$44,MAX(0,R712*$F$1),0),0)*RATES!$L689/12+$H$6*(PARAM!$D$51/12)*RATES!$N689/100</f>
        <v>546.04166666666663</v>
      </c>
      <c r="R713" s="16">
        <f t="shared" si="459"/>
        <v>-64165.846784673602</v>
      </c>
      <c r="S713" s="15">
        <f t="shared" si="434"/>
        <v>22.170849845882874</v>
      </c>
      <c r="T713" s="75">
        <f>S713*(1-PARAM!$C$27)*$I$7+(MOD($B713,60)=PARAM!$B$56)*($B713&gt;(60-PARAM!$B$56))*HLOOKUP(($B713+PARAM!$B$56)/12,Loyalty,2)*$F$1*MAX(V712,0)</f>
        <v>18.557001321003963</v>
      </c>
      <c r="U713" s="75">
        <f>PARAM!$C$26+MAX($G$7-CHOOSE(PARAM!$B$44,MAX(0,V712*$F$1),0),0)*RATES!$L689/12+$H$7*(PARAM!$D$51/12)*RATES!$N689/100</f>
        <v>546.04166666666663</v>
      </c>
      <c r="V713" s="16">
        <f t="shared" si="460"/>
        <v>-64165.846784673602</v>
      </c>
      <c r="W713" s="15">
        <f t="shared" si="435"/>
        <v>22.170849845882874</v>
      </c>
      <c r="X713" s="75">
        <f>W713*(1-PARAM!$C$27)*$I$8+(MOD($B713,60)=PARAM!$B$56)*($B713&gt;(60-PARAM!$B$56))*HLOOKUP(($B713+PARAM!$B$56)/12,Loyalty,2)*$F$1*MAX(Z712,0)</f>
        <v>18.557001321003963</v>
      </c>
      <c r="Y713" s="75">
        <f>PARAM!$C$26+MAX($G$8-CHOOSE(PARAM!$B$44,MAX(0,Z712*$F$1),0),0)*RATES!$L689/12+$H$8*(PARAM!$D$51/12)*RATES!$N689/100</f>
        <v>546.04166666666663</v>
      </c>
      <c r="Z713" s="16">
        <f t="shared" si="461"/>
        <v>-64165.846784673602</v>
      </c>
      <c r="AA713" s="15">
        <f t="shared" si="436"/>
        <v>22.170849845882874</v>
      </c>
      <c r="AB713" s="75">
        <f>AA713*(1-PARAM!$C$27)*$I$9+(MOD($B713,60)=PARAM!$B$56)*($B713&gt;(60-PARAM!$B$56))*HLOOKUP(($B713+PARAM!$B$56)/12,Loyalty,2)*$F$1*MAX(AD712,0)</f>
        <v>18.557001321003963</v>
      </c>
      <c r="AC713" s="75">
        <f>PARAM!$C$26+MAX($G$9-CHOOSE(PARAM!$B$44,MAX(0,AD712*$F$1),0),0)*RATES!$L689/12+$H$9*(PARAM!$D$51/12)*RATES!$N689/100</f>
        <v>546.04166666666663</v>
      </c>
      <c r="AD713" s="16">
        <f t="shared" si="462"/>
        <v>-64165.846784673602</v>
      </c>
      <c r="AE713" s="15">
        <f t="shared" si="437"/>
        <v>22.170849845882874</v>
      </c>
      <c r="AF713" s="75">
        <f>AE713*(1-PARAM!$C$27)*$I$10+(MOD($B713,60)=PARAM!$B$56)*($B713&gt;(60-PARAM!$B$56))*HLOOKUP(($B713+PARAM!$B$56)/12,Loyalty,2)*$F$1*MAX(AH712,0)</f>
        <v>18.557001321003963</v>
      </c>
      <c r="AG713" s="75">
        <f>PARAM!$C$26+MAX($G$10-CHOOSE(PARAM!$B$44,MAX(0,AH712*$F$1),0),0)*RATES!$L689/12+$H$10*(PARAM!$D$51/12)*RATES!$N689/100</f>
        <v>546.04166666666663</v>
      </c>
      <c r="AH713" s="16">
        <f t="shared" si="463"/>
        <v>-64165.846784673602</v>
      </c>
      <c r="AI713" s="15">
        <f t="shared" si="438"/>
        <v>22.170849845882874</v>
      </c>
      <c r="AJ713" s="75">
        <f>AI713*(1-PARAM!$C$27)*$I$11+(MOD($B713,60)=PARAM!$B$56)*($B713&gt;(60-PARAM!$B$56))*HLOOKUP(($B713+PARAM!$B$56)/12,Loyalty,2)*$F$1*MAX(AL712,0)</f>
        <v>18.557001321003963</v>
      </c>
      <c r="AK713" s="75">
        <f>PARAM!$C$26+MAX($G$11-CHOOSE(PARAM!$B$44,MAX(0,AL712*$F$1),0),0)*RATES!$L689/12+$H$11*(PARAM!$D$51/12)*RATES!$N689/100</f>
        <v>546.04166666666663</v>
      </c>
      <c r="AL713" s="16">
        <f t="shared" si="464"/>
        <v>-64165.846784673602</v>
      </c>
      <c r="AM713" s="15">
        <f t="shared" si="439"/>
        <v>22.170849845882874</v>
      </c>
      <c r="AN713" s="75">
        <f>AM713*(1-PARAM!$C$27)*$I$12+(MOD($B713,60)=PARAM!$B$56)*($B713&gt;(60-PARAM!$B$56))*HLOOKUP(($B713+PARAM!$B$56)/12,Loyalty,2)*$F$1*MAX(AP712,0)</f>
        <v>18.557001321003963</v>
      </c>
      <c r="AO713" s="75">
        <f>PARAM!$C$26+MAX($G$12-CHOOSE(PARAM!$B$44,MAX(0,AP712*$F$1),0),0)*RATES!$L689/12+$H$12*(PARAM!$D$51/12)*RATES!$N689/100</f>
        <v>546.04166666666663</v>
      </c>
      <c r="AP713" s="16">
        <f t="shared" si="465"/>
        <v>-64165.846784673602</v>
      </c>
      <c r="AQ713" s="15">
        <f t="shared" si="440"/>
        <v>22.170849845882874</v>
      </c>
      <c r="AR713" s="75">
        <f>AQ713*(1-PARAM!$C$27)*$I$13+(MOD($B713,60)=PARAM!$B$56)*($B713&gt;(60-PARAM!$B$56))*HLOOKUP(($B713+PARAM!$B$56)/12,Loyalty,2)*$F$1*MAX(AT712,0)</f>
        <v>18.557001321003963</v>
      </c>
      <c r="AS713" s="75">
        <f>PARAM!$C$26+MAX($G$13-CHOOSE(PARAM!$B$44,MAX(0,AT712*$F$1),0),0)*RATES!$L689/12+$H$13*(PARAM!$D$51/12)*RATES!$N689/100</f>
        <v>546.04166666666663</v>
      </c>
      <c r="AT713" s="16">
        <f t="shared" si="466"/>
        <v>-64165.846784673602</v>
      </c>
      <c r="AU713" s="15">
        <f t="shared" si="441"/>
        <v>22.170849845882874</v>
      </c>
      <c r="AV713" s="75">
        <f>AU713*(1-PARAM!$C$27)*$I$14+(MOD($B713,60)=PARAM!$B$56)*($B713&gt;(60-PARAM!$B$56))*HLOOKUP(($B713+PARAM!$B$56)/12,Loyalty,2)*$F$1*MAX(AX712,0)</f>
        <v>18.557001321003963</v>
      </c>
      <c r="AW713" s="75">
        <f>PARAM!$C$26+MAX($G$14-CHOOSE(PARAM!$B$44,MAX(0,AX712*$F$1),0),0)*RATES!$L689/12+$H$14*(PARAM!$D$51/12)*RATES!$N689/100</f>
        <v>546.04166666666663</v>
      </c>
      <c r="AX713" s="16">
        <f t="shared" si="467"/>
        <v>-64165.846784673602</v>
      </c>
      <c r="AY713" s="15">
        <f t="shared" si="442"/>
        <v>22.170849845882874</v>
      </c>
      <c r="AZ713" s="75">
        <f>AY713*(1-PARAM!$C$27)*$I$15+(MOD($B713,60)=PARAM!$B$56)*($B713&gt;(60-PARAM!$B$56))*HLOOKUP(($B713+PARAM!$B$56)/12,Loyalty,2)*$F$1*MAX(BB712,0)</f>
        <v>18.557001321003963</v>
      </c>
      <c r="BA713" s="75">
        <f>PARAM!$C$26+MAX($G$15-CHOOSE(PARAM!$B$44,MAX(0,BB712*$F$1),0),0)*RATES!$L689/12+$H$15*(PARAM!$D$51/12)*RATES!$N689/100</f>
        <v>546.04166666666663</v>
      </c>
      <c r="BB713" s="16">
        <f t="shared" si="468"/>
        <v>-64165.846784673602</v>
      </c>
      <c r="BC713" s="15">
        <f t="shared" si="443"/>
        <v>22.170849845882874</v>
      </c>
      <c r="BD713" s="75">
        <f>BC713*(1-PARAM!$C$27)*$I$16+(MOD($B713,60)=PARAM!$B$56)*($B713&gt;(60-PARAM!$B$56))*HLOOKUP(($B713+PARAM!$B$56)/12,Loyalty,2)*$F$1*MAX(BF712,0)</f>
        <v>18.557001321003963</v>
      </c>
      <c r="BE713" s="75">
        <f>PARAM!$C$26+MAX($G$16-CHOOSE(PARAM!$B$44,MAX(0,BF712*$F$1),0),0)*RATES!$L689/12+$H$16*(PARAM!$D$51/12)*RATES!$N689/100</f>
        <v>546.04166666666663</v>
      </c>
      <c r="BF713" s="16">
        <f t="shared" si="469"/>
        <v>-64165.846784673602</v>
      </c>
      <c r="BG713" s="15">
        <f t="shared" si="444"/>
        <v>22.170849845882874</v>
      </c>
      <c r="BH713" s="75">
        <f>BG713*(1-PARAM!$C$27)*$I$17+(MOD($B713,60)=PARAM!$B$56)*($B713&gt;(60-PARAM!$B$56))*HLOOKUP(($B713+PARAM!$B$56)/12,Loyalty,2)*$F$1*MAX(BJ712,0)</f>
        <v>18.557001321003963</v>
      </c>
      <c r="BI713" s="75">
        <f>PARAM!$C$26+MAX($G$17-CHOOSE(PARAM!$B$44,MAX(0,BJ712*$F$1),0),0)*RATES!$L689/12+$H$17*(PARAM!$D$51/12)*RATES!$N689/100</f>
        <v>546.04166666666663</v>
      </c>
      <c r="BJ713" s="16">
        <f t="shared" si="470"/>
        <v>-64165.846784673602</v>
      </c>
      <c r="BK713" s="15">
        <f t="shared" si="445"/>
        <v>22.170849845882874</v>
      </c>
      <c r="BL713" s="75">
        <f>BK713*(1-PARAM!$C$27)*$I$18+(MOD($B713,60)=PARAM!$B$56)*($B713&gt;(60-PARAM!$B$56))*HLOOKUP(($B713+PARAM!$B$56)/12,Loyalty,2)*$F$1*MAX(BN712,0)</f>
        <v>18.557001321003963</v>
      </c>
      <c r="BM713" s="75">
        <f>PARAM!$C$26+MAX($G$18-CHOOSE(PARAM!$B$44,MAX(0,BN712*$F$1),0),0)*RATES!$L689/12+$H$18*(PARAM!$D$51/12)*RATES!$N689/100</f>
        <v>546.04166666666663</v>
      </c>
      <c r="BN713" s="16">
        <f t="shared" si="471"/>
        <v>-64165.846784673602</v>
      </c>
      <c r="BO713" s="15">
        <f t="shared" si="446"/>
        <v>22.170849845882874</v>
      </c>
      <c r="BP713" s="75">
        <f>BO713*(1-PARAM!$C$27)*$I$19+(MOD($B713,60)=PARAM!$B$56)*($B713&gt;(60-PARAM!$B$56))*HLOOKUP(($B713+PARAM!$B$56)/12,Loyalty,2)*$F$1*MAX(BR712,0)</f>
        <v>18.557001321003963</v>
      </c>
      <c r="BQ713" s="75">
        <f>PARAM!$C$26+MAX($G$19-CHOOSE(PARAM!$B$44,MAX(0,BR712*$F$1),0),0)*RATES!$L689/12+$H$19*(PARAM!$D$51/12)*RATES!$N689/100</f>
        <v>546.04166666666663</v>
      </c>
      <c r="BR713" s="16">
        <f t="shared" si="472"/>
        <v>-64165.846784673602</v>
      </c>
      <c r="BS713" s="15">
        <f t="shared" si="447"/>
        <v>22.170849845882874</v>
      </c>
      <c r="BT713" s="75">
        <f>BS713*(1-PARAM!$C$27)*$I$20+(MOD($B713,60)=PARAM!$B$56)*($B713&gt;(60-PARAM!$B$56))*HLOOKUP(($B713+PARAM!$B$56)/12,Loyalty,2)*$F$1*MAX(BV712,0)</f>
        <v>18.557001321003963</v>
      </c>
      <c r="BU713" s="75">
        <f>PARAM!$C$26+MAX($G$20-CHOOSE(PARAM!$B$44,MAX(0,BV712*$F$1),0),0)*RATES!$L689/12+$H$20*(PARAM!$D$51/12)*RATES!$N689/100</f>
        <v>546.04166666666663</v>
      </c>
      <c r="BV713" s="16">
        <f t="shared" si="473"/>
        <v>-64165.846784673602</v>
      </c>
      <c r="BW713" s="15">
        <f t="shared" si="448"/>
        <v>22.170849845882874</v>
      </c>
      <c r="BX713" s="75">
        <f>BW713*(1-PARAM!$C$27)*$I$21+(MOD($B713,60)=PARAM!$B$56)*($B713&gt;(60-PARAM!$B$56))*HLOOKUP(($B713+PARAM!$B$56)/12,Loyalty,2)*$F$1*MAX(BZ712,0)</f>
        <v>18.557001321003963</v>
      </c>
      <c r="BY713" s="75">
        <f>PARAM!$C$26+MAX($G$21-CHOOSE(PARAM!$B$44,MAX(0,BZ712*$F$1),0),0)*RATES!$L689/12+$H$21*(PARAM!$D$51/12)*RATES!$N689/100</f>
        <v>546.04166666666663</v>
      </c>
      <c r="BZ713" s="16">
        <f t="shared" si="474"/>
        <v>-64165.846784673602</v>
      </c>
      <c r="CA713" s="15">
        <f t="shared" si="449"/>
        <v>22.170849845882874</v>
      </c>
      <c r="CB713" s="75">
        <f>CA713*(1-PARAM!$C$27)*$I$22+(MOD($B713,60)=PARAM!$B$56)*($B713&gt;(60-PARAM!$B$56))*HLOOKUP(($B713+PARAM!$B$56)/12,Loyalty,2)*$F$1*MAX(CD712,0)</f>
        <v>18.557001321003963</v>
      </c>
      <c r="CC713" s="75">
        <f>PARAM!$C$26+MAX($G$22-CHOOSE(PARAM!$B$44,MAX(0,CD712*$F$1),0),0)*RATES!$L689/12+$H$22*(PARAM!$D$51/12)*RATES!$N689/100</f>
        <v>546.04166666666663</v>
      </c>
      <c r="CD713" s="16">
        <f t="shared" si="475"/>
        <v>-64165.846784673602</v>
      </c>
      <c r="CE713" s="33">
        <f>IF(0=MOD(B713,12/PARAM!$D$51),1,0)</f>
        <v>1</v>
      </c>
      <c r="CF713" s="15">
        <f t="shared" si="450"/>
        <v>0</v>
      </c>
      <c r="CG713" s="75">
        <f>CF713*(1-PARAM!$C$27)*$R$3+(MOD($B713/12,5)=0)*($B713&gt;60)*HLOOKUP($B713/12,Loyalty,2)*$F$1*MAX(CI712,0)</f>
        <v>0</v>
      </c>
      <c r="CH713" s="75">
        <f>PARAM!$C$26+MAX($P$3-CHOOSE(PARAM!$B$44,MAX(0,CI712*$F$1),0),0)*RATES!$L689/12+$Q$3*(PARAM!$D$51/12)*RATES!$N689/100</f>
        <v>546.04166666666663</v>
      </c>
      <c r="CI713" s="16">
        <f>IF(CI712&gt;0,CI712*PARAM!$C$53,CI712)+CG713-CH713</f>
        <v>-76776.375000000102</v>
      </c>
      <c r="CJ713" s="15">
        <f t="shared" si="476"/>
        <v>0</v>
      </c>
      <c r="CK713" s="75">
        <f>CJ713*(1-PARAM!$C$27)*$R$4+(MOD($B713/12,5)=0)*($B713&gt;60)*HLOOKUP($B713/12,Loyalty,2)*$F$1*MAX(CM712,0)</f>
        <v>0</v>
      </c>
      <c r="CL713" s="75">
        <f>PARAM!$C$26+MAX($P$4-CHOOSE(PARAM!$B$44,MAX(0,CM712*$F$1),0),0)*RATES!$L689/12+$Q$4*(PARAM!$D$51/12)*RATES!$N689/100</f>
        <v>546.04166666666663</v>
      </c>
      <c r="CM713" s="16">
        <f>IF(CM712&gt;0,CM712*PARAM!$C$53,CM712)+CK713-CL713</f>
        <v>-76776.375000000102</v>
      </c>
      <c r="CO713" s="176"/>
    </row>
    <row r="714" spans="1:93" x14ac:dyDescent="0.2">
      <c r="A714" t="b">
        <f t="shared" si="451"/>
        <v>0</v>
      </c>
      <c r="B714" s="33">
        <v>687</v>
      </c>
      <c r="C714" s="15">
        <f t="shared" si="452"/>
        <v>20.081305947392778</v>
      </c>
      <c r="D714" s="75">
        <f>C714*(1-PARAM!$C$27)*$I$3+(MOD($B714,60)=PARAM!$B$56)*($B714&gt;(60-PARAM!$B$56))*HLOOKUP(($B714+PARAM!$B$56)/12,Loyalty,2)*$F$1*MAX(F713,0)</f>
        <v>16.808053077967756</v>
      </c>
      <c r="E714" s="75">
        <f>PARAM!$C$26+MAX($G$3-CHOOSE(PARAM!$B$44,MAX(0,F713*$F$1),0),0)*RATES!$L690/12+$H$3*(PARAM!$D$51/12)*RATES!$N690/100</f>
        <v>546.04166666666663</v>
      </c>
      <c r="F714" s="16">
        <f t="shared" si="453"/>
        <v>-65931.709393506491</v>
      </c>
      <c r="G714" s="15">
        <f t="shared" si="454"/>
        <v>22.035289406060361</v>
      </c>
      <c r="H714" s="75">
        <f>G714*(1-PARAM!$C$27)*$I$4+(MOD($B714,60)=PARAM!$B$56)*($B714&gt;(60-PARAM!$B$56))*HLOOKUP(($B714+PARAM!$B$56)/12,Loyalty,2)*$F$1*MAX(J713,0)</f>
        <v>18.443537232872522</v>
      </c>
      <c r="I714" s="75">
        <f>PARAM!$C$26+MAX($G$4-CHOOSE(PARAM!$B$44,MAX(0,J713*$F$1),0),0)*RATES!$L690/12+$H$4*(PARAM!$D$51/12)*RATES!$N690/100</f>
        <v>546.04166666666663</v>
      </c>
      <c r="J714" s="16">
        <f t="shared" si="455"/>
        <v>-64774.29881496515</v>
      </c>
      <c r="K714" s="15">
        <f t="shared" si="456"/>
        <v>22.170849845882874</v>
      </c>
      <c r="L714" s="75">
        <f>K714*(1-PARAM!$C$27)*$I$5+(MOD($B714,60)=PARAM!$B$56)*($B714&gt;(60-PARAM!$B$56))*HLOOKUP(($B714+PARAM!$B$56)/12,Loyalty,2)*$F$1*MAX(N713,0)</f>
        <v>18.557001321003963</v>
      </c>
      <c r="M714" s="75">
        <f>PARAM!$C$26+MAX($G$5-CHOOSE(PARAM!$B$44,MAX(0,N713*$F$1),0),0)*RATES!$L690/12+$H$5*(PARAM!$D$51/12)*RATES!$N690/100</f>
        <v>546.04166666666663</v>
      </c>
      <c r="N714" s="16">
        <f t="shared" si="457"/>
        <v>-64693.331450019265</v>
      </c>
      <c r="O714" s="15">
        <f t="shared" si="458"/>
        <v>22.170849845882874</v>
      </c>
      <c r="P714" s="75">
        <f>O714*(1-PARAM!$C$27)*$I$6+(MOD($B714,60)=PARAM!$B$56)*($B714&gt;(60-PARAM!$B$56))*HLOOKUP(($B714+PARAM!$B$56)/12,Loyalty,2)*$F$1*MAX(R713,0)</f>
        <v>18.557001321003963</v>
      </c>
      <c r="Q714" s="75">
        <f>PARAM!$C$26+MAX($G$6-CHOOSE(PARAM!$B$44,MAX(0,R713*$F$1),0),0)*RATES!$L690/12+$H$6*(PARAM!$D$51/12)*RATES!$N690/100</f>
        <v>546.04166666666663</v>
      </c>
      <c r="R714" s="16">
        <f t="shared" si="459"/>
        <v>-64693.331450019265</v>
      </c>
      <c r="S714" s="15">
        <f t="shared" si="434"/>
        <v>22.170849845882874</v>
      </c>
      <c r="T714" s="75">
        <f>S714*(1-PARAM!$C$27)*$I$7+(MOD($B714,60)=PARAM!$B$56)*($B714&gt;(60-PARAM!$B$56))*HLOOKUP(($B714+PARAM!$B$56)/12,Loyalty,2)*$F$1*MAX(V713,0)</f>
        <v>18.557001321003963</v>
      </c>
      <c r="U714" s="75">
        <f>PARAM!$C$26+MAX($G$7-CHOOSE(PARAM!$B$44,MAX(0,V713*$F$1),0),0)*RATES!$L690/12+$H$7*(PARAM!$D$51/12)*RATES!$N690/100</f>
        <v>546.04166666666663</v>
      </c>
      <c r="V714" s="16">
        <f t="shared" si="460"/>
        <v>-64693.331450019265</v>
      </c>
      <c r="W714" s="15">
        <f t="shared" si="435"/>
        <v>22.170849845882874</v>
      </c>
      <c r="X714" s="75">
        <f>W714*(1-PARAM!$C$27)*$I$8+(MOD($B714,60)=PARAM!$B$56)*($B714&gt;(60-PARAM!$B$56))*HLOOKUP(($B714+PARAM!$B$56)/12,Loyalty,2)*$F$1*MAX(Z713,0)</f>
        <v>18.557001321003963</v>
      </c>
      <c r="Y714" s="75">
        <f>PARAM!$C$26+MAX($G$8-CHOOSE(PARAM!$B$44,MAX(0,Z713*$F$1),0),0)*RATES!$L690/12+$H$8*(PARAM!$D$51/12)*RATES!$N690/100</f>
        <v>546.04166666666663</v>
      </c>
      <c r="Z714" s="16">
        <f t="shared" si="461"/>
        <v>-64693.331450019265</v>
      </c>
      <c r="AA714" s="15">
        <f t="shared" si="436"/>
        <v>22.170849845882874</v>
      </c>
      <c r="AB714" s="75">
        <f>AA714*(1-PARAM!$C$27)*$I$9+(MOD($B714,60)=PARAM!$B$56)*($B714&gt;(60-PARAM!$B$56))*HLOOKUP(($B714+PARAM!$B$56)/12,Loyalty,2)*$F$1*MAX(AD713,0)</f>
        <v>18.557001321003963</v>
      </c>
      <c r="AC714" s="75">
        <f>PARAM!$C$26+MAX($G$9-CHOOSE(PARAM!$B$44,MAX(0,AD713*$F$1),0),0)*RATES!$L690/12+$H$9*(PARAM!$D$51/12)*RATES!$N690/100</f>
        <v>546.04166666666663</v>
      </c>
      <c r="AD714" s="16">
        <f t="shared" si="462"/>
        <v>-64693.331450019265</v>
      </c>
      <c r="AE714" s="15">
        <f t="shared" si="437"/>
        <v>22.170849845882874</v>
      </c>
      <c r="AF714" s="75">
        <f>AE714*(1-PARAM!$C$27)*$I$10+(MOD($B714,60)=PARAM!$B$56)*($B714&gt;(60-PARAM!$B$56))*HLOOKUP(($B714+PARAM!$B$56)/12,Loyalty,2)*$F$1*MAX(AH713,0)</f>
        <v>18.557001321003963</v>
      </c>
      <c r="AG714" s="75">
        <f>PARAM!$C$26+MAX($G$10-CHOOSE(PARAM!$B$44,MAX(0,AH713*$F$1),0),0)*RATES!$L690/12+$H$10*(PARAM!$D$51/12)*RATES!$N690/100</f>
        <v>546.04166666666663</v>
      </c>
      <c r="AH714" s="16">
        <f t="shared" si="463"/>
        <v>-64693.331450019265</v>
      </c>
      <c r="AI714" s="15">
        <f t="shared" si="438"/>
        <v>22.170849845882874</v>
      </c>
      <c r="AJ714" s="75">
        <f>AI714*(1-PARAM!$C$27)*$I$11+(MOD($B714,60)=PARAM!$B$56)*($B714&gt;(60-PARAM!$B$56))*HLOOKUP(($B714+PARAM!$B$56)/12,Loyalty,2)*$F$1*MAX(AL713,0)</f>
        <v>18.557001321003963</v>
      </c>
      <c r="AK714" s="75">
        <f>PARAM!$C$26+MAX($G$11-CHOOSE(PARAM!$B$44,MAX(0,AL713*$F$1),0),0)*RATES!$L690/12+$H$11*(PARAM!$D$51/12)*RATES!$N690/100</f>
        <v>546.04166666666663</v>
      </c>
      <c r="AL714" s="16">
        <f t="shared" si="464"/>
        <v>-64693.331450019265</v>
      </c>
      <c r="AM714" s="15">
        <f t="shared" si="439"/>
        <v>22.170849845882874</v>
      </c>
      <c r="AN714" s="75">
        <f>AM714*(1-PARAM!$C$27)*$I$12+(MOD($B714,60)=PARAM!$B$56)*($B714&gt;(60-PARAM!$B$56))*HLOOKUP(($B714+PARAM!$B$56)/12,Loyalty,2)*$F$1*MAX(AP713,0)</f>
        <v>18.557001321003963</v>
      </c>
      <c r="AO714" s="75">
        <f>PARAM!$C$26+MAX($G$12-CHOOSE(PARAM!$B$44,MAX(0,AP713*$F$1),0),0)*RATES!$L690/12+$H$12*(PARAM!$D$51/12)*RATES!$N690/100</f>
        <v>546.04166666666663</v>
      </c>
      <c r="AP714" s="16">
        <f t="shared" si="465"/>
        <v>-64693.331450019265</v>
      </c>
      <c r="AQ714" s="15">
        <f t="shared" si="440"/>
        <v>22.170849845882874</v>
      </c>
      <c r="AR714" s="75">
        <f>AQ714*(1-PARAM!$C$27)*$I$13+(MOD($B714,60)=PARAM!$B$56)*($B714&gt;(60-PARAM!$B$56))*HLOOKUP(($B714+PARAM!$B$56)/12,Loyalty,2)*$F$1*MAX(AT713,0)</f>
        <v>18.557001321003963</v>
      </c>
      <c r="AS714" s="75">
        <f>PARAM!$C$26+MAX($G$13-CHOOSE(PARAM!$B$44,MAX(0,AT713*$F$1),0),0)*RATES!$L690/12+$H$13*(PARAM!$D$51/12)*RATES!$N690/100</f>
        <v>546.04166666666663</v>
      </c>
      <c r="AT714" s="16">
        <f t="shared" si="466"/>
        <v>-64693.331450019265</v>
      </c>
      <c r="AU714" s="15">
        <f t="shared" si="441"/>
        <v>22.170849845882874</v>
      </c>
      <c r="AV714" s="75">
        <f>AU714*(1-PARAM!$C$27)*$I$14+(MOD($B714,60)=PARAM!$B$56)*($B714&gt;(60-PARAM!$B$56))*HLOOKUP(($B714+PARAM!$B$56)/12,Loyalty,2)*$F$1*MAX(AX713,0)</f>
        <v>18.557001321003963</v>
      </c>
      <c r="AW714" s="75">
        <f>PARAM!$C$26+MAX($G$14-CHOOSE(PARAM!$B$44,MAX(0,AX713*$F$1),0),0)*RATES!$L690/12+$H$14*(PARAM!$D$51/12)*RATES!$N690/100</f>
        <v>546.04166666666663</v>
      </c>
      <c r="AX714" s="16">
        <f t="shared" si="467"/>
        <v>-64693.331450019265</v>
      </c>
      <c r="AY714" s="15">
        <f t="shared" si="442"/>
        <v>22.170849845882874</v>
      </c>
      <c r="AZ714" s="75">
        <f>AY714*(1-PARAM!$C$27)*$I$15+(MOD($B714,60)=PARAM!$B$56)*($B714&gt;(60-PARAM!$B$56))*HLOOKUP(($B714+PARAM!$B$56)/12,Loyalty,2)*$F$1*MAX(BB713,0)</f>
        <v>18.557001321003963</v>
      </c>
      <c r="BA714" s="75">
        <f>PARAM!$C$26+MAX($G$15-CHOOSE(PARAM!$B$44,MAX(0,BB713*$F$1),0),0)*RATES!$L690/12+$H$15*(PARAM!$D$51/12)*RATES!$N690/100</f>
        <v>546.04166666666663</v>
      </c>
      <c r="BB714" s="16">
        <f t="shared" si="468"/>
        <v>-64693.331450019265</v>
      </c>
      <c r="BC714" s="15">
        <f t="shared" si="443"/>
        <v>22.170849845882874</v>
      </c>
      <c r="BD714" s="75">
        <f>BC714*(1-PARAM!$C$27)*$I$16+(MOD($B714,60)=PARAM!$B$56)*($B714&gt;(60-PARAM!$B$56))*HLOOKUP(($B714+PARAM!$B$56)/12,Loyalty,2)*$F$1*MAX(BF713,0)</f>
        <v>18.557001321003963</v>
      </c>
      <c r="BE714" s="75">
        <f>PARAM!$C$26+MAX($G$16-CHOOSE(PARAM!$B$44,MAX(0,BF713*$F$1),0),0)*RATES!$L690/12+$H$16*(PARAM!$D$51/12)*RATES!$N690/100</f>
        <v>546.04166666666663</v>
      </c>
      <c r="BF714" s="16">
        <f t="shared" si="469"/>
        <v>-64693.331450019265</v>
      </c>
      <c r="BG714" s="15">
        <f t="shared" si="444"/>
        <v>22.170849845882874</v>
      </c>
      <c r="BH714" s="75">
        <f>BG714*(1-PARAM!$C$27)*$I$17+(MOD($B714,60)=PARAM!$B$56)*($B714&gt;(60-PARAM!$B$56))*HLOOKUP(($B714+PARAM!$B$56)/12,Loyalty,2)*$F$1*MAX(BJ713,0)</f>
        <v>18.557001321003963</v>
      </c>
      <c r="BI714" s="75">
        <f>PARAM!$C$26+MAX($G$17-CHOOSE(PARAM!$B$44,MAX(0,BJ713*$F$1),0),0)*RATES!$L690/12+$H$17*(PARAM!$D$51/12)*RATES!$N690/100</f>
        <v>546.04166666666663</v>
      </c>
      <c r="BJ714" s="16">
        <f t="shared" si="470"/>
        <v>-64693.331450019265</v>
      </c>
      <c r="BK714" s="15">
        <f t="shared" si="445"/>
        <v>22.170849845882874</v>
      </c>
      <c r="BL714" s="75">
        <f>BK714*(1-PARAM!$C$27)*$I$18+(MOD($B714,60)=PARAM!$B$56)*($B714&gt;(60-PARAM!$B$56))*HLOOKUP(($B714+PARAM!$B$56)/12,Loyalty,2)*$F$1*MAX(BN713,0)</f>
        <v>18.557001321003963</v>
      </c>
      <c r="BM714" s="75">
        <f>PARAM!$C$26+MAX($G$18-CHOOSE(PARAM!$B$44,MAX(0,BN713*$F$1),0),0)*RATES!$L690/12+$H$18*(PARAM!$D$51/12)*RATES!$N690/100</f>
        <v>546.04166666666663</v>
      </c>
      <c r="BN714" s="16">
        <f t="shared" si="471"/>
        <v>-64693.331450019265</v>
      </c>
      <c r="BO714" s="15">
        <f t="shared" si="446"/>
        <v>22.170849845882874</v>
      </c>
      <c r="BP714" s="75">
        <f>BO714*(1-PARAM!$C$27)*$I$19+(MOD($B714,60)=PARAM!$B$56)*($B714&gt;(60-PARAM!$B$56))*HLOOKUP(($B714+PARAM!$B$56)/12,Loyalty,2)*$F$1*MAX(BR713,0)</f>
        <v>18.557001321003963</v>
      </c>
      <c r="BQ714" s="75">
        <f>PARAM!$C$26+MAX($G$19-CHOOSE(PARAM!$B$44,MAX(0,BR713*$F$1),0),0)*RATES!$L690/12+$H$19*(PARAM!$D$51/12)*RATES!$N690/100</f>
        <v>546.04166666666663</v>
      </c>
      <c r="BR714" s="16">
        <f t="shared" si="472"/>
        <v>-64693.331450019265</v>
      </c>
      <c r="BS714" s="15">
        <f t="shared" si="447"/>
        <v>22.170849845882874</v>
      </c>
      <c r="BT714" s="75">
        <f>BS714*(1-PARAM!$C$27)*$I$20+(MOD($B714,60)=PARAM!$B$56)*($B714&gt;(60-PARAM!$B$56))*HLOOKUP(($B714+PARAM!$B$56)/12,Loyalty,2)*$F$1*MAX(BV713,0)</f>
        <v>18.557001321003963</v>
      </c>
      <c r="BU714" s="75">
        <f>PARAM!$C$26+MAX($G$20-CHOOSE(PARAM!$B$44,MAX(0,BV713*$F$1),0),0)*RATES!$L690/12+$H$20*(PARAM!$D$51/12)*RATES!$N690/100</f>
        <v>546.04166666666663</v>
      </c>
      <c r="BV714" s="16">
        <f t="shared" si="473"/>
        <v>-64693.331450019265</v>
      </c>
      <c r="BW714" s="15">
        <f t="shared" si="448"/>
        <v>22.170849845882874</v>
      </c>
      <c r="BX714" s="75">
        <f>BW714*(1-PARAM!$C$27)*$I$21+(MOD($B714,60)=PARAM!$B$56)*($B714&gt;(60-PARAM!$B$56))*HLOOKUP(($B714+PARAM!$B$56)/12,Loyalty,2)*$F$1*MAX(BZ713,0)</f>
        <v>18.557001321003963</v>
      </c>
      <c r="BY714" s="75">
        <f>PARAM!$C$26+MAX($G$21-CHOOSE(PARAM!$B$44,MAX(0,BZ713*$F$1),0),0)*RATES!$L690/12+$H$21*(PARAM!$D$51/12)*RATES!$N690/100</f>
        <v>546.04166666666663</v>
      </c>
      <c r="BZ714" s="16">
        <f t="shared" si="474"/>
        <v>-64693.331450019265</v>
      </c>
      <c r="CA714" s="15">
        <f t="shared" si="449"/>
        <v>22.170849845882874</v>
      </c>
      <c r="CB714" s="75">
        <f>CA714*(1-PARAM!$C$27)*$I$22+(MOD($B714,60)=PARAM!$B$56)*($B714&gt;(60-PARAM!$B$56))*HLOOKUP(($B714+PARAM!$B$56)/12,Loyalty,2)*$F$1*MAX(CD713,0)</f>
        <v>18.557001321003963</v>
      </c>
      <c r="CC714" s="75">
        <f>PARAM!$C$26+MAX($G$22-CHOOSE(PARAM!$B$44,MAX(0,CD713*$F$1),0),0)*RATES!$L690/12+$H$22*(PARAM!$D$51/12)*RATES!$N690/100</f>
        <v>546.04166666666663</v>
      </c>
      <c r="CD714" s="16">
        <f t="shared" si="475"/>
        <v>-64693.331450019265</v>
      </c>
      <c r="CE714" s="33">
        <f>IF(0=MOD(B714,12/PARAM!$D$51),1,0)</f>
        <v>1</v>
      </c>
      <c r="CF714" s="15">
        <f t="shared" si="450"/>
        <v>0</v>
      </c>
      <c r="CG714" s="75">
        <f>CF714*(1-PARAM!$C$27)*$R$3+(MOD($B714/12,5)=0)*($B714&gt;60)*HLOOKUP($B714/12,Loyalty,2)*$F$1*MAX(CI713,0)</f>
        <v>0</v>
      </c>
      <c r="CH714" s="75">
        <f>PARAM!$C$26+MAX($P$3-CHOOSE(PARAM!$B$44,MAX(0,CI713*$F$1),0),0)*RATES!$L690/12+$Q$3*(PARAM!$D$51/12)*RATES!$N690/100</f>
        <v>546.04166666666663</v>
      </c>
      <c r="CI714" s="16">
        <f>IF(CI713&gt;0,CI713*PARAM!$C$53,CI713)+CG714-CH714</f>
        <v>-77322.416666666773</v>
      </c>
      <c r="CJ714" s="15">
        <f t="shared" si="476"/>
        <v>0</v>
      </c>
      <c r="CK714" s="75">
        <f>CJ714*(1-PARAM!$C$27)*$R$4+(MOD($B714/12,5)=0)*($B714&gt;60)*HLOOKUP($B714/12,Loyalty,2)*$F$1*MAX(CM713,0)</f>
        <v>0</v>
      </c>
      <c r="CL714" s="75">
        <f>PARAM!$C$26+MAX($P$4-CHOOSE(PARAM!$B$44,MAX(0,CM713*$F$1),0),0)*RATES!$L690/12+$Q$4*(PARAM!$D$51/12)*RATES!$N690/100</f>
        <v>546.04166666666663</v>
      </c>
      <c r="CM714" s="16">
        <f>IF(CM713&gt;0,CM713*PARAM!$C$53,CM713)+CK714-CL714</f>
        <v>-77322.416666666773</v>
      </c>
      <c r="CO714" s="176"/>
    </row>
    <row r="715" spans="1:93" x14ac:dyDescent="0.2">
      <c r="A715" t="b">
        <f t="shared" si="451"/>
        <v>0</v>
      </c>
      <c r="B715" s="33">
        <v>688</v>
      </c>
      <c r="C715" s="15">
        <f t="shared" si="452"/>
        <v>20.081305947392778</v>
      </c>
      <c r="D715" s="75">
        <f>C715*(1-PARAM!$C$27)*$I$3+(MOD($B715,60)=PARAM!$B$56)*($B715&gt;(60-PARAM!$B$56))*HLOOKUP(($B715+PARAM!$B$56)/12,Loyalty,2)*$F$1*MAX(F714,0)</f>
        <v>16.808053077967756</v>
      </c>
      <c r="E715" s="75">
        <f>PARAM!$C$26+MAX($G$3-CHOOSE(PARAM!$B$44,MAX(0,F714*$F$1),0),0)*RATES!$L691/12+$H$3*(PARAM!$D$51/12)*RATES!$N691/100</f>
        <v>546.04166666666663</v>
      </c>
      <c r="F715" s="16">
        <f t="shared" si="453"/>
        <v>-66460.943007095193</v>
      </c>
      <c r="G715" s="15">
        <f t="shared" si="454"/>
        <v>22.035289406060361</v>
      </c>
      <c r="H715" s="75">
        <f>G715*(1-PARAM!$C$27)*$I$4+(MOD($B715,60)=PARAM!$B$56)*($B715&gt;(60-PARAM!$B$56))*HLOOKUP(($B715+PARAM!$B$56)/12,Loyalty,2)*$F$1*MAX(J714,0)</f>
        <v>18.443537232872522</v>
      </c>
      <c r="I715" s="75">
        <f>PARAM!$C$26+MAX($G$4-CHOOSE(PARAM!$B$44,MAX(0,J714*$F$1),0),0)*RATES!$L691/12+$H$4*(PARAM!$D$51/12)*RATES!$N691/100</f>
        <v>546.04166666666663</v>
      </c>
      <c r="J715" s="16">
        <f t="shared" si="455"/>
        <v>-65301.896944398941</v>
      </c>
      <c r="K715" s="15">
        <f t="shared" si="456"/>
        <v>22.170849845882874</v>
      </c>
      <c r="L715" s="75">
        <f>K715*(1-PARAM!$C$27)*$I$5+(MOD($B715,60)=PARAM!$B$56)*($B715&gt;(60-PARAM!$B$56))*HLOOKUP(($B715+PARAM!$B$56)/12,Loyalty,2)*$F$1*MAX(N714,0)</f>
        <v>18.557001321003963</v>
      </c>
      <c r="M715" s="75">
        <f>PARAM!$C$26+MAX($G$5-CHOOSE(PARAM!$B$44,MAX(0,N714*$F$1),0),0)*RATES!$L691/12+$H$5*(PARAM!$D$51/12)*RATES!$N691/100</f>
        <v>546.04166666666663</v>
      </c>
      <c r="N715" s="16">
        <f t="shared" si="457"/>
        <v>-65220.816115364927</v>
      </c>
      <c r="O715" s="15">
        <f t="shared" si="458"/>
        <v>22.170849845882874</v>
      </c>
      <c r="P715" s="75">
        <f>O715*(1-PARAM!$C$27)*$I$6+(MOD($B715,60)=PARAM!$B$56)*($B715&gt;(60-PARAM!$B$56))*HLOOKUP(($B715+PARAM!$B$56)/12,Loyalty,2)*$F$1*MAX(R714,0)</f>
        <v>18.557001321003963</v>
      </c>
      <c r="Q715" s="75">
        <f>PARAM!$C$26+MAX($G$6-CHOOSE(PARAM!$B$44,MAX(0,R714*$F$1),0),0)*RATES!$L691/12+$H$6*(PARAM!$D$51/12)*RATES!$N691/100</f>
        <v>546.04166666666663</v>
      </c>
      <c r="R715" s="16">
        <f t="shared" si="459"/>
        <v>-65220.816115364927</v>
      </c>
      <c r="S715" s="15">
        <f t="shared" si="434"/>
        <v>22.170849845882874</v>
      </c>
      <c r="T715" s="75">
        <f>S715*(1-PARAM!$C$27)*$I$7+(MOD($B715,60)=PARAM!$B$56)*($B715&gt;(60-PARAM!$B$56))*HLOOKUP(($B715+PARAM!$B$56)/12,Loyalty,2)*$F$1*MAX(V714,0)</f>
        <v>18.557001321003963</v>
      </c>
      <c r="U715" s="75">
        <f>PARAM!$C$26+MAX($G$7-CHOOSE(PARAM!$B$44,MAX(0,V714*$F$1),0),0)*RATES!$L691/12+$H$7*(PARAM!$D$51/12)*RATES!$N691/100</f>
        <v>546.04166666666663</v>
      </c>
      <c r="V715" s="16">
        <f t="shared" si="460"/>
        <v>-65220.816115364927</v>
      </c>
      <c r="W715" s="15">
        <f t="shared" si="435"/>
        <v>22.170849845882874</v>
      </c>
      <c r="X715" s="75">
        <f>W715*(1-PARAM!$C$27)*$I$8+(MOD($B715,60)=PARAM!$B$56)*($B715&gt;(60-PARAM!$B$56))*HLOOKUP(($B715+PARAM!$B$56)/12,Loyalty,2)*$F$1*MAX(Z714,0)</f>
        <v>18.557001321003963</v>
      </c>
      <c r="Y715" s="75">
        <f>PARAM!$C$26+MAX($G$8-CHOOSE(PARAM!$B$44,MAX(0,Z714*$F$1),0),0)*RATES!$L691/12+$H$8*(PARAM!$D$51/12)*RATES!$N691/100</f>
        <v>546.04166666666663</v>
      </c>
      <c r="Z715" s="16">
        <f t="shared" si="461"/>
        <v>-65220.816115364927</v>
      </c>
      <c r="AA715" s="15">
        <f t="shared" si="436"/>
        <v>22.170849845882874</v>
      </c>
      <c r="AB715" s="75">
        <f>AA715*(1-PARAM!$C$27)*$I$9+(MOD($B715,60)=PARAM!$B$56)*($B715&gt;(60-PARAM!$B$56))*HLOOKUP(($B715+PARAM!$B$56)/12,Loyalty,2)*$F$1*MAX(AD714,0)</f>
        <v>18.557001321003963</v>
      </c>
      <c r="AC715" s="75">
        <f>PARAM!$C$26+MAX($G$9-CHOOSE(PARAM!$B$44,MAX(0,AD714*$F$1),0),0)*RATES!$L691/12+$H$9*(PARAM!$D$51/12)*RATES!$N691/100</f>
        <v>546.04166666666663</v>
      </c>
      <c r="AD715" s="16">
        <f t="shared" si="462"/>
        <v>-65220.816115364927</v>
      </c>
      <c r="AE715" s="15">
        <f t="shared" si="437"/>
        <v>22.170849845882874</v>
      </c>
      <c r="AF715" s="75">
        <f>AE715*(1-PARAM!$C$27)*$I$10+(MOD($B715,60)=PARAM!$B$56)*($B715&gt;(60-PARAM!$B$56))*HLOOKUP(($B715+PARAM!$B$56)/12,Loyalty,2)*$F$1*MAX(AH714,0)</f>
        <v>18.557001321003963</v>
      </c>
      <c r="AG715" s="75">
        <f>PARAM!$C$26+MAX($G$10-CHOOSE(PARAM!$B$44,MAX(0,AH714*$F$1),0),0)*RATES!$L691/12+$H$10*(PARAM!$D$51/12)*RATES!$N691/100</f>
        <v>546.04166666666663</v>
      </c>
      <c r="AH715" s="16">
        <f t="shared" si="463"/>
        <v>-65220.816115364927</v>
      </c>
      <c r="AI715" s="15">
        <f t="shared" si="438"/>
        <v>22.170849845882874</v>
      </c>
      <c r="AJ715" s="75">
        <f>AI715*(1-PARAM!$C$27)*$I$11+(MOD($B715,60)=PARAM!$B$56)*($B715&gt;(60-PARAM!$B$56))*HLOOKUP(($B715+PARAM!$B$56)/12,Loyalty,2)*$F$1*MAX(AL714,0)</f>
        <v>18.557001321003963</v>
      </c>
      <c r="AK715" s="75">
        <f>PARAM!$C$26+MAX($G$11-CHOOSE(PARAM!$B$44,MAX(0,AL714*$F$1),0),0)*RATES!$L691/12+$H$11*(PARAM!$D$51/12)*RATES!$N691/100</f>
        <v>546.04166666666663</v>
      </c>
      <c r="AL715" s="16">
        <f t="shared" si="464"/>
        <v>-65220.816115364927</v>
      </c>
      <c r="AM715" s="15">
        <f t="shared" si="439"/>
        <v>22.170849845882874</v>
      </c>
      <c r="AN715" s="75">
        <f>AM715*(1-PARAM!$C$27)*$I$12+(MOD($B715,60)=PARAM!$B$56)*($B715&gt;(60-PARAM!$B$56))*HLOOKUP(($B715+PARAM!$B$56)/12,Loyalty,2)*$F$1*MAX(AP714,0)</f>
        <v>18.557001321003963</v>
      </c>
      <c r="AO715" s="75">
        <f>PARAM!$C$26+MAX($G$12-CHOOSE(PARAM!$B$44,MAX(0,AP714*$F$1),0),0)*RATES!$L691/12+$H$12*(PARAM!$D$51/12)*RATES!$N691/100</f>
        <v>546.04166666666663</v>
      </c>
      <c r="AP715" s="16">
        <f t="shared" si="465"/>
        <v>-65220.816115364927</v>
      </c>
      <c r="AQ715" s="15">
        <f t="shared" si="440"/>
        <v>22.170849845882874</v>
      </c>
      <c r="AR715" s="75">
        <f>AQ715*(1-PARAM!$C$27)*$I$13+(MOD($B715,60)=PARAM!$B$56)*($B715&gt;(60-PARAM!$B$56))*HLOOKUP(($B715+PARAM!$B$56)/12,Loyalty,2)*$F$1*MAX(AT714,0)</f>
        <v>18.557001321003963</v>
      </c>
      <c r="AS715" s="75">
        <f>PARAM!$C$26+MAX($G$13-CHOOSE(PARAM!$B$44,MAX(0,AT714*$F$1),0),0)*RATES!$L691/12+$H$13*(PARAM!$D$51/12)*RATES!$N691/100</f>
        <v>546.04166666666663</v>
      </c>
      <c r="AT715" s="16">
        <f t="shared" si="466"/>
        <v>-65220.816115364927</v>
      </c>
      <c r="AU715" s="15">
        <f t="shared" si="441"/>
        <v>22.170849845882874</v>
      </c>
      <c r="AV715" s="75">
        <f>AU715*(1-PARAM!$C$27)*$I$14+(MOD($B715,60)=PARAM!$B$56)*($B715&gt;(60-PARAM!$B$56))*HLOOKUP(($B715+PARAM!$B$56)/12,Loyalty,2)*$F$1*MAX(AX714,0)</f>
        <v>18.557001321003963</v>
      </c>
      <c r="AW715" s="75">
        <f>PARAM!$C$26+MAX($G$14-CHOOSE(PARAM!$B$44,MAX(0,AX714*$F$1),0),0)*RATES!$L691/12+$H$14*(PARAM!$D$51/12)*RATES!$N691/100</f>
        <v>546.04166666666663</v>
      </c>
      <c r="AX715" s="16">
        <f t="shared" si="467"/>
        <v>-65220.816115364927</v>
      </c>
      <c r="AY715" s="15">
        <f t="shared" si="442"/>
        <v>22.170849845882874</v>
      </c>
      <c r="AZ715" s="75">
        <f>AY715*(1-PARAM!$C$27)*$I$15+(MOD($B715,60)=PARAM!$B$56)*($B715&gt;(60-PARAM!$B$56))*HLOOKUP(($B715+PARAM!$B$56)/12,Loyalty,2)*$F$1*MAX(BB714,0)</f>
        <v>18.557001321003963</v>
      </c>
      <c r="BA715" s="75">
        <f>PARAM!$C$26+MAX($G$15-CHOOSE(PARAM!$B$44,MAX(0,BB714*$F$1),0),0)*RATES!$L691/12+$H$15*(PARAM!$D$51/12)*RATES!$N691/100</f>
        <v>546.04166666666663</v>
      </c>
      <c r="BB715" s="16">
        <f t="shared" si="468"/>
        <v>-65220.816115364927</v>
      </c>
      <c r="BC715" s="15">
        <f t="shared" si="443"/>
        <v>22.170849845882874</v>
      </c>
      <c r="BD715" s="75">
        <f>BC715*(1-PARAM!$C$27)*$I$16+(MOD($B715,60)=PARAM!$B$56)*($B715&gt;(60-PARAM!$B$56))*HLOOKUP(($B715+PARAM!$B$56)/12,Loyalty,2)*$F$1*MAX(BF714,0)</f>
        <v>18.557001321003963</v>
      </c>
      <c r="BE715" s="75">
        <f>PARAM!$C$26+MAX($G$16-CHOOSE(PARAM!$B$44,MAX(0,BF714*$F$1),0),0)*RATES!$L691/12+$H$16*(PARAM!$D$51/12)*RATES!$N691/100</f>
        <v>546.04166666666663</v>
      </c>
      <c r="BF715" s="16">
        <f t="shared" si="469"/>
        <v>-65220.816115364927</v>
      </c>
      <c r="BG715" s="15">
        <f t="shared" si="444"/>
        <v>22.170849845882874</v>
      </c>
      <c r="BH715" s="75">
        <f>BG715*(1-PARAM!$C$27)*$I$17+(MOD($B715,60)=PARAM!$B$56)*($B715&gt;(60-PARAM!$B$56))*HLOOKUP(($B715+PARAM!$B$56)/12,Loyalty,2)*$F$1*MAX(BJ714,0)</f>
        <v>18.557001321003963</v>
      </c>
      <c r="BI715" s="75">
        <f>PARAM!$C$26+MAX($G$17-CHOOSE(PARAM!$B$44,MAX(0,BJ714*$F$1),0),0)*RATES!$L691/12+$H$17*(PARAM!$D$51/12)*RATES!$N691/100</f>
        <v>546.04166666666663</v>
      </c>
      <c r="BJ715" s="16">
        <f t="shared" si="470"/>
        <v>-65220.816115364927</v>
      </c>
      <c r="BK715" s="15">
        <f t="shared" si="445"/>
        <v>22.170849845882874</v>
      </c>
      <c r="BL715" s="75">
        <f>BK715*(1-PARAM!$C$27)*$I$18+(MOD($B715,60)=PARAM!$B$56)*($B715&gt;(60-PARAM!$B$56))*HLOOKUP(($B715+PARAM!$B$56)/12,Loyalty,2)*$F$1*MAX(BN714,0)</f>
        <v>18.557001321003963</v>
      </c>
      <c r="BM715" s="75">
        <f>PARAM!$C$26+MAX($G$18-CHOOSE(PARAM!$B$44,MAX(0,BN714*$F$1),0),0)*RATES!$L691/12+$H$18*(PARAM!$D$51/12)*RATES!$N691/100</f>
        <v>546.04166666666663</v>
      </c>
      <c r="BN715" s="16">
        <f t="shared" si="471"/>
        <v>-65220.816115364927</v>
      </c>
      <c r="BO715" s="15">
        <f t="shared" si="446"/>
        <v>22.170849845882874</v>
      </c>
      <c r="BP715" s="75">
        <f>BO715*(1-PARAM!$C$27)*$I$19+(MOD($B715,60)=PARAM!$B$56)*($B715&gt;(60-PARAM!$B$56))*HLOOKUP(($B715+PARAM!$B$56)/12,Loyalty,2)*$F$1*MAX(BR714,0)</f>
        <v>18.557001321003963</v>
      </c>
      <c r="BQ715" s="75">
        <f>PARAM!$C$26+MAX($G$19-CHOOSE(PARAM!$B$44,MAX(0,BR714*$F$1),0),0)*RATES!$L691/12+$H$19*(PARAM!$D$51/12)*RATES!$N691/100</f>
        <v>546.04166666666663</v>
      </c>
      <c r="BR715" s="16">
        <f t="shared" si="472"/>
        <v>-65220.816115364927</v>
      </c>
      <c r="BS715" s="15">
        <f t="shared" si="447"/>
        <v>22.170849845882874</v>
      </c>
      <c r="BT715" s="75">
        <f>BS715*(1-PARAM!$C$27)*$I$20+(MOD($B715,60)=PARAM!$B$56)*($B715&gt;(60-PARAM!$B$56))*HLOOKUP(($B715+PARAM!$B$56)/12,Loyalty,2)*$F$1*MAX(BV714,0)</f>
        <v>18.557001321003963</v>
      </c>
      <c r="BU715" s="75">
        <f>PARAM!$C$26+MAX($G$20-CHOOSE(PARAM!$B$44,MAX(0,BV714*$F$1),0),0)*RATES!$L691/12+$H$20*(PARAM!$D$51/12)*RATES!$N691/100</f>
        <v>546.04166666666663</v>
      </c>
      <c r="BV715" s="16">
        <f t="shared" si="473"/>
        <v>-65220.816115364927</v>
      </c>
      <c r="BW715" s="15">
        <f t="shared" si="448"/>
        <v>22.170849845882874</v>
      </c>
      <c r="BX715" s="75">
        <f>BW715*(1-PARAM!$C$27)*$I$21+(MOD($B715,60)=PARAM!$B$56)*($B715&gt;(60-PARAM!$B$56))*HLOOKUP(($B715+PARAM!$B$56)/12,Loyalty,2)*$F$1*MAX(BZ714,0)</f>
        <v>18.557001321003963</v>
      </c>
      <c r="BY715" s="75">
        <f>PARAM!$C$26+MAX($G$21-CHOOSE(PARAM!$B$44,MAX(0,BZ714*$F$1),0),0)*RATES!$L691/12+$H$21*(PARAM!$D$51/12)*RATES!$N691/100</f>
        <v>546.04166666666663</v>
      </c>
      <c r="BZ715" s="16">
        <f t="shared" si="474"/>
        <v>-65220.816115364927</v>
      </c>
      <c r="CA715" s="15">
        <f t="shared" si="449"/>
        <v>22.170849845882874</v>
      </c>
      <c r="CB715" s="75">
        <f>CA715*(1-PARAM!$C$27)*$I$22+(MOD($B715,60)=PARAM!$B$56)*($B715&gt;(60-PARAM!$B$56))*HLOOKUP(($B715+PARAM!$B$56)/12,Loyalty,2)*$F$1*MAX(CD714,0)</f>
        <v>18.557001321003963</v>
      </c>
      <c r="CC715" s="75">
        <f>PARAM!$C$26+MAX($G$22-CHOOSE(PARAM!$B$44,MAX(0,CD714*$F$1),0),0)*RATES!$L691/12+$H$22*(PARAM!$D$51/12)*RATES!$N691/100</f>
        <v>546.04166666666663</v>
      </c>
      <c r="CD715" s="16">
        <f t="shared" si="475"/>
        <v>-65220.816115364927</v>
      </c>
      <c r="CE715" s="33">
        <f>IF(0=MOD(B715,12/PARAM!$D$51),1,0)</f>
        <v>1</v>
      </c>
      <c r="CF715" s="15">
        <f t="shared" si="450"/>
        <v>0</v>
      </c>
      <c r="CG715" s="75">
        <f>CF715*(1-PARAM!$C$27)*$R$3+(MOD($B715/12,5)=0)*($B715&gt;60)*HLOOKUP($B715/12,Loyalty,2)*$F$1*MAX(CI714,0)</f>
        <v>0</v>
      </c>
      <c r="CH715" s="75">
        <f>PARAM!$C$26+MAX($P$3-CHOOSE(PARAM!$B$44,MAX(0,CI714*$F$1),0),0)*RATES!$L691/12+$Q$3*(PARAM!$D$51/12)*RATES!$N691/100</f>
        <v>546.04166666666663</v>
      </c>
      <c r="CI715" s="16">
        <f>IF(CI714&gt;0,CI714*PARAM!$C$53,CI714)+CG715-CH715</f>
        <v>-77868.458333333445</v>
      </c>
      <c r="CJ715" s="15">
        <f t="shared" si="476"/>
        <v>0</v>
      </c>
      <c r="CK715" s="75">
        <f>CJ715*(1-PARAM!$C$27)*$R$4+(MOD($B715/12,5)=0)*($B715&gt;60)*HLOOKUP($B715/12,Loyalty,2)*$F$1*MAX(CM714,0)</f>
        <v>0</v>
      </c>
      <c r="CL715" s="75">
        <f>PARAM!$C$26+MAX($P$4-CHOOSE(PARAM!$B$44,MAX(0,CM714*$F$1),0),0)*RATES!$L691/12+$Q$4*(PARAM!$D$51/12)*RATES!$N691/100</f>
        <v>546.04166666666663</v>
      </c>
      <c r="CM715" s="16">
        <f>IF(CM714&gt;0,CM714*PARAM!$C$53,CM714)+CK715-CL715</f>
        <v>-77868.458333333445</v>
      </c>
      <c r="CO715" s="176"/>
    </row>
    <row r="716" spans="1:93" x14ac:dyDescent="0.2">
      <c r="A716" t="b">
        <f t="shared" si="451"/>
        <v>0</v>
      </c>
      <c r="B716" s="33">
        <v>689</v>
      </c>
      <c r="C716" s="15">
        <f t="shared" si="452"/>
        <v>20.081305947392778</v>
      </c>
      <c r="D716" s="75">
        <f>C716*(1-PARAM!$C$27)*$I$3+(MOD($B716,60)=PARAM!$B$56)*($B716&gt;(60-PARAM!$B$56))*HLOOKUP(($B716+PARAM!$B$56)/12,Loyalty,2)*$F$1*MAX(F715,0)</f>
        <v>16.808053077967756</v>
      </c>
      <c r="E716" s="75">
        <f>PARAM!$C$26+MAX($G$3-CHOOSE(PARAM!$B$44,MAX(0,F715*$F$1),0),0)*RATES!$L692/12+$H$3*(PARAM!$D$51/12)*RATES!$N692/100</f>
        <v>546.04166666666663</v>
      </c>
      <c r="F716" s="16">
        <f t="shared" si="453"/>
        <v>-66990.176620683895</v>
      </c>
      <c r="G716" s="15">
        <f t="shared" si="454"/>
        <v>22.035289406060361</v>
      </c>
      <c r="H716" s="75">
        <f>G716*(1-PARAM!$C$27)*$I$4+(MOD($B716,60)=PARAM!$B$56)*($B716&gt;(60-PARAM!$B$56))*HLOOKUP(($B716+PARAM!$B$56)/12,Loyalty,2)*$F$1*MAX(J715,0)</f>
        <v>18.443537232872522</v>
      </c>
      <c r="I716" s="75">
        <f>PARAM!$C$26+MAX($G$4-CHOOSE(PARAM!$B$44,MAX(0,J715*$F$1),0),0)*RATES!$L692/12+$H$4*(PARAM!$D$51/12)*RATES!$N692/100</f>
        <v>546.04166666666663</v>
      </c>
      <c r="J716" s="16">
        <f t="shared" si="455"/>
        <v>-65829.495073832732</v>
      </c>
      <c r="K716" s="15">
        <f t="shared" si="456"/>
        <v>22.170849845882874</v>
      </c>
      <c r="L716" s="75">
        <f>K716*(1-PARAM!$C$27)*$I$5+(MOD($B716,60)=PARAM!$B$56)*($B716&gt;(60-PARAM!$B$56))*HLOOKUP(($B716+PARAM!$B$56)/12,Loyalty,2)*$F$1*MAX(N715,0)</f>
        <v>18.557001321003963</v>
      </c>
      <c r="M716" s="75">
        <f>PARAM!$C$26+MAX($G$5-CHOOSE(PARAM!$B$44,MAX(0,N715*$F$1),0),0)*RATES!$L692/12+$H$5*(PARAM!$D$51/12)*RATES!$N692/100</f>
        <v>546.04166666666663</v>
      </c>
      <c r="N716" s="16">
        <f t="shared" si="457"/>
        <v>-65748.30078071059</v>
      </c>
      <c r="O716" s="15">
        <f t="shared" si="458"/>
        <v>22.170849845882874</v>
      </c>
      <c r="P716" s="75">
        <f>O716*(1-PARAM!$C$27)*$I$6+(MOD($B716,60)=PARAM!$B$56)*($B716&gt;(60-PARAM!$B$56))*HLOOKUP(($B716+PARAM!$B$56)/12,Loyalty,2)*$F$1*MAX(R715,0)</f>
        <v>18.557001321003963</v>
      </c>
      <c r="Q716" s="75">
        <f>PARAM!$C$26+MAX($G$6-CHOOSE(PARAM!$B$44,MAX(0,R715*$F$1),0),0)*RATES!$L692/12+$H$6*(PARAM!$D$51/12)*RATES!$N692/100</f>
        <v>546.04166666666663</v>
      </c>
      <c r="R716" s="16">
        <f t="shared" si="459"/>
        <v>-65748.30078071059</v>
      </c>
      <c r="S716" s="15">
        <f t="shared" si="434"/>
        <v>22.170849845882874</v>
      </c>
      <c r="T716" s="75">
        <f>S716*(1-PARAM!$C$27)*$I$7+(MOD($B716,60)=PARAM!$B$56)*($B716&gt;(60-PARAM!$B$56))*HLOOKUP(($B716+PARAM!$B$56)/12,Loyalty,2)*$F$1*MAX(V715,0)</f>
        <v>18.557001321003963</v>
      </c>
      <c r="U716" s="75">
        <f>PARAM!$C$26+MAX($G$7-CHOOSE(PARAM!$B$44,MAX(0,V715*$F$1),0),0)*RATES!$L692/12+$H$7*(PARAM!$D$51/12)*RATES!$N692/100</f>
        <v>546.04166666666663</v>
      </c>
      <c r="V716" s="16">
        <f t="shared" si="460"/>
        <v>-65748.30078071059</v>
      </c>
      <c r="W716" s="15">
        <f t="shared" si="435"/>
        <v>22.170849845882874</v>
      </c>
      <c r="X716" s="75">
        <f>W716*(1-PARAM!$C$27)*$I$8+(MOD($B716,60)=PARAM!$B$56)*($B716&gt;(60-PARAM!$B$56))*HLOOKUP(($B716+PARAM!$B$56)/12,Loyalty,2)*$F$1*MAX(Z715,0)</f>
        <v>18.557001321003963</v>
      </c>
      <c r="Y716" s="75">
        <f>PARAM!$C$26+MAX($G$8-CHOOSE(PARAM!$B$44,MAX(0,Z715*$F$1),0),0)*RATES!$L692/12+$H$8*(PARAM!$D$51/12)*RATES!$N692/100</f>
        <v>546.04166666666663</v>
      </c>
      <c r="Z716" s="16">
        <f t="shared" si="461"/>
        <v>-65748.30078071059</v>
      </c>
      <c r="AA716" s="15">
        <f t="shared" si="436"/>
        <v>22.170849845882874</v>
      </c>
      <c r="AB716" s="75">
        <f>AA716*(1-PARAM!$C$27)*$I$9+(MOD($B716,60)=PARAM!$B$56)*($B716&gt;(60-PARAM!$B$56))*HLOOKUP(($B716+PARAM!$B$56)/12,Loyalty,2)*$F$1*MAX(AD715,0)</f>
        <v>18.557001321003963</v>
      </c>
      <c r="AC716" s="75">
        <f>PARAM!$C$26+MAX($G$9-CHOOSE(PARAM!$B$44,MAX(0,AD715*$F$1),0),0)*RATES!$L692/12+$H$9*(PARAM!$D$51/12)*RATES!$N692/100</f>
        <v>546.04166666666663</v>
      </c>
      <c r="AD716" s="16">
        <f t="shared" si="462"/>
        <v>-65748.30078071059</v>
      </c>
      <c r="AE716" s="15">
        <f t="shared" si="437"/>
        <v>22.170849845882874</v>
      </c>
      <c r="AF716" s="75">
        <f>AE716*(1-PARAM!$C$27)*$I$10+(MOD($B716,60)=PARAM!$B$56)*($B716&gt;(60-PARAM!$B$56))*HLOOKUP(($B716+PARAM!$B$56)/12,Loyalty,2)*$F$1*MAX(AH715,0)</f>
        <v>18.557001321003963</v>
      </c>
      <c r="AG716" s="75">
        <f>PARAM!$C$26+MAX($G$10-CHOOSE(PARAM!$B$44,MAX(0,AH715*$F$1),0),0)*RATES!$L692/12+$H$10*(PARAM!$D$51/12)*RATES!$N692/100</f>
        <v>546.04166666666663</v>
      </c>
      <c r="AH716" s="16">
        <f t="shared" si="463"/>
        <v>-65748.30078071059</v>
      </c>
      <c r="AI716" s="15">
        <f t="shared" si="438"/>
        <v>22.170849845882874</v>
      </c>
      <c r="AJ716" s="75">
        <f>AI716*(1-PARAM!$C$27)*$I$11+(MOD($B716,60)=PARAM!$B$56)*($B716&gt;(60-PARAM!$B$56))*HLOOKUP(($B716+PARAM!$B$56)/12,Loyalty,2)*$F$1*MAX(AL715,0)</f>
        <v>18.557001321003963</v>
      </c>
      <c r="AK716" s="75">
        <f>PARAM!$C$26+MAX($G$11-CHOOSE(PARAM!$B$44,MAX(0,AL715*$F$1),0),0)*RATES!$L692/12+$H$11*(PARAM!$D$51/12)*RATES!$N692/100</f>
        <v>546.04166666666663</v>
      </c>
      <c r="AL716" s="16">
        <f t="shared" si="464"/>
        <v>-65748.30078071059</v>
      </c>
      <c r="AM716" s="15">
        <f t="shared" si="439"/>
        <v>22.170849845882874</v>
      </c>
      <c r="AN716" s="75">
        <f>AM716*(1-PARAM!$C$27)*$I$12+(MOD($B716,60)=PARAM!$B$56)*($B716&gt;(60-PARAM!$B$56))*HLOOKUP(($B716+PARAM!$B$56)/12,Loyalty,2)*$F$1*MAX(AP715,0)</f>
        <v>18.557001321003963</v>
      </c>
      <c r="AO716" s="75">
        <f>PARAM!$C$26+MAX($G$12-CHOOSE(PARAM!$B$44,MAX(0,AP715*$F$1),0),0)*RATES!$L692/12+$H$12*(PARAM!$D$51/12)*RATES!$N692/100</f>
        <v>546.04166666666663</v>
      </c>
      <c r="AP716" s="16">
        <f t="shared" si="465"/>
        <v>-65748.30078071059</v>
      </c>
      <c r="AQ716" s="15">
        <f t="shared" si="440"/>
        <v>22.170849845882874</v>
      </c>
      <c r="AR716" s="75">
        <f>AQ716*(1-PARAM!$C$27)*$I$13+(MOD($B716,60)=PARAM!$B$56)*($B716&gt;(60-PARAM!$B$56))*HLOOKUP(($B716+PARAM!$B$56)/12,Loyalty,2)*$F$1*MAX(AT715,0)</f>
        <v>18.557001321003963</v>
      </c>
      <c r="AS716" s="75">
        <f>PARAM!$C$26+MAX($G$13-CHOOSE(PARAM!$B$44,MAX(0,AT715*$F$1),0),0)*RATES!$L692/12+$H$13*(PARAM!$D$51/12)*RATES!$N692/100</f>
        <v>546.04166666666663</v>
      </c>
      <c r="AT716" s="16">
        <f t="shared" si="466"/>
        <v>-65748.30078071059</v>
      </c>
      <c r="AU716" s="15">
        <f t="shared" si="441"/>
        <v>22.170849845882874</v>
      </c>
      <c r="AV716" s="75">
        <f>AU716*(1-PARAM!$C$27)*$I$14+(MOD($B716,60)=PARAM!$B$56)*($B716&gt;(60-PARAM!$B$56))*HLOOKUP(($B716+PARAM!$B$56)/12,Loyalty,2)*$F$1*MAX(AX715,0)</f>
        <v>18.557001321003963</v>
      </c>
      <c r="AW716" s="75">
        <f>PARAM!$C$26+MAX($G$14-CHOOSE(PARAM!$B$44,MAX(0,AX715*$F$1),0),0)*RATES!$L692/12+$H$14*(PARAM!$D$51/12)*RATES!$N692/100</f>
        <v>546.04166666666663</v>
      </c>
      <c r="AX716" s="16">
        <f t="shared" si="467"/>
        <v>-65748.30078071059</v>
      </c>
      <c r="AY716" s="15">
        <f t="shared" si="442"/>
        <v>22.170849845882874</v>
      </c>
      <c r="AZ716" s="75">
        <f>AY716*(1-PARAM!$C$27)*$I$15+(MOD($B716,60)=PARAM!$B$56)*($B716&gt;(60-PARAM!$B$56))*HLOOKUP(($B716+PARAM!$B$56)/12,Loyalty,2)*$F$1*MAX(BB715,0)</f>
        <v>18.557001321003963</v>
      </c>
      <c r="BA716" s="75">
        <f>PARAM!$C$26+MAX($G$15-CHOOSE(PARAM!$B$44,MAX(0,BB715*$F$1),0),0)*RATES!$L692/12+$H$15*(PARAM!$D$51/12)*RATES!$N692/100</f>
        <v>546.04166666666663</v>
      </c>
      <c r="BB716" s="16">
        <f t="shared" si="468"/>
        <v>-65748.30078071059</v>
      </c>
      <c r="BC716" s="15">
        <f t="shared" si="443"/>
        <v>22.170849845882874</v>
      </c>
      <c r="BD716" s="75">
        <f>BC716*(1-PARAM!$C$27)*$I$16+(MOD($B716,60)=PARAM!$B$56)*($B716&gt;(60-PARAM!$B$56))*HLOOKUP(($B716+PARAM!$B$56)/12,Loyalty,2)*$F$1*MAX(BF715,0)</f>
        <v>18.557001321003963</v>
      </c>
      <c r="BE716" s="75">
        <f>PARAM!$C$26+MAX($G$16-CHOOSE(PARAM!$B$44,MAX(0,BF715*$F$1),0),0)*RATES!$L692/12+$H$16*(PARAM!$D$51/12)*RATES!$N692/100</f>
        <v>546.04166666666663</v>
      </c>
      <c r="BF716" s="16">
        <f t="shared" si="469"/>
        <v>-65748.30078071059</v>
      </c>
      <c r="BG716" s="15">
        <f t="shared" si="444"/>
        <v>22.170849845882874</v>
      </c>
      <c r="BH716" s="75">
        <f>BG716*(1-PARAM!$C$27)*$I$17+(MOD($B716,60)=PARAM!$B$56)*($B716&gt;(60-PARAM!$B$56))*HLOOKUP(($B716+PARAM!$B$56)/12,Loyalty,2)*$F$1*MAX(BJ715,0)</f>
        <v>18.557001321003963</v>
      </c>
      <c r="BI716" s="75">
        <f>PARAM!$C$26+MAX($G$17-CHOOSE(PARAM!$B$44,MAX(0,BJ715*$F$1),0),0)*RATES!$L692/12+$H$17*(PARAM!$D$51/12)*RATES!$N692/100</f>
        <v>546.04166666666663</v>
      </c>
      <c r="BJ716" s="16">
        <f t="shared" si="470"/>
        <v>-65748.30078071059</v>
      </c>
      <c r="BK716" s="15">
        <f t="shared" si="445"/>
        <v>22.170849845882874</v>
      </c>
      <c r="BL716" s="75">
        <f>BK716*(1-PARAM!$C$27)*$I$18+(MOD($B716,60)=PARAM!$B$56)*($B716&gt;(60-PARAM!$B$56))*HLOOKUP(($B716+PARAM!$B$56)/12,Loyalty,2)*$F$1*MAX(BN715,0)</f>
        <v>18.557001321003963</v>
      </c>
      <c r="BM716" s="75">
        <f>PARAM!$C$26+MAX($G$18-CHOOSE(PARAM!$B$44,MAX(0,BN715*$F$1),0),0)*RATES!$L692/12+$H$18*(PARAM!$D$51/12)*RATES!$N692/100</f>
        <v>546.04166666666663</v>
      </c>
      <c r="BN716" s="16">
        <f t="shared" si="471"/>
        <v>-65748.30078071059</v>
      </c>
      <c r="BO716" s="15">
        <f t="shared" si="446"/>
        <v>22.170849845882874</v>
      </c>
      <c r="BP716" s="75">
        <f>BO716*(1-PARAM!$C$27)*$I$19+(MOD($B716,60)=PARAM!$B$56)*($B716&gt;(60-PARAM!$B$56))*HLOOKUP(($B716+PARAM!$B$56)/12,Loyalty,2)*$F$1*MAX(BR715,0)</f>
        <v>18.557001321003963</v>
      </c>
      <c r="BQ716" s="75">
        <f>PARAM!$C$26+MAX($G$19-CHOOSE(PARAM!$B$44,MAX(0,BR715*$F$1),0),0)*RATES!$L692/12+$H$19*(PARAM!$D$51/12)*RATES!$N692/100</f>
        <v>546.04166666666663</v>
      </c>
      <c r="BR716" s="16">
        <f t="shared" si="472"/>
        <v>-65748.30078071059</v>
      </c>
      <c r="BS716" s="15">
        <f t="shared" si="447"/>
        <v>22.170849845882874</v>
      </c>
      <c r="BT716" s="75">
        <f>BS716*(1-PARAM!$C$27)*$I$20+(MOD($B716,60)=PARAM!$B$56)*($B716&gt;(60-PARAM!$B$56))*HLOOKUP(($B716+PARAM!$B$56)/12,Loyalty,2)*$F$1*MAX(BV715,0)</f>
        <v>18.557001321003963</v>
      </c>
      <c r="BU716" s="75">
        <f>PARAM!$C$26+MAX($G$20-CHOOSE(PARAM!$B$44,MAX(0,BV715*$F$1),0),0)*RATES!$L692/12+$H$20*(PARAM!$D$51/12)*RATES!$N692/100</f>
        <v>546.04166666666663</v>
      </c>
      <c r="BV716" s="16">
        <f t="shared" si="473"/>
        <v>-65748.30078071059</v>
      </c>
      <c r="BW716" s="15">
        <f t="shared" si="448"/>
        <v>22.170849845882874</v>
      </c>
      <c r="BX716" s="75">
        <f>BW716*(1-PARAM!$C$27)*$I$21+(MOD($B716,60)=PARAM!$B$56)*($B716&gt;(60-PARAM!$B$56))*HLOOKUP(($B716+PARAM!$B$56)/12,Loyalty,2)*$F$1*MAX(BZ715,0)</f>
        <v>18.557001321003963</v>
      </c>
      <c r="BY716" s="75">
        <f>PARAM!$C$26+MAX($G$21-CHOOSE(PARAM!$B$44,MAX(0,BZ715*$F$1),0),0)*RATES!$L692/12+$H$21*(PARAM!$D$51/12)*RATES!$N692/100</f>
        <v>546.04166666666663</v>
      </c>
      <c r="BZ716" s="16">
        <f t="shared" si="474"/>
        <v>-65748.30078071059</v>
      </c>
      <c r="CA716" s="15">
        <f t="shared" si="449"/>
        <v>22.170849845882874</v>
      </c>
      <c r="CB716" s="75">
        <f>CA716*(1-PARAM!$C$27)*$I$22+(MOD($B716,60)=PARAM!$B$56)*($B716&gt;(60-PARAM!$B$56))*HLOOKUP(($B716+PARAM!$B$56)/12,Loyalty,2)*$F$1*MAX(CD715,0)</f>
        <v>18.557001321003963</v>
      </c>
      <c r="CC716" s="75">
        <f>PARAM!$C$26+MAX($G$22-CHOOSE(PARAM!$B$44,MAX(0,CD715*$F$1),0),0)*RATES!$L692/12+$H$22*(PARAM!$D$51/12)*RATES!$N692/100</f>
        <v>546.04166666666663</v>
      </c>
      <c r="CD716" s="16">
        <f t="shared" si="475"/>
        <v>-65748.30078071059</v>
      </c>
      <c r="CE716" s="33">
        <f>IF(0=MOD(B716,12/PARAM!$D$51),1,0)</f>
        <v>1</v>
      </c>
      <c r="CF716" s="15">
        <f t="shared" si="450"/>
        <v>0</v>
      </c>
      <c r="CG716" s="75">
        <f>CF716*(1-PARAM!$C$27)*$R$3+(MOD($B716/12,5)=0)*($B716&gt;60)*HLOOKUP($B716/12,Loyalty,2)*$F$1*MAX(CI715,0)</f>
        <v>0</v>
      </c>
      <c r="CH716" s="75">
        <f>PARAM!$C$26+MAX($P$3-CHOOSE(PARAM!$B$44,MAX(0,CI715*$F$1),0),0)*RATES!$L692/12+$Q$3*(PARAM!$D$51/12)*RATES!$N692/100</f>
        <v>546.04166666666663</v>
      </c>
      <c r="CI716" s="16">
        <f>IF(CI715&gt;0,CI715*PARAM!$C$53,CI715)+CG716-CH716</f>
        <v>-78414.500000000116</v>
      </c>
      <c r="CJ716" s="15">
        <f t="shared" si="476"/>
        <v>0</v>
      </c>
      <c r="CK716" s="75">
        <f>CJ716*(1-PARAM!$C$27)*$R$4+(MOD($B716/12,5)=0)*($B716&gt;60)*HLOOKUP($B716/12,Loyalty,2)*$F$1*MAX(CM715,0)</f>
        <v>0</v>
      </c>
      <c r="CL716" s="75">
        <f>PARAM!$C$26+MAX($P$4-CHOOSE(PARAM!$B$44,MAX(0,CM715*$F$1),0),0)*RATES!$L692/12+$Q$4*(PARAM!$D$51/12)*RATES!$N692/100</f>
        <v>546.04166666666663</v>
      </c>
      <c r="CM716" s="16">
        <f>IF(CM715&gt;0,CM715*PARAM!$C$53,CM715)+CK716-CL716</f>
        <v>-78414.500000000116</v>
      </c>
      <c r="CO716" s="176"/>
    </row>
    <row r="717" spans="1:93" x14ac:dyDescent="0.2">
      <c r="A717" t="b">
        <f t="shared" si="451"/>
        <v>0</v>
      </c>
      <c r="B717" s="33">
        <v>690</v>
      </c>
      <c r="C717" s="15">
        <f t="shared" si="452"/>
        <v>20.081305947392778</v>
      </c>
      <c r="D717" s="75">
        <f>C717*(1-PARAM!$C$27)*$I$3+(MOD($B717,60)=PARAM!$B$56)*($B717&gt;(60-PARAM!$B$56))*HLOOKUP(($B717+PARAM!$B$56)/12,Loyalty,2)*$F$1*MAX(F716,0)</f>
        <v>16.808053077967756</v>
      </c>
      <c r="E717" s="75">
        <f>PARAM!$C$26+MAX($G$3-CHOOSE(PARAM!$B$44,MAX(0,F716*$F$1),0),0)*RATES!$L693/12+$H$3*(PARAM!$D$51/12)*RATES!$N693/100</f>
        <v>590.79166666666663</v>
      </c>
      <c r="F717" s="16">
        <f t="shared" si="453"/>
        <v>-67564.160234272596</v>
      </c>
      <c r="G717" s="15">
        <f t="shared" si="454"/>
        <v>22.035289406060361</v>
      </c>
      <c r="H717" s="75">
        <f>G717*(1-PARAM!$C$27)*$I$4+(MOD($B717,60)=PARAM!$B$56)*($B717&gt;(60-PARAM!$B$56))*HLOOKUP(($B717+PARAM!$B$56)/12,Loyalty,2)*$F$1*MAX(J716,0)</f>
        <v>18.443537232872522</v>
      </c>
      <c r="I717" s="75">
        <f>PARAM!$C$26+MAX($G$4-CHOOSE(PARAM!$B$44,MAX(0,J716*$F$1),0),0)*RATES!$L693/12+$H$4*(PARAM!$D$51/12)*RATES!$N693/100</f>
        <v>590.79166666666663</v>
      </c>
      <c r="J717" s="16">
        <f t="shared" si="455"/>
        <v>-66401.84320326653</v>
      </c>
      <c r="K717" s="15">
        <f t="shared" si="456"/>
        <v>22.170849845882874</v>
      </c>
      <c r="L717" s="75">
        <f>K717*(1-PARAM!$C$27)*$I$5+(MOD($B717,60)=PARAM!$B$56)*($B717&gt;(60-PARAM!$B$56))*HLOOKUP(($B717+PARAM!$B$56)/12,Loyalty,2)*$F$1*MAX(N716,0)</f>
        <v>18.557001321003963</v>
      </c>
      <c r="M717" s="75">
        <f>PARAM!$C$26+MAX($G$5-CHOOSE(PARAM!$B$44,MAX(0,N716*$F$1),0),0)*RATES!$L693/12+$H$5*(PARAM!$D$51/12)*RATES!$N693/100</f>
        <v>590.79166666666663</v>
      </c>
      <c r="N717" s="16">
        <f t="shared" si="457"/>
        <v>-66320.535446056252</v>
      </c>
      <c r="O717" s="15">
        <f t="shared" si="458"/>
        <v>22.170849845882874</v>
      </c>
      <c r="P717" s="75">
        <f>O717*(1-PARAM!$C$27)*$I$6+(MOD($B717,60)=PARAM!$B$56)*($B717&gt;(60-PARAM!$B$56))*HLOOKUP(($B717+PARAM!$B$56)/12,Loyalty,2)*$F$1*MAX(R716,0)</f>
        <v>18.557001321003963</v>
      </c>
      <c r="Q717" s="75">
        <f>PARAM!$C$26+MAX($G$6-CHOOSE(PARAM!$B$44,MAX(0,R716*$F$1),0),0)*RATES!$L693/12+$H$6*(PARAM!$D$51/12)*RATES!$N693/100</f>
        <v>590.79166666666663</v>
      </c>
      <c r="R717" s="16">
        <f t="shared" si="459"/>
        <v>-66320.535446056252</v>
      </c>
      <c r="S717" s="15">
        <f t="shared" si="434"/>
        <v>22.170849845882874</v>
      </c>
      <c r="T717" s="75">
        <f>S717*(1-PARAM!$C$27)*$I$7+(MOD($B717,60)=PARAM!$B$56)*($B717&gt;(60-PARAM!$B$56))*HLOOKUP(($B717+PARAM!$B$56)/12,Loyalty,2)*$F$1*MAX(V716,0)</f>
        <v>18.557001321003963</v>
      </c>
      <c r="U717" s="75">
        <f>PARAM!$C$26+MAX($G$7-CHOOSE(PARAM!$B$44,MAX(0,V716*$F$1),0),0)*RATES!$L693/12+$H$7*(PARAM!$D$51/12)*RATES!$N693/100</f>
        <v>590.79166666666663</v>
      </c>
      <c r="V717" s="16">
        <f t="shared" si="460"/>
        <v>-66320.535446056252</v>
      </c>
      <c r="W717" s="15">
        <f t="shared" si="435"/>
        <v>22.170849845882874</v>
      </c>
      <c r="X717" s="75">
        <f>W717*(1-PARAM!$C$27)*$I$8+(MOD($B717,60)=PARAM!$B$56)*($B717&gt;(60-PARAM!$B$56))*HLOOKUP(($B717+PARAM!$B$56)/12,Loyalty,2)*$F$1*MAX(Z716,0)</f>
        <v>18.557001321003963</v>
      </c>
      <c r="Y717" s="75">
        <f>PARAM!$C$26+MAX($G$8-CHOOSE(PARAM!$B$44,MAX(0,Z716*$F$1),0),0)*RATES!$L693/12+$H$8*(PARAM!$D$51/12)*RATES!$N693/100</f>
        <v>590.79166666666663</v>
      </c>
      <c r="Z717" s="16">
        <f t="shared" si="461"/>
        <v>-66320.535446056252</v>
      </c>
      <c r="AA717" s="15">
        <f t="shared" si="436"/>
        <v>22.170849845882874</v>
      </c>
      <c r="AB717" s="75">
        <f>AA717*(1-PARAM!$C$27)*$I$9+(MOD($B717,60)=PARAM!$B$56)*($B717&gt;(60-PARAM!$B$56))*HLOOKUP(($B717+PARAM!$B$56)/12,Loyalty,2)*$F$1*MAX(AD716,0)</f>
        <v>18.557001321003963</v>
      </c>
      <c r="AC717" s="75">
        <f>PARAM!$C$26+MAX($G$9-CHOOSE(PARAM!$B$44,MAX(0,AD716*$F$1),0),0)*RATES!$L693/12+$H$9*(PARAM!$D$51/12)*RATES!$N693/100</f>
        <v>590.79166666666663</v>
      </c>
      <c r="AD717" s="16">
        <f t="shared" si="462"/>
        <v>-66320.535446056252</v>
      </c>
      <c r="AE717" s="15">
        <f t="shared" si="437"/>
        <v>22.170849845882874</v>
      </c>
      <c r="AF717" s="75">
        <f>AE717*(1-PARAM!$C$27)*$I$10+(MOD($B717,60)=PARAM!$B$56)*($B717&gt;(60-PARAM!$B$56))*HLOOKUP(($B717+PARAM!$B$56)/12,Loyalty,2)*$F$1*MAX(AH716,0)</f>
        <v>18.557001321003963</v>
      </c>
      <c r="AG717" s="75">
        <f>PARAM!$C$26+MAX($G$10-CHOOSE(PARAM!$B$44,MAX(0,AH716*$F$1),0),0)*RATES!$L693/12+$H$10*(PARAM!$D$51/12)*RATES!$N693/100</f>
        <v>590.79166666666663</v>
      </c>
      <c r="AH717" s="16">
        <f t="shared" si="463"/>
        <v>-66320.535446056252</v>
      </c>
      <c r="AI717" s="15">
        <f t="shared" si="438"/>
        <v>22.170849845882874</v>
      </c>
      <c r="AJ717" s="75">
        <f>AI717*(1-PARAM!$C$27)*$I$11+(MOD($B717,60)=PARAM!$B$56)*($B717&gt;(60-PARAM!$B$56))*HLOOKUP(($B717+PARAM!$B$56)/12,Loyalty,2)*$F$1*MAX(AL716,0)</f>
        <v>18.557001321003963</v>
      </c>
      <c r="AK717" s="75">
        <f>PARAM!$C$26+MAX($G$11-CHOOSE(PARAM!$B$44,MAX(0,AL716*$F$1),0),0)*RATES!$L693/12+$H$11*(PARAM!$D$51/12)*RATES!$N693/100</f>
        <v>590.79166666666663</v>
      </c>
      <c r="AL717" s="16">
        <f t="shared" si="464"/>
        <v>-66320.535446056252</v>
      </c>
      <c r="AM717" s="15">
        <f t="shared" si="439"/>
        <v>22.170849845882874</v>
      </c>
      <c r="AN717" s="75">
        <f>AM717*(1-PARAM!$C$27)*$I$12+(MOD($B717,60)=PARAM!$B$56)*($B717&gt;(60-PARAM!$B$56))*HLOOKUP(($B717+PARAM!$B$56)/12,Loyalty,2)*$F$1*MAX(AP716,0)</f>
        <v>18.557001321003963</v>
      </c>
      <c r="AO717" s="75">
        <f>PARAM!$C$26+MAX($G$12-CHOOSE(PARAM!$B$44,MAX(0,AP716*$F$1),0),0)*RATES!$L693/12+$H$12*(PARAM!$D$51/12)*RATES!$N693/100</f>
        <v>590.79166666666663</v>
      </c>
      <c r="AP717" s="16">
        <f t="shared" si="465"/>
        <v>-66320.535446056252</v>
      </c>
      <c r="AQ717" s="15">
        <f t="shared" si="440"/>
        <v>22.170849845882874</v>
      </c>
      <c r="AR717" s="75">
        <f>AQ717*(1-PARAM!$C$27)*$I$13+(MOD($B717,60)=PARAM!$B$56)*($B717&gt;(60-PARAM!$B$56))*HLOOKUP(($B717+PARAM!$B$56)/12,Loyalty,2)*$F$1*MAX(AT716,0)</f>
        <v>18.557001321003963</v>
      </c>
      <c r="AS717" s="75">
        <f>PARAM!$C$26+MAX($G$13-CHOOSE(PARAM!$B$44,MAX(0,AT716*$F$1),0),0)*RATES!$L693/12+$H$13*(PARAM!$D$51/12)*RATES!$N693/100</f>
        <v>590.79166666666663</v>
      </c>
      <c r="AT717" s="16">
        <f t="shared" si="466"/>
        <v>-66320.535446056252</v>
      </c>
      <c r="AU717" s="15">
        <f t="shared" si="441"/>
        <v>22.170849845882874</v>
      </c>
      <c r="AV717" s="75">
        <f>AU717*(1-PARAM!$C$27)*$I$14+(MOD($B717,60)=PARAM!$B$56)*($B717&gt;(60-PARAM!$B$56))*HLOOKUP(($B717+PARAM!$B$56)/12,Loyalty,2)*$F$1*MAX(AX716,0)</f>
        <v>18.557001321003963</v>
      </c>
      <c r="AW717" s="75">
        <f>PARAM!$C$26+MAX($G$14-CHOOSE(PARAM!$B$44,MAX(0,AX716*$F$1),0),0)*RATES!$L693/12+$H$14*(PARAM!$D$51/12)*RATES!$N693/100</f>
        <v>590.79166666666663</v>
      </c>
      <c r="AX717" s="16">
        <f t="shared" si="467"/>
        <v>-66320.535446056252</v>
      </c>
      <c r="AY717" s="15">
        <f t="shared" si="442"/>
        <v>22.170849845882874</v>
      </c>
      <c r="AZ717" s="75">
        <f>AY717*(1-PARAM!$C$27)*$I$15+(MOD($B717,60)=PARAM!$B$56)*($B717&gt;(60-PARAM!$B$56))*HLOOKUP(($B717+PARAM!$B$56)/12,Loyalty,2)*$F$1*MAX(BB716,0)</f>
        <v>18.557001321003963</v>
      </c>
      <c r="BA717" s="75">
        <f>PARAM!$C$26+MAX($G$15-CHOOSE(PARAM!$B$44,MAX(0,BB716*$F$1),0),0)*RATES!$L693/12+$H$15*(PARAM!$D$51/12)*RATES!$N693/100</f>
        <v>590.79166666666663</v>
      </c>
      <c r="BB717" s="16">
        <f t="shared" si="468"/>
        <v>-66320.535446056252</v>
      </c>
      <c r="BC717" s="15">
        <f t="shared" si="443"/>
        <v>22.170849845882874</v>
      </c>
      <c r="BD717" s="75">
        <f>BC717*(1-PARAM!$C$27)*$I$16+(MOD($B717,60)=PARAM!$B$56)*($B717&gt;(60-PARAM!$B$56))*HLOOKUP(($B717+PARAM!$B$56)/12,Loyalty,2)*$F$1*MAX(BF716,0)</f>
        <v>18.557001321003963</v>
      </c>
      <c r="BE717" s="75">
        <f>PARAM!$C$26+MAX($G$16-CHOOSE(PARAM!$B$44,MAX(0,BF716*$F$1),0),0)*RATES!$L693/12+$H$16*(PARAM!$D$51/12)*RATES!$N693/100</f>
        <v>590.79166666666663</v>
      </c>
      <c r="BF717" s="16">
        <f t="shared" si="469"/>
        <v>-66320.535446056252</v>
      </c>
      <c r="BG717" s="15">
        <f t="shared" si="444"/>
        <v>22.170849845882874</v>
      </c>
      <c r="BH717" s="75">
        <f>BG717*(1-PARAM!$C$27)*$I$17+(MOD($B717,60)=PARAM!$B$56)*($B717&gt;(60-PARAM!$B$56))*HLOOKUP(($B717+PARAM!$B$56)/12,Loyalty,2)*$F$1*MAX(BJ716,0)</f>
        <v>18.557001321003963</v>
      </c>
      <c r="BI717" s="75">
        <f>PARAM!$C$26+MAX($G$17-CHOOSE(PARAM!$B$44,MAX(0,BJ716*$F$1),0),0)*RATES!$L693/12+$H$17*(PARAM!$D$51/12)*RATES!$N693/100</f>
        <v>590.79166666666663</v>
      </c>
      <c r="BJ717" s="16">
        <f t="shared" si="470"/>
        <v>-66320.535446056252</v>
      </c>
      <c r="BK717" s="15">
        <f t="shared" si="445"/>
        <v>22.170849845882874</v>
      </c>
      <c r="BL717" s="75">
        <f>BK717*(1-PARAM!$C$27)*$I$18+(MOD($B717,60)=PARAM!$B$56)*($B717&gt;(60-PARAM!$B$56))*HLOOKUP(($B717+PARAM!$B$56)/12,Loyalty,2)*$F$1*MAX(BN716,0)</f>
        <v>18.557001321003963</v>
      </c>
      <c r="BM717" s="75">
        <f>PARAM!$C$26+MAX($G$18-CHOOSE(PARAM!$B$44,MAX(0,BN716*$F$1),0),0)*RATES!$L693/12+$H$18*(PARAM!$D$51/12)*RATES!$N693/100</f>
        <v>590.79166666666663</v>
      </c>
      <c r="BN717" s="16">
        <f t="shared" si="471"/>
        <v>-66320.535446056252</v>
      </c>
      <c r="BO717" s="15">
        <f t="shared" si="446"/>
        <v>22.170849845882874</v>
      </c>
      <c r="BP717" s="75">
        <f>BO717*(1-PARAM!$C$27)*$I$19+(MOD($B717,60)=PARAM!$B$56)*($B717&gt;(60-PARAM!$B$56))*HLOOKUP(($B717+PARAM!$B$56)/12,Loyalty,2)*$F$1*MAX(BR716,0)</f>
        <v>18.557001321003963</v>
      </c>
      <c r="BQ717" s="75">
        <f>PARAM!$C$26+MAX($G$19-CHOOSE(PARAM!$B$44,MAX(0,BR716*$F$1),0),0)*RATES!$L693/12+$H$19*(PARAM!$D$51/12)*RATES!$N693/100</f>
        <v>590.79166666666663</v>
      </c>
      <c r="BR717" s="16">
        <f t="shared" si="472"/>
        <v>-66320.535446056252</v>
      </c>
      <c r="BS717" s="15">
        <f t="shared" si="447"/>
        <v>22.170849845882874</v>
      </c>
      <c r="BT717" s="75">
        <f>BS717*(1-PARAM!$C$27)*$I$20+(MOD($B717,60)=PARAM!$B$56)*($B717&gt;(60-PARAM!$B$56))*HLOOKUP(($B717+PARAM!$B$56)/12,Loyalty,2)*$F$1*MAX(BV716,0)</f>
        <v>18.557001321003963</v>
      </c>
      <c r="BU717" s="75">
        <f>PARAM!$C$26+MAX($G$20-CHOOSE(PARAM!$B$44,MAX(0,BV716*$F$1),0),0)*RATES!$L693/12+$H$20*(PARAM!$D$51/12)*RATES!$N693/100</f>
        <v>590.79166666666663</v>
      </c>
      <c r="BV717" s="16">
        <f t="shared" si="473"/>
        <v>-66320.535446056252</v>
      </c>
      <c r="BW717" s="15">
        <f t="shared" si="448"/>
        <v>22.170849845882874</v>
      </c>
      <c r="BX717" s="75">
        <f>BW717*(1-PARAM!$C$27)*$I$21+(MOD($B717,60)=PARAM!$B$56)*($B717&gt;(60-PARAM!$B$56))*HLOOKUP(($B717+PARAM!$B$56)/12,Loyalty,2)*$F$1*MAX(BZ716,0)</f>
        <v>18.557001321003963</v>
      </c>
      <c r="BY717" s="75">
        <f>PARAM!$C$26+MAX($G$21-CHOOSE(PARAM!$B$44,MAX(0,BZ716*$F$1),0),0)*RATES!$L693/12+$H$21*(PARAM!$D$51/12)*RATES!$N693/100</f>
        <v>590.79166666666663</v>
      </c>
      <c r="BZ717" s="16">
        <f t="shared" si="474"/>
        <v>-66320.535446056252</v>
      </c>
      <c r="CA717" s="15">
        <f t="shared" si="449"/>
        <v>22.170849845882874</v>
      </c>
      <c r="CB717" s="75">
        <f>CA717*(1-PARAM!$C$27)*$I$22+(MOD($B717,60)=PARAM!$B$56)*($B717&gt;(60-PARAM!$B$56))*HLOOKUP(($B717+PARAM!$B$56)/12,Loyalty,2)*$F$1*MAX(CD716,0)</f>
        <v>18.557001321003963</v>
      </c>
      <c r="CC717" s="75">
        <f>PARAM!$C$26+MAX($G$22-CHOOSE(PARAM!$B$44,MAX(0,CD716*$F$1),0),0)*RATES!$L693/12+$H$22*(PARAM!$D$51/12)*RATES!$N693/100</f>
        <v>590.79166666666663</v>
      </c>
      <c r="CD717" s="16">
        <f t="shared" si="475"/>
        <v>-66320.535446056252</v>
      </c>
      <c r="CE717" s="33">
        <f>IF(0=MOD(B717,12/PARAM!$D$51),1,0)</f>
        <v>1</v>
      </c>
      <c r="CF717" s="15">
        <f t="shared" si="450"/>
        <v>0</v>
      </c>
      <c r="CG717" s="75">
        <f>CF717*(1-PARAM!$C$27)*$R$3+(MOD($B717/12,5)=0)*($B717&gt;60)*HLOOKUP($B717/12,Loyalty,2)*$F$1*MAX(CI716,0)</f>
        <v>0</v>
      </c>
      <c r="CH717" s="75">
        <f>PARAM!$C$26+MAX($P$3-CHOOSE(PARAM!$B$44,MAX(0,CI716*$F$1),0),0)*RATES!$L693/12+$Q$3*(PARAM!$D$51/12)*RATES!$N693/100</f>
        <v>590.79166666666663</v>
      </c>
      <c r="CI717" s="16">
        <f>IF(CI716&gt;0,CI716*PARAM!$C$53,CI716)+CG717-CH717</f>
        <v>-79005.291666666788</v>
      </c>
      <c r="CJ717" s="15">
        <f t="shared" si="476"/>
        <v>0</v>
      </c>
      <c r="CK717" s="75">
        <f>CJ717*(1-PARAM!$C$27)*$R$4+(MOD($B717/12,5)=0)*($B717&gt;60)*HLOOKUP($B717/12,Loyalty,2)*$F$1*MAX(CM716,0)</f>
        <v>0</v>
      </c>
      <c r="CL717" s="75">
        <f>PARAM!$C$26+MAX($P$4-CHOOSE(PARAM!$B$44,MAX(0,CM716*$F$1),0),0)*RATES!$L693/12+$Q$4*(PARAM!$D$51/12)*RATES!$N693/100</f>
        <v>590.79166666666663</v>
      </c>
      <c r="CM717" s="16">
        <f>IF(CM716&gt;0,CM716*PARAM!$C$53,CM716)+CK717-CL717</f>
        <v>-79005.291666666788</v>
      </c>
      <c r="CO717" s="176"/>
    </row>
    <row r="718" spans="1:93" x14ac:dyDescent="0.2">
      <c r="A718" t="b">
        <f t="shared" si="451"/>
        <v>0</v>
      </c>
      <c r="B718" s="33">
        <v>691</v>
      </c>
      <c r="C718" s="15">
        <f t="shared" si="452"/>
        <v>20.081305947392778</v>
      </c>
      <c r="D718" s="75">
        <f>C718*(1-PARAM!$C$27)*$I$3+(MOD($B718,60)=PARAM!$B$56)*($B718&gt;(60-PARAM!$B$56))*HLOOKUP(($B718+PARAM!$B$56)/12,Loyalty,2)*$F$1*MAX(F717,0)</f>
        <v>16.808053077967756</v>
      </c>
      <c r="E718" s="75">
        <f>PARAM!$C$26+MAX($G$3-CHOOSE(PARAM!$B$44,MAX(0,F717*$F$1),0),0)*RATES!$L694/12+$H$3*(PARAM!$D$51/12)*RATES!$N694/100</f>
        <v>590.79166666666663</v>
      </c>
      <c r="F718" s="16">
        <f t="shared" si="453"/>
        <v>-68138.143847861298</v>
      </c>
      <c r="G718" s="15">
        <f t="shared" si="454"/>
        <v>22.035289406060361</v>
      </c>
      <c r="H718" s="75">
        <f>G718*(1-PARAM!$C$27)*$I$4+(MOD($B718,60)=PARAM!$B$56)*($B718&gt;(60-PARAM!$B$56))*HLOOKUP(($B718+PARAM!$B$56)/12,Loyalty,2)*$F$1*MAX(J717,0)</f>
        <v>18.443537232872522</v>
      </c>
      <c r="I718" s="75">
        <f>PARAM!$C$26+MAX($G$4-CHOOSE(PARAM!$B$44,MAX(0,J717*$F$1),0),0)*RATES!$L694/12+$H$4*(PARAM!$D$51/12)*RATES!$N694/100</f>
        <v>590.79166666666663</v>
      </c>
      <c r="J718" s="16">
        <f t="shared" si="455"/>
        <v>-66974.191332700328</v>
      </c>
      <c r="K718" s="15">
        <f t="shared" si="456"/>
        <v>22.170849845882874</v>
      </c>
      <c r="L718" s="75">
        <f>K718*(1-PARAM!$C$27)*$I$5+(MOD($B718,60)=PARAM!$B$56)*($B718&gt;(60-PARAM!$B$56))*HLOOKUP(($B718+PARAM!$B$56)/12,Loyalty,2)*$F$1*MAX(N717,0)</f>
        <v>18.557001321003963</v>
      </c>
      <c r="M718" s="75">
        <f>PARAM!$C$26+MAX($G$5-CHOOSE(PARAM!$B$44,MAX(0,N717*$F$1),0),0)*RATES!$L694/12+$H$5*(PARAM!$D$51/12)*RATES!$N694/100</f>
        <v>590.79166666666663</v>
      </c>
      <c r="N718" s="16">
        <f t="shared" si="457"/>
        <v>-66892.770111401915</v>
      </c>
      <c r="O718" s="15">
        <f t="shared" si="458"/>
        <v>22.170849845882874</v>
      </c>
      <c r="P718" s="75">
        <f>O718*(1-PARAM!$C$27)*$I$6+(MOD($B718,60)=PARAM!$B$56)*($B718&gt;(60-PARAM!$B$56))*HLOOKUP(($B718+PARAM!$B$56)/12,Loyalty,2)*$F$1*MAX(R717,0)</f>
        <v>18.557001321003963</v>
      </c>
      <c r="Q718" s="75">
        <f>PARAM!$C$26+MAX($G$6-CHOOSE(PARAM!$B$44,MAX(0,R717*$F$1),0),0)*RATES!$L694/12+$H$6*(PARAM!$D$51/12)*RATES!$N694/100</f>
        <v>590.79166666666663</v>
      </c>
      <c r="R718" s="16">
        <f t="shared" si="459"/>
        <v>-66892.770111401915</v>
      </c>
      <c r="S718" s="15">
        <f t="shared" si="434"/>
        <v>22.170849845882874</v>
      </c>
      <c r="T718" s="75">
        <f>S718*(1-PARAM!$C$27)*$I$7+(MOD($B718,60)=PARAM!$B$56)*($B718&gt;(60-PARAM!$B$56))*HLOOKUP(($B718+PARAM!$B$56)/12,Loyalty,2)*$F$1*MAX(V717,0)</f>
        <v>18.557001321003963</v>
      </c>
      <c r="U718" s="75">
        <f>PARAM!$C$26+MAX($G$7-CHOOSE(PARAM!$B$44,MAX(0,V717*$F$1),0),0)*RATES!$L694/12+$H$7*(PARAM!$D$51/12)*RATES!$N694/100</f>
        <v>590.79166666666663</v>
      </c>
      <c r="V718" s="16">
        <f t="shared" si="460"/>
        <v>-66892.770111401915</v>
      </c>
      <c r="W718" s="15">
        <f t="shared" si="435"/>
        <v>22.170849845882874</v>
      </c>
      <c r="X718" s="75">
        <f>W718*(1-PARAM!$C$27)*$I$8+(MOD($B718,60)=PARAM!$B$56)*($B718&gt;(60-PARAM!$B$56))*HLOOKUP(($B718+PARAM!$B$56)/12,Loyalty,2)*$F$1*MAX(Z717,0)</f>
        <v>18.557001321003963</v>
      </c>
      <c r="Y718" s="75">
        <f>PARAM!$C$26+MAX($G$8-CHOOSE(PARAM!$B$44,MAX(0,Z717*$F$1),0),0)*RATES!$L694/12+$H$8*(PARAM!$D$51/12)*RATES!$N694/100</f>
        <v>590.79166666666663</v>
      </c>
      <c r="Z718" s="16">
        <f t="shared" si="461"/>
        <v>-66892.770111401915</v>
      </c>
      <c r="AA718" s="15">
        <f t="shared" si="436"/>
        <v>22.170849845882874</v>
      </c>
      <c r="AB718" s="75">
        <f>AA718*(1-PARAM!$C$27)*$I$9+(MOD($B718,60)=PARAM!$B$56)*($B718&gt;(60-PARAM!$B$56))*HLOOKUP(($B718+PARAM!$B$56)/12,Loyalty,2)*$F$1*MAX(AD717,0)</f>
        <v>18.557001321003963</v>
      </c>
      <c r="AC718" s="75">
        <f>PARAM!$C$26+MAX($G$9-CHOOSE(PARAM!$B$44,MAX(0,AD717*$F$1),0),0)*RATES!$L694/12+$H$9*(PARAM!$D$51/12)*RATES!$N694/100</f>
        <v>590.79166666666663</v>
      </c>
      <c r="AD718" s="16">
        <f t="shared" si="462"/>
        <v>-66892.770111401915</v>
      </c>
      <c r="AE718" s="15">
        <f t="shared" si="437"/>
        <v>22.170849845882874</v>
      </c>
      <c r="AF718" s="75">
        <f>AE718*(1-PARAM!$C$27)*$I$10+(MOD($B718,60)=PARAM!$B$56)*($B718&gt;(60-PARAM!$B$56))*HLOOKUP(($B718+PARAM!$B$56)/12,Loyalty,2)*$F$1*MAX(AH717,0)</f>
        <v>18.557001321003963</v>
      </c>
      <c r="AG718" s="75">
        <f>PARAM!$C$26+MAX($G$10-CHOOSE(PARAM!$B$44,MAX(0,AH717*$F$1),0),0)*RATES!$L694/12+$H$10*(PARAM!$D$51/12)*RATES!$N694/100</f>
        <v>590.79166666666663</v>
      </c>
      <c r="AH718" s="16">
        <f t="shared" si="463"/>
        <v>-66892.770111401915</v>
      </c>
      <c r="AI718" s="15">
        <f t="shared" si="438"/>
        <v>22.170849845882874</v>
      </c>
      <c r="AJ718" s="75">
        <f>AI718*(1-PARAM!$C$27)*$I$11+(MOD($B718,60)=PARAM!$B$56)*($B718&gt;(60-PARAM!$B$56))*HLOOKUP(($B718+PARAM!$B$56)/12,Loyalty,2)*$F$1*MAX(AL717,0)</f>
        <v>18.557001321003963</v>
      </c>
      <c r="AK718" s="75">
        <f>PARAM!$C$26+MAX($G$11-CHOOSE(PARAM!$B$44,MAX(0,AL717*$F$1),0),0)*RATES!$L694/12+$H$11*(PARAM!$D$51/12)*RATES!$N694/100</f>
        <v>590.79166666666663</v>
      </c>
      <c r="AL718" s="16">
        <f t="shared" si="464"/>
        <v>-66892.770111401915</v>
      </c>
      <c r="AM718" s="15">
        <f t="shared" si="439"/>
        <v>22.170849845882874</v>
      </c>
      <c r="AN718" s="75">
        <f>AM718*(1-PARAM!$C$27)*$I$12+(MOD($B718,60)=PARAM!$B$56)*($B718&gt;(60-PARAM!$B$56))*HLOOKUP(($B718+PARAM!$B$56)/12,Loyalty,2)*$F$1*MAX(AP717,0)</f>
        <v>18.557001321003963</v>
      </c>
      <c r="AO718" s="75">
        <f>PARAM!$C$26+MAX($G$12-CHOOSE(PARAM!$B$44,MAX(0,AP717*$F$1),0),0)*RATES!$L694/12+$H$12*(PARAM!$D$51/12)*RATES!$N694/100</f>
        <v>590.79166666666663</v>
      </c>
      <c r="AP718" s="16">
        <f t="shared" si="465"/>
        <v>-66892.770111401915</v>
      </c>
      <c r="AQ718" s="15">
        <f t="shared" si="440"/>
        <v>22.170849845882874</v>
      </c>
      <c r="AR718" s="75">
        <f>AQ718*(1-PARAM!$C$27)*$I$13+(MOD($B718,60)=PARAM!$B$56)*($B718&gt;(60-PARAM!$B$56))*HLOOKUP(($B718+PARAM!$B$56)/12,Loyalty,2)*$F$1*MAX(AT717,0)</f>
        <v>18.557001321003963</v>
      </c>
      <c r="AS718" s="75">
        <f>PARAM!$C$26+MAX($G$13-CHOOSE(PARAM!$B$44,MAX(0,AT717*$F$1),0),0)*RATES!$L694/12+$H$13*(PARAM!$D$51/12)*RATES!$N694/100</f>
        <v>590.79166666666663</v>
      </c>
      <c r="AT718" s="16">
        <f t="shared" si="466"/>
        <v>-66892.770111401915</v>
      </c>
      <c r="AU718" s="15">
        <f t="shared" si="441"/>
        <v>22.170849845882874</v>
      </c>
      <c r="AV718" s="75">
        <f>AU718*(1-PARAM!$C$27)*$I$14+(MOD($B718,60)=PARAM!$B$56)*($B718&gt;(60-PARAM!$B$56))*HLOOKUP(($B718+PARAM!$B$56)/12,Loyalty,2)*$F$1*MAX(AX717,0)</f>
        <v>18.557001321003963</v>
      </c>
      <c r="AW718" s="75">
        <f>PARAM!$C$26+MAX($G$14-CHOOSE(PARAM!$B$44,MAX(0,AX717*$F$1),0),0)*RATES!$L694/12+$H$14*(PARAM!$D$51/12)*RATES!$N694/100</f>
        <v>590.79166666666663</v>
      </c>
      <c r="AX718" s="16">
        <f t="shared" si="467"/>
        <v>-66892.770111401915</v>
      </c>
      <c r="AY718" s="15">
        <f t="shared" si="442"/>
        <v>22.170849845882874</v>
      </c>
      <c r="AZ718" s="75">
        <f>AY718*(1-PARAM!$C$27)*$I$15+(MOD($B718,60)=PARAM!$B$56)*($B718&gt;(60-PARAM!$B$56))*HLOOKUP(($B718+PARAM!$B$56)/12,Loyalty,2)*$F$1*MAX(BB717,0)</f>
        <v>18.557001321003963</v>
      </c>
      <c r="BA718" s="75">
        <f>PARAM!$C$26+MAX($G$15-CHOOSE(PARAM!$B$44,MAX(0,BB717*$F$1),0),0)*RATES!$L694/12+$H$15*(PARAM!$D$51/12)*RATES!$N694/100</f>
        <v>590.79166666666663</v>
      </c>
      <c r="BB718" s="16">
        <f t="shared" si="468"/>
        <v>-66892.770111401915</v>
      </c>
      <c r="BC718" s="15">
        <f t="shared" si="443"/>
        <v>22.170849845882874</v>
      </c>
      <c r="BD718" s="75">
        <f>BC718*(1-PARAM!$C$27)*$I$16+(MOD($B718,60)=PARAM!$B$56)*($B718&gt;(60-PARAM!$B$56))*HLOOKUP(($B718+PARAM!$B$56)/12,Loyalty,2)*$F$1*MAX(BF717,0)</f>
        <v>18.557001321003963</v>
      </c>
      <c r="BE718" s="75">
        <f>PARAM!$C$26+MAX($G$16-CHOOSE(PARAM!$B$44,MAX(0,BF717*$F$1),0),0)*RATES!$L694/12+$H$16*(PARAM!$D$51/12)*RATES!$N694/100</f>
        <v>590.79166666666663</v>
      </c>
      <c r="BF718" s="16">
        <f t="shared" si="469"/>
        <v>-66892.770111401915</v>
      </c>
      <c r="BG718" s="15">
        <f t="shared" si="444"/>
        <v>22.170849845882874</v>
      </c>
      <c r="BH718" s="75">
        <f>BG718*(1-PARAM!$C$27)*$I$17+(MOD($B718,60)=PARAM!$B$56)*($B718&gt;(60-PARAM!$B$56))*HLOOKUP(($B718+PARAM!$B$56)/12,Loyalty,2)*$F$1*MAX(BJ717,0)</f>
        <v>18.557001321003963</v>
      </c>
      <c r="BI718" s="75">
        <f>PARAM!$C$26+MAX($G$17-CHOOSE(PARAM!$B$44,MAX(0,BJ717*$F$1),0),0)*RATES!$L694/12+$H$17*(PARAM!$D$51/12)*RATES!$N694/100</f>
        <v>590.79166666666663</v>
      </c>
      <c r="BJ718" s="16">
        <f t="shared" si="470"/>
        <v>-66892.770111401915</v>
      </c>
      <c r="BK718" s="15">
        <f t="shared" si="445"/>
        <v>22.170849845882874</v>
      </c>
      <c r="BL718" s="75">
        <f>BK718*(1-PARAM!$C$27)*$I$18+(MOD($B718,60)=PARAM!$B$56)*($B718&gt;(60-PARAM!$B$56))*HLOOKUP(($B718+PARAM!$B$56)/12,Loyalty,2)*$F$1*MAX(BN717,0)</f>
        <v>18.557001321003963</v>
      </c>
      <c r="BM718" s="75">
        <f>PARAM!$C$26+MAX($G$18-CHOOSE(PARAM!$B$44,MAX(0,BN717*$F$1),0),0)*RATES!$L694/12+$H$18*(PARAM!$D$51/12)*RATES!$N694/100</f>
        <v>590.79166666666663</v>
      </c>
      <c r="BN718" s="16">
        <f t="shared" si="471"/>
        <v>-66892.770111401915</v>
      </c>
      <c r="BO718" s="15">
        <f t="shared" si="446"/>
        <v>22.170849845882874</v>
      </c>
      <c r="BP718" s="75">
        <f>BO718*(1-PARAM!$C$27)*$I$19+(MOD($B718,60)=PARAM!$B$56)*($B718&gt;(60-PARAM!$B$56))*HLOOKUP(($B718+PARAM!$B$56)/12,Loyalty,2)*$F$1*MAX(BR717,0)</f>
        <v>18.557001321003963</v>
      </c>
      <c r="BQ718" s="75">
        <f>PARAM!$C$26+MAX($G$19-CHOOSE(PARAM!$B$44,MAX(0,BR717*$F$1),0),0)*RATES!$L694/12+$H$19*(PARAM!$D$51/12)*RATES!$N694/100</f>
        <v>590.79166666666663</v>
      </c>
      <c r="BR718" s="16">
        <f t="shared" si="472"/>
        <v>-66892.770111401915</v>
      </c>
      <c r="BS718" s="15">
        <f t="shared" si="447"/>
        <v>22.170849845882874</v>
      </c>
      <c r="BT718" s="75">
        <f>BS718*(1-PARAM!$C$27)*$I$20+(MOD($B718,60)=PARAM!$B$56)*($B718&gt;(60-PARAM!$B$56))*HLOOKUP(($B718+PARAM!$B$56)/12,Loyalty,2)*$F$1*MAX(BV717,0)</f>
        <v>18.557001321003963</v>
      </c>
      <c r="BU718" s="75">
        <f>PARAM!$C$26+MAX($G$20-CHOOSE(PARAM!$B$44,MAX(0,BV717*$F$1),0),0)*RATES!$L694/12+$H$20*(PARAM!$D$51/12)*RATES!$N694/100</f>
        <v>590.79166666666663</v>
      </c>
      <c r="BV718" s="16">
        <f t="shared" si="473"/>
        <v>-66892.770111401915</v>
      </c>
      <c r="BW718" s="15">
        <f t="shared" si="448"/>
        <v>22.170849845882874</v>
      </c>
      <c r="BX718" s="75">
        <f>BW718*(1-PARAM!$C$27)*$I$21+(MOD($B718,60)=PARAM!$B$56)*($B718&gt;(60-PARAM!$B$56))*HLOOKUP(($B718+PARAM!$B$56)/12,Loyalty,2)*$F$1*MAX(BZ717,0)</f>
        <v>18.557001321003963</v>
      </c>
      <c r="BY718" s="75">
        <f>PARAM!$C$26+MAX($G$21-CHOOSE(PARAM!$B$44,MAX(0,BZ717*$F$1),0),0)*RATES!$L694/12+$H$21*(PARAM!$D$51/12)*RATES!$N694/100</f>
        <v>590.79166666666663</v>
      </c>
      <c r="BZ718" s="16">
        <f t="shared" si="474"/>
        <v>-66892.770111401915</v>
      </c>
      <c r="CA718" s="15">
        <f t="shared" si="449"/>
        <v>22.170849845882874</v>
      </c>
      <c r="CB718" s="75">
        <f>CA718*(1-PARAM!$C$27)*$I$22+(MOD($B718,60)=PARAM!$B$56)*($B718&gt;(60-PARAM!$B$56))*HLOOKUP(($B718+PARAM!$B$56)/12,Loyalty,2)*$F$1*MAX(CD717,0)</f>
        <v>18.557001321003963</v>
      </c>
      <c r="CC718" s="75">
        <f>PARAM!$C$26+MAX($G$22-CHOOSE(PARAM!$B$44,MAX(0,CD717*$F$1),0),0)*RATES!$L694/12+$H$22*(PARAM!$D$51/12)*RATES!$N694/100</f>
        <v>590.79166666666663</v>
      </c>
      <c r="CD718" s="16">
        <f t="shared" si="475"/>
        <v>-66892.770111401915</v>
      </c>
      <c r="CE718" s="33">
        <f>IF(0=MOD(B718,12/PARAM!$D$51),1,0)</f>
        <v>1</v>
      </c>
      <c r="CF718" s="15">
        <f t="shared" si="450"/>
        <v>0</v>
      </c>
      <c r="CG718" s="75">
        <f>CF718*(1-PARAM!$C$27)*$R$3+(MOD($B718/12,5)=0)*($B718&gt;60)*HLOOKUP($B718/12,Loyalty,2)*$F$1*MAX(CI717,0)</f>
        <v>0</v>
      </c>
      <c r="CH718" s="75">
        <f>PARAM!$C$26+MAX($P$3-CHOOSE(PARAM!$B$44,MAX(0,CI717*$F$1),0),0)*RATES!$L694/12+$Q$3*(PARAM!$D$51/12)*RATES!$N694/100</f>
        <v>590.79166666666663</v>
      </c>
      <c r="CI718" s="16">
        <f>IF(CI717&gt;0,CI717*PARAM!$C$53,CI717)+CG718-CH718</f>
        <v>-79596.083333333459</v>
      </c>
      <c r="CJ718" s="15">
        <f t="shared" si="476"/>
        <v>0</v>
      </c>
      <c r="CK718" s="75">
        <f>CJ718*(1-PARAM!$C$27)*$R$4+(MOD($B718/12,5)=0)*($B718&gt;60)*HLOOKUP($B718/12,Loyalty,2)*$F$1*MAX(CM717,0)</f>
        <v>0</v>
      </c>
      <c r="CL718" s="75">
        <f>PARAM!$C$26+MAX($P$4-CHOOSE(PARAM!$B$44,MAX(0,CM717*$F$1),0),0)*RATES!$L694/12+$Q$4*(PARAM!$D$51/12)*RATES!$N694/100</f>
        <v>590.79166666666663</v>
      </c>
      <c r="CM718" s="16">
        <f>IF(CM717&gt;0,CM717*PARAM!$C$53,CM717)+CK718-CL718</f>
        <v>-79596.083333333459</v>
      </c>
      <c r="CO718" s="176"/>
    </row>
    <row r="719" spans="1:93" x14ac:dyDescent="0.2">
      <c r="A719" t="b">
        <f t="shared" si="451"/>
        <v>0</v>
      </c>
      <c r="B719" s="33">
        <v>692</v>
      </c>
      <c r="C719" s="15">
        <f t="shared" si="452"/>
        <v>20.081305947392778</v>
      </c>
      <c r="D719" s="75">
        <f>C719*(1-PARAM!$C$27)*$I$3+(MOD($B719,60)=PARAM!$B$56)*($B719&gt;(60-PARAM!$B$56))*HLOOKUP(($B719+PARAM!$B$56)/12,Loyalty,2)*$F$1*MAX(F718,0)</f>
        <v>16.808053077967756</v>
      </c>
      <c r="E719" s="75">
        <f>PARAM!$C$26+MAX($G$3-CHOOSE(PARAM!$B$44,MAX(0,F718*$F$1),0),0)*RATES!$L695/12+$H$3*(PARAM!$D$51/12)*RATES!$N695/100</f>
        <v>590.79166666666663</v>
      </c>
      <c r="F719" s="16">
        <f t="shared" si="453"/>
        <v>-68712.12746145</v>
      </c>
      <c r="G719" s="15">
        <f t="shared" si="454"/>
        <v>22.035289406060361</v>
      </c>
      <c r="H719" s="75">
        <f>G719*(1-PARAM!$C$27)*$I$4+(MOD($B719,60)=PARAM!$B$56)*($B719&gt;(60-PARAM!$B$56))*HLOOKUP(($B719+PARAM!$B$56)/12,Loyalty,2)*$F$1*MAX(J718,0)</f>
        <v>18.443537232872522</v>
      </c>
      <c r="I719" s="75">
        <f>PARAM!$C$26+MAX($G$4-CHOOSE(PARAM!$B$44,MAX(0,J718*$F$1),0),0)*RATES!$L695/12+$H$4*(PARAM!$D$51/12)*RATES!$N695/100</f>
        <v>590.79166666666663</v>
      </c>
      <c r="J719" s="16">
        <f t="shared" si="455"/>
        <v>-67546.539462134126</v>
      </c>
      <c r="K719" s="15">
        <f t="shared" si="456"/>
        <v>22.170849845882874</v>
      </c>
      <c r="L719" s="75">
        <f>K719*(1-PARAM!$C$27)*$I$5+(MOD($B719,60)=PARAM!$B$56)*($B719&gt;(60-PARAM!$B$56))*HLOOKUP(($B719+PARAM!$B$56)/12,Loyalty,2)*$F$1*MAX(N718,0)</f>
        <v>18.557001321003963</v>
      </c>
      <c r="M719" s="75">
        <f>PARAM!$C$26+MAX($G$5-CHOOSE(PARAM!$B$44,MAX(0,N718*$F$1),0),0)*RATES!$L695/12+$H$5*(PARAM!$D$51/12)*RATES!$N695/100</f>
        <v>590.79166666666663</v>
      </c>
      <c r="N719" s="16">
        <f t="shared" si="457"/>
        <v>-67465.004776747577</v>
      </c>
      <c r="O719" s="15">
        <f t="shared" si="458"/>
        <v>22.170849845882874</v>
      </c>
      <c r="P719" s="75">
        <f>O719*(1-PARAM!$C$27)*$I$6+(MOD($B719,60)=PARAM!$B$56)*($B719&gt;(60-PARAM!$B$56))*HLOOKUP(($B719+PARAM!$B$56)/12,Loyalty,2)*$F$1*MAX(R718,0)</f>
        <v>18.557001321003963</v>
      </c>
      <c r="Q719" s="75">
        <f>PARAM!$C$26+MAX($G$6-CHOOSE(PARAM!$B$44,MAX(0,R718*$F$1),0),0)*RATES!$L695/12+$H$6*(PARAM!$D$51/12)*RATES!$N695/100</f>
        <v>590.79166666666663</v>
      </c>
      <c r="R719" s="16">
        <f t="shared" si="459"/>
        <v>-67465.004776747577</v>
      </c>
      <c r="S719" s="15">
        <f t="shared" si="434"/>
        <v>22.170849845882874</v>
      </c>
      <c r="T719" s="75">
        <f>S719*(1-PARAM!$C$27)*$I$7+(MOD($B719,60)=PARAM!$B$56)*($B719&gt;(60-PARAM!$B$56))*HLOOKUP(($B719+PARAM!$B$56)/12,Loyalty,2)*$F$1*MAX(V718,0)</f>
        <v>18.557001321003963</v>
      </c>
      <c r="U719" s="75">
        <f>PARAM!$C$26+MAX($G$7-CHOOSE(PARAM!$B$44,MAX(0,V718*$F$1),0),0)*RATES!$L695/12+$H$7*(PARAM!$D$51/12)*RATES!$N695/100</f>
        <v>590.79166666666663</v>
      </c>
      <c r="V719" s="16">
        <f t="shared" si="460"/>
        <v>-67465.004776747577</v>
      </c>
      <c r="W719" s="15">
        <f t="shared" si="435"/>
        <v>22.170849845882874</v>
      </c>
      <c r="X719" s="75">
        <f>W719*(1-PARAM!$C$27)*$I$8+(MOD($B719,60)=PARAM!$B$56)*($B719&gt;(60-PARAM!$B$56))*HLOOKUP(($B719+PARAM!$B$56)/12,Loyalty,2)*$F$1*MAX(Z718,0)</f>
        <v>18.557001321003963</v>
      </c>
      <c r="Y719" s="75">
        <f>PARAM!$C$26+MAX($G$8-CHOOSE(PARAM!$B$44,MAX(0,Z718*$F$1),0),0)*RATES!$L695/12+$H$8*(PARAM!$D$51/12)*RATES!$N695/100</f>
        <v>590.79166666666663</v>
      </c>
      <c r="Z719" s="16">
        <f t="shared" si="461"/>
        <v>-67465.004776747577</v>
      </c>
      <c r="AA719" s="15">
        <f t="shared" si="436"/>
        <v>22.170849845882874</v>
      </c>
      <c r="AB719" s="75">
        <f>AA719*(1-PARAM!$C$27)*$I$9+(MOD($B719,60)=PARAM!$B$56)*($B719&gt;(60-PARAM!$B$56))*HLOOKUP(($B719+PARAM!$B$56)/12,Loyalty,2)*$F$1*MAX(AD718,0)</f>
        <v>18.557001321003963</v>
      </c>
      <c r="AC719" s="75">
        <f>PARAM!$C$26+MAX($G$9-CHOOSE(PARAM!$B$44,MAX(0,AD718*$F$1),0),0)*RATES!$L695/12+$H$9*(PARAM!$D$51/12)*RATES!$N695/100</f>
        <v>590.79166666666663</v>
      </c>
      <c r="AD719" s="16">
        <f t="shared" si="462"/>
        <v>-67465.004776747577</v>
      </c>
      <c r="AE719" s="15">
        <f t="shared" si="437"/>
        <v>22.170849845882874</v>
      </c>
      <c r="AF719" s="75">
        <f>AE719*(1-PARAM!$C$27)*$I$10+(MOD($B719,60)=PARAM!$B$56)*($B719&gt;(60-PARAM!$B$56))*HLOOKUP(($B719+PARAM!$B$56)/12,Loyalty,2)*$F$1*MAX(AH718,0)</f>
        <v>18.557001321003963</v>
      </c>
      <c r="AG719" s="75">
        <f>PARAM!$C$26+MAX($G$10-CHOOSE(PARAM!$B$44,MAX(0,AH718*$F$1),0),0)*RATES!$L695/12+$H$10*(PARAM!$D$51/12)*RATES!$N695/100</f>
        <v>590.79166666666663</v>
      </c>
      <c r="AH719" s="16">
        <f t="shared" si="463"/>
        <v>-67465.004776747577</v>
      </c>
      <c r="AI719" s="15">
        <f t="shared" si="438"/>
        <v>22.170849845882874</v>
      </c>
      <c r="AJ719" s="75">
        <f>AI719*(1-PARAM!$C$27)*$I$11+(MOD($B719,60)=PARAM!$B$56)*($B719&gt;(60-PARAM!$B$56))*HLOOKUP(($B719+PARAM!$B$56)/12,Loyalty,2)*$F$1*MAX(AL718,0)</f>
        <v>18.557001321003963</v>
      </c>
      <c r="AK719" s="75">
        <f>PARAM!$C$26+MAX($G$11-CHOOSE(PARAM!$B$44,MAX(0,AL718*$F$1),0),0)*RATES!$L695/12+$H$11*(PARAM!$D$51/12)*RATES!$N695/100</f>
        <v>590.79166666666663</v>
      </c>
      <c r="AL719" s="16">
        <f t="shared" si="464"/>
        <v>-67465.004776747577</v>
      </c>
      <c r="AM719" s="15">
        <f t="shared" si="439"/>
        <v>22.170849845882874</v>
      </c>
      <c r="AN719" s="75">
        <f>AM719*(1-PARAM!$C$27)*$I$12+(MOD($B719,60)=PARAM!$B$56)*($B719&gt;(60-PARAM!$B$56))*HLOOKUP(($B719+PARAM!$B$56)/12,Loyalty,2)*$F$1*MAX(AP718,0)</f>
        <v>18.557001321003963</v>
      </c>
      <c r="AO719" s="75">
        <f>PARAM!$C$26+MAX($G$12-CHOOSE(PARAM!$B$44,MAX(0,AP718*$F$1),0),0)*RATES!$L695/12+$H$12*(PARAM!$D$51/12)*RATES!$N695/100</f>
        <v>590.79166666666663</v>
      </c>
      <c r="AP719" s="16">
        <f t="shared" si="465"/>
        <v>-67465.004776747577</v>
      </c>
      <c r="AQ719" s="15">
        <f t="shared" si="440"/>
        <v>22.170849845882874</v>
      </c>
      <c r="AR719" s="75">
        <f>AQ719*(1-PARAM!$C$27)*$I$13+(MOD($B719,60)=PARAM!$B$56)*($B719&gt;(60-PARAM!$B$56))*HLOOKUP(($B719+PARAM!$B$56)/12,Loyalty,2)*$F$1*MAX(AT718,0)</f>
        <v>18.557001321003963</v>
      </c>
      <c r="AS719" s="75">
        <f>PARAM!$C$26+MAX($G$13-CHOOSE(PARAM!$B$44,MAX(0,AT718*$F$1),0),0)*RATES!$L695/12+$H$13*(PARAM!$D$51/12)*RATES!$N695/100</f>
        <v>590.79166666666663</v>
      </c>
      <c r="AT719" s="16">
        <f t="shared" si="466"/>
        <v>-67465.004776747577</v>
      </c>
      <c r="AU719" s="15">
        <f t="shared" si="441"/>
        <v>22.170849845882874</v>
      </c>
      <c r="AV719" s="75">
        <f>AU719*(1-PARAM!$C$27)*$I$14+(MOD($B719,60)=PARAM!$B$56)*($B719&gt;(60-PARAM!$B$56))*HLOOKUP(($B719+PARAM!$B$56)/12,Loyalty,2)*$F$1*MAX(AX718,0)</f>
        <v>18.557001321003963</v>
      </c>
      <c r="AW719" s="75">
        <f>PARAM!$C$26+MAX($G$14-CHOOSE(PARAM!$B$44,MAX(0,AX718*$F$1),0),0)*RATES!$L695/12+$H$14*(PARAM!$D$51/12)*RATES!$N695/100</f>
        <v>590.79166666666663</v>
      </c>
      <c r="AX719" s="16">
        <f t="shared" si="467"/>
        <v>-67465.004776747577</v>
      </c>
      <c r="AY719" s="15">
        <f t="shared" si="442"/>
        <v>22.170849845882874</v>
      </c>
      <c r="AZ719" s="75">
        <f>AY719*(1-PARAM!$C$27)*$I$15+(MOD($B719,60)=PARAM!$B$56)*($B719&gt;(60-PARAM!$B$56))*HLOOKUP(($B719+PARAM!$B$56)/12,Loyalty,2)*$F$1*MAX(BB718,0)</f>
        <v>18.557001321003963</v>
      </c>
      <c r="BA719" s="75">
        <f>PARAM!$C$26+MAX($G$15-CHOOSE(PARAM!$B$44,MAX(0,BB718*$F$1),0),0)*RATES!$L695/12+$H$15*(PARAM!$D$51/12)*RATES!$N695/100</f>
        <v>590.79166666666663</v>
      </c>
      <c r="BB719" s="16">
        <f t="shared" si="468"/>
        <v>-67465.004776747577</v>
      </c>
      <c r="BC719" s="15">
        <f t="shared" si="443"/>
        <v>22.170849845882874</v>
      </c>
      <c r="BD719" s="75">
        <f>BC719*(1-PARAM!$C$27)*$I$16+(MOD($B719,60)=PARAM!$B$56)*($B719&gt;(60-PARAM!$B$56))*HLOOKUP(($B719+PARAM!$B$56)/12,Loyalty,2)*$F$1*MAX(BF718,0)</f>
        <v>18.557001321003963</v>
      </c>
      <c r="BE719" s="75">
        <f>PARAM!$C$26+MAX($G$16-CHOOSE(PARAM!$B$44,MAX(0,BF718*$F$1),0),0)*RATES!$L695/12+$H$16*(PARAM!$D$51/12)*RATES!$N695/100</f>
        <v>590.79166666666663</v>
      </c>
      <c r="BF719" s="16">
        <f t="shared" si="469"/>
        <v>-67465.004776747577</v>
      </c>
      <c r="BG719" s="15">
        <f t="shared" si="444"/>
        <v>22.170849845882874</v>
      </c>
      <c r="BH719" s="75">
        <f>BG719*(1-PARAM!$C$27)*$I$17+(MOD($B719,60)=PARAM!$B$56)*($B719&gt;(60-PARAM!$B$56))*HLOOKUP(($B719+PARAM!$B$56)/12,Loyalty,2)*$F$1*MAX(BJ718,0)</f>
        <v>18.557001321003963</v>
      </c>
      <c r="BI719" s="75">
        <f>PARAM!$C$26+MAX($G$17-CHOOSE(PARAM!$B$44,MAX(0,BJ718*$F$1),0),0)*RATES!$L695/12+$H$17*(PARAM!$D$51/12)*RATES!$N695/100</f>
        <v>590.79166666666663</v>
      </c>
      <c r="BJ719" s="16">
        <f t="shared" si="470"/>
        <v>-67465.004776747577</v>
      </c>
      <c r="BK719" s="15">
        <f t="shared" si="445"/>
        <v>22.170849845882874</v>
      </c>
      <c r="BL719" s="75">
        <f>BK719*(1-PARAM!$C$27)*$I$18+(MOD($B719,60)=PARAM!$B$56)*($B719&gt;(60-PARAM!$B$56))*HLOOKUP(($B719+PARAM!$B$56)/12,Loyalty,2)*$F$1*MAX(BN718,0)</f>
        <v>18.557001321003963</v>
      </c>
      <c r="BM719" s="75">
        <f>PARAM!$C$26+MAX($G$18-CHOOSE(PARAM!$B$44,MAX(0,BN718*$F$1),0),0)*RATES!$L695/12+$H$18*(PARAM!$D$51/12)*RATES!$N695/100</f>
        <v>590.79166666666663</v>
      </c>
      <c r="BN719" s="16">
        <f t="shared" si="471"/>
        <v>-67465.004776747577</v>
      </c>
      <c r="BO719" s="15">
        <f t="shared" si="446"/>
        <v>22.170849845882874</v>
      </c>
      <c r="BP719" s="75">
        <f>BO719*(1-PARAM!$C$27)*$I$19+(MOD($B719,60)=PARAM!$B$56)*($B719&gt;(60-PARAM!$B$56))*HLOOKUP(($B719+PARAM!$B$56)/12,Loyalty,2)*$F$1*MAX(BR718,0)</f>
        <v>18.557001321003963</v>
      </c>
      <c r="BQ719" s="75">
        <f>PARAM!$C$26+MAX($G$19-CHOOSE(PARAM!$B$44,MAX(0,BR718*$F$1),0),0)*RATES!$L695/12+$H$19*(PARAM!$D$51/12)*RATES!$N695/100</f>
        <v>590.79166666666663</v>
      </c>
      <c r="BR719" s="16">
        <f t="shared" si="472"/>
        <v>-67465.004776747577</v>
      </c>
      <c r="BS719" s="15">
        <f t="shared" si="447"/>
        <v>22.170849845882874</v>
      </c>
      <c r="BT719" s="75">
        <f>BS719*(1-PARAM!$C$27)*$I$20+(MOD($B719,60)=PARAM!$B$56)*($B719&gt;(60-PARAM!$B$56))*HLOOKUP(($B719+PARAM!$B$56)/12,Loyalty,2)*$F$1*MAX(BV718,0)</f>
        <v>18.557001321003963</v>
      </c>
      <c r="BU719" s="75">
        <f>PARAM!$C$26+MAX($G$20-CHOOSE(PARAM!$B$44,MAX(0,BV718*$F$1),0),0)*RATES!$L695/12+$H$20*(PARAM!$D$51/12)*RATES!$N695/100</f>
        <v>590.79166666666663</v>
      </c>
      <c r="BV719" s="16">
        <f t="shared" si="473"/>
        <v>-67465.004776747577</v>
      </c>
      <c r="BW719" s="15">
        <f t="shared" si="448"/>
        <v>22.170849845882874</v>
      </c>
      <c r="BX719" s="75">
        <f>BW719*(1-PARAM!$C$27)*$I$21+(MOD($B719,60)=PARAM!$B$56)*($B719&gt;(60-PARAM!$B$56))*HLOOKUP(($B719+PARAM!$B$56)/12,Loyalty,2)*$F$1*MAX(BZ718,0)</f>
        <v>18.557001321003963</v>
      </c>
      <c r="BY719" s="75">
        <f>PARAM!$C$26+MAX($G$21-CHOOSE(PARAM!$B$44,MAX(0,BZ718*$F$1),0),0)*RATES!$L695/12+$H$21*(PARAM!$D$51/12)*RATES!$N695/100</f>
        <v>590.79166666666663</v>
      </c>
      <c r="BZ719" s="16">
        <f t="shared" si="474"/>
        <v>-67465.004776747577</v>
      </c>
      <c r="CA719" s="15">
        <f t="shared" si="449"/>
        <v>22.170849845882874</v>
      </c>
      <c r="CB719" s="75">
        <f>CA719*(1-PARAM!$C$27)*$I$22+(MOD($B719,60)=PARAM!$B$56)*($B719&gt;(60-PARAM!$B$56))*HLOOKUP(($B719+PARAM!$B$56)/12,Loyalty,2)*$F$1*MAX(CD718,0)</f>
        <v>18.557001321003963</v>
      </c>
      <c r="CC719" s="75">
        <f>PARAM!$C$26+MAX($G$22-CHOOSE(PARAM!$B$44,MAX(0,CD718*$F$1),0),0)*RATES!$L695/12+$H$22*(PARAM!$D$51/12)*RATES!$N695/100</f>
        <v>590.79166666666663</v>
      </c>
      <c r="CD719" s="16">
        <f t="shared" si="475"/>
        <v>-67465.004776747577</v>
      </c>
      <c r="CE719" s="33">
        <f>IF(0=MOD(B719,12/PARAM!$D$51),1,0)</f>
        <v>1</v>
      </c>
      <c r="CF719" s="15">
        <f t="shared" si="450"/>
        <v>0</v>
      </c>
      <c r="CG719" s="75">
        <f>CF719*(1-PARAM!$C$27)*$R$3+(MOD($B719/12,5)=0)*($B719&gt;60)*HLOOKUP($B719/12,Loyalty,2)*$F$1*MAX(CI718,0)</f>
        <v>0</v>
      </c>
      <c r="CH719" s="75">
        <f>PARAM!$C$26+MAX($P$3-CHOOSE(PARAM!$B$44,MAX(0,CI718*$F$1),0),0)*RATES!$L695/12+$Q$3*(PARAM!$D$51/12)*RATES!$N695/100</f>
        <v>590.79166666666663</v>
      </c>
      <c r="CI719" s="16">
        <f>IF(CI718&gt;0,CI718*PARAM!$C$53,CI718)+CG719-CH719</f>
        <v>-80186.875000000131</v>
      </c>
      <c r="CJ719" s="15">
        <f t="shared" si="476"/>
        <v>0</v>
      </c>
      <c r="CK719" s="75">
        <f>CJ719*(1-PARAM!$C$27)*$R$4+(MOD($B719/12,5)=0)*($B719&gt;60)*HLOOKUP($B719/12,Loyalty,2)*$F$1*MAX(CM718,0)</f>
        <v>0</v>
      </c>
      <c r="CL719" s="75">
        <f>PARAM!$C$26+MAX($P$4-CHOOSE(PARAM!$B$44,MAX(0,CM718*$F$1),0),0)*RATES!$L695/12+$Q$4*(PARAM!$D$51/12)*RATES!$N695/100</f>
        <v>590.79166666666663</v>
      </c>
      <c r="CM719" s="16">
        <f>IF(CM718&gt;0,CM718*PARAM!$C$53,CM718)+CK719-CL719</f>
        <v>-80186.875000000131</v>
      </c>
      <c r="CO719" s="176"/>
    </row>
    <row r="720" spans="1:93" x14ac:dyDescent="0.2">
      <c r="A720" t="b">
        <f t="shared" si="451"/>
        <v>0</v>
      </c>
      <c r="B720" s="33">
        <v>693</v>
      </c>
      <c r="C720" s="15">
        <f t="shared" si="452"/>
        <v>20.081305947392778</v>
      </c>
      <c r="D720" s="75">
        <f>C720*(1-PARAM!$C$27)*$I$3+(MOD($B720,60)=PARAM!$B$56)*($B720&gt;(60-PARAM!$B$56))*HLOOKUP(($B720+PARAM!$B$56)/12,Loyalty,2)*$F$1*MAX(F719,0)</f>
        <v>16.808053077967756</v>
      </c>
      <c r="E720" s="75">
        <f>PARAM!$C$26+MAX($G$3-CHOOSE(PARAM!$B$44,MAX(0,F719*$F$1),0),0)*RATES!$L696/12+$H$3*(PARAM!$D$51/12)*RATES!$N696/100</f>
        <v>590.79166666666663</v>
      </c>
      <c r="F720" s="16">
        <f t="shared" si="453"/>
        <v>-69286.111075038702</v>
      </c>
      <c r="G720" s="15">
        <f t="shared" si="454"/>
        <v>22.035289406060361</v>
      </c>
      <c r="H720" s="75">
        <f>G720*(1-PARAM!$C$27)*$I$4+(MOD($B720,60)=PARAM!$B$56)*($B720&gt;(60-PARAM!$B$56))*HLOOKUP(($B720+PARAM!$B$56)/12,Loyalty,2)*$F$1*MAX(J719,0)</f>
        <v>18.443537232872522</v>
      </c>
      <c r="I720" s="75">
        <f>PARAM!$C$26+MAX($G$4-CHOOSE(PARAM!$B$44,MAX(0,J719*$F$1),0),0)*RATES!$L696/12+$H$4*(PARAM!$D$51/12)*RATES!$N696/100</f>
        <v>590.79166666666663</v>
      </c>
      <c r="J720" s="16">
        <f t="shared" si="455"/>
        <v>-68118.887591567924</v>
      </c>
      <c r="K720" s="15">
        <f t="shared" si="456"/>
        <v>22.170849845882874</v>
      </c>
      <c r="L720" s="75">
        <f>K720*(1-PARAM!$C$27)*$I$5+(MOD($B720,60)=PARAM!$B$56)*($B720&gt;(60-PARAM!$B$56))*HLOOKUP(($B720+PARAM!$B$56)/12,Loyalty,2)*$F$1*MAX(N719,0)</f>
        <v>18.557001321003963</v>
      </c>
      <c r="M720" s="75">
        <f>PARAM!$C$26+MAX($G$5-CHOOSE(PARAM!$B$44,MAX(0,N719*$F$1),0),0)*RATES!$L696/12+$H$5*(PARAM!$D$51/12)*RATES!$N696/100</f>
        <v>590.79166666666663</v>
      </c>
      <c r="N720" s="16">
        <f t="shared" si="457"/>
        <v>-68037.23944209324</v>
      </c>
      <c r="O720" s="15">
        <f t="shared" si="458"/>
        <v>22.170849845882874</v>
      </c>
      <c r="P720" s="75">
        <f>O720*(1-PARAM!$C$27)*$I$6+(MOD($B720,60)=PARAM!$B$56)*($B720&gt;(60-PARAM!$B$56))*HLOOKUP(($B720+PARAM!$B$56)/12,Loyalty,2)*$F$1*MAX(R719,0)</f>
        <v>18.557001321003963</v>
      </c>
      <c r="Q720" s="75">
        <f>PARAM!$C$26+MAX($G$6-CHOOSE(PARAM!$B$44,MAX(0,R719*$F$1),0),0)*RATES!$L696/12+$H$6*(PARAM!$D$51/12)*RATES!$N696/100</f>
        <v>590.79166666666663</v>
      </c>
      <c r="R720" s="16">
        <f t="shared" si="459"/>
        <v>-68037.23944209324</v>
      </c>
      <c r="S720" s="15">
        <f t="shared" si="434"/>
        <v>22.170849845882874</v>
      </c>
      <c r="T720" s="75">
        <f>S720*(1-PARAM!$C$27)*$I$7+(MOD($B720,60)=PARAM!$B$56)*($B720&gt;(60-PARAM!$B$56))*HLOOKUP(($B720+PARAM!$B$56)/12,Loyalty,2)*$F$1*MAX(V719,0)</f>
        <v>18.557001321003963</v>
      </c>
      <c r="U720" s="75">
        <f>PARAM!$C$26+MAX($G$7-CHOOSE(PARAM!$B$44,MAX(0,V719*$F$1),0),0)*RATES!$L696/12+$H$7*(PARAM!$D$51/12)*RATES!$N696/100</f>
        <v>590.79166666666663</v>
      </c>
      <c r="V720" s="16">
        <f t="shared" si="460"/>
        <v>-68037.23944209324</v>
      </c>
      <c r="W720" s="15">
        <f t="shared" si="435"/>
        <v>22.170849845882874</v>
      </c>
      <c r="X720" s="75">
        <f>W720*(1-PARAM!$C$27)*$I$8+(MOD($B720,60)=PARAM!$B$56)*($B720&gt;(60-PARAM!$B$56))*HLOOKUP(($B720+PARAM!$B$56)/12,Loyalty,2)*$F$1*MAX(Z719,0)</f>
        <v>18.557001321003963</v>
      </c>
      <c r="Y720" s="75">
        <f>PARAM!$C$26+MAX($G$8-CHOOSE(PARAM!$B$44,MAX(0,Z719*$F$1),0),0)*RATES!$L696/12+$H$8*(PARAM!$D$51/12)*RATES!$N696/100</f>
        <v>590.79166666666663</v>
      </c>
      <c r="Z720" s="16">
        <f t="shared" si="461"/>
        <v>-68037.23944209324</v>
      </c>
      <c r="AA720" s="15">
        <f t="shared" si="436"/>
        <v>22.170849845882874</v>
      </c>
      <c r="AB720" s="75">
        <f>AA720*(1-PARAM!$C$27)*$I$9+(MOD($B720,60)=PARAM!$B$56)*($B720&gt;(60-PARAM!$B$56))*HLOOKUP(($B720+PARAM!$B$56)/12,Loyalty,2)*$F$1*MAX(AD719,0)</f>
        <v>18.557001321003963</v>
      </c>
      <c r="AC720" s="75">
        <f>PARAM!$C$26+MAX($G$9-CHOOSE(PARAM!$B$44,MAX(0,AD719*$F$1),0),0)*RATES!$L696/12+$H$9*(PARAM!$D$51/12)*RATES!$N696/100</f>
        <v>590.79166666666663</v>
      </c>
      <c r="AD720" s="16">
        <f t="shared" si="462"/>
        <v>-68037.23944209324</v>
      </c>
      <c r="AE720" s="15">
        <f t="shared" si="437"/>
        <v>22.170849845882874</v>
      </c>
      <c r="AF720" s="75">
        <f>AE720*(1-PARAM!$C$27)*$I$10+(MOD($B720,60)=PARAM!$B$56)*($B720&gt;(60-PARAM!$B$56))*HLOOKUP(($B720+PARAM!$B$56)/12,Loyalty,2)*$F$1*MAX(AH719,0)</f>
        <v>18.557001321003963</v>
      </c>
      <c r="AG720" s="75">
        <f>PARAM!$C$26+MAX($G$10-CHOOSE(PARAM!$B$44,MAX(0,AH719*$F$1),0),0)*RATES!$L696/12+$H$10*(PARAM!$D$51/12)*RATES!$N696/100</f>
        <v>590.79166666666663</v>
      </c>
      <c r="AH720" s="16">
        <f t="shared" si="463"/>
        <v>-68037.23944209324</v>
      </c>
      <c r="AI720" s="15">
        <f t="shared" si="438"/>
        <v>22.170849845882874</v>
      </c>
      <c r="AJ720" s="75">
        <f>AI720*(1-PARAM!$C$27)*$I$11+(MOD($B720,60)=PARAM!$B$56)*($B720&gt;(60-PARAM!$B$56))*HLOOKUP(($B720+PARAM!$B$56)/12,Loyalty,2)*$F$1*MAX(AL719,0)</f>
        <v>18.557001321003963</v>
      </c>
      <c r="AK720" s="75">
        <f>PARAM!$C$26+MAX($G$11-CHOOSE(PARAM!$B$44,MAX(0,AL719*$F$1),0),0)*RATES!$L696/12+$H$11*(PARAM!$D$51/12)*RATES!$N696/100</f>
        <v>590.79166666666663</v>
      </c>
      <c r="AL720" s="16">
        <f t="shared" si="464"/>
        <v>-68037.23944209324</v>
      </c>
      <c r="AM720" s="15">
        <f t="shared" si="439"/>
        <v>22.170849845882874</v>
      </c>
      <c r="AN720" s="75">
        <f>AM720*(1-PARAM!$C$27)*$I$12+(MOD($B720,60)=PARAM!$B$56)*($B720&gt;(60-PARAM!$B$56))*HLOOKUP(($B720+PARAM!$B$56)/12,Loyalty,2)*$F$1*MAX(AP719,0)</f>
        <v>18.557001321003963</v>
      </c>
      <c r="AO720" s="75">
        <f>PARAM!$C$26+MAX($G$12-CHOOSE(PARAM!$B$44,MAX(0,AP719*$F$1),0),0)*RATES!$L696/12+$H$12*(PARAM!$D$51/12)*RATES!$N696/100</f>
        <v>590.79166666666663</v>
      </c>
      <c r="AP720" s="16">
        <f t="shared" si="465"/>
        <v>-68037.23944209324</v>
      </c>
      <c r="AQ720" s="15">
        <f t="shared" si="440"/>
        <v>22.170849845882874</v>
      </c>
      <c r="AR720" s="75">
        <f>AQ720*(1-PARAM!$C$27)*$I$13+(MOD($B720,60)=PARAM!$B$56)*($B720&gt;(60-PARAM!$B$56))*HLOOKUP(($B720+PARAM!$B$56)/12,Loyalty,2)*$F$1*MAX(AT719,0)</f>
        <v>18.557001321003963</v>
      </c>
      <c r="AS720" s="75">
        <f>PARAM!$C$26+MAX($G$13-CHOOSE(PARAM!$B$44,MAX(0,AT719*$F$1),0),0)*RATES!$L696/12+$H$13*(PARAM!$D$51/12)*RATES!$N696/100</f>
        <v>590.79166666666663</v>
      </c>
      <c r="AT720" s="16">
        <f t="shared" si="466"/>
        <v>-68037.23944209324</v>
      </c>
      <c r="AU720" s="15">
        <f t="shared" si="441"/>
        <v>22.170849845882874</v>
      </c>
      <c r="AV720" s="75">
        <f>AU720*(1-PARAM!$C$27)*$I$14+(MOD($B720,60)=PARAM!$B$56)*($B720&gt;(60-PARAM!$B$56))*HLOOKUP(($B720+PARAM!$B$56)/12,Loyalty,2)*$F$1*MAX(AX719,0)</f>
        <v>18.557001321003963</v>
      </c>
      <c r="AW720" s="75">
        <f>PARAM!$C$26+MAX($G$14-CHOOSE(PARAM!$B$44,MAX(0,AX719*$F$1),0),0)*RATES!$L696/12+$H$14*(PARAM!$D$51/12)*RATES!$N696/100</f>
        <v>590.79166666666663</v>
      </c>
      <c r="AX720" s="16">
        <f t="shared" si="467"/>
        <v>-68037.23944209324</v>
      </c>
      <c r="AY720" s="15">
        <f t="shared" si="442"/>
        <v>22.170849845882874</v>
      </c>
      <c r="AZ720" s="75">
        <f>AY720*(1-PARAM!$C$27)*$I$15+(MOD($B720,60)=PARAM!$B$56)*($B720&gt;(60-PARAM!$B$56))*HLOOKUP(($B720+PARAM!$B$56)/12,Loyalty,2)*$F$1*MAX(BB719,0)</f>
        <v>18.557001321003963</v>
      </c>
      <c r="BA720" s="75">
        <f>PARAM!$C$26+MAX($G$15-CHOOSE(PARAM!$B$44,MAX(0,BB719*$F$1),0),0)*RATES!$L696/12+$H$15*(PARAM!$D$51/12)*RATES!$N696/100</f>
        <v>590.79166666666663</v>
      </c>
      <c r="BB720" s="16">
        <f t="shared" si="468"/>
        <v>-68037.23944209324</v>
      </c>
      <c r="BC720" s="15">
        <f t="shared" si="443"/>
        <v>22.170849845882874</v>
      </c>
      <c r="BD720" s="75">
        <f>BC720*(1-PARAM!$C$27)*$I$16+(MOD($B720,60)=PARAM!$B$56)*($B720&gt;(60-PARAM!$B$56))*HLOOKUP(($B720+PARAM!$B$56)/12,Loyalty,2)*$F$1*MAX(BF719,0)</f>
        <v>18.557001321003963</v>
      </c>
      <c r="BE720" s="75">
        <f>PARAM!$C$26+MAX($G$16-CHOOSE(PARAM!$B$44,MAX(0,BF719*$F$1),0),0)*RATES!$L696/12+$H$16*(PARAM!$D$51/12)*RATES!$N696/100</f>
        <v>590.79166666666663</v>
      </c>
      <c r="BF720" s="16">
        <f t="shared" si="469"/>
        <v>-68037.23944209324</v>
      </c>
      <c r="BG720" s="15">
        <f t="shared" si="444"/>
        <v>22.170849845882874</v>
      </c>
      <c r="BH720" s="75">
        <f>BG720*(1-PARAM!$C$27)*$I$17+(MOD($B720,60)=PARAM!$B$56)*($B720&gt;(60-PARAM!$B$56))*HLOOKUP(($B720+PARAM!$B$56)/12,Loyalty,2)*$F$1*MAX(BJ719,0)</f>
        <v>18.557001321003963</v>
      </c>
      <c r="BI720" s="75">
        <f>PARAM!$C$26+MAX($G$17-CHOOSE(PARAM!$B$44,MAX(0,BJ719*$F$1),0),0)*RATES!$L696/12+$H$17*(PARAM!$D$51/12)*RATES!$N696/100</f>
        <v>590.79166666666663</v>
      </c>
      <c r="BJ720" s="16">
        <f t="shared" si="470"/>
        <v>-68037.23944209324</v>
      </c>
      <c r="BK720" s="15">
        <f t="shared" si="445"/>
        <v>22.170849845882874</v>
      </c>
      <c r="BL720" s="75">
        <f>BK720*(1-PARAM!$C$27)*$I$18+(MOD($B720,60)=PARAM!$B$56)*($B720&gt;(60-PARAM!$B$56))*HLOOKUP(($B720+PARAM!$B$56)/12,Loyalty,2)*$F$1*MAX(BN719,0)</f>
        <v>18.557001321003963</v>
      </c>
      <c r="BM720" s="75">
        <f>PARAM!$C$26+MAX($G$18-CHOOSE(PARAM!$B$44,MAX(0,BN719*$F$1),0),0)*RATES!$L696/12+$H$18*(PARAM!$D$51/12)*RATES!$N696/100</f>
        <v>590.79166666666663</v>
      </c>
      <c r="BN720" s="16">
        <f t="shared" si="471"/>
        <v>-68037.23944209324</v>
      </c>
      <c r="BO720" s="15">
        <f t="shared" si="446"/>
        <v>22.170849845882874</v>
      </c>
      <c r="BP720" s="75">
        <f>BO720*(1-PARAM!$C$27)*$I$19+(MOD($B720,60)=PARAM!$B$56)*($B720&gt;(60-PARAM!$B$56))*HLOOKUP(($B720+PARAM!$B$56)/12,Loyalty,2)*$F$1*MAX(BR719,0)</f>
        <v>18.557001321003963</v>
      </c>
      <c r="BQ720" s="75">
        <f>PARAM!$C$26+MAX($G$19-CHOOSE(PARAM!$B$44,MAX(0,BR719*$F$1),0),0)*RATES!$L696/12+$H$19*(PARAM!$D$51/12)*RATES!$N696/100</f>
        <v>590.79166666666663</v>
      </c>
      <c r="BR720" s="16">
        <f t="shared" si="472"/>
        <v>-68037.23944209324</v>
      </c>
      <c r="BS720" s="15">
        <f t="shared" si="447"/>
        <v>22.170849845882874</v>
      </c>
      <c r="BT720" s="75">
        <f>BS720*(1-PARAM!$C$27)*$I$20+(MOD($B720,60)=PARAM!$B$56)*($B720&gt;(60-PARAM!$B$56))*HLOOKUP(($B720+PARAM!$B$56)/12,Loyalty,2)*$F$1*MAX(BV719,0)</f>
        <v>18.557001321003963</v>
      </c>
      <c r="BU720" s="75">
        <f>PARAM!$C$26+MAX($G$20-CHOOSE(PARAM!$B$44,MAX(0,BV719*$F$1),0),0)*RATES!$L696/12+$H$20*(PARAM!$D$51/12)*RATES!$N696/100</f>
        <v>590.79166666666663</v>
      </c>
      <c r="BV720" s="16">
        <f t="shared" si="473"/>
        <v>-68037.23944209324</v>
      </c>
      <c r="BW720" s="15">
        <f t="shared" si="448"/>
        <v>22.170849845882874</v>
      </c>
      <c r="BX720" s="75">
        <f>BW720*(1-PARAM!$C$27)*$I$21+(MOD($B720,60)=PARAM!$B$56)*($B720&gt;(60-PARAM!$B$56))*HLOOKUP(($B720+PARAM!$B$56)/12,Loyalty,2)*$F$1*MAX(BZ719,0)</f>
        <v>18.557001321003963</v>
      </c>
      <c r="BY720" s="75">
        <f>PARAM!$C$26+MAX($G$21-CHOOSE(PARAM!$B$44,MAX(0,BZ719*$F$1),0),0)*RATES!$L696/12+$H$21*(PARAM!$D$51/12)*RATES!$N696/100</f>
        <v>590.79166666666663</v>
      </c>
      <c r="BZ720" s="16">
        <f t="shared" si="474"/>
        <v>-68037.23944209324</v>
      </c>
      <c r="CA720" s="15">
        <f t="shared" si="449"/>
        <v>22.170849845882874</v>
      </c>
      <c r="CB720" s="75">
        <f>CA720*(1-PARAM!$C$27)*$I$22+(MOD($B720,60)=PARAM!$B$56)*($B720&gt;(60-PARAM!$B$56))*HLOOKUP(($B720+PARAM!$B$56)/12,Loyalty,2)*$F$1*MAX(CD719,0)</f>
        <v>18.557001321003963</v>
      </c>
      <c r="CC720" s="75">
        <f>PARAM!$C$26+MAX($G$22-CHOOSE(PARAM!$B$44,MAX(0,CD719*$F$1),0),0)*RATES!$L696/12+$H$22*(PARAM!$D$51/12)*RATES!$N696/100</f>
        <v>590.79166666666663</v>
      </c>
      <c r="CD720" s="16">
        <f t="shared" si="475"/>
        <v>-68037.23944209324</v>
      </c>
      <c r="CE720" s="33">
        <f>IF(0=MOD(B720,12/PARAM!$D$51),1,0)</f>
        <v>1</v>
      </c>
      <c r="CF720" s="15">
        <f t="shared" si="450"/>
        <v>0</v>
      </c>
      <c r="CG720" s="75">
        <f>CF720*(1-PARAM!$C$27)*$R$3+(MOD($B720/12,5)=0)*($B720&gt;60)*HLOOKUP($B720/12,Loyalty,2)*$F$1*MAX(CI719,0)</f>
        <v>0</v>
      </c>
      <c r="CH720" s="75">
        <f>PARAM!$C$26+MAX($P$3-CHOOSE(PARAM!$B$44,MAX(0,CI719*$F$1),0),0)*RATES!$L696/12+$Q$3*(PARAM!$D$51/12)*RATES!$N696/100</f>
        <v>590.79166666666663</v>
      </c>
      <c r="CI720" s="16">
        <f>IF(CI719&gt;0,CI719*PARAM!$C$53,CI719)+CG720-CH720</f>
        <v>-80777.666666666802</v>
      </c>
      <c r="CJ720" s="15">
        <f t="shared" si="476"/>
        <v>0</v>
      </c>
      <c r="CK720" s="75">
        <f>CJ720*(1-PARAM!$C$27)*$R$4+(MOD($B720/12,5)=0)*($B720&gt;60)*HLOOKUP($B720/12,Loyalty,2)*$F$1*MAX(CM719,0)</f>
        <v>0</v>
      </c>
      <c r="CL720" s="75">
        <f>PARAM!$C$26+MAX($P$4-CHOOSE(PARAM!$B$44,MAX(0,CM719*$F$1),0),0)*RATES!$L696/12+$Q$4*(PARAM!$D$51/12)*RATES!$N696/100</f>
        <v>590.79166666666663</v>
      </c>
      <c r="CM720" s="16">
        <f>IF(CM719&gt;0,CM719*PARAM!$C$53,CM719)+CK720-CL720</f>
        <v>-80777.666666666802</v>
      </c>
      <c r="CO720" s="176"/>
    </row>
    <row r="721" spans="1:93" x14ac:dyDescent="0.2">
      <c r="A721" t="b">
        <f t="shared" si="451"/>
        <v>0</v>
      </c>
      <c r="B721" s="33">
        <v>694</v>
      </c>
      <c r="C721" s="15">
        <f t="shared" si="452"/>
        <v>20.081305947392778</v>
      </c>
      <c r="D721" s="75">
        <f>C721*(1-PARAM!$C$27)*$I$3+(MOD($B721,60)=PARAM!$B$56)*($B721&gt;(60-PARAM!$B$56))*HLOOKUP(($B721+PARAM!$B$56)/12,Loyalty,2)*$F$1*MAX(F720,0)</f>
        <v>16.808053077967756</v>
      </c>
      <c r="E721" s="75">
        <f>PARAM!$C$26+MAX($G$3-CHOOSE(PARAM!$B$44,MAX(0,F720*$F$1),0),0)*RATES!$L697/12+$H$3*(PARAM!$D$51/12)*RATES!$N697/100</f>
        <v>590.79166666666663</v>
      </c>
      <c r="F721" s="16">
        <f t="shared" si="453"/>
        <v>-69860.094688627403</v>
      </c>
      <c r="G721" s="15">
        <f t="shared" si="454"/>
        <v>22.035289406060361</v>
      </c>
      <c r="H721" s="75">
        <f>G721*(1-PARAM!$C$27)*$I$4+(MOD($B721,60)=PARAM!$B$56)*($B721&gt;(60-PARAM!$B$56))*HLOOKUP(($B721+PARAM!$B$56)/12,Loyalty,2)*$F$1*MAX(J720,0)</f>
        <v>18.443537232872522</v>
      </c>
      <c r="I721" s="75">
        <f>PARAM!$C$26+MAX($G$4-CHOOSE(PARAM!$B$44,MAX(0,J720*$F$1),0),0)*RATES!$L697/12+$H$4*(PARAM!$D$51/12)*RATES!$N697/100</f>
        <v>590.79166666666663</v>
      </c>
      <c r="J721" s="16">
        <f t="shared" si="455"/>
        <v>-68691.235721001722</v>
      </c>
      <c r="K721" s="15">
        <f t="shared" si="456"/>
        <v>22.170849845882874</v>
      </c>
      <c r="L721" s="75">
        <f>K721*(1-PARAM!$C$27)*$I$5+(MOD($B721,60)=PARAM!$B$56)*($B721&gt;(60-PARAM!$B$56))*HLOOKUP(($B721+PARAM!$B$56)/12,Loyalty,2)*$F$1*MAX(N720,0)</f>
        <v>18.557001321003963</v>
      </c>
      <c r="M721" s="75">
        <f>PARAM!$C$26+MAX($G$5-CHOOSE(PARAM!$B$44,MAX(0,N720*$F$1),0),0)*RATES!$L697/12+$H$5*(PARAM!$D$51/12)*RATES!$N697/100</f>
        <v>590.79166666666663</v>
      </c>
      <c r="N721" s="16">
        <f t="shared" si="457"/>
        <v>-68609.474107438902</v>
      </c>
      <c r="O721" s="15">
        <f t="shared" si="458"/>
        <v>22.170849845882874</v>
      </c>
      <c r="P721" s="75">
        <f>O721*(1-PARAM!$C$27)*$I$6+(MOD($B721,60)=PARAM!$B$56)*($B721&gt;(60-PARAM!$B$56))*HLOOKUP(($B721+PARAM!$B$56)/12,Loyalty,2)*$F$1*MAX(R720,0)</f>
        <v>18.557001321003963</v>
      </c>
      <c r="Q721" s="75">
        <f>PARAM!$C$26+MAX($G$6-CHOOSE(PARAM!$B$44,MAX(0,R720*$F$1),0),0)*RATES!$L697/12+$H$6*(PARAM!$D$51/12)*RATES!$N697/100</f>
        <v>590.79166666666663</v>
      </c>
      <c r="R721" s="16">
        <f t="shared" si="459"/>
        <v>-68609.474107438902</v>
      </c>
      <c r="S721" s="15">
        <f t="shared" si="434"/>
        <v>22.170849845882874</v>
      </c>
      <c r="T721" s="75">
        <f>S721*(1-PARAM!$C$27)*$I$7+(MOD($B721,60)=PARAM!$B$56)*($B721&gt;(60-PARAM!$B$56))*HLOOKUP(($B721+PARAM!$B$56)/12,Loyalty,2)*$F$1*MAX(V720,0)</f>
        <v>18.557001321003963</v>
      </c>
      <c r="U721" s="75">
        <f>PARAM!$C$26+MAX($G$7-CHOOSE(PARAM!$B$44,MAX(0,V720*$F$1),0),0)*RATES!$L697/12+$H$7*(PARAM!$D$51/12)*RATES!$N697/100</f>
        <v>590.79166666666663</v>
      </c>
      <c r="V721" s="16">
        <f t="shared" si="460"/>
        <v>-68609.474107438902</v>
      </c>
      <c r="W721" s="15">
        <f t="shared" si="435"/>
        <v>22.170849845882874</v>
      </c>
      <c r="X721" s="75">
        <f>W721*(1-PARAM!$C$27)*$I$8+(MOD($B721,60)=PARAM!$B$56)*($B721&gt;(60-PARAM!$B$56))*HLOOKUP(($B721+PARAM!$B$56)/12,Loyalty,2)*$F$1*MAX(Z720,0)</f>
        <v>18.557001321003963</v>
      </c>
      <c r="Y721" s="75">
        <f>PARAM!$C$26+MAX($G$8-CHOOSE(PARAM!$B$44,MAX(0,Z720*$F$1),0),0)*RATES!$L697/12+$H$8*(PARAM!$D$51/12)*RATES!$N697/100</f>
        <v>590.79166666666663</v>
      </c>
      <c r="Z721" s="16">
        <f t="shared" si="461"/>
        <v>-68609.474107438902</v>
      </c>
      <c r="AA721" s="15">
        <f t="shared" si="436"/>
        <v>22.170849845882874</v>
      </c>
      <c r="AB721" s="75">
        <f>AA721*(1-PARAM!$C$27)*$I$9+(MOD($B721,60)=PARAM!$B$56)*($B721&gt;(60-PARAM!$B$56))*HLOOKUP(($B721+PARAM!$B$56)/12,Loyalty,2)*$F$1*MAX(AD720,0)</f>
        <v>18.557001321003963</v>
      </c>
      <c r="AC721" s="75">
        <f>PARAM!$C$26+MAX($G$9-CHOOSE(PARAM!$B$44,MAX(0,AD720*$F$1),0),0)*RATES!$L697/12+$H$9*(PARAM!$D$51/12)*RATES!$N697/100</f>
        <v>590.79166666666663</v>
      </c>
      <c r="AD721" s="16">
        <f t="shared" si="462"/>
        <v>-68609.474107438902</v>
      </c>
      <c r="AE721" s="15">
        <f t="shared" si="437"/>
        <v>22.170849845882874</v>
      </c>
      <c r="AF721" s="75">
        <f>AE721*(1-PARAM!$C$27)*$I$10+(MOD($B721,60)=PARAM!$B$56)*($B721&gt;(60-PARAM!$B$56))*HLOOKUP(($B721+PARAM!$B$56)/12,Loyalty,2)*$F$1*MAX(AH720,0)</f>
        <v>18.557001321003963</v>
      </c>
      <c r="AG721" s="75">
        <f>PARAM!$C$26+MAX($G$10-CHOOSE(PARAM!$B$44,MAX(0,AH720*$F$1),0),0)*RATES!$L697/12+$H$10*(PARAM!$D$51/12)*RATES!$N697/100</f>
        <v>590.79166666666663</v>
      </c>
      <c r="AH721" s="16">
        <f t="shared" si="463"/>
        <v>-68609.474107438902</v>
      </c>
      <c r="AI721" s="15">
        <f t="shared" si="438"/>
        <v>22.170849845882874</v>
      </c>
      <c r="AJ721" s="75">
        <f>AI721*(1-PARAM!$C$27)*$I$11+(MOD($B721,60)=PARAM!$B$56)*($B721&gt;(60-PARAM!$B$56))*HLOOKUP(($B721+PARAM!$B$56)/12,Loyalty,2)*$F$1*MAX(AL720,0)</f>
        <v>18.557001321003963</v>
      </c>
      <c r="AK721" s="75">
        <f>PARAM!$C$26+MAX($G$11-CHOOSE(PARAM!$B$44,MAX(0,AL720*$F$1),0),0)*RATES!$L697/12+$H$11*(PARAM!$D$51/12)*RATES!$N697/100</f>
        <v>590.79166666666663</v>
      </c>
      <c r="AL721" s="16">
        <f t="shared" si="464"/>
        <v>-68609.474107438902</v>
      </c>
      <c r="AM721" s="15">
        <f t="shared" si="439"/>
        <v>22.170849845882874</v>
      </c>
      <c r="AN721" s="75">
        <f>AM721*(1-PARAM!$C$27)*$I$12+(MOD($B721,60)=PARAM!$B$56)*($B721&gt;(60-PARAM!$B$56))*HLOOKUP(($B721+PARAM!$B$56)/12,Loyalty,2)*$F$1*MAX(AP720,0)</f>
        <v>18.557001321003963</v>
      </c>
      <c r="AO721" s="75">
        <f>PARAM!$C$26+MAX($G$12-CHOOSE(PARAM!$B$44,MAX(0,AP720*$F$1),0),0)*RATES!$L697/12+$H$12*(PARAM!$D$51/12)*RATES!$N697/100</f>
        <v>590.79166666666663</v>
      </c>
      <c r="AP721" s="16">
        <f t="shared" si="465"/>
        <v>-68609.474107438902</v>
      </c>
      <c r="AQ721" s="15">
        <f t="shared" si="440"/>
        <v>22.170849845882874</v>
      </c>
      <c r="AR721" s="75">
        <f>AQ721*(1-PARAM!$C$27)*$I$13+(MOD($B721,60)=PARAM!$B$56)*($B721&gt;(60-PARAM!$B$56))*HLOOKUP(($B721+PARAM!$B$56)/12,Loyalty,2)*$F$1*MAX(AT720,0)</f>
        <v>18.557001321003963</v>
      </c>
      <c r="AS721" s="75">
        <f>PARAM!$C$26+MAX($G$13-CHOOSE(PARAM!$B$44,MAX(0,AT720*$F$1),0),0)*RATES!$L697/12+$H$13*(PARAM!$D$51/12)*RATES!$N697/100</f>
        <v>590.79166666666663</v>
      </c>
      <c r="AT721" s="16">
        <f t="shared" si="466"/>
        <v>-68609.474107438902</v>
      </c>
      <c r="AU721" s="15">
        <f t="shared" si="441"/>
        <v>22.170849845882874</v>
      </c>
      <c r="AV721" s="75">
        <f>AU721*(1-PARAM!$C$27)*$I$14+(MOD($B721,60)=PARAM!$B$56)*($B721&gt;(60-PARAM!$B$56))*HLOOKUP(($B721+PARAM!$B$56)/12,Loyalty,2)*$F$1*MAX(AX720,0)</f>
        <v>18.557001321003963</v>
      </c>
      <c r="AW721" s="75">
        <f>PARAM!$C$26+MAX($G$14-CHOOSE(PARAM!$B$44,MAX(0,AX720*$F$1),0),0)*RATES!$L697/12+$H$14*(PARAM!$D$51/12)*RATES!$N697/100</f>
        <v>590.79166666666663</v>
      </c>
      <c r="AX721" s="16">
        <f t="shared" si="467"/>
        <v>-68609.474107438902</v>
      </c>
      <c r="AY721" s="15">
        <f t="shared" si="442"/>
        <v>22.170849845882874</v>
      </c>
      <c r="AZ721" s="75">
        <f>AY721*(1-PARAM!$C$27)*$I$15+(MOD($B721,60)=PARAM!$B$56)*($B721&gt;(60-PARAM!$B$56))*HLOOKUP(($B721+PARAM!$B$56)/12,Loyalty,2)*$F$1*MAX(BB720,0)</f>
        <v>18.557001321003963</v>
      </c>
      <c r="BA721" s="75">
        <f>PARAM!$C$26+MAX($G$15-CHOOSE(PARAM!$B$44,MAX(0,BB720*$F$1),0),0)*RATES!$L697/12+$H$15*(PARAM!$D$51/12)*RATES!$N697/100</f>
        <v>590.79166666666663</v>
      </c>
      <c r="BB721" s="16">
        <f t="shared" si="468"/>
        <v>-68609.474107438902</v>
      </c>
      <c r="BC721" s="15">
        <f t="shared" si="443"/>
        <v>22.170849845882874</v>
      </c>
      <c r="BD721" s="75">
        <f>BC721*(1-PARAM!$C$27)*$I$16+(MOD($B721,60)=PARAM!$B$56)*($B721&gt;(60-PARAM!$B$56))*HLOOKUP(($B721+PARAM!$B$56)/12,Loyalty,2)*$F$1*MAX(BF720,0)</f>
        <v>18.557001321003963</v>
      </c>
      <c r="BE721" s="75">
        <f>PARAM!$C$26+MAX($G$16-CHOOSE(PARAM!$B$44,MAX(0,BF720*$F$1),0),0)*RATES!$L697/12+$H$16*(PARAM!$D$51/12)*RATES!$N697/100</f>
        <v>590.79166666666663</v>
      </c>
      <c r="BF721" s="16">
        <f t="shared" si="469"/>
        <v>-68609.474107438902</v>
      </c>
      <c r="BG721" s="15">
        <f t="shared" si="444"/>
        <v>22.170849845882874</v>
      </c>
      <c r="BH721" s="75">
        <f>BG721*(1-PARAM!$C$27)*$I$17+(MOD($B721,60)=PARAM!$B$56)*($B721&gt;(60-PARAM!$B$56))*HLOOKUP(($B721+PARAM!$B$56)/12,Loyalty,2)*$F$1*MAX(BJ720,0)</f>
        <v>18.557001321003963</v>
      </c>
      <c r="BI721" s="75">
        <f>PARAM!$C$26+MAX($G$17-CHOOSE(PARAM!$B$44,MAX(0,BJ720*$F$1),0),0)*RATES!$L697/12+$H$17*(PARAM!$D$51/12)*RATES!$N697/100</f>
        <v>590.79166666666663</v>
      </c>
      <c r="BJ721" s="16">
        <f t="shared" si="470"/>
        <v>-68609.474107438902</v>
      </c>
      <c r="BK721" s="15">
        <f t="shared" si="445"/>
        <v>22.170849845882874</v>
      </c>
      <c r="BL721" s="75">
        <f>BK721*(1-PARAM!$C$27)*$I$18+(MOD($B721,60)=PARAM!$B$56)*($B721&gt;(60-PARAM!$B$56))*HLOOKUP(($B721+PARAM!$B$56)/12,Loyalty,2)*$F$1*MAX(BN720,0)</f>
        <v>18.557001321003963</v>
      </c>
      <c r="BM721" s="75">
        <f>PARAM!$C$26+MAX($G$18-CHOOSE(PARAM!$B$44,MAX(0,BN720*$F$1),0),0)*RATES!$L697/12+$H$18*(PARAM!$D$51/12)*RATES!$N697/100</f>
        <v>590.79166666666663</v>
      </c>
      <c r="BN721" s="16">
        <f t="shared" si="471"/>
        <v>-68609.474107438902</v>
      </c>
      <c r="BO721" s="15">
        <f t="shared" si="446"/>
        <v>22.170849845882874</v>
      </c>
      <c r="BP721" s="75">
        <f>BO721*(1-PARAM!$C$27)*$I$19+(MOD($B721,60)=PARAM!$B$56)*($B721&gt;(60-PARAM!$B$56))*HLOOKUP(($B721+PARAM!$B$56)/12,Loyalty,2)*$F$1*MAX(BR720,0)</f>
        <v>18.557001321003963</v>
      </c>
      <c r="BQ721" s="75">
        <f>PARAM!$C$26+MAX($G$19-CHOOSE(PARAM!$B$44,MAX(0,BR720*$F$1),0),0)*RATES!$L697/12+$H$19*(PARAM!$D$51/12)*RATES!$N697/100</f>
        <v>590.79166666666663</v>
      </c>
      <c r="BR721" s="16">
        <f t="shared" si="472"/>
        <v>-68609.474107438902</v>
      </c>
      <c r="BS721" s="15">
        <f t="shared" si="447"/>
        <v>22.170849845882874</v>
      </c>
      <c r="BT721" s="75">
        <f>BS721*(1-PARAM!$C$27)*$I$20+(MOD($B721,60)=PARAM!$B$56)*($B721&gt;(60-PARAM!$B$56))*HLOOKUP(($B721+PARAM!$B$56)/12,Loyalty,2)*$F$1*MAX(BV720,0)</f>
        <v>18.557001321003963</v>
      </c>
      <c r="BU721" s="75">
        <f>PARAM!$C$26+MAX($G$20-CHOOSE(PARAM!$B$44,MAX(0,BV720*$F$1),0),0)*RATES!$L697/12+$H$20*(PARAM!$D$51/12)*RATES!$N697/100</f>
        <v>590.79166666666663</v>
      </c>
      <c r="BV721" s="16">
        <f t="shared" si="473"/>
        <v>-68609.474107438902</v>
      </c>
      <c r="BW721" s="15">
        <f t="shared" si="448"/>
        <v>22.170849845882874</v>
      </c>
      <c r="BX721" s="75">
        <f>BW721*(1-PARAM!$C$27)*$I$21+(MOD($B721,60)=PARAM!$B$56)*($B721&gt;(60-PARAM!$B$56))*HLOOKUP(($B721+PARAM!$B$56)/12,Loyalty,2)*$F$1*MAX(BZ720,0)</f>
        <v>18.557001321003963</v>
      </c>
      <c r="BY721" s="75">
        <f>PARAM!$C$26+MAX($G$21-CHOOSE(PARAM!$B$44,MAX(0,BZ720*$F$1),0),0)*RATES!$L697/12+$H$21*(PARAM!$D$51/12)*RATES!$N697/100</f>
        <v>590.79166666666663</v>
      </c>
      <c r="BZ721" s="16">
        <f t="shared" si="474"/>
        <v>-68609.474107438902</v>
      </c>
      <c r="CA721" s="15">
        <f t="shared" si="449"/>
        <v>22.170849845882874</v>
      </c>
      <c r="CB721" s="75">
        <f>CA721*(1-PARAM!$C$27)*$I$22+(MOD($B721,60)=PARAM!$B$56)*($B721&gt;(60-PARAM!$B$56))*HLOOKUP(($B721+PARAM!$B$56)/12,Loyalty,2)*$F$1*MAX(CD720,0)</f>
        <v>18.557001321003963</v>
      </c>
      <c r="CC721" s="75">
        <f>PARAM!$C$26+MAX($G$22-CHOOSE(PARAM!$B$44,MAX(0,CD720*$F$1),0),0)*RATES!$L697/12+$H$22*(PARAM!$D$51/12)*RATES!$N697/100</f>
        <v>590.79166666666663</v>
      </c>
      <c r="CD721" s="16">
        <f t="shared" si="475"/>
        <v>-68609.474107438902</v>
      </c>
      <c r="CE721" s="33">
        <f>IF(0=MOD(B721,12/PARAM!$D$51),1,0)</f>
        <v>1</v>
      </c>
      <c r="CF721" s="15">
        <f t="shared" si="450"/>
        <v>0</v>
      </c>
      <c r="CG721" s="75">
        <f>CF721*(1-PARAM!$C$27)*$R$3+(MOD($B721/12,5)=0)*($B721&gt;60)*HLOOKUP($B721/12,Loyalty,2)*$F$1*MAX(CI720,0)</f>
        <v>0</v>
      </c>
      <c r="CH721" s="75">
        <f>PARAM!$C$26+MAX($P$3-CHOOSE(PARAM!$B$44,MAX(0,CI720*$F$1),0),0)*RATES!$L697/12+$Q$3*(PARAM!$D$51/12)*RATES!$N697/100</f>
        <v>590.79166666666663</v>
      </c>
      <c r="CI721" s="16">
        <f>IF(CI720&gt;0,CI720*PARAM!$C$53,CI720)+CG721-CH721</f>
        <v>-81368.458333333474</v>
      </c>
      <c r="CJ721" s="15">
        <f t="shared" si="476"/>
        <v>0</v>
      </c>
      <c r="CK721" s="75">
        <f>CJ721*(1-PARAM!$C$27)*$R$4+(MOD($B721/12,5)=0)*($B721&gt;60)*HLOOKUP($B721/12,Loyalty,2)*$F$1*MAX(CM720,0)</f>
        <v>0</v>
      </c>
      <c r="CL721" s="75">
        <f>PARAM!$C$26+MAX($P$4-CHOOSE(PARAM!$B$44,MAX(0,CM720*$F$1),0),0)*RATES!$L697/12+$Q$4*(PARAM!$D$51/12)*RATES!$N697/100</f>
        <v>590.79166666666663</v>
      </c>
      <c r="CM721" s="16">
        <f>IF(CM720&gt;0,CM720*PARAM!$C$53,CM720)+CK721-CL721</f>
        <v>-81368.458333333474</v>
      </c>
      <c r="CO721" s="176"/>
    </row>
    <row r="722" spans="1:93" x14ac:dyDescent="0.2">
      <c r="A722" t="b">
        <f t="shared" si="451"/>
        <v>0</v>
      </c>
      <c r="B722" s="33">
        <v>695</v>
      </c>
      <c r="C722" s="15">
        <f t="shared" si="452"/>
        <v>20.081305947392778</v>
      </c>
      <c r="D722" s="75">
        <f>C722*(1-PARAM!$C$27)*$I$3+(MOD($B722,60)=PARAM!$B$56)*($B722&gt;(60-PARAM!$B$56))*HLOOKUP(($B722+PARAM!$B$56)/12,Loyalty,2)*$F$1*MAX(F721,0)</f>
        <v>16.808053077967756</v>
      </c>
      <c r="E722" s="75">
        <f>PARAM!$C$26+MAX($G$3-CHOOSE(PARAM!$B$44,MAX(0,F721*$F$1),0),0)*RATES!$L698/12+$H$3*(PARAM!$D$51/12)*RATES!$N698/100</f>
        <v>590.79166666666663</v>
      </c>
      <c r="F722" s="16">
        <f t="shared" si="453"/>
        <v>-70434.078302216105</v>
      </c>
      <c r="G722" s="15">
        <f t="shared" si="454"/>
        <v>22.035289406060361</v>
      </c>
      <c r="H722" s="75">
        <f>G722*(1-PARAM!$C$27)*$I$4+(MOD($B722,60)=PARAM!$B$56)*($B722&gt;(60-PARAM!$B$56))*HLOOKUP(($B722+PARAM!$B$56)/12,Loyalty,2)*$F$1*MAX(J721,0)</f>
        <v>18.443537232872522</v>
      </c>
      <c r="I722" s="75">
        <f>PARAM!$C$26+MAX($G$4-CHOOSE(PARAM!$B$44,MAX(0,J721*$F$1),0),0)*RATES!$L698/12+$H$4*(PARAM!$D$51/12)*RATES!$N698/100</f>
        <v>590.79166666666663</v>
      </c>
      <c r="J722" s="16">
        <f t="shared" si="455"/>
        <v>-69263.58385043552</v>
      </c>
      <c r="K722" s="15">
        <f t="shared" si="456"/>
        <v>22.170849845882874</v>
      </c>
      <c r="L722" s="75">
        <f>K722*(1-PARAM!$C$27)*$I$5+(MOD($B722,60)=PARAM!$B$56)*($B722&gt;(60-PARAM!$B$56))*HLOOKUP(($B722+PARAM!$B$56)/12,Loyalty,2)*$F$1*MAX(N721,0)</f>
        <v>18.557001321003963</v>
      </c>
      <c r="M722" s="75">
        <f>PARAM!$C$26+MAX($G$5-CHOOSE(PARAM!$B$44,MAX(0,N721*$F$1),0),0)*RATES!$L698/12+$H$5*(PARAM!$D$51/12)*RATES!$N698/100</f>
        <v>590.79166666666663</v>
      </c>
      <c r="N722" s="16">
        <f t="shared" si="457"/>
        <v>-69181.708772784565</v>
      </c>
      <c r="O722" s="15">
        <f t="shared" si="458"/>
        <v>22.170849845882874</v>
      </c>
      <c r="P722" s="75">
        <f>O722*(1-PARAM!$C$27)*$I$6+(MOD($B722,60)=PARAM!$B$56)*($B722&gt;(60-PARAM!$B$56))*HLOOKUP(($B722+PARAM!$B$56)/12,Loyalty,2)*$F$1*MAX(R721,0)</f>
        <v>18.557001321003963</v>
      </c>
      <c r="Q722" s="75">
        <f>PARAM!$C$26+MAX($G$6-CHOOSE(PARAM!$B$44,MAX(0,R721*$F$1),0),0)*RATES!$L698/12+$H$6*(PARAM!$D$51/12)*RATES!$N698/100</f>
        <v>590.79166666666663</v>
      </c>
      <c r="R722" s="16">
        <f t="shared" si="459"/>
        <v>-69181.708772784565</v>
      </c>
      <c r="S722" s="15">
        <f t="shared" si="434"/>
        <v>22.170849845882874</v>
      </c>
      <c r="T722" s="75">
        <f>S722*(1-PARAM!$C$27)*$I$7+(MOD($B722,60)=PARAM!$B$56)*($B722&gt;(60-PARAM!$B$56))*HLOOKUP(($B722+PARAM!$B$56)/12,Loyalty,2)*$F$1*MAX(V721,0)</f>
        <v>18.557001321003963</v>
      </c>
      <c r="U722" s="75">
        <f>PARAM!$C$26+MAX($G$7-CHOOSE(PARAM!$B$44,MAX(0,V721*$F$1),0),0)*RATES!$L698/12+$H$7*(PARAM!$D$51/12)*RATES!$N698/100</f>
        <v>590.79166666666663</v>
      </c>
      <c r="V722" s="16">
        <f t="shared" si="460"/>
        <v>-69181.708772784565</v>
      </c>
      <c r="W722" s="15">
        <f t="shared" si="435"/>
        <v>22.170849845882874</v>
      </c>
      <c r="X722" s="75">
        <f>W722*(1-PARAM!$C$27)*$I$8+(MOD($B722,60)=PARAM!$B$56)*($B722&gt;(60-PARAM!$B$56))*HLOOKUP(($B722+PARAM!$B$56)/12,Loyalty,2)*$F$1*MAX(Z721,0)</f>
        <v>18.557001321003963</v>
      </c>
      <c r="Y722" s="75">
        <f>PARAM!$C$26+MAX($G$8-CHOOSE(PARAM!$B$44,MAX(0,Z721*$F$1),0),0)*RATES!$L698/12+$H$8*(PARAM!$D$51/12)*RATES!$N698/100</f>
        <v>590.79166666666663</v>
      </c>
      <c r="Z722" s="16">
        <f t="shared" si="461"/>
        <v>-69181.708772784565</v>
      </c>
      <c r="AA722" s="15">
        <f t="shared" si="436"/>
        <v>22.170849845882874</v>
      </c>
      <c r="AB722" s="75">
        <f>AA722*(1-PARAM!$C$27)*$I$9+(MOD($B722,60)=PARAM!$B$56)*($B722&gt;(60-PARAM!$B$56))*HLOOKUP(($B722+PARAM!$B$56)/12,Loyalty,2)*$F$1*MAX(AD721,0)</f>
        <v>18.557001321003963</v>
      </c>
      <c r="AC722" s="75">
        <f>PARAM!$C$26+MAX($G$9-CHOOSE(PARAM!$B$44,MAX(0,AD721*$F$1),0),0)*RATES!$L698/12+$H$9*(PARAM!$D$51/12)*RATES!$N698/100</f>
        <v>590.79166666666663</v>
      </c>
      <c r="AD722" s="16">
        <f t="shared" si="462"/>
        <v>-69181.708772784565</v>
      </c>
      <c r="AE722" s="15">
        <f t="shared" si="437"/>
        <v>22.170849845882874</v>
      </c>
      <c r="AF722" s="75">
        <f>AE722*(1-PARAM!$C$27)*$I$10+(MOD($B722,60)=PARAM!$B$56)*($B722&gt;(60-PARAM!$B$56))*HLOOKUP(($B722+PARAM!$B$56)/12,Loyalty,2)*$F$1*MAX(AH721,0)</f>
        <v>18.557001321003963</v>
      </c>
      <c r="AG722" s="75">
        <f>PARAM!$C$26+MAX($G$10-CHOOSE(PARAM!$B$44,MAX(0,AH721*$F$1),0),0)*RATES!$L698/12+$H$10*(PARAM!$D$51/12)*RATES!$N698/100</f>
        <v>590.79166666666663</v>
      </c>
      <c r="AH722" s="16">
        <f t="shared" si="463"/>
        <v>-69181.708772784565</v>
      </c>
      <c r="AI722" s="15">
        <f t="shared" si="438"/>
        <v>22.170849845882874</v>
      </c>
      <c r="AJ722" s="75">
        <f>AI722*(1-PARAM!$C$27)*$I$11+(MOD($B722,60)=PARAM!$B$56)*($B722&gt;(60-PARAM!$B$56))*HLOOKUP(($B722+PARAM!$B$56)/12,Loyalty,2)*$F$1*MAX(AL721,0)</f>
        <v>18.557001321003963</v>
      </c>
      <c r="AK722" s="75">
        <f>PARAM!$C$26+MAX($G$11-CHOOSE(PARAM!$B$44,MAX(0,AL721*$F$1),0),0)*RATES!$L698/12+$H$11*(PARAM!$D$51/12)*RATES!$N698/100</f>
        <v>590.79166666666663</v>
      </c>
      <c r="AL722" s="16">
        <f t="shared" si="464"/>
        <v>-69181.708772784565</v>
      </c>
      <c r="AM722" s="15">
        <f t="shared" si="439"/>
        <v>22.170849845882874</v>
      </c>
      <c r="AN722" s="75">
        <f>AM722*(1-PARAM!$C$27)*$I$12+(MOD($B722,60)=PARAM!$B$56)*($B722&gt;(60-PARAM!$B$56))*HLOOKUP(($B722+PARAM!$B$56)/12,Loyalty,2)*$F$1*MAX(AP721,0)</f>
        <v>18.557001321003963</v>
      </c>
      <c r="AO722" s="75">
        <f>PARAM!$C$26+MAX($G$12-CHOOSE(PARAM!$B$44,MAX(0,AP721*$F$1),0),0)*RATES!$L698/12+$H$12*(PARAM!$D$51/12)*RATES!$N698/100</f>
        <v>590.79166666666663</v>
      </c>
      <c r="AP722" s="16">
        <f t="shared" si="465"/>
        <v>-69181.708772784565</v>
      </c>
      <c r="AQ722" s="15">
        <f t="shared" si="440"/>
        <v>22.170849845882874</v>
      </c>
      <c r="AR722" s="75">
        <f>AQ722*(1-PARAM!$C$27)*$I$13+(MOD($B722,60)=PARAM!$B$56)*($B722&gt;(60-PARAM!$B$56))*HLOOKUP(($B722+PARAM!$B$56)/12,Loyalty,2)*$F$1*MAX(AT721,0)</f>
        <v>18.557001321003963</v>
      </c>
      <c r="AS722" s="75">
        <f>PARAM!$C$26+MAX($G$13-CHOOSE(PARAM!$B$44,MAX(0,AT721*$F$1),0),0)*RATES!$L698/12+$H$13*(PARAM!$D$51/12)*RATES!$N698/100</f>
        <v>590.79166666666663</v>
      </c>
      <c r="AT722" s="16">
        <f t="shared" si="466"/>
        <v>-69181.708772784565</v>
      </c>
      <c r="AU722" s="15">
        <f t="shared" si="441"/>
        <v>22.170849845882874</v>
      </c>
      <c r="AV722" s="75">
        <f>AU722*(1-PARAM!$C$27)*$I$14+(MOD($B722,60)=PARAM!$B$56)*($B722&gt;(60-PARAM!$B$56))*HLOOKUP(($B722+PARAM!$B$56)/12,Loyalty,2)*$F$1*MAX(AX721,0)</f>
        <v>18.557001321003963</v>
      </c>
      <c r="AW722" s="75">
        <f>PARAM!$C$26+MAX($G$14-CHOOSE(PARAM!$B$44,MAX(0,AX721*$F$1),0),0)*RATES!$L698/12+$H$14*(PARAM!$D$51/12)*RATES!$N698/100</f>
        <v>590.79166666666663</v>
      </c>
      <c r="AX722" s="16">
        <f t="shared" si="467"/>
        <v>-69181.708772784565</v>
      </c>
      <c r="AY722" s="15">
        <f t="shared" si="442"/>
        <v>22.170849845882874</v>
      </c>
      <c r="AZ722" s="75">
        <f>AY722*(1-PARAM!$C$27)*$I$15+(MOD($B722,60)=PARAM!$B$56)*($B722&gt;(60-PARAM!$B$56))*HLOOKUP(($B722+PARAM!$B$56)/12,Loyalty,2)*$F$1*MAX(BB721,0)</f>
        <v>18.557001321003963</v>
      </c>
      <c r="BA722" s="75">
        <f>PARAM!$C$26+MAX($G$15-CHOOSE(PARAM!$B$44,MAX(0,BB721*$F$1),0),0)*RATES!$L698/12+$H$15*(PARAM!$D$51/12)*RATES!$N698/100</f>
        <v>590.79166666666663</v>
      </c>
      <c r="BB722" s="16">
        <f t="shared" si="468"/>
        <v>-69181.708772784565</v>
      </c>
      <c r="BC722" s="15">
        <f t="shared" si="443"/>
        <v>22.170849845882874</v>
      </c>
      <c r="BD722" s="75">
        <f>BC722*(1-PARAM!$C$27)*$I$16+(MOD($B722,60)=PARAM!$B$56)*($B722&gt;(60-PARAM!$B$56))*HLOOKUP(($B722+PARAM!$B$56)/12,Loyalty,2)*$F$1*MAX(BF721,0)</f>
        <v>18.557001321003963</v>
      </c>
      <c r="BE722" s="75">
        <f>PARAM!$C$26+MAX($G$16-CHOOSE(PARAM!$B$44,MAX(0,BF721*$F$1),0),0)*RATES!$L698/12+$H$16*(PARAM!$D$51/12)*RATES!$N698/100</f>
        <v>590.79166666666663</v>
      </c>
      <c r="BF722" s="16">
        <f t="shared" si="469"/>
        <v>-69181.708772784565</v>
      </c>
      <c r="BG722" s="15">
        <f t="shared" si="444"/>
        <v>22.170849845882874</v>
      </c>
      <c r="BH722" s="75">
        <f>BG722*(1-PARAM!$C$27)*$I$17+(MOD($B722,60)=PARAM!$B$56)*($B722&gt;(60-PARAM!$B$56))*HLOOKUP(($B722+PARAM!$B$56)/12,Loyalty,2)*$F$1*MAX(BJ721,0)</f>
        <v>18.557001321003963</v>
      </c>
      <c r="BI722" s="75">
        <f>PARAM!$C$26+MAX($G$17-CHOOSE(PARAM!$B$44,MAX(0,BJ721*$F$1),0),0)*RATES!$L698/12+$H$17*(PARAM!$D$51/12)*RATES!$N698/100</f>
        <v>590.79166666666663</v>
      </c>
      <c r="BJ722" s="16">
        <f t="shared" si="470"/>
        <v>-69181.708772784565</v>
      </c>
      <c r="BK722" s="15">
        <f t="shared" si="445"/>
        <v>22.170849845882874</v>
      </c>
      <c r="BL722" s="75">
        <f>BK722*(1-PARAM!$C$27)*$I$18+(MOD($B722,60)=PARAM!$B$56)*($B722&gt;(60-PARAM!$B$56))*HLOOKUP(($B722+PARAM!$B$56)/12,Loyalty,2)*$F$1*MAX(BN721,0)</f>
        <v>18.557001321003963</v>
      </c>
      <c r="BM722" s="75">
        <f>PARAM!$C$26+MAX($G$18-CHOOSE(PARAM!$B$44,MAX(0,BN721*$F$1),0),0)*RATES!$L698/12+$H$18*(PARAM!$D$51/12)*RATES!$N698/100</f>
        <v>590.79166666666663</v>
      </c>
      <c r="BN722" s="16">
        <f t="shared" si="471"/>
        <v>-69181.708772784565</v>
      </c>
      <c r="BO722" s="15">
        <f t="shared" si="446"/>
        <v>22.170849845882874</v>
      </c>
      <c r="BP722" s="75">
        <f>BO722*(1-PARAM!$C$27)*$I$19+(MOD($B722,60)=PARAM!$B$56)*($B722&gt;(60-PARAM!$B$56))*HLOOKUP(($B722+PARAM!$B$56)/12,Loyalty,2)*$F$1*MAX(BR721,0)</f>
        <v>18.557001321003963</v>
      </c>
      <c r="BQ722" s="75">
        <f>PARAM!$C$26+MAX($G$19-CHOOSE(PARAM!$B$44,MAX(0,BR721*$F$1),0),0)*RATES!$L698/12+$H$19*(PARAM!$D$51/12)*RATES!$N698/100</f>
        <v>590.79166666666663</v>
      </c>
      <c r="BR722" s="16">
        <f t="shared" si="472"/>
        <v>-69181.708772784565</v>
      </c>
      <c r="BS722" s="15">
        <f t="shared" si="447"/>
        <v>22.170849845882874</v>
      </c>
      <c r="BT722" s="75">
        <f>BS722*(1-PARAM!$C$27)*$I$20+(MOD($B722,60)=PARAM!$B$56)*($B722&gt;(60-PARAM!$B$56))*HLOOKUP(($B722+PARAM!$B$56)/12,Loyalty,2)*$F$1*MAX(BV721,0)</f>
        <v>18.557001321003963</v>
      </c>
      <c r="BU722" s="75">
        <f>PARAM!$C$26+MAX($G$20-CHOOSE(PARAM!$B$44,MAX(0,BV721*$F$1),0),0)*RATES!$L698/12+$H$20*(PARAM!$D$51/12)*RATES!$N698/100</f>
        <v>590.79166666666663</v>
      </c>
      <c r="BV722" s="16">
        <f t="shared" si="473"/>
        <v>-69181.708772784565</v>
      </c>
      <c r="BW722" s="15">
        <f t="shared" si="448"/>
        <v>22.170849845882874</v>
      </c>
      <c r="BX722" s="75">
        <f>BW722*(1-PARAM!$C$27)*$I$21+(MOD($B722,60)=PARAM!$B$56)*($B722&gt;(60-PARAM!$B$56))*HLOOKUP(($B722+PARAM!$B$56)/12,Loyalty,2)*$F$1*MAX(BZ721,0)</f>
        <v>18.557001321003963</v>
      </c>
      <c r="BY722" s="75">
        <f>PARAM!$C$26+MAX($G$21-CHOOSE(PARAM!$B$44,MAX(0,BZ721*$F$1),0),0)*RATES!$L698/12+$H$21*(PARAM!$D$51/12)*RATES!$N698/100</f>
        <v>590.79166666666663</v>
      </c>
      <c r="BZ722" s="16">
        <f t="shared" si="474"/>
        <v>-69181.708772784565</v>
      </c>
      <c r="CA722" s="15">
        <f t="shared" si="449"/>
        <v>22.170849845882874</v>
      </c>
      <c r="CB722" s="75">
        <f>CA722*(1-PARAM!$C$27)*$I$22+(MOD($B722,60)=PARAM!$B$56)*($B722&gt;(60-PARAM!$B$56))*HLOOKUP(($B722+PARAM!$B$56)/12,Loyalty,2)*$F$1*MAX(CD721,0)</f>
        <v>18.557001321003963</v>
      </c>
      <c r="CC722" s="75">
        <f>PARAM!$C$26+MAX($G$22-CHOOSE(PARAM!$B$44,MAX(0,CD721*$F$1),0),0)*RATES!$L698/12+$H$22*(PARAM!$D$51/12)*RATES!$N698/100</f>
        <v>590.79166666666663</v>
      </c>
      <c r="CD722" s="16">
        <f t="shared" si="475"/>
        <v>-69181.708772784565</v>
      </c>
      <c r="CE722" s="33">
        <f>IF(0=MOD(B722,12/PARAM!$D$51),1,0)</f>
        <v>1</v>
      </c>
      <c r="CF722" s="15">
        <f t="shared" si="450"/>
        <v>0</v>
      </c>
      <c r="CG722" s="75">
        <f>CF722*(1-PARAM!$C$27)*$R$3+(MOD($B722/12,5)=0)*($B722&gt;60)*HLOOKUP($B722/12,Loyalty,2)*$F$1*MAX(CI721,0)</f>
        <v>0</v>
      </c>
      <c r="CH722" s="75">
        <f>PARAM!$C$26+MAX($P$3-CHOOSE(PARAM!$B$44,MAX(0,CI721*$F$1),0),0)*RATES!$L698/12+$Q$3*(PARAM!$D$51/12)*RATES!$N698/100</f>
        <v>590.79166666666663</v>
      </c>
      <c r="CI722" s="16">
        <f>IF(CI721&gt;0,CI721*PARAM!$C$53,CI721)+CG722-CH722</f>
        <v>-81959.250000000146</v>
      </c>
      <c r="CJ722" s="15">
        <f t="shared" si="476"/>
        <v>0</v>
      </c>
      <c r="CK722" s="75">
        <f>CJ722*(1-PARAM!$C$27)*$R$4+(MOD($B722/12,5)=0)*($B722&gt;60)*HLOOKUP($B722/12,Loyalty,2)*$F$1*MAX(CM721,0)</f>
        <v>0</v>
      </c>
      <c r="CL722" s="75">
        <f>PARAM!$C$26+MAX($P$4-CHOOSE(PARAM!$B$44,MAX(0,CM721*$F$1),0),0)*RATES!$L698/12+$Q$4*(PARAM!$D$51/12)*RATES!$N698/100</f>
        <v>590.79166666666663</v>
      </c>
      <c r="CM722" s="16">
        <f>IF(CM721&gt;0,CM721*PARAM!$C$53,CM721)+CK722-CL722</f>
        <v>-81959.250000000146</v>
      </c>
      <c r="CO722" s="176"/>
    </row>
    <row r="723" spans="1:93" x14ac:dyDescent="0.2">
      <c r="A723" t="b">
        <f t="shared" si="451"/>
        <v>0</v>
      </c>
      <c r="B723" s="33">
        <v>696</v>
      </c>
      <c r="C723" s="15">
        <f t="shared" si="452"/>
        <v>20.081305947392778</v>
      </c>
      <c r="D723" s="75">
        <f>C723*(1-PARAM!$C$27)*$I$3+(MOD($B723,60)=PARAM!$B$56)*($B723&gt;(60-PARAM!$B$56))*HLOOKUP(($B723+PARAM!$B$56)/12,Loyalty,2)*$F$1*MAX(F722,0)</f>
        <v>16.808053077967756</v>
      </c>
      <c r="E723" s="75">
        <f>PARAM!$C$26+MAX($G$3-CHOOSE(PARAM!$B$44,MAX(0,F722*$F$1),0),0)*RATES!$L699/12+$H$3*(PARAM!$D$51/12)*RATES!$N699/100</f>
        <v>590.79166666666663</v>
      </c>
      <c r="F723" s="16">
        <f t="shared" si="453"/>
        <v>-71008.061915804807</v>
      </c>
      <c r="G723" s="15">
        <f t="shared" si="454"/>
        <v>22.035289406060361</v>
      </c>
      <c r="H723" s="75">
        <f>G723*(1-PARAM!$C$27)*$I$4+(MOD($B723,60)=PARAM!$B$56)*($B723&gt;(60-PARAM!$B$56))*HLOOKUP(($B723+PARAM!$B$56)/12,Loyalty,2)*$F$1*MAX(J722,0)</f>
        <v>18.443537232872522</v>
      </c>
      <c r="I723" s="75">
        <f>PARAM!$C$26+MAX($G$4-CHOOSE(PARAM!$B$44,MAX(0,J722*$F$1),0),0)*RATES!$L699/12+$H$4*(PARAM!$D$51/12)*RATES!$N699/100</f>
        <v>590.79166666666663</v>
      </c>
      <c r="J723" s="16">
        <f t="shared" si="455"/>
        <v>-69835.931979869318</v>
      </c>
      <c r="K723" s="15">
        <f t="shared" si="456"/>
        <v>22.170849845882874</v>
      </c>
      <c r="L723" s="75">
        <f>K723*(1-PARAM!$C$27)*$I$5+(MOD($B723,60)=PARAM!$B$56)*($B723&gt;(60-PARAM!$B$56))*HLOOKUP(($B723+PARAM!$B$56)/12,Loyalty,2)*$F$1*MAX(N722,0)</f>
        <v>18.557001321003963</v>
      </c>
      <c r="M723" s="75">
        <f>PARAM!$C$26+MAX($G$5-CHOOSE(PARAM!$B$44,MAX(0,N722*$F$1),0),0)*RATES!$L699/12+$H$5*(PARAM!$D$51/12)*RATES!$N699/100</f>
        <v>590.79166666666663</v>
      </c>
      <c r="N723" s="16">
        <f t="shared" si="457"/>
        <v>-69753.943438130227</v>
      </c>
      <c r="O723" s="15">
        <f t="shared" si="458"/>
        <v>22.170849845882874</v>
      </c>
      <c r="P723" s="75">
        <f>O723*(1-PARAM!$C$27)*$I$6+(MOD($B723,60)=PARAM!$B$56)*($B723&gt;(60-PARAM!$B$56))*HLOOKUP(($B723+PARAM!$B$56)/12,Loyalty,2)*$F$1*MAX(R722,0)</f>
        <v>18.557001321003963</v>
      </c>
      <c r="Q723" s="75">
        <f>PARAM!$C$26+MAX($G$6-CHOOSE(PARAM!$B$44,MAX(0,R722*$F$1),0),0)*RATES!$L699/12+$H$6*(PARAM!$D$51/12)*RATES!$N699/100</f>
        <v>590.79166666666663</v>
      </c>
      <c r="R723" s="16">
        <f t="shared" si="459"/>
        <v>-69753.943438130227</v>
      </c>
      <c r="S723" s="15">
        <f t="shared" si="434"/>
        <v>22.170849845882874</v>
      </c>
      <c r="T723" s="75">
        <f>S723*(1-PARAM!$C$27)*$I$7+(MOD($B723,60)=PARAM!$B$56)*($B723&gt;(60-PARAM!$B$56))*HLOOKUP(($B723+PARAM!$B$56)/12,Loyalty,2)*$F$1*MAX(V722,0)</f>
        <v>18.557001321003963</v>
      </c>
      <c r="U723" s="75">
        <f>PARAM!$C$26+MAX($G$7-CHOOSE(PARAM!$B$44,MAX(0,V722*$F$1),0),0)*RATES!$L699/12+$H$7*(PARAM!$D$51/12)*RATES!$N699/100</f>
        <v>590.79166666666663</v>
      </c>
      <c r="V723" s="16">
        <f t="shared" si="460"/>
        <v>-69753.943438130227</v>
      </c>
      <c r="W723" s="15">
        <f t="shared" si="435"/>
        <v>22.170849845882874</v>
      </c>
      <c r="X723" s="75">
        <f>W723*(1-PARAM!$C$27)*$I$8+(MOD($B723,60)=PARAM!$B$56)*($B723&gt;(60-PARAM!$B$56))*HLOOKUP(($B723+PARAM!$B$56)/12,Loyalty,2)*$F$1*MAX(Z722,0)</f>
        <v>18.557001321003963</v>
      </c>
      <c r="Y723" s="75">
        <f>PARAM!$C$26+MAX($G$8-CHOOSE(PARAM!$B$44,MAX(0,Z722*$F$1),0),0)*RATES!$L699/12+$H$8*(PARAM!$D$51/12)*RATES!$N699/100</f>
        <v>590.79166666666663</v>
      </c>
      <c r="Z723" s="16">
        <f t="shared" si="461"/>
        <v>-69753.943438130227</v>
      </c>
      <c r="AA723" s="15">
        <f t="shared" si="436"/>
        <v>22.170849845882874</v>
      </c>
      <c r="AB723" s="75">
        <f>AA723*(1-PARAM!$C$27)*$I$9+(MOD($B723,60)=PARAM!$B$56)*($B723&gt;(60-PARAM!$B$56))*HLOOKUP(($B723+PARAM!$B$56)/12,Loyalty,2)*$F$1*MAX(AD722,0)</f>
        <v>18.557001321003963</v>
      </c>
      <c r="AC723" s="75">
        <f>PARAM!$C$26+MAX($G$9-CHOOSE(PARAM!$B$44,MAX(0,AD722*$F$1),0),0)*RATES!$L699/12+$H$9*(PARAM!$D$51/12)*RATES!$N699/100</f>
        <v>590.79166666666663</v>
      </c>
      <c r="AD723" s="16">
        <f t="shared" si="462"/>
        <v>-69753.943438130227</v>
      </c>
      <c r="AE723" s="15">
        <f t="shared" si="437"/>
        <v>22.170849845882874</v>
      </c>
      <c r="AF723" s="75">
        <f>AE723*(1-PARAM!$C$27)*$I$10+(MOD($B723,60)=PARAM!$B$56)*($B723&gt;(60-PARAM!$B$56))*HLOOKUP(($B723+PARAM!$B$56)/12,Loyalty,2)*$F$1*MAX(AH722,0)</f>
        <v>18.557001321003963</v>
      </c>
      <c r="AG723" s="75">
        <f>PARAM!$C$26+MAX($G$10-CHOOSE(PARAM!$B$44,MAX(0,AH722*$F$1),0),0)*RATES!$L699/12+$H$10*(PARAM!$D$51/12)*RATES!$N699/100</f>
        <v>590.79166666666663</v>
      </c>
      <c r="AH723" s="16">
        <f t="shared" si="463"/>
        <v>-69753.943438130227</v>
      </c>
      <c r="AI723" s="15">
        <f t="shared" si="438"/>
        <v>22.170849845882874</v>
      </c>
      <c r="AJ723" s="75">
        <f>AI723*(1-PARAM!$C$27)*$I$11+(MOD($B723,60)=PARAM!$B$56)*($B723&gt;(60-PARAM!$B$56))*HLOOKUP(($B723+PARAM!$B$56)/12,Loyalty,2)*$F$1*MAX(AL722,0)</f>
        <v>18.557001321003963</v>
      </c>
      <c r="AK723" s="75">
        <f>PARAM!$C$26+MAX($G$11-CHOOSE(PARAM!$B$44,MAX(0,AL722*$F$1),0),0)*RATES!$L699/12+$H$11*(PARAM!$D$51/12)*RATES!$N699/100</f>
        <v>590.79166666666663</v>
      </c>
      <c r="AL723" s="16">
        <f t="shared" si="464"/>
        <v>-69753.943438130227</v>
      </c>
      <c r="AM723" s="15">
        <f t="shared" si="439"/>
        <v>22.170849845882874</v>
      </c>
      <c r="AN723" s="75">
        <f>AM723*(1-PARAM!$C$27)*$I$12+(MOD($B723,60)=PARAM!$B$56)*($B723&gt;(60-PARAM!$B$56))*HLOOKUP(($B723+PARAM!$B$56)/12,Loyalty,2)*$F$1*MAX(AP722,0)</f>
        <v>18.557001321003963</v>
      </c>
      <c r="AO723" s="75">
        <f>PARAM!$C$26+MAX($G$12-CHOOSE(PARAM!$B$44,MAX(0,AP722*$F$1),0),0)*RATES!$L699/12+$H$12*(PARAM!$D$51/12)*RATES!$N699/100</f>
        <v>590.79166666666663</v>
      </c>
      <c r="AP723" s="16">
        <f t="shared" si="465"/>
        <v>-69753.943438130227</v>
      </c>
      <c r="AQ723" s="15">
        <f t="shared" si="440"/>
        <v>22.170849845882874</v>
      </c>
      <c r="AR723" s="75">
        <f>AQ723*(1-PARAM!$C$27)*$I$13+(MOD($B723,60)=PARAM!$B$56)*($B723&gt;(60-PARAM!$B$56))*HLOOKUP(($B723+PARAM!$B$56)/12,Loyalty,2)*$F$1*MAX(AT722,0)</f>
        <v>18.557001321003963</v>
      </c>
      <c r="AS723" s="75">
        <f>PARAM!$C$26+MAX($G$13-CHOOSE(PARAM!$B$44,MAX(0,AT722*$F$1),0),0)*RATES!$L699/12+$H$13*(PARAM!$D$51/12)*RATES!$N699/100</f>
        <v>590.79166666666663</v>
      </c>
      <c r="AT723" s="16">
        <f t="shared" si="466"/>
        <v>-69753.943438130227</v>
      </c>
      <c r="AU723" s="15">
        <f t="shared" si="441"/>
        <v>22.170849845882874</v>
      </c>
      <c r="AV723" s="75">
        <f>AU723*(1-PARAM!$C$27)*$I$14+(MOD($B723,60)=PARAM!$B$56)*($B723&gt;(60-PARAM!$B$56))*HLOOKUP(($B723+PARAM!$B$56)/12,Loyalty,2)*$F$1*MAX(AX722,0)</f>
        <v>18.557001321003963</v>
      </c>
      <c r="AW723" s="75">
        <f>PARAM!$C$26+MAX($G$14-CHOOSE(PARAM!$B$44,MAX(0,AX722*$F$1),0),0)*RATES!$L699/12+$H$14*(PARAM!$D$51/12)*RATES!$N699/100</f>
        <v>590.79166666666663</v>
      </c>
      <c r="AX723" s="16">
        <f t="shared" si="467"/>
        <v>-69753.943438130227</v>
      </c>
      <c r="AY723" s="15">
        <f t="shared" si="442"/>
        <v>22.170849845882874</v>
      </c>
      <c r="AZ723" s="75">
        <f>AY723*(1-PARAM!$C$27)*$I$15+(MOD($B723,60)=PARAM!$B$56)*($B723&gt;(60-PARAM!$B$56))*HLOOKUP(($B723+PARAM!$B$56)/12,Loyalty,2)*$F$1*MAX(BB722,0)</f>
        <v>18.557001321003963</v>
      </c>
      <c r="BA723" s="75">
        <f>PARAM!$C$26+MAX($G$15-CHOOSE(PARAM!$B$44,MAX(0,BB722*$F$1),0),0)*RATES!$L699/12+$H$15*(PARAM!$D$51/12)*RATES!$N699/100</f>
        <v>590.79166666666663</v>
      </c>
      <c r="BB723" s="16">
        <f t="shared" si="468"/>
        <v>-69753.943438130227</v>
      </c>
      <c r="BC723" s="15">
        <f t="shared" si="443"/>
        <v>22.170849845882874</v>
      </c>
      <c r="BD723" s="75">
        <f>BC723*(1-PARAM!$C$27)*$I$16+(MOD($B723,60)=PARAM!$B$56)*($B723&gt;(60-PARAM!$B$56))*HLOOKUP(($B723+PARAM!$B$56)/12,Loyalty,2)*$F$1*MAX(BF722,0)</f>
        <v>18.557001321003963</v>
      </c>
      <c r="BE723" s="75">
        <f>PARAM!$C$26+MAX($G$16-CHOOSE(PARAM!$B$44,MAX(0,BF722*$F$1),0),0)*RATES!$L699/12+$H$16*(PARAM!$D$51/12)*RATES!$N699/100</f>
        <v>590.79166666666663</v>
      </c>
      <c r="BF723" s="16">
        <f t="shared" si="469"/>
        <v>-69753.943438130227</v>
      </c>
      <c r="BG723" s="15">
        <f t="shared" si="444"/>
        <v>22.170849845882874</v>
      </c>
      <c r="BH723" s="75">
        <f>BG723*(1-PARAM!$C$27)*$I$17+(MOD($B723,60)=PARAM!$B$56)*($B723&gt;(60-PARAM!$B$56))*HLOOKUP(($B723+PARAM!$B$56)/12,Loyalty,2)*$F$1*MAX(BJ722,0)</f>
        <v>18.557001321003963</v>
      </c>
      <c r="BI723" s="75">
        <f>PARAM!$C$26+MAX($G$17-CHOOSE(PARAM!$B$44,MAX(0,BJ722*$F$1),0),0)*RATES!$L699/12+$H$17*(PARAM!$D$51/12)*RATES!$N699/100</f>
        <v>590.79166666666663</v>
      </c>
      <c r="BJ723" s="16">
        <f t="shared" si="470"/>
        <v>-69753.943438130227</v>
      </c>
      <c r="BK723" s="15">
        <f t="shared" si="445"/>
        <v>22.170849845882874</v>
      </c>
      <c r="BL723" s="75">
        <f>BK723*(1-PARAM!$C$27)*$I$18+(MOD($B723,60)=PARAM!$B$56)*($B723&gt;(60-PARAM!$B$56))*HLOOKUP(($B723+PARAM!$B$56)/12,Loyalty,2)*$F$1*MAX(BN722,0)</f>
        <v>18.557001321003963</v>
      </c>
      <c r="BM723" s="75">
        <f>PARAM!$C$26+MAX($G$18-CHOOSE(PARAM!$B$44,MAX(0,BN722*$F$1),0),0)*RATES!$L699/12+$H$18*(PARAM!$D$51/12)*RATES!$N699/100</f>
        <v>590.79166666666663</v>
      </c>
      <c r="BN723" s="16">
        <f t="shared" si="471"/>
        <v>-69753.943438130227</v>
      </c>
      <c r="BO723" s="15">
        <f t="shared" si="446"/>
        <v>22.170849845882874</v>
      </c>
      <c r="BP723" s="75">
        <f>BO723*(1-PARAM!$C$27)*$I$19+(MOD($B723,60)=PARAM!$B$56)*($B723&gt;(60-PARAM!$B$56))*HLOOKUP(($B723+PARAM!$B$56)/12,Loyalty,2)*$F$1*MAX(BR722,0)</f>
        <v>18.557001321003963</v>
      </c>
      <c r="BQ723" s="75">
        <f>PARAM!$C$26+MAX($G$19-CHOOSE(PARAM!$B$44,MAX(0,BR722*$F$1),0),0)*RATES!$L699/12+$H$19*(PARAM!$D$51/12)*RATES!$N699/100</f>
        <v>590.79166666666663</v>
      </c>
      <c r="BR723" s="16">
        <f t="shared" si="472"/>
        <v>-69753.943438130227</v>
      </c>
      <c r="BS723" s="15">
        <f t="shared" si="447"/>
        <v>22.170849845882874</v>
      </c>
      <c r="BT723" s="75">
        <f>BS723*(1-PARAM!$C$27)*$I$20+(MOD($B723,60)=PARAM!$B$56)*($B723&gt;(60-PARAM!$B$56))*HLOOKUP(($B723+PARAM!$B$56)/12,Loyalty,2)*$F$1*MAX(BV722,0)</f>
        <v>18.557001321003963</v>
      </c>
      <c r="BU723" s="75">
        <f>PARAM!$C$26+MAX($G$20-CHOOSE(PARAM!$B$44,MAX(0,BV722*$F$1),0),0)*RATES!$L699/12+$H$20*(PARAM!$D$51/12)*RATES!$N699/100</f>
        <v>590.79166666666663</v>
      </c>
      <c r="BV723" s="16">
        <f t="shared" si="473"/>
        <v>-69753.943438130227</v>
      </c>
      <c r="BW723" s="15">
        <f t="shared" si="448"/>
        <v>22.170849845882874</v>
      </c>
      <c r="BX723" s="75">
        <f>BW723*(1-PARAM!$C$27)*$I$21+(MOD($B723,60)=PARAM!$B$56)*($B723&gt;(60-PARAM!$B$56))*HLOOKUP(($B723+PARAM!$B$56)/12,Loyalty,2)*$F$1*MAX(BZ722,0)</f>
        <v>18.557001321003963</v>
      </c>
      <c r="BY723" s="75">
        <f>PARAM!$C$26+MAX($G$21-CHOOSE(PARAM!$B$44,MAX(0,BZ722*$F$1),0),0)*RATES!$L699/12+$H$21*(PARAM!$D$51/12)*RATES!$N699/100</f>
        <v>590.79166666666663</v>
      </c>
      <c r="BZ723" s="16">
        <f t="shared" si="474"/>
        <v>-69753.943438130227</v>
      </c>
      <c r="CA723" s="15">
        <f t="shared" si="449"/>
        <v>22.170849845882874</v>
      </c>
      <c r="CB723" s="75">
        <f>CA723*(1-PARAM!$C$27)*$I$22+(MOD($B723,60)=PARAM!$B$56)*($B723&gt;(60-PARAM!$B$56))*HLOOKUP(($B723+PARAM!$B$56)/12,Loyalty,2)*$F$1*MAX(CD722,0)</f>
        <v>18.557001321003963</v>
      </c>
      <c r="CC723" s="75">
        <f>PARAM!$C$26+MAX($G$22-CHOOSE(PARAM!$B$44,MAX(0,CD722*$F$1),0),0)*RATES!$L699/12+$H$22*(PARAM!$D$51/12)*RATES!$N699/100</f>
        <v>590.79166666666663</v>
      </c>
      <c r="CD723" s="16">
        <f t="shared" si="475"/>
        <v>-69753.943438130227</v>
      </c>
      <c r="CE723" s="33">
        <f>IF(0=MOD(B723,12/PARAM!$D$51),1,0)</f>
        <v>1</v>
      </c>
      <c r="CF723" s="15">
        <f t="shared" si="450"/>
        <v>0</v>
      </c>
      <c r="CG723" s="75">
        <f>CF723*(1-PARAM!$C$27)*$R$3+(MOD($B723/12,5)=0)*($B723&gt;60)*HLOOKUP($B723/12,Loyalty,2)*$F$1*MAX(CI722,0)</f>
        <v>0</v>
      </c>
      <c r="CH723" s="75">
        <f>PARAM!$C$26+MAX($P$3-CHOOSE(PARAM!$B$44,MAX(0,CI722*$F$1),0),0)*RATES!$L699/12+$Q$3*(PARAM!$D$51/12)*RATES!$N699/100</f>
        <v>590.79166666666663</v>
      </c>
      <c r="CI723" s="16">
        <f>IF(CI722&gt;0,CI722*PARAM!$C$53,CI722)+CG723-CH723</f>
        <v>-82550.041666666817</v>
      </c>
      <c r="CJ723" s="15">
        <f t="shared" si="476"/>
        <v>0</v>
      </c>
      <c r="CK723" s="75">
        <f>CJ723*(1-PARAM!$C$27)*$R$4+(MOD($B723/12,5)=0)*($B723&gt;60)*HLOOKUP($B723/12,Loyalty,2)*$F$1*MAX(CM722,0)</f>
        <v>0</v>
      </c>
      <c r="CL723" s="75">
        <f>PARAM!$C$26+MAX($P$4-CHOOSE(PARAM!$B$44,MAX(0,CM722*$F$1),0),0)*RATES!$L699/12+$Q$4*(PARAM!$D$51/12)*RATES!$N699/100</f>
        <v>590.79166666666663</v>
      </c>
      <c r="CM723" s="16">
        <f>IF(CM722&gt;0,CM722*PARAM!$C$53,CM722)+CK723-CL723</f>
        <v>-82550.041666666817</v>
      </c>
      <c r="CO723" s="176"/>
    </row>
    <row r="724" spans="1:93" x14ac:dyDescent="0.2">
      <c r="A724" t="b">
        <f t="shared" si="451"/>
        <v>0</v>
      </c>
      <c r="B724" s="33">
        <v>697</v>
      </c>
      <c r="C724" s="15">
        <f t="shared" si="452"/>
        <v>20.081305947392778</v>
      </c>
      <c r="D724" s="75">
        <f>C724*(1-PARAM!$C$27)*$I$3+(MOD($B724,60)=PARAM!$B$56)*($B724&gt;(60-PARAM!$B$56))*HLOOKUP(($B724+PARAM!$B$56)/12,Loyalty,2)*$F$1*MAX(F723,0)</f>
        <v>16.808053077967756</v>
      </c>
      <c r="E724" s="75">
        <f>PARAM!$C$26+MAX($G$3-CHOOSE(PARAM!$B$44,MAX(0,F723*$F$1),0),0)*RATES!$L700/12+$H$3*(PARAM!$D$51/12)*RATES!$N700/100</f>
        <v>590.79166666666663</v>
      </c>
      <c r="F724" s="16">
        <f t="shared" si="453"/>
        <v>-71582.045529393508</v>
      </c>
      <c r="G724" s="15">
        <f t="shared" si="454"/>
        <v>22.035289406060361</v>
      </c>
      <c r="H724" s="75">
        <f>G724*(1-PARAM!$C$27)*$I$4+(MOD($B724,60)=PARAM!$B$56)*($B724&gt;(60-PARAM!$B$56))*HLOOKUP(($B724+PARAM!$B$56)/12,Loyalty,2)*$F$1*MAX(J723,0)</f>
        <v>18.443537232872522</v>
      </c>
      <c r="I724" s="75">
        <f>PARAM!$C$26+MAX($G$4-CHOOSE(PARAM!$B$44,MAX(0,J723*$F$1),0),0)*RATES!$L700/12+$H$4*(PARAM!$D$51/12)*RATES!$N700/100</f>
        <v>590.79166666666663</v>
      </c>
      <c r="J724" s="16">
        <f t="shared" si="455"/>
        <v>-70408.280109303116</v>
      </c>
      <c r="K724" s="15">
        <f t="shared" si="456"/>
        <v>22.170849845882874</v>
      </c>
      <c r="L724" s="75">
        <f>K724*(1-PARAM!$C$27)*$I$5+(MOD($B724,60)=PARAM!$B$56)*($B724&gt;(60-PARAM!$B$56))*HLOOKUP(($B724+PARAM!$B$56)/12,Loyalty,2)*$F$1*MAX(N723,0)</f>
        <v>18.557001321003963</v>
      </c>
      <c r="M724" s="75">
        <f>PARAM!$C$26+MAX($G$5-CHOOSE(PARAM!$B$44,MAX(0,N723*$F$1),0),0)*RATES!$L700/12+$H$5*(PARAM!$D$51/12)*RATES!$N700/100</f>
        <v>590.79166666666663</v>
      </c>
      <c r="N724" s="16">
        <f t="shared" si="457"/>
        <v>-70326.17810347589</v>
      </c>
      <c r="O724" s="15">
        <f t="shared" si="458"/>
        <v>22.170849845882874</v>
      </c>
      <c r="P724" s="75">
        <f>O724*(1-PARAM!$C$27)*$I$6+(MOD($B724,60)=PARAM!$B$56)*($B724&gt;(60-PARAM!$B$56))*HLOOKUP(($B724+PARAM!$B$56)/12,Loyalty,2)*$F$1*MAX(R723,0)</f>
        <v>18.557001321003963</v>
      </c>
      <c r="Q724" s="75">
        <f>PARAM!$C$26+MAX($G$6-CHOOSE(PARAM!$B$44,MAX(0,R723*$F$1),0),0)*RATES!$L700/12+$H$6*(PARAM!$D$51/12)*RATES!$N700/100</f>
        <v>590.79166666666663</v>
      </c>
      <c r="R724" s="16">
        <f t="shared" si="459"/>
        <v>-70326.17810347589</v>
      </c>
      <c r="S724" s="15">
        <f t="shared" si="434"/>
        <v>22.170849845882874</v>
      </c>
      <c r="T724" s="75">
        <f>S724*(1-PARAM!$C$27)*$I$7+(MOD($B724,60)=PARAM!$B$56)*($B724&gt;(60-PARAM!$B$56))*HLOOKUP(($B724+PARAM!$B$56)/12,Loyalty,2)*$F$1*MAX(V723,0)</f>
        <v>18.557001321003963</v>
      </c>
      <c r="U724" s="75">
        <f>PARAM!$C$26+MAX($G$7-CHOOSE(PARAM!$B$44,MAX(0,V723*$F$1),0),0)*RATES!$L700/12+$H$7*(PARAM!$D$51/12)*RATES!$N700/100</f>
        <v>590.79166666666663</v>
      </c>
      <c r="V724" s="16">
        <f t="shared" si="460"/>
        <v>-70326.17810347589</v>
      </c>
      <c r="W724" s="15">
        <f t="shared" si="435"/>
        <v>22.170849845882874</v>
      </c>
      <c r="X724" s="75">
        <f>W724*(1-PARAM!$C$27)*$I$8+(MOD($B724,60)=PARAM!$B$56)*($B724&gt;(60-PARAM!$B$56))*HLOOKUP(($B724+PARAM!$B$56)/12,Loyalty,2)*$F$1*MAX(Z723,0)</f>
        <v>18.557001321003963</v>
      </c>
      <c r="Y724" s="75">
        <f>PARAM!$C$26+MAX($G$8-CHOOSE(PARAM!$B$44,MAX(0,Z723*$F$1),0),0)*RATES!$L700/12+$H$8*(PARAM!$D$51/12)*RATES!$N700/100</f>
        <v>590.79166666666663</v>
      </c>
      <c r="Z724" s="16">
        <f t="shared" si="461"/>
        <v>-70326.17810347589</v>
      </c>
      <c r="AA724" s="15">
        <f t="shared" si="436"/>
        <v>22.170849845882874</v>
      </c>
      <c r="AB724" s="75">
        <f>AA724*(1-PARAM!$C$27)*$I$9+(MOD($B724,60)=PARAM!$B$56)*($B724&gt;(60-PARAM!$B$56))*HLOOKUP(($B724+PARAM!$B$56)/12,Loyalty,2)*$F$1*MAX(AD723,0)</f>
        <v>18.557001321003963</v>
      </c>
      <c r="AC724" s="75">
        <f>PARAM!$C$26+MAX($G$9-CHOOSE(PARAM!$B$44,MAX(0,AD723*$F$1),0),0)*RATES!$L700/12+$H$9*(PARAM!$D$51/12)*RATES!$N700/100</f>
        <v>590.79166666666663</v>
      </c>
      <c r="AD724" s="16">
        <f t="shared" si="462"/>
        <v>-70326.17810347589</v>
      </c>
      <c r="AE724" s="15">
        <f t="shared" si="437"/>
        <v>22.170849845882874</v>
      </c>
      <c r="AF724" s="75">
        <f>AE724*(1-PARAM!$C$27)*$I$10+(MOD($B724,60)=PARAM!$B$56)*($B724&gt;(60-PARAM!$B$56))*HLOOKUP(($B724+PARAM!$B$56)/12,Loyalty,2)*$F$1*MAX(AH723,0)</f>
        <v>18.557001321003963</v>
      </c>
      <c r="AG724" s="75">
        <f>PARAM!$C$26+MAX($G$10-CHOOSE(PARAM!$B$44,MAX(0,AH723*$F$1),0),0)*RATES!$L700/12+$H$10*(PARAM!$D$51/12)*RATES!$N700/100</f>
        <v>590.79166666666663</v>
      </c>
      <c r="AH724" s="16">
        <f t="shared" si="463"/>
        <v>-70326.17810347589</v>
      </c>
      <c r="AI724" s="15">
        <f t="shared" si="438"/>
        <v>22.170849845882874</v>
      </c>
      <c r="AJ724" s="75">
        <f>AI724*(1-PARAM!$C$27)*$I$11+(MOD($B724,60)=PARAM!$B$56)*($B724&gt;(60-PARAM!$B$56))*HLOOKUP(($B724+PARAM!$B$56)/12,Loyalty,2)*$F$1*MAX(AL723,0)</f>
        <v>18.557001321003963</v>
      </c>
      <c r="AK724" s="75">
        <f>PARAM!$C$26+MAX($G$11-CHOOSE(PARAM!$B$44,MAX(0,AL723*$F$1),0),0)*RATES!$L700/12+$H$11*(PARAM!$D$51/12)*RATES!$N700/100</f>
        <v>590.79166666666663</v>
      </c>
      <c r="AL724" s="16">
        <f t="shared" si="464"/>
        <v>-70326.17810347589</v>
      </c>
      <c r="AM724" s="15">
        <f t="shared" si="439"/>
        <v>22.170849845882874</v>
      </c>
      <c r="AN724" s="75">
        <f>AM724*(1-PARAM!$C$27)*$I$12+(MOD($B724,60)=PARAM!$B$56)*($B724&gt;(60-PARAM!$B$56))*HLOOKUP(($B724+PARAM!$B$56)/12,Loyalty,2)*$F$1*MAX(AP723,0)</f>
        <v>18.557001321003963</v>
      </c>
      <c r="AO724" s="75">
        <f>PARAM!$C$26+MAX($G$12-CHOOSE(PARAM!$B$44,MAX(0,AP723*$F$1),0),0)*RATES!$L700/12+$H$12*(PARAM!$D$51/12)*RATES!$N700/100</f>
        <v>590.79166666666663</v>
      </c>
      <c r="AP724" s="16">
        <f t="shared" si="465"/>
        <v>-70326.17810347589</v>
      </c>
      <c r="AQ724" s="15">
        <f t="shared" si="440"/>
        <v>22.170849845882874</v>
      </c>
      <c r="AR724" s="75">
        <f>AQ724*(1-PARAM!$C$27)*$I$13+(MOD($B724,60)=PARAM!$B$56)*($B724&gt;(60-PARAM!$B$56))*HLOOKUP(($B724+PARAM!$B$56)/12,Loyalty,2)*$F$1*MAX(AT723,0)</f>
        <v>18.557001321003963</v>
      </c>
      <c r="AS724" s="75">
        <f>PARAM!$C$26+MAX($G$13-CHOOSE(PARAM!$B$44,MAX(0,AT723*$F$1),0),0)*RATES!$L700/12+$H$13*(PARAM!$D$51/12)*RATES!$N700/100</f>
        <v>590.79166666666663</v>
      </c>
      <c r="AT724" s="16">
        <f t="shared" si="466"/>
        <v>-70326.17810347589</v>
      </c>
      <c r="AU724" s="15">
        <f t="shared" si="441"/>
        <v>22.170849845882874</v>
      </c>
      <c r="AV724" s="75">
        <f>AU724*(1-PARAM!$C$27)*$I$14+(MOD($B724,60)=PARAM!$B$56)*($B724&gt;(60-PARAM!$B$56))*HLOOKUP(($B724+PARAM!$B$56)/12,Loyalty,2)*$F$1*MAX(AX723,0)</f>
        <v>18.557001321003963</v>
      </c>
      <c r="AW724" s="75">
        <f>PARAM!$C$26+MAX($G$14-CHOOSE(PARAM!$B$44,MAX(0,AX723*$F$1),0),0)*RATES!$L700/12+$H$14*(PARAM!$D$51/12)*RATES!$N700/100</f>
        <v>590.79166666666663</v>
      </c>
      <c r="AX724" s="16">
        <f t="shared" si="467"/>
        <v>-70326.17810347589</v>
      </c>
      <c r="AY724" s="15">
        <f t="shared" si="442"/>
        <v>22.170849845882874</v>
      </c>
      <c r="AZ724" s="75">
        <f>AY724*(1-PARAM!$C$27)*$I$15+(MOD($B724,60)=PARAM!$B$56)*($B724&gt;(60-PARAM!$B$56))*HLOOKUP(($B724+PARAM!$B$56)/12,Loyalty,2)*$F$1*MAX(BB723,0)</f>
        <v>18.557001321003963</v>
      </c>
      <c r="BA724" s="75">
        <f>PARAM!$C$26+MAX($G$15-CHOOSE(PARAM!$B$44,MAX(0,BB723*$F$1),0),0)*RATES!$L700/12+$H$15*(PARAM!$D$51/12)*RATES!$N700/100</f>
        <v>590.79166666666663</v>
      </c>
      <c r="BB724" s="16">
        <f t="shared" si="468"/>
        <v>-70326.17810347589</v>
      </c>
      <c r="BC724" s="15">
        <f t="shared" si="443"/>
        <v>22.170849845882874</v>
      </c>
      <c r="BD724" s="75">
        <f>BC724*(1-PARAM!$C$27)*$I$16+(MOD($B724,60)=PARAM!$B$56)*($B724&gt;(60-PARAM!$B$56))*HLOOKUP(($B724+PARAM!$B$56)/12,Loyalty,2)*$F$1*MAX(BF723,0)</f>
        <v>18.557001321003963</v>
      </c>
      <c r="BE724" s="75">
        <f>PARAM!$C$26+MAX($G$16-CHOOSE(PARAM!$B$44,MAX(0,BF723*$F$1),0),0)*RATES!$L700/12+$H$16*(PARAM!$D$51/12)*RATES!$N700/100</f>
        <v>590.79166666666663</v>
      </c>
      <c r="BF724" s="16">
        <f t="shared" si="469"/>
        <v>-70326.17810347589</v>
      </c>
      <c r="BG724" s="15">
        <f t="shared" si="444"/>
        <v>22.170849845882874</v>
      </c>
      <c r="BH724" s="75">
        <f>BG724*(1-PARAM!$C$27)*$I$17+(MOD($B724,60)=PARAM!$B$56)*($B724&gt;(60-PARAM!$B$56))*HLOOKUP(($B724+PARAM!$B$56)/12,Loyalty,2)*$F$1*MAX(BJ723,0)</f>
        <v>18.557001321003963</v>
      </c>
      <c r="BI724" s="75">
        <f>PARAM!$C$26+MAX($G$17-CHOOSE(PARAM!$B$44,MAX(0,BJ723*$F$1),0),0)*RATES!$L700/12+$H$17*(PARAM!$D$51/12)*RATES!$N700/100</f>
        <v>590.79166666666663</v>
      </c>
      <c r="BJ724" s="16">
        <f t="shared" si="470"/>
        <v>-70326.17810347589</v>
      </c>
      <c r="BK724" s="15">
        <f t="shared" si="445"/>
        <v>22.170849845882874</v>
      </c>
      <c r="BL724" s="75">
        <f>BK724*(1-PARAM!$C$27)*$I$18+(MOD($B724,60)=PARAM!$B$56)*($B724&gt;(60-PARAM!$B$56))*HLOOKUP(($B724+PARAM!$B$56)/12,Loyalty,2)*$F$1*MAX(BN723,0)</f>
        <v>18.557001321003963</v>
      </c>
      <c r="BM724" s="75">
        <f>PARAM!$C$26+MAX($G$18-CHOOSE(PARAM!$B$44,MAX(0,BN723*$F$1),0),0)*RATES!$L700/12+$H$18*(PARAM!$D$51/12)*RATES!$N700/100</f>
        <v>590.79166666666663</v>
      </c>
      <c r="BN724" s="16">
        <f t="shared" si="471"/>
        <v>-70326.17810347589</v>
      </c>
      <c r="BO724" s="15">
        <f t="shared" si="446"/>
        <v>22.170849845882874</v>
      </c>
      <c r="BP724" s="75">
        <f>BO724*(1-PARAM!$C$27)*$I$19+(MOD($B724,60)=PARAM!$B$56)*($B724&gt;(60-PARAM!$B$56))*HLOOKUP(($B724+PARAM!$B$56)/12,Loyalty,2)*$F$1*MAX(BR723,0)</f>
        <v>18.557001321003963</v>
      </c>
      <c r="BQ724" s="75">
        <f>PARAM!$C$26+MAX($G$19-CHOOSE(PARAM!$B$44,MAX(0,BR723*$F$1),0),0)*RATES!$L700/12+$H$19*(PARAM!$D$51/12)*RATES!$N700/100</f>
        <v>590.79166666666663</v>
      </c>
      <c r="BR724" s="16">
        <f t="shared" si="472"/>
        <v>-70326.17810347589</v>
      </c>
      <c r="BS724" s="15">
        <f t="shared" si="447"/>
        <v>22.170849845882874</v>
      </c>
      <c r="BT724" s="75">
        <f>BS724*(1-PARAM!$C$27)*$I$20+(MOD($B724,60)=PARAM!$B$56)*($B724&gt;(60-PARAM!$B$56))*HLOOKUP(($B724+PARAM!$B$56)/12,Loyalty,2)*$F$1*MAX(BV723,0)</f>
        <v>18.557001321003963</v>
      </c>
      <c r="BU724" s="75">
        <f>PARAM!$C$26+MAX($G$20-CHOOSE(PARAM!$B$44,MAX(0,BV723*$F$1),0),0)*RATES!$L700/12+$H$20*(PARAM!$D$51/12)*RATES!$N700/100</f>
        <v>590.79166666666663</v>
      </c>
      <c r="BV724" s="16">
        <f t="shared" si="473"/>
        <v>-70326.17810347589</v>
      </c>
      <c r="BW724" s="15">
        <f t="shared" si="448"/>
        <v>22.170849845882874</v>
      </c>
      <c r="BX724" s="75">
        <f>BW724*(1-PARAM!$C$27)*$I$21+(MOD($B724,60)=PARAM!$B$56)*($B724&gt;(60-PARAM!$B$56))*HLOOKUP(($B724+PARAM!$B$56)/12,Loyalty,2)*$F$1*MAX(BZ723,0)</f>
        <v>18.557001321003963</v>
      </c>
      <c r="BY724" s="75">
        <f>PARAM!$C$26+MAX($G$21-CHOOSE(PARAM!$B$44,MAX(0,BZ723*$F$1),0),0)*RATES!$L700/12+$H$21*(PARAM!$D$51/12)*RATES!$N700/100</f>
        <v>590.79166666666663</v>
      </c>
      <c r="BZ724" s="16">
        <f t="shared" si="474"/>
        <v>-70326.17810347589</v>
      </c>
      <c r="CA724" s="15">
        <f t="shared" si="449"/>
        <v>22.170849845882874</v>
      </c>
      <c r="CB724" s="75">
        <f>CA724*(1-PARAM!$C$27)*$I$22+(MOD($B724,60)=PARAM!$B$56)*($B724&gt;(60-PARAM!$B$56))*HLOOKUP(($B724+PARAM!$B$56)/12,Loyalty,2)*$F$1*MAX(CD723,0)</f>
        <v>18.557001321003963</v>
      </c>
      <c r="CC724" s="75">
        <f>PARAM!$C$26+MAX($G$22-CHOOSE(PARAM!$B$44,MAX(0,CD723*$F$1),0),0)*RATES!$L700/12+$H$22*(PARAM!$D$51/12)*RATES!$N700/100</f>
        <v>590.79166666666663</v>
      </c>
      <c r="CD724" s="16">
        <f t="shared" si="475"/>
        <v>-70326.17810347589</v>
      </c>
      <c r="CE724" s="33">
        <f>IF(0=MOD(B724,12/PARAM!$D$51),1,0)</f>
        <v>1</v>
      </c>
      <c r="CF724" s="15">
        <f t="shared" si="450"/>
        <v>0</v>
      </c>
      <c r="CG724" s="75">
        <f>CF724*(1-PARAM!$C$27)*$R$3+(MOD($B724/12,5)=0)*($B724&gt;60)*HLOOKUP($B724/12,Loyalty,2)*$F$1*MAX(CI723,0)</f>
        <v>0</v>
      </c>
      <c r="CH724" s="75">
        <f>PARAM!$C$26+MAX($P$3-CHOOSE(PARAM!$B$44,MAX(0,CI723*$F$1),0),0)*RATES!$L700/12+$Q$3*(PARAM!$D$51/12)*RATES!$N700/100</f>
        <v>590.79166666666663</v>
      </c>
      <c r="CI724" s="16">
        <f>IF(CI723&gt;0,CI723*PARAM!$C$53,CI723)+CG724-CH724</f>
        <v>-83140.833333333489</v>
      </c>
      <c r="CJ724" s="15">
        <f t="shared" si="476"/>
        <v>0</v>
      </c>
      <c r="CK724" s="75">
        <f>CJ724*(1-PARAM!$C$27)*$R$4+(MOD($B724/12,5)=0)*($B724&gt;60)*HLOOKUP($B724/12,Loyalty,2)*$F$1*MAX(CM723,0)</f>
        <v>0</v>
      </c>
      <c r="CL724" s="75">
        <f>PARAM!$C$26+MAX($P$4-CHOOSE(PARAM!$B$44,MAX(0,CM723*$F$1),0),0)*RATES!$L700/12+$Q$4*(PARAM!$D$51/12)*RATES!$N700/100</f>
        <v>590.79166666666663</v>
      </c>
      <c r="CM724" s="16">
        <f>IF(CM723&gt;0,CM723*PARAM!$C$53,CM723)+CK724-CL724</f>
        <v>-83140.833333333489</v>
      </c>
      <c r="CO724" s="176"/>
    </row>
    <row r="725" spans="1:93" x14ac:dyDescent="0.2">
      <c r="A725" t="b">
        <f t="shared" si="451"/>
        <v>0</v>
      </c>
      <c r="B725" s="33">
        <v>698</v>
      </c>
      <c r="C725" s="15">
        <f t="shared" si="452"/>
        <v>20.081305947392778</v>
      </c>
      <c r="D725" s="75">
        <f>C725*(1-PARAM!$C$27)*$I$3+(MOD($B725,60)=PARAM!$B$56)*($B725&gt;(60-PARAM!$B$56))*HLOOKUP(($B725+PARAM!$B$56)/12,Loyalty,2)*$F$1*MAX(F724,0)</f>
        <v>16.808053077967756</v>
      </c>
      <c r="E725" s="75">
        <f>PARAM!$C$26+MAX($G$3-CHOOSE(PARAM!$B$44,MAX(0,F724*$F$1),0),0)*RATES!$L701/12+$H$3*(PARAM!$D$51/12)*RATES!$N701/100</f>
        <v>590.79166666666663</v>
      </c>
      <c r="F725" s="16">
        <f t="shared" si="453"/>
        <v>-72156.02914298221</v>
      </c>
      <c r="G725" s="15">
        <f t="shared" si="454"/>
        <v>22.035289406060361</v>
      </c>
      <c r="H725" s="75">
        <f>G725*(1-PARAM!$C$27)*$I$4+(MOD($B725,60)=PARAM!$B$56)*($B725&gt;(60-PARAM!$B$56))*HLOOKUP(($B725+PARAM!$B$56)/12,Loyalty,2)*$F$1*MAX(J724,0)</f>
        <v>18.443537232872522</v>
      </c>
      <c r="I725" s="75">
        <f>PARAM!$C$26+MAX($G$4-CHOOSE(PARAM!$B$44,MAX(0,J724*$F$1),0),0)*RATES!$L701/12+$H$4*(PARAM!$D$51/12)*RATES!$N701/100</f>
        <v>590.79166666666663</v>
      </c>
      <c r="J725" s="16">
        <f t="shared" si="455"/>
        <v>-70980.628238736914</v>
      </c>
      <c r="K725" s="15">
        <f t="shared" si="456"/>
        <v>22.170849845882874</v>
      </c>
      <c r="L725" s="75">
        <f>K725*(1-PARAM!$C$27)*$I$5+(MOD($B725,60)=PARAM!$B$56)*($B725&gt;(60-PARAM!$B$56))*HLOOKUP(($B725+PARAM!$B$56)/12,Loyalty,2)*$F$1*MAX(N724,0)</f>
        <v>18.557001321003963</v>
      </c>
      <c r="M725" s="75">
        <f>PARAM!$C$26+MAX($G$5-CHOOSE(PARAM!$B$44,MAX(0,N724*$F$1),0),0)*RATES!$L701/12+$H$5*(PARAM!$D$51/12)*RATES!$N701/100</f>
        <v>590.79166666666663</v>
      </c>
      <c r="N725" s="16">
        <f t="shared" si="457"/>
        <v>-70898.412768821552</v>
      </c>
      <c r="O725" s="15">
        <f t="shared" si="458"/>
        <v>22.170849845882874</v>
      </c>
      <c r="P725" s="75">
        <f>O725*(1-PARAM!$C$27)*$I$6+(MOD($B725,60)=PARAM!$B$56)*($B725&gt;(60-PARAM!$B$56))*HLOOKUP(($B725+PARAM!$B$56)/12,Loyalty,2)*$F$1*MAX(R724,0)</f>
        <v>18.557001321003963</v>
      </c>
      <c r="Q725" s="75">
        <f>PARAM!$C$26+MAX($G$6-CHOOSE(PARAM!$B$44,MAX(0,R724*$F$1),0),0)*RATES!$L701/12+$H$6*(PARAM!$D$51/12)*RATES!$N701/100</f>
        <v>590.79166666666663</v>
      </c>
      <c r="R725" s="16">
        <f t="shared" si="459"/>
        <v>-70898.412768821552</v>
      </c>
      <c r="S725" s="15">
        <f t="shared" si="434"/>
        <v>22.170849845882874</v>
      </c>
      <c r="T725" s="75">
        <f>S725*(1-PARAM!$C$27)*$I$7+(MOD($B725,60)=PARAM!$B$56)*($B725&gt;(60-PARAM!$B$56))*HLOOKUP(($B725+PARAM!$B$56)/12,Loyalty,2)*$F$1*MAX(V724,0)</f>
        <v>18.557001321003963</v>
      </c>
      <c r="U725" s="75">
        <f>PARAM!$C$26+MAX($G$7-CHOOSE(PARAM!$B$44,MAX(0,V724*$F$1),0),0)*RATES!$L701/12+$H$7*(PARAM!$D$51/12)*RATES!$N701/100</f>
        <v>590.79166666666663</v>
      </c>
      <c r="V725" s="16">
        <f t="shared" si="460"/>
        <v>-70898.412768821552</v>
      </c>
      <c r="W725" s="15">
        <f t="shared" si="435"/>
        <v>22.170849845882874</v>
      </c>
      <c r="X725" s="75">
        <f>W725*(1-PARAM!$C$27)*$I$8+(MOD($B725,60)=PARAM!$B$56)*($B725&gt;(60-PARAM!$B$56))*HLOOKUP(($B725+PARAM!$B$56)/12,Loyalty,2)*$F$1*MAX(Z724,0)</f>
        <v>18.557001321003963</v>
      </c>
      <c r="Y725" s="75">
        <f>PARAM!$C$26+MAX($G$8-CHOOSE(PARAM!$B$44,MAX(0,Z724*$F$1),0),0)*RATES!$L701/12+$H$8*(PARAM!$D$51/12)*RATES!$N701/100</f>
        <v>590.79166666666663</v>
      </c>
      <c r="Z725" s="16">
        <f t="shared" si="461"/>
        <v>-70898.412768821552</v>
      </c>
      <c r="AA725" s="15">
        <f t="shared" si="436"/>
        <v>22.170849845882874</v>
      </c>
      <c r="AB725" s="75">
        <f>AA725*(1-PARAM!$C$27)*$I$9+(MOD($B725,60)=PARAM!$B$56)*($B725&gt;(60-PARAM!$B$56))*HLOOKUP(($B725+PARAM!$B$56)/12,Loyalty,2)*$F$1*MAX(AD724,0)</f>
        <v>18.557001321003963</v>
      </c>
      <c r="AC725" s="75">
        <f>PARAM!$C$26+MAX($G$9-CHOOSE(PARAM!$B$44,MAX(0,AD724*$F$1),0),0)*RATES!$L701/12+$H$9*(PARAM!$D$51/12)*RATES!$N701/100</f>
        <v>590.79166666666663</v>
      </c>
      <c r="AD725" s="16">
        <f t="shared" si="462"/>
        <v>-70898.412768821552</v>
      </c>
      <c r="AE725" s="15">
        <f t="shared" si="437"/>
        <v>22.170849845882874</v>
      </c>
      <c r="AF725" s="75">
        <f>AE725*(1-PARAM!$C$27)*$I$10+(MOD($B725,60)=PARAM!$B$56)*($B725&gt;(60-PARAM!$B$56))*HLOOKUP(($B725+PARAM!$B$56)/12,Loyalty,2)*$F$1*MAX(AH724,0)</f>
        <v>18.557001321003963</v>
      </c>
      <c r="AG725" s="75">
        <f>PARAM!$C$26+MAX($G$10-CHOOSE(PARAM!$B$44,MAX(0,AH724*$F$1),0),0)*RATES!$L701/12+$H$10*(PARAM!$D$51/12)*RATES!$N701/100</f>
        <v>590.79166666666663</v>
      </c>
      <c r="AH725" s="16">
        <f t="shared" si="463"/>
        <v>-70898.412768821552</v>
      </c>
      <c r="AI725" s="15">
        <f t="shared" si="438"/>
        <v>22.170849845882874</v>
      </c>
      <c r="AJ725" s="75">
        <f>AI725*(1-PARAM!$C$27)*$I$11+(MOD($B725,60)=PARAM!$B$56)*($B725&gt;(60-PARAM!$B$56))*HLOOKUP(($B725+PARAM!$B$56)/12,Loyalty,2)*$F$1*MAX(AL724,0)</f>
        <v>18.557001321003963</v>
      </c>
      <c r="AK725" s="75">
        <f>PARAM!$C$26+MAX($G$11-CHOOSE(PARAM!$B$44,MAX(0,AL724*$F$1),0),0)*RATES!$L701/12+$H$11*(PARAM!$D$51/12)*RATES!$N701/100</f>
        <v>590.79166666666663</v>
      </c>
      <c r="AL725" s="16">
        <f t="shared" si="464"/>
        <v>-70898.412768821552</v>
      </c>
      <c r="AM725" s="15">
        <f t="shared" si="439"/>
        <v>22.170849845882874</v>
      </c>
      <c r="AN725" s="75">
        <f>AM725*(1-PARAM!$C$27)*$I$12+(MOD($B725,60)=PARAM!$B$56)*($B725&gt;(60-PARAM!$B$56))*HLOOKUP(($B725+PARAM!$B$56)/12,Loyalty,2)*$F$1*MAX(AP724,0)</f>
        <v>18.557001321003963</v>
      </c>
      <c r="AO725" s="75">
        <f>PARAM!$C$26+MAX($G$12-CHOOSE(PARAM!$B$44,MAX(0,AP724*$F$1),0),0)*RATES!$L701/12+$H$12*(PARAM!$D$51/12)*RATES!$N701/100</f>
        <v>590.79166666666663</v>
      </c>
      <c r="AP725" s="16">
        <f t="shared" si="465"/>
        <v>-70898.412768821552</v>
      </c>
      <c r="AQ725" s="15">
        <f t="shared" si="440"/>
        <v>22.170849845882874</v>
      </c>
      <c r="AR725" s="75">
        <f>AQ725*(1-PARAM!$C$27)*$I$13+(MOD($B725,60)=PARAM!$B$56)*($B725&gt;(60-PARAM!$B$56))*HLOOKUP(($B725+PARAM!$B$56)/12,Loyalty,2)*$F$1*MAX(AT724,0)</f>
        <v>18.557001321003963</v>
      </c>
      <c r="AS725" s="75">
        <f>PARAM!$C$26+MAX($G$13-CHOOSE(PARAM!$B$44,MAX(0,AT724*$F$1),0),0)*RATES!$L701/12+$H$13*(PARAM!$D$51/12)*RATES!$N701/100</f>
        <v>590.79166666666663</v>
      </c>
      <c r="AT725" s="16">
        <f t="shared" si="466"/>
        <v>-70898.412768821552</v>
      </c>
      <c r="AU725" s="15">
        <f t="shared" si="441"/>
        <v>22.170849845882874</v>
      </c>
      <c r="AV725" s="75">
        <f>AU725*(1-PARAM!$C$27)*$I$14+(MOD($B725,60)=PARAM!$B$56)*($B725&gt;(60-PARAM!$B$56))*HLOOKUP(($B725+PARAM!$B$56)/12,Loyalty,2)*$F$1*MAX(AX724,0)</f>
        <v>18.557001321003963</v>
      </c>
      <c r="AW725" s="75">
        <f>PARAM!$C$26+MAX($G$14-CHOOSE(PARAM!$B$44,MAX(0,AX724*$F$1),0),0)*RATES!$L701/12+$H$14*(PARAM!$D$51/12)*RATES!$N701/100</f>
        <v>590.79166666666663</v>
      </c>
      <c r="AX725" s="16">
        <f t="shared" si="467"/>
        <v>-70898.412768821552</v>
      </c>
      <c r="AY725" s="15">
        <f t="shared" si="442"/>
        <v>22.170849845882874</v>
      </c>
      <c r="AZ725" s="75">
        <f>AY725*(1-PARAM!$C$27)*$I$15+(MOD($B725,60)=PARAM!$B$56)*($B725&gt;(60-PARAM!$B$56))*HLOOKUP(($B725+PARAM!$B$56)/12,Loyalty,2)*$F$1*MAX(BB724,0)</f>
        <v>18.557001321003963</v>
      </c>
      <c r="BA725" s="75">
        <f>PARAM!$C$26+MAX($G$15-CHOOSE(PARAM!$B$44,MAX(0,BB724*$F$1),0),0)*RATES!$L701/12+$H$15*(PARAM!$D$51/12)*RATES!$N701/100</f>
        <v>590.79166666666663</v>
      </c>
      <c r="BB725" s="16">
        <f t="shared" si="468"/>
        <v>-70898.412768821552</v>
      </c>
      <c r="BC725" s="15">
        <f t="shared" si="443"/>
        <v>22.170849845882874</v>
      </c>
      <c r="BD725" s="75">
        <f>BC725*(1-PARAM!$C$27)*$I$16+(MOD($B725,60)=PARAM!$B$56)*($B725&gt;(60-PARAM!$B$56))*HLOOKUP(($B725+PARAM!$B$56)/12,Loyalty,2)*$F$1*MAX(BF724,0)</f>
        <v>18.557001321003963</v>
      </c>
      <c r="BE725" s="75">
        <f>PARAM!$C$26+MAX($G$16-CHOOSE(PARAM!$B$44,MAX(0,BF724*$F$1),0),0)*RATES!$L701/12+$H$16*(PARAM!$D$51/12)*RATES!$N701/100</f>
        <v>590.79166666666663</v>
      </c>
      <c r="BF725" s="16">
        <f t="shared" si="469"/>
        <v>-70898.412768821552</v>
      </c>
      <c r="BG725" s="15">
        <f t="shared" si="444"/>
        <v>22.170849845882874</v>
      </c>
      <c r="BH725" s="75">
        <f>BG725*(1-PARAM!$C$27)*$I$17+(MOD($B725,60)=PARAM!$B$56)*($B725&gt;(60-PARAM!$B$56))*HLOOKUP(($B725+PARAM!$B$56)/12,Loyalty,2)*$F$1*MAX(BJ724,0)</f>
        <v>18.557001321003963</v>
      </c>
      <c r="BI725" s="75">
        <f>PARAM!$C$26+MAX($G$17-CHOOSE(PARAM!$B$44,MAX(0,BJ724*$F$1),0),0)*RATES!$L701/12+$H$17*(PARAM!$D$51/12)*RATES!$N701/100</f>
        <v>590.79166666666663</v>
      </c>
      <c r="BJ725" s="16">
        <f t="shared" si="470"/>
        <v>-70898.412768821552</v>
      </c>
      <c r="BK725" s="15">
        <f t="shared" si="445"/>
        <v>22.170849845882874</v>
      </c>
      <c r="BL725" s="75">
        <f>BK725*(1-PARAM!$C$27)*$I$18+(MOD($B725,60)=PARAM!$B$56)*($B725&gt;(60-PARAM!$B$56))*HLOOKUP(($B725+PARAM!$B$56)/12,Loyalty,2)*$F$1*MAX(BN724,0)</f>
        <v>18.557001321003963</v>
      </c>
      <c r="BM725" s="75">
        <f>PARAM!$C$26+MAX($G$18-CHOOSE(PARAM!$B$44,MAX(0,BN724*$F$1),0),0)*RATES!$L701/12+$H$18*(PARAM!$D$51/12)*RATES!$N701/100</f>
        <v>590.79166666666663</v>
      </c>
      <c r="BN725" s="16">
        <f t="shared" si="471"/>
        <v>-70898.412768821552</v>
      </c>
      <c r="BO725" s="15">
        <f t="shared" si="446"/>
        <v>22.170849845882874</v>
      </c>
      <c r="BP725" s="75">
        <f>BO725*(1-PARAM!$C$27)*$I$19+(MOD($B725,60)=PARAM!$B$56)*($B725&gt;(60-PARAM!$B$56))*HLOOKUP(($B725+PARAM!$B$56)/12,Loyalty,2)*$F$1*MAX(BR724,0)</f>
        <v>18.557001321003963</v>
      </c>
      <c r="BQ725" s="75">
        <f>PARAM!$C$26+MAX($G$19-CHOOSE(PARAM!$B$44,MAX(0,BR724*$F$1),0),0)*RATES!$L701/12+$H$19*(PARAM!$D$51/12)*RATES!$N701/100</f>
        <v>590.79166666666663</v>
      </c>
      <c r="BR725" s="16">
        <f t="shared" si="472"/>
        <v>-70898.412768821552</v>
      </c>
      <c r="BS725" s="15">
        <f t="shared" si="447"/>
        <v>22.170849845882874</v>
      </c>
      <c r="BT725" s="75">
        <f>BS725*(1-PARAM!$C$27)*$I$20+(MOD($B725,60)=PARAM!$B$56)*($B725&gt;(60-PARAM!$B$56))*HLOOKUP(($B725+PARAM!$B$56)/12,Loyalty,2)*$F$1*MAX(BV724,0)</f>
        <v>18.557001321003963</v>
      </c>
      <c r="BU725" s="75">
        <f>PARAM!$C$26+MAX($G$20-CHOOSE(PARAM!$B$44,MAX(0,BV724*$F$1),0),0)*RATES!$L701/12+$H$20*(PARAM!$D$51/12)*RATES!$N701/100</f>
        <v>590.79166666666663</v>
      </c>
      <c r="BV725" s="16">
        <f t="shared" si="473"/>
        <v>-70898.412768821552</v>
      </c>
      <c r="BW725" s="15">
        <f t="shared" si="448"/>
        <v>22.170849845882874</v>
      </c>
      <c r="BX725" s="75">
        <f>BW725*(1-PARAM!$C$27)*$I$21+(MOD($B725,60)=PARAM!$B$56)*($B725&gt;(60-PARAM!$B$56))*HLOOKUP(($B725+PARAM!$B$56)/12,Loyalty,2)*$F$1*MAX(BZ724,0)</f>
        <v>18.557001321003963</v>
      </c>
      <c r="BY725" s="75">
        <f>PARAM!$C$26+MAX($G$21-CHOOSE(PARAM!$B$44,MAX(0,BZ724*$F$1),0),0)*RATES!$L701/12+$H$21*(PARAM!$D$51/12)*RATES!$N701/100</f>
        <v>590.79166666666663</v>
      </c>
      <c r="BZ725" s="16">
        <f t="shared" si="474"/>
        <v>-70898.412768821552</v>
      </c>
      <c r="CA725" s="15">
        <f t="shared" si="449"/>
        <v>22.170849845882874</v>
      </c>
      <c r="CB725" s="75">
        <f>CA725*(1-PARAM!$C$27)*$I$22+(MOD($B725,60)=PARAM!$B$56)*($B725&gt;(60-PARAM!$B$56))*HLOOKUP(($B725+PARAM!$B$56)/12,Loyalty,2)*$F$1*MAX(CD724,0)</f>
        <v>18.557001321003963</v>
      </c>
      <c r="CC725" s="75">
        <f>PARAM!$C$26+MAX($G$22-CHOOSE(PARAM!$B$44,MAX(0,CD724*$F$1),0),0)*RATES!$L701/12+$H$22*(PARAM!$D$51/12)*RATES!$N701/100</f>
        <v>590.79166666666663</v>
      </c>
      <c r="CD725" s="16">
        <f t="shared" si="475"/>
        <v>-70898.412768821552</v>
      </c>
      <c r="CE725" s="33">
        <f>IF(0=MOD(B725,12/PARAM!$D$51),1,0)</f>
        <v>1</v>
      </c>
      <c r="CF725" s="15">
        <f t="shared" si="450"/>
        <v>0</v>
      </c>
      <c r="CG725" s="75">
        <f>CF725*(1-PARAM!$C$27)*$R$3+(MOD($B725/12,5)=0)*($B725&gt;60)*HLOOKUP($B725/12,Loyalty,2)*$F$1*MAX(CI724,0)</f>
        <v>0</v>
      </c>
      <c r="CH725" s="75">
        <f>PARAM!$C$26+MAX($P$3-CHOOSE(PARAM!$B$44,MAX(0,CI724*$F$1),0),0)*RATES!$L701/12+$Q$3*(PARAM!$D$51/12)*RATES!$N701/100</f>
        <v>590.79166666666663</v>
      </c>
      <c r="CI725" s="16">
        <f>IF(CI724&gt;0,CI724*PARAM!$C$53,CI724)+CG725-CH725</f>
        <v>-83731.62500000016</v>
      </c>
      <c r="CJ725" s="15">
        <f t="shared" si="476"/>
        <v>0</v>
      </c>
      <c r="CK725" s="75">
        <f>CJ725*(1-PARAM!$C$27)*$R$4+(MOD($B725/12,5)=0)*($B725&gt;60)*HLOOKUP($B725/12,Loyalty,2)*$F$1*MAX(CM724,0)</f>
        <v>0</v>
      </c>
      <c r="CL725" s="75">
        <f>PARAM!$C$26+MAX($P$4-CHOOSE(PARAM!$B$44,MAX(0,CM724*$F$1),0),0)*RATES!$L701/12+$Q$4*(PARAM!$D$51/12)*RATES!$N701/100</f>
        <v>590.79166666666663</v>
      </c>
      <c r="CM725" s="16">
        <f>IF(CM724&gt;0,CM724*PARAM!$C$53,CM724)+CK725-CL725</f>
        <v>-83731.62500000016</v>
      </c>
      <c r="CO725" s="176"/>
    </row>
    <row r="726" spans="1:93" x14ac:dyDescent="0.2">
      <c r="A726" t="b">
        <f t="shared" si="451"/>
        <v>0</v>
      </c>
      <c r="B726" s="33">
        <v>699</v>
      </c>
      <c r="C726" s="15">
        <f t="shared" si="452"/>
        <v>20.081305947392778</v>
      </c>
      <c r="D726" s="75">
        <f>C726*(1-PARAM!$C$27)*$I$3+(MOD($B726,60)=PARAM!$B$56)*($B726&gt;(60-PARAM!$B$56))*HLOOKUP(($B726+PARAM!$B$56)/12,Loyalty,2)*$F$1*MAX(F725,0)</f>
        <v>16.808053077967756</v>
      </c>
      <c r="E726" s="75">
        <f>PARAM!$C$26+MAX($G$3-CHOOSE(PARAM!$B$44,MAX(0,F725*$F$1),0),0)*RATES!$L702/12+$H$3*(PARAM!$D$51/12)*RATES!$N702/100</f>
        <v>590.79166666666663</v>
      </c>
      <c r="F726" s="16">
        <f t="shared" si="453"/>
        <v>-72730.012756570912</v>
      </c>
      <c r="G726" s="15">
        <f t="shared" si="454"/>
        <v>22.035289406060361</v>
      </c>
      <c r="H726" s="75">
        <f>G726*(1-PARAM!$C$27)*$I$4+(MOD($B726,60)=PARAM!$B$56)*($B726&gt;(60-PARAM!$B$56))*HLOOKUP(($B726+PARAM!$B$56)/12,Loyalty,2)*$F$1*MAX(J725,0)</f>
        <v>18.443537232872522</v>
      </c>
      <c r="I726" s="75">
        <f>PARAM!$C$26+MAX($G$4-CHOOSE(PARAM!$B$44,MAX(0,J725*$F$1),0),0)*RATES!$L702/12+$H$4*(PARAM!$D$51/12)*RATES!$N702/100</f>
        <v>590.79166666666663</v>
      </c>
      <c r="J726" s="16">
        <f t="shared" si="455"/>
        <v>-71552.976368170712</v>
      </c>
      <c r="K726" s="15">
        <f t="shared" si="456"/>
        <v>22.170849845882874</v>
      </c>
      <c r="L726" s="75">
        <f>K726*(1-PARAM!$C$27)*$I$5+(MOD($B726,60)=PARAM!$B$56)*($B726&gt;(60-PARAM!$B$56))*HLOOKUP(($B726+PARAM!$B$56)/12,Loyalty,2)*$F$1*MAX(N725,0)</f>
        <v>18.557001321003963</v>
      </c>
      <c r="M726" s="75">
        <f>PARAM!$C$26+MAX($G$5-CHOOSE(PARAM!$B$44,MAX(0,N725*$F$1),0),0)*RATES!$L702/12+$H$5*(PARAM!$D$51/12)*RATES!$N702/100</f>
        <v>590.79166666666663</v>
      </c>
      <c r="N726" s="16">
        <f t="shared" si="457"/>
        <v>-71470.647434167215</v>
      </c>
      <c r="O726" s="15">
        <f t="shared" si="458"/>
        <v>22.170849845882874</v>
      </c>
      <c r="P726" s="75">
        <f>O726*(1-PARAM!$C$27)*$I$6+(MOD($B726,60)=PARAM!$B$56)*($B726&gt;(60-PARAM!$B$56))*HLOOKUP(($B726+PARAM!$B$56)/12,Loyalty,2)*$F$1*MAX(R725,0)</f>
        <v>18.557001321003963</v>
      </c>
      <c r="Q726" s="75">
        <f>PARAM!$C$26+MAX($G$6-CHOOSE(PARAM!$B$44,MAX(0,R725*$F$1),0),0)*RATES!$L702/12+$H$6*(PARAM!$D$51/12)*RATES!$N702/100</f>
        <v>590.79166666666663</v>
      </c>
      <c r="R726" s="16">
        <f t="shared" si="459"/>
        <v>-71470.647434167215</v>
      </c>
      <c r="S726" s="15">
        <f t="shared" si="434"/>
        <v>22.170849845882874</v>
      </c>
      <c r="T726" s="75">
        <f>S726*(1-PARAM!$C$27)*$I$7+(MOD($B726,60)=PARAM!$B$56)*($B726&gt;(60-PARAM!$B$56))*HLOOKUP(($B726+PARAM!$B$56)/12,Loyalty,2)*$F$1*MAX(V725,0)</f>
        <v>18.557001321003963</v>
      </c>
      <c r="U726" s="75">
        <f>PARAM!$C$26+MAX($G$7-CHOOSE(PARAM!$B$44,MAX(0,V725*$F$1),0),0)*RATES!$L702/12+$H$7*(PARAM!$D$51/12)*RATES!$N702/100</f>
        <v>590.79166666666663</v>
      </c>
      <c r="V726" s="16">
        <f t="shared" si="460"/>
        <v>-71470.647434167215</v>
      </c>
      <c r="W726" s="15">
        <f t="shared" si="435"/>
        <v>22.170849845882874</v>
      </c>
      <c r="X726" s="75">
        <f>W726*(1-PARAM!$C$27)*$I$8+(MOD($B726,60)=PARAM!$B$56)*($B726&gt;(60-PARAM!$B$56))*HLOOKUP(($B726+PARAM!$B$56)/12,Loyalty,2)*$F$1*MAX(Z725,0)</f>
        <v>18.557001321003963</v>
      </c>
      <c r="Y726" s="75">
        <f>PARAM!$C$26+MAX($G$8-CHOOSE(PARAM!$B$44,MAX(0,Z725*$F$1),0),0)*RATES!$L702/12+$H$8*(PARAM!$D$51/12)*RATES!$N702/100</f>
        <v>590.79166666666663</v>
      </c>
      <c r="Z726" s="16">
        <f t="shared" si="461"/>
        <v>-71470.647434167215</v>
      </c>
      <c r="AA726" s="15">
        <f t="shared" si="436"/>
        <v>22.170849845882874</v>
      </c>
      <c r="AB726" s="75">
        <f>AA726*(1-PARAM!$C$27)*$I$9+(MOD($B726,60)=PARAM!$B$56)*($B726&gt;(60-PARAM!$B$56))*HLOOKUP(($B726+PARAM!$B$56)/12,Loyalty,2)*$F$1*MAX(AD725,0)</f>
        <v>18.557001321003963</v>
      </c>
      <c r="AC726" s="75">
        <f>PARAM!$C$26+MAX($G$9-CHOOSE(PARAM!$B$44,MAX(0,AD725*$F$1),0),0)*RATES!$L702/12+$H$9*(PARAM!$D$51/12)*RATES!$N702/100</f>
        <v>590.79166666666663</v>
      </c>
      <c r="AD726" s="16">
        <f t="shared" si="462"/>
        <v>-71470.647434167215</v>
      </c>
      <c r="AE726" s="15">
        <f t="shared" si="437"/>
        <v>22.170849845882874</v>
      </c>
      <c r="AF726" s="75">
        <f>AE726*(1-PARAM!$C$27)*$I$10+(MOD($B726,60)=PARAM!$B$56)*($B726&gt;(60-PARAM!$B$56))*HLOOKUP(($B726+PARAM!$B$56)/12,Loyalty,2)*$F$1*MAX(AH725,0)</f>
        <v>18.557001321003963</v>
      </c>
      <c r="AG726" s="75">
        <f>PARAM!$C$26+MAX($G$10-CHOOSE(PARAM!$B$44,MAX(0,AH725*$F$1),0),0)*RATES!$L702/12+$H$10*(PARAM!$D$51/12)*RATES!$N702/100</f>
        <v>590.79166666666663</v>
      </c>
      <c r="AH726" s="16">
        <f t="shared" si="463"/>
        <v>-71470.647434167215</v>
      </c>
      <c r="AI726" s="15">
        <f t="shared" si="438"/>
        <v>22.170849845882874</v>
      </c>
      <c r="AJ726" s="75">
        <f>AI726*(1-PARAM!$C$27)*$I$11+(MOD($B726,60)=PARAM!$B$56)*($B726&gt;(60-PARAM!$B$56))*HLOOKUP(($B726+PARAM!$B$56)/12,Loyalty,2)*$F$1*MAX(AL725,0)</f>
        <v>18.557001321003963</v>
      </c>
      <c r="AK726" s="75">
        <f>PARAM!$C$26+MAX($G$11-CHOOSE(PARAM!$B$44,MAX(0,AL725*$F$1),0),0)*RATES!$L702/12+$H$11*(PARAM!$D$51/12)*RATES!$N702/100</f>
        <v>590.79166666666663</v>
      </c>
      <c r="AL726" s="16">
        <f t="shared" si="464"/>
        <v>-71470.647434167215</v>
      </c>
      <c r="AM726" s="15">
        <f t="shared" si="439"/>
        <v>22.170849845882874</v>
      </c>
      <c r="AN726" s="75">
        <f>AM726*(1-PARAM!$C$27)*$I$12+(MOD($B726,60)=PARAM!$B$56)*($B726&gt;(60-PARAM!$B$56))*HLOOKUP(($B726+PARAM!$B$56)/12,Loyalty,2)*$F$1*MAX(AP725,0)</f>
        <v>18.557001321003963</v>
      </c>
      <c r="AO726" s="75">
        <f>PARAM!$C$26+MAX($G$12-CHOOSE(PARAM!$B$44,MAX(0,AP725*$F$1),0),0)*RATES!$L702/12+$H$12*(PARAM!$D$51/12)*RATES!$N702/100</f>
        <v>590.79166666666663</v>
      </c>
      <c r="AP726" s="16">
        <f t="shared" si="465"/>
        <v>-71470.647434167215</v>
      </c>
      <c r="AQ726" s="15">
        <f t="shared" si="440"/>
        <v>22.170849845882874</v>
      </c>
      <c r="AR726" s="75">
        <f>AQ726*(1-PARAM!$C$27)*$I$13+(MOD($B726,60)=PARAM!$B$56)*($B726&gt;(60-PARAM!$B$56))*HLOOKUP(($B726+PARAM!$B$56)/12,Loyalty,2)*$F$1*MAX(AT725,0)</f>
        <v>18.557001321003963</v>
      </c>
      <c r="AS726" s="75">
        <f>PARAM!$C$26+MAX($G$13-CHOOSE(PARAM!$B$44,MAX(0,AT725*$F$1),0),0)*RATES!$L702/12+$H$13*(PARAM!$D$51/12)*RATES!$N702/100</f>
        <v>590.79166666666663</v>
      </c>
      <c r="AT726" s="16">
        <f t="shared" si="466"/>
        <v>-71470.647434167215</v>
      </c>
      <c r="AU726" s="15">
        <f t="shared" si="441"/>
        <v>22.170849845882874</v>
      </c>
      <c r="AV726" s="75">
        <f>AU726*(1-PARAM!$C$27)*$I$14+(MOD($B726,60)=PARAM!$B$56)*($B726&gt;(60-PARAM!$B$56))*HLOOKUP(($B726+PARAM!$B$56)/12,Loyalty,2)*$F$1*MAX(AX725,0)</f>
        <v>18.557001321003963</v>
      </c>
      <c r="AW726" s="75">
        <f>PARAM!$C$26+MAX($G$14-CHOOSE(PARAM!$B$44,MAX(0,AX725*$F$1),0),0)*RATES!$L702/12+$H$14*(PARAM!$D$51/12)*RATES!$N702/100</f>
        <v>590.79166666666663</v>
      </c>
      <c r="AX726" s="16">
        <f t="shared" si="467"/>
        <v>-71470.647434167215</v>
      </c>
      <c r="AY726" s="15">
        <f t="shared" si="442"/>
        <v>22.170849845882874</v>
      </c>
      <c r="AZ726" s="75">
        <f>AY726*(1-PARAM!$C$27)*$I$15+(MOD($B726,60)=PARAM!$B$56)*($B726&gt;(60-PARAM!$B$56))*HLOOKUP(($B726+PARAM!$B$56)/12,Loyalty,2)*$F$1*MAX(BB725,0)</f>
        <v>18.557001321003963</v>
      </c>
      <c r="BA726" s="75">
        <f>PARAM!$C$26+MAX($G$15-CHOOSE(PARAM!$B$44,MAX(0,BB725*$F$1),0),0)*RATES!$L702/12+$H$15*(PARAM!$D$51/12)*RATES!$N702/100</f>
        <v>590.79166666666663</v>
      </c>
      <c r="BB726" s="16">
        <f t="shared" si="468"/>
        <v>-71470.647434167215</v>
      </c>
      <c r="BC726" s="15">
        <f t="shared" si="443"/>
        <v>22.170849845882874</v>
      </c>
      <c r="BD726" s="75">
        <f>BC726*(1-PARAM!$C$27)*$I$16+(MOD($B726,60)=PARAM!$B$56)*($B726&gt;(60-PARAM!$B$56))*HLOOKUP(($B726+PARAM!$B$56)/12,Loyalty,2)*$F$1*MAX(BF725,0)</f>
        <v>18.557001321003963</v>
      </c>
      <c r="BE726" s="75">
        <f>PARAM!$C$26+MAX($G$16-CHOOSE(PARAM!$B$44,MAX(0,BF725*$F$1),0),0)*RATES!$L702/12+$H$16*(PARAM!$D$51/12)*RATES!$N702/100</f>
        <v>590.79166666666663</v>
      </c>
      <c r="BF726" s="16">
        <f t="shared" si="469"/>
        <v>-71470.647434167215</v>
      </c>
      <c r="BG726" s="15">
        <f t="shared" si="444"/>
        <v>22.170849845882874</v>
      </c>
      <c r="BH726" s="75">
        <f>BG726*(1-PARAM!$C$27)*$I$17+(MOD($B726,60)=PARAM!$B$56)*($B726&gt;(60-PARAM!$B$56))*HLOOKUP(($B726+PARAM!$B$56)/12,Loyalty,2)*$F$1*MAX(BJ725,0)</f>
        <v>18.557001321003963</v>
      </c>
      <c r="BI726" s="75">
        <f>PARAM!$C$26+MAX($G$17-CHOOSE(PARAM!$B$44,MAX(0,BJ725*$F$1),0),0)*RATES!$L702/12+$H$17*(PARAM!$D$51/12)*RATES!$N702/100</f>
        <v>590.79166666666663</v>
      </c>
      <c r="BJ726" s="16">
        <f t="shared" si="470"/>
        <v>-71470.647434167215</v>
      </c>
      <c r="BK726" s="15">
        <f t="shared" si="445"/>
        <v>22.170849845882874</v>
      </c>
      <c r="BL726" s="75">
        <f>BK726*(1-PARAM!$C$27)*$I$18+(MOD($B726,60)=PARAM!$B$56)*($B726&gt;(60-PARAM!$B$56))*HLOOKUP(($B726+PARAM!$B$56)/12,Loyalty,2)*$F$1*MAX(BN725,0)</f>
        <v>18.557001321003963</v>
      </c>
      <c r="BM726" s="75">
        <f>PARAM!$C$26+MAX($G$18-CHOOSE(PARAM!$B$44,MAX(0,BN725*$F$1),0),0)*RATES!$L702/12+$H$18*(PARAM!$D$51/12)*RATES!$N702/100</f>
        <v>590.79166666666663</v>
      </c>
      <c r="BN726" s="16">
        <f t="shared" si="471"/>
        <v>-71470.647434167215</v>
      </c>
      <c r="BO726" s="15">
        <f t="shared" si="446"/>
        <v>22.170849845882874</v>
      </c>
      <c r="BP726" s="75">
        <f>BO726*(1-PARAM!$C$27)*$I$19+(MOD($B726,60)=PARAM!$B$56)*($B726&gt;(60-PARAM!$B$56))*HLOOKUP(($B726+PARAM!$B$56)/12,Loyalty,2)*$F$1*MAX(BR725,0)</f>
        <v>18.557001321003963</v>
      </c>
      <c r="BQ726" s="75">
        <f>PARAM!$C$26+MAX($G$19-CHOOSE(PARAM!$B$44,MAX(0,BR725*$F$1),0),0)*RATES!$L702/12+$H$19*(PARAM!$D$51/12)*RATES!$N702/100</f>
        <v>590.79166666666663</v>
      </c>
      <c r="BR726" s="16">
        <f t="shared" si="472"/>
        <v>-71470.647434167215</v>
      </c>
      <c r="BS726" s="15">
        <f t="shared" si="447"/>
        <v>22.170849845882874</v>
      </c>
      <c r="BT726" s="75">
        <f>BS726*(1-PARAM!$C$27)*$I$20+(MOD($B726,60)=PARAM!$B$56)*($B726&gt;(60-PARAM!$B$56))*HLOOKUP(($B726+PARAM!$B$56)/12,Loyalty,2)*$F$1*MAX(BV725,0)</f>
        <v>18.557001321003963</v>
      </c>
      <c r="BU726" s="75">
        <f>PARAM!$C$26+MAX($G$20-CHOOSE(PARAM!$B$44,MAX(0,BV725*$F$1),0),0)*RATES!$L702/12+$H$20*(PARAM!$D$51/12)*RATES!$N702/100</f>
        <v>590.79166666666663</v>
      </c>
      <c r="BV726" s="16">
        <f t="shared" si="473"/>
        <v>-71470.647434167215</v>
      </c>
      <c r="BW726" s="15">
        <f t="shared" si="448"/>
        <v>22.170849845882874</v>
      </c>
      <c r="BX726" s="75">
        <f>BW726*(1-PARAM!$C$27)*$I$21+(MOD($B726,60)=PARAM!$B$56)*($B726&gt;(60-PARAM!$B$56))*HLOOKUP(($B726+PARAM!$B$56)/12,Loyalty,2)*$F$1*MAX(BZ725,0)</f>
        <v>18.557001321003963</v>
      </c>
      <c r="BY726" s="75">
        <f>PARAM!$C$26+MAX($G$21-CHOOSE(PARAM!$B$44,MAX(0,BZ725*$F$1),0),0)*RATES!$L702/12+$H$21*(PARAM!$D$51/12)*RATES!$N702/100</f>
        <v>590.79166666666663</v>
      </c>
      <c r="BZ726" s="16">
        <f t="shared" si="474"/>
        <v>-71470.647434167215</v>
      </c>
      <c r="CA726" s="15">
        <f t="shared" si="449"/>
        <v>22.170849845882874</v>
      </c>
      <c r="CB726" s="75">
        <f>CA726*(1-PARAM!$C$27)*$I$22+(MOD($B726,60)=PARAM!$B$56)*($B726&gt;(60-PARAM!$B$56))*HLOOKUP(($B726+PARAM!$B$56)/12,Loyalty,2)*$F$1*MAX(CD725,0)</f>
        <v>18.557001321003963</v>
      </c>
      <c r="CC726" s="75">
        <f>PARAM!$C$26+MAX($G$22-CHOOSE(PARAM!$B$44,MAX(0,CD725*$F$1),0),0)*RATES!$L702/12+$H$22*(PARAM!$D$51/12)*RATES!$N702/100</f>
        <v>590.79166666666663</v>
      </c>
      <c r="CD726" s="16">
        <f t="shared" si="475"/>
        <v>-71470.647434167215</v>
      </c>
      <c r="CE726" s="33">
        <f>IF(0=MOD(B726,12/PARAM!$D$51),1,0)</f>
        <v>1</v>
      </c>
      <c r="CF726" s="15">
        <f t="shared" si="450"/>
        <v>0</v>
      </c>
      <c r="CG726" s="75">
        <f>CF726*(1-PARAM!$C$27)*$R$3+(MOD($B726/12,5)=0)*($B726&gt;60)*HLOOKUP($B726/12,Loyalty,2)*$F$1*MAX(CI725,0)</f>
        <v>0</v>
      </c>
      <c r="CH726" s="75">
        <f>PARAM!$C$26+MAX($P$3-CHOOSE(PARAM!$B$44,MAX(0,CI725*$F$1),0),0)*RATES!$L702/12+$Q$3*(PARAM!$D$51/12)*RATES!$N702/100</f>
        <v>590.79166666666663</v>
      </c>
      <c r="CI726" s="16">
        <f>IF(CI725&gt;0,CI725*PARAM!$C$53,CI725)+CG726-CH726</f>
        <v>-84322.416666666832</v>
      </c>
      <c r="CJ726" s="15">
        <f t="shared" si="476"/>
        <v>0</v>
      </c>
      <c r="CK726" s="75">
        <f>CJ726*(1-PARAM!$C$27)*$R$4+(MOD($B726/12,5)=0)*($B726&gt;60)*HLOOKUP($B726/12,Loyalty,2)*$F$1*MAX(CM725,0)</f>
        <v>0</v>
      </c>
      <c r="CL726" s="75">
        <f>PARAM!$C$26+MAX($P$4-CHOOSE(PARAM!$B$44,MAX(0,CM725*$F$1),0),0)*RATES!$L702/12+$Q$4*(PARAM!$D$51/12)*RATES!$N702/100</f>
        <v>590.79166666666663</v>
      </c>
      <c r="CM726" s="16">
        <f>IF(CM725&gt;0,CM725*PARAM!$C$53,CM725)+CK726-CL726</f>
        <v>-84322.416666666832</v>
      </c>
      <c r="CO726" s="176"/>
    </row>
    <row r="727" spans="1:93" x14ac:dyDescent="0.2">
      <c r="A727" t="b">
        <f t="shared" si="451"/>
        <v>0</v>
      </c>
      <c r="B727" s="33">
        <v>700</v>
      </c>
      <c r="C727" s="15">
        <f t="shared" si="452"/>
        <v>20.081305947392778</v>
      </c>
      <c r="D727" s="75">
        <f>C727*(1-PARAM!$C$27)*$I$3+(MOD($B727,60)=PARAM!$B$56)*($B727&gt;(60-PARAM!$B$56))*HLOOKUP(($B727+PARAM!$B$56)/12,Loyalty,2)*$F$1*MAX(F726,0)</f>
        <v>16.808053077967756</v>
      </c>
      <c r="E727" s="75">
        <f>PARAM!$C$26+MAX($G$3-CHOOSE(PARAM!$B$44,MAX(0,F726*$F$1),0),0)*RATES!$L703/12+$H$3*(PARAM!$D$51/12)*RATES!$N703/100</f>
        <v>590.79166666666663</v>
      </c>
      <c r="F727" s="16">
        <f t="shared" si="453"/>
        <v>-73303.996370159613</v>
      </c>
      <c r="G727" s="15">
        <f t="shared" si="454"/>
        <v>22.035289406060361</v>
      </c>
      <c r="H727" s="75">
        <f>G727*(1-PARAM!$C$27)*$I$4+(MOD($B727,60)=PARAM!$B$56)*($B727&gt;(60-PARAM!$B$56))*HLOOKUP(($B727+PARAM!$B$56)/12,Loyalty,2)*$F$1*MAX(J726,0)</f>
        <v>18.443537232872522</v>
      </c>
      <c r="I727" s="75">
        <f>PARAM!$C$26+MAX($G$4-CHOOSE(PARAM!$B$44,MAX(0,J726*$F$1),0),0)*RATES!$L703/12+$H$4*(PARAM!$D$51/12)*RATES!$N703/100</f>
        <v>590.79166666666663</v>
      </c>
      <c r="J727" s="16">
        <f t="shared" si="455"/>
        <v>-72125.32449760451</v>
      </c>
      <c r="K727" s="15">
        <f t="shared" si="456"/>
        <v>22.170849845882874</v>
      </c>
      <c r="L727" s="75">
        <f>K727*(1-PARAM!$C$27)*$I$5+(MOD($B727,60)=PARAM!$B$56)*($B727&gt;(60-PARAM!$B$56))*HLOOKUP(($B727+PARAM!$B$56)/12,Loyalty,2)*$F$1*MAX(N726,0)</f>
        <v>18.557001321003963</v>
      </c>
      <c r="M727" s="75">
        <f>PARAM!$C$26+MAX($G$5-CHOOSE(PARAM!$B$44,MAX(0,N726*$F$1),0),0)*RATES!$L703/12+$H$5*(PARAM!$D$51/12)*RATES!$N703/100</f>
        <v>590.79166666666663</v>
      </c>
      <c r="N727" s="16">
        <f t="shared" si="457"/>
        <v>-72042.882099512877</v>
      </c>
      <c r="O727" s="15">
        <f t="shared" si="458"/>
        <v>22.170849845882874</v>
      </c>
      <c r="P727" s="75">
        <f>O727*(1-PARAM!$C$27)*$I$6+(MOD($B727,60)=PARAM!$B$56)*($B727&gt;(60-PARAM!$B$56))*HLOOKUP(($B727+PARAM!$B$56)/12,Loyalty,2)*$F$1*MAX(R726,0)</f>
        <v>18.557001321003963</v>
      </c>
      <c r="Q727" s="75">
        <f>PARAM!$C$26+MAX($G$6-CHOOSE(PARAM!$B$44,MAX(0,R726*$F$1),0),0)*RATES!$L703/12+$H$6*(PARAM!$D$51/12)*RATES!$N703/100</f>
        <v>590.79166666666663</v>
      </c>
      <c r="R727" s="16">
        <f t="shared" si="459"/>
        <v>-72042.882099512877</v>
      </c>
      <c r="S727" s="15">
        <f t="shared" si="434"/>
        <v>22.170849845882874</v>
      </c>
      <c r="T727" s="75">
        <f>S727*(1-PARAM!$C$27)*$I$7+(MOD($B727,60)=PARAM!$B$56)*($B727&gt;(60-PARAM!$B$56))*HLOOKUP(($B727+PARAM!$B$56)/12,Loyalty,2)*$F$1*MAX(V726,0)</f>
        <v>18.557001321003963</v>
      </c>
      <c r="U727" s="75">
        <f>PARAM!$C$26+MAX($G$7-CHOOSE(PARAM!$B$44,MAX(0,V726*$F$1),0),0)*RATES!$L703/12+$H$7*(PARAM!$D$51/12)*RATES!$N703/100</f>
        <v>590.79166666666663</v>
      </c>
      <c r="V727" s="16">
        <f t="shared" si="460"/>
        <v>-72042.882099512877</v>
      </c>
      <c r="W727" s="15">
        <f t="shared" si="435"/>
        <v>22.170849845882874</v>
      </c>
      <c r="X727" s="75">
        <f>W727*(1-PARAM!$C$27)*$I$8+(MOD($B727,60)=PARAM!$B$56)*($B727&gt;(60-PARAM!$B$56))*HLOOKUP(($B727+PARAM!$B$56)/12,Loyalty,2)*$F$1*MAX(Z726,0)</f>
        <v>18.557001321003963</v>
      </c>
      <c r="Y727" s="75">
        <f>PARAM!$C$26+MAX($G$8-CHOOSE(PARAM!$B$44,MAX(0,Z726*$F$1),0),0)*RATES!$L703/12+$H$8*(PARAM!$D$51/12)*RATES!$N703/100</f>
        <v>590.79166666666663</v>
      </c>
      <c r="Z727" s="16">
        <f t="shared" si="461"/>
        <v>-72042.882099512877</v>
      </c>
      <c r="AA727" s="15">
        <f t="shared" si="436"/>
        <v>22.170849845882874</v>
      </c>
      <c r="AB727" s="75">
        <f>AA727*(1-PARAM!$C$27)*$I$9+(MOD($B727,60)=PARAM!$B$56)*($B727&gt;(60-PARAM!$B$56))*HLOOKUP(($B727+PARAM!$B$56)/12,Loyalty,2)*$F$1*MAX(AD726,0)</f>
        <v>18.557001321003963</v>
      </c>
      <c r="AC727" s="75">
        <f>PARAM!$C$26+MAX($G$9-CHOOSE(PARAM!$B$44,MAX(0,AD726*$F$1),0),0)*RATES!$L703/12+$H$9*(PARAM!$D$51/12)*RATES!$N703/100</f>
        <v>590.79166666666663</v>
      </c>
      <c r="AD727" s="16">
        <f t="shared" si="462"/>
        <v>-72042.882099512877</v>
      </c>
      <c r="AE727" s="15">
        <f t="shared" si="437"/>
        <v>22.170849845882874</v>
      </c>
      <c r="AF727" s="75">
        <f>AE727*(1-PARAM!$C$27)*$I$10+(MOD($B727,60)=PARAM!$B$56)*($B727&gt;(60-PARAM!$B$56))*HLOOKUP(($B727+PARAM!$B$56)/12,Loyalty,2)*$F$1*MAX(AH726,0)</f>
        <v>18.557001321003963</v>
      </c>
      <c r="AG727" s="75">
        <f>PARAM!$C$26+MAX($G$10-CHOOSE(PARAM!$B$44,MAX(0,AH726*$F$1),0),0)*RATES!$L703/12+$H$10*(PARAM!$D$51/12)*RATES!$N703/100</f>
        <v>590.79166666666663</v>
      </c>
      <c r="AH727" s="16">
        <f t="shared" si="463"/>
        <v>-72042.882099512877</v>
      </c>
      <c r="AI727" s="15">
        <f t="shared" si="438"/>
        <v>22.170849845882874</v>
      </c>
      <c r="AJ727" s="75">
        <f>AI727*(1-PARAM!$C$27)*$I$11+(MOD($B727,60)=PARAM!$B$56)*($B727&gt;(60-PARAM!$B$56))*HLOOKUP(($B727+PARAM!$B$56)/12,Loyalty,2)*$F$1*MAX(AL726,0)</f>
        <v>18.557001321003963</v>
      </c>
      <c r="AK727" s="75">
        <f>PARAM!$C$26+MAX($G$11-CHOOSE(PARAM!$B$44,MAX(0,AL726*$F$1),0),0)*RATES!$L703/12+$H$11*(PARAM!$D$51/12)*RATES!$N703/100</f>
        <v>590.79166666666663</v>
      </c>
      <c r="AL727" s="16">
        <f t="shared" si="464"/>
        <v>-72042.882099512877</v>
      </c>
      <c r="AM727" s="15">
        <f t="shared" si="439"/>
        <v>22.170849845882874</v>
      </c>
      <c r="AN727" s="75">
        <f>AM727*(1-PARAM!$C$27)*$I$12+(MOD($B727,60)=PARAM!$B$56)*($B727&gt;(60-PARAM!$B$56))*HLOOKUP(($B727+PARAM!$B$56)/12,Loyalty,2)*$F$1*MAX(AP726,0)</f>
        <v>18.557001321003963</v>
      </c>
      <c r="AO727" s="75">
        <f>PARAM!$C$26+MAX($G$12-CHOOSE(PARAM!$B$44,MAX(0,AP726*$F$1),0),0)*RATES!$L703/12+$H$12*(PARAM!$D$51/12)*RATES!$N703/100</f>
        <v>590.79166666666663</v>
      </c>
      <c r="AP727" s="16">
        <f t="shared" si="465"/>
        <v>-72042.882099512877</v>
      </c>
      <c r="AQ727" s="15">
        <f t="shared" si="440"/>
        <v>22.170849845882874</v>
      </c>
      <c r="AR727" s="75">
        <f>AQ727*(1-PARAM!$C$27)*$I$13+(MOD($B727,60)=PARAM!$B$56)*($B727&gt;(60-PARAM!$B$56))*HLOOKUP(($B727+PARAM!$B$56)/12,Loyalty,2)*$F$1*MAX(AT726,0)</f>
        <v>18.557001321003963</v>
      </c>
      <c r="AS727" s="75">
        <f>PARAM!$C$26+MAX($G$13-CHOOSE(PARAM!$B$44,MAX(0,AT726*$F$1),0),0)*RATES!$L703/12+$H$13*(PARAM!$D$51/12)*RATES!$N703/100</f>
        <v>590.79166666666663</v>
      </c>
      <c r="AT727" s="16">
        <f t="shared" si="466"/>
        <v>-72042.882099512877</v>
      </c>
      <c r="AU727" s="15">
        <f t="shared" si="441"/>
        <v>22.170849845882874</v>
      </c>
      <c r="AV727" s="75">
        <f>AU727*(1-PARAM!$C$27)*$I$14+(MOD($B727,60)=PARAM!$B$56)*($B727&gt;(60-PARAM!$B$56))*HLOOKUP(($B727+PARAM!$B$56)/12,Loyalty,2)*$F$1*MAX(AX726,0)</f>
        <v>18.557001321003963</v>
      </c>
      <c r="AW727" s="75">
        <f>PARAM!$C$26+MAX($G$14-CHOOSE(PARAM!$B$44,MAX(0,AX726*$F$1),0),0)*RATES!$L703/12+$H$14*(PARAM!$D$51/12)*RATES!$N703/100</f>
        <v>590.79166666666663</v>
      </c>
      <c r="AX727" s="16">
        <f t="shared" si="467"/>
        <v>-72042.882099512877</v>
      </c>
      <c r="AY727" s="15">
        <f t="shared" si="442"/>
        <v>22.170849845882874</v>
      </c>
      <c r="AZ727" s="75">
        <f>AY727*(1-PARAM!$C$27)*$I$15+(MOD($B727,60)=PARAM!$B$56)*($B727&gt;(60-PARAM!$B$56))*HLOOKUP(($B727+PARAM!$B$56)/12,Loyalty,2)*$F$1*MAX(BB726,0)</f>
        <v>18.557001321003963</v>
      </c>
      <c r="BA727" s="75">
        <f>PARAM!$C$26+MAX($G$15-CHOOSE(PARAM!$B$44,MAX(0,BB726*$F$1),0),0)*RATES!$L703/12+$H$15*(PARAM!$D$51/12)*RATES!$N703/100</f>
        <v>590.79166666666663</v>
      </c>
      <c r="BB727" s="16">
        <f t="shared" si="468"/>
        <v>-72042.882099512877</v>
      </c>
      <c r="BC727" s="15">
        <f t="shared" si="443"/>
        <v>22.170849845882874</v>
      </c>
      <c r="BD727" s="75">
        <f>BC727*(1-PARAM!$C$27)*$I$16+(MOD($B727,60)=PARAM!$B$56)*($B727&gt;(60-PARAM!$B$56))*HLOOKUP(($B727+PARAM!$B$56)/12,Loyalty,2)*$F$1*MAX(BF726,0)</f>
        <v>18.557001321003963</v>
      </c>
      <c r="BE727" s="75">
        <f>PARAM!$C$26+MAX($G$16-CHOOSE(PARAM!$B$44,MAX(0,BF726*$F$1),0),0)*RATES!$L703/12+$H$16*(PARAM!$D$51/12)*RATES!$N703/100</f>
        <v>590.79166666666663</v>
      </c>
      <c r="BF727" s="16">
        <f t="shared" si="469"/>
        <v>-72042.882099512877</v>
      </c>
      <c r="BG727" s="15">
        <f t="shared" si="444"/>
        <v>22.170849845882874</v>
      </c>
      <c r="BH727" s="75">
        <f>BG727*(1-PARAM!$C$27)*$I$17+(MOD($B727,60)=PARAM!$B$56)*($B727&gt;(60-PARAM!$B$56))*HLOOKUP(($B727+PARAM!$B$56)/12,Loyalty,2)*$F$1*MAX(BJ726,0)</f>
        <v>18.557001321003963</v>
      </c>
      <c r="BI727" s="75">
        <f>PARAM!$C$26+MAX($G$17-CHOOSE(PARAM!$B$44,MAX(0,BJ726*$F$1),0),0)*RATES!$L703/12+$H$17*(PARAM!$D$51/12)*RATES!$N703/100</f>
        <v>590.79166666666663</v>
      </c>
      <c r="BJ727" s="16">
        <f t="shared" si="470"/>
        <v>-72042.882099512877</v>
      </c>
      <c r="BK727" s="15">
        <f t="shared" si="445"/>
        <v>22.170849845882874</v>
      </c>
      <c r="BL727" s="75">
        <f>BK727*(1-PARAM!$C$27)*$I$18+(MOD($B727,60)=PARAM!$B$56)*($B727&gt;(60-PARAM!$B$56))*HLOOKUP(($B727+PARAM!$B$56)/12,Loyalty,2)*$F$1*MAX(BN726,0)</f>
        <v>18.557001321003963</v>
      </c>
      <c r="BM727" s="75">
        <f>PARAM!$C$26+MAX($G$18-CHOOSE(PARAM!$B$44,MAX(0,BN726*$F$1),0),0)*RATES!$L703/12+$H$18*(PARAM!$D$51/12)*RATES!$N703/100</f>
        <v>590.79166666666663</v>
      </c>
      <c r="BN727" s="16">
        <f t="shared" si="471"/>
        <v>-72042.882099512877</v>
      </c>
      <c r="BO727" s="15">
        <f t="shared" si="446"/>
        <v>22.170849845882874</v>
      </c>
      <c r="BP727" s="75">
        <f>BO727*(1-PARAM!$C$27)*$I$19+(MOD($B727,60)=PARAM!$B$56)*($B727&gt;(60-PARAM!$B$56))*HLOOKUP(($B727+PARAM!$B$56)/12,Loyalty,2)*$F$1*MAX(BR726,0)</f>
        <v>18.557001321003963</v>
      </c>
      <c r="BQ727" s="75">
        <f>PARAM!$C$26+MAX($G$19-CHOOSE(PARAM!$B$44,MAX(0,BR726*$F$1),0),0)*RATES!$L703/12+$H$19*(PARAM!$D$51/12)*RATES!$N703/100</f>
        <v>590.79166666666663</v>
      </c>
      <c r="BR727" s="16">
        <f t="shared" si="472"/>
        <v>-72042.882099512877</v>
      </c>
      <c r="BS727" s="15">
        <f t="shared" si="447"/>
        <v>22.170849845882874</v>
      </c>
      <c r="BT727" s="75">
        <f>BS727*(1-PARAM!$C$27)*$I$20+(MOD($B727,60)=PARAM!$B$56)*($B727&gt;(60-PARAM!$B$56))*HLOOKUP(($B727+PARAM!$B$56)/12,Loyalty,2)*$F$1*MAX(BV726,0)</f>
        <v>18.557001321003963</v>
      </c>
      <c r="BU727" s="75">
        <f>PARAM!$C$26+MAX($G$20-CHOOSE(PARAM!$B$44,MAX(0,BV726*$F$1),0),0)*RATES!$L703/12+$H$20*(PARAM!$D$51/12)*RATES!$N703/100</f>
        <v>590.79166666666663</v>
      </c>
      <c r="BV727" s="16">
        <f t="shared" si="473"/>
        <v>-72042.882099512877</v>
      </c>
      <c r="BW727" s="15">
        <f t="shared" si="448"/>
        <v>22.170849845882874</v>
      </c>
      <c r="BX727" s="75">
        <f>BW727*(1-PARAM!$C$27)*$I$21+(MOD($B727,60)=PARAM!$B$56)*($B727&gt;(60-PARAM!$B$56))*HLOOKUP(($B727+PARAM!$B$56)/12,Loyalty,2)*$F$1*MAX(BZ726,0)</f>
        <v>18.557001321003963</v>
      </c>
      <c r="BY727" s="75">
        <f>PARAM!$C$26+MAX($G$21-CHOOSE(PARAM!$B$44,MAX(0,BZ726*$F$1),0),0)*RATES!$L703/12+$H$21*(PARAM!$D$51/12)*RATES!$N703/100</f>
        <v>590.79166666666663</v>
      </c>
      <c r="BZ727" s="16">
        <f t="shared" si="474"/>
        <v>-72042.882099512877</v>
      </c>
      <c r="CA727" s="15">
        <f t="shared" si="449"/>
        <v>22.170849845882874</v>
      </c>
      <c r="CB727" s="75">
        <f>CA727*(1-PARAM!$C$27)*$I$22+(MOD($B727,60)=PARAM!$B$56)*($B727&gt;(60-PARAM!$B$56))*HLOOKUP(($B727+PARAM!$B$56)/12,Loyalty,2)*$F$1*MAX(CD726,0)</f>
        <v>18.557001321003963</v>
      </c>
      <c r="CC727" s="75">
        <f>PARAM!$C$26+MAX($G$22-CHOOSE(PARAM!$B$44,MAX(0,CD726*$F$1),0),0)*RATES!$L703/12+$H$22*(PARAM!$D$51/12)*RATES!$N703/100</f>
        <v>590.79166666666663</v>
      </c>
      <c r="CD727" s="16">
        <f t="shared" si="475"/>
        <v>-72042.882099512877</v>
      </c>
      <c r="CE727" s="33">
        <f>IF(0=MOD(B727,12/PARAM!$D$51),1,0)</f>
        <v>1</v>
      </c>
      <c r="CF727" s="15">
        <f t="shared" si="450"/>
        <v>0</v>
      </c>
      <c r="CG727" s="75">
        <f>CF727*(1-PARAM!$C$27)*$R$3+(MOD($B727/12,5)=0)*($B727&gt;60)*HLOOKUP($B727/12,Loyalty,2)*$F$1*MAX(CI726,0)</f>
        <v>0</v>
      </c>
      <c r="CH727" s="75">
        <f>PARAM!$C$26+MAX($P$3-CHOOSE(PARAM!$B$44,MAX(0,CI726*$F$1),0),0)*RATES!$L703/12+$Q$3*(PARAM!$D$51/12)*RATES!$N703/100</f>
        <v>590.79166666666663</v>
      </c>
      <c r="CI727" s="16">
        <f>IF(CI726&gt;0,CI726*PARAM!$C$53,CI726)+CG727-CH727</f>
        <v>-84913.208333333503</v>
      </c>
      <c r="CJ727" s="15">
        <f t="shared" si="476"/>
        <v>0</v>
      </c>
      <c r="CK727" s="75">
        <f>CJ727*(1-PARAM!$C$27)*$R$4+(MOD($B727/12,5)=0)*($B727&gt;60)*HLOOKUP($B727/12,Loyalty,2)*$F$1*MAX(CM726,0)</f>
        <v>0</v>
      </c>
      <c r="CL727" s="75">
        <f>PARAM!$C$26+MAX($P$4-CHOOSE(PARAM!$B$44,MAX(0,CM726*$F$1),0),0)*RATES!$L703/12+$Q$4*(PARAM!$D$51/12)*RATES!$N703/100</f>
        <v>590.79166666666663</v>
      </c>
      <c r="CM727" s="16">
        <f>IF(CM726&gt;0,CM726*PARAM!$C$53,CM726)+CK727-CL727</f>
        <v>-84913.208333333503</v>
      </c>
      <c r="CO727" s="176"/>
    </row>
    <row r="728" spans="1:93" x14ac:dyDescent="0.2">
      <c r="A728" t="b">
        <f t="shared" si="451"/>
        <v>0</v>
      </c>
      <c r="B728" s="33">
        <v>701</v>
      </c>
      <c r="C728" s="15">
        <f t="shared" si="452"/>
        <v>20.081305947392778</v>
      </c>
      <c r="D728" s="75">
        <f>C728*(1-PARAM!$C$27)*$I$3+(MOD($B728,60)=PARAM!$B$56)*($B728&gt;(60-PARAM!$B$56))*HLOOKUP(($B728+PARAM!$B$56)/12,Loyalty,2)*$F$1*MAX(F727,0)</f>
        <v>16.808053077967756</v>
      </c>
      <c r="E728" s="75">
        <f>PARAM!$C$26+MAX($G$3-CHOOSE(PARAM!$B$44,MAX(0,F727*$F$1),0),0)*RATES!$L704/12+$H$3*(PARAM!$D$51/12)*RATES!$N704/100</f>
        <v>590.79166666666663</v>
      </c>
      <c r="F728" s="16">
        <f t="shared" si="453"/>
        <v>-73877.979983748315</v>
      </c>
      <c r="G728" s="15">
        <f t="shared" si="454"/>
        <v>22.035289406060361</v>
      </c>
      <c r="H728" s="75">
        <f>G728*(1-PARAM!$C$27)*$I$4+(MOD($B728,60)=PARAM!$B$56)*($B728&gt;(60-PARAM!$B$56))*HLOOKUP(($B728+PARAM!$B$56)/12,Loyalty,2)*$F$1*MAX(J727,0)</f>
        <v>18.443537232872522</v>
      </c>
      <c r="I728" s="75">
        <f>PARAM!$C$26+MAX($G$4-CHOOSE(PARAM!$B$44,MAX(0,J727*$F$1),0),0)*RATES!$L704/12+$H$4*(PARAM!$D$51/12)*RATES!$N704/100</f>
        <v>590.79166666666663</v>
      </c>
      <c r="J728" s="16">
        <f t="shared" si="455"/>
        <v>-72697.672627038308</v>
      </c>
      <c r="K728" s="15">
        <f t="shared" si="456"/>
        <v>22.170849845882874</v>
      </c>
      <c r="L728" s="75">
        <f>K728*(1-PARAM!$C$27)*$I$5+(MOD($B728,60)=PARAM!$B$56)*($B728&gt;(60-PARAM!$B$56))*HLOOKUP(($B728+PARAM!$B$56)/12,Loyalty,2)*$F$1*MAX(N727,0)</f>
        <v>18.557001321003963</v>
      </c>
      <c r="M728" s="75">
        <f>PARAM!$C$26+MAX($G$5-CHOOSE(PARAM!$B$44,MAX(0,N727*$F$1),0),0)*RATES!$L704/12+$H$5*(PARAM!$D$51/12)*RATES!$N704/100</f>
        <v>590.79166666666663</v>
      </c>
      <c r="N728" s="16">
        <f t="shared" si="457"/>
        <v>-72615.11676485854</v>
      </c>
      <c r="O728" s="15">
        <f t="shared" si="458"/>
        <v>22.170849845882874</v>
      </c>
      <c r="P728" s="75">
        <f>O728*(1-PARAM!$C$27)*$I$6+(MOD($B728,60)=PARAM!$B$56)*($B728&gt;(60-PARAM!$B$56))*HLOOKUP(($B728+PARAM!$B$56)/12,Loyalty,2)*$F$1*MAX(R727,0)</f>
        <v>18.557001321003963</v>
      </c>
      <c r="Q728" s="75">
        <f>PARAM!$C$26+MAX($G$6-CHOOSE(PARAM!$B$44,MAX(0,R727*$F$1),0),0)*RATES!$L704/12+$H$6*(PARAM!$D$51/12)*RATES!$N704/100</f>
        <v>590.79166666666663</v>
      </c>
      <c r="R728" s="16">
        <f t="shared" si="459"/>
        <v>-72615.11676485854</v>
      </c>
      <c r="S728" s="15">
        <f t="shared" si="434"/>
        <v>22.170849845882874</v>
      </c>
      <c r="T728" s="75">
        <f>S728*(1-PARAM!$C$27)*$I$7+(MOD($B728,60)=PARAM!$B$56)*($B728&gt;(60-PARAM!$B$56))*HLOOKUP(($B728+PARAM!$B$56)/12,Loyalty,2)*$F$1*MAX(V727,0)</f>
        <v>18.557001321003963</v>
      </c>
      <c r="U728" s="75">
        <f>PARAM!$C$26+MAX($G$7-CHOOSE(PARAM!$B$44,MAX(0,V727*$F$1),0),0)*RATES!$L704/12+$H$7*(PARAM!$D$51/12)*RATES!$N704/100</f>
        <v>590.79166666666663</v>
      </c>
      <c r="V728" s="16">
        <f t="shared" si="460"/>
        <v>-72615.11676485854</v>
      </c>
      <c r="W728" s="15">
        <f t="shared" si="435"/>
        <v>22.170849845882874</v>
      </c>
      <c r="X728" s="75">
        <f>W728*(1-PARAM!$C$27)*$I$8+(MOD($B728,60)=PARAM!$B$56)*($B728&gt;(60-PARAM!$B$56))*HLOOKUP(($B728+PARAM!$B$56)/12,Loyalty,2)*$F$1*MAX(Z727,0)</f>
        <v>18.557001321003963</v>
      </c>
      <c r="Y728" s="75">
        <f>PARAM!$C$26+MAX($G$8-CHOOSE(PARAM!$B$44,MAX(0,Z727*$F$1),0),0)*RATES!$L704/12+$H$8*(PARAM!$D$51/12)*RATES!$N704/100</f>
        <v>590.79166666666663</v>
      </c>
      <c r="Z728" s="16">
        <f t="shared" si="461"/>
        <v>-72615.11676485854</v>
      </c>
      <c r="AA728" s="15">
        <f t="shared" si="436"/>
        <v>22.170849845882874</v>
      </c>
      <c r="AB728" s="75">
        <f>AA728*(1-PARAM!$C$27)*$I$9+(MOD($B728,60)=PARAM!$B$56)*($B728&gt;(60-PARAM!$B$56))*HLOOKUP(($B728+PARAM!$B$56)/12,Loyalty,2)*$F$1*MAX(AD727,0)</f>
        <v>18.557001321003963</v>
      </c>
      <c r="AC728" s="75">
        <f>PARAM!$C$26+MAX($G$9-CHOOSE(PARAM!$B$44,MAX(0,AD727*$F$1),0),0)*RATES!$L704/12+$H$9*(PARAM!$D$51/12)*RATES!$N704/100</f>
        <v>590.79166666666663</v>
      </c>
      <c r="AD728" s="16">
        <f t="shared" si="462"/>
        <v>-72615.11676485854</v>
      </c>
      <c r="AE728" s="15">
        <f t="shared" si="437"/>
        <v>22.170849845882874</v>
      </c>
      <c r="AF728" s="75">
        <f>AE728*(1-PARAM!$C$27)*$I$10+(MOD($B728,60)=PARAM!$B$56)*($B728&gt;(60-PARAM!$B$56))*HLOOKUP(($B728+PARAM!$B$56)/12,Loyalty,2)*$F$1*MAX(AH727,0)</f>
        <v>18.557001321003963</v>
      </c>
      <c r="AG728" s="75">
        <f>PARAM!$C$26+MAX($G$10-CHOOSE(PARAM!$B$44,MAX(0,AH727*$F$1),0),0)*RATES!$L704/12+$H$10*(PARAM!$D$51/12)*RATES!$N704/100</f>
        <v>590.79166666666663</v>
      </c>
      <c r="AH728" s="16">
        <f t="shared" si="463"/>
        <v>-72615.11676485854</v>
      </c>
      <c r="AI728" s="15">
        <f t="shared" si="438"/>
        <v>22.170849845882874</v>
      </c>
      <c r="AJ728" s="75">
        <f>AI728*(1-PARAM!$C$27)*$I$11+(MOD($B728,60)=PARAM!$B$56)*($B728&gt;(60-PARAM!$B$56))*HLOOKUP(($B728+PARAM!$B$56)/12,Loyalty,2)*$F$1*MAX(AL727,0)</f>
        <v>18.557001321003963</v>
      </c>
      <c r="AK728" s="75">
        <f>PARAM!$C$26+MAX($G$11-CHOOSE(PARAM!$B$44,MAX(0,AL727*$F$1),0),0)*RATES!$L704/12+$H$11*(PARAM!$D$51/12)*RATES!$N704/100</f>
        <v>590.79166666666663</v>
      </c>
      <c r="AL728" s="16">
        <f t="shared" si="464"/>
        <v>-72615.11676485854</v>
      </c>
      <c r="AM728" s="15">
        <f t="shared" si="439"/>
        <v>22.170849845882874</v>
      </c>
      <c r="AN728" s="75">
        <f>AM728*(1-PARAM!$C$27)*$I$12+(MOD($B728,60)=PARAM!$B$56)*($B728&gt;(60-PARAM!$B$56))*HLOOKUP(($B728+PARAM!$B$56)/12,Loyalty,2)*$F$1*MAX(AP727,0)</f>
        <v>18.557001321003963</v>
      </c>
      <c r="AO728" s="75">
        <f>PARAM!$C$26+MAX($G$12-CHOOSE(PARAM!$B$44,MAX(0,AP727*$F$1),0),0)*RATES!$L704/12+$H$12*(PARAM!$D$51/12)*RATES!$N704/100</f>
        <v>590.79166666666663</v>
      </c>
      <c r="AP728" s="16">
        <f t="shared" si="465"/>
        <v>-72615.11676485854</v>
      </c>
      <c r="AQ728" s="15">
        <f t="shared" si="440"/>
        <v>22.170849845882874</v>
      </c>
      <c r="AR728" s="75">
        <f>AQ728*(1-PARAM!$C$27)*$I$13+(MOD($B728,60)=PARAM!$B$56)*($B728&gt;(60-PARAM!$B$56))*HLOOKUP(($B728+PARAM!$B$56)/12,Loyalty,2)*$F$1*MAX(AT727,0)</f>
        <v>18.557001321003963</v>
      </c>
      <c r="AS728" s="75">
        <f>PARAM!$C$26+MAX($G$13-CHOOSE(PARAM!$B$44,MAX(0,AT727*$F$1),0),0)*RATES!$L704/12+$H$13*(PARAM!$D$51/12)*RATES!$N704/100</f>
        <v>590.79166666666663</v>
      </c>
      <c r="AT728" s="16">
        <f t="shared" si="466"/>
        <v>-72615.11676485854</v>
      </c>
      <c r="AU728" s="15">
        <f t="shared" si="441"/>
        <v>22.170849845882874</v>
      </c>
      <c r="AV728" s="75">
        <f>AU728*(1-PARAM!$C$27)*$I$14+(MOD($B728,60)=PARAM!$B$56)*($B728&gt;(60-PARAM!$B$56))*HLOOKUP(($B728+PARAM!$B$56)/12,Loyalty,2)*$F$1*MAX(AX727,0)</f>
        <v>18.557001321003963</v>
      </c>
      <c r="AW728" s="75">
        <f>PARAM!$C$26+MAX($G$14-CHOOSE(PARAM!$B$44,MAX(0,AX727*$F$1),0),0)*RATES!$L704/12+$H$14*(PARAM!$D$51/12)*RATES!$N704/100</f>
        <v>590.79166666666663</v>
      </c>
      <c r="AX728" s="16">
        <f t="shared" si="467"/>
        <v>-72615.11676485854</v>
      </c>
      <c r="AY728" s="15">
        <f t="shared" si="442"/>
        <v>22.170849845882874</v>
      </c>
      <c r="AZ728" s="75">
        <f>AY728*(1-PARAM!$C$27)*$I$15+(MOD($B728,60)=PARAM!$B$56)*($B728&gt;(60-PARAM!$B$56))*HLOOKUP(($B728+PARAM!$B$56)/12,Loyalty,2)*$F$1*MAX(BB727,0)</f>
        <v>18.557001321003963</v>
      </c>
      <c r="BA728" s="75">
        <f>PARAM!$C$26+MAX($G$15-CHOOSE(PARAM!$B$44,MAX(0,BB727*$F$1),0),0)*RATES!$L704/12+$H$15*(PARAM!$D$51/12)*RATES!$N704/100</f>
        <v>590.79166666666663</v>
      </c>
      <c r="BB728" s="16">
        <f t="shared" si="468"/>
        <v>-72615.11676485854</v>
      </c>
      <c r="BC728" s="15">
        <f t="shared" si="443"/>
        <v>22.170849845882874</v>
      </c>
      <c r="BD728" s="75">
        <f>BC728*(1-PARAM!$C$27)*$I$16+(MOD($B728,60)=PARAM!$B$56)*($B728&gt;(60-PARAM!$B$56))*HLOOKUP(($B728+PARAM!$B$56)/12,Loyalty,2)*$F$1*MAX(BF727,0)</f>
        <v>18.557001321003963</v>
      </c>
      <c r="BE728" s="75">
        <f>PARAM!$C$26+MAX($G$16-CHOOSE(PARAM!$B$44,MAX(0,BF727*$F$1),0),0)*RATES!$L704/12+$H$16*(PARAM!$D$51/12)*RATES!$N704/100</f>
        <v>590.79166666666663</v>
      </c>
      <c r="BF728" s="16">
        <f t="shared" si="469"/>
        <v>-72615.11676485854</v>
      </c>
      <c r="BG728" s="15">
        <f t="shared" si="444"/>
        <v>22.170849845882874</v>
      </c>
      <c r="BH728" s="75">
        <f>BG728*(1-PARAM!$C$27)*$I$17+(MOD($B728,60)=PARAM!$B$56)*($B728&gt;(60-PARAM!$B$56))*HLOOKUP(($B728+PARAM!$B$56)/12,Loyalty,2)*$F$1*MAX(BJ727,0)</f>
        <v>18.557001321003963</v>
      </c>
      <c r="BI728" s="75">
        <f>PARAM!$C$26+MAX($G$17-CHOOSE(PARAM!$B$44,MAX(0,BJ727*$F$1),0),0)*RATES!$L704/12+$H$17*(PARAM!$D$51/12)*RATES!$N704/100</f>
        <v>590.79166666666663</v>
      </c>
      <c r="BJ728" s="16">
        <f t="shared" si="470"/>
        <v>-72615.11676485854</v>
      </c>
      <c r="BK728" s="15">
        <f t="shared" si="445"/>
        <v>22.170849845882874</v>
      </c>
      <c r="BL728" s="75">
        <f>BK728*(1-PARAM!$C$27)*$I$18+(MOD($B728,60)=PARAM!$B$56)*($B728&gt;(60-PARAM!$B$56))*HLOOKUP(($B728+PARAM!$B$56)/12,Loyalty,2)*$F$1*MAX(BN727,0)</f>
        <v>18.557001321003963</v>
      </c>
      <c r="BM728" s="75">
        <f>PARAM!$C$26+MAX($G$18-CHOOSE(PARAM!$B$44,MAX(0,BN727*$F$1),0),0)*RATES!$L704/12+$H$18*(PARAM!$D$51/12)*RATES!$N704/100</f>
        <v>590.79166666666663</v>
      </c>
      <c r="BN728" s="16">
        <f t="shared" si="471"/>
        <v>-72615.11676485854</v>
      </c>
      <c r="BO728" s="15">
        <f t="shared" si="446"/>
        <v>22.170849845882874</v>
      </c>
      <c r="BP728" s="75">
        <f>BO728*(1-PARAM!$C$27)*$I$19+(MOD($B728,60)=PARAM!$B$56)*($B728&gt;(60-PARAM!$B$56))*HLOOKUP(($B728+PARAM!$B$56)/12,Loyalty,2)*$F$1*MAX(BR727,0)</f>
        <v>18.557001321003963</v>
      </c>
      <c r="BQ728" s="75">
        <f>PARAM!$C$26+MAX($G$19-CHOOSE(PARAM!$B$44,MAX(0,BR727*$F$1),0),0)*RATES!$L704/12+$H$19*(PARAM!$D$51/12)*RATES!$N704/100</f>
        <v>590.79166666666663</v>
      </c>
      <c r="BR728" s="16">
        <f t="shared" si="472"/>
        <v>-72615.11676485854</v>
      </c>
      <c r="BS728" s="15">
        <f t="shared" si="447"/>
        <v>22.170849845882874</v>
      </c>
      <c r="BT728" s="75">
        <f>BS728*(1-PARAM!$C$27)*$I$20+(MOD($B728,60)=PARAM!$B$56)*($B728&gt;(60-PARAM!$B$56))*HLOOKUP(($B728+PARAM!$B$56)/12,Loyalty,2)*$F$1*MAX(BV727,0)</f>
        <v>18.557001321003963</v>
      </c>
      <c r="BU728" s="75">
        <f>PARAM!$C$26+MAX($G$20-CHOOSE(PARAM!$B$44,MAX(0,BV727*$F$1),0),0)*RATES!$L704/12+$H$20*(PARAM!$D$51/12)*RATES!$N704/100</f>
        <v>590.79166666666663</v>
      </c>
      <c r="BV728" s="16">
        <f t="shared" si="473"/>
        <v>-72615.11676485854</v>
      </c>
      <c r="BW728" s="15">
        <f t="shared" si="448"/>
        <v>22.170849845882874</v>
      </c>
      <c r="BX728" s="75">
        <f>BW728*(1-PARAM!$C$27)*$I$21+(MOD($B728,60)=PARAM!$B$56)*($B728&gt;(60-PARAM!$B$56))*HLOOKUP(($B728+PARAM!$B$56)/12,Loyalty,2)*$F$1*MAX(BZ727,0)</f>
        <v>18.557001321003963</v>
      </c>
      <c r="BY728" s="75">
        <f>PARAM!$C$26+MAX($G$21-CHOOSE(PARAM!$B$44,MAX(0,BZ727*$F$1),0),0)*RATES!$L704/12+$H$21*(PARAM!$D$51/12)*RATES!$N704/100</f>
        <v>590.79166666666663</v>
      </c>
      <c r="BZ728" s="16">
        <f t="shared" si="474"/>
        <v>-72615.11676485854</v>
      </c>
      <c r="CA728" s="15">
        <f t="shared" si="449"/>
        <v>22.170849845882874</v>
      </c>
      <c r="CB728" s="75">
        <f>CA728*(1-PARAM!$C$27)*$I$22+(MOD($B728,60)=PARAM!$B$56)*($B728&gt;(60-PARAM!$B$56))*HLOOKUP(($B728+PARAM!$B$56)/12,Loyalty,2)*$F$1*MAX(CD727,0)</f>
        <v>18.557001321003963</v>
      </c>
      <c r="CC728" s="75">
        <f>PARAM!$C$26+MAX($G$22-CHOOSE(PARAM!$B$44,MAX(0,CD727*$F$1),0),0)*RATES!$L704/12+$H$22*(PARAM!$D$51/12)*RATES!$N704/100</f>
        <v>590.79166666666663</v>
      </c>
      <c r="CD728" s="16">
        <f t="shared" si="475"/>
        <v>-72615.11676485854</v>
      </c>
      <c r="CE728" s="33">
        <f>IF(0=MOD(B728,12/PARAM!$D$51),1,0)</f>
        <v>1</v>
      </c>
      <c r="CF728" s="15">
        <f t="shared" si="450"/>
        <v>0</v>
      </c>
      <c r="CG728" s="75">
        <f>CF728*(1-PARAM!$C$27)*$R$3+(MOD($B728/12,5)=0)*($B728&gt;60)*HLOOKUP($B728/12,Loyalty,2)*$F$1*MAX(CI727,0)</f>
        <v>0</v>
      </c>
      <c r="CH728" s="75">
        <f>PARAM!$C$26+MAX($P$3-CHOOSE(PARAM!$B$44,MAX(0,CI727*$F$1),0),0)*RATES!$L704/12+$Q$3*(PARAM!$D$51/12)*RATES!$N704/100</f>
        <v>590.79166666666663</v>
      </c>
      <c r="CI728" s="16">
        <f>IF(CI727&gt;0,CI727*PARAM!$C$53,CI727)+CG728-CH728</f>
        <v>-85504.000000000175</v>
      </c>
      <c r="CJ728" s="15">
        <f t="shared" si="476"/>
        <v>0</v>
      </c>
      <c r="CK728" s="75">
        <f>CJ728*(1-PARAM!$C$27)*$R$4+(MOD($B728/12,5)=0)*($B728&gt;60)*HLOOKUP($B728/12,Loyalty,2)*$F$1*MAX(CM727,0)</f>
        <v>0</v>
      </c>
      <c r="CL728" s="75">
        <f>PARAM!$C$26+MAX($P$4-CHOOSE(PARAM!$B$44,MAX(0,CM727*$F$1),0),0)*RATES!$L704/12+$Q$4*(PARAM!$D$51/12)*RATES!$N704/100</f>
        <v>590.79166666666663</v>
      </c>
      <c r="CM728" s="16">
        <f>IF(CM727&gt;0,CM727*PARAM!$C$53,CM727)+CK728-CL728</f>
        <v>-85504.000000000175</v>
      </c>
      <c r="CO728" s="176"/>
    </row>
    <row r="729" spans="1:93" x14ac:dyDescent="0.2">
      <c r="A729" t="b">
        <f t="shared" si="451"/>
        <v>0</v>
      </c>
      <c r="B729" s="33">
        <v>702</v>
      </c>
      <c r="C729" s="15">
        <f t="shared" si="452"/>
        <v>20.081305947392778</v>
      </c>
      <c r="D729" s="75">
        <f>C729*(1-PARAM!$C$27)*$I$3+(MOD($B729,60)=PARAM!$B$56)*($B729&gt;(60-PARAM!$B$56))*HLOOKUP(($B729+PARAM!$B$56)/12,Loyalty,2)*$F$1*MAX(F728,0)</f>
        <v>16.808053077967756</v>
      </c>
      <c r="E729" s="75">
        <f>PARAM!$C$26+MAX($G$3-CHOOSE(PARAM!$B$44,MAX(0,F728*$F$1),0),0)*RATES!$L705/12+$H$3*(PARAM!$D$51/12)*RATES!$N705/100</f>
        <v>638.29166666666674</v>
      </c>
      <c r="F729" s="16">
        <f t="shared" si="453"/>
        <v>-74499.463597337017</v>
      </c>
      <c r="G729" s="15">
        <f t="shared" si="454"/>
        <v>22.035289406060361</v>
      </c>
      <c r="H729" s="75">
        <f>G729*(1-PARAM!$C$27)*$I$4+(MOD($B729,60)=PARAM!$B$56)*($B729&gt;(60-PARAM!$B$56))*HLOOKUP(($B729+PARAM!$B$56)/12,Loyalty,2)*$F$1*MAX(J728,0)</f>
        <v>18.443537232872522</v>
      </c>
      <c r="I729" s="75">
        <f>PARAM!$C$26+MAX($G$4-CHOOSE(PARAM!$B$44,MAX(0,J728*$F$1),0),0)*RATES!$L705/12+$H$4*(PARAM!$D$51/12)*RATES!$N705/100</f>
        <v>638.29166666666674</v>
      </c>
      <c r="J729" s="16">
        <f t="shared" si="455"/>
        <v>-73317.520756472106</v>
      </c>
      <c r="K729" s="15">
        <f t="shared" si="456"/>
        <v>22.170849845882874</v>
      </c>
      <c r="L729" s="75">
        <f>K729*(1-PARAM!$C$27)*$I$5+(MOD($B729,60)=PARAM!$B$56)*($B729&gt;(60-PARAM!$B$56))*HLOOKUP(($B729+PARAM!$B$56)/12,Loyalty,2)*$F$1*MAX(N728,0)</f>
        <v>18.557001321003963</v>
      </c>
      <c r="M729" s="75">
        <f>PARAM!$C$26+MAX($G$5-CHOOSE(PARAM!$B$44,MAX(0,N728*$F$1),0),0)*RATES!$L705/12+$H$5*(PARAM!$D$51/12)*RATES!$N705/100</f>
        <v>638.29166666666674</v>
      </c>
      <c r="N729" s="16">
        <f t="shared" si="457"/>
        <v>-73234.851430204202</v>
      </c>
      <c r="O729" s="15">
        <f t="shared" si="458"/>
        <v>22.170849845882874</v>
      </c>
      <c r="P729" s="75">
        <f>O729*(1-PARAM!$C$27)*$I$6+(MOD($B729,60)=PARAM!$B$56)*($B729&gt;(60-PARAM!$B$56))*HLOOKUP(($B729+PARAM!$B$56)/12,Loyalty,2)*$F$1*MAX(R728,0)</f>
        <v>18.557001321003963</v>
      </c>
      <c r="Q729" s="75">
        <f>PARAM!$C$26+MAX($G$6-CHOOSE(PARAM!$B$44,MAX(0,R728*$F$1),0),0)*RATES!$L705/12+$H$6*(PARAM!$D$51/12)*RATES!$N705/100</f>
        <v>638.29166666666674</v>
      </c>
      <c r="R729" s="16">
        <f t="shared" si="459"/>
        <v>-73234.851430204202</v>
      </c>
      <c r="S729" s="15">
        <f t="shared" si="434"/>
        <v>22.170849845882874</v>
      </c>
      <c r="T729" s="75">
        <f>S729*(1-PARAM!$C$27)*$I$7+(MOD($B729,60)=PARAM!$B$56)*($B729&gt;(60-PARAM!$B$56))*HLOOKUP(($B729+PARAM!$B$56)/12,Loyalty,2)*$F$1*MAX(V728,0)</f>
        <v>18.557001321003963</v>
      </c>
      <c r="U729" s="75">
        <f>PARAM!$C$26+MAX($G$7-CHOOSE(PARAM!$B$44,MAX(0,V728*$F$1),0),0)*RATES!$L705/12+$H$7*(PARAM!$D$51/12)*RATES!$N705/100</f>
        <v>638.29166666666674</v>
      </c>
      <c r="V729" s="16">
        <f t="shared" si="460"/>
        <v>-73234.851430204202</v>
      </c>
      <c r="W729" s="15">
        <f t="shared" si="435"/>
        <v>22.170849845882874</v>
      </c>
      <c r="X729" s="75">
        <f>W729*(1-PARAM!$C$27)*$I$8+(MOD($B729,60)=PARAM!$B$56)*($B729&gt;(60-PARAM!$B$56))*HLOOKUP(($B729+PARAM!$B$56)/12,Loyalty,2)*$F$1*MAX(Z728,0)</f>
        <v>18.557001321003963</v>
      </c>
      <c r="Y729" s="75">
        <f>PARAM!$C$26+MAX($G$8-CHOOSE(PARAM!$B$44,MAX(0,Z728*$F$1),0),0)*RATES!$L705/12+$H$8*(PARAM!$D$51/12)*RATES!$N705/100</f>
        <v>638.29166666666674</v>
      </c>
      <c r="Z729" s="16">
        <f t="shared" si="461"/>
        <v>-73234.851430204202</v>
      </c>
      <c r="AA729" s="15">
        <f t="shared" si="436"/>
        <v>22.170849845882874</v>
      </c>
      <c r="AB729" s="75">
        <f>AA729*(1-PARAM!$C$27)*$I$9+(MOD($B729,60)=PARAM!$B$56)*($B729&gt;(60-PARAM!$B$56))*HLOOKUP(($B729+PARAM!$B$56)/12,Loyalty,2)*$F$1*MAX(AD728,0)</f>
        <v>18.557001321003963</v>
      </c>
      <c r="AC729" s="75">
        <f>PARAM!$C$26+MAX($G$9-CHOOSE(PARAM!$B$44,MAX(0,AD728*$F$1),0),0)*RATES!$L705/12+$H$9*(PARAM!$D$51/12)*RATES!$N705/100</f>
        <v>638.29166666666674</v>
      </c>
      <c r="AD729" s="16">
        <f t="shared" si="462"/>
        <v>-73234.851430204202</v>
      </c>
      <c r="AE729" s="15">
        <f t="shared" si="437"/>
        <v>22.170849845882874</v>
      </c>
      <c r="AF729" s="75">
        <f>AE729*(1-PARAM!$C$27)*$I$10+(MOD($B729,60)=PARAM!$B$56)*($B729&gt;(60-PARAM!$B$56))*HLOOKUP(($B729+PARAM!$B$56)/12,Loyalty,2)*$F$1*MAX(AH728,0)</f>
        <v>18.557001321003963</v>
      </c>
      <c r="AG729" s="75">
        <f>PARAM!$C$26+MAX($G$10-CHOOSE(PARAM!$B$44,MAX(0,AH728*$F$1),0),0)*RATES!$L705/12+$H$10*(PARAM!$D$51/12)*RATES!$N705/100</f>
        <v>638.29166666666674</v>
      </c>
      <c r="AH729" s="16">
        <f t="shared" si="463"/>
        <v>-73234.851430204202</v>
      </c>
      <c r="AI729" s="15">
        <f t="shared" si="438"/>
        <v>22.170849845882874</v>
      </c>
      <c r="AJ729" s="75">
        <f>AI729*(1-PARAM!$C$27)*$I$11+(MOD($B729,60)=PARAM!$B$56)*($B729&gt;(60-PARAM!$B$56))*HLOOKUP(($B729+PARAM!$B$56)/12,Loyalty,2)*$F$1*MAX(AL728,0)</f>
        <v>18.557001321003963</v>
      </c>
      <c r="AK729" s="75">
        <f>PARAM!$C$26+MAX($G$11-CHOOSE(PARAM!$B$44,MAX(0,AL728*$F$1),0),0)*RATES!$L705/12+$H$11*(PARAM!$D$51/12)*RATES!$N705/100</f>
        <v>638.29166666666674</v>
      </c>
      <c r="AL729" s="16">
        <f t="shared" si="464"/>
        <v>-73234.851430204202</v>
      </c>
      <c r="AM729" s="15">
        <f t="shared" si="439"/>
        <v>22.170849845882874</v>
      </c>
      <c r="AN729" s="75">
        <f>AM729*(1-PARAM!$C$27)*$I$12+(MOD($B729,60)=PARAM!$B$56)*($B729&gt;(60-PARAM!$B$56))*HLOOKUP(($B729+PARAM!$B$56)/12,Loyalty,2)*$F$1*MAX(AP728,0)</f>
        <v>18.557001321003963</v>
      </c>
      <c r="AO729" s="75">
        <f>PARAM!$C$26+MAX($G$12-CHOOSE(PARAM!$B$44,MAX(0,AP728*$F$1),0),0)*RATES!$L705/12+$H$12*(PARAM!$D$51/12)*RATES!$N705/100</f>
        <v>638.29166666666674</v>
      </c>
      <c r="AP729" s="16">
        <f t="shared" si="465"/>
        <v>-73234.851430204202</v>
      </c>
      <c r="AQ729" s="15">
        <f t="shared" si="440"/>
        <v>22.170849845882874</v>
      </c>
      <c r="AR729" s="75">
        <f>AQ729*(1-PARAM!$C$27)*$I$13+(MOD($B729,60)=PARAM!$B$56)*($B729&gt;(60-PARAM!$B$56))*HLOOKUP(($B729+PARAM!$B$56)/12,Loyalty,2)*$F$1*MAX(AT728,0)</f>
        <v>18.557001321003963</v>
      </c>
      <c r="AS729" s="75">
        <f>PARAM!$C$26+MAX($G$13-CHOOSE(PARAM!$B$44,MAX(0,AT728*$F$1),0),0)*RATES!$L705/12+$H$13*(PARAM!$D$51/12)*RATES!$N705/100</f>
        <v>638.29166666666674</v>
      </c>
      <c r="AT729" s="16">
        <f t="shared" si="466"/>
        <v>-73234.851430204202</v>
      </c>
      <c r="AU729" s="15">
        <f t="shared" si="441"/>
        <v>22.170849845882874</v>
      </c>
      <c r="AV729" s="75">
        <f>AU729*(1-PARAM!$C$27)*$I$14+(MOD($B729,60)=PARAM!$B$56)*($B729&gt;(60-PARAM!$B$56))*HLOOKUP(($B729+PARAM!$B$56)/12,Loyalty,2)*$F$1*MAX(AX728,0)</f>
        <v>18.557001321003963</v>
      </c>
      <c r="AW729" s="75">
        <f>PARAM!$C$26+MAX($G$14-CHOOSE(PARAM!$B$44,MAX(0,AX728*$F$1),0),0)*RATES!$L705/12+$H$14*(PARAM!$D$51/12)*RATES!$N705/100</f>
        <v>638.29166666666674</v>
      </c>
      <c r="AX729" s="16">
        <f t="shared" si="467"/>
        <v>-73234.851430204202</v>
      </c>
      <c r="AY729" s="15">
        <f t="shared" si="442"/>
        <v>22.170849845882874</v>
      </c>
      <c r="AZ729" s="75">
        <f>AY729*(1-PARAM!$C$27)*$I$15+(MOD($B729,60)=PARAM!$B$56)*($B729&gt;(60-PARAM!$B$56))*HLOOKUP(($B729+PARAM!$B$56)/12,Loyalty,2)*$F$1*MAX(BB728,0)</f>
        <v>18.557001321003963</v>
      </c>
      <c r="BA729" s="75">
        <f>PARAM!$C$26+MAX($G$15-CHOOSE(PARAM!$B$44,MAX(0,BB728*$F$1),0),0)*RATES!$L705/12+$H$15*(PARAM!$D$51/12)*RATES!$N705/100</f>
        <v>638.29166666666674</v>
      </c>
      <c r="BB729" s="16">
        <f t="shared" si="468"/>
        <v>-73234.851430204202</v>
      </c>
      <c r="BC729" s="15">
        <f t="shared" si="443"/>
        <v>22.170849845882874</v>
      </c>
      <c r="BD729" s="75">
        <f>BC729*(1-PARAM!$C$27)*$I$16+(MOD($B729,60)=PARAM!$B$56)*($B729&gt;(60-PARAM!$B$56))*HLOOKUP(($B729+PARAM!$B$56)/12,Loyalty,2)*$F$1*MAX(BF728,0)</f>
        <v>18.557001321003963</v>
      </c>
      <c r="BE729" s="75">
        <f>PARAM!$C$26+MAX($G$16-CHOOSE(PARAM!$B$44,MAX(0,BF728*$F$1),0),0)*RATES!$L705/12+$H$16*(PARAM!$D$51/12)*RATES!$N705/100</f>
        <v>638.29166666666674</v>
      </c>
      <c r="BF729" s="16">
        <f t="shared" si="469"/>
        <v>-73234.851430204202</v>
      </c>
      <c r="BG729" s="15">
        <f t="shared" si="444"/>
        <v>22.170849845882874</v>
      </c>
      <c r="BH729" s="75">
        <f>BG729*(1-PARAM!$C$27)*$I$17+(MOD($B729,60)=PARAM!$B$56)*($B729&gt;(60-PARAM!$B$56))*HLOOKUP(($B729+PARAM!$B$56)/12,Loyalty,2)*$F$1*MAX(BJ728,0)</f>
        <v>18.557001321003963</v>
      </c>
      <c r="BI729" s="75">
        <f>PARAM!$C$26+MAX($G$17-CHOOSE(PARAM!$B$44,MAX(0,BJ728*$F$1),0),0)*RATES!$L705/12+$H$17*(PARAM!$D$51/12)*RATES!$N705/100</f>
        <v>638.29166666666674</v>
      </c>
      <c r="BJ729" s="16">
        <f t="shared" si="470"/>
        <v>-73234.851430204202</v>
      </c>
      <c r="BK729" s="15">
        <f t="shared" si="445"/>
        <v>22.170849845882874</v>
      </c>
      <c r="BL729" s="75">
        <f>BK729*(1-PARAM!$C$27)*$I$18+(MOD($B729,60)=PARAM!$B$56)*($B729&gt;(60-PARAM!$B$56))*HLOOKUP(($B729+PARAM!$B$56)/12,Loyalty,2)*$F$1*MAX(BN728,0)</f>
        <v>18.557001321003963</v>
      </c>
      <c r="BM729" s="75">
        <f>PARAM!$C$26+MAX($G$18-CHOOSE(PARAM!$B$44,MAX(0,BN728*$F$1),0),0)*RATES!$L705/12+$H$18*(PARAM!$D$51/12)*RATES!$N705/100</f>
        <v>638.29166666666674</v>
      </c>
      <c r="BN729" s="16">
        <f t="shared" si="471"/>
        <v>-73234.851430204202</v>
      </c>
      <c r="BO729" s="15">
        <f t="shared" si="446"/>
        <v>22.170849845882874</v>
      </c>
      <c r="BP729" s="75">
        <f>BO729*(1-PARAM!$C$27)*$I$19+(MOD($B729,60)=PARAM!$B$56)*($B729&gt;(60-PARAM!$B$56))*HLOOKUP(($B729+PARAM!$B$56)/12,Loyalty,2)*$F$1*MAX(BR728,0)</f>
        <v>18.557001321003963</v>
      </c>
      <c r="BQ729" s="75">
        <f>PARAM!$C$26+MAX($G$19-CHOOSE(PARAM!$B$44,MAX(0,BR728*$F$1),0),0)*RATES!$L705/12+$H$19*(PARAM!$D$51/12)*RATES!$N705/100</f>
        <v>638.29166666666674</v>
      </c>
      <c r="BR729" s="16">
        <f t="shared" si="472"/>
        <v>-73234.851430204202</v>
      </c>
      <c r="BS729" s="15">
        <f t="shared" si="447"/>
        <v>22.170849845882874</v>
      </c>
      <c r="BT729" s="75">
        <f>BS729*(1-PARAM!$C$27)*$I$20+(MOD($B729,60)=PARAM!$B$56)*($B729&gt;(60-PARAM!$B$56))*HLOOKUP(($B729+PARAM!$B$56)/12,Loyalty,2)*$F$1*MAX(BV728,0)</f>
        <v>18.557001321003963</v>
      </c>
      <c r="BU729" s="75">
        <f>PARAM!$C$26+MAX($G$20-CHOOSE(PARAM!$B$44,MAX(0,BV728*$F$1),0),0)*RATES!$L705/12+$H$20*(PARAM!$D$51/12)*RATES!$N705/100</f>
        <v>638.29166666666674</v>
      </c>
      <c r="BV729" s="16">
        <f t="shared" si="473"/>
        <v>-73234.851430204202</v>
      </c>
      <c r="BW729" s="15">
        <f t="shared" si="448"/>
        <v>22.170849845882874</v>
      </c>
      <c r="BX729" s="75">
        <f>BW729*(1-PARAM!$C$27)*$I$21+(MOD($B729,60)=PARAM!$B$56)*($B729&gt;(60-PARAM!$B$56))*HLOOKUP(($B729+PARAM!$B$56)/12,Loyalty,2)*$F$1*MAX(BZ728,0)</f>
        <v>18.557001321003963</v>
      </c>
      <c r="BY729" s="75">
        <f>PARAM!$C$26+MAX($G$21-CHOOSE(PARAM!$B$44,MAX(0,BZ728*$F$1),0),0)*RATES!$L705/12+$H$21*(PARAM!$D$51/12)*RATES!$N705/100</f>
        <v>638.29166666666674</v>
      </c>
      <c r="BZ729" s="16">
        <f t="shared" si="474"/>
        <v>-73234.851430204202</v>
      </c>
      <c r="CA729" s="15">
        <f t="shared" si="449"/>
        <v>22.170849845882874</v>
      </c>
      <c r="CB729" s="75">
        <f>CA729*(1-PARAM!$C$27)*$I$22+(MOD($B729,60)=PARAM!$B$56)*($B729&gt;(60-PARAM!$B$56))*HLOOKUP(($B729+PARAM!$B$56)/12,Loyalty,2)*$F$1*MAX(CD728,0)</f>
        <v>18.557001321003963</v>
      </c>
      <c r="CC729" s="75">
        <f>PARAM!$C$26+MAX($G$22-CHOOSE(PARAM!$B$44,MAX(0,CD728*$F$1),0),0)*RATES!$L705/12+$H$22*(PARAM!$D$51/12)*RATES!$N705/100</f>
        <v>638.29166666666674</v>
      </c>
      <c r="CD729" s="16">
        <f t="shared" si="475"/>
        <v>-73234.851430204202</v>
      </c>
      <c r="CE729" s="33">
        <f>IF(0=MOD(B729,12/PARAM!$D$51),1,0)</f>
        <v>1</v>
      </c>
      <c r="CF729" s="15">
        <f t="shared" si="450"/>
        <v>0</v>
      </c>
      <c r="CG729" s="75">
        <f>CF729*(1-PARAM!$C$27)*$R$3+(MOD($B729/12,5)=0)*($B729&gt;60)*HLOOKUP($B729/12,Loyalty,2)*$F$1*MAX(CI728,0)</f>
        <v>0</v>
      </c>
      <c r="CH729" s="75">
        <f>PARAM!$C$26+MAX($P$3-CHOOSE(PARAM!$B$44,MAX(0,CI728*$F$1),0),0)*RATES!$L705/12+$Q$3*(PARAM!$D$51/12)*RATES!$N705/100</f>
        <v>638.29166666666674</v>
      </c>
      <c r="CI729" s="16">
        <f>IF(CI728&gt;0,CI728*PARAM!$C$53,CI728)+CG729-CH729</f>
        <v>-86142.291666666846</v>
      </c>
      <c r="CJ729" s="15">
        <f t="shared" si="476"/>
        <v>0</v>
      </c>
      <c r="CK729" s="75">
        <f>CJ729*(1-PARAM!$C$27)*$R$4+(MOD($B729/12,5)=0)*($B729&gt;60)*HLOOKUP($B729/12,Loyalty,2)*$F$1*MAX(CM728,0)</f>
        <v>0</v>
      </c>
      <c r="CL729" s="75">
        <f>PARAM!$C$26+MAX($P$4-CHOOSE(PARAM!$B$44,MAX(0,CM728*$F$1),0),0)*RATES!$L705/12+$Q$4*(PARAM!$D$51/12)*RATES!$N705/100</f>
        <v>638.29166666666674</v>
      </c>
      <c r="CM729" s="16">
        <f>IF(CM728&gt;0,CM728*PARAM!$C$53,CM728)+CK729-CL729</f>
        <v>-86142.291666666846</v>
      </c>
      <c r="CO729" s="176"/>
    </row>
    <row r="730" spans="1:93" x14ac:dyDescent="0.2">
      <c r="A730" t="b">
        <f t="shared" si="451"/>
        <v>0</v>
      </c>
      <c r="B730" s="33">
        <v>703</v>
      </c>
      <c r="C730" s="15">
        <f t="shared" si="452"/>
        <v>20.081305947392778</v>
      </c>
      <c r="D730" s="75">
        <f>C730*(1-PARAM!$C$27)*$I$3+(MOD($B730,60)=PARAM!$B$56)*($B730&gt;(60-PARAM!$B$56))*HLOOKUP(($B730+PARAM!$B$56)/12,Loyalty,2)*$F$1*MAX(F729,0)</f>
        <v>16.808053077967756</v>
      </c>
      <c r="E730" s="75">
        <f>PARAM!$C$26+MAX($G$3-CHOOSE(PARAM!$B$44,MAX(0,F729*$F$1),0),0)*RATES!$L706/12+$H$3*(PARAM!$D$51/12)*RATES!$N706/100</f>
        <v>638.29166666666674</v>
      </c>
      <c r="F730" s="16">
        <f t="shared" si="453"/>
        <v>-75120.947210925719</v>
      </c>
      <c r="G730" s="15">
        <f t="shared" si="454"/>
        <v>22.035289406060361</v>
      </c>
      <c r="H730" s="75">
        <f>G730*(1-PARAM!$C$27)*$I$4+(MOD($B730,60)=PARAM!$B$56)*($B730&gt;(60-PARAM!$B$56))*HLOOKUP(($B730+PARAM!$B$56)/12,Loyalty,2)*$F$1*MAX(J729,0)</f>
        <v>18.443537232872522</v>
      </c>
      <c r="I730" s="75">
        <f>PARAM!$C$26+MAX($G$4-CHOOSE(PARAM!$B$44,MAX(0,J729*$F$1),0),0)*RATES!$L706/12+$H$4*(PARAM!$D$51/12)*RATES!$N706/100</f>
        <v>638.29166666666674</v>
      </c>
      <c r="J730" s="16">
        <f t="shared" si="455"/>
        <v>-73937.368885905904</v>
      </c>
      <c r="K730" s="15">
        <f t="shared" si="456"/>
        <v>22.170849845882874</v>
      </c>
      <c r="L730" s="75">
        <f>K730*(1-PARAM!$C$27)*$I$5+(MOD($B730,60)=PARAM!$B$56)*($B730&gt;(60-PARAM!$B$56))*HLOOKUP(($B730+PARAM!$B$56)/12,Loyalty,2)*$F$1*MAX(N729,0)</f>
        <v>18.557001321003963</v>
      </c>
      <c r="M730" s="75">
        <f>PARAM!$C$26+MAX($G$5-CHOOSE(PARAM!$B$44,MAX(0,N729*$F$1),0),0)*RATES!$L706/12+$H$5*(PARAM!$D$51/12)*RATES!$N706/100</f>
        <v>638.29166666666674</v>
      </c>
      <c r="N730" s="16">
        <f t="shared" si="457"/>
        <v>-73854.586095549865</v>
      </c>
      <c r="O730" s="15">
        <f t="shared" si="458"/>
        <v>22.170849845882874</v>
      </c>
      <c r="P730" s="75">
        <f>O730*(1-PARAM!$C$27)*$I$6+(MOD($B730,60)=PARAM!$B$56)*($B730&gt;(60-PARAM!$B$56))*HLOOKUP(($B730+PARAM!$B$56)/12,Loyalty,2)*$F$1*MAX(R729,0)</f>
        <v>18.557001321003963</v>
      </c>
      <c r="Q730" s="75">
        <f>PARAM!$C$26+MAX($G$6-CHOOSE(PARAM!$B$44,MAX(0,R729*$F$1),0),0)*RATES!$L706/12+$H$6*(PARAM!$D$51/12)*RATES!$N706/100</f>
        <v>638.29166666666674</v>
      </c>
      <c r="R730" s="16">
        <f t="shared" si="459"/>
        <v>-73854.586095549865</v>
      </c>
      <c r="S730" s="15">
        <f t="shared" si="434"/>
        <v>22.170849845882874</v>
      </c>
      <c r="T730" s="75">
        <f>S730*(1-PARAM!$C$27)*$I$7+(MOD($B730,60)=PARAM!$B$56)*($B730&gt;(60-PARAM!$B$56))*HLOOKUP(($B730+PARAM!$B$56)/12,Loyalty,2)*$F$1*MAX(V729,0)</f>
        <v>18.557001321003963</v>
      </c>
      <c r="U730" s="75">
        <f>PARAM!$C$26+MAX($G$7-CHOOSE(PARAM!$B$44,MAX(0,V729*$F$1),0),0)*RATES!$L706/12+$H$7*(PARAM!$D$51/12)*RATES!$N706/100</f>
        <v>638.29166666666674</v>
      </c>
      <c r="V730" s="16">
        <f t="shared" si="460"/>
        <v>-73854.586095549865</v>
      </c>
      <c r="W730" s="15">
        <f t="shared" si="435"/>
        <v>22.170849845882874</v>
      </c>
      <c r="X730" s="75">
        <f>W730*(1-PARAM!$C$27)*$I$8+(MOD($B730,60)=PARAM!$B$56)*($B730&gt;(60-PARAM!$B$56))*HLOOKUP(($B730+PARAM!$B$56)/12,Loyalty,2)*$F$1*MAX(Z729,0)</f>
        <v>18.557001321003963</v>
      </c>
      <c r="Y730" s="75">
        <f>PARAM!$C$26+MAX($G$8-CHOOSE(PARAM!$B$44,MAX(0,Z729*$F$1),0),0)*RATES!$L706/12+$H$8*(PARAM!$D$51/12)*RATES!$N706/100</f>
        <v>638.29166666666674</v>
      </c>
      <c r="Z730" s="16">
        <f t="shared" si="461"/>
        <v>-73854.586095549865</v>
      </c>
      <c r="AA730" s="15">
        <f t="shared" si="436"/>
        <v>22.170849845882874</v>
      </c>
      <c r="AB730" s="75">
        <f>AA730*(1-PARAM!$C$27)*$I$9+(MOD($B730,60)=PARAM!$B$56)*($B730&gt;(60-PARAM!$B$56))*HLOOKUP(($B730+PARAM!$B$56)/12,Loyalty,2)*$F$1*MAX(AD729,0)</f>
        <v>18.557001321003963</v>
      </c>
      <c r="AC730" s="75">
        <f>PARAM!$C$26+MAX($G$9-CHOOSE(PARAM!$B$44,MAX(0,AD729*$F$1),0),0)*RATES!$L706/12+$H$9*(PARAM!$D$51/12)*RATES!$N706/100</f>
        <v>638.29166666666674</v>
      </c>
      <c r="AD730" s="16">
        <f t="shared" si="462"/>
        <v>-73854.586095549865</v>
      </c>
      <c r="AE730" s="15">
        <f t="shared" si="437"/>
        <v>22.170849845882874</v>
      </c>
      <c r="AF730" s="75">
        <f>AE730*(1-PARAM!$C$27)*$I$10+(MOD($B730,60)=PARAM!$B$56)*($B730&gt;(60-PARAM!$B$56))*HLOOKUP(($B730+PARAM!$B$56)/12,Loyalty,2)*$F$1*MAX(AH729,0)</f>
        <v>18.557001321003963</v>
      </c>
      <c r="AG730" s="75">
        <f>PARAM!$C$26+MAX($G$10-CHOOSE(PARAM!$B$44,MAX(0,AH729*$F$1),0),0)*RATES!$L706/12+$H$10*(PARAM!$D$51/12)*RATES!$N706/100</f>
        <v>638.29166666666674</v>
      </c>
      <c r="AH730" s="16">
        <f t="shared" si="463"/>
        <v>-73854.586095549865</v>
      </c>
      <c r="AI730" s="15">
        <f t="shared" si="438"/>
        <v>22.170849845882874</v>
      </c>
      <c r="AJ730" s="75">
        <f>AI730*(1-PARAM!$C$27)*$I$11+(MOD($B730,60)=PARAM!$B$56)*($B730&gt;(60-PARAM!$B$56))*HLOOKUP(($B730+PARAM!$B$56)/12,Loyalty,2)*$F$1*MAX(AL729,0)</f>
        <v>18.557001321003963</v>
      </c>
      <c r="AK730" s="75">
        <f>PARAM!$C$26+MAX($G$11-CHOOSE(PARAM!$B$44,MAX(0,AL729*$F$1),0),0)*RATES!$L706/12+$H$11*(PARAM!$D$51/12)*RATES!$N706/100</f>
        <v>638.29166666666674</v>
      </c>
      <c r="AL730" s="16">
        <f t="shared" si="464"/>
        <v>-73854.586095549865</v>
      </c>
      <c r="AM730" s="15">
        <f t="shared" si="439"/>
        <v>22.170849845882874</v>
      </c>
      <c r="AN730" s="75">
        <f>AM730*(1-PARAM!$C$27)*$I$12+(MOD($B730,60)=PARAM!$B$56)*($B730&gt;(60-PARAM!$B$56))*HLOOKUP(($B730+PARAM!$B$56)/12,Loyalty,2)*$F$1*MAX(AP729,0)</f>
        <v>18.557001321003963</v>
      </c>
      <c r="AO730" s="75">
        <f>PARAM!$C$26+MAX($G$12-CHOOSE(PARAM!$B$44,MAX(0,AP729*$F$1),0),0)*RATES!$L706/12+$H$12*(PARAM!$D$51/12)*RATES!$N706/100</f>
        <v>638.29166666666674</v>
      </c>
      <c r="AP730" s="16">
        <f t="shared" si="465"/>
        <v>-73854.586095549865</v>
      </c>
      <c r="AQ730" s="15">
        <f t="shared" si="440"/>
        <v>22.170849845882874</v>
      </c>
      <c r="AR730" s="75">
        <f>AQ730*(1-PARAM!$C$27)*$I$13+(MOD($B730,60)=PARAM!$B$56)*($B730&gt;(60-PARAM!$B$56))*HLOOKUP(($B730+PARAM!$B$56)/12,Loyalty,2)*$F$1*MAX(AT729,0)</f>
        <v>18.557001321003963</v>
      </c>
      <c r="AS730" s="75">
        <f>PARAM!$C$26+MAX($G$13-CHOOSE(PARAM!$B$44,MAX(0,AT729*$F$1),0),0)*RATES!$L706/12+$H$13*(PARAM!$D$51/12)*RATES!$N706/100</f>
        <v>638.29166666666674</v>
      </c>
      <c r="AT730" s="16">
        <f t="shared" si="466"/>
        <v>-73854.586095549865</v>
      </c>
      <c r="AU730" s="15">
        <f t="shared" si="441"/>
        <v>22.170849845882874</v>
      </c>
      <c r="AV730" s="75">
        <f>AU730*(1-PARAM!$C$27)*$I$14+(MOD($B730,60)=PARAM!$B$56)*($B730&gt;(60-PARAM!$B$56))*HLOOKUP(($B730+PARAM!$B$56)/12,Loyalty,2)*$F$1*MAX(AX729,0)</f>
        <v>18.557001321003963</v>
      </c>
      <c r="AW730" s="75">
        <f>PARAM!$C$26+MAX($G$14-CHOOSE(PARAM!$B$44,MAX(0,AX729*$F$1),0),0)*RATES!$L706/12+$H$14*(PARAM!$D$51/12)*RATES!$N706/100</f>
        <v>638.29166666666674</v>
      </c>
      <c r="AX730" s="16">
        <f t="shared" si="467"/>
        <v>-73854.586095549865</v>
      </c>
      <c r="AY730" s="15">
        <f t="shared" si="442"/>
        <v>22.170849845882874</v>
      </c>
      <c r="AZ730" s="75">
        <f>AY730*(1-PARAM!$C$27)*$I$15+(MOD($B730,60)=PARAM!$B$56)*($B730&gt;(60-PARAM!$B$56))*HLOOKUP(($B730+PARAM!$B$56)/12,Loyalty,2)*$F$1*MAX(BB729,0)</f>
        <v>18.557001321003963</v>
      </c>
      <c r="BA730" s="75">
        <f>PARAM!$C$26+MAX($G$15-CHOOSE(PARAM!$B$44,MAX(0,BB729*$F$1),0),0)*RATES!$L706/12+$H$15*(PARAM!$D$51/12)*RATES!$N706/100</f>
        <v>638.29166666666674</v>
      </c>
      <c r="BB730" s="16">
        <f t="shared" si="468"/>
        <v>-73854.586095549865</v>
      </c>
      <c r="BC730" s="15">
        <f t="shared" si="443"/>
        <v>22.170849845882874</v>
      </c>
      <c r="BD730" s="75">
        <f>BC730*(1-PARAM!$C$27)*$I$16+(MOD($B730,60)=PARAM!$B$56)*($B730&gt;(60-PARAM!$B$56))*HLOOKUP(($B730+PARAM!$B$56)/12,Loyalty,2)*$F$1*MAX(BF729,0)</f>
        <v>18.557001321003963</v>
      </c>
      <c r="BE730" s="75">
        <f>PARAM!$C$26+MAX($G$16-CHOOSE(PARAM!$B$44,MAX(0,BF729*$F$1),0),0)*RATES!$L706/12+$H$16*(PARAM!$D$51/12)*RATES!$N706/100</f>
        <v>638.29166666666674</v>
      </c>
      <c r="BF730" s="16">
        <f t="shared" si="469"/>
        <v>-73854.586095549865</v>
      </c>
      <c r="BG730" s="15">
        <f t="shared" si="444"/>
        <v>22.170849845882874</v>
      </c>
      <c r="BH730" s="75">
        <f>BG730*(1-PARAM!$C$27)*$I$17+(MOD($B730,60)=PARAM!$B$56)*($B730&gt;(60-PARAM!$B$56))*HLOOKUP(($B730+PARAM!$B$56)/12,Loyalty,2)*$F$1*MAX(BJ729,0)</f>
        <v>18.557001321003963</v>
      </c>
      <c r="BI730" s="75">
        <f>PARAM!$C$26+MAX($G$17-CHOOSE(PARAM!$B$44,MAX(0,BJ729*$F$1),0),0)*RATES!$L706/12+$H$17*(PARAM!$D$51/12)*RATES!$N706/100</f>
        <v>638.29166666666674</v>
      </c>
      <c r="BJ730" s="16">
        <f t="shared" si="470"/>
        <v>-73854.586095549865</v>
      </c>
      <c r="BK730" s="15">
        <f t="shared" si="445"/>
        <v>22.170849845882874</v>
      </c>
      <c r="BL730" s="75">
        <f>BK730*(1-PARAM!$C$27)*$I$18+(MOD($B730,60)=PARAM!$B$56)*($B730&gt;(60-PARAM!$B$56))*HLOOKUP(($B730+PARAM!$B$56)/12,Loyalty,2)*$F$1*MAX(BN729,0)</f>
        <v>18.557001321003963</v>
      </c>
      <c r="BM730" s="75">
        <f>PARAM!$C$26+MAX($G$18-CHOOSE(PARAM!$B$44,MAX(0,BN729*$F$1),0),0)*RATES!$L706/12+$H$18*(PARAM!$D$51/12)*RATES!$N706/100</f>
        <v>638.29166666666674</v>
      </c>
      <c r="BN730" s="16">
        <f t="shared" si="471"/>
        <v>-73854.586095549865</v>
      </c>
      <c r="BO730" s="15">
        <f t="shared" si="446"/>
        <v>22.170849845882874</v>
      </c>
      <c r="BP730" s="75">
        <f>BO730*(1-PARAM!$C$27)*$I$19+(MOD($B730,60)=PARAM!$B$56)*($B730&gt;(60-PARAM!$B$56))*HLOOKUP(($B730+PARAM!$B$56)/12,Loyalty,2)*$F$1*MAX(BR729,0)</f>
        <v>18.557001321003963</v>
      </c>
      <c r="BQ730" s="75">
        <f>PARAM!$C$26+MAX($G$19-CHOOSE(PARAM!$B$44,MAX(0,BR729*$F$1),0),0)*RATES!$L706/12+$H$19*(PARAM!$D$51/12)*RATES!$N706/100</f>
        <v>638.29166666666674</v>
      </c>
      <c r="BR730" s="16">
        <f t="shared" si="472"/>
        <v>-73854.586095549865</v>
      </c>
      <c r="BS730" s="15">
        <f t="shared" si="447"/>
        <v>22.170849845882874</v>
      </c>
      <c r="BT730" s="75">
        <f>BS730*(1-PARAM!$C$27)*$I$20+(MOD($B730,60)=PARAM!$B$56)*($B730&gt;(60-PARAM!$B$56))*HLOOKUP(($B730+PARAM!$B$56)/12,Loyalty,2)*$F$1*MAX(BV729,0)</f>
        <v>18.557001321003963</v>
      </c>
      <c r="BU730" s="75">
        <f>PARAM!$C$26+MAX($G$20-CHOOSE(PARAM!$B$44,MAX(0,BV729*$F$1),0),0)*RATES!$L706/12+$H$20*(PARAM!$D$51/12)*RATES!$N706/100</f>
        <v>638.29166666666674</v>
      </c>
      <c r="BV730" s="16">
        <f t="shared" si="473"/>
        <v>-73854.586095549865</v>
      </c>
      <c r="BW730" s="15">
        <f t="shared" si="448"/>
        <v>22.170849845882874</v>
      </c>
      <c r="BX730" s="75">
        <f>BW730*(1-PARAM!$C$27)*$I$21+(MOD($B730,60)=PARAM!$B$56)*($B730&gt;(60-PARAM!$B$56))*HLOOKUP(($B730+PARAM!$B$56)/12,Loyalty,2)*$F$1*MAX(BZ729,0)</f>
        <v>18.557001321003963</v>
      </c>
      <c r="BY730" s="75">
        <f>PARAM!$C$26+MAX($G$21-CHOOSE(PARAM!$B$44,MAX(0,BZ729*$F$1),0),0)*RATES!$L706/12+$H$21*(PARAM!$D$51/12)*RATES!$N706/100</f>
        <v>638.29166666666674</v>
      </c>
      <c r="BZ730" s="16">
        <f t="shared" si="474"/>
        <v>-73854.586095549865</v>
      </c>
      <c r="CA730" s="15">
        <f t="shared" si="449"/>
        <v>22.170849845882874</v>
      </c>
      <c r="CB730" s="75">
        <f>CA730*(1-PARAM!$C$27)*$I$22+(MOD($B730,60)=PARAM!$B$56)*($B730&gt;(60-PARAM!$B$56))*HLOOKUP(($B730+PARAM!$B$56)/12,Loyalty,2)*$F$1*MAX(CD729,0)</f>
        <v>18.557001321003963</v>
      </c>
      <c r="CC730" s="75">
        <f>PARAM!$C$26+MAX($G$22-CHOOSE(PARAM!$B$44,MAX(0,CD729*$F$1),0),0)*RATES!$L706/12+$H$22*(PARAM!$D$51/12)*RATES!$N706/100</f>
        <v>638.29166666666674</v>
      </c>
      <c r="CD730" s="16">
        <f t="shared" si="475"/>
        <v>-73854.586095549865</v>
      </c>
      <c r="CE730" s="33">
        <f>IF(0=MOD(B730,12/PARAM!$D$51),1,0)</f>
        <v>1</v>
      </c>
      <c r="CF730" s="15">
        <f t="shared" si="450"/>
        <v>0</v>
      </c>
      <c r="CG730" s="75">
        <f>CF730*(1-PARAM!$C$27)*$R$3+(MOD($B730/12,5)=0)*($B730&gt;60)*HLOOKUP($B730/12,Loyalty,2)*$F$1*MAX(CI729,0)</f>
        <v>0</v>
      </c>
      <c r="CH730" s="75">
        <f>PARAM!$C$26+MAX($P$3-CHOOSE(PARAM!$B$44,MAX(0,CI729*$F$1),0),0)*RATES!$L706/12+$Q$3*(PARAM!$D$51/12)*RATES!$N706/100</f>
        <v>638.29166666666674</v>
      </c>
      <c r="CI730" s="16">
        <f>IF(CI729&gt;0,CI729*PARAM!$C$53,CI729)+CG730-CH730</f>
        <v>-86780.583333333518</v>
      </c>
      <c r="CJ730" s="15">
        <f t="shared" si="476"/>
        <v>0</v>
      </c>
      <c r="CK730" s="75">
        <f>CJ730*(1-PARAM!$C$27)*$R$4+(MOD($B730/12,5)=0)*($B730&gt;60)*HLOOKUP($B730/12,Loyalty,2)*$F$1*MAX(CM729,0)</f>
        <v>0</v>
      </c>
      <c r="CL730" s="75">
        <f>PARAM!$C$26+MAX($P$4-CHOOSE(PARAM!$B$44,MAX(0,CM729*$F$1),0),0)*RATES!$L706/12+$Q$4*(PARAM!$D$51/12)*RATES!$N706/100</f>
        <v>638.29166666666674</v>
      </c>
      <c r="CM730" s="16">
        <f>IF(CM729&gt;0,CM729*PARAM!$C$53,CM729)+CK730-CL730</f>
        <v>-86780.583333333518</v>
      </c>
      <c r="CO730" s="176"/>
    </row>
    <row r="731" spans="1:93" x14ac:dyDescent="0.2">
      <c r="A731" t="b">
        <f t="shared" si="451"/>
        <v>0</v>
      </c>
      <c r="B731" s="33">
        <v>704</v>
      </c>
      <c r="C731" s="15">
        <f t="shared" si="452"/>
        <v>20.081305947392778</v>
      </c>
      <c r="D731" s="75">
        <f>C731*(1-PARAM!$C$27)*$I$3+(MOD($B731,60)=PARAM!$B$56)*($B731&gt;(60-PARAM!$B$56))*HLOOKUP(($B731+PARAM!$B$56)/12,Loyalty,2)*$F$1*MAX(F730,0)</f>
        <v>16.808053077967756</v>
      </c>
      <c r="E731" s="75">
        <f>PARAM!$C$26+MAX($G$3-CHOOSE(PARAM!$B$44,MAX(0,F730*$F$1),0),0)*RATES!$L707/12+$H$3*(PARAM!$D$51/12)*RATES!$N707/100</f>
        <v>638.29166666666674</v>
      </c>
      <c r="F731" s="16">
        <f t="shared" si="453"/>
        <v>-75742.43082451442</v>
      </c>
      <c r="G731" s="15">
        <f t="shared" si="454"/>
        <v>22.035289406060361</v>
      </c>
      <c r="H731" s="75">
        <f>G731*(1-PARAM!$C$27)*$I$4+(MOD($B731,60)=PARAM!$B$56)*($B731&gt;(60-PARAM!$B$56))*HLOOKUP(($B731+PARAM!$B$56)/12,Loyalty,2)*$F$1*MAX(J730,0)</f>
        <v>18.443537232872522</v>
      </c>
      <c r="I731" s="75">
        <f>PARAM!$C$26+MAX($G$4-CHOOSE(PARAM!$B$44,MAX(0,J730*$F$1),0),0)*RATES!$L707/12+$H$4*(PARAM!$D$51/12)*RATES!$N707/100</f>
        <v>638.29166666666674</v>
      </c>
      <c r="J731" s="16">
        <f t="shared" si="455"/>
        <v>-74557.217015339702</v>
      </c>
      <c r="K731" s="15">
        <f t="shared" si="456"/>
        <v>22.170849845882874</v>
      </c>
      <c r="L731" s="75">
        <f>K731*(1-PARAM!$C$27)*$I$5+(MOD($B731,60)=PARAM!$B$56)*($B731&gt;(60-PARAM!$B$56))*HLOOKUP(($B731+PARAM!$B$56)/12,Loyalty,2)*$F$1*MAX(N730,0)</f>
        <v>18.557001321003963</v>
      </c>
      <c r="M731" s="75">
        <f>PARAM!$C$26+MAX($G$5-CHOOSE(PARAM!$B$44,MAX(0,N730*$F$1),0),0)*RATES!$L707/12+$H$5*(PARAM!$D$51/12)*RATES!$N707/100</f>
        <v>638.29166666666674</v>
      </c>
      <c r="N731" s="16">
        <f t="shared" si="457"/>
        <v>-74474.320760895527</v>
      </c>
      <c r="O731" s="15">
        <f t="shared" si="458"/>
        <v>22.170849845882874</v>
      </c>
      <c r="P731" s="75">
        <f>O731*(1-PARAM!$C$27)*$I$6+(MOD($B731,60)=PARAM!$B$56)*($B731&gt;(60-PARAM!$B$56))*HLOOKUP(($B731+PARAM!$B$56)/12,Loyalty,2)*$F$1*MAX(R730,0)</f>
        <v>18.557001321003963</v>
      </c>
      <c r="Q731" s="75">
        <f>PARAM!$C$26+MAX($G$6-CHOOSE(PARAM!$B$44,MAX(0,R730*$F$1),0),0)*RATES!$L707/12+$H$6*(PARAM!$D$51/12)*RATES!$N707/100</f>
        <v>638.29166666666674</v>
      </c>
      <c r="R731" s="16">
        <f t="shared" si="459"/>
        <v>-74474.320760895527</v>
      </c>
      <c r="S731" s="15">
        <f t="shared" ref="S731:S794" si="477">$H$7*$CE731</f>
        <v>22.170849845882874</v>
      </c>
      <c r="T731" s="75">
        <f>S731*(1-PARAM!$C$27)*$I$7+(MOD($B731,60)=PARAM!$B$56)*($B731&gt;(60-PARAM!$B$56))*HLOOKUP(($B731+PARAM!$B$56)/12,Loyalty,2)*$F$1*MAX(V730,0)</f>
        <v>18.557001321003963</v>
      </c>
      <c r="U731" s="75">
        <f>PARAM!$C$26+MAX($G$7-CHOOSE(PARAM!$B$44,MAX(0,V730*$F$1),0),0)*RATES!$L707/12+$H$7*(PARAM!$D$51/12)*RATES!$N707/100</f>
        <v>638.29166666666674</v>
      </c>
      <c r="V731" s="16">
        <f t="shared" si="460"/>
        <v>-74474.320760895527</v>
      </c>
      <c r="W731" s="15">
        <f t="shared" ref="W731:W794" si="478">$H$8*$CE731</f>
        <v>22.170849845882874</v>
      </c>
      <c r="X731" s="75">
        <f>W731*(1-PARAM!$C$27)*$I$8+(MOD($B731,60)=PARAM!$B$56)*($B731&gt;(60-PARAM!$B$56))*HLOOKUP(($B731+PARAM!$B$56)/12,Loyalty,2)*$F$1*MAX(Z730,0)</f>
        <v>18.557001321003963</v>
      </c>
      <c r="Y731" s="75">
        <f>PARAM!$C$26+MAX($G$8-CHOOSE(PARAM!$B$44,MAX(0,Z730*$F$1),0),0)*RATES!$L707/12+$H$8*(PARAM!$D$51/12)*RATES!$N707/100</f>
        <v>638.29166666666674</v>
      </c>
      <c r="Z731" s="16">
        <f t="shared" si="461"/>
        <v>-74474.320760895527</v>
      </c>
      <c r="AA731" s="15">
        <f t="shared" ref="AA731:AA794" si="479">$H$9*$CE731</f>
        <v>22.170849845882874</v>
      </c>
      <c r="AB731" s="75">
        <f>AA731*(1-PARAM!$C$27)*$I$9+(MOD($B731,60)=PARAM!$B$56)*($B731&gt;(60-PARAM!$B$56))*HLOOKUP(($B731+PARAM!$B$56)/12,Loyalty,2)*$F$1*MAX(AD730,0)</f>
        <v>18.557001321003963</v>
      </c>
      <c r="AC731" s="75">
        <f>PARAM!$C$26+MAX($G$9-CHOOSE(PARAM!$B$44,MAX(0,AD730*$F$1),0),0)*RATES!$L707/12+$H$9*(PARAM!$D$51/12)*RATES!$N707/100</f>
        <v>638.29166666666674</v>
      </c>
      <c r="AD731" s="16">
        <f t="shared" si="462"/>
        <v>-74474.320760895527</v>
      </c>
      <c r="AE731" s="15">
        <f t="shared" ref="AE731:AE794" si="480">$H$10*$CE731</f>
        <v>22.170849845882874</v>
      </c>
      <c r="AF731" s="75">
        <f>AE731*(1-PARAM!$C$27)*$I$10+(MOD($B731,60)=PARAM!$B$56)*($B731&gt;(60-PARAM!$B$56))*HLOOKUP(($B731+PARAM!$B$56)/12,Loyalty,2)*$F$1*MAX(AH730,0)</f>
        <v>18.557001321003963</v>
      </c>
      <c r="AG731" s="75">
        <f>PARAM!$C$26+MAX($G$10-CHOOSE(PARAM!$B$44,MAX(0,AH730*$F$1),0),0)*RATES!$L707/12+$H$10*(PARAM!$D$51/12)*RATES!$N707/100</f>
        <v>638.29166666666674</v>
      </c>
      <c r="AH731" s="16">
        <f t="shared" si="463"/>
        <v>-74474.320760895527</v>
      </c>
      <c r="AI731" s="15">
        <f t="shared" ref="AI731:AI794" si="481">$H$11*$CE731</f>
        <v>22.170849845882874</v>
      </c>
      <c r="AJ731" s="75">
        <f>AI731*(1-PARAM!$C$27)*$I$11+(MOD($B731,60)=PARAM!$B$56)*($B731&gt;(60-PARAM!$B$56))*HLOOKUP(($B731+PARAM!$B$56)/12,Loyalty,2)*$F$1*MAX(AL730,0)</f>
        <v>18.557001321003963</v>
      </c>
      <c r="AK731" s="75">
        <f>PARAM!$C$26+MAX($G$11-CHOOSE(PARAM!$B$44,MAX(0,AL730*$F$1),0),0)*RATES!$L707/12+$H$11*(PARAM!$D$51/12)*RATES!$N707/100</f>
        <v>638.29166666666674</v>
      </c>
      <c r="AL731" s="16">
        <f t="shared" si="464"/>
        <v>-74474.320760895527</v>
      </c>
      <c r="AM731" s="15">
        <f t="shared" ref="AM731:AM794" si="482">$H$12*$CE731</f>
        <v>22.170849845882874</v>
      </c>
      <c r="AN731" s="75">
        <f>AM731*(1-PARAM!$C$27)*$I$12+(MOD($B731,60)=PARAM!$B$56)*($B731&gt;(60-PARAM!$B$56))*HLOOKUP(($B731+PARAM!$B$56)/12,Loyalty,2)*$F$1*MAX(AP730,0)</f>
        <v>18.557001321003963</v>
      </c>
      <c r="AO731" s="75">
        <f>PARAM!$C$26+MAX($G$12-CHOOSE(PARAM!$B$44,MAX(0,AP730*$F$1),0),0)*RATES!$L707/12+$H$12*(PARAM!$D$51/12)*RATES!$N707/100</f>
        <v>638.29166666666674</v>
      </c>
      <c r="AP731" s="16">
        <f t="shared" si="465"/>
        <v>-74474.320760895527</v>
      </c>
      <c r="AQ731" s="15">
        <f t="shared" ref="AQ731:AQ794" si="483">$H$13*$CE731</f>
        <v>22.170849845882874</v>
      </c>
      <c r="AR731" s="75">
        <f>AQ731*(1-PARAM!$C$27)*$I$13+(MOD($B731,60)=PARAM!$B$56)*($B731&gt;(60-PARAM!$B$56))*HLOOKUP(($B731+PARAM!$B$56)/12,Loyalty,2)*$F$1*MAX(AT730,0)</f>
        <v>18.557001321003963</v>
      </c>
      <c r="AS731" s="75">
        <f>PARAM!$C$26+MAX($G$13-CHOOSE(PARAM!$B$44,MAX(0,AT730*$F$1),0),0)*RATES!$L707/12+$H$13*(PARAM!$D$51/12)*RATES!$N707/100</f>
        <v>638.29166666666674</v>
      </c>
      <c r="AT731" s="16">
        <f t="shared" si="466"/>
        <v>-74474.320760895527</v>
      </c>
      <c r="AU731" s="15">
        <f t="shared" ref="AU731:AU794" si="484">$H$14*$CE731</f>
        <v>22.170849845882874</v>
      </c>
      <c r="AV731" s="75">
        <f>AU731*(1-PARAM!$C$27)*$I$14+(MOD($B731,60)=PARAM!$B$56)*($B731&gt;(60-PARAM!$B$56))*HLOOKUP(($B731+PARAM!$B$56)/12,Loyalty,2)*$F$1*MAX(AX730,0)</f>
        <v>18.557001321003963</v>
      </c>
      <c r="AW731" s="75">
        <f>PARAM!$C$26+MAX($G$14-CHOOSE(PARAM!$B$44,MAX(0,AX730*$F$1),0),0)*RATES!$L707/12+$H$14*(PARAM!$D$51/12)*RATES!$N707/100</f>
        <v>638.29166666666674</v>
      </c>
      <c r="AX731" s="16">
        <f t="shared" si="467"/>
        <v>-74474.320760895527</v>
      </c>
      <c r="AY731" s="15">
        <f t="shared" ref="AY731:AY794" si="485">$H$15*$CE731</f>
        <v>22.170849845882874</v>
      </c>
      <c r="AZ731" s="75">
        <f>AY731*(1-PARAM!$C$27)*$I$15+(MOD($B731,60)=PARAM!$B$56)*($B731&gt;(60-PARAM!$B$56))*HLOOKUP(($B731+PARAM!$B$56)/12,Loyalty,2)*$F$1*MAX(BB730,0)</f>
        <v>18.557001321003963</v>
      </c>
      <c r="BA731" s="75">
        <f>PARAM!$C$26+MAX($G$15-CHOOSE(PARAM!$B$44,MAX(0,BB730*$F$1),0),0)*RATES!$L707/12+$H$15*(PARAM!$D$51/12)*RATES!$N707/100</f>
        <v>638.29166666666674</v>
      </c>
      <c r="BB731" s="16">
        <f t="shared" si="468"/>
        <v>-74474.320760895527</v>
      </c>
      <c r="BC731" s="15">
        <f t="shared" ref="BC731:BC794" si="486">$H$16*$CE731</f>
        <v>22.170849845882874</v>
      </c>
      <c r="BD731" s="75">
        <f>BC731*(1-PARAM!$C$27)*$I$16+(MOD($B731,60)=PARAM!$B$56)*($B731&gt;(60-PARAM!$B$56))*HLOOKUP(($B731+PARAM!$B$56)/12,Loyalty,2)*$F$1*MAX(BF730,0)</f>
        <v>18.557001321003963</v>
      </c>
      <c r="BE731" s="75">
        <f>PARAM!$C$26+MAX($G$16-CHOOSE(PARAM!$B$44,MAX(0,BF730*$F$1),0),0)*RATES!$L707/12+$H$16*(PARAM!$D$51/12)*RATES!$N707/100</f>
        <v>638.29166666666674</v>
      </c>
      <c r="BF731" s="16">
        <f t="shared" si="469"/>
        <v>-74474.320760895527</v>
      </c>
      <c r="BG731" s="15">
        <f t="shared" ref="BG731:BG794" si="487">$H$17*$CE731</f>
        <v>22.170849845882874</v>
      </c>
      <c r="BH731" s="75">
        <f>BG731*(1-PARAM!$C$27)*$I$17+(MOD($B731,60)=PARAM!$B$56)*($B731&gt;(60-PARAM!$B$56))*HLOOKUP(($B731+PARAM!$B$56)/12,Loyalty,2)*$F$1*MAX(BJ730,0)</f>
        <v>18.557001321003963</v>
      </c>
      <c r="BI731" s="75">
        <f>PARAM!$C$26+MAX($G$17-CHOOSE(PARAM!$B$44,MAX(0,BJ730*$F$1),0),0)*RATES!$L707/12+$H$17*(PARAM!$D$51/12)*RATES!$N707/100</f>
        <v>638.29166666666674</v>
      </c>
      <c r="BJ731" s="16">
        <f t="shared" si="470"/>
        <v>-74474.320760895527</v>
      </c>
      <c r="BK731" s="15">
        <f t="shared" ref="BK731:BK794" si="488">$H$18*$CE731</f>
        <v>22.170849845882874</v>
      </c>
      <c r="BL731" s="75">
        <f>BK731*(1-PARAM!$C$27)*$I$18+(MOD($B731,60)=PARAM!$B$56)*($B731&gt;(60-PARAM!$B$56))*HLOOKUP(($B731+PARAM!$B$56)/12,Loyalty,2)*$F$1*MAX(BN730,0)</f>
        <v>18.557001321003963</v>
      </c>
      <c r="BM731" s="75">
        <f>PARAM!$C$26+MAX($G$18-CHOOSE(PARAM!$B$44,MAX(0,BN730*$F$1),0),0)*RATES!$L707/12+$H$18*(PARAM!$D$51/12)*RATES!$N707/100</f>
        <v>638.29166666666674</v>
      </c>
      <c r="BN731" s="16">
        <f t="shared" si="471"/>
        <v>-74474.320760895527</v>
      </c>
      <c r="BO731" s="15">
        <f t="shared" ref="BO731:BO794" si="489">$H$19*$CE731</f>
        <v>22.170849845882874</v>
      </c>
      <c r="BP731" s="75">
        <f>BO731*(1-PARAM!$C$27)*$I$19+(MOD($B731,60)=PARAM!$B$56)*($B731&gt;(60-PARAM!$B$56))*HLOOKUP(($B731+PARAM!$B$56)/12,Loyalty,2)*$F$1*MAX(BR730,0)</f>
        <v>18.557001321003963</v>
      </c>
      <c r="BQ731" s="75">
        <f>PARAM!$C$26+MAX($G$19-CHOOSE(PARAM!$B$44,MAX(0,BR730*$F$1),0),0)*RATES!$L707/12+$H$19*(PARAM!$D$51/12)*RATES!$N707/100</f>
        <v>638.29166666666674</v>
      </c>
      <c r="BR731" s="16">
        <f t="shared" si="472"/>
        <v>-74474.320760895527</v>
      </c>
      <c r="BS731" s="15">
        <f t="shared" ref="BS731:BS794" si="490">$H$20*$CE731</f>
        <v>22.170849845882874</v>
      </c>
      <c r="BT731" s="75">
        <f>BS731*(1-PARAM!$C$27)*$I$20+(MOD($B731,60)=PARAM!$B$56)*($B731&gt;(60-PARAM!$B$56))*HLOOKUP(($B731+PARAM!$B$56)/12,Loyalty,2)*$F$1*MAX(BV730,0)</f>
        <v>18.557001321003963</v>
      </c>
      <c r="BU731" s="75">
        <f>PARAM!$C$26+MAX($G$20-CHOOSE(PARAM!$B$44,MAX(0,BV730*$F$1),0),0)*RATES!$L707/12+$H$20*(PARAM!$D$51/12)*RATES!$N707/100</f>
        <v>638.29166666666674</v>
      </c>
      <c r="BV731" s="16">
        <f t="shared" si="473"/>
        <v>-74474.320760895527</v>
      </c>
      <c r="BW731" s="15">
        <f t="shared" ref="BW731:BW794" si="491">$H$21*$CE731</f>
        <v>22.170849845882874</v>
      </c>
      <c r="BX731" s="75">
        <f>BW731*(1-PARAM!$C$27)*$I$21+(MOD($B731,60)=PARAM!$B$56)*($B731&gt;(60-PARAM!$B$56))*HLOOKUP(($B731+PARAM!$B$56)/12,Loyalty,2)*$F$1*MAX(BZ730,0)</f>
        <v>18.557001321003963</v>
      </c>
      <c r="BY731" s="75">
        <f>PARAM!$C$26+MAX($G$21-CHOOSE(PARAM!$B$44,MAX(0,BZ730*$F$1),0),0)*RATES!$L707/12+$H$21*(PARAM!$D$51/12)*RATES!$N707/100</f>
        <v>638.29166666666674</v>
      </c>
      <c r="BZ731" s="16">
        <f t="shared" si="474"/>
        <v>-74474.320760895527</v>
      </c>
      <c r="CA731" s="15">
        <f t="shared" ref="CA731:CA794" si="492">$H$22*$CE731</f>
        <v>22.170849845882874</v>
      </c>
      <c r="CB731" s="75">
        <f>CA731*(1-PARAM!$C$27)*$I$22+(MOD($B731,60)=PARAM!$B$56)*($B731&gt;(60-PARAM!$B$56))*HLOOKUP(($B731+PARAM!$B$56)/12,Loyalty,2)*$F$1*MAX(CD730,0)</f>
        <v>18.557001321003963</v>
      </c>
      <c r="CC731" s="75">
        <f>PARAM!$C$26+MAX($G$22-CHOOSE(PARAM!$B$44,MAX(0,CD730*$F$1),0),0)*RATES!$L707/12+$H$22*(PARAM!$D$51/12)*RATES!$N707/100</f>
        <v>638.29166666666674</v>
      </c>
      <c r="CD731" s="16">
        <f t="shared" si="475"/>
        <v>-74474.320760895527</v>
      </c>
      <c r="CE731" s="33">
        <f>IF(0=MOD(B731,12/PARAM!$D$51),1,0)</f>
        <v>1</v>
      </c>
      <c r="CF731" s="15">
        <f t="shared" ref="CF731:CF794" si="493">$Q$3*CE731</f>
        <v>0</v>
      </c>
      <c r="CG731" s="75">
        <f>CF731*(1-PARAM!$C$27)*$R$3+(MOD($B731/12,5)=0)*($B731&gt;60)*HLOOKUP($B731/12,Loyalty,2)*$F$1*MAX(CI730,0)</f>
        <v>0</v>
      </c>
      <c r="CH731" s="75">
        <f>PARAM!$C$26+MAX($P$3-CHOOSE(PARAM!$B$44,MAX(0,CI730*$F$1),0),0)*RATES!$L707/12+$Q$3*(PARAM!$D$51/12)*RATES!$N707/100</f>
        <v>638.29166666666674</v>
      </c>
      <c r="CI731" s="16">
        <f>IF(CI730&gt;0,CI730*PARAM!$C$53,CI730)+CG731-CH731</f>
        <v>-87418.875000000189</v>
      </c>
      <c r="CJ731" s="15">
        <f t="shared" si="476"/>
        <v>0</v>
      </c>
      <c r="CK731" s="75">
        <f>CJ731*(1-PARAM!$C$27)*$R$4+(MOD($B731/12,5)=0)*($B731&gt;60)*HLOOKUP($B731/12,Loyalty,2)*$F$1*MAX(CM730,0)</f>
        <v>0</v>
      </c>
      <c r="CL731" s="75">
        <f>PARAM!$C$26+MAX($P$4-CHOOSE(PARAM!$B$44,MAX(0,CM730*$F$1),0),0)*RATES!$L707/12+$Q$4*(PARAM!$D$51/12)*RATES!$N707/100</f>
        <v>638.29166666666674</v>
      </c>
      <c r="CM731" s="16">
        <f>IF(CM730&gt;0,CM730*PARAM!$C$53,CM730)+CK731-CL731</f>
        <v>-87418.875000000189</v>
      </c>
      <c r="CO731" s="176"/>
    </row>
    <row r="732" spans="1:93" x14ac:dyDescent="0.2">
      <c r="A732" t="b">
        <f t="shared" ref="A732:A795" si="494">F732&gt;0</f>
        <v>0</v>
      </c>
      <c r="B732" s="33">
        <v>705</v>
      </c>
      <c r="C732" s="15">
        <f t="shared" ref="C732:C795" si="495">$H$3*$CE732</f>
        <v>20.081305947392778</v>
      </c>
      <c r="D732" s="75">
        <f>C732*(1-PARAM!$C$27)*$I$3+(MOD($B732,60)=PARAM!$B$56)*($B732&gt;(60-PARAM!$B$56))*HLOOKUP(($B732+PARAM!$B$56)/12,Loyalty,2)*$F$1*MAX(F731,0)</f>
        <v>16.808053077967756</v>
      </c>
      <c r="E732" s="75">
        <f>PARAM!$C$26+MAX($G$3-CHOOSE(PARAM!$B$44,MAX(0,F731*$F$1),0),0)*RATES!$L708/12+$H$3*(PARAM!$D$51/12)*RATES!$N708/100</f>
        <v>638.29166666666674</v>
      </c>
      <c r="F732" s="16">
        <f t="shared" ref="F732:F795" si="496">IF(F731&gt;0,F731*$F$1,F731)+D732-E732</f>
        <v>-76363.914438103122</v>
      </c>
      <c r="G732" s="15">
        <f t="shared" ref="G732:G795" si="497">$H$4*$CE732</f>
        <v>22.035289406060361</v>
      </c>
      <c r="H732" s="75">
        <f>G732*(1-PARAM!$C$27)*$I$4+(MOD($B732,60)=PARAM!$B$56)*($B732&gt;(60-PARAM!$B$56))*HLOOKUP(($B732+PARAM!$B$56)/12,Loyalty,2)*$F$1*MAX(J731,0)</f>
        <v>18.443537232872522</v>
      </c>
      <c r="I732" s="75">
        <f>PARAM!$C$26+MAX($G$4-CHOOSE(PARAM!$B$44,MAX(0,J731*$F$1),0),0)*RATES!$L708/12+$H$4*(PARAM!$D$51/12)*RATES!$N708/100</f>
        <v>638.29166666666674</v>
      </c>
      <c r="J732" s="16">
        <f t="shared" ref="J732:J795" si="498">IF(J731&gt;0,J731*$F$1,J731)+H732-I732</f>
        <v>-75177.0651447735</v>
      </c>
      <c r="K732" s="15">
        <f t="shared" ref="K732:K795" si="499">$H$5*$CE732</f>
        <v>22.170849845882874</v>
      </c>
      <c r="L732" s="75">
        <f>K732*(1-PARAM!$C$27)*$I$5+(MOD($B732,60)=PARAM!$B$56)*($B732&gt;(60-PARAM!$B$56))*HLOOKUP(($B732+PARAM!$B$56)/12,Loyalty,2)*$F$1*MAX(N731,0)</f>
        <v>18.557001321003963</v>
      </c>
      <c r="M732" s="75">
        <f>PARAM!$C$26+MAX($G$5-CHOOSE(PARAM!$B$44,MAX(0,N731*$F$1),0),0)*RATES!$L708/12+$H$5*(PARAM!$D$51/12)*RATES!$N708/100</f>
        <v>638.29166666666674</v>
      </c>
      <c r="N732" s="16">
        <f t="shared" ref="N732:N795" si="500">IF(N731&gt;0,N731*$F$1,N731)+L732-M732</f>
        <v>-75094.05542624119</v>
      </c>
      <c r="O732" s="15">
        <f t="shared" ref="O732:O795" si="501">$H$6*$CE732</f>
        <v>22.170849845882874</v>
      </c>
      <c r="P732" s="75">
        <f>O732*(1-PARAM!$C$27)*$I$6+(MOD($B732,60)=PARAM!$B$56)*($B732&gt;(60-PARAM!$B$56))*HLOOKUP(($B732+PARAM!$B$56)/12,Loyalty,2)*$F$1*MAX(R731,0)</f>
        <v>18.557001321003963</v>
      </c>
      <c r="Q732" s="75">
        <f>PARAM!$C$26+MAX($G$6-CHOOSE(PARAM!$B$44,MAX(0,R731*$F$1),0),0)*RATES!$L708/12+$H$6*(PARAM!$D$51/12)*RATES!$N708/100</f>
        <v>638.29166666666674</v>
      </c>
      <c r="R732" s="16">
        <f t="shared" ref="R732:R795" si="502">IF(R731&gt;0,R731*$F$1,R731)+P732-Q732</f>
        <v>-75094.05542624119</v>
      </c>
      <c r="S732" s="15">
        <f t="shared" si="477"/>
        <v>22.170849845882874</v>
      </c>
      <c r="T732" s="75">
        <f>S732*(1-PARAM!$C$27)*$I$7+(MOD($B732,60)=PARAM!$B$56)*($B732&gt;(60-PARAM!$B$56))*HLOOKUP(($B732+PARAM!$B$56)/12,Loyalty,2)*$F$1*MAX(V731,0)</f>
        <v>18.557001321003963</v>
      </c>
      <c r="U732" s="75">
        <f>PARAM!$C$26+MAX($G$7-CHOOSE(PARAM!$B$44,MAX(0,V731*$F$1),0),0)*RATES!$L708/12+$H$7*(PARAM!$D$51/12)*RATES!$N708/100</f>
        <v>638.29166666666674</v>
      </c>
      <c r="V732" s="16">
        <f t="shared" ref="V732:V795" si="503">IF(V731&gt;0,V731*$F$1,V731)+T732-U732</f>
        <v>-75094.05542624119</v>
      </c>
      <c r="W732" s="15">
        <f t="shared" si="478"/>
        <v>22.170849845882874</v>
      </c>
      <c r="X732" s="75">
        <f>W732*(1-PARAM!$C$27)*$I$8+(MOD($B732,60)=PARAM!$B$56)*($B732&gt;(60-PARAM!$B$56))*HLOOKUP(($B732+PARAM!$B$56)/12,Loyalty,2)*$F$1*MAX(Z731,0)</f>
        <v>18.557001321003963</v>
      </c>
      <c r="Y732" s="75">
        <f>PARAM!$C$26+MAX($G$8-CHOOSE(PARAM!$B$44,MAX(0,Z731*$F$1),0),0)*RATES!$L708/12+$H$8*(PARAM!$D$51/12)*RATES!$N708/100</f>
        <v>638.29166666666674</v>
      </c>
      <c r="Z732" s="16">
        <f t="shared" ref="Z732:Z795" si="504">IF(Z731&gt;0,Z731*$F$1,Z731)+X732-Y732</f>
        <v>-75094.05542624119</v>
      </c>
      <c r="AA732" s="15">
        <f t="shared" si="479"/>
        <v>22.170849845882874</v>
      </c>
      <c r="AB732" s="75">
        <f>AA732*(1-PARAM!$C$27)*$I$9+(MOD($B732,60)=PARAM!$B$56)*($B732&gt;(60-PARAM!$B$56))*HLOOKUP(($B732+PARAM!$B$56)/12,Loyalty,2)*$F$1*MAX(AD731,0)</f>
        <v>18.557001321003963</v>
      </c>
      <c r="AC732" s="75">
        <f>PARAM!$C$26+MAX($G$9-CHOOSE(PARAM!$B$44,MAX(0,AD731*$F$1),0),0)*RATES!$L708/12+$H$9*(PARAM!$D$51/12)*RATES!$N708/100</f>
        <v>638.29166666666674</v>
      </c>
      <c r="AD732" s="16">
        <f t="shared" ref="AD732:AD795" si="505">IF(AD731&gt;0,AD731*$F$1,AD731)+AB732-AC732</f>
        <v>-75094.05542624119</v>
      </c>
      <c r="AE732" s="15">
        <f t="shared" si="480"/>
        <v>22.170849845882874</v>
      </c>
      <c r="AF732" s="75">
        <f>AE732*(1-PARAM!$C$27)*$I$10+(MOD($B732,60)=PARAM!$B$56)*($B732&gt;(60-PARAM!$B$56))*HLOOKUP(($B732+PARAM!$B$56)/12,Loyalty,2)*$F$1*MAX(AH731,0)</f>
        <v>18.557001321003963</v>
      </c>
      <c r="AG732" s="75">
        <f>PARAM!$C$26+MAX($G$10-CHOOSE(PARAM!$B$44,MAX(0,AH731*$F$1),0),0)*RATES!$L708/12+$H$10*(PARAM!$D$51/12)*RATES!$N708/100</f>
        <v>638.29166666666674</v>
      </c>
      <c r="AH732" s="16">
        <f t="shared" ref="AH732:AH795" si="506">IF(AH731&gt;0,AH731*$F$1,AH731)+AF732-AG732</f>
        <v>-75094.05542624119</v>
      </c>
      <c r="AI732" s="15">
        <f t="shared" si="481"/>
        <v>22.170849845882874</v>
      </c>
      <c r="AJ732" s="75">
        <f>AI732*(1-PARAM!$C$27)*$I$11+(MOD($B732,60)=PARAM!$B$56)*($B732&gt;(60-PARAM!$B$56))*HLOOKUP(($B732+PARAM!$B$56)/12,Loyalty,2)*$F$1*MAX(AL731,0)</f>
        <v>18.557001321003963</v>
      </c>
      <c r="AK732" s="75">
        <f>PARAM!$C$26+MAX($G$11-CHOOSE(PARAM!$B$44,MAX(0,AL731*$F$1),0),0)*RATES!$L708/12+$H$11*(PARAM!$D$51/12)*RATES!$N708/100</f>
        <v>638.29166666666674</v>
      </c>
      <c r="AL732" s="16">
        <f t="shared" ref="AL732:AL795" si="507">IF(AL731&gt;0,AL731*$F$1,AL731)+AJ732-AK732</f>
        <v>-75094.05542624119</v>
      </c>
      <c r="AM732" s="15">
        <f t="shared" si="482"/>
        <v>22.170849845882874</v>
      </c>
      <c r="AN732" s="75">
        <f>AM732*(1-PARAM!$C$27)*$I$12+(MOD($B732,60)=PARAM!$B$56)*($B732&gt;(60-PARAM!$B$56))*HLOOKUP(($B732+PARAM!$B$56)/12,Loyalty,2)*$F$1*MAX(AP731,0)</f>
        <v>18.557001321003963</v>
      </c>
      <c r="AO732" s="75">
        <f>PARAM!$C$26+MAX($G$12-CHOOSE(PARAM!$B$44,MAX(0,AP731*$F$1),0),0)*RATES!$L708/12+$H$12*(PARAM!$D$51/12)*RATES!$N708/100</f>
        <v>638.29166666666674</v>
      </c>
      <c r="AP732" s="16">
        <f t="shared" ref="AP732:AP795" si="508">IF(AP731&gt;0,AP731*$F$1,AP731)+AN732-AO732</f>
        <v>-75094.05542624119</v>
      </c>
      <c r="AQ732" s="15">
        <f t="shared" si="483"/>
        <v>22.170849845882874</v>
      </c>
      <c r="AR732" s="75">
        <f>AQ732*(1-PARAM!$C$27)*$I$13+(MOD($B732,60)=PARAM!$B$56)*($B732&gt;(60-PARAM!$B$56))*HLOOKUP(($B732+PARAM!$B$56)/12,Loyalty,2)*$F$1*MAX(AT731,0)</f>
        <v>18.557001321003963</v>
      </c>
      <c r="AS732" s="75">
        <f>PARAM!$C$26+MAX($G$13-CHOOSE(PARAM!$B$44,MAX(0,AT731*$F$1),0),0)*RATES!$L708/12+$H$13*(PARAM!$D$51/12)*RATES!$N708/100</f>
        <v>638.29166666666674</v>
      </c>
      <c r="AT732" s="16">
        <f t="shared" ref="AT732:AT795" si="509">IF(AT731&gt;0,AT731*$F$1,AT731)+AR732-AS732</f>
        <v>-75094.05542624119</v>
      </c>
      <c r="AU732" s="15">
        <f t="shared" si="484"/>
        <v>22.170849845882874</v>
      </c>
      <c r="AV732" s="75">
        <f>AU732*(1-PARAM!$C$27)*$I$14+(MOD($B732,60)=PARAM!$B$56)*($B732&gt;(60-PARAM!$B$56))*HLOOKUP(($B732+PARAM!$B$56)/12,Loyalty,2)*$F$1*MAX(AX731,0)</f>
        <v>18.557001321003963</v>
      </c>
      <c r="AW732" s="75">
        <f>PARAM!$C$26+MAX($G$14-CHOOSE(PARAM!$B$44,MAX(0,AX731*$F$1),0),0)*RATES!$L708/12+$H$14*(PARAM!$D$51/12)*RATES!$N708/100</f>
        <v>638.29166666666674</v>
      </c>
      <c r="AX732" s="16">
        <f t="shared" ref="AX732:AX795" si="510">IF(AX731&gt;0,AX731*$F$1,AX731)+AV732-AW732</f>
        <v>-75094.05542624119</v>
      </c>
      <c r="AY732" s="15">
        <f t="shared" si="485"/>
        <v>22.170849845882874</v>
      </c>
      <c r="AZ732" s="75">
        <f>AY732*(1-PARAM!$C$27)*$I$15+(MOD($B732,60)=PARAM!$B$56)*($B732&gt;(60-PARAM!$B$56))*HLOOKUP(($B732+PARAM!$B$56)/12,Loyalty,2)*$F$1*MAX(BB731,0)</f>
        <v>18.557001321003963</v>
      </c>
      <c r="BA732" s="75">
        <f>PARAM!$C$26+MAX($G$15-CHOOSE(PARAM!$B$44,MAX(0,BB731*$F$1),0),0)*RATES!$L708/12+$H$15*(PARAM!$D$51/12)*RATES!$N708/100</f>
        <v>638.29166666666674</v>
      </c>
      <c r="BB732" s="16">
        <f t="shared" ref="BB732:BB795" si="511">IF(BB731&gt;0,BB731*$F$1,BB731)+AZ732-BA732</f>
        <v>-75094.05542624119</v>
      </c>
      <c r="BC732" s="15">
        <f t="shared" si="486"/>
        <v>22.170849845882874</v>
      </c>
      <c r="BD732" s="75">
        <f>BC732*(1-PARAM!$C$27)*$I$16+(MOD($B732,60)=PARAM!$B$56)*($B732&gt;(60-PARAM!$B$56))*HLOOKUP(($B732+PARAM!$B$56)/12,Loyalty,2)*$F$1*MAX(BF731,0)</f>
        <v>18.557001321003963</v>
      </c>
      <c r="BE732" s="75">
        <f>PARAM!$C$26+MAX($G$16-CHOOSE(PARAM!$B$44,MAX(0,BF731*$F$1),0),0)*RATES!$L708/12+$H$16*(PARAM!$D$51/12)*RATES!$N708/100</f>
        <v>638.29166666666674</v>
      </c>
      <c r="BF732" s="16">
        <f t="shared" ref="BF732:BF795" si="512">IF(BF731&gt;0,BF731*$F$1,BF731)+BD732-BE732</f>
        <v>-75094.05542624119</v>
      </c>
      <c r="BG732" s="15">
        <f t="shared" si="487"/>
        <v>22.170849845882874</v>
      </c>
      <c r="BH732" s="75">
        <f>BG732*(1-PARAM!$C$27)*$I$17+(MOD($B732,60)=PARAM!$B$56)*($B732&gt;(60-PARAM!$B$56))*HLOOKUP(($B732+PARAM!$B$56)/12,Loyalty,2)*$F$1*MAX(BJ731,0)</f>
        <v>18.557001321003963</v>
      </c>
      <c r="BI732" s="75">
        <f>PARAM!$C$26+MAX($G$17-CHOOSE(PARAM!$B$44,MAX(0,BJ731*$F$1),0),0)*RATES!$L708/12+$H$17*(PARAM!$D$51/12)*RATES!$N708/100</f>
        <v>638.29166666666674</v>
      </c>
      <c r="BJ732" s="16">
        <f t="shared" ref="BJ732:BJ795" si="513">IF(BJ731&gt;0,BJ731*$F$1,BJ731)+BH732-BI732</f>
        <v>-75094.05542624119</v>
      </c>
      <c r="BK732" s="15">
        <f t="shared" si="488"/>
        <v>22.170849845882874</v>
      </c>
      <c r="BL732" s="75">
        <f>BK732*(1-PARAM!$C$27)*$I$18+(MOD($B732,60)=PARAM!$B$56)*($B732&gt;(60-PARAM!$B$56))*HLOOKUP(($B732+PARAM!$B$56)/12,Loyalty,2)*$F$1*MAX(BN731,0)</f>
        <v>18.557001321003963</v>
      </c>
      <c r="BM732" s="75">
        <f>PARAM!$C$26+MAX($G$18-CHOOSE(PARAM!$B$44,MAX(0,BN731*$F$1),0),0)*RATES!$L708/12+$H$18*(PARAM!$D$51/12)*RATES!$N708/100</f>
        <v>638.29166666666674</v>
      </c>
      <c r="BN732" s="16">
        <f t="shared" ref="BN732:BN795" si="514">IF(BN731&gt;0,BN731*$F$1,BN731)+BL732-BM732</f>
        <v>-75094.05542624119</v>
      </c>
      <c r="BO732" s="15">
        <f t="shared" si="489"/>
        <v>22.170849845882874</v>
      </c>
      <c r="BP732" s="75">
        <f>BO732*(1-PARAM!$C$27)*$I$19+(MOD($B732,60)=PARAM!$B$56)*($B732&gt;(60-PARAM!$B$56))*HLOOKUP(($B732+PARAM!$B$56)/12,Loyalty,2)*$F$1*MAX(BR731,0)</f>
        <v>18.557001321003963</v>
      </c>
      <c r="BQ732" s="75">
        <f>PARAM!$C$26+MAX($G$19-CHOOSE(PARAM!$B$44,MAX(0,BR731*$F$1),0),0)*RATES!$L708/12+$H$19*(PARAM!$D$51/12)*RATES!$N708/100</f>
        <v>638.29166666666674</v>
      </c>
      <c r="BR732" s="16">
        <f t="shared" ref="BR732:BR795" si="515">IF(BR731&gt;0,BR731*$F$1,BR731)+BP732-BQ732</f>
        <v>-75094.05542624119</v>
      </c>
      <c r="BS732" s="15">
        <f t="shared" si="490"/>
        <v>22.170849845882874</v>
      </c>
      <c r="BT732" s="75">
        <f>BS732*(1-PARAM!$C$27)*$I$20+(MOD($B732,60)=PARAM!$B$56)*($B732&gt;(60-PARAM!$B$56))*HLOOKUP(($B732+PARAM!$B$56)/12,Loyalty,2)*$F$1*MAX(BV731,0)</f>
        <v>18.557001321003963</v>
      </c>
      <c r="BU732" s="75">
        <f>PARAM!$C$26+MAX($G$20-CHOOSE(PARAM!$B$44,MAX(0,BV731*$F$1),0),0)*RATES!$L708/12+$H$20*(PARAM!$D$51/12)*RATES!$N708/100</f>
        <v>638.29166666666674</v>
      </c>
      <c r="BV732" s="16">
        <f t="shared" ref="BV732:BV795" si="516">IF(BV731&gt;0,BV731*$F$1,BV731)+BT732-BU732</f>
        <v>-75094.05542624119</v>
      </c>
      <c r="BW732" s="15">
        <f t="shared" si="491"/>
        <v>22.170849845882874</v>
      </c>
      <c r="BX732" s="75">
        <f>BW732*(1-PARAM!$C$27)*$I$21+(MOD($B732,60)=PARAM!$B$56)*($B732&gt;(60-PARAM!$B$56))*HLOOKUP(($B732+PARAM!$B$56)/12,Loyalty,2)*$F$1*MAX(BZ731,0)</f>
        <v>18.557001321003963</v>
      </c>
      <c r="BY732" s="75">
        <f>PARAM!$C$26+MAX($G$21-CHOOSE(PARAM!$B$44,MAX(0,BZ731*$F$1),0),0)*RATES!$L708/12+$H$21*(PARAM!$D$51/12)*RATES!$N708/100</f>
        <v>638.29166666666674</v>
      </c>
      <c r="BZ732" s="16">
        <f t="shared" ref="BZ732:BZ795" si="517">IF(BZ731&gt;0,BZ731*$F$1,BZ731)+BX732-BY732</f>
        <v>-75094.05542624119</v>
      </c>
      <c r="CA732" s="15">
        <f t="shared" si="492"/>
        <v>22.170849845882874</v>
      </c>
      <c r="CB732" s="75">
        <f>CA732*(1-PARAM!$C$27)*$I$22+(MOD($B732,60)=PARAM!$B$56)*($B732&gt;(60-PARAM!$B$56))*HLOOKUP(($B732+PARAM!$B$56)/12,Loyalty,2)*$F$1*MAX(CD731,0)</f>
        <v>18.557001321003963</v>
      </c>
      <c r="CC732" s="75">
        <f>PARAM!$C$26+MAX($G$22-CHOOSE(PARAM!$B$44,MAX(0,CD731*$F$1),0),0)*RATES!$L708/12+$H$22*(PARAM!$D$51/12)*RATES!$N708/100</f>
        <v>638.29166666666674</v>
      </c>
      <c r="CD732" s="16">
        <f t="shared" ref="CD732:CD795" si="518">IF(CD731&gt;0,CD731*$F$1,CD731)+CB732-CC732</f>
        <v>-75094.05542624119</v>
      </c>
      <c r="CE732" s="33">
        <f>IF(0=MOD(B732,12/PARAM!$D$51),1,0)</f>
        <v>1</v>
      </c>
      <c r="CF732" s="15">
        <f t="shared" si="493"/>
        <v>0</v>
      </c>
      <c r="CG732" s="75">
        <f>CF732*(1-PARAM!$C$27)*$R$3+(MOD($B732/12,5)=0)*($B732&gt;60)*HLOOKUP($B732/12,Loyalty,2)*$F$1*MAX(CI731,0)</f>
        <v>0</v>
      </c>
      <c r="CH732" s="75">
        <f>PARAM!$C$26+MAX($P$3-CHOOSE(PARAM!$B$44,MAX(0,CI731*$F$1),0),0)*RATES!$L708/12+$Q$3*(PARAM!$D$51/12)*RATES!$N708/100</f>
        <v>638.29166666666674</v>
      </c>
      <c r="CI732" s="16">
        <f>IF(CI731&gt;0,CI731*PARAM!$C$53,CI731)+CG732-CH732</f>
        <v>-88057.166666666861</v>
      </c>
      <c r="CJ732" s="15">
        <f t="shared" ref="CJ732:CJ795" si="519">$Q$4*CE732</f>
        <v>0</v>
      </c>
      <c r="CK732" s="75">
        <f>CJ732*(1-PARAM!$C$27)*$R$4+(MOD($B732/12,5)=0)*($B732&gt;60)*HLOOKUP($B732/12,Loyalty,2)*$F$1*MAX(CM731,0)</f>
        <v>0</v>
      </c>
      <c r="CL732" s="75">
        <f>PARAM!$C$26+MAX($P$4-CHOOSE(PARAM!$B$44,MAX(0,CM731*$F$1),0),0)*RATES!$L708/12+$Q$4*(PARAM!$D$51/12)*RATES!$N708/100</f>
        <v>638.29166666666674</v>
      </c>
      <c r="CM732" s="16">
        <f>IF(CM731&gt;0,CM731*PARAM!$C$53,CM731)+CK732-CL732</f>
        <v>-88057.166666666861</v>
      </c>
      <c r="CO732" s="176"/>
    </row>
    <row r="733" spans="1:93" x14ac:dyDescent="0.2">
      <c r="A733" t="b">
        <f t="shared" si="494"/>
        <v>0</v>
      </c>
      <c r="B733" s="33">
        <v>706</v>
      </c>
      <c r="C733" s="15">
        <f t="shared" si="495"/>
        <v>20.081305947392778</v>
      </c>
      <c r="D733" s="75">
        <f>C733*(1-PARAM!$C$27)*$I$3+(MOD($B733,60)=PARAM!$B$56)*($B733&gt;(60-PARAM!$B$56))*HLOOKUP(($B733+PARAM!$B$56)/12,Loyalty,2)*$F$1*MAX(F732,0)</f>
        <v>16.808053077967756</v>
      </c>
      <c r="E733" s="75">
        <f>PARAM!$C$26+MAX($G$3-CHOOSE(PARAM!$B$44,MAX(0,F732*$F$1),0),0)*RATES!$L709/12+$H$3*(PARAM!$D$51/12)*RATES!$N709/100</f>
        <v>638.29166666666674</v>
      </c>
      <c r="F733" s="16">
        <f t="shared" si="496"/>
        <v>-76985.398051691824</v>
      </c>
      <c r="G733" s="15">
        <f t="shared" si="497"/>
        <v>22.035289406060361</v>
      </c>
      <c r="H733" s="75">
        <f>G733*(1-PARAM!$C$27)*$I$4+(MOD($B733,60)=PARAM!$B$56)*($B733&gt;(60-PARAM!$B$56))*HLOOKUP(($B733+PARAM!$B$56)/12,Loyalty,2)*$F$1*MAX(J732,0)</f>
        <v>18.443537232872522</v>
      </c>
      <c r="I733" s="75">
        <f>PARAM!$C$26+MAX($G$4-CHOOSE(PARAM!$B$44,MAX(0,J732*$F$1),0),0)*RATES!$L709/12+$H$4*(PARAM!$D$51/12)*RATES!$N709/100</f>
        <v>638.29166666666674</v>
      </c>
      <c r="J733" s="16">
        <f t="shared" si="498"/>
        <v>-75796.913274207298</v>
      </c>
      <c r="K733" s="15">
        <f t="shared" si="499"/>
        <v>22.170849845882874</v>
      </c>
      <c r="L733" s="75">
        <f>K733*(1-PARAM!$C$27)*$I$5+(MOD($B733,60)=PARAM!$B$56)*($B733&gt;(60-PARAM!$B$56))*HLOOKUP(($B733+PARAM!$B$56)/12,Loyalty,2)*$F$1*MAX(N732,0)</f>
        <v>18.557001321003963</v>
      </c>
      <c r="M733" s="75">
        <f>PARAM!$C$26+MAX($G$5-CHOOSE(PARAM!$B$44,MAX(0,N732*$F$1),0),0)*RATES!$L709/12+$H$5*(PARAM!$D$51/12)*RATES!$N709/100</f>
        <v>638.29166666666674</v>
      </c>
      <c r="N733" s="16">
        <f t="shared" si="500"/>
        <v>-75713.790091586852</v>
      </c>
      <c r="O733" s="15">
        <f t="shared" si="501"/>
        <v>22.170849845882874</v>
      </c>
      <c r="P733" s="75">
        <f>O733*(1-PARAM!$C$27)*$I$6+(MOD($B733,60)=PARAM!$B$56)*($B733&gt;(60-PARAM!$B$56))*HLOOKUP(($B733+PARAM!$B$56)/12,Loyalty,2)*$F$1*MAX(R732,0)</f>
        <v>18.557001321003963</v>
      </c>
      <c r="Q733" s="75">
        <f>PARAM!$C$26+MAX($G$6-CHOOSE(PARAM!$B$44,MAX(0,R732*$F$1),0),0)*RATES!$L709/12+$H$6*(PARAM!$D$51/12)*RATES!$N709/100</f>
        <v>638.29166666666674</v>
      </c>
      <c r="R733" s="16">
        <f t="shared" si="502"/>
        <v>-75713.790091586852</v>
      </c>
      <c r="S733" s="15">
        <f t="shared" si="477"/>
        <v>22.170849845882874</v>
      </c>
      <c r="T733" s="75">
        <f>S733*(1-PARAM!$C$27)*$I$7+(MOD($B733,60)=PARAM!$B$56)*($B733&gt;(60-PARAM!$B$56))*HLOOKUP(($B733+PARAM!$B$56)/12,Loyalty,2)*$F$1*MAX(V732,0)</f>
        <v>18.557001321003963</v>
      </c>
      <c r="U733" s="75">
        <f>PARAM!$C$26+MAX($G$7-CHOOSE(PARAM!$B$44,MAX(0,V732*$F$1),0),0)*RATES!$L709/12+$H$7*(PARAM!$D$51/12)*RATES!$N709/100</f>
        <v>638.29166666666674</v>
      </c>
      <c r="V733" s="16">
        <f t="shared" si="503"/>
        <v>-75713.790091586852</v>
      </c>
      <c r="W733" s="15">
        <f t="shared" si="478"/>
        <v>22.170849845882874</v>
      </c>
      <c r="X733" s="75">
        <f>W733*(1-PARAM!$C$27)*$I$8+(MOD($B733,60)=PARAM!$B$56)*($B733&gt;(60-PARAM!$B$56))*HLOOKUP(($B733+PARAM!$B$56)/12,Loyalty,2)*$F$1*MAX(Z732,0)</f>
        <v>18.557001321003963</v>
      </c>
      <c r="Y733" s="75">
        <f>PARAM!$C$26+MAX($G$8-CHOOSE(PARAM!$B$44,MAX(0,Z732*$F$1),0),0)*RATES!$L709/12+$H$8*(PARAM!$D$51/12)*RATES!$N709/100</f>
        <v>638.29166666666674</v>
      </c>
      <c r="Z733" s="16">
        <f t="shared" si="504"/>
        <v>-75713.790091586852</v>
      </c>
      <c r="AA733" s="15">
        <f t="shared" si="479"/>
        <v>22.170849845882874</v>
      </c>
      <c r="AB733" s="75">
        <f>AA733*(1-PARAM!$C$27)*$I$9+(MOD($B733,60)=PARAM!$B$56)*($B733&gt;(60-PARAM!$B$56))*HLOOKUP(($B733+PARAM!$B$56)/12,Loyalty,2)*$F$1*MAX(AD732,0)</f>
        <v>18.557001321003963</v>
      </c>
      <c r="AC733" s="75">
        <f>PARAM!$C$26+MAX($G$9-CHOOSE(PARAM!$B$44,MAX(0,AD732*$F$1),0),0)*RATES!$L709/12+$H$9*(PARAM!$D$51/12)*RATES!$N709/100</f>
        <v>638.29166666666674</v>
      </c>
      <c r="AD733" s="16">
        <f t="shared" si="505"/>
        <v>-75713.790091586852</v>
      </c>
      <c r="AE733" s="15">
        <f t="shared" si="480"/>
        <v>22.170849845882874</v>
      </c>
      <c r="AF733" s="75">
        <f>AE733*(1-PARAM!$C$27)*$I$10+(MOD($B733,60)=PARAM!$B$56)*($B733&gt;(60-PARAM!$B$56))*HLOOKUP(($B733+PARAM!$B$56)/12,Loyalty,2)*$F$1*MAX(AH732,0)</f>
        <v>18.557001321003963</v>
      </c>
      <c r="AG733" s="75">
        <f>PARAM!$C$26+MAX($G$10-CHOOSE(PARAM!$B$44,MAX(0,AH732*$F$1),0),0)*RATES!$L709/12+$H$10*(PARAM!$D$51/12)*RATES!$N709/100</f>
        <v>638.29166666666674</v>
      </c>
      <c r="AH733" s="16">
        <f t="shared" si="506"/>
        <v>-75713.790091586852</v>
      </c>
      <c r="AI733" s="15">
        <f t="shared" si="481"/>
        <v>22.170849845882874</v>
      </c>
      <c r="AJ733" s="75">
        <f>AI733*(1-PARAM!$C$27)*$I$11+(MOD($B733,60)=PARAM!$B$56)*($B733&gt;(60-PARAM!$B$56))*HLOOKUP(($B733+PARAM!$B$56)/12,Loyalty,2)*$F$1*MAX(AL732,0)</f>
        <v>18.557001321003963</v>
      </c>
      <c r="AK733" s="75">
        <f>PARAM!$C$26+MAX($G$11-CHOOSE(PARAM!$B$44,MAX(0,AL732*$F$1),0),0)*RATES!$L709/12+$H$11*(PARAM!$D$51/12)*RATES!$N709/100</f>
        <v>638.29166666666674</v>
      </c>
      <c r="AL733" s="16">
        <f t="shared" si="507"/>
        <v>-75713.790091586852</v>
      </c>
      <c r="AM733" s="15">
        <f t="shared" si="482"/>
        <v>22.170849845882874</v>
      </c>
      <c r="AN733" s="75">
        <f>AM733*(1-PARAM!$C$27)*$I$12+(MOD($B733,60)=PARAM!$B$56)*($B733&gt;(60-PARAM!$B$56))*HLOOKUP(($B733+PARAM!$B$56)/12,Loyalty,2)*$F$1*MAX(AP732,0)</f>
        <v>18.557001321003963</v>
      </c>
      <c r="AO733" s="75">
        <f>PARAM!$C$26+MAX($G$12-CHOOSE(PARAM!$B$44,MAX(0,AP732*$F$1),0),0)*RATES!$L709/12+$H$12*(PARAM!$D$51/12)*RATES!$N709/100</f>
        <v>638.29166666666674</v>
      </c>
      <c r="AP733" s="16">
        <f t="shared" si="508"/>
        <v>-75713.790091586852</v>
      </c>
      <c r="AQ733" s="15">
        <f t="shared" si="483"/>
        <v>22.170849845882874</v>
      </c>
      <c r="AR733" s="75">
        <f>AQ733*(1-PARAM!$C$27)*$I$13+(MOD($B733,60)=PARAM!$B$56)*($B733&gt;(60-PARAM!$B$56))*HLOOKUP(($B733+PARAM!$B$56)/12,Loyalty,2)*$F$1*MAX(AT732,0)</f>
        <v>18.557001321003963</v>
      </c>
      <c r="AS733" s="75">
        <f>PARAM!$C$26+MAX($G$13-CHOOSE(PARAM!$B$44,MAX(0,AT732*$F$1),0),0)*RATES!$L709/12+$H$13*(PARAM!$D$51/12)*RATES!$N709/100</f>
        <v>638.29166666666674</v>
      </c>
      <c r="AT733" s="16">
        <f t="shared" si="509"/>
        <v>-75713.790091586852</v>
      </c>
      <c r="AU733" s="15">
        <f t="shared" si="484"/>
        <v>22.170849845882874</v>
      </c>
      <c r="AV733" s="75">
        <f>AU733*(1-PARAM!$C$27)*$I$14+(MOD($B733,60)=PARAM!$B$56)*($B733&gt;(60-PARAM!$B$56))*HLOOKUP(($B733+PARAM!$B$56)/12,Loyalty,2)*$F$1*MAX(AX732,0)</f>
        <v>18.557001321003963</v>
      </c>
      <c r="AW733" s="75">
        <f>PARAM!$C$26+MAX($G$14-CHOOSE(PARAM!$B$44,MAX(0,AX732*$F$1),0),0)*RATES!$L709/12+$H$14*(PARAM!$D$51/12)*RATES!$N709/100</f>
        <v>638.29166666666674</v>
      </c>
      <c r="AX733" s="16">
        <f t="shared" si="510"/>
        <v>-75713.790091586852</v>
      </c>
      <c r="AY733" s="15">
        <f t="shared" si="485"/>
        <v>22.170849845882874</v>
      </c>
      <c r="AZ733" s="75">
        <f>AY733*(1-PARAM!$C$27)*$I$15+(MOD($B733,60)=PARAM!$B$56)*($B733&gt;(60-PARAM!$B$56))*HLOOKUP(($B733+PARAM!$B$56)/12,Loyalty,2)*$F$1*MAX(BB732,0)</f>
        <v>18.557001321003963</v>
      </c>
      <c r="BA733" s="75">
        <f>PARAM!$C$26+MAX($G$15-CHOOSE(PARAM!$B$44,MAX(0,BB732*$F$1),0),0)*RATES!$L709/12+$H$15*(PARAM!$D$51/12)*RATES!$N709/100</f>
        <v>638.29166666666674</v>
      </c>
      <c r="BB733" s="16">
        <f t="shared" si="511"/>
        <v>-75713.790091586852</v>
      </c>
      <c r="BC733" s="15">
        <f t="shared" si="486"/>
        <v>22.170849845882874</v>
      </c>
      <c r="BD733" s="75">
        <f>BC733*(1-PARAM!$C$27)*$I$16+(MOD($B733,60)=PARAM!$B$56)*($B733&gt;(60-PARAM!$B$56))*HLOOKUP(($B733+PARAM!$B$56)/12,Loyalty,2)*$F$1*MAX(BF732,0)</f>
        <v>18.557001321003963</v>
      </c>
      <c r="BE733" s="75">
        <f>PARAM!$C$26+MAX($G$16-CHOOSE(PARAM!$B$44,MAX(0,BF732*$F$1),0),0)*RATES!$L709/12+$H$16*(PARAM!$D$51/12)*RATES!$N709/100</f>
        <v>638.29166666666674</v>
      </c>
      <c r="BF733" s="16">
        <f t="shared" si="512"/>
        <v>-75713.790091586852</v>
      </c>
      <c r="BG733" s="15">
        <f t="shared" si="487"/>
        <v>22.170849845882874</v>
      </c>
      <c r="BH733" s="75">
        <f>BG733*(1-PARAM!$C$27)*$I$17+(MOD($B733,60)=PARAM!$B$56)*($B733&gt;(60-PARAM!$B$56))*HLOOKUP(($B733+PARAM!$B$56)/12,Loyalty,2)*$F$1*MAX(BJ732,0)</f>
        <v>18.557001321003963</v>
      </c>
      <c r="BI733" s="75">
        <f>PARAM!$C$26+MAX($G$17-CHOOSE(PARAM!$B$44,MAX(0,BJ732*$F$1),0),0)*RATES!$L709/12+$H$17*(PARAM!$D$51/12)*RATES!$N709/100</f>
        <v>638.29166666666674</v>
      </c>
      <c r="BJ733" s="16">
        <f t="shared" si="513"/>
        <v>-75713.790091586852</v>
      </c>
      <c r="BK733" s="15">
        <f t="shared" si="488"/>
        <v>22.170849845882874</v>
      </c>
      <c r="BL733" s="75">
        <f>BK733*(1-PARAM!$C$27)*$I$18+(MOD($B733,60)=PARAM!$B$56)*($B733&gt;(60-PARAM!$B$56))*HLOOKUP(($B733+PARAM!$B$56)/12,Loyalty,2)*$F$1*MAX(BN732,0)</f>
        <v>18.557001321003963</v>
      </c>
      <c r="BM733" s="75">
        <f>PARAM!$C$26+MAX($G$18-CHOOSE(PARAM!$B$44,MAX(0,BN732*$F$1),0),0)*RATES!$L709/12+$H$18*(PARAM!$D$51/12)*RATES!$N709/100</f>
        <v>638.29166666666674</v>
      </c>
      <c r="BN733" s="16">
        <f t="shared" si="514"/>
        <v>-75713.790091586852</v>
      </c>
      <c r="BO733" s="15">
        <f t="shared" si="489"/>
        <v>22.170849845882874</v>
      </c>
      <c r="BP733" s="75">
        <f>BO733*(1-PARAM!$C$27)*$I$19+(MOD($B733,60)=PARAM!$B$56)*($B733&gt;(60-PARAM!$B$56))*HLOOKUP(($B733+PARAM!$B$56)/12,Loyalty,2)*$F$1*MAX(BR732,0)</f>
        <v>18.557001321003963</v>
      </c>
      <c r="BQ733" s="75">
        <f>PARAM!$C$26+MAX($G$19-CHOOSE(PARAM!$B$44,MAX(0,BR732*$F$1),0),0)*RATES!$L709/12+$H$19*(PARAM!$D$51/12)*RATES!$N709/100</f>
        <v>638.29166666666674</v>
      </c>
      <c r="BR733" s="16">
        <f t="shared" si="515"/>
        <v>-75713.790091586852</v>
      </c>
      <c r="BS733" s="15">
        <f t="shared" si="490"/>
        <v>22.170849845882874</v>
      </c>
      <c r="BT733" s="75">
        <f>BS733*(1-PARAM!$C$27)*$I$20+(MOD($B733,60)=PARAM!$B$56)*($B733&gt;(60-PARAM!$B$56))*HLOOKUP(($B733+PARAM!$B$56)/12,Loyalty,2)*$F$1*MAX(BV732,0)</f>
        <v>18.557001321003963</v>
      </c>
      <c r="BU733" s="75">
        <f>PARAM!$C$26+MAX($G$20-CHOOSE(PARAM!$B$44,MAX(0,BV732*$F$1),0),0)*RATES!$L709/12+$H$20*(PARAM!$D$51/12)*RATES!$N709/100</f>
        <v>638.29166666666674</v>
      </c>
      <c r="BV733" s="16">
        <f t="shared" si="516"/>
        <v>-75713.790091586852</v>
      </c>
      <c r="BW733" s="15">
        <f t="shared" si="491"/>
        <v>22.170849845882874</v>
      </c>
      <c r="BX733" s="75">
        <f>BW733*(1-PARAM!$C$27)*$I$21+(MOD($B733,60)=PARAM!$B$56)*($B733&gt;(60-PARAM!$B$56))*HLOOKUP(($B733+PARAM!$B$56)/12,Loyalty,2)*$F$1*MAX(BZ732,0)</f>
        <v>18.557001321003963</v>
      </c>
      <c r="BY733" s="75">
        <f>PARAM!$C$26+MAX($G$21-CHOOSE(PARAM!$B$44,MAX(0,BZ732*$F$1),0),0)*RATES!$L709/12+$H$21*(PARAM!$D$51/12)*RATES!$N709/100</f>
        <v>638.29166666666674</v>
      </c>
      <c r="BZ733" s="16">
        <f t="shared" si="517"/>
        <v>-75713.790091586852</v>
      </c>
      <c r="CA733" s="15">
        <f t="shared" si="492"/>
        <v>22.170849845882874</v>
      </c>
      <c r="CB733" s="75">
        <f>CA733*(1-PARAM!$C$27)*$I$22+(MOD($B733,60)=PARAM!$B$56)*($B733&gt;(60-PARAM!$B$56))*HLOOKUP(($B733+PARAM!$B$56)/12,Loyalty,2)*$F$1*MAX(CD732,0)</f>
        <v>18.557001321003963</v>
      </c>
      <c r="CC733" s="75">
        <f>PARAM!$C$26+MAX($G$22-CHOOSE(PARAM!$B$44,MAX(0,CD732*$F$1),0),0)*RATES!$L709/12+$H$22*(PARAM!$D$51/12)*RATES!$N709/100</f>
        <v>638.29166666666674</v>
      </c>
      <c r="CD733" s="16">
        <f t="shared" si="518"/>
        <v>-75713.790091586852</v>
      </c>
      <c r="CE733" s="33">
        <f>IF(0=MOD(B733,12/PARAM!$D$51),1,0)</f>
        <v>1</v>
      </c>
      <c r="CF733" s="15">
        <f t="shared" si="493"/>
        <v>0</v>
      </c>
      <c r="CG733" s="75">
        <f>CF733*(1-PARAM!$C$27)*$R$3+(MOD($B733/12,5)=0)*($B733&gt;60)*HLOOKUP($B733/12,Loyalty,2)*$F$1*MAX(CI732,0)</f>
        <v>0</v>
      </c>
      <c r="CH733" s="75">
        <f>PARAM!$C$26+MAX($P$3-CHOOSE(PARAM!$B$44,MAX(0,CI732*$F$1),0),0)*RATES!$L709/12+$Q$3*(PARAM!$D$51/12)*RATES!$N709/100</f>
        <v>638.29166666666674</v>
      </c>
      <c r="CI733" s="16">
        <f>IF(CI732&gt;0,CI732*PARAM!$C$53,CI732)+CG733-CH733</f>
        <v>-88695.458333333532</v>
      </c>
      <c r="CJ733" s="15">
        <f t="shared" si="519"/>
        <v>0</v>
      </c>
      <c r="CK733" s="75">
        <f>CJ733*(1-PARAM!$C$27)*$R$4+(MOD($B733/12,5)=0)*($B733&gt;60)*HLOOKUP($B733/12,Loyalty,2)*$F$1*MAX(CM732,0)</f>
        <v>0</v>
      </c>
      <c r="CL733" s="75">
        <f>PARAM!$C$26+MAX($P$4-CHOOSE(PARAM!$B$44,MAX(0,CM732*$F$1),0),0)*RATES!$L709/12+$Q$4*(PARAM!$D$51/12)*RATES!$N709/100</f>
        <v>638.29166666666674</v>
      </c>
      <c r="CM733" s="16">
        <f>IF(CM732&gt;0,CM732*PARAM!$C$53,CM732)+CK733-CL733</f>
        <v>-88695.458333333532</v>
      </c>
      <c r="CO733" s="176"/>
    </row>
    <row r="734" spans="1:93" x14ac:dyDescent="0.2">
      <c r="A734" t="b">
        <f t="shared" si="494"/>
        <v>0</v>
      </c>
      <c r="B734" s="33">
        <v>707</v>
      </c>
      <c r="C734" s="15">
        <f t="shared" si="495"/>
        <v>20.081305947392778</v>
      </c>
      <c r="D734" s="75">
        <f>C734*(1-PARAM!$C$27)*$I$3+(MOD($B734,60)=PARAM!$B$56)*($B734&gt;(60-PARAM!$B$56))*HLOOKUP(($B734+PARAM!$B$56)/12,Loyalty,2)*$F$1*MAX(F733,0)</f>
        <v>16.808053077967756</v>
      </c>
      <c r="E734" s="75">
        <f>PARAM!$C$26+MAX($G$3-CHOOSE(PARAM!$B$44,MAX(0,F733*$F$1),0),0)*RATES!$L710/12+$H$3*(PARAM!$D$51/12)*RATES!$N710/100</f>
        <v>638.29166666666674</v>
      </c>
      <c r="F734" s="16">
        <f t="shared" si="496"/>
        <v>-77606.881665280525</v>
      </c>
      <c r="G734" s="15">
        <f t="shared" si="497"/>
        <v>22.035289406060361</v>
      </c>
      <c r="H734" s="75">
        <f>G734*(1-PARAM!$C$27)*$I$4+(MOD($B734,60)=PARAM!$B$56)*($B734&gt;(60-PARAM!$B$56))*HLOOKUP(($B734+PARAM!$B$56)/12,Loyalty,2)*$F$1*MAX(J733,0)</f>
        <v>18.443537232872522</v>
      </c>
      <c r="I734" s="75">
        <f>PARAM!$C$26+MAX($G$4-CHOOSE(PARAM!$B$44,MAX(0,J733*$F$1),0),0)*RATES!$L710/12+$H$4*(PARAM!$D$51/12)*RATES!$N710/100</f>
        <v>638.29166666666674</v>
      </c>
      <c r="J734" s="16">
        <f t="shared" si="498"/>
        <v>-76416.761403641096</v>
      </c>
      <c r="K734" s="15">
        <f t="shared" si="499"/>
        <v>22.170849845882874</v>
      </c>
      <c r="L734" s="75">
        <f>K734*(1-PARAM!$C$27)*$I$5+(MOD($B734,60)=PARAM!$B$56)*($B734&gt;(60-PARAM!$B$56))*HLOOKUP(($B734+PARAM!$B$56)/12,Loyalty,2)*$F$1*MAX(N733,0)</f>
        <v>18.557001321003963</v>
      </c>
      <c r="M734" s="75">
        <f>PARAM!$C$26+MAX($G$5-CHOOSE(PARAM!$B$44,MAX(0,N733*$F$1),0),0)*RATES!$L710/12+$H$5*(PARAM!$D$51/12)*RATES!$N710/100</f>
        <v>638.29166666666674</v>
      </c>
      <c r="N734" s="16">
        <f t="shared" si="500"/>
        <v>-76333.524756932515</v>
      </c>
      <c r="O734" s="15">
        <f t="shared" si="501"/>
        <v>22.170849845882874</v>
      </c>
      <c r="P734" s="75">
        <f>O734*(1-PARAM!$C$27)*$I$6+(MOD($B734,60)=PARAM!$B$56)*($B734&gt;(60-PARAM!$B$56))*HLOOKUP(($B734+PARAM!$B$56)/12,Loyalty,2)*$F$1*MAX(R733,0)</f>
        <v>18.557001321003963</v>
      </c>
      <c r="Q734" s="75">
        <f>PARAM!$C$26+MAX($G$6-CHOOSE(PARAM!$B$44,MAX(0,R733*$F$1),0),0)*RATES!$L710/12+$H$6*(PARAM!$D$51/12)*RATES!$N710/100</f>
        <v>638.29166666666674</v>
      </c>
      <c r="R734" s="16">
        <f t="shared" si="502"/>
        <v>-76333.524756932515</v>
      </c>
      <c r="S734" s="15">
        <f t="shared" si="477"/>
        <v>22.170849845882874</v>
      </c>
      <c r="T734" s="75">
        <f>S734*(1-PARAM!$C$27)*$I$7+(MOD($B734,60)=PARAM!$B$56)*($B734&gt;(60-PARAM!$B$56))*HLOOKUP(($B734+PARAM!$B$56)/12,Loyalty,2)*$F$1*MAX(V733,0)</f>
        <v>18.557001321003963</v>
      </c>
      <c r="U734" s="75">
        <f>PARAM!$C$26+MAX($G$7-CHOOSE(PARAM!$B$44,MAX(0,V733*$F$1),0),0)*RATES!$L710/12+$H$7*(PARAM!$D$51/12)*RATES!$N710/100</f>
        <v>638.29166666666674</v>
      </c>
      <c r="V734" s="16">
        <f t="shared" si="503"/>
        <v>-76333.524756932515</v>
      </c>
      <c r="W734" s="15">
        <f t="shared" si="478"/>
        <v>22.170849845882874</v>
      </c>
      <c r="X734" s="75">
        <f>W734*(1-PARAM!$C$27)*$I$8+(MOD($B734,60)=PARAM!$B$56)*($B734&gt;(60-PARAM!$B$56))*HLOOKUP(($B734+PARAM!$B$56)/12,Loyalty,2)*$F$1*MAX(Z733,0)</f>
        <v>18.557001321003963</v>
      </c>
      <c r="Y734" s="75">
        <f>PARAM!$C$26+MAX($G$8-CHOOSE(PARAM!$B$44,MAX(0,Z733*$F$1),0),0)*RATES!$L710/12+$H$8*(PARAM!$D$51/12)*RATES!$N710/100</f>
        <v>638.29166666666674</v>
      </c>
      <c r="Z734" s="16">
        <f t="shared" si="504"/>
        <v>-76333.524756932515</v>
      </c>
      <c r="AA734" s="15">
        <f t="shared" si="479"/>
        <v>22.170849845882874</v>
      </c>
      <c r="AB734" s="75">
        <f>AA734*(1-PARAM!$C$27)*$I$9+(MOD($B734,60)=PARAM!$B$56)*($B734&gt;(60-PARAM!$B$56))*HLOOKUP(($B734+PARAM!$B$56)/12,Loyalty,2)*$F$1*MAX(AD733,0)</f>
        <v>18.557001321003963</v>
      </c>
      <c r="AC734" s="75">
        <f>PARAM!$C$26+MAX($G$9-CHOOSE(PARAM!$B$44,MAX(0,AD733*$F$1),0),0)*RATES!$L710/12+$H$9*(PARAM!$D$51/12)*RATES!$N710/100</f>
        <v>638.29166666666674</v>
      </c>
      <c r="AD734" s="16">
        <f t="shared" si="505"/>
        <v>-76333.524756932515</v>
      </c>
      <c r="AE734" s="15">
        <f t="shared" si="480"/>
        <v>22.170849845882874</v>
      </c>
      <c r="AF734" s="75">
        <f>AE734*(1-PARAM!$C$27)*$I$10+(MOD($B734,60)=PARAM!$B$56)*($B734&gt;(60-PARAM!$B$56))*HLOOKUP(($B734+PARAM!$B$56)/12,Loyalty,2)*$F$1*MAX(AH733,0)</f>
        <v>18.557001321003963</v>
      </c>
      <c r="AG734" s="75">
        <f>PARAM!$C$26+MAX($G$10-CHOOSE(PARAM!$B$44,MAX(0,AH733*$F$1),0),0)*RATES!$L710/12+$H$10*(PARAM!$D$51/12)*RATES!$N710/100</f>
        <v>638.29166666666674</v>
      </c>
      <c r="AH734" s="16">
        <f t="shared" si="506"/>
        <v>-76333.524756932515</v>
      </c>
      <c r="AI734" s="15">
        <f t="shared" si="481"/>
        <v>22.170849845882874</v>
      </c>
      <c r="AJ734" s="75">
        <f>AI734*(1-PARAM!$C$27)*$I$11+(MOD($B734,60)=PARAM!$B$56)*($B734&gt;(60-PARAM!$B$56))*HLOOKUP(($B734+PARAM!$B$56)/12,Loyalty,2)*$F$1*MAX(AL733,0)</f>
        <v>18.557001321003963</v>
      </c>
      <c r="AK734" s="75">
        <f>PARAM!$C$26+MAX($G$11-CHOOSE(PARAM!$B$44,MAX(0,AL733*$F$1),0),0)*RATES!$L710/12+$H$11*(PARAM!$D$51/12)*RATES!$N710/100</f>
        <v>638.29166666666674</v>
      </c>
      <c r="AL734" s="16">
        <f t="shared" si="507"/>
        <v>-76333.524756932515</v>
      </c>
      <c r="AM734" s="15">
        <f t="shared" si="482"/>
        <v>22.170849845882874</v>
      </c>
      <c r="AN734" s="75">
        <f>AM734*(1-PARAM!$C$27)*$I$12+(MOD($B734,60)=PARAM!$B$56)*($B734&gt;(60-PARAM!$B$56))*HLOOKUP(($B734+PARAM!$B$56)/12,Loyalty,2)*$F$1*MAX(AP733,0)</f>
        <v>18.557001321003963</v>
      </c>
      <c r="AO734" s="75">
        <f>PARAM!$C$26+MAX($G$12-CHOOSE(PARAM!$B$44,MAX(0,AP733*$F$1),0),0)*RATES!$L710/12+$H$12*(PARAM!$D$51/12)*RATES!$N710/100</f>
        <v>638.29166666666674</v>
      </c>
      <c r="AP734" s="16">
        <f t="shared" si="508"/>
        <v>-76333.524756932515</v>
      </c>
      <c r="AQ734" s="15">
        <f t="shared" si="483"/>
        <v>22.170849845882874</v>
      </c>
      <c r="AR734" s="75">
        <f>AQ734*(1-PARAM!$C$27)*$I$13+(MOD($B734,60)=PARAM!$B$56)*($B734&gt;(60-PARAM!$B$56))*HLOOKUP(($B734+PARAM!$B$56)/12,Loyalty,2)*$F$1*MAX(AT733,0)</f>
        <v>18.557001321003963</v>
      </c>
      <c r="AS734" s="75">
        <f>PARAM!$C$26+MAX($G$13-CHOOSE(PARAM!$B$44,MAX(0,AT733*$F$1),0),0)*RATES!$L710/12+$H$13*(PARAM!$D$51/12)*RATES!$N710/100</f>
        <v>638.29166666666674</v>
      </c>
      <c r="AT734" s="16">
        <f t="shared" si="509"/>
        <v>-76333.524756932515</v>
      </c>
      <c r="AU734" s="15">
        <f t="shared" si="484"/>
        <v>22.170849845882874</v>
      </c>
      <c r="AV734" s="75">
        <f>AU734*(1-PARAM!$C$27)*$I$14+(MOD($B734,60)=PARAM!$B$56)*($B734&gt;(60-PARAM!$B$56))*HLOOKUP(($B734+PARAM!$B$56)/12,Loyalty,2)*$F$1*MAX(AX733,0)</f>
        <v>18.557001321003963</v>
      </c>
      <c r="AW734" s="75">
        <f>PARAM!$C$26+MAX($G$14-CHOOSE(PARAM!$B$44,MAX(0,AX733*$F$1),0),0)*RATES!$L710/12+$H$14*(PARAM!$D$51/12)*RATES!$N710/100</f>
        <v>638.29166666666674</v>
      </c>
      <c r="AX734" s="16">
        <f t="shared" si="510"/>
        <v>-76333.524756932515</v>
      </c>
      <c r="AY734" s="15">
        <f t="shared" si="485"/>
        <v>22.170849845882874</v>
      </c>
      <c r="AZ734" s="75">
        <f>AY734*(1-PARAM!$C$27)*$I$15+(MOD($B734,60)=PARAM!$B$56)*($B734&gt;(60-PARAM!$B$56))*HLOOKUP(($B734+PARAM!$B$56)/12,Loyalty,2)*$F$1*MAX(BB733,0)</f>
        <v>18.557001321003963</v>
      </c>
      <c r="BA734" s="75">
        <f>PARAM!$C$26+MAX($G$15-CHOOSE(PARAM!$B$44,MAX(0,BB733*$F$1),0),0)*RATES!$L710/12+$H$15*(PARAM!$D$51/12)*RATES!$N710/100</f>
        <v>638.29166666666674</v>
      </c>
      <c r="BB734" s="16">
        <f t="shared" si="511"/>
        <v>-76333.524756932515</v>
      </c>
      <c r="BC734" s="15">
        <f t="shared" si="486"/>
        <v>22.170849845882874</v>
      </c>
      <c r="BD734" s="75">
        <f>BC734*(1-PARAM!$C$27)*$I$16+(MOD($B734,60)=PARAM!$B$56)*($B734&gt;(60-PARAM!$B$56))*HLOOKUP(($B734+PARAM!$B$56)/12,Loyalty,2)*$F$1*MAX(BF733,0)</f>
        <v>18.557001321003963</v>
      </c>
      <c r="BE734" s="75">
        <f>PARAM!$C$26+MAX($G$16-CHOOSE(PARAM!$B$44,MAX(0,BF733*$F$1),0),0)*RATES!$L710/12+$H$16*(PARAM!$D$51/12)*RATES!$N710/100</f>
        <v>638.29166666666674</v>
      </c>
      <c r="BF734" s="16">
        <f t="shared" si="512"/>
        <v>-76333.524756932515</v>
      </c>
      <c r="BG734" s="15">
        <f t="shared" si="487"/>
        <v>22.170849845882874</v>
      </c>
      <c r="BH734" s="75">
        <f>BG734*(1-PARAM!$C$27)*$I$17+(MOD($B734,60)=PARAM!$B$56)*($B734&gt;(60-PARAM!$B$56))*HLOOKUP(($B734+PARAM!$B$56)/12,Loyalty,2)*$F$1*MAX(BJ733,0)</f>
        <v>18.557001321003963</v>
      </c>
      <c r="BI734" s="75">
        <f>PARAM!$C$26+MAX($G$17-CHOOSE(PARAM!$B$44,MAX(0,BJ733*$F$1),0),0)*RATES!$L710/12+$H$17*(PARAM!$D$51/12)*RATES!$N710/100</f>
        <v>638.29166666666674</v>
      </c>
      <c r="BJ734" s="16">
        <f t="shared" si="513"/>
        <v>-76333.524756932515</v>
      </c>
      <c r="BK734" s="15">
        <f t="shared" si="488"/>
        <v>22.170849845882874</v>
      </c>
      <c r="BL734" s="75">
        <f>BK734*(1-PARAM!$C$27)*$I$18+(MOD($B734,60)=PARAM!$B$56)*($B734&gt;(60-PARAM!$B$56))*HLOOKUP(($B734+PARAM!$B$56)/12,Loyalty,2)*$F$1*MAX(BN733,0)</f>
        <v>18.557001321003963</v>
      </c>
      <c r="BM734" s="75">
        <f>PARAM!$C$26+MAX($G$18-CHOOSE(PARAM!$B$44,MAX(0,BN733*$F$1),0),0)*RATES!$L710/12+$H$18*(PARAM!$D$51/12)*RATES!$N710/100</f>
        <v>638.29166666666674</v>
      </c>
      <c r="BN734" s="16">
        <f t="shared" si="514"/>
        <v>-76333.524756932515</v>
      </c>
      <c r="BO734" s="15">
        <f t="shared" si="489"/>
        <v>22.170849845882874</v>
      </c>
      <c r="BP734" s="75">
        <f>BO734*(1-PARAM!$C$27)*$I$19+(MOD($B734,60)=PARAM!$B$56)*($B734&gt;(60-PARAM!$B$56))*HLOOKUP(($B734+PARAM!$B$56)/12,Loyalty,2)*$F$1*MAX(BR733,0)</f>
        <v>18.557001321003963</v>
      </c>
      <c r="BQ734" s="75">
        <f>PARAM!$C$26+MAX($G$19-CHOOSE(PARAM!$B$44,MAX(0,BR733*$F$1),0),0)*RATES!$L710/12+$H$19*(PARAM!$D$51/12)*RATES!$N710/100</f>
        <v>638.29166666666674</v>
      </c>
      <c r="BR734" s="16">
        <f t="shared" si="515"/>
        <v>-76333.524756932515</v>
      </c>
      <c r="BS734" s="15">
        <f t="shared" si="490"/>
        <v>22.170849845882874</v>
      </c>
      <c r="BT734" s="75">
        <f>BS734*(1-PARAM!$C$27)*$I$20+(MOD($B734,60)=PARAM!$B$56)*($B734&gt;(60-PARAM!$B$56))*HLOOKUP(($B734+PARAM!$B$56)/12,Loyalty,2)*$F$1*MAX(BV733,0)</f>
        <v>18.557001321003963</v>
      </c>
      <c r="BU734" s="75">
        <f>PARAM!$C$26+MAX($G$20-CHOOSE(PARAM!$B$44,MAX(0,BV733*$F$1),0),0)*RATES!$L710/12+$H$20*(PARAM!$D$51/12)*RATES!$N710/100</f>
        <v>638.29166666666674</v>
      </c>
      <c r="BV734" s="16">
        <f t="shared" si="516"/>
        <v>-76333.524756932515</v>
      </c>
      <c r="BW734" s="15">
        <f t="shared" si="491"/>
        <v>22.170849845882874</v>
      </c>
      <c r="BX734" s="75">
        <f>BW734*(1-PARAM!$C$27)*$I$21+(MOD($B734,60)=PARAM!$B$56)*($B734&gt;(60-PARAM!$B$56))*HLOOKUP(($B734+PARAM!$B$56)/12,Loyalty,2)*$F$1*MAX(BZ733,0)</f>
        <v>18.557001321003963</v>
      </c>
      <c r="BY734" s="75">
        <f>PARAM!$C$26+MAX($G$21-CHOOSE(PARAM!$B$44,MAX(0,BZ733*$F$1),0),0)*RATES!$L710/12+$H$21*(PARAM!$D$51/12)*RATES!$N710/100</f>
        <v>638.29166666666674</v>
      </c>
      <c r="BZ734" s="16">
        <f t="shared" si="517"/>
        <v>-76333.524756932515</v>
      </c>
      <c r="CA734" s="15">
        <f t="shared" si="492"/>
        <v>22.170849845882874</v>
      </c>
      <c r="CB734" s="75">
        <f>CA734*(1-PARAM!$C$27)*$I$22+(MOD($B734,60)=PARAM!$B$56)*($B734&gt;(60-PARAM!$B$56))*HLOOKUP(($B734+PARAM!$B$56)/12,Loyalty,2)*$F$1*MAX(CD733,0)</f>
        <v>18.557001321003963</v>
      </c>
      <c r="CC734" s="75">
        <f>PARAM!$C$26+MAX($G$22-CHOOSE(PARAM!$B$44,MAX(0,CD733*$F$1),0),0)*RATES!$L710/12+$H$22*(PARAM!$D$51/12)*RATES!$N710/100</f>
        <v>638.29166666666674</v>
      </c>
      <c r="CD734" s="16">
        <f t="shared" si="518"/>
        <v>-76333.524756932515</v>
      </c>
      <c r="CE734" s="33">
        <f>IF(0=MOD(B734,12/PARAM!$D$51),1,0)</f>
        <v>1</v>
      </c>
      <c r="CF734" s="15">
        <f t="shared" si="493"/>
        <v>0</v>
      </c>
      <c r="CG734" s="75">
        <f>CF734*(1-PARAM!$C$27)*$R$3+(MOD($B734/12,5)=0)*($B734&gt;60)*HLOOKUP($B734/12,Loyalty,2)*$F$1*MAX(CI733,0)</f>
        <v>0</v>
      </c>
      <c r="CH734" s="75">
        <f>PARAM!$C$26+MAX($P$3-CHOOSE(PARAM!$B$44,MAX(0,CI733*$F$1),0),0)*RATES!$L710/12+$Q$3*(PARAM!$D$51/12)*RATES!$N710/100</f>
        <v>638.29166666666674</v>
      </c>
      <c r="CI734" s="16">
        <f>IF(CI733&gt;0,CI733*PARAM!$C$53,CI733)+CG734-CH734</f>
        <v>-89333.750000000204</v>
      </c>
      <c r="CJ734" s="15">
        <f t="shared" si="519"/>
        <v>0</v>
      </c>
      <c r="CK734" s="75">
        <f>CJ734*(1-PARAM!$C$27)*$R$4+(MOD($B734/12,5)=0)*($B734&gt;60)*HLOOKUP($B734/12,Loyalty,2)*$F$1*MAX(CM733,0)</f>
        <v>0</v>
      </c>
      <c r="CL734" s="75">
        <f>PARAM!$C$26+MAX($P$4-CHOOSE(PARAM!$B$44,MAX(0,CM733*$F$1),0),0)*RATES!$L710/12+$Q$4*(PARAM!$D$51/12)*RATES!$N710/100</f>
        <v>638.29166666666674</v>
      </c>
      <c r="CM734" s="16">
        <f>IF(CM733&gt;0,CM733*PARAM!$C$53,CM733)+CK734-CL734</f>
        <v>-89333.750000000204</v>
      </c>
      <c r="CO734" s="176"/>
    </row>
    <row r="735" spans="1:93" x14ac:dyDescent="0.2">
      <c r="A735" t="b">
        <f t="shared" si="494"/>
        <v>0</v>
      </c>
      <c r="B735" s="33">
        <v>708</v>
      </c>
      <c r="C735" s="15">
        <f t="shared" si="495"/>
        <v>20.081305947392778</v>
      </c>
      <c r="D735" s="75">
        <f>C735*(1-PARAM!$C$27)*$I$3+(MOD($B735,60)=PARAM!$B$56)*($B735&gt;(60-PARAM!$B$56))*HLOOKUP(($B735+PARAM!$B$56)/12,Loyalty,2)*$F$1*MAX(F734,0)</f>
        <v>16.808053077967756</v>
      </c>
      <c r="E735" s="75">
        <f>PARAM!$C$26+MAX($G$3-CHOOSE(PARAM!$B$44,MAX(0,F734*$F$1),0),0)*RATES!$L711/12+$H$3*(PARAM!$D$51/12)*RATES!$N711/100</f>
        <v>638.29166666666674</v>
      </c>
      <c r="F735" s="16">
        <f t="shared" si="496"/>
        <v>-78228.365278869227</v>
      </c>
      <c r="G735" s="15">
        <f t="shared" si="497"/>
        <v>22.035289406060361</v>
      </c>
      <c r="H735" s="75">
        <f>G735*(1-PARAM!$C$27)*$I$4+(MOD($B735,60)=PARAM!$B$56)*($B735&gt;(60-PARAM!$B$56))*HLOOKUP(($B735+PARAM!$B$56)/12,Loyalty,2)*$F$1*MAX(J734,0)</f>
        <v>18.443537232872522</v>
      </c>
      <c r="I735" s="75">
        <f>PARAM!$C$26+MAX($G$4-CHOOSE(PARAM!$B$44,MAX(0,J734*$F$1),0),0)*RATES!$L711/12+$H$4*(PARAM!$D$51/12)*RATES!$N711/100</f>
        <v>638.29166666666674</v>
      </c>
      <c r="J735" s="16">
        <f t="shared" si="498"/>
        <v>-77036.609533074894</v>
      </c>
      <c r="K735" s="15">
        <f t="shared" si="499"/>
        <v>22.170849845882874</v>
      </c>
      <c r="L735" s="75">
        <f>K735*(1-PARAM!$C$27)*$I$5+(MOD($B735,60)=PARAM!$B$56)*($B735&gt;(60-PARAM!$B$56))*HLOOKUP(($B735+PARAM!$B$56)/12,Loyalty,2)*$F$1*MAX(N734,0)</f>
        <v>18.557001321003963</v>
      </c>
      <c r="M735" s="75">
        <f>PARAM!$C$26+MAX($G$5-CHOOSE(PARAM!$B$44,MAX(0,N734*$F$1),0),0)*RATES!$L711/12+$H$5*(PARAM!$D$51/12)*RATES!$N711/100</f>
        <v>638.29166666666674</v>
      </c>
      <c r="N735" s="16">
        <f t="shared" si="500"/>
        <v>-76953.259422278177</v>
      </c>
      <c r="O735" s="15">
        <f t="shared" si="501"/>
        <v>22.170849845882874</v>
      </c>
      <c r="P735" s="75">
        <f>O735*(1-PARAM!$C$27)*$I$6+(MOD($B735,60)=PARAM!$B$56)*($B735&gt;(60-PARAM!$B$56))*HLOOKUP(($B735+PARAM!$B$56)/12,Loyalty,2)*$F$1*MAX(R734,0)</f>
        <v>18.557001321003963</v>
      </c>
      <c r="Q735" s="75">
        <f>PARAM!$C$26+MAX($G$6-CHOOSE(PARAM!$B$44,MAX(0,R734*$F$1),0),0)*RATES!$L711/12+$H$6*(PARAM!$D$51/12)*RATES!$N711/100</f>
        <v>638.29166666666674</v>
      </c>
      <c r="R735" s="16">
        <f t="shared" si="502"/>
        <v>-76953.259422278177</v>
      </c>
      <c r="S735" s="15">
        <f t="shared" si="477"/>
        <v>22.170849845882874</v>
      </c>
      <c r="T735" s="75">
        <f>S735*(1-PARAM!$C$27)*$I$7+(MOD($B735,60)=PARAM!$B$56)*($B735&gt;(60-PARAM!$B$56))*HLOOKUP(($B735+PARAM!$B$56)/12,Loyalty,2)*$F$1*MAX(V734,0)</f>
        <v>18.557001321003963</v>
      </c>
      <c r="U735" s="75">
        <f>PARAM!$C$26+MAX($G$7-CHOOSE(PARAM!$B$44,MAX(0,V734*$F$1),0),0)*RATES!$L711/12+$H$7*(PARAM!$D$51/12)*RATES!$N711/100</f>
        <v>638.29166666666674</v>
      </c>
      <c r="V735" s="16">
        <f t="shared" si="503"/>
        <v>-76953.259422278177</v>
      </c>
      <c r="W735" s="15">
        <f t="shared" si="478"/>
        <v>22.170849845882874</v>
      </c>
      <c r="X735" s="75">
        <f>W735*(1-PARAM!$C$27)*$I$8+(MOD($B735,60)=PARAM!$B$56)*($B735&gt;(60-PARAM!$B$56))*HLOOKUP(($B735+PARAM!$B$56)/12,Loyalty,2)*$F$1*MAX(Z734,0)</f>
        <v>18.557001321003963</v>
      </c>
      <c r="Y735" s="75">
        <f>PARAM!$C$26+MAX($G$8-CHOOSE(PARAM!$B$44,MAX(0,Z734*$F$1),0),0)*RATES!$L711/12+$H$8*(PARAM!$D$51/12)*RATES!$N711/100</f>
        <v>638.29166666666674</v>
      </c>
      <c r="Z735" s="16">
        <f t="shared" si="504"/>
        <v>-76953.259422278177</v>
      </c>
      <c r="AA735" s="15">
        <f t="shared" si="479"/>
        <v>22.170849845882874</v>
      </c>
      <c r="AB735" s="75">
        <f>AA735*(1-PARAM!$C$27)*$I$9+(MOD($B735,60)=PARAM!$B$56)*($B735&gt;(60-PARAM!$B$56))*HLOOKUP(($B735+PARAM!$B$56)/12,Loyalty,2)*$F$1*MAX(AD734,0)</f>
        <v>18.557001321003963</v>
      </c>
      <c r="AC735" s="75">
        <f>PARAM!$C$26+MAX($G$9-CHOOSE(PARAM!$B$44,MAX(0,AD734*$F$1),0),0)*RATES!$L711/12+$H$9*(PARAM!$D$51/12)*RATES!$N711/100</f>
        <v>638.29166666666674</v>
      </c>
      <c r="AD735" s="16">
        <f t="shared" si="505"/>
        <v>-76953.259422278177</v>
      </c>
      <c r="AE735" s="15">
        <f t="shared" si="480"/>
        <v>22.170849845882874</v>
      </c>
      <c r="AF735" s="75">
        <f>AE735*(1-PARAM!$C$27)*$I$10+(MOD($B735,60)=PARAM!$B$56)*($B735&gt;(60-PARAM!$B$56))*HLOOKUP(($B735+PARAM!$B$56)/12,Loyalty,2)*$F$1*MAX(AH734,0)</f>
        <v>18.557001321003963</v>
      </c>
      <c r="AG735" s="75">
        <f>PARAM!$C$26+MAX($G$10-CHOOSE(PARAM!$B$44,MAX(0,AH734*$F$1),0),0)*RATES!$L711/12+$H$10*(PARAM!$D$51/12)*RATES!$N711/100</f>
        <v>638.29166666666674</v>
      </c>
      <c r="AH735" s="16">
        <f t="shared" si="506"/>
        <v>-76953.259422278177</v>
      </c>
      <c r="AI735" s="15">
        <f t="shared" si="481"/>
        <v>22.170849845882874</v>
      </c>
      <c r="AJ735" s="75">
        <f>AI735*(1-PARAM!$C$27)*$I$11+(MOD($B735,60)=PARAM!$B$56)*($B735&gt;(60-PARAM!$B$56))*HLOOKUP(($B735+PARAM!$B$56)/12,Loyalty,2)*$F$1*MAX(AL734,0)</f>
        <v>18.557001321003963</v>
      </c>
      <c r="AK735" s="75">
        <f>PARAM!$C$26+MAX($G$11-CHOOSE(PARAM!$B$44,MAX(0,AL734*$F$1),0),0)*RATES!$L711/12+$H$11*(PARAM!$D$51/12)*RATES!$N711/100</f>
        <v>638.29166666666674</v>
      </c>
      <c r="AL735" s="16">
        <f t="shared" si="507"/>
        <v>-76953.259422278177</v>
      </c>
      <c r="AM735" s="15">
        <f t="shared" si="482"/>
        <v>22.170849845882874</v>
      </c>
      <c r="AN735" s="75">
        <f>AM735*(1-PARAM!$C$27)*$I$12+(MOD($B735,60)=PARAM!$B$56)*($B735&gt;(60-PARAM!$B$56))*HLOOKUP(($B735+PARAM!$B$56)/12,Loyalty,2)*$F$1*MAX(AP734,0)</f>
        <v>18.557001321003963</v>
      </c>
      <c r="AO735" s="75">
        <f>PARAM!$C$26+MAX($G$12-CHOOSE(PARAM!$B$44,MAX(0,AP734*$F$1),0),0)*RATES!$L711/12+$H$12*(PARAM!$D$51/12)*RATES!$N711/100</f>
        <v>638.29166666666674</v>
      </c>
      <c r="AP735" s="16">
        <f t="shared" si="508"/>
        <v>-76953.259422278177</v>
      </c>
      <c r="AQ735" s="15">
        <f t="shared" si="483"/>
        <v>22.170849845882874</v>
      </c>
      <c r="AR735" s="75">
        <f>AQ735*(1-PARAM!$C$27)*$I$13+(MOD($B735,60)=PARAM!$B$56)*($B735&gt;(60-PARAM!$B$56))*HLOOKUP(($B735+PARAM!$B$56)/12,Loyalty,2)*$F$1*MAX(AT734,0)</f>
        <v>18.557001321003963</v>
      </c>
      <c r="AS735" s="75">
        <f>PARAM!$C$26+MAX($G$13-CHOOSE(PARAM!$B$44,MAX(0,AT734*$F$1),0),0)*RATES!$L711/12+$H$13*(PARAM!$D$51/12)*RATES!$N711/100</f>
        <v>638.29166666666674</v>
      </c>
      <c r="AT735" s="16">
        <f t="shared" si="509"/>
        <v>-76953.259422278177</v>
      </c>
      <c r="AU735" s="15">
        <f t="shared" si="484"/>
        <v>22.170849845882874</v>
      </c>
      <c r="AV735" s="75">
        <f>AU735*(1-PARAM!$C$27)*$I$14+(MOD($B735,60)=PARAM!$B$56)*($B735&gt;(60-PARAM!$B$56))*HLOOKUP(($B735+PARAM!$B$56)/12,Loyalty,2)*$F$1*MAX(AX734,0)</f>
        <v>18.557001321003963</v>
      </c>
      <c r="AW735" s="75">
        <f>PARAM!$C$26+MAX($G$14-CHOOSE(PARAM!$B$44,MAX(0,AX734*$F$1),0),0)*RATES!$L711/12+$H$14*(PARAM!$D$51/12)*RATES!$N711/100</f>
        <v>638.29166666666674</v>
      </c>
      <c r="AX735" s="16">
        <f t="shared" si="510"/>
        <v>-76953.259422278177</v>
      </c>
      <c r="AY735" s="15">
        <f t="shared" si="485"/>
        <v>22.170849845882874</v>
      </c>
      <c r="AZ735" s="75">
        <f>AY735*(1-PARAM!$C$27)*$I$15+(MOD($B735,60)=PARAM!$B$56)*($B735&gt;(60-PARAM!$B$56))*HLOOKUP(($B735+PARAM!$B$56)/12,Loyalty,2)*$F$1*MAX(BB734,0)</f>
        <v>18.557001321003963</v>
      </c>
      <c r="BA735" s="75">
        <f>PARAM!$C$26+MAX($G$15-CHOOSE(PARAM!$B$44,MAX(0,BB734*$F$1),0),0)*RATES!$L711/12+$H$15*(PARAM!$D$51/12)*RATES!$N711/100</f>
        <v>638.29166666666674</v>
      </c>
      <c r="BB735" s="16">
        <f t="shared" si="511"/>
        <v>-76953.259422278177</v>
      </c>
      <c r="BC735" s="15">
        <f t="shared" si="486"/>
        <v>22.170849845882874</v>
      </c>
      <c r="BD735" s="75">
        <f>BC735*(1-PARAM!$C$27)*$I$16+(MOD($B735,60)=PARAM!$B$56)*($B735&gt;(60-PARAM!$B$56))*HLOOKUP(($B735+PARAM!$B$56)/12,Loyalty,2)*$F$1*MAX(BF734,0)</f>
        <v>18.557001321003963</v>
      </c>
      <c r="BE735" s="75">
        <f>PARAM!$C$26+MAX($G$16-CHOOSE(PARAM!$B$44,MAX(0,BF734*$F$1),0),0)*RATES!$L711/12+$H$16*(PARAM!$D$51/12)*RATES!$N711/100</f>
        <v>638.29166666666674</v>
      </c>
      <c r="BF735" s="16">
        <f t="shared" si="512"/>
        <v>-76953.259422278177</v>
      </c>
      <c r="BG735" s="15">
        <f t="shared" si="487"/>
        <v>22.170849845882874</v>
      </c>
      <c r="BH735" s="75">
        <f>BG735*(1-PARAM!$C$27)*$I$17+(MOD($B735,60)=PARAM!$B$56)*($B735&gt;(60-PARAM!$B$56))*HLOOKUP(($B735+PARAM!$B$56)/12,Loyalty,2)*$F$1*MAX(BJ734,0)</f>
        <v>18.557001321003963</v>
      </c>
      <c r="BI735" s="75">
        <f>PARAM!$C$26+MAX($G$17-CHOOSE(PARAM!$B$44,MAX(0,BJ734*$F$1),0),0)*RATES!$L711/12+$H$17*(PARAM!$D$51/12)*RATES!$N711/100</f>
        <v>638.29166666666674</v>
      </c>
      <c r="BJ735" s="16">
        <f t="shared" si="513"/>
        <v>-76953.259422278177</v>
      </c>
      <c r="BK735" s="15">
        <f t="shared" si="488"/>
        <v>22.170849845882874</v>
      </c>
      <c r="BL735" s="75">
        <f>BK735*(1-PARAM!$C$27)*$I$18+(MOD($B735,60)=PARAM!$B$56)*($B735&gt;(60-PARAM!$B$56))*HLOOKUP(($B735+PARAM!$B$56)/12,Loyalty,2)*$F$1*MAX(BN734,0)</f>
        <v>18.557001321003963</v>
      </c>
      <c r="BM735" s="75">
        <f>PARAM!$C$26+MAX($G$18-CHOOSE(PARAM!$B$44,MAX(0,BN734*$F$1),0),0)*RATES!$L711/12+$H$18*(PARAM!$D$51/12)*RATES!$N711/100</f>
        <v>638.29166666666674</v>
      </c>
      <c r="BN735" s="16">
        <f t="shared" si="514"/>
        <v>-76953.259422278177</v>
      </c>
      <c r="BO735" s="15">
        <f t="shared" si="489"/>
        <v>22.170849845882874</v>
      </c>
      <c r="BP735" s="75">
        <f>BO735*(1-PARAM!$C$27)*$I$19+(MOD($B735,60)=PARAM!$B$56)*($B735&gt;(60-PARAM!$B$56))*HLOOKUP(($B735+PARAM!$B$56)/12,Loyalty,2)*$F$1*MAX(BR734,0)</f>
        <v>18.557001321003963</v>
      </c>
      <c r="BQ735" s="75">
        <f>PARAM!$C$26+MAX($G$19-CHOOSE(PARAM!$B$44,MAX(0,BR734*$F$1),0),0)*RATES!$L711/12+$H$19*(PARAM!$D$51/12)*RATES!$N711/100</f>
        <v>638.29166666666674</v>
      </c>
      <c r="BR735" s="16">
        <f t="shared" si="515"/>
        <v>-76953.259422278177</v>
      </c>
      <c r="BS735" s="15">
        <f t="shared" si="490"/>
        <v>22.170849845882874</v>
      </c>
      <c r="BT735" s="75">
        <f>BS735*(1-PARAM!$C$27)*$I$20+(MOD($B735,60)=PARAM!$B$56)*($B735&gt;(60-PARAM!$B$56))*HLOOKUP(($B735+PARAM!$B$56)/12,Loyalty,2)*$F$1*MAX(BV734,0)</f>
        <v>18.557001321003963</v>
      </c>
      <c r="BU735" s="75">
        <f>PARAM!$C$26+MAX($G$20-CHOOSE(PARAM!$B$44,MAX(0,BV734*$F$1),0),0)*RATES!$L711/12+$H$20*(PARAM!$D$51/12)*RATES!$N711/100</f>
        <v>638.29166666666674</v>
      </c>
      <c r="BV735" s="16">
        <f t="shared" si="516"/>
        <v>-76953.259422278177</v>
      </c>
      <c r="BW735" s="15">
        <f t="shared" si="491"/>
        <v>22.170849845882874</v>
      </c>
      <c r="BX735" s="75">
        <f>BW735*(1-PARAM!$C$27)*$I$21+(MOD($B735,60)=PARAM!$B$56)*($B735&gt;(60-PARAM!$B$56))*HLOOKUP(($B735+PARAM!$B$56)/12,Loyalty,2)*$F$1*MAX(BZ734,0)</f>
        <v>18.557001321003963</v>
      </c>
      <c r="BY735" s="75">
        <f>PARAM!$C$26+MAX($G$21-CHOOSE(PARAM!$B$44,MAX(0,BZ734*$F$1),0),0)*RATES!$L711/12+$H$21*(PARAM!$D$51/12)*RATES!$N711/100</f>
        <v>638.29166666666674</v>
      </c>
      <c r="BZ735" s="16">
        <f t="shared" si="517"/>
        <v>-76953.259422278177</v>
      </c>
      <c r="CA735" s="15">
        <f t="shared" si="492"/>
        <v>22.170849845882874</v>
      </c>
      <c r="CB735" s="75">
        <f>CA735*(1-PARAM!$C$27)*$I$22+(MOD($B735,60)=PARAM!$B$56)*($B735&gt;(60-PARAM!$B$56))*HLOOKUP(($B735+PARAM!$B$56)/12,Loyalty,2)*$F$1*MAX(CD734,0)</f>
        <v>18.557001321003963</v>
      </c>
      <c r="CC735" s="75">
        <f>PARAM!$C$26+MAX($G$22-CHOOSE(PARAM!$B$44,MAX(0,CD734*$F$1),0),0)*RATES!$L711/12+$H$22*(PARAM!$D$51/12)*RATES!$N711/100</f>
        <v>638.29166666666674</v>
      </c>
      <c r="CD735" s="16">
        <f t="shared" si="518"/>
        <v>-76953.259422278177</v>
      </c>
      <c r="CE735" s="33">
        <f>IF(0=MOD(B735,12/PARAM!$D$51),1,0)</f>
        <v>1</v>
      </c>
      <c r="CF735" s="15">
        <f t="shared" si="493"/>
        <v>0</v>
      </c>
      <c r="CG735" s="75">
        <f>CF735*(1-PARAM!$C$27)*$R$3+(MOD($B735/12,5)=0)*($B735&gt;60)*HLOOKUP($B735/12,Loyalty,2)*$F$1*MAX(CI734,0)</f>
        <v>0</v>
      </c>
      <c r="CH735" s="75">
        <f>PARAM!$C$26+MAX($P$3-CHOOSE(PARAM!$B$44,MAX(0,CI734*$F$1),0),0)*RATES!$L711/12+$Q$3*(PARAM!$D$51/12)*RATES!$N711/100</f>
        <v>638.29166666666674</v>
      </c>
      <c r="CI735" s="16">
        <f>IF(CI734&gt;0,CI734*PARAM!$C$53,CI734)+CG735-CH735</f>
        <v>-89972.041666666875</v>
      </c>
      <c r="CJ735" s="15">
        <f t="shared" si="519"/>
        <v>0</v>
      </c>
      <c r="CK735" s="75">
        <f>CJ735*(1-PARAM!$C$27)*$R$4+(MOD($B735/12,5)=0)*($B735&gt;60)*HLOOKUP($B735/12,Loyalty,2)*$F$1*MAX(CM734,0)</f>
        <v>0</v>
      </c>
      <c r="CL735" s="75">
        <f>PARAM!$C$26+MAX($P$4-CHOOSE(PARAM!$B$44,MAX(0,CM734*$F$1),0),0)*RATES!$L711/12+$Q$4*(PARAM!$D$51/12)*RATES!$N711/100</f>
        <v>638.29166666666674</v>
      </c>
      <c r="CM735" s="16">
        <f>IF(CM734&gt;0,CM734*PARAM!$C$53,CM734)+CK735-CL735</f>
        <v>-89972.041666666875</v>
      </c>
      <c r="CO735" s="176"/>
    </row>
    <row r="736" spans="1:93" x14ac:dyDescent="0.2">
      <c r="A736" t="b">
        <f t="shared" si="494"/>
        <v>0</v>
      </c>
      <c r="B736" s="33">
        <v>709</v>
      </c>
      <c r="C736" s="15">
        <f t="shared" si="495"/>
        <v>20.081305947392778</v>
      </c>
      <c r="D736" s="75">
        <f>C736*(1-PARAM!$C$27)*$I$3+(MOD($B736,60)=PARAM!$B$56)*($B736&gt;(60-PARAM!$B$56))*HLOOKUP(($B736+PARAM!$B$56)/12,Loyalty,2)*$F$1*MAX(F735,0)</f>
        <v>16.808053077967756</v>
      </c>
      <c r="E736" s="75">
        <f>PARAM!$C$26+MAX($G$3-CHOOSE(PARAM!$B$44,MAX(0,F735*$F$1),0),0)*RATES!$L712/12+$H$3*(PARAM!$D$51/12)*RATES!$N712/100</f>
        <v>638.29166666666674</v>
      </c>
      <c r="F736" s="16">
        <f t="shared" si="496"/>
        <v>-78849.848892457929</v>
      </c>
      <c r="G736" s="15">
        <f t="shared" si="497"/>
        <v>22.035289406060361</v>
      </c>
      <c r="H736" s="75">
        <f>G736*(1-PARAM!$C$27)*$I$4+(MOD($B736,60)=PARAM!$B$56)*($B736&gt;(60-PARAM!$B$56))*HLOOKUP(($B736+PARAM!$B$56)/12,Loyalty,2)*$F$1*MAX(J735,0)</f>
        <v>18.443537232872522</v>
      </c>
      <c r="I736" s="75">
        <f>PARAM!$C$26+MAX($G$4-CHOOSE(PARAM!$B$44,MAX(0,J735*$F$1),0),0)*RATES!$L712/12+$H$4*(PARAM!$D$51/12)*RATES!$N712/100</f>
        <v>638.29166666666674</v>
      </c>
      <c r="J736" s="16">
        <f t="shared" si="498"/>
        <v>-77656.457662508692</v>
      </c>
      <c r="K736" s="15">
        <f t="shared" si="499"/>
        <v>22.170849845882874</v>
      </c>
      <c r="L736" s="75">
        <f>K736*(1-PARAM!$C$27)*$I$5+(MOD($B736,60)=PARAM!$B$56)*($B736&gt;(60-PARAM!$B$56))*HLOOKUP(($B736+PARAM!$B$56)/12,Loyalty,2)*$F$1*MAX(N735,0)</f>
        <v>18.557001321003963</v>
      </c>
      <c r="M736" s="75">
        <f>PARAM!$C$26+MAX($G$5-CHOOSE(PARAM!$B$44,MAX(0,N735*$F$1),0),0)*RATES!$L712/12+$H$5*(PARAM!$D$51/12)*RATES!$N712/100</f>
        <v>638.29166666666674</v>
      </c>
      <c r="N736" s="16">
        <f t="shared" si="500"/>
        <v>-77572.99408762384</v>
      </c>
      <c r="O736" s="15">
        <f t="shared" si="501"/>
        <v>22.170849845882874</v>
      </c>
      <c r="P736" s="75">
        <f>O736*(1-PARAM!$C$27)*$I$6+(MOD($B736,60)=PARAM!$B$56)*($B736&gt;(60-PARAM!$B$56))*HLOOKUP(($B736+PARAM!$B$56)/12,Loyalty,2)*$F$1*MAX(R735,0)</f>
        <v>18.557001321003963</v>
      </c>
      <c r="Q736" s="75">
        <f>PARAM!$C$26+MAX($G$6-CHOOSE(PARAM!$B$44,MAX(0,R735*$F$1),0),0)*RATES!$L712/12+$H$6*(PARAM!$D$51/12)*RATES!$N712/100</f>
        <v>638.29166666666674</v>
      </c>
      <c r="R736" s="16">
        <f t="shared" si="502"/>
        <v>-77572.99408762384</v>
      </c>
      <c r="S736" s="15">
        <f t="shared" si="477"/>
        <v>22.170849845882874</v>
      </c>
      <c r="T736" s="75">
        <f>S736*(1-PARAM!$C$27)*$I$7+(MOD($B736,60)=PARAM!$B$56)*($B736&gt;(60-PARAM!$B$56))*HLOOKUP(($B736+PARAM!$B$56)/12,Loyalty,2)*$F$1*MAX(V735,0)</f>
        <v>18.557001321003963</v>
      </c>
      <c r="U736" s="75">
        <f>PARAM!$C$26+MAX($G$7-CHOOSE(PARAM!$B$44,MAX(0,V735*$F$1),0),0)*RATES!$L712/12+$H$7*(PARAM!$D$51/12)*RATES!$N712/100</f>
        <v>638.29166666666674</v>
      </c>
      <c r="V736" s="16">
        <f t="shared" si="503"/>
        <v>-77572.99408762384</v>
      </c>
      <c r="W736" s="15">
        <f t="shared" si="478"/>
        <v>22.170849845882874</v>
      </c>
      <c r="X736" s="75">
        <f>W736*(1-PARAM!$C$27)*$I$8+(MOD($B736,60)=PARAM!$B$56)*($B736&gt;(60-PARAM!$B$56))*HLOOKUP(($B736+PARAM!$B$56)/12,Loyalty,2)*$F$1*MAX(Z735,0)</f>
        <v>18.557001321003963</v>
      </c>
      <c r="Y736" s="75">
        <f>PARAM!$C$26+MAX($G$8-CHOOSE(PARAM!$B$44,MAX(0,Z735*$F$1),0),0)*RATES!$L712/12+$H$8*(PARAM!$D$51/12)*RATES!$N712/100</f>
        <v>638.29166666666674</v>
      </c>
      <c r="Z736" s="16">
        <f t="shared" si="504"/>
        <v>-77572.99408762384</v>
      </c>
      <c r="AA736" s="15">
        <f t="shared" si="479"/>
        <v>22.170849845882874</v>
      </c>
      <c r="AB736" s="75">
        <f>AA736*(1-PARAM!$C$27)*$I$9+(MOD($B736,60)=PARAM!$B$56)*($B736&gt;(60-PARAM!$B$56))*HLOOKUP(($B736+PARAM!$B$56)/12,Loyalty,2)*$F$1*MAX(AD735,0)</f>
        <v>18.557001321003963</v>
      </c>
      <c r="AC736" s="75">
        <f>PARAM!$C$26+MAX($G$9-CHOOSE(PARAM!$B$44,MAX(0,AD735*$F$1),0),0)*RATES!$L712/12+$H$9*(PARAM!$D$51/12)*RATES!$N712/100</f>
        <v>638.29166666666674</v>
      </c>
      <c r="AD736" s="16">
        <f t="shared" si="505"/>
        <v>-77572.99408762384</v>
      </c>
      <c r="AE736" s="15">
        <f t="shared" si="480"/>
        <v>22.170849845882874</v>
      </c>
      <c r="AF736" s="75">
        <f>AE736*(1-PARAM!$C$27)*$I$10+(MOD($B736,60)=PARAM!$B$56)*($B736&gt;(60-PARAM!$B$56))*HLOOKUP(($B736+PARAM!$B$56)/12,Loyalty,2)*$F$1*MAX(AH735,0)</f>
        <v>18.557001321003963</v>
      </c>
      <c r="AG736" s="75">
        <f>PARAM!$C$26+MAX($G$10-CHOOSE(PARAM!$B$44,MAX(0,AH735*$F$1),0),0)*RATES!$L712/12+$H$10*(PARAM!$D$51/12)*RATES!$N712/100</f>
        <v>638.29166666666674</v>
      </c>
      <c r="AH736" s="16">
        <f t="shared" si="506"/>
        <v>-77572.99408762384</v>
      </c>
      <c r="AI736" s="15">
        <f t="shared" si="481"/>
        <v>22.170849845882874</v>
      </c>
      <c r="AJ736" s="75">
        <f>AI736*(1-PARAM!$C$27)*$I$11+(MOD($B736,60)=PARAM!$B$56)*($B736&gt;(60-PARAM!$B$56))*HLOOKUP(($B736+PARAM!$B$56)/12,Loyalty,2)*$F$1*MAX(AL735,0)</f>
        <v>18.557001321003963</v>
      </c>
      <c r="AK736" s="75">
        <f>PARAM!$C$26+MAX($G$11-CHOOSE(PARAM!$B$44,MAX(0,AL735*$F$1),0),0)*RATES!$L712/12+$H$11*(PARAM!$D$51/12)*RATES!$N712/100</f>
        <v>638.29166666666674</v>
      </c>
      <c r="AL736" s="16">
        <f t="shared" si="507"/>
        <v>-77572.99408762384</v>
      </c>
      <c r="AM736" s="15">
        <f t="shared" si="482"/>
        <v>22.170849845882874</v>
      </c>
      <c r="AN736" s="75">
        <f>AM736*(1-PARAM!$C$27)*$I$12+(MOD($B736,60)=PARAM!$B$56)*($B736&gt;(60-PARAM!$B$56))*HLOOKUP(($B736+PARAM!$B$56)/12,Loyalty,2)*$F$1*MAX(AP735,0)</f>
        <v>18.557001321003963</v>
      </c>
      <c r="AO736" s="75">
        <f>PARAM!$C$26+MAX($G$12-CHOOSE(PARAM!$B$44,MAX(0,AP735*$F$1),0),0)*RATES!$L712/12+$H$12*(PARAM!$D$51/12)*RATES!$N712/100</f>
        <v>638.29166666666674</v>
      </c>
      <c r="AP736" s="16">
        <f t="shared" si="508"/>
        <v>-77572.99408762384</v>
      </c>
      <c r="AQ736" s="15">
        <f t="shared" si="483"/>
        <v>22.170849845882874</v>
      </c>
      <c r="AR736" s="75">
        <f>AQ736*(1-PARAM!$C$27)*$I$13+(MOD($B736,60)=PARAM!$B$56)*($B736&gt;(60-PARAM!$B$56))*HLOOKUP(($B736+PARAM!$B$56)/12,Loyalty,2)*$F$1*MAX(AT735,0)</f>
        <v>18.557001321003963</v>
      </c>
      <c r="AS736" s="75">
        <f>PARAM!$C$26+MAX($G$13-CHOOSE(PARAM!$B$44,MAX(0,AT735*$F$1),0),0)*RATES!$L712/12+$H$13*(PARAM!$D$51/12)*RATES!$N712/100</f>
        <v>638.29166666666674</v>
      </c>
      <c r="AT736" s="16">
        <f t="shared" si="509"/>
        <v>-77572.99408762384</v>
      </c>
      <c r="AU736" s="15">
        <f t="shared" si="484"/>
        <v>22.170849845882874</v>
      </c>
      <c r="AV736" s="75">
        <f>AU736*(1-PARAM!$C$27)*$I$14+(MOD($B736,60)=PARAM!$B$56)*($B736&gt;(60-PARAM!$B$56))*HLOOKUP(($B736+PARAM!$B$56)/12,Loyalty,2)*$F$1*MAX(AX735,0)</f>
        <v>18.557001321003963</v>
      </c>
      <c r="AW736" s="75">
        <f>PARAM!$C$26+MAX($G$14-CHOOSE(PARAM!$B$44,MAX(0,AX735*$F$1),0),0)*RATES!$L712/12+$H$14*(PARAM!$D$51/12)*RATES!$N712/100</f>
        <v>638.29166666666674</v>
      </c>
      <c r="AX736" s="16">
        <f t="shared" si="510"/>
        <v>-77572.99408762384</v>
      </c>
      <c r="AY736" s="15">
        <f t="shared" si="485"/>
        <v>22.170849845882874</v>
      </c>
      <c r="AZ736" s="75">
        <f>AY736*(1-PARAM!$C$27)*$I$15+(MOD($B736,60)=PARAM!$B$56)*($B736&gt;(60-PARAM!$B$56))*HLOOKUP(($B736+PARAM!$B$56)/12,Loyalty,2)*$F$1*MAX(BB735,0)</f>
        <v>18.557001321003963</v>
      </c>
      <c r="BA736" s="75">
        <f>PARAM!$C$26+MAX($G$15-CHOOSE(PARAM!$B$44,MAX(0,BB735*$F$1),0),0)*RATES!$L712/12+$H$15*(PARAM!$D$51/12)*RATES!$N712/100</f>
        <v>638.29166666666674</v>
      </c>
      <c r="BB736" s="16">
        <f t="shared" si="511"/>
        <v>-77572.99408762384</v>
      </c>
      <c r="BC736" s="15">
        <f t="shared" si="486"/>
        <v>22.170849845882874</v>
      </c>
      <c r="BD736" s="75">
        <f>BC736*(1-PARAM!$C$27)*$I$16+(MOD($B736,60)=PARAM!$B$56)*($B736&gt;(60-PARAM!$B$56))*HLOOKUP(($B736+PARAM!$B$56)/12,Loyalty,2)*$F$1*MAX(BF735,0)</f>
        <v>18.557001321003963</v>
      </c>
      <c r="BE736" s="75">
        <f>PARAM!$C$26+MAX($G$16-CHOOSE(PARAM!$B$44,MAX(0,BF735*$F$1),0),0)*RATES!$L712/12+$H$16*(PARAM!$D$51/12)*RATES!$N712/100</f>
        <v>638.29166666666674</v>
      </c>
      <c r="BF736" s="16">
        <f t="shared" si="512"/>
        <v>-77572.99408762384</v>
      </c>
      <c r="BG736" s="15">
        <f t="shared" si="487"/>
        <v>22.170849845882874</v>
      </c>
      <c r="BH736" s="75">
        <f>BG736*(1-PARAM!$C$27)*$I$17+(MOD($B736,60)=PARAM!$B$56)*($B736&gt;(60-PARAM!$B$56))*HLOOKUP(($B736+PARAM!$B$56)/12,Loyalty,2)*$F$1*MAX(BJ735,0)</f>
        <v>18.557001321003963</v>
      </c>
      <c r="BI736" s="75">
        <f>PARAM!$C$26+MAX($G$17-CHOOSE(PARAM!$B$44,MAX(0,BJ735*$F$1),0),0)*RATES!$L712/12+$H$17*(PARAM!$D$51/12)*RATES!$N712/100</f>
        <v>638.29166666666674</v>
      </c>
      <c r="BJ736" s="16">
        <f t="shared" si="513"/>
        <v>-77572.99408762384</v>
      </c>
      <c r="BK736" s="15">
        <f t="shared" si="488"/>
        <v>22.170849845882874</v>
      </c>
      <c r="BL736" s="75">
        <f>BK736*(1-PARAM!$C$27)*$I$18+(MOD($B736,60)=PARAM!$B$56)*($B736&gt;(60-PARAM!$B$56))*HLOOKUP(($B736+PARAM!$B$56)/12,Loyalty,2)*$F$1*MAX(BN735,0)</f>
        <v>18.557001321003963</v>
      </c>
      <c r="BM736" s="75">
        <f>PARAM!$C$26+MAX($G$18-CHOOSE(PARAM!$B$44,MAX(0,BN735*$F$1),0),0)*RATES!$L712/12+$H$18*(PARAM!$D$51/12)*RATES!$N712/100</f>
        <v>638.29166666666674</v>
      </c>
      <c r="BN736" s="16">
        <f t="shared" si="514"/>
        <v>-77572.99408762384</v>
      </c>
      <c r="BO736" s="15">
        <f t="shared" si="489"/>
        <v>22.170849845882874</v>
      </c>
      <c r="BP736" s="75">
        <f>BO736*(1-PARAM!$C$27)*$I$19+(MOD($B736,60)=PARAM!$B$56)*($B736&gt;(60-PARAM!$B$56))*HLOOKUP(($B736+PARAM!$B$56)/12,Loyalty,2)*$F$1*MAX(BR735,0)</f>
        <v>18.557001321003963</v>
      </c>
      <c r="BQ736" s="75">
        <f>PARAM!$C$26+MAX($G$19-CHOOSE(PARAM!$B$44,MAX(0,BR735*$F$1),0),0)*RATES!$L712/12+$H$19*(PARAM!$D$51/12)*RATES!$N712/100</f>
        <v>638.29166666666674</v>
      </c>
      <c r="BR736" s="16">
        <f t="shared" si="515"/>
        <v>-77572.99408762384</v>
      </c>
      <c r="BS736" s="15">
        <f t="shared" si="490"/>
        <v>22.170849845882874</v>
      </c>
      <c r="BT736" s="75">
        <f>BS736*(1-PARAM!$C$27)*$I$20+(MOD($B736,60)=PARAM!$B$56)*($B736&gt;(60-PARAM!$B$56))*HLOOKUP(($B736+PARAM!$B$56)/12,Loyalty,2)*$F$1*MAX(BV735,0)</f>
        <v>18.557001321003963</v>
      </c>
      <c r="BU736" s="75">
        <f>PARAM!$C$26+MAX($G$20-CHOOSE(PARAM!$B$44,MAX(0,BV735*$F$1),0),0)*RATES!$L712/12+$H$20*(PARAM!$D$51/12)*RATES!$N712/100</f>
        <v>638.29166666666674</v>
      </c>
      <c r="BV736" s="16">
        <f t="shared" si="516"/>
        <v>-77572.99408762384</v>
      </c>
      <c r="BW736" s="15">
        <f t="shared" si="491"/>
        <v>22.170849845882874</v>
      </c>
      <c r="BX736" s="75">
        <f>BW736*(1-PARAM!$C$27)*$I$21+(MOD($B736,60)=PARAM!$B$56)*($B736&gt;(60-PARAM!$B$56))*HLOOKUP(($B736+PARAM!$B$56)/12,Loyalty,2)*$F$1*MAX(BZ735,0)</f>
        <v>18.557001321003963</v>
      </c>
      <c r="BY736" s="75">
        <f>PARAM!$C$26+MAX($G$21-CHOOSE(PARAM!$B$44,MAX(0,BZ735*$F$1),0),0)*RATES!$L712/12+$H$21*(PARAM!$D$51/12)*RATES!$N712/100</f>
        <v>638.29166666666674</v>
      </c>
      <c r="BZ736" s="16">
        <f t="shared" si="517"/>
        <v>-77572.99408762384</v>
      </c>
      <c r="CA736" s="15">
        <f t="shared" si="492"/>
        <v>22.170849845882874</v>
      </c>
      <c r="CB736" s="75">
        <f>CA736*(1-PARAM!$C$27)*$I$22+(MOD($B736,60)=PARAM!$B$56)*($B736&gt;(60-PARAM!$B$56))*HLOOKUP(($B736+PARAM!$B$56)/12,Loyalty,2)*$F$1*MAX(CD735,0)</f>
        <v>18.557001321003963</v>
      </c>
      <c r="CC736" s="75">
        <f>PARAM!$C$26+MAX($G$22-CHOOSE(PARAM!$B$44,MAX(0,CD735*$F$1),0),0)*RATES!$L712/12+$H$22*(PARAM!$D$51/12)*RATES!$N712/100</f>
        <v>638.29166666666674</v>
      </c>
      <c r="CD736" s="16">
        <f t="shared" si="518"/>
        <v>-77572.99408762384</v>
      </c>
      <c r="CE736" s="33">
        <f>IF(0=MOD(B736,12/PARAM!$D$51),1,0)</f>
        <v>1</v>
      </c>
      <c r="CF736" s="15">
        <f t="shared" si="493"/>
        <v>0</v>
      </c>
      <c r="CG736" s="75">
        <f>CF736*(1-PARAM!$C$27)*$R$3+(MOD($B736/12,5)=0)*($B736&gt;60)*HLOOKUP($B736/12,Loyalty,2)*$F$1*MAX(CI735,0)</f>
        <v>0</v>
      </c>
      <c r="CH736" s="75">
        <f>PARAM!$C$26+MAX($P$3-CHOOSE(PARAM!$B$44,MAX(0,CI735*$F$1),0),0)*RATES!$L712/12+$Q$3*(PARAM!$D$51/12)*RATES!$N712/100</f>
        <v>638.29166666666674</v>
      </c>
      <c r="CI736" s="16">
        <f>IF(CI735&gt;0,CI735*PARAM!$C$53,CI735)+CG736-CH736</f>
        <v>-90610.333333333547</v>
      </c>
      <c r="CJ736" s="15">
        <f t="shared" si="519"/>
        <v>0</v>
      </c>
      <c r="CK736" s="75">
        <f>CJ736*(1-PARAM!$C$27)*$R$4+(MOD($B736/12,5)=0)*($B736&gt;60)*HLOOKUP($B736/12,Loyalty,2)*$F$1*MAX(CM735,0)</f>
        <v>0</v>
      </c>
      <c r="CL736" s="75">
        <f>PARAM!$C$26+MAX($P$4-CHOOSE(PARAM!$B$44,MAX(0,CM735*$F$1),0),0)*RATES!$L712/12+$Q$4*(PARAM!$D$51/12)*RATES!$N712/100</f>
        <v>638.29166666666674</v>
      </c>
      <c r="CM736" s="16">
        <f>IF(CM735&gt;0,CM735*PARAM!$C$53,CM735)+CK736-CL736</f>
        <v>-90610.333333333547</v>
      </c>
      <c r="CO736" s="176"/>
    </row>
    <row r="737" spans="1:93" x14ac:dyDescent="0.2">
      <c r="A737" t="b">
        <f t="shared" si="494"/>
        <v>0</v>
      </c>
      <c r="B737" s="33">
        <v>710</v>
      </c>
      <c r="C737" s="15">
        <f t="shared" si="495"/>
        <v>20.081305947392778</v>
      </c>
      <c r="D737" s="75">
        <f>C737*(1-PARAM!$C$27)*$I$3+(MOD($B737,60)=PARAM!$B$56)*($B737&gt;(60-PARAM!$B$56))*HLOOKUP(($B737+PARAM!$B$56)/12,Loyalty,2)*$F$1*MAX(F736,0)</f>
        <v>16.808053077967756</v>
      </c>
      <c r="E737" s="75">
        <f>PARAM!$C$26+MAX($G$3-CHOOSE(PARAM!$B$44,MAX(0,F736*$F$1),0),0)*RATES!$L713/12+$H$3*(PARAM!$D$51/12)*RATES!$N713/100</f>
        <v>638.29166666666674</v>
      </c>
      <c r="F737" s="16">
        <f t="shared" si="496"/>
        <v>-79471.33250604663</v>
      </c>
      <c r="G737" s="15">
        <f t="shared" si="497"/>
        <v>22.035289406060361</v>
      </c>
      <c r="H737" s="75">
        <f>G737*(1-PARAM!$C$27)*$I$4+(MOD($B737,60)=PARAM!$B$56)*($B737&gt;(60-PARAM!$B$56))*HLOOKUP(($B737+PARAM!$B$56)/12,Loyalty,2)*$F$1*MAX(J736,0)</f>
        <v>18.443537232872522</v>
      </c>
      <c r="I737" s="75">
        <f>PARAM!$C$26+MAX($G$4-CHOOSE(PARAM!$B$44,MAX(0,J736*$F$1),0),0)*RATES!$L713/12+$H$4*(PARAM!$D$51/12)*RATES!$N713/100</f>
        <v>638.29166666666674</v>
      </c>
      <c r="J737" s="16">
        <f t="shared" si="498"/>
        <v>-78276.30579194249</v>
      </c>
      <c r="K737" s="15">
        <f t="shared" si="499"/>
        <v>22.170849845882874</v>
      </c>
      <c r="L737" s="75">
        <f>K737*(1-PARAM!$C$27)*$I$5+(MOD($B737,60)=PARAM!$B$56)*($B737&gt;(60-PARAM!$B$56))*HLOOKUP(($B737+PARAM!$B$56)/12,Loyalty,2)*$F$1*MAX(N736,0)</f>
        <v>18.557001321003963</v>
      </c>
      <c r="M737" s="75">
        <f>PARAM!$C$26+MAX($G$5-CHOOSE(PARAM!$B$44,MAX(0,N736*$F$1),0),0)*RATES!$L713/12+$H$5*(PARAM!$D$51/12)*RATES!$N713/100</f>
        <v>638.29166666666674</v>
      </c>
      <c r="N737" s="16">
        <f t="shared" si="500"/>
        <v>-78192.728752969502</v>
      </c>
      <c r="O737" s="15">
        <f t="shared" si="501"/>
        <v>22.170849845882874</v>
      </c>
      <c r="P737" s="75">
        <f>O737*(1-PARAM!$C$27)*$I$6+(MOD($B737,60)=PARAM!$B$56)*($B737&gt;(60-PARAM!$B$56))*HLOOKUP(($B737+PARAM!$B$56)/12,Loyalty,2)*$F$1*MAX(R736,0)</f>
        <v>18.557001321003963</v>
      </c>
      <c r="Q737" s="75">
        <f>PARAM!$C$26+MAX($G$6-CHOOSE(PARAM!$B$44,MAX(0,R736*$F$1),0),0)*RATES!$L713/12+$H$6*(PARAM!$D$51/12)*RATES!$N713/100</f>
        <v>638.29166666666674</v>
      </c>
      <c r="R737" s="16">
        <f t="shared" si="502"/>
        <v>-78192.728752969502</v>
      </c>
      <c r="S737" s="15">
        <f t="shared" si="477"/>
        <v>22.170849845882874</v>
      </c>
      <c r="T737" s="75">
        <f>S737*(1-PARAM!$C$27)*$I$7+(MOD($B737,60)=PARAM!$B$56)*($B737&gt;(60-PARAM!$B$56))*HLOOKUP(($B737+PARAM!$B$56)/12,Loyalty,2)*$F$1*MAX(V736,0)</f>
        <v>18.557001321003963</v>
      </c>
      <c r="U737" s="75">
        <f>PARAM!$C$26+MAX($G$7-CHOOSE(PARAM!$B$44,MAX(0,V736*$F$1),0),0)*RATES!$L713/12+$H$7*(PARAM!$D$51/12)*RATES!$N713/100</f>
        <v>638.29166666666674</v>
      </c>
      <c r="V737" s="16">
        <f t="shared" si="503"/>
        <v>-78192.728752969502</v>
      </c>
      <c r="W737" s="15">
        <f t="shared" si="478"/>
        <v>22.170849845882874</v>
      </c>
      <c r="X737" s="75">
        <f>W737*(1-PARAM!$C$27)*$I$8+(MOD($B737,60)=PARAM!$B$56)*($B737&gt;(60-PARAM!$B$56))*HLOOKUP(($B737+PARAM!$B$56)/12,Loyalty,2)*$F$1*MAX(Z736,0)</f>
        <v>18.557001321003963</v>
      </c>
      <c r="Y737" s="75">
        <f>PARAM!$C$26+MAX($G$8-CHOOSE(PARAM!$B$44,MAX(0,Z736*$F$1),0),0)*RATES!$L713/12+$H$8*(PARAM!$D$51/12)*RATES!$N713/100</f>
        <v>638.29166666666674</v>
      </c>
      <c r="Z737" s="16">
        <f t="shared" si="504"/>
        <v>-78192.728752969502</v>
      </c>
      <c r="AA737" s="15">
        <f t="shared" si="479"/>
        <v>22.170849845882874</v>
      </c>
      <c r="AB737" s="75">
        <f>AA737*(1-PARAM!$C$27)*$I$9+(MOD($B737,60)=PARAM!$B$56)*($B737&gt;(60-PARAM!$B$56))*HLOOKUP(($B737+PARAM!$B$56)/12,Loyalty,2)*$F$1*MAX(AD736,0)</f>
        <v>18.557001321003963</v>
      </c>
      <c r="AC737" s="75">
        <f>PARAM!$C$26+MAX($G$9-CHOOSE(PARAM!$B$44,MAX(0,AD736*$F$1),0),0)*RATES!$L713/12+$H$9*(PARAM!$D$51/12)*RATES!$N713/100</f>
        <v>638.29166666666674</v>
      </c>
      <c r="AD737" s="16">
        <f t="shared" si="505"/>
        <v>-78192.728752969502</v>
      </c>
      <c r="AE737" s="15">
        <f t="shared" si="480"/>
        <v>22.170849845882874</v>
      </c>
      <c r="AF737" s="75">
        <f>AE737*(1-PARAM!$C$27)*$I$10+(MOD($B737,60)=PARAM!$B$56)*($B737&gt;(60-PARAM!$B$56))*HLOOKUP(($B737+PARAM!$B$56)/12,Loyalty,2)*$F$1*MAX(AH736,0)</f>
        <v>18.557001321003963</v>
      </c>
      <c r="AG737" s="75">
        <f>PARAM!$C$26+MAX($G$10-CHOOSE(PARAM!$B$44,MAX(0,AH736*$F$1),0),0)*RATES!$L713/12+$H$10*(PARAM!$D$51/12)*RATES!$N713/100</f>
        <v>638.29166666666674</v>
      </c>
      <c r="AH737" s="16">
        <f t="shared" si="506"/>
        <v>-78192.728752969502</v>
      </c>
      <c r="AI737" s="15">
        <f t="shared" si="481"/>
        <v>22.170849845882874</v>
      </c>
      <c r="AJ737" s="75">
        <f>AI737*(1-PARAM!$C$27)*$I$11+(MOD($B737,60)=PARAM!$B$56)*($B737&gt;(60-PARAM!$B$56))*HLOOKUP(($B737+PARAM!$B$56)/12,Loyalty,2)*$F$1*MAX(AL736,0)</f>
        <v>18.557001321003963</v>
      </c>
      <c r="AK737" s="75">
        <f>PARAM!$C$26+MAX($G$11-CHOOSE(PARAM!$B$44,MAX(0,AL736*$F$1),0),0)*RATES!$L713/12+$H$11*(PARAM!$D$51/12)*RATES!$N713/100</f>
        <v>638.29166666666674</v>
      </c>
      <c r="AL737" s="16">
        <f t="shared" si="507"/>
        <v>-78192.728752969502</v>
      </c>
      <c r="AM737" s="15">
        <f t="shared" si="482"/>
        <v>22.170849845882874</v>
      </c>
      <c r="AN737" s="75">
        <f>AM737*(1-PARAM!$C$27)*$I$12+(MOD($B737,60)=PARAM!$B$56)*($B737&gt;(60-PARAM!$B$56))*HLOOKUP(($B737+PARAM!$B$56)/12,Loyalty,2)*$F$1*MAX(AP736,0)</f>
        <v>18.557001321003963</v>
      </c>
      <c r="AO737" s="75">
        <f>PARAM!$C$26+MAX($G$12-CHOOSE(PARAM!$B$44,MAX(0,AP736*$F$1),0),0)*RATES!$L713/12+$H$12*(PARAM!$D$51/12)*RATES!$N713/100</f>
        <v>638.29166666666674</v>
      </c>
      <c r="AP737" s="16">
        <f t="shared" si="508"/>
        <v>-78192.728752969502</v>
      </c>
      <c r="AQ737" s="15">
        <f t="shared" si="483"/>
        <v>22.170849845882874</v>
      </c>
      <c r="AR737" s="75">
        <f>AQ737*(1-PARAM!$C$27)*$I$13+(MOD($B737,60)=PARAM!$B$56)*($B737&gt;(60-PARAM!$B$56))*HLOOKUP(($B737+PARAM!$B$56)/12,Loyalty,2)*$F$1*MAX(AT736,0)</f>
        <v>18.557001321003963</v>
      </c>
      <c r="AS737" s="75">
        <f>PARAM!$C$26+MAX($G$13-CHOOSE(PARAM!$B$44,MAX(0,AT736*$F$1),0),0)*RATES!$L713/12+$H$13*(PARAM!$D$51/12)*RATES!$N713/100</f>
        <v>638.29166666666674</v>
      </c>
      <c r="AT737" s="16">
        <f t="shared" si="509"/>
        <v>-78192.728752969502</v>
      </c>
      <c r="AU737" s="15">
        <f t="shared" si="484"/>
        <v>22.170849845882874</v>
      </c>
      <c r="AV737" s="75">
        <f>AU737*(1-PARAM!$C$27)*$I$14+(MOD($B737,60)=PARAM!$B$56)*($B737&gt;(60-PARAM!$B$56))*HLOOKUP(($B737+PARAM!$B$56)/12,Loyalty,2)*$F$1*MAX(AX736,0)</f>
        <v>18.557001321003963</v>
      </c>
      <c r="AW737" s="75">
        <f>PARAM!$C$26+MAX($G$14-CHOOSE(PARAM!$B$44,MAX(0,AX736*$F$1),0),0)*RATES!$L713/12+$H$14*(PARAM!$D$51/12)*RATES!$N713/100</f>
        <v>638.29166666666674</v>
      </c>
      <c r="AX737" s="16">
        <f t="shared" si="510"/>
        <v>-78192.728752969502</v>
      </c>
      <c r="AY737" s="15">
        <f t="shared" si="485"/>
        <v>22.170849845882874</v>
      </c>
      <c r="AZ737" s="75">
        <f>AY737*(1-PARAM!$C$27)*$I$15+(MOD($B737,60)=PARAM!$B$56)*($B737&gt;(60-PARAM!$B$56))*HLOOKUP(($B737+PARAM!$B$56)/12,Loyalty,2)*$F$1*MAX(BB736,0)</f>
        <v>18.557001321003963</v>
      </c>
      <c r="BA737" s="75">
        <f>PARAM!$C$26+MAX($G$15-CHOOSE(PARAM!$B$44,MAX(0,BB736*$F$1),0),0)*RATES!$L713/12+$H$15*(PARAM!$D$51/12)*RATES!$N713/100</f>
        <v>638.29166666666674</v>
      </c>
      <c r="BB737" s="16">
        <f t="shared" si="511"/>
        <v>-78192.728752969502</v>
      </c>
      <c r="BC737" s="15">
        <f t="shared" si="486"/>
        <v>22.170849845882874</v>
      </c>
      <c r="BD737" s="75">
        <f>BC737*(1-PARAM!$C$27)*$I$16+(MOD($B737,60)=PARAM!$B$56)*($B737&gt;(60-PARAM!$B$56))*HLOOKUP(($B737+PARAM!$B$56)/12,Loyalty,2)*$F$1*MAX(BF736,0)</f>
        <v>18.557001321003963</v>
      </c>
      <c r="BE737" s="75">
        <f>PARAM!$C$26+MAX($G$16-CHOOSE(PARAM!$B$44,MAX(0,BF736*$F$1),0),0)*RATES!$L713/12+$H$16*(PARAM!$D$51/12)*RATES!$N713/100</f>
        <v>638.29166666666674</v>
      </c>
      <c r="BF737" s="16">
        <f t="shared" si="512"/>
        <v>-78192.728752969502</v>
      </c>
      <c r="BG737" s="15">
        <f t="shared" si="487"/>
        <v>22.170849845882874</v>
      </c>
      <c r="BH737" s="75">
        <f>BG737*(1-PARAM!$C$27)*$I$17+(MOD($B737,60)=PARAM!$B$56)*($B737&gt;(60-PARAM!$B$56))*HLOOKUP(($B737+PARAM!$B$56)/12,Loyalty,2)*$F$1*MAX(BJ736,0)</f>
        <v>18.557001321003963</v>
      </c>
      <c r="BI737" s="75">
        <f>PARAM!$C$26+MAX($G$17-CHOOSE(PARAM!$B$44,MAX(0,BJ736*$F$1),0),0)*RATES!$L713/12+$H$17*(PARAM!$D$51/12)*RATES!$N713/100</f>
        <v>638.29166666666674</v>
      </c>
      <c r="BJ737" s="16">
        <f t="shared" si="513"/>
        <v>-78192.728752969502</v>
      </c>
      <c r="BK737" s="15">
        <f t="shared" si="488"/>
        <v>22.170849845882874</v>
      </c>
      <c r="BL737" s="75">
        <f>BK737*(1-PARAM!$C$27)*$I$18+(MOD($B737,60)=PARAM!$B$56)*($B737&gt;(60-PARAM!$B$56))*HLOOKUP(($B737+PARAM!$B$56)/12,Loyalty,2)*$F$1*MAX(BN736,0)</f>
        <v>18.557001321003963</v>
      </c>
      <c r="BM737" s="75">
        <f>PARAM!$C$26+MAX($G$18-CHOOSE(PARAM!$B$44,MAX(0,BN736*$F$1),0),0)*RATES!$L713/12+$H$18*(PARAM!$D$51/12)*RATES!$N713/100</f>
        <v>638.29166666666674</v>
      </c>
      <c r="BN737" s="16">
        <f t="shared" si="514"/>
        <v>-78192.728752969502</v>
      </c>
      <c r="BO737" s="15">
        <f t="shared" si="489"/>
        <v>22.170849845882874</v>
      </c>
      <c r="BP737" s="75">
        <f>BO737*(1-PARAM!$C$27)*$I$19+(MOD($B737,60)=PARAM!$B$56)*($B737&gt;(60-PARAM!$B$56))*HLOOKUP(($B737+PARAM!$B$56)/12,Loyalty,2)*$F$1*MAX(BR736,0)</f>
        <v>18.557001321003963</v>
      </c>
      <c r="BQ737" s="75">
        <f>PARAM!$C$26+MAX($G$19-CHOOSE(PARAM!$B$44,MAX(0,BR736*$F$1),0),0)*RATES!$L713/12+$H$19*(PARAM!$D$51/12)*RATES!$N713/100</f>
        <v>638.29166666666674</v>
      </c>
      <c r="BR737" s="16">
        <f t="shared" si="515"/>
        <v>-78192.728752969502</v>
      </c>
      <c r="BS737" s="15">
        <f t="shared" si="490"/>
        <v>22.170849845882874</v>
      </c>
      <c r="BT737" s="75">
        <f>BS737*(1-PARAM!$C$27)*$I$20+(MOD($B737,60)=PARAM!$B$56)*($B737&gt;(60-PARAM!$B$56))*HLOOKUP(($B737+PARAM!$B$56)/12,Loyalty,2)*$F$1*MAX(BV736,0)</f>
        <v>18.557001321003963</v>
      </c>
      <c r="BU737" s="75">
        <f>PARAM!$C$26+MAX($G$20-CHOOSE(PARAM!$B$44,MAX(0,BV736*$F$1),0),0)*RATES!$L713/12+$H$20*(PARAM!$D$51/12)*RATES!$N713/100</f>
        <v>638.29166666666674</v>
      </c>
      <c r="BV737" s="16">
        <f t="shared" si="516"/>
        <v>-78192.728752969502</v>
      </c>
      <c r="BW737" s="15">
        <f t="shared" si="491"/>
        <v>22.170849845882874</v>
      </c>
      <c r="BX737" s="75">
        <f>BW737*(1-PARAM!$C$27)*$I$21+(MOD($B737,60)=PARAM!$B$56)*($B737&gt;(60-PARAM!$B$56))*HLOOKUP(($B737+PARAM!$B$56)/12,Loyalty,2)*$F$1*MAX(BZ736,0)</f>
        <v>18.557001321003963</v>
      </c>
      <c r="BY737" s="75">
        <f>PARAM!$C$26+MAX($G$21-CHOOSE(PARAM!$B$44,MAX(0,BZ736*$F$1),0),0)*RATES!$L713/12+$H$21*(PARAM!$D$51/12)*RATES!$N713/100</f>
        <v>638.29166666666674</v>
      </c>
      <c r="BZ737" s="16">
        <f t="shared" si="517"/>
        <v>-78192.728752969502</v>
      </c>
      <c r="CA737" s="15">
        <f t="shared" si="492"/>
        <v>22.170849845882874</v>
      </c>
      <c r="CB737" s="75">
        <f>CA737*(1-PARAM!$C$27)*$I$22+(MOD($B737,60)=PARAM!$B$56)*($B737&gt;(60-PARAM!$B$56))*HLOOKUP(($B737+PARAM!$B$56)/12,Loyalty,2)*$F$1*MAX(CD736,0)</f>
        <v>18.557001321003963</v>
      </c>
      <c r="CC737" s="75">
        <f>PARAM!$C$26+MAX($G$22-CHOOSE(PARAM!$B$44,MAX(0,CD736*$F$1),0),0)*RATES!$L713/12+$H$22*(PARAM!$D$51/12)*RATES!$N713/100</f>
        <v>638.29166666666674</v>
      </c>
      <c r="CD737" s="16">
        <f t="shared" si="518"/>
        <v>-78192.728752969502</v>
      </c>
      <c r="CE737" s="33">
        <f>IF(0=MOD(B737,12/PARAM!$D$51),1,0)</f>
        <v>1</v>
      </c>
      <c r="CF737" s="15">
        <f t="shared" si="493"/>
        <v>0</v>
      </c>
      <c r="CG737" s="75">
        <f>CF737*(1-PARAM!$C$27)*$R$3+(MOD($B737/12,5)=0)*($B737&gt;60)*HLOOKUP($B737/12,Loyalty,2)*$F$1*MAX(CI736,0)</f>
        <v>0</v>
      </c>
      <c r="CH737" s="75">
        <f>PARAM!$C$26+MAX($P$3-CHOOSE(PARAM!$B$44,MAX(0,CI736*$F$1),0),0)*RATES!$L713/12+$Q$3*(PARAM!$D$51/12)*RATES!$N713/100</f>
        <v>638.29166666666674</v>
      </c>
      <c r="CI737" s="16">
        <f>IF(CI736&gt;0,CI736*PARAM!$C$53,CI736)+CG737-CH737</f>
        <v>-91248.625000000218</v>
      </c>
      <c r="CJ737" s="15">
        <f t="shared" si="519"/>
        <v>0</v>
      </c>
      <c r="CK737" s="75">
        <f>CJ737*(1-PARAM!$C$27)*$R$4+(MOD($B737/12,5)=0)*($B737&gt;60)*HLOOKUP($B737/12,Loyalty,2)*$F$1*MAX(CM736,0)</f>
        <v>0</v>
      </c>
      <c r="CL737" s="75">
        <f>PARAM!$C$26+MAX($P$4-CHOOSE(PARAM!$B$44,MAX(0,CM736*$F$1),0),0)*RATES!$L713/12+$Q$4*(PARAM!$D$51/12)*RATES!$N713/100</f>
        <v>638.29166666666674</v>
      </c>
      <c r="CM737" s="16">
        <f>IF(CM736&gt;0,CM736*PARAM!$C$53,CM736)+CK737-CL737</f>
        <v>-91248.625000000218</v>
      </c>
      <c r="CO737" s="176"/>
    </row>
    <row r="738" spans="1:93" x14ac:dyDescent="0.2">
      <c r="A738" t="b">
        <f t="shared" si="494"/>
        <v>0</v>
      </c>
      <c r="B738" s="33">
        <v>711</v>
      </c>
      <c r="C738" s="15">
        <f t="shared" si="495"/>
        <v>20.081305947392778</v>
      </c>
      <c r="D738" s="75">
        <f>C738*(1-PARAM!$C$27)*$I$3+(MOD($B738,60)=PARAM!$B$56)*($B738&gt;(60-PARAM!$B$56))*HLOOKUP(($B738+PARAM!$B$56)/12,Loyalty,2)*$F$1*MAX(F737,0)</f>
        <v>16.808053077967756</v>
      </c>
      <c r="E738" s="75">
        <f>PARAM!$C$26+MAX($G$3-CHOOSE(PARAM!$B$44,MAX(0,F737*$F$1),0),0)*RATES!$L714/12+$H$3*(PARAM!$D$51/12)*RATES!$N714/100</f>
        <v>638.29166666666674</v>
      </c>
      <c r="F738" s="16">
        <f t="shared" si="496"/>
        <v>-80092.816119635332</v>
      </c>
      <c r="G738" s="15">
        <f t="shared" si="497"/>
        <v>22.035289406060361</v>
      </c>
      <c r="H738" s="75">
        <f>G738*(1-PARAM!$C$27)*$I$4+(MOD($B738,60)=PARAM!$B$56)*($B738&gt;(60-PARAM!$B$56))*HLOOKUP(($B738+PARAM!$B$56)/12,Loyalty,2)*$F$1*MAX(J737,0)</f>
        <v>18.443537232872522</v>
      </c>
      <c r="I738" s="75">
        <f>PARAM!$C$26+MAX($G$4-CHOOSE(PARAM!$B$44,MAX(0,J737*$F$1),0),0)*RATES!$L714/12+$H$4*(PARAM!$D$51/12)*RATES!$N714/100</f>
        <v>638.29166666666674</v>
      </c>
      <c r="J738" s="16">
        <f t="shared" si="498"/>
        <v>-78896.153921376288</v>
      </c>
      <c r="K738" s="15">
        <f t="shared" si="499"/>
        <v>22.170849845882874</v>
      </c>
      <c r="L738" s="75">
        <f>K738*(1-PARAM!$C$27)*$I$5+(MOD($B738,60)=PARAM!$B$56)*($B738&gt;(60-PARAM!$B$56))*HLOOKUP(($B738+PARAM!$B$56)/12,Loyalty,2)*$F$1*MAX(N737,0)</f>
        <v>18.557001321003963</v>
      </c>
      <c r="M738" s="75">
        <f>PARAM!$C$26+MAX($G$5-CHOOSE(PARAM!$B$44,MAX(0,N737*$F$1),0),0)*RATES!$L714/12+$H$5*(PARAM!$D$51/12)*RATES!$N714/100</f>
        <v>638.29166666666674</v>
      </c>
      <c r="N738" s="16">
        <f t="shared" si="500"/>
        <v>-78812.463418315165</v>
      </c>
      <c r="O738" s="15">
        <f t="shared" si="501"/>
        <v>22.170849845882874</v>
      </c>
      <c r="P738" s="75">
        <f>O738*(1-PARAM!$C$27)*$I$6+(MOD($B738,60)=PARAM!$B$56)*($B738&gt;(60-PARAM!$B$56))*HLOOKUP(($B738+PARAM!$B$56)/12,Loyalty,2)*$F$1*MAX(R737,0)</f>
        <v>18.557001321003963</v>
      </c>
      <c r="Q738" s="75">
        <f>PARAM!$C$26+MAX($G$6-CHOOSE(PARAM!$B$44,MAX(0,R737*$F$1),0),0)*RATES!$L714/12+$H$6*(PARAM!$D$51/12)*RATES!$N714/100</f>
        <v>638.29166666666674</v>
      </c>
      <c r="R738" s="16">
        <f t="shared" si="502"/>
        <v>-78812.463418315165</v>
      </c>
      <c r="S738" s="15">
        <f t="shared" si="477"/>
        <v>22.170849845882874</v>
      </c>
      <c r="T738" s="75">
        <f>S738*(1-PARAM!$C$27)*$I$7+(MOD($B738,60)=PARAM!$B$56)*($B738&gt;(60-PARAM!$B$56))*HLOOKUP(($B738+PARAM!$B$56)/12,Loyalty,2)*$F$1*MAX(V737,0)</f>
        <v>18.557001321003963</v>
      </c>
      <c r="U738" s="75">
        <f>PARAM!$C$26+MAX($G$7-CHOOSE(PARAM!$B$44,MAX(0,V737*$F$1),0),0)*RATES!$L714/12+$H$7*(PARAM!$D$51/12)*RATES!$N714/100</f>
        <v>638.29166666666674</v>
      </c>
      <c r="V738" s="16">
        <f t="shared" si="503"/>
        <v>-78812.463418315165</v>
      </c>
      <c r="W738" s="15">
        <f t="shared" si="478"/>
        <v>22.170849845882874</v>
      </c>
      <c r="X738" s="75">
        <f>W738*(1-PARAM!$C$27)*$I$8+(MOD($B738,60)=PARAM!$B$56)*($B738&gt;(60-PARAM!$B$56))*HLOOKUP(($B738+PARAM!$B$56)/12,Loyalty,2)*$F$1*MAX(Z737,0)</f>
        <v>18.557001321003963</v>
      </c>
      <c r="Y738" s="75">
        <f>PARAM!$C$26+MAX($G$8-CHOOSE(PARAM!$B$44,MAX(0,Z737*$F$1),0),0)*RATES!$L714/12+$H$8*(PARAM!$D$51/12)*RATES!$N714/100</f>
        <v>638.29166666666674</v>
      </c>
      <c r="Z738" s="16">
        <f t="shared" si="504"/>
        <v>-78812.463418315165</v>
      </c>
      <c r="AA738" s="15">
        <f t="shared" si="479"/>
        <v>22.170849845882874</v>
      </c>
      <c r="AB738" s="75">
        <f>AA738*(1-PARAM!$C$27)*$I$9+(MOD($B738,60)=PARAM!$B$56)*($B738&gt;(60-PARAM!$B$56))*HLOOKUP(($B738+PARAM!$B$56)/12,Loyalty,2)*$F$1*MAX(AD737,0)</f>
        <v>18.557001321003963</v>
      </c>
      <c r="AC738" s="75">
        <f>PARAM!$C$26+MAX($G$9-CHOOSE(PARAM!$B$44,MAX(0,AD737*$F$1),0),0)*RATES!$L714/12+$H$9*(PARAM!$D$51/12)*RATES!$N714/100</f>
        <v>638.29166666666674</v>
      </c>
      <c r="AD738" s="16">
        <f t="shared" si="505"/>
        <v>-78812.463418315165</v>
      </c>
      <c r="AE738" s="15">
        <f t="shared" si="480"/>
        <v>22.170849845882874</v>
      </c>
      <c r="AF738" s="75">
        <f>AE738*(1-PARAM!$C$27)*$I$10+(MOD($B738,60)=PARAM!$B$56)*($B738&gt;(60-PARAM!$B$56))*HLOOKUP(($B738+PARAM!$B$56)/12,Loyalty,2)*$F$1*MAX(AH737,0)</f>
        <v>18.557001321003963</v>
      </c>
      <c r="AG738" s="75">
        <f>PARAM!$C$26+MAX($G$10-CHOOSE(PARAM!$B$44,MAX(0,AH737*$F$1),0),0)*RATES!$L714/12+$H$10*(PARAM!$D$51/12)*RATES!$N714/100</f>
        <v>638.29166666666674</v>
      </c>
      <c r="AH738" s="16">
        <f t="shared" si="506"/>
        <v>-78812.463418315165</v>
      </c>
      <c r="AI738" s="15">
        <f t="shared" si="481"/>
        <v>22.170849845882874</v>
      </c>
      <c r="AJ738" s="75">
        <f>AI738*(1-PARAM!$C$27)*$I$11+(MOD($B738,60)=PARAM!$B$56)*($B738&gt;(60-PARAM!$B$56))*HLOOKUP(($B738+PARAM!$B$56)/12,Loyalty,2)*$F$1*MAX(AL737,0)</f>
        <v>18.557001321003963</v>
      </c>
      <c r="AK738" s="75">
        <f>PARAM!$C$26+MAX($G$11-CHOOSE(PARAM!$B$44,MAX(0,AL737*$F$1),0),0)*RATES!$L714/12+$H$11*(PARAM!$D$51/12)*RATES!$N714/100</f>
        <v>638.29166666666674</v>
      </c>
      <c r="AL738" s="16">
        <f t="shared" si="507"/>
        <v>-78812.463418315165</v>
      </c>
      <c r="AM738" s="15">
        <f t="shared" si="482"/>
        <v>22.170849845882874</v>
      </c>
      <c r="AN738" s="75">
        <f>AM738*(1-PARAM!$C$27)*$I$12+(MOD($B738,60)=PARAM!$B$56)*($B738&gt;(60-PARAM!$B$56))*HLOOKUP(($B738+PARAM!$B$56)/12,Loyalty,2)*$F$1*MAX(AP737,0)</f>
        <v>18.557001321003963</v>
      </c>
      <c r="AO738" s="75">
        <f>PARAM!$C$26+MAX($G$12-CHOOSE(PARAM!$B$44,MAX(0,AP737*$F$1),0),0)*RATES!$L714/12+$H$12*(PARAM!$D$51/12)*RATES!$N714/100</f>
        <v>638.29166666666674</v>
      </c>
      <c r="AP738" s="16">
        <f t="shared" si="508"/>
        <v>-78812.463418315165</v>
      </c>
      <c r="AQ738" s="15">
        <f t="shared" si="483"/>
        <v>22.170849845882874</v>
      </c>
      <c r="AR738" s="75">
        <f>AQ738*(1-PARAM!$C$27)*$I$13+(MOD($B738,60)=PARAM!$B$56)*($B738&gt;(60-PARAM!$B$56))*HLOOKUP(($B738+PARAM!$B$56)/12,Loyalty,2)*$F$1*MAX(AT737,0)</f>
        <v>18.557001321003963</v>
      </c>
      <c r="AS738" s="75">
        <f>PARAM!$C$26+MAX($G$13-CHOOSE(PARAM!$B$44,MAX(0,AT737*$F$1),0),0)*RATES!$L714/12+$H$13*(PARAM!$D$51/12)*RATES!$N714/100</f>
        <v>638.29166666666674</v>
      </c>
      <c r="AT738" s="16">
        <f t="shared" si="509"/>
        <v>-78812.463418315165</v>
      </c>
      <c r="AU738" s="15">
        <f t="shared" si="484"/>
        <v>22.170849845882874</v>
      </c>
      <c r="AV738" s="75">
        <f>AU738*(1-PARAM!$C$27)*$I$14+(MOD($B738,60)=PARAM!$B$56)*($B738&gt;(60-PARAM!$B$56))*HLOOKUP(($B738+PARAM!$B$56)/12,Loyalty,2)*$F$1*MAX(AX737,0)</f>
        <v>18.557001321003963</v>
      </c>
      <c r="AW738" s="75">
        <f>PARAM!$C$26+MAX($G$14-CHOOSE(PARAM!$B$44,MAX(0,AX737*$F$1),0),0)*RATES!$L714/12+$H$14*(PARAM!$D$51/12)*RATES!$N714/100</f>
        <v>638.29166666666674</v>
      </c>
      <c r="AX738" s="16">
        <f t="shared" si="510"/>
        <v>-78812.463418315165</v>
      </c>
      <c r="AY738" s="15">
        <f t="shared" si="485"/>
        <v>22.170849845882874</v>
      </c>
      <c r="AZ738" s="75">
        <f>AY738*(1-PARAM!$C$27)*$I$15+(MOD($B738,60)=PARAM!$B$56)*($B738&gt;(60-PARAM!$B$56))*HLOOKUP(($B738+PARAM!$B$56)/12,Loyalty,2)*$F$1*MAX(BB737,0)</f>
        <v>18.557001321003963</v>
      </c>
      <c r="BA738" s="75">
        <f>PARAM!$C$26+MAX($G$15-CHOOSE(PARAM!$B$44,MAX(0,BB737*$F$1),0),0)*RATES!$L714/12+$H$15*(PARAM!$D$51/12)*RATES!$N714/100</f>
        <v>638.29166666666674</v>
      </c>
      <c r="BB738" s="16">
        <f t="shared" si="511"/>
        <v>-78812.463418315165</v>
      </c>
      <c r="BC738" s="15">
        <f t="shared" si="486"/>
        <v>22.170849845882874</v>
      </c>
      <c r="BD738" s="75">
        <f>BC738*(1-PARAM!$C$27)*$I$16+(MOD($B738,60)=PARAM!$B$56)*($B738&gt;(60-PARAM!$B$56))*HLOOKUP(($B738+PARAM!$B$56)/12,Loyalty,2)*$F$1*MAX(BF737,0)</f>
        <v>18.557001321003963</v>
      </c>
      <c r="BE738" s="75">
        <f>PARAM!$C$26+MAX($G$16-CHOOSE(PARAM!$B$44,MAX(0,BF737*$F$1),0),0)*RATES!$L714/12+$H$16*(PARAM!$D$51/12)*RATES!$N714/100</f>
        <v>638.29166666666674</v>
      </c>
      <c r="BF738" s="16">
        <f t="shared" si="512"/>
        <v>-78812.463418315165</v>
      </c>
      <c r="BG738" s="15">
        <f t="shared" si="487"/>
        <v>22.170849845882874</v>
      </c>
      <c r="BH738" s="75">
        <f>BG738*(1-PARAM!$C$27)*$I$17+(MOD($B738,60)=PARAM!$B$56)*($B738&gt;(60-PARAM!$B$56))*HLOOKUP(($B738+PARAM!$B$56)/12,Loyalty,2)*$F$1*MAX(BJ737,0)</f>
        <v>18.557001321003963</v>
      </c>
      <c r="BI738" s="75">
        <f>PARAM!$C$26+MAX($G$17-CHOOSE(PARAM!$B$44,MAX(0,BJ737*$F$1),0),0)*RATES!$L714/12+$H$17*(PARAM!$D$51/12)*RATES!$N714/100</f>
        <v>638.29166666666674</v>
      </c>
      <c r="BJ738" s="16">
        <f t="shared" si="513"/>
        <v>-78812.463418315165</v>
      </c>
      <c r="BK738" s="15">
        <f t="shared" si="488"/>
        <v>22.170849845882874</v>
      </c>
      <c r="BL738" s="75">
        <f>BK738*(1-PARAM!$C$27)*$I$18+(MOD($B738,60)=PARAM!$B$56)*($B738&gt;(60-PARAM!$B$56))*HLOOKUP(($B738+PARAM!$B$56)/12,Loyalty,2)*$F$1*MAX(BN737,0)</f>
        <v>18.557001321003963</v>
      </c>
      <c r="BM738" s="75">
        <f>PARAM!$C$26+MAX($G$18-CHOOSE(PARAM!$B$44,MAX(0,BN737*$F$1),0),0)*RATES!$L714/12+$H$18*(PARAM!$D$51/12)*RATES!$N714/100</f>
        <v>638.29166666666674</v>
      </c>
      <c r="BN738" s="16">
        <f t="shared" si="514"/>
        <v>-78812.463418315165</v>
      </c>
      <c r="BO738" s="15">
        <f t="shared" si="489"/>
        <v>22.170849845882874</v>
      </c>
      <c r="BP738" s="75">
        <f>BO738*(1-PARAM!$C$27)*$I$19+(MOD($B738,60)=PARAM!$B$56)*($B738&gt;(60-PARAM!$B$56))*HLOOKUP(($B738+PARAM!$B$56)/12,Loyalty,2)*$F$1*MAX(BR737,0)</f>
        <v>18.557001321003963</v>
      </c>
      <c r="BQ738" s="75">
        <f>PARAM!$C$26+MAX($G$19-CHOOSE(PARAM!$B$44,MAX(0,BR737*$F$1),0),0)*RATES!$L714/12+$H$19*(PARAM!$D$51/12)*RATES!$N714/100</f>
        <v>638.29166666666674</v>
      </c>
      <c r="BR738" s="16">
        <f t="shared" si="515"/>
        <v>-78812.463418315165</v>
      </c>
      <c r="BS738" s="15">
        <f t="shared" si="490"/>
        <v>22.170849845882874</v>
      </c>
      <c r="BT738" s="75">
        <f>BS738*(1-PARAM!$C$27)*$I$20+(MOD($B738,60)=PARAM!$B$56)*($B738&gt;(60-PARAM!$B$56))*HLOOKUP(($B738+PARAM!$B$56)/12,Loyalty,2)*$F$1*MAX(BV737,0)</f>
        <v>18.557001321003963</v>
      </c>
      <c r="BU738" s="75">
        <f>PARAM!$C$26+MAX($G$20-CHOOSE(PARAM!$B$44,MAX(0,BV737*$F$1),0),0)*RATES!$L714/12+$H$20*(PARAM!$D$51/12)*RATES!$N714/100</f>
        <v>638.29166666666674</v>
      </c>
      <c r="BV738" s="16">
        <f t="shared" si="516"/>
        <v>-78812.463418315165</v>
      </c>
      <c r="BW738" s="15">
        <f t="shared" si="491"/>
        <v>22.170849845882874</v>
      </c>
      <c r="BX738" s="75">
        <f>BW738*(1-PARAM!$C$27)*$I$21+(MOD($B738,60)=PARAM!$B$56)*($B738&gt;(60-PARAM!$B$56))*HLOOKUP(($B738+PARAM!$B$56)/12,Loyalty,2)*$F$1*MAX(BZ737,0)</f>
        <v>18.557001321003963</v>
      </c>
      <c r="BY738" s="75">
        <f>PARAM!$C$26+MAX($G$21-CHOOSE(PARAM!$B$44,MAX(0,BZ737*$F$1),0),0)*RATES!$L714/12+$H$21*(PARAM!$D$51/12)*RATES!$N714/100</f>
        <v>638.29166666666674</v>
      </c>
      <c r="BZ738" s="16">
        <f t="shared" si="517"/>
        <v>-78812.463418315165</v>
      </c>
      <c r="CA738" s="15">
        <f t="shared" si="492"/>
        <v>22.170849845882874</v>
      </c>
      <c r="CB738" s="75">
        <f>CA738*(1-PARAM!$C$27)*$I$22+(MOD($B738,60)=PARAM!$B$56)*($B738&gt;(60-PARAM!$B$56))*HLOOKUP(($B738+PARAM!$B$56)/12,Loyalty,2)*$F$1*MAX(CD737,0)</f>
        <v>18.557001321003963</v>
      </c>
      <c r="CC738" s="75">
        <f>PARAM!$C$26+MAX($G$22-CHOOSE(PARAM!$B$44,MAX(0,CD737*$F$1),0),0)*RATES!$L714/12+$H$22*(PARAM!$D$51/12)*RATES!$N714/100</f>
        <v>638.29166666666674</v>
      </c>
      <c r="CD738" s="16">
        <f t="shared" si="518"/>
        <v>-78812.463418315165</v>
      </c>
      <c r="CE738" s="33">
        <f>IF(0=MOD(B738,12/PARAM!$D$51),1,0)</f>
        <v>1</v>
      </c>
      <c r="CF738" s="15">
        <f t="shared" si="493"/>
        <v>0</v>
      </c>
      <c r="CG738" s="75">
        <f>CF738*(1-PARAM!$C$27)*$R$3+(MOD($B738/12,5)=0)*($B738&gt;60)*HLOOKUP($B738/12,Loyalty,2)*$F$1*MAX(CI737,0)</f>
        <v>0</v>
      </c>
      <c r="CH738" s="75">
        <f>PARAM!$C$26+MAX($P$3-CHOOSE(PARAM!$B$44,MAX(0,CI737*$F$1),0),0)*RATES!$L714/12+$Q$3*(PARAM!$D$51/12)*RATES!$N714/100</f>
        <v>638.29166666666674</v>
      </c>
      <c r="CI738" s="16">
        <f>IF(CI737&gt;0,CI737*PARAM!$C$53,CI737)+CG738-CH738</f>
        <v>-91886.91666666689</v>
      </c>
      <c r="CJ738" s="15">
        <f t="shared" si="519"/>
        <v>0</v>
      </c>
      <c r="CK738" s="75">
        <f>CJ738*(1-PARAM!$C$27)*$R$4+(MOD($B738/12,5)=0)*($B738&gt;60)*HLOOKUP($B738/12,Loyalty,2)*$F$1*MAX(CM737,0)</f>
        <v>0</v>
      </c>
      <c r="CL738" s="75">
        <f>PARAM!$C$26+MAX($P$4-CHOOSE(PARAM!$B$44,MAX(0,CM737*$F$1),0),0)*RATES!$L714/12+$Q$4*(PARAM!$D$51/12)*RATES!$N714/100</f>
        <v>638.29166666666674</v>
      </c>
      <c r="CM738" s="16">
        <f>IF(CM737&gt;0,CM737*PARAM!$C$53,CM737)+CK738-CL738</f>
        <v>-91886.91666666689</v>
      </c>
      <c r="CO738" s="176"/>
    </row>
    <row r="739" spans="1:93" x14ac:dyDescent="0.2">
      <c r="A739" t="b">
        <f t="shared" si="494"/>
        <v>0</v>
      </c>
      <c r="B739" s="33">
        <v>712</v>
      </c>
      <c r="C739" s="15">
        <f t="shared" si="495"/>
        <v>20.081305947392778</v>
      </c>
      <c r="D739" s="75">
        <f>C739*(1-PARAM!$C$27)*$I$3+(MOD($B739,60)=PARAM!$B$56)*($B739&gt;(60-PARAM!$B$56))*HLOOKUP(($B739+PARAM!$B$56)/12,Loyalty,2)*$F$1*MAX(F738,0)</f>
        <v>16.808053077967756</v>
      </c>
      <c r="E739" s="75">
        <f>PARAM!$C$26+MAX($G$3-CHOOSE(PARAM!$B$44,MAX(0,F738*$F$1),0),0)*RATES!$L715/12+$H$3*(PARAM!$D$51/12)*RATES!$N715/100</f>
        <v>638.29166666666674</v>
      </c>
      <c r="F739" s="16">
        <f t="shared" si="496"/>
        <v>-80714.299733224034</v>
      </c>
      <c r="G739" s="15">
        <f t="shared" si="497"/>
        <v>22.035289406060361</v>
      </c>
      <c r="H739" s="75">
        <f>G739*(1-PARAM!$C$27)*$I$4+(MOD($B739,60)=PARAM!$B$56)*($B739&gt;(60-PARAM!$B$56))*HLOOKUP(($B739+PARAM!$B$56)/12,Loyalty,2)*$F$1*MAX(J738,0)</f>
        <v>18.443537232872522</v>
      </c>
      <c r="I739" s="75">
        <f>PARAM!$C$26+MAX($G$4-CHOOSE(PARAM!$B$44,MAX(0,J738*$F$1),0),0)*RATES!$L715/12+$H$4*(PARAM!$D$51/12)*RATES!$N715/100</f>
        <v>638.29166666666674</v>
      </c>
      <c r="J739" s="16">
        <f t="shared" si="498"/>
        <v>-79516.002050810086</v>
      </c>
      <c r="K739" s="15">
        <f t="shared" si="499"/>
        <v>22.170849845882874</v>
      </c>
      <c r="L739" s="75">
        <f>K739*(1-PARAM!$C$27)*$I$5+(MOD($B739,60)=PARAM!$B$56)*($B739&gt;(60-PARAM!$B$56))*HLOOKUP(($B739+PARAM!$B$56)/12,Loyalty,2)*$F$1*MAX(N738,0)</f>
        <v>18.557001321003963</v>
      </c>
      <c r="M739" s="75">
        <f>PARAM!$C$26+MAX($G$5-CHOOSE(PARAM!$B$44,MAX(0,N738*$F$1),0),0)*RATES!$L715/12+$H$5*(PARAM!$D$51/12)*RATES!$N715/100</f>
        <v>638.29166666666674</v>
      </c>
      <c r="N739" s="16">
        <f t="shared" si="500"/>
        <v>-79432.198083660827</v>
      </c>
      <c r="O739" s="15">
        <f t="shared" si="501"/>
        <v>22.170849845882874</v>
      </c>
      <c r="P739" s="75">
        <f>O739*(1-PARAM!$C$27)*$I$6+(MOD($B739,60)=PARAM!$B$56)*($B739&gt;(60-PARAM!$B$56))*HLOOKUP(($B739+PARAM!$B$56)/12,Loyalty,2)*$F$1*MAX(R738,0)</f>
        <v>18.557001321003963</v>
      </c>
      <c r="Q739" s="75">
        <f>PARAM!$C$26+MAX($G$6-CHOOSE(PARAM!$B$44,MAX(0,R738*$F$1),0),0)*RATES!$L715/12+$H$6*(PARAM!$D$51/12)*RATES!$N715/100</f>
        <v>638.29166666666674</v>
      </c>
      <c r="R739" s="16">
        <f t="shared" si="502"/>
        <v>-79432.198083660827</v>
      </c>
      <c r="S739" s="15">
        <f t="shared" si="477"/>
        <v>22.170849845882874</v>
      </c>
      <c r="T739" s="75">
        <f>S739*(1-PARAM!$C$27)*$I$7+(MOD($B739,60)=PARAM!$B$56)*($B739&gt;(60-PARAM!$B$56))*HLOOKUP(($B739+PARAM!$B$56)/12,Loyalty,2)*$F$1*MAX(V738,0)</f>
        <v>18.557001321003963</v>
      </c>
      <c r="U739" s="75">
        <f>PARAM!$C$26+MAX($G$7-CHOOSE(PARAM!$B$44,MAX(0,V738*$F$1),0),0)*RATES!$L715/12+$H$7*(PARAM!$D$51/12)*RATES!$N715/100</f>
        <v>638.29166666666674</v>
      </c>
      <c r="V739" s="16">
        <f t="shared" si="503"/>
        <v>-79432.198083660827</v>
      </c>
      <c r="W739" s="15">
        <f t="shared" si="478"/>
        <v>22.170849845882874</v>
      </c>
      <c r="X739" s="75">
        <f>W739*(1-PARAM!$C$27)*$I$8+(MOD($B739,60)=PARAM!$B$56)*($B739&gt;(60-PARAM!$B$56))*HLOOKUP(($B739+PARAM!$B$56)/12,Loyalty,2)*$F$1*MAX(Z738,0)</f>
        <v>18.557001321003963</v>
      </c>
      <c r="Y739" s="75">
        <f>PARAM!$C$26+MAX($G$8-CHOOSE(PARAM!$B$44,MAX(0,Z738*$F$1),0),0)*RATES!$L715/12+$H$8*(PARAM!$D$51/12)*RATES!$N715/100</f>
        <v>638.29166666666674</v>
      </c>
      <c r="Z739" s="16">
        <f t="shared" si="504"/>
        <v>-79432.198083660827</v>
      </c>
      <c r="AA739" s="15">
        <f t="shared" si="479"/>
        <v>22.170849845882874</v>
      </c>
      <c r="AB739" s="75">
        <f>AA739*(1-PARAM!$C$27)*$I$9+(MOD($B739,60)=PARAM!$B$56)*($B739&gt;(60-PARAM!$B$56))*HLOOKUP(($B739+PARAM!$B$56)/12,Loyalty,2)*$F$1*MAX(AD738,0)</f>
        <v>18.557001321003963</v>
      </c>
      <c r="AC739" s="75">
        <f>PARAM!$C$26+MAX($G$9-CHOOSE(PARAM!$B$44,MAX(0,AD738*$F$1),0),0)*RATES!$L715/12+$H$9*(PARAM!$D$51/12)*RATES!$N715/100</f>
        <v>638.29166666666674</v>
      </c>
      <c r="AD739" s="16">
        <f t="shared" si="505"/>
        <v>-79432.198083660827</v>
      </c>
      <c r="AE739" s="15">
        <f t="shared" si="480"/>
        <v>22.170849845882874</v>
      </c>
      <c r="AF739" s="75">
        <f>AE739*(1-PARAM!$C$27)*$I$10+(MOD($B739,60)=PARAM!$B$56)*($B739&gt;(60-PARAM!$B$56))*HLOOKUP(($B739+PARAM!$B$56)/12,Loyalty,2)*$F$1*MAX(AH738,0)</f>
        <v>18.557001321003963</v>
      </c>
      <c r="AG739" s="75">
        <f>PARAM!$C$26+MAX($G$10-CHOOSE(PARAM!$B$44,MAX(0,AH738*$F$1),0),0)*RATES!$L715/12+$H$10*(PARAM!$D$51/12)*RATES!$N715/100</f>
        <v>638.29166666666674</v>
      </c>
      <c r="AH739" s="16">
        <f t="shared" si="506"/>
        <v>-79432.198083660827</v>
      </c>
      <c r="AI739" s="15">
        <f t="shared" si="481"/>
        <v>22.170849845882874</v>
      </c>
      <c r="AJ739" s="75">
        <f>AI739*(1-PARAM!$C$27)*$I$11+(MOD($B739,60)=PARAM!$B$56)*($B739&gt;(60-PARAM!$B$56))*HLOOKUP(($B739+PARAM!$B$56)/12,Loyalty,2)*$F$1*MAX(AL738,0)</f>
        <v>18.557001321003963</v>
      </c>
      <c r="AK739" s="75">
        <f>PARAM!$C$26+MAX($G$11-CHOOSE(PARAM!$B$44,MAX(0,AL738*$F$1),0),0)*RATES!$L715/12+$H$11*(PARAM!$D$51/12)*RATES!$N715/100</f>
        <v>638.29166666666674</v>
      </c>
      <c r="AL739" s="16">
        <f t="shared" si="507"/>
        <v>-79432.198083660827</v>
      </c>
      <c r="AM739" s="15">
        <f t="shared" si="482"/>
        <v>22.170849845882874</v>
      </c>
      <c r="AN739" s="75">
        <f>AM739*(1-PARAM!$C$27)*$I$12+(MOD($B739,60)=PARAM!$B$56)*($B739&gt;(60-PARAM!$B$56))*HLOOKUP(($B739+PARAM!$B$56)/12,Loyalty,2)*$F$1*MAX(AP738,0)</f>
        <v>18.557001321003963</v>
      </c>
      <c r="AO739" s="75">
        <f>PARAM!$C$26+MAX($G$12-CHOOSE(PARAM!$B$44,MAX(0,AP738*$F$1),0),0)*RATES!$L715/12+$H$12*(PARAM!$D$51/12)*RATES!$N715/100</f>
        <v>638.29166666666674</v>
      </c>
      <c r="AP739" s="16">
        <f t="shared" si="508"/>
        <v>-79432.198083660827</v>
      </c>
      <c r="AQ739" s="15">
        <f t="shared" si="483"/>
        <v>22.170849845882874</v>
      </c>
      <c r="AR739" s="75">
        <f>AQ739*(1-PARAM!$C$27)*$I$13+(MOD($B739,60)=PARAM!$B$56)*($B739&gt;(60-PARAM!$B$56))*HLOOKUP(($B739+PARAM!$B$56)/12,Loyalty,2)*$F$1*MAX(AT738,0)</f>
        <v>18.557001321003963</v>
      </c>
      <c r="AS739" s="75">
        <f>PARAM!$C$26+MAX($G$13-CHOOSE(PARAM!$B$44,MAX(0,AT738*$F$1),0),0)*RATES!$L715/12+$H$13*(PARAM!$D$51/12)*RATES!$N715/100</f>
        <v>638.29166666666674</v>
      </c>
      <c r="AT739" s="16">
        <f t="shared" si="509"/>
        <v>-79432.198083660827</v>
      </c>
      <c r="AU739" s="15">
        <f t="shared" si="484"/>
        <v>22.170849845882874</v>
      </c>
      <c r="AV739" s="75">
        <f>AU739*(1-PARAM!$C$27)*$I$14+(MOD($B739,60)=PARAM!$B$56)*($B739&gt;(60-PARAM!$B$56))*HLOOKUP(($B739+PARAM!$B$56)/12,Loyalty,2)*$F$1*MAX(AX738,0)</f>
        <v>18.557001321003963</v>
      </c>
      <c r="AW739" s="75">
        <f>PARAM!$C$26+MAX($G$14-CHOOSE(PARAM!$B$44,MAX(0,AX738*$F$1),0),0)*RATES!$L715/12+$H$14*(PARAM!$D$51/12)*RATES!$N715/100</f>
        <v>638.29166666666674</v>
      </c>
      <c r="AX739" s="16">
        <f t="shared" si="510"/>
        <v>-79432.198083660827</v>
      </c>
      <c r="AY739" s="15">
        <f t="shared" si="485"/>
        <v>22.170849845882874</v>
      </c>
      <c r="AZ739" s="75">
        <f>AY739*(1-PARAM!$C$27)*$I$15+(MOD($B739,60)=PARAM!$B$56)*($B739&gt;(60-PARAM!$B$56))*HLOOKUP(($B739+PARAM!$B$56)/12,Loyalty,2)*$F$1*MAX(BB738,0)</f>
        <v>18.557001321003963</v>
      </c>
      <c r="BA739" s="75">
        <f>PARAM!$C$26+MAX($G$15-CHOOSE(PARAM!$B$44,MAX(0,BB738*$F$1),0),0)*RATES!$L715/12+$H$15*(PARAM!$D$51/12)*RATES!$N715/100</f>
        <v>638.29166666666674</v>
      </c>
      <c r="BB739" s="16">
        <f t="shared" si="511"/>
        <v>-79432.198083660827</v>
      </c>
      <c r="BC739" s="15">
        <f t="shared" si="486"/>
        <v>22.170849845882874</v>
      </c>
      <c r="BD739" s="75">
        <f>BC739*(1-PARAM!$C$27)*$I$16+(MOD($B739,60)=PARAM!$B$56)*($B739&gt;(60-PARAM!$B$56))*HLOOKUP(($B739+PARAM!$B$56)/12,Loyalty,2)*$F$1*MAX(BF738,0)</f>
        <v>18.557001321003963</v>
      </c>
      <c r="BE739" s="75">
        <f>PARAM!$C$26+MAX($G$16-CHOOSE(PARAM!$B$44,MAX(0,BF738*$F$1),0),0)*RATES!$L715/12+$H$16*(PARAM!$D$51/12)*RATES!$N715/100</f>
        <v>638.29166666666674</v>
      </c>
      <c r="BF739" s="16">
        <f t="shared" si="512"/>
        <v>-79432.198083660827</v>
      </c>
      <c r="BG739" s="15">
        <f t="shared" si="487"/>
        <v>22.170849845882874</v>
      </c>
      <c r="BH739" s="75">
        <f>BG739*(1-PARAM!$C$27)*$I$17+(MOD($B739,60)=PARAM!$B$56)*($B739&gt;(60-PARAM!$B$56))*HLOOKUP(($B739+PARAM!$B$56)/12,Loyalty,2)*$F$1*MAX(BJ738,0)</f>
        <v>18.557001321003963</v>
      </c>
      <c r="BI739" s="75">
        <f>PARAM!$C$26+MAX($G$17-CHOOSE(PARAM!$B$44,MAX(0,BJ738*$F$1),0),0)*RATES!$L715/12+$H$17*(PARAM!$D$51/12)*RATES!$N715/100</f>
        <v>638.29166666666674</v>
      </c>
      <c r="BJ739" s="16">
        <f t="shared" si="513"/>
        <v>-79432.198083660827</v>
      </c>
      <c r="BK739" s="15">
        <f t="shared" si="488"/>
        <v>22.170849845882874</v>
      </c>
      <c r="BL739" s="75">
        <f>BK739*(1-PARAM!$C$27)*$I$18+(MOD($B739,60)=PARAM!$B$56)*($B739&gt;(60-PARAM!$B$56))*HLOOKUP(($B739+PARAM!$B$56)/12,Loyalty,2)*$F$1*MAX(BN738,0)</f>
        <v>18.557001321003963</v>
      </c>
      <c r="BM739" s="75">
        <f>PARAM!$C$26+MAX($G$18-CHOOSE(PARAM!$B$44,MAX(0,BN738*$F$1),0),0)*RATES!$L715/12+$H$18*(PARAM!$D$51/12)*RATES!$N715/100</f>
        <v>638.29166666666674</v>
      </c>
      <c r="BN739" s="16">
        <f t="shared" si="514"/>
        <v>-79432.198083660827</v>
      </c>
      <c r="BO739" s="15">
        <f t="shared" si="489"/>
        <v>22.170849845882874</v>
      </c>
      <c r="BP739" s="75">
        <f>BO739*(1-PARAM!$C$27)*$I$19+(MOD($B739,60)=PARAM!$B$56)*($B739&gt;(60-PARAM!$B$56))*HLOOKUP(($B739+PARAM!$B$56)/12,Loyalty,2)*$F$1*MAX(BR738,0)</f>
        <v>18.557001321003963</v>
      </c>
      <c r="BQ739" s="75">
        <f>PARAM!$C$26+MAX($G$19-CHOOSE(PARAM!$B$44,MAX(0,BR738*$F$1),0),0)*RATES!$L715/12+$H$19*(PARAM!$D$51/12)*RATES!$N715/100</f>
        <v>638.29166666666674</v>
      </c>
      <c r="BR739" s="16">
        <f t="shared" si="515"/>
        <v>-79432.198083660827</v>
      </c>
      <c r="BS739" s="15">
        <f t="shared" si="490"/>
        <v>22.170849845882874</v>
      </c>
      <c r="BT739" s="75">
        <f>BS739*(1-PARAM!$C$27)*$I$20+(MOD($B739,60)=PARAM!$B$56)*($B739&gt;(60-PARAM!$B$56))*HLOOKUP(($B739+PARAM!$B$56)/12,Loyalty,2)*$F$1*MAX(BV738,0)</f>
        <v>18.557001321003963</v>
      </c>
      <c r="BU739" s="75">
        <f>PARAM!$C$26+MAX($G$20-CHOOSE(PARAM!$B$44,MAX(0,BV738*$F$1),0),0)*RATES!$L715/12+$H$20*(PARAM!$D$51/12)*RATES!$N715/100</f>
        <v>638.29166666666674</v>
      </c>
      <c r="BV739" s="16">
        <f t="shared" si="516"/>
        <v>-79432.198083660827</v>
      </c>
      <c r="BW739" s="15">
        <f t="shared" si="491"/>
        <v>22.170849845882874</v>
      </c>
      <c r="BX739" s="75">
        <f>BW739*(1-PARAM!$C$27)*$I$21+(MOD($B739,60)=PARAM!$B$56)*($B739&gt;(60-PARAM!$B$56))*HLOOKUP(($B739+PARAM!$B$56)/12,Loyalty,2)*$F$1*MAX(BZ738,0)</f>
        <v>18.557001321003963</v>
      </c>
      <c r="BY739" s="75">
        <f>PARAM!$C$26+MAX($G$21-CHOOSE(PARAM!$B$44,MAX(0,BZ738*$F$1),0),0)*RATES!$L715/12+$H$21*(PARAM!$D$51/12)*RATES!$N715/100</f>
        <v>638.29166666666674</v>
      </c>
      <c r="BZ739" s="16">
        <f t="shared" si="517"/>
        <v>-79432.198083660827</v>
      </c>
      <c r="CA739" s="15">
        <f t="shared" si="492"/>
        <v>22.170849845882874</v>
      </c>
      <c r="CB739" s="75">
        <f>CA739*(1-PARAM!$C$27)*$I$22+(MOD($B739,60)=PARAM!$B$56)*($B739&gt;(60-PARAM!$B$56))*HLOOKUP(($B739+PARAM!$B$56)/12,Loyalty,2)*$F$1*MAX(CD738,0)</f>
        <v>18.557001321003963</v>
      </c>
      <c r="CC739" s="75">
        <f>PARAM!$C$26+MAX($G$22-CHOOSE(PARAM!$B$44,MAX(0,CD738*$F$1),0),0)*RATES!$L715/12+$H$22*(PARAM!$D$51/12)*RATES!$N715/100</f>
        <v>638.29166666666674</v>
      </c>
      <c r="CD739" s="16">
        <f t="shared" si="518"/>
        <v>-79432.198083660827</v>
      </c>
      <c r="CE739" s="33">
        <f>IF(0=MOD(B739,12/PARAM!$D$51),1,0)</f>
        <v>1</v>
      </c>
      <c r="CF739" s="15">
        <f t="shared" si="493"/>
        <v>0</v>
      </c>
      <c r="CG739" s="75">
        <f>CF739*(1-PARAM!$C$27)*$R$3+(MOD($B739/12,5)=0)*($B739&gt;60)*HLOOKUP($B739/12,Loyalty,2)*$F$1*MAX(CI738,0)</f>
        <v>0</v>
      </c>
      <c r="CH739" s="75">
        <f>PARAM!$C$26+MAX($P$3-CHOOSE(PARAM!$B$44,MAX(0,CI738*$F$1),0),0)*RATES!$L715/12+$Q$3*(PARAM!$D$51/12)*RATES!$N715/100</f>
        <v>638.29166666666674</v>
      </c>
      <c r="CI739" s="16">
        <f>IF(CI738&gt;0,CI738*PARAM!$C$53,CI738)+CG739-CH739</f>
        <v>-92525.208333333561</v>
      </c>
      <c r="CJ739" s="15">
        <f t="shared" si="519"/>
        <v>0</v>
      </c>
      <c r="CK739" s="75">
        <f>CJ739*(1-PARAM!$C$27)*$R$4+(MOD($B739/12,5)=0)*($B739&gt;60)*HLOOKUP($B739/12,Loyalty,2)*$F$1*MAX(CM738,0)</f>
        <v>0</v>
      </c>
      <c r="CL739" s="75">
        <f>PARAM!$C$26+MAX($P$4-CHOOSE(PARAM!$B$44,MAX(0,CM738*$F$1),0),0)*RATES!$L715/12+$Q$4*(PARAM!$D$51/12)*RATES!$N715/100</f>
        <v>638.29166666666674</v>
      </c>
      <c r="CM739" s="16">
        <f>IF(CM738&gt;0,CM738*PARAM!$C$53,CM738)+CK739-CL739</f>
        <v>-92525.208333333561</v>
      </c>
      <c r="CO739" s="176"/>
    </row>
    <row r="740" spans="1:93" x14ac:dyDescent="0.2">
      <c r="A740" t="b">
        <f t="shared" si="494"/>
        <v>0</v>
      </c>
      <c r="B740" s="33">
        <v>713</v>
      </c>
      <c r="C740" s="15">
        <f t="shared" si="495"/>
        <v>20.081305947392778</v>
      </c>
      <c r="D740" s="75">
        <f>C740*(1-PARAM!$C$27)*$I$3+(MOD($B740,60)=PARAM!$B$56)*($B740&gt;(60-PARAM!$B$56))*HLOOKUP(($B740+PARAM!$B$56)/12,Loyalty,2)*$F$1*MAX(F739,0)</f>
        <v>16.808053077967756</v>
      </c>
      <c r="E740" s="75">
        <f>PARAM!$C$26+MAX($G$3-CHOOSE(PARAM!$B$44,MAX(0,F739*$F$1),0),0)*RATES!$L716/12+$H$3*(PARAM!$D$51/12)*RATES!$N716/100</f>
        <v>638.29166666666674</v>
      </c>
      <c r="F740" s="16">
        <f t="shared" si="496"/>
        <v>-81335.783346812736</v>
      </c>
      <c r="G740" s="15">
        <f t="shared" si="497"/>
        <v>22.035289406060361</v>
      </c>
      <c r="H740" s="75">
        <f>G740*(1-PARAM!$C$27)*$I$4+(MOD($B740,60)=PARAM!$B$56)*($B740&gt;(60-PARAM!$B$56))*HLOOKUP(($B740+PARAM!$B$56)/12,Loyalty,2)*$F$1*MAX(J739,0)</f>
        <v>18.443537232872522</v>
      </c>
      <c r="I740" s="75">
        <f>PARAM!$C$26+MAX($G$4-CHOOSE(PARAM!$B$44,MAX(0,J739*$F$1),0),0)*RATES!$L716/12+$H$4*(PARAM!$D$51/12)*RATES!$N716/100</f>
        <v>638.29166666666674</v>
      </c>
      <c r="J740" s="16">
        <f t="shared" si="498"/>
        <v>-80135.850180243884</v>
      </c>
      <c r="K740" s="15">
        <f t="shared" si="499"/>
        <v>22.170849845882874</v>
      </c>
      <c r="L740" s="75">
        <f>K740*(1-PARAM!$C$27)*$I$5+(MOD($B740,60)=PARAM!$B$56)*($B740&gt;(60-PARAM!$B$56))*HLOOKUP(($B740+PARAM!$B$56)/12,Loyalty,2)*$F$1*MAX(N739,0)</f>
        <v>18.557001321003963</v>
      </c>
      <c r="M740" s="75">
        <f>PARAM!$C$26+MAX($G$5-CHOOSE(PARAM!$B$44,MAX(0,N739*$F$1),0),0)*RATES!$L716/12+$H$5*(PARAM!$D$51/12)*RATES!$N716/100</f>
        <v>638.29166666666674</v>
      </c>
      <c r="N740" s="16">
        <f t="shared" si="500"/>
        <v>-80051.93274900649</v>
      </c>
      <c r="O740" s="15">
        <f t="shared" si="501"/>
        <v>22.170849845882874</v>
      </c>
      <c r="P740" s="75">
        <f>O740*(1-PARAM!$C$27)*$I$6+(MOD($B740,60)=PARAM!$B$56)*($B740&gt;(60-PARAM!$B$56))*HLOOKUP(($B740+PARAM!$B$56)/12,Loyalty,2)*$F$1*MAX(R739,0)</f>
        <v>18.557001321003963</v>
      </c>
      <c r="Q740" s="75">
        <f>PARAM!$C$26+MAX($G$6-CHOOSE(PARAM!$B$44,MAX(0,R739*$F$1),0),0)*RATES!$L716/12+$H$6*(PARAM!$D$51/12)*RATES!$N716/100</f>
        <v>638.29166666666674</v>
      </c>
      <c r="R740" s="16">
        <f t="shared" si="502"/>
        <v>-80051.93274900649</v>
      </c>
      <c r="S740" s="15">
        <f t="shared" si="477"/>
        <v>22.170849845882874</v>
      </c>
      <c r="T740" s="75">
        <f>S740*(1-PARAM!$C$27)*$I$7+(MOD($B740,60)=PARAM!$B$56)*($B740&gt;(60-PARAM!$B$56))*HLOOKUP(($B740+PARAM!$B$56)/12,Loyalty,2)*$F$1*MAX(V739,0)</f>
        <v>18.557001321003963</v>
      </c>
      <c r="U740" s="75">
        <f>PARAM!$C$26+MAX($G$7-CHOOSE(PARAM!$B$44,MAX(0,V739*$F$1),0),0)*RATES!$L716/12+$H$7*(PARAM!$D$51/12)*RATES!$N716/100</f>
        <v>638.29166666666674</v>
      </c>
      <c r="V740" s="16">
        <f t="shared" si="503"/>
        <v>-80051.93274900649</v>
      </c>
      <c r="W740" s="15">
        <f t="shared" si="478"/>
        <v>22.170849845882874</v>
      </c>
      <c r="X740" s="75">
        <f>W740*(1-PARAM!$C$27)*$I$8+(MOD($B740,60)=PARAM!$B$56)*($B740&gt;(60-PARAM!$B$56))*HLOOKUP(($B740+PARAM!$B$56)/12,Loyalty,2)*$F$1*MAX(Z739,0)</f>
        <v>18.557001321003963</v>
      </c>
      <c r="Y740" s="75">
        <f>PARAM!$C$26+MAX($G$8-CHOOSE(PARAM!$B$44,MAX(0,Z739*$F$1),0),0)*RATES!$L716/12+$H$8*(PARAM!$D$51/12)*RATES!$N716/100</f>
        <v>638.29166666666674</v>
      </c>
      <c r="Z740" s="16">
        <f t="shared" si="504"/>
        <v>-80051.93274900649</v>
      </c>
      <c r="AA740" s="15">
        <f t="shared" si="479"/>
        <v>22.170849845882874</v>
      </c>
      <c r="AB740" s="75">
        <f>AA740*(1-PARAM!$C$27)*$I$9+(MOD($B740,60)=PARAM!$B$56)*($B740&gt;(60-PARAM!$B$56))*HLOOKUP(($B740+PARAM!$B$56)/12,Loyalty,2)*$F$1*MAX(AD739,0)</f>
        <v>18.557001321003963</v>
      </c>
      <c r="AC740" s="75">
        <f>PARAM!$C$26+MAX($G$9-CHOOSE(PARAM!$B$44,MAX(0,AD739*$F$1),0),0)*RATES!$L716/12+$H$9*(PARAM!$D$51/12)*RATES!$N716/100</f>
        <v>638.29166666666674</v>
      </c>
      <c r="AD740" s="16">
        <f t="shared" si="505"/>
        <v>-80051.93274900649</v>
      </c>
      <c r="AE740" s="15">
        <f t="shared" si="480"/>
        <v>22.170849845882874</v>
      </c>
      <c r="AF740" s="75">
        <f>AE740*(1-PARAM!$C$27)*$I$10+(MOD($B740,60)=PARAM!$B$56)*($B740&gt;(60-PARAM!$B$56))*HLOOKUP(($B740+PARAM!$B$56)/12,Loyalty,2)*$F$1*MAX(AH739,0)</f>
        <v>18.557001321003963</v>
      </c>
      <c r="AG740" s="75">
        <f>PARAM!$C$26+MAX($G$10-CHOOSE(PARAM!$B$44,MAX(0,AH739*$F$1),0),0)*RATES!$L716/12+$H$10*(PARAM!$D$51/12)*RATES!$N716/100</f>
        <v>638.29166666666674</v>
      </c>
      <c r="AH740" s="16">
        <f t="shared" si="506"/>
        <v>-80051.93274900649</v>
      </c>
      <c r="AI740" s="15">
        <f t="shared" si="481"/>
        <v>22.170849845882874</v>
      </c>
      <c r="AJ740" s="75">
        <f>AI740*(1-PARAM!$C$27)*$I$11+(MOD($B740,60)=PARAM!$B$56)*($B740&gt;(60-PARAM!$B$56))*HLOOKUP(($B740+PARAM!$B$56)/12,Loyalty,2)*$F$1*MAX(AL739,0)</f>
        <v>18.557001321003963</v>
      </c>
      <c r="AK740" s="75">
        <f>PARAM!$C$26+MAX($G$11-CHOOSE(PARAM!$B$44,MAX(0,AL739*$F$1),0),0)*RATES!$L716/12+$H$11*(PARAM!$D$51/12)*RATES!$N716/100</f>
        <v>638.29166666666674</v>
      </c>
      <c r="AL740" s="16">
        <f t="shared" si="507"/>
        <v>-80051.93274900649</v>
      </c>
      <c r="AM740" s="15">
        <f t="shared" si="482"/>
        <v>22.170849845882874</v>
      </c>
      <c r="AN740" s="75">
        <f>AM740*(1-PARAM!$C$27)*$I$12+(MOD($B740,60)=PARAM!$B$56)*($B740&gt;(60-PARAM!$B$56))*HLOOKUP(($B740+PARAM!$B$56)/12,Loyalty,2)*$F$1*MAX(AP739,0)</f>
        <v>18.557001321003963</v>
      </c>
      <c r="AO740" s="75">
        <f>PARAM!$C$26+MAX($G$12-CHOOSE(PARAM!$B$44,MAX(0,AP739*$F$1),0),0)*RATES!$L716/12+$H$12*(PARAM!$D$51/12)*RATES!$N716/100</f>
        <v>638.29166666666674</v>
      </c>
      <c r="AP740" s="16">
        <f t="shared" si="508"/>
        <v>-80051.93274900649</v>
      </c>
      <c r="AQ740" s="15">
        <f t="shared" si="483"/>
        <v>22.170849845882874</v>
      </c>
      <c r="AR740" s="75">
        <f>AQ740*(1-PARAM!$C$27)*$I$13+(MOD($B740,60)=PARAM!$B$56)*($B740&gt;(60-PARAM!$B$56))*HLOOKUP(($B740+PARAM!$B$56)/12,Loyalty,2)*$F$1*MAX(AT739,0)</f>
        <v>18.557001321003963</v>
      </c>
      <c r="AS740" s="75">
        <f>PARAM!$C$26+MAX($G$13-CHOOSE(PARAM!$B$44,MAX(0,AT739*$F$1),0),0)*RATES!$L716/12+$H$13*(PARAM!$D$51/12)*RATES!$N716/100</f>
        <v>638.29166666666674</v>
      </c>
      <c r="AT740" s="16">
        <f t="shared" si="509"/>
        <v>-80051.93274900649</v>
      </c>
      <c r="AU740" s="15">
        <f t="shared" si="484"/>
        <v>22.170849845882874</v>
      </c>
      <c r="AV740" s="75">
        <f>AU740*(1-PARAM!$C$27)*$I$14+(MOD($B740,60)=PARAM!$B$56)*($B740&gt;(60-PARAM!$B$56))*HLOOKUP(($B740+PARAM!$B$56)/12,Loyalty,2)*$F$1*MAX(AX739,0)</f>
        <v>18.557001321003963</v>
      </c>
      <c r="AW740" s="75">
        <f>PARAM!$C$26+MAX($G$14-CHOOSE(PARAM!$B$44,MAX(0,AX739*$F$1),0),0)*RATES!$L716/12+$H$14*(PARAM!$D$51/12)*RATES!$N716/100</f>
        <v>638.29166666666674</v>
      </c>
      <c r="AX740" s="16">
        <f t="shared" si="510"/>
        <v>-80051.93274900649</v>
      </c>
      <c r="AY740" s="15">
        <f t="shared" si="485"/>
        <v>22.170849845882874</v>
      </c>
      <c r="AZ740" s="75">
        <f>AY740*(1-PARAM!$C$27)*$I$15+(MOD($B740,60)=PARAM!$B$56)*($B740&gt;(60-PARAM!$B$56))*HLOOKUP(($B740+PARAM!$B$56)/12,Loyalty,2)*$F$1*MAX(BB739,0)</f>
        <v>18.557001321003963</v>
      </c>
      <c r="BA740" s="75">
        <f>PARAM!$C$26+MAX($G$15-CHOOSE(PARAM!$B$44,MAX(0,BB739*$F$1),0),0)*RATES!$L716/12+$H$15*(PARAM!$D$51/12)*RATES!$N716/100</f>
        <v>638.29166666666674</v>
      </c>
      <c r="BB740" s="16">
        <f t="shared" si="511"/>
        <v>-80051.93274900649</v>
      </c>
      <c r="BC740" s="15">
        <f t="shared" si="486"/>
        <v>22.170849845882874</v>
      </c>
      <c r="BD740" s="75">
        <f>BC740*(1-PARAM!$C$27)*$I$16+(MOD($B740,60)=PARAM!$B$56)*($B740&gt;(60-PARAM!$B$56))*HLOOKUP(($B740+PARAM!$B$56)/12,Loyalty,2)*$F$1*MAX(BF739,0)</f>
        <v>18.557001321003963</v>
      </c>
      <c r="BE740" s="75">
        <f>PARAM!$C$26+MAX($G$16-CHOOSE(PARAM!$B$44,MAX(0,BF739*$F$1),0),0)*RATES!$L716/12+$H$16*(PARAM!$D$51/12)*RATES!$N716/100</f>
        <v>638.29166666666674</v>
      </c>
      <c r="BF740" s="16">
        <f t="shared" si="512"/>
        <v>-80051.93274900649</v>
      </c>
      <c r="BG740" s="15">
        <f t="shared" si="487"/>
        <v>22.170849845882874</v>
      </c>
      <c r="BH740" s="75">
        <f>BG740*(1-PARAM!$C$27)*$I$17+(MOD($B740,60)=PARAM!$B$56)*($B740&gt;(60-PARAM!$B$56))*HLOOKUP(($B740+PARAM!$B$56)/12,Loyalty,2)*$F$1*MAX(BJ739,0)</f>
        <v>18.557001321003963</v>
      </c>
      <c r="BI740" s="75">
        <f>PARAM!$C$26+MAX($G$17-CHOOSE(PARAM!$B$44,MAX(0,BJ739*$F$1),0),0)*RATES!$L716/12+$H$17*(PARAM!$D$51/12)*RATES!$N716/100</f>
        <v>638.29166666666674</v>
      </c>
      <c r="BJ740" s="16">
        <f t="shared" si="513"/>
        <v>-80051.93274900649</v>
      </c>
      <c r="BK740" s="15">
        <f t="shared" si="488"/>
        <v>22.170849845882874</v>
      </c>
      <c r="BL740" s="75">
        <f>BK740*(1-PARAM!$C$27)*$I$18+(MOD($B740,60)=PARAM!$B$56)*($B740&gt;(60-PARAM!$B$56))*HLOOKUP(($B740+PARAM!$B$56)/12,Loyalty,2)*$F$1*MAX(BN739,0)</f>
        <v>18.557001321003963</v>
      </c>
      <c r="BM740" s="75">
        <f>PARAM!$C$26+MAX($G$18-CHOOSE(PARAM!$B$44,MAX(0,BN739*$F$1),0),0)*RATES!$L716/12+$H$18*(PARAM!$D$51/12)*RATES!$N716/100</f>
        <v>638.29166666666674</v>
      </c>
      <c r="BN740" s="16">
        <f t="shared" si="514"/>
        <v>-80051.93274900649</v>
      </c>
      <c r="BO740" s="15">
        <f t="shared" si="489"/>
        <v>22.170849845882874</v>
      </c>
      <c r="BP740" s="75">
        <f>BO740*(1-PARAM!$C$27)*$I$19+(MOD($B740,60)=PARAM!$B$56)*($B740&gt;(60-PARAM!$B$56))*HLOOKUP(($B740+PARAM!$B$56)/12,Loyalty,2)*$F$1*MAX(BR739,0)</f>
        <v>18.557001321003963</v>
      </c>
      <c r="BQ740" s="75">
        <f>PARAM!$C$26+MAX($G$19-CHOOSE(PARAM!$B$44,MAX(0,BR739*$F$1),0),0)*RATES!$L716/12+$H$19*(PARAM!$D$51/12)*RATES!$N716/100</f>
        <v>638.29166666666674</v>
      </c>
      <c r="BR740" s="16">
        <f t="shared" si="515"/>
        <v>-80051.93274900649</v>
      </c>
      <c r="BS740" s="15">
        <f t="shared" si="490"/>
        <v>22.170849845882874</v>
      </c>
      <c r="BT740" s="75">
        <f>BS740*(1-PARAM!$C$27)*$I$20+(MOD($B740,60)=PARAM!$B$56)*($B740&gt;(60-PARAM!$B$56))*HLOOKUP(($B740+PARAM!$B$56)/12,Loyalty,2)*$F$1*MAX(BV739,0)</f>
        <v>18.557001321003963</v>
      </c>
      <c r="BU740" s="75">
        <f>PARAM!$C$26+MAX($G$20-CHOOSE(PARAM!$B$44,MAX(0,BV739*$F$1),0),0)*RATES!$L716/12+$H$20*(PARAM!$D$51/12)*RATES!$N716/100</f>
        <v>638.29166666666674</v>
      </c>
      <c r="BV740" s="16">
        <f t="shared" si="516"/>
        <v>-80051.93274900649</v>
      </c>
      <c r="BW740" s="15">
        <f t="shared" si="491"/>
        <v>22.170849845882874</v>
      </c>
      <c r="BX740" s="75">
        <f>BW740*(1-PARAM!$C$27)*$I$21+(MOD($B740,60)=PARAM!$B$56)*($B740&gt;(60-PARAM!$B$56))*HLOOKUP(($B740+PARAM!$B$56)/12,Loyalty,2)*$F$1*MAX(BZ739,0)</f>
        <v>18.557001321003963</v>
      </c>
      <c r="BY740" s="75">
        <f>PARAM!$C$26+MAX($G$21-CHOOSE(PARAM!$B$44,MAX(0,BZ739*$F$1),0),0)*RATES!$L716/12+$H$21*(PARAM!$D$51/12)*RATES!$N716/100</f>
        <v>638.29166666666674</v>
      </c>
      <c r="BZ740" s="16">
        <f t="shared" si="517"/>
        <v>-80051.93274900649</v>
      </c>
      <c r="CA740" s="15">
        <f t="shared" si="492"/>
        <v>22.170849845882874</v>
      </c>
      <c r="CB740" s="75">
        <f>CA740*(1-PARAM!$C$27)*$I$22+(MOD($B740,60)=PARAM!$B$56)*($B740&gt;(60-PARAM!$B$56))*HLOOKUP(($B740+PARAM!$B$56)/12,Loyalty,2)*$F$1*MAX(CD739,0)</f>
        <v>18.557001321003963</v>
      </c>
      <c r="CC740" s="75">
        <f>PARAM!$C$26+MAX($G$22-CHOOSE(PARAM!$B$44,MAX(0,CD739*$F$1),0),0)*RATES!$L716/12+$H$22*(PARAM!$D$51/12)*RATES!$N716/100</f>
        <v>638.29166666666674</v>
      </c>
      <c r="CD740" s="16">
        <f t="shared" si="518"/>
        <v>-80051.93274900649</v>
      </c>
      <c r="CE740" s="33">
        <f>IF(0=MOD(B740,12/PARAM!$D$51),1,0)</f>
        <v>1</v>
      </c>
      <c r="CF740" s="15">
        <f t="shared" si="493"/>
        <v>0</v>
      </c>
      <c r="CG740" s="75">
        <f>CF740*(1-PARAM!$C$27)*$R$3+(MOD($B740/12,5)=0)*($B740&gt;60)*HLOOKUP($B740/12,Loyalty,2)*$F$1*MAX(CI739,0)</f>
        <v>0</v>
      </c>
      <c r="CH740" s="75">
        <f>PARAM!$C$26+MAX($P$3-CHOOSE(PARAM!$B$44,MAX(0,CI739*$F$1),0),0)*RATES!$L716/12+$Q$3*(PARAM!$D$51/12)*RATES!$N716/100</f>
        <v>638.29166666666674</v>
      </c>
      <c r="CI740" s="16">
        <f>IF(CI739&gt;0,CI739*PARAM!$C$53,CI739)+CG740-CH740</f>
        <v>-93163.500000000233</v>
      </c>
      <c r="CJ740" s="15">
        <f t="shared" si="519"/>
        <v>0</v>
      </c>
      <c r="CK740" s="75">
        <f>CJ740*(1-PARAM!$C$27)*$R$4+(MOD($B740/12,5)=0)*($B740&gt;60)*HLOOKUP($B740/12,Loyalty,2)*$F$1*MAX(CM739,0)</f>
        <v>0</v>
      </c>
      <c r="CL740" s="75">
        <f>PARAM!$C$26+MAX($P$4-CHOOSE(PARAM!$B$44,MAX(0,CM739*$F$1),0),0)*RATES!$L716/12+$Q$4*(PARAM!$D$51/12)*RATES!$N716/100</f>
        <v>638.29166666666674</v>
      </c>
      <c r="CM740" s="16">
        <f>IF(CM739&gt;0,CM739*PARAM!$C$53,CM739)+CK740-CL740</f>
        <v>-93163.500000000233</v>
      </c>
      <c r="CO740" s="176"/>
    </row>
    <row r="741" spans="1:93" x14ac:dyDescent="0.2">
      <c r="A741" t="b">
        <f t="shared" si="494"/>
        <v>0</v>
      </c>
      <c r="B741" s="33">
        <v>714</v>
      </c>
      <c r="C741" s="15">
        <f t="shared" si="495"/>
        <v>20.081305947392778</v>
      </c>
      <c r="D741" s="75">
        <f>C741*(1-PARAM!$C$27)*$I$3+(MOD($B741,60)=PARAM!$B$56)*($B741&gt;(60-PARAM!$B$56))*HLOOKUP(($B741+PARAM!$B$56)/12,Loyalty,2)*$F$1*MAX(F740,0)</f>
        <v>16.808053077967756</v>
      </c>
      <c r="E741" s="75">
        <f>PARAM!$C$26+MAX($G$3-CHOOSE(PARAM!$B$44,MAX(0,F740*$F$1),0),0)*RATES!$L717/12+$H$3*(PARAM!$D$51/12)*RATES!$N717/100</f>
        <v>688.54166666666663</v>
      </c>
      <c r="F741" s="16">
        <f t="shared" si="496"/>
        <v>-82007.516960401437</v>
      </c>
      <c r="G741" s="15">
        <f t="shared" si="497"/>
        <v>22.035289406060361</v>
      </c>
      <c r="H741" s="75">
        <f>G741*(1-PARAM!$C$27)*$I$4+(MOD($B741,60)=PARAM!$B$56)*($B741&gt;(60-PARAM!$B$56))*HLOOKUP(($B741+PARAM!$B$56)/12,Loyalty,2)*$F$1*MAX(J740,0)</f>
        <v>18.443537232872522</v>
      </c>
      <c r="I741" s="75">
        <f>PARAM!$C$26+MAX($G$4-CHOOSE(PARAM!$B$44,MAX(0,J740*$F$1),0),0)*RATES!$L717/12+$H$4*(PARAM!$D$51/12)*RATES!$N717/100</f>
        <v>688.54166666666663</v>
      </c>
      <c r="J741" s="16">
        <f t="shared" si="498"/>
        <v>-80805.948309677682</v>
      </c>
      <c r="K741" s="15">
        <f t="shared" si="499"/>
        <v>22.170849845882874</v>
      </c>
      <c r="L741" s="75">
        <f>K741*(1-PARAM!$C$27)*$I$5+(MOD($B741,60)=PARAM!$B$56)*($B741&gt;(60-PARAM!$B$56))*HLOOKUP(($B741+PARAM!$B$56)/12,Loyalty,2)*$F$1*MAX(N740,0)</f>
        <v>18.557001321003963</v>
      </c>
      <c r="M741" s="75">
        <f>PARAM!$C$26+MAX($G$5-CHOOSE(PARAM!$B$44,MAX(0,N740*$F$1),0),0)*RATES!$L717/12+$H$5*(PARAM!$D$51/12)*RATES!$N717/100</f>
        <v>688.54166666666663</v>
      </c>
      <c r="N741" s="16">
        <f t="shared" si="500"/>
        <v>-80721.917414352152</v>
      </c>
      <c r="O741" s="15">
        <f t="shared" si="501"/>
        <v>22.170849845882874</v>
      </c>
      <c r="P741" s="75">
        <f>O741*(1-PARAM!$C$27)*$I$6+(MOD($B741,60)=PARAM!$B$56)*($B741&gt;(60-PARAM!$B$56))*HLOOKUP(($B741+PARAM!$B$56)/12,Loyalty,2)*$F$1*MAX(R740,0)</f>
        <v>18.557001321003963</v>
      </c>
      <c r="Q741" s="75">
        <f>PARAM!$C$26+MAX($G$6-CHOOSE(PARAM!$B$44,MAX(0,R740*$F$1),0),0)*RATES!$L717/12+$H$6*(PARAM!$D$51/12)*RATES!$N717/100</f>
        <v>688.54166666666663</v>
      </c>
      <c r="R741" s="16">
        <f t="shared" si="502"/>
        <v>-80721.917414352152</v>
      </c>
      <c r="S741" s="15">
        <f t="shared" si="477"/>
        <v>22.170849845882874</v>
      </c>
      <c r="T741" s="75">
        <f>S741*(1-PARAM!$C$27)*$I$7+(MOD($B741,60)=PARAM!$B$56)*($B741&gt;(60-PARAM!$B$56))*HLOOKUP(($B741+PARAM!$B$56)/12,Loyalty,2)*$F$1*MAX(V740,0)</f>
        <v>18.557001321003963</v>
      </c>
      <c r="U741" s="75">
        <f>PARAM!$C$26+MAX($G$7-CHOOSE(PARAM!$B$44,MAX(0,V740*$F$1),0),0)*RATES!$L717/12+$H$7*(PARAM!$D$51/12)*RATES!$N717/100</f>
        <v>688.54166666666663</v>
      </c>
      <c r="V741" s="16">
        <f t="shared" si="503"/>
        <v>-80721.917414352152</v>
      </c>
      <c r="W741" s="15">
        <f t="shared" si="478"/>
        <v>22.170849845882874</v>
      </c>
      <c r="X741" s="75">
        <f>W741*(1-PARAM!$C$27)*$I$8+(MOD($B741,60)=PARAM!$B$56)*($B741&gt;(60-PARAM!$B$56))*HLOOKUP(($B741+PARAM!$B$56)/12,Loyalty,2)*$F$1*MAX(Z740,0)</f>
        <v>18.557001321003963</v>
      </c>
      <c r="Y741" s="75">
        <f>PARAM!$C$26+MAX($G$8-CHOOSE(PARAM!$B$44,MAX(0,Z740*$F$1),0),0)*RATES!$L717/12+$H$8*(PARAM!$D$51/12)*RATES!$N717/100</f>
        <v>688.54166666666663</v>
      </c>
      <c r="Z741" s="16">
        <f t="shared" si="504"/>
        <v>-80721.917414352152</v>
      </c>
      <c r="AA741" s="15">
        <f t="shared" si="479"/>
        <v>22.170849845882874</v>
      </c>
      <c r="AB741" s="75">
        <f>AA741*(1-PARAM!$C$27)*$I$9+(MOD($B741,60)=PARAM!$B$56)*($B741&gt;(60-PARAM!$B$56))*HLOOKUP(($B741+PARAM!$B$56)/12,Loyalty,2)*$F$1*MAX(AD740,0)</f>
        <v>18.557001321003963</v>
      </c>
      <c r="AC741" s="75">
        <f>PARAM!$C$26+MAX($G$9-CHOOSE(PARAM!$B$44,MAX(0,AD740*$F$1),0),0)*RATES!$L717/12+$H$9*(PARAM!$D$51/12)*RATES!$N717/100</f>
        <v>688.54166666666663</v>
      </c>
      <c r="AD741" s="16">
        <f t="shared" si="505"/>
        <v>-80721.917414352152</v>
      </c>
      <c r="AE741" s="15">
        <f t="shared" si="480"/>
        <v>22.170849845882874</v>
      </c>
      <c r="AF741" s="75">
        <f>AE741*(1-PARAM!$C$27)*$I$10+(MOD($B741,60)=PARAM!$B$56)*($B741&gt;(60-PARAM!$B$56))*HLOOKUP(($B741+PARAM!$B$56)/12,Loyalty,2)*$F$1*MAX(AH740,0)</f>
        <v>18.557001321003963</v>
      </c>
      <c r="AG741" s="75">
        <f>PARAM!$C$26+MAX($G$10-CHOOSE(PARAM!$B$44,MAX(0,AH740*$F$1),0),0)*RATES!$L717/12+$H$10*(PARAM!$D$51/12)*RATES!$N717/100</f>
        <v>688.54166666666663</v>
      </c>
      <c r="AH741" s="16">
        <f t="shared" si="506"/>
        <v>-80721.917414352152</v>
      </c>
      <c r="AI741" s="15">
        <f t="shared" si="481"/>
        <v>22.170849845882874</v>
      </c>
      <c r="AJ741" s="75">
        <f>AI741*(1-PARAM!$C$27)*$I$11+(MOD($B741,60)=PARAM!$B$56)*($B741&gt;(60-PARAM!$B$56))*HLOOKUP(($B741+PARAM!$B$56)/12,Loyalty,2)*$F$1*MAX(AL740,0)</f>
        <v>18.557001321003963</v>
      </c>
      <c r="AK741" s="75">
        <f>PARAM!$C$26+MAX($G$11-CHOOSE(PARAM!$B$44,MAX(0,AL740*$F$1),0),0)*RATES!$L717/12+$H$11*(PARAM!$D$51/12)*RATES!$N717/100</f>
        <v>688.54166666666663</v>
      </c>
      <c r="AL741" s="16">
        <f t="shared" si="507"/>
        <v>-80721.917414352152</v>
      </c>
      <c r="AM741" s="15">
        <f t="shared" si="482"/>
        <v>22.170849845882874</v>
      </c>
      <c r="AN741" s="75">
        <f>AM741*(1-PARAM!$C$27)*$I$12+(MOD($B741,60)=PARAM!$B$56)*($B741&gt;(60-PARAM!$B$56))*HLOOKUP(($B741+PARAM!$B$56)/12,Loyalty,2)*$F$1*MAX(AP740,0)</f>
        <v>18.557001321003963</v>
      </c>
      <c r="AO741" s="75">
        <f>PARAM!$C$26+MAX($G$12-CHOOSE(PARAM!$B$44,MAX(0,AP740*$F$1),0),0)*RATES!$L717/12+$H$12*(PARAM!$D$51/12)*RATES!$N717/100</f>
        <v>688.54166666666663</v>
      </c>
      <c r="AP741" s="16">
        <f t="shared" si="508"/>
        <v>-80721.917414352152</v>
      </c>
      <c r="AQ741" s="15">
        <f t="shared" si="483"/>
        <v>22.170849845882874</v>
      </c>
      <c r="AR741" s="75">
        <f>AQ741*(1-PARAM!$C$27)*$I$13+(MOD($B741,60)=PARAM!$B$56)*($B741&gt;(60-PARAM!$B$56))*HLOOKUP(($B741+PARAM!$B$56)/12,Loyalty,2)*$F$1*MAX(AT740,0)</f>
        <v>18.557001321003963</v>
      </c>
      <c r="AS741" s="75">
        <f>PARAM!$C$26+MAX($G$13-CHOOSE(PARAM!$B$44,MAX(0,AT740*$F$1),0),0)*RATES!$L717/12+$H$13*(PARAM!$D$51/12)*RATES!$N717/100</f>
        <v>688.54166666666663</v>
      </c>
      <c r="AT741" s="16">
        <f t="shared" si="509"/>
        <v>-80721.917414352152</v>
      </c>
      <c r="AU741" s="15">
        <f t="shared" si="484"/>
        <v>22.170849845882874</v>
      </c>
      <c r="AV741" s="75">
        <f>AU741*(1-PARAM!$C$27)*$I$14+(MOD($B741,60)=PARAM!$B$56)*($B741&gt;(60-PARAM!$B$56))*HLOOKUP(($B741+PARAM!$B$56)/12,Loyalty,2)*$F$1*MAX(AX740,0)</f>
        <v>18.557001321003963</v>
      </c>
      <c r="AW741" s="75">
        <f>PARAM!$C$26+MAX($G$14-CHOOSE(PARAM!$B$44,MAX(0,AX740*$F$1),0),0)*RATES!$L717/12+$H$14*(PARAM!$D$51/12)*RATES!$N717/100</f>
        <v>688.54166666666663</v>
      </c>
      <c r="AX741" s="16">
        <f t="shared" si="510"/>
        <v>-80721.917414352152</v>
      </c>
      <c r="AY741" s="15">
        <f t="shared" si="485"/>
        <v>22.170849845882874</v>
      </c>
      <c r="AZ741" s="75">
        <f>AY741*(1-PARAM!$C$27)*$I$15+(MOD($B741,60)=PARAM!$B$56)*($B741&gt;(60-PARAM!$B$56))*HLOOKUP(($B741+PARAM!$B$56)/12,Loyalty,2)*$F$1*MAX(BB740,0)</f>
        <v>18.557001321003963</v>
      </c>
      <c r="BA741" s="75">
        <f>PARAM!$C$26+MAX($G$15-CHOOSE(PARAM!$B$44,MAX(0,BB740*$F$1),0),0)*RATES!$L717/12+$H$15*(PARAM!$D$51/12)*RATES!$N717/100</f>
        <v>688.54166666666663</v>
      </c>
      <c r="BB741" s="16">
        <f t="shared" si="511"/>
        <v>-80721.917414352152</v>
      </c>
      <c r="BC741" s="15">
        <f t="shared" si="486"/>
        <v>22.170849845882874</v>
      </c>
      <c r="BD741" s="75">
        <f>BC741*(1-PARAM!$C$27)*$I$16+(MOD($B741,60)=PARAM!$B$56)*($B741&gt;(60-PARAM!$B$56))*HLOOKUP(($B741+PARAM!$B$56)/12,Loyalty,2)*$F$1*MAX(BF740,0)</f>
        <v>18.557001321003963</v>
      </c>
      <c r="BE741" s="75">
        <f>PARAM!$C$26+MAX($G$16-CHOOSE(PARAM!$B$44,MAX(0,BF740*$F$1),0),0)*RATES!$L717/12+$H$16*(PARAM!$D$51/12)*RATES!$N717/100</f>
        <v>688.54166666666663</v>
      </c>
      <c r="BF741" s="16">
        <f t="shared" si="512"/>
        <v>-80721.917414352152</v>
      </c>
      <c r="BG741" s="15">
        <f t="shared" si="487"/>
        <v>22.170849845882874</v>
      </c>
      <c r="BH741" s="75">
        <f>BG741*(1-PARAM!$C$27)*$I$17+(MOD($B741,60)=PARAM!$B$56)*($B741&gt;(60-PARAM!$B$56))*HLOOKUP(($B741+PARAM!$B$56)/12,Loyalty,2)*$F$1*MAX(BJ740,0)</f>
        <v>18.557001321003963</v>
      </c>
      <c r="BI741" s="75">
        <f>PARAM!$C$26+MAX($G$17-CHOOSE(PARAM!$B$44,MAX(0,BJ740*$F$1),0),0)*RATES!$L717/12+$H$17*(PARAM!$D$51/12)*RATES!$N717/100</f>
        <v>688.54166666666663</v>
      </c>
      <c r="BJ741" s="16">
        <f t="shared" si="513"/>
        <v>-80721.917414352152</v>
      </c>
      <c r="BK741" s="15">
        <f t="shared" si="488"/>
        <v>22.170849845882874</v>
      </c>
      <c r="BL741" s="75">
        <f>BK741*(1-PARAM!$C$27)*$I$18+(MOD($B741,60)=PARAM!$B$56)*($B741&gt;(60-PARAM!$B$56))*HLOOKUP(($B741+PARAM!$B$56)/12,Loyalty,2)*$F$1*MAX(BN740,0)</f>
        <v>18.557001321003963</v>
      </c>
      <c r="BM741" s="75">
        <f>PARAM!$C$26+MAX($G$18-CHOOSE(PARAM!$B$44,MAX(0,BN740*$F$1),0),0)*RATES!$L717/12+$H$18*(PARAM!$D$51/12)*RATES!$N717/100</f>
        <v>688.54166666666663</v>
      </c>
      <c r="BN741" s="16">
        <f t="shared" si="514"/>
        <v>-80721.917414352152</v>
      </c>
      <c r="BO741" s="15">
        <f t="shared" si="489"/>
        <v>22.170849845882874</v>
      </c>
      <c r="BP741" s="75">
        <f>BO741*(1-PARAM!$C$27)*$I$19+(MOD($B741,60)=PARAM!$B$56)*($B741&gt;(60-PARAM!$B$56))*HLOOKUP(($B741+PARAM!$B$56)/12,Loyalty,2)*$F$1*MAX(BR740,0)</f>
        <v>18.557001321003963</v>
      </c>
      <c r="BQ741" s="75">
        <f>PARAM!$C$26+MAX($G$19-CHOOSE(PARAM!$B$44,MAX(0,BR740*$F$1),0),0)*RATES!$L717/12+$H$19*(PARAM!$D$51/12)*RATES!$N717/100</f>
        <v>688.54166666666663</v>
      </c>
      <c r="BR741" s="16">
        <f t="shared" si="515"/>
        <v>-80721.917414352152</v>
      </c>
      <c r="BS741" s="15">
        <f t="shared" si="490"/>
        <v>22.170849845882874</v>
      </c>
      <c r="BT741" s="75">
        <f>BS741*(1-PARAM!$C$27)*$I$20+(MOD($B741,60)=PARAM!$B$56)*($B741&gt;(60-PARAM!$B$56))*HLOOKUP(($B741+PARAM!$B$56)/12,Loyalty,2)*$F$1*MAX(BV740,0)</f>
        <v>18.557001321003963</v>
      </c>
      <c r="BU741" s="75">
        <f>PARAM!$C$26+MAX($G$20-CHOOSE(PARAM!$B$44,MAX(0,BV740*$F$1),0),0)*RATES!$L717/12+$H$20*(PARAM!$D$51/12)*RATES!$N717/100</f>
        <v>688.54166666666663</v>
      </c>
      <c r="BV741" s="16">
        <f t="shared" si="516"/>
        <v>-80721.917414352152</v>
      </c>
      <c r="BW741" s="15">
        <f t="shared" si="491"/>
        <v>22.170849845882874</v>
      </c>
      <c r="BX741" s="75">
        <f>BW741*(1-PARAM!$C$27)*$I$21+(MOD($B741,60)=PARAM!$B$56)*($B741&gt;(60-PARAM!$B$56))*HLOOKUP(($B741+PARAM!$B$56)/12,Loyalty,2)*$F$1*MAX(BZ740,0)</f>
        <v>18.557001321003963</v>
      </c>
      <c r="BY741" s="75">
        <f>PARAM!$C$26+MAX($G$21-CHOOSE(PARAM!$B$44,MAX(0,BZ740*$F$1),0),0)*RATES!$L717/12+$H$21*(PARAM!$D$51/12)*RATES!$N717/100</f>
        <v>688.54166666666663</v>
      </c>
      <c r="BZ741" s="16">
        <f t="shared" si="517"/>
        <v>-80721.917414352152</v>
      </c>
      <c r="CA741" s="15">
        <f t="shared" si="492"/>
        <v>22.170849845882874</v>
      </c>
      <c r="CB741" s="75">
        <f>CA741*(1-PARAM!$C$27)*$I$22+(MOD($B741,60)=PARAM!$B$56)*($B741&gt;(60-PARAM!$B$56))*HLOOKUP(($B741+PARAM!$B$56)/12,Loyalty,2)*$F$1*MAX(CD740,0)</f>
        <v>18.557001321003963</v>
      </c>
      <c r="CC741" s="75">
        <f>PARAM!$C$26+MAX($G$22-CHOOSE(PARAM!$B$44,MAX(0,CD740*$F$1),0),0)*RATES!$L717/12+$H$22*(PARAM!$D$51/12)*RATES!$N717/100</f>
        <v>688.54166666666663</v>
      </c>
      <c r="CD741" s="16">
        <f t="shared" si="518"/>
        <v>-80721.917414352152</v>
      </c>
      <c r="CE741" s="33">
        <f>IF(0=MOD(B741,12/PARAM!$D$51),1,0)</f>
        <v>1</v>
      </c>
      <c r="CF741" s="15">
        <f t="shared" si="493"/>
        <v>0</v>
      </c>
      <c r="CG741" s="75">
        <f>CF741*(1-PARAM!$C$27)*$R$3+(MOD($B741/12,5)=0)*($B741&gt;60)*HLOOKUP($B741/12,Loyalty,2)*$F$1*MAX(CI740,0)</f>
        <v>0</v>
      </c>
      <c r="CH741" s="75">
        <f>PARAM!$C$26+MAX($P$3-CHOOSE(PARAM!$B$44,MAX(0,CI740*$F$1),0),0)*RATES!$L717/12+$Q$3*(PARAM!$D$51/12)*RATES!$N717/100</f>
        <v>688.54166666666663</v>
      </c>
      <c r="CI741" s="16">
        <f>IF(CI740&gt;0,CI740*PARAM!$C$53,CI740)+CG741-CH741</f>
        <v>-93852.041666666904</v>
      </c>
      <c r="CJ741" s="15">
        <f t="shared" si="519"/>
        <v>0</v>
      </c>
      <c r="CK741" s="75">
        <f>CJ741*(1-PARAM!$C$27)*$R$4+(MOD($B741/12,5)=0)*($B741&gt;60)*HLOOKUP($B741/12,Loyalty,2)*$F$1*MAX(CM740,0)</f>
        <v>0</v>
      </c>
      <c r="CL741" s="75">
        <f>PARAM!$C$26+MAX($P$4-CHOOSE(PARAM!$B$44,MAX(0,CM740*$F$1),0),0)*RATES!$L717/12+$Q$4*(PARAM!$D$51/12)*RATES!$N717/100</f>
        <v>688.54166666666663</v>
      </c>
      <c r="CM741" s="16">
        <f>IF(CM740&gt;0,CM740*PARAM!$C$53,CM740)+CK741-CL741</f>
        <v>-93852.041666666904</v>
      </c>
      <c r="CO741" s="176"/>
    </row>
    <row r="742" spans="1:93" x14ac:dyDescent="0.2">
      <c r="A742" t="b">
        <f t="shared" si="494"/>
        <v>0</v>
      </c>
      <c r="B742" s="33">
        <v>715</v>
      </c>
      <c r="C742" s="15">
        <f t="shared" si="495"/>
        <v>20.081305947392778</v>
      </c>
      <c r="D742" s="75">
        <f>C742*(1-PARAM!$C$27)*$I$3+(MOD($B742,60)=PARAM!$B$56)*($B742&gt;(60-PARAM!$B$56))*HLOOKUP(($B742+PARAM!$B$56)/12,Loyalty,2)*$F$1*MAX(F741,0)</f>
        <v>16.808053077967756</v>
      </c>
      <c r="E742" s="75">
        <f>PARAM!$C$26+MAX($G$3-CHOOSE(PARAM!$B$44,MAX(0,F741*$F$1),0),0)*RATES!$L718/12+$H$3*(PARAM!$D$51/12)*RATES!$N718/100</f>
        <v>688.54166666666663</v>
      </c>
      <c r="F742" s="16">
        <f t="shared" si="496"/>
        <v>-82679.250573990139</v>
      </c>
      <c r="G742" s="15">
        <f t="shared" si="497"/>
        <v>22.035289406060361</v>
      </c>
      <c r="H742" s="75">
        <f>G742*(1-PARAM!$C$27)*$I$4+(MOD($B742,60)=PARAM!$B$56)*($B742&gt;(60-PARAM!$B$56))*HLOOKUP(($B742+PARAM!$B$56)/12,Loyalty,2)*$F$1*MAX(J741,0)</f>
        <v>18.443537232872522</v>
      </c>
      <c r="I742" s="75">
        <f>PARAM!$C$26+MAX($G$4-CHOOSE(PARAM!$B$44,MAX(0,J741*$F$1),0),0)*RATES!$L718/12+$H$4*(PARAM!$D$51/12)*RATES!$N718/100</f>
        <v>688.54166666666663</v>
      </c>
      <c r="J742" s="16">
        <f t="shared" si="498"/>
        <v>-81476.04643911148</v>
      </c>
      <c r="K742" s="15">
        <f t="shared" si="499"/>
        <v>22.170849845882874</v>
      </c>
      <c r="L742" s="75">
        <f>K742*(1-PARAM!$C$27)*$I$5+(MOD($B742,60)=PARAM!$B$56)*($B742&gt;(60-PARAM!$B$56))*HLOOKUP(($B742+PARAM!$B$56)/12,Loyalty,2)*$F$1*MAX(N741,0)</f>
        <v>18.557001321003963</v>
      </c>
      <c r="M742" s="75">
        <f>PARAM!$C$26+MAX($G$5-CHOOSE(PARAM!$B$44,MAX(0,N741*$F$1),0),0)*RATES!$L718/12+$H$5*(PARAM!$D$51/12)*RATES!$N718/100</f>
        <v>688.54166666666663</v>
      </c>
      <c r="N742" s="16">
        <f t="shared" si="500"/>
        <v>-81391.902079697815</v>
      </c>
      <c r="O742" s="15">
        <f t="shared" si="501"/>
        <v>22.170849845882874</v>
      </c>
      <c r="P742" s="75">
        <f>O742*(1-PARAM!$C$27)*$I$6+(MOD($B742,60)=PARAM!$B$56)*($B742&gt;(60-PARAM!$B$56))*HLOOKUP(($B742+PARAM!$B$56)/12,Loyalty,2)*$F$1*MAX(R741,0)</f>
        <v>18.557001321003963</v>
      </c>
      <c r="Q742" s="75">
        <f>PARAM!$C$26+MAX($G$6-CHOOSE(PARAM!$B$44,MAX(0,R741*$F$1),0),0)*RATES!$L718/12+$H$6*(PARAM!$D$51/12)*RATES!$N718/100</f>
        <v>688.54166666666663</v>
      </c>
      <c r="R742" s="16">
        <f t="shared" si="502"/>
        <v>-81391.902079697815</v>
      </c>
      <c r="S742" s="15">
        <f t="shared" si="477"/>
        <v>22.170849845882874</v>
      </c>
      <c r="T742" s="75">
        <f>S742*(1-PARAM!$C$27)*$I$7+(MOD($B742,60)=PARAM!$B$56)*($B742&gt;(60-PARAM!$B$56))*HLOOKUP(($B742+PARAM!$B$56)/12,Loyalty,2)*$F$1*MAX(V741,0)</f>
        <v>18.557001321003963</v>
      </c>
      <c r="U742" s="75">
        <f>PARAM!$C$26+MAX($G$7-CHOOSE(PARAM!$B$44,MAX(0,V741*$F$1),0),0)*RATES!$L718/12+$H$7*(PARAM!$D$51/12)*RATES!$N718/100</f>
        <v>688.54166666666663</v>
      </c>
      <c r="V742" s="16">
        <f t="shared" si="503"/>
        <v>-81391.902079697815</v>
      </c>
      <c r="W742" s="15">
        <f t="shared" si="478"/>
        <v>22.170849845882874</v>
      </c>
      <c r="X742" s="75">
        <f>W742*(1-PARAM!$C$27)*$I$8+(MOD($B742,60)=PARAM!$B$56)*($B742&gt;(60-PARAM!$B$56))*HLOOKUP(($B742+PARAM!$B$56)/12,Loyalty,2)*$F$1*MAX(Z741,0)</f>
        <v>18.557001321003963</v>
      </c>
      <c r="Y742" s="75">
        <f>PARAM!$C$26+MAX($G$8-CHOOSE(PARAM!$B$44,MAX(0,Z741*$F$1),0),0)*RATES!$L718/12+$H$8*(PARAM!$D$51/12)*RATES!$N718/100</f>
        <v>688.54166666666663</v>
      </c>
      <c r="Z742" s="16">
        <f t="shared" si="504"/>
        <v>-81391.902079697815</v>
      </c>
      <c r="AA742" s="15">
        <f t="shared" si="479"/>
        <v>22.170849845882874</v>
      </c>
      <c r="AB742" s="75">
        <f>AA742*(1-PARAM!$C$27)*$I$9+(MOD($B742,60)=PARAM!$B$56)*($B742&gt;(60-PARAM!$B$56))*HLOOKUP(($B742+PARAM!$B$56)/12,Loyalty,2)*$F$1*MAX(AD741,0)</f>
        <v>18.557001321003963</v>
      </c>
      <c r="AC742" s="75">
        <f>PARAM!$C$26+MAX($G$9-CHOOSE(PARAM!$B$44,MAX(0,AD741*$F$1),0),0)*RATES!$L718/12+$H$9*(PARAM!$D$51/12)*RATES!$N718/100</f>
        <v>688.54166666666663</v>
      </c>
      <c r="AD742" s="16">
        <f t="shared" si="505"/>
        <v>-81391.902079697815</v>
      </c>
      <c r="AE742" s="15">
        <f t="shared" si="480"/>
        <v>22.170849845882874</v>
      </c>
      <c r="AF742" s="75">
        <f>AE742*(1-PARAM!$C$27)*$I$10+(MOD($B742,60)=PARAM!$B$56)*($B742&gt;(60-PARAM!$B$56))*HLOOKUP(($B742+PARAM!$B$56)/12,Loyalty,2)*$F$1*MAX(AH741,0)</f>
        <v>18.557001321003963</v>
      </c>
      <c r="AG742" s="75">
        <f>PARAM!$C$26+MAX($G$10-CHOOSE(PARAM!$B$44,MAX(0,AH741*$F$1),0),0)*RATES!$L718/12+$H$10*(PARAM!$D$51/12)*RATES!$N718/100</f>
        <v>688.54166666666663</v>
      </c>
      <c r="AH742" s="16">
        <f t="shared" si="506"/>
        <v>-81391.902079697815</v>
      </c>
      <c r="AI742" s="15">
        <f t="shared" si="481"/>
        <v>22.170849845882874</v>
      </c>
      <c r="AJ742" s="75">
        <f>AI742*(1-PARAM!$C$27)*$I$11+(MOD($B742,60)=PARAM!$B$56)*($B742&gt;(60-PARAM!$B$56))*HLOOKUP(($B742+PARAM!$B$56)/12,Loyalty,2)*$F$1*MAX(AL741,0)</f>
        <v>18.557001321003963</v>
      </c>
      <c r="AK742" s="75">
        <f>PARAM!$C$26+MAX($G$11-CHOOSE(PARAM!$B$44,MAX(0,AL741*$F$1),0),0)*RATES!$L718/12+$H$11*(PARAM!$D$51/12)*RATES!$N718/100</f>
        <v>688.54166666666663</v>
      </c>
      <c r="AL742" s="16">
        <f t="shared" si="507"/>
        <v>-81391.902079697815</v>
      </c>
      <c r="AM742" s="15">
        <f t="shared" si="482"/>
        <v>22.170849845882874</v>
      </c>
      <c r="AN742" s="75">
        <f>AM742*(1-PARAM!$C$27)*$I$12+(MOD($B742,60)=PARAM!$B$56)*($B742&gt;(60-PARAM!$B$56))*HLOOKUP(($B742+PARAM!$B$56)/12,Loyalty,2)*$F$1*MAX(AP741,0)</f>
        <v>18.557001321003963</v>
      </c>
      <c r="AO742" s="75">
        <f>PARAM!$C$26+MAX($G$12-CHOOSE(PARAM!$B$44,MAX(0,AP741*$F$1),0),0)*RATES!$L718/12+$H$12*(PARAM!$D$51/12)*RATES!$N718/100</f>
        <v>688.54166666666663</v>
      </c>
      <c r="AP742" s="16">
        <f t="shared" si="508"/>
        <v>-81391.902079697815</v>
      </c>
      <c r="AQ742" s="15">
        <f t="shared" si="483"/>
        <v>22.170849845882874</v>
      </c>
      <c r="AR742" s="75">
        <f>AQ742*(1-PARAM!$C$27)*$I$13+(MOD($B742,60)=PARAM!$B$56)*($B742&gt;(60-PARAM!$B$56))*HLOOKUP(($B742+PARAM!$B$56)/12,Loyalty,2)*$F$1*MAX(AT741,0)</f>
        <v>18.557001321003963</v>
      </c>
      <c r="AS742" s="75">
        <f>PARAM!$C$26+MAX($G$13-CHOOSE(PARAM!$B$44,MAX(0,AT741*$F$1),0),0)*RATES!$L718/12+$H$13*(PARAM!$D$51/12)*RATES!$N718/100</f>
        <v>688.54166666666663</v>
      </c>
      <c r="AT742" s="16">
        <f t="shared" si="509"/>
        <v>-81391.902079697815</v>
      </c>
      <c r="AU742" s="15">
        <f t="shared" si="484"/>
        <v>22.170849845882874</v>
      </c>
      <c r="AV742" s="75">
        <f>AU742*(1-PARAM!$C$27)*$I$14+(MOD($B742,60)=PARAM!$B$56)*($B742&gt;(60-PARAM!$B$56))*HLOOKUP(($B742+PARAM!$B$56)/12,Loyalty,2)*$F$1*MAX(AX741,0)</f>
        <v>18.557001321003963</v>
      </c>
      <c r="AW742" s="75">
        <f>PARAM!$C$26+MAX($G$14-CHOOSE(PARAM!$B$44,MAX(0,AX741*$F$1),0),0)*RATES!$L718/12+$H$14*(PARAM!$D$51/12)*RATES!$N718/100</f>
        <v>688.54166666666663</v>
      </c>
      <c r="AX742" s="16">
        <f t="shared" si="510"/>
        <v>-81391.902079697815</v>
      </c>
      <c r="AY742" s="15">
        <f t="shared" si="485"/>
        <v>22.170849845882874</v>
      </c>
      <c r="AZ742" s="75">
        <f>AY742*(1-PARAM!$C$27)*$I$15+(MOD($B742,60)=PARAM!$B$56)*($B742&gt;(60-PARAM!$B$56))*HLOOKUP(($B742+PARAM!$B$56)/12,Loyalty,2)*$F$1*MAX(BB741,0)</f>
        <v>18.557001321003963</v>
      </c>
      <c r="BA742" s="75">
        <f>PARAM!$C$26+MAX($G$15-CHOOSE(PARAM!$B$44,MAX(0,BB741*$F$1),0),0)*RATES!$L718/12+$H$15*(PARAM!$D$51/12)*RATES!$N718/100</f>
        <v>688.54166666666663</v>
      </c>
      <c r="BB742" s="16">
        <f t="shared" si="511"/>
        <v>-81391.902079697815</v>
      </c>
      <c r="BC742" s="15">
        <f t="shared" si="486"/>
        <v>22.170849845882874</v>
      </c>
      <c r="BD742" s="75">
        <f>BC742*(1-PARAM!$C$27)*$I$16+(MOD($B742,60)=PARAM!$B$56)*($B742&gt;(60-PARAM!$B$56))*HLOOKUP(($B742+PARAM!$B$56)/12,Loyalty,2)*$F$1*MAX(BF741,0)</f>
        <v>18.557001321003963</v>
      </c>
      <c r="BE742" s="75">
        <f>PARAM!$C$26+MAX($G$16-CHOOSE(PARAM!$B$44,MAX(0,BF741*$F$1),0),0)*RATES!$L718/12+$H$16*(PARAM!$D$51/12)*RATES!$N718/100</f>
        <v>688.54166666666663</v>
      </c>
      <c r="BF742" s="16">
        <f t="shared" si="512"/>
        <v>-81391.902079697815</v>
      </c>
      <c r="BG742" s="15">
        <f t="shared" si="487"/>
        <v>22.170849845882874</v>
      </c>
      <c r="BH742" s="75">
        <f>BG742*(1-PARAM!$C$27)*$I$17+(MOD($B742,60)=PARAM!$B$56)*($B742&gt;(60-PARAM!$B$56))*HLOOKUP(($B742+PARAM!$B$56)/12,Loyalty,2)*$F$1*MAX(BJ741,0)</f>
        <v>18.557001321003963</v>
      </c>
      <c r="BI742" s="75">
        <f>PARAM!$C$26+MAX($G$17-CHOOSE(PARAM!$B$44,MAX(0,BJ741*$F$1),0),0)*RATES!$L718/12+$H$17*(PARAM!$D$51/12)*RATES!$N718/100</f>
        <v>688.54166666666663</v>
      </c>
      <c r="BJ742" s="16">
        <f t="shared" si="513"/>
        <v>-81391.902079697815</v>
      </c>
      <c r="BK742" s="15">
        <f t="shared" si="488"/>
        <v>22.170849845882874</v>
      </c>
      <c r="BL742" s="75">
        <f>BK742*(1-PARAM!$C$27)*$I$18+(MOD($B742,60)=PARAM!$B$56)*($B742&gt;(60-PARAM!$B$56))*HLOOKUP(($B742+PARAM!$B$56)/12,Loyalty,2)*$F$1*MAX(BN741,0)</f>
        <v>18.557001321003963</v>
      </c>
      <c r="BM742" s="75">
        <f>PARAM!$C$26+MAX($G$18-CHOOSE(PARAM!$B$44,MAX(0,BN741*$F$1),0),0)*RATES!$L718/12+$H$18*(PARAM!$D$51/12)*RATES!$N718/100</f>
        <v>688.54166666666663</v>
      </c>
      <c r="BN742" s="16">
        <f t="shared" si="514"/>
        <v>-81391.902079697815</v>
      </c>
      <c r="BO742" s="15">
        <f t="shared" si="489"/>
        <v>22.170849845882874</v>
      </c>
      <c r="BP742" s="75">
        <f>BO742*(1-PARAM!$C$27)*$I$19+(MOD($B742,60)=PARAM!$B$56)*($B742&gt;(60-PARAM!$B$56))*HLOOKUP(($B742+PARAM!$B$56)/12,Loyalty,2)*$F$1*MAX(BR741,0)</f>
        <v>18.557001321003963</v>
      </c>
      <c r="BQ742" s="75">
        <f>PARAM!$C$26+MAX($G$19-CHOOSE(PARAM!$B$44,MAX(0,BR741*$F$1),0),0)*RATES!$L718/12+$H$19*(PARAM!$D$51/12)*RATES!$N718/100</f>
        <v>688.54166666666663</v>
      </c>
      <c r="BR742" s="16">
        <f t="shared" si="515"/>
        <v>-81391.902079697815</v>
      </c>
      <c r="BS742" s="15">
        <f t="shared" si="490"/>
        <v>22.170849845882874</v>
      </c>
      <c r="BT742" s="75">
        <f>BS742*(1-PARAM!$C$27)*$I$20+(MOD($B742,60)=PARAM!$B$56)*($B742&gt;(60-PARAM!$B$56))*HLOOKUP(($B742+PARAM!$B$56)/12,Loyalty,2)*$F$1*MAX(BV741,0)</f>
        <v>18.557001321003963</v>
      </c>
      <c r="BU742" s="75">
        <f>PARAM!$C$26+MAX($G$20-CHOOSE(PARAM!$B$44,MAX(0,BV741*$F$1),0),0)*RATES!$L718/12+$H$20*(PARAM!$D$51/12)*RATES!$N718/100</f>
        <v>688.54166666666663</v>
      </c>
      <c r="BV742" s="16">
        <f t="shared" si="516"/>
        <v>-81391.902079697815</v>
      </c>
      <c r="BW742" s="15">
        <f t="shared" si="491"/>
        <v>22.170849845882874</v>
      </c>
      <c r="BX742" s="75">
        <f>BW742*(1-PARAM!$C$27)*$I$21+(MOD($B742,60)=PARAM!$B$56)*($B742&gt;(60-PARAM!$B$56))*HLOOKUP(($B742+PARAM!$B$56)/12,Loyalty,2)*$F$1*MAX(BZ741,0)</f>
        <v>18.557001321003963</v>
      </c>
      <c r="BY742" s="75">
        <f>PARAM!$C$26+MAX($G$21-CHOOSE(PARAM!$B$44,MAX(0,BZ741*$F$1),0),0)*RATES!$L718/12+$H$21*(PARAM!$D$51/12)*RATES!$N718/100</f>
        <v>688.54166666666663</v>
      </c>
      <c r="BZ742" s="16">
        <f t="shared" si="517"/>
        <v>-81391.902079697815</v>
      </c>
      <c r="CA742" s="15">
        <f t="shared" si="492"/>
        <v>22.170849845882874</v>
      </c>
      <c r="CB742" s="75">
        <f>CA742*(1-PARAM!$C$27)*$I$22+(MOD($B742,60)=PARAM!$B$56)*($B742&gt;(60-PARAM!$B$56))*HLOOKUP(($B742+PARAM!$B$56)/12,Loyalty,2)*$F$1*MAX(CD741,0)</f>
        <v>18.557001321003963</v>
      </c>
      <c r="CC742" s="75">
        <f>PARAM!$C$26+MAX($G$22-CHOOSE(PARAM!$B$44,MAX(0,CD741*$F$1),0),0)*RATES!$L718/12+$H$22*(PARAM!$D$51/12)*RATES!$N718/100</f>
        <v>688.54166666666663</v>
      </c>
      <c r="CD742" s="16">
        <f t="shared" si="518"/>
        <v>-81391.902079697815</v>
      </c>
      <c r="CE742" s="33">
        <f>IF(0=MOD(B742,12/PARAM!$D$51),1,0)</f>
        <v>1</v>
      </c>
      <c r="CF742" s="15">
        <f t="shared" si="493"/>
        <v>0</v>
      </c>
      <c r="CG742" s="75">
        <f>CF742*(1-PARAM!$C$27)*$R$3+(MOD($B742/12,5)=0)*($B742&gt;60)*HLOOKUP($B742/12,Loyalty,2)*$F$1*MAX(CI741,0)</f>
        <v>0</v>
      </c>
      <c r="CH742" s="75">
        <f>PARAM!$C$26+MAX($P$3-CHOOSE(PARAM!$B$44,MAX(0,CI741*$F$1),0),0)*RATES!$L718/12+$Q$3*(PARAM!$D$51/12)*RATES!$N718/100</f>
        <v>688.54166666666663</v>
      </c>
      <c r="CI742" s="16">
        <f>IF(CI741&gt;0,CI741*PARAM!$C$53,CI741)+CG742-CH742</f>
        <v>-94540.583333333576</v>
      </c>
      <c r="CJ742" s="15">
        <f t="shared" si="519"/>
        <v>0</v>
      </c>
      <c r="CK742" s="75">
        <f>CJ742*(1-PARAM!$C$27)*$R$4+(MOD($B742/12,5)=0)*($B742&gt;60)*HLOOKUP($B742/12,Loyalty,2)*$F$1*MAX(CM741,0)</f>
        <v>0</v>
      </c>
      <c r="CL742" s="75">
        <f>PARAM!$C$26+MAX($P$4-CHOOSE(PARAM!$B$44,MAX(0,CM741*$F$1),0),0)*RATES!$L718/12+$Q$4*(PARAM!$D$51/12)*RATES!$N718/100</f>
        <v>688.54166666666663</v>
      </c>
      <c r="CM742" s="16">
        <f>IF(CM741&gt;0,CM741*PARAM!$C$53,CM741)+CK742-CL742</f>
        <v>-94540.583333333576</v>
      </c>
      <c r="CO742" s="176"/>
    </row>
    <row r="743" spans="1:93" x14ac:dyDescent="0.2">
      <c r="A743" t="b">
        <f t="shared" si="494"/>
        <v>0</v>
      </c>
      <c r="B743" s="33">
        <v>716</v>
      </c>
      <c r="C743" s="15">
        <f t="shared" si="495"/>
        <v>20.081305947392778</v>
      </c>
      <c r="D743" s="75">
        <f>C743*(1-PARAM!$C$27)*$I$3+(MOD($B743,60)=PARAM!$B$56)*($B743&gt;(60-PARAM!$B$56))*HLOOKUP(($B743+PARAM!$B$56)/12,Loyalty,2)*$F$1*MAX(F742,0)</f>
        <v>16.808053077967756</v>
      </c>
      <c r="E743" s="75">
        <f>PARAM!$C$26+MAX($G$3-CHOOSE(PARAM!$B$44,MAX(0,F742*$F$1),0),0)*RATES!$L719/12+$H$3*(PARAM!$D$51/12)*RATES!$N719/100</f>
        <v>688.54166666666663</v>
      </c>
      <c r="F743" s="16">
        <f t="shared" si="496"/>
        <v>-83350.984187578841</v>
      </c>
      <c r="G743" s="15">
        <f t="shared" si="497"/>
        <v>22.035289406060361</v>
      </c>
      <c r="H743" s="75">
        <f>G743*(1-PARAM!$C$27)*$I$4+(MOD($B743,60)=PARAM!$B$56)*($B743&gt;(60-PARAM!$B$56))*HLOOKUP(($B743+PARAM!$B$56)/12,Loyalty,2)*$F$1*MAX(J742,0)</f>
        <v>18.443537232872522</v>
      </c>
      <c r="I743" s="75">
        <f>PARAM!$C$26+MAX($G$4-CHOOSE(PARAM!$B$44,MAX(0,J742*$F$1),0),0)*RATES!$L719/12+$H$4*(PARAM!$D$51/12)*RATES!$N719/100</f>
        <v>688.54166666666663</v>
      </c>
      <c r="J743" s="16">
        <f t="shared" si="498"/>
        <v>-82146.144568545278</v>
      </c>
      <c r="K743" s="15">
        <f t="shared" si="499"/>
        <v>22.170849845882874</v>
      </c>
      <c r="L743" s="75">
        <f>K743*(1-PARAM!$C$27)*$I$5+(MOD($B743,60)=PARAM!$B$56)*($B743&gt;(60-PARAM!$B$56))*HLOOKUP(($B743+PARAM!$B$56)/12,Loyalty,2)*$F$1*MAX(N742,0)</f>
        <v>18.557001321003963</v>
      </c>
      <c r="M743" s="75">
        <f>PARAM!$C$26+MAX($G$5-CHOOSE(PARAM!$B$44,MAX(0,N742*$F$1),0),0)*RATES!$L719/12+$H$5*(PARAM!$D$51/12)*RATES!$N719/100</f>
        <v>688.54166666666663</v>
      </c>
      <c r="N743" s="16">
        <f t="shared" si="500"/>
        <v>-82061.886745043477</v>
      </c>
      <c r="O743" s="15">
        <f t="shared" si="501"/>
        <v>22.170849845882874</v>
      </c>
      <c r="P743" s="75">
        <f>O743*(1-PARAM!$C$27)*$I$6+(MOD($B743,60)=PARAM!$B$56)*($B743&gt;(60-PARAM!$B$56))*HLOOKUP(($B743+PARAM!$B$56)/12,Loyalty,2)*$F$1*MAX(R742,0)</f>
        <v>18.557001321003963</v>
      </c>
      <c r="Q743" s="75">
        <f>PARAM!$C$26+MAX($G$6-CHOOSE(PARAM!$B$44,MAX(0,R742*$F$1),0),0)*RATES!$L719/12+$H$6*(PARAM!$D$51/12)*RATES!$N719/100</f>
        <v>688.54166666666663</v>
      </c>
      <c r="R743" s="16">
        <f t="shared" si="502"/>
        <v>-82061.886745043477</v>
      </c>
      <c r="S743" s="15">
        <f t="shared" si="477"/>
        <v>22.170849845882874</v>
      </c>
      <c r="T743" s="75">
        <f>S743*(1-PARAM!$C$27)*$I$7+(MOD($B743,60)=PARAM!$B$56)*($B743&gt;(60-PARAM!$B$56))*HLOOKUP(($B743+PARAM!$B$56)/12,Loyalty,2)*$F$1*MAX(V742,0)</f>
        <v>18.557001321003963</v>
      </c>
      <c r="U743" s="75">
        <f>PARAM!$C$26+MAX($G$7-CHOOSE(PARAM!$B$44,MAX(0,V742*$F$1),0),0)*RATES!$L719/12+$H$7*(PARAM!$D$51/12)*RATES!$N719/100</f>
        <v>688.54166666666663</v>
      </c>
      <c r="V743" s="16">
        <f t="shared" si="503"/>
        <v>-82061.886745043477</v>
      </c>
      <c r="W743" s="15">
        <f t="shared" si="478"/>
        <v>22.170849845882874</v>
      </c>
      <c r="X743" s="75">
        <f>W743*(1-PARAM!$C$27)*$I$8+(MOD($B743,60)=PARAM!$B$56)*($B743&gt;(60-PARAM!$B$56))*HLOOKUP(($B743+PARAM!$B$56)/12,Loyalty,2)*$F$1*MAX(Z742,0)</f>
        <v>18.557001321003963</v>
      </c>
      <c r="Y743" s="75">
        <f>PARAM!$C$26+MAX($G$8-CHOOSE(PARAM!$B$44,MAX(0,Z742*$F$1),0),0)*RATES!$L719/12+$H$8*(PARAM!$D$51/12)*RATES!$N719/100</f>
        <v>688.54166666666663</v>
      </c>
      <c r="Z743" s="16">
        <f t="shared" si="504"/>
        <v>-82061.886745043477</v>
      </c>
      <c r="AA743" s="15">
        <f t="shared" si="479"/>
        <v>22.170849845882874</v>
      </c>
      <c r="AB743" s="75">
        <f>AA743*(1-PARAM!$C$27)*$I$9+(MOD($B743,60)=PARAM!$B$56)*($B743&gt;(60-PARAM!$B$56))*HLOOKUP(($B743+PARAM!$B$56)/12,Loyalty,2)*$F$1*MAX(AD742,0)</f>
        <v>18.557001321003963</v>
      </c>
      <c r="AC743" s="75">
        <f>PARAM!$C$26+MAX($G$9-CHOOSE(PARAM!$B$44,MAX(0,AD742*$F$1),0),0)*RATES!$L719/12+$H$9*(PARAM!$D$51/12)*RATES!$N719/100</f>
        <v>688.54166666666663</v>
      </c>
      <c r="AD743" s="16">
        <f t="shared" si="505"/>
        <v>-82061.886745043477</v>
      </c>
      <c r="AE743" s="15">
        <f t="shared" si="480"/>
        <v>22.170849845882874</v>
      </c>
      <c r="AF743" s="75">
        <f>AE743*(1-PARAM!$C$27)*$I$10+(MOD($B743,60)=PARAM!$B$56)*($B743&gt;(60-PARAM!$B$56))*HLOOKUP(($B743+PARAM!$B$56)/12,Loyalty,2)*$F$1*MAX(AH742,0)</f>
        <v>18.557001321003963</v>
      </c>
      <c r="AG743" s="75">
        <f>PARAM!$C$26+MAX($G$10-CHOOSE(PARAM!$B$44,MAX(0,AH742*$F$1),0),0)*RATES!$L719/12+$H$10*(PARAM!$D$51/12)*RATES!$N719/100</f>
        <v>688.54166666666663</v>
      </c>
      <c r="AH743" s="16">
        <f t="shared" si="506"/>
        <v>-82061.886745043477</v>
      </c>
      <c r="AI743" s="15">
        <f t="shared" si="481"/>
        <v>22.170849845882874</v>
      </c>
      <c r="AJ743" s="75">
        <f>AI743*(1-PARAM!$C$27)*$I$11+(MOD($B743,60)=PARAM!$B$56)*($B743&gt;(60-PARAM!$B$56))*HLOOKUP(($B743+PARAM!$B$56)/12,Loyalty,2)*$F$1*MAX(AL742,0)</f>
        <v>18.557001321003963</v>
      </c>
      <c r="AK743" s="75">
        <f>PARAM!$C$26+MAX($G$11-CHOOSE(PARAM!$B$44,MAX(0,AL742*$F$1),0),0)*RATES!$L719/12+$H$11*(PARAM!$D$51/12)*RATES!$N719/100</f>
        <v>688.54166666666663</v>
      </c>
      <c r="AL743" s="16">
        <f t="shared" si="507"/>
        <v>-82061.886745043477</v>
      </c>
      <c r="AM743" s="15">
        <f t="shared" si="482"/>
        <v>22.170849845882874</v>
      </c>
      <c r="AN743" s="75">
        <f>AM743*(1-PARAM!$C$27)*$I$12+(MOD($B743,60)=PARAM!$B$56)*($B743&gt;(60-PARAM!$B$56))*HLOOKUP(($B743+PARAM!$B$56)/12,Loyalty,2)*$F$1*MAX(AP742,0)</f>
        <v>18.557001321003963</v>
      </c>
      <c r="AO743" s="75">
        <f>PARAM!$C$26+MAX($G$12-CHOOSE(PARAM!$B$44,MAX(0,AP742*$F$1),0),0)*RATES!$L719/12+$H$12*(PARAM!$D$51/12)*RATES!$N719/100</f>
        <v>688.54166666666663</v>
      </c>
      <c r="AP743" s="16">
        <f t="shared" si="508"/>
        <v>-82061.886745043477</v>
      </c>
      <c r="AQ743" s="15">
        <f t="shared" si="483"/>
        <v>22.170849845882874</v>
      </c>
      <c r="AR743" s="75">
        <f>AQ743*(1-PARAM!$C$27)*$I$13+(MOD($B743,60)=PARAM!$B$56)*($B743&gt;(60-PARAM!$B$56))*HLOOKUP(($B743+PARAM!$B$56)/12,Loyalty,2)*$F$1*MAX(AT742,0)</f>
        <v>18.557001321003963</v>
      </c>
      <c r="AS743" s="75">
        <f>PARAM!$C$26+MAX($G$13-CHOOSE(PARAM!$B$44,MAX(0,AT742*$F$1),0),0)*RATES!$L719/12+$H$13*(PARAM!$D$51/12)*RATES!$N719/100</f>
        <v>688.54166666666663</v>
      </c>
      <c r="AT743" s="16">
        <f t="shared" si="509"/>
        <v>-82061.886745043477</v>
      </c>
      <c r="AU743" s="15">
        <f t="shared" si="484"/>
        <v>22.170849845882874</v>
      </c>
      <c r="AV743" s="75">
        <f>AU743*(1-PARAM!$C$27)*$I$14+(MOD($B743,60)=PARAM!$B$56)*($B743&gt;(60-PARAM!$B$56))*HLOOKUP(($B743+PARAM!$B$56)/12,Loyalty,2)*$F$1*MAX(AX742,0)</f>
        <v>18.557001321003963</v>
      </c>
      <c r="AW743" s="75">
        <f>PARAM!$C$26+MAX($G$14-CHOOSE(PARAM!$B$44,MAX(0,AX742*$F$1),0),0)*RATES!$L719/12+$H$14*(PARAM!$D$51/12)*RATES!$N719/100</f>
        <v>688.54166666666663</v>
      </c>
      <c r="AX743" s="16">
        <f t="shared" si="510"/>
        <v>-82061.886745043477</v>
      </c>
      <c r="AY743" s="15">
        <f t="shared" si="485"/>
        <v>22.170849845882874</v>
      </c>
      <c r="AZ743" s="75">
        <f>AY743*(1-PARAM!$C$27)*$I$15+(MOD($B743,60)=PARAM!$B$56)*($B743&gt;(60-PARAM!$B$56))*HLOOKUP(($B743+PARAM!$B$56)/12,Loyalty,2)*$F$1*MAX(BB742,0)</f>
        <v>18.557001321003963</v>
      </c>
      <c r="BA743" s="75">
        <f>PARAM!$C$26+MAX($G$15-CHOOSE(PARAM!$B$44,MAX(0,BB742*$F$1),0),0)*RATES!$L719/12+$H$15*(PARAM!$D$51/12)*RATES!$N719/100</f>
        <v>688.54166666666663</v>
      </c>
      <c r="BB743" s="16">
        <f t="shared" si="511"/>
        <v>-82061.886745043477</v>
      </c>
      <c r="BC743" s="15">
        <f t="shared" si="486"/>
        <v>22.170849845882874</v>
      </c>
      <c r="BD743" s="75">
        <f>BC743*(1-PARAM!$C$27)*$I$16+(MOD($B743,60)=PARAM!$B$56)*($B743&gt;(60-PARAM!$B$56))*HLOOKUP(($B743+PARAM!$B$56)/12,Loyalty,2)*$F$1*MAX(BF742,0)</f>
        <v>18.557001321003963</v>
      </c>
      <c r="BE743" s="75">
        <f>PARAM!$C$26+MAX($G$16-CHOOSE(PARAM!$B$44,MAX(0,BF742*$F$1),0),0)*RATES!$L719/12+$H$16*(PARAM!$D$51/12)*RATES!$N719/100</f>
        <v>688.54166666666663</v>
      </c>
      <c r="BF743" s="16">
        <f t="shared" si="512"/>
        <v>-82061.886745043477</v>
      </c>
      <c r="BG743" s="15">
        <f t="shared" si="487"/>
        <v>22.170849845882874</v>
      </c>
      <c r="BH743" s="75">
        <f>BG743*(1-PARAM!$C$27)*$I$17+(MOD($B743,60)=PARAM!$B$56)*($B743&gt;(60-PARAM!$B$56))*HLOOKUP(($B743+PARAM!$B$56)/12,Loyalty,2)*$F$1*MAX(BJ742,0)</f>
        <v>18.557001321003963</v>
      </c>
      <c r="BI743" s="75">
        <f>PARAM!$C$26+MAX($G$17-CHOOSE(PARAM!$B$44,MAX(0,BJ742*$F$1),0),0)*RATES!$L719/12+$H$17*(PARAM!$D$51/12)*RATES!$N719/100</f>
        <v>688.54166666666663</v>
      </c>
      <c r="BJ743" s="16">
        <f t="shared" si="513"/>
        <v>-82061.886745043477</v>
      </c>
      <c r="BK743" s="15">
        <f t="shared" si="488"/>
        <v>22.170849845882874</v>
      </c>
      <c r="BL743" s="75">
        <f>BK743*(1-PARAM!$C$27)*$I$18+(MOD($B743,60)=PARAM!$B$56)*($B743&gt;(60-PARAM!$B$56))*HLOOKUP(($B743+PARAM!$B$56)/12,Loyalty,2)*$F$1*MAX(BN742,0)</f>
        <v>18.557001321003963</v>
      </c>
      <c r="BM743" s="75">
        <f>PARAM!$C$26+MAX($G$18-CHOOSE(PARAM!$B$44,MAX(0,BN742*$F$1),0),0)*RATES!$L719/12+$H$18*(PARAM!$D$51/12)*RATES!$N719/100</f>
        <v>688.54166666666663</v>
      </c>
      <c r="BN743" s="16">
        <f t="shared" si="514"/>
        <v>-82061.886745043477</v>
      </c>
      <c r="BO743" s="15">
        <f t="shared" si="489"/>
        <v>22.170849845882874</v>
      </c>
      <c r="BP743" s="75">
        <f>BO743*(1-PARAM!$C$27)*$I$19+(MOD($B743,60)=PARAM!$B$56)*($B743&gt;(60-PARAM!$B$56))*HLOOKUP(($B743+PARAM!$B$56)/12,Loyalty,2)*$F$1*MAX(BR742,0)</f>
        <v>18.557001321003963</v>
      </c>
      <c r="BQ743" s="75">
        <f>PARAM!$C$26+MAX($G$19-CHOOSE(PARAM!$B$44,MAX(0,BR742*$F$1),0),0)*RATES!$L719/12+$H$19*(PARAM!$D$51/12)*RATES!$N719/100</f>
        <v>688.54166666666663</v>
      </c>
      <c r="BR743" s="16">
        <f t="shared" si="515"/>
        <v>-82061.886745043477</v>
      </c>
      <c r="BS743" s="15">
        <f t="shared" si="490"/>
        <v>22.170849845882874</v>
      </c>
      <c r="BT743" s="75">
        <f>BS743*(1-PARAM!$C$27)*$I$20+(MOD($B743,60)=PARAM!$B$56)*($B743&gt;(60-PARAM!$B$56))*HLOOKUP(($B743+PARAM!$B$56)/12,Loyalty,2)*$F$1*MAX(BV742,0)</f>
        <v>18.557001321003963</v>
      </c>
      <c r="BU743" s="75">
        <f>PARAM!$C$26+MAX($G$20-CHOOSE(PARAM!$B$44,MAX(0,BV742*$F$1),0),0)*RATES!$L719/12+$H$20*(PARAM!$D$51/12)*RATES!$N719/100</f>
        <v>688.54166666666663</v>
      </c>
      <c r="BV743" s="16">
        <f t="shared" si="516"/>
        <v>-82061.886745043477</v>
      </c>
      <c r="BW743" s="15">
        <f t="shared" si="491"/>
        <v>22.170849845882874</v>
      </c>
      <c r="BX743" s="75">
        <f>BW743*(1-PARAM!$C$27)*$I$21+(MOD($B743,60)=PARAM!$B$56)*($B743&gt;(60-PARAM!$B$56))*HLOOKUP(($B743+PARAM!$B$56)/12,Loyalty,2)*$F$1*MAX(BZ742,0)</f>
        <v>18.557001321003963</v>
      </c>
      <c r="BY743" s="75">
        <f>PARAM!$C$26+MAX($G$21-CHOOSE(PARAM!$B$44,MAX(0,BZ742*$F$1),0),0)*RATES!$L719/12+$H$21*(PARAM!$D$51/12)*RATES!$N719/100</f>
        <v>688.54166666666663</v>
      </c>
      <c r="BZ743" s="16">
        <f t="shared" si="517"/>
        <v>-82061.886745043477</v>
      </c>
      <c r="CA743" s="15">
        <f t="shared" si="492"/>
        <v>22.170849845882874</v>
      </c>
      <c r="CB743" s="75">
        <f>CA743*(1-PARAM!$C$27)*$I$22+(MOD($B743,60)=PARAM!$B$56)*($B743&gt;(60-PARAM!$B$56))*HLOOKUP(($B743+PARAM!$B$56)/12,Loyalty,2)*$F$1*MAX(CD742,0)</f>
        <v>18.557001321003963</v>
      </c>
      <c r="CC743" s="75">
        <f>PARAM!$C$26+MAX($G$22-CHOOSE(PARAM!$B$44,MAX(0,CD742*$F$1),0),0)*RATES!$L719/12+$H$22*(PARAM!$D$51/12)*RATES!$N719/100</f>
        <v>688.54166666666663</v>
      </c>
      <c r="CD743" s="16">
        <f t="shared" si="518"/>
        <v>-82061.886745043477</v>
      </c>
      <c r="CE743" s="33">
        <f>IF(0=MOD(B743,12/PARAM!$D$51),1,0)</f>
        <v>1</v>
      </c>
      <c r="CF743" s="15">
        <f t="shared" si="493"/>
        <v>0</v>
      </c>
      <c r="CG743" s="75">
        <f>CF743*(1-PARAM!$C$27)*$R$3+(MOD($B743/12,5)=0)*($B743&gt;60)*HLOOKUP($B743/12,Loyalty,2)*$F$1*MAX(CI742,0)</f>
        <v>0</v>
      </c>
      <c r="CH743" s="75">
        <f>PARAM!$C$26+MAX($P$3-CHOOSE(PARAM!$B$44,MAX(0,CI742*$F$1),0),0)*RATES!$L719/12+$Q$3*(PARAM!$D$51/12)*RATES!$N719/100</f>
        <v>688.54166666666663</v>
      </c>
      <c r="CI743" s="16">
        <f>IF(CI742&gt;0,CI742*PARAM!$C$53,CI742)+CG743-CH743</f>
        <v>-95229.125000000247</v>
      </c>
      <c r="CJ743" s="15">
        <f t="shared" si="519"/>
        <v>0</v>
      </c>
      <c r="CK743" s="75">
        <f>CJ743*(1-PARAM!$C$27)*$R$4+(MOD($B743/12,5)=0)*($B743&gt;60)*HLOOKUP($B743/12,Loyalty,2)*$F$1*MAX(CM742,0)</f>
        <v>0</v>
      </c>
      <c r="CL743" s="75">
        <f>PARAM!$C$26+MAX($P$4-CHOOSE(PARAM!$B$44,MAX(0,CM742*$F$1),0),0)*RATES!$L719/12+$Q$4*(PARAM!$D$51/12)*RATES!$N719/100</f>
        <v>688.54166666666663</v>
      </c>
      <c r="CM743" s="16">
        <f>IF(CM742&gt;0,CM742*PARAM!$C$53,CM742)+CK743-CL743</f>
        <v>-95229.125000000247</v>
      </c>
      <c r="CO743" s="176"/>
    </row>
    <row r="744" spans="1:93" x14ac:dyDescent="0.2">
      <c r="A744" t="b">
        <f t="shared" si="494"/>
        <v>0</v>
      </c>
      <c r="B744" s="33">
        <v>717</v>
      </c>
      <c r="C744" s="15">
        <f t="shared" si="495"/>
        <v>20.081305947392778</v>
      </c>
      <c r="D744" s="75">
        <f>C744*(1-PARAM!$C$27)*$I$3+(MOD($B744,60)=PARAM!$B$56)*($B744&gt;(60-PARAM!$B$56))*HLOOKUP(($B744+PARAM!$B$56)/12,Loyalty,2)*$F$1*MAX(F743,0)</f>
        <v>16.808053077967756</v>
      </c>
      <c r="E744" s="75">
        <f>PARAM!$C$26+MAX($G$3-CHOOSE(PARAM!$B$44,MAX(0,F743*$F$1),0),0)*RATES!$L720/12+$H$3*(PARAM!$D$51/12)*RATES!$N720/100</f>
        <v>688.54166666666663</v>
      </c>
      <c r="F744" s="16">
        <f t="shared" si="496"/>
        <v>-84022.717801167542</v>
      </c>
      <c r="G744" s="15">
        <f t="shared" si="497"/>
        <v>22.035289406060361</v>
      </c>
      <c r="H744" s="75">
        <f>G744*(1-PARAM!$C$27)*$I$4+(MOD($B744,60)=PARAM!$B$56)*($B744&gt;(60-PARAM!$B$56))*HLOOKUP(($B744+PARAM!$B$56)/12,Loyalty,2)*$F$1*MAX(J743,0)</f>
        <v>18.443537232872522</v>
      </c>
      <c r="I744" s="75">
        <f>PARAM!$C$26+MAX($G$4-CHOOSE(PARAM!$B$44,MAX(0,J743*$F$1),0),0)*RATES!$L720/12+$H$4*(PARAM!$D$51/12)*RATES!$N720/100</f>
        <v>688.54166666666663</v>
      </c>
      <c r="J744" s="16">
        <f t="shared" si="498"/>
        <v>-82816.242697979076</v>
      </c>
      <c r="K744" s="15">
        <f t="shared" si="499"/>
        <v>22.170849845882874</v>
      </c>
      <c r="L744" s="75">
        <f>K744*(1-PARAM!$C$27)*$I$5+(MOD($B744,60)=PARAM!$B$56)*($B744&gt;(60-PARAM!$B$56))*HLOOKUP(($B744+PARAM!$B$56)/12,Loyalty,2)*$F$1*MAX(N743,0)</f>
        <v>18.557001321003963</v>
      </c>
      <c r="M744" s="75">
        <f>PARAM!$C$26+MAX($G$5-CHOOSE(PARAM!$B$44,MAX(0,N743*$F$1),0),0)*RATES!$L720/12+$H$5*(PARAM!$D$51/12)*RATES!$N720/100</f>
        <v>688.54166666666663</v>
      </c>
      <c r="N744" s="16">
        <f t="shared" si="500"/>
        <v>-82731.87141038914</v>
      </c>
      <c r="O744" s="15">
        <f t="shared" si="501"/>
        <v>22.170849845882874</v>
      </c>
      <c r="P744" s="75">
        <f>O744*(1-PARAM!$C$27)*$I$6+(MOD($B744,60)=PARAM!$B$56)*($B744&gt;(60-PARAM!$B$56))*HLOOKUP(($B744+PARAM!$B$56)/12,Loyalty,2)*$F$1*MAX(R743,0)</f>
        <v>18.557001321003963</v>
      </c>
      <c r="Q744" s="75">
        <f>PARAM!$C$26+MAX($G$6-CHOOSE(PARAM!$B$44,MAX(0,R743*$F$1),0),0)*RATES!$L720/12+$H$6*(PARAM!$D$51/12)*RATES!$N720/100</f>
        <v>688.54166666666663</v>
      </c>
      <c r="R744" s="16">
        <f t="shared" si="502"/>
        <v>-82731.87141038914</v>
      </c>
      <c r="S744" s="15">
        <f t="shared" si="477"/>
        <v>22.170849845882874</v>
      </c>
      <c r="T744" s="75">
        <f>S744*(1-PARAM!$C$27)*$I$7+(MOD($B744,60)=PARAM!$B$56)*($B744&gt;(60-PARAM!$B$56))*HLOOKUP(($B744+PARAM!$B$56)/12,Loyalty,2)*$F$1*MAX(V743,0)</f>
        <v>18.557001321003963</v>
      </c>
      <c r="U744" s="75">
        <f>PARAM!$C$26+MAX($G$7-CHOOSE(PARAM!$B$44,MAX(0,V743*$F$1),0),0)*RATES!$L720/12+$H$7*(PARAM!$D$51/12)*RATES!$N720/100</f>
        <v>688.54166666666663</v>
      </c>
      <c r="V744" s="16">
        <f t="shared" si="503"/>
        <v>-82731.87141038914</v>
      </c>
      <c r="W744" s="15">
        <f t="shared" si="478"/>
        <v>22.170849845882874</v>
      </c>
      <c r="X744" s="75">
        <f>W744*(1-PARAM!$C$27)*$I$8+(MOD($B744,60)=PARAM!$B$56)*($B744&gt;(60-PARAM!$B$56))*HLOOKUP(($B744+PARAM!$B$56)/12,Loyalty,2)*$F$1*MAX(Z743,0)</f>
        <v>18.557001321003963</v>
      </c>
      <c r="Y744" s="75">
        <f>PARAM!$C$26+MAX($G$8-CHOOSE(PARAM!$B$44,MAX(0,Z743*$F$1),0),0)*RATES!$L720/12+$H$8*(PARAM!$D$51/12)*RATES!$N720/100</f>
        <v>688.54166666666663</v>
      </c>
      <c r="Z744" s="16">
        <f t="shared" si="504"/>
        <v>-82731.87141038914</v>
      </c>
      <c r="AA744" s="15">
        <f t="shared" si="479"/>
        <v>22.170849845882874</v>
      </c>
      <c r="AB744" s="75">
        <f>AA744*(1-PARAM!$C$27)*$I$9+(MOD($B744,60)=PARAM!$B$56)*($B744&gt;(60-PARAM!$B$56))*HLOOKUP(($B744+PARAM!$B$56)/12,Loyalty,2)*$F$1*MAX(AD743,0)</f>
        <v>18.557001321003963</v>
      </c>
      <c r="AC744" s="75">
        <f>PARAM!$C$26+MAX($G$9-CHOOSE(PARAM!$B$44,MAX(0,AD743*$F$1),0),0)*RATES!$L720/12+$H$9*(PARAM!$D$51/12)*RATES!$N720/100</f>
        <v>688.54166666666663</v>
      </c>
      <c r="AD744" s="16">
        <f t="shared" si="505"/>
        <v>-82731.87141038914</v>
      </c>
      <c r="AE744" s="15">
        <f t="shared" si="480"/>
        <v>22.170849845882874</v>
      </c>
      <c r="AF744" s="75">
        <f>AE744*(1-PARAM!$C$27)*$I$10+(MOD($B744,60)=PARAM!$B$56)*($B744&gt;(60-PARAM!$B$56))*HLOOKUP(($B744+PARAM!$B$56)/12,Loyalty,2)*$F$1*MAX(AH743,0)</f>
        <v>18.557001321003963</v>
      </c>
      <c r="AG744" s="75">
        <f>PARAM!$C$26+MAX($G$10-CHOOSE(PARAM!$B$44,MAX(0,AH743*$F$1),0),0)*RATES!$L720/12+$H$10*(PARAM!$D$51/12)*RATES!$N720/100</f>
        <v>688.54166666666663</v>
      </c>
      <c r="AH744" s="16">
        <f t="shared" si="506"/>
        <v>-82731.87141038914</v>
      </c>
      <c r="AI744" s="15">
        <f t="shared" si="481"/>
        <v>22.170849845882874</v>
      </c>
      <c r="AJ744" s="75">
        <f>AI744*(1-PARAM!$C$27)*$I$11+(MOD($B744,60)=PARAM!$B$56)*($B744&gt;(60-PARAM!$B$56))*HLOOKUP(($B744+PARAM!$B$56)/12,Loyalty,2)*$F$1*MAX(AL743,0)</f>
        <v>18.557001321003963</v>
      </c>
      <c r="AK744" s="75">
        <f>PARAM!$C$26+MAX($G$11-CHOOSE(PARAM!$B$44,MAX(0,AL743*$F$1),0),0)*RATES!$L720/12+$H$11*(PARAM!$D$51/12)*RATES!$N720/100</f>
        <v>688.54166666666663</v>
      </c>
      <c r="AL744" s="16">
        <f t="shared" si="507"/>
        <v>-82731.87141038914</v>
      </c>
      <c r="AM744" s="15">
        <f t="shared" si="482"/>
        <v>22.170849845882874</v>
      </c>
      <c r="AN744" s="75">
        <f>AM744*(1-PARAM!$C$27)*$I$12+(MOD($B744,60)=PARAM!$B$56)*($B744&gt;(60-PARAM!$B$56))*HLOOKUP(($B744+PARAM!$B$56)/12,Loyalty,2)*$F$1*MAX(AP743,0)</f>
        <v>18.557001321003963</v>
      </c>
      <c r="AO744" s="75">
        <f>PARAM!$C$26+MAX($G$12-CHOOSE(PARAM!$B$44,MAX(0,AP743*$F$1),0),0)*RATES!$L720/12+$H$12*(PARAM!$D$51/12)*RATES!$N720/100</f>
        <v>688.54166666666663</v>
      </c>
      <c r="AP744" s="16">
        <f t="shared" si="508"/>
        <v>-82731.87141038914</v>
      </c>
      <c r="AQ744" s="15">
        <f t="shared" si="483"/>
        <v>22.170849845882874</v>
      </c>
      <c r="AR744" s="75">
        <f>AQ744*(1-PARAM!$C$27)*$I$13+(MOD($B744,60)=PARAM!$B$56)*($B744&gt;(60-PARAM!$B$56))*HLOOKUP(($B744+PARAM!$B$56)/12,Loyalty,2)*$F$1*MAX(AT743,0)</f>
        <v>18.557001321003963</v>
      </c>
      <c r="AS744" s="75">
        <f>PARAM!$C$26+MAX($G$13-CHOOSE(PARAM!$B$44,MAX(0,AT743*$F$1),0),0)*RATES!$L720/12+$H$13*(PARAM!$D$51/12)*RATES!$N720/100</f>
        <v>688.54166666666663</v>
      </c>
      <c r="AT744" s="16">
        <f t="shared" si="509"/>
        <v>-82731.87141038914</v>
      </c>
      <c r="AU744" s="15">
        <f t="shared" si="484"/>
        <v>22.170849845882874</v>
      </c>
      <c r="AV744" s="75">
        <f>AU744*(1-PARAM!$C$27)*$I$14+(MOD($B744,60)=PARAM!$B$56)*($B744&gt;(60-PARAM!$B$56))*HLOOKUP(($B744+PARAM!$B$56)/12,Loyalty,2)*$F$1*MAX(AX743,0)</f>
        <v>18.557001321003963</v>
      </c>
      <c r="AW744" s="75">
        <f>PARAM!$C$26+MAX($G$14-CHOOSE(PARAM!$B$44,MAX(0,AX743*$F$1),0),0)*RATES!$L720/12+$H$14*(PARAM!$D$51/12)*RATES!$N720/100</f>
        <v>688.54166666666663</v>
      </c>
      <c r="AX744" s="16">
        <f t="shared" si="510"/>
        <v>-82731.87141038914</v>
      </c>
      <c r="AY744" s="15">
        <f t="shared" si="485"/>
        <v>22.170849845882874</v>
      </c>
      <c r="AZ744" s="75">
        <f>AY744*(1-PARAM!$C$27)*$I$15+(MOD($B744,60)=PARAM!$B$56)*($B744&gt;(60-PARAM!$B$56))*HLOOKUP(($B744+PARAM!$B$56)/12,Loyalty,2)*$F$1*MAX(BB743,0)</f>
        <v>18.557001321003963</v>
      </c>
      <c r="BA744" s="75">
        <f>PARAM!$C$26+MAX($G$15-CHOOSE(PARAM!$B$44,MAX(0,BB743*$F$1),0),0)*RATES!$L720/12+$H$15*(PARAM!$D$51/12)*RATES!$N720/100</f>
        <v>688.54166666666663</v>
      </c>
      <c r="BB744" s="16">
        <f t="shared" si="511"/>
        <v>-82731.87141038914</v>
      </c>
      <c r="BC744" s="15">
        <f t="shared" si="486"/>
        <v>22.170849845882874</v>
      </c>
      <c r="BD744" s="75">
        <f>BC744*(1-PARAM!$C$27)*$I$16+(MOD($B744,60)=PARAM!$B$56)*($B744&gt;(60-PARAM!$B$56))*HLOOKUP(($B744+PARAM!$B$56)/12,Loyalty,2)*$F$1*MAX(BF743,0)</f>
        <v>18.557001321003963</v>
      </c>
      <c r="BE744" s="75">
        <f>PARAM!$C$26+MAX($G$16-CHOOSE(PARAM!$B$44,MAX(0,BF743*$F$1),0),0)*RATES!$L720/12+$H$16*(PARAM!$D$51/12)*RATES!$N720/100</f>
        <v>688.54166666666663</v>
      </c>
      <c r="BF744" s="16">
        <f t="shared" si="512"/>
        <v>-82731.87141038914</v>
      </c>
      <c r="BG744" s="15">
        <f t="shared" si="487"/>
        <v>22.170849845882874</v>
      </c>
      <c r="BH744" s="75">
        <f>BG744*(1-PARAM!$C$27)*$I$17+(MOD($B744,60)=PARAM!$B$56)*($B744&gt;(60-PARAM!$B$56))*HLOOKUP(($B744+PARAM!$B$56)/12,Loyalty,2)*$F$1*MAX(BJ743,0)</f>
        <v>18.557001321003963</v>
      </c>
      <c r="BI744" s="75">
        <f>PARAM!$C$26+MAX($G$17-CHOOSE(PARAM!$B$44,MAX(0,BJ743*$F$1),0),0)*RATES!$L720/12+$H$17*(PARAM!$D$51/12)*RATES!$N720/100</f>
        <v>688.54166666666663</v>
      </c>
      <c r="BJ744" s="16">
        <f t="shared" si="513"/>
        <v>-82731.87141038914</v>
      </c>
      <c r="BK744" s="15">
        <f t="shared" si="488"/>
        <v>22.170849845882874</v>
      </c>
      <c r="BL744" s="75">
        <f>BK744*(1-PARAM!$C$27)*$I$18+(MOD($B744,60)=PARAM!$B$56)*($B744&gt;(60-PARAM!$B$56))*HLOOKUP(($B744+PARAM!$B$56)/12,Loyalty,2)*$F$1*MAX(BN743,0)</f>
        <v>18.557001321003963</v>
      </c>
      <c r="BM744" s="75">
        <f>PARAM!$C$26+MAX($G$18-CHOOSE(PARAM!$B$44,MAX(0,BN743*$F$1),0),0)*RATES!$L720/12+$H$18*(PARAM!$D$51/12)*RATES!$N720/100</f>
        <v>688.54166666666663</v>
      </c>
      <c r="BN744" s="16">
        <f t="shared" si="514"/>
        <v>-82731.87141038914</v>
      </c>
      <c r="BO744" s="15">
        <f t="shared" si="489"/>
        <v>22.170849845882874</v>
      </c>
      <c r="BP744" s="75">
        <f>BO744*(1-PARAM!$C$27)*$I$19+(MOD($B744,60)=PARAM!$B$56)*($B744&gt;(60-PARAM!$B$56))*HLOOKUP(($B744+PARAM!$B$56)/12,Loyalty,2)*$F$1*MAX(BR743,0)</f>
        <v>18.557001321003963</v>
      </c>
      <c r="BQ744" s="75">
        <f>PARAM!$C$26+MAX($G$19-CHOOSE(PARAM!$B$44,MAX(0,BR743*$F$1),0),0)*RATES!$L720/12+$H$19*(PARAM!$D$51/12)*RATES!$N720/100</f>
        <v>688.54166666666663</v>
      </c>
      <c r="BR744" s="16">
        <f t="shared" si="515"/>
        <v>-82731.87141038914</v>
      </c>
      <c r="BS744" s="15">
        <f t="shared" si="490"/>
        <v>22.170849845882874</v>
      </c>
      <c r="BT744" s="75">
        <f>BS744*(1-PARAM!$C$27)*$I$20+(MOD($B744,60)=PARAM!$B$56)*($B744&gt;(60-PARAM!$B$56))*HLOOKUP(($B744+PARAM!$B$56)/12,Loyalty,2)*$F$1*MAX(BV743,0)</f>
        <v>18.557001321003963</v>
      </c>
      <c r="BU744" s="75">
        <f>PARAM!$C$26+MAX($G$20-CHOOSE(PARAM!$B$44,MAX(0,BV743*$F$1),0),0)*RATES!$L720/12+$H$20*(PARAM!$D$51/12)*RATES!$N720/100</f>
        <v>688.54166666666663</v>
      </c>
      <c r="BV744" s="16">
        <f t="shared" si="516"/>
        <v>-82731.87141038914</v>
      </c>
      <c r="BW744" s="15">
        <f t="shared" si="491"/>
        <v>22.170849845882874</v>
      </c>
      <c r="BX744" s="75">
        <f>BW744*(1-PARAM!$C$27)*$I$21+(MOD($B744,60)=PARAM!$B$56)*($B744&gt;(60-PARAM!$B$56))*HLOOKUP(($B744+PARAM!$B$56)/12,Loyalty,2)*$F$1*MAX(BZ743,0)</f>
        <v>18.557001321003963</v>
      </c>
      <c r="BY744" s="75">
        <f>PARAM!$C$26+MAX($G$21-CHOOSE(PARAM!$B$44,MAX(0,BZ743*$F$1),0),0)*RATES!$L720/12+$H$21*(PARAM!$D$51/12)*RATES!$N720/100</f>
        <v>688.54166666666663</v>
      </c>
      <c r="BZ744" s="16">
        <f t="shared" si="517"/>
        <v>-82731.87141038914</v>
      </c>
      <c r="CA744" s="15">
        <f t="shared" si="492"/>
        <v>22.170849845882874</v>
      </c>
      <c r="CB744" s="75">
        <f>CA744*(1-PARAM!$C$27)*$I$22+(MOD($B744,60)=PARAM!$B$56)*($B744&gt;(60-PARAM!$B$56))*HLOOKUP(($B744+PARAM!$B$56)/12,Loyalty,2)*$F$1*MAX(CD743,0)</f>
        <v>18.557001321003963</v>
      </c>
      <c r="CC744" s="75">
        <f>PARAM!$C$26+MAX($G$22-CHOOSE(PARAM!$B$44,MAX(0,CD743*$F$1),0),0)*RATES!$L720/12+$H$22*(PARAM!$D$51/12)*RATES!$N720/100</f>
        <v>688.54166666666663</v>
      </c>
      <c r="CD744" s="16">
        <f t="shared" si="518"/>
        <v>-82731.87141038914</v>
      </c>
      <c r="CE744" s="33">
        <f>IF(0=MOD(B744,12/PARAM!$D$51),1,0)</f>
        <v>1</v>
      </c>
      <c r="CF744" s="15">
        <f t="shared" si="493"/>
        <v>0</v>
      </c>
      <c r="CG744" s="75">
        <f>CF744*(1-PARAM!$C$27)*$R$3+(MOD($B744/12,5)=0)*($B744&gt;60)*HLOOKUP($B744/12,Loyalty,2)*$F$1*MAX(CI743,0)</f>
        <v>0</v>
      </c>
      <c r="CH744" s="75">
        <f>PARAM!$C$26+MAX($P$3-CHOOSE(PARAM!$B$44,MAX(0,CI743*$F$1),0),0)*RATES!$L720/12+$Q$3*(PARAM!$D$51/12)*RATES!$N720/100</f>
        <v>688.54166666666663</v>
      </c>
      <c r="CI744" s="16">
        <f>IF(CI743&gt;0,CI743*PARAM!$C$53,CI743)+CG744-CH744</f>
        <v>-95917.666666666919</v>
      </c>
      <c r="CJ744" s="15">
        <f t="shared" si="519"/>
        <v>0</v>
      </c>
      <c r="CK744" s="75">
        <f>CJ744*(1-PARAM!$C$27)*$R$4+(MOD($B744/12,5)=0)*($B744&gt;60)*HLOOKUP($B744/12,Loyalty,2)*$F$1*MAX(CM743,0)</f>
        <v>0</v>
      </c>
      <c r="CL744" s="75">
        <f>PARAM!$C$26+MAX($P$4-CHOOSE(PARAM!$B$44,MAX(0,CM743*$F$1),0),0)*RATES!$L720/12+$Q$4*(PARAM!$D$51/12)*RATES!$N720/100</f>
        <v>688.54166666666663</v>
      </c>
      <c r="CM744" s="16">
        <f>IF(CM743&gt;0,CM743*PARAM!$C$53,CM743)+CK744-CL744</f>
        <v>-95917.666666666919</v>
      </c>
      <c r="CO744" s="176"/>
    </row>
    <row r="745" spans="1:93" x14ac:dyDescent="0.2">
      <c r="A745" t="b">
        <f t="shared" si="494"/>
        <v>0</v>
      </c>
      <c r="B745" s="33">
        <v>718</v>
      </c>
      <c r="C745" s="15">
        <f t="shared" si="495"/>
        <v>20.081305947392778</v>
      </c>
      <c r="D745" s="75">
        <f>C745*(1-PARAM!$C$27)*$I$3+(MOD($B745,60)=PARAM!$B$56)*($B745&gt;(60-PARAM!$B$56))*HLOOKUP(($B745+PARAM!$B$56)/12,Loyalty,2)*$F$1*MAX(F744,0)</f>
        <v>16.808053077967756</v>
      </c>
      <c r="E745" s="75">
        <f>PARAM!$C$26+MAX($G$3-CHOOSE(PARAM!$B$44,MAX(0,F744*$F$1),0),0)*RATES!$L721/12+$H$3*(PARAM!$D$51/12)*RATES!$N721/100</f>
        <v>688.54166666666663</v>
      </c>
      <c r="F745" s="16">
        <f t="shared" si="496"/>
        <v>-84694.451414756244</v>
      </c>
      <c r="G745" s="15">
        <f t="shared" si="497"/>
        <v>22.035289406060361</v>
      </c>
      <c r="H745" s="75">
        <f>G745*(1-PARAM!$C$27)*$I$4+(MOD($B745,60)=PARAM!$B$56)*($B745&gt;(60-PARAM!$B$56))*HLOOKUP(($B745+PARAM!$B$56)/12,Loyalty,2)*$F$1*MAX(J744,0)</f>
        <v>18.443537232872522</v>
      </c>
      <c r="I745" s="75">
        <f>PARAM!$C$26+MAX($G$4-CHOOSE(PARAM!$B$44,MAX(0,J744*$F$1),0),0)*RATES!$L721/12+$H$4*(PARAM!$D$51/12)*RATES!$N721/100</f>
        <v>688.54166666666663</v>
      </c>
      <c r="J745" s="16">
        <f t="shared" si="498"/>
        <v>-83486.340827412874</v>
      </c>
      <c r="K745" s="15">
        <f t="shared" si="499"/>
        <v>22.170849845882874</v>
      </c>
      <c r="L745" s="75">
        <f>K745*(1-PARAM!$C$27)*$I$5+(MOD($B745,60)=PARAM!$B$56)*($B745&gt;(60-PARAM!$B$56))*HLOOKUP(($B745+PARAM!$B$56)/12,Loyalty,2)*$F$1*MAX(N744,0)</f>
        <v>18.557001321003963</v>
      </c>
      <c r="M745" s="75">
        <f>PARAM!$C$26+MAX($G$5-CHOOSE(PARAM!$B$44,MAX(0,N744*$F$1),0),0)*RATES!$L721/12+$H$5*(PARAM!$D$51/12)*RATES!$N721/100</f>
        <v>688.54166666666663</v>
      </c>
      <c r="N745" s="16">
        <f t="shared" si="500"/>
        <v>-83401.856075734802</v>
      </c>
      <c r="O745" s="15">
        <f t="shared" si="501"/>
        <v>22.170849845882874</v>
      </c>
      <c r="P745" s="75">
        <f>O745*(1-PARAM!$C$27)*$I$6+(MOD($B745,60)=PARAM!$B$56)*($B745&gt;(60-PARAM!$B$56))*HLOOKUP(($B745+PARAM!$B$56)/12,Loyalty,2)*$F$1*MAX(R744,0)</f>
        <v>18.557001321003963</v>
      </c>
      <c r="Q745" s="75">
        <f>PARAM!$C$26+MAX($G$6-CHOOSE(PARAM!$B$44,MAX(0,R744*$F$1),0),0)*RATES!$L721/12+$H$6*(PARAM!$D$51/12)*RATES!$N721/100</f>
        <v>688.54166666666663</v>
      </c>
      <c r="R745" s="16">
        <f t="shared" si="502"/>
        <v>-83401.856075734802</v>
      </c>
      <c r="S745" s="15">
        <f t="shared" si="477"/>
        <v>22.170849845882874</v>
      </c>
      <c r="T745" s="75">
        <f>S745*(1-PARAM!$C$27)*$I$7+(MOD($B745,60)=PARAM!$B$56)*($B745&gt;(60-PARAM!$B$56))*HLOOKUP(($B745+PARAM!$B$56)/12,Loyalty,2)*$F$1*MAX(V744,0)</f>
        <v>18.557001321003963</v>
      </c>
      <c r="U745" s="75">
        <f>PARAM!$C$26+MAX($G$7-CHOOSE(PARAM!$B$44,MAX(0,V744*$F$1),0),0)*RATES!$L721/12+$H$7*(PARAM!$D$51/12)*RATES!$N721/100</f>
        <v>688.54166666666663</v>
      </c>
      <c r="V745" s="16">
        <f t="shared" si="503"/>
        <v>-83401.856075734802</v>
      </c>
      <c r="W745" s="15">
        <f t="shared" si="478"/>
        <v>22.170849845882874</v>
      </c>
      <c r="X745" s="75">
        <f>W745*(1-PARAM!$C$27)*$I$8+(MOD($B745,60)=PARAM!$B$56)*($B745&gt;(60-PARAM!$B$56))*HLOOKUP(($B745+PARAM!$B$56)/12,Loyalty,2)*$F$1*MAX(Z744,0)</f>
        <v>18.557001321003963</v>
      </c>
      <c r="Y745" s="75">
        <f>PARAM!$C$26+MAX($G$8-CHOOSE(PARAM!$B$44,MAX(0,Z744*$F$1),0),0)*RATES!$L721/12+$H$8*(PARAM!$D$51/12)*RATES!$N721/100</f>
        <v>688.54166666666663</v>
      </c>
      <c r="Z745" s="16">
        <f t="shared" si="504"/>
        <v>-83401.856075734802</v>
      </c>
      <c r="AA745" s="15">
        <f t="shared" si="479"/>
        <v>22.170849845882874</v>
      </c>
      <c r="AB745" s="75">
        <f>AA745*(1-PARAM!$C$27)*$I$9+(MOD($B745,60)=PARAM!$B$56)*($B745&gt;(60-PARAM!$B$56))*HLOOKUP(($B745+PARAM!$B$56)/12,Loyalty,2)*$F$1*MAX(AD744,0)</f>
        <v>18.557001321003963</v>
      </c>
      <c r="AC745" s="75">
        <f>PARAM!$C$26+MAX($G$9-CHOOSE(PARAM!$B$44,MAX(0,AD744*$F$1),0),0)*RATES!$L721/12+$H$9*(PARAM!$D$51/12)*RATES!$N721/100</f>
        <v>688.54166666666663</v>
      </c>
      <c r="AD745" s="16">
        <f t="shared" si="505"/>
        <v>-83401.856075734802</v>
      </c>
      <c r="AE745" s="15">
        <f t="shared" si="480"/>
        <v>22.170849845882874</v>
      </c>
      <c r="AF745" s="75">
        <f>AE745*(1-PARAM!$C$27)*$I$10+(MOD($B745,60)=PARAM!$B$56)*($B745&gt;(60-PARAM!$B$56))*HLOOKUP(($B745+PARAM!$B$56)/12,Loyalty,2)*$F$1*MAX(AH744,0)</f>
        <v>18.557001321003963</v>
      </c>
      <c r="AG745" s="75">
        <f>PARAM!$C$26+MAX($G$10-CHOOSE(PARAM!$B$44,MAX(0,AH744*$F$1),0),0)*RATES!$L721/12+$H$10*(PARAM!$D$51/12)*RATES!$N721/100</f>
        <v>688.54166666666663</v>
      </c>
      <c r="AH745" s="16">
        <f t="shared" si="506"/>
        <v>-83401.856075734802</v>
      </c>
      <c r="AI745" s="15">
        <f t="shared" si="481"/>
        <v>22.170849845882874</v>
      </c>
      <c r="AJ745" s="75">
        <f>AI745*(1-PARAM!$C$27)*$I$11+(MOD($B745,60)=PARAM!$B$56)*($B745&gt;(60-PARAM!$B$56))*HLOOKUP(($B745+PARAM!$B$56)/12,Loyalty,2)*$F$1*MAX(AL744,0)</f>
        <v>18.557001321003963</v>
      </c>
      <c r="AK745" s="75">
        <f>PARAM!$C$26+MAX($G$11-CHOOSE(PARAM!$B$44,MAX(0,AL744*$F$1),0),0)*RATES!$L721/12+$H$11*(PARAM!$D$51/12)*RATES!$N721/100</f>
        <v>688.54166666666663</v>
      </c>
      <c r="AL745" s="16">
        <f t="shared" si="507"/>
        <v>-83401.856075734802</v>
      </c>
      <c r="AM745" s="15">
        <f t="shared" si="482"/>
        <v>22.170849845882874</v>
      </c>
      <c r="AN745" s="75">
        <f>AM745*(1-PARAM!$C$27)*$I$12+(MOD($B745,60)=PARAM!$B$56)*($B745&gt;(60-PARAM!$B$56))*HLOOKUP(($B745+PARAM!$B$56)/12,Loyalty,2)*$F$1*MAX(AP744,0)</f>
        <v>18.557001321003963</v>
      </c>
      <c r="AO745" s="75">
        <f>PARAM!$C$26+MAX($G$12-CHOOSE(PARAM!$B$44,MAX(0,AP744*$F$1),0),0)*RATES!$L721/12+$H$12*(PARAM!$D$51/12)*RATES!$N721/100</f>
        <v>688.54166666666663</v>
      </c>
      <c r="AP745" s="16">
        <f t="shared" si="508"/>
        <v>-83401.856075734802</v>
      </c>
      <c r="AQ745" s="15">
        <f t="shared" si="483"/>
        <v>22.170849845882874</v>
      </c>
      <c r="AR745" s="75">
        <f>AQ745*(1-PARAM!$C$27)*$I$13+(MOD($B745,60)=PARAM!$B$56)*($B745&gt;(60-PARAM!$B$56))*HLOOKUP(($B745+PARAM!$B$56)/12,Loyalty,2)*$F$1*MAX(AT744,0)</f>
        <v>18.557001321003963</v>
      </c>
      <c r="AS745" s="75">
        <f>PARAM!$C$26+MAX($G$13-CHOOSE(PARAM!$B$44,MAX(0,AT744*$F$1),0),0)*RATES!$L721/12+$H$13*(PARAM!$D$51/12)*RATES!$N721/100</f>
        <v>688.54166666666663</v>
      </c>
      <c r="AT745" s="16">
        <f t="shared" si="509"/>
        <v>-83401.856075734802</v>
      </c>
      <c r="AU745" s="15">
        <f t="shared" si="484"/>
        <v>22.170849845882874</v>
      </c>
      <c r="AV745" s="75">
        <f>AU745*(1-PARAM!$C$27)*$I$14+(MOD($B745,60)=PARAM!$B$56)*($B745&gt;(60-PARAM!$B$56))*HLOOKUP(($B745+PARAM!$B$56)/12,Loyalty,2)*$F$1*MAX(AX744,0)</f>
        <v>18.557001321003963</v>
      </c>
      <c r="AW745" s="75">
        <f>PARAM!$C$26+MAX($G$14-CHOOSE(PARAM!$B$44,MAX(0,AX744*$F$1),0),0)*RATES!$L721/12+$H$14*(PARAM!$D$51/12)*RATES!$N721/100</f>
        <v>688.54166666666663</v>
      </c>
      <c r="AX745" s="16">
        <f t="shared" si="510"/>
        <v>-83401.856075734802</v>
      </c>
      <c r="AY745" s="15">
        <f t="shared" si="485"/>
        <v>22.170849845882874</v>
      </c>
      <c r="AZ745" s="75">
        <f>AY745*(1-PARAM!$C$27)*$I$15+(MOD($B745,60)=PARAM!$B$56)*($B745&gt;(60-PARAM!$B$56))*HLOOKUP(($B745+PARAM!$B$56)/12,Loyalty,2)*$F$1*MAX(BB744,0)</f>
        <v>18.557001321003963</v>
      </c>
      <c r="BA745" s="75">
        <f>PARAM!$C$26+MAX($G$15-CHOOSE(PARAM!$B$44,MAX(0,BB744*$F$1),0),0)*RATES!$L721/12+$H$15*(PARAM!$D$51/12)*RATES!$N721/100</f>
        <v>688.54166666666663</v>
      </c>
      <c r="BB745" s="16">
        <f t="shared" si="511"/>
        <v>-83401.856075734802</v>
      </c>
      <c r="BC745" s="15">
        <f t="shared" si="486"/>
        <v>22.170849845882874</v>
      </c>
      <c r="BD745" s="75">
        <f>BC745*(1-PARAM!$C$27)*$I$16+(MOD($B745,60)=PARAM!$B$56)*($B745&gt;(60-PARAM!$B$56))*HLOOKUP(($B745+PARAM!$B$56)/12,Loyalty,2)*$F$1*MAX(BF744,0)</f>
        <v>18.557001321003963</v>
      </c>
      <c r="BE745" s="75">
        <f>PARAM!$C$26+MAX($G$16-CHOOSE(PARAM!$B$44,MAX(0,BF744*$F$1),0),0)*RATES!$L721/12+$H$16*(PARAM!$D$51/12)*RATES!$N721/100</f>
        <v>688.54166666666663</v>
      </c>
      <c r="BF745" s="16">
        <f t="shared" si="512"/>
        <v>-83401.856075734802</v>
      </c>
      <c r="BG745" s="15">
        <f t="shared" si="487"/>
        <v>22.170849845882874</v>
      </c>
      <c r="BH745" s="75">
        <f>BG745*(1-PARAM!$C$27)*$I$17+(MOD($B745,60)=PARAM!$B$56)*($B745&gt;(60-PARAM!$B$56))*HLOOKUP(($B745+PARAM!$B$56)/12,Loyalty,2)*$F$1*MAX(BJ744,0)</f>
        <v>18.557001321003963</v>
      </c>
      <c r="BI745" s="75">
        <f>PARAM!$C$26+MAX($G$17-CHOOSE(PARAM!$B$44,MAX(0,BJ744*$F$1),0),0)*RATES!$L721/12+$H$17*(PARAM!$D$51/12)*RATES!$N721/100</f>
        <v>688.54166666666663</v>
      </c>
      <c r="BJ745" s="16">
        <f t="shared" si="513"/>
        <v>-83401.856075734802</v>
      </c>
      <c r="BK745" s="15">
        <f t="shared" si="488"/>
        <v>22.170849845882874</v>
      </c>
      <c r="BL745" s="75">
        <f>BK745*(1-PARAM!$C$27)*$I$18+(MOD($B745,60)=PARAM!$B$56)*($B745&gt;(60-PARAM!$B$56))*HLOOKUP(($B745+PARAM!$B$56)/12,Loyalty,2)*$F$1*MAX(BN744,0)</f>
        <v>18.557001321003963</v>
      </c>
      <c r="BM745" s="75">
        <f>PARAM!$C$26+MAX($G$18-CHOOSE(PARAM!$B$44,MAX(0,BN744*$F$1),0),0)*RATES!$L721/12+$H$18*(PARAM!$D$51/12)*RATES!$N721/100</f>
        <v>688.54166666666663</v>
      </c>
      <c r="BN745" s="16">
        <f t="shared" si="514"/>
        <v>-83401.856075734802</v>
      </c>
      <c r="BO745" s="15">
        <f t="shared" si="489"/>
        <v>22.170849845882874</v>
      </c>
      <c r="BP745" s="75">
        <f>BO745*(1-PARAM!$C$27)*$I$19+(MOD($B745,60)=PARAM!$B$56)*($B745&gt;(60-PARAM!$B$56))*HLOOKUP(($B745+PARAM!$B$56)/12,Loyalty,2)*$F$1*MAX(BR744,0)</f>
        <v>18.557001321003963</v>
      </c>
      <c r="BQ745" s="75">
        <f>PARAM!$C$26+MAX($G$19-CHOOSE(PARAM!$B$44,MAX(0,BR744*$F$1),0),0)*RATES!$L721/12+$H$19*(PARAM!$D$51/12)*RATES!$N721/100</f>
        <v>688.54166666666663</v>
      </c>
      <c r="BR745" s="16">
        <f t="shared" si="515"/>
        <v>-83401.856075734802</v>
      </c>
      <c r="BS745" s="15">
        <f t="shared" si="490"/>
        <v>22.170849845882874</v>
      </c>
      <c r="BT745" s="75">
        <f>BS745*(1-PARAM!$C$27)*$I$20+(MOD($B745,60)=PARAM!$B$56)*($B745&gt;(60-PARAM!$B$56))*HLOOKUP(($B745+PARAM!$B$56)/12,Loyalty,2)*$F$1*MAX(BV744,0)</f>
        <v>18.557001321003963</v>
      </c>
      <c r="BU745" s="75">
        <f>PARAM!$C$26+MAX($G$20-CHOOSE(PARAM!$B$44,MAX(0,BV744*$F$1),0),0)*RATES!$L721/12+$H$20*(PARAM!$D$51/12)*RATES!$N721/100</f>
        <v>688.54166666666663</v>
      </c>
      <c r="BV745" s="16">
        <f t="shared" si="516"/>
        <v>-83401.856075734802</v>
      </c>
      <c r="BW745" s="15">
        <f t="shared" si="491"/>
        <v>22.170849845882874</v>
      </c>
      <c r="BX745" s="75">
        <f>BW745*(1-PARAM!$C$27)*$I$21+(MOD($B745,60)=PARAM!$B$56)*($B745&gt;(60-PARAM!$B$56))*HLOOKUP(($B745+PARAM!$B$56)/12,Loyalty,2)*$F$1*MAX(BZ744,0)</f>
        <v>18.557001321003963</v>
      </c>
      <c r="BY745" s="75">
        <f>PARAM!$C$26+MAX($G$21-CHOOSE(PARAM!$B$44,MAX(0,BZ744*$F$1),0),0)*RATES!$L721/12+$H$21*(PARAM!$D$51/12)*RATES!$N721/100</f>
        <v>688.54166666666663</v>
      </c>
      <c r="BZ745" s="16">
        <f t="shared" si="517"/>
        <v>-83401.856075734802</v>
      </c>
      <c r="CA745" s="15">
        <f t="shared" si="492"/>
        <v>22.170849845882874</v>
      </c>
      <c r="CB745" s="75">
        <f>CA745*(1-PARAM!$C$27)*$I$22+(MOD($B745,60)=PARAM!$B$56)*($B745&gt;(60-PARAM!$B$56))*HLOOKUP(($B745+PARAM!$B$56)/12,Loyalty,2)*$F$1*MAX(CD744,0)</f>
        <v>18.557001321003963</v>
      </c>
      <c r="CC745" s="75">
        <f>PARAM!$C$26+MAX($G$22-CHOOSE(PARAM!$B$44,MAX(0,CD744*$F$1),0),0)*RATES!$L721/12+$H$22*(PARAM!$D$51/12)*RATES!$N721/100</f>
        <v>688.54166666666663</v>
      </c>
      <c r="CD745" s="16">
        <f t="shared" si="518"/>
        <v>-83401.856075734802</v>
      </c>
      <c r="CE745" s="33">
        <f>IF(0=MOD(B745,12/PARAM!$D$51),1,0)</f>
        <v>1</v>
      </c>
      <c r="CF745" s="15">
        <f t="shared" si="493"/>
        <v>0</v>
      </c>
      <c r="CG745" s="75">
        <f>CF745*(1-PARAM!$C$27)*$R$3+(MOD($B745/12,5)=0)*($B745&gt;60)*HLOOKUP($B745/12,Loyalty,2)*$F$1*MAX(CI744,0)</f>
        <v>0</v>
      </c>
      <c r="CH745" s="75">
        <f>PARAM!$C$26+MAX($P$3-CHOOSE(PARAM!$B$44,MAX(0,CI744*$F$1),0),0)*RATES!$L721/12+$Q$3*(PARAM!$D$51/12)*RATES!$N721/100</f>
        <v>688.54166666666663</v>
      </c>
      <c r="CI745" s="16">
        <f>IF(CI744&gt;0,CI744*PARAM!$C$53,CI744)+CG745-CH745</f>
        <v>-96606.20833333359</v>
      </c>
      <c r="CJ745" s="15">
        <f t="shared" si="519"/>
        <v>0</v>
      </c>
      <c r="CK745" s="75">
        <f>CJ745*(1-PARAM!$C$27)*$R$4+(MOD($B745/12,5)=0)*($B745&gt;60)*HLOOKUP($B745/12,Loyalty,2)*$F$1*MAX(CM744,0)</f>
        <v>0</v>
      </c>
      <c r="CL745" s="75">
        <f>PARAM!$C$26+MAX($P$4-CHOOSE(PARAM!$B$44,MAX(0,CM744*$F$1),0),0)*RATES!$L721/12+$Q$4*(PARAM!$D$51/12)*RATES!$N721/100</f>
        <v>688.54166666666663</v>
      </c>
      <c r="CM745" s="16">
        <f>IF(CM744&gt;0,CM744*PARAM!$C$53,CM744)+CK745-CL745</f>
        <v>-96606.20833333359</v>
      </c>
      <c r="CO745" s="176"/>
    </row>
    <row r="746" spans="1:93" x14ac:dyDescent="0.2">
      <c r="A746" t="b">
        <f t="shared" si="494"/>
        <v>0</v>
      </c>
      <c r="B746" s="33">
        <v>719</v>
      </c>
      <c r="C746" s="15">
        <f t="shared" si="495"/>
        <v>20.081305947392778</v>
      </c>
      <c r="D746" s="75">
        <f>C746*(1-PARAM!$C$27)*$I$3+(MOD($B746,60)=PARAM!$B$56)*($B746&gt;(60-PARAM!$B$56))*HLOOKUP(($B746+PARAM!$B$56)/12,Loyalty,2)*$F$1*MAX(F745,0)</f>
        <v>16.808053077967756</v>
      </c>
      <c r="E746" s="75">
        <f>PARAM!$C$26+MAX($G$3-CHOOSE(PARAM!$B$44,MAX(0,F745*$F$1),0),0)*RATES!$L722/12+$H$3*(PARAM!$D$51/12)*RATES!$N722/100</f>
        <v>688.54166666666663</v>
      </c>
      <c r="F746" s="16">
        <f t="shared" si="496"/>
        <v>-85366.185028344946</v>
      </c>
      <c r="G746" s="15">
        <f t="shared" si="497"/>
        <v>22.035289406060361</v>
      </c>
      <c r="H746" s="75">
        <f>G746*(1-PARAM!$C$27)*$I$4+(MOD($B746,60)=PARAM!$B$56)*($B746&gt;(60-PARAM!$B$56))*HLOOKUP(($B746+PARAM!$B$56)/12,Loyalty,2)*$F$1*MAX(J745,0)</f>
        <v>18.443537232872522</v>
      </c>
      <c r="I746" s="75">
        <f>PARAM!$C$26+MAX($G$4-CHOOSE(PARAM!$B$44,MAX(0,J745*$F$1),0),0)*RATES!$L722/12+$H$4*(PARAM!$D$51/12)*RATES!$N722/100</f>
        <v>688.54166666666663</v>
      </c>
      <c r="J746" s="16">
        <f t="shared" si="498"/>
        <v>-84156.438956846672</v>
      </c>
      <c r="K746" s="15">
        <f t="shared" si="499"/>
        <v>22.170849845882874</v>
      </c>
      <c r="L746" s="75">
        <f>K746*(1-PARAM!$C$27)*$I$5+(MOD($B746,60)=PARAM!$B$56)*($B746&gt;(60-PARAM!$B$56))*HLOOKUP(($B746+PARAM!$B$56)/12,Loyalty,2)*$F$1*MAX(N745,0)</f>
        <v>18.557001321003963</v>
      </c>
      <c r="M746" s="75">
        <f>PARAM!$C$26+MAX($G$5-CHOOSE(PARAM!$B$44,MAX(0,N745*$F$1),0),0)*RATES!$L722/12+$H$5*(PARAM!$D$51/12)*RATES!$N722/100</f>
        <v>688.54166666666663</v>
      </c>
      <c r="N746" s="16">
        <f t="shared" si="500"/>
        <v>-84071.840741080465</v>
      </c>
      <c r="O746" s="15">
        <f t="shared" si="501"/>
        <v>22.170849845882874</v>
      </c>
      <c r="P746" s="75">
        <f>O746*(1-PARAM!$C$27)*$I$6+(MOD($B746,60)=PARAM!$B$56)*($B746&gt;(60-PARAM!$B$56))*HLOOKUP(($B746+PARAM!$B$56)/12,Loyalty,2)*$F$1*MAX(R745,0)</f>
        <v>18.557001321003963</v>
      </c>
      <c r="Q746" s="75">
        <f>PARAM!$C$26+MAX($G$6-CHOOSE(PARAM!$B$44,MAX(0,R745*$F$1),0),0)*RATES!$L722/12+$H$6*(PARAM!$D$51/12)*RATES!$N722/100</f>
        <v>688.54166666666663</v>
      </c>
      <c r="R746" s="16">
        <f t="shared" si="502"/>
        <v>-84071.840741080465</v>
      </c>
      <c r="S746" s="15">
        <f t="shared" si="477"/>
        <v>22.170849845882874</v>
      </c>
      <c r="T746" s="75">
        <f>S746*(1-PARAM!$C$27)*$I$7+(MOD($B746,60)=PARAM!$B$56)*($B746&gt;(60-PARAM!$B$56))*HLOOKUP(($B746+PARAM!$B$56)/12,Loyalty,2)*$F$1*MAX(V745,0)</f>
        <v>18.557001321003963</v>
      </c>
      <c r="U746" s="75">
        <f>PARAM!$C$26+MAX($G$7-CHOOSE(PARAM!$B$44,MAX(0,V745*$F$1),0),0)*RATES!$L722/12+$H$7*(PARAM!$D$51/12)*RATES!$N722/100</f>
        <v>688.54166666666663</v>
      </c>
      <c r="V746" s="16">
        <f t="shared" si="503"/>
        <v>-84071.840741080465</v>
      </c>
      <c r="W746" s="15">
        <f t="shared" si="478"/>
        <v>22.170849845882874</v>
      </c>
      <c r="X746" s="75">
        <f>W746*(1-PARAM!$C$27)*$I$8+(MOD($B746,60)=PARAM!$B$56)*($B746&gt;(60-PARAM!$B$56))*HLOOKUP(($B746+PARAM!$B$56)/12,Loyalty,2)*$F$1*MAX(Z745,0)</f>
        <v>18.557001321003963</v>
      </c>
      <c r="Y746" s="75">
        <f>PARAM!$C$26+MAX($G$8-CHOOSE(PARAM!$B$44,MAX(0,Z745*$F$1),0),0)*RATES!$L722/12+$H$8*(PARAM!$D$51/12)*RATES!$N722/100</f>
        <v>688.54166666666663</v>
      </c>
      <c r="Z746" s="16">
        <f t="shared" si="504"/>
        <v>-84071.840741080465</v>
      </c>
      <c r="AA746" s="15">
        <f t="shared" si="479"/>
        <v>22.170849845882874</v>
      </c>
      <c r="AB746" s="75">
        <f>AA746*(1-PARAM!$C$27)*$I$9+(MOD($B746,60)=PARAM!$B$56)*($B746&gt;(60-PARAM!$B$56))*HLOOKUP(($B746+PARAM!$B$56)/12,Loyalty,2)*$F$1*MAX(AD745,0)</f>
        <v>18.557001321003963</v>
      </c>
      <c r="AC746" s="75">
        <f>PARAM!$C$26+MAX($G$9-CHOOSE(PARAM!$B$44,MAX(0,AD745*$F$1),0),0)*RATES!$L722/12+$H$9*(PARAM!$D$51/12)*RATES!$N722/100</f>
        <v>688.54166666666663</v>
      </c>
      <c r="AD746" s="16">
        <f t="shared" si="505"/>
        <v>-84071.840741080465</v>
      </c>
      <c r="AE746" s="15">
        <f t="shared" si="480"/>
        <v>22.170849845882874</v>
      </c>
      <c r="AF746" s="75">
        <f>AE746*(1-PARAM!$C$27)*$I$10+(MOD($B746,60)=PARAM!$B$56)*($B746&gt;(60-PARAM!$B$56))*HLOOKUP(($B746+PARAM!$B$56)/12,Loyalty,2)*$F$1*MAX(AH745,0)</f>
        <v>18.557001321003963</v>
      </c>
      <c r="AG746" s="75">
        <f>PARAM!$C$26+MAX($G$10-CHOOSE(PARAM!$B$44,MAX(0,AH745*$F$1),0),0)*RATES!$L722/12+$H$10*(PARAM!$D$51/12)*RATES!$N722/100</f>
        <v>688.54166666666663</v>
      </c>
      <c r="AH746" s="16">
        <f t="shared" si="506"/>
        <v>-84071.840741080465</v>
      </c>
      <c r="AI746" s="15">
        <f t="shared" si="481"/>
        <v>22.170849845882874</v>
      </c>
      <c r="AJ746" s="75">
        <f>AI746*(1-PARAM!$C$27)*$I$11+(MOD($B746,60)=PARAM!$B$56)*($B746&gt;(60-PARAM!$B$56))*HLOOKUP(($B746+PARAM!$B$56)/12,Loyalty,2)*$F$1*MAX(AL745,0)</f>
        <v>18.557001321003963</v>
      </c>
      <c r="AK746" s="75">
        <f>PARAM!$C$26+MAX($G$11-CHOOSE(PARAM!$B$44,MAX(0,AL745*$F$1),0),0)*RATES!$L722/12+$H$11*(PARAM!$D$51/12)*RATES!$N722/100</f>
        <v>688.54166666666663</v>
      </c>
      <c r="AL746" s="16">
        <f t="shared" si="507"/>
        <v>-84071.840741080465</v>
      </c>
      <c r="AM746" s="15">
        <f t="shared" si="482"/>
        <v>22.170849845882874</v>
      </c>
      <c r="AN746" s="75">
        <f>AM746*(1-PARAM!$C$27)*$I$12+(MOD($B746,60)=PARAM!$B$56)*($B746&gt;(60-PARAM!$B$56))*HLOOKUP(($B746+PARAM!$B$56)/12,Loyalty,2)*$F$1*MAX(AP745,0)</f>
        <v>18.557001321003963</v>
      </c>
      <c r="AO746" s="75">
        <f>PARAM!$C$26+MAX($G$12-CHOOSE(PARAM!$B$44,MAX(0,AP745*$F$1),0),0)*RATES!$L722/12+$H$12*(PARAM!$D$51/12)*RATES!$N722/100</f>
        <v>688.54166666666663</v>
      </c>
      <c r="AP746" s="16">
        <f t="shared" si="508"/>
        <v>-84071.840741080465</v>
      </c>
      <c r="AQ746" s="15">
        <f t="shared" si="483"/>
        <v>22.170849845882874</v>
      </c>
      <c r="AR746" s="75">
        <f>AQ746*(1-PARAM!$C$27)*$I$13+(MOD($B746,60)=PARAM!$B$56)*($B746&gt;(60-PARAM!$B$56))*HLOOKUP(($B746+PARAM!$B$56)/12,Loyalty,2)*$F$1*MAX(AT745,0)</f>
        <v>18.557001321003963</v>
      </c>
      <c r="AS746" s="75">
        <f>PARAM!$C$26+MAX($G$13-CHOOSE(PARAM!$B$44,MAX(0,AT745*$F$1),0),0)*RATES!$L722/12+$H$13*(PARAM!$D$51/12)*RATES!$N722/100</f>
        <v>688.54166666666663</v>
      </c>
      <c r="AT746" s="16">
        <f t="shared" si="509"/>
        <v>-84071.840741080465</v>
      </c>
      <c r="AU746" s="15">
        <f t="shared" si="484"/>
        <v>22.170849845882874</v>
      </c>
      <c r="AV746" s="75">
        <f>AU746*(1-PARAM!$C$27)*$I$14+(MOD($B746,60)=PARAM!$B$56)*($B746&gt;(60-PARAM!$B$56))*HLOOKUP(($B746+PARAM!$B$56)/12,Loyalty,2)*$F$1*MAX(AX745,0)</f>
        <v>18.557001321003963</v>
      </c>
      <c r="AW746" s="75">
        <f>PARAM!$C$26+MAX($G$14-CHOOSE(PARAM!$B$44,MAX(0,AX745*$F$1),0),0)*RATES!$L722/12+$H$14*(PARAM!$D$51/12)*RATES!$N722/100</f>
        <v>688.54166666666663</v>
      </c>
      <c r="AX746" s="16">
        <f t="shared" si="510"/>
        <v>-84071.840741080465</v>
      </c>
      <c r="AY746" s="15">
        <f t="shared" si="485"/>
        <v>22.170849845882874</v>
      </c>
      <c r="AZ746" s="75">
        <f>AY746*(1-PARAM!$C$27)*$I$15+(MOD($B746,60)=PARAM!$B$56)*($B746&gt;(60-PARAM!$B$56))*HLOOKUP(($B746+PARAM!$B$56)/12,Loyalty,2)*$F$1*MAX(BB745,0)</f>
        <v>18.557001321003963</v>
      </c>
      <c r="BA746" s="75">
        <f>PARAM!$C$26+MAX($G$15-CHOOSE(PARAM!$B$44,MAX(0,BB745*$F$1),0),0)*RATES!$L722/12+$H$15*(PARAM!$D$51/12)*RATES!$N722/100</f>
        <v>688.54166666666663</v>
      </c>
      <c r="BB746" s="16">
        <f t="shared" si="511"/>
        <v>-84071.840741080465</v>
      </c>
      <c r="BC746" s="15">
        <f t="shared" si="486"/>
        <v>22.170849845882874</v>
      </c>
      <c r="BD746" s="75">
        <f>BC746*(1-PARAM!$C$27)*$I$16+(MOD($B746,60)=PARAM!$B$56)*($B746&gt;(60-PARAM!$B$56))*HLOOKUP(($B746+PARAM!$B$56)/12,Loyalty,2)*$F$1*MAX(BF745,0)</f>
        <v>18.557001321003963</v>
      </c>
      <c r="BE746" s="75">
        <f>PARAM!$C$26+MAX($G$16-CHOOSE(PARAM!$B$44,MAX(0,BF745*$F$1),0),0)*RATES!$L722/12+$H$16*(PARAM!$D$51/12)*RATES!$N722/100</f>
        <v>688.54166666666663</v>
      </c>
      <c r="BF746" s="16">
        <f t="shared" si="512"/>
        <v>-84071.840741080465</v>
      </c>
      <c r="BG746" s="15">
        <f t="shared" si="487"/>
        <v>22.170849845882874</v>
      </c>
      <c r="BH746" s="75">
        <f>BG746*(1-PARAM!$C$27)*$I$17+(MOD($B746,60)=PARAM!$B$56)*($B746&gt;(60-PARAM!$B$56))*HLOOKUP(($B746+PARAM!$B$56)/12,Loyalty,2)*$F$1*MAX(BJ745,0)</f>
        <v>18.557001321003963</v>
      </c>
      <c r="BI746" s="75">
        <f>PARAM!$C$26+MAX($G$17-CHOOSE(PARAM!$B$44,MAX(0,BJ745*$F$1),0),0)*RATES!$L722/12+$H$17*(PARAM!$D$51/12)*RATES!$N722/100</f>
        <v>688.54166666666663</v>
      </c>
      <c r="BJ746" s="16">
        <f t="shared" si="513"/>
        <v>-84071.840741080465</v>
      </c>
      <c r="BK746" s="15">
        <f t="shared" si="488"/>
        <v>22.170849845882874</v>
      </c>
      <c r="BL746" s="75">
        <f>BK746*(1-PARAM!$C$27)*$I$18+(MOD($B746,60)=PARAM!$B$56)*($B746&gt;(60-PARAM!$B$56))*HLOOKUP(($B746+PARAM!$B$56)/12,Loyalty,2)*$F$1*MAX(BN745,0)</f>
        <v>18.557001321003963</v>
      </c>
      <c r="BM746" s="75">
        <f>PARAM!$C$26+MAX($G$18-CHOOSE(PARAM!$B$44,MAX(0,BN745*$F$1),0),0)*RATES!$L722/12+$H$18*(PARAM!$D$51/12)*RATES!$N722/100</f>
        <v>688.54166666666663</v>
      </c>
      <c r="BN746" s="16">
        <f t="shared" si="514"/>
        <v>-84071.840741080465</v>
      </c>
      <c r="BO746" s="15">
        <f t="shared" si="489"/>
        <v>22.170849845882874</v>
      </c>
      <c r="BP746" s="75">
        <f>BO746*(1-PARAM!$C$27)*$I$19+(MOD($B746,60)=PARAM!$B$56)*($B746&gt;(60-PARAM!$B$56))*HLOOKUP(($B746+PARAM!$B$56)/12,Loyalty,2)*$F$1*MAX(BR745,0)</f>
        <v>18.557001321003963</v>
      </c>
      <c r="BQ746" s="75">
        <f>PARAM!$C$26+MAX($G$19-CHOOSE(PARAM!$B$44,MAX(0,BR745*$F$1),0),0)*RATES!$L722/12+$H$19*(PARAM!$D$51/12)*RATES!$N722/100</f>
        <v>688.54166666666663</v>
      </c>
      <c r="BR746" s="16">
        <f t="shared" si="515"/>
        <v>-84071.840741080465</v>
      </c>
      <c r="BS746" s="15">
        <f t="shared" si="490"/>
        <v>22.170849845882874</v>
      </c>
      <c r="BT746" s="75">
        <f>BS746*(1-PARAM!$C$27)*$I$20+(MOD($B746,60)=PARAM!$B$56)*($B746&gt;(60-PARAM!$B$56))*HLOOKUP(($B746+PARAM!$B$56)/12,Loyalty,2)*$F$1*MAX(BV745,0)</f>
        <v>18.557001321003963</v>
      </c>
      <c r="BU746" s="75">
        <f>PARAM!$C$26+MAX($G$20-CHOOSE(PARAM!$B$44,MAX(0,BV745*$F$1),0),0)*RATES!$L722/12+$H$20*(PARAM!$D$51/12)*RATES!$N722/100</f>
        <v>688.54166666666663</v>
      </c>
      <c r="BV746" s="16">
        <f t="shared" si="516"/>
        <v>-84071.840741080465</v>
      </c>
      <c r="BW746" s="15">
        <f t="shared" si="491"/>
        <v>22.170849845882874</v>
      </c>
      <c r="BX746" s="75">
        <f>BW746*(1-PARAM!$C$27)*$I$21+(MOD($B746,60)=PARAM!$B$56)*($B746&gt;(60-PARAM!$B$56))*HLOOKUP(($B746+PARAM!$B$56)/12,Loyalty,2)*$F$1*MAX(BZ745,0)</f>
        <v>18.557001321003963</v>
      </c>
      <c r="BY746" s="75">
        <f>PARAM!$C$26+MAX($G$21-CHOOSE(PARAM!$B$44,MAX(0,BZ745*$F$1),0),0)*RATES!$L722/12+$H$21*(PARAM!$D$51/12)*RATES!$N722/100</f>
        <v>688.54166666666663</v>
      </c>
      <c r="BZ746" s="16">
        <f t="shared" si="517"/>
        <v>-84071.840741080465</v>
      </c>
      <c r="CA746" s="15">
        <f t="shared" si="492"/>
        <v>22.170849845882874</v>
      </c>
      <c r="CB746" s="75">
        <f>CA746*(1-PARAM!$C$27)*$I$22+(MOD($B746,60)=PARAM!$B$56)*($B746&gt;(60-PARAM!$B$56))*HLOOKUP(($B746+PARAM!$B$56)/12,Loyalty,2)*$F$1*MAX(CD745,0)</f>
        <v>18.557001321003963</v>
      </c>
      <c r="CC746" s="75">
        <f>PARAM!$C$26+MAX($G$22-CHOOSE(PARAM!$B$44,MAX(0,CD745*$F$1),0),0)*RATES!$L722/12+$H$22*(PARAM!$D$51/12)*RATES!$N722/100</f>
        <v>688.54166666666663</v>
      </c>
      <c r="CD746" s="16">
        <f t="shared" si="518"/>
        <v>-84071.840741080465</v>
      </c>
      <c r="CE746" s="33">
        <f>IF(0=MOD(B746,12/PARAM!$D$51),1,0)</f>
        <v>1</v>
      </c>
      <c r="CF746" s="15">
        <f t="shared" si="493"/>
        <v>0</v>
      </c>
      <c r="CG746" s="75">
        <f>CF746*(1-PARAM!$C$27)*$R$3+(MOD($B746/12,5)=0)*($B746&gt;60)*HLOOKUP($B746/12,Loyalty,2)*$F$1*MAX(CI745,0)</f>
        <v>0</v>
      </c>
      <c r="CH746" s="75">
        <f>PARAM!$C$26+MAX($P$3-CHOOSE(PARAM!$B$44,MAX(0,CI745*$F$1),0),0)*RATES!$L722/12+$Q$3*(PARAM!$D$51/12)*RATES!$N722/100</f>
        <v>688.54166666666663</v>
      </c>
      <c r="CI746" s="16">
        <f>IF(CI745&gt;0,CI745*PARAM!$C$53,CI745)+CG746-CH746</f>
        <v>-97294.750000000262</v>
      </c>
      <c r="CJ746" s="15">
        <f t="shared" si="519"/>
        <v>0</v>
      </c>
      <c r="CK746" s="75">
        <f>CJ746*(1-PARAM!$C$27)*$R$4+(MOD($B746/12,5)=0)*($B746&gt;60)*HLOOKUP($B746/12,Loyalty,2)*$F$1*MAX(CM745,0)</f>
        <v>0</v>
      </c>
      <c r="CL746" s="75">
        <f>PARAM!$C$26+MAX($P$4-CHOOSE(PARAM!$B$44,MAX(0,CM745*$F$1),0),0)*RATES!$L722/12+$Q$4*(PARAM!$D$51/12)*RATES!$N722/100</f>
        <v>688.54166666666663</v>
      </c>
      <c r="CM746" s="16">
        <f>IF(CM745&gt;0,CM745*PARAM!$C$53,CM745)+CK746-CL746</f>
        <v>-97294.750000000262</v>
      </c>
      <c r="CO746" s="176"/>
    </row>
    <row r="747" spans="1:93" x14ac:dyDescent="0.2">
      <c r="A747" t="b">
        <f t="shared" si="494"/>
        <v>0</v>
      </c>
      <c r="B747" s="33">
        <v>720</v>
      </c>
      <c r="C747" s="15">
        <f t="shared" si="495"/>
        <v>20.081305947392778</v>
      </c>
      <c r="D747" s="75">
        <f>C747*(1-PARAM!$C$27)*$I$3+(MOD($B747,60)=PARAM!$B$56)*($B747&gt;(60-PARAM!$B$56))*HLOOKUP(($B747+PARAM!$B$56)/12,Loyalty,2)*$F$1*MAX(F746,0)</f>
        <v>16.808053077967756</v>
      </c>
      <c r="E747" s="75">
        <f>PARAM!$C$26+MAX($G$3-CHOOSE(PARAM!$B$44,MAX(0,F746*$F$1),0),0)*RATES!$L723/12+$H$3*(PARAM!$D$51/12)*RATES!$N723/100</f>
        <v>688.54166666666663</v>
      </c>
      <c r="F747" s="16">
        <f t="shared" si="496"/>
        <v>-86037.918641933647</v>
      </c>
      <c r="G747" s="15">
        <f t="shared" si="497"/>
        <v>22.035289406060361</v>
      </c>
      <c r="H747" s="75">
        <f>G747*(1-PARAM!$C$27)*$I$4+(MOD($B747,60)=PARAM!$B$56)*($B747&gt;(60-PARAM!$B$56))*HLOOKUP(($B747+PARAM!$B$56)/12,Loyalty,2)*$F$1*MAX(J746,0)</f>
        <v>18.443537232872522</v>
      </c>
      <c r="I747" s="75">
        <f>PARAM!$C$26+MAX($G$4-CHOOSE(PARAM!$B$44,MAX(0,J746*$F$1),0),0)*RATES!$L723/12+$H$4*(PARAM!$D$51/12)*RATES!$N723/100</f>
        <v>688.54166666666663</v>
      </c>
      <c r="J747" s="16">
        <f t="shared" si="498"/>
        <v>-84826.53708628047</v>
      </c>
      <c r="K747" s="15">
        <f t="shared" si="499"/>
        <v>22.170849845882874</v>
      </c>
      <c r="L747" s="75">
        <f>K747*(1-PARAM!$C$27)*$I$5+(MOD($B747,60)=PARAM!$B$56)*($B747&gt;(60-PARAM!$B$56))*HLOOKUP(($B747+PARAM!$B$56)/12,Loyalty,2)*$F$1*MAX(N746,0)</f>
        <v>18.557001321003963</v>
      </c>
      <c r="M747" s="75">
        <f>PARAM!$C$26+MAX($G$5-CHOOSE(PARAM!$B$44,MAX(0,N746*$F$1),0),0)*RATES!$L723/12+$H$5*(PARAM!$D$51/12)*RATES!$N723/100</f>
        <v>688.54166666666663</v>
      </c>
      <c r="N747" s="16">
        <f t="shared" si="500"/>
        <v>-84741.825406426127</v>
      </c>
      <c r="O747" s="15">
        <f t="shared" si="501"/>
        <v>22.170849845882874</v>
      </c>
      <c r="P747" s="75">
        <f>O747*(1-PARAM!$C$27)*$I$6+(MOD($B747,60)=PARAM!$B$56)*($B747&gt;(60-PARAM!$B$56))*HLOOKUP(($B747+PARAM!$B$56)/12,Loyalty,2)*$F$1*MAX(R746,0)</f>
        <v>18.557001321003963</v>
      </c>
      <c r="Q747" s="75">
        <f>PARAM!$C$26+MAX($G$6-CHOOSE(PARAM!$B$44,MAX(0,R746*$F$1),0),0)*RATES!$L723/12+$H$6*(PARAM!$D$51/12)*RATES!$N723/100</f>
        <v>688.54166666666663</v>
      </c>
      <c r="R747" s="16">
        <f t="shared" si="502"/>
        <v>-84741.825406426127</v>
      </c>
      <c r="S747" s="15">
        <f t="shared" si="477"/>
        <v>22.170849845882874</v>
      </c>
      <c r="T747" s="75">
        <f>S747*(1-PARAM!$C$27)*$I$7+(MOD($B747,60)=PARAM!$B$56)*($B747&gt;(60-PARAM!$B$56))*HLOOKUP(($B747+PARAM!$B$56)/12,Loyalty,2)*$F$1*MAX(V746,0)</f>
        <v>18.557001321003963</v>
      </c>
      <c r="U747" s="75">
        <f>PARAM!$C$26+MAX($G$7-CHOOSE(PARAM!$B$44,MAX(0,V746*$F$1),0),0)*RATES!$L723/12+$H$7*(PARAM!$D$51/12)*RATES!$N723/100</f>
        <v>688.54166666666663</v>
      </c>
      <c r="V747" s="16">
        <f t="shared" si="503"/>
        <v>-84741.825406426127</v>
      </c>
      <c r="W747" s="15">
        <f t="shared" si="478"/>
        <v>22.170849845882874</v>
      </c>
      <c r="X747" s="75">
        <f>W747*(1-PARAM!$C$27)*$I$8+(MOD($B747,60)=PARAM!$B$56)*($B747&gt;(60-PARAM!$B$56))*HLOOKUP(($B747+PARAM!$B$56)/12,Loyalty,2)*$F$1*MAX(Z746,0)</f>
        <v>18.557001321003963</v>
      </c>
      <c r="Y747" s="75">
        <f>PARAM!$C$26+MAX($G$8-CHOOSE(PARAM!$B$44,MAX(0,Z746*$F$1),0),0)*RATES!$L723/12+$H$8*(PARAM!$D$51/12)*RATES!$N723/100</f>
        <v>688.54166666666663</v>
      </c>
      <c r="Z747" s="16">
        <f t="shared" si="504"/>
        <v>-84741.825406426127</v>
      </c>
      <c r="AA747" s="15">
        <f t="shared" si="479"/>
        <v>22.170849845882874</v>
      </c>
      <c r="AB747" s="75">
        <f>AA747*(1-PARAM!$C$27)*$I$9+(MOD($B747,60)=PARAM!$B$56)*($B747&gt;(60-PARAM!$B$56))*HLOOKUP(($B747+PARAM!$B$56)/12,Loyalty,2)*$F$1*MAX(AD746,0)</f>
        <v>18.557001321003963</v>
      </c>
      <c r="AC747" s="75">
        <f>PARAM!$C$26+MAX($G$9-CHOOSE(PARAM!$B$44,MAX(0,AD746*$F$1),0),0)*RATES!$L723/12+$H$9*(PARAM!$D$51/12)*RATES!$N723/100</f>
        <v>688.54166666666663</v>
      </c>
      <c r="AD747" s="16">
        <f t="shared" si="505"/>
        <v>-84741.825406426127</v>
      </c>
      <c r="AE747" s="15">
        <f t="shared" si="480"/>
        <v>22.170849845882874</v>
      </c>
      <c r="AF747" s="75">
        <f>AE747*(1-PARAM!$C$27)*$I$10+(MOD($B747,60)=PARAM!$B$56)*($B747&gt;(60-PARAM!$B$56))*HLOOKUP(($B747+PARAM!$B$56)/12,Loyalty,2)*$F$1*MAX(AH746,0)</f>
        <v>18.557001321003963</v>
      </c>
      <c r="AG747" s="75">
        <f>PARAM!$C$26+MAX($G$10-CHOOSE(PARAM!$B$44,MAX(0,AH746*$F$1),0),0)*RATES!$L723/12+$H$10*(PARAM!$D$51/12)*RATES!$N723/100</f>
        <v>688.54166666666663</v>
      </c>
      <c r="AH747" s="16">
        <f t="shared" si="506"/>
        <v>-84741.825406426127</v>
      </c>
      <c r="AI747" s="15">
        <f t="shared" si="481"/>
        <v>22.170849845882874</v>
      </c>
      <c r="AJ747" s="75">
        <f>AI747*(1-PARAM!$C$27)*$I$11+(MOD($B747,60)=PARAM!$B$56)*($B747&gt;(60-PARAM!$B$56))*HLOOKUP(($B747+PARAM!$B$56)/12,Loyalty,2)*$F$1*MAX(AL746,0)</f>
        <v>18.557001321003963</v>
      </c>
      <c r="AK747" s="75">
        <f>PARAM!$C$26+MAX($G$11-CHOOSE(PARAM!$B$44,MAX(0,AL746*$F$1),0),0)*RATES!$L723/12+$H$11*(PARAM!$D$51/12)*RATES!$N723/100</f>
        <v>688.54166666666663</v>
      </c>
      <c r="AL747" s="16">
        <f t="shared" si="507"/>
        <v>-84741.825406426127</v>
      </c>
      <c r="AM747" s="15">
        <f t="shared" si="482"/>
        <v>22.170849845882874</v>
      </c>
      <c r="AN747" s="75">
        <f>AM747*(1-PARAM!$C$27)*$I$12+(MOD($B747,60)=PARAM!$B$56)*($B747&gt;(60-PARAM!$B$56))*HLOOKUP(($B747+PARAM!$B$56)/12,Loyalty,2)*$F$1*MAX(AP746,0)</f>
        <v>18.557001321003963</v>
      </c>
      <c r="AO747" s="75">
        <f>PARAM!$C$26+MAX($G$12-CHOOSE(PARAM!$B$44,MAX(0,AP746*$F$1),0),0)*RATES!$L723/12+$H$12*(PARAM!$D$51/12)*RATES!$N723/100</f>
        <v>688.54166666666663</v>
      </c>
      <c r="AP747" s="16">
        <f t="shared" si="508"/>
        <v>-84741.825406426127</v>
      </c>
      <c r="AQ747" s="15">
        <f t="shared" si="483"/>
        <v>22.170849845882874</v>
      </c>
      <c r="AR747" s="75">
        <f>AQ747*(1-PARAM!$C$27)*$I$13+(MOD($B747,60)=PARAM!$B$56)*($B747&gt;(60-PARAM!$B$56))*HLOOKUP(($B747+PARAM!$B$56)/12,Loyalty,2)*$F$1*MAX(AT746,0)</f>
        <v>18.557001321003963</v>
      </c>
      <c r="AS747" s="75">
        <f>PARAM!$C$26+MAX($G$13-CHOOSE(PARAM!$B$44,MAX(0,AT746*$F$1),0),0)*RATES!$L723/12+$H$13*(PARAM!$D$51/12)*RATES!$N723/100</f>
        <v>688.54166666666663</v>
      </c>
      <c r="AT747" s="16">
        <f t="shared" si="509"/>
        <v>-84741.825406426127</v>
      </c>
      <c r="AU747" s="15">
        <f t="shared" si="484"/>
        <v>22.170849845882874</v>
      </c>
      <c r="AV747" s="75">
        <f>AU747*(1-PARAM!$C$27)*$I$14+(MOD($B747,60)=PARAM!$B$56)*($B747&gt;(60-PARAM!$B$56))*HLOOKUP(($B747+PARAM!$B$56)/12,Loyalty,2)*$F$1*MAX(AX746,0)</f>
        <v>18.557001321003963</v>
      </c>
      <c r="AW747" s="75">
        <f>PARAM!$C$26+MAX($G$14-CHOOSE(PARAM!$B$44,MAX(0,AX746*$F$1),0),0)*RATES!$L723/12+$H$14*(PARAM!$D$51/12)*RATES!$N723/100</f>
        <v>688.54166666666663</v>
      </c>
      <c r="AX747" s="16">
        <f t="shared" si="510"/>
        <v>-84741.825406426127</v>
      </c>
      <c r="AY747" s="15">
        <f t="shared" si="485"/>
        <v>22.170849845882874</v>
      </c>
      <c r="AZ747" s="75">
        <f>AY747*(1-PARAM!$C$27)*$I$15+(MOD($B747,60)=PARAM!$B$56)*($B747&gt;(60-PARAM!$B$56))*HLOOKUP(($B747+PARAM!$B$56)/12,Loyalty,2)*$F$1*MAX(BB746,0)</f>
        <v>18.557001321003963</v>
      </c>
      <c r="BA747" s="75">
        <f>PARAM!$C$26+MAX($G$15-CHOOSE(PARAM!$B$44,MAX(0,BB746*$F$1),0),0)*RATES!$L723/12+$H$15*(PARAM!$D$51/12)*RATES!$N723/100</f>
        <v>688.54166666666663</v>
      </c>
      <c r="BB747" s="16">
        <f t="shared" si="511"/>
        <v>-84741.825406426127</v>
      </c>
      <c r="BC747" s="15">
        <f t="shared" si="486"/>
        <v>22.170849845882874</v>
      </c>
      <c r="BD747" s="75">
        <f>BC747*(1-PARAM!$C$27)*$I$16+(MOD($B747,60)=PARAM!$B$56)*($B747&gt;(60-PARAM!$B$56))*HLOOKUP(($B747+PARAM!$B$56)/12,Loyalty,2)*$F$1*MAX(BF746,0)</f>
        <v>18.557001321003963</v>
      </c>
      <c r="BE747" s="75">
        <f>PARAM!$C$26+MAX($G$16-CHOOSE(PARAM!$B$44,MAX(0,BF746*$F$1),0),0)*RATES!$L723/12+$H$16*(PARAM!$D$51/12)*RATES!$N723/100</f>
        <v>688.54166666666663</v>
      </c>
      <c r="BF747" s="16">
        <f t="shared" si="512"/>
        <v>-84741.825406426127</v>
      </c>
      <c r="BG747" s="15">
        <f t="shared" si="487"/>
        <v>22.170849845882874</v>
      </c>
      <c r="BH747" s="75">
        <f>BG747*(1-PARAM!$C$27)*$I$17+(MOD($B747,60)=PARAM!$B$56)*($B747&gt;(60-PARAM!$B$56))*HLOOKUP(($B747+PARAM!$B$56)/12,Loyalty,2)*$F$1*MAX(BJ746,0)</f>
        <v>18.557001321003963</v>
      </c>
      <c r="BI747" s="75">
        <f>PARAM!$C$26+MAX($G$17-CHOOSE(PARAM!$B$44,MAX(0,BJ746*$F$1),0),0)*RATES!$L723/12+$H$17*(PARAM!$D$51/12)*RATES!$N723/100</f>
        <v>688.54166666666663</v>
      </c>
      <c r="BJ747" s="16">
        <f t="shared" si="513"/>
        <v>-84741.825406426127</v>
      </c>
      <c r="BK747" s="15">
        <f t="shared" si="488"/>
        <v>22.170849845882874</v>
      </c>
      <c r="BL747" s="75">
        <f>BK747*(1-PARAM!$C$27)*$I$18+(MOD($B747,60)=PARAM!$B$56)*($B747&gt;(60-PARAM!$B$56))*HLOOKUP(($B747+PARAM!$B$56)/12,Loyalty,2)*$F$1*MAX(BN746,0)</f>
        <v>18.557001321003963</v>
      </c>
      <c r="BM747" s="75">
        <f>PARAM!$C$26+MAX($G$18-CHOOSE(PARAM!$B$44,MAX(0,BN746*$F$1),0),0)*RATES!$L723/12+$H$18*(PARAM!$D$51/12)*RATES!$N723/100</f>
        <v>688.54166666666663</v>
      </c>
      <c r="BN747" s="16">
        <f t="shared" si="514"/>
        <v>-84741.825406426127</v>
      </c>
      <c r="BO747" s="15">
        <f t="shared" si="489"/>
        <v>22.170849845882874</v>
      </c>
      <c r="BP747" s="75">
        <f>BO747*(1-PARAM!$C$27)*$I$19+(MOD($B747,60)=PARAM!$B$56)*($B747&gt;(60-PARAM!$B$56))*HLOOKUP(($B747+PARAM!$B$56)/12,Loyalty,2)*$F$1*MAX(BR746,0)</f>
        <v>18.557001321003963</v>
      </c>
      <c r="BQ747" s="75">
        <f>PARAM!$C$26+MAX($G$19-CHOOSE(PARAM!$B$44,MAX(0,BR746*$F$1),0),0)*RATES!$L723/12+$H$19*(PARAM!$D$51/12)*RATES!$N723/100</f>
        <v>688.54166666666663</v>
      </c>
      <c r="BR747" s="16">
        <f t="shared" si="515"/>
        <v>-84741.825406426127</v>
      </c>
      <c r="BS747" s="15">
        <f t="shared" si="490"/>
        <v>22.170849845882874</v>
      </c>
      <c r="BT747" s="75">
        <f>BS747*(1-PARAM!$C$27)*$I$20+(MOD($B747,60)=PARAM!$B$56)*($B747&gt;(60-PARAM!$B$56))*HLOOKUP(($B747+PARAM!$B$56)/12,Loyalty,2)*$F$1*MAX(BV746,0)</f>
        <v>18.557001321003963</v>
      </c>
      <c r="BU747" s="75">
        <f>PARAM!$C$26+MAX($G$20-CHOOSE(PARAM!$B$44,MAX(0,BV746*$F$1),0),0)*RATES!$L723/12+$H$20*(PARAM!$D$51/12)*RATES!$N723/100</f>
        <v>688.54166666666663</v>
      </c>
      <c r="BV747" s="16">
        <f t="shared" si="516"/>
        <v>-84741.825406426127</v>
      </c>
      <c r="BW747" s="15">
        <f t="shared" si="491"/>
        <v>22.170849845882874</v>
      </c>
      <c r="BX747" s="75">
        <f>BW747*(1-PARAM!$C$27)*$I$21+(MOD($B747,60)=PARAM!$B$56)*($B747&gt;(60-PARAM!$B$56))*HLOOKUP(($B747+PARAM!$B$56)/12,Loyalty,2)*$F$1*MAX(BZ746,0)</f>
        <v>18.557001321003963</v>
      </c>
      <c r="BY747" s="75">
        <f>PARAM!$C$26+MAX($G$21-CHOOSE(PARAM!$B$44,MAX(0,BZ746*$F$1),0),0)*RATES!$L723/12+$H$21*(PARAM!$D$51/12)*RATES!$N723/100</f>
        <v>688.54166666666663</v>
      </c>
      <c r="BZ747" s="16">
        <f t="shared" si="517"/>
        <v>-84741.825406426127</v>
      </c>
      <c r="CA747" s="15">
        <f t="shared" si="492"/>
        <v>22.170849845882874</v>
      </c>
      <c r="CB747" s="75">
        <f>CA747*(1-PARAM!$C$27)*$I$22+(MOD($B747,60)=PARAM!$B$56)*($B747&gt;(60-PARAM!$B$56))*HLOOKUP(($B747+PARAM!$B$56)/12,Loyalty,2)*$F$1*MAX(CD746,0)</f>
        <v>18.557001321003963</v>
      </c>
      <c r="CC747" s="75">
        <f>PARAM!$C$26+MAX($G$22-CHOOSE(PARAM!$B$44,MAX(0,CD746*$F$1),0),0)*RATES!$L723/12+$H$22*(PARAM!$D$51/12)*RATES!$N723/100</f>
        <v>688.54166666666663</v>
      </c>
      <c r="CD747" s="16">
        <f t="shared" si="518"/>
        <v>-84741.825406426127</v>
      </c>
      <c r="CE747" s="33">
        <f>IF(0=MOD(B747,12/PARAM!$D$51),1,0)</f>
        <v>1</v>
      </c>
      <c r="CF747" s="15">
        <f t="shared" si="493"/>
        <v>0</v>
      </c>
      <c r="CG747" s="75">
        <f>CF747*(1-PARAM!$C$27)*$R$3+(MOD($B747/12,5)=0)*($B747&gt;60)*HLOOKUP($B747/12,Loyalty,2)*$F$1*MAX(CI746,0)</f>
        <v>0</v>
      </c>
      <c r="CH747" s="75">
        <f>PARAM!$C$26+MAX($P$3-CHOOSE(PARAM!$B$44,MAX(0,CI746*$F$1),0),0)*RATES!$L723/12+$Q$3*(PARAM!$D$51/12)*RATES!$N723/100</f>
        <v>688.54166666666663</v>
      </c>
      <c r="CI747" s="16">
        <f>IF(CI746&gt;0,CI746*PARAM!$C$53,CI746)+CG747-CH747</f>
        <v>-97983.291666666933</v>
      </c>
      <c r="CJ747" s="15">
        <f t="shared" si="519"/>
        <v>0</v>
      </c>
      <c r="CK747" s="75">
        <f>CJ747*(1-PARAM!$C$27)*$R$4+(MOD($B747/12,5)=0)*($B747&gt;60)*HLOOKUP($B747/12,Loyalty,2)*$F$1*MAX(CM746,0)</f>
        <v>0</v>
      </c>
      <c r="CL747" s="75">
        <f>PARAM!$C$26+MAX($P$4-CHOOSE(PARAM!$B$44,MAX(0,CM746*$F$1),0),0)*RATES!$L723/12+$Q$4*(PARAM!$D$51/12)*RATES!$N723/100</f>
        <v>688.54166666666663</v>
      </c>
      <c r="CM747" s="16">
        <f>IF(CM746&gt;0,CM746*PARAM!$C$53,CM746)+CK747-CL747</f>
        <v>-97983.291666666933</v>
      </c>
      <c r="CO747" s="176"/>
    </row>
    <row r="748" spans="1:93" x14ac:dyDescent="0.2">
      <c r="A748" t="b">
        <f t="shared" si="494"/>
        <v>0</v>
      </c>
      <c r="B748" s="33">
        <v>721</v>
      </c>
      <c r="C748" s="15">
        <f t="shared" si="495"/>
        <v>20.081305947392778</v>
      </c>
      <c r="D748" s="75">
        <f>C748*(1-PARAM!$C$27)*$I$3+(MOD($B748,60)=PARAM!$B$56)*($B748&gt;(60-PARAM!$B$56))*HLOOKUP(($B748+PARAM!$B$56)/12,Loyalty,2)*$F$1*MAX(F747,0)</f>
        <v>16.808053077967756</v>
      </c>
      <c r="E748" s="75">
        <f>PARAM!$C$26+MAX($G$3-CHOOSE(PARAM!$B$44,MAX(0,F747*$F$1),0),0)*RATES!$L724/12+$H$3*(PARAM!$D$51/12)*RATES!$N724/100</f>
        <v>688.54166666666663</v>
      </c>
      <c r="F748" s="16">
        <f t="shared" si="496"/>
        <v>-86709.652255522349</v>
      </c>
      <c r="G748" s="15">
        <f t="shared" si="497"/>
        <v>22.035289406060361</v>
      </c>
      <c r="H748" s="75">
        <f>G748*(1-PARAM!$C$27)*$I$4+(MOD($B748,60)=PARAM!$B$56)*($B748&gt;(60-PARAM!$B$56))*HLOOKUP(($B748+PARAM!$B$56)/12,Loyalty,2)*$F$1*MAX(J747,0)</f>
        <v>18.443537232872522</v>
      </c>
      <c r="I748" s="75">
        <f>PARAM!$C$26+MAX($G$4-CHOOSE(PARAM!$B$44,MAX(0,J747*$F$1),0),0)*RATES!$L724/12+$H$4*(PARAM!$D$51/12)*RATES!$N724/100</f>
        <v>688.54166666666663</v>
      </c>
      <c r="J748" s="16">
        <f t="shared" si="498"/>
        <v>-85496.635215714268</v>
      </c>
      <c r="K748" s="15">
        <f t="shared" si="499"/>
        <v>22.170849845882874</v>
      </c>
      <c r="L748" s="75">
        <f>K748*(1-PARAM!$C$27)*$I$5+(MOD($B748,60)=PARAM!$B$56)*($B748&gt;(60-PARAM!$B$56))*HLOOKUP(($B748+PARAM!$B$56)/12,Loyalty,2)*$F$1*MAX(N747,0)</f>
        <v>18.557001321003963</v>
      </c>
      <c r="M748" s="75">
        <f>PARAM!$C$26+MAX($G$5-CHOOSE(PARAM!$B$44,MAX(0,N747*$F$1),0),0)*RATES!$L724/12+$H$5*(PARAM!$D$51/12)*RATES!$N724/100</f>
        <v>688.54166666666663</v>
      </c>
      <c r="N748" s="16">
        <f t="shared" si="500"/>
        <v>-85411.81007177179</v>
      </c>
      <c r="O748" s="15">
        <f t="shared" si="501"/>
        <v>22.170849845882874</v>
      </c>
      <c r="P748" s="75">
        <f>O748*(1-PARAM!$C$27)*$I$6+(MOD($B748,60)=PARAM!$B$56)*($B748&gt;(60-PARAM!$B$56))*HLOOKUP(($B748+PARAM!$B$56)/12,Loyalty,2)*$F$1*MAX(R747,0)</f>
        <v>18.557001321003963</v>
      </c>
      <c r="Q748" s="75">
        <f>PARAM!$C$26+MAX($G$6-CHOOSE(PARAM!$B$44,MAX(0,R747*$F$1),0),0)*RATES!$L724/12+$H$6*(PARAM!$D$51/12)*RATES!$N724/100</f>
        <v>688.54166666666663</v>
      </c>
      <c r="R748" s="16">
        <f t="shared" si="502"/>
        <v>-85411.81007177179</v>
      </c>
      <c r="S748" s="15">
        <f t="shared" si="477"/>
        <v>22.170849845882874</v>
      </c>
      <c r="T748" s="75">
        <f>S748*(1-PARAM!$C$27)*$I$7+(MOD($B748,60)=PARAM!$B$56)*($B748&gt;(60-PARAM!$B$56))*HLOOKUP(($B748+PARAM!$B$56)/12,Loyalty,2)*$F$1*MAX(V747,0)</f>
        <v>18.557001321003963</v>
      </c>
      <c r="U748" s="75">
        <f>PARAM!$C$26+MAX($G$7-CHOOSE(PARAM!$B$44,MAX(0,V747*$F$1),0),0)*RATES!$L724/12+$H$7*(PARAM!$D$51/12)*RATES!$N724/100</f>
        <v>688.54166666666663</v>
      </c>
      <c r="V748" s="16">
        <f t="shared" si="503"/>
        <v>-85411.81007177179</v>
      </c>
      <c r="W748" s="15">
        <f t="shared" si="478"/>
        <v>22.170849845882874</v>
      </c>
      <c r="X748" s="75">
        <f>W748*(1-PARAM!$C$27)*$I$8+(MOD($B748,60)=PARAM!$B$56)*($B748&gt;(60-PARAM!$B$56))*HLOOKUP(($B748+PARAM!$B$56)/12,Loyalty,2)*$F$1*MAX(Z747,0)</f>
        <v>18.557001321003963</v>
      </c>
      <c r="Y748" s="75">
        <f>PARAM!$C$26+MAX($G$8-CHOOSE(PARAM!$B$44,MAX(0,Z747*$F$1),0),0)*RATES!$L724/12+$H$8*(PARAM!$D$51/12)*RATES!$N724/100</f>
        <v>688.54166666666663</v>
      </c>
      <c r="Z748" s="16">
        <f t="shared" si="504"/>
        <v>-85411.81007177179</v>
      </c>
      <c r="AA748" s="15">
        <f t="shared" si="479"/>
        <v>22.170849845882874</v>
      </c>
      <c r="AB748" s="75">
        <f>AA748*(1-PARAM!$C$27)*$I$9+(MOD($B748,60)=PARAM!$B$56)*($B748&gt;(60-PARAM!$B$56))*HLOOKUP(($B748+PARAM!$B$56)/12,Loyalty,2)*$F$1*MAX(AD747,0)</f>
        <v>18.557001321003963</v>
      </c>
      <c r="AC748" s="75">
        <f>PARAM!$C$26+MAX($G$9-CHOOSE(PARAM!$B$44,MAX(0,AD747*$F$1),0),0)*RATES!$L724/12+$H$9*(PARAM!$D$51/12)*RATES!$N724/100</f>
        <v>688.54166666666663</v>
      </c>
      <c r="AD748" s="16">
        <f t="shared" si="505"/>
        <v>-85411.81007177179</v>
      </c>
      <c r="AE748" s="15">
        <f t="shared" si="480"/>
        <v>22.170849845882874</v>
      </c>
      <c r="AF748" s="75">
        <f>AE748*(1-PARAM!$C$27)*$I$10+(MOD($B748,60)=PARAM!$B$56)*($B748&gt;(60-PARAM!$B$56))*HLOOKUP(($B748+PARAM!$B$56)/12,Loyalty,2)*$F$1*MAX(AH747,0)</f>
        <v>18.557001321003963</v>
      </c>
      <c r="AG748" s="75">
        <f>PARAM!$C$26+MAX($G$10-CHOOSE(PARAM!$B$44,MAX(0,AH747*$F$1),0),0)*RATES!$L724/12+$H$10*(PARAM!$D$51/12)*RATES!$N724/100</f>
        <v>688.54166666666663</v>
      </c>
      <c r="AH748" s="16">
        <f t="shared" si="506"/>
        <v>-85411.81007177179</v>
      </c>
      <c r="AI748" s="15">
        <f t="shared" si="481"/>
        <v>22.170849845882874</v>
      </c>
      <c r="AJ748" s="75">
        <f>AI748*(1-PARAM!$C$27)*$I$11+(MOD($B748,60)=PARAM!$B$56)*($B748&gt;(60-PARAM!$B$56))*HLOOKUP(($B748+PARAM!$B$56)/12,Loyalty,2)*$F$1*MAX(AL747,0)</f>
        <v>18.557001321003963</v>
      </c>
      <c r="AK748" s="75">
        <f>PARAM!$C$26+MAX($G$11-CHOOSE(PARAM!$B$44,MAX(0,AL747*$F$1),0),0)*RATES!$L724/12+$H$11*(PARAM!$D$51/12)*RATES!$N724/100</f>
        <v>688.54166666666663</v>
      </c>
      <c r="AL748" s="16">
        <f t="shared" si="507"/>
        <v>-85411.81007177179</v>
      </c>
      <c r="AM748" s="15">
        <f t="shared" si="482"/>
        <v>22.170849845882874</v>
      </c>
      <c r="AN748" s="75">
        <f>AM748*(1-PARAM!$C$27)*$I$12+(MOD($B748,60)=PARAM!$B$56)*($B748&gt;(60-PARAM!$B$56))*HLOOKUP(($B748+PARAM!$B$56)/12,Loyalty,2)*$F$1*MAX(AP747,0)</f>
        <v>18.557001321003963</v>
      </c>
      <c r="AO748" s="75">
        <f>PARAM!$C$26+MAX($G$12-CHOOSE(PARAM!$B$44,MAX(0,AP747*$F$1),0),0)*RATES!$L724/12+$H$12*(PARAM!$D$51/12)*RATES!$N724/100</f>
        <v>688.54166666666663</v>
      </c>
      <c r="AP748" s="16">
        <f t="shared" si="508"/>
        <v>-85411.81007177179</v>
      </c>
      <c r="AQ748" s="15">
        <f t="shared" si="483"/>
        <v>22.170849845882874</v>
      </c>
      <c r="AR748" s="75">
        <f>AQ748*(1-PARAM!$C$27)*$I$13+(MOD($B748,60)=PARAM!$B$56)*($B748&gt;(60-PARAM!$B$56))*HLOOKUP(($B748+PARAM!$B$56)/12,Loyalty,2)*$F$1*MAX(AT747,0)</f>
        <v>18.557001321003963</v>
      </c>
      <c r="AS748" s="75">
        <f>PARAM!$C$26+MAX($G$13-CHOOSE(PARAM!$B$44,MAX(0,AT747*$F$1),0),0)*RATES!$L724/12+$H$13*(PARAM!$D$51/12)*RATES!$N724/100</f>
        <v>688.54166666666663</v>
      </c>
      <c r="AT748" s="16">
        <f t="shared" si="509"/>
        <v>-85411.81007177179</v>
      </c>
      <c r="AU748" s="15">
        <f t="shared" si="484"/>
        <v>22.170849845882874</v>
      </c>
      <c r="AV748" s="75">
        <f>AU748*(1-PARAM!$C$27)*$I$14+(MOD($B748,60)=PARAM!$B$56)*($B748&gt;(60-PARAM!$B$56))*HLOOKUP(($B748+PARAM!$B$56)/12,Loyalty,2)*$F$1*MAX(AX747,0)</f>
        <v>18.557001321003963</v>
      </c>
      <c r="AW748" s="75">
        <f>PARAM!$C$26+MAX($G$14-CHOOSE(PARAM!$B$44,MAX(0,AX747*$F$1),0),0)*RATES!$L724/12+$H$14*(PARAM!$D$51/12)*RATES!$N724/100</f>
        <v>688.54166666666663</v>
      </c>
      <c r="AX748" s="16">
        <f t="shared" si="510"/>
        <v>-85411.81007177179</v>
      </c>
      <c r="AY748" s="15">
        <f t="shared" si="485"/>
        <v>22.170849845882874</v>
      </c>
      <c r="AZ748" s="75">
        <f>AY748*(1-PARAM!$C$27)*$I$15+(MOD($B748,60)=PARAM!$B$56)*($B748&gt;(60-PARAM!$B$56))*HLOOKUP(($B748+PARAM!$B$56)/12,Loyalty,2)*$F$1*MAX(BB747,0)</f>
        <v>18.557001321003963</v>
      </c>
      <c r="BA748" s="75">
        <f>PARAM!$C$26+MAX($G$15-CHOOSE(PARAM!$B$44,MAX(0,BB747*$F$1),0),0)*RATES!$L724/12+$H$15*(PARAM!$D$51/12)*RATES!$N724/100</f>
        <v>688.54166666666663</v>
      </c>
      <c r="BB748" s="16">
        <f t="shared" si="511"/>
        <v>-85411.81007177179</v>
      </c>
      <c r="BC748" s="15">
        <f t="shared" si="486"/>
        <v>22.170849845882874</v>
      </c>
      <c r="BD748" s="75">
        <f>BC748*(1-PARAM!$C$27)*$I$16+(MOD($B748,60)=PARAM!$B$56)*($B748&gt;(60-PARAM!$B$56))*HLOOKUP(($B748+PARAM!$B$56)/12,Loyalty,2)*$F$1*MAX(BF747,0)</f>
        <v>18.557001321003963</v>
      </c>
      <c r="BE748" s="75">
        <f>PARAM!$C$26+MAX($G$16-CHOOSE(PARAM!$B$44,MAX(0,BF747*$F$1),0),0)*RATES!$L724/12+$H$16*(PARAM!$D$51/12)*RATES!$N724/100</f>
        <v>688.54166666666663</v>
      </c>
      <c r="BF748" s="16">
        <f t="shared" si="512"/>
        <v>-85411.81007177179</v>
      </c>
      <c r="BG748" s="15">
        <f t="shared" si="487"/>
        <v>22.170849845882874</v>
      </c>
      <c r="BH748" s="75">
        <f>BG748*(1-PARAM!$C$27)*$I$17+(MOD($B748,60)=PARAM!$B$56)*($B748&gt;(60-PARAM!$B$56))*HLOOKUP(($B748+PARAM!$B$56)/12,Loyalty,2)*$F$1*MAX(BJ747,0)</f>
        <v>18.557001321003963</v>
      </c>
      <c r="BI748" s="75">
        <f>PARAM!$C$26+MAX($G$17-CHOOSE(PARAM!$B$44,MAX(0,BJ747*$F$1),0),0)*RATES!$L724/12+$H$17*(PARAM!$D$51/12)*RATES!$N724/100</f>
        <v>688.54166666666663</v>
      </c>
      <c r="BJ748" s="16">
        <f t="shared" si="513"/>
        <v>-85411.81007177179</v>
      </c>
      <c r="BK748" s="15">
        <f t="shared" si="488"/>
        <v>22.170849845882874</v>
      </c>
      <c r="BL748" s="75">
        <f>BK748*(1-PARAM!$C$27)*$I$18+(MOD($B748,60)=PARAM!$B$56)*($B748&gt;(60-PARAM!$B$56))*HLOOKUP(($B748+PARAM!$B$56)/12,Loyalty,2)*$F$1*MAX(BN747,0)</f>
        <v>18.557001321003963</v>
      </c>
      <c r="BM748" s="75">
        <f>PARAM!$C$26+MAX($G$18-CHOOSE(PARAM!$B$44,MAX(0,BN747*$F$1),0),0)*RATES!$L724/12+$H$18*(PARAM!$D$51/12)*RATES!$N724/100</f>
        <v>688.54166666666663</v>
      </c>
      <c r="BN748" s="16">
        <f t="shared" si="514"/>
        <v>-85411.81007177179</v>
      </c>
      <c r="BO748" s="15">
        <f t="shared" si="489"/>
        <v>22.170849845882874</v>
      </c>
      <c r="BP748" s="75">
        <f>BO748*(1-PARAM!$C$27)*$I$19+(MOD($B748,60)=PARAM!$B$56)*($B748&gt;(60-PARAM!$B$56))*HLOOKUP(($B748+PARAM!$B$56)/12,Loyalty,2)*$F$1*MAX(BR747,0)</f>
        <v>18.557001321003963</v>
      </c>
      <c r="BQ748" s="75">
        <f>PARAM!$C$26+MAX($G$19-CHOOSE(PARAM!$B$44,MAX(0,BR747*$F$1),0),0)*RATES!$L724/12+$H$19*(PARAM!$D$51/12)*RATES!$N724/100</f>
        <v>688.54166666666663</v>
      </c>
      <c r="BR748" s="16">
        <f t="shared" si="515"/>
        <v>-85411.81007177179</v>
      </c>
      <c r="BS748" s="15">
        <f t="shared" si="490"/>
        <v>22.170849845882874</v>
      </c>
      <c r="BT748" s="75">
        <f>BS748*(1-PARAM!$C$27)*$I$20+(MOD($B748,60)=PARAM!$B$56)*($B748&gt;(60-PARAM!$B$56))*HLOOKUP(($B748+PARAM!$B$56)/12,Loyalty,2)*$F$1*MAX(BV747,0)</f>
        <v>18.557001321003963</v>
      </c>
      <c r="BU748" s="75">
        <f>PARAM!$C$26+MAX($G$20-CHOOSE(PARAM!$B$44,MAX(0,BV747*$F$1),0),0)*RATES!$L724/12+$H$20*(PARAM!$D$51/12)*RATES!$N724/100</f>
        <v>688.54166666666663</v>
      </c>
      <c r="BV748" s="16">
        <f t="shared" si="516"/>
        <v>-85411.81007177179</v>
      </c>
      <c r="BW748" s="15">
        <f t="shared" si="491"/>
        <v>22.170849845882874</v>
      </c>
      <c r="BX748" s="75">
        <f>BW748*(1-PARAM!$C$27)*$I$21+(MOD($B748,60)=PARAM!$B$56)*($B748&gt;(60-PARAM!$B$56))*HLOOKUP(($B748+PARAM!$B$56)/12,Loyalty,2)*$F$1*MAX(BZ747,0)</f>
        <v>18.557001321003963</v>
      </c>
      <c r="BY748" s="75">
        <f>PARAM!$C$26+MAX($G$21-CHOOSE(PARAM!$B$44,MAX(0,BZ747*$F$1),0),0)*RATES!$L724/12+$H$21*(PARAM!$D$51/12)*RATES!$N724/100</f>
        <v>688.54166666666663</v>
      </c>
      <c r="BZ748" s="16">
        <f t="shared" si="517"/>
        <v>-85411.81007177179</v>
      </c>
      <c r="CA748" s="15">
        <f t="shared" si="492"/>
        <v>22.170849845882874</v>
      </c>
      <c r="CB748" s="75">
        <f>CA748*(1-PARAM!$C$27)*$I$22+(MOD($B748,60)=PARAM!$B$56)*($B748&gt;(60-PARAM!$B$56))*HLOOKUP(($B748+PARAM!$B$56)/12,Loyalty,2)*$F$1*MAX(CD747,0)</f>
        <v>18.557001321003963</v>
      </c>
      <c r="CC748" s="75">
        <f>PARAM!$C$26+MAX($G$22-CHOOSE(PARAM!$B$44,MAX(0,CD747*$F$1),0),0)*RATES!$L724/12+$H$22*(PARAM!$D$51/12)*RATES!$N724/100</f>
        <v>688.54166666666663</v>
      </c>
      <c r="CD748" s="16">
        <f t="shared" si="518"/>
        <v>-85411.81007177179</v>
      </c>
      <c r="CE748" s="33">
        <f>IF(0=MOD(B748,12/PARAM!$D$51),1,0)</f>
        <v>1</v>
      </c>
      <c r="CF748" s="15">
        <f t="shared" si="493"/>
        <v>0</v>
      </c>
      <c r="CG748" s="75">
        <f>CF748*(1-PARAM!$C$27)*$R$3+(MOD($B748/12,5)=0)*($B748&gt;60)*HLOOKUP($B748/12,Loyalty,2)*$F$1*MAX(CI747,0)</f>
        <v>0</v>
      </c>
      <c r="CH748" s="75">
        <f>PARAM!$C$26+MAX($P$3-CHOOSE(PARAM!$B$44,MAX(0,CI747*$F$1),0),0)*RATES!$L724/12+$Q$3*(PARAM!$D$51/12)*RATES!$N724/100</f>
        <v>688.54166666666663</v>
      </c>
      <c r="CI748" s="16">
        <f>IF(CI747&gt;0,CI747*PARAM!$C$53,CI747)+CG748-CH748</f>
        <v>-98671.833333333605</v>
      </c>
      <c r="CJ748" s="15">
        <f t="shared" si="519"/>
        <v>0</v>
      </c>
      <c r="CK748" s="75">
        <f>CJ748*(1-PARAM!$C$27)*$R$4+(MOD($B748/12,5)=0)*($B748&gt;60)*HLOOKUP($B748/12,Loyalty,2)*$F$1*MAX(CM747,0)</f>
        <v>0</v>
      </c>
      <c r="CL748" s="75">
        <f>PARAM!$C$26+MAX($P$4-CHOOSE(PARAM!$B$44,MAX(0,CM747*$F$1),0),0)*RATES!$L724/12+$Q$4*(PARAM!$D$51/12)*RATES!$N724/100</f>
        <v>688.54166666666663</v>
      </c>
      <c r="CM748" s="16">
        <f>IF(CM747&gt;0,CM747*PARAM!$C$53,CM747)+CK748-CL748</f>
        <v>-98671.833333333605</v>
      </c>
      <c r="CO748" s="176"/>
    </row>
    <row r="749" spans="1:93" x14ac:dyDescent="0.2">
      <c r="A749" t="b">
        <f t="shared" si="494"/>
        <v>0</v>
      </c>
      <c r="B749" s="33">
        <v>722</v>
      </c>
      <c r="C749" s="15">
        <f t="shared" si="495"/>
        <v>20.081305947392778</v>
      </c>
      <c r="D749" s="75">
        <f>C749*(1-PARAM!$C$27)*$I$3+(MOD($B749,60)=PARAM!$B$56)*($B749&gt;(60-PARAM!$B$56))*HLOOKUP(($B749+PARAM!$B$56)/12,Loyalty,2)*$F$1*MAX(F748,0)</f>
        <v>16.808053077967756</v>
      </c>
      <c r="E749" s="75">
        <f>PARAM!$C$26+MAX($G$3-CHOOSE(PARAM!$B$44,MAX(0,F748*$F$1),0),0)*RATES!$L725/12+$H$3*(PARAM!$D$51/12)*RATES!$N725/100</f>
        <v>688.54166666666663</v>
      </c>
      <c r="F749" s="16">
        <f t="shared" si="496"/>
        <v>-87381.385869111051</v>
      </c>
      <c r="G749" s="15">
        <f t="shared" si="497"/>
        <v>22.035289406060361</v>
      </c>
      <c r="H749" s="75">
        <f>G749*(1-PARAM!$C$27)*$I$4+(MOD($B749,60)=PARAM!$B$56)*($B749&gt;(60-PARAM!$B$56))*HLOOKUP(($B749+PARAM!$B$56)/12,Loyalty,2)*$F$1*MAX(J748,0)</f>
        <v>18.443537232872522</v>
      </c>
      <c r="I749" s="75">
        <f>PARAM!$C$26+MAX($G$4-CHOOSE(PARAM!$B$44,MAX(0,J748*$F$1),0),0)*RATES!$L725/12+$H$4*(PARAM!$D$51/12)*RATES!$N725/100</f>
        <v>688.54166666666663</v>
      </c>
      <c r="J749" s="16">
        <f t="shared" si="498"/>
        <v>-86166.733345148066</v>
      </c>
      <c r="K749" s="15">
        <f t="shared" si="499"/>
        <v>22.170849845882874</v>
      </c>
      <c r="L749" s="75">
        <f>K749*(1-PARAM!$C$27)*$I$5+(MOD($B749,60)=PARAM!$B$56)*($B749&gt;(60-PARAM!$B$56))*HLOOKUP(($B749+PARAM!$B$56)/12,Loyalty,2)*$F$1*MAX(N748,0)</f>
        <v>18.557001321003963</v>
      </c>
      <c r="M749" s="75">
        <f>PARAM!$C$26+MAX($G$5-CHOOSE(PARAM!$B$44,MAX(0,N748*$F$1),0),0)*RATES!$L725/12+$H$5*(PARAM!$D$51/12)*RATES!$N725/100</f>
        <v>688.54166666666663</v>
      </c>
      <c r="N749" s="16">
        <f t="shared" si="500"/>
        <v>-86081.794737117452</v>
      </c>
      <c r="O749" s="15">
        <f t="shared" si="501"/>
        <v>22.170849845882874</v>
      </c>
      <c r="P749" s="75">
        <f>O749*(1-PARAM!$C$27)*$I$6+(MOD($B749,60)=PARAM!$B$56)*($B749&gt;(60-PARAM!$B$56))*HLOOKUP(($B749+PARAM!$B$56)/12,Loyalty,2)*$F$1*MAX(R748,0)</f>
        <v>18.557001321003963</v>
      </c>
      <c r="Q749" s="75">
        <f>PARAM!$C$26+MAX($G$6-CHOOSE(PARAM!$B$44,MAX(0,R748*$F$1),0),0)*RATES!$L725/12+$H$6*(PARAM!$D$51/12)*RATES!$N725/100</f>
        <v>688.54166666666663</v>
      </c>
      <c r="R749" s="16">
        <f t="shared" si="502"/>
        <v>-86081.794737117452</v>
      </c>
      <c r="S749" s="15">
        <f t="shared" si="477"/>
        <v>22.170849845882874</v>
      </c>
      <c r="T749" s="75">
        <f>S749*(1-PARAM!$C$27)*$I$7+(MOD($B749,60)=PARAM!$B$56)*($B749&gt;(60-PARAM!$B$56))*HLOOKUP(($B749+PARAM!$B$56)/12,Loyalty,2)*$F$1*MAX(V748,0)</f>
        <v>18.557001321003963</v>
      </c>
      <c r="U749" s="75">
        <f>PARAM!$C$26+MAX($G$7-CHOOSE(PARAM!$B$44,MAX(0,V748*$F$1),0),0)*RATES!$L725/12+$H$7*(PARAM!$D$51/12)*RATES!$N725/100</f>
        <v>688.54166666666663</v>
      </c>
      <c r="V749" s="16">
        <f t="shared" si="503"/>
        <v>-86081.794737117452</v>
      </c>
      <c r="W749" s="15">
        <f t="shared" si="478"/>
        <v>22.170849845882874</v>
      </c>
      <c r="X749" s="75">
        <f>W749*(1-PARAM!$C$27)*$I$8+(MOD($B749,60)=PARAM!$B$56)*($B749&gt;(60-PARAM!$B$56))*HLOOKUP(($B749+PARAM!$B$56)/12,Loyalty,2)*$F$1*MAX(Z748,0)</f>
        <v>18.557001321003963</v>
      </c>
      <c r="Y749" s="75">
        <f>PARAM!$C$26+MAX($G$8-CHOOSE(PARAM!$B$44,MAX(0,Z748*$F$1),0),0)*RATES!$L725/12+$H$8*(PARAM!$D$51/12)*RATES!$N725/100</f>
        <v>688.54166666666663</v>
      </c>
      <c r="Z749" s="16">
        <f t="shared" si="504"/>
        <v>-86081.794737117452</v>
      </c>
      <c r="AA749" s="15">
        <f t="shared" si="479"/>
        <v>22.170849845882874</v>
      </c>
      <c r="AB749" s="75">
        <f>AA749*(1-PARAM!$C$27)*$I$9+(MOD($B749,60)=PARAM!$B$56)*($B749&gt;(60-PARAM!$B$56))*HLOOKUP(($B749+PARAM!$B$56)/12,Loyalty,2)*$F$1*MAX(AD748,0)</f>
        <v>18.557001321003963</v>
      </c>
      <c r="AC749" s="75">
        <f>PARAM!$C$26+MAX($G$9-CHOOSE(PARAM!$B$44,MAX(0,AD748*$F$1),0),0)*RATES!$L725/12+$H$9*(PARAM!$D$51/12)*RATES!$N725/100</f>
        <v>688.54166666666663</v>
      </c>
      <c r="AD749" s="16">
        <f t="shared" si="505"/>
        <v>-86081.794737117452</v>
      </c>
      <c r="AE749" s="15">
        <f t="shared" si="480"/>
        <v>22.170849845882874</v>
      </c>
      <c r="AF749" s="75">
        <f>AE749*(1-PARAM!$C$27)*$I$10+(MOD($B749,60)=PARAM!$B$56)*($B749&gt;(60-PARAM!$B$56))*HLOOKUP(($B749+PARAM!$B$56)/12,Loyalty,2)*$F$1*MAX(AH748,0)</f>
        <v>18.557001321003963</v>
      </c>
      <c r="AG749" s="75">
        <f>PARAM!$C$26+MAX($G$10-CHOOSE(PARAM!$B$44,MAX(0,AH748*$F$1),0),0)*RATES!$L725/12+$H$10*(PARAM!$D$51/12)*RATES!$N725/100</f>
        <v>688.54166666666663</v>
      </c>
      <c r="AH749" s="16">
        <f t="shared" si="506"/>
        <v>-86081.794737117452</v>
      </c>
      <c r="AI749" s="15">
        <f t="shared" si="481"/>
        <v>22.170849845882874</v>
      </c>
      <c r="AJ749" s="75">
        <f>AI749*(1-PARAM!$C$27)*$I$11+(MOD($B749,60)=PARAM!$B$56)*($B749&gt;(60-PARAM!$B$56))*HLOOKUP(($B749+PARAM!$B$56)/12,Loyalty,2)*$F$1*MAX(AL748,0)</f>
        <v>18.557001321003963</v>
      </c>
      <c r="AK749" s="75">
        <f>PARAM!$C$26+MAX($G$11-CHOOSE(PARAM!$B$44,MAX(0,AL748*$F$1),0),0)*RATES!$L725/12+$H$11*(PARAM!$D$51/12)*RATES!$N725/100</f>
        <v>688.54166666666663</v>
      </c>
      <c r="AL749" s="16">
        <f t="shared" si="507"/>
        <v>-86081.794737117452</v>
      </c>
      <c r="AM749" s="15">
        <f t="shared" si="482"/>
        <v>22.170849845882874</v>
      </c>
      <c r="AN749" s="75">
        <f>AM749*(1-PARAM!$C$27)*$I$12+(MOD($B749,60)=PARAM!$B$56)*($B749&gt;(60-PARAM!$B$56))*HLOOKUP(($B749+PARAM!$B$56)/12,Loyalty,2)*$F$1*MAX(AP748,0)</f>
        <v>18.557001321003963</v>
      </c>
      <c r="AO749" s="75">
        <f>PARAM!$C$26+MAX($G$12-CHOOSE(PARAM!$B$44,MAX(0,AP748*$F$1),0),0)*RATES!$L725/12+$H$12*(PARAM!$D$51/12)*RATES!$N725/100</f>
        <v>688.54166666666663</v>
      </c>
      <c r="AP749" s="16">
        <f t="shared" si="508"/>
        <v>-86081.794737117452</v>
      </c>
      <c r="AQ749" s="15">
        <f t="shared" si="483"/>
        <v>22.170849845882874</v>
      </c>
      <c r="AR749" s="75">
        <f>AQ749*(1-PARAM!$C$27)*$I$13+(MOD($B749,60)=PARAM!$B$56)*($B749&gt;(60-PARAM!$B$56))*HLOOKUP(($B749+PARAM!$B$56)/12,Loyalty,2)*$F$1*MAX(AT748,0)</f>
        <v>18.557001321003963</v>
      </c>
      <c r="AS749" s="75">
        <f>PARAM!$C$26+MAX($G$13-CHOOSE(PARAM!$B$44,MAX(0,AT748*$F$1),0),0)*RATES!$L725/12+$H$13*(PARAM!$D$51/12)*RATES!$N725/100</f>
        <v>688.54166666666663</v>
      </c>
      <c r="AT749" s="16">
        <f t="shared" si="509"/>
        <v>-86081.794737117452</v>
      </c>
      <c r="AU749" s="15">
        <f t="shared" si="484"/>
        <v>22.170849845882874</v>
      </c>
      <c r="AV749" s="75">
        <f>AU749*(1-PARAM!$C$27)*$I$14+(MOD($B749,60)=PARAM!$B$56)*($B749&gt;(60-PARAM!$B$56))*HLOOKUP(($B749+PARAM!$B$56)/12,Loyalty,2)*$F$1*MAX(AX748,0)</f>
        <v>18.557001321003963</v>
      </c>
      <c r="AW749" s="75">
        <f>PARAM!$C$26+MAX($G$14-CHOOSE(PARAM!$B$44,MAX(0,AX748*$F$1),0),0)*RATES!$L725/12+$H$14*(PARAM!$D$51/12)*RATES!$N725/100</f>
        <v>688.54166666666663</v>
      </c>
      <c r="AX749" s="16">
        <f t="shared" si="510"/>
        <v>-86081.794737117452</v>
      </c>
      <c r="AY749" s="15">
        <f t="shared" si="485"/>
        <v>22.170849845882874</v>
      </c>
      <c r="AZ749" s="75">
        <f>AY749*(1-PARAM!$C$27)*$I$15+(MOD($B749,60)=PARAM!$B$56)*($B749&gt;(60-PARAM!$B$56))*HLOOKUP(($B749+PARAM!$B$56)/12,Loyalty,2)*$F$1*MAX(BB748,0)</f>
        <v>18.557001321003963</v>
      </c>
      <c r="BA749" s="75">
        <f>PARAM!$C$26+MAX($G$15-CHOOSE(PARAM!$B$44,MAX(0,BB748*$F$1),0),0)*RATES!$L725/12+$H$15*(PARAM!$D$51/12)*RATES!$N725/100</f>
        <v>688.54166666666663</v>
      </c>
      <c r="BB749" s="16">
        <f t="shared" si="511"/>
        <v>-86081.794737117452</v>
      </c>
      <c r="BC749" s="15">
        <f t="shared" si="486"/>
        <v>22.170849845882874</v>
      </c>
      <c r="BD749" s="75">
        <f>BC749*(1-PARAM!$C$27)*$I$16+(MOD($B749,60)=PARAM!$B$56)*($B749&gt;(60-PARAM!$B$56))*HLOOKUP(($B749+PARAM!$B$56)/12,Loyalty,2)*$F$1*MAX(BF748,0)</f>
        <v>18.557001321003963</v>
      </c>
      <c r="BE749" s="75">
        <f>PARAM!$C$26+MAX($G$16-CHOOSE(PARAM!$B$44,MAX(0,BF748*$F$1),0),0)*RATES!$L725/12+$H$16*(PARAM!$D$51/12)*RATES!$N725/100</f>
        <v>688.54166666666663</v>
      </c>
      <c r="BF749" s="16">
        <f t="shared" si="512"/>
        <v>-86081.794737117452</v>
      </c>
      <c r="BG749" s="15">
        <f t="shared" si="487"/>
        <v>22.170849845882874</v>
      </c>
      <c r="BH749" s="75">
        <f>BG749*(1-PARAM!$C$27)*$I$17+(MOD($B749,60)=PARAM!$B$56)*($B749&gt;(60-PARAM!$B$56))*HLOOKUP(($B749+PARAM!$B$56)/12,Loyalty,2)*$F$1*MAX(BJ748,0)</f>
        <v>18.557001321003963</v>
      </c>
      <c r="BI749" s="75">
        <f>PARAM!$C$26+MAX($G$17-CHOOSE(PARAM!$B$44,MAX(0,BJ748*$F$1),0),0)*RATES!$L725/12+$H$17*(PARAM!$D$51/12)*RATES!$N725/100</f>
        <v>688.54166666666663</v>
      </c>
      <c r="BJ749" s="16">
        <f t="shared" si="513"/>
        <v>-86081.794737117452</v>
      </c>
      <c r="BK749" s="15">
        <f t="shared" si="488"/>
        <v>22.170849845882874</v>
      </c>
      <c r="BL749" s="75">
        <f>BK749*(1-PARAM!$C$27)*$I$18+(MOD($B749,60)=PARAM!$B$56)*($B749&gt;(60-PARAM!$B$56))*HLOOKUP(($B749+PARAM!$B$56)/12,Loyalty,2)*$F$1*MAX(BN748,0)</f>
        <v>18.557001321003963</v>
      </c>
      <c r="BM749" s="75">
        <f>PARAM!$C$26+MAX($G$18-CHOOSE(PARAM!$B$44,MAX(0,BN748*$F$1),0),0)*RATES!$L725/12+$H$18*(PARAM!$D$51/12)*RATES!$N725/100</f>
        <v>688.54166666666663</v>
      </c>
      <c r="BN749" s="16">
        <f t="shared" si="514"/>
        <v>-86081.794737117452</v>
      </c>
      <c r="BO749" s="15">
        <f t="shared" si="489"/>
        <v>22.170849845882874</v>
      </c>
      <c r="BP749" s="75">
        <f>BO749*(1-PARAM!$C$27)*$I$19+(MOD($B749,60)=PARAM!$B$56)*($B749&gt;(60-PARAM!$B$56))*HLOOKUP(($B749+PARAM!$B$56)/12,Loyalty,2)*$F$1*MAX(BR748,0)</f>
        <v>18.557001321003963</v>
      </c>
      <c r="BQ749" s="75">
        <f>PARAM!$C$26+MAX($G$19-CHOOSE(PARAM!$B$44,MAX(0,BR748*$F$1),0),0)*RATES!$L725/12+$H$19*(PARAM!$D$51/12)*RATES!$N725/100</f>
        <v>688.54166666666663</v>
      </c>
      <c r="BR749" s="16">
        <f t="shared" si="515"/>
        <v>-86081.794737117452</v>
      </c>
      <c r="BS749" s="15">
        <f t="shared" si="490"/>
        <v>22.170849845882874</v>
      </c>
      <c r="BT749" s="75">
        <f>BS749*(1-PARAM!$C$27)*$I$20+(MOD($B749,60)=PARAM!$B$56)*($B749&gt;(60-PARAM!$B$56))*HLOOKUP(($B749+PARAM!$B$56)/12,Loyalty,2)*$F$1*MAX(BV748,0)</f>
        <v>18.557001321003963</v>
      </c>
      <c r="BU749" s="75">
        <f>PARAM!$C$26+MAX($G$20-CHOOSE(PARAM!$B$44,MAX(0,BV748*$F$1),0),0)*RATES!$L725/12+$H$20*(PARAM!$D$51/12)*RATES!$N725/100</f>
        <v>688.54166666666663</v>
      </c>
      <c r="BV749" s="16">
        <f t="shared" si="516"/>
        <v>-86081.794737117452</v>
      </c>
      <c r="BW749" s="15">
        <f t="shared" si="491"/>
        <v>22.170849845882874</v>
      </c>
      <c r="BX749" s="75">
        <f>BW749*(1-PARAM!$C$27)*$I$21+(MOD($B749,60)=PARAM!$B$56)*($B749&gt;(60-PARAM!$B$56))*HLOOKUP(($B749+PARAM!$B$56)/12,Loyalty,2)*$F$1*MAX(BZ748,0)</f>
        <v>18.557001321003963</v>
      </c>
      <c r="BY749" s="75">
        <f>PARAM!$C$26+MAX($G$21-CHOOSE(PARAM!$B$44,MAX(0,BZ748*$F$1),0),0)*RATES!$L725/12+$H$21*(PARAM!$D$51/12)*RATES!$N725/100</f>
        <v>688.54166666666663</v>
      </c>
      <c r="BZ749" s="16">
        <f t="shared" si="517"/>
        <v>-86081.794737117452</v>
      </c>
      <c r="CA749" s="15">
        <f t="shared" si="492"/>
        <v>22.170849845882874</v>
      </c>
      <c r="CB749" s="75">
        <f>CA749*(1-PARAM!$C$27)*$I$22+(MOD($B749,60)=PARAM!$B$56)*($B749&gt;(60-PARAM!$B$56))*HLOOKUP(($B749+PARAM!$B$56)/12,Loyalty,2)*$F$1*MAX(CD748,0)</f>
        <v>18.557001321003963</v>
      </c>
      <c r="CC749" s="75">
        <f>PARAM!$C$26+MAX($G$22-CHOOSE(PARAM!$B$44,MAX(0,CD748*$F$1),0),0)*RATES!$L725/12+$H$22*(PARAM!$D$51/12)*RATES!$N725/100</f>
        <v>688.54166666666663</v>
      </c>
      <c r="CD749" s="16">
        <f t="shared" si="518"/>
        <v>-86081.794737117452</v>
      </c>
      <c r="CE749" s="33">
        <f>IF(0=MOD(B749,12/PARAM!$D$51),1,0)</f>
        <v>1</v>
      </c>
      <c r="CF749" s="15">
        <f t="shared" si="493"/>
        <v>0</v>
      </c>
      <c r="CG749" s="75">
        <f>CF749*(1-PARAM!$C$27)*$R$3+(MOD($B749/12,5)=0)*($B749&gt;60)*HLOOKUP($B749/12,Loyalty,2)*$F$1*MAX(CI748,0)</f>
        <v>0</v>
      </c>
      <c r="CH749" s="75">
        <f>PARAM!$C$26+MAX($P$3-CHOOSE(PARAM!$B$44,MAX(0,CI748*$F$1),0),0)*RATES!$L725/12+$Q$3*(PARAM!$D$51/12)*RATES!$N725/100</f>
        <v>688.54166666666663</v>
      </c>
      <c r="CI749" s="16">
        <f>IF(CI748&gt;0,CI748*PARAM!$C$53,CI748)+CG749-CH749</f>
        <v>-99360.375000000276</v>
      </c>
      <c r="CJ749" s="15">
        <f t="shared" si="519"/>
        <v>0</v>
      </c>
      <c r="CK749" s="75">
        <f>CJ749*(1-PARAM!$C$27)*$R$4+(MOD($B749/12,5)=0)*($B749&gt;60)*HLOOKUP($B749/12,Loyalty,2)*$F$1*MAX(CM748,0)</f>
        <v>0</v>
      </c>
      <c r="CL749" s="75">
        <f>PARAM!$C$26+MAX($P$4-CHOOSE(PARAM!$B$44,MAX(0,CM748*$F$1),0),0)*RATES!$L725/12+$Q$4*(PARAM!$D$51/12)*RATES!$N725/100</f>
        <v>688.54166666666663</v>
      </c>
      <c r="CM749" s="16">
        <f>IF(CM748&gt;0,CM748*PARAM!$C$53,CM748)+CK749-CL749</f>
        <v>-99360.375000000276</v>
      </c>
      <c r="CO749" s="176"/>
    </row>
    <row r="750" spans="1:93" x14ac:dyDescent="0.2">
      <c r="A750" t="b">
        <f t="shared" si="494"/>
        <v>0</v>
      </c>
      <c r="B750" s="33">
        <v>723</v>
      </c>
      <c r="C750" s="15">
        <f t="shared" si="495"/>
        <v>20.081305947392778</v>
      </c>
      <c r="D750" s="75">
        <f>C750*(1-PARAM!$C$27)*$I$3+(MOD($B750,60)=PARAM!$B$56)*($B750&gt;(60-PARAM!$B$56))*HLOOKUP(($B750+PARAM!$B$56)/12,Loyalty,2)*$F$1*MAX(F749,0)</f>
        <v>16.808053077967756</v>
      </c>
      <c r="E750" s="75">
        <f>PARAM!$C$26+MAX($G$3-CHOOSE(PARAM!$B$44,MAX(0,F749*$F$1),0),0)*RATES!$L726/12+$H$3*(PARAM!$D$51/12)*RATES!$N726/100</f>
        <v>688.54166666666663</v>
      </c>
      <c r="F750" s="16">
        <f t="shared" si="496"/>
        <v>-88053.119482699753</v>
      </c>
      <c r="G750" s="15">
        <f t="shared" si="497"/>
        <v>22.035289406060361</v>
      </c>
      <c r="H750" s="75">
        <f>G750*(1-PARAM!$C$27)*$I$4+(MOD($B750,60)=PARAM!$B$56)*($B750&gt;(60-PARAM!$B$56))*HLOOKUP(($B750+PARAM!$B$56)/12,Loyalty,2)*$F$1*MAX(J749,0)</f>
        <v>18.443537232872522</v>
      </c>
      <c r="I750" s="75">
        <f>PARAM!$C$26+MAX($G$4-CHOOSE(PARAM!$B$44,MAX(0,J749*$F$1),0),0)*RATES!$L726/12+$H$4*(PARAM!$D$51/12)*RATES!$N726/100</f>
        <v>688.54166666666663</v>
      </c>
      <c r="J750" s="16">
        <f t="shared" si="498"/>
        <v>-86836.831474581864</v>
      </c>
      <c r="K750" s="15">
        <f t="shared" si="499"/>
        <v>22.170849845882874</v>
      </c>
      <c r="L750" s="75">
        <f>K750*(1-PARAM!$C$27)*$I$5+(MOD($B750,60)=PARAM!$B$56)*($B750&gt;(60-PARAM!$B$56))*HLOOKUP(($B750+PARAM!$B$56)/12,Loyalty,2)*$F$1*MAX(N749,0)</f>
        <v>18.557001321003963</v>
      </c>
      <c r="M750" s="75">
        <f>PARAM!$C$26+MAX($G$5-CHOOSE(PARAM!$B$44,MAX(0,N749*$F$1),0),0)*RATES!$L726/12+$H$5*(PARAM!$D$51/12)*RATES!$N726/100</f>
        <v>688.54166666666663</v>
      </c>
      <c r="N750" s="16">
        <f t="shared" si="500"/>
        <v>-86751.779402463115</v>
      </c>
      <c r="O750" s="15">
        <f t="shared" si="501"/>
        <v>22.170849845882874</v>
      </c>
      <c r="P750" s="75">
        <f>O750*(1-PARAM!$C$27)*$I$6+(MOD($B750,60)=PARAM!$B$56)*($B750&gt;(60-PARAM!$B$56))*HLOOKUP(($B750+PARAM!$B$56)/12,Loyalty,2)*$F$1*MAX(R749,0)</f>
        <v>18.557001321003963</v>
      </c>
      <c r="Q750" s="75">
        <f>PARAM!$C$26+MAX($G$6-CHOOSE(PARAM!$B$44,MAX(0,R749*$F$1),0),0)*RATES!$L726/12+$H$6*(PARAM!$D$51/12)*RATES!$N726/100</f>
        <v>688.54166666666663</v>
      </c>
      <c r="R750" s="16">
        <f t="shared" si="502"/>
        <v>-86751.779402463115</v>
      </c>
      <c r="S750" s="15">
        <f t="shared" si="477"/>
        <v>22.170849845882874</v>
      </c>
      <c r="T750" s="75">
        <f>S750*(1-PARAM!$C$27)*$I$7+(MOD($B750,60)=PARAM!$B$56)*($B750&gt;(60-PARAM!$B$56))*HLOOKUP(($B750+PARAM!$B$56)/12,Loyalty,2)*$F$1*MAX(V749,0)</f>
        <v>18.557001321003963</v>
      </c>
      <c r="U750" s="75">
        <f>PARAM!$C$26+MAX($G$7-CHOOSE(PARAM!$B$44,MAX(0,V749*$F$1),0),0)*RATES!$L726/12+$H$7*(PARAM!$D$51/12)*RATES!$N726/100</f>
        <v>688.54166666666663</v>
      </c>
      <c r="V750" s="16">
        <f t="shared" si="503"/>
        <v>-86751.779402463115</v>
      </c>
      <c r="W750" s="15">
        <f t="shared" si="478"/>
        <v>22.170849845882874</v>
      </c>
      <c r="X750" s="75">
        <f>W750*(1-PARAM!$C$27)*$I$8+(MOD($B750,60)=PARAM!$B$56)*($B750&gt;(60-PARAM!$B$56))*HLOOKUP(($B750+PARAM!$B$56)/12,Loyalty,2)*$F$1*MAX(Z749,0)</f>
        <v>18.557001321003963</v>
      </c>
      <c r="Y750" s="75">
        <f>PARAM!$C$26+MAX($G$8-CHOOSE(PARAM!$B$44,MAX(0,Z749*$F$1),0),0)*RATES!$L726/12+$H$8*(PARAM!$D$51/12)*RATES!$N726/100</f>
        <v>688.54166666666663</v>
      </c>
      <c r="Z750" s="16">
        <f t="shared" si="504"/>
        <v>-86751.779402463115</v>
      </c>
      <c r="AA750" s="15">
        <f t="shared" si="479"/>
        <v>22.170849845882874</v>
      </c>
      <c r="AB750" s="75">
        <f>AA750*(1-PARAM!$C$27)*$I$9+(MOD($B750,60)=PARAM!$B$56)*($B750&gt;(60-PARAM!$B$56))*HLOOKUP(($B750+PARAM!$B$56)/12,Loyalty,2)*$F$1*MAX(AD749,0)</f>
        <v>18.557001321003963</v>
      </c>
      <c r="AC750" s="75">
        <f>PARAM!$C$26+MAX($G$9-CHOOSE(PARAM!$B$44,MAX(0,AD749*$F$1),0),0)*RATES!$L726/12+$H$9*(PARAM!$D$51/12)*RATES!$N726/100</f>
        <v>688.54166666666663</v>
      </c>
      <c r="AD750" s="16">
        <f t="shared" si="505"/>
        <v>-86751.779402463115</v>
      </c>
      <c r="AE750" s="15">
        <f t="shared" si="480"/>
        <v>22.170849845882874</v>
      </c>
      <c r="AF750" s="75">
        <f>AE750*(1-PARAM!$C$27)*$I$10+(MOD($B750,60)=PARAM!$B$56)*($B750&gt;(60-PARAM!$B$56))*HLOOKUP(($B750+PARAM!$B$56)/12,Loyalty,2)*$F$1*MAX(AH749,0)</f>
        <v>18.557001321003963</v>
      </c>
      <c r="AG750" s="75">
        <f>PARAM!$C$26+MAX($G$10-CHOOSE(PARAM!$B$44,MAX(0,AH749*$F$1),0),0)*RATES!$L726/12+$H$10*(PARAM!$D$51/12)*RATES!$N726/100</f>
        <v>688.54166666666663</v>
      </c>
      <c r="AH750" s="16">
        <f t="shared" si="506"/>
        <v>-86751.779402463115</v>
      </c>
      <c r="AI750" s="15">
        <f t="shared" si="481"/>
        <v>22.170849845882874</v>
      </c>
      <c r="AJ750" s="75">
        <f>AI750*(1-PARAM!$C$27)*$I$11+(MOD($B750,60)=PARAM!$B$56)*($B750&gt;(60-PARAM!$B$56))*HLOOKUP(($B750+PARAM!$B$56)/12,Loyalty,2)*$F$1*MAX(AL749,0)</f>
        <v>18.557001321003963</v>
      </c>
      <c r="AK750" s="75">
        <f>PARAM!$C$26+MAX($G$11-CHOOSE(PARAM!$B$44,MAX(0,AL749*$F$1),0),0)*RATES!$L726/12+$H$11*(PARAM!$D$51/12)*RATES!$N726/100</f>
        <v>688.54166666666663</v>
      </c>
      <c r="AL750" s="16">
        <f t="shared" si="507"/>
        <v>-86751.779402463115</v>
      </c>
      <c r="AM750" s="15">
        <f t="shared" si="482"/>
        <v>22.170849845882874</v>
      </c>
      <c r="AN750" s="75">
        <f>AM750*(1-PARAM!$C$27)*$I$12+(MOD($B750,60)=PARAM!$B$56)*($B750&gt;(60-PARAM!$B$56))*HLOOKUP(($B750+PARAM!$B$56)/12,Loyalty,2)*$F$1*MAX(AP749,0)</f>
        <v>18.557001321003963</v>
      </c>
      <c r="AO750" s="75">
        <f>PARAM!$C$26+MAX($G$12-CHOOSE(PARAM!$B$44,MAX(0,AP749*$F$1),0),0)*RATES!$L726/12+$H$12*(PARAM!$D$51/12)*RATES!$N726/100</f>
        <v>688.54166666666663</v>
      </c>
      <c r="AP750" s="16">
        <f t="shared" si="508"/>
        <v>-86751.779402463115</v>
      </c>
      <c r="AQ750" s="15">
        <f t="shared" si="483"/>
        <v>22.170849845882874</v>
      </c>
      <c r="AR750" s="75">
        <f>AQ750*(1-PARAM!$C$27)*$I$13+(MOD($B750,60)=PARAM!$B$56)*($B750&gt;(60-PARAM!$B$56))*HLOOKUP(($B750+PARAM!$B$56)/12,Loyalty,2)*$F$1*MAX(AT749,0)</f>
        <v>18.557001321003963</v>
      </c>
      <c r="AS750" s="75">
        <f>PARAM!$C$26+MAX($G$13-CHOOSE(PARAM!$B$44,MAX(0,AT749*$F$1),0),0)*RATES!$L726/12+$H$13*(PARAM!$D$51/12)*RATES!$N726/100</f>
        <v>688.54166666666663</v>
      </c>
      <c r="AT750" s="16">
        <f t="shared" si="509"/>
        <v>-86751.779402463115</v>
      </c>
      <c r="AU750" s="15">
        <f t="shared" si="484"/>
        <v>22.170849845882874</v>
      </c>
      <c r="AV750" s="75">
        <f>AU750*(1-PARAM!$C$27)*$I$14+(MOD($B750,60)=PARAM!$B$56)*($B750&gt;(60-PARAM!$B$56))*HLOOKUP(($B750+PARAM!$B$56)/12,Loyalty,2)*$F$1*MAX(AX749,0)</f>
        <v>18.557001321003963</v>
      </c>
      <c r="AW750" s="75">
        <f>PARAM!$C$26+MAX($G$14-CHOOSE(PARAM!$B$44,MAX(0,AX749*$F$1),0),0)*RATES!$L726/12+$H$14*(PARAM!$D$51/12)*RATES!$N726/100</f>
        <v>688.54166666666663</v>
      </c>
      <c r="AX750" s="16">
        <f t="shared" si="510"/>
        <v>-86751.779402463115</v>
      </c>
      <c r="AY750" s="15">
        <f t="shared" si="485"/>
        <v>22.170849845882874</v>
      </c>
      <c r="AZ750" s="75">
        <f>AY750*(1-PARAM!$C$27)*$I$15+(MOD($B750,60)=PARAM!$B$56)*($B750&gt;(60-PARAM!$B$56))*HLOOKUP(($B750+PARAM!$B$56)/12,Loyalty,2)*$F$1*MAX(BB749,0)</f>
        <v>18.557001321003963</v>
      </c>
      <c r="BA750" s="75">
        <f>PARAM!$C$26+MAX($G$15-CHOOSE(PARAM!$B$44,MAX(0,BB749*$F$1),0),0)*RATES!$L726/12+$H$15*(PARAM!$D$51/12)*RATES!$N726/100</f>
        <v>688.54166666666663</v>
      </c>
      <c r="BB750" s="16">
        <f t="shared" si="511"/>
        <v>-86751.779402463115</v>
      </c>
      <c r="BC750" s="15">
        <f t="shared" si="486"/>
        <v>22.170849845882874</v>
      </c>
      <c r="BD750" s="75">
        <f>BC750*(1-PARAM!$C$27)*$I$16+(MOD($B750,60)=PARAM!$B$56)*($B750&gt;(60-PARAM!$B$56))*HLOOKUP(($B750+PARAM!$B$56)/12,Loyalty,2)*$F$1*MAX(BF749,0)</f>
        <v>18.557001321003963</v>
      </c>
      <c r="BE750" s="75">
        <f>PARAM!$C$26+MAX($G$16-CHOOSE(PARAM!$B$44,MAX(0,BF749*$F$1),0),0)*RATES!$L726/12+$H$16*(PARAM!$D$51/12)*RATES!$N726/100</f>
        <v>688.54166666666663</v>
      </c>
      <c r="BF750" s="16">
        <f t="shared" si="512"/>
        <v>-86751.779402463115</v>
      </c>
      <c r="BG750" s="15">
        <f t="shared" si="487"/>
        <v>22.170849845882874</v>
      </c>
      <c r="BH750" s="75">
        <f>BG750*(1-PARAM!$C$27)*$I$17+(MOD($B750,60)=PARAM!$B$56)*($B750&gt;(60-PARAM!$B$56))*HLOOKUP(($B750+PARAM!$B$56)/12,Loyalty,2)*$F$1*MAX(BJ749,0)</f>
        <v>18.557001321003963</v>
      </c>
      <c r="BI750" s="75">
        <f>PARAM!$C$26+MAX($G$17-CHOOSE(PARAM!$B$44,MAX(0,BJ749*$F$1),0),0)*RATES!$L726/12+$H$17*(PARAM!$D$51/12)*RATES!$N726/100</f>
        <v>688.54166666666663</v>
      </c>
      <c r="BJ750" s="16">
        <f t="shared" si="513"/>
        <v>-86751.779402463115</v>
      </c>
      <c r="BK750" s="15">
        <f t="shared" si="488"/>
        <v>22.170849845882874</v>
      </c>
      <c r="BL750" s="75">
        <f>BK750*(1-PARAM!$C$27)*$I$18+(MOD($B750,60)=PARAM!$B$56)*($B750&gt;(60-PARAM!$B$56))*HLOOKUP(($B750+PARAM!$B$56)/12,Loyalty,2)*$F$1*MAX(BN749,0)</f>
        <v>18.557001321003963</v>
      </c>
      <c r="BM750" s="75">
        <f>PARAM!$C$26+MAX($G$18-CHOOSE(PARAM!$B$44,MAX(0,BN749*$F$1),0),0)*RATES!$L726/12+$H$18*(PARAM!$D$51/12)*RATES!$N726/100</f>
        <v>688.54166666666663</v>
      </c>
      <c r="BN750" s="16">
        <f t="shared" si="514"/>
        <v>-86751.779402463115</v>
      </c>
      <c r="BO750" s="15">
        <f t="shared" si="489"/>
        <v>22.170849845882874</v>
      </c>
      <c r="BP750" s="75">
        <f>BO750*(1-PARAM!$C$27)*$I$19+(MOD($B750,60)=PARAM!$B$56)*($B750&gt;(60-PARAM!$B$56))*HLOOKUP(($B750+PARAM!$B$56)/12,Loyalty,2)*$F$1*MAX(BR749,0)</f>
        <v>18.557001321003963</v>
      </c>
      <c r="BQ750" s="75">
        <f>PARAM!$C$26+MAX($G$19-CHOOSE(PARAM!$B$44,MAX(0,BR749*$F$1),0),0)*RATES!$L726/12+$H$19*(PARAM!$D$51/12)*RATES!$N726/100</f>
        <v>688.54166666666663</v>
      </c>
      <c r="BR750" s="16">
        <f t="shared" si="515"/>
        <v>-86751.779402463115</v>
      </c>
      <c r="BS750" s="15">
        <f t="shared" si="490"/>
        <v>22.170849845882874</v>
      </c>
      <c r="BT750" s="75">
        <f>BS750*(1-PARAM!$C$27)*$I$20+(MOD($B750,60)=PARAM!$B$56)*($B750&gt;(60-PARAM!$B$56))*HLOOKUP(($B750+PARAM!$B$56)/12,Loyalty,2)*$F$1*MAX(BV749,0)</f>
        <v>18.557001321003963</v>
      </c>
      <c r="BU750" s="75">
        <f>PARAM!$C$26+MAX($G$20-CHOOSE(PARAM!$B$44,MAX(0,BV749*$F$1),0),0)*RATES!$L726/12+$H$20*(PARAM!$D$51/12)*RATES!$N726/100</f>
        <v>688.54166666666663</v>
      </c>
      <c r="BV750" s="16">
        <f t="shared" si="516"/>
        <v>-86751.779402463115</v>
      </c>
      <c r="BW750" s="15">
        <f t="shared" si="491"/>
        <v>22.170849845882874</v>
      </c>
      <c r="BX750" s="75">
        <f>BW750*(1-PARAM!$C$27)*$I$21+(MOD($B750,60)=PARAM!$B$56)*($B750&gt;(60-PARAM!$B$56))*HLOOKUP(($B750+PARAM!$B$56)/12,Loyalty,2)*$F$1*MAX(BZ749,0)</f>
        <v>18.557001321003963</v>
      </c>
      <c r="BY750" s="75">
        <f>PARAM!$C$26+MAX($G$21-CHOOSE(PARAM!$B$44,MAX(0,BZ749*$F$1),0),0)*RATES!$L726/12+$H$21*(PARAM!$D$51/12)*RATES!$N726/100</f>
        <v>688.54166666666663</v>
      </c>
      <c r="BZ750" s="16">
        <f t="shared" si="517"/>
        <v>-86751.779402463115</v>
      </c>
      <c r="CA750" s="15">
        <f t="shared" si="492"/>
        <v>22.170849845882874</v>
      </c>
      <c r="CB750" s="75">
        <f>CA750*(1-PARAM!$C$27)*$I$22+(MOD($B750,60)=PARAM!$B$56)*($B750&gt;(60-PARAM!$B$56))*HLOOKUP(($B750+PARAM!$B$56)/12,Loyalty,2)*$F$1*MAX(CD749,0)</f>
        <v>18.557001321003963</v>
      </c>
      <c r="CC750" s="75">
        <f>PARAM!$C$26+MAX($G$22-CHOOSE(PARAM!$B$44,MAX(0,CD749*$F$1),0),0)*RATES!$L726/12+$H$22*(PARAM!$D$51/12)*RATES!$N726/100</f>
        <v>688.54166666666663</v>
      </c>
      <c r="CD750" s="16">
        <f t="shared" si="518"/>
        <v>-86751.779402463115</v>
      </c>
      <c r="CE750" s="33">
        <f>IF(0=MOD(B750,12/PARAM!$D$51),1,0)</f>
        <v>1</v>
      </c>
      <c r="CF750" s="15">
        <f t="shared" si="493"/>
        <v>0</v>
      </c>
      <c r="CG750" s="75">
        <f>CF750*(1-PARAM!$C$27)*$R$3+(MOD($B750/12,5)=0)*($B750&gt;60)*HLOOKUP($B750/12,Loyalty,2)*$F$1*MAX(CI749,0)</f>
        <v>0</v>
      </c>
      <c r="CH750" s="75">
        <f>PARAM!$C$26+MAX($P$3-CHOOSE(PARAM!$B$44,MAX(0,CI749*$F$1),0),0)*RATES!$L726/12+$Q$3*(PARAM!$D$51/12)*RATES!$N726/100</f>
        <v>688.54166666666663</v>
      </c>
      <c r="CI750" s="16">
        <f>IF(CI749&gt;0,CI749*PARAM!$C$53,CI749)+CG750-CH750</f>
        <v>-100048.91666666695</v>
      </c>
      <c r="CJ750" s="15">
        <f t="shared" si="519"/>
        <v>0</v>
      </c>
      <c r="CK750" s="75">
        <f>CJ750*(1-PARAM!$C$27)*$R$4+(MOD($B750/12,5)=0)*($B750&gt;60)*HLOOKUP($B750/12,Loyalty,2)*$F$1*MAX(CM749,0)</f>
        <v>0</v>
      </c>
      <c r="CL750" s="75">
        <f>PARAM!$C$26+MAX($P$4-CHOOSE(PARAM!$B$44,MAX(0,CM749*$F$1),0),0)*RATES!$L726/12+$Q$4*(PARAM!$D$51/12)*RATES!$N726/100</f>
        <v>688.54166666666663</v>
      </c>
      <c r="CM750" s="16">
        <f>IF(CM749&gt;0,CM749*PARAM!$C$53,CM749)+CK750-CL750</f>
        <v>-100048.91666666695</v>
      </c>
      <c r="CO750" s="176"/>
    </row>
    <row r="751" spans="1:93" x14ac:dyDescent="0.2">
      <c r="A751" t="b">
        <f t="shared" si="494"/>
        <v>0</v>
      </c>
      <c r="B751" s="33">
        <v>724</v>
      </c>
      <c r="C751" s="15">
        <f t="shared" si="495"/>
        <v>20.081305947392778</v>
      </c>
      <c r="D751" s="75">
        <f>C751*(1-PARAM!$C$27)*$I$3+(MOD($B751,60)=PARAM!$B$56)*($B751&gt;(60-PARAM!$B$56))*HLOOKUP(($B751+PARAM!$B$56)/12,Loyalty,2)*$F$1*MAX(F750,0)</f>
        <v>16.808053077967756</v>
      </c>
      <c r="E751" s="75">
        <f>PARAM!$C$26+MAX($G$3-CHOOSE(PARAM!$B$44,MAX(0,F750*$F$1),0),0)*RATES!$L727/12+$H$3*(PARAM!$D$51/12)*RATES!$N727/100</f>
        <v>688.54166666666663</v>
      </c>
      <c r="F751" s="16">
        <f t="shared" si="496"/>
        <v>-88724.853096288454</v>
      </c>
      <c r="G751" s="15">
        <f t="shared" si="497"/>
        <v>22.035289406060361</v>
      </c>
      <c r="H751" s="75">
        <f>G751*(1-PARAM!$C$27)*$I$4+(MOD($B751,60)=PARAM!$B$56)*($B751&gt;(60-PARAM!$B$56))*HLOOKUP(($B751+PARAM!$B$56)/12,Loyalty,2)*$F$1*MAX(J750,0)</f>
        <v>18.443537232872522</v>
      </c>
      <c r="I751" s="75">
        <f>PARAM!$C$26+MAX($G$4-CHOOSE(PARAM!$B$44,MAX(0,J750*$F$1),0),0)*RATES!$L727/12+$H$4*(PARAM!$D$51/12)*RATES!$N727/100</f>
        <v>688.54166666666663</v>
      </c>
      <c r="J751" s="16">
        <f t="shared" si="498"/>
        <v>-87506.929604015662</v>
      </c>
      <c r="K751" s="15">
        <f t="shared" si="499"/>
        <v>22.170849845882874</v>
      </c>
      <c r="L751" s="75">
        <f>K751*(1-PARAM!$C$27)*$I$5+(MOD($B751,60)=PARAM!$B$56)*($B751&gt;(60-PARAM!$B$56))*HLOOKUP(($B751+PARAM!$B$56)/12,Loyalty,2)*$F$1*MAX(N750,0)</f>
        <v>18.557001321003963</v>
      </c>
      <c r="M751" s="75">
        <f>PARAM!$C$26+MAX($G$5-CHOOSE(PARAM!$B$44,MAX(0,N750*$F$1),0),0)*RATES!$L727/12+$H$5*(PARAM!$D$51/12)*RATES!$N727/100</f>
        <v>688.54166666666663</v>
      </c>
      <c r="N751" s="16">
        <f t="shared" si="500"/>
        <v>-87421.764067808777</v>
      </c>
      <c r="O751" s="15">
        <f t="shared" si="501"/>
        <v>22.170849845882874</v>
      </c>
      <c r="P751" s="75">
        <f>O751*(1-PARAM!$C$27)*$I$6+(MOD($B751,60)=PARAM!$B$56)*($B751&gt;(60-PARAM!$B$56))*HLOOKUP(($B751+PARAM!$B$56)/12,Loyalty,2)*$F$1*MAX(R750,0)</f>
        <v>18.557001321003963</v>
      </c>
      <c r="Q751" s="75">
        <f>PARAM!$C$26+MAX($G$6-CHOOSE(PARAM!$B$44,MAX(0,R750*$F$1),0),0)*RATES!$L727/12+$H$6*(PARAM!$D$51/12)*RATES!$N727/100</f>
        <v>688.54166666666663</v>
      </c>
      <c r="R751" s="16">
        <f t="shared" si="502"/>
        <v>-87421.764067808777</v>
      </c>
      <c r="S751" s="15">
        <f t="shared" si="477"/>
        <v>22.170849845882874</v>
      </c>
      <c r="T751" s="75">
        <f>S751*(1-PARAM!$C$27)*$I$7+(MOD($B751,60)=PARAM!$B$56)*($B751&gt;(60-PARAM!$B$56))*HLOOKUP(($B751+PARAM!$B$56)/12,Loyalty,2)*$F$1*MAX(V750,0)</f>
        <v>18.557001321003963</v>
      </c>
      <c r="U751" s="75">
        <f>PARAM!$C$26+MAX($G$7-CHOOSE(PARAM!$B$44,MAX(0,V750*$F$1),0),0)*RATES!$L727/12+$H$7*(PARAM!$D$51/12)*RATES!$N727/100</f>
        <v>688.54166666666663</v>
      </c>
      <c r="V751" s="16">
        <f t="shared" si="503"/>
        <v>-87421.764067808777</v>
      </c>
      <c r="W751" s="15">
        <f t="shared" si="478"/>
        <v>22.170849845882874</v>
      </c>
      <c r="X751" s="75">
        <f>W751*(1-PARAM!$C$27)*$I$8+(MOD($B751,60)=PARAM!$B$56)*($B751&gt;(60-PARAM!$B$56))*HLOOKUP(($B751+PARAM!$B$56)/12,Loyalty,2)*$F$1*MAX(Z750,0)</f>
        <v>18.557001321003963</v>
      </c>
      <c r="Y751" s="75">
        <f>PARAM!$C$26+MAX($G$8-CHOOSE(PARAM!$B$44,MAX(0,Z750*$F$1),0),0)*RATES!$L727/12+$H$8*(PARAM!$D$51/12)*RATES!$N727/100</f>
        <v>688.54166666666663</v>
      </c>
      <c r="Z751" s="16">
        <f t="shared" si="504"/>
        <v>-87421.764067808777</v>
      </c>
      <c r="AA751" s="15">
        <f t="shared" si="479"/>
        <v>22.170849845882874</v>
      </c>
      <c r="AB751" s="75">
        <f>AA751*(1-PARAM!$C$27)*$I$9+(MOD($B751,60)=PARAM!$B$56)*($B751&gt;(60-PARAM!$B$56))*HLOOKUP(($B751+PARAM!$B$56)/12,Loyalty,2)*$F$1*MAX(AD750,0)</f>
        <v>18.557001321003963</v>
      </c>
      <c r="AC751" s="75">
        <f>PARAM!$C$26+MAX($G$9-CHOOSE(PARAM!$B$44,MAX(0,AD750*$F$1),0),0)*RATES!$L727/12+$H$9*(PARAM!$D$51/12)*RATES!$N727/100</f>
        <v>688.54166666666663</v>
      </c>
      <c r="AD751" s="16">
        <f t="shared" si="505"/>
        <v>-87421.764067808777</v>
      </c>
      <c r="AE751" s="15">
        <f t="shared" si="480"/>
        <v>22.170849845882874</v>
      </c>
      <c r="AF751" s="75">
        <f>AE751*(1-PARAM!$C$27)*$I$10+(MOD($B751,60)=PARAM!$B$56)*($B751&gt;(60-PARAM!$B$56))*HLOOKUP(($B751+PARAM!$B$56)/12,Loyalty,2)*$F$1*MAX(AH750,0)</f>
        <v>18.557001321003963</v>
      </c>
      <c r="AG751" s="75">
        <f>PARAM!$C$26+MAX($G$10-CHOOSE(PARAM!$B$44,MAX(0,AH750*$F$1),0),0)*RATES!$L727/12+$H$10*(PARAM!$D$51/12)*RATES!$N727/100</f>
        <v>688.54166666666663</v>
      </c>
      <c r="AH751" s="16">
        <f t="shared" si="506"/>
        <v>-87421.764067808777</v>
      </c>
      <c r="AI751" s="15">
        <f t="shared" si="481"/>
        <v>22.170849845882874</v>
      </c>
      <c r="AJ751" s="75">
        <f>AI751*(1-PARAM!$C$27)*$I$11+(MOD($B751,60)=PARAM!$B$56)*($B751&gt;(60-PARAM!$B$56))*HLOOKUP(($B751+PARAM!$B$56)/12,Loyalty,2)*$F$1*MAX(AL750,0)</f>
        <v>18.557001321003963</v>
      </c>
      <c r="AK751" s="75">
        <f>PARAM!$C$26+MAX($G$11-CHOOSE(PARAM!$B$44,MAX(0,AL750*$F$1),0),0)*RATES!$L727/12+$H$11*(PARAM!$D$51/12)*RATES!$N727/100</f>
        <v>688.54166666666663</v>
      </c>
      <c r="AL751" s="16">
        <f t="shared" si="507"/>
        <v>-87421.764067808777</v>
      </c>
      <c r="AM751" s="15">
        <f t="shared" si="482"/>
        <v>22.170849845882874</v>
      </c>
      <c r="AN751" s="75">
        <f>AM751*(1-PARAM!$C$27)*$I$12+(MOD($B751,60)=PARAM!$B$56)*($B751&gt;(60-PARAM!$B$56))*HLOOKUP(($B751+PARAM!$B$56)/12,Loyalty,2)*$F$1*MAX(AP750,0)</f>
        <v>18.557001321003963</v>
      </c>
      <c r="AO751" s="75">
        <f>PARAM!$C$26+MAX($G$12-CHOOSE(PARAM!$B$44,MAX(0,AP750*$F$1),0),0)*RATES!$L727/12+$H$12*(PARAM!$D$51/12)*RATES!$N727/100</f>
        <v>688.54166666666663</v>
      </c>
      <c r="AP751" s="16">
        <f t="shared" si="508"/>
        <v>-87421.764067808777</v>
      </c>
      <c r="AQ751" s="15">
        <f t="shared" si="483"/>
        <v>22.170849845882874</v>
      </c>
      <c r="AR751" s="75">
        <f>AQ751*(1-PARAM!$C$27)*$I$13+(MOD($B751,60)=PARAM!$B$56)*($B751&gt;(60-PARAM!$B$56))*HLOOKUP(($B751+PARAM!$B$56)/12,Loyalty,2)*$F$1*MAX(AT750,0)</f>
        <v>18.557001321003963</v>
      </c>
      <c r="AS751" s="75">
        <f>PARAM!$C$26+MAX($G$13-CHOOSE(PARAM!$B$44,MAX(0,AT750*$F$1),0),0)*RATES!$L727/12+$H$13*(PARAM!$D$51/12)*RATES!$N727/100</f>
        <v>688.54166666666663</v>
      </c>
      <c r="AT751" s="16">
        <f t="shared" si="509"/>
        <v>-87421.764067808777</v>
      </c>
      <c r="AU751" s="15">
        <f t="shared" si="484"/>
        <v>22.170849845882874</v>
      </c>
      <c r="AV751" s="75">
        <f>AU751*(1-PARAM!$C$27)*$I$14+(MOD($B751,60)=PARAM!$B$56)*($B751&gt;(60-PARAM!$B$56))*HLOOKUP(($B751+PARAM!$B$56)/12,Loyalty,2)*$F$1*MAX(AX750,0)</f>
        <v>18.557001321003963</v>
      </c>
      <c r="AW751" s="75">
        <f>PARAM!$C$26+MAX($G$14-CHOOSE(PARAM!$B$44,MAX(0,AX750*$F$1),0),0)*RATES!$L727/12+$H$14*(PARAM!$D$51/12)*RATES!$N727/100</f>
        <v>688.54166666666663</v>
      </c>
      <c r="AX751" s="16">
        <f t="shared" si="510"/>
        <v>-87421.764067808777</v>
      </c>
      <c r="AY751" s="15">
        <f t="shared" si="485"/>
        <v>22.170849845882874</v>
      </c>
      <c r="AZ751" s="75">
        <f>AY751*(1-PARAM!$C$27)*$I$15+(MOD($B751,60)=PARAM!$B$56)*($B751&gt;(60-PARAM!$B$56))*HLOOKUP(($B751+PARAM!$B$56)/12,Loyalty,2)*$F$1*MAX(BB750,0)</f>
        <v>18.557001321003963</v>
      </c>
      <c r="BA751" s="75">
        <f>PARAM!$C$26+MAX($G$15-CHOOSE(PARAM!$B$44,MAX(0,BB750*$F$1),0),0)*RATES!$L727/12+$H$15*(PARAM!$D$51/12)*RATES!$N727/100</f>
        <v>688.54166666666663</v>
      </c>
      <c r="BB751" s="16">
        <f t="shared" si="511"/>
        <v>-87421.764067808777</v>
      </c>
      <c r="BC751" s="15">
        <f t="shared" si="486"/>
        <v>22.170849845882874</v>
      </c>
      <c r="BD751" s="75">
        <f>BC751*(1-PARAM!$C$27)*$I$16+(MOD($B751,60)=PARAM!$B$56)*($B751&gt;(60-PARAM!$B$56))*HLOOKUP(($B751+PARAM!$B$56)/12,Loyalty,2)*$F$1*MAX(BF750,0)</f>
        <v>18.557001321003963</v>
      </c>
      <c r="BE751" s="75">
        <f>PARAM!$C$26+MAX($G$16-CHOOSE(PARAM!$B$44,MAX(0,BF750*$F$1),0),0)*RATES!$L727/12+$H$16*(PARAM!$D$51/12)*RATES!$N727/100</f>
        <v>688.54166666666663</v>
      </c>
      <c r="BF751" s="16">
        <f t="shared" si="512"/>
        <v>-87421.764067808777</v>
      </c>
      <c r="BG751" s="15">
        <f t="shared" si="487"/>
        <v>22.170849845882874</v>
      </c>
      <c r="BH751" s="75">
        <f>BG751*(1-PARAM!$C$27)*$I$17+(MOD($B751,60)=PARAM!$B$56)*($B751&gt;(60-PARAM!$B$56))*HLOOKUP(($B751+PARAM!$B$56)/12,Loyalty,2)*$F$1*MAX(BJ750,0)</f>
        <v>18.557001321003963</v>
      </c>
      <c r="BI751" s="75">
        <f>PARAM!$C$26+MAX($G$17-CHOOSE(PARAM!$B$44,MAX(0,BJ750*$F$1),0),0)*RATES!$L727/12+$H$17*(PARAM!$D$51/12)*RATES!$N727/100</f>
        <v>688.54166666666663</v>
      </c>
      <c r="BJ751" s="16">
        <f t="shared" si="513"/>
        <v>-87421.764067808777</v>
      </c>
      <c r="BK751" s="15">
        <f t="shared" si="488"/>
        <v>22.170849845882874</v>
      </c>
      <c r="BL751" s="75">
        <f>BK751*(1-PARAM!$C$27)*$I$18+(MOD($B751,60)=PARAM!$B$56)*($B751&gt;(60-PARAM!$B$56))*HLOOKUP(($B751+PARAM!$B$56)/12,Loyalty,2)*$F$1*MAX(BN750,0)</f>
        <v>18.557001321003963</v>
      </c>
      <c r="BM751" s="75">
        <f>PARAM!$C$26+MAX($G$18-CHOOSE(PARAM!$B$44,MAX(0,BN750*$F$1),0),0)*RATES!$L727/12+$H$18*(PARAM!$D$51/12)*RATES!$N727/100</f>
        <v>688.54166666666663</v>
      </c>
      <c r="BN751" s="16">
        <f t="shared" si="514"/>
        <v>-87421.764067808777</v>
      </c>
      <c r="BO751" s="15">
        <f t="shared" si="489"/>
        <v>22.170849845882874</v>
      </c>
      <c r="BP751" s="75">
        <f>BO751*(1-PARAM!$C$27)*$I$19+(MOD($B751,60)=PARAM!$B$56)*($B751&gt;(60-PARAM!$B$56))*HLOOKUP(($B751+PARAM!$B$56)/12,Loyalty,2)*$F$1*MAX(BR750,0)</f>
        <v>18.557001321003963</v>
      </c>
      <c r="BQ751" s="75">
        <f>PARAM!$C$26+MAX($G$19-CHOOSE(PARAM!$B$44,MAX(0,BR750*$F$1),0),0)*RATES!$L727/12+$H$19*(PARAM!$D$51/12)*RATES!$N727/100</f>
        <v>688.54166666666663</v>
      </c>
      <c r="BR751" s="16">
        <f t="shared" si="515"/>
        <v>-87421.764067808777</v>
      </c>
      <c r="BS751" s="15">
        <f t="shared" si="490"/>
        <v>22.170849845882874</v>
      </c>
      <c r="BT751" s="75">
        <f>BS751*(1-PARAM!$C$27)*$I$20+(MOD($B751,60)=PARAM!$B$56)*($B751&gt;(60-PARAM!$B$56))*HLOOKUP(($B751+PARAM!$B$56)/12,Loyalty,2)*$F$1*MAX(BV750,0)</f>
        <v>18.557001321003963</v>
      </c>
      <c r="BU751" s="75">
        <f>PARAM!$C$26+MAX($G$20-CHOOSE(PARAM!$B$44,MAX(0,BV750*$F$1),0),0)*RATES!$L727/12+$H$20*(PARAM!$D$51/12)*RATES!$N727/100</f>
        <v>688.54166666666663</v>
      </c>
      <c r="BV751" s="16">
        <f t="shared" si="516"/>
        <v>-87421.764067808777</v>
      </c>
      <c r="BW751" s="15">
        <f t="shared" si="491"/>
        <v>22.170849845882874</v>
      </c>
      <c r="BX751" s="75">
        <f>BW751*(1-PARAM!$C$27)*$I$21+(MOD($B751,60)=PARAM!$B$56)*($B751&gt;(60-PARAM!$B$56))*HLOOKUP(($B751+PARAM!$B$56)/12,Loyalty,2)*$F$1*MAX(BZ750,0)</f>
        <v>18.557001321003963</v>
      </c>
      <c r="BY751" s="75">
        <f>PARAM!$C$26+MAX($G$21-CHOOSE(PARAM!$B$44,MAX(0,BZ750*$F$1),0),0)*RATES!$L727/12+$H$21*(PARAM!$D$51/12)*RATES!$N727/100</f>
        <v>688.54166666666663</v>
      </c>
      <c r="BZ751" s="16">
        <f t="shared" si="517"/>
        <v>-87421.764067808777</v>
      </c>
      <c r="CA751" s="15">
        <f t="shared" si="492"/>
        <v>22.170849845882874</v>
      </c>
      <c r="CB751" s="75">
        <f>CA751*(1-PARAM!$C$27)*$I$22+(MOD($B751,60)=PARAM!$B$56)*($B751&gt;(60-PARAM!$B$56))*HLOOKUP(($B751+PARAM!$B$56)/12,Loyalty,2)*$F$1*MAX(CD750,0)</f>
        <v>18.557001321003963</v>
      </c>
      <c r="CC751" s="75">
        <f>PARAM!$C$26+MAX($G$22-CHOOSE(PARAM!$B$44,MAX(0,CD750*$F$1),0),0)*RATES!$L727/12+$H$22*(PARAM!$D$51/12)*RATES!$N727/100</f>
        <v>688.54166666666663</v>
      </c>
      <c r="CD751" s="16">
        <f t="shared" si="518"/>
        <v>-87421.764067808777</v>
      </c>
      <c r="CE751" s="33">
        <f>IF(0=MOD(B751,12/PARAM!$D$51),1,0)</f>
        <v>1</v>
      </c>
      <c r="CF751" s="15">
        <f t="shared" si="493"/>
        <v>0</v>
      </c>
      <c r="CG751" s="75">
        <f>CF751*(1-PARAM!$C$27)*$R$3+(MOD($B751/12,5)=0)*($B751&gt;60)*HLOOKUP($B751/12,Loyalty,2)*$F$1*MAX(CI750,0)</f>
        <v>0</v>
      </c>
      <c r="CH751" s="75">
        <f>PARAM!$C$26+MAX($P$3-CHOOSE(PARAM!$B$44,MAX(0,CI750*$F$1),0),0)*RATES!$L727/12+$Q$3*(PARAM!$D$51/12)*RATES!$N727/100</f>
        <v>688.54166666666663</v>
      </c>
      <c r="CI751" s="16">
        <f>IF(CI750&gt;0,CI750*PARAM!$C$53,CI750)+CG751-CH751</f>
        <v>-100737.45833333362</v>
      </c>
      <c r="CJ751" s="15">
        <f t="shared" si="519"/>
        <v>0</v>
      </c>
      <c r="CK751" s="75">
        <f>CJ751*(1-PARAM!$C$27)*$R$4+(MOD($B751/12,5)=0)*($B751&gt;60)*HLOOKUP($B751/12,Loyalty,2)*$F$1*MAX(CM750,0)</f>
        <v>0</v>
      </c>
      <c r="CL751" s="75">
        <f>PARAM!$C$26+MAX($P$4-CHOOSE(PARAM!$B$44,MAX(0,CM750*$F$1),0),0)*RATES!$L727/12+$Q$4*(PARAM!$D$51/12)*RATES!$N727/100</f>
        <v>688.54166666666663</v>
      </c>
      <c r="CM751" s="16">
        <f>IF(CM750&gt;0,CM750*PARAM!$C$53,CM750)+CK751-CL751</f>
        <v>-100737.45833333362</v>
      </c>
      <c r="CO751" s="176"/>
    </row>
    <row r="752" spans="1:93" x14ac:dyDescent="0.2">
      <c r="A752" t="b">
        <f t="shared" si="494"/>
        <v>0</v>
      </c>
      <c r="B752" s="33">
        <v>725</v>
      </c>
      <c r="C752" s="15">
        <f t="shared" si="495"/>
        <v>20.081305947392778</v>
      </c>
      <c r="D752" s="75">
        <f>C752*(1-PARAM!$C$27)*$I$3+(MOD($B752,60)=PARAM!$B$56)*($B752&gt;(60-PARAM!$B$56))*HLOOKUP(($B752+PARAM!$B$56)/12,Loyalty,2)*$F$1*MAX(F751,0)</f>
        <v>16.808053077967756</v>
      </c>
      <c r="E752" s="75">
        <f>PARAM!$C$26+MAX($G$3-CHOOSE(PARAM!$B$44,MAX(0,F751*$F$1),0),0)*RATES!$L728/12+$H$3*(PARAM!$D$51/12)*RATES!$N728/100</f>
        <v>688.54166666666663</v>
      </c>
      <c r="F752" s="16">
        <f t="shared" si="496"/>
        <v>-89396.586709877156</v>
      </c>
      <c r="G752" s="15">
        <f t="shared" si="497"/>
        <v>22.035289406060361</v>
      </c>
      <c r="H752" s="75">
        <f>G752*(1-PARAM!$C$27)*$I$4+(MOD($B752,60)=PARAM!$B$56)*($B752&gt;(60-PARAM!$B$56))*HLOOKUP(($B752+PARAM!$B$56)/12,Loyalty,2)*$F$1*MAX(J751,0)</f>
        <v>18.443537232872522</v>
      </c>
      <c r="I752" s="75">
        <f>PARAM!$C$26+MAX($G$4-CHOOSE(PARAM!$B$44,MAX(0,J751*$F$1),0),0)*RATES!$L728/12+$H$4*(PARAM!$D$51/12)*RATES!$N728/100</f>
        <v>688.54166666666663</v>
      </c>
      <c r="J752" s="16">
        <f t="shared" si="498"/>
        <v>-88177.02773344946</v>
      </c>
      <c r="K752" s="15">
        <f t="shared" si="499"/>
        <v>22.170849845882874</v>
      </c>
      <c r="L752" s="75">
        <f>K752*(1-PARAM!$C$27)*$I$5+(MOD($B752,60)=PARAM!$B$56)*($B752&gt;(60-PARAM!$B$56))*HLOOKUP(($B752+PARAM!$B$56)/12,Loyalty,2)*$F$1*MAX(N751,0)</f>
        <v>18.557001321003963</v>
      </c>
      <c r="M752" s="75">
        <f>PARAM!$C$26+MAX($G$5-CHOOSE(PARAM!$B$44,MAX(0,N751*$F$1),0),0)*RATES!$L728/12+$H$5*(PARAM!$D$51/12)*RATES!$N728/100</f>
        <v>688.54166666666663</v>
      </c>
      <c r="N752" s="16">
        <f t="shared" si="500"/>
        <v>-88091.74873315444</v>
      </c>
      <c r="O752" s="15">
        <f t="shared" si="501"/>
        <v>22.170849845882874</v>
      </c>
      <c r="P752" s="75">
        <f>O752*(1-PARAM!$C$27)*$I$6+(MOD($B752,60)=PARAM!$B$56)*($B752&gt;(60-PARAM!$B$56))*HLOOKUP(($B752+PARAM!$B$56)/12,Loyalty,2)*$F$1*MAX(R751,0)</f>
        <v>18.557001321003963</v>
      </c>
      <c r="Q752" s="75">
        <f>PARAM!$C$26+MAX($G$6-CHOOSE(PARAM!$B$44,MAX(0,R751*$F$1),0),0)*RATES!$L728/12+$H$6*(PARAM!$D$51/12)*RATES!$N728/100</f>
        <v>688.54166666666663</v>
      </c>
      <c r="R752" s="16">
        <f t="shared" si="502"/>
        <v>-88091.74873315444</v>
      </c>
      <c r="S752" s="15">
        <f t="shared" si="477"/>
        <v>22.170849845882874</v>
      </c>
      <c r="T752" s="75">
        <f>S752*(1-PARAM!$C$27)*$I$7+(MOD($B752,60)=PARAM!$B$56)*($B752&gt;(60-PARAM!$B$56))*HLOOKUP(($B752+PARAM!$B$56)/12,Loyalty,2)*$F$1*MAX(V751,0)</f>
        <v>18.557001321003963</v>
      </c>
      <c r="U752" s="75">
        <f>PARAM!$C$26+MAX($G$7-CHOOSE(PARAM!$B$44,MAX(0,V751*$F$1),0),0)*RATES!$L728/12+$H$7*(PARAM!$D$51/12)*RATES!$N728/100</f>
        <v>688.54166666666663</v>
      </c>
      <c r="V752" s="16">
        <f t="shared" si="503"/>
        <v>-88091.74873315444</v>
      </c>
      <c r="W752" s="15">
        <f t="shared" si="478"/>
        <v>22.170849845882874</v>
      </c>
      <c r="X752" s="75">
        <f>W752*(1-PARAM!$C$27)*$I$8+(MOD($B752,60)=PARAM!$B$56)*($B752&gt;(60-PARAM!$B$56))*HLOOKUP(($B752+PARAM!$B$56)/12,Loyalty,2)*$F$1*MAX(Z751,0)</f>
        <v>18.557001321003963</v>
      </c>
      <c r="Y752" s="75">
        <f>PARAM!$C$26+MAX($G$8-CHOOSE(PARAM!$B$44,MAX(0,Z751*$F$1),0),0)*RATES!$L728/12+$H$8*(PARAM!$D$51/12)*RATES!$N728/100</f>
        <v>688.54166666666663</v>
      </c>
      <c r="Z752" s="16">
        <f t="shared" si="504"/>
        <v>-88091.74873315444</v>
      </c>
      <c r="AA752" s="15">
        <f t="shared" si="479"/>
        <v>22.170849845882874</v>
      </c>
      <c r="AB752" s="75">
        <f>AA752*(1-PARAM!$C$27)*$I$9+(MOD($B752,60)=PARAM!$B$56)*($B752&gt;(60-PARAM!$B$56))*HLOOKUP(($B752+PARAM!$B$56)/12,Loyalty,2)*$F$1*MAX(AD751,0)</f>
        <v>18.557001321003963</v>
      </c>
      <c r="AC752" s="75">
        <f>PARAM!$C$26+MAX($G$9-CHOOSE(PARAM!$B$44,MAX(0,AD751*$F$1),0),0)*RATES!$L728/12+$H$9*(PARAM!$D$51/12)*RATES!$N728/100</f>
        <v>688.54166666666663</v>
      </c>
      <c r="AD752" s="16">
        <f t="shared" si="505"/>
        <v>-88091.74873315444</v>
      </c>
      <c r="AE752" s="15">
        <f t="shared" si="480"/>
        <v>22.170849845882874</v>
      </c>
      <c r="AF752" s="75">
        <f>AE752*(1-PARAM!$C$27)*$I$10+(MOD($B752,60)=PARAM!$B$56)*($B752&gt;(60-PARAM!$B$56))*HLOOKUP(($B752+PARAM!$B$56)/12,Loyalty,2)*$F$1*MAX(AH751,0)</f>
        <v>18.557001321003963</v>
      </c>
      <c r="AG752" s="75">
        <f>PARAM!$C$26+MAX($G$10-CHOOSE(PARAM!$B$44,MAX(0,AH751*$F$1),0),0)*RATES!$L728/12+$H$10*(PARAM!$D$51/12)*RATES!$N728/100</f>
        <v>688.54166666666663</v>
      </c>
      <c r="AH752" s="16">
        <f t="shared" si="506"/>
        <v>-88091.74873315444</v>
      </c>
      <c r="AI752" s="15">
        <f t="shared" si="481"/>
        <v>22.170849845882874</v>
      </c>
      <c r="AJ752" s="75">
        <f>AI752*(1-PARAM!$C$27)*$I$11+(MOD($B752,60)=PARAM!$B$56)*($B752&gt;(60-PARAM!$B$56))*HLOOKUP(($B752+PARAM!$B$56)/12,Loyalty,2)*$F$1*MAX(AL751,0)</f>
        <v>18.557001321003963</v>
      </c>
      <c r="AK752" s="75">
        <f>PARAM!$C$26+MAX($G$11-CHOOSE(PARAM!$B$44,MAX(0,AL751*$F$1),0),0)*RATES!$L728/12+$H$11*(PARAM!$D$51/12)*RATES!$N728/100</f>
        <v>688.54166666666663</v>
      </c>
      <c r="AL752" s="16">
        <f t="shared" si="507"/>
        <v>-88091.74873315444</v>
      </c>
      <c r="AM752" s="15">
        <f t="shared" si="482"/>
        <v>22.170849845882874</v>
      </c>
      <c r="AN752" s="75">
        <f>AM752*(1-PARAM!$C$27)*$I$12+(MOD($B752,60)=PARAM!$B$56)*($B752&gt;(60-PARAM!$B$56))*HLOOKUP(($B752+PARAM!$B$56)/12,Loyalty,2)*$F$1*MAX(AP751,0)</f>
        <v>18.557001321003963</v>
      </c>
      <c r="AO752" s="75">
        <f>PARAM!$C$26+MAX($G$12-CHOOSE(PARAM!$B$44,MAX(0,AP751*$F$1),0),0)*RATES!$L728/12+$H$12*(PARAM!$D$51/12)*RATES!$N728/100</f>
        <v>688.54166666666663</v>
      </c>
      <c r="AP752" s="16">
        <f t="shared" si="508"/>
        <v>-88091.74873315444</v>
      </c>
      <c r="AQ752" s="15">
        <f t="shared" si="483"/>
        <v>22.170849845882874</v>
      </c>
      <c r="AR752" s="75">
        <f>AQ752*(1-PARAM!$C$27)*$I$13+(MOD($B752,60)=PARAM!$B$56)*($B752&gt;(60-PARAM!$B$56))*HLOOKUP(($B752+PARAM!$B$56)/12,Loyalty,2)*$F$1*MAX(AT751,0)</f>
        <v>18.557001321003963</v>
      </c>
      <c r="AS752" s="75">
        <f>PARAM!$C$26+MAX($G$13-CHOOSE(PARAM!$B$44,MAX(0,AT751*$F$1),0),0)*RATES!$L728/12+$H$13*(PARAM!$D$51/12)*RATES!$N728/100</f>
        <v>688.54166666666663</v>
      </c>
      <c r="AT752" s="16">
        <f t="shared" si="509"/>
        <v>-88091.74873315444</v>
      </c>
      <c r="AU752" s="15">
        <f t="shared" si="484"/>
        <v>22.170849845882874</v>
      </c>
      <c r="AV752" s="75">
        <f>AU752*(1-PARAM!$C$27)*$I$14+(MOD($B752,60)=PARAM!$B$56)*($B752&gt;(60-PARAM!$B$56))*HLOOKUP(($B752+PARAM!$B$56)/12,Loyalty,2)*$F$1*MAX(AX751,0)</f>
        <v>18.557001321003963</v>
      </c>
      <c r="AW752" s="75">
        <f>PARAM!$C$26+MAX($G$14-CHOOSE(PARAM!$B$44,MAX(0,AX751*$F$1),0),0)*RATES!$L728/12+$H$14*(PARAM!$D$51/12)*RATES!$N728/100</f>
        <v>688.54166666666663</v>
      </c>
      <c r="AX752" s="16">
        <f t="shared" si="510"/>
        <v>-88091.74873315444</v>
      </c>
      <c r="AY752" s="15">
        <f t="shared" si="485"/>
        <v>22.170849845882874</v>
      </c>
      <c r="AZ752" s="75">
        <f>AY752*(1-PARAM!$C$27)*$I$15+(MOD($B752,60)=PARAM!$B$56)*($B752&gt;(60-PARAM!$B$56))*HLOOKUP(($B752+PARAM!$B$56)/12,Loyalty,2)*$F$1*MAX(BB751,0)</f>
        <v>18.557001321003963</v>
      </c>
      <c r="BA752" s="75">
        <f>PARAM!$C$26+MAX($G$15-CHOOSE(PARAM!$B$44,MAX(0,BB751*$F$1),0),0)*RATES!$L728/12+$H$15*(PARAM!$D$51/12)*RATES!$N728/100</f>
        <v>688.54166666666663</v>
      </c>
      <c r="BB752" s="16">
        <f t="shared" si="511"/>
        <v>-88091.74873315444</v>
      </c>
      <c r="BC752" s="15">
        <f t="shared" si="486"/>
        <v>22.170849845882874</v>
      </c>
      <c r="BD752" s="75">
        <f>BC752*(1-PARAM!$C$27)*$I$16+(MOD($B752,60)=PARAM!$B$56)*($B752&gt;(60-PARAM!$B$56))*HLOOKUP(($B752+PARAM!$B$56)/12,Loyalty,2)*$F$1*MAX(BF751,0)</f>
        <v>18.557001321003963</v>
      </c>
      <c r="BE752" s="75">
        <f>PARAM!$C$26+MAX($G$16-CHOOSE(PARAM!$B$44,MAX(0,BF751*$F$1),0),0)*RATES!$L728/12+$H$16*(PARAM!$D$51/12)*RATES!$N728/100</f>
        <v>688.54166666666663</v>
      </c>
      <c r="BF752" s="16">
        <f t="shared" si="512"/>
        <v>-88091.74873315444</v>
      </c>
      <c r="BG752" s="15">
        <f t="shared" si="487"/>
        <v>22.170849845882874</v>
      </c>
      <c r="BH752" s="75">
        <f>BG752*(1-PARAM!$C$27)*$I$17+(MOD($B752,60)=PARAM!$B$56)*($B752&gt;(60-PARAM!$B$56))*HLOOKUP(($B752+PARAM!$B$56)/12,Loyalty,2)*$F$1*MAX(BJ751,0)</f>
        <v>18.557001321003963</v>
      </c>
      <c r="BI752" s="75">
        <f>PARAM!$C$26+MAX($G$17-CHOOSE(PARAM!$B$44,MAX(0,BJ751*$F$1),0),0)*RATES!$L728/12+$H$17*(PARAM!$D$51/12)*RATES!$N728/100</f>
        <v>688.54166666666663</v>
      </c>
      <c r="BJ752" s="16">
        <f t="shared" si="513"/>
        <v>-88091.74873315444</v>
      </c>
      <c r="BK752" s="15">
        <f t="shared" si="488"/>
        <v>22.170849845882874</v>
      </c>
      <c r="BL752" s="75">
        <f>BK752*(1-PARAM!$C$27)*$I$18+(MOD($B752,60)=PARAM!$B$56)*($B752&gt;(60-PARAM!$B$56))*HLOOKUP(($B752+PARAM!$B$56)/12,Loyalty,2)*$F$1*MAX(BN751,0)</f>
        <v>18.557001321003963</v>
      </c>
      <c r="BM752" s="75">
        <f>PARAM!$C$26+MAX($G$18-CHOOSE(PARAM!$B$44,MAX(0,BN751*$F$1),0),0)*RATES!$L728/12+$H$18*(PARAM!$D$51/12)*RATES!$N728/100</f>
        <v>688.54166666666663</v>
      </c>
      <c r="BN752" s="16">
        <f t="shared" si="514"/>
        <v>-88091.74873315444</v>
      </c>
      <c r="BO752" s="15">
        <f t="shared" si="489"/>
        <v>22.170849845882874</v>
      </c>
      <c r="BP752" s="75">
        <f>BO752*(1-PARAM!$C$27)*$I$19+(MOD($B752,60)=PARAM!$B$56)*($B752&gt;(60-PARAM!$B$56))*HLOOKUP(($B752+PARAM!$B$56)/12,Loyalty,2)*$F$1*MAX(BR751,0)</f>
        <v>18.557001321003963</v>
      </c>
      <c r="BQ752" s="75">
        <f>PARAM!$C$26+MAX($G$19-CHOOSE(PARAM!$B$44,MAX(0,BR751*$F$1),0),0)*RATES!$L728/12+$H$19*(PARAM!$D$51/12)*RATES!$N728/100</f>
        <v>688.54166666666663</v>
      </c>
      <c r="BR752" s="16">
        <f t="shared" si="515"/>
        <v>-88091.74873315444</v>
      </c>
      <c r="BS752" s="15">
        <f t="shared" si="490"/>
        <v>22.170849845882874</v>
      </c>
      <c r="BT752" s="75">
        <f>BS752*(1-PARAM!$C$27)*$I$20+(MOD($B752,60)=PARAM!$B$56)*($B752&gt;(60-PARAM!$B$56))*HLOOKUP(($B752+PARAM!$B$56)/12,Loyalty,2)*$F$1*MAX(BV751,0)</f>
        <v>18.557001321003963</v>
      </c>
      <c r="BU752" s="75">
        <f>PARAM!$C$26+MAX($G$20-CHOOSE(PARAM!$B$44,MAX(0,BV751*$F$1),0),0)*RATES!$L728/12+$H$20*(PARAM!$D$51/12)*RATES!$N728/100</f>
        <v>688.54166666666663</v>
      </c>
      <c r="BV752" s="16">
        <f t="shared" si="516"/>
        <v>-88091.74873315444</v>
      </c>
      <c r="BW752" s="15">
        <f t="shared" si="491"/>
        <v>22.170849845882874</v>
      </c>
      <c r="BX752" s="75">
        <f>BW752*(1-PARAM!$C$27)*$I$21+(MOD($B752,60)=PARAM!$B$56)*($B752&gt;(60-PARAM!$B$56))*HLOOKUP(($B752+PARAM!$B$56)/12,Loyalty,2)*$F$1*MAX(BZ751,0)</f>
        <v>18.557001321003963</v>
      </c>
      <c r="BY752" s="75">
        <f>PARAM!$C$26+MAX($G$21-CHOOSE(PARAM!$B$44,MAX(0,BZ751*$F$1),0),0)*RATES!$L728/12+$H$21*(PARAM!$D$51/12)*RATES!$N728/100</f>
        <v>688.54166666666663</v>
      </c>
      <c r="BZ752" s="16">
        <f t="shared" si="517"/>
        <v>-88091.74873315444</v>
      </c>
      <c r="CA752" s="15">
        <f t="shared" si="492"/>
        <v>22.170849845882874</v>
      </c>
      <c r="CB752" s="75">
        <f>CA752*(1-PARAM!$C$27)*$I$22+(MOD($B752,60)=PARAM!$B$56)*($B752&gt;(60-PARAM!$B$56))*HLOOKUP(($B752+PARAM!$B$56)/12,Loyalty,2)*$F$1*MAX(CD751,0)</f>
        <v>18.557001321003963</v>
      </c>
      <c r="CC752" s="75">
        <f>PARAM!$C$26+MAX($G$22-CHOOSE(PARAM!$B$44,MAX(0,CD751*$F$1),0),0)*RATES!$L728/12+$H$22*(PARAM!$D$51/12)*RATES!$N728/100</f>
        <v>688.54166666666663</v>
      </c>
      <c r="CD752" s="16">
        <f t="shared" si="518"/>
        <v>-88091.74873315444</v>
      </c>
      <c r="CE752" s="33">
        <f>IF(0=MOD(B752,12/PARAM!$D$51),1,0)</f>
        <v>1</v>
      </c>
      <c r="CF752" s="15">
        <f t="shared" si="493"/>
        <v>0</v>
      </c>
      <c r="CG752" s="75">
        <f>CF752*(1-PARAM!$C$27)*$R$3+(MOD($B752/12,5)=0)*($B752&gt;60)*HLOOKUP($B752/12,Loyalty,2)*$F$1*MAX(CI751,0)</f>
        <v>0</v>
      </c>
      <c r="CH752" s="75">
        <f>PARAM!$C$26+MAX($P$3-CHOOSE(PARAM!$B$44,MAX(0,CI751*$F$1),0),0)*RATES!$L728/12+$Q$3*(PARAM!$D$51/12)*RATES!$N728/100</f>
        <v>688.54166666666663</v>
      </c>
      <c r="CI752" s="16">
        <f>IF(CI751&gt;0,CI751*PARAM!$C$53,CI751)+CG752-CH752</f>
        <v>-101426.00000000029</v>
      </c>
      <c r="CJ752" s="15">
        <f t="shared" si="519"/>
        <v>0</v>
      </c>
      <c r="CK752" s="75">
        <f>CJ752*(1-PARAM!$C$27)*$R$4+(MOD($B752/12,5)=0)*($B752&gt;60)*HLOOKUP($B752/12,Loyalty,2)*$F$1*MAX(CM751,0)</f>
        <v>0</v>
      </c>
      <c r="CL752" s="75">
        <f>PARAM!$C$26+MAX($P$4-CHOOSE(PARAM!$B$44,MAX(0,CM751*$F$1),0),0)*RATES!$L728/12+$Q$4*(PARAM!$D$51/12)*RATES!$N728/100</f>
        <v>688.54166666666663</v>
      </c>
      <c r="CM752" s="16">
        <f>IF(CM751&gt;0,CM751*PARAM!$C$53,CM751)+CK752-CL752</f>
        <v>-101426.00000000029</v>
      </c>
      <c r="CO752" s="176"/>
    </row>
    <row r="753" spans="1:93" x14ac:dyDescent="0.2">
      <c r="A753" t="b">
        <f t="shared" si="494"/>
        <v>0</v>
      </c>
      <c r="B753" s="33">
        <v>726</v>
      </c>
      <c r="C753" s="15">
        <f t="shared" si="495"/>
        <v>20.081305947392778</v>
      </c>
      <c r="D753" s="75">
        <f>C753*(1-PARAM!$C$27)*$I$3+(MOD($B753,60)=PARAM!$B$56)*($B753&gt;(60-PARAM!$B$56))*HLOOKUP(($B753+PARAM!$B$56)/12,Loyalty,2)*$F$1*MAX(F752,0)</f>
        <v>16.808053077967756</v>
      </c>
      <c r="E753" s="75">
        <f>PARAM!$C$26+MAX($G$3-CHOOSE(PARAM!$B$44,MAX(0,F752*$F$1),0),0)*RATES!$L729/12+$H$3*(PARAM!$D$51/12)*RATES!$N729/100</f>
        <v>741.58333333333337</v>
      </c>
      <c r="F753" s="16">
        <f t="shared" si="496"/>
        <v>-90121.361990132515</v>
      </c>
      <c r="G753" s="15">
        <f t="shared" si="497"/>
        <v>22.035289406060361</v>
      </c>
      <c r="H753" s="75">
        <f>G753*(1-PARAM!$C$27)*$I$4+(MOD($B753,60)=PARAM!$B$56)*($B753&gt;(60-PARAM!$B$56))*HLOOKUP(($B753+PARAM!$B$56)/12,Loyalty,2)*$F$1*MAX(J752,0)</f>
        <v>18.443537232872522</v>
      </c>
      <c r="I753" s="75">
        <f>PARAM!$C$26+MAX($G$4-CHOOSE(PARAM!$B$44,MAX(0,J752*$F$1),0),0)*RATES!$L729/12+$H$4*(PARAM!$D$51/12)*RATES!$N729/100</f>
        <v>741.58333333333337</v>
      </c>
      <c r="J753" s="16">
        <f t="shared" si="498"/>
        <v>-88900.167529549915</v>
      </c>
      <c r="K753" s="15">
        <f t="shared" si="499"/>
        <v>22.170849845882874</v>
      </c>
      <c r="L753" s="75">
        <f>K753*(1-PARAM!$C$27)*$I$5+(MOD($B753,60)=PARAM!$B$56)*($B753&gt;(60-PARAM!$B$56))*HLOOKUP(($B753+PARAM!$B$56)/12,Loyalty,2)*$F$1*MAX(N752,0)</f>
        <v>18.557001321003963</v>
      </c>
      <c r="M753" s="75">
        <f>PARAM!$C$26+MAX($G$5-CHOOSE(PARAM!$B$44,MAX(0,N752*$F$1),0),0)*RATES!$L729/12+$H$5*(PARAM!$D$51/12)*RATES!$N729/100</f>
        <v>741.58333333333337</v>
      </c>
      <c r="N753" s="16">
        <f t="shared" si="500"/>
        <v>-88814.775065166759</v>
      </c>
      <c r="O753" s="15">
        <f t="shared" si="501"/>
        <v>22.170849845882874</v>
      </c>
      <c r="P753" s="75">
        <f>O753*(1-PARAM!$C$27)*$I$6+(MOD($B753,60)=PARAM!$B$56)*($B753&gt;(60-PARAM!$B$56))*HLOOKUP(($B753+PARAM!$B$56)/12,Loyalty,2)*$F$1*MAX(R752,0)</f>
        <v>18.557001321003963</v>
      </c>
      <c r="Q753" s="75">
        <f>PARAM!$C$26+MAX($G$6-CHOOSE(PARAM!$B$44,MAX(0,R752*$F$1),0),0)*RATES!$L729/12+$H$6*(PARAM!$D$51/12)*RATES!$N729/100</f>
        <v>741.58333333333337</v>
      </c>
      <c r="R753" s="16">
        <f t="shared" si="502"/>
        <v>-88814.775065166759</v>
      </c>
      <c r="S753" s="15">
        <f t="shared" si="477"/>
        <v>22.170849845882874</v>
      </c>
      <c r="T753" s="75">
        <f>S753*(1-PARAM!$C$27)*$I$7+(MOD($B753,60)=PARAM!$B$56)*($B753&gt;(60-PARAM!$B$56))*HLOOKUP(($B753+PARAM!$B$56)/12,Loyalty,2)*$F$1*MAX(V752,0)</f>
        <v>18.557001321003963</v>
      </c>
      <c r="U753" s="75">
        <f>PARAM!$C$26+MAX($G$7-CHOOSE(PARAM!$B$44,MAX(0,V752*$F$1),0),0)*RATES!$L729/12+$H$7*(PARAM!$D$51/12)*RATES!$N729/100</f>
        <v>741.58333333333337</v>
      </c>
      <c r="V753" s="16">
        <f t="shared" si="503"/>
        <v>-88814.775065166759</v>
      </c>
      <c r="W753" s="15">
        <f t="shared" si="478"/>
        <v>22.170849845882874</v>
      </c>
      <c r="X753" s="75">
        <f>W753*(1-PARAM!$C$27)*$I$8+(MOD($B753,60)=PARAM!$B$56)*($B753&gt;(60-PARAM!$B$56))*HLOOKUP(($B753+PARAM!$B$56)/12,Loyalty,2)*$F$1*MAX(Z752,0)</f>
        <v>18.557001321003963</v>
      </c>
      <c r="Y753" s="75">
        <f>PARAM!$C$26+MAX($G$8-CHOOSE(PARAM!$B$44,MAX(0,Z752*$F$1),0),0)*RATES!$L729/12+$H$8*(PARAM!$D$51/12)*RATES!$N729/100</f>
        <v>741.58333333333337</v>
      </c>
      <c r="Z753" s="16">
        <f t="shared" si="504"/>
        <v>-88814.775065166759</v>
      </c>
      <c r="AA753" s="15">
        <f t="shared" si="479"/>
        <v>22.170849845882874</v>
      </c>
      <c r="AB753" s="75">
        <f>AA753*(1-PARAM!$C$27)*$I$9+(MOD($B753,60)=PARAM!$B$56)*($B753&gt;(60-PARAM!$B$56))*HLOOKUP(($B753+PARAM!$B$56)/12,Loyalty,2)*$F$1*MAX(AD752,0)</f>
        <v>18.557001321003963</v>
      </c>
      <c r="AC753" s="75">
        <f>PARAM!$C$26+MAX($G$9-CHOOSE(PARAM!$B$44,MAX(0,AD752*$F$1),0),0)*RATES!$L729/12+$H$9*(PARAM!$D$51/12)*RATES!$N729/100</f>
        <v>741.58333333333337</v>
      </c>
      <c r="AD753" s="16">
        <f t="shared" si="505"/>
        <v>-88814.775065166759</v>
      </c>
      <c r="AE753" s="15">
        <f t="shared" si="480"/>
        <v>22.170849845882874</v>
      </c>
      <c r="AF753" s="75">
        <f>AE753*(1-PARAM!$C$27)*$I$10+(MOD($B753,60)=PARAM!$B$56)*($B753&gt;(60-PARAM!$B$56))*HLOOKUP(($B753+PARAM!$B$56)/12,Loyalty,2)*$F$1*MAX(AH752,0)</f>
        <v>18.557001321003963</v>
      </c>
      <c r="AG753" s="75">
        <f>PARAM!$C$26+MAX($G$10-CHOOSE(PARAM!$B$44,MAX(0,AH752*$F$1),0),0)*RATES!$L729/12+$H$10*(PARAM!$D$51/12)*RATES!$N729/100</f>
        <v>741.58333333333337</v>
      </c>
      <c r="AH753" s="16">
        <f t="shared" si="506"/>
        <v>-88814.775065166759</v>
      </c>
      <c r="AI753" s="15">
        <f t="shared" si="481"/>
        <v>22.170849845882874</v>
      </c>
      <c r="AJ753" s="75">
        <f>AI753*(1-PARAM!$C$27)*$I$11+(MOD($B753,60)=PARAM!$B$56)*($B753&gt;(60-PARAM!$B$56))*HLOOKUP(($B753+PARAM!$B$56)/12,Loyalty,2)*$F$1*MAX(AL752,0)</f>
        <v>18.557001321003963</v>
      </c>
      <c r="AK753" s="75">
        <f>PARAM!$C$26+MAX($G$11-CHOOSE(PARAM!$B$44,MAX(0,AL752*$F$1),0),0)*RATES!$L729/12+$H$11*(PARAM!$D$51/12)*RATES!$N729/100</f>
        <v>741.58333333333337</v>
      </c>
      <c r="AL753" s="16">
        <f t="shared" si="507"/>
        <v>-88814.775065166759</v>
      </c>
      <c r="AM753" s="15">
        <f t="shared" si="482"/>
        <v>22.170849845882874</v>
      </c>
      <c r="AN753" s="75">
        <f>AM753*(1-PARAM!$C$27)*$I$12+(MOD($B753,60)=PARAM!$B$56)*($B753&gt;(60-PARAM!$B$56))*HLOOKUP(($B753+PARAM!$B$56)/12,Loyalty,2)*$F$1*MAX(AP752,0)</f>
        <v>18.557001321003963</v>
      </c>
      <c r="AO753" s="75">
        <f>PARAM!$C$26+MAX($G$12-CHOOSE(PARAM!$B$44,MAX(0,AP752*$F$1),0),0)*RATES!$L729/12+$H$12*(PARAM!$D$51/12)*RATES!$N729/100</f>
        <v>741.58333333333337</v>
      </c>
      <c r="AP753" s="16">
        <f t="shared" si="508"/>
        <v>-88814.775065166759</v>
      </c>
      <c r="AQ753" s="15">
        <f t="shared" si="483"/>
        <v>22.170849845882874</v>
      </c>
      <c r="AR753" s="75">
        <f>AQ753*(1-PARAM!$C$27)*$I$13+(MOD($B753,60)=PARAM!$B$56)*($B753&gt;(60-PARAM!$B$56))*HLOOKUP(($B753+PARAM!$B$56)/12,Loyalty,2)*$F$1*MAX(AT752,0)</f>
        <v>18.557001321003963</v>
      </c>
      <c r="AS753" s="75">
        <f>PARAM!$C$26+MAX($G$13-CHOOSE(PARAM!$B$44,MAX(0,AT752*$F$1),0),0)*RATES!$L729/12+$H$13*(PARAM!$D$51/12)*RATES!$N729/100</f>
        <v>741.58333333333337</v>
      </c>
      <c r="AT753" s="16">
        <f t="shared" si="509"/>
        <v>-88814.775065166759</v>
      </c>
      <c r="AU753" s="15">
        <f t="shared" si="484"/>
        <v>22.170849845882874</v>
      </c>
      <c r="AV753" s="75">
        <f>AU753*(1-PARAM!$C$27)*$I$14+(MOD($B753,60)=PARAM!$B$56)*($B753&gt;(60-PARAM!$B$56))*HLOOKUP(($B753+PARAM!$B$56)/12,Loyalty,2)*$F$1*MAX(AX752,0)</f>
        <v>18.557001321003963</v>
      </c>
      <c r="AW753" s="75">
        <f>PARAM!$C$26+MAX($G$14-CHOOSE(PARAM!$B$44,MAX(0,AX752*$F$1),0),0)*RATES!$L729/12+$H$14*(PARAM!$D$51/12)*RATES!$N729/100</f>
        <v>741.58333333333337</v>
      </c>
      <c r="AX753" s="16">
        <f t="shared" si="510"/>
        <v>-88814.775065166759</v>
      </c>
      <c r="AY753" s="15">
        <f t="shared" si="485"/>
        <v>22.170849845882874</v>
      </c>
      <c r="AZ753" s="75">
        <f>AY753*(1-PARAM!$C$27)*$I$15+(MOD($B753,60)=PARAM!$B$56)*($B753&gt;(60-PARAM!$B$56))*HLOOKUP(($B753+PARAM!$B$56)/12,Loyalty,2)*$F$1*MAX(BB752,0)</f>
        <v>18.557001321003963</v>
      </c>
      <c r="BA753" s="75">
        <f>PARAM!$C$26+MAX($G$15-CHOOSE(PARAM!$B$44,MAX(0,BB752*$F$1),0),0)*RATES!$L729/12+$H$15*(PARAM!$D$51/12)*RATES!$N729/100</f>
        <v>741.58333333333337</v>
      </c>
      <c r="BB753" s="16">
        <f t="shared" si="511"/>
        <v>-88814.775065166759</v>
      </c>
      <c r="BC753" s="15">
        <f t="shared" si="486"/>
        <v>22.170849845882874</v>
      </c>
      <c r="BD753" s="75">
        <f>BC753*(1-PARAM!$C$27)*$I$16+(MOD($B753,60)=PARAM!$B$56)*($B753&gt;(60-PARAM!$B$56))*HLOOKUP(($B753+PARAM!$B$56)/12,Loyalty,2)*$F$1*MAX(BF752,0)</f>
        <v>18.557001321003963</v>
      </c>
      <c r="BE753" s="75">
        <f>PARAM!$C$26+MAX($G$16-CHOOSE(PARAM!$B$44,MAX(0,BF752*$F$1),0),0)*RATES!$L729/12+$H$16*(PARAM!$D$51/12)*RATES!$N729/100</f>
        <v>741.58333333333337</v>
      </c>
      <c r="BF753" s="16">
        <f t="shared" si="512"/>
        <v>-88814.775065166759</v>
      </c>
      <c r="BG753" s="15">
        <f t="shared" si="487"/>
        <v>22.170849845882874</v>
      </c>
      <c r="BH753" s="75">
        <f>BG753*(1-PARAM!$C$27)*$I$17+(MOD($B753,60)=PARAM!$B$56)*($B753&gt;(60-PARAM!$B$56))*HLOOKUP(($B753+PARAM!$B$56)/12,Loyalty,2)*$F$1*MAX(BJ752,0)</f>
        <v>18.557001321003963</v>
      </c>
      <c r="BI753" s="75">
        <f>PARAM!$C$26+MAX($G$17-CHOOSE(PARAM!$B$44,MAX(0,BJ752*$F$1),0),0)*RATES!$L729/12+$H$17*(PARAM!$D$51/12)*RATES!$N729/100</f>
        <v>741.58333333333337</v>
      </c>
      <c r="BJ753" s="16">
        <f t="shared" si="513"/>
        <v>-88814.775065166759</v>
      </c>
      <c r="BK753" s="15">
        <f t="shared" si="488"/>
        <v>22.170849845882874</v>
      </c>
      <c r="BL753" s="75">
        <f>BK753*(1-PARAM!$C$27)*$I$18+(MOD($B753,60)=PARAM!$B$56)*($B753&gt;(60-PARAM!$B$56))*HLOOKUP(($B753+PARAM!$B$56)/12,Loyalty,2)*$F$1*MAX(BN752,0)</f>
        <v>18.557001321003963</v>
      </c>
      <c r="BM753" s="75">
        <f>PARAM!$C$26+MAX($G$18-CHOOSE(PARAM!$B$44,MAX(0,BN752*$F$1),0),0)*RATES!$L729/12+$H$18*(PARAM!$D$51/12)*RATES!$N729/100</f>
        <v>741.58333333333337</v>
      </c>
      <c r="BN753" s="16">
        <f t="shared" si="514"/>
        <v>-88814.775065166759</v>
      </c>
      <c r="BO753" s="15">
        <f t="shared" si="489"/>
        <v>22.170849845882874</v>
      </c>
      <c r="BP753" s="75">
        <f>BO753*(1-PARAM!$C$27)*$I$19+(MOD($B753,60)=PARAM!$B$56)*($B753&gt;(60-PARAM!$B$56))*HLOOKUP(($B753+PARAM!$B$56)/12,Loyalty,2)*$F$1*MAX(BR752,0)</f>
        <v>18.557001321003963</v>
      </c>
      <c r="BQ753" s="75">
        <f>PARAM!$C$26+MAX($G$19-CHOOSE(PARAM!$B$44,MAX(0,BR752*$F$1),0),0)*RATES!$L729/12+$H$19*(PARAM!$D$51/12)*RATES!$N729/100</f>
        <v>741.58333333333337</v>
      </c>
      <c r="BR753" s="16">
        <f t="shared" si="515"/>
        <v>-88814.775065166759</v>
      </c>
      <c r="BS753" s="15">
        <f t="shared" si="490"/>
        <v>22.170849845882874</v>
      </c>
      <c r="BT753" s="75">
        <f>BS753*(1-PARAM!$C$27)*$I$20+(MOD($B753,60)=PARAM!$B$56)*($B753&gt;(60-PARAM!$B$56))*HLOOKUP(($B753+PARAM!$B$56)/12,Loyalty,2)*$F$1*MAX(BV752,0)</f>
        <v>18.557001321003963</v>
      </c>
      <c r="BU753" s="75">
        <f>PARAM!$C$26+MAX($G$20-CHOOSE(PARAM!$B$44,MAX(0,BV752*$F$1),0),0)*RATES!$L729/12+$H$20*(PARAM!$D$51/12)*RATES!$N729/100</f>
        <v>741.58333333333337</v>
      </c>
      <c r="BV753" s="16">
        <f t="shared" si="516"/>
        <v>-88814.775065166759</v>
      </c>
      <c r="BW753" s="15">
        <f t="shared" si="491"/>
        <v>22.170849845882874</v>
      </c>
      <c r="BX753" s="75">
        <f>BW753*(1-PARAM!$C$27)*$I$21+(MOD($B753,60)=PARAM!$B$56)*($B753&gt;(60-PARAM!$B$56))*HLOOKUP(($B753+PARAM!$B$56)/12,Loyalty,2)*$F$1*MAX(BZ752,0)</f>
        <v>18.557001321003963</v>
      </c>
      <c r="BY753" s="75">
        <f>PARAM!$C$26+MAX($G$21-CHOOSE(PARAM!$B$44,MAX(0,BZ752*$F$1),0),0)*RATES!$L729/12+$H$21*(PARAM!$D$51/12)*RATES!$N729/100</f>
        <v>741.58333333333337</v>
      </c>
      <c r="BZ753" s="16">
        <f t="shared" si="517"/>
        <v>-88814.775065166759</v>
      </c>
      <c r="CA753" s="15">
        <f t="shared" si="492"/>
        <v>22.170849845882874</v>
      </c>
      <c r="CB753" s="75">
        <f>CA753*(1-PARAM!$C$27)*$I$22+(MOD($B753,60)=PARAM!$B$56)*($B753&gt;(60-PARAM!$B$56))*HLOOKUP(($B753+PARAM!$B$56)/12,Loyalty,2)*$F$1*MAX(CD752,0)</f>
        <v>18.557001321003963</v>
      </c>
      <c r="CC753" s="75">
        <f>PARAM!$C$26+MAX($G$22-CHOOSE(PARAM!$B$44,MAX(0,CD752*$F$1),0),0)*RATES!$L729/12+$H$22*(PARAM!$D$51/12)*RATES!$N729/100</f>
        <v>741.58333333333337</v>
      </c>
      <c r="CD753" s="16">
        <f t="shared" si="518"/>
        <v>-88814.775065166759</v>
      </c>
      <c r="CE753" s="33">
        <f>IF(0=MOD(B753,12/PARAM!$D$51),1,0)</f>
        <v>1</v>
      </c>
      <c r="CF753" s="15">
        <f t="shared" si="493"/>
        <v>0</v>
      </c>
      <c r="CG753" s="75">
        <f>CF753*(1-PARAM!$C$27)*$R$3+(MOD($B753/12,5)=0)*($B753&gt;60)*HLOOKUP($B753/12,Loyalty,2)*$F$1*MAX(CI752,0)</f>
        <v>0</v>
      </c>
      <c r="CH753" s="75">
        <f>PARAM!$C$26+MAX($P$3-CHOOSE(PARAM!$B$44,MAX(0,CI752*$F$1),0),0)*RATES!$L729/12+$Q$3*(PARAM!$D$51/12)*RATES!$N729/100</f>
        <v>741.58333333333337</v>
      </c>
      <c r="CI753" s="16">
        <f>IF(CI752&gt;0,CI752*PARAM!$C$53,CI752)+CG753-CH753</f>
        <v>-102167.58333333362</v>
      </c>
      <c r="CJ753" s="15">
        <f t="shared" si="519"/>
        <v>0</v>
      </c>
      <c r="CK753" s="75">
        <f>CJ753*(1-PARAM!$C$27)*$R$4+(MOD($B753/12,5)=0)*($B753&gt;60)*HLOOKUP($B753/12,Loyalty,2)*$F$1*MAX(CM752,0)</f>
        <v>0</v>
      </c>
      <c r="CL753" s="75">
        <f>PARAM!$C$26+MAX($P$4-CHOOSE(PARAM!$B$44,MAX(0,CM752*$F$1),0),0)*RATES!$L729/12+$Q$4*(PARAM!$D$51/12)*RATES!$N729/100</f>
        <v>741.58333333333337</v>
      </c>
      <c r="CM753" s="16">
        <f>IF(CM752&gt;0,CM752*PARAM!$C$53,CM752)+CK753-CL753</f>
        <v>-102167.58333333362</v>
      </c>
      <c r="CO753" s="176"/>
    </row>
    <row r="754" spans="1:93" x14ac:dyDescent="0.2">
      <c r="A754" t="b">
        <f t="shared" si="494"/>
        <v>0</v>
      </c>
      <c r="B754" s="33">
        <v>727</v>
      </c>
      <c r="C754" s="15">
        <f t="shared" si="495"/>
        <v>20.081305947392778</v>
      </c>
      <c r="D754" s="75">
        <f>C754*(1-PARAM!$C$27)*$I$3+(MOD($B754,60)=PARAM!$B$56)*($B754&gt;(60-PARAM!$B$56))*HLOOKUP(($B754+PARAM!$B$56)/12,Loyalty,2)*$F$1*MAX(F753,0)</f>
        <v>16.808053077967756</v>
      </c>
      <c r="E754" s="75">
        <f>PARAM!$C$26+MAX($G$3-CHOOSE(PARAM!$B$44,MAX(0,F753*$F$1),0),0)*RATES!$L730/12+$H$3*(PARAM!$D$51/12)*RATES!$N730/100</f>
        <v>741.58333333333337</v>
      </c>
      <c r="F754" s="16">
        <f t="shared" si="496"/>
        <v>-90846.137270387873</v>
      </c>
      <c r="G754" s="15">
        <f t="shared" si="497"/>
        <v>22.035289406060361</v>
      </c>
      <c r="H754" s="75">
        <f>G754*(1-PARAM!$C$27)*$I$4+(MOD($B754,60)=PARAM!$B$56)*($B754&gt;(60-PARAM!$B$56))*HLOOKUP(($B754+PARAM!$B$56)/12,Loyalty,2)*$F$1*MAX(J753,0)</f>
        <v>18.443537232872522</v>
      </c>
      <c r="I754" s="75">
        <f>PARAM!$C$26+MAX($G$4-CHOOSE(PARAM!$B$44,MAX(0,J753*$F$1),0),0)*RATES!$L730/12+$H$4*(PARAM!$D$51/12)*RATES!$N730/100</f>
        <v>741.58333333333337</v>
      </c>
      <c r="J754" s="16">
        <f t="shared" si="498"/>
        <v>-89623.30732565037</v>
      </c>
      <c r="K754" s="15">
        <f t="shared" si="499"/>
        <v>22.170849845882874</v>
      </c>
      <c r="L754" s="75">
        <f>K754*(1-PARAM!$C$27)*$I$5+(MOD($B754,60)=PARAM!$B$56)*($B754&gt;(60-PARAM!$B$56))*HLOOKUP(($B754+PARAM!$B$56)/12,Loyalty,2)*$F$1*MAX(N753,0)</f>
        <v>18.557001321003963</v>
      </c>
      <c r="M754" s="75">
        <f>PARAM!$C$26+MAX($G$5-CHOOSE(PARAM!$B$44,MAX(0,N753*$F$1),0),0)*RATES!$L730/12+$H$5*(PARAM!$D$51/12)*RATES!$N730/100</f>
        <v>741.58333333333337</v>
      </c>
      <c r="N754" s="16">
        <f t="shared" si="500"/>
        <v>-89537.801397179079</v>
      </c>
      <c r="O754" s="15">
        <f t="shared" si="501"/>
        <v>22.170849845882874</v>
      </c>
      <c r="P754" s="75">
        <f>O754*(1-PARAM!$C$27)*$I$6+(MOD($B754,60)=PARAM!$B$56)*($B754&gt;(60-PARAM!$B$56))*HLOOKUP(($B754+PARAM!$B$56)/12,Loyalty,2)*$F$1*MAX(R753,0)</f>
        <v>18.557001321003963</v>
      </c>
      <c r="Q754" s="75">
        <f>PARAM!$C$26+MAX($G$6-CHOOSE(PARAM!$B$44,MAX(0,R753*$F$1),0),0)*RATES!$L730/12+$H$6*(PARAM!$D$51/12)*RATES!$N730/100</f>
        <v>741.58333333333337</v>
      </c>
      <c r="R754" s="16">
        <f t="shared" si="502"/>
        <v>-89537.801397179079</v>
      </c>
      <c r="S754" s="15">
        <f t="shared" si="477"/>
        <v>22.170849845882874</v>
      </c>
      <c r="T754" s="75">
        <f>S754*(1-PARAM!$C$27)*$I$7+(MOD($B754,60)=PARAM!$B$56)*($B754&gt;(60-PARAM!$B$56))*HLOOKUP(($B754+PARAM!$B$56)/12,Loyalty,2)*$F$1*MAX(V753,0)</f>
        <v>18.557001321003963</v>
      </c>
      <c r="U754" s="75">
        <f>PARAM!$C$26+MAX($G$7-CHOOSE(PARAM!$B$44,MAX(0,V753*$F$1),0),0)*RATES!$L730/12+$H$7*(PARAM!$D$51/12)*RATES!$N730/100</f>
        <v>741.58333333333337</v>
      </c>
      <c r="V754" s="16">
        <f t="shared" si="503"/>
        <v>-89537.801397179079</v>
      </c>
      <c r="W754" s="15">
        <f t="shared" si="478"/>
        <v>22.170849845882874</v>
      </c>
      <c r="X754" s="75">
        <f>W754*(1-PARAM!$C$27)*$I$8+(MOD($B754,60)=PARAM!$B$56)*($B754&gt;(60-PARAM!$B$56))*HLOOKUP(($B754+PARAM!$B$56)/12,Loyalty,2)*$F$1*MAX(Z753,0)</f>
        <v>18.557001321003963</v>
      </c>
      <c r="Y754" s="75">
        <f>PARAM!$C$26+MAX($G$8-CHOOSE(PARAM!$B$44,MAX(0,Z753*$F$1),0),0)*RATES!$L730/12+$H$8*(PARAM!$D$51/12)*RATES!$N730/100</f>
        <v>741.58333333333337</v>
      </c>
      <c r="Z754" s="16">
        <f t="shared" si="504"/>
        <v>-89537.801397179079</v>
      </c>
      <c r="AA754" s="15">
        <f t="shared" si="479"/>
        <v>22.170849845882874</v>
      </c>
      <c r="AB754" s="75">
        <f>AA754*(1-PARAM!$C$27)*$I$9+(MOD($B754,60)=PARAM!$B$56)*($B754&gt;(60-PARAM!$B$56))*HLOOKUP(($B754+PARAM!$B$56)/12,Loyalty,2)*$F$1*MAX(AD753,0)</f>
        <v>18.557001321003963</v>
      </c>
      <c r="AC754" s="75">
        <f>PARAM!$C$26+MAX($G$9-CHOOSE(PARAM!$B$44,MAX(0,AD753*$F$1),0),0)*RATES!$L730/12+$H$9*(PARAM!$D$51/12)*RATES!$N730/100</f>
        <v>741.58333333333337</v>
      </c>
      <c r="AD754" s="16">
        <f t="shared" si="505"/>
        <v>-89537.801397179079</v>
      </c>
      <c r="AE754" s="15">
        <f t="shared" si="480"/>
        <v>22.170849845882874</v>
      </c>
      <c r="AF754" s="75">
        <f>AE754*(1-PARAM!$C$27)*$I$10+(MOD($B754,60)=PARAM!$B$56)*($B754&gt;(60-PARAM!$B$56))*HLOOKUP(($B754+PARAM!$B$56)/12,Loyalty,2)*$F$1*MAX(AH753,0)</f>
        <v>18.557001321003963</v>
      </c>
      <c r="AG754" s="75">
        <f>PARAM!$C$26+MAX($G$10-CHOOSE(PARAM!$B$44,MAX(0,AH753*$F$1),0),0)*RATES!$L730/12+$H$10*(PARAM!$D$51/12)*RATES!$N730/100</f>
        <v>741.58333333333337</v>
      </c>
      <c r="AH754" s="16">
        <f t="shared" si="506"/>
        <v>-89537.801397179079</v>
      </c>
      <c r="AI754" s="15">
        <f t="shared" si="481"/>
        <v>22.170849845882874</v>
      </c>
      <c r="AJ754" s="75">
        <f>AI754*(1-PARAM!$C$27)*$I$11+(MOD($B754,60)=PARAM!$B$56)*($B754&gt;(60-PARAM!$B$56))*HLOOKUP(($B754+PARAM!$B$56)/12,Loyalty,2)*$F$1*MAX(AL753,0)</f>
        <v>18.557001321003963</v>
      </c>
      <c r="AK754" s="75">
        <f>PARAM!$C$26+MAX($G$11-CHOOSE(PARAM!$B$44,MAX(0,AL753*$F$1),0),0)*RATES!$L730/12+$H$11*(PARAM!$D$51/12)*RATES!$N730/100</f>
        <v>741.58333333333337</v>
      </c>
      <c r="AL754" s="16">
        <f t="shared" si="507"/>
        <v>-89537.801397179079</v>
      </c>
      <c r="AM754" s="15">
        <f t="shared" si="482"/>
        <v>22.170849845882874</v>
      </c>
      <c r="AN754" s="75">
        <f>AM754*(1-PARAM!$C$27)*$I$12+(MOD($B754,60)=PARAM!$B$56)*($B754&gt;(60-PARAM!$B$56))*HLOOKUP(($B754+PARAM!$B$56)/12,Loyalty,2)*$F$1*MAX(AP753,0)</f>
        <v>18.557001321003963</v>
      </c>
      <c r="AO754" s="75">
        <f>PARAM!$C$26+MAX($G$12-CHOOSE(PARAM!$B$44,MAX(0,AP753*$F$1),0),0)*RATES!$L730/12+$H$12*(PARAM!$D$51/12)*RATES!$N730/100</f>
        <v>741.58333333333337</v>
      </c>
      <c r="AP754" s="16">
        <f t="shared" si="508"/>
        <v>-89537.801397179079</v>
      </c>
      <c r="AQ754" s="15">
        <f t="shared" si="483"/>
        <v>22.170849845882874</v>
      </c>
      <c r="AR754" s="75">
        <f>AQ754*(1-PARAM!$C$27)*$I$13+(MOD($B754,60)=PARAM!$B$56)*($B754&gt;(60-PARAM!$B$56))*HLOOKUP(($B754+PARAM!$B$56)/12,Loyalty,2)*$F$1*MAX(AT753,0)</f>
        <v>18.557001321003963</v>
      </c>
      <c r="AS754" s="75">
        <f>PARAM!$C$26+MAX($G$13-CHOOSE(PARAM!$B$44,MAX(0,AT753*$F$1),0),0)*RATES!$L730/12+$H$13*(PARAM!$D$51/12)*RATES!$N730/100</f>
        <v>741.58333333333337</v>
      </c>
      <c r="AT754" s="16">
        <f t="shared" si="509"/>
        <v>-89537.801397179079</v>
      </c>
      <c r="AU754" s="15">
        <f t="shared" si="484"/>
        <v>22.170849845882874</v>
      </c>
      <c r="AV754" s="75">
        <f>AU754*(1-PARAM!$C$27)*$I$14+(MOD($B754,60)=PARAM!$B$56)*($B754&gt;(60-PARAM!$B$56))*HLOOKUP(($B754+PARAM!$B$56)/12,Loyalty,2)*$F$1*MAX(AX753,0)</f>
        <v>18.557001321003963</v>
      </c>
      <c r="AW754" s="75">
        <f>PARAM!$C$26+MAX($G$14-CHOOSE(PARAM!$B$44,MAX(0,AX753*$F$1),0),0)*RATES!$L730/12+$H$14*(PARAM!$D$51/12)*RATES!$N730/100</f>
        <v>741.58333333333337</v>
      </c>
      <c r="AX754" s="16">
        <f t="shared" si="510"/>
        <v>-89537.801397179079</v>
      </c>
      <c r="AY754" s="15">
        <f t="shared" si="485"/>
        <v>22.170849845882874</v>
      </c>
      <c r="AZ754" s="75">
        <f>AY754*(1-PARAM!$C$27)*$I$15+(MOD($B754,60)=PARAM!$B$56)*($B754&gt;(60-PARAM!$B$56))*HLOOKUP(($B754+PARAM!$B$56)/12,Loyalty,2)*$F$1*MAX(BB753,0)</f>
        <v>18.557001321003963</v>
      </c>
      <c r="BA754" s="75">
        <f>PARAM!$C$26+MAX($G$15-CHOOSE(PARAM!$B$44,MAX(0,BB753*$F$1),0),0)*RATES!$L730/12+$H$15*(PARAM!$D$51/12)*RATES!$N730/100</f>
        <v>741.58333333333337</v>
      </c>
      <c r="BB754" s="16">
        <f t="shared" si="511"/>
        <v>-89537.801397179079</v>
      </c>
      <c r="BC754" s="15">
        <f t="shared" si="486"/>
        <v>22.170849845882874</v>
      </c>
      <c r="BD754" s="75">
        <f>BC754*(1-PARAM!$C$27)*$I$16+(MOD($B754,60)=PARAM!$B$56)*($B754&gt;(60-PARAM!$B$56))*HLOOKUP(($B754+PARAM!$B$56)/12,Loyalty,2)*$F$1*MAX(BF753,0)</f>
        <v>18.557001321003963</v>
      </c>
      <c r="BE754" s="75">
        <f>PARAM!$C$26+MAX($G$16-CHOOSE(PARAM!$B$44,MAX(0,BF753*$F$1),0),0)*RATES!$L730/12+$H$16*(PARAM!$D$51/12)*RATES!$N730/100</f>
        <v>741.58333333333337</v>
      </c>
      <c r="BF754" s="16">
        <f t="shared" si="512"/>
        <v>-89537.801397179079</v>
      </c>
      <c r="BG754" s="15">
        <f t="shared" si="487"/>
        <v>22.170849845882874</v>
      </c>
      <c r="BH754" s="75">
        <f>BG754*(1-PARAM!$C$27)*$I$17+(MOD($B754,60)=PARAM!$B$56)*($B754&gt;(60-PARAM!$B$56))*HLOOKUP(($B754+PARAM!$B$56)/12,Loyalty,2)*$F$1*MAX(BJ753,0)</f>
        <v>18.557001321003963</v>
      </c>
      <c r="BI754" s="75">
        <f>PARAM!$C$26+MAX($G$17-CHOOSE(PARAM!$B$44,MAX(0,BJ753*$F$1),0),0)*RATES!$L730/12+$H$17*(PARAM!$D$51/12)*RATES!$N730/100</f>
        <v>741.58333333333337</v>
      </c>
      <c r="BJ754" s="16">
        <f t="shared" si="513"/>
        <v>-89537.801397179079</v>
      </c>
      <c r="BK754" s="15">
        <f t="shared" si="488"/>
        <v>22.170849845882874</v>
      </c>
      <c r="BL754" s="75">
        <f>BK754*(1-PARAM!$C$27)*$I$18+(MOD($B754,60)=PARAM!$B$56)*($B754&gt;(60-PARAM!$B$56))*HLOOKUP(($B754+PARAM!$B$56)/12,Loyalty,2)*$F$1*MAX(BN753,0)</f>
        <v>18.557001321003963</v>
      </c>
      <c r="BM754" s="75">
        <f>PARAM!$C$26+MAX($G$18-CHOOSE(PARAM!$B$44,MAX(0,BN753*$F$1),0),0)*RATES!$L730/12+$H$18*(PARAM!$D$51/12)*RATES!$N730/100</f>
        <v>741.58333333333337</v>
      </c>
      <c r="BN754" s="16">
        <f t="shared" si="514"/>
        <v>-89537.801397179079</v>
      </c>
      <c r="BO754" s="15">
        <f t="shared" si="489"/>
        <v>22.170849845882874</v>
      </c>
      <c r="BP754" s="75">
        <f>BO754*(1-PARAM!$C$27)*$I$19+(MOD($B754,60)=PARAM!$B$56)*($B754&gt;(60-PARAM!$B$56))*HLOOKUP(($B754+PARAM!$B$56)/12,Loyalty,2)*$F$1*MAX(BR753,0)</f>
        <v>18.557001321003963</v>
      </c>
      <c r="BQ754" s="75">
        <f>PARAM!$C$26+MAX($G$19-CHOOSE(PARAM!$B$44,MAX(0,BR753*$F$1),0),0)*RATES!$L730/12+$H$19*(PARAM!$D$51/12)*RATES!$N730/100</f>
        <v>741.58333333333337</v>
      </c>
      <c r="BR754" s="16">
        <f t="shared" si="515"/>
        <v>-89537.801397179079</v>
      </c>
      <c r="BS754" s="15">
        <f t="shared" si="490"/>
        <v>22.170849845882874</v>
      </c>
      <c r="BT754" s="75">
        <f>BS754*(1-PARAM!$C$27)*$I$20+(MOD($B754,60)=PARAM!$B$56)*($B754&gt;(60-PARAM!$B$56))*HLOOKUP(($B754+PARAM!$B$56)/12,Loyalty,2)*$F$1*MAX(BV753,0)</f>
        <v>18.557001321003963</v>
      </c>
      <c r="BU754" s="75">
        <f>PARAM!$C$26+MAX($G$20-CHOOSE(PARAM!$B$44,MAX(0,BV753*$F$1),0),0)*RATES!$L730/12+$H$20*(PARAM!$D$51/12)*RATES!$N730/100</f>
        <v>741.58333333333337</v>
      </c>
      <c r="BV754" s="16">
        <f t="shared" si="516"/>
        <v>-89537.801397179079</v>
      </c>
      <c r="BW754" s="15">
        <f t="shared" si="491"/>
        <v>22.170849845882874</v>
      </c>
      <c r="BX754" s="75">
        <f>BW754*(1-PARAM!$C$27)*$I$21+(MOD($B754,60)=PARAM!$B$56)*($B754&gt;(60-PARAM!$B$56))*HLOOKUP(($B754+PARAM!$B$56)/12,Loyalty,2)*$F$1*MAX(BZ753,0)</f>
        <v>18.557001321003963</v>
      </c>
      <c r="BY754" s="75">
        <f>PARAM!$C$26+MAX($G$21-CHOOSE(PARAM!$B$44,MAX(0,BZ753*$F$1),0),0)*RATES!$L730/12+$H$21*(PARAM!$D$51/12)*RATES!$N730/100</f>
        <v>741.58333333333337</v>
      </c>
      <c r="BZ754" s="16">
        <f t="shared" si="517"/>
        <v>-89537.801397179079</v>
      </c>
      <c r="CA754" s="15">
        <f t="shared" si="492"/>
        <v>22.170849845882874</v>
      </c>
      <c r="CB754" s="75">
        <f>CA754*(1-PARAM!$C$27)*$I$22+(MOD($B754,60)=PARAM!$B$56)*($B754&gt;(60-PARAM!$B$56))*HLOOKUP(($B754+PARAM!$B$56)/12,Loyalty,2)*$F$1*MAX(CD753,0)</f>
        <v>18.557001321003963</v>
      </c>
      <c r="CC754" s="75">
        <f>PARAM!$C$26+MAX($G$22-CHOOSE(PARAM!$B$44,MAX(0,CD753*$F$1),0),0)*RATES!$L730/12+$H$22*(PARAM!$D$51/12)*RATES!$N730/100</f>
        <v>741.58333333333337</v>
      </c>
      <c r="CD754" s="16">
        <f t="shared" si="518"/>
        <v>-89537.801397179079</v>
      </c>
      <c r="CE754" s="33">
        <f>IF(0=MOD(B754,12/PARAM!$D$51),1,0)</f>
        <v>1</v>
      </c>
      <c r="CF754" s="15">
        <f t="shared" si="493"/>
        <v>0</v>
      </c>
      <c r="CG754" s="75">
        <f>CF754*(1-PARAM!$C$27)*$R$3+(MOD($B754/12,5)=0)*($B754&gt;60)*HLOOKUP($B754/12,Loyalty,2)*$F$1*MAX(CI753,0)</f>
        <v>0</v>
      </c>
      <c r="CH754" s="75">
        <f>PARAM!$C$26+MAX($P$3-CHOOSE(PARAM!$B$44,MAX(0,CI753*$F$1),0),0)*RATES!$L730/12+$Q$3*(PARAM!$D$51/12)*RATES!$N730/100</f>
        <v>741.58333333333337</v>
      </c>
      <c r="CI754" s="16">
        <f>IF(CI753&gt;0,CI753*PARAM!$C$53,CI753)+CG754-CH754</f>
        <v>-102909.16666666695</v>
      </c>
      <c r="CJ754" s="15">
        <f t="shared" si="519"/>
        <v>0</v>
      </c>
      <c r="CK754" s="75">
        <f>CJ754*(1-PARAM!$C$27)*$R$4+(MOD($B754/12,5)=0)*($B754&gt;60)*HLOOKUP($B754/12,Loyalty,2)*$F$1*MAX(CM753,0)</f>
        <v>0</v>
      </c>
      <c r="CL754" s="75">
        <f>PARAM!$C$26+MAX($P$4-CHOOSE(PARAM!$B$44,MAX(0,CM753*$F$1),0),0)*RATES!$L730/12+$Q$4*(PARAM!$D$51/12)*RATES!$N730/100</f>
        <v>741.58333333333337</v>
      </c>
      <c r="CM754" s="16">
        <f>IF(CM753&gt;0,CM753*PARAM!$C$53,CM753)+CK754-CL754</f>
        <v>-102909.16666666695</v>
      </c>
      <c r="CO754" s="176"/>
    </row>
    <row r="755" spans="1:93" x14ac:dyDescent="0.2">
      <c r="A755" t="b">
        <f t="shared" si="494"/>
        <v>0</v>
      </c>
      <c r="B755" s="33">
        <v>728</v>
      </c>
      <c r="C755" s="15">
        <f t="shared" si="495"/>
        <v>20.081305947392778</v>
      </c>
      <c r="D755" s="75">
        <f>C755*(1-PARAM!$C$27)*$I$3+(MOD($B755,60)=PARAM!$B$56)*($B755&gt;(60-PARAM!$B$56))*HLOOKUP(($B755+PARAM!$B$56)/12,Loyalty,2)*$F$1*MAX(F754,0)</f>
        <v>16.808053077967756</v>
      </c>
      <c r="E755" s="75">
        <f>PARAM!$C$26+MAX($G$3-CHOOSE(PARAM!$B$44,MAX(0,F754*$F$1),0),0)*RATES!$L731/12+$H$3*(PARAM!$D$51/12)*RATES!$N731/100</f>
        <v>741.58333333333337</v>
      </c>
      <c r="F755" s="16">
        <f t="shared" si="496"/>
        <v>-91570.912550643232</v>
      </c>
      <c r="G755" s="15">
        <f t="shared" si="497"/>
        <v>22.035289406060361</v>
      </c>
      <c r="H755" s="75">
        <f>G755*(1-PARAM!$C$27)*$I$4+(MOD($B755,60)=PARAM!$B$56)*($B755&gt;(60-PARAM!$B$56))*HLOOKUP(($B755+PARAM!$B$56)/12,Loyalty,2)*$F$1*MAX(J754,0)</f>
        <v>18.443537232872522</v>
      </c>
      <c r="I755" s="75">
        <f>PARAM!$C$26+MAX($G$4-CHOOSE(PARAM!$B$44,MAX(0,J754*$F$1),0),0)*RATES!$L731/12+$H$4*(PARAM!$D$51/12)*RATES!$N731/100</f>
        <v>741.58333333333337</v>
      </c>
      <c r="J755" s="16">
        <f t="shared" si="498"/>
        <v>-90346.447121750825</v>
      </c>
      <c r="K755" s="15">
        <f t="shared" si="499"/>
        <v>22.170849845882874</v>
      </c>
      <c r="L755" s="75">
        <f>K755*(1-PARAM!$C$27)*$I$5+(MOD($B755,60)=PARAM!$B$56)*($B755&gt;(60-PARAM!$B$56))*HLOOKUP(($B755+PARAM!$B$56)/12,Loyalty,2)*$F$1*MAX(N754,0)</f>
        <v>18.557001321003963</v>
      </c>
      <c r="M755" s="75">
        <f>PARAM!$C$26+MAX($G$5-CHOOSE(PARAM!$B$44,MAX(0,N754*$F$1),0),0)*RATES!$L731/12+$H$5*(PARAM!$D$51/12)*RATES!$N731/100</f>
        <v>741.58333333333337</v>
      </c>
      <c r="N755" s="16">
        <f t="shared" si="500"/>
        <v>-90260.827729191398</v>
      </c>
      <c r="O755" s="15">
        <f t="shared" si="501"/>
        <v>22.170849845882874</v>
      </c>
      <c r="P755" s="75">
        <f>O755*(1-PARAM!$C$27)*$I$6+(MOD($B755,60)=PARAM!$B$56)*($B755&gt;(60-PARAM!$B$56))*HLOOKUP(($B755+PARAM!$B$56)/12,Loyalty,2)*$F$1*MAX(R754,0)</f>
        <v>18.557001321003963</v>
      </c>
      <c r="Q755" s="75">
        <f>PARAM!$C$26+MAX($G$6-CHOOSE(PARAM!$B$44,MAX(0,R754*$F$1),0),0)*RATES!$L731/12+$H$6*(PARAM!$D$51/12)*RATES!$N731/100</f>
        <v>741.58333333333337</v>
      </c>
      <c r="R755" s="16">
        <f t="shared" si="502"/>
        <v>-90260.827729191398</v>
      </c>
      <c r="S755" s="15">
        <f t="shared" si="477"/>
        <v>22.170849845882874</v>
      </c>
      <c r="T755" s="75">
        <f>S755*(1-PARAM!$C$27)*$I$7+(MOD($B755,60)=PARAM!$B$56)*($B755&gt;(60-PARAM!$B$56))*HLOOKUP(($B755+PARAM!$B$56)/12,Loyalty,2)*$F$1*MAX(V754,0)</f>
        <v>18.557001321003963</v>
      </c>
      <c r="U755" s="75">
        <f>PARAM!$C$26+MAX($G$7-CHOOSE(PARAM!$B$44,MAX(0,V754*$F$1),0),0)*RATES!$L731/12+$H$7*(PARAM!$D$51/12)*RATES!$N731/100</f>
        <v>741.58333333333337</v>
      </c>
      <c r="V755" s="16">
        <f t="shared" si="503"/>
        <v>-90260.827729191398</v>
      </c>
      <c r="W755" s="15">
        <f t="shared" si="478"/>
        <v>22.170849845882874</v>
      </c>
      <c r="X755" s="75">
        <f>W755*(1-PARAM!$C$27)*$I$8+(MOD($B755,60)=PARAM!$B$56)*($B755&gt;(60-PARAM!$B$56))*HLOOKUP(($B755+PARAM!$B$56)/12,Loyalty,2)*$F$1*MAX(Z754,0)</f>
        <v>18.557001321003963</v>
      </c>
      <c r="Y755" s="75">
        <f>PARAM!$C$26+MAX($G$8-CHOOSE(PARAM!$B$44,MAX(0,Z754*$F$1),0),0)*RATES!$L731/12+$H$8*(PARAM!$D$51/12)*RATES!$N731/100</f>
        <v>741.58333333333337</v>
      </c>
      <c r="Z755" s="16">
        <f t="shared" si="504"/>
        <v>-90260.827729191398</v>
      </c>
      <c r="AA755" s="15">
        <f t="shared" si="479"/>
        <v>22.170849845882874</v>
      </c>
      <c r="AB755" s="75">
        <f>AA755*(1-PARAM!$C$27)*$I$9+(MOD($B755,60)=PARAM!$B$56)*($B755&gt;(60-PARAM!$B$56))*HLOOKUP(($B755+PARAM!$B$56)/12,Loyalty,2)*$F$1*MAX(AD754,0)</f>
        <v>18.557001321003963</v>
      </c>
      <c r="AC755" s="75">
        <f>PARAM!$C$26+MAX($G$9-CHOOSE(PARAM!$B$44,MAX(0,AD754*$F$1),0),0)*RATES!$L731/12+$H$9*(PARAM!$D$51/12)*RATES!$N731/100</f>
        <v>741.58333333333337</v>
      </c>
      <c r="AD755" s="16">
        <f t="shared" si="505"/>
        <v>-90260.827729191398</v>
      </c>
      <c r="AE755" s="15">
        <f t="shared" si="480"/>
        <v>22.170849845882874</v>
      </c>
      <c r="AF755" s="75">
        <f>AE755*(1-PARAM!$C$27)*$I$10+(MOD($B755,60)=PARAM!$B$56)*($B755&gt;(60-PARAM!$B$56))*HLOOKUP(($B755+PARAM!$B$56)/12,Loyalty,2)*$F$1*MAX(AH754,0)</f>
        <v>18.557001321003963</v>
      </c>
      <c r="AG755" s="75">
        <f>PARAM!$C$26+MAX($G$10-CHOOSE(PARAM!$B$44,MAX(0,AH754*$F$1),0),0)*RATES!$L731/12+$H$10*(PARAM!$D$51/12)*RATES!$N731/100</f>
        <v>741.58333333333337</v>
      </c>
      <c r="AH755" s="16">
        <f t="shared" si="506"/>
        <v>-90260.827729191398</v>
      </c>
      <c r="AI755" s="15">
        <f t="shared" si="481"/>
        <v>22.170849845882874</v>
      </c>
      <c r="AJ755" s="75">
        <f>AI755*(1-PARAM!$C$27)*$I$11+(MOD($B755,60)=PARAM!$B$56)*($B755&gt;(60-PARAM!$B$56))*HLOOKUP(($B755+PARAM!$B$56)/12,Loyalty,2)*$F$1*MAX(AL754,0)</f>
        <v>18.557001321003963</v>
      </c>
      <c r="AK755" s="75">
        <f>PARAM!$C$26+MAX($G$11-CHOOSE(PARAM!$B$44,MAX(0,AL754*$F$1),0),0)*RATES!$L731/12+$H$11*(PARAM!$D$51/12)*RATES!$N731/100</f>
        <v>741.58333333333337</v>
      </c>
      <c r="AL755" s="16">
        <f t="shared" si="507"/>
        <v>-90260.827729191398</v>
      </c>
      <c r="AM755" s="15">
        <f t="shared" si="482"/>
        <v>22.170849845882874</v>
      </c>
      <c r="AN755" s="75">
        <f>AM755*(1-PARAM!$C$27)*$I$12+(MOD($B755,60)=PARAM!$B$56)*($B755&gt;(60-PARAM!$B$56))*HLOOKUP(($B755+PARAM!$B$56)/12,Loyalty,2)*$F$1*MAX(AP754,0)</f>
        <v>18.557001321003963</v>
      </c>
      <c r="AO755" s="75">
        <f>PARAM!$C$26+MAX($G$12-CHOOSE(PARAM!$B$44,MAX(0,AP754*$F$1),0),0)*RATES!$L731/12+$H$12*(PARAM!$D$51/12)*RATES!$N731/100</f>
        <v>741.58333333333337</v>
      </c>
      <c r="AP755" s="16">
        <f t="shared" si="508"/>
        <v>-90260.827729191398</v>
      </c>
      <c r="AQ755" s="15">
        <f t="shared" si="483"/>
        <v>22.170849845882874</v>
      </c>
      <c r="AR755" s="75">
        <f>AQ755*(1-PARAM!$C$27)*$I$13+(MOD($B755,60)=PARAM!$B$56)*($B755&gt;(60-PARAM!$B$56))*HLOOKUP(($B755+PARAM!$B$56)/12,Loyalty,2)*$F$1*MAX(AT754,0)</f>
        <v>18.557001321003963</v>
      </c>
      <c r="AS755" s="75">
        <f>PARAM!$C$26+MAX($G$13-CHOOSE(PARAM!$B$44,MAX(0,AT754*$F$1),0),0)*RATES!$L731/12+$H$13*(PARAM!$D$51/12)*RATES!$N731/100</f>
        <v>741.58333333333337</v>
      </c>
      <c r="AT755" s="16">
        <f t="shared" si="509"/>
        <v>-90260.827729191398</v>
      </c>
      <c r="AU755" s="15">
        <f t="shared" si="484"/>
        <v>22.170849845882874</v>
      </c>
      <c r="AV755" s="75">
        <f>AU755*(1-PARAM!$C$27)*$I$14+(MOD($B755,60)=PARAM!$B$56)*($B755&gt;(60-PARAM!$B$56))*HLOOKUP(($B755+PARAM!$B$56)/12,Loyalty,2)*$F$1*MAX(AX754,0)</f>
        <v>18.557001321003963</v>
      </c>
      <c r="AW755" s="75">
        <f>PARAM!$C$26+MAX($G$14-CHOOSE(PARAM!$B$44,MAX(0,AX754*$F$1),0),0)*RATES!$L731/12+$H$14*(PARAM!$D$51/12)*RATES!$N731/100</f>
        <v>741.58333333333337</v>
      </c>
      <c r="AX755" s="16">
        <f t="shared" si="510"/>
        <v>-90260.827729191398</v>
      </c>
      <c r="AY755" s="15">
        <f t="shared" si="485"/>
        <v>22.170849845882874</v>
      </c>
      <c r="AZ755" s="75">
        <f>AY755*(1-PARAM!$C$27)*$I$15+(MOD($B755,60)=PARAM!$B$56)*($B755&gt;(60-PARAM!$B$56))*HLOOKUP(($B755+PARAM!$B$56)/12,Loyalty,2)*$F$1*MAX(BB754,0)</f>
        <v>18.557001321003963</v>
      </c>
      <c r="BA755" s="75">
        <f>PARAM!$C$26+MAX($G$15-CHOOSE(PARAM!$B$44,MAX(0,BB754*$F$1),0),0)*RATES!$L731/12+$H$15*(PARAM!$D$51/12)*RATES!$N731/100</f>
        <v>741.58333333333337</v>
      </c>
      <c r="BB755" s="16">
        <f t="shared" si="511"/>
        <v>-90260.827729191398</v>
      </c>
      <c r="BC755" s="15">
        <f t="shared" si="486"/>
        <v>22.170849845882874</v>
      </c>
      <c r="BD755" s="75">
        <f>BC755*(1-PARAM!$C$27)*$I$16+(MOD($B755,60)=PARAM!$B$56)*($B755&gt;(60-PARAM!$B$56))*HLOOKUP(($B755+PARAM!$B$56)/12,Loyalty,2)*$F$1*MAX(BF754,0)</f>
        <v>18.557001321003963</v>
      </c>
      <c r="BE755" s="75">
        <f>PARAM!$C$26+MAX($G$16-CHOOSE(PARAM!$B$44,MAX(0,BF754*$F$1),0),0)*RATES!$L731/12+$H$16*(PARAM!$D$51/12)*RATES!$N731/100</f>
        <v>741.58333333333337</v>
      </c>
      <c r="BF755" s="16">
        <f t="shared" si="512"/>
        <v>-90260.827729191398</v>
      </c>
      <c r="BG755" s="15">
        <f t="shared" si="487"/>
        <v>22.170849845882874</v>
      </c>
      <c r="BH755" s="75">
        <f>BG755*(1-PARAM!$C$27)*$I$17+(MOD($B755,60)=PARAM!$B$56)*($B755&gt;(60-PARAM!$B$56))*HLOOKUP(($B755+PARAM!$B$56)/12,Loyalty,2)*$F$1*MAX(BJ754,0)</f>
        <v>18.557001321003963</v>
      </c>
      <c r="BI755" s="75">
        <f>PARAM!$C$26+MAX($G$17-CHOOSE(PARAM!$B$44,MAX(0,BJ754*$F$1),0),0)*RATES!$L731/12+$H$17*(PARAM!$D$51/12)*RATES!$N731/100</f>
        <v>741.58333333333337</v>
      </c>
      <c r="BJ755" s="16">
        <f t="shared" si="513"/>
        <v>-90260.827729191398</v>
      </c>
      <c r="BK755" s="15">
        <f t="shared" si="488"/>
        <v>22.170849845882874</v>
      </c>
      <c r="BL755" s="75">
        <f>BK755*(1-PARAM!$C$27)*$I$18+(MOD($B755,60)=PARAM!$B$56)*($B755&gt;(60-PARAM!$B$56))*HLOOKUP(($B755+PARAM!$B$56)/12,Loyalty,2)*$F$1*MAX(BN754,0)</f>
        <v>18.557001321003963</v>
      </c>
      <c r="BM755" s="75">
        <f>PARAM!$C$26+MAX($G$18-CHOOSE(PARAM!$B$44,MAX(0,BN754*$F$1),0),0)*RATES!$L731/12+$H$18*(PARAM!$D$51/12)*RATES!$N731/100</f>
        <v>741.58333333333337</v>
      </c>
      <c r="BN755" s="16">
        <f t="shared" si="514"/>
        <v>-90260.827729191398</v>
      </c>
      <c r="BO755" s="15">
        <f t="shared" si="489"/>
        <v>22.170849845882874</v>
      </c>
      <c r="BP755" s="75">
        <f>BO755*(1-PARAM!$C$27)*$I$19+(MOD($B755,60)=PARAM!$B$56)*($B755&gt;(60-PARAM!$B$56))*HLOOKUP(($B755+PARAM!$B$56)/12,Loyalty,2)*$F$1*MAX(BR754,0)</f>
        <v>18.557001321003963</v>
      </c>
      <c r="BQ755" s="75">
        <f>PARAM!$C$26+MAX($G$19-CHOOSE(PARAM!$B$44,MAX(0,BR754*$F$1),0),0)*RATES!$L731/12+$H$19*(PARAM!$D$51/12)*RATES!$N731/100</f>
        <v>741.58333333333337</v>
      </c>
      <c r="BR755" s="16">
        <f t="shared" si="515"/>
        <v>-90260.827729191398</v>
      </c>
      <c r="BS755" s="15">
        <f t="shared" si="490"/>
        <v>22.170849845882874</v>
      </c>
      <c r="BT755" s="75">
        <f>BS755*(1-PARAM!$C$27)*$I$20+(MOD($B755,60)=PARAM!$B$56)*($B755&gt;(60-PARAM!$B$56))*HLOOKUP(($B755+PARAM!$B$56)/12,Loyalty,2)*$F$1*MAX(BV754,0)</f>
        <v>18.557001321003963</v>
      </c>
      <c r="BU755" s="75">
        <f>PARAM!$C$26+MAX($G$20-CHOOSE(PARAM!$B$44,MAX(0,BV754*$F$1),0),0)*RATES!$L731/12+$H$20*(PARAM!$D$51/12)*RATES!$N731/100</f>
        <v>741.58333333333337</v>
      </c>
      <c r="BV755" s="16">
        <f t="shared" si="516"/>
        <v>-90260.827729191398</v>
      </c>
      <c r="BW755" s="15">
        <f t="shared" si="491"/>
        <v>22.170849845882874</v>
      </c>
      <c r="BX755" s="75">
        <f>BW755*(1-PARAM!$C$27)*$I$21+(MOD($B755,60)=PARAM!$B$56)*($B755&gt;(60-PARAM!$B$56))*HLOOKUP(($B755+PARAM!$B$56)/12,Loyalty,2)*$F$1*MAX(BZ754,0)</f>
        <v>18.557001321003963</v>
      </c>
      <c r="BY755" s="75">
        <f>PARAM!$C$26+MAX($G$21-CHOOSE(PARAM!$B$44,MAX(0,BZ754*$F$1),0),0)*RATES!$L731/12+$H$21*(PARAM!$D$51/12)*RATES!$N731/100</f>
        <v>741.58333333333337</v>
      </c>
      <c r="BZ755" s="16">
        <f t="shared" si="517"/>
        <v>-90260.827729191398</v>
      </c>
      <c r="CA755" s="15">
        <f t="shared" si="492"/>
        <v>22.170849845882874</v>
      </c>
      <c r="CB755" s="75">
        <f>CA755*(1-PARAM!$C$27)*$I$22+(MOD($B755,60)=PARAM!$B$56)*($B755&gt;(60-PARAM!$B$56))*HLOOKUP(($B755+PARAM!$B$56)/12,Loyalty,2)*$F$1*MAX(CD754,0)</f>
        <v>18.557001321003963</v>
      </c>
      <c r="CC755" s="75">
        <f>PARAM!$C$26+MAX($G$22-CHOOSE(PARAM!$B$44,MAX(0,CD754*$F$1),0),0)*RATES!$L731/12+$H$22*(PARAM!$D$51/12)*RATES!$N731/100</f>
        <v>741.58333333333337</v>
      </c>
      <c r="CD755" s="16">
        <f t="shared" si="518"/>
        <v>-90260.827729191398</v>
      </c>
      <c r="CE755" s="33">
        <f>IF(0=MOD(B755,12/PARAM!$D$51),1,0)</f>
        <v>1</v>
      </c>
      <c r="CF755" s="15">
        <f t="shared" si="493"/>
        <v>0</v>
      </c>
      <c r="CG755" s="75">
        <f>CF755*(1-PARAM!$C$27)*$R$3+(MOD($B755/12,5)=0)*($B755&gt;60)*HLOOKUP($B755/12,Loyalty,2)*$F$1*MAX(CI754,0)</f>
        <v>0</v>
      </c>
      <c r="CH755" s="75">
        <f>PARAM!$C$26+MAX($P$3-CHOOSE(PARAM!$B$44,MAX(0,CI754*$F$1),0),0)*RATES!$L731/12+$Q$3*(PARAM!$D$51/12)*RATES!$N731/100</f>
        <v>741.58333333333337</v>
      </c>
      <c r="CI755" s="16">
        <f>IF(CI754&gt;0,CI754*PARAM!$C$53,CI754)+CG755-CH755</f>
        <v>-103650.75000000028</v>
      </c>
      <c r="CJ755" s="15">
        <f t="shared" si="519"/>
        <v>0</v>
      </c>
      <c r="CK755" s="75">
        <f>CJ755*(1-PARAM!$C$27)*$R$4+(MOD($B755/12,5)=0)*($B755&gt;60)*HLOOKUP($B755/12,Loyalty,2)*$F$1*MAX(CM754,0)</f>
        <v>0</v>
      </c>
      <c r="CL755" s="75">
        <f>PARAM!$C$26+MAX($P$4-CHOOSE(PARAM!$B$44,MAX(0,CM754*$F$1),0),0)*RATES!$L731/12+$Q$4*(PARAM!$D$51/12)*RATES!$N731/100</f>
        <v>741.58333333333337</v>
      </c>
      <c r="CM755" s="16">
        <f>IF(CM754&gt;0,CM754*PARAM!$C$53,CM754)+CK755-CL755</f>
        <v>-103650.75000000028</v>
      </c>
      <c r="CO755" s="176"/>
    </row>
    <row r="756" spans="1:93" x14ac:dyDescent="0.2">
      <c r="A756" t="b">
        <f t="shared" si="494"/>
        <v>0</v>
      </c>
      <c r="B756" s="33">
        <v>729</v>
      </c>
      <c r="C756" s="15">
        <f t="shared" si="495"/>
        <v>20.081305947392778</v>
      </c>
      <c r="D756" s="75">
        <f>C756*(1-PARAM!$C$27)*$I$3+(MOD($B756,60)=PARAM!$B$56)*($B756&gt;(60-PARAM!$B$56))*HLOOKUP(($B756+PARAM!$B$56)/12,Loyalty,2)*$F$1*MAX(F755,0)</f>
        <v>16.808053077967756</v>
      </c>
      <c r="E756" s="75">
        <f>PARAM!$C$26+MAX($G$3-CHOOSE(PARAM!$B$44,MAX(0,F755*$F$1),0),0)*RATES!$L732/12+$H$3*(PARAM!$D$51/12)*RATES!$N732/100</f>
        <v>741.58333333333337</v>
      </c>
      <c r="F756" s="16">
        <f t="shared" si="496"/>
        <v>-92295.687830898591</v>
      </c>
      <c r="G756" s="15">
        <f t="shared" si="497"/>
        <v>22.035289406060361</v>
      </c>
      <c r="H756" s="75">
        <f>G756*(1-PARAM!$C$27)*$I$4+(MOD($B756,60)=PARAM!$B$56)*($B756&gt;(60-PARAM!$B$56))*HLOOKUP(($B756+PARAM!$B$56)/12,Loyalty,2)*$F$1*MAX(J755,0)</f>
        <v>18.443537232872522</v>
      </c>
      <c r="I756" s="75">
        <f>PARAM!$C$26+MAX($G$4-CHOOSE(PARAM!$B$44,MAX(0,J755*$F$1),0),0)*RATES!$L732/12+$H$4*(PARAM!$D$51/12)*RATES!$N732/100</f>
        <v>741.58333333333337</v>
      </c>
      <c r="J756" s="16">
        <f t="shared" si="498"/>
        <v>-91069.58691785128</v>
      </c>
      <c r="K756" s="15">
        <f t="shared" si="499"/>
        <v>22.170849845882874</v>
      </c>
      <c r="L756" s="75">
        <f>K756*(1-PARAM!$C$27)*$I$5+(MOD($B756,60)=PARAM!$B$56)*($B756&gt;(60-PARAM!$B$56))*HLOOKUP(($B756+PARAM!$B$56)/12,Loyalty,2)*$F$1*MAX(N755,0)</f>
        <v>18.557001321003963</v>
      </c>
      <c r="M756" s="75">
        <f>PARAM!$C$26+MAX($G$5-CHOOSE(PARAM!$B$44,MAX(0,N755*$F$1),0),0)*RATES!$L732/12+$H$5*(PARAM!$D$51/12)*RATES!$N732/100</f>
        <v>741.58333333333337</v>
      </c>
      <c r="N756" s="16">
        <f t="shared" si="500"/>
        <v>-90983.854061203718</v>
      </c>
      <c r="O756" s="15">
        <f t="shared" si="501"/>
        <v>22.170849845882874</v>
      </c>
      <c r="P756" s="75">
        <f>O756*(1-PARAM!$C$27)*$I$6+(MOD($B756,60)=PARAM!$B$56)*($B756&gt;(60-PARAM!$B$56))*HLOOKUP(($B756+PARAM!$B$56)/12,Loyalty,2)*$F$1*MAX(R755,0)</f>
        <v>18.557001321003963</v>
      </c>
      <c r="Q756" s="75">
        <f>PARAM!$C$26+MAX($G$6-CHOOSE(PARAM!$B$44,MAX(0,R755*$F$1),0),0)*RATES!$L732/12+$H$6*(PARAM!$D$51/12)*RATES!$N732/100</f>
        <v>741.58333333333337</v>
      </c>
      <c r="R756" s="16">
        <f t="shared" si="502"/>
        <v>-90983.854061203718</v>
      </c>
      <c r="S756" s="15">
        <f t="shared" si="477"/>
        <v>22.170849845882874</v>
      </c>
      <c r="T756" s="75">
        <f>S756*(1-PARAM!$C$27)*$I$7+(MOD($B756,60)=PARAM!$B$56)*($B756&gt;(60-PARAM!$B$56))*HLOOKUP(($B756+PARAM!$B$56)/12,Loyalty,2)*$F$1*MAX(V755,0)</f>
        <v>18.557001321003963</v>
      </c>
      <c r="U756" s="75">
        <f>PARAM!$C$26+MAX($G$7-CHOOSE(PARAM!$B$44,MAX(0,V755*$F$1),0),0)*RATES!$L732/12+$H$7*(PARAM!$D$51/12)*RATES!$N732/100</f>
        <v>741.58333333333337</v>
      </c>
      <c r="V756" s="16">
        <f t="shared" si="503"/>
        <v>-90983.854061203718</v>
      </c>
      <c r="W756" s="15">
        <f t="shared" si="478"/>
        <v>22.170849845882874</v>
      </c>
      <c r="X756" s="75">
        <f>W756*(1-PARAM!$C$27)*$I$8+(MOD($B756,60)=PARAM!$B$56)*($B756&gt;(60-PARAM!$B$56))*HLOOKUP(($B756+PARAM!$B$56)/12,Loyalty,2)*$F$1*MAX(Z755,0)</f>
        <v>18.557001321003963</v>
      </c>
      <c r="Y756" s="75">
        <f>PARAM!$C$26+MAX($G$8-CHOOSE(PARAM!$B$44,MAX(0,Z755*$F$1),0),0)*RATES!$L732/12+$H$8*(PARAM!$D$51/12)*RATES!$N732/100</f>
        <v>741.58333333333337</v>
      </c>
      <c r="Z756" s="16">
        <f t="shared" si="504"/>
        <v>-90983.854061203718</v>
      </c>
      <c r="AA756" s="15">
        <f t="shared" si="479"/>
        <v>22.170849845882874</v>
      </c>
      <c r="AB756" s="75">
        <f>AA756*(1-PARAM!$C$27)*$I$9+(MOD($B756,60)=PARAM!$B$56)*($B756&gt;(60-PARAM!$B$56))*HLOOKUP(($B756+PARAM!$B$56)/12,Loyalty,2)*$F$1*MAX(AD755,0)</f>
        <v>18.557001321003963</v>
      </c>
      <c r="AC756" s="75">
        <f>PARAM!$C$26+MAX($G$9-CHOOSE(PARAM!$B$44,MAX(0,AD755*$F$1),0),0)*RATES!$L732/12+$H$9*(PARAM!$D$51/12)*RATES!$N732/100</f>
        <v>741.58333333333337</v>
      </c>
      <c r="AD756" s="16">
        <f t="shared" si="505"/>
        <v>-90983.854061203718</v>
      </c>
      <c r="AE756" s="15">
        <f t="shared" si="480"/>
        <v>22.170849845882874</v>
      </c>
      <c r="AF756" s="75">
        <f>AE756*(1-PARAM!$C$27)*$I$10+(MOD($B756,60)=PARAM!$B$56)*($B756&gt;(60-PARAM!$B$56))*HLOOKUP(($B756+PARAM!$B$56)/12,Loyalty,2)*$F$1*MAX(AH755,0)</f>
        <v>18.557001321003963</v>
      </c>
      <c r="AG756" s="75">
        <f>PARAM!$C$26+MAX($G$10-CHOOSE(PARAM!$B$44,MAX(0,AH755*$F$1),0),0)*RATES!$L732/12+$H$10*(PARAM!$D$51/12)*RATES!$N732/100</f>
        <v>741.58333333333337</v>
      </c>
      <c r="AH756" s="16">
        <f t="shared" si="506"/>
        <v>-90983.854061203718</v>
      </c>
      <c r="AI756" s="15">
        <f t="shared" si="481"/>
        <v>22.170849845882874</v>
      </c>
      <c r="AJ756" s="75">
        <f>AI756*(1-PARAM!$C$27)*$I$11+(MOD($B756,60)=PARAM!$B$56)*($B756&gt;(60-PARAM!$B$56))*HLOOKUP(($B756+PARAM!$B$56)/12,Loyalty,2)*$F$1*MAX(AL755,0)</f>
        <v>18.557001321003963</v>
      </c>
      <c r="AK756" s="75">
        <f>PARAM!$C$26+MAX($G$11-CHOOSE(PARAM!$B$44,MAX(0,AL755*$F$1),0),0)*RATES!$L732/12+$H$11*(PARAM!$D$51/12)*RATES!$N732/100</f>
        <v>741.58333333333337</v>
      </c>
      <c r="AL756" s="16">
        <f t="shared" si="507"/>
        <v>-90983.854061203718</v>
      </c>
      <c r="AM756" s="15">
        <f t="shared" si="482"/>
        <v>22.170849845882874</v>
      </c>
      <c r="AN756" s="75">
        <f>AM756*(1-PARAM!$C$27)*$I$12+(MOD($B756,60)=PARAM!$B$56)*($B756&gt;(60-PARAM!$B$56))*HLOOKUP(($B756+PARAM!$B$56)/12,Loyalty,2)*$F$1*MAX(AP755,0)</f>
        <v>18.557001321003963</v>
      </c>
      <c r="AO756" s="75">
        <f>PARAM!$C$26+MAX($G$12-CHOOSE(PARAM!$B$44,MAX(0,AP755*$F$1),0),0)*RATES!$L732/12+$H$12*(PARAM!$D$51/12)*RATES!$N732/100</f>
        <v>741.58333333333337</v>
      </c>
      <c r="AP756" s="16">
        <f t="shared" si="508"/>
        <v>-90983.854061203718</v>
      </c>
      <c r="AQ756" s="15">
        <f t="shared" si="483"/>
        <v>22.170849845882874</v>
      </c>
      <c r="AR756" s="75">
        <f>AQ756*(1-PARAM!$C$27)*$I$13+(MOD($B756,60)=PARAM!$B$56)*($B756&gt;(60-PARAM!$B$56))*HLOOKUP(($B756+PARAM!$B$56)/12,Loyalty,2)*$F$1*MAX(AT755,0)</f>
        <v>18.557001321003963</v>
      </c>
      <c r="AS756" s="75">
        <f>PARAM!$C$26+MAX($G$13-CHOOSE(PARAM!$B$44,MAX(0,AT755*$F$1),0),0)*RATES!$L732/12+$H$13*(PARAM!$D$51/12)*RATES!$N732/100</f>
        <v>741.58333333333337</v>
      </c>
      <c r="AT756" s="16">
        <f t="shared" si="509"/>
        <v>-90983.854061203718</v>
      </c>
      <c r="AU756" s="15">
        <f t="shared" si="484"/>
        <v>22.170849845882874</v>
      </c>
      <c r="AV756" s="75">
        <f>AU756*(1-PARAM!$C$27)*$I$14+(MOD($B756,60)=PARAM!$B$56)*($B756&gt;(60-PARAM!$B$56))*HLOOKUP(($B756+PARAM!$B$56)/12,Loyalty,2)*$F$1*MAX(AX755,0)</f>
        <v>18.557001321003963</v>
      </c>
      <c r="AW756" s="75">
        <f>PARAM!$C$26+MAX($G$14-CHOOSE(PARAM!$B$44,MAX(0,AX755*$F$1),0),0)*RATES!$L732/12+$H$14*(PARAM!$D$51/12)*RATES!$N732/100</f>
        <v>741.58333333333337</v>
      </c>
      <c r="AX756" s="16">
        <f t="shared" si="510"/>
        <v>-90983.854061203718</v>
      </c>
      <c r="AY756" s="15">
        <f t="shared" si="485"/>
        <v>22.170849845882874</v>
      </c>
      <c r="AZ756" s="75">
        <f>AY756*(1-PARAM!$C$27)*$I$15+(MOD($B756,60)=PARAM!$B$56)*($B756&gt;(60-PARAM!$B$56))*HLOOKUP(($B756+PARAM!$B$56)/12,Loyalty,2)*$F$1*MAX(BB755,0)</f>
        <v>18.557001321003963</v>
      </c>
      <c r="BA756" s="75">
        <f>PARAM!$C$26+MAX($G$15-CHOOSE(PARAM!$B$44,MAX(0,BB755*$F$1),0),0)*RATES!$L732/12+$H$15*(PARAM!$D$51/12)*RATES!$N732/100</f>
        <v>741.58333333333337</v>
      </c>
      <c r="BB756" s="16">
        <f t="shared" si="511"/>
        <v>-90983.854061203718</v>
      </c>
      <c r="BC756" s="15">
        <f t="shared" si="486"/>
        <v>22.170849845882874</v>
      </c>
      <c r="BD756" s="75">
        <f>BC756*(1-PARAM!$C$27)*$I$16+(MOD($B756,60)=PARAM!$B$56)*($B756&gt;(60-PARAM!$B$56))*HLOOKUP(($B756+PARAM!$B$56)/12,Loyalty,2)*$F$1*MAX(BF755,0)</f>
        <v>18.557001321003963</v>
      </c>
      <c r="BE756" s="75">
        <f>PARAM!$C$26+MAX($G$16-CHOOSE(PARAM!$B$44,MAX(0,BF755*$F$1),0),0)*RATES!$L732/12+$H$16*(PARAM!$D$51/12)*RATES!$N732/100</f>
        <v>741.58333333333337</v>
      </c>
      <c r="BF756" s="16">
        <f t="shared" si="512"/>
        <v>-90983.854061203718</v>
      </c>
      <c r="BG756" s="15">
        <f t="shared" si="487"/>
        <v>22.170849845882874</v>
      </c>
      <c r="BH756" s="75">
        <f>BG756*(1-PARAM!$C$27)*$I$17+(MOD($B756,60)=PARAM!$B$56)*($B756&gt;(60-PARAM!$B$56))*HLOOKUP(($B756+PARAM!$B$56)/12,Loyalty,2)*$F$1*MAX(BJ755,0)</f>
        <v>18.557001321003963</v>
      </c>
      <c r="BI756" s="75">
        <f>PARAM!$C$26+MAX($G$17-CHOOSE(PARAM!$B$44,MAX(0,BJ755*$F$1),0),0)*RATES!$L732/12+$H$17*(PARAM!$D$51/12)*RATES!$N732/100</f>
        <v>741.58333333333337</v>
      </c>
      <c r="BJ756" s="16">
        <f t="shared" si="513"/>
        <v>-90983.854061203718</v>
      </c>
      <c r="BK756" s="15">
        <f t="shared" si="488"/>
        <v>22.170849845882874</v>
      </c>
      <c r="BL756" s="75">
        <f>BK756*(1-PARAM!$C$27)*$I$18+(MOD($B756,60)=PARAM!$B$56)*($B756&gt;(60-PARAM!$B$56))*HLOOKUP(($B756+PARAM!$B$56)/12,Loyalty,2)*$F$1*MAX(BN755,0)</f>
        <v>18.557001321003963</v>
      </c>
      <c r="BM756" s="75">
        <f>PARAM!$C$26+MAX($G$18-CHOOSE(PARAM!$B$44,MAX(0,BN755*$F$1),0),0)*RATES!$L732/12+$H$18*(PARAM!$D$51/12)*RATES!$N732/100</f>
        <v>741.58333333333337</v>
      </c>
      <c r="BN756" s="16">
        <f t="shared" si="514"/>
        <v>-90983.854061203718</v>
      </c>
      <c r="BO756" s="15">
        <f t="shared" si="489"/>
        <v>22.170849845882874</v>
      </c>
      <c r="BP756" s="75">
        <f>BO756*(1-PARAM!$C$27)*$I$19+(MOD($B756,60)=PARAM!$B$56)*($B756&gt;(60-PARAM!$B$56))*HLOOKUP(($B756+PARAM!$B$56)/12,Loyalty,2)*$F$1*MAX(BR755,0)</f>
        <v>18.557001321003963</v>
      </c>
      <c r="BQ756" s="75">
        <f>PARAM!$C$26+MAX($G$19-CHOOSE(PARAM!$B$44,MAX(0,BR755*$F$1),0),0)*RATES!$L732/12+$H$19*(PARAM!$D$51/12)*RATES!$N732/100</f>
        <v>741.58333333333337</v>
      </c>
      <c r="BR756" s="16">
        <f t="shared" si="515"/>
        <v>-90983.854061203718</v>
      </c>
      <c r="BS756" s="15">
        <f t="shared" si="490"/>
        <v>22.170849845882874</v>
      </c>
      <c r="BT756" s="75">
        <f>BS756*(1-PARAM!$C$27)*$I$20+(MOD($B756,60)=PARAM!$B$56)*($B756&gt;(60-PARAM!$B$56))*HLOOKUP(($B756+PARAM!$B$56)/12,Loyalty,2)*$F$1*MAX(BV755,0)</f>
        <v>18.557001321003963</v>
      </c>
      <c r="BU756" s="75">
        <f>PARAM!$C$26+MAX($G$20-CHOOSE(PARAM!$B$44,MAX(0,BV755*$F$1),0),0)*RATES!$L732/12+$H$20*(PARAM!$D$51/12)*RATES!$N732/100</f>
        <v>741.58333333333337</v>
      </c>
      <c r="BV756" s="16">
        <f t="shared" si="516"/>
        <v>-90983.854061203718</v>
      </c>
      <c r="BW756" s="15">
        <f t="shared" si="491"/>
        <v>22.170849845882874</v>
      </c>
      <c r="BX756" s="75">
        <f>BW756*(1-PARAM!$C$27)*$I$21+(MOD($B756,60)=PARAM!$B$56)*($B756&gt;(60-PARAM!$B$56))*HLOOKUP(($B756+PARAM!$B$56)/12,Loyalty,2)*$F$1*MAX(BZ755,0)</f>
        <v>18.557001321003963</v>
      </c>
      <c r="BY756" s="75">
        <f>PARAM!$C$26+MAX($G$21-CHOOSE(PARAM!$B$44,MAX(0,BZ755*$F$1),0),0)*RATES!$L732/12+$H$21*(PARAM!$D$51/12)*RATES!$N732/100</f>
        <v>741.58333333333337</v>
      </c>
      <c r="BZ756" s="16">
        <f t="shared" si="517"/>
        <v>-90983.854061203718</v>
      </c>
      <c r="CA756" s="15">
        <f t="shared" si="492"/>
        <v>22.170849845882874</v>
      </c>
      <c r="CB756" s="75">
        <f>CA756*(1-PARAM!$C$27)*$I$22+(MOD($B756,60)=PARAM!$B$56)*($B756&gt;(60-PARAM!$B$56))*HLOOKUP(($B756+PARAM!$B$56)/12,Loyalty,2)*$F$1*MAX(CD755,0)</f>
        <v>18.557001321003963</v>
      </c>
      <c r="CC756" s="75">
        <f>PARAM!$C$26+MAX($G$22-CHOOSE(PARAM!$B$44,MAX(0,CD755*$F$1),0),0)*RATES!$L732/12+$H$22*(PARAM!$D$51/12)*RATES!$N732/100</f>
        <v>741.58333333333337</v>
      </c>
      <c r="CD756" s="16">
        <f t="shared" si="518"/>
        <v>-90983.854061203718</v>
      </c>
      <c r="CE756" s="33">
        <f>IF(0=MOD(B756,12/PARAM!$D$51),1,0)</f>
        <v>1</v>
      </c>
      <c r="CF756" s="15">
        <f t="shared" si="493"/>
        <v>0</v>
      </c>
      <c r="CG756" s="75">
        <f>CF756*(1-PARAM!$C$27)*$R$3+(MOD($B756/12,5)=0)*($B756&gt;60)*HLOOKUP($B756/12,Loyalty,2)*$F$1*MAX(CI755,0)</f>
        <v>0</v>
      </c>
      <c r="CH756" s="75">
        <f>PARAM!$C$26+MAX($P$3-CHOOSE(PARAM!$B$44,MAX(0,CI755*$F$1),0),0)*RATES!$L732/12+$Q$3*(PARAM!$D$51/12)*RATES!$N732/100</f>
        <v>741.58333333333337</v>
      </c>
      <c r="CI756" s="16">
        <f>IF(CI755&gt;0,CI755*PARAM!$C$53,CI755)+CG756-CH756</f>
        <v>-104392.3333333336</v>
      </c>
      <c r="CJ756" s="15">
        <f t="shared" si="519"/>
        <v>0</v>
      </c>
      <c r="CK756" s="75">
        <f>CJ756*(1-PARAM!$C$27)*$R$4+(MOD($B756/12,5)=0)*($B756&gt;60)*HLOOKUP($B756/12,Loyalty,2)*$F$1*MAX(CM755,0)</f>
        <v>0</v>
      </c>
      <c r="CL756" s="75">
        <f>PARAM!$C$26+MAX($P$4-CHOOSE(PARAM!$B$44,MAX(0,CM755*$F$1),0),0)*RATES!$L732/12+$Q$4*(PARAM!$D$51/12)*RATES!$N732/100</f>
        <v>741.58333333333337</v>
      </c>
      <c r="CM756" s="16">
        <f>IF(CM755&gt;0,CM755*PARAM!$C$53,CM755)+CK756-CL756</f>
        <v>-104392.3333333336</v>
      </c>
      <c r="CO756" s="176"/>
    </row>
    <row r="757" spans="1:93" x14ac:dyDescent="0.2">
      <c r="A757" t="b">
        <f t="shared" si="494"/>
        <v>0</v>
      </c>
      <c r="B757" s="33">
        <v>730</v>
      </c>
      <c r="C757" s="15">
        <f t="shared" si="495"/>
        <v>20.081305947392778</v>
      </c>
      <c r="D757" s="75">
        <f>C757*(1-PARAM!$C$27)*$I$3+(MOD($B757,60)=PARAM!$B$56)*($B757&gt;(60-PARAM!$B$56))*HLOOKUP(($B757+PARAM!$B$56)/12,Loyalty,2)*$F$1*MAX(F756,0)</f>
        <v>16.808053077967756</v>
      </c>
      <c r="E757" s="75">
        <f>PARAM!$C$26+MAX($G$3-CHOOSE(PARAM!$B$44,MAX(0,F756*$F$1),0),0)*RATES!$L733/12+$H$3*(PARAM!$D$51/12)*RATES!$N733/100</f>
        <v>741.58333333333337</v>
      </c>
      <c r="F757" s="16">
        <f t="shared" si="496"/>
        <v>-93020.463111153949</v>
      </c>
      <c r="G757" s="15">
        <f t="shared" si="497"/>
        <v>22.035289406060361</v>
      </c>
      <c r="H757" s="75">
        <f>G757*(1-PARAM!$C$27)*$I$4+(MOD($B757,60)=PARAM!$B$56)*($B757&gt;(60-PARAM!$B$56))*HLOOKUP(($B757+PARAM!$B$56)/12,Loyalty,2)*$F$1*MAX(J756,0)</f>
        <v>18.443537232872522</v>
      </c>
      <c r="I757" s="75">
        <f>PARAM!$C$26+MAX($G$4-CHOOSE(PARAM!$B$44,MAX(0,J756*$F$1),0),0)*RATES!$L733/12+$H$4*(PARAM!$D$51/12)*RATES!$N733/100</f>
        <v>741.58333333333337</v>
      </c>
      <c r="J757" s="16">
        <f t="shared" si="498"/>
        <v>-91792.726713951735</v>
      </c>
      <c r="K757" s="15">
        <f t="shared" si="499"/>
        <v>22.170849845882874</v>
      </c>
      <c r="L757" s="75">
        <f>K757*(1-PARAM!$C$27)*$I$5+(MOD($B757,60)=PARAM!$B$56)*($B757&gt;(60-PARAM!$B$56))*HLOOKUP(($B757+PARAM!$B$56)/12,Loyalty,2)*$F$1*MAX(N756,0)</f>
        <v>18.557001321003963</v>
      </c>
      <c r="M757" s="75">
        <f>PARAM!$C$26+MAX($G$5-CHOOSE(PARAM!$B$44,MAX(0,N756*$F$1),0),0)*RATES!$L733/12+$H$5*(PARAM!$D$51/12)*RATES!$N733/100</f>
        <v>741.58333333333337</v>
      </c>
      <c r="N757" s="16">
        <f t="shared" si="500"/>
        <v>-91706.880393216037</v>
      </c>
      <c r="O757" s="15">
        <f t="shared" si="501"/>
        <v>22.170849845882874</v>
      </c>
      <c r="P757" s="75">
        <f>O757*(1-PARAM!$C$27)*$I$6+(MOD($B757,60)=PARAM!$B$56)*($B757&gt;(60-PARAM!$B$56))*HLOOKUP(($B757+PARAM!$B$56)/12,Loyalty,2)*$F$1*MAX(R756,0)</f>
        <v>18.557001321003963</v>
      </c>
      <c r="Q757" s="75">
        <f>PARAM!$C$26+MAX($G$6-CHOOSE(PARAM!$B$44,MAX(0,R756*$F$1),0),0)*RATES!$L733/12+$H$6*(PARAM!$D$51/12)*RATES!$N733/100</f>
        <v>741.58333333333337</v>
      </c>
      <c r="R757" s="16">
        <f t="shared" si="502"/>
        <v>-91706.880393216037</v>
      </c>
      <c r="S757" s="15">
        <f t="shared" si="477"/>
        <v>22.170849845882874</v>
      </c>
      <c r="T757" s="75">
        <f>S757*(1-PARAM!$C$27)*$I$7+(MOD($B757,60)=PARAM!$B$56)*($B757&gt;(60-PARAM!$B$56))*HLOOKUP(($B757+PARAM!$B$56)/12,Loyalty,2)*$F$1*MAX(V756,0)</f>
        <v>18.557001321003963</v>
      </c>
      <c r="U757" s="75">
        <f>PARAM!$C$26+MAX($G$7-CHOOSE(PARAM!$B$44,MAX(0,V756*$F$1),0),0)*RATES!$L733/12+$H$7*(PARAM!$D$51/12)*RATES!$N733/100</f>
        <v>741.58333333333337</v>
      </c>
      <c r="V757" s="16">
        <f t="shared" si="503"/>
        <v>-91706.880393216037</v>
      </c>
      <c r="W757" s="15">
        <f t="shared" si="478"/>
        <v>22.170849845882874</v>
      </c>
      <c r="X757" s="75">
        <f>W757*(1-PARAM!$C$27)*$I$8+(MOD($B757,60)=PARAM!$B$56)*($B757&gt;(60-PARAM!$B$56))*HLOOKUP(($B757+PARAM!$B$56)/12,Loyalty,2)*$F$1*MAX(Z756,0)</f>
        <v>18.557001321003963</v>
      </c>
      <c r="Y757" s="75">
        <f>PARAM!$C$26+MAX($G$8-CHOOSE(PARAM!$B$44,MAX(0,Z756*$F$1),0),0)*RATES!$L733/12+$H$8*(PARAM!$D$51/12)*RATES!$N733/100</f>
        <v>741.58333333333337</v>
      </c>
      <c r="Z757" s="16">
        <f t="shared" si="504"/>
        <v>-91706.880393216037</v>
      </c>
      <c r="AA757" s="15">
        <f t="shared" si="479"/>
        <v>22.170849845882874</v>
      </c>
      <c r="AB757" s="75">
        <f>AA757*(1-PARAM!$C$27)*$I$9+(MOD($B757,60)=PARAM!$B$56)*($B757&gt;(60-PARAM!$B$56))*HLOOKUP(($B757+PARAM!$B$56)/12,Loyalty,2)*$F$1*MAX(AD756,0)</f>
        <v>18.557001321003963</v>
      </c>
      <c r="AC757" s="75">
        <f>PARAM!$C$26+MAX($G$9-CHOOSE(PARAM!$B$44,MAX(0,AD756*$F$1),0),0)*RATES!$L733/12+$H$9*(PARAM!$D$51/12)*RATES!$N733/100</f>
        <v>741.58333333333337</v>
      </c>
      <c r="AD757" s="16">
        <f t="shared" si="505"/>
        <v>-91706.880393216037</v>
      </c>
      <c r="AE757" s="15">
        <f t="shared" si="480"/>
        <v>22.170849845882874</v>
      </c>
      <c r="AF757" s="75">
        <f>AE757*(1-PARAM!$C$27)*$I$10+(MOD($B757,60)=PARAM!$B$56)*($B757&gt;(60-PARAM!$B$56))*HLOOKUP(($B757+PARAM!$B$56)/12,Loyalty,2)*$F$1*MAX(AH756,0)</f>
        <v>18.557001321003963</v>
      </c>
      <c r="AG757" s="75">
        <f>PARAM!$C$26+MAX($G$10-CHOOSE(PARAM!$B$44,MAX(0,AH756*$F$1),0),0)*RATES!$L733/12+$H$10*(PARAM!$D$51/12)*RATES!$N733/100</f>
        <v>741.58333333333337</v>
      </c>
      <c r="AH757" s="16">
        <f t="shared" si="506"/>
        <v>-91706.880393216037</v>
      </c>
      <c r="AI757" s="15">
        <f t="shared" si="481"/>
        <v>22.170849845882874</v>
      </c>
      <c r="AJ757" s="75">
        <f>AI757*(1-PARAM!$C$27)*$I$11+(MOD($B757,60)=PARAM!$B$56)*($B757&gt;(60-PARAM!$B$56))*HLOOKUP(($B757+PARAM!$B$56)/12,Loyalty,2)*$F$1*MAX(AL756,0)</f>
        <v>18.557001321003963</v>
      </c>
      <c r="AK757" s="75">
        <f>PARAM!$C$26+MAX($G$11-CHOOSE(PARAM!$B$44,MAX(0,AL756*$F$1),0),0)*RATES!$L733/12+$H$11*(PARAM!$D$51/12)*RATES!$N733/100</f>
        <v>741.58333333333337</v>
      </c>
      <c r="AL757" s="16">
        <f t="shared" si="507"/>
        <v>-91706.880393216037</v>
      </c>
      <c r="AM757" s="15">
        <f t="shared" si="482"/>
        <v>22.170849845882874</v>
      </c>
      <c r="AN757" s="75">
        <f>AM757*(1-PARAM!$C$27)*$I$12+(MOD($B757,60)=PARAM!$B$56)*($B757&gt;(60-PARAM!$B$56))*HLOOKUP(($B757+PARAM!$B$56)/12,Loyalty,2)*$F$1*MAX(AP756,0)</f>
        <v>18.557001321003963</v>
      </c>
      <c r="AO757" s="75">
        <f>PARAM!$C$26+MAX($G$12-CHOOSE(PARAM!$B$44,MAX(0,AP756*$F$1),0),0)*RATES!$L733/12+$H$12*(PARAM!$D$51/12)*RATES!$N733/100</f>
        <v>741.58333333333337</v>
      </c>
      <c r="AP757" s="16">
        <f t="shared" si="508"/>
        <v>-91706.880393216037</v>
      </c>
      <c r="AQ757" s="15">
        <f t="shared" si="483"/>
        <v>22.170849845882874</v>
      </c>
      <c r="AR757" s="75">
        <f>AQ757*(1-PARAM!$C$27)*$I$13+(MOD($B757,60)=PARAM!$B$56)*($B757&gt;(60-PARAM!$B$56))*HLOOKUP(($B757+PARAM!$B$56)/12,Loyalty,2)*$F$1*MAX(AT756,0)</f>
        <v>18.557001321003963</v>
      </c>
      <c r="AS757" s="75">
        <f>PARAM!$C$26+MAX($G$13-CHOOSE(PARAM!$B$44,MAX(0,AT756*$F$1),0),0)*RATES!$L733/12+$H$13*(PARAM!$D$51/12)*RATES!$N733/100</f>
        <v>741.58333333333337</v>
      </c>
      <c r="AT757" s="16">
        <f t="shared" si="509"/>
        <v>-91706.880393216037</v>
      </c>
      <c r="AU757" s="15">
        <f t="shared" si="484"/>
        <v>22.170849845882874</v>
      </c>
      <c r="AV757" s="75">
        <f>AU757*(1-PARAM!$C$27)*$I$14+(MOD($B757,60)=PARAM!$B$56)*($B757&gt;(60-PARAM!$B$56))*HLOOKUP(($B757+PARAM!$B$56)/12,Loyalty,2)*$F$1*MAX(AX756,0)</f>
        <v>18.557001321003963</v>
      </c>
      <c r="AW757" s="75">
        <f>PARAM!$C$26+MAX($G$14-CHOOSE(PARAM!$B$44,MAX(0,AX756*$F$1),0),0)*RATES!$L733/12+$H$14*(PARAM!$D$51/12)*RATES!$N733/100</f>
        <v>741.58333333333337</v>
      </c>
      <c r="AX757" s="16">
        <f t="shared" si="510"/>
        <v>-91706.880393216037</v>
      </c>
      <c r="AY757" s="15">
        <f t="shared" si="485"/>
        <v>22.170849845882874</v>
      </c>
      <c r="AZ757" s="75">
        <f>AY757*(1-PARAM!$C$27)*$I$15+(MOD($B757,60)=PARAM!$B$56)*($B757&gt;(60-PARAM!$B$56))*HLOOKUP(($B757+PARAM!$B$56)/12,Loyalty,2)*$F$1*MAX(BB756,0)</f>
        <v>18.557001321003963</v>
      </c>
      <c r="BA757" s="75">
        <f>PARAM!$C$26+MAX($G$15-CHOOSE(PARAM!$B$44,MAX(0,BB756*$F$1),0),0)*RATES!$L733/12+$H$15*(PARAM!$D$51/12)*RATES!$N733/100</f>
        <v>741.58333333333337</v>
      </c>
      <c r="BB757" s="16">
        <f t="shared" si="511"/>
        <v>-91706.880393216037</v>
      </c>
      <c r="BC757" s="15">
        <f t="shared" si="486"/>
        <v>22.170849845882874</v>
      </c>
      <c r="BD757" s="75">
        <f>BC757*(1-PARAM!$C$27)*$I$16+(MOD($B757,60)=PARAM!$B$56)*($B757&gt;(60-PARAM!$B$56))*HLOOKUP(($B757+PARAM!$B$56)/12,Loyalty,2)*$F$1*MAX(BF756,0)</f>
        <v>18.557001321003963</v>
      </c>
      <c r="BE757" s="75">
        <f>PARAM!$C$26+MAX($G$16-CHOOSE(PARAM!$B$44,MAX(0,BF756*$F$1),0),0)*RATES!$L733/12+$H$16*(PARAM!$D$51/12)*RATES!$N733/100</f>
        <v>741.58333333333337</v>
      </c>
      <c r="BF757" s="16">
        <f t="shared" si="512"/>
        <v>-91706.880393216037</v>
      </c>
      <c r="BG757" s="15">
        <f t="shared" si="487"/>
        <v>22.170849845882874</v>
      </c>
      <c r="BH757" s="75">
        <f>BG757*(1-PARAM!$C$27)*$I$17+(MOD($B757,60)=PARAM!$B$56)*($B757&gt;(60-PARAM!$B$56))*HLOOKUP(($B757+PARAM!$B$56)/12,Loyalty,2)*$F$1*MAX(BJ756,0)</f>
        <v>18.557001321003963</v>
      </c>
      <c r="BI757" s="75">
        <f>PARAM!$C$26+MAX($G$17-CHOOSE(PARAM!$B$44,MAX(0,BJ756*$F$1),0),0)*RATES!$L733/12+$H$17*(PARAM!$D$51/12)*RATES!$N733/100</f>
        <v>741.58333333333337</v>
      </c>
      <c r="BJ757" s="16">
        <f t="shared" si="513"/>
        <v>-91706.880393216037</v>
      </c>
      <c r="BK757" s="15">
        <f t="shared" si="488"/>
        <v>22.170849845882874</v>
      </c>
      <c r="BL757" s="75">
        <f>BK757*(1-PARAM!$C$27)*$I$18+(MOD($B757,60)=PARAM!$B$56)*($B757&gt;(60-PARAM!$B$56))*HLOOKUP(($B757+PARAM!$B$56)/12,Loyalty,2)*$F$1*MAX(BN756,0)</f>
        <v>18.557001321003963</v>
      </c>
      <c r="BM757" s="75">
        <f>PARAM!$C$26+MAX($G$18-CHOOSE(PARAM!$B$44,MAX(0,BN756*$F$1),0),0)*RATES!$L733/12+$H$18*(PARAM!$D$51/12)*RATES!$N733/100</f>
        <v>741.58333333333337</v>
      </c>
      <c r="BN757" s="16">
        <f t="shared" si="514"/>
        <v>-91706.880393216037</v>
      </c>
      <c r="BO757" s="15">
        <f t="shared" si="489"/>
        <v>22.170849845882874</v>
      </c>
      <c r="BP757" s="75">
        <f>BO757*(1-PARAM!$C$27)*$I$19+(MOD($B757,60)=PARAM!$B$56)*($B757&gt;(60-PARAM!$B$56))*HLOOKUP(($B757+PARAM!$B$56)/12,Loyalty,2)*$F$1*MAX(BR756,0)</f>
        <v>18.557001321003963</v>
      </c>
      <c r="BQ757" s="75">
        <f>PARAM!$C$26+MAX($G$19-CHOOSE(PARAM!$B$44,MAX(0,BR756*$F$1),0),0)*RATES!$L733/12+$H$19*(PARAM!$D$51/12)*RATES!$N733/100</f>
        <v>741.58333333333337</v>
      </c>
      <c r="BR757" s="16">
        <f t="shared" si="515"/>
        <v>-91706.880393216037</v>
      </c>
      <c r="BS757" s="15">
        <f t="shared" si="490"/>
        <v>22.170849845882874</v>
      </c>
      <c r="BT757" s="75">
        <f>BS757*(1-PARAM!$C$27)*$I$20+(MOD($B757,60)=PARAM!$B$56)*($B757&gt;(60-PARAM!$B$56))*HLOOKUP(($B757+PARAM!$B$56)/12,Loyalty,2)*$F$1*MAX(BV756,0)</f>
        <v>18.557001321003963</v>
      </c>
      <c r="BU757" s="75">
        <f>PARAM!$C$26+MAX($G$20-CHOOSE(PARAM!$B$44,MAX(0,BV756*$F$1),0),0)*RATES!$L733/12+$H$20*(PARAM!$D$51/12)*RATES!$N733/100</f>
        <v>741.58333333333337</v>
      </c>
      <c r="BV757" s="16">
        <f t="shared" si="516"/>
        <v>-91706.880393216037</v>
      </c>
      <c r="BW757" s="15">
        <f t="shared" si="491"/>
        <v>22.170849845882874</v>
      </c>
      <c r="BX757" s="75">
        <f>BW757*(1-PARAM!$C$27)*$I$21+(MOD($B757,60)=PARAM!$B$56)*($B757&gt;(60-PARAM!$B$56))*HLOOKUP(($B757+PARAM!$B$56)/12,Loyalty,2)*$F$1*MAX(BZ756,0)</f>
        <v>18.557001321003963</v>
      </c>
      <c r="BY757" s="75">
        <f>PARAM!$C$26+MAX($G$21-CHOOSE(PARAM!$B$44,MAX(0,BZ756*$F$1),0),0)*RATES!$L733/12+$H$21*(PARAM!$D$51/12)*RATES!$N733/100</f>
        <v>741.58333333333337</v>
      </c>
      <c r="BZ757" s="16">
        <f t="shared" si="517"/>
        <v>-91706.880393216037</v>
      </c>
      <c r="CA757" s="15">
        <f t="shared" si="492"/>
        <v>22.170849845882874</v>
      </c>
      <c r="CB757" s="75">
        <f>CA757*(1-PARAM!$C$27)*$I$22+(MOD($B757,60)=PARAM!$B$56)*($B757&gt;(60-PARAM!$B$56))*HLOOKUP(($B757+PARAM!$B$56)/12,Loyalty,2)*$F$1*MAX(CD756,0)</f>
        <v>18.557001321003963</v>
      </c>
      <c r="CC757" s="75">
        <f>PARAM!$C$26+MAX($G$22-CHOOSE(PARAM!$B$44,MAX(0,CD756*$F$1),0),0)*RATES!$L733/12+$H$22*(PARAM!$D$51/12)*RATES!$N733/100</f>
        <v>741.58333333333337</v>
      </c>
      <c r="CD757" s="16">
        <f t="shared" si="518"/>
        <v>-91706.880393216037</v>
      </c>
      <c r="CE757" s="33">
        <f>IF(0=MOD(B757,12/PARAM!$D$51),1,0)</f>
        <v>1</v>
      </c>
      <c r="CF757" s="15">
        <f t="shared" si="493"/>
        <v>0</v>
      </c>
      <c r="CG757" s="75">
        <f>CF757*(1-PARAM!$C$27)*$R$3+(MOD($B757/12,5)=0)*($B757&gt;60)*HLOOKUP($B757/12,Loyalty,2)*$F$1*MAX(CI756,0)</f>
        <v>0</v>
      </c>
      <c r="CH757" s="75">
        <f>PARAM!$C$26+MAX($P$3-CHOOSE(PARAM!$B$44,MAX(0,CI756*$F$1),0),0)*RATES!$L733/12+$Q$3*(PARAM!$D$51/12)*RATES!$N733/100</f>
        <v>741.58333333333337</v>
      </c>
      <c r="CI757" s="16">
        <f>IF(CI756&gt;0,CI756*PARAM!$C$53,CI756)+CG757-CH757</f>
        <v>-105133.91666666693</v>
      </c>
      <c r="CJ757" s="15">
        <f t="shared" si="519"/>
        <v>0</v>
      </c>
      <c r="CK757" s="75">
        <f>CJ757*(1-PARAM!$C$27)*$R$4+(MOD($B757/12,5)=0)*($B757&gt;60)*HLOOKUP($B757/12,Loyalty,2)*$F$1*MAX(CM756,0)</f>
        <v>0</v>
      </c>
      <c r="CL757" s="75">
        <f>PARAM!$C$26+MAX($P$4-CHOOSE(PARAM!$B$44,MAX(0,CM756*$F$1),0),0)*RATES!$L733/12+$Q$4*(PARAM!$D$51/12)*RATES!$N733/100</f>
        <v>741.58333333333337</v>
      </c>
      <c r="CM757" s="16">
        <f>IF(CM756&gt;0,CM756*PARAM!$C$53,CM756)+CK757-CL757</f>
        <v>-105133.91666666693</v>
      </c>
      <c r="CO757" s="176"/>
    </row>
    <row r="758" spans="1:93" x14ac:dyDescent="0.2">
      <c r="A758" t="b">
        <f t="shared" si="494"/>
        <v>0</v>
      </c>
      <c r="B758" s="33">
        <v>731</v>
      </c>
      <c r="C758" s="15">
        <f t="shared" si="495"/>
        <v>20.081305947392778</v>
      </c>
      <c r="D758" s="75">
        <f>C758*(1-PARAM!$C$27)*$I$3+(MOD($B758,60)=PARAM!$B$56)*($B758&gt;(60-PARAM!$B$56))*HLOOKUP(($B758+PARAM!$B$56)/12,Loyalty,2)*$F$1*MAX(F757,0)</f>
        <v>16.808053077967756</v>
      </c>
      <c r="E758" s="75">
        <f>PARAM!$C$26+MAX($G$3-CHOOSE(PARAM!$B$44,MAX(0,F757*$F$1),0),0)*RATES!$L734/12+$H$3*(PARAM!$D$51/12)*RATES!$N734/100</f>
        <v>741.58333333333337</v>
      </c>
      <c r="F758" s="16">
        <f t="shared" si="496"/>
        <v>-93745.238391409308</v>
      </c>
      <c r="G758" s="15">
        <f t="shared" si="497"/>
        <v>22.035289406060361</v>
      </c>
      <c r="H758" s="75">
        <f>G758*(1-PARAM!$C$27)*$I$4+(MOD($B758,60)=PARAM!$B$56)*($B758&gt;(60-PARAM!$B$56))*HLOOKUP(($B758+PARAM!$B$56)/12,Loyalty,2)*$F$1*MAX(J757,0)</f>
        <v>18.443537232872522</v>
      </c>
      <c r="I758" s="75">
        <f>PARAM!$C$26+MAX($G$4-CHOOSE(PARAM!$B$44,MAX(0,J757*$F$1),0),0)*RATES!$L734/12+$H$4*(PARAM!$D$51/12)*RATES!$N734/100</f>
        <v>741.58333333333337</v>
      </c>
      <c r="J758" s="16">
        <f t="shared" si="498"/>
        <v>-92515.86651005219</v>
      </c>
      <c r="K758" s="15">
        <f t="shared" si="499"/>
        <v>22.170849845882874</v>
      </c>
      <c r="L758" s="75">
        <f>K758*(1-PARAM!$C$27)*$I$5+(MOD($B758,60)=PARAM!$B$56)*($B758&gt;(60-PARAM!$B$56))*HLOOKUP(($B758+PARAM!$B$56)/12,Loyalty,2)*$F$1*MAX(N757,0)</f>
        <v>18.557001321003963</v>
      </c>
      <c r="M758" s="75">
        <f>PARAM!$C$26+MAX($G$5-CHOOSE(PARAM!$B$44,MAX(0,N757*$F$1),0),0)*RATES!$L734/12+$H$5*(PARAM!$D$51/12)*RATES!$N734/100</f>
        <v>741.58333333333337</v>
      </c>
      <c r="N758" s="16">
        <f t="shared" si="500"/>
        <v>-92429.906725228357</v>
      </c>
      <c r="O758" s="15">
        <f t="shared" si="501"/>
        <v>22.170849845882874</v>
      </c>
      <c r="P758" s="75">
        <f>O758*(1-PARAM!$C$27)*$I$6+(MOD($B758,60)=PARAM!$B$56)*($B758&gt;(60-PARAM!$B$56))*HLOOKUP(($B758+PARAM!$B$56)/12,Loyalty,2)*$F$1*MAX(R757,0)</f>
        <v>18.557001321003963</v>
      </c>
      <c r="Q758" s="75">
        <f>PARAM!$C$26+MAX($G$6-CHOOSE(PARAM!$B$44,MAX(0,R757*$F$1),0),0)*RATES!$L734/12+$H$6*(PARAM!$D$51/12)*RATES!$N734/100</f>
        <v>741.58333333333337</v>
      </c>
      <c r="R758" s="16">
        <f t="shared" si="502"/>
        <v>-92429.906725228357</v>
      </c>
      <c r="S758" s="15">
        <f t="shared" si="477"/>
        <v>22.170849845882874</v>
      </c>
      <c r="T758" s="75">
        <f>S758*(1-PARAM!$C$27)*$I$7+(MOD($B758,60)=PARAM!$B$56)*($B758&gt;(60-PARAM!$B$56))*HLOOKUP(($B758+PARAM!$B$56)/12,Loyalty,2)*$F$1*MAX(V757,0)</f>
        <v>18.557001321003963</v>
      </c>
      <c r="U758" s="75">
        <f>PARAM!$C$26+MAX($G$7-CHOOSE(PARAM!$B$44,MAX(0,V757*$F$1),0),0)*RATES!$L734/12+$H$7*(PARAM!$D$51/12)*RATES!$N734/100</f>
        <v>741.58333333333337</v>
      </c>
      <c r="V758" s="16">
        <f t="shared" si="503"/>
        <v>-92429.906725228357</v>
      </c>
      <c r="W758" s="15">
        <f t="shared" si="478"/>
        <v>22.170849845882874</v>
      </c>
      <c r="X758" s="75">
        <f>W758*(1-PARAM!$C$27)*$I$8+(MOD($B758,60)=PARAM!$B$56)*($B758&gt;(60-PARAM!$B$56))*HLOOKUP(($B758+PARAM!$B$56)/12,Loyalty,2)*$F$1*MAX(Z757,0)</f>
        <v>18.557001321003963</v>
      </c>
      <c r="Y758" s="75">
        <f>PARAM!$C$26+MAX($G$8-CHOOSE(PARAM!$B$44,MAX(0,Z757*$F$1),0),0)*RATES!$L734/12+$H$8*(PARAM!$D$51/12)*RATES!$N734/100</f>
        <v>741.58333333333337</v>
      </c>
      <c r="Z758" s="16">
        <f t="shared" si="504"/>
        <v>-92429.906725228357</v>
      </c>
      <c r="AA758" s="15">
        <f t="shared" si="479"/>
        <v>22.170849845882874</v>
      </c>
      <c r="AB758" s="75">
        <f>AA758*(1-PARAM!$C$27)*$I$9+(MOD($B758,60)=PARAM!$B$56)*($B758&gt;(60-PARAM!$B$56))*HLOOKUP(($B758+PARAM!$B$56)/12,Loyalty,2)*$F$1*MAX(AD757,0)</f>
        <v>18.557001321003963</v>
      </c>
      <c r="AC758" s="75">
        <f>PARAM!$C$26+MAX($G$9-CHOOSE(PARAM!$B$44,MAX(0,AD757*$F$1),0),0)*RATES!$L734/12+$H$9*(PARAM!$D$51/12)*RATES!$N734/100</f>
        <v>741.58333333333337</v>
      </c>
      <c r="AD758" s="16">
        <f t="shared" si="505"/>
        <v>-92429.906725228357</v>
      </c>
      <c r="AE758" s="15">
        <f t="shared" si="480"/>
        <v>22.170849845882874</v>
      </c>
      <c r="AF758" s="75">
        <f>AE758*(1-PARAM!$C$27)*$I$10+(MOD($B758,60)=PARAM!$B$56)*($B758&gt;(60-PARAM!$B$56))*HLOOKUP(($B758+PARAM!$B$56)/12,Loyalty,2)*$F$1*MAX(AH757,0)</f>
        <v>18.557001321003963</v>
      </c>
      <c r="AG758" s="75">
        <f>PARAM!$C$26+MAX($G$10-CHOOSE(PARAM!$B$44,MAX(0,AH757*$F$1),0),0)*RATES!$L734/12+$H$10*(PARAM!$D$51/12)*RATES!$N734/100</f>
        <v>741.58333333333337</v>
      </c>
      <c r="AH758" s="16">
        <f t="shared" si="506"/>
        <v>-92429.906725228357</v>
      </c>
      <c r="AI758" s="15">
        <f t="shared" si="481"/>
        <v>22.170849845882874</v>
      </c>
      <c r="AJ758" s="75">
        <f>AI758*(1-PARAM!$C$27)*$I$11+(MOD($B758,60)=PARAM!$B$56)*($B758&gt;(60-PARAM!$B$56))*HLOOKUP(($B758+PARAM!$B$56)/12,Loyalty,2)*$F$1*MAX(AL757,0)</f>
        <v>18.557001321003963</v>
      </c>
      <c r="AK758" s="75">
        <f>PARAM!$C$26+MAX($G$11-CHOOSE(PARAM!$B$44,MAX(0,AL757*$F$1),0),0)*RATES!$L734/12+$H$11*(PARAM!$D$51/12)*RATES!$N734/100</f>
        <v>741.58333333333337</v>
      </c>
      <c r="AL758" s="16">
        <f t="shared" si="507"/>
        <v>-92429.906725228357</v>
      </c>
      <c r="AM758" s="15">
        <f t="shared" si="482"/>
        <v>22.170849845882874</v>
      </c>
      <c r="AN758" s="75">
        <f>AM758*(1-PARAM!$C$27)*$I$12+(MOD($B758,60)=PARAM!$B$56)*($B758&gt;(60-PARAM!$B$56))*HLOOKUP(($B758+PARAM!$B$56)/12,Loyalty,2)*$F$1*MAX(AP757,0)</f>
        <v>18.557001321003963</v>
      </c>
      <c r="AO758" s="75">
        <f>PARAM!$C$26+MAX($G$12-CHOOSE(PARAM!$B$44,MAX(0,AP757*$F$1),0),0)*RATES!$L734/12+$H$12*(PARAM!$D$51/12)*RATES!$N734/100</f>
        <v>741.58333333333337</v>
      </c>
      <c r="AP758" s="16">
        <f t="shared" si="508"/>
        <v>-92429.906725228357</v>
      </c>
      <c r="AQ758" s="15">
        <f t="shared" si="483"/>
        <v>22.170849845882874</v>
      </c>
      <c r="AR758" s="75">
        <f>AQ758*(1-PARAM!$C$27)*$I$13+(MOD($B758,60)=PARAM!$B$56)*($B758&gt;(60-PARAM!$B$56))*HLOOKUP(($B758+PARAM!$B$56)/12,Loyalty,2)*$F$1*MAX(AT757,0)</f>
        <v>18.557001321003963</v>
      </c>
      <c r="AS758" s="75">
        <f>PARAM!$C$26+MAX($G$13-CHOOSE(PARAM!$B$44,MAX(0,AT757*$F$1),0),0)*RATES!$L734/12+$H$13*(PARAM!$D$51/12)*RATES!$N734/100</f>
        <v>741.58333333333337</v>
      </c>
      <c r="AT758" s="16">
        <f t="shared" si="509"/>
        <v>-92429.906725228357</v>
      </c>
      <c r="AU758" s="15">
        <f t="shared" si="484"/>
        <v>22.170849845882874</v>
      </c>
      <c r="AV758" s="75">
        <f>AU758*(1-PARAM!$C$27)*$I$14+(MOD($B758,60)=PARAM!$B$56)*($B758&gt;(60-PARAM!$B$56))*HLOOKUP(($B758+PARAM!$B$56)/12,Loyalty,2)*$F$1*MAX(AX757,0)</f>
        <v>18.557001321003963</v>
      </c>
      <c r="AW758" s="75">
        <f>PARAM!$C$26+MAX($G$14-CHOOSE(PARAM!$B$44,MAX(0,AX757*$F$1),0),0)*RATES!$L734/12+$H$14*(PARAM!$D$51/12)*RATES!$N734/100</f>
        <v>741.58333333333337</v>
      </c>
      <c r="AX758" s="16">
        <f t="shared" si="510"/>
        <v>-92429.906725228357</v>
      </c>
      <c r="AY758" s="15">
        <f t="shared" si="485"/>
        <v>22.170849845882874</v>
      </c>
      <c r="AZ758" s="75">
        <f>AY758*(1-PARAM!$C$27)*$I$15+(MOD($B758,60)=PARAM!$B$56)*($B758&gt;(60-PARAM!$B$56))*HLOOKUP(($B758+PARAM!$B$56)/12,Loyalty,2)*$F$1*MAX(BB757,0)</f>
        <v>18.557001321003963</v>
      </c>
      <c r="BA758" s="75">
        <f>PARAM!$C$26+MAX($G$15-CHOOSE(PARAM!$B$44,MAX(0,BB757*$F$1),0),0)*RATES!$L734/12+$H$15*(PARAM!$D$51/12)*RATES!$N734/100</f>
        <v>741.58333333333337</v>
      </c>
      <c r="BB758" s="16">
        <f t="shared" si="511"/>
        <v>-92429.906725228357</v>
      </c>
      <c r="BC758" s="15">
        <f t="shared" si="486"/>
        <v>22.170849845882874</v>
      </c>
      <c r="BD758" s="75">
        <f>BC758*(1-PARAM!$C$27)*$I$16+(MOD($B758,60)=PARAM!$B$56)*($B758&gt;(60-PARAM!$B$56))*HLOOKUP(($B758+PARAM!$B$56)/12,Loyalty,2)*$F$1*MAX(BF757,0)</f>
        <v>18.557001321003963</v>
      </c>
      <c r="BE758" s="75">
        <f>PARAM!$C$26+MAX($G$16-CHOOSE(PARAM!$B$44,MAX(0,BF757*$F$1),0),0)*RATES!$L734/12+$H$16*(PARAM!$D$51/12)*RATES!$N734/100</f>
        <v>741.58333333333337</v>
      </c>
      <c r="BF758" s="16">
        <f t="shared" si="512"/>
        <v>-92429.906725228357</v>
      </c>
      <c r="BG758" s="15">
        <f t="shared" si="487"/>
        <v>22.170849845882874</v>
      </c>
      <c r="BH758" s="75">
        <f>BG758*(1-PARAM!$C$27)*$I$17+(MOD($B758,60)=PARAM!$B$56)*($B758&gt;(60-PARAM!$B$56))*HLOOKUP(($B758+PARAM!$B$56)/12,Loyalty,2)*$F$1*MAX(BJ757,0)</f>
        <v>18.557001321003963</v>
      </c>
      <c r="BI758" s="75">
        <f>PARAM!$C$26+MAX($G$17-CHOOSE(PARAM!$B$44,MAX(0,BJ757*$F$1),0),0)*RATES!$L734/12+$H$17*(PARAM!$D$51/12)*RATES!$N734/100</f>
        <v>741.58333333333337</v>
      </c>
      <c r="BJ758" s="16">
        <f t="shared" si="513"/>
        <v>-92429.906725228357</v>
      </c>
      <c r="BK758" s="15">
        <f t="shared" si="488"/>
        <v>22.170849845882874</v>
      </c>
      <c r="BL758" s="75">
        <f>BK758*(1-PARAM!$C$27)*$I$18+(MOD($B758,60)=PARAM!$B$56)*($B758&gt;(60-PARAM!$B$56))*HLOOKUP(($B758+PARAM!$B$56)/12,Loyalty,2)*$F$1*MAX(BN757,0)</f>
        <v>18.557001321003963</v>
      </c>
      <c r="BM758" s="75">
        <f>PARAM!$C$26+MAX($G$18-CHOOSE(PARAM!$B$44,MAX(0,BN757*$F$1),0),0)*RATES!$L734/12+$H$18*(PARAM!$D$51/12)*RATES!$N734/100</f>
        <v>741.58333333333337</v>
      </c>
      <c r="BN758" s="16">
        <f t="shared" si="514"/>
        <v>-92429.906725228357</v>
      </c>
      <c r="BO758" s="15">
        <f t="shared" si="489"/>
        <v>22.170849845882874</v>
      </c>
      <c r="BP758" s="75">
        <f>BO758*(1-PARAM!$C$27)*$I$19+(MOD($B758,60)=PARAM!$B$56)*($B758&gt;(60-PARAM!$B$56))*HLOOKUP(($B758+PARAM!$B$56)/12,Loyalty,2)*$F$1*MAX(BR757,0)</f>
        <v>18.557001321003963</v>
      </c>
      <c r="BQ758" s="75">
        <f>PARAM!$C$26+MAX($G$19-CHOOSE(PARAM!$B$44,MAX(0,BR757*$F$1),0),0)*RATES!$L734/12+$H$19*(PARAM!$D$51/12)*RATES!$N734/100</f>
        <v>741.58333333333337</v>
      </c>
      <c r="BR758" s="16">
        <f t="shared" si="515"/>
        <v>-92429.906725228357</v>
      </c>
      <c r="BS758" s="15">
        <f t="shared" si="490"/>
        <v>22.170849845882874</v>
      </c>
      <c r="BT758" s="75">
        <f>BS758*(1-PARAM!$C$27)*$I$20+(MOD($B758,60)=PARAM!$B$56)*($B758&gt;(60-PARAM!$B$56))*HLOOKUP(($B758+PARAM!$B$56)/12,Loyalty,2)*$F$1*MAX(BV757,0)</f>
        <v>18.557001321003963</v>
      </c>
      <c r="BU758" s="75">
        <f>PARAM!$C$26+MAX($G$20-CHOOSE(PARAM!$B$44,MAX(0,BV757*$F$1),0),0)*RATES!$L734/12+$H$20*(PARAM!$D$51/12)*RATES!$N734/100</f>
        <v>741.58333333333337</v>
      </c>
      <c r="BV758" s="16">
        <f t="shared" si="516"/>
        <v>-92429.906725228357</v>
      </c>
      <c r="BW758" s="15">
        <f t="shared" si="491"/>
        <v>22.170849845882874</v>
      </c>
      <c r="BX758" s="75">
        <f>BW758*(1-PARAM!$C$27)*$I$21+(MOD($B758,60)=PARAM!$B$56)*($B758&gt;(60-PARAM!$B$56))*HLOOKUP(($B758+PARAM!$B$56)/12,Loyalty,2)*$F$1*MAX(BZ757,0)</f>
        <v>18.557001321003963</v>
      </c>
      <c r="BY758" s="75">
        <f>PARAM!$C$26+MAX($G$21-CHOOSE(PARAM!$B$44,MAX(0,BZ757*$F$1),0),0)*RATES!$L734/12+$H$21*(PARAM!$D$51/12)*RATES!$N734/100</f>
        <v>741.58333333333337</v>
      </c>
      <c r="BZ758" s="16">
        <f t="shared" si="517"/>
        <v>-92429.906725228357</v>
      </c>
      <c r="CA758" s="15">
        <f t="shared" si="492"/>
        <v>22.170849845882874</v>
      </c>
      <c r="CB758" s="75">
        <f>CA758*(1-PARAM!$C$27)*$I$22+(MOD($B758,60)=PARAM!$B$56)*($B758&gt;(60-PARAM!$B$56))*HLOOKUP(($B758+PARAM!$B$56)/12,Loyalty,2)*$F$1*MAX(CD757,0)</f>
        <v>18.557001321003963</v>
      </c>
      <c r="CC758" s="75">
        <f>PARAM!$C$26+MAX($G$22-CHOOSE(PARAM!$B$44,MAX(0,CD757*$F$1),0),0)*RATES!$L734/12+$H$22*(PARAM!$D$51/12)*RATES!$N734/100</f>
        <v>741.58333333333337</v>
      </c>
      <c r="CD758" s="16">
        <f t="shared" si="518"/>
        <v>-92429.906725228357</v>
      </c>
      <c r="CE758" s="33">
        <f>IF(0=MOD(B758,12/PARAM!$D$51),1,0)</f>
        <v>1</v>
      </c>
      <c r="CF758" s="15">
        <f t="shared" si="493"/>
        <v>0</v>
      </c>
      <c r="CG758" s="75">
        <f>CF758*(1-PARAM!$C$27)*$R$3+(MOD($B758/12,5)=0)*($B758&gt;60)*HLOOKUP($B758/12,Loyalty,2)*$F$1*MAX(CI757,0)</f>
        <v>0</v>
      </c>
      <c r="CH758" s="75">
        <f>PARAM!$C$26+MAX($P$3-CHOOSE(PARAM!$B$44,MAX(0,CI757*$F$1),0),0)*RATES!$L734/12+$Q$3*(PARAM!$D$51/12)*RATES!$N734/100</f>
        <v>741.58333333333337</v>
      </c>
      <c r="CI758" s="16">
        <f>IF(CI757&gt;0,CI757*PARAM!$C$53,CI757)+CG758-CH758</f>
        <v>-105875.50000000026</v>
      </c>
      <c r="CJ758" s="15">
        <f t="shared" si="519"/>
        <v>0</v>
      </c>
      <c r="CK758" s="75">
        <f>CJ758*(1-PARAM!$C$27)*$R$4+(MOD($B758/12,5)=0)*($B758&gt;60)*HLOOKUP($B758/12,Loyalty,2)*$F$1*MAX(CM757,0)</f>
        <v>0</v>
      </c>
      <c r="CL758" s="75">
        <f>PARAM!$C$26+MAX($P$4-CHOOSE(PARAM!$B$44,MAX(0,CM757*$F$1),0),0)*RATES!$L734/12+$Q$4*(PARAM!$D$51/12)*RATES!$N734/100</f>
        <v>741.58333333333337</v>
      </c>
      <c r="CM758" s="16">
        <f>IF(CM757&gt;0,CM757*PARAM!$C$53,CM757)+CK758-CL758</f>
        <v>-105875.50000000026</v>
      </c>
      <c r="CO758" s="176"/>
    </row>
    <row r="759" spans="1:93" x14ac:dyDescent="0.2">
      <c r="A759" t="b">
        <f t="shared" si="494"/>
        <v>0</v>
      </c>
      <c r="B759" s="33">
        <v>732</v>
      </c>
      <c r="C759" s="15">
        <f t="shared" si="495"/>
        <v>20.081305947392778</v>
      </c>
      <c r="D759" s="75">
        <f>C759*(1-PARAM!$C$27)*$I$3+(MOD($B759,60)=PARAM!$B$56)*($B759&gt;(60-PARAM!$B$56))*HLOOKUP(($B759+PARAM!$B$56)/12,Loyalty,2)*$F$1*MAX(F758,0)</f>
        <v>16.808053077967756</v>
      </c>
      <c r="E759" s="75">
        <f>PARAM!$C$26+MAX($G$3-CHOOSE(PARAM!$B$44,MAX(0,F758*$F$1),0),0)*RATES!$L735/12+$H$3*(PARAM!$D$51/12)*RATES!$N735/100</f>
        <v>741.58333333333337</v>
      </c>
      <c r="F759" s="16">
        <f t="shared" si="496"/>
        <v>-94470.013671664667</v>
      </c>
      <c r="G759" s="15">
        <f t="shared" si="497"/>
        <v>22.035289406060361</v>
      </c>
      <c r="H759" s="75">
        <f>G759*(1-PARAM!$C$27)*$I$4+(MOD($B759,60)=PARAM!$B$56)*($B759&gt;(60-PARAM!$B$56))*HLOOKUP(($B759+PARAM!$B$56)/12,Loyalty,2)*$F$1*MAX(J758,0)</f>
        <v>18.443537232872522</v>
      </c>
      <c r="I759" s="75">
        <f>PARAM!$C$26+MAX($G$4-CHOOSE(PARAM!$B$44,MAX(0,J758*$F$1),0),0)*RATES!$L735/12+$H$4*(PARAM!$D$51/12)*RATES!$N735/100</f>
        <v>741.58333333333337</v>
      </c>
      <c r="J759" s="16">
        <f t="shared" si="498"/>
        <v>-93239.006306152645</v>
      </c>
      <c r="K759" s="15">
        <f t="shared" si="499"/>
        <v>22.170849845882874</v>
      </c>
      <c r="L759" s="75">
        <f>K759*(1-PARAM!$C$27)*$I$5+(MOD($B759,60)=PARAM!$B$56)*($B759&gt;(60-PARAM!$B$56))*HLOOKUP(($B759+PARAM!$B$56)/12,Loyalty,2)*$F$1*MAX(N758,0)</f>
        <v>18.557001321003963</v>
      </c>
      <c r="M759" s="75">
        <f>PARAM!$C$26+MAX($G$5-CHOOSE(PARAM!$B$44,MAX(0,N758*$F$1),0),0)*RATES!$L735/12+$H$5*(PARAM!$D$51/12)*RATES!$N735/100</f>
        <v>741.58333333333337</v>
      </c>
      <c r="N759" s="16">
        <f t="shared" si="500"/>
        <v>-93152.933057240676</v>
      </c>
      <c r="O759" s="15">
        <f t="shared" si="501"/>
        <v>22.170849845882874</v>
      </c>
      <c r="P759" s="75">
        <f>O759*(1-PARAM!$C$27)*$I$6+(MOD($B759,60)=PARAM!$B$56)*($B759&gt;(60-PARAM!$B$56))*HLOOKUP(($B759+PARAM!$B$56)/12,Loyalty,2)*$F$1*MAX(R758,0)</f>
        <v>18.557001321003963</v>
      </c>
      <c r="Q759" s="75">
        <f>PARAM!$C$26+MAX($G$6-CHOOSE(PARAM!$B$44,MAX(0,R758*$F$1),0),0)*RATES!$L735/12+$H$6*(PARAM!$D$51/12)*RATES!$N735/100</f>
        <v>741.58333333333337</v>
      </c>
      <c r="R759" s="16">
        <f t="shared" si="502"/>
        <v>-93152.933057240676</v>
      </c>
      <c r="S759" s="15">
        <f t="shared" si="477"/>
        <v>22.170849845882874</v>
      </c>
      <c r="T759" s="75">
        <f>S759*(1-PARAM!$C$27)*$I$7+(MOD($B759,60)=PARAM!$B$56)*($B759&gt;(60-PARAM!$B$56))*HLOOKUP(($B759+PARAM!$B$56)/12,Loyalty,2)*$F$1*MAX(V758,0)</f>
        <v>18.557001321003963</v>
      </c>
      <c r="U759" s="75">
        <f>PARAM!$C$26+MAX($G$7-CHOOSE(PARAM!$B$44,MAX(0,V758*$F$1),0),0)*RATES!$L735/12+$H$7*(PARAM!$D$51/12)*RATES!$N735/100</f>
        <v>741.58333333333337</v>
      </c>
      <c r="V759" s="16">
        <f t="shared" si="503"/>
        <v>-93152.933057240676</v>
      </c>
      <c r="W759" s="15">
        <f t="shared" si="478"/>
        <v>22.170849845882874</v>
      </c>
      <c r="X759" s="75">
        <f>W759*(1-PARAM!$C$27)*$I$8+(MOD($B759,60)=PARAM!$B$56)*($B759&gt;(60-PARAM!$B$56))*HLOOKUP(($B759+PARAM!$B$56)/12,Loyalty,2)*$F$1*MAX(Z758,0)</f>
        <v>18.557001321003963</v>
      </c>
      <c r="Y759" s="75">
        <f>PARAM!$C$26+MAX($G$8-CHOOSE(PARAM!$B$44,MAX(0,Z758*$F$1),0),0)*RATES!$L735/12+$H$8*(PARAM!$D$51/12)*RATES!$N735/100</f>
        <v>741.58333333333337</v>
      </c>
      <c r="Z759" s="16">
        <f t="shared" si="504"/>
        <v>-93152.933057240676</v>
      </c>
      <c r="AA759" s="15">
        <f t="shared" si="479"/>
        <v>22.170849845882874</v>
      </c>
      <c r="AB759" s="75">
        <f>AA759*(1-PARAM!$C$27)*$I$9+(MOD($B759,60)=PARAM!$B$56)*($B759&gt;(60-PARAM!$B$56))*HLOOKUP(($B759+PARAM!$B$56)/12,Loyalty,2)*$F$1*MAX(AD758,0)</f>
        <v>18.557001321003963</v>
      </c>
      <c r="AC759" s="75">
        <f>PARAM!$C$26+MAX($G$9-CHOOSE(PARAM!$B$44,MAX(0,AD758*$F$1),0),0)*RATES!$L735/12+$H$9*(PARAM!$D$51/12)*RATES!$N735/100</f>
        <v>741.58333333333337</v>
      </c>
      <c r="AD759" s="16">
        <f t="shared" si="505"/>
        <v>-93152.933057240676</v>
      </c>
      <c r="AE759" s="15">
        <f t="shared" si="480"/>
        <v>22.170849845882874</v>
      </c>
      <c r="AF759" s="75">
        <f>AE759*(1-PARAM!$C$27)*$I$10+(MOD($B759,60)=PARAM!$B$56)*($B759&gt;(60-PARAM!$B$56))*HLOOKUP(($B759+PARAM!$B$56)/12,Loyalty,2)*$F$1*MAX(AH758,0)</f>
        <v>18.557001321003963</v>
      </c>
      <c r="AG759" s="75">
        <f>PARAM!$C$26+MAX($G$10-CHOOSE(PARAM!$B$44,MAX(0,AH758*$F$1),0),0)*RATES!$L735/12+$H$10*(PARAM!$D$51/12)*RATES!$N735/100</f>
        <v>741.58333333333337</v>
      </c>
      <c r="AH759" s="16">
        <f t="shared" si="506"/>
        <v>-93152.933057240676</v>
      </c>
      <c r="AI759" s="15">
        <f t="shared" si="481"/>
        <v>22.170849845882874</v>
      </c>
      <c r="AJ759" s="75">
        <f>AI759*(1-PARAM!$C$27)*$I$11+(MOD($B759,60)=PARAM!$B$56)*($B759&gt;(60-PARAM!$B$56))*HLOOKUP(($B759+PARAM!$B$56)/12,Loyalty,2)*$F$1*MAX(AL758,0)</f>
        <v>18.557001321003963</v>
      </c>
      <c r="AK759" s="75">
        <f>PARAM!$C$26+MAX($G$11-CHOOSE(PARAM!$B$44,MAX(0,AL758*$F$1),0),0)*RATES!$L735/12+$H$11*(PARAM!$D$51/12)*RATES!$N735/100</f>
        <v>741.58333333333337</v>
      </c>
      <c r="AL759" s="16">
        <f t="shared" si="507"/>
        <v>-93152.933057240676</v>
      </c>
      <c r="AM759" s="15">
        <f t="shared" si="482"/>
        <v>22.170849845882874</v>
      </c>
      <c r="AN759" s="75">
        <f>AM759*(1-PARAM!$C$27)*$I$12+(MOD($B759,60)=PARAM!$B$56)*($B759&gt;(60-PARAM!$B$56))*HLOOKUP(($B759+PARAM!$B$56)/12,Loyalty,2)*$F$1*MAX(AP758,0)</f>
        <v>18.557001321003963</v>
      </c>
      <c r="AO759" s="75">
        <f>PARAM!$C$26+MAX($G$12-CHOOSE(PARAM!$B$44,MAX(0,AP758*$F$1),0),0)*RATES!$L735/12+$H$12*(PARAM!$D$51/12)*RATES!$N735/100</f>
        <v>741.58333333333337</v>
      </c>
      <c r="AP759" s="16">
        <f t="shared" si="508"/>
        <v>-93152.933057240676</v>
      </c>
      <c r="AQ759" s="15">
        <f t="shared" si="483"/>
        <v>22.170849845882874</v>
      </c>
      <c r="AR759" s="75">
        <f>AQ759*(1-PARAM!$C$27)*$I$13+(MOD($B759,60)=PARAM!$B$56)*($B759&gt;(60-PARAM!$B$56))*HLOOKUP(($B759+PARAM!$B$56)/12,Loyalty,2)*$F$1*MAX(AT758,0)</f>
        <v>18.557001321003963</v>
      </c>
      <c r="AS759" s="75">
        <f>PARAM!$C$26+MAX($G$13-CHOOSE(PARAM!$B$44,MAX(0,AT758*$F$1),0),0)*RATES!$L735/12+$H$13*(PARAM!$D$51/12)*RATES!$N735/100</f>
        <v>741.58333333333337</v>
      </c>
      <c r="AT759" s="16">
        <f t="shared" si="509"/>
        <v>-93152.933057240676</v>
      </c>
      <c r="AU759" s="15">
        <f t="shared" si="484"/>
        <v>22.170849845882874</v>
      </c>
      <c r="AV759" s="75">
        <f>AU759*(1-PARAM!$C$27)*$I$14+(MOD($B759,60)=PARAM!$B$56)*($B759&gt;(60-PARAM!$B$56))*HLOOKUP(($B759+PARAM!$B$56)/12,Loyalty,2)*$F$1*MAX(AX758,0)</f>
        <v>18.557001321003963</v>
      </c>
      <c r="AW759" s="75">
        <f>PARAM!$C$26+MAX($G$14-CHOOSE(PARAM!$B$44,MAX(0,AX758*$F$1),0),0)*RATES!$L735/12+$H$14*(PARAM!$D$51/12)*RATES!$N735/100</f>
        <v>741.58333333333337</v>
      </c>
      <c r="AX759" s="16">
        <f t="shared" si="510"/>
        <v>-93152.933057240676</v>
      </c>
      <c r="AY759" s="15">
        <f t="shared" si="485"/>
        <v>22.170849845882874</v>
      </c>
      <c r="AZ759" s="75">
        <f>AY759*(1-PARAM!$C$27)*$I$15+(MOD($B759,60)=PARAM!$B$56)*($B759&gt;(60-PARAM!$B$56))*HLOOKUP(($B759+PARAM!$B$56)/12,Loyalty,2)*$F$1*MAX(BB758,0)</f>
        <v>18.557001321003963</v>
      </c>
      <c r="BA759" s="75">
        <f>PARAM!$C$26+MAX($G$15-CHOOSE(PARAM!$B$44,MAX(0,BB758*$F$1),0),0)*RATES!$L735/12+$H$15*(PARAM!$D$51/12)*RATES!$N735/100</f>
        <v>741.58333333333337</v>
      </c>
      <c r="BB759" s="16">
        <f t="shared" si="511"/>
        <v>-93152.933057240676</v>
      </c>
      <c r="BC759" s="15">
        <f t="shared" si="486"/>
        <v>22.170849845882874</v>
      </c>
      <c r="BD759" s="75">
        <f>BC759*(1-PARAM!$C$27)*$I$16+(MOD($B759,60)=PARAM!$B$56)*($B759&gt;(60-PARAM!$B$56))*HLOOKUP(($B759+PARAM!$B$56)/12,Loyalty,2)*$F$1*MAX(BF758,0)</f>
        <v>18.557001321003963</v>
      </c>
      <c r="BE759" s="75">
        <f>PARAM!$C$26+MAX($G$16-CHOOSE(PARAM!$B$44,MAX(0,BF758*$F$1),0),0)*RATES!$L735/12+$H$16*(PARAM!$D$51/12)*RATES!$N735/100</f>
        <v>741.58333333333337</v>
      </c>
      <c r="BF759" s="16">
        <f t="shared" si="512"/>
        <v>-93152.933057240676</v>
      </c>
      <c r="BG759" s="15">
        <f t="shared" si="487"/>
        <v>22.170849845882874</v>
      </c>
      <c r="BH759" s="75">
        <f>BG759*(1-PARAM!$C$27)*$I$17+(MOD($B759,60)=PARAM!$B$56)*($B759&gt;(60-PARAM!$B$56))*HLOOKUP(($B759+PARAM!$B$56)/12,Loyalty,2)*$F$1*MAX(BJ758,0)</f>
        <v>18.557001321003963</v>
      </c>
      <c r="BI759" s="75">
        <f>PARAM!$C$26+MAX($G$17-CHOOSE(PARAM!$B$44,MAX(0,BJ758*$F$1),0),0)*RATES!$L735/12+$H$17*(PARAM!$D$51/12)*RATES!$N735/100</f>
        <v>741.58333333333337</v>
      </c>
      <c r="BJ759" s="16">
        <f t="shared" si="513"/>
        <v>-93152.933057240676</v>
      </c>
      <c r="BK759" s="15">
        <f t="shared" si="488"/>
        <v>22.170849845882874</v>
      </c>
      <c r="BL759" s="75">
        <f>BK759*(1-PARAM!$C$27)*$I$18+(MOD($B759,60)=PARAM!$B$56)*($B759&gt;(60-PARAM!$B$56))*HLOOKUP(($B759+PARAM!$B$56)/12,Loyalty,2)*$F$1*MAX(BN758,0)</f>
        <v>18.557001321003963</v>
      </c>
      <c r="BM759" s="75">
        <f>PARAM!$C$26+MAX($G$18-CHOOSE(PARAM!$B$44,MAX(0,BN758*$F$1),0),0)*RATES!$L735/12+$H$18*(PARAM!$D$51/12)*RATES!$N735/100</f>
        <v>741.58333333333337</v>
      </c>
      <c r="BN759" s="16">
        <f t="shared" si="514"/>
        <v>-93152.933057240676</v>
      </c>
      <c r="BO759" s="15">
        <f t="shared" si="489"/>
        <v>22.170849845882874</v>
      </c>
      <c r="BP759" s="75">
        <f>BO759*(1-PARAM!$C$27)*$I$19+(MOD($B759,60)=PARAM!$B$56)*($B759&gt;(60-PARAM!$B$56))*HLOOKUP(($B759+PARAM!$B$56)/12,Loyalty,2)*$F$1*MAX(BR758,0)</f>
        <v>18.557001321003963</v>
      </c>
      <c r="BQ759" s="75">
        <f>PARAM!$C$26+MAX($G$19-CHOOSE(PARAM!$B$44,MAX(0,BR758*$F$1),0),0)*RATES!$L735/12+$H$19*(PARAM!$D$51/12)*RATES!$N735/100</f>
        <v>741.58333333333337</v>
      </c>
      <c r="BR759" s="16">
        <f t="shared" si="515"/>
        <v>-93152.933057240676</v>
      </c>
      <c r="BS759" s="15">
        <f t="shared" si="490"/>
        <v>22.170849845882874</v>
      </c>
      <c r="BT759" s="75">
        <f>BS759*(1-PARAM!$C$27)*$I$20+(MOD($B759,60)=PARAM!$B$56)*($B759&gt;(60-PARAM!$B$56))*HLOOKUP(($B759+PARAM!$B$56)/12,Loyalty,2)*$F$1*MAX(BV758,0)</f>
        <v>18.557001321003963</v>
      </c>
      <c r="BU759" s="75">
        <f>PARAM!$C$26+MAX($G$20-CHOOSE(PARAM!$B$44,MAX(0,BV758*$F$1),0),0)*RATES!$L735/12+$H$20*(PARAM!$D$51/12)*RATES!$N735/100</f>
        <v>741.58333333333337</v>
      </c>
      <c r="BV759" s="16">
        <f t="shared" si="516"/>
        <v>-93152.933057240676</v>
      </c>
      <c r="BW759" s="15">
        <f t="shared" si="491"/>
        <v>22.170849845882874</v>
      </c>
      <c r="BX759" s="75">
        <f>BW759*(1-PARAM!$C$27)*$I$21+(MOD($B759,60)=PARAM!$B$56)*($B759&gt;(60-PARAM!$B$56))*HLOOKUP(($B759+PARAM!$B$56)/12,Loyalty,2)*$F$1*MAX(BZ758,0)</f>
        <v>18.557001321003963</v>
      </c>
      <c r="BY759" s="75">
        <f>PARAM!$C$26+MAX($G$21-CHOOSE(PARAM!$B$44,MAX(0,BZ758*$F$1),0),0)*RATES!$L735/12+$H$21*(PARAM!$D$51/12)*RATES!$N735/100</f>
        <v>741.58333333333337</v>
      </c>
      <c r="BZ759" s="16">
        <f t="shared" si="517"/>
        <v>-93152.933057240676</v>
      </c>
      <c r="CA759" s="15">
        <f t="shared" si="492"/>
        <v>22.170849845882874</v>
      </c>
      <c r="CB759" s="75">
        <f>CA759*(1-PARAM!$C$27)*$I$22+(MOD($B759,60)=PARAM!$B$56)*($B759&gt;(60-PARAM!$B$56))*HLOOKUP(($B759+PARAM!$B$56)/12,Loyalty,2)*$F$1*MAX(CD758,0)</f>
        <v>18.557001321003963</v>
      </c>
      <c r="CC759" s="75">
        <f>PARAM!$C$26+MAX($G$22-CHOOSE(PARAM!$B$44,MAX(0,CD758*$F$1),0),0)*RATES!$L735/12+$H$22*(PARAM!$D$51/12)*RATES!$N735/100</f>
        <v>741.58333333333337</v>
      </c>
      <c r="CD759" s="16">
        <f t="shared" si="518"/>
        <v>-93152.933057240676</v>
      </c>
      <c r="CE759" s="33">
        <f>IF(0=MOD(B759,12/PARAM!$D$51),1,0)</f>
        <v>1</v>
      </c>
      <c r="CF759" s="15">
        <f t="shared" si="493"/>
        <v>0</v>
      </c>
      <c r="CG759" s="75">
        <f>CF759*(1-PARAM!$C$27)*$R$3+(MOD($B759/12,5)=0)*($B759&gt;60)*HLOOKUP($B759/12,Loyalty,2)*$F$1*MAX(CI758,0)</f>
        <v>0</v>
      </c>
      <c r="CH759" s="75">
        <f>PARAM!$C$26+MAX($P$3-CHOOSE(PARAM!$B$44,MAX(0,CI758*$F$1),0),0)*RATES!$L735/12+$Q$3*(PARAM!$D$51/12)*RATES!$N735/100</f>
        <v>741.58333333333337</v>
      </c>
      <c r="CI759" s="16">
        <f>IF(CI758&gt;0,CI758*PARAM!$C$53,CI758)+CG759-CH759</f>
        <v>-106617.08333333359</v>
      </c>
      <c r="CJ759" s="15">
        <f t="shared" si="519"/>
        <v>0</v>
      </c>
      <c r="CK759" s="75">
        <f>CJ759*(1-PARAM!$C$27)*$R$4+(MOD($B759/12,5)=0)*($B759&gt;60)*HLOOKUP($B759/12,Loyalty,2)*$F$1*MAX(CM758,0)</f>
        <v>0</v>
      </c>
      <c r="CL759" s="75">
        <f>PARAM!$C$26+MAX($P$4-CHOOSE(PARAM!$B$44,MAX(0,CM758*$F$1),0),0)*RATES!$L735/12+$Q$4*(PARAM!$D$51/12)*RATES!$N735/100</f>
        <v>741.58333333333337</v>
      </c>
      <c r="CM759" s="16">
        <f>IF(CM758&gt;0,CM758*PARAM!$C$53,CM758)+CK759-CL759</f>
        <v>-106617.08333333359</v>
      </c>
      <c r="CO759" s="176"/>
    </row>
    <row r="760" spans="1:93" x14ac:dyDescent="0.2">
      <c r="A760" t="b">
        <f t="shared" si="494"/>
        <v>0</v>
      </c>
      <c r="B760" s="33">
        <v>733</v>
      </c>
      <c r="C760" s="15">
        <f t="shared" si="495"/>
        <v>20.081305947392778</v>
      </c>
      <c r="D760" s="75">
        <f>C760*(1-PARAM!$C$27)*$I$3+(MOD($B760,60)=PARAM!$B$56)*($B760&gt;(60-PARAM!$B$56))*HLOOKUP(($B760+PARAM!$B$56)/12,Loyalty,2)*$F$1*MAX(F759,0)</f>
        <v>16.808053077967756</v>
      </c>
      <c r="E760" s="75">
        <f>PARAM!$C$26+MAX($G$3-CHOOSE(PARAM!$B$44,MAX(0,F759*$F$1),0),0)*RATES!$L736/12+$H$3*(PARAM!$D$51/12)*RATES!$N736/100</f>
        <v>741.58333333333337</v>
      </c>
      <c r="F760" s="16">
        <f t="shared" si="496"/>
        <v>-95194.788951920025</v>
      </c>
      <c r="G760" s="15">
        <f t="shared" si="497"/>
        <v>22.035289406060361</v>
      </c>
      <c r="H760" s="75">
        <f>G760*(1-PARAM!$C$27)*$I$4+(MOD($B760,60)=PARAM!$B$56)*($B760&gt;(60-PARAM!$B$56))*HLOOKUP(($B760+PARAM!$B$56)/12,Loyalty,2)*$F$1*MAX(J759,0)</f>
        <v>18.443537232872522</v>
      </c>
      <c r="I760" s="75">
        <f>PARAM!$C$26+MAX($G$4-CHOOSE(PARAM!$B$44,MAX(0,J759*$F$1),0),0)*RATES!$L736/12+$H$4*(PARAM!$D$51/12)*RATES!$N736/100</f>
        <v>741.58333333333337</v>
      </c>
      <c r="J760" s="16">
        <f t="shared" si="498"/>
        <v>-93962.1461022531</v>
      </c>
      <c r="K760" s="15">
        <f t="shared" si="499"/>
        <v>22.170849845882874</v>
      </c>
      <c r="L760" s="75">
        <f>K760*(1-PARAM!$C$27)*$I$5+(MOD($B760,60)=PARAM!$B$56)*($B760&gt;(60-PARAM!$B$56))*HLOOKUP(($B760+PARAM!$B$56)/12,Loyalty,2)*$F$1*MAX(N759,0)</f>
        <v>18.557001321003963</v>
      </c>
      <c r="M760" s="75">
        <f>PARAM!$C$26+MAX($G$5-CHOOSE(PARAM!$B$44,MAX(0,N759*$F$1),0),0)*RATES!$L736/12+$H$5*(PARAM!$D$51/12)*RATES!$N736/100</f>
        <v>741.58333333333337</v>
      </c>
      <c r="N760" s="16">
        <f t="shared" si="500"/>
        <v>-93875.959389252996</v>
      </c>
      <c r="O760" s="15">
        <f t="shared" si="501"/>
        <v>22.170849845882874</v>
      </c>
      <c r="P760" s="75">
        <f>O760*(1-PARAM!$C$27)*$I$6+(MOD($B760,60)=PARAM!$B$56)*($B760&gt;(60-PARAM!$B$56))*HLOOKUP(($B760+PARAM!$B$56)/12,Loyalty,2)*$F$1*MAX(R759,0)</f>
        <v>18.557001321003963</v>
      </c>
      <c r="Q760" s="75">
        <f>PARAM!$C$26+MAX($G$6-CHOOSE(PARAM!$B$44,MAX(0,R759*$F$1),0),0)*RATES!$L736/12+$H$6*(PARAM!$D$51/12)*RATES!$N736/100</f>
        <v>741.58333333333337</v>
      </c>
      <c r="R760" s="16">
        <f t="shared" si="502"/>
        <v>-93875.959389252996</v>
      </c>
      <c r="S760" s="15">
        <f t="shared" si="477"/>
        <v>22.170849845882874</v>
      </c>
      <c r="T760" s="75">
        <f>S760*(1-PARAM!$C$27)*$I$7+(MOD($B760,60)=PARAM!$B$56)*($B760&gt;(60-PARAM!$B$56))*HLOOKUP(($B760+PARAM!$B$56)/12,Loyalty,2)*$F$1*MAX(V759,0)</f>
        <v>18.557001321003963</v>
      </c>
      <c r="U760" s="75">
        <f>PARAM!$C$26+MAX($G$7-CHOOSE(PARAM!$B$44,MAX(0,V759*$F$1),0),0)*RATES!$L736/12+$H$7*(PARAM!$D$51/12)*RATES!$N736/100</f>
        <v>741.58333333333337</v>
      </c>
      <c r="V760" s="16">
        <f t="shared" si="503"/>
        <v>-93875.959389252996</v>
      </c>
      <c r="W760" s="15">
        <f t="shared" si="478"/>
        <v>22.170849845882874</v>
      </c>
      <c r="X760" s="75">
        <f>W760*(1-PARAM!$C$27)*$I$8+(MOD($B760,60)=PARAM!$B$56)*($B760&gt;(60-PARAM!$B$56))*HLOOKUP(($B760+PARAM!$B$56)/12,Loyalty,2)*$F$1*MAX(Z759,0)</f>
        <v>18.557001321003963</v>
      </c>
      <c r="Y760" s="75">
        <f>PARAM!$C$26+MAX($G$8-CHOOSE(PARAM!$B$44,MAX(0,Z759*$F$1),0),0)*RATES!$L736/12+$H$8*(PARAM!$D$51/12)*RATES!$N736/100</f>
        <v>741.58333333333337</v>
      </c>
      <c r="Z760" s="16">
        <f t="shared" si="504"/>
        <v>-93875.959389252996</v>
      </c>
      <c r="AA760" s="15">
        <f t="shared" si="479"/>
        <v>22.170849845882874</v>
      </c>
      <c r="AB760" s="75">
        <f>AA760*(1-PARAM!$C$27)*$I$9+(MOD($B760,60)=PARAM!$B$56)*($B760&gt;(60-PARAM!$B$56))*HLOOKUP(($B760+PARAM!$B$56)/12,Loyalty,2)*$F$1*MAX(AD759,0)</f>
        <v>18.557001321003963</v>
      </c>
      <c r="AC760" s="75">
        <f>PARAM!$C$26+MAX($G$9-CHOOSE(PARAM!$B$44,MAX(0,AD759*$F$1),0),0)*RATES!$L736/12+$H$9*(PARAM!$D$51/12)*RATES!$N736/100</f>
        <v>741.58333333333337</v>
      </c>
      <c r="AD760" s="16">
        <f t="shared" si="505"/>
        <v>-93875.959389252996</v>
      </c>
      <c r="AE760" s="15">
        <f t="shared" si="480"/>
        <v>22.170849845882874</v>
      </c>
      <c r="AF760" s="75">
        <f>AE760*(1-PARAM!$C$27)*$I$10+(MOD($B760,60)=PARAM!$B$56)*($B760&gt;(60-PARAM!$B$56))*HLOOKUP(($B760+PARAM!$B$56)/12,Loyalty,2)*$F$1*MAX(AH759,0)</f>
        <v>18.557001321003963</v>
      </c>
      <c r="AG760" s="75">
        <f>PARAM!$C$26+MAX($G$10-CHOOSE(PARAM!$B$44,MAX(0,AH759*$F$1),0),0)*RATES!$L736/12+$H$10*(PARAM!$D$51/12)*RATES!$N736/100</f>
        <v>741.58333333333337</v>
      </c>
      <c r="AH760" s="16">
        <f t="shared" si="506"/>
        <v>-93875.959389252996</v>
      </c>
      <c r="AI760" s="15">
        <f t="shared" si="481"/>
        <v>22.170849845882874</v>
      </c>
      <c r="AJ760" s="75">
        <f>AI760*(1-PARAM!$C$27)*$I$11+(MOD($B760,60)=PARAM!$B$56)*($B760&gt;(60-PARAM!$B$56))*HLOOKUP(($B760+PARAM!$B$56)/12,Loyalty,2)*$F$1*MAX(AL759,0)</f>
        <v>18.557001321003963</v>
      </c>
      <c r="AK760" s="75">
        <f>PARAM!$C$26+MAX($G$11-CHOOSE(PARAM!$B$44,MAX(0,AL759*$F$1),0),0)*RATES!$L736/12+$H$11*(PARAM!$D$51/12)*RATES!$N736/100</f>
        <v>741.58333333333337</v>
      </c>
      <c r="AL760" s="16">
        <f t="shared" si="507"/>
        <v>-93875.959389252996</v>
      </c>
      <c r="AM760" s="15">
        <f t="shared" si="482"/>
        <v>22.170849845882874</v>
      </c>
      <c r="AN760" s="75">
        <f>AM760*(1-PARAM!$C$27)*$I$12+(MOD($B760,60)=PARAM!$B$56)*($B760&gt;(60-PARAM!$B$56))*HLOOKUP(($B760+PARAM!$B$56)/12,Loyalty,2)*$F$1*MAX(AP759,0)</f>
        <v>18.557001321003963</v>
      </c>
      <c r="AO760" s="75">
        <f>PARAM!$C$26+MAX($G$12-CHOOSE(PARAM!$B$44,MAX(0,AP759*$F$1),0),0)*RATES!$L736/12+$H$12*(PARAM!$D$51/12)*RATES!$N736/100</f>
        <v>741.58333333333337</v>
      </c>
      <c r="AP760" s="16">
        <f t="shared" si="508"/>
        <v>-93875.959389252996</v>
      </c>
      <c r="AQ760" s="15">
        <f t="shared" si="483"/>
        <v>22.170849845882874</v>
      </c>
      <c r="AR760" s="75">
        <f>AQ760*(1-PARAM!$C$27)*$I$13+(MOD($B760,60)=PARAM!$B$56)*($B760&gt;(60-PARAM!$B$56))*HLOOKUP(($B760+PARAM!$B$56)/12,Loyalty,2)*$F$1*MAX(AT759,0)</f>
        <v>18.557001321003963</v>
      </c>
      <c r="AS760" s="75">
        <f>PARAM!$C$26+MAX($G$13-CHOOSE(PARAM!$B$44,MAX(0,AT759*$F$1),0),0)*RATES!$L736/12+$H$13*(PARAM!$D$51/12)*RATES!$N736/100</f>
        <v>741.58333333333337</v>
      </c>
      <c r="AT760" s="16">
        <f t="shared" si="509"/>
        <v>-93875.959389252996</v>
      </c>
      <c r="AU760" s="15">
        <f t="shared" si="484"/>
        <v>22.170849845882874</v>
      </c>
      <c r="AV760" s="75">
        <f>AU760*(1-PARAM!$C$27)*$I$14+(MOD($B760,60)=PARAM!$B$56)*($B760&gt;(60-PARAM!$B$56))*HLOOKUP(($B760+PARAM!$B$56)/12,Loyalty,2)*$F$1*MAX(AX759,0)</f>
        <v>18.557001321003963</v>
      </c>
      <c r="AW760" s="75">
        <f>PARAM!$C$26+MAX($G$14-CHOOSE(PARAM!$B$44,MAX(0,AX759*$F$1),0),0)*RATES!$L736/12+$H$14*(PARAM!$D$51/12)*RATES!$N736/100</f>
        <v>741.58333333333337</v>
      </c>
      <c r="AX760" s="16">
        <f t="shared" si="510"/>
        <v>-93875.959389252996</v>
      </c>
      <c r="AY760" s="15">
        <f t="shared" si="485"/>
        <v>22.170849845882874</v>
      </c>
      <c r="AZ760" s="75">
        <f>AY760*(1-PARAM!$C$27)*$I$15+(MOD($B760,60)=PARAM!$B$56)*($B760&gt;(60-PARAM!$B$56))*HLOOKUP(($B760+PARAM!$B$56)/12,Loyalty,2)*$F$1*MAX(BB759,0)</f>
        <v>18.557001321003963</v>
      </c>
      <c r="BA760" s="75">
        <f>PARAM!$C$26+MAX($G$15-CHOOSE(PARAM!$B$44,MAX(0,BB759*$F$1),0),0)*RATES!$L736/12+$H$15*(PARAM!$D$51/12)*RATES!$N736/100</f>
        <v>741.58333333333337</v>
      </c>
      <c r="BB760" s="16">
        <f t="shared" si="511"/>
        <v>-93875.959389252996</v>
      </c>
      <c r="BC760" s="15">
        <f t="shared" si="486"/>
        <v>22.170849845882874</v>
      </c>
      <c r="BD760" s="75">
        <f>BC760*(1-PARAM!$C$27)*$I$16+(MOD($B760,60)=PARAM!$B$56)*($B760&gt;(60-PARAM!$B$56))*HLOOKUP(($B760+PARAM!$B$56)/12,Loyalty,2)*$F$1*MAX(BF759,0)</f>
        <v>18.557001321003963</v>
      </c>
      <c r="BE760" s="75">
        <f>PARAM!$C$26+MAX($G$16-CHOOSE(PARAM!$B$44,MAX(0,BF759*$F$1),0),0)*RATES!$L736/12+$H$16*(PARAM!$D$51/12)*RATES!$N736/100</f>
        <v>741.58333333333337</v>
      </c>
      <c r="BF760" s="16">
        <f t="shared" si="512"/>
        <v>-93875.959389252996</v>
      </c>
      <c r="BG760" s="15">
        <f t="shared" si="487"/>
        <v>22.170849845882874</v>
      </c>
      <c r="BH760" s="75">
        <f>BG760*(1-PARAM!$C$27)*$I$17+(MOD($B760,60)=PARAM!$B$56)*($B760&gt;(60-PARAM!$B$56))*HLOOKUP(($B760+PARAM!$B$56)/12,Loyalty,2)*$F$1*MAX(BJ759,0)</f>
        <v>18.557001321003963</v>
      </c>
      <c r="BI760" s="75">
        <f>PARAM!$C$26+MAX($G$17-CHOOSE(PARAM!$B$44,MAX(0,BJ759*$F$1),0),0)*RATES!$L736/12+$H$17*(PARAM!$D$51/12)*RATES!$N736/100</f>
        <v>741.58333333333337</v>
      </c>
      <c r="BJ760" s="16">
        <f t="shared" si="513"/>
        <v>-93875.959389252996</v>
      </c>
      <c r="BK760" s="15">
        <f t="shared" si="488"/>
        <v>22.170849845882874</v>
      </c>
      <c r="BL760" s="75">
        <f>BK760*(1-PARAM!$C$27)*$I$18+(MOD($B760,60)=PARAM!$B$56)*($B760&gt;(60-PARAM!$B$56))*HLOOKUP(($B760+PARAM!$B$56)/12,Loyalty,2)*$F$1*MAX(BN759,0)</f>
        <v>18.557001321003963</v>
      </c>
      <c r="BM760" s="75">
        <f>PARAM!$C$26+MAX($G$18-CHOOSE(PARAM!$B$44,MAX(0,BN759*$F$1),0),0)*RATES!$L736/12+$H$18*(PARAM!$D$51/12)*RATES!$N736/100</f>
        <v>741.58333333333337</v>
      </c>
      <c r="BN760" s="16">
        <f t="shared" si="514"/>
        <v>-93875.959389252996</v>
      </c>
      <c r="BO760" s="15">
        <f t="shared" si="489"/>
        <v>22.170849845882874</v>
      </c>
      <c r="BP760" s="75">
        <f>BO760*(1-PARAM!$C$27)*$I$19+(MOD($B760,60)=PARAM!$B$56)*($B760&gt;(60-PARAM!$B$56))*HLOOKUP(($B760+PARAM!$B$56)/12,Loyalty,2)*$F$1*MAX(BR759,0)</f>
        <v>18.557001321003963</v>
      </c>
      <c r="BQ760" s="75">
        <f>PARAM!$C$26+MAX($G$19-CHOOSE(PARAM!$B$44,MAX(0,BR759*$F$1),0),0)*RATES!$L736/12+$H$19*(PARAM!$D$51/12)*RATES!$N736/100</f>
        <v>741.58333333333337</v>
      </c>
      <c r="BR760" s="16">
        <f t="shared" si="515"/>
        <v>-93875.959389252996</v>
      </c>
      <c r="BS760" s="15">
        <f t="shared" si="490"/>
        <v>22.170849845882874</v>
      </c>
      <c r="BT760" s="75">
        <f>BS760*(1-PARAM!$C$27)*$I$20+(MOD($B760,60)=PARAM!$B$56)*($B760&gt;(60-PARAM!$B$56))*HLOOKUP(($B760+PARAM!$B$56)/12,Loyalty,2)*$F$1*MAX(BV759,0)</f>
        <v>18.557001321003963</v>
      </c>
      <c r="BU760" s="75">
        <f>PARAM!$C$26+MAX($G$20-CHOOSE(PARAM!$B$44,MAX(0,BV759*$F$1),0),0)*RATES!$L736/12+$H$20*(PARAM!$D$51/12)*RATES!$N736/100</f>
        <v>741.58333333333337</v>
      </c>
      <c r="BV760" s="16">
        <f t="shared" si="516"/>
        <v>-93875.959389252996</v>
      </c>
      <c r="BW760" s="15">
        <f t="shared" si="491"/>
        <v>22.170849845882874</v>
      </c>
      <c r="BX760" s="75">
        <f>BW760*(1-PARAM!$C$27)*$I$21+(MOD($B760,60)=PARAM!$B$56)*($B760&gt;(60-PARAM!$B$56))*HLOOKUP(($B760+PARAM!$B$56)/12,Loyalty,2)*$F$1*MAX(BZ759,0)</f>
        <v>18.557001321003963</v>
      </c>
      <c r="BY760" s="75">
        <f>PARAM!$C$26+MAX($G$21-CHOOSE(PARAM!$B$44,MAX(0,BZ759*$F$1),0),0)*RATES!$L736/12+$H$21*(PARAM!$D$51/12)*RATES!$N736/100</f>
        <v>741.58333333333337</v>
      </c>
      <c r="BZ760" s="16">
        <f t="shared" si="517"/>
        <v>-93875.959389252996</v>
      </c>
      <c r="CA760" s="15">
        <f t="shared" si="492"/>
        <v>22.170849845882874</v>
      </c>
      <c r="CB760" s="75">
        <f>CA760*(1-PARAM!$C$27)*$I$22+(MOD($B760,60)=PARAM!$B$56)*($B760&gt;(60-PARAM!$B$56))*HLOOKUP(($B760+PARAM!$B$56)/12,Loyalty,2)*$F$1*MAX(CD759,0)</f>
        <v>18.557001321003963</v>
      </c>
      <c r="CC760" s="75">
        <f>PARAM!$C$26+MAX($G$22-CHOOSE(PARAM!$B$44,MAX(0,CD759*$F$1),0),0)*RATES!$L736/12+$H$22*(PARAM!$D$51/12)*RATES!$N736/100</f>
        <v>741.58333333333337</v>
      </c>
      <c r="CD760" s="16">
        <f t="shared" si="518"/>
        <v>-93875.959389252996</v>
      </c>
      <c r="CE760" s="33">
        <f>IF(0=MOD(B760,12/PARAM!$D$51),1,0)</f>
        <v>1</v>
      </c>
      <c r="CF760" s="15">
        <f t="shared" si="493"/>
        <v>0</v>
      </c>
      <c r="CG760" s="75">
        <f>CF760*(1-PARAM!$C$27)*$R$3+(MOD($B760/12,5)=0)*($B760&gt;60)*HLOOKUP($B760/12,Loyalty,2)*$F$1*MAX(CI759,0)</f>
        <v>0</v>
      </c>
      <c r="CH760" s="75">
        <f>PARAM!$C$26+MAX($P$3-CHOOSE(PARAM!$B$44,MAX(0,CI759*$F$1),0),0)*RATES!$L736/12+$Q$3*(PARAM!$D$51/12)*RATES!$N736/100</f>
        <v>741.58333333333337</v>
      </c>
      <c r="CI760" s="16">
        <f>IF(CI759&gt;0,CI759*PARAM!$C$53,CI759)+CG760-CH760</f>
        <v>-107358.66666666692</v>
      </c>
      <c r="CJ760" s="15">
        <f t="shared" si="519"/>
        <v>0</v>
      </c>
      <c r="CK760" s="75">
        <f>CJ760*(1-PARAM!$C$27)*$R$4+(MOD($B760/12,5)=0)*($B760&gt;60)*HLOOKUP($B760/12,Loyalty,2)*$F$1*MAX(CM759,0)</f>
        <v>0</v>
      </c>
      <c r="CL760" s="75">
        <f>PARAM!$C$26+MAX($P$4-CHOOSE(PARAM!$B$44,MAX(0,CM759*$F$1),0),0)*RATES!$L736/12+$Q$4*(PARAM!$D$51/12)*RATES!$N736/100</f>
        <v>741.58333333333337</v>
      </c>
      <c r="CM760" s="16">
        <f>IF(CM759&gt;0,CM759*PARAM!$C$53,CM759)+CK760-CL760</f>
        <v>-107358.66666666692</v>
      </c>
      <c r="CO760" s="176"/>
    </row>
    <row r="761" spans="1:93" x14ac:dyDescent="0.2">
      <c r="A761" t="b">
        <f t="shared" si="494"/>
        <v>0</v>
      </c>
      <c r="B761" s="33">
        <v>734</v>
      </c>
      <c r="C761" s="15">
        <f t="shared" si="495"/>
        <v>20.081305947392778</v>
      </c>
      <c r="D761" s="75">
        <f>C761*(1-PARAM!$C$27)*$I$3+(MOD($B761,60)=PARAM!$B$56)*($B761&gt;(60-PARAM!$B$56))*HLOOKUP(($B761+PARAM!$B$56)/12,Loyalty,2)*$F$1*MAX(F760,0)</f>
        <v>16.808053077967756</v>
      </c>
      <c r="E761" s="75">
        <f>PARAM!$C$26+MAX($G$3-CHOOSE(PARAM!$B$44,MAX(0,F760*$F$1),0),0)*RATES!$L737/12+$H$3*(PARAM!$D$51/12)*RATES!$N737/100</f>
        <v>741.58333333333337</v>
      </c>
      <c r="F761" s="16">
        <f t="shared" si="496"/>
        <v>-95919.564232175384</v>
      </c>
      <c r="G761" s="15">
        <f t="shared" si="497"/>
        <v>22.035289406060361</v>
      </c>
      <c r="H761" s="75">
        <f>G761*(1-PARAM!$C$27)*$I$4+(MOD($B761,60)=PARAM!$B$56)*($B761&gt;(60-PARAM!$B$56))*HLOOKUP(($B761+PARAM!$B$56)/12,Loyalty,2)*$F$1*MAX(J760,0)</f>
        <v>18.443537232872522</v>
      </c>
      <c r="I761" s="75">
        <f>PARAM!$C$26+MAX($G$4-CHOOSE(PARAM!$B$44,MAX(0,J760*$F$1),0),0)*RATES!$L737/12+$H$4*(PARAM!$D$51/12)*RATES!$N737/100</f>
        <v>741.58333333333337</v>
      </c>
      <c r="J761" s="16">
        <f t="shared" si="498"/>
        <v>-94685.285898353555</v>
      </c>
      <c r="K761" s="15">
        <f t="shared" si="499"/>
        <v>22.170849845882874</v>
      </c>
      <c r="L761" s="75">
        <f>K761*(1-PARAM!$C$27)*$I$5+(MOD($B761,60)=PARAM!$B$56)*($B761&gt;(60-PARAM!$B$56))*HLOOKUP(($B761+PARAM!$B$56)/12,Loyalty,2)*$F$1*MAX(N760,0)</f>
        <v>18.557001321003963</v>
      </c>
      <c r="M761" s="75">
        <f>PARAM!$C$26+MAX($G$5-CHOOSE(PARAM!$B$44,MAX(0,N760*$F$1),0),0)*RATES!$L737/12+$H$5*(PARAM!$D$51/12)*RATES!$N737/100</f>
        <v>741.58333333333337</v>
      </c>
      <c r="N761" s="16">
        <f t="shared" si="500"/>
        <v>-94598.985721265315</v>
      </c>
      <c r="O761" s="15">
        <f t="shared" si="501"/>
        <v>22.170849845882874</v>
      </c>
      <c r="P761" s="75">
        <f>O761*(1-PARAM!$C$27)*$I$6+(MOD($B761,60)=PARAM!$B$56)*($B761&gt;(60-PARAM!$B$56))*HLOOKUP(($B761+PARAM!$B$56)/12,Loyalty,2)*$F$1*MAX(R760,0)</f>
        <v>18.557001321003963</v>
      </c>
      <c r="Q761" s="75">
        <f>PARAM!$C$26+MAX($G$6-CHOOSE(PARAM!$B$44,MAX(0,R760*$F$1),0),0)*RATES!$L737/12+$H$6*(PARAM!$D$51/12)*RATES!$N737/100</f>
        <v>741.58333333333337</v>
      </c>
      <c r="R761" s="16">
        <f t="shared" si="502"/>
        <v>-94598.985721265315</v>
      </c>
      <c r="S761" s="15">
        <f t="shared" si="477"/>
        <v>22.170849845882874</v>
      </c>
      <c r="T761" s="75">
        <f>S761*(1-PARAM!$C$27)*$I$7+(MOD($B761,60)=PARAM!$B$56)*($B761&gt;(60-PARAM!$B$56))*HLOOKUP(($B761+PARAM!$B$56)/12,Loyalty,2)*$F$1*MAX(V760,0)</f>
        <v>18.557001321003963</v>
      </c>
      <c r="U761" s="75">
        <f>PARAM!$C$26+MAX($G$7-CHOOSE(PARAM!$B$44,MAX(0,V760*$F$1),0),0)*RATES!$L737/12+$H$7*(PARAM!$D$51/12)*RATES!$N737/100</f>
        <v>741.58333333333337</v>
      </c>
      <c r="V761" s="16">
        <f t="shared" si="503"/>
        <v>-94598.985721265315</v>
      </c>
      <c r="W761" s="15">
        <f t="shared" si="478"/>
        <v>22.170849845882874</v>
      </c>
      <c r="X761" s="75">
        <f>W761*(1-PARAM!$C$27)*$I$8+(MOD($B761,60)=PARAM!$B$56)*($B761&gt;(60-PARAM!$B$56))*HLOOKUP(($B761+PARAM!$B$56)/12,Loyalty,2)*$F$1*MAX(Z760,0)</f>
        <v>18.557001321003963</v>
      </c>
      <c r="Y761" s="75">
        <f>PARAM!$C$26+MAX($G$8-CHOOSE(PARAM!$B$44,MAX(0,Z760*$F$1),0),0)*RATES!$L737/12+$H$8*(PARAM!$D$51/12)*RATES!$N737/100</f>
        <v>741.58333333333337</v>
      </c>
      <c r="Z761" s="16">
        <f t="shared" si="504"/>
        <v>-94598.985721265315</v>
      </c>
      <c r="AA761" s="15">
        <f t="shared" si="479"/>
        <v>22.170849845882874</v>
      </c>
      <c r="AB761" s="75">
        <f>AA761*(1-PARAM!$C$27)*$I$9+(MOD($B761,60)=PARAM!$B$56)*($B761&gt;(60-PARAM!$B$56))*HLOOKUP(($B761+PARAM!$B$56)/12,Loyalty,2)*$F$1*MAX(AD760,0)</f>
        <v>18.557001321003963</v>
      </c>
      <c r="AC761" s="75">
        <f>PARAM!$C$26+MAX($G$9-CHOOSE(PARAM!$B$44,MAX(0,AD760*$F$1),0),0)*RATES!$L737/12+$H$9*(PARAM!$D$51/12)*RATES!$N737/100</f>
        <v>741.58333333333337</v>
      </c>
      <c r="AD761" s="16">
        <f t="shared" si="505"/>
        <v>-94598.985721265315</v>
      </c>
      <c r="AE761" s="15">
        <f t="shared" si="480"/>
        <v>22.170849845882874</v>
      </c>
      <c r="AF761" s="75">
        <f>AE761*(1-PARAM!$C$27)*$I$10+(MOD($B761,60)=PARAM!$B$56)*($B761&gt;(60-PARAM!$B$56))*HLOOKUP(($B761+PARAM!$B$56)/12,Loyalty,2)*$F$1*MAX(AH760,0)</f>
        <v>18.557001321003963</v>
      </c>
      <c r="AG761" s="75">
        <f>PARAM!$C$26+MAX($G$10-CHOOSE(PARAM!$B$44,MAX(0,AH760*$F$1),0),0)*RATES!$L737/12+$H$10*(PARAM!$D$51/12)*RATES!$N737/100</f>
        <v>741.58333333333337</v>
      </c>
      <c r="AH761" s="16">
        <f t="shared" si="506"/>
        <v>-94598.985721265315</v>
      </c>
      <c r="AI761" s="15">
        <f t="shared" si="481"/>
        <v>22.170849845882874</v>
      </c>
      <c r="AJ761" s="75">
        <f>AI761*(1-PARAM!$C$27)*$I$11+(MOD($B761,60)=PARAM!$B$56)*($B761&gt;(60-PARAM!$B$56))*HLOOKUP(($B761+PARAM!$B$56)/12,Loyalty,2)*$F$1*MAX(AL760,0)</f>
        <v>18.557001321003963</v>
      </c>
      <c r="AK761" s="75">
        <f>PARAM!$C$26+MAX($G$11-CHOOSE(PARAM!$B$44,MAX(0,AL760*$F$1),0),0)*RATES!$L737/12+$H$11*(PARAM!$D$51/12)*RATES!$N737/100</f>
        <v>741.58333333333337</v>
      </c>
      <c r="AL761" s="16">
        <f t="shared" si="507"/>
        <v>-94598.985721265315</v>
      </c>
      <c r="AM761" s="15">
        <f t="shared" si="482"/>
        <v>22.170849845882874</v>
      </c>
      <c r="AN761" s="75">
        <f>AM761*(1-PARAM!$C$27)*$I$12+(MOD($B761,60)=PARAM!$B$56)*($B761&gt;(60-PARAM!$B$56))*HLOOKUP(($B761+PARAM!$B$56)/12,Loyalty,2)*$F$1*MAX(AP760,0)</f>
        <v>18.557001321003963</v>
      </c>
      <c r="AO761" s="75">
        <f>PARAM!$C$26+MAX($G$12-CHOOSE(PARAM!$B$44,MAX(0,AP760*$F$1),0),0)*RATES!$L737/12+$H$12*(PARAM!$D$51/12)*RATES!$N737/100</f>
        <v>741.58333333333337</v>
      </c>
      <c r="AP761" s="16">
        <f t="shared" si="508"/>
        <v>-94598.985721265315</v>
      </c>
      <c r="AQ761" s="15">
        <f t="shared" si="483"/>
        <v>22.170849845882874</v>
      </c>
      <c r="AR761" s="75">
        <f>AQ761*(1-PARAM!$C$27)*$I$13+(MOD($B761,60)=PARAM!$B$56)*($B761&gt;(60-PARAM!$B$56))*HLOOKUP(($B761+PARAM!$B$56)/12,Loyalty,2)*$F$1*MAX(AT760,0)</f>
        <v>18.557001321003963</v>
      </c>
      <c r="AS761" s="75">
        <f>PARAM!$C$26+MAX($G$13-CHOOSE(PARAM!$B$44,MAX(0,AT760*$F$1),0),0)*RATES!$L737/12+$H$13*(PARAM!$D$51/12)*RATES!$N737/100</f>
        <v>741.58333333333337</v>
      </c>
      <c r="AT761" s="16">
        <f t="shared" si="509"/>
        <v>-94598.985721265315</v>
      </c>
      <c r="AU761" s="15">
        <f t="shared" si="484"/>
        <v>22.170849845882874</v>
      </c>
      <c r="AV761" s="75">
        <f>AU761*(1-PARAM!$C$27)*$I$14+(MOD($B761,60)=PARAM!$B$56)*($B761&gt;(60-PARAM!$B$56))*HLOOKUP(($B761+PARAM!$B$56)/12,Loyalty,2)*$F$1*MAX(AX760,0)</f>
        <v>18.557001321003963</v>
      </c>
      <c r="AW761" s="75">
        <f>PARAM!$C$26+MAX($G$14-CHOOSE(PARAM!$B$44,MAX(0,AX760*$F$1),0),0)*RATES!$L737/12+$H$14*(PARAM!$D$51/12)*RATES!$N737/100</f>
        <v>741.58333333333337</v>
      </c>
      <c r="AX761" s="16">
        <f t="shared" si="510"/>
        <v>-94598.985721265315</v>
      </c>
      <c r="AY761" s="15">
        <f t="shared" si="485"/>
        <v>22.170849845882874</v>
      </c>
      <c r="AZ761" s="75">
        <f>AY761*(1-PARAM!$C$27)*$I$15+(MOD($B761,60)=PARAM!$B$56)*($B761&gt;(60-PARAM!$B$56))*HLOOKUP(($B761+PARAM!$B$56)/12,Loyalty,2)*$F$1*MAX(BB760,0)</f>
        <v>18.557001321003963</v>
      </c>
      <c r="BA761" s="75">
        <f>PARAM!$C$26+MAX($G$15-CHOOSE(PARAM!$B$44,MAX(0,BB760*$F$1),0),0)*RATES!$L737/12+$H$15*(PARAM!$D$51/12)*RATES!$N737/100</f>
        <v>741.58333333333337</v>
      </c>
      <c r="BB761" s="16">
        <f t="shared" si="511"/>
        <v>-94598.985721265315</v>
      </c>
      <c r="BC761" s="15">
        <f t="shared" si="486"/>
        <v>22.170849845882874</v>
      </c>
      <c r="BD761" s="75">
        <f>BC761*(1-PARAM!$C$27)*$I$16+(MOD($B761,60)=PARAM!$B$56)*($B761&gt;(60-PARAM!$B$56))*HLOOKUP(($B761+PARAM!$B$56)/12,Loyalty,2)*$F$1*MAX(BF760,0)</f>
        <v>18.557001321003963</v>
      </c>
      <c r="BE761" s="75">
        <f>PARAM!$C$26+MAX($G$16-CHOOSE(PARAM!$B$44,MAX(0,BF760*$F$1),0),0)*RATES!$L737/12+$H$16*(PARAM!$D$51/12)*RATES!$N737/100</f>
        <v>741.58333333333337</v>
      </c>
      <c r="BF761" s="16">
        <f t="shared" si="512"/>
        <v>-94598.985721265315</v>
      </c>
      <c r="BG761" s="15">
        <f t="shared" si="487"/>
        <v>22.170849845882874</v>
      </c>
      <c r="BH761" s="75">
        <f>BG761*(1-PARAM!$C$27)*$I$17+(MOD($B761,60)=PARAM!$B$56)*($B761&gt;(60-PARAM!$B$56))*HLOOKUP(($B761+PARAM!$B$56)/12,Loyalty,2)*$F$1*MAX(BJ760,0)</f>
        <v>18.557001321003963</v>
      </c>
      <c r="BI761" s="75">
        <f>PARAM!$C$26+MAX($G$17-CHOOSE(PARAM!$B$44,MAX(0,BJ760*$F$1),0),0)*RATES!$L737/12+$H$17*(PARAM!$D$51/12)*RATES!$N737/100</f>
        <v>741.58333333333337</v>
      </c>
      <c r="BJ761" s="16">
        <f t="shared" si="513"/>
        <v>-94598.985721265315</v>
      </c>
      <c r="BK761" s="15">
        <f t="shared" si="488"/>
        <v>22.170849845882874</v>
      </c>
      <c r="BL761" s="75">
        <f>BK761*(1-PARAM!$C$27)*$I$18+(MOD($B761,60)=PARAM!$B$56)*($B761&gt;(60-PARAM!$B$56))*HLOOKUP(($B761+PARAM!$B$56)/12,Loyalty,2)*$F$1*MAX(BN760,0)</f>
        <v>18.557001321003963</v>
      </c>
      <c r="BM761" s="75">
        <f>PARAM!$C$26+MAX($G$18-CHOOSE(PARAM!$B$44,MAX(0,BN760*$F$1),0),0)*RATES!$L737/12+$H$18*(PARAM!$D$51/12)*RATES!$N737/100</f>
        <v>741.58333333333337</v>
      </c>
      <c r="BN761" s="16">
        <f t="shared" si="514"/>
        <v>-94598.985721265315</v>
      </c>
      <c r="BO761" s="15">
        <f t="shared" si="489"/>
        <v>22.170849845882874</v>
      </c>
      <c r="BP761" s="75">
        <f>BO761*(1-PARAM!$C$27)*$I$19+(MOD($B761,60)=PARAM!$B$56)*($B761&gt;(60-PARAM!$B$56))*HLOOKUP(($B761+PARAM!$B$56)/12,Loyalty,2)*$F$1*MAX(BR760,0)</f>
        <v>18.557001321003963</v>
      </c>
      <c r="BQ761" s="75">
        <f>PARAM!$C$26+MAX($G$19-CHOOSE(PARAM!$B$44,MAX(0,BR760*$F$1),0),0)*RATES!$L737/12+$H$19*(PARAM!$D$51/12)*RATES!$N737/100</f>
        <v>741.58333333333337</v>
      </c>
      <c r="BR761" s="16">
        <f t="shared" si="515"/>
        <v>-94598.985721265315</v>
      </c>
      <c r="BS761" s="15">
        <f t="shared" si="490"/>
        <v>22.170849845882874</v>
      </c>
      <c r="BT761" s="75">
        <f>BS761*(1-PARAM!$C$27)*$I$20+(MOD($B761,60)=PARAM!$B$56)*($B761&gt;(60-PARAM!$B$56))*HLOOKUP(($B761+PARAM!$B$56)/12,Loyalty,2)*$F$1*MAX(BV760,0)</f>
        <v>18.557001321003963</v>
      </c>
      <c r="BU761" s="75">
        <f>PARAM!$C$26+MAX($G$20-CHOOSE(PARAM!$B$44,MAX(0,BV760*$F$1),0),0)*RATES!$L737/12+$H$20*(PARAM!$D$51/12)*RATES!$N737/100</f>
        <v>741.58333333333337</v>
      </c>
      <c r="BV761" s="16">
        <f t="shared" si="516"/>
        <v>-94598.985721265315</v>
      </c>
      <c r="BW761" s="15">
        <f t="shared" si="491"/>
        <v>22.170849845882874</v>
      </c>
      <c r="BX761" s="75">
        <f>BW761*(1-PARAM!$C$27)*$I$21+(MOD($B761,60)=PARAM!$B$56)*($B761&gt;(60-PARAM!$B$56))*HLOOKUP(($B761+PARAM!$B$56)/12,Loyalty,2)*$F$1*MAX(BZ760,0)</f>
        <v>18.557001321003963</v>
      </c>
      <c r="BY761" s="75">
        <f>PARAM!$C$26+MAX($G$21-CHOOSE(PARAM!$B$44,MAX(0,BZ760*$F$1),0),0)*RATES!$L737/12+$H$21*(PARAM!$D$51/12)*RATES!$N737/100</f>
        <v>741.58333333333337</v>
      </c>
      <c r="BZ761" s="16">
        <f t="shared" si="517"/>
        <v>-94598.985721265315</v>
      </c>
      <c r="CA761" s="15">
        <f t="shared" si="492"/>
        <v>22.170849845882874</v>
      </c>
      <c r="CB761" s="75">
        <f>CA761*(1-PARAM!$C$27)*$I$22+(MOD($B761,60)=PARAM!$B$56)*($B761&gt;(60-PARAM!$B$56))*HLOOKUP(($B761+PARAM!$B$56)/12,Loyalty,2)*$F$1*MAX(CD760,0)</f>
        <v>18.557001321003963</v>
      </c>
      <c r="CC761" s="75">
        <f>PARAM!$C$26+MAX($G$22-CHOOSE(PARAM!$B$44,MAX(0,CD760*$F$1),0),0)*RATES!$L737/12+$H$22*(PARAM!$D$51/12)*RATES!$N737/100</f>
        <v>741.58333333333337</v>
      </c>
      <c r="CD761" s="16">
        <f t="shared" si="518"/>
        <v>-94598.985721265315</v>
      </c>
      <c r="CE761" s="33">
        <f>IF(0=MOD(B761,12/PARAM!$D$51),1,0)</f>
        <v>1</v>
      </c>
      <c r="CF761" s="15">
        <f t="shared" si="493"/>
        <v>0</v>
      </c>
      <c r="CG761" s="75">
        <f>CF761*(1-PARAM!$C$27)*$R$3+(MOD($B761/12,5)=0)*($B761&gt;60)*HLOOKUP($B761/12,Loyalty,2)*$F$1*MAX(CI760,0)</f>
        <v>0</v>
      </c>
      <c r="CH761" s="75">
        <f>PARAM!$C$26+MAX($P$3-CHOOSE(PARAM!$B$44,MAX(0,CI760*$F$1),0),0)*RATES!$L737/12+$Q$3*(PARAM!$D$51/12)*RATES!$N737/100</f>
        <v>741.58333333333337</v>
      </c>
      <c r="CI761" s="16">
        <f>IF(CI760&gt;0,CI760*PARAM!$C$53,CI760)+CG761-CH761</f>
        <v>-108100.25000000025</v>
      </c>
      <c r="CJ761" s="15">
        <f t="shared" si="519"/>
        <v>0</v>
      </c>
      <c r="CK761" s="75">
        <f>CJ761*(1-PARAM!$C$27)*$R$4+(MOD($B761/12,5)=0)*($B761&gt;60)*HLOOKUP($B761/12,Loyalty,2)*$F$1*MAX(CM760,0)</f>
        <v>0</v>
      </c>
      <c r="CL761" s="75">
        <f>PARAM!$C$26+MAX($P$4-CHOOSE(PARAM!$B$44,MAX(0,CM760*$F$1),0),0)*RATES!$L737/12+$Q$4*(PARAM!$D$51/12)*RATES!$N737/100</f>
        <v>741.58333333333337</v>
      </c>
      <c r="CM761" s="16">
        <f>IF(CM760&gt;0,CM760*PARAM!$C$53,CM760)+CK761-CL761</f>
        <v>-108100.25000000025</v>
      </c>
      <c r="CO761" s="176"/>
    </row>
    <row r="762" spans="1:93" x14ac:dyDescent="0.2">
      <c r="A762" t="b">
        <f t="shared" si="494"/>
        <v>0</v>
      </c>
      <c r="B762" s="33">
        <v>735</v>
      </c>
      <c r="C762" s="15">
        <f t="shared" si="495"/>
        <v>20.081305947392778</v>
      </c>
      <c r="D762" s="75">
        <f>C762*(1-PARAM!$C$27)*$I$3+(MOD($B762,60)=PARAM!$B$56)*($B762&gt;(60-PARAM!$B$56))*HLOOKUP(($B762+PARAM!$B$56)/12,Loyalty,2)*$F$1*MAX(F761,0)</f>
        <v>16.808053077967756</v>
      </c>
      <c r="E762" s="75">
        <f>PARAM!$C$26+MAX($G$3-CHOOSE(PARAM!$B$44,MAX(0,F761*$F$1),0),0)*RATES!$L738/12+$H$3*(PARAM!$D$51/12)*RATES!$N738/100</f>
        <v>741.58333333333337</v>
      </c>
      <c r="F762" s="16">
        <f t="shared" si="496"/>
        <v>-96644.339512430743</v>
      </c>
      <c r="G762" s="15">
        <f t="shared" si="497"/>
        <v>22.035289406060361</v>
      </c>
      <c r="H762" s="75">
        <f>G762*(1-PARAM!$C$27)*$I$4+(MOD($B762,60)=PARAM!$B$56)*($B762&gt;(60-PARAM!$B$56))*HLOOKUP(($B762+PARAM!$B$56)/12,Loyalty,2)*$F$1*MAX(J761,0)</f>
        <v>18.443537232872522</v>
      </c>
      <c r="I762" s="75">
        <f>PARAM!$C$26+MAX($G$4-CHOOSE(PARAM!$B$44,MAX(0,J761*$F$1),0),0)*RATES!$L738/12+$H$4*(PARAM!$D$51/12)*RATES!$N738/100</f>
        <v>741.58333333333337</v>
      </c>
      <c r="J762" s="16">
        <f t="shared" si="498"/>
        <v>-95408.42569445401</v>
      </c>
      <c r="K762" s="15">
        <f t="shared" si="499"/>
        <v>22.170849845882874</v>
      </c>
      <c r="L762" s="75">
        <f>K762*(1-PARAM!$C$27)*$I$5+(MOD($B762,60)=PARAM!$B$56)*($B762&gt;(60-PARAM!$B$56))*HLOOKUP(($B762+PARAM!$B$56)/12,Loyalty,2)*$F$1*MAX(N761,0)</f>
        <v>18.557001321003963</v>
      </c>
      <c r="M762" s="75">
        <f>PARAM!$C$26+MAX($G$5-CHOOSE(PARAM!$B$44,MAX(0,N761*$F$1),0),0)*RATES!$L738/12+$H$5*(PARAM!$D$51/12)*RATES!$N738/100</f>
        <v>741.58333333333337</v>
      </c>
      <c r="N762" s="16">
        <f t="shared" si="500"/>
        <v>-95322.012053277635</v>
      </c>
      <c r="O762" s="15">
        <f t="shared" si="501"/>
        <v>22.170849845882874</v>
      </c>
      <c r="P762" s="75">
        <f>O762*(1-PARAM!$C$27)*$I$6+(MOD($B762,60)=PARAM!$B$56)*($B762&gt;(60-PARAM!$B$56))*HLOOKUP(($B762+PARAM!$B$56)/12,Loyalty,2)*$F$1*MAX(R761,0)</f>
        <v>18.557001321003963</v>
      </c>
      <c r="Q762" s="75">
        <f>PARAM!$C$26+MAX($G$6-CHOOSE(PARAM!$B$44,MAX(0,R761*$F$1),0),0)*RATES!$L738/12+$H$6*(PARAM!$D$51/12)*RATES!$N738/100</f>
        <v>741.58333333333337</v>
      </c>
      <c r="R762" s="16">
        <f t="shared" si="502"/>
        <v>-95322.012053277635</v>
      </c>
      <c r="S762" s="15">
        <f t="shared" si="477"/>
        <v>22.170849845882874</v>
      </c>
      <c r="T762" s="75">
        <f>S762*(1-PARAM!$C$27)*$I$7+(MOD($B762,60)=PARAM!$B$56)*($B762&gt;(60-PARAM!$B$56))*HLOOKUP(($B762+PARAM!$B$56)/12,Loyalty,2)*$F$1*MAX(V761,0)</f>
        <v>18.557001321003963</v>
      </c>
      <c r="U762" s="75">
        <f>PARAM!$C$26+MAX($G$7-CHOOSE(PARAM!$B$44,MAX(0,V761*$F$1),0),0)*RATES!$L738/12+$H$7*(PARAM!$D$51/12)*RATES!$N738/100</f>
        <v>741.58333333333337</v>
      </c>
      <c r="V762" s="16">
        <f t="shared" si="503"/>
        <v>-95322.012053277635</v>
      </c>
      <c r="W762" s="15">
        <f t="shared" si="478"/>
        <v>22.170849845882874</v>
      </c>
      <c r="X762" s="75">
        <f>W762*(1-PARAM!$C$27)*$I$8+(MOD($B762,60)=PARAM!$B$56)*($B762&gt;(60-PARAM!$B$56))*HLOOKUP(($B762+PARAM!$B$56)/12,Loyalty,2)*$F$1*MAX(Z761,0)</f>
        <v>18.557001321003963</v>
      </c>
      <c r="Y762" s="75">
        <f>PARAM!$C$26+MAX($G$8-CHOOSE(PARAM!$B$44,MAX(0,Z761*$F$1),0),0)*RATES!$L738/12+$H$8*(PARAM!$D$51/12)*RATES!$N738/100</f>
        <v>741.58333333333337</v>
      </c>
      <c r="Z762" s="16">
        <f t="shared" si="504"/>
        <v>-95322.012053277635</v>
      </c>
      <c r="AA762" s="15">
        <f t="shared" si="479"/>
        <v>22.170849845882874</v>
      </c>
      <c r="AB762" s="75">
        <f>AA762*(1-PARAM!$C$27)*$I$9+(MOD($B762,60)=PARAM!$B$56)*($B762&gt;(60-PARAM!$B$56))*HLOOKUP(($B762+PARAM!$B$56)/12,Loyalty,2)*$F$1*MAX(AD761,0)</f>
        <v>18.557001321003963</v>
      </c>
      <c r="AC762" s="75">
        <f>PARAM!$C$26+MAX($G$9-CHOOSE(PARAM!$B$44,MAX(0,AD761*$F$1),0),0)*RATES!$L738/12+$H$9*(PARAM!$D$51/12)*RATES!$N738/100</f>
        <v>741.58333333333337</v>
      </c>
      <c r="AD762" s="16">
        <f t="shared" si="505"/>
        <v>-95322.012053277635</v>
      </c>
      <c r="AE762" s="15">
        <f t="shared" si="480"/>
        <v>22.170849845882874</v>
      </c>
      <c r="AF762" s="75">
        <f>AE762*(1-PARAM!$C$27)*$I$10+(MOD($B762,60)=PARAM!$B$56)*($B762&gt;(60-PARAM!$B$56))*HLOOKUP(($B762+PARAM!$B$56)/12,Loyalty,2)*$F$1*MAX(AH761,0)</f>
        <v>18.557001321003963</v>
      </c>
      <c r="AG762" s="75">
        <f>PARAM!$C$26+MAX($G$10-CHOOSE(PARAM!$B$44,MAX(0,AH761*$F$1),0),0)*RATES!$L738/12+$H$10*(PARAM!$D$51/12)*RATES!$N738/100</f>
        <v>741.58333333333337</v>
      </c>
      <c r="AH762" s="16">
        <f t="shared" si="506"/>
        <v>-95322.012053277635</v>
      </c>
      <c r="AI762" s="15">
        <f t="shared" si="481"/>
        <v>22.170849845882874</v>
      </c>
      <c r="AJ762" s="75">
        <f>AI762*(1-PARAM!$C$27)*$I$11+(MOD($B762,60)=PARAM!$B$56)*($B762&gt;(60-PARAM!$B$56))*HLOOKUP(($B762+PARAM!$B$56)/12,Loyalty,2)*$F$1*MAX(AL761,0)</f>
        <v>18.557001321003963</v>
      </c>
      <c r="AK762" s="75">
        <f>PARAM!$C$26+MAX($G$11-CHOOSE(PARAM!$B$44,MAX(0,AL761*$F$1),0),0)*RATES!$L738/12+$H$11*(PARAM!$D$51/12)*RATES!$N738/100</f>
        <v>741.58333333333337</v>
      </c>
      <c r="AL762" s="16">
        <f t="shared" si="507"/>
        <v>-95322.012053277635</v>
      </c>
      <c r="AM762" s="15">
        <f t="shared" si="482"/>
        <v>22.170849845882874</v>
      </c>
      <c r="AN762" s="75">
        <f>AM762*(1-PARAM!$C$27)*$I$12+(MOD($B762,60)=PARAM!$B$56)*($B762&gt;(60-PARAM!$B$56))*HLOOKUP(($B762+PARAM!$B$56)/12,Loyalty,2)*$F$1*MAX(AP761,0)</f>
        <v>18.557001321003963</v>
      </c>
      <c r="AO762" s="75">
        <f>PARAM!$C$26+MAX($G$12-CHOOSE(PARAM!$B$44,MAX(0,AP761*$F$1),0),0)*RATES!$L738/12+$H$12*(PARAM!$D$51/12)*RATES!$N738/100</f>
        <v>741.58333333333337</v>
      </c>
      <c r="AP762" s="16">
        <f t="shared" si="508"/>
        <v>-95322.012053277635</v>
      </c>
      <c r="AQ762" s="15">
        <f t="shared" si="483"/>
        <v>22.170849845882874</v>
      </c>
      <c r="AR762" s="75">
        <f>AQ762*(1-PARAM!$C$27)*$I$13+(MOD($B762,60)=PARAM!$B$56)*($B762&gt;(60-PARAM!$B$56))*HLOOKUP(($B762+PARAM!$B$56)/12,Loyalty,2)*$F$1*MAX(AT761,0)</f>
        <v>18.557001321003963</v>
      </c>
      <c r="AS762" s="75">
        <f>PARAM!$C$26+MAX($G$13-CHOOSE(PARAM!$B$44,MAX(0,AT761*$F$1),0),0)*RATES!$L738/12+$H$13*(PARAM!$D$51/12)*RATES!$N738/100</f>
        <v>741.58333333333337</v>
      </c>
      <c r="AT762" s="16">
        <f t="shared" si="509"/>
        <v>-95322.012053277635</v>
      </c>
      <c r="AU762" s="15">
        <f t="shared" si="484"/>
        <v>22.170849845882874</v>
      </c>
      <c r="AV762" s="75">
        <f>AU762*(1-PARAM!$C$27)*$I$14+(MOD($B762,60)=PARAM!$B$56)*($B762&gt;(60-PARAM!$B$56))*HLOOKUP(($B762+PARAM!$B$56)/12,Loyalty,2)*$F$1*MAX(AX761,0)</f>
        <v>18.557001321003963</v>
      </c>
      <c r="AW762" s="75">
        <f>PARAM!$C$26+MAX($G$14-CHOOSE(PARAM!$B$44,MAX(0,AX761*$F$1),0),0)*RATES!$L738/12+$H$14*(PARAM!$D$51/12)*RATES!$N738/100</f>
        <v>741.58333333333337</v>
      </c>
      <c r="AX762" s="16">
        <f t="shared" si="510"/>
        <v>-95322.012053277635</v>
      </c>
      <c r="AY762" s="15">
        <f t="shared" si="485"/>
        <v>22.170849845882874</v>
      </c>
      <c r="AZ762" s="75">
        <f>AY762*(1-PARAM!$C$27)*$I$15+(MOD($B762,60)=PARAM!$B$56)*($B762&gt;(60-PARAM!$B$56))*HLOOKUP(($B762+PARAM!$B$56)/12,Loyalty,2)*$F$1*MAX(BB761,0)</f>
        <v>18.557001321003963</v>
      </c>
      <c r="BA762" s="75">
        <f>PARAM!$C$26+MAX($G$15-CHOOSE(PARAM!$B$44,MAX(0,BB761*$F$1),0),0)*RATES!$L738/12+$H$15*(PARAM!$D$51/12)*RATES!$N738/100</f>
        <v>741.58333333333337</v>
      </c>
      <c r="BB762" s="16">
        <f t="shared" si="511"/>
        <v>-95322.012053277635</v>
      </c>
      <c r="BC762" s="15">
        <f t="shared" si="486"/>
        <v>22.170849845882874</v>
      </c>
      <c r="BD762" s="75">
        <f>BC762*(1-PARAM!$C$27)*$I$16+(MOD($B762,60)=PARAM!$B$56)*($B762&gt;(60-PARAM!$B$56))*HLOOKUP(($B762+PARAM!$B$56)/12,Loyalty,2)*$F$1*MAX(BF761,0)</f>
        <v>18.557001321003963</v>
      </c>
      <c r="BE762" s="75">
        <f>PARAM!$C$26+MAX($G$16-CHOOSE(PARAM!$B$44,MAX(0,BF761*$F$1),0),0)*RATES!$L738/12+$H$16*(PARAM!$D$51/12)*RATES!$N738/100</f>
        <v>741.58333333333337</v>
      </c>
      <c r="BF762" s="16">
        <f t="shared" si="512"/>
        <v>-95322.012053277635</v>
      </c>
      <c r="BG762" s="15">
        <f t="shared" si="487"/>
        <v>22.170849845882874</v>
      </c>
      <c r="BH762" s="75">
        <f>BG762*(1-PARAM!$C$27)*$I$17+(MOD($B762,60)=PARAM!$B$56)*($B762&gt;(60-PARAM!$B$56))*HLOOKUP(($B762+PARAM!$B$56)/12,Loyalty,2)*$F$1*MAX(BJ761,0)</f>
        <v>18.557001321003963</v>
      </c>
      <c r="BI762" s="75">
        <f>PARAM!$C$26+MAX($G$17-CHOOSE(PARAM!$B$44,MAX(0,BJ761*$F$1),0),0)*RATES!$L738/12+$H$17*(PARAM!$D$51/12)*RATES!$N738/100</f>
        <v>741.58333333333337</v>
      </c>
      <c r="BJ762" s="16">
        <f t="shared" si="513"/>
        <v>-95322.012053277635</v>
      </c>
      <c r="BK762" s="15">
        <f t="shared" si="488"/>
        <v>22.170849845882874</v>
      </c>
      <c r="BL762" s="75">
        <f>BK762*(1-PARAM!$C$27)*$I$18+(MOD($B762,60)=PARAM!$B$56)*($B762&gt;(60-PARAM!$B$56))*HLOOKUP(($B762+PARAM!$B$56)/12,Loyalty,2)*$F$1*MAX(BN761,0)</f>
        <v>18.557001321003963</v>
      </c>
      <c r="BM762" s="75">
        <f>PARAM!$C$26+MAX($G$18-CHOOSE(PARAM!$B$44,MAX(0,BN761*$F$1),0),0)*RATES!$L738/12+$H$18*(PARAM!$D$51/12)*RATES!$N738/100</f>
        <v>741.58333333333337</v>
      </c>
      <c r="BN762" s="16">
        <f t="shared" si="514"/>
        <v>-95322.012053277635</v>
      </c>
      <c r="BO762" s="15">
        <f t="shared" si="489"/>
        <v>22.170849845882874</v>
      </c>
      <c r="BP762" s="75">
        <f>BO762*(1-PARAM!$C$27)*$I$19+(MOD($B762,60)=PARAM!$B$56)*($B762&gt;(60-PARAM!$B$56))*HLOOKUP(($B762+PARAM!$B$56)/12,Loyalty,2)*$F$1*MAX(BR761,0)</f>
        <v>18.557001321003963</v>
      </c>
      <c r="BQ762" s="75">
        <f>PARAM!$C$26+MAX($G$19-CHOOSE(PARAM!$B$44,MAX(0,BR761*$F$1),0),0)*RATES!$L738/12+$H$19*(PARAM!$D$51/12)*RATES!$N738/100</f>
        <v>741.58333333333337</v>
      </c>
      <c r="BR762" s="16">
        <f t="shared" si="515"/>
        <v>-95322.012053277635</v>
      </c>
      <c r="BS762" s="15">
        <f t="shared" si="490"/>
        <v>22.170849845882874</v>
      </c>
      <c r="BT762" s="75">
        <f>BS762*(1-PARAM!$C$27)*$I$20+(MOD($B762,60)=PARAM!$B$56)*($B762&gt;(60-PARAM!$B$56))*HLOOKUP(($B762+PARAM!$B$56)/12,Loyalty,2)*$F$1*MAX(BV761,0)</f>
        <v>18.557001321003963</v>
      </c>
      <c r="BU762" s="75">
        <f>PARAM!$C$26+MAX($G$20-CHOOSE(PARAM!$B$44,MAX(0,BV761*$F$1),0),0)*RATES!$L738/12+$H$20*(PARAM!$D$51/12)*RATES!$N738/100</f>
        <v>741.58333333333337</v>
      </c>
      <c r="BV762" s="16">
        <f t="shared" si="516"/>
        <v>-95322.012053277635</v>
      </c>
      <c r="BW762" s="15">
        <f t="shared" si="491"/>
        <v>22.170849845882874</v>
      </c>
      <c r="BX762" s="75">
        <f>BW762*(1-PARAM!$C$27)*$I$21+(MOD($B762,60)=PARAM!$B$56)*($B762&gt;(60-PARAM!$B$56))*HLOOKUP(($B762+PARAM!$B$56)/12,Loyalty,2)*$F$1*MAX(BZ761,0)</f>
        <v>18.557001321003963</v>
      </c>
      <c r="BY762" s="75">
        <f>PARAM!$C$26+MAX($G$21-CHOOSE(PARAM!$B$44,MAX(0,BZ761*$F$1),0),0)*RATES!$L738/12+$H$21*(PARAM!$D$51/12)*RATES!$N738/100</f>
        <v>741.58333333333337</v>
      </c>
      <c r="BZ762" s="16">
        <f t="shared" si="517"/>
        <v>-95322.012053277635</v>
      </c>
      <c r="CA762" s="15">
        <f t="shared" si="492"/>
        <v>22.170849845882874</v>
      </c>
      <c r="CB762" s="75">
        <f>CA762*(1-PARAM!$C$27)*$I$22+(MOD($B762,60)=PARAM!$B$56)*($B762&gt;(60-PARAM!$B$56))*HLOOKUP(($B762+PARAM!$B$56)/12,Loyalty,2)*$F$1*MAX(CD761,0)</f>
        <v>18.557001321003963</v>
      </c>
      <c r="CC762" s="75">
        <f>PARAM!$C$26+MAX($G$22-CHOOSE(PARAM!$B$44,MAX(0,CD761*$F$1),0),0)*RATES!$L738/12+$H$22*(PARAM!$D$51/12)*RATES!$N738/100</f>
        <v>741.58333333333337</v>
      </c>
      <c r="CD762" s="16">
        <f t="shared" si="518"/>
        <v>-95322.012053277635</v>
      </c>
      <c r="CE762" s="33">
        <f>IF(0=MOD(B762,12/PARAM!$D$51),1,0)</f>
        <v>1</v>
      </c>
      <c r="CF762" s="15">
        <f t="shared" si="493"/>
        <v>0</v>
      </c>
      <c r="CG762" s="75">
        <f>CF762*(1-PARAM!$C$27)*$R$3+(MOD($B762/12,5)=0)*($B762&gt;60)*HLOOKUP($B762/12,Loyalty,2)*$F$1*MAX(CI761,0)</f>
        <v>0</v>
      </c>
      <c r="CH762" s="75">
        <f>PARAM!$C$26+MAX($P$3-CHOOSE(PARAM!$B$44,MAX(0,CI761*$F$1),0),0)*RATES!$L738/12+$Q$3*(PARAM!$D$51/12)*RATES!$N738/100</f>
        <v>741.58333333333337</v>
      </c>
      <c r="CI762" s="16">
        <f>IF(CI761&gt;0,CI761*PARAM!$C$53,CI761)+CG762-CH762</f>
        <v>-108841.83333333358</v>
      </c>
      <c r="CJ762" s="15">
        <f t="shared" si="519"/>
        <v>0</v>
      </c>
      <c r="CK762" s="75">
        <f>CJ762*(1-PARAM!$C$27)*$R$4+(MOD($B762/12,5)=0)*($B762&gt;60)*HLOOKUP($B762/12,Loyalty,2)*$F$1*MAX(CM761,0)</f>
        <v>0</v>
      </c>
      <c r="CL762" s="75">
        <f>PARAM!$C$26+MAX($P$4-CHOOSE(PARAM!$B$44,MAX(0,CM761*$F$1),0),0)*RATES!$L738/12+$Q$4*(PARAM!$D$51/12)*RATES!$N738/100</f>
        <v>741.58333333333337</v>
      </c>
      <c r="CM762" s="16">
        <f>IF(CM761&gt;0,CM761*PARAM!$C$53,CM761)+CK762-CL762</f>
        <v>-108841.83333333358</v>
      </c>
      <c r="CO762" s="176"/>
    </row>
    <row r="763" spans="1:93" x14ac:dyDescent="0.2">
      <c r="A763" t="b">
        <f t="shared" si="494"/>
        <v>0</v>
      </c>
      <c r="B763" s="33">
        <v>736</v>
      </c>
      <c r="C763" s="15">
        <f t="shared" si="495"/>
        <v>20.081305947392778</v>
      </c>
      <c r="D763" s="75">
        <f>C763*(1-PARAM!$C$27)*$I$3+(MOD($B763,60)=PARAM!$B$56)*($B763&gt;(60-PARAM!$B$56))*HLOOKUP(($B763+PARAM!$B$56)/12,Loyalty,2)*$F$1*MAX(F762,0)</f>
        <v>16.808053077967756</v>
      </c>
      <c r="E763" s="75">
        <f>PARAM!$C$26+MAX($G$3-CHOOSE(PARAM!$B$44,MAX(0,F762*$F$1),0),0)*RATES!$L739/12+$H$3*(PARAM!$D$51/12)*RATES!$N739/100</f>
        <v>741.58333333333337</v>
      </c>
      <c r="F763" s="16">
        <f t="shared" si="496"/>
        <v>-97369.114792686101</v>
      </c>
      <c r="G763" s="15">
        <f t="shared" si="497"/>
        <v>22.035289406060361</v>
      </c>
      <c r="H763" s="75">
        <f>G763*(1-PARAM!$C$27)*$I$4+(MOD($B763,60)=PARAM!$B$56)*($B763&gt;(60-PARAM!$B$56))*HLOOKUP(($B763+PARAM!$B$56)/12,Loyalty,2)*$F$1*MAX(J762,0)</f>
        <v>18.443537232872522</v>
      </c>
      <c r="I763" s="75">
        <f>PARAM!$C$26+MAX($G$4-CHOOSE(PARAM!$B$44,MAX(0,J762*$F$1),0),0)*RATES!$L739/12+$H$4*(PARAM!$D$51/12)*RATES!$N739/100</f>
        <v>741.58333333333337</v>
      </c>
      <c r="J763" s="16">
        <f t="shared" si="498"/>
        <v>-96131.565490554465</v>
      </c>
      <c r="K763" s="15">
        <f t="shared" si="499"/>
        <v>22.170849845882874</v>
      </c>
      <c r="L763" s="75">
        <f>K763*(1-PARAM!$C$27)*$I$5+(MOD($B763,60)=PARAM!$B$56)*($B763&gt;(60-PARAM!$B$56))*HLOOKUP(($B763+PARAM!$B$56)/12,Loyalty,2)*$F$1*MAX(N762,0)</f>
        <v>18.557001321003963</v>
      </c>
      <c r="M763" s="75">
        <f>PARAM!$C$26+MAX($G$5-CHOOSE(PARAM!$B$44,MAX(0,N762*$F$1),0),0)*RATES!$L739/12+$H$5*(PARAM!$D$51/12)*RATES!$N739/100</f>
        <v>741.58333333333337</v>
      </c>
      <c r="N763" s="16">
        <f t="shared" si="500"/>
        <v>-96045.038385289954</v>
      </c>
      <c r="O763" s="15">
        <f t="shared" si="501"/>
        <v>22.170849845882874</v>
      </c>
      <c r="P763" s="75">
        <f>O763*(1-PARAM!$C$27)*$I$6+(MOD($B763,60)=PARAM!$B$56)*($B763&gt;(60-PARAM!$B$56))*HLOOKUP(($B763+PARAM!$B$56)/12,Loyalty,2)*$F$1*MAX(R762,0)</f>
        <v>18.557001321003963</v>
      </c>
      <c r="Q763" s="75">
        <f>PARAM!$C$26+MAX($G$6-CHOOSE(PARAM!$B$44,MAX(0,R762*$F$1),0),0)*RATES!$L739/12+$H$6*(PARAM!$D$51/12)*RATES!$N739/100</f>
        <v>741.58333333333337</v>
      </c>
      <c r="R763" s="16">
        <f t="shared" si="502"/>
        <v>-96045.038385289954</v>
      </c>
      <c r="S763" s="15">
        <f t="shared" si="477"/>
        <v>22.170849845882874</v>
      </c>
      <c r="T763" s="75">
        <f>S763*(1-PARAM!$C$27)*$I$7+(MOD($B763,60)=PARAM!$B$56)*($B763&gt;(60-PARAM!$B$56))*HLOOKUP(($B763+PARAM!$B$56)/12,Loyalty,2)*$F$1*MAX(V762,0)</f>
        <v>18.557001321003963</v>
      </c>
      <c r="U763" s="75">
        <f>PARAM!$C$26+MAX($G$7-CHOOSE(PARAM!$B$44,MAX(0,V762*$F$1),0),0)*RATES!$L739/12+$H$7*(PARAM!$D$51/12)*RATES!$N739/100</f>
        <v>741.58333333333337</v>
      </c>
      <c r="V763" s="16">
        <f t="shared" si="503"/>
        <v>-96045.038385289954</v>
      </c>
      <c r="W763" s="15">
        <f t="shared" si="478"/>
        <v>22.170849845882874</v>
      </c>
      <c r="X763" s="75">
        <f>W763*(1-PARAM!$C$27)*$I$8+(MOD($B763,60)=PARAM!$B$56)*($B763&gt;(60-PARAM!$B$56))*HLOOKUP(($B763+PARAM!$B$56)/12,Loyalty,2)*$F$1*MAX(Z762,0)</f>
        <v>18.557001321003963</v>
      </c>
      <c r="Y763" s="75">
        <f>PARAM!$C$26+MAX($G$8-CHOOSE(PARAM!$B$44,MAX(0,Z762*$F$1),0),0)*RATES!$L739/12+$H$8*(PARAM!$D$51/12)*RATES!$N739/100</f>
        <v>741.58333333333337</v>
      </c>
      <c r="Z763" s="16">
        <f t="shared" si="504"/>
        <v>-96045.038385289954</v>
      </c>
      <c r="AA763" s="15">
        <f t="shared" si="479"/>
        <v>22.170849845882874</v>
      </c>
      <c r="AB763" s="75">
        <f>AA763*(1-PARAM!$C$27)*$I$9+(MOD($B763,60)=PARAM!$B$56)*($B763&gt;(60-PARAM!$B$56))*HLOOKUP(($B763+PARAM!$B$56)/12,Loyalty,2)*$F$1*MAX(AD762,0)</f>
        <v>18.557001321003963</v>
      </c>
      <c r="AC763" s="75">
        <f>PARAM!$C$26+MAX($G$9-CHOOSE(PARAM!$B$44,MAX(0,AD762*$F$1),0),0)*RATES!$L739/12+$H$9*(PARAM!$D$51/12)*RATES!$N739/100</f>
        <v>741.58333333333337</v>
      </c>
      <c r="AD763" s="16">
        <f t="shared" si="505"/>
        <v>-96045.038385289954</v>
      </c>
      <c r="AE763" s="15">
        <f t="shared" si="480"/>
        <v>22.170849845882874</v>
      </c>
      <c r="AF763" s="75">
        <f>AE763*(1-PARAM!$C$27)*$I$10+(MOD($B763,60)=PARAM!$B$56)*($B763&gt;(60-PARAM!$B$56))*HLOOKUP(($B763+PARAM!$B$56)/12,Loyalty,2)*$F$1*MAX(AH762,0)</f>
        <v>18.557001321003963</v>
      </c>
      <c r="AG763" s="75">
        <f>PARAM!$C$26+MAX($G$10-CHOOSE(PARAM!$B$44,MAX(0,AH762*$F$1),0),0)*RATES!$L739/12+$H$10*(PARAM!$D$51/12)*RATES!$N739/100</f>
        <v>741.58333333333337</v>
      </c>
      <c r="AH763" s="16">
        <f t="shared" si="506"/>
        <v>-96045.038385289954</v>
      </c>
      <c r="AI763" s="15">
        <f t="shared" si="481"/>
        <v>22.170849845882874</v>
      </c>
      <c r="AJ763" s="75">
        <f>AI763*(1-PARAM!$C$27)*$I$11+(MOD($B763,60)=PARAM!$B$56)*($B763&gt;(60-PARAM!$B$56))*HLOOKUP(($B763+PARAM!$B$56)/12,Loyalty,2)*$F$1*MAX(AL762,0)</f>
        <v>18.557001321003963</v>
      </c>
      <c r="AK763" s="75">
        <f>PARAM!$C$26+MAX($G$11-CHOOSE(PARAM!$B$44,MAX(0,AL762*$F$1),0),0)*RATES!$L739/12+$H$11*(PARAM!$D$51/12)*RATES!$N739/100</f>
        <v>741.58333333333337</v>
      </c>
      <c r="AL763" s="16">
        <f t="shared" si="507"/>
        <v>-96045.038385289954</v>
      </c>
      <c r="AM763" s="15">
        <f t="shared" si="482"/>
        <v>22.170849845882874</v>
      </c>
      <c r="AN763" s="75">
        <f>AM763*(1-PARAM!$C$27)*$I$12+(MOD($B763,60)=PARAM!$B$56)*($B763&gt;(60-PARAM!$B$56))*HLOOKUP(($B763+PARAM!$B$56)/12,Loyalty,2)*$F$1*MAX(AP762,0)</f>
        <v>18.557001321003963</v>
      </c>
      <c r="AO763" s="75">
        <f>PARAM!$C$26+MAX($G$12-CHOOSE(PARAM!$B$44,MAX(0,AP762*$F$1),0),0)*RATES!$L739/12+$H$12*(PARAM!$D$51/12)*RATES!$N739/100</f>
        <v>741.58333333333337</v>
      </c>
      <c r="AP763" s="16">
        <f t="shared" si="508"/>
        <v>-96045.038385289954</v>
      </c>
      <c r="AQ763" s="15">
        <f t="shared" si="483"/>
        <v>22.170849845882874</v>
      </c>
      <c r="AR763" s="75">
        <f>AQ763*(1-PARAM!$C$27)*$I$13+(MOD($B763,60)=PARAM!$B$56)*($B763&gt;(60-PARAM!$B$56))*HLOOKUP(($B763+PARAM!$B$56)/12,Loyalty,2)*$F$1*MAX(AT762,0)</f>
        <v>18.557001321003963</v>
      </c>
      <c r="AS763" s="75">
        <f>PARAM!$C$26+MAX($G$13-CHOOSE(PARAM!$B$44,MAX(0,AT762*$F$1),0),0)*RATES!$L739/12+$H$13*(PARAM!$D$51/12)*RATES!$N739/100</f>
        <v>741.58333333333337</v>
      </c>
      <c r="AT763" s="16">
        <f t="shared" si="509"/>
        <v>-96045.038385289954</v>
      </c>
      <c r="AU763" s="15">
        <f t="shared" si="484"/>
        <v>22.170849845882874</v>
      </c>
      <c r="AV763" s="75">
        <f>AU763*(1-PARAM!$C$27)*$I$14+(MOD($B763,60)=PARAM!$B$56)*($B763&gt;(60-PARAM!$B$56))*HLOOKUP(($B763+PARAM!$B$56)/12,Loyalty,2)*$F$1*MAX(AX762,0)</f>
        <v>18.557001321003963</v>
      </c>
      <c r="AW763" s="75">
        <f>PARAM!$C$26+MAX($G$14-CHOOSE(PARAM!$B$44,MAX(0,AX762*$F$1),0),0)*RATES!$L739/12+$H$14*(PARAM!$D$51/12)*RATES!$N739/100</f>
        <v>741.58333333333337</v>
      </c>
      <c r="AX763" s="16">
        <f t="shared" si="510"/>
        <v>-96045.038385289954</v>
      </c>
      <c r="AY763" s="15">
        <f t="shared" si="485"/>
        <v>22.170849845882874</v>
      </c>
      <c r="AZ763" s="75">
        <f>AY763*(1-PARAM!$C$27)*$I$15+(MOD($B763,60)=PARAM!$B$56)*($B763&gt;(60-PARAM!$B$56))*HLOOKUP(($B763+PARAM!$B$56)/12,Loyalty,2)*$F$1*MAX(BB762,0)</f>
        <v>18.557001321003963</v>
      </c>
      <c r="BA763" s="75">
        <f>PARAM!$C$26+MAX($G$15-CHOOSE(PARAM!$B$44,MAX(0,BB762*$F$1),0),0)*RATES!$L739/12+$H$15*(PARAM!$D$51/12)*RATES!$N739/100</f>
        <v>741.58333333333337</v>
      </c>
      <c r="BB763" s="16">
        <f t="shared" si="511"/>
        <v>-96045.038385289954</v>
      </c>
      <c r="BC763" s="15">
        <f t="shared" si="486"/>
        <v>22.170849845882874</v>
      </c>
      <c r="BD763" s="75">
        <f>BC763*(1-PARAM!$C$27)*$I$16+(MOD($B763,60)=PARAM!$B$56)*($B763&gt;(60-PARAM!$B$56))*HLOOKUP(($B763+PARAM!$B$56)/12,Loyalty,2)*$F$1*MAX(BF762,0)</f>
        <v>18.557001321003963</v>
      </c>
      <c r="BE763" s="75">
        <f>PARAM!$C$26+MAX($G$16-CHOOSE(PARAM!$B$44,MAX(0,BF762*$F$1),0),0)*RATES!$L739/12+$H$16*(PARAM!$D$51/12)*RATES!$N739/100</f>
        <v>741.58333333333337</v>
      </c>
      <c r="BF763" s="16">
        <f t="shared" si="512"/>
        <v>-96045.038385289954</v>
      </c>
      <c r="BG763" s="15">
        <f t="shared" si="487"/>
        <v>22.170849845882874</v>
      </c>
      <c r="BH763" s="75">
        <f>BG763*(1-PARAM!$C$27)*$I$17+(MOD($B763,60)=PARAM!$B$56)*($B763&gt;(60-PARAM!$B$56))*HLOOKUP(($B763+PARAM!$B$56)/12,Loyalty,2)*$F$1*MAX(BJ762,0)</f>
        <v>18.557001321003963</v>
      </c>
      <c r="BI763" s="75">
        <f>PARAM!$C$26+MAX($G$17-CHOOSE(PARAM!$B$44,MAX(0,BJ762*$F$1),0),0)*RATES!$L739/12+$H$17*(PARAM!$D$51/12)*RATES!$N739/100</f>
        <v>741.58333333333337</v>
      </c>
      <c r="BJ763" s="16">
        <f t="shared" si="513"/>
        <v>-96045.038385289954</v>
      </c>
      <c r="BK763" s="15">
        <f t="shared" si="488"/>
        <v>22.170849845882874</v>
      </c>
      <c r="BL763" s="75">
        <f>BK763*(1-PARAM!$C$27)*$I$18+(MOD($B763,60)=PARAM!$B$56)*($B763&gt;(60-PARAM!$B$56))*HLOOKUP(($B763+PARAM!$B$56)/12,Loyalty,2)*$F$1*MAX(BN762,0)</f>
        <v>18.557001321003963</v>
      </c>
      <c r="BM763" s="75">
        <f>PARAM!$C$26+MAX($G$18-CHOOSE(PARAM!$B$44,MAX(0,BN762*$F$1),0),0)*RATES!$L739/12+$H$18*(PARAM!$D$51/12)*RATES!$N739/100</f>
        <v>741.58333333333337</v>
      </c>
      <c r="BN763" s="16">
        <f t="shared" si="514"/>
        <v>-96045.038385289954</v>
      </c>
      <c r="BO763" s="15">
        <f t="shared" si="489"/>
        <v>22.170849845882874</v>
      </c>
      <c r="BP763" s="75">
        <f>BO763*(1-PARAM!$C$27)*$I$19+(MOD($B763,60)=PARAM!$B$56)*($B763&gt;(60-PARAM!$B$56))*HLOOKUP(($B763+PARAM!$B$56)/12,Loyalty,2)*$F$1*MAX(BR762,0)</f>
        <v>18.557001321003963</v>
      </c>
      <c r="BQ763" s="75">
        <f>PARAM!$C$26+MAX($G$19-CHOOSE(PARAM!$B$44,MAX(0,BR762*$F$1),0),0)*RATES!$L739/12+$H$19*(PARAM!$D$51/12)*RATES!$N739/100</f>
        <v>741.58333333333337</v>
      </c>
      <c r="BR763" s="16">
        <f t="shared" si="515"/>
        <v>-96045.038385289954</v>
      </c>
      <c r="BS763" s="15">
        <f t="shared" si="490"/>
        <v>22.170849845882874</v>
      </c>
      <c r="BT763" s="75">
        <f>BS763*(1-PARAM!$C$27)*$I$20+(MOD($B763,60)=PARAM!$B$56)*($B763&gt;(60-PARAM!$B$56))*HLOOKUP(($B763+PARAM!$B$56)/12,Loyalty,2)*$F$1*MAX(BV762,0)</f>
        <v>18.557001321003963</v>
      </c>
      <c r="BU763" s="75">
        <f>PARAM!$C$26+MAX($G$20-CHOOSE(PARAM!$B$44,MAX(0,BV762*$F$1),0),0)*RATES!$L739/12+$H$20*(PARAM!$D$51/12)*RATES!$N739/100</f>
        <v>741.58333333333337</v>
      </c>
      <c r="BV763" s="16">
        <f t="shared" si="516"/>
        <v>-96045.038385289954</v>
      </c>
      <c r="BW763" s="15">
        <f t="shared" si="491"/>
        <v>22.170849845882874</v>
      </c>
      <c r="BX763" s="75">
        <f>BW763*(1-PARAM!$C$27)*$I$21+(MOD($B763,60)=PARAM!$B$56)*($B763&gt;(60-PARAM!$B$56))*HLOOKUP(($B763+PARAM!$B$56)/12,Loyalty,2)*$F$1*MAX(BZ762,0)</f>
        <v>18.557001321003963</v>
      </c>
      <c r="BY763" s="75">
        <f>PARAM!$C$26+MAX($G$21-CHOOSE(PARAM!$B$44,MAX(0,BZ762*$F$1),0),0)*RATES!$L739/12+$H$21*(PARAM!$D$51/12)*RATES!$N739/100</f>
        <v>741.58333333333337</v>
      </c>
      <c r="BZ763" s="16">
        <f t="shared" si="517"/>
        <v>-96045.038385289954</v>
      </c>
      <c r="CA763" s="15">
        <f t="shared" si="492"/>
        <v>22.170849845882874</v>
      </c>
      <c r="CB763" s="75">
        <f>CA763*(1-PARAM!$C$27)*$I$22+(MOD($B763,60)=PARAM!$B$56)*($B763&gt;(60-PARAM!$B$56))*HLOOKUP(($B763+PARAM!$B$56)/12,Loyalty,2)*$F$1*MAX(CD762,0)</f>
        <v>18.557001321003963</v>
      </c>
      <c r="CC763" s="75">
        <f>PARAM!$C$26+MAX($G$22-CHOOSE(PARAM!$B$44,MAX(0,CD762*$F$1),0),0)*RATES!$L739/12+$H$22*(PARAM!$D$51/12)*RATES!$N739/100</f>
        <v>741.58333333333337</v>
      </c>
      <c r="CD763" s="16">
        <f t="shared" si="518"/>
        <v>-96045.038385289954</v>
      </c>
      <c r="CE763" s="33">
        <f>IF(0=MOD(B763,12/PARAM!$D$51),1,0)</f>
        <v>1</v>
      </c>
      <c r="CF763" s="15">
        <f t="shared" si="493"/>
        <v>0</v>
      </c>
      <c r="CG763" s="75">
        <f>CF763*(1-PARAM!$C$27)*$R$3+(MOD($B763/12,5)=0)*($B763&gt;60)*HLOOKUP($B763/12,Loyalty,2)*$F$1*MAX(CI762,0)</f>
        <v>0</v>
      </c>
      <c r="CH763" s="75">
        <f>PARAM!$C$26+MAX($P$3-CHOOSE(PARAM!$B$44,MAX(0,CI762*$F$1),0),0)*RATES!$L739/12+$Q$3*(PARAM!$D$51/12)*RATES!$N739/100</f>
        <v>741.58333333333337</v>
      </c>
      <c r="CI763" s="16">
        <f>IF(CI762&gt;0,CI762*PARAM!$C$53,CI762)+CG763-CH763</f>
        <v>-109583.4166666669</v>
      </c>
      <c r="CJ763" s="15">
        <f t="shared" si="519"/>
        <v>0</v>
      </c>
      <c r="CK763" s="75">
        <f>CJ763*(1-PARAM!$C$27)*$R$4+(MOD($B763/12,5)=0)*($B763&gt;60)*HLOOKUP($B763/12,Loyalty,2)*$F$1*MAX(CM762,0)</f>
        <v>0</v>
      </c>
      <c r="CL763" s="75">
        <f>PARAM!$C$26+MAX($P$4-CHOOSE(PARAM!$B$44,MAX(0,CM762*$F$1),0),0)*RATES!$L739/12+$Q$4*(PARAM!$D$51/12)*RATES!$N739/100</f>
        <v>741.58333333333337</v>
      </c>
      <c r="CM763" s="16">
        <f>IF(CM762&gt;0,CM762*PARAM!$C$53,CM762)+CK763-CL763</f>
        <v>-109583.4166666669</v>
      </c>
      <c r="CO763" s="176"/>
    </row>
    <row r="764" spans="1:93" x14ac:dyDescent="0.2">
      <c r="A764" t="b">
        <f t="shared" si="494"/>
        <v>0</v>
      </c>
      <c r="B764" s="33">
        <v>737</v>
      </c>
      <c r="C764" s="15">
        <f t="shared" si="495"/>
        <v>20.081305947392778</v>
      </c>
      <c r="D764" s="75">
        <f>C764*(1-PARAM!$C$27)*$I$3+(MOD($B764,60)=PARAM!$B$56)*($B764&gt;(60-PARAM!$B$56))*HLOOKUP(($B764+PARAM!$B$56)/12,Loyalty,2)*$F$1*MAX(F763,0)</f>
        <v>16.808053077967756</v>
      </c>
      <c r="E764" s="75">
        <f>PARAM!$C$26+MAX($G$3-CHOOSE(PARAM!$B$44,MAX(0,F763*$F$1),0),0)*RATES!$L740/12+$H$3*(PARAM!$D$51/12)*RATES!$N740/100</f>
        <v>741.58333333333337</v>
      </c>
      <c r="F764" s="16">
        <f t="shared" si="496"/>
        <v>-98093.89007294146</v>
      </c>
      <c r="G764" s="15">
        <f t="shared" si="497"/>
        <v>22.035289406060361</v>
      </c>
      <c r="H764" s="75">
        <f>G764*(1-PARAM!$C$27)*$I$4+(MOD($B764,60)=PARAM!$B$56)*($B764&gt;(60-PARAM!$B$56))*HLOOKUP(($B764+PARAM!$B$56)/12,Loyalty,2)*$F$1*MAX(J763,0)</f>
        <v>18.443537232872522</v>
      </c>
      <c r="I764" s="75">
        <f>PARAM!$C$26+MAX($G$4-CHOOSE(PARAM!$B$44,MAX(0,J763*$F$1),0),0)*RATES!$L740/12+$H$4*(PARAM!$D$51/12)*RATES!$N740/100</f>
        <v>741.58333333333337</v>
      </c>
      <c r="J764" s="16">
        <f t="shared" si="498"/>
        <v>-96854.70528665492</v>
      </c>
      <c r="K764" s="15">
        <f t="shared" si="499"/>
        <v>22.170849845882874</v>
      </c>
      <c r="L764" s="75">
        <f>K764*(1-PARAM!$C$27)*$I$5+(MOD($B764,60)=PARAM!$B$56)*($B764&gt;(60-PARAM!$B$56))*HLOOKUP(($B764+PARAM!$B$56)/12,Loyalty,2)*$F$1*MAX(N763,0)</f>
        <v>18.557001321003963</v>
      </c>
      <c r="M764" s="75">
        <f>PARAM!$C$26+MAX($G$5-CHOOSE(PARAM!$B$44,MAX(0,N763*$F$1),0),0)*RATES!$L740/12+$H$5*(PARAM!$D$51/12)*RATES!$N740/100</f>
        <v>741.58333333333337</v>
      </c>
      <c r="N764" s="16">
        <f t="shared" si="500"/>
        <v>-96768.064717302273</v>
      </c>
      <c r="O764" s="15">
        <f t="shared" si="501"/>
        <v>22.170849845882874</v>
      </c>
      <c r="P764" s="75">
        <f>O764*(1-PARAM!$C$27)*$I$6+(MOD($B764,60)=PARAM!$B$56)*($B764&gt;(60-PARAM!$B$56))*HLOOKUP(($B764+PARAM!$B$56)/12,Loyalty,2)*$F$1*MAX(R763,0)</f>
        <v>18.557001321003963</v>
      </c>
      <c r="Q764" s="75">
        <f>PARAM!$C$26+MAX($G$6-CHOOSE(PARAM!$B$44,MAX(0,R763*$F$1),0),0)*RATES!$L740/12+$H$6*(PARAM!$D$51/12)*RATES!$N740/100</f>
        <v>741.58333333333337</v>
      </c>
      <c r="R764" s="16">
        <f t="shared" si="502"/>
        <v>-96768.064717302273</v>
      </c>
      <c r="S764" s="15">
        <f t="shared" si="477"/>
        <v>22.170849845882874</v>
      </c>
      <c r="T764" s="75">
        <f>S764*(1-PARAM!$C$27)*$I$7+(MOD($B764,60)=PARAM!$B$56)*($B764&gt;(60-PARAM!$B$56))*HLOOKUP(($B764+PARAM!$B$56)/12,Loyalty,2)*$F$1*MAX(V763,0)</f>
        <v>18.557001321003963</v>
      </c>
      <c r="U764" s="75">
        <f>PARAM!$C$26+MAX($G$7-CHOOSE(PARAM!$B$44,MAX(0,V763*$F$1),0),0)*RATES!$L740/12+$H$7*(PARAM!$D$51/12)*RATES!$N740/100</f>
        <v>741.58333333333337</v>
      </c>
      <c r="V764" s="16">
        <f t="shared" si="503"/>
        <v>-96768.064717302273</v>
      </c>
      <c r="W764" s="15">
        <f t="shared" si="478"/>
        <v>22.170849845882874</v>
      </c>
      <c r="X764" s="75">
        <f>W764*(1-PARAM!$C$27)*$I$8+(MOD($B764,60)=PARAM!$B$56)*($B764&gt;(60-PARAM!$B$56))*HLOOKUP(($B764+PARAM!$B$56)/12,Loyalty,2)*$F$1*MAX(Z763,0)</f>
        <v>18.557001321003963</v>
      </c>
      <c r="Y764" s="75">
        <f>PARAM!$C$26+MAX($G$8-CHOOSE(PARAM!$B$44,MAX(0,Z763*$F$1),0),0)*RATES!$L740/12+$H$8*(PARAM!$D$51/12)*RATES!$N740/100</f>
        <v>741.58333333333337</v>
      </c>
      <c r="Z764" s="16">
        <f t="shared" si="504"/>
        <v>-96768.064717302273</v>
      </c>
      <c r="AA764" s="15">
        <f t="shared" si="479"/>
        <v>22.170849845882874</v>
      </c>
      <c r="AB764" s="75">
        <f>AA764*(1-PARAM!$C$27)*$I$9+(MOD($B764,60)=PARAM!$B$56)*($B764&gt;(60-PARAM!$B$56))*HLOOKUP(($B764+PARAM!$B$56)/12,Loyalty,2)*$F$1*MAX(AD763,0)</f>
        <v>18.557001321003963</v>
      </c>
      <c r="AC764" s="75">
        <f>PARAM!$C$26+MAX($G$9-CHOOSE(PARAM!$B$44,MAX(0,AD763*$F$1),0),0)*RATES!$L740/12+$H$9*(PARAM!$D$51/12)*RATES!$N740/100</f>
        <v>741.58333333333337</v>
      </c>
      <c r="AD764" s="16">
        <f t="shared" si="505"/>
        <v>-96768.064717302273</v>
      </c>
      <c r="AE764" s="15">
        <f t="shared" si="480"/>
        <v>22.170849845882874</v>
      </c>
      <c r="AF764" s="75">
        <f>AE764*(1-PARAM!$C$27)*$I$10+(MOD($B764,60)=PARAM!$B$56)*($B764&gt;(60-PARAM!$B$56))*HLOOKUP(($B764+PARAM!$B$56)/12,Loyalty,2)*$F$1*MAX(AH763,0)</f>
        <v>18.557001321003963</v>
      </c>
      <c r="AG764" s="75">
        <f>PARAM!$C$26+MAX($G$10-CHOOSE(PARAM!$B$44,MAX(0,AH763*$F$1),0),0)*RATES!$L740/12+$H$10*(PARAM!$D$51/12)*RATES!$N740/100</f>
        <v>741.58333333333337</v>
      </c>
      <c r="AH764" s="16">
        <f t="shared" si="506"/>
        <v>-96768.064717302273</v>
      </c>
      <c r="AI764" s="15">
        <f t="shared" si="481"/>
        <v>22.170849845882874</v>
      </c>
      <c r="AJ764" s="75">
        <f>AI764*(1-PARAM!$C$27)*$I$11+(MOD($B764,60)=PARAM!$B$56)*($B764&gt;(60-PARAM!$B$56))*HLOOKUP(($B764+PARAM!$B$56)/12,Loyalty,2)*$F$1*MAX(AL763,0)</f>
        <v>18.557001321003963</v>
      </c>
      <c r="AK764" s="75">
        <f>PARAM!$C$26+MAX($G$11-CHOOSE(PARAM!$B$44,MAX(0,AL763*$F$1),0),0)*RATES!$L740/12+$H$11*(PARAM!$D$51/12)*RATES!$N740/100</f>
        <v>741.58333333333337</v>
      </c>
      <c r="AL764" s="16">
        <f t="shared" si="507"/>
        <v>-96768.064717302273</v>
      </c>
      <c r="AM764" s="15">
        <f t="shared" si="482"/>
        <v>22.170849845882874</v>
      </c>
      <c r="AN764" s="75">
        <f>AM764*(1-PARAM!$C$27)*$I$12+(MOD($B764,60)=PARAM!$B$56)*($B764&gt;(60-PARAM!$B$56))*HLOOKUP(($B764+PARAM!$B$56)/12,Loyalty,2)*$F$1*MAX(AP763,0)</f>
        <v>18.557001321003963</v>
      </c>
      <c r="AO764" s="75">
        <f>PARAM!$C$26+MAX($G$12-CHOOSE(PARAM!$B$44,MAX(0,AP763*$F$1),0),0)*RATES!$L740/12+$H$12*(PARAM!$D$51/12)*RATES!$N740/100</f>
        <v>741.58333333333337</v>
      </c>
      <c r="AP764" s="16">
        <f t="shared" si="508"/>
        <v>-96768.064717302273</v>
      </c>
      <c r="AQ764" s="15">
        <f t="shared" si="483"/>
        <v>22.170849845882874</v>
      </c>
      <c r="AR764" s="75">
        <f>AQ764*(1-PARAM!$C$27)*$I$13+(MOD($B764,60)=PARAM!$B$56)*($B764&gt;(60-PARAM!$B$56))*HLOOKUP(($B764+PARAM!$B$56)/12,Loyalty,2)*$F$1*MAX(AT763,0)</f>
        <v>18.557001321003963</v>
      </c>
      <c r="AS764" s="75">
        <f>PARAM!$C$26+MAX($G$13-CHOOSE(PARAM!$B$44,MAX(0,AT763*$F$1),0),0)*RATES!$L740/12+$H$13*(PARAM!$D$51/12)*RATES!$N740/100</f>
        <v>741.58333333333337</v>
      </c>
      <c r="AT764" s="16">
        <f t="shared" si="509"/>
        <v>-96768.064717302273</v>
      </c>
      <c r="AU764" s="15">
        <f t="shared" si="484"/>
        <v>22.170849845882874</v>
      </c>
      <c r="AV764" s="75">
        <f>AU764*(1-PARAM!$C$27)*$I$14+(MOD($B764,60)=PARAM!$B$56)*($B764&gt;(60-PARAM!$B$56))*HLOOKUP(($B764+PARAM!$B$56)/12,Loyalty,2)*$F$1*MAX(AX763,0)</f>
        <v>18.557001321003963</v>
      </c>
      <c r="AW764" s="75">
        <f>PARAM!$C$26+MAX($G$14-CHOOSE(PARAM!$B$44,MAX(0,AX763*$F$1),0),0)*RATES!$L740/12+$H$14*(PARAM!$D$51/12)*RATES!$N740/100</f>
        <v>741.58333333333337</v>
      </c>
      <c r="AX764" s="16">
        <f t="shared" si="510"/>
        <v>-96768.064717302273</v>
      </c>
      <c r="AY764" s="15">
        <f t="shared" si="485"/>
        <v>22.170849845882874</v>
      </c>
      <c r="AZ764" s="75">
        <f>AY764*(1-PARAM!$C$27)*$I$15+(MOD($B764,60)=PARAM!$B$56)*($B764&gt;(60-PARAM!$B$56))*HLOOKUP(($B764+PARAM!$B$56)/12,Loyalty,2)*$F$1*MAX(BB763,0)</f>
        <v>18.557001321003963</v>
      </c>
      <c r="BA764" s="75">
        <f>PARAM!$C$26+MAX($G$15-CHOOSE(PARAM!$B$44,MAX(0,BB763*$F$1),0),0)*RATES!$L740/12+$H$15*(PARAM!$D$51/12)*RATES!$N740/100</f>
        <v>741.58333333333337</v>
      </c>
      <c r="BB764" s="16">
        <f t="shared" si="511"/>
        <v>-96768.064717302273</v>
      </c>
      <c r="BC764" s="15">
        <f t="shared" si="486"/>
        <v>22.170849845882874</v>
      </c>
      <c r="BD764" s="75">
        <f>BC764*(1-PARAM!$C$27)*$I$16+(MOD($B764,60)=PARAM!$B$56)*($B764&gt;(60-PARAM!$B$56))*HLOOKUP(($B764+PARAM!$B$56)/12,Loyalty,2)*$F$1*MAX(BF763,0)</f>
        <v>18.557001321003963</v>
      </c>
      <c r="BE764" s="75">
        <f>PARAM!$C$26+MAX($G$16-CHOOSE(PARAM!$B$44,MAX(0,BF763*$F$1),0),0)*RATES!$L740/12+$H$16*(PARAM!$D$51/12)*RATES!$N740/100</f>
        <v>741.58333333333337</v>
      </c>
      <c r="BF764" s="16">
        <f t="shared" si="512"/>
        <v>-96768.064717302273</v>
      </c>
      <c r="BG764" s="15">
        <f t="shared" si="487"/>
        <v>22.170849845882874</v>
      </c>
      <c r="BH764" s="75">
        <f>BG764*(1-PARAM!$C$27)*$I$17+(MOD($B764,60)=PARAM!$B$56)*($B764&gt;(60-PARAM!$B$56))*HLOOKUP(($B764+PARAM!$B$56)/12,Loyalty,2)*$F$1*MAX(BJ763,0)</f>
        <v>18.557001321003963</v>
      </c>
      <c r="BI764" s="75">
        <f>PARAM!$C$26+MAX($G$17-CHOOSE(PARAM!$B$44,MAX(0,BJ763*$F$1),0),0)*RATES!$L740/12+$H$17*(PARAM!$D$51/12)*RATES!$N740/100</f>
        <v>741.58333333333337</v>
      </c>
      <c r="BJ764" s="16">
        <f t="shared" si="513"/>
        <v>-96768.064717302273</v>
      </c>
      <c r="BK764" s="15">
        <f t="shared" si="488"/>
        <v>22.170849845882874</v>
      </c>
      <c r="BL764" s="75">
        <f>BK764*(1-PARAM!$C$27)*$I$18+(MOD($B764,60)=PARAM!$B$56)*($B764&gt;(60-PARAM!$B$56))*HLOOKUP(($B764+PARAM!$B$56)/12,Loyalty,2)*$F$1*MAX(BN763,0)</f>
        <v>18.557001321003963</v>
      </c>
      <c r="BM764" s="75">
        <f>PARAM!$C$26+MAX($G$18-CHOOSE(PARAM!$B$44,MAX(0,BN763*$F$1),0),0)*RATES!$L740/12+$H$18*(PARAM!$D$51/12)*RATES!$N740/100</f>
        <v>741.58333333333337</v>
      </c>
      <c r="BN764" s="16">
        <f t="shared" si="514"/>
        <v>-96768.064717302273</v>
      </c>
      <c r="BO764" s="15">
        <f t="shared" si="489"/>
        <v>22.170849845882874</v>
      </c>
      <c r="BP764" s="75">
        <f>BO764*(1-PARAM!$C$27)*$I$19+(MOD($B764,60)=PARAM!$B$56)*($B764&gt;(60-PARAM!$B$56))*HLOOKUP(($B764+PARAM!$B$56)/12,Loyalty,2)*$F$1*MAX(BR763,0)</f>
        <v>18.557001321003963</v>
      </c>
      <c r="BQ764" s="75">
        <f>PARAM!$C$26+MAX($G$19-CHOOSE(PARAM!$B$44,MAX(0,BR763*$F$1),0),0)*RATES!$L740/12+$H$19*(PARAM!$D$51/12)*RATES!$N740/100</f>
        <v>741.58333333333337</v>
      </c>
      <c r="BR764" s="16">
        <f t="shared" si="515"/>
        <v>-96768.064717302273</v>
      </c>
      <c r="BS764" s="15">
        <f t="shared" si="490"/>
        <v>22.170849845882874</v>
      </c>
      <c r="BT764" s="75">
        <f>BS764*(1-PARAM!$C$27)*$I$20+(MOD($B764,60)=PARAM!$B$56)*($B764&gt;(60-PARAM!$B$56))*HLOOKUP(($B764+PARAM!$B$56)/12,Loyalty,2)*$F$1*MAX(BV763,0)</f>
        <v>18.557001321003963</v>
      </c>
      <c r="BU764" s="75">
        <f>PARAM!$C$26+MAX($G$20-CHOOSE(PARAM!$B$44,MAX(0,BV763*$F$1),0),0)*RATES!$L740/12+$H$20*(PARAM!$D$51/12)*RATES!$N740/100</f>
        <v>741.58333333333337</v>
      </c>
      <c r="BV764" s="16">
        <f t="shared" si="516"/>
        <v>-96768.064717302273</v>
      </c>
      <c r="BW764" s="15">
        <f t="shared" si="491"/>
        <v>22.170849845882874</v>
      </c>
      <c r="BX764" s="75">
        <f>BW764*(1-PARAM!$C$27)*$I$21+(MOD($B764,60)=PARAM!$B$56)*($B764&gt;(60-PARAM!$B$56))*HLOOKUP(($B764+PARAM!$B$56)/12,Loyalty,2)*$F$1*MAX(BZ763,0)</f>
        <v>18.557001321003963</v>
      </c>
      <c r="BY764" s="75">
        <f>PARAM!$C$26+MAX($G$21-CHOOSE(PARAM!$B$44,MAX(0,BZ763*$F$1),0),0)*RATES!$L740/12+$H$21*(PARAM!$D$51/12)*RATES!$N740/100</f>
        <v>741.58333333333337</v>
      </c>
      <c r="BZ764" s="16">
        <f t="shared" si="517"/>
        <v>-96768.064717302273</v>
      </c>
      <c r="CA764" s="15">
        <f t="shared" si="492"/>
        <v>22.170849845882874</v>
      </c>
      <c r="CB764" s="75">
        <f>CA764*(1-PARAM!$C$27)*$I$22+(MOD($B764,60)=PARAM!$B$56)*($B764&gt;(60-PARAM!$B$56))*HLOOKUP(($B764+PARAM!$B$56)/12,Loyalty,2)*$F$1*MAX(CD763,0)</f>
        <v>18.557001321003963</v>
      </c>
      <c r="CC764" s="75">
        <f>PARAM!$C$26+MAX($G$22-CHOOSE(PARAM!$B$44,MAX(0,CD763*$F$1),0),0)*RATES!$L740/12+$H$22*(PARAM!$D$51/12)*RATES!$N740/100</f>
        <v>741.58333333333337</v>
      </c>
      <c r="CD764" s="16">
        <f t="shared" si="518"/>
        <v>-96768.064717302273</v>
      </c>
      <c r="CE764" s="33">
        <f>IF(0=MOD(B764,12/PARAM!$D$51),1,0)</f>
        <v>1</v>
      </c>
      <c r="CF764" s="15">
        <f t="shared" si="493"/>
        <v>0</v>
      </c>
      <c r="CG764" s="75">
        <f>CF764*(1-PARAM!$C$27)*$R$3+(MOD($B764/12,5)=0)*($B764&gt;60)*HLOOKUP($B764/12,Loyalty,2)*$F$1*MAX(CI763,0)</f>
        <v>0</v>
      </c>
      <c r="CH764" s="75">
        <f>PARAM!$C$26+MAX($P$3-CHOOSE(PARAM!$B$44,MAX(0,CI763*$F$1),0),0)*RATES!$L740/12+$Q$3*(PARAM!$D$51/12)*RATES!$N740/100</f>
        <v>741.58333333333337</v>
      </c>
      <c r="CI764" s="16">
        <f>IF(CI763&gt;0,CI763*PARAM!$C$53,CI763)+CG764-CH764</f>
        <v>-110325.00000000023</v>
      </c>
      <c r="CJ764" s="15">
        <f t="shared" si="519"/>
        <v>0</v>
      </c>
      <c r="CK764" s="75">
        <f>CJ764*(1-PARAM!$C$27)*$R$4+(MOD($B764/12,5)=0)*($B764&gt;60)*HLOOKUP($B764/12,Loyalty,2)*$F$1*MAX(CM763,0)</f>
        <v>0</v>
      </c>
      <c r="CL764" s="75">
        <f>PARAM!$C$26+MAX($P$4-CHOOSE(PARAM!$B$44,MAX(0,CM763*$F$1),0),0)*RATES!$L740/12+$Q$4*(PARAM!$D$51/12)*RATES!$N740/100</f>
        <v>741.58333333333337</v>
      </c>
      <c r="CM764" s="16">
        <f>IF(CM763&gt;0,CM763*PARAM!$C$53,CM763)+CK764-CL764</f>
        <v>-110325.00000000023</v>
      </c>
      <c r="CO764" s="176"/>
    </row>
    <row r="765" spans="1:93" x14ac:dyDescent="0.2">
      <c r="A765" t="b">
        <f t="shared" si="494"/>
        <v>0</v>
      </c>
      <c r="B765" s="33">
        <v>738</v>
      </c>
      <c r="C765" s="15">
        <f t="shared" si="495"/>
        <v>20.081305947392778</v>
      </c>
      <c r="D765" s="75">
        <f>C765*(1-PARAM!$C$27)*$I$3+(MOD($B765,60)=PARAM!$B$56)*($B765&gt;(60-PARAM!$B$56))*HLOOKUP(($B765+PARAM!$B$56)/12,Loyalty,2)*$F$1*MAX(F764,0)</f>
        <v>16.808053077967756</v>
      </c>
      <c r="E765" s="75">
        <f>PARAM!$C$26+MAX($G$3-CHOOSE(PARAM!$B$44,MAX(0,F764*$F$1),0),0)*RATES!$L741/12+$H$3*(PARAM!$D$51/12)*RATES!$N741/100</f>
        <v>797.45833333333337</v>
      </c>
      <c r="F765" s="16">
        <f t="shared" si="496"/>
        <v>-98874.540353196819</v>
      </c>
      <c r="G765" s="15">
        <f t="shared" si="497"/>
        <v>22.035289406060361</v>
      </c>
      <c r="H765" s="75">
        <f>G765*(1-PARAM!$C$27)*$I$4+(MOD($B765,60)=PARAM!$B$56)*($B765&gt;(60-PARAM!$B$56))*HLOOKUP(($B765+PARAM!$B$56)/12,Loyalty,2)*$F$1*MAX(J764,0)</f>
        <v>18.443537232872522</v>
      </c>
      <c r="I765" s="75">
        <f>PARAM!$C$26+MAX($G$4-CHOOSE(PARAM!$B$44,MAX(0,J764*$F$1),0),0)*RATES!$L741/12+$H$4*(PARAM!$D$51/12)*RATES!$N741/100</f>
        <v>797.45833333333337</v>
      </c>
      <c r="J765" s="16">
        <f t="shared" si="498"/>
        <v>-97633.720082755375</v>
      </c>
      <c r="K765" s="15">
        <f t="shared" si="499"/>
        <v>22.170849845882874</v>
      </c>
      <c r="L765" s="75">
        <f>K765*(1-PARAM!$C$27)*$I$5+(MOD($B765,60)=PARAM!$B$56)*($B765&gt;(60-PARAM!$B$56))*HLOOKUP(($B765+PARAM!$B$56)/12,Loyalty,2)*$F$1*MAX(N764,0)</f>
        <v>18.557001321003963</v>
      </c>
      <c r="M765" s="75">
        <f>PARAM!$C$26+MAX($G$5-CHOOSE(PARAM!$B$44,MAX(0,N764*$F$1),0),0)*RATES!$L741/12+$H$5*(PARAM!$D$51/12)*RATES!$N741/100</f>
        <v>797.45833333333337</v>
      </c>
      <c r="N765" s="16">
        <f t="shared" si="500"/>
        <v>-97546.966049314593</v>
      </c>
      <c r="O765" s="15">
        <f t="shared" si="501"/>
        <v>22.170849845882874</v>
      </c>
      <c r="P765" s="75">
        <f>O765*(1-PARAM!$C$27)*$I$6+(MOD($B765,60)=PARAM!$B$56)*($B765&gt;(60-PARAM!$B$56))*HLOOKUP(($B765+PARAM!$B$56)/12,Loyalty,2)*$F$1*MAX(R764,0)</f>
        <v>18.557001321003963</v>
      </c>
      <c r="Q765" s="75">
        <f>PARAM!$C$26+MAX($G$6-CHOOSE(PARAM!$B$44,MAX(0,R764*$F$1),0),0)*RATES!$L741/12+$H$6*(PARAM!$D$51/12)*RATES!$N741/100</f>
        <v>797.45833333333337</v>
      </c>
      <c r="R765" s="16">
        <f t="shared" si="502"/>
        <v>-97546.966049314593</v>
      </c>
      <c r="S765" s="15">
        <f t="shared" si="477"/>
        <v>22.170849845882874</v>
      </c>
      <c r="T765" s="75">
        <f>S765*(1-PARAM!$C$27)*$I$7+(MOD($B765,60)=PARAM!$B$56)*($B765&gt;(60-PARAM!$B$56))*HLOOKUP(($B765+PARAM!$B$56)/12,Loyalty,2)*$F$1*MAX(V764,0)</f>
        <v>18.557001321003963</v>
      </c>
      <c r="U765" s="75">
        <f>PARAM!$C$26+MAX($G$7-CHOOSE(PARAM!$B$44,MAX(0,V764*$F$1),0),0)*RATES!$L741/12+$H$7*(PARAM!$D$51/12)*RATES!$N741/100</f>
        <v>797.45833333333337</v>
      </c>
      <c r="V765" s="16">
        <f t="shared" si="503"/>
        <v>-97546.966049314593</v>
      </c>
      <c r="W765" s="15">
        <f t="shared" si="478"/>
        <v>22.170849845882874</v>
      </c>
      <c r="X765" s="75">
        <f>W765*(1-PARAM!$C$27)*$I$8+(MOD($B765,60)=PARAM!$B$56)*($B765&gt;(60-PARAM!$B$56))*HLOOKUP(($B765+PARAM!$B$56)/12,Loyalty,2)*$F$1*MAX(Z764,0)</f>
        <v>18.557001321003963</v>
      </c>
      <c r="Y765" s="75">
        <f>PARAM!$C$26+MAX($G$8-CHOOSE(PARAM!$B$44,MAX(0,Z764*$F$1),0),0)*RATES!$L741/12+$H$8*(PARAM!$D$51/12)*RATES!$N741/100</f>
        <v>797.45833333333337</v>
      </c>
      <c r="Z765" s="16">
        <f t="shared" si="504"/>
        <v>-97546.966049314593</v>
      </c>
      <c r="AA765" s="15">
        <f t="shared" si="479"/>
        <v>22.170849845882874</v>
      </c>
      <c r="AB765" s="75">
        <f>AA765*(1-PARAM!$C$27)*$I$9+(MOD($B765,60)=PARAM!$B$56)*($B765&gt;(60-PARAM!$B$56))*HLOOKUP(($B765+PARAM!$B$56)/12,Loyalty,2)*$F$1*MAX(AD764,0)</f>
        <v>18.557001321003963</v>
      </c>
      <c r="AC765" s="75">
        <f>PARAM!$C$26+MAX($G$9-CHOOSE(PARAM!$B$44,MAX(0,AD764*$F$1),0),0)*RATES!$L741/12+$H$9*(PARAM!$D$51/12)*RATES!$N741/100</f>
        <v>797.45833333333337</v>
      </c>
      <c r="AD765" s="16">
        <f t="shared" si="505"/>
        <v>-97546.966049314593</v>
      </c>
      <c r="AE765" s="15">
        <f t="shared" si="480"/>
        <v>22.170849845882874</v>
      </c>
      <c r="AF765" s="75">
        <f>AE765*(1-PARAM!$C$27)*$I$10+(MOD($B765,60)=PARAM!$B$56)*($B765&gt;(60-PARAM!$B$56))*HLOOKUP(($B765+PARAM!$B$56)/12,Loyalty,2)*$F$1*MAX(AH764,0)</f>
        <v>18.557001321003963</v>
      </c>
      <c r="AG765" s="75">
        <f>PARAM!$C$26+MAX($G$10-CHOOSE(PARAM!$B$44,MAX(0,AH764*$F$1),0),0)*RATES!$L741/12+$H$10*(PARAM!$D$51/12)*RATES!$N741/100</f>
        <v>797.45833333333337</v>
      </c>
      <c r="AH765" s="16">
        <f t="shared" si="506"/>
        <v>-97546.966049314593</v>
      </c>
      <c r="AI765" s="15">
        <f t="shared" si="481"/>
        <v>22.170849845882874</v>
      </c>
      <c r="AJ765" s="75">
        <f>AI765*(1-PARAM!$C$27)*$I$11+(MOD($B765,60)=PARAM!$B$56)*($B765&gt;(60-PARAM!$B$56))*HLOOKUP(($B765+PARAM!$B$56)/12,Loyalty,2)*$F$1*MAX(AL764,0)</f>
        <v>18.557001321003963</v>
      </c>
      <c r="AK765" s="75">
        <f>PARAM!$C$26+MAX($G$11-CHOOSE(PARAM!$B$44,MAX(0,AL764*$F$1),0),0)*RATES!$L741/12+$H$11*(PARAM!$D$51/12)*RATES!$N741/100</f>
        <v>797.45833333333337</v>
      </c>
      <c r="AL765" s="16">
        <f t="shared" si="507"/>
        <v>-97546.966049314593</v>
      </c>
      <c r="AM765" s="15">
        <f t="shared" si="482"/>
        <v>22.170849845882874</v>
      </c>
      <c r="AN765" s="75">
        <f>AM765*(1-PARAM!$C$27)*$I$12+(MOD($B765,60)=PARAM!$B$56)*($B765&gt;(60-PARAM!$B$56))*HLOOKUP(($B765+PARAM!$B$56)/12,Loyalty,2)*$F$1*MAX(AP764,0)</f>
        <v>18.557001321003963</v>
      </c>
      <c r="AO765" s="75">
        <f>PARAM!$C$26+MAX($G$12-CHOOSE(PARAM!$B$44,MAX(0,AP764*$F$1),0),0)*RATES!$L741/12+$H$12*(PARAM!$D$51/12)*RATES!$N741/100</f>
        <v>797.45833333333337</v>
      </c>
      <c r="AP765" s="16">
        <f t="shared" si="508"/>
        <v>-97546.966049314593</v>
      </c>
      <c r="AQ765" s="15">
        <f t="shared" si="483"/>
        <v>22.170849845882874</v>
      </c>
      <c r="AR765" s="75">
        <f>AQ765*(1-PARAM!$C$27)*$I$13+(MOD($B765,60)=PARAM!$B$56)*($B765&gt;(60-PARAM!$B$56))*HLOOKUP(($B765+PARAM!$B$56)/12,Loyalty,2)*$F$1*MAX(AT764,0)</f>
        <v>18.557001321003963</v>
      </c>
      <c r="AS765" s="75">
        <f>PARAM!$C$26+MAX($G$13-CHOOSE(PARAM!$B$44,MAX(0,AT764*$F$1),0),0)*RATES!$L741/12+$H$13*(PARAM!$D$51/12)*RATES!$N741/100</f>
        <v>797.45833333333337</v>
      </c>
      <c r="AT765" s="16">
        <f t="shared" si="509"/>
        <v>-97546.966049314593</v>
      </c>
      <c r="AU765" s="15">
        <f t="shared" si="484"/>
        <v>22.170849845882874</v>
      </c>
      <c r="AV765" s="75">
        <f>AU765*(1-PARAM!$C$27)*$I$14+(MOD($B765,60)=PARAM!$B$56)*($B765&gt;(60-PARAM!$B$56))*HLOOKUP(($B765+PARAM!$B$56)/12,Loyalty,2)*$F$1*MAX(AX764,0)</f>
        <v>18.557001321003963</v>
      </c>
      <c r="AW765" s="75">
        <f>PARAM!$C$26+MAX($G$14-CHOOSE(PARAM!$B$44,MAX(0,AX764*$F$1),0),0)*RATES!$L741/12+$H$14*(PARAM!$D$51/12)*RATES!$N741/100</f>
        <v>797.45833333333337</v>
      </c>
      <c r="AX765" s="16">
        <f t="shared" si="510"/>
        <v>-97546.966049314593</v>
      </c>
      <c r="AY765" s="15">
        <f t="shared" si="485"/>
        <v>22.170849845882874</v>
      </c>
      <c r="AZ765" s="75">
        <f>AY765*(1-PARAM!$C$27)*$I$15+(MOD($B765,60)=PARAM!$B$56)*($B765&gt;(60-PARAM!$B$56))*HLOOKUP(($B765+PARAM!$B$56)/12,Loyalty,2)*$F$1*MAX(BB764,0)</f>
        <v>18.557001321003963</v>
      </c>
      <c r="BA765" s="75">
        <f>PARAM!$C$26+MAX($G$15-CHOOSE(PARAM!$B$44,MAX(0,BB764*$F$1),0),0)*RATES!$L741/12+$H$15*(PARAM!$D$51/12)*RATES!$N741/100</f>
        <v>797.45833333333337</v>
      </c>
      <c r="BB765" s="16">
        <f t="shared" si="511"/>
        <v>-97546.966049314593</v>
      </c>
      <c r="BC765" s="15">
        <f t="shared" si="486"/>
        <v>22.170849845882874</v>
      </c>
      <c r="BD765" s="75">
        <f>BC765*(1-PARAM!$C$27)*$I$16+(MOD($B765,60)=PARAM!$B$56)*($B765&gt;(60-PARAM!$B$56))*HLOOKUP(($B765+PARAM!$B$56)/12,Loyalty,2)*$F$1*MAX(BF764,0)</f>
        <v>18.557001321003963</v>
      </c>
      <c r="BE765" s="75">
        <f>PARAM!$C$26+MAX($G$16-CHOOSE(PARAM!$B$44,MAX(0,BF764*$F$1),0),0)*RATES!$L741/12+$H$16*(PARAM!$D$51/12)*RATES!$N741/100</f>
        <v>797.45833333333337</v>
      </c>
      <c r="BF765" s="16">
        <f t="shared" si="512"/>
        <v>-97546.966049314593</v>
      </c>
      <c r="BG765" s="15">
        <f t="shared" si="487"/>
        <v>22.170849845882874</v>
      </c>
      <c r="BH765" s="75">
        <f>BG765*(1-PARAM!$C$27)*$I$17+(MOD($B765,60)=PARAM!$B$56)*($B765&gt;(60-PARAM!$B$56))*HLOOKUP(($B765+PARAM!$B$56)/12,Loyalty,2)*$F$1*MAX(BJ764,0)</f>
        <v>18.557001321003963</v>
      </c>
      <c r="BI765" s="75">
        <f>PARAM!$C$26+MAX($G$17-CHOOSE(PARAM!$B$44,MAX(0,BJ764*$F$1),0),0)*RATES!$L741/12+$H$17*(PARAM!$D$51/12)*RATES!$N741/100</f>
        <v>797.45833333333337</v>
      </c>
      <c r="BJ765" s="16">
        <f t="shared" si="513"/>
        <v>-97546.966049314593</v>
      </c>
      <c r="BK765" s="15">
        <f t="shared" si="488"/>
        <v>22.170849845882874</v>
      </c>
      <c r="BL765" s="75">
        <f>BK765*(1-PARAM!$C$27)*$I$18+(MOD($B765,60)=PARAM!$B$56)*($B765&gt;(60-PARAM!$B$56))*HLOOKUP(($B765+PARAM!$B$56)/12,Loyalty,2)*$F$1*MAX(BN764,0)</f>
        <v>18.557001321003963</v>
      </c>
      <c r="BM765" s="75">
        <f>PARAM!$C$26+MAX($G$18-CHOOSE(PARAM!$B$44,MAX(0,BN764*$F$1),0),0)*RATES!$L741/12+$H$18*(PARAM!$D$51/12)*RATES!$N741/100</f>
        <v>797.45833333333337</v>
      </c>
      <c r="BN765" s="16">
        <f t="shared" si="514"/>
        <v>-97546.966049314593</v>
      </c>
      <c r="BO765" s="15">
        <f t="shared" si="489"/>
        <v>22.170849845882874</v>
      </c>
      <c r="BP765" s="75">
        <f>BO765*(1-PARAM!$C$27)*$I$19+(MOD($B765,60)=PARAM!$B$56)*($B765&gt;(60-PARAM!$B$56))*HLOOKUP(($B765+PARAM!$B$56)/12,Loyalty,2)*$F$1*MAX(BR764,0)</f>
        <v>18.557001321003963</v>
      </c>
      <c r="BQ765" s="75">
        <f>PARAM!$C$26+MAX($G$19-CHOOSE(PARAM!$B$44,MAX(0,BR764*$F$1),0),0)*RATES!$L741/12+$H$19*(PARAM!$D$51/12)*RATES!$N741/100</f>
        <v>797.45833333333337</v>
      </c>
      <c r="BR765" s="16">
        <f t="shared" si="515"/>
        <v>-97546.966049314593</v>
      </c>
      <c r="BS765" s="15">
        <f t="shared" si="490"/>
        <v>22.170849845882874</v>
      </c>
      <c r="BT765" s="75">
        <f>BS765*(1-PARAM!$C$27)*$I$20+(MOD($B765,60)=PARAM!$B$56)*($B765&gt;(60-PARAM!$B$56))*HLOOKUP(($B765+PARAM!$B$56)/12,Loyalty,2)*$F$1*MAX(BV764,0)</f>
        <v>18.557001321003963</v>
      </c>
      <c r="BU765" s="75">
        <f>PARAM!$C$26+MAX($G$20-CHOOSE(PARAM!$B$44,MAX(0,BV764*$F$1),0),0)*RATES!$L741/12+$H$20*(PARAM!$D$51/12)*RATES!$N741/100</f>
        <v>797.45833333333337</v>
      </c>
      <c r="BV765" s="16">
        <f t="shared" si="516"/>
        <v>-97546.966049314593</v>
      </c>
      <c r="BW765" s="15">
        <f t="shared" si="491"/>
        <v>22.170849845882874</v>
      </c>
      <c r="BX765" s="75">
        <f>BW765*(1-PARAM!$C$27)*$I$21+(MOD($B765,60)=PARAM!$B$56)*($B765&gt;(60-PARAM!$B$56))*HLOOKUP(($B765+PARAM!$B$56)/12,Loyalty,2)*$F$1*MAX(BZ764,0)</f>
        <v>18.557001321003963</v>
      </c>
      <c r="BY765" s="75">
        <f>PARAM!$C$26+MAX($G$21-CHOOSE(PARAM!$B$44,MAX(0,BZ764*$F$1),0),0)*RATES!$L741/12+$H$21*(PARAM!$D$51/12)*RATES!$N741/100</f>
        <v>797.45833333333337</v>
      </c>
      <c r="BZ765" s="16">
        <f t="shared" si="517"/>
        <v>-97546.966049314593</v>
      </c>
      <c r="CA765" s="15">
        <f t="shared" si="492"/>
        <v>22.170849845882874</v>
      </c>
      <c r="CB765" s="75">
        <f>CA765*(1-PARAM!$C$27)*$I$22+(MOD($B765,60)=PARAM!$B$56)*($B765&gt;(60-PARAM!$B$56))*HLOOKUP(($B765+PARAM!$B$56)/12,Loyalty,2)*$F$1*MAX(CD764,0)</f>
        <v>18.557001321003963</v>
      </c>
      <c r="CC765" s="75">
        <f>PARAM!$C$26+MAX($G$22-CHOOSE(PARAM!$B$44,MAX(0,CD764*$F$1),0),0)*RATES!$L741/12+$H$22*(PARAM!$D$51/12)*RATES!$N741/100</f>
        <v>797.45833333333337</v>
      </c>
      <c r="CD765" s="16">
        <f t="shared" si="518"/>
        <v>-97546.966049314593</v>
      </c>
      <c r="CE765" s="33">
        <f>IF(0=MOD(B765,12/PARAM!$D$51),1,0)</f>
        <v>1</v>
      </c>
      <c r="CF765" s="15">
        <f t="shared" si="493"/>
        <v>0</v>
      </c>
      <c r="CG765" s="75">
        <f>CF765*(1-PARAM!$C$27)*$R$3+(MOD($B765/12,5)=0)*($B765&gt;60)*HLOOKUP($B765/12,Loyalty,2)*$F$1*MAX(CI764,0)</f>
        <v>0</v>
      </c>
      <c r="CH765" s="75">
        <f>PARAM!$C$26+MAX($P$3-CHOOSE(PARAM!$B$44,MAX(0,CI764*$F$1),0),0)*RATES!$L741/12+$Q$3*(PARAM!$D$51/12)*RATES!$N741/100</f>
        <v>797.45833333333337</v>
      </c>
      <c r="CI765" s="16">
        <f>IF(CI764&gt;0,CI764*PARAM!$C$53,CI764)+CG765-CH765</f>
        <v>-111122.45833333356</v>
      </c>
      <c r="CJ765" s="15">
        <f t="shared" si="519"/>
        <v>0</v>
      </c>
      <c r="CK765" s="75">
        <f>CJ765*(1-PARAM!$C$27)*$R$4+(MOD($B765/12,5)=0)*($B765&gt;60)*HLOOKUP($B765/12,Loyalty,2)*$F$1*MAX(CM764,0)</f>
        <v>0</v>
      </c>
      <c r="CL765" s="75">
        <f>PARAM!$C$26+MAX($P$4-CHOOSE(PARAM!$B$44,MAX(0,CM764*$F$1),0),0)*RATES!$L741/12+$Q$4*(PARAM!$D$51/12)*RATES!$N741/100</f>
        <v>797.45833333333337</v>
      </c>
      <c r="CM765" s="16">
        <f>IF(CM764&gt;0,CM764*PARAM!$C$53,CM764)+CK765-CL765</f>
        <v>-111122.45833333356</v>
      </c>
      <c r="CO765" s="176"/>
    </row>
    <row r="766" spans="1:93" x14ac:dyDescent="0.2">
      <c r="A766" t="b">
        <f t="shared" si="494"/>
        <v>0</v>
      </c>
      <c r="B766" s="33">
        <v>739</v>
      </c>
      <c r="C766" s="15">
        <f t="shared" si="495"/>
        <v>20.081305947392778</v>
      </c>
      <c r="D766" s="75">
        <f>C766*(1-PARAM!$C$27)*$I$3+(MOD($B766,60)=PARAM!$B$56)*($B766&gt;(60-PARAM!$B$56))*HLOOKUP(($B766+PARAM!$B$56)/12,Loyalty,2)*$F$1*MAX(F765,0)</f>
        <v>16.808053077967756</v>
      </c>
      <c r="E766" s="75">
        <f>PARAM!$C$26+MAX($G$3-CHOOSE(PARAM!$B$44,MAX(0,F765*$F$1),0),0)*RATES!$L742/12+$H$3*(PARAM!$D$51/12)*RATES!$N742/100</f>
        <v>797.45833333333337</v>
      </c>
      <c r="F766" s="16">
        <f t="shared" si="496"/>
        <v>-99655.190633452177</v>
      </c>
      <c r="G766" s="15">
        <f t="shared" si="497"/>
        <v>22.035289406060361</v>
      </c>
      <c r="H766" s="75">
        <f>G766*(1-PARAM!$C$27)*$I$4+(MOD($B766,60)=PARAM!$B$56)*($B766&gt;(60-PARAM!$B$56))*HLOOKUP(($B766+PARAM!$B$56)/12,Loyalty,2)*$F$1*MAX(J765,0)</f>
        <v>18.443537232872522</v>
      </c>
      <c r="I766" s="75">
        <f>PARAM!$C$26+MAX($G$4-CHOOSE(PARAM!$B$44,MAX(0,J765*$F$1),0),0)*RATES!$L742/12+$H$4*(PARAM!$D$51/12)*RATES!$N742/100</f>
        <v>797.45833333333337</v>
      </c>
      <c r="J766" s="16">
        <f t="shared" si="498"/>
        <v>-98412.73487885583</v>
      </c>
      <c r="K766" s="15">
        <f t="shared" si="499"/>
        <v>22.170849845882874</v>
      </c>
      <c r="L766" s="75">
        <f>K766*(1-PARAM!$C$27)*$I$5+(MOD($B766,60)=PARAM!$B$56)*($B766&gt;(60-PARAM!$B$56))*HLOOKUP(($B766+PARAM!$B$56)/12,Loyalty,2)*$F$1*MAX(N765,0)</f>
        <v>18.557001321003963</v>
      </c>
      <c r="M766" s="75">
        <f>PARAM!$C$26+MAX($G$5-CHOOSE(PARAM!$B$44,MAX(0,N765*$F$1),0),0)*RATES!$L742/12+$H$5*(PARAM!$D$51/12)*RATES!$N742/100</f>
        <v>797.45833333333337</v>
      </c>
      <c r="N766" s="16">
        <f t="shared" si="500"/>
        <v>-98325.867381326912</v>
      </c>
      <c r="O766" s="15">
        <f t="shared" si="501"/>
        <v>22.170849845882874</v>
      </c>
      <c r="P766" s="75">
        <f>O766*(1-PARAM!$C$27)*$I$6+(MOD($B766,60)=PARAM!$B$56)*($B766&gt;(60-PARAM!$B$56))*HLOOKUP(($B766+PARAM!$B$56)/12,Loyalty,2)*$F$1*MAX(R765,0)</f>
        <v>18.557001321003963</v>
      </c>
      <c r="Q766" s="75">
        <f>PARAM!$C$26+MAX($G$6-CHOOSE(PARAM!$B$44,MAX(0,R765*$F$1),0),0)*RATES!$L742/12+$H$6*(PARAM!$D$51/12)*RATES!$N742/100</f>
        <v>797.45833333333337</v>
      </c>
      <c r="R766" s="16">
        <f t="shared" si="502"/>
        <v>-98325.867381326912</v>
      </c>
      <c r="S766" s="15">
        <f t="shared" si="477"/>
        <v>22.170849845882874</v>
      </c>
      <c r="T766" s="75">
        <f>S766*(1-PARAM!$C$27)*$I$7+(MOD($B766,60)=PARAM!$B$56)*($B766&gt;(60-PARAM!$B$56))*HLOOKUP(($B766+PARAM!$B$56)/12,Loyalty,2)*$F$1*MAX(V765,0)</f>
        <v>18.557001321003963</v>
      </c>
      <c r="U766" s="75">
        <f>PARAM!$C$26+MAX($G$7-CHOOSE(PARAM!$B$44,MAX(0,V765*$F$1),0),0)*RATES!$L742/12+$H$7*(PARAM!$D$51/12)*RATES!$N742/100</f>
        <v>797.45833333333337</v>
      </c>
      <c r="V766" s="16">
        <f t="shared" si="503"/>
        <v>-98325.867381326912</v>
      </c>
      <c r="W766" s="15">
        <f t="shared" si="478"/>
        <v>22.170849845882874</v>
      </c>
      <c r="X766" s="75">
        <f>W766*(1-PARAM!$C$27)*$I$8+(MOD($B766,60)=PARAM!$B$56)*($B766&gt;(60-PARAM!$B$56))*HLOOKUP(($B766+PARAM!$B$56)/12,Loyalty,2)*$F$1*MAX(Z765,0)</f>
        <v>18.557001321003963</v>
      </c>
      <c r="Y766" s="75">
        <f>PARAM!$C$26+MAX($G$8-CHOOSE(PARAM!$B$44,MAX(0,Z765*$F$1),0),0)*RATES!$L742/12+$H$8*(PARAM!$D$51/12)*RATES!$N742/100</f>
        <v>797.45833333333337</v>
      </c>
      <c r="Z766" s="16">
        <f t="shared" si="504"/>
        <v>-98325.867381326912</v>
      </c>
      <c r="AA766" s="15">
        <f t="shared" si="479"/>
        <v>22.170849845882874</v>
      </c>
      <c r="AB766" s="75">
        <f>AA766*(1-PARAM!$C$27)*$I$9+(MOD($B766,60)=PARAM!$B$56)*($B766&gt;(60-PARAM!$B$56))*HLOOKUP(($B766+PARAM!$B$56)/12,Loyalty,2)*$F$1*MAX(AD765,0)</f>
        <v>18.557001321003963</v>
      </c>
      <c r="AC766" s="75">
        <f>PARAM!$C$26+MAX($G$9-CHOOSE(PARAM!$B$44,MAX(0,AD765*$F$1),0),0)*RATES!$L742/12+$H$9*(PARAM!$D$51/12)*RATES!$N742/100</f>
        <v>797.45833333333337</v>
      </c>
      <c r="AD766" s="16">
        <f t="shared" si="505"/>
        <v>-98325.867381326912</v>
      </c>
      <c r="AE766" s="15">
        <f t="shared" si="480"/>
        <v>22.170849845882874</v>
      </c>
      <c r="AF766" s="75">
        <f>AE766*(1-PARAM!$C$27)*$I$10+(MOD($B766,60)=PARAM!$B$56)*($B766&gt;(60-PARAM!$B$56))*HLOOKUP(($B766+PARAM!$B$56)/12,Loyalty,2)*$F$1*MAX(AH765,0)</f>
        <v>18.557001321003963</v>
      </c>
      <c r="AG766" s="75">
        <f>PARAM!$C$26+MAX($G$10-CHOOSE(PARAM!$B$44,MAX(0,AH765*$F$1),0),0)*RATES!$L742/12+$H$10*(PARAM!$D$51/12)*RATES!$N742/100</f>
        <v>797.45833333333337</v>
      </c>
      <c r="AH766" s="16">
        <f t="shared" si="506"/>
        <v>-98325.867381326912</v>
      </c>
      <c r="AI766" s="15">
        <f t="shared" si="481"/>
        <v>22.170849845882874</v>
      </c>
      <c r="AJ766" s="75">
        <f>AI766*(1-PARAM!$C$27)*$I$11+(MOD($B766,60)=PARAM!$B$56)*($B766&gt;(60-PARAM!$B$56))*HLOOKUP(($B766+PARAM!$B$56)/12,Loyalty,2)*$F$1*MAX(AL765,0)</f>
        <v>18.557001321003963</v>
      </c>
      <c r="AK766" s="75">
        <f>PARAM!$C$26+MAX($G$11-CHOOSE(PARAM!$B$44,MAX(0,AL765*$F$1),0),0)*RATES!$L742/12+$H$11*(PARAM!$D$51/12)*RATES!$N742/100</f>
        <v>797.45833333333337</v>
      </c>
      <c r="AL766" s="16">
        <f t="shared" si="507"/>
        <v>-98325.867381326912</v>
      </c>
      <c r="AM766" s="15">
        <f t="shared" si="482"/>
        <v>22.170849845882874</v>
      </c>
      <c r="AN766" s="75">
        <f>AM766*(1-PARAM!$C$27)*$I$12+(MOD($B766,60)=PARAM!$B$56)*($B766&gt;(60-PARAM!$B$56))*HLOOKUP(($B766+PARAM!$B$56)/12,Loyalty,2)*$F$1*MAX(AP765,0)</f>
        <v>18.557001321003963</v>
      </c>
      <c r="AO766" s="75">
        <f>PARAM!$C$26+MAX($G$12-CHOOSE(PARAM!$B$44,MAX(0,AP765*$F$1),0),0)*RATES!$L742/12+$H$12*(PARAM!$D$51/12)*RATES!$N742/100</f>
        <v>797.45833333333337</v>
      </c>
      <c r="AP766" s="16">
        <f t="shared" si="508"/>
        <v>-98325.867381326912</v>
      </c>
      <c r="AQ766" s="15">
        <f t="shared" si="483"/>
        <v>22.170849845882874</v>
      </c>
      <c r="AR766" s="75">
        <f>AQ766*(1-PARAM!$C$27)*$I$13+(MOD($B766,60)=PARAM!$B$56)*($B766&gt;(60-PARAM!$B$56))*HLOOKUP(($B766+PARAM!$B$56)/12,Loyalty,2)*$F$1*MAX(AT765,0)</f>
        <v>18.557001321003963</v>
      </c>
      <c r="AS766" s="75">
        <f>PARAM!$C$26+MAX($G$13-CHOOSE(PARAM!$B$44,MAX(0,AT765*$F$1),0),0)*RATES!$L742/12+$H$13*(PARAM!$D$51/12)*RATES!$N742/100</f>
        <v>797.45833333333337</v>
      </c>
      <c r="AT766" s="16">
        <f t="shared" si="509"/>
        <v>-98325.867381326912</v>
      </c>
      <c r="AU766" s="15">
        <f t="shared" si="484"/>
        <v>22.170849845882874</v>
      </c>
      <c r="AV766" s="75">
        <f>AU766*(1-PARAM!$C$27)*$I$14+(MOD($B766,60)=PARAM!$B$56)*($B766&gt;(60-PARAM!$B$56))*HLOOKUP(($B766+PARAM!$B$56)/12,Loyalty,2)*$F$1*MAX(AX765,0)</f>
        <v>18.557001321003963</v>
      </c>
      <c r="AW766" s="75">
        <f>PARAM!$C$26+MAX($G$14-CHOOSE(PARAM!$B$44,MAX(0,AX765*$F$1),0),0)*RATES!$L742/12+$H$14*(PARAM!$D$51/12)*RATES!$N742/100</f>
        <v>797.45833333333337</v>
      </c>
      <c r="AX766" s="16">
        <f t="shared" si="510"/>
        <v>-98325.867381326912</v>
      </c>
      <c r="AY766" s="15">
        <f t="shared" si="485"/>
        <v>22.170849845882874</v>
      </c>
      <c r="AZ766" s="75">
        <f>AY766*(1-PARAM!$C$27)*$I$15+(MOD($B766,60)=PARAM!$B$56)*($B766&gt;(60-PARAM!$B$56))*HLOOKUP(($B766+PARAM!$B$56)/12,Loyalty,2)*$F$1*MAX(BB765,0)</f>
        <v>18.557001321003963</v>
      </c>
      <c r="BA766" s="75">
        <f>PARAM!$C$26+MAX($G$15-CHOOSE(PARAM!$B$44,MAX(0,BB765*$F$1),0),0)*RATES!$L742/12+$H$15*(PARAM!$D$51/12)*RATES!$N742/100</f>
        <v>797.45833333333337</v>
      </c>
      <c r="BB766" s="16">
        <f t="shared" si="511"/>
        <v>-98325.867381326912</v>
      </c>
      <c r="BC766" s="15">
        <f t="shared" si="486"/>
        <v>22.170849845882874</v>
      </c>
      <c r="BD766" s="75">
        <f>BC766*(1-PARAM!$C$27)*$I$16+(MOD($B766,60)=PARAM!$B$56)*($B766&gt;(60-PARAM!$B$56))*HLOOKUP(($B766+PARAM!$B$56)/12,Loyalty,2)*$F$1*MAX(BF765,0)</f>
        <v>18.557001321003963</v>
      </c>
      <c r="BE766" s="75">
        <f>PARAM!$C$26+MAX($G$16-CHOOSE(PARAM!$B$44,MAX(0,BF765*$F$1),0),0)*RATES!$L742/12+$H$16*(PARAM!$D$51/12)*RATES!$N742/100</f>
        <v>797.45833333333337</v>
      </c>
      <c r="BF766" s="16">
        <f t="shared" si="512"/>
        <v>-98325.867381326912</v>
      </c>
      <c r="BG766" s="15">
        <f t="shared" si="487"/>
        <v>22.170849845882874</v>
      </c>
      <c r="BH766" s="75">
        <f>BG766*(1-PARAM!$C$27)*$I$17+(MOD($B766,60)=PARAM!$B$56)*($B766&gt;(60-PARAM!$B$56))*HLOOKUP(($B766+PARAM!$B$56)/12,Loyalty,2)*$F$1*MAX(BJ765,0)</f>
        <v>18.557001321003963</v>
      </c>
      <c r="BI766" s="75">
        <f>PARAM!$C$26+MAX($G$17-CHOOSE(PARAM!$B$44,MAX(0,BJ765*$F$1),0),0)*RATES!$L742/12+$H$17*(PARAM!$D$51/12)*RATES!$N742/100</f>
        <v>797.45833333333337</v>
      </c>
      <c r="BJ766" s="16">
        <f t="shared" si="513"/>
        <v>-98325.867381326912</v>
      </c>
      <c r="BK766" s="15">
        <f t="shared" si="488"/>
        <v>22.170849845882874</v>
      </c>
      <c r="BL766" s="75">
        <f>BK766*(1-PARAM!$C$27)*$I$18+(MOD($B766,60)=PARAM!$B$56)*($B766&gt;(60-PARAM!$B$56))*HLOOKUP(($B766+PARAM!$B$56)/12,Loyalty,2)*$F$1*MAX(BN765,0)</f>
        <v>18.557001321003963</v>
      </c>
      <c r="BM766" s="75">
        <f>PARAM!$C$26+MAX($G$18-CHOOSE(PARAM!$B$44,MAX(0,BN765*$F$1),0),0)*RATES!$L742/12+$H$18*(PARAM!$D$51/12)*RATES!$N742/100</f>
        <v>797.45833333333337</v>
      </c>
      <c r="BN766" s="16">
        <f t="shared" si="514"/>
        <v>-98325.867381326912</v>
      </c>
      <c r="BO766" s="15">
        <f t="shared" si="489"/>
        <v>22.170849845882874</v>
      </c>
      <c r="BP766" s="75">
        <f>BO766*(1-PARAM!$C$27)*$I$19+(MOD($B766,60)=PARAM!$B$56)*($B766&gt;(60-PARAM!$B$56))*HLOOKUP(($B766+PARAM!$B$56)/12,Loyalty,2)*$F$1*MAX(BR765,0)</f>
        <v>18.557001321003963</v>
      </c>
      <c r="BQ766" s="75">
        <f>PARAM!$C$26+MAX($G$19-CHOOSE(PARAM!$B$44,MAX(0,BR765*$F$1),0),0)*RATES!$L742/12+$H$19*(PARAM!$D$51/12)*RATES!$N742/100</f>
        <v>797.45833333333337</v>
      </c>
      <c r="BR766" s="16">
        <f t="shared" si="515"/>
        <v>-98325.867381326912</v>
      </c>
      <c r="BS766" s="15">
        <f t="shared" si="490"/>
        <v>22.170849845882874</v>
      </c>
      <c r="BT766" s="75">
        <f>BS766*(1-PARAM!$C$27)*$I$20+(MOD($B766,60)=PARAM!$B$56)*($B766&gt;(60-PARAM!$B$56))*HLOOKUP(($B766+PARAM!$B$56)/12,Loyalty,2)*$F$1*MAX(BV765,0)</f>
        <v>18.557001321003963</v>
      </c>
      <c r="BU766" s="75">
        <f>PARAM!$C$26+MAX($G$20-CHOOSE(PARAM!$B$44,MAX(0,BV765*$F$1),0),0)*RATES!$L742/12+$H$20*(PARAM!$D$51/12)*RATES!$N742/100</f>
        <v>797.45833333333337</v>
      </c>
      <c r="BV766" s="16">
        <f t="shared" si="516"/>
        <v>-98325.867381326912</v>
      </c>
      <c r="BW766" s="15">
        <f t="shared" si="491"/>
        <v>22.170849845882874</v>
      </c>
      <c r="BX766" s="75">
        <f>BW766*(1-PARAM!$C$27)*$I$21+(MOD($B766,60)=PARAM!$B$56)*($B766&gt;(60-PARAM!$B$56))*HLOOKUP(($B766+PARAM!$B$56)/12,Loyalty,2)*$F$1*MAX(BZ765,0)</f>
        <v>18.557001321003963</v>
      </c>
      <c r="BY766" s="75">
        <f>PARAM!$C$26+MAX($G$21-CHOOSE(PARAM!$B$44,MAX(0,BZ765*$F$1),0),0)*RATES!$L742/12+$H$21*(PARAM!$D$51/12)*RATES!$N742/100</f>
        <v>797.45833333333337</v>
      </c>
      <c r="BZ766" s="16">
        <f t="shared" si="517"/>
        <v>-98325.867381326912</v>
      </c>
      <c r="CA766" s="15">
        <f t="shared" si="492"/>
        <v>22.170849845882874</v>
      </c>
      <c r="CB766" s="75">
        <f>CA766*(1-PARAM!$C$27)*$I$22+(MOD($B766,60)=PARAM!$B$56)*($B766&gt;(60-PARAM!$B$56))*HLOOKUP(($B766+PARAM!$B$56)/12,Loyalty,2)*$F$1*MAX(CD765,0)</f>
        <v>18.557001321003963</v>
      </c>
      <c r="CC766" s="75">
        <f>PARAM!$C$26+MAX($G$22-CHOOSE(PARAM!$B$44,MAX(0,CD765*$F$1),0),0)*RATES!$L742/12+$H$22*(PARAM!$D$51/12)*RATES!$N742/100</f>
        <v>797.45833333333337</v>
      </c>
      <c r="CD766" s="16">
        <f t="shared" si="518"/>
        <v>-98325.867381326912</v>
      </c>
      <c r="CE766" s="33">
        <f>IF(0=MOD(B766,12/PARAM!$D$51),1,0)</f>
        <v>1</v>
      </c>
      <c r="CF766" s="15">
        <f t="shared" si="493"/>
        <v>0</v>
      </c>
      <c r="CG766" s="75">
        <f>CF766*(1-PARAM!$C$27)*$R$3+(MOD($B766/12,5)=0)*($B766&gt;60)*HLOOKUP($B766/12,Loyalty,2)*$F$1*MAX(CI765,0)</f>
        <v>0</v>
      </c>
      <c r="CH766" s="75">
        <f>PARAM!$C$26+MAX($P$3-CHOOSE(PARAM!$B$44,MAX(0,CI765*$F$1),0),0)*RATES!$L742/12+$Q$3*(PARAM!$D$51/12)*RATES!$N742/100</f>
        <v>797.45833333333337</v>
      </c>
      <c r="CI766" s="16">
        <f>IF(CI765&gt;0,CI765*PARAM!$C$53,CI765)+CG766-CH766</f>
        <v>-111919.91666666689</v>
      </c>
      <c r="CJ766" s="15">
        <f t="shared" si="519"/>
        <v>0</v>
      </c>
      <c r="CK766" s="75">
        <f>CJ766*(1-PARAM!$C$27)*$R$4+(MOD($B766/12,5)=0)*($B766&gt;60)*HLOOKUP($B766/12,Loyalty,2)*$F$1*MAX(CM765,0)</f>
        <v>0</v>
      </c>
      <c r="CL766" s="75">
        <f>PARAM!$C$26+MAX($P$4-CHOOSE(PARAM!$B$44,MAX(0,CM765*$F$1),0),0)*RATES!$L742/12+$Q$4*(PARAM!$D$51/12)*RATES!$N742/100</f>
        <v>797.45833333333337</v>
      </c>
      <c r="CM766" s="16">
        <f>IF(CM765&gt;0,CM765*PARAM!$C$53,CM765)+CK766-CL766</f>
        <v>-111919.91666666689</v>
      </c>
      <c r="CO766" s="176"/>
    </row>
    <row r="767" spans="1:93" x14ac:dyDescent="0.2">
      <c r="A767" t="b">
        <f t="shared" si="494"/>
        <v>0</v>
      </c>
      <c r="B767" s="33">
        <v>740</v>
      </c>
      <c r="C767" s="15">
        <f t="shared" si="495"/>
        <v>20.081305947392778</v>
      </c>
      <c r="D767" s="75">
        <f>C767*(1-PARAM!$C$27)*$I$3+(MOD($B767,60)=PARAM!$B$56)*($B767&gt;(60-PARAM!$B$56))*HLOOKUP(($B767+PARAM!$B$56)/12,Loyalty,2)*$F$1*MAX(F766,0)</f>
        <v>16.808053077967756</v>
      </c>
      <c r="E767" s="75">
        <f>PARAM!$C$26+MAX($G$3-CHOOSE(PARAM!$B$44,MAX(0,F766*$F$1),0),0)*RATES!$L743/12+$H$3*(PARAM!$D$51/12)*RATES!$N743/100</f>
        <v>797.45833333333337</v>
      </c>
      <c r="F767" s="16">
        <f t="shared" si="496"/>
        <v>-100435.84091370754</v>
      </c>
      <c r="G767" s="15">
        <f t="shared" si="497"/>
        <v>22.035289406060361</v>
      </c>
      <c r="H767" s="75">
        <f>G767*(1-PARAM!$C$27)*$I$4+(MOD($B767,60)=PARAM!$B$56)*($B767&gt;(60-PARAM!$B$56))*HLOOKUP(($B767+PARAM!$B$56)/12,Loyalty,2)*$F$1*MAX(J766,0)</f>
        <v>18.443537232872522</v>
      </c>
      <c r="I767" s="75">
        <f>PARAM!$C$26+MAX($G$4-CHOOSE(PARAM!$B$44,MAX(0,J766*$F$1),0),0)*RATES!$L743/12+$H$4*(PARAM!$D$51/12)*RATES!$N743/100</f>
        <v>797.45833333333337</v>
      </c>
      <c r="J767" s="16">
        <f t="shared" si="498"/>
        <v>-99191.749674956285</v>
      </c>
      <c r="K767" s="15">
        <f t="shared" si="499"/>
        <v>22.170849845882874</v>
      </c>
      <c r="L767" s="75">
        <f>K767*(1-PARAM!$C$27)*$I$5+(MOD($B767,60)=PARAM!$B$56)*($B767&gt;(60-PARAM!$B$56))*HLOOKUP(($B767+PARAM!$B$56)/12,Loyalty,2)*$F$1*MAX(N766,0)</f>
        <v>18.557001321003963</v>
      </c>
      <c r="M767" s="75">
        <f>PARAM!$C$26+MAX($G$5-CHOOSE(PARAM!$B$44,MAX(0,N766*$F$1),0),0)*RATES!$L743/12+$H$5*(PARAM!$D$51/12)*RATES!$N743/100</f>
        <v>797.45833333333337</v>
      </c>
      <c r="N767" s="16">
        <f t="shared" si="500"/>
        <v>-99104.768713339232</v>
      </c>
      <c r="O767" s="15">
        <f t="shared" si="501"/>
        <v>22.170849845882874</v>
      </c>
      <c r="P767" s="75">
        <f>O767*(1-PARAM!$C$27)*$I$6+(MOD($B767,60)=PARAM!$B$56)*($B767&gt;(60-PARAM!$B$56))*HLOOKUP(($B767+PARAM!$B$56)/12,Loyalty,2)*$F$1*MAX(R766,0)</f>
        <v>18.557001321003963</v>
      </c>
      <c r="Q767" s="75">
        <f>PARAM!$C$26+MAX($G$6-CHOOSE(PARAM!$B$44,MAX(0,R766*$F$1),0),0)*RATES!$L743/12+$H$6*(PARAM!$D$51/12)*RATES!$N743/100</f>
        <v>797.45833333333337</v>
      </c>
      <c r="R767" s="16">
        <f t="shared" si="502"/>
        <v>-99104.768713339232</v>
      </c>
      <c r="S767" s="15">
        <f t="shared" si="477"/>
        <v>22.170849845882874</v>
      </c>
      <c r="T767" s="75">
        <f>S767*(1-PARAM!$C$27)*$I$7+(MOD($B767,60)=PARAM!$B$56)*($B767&gt;(60-PARAM!$B$56))*HLOOKUP(($B767+PARAM!$B$56)/12,Loyalty,2)*$F$1*MAX(V766,0)</f>
        <v>18.557001321003963</v>
      </c>
      <c r="U767" s="75">
        <f>PARAM!$C$26+MAX($G$7-CHOOSE(PARAM!$B$44,MAX(0,V766*$F$1),0),0)*RATES!$L743/12+$H$7*(PARAM!$D$51/12)*RATES!$N743/100</f>
        <v>797.45833333333337</v>
      </c>
      <c r="V767" s="16">
        <f t="shared" si="503"/>
        <v>-99104.768713339232</v>
      </c>
      <c r="W767" s="15">
        <f t="shared" si="478"/>
        <v>22.170849845882874</v>
      </c>
      <c r="X767" s="75">
        <f>W767*(1-PARAM!$C$27)*$I$8+(MOD($B767,60)=PARAM!$B$56)*($B767&gt;(60-PARAM!$B$56))*HLOOKUP(($B767+PARAM!$B$56)/12,Loyalty,2)*$F$1*MAX(Z766,0)</f>
        <v>18.557001321003963</v>
      </c>
      <c r="Y767" s="75">
        <f>PARAM!$C$26+MAX($G$8-CHOOSE(PARAM!$B$44,MAX(0,Z766*$F$1),0),0)*RATES!$L743/12+$H$8*(PARAM!$D$51/12)*RATES!$N743/100</f>
        <v>797.45833333333337</v>
      </c>
      <c r="Z767" s="16">
        <f t="shared" si="504"/>
        <v>-99104.768713339232</v>
      </c>
      <c r="AA767" s="15">
        <f t="shared" si="479"/>
        <v>22.170849845882874</v>
      </c>
      <c r="AB767" s="75">
        <f>AA767*(1-PARAM!$C$27)*$I$9+(MOD($B767,60)=PARAM!$B$56)*($B767&gt;(60-PARAM!$B$56))*HLOOKUP(($B767+PARAM!$B$56)/12,Loyalty,2)*$F$1*MAX(AD766,0)</f>
        <v>18.557001321003963</v>
      </c>
      <c r="AC767" s="75">
        <f>PARAM!$C$26+MAX($G$9-CHOOSE(PARAM!$B$44,MAX(0,AD766*$F$1),0),0)*RATES!$L743/12+$H$9*(PARAM!$D$51/12)*RATES!$N743/100</f>
        <v>797.45833333333337</v>
      </c>
      <c r="AD767" s="16">
        <f t="shared" si="505"/>
        <v>-99104.768713339232</v>
      </c>
      <c r="AE767" s="15">
        <f t="shared" si="480"/>
        <v>22.170849845882874</v>
      </c>
      <c r="AF767" s="75">
        <f>AE767*(1-PARAM!$C$27)*$I$10+(MOD($B767,60)=PARAM!$B$56)*($B767&gt;(60-PARAM!$B$56))*HLOOKUP(($B767+PARAM!$B$56)/12,Loyalty,2)*$F$1*MAX(AH766,0)</f>
        <v>18.557001321003963</v>
      </c>
      <c r="AG767" s="75">
        <f>PARAM!$C$26+MAX($G$10-CHOOSE(PARAM!$B$44,MAX(0,AH766*$F$1),0),0)*RATES!$L743/12+$H$10*(PARAM!$D$51/12)*RATES!$N743/100</f>
        <v>797.45833333333337</v>
      </c>
      <c r="AH767" s="16">
        <f t="shared" si="506"/>
        <v>-99104.768713339232</v>
      </c>
      <c r="AI767" s="15">
        <f t="shared" si="481"/>
        <v>22.170849845882874</v>
      </c>
      <c r="AJ767" s="75">
        <f>AI767*(1-PARAM!$C$27)*$I$11+(MOD($B767,60)=PARAM!$B$56)*($B767&gt;(60-PARAM!$B$56))*HLOOKUP(($B767+PARAM!$B$56)/12,Loyalty,2)*$F$1*MAX(AL766,0)</f>
        <v>18.557001321003963</v>
      </c>
      <c r="AK767" s="75">
        <f>PARAM!$C$26+MAX($G$11-CHOOSE(PARAM!$B$44,MAX(0,AL766*$F$1),0),0)*RATES!$L743/12+$H$11*(PARAM!$D$51/12)*RATES!$N743/100</f>
        <v>797.45833333333337</v>
      </c>
      <c r="AL767" s="16">
        <f t="shared" si="507"/>
        <v>-99104.768713339232</v>
      </c>
      <c r="AM767" s="15">
        <f t="shared" si="482"/>
        <v>22.170849845882874</v>
      </c>
      <c r="AN767" s="75">
        <f>AM767*(1-PARAM!$C$27)*$I$12+(MOD($B767,60)=PARAM!$B$56)*($B767&gt;(60-PARAM!$B$56))*HLOOKUP(($B767+PARAM!$B$56)/12,Loyalty,2)*$F$1*MAX(AP766,0)</f>
        <v>18.557001321003963</v>
      </c>
      <c r="AO767" s="75">
        <f>PARAM!$C$26+MAX($G$12-CHOOSE(PARAM!$B$44,MAX(0,AP766*$F$1),0),0)*RATES!$L743/12+$H$12*(PARAM!$D$51/12)*RATES!$N743/100</f>
        <v>797.45833333333337</v>
      </c>
      <c r="AP767" s="16">
        <f t="shared" si="508"/>
        <v>-99104.768713339232</v>
      </c>
      <c r="AQ767" s="15">
        <f t="shared" si="483"/>
        <v>22.170849845882874</v>
      </c>
      <c r="AR767" s="75">
        <f>AQ767*(1-PARAM!$C$27)*$I$13+(MOD($B767,60)=PARAM!$B$56)*($B767&gt;(60-PARAM!$B$56))*HLOOKUP(($B767+PARAM!$B$56)/12,Loyalty,2)*$F$1*MAX(AT766,0)</f>
        <v>18.557001321003963</v>
      </c>
      <c r="AS767" s="75">
        <f>PARAM!$C$26+MAX($G$13-CHOOSE(PARAM!$B$44,MAX(0,AT766*$F$1),0),0)*RATES!$L743/12+$H$13*(PARAM!$D$51/12)*RATES!$N743/100</f>
        <v>797.45833333333337</v>
      </c>
      <c r="AT767" s="16">
        <f t="shared" si="509"/>
        <v>-99104.768713339232</v>
      </c>
      <c r="AU767" s="15">
        <f t="shared" si="484"/>
        <v>22.170849845882874</v>
      </c>
      <c r="AV767" s="75">
        <f>AU767*(1-PARAM!$C$27)*$I$14+(MOD($B767,60)=PARAM!$B$56)*($B767&gt;(60-PARAM!$B$56))*HLOOKUP(($B767+PARAM!$B$56)/12,Loyalty,2)*$F$1*MAX(AX766,0)</f>
        <v>18.557001321003963</v>
      </c>
      <c r="AW767" s="75">
        <f>PARAM!$C$26+MAX($G$14-CHOOSE(PARAM!$B$44,MAX(0,AX766*$F$1),0),0)*RATES!$L743/12+$H$14*(PARAM!$D$51/12)*RATES!$N743/100</f>
        <v>797.45833333333337</v>
      </c>
      <c r="AX767" s="16">
        <f t="shared" si="510"/>
        <v>-99104.768713339232</v>
      </c>
      <c r="AY767" s="15">
        <f t="shared" si="485"/>
        <v>22.170849845882874</v>
      </c>
      <c r="AZ767" s="75">
        <f>AY767*(1-PARAM!$C$27)*$I$15+(MOD($B767,60)=PARAM!$B$56)*($B767&gt;(60-PARAM!$B$56))*HLOOKUP(($B767+PARAM!$B$56)/12,Loyalty,2)*$F$1*MAX(BB766,0)</f>
        <v>18.557001321003963</v>
      </c>
      <c r="BA767" s="75">
        <f>PARAM!$C$26+MAX($G$15-CHOOSE(PARAM!$B$44,MAX(0,BB766*$F$1),0),0)*RATES!$L743/12+$H$15*(PARAM!$D$51/12)*RATES!$N743/100</f>
        <v>797.45833333333337</v>
      </c>
      <c r="BB767" s="16">
        <f t="shared" si="511"/>
        <v>-99104.768713339232</v>
      </c>
      <c r="BC767" s="15">
        <f t="shared" si="486"/>
        <v>22.170849845882874</v>
      </c>
      <c r="BD767" s="75">
        <f>BC767*(1-PARAM!$C$27)*$I$16+(MOD($B767,60)=PARAM!$B$56)*($B767&gt;(60-PARAM!$B$56))*HLOOKUP(($B767+PARAM!$B$56)/12,Loyalty,2)*$F$1*MAX(BF766,0)</f>
        <v>18.557001321003963</v>
      </c>
      <c r="BE767" s="75">
        <f>PARAM!$C$26+MAX($G$16-CHOOSE(PARAM!$B$44,MAX(0,BF766*$F$1),0),0)*RATES!$L743/12+$H$16*(PARAM!$D$51/12)*RATES!$N743/100</f>
        <v>797.45833333333337</v>
      </c>
      <c r="BF767" s="16">
        <f t="shared" si="512"/>
        <v>-99104.768713339232</v>
      </c>
      <c r="BG767" s="15">
        <f t="shared" si="487"/>
        <v>22.170849845882874</v>
      </c>
      <c r="BH767" s="75">
        <f>BG767*(1-PARAM!$C$27)*$I$17+(MOD($B767,60)=PARAM!$B$56)*($B767&gt;(60-PARAM!$B$56))*HLOOKUP(($B767+PARAM!$B$56)/12,Loyalty,2)*$F$1*MAX(BJ766,0)</f>
        <v>18.557001321003963</v>
      </c>
      <c r="BI767" s="75">
        <f>PARAM!$C$26+MAX($G$17-CHOOSE(PARAM!$B$44,MAX(0,BJ766*$F$1),0),0)*RATES!$L743/12+$H$17*(PARAM!$D$51/12)*RATES!$N743/100</f>
        <v>797.45833333333337</v>
      </c>
      <c r="BJ767" s="16">
        <f t="shared" si="513"/>
        <v>-99104.768713339232</v>
      </c>
      <c r="BK767" s="15">
        <f t="shared" si="488"/>
        <v>22.170849845882874</v>
      </c>
      <c r="BL767" s="75">
        <f>BK767*(1-PARAM!$C$27)*$I$18+(MOD($B767,60)=PARAM!$B$56)*($B767&gt;(60-PARAM!$B$56))*HLOOKUP(($B767+PARAM!$B$56)/12,Loyalty,2)*$F$1*MAX(BN766,0)</f>
        <v>18.557001321003963</v>
      </c>
      <c r="BM767" s="75">
        <f>PARAM!$C$26+MAX($G$18-CHOOSE(PARAM!$B$44,MAX(0,BN766*$F$1),0),0)*RATES!$L743/12+$H$18*(PARAM!$D$51/12)*RATES!$N743/100</f>
        <v>797.45833333333337</v>
      </c>
      <c r="BN767" s="16">
        <f t="shared" si="514"/>
        <v>-99104.768713339232</v>
      </c>
      <c r="BO767" s="15">
        <f t="shared" si="489"/>
        <v>22.170849845882874</v>
      </c>
      <c r="BP767" s="75">
        <f>BO767*(1-PARAM!$C$27)*$I$19+(MOD($B767,60)=PARAM!$B$56)*($B767&gt;(60-PARAM!$B$56))*HLOOKUP(($B767+PARAM!$B$56)/12,Loyalty,2)*$F$1*MAX(BR766,0)</f>
        <v>18.557001321003963</v>
      </c>
      <c r="BQ767" s="75">
        <f>PARAM!$C$26+MAX($G$19-CHOOSE(PARAM!$B$44,MAX(0,BR766*$F$1),0),0)*RATES!$L743/12+$H$19*(PARAM!$D$51/12)*RATES!$N743/100</f>
        <v>797.45833333333337</v>
      </c>
      <c r="BR767" s="16">
        <f t="shared" si="515"/>
        <v>-99104.768713339232</v>
      </c>
      <c r="BS767" s="15">
        <f t="shared" si="490"/>
        <v>22.170849845882874</v>
      </c>
      <c r="BT767" s="75">
        <f>BS767*(1-PARAM!$C$27)*$I$20+(MOD($B767,60)=PARAM!$B$56)*($B767&gt;(60-PARAM!$B$56))*HLOOKUP(($B767+PARAM!$B$56)/12,Loyalty,2)*$F$1*MAX(BV766,0)</f>
        <v>18.557001321003963</v>
      </c>
      <c r="BU767" s="75">
        <f>PARAM!$C$26+MAX($G$20-CHOOSE(PARAM!$B$44,MAX(0,BV766*$F$1),0),0)*RATES!$L743/12+$H$20*(PARAM!$D$51/12)*RATES!$N743/100</f>
        <v>797.45833333333337</v>
      </c>
      <c r="BV767" s="16">
        <f t="shared" si="516"/>
        <v>-99104.768713339232</v>
      </c>
      <c r="BW767" s="15">
        <f t="shared" si="491"/>
        <v>22.170849845882874</v>
      </c>
      <c r="BX767" s="75">
        <f>BW767*(1-PARAM!$C$27)*$I$21+(MOD($B767,60)=PARAM!$B$56)*($B767&gt;(60-PARAM!$B$56))*HLOOKUP(($B767+PARAM!$B$56)/12,Loyalty,2)*$F$1*MAX(BZ766,0)</f>
        <v>18.557001321003963</v>
      </c>
      <c r="BY767" s="75">
        <f>PARAM!$C$26+MAX($G$21-CHOOSE(PARAM!$B$44,MAX(0,BZ766*$F$1),0),0)*RATES!$L743/12+$H$21*(PARAM!$D$51/12)*RATES!$N743/100</f>
        <v>797.45833333333337</v>
      </c>
      <c r="BZ767" s="16">
        <f t="shared" si="517"/>
        <v>-99104.768713339232</v>
      </c>
      <c r="CA767" s="15">
        <f t="shared" si="492"/>
        <v>22.170849845882874</v>
      </c>
      <c r="CB767" s="75">
        <f>CA767*(1-PARAM!$C$27)*$I$22+(MOD($B767,60)=PARAM!$B$56)*($B767&gt;(60-PARAM!$B$56))*HLOOKUP(($B767+PARAM!$B$56)/12,Loyalty,2)*$F$1*MAX(CD766,0)</f>
        <v>18.557001321003963</v>
      </c>
      <c r="CC767" s="75">
        <f>PARAM!$C$26+MAX($G$22-CHOOSE(PARAM!$B$44,MAX(0,CD766*$F$1),0),0)*RATES!$L743/12+$H$22*(PARAM!$D$51/12)*RATES!$N743/100</f>
        <v>797.45833333333337</v>
      </c>
      <c r="CD767" s="16">
        <f t="shared" si="518"/>
        <v>-99104.768713339232</v>
      </c>
      <c r="CE767" s="33">
        <f>IF(0=MOD(B767,12/PARAM!$D$51),1,0)</f>
        <v>1</v>
      </c>
      <c r="CF767" s="15">
        <f t="shared" si="493"/>
        <v>0</v>
      </c>
      <c r="CG767" s="75">
        <f>CF767*(1-PARAM!$C$27)*$R$3+(MOD($B767/12,5)=0)*($B767&gt;60)*HLOOKUP($B767/12,Loyalty,2)*$F$1*MAX(CI766,0)</f>
        <v>0</v>
      </c>
      <c r="CH767" s="75">
        <f>PARAM!$C$26+MAX($P$3-CHOOSE(PARAM!$B$44,MAX(0,CI766*$F$1),0),0)*RATES!$L743/12+$Q$3*(PARAM!$D$51/12)*RATES!$N743/100</f>
        <v>797.45833333333337</v>
      </c>
      <c r="CI767" s="16">
        <f>IF(CI766&gt;0,CI766*PARAM!$C$53,CI766)+CG767-CH767</f>
        <v>-112717.37500000022</v>
      </c>
      <c r="CJ767" s="15">
        <f t="shared" si="519"/>
        <v>0</v>
      </c>
      <c r="CK767" s="75">
        <f>CJ767*(1-PARAM!$C$27)*$R$4+(MOD($B767/12,5)=0)*($B767&gt;60)*HLOOKUP($B767/12,Loyalty,2)*$F$1*MAX(CM766,0)</f>
        <v>0</v>
      </c>
      <c r="CL767" s="75">
        <f>PARAM!$C$26+MAX($P$4-CHOOSE(PARAM!$B$44,MAX(0,CM766*$F$1),0),0)*RATES!$L743/12+$Q$4*(PARAM!$D$51/12)*RATES!$N743/100</f>
        <v>797.45833333333337</v>
      </c>
      <c r="CM767" s="16">
        <f>IF(CM766&gt;0,CM766*PARAM!$C$53,CM766)+CK767-CL767</f>
        <v>-112717.37500000022</v>
      </c>
      <c r="CO767" s="176"/>
    </row>
    <row r="768" spans="1:93" x14ac:dyDescent="0.2">
      <c r="A768" t="b">
        <f t="shared" si="494"/>
        <v>0</v>
      </c>
      <c r="B768" s="33">
        <v>741</v>
      </c>
      <c r="C768" s="15">
        <f t="shared" si="495"/>
        <v>20.081305947392778</v>
      </c>
      <c r="D768" s="75">
        <f>C768*(1-PARAM!$C$27)*$I$3+(MOD($B768,60)=PARAM!$B$56)*($B768&gt;(60-PARAM!$B$56))*HLOOKUP(($B768+PARAM!$B$56)/12,Loyalty,2)*$F$1*MAX(F767,0)</f>
        <v>16.808053077967756</v>
      </c>
      <c r="E768" s="75">
        <f>PARAM!$C$26+MAX($G$3-CHOOSE(PARAM!$B$44,MAX(0,F767*$F$1),0),0)*RATES!$L744/12+$H$3*(PARAM!$D$51/12)*RATES!$N744/100</f>
        <v>797.45833333333337</v>
      </c>
      <c r="F768" s="16">
        <f t="shared" si="496"/>
        <v>-101216.49119396289</v>
      </c>
      <c r="G768" s="15">
        <f t="shared" si="497"/>
        <v>22.035289406060361</v>
      </c>
      <c r="H768" s="75">
        <f>G768*(1-PARAM!$C$27)*$I$4+(MOD($B768,60)=PARAM!$B$56)*($B768&gt;(60-PARAM!$B$56))*HLOOKUP(($B768+PARAM!$B$56)/12,Loyalty,2)*$F$1*MAX(J767,0)</f>
        <v>18.443537232872522</v>
      </c>
      <c r="I768" s="75">
        <f>PARAM!$C$26+MAX($G$4-CHOOSE(PARAM!$B$44,MAX(0,J767*$F$1),0),0)*RATES!$L744/12+$H$4*(PARAM!$D$51/12)*RATES!$N744/100</f>
        <v>797.45833333333337</v>
      </c>
      <c r="J768" s="16">
        <f t="shared" si="498"/>
        <v>-99970.76447105674</v>
      </c>
      <c r="K768" s="15">
        <f t="shared" si="499"/>
        <v>22.170849845882874</v>
      </c>
      <c r="L768" s="75">
        <f>K768*(1-PARAM!$C$27)*$I$5+(MOD($B768,60)=PARAM!$B$56)*($B768&gt;(60-PARAM!$B$56))*HLOOKUP(($B768+PARAM!$B$56)/12,Loyalty,2)*$F$1*MAX(N767,0)</f>
        <v>18.557001321003963</v>
      </c>
      <c r="M768" s="75">
        <f>PARAM!$C$26+MAX($G$5-CHOOSE(PARAM!$B$44,MAX(0,N767*$F$1),0),0)*RATES!$L744/12+$H$5*(PARAM!$D$51/12)*RATES!$N744/100</f>
        <v>797.45833333333337</v>
      </c>
      <c r="N768" s="16">
        <f t="shared" si="500"/>
        <v>-99883.670045351551</v>
      </c>
      <c r="O768" s="15">
        <f t="shared" si="501"/>
        <v>22.170849845882874</v>
      </c>
      <c r="P768" s="75">
        <f>O768*(1-PARAM!$C$27)*$I$6+(MOD($B768,60)=PARAM!$B$56)*($B768&gt;(60-PARAM!$B$56))*HLOOKUP(($B768+PARAM!$B$56)/12,Loyalty,2)*$F$1*MAX(R767,0)</f>
        <v>18.557001321003963</v>
      </c>
      <c r="Q768" s="75">
        <f>PARAM!$C$26+MAX($G$6-CHOOSE(PARAM!$B$44,MAX(0,R767*$F$1),0),0)*RATES!$L744/12+$H$6*(PARAM!$D$51/12)*RATES!$N744/100</f>
        <v>797.45833333333337</v>
      </c>
      <c r="R768" s="16">
        <f t="shared" si="502"/>
        <v>-99883.670045351551</v>
      </c>
      <c r="S768" s="15">
        <f t="shared" si="477"/>
        <v>22.170849845882874</v>
      </c>
      <c r="T768" s="75">
        <f>S768*(1-PARAM!$C$27)*$I$7+(MOD($B768,60)=PARAM!$B$56)*($B768&gt;(60-PARAM!$B$56))*HLOOKUP(($B768+PARAM!$B$56)/12,Loyalty,2)*$F$1*MAX(V767,0)</f>
        <v>18.557001321003963</v>
      </c>
      <c r="U768" s="75">
        <f>PARAM!$C$26+MAX($G$7-CHOOSE(PARAM!$B$44,MAX(0,V767*$F$1),0),0)*RATES!$L744/12+$H$7*(PARAM!$D$51/12)*RATES!$N744/100</f>
        <v>797.45833333333337</v>
      </c>
      <c r="V768" s="16">
        <f t="shared" si="503"/>
        <v>-99883.670045351551</v>
      </c>
      <c r="W768" s="15">
        <f t="shared" si="478"/>
        <v>22.170849845882874</v>
      </c>
      <c r="X768" s="75">
        <f>W768*(1-PARAM!$C$27)*$I$8+(MOD($B768,60)=PARAM!$B$56)*($B768&gt;(60-PARAM!$B$56))*HLOOKUP(($B768+PARAM!$B$56)/12,Loyalty,2)*$F$1*MAX(Z767,0)</f>
        <v>18.557001321003963</v>
      </c>
      <c r="Y768" s="75">
        <f>PARAM!$C$26+MAX($G$8-CHOOSE(PARAM!$B$44,MAX(0,Z767*$F$1),0),0)*RATES!$L744/12+$H$8*(PARAM!$D$51/12)*RATES!$N744/100</f>
        <v>797.45833333333337</v>
      </c>
      <c r="Z768" s="16">
        <f t="shared" si="504"/>
        <v>-99883.670045351551</v>
      </c>
      <c r="AA768" s="15">
        <f t="shared" si="479"/>
        <v>22.170849845882874</v>
      </c>
      <c r="AB768" s="75">
        <f>AA768*(1-PARAM!$C$27)*$I$9+(MOD($B768,60)=PARAM!$B$56)*($B768&gt;(60-PARAM!$B$56))*HLOOKUP(($B768+PARAM!$B$56)/12,Loyalty,2)*$F$1*MAX(AD767,0)</f>
        <v>18.557001321003963</v>
      </c>
      <c r="AC768" s="75">
        <f>PARAM!$C$26+MAX($G$9-CHOOSE(PARAM!$B$44,MAX(0,AD767*$F$1),0),0)*RATES!$L744/12+$H$9*(PARAM!$D$51/12)*RATES!$N744/100</f>
        <v>797.45833333333337</v>
      </c>
      <c r="AD768" s="16">
        <f t="shared" si="505"/>
        <v>-99883.670045351551</v>
      </c>
      <c r="AE768" s="15">
        <f t="shared" si="480"/>
        <v>22.170849845882874</v>
      </c>
      <c r="AF768" s="75">
        <f>AE768*(1-PARAM!$C$27)*$I$10+(MOD($B768,60)=PARAM!$B$56)*($B768&gt;(60-PARAM!$B$56))*HLOOKUP(($B768+PARAM!$B$56)/12,Loyalty,2)*$F$1*MAX(AH767,0)</f>
        <v>18.557001321003963</v>
      </c>
      <c r="AG768" s="75">
        <f>PARAM!$C$26+MAX($G$10-CHOOSE(PARAM!$B$44,MAX(0,AH767*$F$1),0),0)*RATES!$L744/12+$H$10*(PARAM!$D$51/12)*RATES!$N744/100</f>
        <v>797.45833333333337</v>
      </c>
      <c r="AH768" s="16">
        <f t="shared" si="506"/>
        <v>-99883.670045351551</v>
      </c>
      <c r="AI768" s="15">
        <f t="shared" si="481"/>
        <v>22.170849845882874</v>
      </c>
      <c r="AJ768" s="75">
        <f>AI768*(1-PARAM!$C$27)*$I$11+(MOD($B768,60)=PARAM!$B$56)*($B768&gt;(60-PARAM!$B$56))*HLOOKUP(($B768+PARAM!$B$56)/12,Loyalty,2)*$F$1*MAX(AL767,0)</f>
        <v>18.557001321003963</v>
      </c>
      <c r="AK768" s="75">
        <f>PARAM!$C$26+MAX($G$11-CHOOSE(PARAM!$B$44,MAX(0,AL767*$F$1),0),0)*RATES!$L744/12+$H$11*(PARAM!$D$51/12)*RATES!$N744/100</f>
        <v>797.45833333333337</v>
      </c>
      <c r="AL768" s="16">
        <f t="shared" si="507"/>
        <v>-99883.670045351551</v>
      </c>
      <c r="AM768" s="15">
        <f t="shared" si="482"/>
        <v>22.170849845882874</v>
      </c>
      <c r="AN768" s="75">
        <f>AM768*(1-PARAM!$C$27)*$I$12+(MOD($B768,60)=PARAM!$B$56)*($B768&gt;(60-PARAM!$B$56))*HLOOKUP(($B768+PARAM!$B$56)/12,Loyalty,2)*$F$1*MAX(AP767,0)</f>
        <v>18.557001321003963</v>
      </c>
      <c r="AO768" s="75">
        <f>PARAM!$C$26+MAX($G$12-CHOOSE(PARAM!$B$44,MAX(0,AP767*$F$1),0),0)*RATES!$L744/12+$H$12*(PARAM!$D$51/12)*RATES!$N744/100</f>
        <v>797.45833333333337</v>
      </c>
      <c r="AP768" s="16">
        <f t="shared" si="508"/>
        <v>-99883.670045351551</v>
      </c>
      <c r="AQ768" s="15">
        <f t="shared" si="483"/>
        <v>22.170849845882874</v>
      </c>
      <c r="AR768" s="75">
        <f>AQ768*(1-PARAM!$C$27)*$I$13+(MOD($B768,60)=PARAM!$B$56)*($B768&gt;(60-PARAM!$B$56))*HLOOKUP(($B768+PARAM!$B$56)/12,Loyalty,2)*$F$1*MAX(AT767,0)</f>
        <v>18.557001321003963</v>
      </c>
      <c r="AS768" s="75">
        <f>PARAM!$C$26+MAX($G$13-CHOOSE(PARAM!$B$44,MAX(0,AT767*$F$1),0),0)*RATES!$L744/12+$H$13*(PARAM!$D$51/12)*RATES!$N744/100</f>
        <v>797.45833333333337</v>
      </c>
      <c r="AT768" s="16">
        <f t="shared" si="509"/>
        <v>-99883.670045351551</v>
      </c>
      <c r="AU768" s="15">
        <f t="shared" si="484"/>
        <v>22.170849845882874</v>
      </c>
      <c r="AV768" s="75">
        <f>AU768*(1-PARAM!$C$27)*$I$14+(MOD($B768,60)=PARAM!$B$56)*($B768&gt;(60-PARAM!$B$56))*HLOOKUP(($B768+PARAM!$B$56)/12,Loyalty,2)*$F$1*MAX(AX767,0)</f>
        <v>18.557001321003963</v>
      </c>
      <c r="AW768" s="75">
        <f>PARAM!$C$26+MAX($G$14-CHOOSE(PARAM!$B$44,MAX(0,AX767*$F$1),0),0)*RATES!$L744/12+$H$14*(PARAM!$D$51/12)*RATES!$N744/100</f>
        <v>797.45833333333337</v>
      </c>
      <c r="AX768" s="16">
        <f t="shared" si="510"/>
        <v>-99883.670045351551</v>
      </c>
      <c r="AY768" s="15">
        <f t="shared" si="485"/>
        <v>22.170849845882874</v>
      </c>
      <c r="AZ768" s="75">
        <f>AY768*(1-PARAM!$C$27)*$I$15+(MOD($B768,60)=PARAM!$B$56)*($B768&gt;(60-PARAM!$B$56))*HLOOKUP(($B768+PARAM!$B$56)/12,Loyalty,2)*$F$1*MAX(BB767,0)</f>
        <v>18.557001321003963</v>
      </c>
      <c r="BA768" s="75">
        <f>PARAM!$C$26+MAX($G$15-CHOOSE(PARAM!$B$44,MAX(0,BB767*$F$1),0),0)*RATES!$L744/12+$H$15*(PARAM!$D$51/12)*RATES!$N744/100</f>
        <v>797.45833333333337</v>
      </c>
      <c r="BB768" s="16">
        <f t="shared" si="511"/>
        <v>-99883.670045351551</v>
      </c>
      <c r="BC768" s="15">
        <f t="shared" si="486"/>
        <v>22.170849845882874</v>
      </c>
      <c r="BD768" s="75">
        <f>BC768*(1-PARAM!$C$27)*$I$16+(MOD($B768,60)=PARAM!$B$56)*($B768&gt;(60-PARAM!$B$56))*HLOOKUP(($B768+PARAM!$B$56)/12,Loyalty,2)*$F$1*MAX(BF767,0)</f>
        <v>18.557001321003963</v>
      </c>
      <c r="BE768" s="75">
        <f>PARAM!$C$26+MAX($G$16-CHOOSE(PARAM!$B$44,MAX(0,BF767*$F$1),0),0)*RATES!$L744/12+$H$16*(PARAM!$D$51/12)*RATES!$N744/100</f>
        <v>797.45833333333337</v>
      </c>
      <c r="BF768" s="16">
        <f t="shared" si="512"/>
        <v>-99883.670045351551</v>
      </c>
      <c r="BG768" s="15">
        <f t="shared" si="487"/>
        <v>22.170849845882874</v>
      </c>
      <c r="BH768" s="75">
        <f>BG768*(1-PARAM!$C$27)*$I$17+(MOD($B768,60)=PARAM!$B$56)*($B768&gt;(60-PARAM!$B$56))*HLOOKUP(($B768+PARAM!$B$56)/12,Loyalty,2)*$F$1*MAX(BJ767,0)</f>
        <v>18.557001321003963</v>
      </c>
      <c r="BI768" s="75">
        <f>PARAM!$C$26+MAX($G$17-CHOOSE(PARAM!$B$44,MAX(0,BJ767*$F$1),0),0)*RATES!$L744/12+$H$17*(PARAM!$D$51/12)*RATES!$N744/100</f>
        <v>797.45833333333337</v>
      </c>
      <c r="BJ768" s="16">
        <f t="shared" si="513"/>
        <v>-99883.670045351551</v>
      </c>
      <c r="BK768" s="15">
        <f t="shared" si="488"/>
        <v>22.170849845882874</v>
      </c>
      <c r="BL768" s="75">
        <f>BK768*(1-PARAM!$C$27)*$I$18+(MOD($B768,60)=PARAM!$B$56)*($B768&gt;(60-PARAM!$B$56))*HLOOKUP(($B768+PARAM!$B$56)/12,Loyalty,2)*$F$1*MAX(BN767,0)</f>
        <v>18.557001321003963</v>
      </c>
      <c r="BM768" s="75">
        <f>PARAM!$C$26+MAX($G$18-CHOOSE(PARAM!$B$44,MAX(0,BN767*$F$1),0),0)*RATES!$L744/12+$H$18*(PARAM!$D$51/12)*RATES!$N744/100</f>
        <v>797.45833333333337</v>
      </c>
      <c r="BN768" s="16">
        <f t="shared" si="514"/>
        <v>-99883.670045351551</v>
      </c>
      <c r="BO768" s="15">
        <f t="shared" si="489"/>
        <v>22.170849845882874</v>
      </c>
      <c r="BP768" s="75">
        <f>BO768*(1-PARAM!$C$27)*$I$19+(MOD($B768,60)=PARAM!$B$56)*($B768&gt;(60-PARAM!$B$56))*HLOOKUP(($B768+PARAM!$B$56)/12,Loyalty,2)*$F$1*MAX(BR767,0)</f>
        <v>18.557001321003963</v>
      </c>
      <c r="BQ768" s="75">
        <f>PARAM!$C$26+MAX($G$19-CHOOSE(PARAM!$B$44,MAX(0,BR767*$F$1),0),0)*RATES!$L744/12+$H$19*(PARAM!$D$51/12)*RATES!$N744/100</f>
        <v>797.45833333333337</v>
      </c>
      <c r="BR768" s="16">
        <f t="shared" si="515"/>
        <v>-99883.670045351551</v>
      </c>
      <c r="BS768" s="15">
        <f t="shared" si="490"/>
        <v>22.170849845882874</v>
      </c>
      <c r="BT768" s="75">
        <f>BS768*(1-PARAM!$C$27)*$I$20+(MOD($B768,60)=PARAM!$B$56)*($B768&gt;(60-PARAM!$B$56))*HLOOKUP(($B768+PARAM!$B$56)/12,Loyalty,2)*$F$1*MAX(BV767,0)</f>
        <v>18.557001321003963</v>
      </c>
      <c r="BU768" s="75">
        <f>PARAM!$C$26+MAX($G$20-CHOOSE(PARAM!$B$44,MAX(0,BV767*$F$1),0),0)*RATES!$L744/12+$H$20*(PARAM!$D$51/12)*RATES!$N744/100</f>
        <v>797.45833333333337</v>
      </c>
      <c r="BV768" s="16">
        <f t="shared" si="516"/>
        <v>-99883.670045351551</v>
      </c>
      <c r="BW768" s="15">
        <f t="shared" si="491"/>
        <v>22.170849845882874</v>
      </c>
      <c r="BX768" s="75">
        <f>BW768*(1-PARAM!$C$27)*$I$21+(MOD($B768,60)=PARAM!$B$56)*($B768&gt;(60-PARAM!$B$56))*HLOOKUP(($B768+PARAM!$B$56)/12,Loyalty,2)*$F$1*MAX(BZ767,0)</f>
        <v>18.557001321003963</v>
      </c>
      <c r="BY768" s="75">
        <f>PARAM!$C$26+MAX($G$21-CHOOSE(PARAM!$B$44,MAX(0,BZ767*$F$1),0),0)*RATES!$L744/12+$H$21*(PARAM!$D$51/12)*RATES!$N744/100</f>
        <v>797.45833333333337</v>
      </c>
      <c r="BZ768" s="16">
        <f t="shared" si="517"/>
        <v>-99883.670045351551</v>
      </c>
      <c r="CA768" s="15">
        <f t="shared" si="492"/>
        <v>22.170849845882874</v>
      </c>
      <c r="CB768" s="75">
        <f>CA768*(1-PARAM!$C$27)*$I$22+(MOD($B768,60)=PARAM!$B$56)*($B768&gt;(60-PARAM!$B$56))*HLOOKUP(($B768+PARAM!$B$56)/12,Loyalty,2)*$F$1*MAX(CD767,0)</f>
        <v>18.557001321003963</v>
      </c>
      <c r="CC768" s="75">
        <f>PARAM!$C$26+MAX($G$22-CHOOSE(PARAM!$B$44,MAX(0,CD767*$F$1),0),0)*RATES!$L744/12+$H$22*(PARAM!$D$51/12)*RATES!$N744/100</f>
        <v>797.45833333333337</v>
      </c>
      <c r="CD768" s="16">
        <f t="shared" si="518"/>
        <v>-99883.670045351551</v>
      </c>
      <c r="CE768" s="33">
        <f>IF(0=MOD(B768,12/PARAM!$D$51),1,0)</f>
        <v>1</v>
      </c>
      <c r="CF768" s="15">
        <f t="shared" si="493"/>
        <v>0</v>
      </c>
      <c r="CG768" s="75">
        <f>CF768*(1-PARAM!$C$27)*$R$3+(MOD($B768/12,5)=0)*($B768&gt;60)*HLOOKUP($B768/12,Loyalty,2)*$F$1*MAX(CI767,0)</f>
        <v>0</v>
      </c>
      <c r="CH768" s="75">
        <f>PARAM!$C$26+MAX($P$3-CHOOSE(PARAM!$B$44,MAX(0,CI767*$F$1),0),0)*RATES!$L744/12+$Q$3*(PARAM!$D$51/12)*RATES!$N744/100</f>
        <v>797.45833333333337</v>
      </c>
      <c r="CI768" s="16">
        <f>IF(CI767&gt;0,CI767*PARAM!$C$53,CI767)+CG768-CH768</f>
        <v>-113514.83333333355</v>
      </c>
      <c r="CJ768" s="15">
        <f t="shared" si="519"/>
        <v>0</v>
      </c>
      <c r="CK768" s="75">
        <f>CJ768*(1-PARAM!$C$27)*$R$4+(MOD($B768/12,5)=0)*($B768&gt;60)*HLOOKUP($B768/12,Loyalty,2)*$F$1*MAX(CM767,0)</f>
        <v>0</v>
      </c>
      <c r="CL768" s="75">
        <f>PARAM!$C$26+MAX($P$4-CHOOSE(PARAM!$B$44,MAX(0,CM767*$F$1),0),0)*RATES!$L744/12+$Q$4*(PARAM!$D$51/12)*RATES!$N744/100</f>
        <v>797.45833333333337</v>
      </c>
      <c r="CM768" s="16">
        <f>IF(CM767&gt;0,CM767*PARAM!$C$53,CM767)+CK768-CL768</f>
        <v>-113514.83333333355</v>
      </c>
      <c r="CO768" s="176"/>
    </row>
    <row r="769" spans="1:93" x14ac:dyDescent="0.2">
      <c r="A769" t="b">
        <f t="shared" si="494"/>
        <v>0</v>
      </c>
      <c r="B769" s="33">
        <v>742</v>
      </c>
      <c r="C769" s="15">
        <f t="shared" si="495"/>
        <v>20.081305947392778</v>
      </c>
      <c r="D769" s="75">
        <f>C769*(1-PARAM!$C$27)*$I$3+(MOD($B769,60)=PARAM!$B$56)*($B769&gt;(60-PARAM!$B$56))*HLOOKUP(($B769+PARAM!$B$56)/12,Loyalty,2)*$F$1*MAX(F768,0)</f>
        <v>16.808053077967756</v>
      </c>
      <c r="E769" s="75">
        <f>PARAM!$C$26+MAX($G$3-CHOOSE(PARAM!$B$44,MAX(0,F768*$F$1),0),0)*RATES!$L745/12+$H$3*(PARAM!$D$51/12)*RATES!$N745/100</f>
        <v>797.45833333333337</v>
      </c>
      <c r="F769" s="16">
        <f t="shared" si="496"/>
        <v>-101997.14147421825</v>
      </c>
      <c r="G769" s="15">
        <f t="shared" si="497"/>
        <v>22.035289406060361</v>
      </c>
      <c r="H769" s="75">
        <f>G769*(1-PARAM!$C$27)*$I$4+(MOD($B769,60)=PARAM!$B$56)*($B769&gt;(60-PARAM!$B$56))*HLOOKUP(($B769+PARAM!$B$56)/12,Loyalty,2)*$F$1*MAX(J768,0)</f>
        <v>18.443537232872522</v>
      </c>
      <c r="I769" s="75">
        <f>PARAM!$C$26+MAX($G$4-CHOOSE(PARAM!$B$44,MAX(0,J768*$F$1),0),0)*RATES!$L745/12+$H$4*(PARAM!$D$51/12)*RATES!$N745/100</f>
        <v>797.45833333333337</v>
      </c>
      <c r="J769" s="16">
        <f t="shared" si="498"/>
        <v>-100749.7792671572</v>
      </c>
      <c r="K769" s="15">
        <f t="shared" si="499"/>
        <v>22.170849845882874</v>
      </c>
      <c r="L769" s="75">
        <f>K769*(1-PARAM!$C$27)*$I$5+(MOD($B769,60)=PARAM!$B$56)*($B769&gt;(60-PARAM!$B$56))*HLOOKUP(($B769+PARAM!$B$56)/12,Loyalty,2)*$F$1*MAX(N768,0)</f>
        <v>18.557001321003963</v>
      </c>
      <c r="M769" s="75">
        <f>PARAM!$C$26+MAX($G$5-CHOOSE(PARAM!$B$44,MAX(0,N768*$F$1),0),0)*RATES!$L745/12+$H$5*(PARAM!$D$51/12)*RATES!$N745/100</f>
        <v>797.45833333333337</v>
      </c>
      <c r="N769" s="16">
        <f t="shared" si="500"/>
        <v>-100662.57137736387</v>
      </c>
      <c r="O769" s="15">
        <f t="shared" si="501"/>
        <v>22.170849845882874</v>
      </c>
      <c r="P769" s="75">
        <f>O769*(1-PARAM!$C$27)*$I$6+(MOD($B769,60)=PARAM!$B$56)*($B769&gt;(60-PARAM!$B$56))*HLOOKUP(($B769+PARAM!$B$56)/12,Loyalty,2)*$F$1*MAX(R768,0)</f>
        <v>18.557001321003963</v>
      </c>
      <c r="Q769" s="75">
        <f>PARAM!$C$26+MAX($G$6-CHOOSE(PARAM!$B$44,MAX(0,R768*$F$1),0),0)*RATES!$L745/12+$H$6*(PARAM!$D$51/12)*RATES!$N745/100</f>
        <v>797.45833333333337</v>
      </c>
      <c r="R769" s="16">
        <f t="shared" si="502"/>
        <v>-100662.57137736387</v>
      </c>
      <c r="S769" s="15">
        <f t="shared" si="477"/>
        <v>22.170849845882874</v>
      </c>
      <c r="T769" s="75">
        <f>S769*(1-PARAM!$C$27)*$I$7+(MOD($B769,60)=PARAM!$B$56)*($B769&gt;(60-PARAM!$B$56))*HLOOKUP(($B769+PARAM!$B$56)/12,Loyalty,2)*$F$1*MAX(V768,0)</f>
        <v>18.557001321003963</v>
      </c>
      <c r="U769" s="75">
        <f>PARAM!$C$26+MAX($G$7-CHOOSE(PARAM!$B$44,MAX(0,V768*$F$1),0),0)*RATES!$L745/12+$H$7*(PARAM!$D$51/12)*RATES!$N745/100</f>
        <v>797.45833333333337</v>
      </c>
      <c r="V769" s="16">
        <f t="shared" si="503"/>
        <v>-100662.57137736387</v>
      </c>
      <c r="W769" s="15">
        <f t="shared" si="478"/>
        <v>22.170849845882874</v>
      </c>
      <c r="X769" s="75">
        <f>W769*(1-PARAM!$C$27)*$I$8+(MOD($B769,60)=PARAM!$B$56)*($B769&gt;(60-PARAM!$B$56))*HLOOKUP(($B769+PARAM!$B$56)/12,Loyalty,2)*$F$1*MAX(Z768,0)</f>
        <v>18.557001321003963</v>
      </c>
      <c r="Y769" s="75">
        <f>PARAM!$C$26+MAX($G$8-CHOOSE(PARAM!$B$44,MAX(0,Z768*$F$1),0),0)*RATES!$L745/12+$H$8*(PARAM!$D$51/12)*RATES!$N745/100</f>
        <v>797.45833333333337</v>
      </c>
      <c r="Z769" s="16">
        <f t="shared" si="504"/>
        <v>-100662.57137736387</v>
      </c>
      <c r="AA769" s="15">
        <f t="shared" si="479"/>
        <v>22.170849845882874</v>
      </c>
      <c r="AB769" s="75">
        <f>AA769*(1-PARAM!$C$27)*$I$9+(MOD($B769,60)=PARAM!$B$56)*($B769&gt;(60-PARAM!$B$56))*HLOOKUP(($B769+PARAM!$B$56)/12,Loyalty,2)*$F$1*MAX(AD768,0)</f>
        <v>18.557001321003963</v>
      </c>
      <c r="AC769" s="75">
        <f>PARAM!$C$26+MAX($G$9-CHOOSE(PARAM!$B$44,MAX(0,AD768*$F$1),0),0)*RATES!$L745/12+$H$9*(PARAM!$D$51/12)*RATES!$N745/100</f>
        <v>797.45833333333337</v>
      </c>
      <c r="AD769" s="16">
        <f t="shared" si="505"/>
        <v>-100662.57137736387</v>
      </c>
      <c r="AE769" s="15">
        <f t="shared" si="480"/>
        <v>22.170849845882874</v>
      </c>
      <c r="AF769" s="75">
        <f>AE769*(1-PARAM!$C$27)*$I$10+(MOD($B769,60)=PARAM!$B$56)*($B769&gt;(60-PARAM!$B$56))*HLOOKUP(($B769+PARAM!$B$56)/12,Loyalty,2)*$F$1*MAX(AH768,0)</f>
        <v>18.557001321003963</v>
      </c>
      <c r="AG769" s="75">
        <f>PARAM!$C$26+MAX($G$10-CHOOSE(PARAM!$B$44,MAX(0,AH768*$F$1),0),0)*RATES!$L745/12+$H$10*(PARAM!$D$51/12)*RATES!$N745/100</f>
        <v>797.45833333333337</v>
      </c>
      <c r="AH769" s="16">
        <f t="shared" si="506"/>
        <v>-100662.57137736387</v>
      </c>
      <c r="AI769" s="15">
        <f t="shared" si="481"/>
        <v>22.170849845882874</v>
      </c>
      <c r="AJ769" s="75">
        <f>AI769*(1-PARAM!$C$27)*$I$11+(MOD($B769,60)=PARAM!$B$56)*($B769&gt;(60-PARAM!$B$56))*HLOOKUP(($B769+PARAM!$B$56)/12,Loyalty,2)*$F$1*MAX(AL768,0)</f>
        <v>18.557001321003963</v>
      </c>
      <c r="AK769" s="75">
        <f>PARAM!$C$26+MAX($G$11-CHOOSE(PARAM!$B$44,MAX(0,AL768*$F$1),0),0)*RATES!$L745/12+$H$11*(PARAM!$D$51/12)*RATES!$N745/100</f>
        <v>797.45833333333337</v>
      </c>
      <c r="AL769" s="16">
        <f t="shared" si="507"/>
        <v>-100662.57137736387</v>
      </c>
      <c r="AM769" s="15">
        <f t="shared" si="482"/>
        <v>22.170849845882874</v>
      </c>
      <c r="AN769" s="75">
        <f>AM769*(1-PARAM!$C$27)*$I$12+(MOD($B769,60)=PARAM!$B$56)*($B769&gt;(60-PARAM!$B$56))*HLOOKUP(($B769+PARAM!$B$56)/12,Loyalty,2)*$F$1*MAX(AP768,0)</f>
        <v>18.557001321003963</v>
      </c>
      <c r="AO769" s="75">
        <f>PARAM!$C$26+MAX($G$12-CHOOSE(PARAM!$B$44,MAX(0,AP768*$F$1),0),0)*RATES!$L745/12+$H$12*(PARAM!$D$51/12)*RATES!$N745/100</f>
        <v>797.45833333333337</v>
      </c>
      <c r="AP769" s="16">
        <f t="shared" si="508"/>
        <v>-100662.57137736387</v>
      </c>
      <c r="AQ769" s="15">
        <f t="shared" si="483"/>
        <v>22.170849845882874</v>
      </c>
      <c r="AR769" s="75">
        <f>AQ769*(1-PARAM!$C$27)*$I$13+(MOD($B769,60)=PARAM!$B$56)*($B769&gt;(60-PARAM!$B$56))*HLOOKUP(($B769+PARAM!$B$56)/12,Loyalty,2)*$F$1*MAX(AT768,0)</f>
        <v>18.557001321003963</v>
      </c>
      <c r="AS769" s="75">
        <f>PARAM!$C$26+MAX($G$13-CHOOSE(PARAM!$B$44,MAX(0,AT768*$F$1),0),0)*RATES!$L745/12+$H$13*(PARAM!$D$51/12)*RATES!$N745/100</f>
        <v>797.45833333333337</v>
      </c>
      <c r="AT769" s="16">
        <f t="shared" si="509"/>
        <v>-100662.57137736387</v>
      </c>
      <c r="AU769" s="15">
        <f t="shared" si="484"/>
        <v>22.170849845882874</v>
      </c>
      <c r="AV769" s="75">
        <f>AU769*(1-PARAM!$C$27)*$I$14+(MOD($B769,60)=PARAM!$B$56)*($B769&gt;(60-PARAM!$B$56))*HLOOKUP(($B769+PARAM!$B$56)/12,Loyalty,2)*$F$1*MAX(AX768,0)</f>
        <v>18.557001321003963</v>
      </c>
      <c r="AW769" s="75">
        <f>PARAM!$C$26+MAX($G$14-CHOOSE(PARAM!$B$44,MAX(0,AX768*$F$1),0),0)*RATES!$L745/12+$H$14*(PARAM!$D$51/12)*RATES!$N745/100</f>
        <v>797.45833333333337</v>
      </c>
      <c r="AX769" s="16">
        <f t="shared" si="510"/>
        <v>-100662.57137736387</v>
      </c>
      <c r="AY769" s="15">
        <f t="shared" si="485"/>
        <v>22.170849845882874</v>
      </c>
      <c r="AZ769" s="75">
        <f>AY769*(1-PARAM!$C$27)*$I$15+(MOD($B769,60)=PARAM!$B$56)*($B769&gt;(60-PARAM!$B$56))*HLOOKUP(($B769+PARAM!$B$56)/12,Loyalty,2)*$F$1*MAX(BB768,0)</f>
        <v>18.557001321003963</v>
      </c>
      <c r="BA769" s="75">
        <f>PARAM!$C$26+MAX($G$15-CHOOSE(PARAM!$B$44,MAX(0,BB768*$F$1),0),0)*RATES!$L745/12+$H$15*(PARAM!$D$51/12)*RATES!$N745/100</f>
        <v>797.45833333333337</v>
      </c>
      <c r="BB769" s="16">
        <f t="shared" si="511"/>
        <v>-100662.57137736387</v>
      </c>
      <c r="BC769" s="15">
        <f t="shared" si="486"/>
        <v>22.170849845882874</v>
      </c>
      <c r="BD769" s="75">
        <f>BC769*(1-PARAM!$C$27)*$I$16+(MOD($B769,60)=PARAM!$B$56)*($B769&gt;(60-PARAM!$B$56))*HLOOKUP(($B769+PARAM!$B$56)/12,Loyalty,2)*$F$1*MAX(BF768,0)</f>
        <v>18.557001321003963</v>
      </c>
      <c r="BE769" s="75">
        <f>PARAM!$C$26+MAX($G$16-CHOOSE(PARAM!$B$44,MAX(0,BF768*$F$1),0),0)*RATES!$L745/12+$H$16*(PARAM!$D$51/12)*RATES!$N745/100</f>
        <v>797.45833333333337</v>
      </c>
      <c r="BF769" s="16">
        <f t="shared" si="512"/>
        <v>-100662.57137736387</v>
      </c>
      <c r="BG769" s="15">
        <f t="shared" si="487"/>
        <v>22.170849845882874</v>
      </c>
      <c r="BH769" s="75">
        <f>BG769*(1-PARAM!$C$27)*$I$17+(MOD($B769,60)=PARAM!$B$56)*($B769&gt;(60-PARAM!$B$56))*HLOOKUP(($B769+PARAM!$B$56)/12,Loyalty,2)*$F$1*MAX(BJ768,0)</f>
        <v>18.557001321003963</v>
      </c>
      <c r="BI769" s="75">
        <f>PARAM!$C$26+MAX($G$17-CHOOSE(PARAM!$B$44,MAX(0,BJ768*$F$1),0),0)*RATES!$L745/12+$H$17*(PARAM!$D$51/12)*RATES!$N745/100</f>
        <v>797.45833333333337</v>
      </c>
      <c r="BJ769" s="16">
        <f t="shared" si="513"/>
        <v>-100662.57137736387</v>
      </c>
      <c r="BK769" s="15">
        <f t="shared" si="488"/>
        <v>22.170849845882874</v>
      </c>
      <c r="BL769" s="75">
        <f>BK769*(1-PARAM!$C$27)*$I$18+(MOD($B769,60)=PARAM!$B$56)*($B769&gt;(60-PARAM!$B$56))*HLOOKUP(($B769+PARAM!$B$56)/12,Loyalty,2)*$F$1*MAX(BN768,0)</f>
        <v>18.557001321003963</v>
      </c>
      <c r="BM769" s="75">
        <f>PARAM!$C$26+MAX($G$18-CHOOSE(PARAM!$B$44,MAX(0,BN768*$F$1),0),0)*RATES!$L745/12+$H$18*(PARAM!$D$51/12)*RATES!$N745/100</f>
        <v>797.45833333333337</v>
      </c>
      <c r="BN769" s="16">
        <f t="shared" si="514"/>
        <v>-100662.57137736387</v>
      </c>
      <c r="BO769" s="15">
        <f t="shared" si="489"/>
        <v>22.170849845882874</v>
      </c>
      <c r="BP769" s="75">
        <f>BO769*(1-PARAM!$C$27)*$I$19+(MOD($B769,60)=PARAM!$B$56)*($B769&gt;(60-PARAM!$B$56))*HLOOKUP(($B769+PARAM!$B$56)/12,Loyalty,2)*$F$1*MAX(BR768,0)</f>
        <v>18.557001321003963</v>
      </c>
      <c r="BQ769" s="75">
        <f>PARAM!$C$26+MAX($G$19-CHOOSE(PARAM!$B$44,MAX(0,BR768*$F$1),0),0)*RATES!$L745/12+$H$19*(PARAM!$D$51/12)*RATES!$N745/100</f>
        <v>797.45833333333337</v>
      </c>
      <c r="BR769" s="16">
        <f t="shared" si="515"/>
        <v>-100662.57137736387</v>
      </c>
      <c r="BS769" s="15">
        <f t="shared" si="490"/>
        <v>22.170849845882874</v>
      </c>
      <c r="BT769" s="75">
        <f>BS769*(1-PARAM!$C$27)*$I$20+(MOD($B769,60)=PARAM!$B$56)*($B769&gt;(60-PARAM!$B$56))*HLOOKUP(($B769+PARAM!$B$56)/12,Loyalty,2)*$F$1*MAX(BV768,0)</f>
        <v>18.557001321003963</v>
      </c>
      <c r="BU769" s="75">
        <f>PARAM!$C$26+MAX($G$20-CHOOSE(PARAM!$B$44,MAX(0,BV768*$F$1),0),0)*RATES!$L745/12+$H$20*(PARAM!$D$51/12)*RATES!$N745/100</f>
        <v>797.45833333333337</v>
      </c>
      <c r="BV769" s="16">
        <f t="shared" si="516"/>
        <v>-100662.57137736387</v>
      </c>
      <c r="BW769" s="15">
        <f t="shared" si="491"/>
        <v>22.170849845882874</v>
      </c>
      <c r="BX769" s="75">
        <f>BW769*(1-PARAM!$C$27)*$I$21+(MOD($B769,60)=PARAM!$B$56)*($B769&gt;(60-PARAM!$B$56))*HLOOKUP(($B769+PARAM!$B$56)/12,Loyalty,2)*$F$1*MAX(BZ768,0)</f>
        <v>18.557001321003963</v>
      </c>
      <c r="BY769" s="75">
        <f>PARAM!$C$26+MAX($G$21-CHOOSE(PARAM!$B$44,MAX(0,BZ768*$F$1),0),0)*RATES!$L745/12+$H$21*(PARAM!$D$51/12)*RATES!$N745/100</f>
        <v>797.45833333333337</v>
      </c>
      <c r="BZ769" s="16">
        <f t="shared" si="517"/>
        <v>-100662.57137736387</v>
      </c>
      <c r="CA769" s="15">
        <f t="shared" si="492"/>
        <v>22.170849845882874</v>
      </c>
      <c r="CB769" s="75">
        <f>CA769*(1-PARAM!$C$27)*$I$22+(MOD($B769,60)=PARAM!$B$56)*($B769&gt;(60-PARAM!$B$56))*HLOOKUP(($B769+PARAM!$B$56)/12,Loyalty,2)*$F$1*MAX(CD768,0)</f>
        <v>18.557001321003963</v>
      </c>
      <c r="CC769" s="75">
        <f>PARAM!$C$26+MAX($G$22-CHOOSE(PARAM!$B$44,MAX(0,CD768*$F$1),0),0)*RATES!$L745/12+$H$22*(PARAM!$D$51/12)*RATES!$N745/100</f>
        <v>797.45833333333337</v>
      </c>
      <c r="CD769" s="16">
        <f t="shared" si="518"/>
        <v>-100662.57137736387</v>
      </c>
      <c r="CE769" s="33">
        <f>IF(0=MOD(B769,12/PARAM!$D$51),1,0)</f>
        <v>1</v>
      </c>
      <c r="CF769" s="15">
        <f t="shared" si="493"/>
        <v>0</v>
      </c>
      <c r="CG769" s="75">
        <f>CF769*(1-PARAM!$C$27)*$R$3+(MOD($B769/12,5)=0)*($B769&gt;60)*HLOOKUP($B769/12,Loyalty,2)*$F$1*MAX(CI768,0)</f>
        <v>0</v>
      </c>
      <c r="CH769" s="75">
        <f>PARAM!$C$26+MAX($P$3-CHOOSE(PARAM!$B$44,MAX(0,CI768*$F$1),0),0)*RATES!$L745/12+$Q$3*(PARAM!$D$51/12)*RATES!$N745/100</f>
        <v>797.45833333333337</v>
      </c>
      <c r="CI769" s="16">
        <f>IF(CI768&gt;0,CI768*PARAM!$C$53,CI768)+CG769-CH769</f>
        <v>-114312.29166666688</v>
      </c>
      <c r="CJ769" s="15">
        <f t="shared" si="519"/>
        <v>0</v>
      </c>
      <c r="CK769" s="75">
        <f>CJ769*(1-PARAM!$C$27)*$R$4+(MOD($B769/12,5)=0)*($B769&gt;60)*HLOOKUP($B769/12,Loyalty,2)*$F$1*MAX(CM768,0)</f>
        <v>0</v>
      </c>
      <c r="CL769" s="75">
        <f>PARAM!$C$26+MAX($P$4-CHOOSE(PARAM!$B$44,MAX(0,CM768*$F$1),0),0)*RATES!$L745/12+$Q$4*(PARAM!$D$51/12)*RATES!$N745/100</f>
        <v>797.45833333333337</v>
      </c>
      <c r="CM769" s="16">
        <f>IF(CM768&gt;0,CM768*PARAM!$C$53,CM768)+CK769-CL769</f>
        <v>-114312.29166666688</v>
      </c>
      <c r="CO769" s="176"/>
    </row>
    <row r="770" spans="1:93" x14ac:dyDescent="0.2">
      <c r="A770" t="b">
        <f t="shared" si="494"/>
        <v>0</v>
      </c>
      <c r="B770" s="33">
        <v>743</v>
      </c>
      <c r="C770" s="15">
        <f t="shared" si="495"/>
        <v>20.081305947392778</v>
      </c>
      <c r="D770" s="75">
        <f>C770*(1-PARAM!$C$27)*$I$3+(MOD($B770,60)=PARAM!$B$56)*($B770&gt;(60-PARAM!$B$56))*HLOOKUP(($B770+PARAM!$B$56)/12,Loyalty,2)*$F$1*MAX(F769,0)</f>
        <v>16.808053077967756</v>
      </c>
      <c r="E770" s="75">
        <f>PARAM!$C$26+MAX($G$3-CHOOSE(PARAM!$B$44,MAX(0,F769*$F$1),0),0)*RATES!$L746/12+$H$3*(PARAM!$D$51/12)*RATES!$N746/100</f>
        <v>797.45833333333337</v>
      </c>
      <c r="F770" s="16">
        <f t="shared" si="496"/>
        <v>-102777.79175447361</v>
      </c>
      <c r="G770" s="15">
        <f t="shared" si="497"/>
        <v>22.035289406060361</v>
      </c>
      <c r="H770" s="75">
        <f>G770*(1-PARAM!$C$27)*$I$4+(MOD($B770,60)=PARAM!$B$56)*($B770&gt;(60-PARAM!$B$56))*HLOOKUP(($B770+PARAM!$B$56)/12,Loyalty,2)*$F$1*MAX(J769,0)</f>
        <v>18.443537232872522</v>
      </c>
      <c r="I770" s="75">
        <f>PARAM!$C$26+MAX($G$4-CHOOSE(PARAM!$B$44,MAX(0,J769*$F$1),0),0)*RATES!$L746/12+$H$4*(PARAM!$D$51/12)*RATES!$N746/100</f>
        <v>797.45833333333337</v>
      </c>
      <c r="J770" s="16">
        <f t="shared" si="498"/>
        <v>-101528.79406325765</v>
      </c>
      <c r="K770" s="15">
        <f t="shared" si="499"/>
        <v>22.170849845882874</v>
      </c>
      <c r="L770" s="75">
        <f>K770*(1-PARAM!$C$27)*$I$5+(MOD($B770,60)=PARAM!$B$56)*($B770&gt;(60-PARAM!$B$56))*HLOOKUP(($B770+PARAM!$B$56)/12,Loyalty,2)*$F$1*MAX(N769,0)</f>
        <v>18.557001321003963</v>
      </c>
      <c r="M770" s="75">
        <f>PARAM!$C$26+MAX($G$5-CHOOSE(PARAM!$B$44,MAX(0,N769*$F$1),0),0)*RATES!$L746/12+$H$5*(PARAM!$D$51/12)*RATES!$N746/100</f>
        <v>797.45833333333337</v>
      </c>
      <c r="N770" s="16">
        <f t="shared" si="500"/>
        <v>-101441.47270937619</v>
      </c>
      <c r="O770" s="15">
        <f t="shared" si="501"/>
        <v>22.170849845882874</v>
      </c>
      <c r="P770" s="75">
        <f>O770*(1-PARAM!$C$27)*$I$6+(MOD($B770,60)=PARAM!$B$56)*($B770&gt;(60-PARAM!$B$56))*HLOOKUP(($B770+PARAM!$B$56)/12,Loyalty,2)*$F$1*MAX(R769,0)</f>
        <v>18.557001321003963</v>
      </c>
      <c r="Q770" s="75">
        <f>PARAM!$C$26+MAX($G$6-CHOOSE(PARAM!$B$44,MAX(0,R769*$F$1),0),0)*RATES!$L746/12+$H$6*(PARAM!$D$51/12)*RATES!$N746/100</f>
        <v>797.45833333333337</v>
      </c>
      <c r="R770" s="16">
        <f t="shared" si="502"/>
        <v>-101441.47270937619</v>
      </c>
      <c r="S770" s="15">
        <f t="shared" si="477"/>
        <v>22.170849845882874</v>
      </c>
      <c r="T770" s="75">
        <f>S770*(1-PARAM!$C$27)*$I$7+(MOD($B770,60)=PARAM!$B$56)*($B770&gt;(60-PARAM!$B$56))*HLOOKUP(($B770+PARAM!$B$56)/12,Loyalty,2)*$F$1*MAX(V769,0)</f>
        <v>18.557001321003963</v>
      </c>
      <c r="U770" s="75">
        <f>PARAM!$C$26+MAX($G$7-CHOOSE(PARAM!$B$44,MAX(0,V769*$F$1),0),0)*RATES!$L746/12+$H$7*(PARAM!$D$51/12)*RATES!$N746/100</f>
        <v>797.45833333333337</v>
      </c>
      <c r="V770" s="16">
        <f t="shared" si="503"/>
        <v>-101441.47270937619</v>
      </c>
      <c r="W770" s="15">
        <f t="shared" si="478"/>
        <v>22.170849845882874</v>
      </c>
      <c r="X770" s="75">
        <f>W770*(1-PARAM!$C$27)*$I$8+(MOD($B770,60)=PARAM!$B$56)*($B770&gt;(60-PARAM!$B$56))*HLOOKUP(($B770+PARAM!$B$56)/12,Loyalty,2)*$F$1*MAX(Z769,0)</f>
        <v>18.557001321003963</v>
      </c>
      <c r="Y770" s="75">
        <f>PARAM!$C$26+MAX($G$8-CHOOSE(PARAM!$B$44,MAX(0,Z769*$F$1),0),0)*RATES!$L746/12+$H$8*(PARAM!$D$51/12)*RATES!$N746/100</f>
        <v>797.45833333333337</v>
      </c>
      <c r="Z770" s="16">
        <f t="shared" si="504"/>
        <v>-101441.47270937619</v>
      </c>
      <c r="AA770" s="15">
        <f t="shared" si="479"/>
        <v>22.170849845882874</v>
      </c>
      <c r="AB770" s="75">
        <f>AA770*(1-PARAM!$C$27)*$I$9+(MOD($B770,60)=PARAM!$B$56)*($B770&gt;(60-PARAM!$B$56))*HLOOKUP(($B770+PARAM!$B$56)/12,Loyalty,2)*$F$1*MAX(AD769,0)</f>
        <v>18.557001321003963</v>
      </c>
      <c r="AC770" s="75">
        <f>PARAM!$C$26+MAX($G$9-CHOOSE(PARAM!$B$44,MAX(0,AD769*$F$1),0),0)*RATES!$L746/12+$H$9*(PARAM!$D$51/12)*RATES!$N746/100</f>
        <v>797.45833333333337</v>
      </c>
      <c r="AD770" s="16">
        <f t="shared" si="505"/>
        <v>-101441.47270937619</v>
      </c>
      <c r="AE770" s="15">
        <f t="shared" si="480"/>
        <v>22.170849845882874</v>
      </c>
      <c r="AF770" s="75">
        <f>AE770*(1-PARAM!$C$27)*$I$10+(MOD($B770,60)=PARAM!$B$56)*($B770&gt;(60-PARAM!$B$56))*HLOOKUP(($B770+PARAM!$B$56)/12,Loyalty,2)*$F$1*MAX(AH769,0)</f>
        <v>18.557001321003963</v>
      </c>
      <c r="AG770" s="75">
        <f>PARAM!$C$26+MAX($G$10-CHOOSE(PARAM!$B$44,MAX(0,AH769*$F$1),0),0)*RATES!$L746/12+$H$10*(PARAM!$D$51/12)*RATES!$N746/100</f>
        <v>797.45833333333337</v>
      </c>
      <c r="AH770" s="16">
        <f t="shared" si="506"/>
        <v>-101441.47270937619</v>
      </c>
      <c r="AI770" s="15">
        <f t="shared" si="481"/>
        <v>22.170849845882874</v>
      </c>
      <c r="AJ770" s="75">
        <f>AI770*(1-PARAM!$C$27)*$I$11+(MOD($B770,60)=PARAM!$B$56)*($B770&gt;(60-PARAM!$B$56))*HLOOKUP(($B770+PARAM!$B$56)/12,Loyalty,2)*$F$1*MAX(AL769,0)</f>
        <v>18.557001321003963</v>
      </c>
      <c r="AK770" s="75">
        <f>PARAM!$C$26+MAX($G$11-CHOOSE(PARAM!$B$44,MAX(0,AL769*$F$1),0),0)*RATES!$L746/12+$H$11*(PARAM!$D$51/12)*RATES!$N746/100</f>
        <v>797.45833333333337</v>
      </c>
      <c r="AL770" s="16">
        <f t="shared" si="507"/>
        <v>-101441.47270937619</v>
      </c>
      <c r="AM770" s="15">
        <f t="shared" si="482"/>
        <v>22.170849845882874</v>
      </c>
      <c r="AN770" s="75">
        <f>AM770*(1-PARAM!$C$27)*$I$12+(MOD($B770,60)=PARAM!$B$56)*($B770&gt;(60-PARAM!$B$56))*HLOOKUP(($B770+PARAM!$B$56)/12,Loyalty,2)*$F$1*MAX(AP769,0)</f>
        <v>18.557001321003963</v>
      </c>
      <c r="AO770" s="75">
        <f>PARAM!$C$26+MAX($G$12-CHOOSE(PARAM!$B$44,MAX(0,AP769*$F$1),0),0)*RATES!$L746/12+$H$12*(PARAM!$D$51/12)*RATES!$N746/100</f>
        <v>797.45833333333337</v>
      </c>
      <c r="AP770" s="16">
        <f t="shared" si="508"/>
        <v>-101441.47270937619</v>
      </c>
      <c r="AQ770" s="15">
        <f t="shared" si="483"/>
        <v>22.170849845882874</v>
      </c>
      <c r="AR770" s="75">
        <f>AQ770*(1-PARAM!$C$27)*$I$13+(MOD($B770,60)=PARAM!$B$56)*($B770&gt;(60-PARAM!$B$56))*HLOOKUP(($B770+PARAM!$B$56)/12,Loyalty,2)*$F$1*MAX(AT769,0)</f>
        <v>18.557001321003963</v>
      </c>
      <c r="AS770" s="75">
        <f>PARAM!$C$26+MAX($G$13-CHOOSE(PARAM!$B$44,MAX(0,AT769*$F$1),0),0)*RATES!$L746/12+$H$13*(PARAM!$D$51/12)*RATES!$N746/100</f>
        <v>797.45833333333337</v>
      </c>
      <c r="AT770" s="16">
        <f t="shared" si="509"/>
        <v>-101441.47270937619</v>
      </c>
      <c r="AU770" s="15">
        <f t="shared" si="484"/>
        <v>22.170849845882874</v>
      </c>
      <c r="AV770" s="75">
        <f>AU770*(1-PARAM!$C$27)*$I$14+(MOD($B770,60)=PARAM!$B$56)*($B770&gt;(60-PARAM!$B$56))*HLOOKUP(($B770+PARAM!$B$56)/12,Loyalty,2)*$F$1*MAX(AX769,0)</f>
        <v>18.557001321003963</v>
      </c>
      <c r="AW770" s="75">
        <f>PARAM!$C$26+MAX($G$14-CHOOSE(PARAM!$B$44,MAX(0,AX769*$F$1),0),0)*RATES!$L746/12+$H$14*(PARAM!$D$51/12)*RATES!$N746/100</f>
        <v>797.45833333333337</v>
      </c>
      <c r="AX770" s="16">
        <f t="shared" si="510"/>
        <v>-101441.47270937619</v>
      </c>
      <c r="AY770" s="15">
        <f t="shared" si="485"/>
        <v>22.170849845882874</v>
      </c>
      <c r="AZ770" s="75">
        <f>AY770*(1-PARAM!$C$27)*$I$15+(MOD($B770,60)=PARAM!$B$56)*($B770&gt;(60-PARAM!$B$56))*HLOOKUP(($B770+PARAM!$B$56)/12,Loyalty,2)*$F$1*MAX(BB769,0)</f>
        <v>18.557001321003963</v>
      </c>
      <c r="BA770" s="75">
        <f>PARAM!$C$26+MAX($G$15-CHOOSE(PARAM!$B$44,MAX(0,BB769*$F$1),0),0)*RATES!$L746/12+$H$15*(PARAM!$D$51/12)*RATES!$N746/100</f>
        <v>797.45833333333337</v>
      </c>
      <c r="BB770" s="16">
        <f t="shared" si="511"/>
        <v>-101441.47270937619</v>
      </c>
      <c r="BC770" s="15">
        <f t="shared" si="486"/>
        <v>22.170849845882874</v>
      </c>
      <c r="BD770" s="75">
        <f>BC770*(1-PARAM!$C$27)*$I$16+(MOD($B770,60)=PARAM!$B$56)*($B770&gt;(60-PARAM!$B$56))*HLOOKUP(($B770+PARAM!$B$56)/12,Loyalty,2)*$F$1*MAX(BF769,0)</f>
        <v>18.557001321003963</v>
      </c>
      <c r="BE770" s="75">
        <f>PARAM!$C$26+MAX($G$16-CHOOSE(PARAM!$B$44,MAX(0,BF769*$F$1),0),0)*RATES!$L746/12+$H$16*(PARAM!$D$51/12)*RATES!$N746/100</f>
        <v>797.45833333333337</v>
      </c>
      <c r="BF770" s="16">
        <f t="shared" si="512"/>
        <v>-101441.47270937619</v>
      </c>
      <c r="BG770" s="15">
        <f t="shared" si="487"/>
        <v>22.170849845882874</v>
      </c>
      <c r="BH770" s="75">
        <f>BG770*(1-PARAM!$C$27)*$I$17+(MOD($B770,60)=PARAM!$B$56)*($B770&gt;(60-PARAM!$B$56))*HLOOKUP(($B770+PARAM!$B$56)/12,Loyalty,2)*$F$1*MAX(BJ769,0)</f>
        <v>18.557001321003963</v>
      </c>
      <c r="BI770" s="75">
        <f>PARAM!$C$26+MAX($G$17-CHOOSE(PARAM!$B$44,MAX(0,BJ769*$F$1),0),0)*RATES!$L746/12+$H$17*(PARAM!$D$51/12)*RATES!$N746/100</f>
        <v>797.45833333333337</v>
      </c>
      <c r="BJ770" s="16">
        <f t="shared" si="513"/>
        <v>-101441.47270937619</v>
      </c>
      <c r="BK770" s="15">
        <f t="shared" si="488"/>
        <v>22.170849845882874</v>
      </c>
      <c r="BL770" s="75">
        <f>BK770*(1-PARAM!$C$27)*$I$18+(MOD($B770,60)=PARAM!$B$56)*($B770&gt;(60-PARAM!$B$56))*HLOOKUP(($B770+PARAM!$B$56)/12,Loyalty,2)*$F$1*MAX(BN769,0)</f>
        <v>18.557001321003963</v>
      </c>
      <c r="BM770" s="75">
        <f>PARAM!$C$26+MAX($G$18-CHOOSE(PARAM!$B$44,MAX(0,BN769*$F$1),0),0)*RATES!$L746/12+$H$18*(PARAM!$D$51/12)*RATES!$N746/100</f>
        <v>797.45833333333337</v>
      </c>
      <c r="BN770" s="16">
        <f t="shared" si="514"/>
        <v>-101441.47270937619</v>
      </c>
      <c r="BO770" s="15">
        <f t="shared" si="489"/>
        <v>22.170849845882874</v>
      </c>
      <c r="BP770" s="75">
        <f>BO770*(1-PARAM!$C$27)*$I$19+(MOD($B770,60)=PARAM!$B$56)*($B770&gt;(60-PARAM!$B$56))*HLOOKUP(($B770+PARAM!$B$56)/12,Loyalty,2)*$F$1*MAX(BR769,0)</f>
        <v>18.557001321003963</v>
      </c>
      <c r="BQ770" s="75">
        <f>PARAM!$C$26+MAX($G$19-CHOOSE(PARAM!$B$44,MAX(0,BR769*$F$1),0),0)*RATES!$L746/12+$H$19*(PARAM!$D$51/12)*RATES!$N746/100</f>
        <v>797.45833333333337</v>
      </c>
      <c r="BR770" s="16">
        <f t="shared" si="515"/>
        <v>-101441.47270937619</v>
      </c>
      <c r="BS770" s="15">
        <f t="shared" si="490"/>
        <v>22.170849845882874</v>
      </c>
      <c r="BT770" s="75">
        <f>BS770*(1-PARAM!$C$27)*$I$20+(MOD($B770,60)=PARAM!$B$56)*($B770&gt;(60-PARAM!$B$56))*HLOOKUP(($B770+PARAM!$B$56)/12,Loyalty,2)*$F$1*MAX(BV769,0)</f>
        <v>18.557001321003963</v>
      </c>
      <c r="BU770" s="75">
        <f>PARAM!$C$26+MAX($G$20-CHOOSE(PARAM!$B$44,MAX(0,BV769*$F$1),0),0)*RATES!$L746/12+$H$20*(PARAM!$D$51/12)*RATES!$N746/100</f>
        <v>797.45833333333337</v>
      </c>
      <c r="BV770" s="16">
        <f t="shared" si="516"/>
        <v>-101441.47270937619</v>
      </c>
      <c r="BW770" s="15">
        <f t="shared" si="491"/>
        <v>22.170849845882874</v>
      </c>
      <c r="BX770" s="75">
        <f>BW770*(1-PARAM!$C$27)*$I$21+(MOD($B770,60)=PARAM!$B$56)*($B770&gt;(60-PARAM!$B$56))*HLOOKUP(($B770+PARAM!$B$56)/12,Loyalty,2)*$F$1*MAX(BZ769,0)</f>
        <v>18.557001321003963</v>
      </c>
      <c r="BY770" s="75">
        <f>PARAM!$C$26+MAX($G$21-CHOOSE(PARAM!$B$44,MAX(0,BZ769*$F$1),0),0)*RATES!$L746/12+$H$21*(PARAM!$D$51/12)*RATES!$N746/100</f>
        <v>797.45833333333337</v>
      </c>
      <c r="BZ770" s="16">
        <f t="shared" si="517"/>
        <v>-101441.47270937619</v>
      </c>
      <c r="CA770" s="15">
        <f t="shared" si="492"/>
        <v>22.170849845882874</v>
      </c>
      <c r="CB770" s="75">
        <f>CA770*(1-PARAM!$C$27)*$I$22+(MOD($B770,60)=PARAM!$B$56)*($B770&gt;(60-PARAM!$B$56))*HLOOKUP(($B770+PARAM!$B$56)/12,Loyalty,2)*$F$1*MAX(CD769,0)</f>
        <v>18.557001321003963</v>
      </c>
      <c r="CC770" s="75">
        <f>PARAM!$C$26+MAX($G$22-CHOOSE(PARAM!$B$44,MAX(0,CD769*$F$1),0),0)*RATES!$L746/12+$H$22*(PARAM!$D$51/12)*RATES!$N746/100</f>
        <v>797.45833333333337</v>
      </c>
      <c r="CD770" s="16">
        <f t="shared" si="518"/>
        <v>-101441.47270937619</v>
      </c>
      <c r="CE770" s="33">
        <f>IF(0=MOD(B770,12/PARAM!$D$51),1,0)</f>
        <v>1</v>
      </c>
      <c r="CF770" s="15">
        <f t="shared" si="493"/>
        <v>0</v>
      </c>
      <c r="CG770" s="75">
        <f>CF770*(1-PARAM!$C$27)*$R$3+(MOD($B770/12,5)=0)*($B770&gt;60)*HLOOKUP($B770/12,Loyalty,2)*$F$1*MAX(CI769,0)</f>
        <v>0</v>
      </c>
      <c r="CH770" s="75">
        <f>PARAM!$C$26+MAX($P$3-CHOOSE(PARAM!$B$44,MAX(0,CI769*$F$1),0),0)*RATES!$L746/12+$Q$3*(PARAM!$D$51/12)*RATES!$N746/100</f>
        <v>797.45833333333337</v>
      </c>
      <c r="CI770" s="16">
        <f>IF(CI769&gt;0,CI769*PARAM!$C$53,CI769)+CG770-CH770</f>
        <v>-115109.7500000002</v>
      </c>
      <c r="CJ770" s="15">
        <f t="shared" si="519"/>
        <v>0</v>
      </c>
      <c r="CK770" s="75">
        <f>CJ770*(1-PARAM!$C$27)*$R$4+(MOD($B770/12,5)=0)*($B770&gt;60)*HLOOKUP($B770/12,Loyalty,2)*$F$1*MAX(CM769,0)</f>
        <v>0</v>
      </c>
      <c r="CL770" s="75">
        <f>PARAM!$C$26+MAX($P$4-CHOOSE(PARAM!$B$44,MAX(0,CM769*$F$1),0),0)*RATES!$L746/12+$Q$4*(PARAM!$D$51/12)*RATES!$N746/100</f>
        <v>797.45833333333337</v>
      </c>
      <c r="CM770" s="16">
        <f>IF(CM769&gt;0,CM769*PARAM!$C$53,CM769)+CK770-CL770</f>
        <v>-115109.7500000002</v>
      </c>
      <c r="CO770" s="176"/>
    </row>
    <row r="771" spans="1:93" x14ac:dyDescent="0.2">
      <c r="A771" t="b">
        <f t="shared" si="494"/>
        <v>0</v>
      </c>
      <c r="B771" s="33">
        <v>744</v>
      </c>
      <c r="C771" s="15">
        <f t="shared" si="495"/>
        <v>20.081305947392778</v>
      </c>
      <c r="D771" s="75">
        <f>C771*(1-PARAM!$C$27)*$I$3+(MOD($B771,60)=PARAM!$B$56)*($B771&gt;(60-PARAM!$B$56))*HLOOKUP(($B771+PARAM!$B$56)/12,Loyalty,2)*$F$1*MAX(F770,0)</f>
        <v>16.808053077967756</v>
      </c>
      <c r="E771" s="75">
        <f>PARAM!$C$26+MAX($G$3-CHOOSE(PARAM!$B$44,MAX(0,F770*$F$1),0),0)*RATES!$L747/12+$H$3*(PARAM!$D$51/12)*RATES!$N747/100</f>
        <v>797.45833333333337</v>
      </c>
      <c r="F771" s="16">
        <f t="shared" si="496"/>
        <v>-103558.44203472897</v>
      </c>
      <c r="G771" s="15">
        <f t="shared" si="497"/>
        <v>22.035289406060361</v>
      </c>
      <c r="H771" s="75">
        <f>G771*(1-PARAM!$C$27)*$I$4+(MOD($B771,60)=PARAM!$B$56)*($B771&gt;(60-PARAM!$B$56))*HLOOKUP(($B771+PARAM!$B$56)/12,Loyalty,2)*$F$1*MAX(J770,0)</f>
        <v>18.443537232872522</v>
      </c>
      <c r="I771" s="75">
        <f>PARAM!$C$26+MAX($G$4-CHOOSE(PARAM!$B$44,MAX(0,J770*$F$1),0),0)*RATES!$L747/12+$H$4*(PARAM!$D$51/12)*RATES!$N747/100</f>
        <v>797.45833333333337</v>
      </c>
      <c r="J771" s="16">
        <f t="shared" si="498"/>
        <v>-102307.80885935811</v>
      </c>
      <c r="K771" s="15">
        <f t="shared" si="499"/>
        <v>22.170849845882874</v>
      </c>
      <c r="L771" s="75">
        <f>K771*(1-PARAM!$C$27)*$I$5+(MOD($B771,60)=PARAM!$B$56)*($B771&gt;(60-PARAM!$B$56))*HLOOKUP(($B771+PARAM!$B$56)/12,Loyalty,2)*$F$1*MAX(N770,0)</f>
        <v>18.557001321003963</v>
      </c>
      <c r="M771" s="75">
        <f>PARAM!$C$26+MAX($G$5-CHOOSE(PARAM!$B$44,MAX(0,N770*$F$1),0),0)*RATES!$L747/12+$H$5*(PARAM!$D$51/12)*RATES!$N747/100</f>
        <v>797.45833333333337</v>
      </c>
      <c r="N771" s="16">
        <f t="shared" si="500"/>
        <v>-102220.37404138851</v>
      </c>
      <c r="O771" s="15">
        <f t="shared" si="501"/>
        <v>22.170849845882874</v>
      </c>
      <c r="P771" s="75">
        <f>O771*(1-PARAM!$C$27)*$I$6+(MOD($B771,60)=PARAM!$B$56)*($B771&gt;(60-PARAM!$B$56))*HLOOKUP(($B771+PARAM!$B$56)/12,Loyalty,2)*$F$1*MAX(R770,0)</f>
        <v>18.557001321003963</v>
      </c>
      <c r="Q771" s="75">
        <f>PARAM!$C$26+MAX($G$6-CHOOSE(PARAM!$B$44,MAX(0,R770*$F$1),0),0)*RATES!$L747/12+$H$6*(PARAM!$D$51/12)*RATES!$N747/100</f>
        <v>797.45833333333337</v>
      </c>
      <c r="R771" s="16">
        <f t="shared" si="502"/>
        <v>-102220.37404138851</v>
      </c>
      <c r="S771" s="15">
        <f t="shared" si="477"/>
        <v>22.170849845882874</v>
      </c>
      <c r="T771" s="75">
        <f>S771*(1-PARAM!$C$27)*$I$7+(MOD($B771,60)=PARAM!$B$56)*($B771&gt;(60-PARAM!$B$56))*HLOOKUP(($B771+PARAM!$B$56)/12,Loyalty,2)*$F$1*MAX(V770,0)</f>
        <v>18.557001321003963</v>
      </c>
      <c r="U771" s="75">
        <f>PARAM!$C$26+MAX($G$7-CHOOSE(PARAM!$B$44,MAX(0,V770*$F$1),0),0)*RATES!$L747/12+$H$7*(PARAM!$D$51/12)*RATES!$N747/100</f>
        <v>797.45833333333337</v>
      </c>
      <c r="V771" s="16">
        <f t="shared" si="503"/>
        <v>-102220.37404138851</v>
      </c>
      <c r="W771" s="15">
        <f t="shared" si="478"/>
        <v>22.170849845882874</v>
      </c>
      <c r="X771" s="75">
        <f>W771*(1-PARAM!$C$27)*$I$8+(MOD($B771,60)=PARAM!$B$56)*($B771&gt;(60-PARAM!$B$56))*HLOOKUP(($B771+PARAM!$B$56)/12,Loyalty,2)*$F$1*MAX(Z770,0)</f>
        <v>18.557001321003963</v>
      </c>
      <c r="Y771" s="75">
        <f>PARAM!$C$26+MAX($G$8-CHOOSE(PARAM!$B$44,MAX(0,Z770*$F$1),0),0)*RATES!$L747/12+$H$8*(PARAM!$D$51/12)*RATES!$N747/100</f>
        <v>797.45833333333337</v>
      </c>
      <c r="Z771" s="16">
        <f t="shared" si="504"/>
        <v>-102220.37404138851</v>
      </c>
      <c r="AA771" s="15">
        <f t="shared" si="479"/>
        <v>22.170849845882874</v>
      </c>
      <c r="AB771" s="75">
        <f>AA771*(1-PARAM!$C$27)*$I$9+(MOD($B771,60)=PARAM!$B$56)*($B771&gt;(60-PARAM!$B$56))*HLOOKUP(($B771+PARAM!$B$56)/12,Loyalty,2)*$F$1*MAX(AD770,0)</f>
        <v>18.557001321003963</v>
      </c>
      <c r="AC771" s="75">
        <f>PARAM!$C$26+MAX($G$9-CHOOSE(PARAM!$B$44,MAX(0,AD770*$F$1),0),0)*RATES!$L747/12+$H$9*(PARAM!$D$51/12)*RATES!$N747/100</f>
        <v>797.45833333333337</v>
      </c>
      <c r="AD771" s="16">
        <f t="shared" si="505"/>
        <v>-102220.37404138851</v>
      </c>
      <c r="AE771" s="15">
        <f t="shared" si="480"/>
        <v>22.170849845882874</v>
      </c>
      <c r="AF771" s="75">
        <f>AE771*(1-PARAM!$C$27)*$I$10+(MOD($B771,60)=PARAM!$B$56)*($B771&gt;(60-PARAM!$B$56))*HLOOKUP(($B771+PARAM!$B$56)/12,Loyalty,2)*$F$1*MAX(AH770,0)</f>
        <v>18.557001321003963</v>
      </c>
      <c r="AG771" s="75">
        <f>PARAM!$C$26+MAX($G$10-CHOOSE(PARAM!$B$44,MAX(0,AH770*$F$1),0),0)*RATES!$L747/12+$H$10*(PARAM!$D$51/12)*RATES!$N747/100</f>
        <v>797.45833333333337</v>
      </c>
      <c r="AH771" s="16">
        <f t="shared" si="506"/>
        <v>-102220.37404138851</v>
      </c>
      <c r="AI771" s="15">
        <f t="shared" si="481"/>
        <v>22.170849845882874</v>
      </c>
      <c r="AJ771" s="75">
        <f>AI771*(1-PARAM!$C$27)*$I$11+(MOD($B771,60)=PARAM!$B$56)*($B771&gt;(60-PARAM!$B$56))*HLOOKUP(($B771+PARAM!$B$56)/12,Loyalty,2)*$F$1*MAX(AL770,0)</f>
        <v>18.557001321003963</v>
      </c>
      <c r="AK771" s="75">
        <f>PARAM!$C$26+MAX($G$11-CHOOSE(PARAM!$B$44,MAX(0,AL770*$F$1),0),0)*RATES!$L747/12+$H$11*(PARAM!$D$51/12)*RATES!$N747/100</f>
        <v>797.45833333333337</v>
      </c>
      <c r="AL771" s="16">
        <f t="shared" si="507"/>
        <v>-102220.37404138851</v>
      </c>
      <c r="AM771" s="15">
        <f t="shared" si="482"/>
        <v>22.170849845882874</v>
      </c>
      <c r="AN771" s="75">
        <f>AM771*(1-PARAM!$C$27)*$I$12+(MOD($B771,60)=PARAM!$B$56)*($B771&gt;(60-PARAM!$B$56))*HLOOKUP(($B771+PARAM!$B$56)/12,Loyalty,2)*$F$1*MAX(AP770,0)</f>
        <v>18.557001321003963</v>
      </c>
      <c r="AO771" s="75">
        <f>PARAM!$C$26+MAX($G$12-CHOOSE(PARAM!$B$44,MAX(0,AP770*$F$1),0),0)*RATES!$L747/12+$H$12*(PARAM!$D$51/12)*RATES!$N747/100</f>
        <v>797.45833333333337</v>
      </c>
      <c r="AP771" s="16">
        <f t="shared" si="508"/>
        <v>-102220.37404138851</v>
      </c>
      <c r="AQ771" s="15">
        <f t="shared" si="483"/>
        <v>22.170849845882874</v>
      </c>
      <c r="AR771" s="75">
        <f>AQ771*(1-PARAM!$C$27)*$I$13+(MOD($B771,60)=PARAM!$B$56)*($B771&gt;(60-PARAM!$B$56))*HLOOKUP(($B771+PARAM!$B$56)/12,Loyalty,2)*$F$1*MAX(AT770,0)</f>
        <v>18.557001321003963</v>
      </c>
      <c r="AS771" s="75">
        <f>PARAM!$C$26+MAX($G$13-CHOOSE(PARAM!$B$44,MAX(0,AT770*$F$1),0),0)*RATES!$L747/12+$H$13*(PARAM!$D$51/12)*RATES!$N747/100</f>
        <v>797.45833333333337</v>
      </c>
      <c r="AT771" s="16">
        <f t="shared" si="509"/>
        <v>-102220.37404138851</v>
      </c>
      <c r="AU771" s="15">
        <f t="shared" si="484"/>
        <v>22.170849845882874</v>
      </c>
      <c r="AV771" s="75">
        <f>AU771*(1-PARAM!$C$27)*$I$14+(MOD($B771,60)=PARAM!$B$56)*($B771&gt;(60-PARAM!$B$56))*HLOOKUP(($B771+PARAM!$B$56)/12,Loyalty,2)*$F$1*MAX(AX770,0)</f>
        <v>18.557001321003963</v>
      </c>
      <c r="AW771" s="75">
        <f>PARAM!$C$26+MAX($G$14-CHOOSE(PARAM!$B$44,MAX(0,AX770*$F$1),0),0)*RATES!$L747/12+$H$14*(PARAM!$D$51/12)*RATES!$N747/100</f>
        <v>797.45833333333337</v>
      </c>
      <c r="AX771" s="16">
        <f t="shared" si="510"/>
        <v>-102220.37404138851</v>
      </c>
      <c r="AY771" s="15">
        <f t="shared" si="485"/>
        <v>22.170849845882874</v>
      </c>
      <c r="AZ771" s="75">
        <f>AY771*(1-PARAM!$C$27)*$I$15+(MOD($B771,60)=PARAM!$B$56)*($B771&gt;(60-PARAM!$B$56))*HLOOKUP(($B771+PARAM!$B$56)/12,Loyalty,2)*$F$1*MAX(BB770,0)</f>
        <v>18.557001321003963</v>
      </c>
      <c r="BA771" s="75">
        <f>PARAM!$C$26+MAX($G$15-CHOOSE(PARAM!$B$44,MAX(0,BB770*$F$1),0),0)*RATES!$L747/12+$H$15*(PARAM!$D$51/12)*RATES!$N747/100</f>
        <v>797.45833333333337</v>
      </c>
      <c r="BB771" s="16">
        <f t="shared" si="511"/>
        <v>-102220.37404138851</v>
      </c>
      <c r="BC771" s="15">
        <f t="shared" si="486"/>
        <v>22.170849845882874</v>
      </c>
      <c r="BD771" s="75">
        <f>BC771*(1-PARAM!$C$27)*$I$16+(MOD($B771,60)=PARAM!$B$56)*($B771&gt;(60-PARAM!$B$56))*HLOOKUP(($B771+PARAM!$B$56)/12,Loyalty,2)*$F$1*MAX(BF770,0)</f>
        <v>18.557001321003963</v>
      </c>
      <c r="BE771" s="75">
        <f>PARAM!$C$26+MAX($G$16-CHOOSE(PARAM!$B$44,MAX(0,BF770*$F$1),0),0)*RATES!$L747/12+$H$16*(PARAM!$D$51/12)*RATES!$N747/100</f>
        <v>797.45833333333337</v>
      </c>
      <c r="BF771" s="16">
        <f t="shared" si="512"/>
        <v>-102220.37404138851</v>
      </c>
      <c r="BG771" s="15">
        <f t="shared" si="487"/>
        <v>22.170849845882874</v>
      </c>
      <c r="BH771" s="75">
        <f>BG771*(1-PARAM!$C$27)*$I$17+(MOD($B771,60)=PARAM!$B$56)*($B771&gt;(60-PARAM!$B$56))*HLOOKUP(($B771+PARAM!$B$56)/12,Loyalty,2)*$F$1*MAX(BJ770,0)</f>
        <v>18.557001321003963</v>
      </c>
      <c r="BI771" s="75">
        <f>PARAM!$C$26+MAX($G$17-CHOOSE(PARAM!$B$44,MAX(0,BJ770*$F$1),0),0)*RATES!$L747/12+$H$17*(PARAM!$D$51/12)*RATES!$N747/100</f>
        <v>797.45833333333337</v>
      </c>
      <c r="BJ771" s="16">
        <f t="shared" si="513"/>
        <v>-102220.37404138851</v>
      </c>
      <c r="BK771" s="15">
        <f t="shared" si="488"/>
        <v>22.170849845882874</v>
      </c>
      <c r="BL771" s="75">
        <f>BK771*(1-PARAM!$C$27)*$I$18+(MOD($B771,60)=PARAM!$B$56)*($B771&gt;(60-PARAM!$B$56))*HLOOKUP(($B771+PARAM!$B$56)/12,Loyalty,2)*$F$1*MAX(BN770,0)</f>
        <v>18.557001321003963</v>
      </c>
      <c r="BM771" s="75">
        <f>PARAM!$C$26+MAX($G$18-CHOOSE(PARAM!$B$44,MAX(0,BN770*$F$1),0),0)*RATES!$L747/12+$H$18*(PARAM!$D$51/12)*RATES!$N747/100</f>
        <v>797.45833333333337</v>
      </c>
      <c r="BN771" s="16">
        <f t="shared" si="514"/>
        <v>-102220.37404138851</v>
      </c>
      <c r="BO771" s="15">
        <f t="shared" si="489"/>
        <v>22.170849845882874</v>
      </c>
      <c r="BP771" s="75">
        <f>BO771*(1-PARAM!$C$27)*$I$19+(MOD($B771,60)=PARAM!$B$56)*($B771&gt;(60-PARAM!$B$56))*HLOOKUP(($B771+PARAM!$B$56)/12,Loyalty,2)*$F$1*MAX(BR770,0)</f>
        <v>18.557001321003963</v>
      </c>
      <c r="BQ771" s="75">
        <f>PARAM!$C$26+MAX($G$19-CHOOSE(PARAM!$B$44,MAX(0,BR770*$F$1),0),0)*RATES!$L747/12+$H$19*(PARAM!$D$51/12)*RATES!$N747/100</f>
        <v>797.45833333333337</v>
      </c>
      <c r="BR771" s="16">
        <f t="shared" si="515"/>
        <v>-102220.37404138851</v>
      </c>
      <c r="BS771" s="15">
        <f t="shared" si="490"/>
        <v>22.170849845882874</v>
      </c>
      <c r="BT771" s="75">
        <f>BS771*(1-PARAM!$C$27)*$I$20+(MOD($B771,60)=PARAM!$B$56)*($B771&gt;(60-PARAM!$B$56))*HLOOKUP(($B771+PARAM!$B$56)/12,Loyalty,2)*$F$1*MAX(BV770,0)</f>
        <v>18.557001321003963</v>
      </c>
      <c r="BU771" s="75">
        <f>PARAM!$C$26+MAX($G$20-CHOOSE(PARAM!$B$44,MAX(0,BV770*$F$1),0),0)*RATES!$L747/12+$H$20*(PARAM!$D$51/12)*RATES!$N747/100</f>
        <v>797.45833333333337</v>
      </c>
      <c r="BV771" s="16">
        <f t="shared" si="516"/>
        <v>-102220.37404138851</v>
      </c>
      <c r="BW771" s="15">
        <f t="shared" si="491"/>
        <v>22.170849845882874</v>
      </c>
      <c r="BX771" s="75">
        <f>BW771*(1-PARAM!$C$27)*$I$21+(MOD($B771,60)=PARAM!$B$56)*($B771&gt;(60-PARAM!$B$56))*HLOOKUP(($B771+PARAM!$B$56)/12,Loyalty,2)*$F$1*MAX(BZ770,0)</f>
        <v>18.557001321003963</v>
      </c>
      <c r="BY771" s="75">
        <f>PARAM!$C$26+MAX($G$21-CHOOSE(PARAM!$B$44,MAX(0,BZ770*$F$1),0),0)*RATES!$L747/12+$H$21*(PARAM!$D$51/12)*RATES!$N747/100</f>
        <v>797.45833333333337</v>
      </c>
      <c r="BZ771" s="16">
        <f t="shared" si="517"/>
        <v>-102220.37404138851</v>
      </c>
      <c r="CA771" s="15">
        <f t="shared" si="492"/>
        <v>22.170849845882874</v>
      </c>
      <c r="CB771" s="75">
        <f>CA771*(1-PARAM!$C$27)*$I$22+(MOD($B771,60)=PARAM!$B$56)*($B771&gt;(60-PARAM!$B$56))*HLOOKUP(($B771+PARAM!$B$56)/12,Loyalty,2)*$F$1*MAX(CD770,0)</f>
        <v>18.557001321003963</v>
      </c>
      <c r="CC771" s="75">
        <f>PARAM!$C$26+MAX($G$22-CHOOSE(PARAM!$B$44,MAX(0,CD770*$F$1),0),0)*RATES!$L747/12+$H$22*(PARAM!$D$51/12)*RATES!$N747/100</f>
        <v>797.45833333333337</v>
      </c>
      <c r="CD771" s="16">
        <f t="shared" si="518"/>
        <v>-102220.37404138851</v>
      </c>
      <c r="CE771" s="33">
        <f>IF(0=MOD(B771,12/PARAM!$D$51),1,0)</f>
        <v>1</v>
      </c>
      <c r="CF771" s="15">
        <f t="shared" si="493"/>
        <v>0</v>
      </c>
      <c r="CG771" s="75">
        <f>CF771*(1-PARAM!$C$27)*$R$3+(MOD($B771/12,5)=0)*($B771&gt;60)*HLOOKUP($B771/12,Loyalty,2)*$F$1*MAX(CI770,0)</f>
        <v>0</v>
      </c>
      <c r="CH771" s="75">
        <f>PARAM!$C$26+MAX($P$3-CHOOSE(PARAM!$B$44,MAX(0,CI770*$F$1),0),0)*RATES!$L747/12+$Q$3*(PARAM!$D$51/12)*RATES!$N747/100</f>
        <v>797.45833333333337</v>
      </c>
      <c r="CI771" s="16">
        <f>IF(CI770&gt;0,CI770*PARAM!$C$53,CI770)+CG771-CH771</f>
        <v>-115907.20833333353</v>
      </c>
      <c r="CJ771" s="15">
        <f t="shared" si="519"/>
        <v>0</v>
      </c>
      <c r="CK771" s="75">
        <f>CJ771*(1-PARAM!$C$27)*$R$4+(MOD($B771/12,5)=0)*($B771&gt;60)*HLOOKUP($B771/12,Loyalty,2)*$F$1*MAX(CM770,0)</f>
        <v>0</v>
      </c>
      <c r="CL771" s="75">
        <f>PARAM!$C$26+MAX($P$4-CHOOSE(PARAM!$B$44,MAX(0,CM770*$F$1),0),0)*RATES!$L747/12+$Q$4*(PARAM!$D$51/12)*RATES!$N747/100</f>
        <v>797.45833333333337</v>
      </c>
      <c r="CM771" s="16">
        <f>IF(CM770&gt;0,CM770*PARAM!$C$53,CM770)+CK771-CL771</f>
        <v>-115907.20833333353</v>
      </c>
      <c r="CO771" s="176"/>
    </row>
    <row r="772" spans="1:93" x14ac:dyDescent="0.2">
      <c r="A772" t="b">
        <f t="shared" si="494"/>
        <v>0</v>
      </c>
      <c r="B772" s="33">
        <v>745</v>
      </c>
      <c r="C772" s="15">
        <f t="shared" si="495"/>
        <v>20.081305947392778</v>
      </c>
      <c r="D772" s="75">
        <f>C772*(1-PARAM!$C$27)*$I$3+(MOD($B772,60)=PARAM!$B$56)*($B772&gt;(60-PARAM!$B$56))*HLOOKUP(($B772+PARAM!$B$56)/12,Loyalty,2)*$F$1*MAX(F771,0)</f>
        <v>16.808053077967756</v>
      </c>
      <c r="E772" s="75">
        <f>PARAM!$C$26+MAX($G$3-CHOOSE(PARAM!$B$44,MAX(0,F771*$F$1),0),0)*RATES!$L748/12+$H$3*(PARAM!$D$51/12)*RATES!$N748/100</f>
        <v>797.45833333333337</v>
      </c>
      <c r="F772" s="16">
        <f t="shared" si="496"/>
        <v>-104339.09231498433</v>
      </c>
      <c r="G772" s="15">
        <f t="shared" si="497"/>
        <v>22.035289406060361</v>
      </c>
      <c r="H772" s="75">
        <f>G772*(1-PARAM!$C$27)*$I$4+(MOD($B772,60)=PARAM!$B$56)*($B772&gt;(60-PARAM!$B$56))*HLOOKUP(($B772+PARAM!$B$56)/12,Loyalty,2)*$F$1*MAX(J771,0)</f>
        <v>18.443537232872522</v>
      </c>
      <c r="I772" s="75">
        <f>PARAM!$C$26+MAX($G$4-CHOOSE(PARAM!$B$44,MAX(0,J771*$F$1),0),0)*RATES!$L748/12+$H$4*(PARAM!$D$51/12)*RATES!$N748/100</f>
        <v>797.45833333333337</v>
      </c>
      <c r="J772" s="16">
        <f t="shared" si="498"/>
        <v>-103086.82365545856</v>
      </c>
      <c r="K772" s="15">
        <f t="shared" si="499"/>
        <v>22.170849845882874</v>
      </c>
      <c r="L772" s="75">
        <f>K772*(1-PARAM!$C$27)*$I$5+(MOD($B772,60)=PARAM!$B$56)*($B772&gt;(60-PARAM!$B$56))*HLOOKUP(($B772+PARAM!$B$56)/12,Loyalty,2)*$F$1*MAX(N771,0)</f>
        <v>18.557001321003963</v>
      </c>
      <c r="M772" s="75">
        <f>PARAM!$C$26+MAX($G$5-CHOOSE(PARAM!$B$44,MAX(0,N771*$F$1),0),0)*RATES!$L748/12+$H$5*(PARAM!$D$51/12)*RATES!$N748/100</f>
        <v>797.45833333333337</v>
      </c>
      <c r="N772" s="16">
        <f t="shared" si="500"/>
        <v>-102999.27537340083</v>
      </c>
      <c r="O772" s="15">
        <f t="shared" si="501"/>
        <v>22.170849845882874</v>
      </c>
      <c r="P772" s="75">
        <f>O772*(1-PARAM!$C$27)*$I$6+(MOD($B772,60)=PARAM!$B$56)*($B772&gt;(60-PARAM!$B$56))*HLOOKUP(($B772+PARAM!$B$56)/12,Loyalty,2)*$F$1*MAX(R771,0)</f>
        <v>18.557001321003963</v>
      </c>
      <c r="Q772" s="75">
        <f>PARAM!$C$26+MAX($G$6-CHOOSE(PARAM!$B$44,MAX(0,R771*$F$1),0),0)*RATES!$L748/12+$H$6*(PARAM!$D$51/12)*RATES!$N748/100</f>
        <v>797.45833333333337</v>
      </c>
      <c r="R772" s="16">
        <f t="shared" si="502"/>
        <v>-102999.27537340083</v>
      </c>
      <c r="S772" s="15">
        <f t="shared" si="477"/>
        <v>22.170849845882874</v>
      </c>
      <c r="T772" s="75">
        <f>S772*(1-PARAM!$C$27)*$I$7+(MOD($B772,60)=PARAM!$B$56)*($B772&gt;(60-PARAM!$B$56))*HLOOKUP(($B772+PARAM!$B$56)/12,Loyalty,2)*$F$1*MAX(V771,0)</f>
        <v>18.557001321003963</v>
      </c>
      <c r="U772" s="75">
        <f>PARAM!$C$26+MAX($G$7-CHOOSE(PARAM!$B$44,MAX(0,V771*$F$1),0),0)*RATES!$L748/12+$H$7*(PARAM!$D$51/12)*RATES!$N748/100</f>
        <v>797.45833333333337</v>
      </c>
      <c r="V772" s="16">
        <f t="shared" si="503"/>
        <v>-102999.27537340083</v>
      </c>
      <c r="W772" s="15">
        <f t="shared" si="478"/>
        <v>22.170849845882874</v>
      </c>
      <c r="X772" s="75">
        <f>W772*(1-PARAM!$C$27)*$I$8+(MOD($B772,60)=PARAM!$B$56)*($B772&gt;(60-PARAM!$B$56))*HLOOKUP(($B772+PARAM!$B$56)/12,Loyalty,2)*$F$1*MAX(Z771,0)</f>
        <v>18.557001321003963</v>
      </c>
      <c r="Y772" s="75">
        <f>PARAM!$C$26+MAX($G$8-CHOOSE(PARAM!$B$44,MAX(0,Z771*$F$1),0),0)*RATES!$L748/12+$H$8*(PARAM!$D$51/12)*RATES!$N748/100</f>
        <v>797.45833333333337</v>
      </c>
      <c r="Z772" s="16">
        <f t="shared" si="504"/>
        <v>-102999.27537340083</v>
      </c>
      <c r="AA772" s="15">
        <f t="shared" si="479"/>
        <v>22.170849845882874</v>
      </c>
      <c r="AB772" s="75">
        <f>AA772*(1-PARAM!$C$27)*$I$9+(MOD($B772,60)=PARAM!$B$56)*($B772&gt;(60-PARAM!$B$56))*HLOOKUP(($B772+PARAM!$B$56)/12,Loyalty,2)*$F$1*MAX(AD771,0)</f>
        <v>18.557001321003963</v>
      </c>
      <c r="AC772" s="75">
        <f>PARAM!$C$26+MAX($G$9-CHOOSE(PARAM!$B$44,MAX(0,AD771*$F$1),0),0)*RATES!$L748/12+$H$9*(PARAM!$D$51/12)*RATES!$N748/100</f>
        <v>797.45833333333337</v>
      </c>
      <c r="AD772" s="16">
        <f t="shared" si="505"/>
        <v>-102999.27537340083</v>
      </c>
      <c r="AE772" s="15">
        <f t="shared" si="480"/>
        <v>22.170849845882874</v>
      </c>
      <c r="AF772" s="75">
        <f>AE772*(1-PARAM!$C$27)*$I$10+(MOD($B772,60)=PARAM!$B$56)*($B772&gt;(60-PARAM!$B$56))*HLOOKUP(($B772+PARAM!$B$56)/12,Loyalty,2)*$F$1*MAX(AH771,0)</f>
        <v>18.557001321003963</v>
      </c>
      <c r="AG772" s="75">
        <f>PARAM!$C$26+MAX($G$10-CHOOSE(PARAM!$B$44,MAX(0,AH771*$F$1),0),0)*RATES!$L748/12+$H$10*(PARAM!$D$51/12)*RATES!$N748/100</f>
        <v>797.45833333333337</v>
      </c>
      <c r="AH772" s="16">
        <f t="shared" si="506"/>
        <v>-102999.27537340083</v>
      </c>
      <c r="AI772" s="15">
        <f t="shared" si="481"/>
        <v>22.170849845882874</v>
      </c>
      <c r="AJ772" s="75">
        <f>AI772*(1-PARAM!$C$27)*$I$11+(MOD($B772,60)=PARAM!$B$56)*($B772&gt;(60-PARAM!$B$56))*HLOOKUP(($B772+PARAM!$B$56)/12,Loyalty,2)*$F$1*MAX(AL771,0)</f>
        <v>18.557001321003963</v>
      </c>
      <c r="AK772" s="75">
        <f>PARAM!$C$26+MAX($G$11-CHOOSE(PARAM!$B$44,MAX(0,AL771*$F$1),0),0)*RATES!$L748/12+$H$11*(PARAM!$D$51/12)*RATES!$N748/100</f>
        <v>797.45833333333337</v>
      </c>
      <c r="AL772" s="16">
        <f t="shared" si="507"/>
        <v>-102999.27537340083</v>
      </c>
      <c r="AM772" s="15">
        <f t="shared" si="482"/>
        <v>22.170849845882874</v>
      </c>
      <c r="AN772" s="75">
        <f>AM772*(1-PARAM!$C$27)*$I$12+(MOD($B772,60)=PARAM!$B$56)*($B772&gt;(60-PARAM!$B$56))*HLOOKUP(($B772+PARAM!$B$56)/12,Loyalty,2)*$F$1*MAX(AP771,0)</f>
        <v>18.557001321003963</v>
      </c>
      <c r="AO772" s="75">
        <f>PARAM!$C$26+MAX($G$12-CHOOSE(PARAM!$B$44,MAX(0,AP771*$F$1),0),0)*RATES!$L748/12+$H$12*(PARAM!$D$51/12)*RATES!$N748/100</f>
        <v>797.45833333333337</v>
      </c>
      <c r="AP772" s="16">
        <f t="shared" si="508"/>
        <v>-102999.27537340083</v>
      </c>
      <c r="AQ772" s="15">
        <f t="shared" si="483"/>
        <v>22.170849845882874</v>
      </c>
      <c r="AR772" s="75">
        <f>AQ772*(1-PARAM!$C$27)*$I$13+(MOD($B772,60)=PARAM!$B$56)*($B772&gt;(60-PARAM!$B$56))*HLOOKUP(($B772+PARAM!$B$56)/12,Loyalty,2)*$F$1*MAX(AT771,0)</f>
        <v>18.557001321003963</v>
      </c>
      <c r="AS772" s="75">
        <f>PARAM!$C$26+MAX($G$13-CHOOSE(PARAM!$B$44,MAX(0,AT771*$F$1),0),0)*RATES!$L748/12+$H$13*(PARAM!$D$51/12)*RATES!$N748/100</f>
        <v>797.45833333333337</v>
      </c>
      <c r="AT772" s="16">
        <f t="shared" si="509"/>
        <v>-102999.27537340083</v>
      </c>
      <c r="AU772" s="15">
        <f t="shared" si="484"/>
        <v>22.170849845882874</v>
      </c>
      <c r="AV772" s="75">
        <f>AU772*(1-PARAM!$C$27)*$I$14+(MOD($B772,60)=PARAM!$B$56)*($B772&gt;(60-PARAM!$B$56))*HLOOKUP(($B772+PARAM!$B$56)/12,Loyalty,2)*$F$1*MAX(AX771,0)</f>
        <v>18.557001321003963</v>
      </c>
      <c r="AW772" s="75">
        <f>PARAM!$C$26+MAX($G$14-CHOOSE(PARAM!$B$44,MAX(0,AX771*$F$1),0),0)*RATES!$L748/12+$H$14*(PARAM!$D$51/12)*RATES!$N748/100</f>
        <v>797.45833333333337</v>
      </c>
      <c r="AX772" s="16">
        <f t="shared" si="510"/>
        <v>-102999.27537340083</v>
      </c>
      <c r="AY772" s="15">
        <f t="shared" si="485"/>
        <v>22.170849845882874</v>
      </c>
      <c r="AZ772" s="75">
        <f>AY772*(1-PARAM!$C$27)*$I$15+(MOD($B772,60)=PARAM!$B$56)*($B772&gt;(60-PARAM!$B$56))*HLOOKUP(($B772+PARAM!$B$56)/12,Loyalty,2)*$F$1*MAX(BB771,0)</f>
        <v>18.557001321003963</v>
      </c>
      <c r="BA772" s="75">
        <f>PARAM!$C$26+MAX($G$15-CHOOSE(PARAM!$B$44,MAX(0,BB771*$F$1),0),0)*RATES!$L748/12+$H$15*(PARAM!$D$51/12)*RATES!$N748/100</f>
        <v>797.45833333333337</v>
      </c>
      <c r="BB772" s="16">
        <f t="shared" si="511"/>
        <v>-102999.27537340083</v>
      </c>
      <c r="BC772" s="15">
        <f t="shared" si="486"/>
        <v>22.170849845882874</v>
      </c>
      <c r="BD772" s="75">
        <f>BC772*(1-PARAM!$C$27)*$I$16+(MOD($B772,60)=PARAM!$B$56)*($B772&gt;(60-PARAM!$B$56))*HLOOKUP(($B772+PARAM!$B$56)/12,Loyalty,2)*$F$1*MAX(BF771,0)</f>
        <v>18.557001321003963</v>
      </c>
      <c r="BE772" s="75">
        <f>PARAM!$C$26+MAX($G$16-CHOOSE(PARAM!$B$44,MAX(0,BF771*$F$1),0),0)*RATES!$L748/12+$H$16*(PARAM!$D$51/12)*RATES!$N748/100</f>
        <v>797.45833333333337</v>
      </c>
      <c r="BF772" s="16">
        <f t="shared" si="512"/>
        <v>-102999.27537340083</v>
      </c>
      <c r="BG772" s="15">
        <f t="shared" si="487"/>
        <v>22.170849845882874</v>
      </c>
      <c r="BH772" s="75">
        <f>BG772*(1-PARAM!$C$27)*$I$17+(MOD($B772,60)=PARAM!$B$56)*($B772&gt;(60-PARAM!$B$56))*HLOOKUP(($B772+PARAM!$B$56)/12,Loyalty,2)*$F$1*MAX(BJ771,0)</f>
        <v>18.557001321003963</v>
      </c>
      <c r="BI772" s="75">
        <f>PARAM!$C$26+MAX($G$17-CHOOSE(PARAM!$B$44,MAX(0,BJ771*$F$1),0),0)*RATES!$L748/12+$H$17*(PARAM!$D$51/12)*RATES!$N748/100</f>
        <v>797.45833333333337</v>
      </c>
      <c r="BJ772" s="16">
        <f t="shared" si="513"/>
        <v>-102999.27537340083</v>
      </c>
      <c r="BK772" s="15">
        <f t="shared" si="488"/>
        <v>22.170849845882874</v>
      </c>
      <c r="BL772" s="75">
        <f>BK772*(1-PARAM!$C$27)*$I$18+(MOD($B772,60)=PARAM!$B$56)*($B772&gt;(60-PARAM!$B$56))*HLOOKUP(($B772+PARAM!$B$56)/12,Loyalty,2)*$F$1*MAX(BN771,0)</f>
        <v>18.557001321003963</v>
      </c>
      <c r="BM772" s="75">
        <f>PARAM!$C$26+MAX($G$18-CHOOSE(PARAM!$B$44,MAX(0,BN771*$F$1),0),0)*RATES!$L748/12+$H$18*(PARAM!$D$51/12)*RATES!$N748/100</f>
        <v>797.45833333333337</v>
      </c>
      <c r="BN772" s="16">
        <f t="shared" si="514"/>
        <v>-102999.27537340083</v>
      </c>
      <c r="BO772" s="15">
        <f t="shared" si="489"/>
        <v>22.170849845882874</v>
      </c>
      <c r="BP772" s="75">
        <f>BO772*(1-PARAM!$C$27)*$I$19+(MOD($B772,60)=PARAM!$B$56)*($B772&gt;(60-PARAM!$B$56))*HLOOKUP(($B772+PARAM!$B$56)/12,Loyalty,2)*$F$1*MAX(BR771,0)</f>
        <v>18.557001321003963</v>
      </c>
      <c r="BQ772" s="75">
        <f>PARAM!$C$26+MAX($G$19-CHOOSE(PARAM!$B$44,MAX(0,BR771*$F$1),0),0)*RATES!$L748/12+$H$19*(PARAM!$D$51/12)*RATES!$N748/100</f>
        <v>797.45833333333337</v>
      </c>
      <c r="BR772" s="16">
        <f t="shared" si="515"/>
        <v>-102999.27537340083</v>
      </c>
      <c r="BS772" s="15">
        <f t="shared" si="490"/>
        <v>22.170849845882874</v>
      </c>
      <c r="BT772" s="75">
        <f>BS772*(1-PARAM!$C$27)*$I$20+(MOD($B772,60)=PARAM!$B$56)*($B772&gt;(60-PARAM!$B$56))*HLOOKUP(($B772+PARAM!$B$56)/12,Loyalty,2)*$F$1*MAX(BV771,0)</f>
        <v>18.557001321003963</v>
      </c>
      <c r="BU772" s="75">
        <f>PARAM!$C$26+MAX($G$20-CHOOSE(PARAM!$B$44,MAX(0,BV771*$F$1),0),0)*RATES!$L748/12+$H$20*(PARAM!$D$51/12)*RATES!$N748/100</f>
        <v>797.45833333333337</v>
      </c>
      <c r="BV772" s="16">
        <f t="shared" si="516"/>
        <v>-102999.27537340083</v>
      </c>
      <c r="BW772" s="15">
        <f t="shared" si="491"/>
        <v>22.170849845882874</v>
      </c>
      <c r="BX772" s="75">
        <f>BW772*(1-PARAM!$C$27)*$I$21+(MOD($B772,60)=PARAM!$B$56)*($B772&gt;(60-PARAM!$B$56))*HLOOKUP(($B772+PARAM!$B$56)/12,Loyalty,2)*$F$1*MAX(BZ771,0)</f>
        <v>18.557001321003963</v>
      </c>
      <c r="BY772" s="75">
        <f>PARAM!$C$26+MAX($G$21-CHOOSE(PARAM!$B$44,MAX(0,BZ771*$F$1),0),0)*RATES!$L748/12+$H$21*(PARAM!$D$51/12)*RATES!$N748/100</f>
        <v>797.45833333333337</v>
      </c>
      <c r="BZ772" s="16">
        <f t="shared" si="517"/>
        <v>-102999.27537340083</v>
      </c>
      <c r="CA772" s="15">
        <f t="shared" si="492"/>
        <v>22.170849845882874</v>
      </c>
      <c r="CB772" s="75">
        <f>CA772*(1-PARAM!$C$27)*$I$22+(MOD($B772,60)=PARAM!$B$56)*($B772&gt;(60-PARAM!$B$56))*HLOOKUP(($B772+PARAM!$B$56)/12,Loyalty,2)*$F$1*MAX(CD771,0)</f>
        <v>18.557001321003963</v>
      </c>
      <c r="CC772" s="75">
        <f>PARAM!$C$26+MAX($G$22-CHOOSE(PARAM!$B$44,MAX(0,CD771*$F$1),0),0)*RATES!$L748/12+$H$22*(PARAM!$D$51/12)*RATES!$N748/100</f>
        <v>797.45833333333337</v>
      </c>
      <c r="CD772" s="16">
        <f t="shared" si="518"/>
        <v>-102999.27537340083</v>
      </c>
      <c r="CE772" s="33">
        <f>IF(0=MOD(B772,12/PARAM!$D$51),1,0)</f>
        <v>1</v>
      </c>
      <c r="CF772" s="15">
        <f t="shared" si="493"/>
        <v>0</v>
      </c>
      <c r="CG772" s="75">
        <f>CF772*(1-PARAM!$C$27)*$R$3+(MOD($B772/12,5)=0)*($B772&gt;60)*HLOOKUP($B772/12,Loyalty,2)*$F$1*MAX(CI771,0)</f>
        <v>0</v>
      </c>
      <c r="CH772" s="75">
        <f>PARAM!$C$26+MAX($P$3-CHOOSE(PARAM!$B$44,MAX(0,CI771*$F$1),0),0)*RATES!$L748/12+$Q$3*(PARAM!$D$51/12)*RATES!$N748/100</f>
        <v>797.45833333333337</v>
      </c>
      <c r="CI772" s="16">
        <f>IF(CI771&gt;0,CI771*PARAM!$C$53,CI771)+CG772-CH772</f>
        <v>-116704.66666666686</v>
      </c>
      <c r="CJ772" s="15">
        <f t="shared" si="519"/>
        <v>0</v>
      </c>
      <c r="CK772" s="75">
        <f>CJ772*(1-PARAM!$C$27)*$R$4+(MOD($B772/12,5)=0)*($B772&gt;60)*HLOOKUP($B772/12,Loyalty,2)*$F$1*MAX(CM771,0)</f>
        <v>0</v>
      </c>
      <c r="CL772" s="75">
        <f>PARAM!$C$26+MAX($P$4-CHOOSE(PARAM!$B$44,MAX(0,CM771*$F$1),0),0)*RATES!$L748/12+$Q$4*(PARAM!$D$51/12)*RATES!$N748/100</f>
        <v>797.45833333333337</v>
      </c>
      <c r="CM772" s="16">
        <f>IF(CM771&gt;0,CM771*PARAM!$C$53,CM771)+CK772-CL772</f>
        <v>-116704.66666666686</v>
      </c>
      <c r="CO772" s="176"/>
    </row>
    <row r="773" spans="1:93" x14ac:dyDescent="0.2">
      <c r="A773" t="b">
        <f t="shared" si="494"/>
        <v>0</v>
      </c>
      <c r="B773" s="33">
        <v>746</v>
      </c>
      <c r="C773" s="15">
        <f t="shared" si="495"/>
        <v>20.081305947392778</v>
      </c>
      <c r="D773" s="75">
        <f>C773*(1-PARAM!$C$27)*$I$3+(MOD($B773,60)=PARAM!$B$56)*($B773&gt;(60-PARAM!$B$56))*HLOOKUP(($B773+PARAM!$B$56)/12,Loyalty,2)*$F$1*MAX(F772,0)</f>
        <v>16.808053077967756</v>
      </c>
      <c r="E773" s="75">
        <f>PARAM!$C$26+MAX($G$3-CHOOSE(PARAM!$B$44,MAX(0,F772*$F$1),0),0)*RATES!$L749/12+$H$3*(PARAM!$D$51/12)*RATES!$N749/100</f>
        <v>797.45833333333337</v>
      </c>
      <c r="F773" s="16">
        <f t="shared" si="496"/>
        <v>-105119.74259523969</v>
      </c>
      <c r="G773" s="15">
        <f t="shared" si="497"/>
        <v>22.035289406060361</v>
      </c>
      <c r="H773" s="75">
        <f>G773*(1-PARAM!$C$27)*$I$4+(MOD($B773,60)=PARAM!$B$56)*($B773&gt;(60-PARAM!$B$56))*HLOOKUP(($B773+PARAM!$B$56)/12,Loyalty,2)*$F$1*MAX(J772,0)</f>
        <v>18.443537232872522</v>
      </c>
      <c r="I773" s="75">
        <f>PARAM!$C$26+MAX($G$4-CHOOSE(PARAM!$B$44,MAX(0,J772*$F$1),0),0)*RATES!$L749/12+$H$4*(PARAM!$D$51/12)*RATES!$N749/100</f>
        <v>797.45833333333337</v>
      </c>
      <c r="J773" s="16">
        <f t="shared" si="498"/>
        <v>-103865.83845155902</v>
      </c>
      <c r="K773" s="15">
        <f t="shared" si="499"/>
        <v>22.170849845882874</v>
      </c>
      <c r="L773" s="75">
        <f>K773*(1-PARAM!$C$27)*$I$5+(MOD($B773,60)=PARAM!$B$56)*($B773&gt;(60-PARAM!$B$56))*HLOOKUP(($B773+PARAM!$B$56)/12,Loyalty,2)*$F$1*MAX(N772,0)</f>
        <v>18.557001321003963</v>
      </c>
      <c r="M773" s="75">
        <f>PARAM!$C$26+MAX($G$5-CHOOSE(PARAM!$B$44,MAX(0,N772*$F$1),0),0)*RATES!$L749/12+$H$5*(PARAM!$D$51/12)*RATES!$N749/100</f>
        <v>797.45833333333337</v>
      </c>
      <c r="N773" s="16">
        <f t="shared" si="500"/>
        <v>-103778.17670541315</v>
      </c>
      <c r="O773" s="15">
        <f t="shared" si="501"/>
        <v>22.170849845882874</v>
      </c>
      <c r="P773" s="75">
        <f>O773*(1-PARAM!$C$27)*$I$6+(MOD($B773,60)=PARAM!$B$56)*($B773&gt;(60-PARAM!$B$56))*HLOOKUP(($B773+PARAM!$B$56)/12,Loyalty,2)*$F$1*MAX(R772,0)</f>
        <v>18.557001321003963</v>
      </c>
      <c r="Q773" s="75">
        <f>PARAM!$C$26+MAX($G$6-CHOOSE(PARAM!$B$44,MAX(0,R772*$F$1),0),0)*RATES!$L749/12+$H$6*(PARAM!$D$51/12)*RATES!$N749/100</f>
        <v>797.45833333333337</v>
      </c>
      <c r="R773" s="16">
        <f t="shared" si="502"/>
        <v>-103778.17670541315</v>
      </c>
      <c r="S773" s="15">
        <f t="shared" si="477"/>
        <v>22.170849845882874</v>
      </c>
      <c r="T773" s="75">
        <f>S773*(1-PARAM!$C$27)*$I$7+(MOD($B773,60)=PARAM!$B$56)*($B773&gt;(60-PARAM!$B$56))*HLOOKUP(($B773+PARAM!$B$56)/12,Loyalty,2)*$F$1*MAX(V772,0)</f>
        <v>18.557001321003963</v>
      </c>
      <c r="U773" s="75">
        <f>PARAM!$C$26+MAX($G$7-CHOOSE(PARAM!$B$44,MAX(0,V772*$F$1),0),0)*RATES!$L749/12+$H$7*(PARAM!$D$51/12)*RATES!$N749/100</f>
        <v>797.45833333333337</v>
      </c>
      <c r="V773" s="16">
        <f t="shared" si="503"/>
        <v>-103778.17670541315</v>
      </c>
      <c r="W773" s="15">
        <f t="shared" si="478"/>
        <v>22.170849845882874</v>
      </c>
      <c r="X773" s="75">
        <f>W773*(1-PARAM!$C$27)*$I$8+(MOD($B773,60)=PARAM!$B$56)*($B773&gt;(60-PARAM!$B$56))*HLOOKUP(($B773+PARAM!$B$56)/12,Loyalty,2)*$F$1*MAX(Z772,0)</f>
        <v>18.557001321003963</v>
      </c>
      <c r="Y773" s="75">
        <f>PARAM!$C$26+MAX($G$8-CHOOSE(PARAM!$B$44,MAX(0,Z772*$F$1),0),0)*RATES!$L749/12+$H$8*(PARAM!$D$51/12)*RATES!$N749/100</f>
        <v>797.45833333333337</v>
      </c>
      <c r="Z773" s="16">
        <f t="shared" si="504"/>
        <v>-103778.17670541315</v>
      </c>
      <c r="AA773" s="15">
        <f t="shared" si="479"/>
        <v>22.170849845882874</v>
      </c>
      <c r="AB773" s="75">
        <f>AA773*(1-PARAM!$C$27)*$I$9+(MOD($B773,60)=PARAM!$B$56)*($B773&gt;(60-PARAM!$B$56))*HLOOKUP(($B773+PARAM!$B$56)/12,Loyalty,2)*$F$1*MAX(AD772,0)</f>
        <v>18.557001321003963</v>
      </c>
      <c r="AC773" s="75">
        <f>PARAM!$C$26+MAX($G$9-CHOOSE(PARAM!$B$44,MAX(0,AD772*$F$1),0),0)*RATES!$L749/12+$H$9*(PARAM!$D$51/12)*RATES!$N749/100</f>
        <v>797.45833333333337</v>
      </c>
      <c r="AD773" s="16">
        <f t="shared" si="505"/>
        <v>-103778.17670541315</v>
      </c>
      <c r="AE773" s="15">
        <f t="shared" si="480"/>
        <v>22.170849845882874</v>
      </c>
      <c r="AF773" s="75">
        <f>AE773*(1-PARAM!$C$27)*$I$10+(MOD($B773,60)=PARAM!$B$56)*($B773&gt;(60-PARAM!$B$56))*HLOOKUP(($B773+PARAM!$B$56)/12,Loyalty,2)*$F$1*MAX(AH772,0)</f>
        <v>18.557001321003963</v>
      </c>
      <c r="AG773" s="75">
        <f>PARAM!$C$26+MAX($G$10-CHOOSE(PARAM!$B$44,MAX(0,AH772*$F$1),0),0)*RATES!$L749/12+$H$10*(PARAM!$D$51/12)*RATES!$N749/100</f>
        <v>797.45833333333337</v>
      </c>
      <c r="AH773" s="16">
        <f t="shared" si="506"/>
        <v>-103778.17670541315</v>
      </c>
      <c r="AI773" s="15">
        <f t="shared" si="481"/>
        <v>22.170849845882874</v>
      </c>
      <c r="AJ773" s="75">
        <f>AI773*(1-PARAM!$C$27)*$I$11+(MOD($B773,60)=PARAM!$B$56)*($B773&gt;(60-PARAM!$B$56))*HLOOKUP(($B773+PARAM!$B$56)/12,Loyalty,2)*$F$1*MAX(AL772,0)</f>
        <v>18.557001321003963</v>
      </c>
      <c r="AK773" s="75">
        <f>PARAM!$C$26+MAX($G$11-CHOOSE(PARAM!$B$44,MAX(0,AL772*$F$1),0),0)*RATES!$L749/12+$H$11*(PARAM!$D$51/12)*RATES!$N749/100</f>
        <v>797.45833333333337</v>
      </c>
      <c r="AL773" s="16">
        <f t="shared" si="507"/>
        <v>-103778.17670541315</v>
      </c>
      <c r="AM773" s="15">
        <f t="shared" si="482"/>
        <v>22.170849845882874</v>
      </c>
      <c r="AN773" s="75">
        <f>AM773*(1-PARAM!$C$27)*$I$12+(MOD($B773,60)=PARAM!$B$56)*($B773&gt;(60-PARAM!$B$56))*HLOOKUP(($B773+PARAM!$B$56)/12,Loyalty,2)*$F$1*MAX(AP772,0)</f>
        <v>18.557001321003963</v>
      </c>
      <c r="AO773" s="75">
        <f>PARAM!$C$26+MAX($G$12-CHOOSE(PARAM!$B$44,MAX(0,AP772*$F$1),0),0)*RATES!$L749/12+$H$12*(PARAM!$D$51/12)*RATES!$N749/100</f>
        <v>797.45833333333337</v>
      </c>
      <c r="AP773" s="16">
        <f t="shared" si="508"/>
        <v>-103778.17670541315</v>
      </c>
      <c r="AQ773" s="15">
        <f t="shared" si="483"/>
        <v>22.170849845882874</v>
      </c>
      <c r="AR773" s="75">
        <f>AQ773*(1-PARAM!$C$27)*$I$13+(MOD($B773,60)=PARAM!$B$56)*($B773&gt;(60-PARAM!$B$56))*HLOOKUP(($B773+PARAM!$B$56)/12,Loyalty,2)*$F$1*MAX(AT772,0)</f>
        <v>18.557001321003963</v>
      </c>
      <c r="AS773" s="75">
        <f>PARAM!$C$26+MAX($G$13-CHOOSE(PARAM!$B$44,MAX(0,AT772*$F$1),0),0)*RATES!$L749/12+$H$13*(PARAM!$D$51/12)*RATES!$N749/100</f>
        <v>797.45833333333337</v>
      </c>
      <c r="AT773" s="16">
        <f t="shared" si="509"/>
        <v>-103778.17670541315</v>
      </c>
      <c r="AU773" s="15">
        <f t="shared" si="484"/>
        <v>22.170849845882874</v>
      </c>
      <c r="AV773" s="75">
        <f>AU773*(1-PARAM!$C$27)*$I$14+(MOD($B773,60)=PARAM!$B$56)*($B773&gt;(60-PARAM!$B$56))*HLOOKUP(($B773+PARAM!$B$56)/12,Loyalty,2)*$F$1*MAX(AX772,0)</f>
        <v>18.557001321003963</v>
      </c>
      <c r="AW773" s="75">
        <f>PARAM!$C$26+MAX($G$14-CHOOSE(PARAM!$B$44,MAX(0,AX772*$F$1),0),0)*RATES!$L749/12+$H$14*(PARAM!$D$51/12)*RATES!$N749/100</f>
        <v>797.45833333333337</v>
      </c>
      <c r="AX773" s="16">
        <f t="shared" si="510"/>
        <v>-103778.17670541315</v>
      </c>
      <c r="AY773" s="15">
        <f t="shared" si="485"/>
        <v>22.170849845882874</v>
      </c>
      <c r="AZ773" s="75">
        <f>AY773*(1-PARAM!$C$27)*$I$15+(MOD($B773,60)=PARAM!$B$56)*($B773&gt;(60-PARAM!$B$56))*HLOOKUP(($B773+PARAM!$B$56)/12,Loyalty,2)*$F$1*MAX(BB772,0)</f>
        <v>18.557001321003963</v>
      </c>
      <c r="BA773" s="75">
        <f>PARAM!$C$26+MAX($G$15-CHOOSE(PARAM!$B$44,MAX(0,BB772*$F$1),0),0)*RATES!$L749/12+$H$15*(PARAM!$D$51/12)*RATES!$N749/100</f>
        <v>797.45833333333337</v>
      </c>
      <c r="BB773" s="16">
        <f t="shared" si="511"/>
        <v>-103778.17670541315</v>
      </c>
      <c r="BC773" s="15">
        <f t="shared" si="486"/>
        <v>22.170849845882874</v>
      </c>
      <c r="BD773" s="75">
        <f>BC773*(1-PARAM!$C$27)*$I$16+(MOD($B773,60)=PARAM!$B$56)*($B773&gt;(60-PARAM!$B$56))*HLOOKUP(($B773+PARAM!$B$56)/12,Loyalty,2)*$F$1*MAX(BF772,0)</f>
        <v>18.557001321003963</v>
      </c>
      <c r="BE773" s="75">
        <f>PARAM!$C$26+MAX($G$16-CHOOSE(PARAM!$B$44,MAX(0,BF772*$F$1),0),0)*RATES!$L749/12+$H$16*(PARAM!$D$51/12)*RATES!$N749/100</f>
        <v>797.45833333333337</v>
      </c>
      <c r="BF773" s="16">
        <f t="shared" si="512"/>
        <v>-103778.17670541315</v>
      </c>
      <c r="BG773" s="15">
        <f t="shared" si="487"/>
        <v>22.170849845882874</v>
      </c>
      <c r="BH773" s="75">
        <f>BG773*(1-PARAM!$C$27)*$I$17+(MOD($B773,60)=PARAM!$B$56)*($B773&gt;(60-PARAM!$B$56))*HLOOKUP(($B773+PARAM!$B$56)/12,Loyalty,2)*$F$1*MAX(BJ772,0)</f>
        <v>18.557001321003963</v>
      </c>
      <c r="BI773" s="75">
        <f>PARAM!$C$26+MAX($G$17-CHOOSE(PARAM!$B$44,MAX(0,BJ772*$F$1),0),0)*RATES!$L749/12+$H$17*(PARAM!$D$51/12)*RATES!$N749/100</f>
        <v>797.45833333333337</v>
      </c>
      <c r="BJ773" s="16">
        <f t="shared" si="513"/>
        <v>-103778.17670541315</v>
      </c>
      <c r="BK773" s="15">
        <f t="shared" si="488"/>
        <v>22.170849845882874</v>
      </c>
      <c r="BL773" s="75">
        <f>BK773*(1-PARAM!$C$27)*$I$18+(MOD($B773,60)=PARAM!$B$56)*($B773&gt;(60-PARAM!$B$56))*HLOOKUP(($B773+PARAM!$B$56)/12,Loyalty,2)*$F$1*MAX(BN772,0)</f>
        <v>18.557001321003963</v>
      </c>
      <c r="BM773" s="75">
        <f>PARAM!$C$26+MAX($G$18-CHOOSE(PARAM!$B$44,MAX(0,BN772*$F$1),0),0)*RATES!$L749/12+$H$18*(PARAM!$D$51/12)*RATES!$N749/100</f>
        <v>797.45833333333337</v>
      </c>
      <c r="BN773" s="16">
        <f t="shared" si="514"/>
        <v>-103778.17670541315</v>
      </c>
      <c r="BO773" s="15">
        <f t="shared" si="489"/>
        <v>22.170849845882874</v>
      </c>
      <c r="BP773" s="75">
        <f>BO773*(1-PARAM!$C$27)*$I$19+(MOD($B773,60)=PARAM!$B$56)*($B773&gt;(60-PARAM!$B$56))*HLOOKUP(($B773+PARAM!$B$56)/12,Loyalty,2)*$F$1*MAX(BR772,0)</f>
        <v>18.557001321003963</v>
      </c>
      <c r="BQ773" s="75">
        <f>PARAM!$C$26+MAX($G$19-CHOOSE(PARAM!$B$44,MAX(0,BR772*$F$1),0),0)*RATES!$L749/12+$H$19*(PARAM!$D$51/12)*RATES!$N749/100</f>
        <v>797.45833333333337</v>
      </c>
      <c r="BR773" s="16">
        <f t="shared" si="515"/>
        <v>-103778.17670541315</v>
      </c>
      <c r="BS773" s="15">
        <f t="shared" si="490"/>
        <v>22.170849845882874</v>
      </c>
      <c r="BT773" s="75">
        <f>BS773*(1-PARAM!$C$27)*$I$20+(MOD($B773,60)=PARAM!$B$56)*($B773&gt;(60-PARAM!$B$56))*HLOOKUP(($B773+PARAM!$B$56)/12,Loyalty,2)*$F$1*MAX(BV772,0)</f>
        <v>18.557001321003963</v>
      </c>
      <c r="BU773" s="75">
        <f>PARAM!$C$26+MAX($G$20-CHOOSE(PARAM!$B$44,MAX(0,BV772*$F$1),0),0)*RATES!$L749/12+$H$20*(PARAM!$D$51/12)*RATES!$N749/100</f>
        <v>797.45833333333337</v>
      </c>
      <c r="BV773" s="16">
        <f t="shared" si="516"/>
        <v>-103778.17670541315</v>
      </c>
      <c r="BW773" s="15">
        <f t="shared" si="491"/>
        <v>22.170849845882874</v>
      </c>
      <c r="BX773" s="75">
        <f>BW773*(1-PARAM!$C$27)*$I$21+(MOD($B773,60)=PARAM!$B$56)*($B773&gt;(60-PARAM!$B$56))*HLOOKUP(($B773+PARAM!$B$56)/12,Loyalty,2)*$F$1*MAX(BZ772,0)</f>
        <v>18.557001321003963</v>
      </c>
      <c r="BY773" s="75">
        <f>PARAM!$C$26+MAX($G$21-CHOOSE(PARAM!$B$44,MAX(0,BZ772*$F$1),0),0)*RATES!$L749/12+$H$21*(PARAM!$D$51/12)*RATES!$N749/100</f>
        <v>797.45833333333337</v>
      </c>
      <c r="BZ773" s="16">
        <f t="shared" si="517"/>
        <v>-103778.17670541315</v>
      </c>
      <c r="CA773" s="15">
        <f t="shared" si="492"/>
        <v>22.170849845882874</v>
      </c>
      <c r="CB773" s="75">
        <f>CA773*(1-PARAM!$C$27)*$I$22+(MOD($B773,60)=PARAM!$B$56)*($B773&gt;(60-PARAM!$B$56))*HLOOKUP(($B773+PARAM!$B$56)/12,Loyalty,2)*$F$1*MAX(CD772,0)</f>
        <v>18.557001321003963</v>
      </c>
      <c r="CC773" s="75">
        <f>PARAM!$C$26+MAX($G$22-CHOOSE(PARAM!$B$44,MAX(0,CD772*$F$1),0),0)*RATES!$L749/12+$H$22*(PARAM!$D$51/12)*RATES!$N749/100</f>
        <v>797.45833333333337</v>
      </c>
      <c r="CD773" s="16">
        <f t="shared" si="518"/>
        <v>-103778.17670541315</v>
      </c>
      <c r="CE773" s="33">
        <f>IF(0=MOD(B773,12/PARAM!$D$51),1,0)</f>
        <v>1</v>
      </c>
      <c r="CF773" s="15">
        <f t="shared" si="493"/>
        <v>0</v>
      </c>
      <c r="CG773" s="75">
        <f>CF773*(1-PARAM!$C$27)*$R$3+(MOD($B773/12,5)=0)*($B773&gt;60)*HLOOKUP($B773/12,Loyalty,2)*$F$1*MAX(CI772,0)</f>
        <v>0</v>
      </c>
      <c r="CH773" s="75">
        <f>PARAM!$C$26+MAX($P$3-CHOOSE(PARAM!$B$44,MAX(0,CI772*$F$1),0),0)*RATES!$L749/12+$Q$3*(PARAM!$D$51/12)*RATES!$N749/100</f>
        <v>797.45833333333337</v>
      </c>
      <c r="CI773" s="16">
        <f>IF(CI772&gt;0,CI772*PARAM!$C$53,CI772)+CG773-CH773</f>
        <v>-117502.12500000019</v>
      </c>
      <c r="CJ773" s="15">
        <f t="shared" si="519"/>
        <v>0</v>
      </c>
      <c r="CK773" s="75">
        <f>CJ773*(1-PARAM!$C$27)*$R$4+(MOD($B773/12,5)=0)*($B773&gt;60)*HLOOKUP($B773/12,Loyalty,2)*$F$1*MAX(CM772,0)</f>
        <v>0</v>
      </c>
      <c r="CL773" s="75">
        <f>PARAM!$C$26+MAX($P$4-CHOOSE(PARAM!$B$44,MAX(0,CM772*$F$1),0),0)*RATES!$L749/12+$Q$4*(PARAM!$D$51/12)*RATES!$N749/100</f>
        <v>797.45833333333337</v>
      </c>
      <c r="CM773" s="16">
        <f>IF(CM772&gt;0,CM772*PARAM!$C$53,CM772)+CK773-CL773</f>
        <v>-117502.12500000019</v>
      </c>
      <c r="CO773" s="176"/>
    </row>
    <row r="774" spans="1:93" x14ac:dyDescent="0.2">
      <c r="A774" t="b">
        <f t="shared" si="494"/>
        <v>0</v>
      </c>
      <c r="B774" s="33">
        <v>747</v>
      </c>
      <c r="C774" s="15">
        <f t="shared" si="495"/>
        <v>20.081305947392778</v>
      </c>
      <c r="D774" s="75">
        <f>C774*(1-PARAM!$C$27)*$I$3+(MOD($B774,60)=PARAM!$B$56)*($B774&gt;(60-PARAM!$B$56))*HLOOKUP(($B774+PARAM!$B$56)/12,Loyalty,2)*$F$1*MAX(F773,0)</f>
        <v>16.808053077967756</v>
      </c>
      <c r="E774" s="75">
        <f>PARAM!$C$26+MAX($G$3-CHOOSE(PARAM!$B$44,MAX(0,F773*$F$1),0),0)*RATES!$L750/12+$H$3*(PARAM!$D$51/12)*RATES!$N750/100</f>
        <v>797.45833333333337</v>
      </c>
      <c r="F774" s="16">
        <f t="shared" si="496"/>
        <v>-105900.39287549505</v>
      </c>
      <c r="G774" s="15">
        <f t="shared" si="497"/>
        <v>22.035289406060361</v>
      </c>
      <c r="H774" s="75">
        <f>G774*(1-PARAM!$C$27)*$I$4+(MOD($B774,60)=PARAM!$B$56)*($B774&gt;(60-PARAM!$B$56))*HLOOKUP(($B774+PARAM!$B$56)/12,Loyalty,2)*$F$1*MAX(J773,0)</f>
        <v>18.443537232872522</v>
      </c>
      <c r="I774" s="75">
        <f>PARAM!$C$26+MAX($G$4-CHOOSE(PARAM!$B$44,MAX(0,J773*$F$1),0),0)*RATES!$L750/12+$H$4*(PARAM!$D$51/12)*RATES!$N750/100</f>
        <v>797.45833333333337</v>
      </c>
      <c r="J774" s="16">
        <f t="shared" si="498"/>
        <v>-104644.85324765947</v>
      </c>
      <c r="K774" s="15">
        <f t="shared" si="499"/>
        <v>22.170849845882874</v>
      </c>
      <c r="L774" s="75">
        <f>K774*(1-PARAM!$C$27)*$I$5+(MOD($B774,60)=PARAM!$B$56)*($B774&gt;(60-PARAM!$B$56))*HLOOKUP(($B774+PARAM!$B$56)/12,Loyalty,2)*$F$1*MAX(N773,0)</f>
        <v>18.557001321003963</v>
      </c>
      <c r="M774" s="75">
        <f>PARAM!$C$26+MAX($G$5-CHOOSE(PARAM!$B$44,MAX(0,N773*$F$1),0),0)*RATES!$L750/12+$H$5*(PARAM!$D$51/12)*RATES!$N750/100</f>
        <v>797.45833333333337</v>
      </c>
      <c r="N774" s="16">
        <f t="shared" si="500"/>
        <v>-104557.07803742547</v>
      </c>
      <c r="O774" s="15">
        <f t="shared" si="501"/>
        <v>22.170849845882874</v>
      </c>
      <c r="P774" s="75">
        <f>O774*(1-PARAM!$C$27)*$I$6+(MOD($B774,60)=PARAM!$B$56)*($B774&gt;(60-PARAM!$B$56))*HLOOKUP(($B774+PARAM!$B$56)/12,Loyalty,2)*$F$1*MAX(R773,0)</f>
        <v>18.557001321003963</v>
      </c>
      <c r="Q774" s="75">
        <f>PARAM!$C$26+MAX($G$6-CHOOSE(PARAM!$B$44,MAX(0,R773*$F$1),0),0)*RATES!$L750/12+$H$6*(PARAM!$D$51/12)*RATES!$N750/100</f>
        <v>797.45833333333337</v>
      </c>
      <c r="R774" s="16">
        <f t="shared" si="502"/>
        <v>-104557.07803742547</v>
      </c>
      <c r="S774" s="15">
        <f t="shared" si="477"/>
        <v>22.170849845882874</v>
      </c>
      <c r="T774" s="75">
        <f>S774*(1-PARAM!$C$27)*$I$7+(MOD($B774,60)=PARAM!$B$56)*($B774&gt;(60-PARAM!$B$56))*HLOOKUP(($B774+PARAM!$B$56)/12,Loyalty,2)*$F$1*MAX(V773,0)</f>
        <v>18.557001321003963</v>
      </c>
      <c r="U774" s="75">
        <f>PARAM!$C$26+MAX($G$7-CHOOSE(PARAM!$B$44,MAX(0,V773*$F$1),0),0)*RATES!$L750/12+$H$7*(PARAM!$D$51/12)*RATES!$N750/100</f>
        <v>797.45833333333337</v>
      </c>
      <c r="V774" s="16">
        <f t="shared" si="503"/>
        <v>-104557.07803742547</v>
      </c>
      <c r="W774" s="15">
        <f t="shared" si="478"/>
        <v>22.170849845882874</v>
      </c>
      <c r="X774" s="75">
        <f>W774*(1-PARAM!$C$27)*$I$8+(MOD($B774,60)=PARAM!$B$56)*($B774&gt;(60-PARAM!$B$56))*HLOOKUP(($B774+PARAM!$B$56)/12,Loyalty,2)*$F$1*MAX(Z773,0)</f>
        <v>18.557001321003963</v>
      </c>
      <c r="Y774" s="75">
        <f>PARAM!$C$26+MAX($G$8-CHOOSE(PARAM!$B$44,MAX(0,Z773*$F$1),0),0)*RATES!$L750/12+$H$8*(PARAM!$D$51/12)*RATES!$N750/100</f>
        <v>797.45833333333337</v>
      </c>
      <c r="Z774" s="16">
        <f t="shared" si="504"/>
        <v>-104557.07803742547</v>
      </c>
      <c r="AA774" s="15">
        <f t="shared" si="479"/>
        <v>22.170849845882874</v>
      </c>
      <c r="AB774" s="75">
        <f>AA774*(1-PARAM!$C$27)*$I$9+(MOD($B774,60)=PARAM!$B$56)*($B774&gt;(60-PARAM!$B$56))*HLOOKUP(($B774+PARAM!$B$56)/12,Loyalty,2)*$F$1*MAX(AD773,0)</f>
        <v>18.557001321003963</v>
      </c>
      <c r="AC774" s="75">
        <f>PARAM!$C$26+MAX($G$9-CHOOSE(PARAM!$B$44,MAX(0,AD773*$F$1),0),0)*RATES!$L750/12+$H$9*(PARAM!$D$51/12)*RATES!$N750/100</f>
        <v>797.45833333333337</v>
      </c>
      <c r="AD774" s="16">
        <f t="shared" si="505"/>
        <v>-104557.07803742547</v>
      </c>
      <c r="AE774" s="15">
        <f t="shared" si="480"/>
        <v>22.170849845882874</v>
      </c>
      <c r="AF774" s="75">
        <f>AE774*(1-PARAM!$C$27)*$I$10+(MOD($B774,60)=PARAM!$B$56)*($B774&gt;(60-PARAM!$B$56))*HLOOKUP(($B774+PARAM!$B$56)/12,Loyalty,2)*$F$1*MAX(AH773,0)</f>
        <v>18.557001321003963</v>
      </c>
      <c r="AG774" s="75">
        <f>PARAM!$C$26+MAX($G$10-CHOOSE(PARAM!$B$44,MAX(0,AH773*$F$1),0),0)*RATES!$L750/12+$H$10*(PARAM!$D$51/12)*RATES!$N750/100</f>
        <v>797.45833333333337</v>
      </c>
      <c r="AH774" s="16">
        <f t="shared" si="506"/>
        <v>-104557.07803742547</v>
      </c>
      <c r="AI774" s="15">
        <f t="shared" si="481"/>
        <v>22.170849845882874</v>
      </c>
      <c r="AJ774" s="75">
        <f>AI774*(1-PARAM!$C$27)*$I$11+(MOD($B774,60)=PARAM!$B$56)*($B774&gt;(60-PARAM!$B$56))*HLOOKUP(($B774+PARAM!$B$56)/12,Loyalty,2)*$F$1*MAX(AL773,0)</f>
        <v>18.557001321003963</v>
      </c>
      <c r="AK774" s="75">
        <f>PARAM!$C$26+MAX($G$11-CHOOSE(PARAM!$B$44,MAX(0,AL773*$F$1),0),0)*RATES!$L750/12+$H$11*(PARAM!$D$51/12)*RATES!$N750/100</f>
        <v>797.45833333333337</v>
      </c>
      <c r="AL774" s="16">
        <f t="shared" si="507"/>
        <v>-104557.07803742547</v>
      </c>
      <c r="AM774" s="15">
        <f t="shared" si="482"/>
        <v>22.170849845882874</v>
      </c>
      <c r="AN774" s="75">
        <f>AM774*(1-PARAM!$C$27)*$I$12+(MOD($B774,60)=PARAM!$B$56)*($B774&gt;(60-PARAM!$B$56))*HLOOKUP(($B774+PARAM!$B$56)/12,Loyalty,2)*$F$1*MAX(AP773,0)</f>
        <v>18.557001321003963</v>
      </c>
      <c r="AO774" s="75">
        <f>PARAM!$C$26+MAX($G$12-CHOOSE(PARAM!$B$44,MAX(0,AP773*$F$1),0),0)*RATES!$L750/12+$H$12*(PARAM!$D$51/12)*RATES!$N750/100</f>
        <v>797.45833333333337</v>
      </c>
      <c r="AP774" s="16">
        <f t="shared" si="508"/>
        <v>-104557.07803742547</v>
      </c>
      <c r="AQ774" s="15">
        <f t="shared" si="483"/>
        <v>22.170849845882874</v>
      </c>
      <c r="AR774" s="75">
        <f>AQ774*(1-PARAM!$C$27)*$I$13+(MOD($B774,60)=PARAM!$B$56)*($B774&gt;(60-PARAM!$B$56))*HLOOKUP(($B774+PARAM!$B$56)/12,Loyalty,2)*$F$1*MAX(AT773,0)</f>
        <v>18.557001321003963</v>
      </c>
      <c r="AS774" s="75">
        <f>PARAM!$C$26+MAX($G$13-CHOOSE(PARAM!$B$44,MAX(0,AT773*$F$1),0),0)*RATES!$L750/12+$H$13*(PARAM!$D$51/12)*RATES!$N750/100</f>
        <v>797.45833333333337</v>
      </c>
      <c r="AT774" s="16">
        <f t="shared" si="509"/>
        <v>-104557.07803742547</v>
      </c>
      <c r="AU774" s="15">
        <f t="shared" si="484"/>
        <v>22.170849845882874</v>
      </c>
      <c r="AV774" s="75">
        <f>AU774*(1-PARAM!$C$27)*$I$14+(MOD($B774,60)=PARAM!$B$56)*($B774&gt;(60-PARAM!$B$56))*HLOOKUP(($B774+PARAM!$B$56)/12,Loyalty,2)*$F$1*MAX(AX773,0)</f>
        <v>18.557001321003963</v>
      </c>
      <c r="AW774" s="75">
        <f>PARAM!$C$26+MAX($G$14-CHOOSE(PARAM!$B$44,MAX(0,AX773*$F$1),0),0)*RATES!$L750/12+$H$14*(PARAM!$D$51/12)*RATES!$N750/100</f>
        <v>797.45833333333337</v>
      </c>
      <c r="AX774" s="16">
        <f t="shared" si="510"/>
        <v>-104557.07803742547</v>
      </c>
      <c r="AY774" s="15">
        <f t="shared" si="485"/>
        <v>22.170849845882874</v>
      </c>
      <c r="AZ774" s="75">
        <f>AY774*(1-PARAM!$C$27)*$I$15+(MOD($B774,60)=PARAM!$B$56)*($B774&gt;(60-PARAM!$B$56))*HLOOKUP(($B774+PARAM!$B$56)/12,Loyalty,2)*$F$1*MAX(BB773,0)</f>
        <v>18.557001321003963</v>
      </c>
      <c r="BA774" s="75">
        <f>PARAM!$C$26+MAX($G$15-CHOOSE(PARAM!$B$44,MAX(0,BB773*$F$1),0),0)*RATES!$L750/12+$H$15*(PARAM!$D$51/12)*RATES!$N750/100</f>
        <v>797.45833333333337</v>
      </c>
      <c r="BB774" s="16">
        <f t="shared" si="511"/>
        <v>-104557.07803742547</v>
      </c>
      <c r="BC774" s="15">
        <f t="shared" si="486"/>
        <v>22.170849845882874</v>
      </c>
      <c r="BD774" s="75">
        <f>BC774*(1-PARAM!$C$27)*$I$16+(MOD($B774,60)=PARAM!$B$56)*($B774&gt;(60-PARAM!$B$56))*HLOOKUP(($B774+PARAM!$B$56)/12,Loyalty,2)*$F$1*MAX(BF773,0)</f>
        <v>18.557001321003963</v>
      </c>
      <c r="BE774" s="75">
        <f>PARAM!$C$26+MAX($G$16-CHOOSE(PARAM!$B$44,MAX(0,BF773*$F$1),0),0)*RATES!$L750/12+$H$16*(PARAM!$D$51/12)*RATES!$N750/100</f>
        <v>797.45833333333337</v>
      </c>
      <c r="BF774" s="16">
        <f t="shared" si="512"/>
        <v>-104557.07803742547</v>
      </c>
      <c r="BG774" s="15">
        <f t="shared" si="487"/>
        <v>22.170849845882874</v>
      </c>
      <c r="BH774" s="75">
        <f>BG774*(1-PARAM!$C$27)*$I$17+(MOD($B774,60)=PARAM!$B$56)*($B774&gt;(60-PARAM!$B$56))*HLOOKUP(($B774+PARAM!$B$56)/12,Loyalty,2)*$F$1*MAX(BJ773,0)</f>
        <v>18.557001321003963</v>
      </c>
      <c r="BI774" s="75">
        <f>PARAM!$C$26+MAX($G$17-CHOOSE(PARAM!$B$44,MAX(0,BJ773*$F$1),0),0)*RATES!$L750/12+$H$17*(PARAM!$D$51/12)*RATES!$N750/100</f>
        <v>797.45833333333337</v>
      </c>
      <c r="BJ774" s="16">
        <f t="shared" si="513"/>
        <v>-104557.07803742547</v>
      </c>
      <c r="BK774" s="15">
        <f t="shared" si="488"/>
        <v>22.170849845882874</v>
      </c>
      <c r="BL774" s="75">
        <f>BK774*(1-PARAM!$C$27)*$I$18+(MOD($B774,60)=PARAM!$B$56)*($B774&gt;(60-PARAM!$B$56))*HLOOKUP(($B774+PARAM!$B$56)/12,Loyalty,2)*$F$1*MAX(BN773,0)</f>
        <v>18.557001321003963</v>
      </c>
      <c r="BM774" s="75">
        <f>PARAM!$C$26+MAX($G$18-CHOOSE(PARAM!$B$44,MAX(0,BN773*$F$1),0),0)*RATES!$L750/12+$H$18*(PARAM!$D$51/12)*RATES!$N750/100</f>
        <v>797.45833333333337</v>
      </c>
      <c r="BN774" s="16">
        <f t="shared" si="514"/>
        <v>-104557.07803742547</v>
      </c>
      <c r="BO774" s="15">
        <f t="shared" si="489"/>
        <v>22.170849845882874</v>
      </c>
      <c r="BP774" s="75">
        <f>BO774*(1-PARAM!$C$27)*$I$19+(MOD($B774,60)=PARAM!$B$56)*($B774&gt;(60-PARAM!$B$56))*HLOOKUP(($B774+PARAM!$B$56)/12,Loyalty,2)*$F$1*MAX(BR773,0)</f>
        <v>18.557001321003963</v>
      </c>
      <c r="BQ774" s="75">
        <f>PARAM!$C$26+MAX($G$19-CHOOSE(PARAM!$B$44,MAX(0,BR773*$F$1),0),0)*RATES!$L750/12+$H$19*(PARAM!$D$51/12)*RATES!$N750/100</f>
        <v>797.45833333333337</v>
      </c>
      <c r="BR774" s="16">
        <f t="shared" si="515"/>
        <v>-104557.07803742547</v>
      </c>
      <c r="BS774" s="15">
        <f t="shared" si="490"/>
        <v>22.170849845882874</v>
      </c>
      <c r="BT774" s="75">
        <f>BS774*(1-PARAM!$C$27)*$I$20+(MOD($B774,60)=PARAM!$B$56)*($B774&gt;(60-PARAM!$B$56))*HLOOKUP(($B774+PARAM!$B$56)/12,Loyalty,2)*$F$1*MAX(BV773,0)</f>
        <v>18.557001321003963</v>
      </c>
      <c r="BU774" s="75">
        <f>PARAM!$C$26+MAX($G$20-CHOOSE(PARAM!$B$44,MAX(0,BV773*$F$1),0),0)*RATES!$L750/12+$H$20*(PARAM!$D$51/12)*RATES!$N750/100</f>
        <v>797.45833333333337</v>
      </c>
      <c r="BV774" s="16">
        <f t="shared" si="516"/>
        <v>-104557.07803742547</v>
      </c>
      <c r="BW774" s="15">
        <f t="shared" si="491"/>
        <v>22.170849845882874</v>
      </c>
      <c r="BX774" s="75">
        <f>BW774*(1-PARAM!$C$27)*$I$21+(MOD($B774,60)=PARAM!$B$56)*($B774&gt;(60-PARAM!$B$56))*HLOOKUP(($B774+PARAM!$B$56)/12,Loyalty,2)*$F$1*MAX(BZ773,0)</f>
        <v>18.557001321003963</v>
      </c>
      <c r="BY774" s="75">
        <f>PARAM!$C$26+MAX($G$21-CHOOSE(PARAM!$B$44,MAX(0,BZ773*$F$1),0),0)*RATES!$L750/12+$H$21*(PARAM!$D$51/12)*RATES!$N750/100</f>
        <v>797.45833333333337</v>
      </c>
      <c r="BZ774" s="16">
        <f t="shared" si="517"/>
        <v>-104557.07803742547</v>
      </c>
      <c r="CA774" s="15">
        <f t="shared" si="492"/>
        <v>22.170849845882874</v>
      </c>
      <c r="CB774" s="75">
        <f>CA774*(1-PARAM!$C$27)*$I$22+(MOD($B774,60)=PARAM!$B$56)*($B774&gt;(60-PARAM!$B$56))*HLOOKUP(($B774+PARAM!$B$56)/12,Loyalty,2)*$F$1*MAX(CD773,0)</f>
        <v>18.557001321003963</v>
      </c>
      <c r="CC774" s="75">
        <f>PARAM!$C$26+MAX($G$22-CHOOSE(PARAM!$B$44,MAX(0,CD773*$F$1),0),0)*RATES!$L750/12+$H$22*(PARAM!$D$51/12)*RATES!$N750/100</f>
        <v>797.45833333333337</v>
      </c>
      <c r="CD774" s="16">
        <f t="shared" si="518"/>
        <v>-104557.07803742547</v>
      </c>
      <c r="CE774" s="33">
        <f>IF(0=MOD(B774,12/PARAM!$D$51),1,0)</f>
        <v>1</v>
      </c>
      <c r="CF774" s="15">
        <f t="shared" si="493"/>
        <v>0</v>
      </c>
      <c r="CG774" s="75">
        <f>CF774*(1-PARAM!$C$27)*$R$3+(MOD($B774/12,5)=0)*($B774&gt;60)*HLOOKUP($B774/12,Loyalty,2)*$F$1*MAX(CI773,0)</f>
        <v>0</v>
      </c>
      <c r="CH774" s="75">
        <f>PARAM!$C$26+MAX($P$3-CHOOSE(PARAM!$B$44,MAX(0,CI773*$F$1),0),0)*RATES!$L750/12+$Q$3*(PARAM!$D$51/12)*RATES!$N750/100</f>
        <v>797.45833333333337</v>
      </c>
      <c r="CI774" s="16">
        <f>IF(CI773&gt;0,CI773*PARAM!$C$53,CI773)+CG774-CH774</f>
        <v>-118299.58333333352</v>
      </c>
      <c r="CJ774" s="15">
        <f t="shared" si="519"/>
        <v>0</v>
      </c>
      <c r="CK774" s="75">
        <f>CJ774*(1-PARAM!$C$27)*$R$4+(MOD($B774/12,5)=0)*($B774&gt;60)*HLOOKUP($B774/12,Loyalty,2)*$F$1*MAX(CM773,0)</f>
        <v>0</v>
      </c>
      <c r="CL774" s="75">
        <f>PARAM!$C$26+MAX($P$4-CHOOSE(PARAM!$B$44,MAX(0,CM773*$F$1),0),0)*RATES!$L750/12+$Q$4*(PARAM!$D$51/12)*RATES!$N750/100</f>
        <v>797.45833333333337</v>
      </c>
      <c r="CM774" s="16">
        <f>IF(CM773&gt;0,CM773*PARAM!$C$53,CM773)+CK774-CL774</f>
        <v>-118299.58333333352</v>
      </c>
      <c r="CO774" s="176"/>
    </row>
    <row r="775" spans="1:93" x14ac:dyDescent="0.2">
      <c r="A775" t="b">
        <f t="shared" si="494"/>
        <v>0</v>
      </c>
      <c r="B775" s="33">
        <v>748</v>
      </c>
      <c r="C775" s="15">
        <f t="shared" si="495"/>
        <v>20.081305947392778</v>
      </c>
      <c r="D775" s="75">
        <f>C775*(1-PARAM!$C$27)*$I$3+(MOD($B775,60)=PARAM!$B$56)*($B775&gt;(60-PARAM!$B$56))*HLOOKUP(($B775+PARAM!$B$56)/12,Loyalty,2)*$F$1*MAX(F774,0)</f>
        <v>16.808053077967756</v>
      </c>
      <c r="E775" s="75">
        <f>PARAM!$C$26+MAX($G$3-CHOOSE(PARAM!$B$44,MAX(0,F774*$F$1),0),0)*RATES!$L751/12+$H$3*(PARAM!$D$51/12)*RATES!$N751/100</f>
        <v>797.45833333333337</v>
      </c>
      <c r="F775" s="16">
        <f t="shared" si="496"/>
        <v>-106681.04315575041</v>
      </c>
      <c r="G775" s="15">
        <f t="shared" si="497"/>
        <v>22.035289406060361</v>
      </c>
      <c r="H775" s="75">
        <f>G775*(1-PARAM!$C$27)*$I$4+(MOD($B775,60)=PARAM!$B$56)*($B775&gt;(60-PARAM!$B$56))*HLOOKUP(($B775+PARAM!$B$56)/12,Loyalty,2)*$F$1*MAX(J774,0)</f>
        <v>18.443537232872522</v>
      </c>
      <c r="I775" s="75">
        <f>PARAM!$C$26+MAX($G$4-CHOOSE(PARAM!$B$44,MAX(0,J774*$F$1),0),0)*RATES!$L751/12+$H$4*(PARAM!$D$51/12)*RATES!$N751/100</f>
        <v>797.45833333333337</v>
      </c>
      <c r="J775" s="16">
        <f t="shared" si="498"/>
        <v>-105423.86804375993</v>
      </c>
      <c r="K775" s="15">
        <f t="shared" si="499"/>
        <v>22.170849845882874</v>
      </c>
      <c r="L775" s="75">
        <f>K775*(1-PARAM!$C$27)*$I$5+(MOD($B775,60)=PARAM!$B$56)*($B775&gt;(60-PARAM!$B$56))*HLOOKUP(($B775+PARAM!$B$56)/12,Loyalty,2)*$F$1*MAX(N774,0)</f>
        <v>18.557001321003963</v>
      </c>
      <c r="M775" s="75">
        <f>PARAM!$C$26+MAX($G$5-CHOOSE(PARAM!$B$44,MAX(0,N774*$F$1),0),0)*RATES!$L751/12+$H$5*(PARAM!$D$51/12)*RATES!$N751/100</f>
        <v>797.45833333333337</v>
      </c>
      <c r="N775" s="16">
        <f t="shared" si="500"/>
        <v>-105335.97936943779</v>
      </c>
      <c r="O775" s="15">
        <f t="shared" si="501"/>
        <v>22.170849845882874</v>
      </c>
      <c r="P775" s="75">
        <f>O775*(1-PARAM!$C$27)*$I$6+(MOD($B775,60)=PARAM!$B$56)*($B775&gt;(60-PARAM!$B$56))*HLOOKUP(($B775+PARAM!$B$56)/12,Loyalty,2)*$F$1*MAX(R774,0)</f>
        <v>18.557001321003963</v>
      </c>
      <c r="Q775" s="75">
        <f>PARAM!$C$26+MAX($G$6-CHOOSE(PARAM!$B$44,MAX(0,R774*$F$1),0),0)*RATES!$L751/12+$H$6*(PARAM!$D$51/12)*RATES!$N751/100</f>
        <v>797.45833333333337</v>
      </c>
      <c r="R775" s="16">
        <f t="shared" si="502"/>
        <v>-105335.97936943779</v>
      </c>
      <c r="S775" s="15">
        <f t="shared" si="477"/>
        <v>22.170849845882874</v>
      </c>
      <c r="T775" s="75">
        <f>S775*(1-PARAM!$C$27)*$I$7+(MOD($B775,60)=PARAM!$B$56)*($B775&gt;(60-PARAM!$B$56))*HLOOKUP(($B775+PARAM!$B$56)/12,Loyalty,2)*$F$1*MAX(V774,0)</f>
        <v>18.557001321003963</v>
      </c>
      <c r="U775" s="75">
        <f>PARAM!$C$26+MAX($G$7-CHOOSE(PARAM!$B$44,MAX(0,V774*$F$1),0),0)*RATES!$L751/12+$H$7*(PARAM!$D$51/12)*RATES!$N751/100</f>
        <v>797.45833333333337</v>
      </c>
      <c r="V775" s="16">
        <f t="shared" si="503"/>
        <v>-105335.97936943779</v>
      </c>
      <c r="W775" s="15">
        <f t="shared" si="478"/>
        <v>22.170849845882874</v>
      </c>
      <c r="X775" s="75">
        <f>W775*(1-PARAM!$C$27)*$I$8+(MOD($B775,60)=PARAM!$B$56)*($B775&gt;(60-PARAM!$B$56))*HLOOKUP(($B775+PARAM!$B$56)/12,Loyalty,2)*$F$1*MAX(Z774,0)</f>
        <v>18.557001321003963</v>
      </c>
      <c r="Y775" s="75">
        <f>PARAM!$C$26+MAX($G$8-CHOOSE(PARAM!$B$44,MAX(0,Z774*$F$1),0),0)*RATES!$L751/12+$H$8*(PARAM!$D$51/12)*RATES!$N751/100</f>
        <v>797.45833333333337</v>
      </c>
      <c r="Z775" s="16">
        <f t="shared" si="504"/>
        <v>-105335.97936943779</v>
      </c>
      <c r="AA775" s="15">
        <f t="shared" si="479"/>
        <v>22.170849845882874</v>
      </c>
      <c r="AB775" s="75">
        <f>AA775*(1-PARAM!$C$27)*$I$9+(MOD($B775,60)=PARAM!$B$56)*($B775&gt;(60-PARAM!$B$56))*HLOOKUP(($B775+PARAM!$B$56)/12,Loyalty,2)*$F$1*MAX(AD774,0)</f>
        <v>18.557001321003963</v>
      </c>
      <c r="AC775" s="75">
        <f>PARAM!$C$26+MAX($G$9-CHOOSE(PARAM!$B$44,MAX(0,AD774*$F$1),0),0)*RATES!$L751/12+$H$9*(PARAM!$D$51/12)*RATES!$N751/100</f>
        <v>797.45833333333337</v>
      </c>
      <c r="AD775" s="16">
        <f t="shared" si="505"/>
        <v>-105335.97936943779</v>
      </c>
      <c r="AE775" s="15">
        <f t="shared" si="480"/>
        <v>22.170849845882874</v>
      </c>
      <c r="AF775" s="75">
        <f>AE775*(1-PARAM!$C$27)*$I$10+(MOD($B775,60)=PARAM!$B$56)*($B775&gt;(60-PARAM!$B$56))*HLOOKUP(($B775+PARAM!$B$56)/12,Loyalty,2)*$F$1*MAX(AH774,0)</f>
        <v>18.557001321003963</v>
      </c>
      <c r="AG775" s="75">
        <f>PARAM!$C$26+MAX($G$10-CHOOSE(PARAM!$B$44,MAX(0,AH774*$F$1),0),0)*RATES!$L751/12+$H$10*(PARAM!$D$51/12)*RATES!$N751/100</f>
        <v>797.45833333333337</v>
      </c>
      <c r="AH775" s="16">
        <f t="shared" si="506"/>
        <v>-105335.97936943779</v>
      </c>
      <c r="AI775" s="15">
        <f t="shared" si="481"/>
        <v>22.170849845882874</v>
      </c>
      <c r="AJ775" s="75">
        <f>AI775*(1-PARAM!$C$27)*$I$11+(MOD($B775,60)=PARAM!$B$56)*($B775&gt;(60-PARAM!$B$56))*HLOOKUP(($B775+PARAM!$B$56)/12,Loyalty,2)*$F$1*MAX(AL774,0)</f>
        <v>18.557001321003963</v>
      </c>
      <c r="AK775" s="75">
        <f>PARAM!$C$26+MAX($G$11-CHOOSE(PARAM!$B$44,MAX(0,AL774*$F$1),0),0)*RATES!$L751/12+$H$11*(PARAM!$D$51/12)*RATES!$N751/100</f>
        <v>797.45833333333337</v>
      </c>
      <c r="AL775" s="16">
        <f t="shared" si="507"/>
        <v>-105335.97936943779</v>
      </c>
      <c r="AM775" s="15">
        <f t="shared" si="482"/>
        <v>22.170849845882874</v>
      </c>
      <c r="AN775" s="75">
        <f>AM775*(1-PARAM!$C$27)*$I$12+(MOD($B775,60)=PARAM!$B$56)*($B775&gt;(60-PARAM!$B$56))*HLOOKUP(($B775+PARAM!$B$56)/12,Loyalty,2)*$F$1*MAX(AP774,0)</f>
        <v>18.557001321003963</v>
      </c>
      <c r="AO775" s="75">
        <f>PARAM!$C$26+MAX($G$12-CHOOSE(PARAM!$B$44,MAX(0,AP774*$F$1),0),0)*RATES!$L751/12+$H$12*(PARAM!$D$51/12)*RATES!$N751/100</f>
        <v>797.45833333333337</v>
      </c>
      <c r="AP775" s="16">
        <f t="shared" si="508"/>
        <v>-105335.97936943779</v>
      </c>
      <c r="AQ775" s="15">
        <f t="shared" si="483"/>
        <v>22.170849845882874</v>
      </c>
      <c r="AR775" s="75">
        <f>AQ775*(1-PARAM!$C$27)*$I$13+(MOD($B775,60)=PARAM!$B$56)*($B775&gt;(60-PARAM!$B$56))*HLOOKUP(($B775+PARAM!$B$56)/12,Loyalty,2)*$F$1*MAX(AT774,0)</f>
        <v>18.557001321003963</v>
      </c>
      <c r="AS775" s="75">
        <f>PARAM!$C$26+MAX($G$13-CHOOSE(PARAM!$B$44,MAX(0,AT774*$F$1),0),0)*RATES!$L751/12+$H$13*(PARAM!$D$51/12)*RATES!$N751/100</f>
        <v>797.45833333333337</v>
      </c>
      <c r="AT775" s="16">
        <f t="shared" si="509"/>
        <v>-105335.97936943779</v>
      </c>
      <c r="AU775" s="15">
        <f t="shared" si="484"/>
        <v>22.170849845882874</v>
      </c>
      <c r="AV775" s="75">
        <f>AU775*(1-PARAM!$C$27)*$I$14+(MOD($B775,60)=PARAM!$B$56)*($B775&gt;(60-PARAM!$B$56))*HLOOKUP(($B775+PARAM!$B$56)/12,Loyalty,2)*$F$1*MAX(AX774,0)</f>
        <v>18.557001321003963</v>
      </c>
      <c r="AW775" s="75">
        <f>PARAM!$C$26+MAX($G$14-CHOOSE(PARAM!$B$44,MAX(0,AX774*$F$1),0),0)*RATES!$L751/12+$H$14*(PARAM!$D$51/12)*RATES!$N751/100</f>
        <v>797.45833333333337</v>
      </c>
      <c r="AX775" s="16">
        <f t="shared" si="510"/>
        <v>-105335.97936943779</v>
      </c>
      <c r="AY775" s="15">
        <f t="shared" si="485"/>
        <v>22.170849845882874</v>
      </c>
      <c r="AZ775" s="75">
        <f>AY775*(1-PARAM!$C$27)*$I$15+(MOD($B775,60)=PARAM!$B$56)*($B775&gt;(60-PARAM!$B$56))*HLOOKUP(($B775+PARAM!$B$56)/12,Loyalty,2)*$F$1*MAX(BB774,0)</f>
        <v>18.557001321003963</v>
      </c>
      <c r="BA775" s="75">
        <f>PARAM!$C$26+MAX($G$15-CHOOSE(PARAM!$B$44,MAX(0,BB774*$F$1),0),0)*RATES!$L751/12+$H$15*(PARAM!$D$51/12)*RATES!$N751/100</f>
        <v>797.45833333333337</v>
      </c>
      <c r="BB775" s="16">
        <f t="shared" si="511"/>
        <v>-105335.97936943779</v>
      </c>
      <c r="BC775" s="15">
        <f t="shared" si="486"/>
        <v>22.170849845882874</v>
      </c>
      <c r="BD775" s="75">
        <f>BC775*(1-PARAM!$C$27)*$I$16+(MOD($B775,60)=PARAM!$B$56)*($B775&gt;(60-PARAM!$B$56))*HLOOKUP(($B775+PARAM!$B$56)/12,Loyalty,2)*$F$1*MAX(BF774,0)</f>
        <v>18.557001321003963</v>
      </c>
      <c r="BE775" s="75">
        <f>PARAM!$C$26+MAX($G$16-CHOOSE(PARAM!$B$44,MAX(0,BF774*$F$1),0),0)*RATES!$L751/12+$H$16*(PARAM!$D$51/12)*RATES!$N751/100</f>
        <v>797.45833333333337</v>
      </c>
      <c r="BF775" s="16">
        <f t="shared" si="512"/>
        <v>-105335.97936943779</v>
      </c>
      <c r="BG775" s="15">
        <f t="shared" si="487"/>
        <v>22.170849845882874</v>
      </c>
      <c r="BH775" s="75">
        <f>BG775*(1-PARAM!$C$27)*$I$17+(MOD($B775,60)=PARAM!$B$56)*($B775&gt;(60-PARAM!$B$56))*HLOOKUP(($B775+PARAM!$B$56)/12,Loyalty,2)*$F$1*MAX(BJ774,0)</f>
        <v>18.557001321003963</v>
      </c>
      <c r="BI775" s="75">
        <f>PARAM!$C$26+MAX($G$17-CHOOSE(PARAM!$B$44,MAX(0,BJ774*$F$1),0),0)*RATES!$L751/12+$H$17*(PARAM!$D$51/12)*RATES!$N751/100</f>
        <v>797.45833333333337</v>
      </c>
      <c r="BJ775" s="16">
        <f t="shared" si="513"/>
        <v>-105335.97936943779</v>
      </c>
      <c r="BK775" s="15">
        <f t="shared" si="488"/>
        <v>22.170849845882874</v>
      </c>
      <c r="BL775" s="75">
        <f>BK775*(1-PARAM!$C$27)*$I$18+(MOD($B775,60)=PARAM!$B$56)*($B775&gt;(60-PARAM!$B$56))*HLOOKUP(($B775+PARAM!$B$56)/12,Loyalty,2)*$F$1*MAX(BN774,0)</f>
        <v>18.557001321003963</v>
      </c>
      <c r="BM775" s="75">
        <f>PARAM!$C$26+MAX($G$18-CHOOSE(PARAM!$B$44,MAX(0,BN774*$F$1),0),0)*RATES!$L751/12+$H$18*(PARAM!$D$51/12)*RATES!$N751/100</f>
        <v>797.45833333333337</v>
      </c>
      <c r="BN775" s="16">
        <f t="shared" si="514"/>
        <v>-105335.97936943779</v>
      </c>
      <c r="BO775" s="15">
        <f t="shared" si="489"/>
        <v>22.170849845882874</v>
      </c>
      <c r="BP775" s="75">
        <f>BO775*(1-PARAM!$C$27)*$I$19+(MOD($B775,60)=PARAM!$B$56)*($B775&gt;(60-PARAM!$B$56))*HLOOKUP(($B775+PARAM!$B$56)/12,Loyalty,2)*$F$1*MAX(BR774,0)</f>
        <v>18.557001321003963</v>
      </c>
      <c r="BQ775" s="75">
        <f>PARAM!$C$26+MAX($G$19-CHOOSE(PARAM!$B$44,MAX(0,BR774*$F$1),0),0)*RATES!$L751/12+$H$19*(PARAM!$D$51/12)*RATES!$N751/100</f>
        <v>797.45833333333337</v>
      </c>
      <c r="BR775" s="16">
        <f t="shared" si="515"/>
        <v>-105335.97936943779</v>
      </c>
      <c r="BS775" s="15">
        <f t="shared" si="490"/>
        <v>22.170849845882874</v>
      </c>
      <c r="BT775" s="75">
        <f>BS775*(1-PARAM!$C$27)*$I$20+(MOD($B775,60)=PARAM!$B$56)*($B775&gt;(60-PARAM!$B$56))*HLOOKUP(($B775+PARAM!$B$56)/12,Loyalty,2)*$F$1*MAX(BV774,0)</f>
        <v>18.557001321003963</v>
      </c>
      <c r="BU775" s="75">
        <f>PARAM!$C$26+MAX($G$20-CHOOSE(PARAM!$B$44,MAX(0,BV774*$F$1),0),0)*RATES!$L751/12+$H$20*(PARAM!$D$51/12)*RATES!$N751/100</f>
        <v>797.45833333333337</v>
      </c>
      <c r="BV775" s="16">
        <f t="shared" si="516"/>
        <v>-105335.97936943779</v>
      </c>
      <c r="BW775" s="15">
        <f t="shared" si="491"/>
        <v>22.170849845882874</v>
      </c>
      <c r="BX775" s="75">
        <f>BW775*(1-PARAM!$C$27)*$I$21+(MOD($B775,60)=PARAM!$B$56)*($B775&gt;(60-PARAM!$B$56))*HLOOKUP(($B775+PARAM!$B$56)/12,Loyalty,2)*$F$1*MAX(BZ774,0)</f>
        <v>18.557001321003963</v>
      </c>
      <c r="BY775" s="75">
        <f>PARAM!$C$26+MAX($G$21-CHOOSE(PARAM!$B$44,MAX(0,BZ774*$F$1),0),0)*RATES!$L751/12+$H$21*(PARAM!$D$51/12)*RATES!$N751/100</f>
        <v>797.45833333333337</v>
      </c>
      <c r="BZ775" s="16">
        <f t="shared" si="517"/>
        <v>-105335.97936943779</v>
      </c>
      <c r="CA775" s="15">
        <f t="shared" si="492"/>
        <v>22.170849845882874</v>
      </c>
      <c r="CB775" s="75">
        <f>CA775*(1-PARAM!$C$27)*$I$22+(MOD($B775,60)=PARAM!$B$56)*($B775&gt;(60-PARAM!$B$56))*HLOOKUP(($B775+PARAM!$B$56)/12,Loyalty,2)*$F$1*MAX(CD774,0)</f>
        <v>18.557001321003963</v>
      </c>
      <c r="CC775" s="75">
        <f>PARAM!$C$26+MAX($G$22-CHOOSE(PARAM!$B$44,MAX(0,CD774*$F$1),0),0)*RATES!$L751/12+$H$22*(PARAM!$D$51/12)*RATES!$N751/100</f>
        <v>797.45833333333337</v>
      </c>
      <c r="CD775" s="16">
        <f t="shared" si="518"/>
        <v>-105335.97936943779</v>
      </c>
      <c r="CE775" s="33">
        <f>IF(0=MOD(B775,12/PARAM!$D$51),1,0)</f>
        <v>1</v>
      </c>
      <c r="CF775" s="15">
        <f t="shared" si="493"/>
        <v>0</v>
      </c>
      <c r="CG775" s="75">
        <f>CF775*(1-PARAM!$C$27)*$R$3+(MOD($B775/12,5)=0)*($B775&gt;60)*HLOOKUP($B775/12,Loyalty,2)*$F$1*MAX(CI774,0)</f>
        <v>0</v>
      </c>
      <c r="CH775" s="75">
        <f>PARAM!$C$26+MAX($P$3-CHOOSE(PARAM!$B$44,MAX(0,CI774*$F$1),0),0)*RATES!$L751/12+$Q$3*(PARAM!$D$51/12)*RATES!$N751/100</f>
        <v>797.45833333333337</v>
      </c>
      <c r="CI775" s="16">
        <f>IF(CI774&gt;0,CI774*PARAM!$C$53,CI774)+CG775-CH775</f>
        <v>-119097.04166666685</v>
      </c>
      <c r="CJ775" s="15">
        <f t="shared" si="519"/>
        <v>0</v>
      </c>
      <c r="CK775" s="75">
        <f>CJ775*(1-PARAM!$C$27)*$R$4+(MOD($B775/12,5)=0)*($B775&gt;60)*HLOOKUP($B775/12,Loyalty,2)*$F$1*MAX(CM774,0)</f>
        <v>0</v>
      </c>
      <c r="CL775" s="75">
        <f>PARAM!$C$26+MAX($P$4-CHOOSE(PARAM!$B$44,MAX(0,CM774*$F$1),0),0)*RATES!$L751/12+$Q$4*(PARAM!$D$51/12)*RATES!$N751/100</f>
        <v>797.45833333333337</v>
      </c>
      <c r="CM775" s="16">
        <f>IF(CM774&gt;0,CM774*PARAM!$C$53,CM774)+CK775-CL775</f>
        <v>-119097.04166666685</v>
      </c>
      <c r="CO775" s="176"/>
    </row>
    <row r="776" spans="1:93" x14ac:dyDescent="0.2">
      <c r="A776" t="b">
        <f t="shared" si="494"/>
        <v>0</v>
      </c>
      <c r="B776" s="33">
        <v>749</v>
      </c>
      <c r="C776" s="15">
        <f t="shared" si="495"/>
        <v>20.081305947392778</v>
      </c>
      <c r="D776" s="75">
        <f>C776*(1-PARAM!$C$27)*$I$3+(MOD($B776,60)=PARAM!$B$56)*($B776&gt;(60-PARAM!$B$56))*HLOOKUP(($B776+PARAM!$B$56)/12,Loyalty,2)*$F$1*MAX(F775,0)</f>
        <v>16.808053077967756</v>
      </c>
      <c r="E776" s="75">
        <f>PARAM!$C$26+MAX($G$3-CHOOSE(PARAM!$B$44,MAX(0,F775*$F$1),0),0)*RATES!$L752/12+$H$3*(PARAM!$D$51/12)*RATES!$N752/100</f>
        <v>797.45833333333337</v>
      </c>
      <c r="F776" s="16">
        <f t="shared" si="496"/>
        <v>-107461.69343600576</v>
      </c>
      <c r="G776" s="15">
        <f t="shared" si="497"/>
        <v>22.035289406060361</v>
      </c>
      <c r="H776" s="75">
        <f>G776*(1-PARAM!$C$27)*$I$4+(MOD($B776,60)=PARAM!$B$56)*($B776&gt;(60-PARAM!$B$56))*HLOOKUP(($B776+PARAM!$B$56)/12,Loyalty,2)*$F$1*MAX(J775,0)</f>
        <v>18.443537232872522</v>
      </c>
      <c r="I776" s="75">
        <f>PARAM!$C$26+MAX($G$4-CHOOSE(PARAM!$B$44,MAX(0,J775*$F$1),0),0)*RATES!$L752/12+$H$4*(PARAM!$D$51/12)*RATES!$N752/100</f>
        <v>797.45833333333337</v>
      </c>
      <c r="J776" s="16">
        <f t="shared" si="498"/>
        <v>-106202.88283986038</v>
      </c>
      <c r="K776" s="15">
        <f t="shared" si="499"/>
        <v>22.170849845882874</v>
      </c>
      <c r="L776" s="75">
        <f>K776*(1-PARAM!$C$27)*$I$5+(MOD($B776,60)=PARAM!$B$56)*($B776&gt;(60-PARAM!$B$56))*HLOOKUP(($B776+PARAM!$B$56)/12,Loyalty,2)*$F$1*MAX(N775,0)</f>
        <v>18.557001321003963</v>
      </c>
      <c r="M776" s="75">
        <f>PARAM!$C$26+MAX($G$5-CHOOSE(PARAM!$B$44,MAX(0,N775*$F$1),0),0)*RATES!$L752/12+$H$5*(PARAM!$D$51/12)*RATES!$N752/100</f>
        <v>797.45833333333337</v>
      </c>
      <c r="N776" s="16">
        <f t="shared" si="500"/>
        <v>-106114.88070145011</v>
      </c>
      <c r="O776" s="15">
        <f t="shared" si="501"/>
        <v>22.170849845882874</v>
      </c>
      <c r="P776" s="75">
        <f>O776*(1-PARAM!$C$27)*$I$6+(MOD($B776,60)=PARAM!$B$56)*($B776&gt;(60-PARAM!$B$56))*HLOOKUP(($B776+PARAM!$B$56)/12,Loyalty,2)*$F$1*MAX(R775,0)</f>
        <v>18.557001321003963</v>
      </c>
      <c r="Q776" s="75">
        <f>PARAM!$C$26+MAX($G$6-CHOOSE(PARAM!$B$44,MAX(0,R775*$F$1),0),0)*RATES!$L752/12+$H$6*(PARAM!$D$51/12)*RATES!$N752/100</f>
        <v>797.45833333333337</v>
      </c>
      <c r="R776" s="16">
        <f t="shared" si="502"/>
        <v>-106114.88070145011</v>
      </c>
      <c r="S776" s="15">
        <f t="shared" si="477"/>
        <v>22.170849845882874</v>
      </c>
      <c r="T776" s="75">
        <f>S776*(1-PARAM!$C$27)*$I$7+(MOD($B776,60)=PARAM!$B$56)*($B776&gt;(60-PARAM!$B$56))*HLOOKUP(($B776+PARAM!$B$56)/12,Loyalty,2)*$F$1*MAX(V775,0)</f>
        <v>18.557001321003963</v>
      </c>
      <c r="U776" s="75">
        <f>PARAM!$C$26+MAX($G$7-CHOOSE(PARAM!$B$44,MAX(0,V775*$F$1),0),0)*RATES!$L752/12+$H$7*(PARAM!$D$51/12)*RATES!$N752/100</f>
        <v>797.45833333333337</v>
      </c>
      <c r="V776" s="16">
        <f t="shared" si="503"/>
        <v>-106114.88070145011</v>
      </c>
      <c r="W776" s="15">
        <f t="shared" si="478"/>
        <v>22.170849845882874</v>
      </c>
      <c r="X776" s="75">
        <f>W776*(1-PARAM!$C$27)*$I$8+(MOD($B776,60)=PARAM!$B$56)*($B776&gt;(60-PARAM!$B$56))*HLOOKUP(($B776+PARAM!$B$56)/12,Loyalty,2)*$F$1*MAX(Z775,0)</f>
        <v>18.557001321003963</v>
      </c>
      <c r="Y776" s="75">
        <f>PARAM!$C$26+MAX($G$8-CHOOSE(PARAM!$B$44,MAX(0,Z775*$F$1),0),0)*RATES!$L752/12+$H$8*(PARAM!$D$51/12)*RATES!$N752/100</f>
        <v>797.45833333333337</v>
      </c>
      <c r="Z776" s="16">
        <f t="shared" si="504"/>
        <v>-106114.88070145011</v>
      </c>
      <c r="AA776" s="15">
        <f t="shared" si="479"/>
        <v>22.170849845882874</v>
      </c>
      <c r="AB776" s="75">
        <f>AA776*(1-PARAM!$C$27)*$I$9+(MOD($B776,60)=PARAM!$B$56)*($B776&gt;(60-PARAM!$B$56))*HLOOKUP(($B776+PARAM!$B$56)/12,Loyalty,2)*$F$1*MAX(AD775,0)</f>
        <v>18.557001321003963</v>
      </c>
      <c r="AC776" s="75">
        <f>PARAM!$C$26+MAX($G$9-CHOOSE(PARAM!$B$44,MAX(0,AD775*$F$1),0),0)*RATES!$L752/12+$H$9*(PARAM!$D$51/12)*RATES!$N752/100</f>
        <v>797.45833333333337</v>
      </c>
      <c r="AD776" s="16">
        <f t="shared" si="505"/>
        <v>-106114.88070145011</v>
      </c>
      <c r="AE776" s="15">
        <f t="shared" si="480"/>
        <v>22.170849845882874</v>
      </c>
      <c r="AF776" s="75">
        <f>AE776*(1-PARAM!$C$27)*$I$10+(MOD($B776,60)=PARAM!$B$56)*($B776&gt;(60-PARAM!$B$56))*HLOOKUP(($B776+PARAM!$B$56)/12,Loyalty,2)*$F$1*MAX(AH775,0)</f>
        <v>18.557001321003963</v>
      </c>
      <c r="AG776" s="75">
        <f>PARAM!$C$26+MAX($G$10-CHOOSE(PARAM!$B$44,MAX(0,AH775*$F$1),0),0)*RATES!$L752/12+$H$10*(PARAM!$D$51/12)*RATES!$N752/100</f>
        <v>797.45833333333337</v>
      </c>
      <c r="AH776" s="16">
        <f t="shared" si="506"/>
        <v>-106114.88070145011</v>
      </c>
      <c r="AI776" s="15">
        <f t="shared" si="481"/>
        <v>22.170849845882874</v>
      </c>
      <c r="AJ776" s="75">
        <f>AI776*(1-PARAM!$C$27)*$I$11+(MOD($B776,60)=PARAM!$B$56)*($B776&gt;(60-PARAM!$B$56))*HLOOKUP(($B776+PARAM!$B$56)/12,Loyalty,2)*$F$1*MAX(AL775,0)</f>
        <v>18.557001321003963</v>
      </c>
      <c r="AK776" s="75">
        <f>PARAM!$C$26+MAX($G$11-CHOOSE(PARAM!$B$44,MAX(0,AL775*$F$1),0),0)*RATES!$L752/12+$H$11*(PARAM!$D$51/12)*RATES!$N752/100</f>
        <v>797.45833333333337</v>
      </c>
      <c r="AL776" s="16">
        <f t="shared" si="507"/>
        <v>-106114.88070145011</v>
      </c>
      <c r="AM776" s="15">
        <f t="shared" si="482"/>
        <v>22.170849845882874</v>
      </c>
      <c r="AN776" s="75">
        <f>AM776*(1-PARAM!$C$27)*$I$12+(MOD($B776,60)=PARAM!$B$56)*($B776&gt;(60-PARAM!$B$56))*HLOOKUP(($B776+PARAM!$B$56)/12,Loyalty,2)*$F$1*MAX(AP775,0)</f>
        <v>18.557001321003963</v>
      </c>
      <c r="AO776" s="75">
        <f>PARAM!$C$26+MAX($G$12-CHOOSE(PARAM!$B$44,MAX(0,AP775*$F$1),0),0)*RATES!$L752/12+$H$12*(PARAM!$D$51/12)*RATES!$N752/100</f>
        <v>797.45833333333337</v>
      </c>
      <c r="AP776" s="16">
        <f t="shared" si="508"/>
        <v>-106114.88070145011</v>
      </c>
      <c r="AQ776" s="15">
        <f t="shared" si="483"/>
        <v>22.170849845882874</v>
      </c>
      <c r="AR776" s="75">
        <f>AQ776*(1-PARAM!$C$27)*$I$13+(MOD($B776,60)=PARAM!$B$56)*($B776&gt;(60-PARAM!$B$56))*HLOOKUP(($B776+PARAM!$B$56)/12,Loyalty,2)*$F$1*MAX(AT775,0)</f>
        <v>18.557001321003963</v>
      </c>
      <c r="AS776" s="75">
        <f>PARAM!$C$26+MAX($G$13-CHOOSE(PARAM!$B$44,MAX(0,AT775*$F$1),0),0)*RATES!$L752/12+$H$13*(PARAM!$D$51/12)*RATES!$N752/100</f>
        <v>797.45833333333337</v>
      </c>
      <c r="AT776" s="16">
        <f t="shared" si="509"/>
        <v>-106114.88070145011</v>
      </c>
      <c r="AU776" s="15">
        <f t="shared" si="484"/>
        <v>22.170849845882874</v>
      </c>
      <c r="AV776" s="75">
        <f>AU776*(1-PARAM!$C$27)*$I$14+(MOD($B776,60)=PARAM!$B$56)*($B776&gt;(60-PARAM!$B$56))*HLOOKUP(($B776+PARAM!$B$56)/12,Loyalty,2)*$F$1*MAX(AX775,0)</f>
        <v>18.557001321003963</v>
      </c>
      <c r="AW776" s="75">
        <f>PARAM!$C$26+MAX($G$14-CHOOSE(PARAM!$B$44,MAX(0,AX775*$F$1),0),0)*RATES!$L752/12+$H$14*(PARAM!$D$51/12)*RATES!$N752/100</f>
        <v>797.45833333333337</v>
      </c>
      <c r="AX776" s="16">
        <f t="shared" si="510"/>
        <v>-106114.88070145011</v>
      </c>
      <c r="AY776" s="15">
        <f t="shared" si="485"/>
        <v>22.170849845882874</v>
      </c>
      <c r="AZ776" s="75">
        <f>AY776*(1-PARAM!$C$27)*$I$15+(MOD($B776,60)=PARAM!$B$56)*($B776&gt;(60-PARAM!$B$56))*HLOOKUP(($B776+PARAM!$B$56)/12,Loyalty,2)*$F$1*MAX(BB775,0)</f>
        <v>18.557001321003963</v>
      </c>
      <c r="BA776" s="75">
        <f>PARAM!$C$26+MAX($G$15-CHOOSE(PARAM!$B$44,MAX(0,BB775*$F$1),0),0)*RATES!$L752/12+$H$15*(PARAM!$D$51/12)*RATES!$N752/100</f>
        <v>797.45833333333337</v>
      </c>
      <c r="BB776" s="16">
        <f t="shared" si="511"/>
        <v>-106114.88070145011</v>
      </c>
      <c r="BC776" s="15">
        <f t="shared" si="486"/>
        <v>22.170849845882874</v>
      </c>
      <c r="BD776" s="75">
        <f>BC776*(1-PARAM!$C$27)*$I$16+(MOD($B776,60)=PARAM!$B$56)*($B776&gt;(60-PARAM!$B$56))*HLOOKUP(($B776+PARAM!$B$56)/12,Loyalty,2)*$F$1*MAX(BF775,0)</f>
        <v>18.557001321003963</v>
      </c>
      <c r="BE776" s="75">
        <f>PARAM!$C$26+MAX($G$16-CHOOSE(PARAM!$B$44,MAX(0,BF775*$F$1),0),0)*RATES!$L752/12+$H$16*(PARAM!$D$51/12)*RATES!$N752/100</f>
        <v>797.45833333333337</v>
      </c>
      <c r="BF776" s="16">
        <f t="shared" si="512"/>
        <v>-106114.88070145011</v>
      </c>
      <c r="BG776" s="15">
        <f t="shared" si="487"/>
        <v>22.170849845882874</v>
      </c>
      <c r="BH776" s="75">
        <f>BG776*(1-PARAM!$C$27)*$I$17+(MOD($B776,60)=PARAM!$B$56)*($B776&gt;(60-PARAM!$B$56))*HLOOKUP(($B776+PARAM!$B$56)/12,Loyalty,2)*$F$1*MAX(BJ775,0)</f>
        <v>18.557001321003963</v>
      </c>
      <c r="BI776" s="75">
        <f>PARAM!$C$26+MAX($G$17-CHOOSE(PARAM!$B$44,MAX(0,BJ775*$F$1),0),0)*RATES!$L752/12+$H$17*(PARAM!$D$51/12)*RATES!$N752/100</f>
        <v>797.45833333333337</v>
      </c>
      <c r="BJ776" s="16">
        <f t="shared" si="513"/>
        <v>-106114.88070145011</v>
      </c>
      <c r="BK776" s="15">
        <f t="shared" si="488"/>
        <v>22.170849845882874</v>
      </c>
      <c r="BL776" s="75">
        <f>BK776*(1-PARAM!$C$27)*$I$18+(MOD($B776,60)=PARAM!$B$56)*($B776&gt;(60-PARAM!$B$56))*HLOOKUP(($B776+PARAM!$B$56)/12,Loyalty,2)*$F$1*MAX(BN775,0)</f>
        <v>18.557001321003963</v>
      </c>
      <c r="BM776" s="75">
        <f>PARAM!$C$26+MAX($G$18-CHOOSE(PARAM!$B$44,MAX(0,BN775*$F$1),0),0)*RATES!$L752/12+$H$18*(PARAM!$D$51/12)*RATES!$N752/100</f>
        <v>797.45833333333337</v>
      </c>
      <c r="BN776" s="16">
        <f t="shared" si="514"/>
        <v>-106114.88070145011</v>
      </c>
      <c r="BO776" s="15">
        <f t="shared" si="489"/>
        <v>22.170849845882874</v>
      </c>
      <c r="BP776" s="75">
        <f>BO776*(1-PARAM!$C$27)*$I$19+(MOD($B776,60)=PARAM!$B$56)*($B776&gt;(60-PARAM!$B$56))*HLOOKUP(($B776+PARAM!$B$56)/12,Loyalty,2)*$F$1*MAX(BR775,0)</f>
        <v>18.557001321003963</v>
      </c>
      <c r="BQ776" s="75">
        <f>PARAM!$C$26+MAX($G$19-CHOOSE(PARAM!$B$44,MAX(0,BR775*$F$1),0),0)*RATES!$L752/12+$H$19*(PARAM!$D$51/12)*RATES!$N752/100</f>
        <v>797.45833333333337</v>
      </c>
      <c r="BR776" s="16">
        <f t="shared" si="515"/>
        <v>-106114.88070145011</v>
      </c>
      <c r="BS776" s="15">
        <f t="shared" si="490"/>
        <v>22.170849845882874</v>
      </c>
      <c r="BT776" s="75">
        <f>BS776*(1-PARAM!$C$27)*$I$20+(MOD($B776,60)=PARAM!$B$56)*($B776&gt;(60-PARAM!$B$56))*HLOOKUP(($B776+PARAM!$B$56)/12,Loyalty,2)*$F$1*MAX(BV775,0)</f>
        <v>18.557001321003963</v>
      </c>
      <c r="BU776" s="75">
        <f>PARAM!$C$26+MAX($G$20-CHOOSE(PARAM!$B$44,MAX(0,BV775*$F$1),0),0)*RATES!$L752/12+$H$20*(PARAM!$D$51/12)*RATES!$N752/100</f>
        <v>797.45833333333337</v>
      </c>
      <c r="BV776" s="16">
        <f t="shared" si="516"/>
        <v>-106114.88070145011</v>
      </c>
      <c r="BW776" s="15">
        <f t="shared" si="491"/>
        <v>22.170849845882874</v>
      </c>
      <c r="BX776" s="75">
        <f>BW776*(1-PARAM!$C$27)*$I$21+(MOD($B776,60)=PARAM!$B$56)*($B776&gt;(60-PARAM!$B$56))*HLOOKUP(($B776+PARAM!$B$56)/12,Loyalty,2)*$F$1*MAX(BZ775,0)</f>
        <v>18.557001321003963</v>
      </c>
      <c r="BY776" s="75">
        <f>PARAM!$C$26+MAX($G$21-CHOOSE(PARAM!$B$44,MAX(0,BZ775*$F$1),0),0)*RATES!$L752/12+$H$21*(PARAM!$D$51/12)*RATES!$N752/100</f>
        <v>797.45833333333337</v>
      </c>
      <c r="BZ776" s="16">
        <f t="shared" si="517"/>
        <v>-106114.88070145011</v>
      </c>
      <c r="CA776" s="15">
        <f t="shared" si="492"/>
        <v>22.170849845882874</v>
      </c>
      <c r="CB776" s="75">
        <f>CA776*(1-PARAM!$C$27)*$I$22+(MOD($B776,60)=PARAM!$B$56)*($B776&gt;(60-PARAM!$B$56))*HLOOKUP(($B776+PARAM!$B$56)/12,Loyalty,2)*$F$1*MAX(CD775,0)</f>
        <v>18.557001321003963</v>
      </c>
      <c r="CC776" s="75">
        <f>PARAM!$C$26+MAX($G$22-CHOOSE(PARAM!$B$44,MAX(0,CD775*$F$1),0),0)*RATES!$L752/12+$H$22*(PARAM!$D$51/12)*RATES!$N752/100</f>
        <v>797.45833333333337</v>
      </c>
      <c r="CD776" s="16">
        <f t="shared" si="518"/>
        <v>-106114.88070145011</v>
      </c>
      <c r="CE776" s="33">
        <f>IF(0=MOD(B776,12/PARAM!$D$51),1,0)</f>
        <v>1</v>
      </c>
      <c r="CF776" s="15">
        <f t="shared" si="493"/>
        <v>0</v>
      </c>
      <c r="CG776" s="75">
        <f>CF776*(1-PARAM!$C$27)*$R$3+(MOD($B776/12,5)=0)*($B776&gt;60)*HLOOKUP($B776/12,Loyalty,2)*$F$1*MAX(CI775,0)</f>
        <v>0</v>
      </c>
      <c r="CH776" s="75">
        <f>PARAM!$C$26+MAX($P$3-CHOOSE(PARAM!$B$44,MAX(0,CI775*$F$1),0),0)*RATES!$L752/12+$Q$3*(PARAM!$D$51/12)*RATES!$N752/100</f>
        <v>797.45833333333337</v>
      </c>
      <c r="CI776" s="16">
        <f>IF(CI775&gt;0,CI775*PARAM!$C$53,CI775)+CG776-CH776</f>
        <v>-119894.50000000017</v>
      </c>
      <c r="CJ776" s="15">
        <f t="shared" si="519"/>
        <v>0</v>
      </c>
      <c r="CK776" s="75">
        <f>CJ776*(1-PARAM!$C$27)*$R$4+(MOD($B776/12,5)=0)*($B776&gt;60)*HLOOKUP($B776/12,Loyalty,2)*$F$1*MAX(CM775,0)</f>
        <v>0</v>
      </c>
      <c r="CL776" s="75">
        <f>PARAM!$C$26+MAX($P$4-CHOOSE(PARAM!$B$44,MAX(0,CM775*$F$1),0),0)*RATES!$L752/12+$Q$4*(PARAM!$D$51/12)*RATES!$N752/100</f>
        <v>797.45833333333337</v>
      </c>
      <c r="CM776" s="16">
        <f>IF(CM775&gt;0,CM775*PARAM!$C$53,CM775)+CK776-CL776</f>
        <v>-119894.50000000017</v>
      </c>
      <c r="CO776" s="176"/>
    </row>
    <row r="777" spans="1:93" x14ac:dyDescent="0.2">
      <c r="A777" t="b">
        <f t="shared" si="494"/>
        <v>0</v>
      </c>
      <c r="B777" s="33">
        <v>750</v>
      </c>
      <c r="C777" s="15">
        <f t="shared" si="495"/>
        <v>20.081305947392778</v>
      </c>
      <c r="D777" s="75">
        <f>C777*(1-PARAM!$C$27)*$I$3+(MOD($B777,60)=PARAM!$B$56)*($B777&gt;(60-PARAM!$B$56))*HLOOKUP(($B777+PARAM!$B$56)/12,Loyalty,2)*$F$1*MAX(F776,0)</f>
        <v>16.808053077967756</v>
      </c>
      <c r="E777" s="75">
        <f>PARAM!$C$26+MAX($G$3-CHOOSE(PARAM!$B$44,MAX(0,F776*$F$1),0),0)*RATES!$L753/12+$H$3*(PARAM!$D$51/12)*RATES!$N753/100</f>
        <v>856.125</v>
      </c>
      <c r="F777" s="16">
        <f t="shared" si="496"/>
        <v>-108301.01038292779</v>
      </c>
      <c r="G777" s="15">
        <f t="shared" si="497"/>
        <v>22.035289406060361</v>
      </c>
      <c r="H777" s="75">
        <f>G777*(1-PARAM!$C$27)*$I$4+(MOD($B777,60)=PARAM!$B$56)*($B777&gt;(60-PARAM!$B$56))*HLOOKUP(($B777+PARAM!$B$56)/12,Loyalty,2)*$F$1*MAX(J776,0)</f>
        <v>18.443537232872522</v>
      </c>
      <c r="I777" s="75">
        <f>PARAM!$C$26+MAX($G$4-CHOOSE(PARAM!$B$44,MAX(0,J776*$F$1),0),0)*RATES!$L753/12+$H$4*(PARAM!$D$51/12)*RATES!$N753/100</f>
        <v>856.125</v>
      </c>
      <c r="J777" s="16">
        <f t="shared" si="498"/>
        <v>-107040.56430262751</v>
      </c>
      <c r="K777" s="15">
        <f t="shared" si="499"/>
        <v>22.170849845882874</v>
      </c>
      <c r="L777" s="75">
        <f>K777*(1-PARAM!$C$27)*$I$5+(MOD($B777,60)=PARAM!$B$56)*($B777&gt;(60-PARAM!$B$56))*HLOOKUP(($B777+PARAM!$B$56)/12,Loyalty,2)*$F$1*MAX(N776,0)</f>
        <v>18.557001321003963</v>
      </c>
      <c r="M777" s="75">
        <f>PARAM!$C$26+MAX($G$5-CHOOSE(PARAM!$B$44,MAX(0,N776*$F$1),0),0)*RATES!$L753/12+$H$5*(PARAM!$D$51/12)*RATES!$N753/100</f>
        <v>856.125</v>
      </c>
      <c r="N777" s="16">
        <f t="shared" si="500"/>
        <v>-106952.4487001291</v>
      </c>
      <c r="O777" s="15">
        <f t="shared" si="501"/>
        <v>22.170849845882874</v>
      </c>
      <c r="P777" s="75">
        <f>O777*(1-PARAM!$C$27)*$I$6+(MOD($B777,60)=PARAM!$B$56)*($B777&gt;(60-PARAM!$B$56))*HLOOKUP(($B777+PARAM!$B$56)/12,Loyalty,2)*$F$1*MAX(R776,0)</f>
        <v>18.557001321003963</v>
      </c>
      <c r="Q777" s="75">
        <f>PARAM!$C$26+MAX($G$6-CHOOSE(PARAM!$B$44,MAX(0,R776*$F$1),0),0)*RATES!$L753/12+$H$6*(PARAM!$D$51/12)*RATES!$N753/100</f>
        <v>856.125</v>
      </c>
      <c r="R777" s="16">
        <f t="shared" si="502"/>
        <v>-106952.4487001291</v>
      </c>
      <c r="S777" s="15">
        <f t="shared" si="477"/>
        <v>22.170849845882874</v>
      </c>
      <c r="T777" s="75">
        <f>S777*(1-PARAM!$C$27)*$I$7+(MOD($B777,60)=PARAM!$B$56)*($B777&gt;(60-PARAM!$B$56))*HLOOKUP(($B777+PARAM!$B$56)/12,Loyalty,2)*$F$1*MAX(V776,0)</f>
        <v>18.557001321003963</v>
      </c>
      <c r="U777" s="75">
        <f>PARAM!$C$26+MAX($G$7-CHOOSE(PARAM!$B$44,MAX(0,V776*$F$1),0),0)*RATES!$L753/12+$H$7*(PARAM!$D$51/12)*RATES!$N753/100</f>
        <v>856.125</v>
      </c>
      <c r="V777" s="16">
        <f t="shared" si="503"/>
        <v>-106952.4487001291</v>
      </c>
      <c r="W777" s="15">
        <f t="shared" si="478"/>
        <v>22.170849845882874</v>
      </c>
      <c r="X777" s="75">
        <f>W777*(1-PARAM!$C$27)*$I$8+(MOD($B777,60)=PARAM!$B$56)*($B777&gt;(60-PARAM!$B$56))*HLOOKUP(($B777+PARAM!$B$56)/12,Loyalty,2)*$F$1*MAX(Z776,0)</f>
        <v>18.557001321003963</v>
      </c>
      <c r="Y777" s="75">
        <f>PARAM!$C$26+MAX($G$8-CHOOSE(PARAM!$B$44,MAX(0,Z776*$F$1),0),0)*RATES!$L753/12+$H$8*(PARAM!$D$51/12)*RATES!$N753/100</f>
        <v>856.125</v>
      </c>
      <c r="Z777" s="16">
        <f t="shared" si="504"/>
        <v>-106952.4487001291</v>
      </c>
      <c r="AA777" s="15">
        <f t="shared" si="479"/>
        <v>22.170849845882874</v>
      </c>
      <c r="AB777" s="75">
        <f>AA777*(1-PARAM!$C$27)*$I$9+(MOD($B777,60)=PARAM!$B$56)*($B777&gt;(60-PARAM!$B$56))*HLOOKUP(($B777+PARAM!$B$56)/12,Loyalty,2)*$F$1*MAX(AD776,0)</f>
        <v>18.557001321003963</v>
      </c>
      <c r="AC777" s="75">
        <f>PARAM!$C$26+MAX($G$9-CHOOSE(PARAM!$B$44,MAX(0,AD776*$F$1),0),0)*RATES!$L753/12+$H$9*(PARAM!$D$51/12)*RATES!$N753/100</f>
        <v>856.125</v>
      </c>
      <c r="AD777" s="16">
        <f t="shared" si="505"/>
        <v>-106952.4487001291</v>
      </c>
      <c r="AE777" s="15">
        <f t="shared" si="480"/>
        <v>22.170849845882874</v>
      </c>
      <c r="AF777" s="75">
        <f>AE777*(1-PARAM!$C$27)*$I$10+(MOD($B777,60)=PARAM!$B$56)*($B777&gt;(60-PARAM!$B$56))*HLOOKUP(($B777+PARAM!$B$56)/12,Loyalty,2)*$F$1*MAX(AH776,0)</f>
        <v>18.557001321003963</v>
      </c>
      <c r="AG777" s="75">
        <f>PARAM!$C$26+MAX($G$10-CHOOSE(PARAM!$B$44,MAX(0,AH776*$F$1),0),0)*RATES!$L753/12+$H$10*(PARAM!$D$51/12)*RATES!$N753/100</f>
        <v>856.125</v>
      </c>
      <c r="AH777" s="16">
        <f t="shared" si="506"/>
        <v>-106952.4487001291</v>
      </c>
      <c r="AI777" s="15">
        <f t="shared" si="481"/>
        <v>22.170849845882874</v>
      </c>
      <c r="AJ777" s="75">
        <f>AI777*(1-PARAM!$C$27)*$I$11+(MOD($B777,60)=PARAM!$B$56)*($B777&gt;(60-PARAM!$B$56))*HLOOKUP(($B777+PARAM!$B$56)/12,Loyalty,2)*$F$1*MAX(AL776,0)</f>
        <v>18.557001321003963</v>
      </c>
      <c r="AK777" s="75">
        <f>PARAM!$C$26+MAX($G$11-CHOOSE(PARAM!$B$44,MAX(0,AL776*$F$1),0),0)*RATES!$L753/12+$H$11*(PARAM!$D$51/12)*RATES!$N753/100</f>
        <v>856.125</v>
      </c>
      <c r="AL777" s="16">
        <f t="shared" si="507"/>
        <v>-106952.4487001291</v>
      </c>
      <c r="AM777" s="15">
        <f t="shared" si="482"/>
        <v>22.170849845882874</v>
      </c>
      <c r="AN777" s="75">
        <f>AM777*(1-PARAM!$C$27)*$I$12+(MOD($B777,60)=PARAM!$B$56)*($B777&gt;(60-PARAM!$B$56))*HLOOKUP(($B777+PARAM!$B$56)/12,Loyalty,2)*$F$1*MAX(AP776,0)</f>
        <v>18.557001321003963</v>
      </c>
      <c r="AO777" s="75">
        <f>PARAM!$C$26+MAX($G$12-CHOOSE(PARAM!$B$44,MAX(0,AP776*$F$1),0),0)*RATES!$L753/12+$H$12*(PARAM!$D$51/12)*RATES!$N753/100</f>
        <v>856.125</v>
      </c>
      <c r="AP777" s="16">
        <f t="shared" si="508"/>
        <v>-106952.4487001291</v>
      </c>
      <c r="AQ777" s="15">
        <f t="shared" si="483"/>
        <v>22.170849845882874</v>
      </c>
      <c r="AR777" s="75">
        <f>AQ777*(1-PARAM!$C$27)*$I$13+(MOD($B777,60)=PARAM!$B$56)*($B777&gt;(60-PARAM!$B$56))*HLOOKUP(($B777+PARAM!$B$56)/12,Loyalty,2)*$F$1*MAX(AT776,0)</f>
        <v>18.557001321003963</v>
      </c>
      <c r="AS777" s="75">
        <f>PARAM!$C$26+MAX($G$13-CHOOSE(PARAM!$B$44,MAX(0,AT776*$F$1),0),0)*RATES!$L753/12+$H$13*(PARAM!$D$51/12)*RATES!$N753/100</f>
        <v>856.125</v>
      </c>
      <c r="AT777" s="16">
        <f t="shared" si="509"/>
        <v>-106952.4487001291</v>
      </c>
      <c r="AU777" s="15">
        <f t="shared" si="484"/>
        <v>22.170849845882874</v>
      </c>
      <c r="AV777" s="75">
        <f>AU777*(1-PARAM!$C$27)*$I$14+(MOD($B777,60)=PARAM!$B$56)*($B777&gt;(60-PARAM!$B$56))*HLOOKUP(($B777+PARAM!$B$56)/12,Loyalty,2)*$F$1*MAX(AX776,0)</f>
        <v>18.557001321003963</v>
      </c>
      <c r="AW777" s="75">
        <f>PARAM!$C$26+MAX($G$14-CHOOSE(PARAM!$B$44,MAX(0,AX776*$F$1),0),0)*RATES!$L753/12+$H$14*(PARAM!$D$51/12)*RATES!$N753/100</f>
        <v>856.125</v>
      </c>
      <c r="AX777" s="16">
        <f t="shared" si="510"/>
        <v>-106952.4487001291</v>
      </c>
      <c r="AY777" s="15">
        <f t="shared" si="485"/>
        <v>22.170849845882874</v>
      </c>
      <c r="AZ777" s="75">
        <f>AY777*(1-PARAM!$C$27)*$I$15+(MOD($B777,60)=PARAM!$B$56)*($B777&gt;(60-PARAM!$B$56))*HLOOKUP(($B777+PARAM!$B$56)/12,Loyalty,2)*$F$1*MAX(BB776,0)</f>
        <v>18.557001321003963</v>
      </c>
      <c r="BA777" s="75">
        <f>PARAM!$C$26+MAX($G$15-CHOOSE(PARAM!$B$44,MAX(0,BB776*$F$1),0),0)*RATES!$L753/12+$H$15*(PARAM!$D$51/12)*RATES!$N753/100</f>
        <v>856.125</v>
      </c>
      <c r="BB777" s="16">
        <f t="shared" si="511"/>
        <v>-106952.4487001291</v>
      </c>
      <c r="BC777" s="15">
        <f t="shared" si="486"/>
        <v>22.170849845882874</v>
      </c>
      <c r="BD777" s="75">
        <f>BC777*(1-PARAM!$C$27)*$I$16+(MOD($B777,60)=PARAM!$B$56)*($B777&gt;(60-PARAM!$B$56))*HLOOKUP(($B777+PARAM!$B$56)/12,Loyalty,2)*$F$1*MAX(BF776,0)</f>
        <v>18.557001321003963</v>
      </c>
      <c r="BE777" s="75">
        <f>PARAM!$C$26+MAX($G$16-CHOOSE(PARAM!$B$44,MAX(0,BF776*$F$1),0),0)*RATES!$L753/12+$H$16*(PARAM!$D$51/12)*RATES!$N753/100</f>
        <v>856.125</v>
      </c>
      <c r="BF777" s="16">
        <f t="shared" si="512"/>
        <v>-106952.4487001291</v>
      </c>
      <c r="BG777" s="15">
        <f t="shared" si="487"/>
        <v>22.170849845882874</v>
      </c>
      <c r="BH777" s="75">
        <f>BG777*(1-PARAM!$C$27)*$I$17+(MOD($B777,60)=PARAM!$B$56)*($B777&gt;(60-PARAM!$B$56))*HLOOKUP(($B777+PARAM!$B$56)/12,Loyalty,2)*$F$1*MAX(BJ776,0)</f>
        <v>18.557001321003963</v>
      </c>
      <c r="BI777" s="75">
        <f>PARAM!$C$26+MAX($G$17-CHOOSE(PARAM!$B$44,MAX(0,BJ776*$F$1),0),0)*RATES!$L753/12+$H$17*(PARAM!$D$51/12)*RATES!$N753/100</f>
        <v>856.125</v>
      </c>
      <c r="BJ777" s="16">
        <f t="shared" si="513"/>
        <v>-106952.4487001291</v>
      </c>
      <c r="BK777" s="15">
        <f t="shared" si="488"/>
        <v>22.170849845882874</v>
      </c>
      <c r="BL777" s="75">
        <f>BK777*(1-PARAM!$C$27)*$I$18+(MOD($B777,60)=PARAM!$B$56)*($B777&gt;(60-PARAM!$B$56))*HLOOKUP(($B777+PARAM!$B$56)/12,Loyalty,2)*$F$1*MAX(BN776,0)</f>
        <v>18.557001321003963</v>
      </c>
      <c r="BM777" s="75">
        <f>PARAM!$C$26+MAX($G$18-CHOOSE(PARAM!$B$44,MAX(0,BN776*$F$1),0),0)*RATES!$L753/12+$H$18*(PARAM!$D$51/12)*RATES!$N753/100</f>
        <v>856.125</v>
      </c>
      <c r="BN777" s="16">
        <f t="shared" si="514"/>
        <v>-106952.4487001291</v>
      </c>
      <c r="BO777" s="15">
        <f t="shared" si="489"/>
        <v>22.170849845882874</v>
      </c>
      <c r="BP777" s="75">
        <f>BO777*(1-PARAM!$C$27)*$I$19+(MOD($B777,60)=PARAM!$B$56)*($B777&gt;(60-PARAM!$B$56))*HLOOKUP(($B777+PARAM!$B$56)/12,Loyalty,2)*$F$1*MAX(BR776,0)</f>
        <v>18.557001321003963</v>
      </c>
      <c r="BQ777" s="75">
        <f>PARAM!$C$26+MAX($G$19-CHOOSE(PARAM!$B$44,MAX(0,BR776*$F$1),0),0)*RATES!$L753/12+$H$19*(PARAM!$D$51/12)*RATES!$N753/100</f>
        <v>856.125</v>
      </c>
      <c r="BR777" s="16">
        <f t="shared" si="515"/>
        <v>-106952.4487001291</v>
      </c>
      <c r="BS777" s="15">
        <f t="shared" si="490"/>
        <v>22.170849845882874</v>
      </c>
      <c r="BT777" s="75">
        <f>BS777*(1-PARAM!$C$27)*$I$20+(MOD($B777,60)=PARAM!$B$56)*($B777&gt;(60-PARAM!$B$56))*HLOOKUP(($B777+PARAM!$B$56)/12,Loyalty,2)*$F$1*MAX(BV776,0)</f>
        <v>18.557001321003963</v>
      </c>
      <c r="BU777" s="75">
        <f>PARAM!$C$26+MAX($G$20-CHOOSE(PARAM!$B$44,MAX(0,BV776*$F$1),0),0)*RATES!$L753/12+$H$20*(PARAM!$D$51/12)*RATES!$N753/100</f>
        <v>856.125</v>
      </c>
      <c r="BV777" s="16">
        <f t="shared" si="516"/>
        <v>-106952.4487001291</v>
      </c>
      <c r="BW777" s="15">
        <f t="shared" si="491"/>
        <v>22.170849845882874</v>
      </c>
      <c r="BX777" s="75">
        <f>BW777*(1-PARAM!$C$27)*$I$21+(MOD($B777,60)=PARAM!$B$56)*($B777&gt;(60-PARAM!$B$56))*HLOOKUP(($B777+PARAM!$B$56)/12,Loyalty,2)*$F$1*MAX(BZ776,0)</f>
        <v>18.557001321003963</v>
      </c>
      <c r="BY777" s="75">
        <f>PARAM!$C$26+MAX($G$21-CHOOSE(PARAM!$B$44,MAX(0,BZ776*$F$1),0),0)*RATES!$L753/12+$H$21*(PARAM!$D$51/12)*RATES!$N753/100</f>
        <v>856.125</v>
      </c>
      <c r="BZ777" s="16">
        <f t="shared" si="517"/>
        <v>-106952.4487001291</v>
      </c>
      <c r="CA777" s="15">
        <f t="shared" si="492"/>
        <v>22.170849845882874</v>
      </c>
      <c r="CB777" s="75">
        <f>CA777*(1-PARAM!$C$27)*$I$22+(MOD($B777,60)=PARAM!$B$56)*($B777&gt;(60-PARAM!$B$56))*HLOOKUP(($B777+PARAM!$B$56)/12,Loyalty,2)*$F$1*MAX(CD776,0)</f>
        <v>18.557001321003963</v>
      </c>
      <c r="CC777" s="75">
        <f>PARAM!$C$26+MAX($G$22-CHOOSE(PARAM!$B$44,MAX(0,CD776*$F$1),0),0)*RATES!$L753/12+$H$22*(PARAM!$D$51/12)*RATES!$N753/100</f>
        <v>856.125</v>
      </c>
      <c r="CD777" s="16">
        <f t="shared" si="518"/>
        <v>-106952.4487001291</v>
      </c>
      <c r="CE777" s="33">
        <f>IF(0=MOD(B777,12/PARAM!$D$51),1,0)</f>
        <v>1</v>
      </c>
      <c r="CF777" s="15">
        <f t="shared" si="493"/>
        <v>0</v>
      </c>
      <c r="CG777" s="75">
        <f>CF777*(1-PARAM!$C$27)*$R$3+(MOD($B777/12,5)=0)*($B777&gt;60)*HLOOKUP($B777/12,Loyalty,2)*$F$1*MAX(CI776,0)</f>
        <v>0</v>
      </c>
      <c r="CH777" s="75">
        <f>PARAM!$C$26+MAX($P$3-CHOOSE(PARAM!$B$44,MAX(0,CI776*$F$1),0),0)*RATES!$L753/12+$Q$3*(PARAM!$D$51/12)*RATES!$N753/100</f>
        <v>856.125</v>
      </c>
      <c r="CI777" s="16">
        <f>IF(CI776&gt;0,CI776*PARAM!$C$53,CI776)+CG777-CH777</f>
        <v>-120750.62500000017</v>
      </c>
      <c r="CJ777" s="15">
        <f t="shared" si="519"/>
        <v>0</v>
      </c>
      <c r="CK777" s="75">
        <f>CJ777*(1-PARAM!$C$27)*$R$4+(MOD($B777/12,5)=0)*($B777&gt;60)*HLOOKUP($B777/12,Loyalty,2)*$F$1*MAX(CM776,0)</f>
        <v>0</v>
      </c>
      <c r="CL777" s="75">
        <f>PARAM!$C$26+MAX($P$4-CHOOSE(PARAM!$B$44,MAX(0,CM776*$F$1),0),0)*RATES!$L753/12+$Q$4*(PARAM!$D$51/12)*RATES!$N753/100</f>
        <v>856.125</v>
      </c>
      <c r="CM777" s="16">
        <f>IF(CM776&gt;0,CM776*PARAM!$C$53,CM776)+CK777-CL777</f>
        <v>-120750.62500000017</v>
      </c>
      <c r="CO777" s="176"/>
    </row>
    <row r="778" spans="1:93" x14ac:dyDescent="0.2">
      <c r="A778" t="b">
        <f t="shared" si="494"/>
        <v>0</v>
      </c>
      <c r="B778" s="33">
        <v>751</v>
      </c>
      <c r="C778" s="15">
        <f t="shared" si="495"/>
        <v>20.081305947392778</v>
      </c>
      <c r="D778" s="75">
        <f>C778*(1-PARAM!$C$27)*$I$3+(MOD($B778,60)=PARAM!$B$56)*($B778&gt;(60-PARAM!$B$56))*HLOOKUP(($B778+PARAM!$B$56)/12,Loyalty,2)*$F$1*MAX(F777,0)</f>
        <v>16.808053077967756</v>
      </c>
      <c r="E778" s="75">
        <f>PARAM!$C$26+MAX($G$3-CHOOSE(PARAM!$B$44,MAX(0,F777*$F$1),0),0)*RATES!$L754/12+$H$3*(PARAM!$D$51/12)*RATES!$N754/100</f>
        <v>856.125</v>
      </c>
      <c r="F778" s="16">
        <f t="shared" si="496"/>
        <v>-109140.32732984982</v>
      </c>
      <c r="G778" s="15">
        <f t="shared" si="497"/>
        <v>22.035289406060361</v>
      </c>
      <c r="H778" s="75">
        <f>G778*(1-PARAM!$C$27)*$I$4+(MOD($B778,60)=PARAM!$B$56)*($B778&gt;(60-PARAM!$B$56))*HLOOKUP(($B778+PARAM!$B$56)/12,Loyalty,2)*$F$1*MAX(J777,0)</f>
        <v>18.443537232872522</v>
      </c>
      <c r="I778" s="75">
        <f>PARAM!$C$26+MAX($G$4-CHOOSE(PARAM!$B$44,MAX(0,J777*$F$1),0),0)*RATES!$L754/12+$H$4*(PARAM!$D$51/12)*RATES!$N754/100</f>
        <v>856.125</v>
      </c>
      <c r="J778" s="16">
        <f t="shared" si="498"/>
        <v>-107878.24576539463</v>
      </c>
      <c r="K778" s="15">
        <f t="shared" si="499"/>
        <v>22.170849845882874</v>
      </c>
      <c r="L778" s="75">
        <f>K778*(1-PARAM!$C$27)*$I$5+(MOD($B778,60)=PARAM!$B$56)*($B778&gt;(60-PARAM!$B$56))*HLOOKUP(($B778+PARAM!$B$56)/12,Loyalty,2)*$F$1*MAX(N777,0)</f>
        <v>18.557001321003963</v>
      </c>
      <c r="M778" s="75">
        <f>PARAM!$C$26+MAX($G$5-CHOOSE(PARAM!$B$44,MAX(0,N777*$F$1),0),0)*RATES!$L754/12+$H$5*(PARAM!$D$51/12)*RATES!$N754/100</f>
        <v>856.125</v>
      </c>
      <c r="N778" s="16">
        <f t="shared" si="500"/>
        <v>-107790.01669880809</v>
      </c>
      <c r="O778" s="15">
        <f t="shared" si="501"/>
        <v>22.170849845882874</v>
      </c>
      <c r="P778" s="75">
        <f>O778*(1-PARAM!$C$27)*$I$6+(MOD($B778,60)=PARAM!$B$56)*($B778&gt;(60-PARAM!$B$56))*HLOOKUP(($B778+PARAM!$B$56)/12,Loyalty,2)*$F$1*MAX(R777,0)</f>
        <v>18.557001321003963</v>
      </c>
      <c r="Q778" s="75">
        <f>PARAM!$C$26+MAX($G$6-CHOOSE(PARAM!$B$44,MAX(0,R777*$F$1),0),0)*RATES!$L754/12+$H$6*(PARAM!$D$51/12)*RATES!$N754/100</f>
        <v>856.125</v>
      </c>
      <c r="R778" s="16">
        <f t="shared" si="502"/>
        <v>-107790.01669880809</v>
      </c>
      <c r="S778" s="15">
        <f t="shared" si="477"/>
        <v>22.170849845882874</v>
      </c>
      <c r="T778" s="75">
        <f>S778*(1-PARAM!$C$27)*$I$7+(MOD($B778,60)=PARAM!$B$56)*($B778&gt;(60-PARAM!$B$56))*HLOOKUP(($B778+PARAM!$B$56)/12,Loyalty,2)*$F$1*MAX(V777,0)</f>
        <v>18.557001321003963</v>
      </c>
      <c r="U778" s="75">
        <f>PARAM!$C$26+MAX($G$7-CHOOSE(PARAM!$B$44,MAX(0,V777*$F$1),0),0)*RATES!$L754/12+$H$7*(PARAM!$D$51/12)*RATES!$N754/100</f>
        <v>856.125</v>
      </c>
      <c r="V778" s="16">
        <f t="shared" si="503"/>
        <v>-107790.01669880809</v>
      </c>
      <c r="W778" s="15">
        <f t="shared" si="478"/>
        <v>22.170849845882874</v>
      </c>
      <c r="X778" s="75">
        <f>W778*(1-PARAM!$C$27)*$I$8+(MOD($B778,60)=PARAM!$B$56)*($B778&gt;(60-PARAM!$B$56))*HLOOKUP(($B778+PARAM!$B$56)/12,Loyalty,2)*$F$1*MAX(Z777,0)</f>
        <v>18.557001321003963</v>
      </c>
      <c r="Y778" s="75">
        <f>PARAM!$C$26+MAX($G$8-CHOOSE(PARAM!$B$44,MAX(0,Z777*$F$1),0),0)*RATES!$L754/12+$H$8*(PARAM!$D$51/12)*RATES!$N754/100</f>
        <v>856.125</v>
      </c>
      <c r="Z778" s="16">
        <f t="shared" si="504"/>
        <v>-107790.01669880809</v>
      </c>
      <c r="AA778" s="15">
        <f t="shared" si="479"/>
        <v>22.170849845882874</v>
      </c>
      <c r="AB778" s="75">
        <f>AA778*(1-PARAM!$C$27)*$I$9+(MOD($B778,60)=PARAM!$B$56)*($B778&gt;(60-PARAM!$B$56))*HLOOKUP(($B778+PARAM!$B$56)/12,Loyalty,2)*$F$1*MAX(AD777,0)</f>
        <v>18.557001321003963</v>
      </c>
      <c r="AC778" s="75">
        <f>PARAM!$C$26+MAX($G$9-CHOOSE(PARAM!$B$44,MAX(0,AD777*$F$1),0),0)*RATES!$L754/12+$H$9*(PARAM!$D$51/12)*RATES!$N754/100</f>
        <v>856.125</v>
      </c>
      <c r="AD778" s="16">
        <f t="shared" si="505"/>
        <v>-107790.01669880809</v>
      </c>
      <c r="AE778" s="15">
        <f t="shared" si="480"/>
        <v>22.170849845882874</v>
      </c>
      <c r="AF778" s="75">
        <f>AE778*(1-PARAM!$C$27)*$I$10+(MOD($B778,60)=PARAM!$B$56)*($B778&gt;(60-PARAM!$B$56))*HLOOKUP(($B778+PARAM!$B$56)/12,Loyalty,2)*$F$1*MAX(AH777,0)</f>
        <v>18.557001321003963</v>
      </c>
      <c r="AG778" s="75">
        <f>PARAM!$C$26+MAX($G$10-CHOOSE(PARAM!$B$44,MAX(0,AH777*$F$1),0),0)*RATES!$L754/12+$H$10*(PARAM!$D$51/12)*RATES!$N754/100</f>
        <v>856.125</v>
      </c>
      <c r="AH778" s="16">
        <f t="shared" si="506"/>
        <v>-107790.01669880809</v>
      </c>
      <c r="AI778" s="15">
        <f t="shared" si="481"/>
        <v>22.170849845882874</v>
      </c>
      <c r="AJ778" s="75">
        <f>AI778*(1-PARAM!$C$27)*$I$11+(MOD($B778,60)=PARAM!$B$56)*($B778&gt;(60-PARAM!$B$56))*HLOOKUP(($B778+PARAM!$B$56)/12,Loyalty,2)*$F$1*MAX(AL777,0)</f>
        <v>18.557001321003963</v>
      </c>
      <c r="AK778" s="75">
        <f>PARAM!$C$26+MAX($G$11-CHOOSE(PARAM!$B$44,MAX(0,AL777*$F$1),0),0)*RATES!$L754/12+$H$11*(PARAM!$D$51/12)*RATES!$N754/100</f>
        <v>856.125</v>
      </c>
      <c r="AL778" s="16">
        <f t="shared" si="507"/>
        <v>-107790.01669880809</v>
      </c>
      <c r="AM778" s="15">
        <f t="shared" si="482"/>
        <v>22.170849845882874</v>
      </c>
      <c r="AN778" s="75">
        <f>AM778*(1-PARAM!$C$27)*$I$12+(MOD($B778,60)=PARAM!$B$56)*($B778&gt;(60-PARAM!$B$56))*HLOOKUP(($B778+PARAM!$B$56)/12,Loyalty,2)*$F$1*MAX(AP777,0)</f>
        <v>18.557001321003963</v>
      </c>
      <c r="AO778" s="75">
        <f>PARAM!$C$26+MAX($G$12-CHOOSE(PARAM!$B$44,MAX(0,AP777*$F$1),0),0)*RATES!$L754/12+$H$12*(PARAM!$D$51/12)*RATES!$N754/100</f>
        <v>856.125</v>
      </c>
      <c r="AP778" s="16">
        <f t="shared" si="508"/>
        <v>-107790.01669880809</v>
      </c>
      <c r="AQ778" s="15">
        <f t="shared" si="483"/>
        <v>22.170849845882874</v>
      </c>
      <c r="AR778" s="75">
        <f>AQ778*(1-PARAM!$C$27)*$I$13+(MOD($B778,60)=PARAM!$B$56)*($B778&gt;(60-PARAM!$B$56))*HLOOKUP(($B778+PARAM!$B$56)/12,Loyalty,2)*$F$1*MAX(AT777,0)</f>
        <v>18.557001321003963</v>
      </c>
      <c r="AS778" s="75">
        <f>PARAM!$C$26+MAX($G$13-CHOOSE(PARAM!$B$44,MAX(0,AT777*$F$1),0),0)*RATES!$L754/12+$H$13*(PARAM!$D$51/12)*RATES!$N754/100</f>
        <v>856.125</v>
      </c>
      <c r="AT778" s="16">
        <f t="shared" si="509"/>
        <v>-107790.01669880809</v>
      </c>
      <c r="AU778" s="15">
        <f t="shared" si="484"/>
        <v>22.170849845882874</v>
      </c>
      <c r="AV778" s="75">
        <f>AU778*(1-PARAM!$C$27)*$I$14+(MOD($B778,60)=PARAM!$B$56)*($B778&gt;(60-PARAM!$B$56))*HLOOKUP(($B778+PARAM!$B$56)/12,Loyalty,2)*$F$1*MAX(AX777,0)</f>
        <v>18.557001321003963</v>
      </c>
      <c r="AW778" s="75">
        <f>PARAM!$C$26+MAX($G$14-CHOOSE(PARAM!$B$44,MAX(0,AX777*$F$1),0),0)*RATES!$L754/12+$H$14*(PARAM!$D$51/12)*RATES!$N754/100</f>
        <v>856.125</v>
      </c>
      <c r="AX778" s="16">
        <f t="shared" si="510"/>
        <v>-107790.01669880809</v>
      </c>
      <c r="AY778" s="15">
        <f t="shared" si="485"/>
        <v>22.170849845882874</v>
      </c>
      <c r="AZ778" s="75">
        <f>AY778*(1-PARAM!$C$27)*$I$15+(MOD($B778,60)=PARAM!$B$56)*($B778&gt;(60-PARAM!$B$56))*HLOOKUP(($B778+PARAM!$B$56)/12,Loyalty,2)*$F$1*MAX(BB777,0)</f>
        <v>18.557001321003963</v>
      </c>
      <c r="BA778" s="75">
        <f>PARAM!$C$26+MAX($G$15-CHOOSE(PARAM!$B$44,MAX(0,BB777*$F$1),0),0)*RATES!$L754/12+$H$15*(PARAM!$D$51/12)*RATES!$N754/100</f>
        <v>856.125</v>
      </c>
      <c r="BB778" s="16">
        <f t="shared" si="511"/>
        <v>-107790.01669880809</v>
      </c>
      <c r="BC778" s="15">
        <f t="shared" si="486"/>
        <v>22.170849845882874</v>
      </c>
      <c r="BD778" s="75">
        <f>BC778*(1-PARAM!$C$27)*$I$16+(MOD($B778,60)=PARAM!$B$56)*($B778&gt;(60-PARAM!$B$56))*HLOOKUP(($B778+PARAM!$B$56)/12,Loyalty,2)*$F$1*MAX(BF777,0)</f>
        <v>18.557001321003963</v>
      </c>
      <c r="BE778" s="75">
        <f>PARAM!$C$26+MAX($G$16-CHOOSE(PARAM!$B$44,MAX(0,BF777*$F$1),0),0)*RATES!$L754/12+$H$16*(PARAM!$D$51/12)*RATES!$N754/100</f>
        <v>856.125</v>
      </c>
      <c r="BF778" s="16">
        <f t="shared" si="512"/>
        <v>-107790.01669880809</v>
      </c>
      <c r="BG778" s="15">
        <f t="shared" si="487"/>
        <v>22.170849845882874</v>
      </c>
      <c r="BH778" s="75">
        <f>BG778*(1-PARAM!$C$27)*$I$17+(MOD($B778,60)=PARAM!$B$56)*($B778&gt;(60-PARAM!$B$56))*HLOOKUP(($B778+PARAM!$B$56)/12,Loyalty,2)*$F$1*MAX(BJ777,0)</f>
        <v>18.557001321003963</v>
      </c>
      <c r="BI778" s="75">
        <f>PARAM!$C$26+MAX($G$17-CHOOSE(PARAM!$B$44,MAX(0,BJ777*$F$1),0),0)*RATES!$L754/12+$H$17*(PARAM!$D$51/12)*RATES!$N754/100</f>
        <v>856.125</v>
      </c>
      <c r="BJ778" s="16">
        <f t="shared" si="513"/>
        <v>-107790.01669880809</v>
      </c>
      <c r="BK778" s="15">
        <f t="shared" si="488"/>
        <v>22.170849845882874</v>
      </c>
      <c r="BL778" s="75">
        <f>BK778*(1-PARAM!$C$27)*$I$18+(MOD($B778,60)=PARAM!$B$56)*($B778&gt;(60-PARAM!$B$56))*HLOOKUP(($B778+PARAM!$B$56)/12,Loyalty,2)*$F$1*MAX(BN777,0)</f>
        <v>18.557001321003963</v>
      </c>
      <c r="BM778" s="75">
        <f>PARAM!$C$26+MAX($G$18-CHOOSE(PARAM!$B$44,MAX(0,BN777*$F$1),0),0)*RATES!$L754/12+$H$18*(PARAM!$D$51/12)*RATES!$N754/100</f>
        <v>856.125</v>
      </c>
      <c r="BN778" s="16">
        <f t="shared" si="514"/>
        <v>-107790.01669880809</v>
      </c>
      <c r="BO778" s="15">
        <f t="shared" si="489"/>
        <v>22.170849845882874</v>
      </c>
      <c r="BP778" s="75">
        <f>BO778*(1-PARAM!$C$27)*$I$19+(MOD($B778,60)=PARAM!$B$56)*($B778&gt;(60-PARAM!$B$56))*HLOOKUP(($B778+PARAM!$B$56)/12,Loyalty,2)*$F$1*MAX(BR777,0)</f>
        <v>18.557001321003963</v>
      </c>
      <c r="BQ778" s="75">
        <f>PARAM!$C$26+MAX($G$19-CHOOSE(PARAM!$B$44,MAX(0,BR777*$F$1),0),0)*RATES!$L754/12+$H$19*(PARAM!$D$51/12)*RATES!$N754/100</f>
        <v>856.125</v>
      </c>
      <c r="BR778" s="16">
        <f t="shared" si="515"/>
        <v>-107790.01669880809</v>
      </c>
      <c r="BS778" s="15">
        <f t="shared" si="490"/>
        <v>22.170849845882874</v>
      </c>
      <c r="BT778" s="75">
        <f>BS778*(1-PARAM!$C$27)*$I$20+(MOD($B778,60)=PARAM!$B$56)*($B778&gt;(60-PARAM!$B$56))*HLOOKUP(($B778+PARAM!$B$56)/12,Loyalty,2)*$F$1*MAX(BV777,0)</f>
        <v>18.557001321003963</v>
      </c>
      <c r="BU778" s="75">
        <f>PARAM!$C$26+MAX($G$20-CHOOSE(PARAM!$B$44,MAX(0,BV777*$F$1),0),0)*RATES!$L754/12+$H$20*(PARAM!$D$51/12)*RATES!$N754/100</f>
        <v>856.125</v>
      </c>
      <c r="BV778" s="16">
        <f t="shared" si="516"/>
        <v>-107790.01669880809</v>
      </c>
      <c r="BW778" s="15">
        <f t="shared" si="491"/>
        <v>22.170849845882874</v>
      </c>
      <c r="BX778" s="75">
        <f>BW778*(1-PARAM!$C$27)*$I$21+(MOD($B778,60)=PARAM!$B$56)*($B778&gt;(60-PARAM!$B$56))*HLOOKUP(($B778+PARAM!$B$56)/12,Loyalty,2)*$F$1*MAX(BZ777,0)</f>
        <v>18.557001321003963</v>
      </c>
      <c r="BY778" s="75">
        <f>PARAM!$C$26+MAX($G$21-CHOOSE(PARAM!$B$44,MAX(0,BZ777*$F$1),0),0)*RATES!$L754/12+$H$21*(PARAM!$D$51/12)*RATES!$N754/100</f>
        <v>856.125</v>
      </c>
      <c r="BZ778" s="16">
        <f t="shared" si="517"/>
        <v>-107790.01669880809</v>
      </c>
      <c r="CA778" s="15">
        <f t="shared" si="492"/>
        <v>22.170849845882874</v>
      </c>
      <c r="CB778" s="75">
        <f>CA778*(1-PARAM!$C$27)*$I$22+(MOD($B778,60)=PARAM!$B$56)*($B778&gt;(60-PARAM!$B$56))*HLOOKUP(($B778+PARAM!$B$56)/12,Loyalty,2)*$F$1*MAX(CD777,0)</f>
        <v>18.557001321003963</v>
      </c>
      <c r="CC778" s="75">
        <f>PARAM!$C$26+MAX($G$22-CHOOSE(PARAM!$B$44,MAX(0,CD777*$F$1),0),0)*RATES!$L754/12+$H$22*(PARAM!$D$51/12)*RATES!$N754/100</f>
        <v>856.125</v>
      </c>
      <c r="CD778" s="16">
        <f t="shared" si="518"/>
        <v>-107790.01669880809</v>
      </c>
      <c r="CE778" s="33">
        <f>IF(0=MOD(B778,12/PARAM!$D$51),1,0)</f>
        <v>1</v>
      </c>
      <c r="CF778" s="15">
        <f t="shared" si="493"/>
        <v>0</v>
      </c>
      <c r="CG778" s="75">
        <f>CF778*(1-PARAM!$C$27)*$R$3+(MOD($B778/12,5)=0)*($B778&gt;60)*HLOOKUP($B778/12,Loyalty,2)*$F$1*MAX(CI777,0)</f>
        <v>0</v>
      </c>
      <c r="CH778" s="75">
        <f>PARAM!$C$26+MAX($P$3-CHOOSE(PARAM!$B$44,MAX(0,CI777*$F$1),0),0)*RATES!$L754/12+$Q$3*(PARAM!$D$51/12)*RATES!$N754/100</f>
        <v>856.125</v>
      </c>
      <c r="CI778" s="16">
        <f>IF(CI777&gt;0,CI777*PARAM!$C$53,CI777)+CG778-CH778</f>
        <v>-121606.75000000017</v>
      </c>
      <c r="CJ778" s="15">
        <f t="shared" si="519"/>
        <v>0</v>
      </c>
      <c r="CK778" s="75">
        <f>CJ778*(1-PARAM!$C$27)*$R$4+(MOD($B778/12,5)=0)*($B778&gt;60)*HLOOKUP($B778/12,Loyalty,2)*$F$1*MAX(CM777,0)</f>
        <v>0</v>
      </c>
      <c r="CL778" s="75">
        <f>PARAM!$C$26+MAX($P$4-CHOOSE(PARAM!$B$44,MAX(0,CM777*$F$1),0),0)*RATES!$L754/12+$Q$4*(PARAM!$D$51/12)*RATES!$N754/100</f>
        <v>856.125</v>
      </c>
      <c r="CM778" s="16">
        <f>IF(CM777&gt;0,CM777*PARAM!$C$53,CM777)+CK778-CL778</f>
        <v>-121606.75000000017</v>
      </c>
      <c r="CO778" s="176"/>
    </row>
    <row r="779" spans="1:93" x14ac:dyDescent="0.2">
      <c r="A779" t="b">
        <f t="shared" si="494"/>
        <v>0</v>
      </c>
      <c r="B779" s="33">
        <v>752</v>
      </c>
      <c r="C779" s="15">
        <f t="shared" si="495"/>
        <v>20.081305947392778</v>
      </c>
      <c r="D779" s="75">
        <f>C779*(1-PARAM!$C$27)*$I$3+(MOD($B779,60)=PARAM!$B$56)*($B779&gt;(60-PARAM!$B$56))*HLOOKUP(($B779+PARAM!$B$56)/12,Loyalty,2)*$F$1*MAX(F778,0)</f>
        <v>16.808053077967756</v>
      </c>
      <c r="E779" s="75">
        <f>PARAM!$C$26+MAX($G$3-CHOOSE(PARAM!$B$44,MAX(0,F778*$F$1),0),0)*RATES!$L755/12+$H$3*(PARAM!$D$51/12)*RATES!$N755/100</f>
        <v>856.125</v>
      </c>
      <c r="F779" s="16">
        <f t="shared" si="496"/>
        <v>-109979.64427677185</v>
      </c>
      <c r="G779" s="15">
        <f t="shared" si="497"/>
        <v>22.035289406060361</v>
      </c>
      <c r="H779" s="75">
        <f>G779*(1-PARAM!$C$27)*$I$4+(MOD($B779,60)=PARAM!$B$56)*($B779&gt;(60-PARAM!$B$56))*HLOOKUP(($B779+PARAM!$B$56)/12,Loyalty,2)*$F$1*MAX(J778,0)</f>
        <v>18.443537232872522</v>
      </c>
      <c r="I779" s="75">
        <f>PARAM!$C$26+MAX($G$4-CHOOSE(PARAM!$B$44,MAX(0,J778*$F$1),0),0)*RATES!$L755/12+$H$4*(PARAM!$D$51/12)*RATES!$N755/100</f>
        <v>856.125</v>
      </c>
      <c r="J779" s="16">
        <f t="shared" si="498"/>
        <v>-108715.92722816176</v>
      </c>
      <c r="K779" s="15">
        <f t="shared" si="499"/>
        <v>22.170849845882874</v>
      </c>
      <c r="L779" s="75">
        <f>K779*(1-PARAM!$C$27)*$I$5+(MOD($B779,60)=PARAM!$B$56)*($B779&gt;(60-PARAM!$B$56))*HLOOKUP(($B779+PARAM!$B$56)/12,Loyalty,2)*$F$1*MAX(N778,0)</f>
        <v>18.557001321003963</v>
      </c>
      <c r="M779" s="75">
        <f>PARAM!$C$26+MAX($G$5-CHOOSE(PARAM!$B$44,MAX(0,N778*$F$1),0),0)*RATES!$L755/12+$H$5*(PARAM!$D$51/12)*RATES!$N755/100</f>
        <v>856.125</v>
      </c>
      <c r="N779" s="16">
        <f t="shared" si="500"/>
        <v>-108627.58469748708</v>
      </c>
      <c r="O779" s="15">
        <f t="shared" si="501"/>
        <v>22.170849845882874</v>
      </c>
      <c r="P779" s="75">
        <f>O779*(1-PARAM!$C$27)*$I$6+(MOD($B779,60)=PARAM!$B$56)*($B779&gt;(60-PARAM!$B$56))*HLOOKUP(($B779+PARAM!$B$56)/12,Loyalty,2)*$F$1*MAX(R778,0)</f>
        <v>18.557001321003963</v>
      </c>
      <c r="Q779" s="75">
        <f>PARAM!$C$26+MAX($G$6-CHOOSE(PARAM!$B$44,MAX(0,R778*$F$1),0),0)*RATES!$L755/12+$H$6*(PARAM!$D$51/12)*RATES!$N755/100</f>
        <v>856.125</v>
      </c>
      <c r="R779" s="16">
        <f t="shared" si="502"/>
        <v>-108627.58469748708</v>
      </c>
      <c r="S779" s="15">
        <f t="shared" si="477"/>
        <v>22.170849845882874</v>
      </c>
      <c r="T779" s="75">
        <f>S779*(1-PARAM!$C$27)*$I$7+(MOD($B779,60)=PARAM!$B$56)*($B779&gt;(60-PARAM!$B$56))*HLOOKUP(($B779+PARAM!$B$56)/12,Loyalty,2)*$F$1*MAX(V778,0)</f>
        <v>18.557001321003963</v>
      </c>
      <c r="U779" s="75">
        <f>PARAM!$C$26+MAX($G$7-CHOOSE(PARAM!$B$44,MAX(0,V778*$F$1),0),0)*RATES!$L755/12+$H$7*(PARAM!$D$51/12)*RATES!$N755/100</f>
        <v>856.125</v>
      </c>
      <c r="V779" s="16">
        <f t="shared" si="503"/>
        <v>-108627.58469748708</v>
      </c>
      <c r="W779" s="15">
        <f t="shared" si="478"/>
        <v>22.170849845882874</v>
      </c>
      <c r="X779" s="75">
        <f>W779*(1-PARAM!$C$27)*$I$8+(MOD($B779,60)=PARAM!$B$56)*($B779&gt;(60-PARAM!$B$56))*HLOOKUP(($B779+PARAM!$B$56)/12,Loyalty,2)*$F$1*MAX(Z778,0)</f>
        <v>18.557001321003963</v>
      </c>
      <c r="Y779" s="75">
        <f>PARAM!$C$26+MAX($G$8-CHOOSE(PARAM!$B$44,MAX(0,Z778*$F$1),0),0)*RATES!$L755/12+$H$8*(PARAM!$D$51/12)*RATES!$N755/100</f>
        <v>856.125</v>
      </c>
      <c r="Z779" s="16">
        <f t="shared" si="504"/>
        <v>-108627.58469748708</v>
      </c>
      <c r="AA779" s="15">
        <f t="shared" si="479"/>
        <v>22.170849845882874</v>
      </c>
      <c r="AB779" s="75">
        <f>AA779*(1-PARAM!$C$27)*$I$9+(MOD($B779,60)=PARAM!$B$56)*($B779&gt;(60-PARAM!$B$56))*HLOOKUP(($B779+PARAM!$B$56)/12,Loyalty,2)*$F$1*MAX(AD778,0)</f>
        <v>18.557001321003963</v>
      </c>
      <c r="AC779" s="75">
        <f>PARAM!$C$26+MAX($G$9-CHOOSE(PARAM!$B$44,MAX(0,AD778*$F$1),0),0)*RATES!$L755/12+$H$9*(PARAM!$D$51/12)*RATES!$N755/100</f>
        <v>856.125</v>
      </c>
      <c r="AD779" s="16">
        <f t="shared" si="505"/>
        <v>-108627.58469748708</v>
      </c>
      <c r="AE779" s="15">
        <f t="shared" si="480"/>
        <v>22.170849845882874</v>
      </c>
      <c r="AF779" s="75">
        <f>AE779*(1-PARAM!$C$27)*$I$10+(MOD($B779,60)=PARAM!$B$56)*($B779&gt;(60-PARAM!$B$56))*HLOOKUP(($B779+PARAM!$B$56)/12,Loyalty,2)*$F$1*MAX(AH778,0)</f>
        <v>18.557001321003963</v>
      </c>
      <c r="AG779" s="75">
        <f>PARAM!$C$26+MAX($G$10-CHOOSE(PARAM!$B$44,MAX(0,AH778*$F$1),0),0)*RATES!$L755/12+$H$10*(PARAM!$D$51/12)*RATES!$N755/100</f>
        <v>856.125</v>
      </c>
      <c r="AH779" s="16">
        <f t="shared" si="506"/>
        <v>-108627.58469748708</v>
      </c>
      <c r="AI779" s="15">
        <f t="shared" si="481"/>
        <v>22.170849845882874</v>
      </c>
      <c r="AJ779" s="75">
        <f>AI779*(1-PARAM!$C$27)*$I$11+(MOD($B779,60)=PARAM!$B$56)*($B779&gt;(60-PARAM!$B$56))*HLOOKUP(($B779+PARAM!$B$56)/12,Loyalty,2)*$F$1*MAX(AL778,0)</f>
        <v>18.557001321003963</v>
      </c>
      <c r="AK779" s="75">
        <f>PARAM!$C$26+MAX($G$11-CHOOSE(PARAM!$B$44,MAX(0,AL778*$F$1),0),0)*RATES!$L755/12+$H$11*(PARAM!$D$51/12)*RATES!$N755/100</f>
        <v>856.125</v>
      </c>
      <c r="AL779" s="16">
        <f t="shared" si="507"/>
        <v>-108627.58469748708</v>
      </c>
      <c r="AM779" s="15">
        <f t="shared" si="482"/>
        <v>22.170849845882874</v>
      </c>
      <c r="AN779" s="75">
        <f>AM779*(1-PARAM!$C$27)*$I$12+(MOD($B779,60)=PARAM!$B$56)*($B779&gt;(60-PARAM!$B$56))*HLOOKUP(($B779+PARAM!$B$56)/12,Loyalty,2)*$F$1*MAX(AP778,0)</f>
        <v>18.557001321003963</v>
      </c>
      <c r="AO779" s="75">
        <f>PARAM!$C$26+MAX($G$12-CHOOSE(PARAM!$B$44,MAX(0,AP778*$F$1),0),0)*RATES!$L755/12+$H$12*(PARAM!$D$51/12)*RATES!$N755/100</f>
        <v>856.125</v>
      </c>
      <c r="AP779" s="16">
        <f t="shared" si="508"/>
        <v>-108627.58469748708</v>
      </c>
      <c r="AQ779" s="15">
        <f t="shared" si="483"/>
        <v>22.170849845882874</v>
      </c>
      <c r="AR779" s="75">
        <f>AQ779*(1-PARAM!$C$27)*$I$13+(MOD($B779,60)=PARAM!$B$56)*($B779&gt;(60-PARAM!$B$56))*HLOOKUP(($B779+PARAM!$B$56)/12,Loyalty,2)*$F$1*MAX(AT778,0)</f>
        <v>18.557001321003963</v>
      </c>
      <c r="AS779" s="75">
        <f>PARAM!$C$26+MAX($G$13-CHOOSE(PARAM!$B$44,MAX(0,AT778*$F$1),0),0)*RATES!$L755/12+$H$13*(PARAM!$D$51/12)*RATES!$N755/100</f>
        <v>856.125</v>
      </c>
      <c r="AT779" s="16">
        <f t="shared" si="509"/>
        <v>-108627.58469748708</v>
      </c>
      <c r="AU779" s="15">
        <f t="shared" si="484"/>
        <v>22.170849845882874</v>
      </c>
      <c r="AV779" s="75">
        <f>AU779*(1-PARAM!$C$27)*$I$14+(MOD($B779,60)=PARAM!$B$56)*($B779&gt;(60-PARAM!$B$56))*HLOOKUP(($B779+PARAM!$B$56)/12,Loyalty,2)*$F$1*MAX(AX778,0)</f>
        <v>18.557001321003963</v>
      </c>
      <c r="AW779" s="75">
        <f>PARAM!$C$26+MAX($G$14-CHOOSE(PARAM!$B$44,MAX(0,AX778*$F$1),0),0)*RATES!$L755/12+$H$14*(PARAM!$D$51/12)*RATES!$N755/100</f>
        <v>856.125</v>
      </c>
      <c r="AX779" s="16">
        <f t="shared" si="510"/>
        <v>-108627.58469748708</v>
      </c>
      <c r="AY779" s="15">
        <f t="shared" si="485"/>
        <v>22.170849845882874</v>
      </c>
      <c r="AZ779" s="75">
        <f>AY779*(1-PARAM!$C$27)*$I$15+(MOD($B779,60)=PARAM!$B$56)*($B779&gt;(60-PARAM!$B$56))*HLOOKUP(($B779+PARAM!$B$56)/12,Loyalty,2)*$F$1*MAX(BB778,0)</f>
        <v>18.557001321003963</v>
      </c>
      <c r="BA779" s="75">
        <f>PARAM!$C$26+MAX($G$15-CHOOSE(PARAM!$B$44,MAX(0,BB778*$F$1),0),0)*RATES!$L755/12+$H$15*(PARAM!$D$51/12)*RATES!$N755/100</f>
        <v>856.125</v>
      </c>
      <c r="BB779" s="16">
        <f t="shared" si="511"/>
        <v>-108627.58469748708</v>
      </c>
      <c r="BC779" s="15">
        <f t="shared" si="486"/>
        <v>22.170849845882874</v>
      </c>
      <c r="BD779" s="75">
        <f>BC779*(1-PARAM!$C$27)*$I$16+(MOD($B779,60)=PARAM!$B$56)*($B779&gt;(60-PARAM!$B$56))*HLOOKUP(($B779+PARAM!$B$56)/12,Loyalty,2)*$F$1*MAX(BF778,0)</f>
        <v>18.557001321003963</v>
      </c>
      <c r="BE779" s="75">
        <f>PARAM!$C$26+MAX($G$16-CHOOSE(PARAM!$B$44,MAX(0,BF778*$F$1),0),0)*RATES!$L755/12+$H$16*(PARAM!$D$51/12)*RATES!$N755/100</f>
        <v>856.125</v>
      </c>
      <c r="BF779" s="16">
        <f t="shared" si="512"/>
        <v>-108627.58469748708</v>
      </c>
      <c r="BG779" s="15">
        <f t="shared" si="487"/>
        <v>22.170849845882874</v>
      </c>
      <c r="BH779" s="75">
        <f>BG779*(1-PARAM!$C$27)*$I$17+(MOD($B779,60)=PARAM!$B$56)*($B779&gt;(60-PARAM!$B$56))*HLOOKUP(($B779+PARAM!$B$56)/12,Loyalty,2)*$F$1*MAX(BJ778,0)</f>
        <v>18.557001321003963</v>
      </c>
      <c r="BI779" s="75">
        <f>PARAM!$C$26+MAX($G$17-CHOOSE(PARAM!$B$44,MAX(0,BJ778*$F$1),0),0)*RATES!$L755/12+$H$17*(PARAM!$D$51/12)*RATES!$N755/100</f>
        <v>856.125</v>
      </c>
      <c r="BJ779" s="16">
        <f t="shared" si="513"/>
        <v>-108627.58469748708</v>
      </c>
      <c r="BK779" s="15">
        <f t="shared" si="488"/>
        <v>22.170849845882874</v>
      </c>
      <c r="BL779" s="75">
        <f>BK779*(1-PARAM!$C$27)*$I$18+(MOD($B779,60)=PARAM!$B$56)*($B779&gt;(60-PARAM!$B$56))*HLOOKUP(($B779+PARAM!$B$56)/12,Loyalty,2)*$F$1*MAX(BN778,0)</f>
        <v>18.557001321003963</v>
      </c>
      <c r="BM779" s="75">
        <f>PARAM!$C$26+MAX($G$18-CHOOSE(PARAM!$B$44,MAX(0,BN778*$F$1),0),0)*RATES!$L755/12+$H$18*(PARAM!$D$51/12)*RATES!$N755/100</f>
        <v>856.125</v>
      </c>
      <c r="BN779" s="16">
        <f t="shared" si="514"/>
        <v>-108627.58469748708</v>
      </c>
      <c r="BO779" s="15">
        <f t="shared" si="489"/>
        <v>22.170849845882874</v>
      </c>
      <c r="BP779" s="75">
        <f>BO779*(1-PARAM!$C$27)*$I$19+(MOD($B779,60)=PARAM!$B$56)*($B779&gt;(60-PARAM!$B$56))*HLOOKUP(($B779+PARAM!$B$56)/12,Loyalty,2)*$F$1*MAX(BR778,0)</f>
        <v>18.557001321003963</v>
      </c>
      <c r="BQ779" s="75">
        <f>PARAM!$C$26+MAX($G$19-CHOOSE(PARAM!$B$44,MAX(0,BR778*$F$1),0),0)*RATES!$L755/12+$H$19*(PARAM!$D$51/12)*RATES!$N755/100</f>
        <v>856.125</v>
      </c>
      <c r="BR779" s="16">
        <f t="shared" si="515"/>
        <v>-108627.58469748708</v>
      </c>
      <c r="BS779" s="15">
        <f t="shared" si="490"/>
        <v>22.170849845882874</v>
      </c>
      <c r="BT779" s="75">
        <f>BS779*(1-PARAM!$C$27)*$I$20+(MOD($B779,60)=PARAM!$B$56)*($B779&gt;(60-PARAM!$B$56))*HLOOKUP(($B779+PARAM!$B$56)/12,Loyalty,2)*$F$1*MAX(BV778,0)</f>
        <v>18.557001321003963</v>
      </c>
      <c r="BU779" s="75">
        <f>PARAM!$C$26+MAX($G$20-CHOOSE(PARAM!$B$44,MAX(0,BV778*$F$1),0),0)*RATES!$L755/12+$H$20*(PARAM!$D$51/12)*RATES!$N755/100</f>
        <v>856.125</v>
      </c>
      <c r="BV779" s="16">
        <f t="shared" si="516"/>
        <v>-108627.58469748708</v>
      </c>
      <c r="BW779" s="15">
        <f t="shared" si="491"/>
        <v>22.170849845882874</v>
      </c>
      <c r="BX779" s="75">
        <f>BW779*(1-PARAM!$C$27)*$I$21+(MOD($B779,60)=PARAM!$B$56)*($B779&gt;(60-PARAM!$B$56))*HLOOKUP(($B779+PARAM!$B$56)/12,Loyalty,2)*$F$1*MAX(BZ778,0)</f>
        <v>18.557001321003963</v>
      </c>
      <c r="BY779" s="75">
        <f>PARAM!$C$26+MAX($G$21-CHOOSE(PARAM!$B$44,MAX(0,BZ778*$F$1),0),0)*RATES!$L755/12+$H$21*(PARAM!$D$51/12)*RATES!$N755/100</f>
        <v>856.125</v>
      </c>
      <c r="BZ779" s="16">
        <f t="shared" si="517"/>
        <v>-108627.58469748708</v>
      </c>
      <c r="CA779" s="15">
        <f t="shared" si="492"/>
        <v>22.170849845882874</v>
      </c>
      <c r="CB779" s="75">
        <f>CA779*(1-PARAM!$C$27)*$I$22+(MOD($B779,60)=PARAM!$B$56)*($B779&gt;(60-PARAM!$B$56))*HLOOKUP(($B779+PARAM!$B$56)/12,Loyalty,2)*$F$1*MAX(CD778,0)</f>
        <v>18.557001321003963</v>
      </c>
      <c r="CC779" s="75">
        <f>PARAM!$C$26+MAX($G$22-CHOOSE(PARAM!$B$44,MAX(0,CD778*$F$1),0),0)*RATES!$L755/12+$H$22*(PARAM!$D$51/12)*RATES!$N755/100</f>
        <v>856.125</v>
      </c>
      <c r="CD779" s="16">
        <f t="shared" si="518"/>
        <v>-108627.58469748708</v>
      </c>
      <c r="CE779" s="33">
        <f>IF(0=MOD(B779,12/PARAM!$D$51),1,0)</f>
        <v>1</v>
      </c>
      <c r="CF779" s="15">
        <f t="shared" si="493"/>
        <v>0</v>
      </c>
      <c r="CG779" s="75">
        <f>CF779*(1-PARAM!$C$27)*$R$3+(MOD($B779/12,5)=0)*($B779&gt;60)*HLOOKUP($B779/12,Loyalty,2)*$F$1*MAX(CI778,0)</f>
        <v>0</v>
      </c>
      <c r="CH779" s="75">
        <f>PARAM!$C$26+MAX($P$3-CHOOSE(PARAM!$B$44,MAX(0,CI778*$F$1),0),0)*RATES!$L755/12+$Q$3*(PARAM!$D$51/12)*RATES!$N755/100</f>
        <v>856.125</v>
      </c>
      <c r="CI779" s="16">
        <f>IF(CI778&gt;0,CI778*PARAM!$C$53,CI778)+CG779-CH779</f>
        <v>-122462.87500000017</v>
      </c>
      <c r="CJ779" s="15">
        <f t="shared" si="519"/>
        <v>0</v>
      </c>
      <c r="CK779" s="75">
        <f>CJ779*(1-PARAM!$C$27)*$R$4+(MOD($B779/12,5)=0)*($B779&gt;60)*HLOOKUP($B779/12,Loyalty,2)*$F$1*MAX(CM778,0)</f>
        <v>0</v>
      </c>
      <c r="CL779" s="75">
        <f>PARAM!$C$26+MAX($P$4-CHOOSE(PARAM!$B$44,MAX(0,CM778*$F$1),0),0)*RATES!$L755/12+$Q$4*(PARAM!$D$51/12)*RATES!$N755/100</f>
        <v>856.125</v>
      </c>
      <c r="CM779" s="16">
        <f>IF(CM778&gt;0,CM778*PARAM!$C$53,CM778)+CK779-CL779</f>
        <v>-122462.87500000017</v>
      </c>
      <c r="CO779" s="176"/>
    </row>
    <row r="780" spans="1:93" x14ac:dyDescent="0.2">
      <c r="A780" t="b">
        <f t="shared" si="494"/>
        <v>0</v>
      </c>
      <c r="B780" s="33">
        <v>753</v>
      </c>
      <c r="C780" s="15">
        <f t="shared" si="495"/>
        <v>20.081305947392778</v>
      </c>
      <c r="D780" s="75">
        <f>C780*(1-PARAM!$C$27)*$I$3+(MOD($B780,60)=PARAM!$B$56)*($B780&gt;(60-PARAM!$B$56))*HLOOKUP(($B780+PARAM!$B$56)/12,Loyalty,2)*$F$1*MAX(F779,0)</f>
        <v>16.808053077967756</v>
      </c>
      <c r="E780" s="75">
        <f>PARAM!$C$26+MAX($G$3-CHOOSE(PARAM!$B$44,MAX(0,F779*$F$1),0),0)*RATES!$L756/12+$H$3*(PARAM!$D$51/12)*RATES!$N756/100</f>
        <v>856.125</v>
      </c>
      <c r="F780" s="16">
        <f t="shared" si="496"/>
        <v>-110818.96122369388</v>
      </c>
      <c r="G780" s="15">
        <f t="shared" si="497"/>
        <v>22.035289406060361</v>
      </c>
      <c r="H780" s="75">
        <f>G780*(1-PARAM!$C$27)*$I$4+(MOD($B780,60)=PARAM!$B$56)*($B780&gt;(60-PARAM!$B$56))*HLOOKUP(($B780+PARAM!$B$56)/12,Loyalty,2)*$F$1*MAX(J779,0)</f>
        <v>18.443537232872522</v>
      </c>
      <c r="I780" s="75">
        <f>PARAM!$C$26+MAX($G$4-CHOOSE(PARAM!$B$44,MAX(0,J779*$F$1),0),0)*RATES!$L756/12+$H$4*(PARAM!$D$51/12)*RATES!$N756/100</f>
        <v>856.125</v>
      </c>
      <c r="J780" s="16">
        <f t="shared" si="498"/>
        <v>-109553.60869092889</v>
      </c>
      <c r="K780" s="15">
        <f t="shared" si="499"/>
        <v>22.170849845882874</v>
      </c>
      <c r="L780" s="75">
        <f>K780*(1-PARAM!$C$27)*$I$5+(MOD($B780,60)=PARAM!$B$56)*($B780&gt;(60-PARAM!$B$56))*HLOOKUP(($B780+PARAM!$B$56)/12,Loyalty,2)*$F$1*MAX(N779,0)</f>
        <v>18.557001321003963</v>
      </c>
      <c r="M780" s="75">
        <f>PARAM!$C$26+MAX($G$5-CHOOSE(PARAM!$B$44,MAX(0,N779*$F$1),0),0)*RATES!$L756/12+$H$5*(PARAM!$D$51/12)*RATES!$N756/100</f>
        <v>856.125</v>
      </c>
      <c r="N780" s="16">
        <f t="shared" si="500"/>
        <v>-109465.15269616607</v>
      </c>
      <c r="O780" s="15">
        <f t="shared" si="501"/>
        <v>22.170849845882874</v>
      </c>
      <c r="P780" s="75">
        <f>O780*(1-PARAM!$C$27)*$I$6+(MOD($B780,60)=PARAM!$B$56)*($B780&gt;(60-PARAM!$B$56))*HLOOKUP(($B780+PARAM!$B$56)/12,Loyalty,2)*$F$1*MAX(R779,0)</f>
        <v>18.557001321003963</v>
      </c>
      <c r="Q780" s="75">
        <f>PARAM!$C$26+MAX($G$6-CHOOSE(PARAM!$B$44,MAX(0,R779*$F$1),0),0)*RATES!$L756/12+$H$6*(PARAM!$D$51/12)*RATES!$N756/100</f>
        <v>856.125</v>
      </c>
      <c r="R780" s="16">
        <f t="shared" si="502"/>
        <v>-109465.15269616607</v>
      </c>
      <c r="S780" s="15">
        <f t="shared" si="477"/>
        <v>22.170849845882874</v>
      </c>
      <c r="T780" s="75">
        <f>S780*(1-PARAM!$C$27)*$I$7+(MOD($B780,60)=PARAM!$B$56)*($B780&gt;(60-PARAM!$B$56))*HLOOKUP(($B780+PARAM!$B$56)/12,Loyalty,2)*$F$1*MAX(V779,0)</f>
        <v>18.557001321003963</v>
      </c>
      <c r="U780" s="75">
        <f>PARAM!$C$26+MAX($G$7-CHOOSE(PARAM!$B$44,MAX(0,V779*$F$1),0),0)*RATES!$L756/12+$H$7*(PARAM!$D$51/12)*RATES!$N756/100</f>
        <v>856.125</v>
      </c>
      <c r="V780" s="16">
        <f t="shared" si="503"/>
        <v>-109465.15269616607</v>
      </c>
      <c r="W780" s="15">
        <f t="shared" si="478"/>
        <v>22.170849845882874</v>
      </c>
      <c r="X780" s="75">
        <f>W780*(1-PARAM!$C$27)*$I$8+(MOD($B780,60)=PARAM!$B$56)*($B780&gt;(60-PARAM!$B$56))*HLOOKUP(($B780+PARAM!$B$56)/12,Loyalty,2)*$F$1*MAX(Z779,0)</f>
        <v>18.557001321003963</v>
      </c>
      <c r="Y780" s="75">
        <f>PARAM!$C$26+MAX($G$8-CHOOSE(PARAM!$B$44,MAX(0,Z779*$F$1),0),0)*RATES!$L756/12+$H$8*(PARAM!$D$51/12)*RATES!$N756/100</f>
        <v>856.125</v>
      </c>
      <c r="Z780" s="16">
        <f t="shared" si="504"/>
        <v>-109465.15269616607</v>
      </c>
      <c r="AA780" s="15">
        <f t="shared" si="479"/>
        <v>22.170849845882874</v>
      </c>
      <c r="AB780" s="75">
        <f>AA780*(1-PARAM!$C$27)*$I$9+(MOD($B780,60)=PARAM!$B$56)*($B780&gt;(60-PARAM!$B$56))*HLOOKUP(($B780+PARAM!$B$56)/12,Loyalty,2)*$F$1*MAX(AD779,0)</f>
        <v>18.557001321003963</v>
      </c>
      <c r="AC780" s="75">
        <f>PARAM!$C$26+MAX($G$9-CHOOSE(PARAM!$B$44,MAX(0,AD779*$F$1),0),0)*RATES!$L756/12+$H$9*(PARAM!$D$51/12)*RATES!$N756/100</f>
        <v>856.125</v>
      </c>
      <c r="AD780" s="16">
        <f t="shared" si="505"/>
        <v>-109465.15269616607</v>
      </c>
      <c r="AE780" s="15">
        <f t="shared" si="480"/>
        <v>22.170849845882874</v>
      </c>
      <c r="AF780" s="75">
        <f>AE780*(1-PARAM!$C$27)*$I$10+(MOD($B780,60)=PARAM!$B$56)*($B780&gt;(60-PARAM!$B$56))*HLOOKUP(($B780+PARAM!$B$56)/12,Loyalty,2)*$F$1*MAX(AH779,0)</f>
        <v>18.557001321003963</v>
      </c>
      <c r="AG780" s="75">
        <f>PARAM!$C$26+MAX($G$10-CHOOSE(PARAM!$B$44,MAX(0,AH779*$F$1),0),0)*RATES!$L756/12+$H$10*(PARAM!$D$51/12)*RATES!$N756/100</f>
        <v>856.125</v>
      </c>
      <c r="AH780" s="16">
        <f t="shared" si="506"/>
        <v>-109465.15269616607</v>
      </c>
      <c r="AI780" s="15">
        <f t="shared" si="481"/>
        <v>22.170849845882874</v>
      </c>
      <c r="AJ780" s="75">
        <f>AI780*(1-PARAM!$C$27)*$I$11+(MOD($B780,60)=PARAM!$B$56)*($B780&gt;(60-PARAM!$B$56))*HLOOKUP(($B780+PARAM!$B$56)/12,Loyalty,2)*$F$1*MAX(AL779,0)</f>
        <v>18.557001321003963</v>
      </c>
      <c r="AK780" s="75">
        <f>PARAM!$C$26+MAX($G$11-CHOOSE(PARAM!$B$44,MAX(0,AL779*$F$1),0),0)*RATES!$L756/12+$H$11*(PARAM!$D$51/12)*RATES!$N756/100</f>
        <v>856.125</v>
      </c>
      <c r="AL780" s="16">
        <f t="shared" si="507"/>
        <v>-109465.15269616607</v>
      </c>
      <c r="AM780" s="15">
        <f t="shared" si="482"/>
        <v>22.170849845882874</v>
      </c>
      <c r="AN780" s="75">
        <f>AM780*(1-PARAM!$C$27)*$I$12+(MOD($B780,60)=PARAM!$B$56)*($B780&gt;(60-PARAM!$B$56))*HLOOKUP(($B780+PARAM!$B$56)/12,Loyalty,2)*$F$1*MAX(AP779,0)</f>
        <v>18.557001321003963</v>
      </c>
      <c r="AO780" s="75">
        <f>PARAM!$C$26+MAX($G$12-CHOOSE(PARAM!$B$44,MAX(0,AP779*$F$1),0),0)*RATES!$L756/12+$H$12*(PARAM!$D$51/12)*RATES!$N756/100</f>
        <v>856.125</v>
      </c>
      <c r="AP780" s="16">
        <f t="shared" si="508"/>
        <v>-109465.15269616607</v>
      </c>
      <c r="AQ780" s="15">
        <f t="shared" si="483"/>
        <v>22.170849845882874</v>
      </c>
      <c r="AR780" s="75">
        <f>AQ780*(1-PARAM!$C$27)*$I$13+(MOD($B780,60)=PARAM!$B$56)*($B780&gt;(60-PARAM!$B$56))*HLOOKUP(($B780+PARAM!$B$56)/12,Loyalty,2)*$F$1*MAX(AT779,0)</f>
        <v>18.557001321003963</v>
      </c>
      <c r="AS780" s="75">
        <f>PARAM!$C$26+MAX($G$13-CHOOSE(PARAM!$B$44,MAX(0,AT779*$F$1),0),0)*RATES!$L756/12+$H$13*(PARAM!$D$51/12)*RATES!$N756/100</f>
        <v>856.125</v>
      </c>
      <c r="AT780" s="16">
        <f t="shared" si="509"/>
        <v>-109465.15269616607</v>
      </c>
      <c r="AU780" s="15">
        <f t="shared" si="484"/>
        <v>22.170849845882874</v>
      </c>
      <c r="AV780" s="75">
        <f>AU780*(1-PARAM!$C$27)*$I$14+(MOD($B780,60)=PARAM!$B$56)*($B780&gt;(60-PARAM!$B$56))*HLOOKUP(($B780+PARAM!$B$56)/12,Loyalty,2)*$F$1*MAX(AX779,0)</f>
        <v>18.557001321003963</v>
      </c>
      <c r="AW780" s="75">
        <f>PARAM!$C$26+MAX($G$14-CHOOSE(PARAM!$B$44,MAX(0,AX779*$F$1),0),0)*RATES!$L756/12+$H$14*(PARAM!$D$51/12)*RATES!$N756/100</f>
        <v>856.125</v>
      </c>
      <c r="AX780" s="16">
        <f t="shared" si="510"/>
        <v>-109465.15269616607</v>
      </c>
      <c r="AY780" s="15">
        <f t="shared" si="485"/>
        <v>22.170849845882874</v>
      </c>
      <c r="AZ780" s="75">
        <f>AY780*(1-PARAM!$C$27)*$I$15+(MOD($B780,60)=PARAM!$B$56)*($B780&gt;(60-PARAM!$B$56))*HLOOKUP(($B780+PARAM!$B$56)/12,Loyalty,2)*$F$1*MAX(BB779,0)</f>
        <v>18.557001321003963</v>
      </c>
      <c r="BA780" s="75">
        <f>PARAM!$C$26+MAX($G$15-CHOOSE(PARAM!$B$44,MAX(0,BB779*$F$1),0),0)*RATES!$L756/12+$H$15*(PARAM!$D$51/12)*RATES!$N756/100</f>
        <v>856.125</v>
      </c>
      <c r="BB780" s="16">
        <f t="shared" si="511"/>
        <v>-109465.15269616607</v>
      </c>
      <c r="BC780" s="15">
        <f t="shared" si="486"/>
        <v>22.170849845882874</v>
      </c>
      <c r="BD780" s="75">
        <f>BC780*(1-PARAM!$C$27)*$I$16+(MOD($B780,60)=PARAM!$B$56)*($B780&gt;(60-PARAM!$B$56))*HLOOKUP(($B780+PARAM!$B$56)/12,Loyalty,2)*$F$1*MAX(BF779,0)</f>
        <v>18.557001321003963</v>
      </c>
      <c r="BE780" s="75">
        <f>PARAM!$C$26+MAX($G$16-CHOOSE(PARAM!$B$44,MAX(0,BF779*$F$1),0),0)*RATES!$L756/12+$H$16*(PARAM!$D$51/12)*RATES!$N756/100</f>
        <v>856.125</v>
      </c>
      <c r="BF780" s="16">
        <f t="shared" si="512"/>
        <v>-109465.15269616607</v>
      </c>
      <c r="BG780" s="15">
        <f t="shared" si="487"/>
        <v>22.170849845882874</v>
      </c>
      <c r="BH780" s="75">
        <f>BG780*(1-PARAM!$C$27)*$I$17+(MOD($B780,60)=PARAM!$B$56)*($B780&gt;(60-PARAM!$B$56))*HLOOKUP(($B780+PARAM!$B$56)/12,Loyalty,2)*$F$1*MAX(BJ779,0)</f>
        <v>18.557001321003963</v>
      </c>
      <c r="BI780" s="75">
        <f>PARAM!$C$26+MAX($G$17-CHOOSE(PARAM!$B$44,MAX(0,BJ779*$F$1),0),0)*RATES!$L756/12+$H$17*(PARAM!$D$51/12)*RATES!$N756/100</f>
        <v>856.125</v>
      </c>
      <c r="BJ780" s="16">
        <f t="shared" si="513"/>
        <v>-109465.15269616607</v>
      </c>
      <c r="BK780" s="15">
        <f t="shared" si="488"/>
        <v>22.170849845882874</v>
      </c>
      <c r="BL780" s="75">
        <f>BK780*(1-PARAM!$C$27)*$I$18+(MOD($B780,60)=PARAM!$B$56)*($B780&gt;(60-PARAM!$B$56))*HLOOKUP(($B780+PARAM!$B$56)/12,Loyalty,2)*$F$1*MAX(BN779,0)</f>
        <v>18.557001321003963</v>
      </c>
      <c r="BM780" s="75">
        <f>PARAM!$C$26+MAX($G$18-CHOOSE(PARAM!$B$44,MAX(0,BN779*$F$1),0),0)*RATES!$L756/12+$H$18*(PARAM!$D$51/12)*RATES!$N756/100</f>
        <v>856.125</v>
      </c>
      <c r="BN780" s="16">
        <f t="shared" si="514"/>
        <v>-109465.15269616607</v>
      </c>
      <c r="BO780" s="15">
        <f t="shared" si="489"/>
        <v>22.170849845882874</v>
      </c>
      <c r="BP780" s="75">
        <f>BO780*(1-PARAM!$C$27)*$I$19+(MOD($B780,60)=PARAM!$B$56)*($B780&gt;(60-PARAM!$B$56))*HLOOKUP(($B780+PARAM!$B$56)/12,Loyalty,2)*$F$1*MAX(BR779,0)</f>
        <v>18.557001321003963</v>
      </c>
      <c r="BQ780" s="75">
        <f>PARAM!$C$26+MAX($G$19-CHOOSE(PARAM!$B$44,MAX(0,BR779*$F$1),0),0)*RATES!$L756/12+$H$19*(PARAM!$D$51/12)*RATES!$N756/100</f>
        <v>856.125</v>
      </c>
      <c r="BR780" s="16">
        <f t="shared" si="515"/>
        <v>-109465.15269616607</v>
      </c>
      <c r="BS780" s="15">
        <f t="shared" si="490"/>
        <v>22.170849845882874</v>
      </c>
      <c r="BT780" s="75">
        <f>BS780*(1-PARAM!$C$27)*$I$20+(MOD($B780,60)=PARAM!$B$56)*($B780&gt;(60-PARAM!$B$56))*HLOOKUP(($B780+PARAM!$B$56)/12,Loyalty,2)*$F$1*MAX(BV779,0)</f>
        <v>18.557001321003963</v>
      </c>
      <c r="BU780" s="75">
        <f>PARAM!$C$26+MAX($G$20-CHOOSE(PARAM!$B$44,MAX(0,BV779*$F$1),0),0)*RATES!$L756/12+$H$20*(PARAM!$D$51/12)*RATES!$N756/100</f>
        <v>856.125</v>
      </c>
      <c r="BV780" s="16">
        <f t="shared" si="516"/>
        <v>-109465.15269616607</v>
      </c>
      <c r="BW780" s="15">
        <f t="shared" si="491"/>
        <v>22.170849845882874</v>
      </c>
      <c r="BX780" s="75">
        <f>BW780*(1-PARAM!$C$27)*$I$21+(MOD($B780,60)=PARAM!$B$56)*($B780&gt;(60-PARAM!$B$56))*HLOOKUP(($B780+PARAM!$B$56)/12,Loyalty,2)*$F$1*MAX(BZ779,0)</f>
        <v>18.557001321003963</v>
      </c>
      <c r="BY780" s="75">
        <f>PARAM!$C$26+MAX($G$21-CHOOSE(PARAM!$B$44,MAX(0,BZ779*$F$1),0),0)*RATES!$L756/12+$H$21*(PARAM!$D$51/12)*RATES!$N756/100</f>
        <v>856.125</v>
      </c>
      <c r="BZ780" s="16">
        <f t="shared" si="517"/>
        <v>-109465.15269616607</v>
      </c>
      <c r="CA780" s="15">
        <f t="shared" si="492"/>
        <v>22.170849845882874</v>
      </c>
      <c r="CB780" s="75">
        <f>CA780*(1-PARAM!$C$27)*$I$22+(MOD($B780,60)=PARAM!$B$56)*($B780&gt;(60-PARAM!$B$56))*HLOOKUP(($B780+PARAM!$B$56)/12,Loyalty,2)*$F$1*MAX(CD779,0)</f>
        <v>18.557001321003963</v>
      </c>
      <c r="CC780" s="75">
        <f>PARAM!$C$26+MAX($G$22-CHOOSE(PARAM!$B$44,MAX(0,CD779*$F$1),0),0)*RATES!$L756/12+$H$22*(PARAM!$D$51/12)*RATES!$N756/100</f>
        <v>856.125</v>
      </c>
      <c r="CD780" s="16">
        <f t="shared" si="518"/>
        <v>-109465.15269616607</v>
      </c>
      <c r="CE780" s="33">
        <f>IF(0=MOD(B780,12/PARAM!$D$51),1,0)</f>
        <v>1</v>
      </c>
      <c r="CF780" s="15">
        <f t="shared" si="493"/>
        <v>0</v>
      </c>
      <c r="CG780" s="75">
        <f>CF780*(1-PARAM!$C$27)*$R$3+(MOD($B780/12,5)=0)*($B780&gt;60)*HLOOKUP($B780/12,Loyalty,2)*$F$1*MAX(CI779,0)</f>
        <v>0</v>
      </c>
      <c r="CH780" s="75">
        <f>PARAM!$C$26+MAX($P$3-CHOOSE(PARAM!$B$44,MAX(0,CI779*$F$1),0),0)*RATES!$L756/12+$Q$3*(PARAM!$D$51/12)*RATES!$N756/100</f>
        <v>856.125</v>
      </c>
      <c r="CI780" s="16">
        <f>IF(CI779&gt;0,CI779*PARAM!$C$53,CI779)+CG780-CH780</f>
        <v>-123319.00000000017</v>
      </c>
      <c r="CJ780" s="15">
        <f t="shared" si="519"/>
        <v>0</v>
      </c>
      <c r="CK780" s="75">
        <f>CJ780*(1-PARAM!$C$27)*$R$4+(MOD($B780/12,5)=0)*($B780&gt;60)*HLOOKUP($B780/12,Loyalty,2)*$F$1*MAX(CM779,0)</f>
        <v>0</v>
      </c>
      <c r="CL780" s="75">
        <f>PARAM!$C$26+MAX($P$4-CHOOSE(PARAM!$B$44,MAX(0,CM779*$F$1),0),0)*RATES!$L756/12+$Q$4*(PARAM!$D$51/12)*RATES!$N756/100</f>
        <v>856.125</v>
      </c>
      <c r="CM780" s="16">
        <f>IF(CM779&gt;0,CM779*PARAM!$C$53,CM779)+CK780-CL780</f>
        <v>-123319.00000000017</v>
      </c>
      <c r="CO780" s="176"/>
    </row>
    <row r="781" spans="1:93" x14ac:dyDescent="0.2">
      <c r="A781" t="b">
        <f t="shared" si="494"/>
        <v>0</v>
      </c>
      <c r="B781" s="33">
        <v>754</v>
      </c>
      <c r="C781" s="15">
        <f t="shared" si="495"/>
        <v>20.081305947392778</v>
      </c>
      <c r="D781" s="75">
        <f>C781*(1-PARAM!$C$27)*$I$3+(MOD($B781,60)=PARAM!$B$56)*($B781&gt;(60-PARAM!$B$56))*HLOOKUP(($B781+PARAM!$B$56)/12,Loyalty,2)*$F$1*MAX(F780,0)</f>
        <v>16.808053077967756</v>
      </c>
      <c r="E781" s="75">
        <f>PARAM!$C$26+MAX($G$3-CHOOSE(PARAM!$B$44,MAX(0,F780*$F$1),0),0)*RATES!$L757/12+$H$3*(PARAM!$D$51/12)*RATES!$N757/100</f>
        <v>856.125</v>
      </c>
      <c r="F781" s="16">
        <f t="shared" si="496"/>
        <v>-111658.27817061591</v>
      </c>
      <c r="G781" s="15">
        <f t="shared" si="497"/>
        <v>22.035289406060361</v>
      </c>
      <c r="H781" s="75">
        <f>G781*(1-PARAM!$C$27)*$I$4+(MOD($B781,60)=PARAM!$B$56)*($B781&gt;(60-PARAM!$B$56))*HLOOKUP(($B781+PARAM!$B$56)/12,Loyalty,2)*$F$1*MAX(J780,0)</f>
        <v>18.443537232872522</v>
      </c>
      <c r="I781" s="75">
        <f>PARAM!$C$26+MAX($G$4-CHOOSE(PARAM!$B$44,MAX(0,J780*$F$1),0),0)*RATES!$L757/12+$H$4*(PARAM!$D$51/12)*RATES!$N757/100</f>
        <v>856.125</v>
      </c>
      <c r="J781" s="16">
        <f t="shared" si="498"/>
        <v>-110391.29015369601</v>
      </c>
      <c r="K781" s="15">
        <f t="shared" si="499"/>
        <v>22.170849845882874</v>
      </c>
      <c r="L781" s="75">
        <f>K781*(1-PARAM!$C$27)*$I$5+(MOD($B781,60)=PARAM!$B$56)*($B781&gt;(60-PARAM!$B$56))*HLOOKUP(($B781+PARAM!$B$56)/12,Loyalty,2)*$F$1*MAX(N780,0)</f>
        <v>18.557001321003963</v>
      </c>
      <c r="M781" s="75">
        <f>PARAM!$C$26+MAX($G$5-CHOOSE(PARAM!$B$44,MAX(0,N780*$F$1),0),0)*RATES!$L757/12+$H$5*(PARAM!$D$51/12)*RATES!$N757/100</f>
        <v>856.125</v>
      </c>
      <c r="N781" s="16">
        <f t="shared" si="500"/>
        <v>-110302.72069484506</v>
      </c>
      <c r="O781" s="15">
        <f t="shared" si="501"/>
        <v>22.170849845882874</v>
      </c>
      <c r="P781" s="75">
        <f>O781*(1-PARAM!$C$27)*$I$6+(MOD($B781,60)=PARAM!$B$56)*($B781&gt;(60-PARAM!$B$56))*HLOOKUP(($B781+PARAM!$B$56)/12,Loyalty,2)*$F$1*MAX(R780,0)</f>
        <v>18.557001321003963</v>
      </c>
      <c r="Q781" s="75">
        <f>PARAM!$C$26+MAX($G$6-CHOOSE(PARAM!$B$44,MAX(0,R780*$F$1),0),0)*RATES!$L757/12+$H$6*(PARAM!$D$51/12)*RATES!$N757/100</f>
        <v>856.125</v>
      </c>
      <c r="R781" s="16">
        <f t="shared" si="502"/>
        <v>-110302.72069484506</v>
      </c>
      <c r="S781" s="15">
        <f t="shared" si="477"/>
        <v>22.170849845882874</v>
      </c>
      <c r="T781" s="75">
        <f>S781*(1-PARAM!$C$27)*$I$7+(MOD($B781,60)=PARAM!$B$56)*($B781&gt;(60-PARAM!$B$56))*HLOOKUP(($B781+PARAM!$B$56)/12,Loyalty,2)*$F$1*MAX(V780,0)</f>
        <v>18.557001321003963</v>
      </c>
      <c r="U781" s="75">
        <f>PARAM!$C$26+MAX($G$7-CHOOSE(PARAM!$B$44,MAX(0,V780*$F$1),0),0)*RATES!$L757/12+$H$7*(PARAM!$D$51/12)*RATES!$N757/100</f>
        <v>856.125</v>
      </c>
      <c r="V781" s="16">
        <f t="shared" si="503"/>
        <v>-110302.72069484506</v>
      </c>
      <c r="W781" s="15">
        <f t="shared" si="478"/>
        <v>22.170849845882874</v>
      </c>
      <c r="X781" s="75">
        <f>W781*(1-PARAM!$C$27)*$I$8+(MOD($B781,60)=PARAM!$B$56)*($B781&gt;(60-PARAM!$B$56))*HLOOKUP(($B781+PARAM!$B$56)/12,Loyalty,2)*$F$1*MAX(Z780,0)</f>
        <v>18.557001321003963</v>
      </c>
      <c r="Y781" s="75">
        <f>PARAM!$C$26+MAX($G$8-CHOOSE(PARAM!$B$44,MAX(0,Z780*$F$1),0),0)*RATES!$L757/12+$H$8*(PARAM!$D$51/12)*RATES!$N757/100</f>
        <v>856.125</v>
      </c>
      <c r="Z781" s="16">
        <f t="shared" si="504"/>
        <v>-110302.72069484506</v>
      </c>
      <c r="AA781" s="15">
        <f t="shared" si="479"/>
        <v>22.170849845882874</v>
      </c>
      <c r="AB781" s="75">
        <f>AA781*(1-PARAM!$C$27)*$I$9+(MOD($B781,60)=PARAM!$B$56)*($B781&gt;(60-PARAM!$B$56))*HLOOKUP(($B781+PARAM!$B$56)/12,Loyalty,2)*$F$1*MAX(AD780,0)</f>
        <v>18.557001321003963</v>
      </c>
      <c r="AC781" s="75">
        <f>PARAM!$C$26+MAX($G$9-CHOOSE(PARAM!$B$44,MAX(0,AD780*$F$1),0),0)*RATES!$L757/12+$H$9*(PARAM!$D$51/12)*RATES!$N757/100</f>
        <v>856.125</v>
      </c>
      <c r="AD781" s="16">
        <f t="shared" si="505"/>
        <v>-110302.72069484506</v>
      </c>
      <c r="AE781" s="15">
        <f t="shared" si="480"/>
        <v>22.170849845882874</v>
      </c>
      <c r="AF781" s="75">
        <f>AE781*(1-PARAM!$C$27)*$I$10+(MOD($B781,60)=PARAM!$B$56)*($B781&gt;(60-PARAM!$B$56))*HLOOKUP(($B781+PARAM!$B$56)/12,Loyalty,2)*$F$1*MAX(AH780,0)</f>
        <v>18.557001321003963</v>
      </c>
      <c r="AG781" s="75">
        <f>PARAM!$C$26+MAX($G$10-CHOOSE(PARAM!$B$44,MAX(0,AH780*$F$1),0),0)*RATES!$L757/12+$H$10*(PARAM!$D$51/12)*RATES!$N757/100</f>
        <v>856.125</v>
      </c>
      <c r="AH781" s="16">
        <f t="shared" si="506"/>
        <v>-110302.72069484506</v>
      </c>
      <c r="AI781" s="15">
        <f t="shared" si="481"/>
        <v>22.170849845882874</v>
      </c>
      <c r="AJ781" s="75">
        <f>AI781*(1-PARAM!$C$27)*$I$11+(MOD($B781,60)=PARAM!$B$56)*($B781&gt;(60-PARAM!$B$56))*HLOOKUP(($B781+PARAM!$B$56)/12,Loyalty,2)*$F$1*MAX(AL780,0)</f>
        <v>18.557001321003963</v>
      </c>
      <c r="AK781" s="75">
        <f>PARAM!$C$26+MAX($G$11-CHOOSE(PARAM!$B$44,MAX(0,AL780*$F$1),0),0)*RATES!$L757/12+$H$11*(PARAM!$D$51/12)*RATES!$N757/100</f>
        <v>856.125</v>
      </c>
      <c r="AL781" s="16">
        <f t="shared" si="507"/>
        <v>-110302.72069484506</v>
      </c>
      <c r="AM781" s="15">
        <f t="shared" si="482"/>
        <v>22.170849845882874</v>
      </c>
      <c r="AN781" s="75">
        <f>AM781*(1-PARAM!$C$27)*$I$12+(MOD($B781,60)=PARAM!$B$56)*($B781&gt;(60-PARAM!$B$56))*HLOOKUP(($B781+PARAM!$B$56)/12,Loyalty,2)*$F$1*MAX(AP780,0)</f>
        <v>18.557001321003963</v>
      </c>
      <c r="AO781" s="75">
        <f>PARAM!$C$26+MAX($G$12-CHOOSE(PARAM!$B$44,MAX(0,AP780*$F$1),0),0)*RATES!$L757/12+$H$12*(PARAM!$D$51/12)*RATES!$N757/100</f>
        <v>856.125</v>
      </c>
      <c r="AP781" s="16">
        <f t="shared" si="508"/>
        <v>-110302.72069484506</v>
      </c>
      <c r="AQ781" s="15">
        <f t="shared" si="483"/>
        <v>22.170849845882874</v>
      </c>
      <c r="AR781" s="75">
        <f>AQ781*(1-PARAM!$C$27)*$I$13+(MOD($B781,60)=PARAM!$B$56)*($B781&gt;(60-PARAM!$B$56))*HLOOKUP(($B781+PARAM!$B$56)/12,Loyalty,2)*$F$1*MAX(AT780,0)</f>
        <v>18.557001321003963</v>
      </c>
      <c r="AS781" s="75">
        <f>PARAM!$C$26+MAX($G$13-CHOOSE(PARAM!$B$44,MAX(0,AT780*$F$1),0),0)*RATES!$L757/12+$H$13*(PARAM!$D$51/12)*RATES!$N757/100</f>
        <v>856.125</v>
      </c>
      <c r="AT781" s="16">
        <f t="shared" si="509"/>
        <v>-110302.72069484506</v>
      </c>
      <c r="AU781" s="15">
        <f t="shared" si="484"/>
        <v>22.170849845882874</v>
      </c>
      <c r="AV781" s="75">
        <f>AU781*(1-PARAM!$C$27)*$I$14+(MOD($B781,60)=PARAM!$B$56)*($B781&gt;(60-PARAM!$B$56))*HLOOKUP(($B781+PARAM!$B$56)/12,Loyalty,2)*$F$1*MAX(AX780,0)</f>
        <v>18.557001321003963</v>
      </c>
      <c r="AW781" s="75">
        <f>PARAM!$C$26+MAX($G$14-CHOOSE(PARAM!$B$44,MAX(0,AX780*$F$1),0),0)*RATES!$L757/12+$H$14*(PARAM!$D$51/12)*RATES!$N757/100</f>
        <v>856.125</v>
      </c>
      <c r="AX781" s="16">
        <f t="shared" si="510"/>
        <v>-110302.72069484506</v>
      </c>
      <c r="AY781" s="15">
        <f t="shared" si="485"/>
        <v>22.170849845882874</v>
      </c>
      <c r="AZ781" s="75">
        <f>AY781*(1-PARAM!$C$27)*$I$15+(MOD($B781,60)=PARAM!$B$56)*($B781&gt;(60-PARAM!$B$56))*HLOOKUP(($B781+PARAM!$B$56)/12,Loyalty,2)*$F$1*MAX(BB780,0)</f>
        <v>18.557001321003963</v>
      </c>
      <c r="BA781" s="75">
        <f>PARAM!$C$26+MAX($G$15-CHOOSE(PARAM!$B$44,MAX(0,BB780*$F$1),0),0)*RATES!$L757/12+$H$15*(PARAM!$D$51/12)*RATES!$N757/100</f>
        <v>856.125</v>
      </c>
      <c r="BB781" s="16">
        <f t="shared" si="511"/>
        <v>-110302.72069484506</v>
      </c>
      <c r="BC781" s="15">
        <f t="shared" si="486"/>
        <v>22.170849845882874</v>
      </c>
      <c r="BD781" s="75">
        <f>BC781*(1-PARAM!$C$27)*$I$16+(MOD($B781,60)=PARAM!$B$56)*($B781&gt;(60-PARAM!$B$56))*HLOOKUP(($B781+PARAM!$B$56)/12,Loyalty,2)*$F$1*MAX(BF780,0)</f>
        <v>18.557001321003963</v>
      </c>
      <c r="BE781" s="75">
        <f>PARAM!$C$26+MAX($G$16-CHOOSE(PARAM!$B$44,MAX(0,BF780*$F$1),0),0)*RATES!$L757/12+$H$16*(PARAM!$D$51/12)*RATES!$N757/100</f>
        <v>856.125</v>
      </c>
      <c r="BF781" s="16">
        <f t="shared" si="512"/>
        <v>-110302.72069484506</v>
      </c>
      <c r="BG781" s="15">
        <f t="shared" si="487"/>
        <v>22.170849845882874</v>
      </c>
      <c r="BH781" s="75">
        <f>BG781*(1-PARAM!$C$27)*$I$17+(MOD($B781,60)=PARAM!$B$56)*($B781&gt;(60-PARAM!$B$56))*HLOOKUP(($B781+PARAM!$B$56)/12,Loyalty,2)*$F$1*MAX(BJ780,0)</f>
        <v>18.557001321003963</v>
      </c>
      <c r="BI781" s="75">
        <f>PARAM!$C$26+MAX($G$17-CHOOSE(PARAM!$B$44,MAX(0,BJ780*$F$1),0),0)*RATES!$L757/12+$H$17*(PARAM!$D$51/12)*RATES!$N757/100</f>
        <v>856.125</v>
      </c>
      <c r="BJ781" s="16">
        <f t="shared" si="513"/>
        <v>-110302.72069484506</v>
      </c>
      <c r="BK781" s="15">
        <f t="shared" si="488"/>
        <v>22.170849845882874</v>
      </c>
      <c r="BL781" s="75">
        <f>BK781*(1-PARAM!$C$27)*$I$18+(MOD($B781,60)=PARAM!$B$56)*($B781&gt;(60-PARAM!$B$56))*HLOOKUP(($B781+PARAM!$B$56)/12,Loyalty,2)*$F$1*MAX(BN780,0)</f>
        <v>18.557001321003963</v>
      </c>
      <c r="BM781" s="75">
        <f>PARAM!$C$26+MAX($G$18-CHOOSE(PARAM!$B$44,MAX(0,BN780*$F$1),0),0)*RATES!$L757/12+$H$18*(PARAM!$D$51/12)*RATES!$N757/100</f>
        <v>856.125</v>
      </c>
      <c r="BN781" s="16">
        <f t="shared" si="514"/>
        <v>-110302.72069484506</v>
      </c>
      <c r="BO781" s="15">
        <f t="shared" si="489"/>
        <v>22.170849845882874</v>
      </c>
      <c r="BP781" s="75">
        <f>BO781*(1-PARAM!$C$27)*$I$19+(MOD($B781,60)=PARAM!$B$56)*($B781&gt;(60-PARAM!$B$56))*HLOOKUP(($B781+PARAM!$B$56)/12,Loyalty,2)*$F$1*MAX(BR780,0)</f>
        <v>18.557001321003963</v>
      </c>
      <c r="BQ781" s="75">
        <f>PARAM!$C$26+MAX($G$19-CHOOSE(PARAM!$B$44,MAX(0,BR780*$F$1),0),0)*RATES!$L757/12+$H$19*(PARAM!$D$51/12)*RATES!$N757/100</f>
        <v>856.125</v>
      </c>
      <c r="BR781" s="16">
        <f t="shared" si="515"/>
        <v>-110302.72069484506</v>
      </c>
      <c r="BS781" s="15">
        <f t="shared" si="490"/>
        <v>22.170849845882874</v>
      </c>
      <c r="BT781" s="75">
        <f>BS781*(1-PARAM!$C$27)*$I$20+(MOD($B781,60)=PARAM!$B$56)*($B781&gt;(60-PARAM!$B$56))*HLOOKUP(($B781+PARAM!$B$56)/12,Loyalty,2)*$F$1*MAX(BV780,0)</f>
        <v>18.557001321003963</v>
      </c>
      <c r="BU781" s="75">
        <f>PARAM!$C$26+MAX($G$20-CHOOSE(PARAM!$B$44,MAX(0,BV780*$F$1),0),0)*RATES!$L757/12+$H$20*(PARAM!$D$51/12)*RATES!$N757/100</f>
        <v>856.125</v>
      </c>
      <c r="BV781" s="16">
        <f t="shared" si="516"/>
        <v>-110302.72069484506</v>
      </c>
      <c r="BW781" s="15">
        <f t="shared" si="491"/>
        <v>22.170849845882874</v>
      </c>
      <c r="BX781" s="75">
        <f>BW781*(1-PARAM!$C$27)*$I$21+(MOD($B781,60)=PARAM!$B$56)*($B781&gt;(60-PARAM!$B$56))*HLOOKUP(($B781+PARAM!$B$56)/12,Loyalty,2)*$F$1*MAX(BZ780,0)</f>
        <v>18.557001321003963</v>
      </c>
      <c r="BY781" s="75">
        <f>PARAM!$C$26+MAX($G$21-CHOOSE(PARAM!$B$44,MAX(0,BZ780*$F$1),0),0)*RATES!$L757/12+$H$21*(PARAM!$D$51/12)*RATES!$N757/100</f>
        <v>856.125</v>
      </c>
      <c r="BZ781" s="16">
        <f t="shared" si="517"/>
        <v>-110302.72069484506</v>
      </c>
      <c r="CA781" s="15">
        <f t="shared" si="492"/>
        <v>22.170849845882874</v>
      </c>
      <c r="CB781" s="75">
        <f>CA781*(1-PARAM!$C$27)*$I$22+(MOD($B781,60)=PARAM!$B$56)*($B781&gt;(60-PARAM!$B$56))*HLOOKUP(($B781+PARAM!$B$56)/12,Loyalty,2)*$F$1*MAX(CD780,0)</f>
        <v>18.557001321003963</v>
      </c>
      <c r="CC781" s="75">
        <f>PARAM!$C$26+MAX($G$22-CHOOSE(PARAM!$B$44,MAX(0,CD780*$F$1),0),0)*RATES!$L757/12+$H$22*(PARAM!$D$51/12)*RATES!$N757/100</f>
        <v>856.125</v>
      </c>
      <c r="CD781" s="16">
        <f t="shared" si="518"/>
        <v>-110302.72069484506</v>
      </c>
      <c r="CE781" s="33">
        <f>IF(0=MOD(B781,12/PARAM!$D$51),1,0)</f>
        <v>1</v>
      </c>
      <c r="CF781" s="15">
        <f t="shared" si="493"/>
        <v>0</v>
      </c>
      <c r="CG781" s="75">
        <f>CF781*(1-PARAM!$C$27)*$R$3+(MOD($B781/12,5)=0)*($B781&gt;60)*HLOOKUP($B781/12,Loyalty,2)*$F$1*MAX(CI780,0)</f>
        <v>0</v>
      </c>
      <c r="CH781" s="75">
        <f>PARAM!$C$26+MAX($P$3-CHOOSE(PARAM!$B$44,MAX(0,CI780*$F$1),0),0)*RATES!$L757/12+$Q$3*(PARAM!$D$51/12)*RATES!$N757/100</f>
        <v>856.125</v>
      </c>
      <c r="CI781" s="16">
        <f>IF(CI780&gt;0,CI780*PARAM!$C$53,CI780)+CG781-CH781</f>
        <v>-124175.12500000017</v>
      </c>
      <c r="CJ781" s="15">
        <f t="shared" si="519"/>
        <v>0</v>
      </c>
      <c r="CK781" s="75">
        <f>CJ781*(1-PARAM!$C$27)*$R$4+(MOD($B781/12,5)=0)*($B781&gt;60)*HLOOKUP($B781/12,Loyalty,2)*$F$1*MAX(CM780,0)</f>
        <v>0</v>
      </c>
      <c r="CL781" s="75">
        <f>PARAM!$C$26+MAX($P$4-CHOOSE(PARAM!$B$44,MAX(0,CM780*$F$1),0),0)*RATES!$L757/12+$Q$4*(PARAM!$D$51/12)*RATES!$N757/100</f>
        <v>856.125</v>
      </c>
      <c r="CM781" s="16">
        <f>IF(CM780&gt;0,CM780*PARAM!$C$53,CM780)+CK781-CL781</f>
        <v>-124175.12500000017</v>
      </c>
      <c r="CO781" s="176"/>
    </row>
    <row r="782" spans="1:93" x14ac:dyDescent="0.2">
      <c r="A782" t="b">
        <f t="shared" si="494"/>
        <v>0</v>
      </c>
      <c r="B782" s="33">
        <v>755</v>
      </c>
      <c r="C782" s="15">
        <f t="shared" si="495"/>
        <v>20.081305947392778</v>
      </c>
      <c r="D782" s="75">
        <f>C782*(1-PARAM!$C$27)*$I$3+(MOD($B782,60)=PARAM!$B$56)*($B782&gt;(60-PARAM!$B$56))*HLOOKUP(($B782+PARAM!$B$56)/12,Loyalty,2)*$F$1*MAX(F781,0)</f>
        <v>16.808053077967756</v>
      </c>
      <c r="E782" s="75">
        <f>PARAM!$C$26+MAX($G$3-CHOOSE(PARAM!$B$44,MAX(0,F781*$F$1),0),0)*RATES!$L758/12+$H$3*(PARAM!$D$51/12)*RATES!$N758/100</f>
        <v>856.125</v>
      </c>
      <c r="F782" s="16">
        <f t="shared" si="496"/>
        <v>-112497.59511753795</v>
      </c>
      <c r="G782" s="15">
        <f t="shared" si="497"/>
        <v>22.035289406060361</v>
      </c>
      <c r="H782" s="75">
        <f>G782*(1-PARAM!$C$27)*$I$4+(MOD($B782,60)=PARAM!$B$56)*($B782&gt;(60-PARAM!$B$56))*HLOOKUP(($B782+PARAM!$B$56)/12,Loyalty,2)*$F$1*MAX(J781,0)</f>
        <v>18.443537232872522</v>
      </c>
      <c r="I782" s="75">
        <f>PARAM!$C$26+MAX($G$4-CHOOSE(PARAM!$B$44,MAX(0,J781*$F$1),0),0)*RATES!$L758/12+$H$4*(PARAM!$D$51/12)*RATES!$N758/100</f>
        <v>856.125</v>
      </c>
      <c r="J782" s="16">
        <f t="shared" si="498"/>
        <v>-111228.97161646314</v>
      </c>
      <c r="K782" s="15">
        <f t="shared" si="499"/>
        <v>22.170849845882874</v>
      </c>
      <c r="L782" s="75">
        <f>K782*(1-PARAM!$C$27)*$I$5+(MOD($B782,60)=PARAM!$B$56)*($B782&gt;(60-PARAM!$B$56))*HLOOKUP(($B782+PARAM!$B$56)/12,Loyalty,2)*$F$1*MAX(N781,0)</f>
        <v>18.557001321003963</v>
      </c>
      <c r="M782" s="75">
        <f>PARAM!$C$26+MAX($G$5-CHOOSE(PARAM!$B$44,MAX(0,N781*$F$1),0),0)*RATES!$L758/12+$H$5*(PARAM!$D$51/12)*RATES!$N758/100</f>
        <v>856.125</v>
      </c>
      <c r="N782" s="16">
        <f t="shared" si="500"/>
        <v>-111140.28869352405</v>
      </c>
      <c r="O782" s="15">
        <f t="shared" si="501"/>
        <v>22.170849845882874</v>
      </c>
      <c r="P782" s="75">
        <f>O782*(1-PARAM!$C$27)*$I$6+(MOD($B782,60)=PARAM!$B$56)*($B782&gt;(60-PARAM!$B$56))*HLOOKUP(($B782+PARAM!$B$56)/12,Loyalty,2)*$F$1*MAX(R781,0)</f>
        <v>18.557001321003963</v>
      </c>
      <c r="Q782" s="75">
        <f>PARAM!$C$26+MAX($G$6-CHOOSE(PARAM!$B$44,MAX(0,R781*$F$1),0),0)*RATES!$L758/12+$H$6*(PARAM!$D$51/12)*RATES!$N758/100</f>
        <v>856.125</v>
      </c>
      <c r="R782" s="16">
        <f t="shared" si="502"/>
        <v>-111140.28869352405</v>
      </c>
      <c r="S782" s="15">
        <f t="shared" si="477"/>
        <v>22.170849845882874</v>
      </c>
      <c r="T782" s="75">
        <f>S782*(1-PARAM!$C$27)*$I$7+(MOD($B782,60)=PARAM!$B$56)*($B782&gt;(60-PARAM!$B$56))*HLOOKUP(($B782+PARAM!$B$56)/12,Loyalty,2)*$F$1*MAX(V781,0)</f>
        <v>18.557001321003963</v>
      </c>
      <c r="U782" s="75">
        <f>PARAM!$C$26+MAX($G$7-CHOOSE(PARAM!$B$44,MAX(0,V781*$F$1),0),0)*RATES!$L758/12+$H$7*(PARAM!$D$51/12)*RATES!$N758/100</f>
        <v>856.125</v>
      </c>
      <c r="V782" s="16">
        <f t="shared" si="503"/>
        <v>-111140.28869352405</v>
      </c>
      <c r="W782" s="15">
        <f t="shared" si="478"/>
        <v>22.170849845882874</v>
      </c>
      <c r="X782" s="75">
        <f>W782*(1-PARAM!$C$27)*$I$8+(MOD($B782,60)=PARAM!$B$56)*($B782&gt;(60-PARAM!$B$56))*HLOOKUP(($B782+PARAM!$B$56)/12,Loyalty,2)*$F$1*MAX(Z781,0)</f>
        <v>18.557001321003963</v>
      </c>
      <c r="Y782" s="75">
        <f>PARAM!$C$26+MAX($G$8-CHOOSE(PARAM!$B$44,MAX(0,Z781*$F$1),0),0)*RATES!$L758/12+$H$8*(PARAM!$D$51/12)*RATES!$N758/100</f>
        <v>856.125</v>
      </c>
      <c r="Z782" s="16">
        <f t="shared" si="504"/>
        <v>-111140.28869352405</v>
      </c>
      <c r="AA782" s="15">
        <f t="shared" si="479"/>
        <v>22.170849845882874</v>
      </c>
      <c r="AB782" s="75">
        <f>AA782*(1-PARAM!$C$27)*$I$9+(MOD($B782,60)=PARAM!$B$56)*($B782&gt;(60-PARAM!$B$56))*HLOOKUP(($B782+PARAM!$B$56)/12,Loyalty,2)*$F$1*MAX(AD781,0)</f>
        <v>18.557001321003963</v>
      </c>
      <c r="AC782" s="75">
        <f>PARAM!$C$26+MAX($G$9-CHOOSE(PARAM!$B$44,MAX(0,AD781*$F$1),0),0)*RATES!$L758/12+$H$9*(PARAM!$D$51/12)*RATES!$N758/100</f>
        <v>856.125</v>
      </c>
      <c r="AD782" s="16">
        <f t="shared" si="505"/>
        <v>-111140.28869352405</v>
      </c>
      <c r="AE782" s="15">
        <f t="shared" si="480"/>
        <v>22.170849845882874</v>
      </c>
      <c r="AF782" s="75">
        <f>AE782*(1-PARAM!$C$27)*$I$10+(MOD($B782,60)=PARAM!$B$56)*($B782&gt;(60-PARAM!$B$56))*HLOOKUP(($B782+PARAM!$B$56)/12,Loyalty,2)*$F$1*MAX(AH781,0)</f>
        <v>18.557001321003963</v>
      </c>
      <c r="AG782" s="75">
        <f>PARAM!$C$26+MAX($G$10-CHOOSE(PARAM!$B$44,MAX(0,AH781*$F$1),0),0)*RATES!$L758/12+$H$10*(PARAM!$D$51/12)*RATES!$N758/100</f>
        <v>856.125</v>
      </c>
      <c r="AH782" s="16">
        <f t="shared" si="506"/>
        <v>-111140.28869352405</v>
      </c>
      <c r="AI782" s="15">
        <f t="shared" si="481"/>
        <v>22.170849845882874</v>
      </c>
      <c r="AJ782" s="75">
        <f>AI782*(1-PARAM!$C$27)*$I$11+(MOD($B782,60)=PARAM!$B$56)*($B782&gt;(60-PARAM!$B$56))*HLOOKUP(($B782+PARAM!$B$56)/12,Loyalty,2)*$F$1*MAX(AL781,0)</f>
        <v>18.557001321003963</v>
      </c>
      <c r="AK782" s="75">
        <f>PARAM!$C$26+MAX($G$11-CHOOSE(PARAM!$B$44,MAX(0,AL781*$F$1),0),0)*RATES!$L758/12+$H$11*(PARAM!$D$51/12)*RATES!$N758/100</f>
        <v>856.125</v>
      </c>
      <c r="AL782" s="16">
        <f t="shared" si="507"/>
        <v>-111140.28869352405</v>
      </c>
      <c r="AM782" s="15">
        <f t="shared" si="482"/>
        <v>22.170849845882874</v>
      </c>
      <c r="AN782" s="75">
        <f>AM782*(1-PARAM!$C$27)*$I$12+(MOD($B782,60)=PARAM!$B$56)*($B782&gt;(60-PARAM!$B$56))*HLOOKUP(($B782+PARAM!$B$56)/12,Loyalty,2)*$F$1*MAX(AP781,0)</f>
        <v>18.557001321003963</v>
      </c>
      <c r="AO782" s="75">
        <f>PARAM!$C$26+MAX($G$12-CHOOSE(PARAM!$B$44,MAX(0,AP781*$F$1),0),0)*RATES!$L758/12+$H$12*(PARAM!$D$51/12)*RATES!$N758/100</f>
        <v>856.125</v>
      </c>
      <c r="AP782" s="16">
        <f t="shared" si="508"/>
        <v>-111140.28869352405</v>
      </c>
      <c r="AQ782" s="15">
        <f t="shared" si="483"/>
        <v>22.170849845882874</v>
      </c>
      <c r="AR782" s="75">
        <f>AQ782*(1-PARAM!$C$27)*$I$13+(MOD($B782,60)=PARAM!$B$56)*($B782&gt;(60-PARAM!$B$56))*HLOOKUP(($B782+PARAM!$B$56)/12,Loyalty,2)*$F$1*MAX(AT781,0)</f>
        <v>18.557001321003963</v>
      </c>
      <c r="AS782" s="75">
        <f>PARAM!$C$26+MAX($G$13-CHOOSE(PARAM!$B$44,MAX(0,AT781*$F$1),0),0)*RATES!$L758/12+$H$13*(PARAM!$D$51/12)*RATES!$N758/100</f>
        <v>856.125</v>
      </c>
      <c r="AT782" s="16">
        <f t="shared" si="509"/>
        <v>-111140.28869352405</v>
      </c>
      <c r="AU782" s="15">
        <f t="shared" si="484"/>
        <v>22.170849845882874</v>
      </c>
      <c r="AV782" s="75">
        <f>AU782*(1-PARAM!$C$27)*$I$14+(MOD($B782,60)=PARAM!$B$56)*($B782&gt;(60-PARAM!$B$56))*HLOOKUP(($B782+PARAM!$B$56)/12,Loyalty,2)*$F$1*MAX(AX781,0)</f>
        <v>18.557001321003963</v>
      </c>
      <c r="AW782" s="75">
        <f>PARAM!$C$26+MAX($G$14-CHOOSE(PARAM!$B$44,MAX(0,AX781*$F$1),0),0)*RATES!$L758/12+$H$14*(PARAM!$D$51/12)*RATES!$N758/100</f>
        <v>856.125</v>
      </c>
      <c r="AX782" s="16">
        <f t="shared" si="510"/>
        <v>-111140.28869352405</v>
      </c>
      <c r="AY782" s="15">
        <f t="shared" si="485"/>
        <v>22.170849845882874</v>
      </c>
      <c r="AZ782" s="75">
        <f>AY782*(1-PARAM!$C$27)*$I$15+(MOD($B782,60)=PARAM!$B$56)*($B782&gt;(60-PARAM!$B$56))*HLOOKUP(($B782+PARAM!$B$56)/12,Loyalty,2)*$F$1*MAX(BB781,0)</f>
        <v>18.557001321003963</v>
      </c>
      <c r="BA782" s="75">
        <f>PARAM!$C$26+MAX($G$15-CHOOSE(PARAM!$B$44,MAX(0,BB781*$F$1),0),0)*RATES!$L758/12+$H$15*(PARAM!$D$51/12)*RATES!$N758/100</f>
        <v>856.125</v>
      </c>
      <c r="BB782" s="16">
        <f t="shared" si="511"/>
        <v>-111140.28869352405</v>
      </c>
      <c r="BC782" s="15">
        <f t="shared" si="486"/>
        <v>22.170849845882874</v>
      </c>
      <c r="BD782" s="75">
        <f>BC782*(1-PARAM!$C$27)*$I$16+(MOD($B782,60)=PARAM!$B$56)*($B782&gt;(60-PARAM!$B$56))*HLOOKUP(($B782+PARAM!$B$56)/12,Loyalty,2)*$F$1*MAX(BF781,0)</f>
        <v>18.557001321003963</v>
      </c>
      <c r="BE782" s="75">
        <f>PARAM!$C$26+MAX($G$16-CHOOSE(PARAM!$B$44,MAX(0,BF781*$F$1),0),0)*RATES!$L758/12+$H$16*(PARAM!$D$51/12)*RATES!$N758/100</f>
        <v>856.125</v>
      </c>
      <c r="BF782" s="16">
        <f t="shared" si="512"/>
        <v>-111140.28869352405</v>
      </c>
      <c r="BG782" s="15">
        <f t="shared" si="487"/>
        <v>22.170849845882874</v>
      </c>
      <c r="BH782" s="75">
        <f>BG782*(1-PARAM!$C$27)*$I$17+(MOD($B782,60)=PARAM!$B$56)*($B782&gt;(60-PARAM!$B$56))*HLOOKUP(($B782+PARAM!$B$56)/12,Loyalty,2)*$F$1*MAX(BJ781,0)</f>
        <v>18.557001321003963</v>
      </c>
      <c r="BI782" s="75">
        <f>PARAM!$C$26+MAX($G$17-CHOOSE(PARAM!$B$44,MAX(0,BJ781*$F$1),0),0)*RATES!$L758/12+$H$17*(PARAM!$D$51/12)*RATES!$N758/100</f>
        <v>856.125</v>
      </c>
      <c r="BJ782" s="16">
        <f t="shared" si="513"/>
        <v>-111140.28869352405</v>
      </c>
      <c r="BK782" s="15">
        <f t="shared" si="488"/>
        <v>22.170849845882874</v>
      </c>
      <c r="BL782" s="75">
        <f>BK782*(1-PARAM!$C$27)*$I$18+(MOD($B782,60)=PARAM!$B$56)*($B782&gt;(60-PARAM!$B$56))*HLOOKUP(($B782+PARAM!$B$56)/12,Loyalty,2)*$F$1*MAX(BN781,0)</f>
        <v>18.557001321003963</v>
      </c>
      <c r="BM782" s="75">
        <f>PARAM!$C$26+MAX($G$18-CHOOSE(PARAM!$B$44,MAX(0,BN781*$F$1),0),0)*RATES!$L758/12+$H$18*(PARAM!$D$51/12)*RATES!$N758/100</f>
        <v>856.125</v>
      </c>
      <c r="BN782" s="16">
        <f t="shared" si="514"/>
        <v>-111140.28869352405</v>
      </c>
      <c r="BO782" s="15">
        <f t="shared" si="489"/>
        <v>22.170849845882874</v>
      </c>
      <c r="BP782" s="75">
        <f>BO782*(1-PARAM!$C$27)*$I$19+(MOD($B782,60)=PARAM!$B$56)*($B782&gt;(60-PARAM!$B$56))*HLOOKUP(($B782+PARAM!$B$56)/12,Loyalty,2)*$F$1*MAX(BR781,0)</f>
        <v>18.557001321003963</v>
      </c>
      <c r="BQ782" s="75">
        <f>PARAM!$C$26+MAX($G$19-CHOOSE(PARAM!$B$44,MAX(0,BR781*$F$1),0),0)*RATES!$L758/12+$H$19*(PARAM!$D$51/12)*RATES!$N758/100</f>
        <v>856.125</v>
      </c>
      <c r="BR782" s="16">
        <f t="shared" si="515"/>
        <v>-111140.28869352405</v>
      </c>
      <c r="BS782" s="15">
        <f t="shared" si="490"/>
        <v>22.170849845882874</v>
      </c>
      <c r="BT782" s="75">
        <f>BS782*(1-PARAM!$C$27)*$I$20+(MOD($B782,60)=PARAM!$B$56)*($B782&gt;(60-PARAM!$B$56))*HLOOKUP(($B782+PARAM!$B$56)/12,Loyalty,2)*$F$1*MAX(BV781,0)</f>
        <v>18.557001321003963</v>
      </c>
      <c r="BU782" s="75">
        <f>PARAM!$C$26+MAX($G$20-CHOOSE(PARAM!$B$44,MAX(0,BV781*$F$1),0),0)*RATES!$L758/12+$H$20*(PARAM!$D$51/12)*RATES!$N758/100</f>
        <v>856.125</v>
      </c>
      <c r="BV782" s="16">
        <f t="shared" si="516"/>
        <v>-111140.28869352405</v>
      </c>
      <c r="BW782" s="15">
        <f t="shared" si="491"/>
        <v>22.170849845882874</v>
      </c>
      <c r="BX782" s="75">
        <f>BW782*(1-PARAM!$C$27)*$I$21+(MOD($B782,60)=PARAM!$B$56)*($B782&gt;(60-PARAM!$B$56))*HLOOKUP(($B782+PARAM!$B$56)/12,Loyalty,2)*$F$1*MAX(BZ781,0)</f>
        <v>18.557001321003963</v>
      </c>
      <c r="BY782" s="75">
        <f>PARAM!$C$26+MAX($G$21-CHOOSE(PARAM!$B$44,MAX(0,BZ781*$F$1),0),0)*RATES!$L758/12+$H$21*(PARAM!$D$51/12)*RATES!$N758/100</f>
        <v>856.125</v>
      </c>
      <c r="BZ782" s="16">
        <f t="shared" si="517"/>
        <v>-111140.28869352405</v>
      </c>
      <c r="CA782" s="15">
        <f t="shared" si="492"/>
        <v>22.170849845882874</v>
      </c>
      <c r="CB782" s="75">
        <f>CA782*(1-PARAM!$C$27)*$I$22+(MOD($B782,60)=PARAM!$B$56)*($B782&gt;(60-PARAM!$B$56))*HLOOKUP(($B782+PARAM!$B$56)/12,Loyalty,2)*$F$1*MAX(CD781,0)</f>
        <v>18.557001321003963</v>
      </c>
      <c r="CC782" s="75">
        <f>PARAM!$C$26+MAX($G$22-CHOOSE(PARAM!$B$44,MAX(0,CD781*$F$1),0),0)*RATES!$L758/12+$H$22*(PARAM!$D$51/12)*RATES!$N758/100</f>
        <v>856.125</v>
      </c>
      <c r="CD782" s="16">
        <f t="shared" si="518"/>
        <v>-111140.28869352405</v>
      </c>
      <c r="CE782" s="33">
        <f>IF(0=MOD(B782,12/PARAM!$D$51),1,0)</f>
        <v>1</v>
      </c>
      <c r="CF782" s="15">
        <f t="shared" si="493"/>
        <v>0</v>
      </c>
      <c r="CG782" s="75">
        <f>CF782*(1-PARAM!$C$27)*$R$3+(MOD($B782/12,5)=0)*($B782&gt;60)*HLOOKUP($B782/12,Loyalty,2)*$F$1*MAX(CI781,0)</f>
        <v>0</v>
      </c>
      <c r="CH782" s="75">
        <f>PARAM!$C$26+MAX($P$3-CHOOSE(PARAM!$B$44,MAX(0,CI781*$F$1),0),0)*RATES!$L758/12+$Q$3*(PARAM!$D$51/12)*RATES!$N758/100</f>
        <v>856.125</v>
      </c>
      <c r="CI782" s="16">
        <f>IF(CI781&gt;0,CI781*PARAM!$C$53,CI781)+CG782-CH782</f>
        <v>-125031.25000000017</v>
      </c>
      <c r="CJ782" s="15">
        <f t="shared" si="519"/>
        <v>0</v>
      </c>
      <c r="CK782" s="75">
        <f>CJ782*(1-PARAM!$C$27)*$R$4+(MOD($B782/12,5)=0)*($B782&gt;60)*HLOOKUP($B782/12,Loyalty,2)*$F$1*MAX(CM781,0)</f>
        <v>0</v>
      </c>
      <c r="CL782" s="75">
        <f>PARAM!$C$26+MAX($P$4-CHOOSE(PARAM!$B$44,MAX(0,CM781*$F$1),0),0)*RATES!$L758/12+$Q$4*(PARAM!$D$51/12)*RATES!$N758/100</f>
        <v>856.125</v>
      </c>
      <c r="CM782" s="16">
        <f>IF(CM781&gt;0,CM781*PARAM!$C$53,CM781)+CK782-CL782</f>
        <v>-125031.25000000017</v>
      </c>
      <c r="CO782" s="176"/>
    </row>
    <row r="783" spans="1:93" x14ac:dyDescent="0.2">
      <c r="A783" t="b">
        <f t="shared" si="494"/>
        <v>0</v>
      </c>
      <c r="B783" s="33">
        <v>756</v>
      </c>
      <c r="C783" s="15">
        <f t="shared" si="495"/>
        <v>20.081305947392778</v>
      </c>
      <c r="D783" s="75">
        <f>C783*(1-PARAM!$C$27)*$I$3+(MOD($B783,60)=PARAM!$B$56)*($B783&gt;(60-PARAM!$B$56))*HLOOKUP(($B783+PARAM!$B$56)/12,Loyalty,2)*$F$1*MAX(F782,0)</f>
        <v>16.808053077967756</v>
      </c>
      <c r="E783" s="75">
        <f>PARAM!$C$26+MAX($G$3-CHOOSE(PARAM!$B$44,MAX(0,F782*$F$1),0),0)*RATES!$L759/12+$H$3*(PARAM!$D$51/12)*RATES!$N759/100</f>
        <v>856.125</v>
      </c>
      <c r="F783" s="16">
        <f t="shared" si="496"/>
        <v>-113336.91206445998</v>
      </c>
      <c r="G783" s="15">
        <f t="shared" si="497"/>
        <v>22.035289406060361</v>
      </c>
      <c r="H783" s="75">
        <f>G783*(1-PARAM!$C$27)*$I$4+(MOD($B783,60)=PARAM!$B$56)*($B783&gt;(60-PARAM!$B$56))*HLOOKUP(($B783+PARAM!$B$56)/12,Loyalty,2)*$F$1*MAX(J782,0)</f>
        <v>18.443537232872522</v>
      </c>
      <c r="I783" s="75">
        <f>PARAM!$C$26+MAX($G$4-CHOOSE(PARAM!$B$44,MAX(0,J782*$F$1),0),0)*RATES!$L759/12+$H$4*(PARAM!$D$51/12)*RATES!$N759/100</f>
        <v>856.125</v>
      </c>
      <c r="J783" s="16">
        <f t="shared" si="498"/>
        <v>-112066.65307923027</v>
      </c>
      <c r="K783" s="15">
        <f t="shared" si="499"/>
        <v>22.170849845882874</v>
      </c>
      <c r="L783" s="75">
        <f>K783*(1-PARAM!$C$27)*$I$5+(MOD($B783,60)=PARAM!$B$56)*($B783&gt;(60-PARAM!$B$56))*HLOOKUP(($B783+PARAM!$B$56)/12,Loyalty,2)*$F$1*MAX(N782,0)</f>
        <v>18.557001321003963</v>
      </c>
      <c r="M783" s="75">
        <f>PARAM!$C$26+MAX($G$5-CHOOSE(PARAM!$B$44,MAX(0,N782*$F$1),0),0)*RATES!$L759/12+$H$5*(PARAM!$D$51/12)*RATES!$N759/100</f>
        <v>856.125</v>
      </c>
      <c r="N783" s="16">
        <f t="shared" si="500"/>
        <v>-111977.85669220304</v>
      </c>
      <c r="O783" s="15">
        <f t="shared" si="501"/>
        <v>22.170849845882874</v>
      </c>
      <c r="P783" s="75">
        <f>O783*(1-PARAM!$C$27)*$I$6+(MOD($B783,60)=PARAM!$B$56)*($B783&gt;(60-PARAM!$B$56))*HLOOKUP(($B783+PARAM!$B$56)/12,Loyalty,2)*$F$1*MAX(R782,0)</f>
        <v>18.557001321003963</v>
      </c>
      <c r="Q783" s="75">
        <f>PARAM!$C$26+MAX($G$6-CHOOSE(PARAM!$B$44,MAX(0,R782*$F$1),0),0)*RATES!$L759/12+$H$6*(PARAM!$D$51/12)*RATES!$N759/100</f>
        <v>856.125</v>
      </c>
      <c r="R783" s="16">
        <f t="shared" si="502"/>
        <v>-111977.85669220304</v>
      </c>
      <c r="S783" s="15">
        <f t="shared" si="477"/>
        <v>22.170849845882874</v>
      </c>
      <c r="T783" s="75">
        <f>S783*(1-PARAM!$C$27)*$I$7+(MOD($B783,60)=PARAM!$B$56)*($B783&gt;(60-PARAM!$B$56))*HLOOKUP(($B783+PARAM!$B$56)/12,Loyalty,2)*$F$1*MAX(V782,0)</f>
        <v>18.557001321003963</v>
      </c>
      <c r="U783" s="75">
        <f>PARAM!$C$26+MAX($G$7-CHOOSE(PARAM!$B$44,MAX(0,V782*$F$1),0),0)*RATES!$L759/12+$H$7*(PARAM!$D$51/12)*RATES!$N759/100</f>
        <v>856.125</v>
      </c>
      <c r="V783" s="16">
        <f t="shared" si="503"/>
        <v>-111977.85669220304</v>
      </c>
      <c r="W783" s="15">
        <f t="shared" si="478"/>
        <v>22.170849845882874</v>
      </c>
      <c r="X783" s="75">
        <f>W783*(1-PARAM!$C$27)*$I$8+(MOD($B783,60)=PARAM!$B$56)*($B783&gt;(60-PARAM!$B$56))*HLOOKUP(($B783+PARAM!$B$56)/12,Loyalty,2)*$F$1*MAX(Z782,0)</f>
        <v>18.557001321003963</v>
      </c>
      <c r="Y783" s="75">
        <f>PARAM!$C$26+MAX($G$8-CHOOSE(PARAM!$B$44,MAX(0,Z782*$F$1),0),0)*RATES!$L759/12+$H$8*(PARAM!$D$51/12)*RATES!$N759/100</f>
        <v>856.125</v>
      </c>
      <c r="Z783" s="16">
        <f t="shared" si="504"/>
        <v>-111977.85669220304</v>
      </c>
      <c r="AA783" s="15">
        <f t="shared" si="479"/>
        <v>22.170849845882874</v>
      </c>
      <c r="AB783" s="75">
        <f>AA783*(1-PARAM!$C$27)*$I$9+(MOD($B783,60)=PARAM!$B$56)*($B783&gt;(60-PARAM!$B$56))*HLOOKUP(($B783+PARAM!$B$56)/12,Loyalty,2)*$F$1*MAX(AD782,0)</f>
        <v>18.557001321003963</v>
      </c>
      <c r="AC783" s="75">
        <f>PARAM!$C$26+MAX($G$9-CHOOSE(PARAM!$B$44,MAX(0,AD782*$F$1),0),0)*RATES!$L759/12+$H$9*(PARAM!$D$51/12)*RATES!$N759/100</f>
        <v>856.125</v>
      </c>
      <c r="AD783" s="16">
        <f t="shared" si="505"/>
        <v>-111977.85669220304</v>
      </c>
      <c r="AE783" s="15">
        <f t="shared" si="480"/>
        <v>22.170849845882874</v>
      </c>
      <c r="AF783" s="75">
        <f>AE783*(1-PARAM!$C$27)*$I$10+(MOD($B783,60)=PARAM!$B$56)*($B783&gt;(60-PARAM!$B$56))*HLOOKUP(($B783+PARAM!$B$56)/12,Loyalty,2)*$F$1*MAX(AH782,0)</f>
        <v>18.557001321003963</v>
      </c>
      <c r="AG783" s="75">
        <f>PARAM!$C$26+MAX($G$10-CHOOSE(PARAM!$B$44,MAX(0,AH782*$F$1),0),0)*RATES!$L759/12+$H$10*(PARAM!$D$51/12)*RATES!$N759/100</f>
        <v>856.125</v>
      </c>
      <c r="AH783" s="16">
        <f t="shared" si="506"/>
        <v>-111977.85669220304</v>
      </c>
      <c r="AI783" s="15">
        <f t="shared" si="481"/>
        <v>22.170849845882874</v>
      </c>
      <c r="AJ783" s="75">
        <f>AI783*(1-PARAM!$C$27)*$I$11+(MOD($B783,60)=PARAM!$B$56)*($B783&gt;(60-PARAM!$B$56))*HLOOKUP(($B783+PARAM!$B$56)/12,Loyalty,2)*$F$1*MAX(AL782,0)</f>
        <v>18.557001321003963</v>
      </c>
      <c r="AK783" s="75">
        <f>PARAM!$C$26+MAX($G$11-CHOOSE(PARAM!$B$44,MAX(0,AL782*$F$1),0),0)*RATES!$L759/12+$H$11*(PARAM!$D$51/12)*RATES!$N759/100</f>
        <v>856.125</v>
      </c>
      <c r="AL783" s="16">
        <f t="shared" si="507"/>
        <v>-111977.85669220304</v>
      </c>
      <c r="AM783" s="15">
        <f t="shared" si="482"/>
        <v>22.170849845882874</v>
      </c>
      <c r="AN783" s="75">
        <f>AM783*(1-PARAM!$C$27)*$I$12+(MOD($B783,60)=PARAM!$B$56)*($B783&gt;(60-PARAM!$B$56))*HLOOKUP(($B783+PARAM!$B$56)/12,Loyalty,2)*$F$1*MAX(AP782,0)</f>
        <v>18.557001321003963</v>
      </c>
      <c r="AO783" s="75">
        <f>PARAM!$C$26+MAX($G$12-CHOOSE(PARAM!$B$44,MAX(0,AP782*$F$1),0),0)*RATES!$L759/12+$H$12*(PARAM!$D$51/12)*RATES!$N759/100</f>
        <v>856.125</v>
      </c>
      <c r="AP783" s="16">
        <f t="shared" si="508"/>
        <v>-111977.85669220304</v>
      </c>
      <c r="AQ783" s="15">
        <f t="shared" si="483"/>
        <v>22.170849845882874</v>
      </c>
      <c r="AR783" s="75">
        <f>AQ783*(1-PARAM!$C$27)*$I$13+(MOD($B783,60)=PARAM!$B$56)*($B783&gt;(60-PARAM!$B$56))*HLOOKUP(($B783+PARAM!$B$56)/12,Loyalty,2)*$F$1*MAX(AT782,0)</f>
        <v>18.557001321003963</v>
      </c>
      <c r="AS783" s="75">
        <f>PARAM!$C$26+MAX($G$13-CHOOSE(PARAM!$B$44,MAX(0,AT782*$F$1),0),0)*RATES!$L759/12+$H$13*(PARAM!$D$51/12)*RATES!$N759/100</f>
        <v>856.125</v>
      </c>
      <c r="AT783" s="16">
        <f t="shared" si="509"/>
        <v>-111977.85669220304</v>
      </c>
      <c r="AU783" s="15">
        <f t="shared" si="484"/>
        <v>22.170849845882874</v>
      </c>
      <c r="AV783" s="75">
        <f>AU783*(1-PARAM!$C$27)*$I$14+(MOD($B783,60)=PARAM!$B$56)*($B783&gt;(60-PARAM!$B$56))*HLOOKUP(($B783+PARAM!$B$56)/12,Loyalty,2)*$F$1*MAX(AX782,0)</f>
        <v>18.557001321003963</v>
      </c>
      <c r="AW783" s="75">
        <f>PARAM!$C$26+MAX($G$14-CHOOSE(PARAM!$B$44,MAX(0,AX782*$F$1),0),0)*RATES!$L759/12+$H$14*(PARAM!$D$51/12)*RATES!$N759/100</f>
        <v>856.125</v>
      </c>
      <c r="AX783" s="16">
        <f t="shared" si="510"/>
        <v>-111977.85669220304</v>
      </c>
      <c r="AY783" s="15">
        <f t="shared" si="485"/>
        <v>22.170849845882874</v>
      </c>
      <c r="AZ783" s="75">
        <f>AY783*(1-PARAM!$C$27)*$I$15+(MOD($B783,60)=PARAM!$B$56)*($B783&gt;(60-PARAM!$B$56))*HLOOKUP(($B783+PARAM!$B$56)/12,Loyalty,2)*$F$1*MAX(BB782,0)</f>
        <v>18.557001321003963</v>
      </c>
      <c r="BA783" s="75">
        <f>PARAM!$C$26+MAX($G$15-CHOOSE(PARAM!$B$44,MAX(0,BB782*$F$1),0),0)*RATES!$L759/12+$H$15*(PARAM!$D$51/12)*RATES!$N759/100</f>
        <v>856.125</v>
      </c>
      <c r="BB783" s="16">
        <f t="shared" si="511"/>
        <v>-111977.85669220304</v>
      </c>
      <c r="BC783" s="15">
        <f t="shared" si="486"/>
        <v>22.170849845882874</v>
      </c>
      <c r="BD783" s="75">
        <f>BC783*(1-PARAM!$C$27)*$I$16+(MOD($B783,60)=PARAM!$B$56)*($B783&gt;(60-PARAM!$B$56))*HLOOKUP(($B783+PARAM!$B$56)/12,Loyalty,2)*$F$1*MAX(BF782,0)</f>
        <v>18.557001321003963</v>
      </c>
      <c r="BE783" s="75">
        <f>PARAM!$C$26+MAX($G$16-CHOOSE(PARAM!$B$44,MAX(0,BF782*$F$1),0),0)*RATES!$L759/12+$H$16*(PARAM!$D$51/12)*RATES!$N759/100</f>
        <v>856.125</v>
      </c>
      <c r="BF783" s="16">
        <f t="shared" si="512"/>
        <v>-111977.85669220304</v>
      </c>
      <c r="BG783" s="15">
        <f t="shared" si="487"/>
        <v>22.170849845882874</v>
      </c>
      <c r="BH783" s="75">
        <f>BG783*(1-PARAM!$C$27)*$I$17+(MOD($B783,60)=PARAM!$B$56)*($B783&gt;(60-PARAM!$B$56))*HLOOKUP(($B783+PARAM!$B$56)/12,Loyalty,2)*$F$1*MAX(BJ782,0)</f>
        <v>18.557001321003963</v>
      </c>
      <c r="BI783" s="75">
        <f>PARAM!$C$26+MAX($G$17-CHOOSE(PARAM!$B$44,MAX(0,BJ782*$F$1),0),0)*RATES!$L759/12+$H$17*(PARAM!$D$51/12)*RATES!$N759/100</f>
        <v>856.125</v>
      </c>
      <c r="BJ783" s="16">
        <f t="shared" si="513"/>
        <v>-111977.85669220304</v>
      </c>
      <c r="BK783" s="15">
        <f t="shared" si="488"/>
        <v>22.170849845882874</v>
      </c>
      <c r="BL783" s="75">
        <f>BK783*(1-PARAM!$C$27)*$I$18+(MOD($B783,60)=PARAM!$B$56)*($B783&gt;(60-PARAM!$B$56))*HLOOKUP(($B783+PARAM!$B$56)/12,Loyalty,2)*$F$1*MAX(BN782,0)</f>
        <v>18.557001321003963</v>
      </c>
      <c r="BM783" s="75">
        <f>PARAM!$C$26+MAX($G$18-CHOOSE(PARAM!$B$44,MAX(0,BN782*$F$1),0),0)*RATES!$L759/12+$H$18*(PARAM!$D$51/12)*RATES!$N759/100</f>
        <v>856.125</v>
      </c>
      <c r="BN783" s="16">
        <f t="shared" si="514"/>
        <v>-111977.85669220304</v>
      </c>
      <c r="BO783" s="15">
        <f t="shared" si="489"/>
        <v>22.170849845882874</v>
      </c>
      <c r="BP783" s="75">
        <f>BO783*(1-PARAM!$C$27)*$I$19+(MOD($B783,60)=PARAM!$B$56)*($B783&gt;(60-PARAM!$B$56))*HLOOKUP(($B783+PARAM!$B$56)/12,Loyalty,2)*$F$1*MAX(BR782,0)</f>
        <v>18.557001321003963</v>
      </c>
      <c r="BQ783" s="75">
        <f>PARAM!$C$26+MAX($G$19-CHOOSE(PARAM!$B$44,MAX(0,BR782*$F$1),0),0)*RATES!$L759/12+$H$19*(PARAM!$D$51/12)*RATES!$N759/100</f>
        <v>856.125</v>
      </c>
      <c r="BR783" s="16">
        <f t="shared" si="515"/>
        <v>-111977.85669220304</v>
      </c>
      <c r="BS783" s="15">
        <f t="shared" si="490"/>
        <v>22.170849845882874</v>
      </c>
      <c r="BT783" s="75">
        <f>BS783*(1-PARAM!$C$27)*$I$20+(MOD($B783,60)=PARAM!$B$56)*($B783&gt;(60-PARAM!$B$56))*HLOOKUP(($B783+PARAM!$B$56)/12,Loyalty,2)*$F$1*MAX(BV782,0)</f>
        <v>18.557001321003963</v>
      </c>
      <c r="BU783" s="75">
        <f>PARAM!$C$26+MAX($G$20-CHOOSE(PARAM!$B$44,MAX(0,BV782*$F$1),0),0)*RATES!$L759/12+$H$20*(PARAM!$D$51/12)*RATES!$N759/100</f>
        <v>856.125</v>
      </c>
      <c r="BV783" s="16">
        <f t="shared" si="516"/>
        <v>-111977.85669220304</v>
      </c>
      <c r="BW783" s="15">
        <f t="shared" si="491"/>
        <v>22.170849845882874</v>
      </c>
      <c r="BX783" s="75">
        <f>BW783*(1-PARAM!$C$27)*$I$21+(MOD($B783,60)=PARAM!$B$56)*($B783&gt;(60-PARAM!$B$56))*HLOOKUP(($B783+PARAM!$B$56)/12,Loyalty,2)*$F$1*MAX(BZ782,0)</f>
        <v>18.557001321003963</v>
      </c>
      <c r="BY783" s="75">
        <f>PARAM!$C$26+MAX($G$21-CHOOSE(PARAM!$B$44,MAX(0,BZ782*$F$1),0),0)*RATES!$L759/12+$H$21*(PARAM!$D$51/12)*RATES!$N759/100</f>
        <v>856.125</v>
      </c>
      <c r="BZ783" s="16">
        <f t="shared" si="517"/>
        <v>-111977.85669220304</v>
      </c>
      <c r="CA783" s="15">
        <f t="shared" si="492"/>
        <v>22.170849845882874</v>
      </c>
      <c r="CB783" s="75">
        <f>CA783*(1-PARAM!$C$27)*$I$22+(MOD($B783,60)=PARAM!$B$56)*($B783&gt;(60-PARAM!$B$56))*HLOOKUP(($B783+PARAM!$B$56)/12,Loyalty,2)*$F$1*MAX(CD782,0)</f>
        <v>18.557001321003963</v>
      </c>
      <c r="CC783" s="75">
        <f>PARAM!$C$26+MAX($G$22-CHOOSE(PARAM!$B$44,MAX(0,CD782*$F$1),0),0)*RATES!$L759/12+$H$22*(PARAM!$D$51/12)*RATES!$N759/100</f>
        <v>856.125</v>
      </c>
      <c r="CD783" s="16">
        <f t="shared" si="518"/>
        <v>-111977.85669220304</v>
      </c>
      <c r="CE783" s="33">
        <f>IF(0=MOD(B783,12/PARAM!$D$51),1,0)</f>
        <v>1</v>
      </c>
      <c r="CF783" s="15">
        <f t="shared" si="493"/>
        <v>0</v>
      </c>
      <c r="CG783" s="75">
        <f>CF783*(1-PARAM!$C$27)*$R$3+(MOD($B783/12,5)=0)*($B783&gt;60)*HLOOKUP($B783/12,Loyalty,2)*$F$1*MAX(CI782,0)</f>
        <v>0</v>
      </c>
      <c r="CH783" s="75">
        <f>PARAM!$C$26+MAX($P$3-CHOOSE(PARAM!$B$44,MAX(0,CI782*$F$1),0),0)*RATES!$L759/12+$Q$3*(PARAM!$D$51/12)*RATES!$N759/100</f>
        <v>856.125</v>
      </c>
      <c r="CI783" s="16">
        <f>IF(CI782&gt;0,CI782*PARAM!$C$53,CI782)+CG783-CH783</f>
        <v>-125887.37500000017</v>
      </c>
      <c r="CJ783" s="15">
        <f t="shared" si="519"/>
        <v>0</v>
      </c>
      <c r="CK783" s="75">
        <f>CJ783*(1-PARAM!$C$27)*$R$4+(MOD($B783/12,5)=0)*($B783&gt;60)*HLOOKUP($B783/12,Loyalty,2)*$F$1*MAX(CM782,0)</f>
        <v>0</v>
      </c>
      <c r="CL783" s="75">
        <f>PARAM!$C$26+MAX($P$4-CHOOSE(PARAM!$B$44,MAX(0,CM782*$F$1),0),0)*RATES!$L759/12+$Q$4*(PARAM!$D$51/12)*RATES!$N759/100</f>
        <v>856.125</v>
      </c>
      <c r="CM783" s="16">
        <f>IF(CM782&gt;0,CM782*PARAM!$C$53,CM782)+CK783-CL783</f>
        <v>-125887.37500000017</v>
      </c>
      <c r="CO783" s="176"/>
    </row>
    <row r="784" spans="1:93" x14ac:dyDescent="0.2">
      <c r="A784" t="b">
        <f t="shared" si="494"/>
        <v>0</v>
      </c>
      <c r="B784" s="33">
        <v>757</v>
      </c>
      <c r="C784" s="15">
        <f t="shared" si="495"/>
        <v>20.081305947392778</v>
      </c>
      <c r="D784" s="75">
        <f>C784*(1-PARAM!$C$27)*$I$3+(MOD($B784,60)=PARAM!$B$56)*($B784&gt;(60-PARAM!$B$56))*HLOOKUP(($B784+PARAM!$B$56)/12,Loyalty,2)*$F$1*MAX(F783,0)</f>
        <v>16.808053077967756</v>
      </c>
      <c r="E784" s="75">
        <f>PARAM!$C$26+MAX($G$3-CHOOSE(PARAM!$B$44,MAX(0,F783*$F$1),0),0)*RATES!$L760/12+$H$3*(PARAM!$D$51/12)*RATES!$N760/100</f>
        <v>856.125</v>
      </c>
      <c r="F784" s="16">
        <f t="shared" si="496"/>
        <v>-114176.22901138201</v>
      </c>
      <c r="G784" s="15">
        <f t="shared" si="497"/>
        <v>22.035289406060361</v>
      </c>
      <c r="H784" s="75">
        <f>G784*(1-PARAM!$C$27)*$I$4+(MOD($B784,60)=PARAM!$B$56)*($B784&gt;(60-PARAM!$B$56))*HLOOKUP(($B784+PARAM!$B$56)/12,Loyalty,2)*$F$1*MAX(J783,0)</f>
        <v>18.443537232872522</v>
      </c>
      <c r="I784" s="75">
        <f>PARAM!$C$26+MAX($G$4-CHOOSE(PARAM!$B$44,MAX(0,J783*$F$1),0),0)*RATES!$L760/12+$H$4*(PARAM!$D$51/12)*RATES!$N760/100</f>
        <v>856.125</v>
      </c>
      <c r="J784" s="16">
        <f t="shared" si="498"/>
        <v>-112904.33454199739</v>
      </c>
      <c r="K784" s="15">
        <f t="shared" si="499"/>
        <v>22.170849845882874</v>
      </c>
      <c r="L784" s="75">
        <f>K784*(1-PARAM!$C$27)*$I$5+(MOD($B784,60)=PARAM!$B$56)*($B784&gt;(60-PARAM!$B$56))*HLOOKUP(($B784+PARAM!$B$56)/12,Loyalty,2)*$F$1*MAX(N783,0)</f>
        <v>18.557001321003963</v>
      </c>
      <c r="M784" s="75">
        <f>PARAM!$C$26+MAX($G$5-CHOOSE(PARAM!$B$44,MAX(0,N783*$F$1),0),0)*RATES!$L760/12+$H$5*(PARAM!$D$51/12)*RATES!$N760/100</f>
        <v>856.125</v>
      </c>
      <c r="N784" s="16">
        <f t="shared" si="500"/>
        <v>-112815.42469088204</v>
      </c>
      <c r="O784" s="15">
        <f t="shared" si="501"/>
        <v>22.170849845882874</v>
      </c>
      <c r="P784" s="75">
        <f>O784*(1-PARAM!$C$27)*$I$6+(MOD($B784,60)=PARAM!$B$56)*($B784&gt;(60-PARAM!$B$56))*HLOOKUP(($B784+PARAM!$B$56)/12,Loyalty,2)*$F$1*MAX(R783,0)</f>
        <v>18.557001321003963</v>
      </c>
      <c r="Q784" s="75">
        <f>PARAM!$C$26+MAX($G$6-CHOOSE(PARAM!$B$44,MAX(0,R783*$F$1),0),0)*RATES!$L760/12+$H$6*(PARAM!$D$51/12)*RATES!$N760/100</f>
        <v>856.125</v>
      </c>
      <c r="R784" s="16">
        <f t="shared" si="502"/>
        <v>-112815.42469088204</v>
      </c>
      <c r="S784" s="15">
        <f t="shared" si="477"/>
        <v>22.170849845882874</v>
      </c>
      <c r="T784" s="75">
        <f>S784*(1-PARAM!$C$27)*$I$7+(MOD($B784,60)=PARAM!$B$56)*($B784&gt;(60-PARAM!$B$56))*HLOOKUP(($B784+PARAM!$B$56)/12,Loyalty,2)*$F$1*MAX(V783,0)</f>
        <v>18.557001321003963</v>
      </c>
      <c r="U784" s="75">
        <f>PARAM!$C$26+MAX($G$7-CHOOSE(PARAM!$B$44,MAX(0,V783*$F$1),0),0)*RATES!$L760/12+$H$7*(PARAM!$D$51/12)*RATES!$N760/100</f>
        <v>856.125</v>
      </c>
      <c r="V784" s="16">
        <f t="shared" si="503"/>
        <v>-112815.42469088204</v>
      </c>
      <c r="W784" s="15">
        <f t="shared" si="478"/>
        <v>22.170849845882874</v>
      </c>
      <c r="X784" s="75">
        <f>W784*(1-PARAM!$C$27)*$I$8+(MOD($B784,60)=PARAM!$B$56)*($B784&gt;(60-PARAM!$B$56))*HLOOKUP(($B784+PARAM!$B$56)/12,Loyalty,2)*$F$1*MAX(Z783,0)</f>
        <v>18.557001321003963</v>
      </c>
      <c r="Y784" s="75">
        <f>PARAM!$C$26+MAX($G$8-CHOOSE(PARAM!$B$44,MAX(0,Z783*$F$1),0),0)*RATES!$L760/12+$H$8*(PARAM!$D$51/12)*RATES!$N760/100</f>
        <v>856.125</v>
      </c>
      <c r="Z784" s="16">
        <f t="shared" si="504"/>
        <v>-112815.42469088204</v>
      </c>
      <c r="AA784" s="15">
        <f t="shared" si="479"/>
        <v>22.170849845882874</v>
      </c>
      <c r="AB784" s="75">
        <f>AA784*(1-PARAM!$C$27)*$I$9+(MOD($B784,60)=PARAM!$B$56)*($B784&gt;(60-PARAM!$B$56))*HLOOKUP(($B784+PARAM!$B$56)/12,Loyalty,2)*$F$1*MAX(AD783,0)</f>
        <v>18.557001321003963</v>
      </c>
      <c r="AC784" s="75">
        <f>PARAM!$C$26+MAX($G$9-CHOOSE(PARAM!$B$44,MAX(0,AD783*$F$1),0),0)*RATES!$L760/12+$H$9*(PARAM!$D$51/12)*RATES!$N760/100</f>
        <v>856.125</v>
      </c>
      <c r="AD784" s="16">
        <f t="shared" si="505"/>
        <v>-112815.42469088204</v>
      </c>
      <c r="AE784" s="15">
        <f t="shared" si="480"/>
        <v>22.170849845882874</v>
      </c>
      <c r="AF784" s="75">
        <f>AE784*(1-PARAM!$C$27)*$I$10+(MOD($B784,60)=PARAM!$B$56)*($B784&gt;(60-PARAM!$B$56))*HLOOKUP(($B784+PARAM!$B$56)/12,Loyalty,2)*$F$1*MAX(AH783,0)</f>
        <v>18.557001321003963</v>
      </c>
      <c r="AG784" s="75">
        <f>PARAM!$C$26+MAX($G$10-CHOOSE(PARAM!$B$44,MAX(0,AH783*$F$1),0),0)*RATES!$L760/12+$H$10*(PARAM!$D$51/12)*RATES!$N760/100</f>
        <v>856.125</v>
      </c>
      <c r="AH784" s="16">
        <f t="shared" si="506"/>
        <v>-112815.42469088204</v>
      </c>
      <c r="AI784" s="15">
        <f t="shared" si="481"/>
        <v>22.170849845882874</v>
      </c>
      <c r="AJ784" s="75">
        <f>AI784*(1-PARAM!$C$27)*$I$11+(MOD($B784,60)=PARAM!$B$56)*($B784&gt;(60-PARAM!$B$56))*HLOOKUP(($B784+PARAM!$B$56)/12,Loyalty,2)*$F$1*MAX(AL783,0)</f>
        <v>18.557001321003963</v>
      </c>
      <c r="AK784" s="75">
        <f>PARAM!$C$26+MAX($G$11-CHOOSE(PARAM!$B$44,MAX(0,AL783*$F$1),0),0)*RATES!$L760/12+$H$11*(PARAM!$D$51/12)*RATES!$N760/100</f>
        <v>856.125</v>
      </c>
      <c r="AL784" s="16">
        <f t="shared" si="507"/>
        <v>-112815.42469088204</v>
      </c>
      <c r="AM784" s="15">
        <f t="shared" si="482"/>
        <v>22.170849845882874</v>
      </c>
      <c r="AN784" s="75">
        <f>AM784*(1-PARAM!$C$27)*$I$12+(MOD($B784,60)=PARAM!$B$56)*($B784&gt;(60-PARAM!$B$56))*HLOOKUP(($B784+PARAM!$B$56)/12,Loyalty,2)*$F$1*MAX(AP783,0)</f>
        <v>18.557001321003963</v>
      </c>
      <c r="AO784" s="75">
        <f>PARAM!$C$26+MAX($G$12-CHOOSE(PARAM!$B$44,MAX(0,AP783*$F$1),0),0)*RATES!$L760/12+$H$12*(PARAM!$D$51/12)*RATES!$N760/100</f>
        <v>856.125</v>
      </c>
      <c r="AP784" s="16">
        <f t="shared" si="508"/>
        <v>-112815.42469088204</v>
      </c>
      <c r="AQ784" s="15">
        <f t="shared" si="483"/>
        <v>22.170849845882874</v>
      </c>
      <c r="AR784" s="75">
        <f>AQ784*(1-PARAM!$C$27)*$I$13+(MOD($B784,60)=PARAM!$B$56)*($B784&gt;(60-PARAM!$B$56))*HLOOKUP(($B784+PARAM!$B$56)/12,Loyalty,2)*$F$1*MAX(AT783,0)</f>
        <v>18.557001321003963</v>
      </c>
      <c r="AS784" s="75">
        <f>PARAM!$C$26+MAX($G$13-CHOOSE(PARAM!$B$44,MAX(0,AT783*$F$1),0),0)*RATES!$L760/12+$H$13*(PARAM!$D$51/12)*RATES!$N760/100</f>
        <v>856.125</v>
      </c>
      <c r="AT784" s="16">
        <f t="shared" si="509"/>
        <v>-112815.42469088204</v>
      </c>
      <c r="AU784" s="15">
        <f t="shared" si="484"/>
        <v>22.170849845882874</v>
      </c>
      <c r="AV784" s="75">
        <f>AU784*(1-PARAM!$C$27)*$I$14+(MOD($B784,60)=PARAM!$B$56)*($B784&gt;(60-PARAM!$B$56))*HLOOKUP(($B784+PARAM!$B$56)/12,Loyalty,2)*$F$1*MAX(AX783,0)</f>
        <v>18.557001321003963</v>
      </c>
      <c r="AW784" s="75">
        <f>PARAM!$C$26+MAX($G$14-CHOOSE(PARAM!$B$44,MAX(0,AX783*$F$1),0),0)*RATES!$L760/12+$H$14*(PARAM!$D$51/12)*RATES!$N760/100</f>
        <v>856.125</v>
      </c>
      <c r="AX784" s="16">
        <f t="shared" si="510"/>
        <v>-112815.42469088204</v>
      </c>
      <c r="AY784" s="15">
        <f t="shared" si="485"/>
        <v>22.170849845882874</v>
      </c>
      <c r="AZ784" s="75">
        <f>AY784*(1-PARAM!$C$27)*$I$15+(MOD($B784,60)=PARAM!$B$56)*($B784&gt;(60-PARAM!$B$56))*HLOOKUP(($B784+PARAM!$B$56)/12,Loyalty,2)*$F$1*MAX(BB783,0)</f>
        <v>18.557001321003963</v>
      </c>
      <c r="BA784" s="75">
        <f>PARAM!$C$26+MAX($G$15-CHOOSE(PARAM!$B$44,MAX(0,BB783*$F$1),0),0)*RATES!$L760/12+$H$15*(PARAM!$D$51/12)*RATES!$N760/100</f>
        <v>856.125</v>
      </c>
      <c r="BB784" s="16">
        <f t="shared" si="511"/>
        <v>-112815.42469088204</v>
      </c>
      <c r="BC784" s="15">
        <f t="shared" si="486"/>
        <v>22.170849845882874</v>
      </c>
      <c r="BD784" s="75">
        <f>BC784*(1-PARAM!$C$27)*$I$16+(MOD($B784,60)=PARAM!$B$56)*($B784&gt;(60-PARAM!$B$56))*HLOOKUP(($B784+PARAM!$B$56)/12,Loyalty,2)*$F$1*MAX(BF783,0)</f>
        <v>18.557001321003963</v>
      </c>
      <c r="BE784" s="75">
        <f>PARAM!$C$26+MAX($G$16-CHOOSE(PARAM!$B$44,MAX(0,BF783*$F$1),0),0)*RATES!$L760/12+$H$16*(PARAM!$D$51/12)*RATES!$N760/100</f>
        <v>856.125</v>
      </c>
      <c r="BF784" s="16">
        <f t="shared" si="512"/>
        <v>-112815.42469088204</v>
      </c>
      <c r="BG784" s="15">
        <f t="shared" si="487"/>
        <v>22.170849845882874</v>
      </c>
      <c r="BH784" s="75">
        <f>BG784*(1-PARAM!$C$27)*$I$17+(MOD($B784,60)=PARAM!$B$56)*($B784&gt;(60-PARAM!$B$56))*HLOOKUP(($B784+PARAM!$B$56)/12,Loyalty,2)*$F$1*MAX(BJ783,0)</f>
        <v>18.557001321003963</v>
      </c>
      <c r="BI784" s="75">
        <f>PARAM!$C$26+MAX($G$17-CHOOSE(PARAM!$B$44,MAX(0,BJ783*$F$1),0),0)*RATES!$L760/12+$H$17*(PARAM!$D$51/12)*RATES!$N760/100</f>
        <v>856.125</v>
      </c>
      <c r="BJ784" s="16">
        <f t="shared" si="513"/>
        <v>-112815.42469088204</v>
      </c>
      <c r="BK784" s="15">
        <f t="shared" si="488"/>
        <v>22.170849845882874</v>
      </c>
      <c r="BL784" s="75">
        <f>BK784*(1-PARAM!$C$27)*$I$18+(MOD($B784,60)=PARAM!$B$56)*($B784&gt;(60-PARAM!$B$56))*HLOOKUP(($B784+PARAM!$B$56)/12,Loyalty,2)*$F$1*MAX(BN783,0)</f>
        <v>18.557001321003963</v>
      </c>
      <c r="BM784" s="75">
        <f>PARAM!$C$26+MAX($G$18-CHOOSE(PARAM!$B$44,MAX(0,BN783*$F$1),0),0)*RATES!$L760/12+$H$18*(PARAM!$D$51/12)*RATES!$N760/100</f>
        <v>856.125</v>
      </c>
      <c r="BN784" s="16">
        <f t="shared" si="514"/>
        <v>-112815.42469088204</v>
      </c>
      <c r="BO784" s="15">
        <f t="shared" si="489"/>
        <v>22.170849845882874</v>
      </c>
      <c r="BP784" s="75">
        <f>BO784*(1-PARAM!$C$27)*$I$19+(MOD($B784,60)=PARAM!$B$56)*($B784&gt;(60-PARAM!$B$56))*HLOOKUP(($B784+PARAM!$B$56)/12,Loyalty,2)*$F$1*MAX(BR783,0)</f>
        <v>18.557001321003963</v>
      </c>
      <c r="BQ784" s="75">
        <f>PARAM!$C$26+MAX($G$19-CHOOSE(PARAM!$B$44,MAX(0,BR783*$F$1),0),0)*RATES!$L760/12+$H$19*(PARAM!$D$51/12)*RATES!$N760/100</f>
        <v>856.125</v>
      </c>
      <c r="BR784" s="16">
        <f t="shared" si="515"/>
        <v>-112815.42469088204</v>
      </c>
      <c r="BS784" s="15">
        <f t="shared" si="490"/>
        <v>22.170849845882874</v>
      </c>
      <c r="BT784" s="75">
        <f>BS784*(1-PARAM!$C$27)*$I$20+(MOD($B784,60)=PARAM!$B$56)*($B784&gt;(60-PARAM!$B$56))*HLOOKUP(($B784+PARAM!$B$56)/12,Loyalty,2)*$F$1*MAX(BV783,0)</f>
        <v>18.557001321003963</v>
      </c>
      <c r="BU784" s="75">
        <f>PARAM!$C$26+MAX($G$20-CHOOSE(PARAM!$B$44,MAX(0,BV783*$F$1),0),0)*RATES!$L760/12+$H$20*(PARAM!$D$51/12)*RATES!$N760/100</f>
        <v>856.125</v>
      </c>
      <c r="BV784" s="16">
        <f t="shared" si="516"/>
        <v>-112815.42469088204</v>
      </c>
      <c r="BW784" s="15">
        <f t="shared" si="491"/>
        <v>22.170849845882874</v>
      </c>
      <c r="BX784" s="75">
        <f>BW784*(1-PARAM!$C$27)*$I$21+(MOD($B784,60)=PARAM!$B$56)*($B784&gt;(60-PARAM!$B$56))*HLOOKUP(($B784+PARAM!$B$56)/12,Loyalty,2)*$F$1*MAX(BZ783,0)</f>
        <v>18.557001321003963</v>
      </c>
      <c r="BY784" s="75">
        <f>PARAM!$C$26+MAX($G$21-CHOOSE(PARAM!$B$44,MAX(0,BZ783*$F$1),0),0)*RATES!$L760/12+$H$21*(PARAM!$D$51/12)*RATES!$N760/100</f>
        <v>856.125</v>
      </c>
      <c r="BZ784" s="16">
        <f t="shared" si="517"/>
        <v>-112815.42469088204</v>
      </c>
      <c r="CA784" s="15">
        <f t="shared" si="492"/>
        <v>22.170849845882874</v>
      </c>
      <c r="CB784" s="75">
        <f>CA784*(1-PARAM!$C$27)*$I$22+(MOD($B784,60)=PARAM!$B$56)*($B784&gt;(60-PARAM!$B$56))*HLOOKUP(($B784+PARAM!$B$56)/12,Loyalty,2)*$F$1*MAX(CD783,0)</f>
        <v>18.557001321003963</v>
      </c>
      <c r="CC784" s="75">
        <f>PARAM!$C$26+MAX($G$22-CHOOSE(PARAM!$B$44,MAX(0,CD783*$F$1),0),0)*RATES!$L760/12+$H$22*(PARAM!$D$51/12)*RATES!$N760/100</f>
        <v>856.125</v>
      </c>
      <c r="CD784" s="16">
        <f t="shared" si="518"/>
        <v>-112815.42469088204</v>
      </c>
      <c r="CE784" s="33">
        <f>IF(0=MOD(B784,12/PARAM!$D$51),1,0)</f>
        <v>1</v>
      </c>
      <c r="CF784" s="15">
        <f t="shared" si="493"/>
        <v>0</v>
      </c>
      <c r="CG784" s="75">
        <f>CF784*(1-PARAM!$C$27)*$R$3+(MOD($B784/12,5)=0)*($B784&gt;60)*HLOOKUP($B784/12,Loyalty,2)*$F$1*MAX(CI783,0)</f>
        <v>0</v>
      </c>
      <c r="CH784" s="75">
        <f>PARAM!$C$26+MAX($P$3-CHOOSE(PARAM!$B$44,MAX(0,CI783*$F$1),0),0)*RATES!$L760/12+$Q$3*(PARAM!$D$51/12)*RATES!$N760/100</f>
        <v>856.125</v>
      </c>
      <c r="CI784" s="16">
        <f>IF(CI783&gt;0,CI783*PARAM!$C$53,CI783)+CG784-CH784</f>
        <v>-126743.50000000017</v>
      </c>
      <c r="CJ784" s="15">
        <f t="shared" si="519"/>
        <v>0</v>
      </c>
      <c r="CK784" s="75">
        <f>CJ784*(1-PARAM!$C$27)*$R$4+(MOD($B784/12,5)=0)*($B784&gt;60)*HLOOKUP($B784/12,Loyalty,2)*$F$1*MAX(CM783,0)</f>
        <v>0</v>
      </c>
      <c r="CL784" s="75">
        <f>PARAM!$C$26+MAX($P$4-CHOOSE(PARAM!$B$44,MAX(0,CM783*$F$1),0),0)*RATES!$L760/12+$Q$4*(PARAM!$D$51/12)*RATES!$N760/100</f>
        <v>856.125</v>
      </c>
      <c r="CM784" s="16">
        <f>IF(CM783&gt;0,CM783*PARAM!$C$53,CM783)+CK784-CL784</f>
        <v>-126743.50000000017</v>
      </c>
      <c r="CO784" s="176"/>
    </row>
    <row r="785" spans="1:93" x14ac:dyDescent="0.2">
      <c r="A785" t="b">
        <f t="shared" si="494"/>
        <v>0</v>
      </c>
      <c r="B785" s="33">
        <v>758</v>
      </c>
      <c r="C785" s="15">
        <f t="shared" si="495"/>
        <v>20.081305947392778</v>
      </c>
      <c r="D785" s="75">
        <f>C785*(1-PARAM!$C$27)*$I$3+(MOD($B785,60)=PARAM!$B$56)*($B785&gt;(60-PARAM!$B$56))*HLOOKUP(($B785+PARAM!$B$56)/12,Loyalty,2)*$F$1*MAX(F784,0)</f>
        <v>16.808053077967756</v>
      </c>
      <c r="E785" s="75">
        <f>PARAM!$C$26+MAX($G$3-CHOOSE(PARAM!$B$44,MAX(0,F784*$F$1),0),0)*RATES!$L761/12+$H$3*(PARAM!$D$51/12)*RATES!$N761/100</f>
        <v>856.125</v>
      </c>
      <c r="F785" s="16">
        <f t="shared" si="496"/>
        <v>-115015.54595830404</v>
      </c>
      <c r="G785" s="15">
        <f t="shared" si="497"/>
        <v>22.035289406060361</v>
      </c>
      <c r="H785" s="75">
        <f>G785*(1-PARAM!$C$27)*$I$4+(MOD($B785,60)=PARAM!$B$56)*($B785&gt;(60-PARAM!$B$56))*HLOOKUP(($B785+PARAM!$B$56)/12,Loyalty,2)*$F$1*MAX(J784,0)</f>
        <v>18.443537232872522</v>
      </c>
      <c r="I785" s="75">
        <f>PARAM!$C$26+MAX($G$4-CHOOSE(PARAM!$B$44,MAX(0,J784*$F$1),0),0)*RATES!$L761/12+$H$4*(PARAM!$D$51/12)*RATES!$N761/100</f>
        <v>856.125</v>
      </c>
      <c r="J785" s="16">
        <f t="shared" si="498"/>
        <v>-113742.01600476452</v>
      </c>
      <c r="K785" s="15">
        <f t="shared" si="499"/>
        <v>22.170849845882874</v>
      </c>
      <c r="L785" s="75">
        <f>K785*(1-PARAM!$C$27)*$I$5+(MOD($B785,60)=PARAM!$B$56)*($B785&gt;(60-PARAM!$B$56))*HLOOKUP(($B785+PARAM!$B$56)/12,Loyalty,2)*$F$1*MAX(N784,0)</f>
        <v>18.557001321003963</v>
      </c>
      <c r="M785" s="75">
        <f>PARAM!$C$26+MAX($G$5-CHOOSE(PARAM!$B$44,MAX(0,N784*$F$1),0),0)*RATES!$L761/12+$H$5*(PARAM!$D$51/12)*RATES!$N761/100</f>
        <v>856.125</v>
      </c>
      <c r="N785" s="16">
        <f t="shared" si="500"/>
        <v>-113652.99268956103</v>
      </c>
      <c r="O785" s="15">
        <f t="shared" si="501"/>
        <v>22.170849845882874</v>
      </c>
      <c r="P785" s="75">
        <f>O785*(1-PARAM!$C$27)*$I$6+(MOD($B785,60)=PARAM!$B$56)*($B785&gt;(60-PARAM!$B$56))*HLOOKUP(($B785+PARAM!$B$56)/12,Loyalty,2)*$F$1*MAX(R784,0)</f>
        <v>18.557001321003963</v>
      </c>
      <c r="Q785" s="75">
        <f>PARAM!$C$26+MAX($G$6-CHOOSE(PARAM!$B$44,MAX(0,R784*$F$1),0),0)*RATES!$L761/12+$H$6*(PARAM!$D$51/12)*RATES!$N761/100</f>
        <v>856.125</v>
      </c>
      <c r="R785" s="16">
        <f t="shared" si="502"/>
        <v>-113652.99268956103</v>
      </c>
      <c r="S785" s="15">
        <f t="shared" si="477"/>
        <v>22.170849845882874</v>
      </c>
      <c r="T785" s="75">
        <f>S785*(1-PARAM!$C$27)*$I$7+(MOD($B785,60)=PARAM!$B$56)*($B785&gt;(60-PARAM!$B$56))*HLOOKUP(($B785+PARAM!$B$56)/12,Loyalty,2)*$F$1*MAX(V784,0)</f>
        <v>18.557001321003963</v>
      </c>
      <c r="U785" s="75">
        <f>PARAM!$C$26+MAX($G$7-CHOOSE(PARAM!$B$44,MAX(0,V784*$F$1),0),0)*RATES!$L761/12+$H$7*(PARAM!$D$51/12)*RATES!$N761/100</f>
        <v>856.125</v>
      </c>
      <c r="V785" s="16">
        <f t="shared" si="503"/>
        <v>-113652.99268956103</v>
      </c>
      <c r="W785" s="15">
        <f t="shared" si="478"/>
        <v>22.170849845882874</v>
      </c>
      <c r="X785" s="75">
        <f>W785*(1-PARAM!$C$27)*$I$8+(MOD($B785,60)=PARAM!$B$56)*($B785&gt;(60-PARAM!$B$56))*HLOOKUP(($B785+PARAM!$B$56)/12,Loyalty,2)*$F$1*MAX(Z784,0)</f>
        <v>18.557001321003963</v>
      </c>
      <c r="Y785" s="75">
        <f>PARAM!$C$26+MAX($G$8-CHOOSE(PARAM!$B$44,MAX(0,Z784*$F$1),0),0)*RATES!$L761/12+$H$8*(PARAM!$D$51/12)*RATES!$N761/100</f>
        <v>856.125</v>
      </c>
      <c r="Z785" s="16">
        <f t="shared" si="504"/>
        <v>-113652.99268956103</v>
      </c>
      <c r="AA785" s="15">
        <f t="shared" si="479"/>
        <v>22.170849845882874</v>
      </c>
      <c r="AB785" s="75">
        <f>AA785*(1-PARAM!$C$27)*$I$9+(MOD($B785,60)=PARAM!$B$56)*($B785&gt;(60-PARAM!$B$56))*HLOOKUP(($B785+PARAM!$B$56)/12,Loyalty,2)*$F$1*MAX(AD784,0)</f>
        <v>18.557001321003963</v>
      </c>
      <c r="AC785" s="75">
        <f>PARAM!$C$26+MAX($G$9-CHOOSE(PARAM!$B$44,MAX(0,AD784*$F$1),0),0)*RATES!$L761/12+$H$9*(PARAM!$D$51/12)*RATES!$N761/100</f>
        <v>856.125</v>
      </c>
      <c r="AD785" s="16">
        <f t="shared" si="505"/>
        <v>-113652.99268956103</v>
      </c>
      <c r="AE785" s="15">
        <f t="shared" si="480"/>
        <v>22.170849845882874</v>
      </c>
      <c r="AF785" s="75">
        <f>AE785*(1-PARAM!$C$27)*$I$10+(MOD($B785,60)=PARAM!$B$56)*($B785&gt;(60-PARAM!$B$56))*HLOOKUP(($B785+PARAM!$B$56)/12,Loyalty,2)*$F$1*MAX(AH784,0)</f>
        <v>18.557001321003963</v>
      </c>
      <c r="AG785" s="75">
        <f>PARAM!$C$26+MAX($G$10-CHOOSE(PARAM!$B$44,MAX(0,AH784*$F$1),0),0)*RATES!$L761/12+$H$10*(PARAM!$D$51/12)*RATES!$N761/100</f>
        <v>856.125</v>
      </c>
      <c r="AH785" s="16">
        <f t="shared" si="506"/>
        <v>-113652.99268956103</v>
      </c>
      <c r="AI785" s="15">
        <f t="shared" si="481"/>
        <v>22.170849845882874</v>
      </c>
      <c r="AJ785" s="75">
        <f>AI785*(1-PARAM!$C$27)*$I$11+(MOD($B785,60)=PARAM!$B$56)*($B785&gt;(60-PARAM!$B$56))*HLOOKUP(($B785+PARAM!$B$56)/12,Loyalty,2)*$F$1*MAX(AL784,0)</f>
        <v>18.557001321003963</v>
      </c>
      <c r="AK785" s="75">
        <f>PARAM!$C$26+MAX($G$11-CHOOSE(PARAM!$B$44,MAX(0,AL784*$F$1),0),0)*RATES!$L761/12+$H$11*(PARAM!$D$51/12)*RATES!$N761/100</f>
        <v>856.125</v>
      </c>
      <c r="AL785" s="16">
        <f t="shared" si="507"/>
        <v>-113652.99268956103</v>
      </c>
      <c r="AM785" s="15">
        <f t="shared" si="482"/>
        <v>22.170849845882874</v>
      </c>
      <c r="AN785" s="75">
        <f>AM785*(1-PARAM!$C$27)*$I$12+(MOD($B785,60)=PARAM!$B$56)*($B785&gt;(60-PARAM!$B$56))*HLOOKUP(($B785+PARAM!$B$56)/12,Loyalty,2)*$F$1*MAX(AP784,0)</f>
        <v>18.557001321003963</v>
      </c>
      <c r="AO785" s="75">
        <f>PARAM!$C$26+MAX($G$12-CHOOSE(PARAM!$B$44,MAX(0,AP784*$F$1),0),0)*RATES!$L761/12+$H$12*(PARAM!$D$51/12)*RATES!$N761/100</f>
        <v>856.125</v>
      </c>
      <c r="AP785" s="16">
        <f t="shared" si="508"/>
        <v>-113652.99268956103</v>
      </c>
      <c r="AQ785" s="15">
        <f t="shared" si="483"/>
        <v>22.170849845882874</v>
      </c>
      <c r="AR785" s="75">
        <f>AQ785*(1-PARAM!$C$27)*$I$13+(MOD($B785,60)=PARAM!$B$56)*($B785&gt;(60-PARAM!$B$56))*HLOOKUP(($B785+PARAM!$B$56)/12,Loyalty,2)*$F$1*MAX(AT784,0)</f>
        <v>18.557001321003963</v>
      </c>
      <c r="AS785" s="75">
        <f>PARAM!$C$26+MAX($G$13-CHOOSE(PARAM!$B$44,MAX(0,AT784*$F$1),0),0)*RATES!$L761/12+$H$13*(PARAM!$D$51/12)*RATES!$N761/100</f>
        <v>856.125</v>
      </c>
      <c r="AT785" s="16">
        <f t="shared" si="509"/>
        <v>-113652.99268956103</v>
      </c>
      <c r="AU785" s="15">
        <f t="shared" si="484"/>
        <v>22.170849845882874</v>
      </c>
      <c r="AV785" s="75">
        <f>AU785*(1-PARAM!$C$27)*$I$14+(MOD($B785,60)=PARAM!$B$56)*($B785&gt;(60-PARAM!$B$56))*HLOOKUP(($B785+PARAM!$B$56)/12,Loyalty,2)*$F$1*MAX(AX784,0)</f>
        <v>18.557001321003963</v>
      </c>
      <c r="AW785" s="75">
        <f>PARAM!$C$26+MAX($G$14-CHOOSE(PARAM!$B$44,MAX(0,AX784*$F$1),0),0)*RATES!$L761/12+$H$14*(PARAM!$D$51/12)*RATES!$N761/100</f>
        <v>856.125</v>
      </c>
      <c r="AX785" s="16">
        <f t="shared" si="510"/>
        <v>-113652.99268956103</v>
      </c>
      <c r="AY785" s="15">
        <f t="shared" si="485"/>
        <v>22.170849845882874</v>
      </c>
      <c r="AZ785" s="75">
        <f>AY785*(1-PARAM!$C$27)*$I$15+(MOD($B785,60)=PARAM!$B$56)*($B785&gt;(60-PARAM!$B$56))*HLOOKUP(($B785+PARAM!$B$56)/12,Loyalty,2)*$F$1*MAX(BB784,0)</f>
        <v>18.557001321003963</v>
      </c>
      <c r="BA785" s="75">
        <f>PARAM!$C$26+MAX($G$15-CHOOSE(PARAM!$B$44,MAX(0,BB784*$F$1),0),0)*RATES!$L761/12+$H$15*(PARAM!$D$51/12)*RATES!$N761/100</f>
        <v>856.125</v>
      </c>
      <c r="BB785" s="16">
        <f t="shared" si="511"/>
        <v>-113652.99268956103</v>
      </c>
      <c r="BC785" s="15">
        <f t="shared" si="486"/>
        <v>22.170849845882874</v>
      </c>
      <c r="BD785" s="75">
        <f>BC785*(1-PARAM!$C$27)*$I$16+(MOD($B785,60)=PARAM!$B$56)*($B785&gt;(60-PARAM!$B$56))*HLOOKUP(($B785+PARAM!$B$56)/12,Loyalty,2)*$F$1*MAX(BF784,0)</f>
        <v>18.557001321003963</v>
      </c>
      <c r="BE785" s="75">
        <f>PARAM!$C$26+MAX($G$16-CHOOSE(PARAM!$B$44,MAX(0,BF784*$F$1),0),0)*RATES!$L761/12+$H$16*(PARAM!$D$51/12)*RATES!$N761/100</f>
        <v>856.125</v>
      </c>
      <c r="BF785" s="16">
        <f t="shared" si="512"/>
        <v>-113652.99268956103</v>
      </c>
      <c r="BG785" s="15">
        <f t="shared" si="487"/>
        <v>22.170849845882874</v>
      </c>
      <c r="BH785" s="75">
        <f>BG785*(1-PARAM!$C$27)*$I$17+(MOD($B785,60)=PARAM!$B$56)*($B785&gt;(60-PARAM!$B$56))*HLOOKUP(($B785+PARAM!$B$56)/12,Loyalty,2)*$F$1*MAX(BJ784,0)</f>
        <v>18.557001321003963</v>
      </c>
      <c r="BI785" s="75">
        <f>PARAM!$C$26+MAX($G$17-CHOOSE(PARAM!$B$44,MAX(0,BJ784*$F$1),0),0)*RATES!$L761/12+$H$17*(PARAM!$D$51/12)*RATES!$N761/100</f>
        <v>856.125</v>
      </c>
      <c r="BJ785" s="16">
        <f t="shared" si="513"/>
        <v>-113652.99268956103</v>
      </c>
      <c r="BK785" s="15">
        <f t="shared" si="488"/>
        <v>22.170849845882874</v>
      </c>
      <c r="BL785" s="75">
        <f>BK785*(1-PARAM!$C$27)*$I$18+(MOD($B785,60)=PARAM!$B$56)*($B785&gt;(60-PARAM!$B$56))*HLOOKUP(($B785+PARAM!$B$56)/12,Loyalty,2)*$F$1*MAX(BN784,0)</f>
        <v>18.557001321003963</v>
      </c>
      <c r="BM785" s="75">
        <f>PARAM!$C$26+MAX($G$18-CHOOSE(PARAM!$B$44,MAX(0,BN784*$F$1),0),0)*RATES!$L761/12+$H$18*(PARAM!$D$51/12)*RATES!$N761/100</f>
        <v>856.125</v>
      </c>
      <c r="BN785" s="16">
        <f t="shared" si="514"/>
        <v>-113652.99268956103</v>
      </c>
      <c r="BO785" s="15">
        <f t="shared" si="489"/>
        <v>22.170849845882874</v>
      </c>
      <c r="BP785" s="75">
        <f>BO785*(1-PARAM!$C$27)*$I$19+(MOD($B785,60)=PARAM!$B$56)*($B785&gt;(60-PARAM!$B$56))*HLOOKUP(($B785+PARAM!$B$56)/12,Loyalty,2)*$F$1*MAX(BR784,0)</f>
        <v>18.557001321003963</v>
      </c>
      <c r="BQ785" s="75">
        <f>PARAM!$C$26+MAX($G$19-CHOOSE(PARAM!$B$44,MAX(0,BR784*$F$1),0),0)*RATES!$L761/12+$H$19*(PARAM!$D$51/12)*RATES!$N761/100</f>
        <v>856.125</v>
      </c>
      <c r="BR785" s="16">
        <f t="shared" si="515"/>
        <v>-113652.99268956103</v>
      </c>
      <c r="BS785" s="15">
        <f t="shared" si="490"/>
        <v>22.170849845882874</v>
      </c>
      <c r="BT785" s="75">
        <f>BS785*(1-PARAM!$C$27)*$I$20+(MOD($B785,60)=PARAM!$B$56)*($B785&gt;(60-PARAM!$B$56))*HLOOKUP(($B785+PARAM!$B$56)/12,Loyalty,2)*$F$1*MAX(BV784,0)</f>
        <v>18.557001321003963</v>
      </c>
      <c r="BU785" s="75">
        <f>PARAM!$C$26+MAX($G$20-CHOOSE(PARAM!$B$44,MAX(0,BV784*$F$1),0),0)*RATES!$L761/12+$H$20*(PARAM!$D$51/12)*RATES!$N761/100</f>
        <v>856.125</v>
      </c>
      <c r="BV785" s="16">
        <f t="shared" si="516"/>
        <v>-113652.99268956103</v>
      </c>
      <c r="BW785" s="15">
        <f t="shared" si="491"/>
        <v>22.170849845882874</v>
      </c>
      <c r="BX785" s="75">
        <f>BW785*(1-PARAM!$C$27)*$I$21+(MOD($B785,60)=PARAM!$B$56)*($B785&gt;(60-PARAM!$B$56))*HLOOKUP(($B785+PARAM!$B$56)/12,Loyalty,2)*$F$1*MAX(BZ784,0)</f>
        <v>18.557001321003963</v>
      </c>
      <c r="BY785" s="75">
        <f>PARAM!$C$26+MAX($G$21-CHOOSE(PARAM!$B$44,MAX(0,BZ784*$F$1),0),0)*RATES!$L761/12+$H$21*(PARAM!$D$51/12)*RATES!$N761/100</f>
        <v>856.125</v>
      </c>
      <c r="BZ785" s="16">
        <f t="shared" si="517"/>
        <v>-113652.99268956103</v>
      </c>
      <c r="CA785" s="15">
        <f t="shared" si="492"/>
        <v>22.170849845882874</v>
      </c>
      <c r="CB785" s="75">
        <f>CA785*(1-PARAM!$C$27)*$I$22+(MOD($B785,60)=PARAM!$B$56)*($B785&gt;(60-PARAM!$B$56))*HLOOKUP(($B785+PARAM!$B$56)/12,Loyalty,2)*$F$1*MAX(CD784,0)</f>
        <v>18.557001321003963</v>
      </c>
      <c r="CC785" s="75">
        <f>PARAM!$C$26+MAX($G$22-CHOOSE(PARAM!$B$44,MAX(0,CD784*$F$1),0),0)*RATES!$L761/12+$H$22*(PARAM!$D$51/12)*RATES!$N761/100</f>
        <v>856.125</v>
      </c>
      <c r="CD785" s="16">
        <f t="shared" si="518"/>
        <v>-113652.99268956103</v>
      </c>
      <c r="CE785" s="33">
        <f>IF(0=MOD(B785,12/PARAM!$D$51),1,0)</f>
        <v>1</v>
      </c>
      <c r="CF785" s="15">
        <f t="shared" si="493"/>
        <v>0</v>
      </c>
      <c r="CG785" s="75">
        <f>CF785*(1-PARAM!$C$27)*$R$3+(MOD($B785/12,5)=0)*($B785&gt;60)*HLOOKUP($B785/12,Loyalty,2)*$F$1*MAX(CI784,0)</f>
        <v>0</v>
      </c>
      <c r="CH785" s="75">
        <f>PARAM!$C$26+MAX($P$3-CHOOSE(PARAM!$B$44,MAX(0,CI784*$F$1),0),0)*RATES!$L761/12+$Q$3*(PARAM!$D$51/12)*RATES!$N761/100</f>
        <v>856.125</v>
      </c>
      <c r="CI785" s="16">
        <f>IF(CI784&gt;0,CI784*PARAM!$C$53,CI784)+CG785-CH785</f>
        <v>-127599.62500000017</v>
      </c>
      <c r="CJ785" s="15">
        <f t="shared" si="519"/>
        <v>0</v>
      </c>
      <c r="CK785" s="75">
        <f>CJ785*(1-PARAM!$C$27)*$R$4+(MOD($B785/12,5)=0)*($B785&gt;60)*HLOOKUP($B785/12,Loyalty,2)*$F$1*MAX(CM784,0)</f>
        <v>0</v>
      </c>
      <c r="CL785" s="75">
        <f>PARAM!$C$26+MAX($P$4-CHOOSE(PARAM!$B$44,MAX(0,CM784*$F$1),0),0)*RATES!$L761/12+$Q$4*(PARAM!$D$51/12)*RATES!$N761/100</f>
        <v>856.125</v>
      </c>
      <c r="CM785" s="16">
        <f>IF(CM784&gt;0,CM784*PARAM!$C$53,CM784)+CK785-CL785</f>
        <v>-127599.62500000017</v>
      </c>
      <c r="CO785" s="176"/>
    </row>
    <row r="786" spans="1:93" x14ac:dyDescent="0.2">
      <c r="A786" t="b">
        <f t="shared" si="494"/>
        <v>0</v>
      </c>
      <c r="B786" s="33">
        <v>759</v>
      </c>
      <c r="C786" s="15">
        <f t="shared" si="495"/>
        <v>20.081305947392778</v>
      </c>
      <c r="D786" s="75">
        <f>C786*(1-PARAM!$C$27)*$I$3+(MOD($B786,60)=PARAM!$B$56)*($B786&gt;(60-PARAM!$B$56))*HLOOKUP(($B786+PARAM!$B$56)/12,Loyalty,2)*$F$1*MAX(F785,0)</f>
        <v>16.808053077967756</v>
      </c>
      <c r="E786" s="75">
        <f>PARAM!$C$26+MAX($G$3-CHOOSE(PARAM!$B$44,MAX(0,F785*$F$1),0),0)*RATES!$L762/12+$H$3*(PARAM!$D$51/12)*RATES!$N762/100</f>
        <v>856.125</v>
      </c>
      <c r="F786" s="16">
        <f t="shared" si="496"/>
        <v>-115854.86290522607</v>
      </c>
      <c r="G786" s="15">
        <f t="shared" si="497"/>
        <v>22.035289406060361</v>
      </c>
      <c r="H786" s="75">
        <f>G786*(1-PARAM!$C$27)*$I$4+(MOD($B786,60)=PARAM!$B$56)*($B786&gt;(60-PARAM!$B$56))*HLOOKUP(($B786+PARAM!$B$56)/12,Loyalty,2)*$F$1*MAX(J785,0)</f>
        <v>18.443537232872522</v>
      </c>
      <c r="I786" s="75">
        <f>PARAM!$C$26+MAX($G$4-CHOOSE(PARAM!$B$44,MAX(0,J785*$F$1),0),0)*RATES!$L762/12+$H$4*(PARAM!$D$51/12)*RATES!$N762/100</f>
        <v>856.125</v>
      </c>
      <c r="J786" s="16">
        <f t="shared" si="498"/>
        <v>-114579.69746753165</v>
      </c>
      <c r="K786" s="15">
        <f t="shared" si="499"/>
        <v>22.170849845882874</v>
      </c>
      <c r="L786" s="75">
        <f>K786*(1-PARAM!$C$27)*$I$5+(MOD($B786,60)=PARAM!$B$56)*($B786&gt;(60-PARAM!$B$56))*HLOOKUP(($B786+PARAM!$B$56)/12,Loyalty,2)*$F$1*MAX(N785,0)</f>
        <v>18.557001321003963</v>
      </c>
      <c r="M786" s="75">
        <f>PARAM!$C$26+MAX($G$5-CHOOSE(PARAM!$B$44,MAX(0,N785*$F$1),0),0)*RATES!$L762/12+$H$5*(PARAM!$D$51/12)*RATES!$N762/100</f>
        <v>856.125</v>
      </c>
      <c r="N786" s="16">
        <f t="shared" si="500"/>
        <v>-114490.56068824002</v>
      </c>
      <c r="O786" s="15">
        <f t="shared" si="501"/>
        <v>22.170849845882874</v>
      </c>
      <c r="P786" s="75">
        <f>O786*(1-PARAM!$C$27)*$I$6+(MOD($B786,60)=PARAM!$B$56)*($B786&gt;(60-PARAM!$B$56))*HLOOKUP(($B786+PARAM!$B$56)/12,Loyalty,2)*$F$1*MAX(R785,0)</f>
        <v>18.557001321003963</v>
      </c>
      <c r="Q786" s="75">
        <f>PARAM!$C$26+MAX($G$6-CHOOSE(PARAM!$B$44,MAX(0,R785*$F$1),0),0)*RATES!$L762/12+$H$6*(PARAM!$D$51/12)*RATES!$N762/100</f>
        <v>856.125</v>
      </c>
      <c r="R786" s="16">
        <f t="shared" si="502"/>
        <v>-114490.56068824002</v>
      </c>
      <c r="S786" s="15">
        <f t="shared" si="477"/>
        <v>22.170849845882874</v>
      </c>
      <c r="T786" s="75">
        <f>S786*(1-PARAM!$C$27)*$I$7+(MOD($B786,60)=PARAM!$B$56)*($B786&gt;(60-PARAM!$B$56))*HLOOKUP(($B786+PARAM!$B$56)/12,Loyalty,2)*$F$1*MAX(V785,0)</f>
        <v>18.557001321003963</v>
      </c>
      <c r="U786" s="75">
        <f>PARAM!$C$26+MAX($G$7-CHOOSE(PARAM!$B$44,MAX(0,V785*$F$1),0),0)*RATES!$L762/12+$H$7*(PARAM!$D$51/12)*RATES!$N762/100</f>
        <v>856.125</v>
      </c>
      <c r="V786" s="16">
        <f t="shared" si="503"/>
        <v>-114490.56068824002</v>
      </c>
      <c r="W786" s="15">
        <f t="shared" si="478"/>
        <v>22.170849845882874</v>
      </c>
      <c r="X786" s="75">
        <f>W786*(1-PARAM!$C$27)*$I$8+(MOD($B786,60)=PARAM!$B$56)*($B786&gt;(60-PARAM!$B$56))*HLOOKUP(($B786+PARAM!$B$56)/12,Loyalty,2)*$F$1*MAX(Z785,0)</f>
        <v>18.557001321003963</v>
      </c>
      <c r="Y786" s="75">
        <f>PARAM!$C$26+MAX($G$8-CHOOSE(PARAM!$B$44,MAX(0,Z785*$F$1),0),0)*RATES!$L762/12+$H$8*(PARAM!$D$51/12)*RATES!$N762/100</f>
        <v>856.125</v>
      </c>
      <c r="Z786" s="16">
        <f t="shared" si="504"/>
        <v>-114490.56068824002</v>
      </c>
      <c r="AA786" s="15">
        <f t="shared" si="479"/>
        <v>22.170849845882874</v>
      </c>
      <c r="AB786" s="75">
        <f>AA786*(1-PARAM!$C$27)*$I$9+(MOD($B786,60)=PARAM!$B$56)*($B786&gt;(60-PARAM!$B$56))*HLOOKUP(($B786+PARAM!$B$56)/12,Loyalty,2)*$F$1*MAX(AD785,0)</f>
        <v>18.557001321003963</v>
      </c>
      <c r="AC786" s="75">
        <f>PARAM!$C$26+MAX($G$9-CHOOSE(PARAM!$B$44,MAX(0,AD785*$F$1),0),0)*RATES!$L762/12+$H$9*(PARAM!$D$51/12)*RATES!$N762/100</f>
        <v>856.125</v>
      </c>
      <c r="AD786" s="16">
        <f t="shared" si="505"/>
        <v>-114490.56068824002</v>
      </c>
      <c r="AE786" s="15">
        <f t="shared" si="480"/>
        <v>22.170849845882874</v>
      </c>
      <c r="AF786" s="75">
        <f>AE786*(1-PARAM!$C$27)*$I$10+(MOD($B786,60)=PARAM!$B$56)*($B786&gt;(60-PARAM!$B$56))*HLOOKUP(($B786+PARAM!$B$56)/12,Loyalty,2)*$F$1*MAX(AH785,0)</f>
        <v>18.557001321003963</v>
      </c>
      <c r="AG786" s="75">
        <f>PARAM!$C$26+MAX($G$10-CHOOSE(PARAM!$B$44,MAX(0,AH785*$F$1),0),0)*RATES!$L762/12+$H$10*(PARAM!$D$51/12)*RATES!$N762/100</f>
        <v>856.125</v>
      </c>
      <c r="AH786" s="16">
        <f t="shared" si="506"/>
        <v>-114490.56068824002</v>
      </c>
      <c r="AI786" s="15">
        <f t="shared" si="481"/>
        <v>22.170849845882874</v>
      </c>
      <c r="AJ786" s="75">
        <f>AI786*(1-PARAM!$C$27)*$I$11+(MOD($B786,60)=PARAM!$B$56)*($B786&gt;(60-PARAM!$B$56))*HLOOKUP(($B786+PARAM!$B$56)/12,Loyalty,2)*$F$1*MAX(AL785,0)</f>
        <v>18.557001321003963</v>
      </c>
      <c r="AK786" s="75">
        <f>PARAM!$C$26+MAX($G$11-CHOOSE(PARAM!$B$44,MAX(0,AL785*$F$1),0),0)*RATES!$L762/12+$H$11*(PARAM!$D$51/12)*RATES!$N762/100</f>
        <v>856.125</v>
      </c>
      <c r="AL786" s="16">
        <f t="shared" si="507"/>
        <v>-114490.56068824002</v>
      </c>
      <c r="AM786" s="15">
        <f t="shared" si="482"/>
        <v>22.170849845882874</v>
      </c>
      <c r="AN786" s="75">
        <f>AM786*(1-PARAM!$C$27)*$I$12+(MOD($B786,60)=PARAM!$B$56)*($B786&gt;(60-PARAM!$B$56))*HLOOKUP(($B786+PARAM!$B$56)/12,Loyalty,2)*$F$1*MAX(AP785,0)</f>
        <v>18.557001321003963</v>
      </c>
      <c r="AO786" s="75">
        <f>PARAM!$C$26+MAX($G$12-CHOOSE(PARAM!$B$44,MAX(0,AP785*$F$1),0),0)*RATES!$L762/12+$H$12*(PARAM!$D$51/12)*RATES!$N762/100</f>
        <v>856.125</v>
      </c>
      <c r="AP786" s="16">
        <f t="shared" si="508"/>
        <v>-114490.56068824002</v>
      </c>
      <c r="AQ786" s="15">
        <f t="shared" si="483"/>
        <v>22.170849845882874</v>
      </c>
      <c r="AR786" s="75">
        <f>AQ786*(1-PARAM!$C$27)*$I$13+(MOD($B786,60)=PARAM!$B$56)*($B786&gt;(60-PARAM!$B$56))*HLOOKUP(($B786+PARAM!$B$56)/12,Loyalty,2)*$F$1*MAX(AT785,0)</f>
        <v>18.557001321003963</v>
      </c>
      <c r="AS786" s="75">
        <f>PARAM!$C$26+MAX($G$13-CHOOSE(PARAM!$B$44,MAX(0,AT785*$F$1),0),0)*RATES!$L762/12+$H$13*(PARAM!$D$51/12)*RATES!$N762/100</f>
        <v>856.125</v>
      </c>
      <c r="AT786" s="16">
        <f t="shared" si="509"/>
        <v>-114490.56068824002</v>
      </c>
      <c r="AU786" s="15">
        <f t="shared" si="484"/>
        <v>22.170849845882874</v>
      </c>
      <c r="AV786" s="75">
        <f>AU786*(1-PARAM!$C$27)*$I$14+(MOD($B786,60)=PARAM!$B$56)*($B786&gt;(60-PARAM!$B$56))*HLOOKUP(($B786+PARAM!$B$56)/12,Loyalty,2)*$F$1*MAX(AX785,0)</f>
        <v>18.557001321003963</v>
      </c>
      <c r="AW786" s="75">
        <f>PARAM!$C$26+MAX($G$14-CHOOSE(PARAM!$B$44,MAX(0,AX785*$F$1),0),0)*RATES!$L762/12+$H$14*(PARAM!$D$51/12)*RATES!$N762/100</f>
        <v>856.125</v>
      </c>
      <c r="AX786" s="16">
        <f t="shared" si="510"/>
        <v>-114490.56068824002</v>
      </c>
      <c r="AY786" s="15">
        <f t="shared" si="485"/>
        <v>22.170849845882874</v>
      </c>
      <c r="AZ786" s="75">
        <f>AY786*(1-PARAM!$C$27)*$I$15+(MOD($B786,60)=PARAM!$B$56)*($B786&gt;(60-PARAM!$B$56))*HLOOKUP(($B786+PARAM!$B$56)/12,Loyalty,2)*$F$1*MAX(BB785,0)</f>
        <v>18.557001321003963</v>
      </c>
      <c r="BA786" s="75">
        <f>PARAM!$C$26+MAX($G$15-CHOOSE(PARAM!$B$44,MAX(0,BB785*$F$1),0),0)*RATES!$L762/12+$H$15*(PARAM!$D$51/12)*RATES!$N762/100</f>
        <v>856.125</v>
      </c>
      <c r="BB786" s="16">
        <f t="shared" si="511"/>
        <v>-114490.56068824002</v>
      </c>
      <c r="BC786" s="15">
        <f t="shared" si="486"/>
        <v>22.170849845882874</v>
      </c>
      <c r="BD786" s="75">
        <f>BC786*(1-PARAM!$C$27)*$I$16+(MOD($B786,60)=PARAM!$B$56)*($B786&gt;(60-PARAM!$B$56))*HLOOKUP(($B786+PARAM!$B$56)/12,Loyalty,2)*$F$1*MAX(BF785,0)</f>
        <v>18.557001321003963</v>
      </c>
      <c r="BE786" s="75">
        <f>PARAM!$C$26+MAX($G$16-CHOOSE(PARAM!$B$44,MAX(0,BF785*$F$1),0),0)*RATES!$L762/12+$H$16*(PARAM!$D$51/12)*RATES!$N762/100</f>
        <v>856.125</v>
      </c>
      <c r="BF786" s="16">
        <f t="shared" si="512"/>
        <v>-114490.56068824002</v>
      </c>
      <c r="BG786" s="15">
        <f t="shared" si="487"/>
        <v>22.170849845882874</v>
      </c>
      <c r="BH786" s="75">
        <f>BG786*(1-PARAM!$C$27)*$I$17+(MOD($B786,60)=PARAM!$B$56)*($B786&gt;(60-PARAM!$B$56))*HLOOKUP(($B786+PARAM!$B$56)/12,Loyalty,2)*$F$1*MAX(BJ785,0)</f>
        <v>18.557001321003963</v>
      </c>
      <c r="BI786" s="75">
        <f>PARAM!$C$26+MAX($G$17-CHOOSE(PARAM!$B$44,MAX(0,BJ785*$F$1),0),0)*RATES!$L762/12+$H$17*(PARAM!$D$51/12)*RATES!$N762/100</f>
        <v>856.125</v>
      </c>
      <c r="BJ786" s="16">
        <f t="shared" si="513"/>
        <v>-114490.56068824002</v>
      </c>
      <c r="BK786" s="15">
        <f t="shared" si="488"/>
        <v>22.170849845882874</v>
      </c>
      <c r="BL786" s="75">
        <f>BK786*(1-PARAM!$C$27)*$I$18+(MOD($B786,60)=PARAM!$B$56)*($B786&gt;(60-PARAM!$B$56))*HLOOKUP(($B786+PARAM!$B$56)/12,Loyalty,2)*$F$1*MAX(BN785,0)</f>
        <v>18.557001321003963</v>
      </c>
      <c r="BM786" s="75">
        <f>PARAM!$C$26+MAX($G$18-CHOOSE(PARAM!$B$44,MAX(0,BN785*$F$1),0),0)*RATES!$L762/12+$H$18*(PARAM!$D$51/12)*RATES!$N762/100</f>
        <v>856.125</v>
      </c>
      <c r="BN786" s="16">
        <f t="shared" si="514"/>
        <v>-114490.56068824002</v>
      </c>
      <c r="BO786" s="15">
        <f t="shared" si="489"/>
        <v>22.170849845882874</v>
      </c>
      <c r="BP786" s="75">
        <f>BO786*(1-PARAM!$C$27)*$I$19+(MOD($B786,60)=PARAM!$B$56)*($B786&gt;(60-PARAM!$B$56))*HLOOKUP(($B786+PARAM!$B$56)/12,Loyalty,2)*$F$1*MAX(BR785,0)</f>
        <v>18.557001321003963</v>
      </c>
      <c r="BQ786" s="75">
        <f>PARAM!$C$26+MAX($G$19-CHOOSE(PARAM!$B$44,MAX(0,BR785*$F$1),0),0)*RATES!$L762/12+$H$19*(PARAM!$D$51/12)*RATES!$N762/100</f>
        <v>856.125</v>
      </c>
      <c r="BR786" s="16">
        <f t="shared" si="515"/>
        <v>-114490.56068824002</v>
      </c>
      <c r="BS786" s="15">
        <f t="shared" si="490"/>
        <v>22.170849845882874</v>
      </c>
      <c r="BT786" s="75">
        <f>BS786*(1-PARAM!$C$27)*$I$20+(MOD($B786,60)=PARAM!$B$56)*($B786&gt;(60-PARAM!$B$56))*HLOOKUP(($B786+PARAM!$B$56)/12,Loyalty,2)*$F$1*MAX(BV785,0)</f>
        <v>18.557001321003963</v>
      </c>
      <c r="BU786" s="75">
        <f>PARAM!$C$26+MAX($G$20-CHOOSE(PARAM!$B$44,MAX(0,BV785*$F$1),0),0)*RATES!$L762/12+$H$20*(PARAM!$D$51/12)*RATES!$N762/100</f>
        <v>856.125</v>
      </c>
      <c r="BV786" s="16">
        <f t="shared" si="516"/>
        <v>-114490.56068824002</v>
      </c>
      <c r="BW786" s="15">
        <f t="shared" si="491"/>
        <v>22.170849845882874</v>
      </c>
      <c r="BX786" s="75">
        <f>BW786*(1-PARAM!$C$27)*$I$21+(MOD($B786,60)=PARAM!$B$56)*($B786&gt;(60-PARAM!$B$56))*HLOOKUP(($B786+PARAM!$B$56)/12,Loyalty,2)*$F$1*MAX(BZ785,0)</f>
        <v>18.557001321003963</v>
      </c>
      <c r="BY786" s="75">
        <f>PARAM!$C$26+MAX($G$21-CHOOSE(PARAM!$B$44,MAX(0,BZ785*$F$1),0),0)*RATES!$L762/12+$H$21*(PARAM!$D$51/12)*RATES!$N762/100</f>
        <v>856.125</v>
      </c>
      <c r="BZ786" s="16">
        <f t="shared" si="517"/>
        <v>-114490.56068824002</v>
      </c>
      <c r="CA786" s="15">
        <f t="shared" si="492"/>
        <v>22.170849845882874</v>
      </c>
      <c r="CB786" s="75">
        <f>CA786*(1-PARAM!$C$27)*$I$22+(MOD($B786,60)=PARAM!$B$56)*($B786&gt;(60-PARAM!$B$56))*HLOOKUP(($B786+PARAM!$B$56)/12,Loyalty,2)*$F$1*MAX(CD785,0)</f>
        <v>18.557001321003963</v>
      </c>
      <c r="CC786" s="75">
        <f>PARAM!$C$26+MAX($G$22-CHOOSE(PARAM!$B$44,MAX(0,CD785*$F$1),0),0)*RATES!$L762/12+$H$22*(PARAM!$D$51/12)*RATES!$N762/100</f>
        <v>856.125</v>
      </c>
      <c r="CD786" s="16">
        <f t="shared" si="518"/>
        <v>-114490.56068824002</v>
      </c>
      <c r="CE786" s="33">
        <f>IF(0=MOD(B786,12/PARAM!$D$51),1,0)</f>
        <v>1</v>
      </c>
      <c r="CF786" s="15">
        <f t="shared" si="493"/>
        <v>0</v>
      </c>
      <c r="CG786" s="75">
        <f>CF786*(1-PARAM!$C$27)*$R$3+(MOD($B786/12,5)=0)*($B786&gt;60)*HLOOKUP($B786/12,Loyalty,2)*$F$1*MAX(CI785,0)</f>
        <v>0</v>
      </c>
      <c r="CH786" s="75">
        <f>PARAM!$C$26+MAX($P$3-CHOOSE(PARAM!$B$44,MAX(0,CI785*$F$1),0),0)*RATES!$L762/12+$Q$3*(PARAM!$D$51/12)*RATES!$N762/100</f>
        <v>856.125</v>
      </c>
      <c r="CI786" s="16">
        <f>IF(CI785&gt;0,CI785*PARAM!$C$53,CI785)+CG786-CH786</f>
        <v>-128455.75000000017</v>
      </c>
      <c r="CJ786" s="15">
        <f t="shared" si="519"/>
        <v>0</v>
      </c>
      <c r="CK786" s="75">
        <f>CJ786*(1-PARAM!$C$27)*$R$4+(MOD($B786/12,5)=0)*($B786&gt;60)*HLOOKUP($B786/12,Loyalty,2)*$F$1*MAX(CM785,0)</f>
        <v>0</v>
      </c>
      <c r="CL786" s="75">
        <f>PARAM!$C$26+MAX($P$4-CHOOSE(PARAM!$B$44,MAX(0,CM785*$F$1),0),0)*RATES!$L762/12+$Q$4*(PARAM!$D$51/12)*RATES!$N762/100</f>
        <v>856.125</v>
      </c>
      <c r="CM786" s="16">
        <f>IF(CM785&gt;0,CM785*PARAM!$C$53,CM785)+CK786-CL786</f>
        <v>-128455.75000000017</v>
      </c>
      <c r="CO786" s="176"/>
    </row>
    <row r="787" spans="1:93" x14ac:dyDescent="0.2">
      <c r="A787" t="b">
        <f t="shared" si="494"/>
        <v>0</v>
      </c>
      <c r="B787" s="33">
        <v>760</v>
      </c>
      <c r="C787" s="15">
        <f t="shared" si="495"/>
        <v>20.081305947392778</v>
      </c>
      <c r="D787" s="75">
        <f>C787*(1-PARAM!$C$27)*$I$3+(MOD($B787,60)=PARAM!$B$56)*($B787&gt;(60-PARAM!$B$56))*HLOOKUP(($B787+PARAM!$B$56)/12,Loyalty,2)*$F$1*MAX(F786,0)</f>
        <v>16.808053077967756</v>
      </c>
      <c r="E787" s="75">
        <f>PARAM!$C$26+MAX($G$3-CHOOSE(PARAM!$B$44,MAX(0,F786*$F$1),0),0)*RATES!$L763/12+$H$3*(PARAM!$D$51/12)*RATES!$N763/100</f>
        <v>856.125</v>
      </c>
      <c r="F787" s="16">
        <f t="shared" si="496"/>
        <v>-116694.1798521481</v>
      </c>
      <c r="G787" s="15">
        <f t="shared" si="497"/>
        <v>22.035289406060361</v>
      </c>
      <c r="H787" s="75">
        <f>G787*(1-PARAM!$C$27)*$I$4+(MOD($B787,60)=PARAM!$B$56)*($B787&gt;(60-PARAM!$B$56))*HLOOKUP(($B787+PARAM!$B$56)/12,Loyalty,2)*$F$1*MAX(J786,0)</f>
        <v>18.443537232872522</v>
      </c>
      <c r="I787" s="75">
        <f>PARAM!$C$26+MAX($G$4-CHOOSE(PARAM!$B$44,MAX(0,J786*$F$1),0),0)*RATES!$L763/12+$H$4*(PARAM!$D$51/12)*RATES!$N763/100</f>
        <v>856.125</v>
      </c>
      <c r="J787" s="16">
        <f t="shared" si="498"/>
        <v>-115417.37893029877</v>
      </c>
      <c r="K787" s="15">
        <f t="shared" si="499"/>
        <v>22.170849845882874</v>
      </c>
      <c r="L787" s="75">
        <f>K787*(1-PARAM!$C$27)*$I$5+(MOD($B787,60)=PARAM!$B$56)*($B787&gt;(60-PARAM!$B$56))*HLOOKUP(($B787+PARAM!$B$56)/12,Loyalty,2)*$F$1*MAX(N786,0)</f>
        <v>18.557001321003963</v>
      </c>
      <c r="M787" s="75">
        <f>PARAM!$C$26+MAX($G$5-CHOOSE(PARAM!$B$44,MAX(0,N786*$F$1),0),0)*RATES!$L763/12+$H$5*(PARAM!$D$51/12)*RATES!$N763/100</f>
        <v>856.125</v>
      </c>
      <c r="N787" s="16">
        <f t="shared" si="500"/>
        <v>-115328.12868691901</v>
      </c>
      <c r="O787" s="15">
        <f t="shared" si="501"/>
        <v>22.170849845882874</v>
      </c>
      <c r="P787" s="75">
        <f>O787*(1-PARAM!$C$27)*$I$6+(MOD($B787,60)=PARAM!$B$56)*($B787&gt;(60-PARAM!$B$56))*HLOOKUP(($B787+PARAM!$B$56)/12,Loyalty,2)*$F$1*MAX(R786,0)</f>
        <v>18.557001321003963</v>
      </c>
      <c r="Q787" s="75">
        <f>PARAM!$C$26+MAX($G$6-CHOOSE(PARAM!$B$44,MAX(0,R786*$F$1),0),0)*RATES!$L763/12+$H$6*(PARAM!$D$51/12)*RATES!$N763/100</f>
        <v>856.125</v>
      </c>
      <c r="R787" s="16">
        <f t="shared" si="502"/>
        <v>-115328.12868691901</v>
      </c>
      <c r="S787" s="15">
        <f t="shared" si="477"/>
        <v>22.170849845882874</v>
      </c>
      <c r="T787" s="75">
        <f>S787*(1-PARAM!$C$27)*$I$7+(MOD($B787,60)=PARAM!$B$56)*($B787&gt;(60-PARAM!$B$56))*HLOOKUP(($B787+PARAM!$B$56)/12,Loyalty,2)*$F$1*MAX(V786,0)</f>
        <v>18.557001321003963</v>
      </c>
      <c r="U787" s="75">
        <f>PARAM!$C$26+MAX($G$7-CHOOSE(PARAM!$B$44,MAX(0,V786*$F$1),0),0)*RATES!$L763/12+$H$7*(PARAM!$D$51/12)*RATES!$N763/100</f>
        <v>856.125</v>
      </c>
      <c r="V787" s="16">
        <f t="shared" si="503"/>
        <v>-115328.12868691901</v>
      </c>
      <c r="W787" s="15">
        <f t="shared" si="478"/>
        <v>22.170849845882874</v>
      </c>
      <c r="X787" s="75">
        <f>W787*(1-PARAM!$C$27)*$I$8+(MOD($B787,60)=PARAM!$B$56)*($B787&gt;(60-PARAM!$B$56))*HLOOKUP(($B787+PARAM!$B$56)/12,Loyalty,2)*$F$1*MAX(Z786,0)</f>
        <v>18.557001321003963</v>
      </c>
      <c r="Y787" s="75">
        <f>PARAM!$C$26+MAX($G$8-CHOOSE(PARAM!$B$44,MAX(0,Z786*$F$1),0),0)*RATES!$L763/12+$H$8*(PARAM!$D$51/12)*RATES!$N763/100</f>
        <v>856.125</v>
      </c>
      <c r="Z787" s="16">
        <f t="shared" si="504"/>
        <v>-115328.12868691901</v>
      </c>
      <c r="AA787" s="15">
        <f t="shared" si="479"/>
        <v>22.170849845882874</v>
      </c>
      <c r="AB787" s="75">
        <f>AA787*(1-PARAM!$C$27)*$I$9+(MOD($B787,60)=PARAM!$B$56)*($B787&gt;(60-PARAM!$B$56))*HLOOKUP(($B787+PARAM!$B$56)/12,Loyalty,2)*$F$1*MAX(AD786,0)</f>
        <v>18.557001321003963</v>
      </c>
      <c r="AC787" s="75">
        <f>PARAM!$C$26+MAX($G$9-CHOOSE(PARAM!$B$44,MAX(0,AD786*$F$1),0),0)*RATES!$L763/12+$H$9*(PARAM!$D$51/12)*RATES!$N763/100</f>
        <v>856.125</v>
      </c>
      <c r="AD787" s="16">
        <f t="shared" si="505"/>
        <v>-115328.12868691901</v>
      </c>
      <c r="AE787" s="15">
        <f t="shared" si="480"/>
        <v>22.170849845882874</v>
      </c>
      <c r="AF787" s="75">
        <f>AE787*(1-PARAM!$C$27)*$I$10+(MOD($B787,60)=PARAM!$B$56)*($B787&gt;(60-PARAM!$B$56))*HLOOKUP(($B787+PARAM!$B$56)/12,Loyalty,2)*$F$1*MAX(AH786,0)</f>
        <v>18.557001321003963</v>
      </c>
      <c r="AG787" s="75">
        <f>PARAM!$C$26+MAX($G$10-CHOOSE(PARAM!$B$44,MAX(0,AH786*$F$1),0),0)*RATES!$L763/12+$H$10*(PARAM!$D$51/12)*RATES!$N763/100</f>
        <v>856.125</v>
      </c>
      <c r="AH787" s="16">
        <f t="shared" si="506"/>
        <v>-115328.12868691901</v>
      </c>
      <c r="AI787" s="15">
        <f t="shared" si="481"/>
        <v>22.170849845882874</v>
      </c>
      <c r="AJ787" s="75">
        <f>AI787*(1-PARAM!$C$27)*$I$11+(MOD($B787,60)=PARAM!$B$56)*($B787&gt;(60-PARAM!$B$56))*HLOOKUP(($B787+PARAM!$B$56)/12,Loyalty,2)*$F$1*MAX(AL786,0)</f>
        <v>18.557001321003963</v>
      </c>
      <c r="AK787" s="75">
        <f>PARAM!$C$26+MAX($G$11-CHOOSE(PARAM!$B$44,MAX(0,AL786*$F$1),0),0)*RATES!$L763/12+$H$11*(PARAM!$D$51/12)*RATES!$N763/100</f>
        <v>856.125</v>
      </c>
      <c r="AL787" s="16">
        <f t="shared" si="507"/>
        <v>-115328.12868691901</v>
      </c>
      <c r="AM787" s="15">
        <f t="shared" si="482"/>
        <v>22.170849845882874</v>
      </c>
      <c r="AN787" s="75">
        <f>AM787*(1-PARAM!$C$27)*$I$12+(MOD($B787,60)=PARAM!$B$56)*($B787&gt;(60-PARAM!$B$56))*HLOOKUP(($B787+PARAM!$B$56)/12,Loyalty,2)*$F$1*MAX(AP786,0)</f>
        <v>18.557001321003963</v>
      </c>
      <c r="AO787" s="75">
        <f>PARAM!$C$26+MAX($G$12-CHOOSE(PARAM!$B$44,MAX(0,AP786*$F$1),0),0)*RATES!$L763/12+$H$12*(PARAM!$D$51/12)*RATES!$N763/100</f>
        <v>856.125</v>
      </c>
      <c r="AP787" s="16">
        <f t="shared" si="508"/>
        <v>-115328.12868691901</v>
      </c>
      <c r="AQ787" s="15">
        <f t="shared" si="483"/>
        <v>22.170849845882874</v>
      </c>
      <c r="AR787" s="75">
        <f>AQ787*(1-PARAM!$C$27)*$I$13+(MOD($B787,60)=PARAM!$B$56)*($B787&gt;(60-PARAM!$B$56))*HLOOKUP(($B787+PARAM!$B$56)/12,Loyalty,2)*$F$1*MAX(AT786,0)</f>
        <v>18.557001321003963</v>
      </c>
      <c r="AS787" s="75">
        <f>PARAM!$C$26+MAX($G$13-CHOOSE(PARAM!$B$44,MAX(0,AT786*$F$1),0),0)*RATES!$L763/12+$H$13*(PARAM!$D$51/12)*RATES!$N763/100</f>
        <v>856.125</v>
      </c>
      <c r="AT787" s="16">
        <f t="shared" si="509"/>
        <v>-115328.12868691901</v>
      </c>
      <c r="AU787" s="15">
        <f t="shared" si="484"/>
        <v>22.170849845882874</v>
      </c>
      <c r="AV787" s="75">
        <f>AU787*(1-PARAM!$C$27)*$I$14+(MOD($B787,60)=PARAM!$B$56)*($B787&gt;(60-PARAM!$B$56))*HLOOKUP(($B787+PARAM!$B$56)/12,Loyalty,2)*$F$1*MAX(AX786,0)</f>
        <v>18.557001321003963</v>
      </c>
      <c r="AW787" s="75">
        <f>PARAM!$C$26+MAX($G$14-CHOOSE(PARAM!$B$44,MAX(0,AX786*$F$1),0),0)*RATES!$L763/12+$H$14*(PARAM!$D$51/12)*RATES!$N763/100</f>
        <v>856.125</v>
      </c>
      <c r="AX787" s="16">
        <f t="shared" si="510"/>
        <v>-115328.12868691901</v>
      </c>
      <c r="AY787" s="15">
        <f t="shared" si="485"/>
        <v>22.170849845882874</v>
      </c>
      <c r="AZ787" s="75">
        <f>AY787*(1-PARAM!$C$27)*$I$15+(MOD($B787,60)=PARAM!$B$56)*($B787&gt;(60-PARAM!$B$56))*HLOOKUP(($B787+PARAM!$B$56)/12,Loyalty,2)*$F$1*MAX(BB786,0)</f>
        <v>18.557001321003963</v>
      </c>
      <c r="BA787" s="75">
        <f>PARAM!$C$26+MAX($G$15-CHOOSE(PARAM!$B$44,MAX(0,BB786*$F$1),0),0)*RATES!$L763/12+$H$15*(PARAM!$D$51/12)*RATES!$N763/100</f>
        <v>856.125</v>
      </c>
      <c r="BB787" s="16">
        <f t="shared" si="511"/>
        <v>-115328.12868691901</v>
      </c>
      <c r="BC787" s="15">
        <f t="shared" si="486"/>
        <v>22.170849845882874</v>
      </c>
      <c r="BD787" s="75">
        <f>BC787*(1-PARAM!$C$27)*$I$16+(MOD($B787,60)=PARAM!$B$56)*($B787&gt;(60-PARAM!$B$56))*HLOOKUP(($B787+PARAM!$B$56)/12,Loyalty,2)*$F$1*MAX(BF786,0)</f>
        <v>18.557001321003963</v>
      </c>
      <c r="BE787" s="75">
        <f>PARAM!$C$26+MAX($G$16-CHOOSE(PARAM!$B$44,MAX(0,BF786*$F$1),0),0)*RATES!$L763/12+$H$16*(PARAM!$D$51/12)*RATES!$N763/100</f>
        <v>856.125</v>
      </c>
      <c r="BF787" s="16">
        <f t="shared" si="512"/>
        <v>-115328.12868691901</v>
      </c>
      <c r="BG787" s="15">
        <f t="shared" si="487"/>
        <v>22.170849845882874</v>
      </c>
      <c r="BH787" s="75">
        <f>BG787*(1-PARAM!$C$27)*$I$17+(MOD($B787,60)=PARAM!$B$56)*($B787&gt;(60-PARAM!$B$56))*HLOOKUP(($B787+PARAM!$B$56)/12,Loyalty,2)*$F$1*MAX(BJ786,0)</f>
        <v>18.557001321003963</v>
      </c>
      <c r="BI787" s="75">
        <f>PARAM!$C$26+MAX($G$17-CHOOSE(PARAM!$B$44,MAX(0,BJ786*$F$1),0),0)*RATES!$L763/12+$H$17*(PARAM!$D$51/12)*RATES!$N763/100</f>
        <v>856.125</v>
      </c>
      <c r="BJ787" s="16">
        <f t="shared" si="513"/>
        <v>-115328.12868691901</v>
      </c>
      <c r="BK787" s="15">
        <f t="shared" si="488"/>
        <v>22.170849845882874</v>
      </c>
      <c r="BL787" s="75">
        <f>BK787*(1-PARAM!$C$27)*$I$18+(MOD($B787,60)=PARAM!$B$56)*($B787&gt;(60-PARAM!$B$56))*HLOOKUP(($B787+PARAM!$B$56)/12,Loyalty,2)*$F$1*MAX(BN786,0)</f>
        <v>18.557001321003963</v>
      </c>
      <c r="BM787" s="75">
        <f>PARAM!$C$26+MAX($G$18-CHOOSE(PARAM!$B$44,MAX(0,BN786*$F$1),0),0)*RATES!$L763/12+$H$18*(PARAM!$D$51/12)*RATES!$N763/100</f>
        <v>856.125</v>
      </c>
      <c r="BN787" s="16">
        <f t="shared" si="514"/>
        <v>-115328.12868691901</v>
      </c>
      <c r="BO787" s="15">
        <f t="shared" si="489"/>
        <v>22.170849845882874</v>
      </c>
      <c r="BP787" s="75">
        <f>BO787*(1-PARAM!$C$27)*$I$19+(MOD($B787,60)=PARAM!$B$56)*($B787&gt;(60-PARAM!$B$56))*HLOOKUP(($B787+PARAM!$B$56)/12,Loyalty,2)*$F$1*MAX(BR786,0)</f>
        <v>18.557001321003963</v>
      </c>
      <c r="BQ787" s="75">
        <f>PARAM!$C$26+MAX($G$19-CHOOSE(PARAM!$B$44,MAX(0,BR786*$F$1),0),0)*RATES!$L763/12+$H$19*(PARAM!$D$51/12)*RATES!$N763/100</f>
        <v>856.125</v>
      </c>
      <c r="BR787" s="16">
        <f t="shared" si="515"/>
        <v>-115328.12868691901</v>
      </c>
      <c r="BS787" s="15">
        <f t="shared" si="490"/>
        <v>22.170849845882874</v>
      </c>
      <c r="BT787" s="75">
        <f>BS787*(1-PARAM!$C$27)*$I$20+(MOD($B787,60)=PARAM!$B$56)*($B787&gt;(60-PARAM!$B$56))*HLOOKUP(($B787+PARAM!$B$56)/12,Loyalty,2)*$F$1*MAX(BV786,0)</f>
        <v>18.557001321003963</v>
      </c>
      <c r="BU787" s="75">
        <f>PARAM!$C$26+MAX($G$20-CHOOSE(PARAM!$B$44,MAX(0,BV786*$F$1),0),0)*RATES!$L763/12+$H$20*(PARAM!$D$51/12)*RATES!$N763/100</f>
        <v>856.125</v>
      </c>
      <c r="BV787" s="16">
        <f t="shared" si="516"/>
        <v>-115328.12868691901</v>
      </c>
      <c r="BW787" s="15">
        <f t="shared" si="491"/>
        <v>22.170849845882874</v>
      </c>
      <c r="BX787" s="75">
        <f>BW787*(1-PARAM!$C$27)*$I$21+(MOD($B787,60)=PARAM!$B$56)*($B787&gt;(60-PARAM!$B$56))*HLOOKUP(($B787+PARAM!$B$56)/12,Loyalty,2)*$F$1*MAX(BZ786,0)</f>
        <v>18.557001321003963</v>
      </c>
      <c r="BY787" s="75">
        <f>PARAM!$C$26+MAX($G$21-CHOOSE(PARAM!$B$44,MAX(0,BZ786*$F$1),0),0)*RATES!$L763/12+$H$21*(PARAM!$D$51/12)*RATES!$N763/100</f>
        <v>856.125</v>
      </c>
      <c r="BZ787" s="16">
        <f t="shared" si="517"/>
        <v>-115328.12868691901</v>
      </c>
      <c r="CA787" s="15">
        <f t="shared" si="492"/>
        <v>22.170849845882874</v>
      </c>
      <c r="CB787" s="75">
        <f>CA787*(1-PARAM!$C$27)*$I$22+(MOD($B787,60)=PARAM!$B$56)*($B787&gt;(60-PARAM!$B$56))*HLOOKUP(($B787+PARAM!$B$56)/12,Loyalty,2)*$F$1*MAX(CD786,0)</f>
        <v>18.557001321003963</v>
      </c>
      <c r="CC787" s="75">
        <f>PARAM!$C$26+MAX($G$22-CHOOSE(PARAM!$B$44,MAX(0,CD786*$F$1),0),0)*RATES!$L763/12+$H$22*(PARAM!$D$51/12)*RATES!$N763/100</f>
        <v>856.125</v>
      </c>
      <c r="CD787" s="16">
        <f t="shared" si="518"/>
        <v>-115328.12868691901</v>
      </c>
      <c r="CE787" s="33">
        <f>IF(0=MOD(B787,12/PARAM!$D$51),1,0)</f>
        <v>1</v>
      </c>
      <c r="CF787" s="15">
        <f t="shared" si="493"/>
        <v>0</v>
      </c>
      <c r="CG787" s="75">
        <f>CF787*(1-PARAM!$C$27)*$R$3+(MOD($B787/12,5)=0)*($B787&gt;60)*HLOOKUP($B787/12,Loyalty,2)*$F$1*MAX(CI786,0)</f>
        <v>0</v>
      </c>
      <c r="CH787" s="75">
        <f>PARAM!$C$26+MAX($P$3-CHOOSE(PARAM!$B$44,MAX(0,CI786*$F$1),0),0)*RATES!$L763/12+$Q$3*(PARAM!$D$51/12)*RATES!$N763/100</f>
        <v>856.125</v>
      </c>
      <c r="CI787" s="16">
        <f>IF(CI786&gt;0,CI786*PARAM!$C$53,CI786)+CG787-CH787</f>
        <v>-129311.87500000017</v>
      </c>
      <c r="CJ787" s="15">
        <f t="shared" si="519"/>
        <v>0</v>
      </c>
      <c r="CK787" s="75">
        <f>CJ787*(1-PARAM!$C$27)*$R$4+(MOD($B787/12,5)=0)*($B787&gt;60)*HLOOKUP($B787/12,Loyalty,2)*$F$1*MAX(CM786,0)</f>
        <v>0</v>
      </c>
      <c r="CL787" s="75">
        <f>PARAM!$C$26+MAX($P$4-CHOOSE(PARAM!$B$44,MAX(0,CM786*$F$1),0),0)*RATES!$L763/12+$Q$4*(PARAM!$D$51/12)*RATES!$N763/100</f>
        <v>856.125</v>
      </c>
      <c r="CM787" s="16">
        <f>IF(CM786&gt;0,CM786*PARAM!$C$53,CM786)+CK787-CL787</f>
        <v>-129311.87500000017</v>
      </c>
      <c r="CO787" s="176"/>
    </row>
    <row r="788" spans="1:93" x14ac:dyDescent="0.2">
      <c r="A788" t="b">
        <f t="shared" si="494"/>
        <v>0</v>
      </c>
      <c r="B788" s="33">
        <v>761</v>
      </c>
      <c r="C788" s="15">
        <f t="shared" si="495"/>
        <v>20.081305947392778</v>
      </c>
      <c r="D788" s="75">
        <f>C788*(1-PARAM!$C$27)*$I$3+(MOD($B788,60)=PARAM!$B$56)*($B788&gt;(60-PARAM!$B$56))*HLOOKUP(($B788+PARAM!$B$56)/12,Loyalty,2)*$F$1*MAX(F787,0)</f>
        <v>16.808053077967756</v>
      </c>
      <c r="E788" s="75">
        <f>PARAM!$C$26+MAX($G$3-CHOOSE(PARAM!$B$44,MAX(0,F787*$F$1),0),0)*RATES!$L764/12+$H$3*(PARAM!$D$51/12)*RATES!$N764/100</f>
        <v>856.125</v>
      </c>
      <c r="F788" s="16">
        <f t="shared" si="496"/>
        <v>-117533.49679907013</v>
      </c>
      <c r="G788" s="15">
        <f t="shared" si="497"/>
        <v>22.035289406060361</v>
      </c>
      <c r="H788" s="75">
        <f>G788*(1-PARAM!$C$27)*$I$4+(MOD($B788,60)=PARAM!$B$56)*($B788&gt;(60-PARAM!$B$56))*HLOOKUP(($B788+PARAM!$B$56)/12,Loyalty,2)*$F$1*MAX(J787,0)</f>
        <v>18.443537232872522</v>
      </c>
      <c r="I788" s="75">
        <f>PARAM!$C$26+MAX($G$4-CHOOSE(PARAM!$B$44,MAX(0,J787*$F$1),0),0)*RATES!$L764/12+$H$4*(PARAM!$D$51/12)*RATES!$N764/100</f>
        <v>856.125</v>
      </c>
      <c r="J788" s="16">
        <f t="shared" si="498"/>
        <v>-116255.0603930659</v>
      </c>
      <c r="K788" s="15">
        <f t="shared" si="499"/>
        <v>22.170849845882874</v>
      </c>
      <c r="L788" s="75">
        <f>K788*(1-PARAM!$C$27)*$I$5+(MOD($B788,60)=PARAM!$B$56)*($B788&gt;(60-PARAM!$B$56))*HLOOKUP(($B788+PARAM!$B$56)/12,Loyalty,2)*$F$1*MAX(N787,0)</f>
        <v>18.557001321003963</v>
      </c>
      <c r="M788" s="75">
        <f>PARAM!$C$26+MAX($G$5-CHOOSE(PARAM!$B$44,MAX(0,N787*$F$1),0),0)*RATES!$L764/12+$H$5*(PARAM!$D$51/12)*RATES!$N764/100</f>
        <v>856.125</v>
      </c>
      <c r="N788" s="16">
        <f t="shared" si="500"/>
        <v>-116165.696685598</v>
      </c>
      <c r="O788" s="15">
        <f t="shared" si="501"/>
        <v>22.170849845882874</v>
      </c>
      <c r="P788" s="75">
        <f>O788*(1-PARAM!$C$27)*$I$6+(MOD($B788,60)=PARAM!$B$56)*($B788&gt;(60-PARAM!$B$56))*HLOOKUP(($B788+PARAM!$B$56)/12,Loyalty,2)*$F$1*MAX(R787,0)</f>
        <v>18.557001321003963</v>
      </c>
      <c r="Q788" s="75">
        <f>PARAM!$C$26+MAX($G$6-CHOOSE(PARAM!$B$44,MAX(0,R787*$F$1),0),0)*RATES!$L764/12+$H$6*(PARAM!$D$51/12)*RATES!$N764/100</f>
        <v>856.125</v>
      </c>
      <c r="R788" s="16">
        <f t="shared" si="502"/>
        <v>-116165.696685598</v>
      </c>
      <c r="S788" s="15">
        <f t="shared" si="477"/>
        <v>22.170849845882874</v>
      </c>
      <c r="T788" s="75">
        <f>S788*(1-PARAM!$C$27)*$I$7+(MOD($B788,60)=PARAM!$B$56)*($B788&gt;(60-PARAM!$B$56))*HLOOKUP(($B788+PARAM!$B$56)/12,Loyalty,2)*$F$1*MAX(V787,0)</f>
        <v>18.557001321003963</v>
      </c>
      <c r="U788" s="75">
        <f>PARAM!$C$26+MAX($G$7-CHOOSE(PARAM!$B$44,MAX(0,V787*$F$1),0),0)*RATES!$L764/12+$H$7*(PARAM!$D$51/12)*RATES!$N764/100</f>
        <v>856.125</v>
      </c>
      <c r="V788" s="16">
        <f t="shared" si="503"/>
        <v>-116165.696685598</v>
      </c>
      <c r="W788" s="15">
        <f t="shared" si="478"/>
        <v>22.170849845882874</v>
      </c>
      <c r="X788" s="75">
        <f>W788*(1-PARAM!$C$27)*$I$8+(MOD($B788,60)=PARAM!$B$56)*($B788&gt;(60-PARAM!$B$56))*HLOOKUP(($B788+PARAM!$B$56)/12,Loyalty,2)*$F$1*MAX(Z787,0)</f>
        <v>18.557001321003963</v>
      </c>
      <c r="Y788" s="75">
        <f>PARAM!$C$26+MAX($G$8-CHOOSE(PARAM!$B$44,MAX(0,Z787*$F$1),0),0)*RATES!$L764/12+$H$8*(PARAM!$D$51/12)*RATES!$N764/100</f>
        <v>856.125</v>
      </c>
      <c r="Z788" s="16">
        <f t="shared" si="504"/>
        <v>-116165.696685598</v>
      </c>
      <c r="AA788" s="15">
        <f t="shared" si="479"/>
        <v>22.170849845882874</v>
      </c>
      <c r="AB788" s="75">
        <f>AA788*(1-PARAM!$C$27)*$I$9+(MOD($B788,60)=PARAM!$B$56)*($B788&gt;(60-PARAM!$B$56))*HLOOKUP(($B788+PARAM!$B$56)/12,Loyalty,2)*$F$1*MAX(AD787,0)</f>
        <v>18.557001321003963</v>
      </c>
      <c r="AC788" s="75">
        <f>PARAM!$C$26+MAX($G$9-CHOOSE(PARAM!$B$44,MAX(0,AD787*$F$1),0),0)*RATES!$L764/12+$H$9*(PARAM!$D$51/12)*RATES!$N764/100</f>
        <v>856.125</v>
      </c>
      <c r="AD788" s="16">
        <f t="shared" si="505"/>
        <v>-116165.696685598</v>
      </c>
      <c r="AE788" s="15">
        <f t="shared" si="480"/>
        <v>22.170849845882874</v>
      </c>
      <c r="AF788" s="75">
        <f>AE788*(1-PARAM!$C$27)*$I$10+(MOD($B788,60)=PARAM!$B$56)*($B788&gt;(60-PARAM!$B$56))*HLOOKUP(($B788+PARAM!$B$56)/12,Loyalty,2)*$F$1*MAX(AH787,0)</f>
        <v>18.557001321003963</v>
      </c>
      <c r="AG788" s="75">
        <f>PARAM!$C$26+MAX($G$10-CHOOSE(PARAM!$B$44,MAX(0,AH787*$F$1),0),0)*RATES!$L764/12+$H$10*(PARAM!$D$51/12)*RATES!$N764/100</f>
        <v>856.125</v>
      </c>
      <c r="AH788" s="16">
        <f t="shared" si="506"/>
        <v>-116165.696685598</v>
      </c>
      <c r="AI788" s="15">
        <f t="shared" si="481"/>
        <v>22.170849845882874</v>
      </c>
      <c r="AJ788" s="75">
        <f>AI788*(1-PARAM!$C$27)*$I$11+(MOD($B788,60)=PARAM!$B$56)*($B788&gt;(60-PARAM!$B$56))*HLOOKUP(($B788+PARAM!$B$56)/12,Loyalty,2)*$F$1*MAX(AL787,0)</f>
        <v>18.557001321003963</v>
      </c>
      <c r="AK788" s="75">
        <f>PARAM!$C$26+MAX($G$11-CHOOSE(PARAM!$B$44,MAX(0,AL787*$F$1),0),0)*RATES!$L764/12+$H$11*(PARAM!$D$51/12)*RATES!$N764/100</f>
        <v>856.125</v>
      </c>
      <c r="AL788" s="16">
        <f t="shared" si="507"/>
        <v>-116165.696685598</v>
      </c>
      <c r="AM788" s="15">
        <f t="shared" si="482"/>
        <v>22.170849845882874</v>
      </c>
      <c r="AN788" s="75">
        <f>AM788*(1-PARAM!$C$27)*$I$12+(MOD($B788,60)=PARAM!$B$56)*($B788&gt;(60-PARAM!$B$56))*HLOOKUP(($B788+PARAM!$B$56)/12,Loyalty,2)*$F$1*MAX(AP787,0)</f>
        <v>18.557001321003963</v>
      </c>
      <c r="AO788" s="75">
        <f>PARAM!$C$26+MAX($G$12-CHOOSE(PARAM!$B$44,MAX(0,AP787*$F$1),0),0)*RATES!$L764/12+$H$12*(PARAM!$D$51/12)*RATES!$N764/100</f>
        <v>856.125</v>
      </c>
      <c r="AP788" s="16">
        <f t="shared" si="508"/>
        <v>-116165.696685598</v>
      </c>
      <c r="AQ788" s="15">
        <f t="shared" si="483"/>
        <v>22.170849845882874</v>
      </c>
      <c r="AR788" s="75">
        <f>AQ788*(1-PARAM!$C$27)*$I$13+(MOD($B788,60)=PARAM!$B$56)*($B788&gt;(60-PARAM!$B$56))*HLOOKUP(($B788+PARAM!$B$56)/12,Loyalty,2)*$F$1*MAX(AT787,0)</f>
        <v>18.557001321003963</v>
      </c>
      <c r="AS788" s="75">
        <f>PARAM!$C$26+MAX($G$13-CHOOSE(PARAM!$B$44,MAX(0,AT787*$F$1),0),0)*RATES!$L764/12+$H$13*(PARAM!$D$51/12)*RATES!$N764/100</f>
        <v>856.125</v>
      </c>
      <c r="AT788" s="16">
        <f t="shared" si="509"/>
        <v>-116165.696685598</v>
      </c>
      <c r="AU788" s="15">
        <f t="shared" si="484"/>
        <v>22.170849845882874</v>
      </c>
      <c r="AV788" s="75">
        <f>AU788*(1-PARAM!$C$27)*$I$14+(MOD($B788,60)=PARAM!$B$56)*($B788&gt;(60-PARAM!$B$56))*HLOOKUP(($B788+PARAM!$B$56)/12,Loyalty,2)*$F$1*MAX(AX787,0)</f>
        <v>18.557001321003963</v>
      </c>
      <c r="AW788" s="75">
        <f>PARAM!$C$26+MAX($G$14-CHOOSE(PARAM!$B$44,MAX(0,AX787*$F$1),0),0)*RATES!$L764/12+$H$14*(PARAM!$D$51/12)*RATES!$N764/100</f>
        <v>856.125</v>
      </c>
      <c r="AX788" s="16">
        <f t="shared" si="510"/>
        <v>-116165.696685598</v>
      </c>
      <c r="AY788" s="15">
        <f t="shared" si="485"/>
        <v>22.170849845882874</v>
      </c>
      <c r="AZ788" s="75">
        <f>AY788*(1-PARAM!$C$27)*$I$15+(MOD($B788,60)=PARAM!$B$56)*($B788&gt;(60-PARAM!$B$56))*HLOOKUP(($B788+PARAM!$B$56)/12,Loyalty,2)*$F$1*MAX(BB787,0)</f>
        <v>18.557001321003963</v>
      </c>
      <c r="BA788" s="75">
        <f>PARAM!$C$26+MAX($G$15-CHOOSE(PARAM!$B$44,MAX(0,BB787*$F$1),0),0)*RATES!$L764/12+$H$15*(PARAM!$D$51/12)*RATES!$N764/100</f>
        <v>856.125</v>
      </c>
      <c r="BB788" s="16">
        <f t="shared" si="511"/>
        <v>-116165.696685598</v>
      </c>
      <c r="BC788" s="15">
        <f t="shared" si="486"/>
        <v>22.170849845882874</v>
      </c>
      <c r="BD788" s="75">
        <f>BC788*(1-PARAM!$C$27)*$I$16+(MOD($B788,60)=PARAM!$B$56)*($B788&gt;(60-PARAM!$B$56))*HLOOKUP(($B788+PARAM!$B$56)/12,Loyalty,2)*$F$1*MAX(BF787,0)</f>
        <v>18.557001321003963</v>
      </c>
      <c r="BE788" s="75">
        <f>PARAM!$C$26+MAX($G$16-CHOOSE(PARAM!$B$44,MAX(0,BF787*$F$1),0),0)*RATES!$L764/12+$H$16*(PARAM!$D$51/12)*RATES!$N764/100</f>
        <v>856.125</v>
      </c>
      <c r="BF788" s="16">
        <f t="shared" si="512"/>
        <v>-116165.696685598</v>
      </c>
      <c r="BG788" s="15">
        <f t="shared" si="487"/>
        <v>22.170849845882874</v>
      </c>
      <c r="BH788" s="75">
        <f>BG788*(1-PARAM!$C$27)*$I$17+(MOD($B788,60)=PARAM!$B$56)*($B788&gt;(60-PARAM!$B$56))*HLOOKUP(($B788+PARAM!$B$56)/12,Loyalty,2)*$F$1*MAX(BJ787,0)</f>
        <v>18.557001321003963</v>
      </c>
      <c r="BI788" s="75">
        <f>PARAM!$C$26+MAX($G$17-CHOOSE(PARAM!$B$44,MAX(0,BJ787*$F$1),0),0)*RATES!$L764/12+$H$17*(PARAM!$D$51/12)*RATES!$N764/100</f>
        <v>856.125</v>
      </c>
      <c r="BJ788" s="16">
        <f t="shared" si="513"/>
        <v>-116165.696685598</v>
      </c>
      <c r="BK788" s="15">
        <f t="shared" si="488"/>
        <v>22.170849845882874</v>
      </c>
      <c r="BL788" s="75">
        <f>BK788*(1-PARAM!$C$27)*$I$18+(MOD($B788,60)=PARAM!$B$56)*($B788&gt;(60-PARAM!$B$56))*HLOOKUP(($B788+PARAM!$B$56)/12,Loyalty,2)*$F$1*MAX(BN787,0)</f>
        <v>18.557001321003963</v>
      </c>
      <c r="BM788" s="75">
        <f>PARAM!$C$26+MAX($G$18-CHOOSE(PARAM!$B$44,MAX(0,BN787*$F$1),0),0)*RATES!$L764/12+$H$18*(PARAM!$D$51/12)*RATES!$N764/100</f>
        <v>856.125</v>
      </c>
      <c r="BN788" s="16">
        <f t="shared" si="514"/>
        <v>-116165.696685598</v>
      </c>
      <c r="BO788" s="15">
        <f t="shared" si="489"/>
        <v>22.170849845882874</v>
      </c>
      <c r="BP788" s="75">
        <f>BO788*(1-PARAM!$C$27)*$I$19+(MOD($B788,60)=PARAM!$B$56)*($B788&gt;(60-PARAM!$B$56))*HLOOKUP(($B788+PARAM!$B$56)/12,Loyalty,2)*$F$1*MAX(BR787,0)</f>
        <v>18.557001321003963</v>
      </c>
      <c r="BQ788" s="75">
        <f>PARAM!$C$26+MAX($G$19-CHOOSE(PARAM!$B$44,MAX(0,BR787*$F$1),0),0)*RATES!$L764/12+$H$19*(PARAM!$D$51/12)*RATES!$N764/100</f>
        <v>856.125</v>
      </c>
      <c r="BR788" s="16">
        <f t="shared" si="515"/>
        <v>-116165.696685598</v>
      </c>
      <c r="BS788" s="15">
        <f t="shared" si="490"/>
        <v>22.170849845882874</v>
      </c>
      <c r="BT788" s="75">
        <f>BS788*(1-PARAM!$C$27)*$I$20+(MOD($B788,60)=PARAM!$B$56)*($B788&gt;(60-PARAM!$B$56))*HLOOKUP(($B788+PARAM!$B$56)/12,Loyalty,2)*$F$1*MAX(BV787,0)</f>
        <v>18.557001321003963</v>
      </c>
      <c r="BU788" s="75">
        <f>PARAM!$C$26+MAX($G$20-CHOOSE(PARAM!$B$44,MAX(0,BV787*$F$1),0),0)*RATES!$L764/12+$H$20*(PARAM!$D$51/12)*RATES!$N764/100</f>
        <v>856.125</v>
      </c>
      <c r="BV788" s="16">
        <f t="shared" si="516"/>
        <v>-116165.696685598</v>
      </c>
      <c r="BW788" s="15">
        <f t="shared" si="491"/>
        <v>22.170849845882874</v>
      </c>
      <c r="BX788" s="75">
        <f>BW788*(1-PARAM!$C$27)*$I$21+(MOD($B788,60)=PARAM!$B$56)*($B788&gt;(60-PARAM!$B$56))*HLOOKUP(($B788+PARAM!$B$56)/12,Loyalty,2)*$F$1*MAX(BZ787,0)</f>
        <v>18.557001321003963</v>
      </c>
      <c r="BY788" s="75">
        <f>PARAM!$C$26+MAX($G$21-CHOOSE(PARAM!$B$44,MAX(0,BZ787*$F$1),0),0)*RATES!$L764/12+$H$21*(PARAM!$D$51/12)*RATES!$N764/100</f>
        <v>856.125</v>
      </c>
      <c r="BZ788" s="16">
        <f t="shared" si="517"/>
        <v>-116165.696685598</v>
      </c>
      <c r="CA788" s="15">
        <f t="shared" si="492"/>
        <v>22.170849845882874</v>
      </c>
      <c r="CB788" s="75">
        <f>CA788*(1-PARAM!$C$27)*$I$22+(MOD($B788,60)=PARAM!$B$56)*($B788&gt;(60-PARAM!$B$56))*HLOOKUP(($B788+PARAM!$B$56)/12,Loyalty,2)*$F$1*MAX(CD787,0)</f>
        <v>18.557001321003963</v>
      </c>
      <c r="CC788" s="75">
        <f>PARAM!$C$26+MAX($G$22-CHOOSE(PARAM!$B$44,MAX(0,CD787*$F$1),0),0)*RATES!$L764/12+$H$22*(PARAM!$D$51/12)*RATES!$N764/100</f>
        <v>856.125</v>
      </c>
      <c r="CD788" s="16">
        <f t="shared" si="518"/>
        <v>-116165.696685598</v>
      </c>
      <c r="CE788" s="33">
        <f>IF(0=MOD(B788,12/PARAM!$D$51),1,0)</f>
        <v>1</v>
      </c>
      <c r="CF788" s="15">
        <f t="shared" si="493"/>
        <v>0</v>
      </c>
      <c r="CG788" s="75">
        <f>CF788*(1-PARAM!$C$27)*$R$3+(MOD($B788/12,5)=0)*($B788&gt;60)*HLOOKUP($B788/12,Loyalty,2)*$F$1*MAX(CI787,0)</f>
        <v>0</v>
      </c>
      <c r="CH788" s="75">
        <f>PARAM!$C$26+MAX($P$3-CHOOSE(PARAM!$B$44,MAX(0,CI787*$F$1),0),0)*RATES!$L764/12+$Q$3*(PARAM!$D$51/12)*RATES!$N764/100</f>
        <v>856.125</v>
      </c>
      <c r="CI788" s="16">
        <f>IF(CI787&gt;0,CI787*PARAM!$C$53,CI787)+CG788-CH788</f>
        <v>-130168.00000000017</v>
      </c>
      <c r="CJ788" s="15">
        <f t="shared" si="519"/>
        <v>0</v>
      </c>
      <c r="CK788" s="75">
        <f>CJ788*(1-PARAM!$C$27)*$R$4+(MOD($B788/12,5)=0)*($B788&gt;60)*HLOOKUP($B788/12,Loyalty,2)*$F$1*MAX(CM787,0)</f>
        <v>0</v>
      </c>
      <c r="CL788" s="75">
        <f>PARAM!$C$26+MAX($P$4-CHOOSE(PARAM!$B$44,MAX(0,CM787*$F$1),0),0)*RATES!$L764/12+$Q$4*(PARAM!$D$51/12)*RATES!$N764/100</f>
        <v>856.125</v>
      </c>
      <c r="CM788" s="16">
        <f>IF(CM787&gt;0,CM787*PARAM!$C$53,CM787)+CK788-CL788</f>
        <v>-130168.00000000017</v>
      </c>
      <c r="CO788" s="176"/>
    </row>
    <row r="789" spans="1:93" x14ac:dyDescent="0.2">
      <c r="A789" t="b">
        <f t="shared" si="494"/>
        <v>0</v>
      </c>
      <c r="B789" s="33">
        <v>762</v>
      </c>
      <c r="C789" s="15">
        <f t="shared" si="495"/>
        <v>20.081305947392778</v>
      </c>
      <c r="D789" s="75">
        <f>C789*(1-PARAM!$C$27)*$I$3+(MOD($B789,60)=PARAM!$B$56)*($B789&gt;(60-PARAM!$B$56))*HLOOKUP(($B789+PARAM!$B$56)/12,Loyalty,2)*$F$1*MAX(F788,0)</f>
        <v>16.808053077967756</v>
      </c>
      <c r="E789" s="75">
        <f>PARAM!$C$26+MAX($G$3-CHOOSE(PARAM!$B$44,MAX(0,F788*$F$1),0),0)*RATES!$L765/12+$H$3*(PARAM!$D$51/12)*RATES!$N765/100</f>
        <v>917.625</v>
      </c>
      <c r="F789" s="16">
        <f t="shared" si="496"/>
        <v>-118434.31374599216</v>
      </c>
      <c r="G789" s="15">
        <f t="shared" si="497"/>
        <v>22.035289406060361</v>
      </c>
      <c r="H789" s="75">
        <f>G789*(1-PARAM!$C$27)*$I$4+(MOD($B789,60)=PARAM!$B$56)*($B789&gt;(60-PARAM!$B$56))*HLOOKUP(($B789+PARAM!$B$56)/12,Loyalty,2)*$F$1*MAX(J788,0)</f>
        <v>18.443537232872522</v>
      </c>
      <c r="I789" s="75">
        <f>PARAM!$C$26+MAX($G$4-CHOOSE(PARAM!$B$44,MAX(0,J788*$F$1),0),0)*RATES!$L765/12+$H$4*(PARAM!$D$51/12)*RATES!$N765/100</f>
        <v>917.625</v>
      </c>
      <c r="J789" s="16">
        <f t="shared" si="498"/>
        <v>-117154.24185583302</v>
      </c>
      <c r="K789" s="15">
        <f t="shared" si="499"/>
        <v>22.170849845882874</v>
      </c>
      <c r="L789" s="75">
        <f>K789*(1-PARAM!$C$27)*$I$5+(MOD($B789,60)=PARAM!$B$56)*($B789&gt;(60-PARAM!$B$56))*HLOOKUP(($B789+PARAM!$B$56)/12,Loyalty,2)*$F$1*MAX(N788,0)</f>
        <v>18.557001321003963</v>
      </c>
      <c r="M789" s="75">
        <f>PARAM!$C$26+MAX($G$5-CHOOSE(PARAM!$B$44,MAX(0,N788*$F$1),0),0)*RATES!$L765/12+$H$5*(PARAM!$D$51/12)*RATES!$N765/100</f>
        <v>917.625</v>
      </c>
      <c r="N789" s="16">
        <f t="shared" si="500"/>
        <v>-117064.76468427699</v>
      </c>
      <c r="O789" s="15">
        <f t="shared" si="501"/>
        <v>22.170849845882874</v>
      </c>
      <c r="P789" s="75">
        <f>O789*(1-PARAM!$C$27)*$I$6+(MOD($B789,60)=PARAM!$B$56)*($B789&gt;(60-PARAM!$B$56))*HLOOKUP(($B789+PARAM!$B$56)/12,Loyalty,2)*$F$1*MAX(R788,0)</f>
        <v>18.557001321003963</v>
      </c>
      <c r="Q789" s="75">
        <f>PARAM!$C$26+MAX($G$6-CHOOSE(PARAM!$B$44,MAX(0,R788*$F$1),0),0)*RATES!$L765/12+$H$6*(PARAM!$D$51/12)*RATES!$N765/100</f>
        <v>917.625</v>
      </c>
      <c r="R789" s="16">
        <f t="shared" si="502"/>
        <v>-117064.76468427699</v>
      </c>
      <c r="S789" s="15">
        <f t="shared" si="477"/>
        <v>22.170849845882874</v>
      </c>
      <c r="T789" s="75">
        <f>S789*(1-PARAM!$C$27)*$I$7+(MOD($B789,60)=PARAM!$B$56)*($B789&gt;(60-PARAM!$B$56))*HLOOKUP(($B789+PARAM!$B$56)/12,Loyalty,2)*$F$1*MAX(V788,0)</f>
        <v>18.557001321003963</v>
      </c>
      <c r="U789" s="75">
        <f>PARAM!$C$26+MAX($G$7-CHOOSE(PARAM!$B$44,MAX(0,V788*$F$1),0),0)*RATES!$L765/12+$H$7*(PARAM!$D$51/12)*RATES!$N765/100</f>
        <v>917.625</v>
      </c>
      <c r="V789" s="16">
        <f t="shared" si="503"/>
        <v>-117064.76468427699</v>
      </c>
      <c r="W789" s="15">
        <f t="shared" si="478"/>
        <v>22.170849845882874</v>
      </c>
      <c r="X789" s="75">
        <f>W789*(1-PARAM!$C$27)*$I$8+(MOD($B789,60)=PARAM!$B$56)*($B789&gt;(60-PARAM!$B$56))*HLOOKUP(($B789+PARAM!$B$56)/12,Loyalty,2)*$F$1*MAX(Z788,0)</f>
        <v>18.557001321003963</v>
      </c>
      <c r="Y789" s="75">
        <f>PARAM!$C$26+MAX($G$8-CHOOSE(PARAM!$B$44,MAX(0,Z788*$F$1),0),0)*RATES!$L765/12+$H$8*(PARAM!$D$51/12)*RATES!$N765/100</f>
        <v>917.625</v>
      </c>
      <c r="Z789" s="16">
        <f t="shared" si="504"/>
        <v>-117064.76468427699</v>
      </c>
      <c r="AA789" s="15">
        <f t="shared" si="479"/>
        <v>22.170849845882874</v>
      </c>
      <c r="AB789" s="75">
        <f>AA789*(1-PARAM!$C$27)*$I$9+(MOD($B789,60)=PARAM!$B$56)*($B789&gt;(60-PARAM!$B$56))*HLOOKUP(($B789+PARAM!$B$56)/12,Loyalty,2)*$F$1*MAX(AD788,0)</f>
        <v>18.557001321003963</v>
      </c>
      <c r="AC789" s="75">
        <f>PARAM!$C$26+MAX($G$9-CHOOSE(PARAM!$B$44,MAX(0,AD788*$F$1),0),0)*RATES!$L765/12+$H$9*(PARAM!$D$51/12)*RATES!$N765/100</f>
        <v>917.625</v>
      </c>
      <c r="AD789" s="16">
        <f t="shared" si="505"/>
        <v>-117064.76468427699</v>
      </c>
      <c r="AE789" s="15">
        <f t="shared" si="480"/>
        <v>22.170849845882874</v>
      </c>
      <c r="AF789" s="75">
        <f>AE789*(1-PARAM!$C$27)*$I$10+(MOD($B789,60)=PARAM!$B$56)*($B789&gt;(60-PARAM!$B$56))*HLOOKUP(($B789+PARAM!$B$56)/12,Loyalty,2)*$F$1*MAX(AH788,0)</f>
        <v>18.557001321003963</v>
      </c>
      <c r="AG789" s="75">
        <f>PARAM!$C$26+MAX($G$10-CHOOSE(PARAM!$B$44,MAX(0,AH788*$F$1),0),0)*RATES!$L765/12+$H$10*(PARAM!$D$51/12)*RATES!$N765/100</f>
        <v>917.625</v>
      </c>
      <c r="AH789" s="16">
        <f t="shared" si="506"/>
        <v>-117064.76468427699</v>
      </c>
      <c r="AI789" s="15">
        <f t="shared" si="481"/>
        <v>22.170849845882874</v>
      </c>
      <c r="AJ789" s="75">
        <f>AI789*(1-PARAM!$C$27)*$I$11+(MOD($B789,60)=PARAM!$B$56)*($B789&gt;(60-PARAM!$B$56))*HLOOKUP(($B789+PARAM!$B$56)/12,Loyalty,2)*$F$1*MAX(AL788,0)</f>
        <v>18.557001321003963</v>
      </c>
      <c r="AK789" s="75">
        <f>PARAM!$C$26+MAX($G$11-CHOOSE(PARAM!$B$44,MAX(0,AL788*$F$1),0),0)*RATES!$L765/12+$H$11*(PARAM!$D$51/12)*RATES!$N765/100</f>
        <v>917.625</v>
      </c>
      <c r="AL789" s="16">
        <f t="shared" si="507"/>
        <v>-117064.76468427699</v>
      </c>
      <c r="AM789" s="15">
        <f t="shared" si="482"/>
        <v>22.170849845882874</v>
      </c>
      <c r="AN789" s="75">
        <f>AM789*(1-PARAM!$C$27)*$I$12+(MOD($B789,60)=PARAM!$B$56)*($B789&gt;(60-PARAM!$B$56))*HLOOKUP(($B789+PARAM!$B$56)/12,Loyalty,2)*$F$1*MAX(AP788,0)</f>
        <v>18.557001321003963</v>
      </c>
      <c r="AO789" s="75">
        <f>PARAM!$C$26+MAX($G$12-CHOOSE(PARAM!$B$44,MAX(0,AP788*$F$1),0),0)*RATES!$L765/12+$H$12*(PARAM!$D$51/12)*RATES!$N765/100</f>
        <v>917.625</v>
      </c>
      <c r="AP789" s="16">
        <f t="shared" si="508"/>
        <v>-117064.76468427699</v>
      </c>
      <c r="AQ789" s="15">
        <f t="shared" si="483"/>
        <v>22.170849845882874</v>
      </c>
      <c r="AR789" s="75">
        <f>AQ789*(1-PARAM!$C$27)*$I$13+(MOD($B789,60)=PARAM!$B$56)*($B789&gt;(60-PARAM!$B$56))*HLOOKUP(($B789+PARAM!$B$56)/12,Loyalty,2)*$F$1*MAX(AT788,0)</f>
        <v>18.557001321003963</v>
      </c>
      <c r="AS789" s="75">
        <f>PARAM!$C$26+MAX($G$13-CHOOSE(PARAM!$B$44,MAX(0,AT788*$F$1),0),0)*RATES!$L765/12+$H$13*(PARAM!$D$51/12)*RATES!$N765/100</f>
        <v>917.625</v>
      </c>
      <c r="AT789" s="16">
        <f t="shared" si="509"/>
        <v>-117064.76468427699</v>
      </c>
      <c r="AU789" s="15">
        <f t="shared" si="484"/>
        <v>22.170849845882874</v>
      </c>
      <c r="AV789" s="75">
        <f>AU789*(1-PARAM!$C$27)*$I$14+(MOD($B789,60)=PARAM!$B$56)*($B789&gt;(60-PARAM!$B$56))*HLOOKUP(($B789+PARAM!$B$56)/12,Loyalty,2)*$F$1*MAX(AX788,0)</f>
        <v>18.557001321003963</v>
      </c>
      <c r="AW789" s="75">
        <f>PARAM!$C$26+MAX($G$14-CHOOSE(PARAM!$B$44,MAX(0,AX788*$F$1),0),0)*RATES!$L765/12+$H$14*(PARAM!$D$51/12)*RATES!$N765/100</f>
        <v>917.625</v>
      </c>
      <c r="AX789" s="16">
        <f t="shared" si="510"/>
        <v>-117064.76468427699</v>
      </c>
      <c r="AY789" s="15">
        <f t="shared" si="485"/>
        <v>22.170849845882874</v>
      </c>
      <c r="AZ789" s="75">
        <f>AY789*(1-PARAM!$C$27)*$I$15+(MOD($B789,60)=PARAM!$B$56)*($B789&gt;(60-PARAM!$B$56))*HLOOKUP(($B789+PARAM!$B$56)/12,Loyalty,2)*$F$1*MAX(BB788,0)</f>
        <v>18.557001321003963</v>
      </c>
      <c r="BA789" s="75">
        <f>PARAM!$C$26+MAX($G$15-CHOOSE(PARAM!$B$44,MAX(0,BB788*$F$1),0),0)*RATES!$L765/12+$H$15*(PARAM!$D$51/12)*RATES!$N765/100</f>
        <v>917.625</v>
      </c>
      <c r="BB789" s="16">
        <f t="shared" si="511"/>
        <v>-117064.76468427699</v>
      </c>
      <c r="BC789" s="15">
        <f t="shared" si="486"/>
        <v>22.170849845882874</v>
      </c>
      <c r="BD789" s="75">
        <f>BC789*(1-PARAM!$C$27)*$I$16+(MOD($B789,60)=PARAM!$B$56)*($B789&gt;(60-PARAM!$B$56))*HLOOKUP(($B789+PARAM!$B$56)/12,Loyalty,2)*$F$1*MAX(BF788,0)</f>
        <v>18.557001321003963</v>
      </c>
      <c r="BE789" s="75">
        <f>PARAM!$C$26+MAX($G$16-CHOOSE(PARAM!$B$44,MAX(0,BF788*$F$1),0),0)*RATES!$L765/12+$H$16*(PARAM!$D$51/12)*RATES!$N765/100</f>
        <v>917.625</v>
      </c>
      <c r="BF789" s="16">
        <f t="shared" si="512"/>
        <v>-117064.76468427699</v>
      </c>
      <c r="BG789" s="15">
        <f t="shared" si="487"/>
        <v>22.170849845882874</v>
      </c>
      <c r="BH789" s="75">
        <f>BG789*(1-PARAM!$C$27)*$I$17+(MOD($B789,60)=PARAM!$B$56)*($B789&gt;(60-PARAM!$B$56))*HLOOKUP(($B789+PARAM!$B$56)/12,Loyalty,2)*$F$1*MAX(BJ788,0)</f>
        <v>18.557001321003963</v>
      </c>
      <c r="BI789" s="75">
        <f>PARAM!$C$26+MAX($G$17-CHOOSE(PARAM!$B$44,MAX(0,BJ788*$F$1),0),0)*RATES!$L765/12+$H$17*(PARAM!$D$51/12)*RATES!$N765/100</f>
        <v>917.625</v>
      </c>
      <c r="BJ789" s="16">
        <f t="shared" si="513"/>
        <v>-117064.76468427699</v>
      </c>
      <c r="BK789" s="15">
        <f t="shared" si="488"/>
        <v>22.170849845882874</v>
      </c>
      <c r="BL789" s="75">
        <f>BK789*(1-PARAM!$C$27)*$I$18+(MOD($B789,60)=PARAM!$B$56)*($B789&gt;(60-PARAM!$B$56))*HLOOKUP(($B789+PARAM!$B$56)/12,Loyalty,2)*$F$1*MAX(BN788,0)</f>
        <v>18.557001321003963</v>
      </c>
      <c r="BM789" s="75">
        <f>PARAM!$C$26+MAX($G$18-CHOOSE(PARAM!$B$44,MAX(0,BN788*$F$1),0),0)*RATES!$L765/12+$H$18*(PARAM!$D$51/12)*RATES!$N765/100</f>
        <v>917.625</v>
      </c>
      <c r="BN789" s="16">
        <f t="shared" si="514"/>
        <v>-117064.76468427699</v>
      </c>
      <c r="BO789" s="15">
        <f t="shared" si="489"/>
        <v>22.170849845882874</v>
      </c>
      <c r="BP789" s="75">
        <f>BO789*(1-PARAM!$C$27)*$I$19+(MOD($B789,60)=PARAM!$B$56)*($B789&gt;(60-PARAM!$B$56))*HLOOKUP(($B789+PARAM!$B$56)/12,Loyalty,2)*$F$1*MAX(BR788,0)</f>
        <v>18.557001321003963</v>
      </c>
      <c r="BQ789" s="75">
        <f>PARAM!$C$26+MAX($G$19-CHOOSE(PARAM!$B$44,MAX(0,BR788*$F$1),0),0)*RATES!$L765/12+$H$19*(PARAM!$D$51/12)*RATES!$N765/100</f>
        <v>917.625</v>
      </c>
      <c r="BR789" s="16">
        <f t="shared" si="515"/>
        <v>-117064.76468427699</v>
      </c>
      <c r="BS789" s="15">
        <f t="shared" si="490"/>
        <v>22.170849845882874</v>
      </c>
      <c r="BT789" s="75">
        <f>BS789*(1-PARAM!$C$27)*$I$20+(MOD($B789,60)=PARAM!$B$56)*($B789&gt;(60-PARAM!$B$56))*HLOOKUP(($B789+PARAM!$B$56)/12,Loyalty,2)*$F$1*MAX(BV788,0)</f>
        <v>18.557001321003963</v>
      </c>
      <c r="BU789" s="75">
        <f>PARAM!$C$26+MAX($G$20-CHOOSE(PARAM!$B$44,MAX(0,BV788*$F$1),0),0)*RATES!$L765/12+$H$20*(PARAM!$D$51/12)*RATES!$N765/100</f>
        <v>917.625</v>
      </c>
      <c r="BV789" s="16">
        <f t="shared" si="516"/>
        <v>-117064.76468427699</v>
      </c>
      <c r="BW789" s="15">
        <f t="shared" si="491"/>
        <v>22.170849845882874</v>
      </c>
      <c r="BX789" s="75">
        <f>BW789*(1-PARAM!$C$27)*$I$21+(MOD($B789,60)=PARAM!$B$56)*($B789&gt;(60-PARAM!$B$56))*HLOOKUP(($B789+PARAM!$B$56)/12,Loyalty,2)*$F$1*MAX(BZ788,0)</f>
        <v>18.557001321003963</v>
      </c>
      <c r="BY789" s="75">
        <f>PARAM!$C$26+MAX($G$21-CHOOSE(PARAM!$B$44,MAX(0,BZ788*$F$1),0),0)*RATES!$L765/12+$H$21*(PARAM!$D$51/12)*RATES!$N765/100</f>
        <v>917.625</v>
      </c>
      <c r="BZ789" s="16">
        <f t="shared" si="517"/>
        <v>-117064.76468427699</v>
      </c>
      <c r="CA789" s="15">
        <f t="shared" si="492"/>
        <v>22.170849845882874</v>
      </c>
      <c r="CB789" s="75">
        <f>CA789*(1-PARAM!$C$27)*$I$22+(MOD($B789,60)=PARAM!$B$56)*($B789&gt;(60-PARAM!$B$56))*HLOOKUP(($B789+PARAM!$B$56)/12,Loyalty,2)*$F$1*MAX(CD788,0)</f>
        <v>18.557001321003963</v>
      </c>
      <c r="CC789" s="75">
        <f>PARAM!$C$26+MAX($G$22-CHOOSE(PARAM!$B$44,MAX(0,CD788*$F$1),0),0)*RATES!$L765/12+$H$22*(PARAM!$D$51/12)*RATES!$N765/100</f>
        <v>917.625</v>
      </c>
      <c r="CD789" s="16">
        <f t="shared" si="518"/>
        <v>-117064.76468427699</v>
      </c>
      <c r="CE789" s="33">
        <f>IF(0=MOD(B789,12/PARAM!$D$51),1,0)</f>
        <v>1</v>
      </c>
      <c r="CF789" s="15">
        <f t="shared" si="493"/>
        <v>0</v>
      </c>
      <c r="CG789" s="75">
        <f>CF789*(1-PARAM!$C$27)*$R$3+(MOD($B789/12,5)=0)*($B789&gt;60)*HLOOKUP($B789/12,Loyalty,2)*$F$1*MAX(CI788,0)</f>
        <v>0</v>
      </c>
      <c r="CH789" s="75">
        <f>PARAM!$C$26+MAX($P$3-CHOOSE(PARAM!$B$44,MAX(0,CI788*$F$1),0),0)*RATES!$L765/12+$Q$3*(PARAM!$D$51/12)*RATES!$N765/100</f>
        <v>917.625</v>
      </c>
      <c r="CI789" s="16">
        <f>IF(CI788&gt;0,CI788*PARAM!$C$53,CI788)+CG789-CH789</f>
        <v>-131085.62500000017</v>
      </c>
      <c r="CJ789" s="15">
        <f t="shared" si="519"/>
        <v>0</v>
      </c>
      <c r="CK789" s="75">
        <f>CJ789*(1-PARAM!$C$27)*$R$4+(MOD($B789/12,5)=0)*($B789&gt;60)*HLOOKUP($B789/12,Loyalty,2)*$F$1*MAX(CM788,0)</f>
        <v>0</v>
      </c>
      <c r="CL789" s="75">
        <f>PARAM!$C$26+MAX($P$4-CHOOSE(PARAM!$B$44,MAX(0,CM788*$F$1),0),0)*RATES!$L765/12+$Q$4*(PARAM!$D$51/12)*RATES!$N765/100</f>
        <v>917.625</v>
      </c>
      <c r="CM789" s="16">
        <f>IF(CM788&gt;0,CM788*PARAM!$C$53,CM788)+CK789-CL789</f>
        <v>-131085.62500000017</v>
      </c>
      <c r="CO789" s="176"/>
    </row>
    <row r="790" spans="1:93" x14ac:dyDescent="0.2">
      <c r="A790" t="b">
        <f t="shared" si="494"/>
        <v>0</v>
      </c>
      <c r="B790" s="33">
        <v>763</v>
      </c>
      <c r="C790" s="15">
        <f t="shared" si="495"/>
        <v>20.081305947392778</v>
      </c>
      <c r="D790" s="75">
        <f>C790*(1-PARAM!$C$27)*$I$3+(MOD($B790,60)=PARAM!$B$56)*($B790&gt;(60-PARAM!$B$56))*HLOOKUP(($B790+PARAM!$B$56)/12,Loyalty,2)*$F$1*MAX(F789,0)</f>
        <v>16.808053077967756</v>
      </c>
      <c r="E790" s="75">
        <f>PARAM!$C$26+MAX($G$3-CHOOSE(PARAM!$B$44,MAX(0,F789*$F$1),0),0)*RATES!$L766/12+$H$3*(PARAM!$D$51/12)*RATES!$N766/100</f>
        <v>917.625</v>
      </c>
      <c r="F790" s="16">
        <f t="shared" si="496"/>
        <v>-119335.13069291419</v>
      </c>
      <c r="G790" s="15">
        <f t="shared" si="497"/>
        <v>22.035289406060361</v>
      </c>
      <c r="H790" s="75">
        <f>G790*(1-PARAM!$C$27)*$I$4+(MOD($B790,60)=PARAM!$B$56)*($B790&gt;(60-PARAM!$B$56))*HLOOKUP(($B790+PARAM!$B$56)/12,Loyalty,2)*$F$1*MAX(J789,0)</f>
        <v>18.443537232872522</v>
      </c>
      <c r="I790" s="75">
        <f>PARAM!$C$26+MAX($G$4-CHOOSE(PARAM!$B$44,MAX(0,J789*$F$1),0),0)*RATES!$L766/12+$H$4*(PARAM!$D$51/12)*RATES!$N766/100</f>
        <v>917.625</v>
      </c>
      <c r="J790" s="16">
        <f t="shared" si="498"/>
        <v>-118053.42331860015</v>
      </c>
      <c r="K790" s="15">
        <f t="shared" si="499"/>
        <v>22.170849845882874</v>
      </c>
      <c r="L790" s="75">
        <f>K790*(1-PARAM!$C$27)*$I$5+(MOD($B790,60)=PARAM!$B$56)*($B790&gt;(60-PARAM!$B$56))*HLOOKUP(($B790+PARAM!$B$56)/12,Loyalty,2)*$F$1*MAX(N789,0)</f>
        <v>18.557001321003963</v>
      </c>
      <c r="M790" s="75">
        <f>PARAM!$C$26+MAX($G$5-CHOOSE(PARAM!$B$44,MAX(0,N789*$F$1),0),0)*RATES!$L766/12+$H$5*(PARAM!$D$51/12)*RATES!$N766/100</f>
        <v>917.625</v>
      </c>
      <c r="N790" s="16">
        <f t="shared" si="500"/>
        <v>-117963.83268295598</v>
      </c>
      <c r="O790" s="15">
        <f t="shared" si="501"/>
        <v>22.170849845882874</v>
      </c>
      <c r="P790" s="75">
        <f>O790*(1-PARAM!$C$27)*$I$6+(MOD($B790,60)=PARAM!$B$56)*($B790&gt;(60-PARAM!$B$56))*HLOOKUP(($B790+PARAM!$B$56)/12,Loyalty,2)*$F$1*MAX(R789,0)</f>
        <v>18.557001321003963</v>
      </c>
      <c r="Q790" s="75">
        <f>PARAM!$C$26+MAX($G$6-CHOOSE(PARAM!$B$44,MAX(0,R789*$F$1),0),0)*RATES!$L766/12+$H$6*(PARAM!$D$51/12)*RATES!$N766/100</f>
        <v>917.625</v>
      </c>
      <c r="R790" s="16">
        <f t="shared" si="502"/>
        <v>-117963.83268295598</v>
      </c>
      <c r="S790" s="15">
        <f t="shared" si="477"/>
        <v>22.170849845882874</v>
      </c>
      <c r="T790" s="75">
        <f>S790*(1-PARAM!$C$27)*$I$7+(MOD($B790,60)=PARAM!$B$56)*($B790&gt;(60-PARAM!$B$56))*HLOOKUP(($B790+PARAM!$B$56)/12,Loyalty,2)*$F$1*MAX(V789,0)</f>
        <v>18.557001321003963</v>
      </c>
      <c r="U790" s="75">
        <f>PARAM!$C$26+MAX($G$7-CHOOSE(PARAM!$B$44,MAX(0,V789*$F$1),0),0)*RATES!$L766/12+$H$7*(PARAM!$D$51/12)*RATES!$N766/100</f>
        <v>917.625</v>
      </c>
      <c r="V790" s="16">
        <f t="shared" si="503"/>
        <v>-117963.83268295598</v>
      </c>
      <c r="W790" s="15">
        <f t="shared" si="478"/>
        <v>22.170849845882874</v>
      </c>
      <c r="X790" s="75">
        <f>W790*(1-PARAM!$C$27)*$I$8+(MOD($B790,60)=PARAM!$B$56)*($B790&gt;(60-PARAM!$B$56))*HLOOKUP(($B790+PARAM!$B$56)/12,Loyalty,2)*$F$1*MAX(Z789,0)</f>
        <v>18.557001321003963</v>
      </c>
      <c r="Y790" s="75">
        <f>PARAM!$C$26+MAX($G$8-CHOOSE(PARAM!$B$44,MAX(0,Z789*$F$1),0),0)*RATES!$L766/12+$H$8*(PARAM!$D$51/12)*RATES!$N766/100</f>
        <v>917.625</v>
      </c>
      <c r="Z790" s="16">
        <f t="shared" si="504"/>
        <v>-117963.83268295598</v>
      </c>
      <c r="AA790" s="15">
        <f t="shared" si="479"/>
        <v>22.170849845882874</v>
      </c>
      <c r="AB790" s="75">
        <f>AA790*(1-PARAM!$C$27)*$I$9+(MOD($B790,60)=PARAM!$B$56)*($B790&gt;(60-PARAM!$B$56))*HLOOKUP(($B790+PARAM!$B$56)/12,Loyalty,2)*$F$1*MAX(AD789,0)</f>
        <v>18.557001321003963</v>
      </c>
      <c r="AC790" s="75">
        <f>PARAM!$C$26+MAX($G$9-CHOOSE(PARAM!$B$44,MAX(0,AD789*$F$1),0),0)*RATES!$L766/12+$H$9*(PARAM!$D$51/12)*RATES!$N766/100</f>
        <v>917.625</v>
      </c>
      <c r="AD790" s="16">
        <f t="shared" si="505"/>
        <v>-117963.83268295598</v>
      </c>
      <c r="AE790" s="15">
        <f t="shared" si="480"/>
        <v>22.170849845882874</v>
      </c>
      <c r="AF790" s="75">
        <f>AE790*(1-PARAM!$C$27)*$I$10+(MOD($B790,60)=PARAM!$B$56)*($B790&gt;(60-PARAM!$B$56))*HLOOKUP(($B790+PARAM!$B$56)/12,Loyalty,2)*$F$1*MAX(AH789,0)</f>
        <v>18.557001321003963</v>
      </c>
      <c r="AG790" s="75">
        <f>PARAM!$C$26+MAX($G$10-CHOOSE(PARAM!$B$44,MAX(0,AH789*$F$1),0),0)*RATES!$L766/12+$H$10*(PARAM!$D$51/12)*RATES!$N766/100</f>
        <v>917.625</v>
      </c>
      <c r="AH790" s="16">
        <f t="shared" si="506"/>
        <v>-117963.83268295598</v>
      </c>
      <c r="AI790" s="15">
        <f t="shared" si="481"/>
        <v>22.170849845882874</v>
      </c>
      <c r="AJ790" s="75">
        <f>AI790*(1-PARAM!$C$27)*$I$11+(MOD($B790,60)=PARAM!$B$56)*($B790&gt;(60-PARAM!$B$56))*HLOOKUP(($B790+PARAM!$B$56)/12,Loyalty,2)*$F$1*MAX(AL789,0)</f>
        <v>18.557001321003963</v>
      </c>
      <c r="AK790" s="75">
        <f>PARAM!$C$26+MAX($G$11-CHOOSE(PARAM!$B$44,MAX(0,AL789*$F$1),0),0)*RATES!$L766/12+$H$11*(PARAM!$D$51/12)*RATES!$N766/100</f>
        <v>917.625</v>
      </c>
      <c r="AL790" s="16">
        <f t="shared" si="507"/>
        <v>-117963.83268295598</v>
      </c>
      <c r="AM790" s="15">
        <f t="shared" si="482"/>
        <v>22.170849845882874</v>
      </c>
      <c r="AN790" s="75">
        <f>AM790*(1-PARAM!$C$27)*$I$12+(MOD($B790,60)=PARAM!$B$56)*($B790&gt;(60-PARAM!$B$56))*HLOOKUP(($B790+PARAM!$B$56)/12,Loyalty,2)*$F$1*MAX(AP789,0)</f>
        <v>18.557001321003963</v>
      </c>
      <c r="AO790" s="75">
        <f>PARAM!$C$26+MAX($G$12-CHOOSE(PARAM!$B$44,MAX(0,AP789*$F$1),0),0)*RATES!$L766/12+$H$12*(PARAM!$D$51/12)*RATES!$N766/100</f>
        <v>917.625</v>
      </c>
      <c r="AP790" s="16">
        <f t="shared" si="508"/>
        <v>-117963.83268295598</v>
      </c>
      <c r="AQ790" s="15">
        <f t="shared" si="483"/>
        <v>22.170849845882874</v>
      </c>
      <c r="AR790" s="75">
        <f>AQ790*(1-PARAM!$C$27)*$I$13+(MOD($B790,60)=PARAM!$B$56)*($B790&gt;(60-PARAM!$B$56))*HLOOKUP(($B790+PARAM!$B$56)/12,Loyalty,2)*$F$1*MAX(AT789,0)</f>
        <v>18.557001321003963</v>
      </c>
      <c r="AS790" s="75">
        <f>PARAM!$C$26+MAX($G$13-CHOOSE(PARAM!$B$44,MAX(0,AT789*$F$1),0),0)*RATES!$L766/12+$H$13*(PARAM!$D$51/12)*RATES!$N766/100</f>
        <v>917.625</v>
      </c>
      <c r="AT790" s="16">
        <f t="shared" si="509"/>
        <v>-117963.83268295598</v>
      </c>
      <c r="AU790" s="15">
        <f t="shared" si="484"/>
        <v>22.170849845882874</v>
      </c>
      <c r="AV790" s="75">
        <f>AU790*(1-PARAM!$C$27)*$I$14+(MOD($B790,60)=PARAM!$B$56)*($B790&gt;(60-PARAM!$B$56))*HLOOKUP(($B790+PARAM!$B$56)/12,Loyalty,2)*$F$1*MAX(AX789,0)</f>
        <v>18.557001321003963</v>
      </c>
      <c r="AW790" s="75">
        <f>PARAM!$C$26+MAX($G$14-CHOOSE(PARAM!$B$44,MAX(0,AX789*$F$1),0),0)*RATES!$L766/12+$H$14*(PARAM!$D$51/12)*RATES!$N766/100</f>
        <v>917.625</v>
      </c>
      <c r="AX790" s="16">
        <f t="shared" si="510"/>
        <v>-117963.83268295598</v>
      </c>
      <c r="AY790" s="15">
        <f t="shared" si="485"/>
        <v>22.170849845882874</v>
      </c>
      <c r="AZ790" s="75">
        <f>AY790*(1-PARAM!$C$27)*$I$15+(MOD($B790,60)=PARAM!$B$56)*($B790&gt;(60-PARAM!$B$56))*HLOOKUP(($B790+PARAM!$B$56)/12,Loyalty,2)*$F$1*MAX(BB789,0)</f>
        <v>18.557001321003963</v>
      </c>
      <c r="BA790" s="75">
        <f>PARAM!$C$26+MAX($G$15-CHOOSE(PARAM!$B$44,MAX(0,BB789*$F$1),0),0)*RATES!$L766/12+$H$15*(PARAM!$D$51/12)*RATES!$N766/100</f>
        <v>917.625</v>
      </c>
      <c r="BB790" s="16">
        <f t="shared" si="511"/>
        <v>-117963.83268295598</v>
      </c>
      <c r="BC790" s="15">
        <f t="shared" si="486"/>
        <v>22.170849845882874</v>
      </c>
      <c r="BD790" s="75">
        <f>BC790*(1-PARAM!$C$27)*$I$16+(MOD($B790,60)=PARAM!$B$56)*($B790&gt;(60-PARAM!$B$56))*HLOOKUP(($B790+PARAM!$B$56)/12,Loyalty,2)*$F$1*MAX(BF789,0)</f>
        <v>18.557001321003963</v>
      </c>
      <c r="BE790" s="75">
        <f>PARAM!$C$26+MAX($G$16-CHOOSE(PARAM!$B$44,MAX(0,BF789*$F$1),0),0)*RATES!$L766/12+$H$16*(PARAM!$D$51/12)*RATES!$N766/100</f>
        <v>917.625</v>
      </c>
      <c r="BF790" s="16">
        <f t="shared" si="512"/>
        <v>-117963.83268295598</v>
      </c>
      <c r="BG790" s="15">
        <f t="shared" si="487"/>
        <v>22.170849845882874</v>
      </c>
      <c r="BH790" s="75">
        <f>BG790*(1-PARAM!$C$27)*$I$17+(MOD($B790,60)=PARAM!$B$56)*($B790&gt;(60-PARAM!$B$56))*HLOOKUP(($B790+PARAM!$B$56)/12,Loyalty,2)*$F$1*MAX(BJ789,0)</f>
        <v>18.557001321003963</v>
      </c>
      <c r="BI790" s="75">
        <f>PARAM!$C$26+MAX($G$17-CHOOSE(PARAM!$B$44,MAX(0,BJ789*$F$1),0),0)*RATES!$L766/12+$H$17*(PARAM!$D$51/12)*RATES!$N766/100</f>
        <v>917.625</v>
      </c>
      <c r="BJ790" s="16">
        <f t="shared" si="513"/>
        <v>-117963.83268295598</v>
      </c>
      <c r="BK790" s="15">
        <f t="shared" si="488"/>
        <v>22.170849845882874</v>
      </c>
      <c r="BL790" s="75">
        <f>BK790*(1-PARAM!$C$27)*$I$18+(MOD($B790,60)=PARAM!$B$56)*($B790&gt;(60-PARAM!$B$56))*HLOOKUP(($B790+PARAM!$B$56)/12,Loyalty,2)*$F$1*MAX(BN789,0)</f>
        <v>18.557001321003963</v>
      </c>
      <c r="BM790" s="75">
        <f>PARAM!$C$26+MAX($G$18-CHOOSE(PARAM!$B$44,MAX(0,BN789*$F$1),0),0)*RATES!$L766/12+$H$18*(PARAM!$D$51/12)*RATES!$N766/100</f>
        <v>917.625</v>
      </c>
      <c r="BN790" s="16">
        <f t="shared" si="514"/>
        <v>-117963.83268295598</v>
      </c>
      <c r="BO790" s="15">
        <f t="shared" si="489"/>
        <v>22.170849845882874</v>
      </c>
      <c r="BP790" s="75">
        <f>BO790*(1-PARAM!$C$27)*$I$19+(MOD($B790,60)=PARAM!$B$56)*($B790&gt;(60-PARAM!$B$56))*HLOOKUP(($B790+PARAM!$B$56)/12,Loyalty,2)*$F$1*MAX(BR789,0)</f>
        <v>18.557001321003963</v>
      </c>
      <c r="BQ790" s="75">
        <f>PARAM!$C$26+MAX($G$19-CHOOSE(PARAM!$B$44,MAX(0,BR789*$F$1),0),0)*RATES!$L766/12+$H$19*(PARAM!$D$51/12)*RATES!$N766/100</f>
        <v>917.625</v>
      </c>
      <c r="BR790" s="16">
        <f t="shared" si="515"/>
        <v>-117963.83268295598</v>
      </c>
      <c r="BS790" s="15">
        <f t="shared" si="490"/>
        <v>22.170849845882874</v>
      </c>
      <c r="BT790" s="75">
        <f>BS790*(1-PARAM!$C$27)*$I$20+(MOD($B790,60)=PARAM!$B$56)*($B790&gt;(60-PARAM!$B$56))*HLOOKUP(($B790+PARAM!$B$56)/12,Loyalty,2)*$F$1*MAX(BV789,0)</f>
        <v>18.557001321003963</v>
      </c>
      <c r="BU790" s="75">
        <f>PARAM!$C$26+MAX($G$20-CHOOSE(PARAM!$B$44,MAX(0,BV789*$F$1),0),0)*RATES!$L766/12+$H$20*(PARAM!$D$51/12)*RATES!$N766/100</f>
        <v>917.625</v>
      </c>
      <c r="BV790" s="16">
        <f t="shared" si="516"/>
        <v>-117963.83268295598</v>
      </c>
      <c r="BW790" s="15">
        <f t="shared" si="491"/>
        <v>22.170849845882874</v>
      </c>
      <c r="BX790" s="75">
        <f>BW790*(1-PARAM!$C$27)*$I$21+(MOD($B790,60)=PARAM!$B$56)*($B790&gt;(60-PARAM!$B$56))*HLOOKUP(($B790+PARAM!$B$56)/12,Loyalty,2)*$F$1*MAX(BZ789,0)</f>
        <v>18.557001321003963</v>
      </c>
      <c r="BY790" s="75">
        <f>PARAM!$C$26+MAX($G$21-CHOOSE(PARAM!$B$44,MAX(0,BZ789*$F$1),0),0)*RATES!$L766/12+$H$21*(PARAM!$D$51/12)*RATES!$N766/100</f>
        <v>917.625</v>
      </c>
      <c r="BZ790" s="16">
        <f t="shared" si="517"/>
        <v>-117963.83268295598</v>
      </c>
      <c r="CA790" s="15">
        <f t="shared" si="492"/>
        <v>22.170849845882874</v>
      </c>
      <c r="CB790" s="75">
        <f>CA790*(1-PARAM!$C$27)*$I$22+(MOD($B790,60)=PARAM!$B$56)*($B790&gt;(60-PARAM!$B$56))*HLOOKUP(($B790+PARAM!$B$56)/12,Loyalty,2)*$F$1*MAX(CD789,0)</f>
        <v>18.557001321003963</v>
      </c>
      <c r="CC790" s="75">
        <f>PARAM!$C$26+MAX($G$22-CHOOSE(PARAM!$B$44,MAX(0,CD789*$F$1),0),0)*RATES!$L766/12+$H$22*(PARAM!$D$51/12)*RATES!$N766/100</f>
        <v>917.625</v>
      </c>
      <c r="CD790" s="16">
        <f t="shared" si="518"/>
        <v>-117963.83268295598</v>
      </c>
      <c r="CE790" s="33">
        <f>IF(0=MOD(B790,12/PARAM!$D$51),1,0)</f>
        <v>1</v>
      </c>
      <c r="CF790" s="15">
        <f t="shared" si="493"/>
        <v>0</v>
      </c>
      <c r="CG790" s="75">
        <f>CF790*(1-PARAM!$C$27)*$R$3+(MOD($B790/12,5)=0)*($B790&gt;60)*HLOOKUP($B790/12,Loyalty,2)*$F$1*MAX(CI789,0)</f>
        <v>0</v>
      </c>
      <c r="CH790" s="75">
        <f>PARAM!$C$26+MAX($P$3-CHOOSE(PARAM!$B$44,MAX(0,CI789*$F$1),0),0)*RATES!$L766/12+$Q$3*(PARAM!$D$51/12)*RATES!$N766/100</f>
        <v>917.625</v>
      </c>
      <c r="CI790" s="16">
        <f>IF(CI789&gt;0,CI789*PARAM!$C$53,CI789)+CG790-CH790</f>
        <v>-132003.25000000017</v>
      </c>
      <c r="CJ790" s="15">
        <f t="shared" si="519"/>
        <v>0</v>
      </c>
      <c r="CK790" s="75">
        <f>CJ790*(1-PARAM!$C$27)*$R$4+(MOD($B790/12,5)=0)*($B790&gt;60)*HLOOKUP($B790/12,Loyalty,2)*$F$1*MAX(CM789,0)</f>
        <v>0</v>
      </c>
      <c r="CL790" s="75">
        <f>PARAM!$C$26+MAX($P$4-CHOOSE(PARAM!$B$44,MAX(0,CM789*$F$1),0),0)*RATES!$L766/12+$Q$4*(PARAM!$D$51/12)*RATES!$N766/100</f>
        <v>917.625</v>
      </c>
      <c r="CM790" s="16">
        <f>IF(CM789&gt;0,CM789*PARAM!$C$53,CM789)+CK790-CL790</f>
        <v>-132003.25000000017</v>
      </c>
      <c r="CO790" s="176"/>
    </row>
    <row r="791" spans="1:93" x14ac:dyDescent="0.2">
      <c r="A791" t="b">
        <f t="shared" si="494"/>
        <v>0</v>
      </c>
      <c r="B791" s="33">
        <v>764</v>
      </c>
      <c r="C791" s="15">
        <f t="shared" si="495"/>
        <v>20.081305947392778</v>
      </c>
      <c r="D791" s="75">
        <f>C791*(1-PARAM!$C$27)*$I$3+(MOD($B791,60)=PARAM!$B$56)*($B791&gt;(60-PARAM!$B$56))*HLOOKUP(($B791+PARAM!$B$56)/12,Loyalty,2)*$F$1*MAX(F790,0)</f>
        <v>16.808053077967756</v>
      </c>
      <c r="E791" s="75">
        <f>PARAM!$C$26+MAX($G$3-CHOOSE(PARAM!$B$44,MAX(0,F790*$F$1),0),0)*RATES!$L767/12+$H$3*(PARAM!$D$51/12)*RATES!$N767/100</f>
        <v>917.625</v>
      </c>
      <c r="F791" s="16">
        <f t="shared" si="496"/>
        <v>-120235.94763983622</v>
      </c>
      <c r="G791" s="15">
        <f t="shared" si="497"/>
        <v>22.035289406060361</v>
      </c>
      <c r="H791" s="75">
        <f>G791*(1-PARAM!$C$27)*$I$4+(MOD($B791,60)=PARAM!$B$56)*($B791&gt;(60-PARAM!$B$56))*HLOOKUP(($B791+PARAM!$B$56)/12,Loyalty,2)*$F$1*MAX(J790,0)</f>
        <v>18.443537232872522</v>
      </c>
      <c r="I791" s="75">
        <f>PARAM!$C$26+MAX($G$4-CHOOSE(PARAM!$B$44,MAX(0,J790*$F$1),0),0)*RATES!$L767/12+$H$4*(PARAM!$D$51/12)*RATES!$N767/100</f>
        <v>917.625</v>
      </c>
      <c r="J791" s="16">
        <f t="shared" si="498"/>
        <v>-118952.60478136728</v>
      </c>
      <c r="K791" s="15">
        <f t="shared" si="499"/>
        <v>22.170849845882874</v>
      </c>
      <c r="L791" s="75">
        <f>K791*(1-PARAM!$C$27)*$I$5+(MOD($B791,60)=PARAM!$B$56)*($B791&gt;(60-PARAM!$B$56))*HLOOKUP(($B791+PARAM!$B$56)/12,Loyalty,2)*$F$1*MAX(N790,0)</f>
        <v>18.557001321003963</v>
      </c>
      <c r="M791" s="75">
        <f>PARAM!$C$26+MAX($G$5-CHOOSE(PARAM!$B$44,MAX(0,N790*$F$1),0),0)*RATES!$L767/12+$H$5*(PARAM!$D$51/12)*RATES!$N767/100</f>
        <v>917.625</v>
      </c>
      <c r="N791" s="16">
        <f t="shared" si="500"/>
        <v>-118862.90068163497</v>
      </c>
      <c r="O791" s="15">
        <f t="shared" si="501"/>
        <v>22.170849845882874</v>
      </c>
      <c r="P791" s="75">
        <f>O791*(1-PARAM!$C$27)*$I$6+(MOD($B791,60)=PARAM!$B$56)*($B791&gt;(60-PARAM!$B$56))*HLOOKUP(($B791+PARAM!$B$56)/12,Loyalty,2)*$F$1*MAX(R790,0)</f>
        <v>18.557001321003963</v>
      </c>
      <c r="Q791" s="75">
        <f>PARAM!$C$26+MAX($G$6-CHOOSE(PARAM!$B$44,MAX(0,R790*$F$1),0),0)*RATES!$L767/12+$H$6*(PARAM!$D$51/12)*RATES!$N767/100</f>
        <v>917.625</v>
      </c>
      <c r="R791" s="16">
        <f t="shared" si="502"/>
        <v>-118862.90068163497</v>
      </c>
      <c r="S791" s="15">
        <f t="shared" si="477"/>
        <v>22.170849845882874</v>
      </c>
      <c r="T791" s="75">
        <f>S791*(1-PARAM!$C$27)*$I$7+(MOD($B791,60)=PARAM!$B$56)*($B791&gt;(60-PARAM!$B$56))*HLOOKUP(($B791+PARAM!$B$56)/12,Loyalty,2)*$F$1*MAX(V790,0)</f>
        <v>18.557001321003963</v>
      </c>
      <c r="U791" s="75">
        <f>PARAM!$C$26+MAX($G$7-CHOOSE(PARAM!$B$44,MAX(0,V790*$F$1),0),0)*RATES!$L767/12+$H$7*(PARAM!$D$51/12)*RATES!$N767/100</f>
        <v>917.625</v>
      </c>
      <c r="V791" s="16">
        <f t="shared" si="503"/>
        <v>-118862.90068163497</v>
      </c>
      <c r="W791" s="15">
        <f t="shared" si="478"/>
        <v>22.170849845882874</v>
      </c>
      <c r="X791" s="75">
        <f>W791*(1-PARAM!$C$27)*$I$8+(MOD($B791,60)=PARAM!$B$56)*($B791&gt;(60-PARAM!$B$56))*HLOOKUP(($B791+PARAM!$B$56)/12,Loyalty,2)*$F$1*MAX(Z790,0)</f>
        <v>18.557001321003963</v>
      </c>
      <c r="Y791" s="75">
        <f>PARAM!$C$26+MAX($G$8-CHOOSE(PARAM!$B$44,MAX(0,Z790*$F$1),0),0)*RATES!$L767/12+$H$8*(PARAM!$D$51/12)*RATES!$N767/100</f>
        <v>917.625</v>
      </c>
      <c r="Z791" s="16">
        <f t="shared" si="504"/>
        <v>-118862.90068163497</v>
      </c>
      <c r="AA791" s="15">
        <f t="shared" si="479"/>
        <v>22.170849845882874</v>
      </c>
      <c r="AB791" s="75">
        <f>AA791*(1-PARAM!$C$27)*$I$9+(MOD($B791,60)=PARAM!$B$56)*($B791&gt;(60-PARAM!$B$56))*HLOOKUP(($B791+PARAM!$B$56)/12,Loyalty,2)*$F$1*MAX(AD790,0)</f>
        <v>18.557001321003963</v>
      </c>
      <c r="AC791" s="75">
        <f>PARAM!$C$26+MAX($G$9-CHOOSE(PARAM!$B$44,MAX(0,AD790*$F$1),0),0)*RATES!$L767/12+$H$9*(PARAM!$D$51/12)*RATES!$N767/100</f>
        <v>917.625</v>
      </c>
      <c r="AD791" s="16">
        <f t="shared" si="505"/>
        <v>-118862.90068163497</v>
      </c>
      <c r="AE791" s="15">
        <f t="shared" si="480"/>
        <v>22.170849845882874</v>
      </c>
      <c r="AF791" s="75">
        <f>AE791*(1-PARAM!$C$27)*$I$10+(MOD($B791,60)=PARAM!$B$56)*($B791&gt;(60-PARAM!$B$56))*HLOOKUP(($B791+PARAM!$B$56)/12,Loyalty,2)*$F$1*MAX(AH790,0)</f>
        <v>18.557001321003963</v>
      </c>
      <c r="AG791" s="75">
        <f>PARAM!$C$26+MAX($G$10-CHOOSE(PARAM!$B$44,MAX(0,AH790*$F$1),0),0)*RATES!$L767/12+$H$10*(PARAM!$D$51/12)*RATES!$N767/100</f>
        <v>917.625</v>
      </c>
      <c r="AH791" s="16">
        <f t="shared" si="506"/>
        <v>-118862.90068163497</v>
      </c>
      <c r="AI791" s="15">
        <f t="shared" si="481"/>
        <v>22.170849845882874</v>
      </c>
      <c r="AJ791" s="75">
        <f>AI791*(1-PARAM!$C$27)*$I$11+(MOD($B791,60)=PARAM!$B$56)*($B791&gt;(60-PARAM!$B$56))*HLOOKUP(($B791+PARAM!$B$56)/12,Loyalty,2)*$F$1*MAX(AL790,0)</f>
        <v>18.557001321003963</v>
      </c>
      <c r="AK791" s="75">
        <f>PARAM!$C$26+MAX($G$11-CHOOSE(PARAM!$B$44,MAX(0,AL790*$F$1),0),0)*RATES!$L767/12+$H$11*(PARAM!$D$51/12)*RATES!$N767/100</f>
        <v>917.625</v>
      </c>
      <c r="AL791" s="16">
        <f t="shared" si="507"/>
        <v>-118862.90068163497</v>
      </c>
      <c r="AM791" s="15">
        <f t="shared" si="482"/>
        <v>22.170849845882874</v>
      </c>
      <c r="AN791" s="75">
        <f>AM791*(1-PARAM!$C$27)*$I$12+(MOD($B791,60)=PARAM!$B$56)*($B791&gt;(60-PARAM!$B$56))*HLOOKUP(($B791+PARAM!$B$56)/12,Loyalty,2)*$F$1*MAX(AP790,0)</f>
        <v>18.557001321003963</v>
      </c>
      <c r="AO791" s="75">
        <f>PARAM!$C$26+MAX($G$12-CHOOSE(PARAM!$B$44,MAX(0,AP790*$F$1),0),0)*RATES!$L767/12+$H$12*(PARAM!$D$51/12)*RATES!$N767/100</f>
        <v>917.625</v>
      </c>
      <c r="AP791" s="16">
        <f t="shared" si="508"/>
        <v>-118862.90068163497</v>
      </c>
      <c r="AQ791" s="15">
        <f t="shared" si="483"/>
        <v>22.170849845882874</v>
      </c>
      <c r="AR791" s="75">
        <f>AQ791*(1-PARAM!$C$27)*$I$13+(MOD($B791,60)=PARAM!$B$56)*($B791&gt;(60-PARAM!$B$56))*HLOOKUP(($B791+PARAM!$B$56)/12,Loyalty,2)*$F$1*MAX(AT790,0)</f>
        <v>18.557001321003963</v>
      </c>
      <c r="AS791" s="75">
        <f>PARAM!$C$26+MAX($G$13-CHOOSE(PARAM!$B$44,MAX(0,AT790*$F$1),0),0)*RATES!$L767/12+$H$13*(PARAM!$D$51/12)*RATES!$N767/100</f>
        <v>917.625</v>
      </c>
      <c r="AT791" s="16">
        <f t="shared" si="509"/>
        <v>-118862.90068163497</v>
      </c>
      <c r="AU791" s="15">
        <f t="shared" si="484"/>
        <v>22.170849845882874</v>
      </c>
      <c r="AV791" s="75">
        <f>AU791*(1-PARAM!$C$27)*$I$14+(MOD($B791,60)=PARAM!$B$56)*($B791&gt;(60-PARAM!$B$56))*HLOOKUP(($B791+PARAM!$B$56)/12,Loyalty,2)*$F$1*MAX(AX790,0)</f>
        <v>18.557001321003963</v>
      </c>
      <c r="AW791" s="75">
        <f>PARAM!$C$26+MAX($G$14-CHOOSE(PARAM!$B$44,MAX(0,AX790*$F$1),0),0)*RATES!$L767/12+$H$14*(PARAM!$D$51/12)*RATES!$N767/100</f>
        <v>917.625</v>
      </c>
      <c r="AX791" s="16">
        <f t="shared" si="510"/>
        <v>-118862.90068163497</v>
      </c>
      <c r="AY791" s="15">
        <f t="shared" si="485"/>
        <v>22.170849845882874</v>
      </c>
      <c r="AZ791" s="75">
        <f>AY791*(1-PARAM!$C$27)*$I$15+(MOD($B791,60)=PARAM!$B$56)*($B791&gt;(60-PARAM!$B$56))*HLOOKUP(($B791+PARAM!$B$56)/12,Loyalty,2)*$F$1*MAX(BB790,0)</f>
        <v>18.557001321003963</v>
      </c>
      <c r="BA791" s="75">
        <f>PARAM!$C$26+MAX($G$15-CHOOSE(PARAM!$B$44,MAX(0,BB790*$F$1),0),0)*RATES!$L767/12+$H$15*(PARAM!$D$51/12)*RATES!$N767/100</f>
        <v>917.625</v>
      </c>
      <c r="BB791" s="16">
        <f t="shared" si="511"/>
        <v>-118862.90068163497</v>
      </c>
      <c r="BC791" s="15">
        <f t="shared" si="486"/>
        <v>22.170849845882874</v>
      </c>
      <c r="BD791" s="75">
        <f>BC791*(1-PARAM!$C$27)*$I$16+(MOD($B791,60)=PARAM!$B$56)*($B791&gt;(60-PARAM!$B$56))*HLOOKUP(($B791+PARAM!$B$56)/12,Loyalty,2)*$F$1*MAX(BF790,0)</f>
        <v>18.557001321003963</v>
      </c>
      <c r="BE791" s="75">
        <f>PARAM!$C$26+MAX($G$16-CHOOSE(PARAM!$B$44,MAX(0,BF790*$F$1),0),0)*RATES!$L767/12+$H$16*(PARAM!$D$51/12)*RATES!$N767/100</f>
        <v>917.625</v>
      </c>
      <c r="BF791" s="16">
        <f t="shared" si="512"/>
        <v>-118862.90068163497</v>
      </c>
      <c r="BG791" s="15">
        <f t="shared" si="487"/>
        <v>22.170849845882874</v>
      </c>
      <c r="BH791" s="75">
        <f>BG791*(1-PARAM!$C$27)*$I$17+(MOD($B791,60)=PARAM!$B$56)*($B791&gt;(60-PARAM!$B$56))*HLOOKUP(($B791+PARAM!$B$56)/12,Loyalty,2)*$F$1*MAX(BJ790,0)</f>
        <v>18.557001321003963</v>
      </c>
      <c r="BI791" s="75">
        <f>PARAM!$C$26+MAX($G$17-CHOOSE(PARAM!$B$44,MAX(0,BJ790*$F$1),0),0)*RATES!$L767/12+$H$17*(PARAM!$D$51/12)*RATES!$N767/100</f>
        <v>917.625</v>
      </c>
      <c r="BJ791" s="16">
        <f t="shared" si="513"/>
        <v>-118862.90068163497</v>
      </c>
      <c r="BK791" s="15">
        <f t="shared" si="488"/>
        <v>22.170849845882874</v>
      </c>
      <c r="BL791" s="75">
        <f>BK791*(1-PARAM!$C$27)*$I$18+(MOD($B791,60)=PARAM!$B$56)*($B791&gt;(60-PARAM!$B$56))*HLOOKUP(($B791+PARAM!$B$56)/12,Loyalty,2)*$F$1*MAX(BN790,0)</f>
        <v>18.557001321003963</v>
      </c>
      <c r="BM791" s="75">
        <f>PARAM!$C$26+MAX($G$18-CHOOSE(PARAM!$B$44,MAX(0,BN790*$F$1),0),0)*RATES!$L767/12+$H$18*(PARAM!$D$51/12)*RATES!$N767/100</f>
        <v>917.625</v>
      </c>
      <c r="BN791" s="16">
        <f t="shared" si="514"/>
        <v>-118862.90068163497</v>
      </c>
      <c r="BO791" s="15">
        <f t="shared" si="489"/>
        <v>22.170849845882874</v>
      </c>
      <c r="BP791" s="75">
        <f>BO791*(1-PARAM!$C$27)*$I$19+(MOD($B791,60)=PARAM!$B$56)*($B791&gt;(60-PARAM!$B$56))*HLOOKUP(($B791+PARAM!$B$56)/12,Loyalty,2)*$F$1*MAX(BR790,0)</f>
        <v>18.557001321003963</v>
      </c>
      <c r="BQ791" s="75">
        <f>PARAM!$C$26+MAX($G$19-CHOOSE(PARAM!$B$44,MAX(0,BR790*$F$1),0),0)*RATES!$L767/12+$H$19*(PARAM!$D$51/12)*RATES!$N767/100</f>
        <v>917.625</v>
      </c>
      <c r="BR791" s="16">
        <f t="shared" si="515"/>
        <v>-118862.90068163497</v>
      </c>
      <c r="BS791" s="15">
        <f t="shared" si="490"/>
        <v>22.170849845882874</v>
      </c>
      <c r="BT791" s="75">
        <f>BS791*(1-PARAM!$C$27)*$I$20+(MOD($B791,60)=PARAM!$B$56)*($B791&gt;(60-PARAM!$B$56))*HLOOKUP(($B791+PARAM!$B$56)/12,Loyalty,2)*$F$1*MAX(BV790,0)</f>
        <v>18.557001321003963</v>
      </c>
      <c r="BU791" s="75">
        <f>PARAM!$C$26+MAX($G$20-CHOOSE(PARAM!$B$44,MAX(0,BV790*$F$1),0),0)*RATES!$L767/12+$H$20*(PARAM!$D$51/12)*RATES!$N767/100</f>
        <v>917.625</v>
      </c>
      <c r="BV791" s="16">
        <f t="shared" si="516"/>
        <v>-118862.90068163497</v>
      </c>
      <c r="BW791" s="15">
        <f t="shared" si="491"/>
        <v>22.170849845882874</v>
      </c>
      <c r="BX791" s="75">
        <f>BW791*(1-PARAM!$C$27)*$I$21+(MOD($B791,60)=PARAM!$B$56)*($B791&gt;(60-PARAM!$B$56))*HLOOKUP(($B791+PARAM!$B$56)/12,Loyalty,2)*$F$1*MAX(BZ790,0)</f>
        <v>18.557001321003963</v>
      </c>
      <c r="BY791" s="75">
        <f>PARAM!$C$26+MAX($G$21-CHOOSE(PARAM!$B$44,MAX(0,BZ790*$F$1),0),0)*RATES!$L767/12+$H$21*(PARAM!$D$51/12)*RATES!$N767/100</f>
        <v>917.625</v>
      </c>
      <c r="BZ791" s="16">
        <f t="shared" si="517"/>
        <v>-118862.90068163497</v>
      </c>
      <c r="CA791" s="15">
        <f t="shared" si="492"/>
        <v>22.170849845882874</v>
      </c>
      <c r="CB791" s="75">
        <f>CA791*(1-PARAM!$C$27)*$I$22+(MOD($B791,60)=PARAM!$B$56)*($B791&gt;(60-PARAM!$B$56))*HLOOKUP(($B791+PARAM!$B$56)/12,Loyalty,2)*$F$1*MAX(CD790,0)</f>
        <v>18.557001321003963</v>
      </c>
      <c r="CC791" s="75">
        <f>PARAM!$C$26+MAX($G$22-CHOOSE(PARAM!$B$44,MAX(0,CD790*$F$1),0),0)*RATES!$L767/12+$H$22*(PARAM!$D$51/12)*RATES!$N767/100</f>
        <v>917.625</v>
      </c>
      <c r="CD791" s="16">
        <f t="shared" si="518"/>
        <v>-118862.90068163497</v>
      </c>
      <c r="CE791" s="33">
        <f>IF(0=MOD(B791,12/PARAM!$D$51),1,0)</f>
        <v>1</v>
      </c>
      <c r="CF791" s="15">
        <f t="shared" si="493"/>
        <v>0</v>
      </c>
      <c r="CG791" s="75">
        <f>CF791*(1-PARAM!$C$27)*$R$3+(MOD($B791/12,5)=0)*($B791&gt;60)*HLOOKUP($B791/12,Loyalty,2)*$F$1*MAX(CI790,0)</f>
        <v>0</v>
      </c>
      <c r="CH791" s="75">
        <f>PARAM!$C$26+MAX($P$3-CHOOSE(PARAM!$B$44,MAX(0,CI790*$F$1),0),0)*RATES!$L767/12+$Q$3*(PARAM!$D$51/12)*RATES!$N767/100</f>
        <v>917.625</v>
      </c>
      <c r="CI791" s="16">
        <f>IF(CI790&gt;0,CI790*PARAM!$C$53,CI790)+CG791-CH791</f>
        <v>-132920.87500000017</v>
      </c>
      <c r="CJ791" s="15">
        <f t="shared" si="519"/>
        <v>0</v>
      </c>
      <c r="CK791" s="75">
        <f>CJ791*(1-PARAM!$C$27)*$R$4+(MOD($B791/12,5)=0)*($B791&gt;60)*HLOOKUP($B791/12,Loyalty,2)*$F$1*MAX(CM790,0)</f>
        <v>0</v>
      </c>
      <c r="CL791" s="75">
        <f>PARAM!$C$26+MAX($P$4-CHOOSE(PARAM!$B$44,MAX(0,CM790*$F$1),0),0)*RATES!$L767/12+$Q$4*(PARAM!$D$51/12)*RATES!$N767/100</f>
        <v>917.625</v>
      </c>
      <c r="CM791" s="16">
        <f>IF(CM790&gt;0,CM790*PARAM!$C$53,CM790)+CK791-CL791</f>
        <v>-132920.87500000017</v>
      </c>
      <c r="CO791" s="176"/>
    </row>
    <row r="792" spans="1:93" x14ac:dyDescent="0.2">
      <c r="A792" t="b">
        <f t="shared" si="494"/>
        <v>0</v>
      </c>
      <c r="B792" s="33">
        <v>765</v>
      </c>
      <c r="C792" s="15">
        <f t="shared" si="495"/>
        <v>20.081305947392778</v>
      </c>
      <c r="D792" s="75">
        <f>C792*(1-PARAM!$C$27)*$I$3+(MOD($B792,60)=PARAM!$B$56)*($B792&gt;(60-PARAM!$B$56))*HLOOKUP(($B792+PARAM!$B$56)/12,Loyalty,2)*$F$1*MAX(F791,0)</f>
        <v>16.808053077967756</v>
      </c>
      <c r="E792" s="75">
        <f>PARAM!$C$26+MAX($G$3-CHOOSE(PARAM!$B$44,MAX(0,F791*$F$1),0),0)*RATES!$L768/12+$H$3*(PARAM!$D$51/12)*RATES!$N768/100</f>
        <v>917.625</v>
      </c>
      <c r="F792" s="16">
        <f t="shared" si="496"/>
        <v>-121136.76458675825</v>
      </c>
      <c r="G792" s="15">
        <f t="shared" si="497"/>
        <v>22.035289406060361</v>
      </c>
      <c r="H792" s="75">
        <f>G792*(1-PARAM!$C$27)*$I$4+(MOD($B792,60)=PARAM!$B$56)*($B792&gt;(60-PARAM!$B$56))*HLOOKUP(($B792+PARAM!$B$56)/12,Loyalty,2)*$F$1*MAX(J791,0)</f>
        <v>18.443537232872522</v>
      </c>
      <c r="I792" s="75">
        <f>PARAM!$C$26+MAX($G$4-CHOOSE(PARAM!$B$44,MAX(0,J791*$F$1),0),0)*RATES!$L768/12+$H$4*(PARAM!$D$51/12)*RATES!$N768/100</f>
        <v>917.625</v>
      </c>
      <c r="J792" s="16">
        <f t="shared" si="498"/>
        <v>-119851.7862441344</v>
      </c>
      <c r="K792" s="15">
        <f t="shared" si="499"/>
        <v>22.170849845882874</v>
      </c>
      <c r="L792" s="75">
        <f>K792*(1-PARAM!$C$27)*$I$5+(MOD($B792,60)=PARAM!$B$56)*($B792&gt;(60-PARAM!$B$56))*HLOOKUP(($B792+PARAM!$B$56)/12,Loyalty,2)*$F$1*MAX(N791,0)</f>
        <v>18.557001321003963</v>
      </c>
      <c r="M792" s="75">
        <f>PARAM!$C$26+MAX($G$5-CHOOSE(PARAM!$B$44,MAX(0,N791*$F$1),0),0)*RATES!$L768/12+$H$5*(PARAM!$D$51/12)*RATES!$N768/100</f>
        <v>917.625</v>
      </c>
      <c r="N792" s="16">
        <f t="shared" si="500"/>
        <v>-119761.96868031396</v>
      </c>
      <c r="O792" s="15">
        <f t="shared" si="501"/>
        <v>22.170849845882874</v>
      </c>
      <c r="P792" s="75">
        <f>O792*(1-PARAM!$C$27)*$I$6+(MOD($B792,60)=PARAM!$B$56)*($B792&gt;(60-PARAM!$B$56))*HLOOKUP(($B792+PARAM!$B$56)/12,Loyalty,2)*$F$1*MAX(R791,0)</f>
        <v>18.557001321003963</v>
      </c>
      <c r="Q792" s="75">
        <f>PARAM!$C$26+MAX($G$6-CHOOSE(PARAM!$B$44,MAX(0,R791*$F$1),0),0)*RATES!$L768/12+$H$6*(PARAM!$D$51/12)*RATES!$N768/100</f>
        <v>917.625</v>
      </c>
      <c r="R792" s="16">
        <f t="shared" si="502"/>
        <v>-119761.96868031396</v>
      </c>
      <c r="S792" s="15">
        <f t="shared" si="477"/>
        <v>22.170849845882874</v>
      </c>
      <c r="T792" s="75">
        <f>S792*(1-PARAM!$C$27)*$I$7+(MOD($B792,60)=PARAM!$B$56)*($B792&gt;(60-PARAM!$B$56))*HLOOKUP(($B792+PARAM!$B$56)/12,Loyalty,2)*$F$1*MAX(V791,0)</f>
        <v>18.557001321003963</v>
      </c>
      <c r="U792" s="75">
        <f>PARAM!$C$26+MAX($G$7-CHOOSE(PARAM!$B$44,MAX(0,V791*$F$1),0),0)*RATES!$L768/12+$H$7*(PARAM!$D$51/12)*RATES!$N768/100</f>
        <v>917.625</v>
      </c>
      <c r="V792" s="16">
        <f t="shared" si="503"/>
        <v>-119761.96868031396</v>
      </c>
      <c r="W792" s="15">
        <f t="shared" si="478"/>
        <v>22.170849845882874</v>
      </c>
      <c r="X792" s="75">
        <f>W792*(1-PARAM!$C$27)*$I$8+(MOD($B792,60)=PARAM!$B$56)*($B792&gt;(60-PARAM!$B$56))*HLOOKUP(($B792+PARAM!$B$56)/12,Loyalty,2)*$F$1*MAX(Z791,0)</f>
        <v>18.557001321003963</v>
      </c>
      <c r="Y792" s="75">
        <f>PARAM!$C$26+MAX($G$8-CHOOSE(PARAM!$B$44,MAX(0,Z791*$F$1),0),0)*RATES!$L768/12+$H$8*(PARAM!$D$51/12)*RATES!$N768/100</f>
        <v>917.625</v>
      </c>
      <c r="Z792" s="16">
        <f t="shared" si="504"/>
        <v>-119761.96868031396</v>
      </c>
      <c r="AA792" s="15">
        <f t="shared" si="479"/>
        <v>22.170849845882874</v>
      </c>
      <c r="AB792" s="75">
        <f>AA792*(1-PARAM!$C$27)*$I$9+(MOD($B792,60)=PARAM!$B$56)*($B792&gt;(60-PARAM!$B$56))*HLOOKUP(($B792+PARAM!$B$56)/12,Loyalty,2)*$F$1*MAX(AD791,0)</f>
        <v>18.557001321003963</v>
      </c>
      <c r="AC792" s="75">
        <f>PARAM!$C$26+MAX($G$9-CHOOSE(PARAM!$B$44,MAX(0,AD791*$F$1),0),0)*RATES!$L768/12+$H$9*(PARAM!$D$51/12)*RATES!$N768/100</f>
        <v>917.625</v>
      </c>
      <c r="AD792" s="16">
        <f t="shared" si="505"/>
        <v>-119761.96868031396</v>
      </c>
      <c r="AE792" s="15">
        <f t="shared" si="480"/>
        <v>22.170849845882874</v>
      </c>
      <c r="AF792" s="75">
        <f>AE792*(1-PARAM!$C$27)*$I$10+(MOD($B792,60)=PARAM!$B$56)*($B792&gt;(60-PARAM!$B$56))*HLOOKUP(($B792+PARAM!$B$56)/12,Loyalty,2)*$F$1*MAX(AH791,0)</f>
        <v>18.557001321003963</v>
      </c>
      <c r="AG792" s="75">
        <f>PARAM!$C$26+MAX($G$10-CHOOSE(PARAM!$B$44,MAX(0,AH791*$F$1),0),0)*RATES!$L768/12+$H$10*(PARAM!$D$51/12)*RATES!$N768/100</f>
        <v>917.625</v>
      </c>
      <c r="AH792" s="16">
        <f t="shared" si="506"/>
        <v>-119761.96868031396</v>
      </c>
      <c r="AI792" s="15">
        <f t="shared" si="481"/>
        <v>22.170849845882874</v>
      </c>
      <c r="AJ792" s="75">
        <f>AI792*(1-PARAM!$C$27)*$I$11+(MOD($B792,60)=PARAM!$B$56)*($B792&gt;(60-PARAM!$B$56))*HLOOKUP(($B792+PARAM!$B$56)/12,Loyalty,2)*$F$1*MAX(AL791,0)</f>
        <v>18.557001321003963</v>
      </c>
      <c r="AK792" s="75">
        <f>PARAM!$C$26+MAX($G$11-CHOOSE(PARAM!$B$44,MAX(0,AL791*$F$1),0),0)*RATES!$L768/12+$H$11*(PARAM!$D$51/12)*RATES!$N768/100</f>
        <v>917.625</v>
      </c>
      <c r="AL792" s="16">
        <f t="shared" si="507"/>
        <v>-119761.96868031396</v>
      </c>
      <c r="AM792" s="15">
        <f t="shared" si="482"/>
        <v>22.170849845882874</v>
      </c>
      <c r="AN792" s="75">
        <f>AM792*(1-PARAM!$C$27)*$I$12+(MOD($B792,60)=PARAM!$B$56)*($B792&gt;(60-PARAM!$B$56))*HLOOKUP(($B792+PARAM!$B$56)/12,Loyalty,2)*$F$1*MAX(AP791,0)</f>
        <v>18.557001321003963</v>
      </c>
      <c r="AO792" s="75">
        <f>PARAM!$C$26+MAX($G$12-CHOOSE(PARAM!$B$44,MAX(0,AP791*$F$1),0),0)*RATES!$L768/12+$H$12*(PARAM!$D$51/12)*RATES!$N768/100</f>
        <v>917.625</v>
      </c>
      <c r="AP792" s="16">
        <f t="shared" si="508"/>
        <v>-119761.96868031396</v>
      </c>
      <c r="AQ792" s="15">
        <f t="shared" si="483"/>
        <v>22.170849845882874</v>
      </c>
      <c r="AR792" s="75">
        <f>AQ792*(1-PARAM!$C$27)*$I$13+(MOD($B792,60)=PARAM!$B$56)*($B792&gt;(60-PARAM!$B$56))*HLOOKUP(($B792+PARAM!$B$56)/12,Loyalty,2)*$F$1*MAX(AT791,0)</f>
        <v>18.557001321003963</v>
      </c>
      <c r="AS792" s="75">
        <f>PARAM!$C$26+MAX($G$13-CHOOSE(PARAM!$B$44,MAX(0,AT791*$F$1),0),0)*RATES!$L768/12+$H$13*(PARAM!$D$51/12)*RATES!$N768/100</f>
        <v>917.625</v>
      </c>
      <c r="AT792" s="16">
        <f t="shared" si="509"/>
        <v>-119761.96868031396</v>
      </c>
      <c r="AU792" s="15">
        <f t="shared" si="484"/>
        <v>22.170849845882874</v>
      </c>
      <c r="AV792" s="75">
        <f>AU792*(1-PARAM!$C$27)*$I$14+(MOD($B792,60)=PARAM!$B$56)*($B792&gt;(60-PARAM!$B$56))*HLOOKUP(($B792+PARAM!$B$56)/12,Loyalty,2)*$F$1*MAX(AX791,0)</f>
        <v>18.557001321003963</v>
      </c>
      <c r="AW792" s="75">
        <f>PARAM!$C$26+MAX($G$14-CHOOSE(PARAM!$B$44,MAX(0,AX791*$F$1),0),0)*RATES!$L768/12+$H$14*(PARAM!$D$51/12)*RATES!$N768/100</f>
        <v>917.625</v>
      </c>
      <c r="AX792" s="16">
        <f t="shared" si="510"/>
        <v>-119761.96868031396</v>
      </c>
      <c r="AY792" s="15">
        <f t="shared" si="485"/>
        <v>22.170849845882874</v>
      </c>
      <c r="AZ792" s="75">
        <f>AY792*(1-PARAM!$C$27)*$I$15+(MOD($B792,60)=PARAM!$B$56)*($B792&gt;(60-PARAM!$B$56))*HLOOKUP(($B792+PARAM!$B$56)/12,Loyalty,2)*$F$1*MAX(BB791,0)</f>
        <v>18.557001321003963</v>
      </c>
      <c r="BA792" s="75">
        <f>PARAM!$C$26+MAX($G$15-CHOOSE(PARAM!$B$44,MAX(0,BB791*$F$1),0),0)*RATES!$L768/12+$H$15*(PARAM!$D$51/12)*RATES!$N768/100</f>
        <v>917.625</v>
      </c>
      <c r="BB792" s="16">
        <f t="shared" si="511"/>
        <v>-119761.96868031396</v>
      </c>
      <c r="BC792" s="15">
        <f t="shared" si="486"/>
        <v>22.170849845882874</v>
      </c>
      <c r="BD792" s="75">
        <f>BC792*(1-PARAM!$C$27)*$I$16+(MOD($B792,60)=PARAM!$B$56)*($B792&gt;(60-PARAM!$B$56))*HLOOKUP(($B792+PARAM!$B$56)/12,Loyalty,2)*$F$1*MAX(BF791,0)</f>
        <v>18.557001321003963</v>
      </c>
      <c r="BE792" s="75">
        <f>PARAM!$C$26+MAX($G$16-CHOOSE(PARAM!$B$44,MAX(0,BF791*$F$1),0),0)*RATES!$L768/12+$H$16*(PARAM!$D$51/12)*RATES!$N768/100</f>
        <v>917.625</v>
      </c>
      <c r="BF792" s="16">
        <f t="shared" si="512"/>
        <v>-119761.96868031396</v>
      </c>
      <c r="BG792" s="15">
        <f t="shared" si="487"/>
        <v>22.170849845882874</v>
      </c>
      <c r="BH792" s="75">
        <f>BG792*(1-PARAM!$C$27)*$I$17+(MOD($B792,60)=PARAM!$B$56)*($B792&gt;(60-PARAM!$B$56))*HLOOKUP(($B792+PARAM!$B$56)/12,Loyalty,2)*$F$1*MAX(BJ791,0)</f>
        <v>18.557001321003963</v>
      </c>
      <c r="BI792" s="75">
        <f>PARAM!$C$26+MAX($G$17-CHOOSE(PARAM!$B$44,MAX(0,BJ791*$F$1),0),0)*RATES!$L768/12+$H$17*(PARAM!$D$51/12)*RATES!$N768/100</f>
        <v>917.625</v>
      </c>
      <c r="BJ792" s="16">
        <f t="shared" si="513"/>
        <v>-119761.96868031396</v>
      </c>
      <c r="BK792" s="15">
        <f t="shared" si="488"/>
        <v>22.170849845882874</v>
      </c>
      <c r="BL792" s="75">
        <f>BK792*(1-PARAM!$C$27)*$I$18+(MOD($B792,60)=PARAM!$B$56)*($B792&gt;(60-PARAM!$B$56))*HLOOKUP(($B792+PARAM!$B$56)/12,Loyalty,2)*$F$1*MAX(BN791,0)</f>
        <v>18.557001321003963</v>
      </c>
      <c r="BM792" s="75">
        <f>PARAM!$C$26+MAX($G$18-CHOOSE(PARAM!$B$44,MAX(0,BN791*$F$1),0),0)*RATES!$L768/12+$H$18*(PARAM!$D$51/12)*RATES!$N768/100</f>
        <v>917.625</v>
      </c>
      <c r="BN792" s="16">
        <f t="shared" si="514"/>
        <v>-119761.96868031396</v>
      </c>
      <c r="BO792" s="15">
        <f t="shared" si="489"/>
        <v>22.170849845882874</v>
      </c>
      <c r="BP792" s="75">
        <f>BO792*(1-PARAM!$C$27)*$I$19+(MOD($B792,60)=PARAM!$B$56)*($B792&gt;(60-PARAM!$B$56))*HLOOKUP(($B792+PARAM!$B$56)/12,Loyalty,2)*$F$1*MAX(BR791,0)</f>
        <v>18.557001321003963</v>
      </c>
      <c r="BQ792" s="75">
        <f>PARAM!$C$26+MAX($G$19-CHOOSE(PARAM!$B$44,MAX(0,BR791*$F$1),0),0)*RATES!$L768/12+$H$19*(PARAM!$D$51/12)*RATES!$N768/100</f>
        <v>917.625</v>
      </c>
      <c r="BR792" s="16">
        <f t="shared" si="515"/>
        <v>-119761.96868031396</v>
      </c>
      <c r="BS792" s="15">
        <f t="shared" si="490"/>
        <v>22.170849845882874</v>
      </c>
      <c r="BT792" s="75">
        <f>BS792*(1-PARAM!$C$27)*$I$20+(MOD($B792,60)=PARAM!$B$56)*($B792&gt;(60-PARAM!$B$56))*HLOOKUP(($B792+PARAM!$B$56)/12,Loyalty,2)*$F$1*MAX(BV791,0)</f>
        <v>18.557001321003963</v>
      </c>
      <c r="BU792" s="75">
        <f>PARAM!$C$26+MAX($G$20-CHOOSE(PARAM!$B$44,MAX(0,BV791*$F$1),0),0)*RATES!$L768/12+$H$20*(PARAM!$D$51/12)*RATES!$N768/100</f>
        <v>917.625</v>
      </c>
      <c r="BV792" s="16">
        <f t="shared" si="516"/>
        <v>-119761.96868031396</v>
      </c>
      <c r="BW792" s="15">
        <f t="shared" si="491"/>
        <v>22.170849845882874</v>
      </c>
      <c r="BX792" s="75">
        <f>BW792*(1-PARAM!$C$27)*$I$21+(MOD($B792,60)=PARAM!$B$56)*($B792&gt;(60-PARAM!$B$56))*HLOOKUP(($B792+PARAM!$B$56)/12,Loyalty,2)*$F$1*MAX(BZ791,0)</f>
        <v>18.557001321003963</v>
      </c>
      <c r="BY792" s="75">
        <f>PARAM!$C$26+MAX($G$21-CHOOSE(PARAM!$B$44,MAX(0,BZ791*$F$1),0),0)*RATES!$L768/12+$H$21*(PARAM!$D$51/12)*RATES!$N768/100</f>
        <v>917.625</v>
      </c>
      <c r="BZ792" s="16">
        <f t="shared" si="517"/>
        <v>-119761.96868031396</v>
      </c>
      <c r="CA792" s="15">
        <f t="shared" si="492"/>
        <v>22.170849845882874</v>
      </c>
      <c r="CB792" s="75">
        <f>CA792*(1-PARAM!$C$27)*$I$22+(MOD($B792,60)=PARAM!$B$56)*($B792&gt;(60-PARAM!$B$56))*HLOOKUP(($B792+PARAM!$B$56)/12,Loyalty,2)*$F$1*MAX(CD791,0)</f>
        <v>18.557001321003963</v>
      </c>
      <c r="CC792" s="75">
        <f>PARAM!$C$26+MAX($G$22-CHOOSE(PARAM!$B$44,MAX(0,CD791*$F$1),0),0)*RATES!$L768/12+$H$22*(PARAM!$D$51/12)*RATES!$N768/100</f>
        <v>917.625</v>
      </c>
      <c r="CD792" s="16">
        <f t="shared" si="518"/>
        <v>-119761.96868031396</v>
      </c>
      <c r="CE792" s="33">
        <f>IF(0=MOD(B792,12/PARAM!$D$51),1,0)</f>
        <v>1</v>
      </c>
      <c r="CF792" s="15">
        <f t="shared" si="493"/>
        <v>0</v>
      </c>
      <c r="CG792" s="75">
        <f>CF792*(1-PARAM!$C$27)*$R$3+(MOD($B792/12,5)=0)*($B792&gt;60)*HLOOKUP($B792/12,Loyalty,2)*$F$1*MAX(CI791,0)</f>
        <v>0</v>
      </c>
      <c r="CH792" s="75">
        <f>PARAM!$C$26+MAX($P$3-CHOOSE(PARAM!$B$44,MAX(0,CI791*$F$1),0),0)*RATES!$L768/12+$Q$3*(PARAM!$D$51/12)*RATES!$N768/100</f>
        <v>917.625</v>
      </c>
      <c r="CI792" s="16">
        <f>IF(CI791&gt;0,CI791*PARAM!$C$53,CI791)+CG792-CH792</f>
        <v>-133838.50000000017</v>
      </c>
      <c r="CJ792" s="15">
        <f t="shared" si="519"/>
        <v>0</v>
      </c>
      <c r="CK792" s="75">
        <f>CJ792*(1-PARAM!$C$27)*$R$4+(MOD($B792/12,5)=0)*($B792&gt;60)*HLOOKUP($B792/12,Loyalty,2)*$F$1*MAX(CM791,0)</f>
        <v>0</v>
      </c>
      <c r="CL792" s="75">
        <f>PARAM!$C$26+MAX($P$4-CHOOSE(PARAM!$B$44,MAX(0,CM791*$F$1),0),0)*RATES!$L768/12+$Q$4*(PARAM!$D$51/12)*RATES!$N768/100</f>
        <v>917.625</v>
      </c>
      <c r="CM792" s="16">
        <f>IF(CM791&gt;0,CM791*PARAM!$C$53,CM791)+CK792-CL792</f>
        <v>-133838.50000000017</v>
      </c>
      <c r="CO792" s="176"/>
    </row>
    <row r="793" spans="1:93" x14ac:dyDescent="0.2">
      <c r="A793" t="b">
        <f t="shared" si="494"/>
        <v>0</v>
      </c>
      <c r="B793" s="33">
        <v>766</v>
      </c>
      <c r="C793" s="15">
        <f t="shared" si="495"/>
        <v>20.081305947392778</v>
      </c>
      <c r="D793" s="75">
        <f>C793*(1-PARAM!$C$27)*$I$3+(MOD($B793,60)=PARAM!$B$56)*($B793&gt;(60-PARAM!$B$56))*HLOOKUP(($B793+PARAM!$B$56)/12,Loyalty,2)*$F$1*MAX(F792,0)</f>
        <v>16.808053077967756</v>
      </c>
      <c r="E793" s="75">
        <f>PARAM!$C$26+MAX($G$3-CHOOSE(PARAM!$B$44,MAX(0,F792*$F$1),0),0)*RATES!$L769/12+$H$3*(PARAM!$D$51/12)*RATES!$N769/100</f>
        <v>917.625</v>
      </c>
      <c r="F793" s="16">
        <f t="shared" si="496"/>
        <v>-122037.58153368028</v>
      </c>
      <c r="G793" s="15">
        <f t="shared" si="497"/>
        <v>22.035289406060361</v>
      </c>
      <c r="H793" s="75">
        <f>G793*(1-PARAM!$C$27)*$I$4+(MOD($B793,60)=PARAM!$B$56)*($B793&gt;(60-PARAM!$B$56))*HLOOKUP(($B793+PARAM!$B$56)/12,Loyalty,2)*$F$1*MAX(J792,0)</f>
        <v>18.443537232872522</v>
      </c>
      <c r="I793" s="75">
        <f>PARAM!$C$26+MAX($G$4-CHOOSE(PARAM!$B$44,MAX(0,J792*$F$1),0),0)*RATES!$L769/12+$H$4*(PARAM!$D$51/12)*RATES!$N769/100</f>
        <v>917.625</v>
      </c>
      <c r="J793" s="16">
        <f t="shared" si="498"/>
        <v>-120750.96770690153</v>
      </c>
      <c r="K793" s="15">
        <f t="shared" si="499"/>
        <v>22.170849845882874</v>
      </c>
      <c r="L793" s="75">
        <f>K793*(1-PARAM!$C$27)*$I$5+(MOD($B793,60)=PARAM!$B$56)*($B793&gt;(60-PARAM!$B$56))*HLOOKUP(($B793+PARAM!$B$56)/12,Loyalty,2)*$F$1*MAX(N792,0)</f>
        <v>18.557001321003963</v>
      </c>
      <c r="M793" s="75">
        <f>PARAM!$C$26+MAX($G$5-CHOOSE(PARAM!$B$44,MAX(0,N792*$F$1),0),0)*RATES!$L769/12+$H$5*(PARAM!$D$51/12)*RATES!$N769/100</f>
        <v>917.625</v>
      </c>
      <c r="N793" s="16">
        <f t="shared" si="500"/>
        <v>-120661.03667899295</v>
      </c>
      <c r="O793" s="15">
        <f t="shared" si="501"/>
        <v>22.170849845882874</v>
      </c>
      <c r="P793" s="75">
        <f>O793*(1-PARAM!$C$27)*$I$6+(MOD($B793,60)=PARAM!$B$56)*($B793&gt;(60-PARAM!$B$56))*HLOOKUP(($B793+PARAM!$B$56)/12,Loyalty,2)*$F$1*MAX(R792,0)</f>
        <v>18.557001321003963</v>
      </c>
      <c r="Q793" s="75">
        <f>PARAM!$C$26+MAX($G$6-CHOOSE(PARAM!$B$44,MAX(0,R792*$F$1),0),0)*RATES!$L769/12+$H$6*(PARAM!$D$51/12)*RATES!$N769/100</f>
        <v>917.625</v>
      </c>
      <c r="R793" s="16">
        <f t="shared" si="502"/>
        <v>-120661.03667899295</v>
      </c>
      <c r="S793" s="15">
        <f t="shared" si="477"/>
        <v>22.170849845882874</v>
      </c>
      <c r="T793" s="75">
        <f>S793*(1-PARAM!$C$27)*$I$7+(MOD($B793,60)=PARAM!$B$56)*($B793&gt;(60-PARAM!$B$56))*HLOOKUP(($B793+PARAM!$B$56)/12,Loyalty,2)*$F$1*MAX(V792,0)</f>
        <v>18.557001321003963</v>
      </c>
      <c r="U793" s="75">
        <f>PARAM!$C$26+MAX($G$7-CHOOSE(PARAM!$B$44,MAX(0,V792*$F$1),0),0)*RATES!$L769/12+$H$7*(PARAM!$D$51/12)*RATES!$N769/100</f>
        <v>917.625</v>
      </c>
      <c r="V793" s="16">
        <f t="shared" si="503"/>
        <v>-120661.03667899295</v>
      </c>
      <c r="W793" s="15">
        <f t="shared" si="478"/>
        <v>22.170849845882874</v>
      </c>
      <c r="X793" s="75">
        <f>W793*(1-PARAM!$C$27)*$I$8+(MOD($B793,60)=PARAM!$B$56)*($B793&gt;(60-PARAM!$B$56))*HLOOKUP(($B793+PARAM!$B$56)/12,Loyalty,2)*$F$1*MAX(Z792,0)</f>
        <v>18.557001321003963</v>
      </c>
      <c r="Y793" s="75">
        <f>PARAM!$C$26+MAX($G$8-CHOOSE(PARAM!$B$44,MAX(0,Z792*$F$1),0),0)*RATES!$L769/12+$H$8*(PARAM!$D$51/12)*RATES!$N769/100</f>
        <v>917.625</v>
      </c>
      <c r="Z793" s="16">
        <f t="shared" si="504"/>
        <v>-120661.03667899295</v>
      </c>
      <c r="AA793" s="15">
        <f t="shared" si="479"/>
        <v>22.170849845882874</v>
      </c>
      <c r="AB793" s="75">
        <f>AA793*(1-PARAM!$C$27)*$I$9+(MOD($B793,60)=PARAM!$B$56)*($B793&gt;(60-PARAM!$B$56))*HLOOKUP(($B793+PARAM!$B$56)/12,Loyalty,2)*$F$1*MAX(AD792,0)</f>
        <v>18.557001321003963</v>
      </c>
      <c r="AC793" s="75">
        <f>PARAM!$C$26+MAX($G$9-CHOOSE(PARAM!$B$44,MAX(0,AD792*$F$1),0),0)*RATES!$L769/12+$H$9*(PARAM!$D$51/12)*RATES!$N769/100</f>
        <v>917.625</v>
      </c>
      <c r="AD793" s="16">
        <f t="shared" si="505"/>
        <v>-120661.03667899295</v>
      </c>
      <c r="AE793" s="15">
        <f t="shared" si="480"/>
        <v>22.170849845882874</v>
      </c>
      <c r="AF793" s="75">
        <f>AE793*(1-PARAM!$C$27)*$I$10+(MOD($B793,60)=PARAM!$B$56)*($B793&gt;(60-PARAM!$B$56))*HLOOKUP(($B793+PARAM!$B$56)/12,Loyalty,2)*$F$1*MAX(AH792,0)</f>
        <v>18.557001321003963</v>
      </c>
      <c r="AG793" s="75">
        <f>PARAM!$C$26+MAX($G$10-CHOOSE(PARAM!$B$44,MAX(0,AH792*$F$1),0),0)*RATES!$L769/12+$H$10*(PARAM!$D$51/12)*RATES!$N769/100</f>
        <v>917.625</v>
      </c>
      <c r="AH793" s="16">
        <f t="shared" si="506"/>
        <v>-120661.03667899295</v>
      </c>
      <c r="AI793" s="15">
        <f t="shared" si="481"/>
        <v>22.170849845882874</v>
      </c>
      <c r="AJ793" s="75">
        <f>AI793*(1-PARAM!$C$27)*$I$11+(MOD($B793,60)=PARAM!$B$56)*($B793&gt;(60-PARAM!$B$56))*HLOOKUP(($B793+PARAM!$B$56)/12,Loyalty,2)*$F$1*MAX(AL792,0)</f>
        <v>18.557001321003963</v>
      </c>
      <c r="AK793" s="75">
        <f>PARAM!$C$26+MAX($G$11-CHOOSE(PARAM!$B$44,MAX(0,AL792*$F$1),0),0)*RATES!$L769/12+$H$11*(PARAM!$D$51/12)*RATES!$N769/100</f>
        <v>917.625</v>
      </c>
      <c r="AL793" s="16">
        <f t="shared" si="507"/>
        <v>-120661.03667899295</v>
      </c>
      <c r="AM793" s="15">
        <f t="shared" si="482"/>
        <v>22.170849845882874</v>
      </c>
      <c r="AN793" s="75">
        <f>AM793*(1-PARAM!$C$27)*$I$12+(MOD($B793,60)=PARAM!$B$56)*($B793&gt;(60-PARAM!$B$56))*HLOOKUP(($B793+PARAM!$B$56)/12,Loyalty,2)*$F$1*MAX(AP792,0)</f>
        <v>18.557001321003963</v>
      </c>
      <c r="AO793" s="75">
        <f>PARAM!$C$26+MAX($G$12-CHOOSE(PARAM!$B$44,MAX(0,AP792*$F$1),0),0)*RATES!$L769/12+$H$12*(PARAM!$D$51/12)*RATES!$N769/100</f>
        <v>917.625</v>
      </c>
      <c r="AP793" s="16">
        <f t="shared" si="508"/>
        <v>-120661.03667899295</v>
      </c>
      <c r="AQ793" s="15">
        <f t="shared" si="483"/>
        <v>22.170849845882874</v>
      </c>
      <c r="AR793" s="75">
        <f>AQ793*(1-PARAM!$C$27)*$I$13+(MOD($B793,60)=PARAM!$B$56)*($B793&gt;(60-PARAM!$B$56))*HLOOKUP(($B793+PARAM!$B$56)/12,Loyalty,2)*$F$1*MAX(AT792,0)</f>
        <v>18.557001321003963</v>
      </c>
      <c r="AS793" s="75">
        <f>PARAM!$C$26+MAX($G$13-CHOOSE(PARAM!$B$44,MAX(0,AT792*$F$1),0),0)*RATES!$L769/12+$H$13*(PARAM!$D$51/12)*RATES!$N769/100</f>
        <v>917.625</v>
      </c>
      <c r="AT793" s="16">
        <f t="shared" si="509"/>
        <v>-120661.03667899295</v>
      </c>
      <c r="AU793" s="15">
        <f t="shared" si="484"/>
        <v>22.170849845882874</v>
      </c>
      <c r="AV793" s="75">
        <f>AU793*(1-PARAM!$C$27)*$I$14+(MOD($B793,60)=PARAM!$B$56)*($B793&gt;(60-PARAM!$B$56))*HLOOKUP(($B793+PARAM!$B$56)/12,Loyalty,2)*$F$1*MAX(AX792,0)</f>
        <v>18.557001321003963</v>
      </c>
      <c r="AW793" s="75">
        <f>PARAM!$C$26+MAX($G$14-CHOOSE(PARAM!$B$44,MAX(0,AX792*$F$1),0),0)*RATES!$L769/12+$H$14*(PARAM!$D$51/12)*RATES!$N769/100</f>
        <v>917.625</v>
      </c>
      <c r="AX793" s="16">
        <f t="shared" si="510"/>
        <v>-120661.03667899295</v>
      </c>
      <c r="AY793" s="15">
        <f t="shared" si="485"/>
        <v>22.170849845882874</v>
      </c>
      <c r="AZ793" s="75">
        <f>AY793*(1-PARAM!$C$27)*$I$15+(MOD($B793,60)=PARAM!$B$56)*($B793&gt;(60-PARAM!$B$56))*HLOOKUP(($B793+PARAM!$B$56)/12,Loyalty,2)*$F$1*MAX(BB792,0)</f>
        <v>18.557001321003963</v>
      </c>
      <c r="BA793" s="75">
        <f>PARAM!$C$26+MAX($G$15-CHOOSE(PARAM!$B$44,MAX(0,BB792*$F$1),0),0)*RATES!$L769/12+$H$15*(PARAM!$D$51/12)*RATES!$N769/100</f>
        <v>917.625</v>
      </c>
      <c r="BB793" s="16">
        <f t="shared" si="511"/>
        <v>-120661.03667899295</v>
      </c>
      <c r="BC793" s="15">
        <f t="shared" si="486"/>
        <v>22.170849845882874</v>
      </c>
      <c r="BD793" s="75">
        <f>BC793*(1-PARAM!$C$27)*$I$16+(MOD($B793,60)=PARAM!$B$56)*($B793&gt;(60-PARAM!$B$56))*HLOOKUP(($B793+PARAM!$B$56)/12,Loyalty,2)*$F$1*MAX(BF792,0)</f>
        <v>18.557001321003963</v>
      </c>
      <c r="BE793" s="75">
        <f>PARAM!$C$26+MAX($G$16-CHOOSE(PARAM!$B$44,MAX(0,BF792*$F$1),0),0)*RATES!$L769/12+$H$16*(PARAM!$D$51/12)*RATES!$N769/100</f>
        <v>917.625</v>
      </c>
      <c r="BF793" s="16">
        <f t="shared" si="512"/>
        <v>-120661.03667899295</v>
      </c>
      <c r="BG793" s="15">
        <f t="shared" si="487"/>
        <v>22.170849845882874</v>
      </c>
      <c r="BH793" s="75">
        <f>BG793*(1-PARAM!$C$27)*$I$17+(MOD($B793,60)=PARAM!$B$56)*($B793&gt;(60-PARAM!$B$56))*HLOOKUP(($B793+PARAM!$B$56)/12,Loyalty,2)*$F$1*MAX(BJ792,0)</f>
        <v>18.557001321003963</v>
      </c>
      <c r="BI793" s="75">
        <f>PARAM!$C$26+MAX($G$17-CHOOSE(PARAM!$B$44,MAX(0,BJ792*$F$1),0),0)*RATES!$L769/12+$H$17*(PARAM!$D$51/12)*RATES!$N769/100</f>
        <v>917.625</v>
      </c>
      <c r="BJ793" s="16">
        <f t="shared" si="513"/>
        <v>-120661.03667899295</v>
      </c>
      <c r="BK793" s="15">
        <f t="shared" si="488"/>
        <v>22.170849845882874</v>
      </c>
      <c r="BL793" s="75">
        <f>BK793*(1-PARAM!$C$27)*$I$18+(MOD($B793,60)=PARAM!$B$56)*($B793&gt;(60-PARAM!$B$56))*HLOOKUP(($B793+PARAM!$B$56)/12,Loyalty,2)*$F$1*MAX(BN792,0)</f>
        <v>18.557001321003963</v>
      </c>
      <c r="BM793" s="75">
        <f>PARAM!$C$26+MAX($G$18-CHOOSE(PARAM!$B$44,MAX(0,BN792*$F$1),0),0)*RATES!$L769/12+$H$18*(PARAM!$D$51/12)*RATES!$N769/100</f>
        <v>917.625</v>
      </c>
      <c r="BN793" s="16">
        <f t="shared" si="514"/>
        <v>-120661.03667899295</v>
      </c>
      <c r="BO793" s="15">
        <f t="shared" si="489"/>
        <v>22.170849845882874</v>
      </c>
      <c r="BP793" s="75">
        <f>BO793*(1-PARAM!$C$27)*$I$19+(MOD($B793,60)=PARAM!$B$56)*($B793&gt;(60-PARAM!$B$56))*HLOOKUP(($B793+PARAM!$B$56)/12,Loyalty,2)*$F$1*MAX(BR792,0)</f>
        <v>18.557001321003963</v>
      </c>
      <c r="BQ793" s="75">
        <f>PARAM!$C$26+MAX($G$19-CHOOSE(PARAM!$B$44,MAX(0,BR792*$F$1),0),0)*RATES!$L769/12+$H$19*(PARAM!$D$51/12)*RATES!$N769/100</f>
        <v>917.625</v>
      </c>
      <c r="BR793" s="16">
        <f t="shared" si="515"/>
        <v>-120661.03667899295</v>
      </c>
      <c r="BS793" s="15">
        <f t="shared" si="490"/>
        <v>22.170849845882874</v>
      </c>
      <c r="BT793" s="75">
        <f>BS793*(1-PARAM!$C$27)*$I$20+(MOD($B793,60)=PARAM!$B$56)*($B793&gt;(60-PARAM!$B$56))*HLOOKUP(($B793+PARAM!$B$56)/12,Loyalty,2)*$F$1*MAX(BV792,0)</f>
        <v>18.557001321003963</v>
      </c>
      <c r="BU793" s="75">
        <f>PARAM!$C$26+MAX($G$20-CHOOSE(PARAM!$B$44,MAX(0,BV792*$F$1),0),0)*RATES!$L769/12+$H$20*(PARAM!$D$51/12)*RATES!$N769/100</f>
        <v>917.625</v>
      </c>
      <c r="BV793" s="16">
        <f t="shared" si="516"/>
        <v>-120661.03667899295</v>
      </c>
      <c r="BW793" s="15">
        <f t="shared" si="491"/>
        <v>22.170849845882874</v>
      </c>
      <c r="BX793" s="75">
        <f>BW793*(1-PARAM!$C$27)*$I$21+(MOD($B793,60)=PARAM!$B$56)*($B793&gt;(60-PARAM!$B$56))*HLOOKUP(($B793+PARAM!$B$56)/12,Loyalty,2)*$F$1*MAX(BZ792,0)</f>
        <v>18.557001321003963</v>
      </c>
      <c r="BY793" s="75">
        <f>PARAM!$C$26+MAX($G$21-CHOOSE(PARAM!$B$44,MAX(0,BZ792*$F$1),0),0)*RATES!$L769/12+$H$21*(PARAM!$D$51/12)*RATES!$N769/100</f>
        <v>917.625</v>
      </c>
      <c r="BZ793" s="16">
        <f t="shared" si="517"/>
        <v>-120661.03667899295</v>
      </c>
      <c r="CA793" s="15">
        <f t="shared" si="492"/>
        <v>22.170849845882874</v>
      </c>
      <c r="CB793" s="75">
        <f>CA793*(1-PARAM!$C$27)*$I$22+(MOD($B793,60)=PARAM!$B$56)*($B793&gt;(60-PARAM!$B$56))*HLOOKUP(($B793+PARAM!$B$56)/12,Loyalty,2)*$F$1*MAX(CD792,0)</f>
        <v>18.557001321003963</v>
      </c>
      <c r="CC793" s="75">
        <f>PARAM!$C$26+MAX($G$22-CHOOSE(PARAM!$B$44,MAX(0,CD792*$F$1),0),0)*RATES!$L769/12+$H$22*(PARAM!$D$51/12)*RATES!$N769/100</f>
        <v>917.625</v>
      </c>
      <c r="CD793" s="16">
        <f t="shared" si="518"/>
        <v>-120661.03667899295</v>
      </c>
      <c r="CE793" s="33">
        <f>IF(0=MOD(B793,12/PARAM!$D$51),1,0)</f>
        <v>1</v>
      </c>
      <c r="CF793" s="15">
        <f t="shared" si="493"/>
        <v>0</v>
      </c>
      <c r="CG793" s="75">
        <f>CF793*(1-PARAM!$C$27)*$R$3+(MOD($B793/12,5)=0)*($B793&gt;60)*HLOOKUP($B793/12,Loyalty,2)*$F$1*MAX(CI792,0)</f>
        <v>0</v>
      </c>
      <c r="CH793" s="75">
        <f>PARAM!$C$26+MAX($P$3-CHOOSE(PARAM!$B$44,MAX(0,CI792*$F$1),0),0)*RATES!$L769/12+$Q$3*(PARAM!$D$51/12)*RATES!$N769/100</f>
        <v>917.625</v>
      </c>
      <c r="CI793" s="16">
        <f>IF(CI792&gt;0,CI792*PARAM!$C$53,CI792)+CG793-CH793</f>
        <v>-134756.12500000017</v>
      </c>
      <c r="CJ793" s="15">
        <f t="shared" si="519"/>
        <v>0</v>
      </c>
      <c r="CK793" s="75">
        <f>CJ793*(1-PARAM!$C$27)*$R$4+(MOD($B793/12,5)=0)*($B793&gt;60)*HLOOKUP($B793/12,Loyalty,2)*$F$1*MAX(CM792,0)</f>
        <v>0</v>
      </c>
      <c r="CL793" s="75">
        <f>PARAM!$C$26+MAX($P$4-CHOOSE(PARAM!$B$44,MAX(0,CM792*$F$1),0),0)*RATES!$L769/12+$Q$4*(PARAM!$D$51/12)*RATES!$N769/100</f>
        <v>917.625</v>
      </c>
      <c r="CM793" s="16">
        <f>IF(CM792&gt;0,CM792*PARAM!$C$53,CM792)+CK793-CL793</f>
        <v>-134756.12500000017</v>
      </c>
      <c r="CO793" s="176"/>
    </row>
    <row r="794" spans="1:93" x14ac:dyDescent="0.2">
      <c r="A794" t="b">
        <f t="shared" si="494"/>
        <v>0</v>
      </c>
      <c r="B794" s="33">
        <v>767</v>
      </c>
      <c r="C794" s="15">
        <f t="shared" si="495"/>
        <v>20.081305947392778</v>
      </c>
      <c r="D794" s="75">
        <f>C794*(1-PARAM!$C$27)*$I$3+(MOD($B794,60)=PARAM!$B$56)*($B794&gt;(60-PARAM!$B$56))*HLOOKUP(($B794+PARAM!$B$56)/12,Loyalty,2)*$F$1*MAX(F793,0)</f>
        <v>16.808053077967756</v>
      </c>
      <c r="E794" s="75">
        <f>PARAM!$C$26+MAX($G$3-CHOOSE(PARAM!$B$44,MAX(0,F793*$F$1),0),0)*RATES!$L770/12+$H$3*(PARAM!$D$51/12)*RATES!$N770/100</f>
        <v>917.625</v>
      </c>
      <c r="F794" s="16">
        <f t="shared" si="496"/>
        <v>-122938.39848060231</v>
      </c>
      <c r="G794" s="15">
        <f t="shared" si="497"/>
        <v>22.035289406060361</v>
      </c>
      <c r="H794" s="75">
        <f>G794*(1-PARAM!$C$27)*$I$4+(MOD($B794,60)=PARAM!$B$56)*($B794&gt;(60-PARAM!$B$56))*HLOOKUP(($B794+PARAM!$B$56)/12,Loyalty,2)*$F$1*MAX(J793,0)</f>
        <v>18.443537232872522</v>
      </c>
      <c r="I794" s="75">
        <f>PARAM!$C$26+MAX($G$4-CHOOSE(PARAM!$B$44,MAX(0,J793*$F$1),0),0)*RATES!$L770/12+$H$4*(PARAM!$D$51/12)*RATES!$N770/100</f>
        <v>917.625</v>
      </c>
      <c r="J794" s="16">
        <f t="shared" si="498"/>
        <v>-121650.14916966866</v>
      </c>
      <c r="K794" s="15">
        <f t="shared" si="499"/>
        <v>22.170849845882874</v>
      </c>
      <c r="L794" s="75">
        <f>K794*(1-PARAM!$C$27)*$I$5+(MOD($B794,60)=PARAM!$B$56)*($B794&gt;(60-PARAM!$B$56))*HLOOKUP(($B794+PARAM!$B$56)/12,Loyalty,2)*$F$1*MAX(N793,0)</f>
        <v>18.557001321003963</v>
      </c>
      <c r="M794" s="75">
        <f>PARAM!$C$26+MAX($G$5-CHOOSE(PARAM!$B$44,MAX(0,N793*$F$1),0),0)*RATES!$L770/12+$H$5*(PARAM!$D$51/12)*RATES!$N770/100</f>
        <v>917.625</v>
      </c>
      <c r="N794" s="16">
        <f t="shared" si="500"/>
        <v>-121560.10467767194</v>
      </c>
      <c r="O794" s="15">
        <f t="shared" si="501"/>
        <v>22.170849845882874</v>
      </c>
      <c r="P794" s="75">
        <f>O794*(1-PARAM!$C$27)*$I$6+(MOD($B794,60)=PARAM!$B$56)*($B794&gt;(60-PARAM!$B$56))*HLOOKUP(($B794+PARAM!$B$56)/12,Loyalty,2)*$F$1*MAX(R793,0)</f>
        <v>18.557001321003963</v>
      </c>
      <c r="Q794" s="75">
        <f>PARAM!$C$26+MAX($G$6-CHOOSE(PARAM!$B$44,MAX(0,R793*$F$1),0),0)*RATES!$L770/12+$H$6*(PARAM!$D$51/12)*RATES!$N770/100</f>
        <v>917.625</v>
      </c>
      <c r="R794" s="16">
        <f t="shared" si="502"/>
        <v>-121560.10467767194</v>
      </c>
      <c r="S794" s="15">
        <f t="shared" si="477"/>
        <v>22.170849845882874</v>
      </c>
      <c r="T794" s="75">
        <f>S794*(1-PARAM!$C$27)*$I$7+(MOD($B794,60)=PARAM!$B$56)*($B794&gt;(60-PARAM!$B$56))*HLOOKUP(($B794+PARAM!$B$56)/12,Loyalty,2)*$F$1*MAX(V793,0)</f>
        <v>18.557001321003963</v>
      </c>
      <c r="U794" s="75">
        <f>PARAM!$C$26+MAX($G$7-CHOOSE(PARAM!$B$44,MAX(0,V793*$F$1),0),0)*RATES!$L770/12+$H$7*(PARAM!$D$51/12)*RATES!$N770/100</f>
        <v>917.625</v>
      </c>
      <c r="V794" s="16">
        <f t="shared" si="503"/>
        <v>-121560.10467767194</v>
      </c>
      <c r="W794" s="15">
        <f t="shared" si="478"/>
        <v>22.170849845882874</v>
      </c>
      <c r="X794" s="75">
        <f>W794*(1-PARAM!$C$27)*$I$8+(MOD($B794,60)=PARAM!$B$56)*($B794&gt;(60-PARAM!$B$56))*HLOOKUP(($B794+PARAM!$B$56)/12,Loyalty,2)*$F$1*MAX(Z793,0)</f>
        <v>18.557001321003963</v>
      </c>
      <c r="Y794" s="75">
        <f>PARAM!$C$26+MAX($G$8-CHOOSE(PARAM!$B$44,MAX(0,Z793*$F$1),0),0)*RATES!$L770/12+$H$8*(PARAM!$D$51/12)*RATES!$N770/100</f>
        <v>917.625</v>
      </c>
      <c r="Z794" s="16">
        <f t="shared" si="504"/>
        <v>-121560.10467767194</v>
      </c>
      <c r="AA794" s="15">
        <f t="shared" si="479"/>
        <v>22.170849845882874</v>
      </c>
      <c r="AB794" s="75">
        <f>AA794*(1-PARAM!$C$27)*$I$9+(MOD($B794,60)=PARAM!$B$56)*($B794&gt;(60-PARAM!$B$56))*HLOOKUP(($B794+PARAM!$B$56)/12,Loyalty,2)*$F$1*MAX(AD793,0)</f>
        <v>18.557001321003963</v>
      </c>
      <c r="AC794" s="75">
        <f>PARAM!$C$26+MAX($G$9-CHOOSE(PARAM!$B$44,MAX(0,AD793*$F$1),0),0)*RATES!$L770/12+$H$9*(PARAM!$D$51/12)*RATES!$N770/100</f>
        <v>917.625</v>
      </c>
      <c r="AD794" s="16">
        <f t="shared" si="505"/>
        <v>-121560.10467767194</v>
      </c>
      <c r="AE794" s="15">
        <f t="shared" si="480"/>
        <v>22.170849845882874</v>
      </c>
      <c r="AF794" s="75">
        <f>AE794*(1-PARAM!$C$27)*$I$10+(MOD($B794,60)=PARAM!$B$56)*($B794&gt;(60-PARAM!$B$56))*HLOOKUP(($B794+PARAM!$B$56)/12,Loyalty,2)*$F$1*MAX(AH793,0)</f>
        <v>18.557001321003963</v>
      </c>
      <c r="AG794" s="75">
        <f>PARAM!$C$26+MAX($G$10-CHOOSE(PARAM!$B$44,MAX(0,AH793*$F$1),0),0)*RATES!$L770/12+$H$10*(PARAM!$D$51/12)*RATES!$N770/100</f>
        <v>917.625</v>
      </c>
      <c r="AH794" s="16">
        <f t="shared" si="506"/>
        <v>-121560.10467767194</v>
      </c>
      <c r="AI794" s="15">
        <f t="shared" si="481"/>
        <v>22.170849845882874</v>
      </c>
      <c r="AJ794" s="75">
        <f>AI794*(1-PARAM!$C$27)*$I$11+(MOD($B794,60)=PARAM!$B$56)*($B794&gt;(60-PARAM!$B$56))*HLOOKUP(($B794+PARAM!$B$56)/12,Loyalty,2)*$F$1*MAX(AL793,0)</f>
        <v>18.557001321003963</v>
      </c>
      <c r="AK794" s="75">
        <f>PARAM!$C$26+MAX($G$11-CHOOSE(PARAM!$B$44,MAX(0,AL793*$F$1),0),0)*RATES!$L770/12+$H$11*(PARAM!$D$51/12)*RATES!$N770/100</f>
        <v>917.625</v>
      </c>
      <c r="AL794" s="16">
        <f t="shared" si="507"/>
        <v>-121560.10467767194</v>
      </c>
      <c r="AM794" s="15">
        <f t="shared" si="482"/>
        <v>22.170849845882874</v>
      </c>
      <c r="AN794" s="75">
        <f>AM794*(1-PARAM!$C$27)*$I$12+(MOD($B794,60)=PARAM!$B$56)*($B794&gt;(60-PARAM!$B$56))*HLOOKUP(($B794+PARAM!$B$56)/12,Loyalty,2)*$F$1*MAX(AP793,0)</f>
        <v>18.557001321003963</v>
      </c>
      <c r="AO794" s="75">
        <f>PARAM!$C$26+MAX($G$12-CHOOSE(PARAM!$B$44,MAX(0,AP793*$F$1),0),0)*RATES!$L770/12+$H$12*(PARAM!$D$51/12)*RATES!$N770/100</f>
        <v>917.625</v>
      </c>
      <c r="AP794" s="16">
        <f t="shared" si="508"/>
        <v>-121560.10467767194</v>
      </c>
      <c r="AQ794" s="15">
        <f t="shared" si="483"/>
        <v>22.170849845882874</v>
      </c>
      <c r="AR794" s="75">
        <f>AQ794*(1-PARAM!$C$27)*$I$13+(MOD($B794,60)=PARAM!$B$56)*($B794&gt;(60-PARAM!$B$56))*HLOOKUP(($B794+PARAM!$B$56)/12,Loyalty,2)*$F$1*MAX(AT793,0)</f>
        <v>18.557001321003963</v>
      </c>
      <c r="AS794" s="75">
        <f>PARAM!$C$26+MAX($G$13-CHOOSE(PARAM!$B$44,MAX(0,AT793*$F$1),0),0)*RATES!$L770/12+$H$13*(PARAM!$D$51/12)*RATES!$N770/100</f>
        <v>917.625</v>
      </c>
      <c r="AT794" s="16">
        <f t="shared" si="509"/>
        <v>-121560.10467767194</v>
      </c>
      <c r="AU794" s="15">
        <f t="shared" si="484"/>
        <v>22.170849845882874</v>
      </c>
      <c r="AV794" s="75">
        <f>AU794*(1-PARAM!$C$27)*$I$14+(MOD($B794,60)=PARAM!$B$56)*($B794&gt;(60-PARAM!$B$56))*HLOOKUP(($B794+PARAM!$B$56)/12,Loyalty,2)*$F$1*MAX(AX793,0)</f>
        <v>18.557001321003963</v>
      </c>
      <c r="AW794" s="75">
        <f>PARAM!$C$26+MAX($G$14-CHOOSE(PARAM!$B$44,MAX(0,AX793*$F$1),0),0)*RATES!$L770/12+$H$14*(PARAM!$D$51/12)*RATES!$N770/100</f>
        <v>917.625</v>
      </c>
      <c r="AX794" s="16">
        <f t="shared" si="510"/>
        <v>-121560.10467767194</v>
      </c>
      <c r="AY794" s="15">
        <f t="shared" si="485"/>
        <v>22.170849845882874</v>
      </c>
      <c r="AZ794" s="75">
        <f>AY794*(1-PARAM!$C$27)*$I$15+(MOD($B794,60)=PARAM!$B$56)*($B794&gt;(60-PARAM!$B$56))*HLOOKUP(($B794+PARAM!$B$56)/12,Loyalty,2)*$F$1*MAX(BB793,0)</f>
        <v>18.557001321003963</v>
      </c>
      <c r="BA794" s="75">
        <f>PARAM!$C$26+MAX($G$15-CHOOSE(PARAM!$B$44,MAX(0,BB793*$F$1),0),0)*RATES!$L770/12+$H$15*(PARAM!$D$51/12)*RATES!$N770/100</f>
        <v>917.625</v>
      </c>
      <c r="BB794" s="16">
        <f t="shared" si="511"/>
        <v>-121560.10467767194</v>
      </c>
      <c r="BC794" s="15">
        <f t="shared" si="486"/>
        <v>22.170849845882874</v>
      </c>
      <c r="BD794" s="75">
        <f>BC794*(1-PARAM!$C$27)*$I$16+(MOD($B794,60)=PARAM!$B$56)*($B794&gt;(60-PARAM!$B$56))*HLOOKUP(($B794+PARAM!$B$56)/12,Loyalty,2)*$F$1*MAX(BF793,0)</f>
        <v>18.557001321003963</v>
      </c>
      <c r="BE794" s="75">
        <f>PARAM!$C$26+MAX($G$16-CHOOSE(PARAM!$B$44,MAX(0,BF793*$F$1),0),0)*RATES!$L770/12+$H$16*(PARAM!$D$51/12)*RATES!$N770/100</f>
        <v>917.625</v>
      </c>
      <c r="BF794" s="16">
        <f t="shared" si="512"/>
        <v>-121560.10467767194</v>
      </c>
      <c r="BG794" s="15">
        <f t="shared" si="487"/>
        <v>22.170849845882874</v>
      </c>
      <c r="BH794" s="75">
        <f>BG794*(1-PARAM!$C$27)*$I$17+(MOD($B794,60)=PARAM!$B$56)*($B794&gt;(60-PARAM!$B$56))*HLOOKUP(($B794+PARAM!$B$56)/12,Loyalty,2)*$F$1*MAX(BJ793,0)</f>
        <v>18.557001321003963</v>
      </c>
      <c r="BI794" s="75">
        <f>PARAM!$C$26+MAX($G$17-CHOOSE(PARAM!$B$44,MAX(0,BJ793*$F$1),0),0)*RATES!$L770/12+$H$17*(PARAM!$D$51/12)*RATES!$N770/100</f>
        <v>917.625</v>
      </c>
      <c r="BJ794" s="16">
        <f t="shared" si="513"/>
        <v>-121560.10467767194</v>
      </c>
      <c r="BK794" s="15">
        <f t="shared" si="488"/>
        <v>22.170849845882874</v>
      </c>
      <c r="BL794" s="75">
        <f>BK794*(1-PARAM!$C$27)*$I$18+(MOD($B794,60)=PARAM!$B$56)*($B794&gt;(60-PARAM!$B$56))*HLOOKUP(($B794+PARAM!$B$56)/12,Loyalty,2)*$F$1*MAX(BN793,0)</f>
        <v>18.557001321003963</v>
      </c>
      <c r="BM794" s="75">
        <f>PARAM!$C$26+MAX($G$18-CHOOSE(PARAM!$B$44,MAX(0,BN793*$F$1),0),0)*RATES!$L770/12+$H$18*(PARAM!$D$51/12)*RATES!$N770/100</f>
        <v>917.625</v>
      </c>
      <c r="BN794" s="16">
        <f t="shared" si="514"/>
        <v>-121560.10467767194</v>
      </c>
      <c r="BO794" s="15">
        <f t="shared" si="489"/>
        <v>22.170849845882874</v>
      </c>
      <c r="BP794" s="75">
        <f>BO794*(1-PARAM!$C$27)*$I$19+(MOD($B794,60)=PARAM!$B$56)*($B794&gt;(60-PARAM!$B$56))*HLOOKUP(($B794+PARAM!$B$56)/12,Loyalty,2)*$F$1*MAX(BR793,0)</f>
        <v>18.557001321003963</v>
      </c>
      <c r="BQ794" s="75">
        <f>PARAM!$C$26+MAX($G$19-CHOOSE(PARAM!$B$44,MAX(0,BR793*$F$1),0),0)*RATES!$L770/12+$H$19*(PARAM!$D$51/12)*RATES!$N770/100</f>
        <v>917.625</v>
      </c>
      <c r="BR794" s="16">
        <f t="shared" si="515"/>
        <v>-121560.10467767194</v>
      </c>
      <c r="BS794" s="15">
        <f t="shared" si="490"/>
        <v>22.170849845882874</v>
      </c>
      <c r="BT794" s="75">
        <f>BS794*(1-PARAM!$C$27)*$I$20+(MOD($B794,60)=PARAM!$B$56)*($B794&gt;(60-PARAM!$B$56))*HLOOKUP(($B794+PARAM!$B$56)/12,Loyalty,2)*$F$1*MAX(BV793,0)</f>
        <v>18.557001321003963</v>
      </c>
      <c r="BU794" s="75">
        <f>PARAM!$C$26+MAX($G$20-CHOOSE(PARAM!$B$44,MAX(0,BV793*$F$1),0),0)*RATES!$L770/12+$H$20*(PARAM!$D$51/12)*RATES!$N770/100</f>
        <v>917.625</v>
      </c>
      <c r="BV794" s="16">
        <f t="shared" si="516"/>
        <v>-121560.10467767194</v>
      </c>
      <c r="BW794" s="15">
        <f t="shared" si="491"/>
        <v>22.170849845882874</v>
      </c>
      <c r="BX794" s="75">
        <f>BW794*(1-PARAM!$C$27)*$I$21+(MOD($B794,60)=PARAM!$B$56)*($B794&gt;(60-PARAM!$B$56))*HLOOKUP(($B794+PARAM!$B$56)/12,Loyalty,2)*$F$1*MAX(BZ793,0)</f>
        <v>18.557001321003963</v>
      </c>
      <c r="BY794" s="75">
        <f>PARAM!$C$26+MAX($G$21-CHOOSE(PARAM!$B$44,MAX(0,BZ793*$F$1),0),0)*RATES!$L770/12+$H$21*(PARAM!$D$51/12)*RATES!$N770/100</f>
        <v>917.625</v>
      </c>
      <c r="BZ794" s="16">
        <f t="shared" si="517"/>
        <v>-121560.10467767194</v>
      </c>
      <c r="CA794" s="15">
        <f t="shared" si="492"/>
        <v>22.170849845882874</v>
      </c>
      <c r="CB794" s="75">
        <f>CA794*(1-PARAM!$C$27)*$I$22+(MOD($B794,60)=PARAM!$B$56)*($B794&gt;(60-PARAM!$B$56))*HLOOKUP(($B794+PARAM!$B$56)/12,Loyalty,2)*$F$1*MAX(CD793,0)</f>
        <v>18.557001321003963</v>
      </c>
      <c r="CC794" s="75">
        <f>PARAM!$C$26+MAX($G$22-CHOOSE(PARAM!$B$44,MAX(0,CD793*$F$1),0),0)*RATES!$L770/12+$H$22*(PARAM!$D$51/12)*RATES!$N770/100</f>
        <v>917.625</v>
      </c>
      <c r="CD794" s="16">
        <f t="shared" si="518"/>
        <v>-121560.10467767194</v>
      </c>
      <c r="CE794" s="33">
        <f>IF(0=MOD(B794,12/PARAM!$D$51),1,0)</f>
        <v>1</v>
      </c>
      <c r="CF794" s="15">
        <f t="shared" si="493"/>
        <v>0</v>
      </c>
      <c r="CG794" s="75">
        <f>CF794*(1-PARAM!$C$27)*$R$3+(MOD($B794/12,5)=0)*($B794&gt;60)*HLOOKUP($B794/12,Loyalty,2)*$F$1*MAX(CI793,0)</f>
        <v>0</v>
      </c>
      <c r="CH794" s="75">
        <f>PARAM!$C$26+MAX($P$3-CHOOSE(PARAM!$B$44,MAX(0,CI793*$F$1),0),0)*RATES!$L770/12+$Q$3*(PARAM!$D$51/12)*RATES!$N770/100</f>
        <v>917.625</v>
      </c>
      <c r="CI794" s="16">
        <f>IF(CI793&gt;0,CI793*PARAM!$C$53,CI793)+CG794-CH794</f>
        <v>-135673.75000000017</v>
      </c>
      <c r="CJ794" s="15">
        <f t="shared" si="519"/>
        <v>0</v>
      </c>
      <c r="CK794" s="75">
        <f>CJ794*(1-PARAM!$C$27)*$R$4+(MOD($B794/12,5)=0)*($B794&gt;60)*HLOOKUP($B794/12,Loyalty,2)*$F$1*MAX(CM793,0)</f>
        <v>0</v>
      </c>
      <c r="CL794" s="75">
        <f>PARAM!$C$26+MAX($P$4-CHOOSE(PARAM!$B$44,MAX(0,CM793*$F$1),0),0)*RATES!$L770/12+$Q$4*(PARAM!$D$51/12)*RATES!$N770/100</f>
        <v>917.625</v>
      </c>
      <c r="CM794" s="16">
        <f>IF(CM793&gt;0,CM793*PARAM!$C$53,CM793)+CK794-CL794</f>
        <v>-135673.75000000017</v>
      </c>
      <c r="CO794" s="176"/>
    </row>
    <row r="795" spans="1:93" x14ac:dyDescent="0.2">
      <c r="A795" t="b">
        <f t="shared" si="494"/>
        <v>0</v>
      </c>
      <c r="B795" s="33">
        <v>768</v>
      </c>
      <c r="C795" s="15">
        <f t="shared" si="495"/>
        <v>20.081305947392778</v>
      </c>
      <c r="D795" s="75">
        <f>C795*(1-PARAM!$C$27)*$I$3+(MOD($B795,60)=PARAM!$B$56)*($B795&gt;(60-PARAM!$B$56))*HLOOKUP(($B795+PARAM!$B$56)/12,Loyalty,2)*$F$1*MAX(F794,0)</f>
        <v>16.808053077967756</v>
      </c>
      <c r="E795" s="75">
        <f>PARAM!$C$26+MAX($G$3-CHOOSE(PARAM!$B$44,MAX(0,F794*$F$1),0),0)*RATES!$L771/12+$H$3*(PARAM!$D$51/12)*RATES!$N771/100</f>
        <v>917.625</v>
      </c>
      <c r="F795" s="16">
        <f t="shared" si="496"/>
        <v>-123839.21542752434</v>
      </c>
      <c r="G795" s="15">
        <f t="shared" si="497"/>
        <v>22.035289406060361</v>
      </c>
      <c r="H795" s="75">
        <f>G795*(1-PARAM!$C$27)*$I$4+(MOD($B795,60)=PARAM!$B$56)*($B795&gt;(60-PARAM!$B$56))*HLOOKUP(($B795+PARAM!$B$56)/12,Loyalty,2)*$F$1*MAX(J794,0)</f>
        <v>18.443537232872522</v>
      </c>
      <c r="I795" s="75">
        <f>PARAM!$C$26+MAX($G$4-CHOOSE(PARAM!$B$44,MAX(0,J794*$F$1),0),0)*RATES!$L771/12+$H$4*(PARAM!$D$51/12)*RATES!$N771/100</f>
        <v>917.625</v>
      </c>
      <c r="J795" s="16">
        <f t="shared" si="498"/>
        <v>-122549.33063243578</v>
      </c>
      <c r="K795" s="15">
        <f t="shared" si="499"/>
        <v>22.170849845882874</v>
      </c>
      <c r="L795" s="75">
        <f>K795*(1-PARAM!$C$27)*$I$5+(MOD($B795,60)=PARAM!$B$56)*($B795&gt;(60-PARAM!$B$56))*HLOOKUP(($B795+PARAM!$B$56)/12,Loyalty,2)*$F$1*MAX(N794,0)</f>
        <v>18.557001321003963</v>
      </c>
      <c r="M795" s="75">
        <f>PARAM!$C$26+MAX($G$5-CHOOSE(PARAM!$B$44,MAX(0,N794*$F$1),0),0)*RATES!$L771/12+$H$5*(PARAM!$D$51/12)*RATES!$N771/100</f>
        <v>917.625</v>
      </c>
      <c r="N795" s="16">
        <f t="shared" si="500"/>
        <v>-122459.17267635094</v>
      </c>
      <c r="O795" s="15">
        <f t="shared" si="501"/>
        <v>22.170849845882874</v>
      </c>
      <c r="P795" s="75">
        <f>O795*(1-PARAM!$C$27)*$I$6+(MOD($B795,60)=PARAM!$B$56)*($B795&gt;(60-PARAM!$B$56))*HLOOKUP(($B795+PARAM!$B$56)/12,Loyalty,2)*$F$1*MAX(R794,0)</f>
        <v>18.557001321003963</v>
      </c>
      <c r="Q795" s="75">
        <f>PARAM!$C$26+MAX($G$6-CHOOSE(PARAM!$B$44,MAX(0,R794*$F$1),0),0)*RATES!$L771/12+$H$6*(PARAM!$D$51/12)*RATES!$N771/100</f>
        <v>917.625</v>
      </c>
      <c r="R795" s="16">
        <f t="shared" si="502"/>
        <v>-122459.17267635094</v>
      </c>
      <c r="S795" s="15">
        <f t="shared" ref="S795:S858" si="520">$H$7*$CE795</f>
        <v>22.170849845882874</v>
      </c>
      <c r="T795" s="75">
        <f>S795*(1-PARAM!$C$27)*$I$7+(MOD($B795,60)=PARAM!$B$56)*($B795&gt;(60-PARAM!$B$56))*HLOOKUP(($B795+PARAM!$B$56)/12,Loyalty,2)*$F$1*MAX(V794,0)</f>
        <v>18.557001321003963</v>
      </c>
      <c r="U795" s="75">
        <f>PARAM!$C$26+MAX($G$7-CHOOSE(PARAM!$B$44,MAX(0,V794*$F$1),0),0)*RATES!$L771/12+$H$7*(PARAM!$D$51/12)*RATES!$N771/100</f>
        <v>917.625</v>
      </c>
      <c r="V795" s="16">
        <f t="shared" si="503"/>
        <v>-122459.17267635094</v>
      </c>
      <c r="W795" s="15">
        <f t="shared" ref="W795:W858" si="521">$H$8*$CE795</f>
        <v>22.170849845882874</v>
      </c>
      <c r="X795" s="75">
        <f>W795*(1-PARAM!$C$27)*$I$8+(MOD($B795,60)=PARAM!$B$56)*($B795&gt;(60-PARAM!$B$56))*HLOOKUP(($B795+PARAM!$B$56)/12,Loyalty,2)*$F$1*MAX(Z794,0)</f>
        <v>18.557001321003963</v>
      </c>
      <c r="Y795" s="75">
        <f>PARAM!$C$26+MAX($G$8-CHOOSE(PARAM!$B$44,MAX(0,Z794*$F$1),0),0)*RATES!$L771/12+$H$8*(PARAM!$D$51/12)*RATES!$N771/100</f>
        <v>917.625</v>
      </c>
      <c r="Z795" s="16">
        <f t="shared" si="504"/>
        <v>-122459.17267635094</v>
      </c>
      <c r="AA795" s="15">
        <f t="shared" ref="AA795:AA858" si="522">$H$9*$CE795</f>
        <v>22.170849845882874</v>
      </c>
      <c r="AB795" s="75">
        <f>AA795*(1-PARAM!$C$27)*$I$9+(MOD($B795,60)=PARAM!$B$56)*($B795&gt;(60-PARAM!$B$56))*HLOOKUP(($B795+PARAM!$B$56)/12,Loyalty,2)*$F$1*MAX(AD794,0)</f>
        <v>18.557001321003963</v>
      </c>
      <c r="AC795" s="75">
        <f>PARAM!$C$26+MAX($G$9-CHOOSE(PARAM!$B$44,MAX(0,AD794*$F$1),0),0)*RATES!$L771/12+$H$9*(PARAM!$D$51/12)*RATES!$N771/100</f>
        <v>917.625</v>
      </c>
      <c r="AD795" s="16">
        <f t="shared" si="505"/>
        <v>-122459.17267635094</v>
      </c>
      <c r="AE795" s="15">
        <f t="shared" ref="AE795:AE858" si="523">$H$10*$CE795</f>
        <v>22.170849845882874</v>
      </c>
      <c r="AF795" s="75">
        <f>AE795*(1-PARAM!$C$27)*$I$10+(MOD($B795,60)=PARAM!$B$56)*($B795&gt;(60-PARAM!$B$56))*HLOOKUP(($B795+PARAM!$B$56)/12,Loyalty,2)*$F$1*MAX(AH794,0)</f>
        <v>18.557001321003963</v>
      </c>
      <c r="AG795" s="75">
        <f>PARAM!$C$26+MAX($G$10-CHOOSE(PARAM!$B$44,MAX(0,AH794*$F$1),0),0)*RATES!$L771/12+$H$10*(PARAM!$D$51/12)*RATES!$N771/100</f>
        <v>917.625</v>
      </c>
      <c r="AH795" s="16">
        <f t="shared" si="506"/>
        <v>-122459.17267635094</v>
      </c>
      <c r="AI795" s="15">
        <f t="shared" ref="AI795:AI858" si="524">$H$11*$CE795</f>
        <v>22.170849845882874</v>
      </c>
      <c r="AJ795" s="75">
        <f>AI795*(1-PARAM!$C$27)*$I$11+(MOD($B795,60)=PARAM!$B$56)*($B795&gt;(60-PARAM!$B$56))*HLOOKUP(($B795+PARAM!$B$56)/12,Loyalty,2)*$F$1*MAX(AL794,0)</f>
        <v>18.557001321003963</v>
      </c>
      <c r="AK795" s="75">
        <f>PARAM!$C$26+MAX($G$11-CHOOSE(PARAM!$B$44,MAX(0,AL794*$F$1),0),0)*RATES!$L771/12+$H$11*(PARAM!$D$51/12)*RATES!$N771/100</f>
        <v>917.625</v>
      </c>
      <c r="AL795" s="16">
        <f t="shared" si="507"/>
        <v>-122459.17267635094</v>
      </c>
      <c r="AM795" s="15">
        <f t="shared" ref="AM795:AM858" si="525">$H$12*$CE795</f>
        <v>22.170849845882874</v>
      </c>
      <c r="AN795" s="75">
        <f>AM795*(1-PARAM!$C$27)*$I$12+(MOD($B795,60)=PARAM!$B$56)*($B795&gt;(60-PARAM!$B$56))*HLOOKUP(($B795+PARAM!$B$56)/12,Loyalty,2)*$F$1*MAX(AP794,0)</f>
        <v>18.557001321003963</v>
      </c>
      <c r="AO795" s="75">
        <f>PARAM!$C$26+MAX($G$12-CHOOSE(PARAM!$B$44,MAX(0,AP794*$F$1),0),0)*RATES!$L771/12+$H$12*(PARAM!$D$51/12)*RATES!$N771/100</f>
        <v>917.625</v>
      </c>
      <c r="AP795" s="16">
        <f t="shared" si="508"/>
        <v>-122459.17267635094</v>
      </c>
      <c r="AQ795" s="15">
        <f t="shared" ref="AQ795:AQ858" si="526">$H$13*$CE795</f>
        <v>22.170849845882874</v>
      </c>
      <c r="AR795" s="75">
        <f>AQ795*(1-PARAM!$C$27)*$I$13+(MOD($B795,60)=PARAM!$B$56)*($B795&gt;(60-PARAM!$B$56))*HLOOKUP(($B795+PARAM!$B$56)/12,Loyalty,2)*$F$1*MAX(AT794,0)</f>
        <v>18.557001321003963</v>
      </c>
      <c r="AS795" s="75">
        <f>PARAM!$C$26+MAX($G$13-CHOOSE(PARAM!$B$44,MAX(0,AT794*$F$1),0),0)*RATES!$L771/12+$H$13*(PARAM!$D$51/12)*RATES!$N771/100</f>
        <v>917.625</v>
      </c>
      <c r="AT795" s="16">
        <f t="shared" si="509"/>
        <v>-122459.17267635094</v>
      </c>
      <c r="AU795" s="15">
        <f t="shared" ref="AU795:AU858" si="527">$H$14*$CE795</f>
        <v>22.170849845882874</v>
      </c>
      <c r="AV795" s="75">
        <f>AU795*(1-PARAM!$C$27)*$I$14+(MOD($B795,60)=PARAM!$B$56)*($B795&gt;(60-PARAM!$B$56))*HLOOKUP(($B795+PARAM!$B$56)/12,Loyalty,2)*$F$1*MAX(AX794,0)</f>
        <v>18.557001321003963</v>
      </c>
      <c r="AW795" s="75">
        <f>PARAM!$C$26+MAX($G$14-CHOOSE(PARAM!$B$44,MAX(0,AX794*$F$1),0),0)*RATES!$L771/12+$H$14*(PARAM!$D$51/12)*RATES!$N771/100</f>
        <v>917.625</v>
      </c>
      <c r="AX795" s="16">
        <f t="shared" si="510"/>
        <v>-122459.17267635094</v>
      </c>
      <c r="AY795" s="15">
        <f t="shared" ref="AY795:AY858" si="528">$H$15*$CE795</f>
        <v>22.170849845882874</v>
      </c>
      <c r="AZ795" s="75">
        <f>AY795*(1-PARAM!$C$27)*$I$15+(MOD($B795,60)=PARAM!$B$56)*($B795&gt;(60-PARAM!$B$56))*HLOOKUP(($B795+PARAM!$B$56)/12,Loyalty,2)*$F$1*MAX(BB794,0)</f>
        <v>18.557001321003963</v>
      </c>
      <c r="BA795" s="75">
        <f>PARAM!$C$26+MAX($G$15-CHOOSE(PARAM!$B$44,MAX(0,BB794*$F$1),0),0)*RATES!$L771/12+$H$15*(PARAM!$D$51/12)*RATES!$N771/100</f>
        <v>917.625</v>
      </c>
      <c r="BB795" s="16">
        <f t="shared" si="511"/>
        <v>-122459.17267635094</v>
      </c>
      <c r="BC795" s="15">
        <f t="shared" ref="BC795:BC858" si="529">$H$16*$CE795</f>
        <v>22.170849845882874</v>
      </c>
      <c r="BD795" s="75">
        <f>BC795*(1-PARAM!$C$27)*$I$16+(MOD($B795,60)=PARAM!$B$56)*($B795&gt;(60-PARAM!$B$56))*HLOOKUP(($B795+PARAM!$B$56)/12,Loyalty,2)*$F$1*MAX(BF794,0)</f>
        <v>18.557001321003963</v>
      </c>
      <c r="BE795" s="75">
        <f>PARAM!$C$26+MAX($G$16-CHOOSE(PARAM!$B$44,MAX(0,BF794*$F$1),0),0)*RATES!$L771/12+$H$16*(PARAM!$D$51/12)*RATES!$N771/100</f>
        <v>917.625</v>
      </c>
      <c r="BF795" s="16">
        <f t="shared" si="512"/>
        <v>-122459.17267635094</v>
      </c>
      <c r="BG795" s="15">
        <f t="shared" ref="BG795:BG858" si="530">$H$17*$CE795</f>
        <v>22.170849845882874</v>
      </c>
      <c r="BH795" s="75">
        <f>BG795*(1-PARAM!$C$27)*$I$17+(MOD($B795,60)=PARAM!$B$56)*($B795&gt;(60-PARAM!$B$56))*HLOOKUP(($B795+PARAM!$B$56)/12,Loyalty,2)*$F$1*MAX(BJ794,0)</f>
        <v>18.557001321003963</v>
      </c>
      <c r="BI795" s="75">
        <f>PARAM!$C$26+MAX($G$17-CHOOSE(PARAM!$B$44,MAX(0,BJ794*$F$1),0),0)*RATES!$L771/12+$H$17*(PARAM!$D$51/12)*RATES!$N771/100</f>
        <v>917.625</v>
      </c>
      <c r="BJ795" s="16">
        <f t="shared" si="513"/>
        <v>-122459.17267635094</v>
      </c>
      <c r="BK795" s="15">
        <f t="shared" ref="BK795:BK858" si="531">$H$18*$CE795</f>
        <v>22.170849845882874</v>
      </c>
      <c r="BL795" s="75">
        <f>BK795*(1-PARAM!$C$27)*$I$18+(MOD($B795,60)=PARAM!$B$56)*($B795&gt;(60-PARAM!$B$56))*HLOOKUP(($B795+PARAM!$B$56)/12,Loyalty,2)*$F$1*MAX(BN794,0)</f>
        <v>18.557001321003963</v>
      </c>
      <c r="BM795" s="75">
        <f>PARAM!$C$26+MAX($G$18-CHOOSE(PARAM!$B$44,MAX(0,BN794*$F$1),0),0)*RATES!$L771/12+$H$18*(PARAM!$D$51/12)*RATES!$N771/100</f>
        <v>917.625</v>
      </c>
      <c r="BN795" s="16">
        <f t="shared" si="514"/>
        <v>-122459.17267635094</v>
      </c>
      <c r="BO795" s="15">
        <f t="shared" ref="BO795:BO858" si="532">$H$19*$CE795</f>
        <v>22.170849845882874</v>
      </c>
      <c r="BP795" s="75">
        <f>BO795*(1-PARAM!$C$27)*$I$19+(MOD($B795,60)=PARAM!$B$56)*($B795&gt;(60-PARAM!$B$56))*HLOOKUP(($B795+PARAM!$B$56)/12,Loyalty,2)*$F$1*MAX(BR794,0)</f>
        <v>18.557001321003963</v>
      </c>
      <c r="BQ795" s="75">
        <f>PARAM!$C$26+MAX($G$19-CHOOSE(PARAM!$B$44,MAX(0,BR794*$F$1),0),0)*RATES!$L771/12+$H$19*(PARAM!$D$51/12)*RATES!$N771/100</f>
        <v>917.625</v>
      </c>
      <c r="BR795" s="16">
        <f t="shared" si="515"/>
        <v>-122459.17267635094</v>
      </c>
      <c r="BS795" s="15">
        <f t="shared" ref="BS795:BS858" si="533">$H$20*$CE795</f>
        <v>22.170849845882874</v>
      </c>
      <c r="BT795" s="75">
        <f>BS795*(1-PARAM!$C$27)*$I$20+(MOD($B795,60)=PARAM!$B$56)*($B795&gt;(60-PARAM!$B$56))*HLOOKUP(($B795+PARAM!$B$56)/12,Loyalty,2)*$F$1*MAX(BV794,0)</f>
        <v>18.557001321003963</v>
      </c>
      <c r="BU795" s="75">
        <f>PARAM!$C$26+MAX($G$20-CHOOSE(PARAM!$B$44,MAX(0,BV794*$F$1),0),0)*RATES!$L771/12+$H$20*(PARAM!$D$51/12)*RATES!$N771/100</f>
        <v>917.625</v>
      </c>
      <c r="BV795" s="16">
        <f t="shared" si="516"/>
        <v>-122459.17267635094</v>
      </c>
      <c r="BW795" s="15">
        <f t="shared" ref="BW795:BW858" si="534">$H$21*$CE795</f>
        <v>22.170849845882874</v>
      </c>
      <c r="BX795" s="75">
        <f>BW795*(1-PARAM!$C$27)*$I$21+(MOD($B795,60)=PARAM!$B$56)*($B795&gt;(60-PARAM!$B$56))*HLOOKUP(($B795+PARAM!$B$56)/12,Loyalty,2)*$F$1*MAX(BZ794,0)</f>
        <v>18.557001321003963</v>
      </c>
      <c r="BY795" s="75">
        <f>PARAM!$C$26+MAX($G$21-CHOOSE(PARAM!$B$44,MAX(0,BZ794*$F$1),0),0)*RATES!$L771/12+$H$21*(PARAM!$D$51/12)*RATES!$N771/100</f>
        <v>917.625</v>
      </c>
      <c r="BZ795" s="16">
        <f t="shared" si="517"/>
        <v>-122459.17267635094</v>
      </c>
      <c r="CA795" s="15">
        <f t="shared" ref="CA795:CA858" si="535">$H$22*$CE795</f>
        <v>22.170849845882874</v>
      </c>
      <c r="CB795" s="75">
        <f>CA795*(1-PARAM!$C$27)*$I$22+(MOD($B795,60)=PARAM!$B$56)*($B795&gt;(60-PARAM!$B$56))*HLOOKUP(($B795+PARAM!$B$56)/12,Loyalty,2)*$F$1*MAX(CD794,0)</f>
        <v>18.557001321003963</v>
      </c>
      <c r="CC795" s="75">
        <f>PARAM!$C$26+MAX($G$22-CHOOSE(PARAM!$B$44,MAX(0,CD794*$F$1),0),0)*RATES!$L771/12+$H$22*(PARAM!$D$51/12)*RATES!$N771/100</f>
        <v>917.625</v>
      </c>
      <c r="CD795" s="16">
        <f t="shared" si="518"/>
        <v>-122459.17267635094</v>
      </c>
      <c r="CE795" s="33">
        <f>IF(0=MOD(B795,12/PARAM!$D$51),1,0)</f>
        <v>1</v>
      </c>
      <c r="CF795" s="15">
        <f t="shared" ref="CF795:CF858" si="536">$Q$3*CE795</f>
        <v>0</v>
      </c>
      <c r="CG795" s="75">
        <f>CF795*(1-PARAM!$C$27)*$R$3+(MOD($B795/12,5)=0)*($B795&gt;60)*HLOOKUP($B795/12,Loyalty,2)*$F$1*MAX(CI794,0)</f>
        <v>0</v>
      </c>
      <c r="CH795" s="75">
        <f>PARAM!$C$26+MAX($P$3-CHOOSE(PARAM!$B$44,MAX(0,CI794*$F$1),0),0)*RATES!$L771/12+$Q$3*(PARAM!$D$51/12)*RATES!$N771/100</f>
        <v>917.625</v>
      </c>
      <c r="CI795" s="16">
        <f>IF(CI794&gt;0,CI794*PARAM!$C$53,CI794)+CG795-CH795</f>
        <v>-136591.37500000017</v>
      </c>
      <c r="CJ795" s="15">
        <f t="shared" si="519"/>
        <v>0</v>
      </c>
      <c r="CK795" s="75">
        <f>CJ795*(1-PARAM!$C$27)*$R$4+(MOD($B795/12,5)=0)*($B795&gt;60)*HLOOKUP($B795/12,Loyalty,2)*$F$1*MAX(CM794,0)</f>
        <v>0</v>
      </c>
      <c r="CL795" s="75">
        <f>PARAM!$C$26+MAX($P$4-CHOOSE(PARAM!$B$44,MAX(0,CM794*$F$1),0),0)*RATES!$L771/12+$Q$4*(PARAM!$D$51/12)*RATES!$N771/100</f>
        <v>917.625</v>
      </c>
      <c r="CM795" s="16">
        <f>IF(CM794&gt;0,CM794*PARAM!$C$53,CM794)+CK795-CL795</f>
        <v>-136591.37500000017</v>
      </c>
      <c r="CO795" s="176"/>
    </row>
    <row r="796" spans="1:93" x14ac:dyDescent="0.2">
      <c r="A796" t="b">
        <f t="shared" ref="A796:A859" si="537">F796&gt;0</f>
        <v>0</v>
      </c>
      <c r="B796" s="33">
        <v>769</v>
      </c>
      <c r="C796" s="15">
        <f t="shared" ref="C796:C859" si="538">$H$3*$CE796</f>
        <v>20.081305947392778</v>
      </c>
      <c r="D796" s="75">
        <f>C796*(1-PARAM!$C$27)*$I$3+(MOD($B796,60)=PARAM!$B$56)*($B796&gt;(60-PARAM!$B$56))*HLOOKUP(($B796+PARAM!$B$56)/12,Loyalty,2)*$F$1*MAX(F795,0)</f>
        <v>16.808053077967756</v>
      </c>
      <c r="E796" s="75">
        <f>PARAM!$C$26+MAX($G$3-CHOOSE(PARAM!$B$44,MAX(0,F795*$F$1),0),0)*RATES!$L772/12+$H$3*(PARAM!$D$51/12)*RATES!$N772/100</f>
        <v>917.625</v>
      </c>
      <c r="F796" s="16">
        <f t="shared" ref="F796:F859" si="539">IF(F795&gt;0,F795*$F$1,F795)+D796-E796</f>
        <v>-124740.03237444637</v>
      </c>
      <c r="G796" s="15">
        <f t="shared" ref="G796:G859" si="540">$H$4*$CE796</f>
        <v>22.035289406060361</v>
      </c>
      <c r="H796" s="75">
        <f>G796*(1-PARAM!$C$27)*$I$4+(MOD($B796,60)=PARAM!$B$56)*($B796&gt;(60-PARAM!$B$56))*HLOOKUP(($B796+PARAM!$B$56)/12,Loyalty,2)*$F$1*MAX(J795,0)</f>
        <v>18.443537232872522</v>
      </c>
      <c r="I796" s="75">
        <f>PARAM!$C$26+MAX($G$4-CHOOSE(PARAM!$B$44,MAX(0,J795*$F$1),0),0)*RATES!$L772/12+$H$4*(PARAM!$D$51/12)*RATES!$N772/100</f>
        <v>917.625</v>
      </c>
      <c r="J796" s="16">
        <f t="shared" ref="J796:J859" si="541">IF(J795&gt;0,J795*$F$1,J795)+H796-I796</f>
        <v>-123448.51209520291</v>
      </c>
      <c r="K796" s="15">
        <f t="shared" ref="K796:K859" si="542">$H$5*$CE796</f>
        <v>22.170849845882874</v>
      </c>
      <c r="L796" s="75">
        <f>K796*(1-PARAM!$C$27)*$I$5+(MOD($B796,60)=PARAM!$B$56)*($B796&gt;(60-PARAM!$B$56))*HLOOKUP(($B796+PARAM!$B$56)/12,Loyalty,2)*$F$1*MAX(N795,0)</f>
        <v>18.557001321003963</v>
      </c>
      <c r="M796" s="75">
        <f>PARAM!$C$26+MAX($G$5-CHOOSE(PARAM!$B$44,MAX(0,N795*$F$1),0),0)*RATES!$L772/12+$H$5*(PARAM!$D$51/12)*RATES!$N772/100</f>
        <v>917.625</v>
      </c>
      <c r="N796" s="16">
        <f t="shared" ref="N796:N859" si="543">IF(N795&gt;0,N795*$F$1,N795)+L796-M796</f>
        <v>-123358.24067502993</v>
      </c>
      <c r="O796" s="15">
        <f t="shared" ref="O796:O859" si="544">$H$6*$CE796</f>
        <v>22.170849845882874</v>
      </c>
      <c r="P796" s="75">
        <f>O796*(1-PARAM!$C$27)*$I$6+(MOD($B796,60)=PARAM!$B$56)*($B796&gt;(60-PARAM!$B$56))*HLOOKUP(($B796+PARAM!$B$56)/12,Loyalty,2)*$F$1*MAX(R795,0)</f>
        <v>18.557001321003963</v>
      </c>
      <c r="Q796" s="75">
        <f>PARAM!$C$26+MAX($G$6-CHOOSE(PARAM!$B$44,MAX(0,R795*$F$1),0),0)*RATES!$L772/12+$H$6*(PARAM!$D$51/12)*RATES!$N772/100</f>
        <v>917.625</v>
      </c>
      <c r="R796" s="16">
        <f t="shared" ref="R796:R859" si="545">IF(R795&gt;0,R795*$F$1,R795)+P796-Q796</f>
        <v>-123358.24067502993</v>
      </c>
      <c r="S796" s="15">
        <f t="shared" si="520"/>
        <v>22.170849845882874</v>
      </c>
      <c r="T796" s="75">
        <f>S796*(1-PARAM!$C$27)*$I$7+(MOD($B796,60)=PARAM!$B$56)*($B796&gt;(60-PARAM!$B$56))*HLOOKUP(($B796+PARAM!$B$56)/12,Loyalty,2)*$F$1*MAX(V795,0)</f>
        <v>18.557001321003963</v>
      </c>
      <c r="U796" s="75">
        <f>PARAM!$C$26+MAX($G$7-CHOOSE(PARAM!$B$44,MAX(0,V795*$F$1),0),0)*RATES!$L772/12+$H$7*(PARAM!$D$51/12)*RATES!$N772/100</f>
        <v>917.625</v>
      </c>
      <c r="V796" s="16">
        <f t="shared" ref="V796:V859" si="546">IF(V795&gt;0,V795*$F$1,V795)+T796-U796</f>
        <v>-123358.24067502993</v>
      </c>
      <c r="W796" s="15">
        <f t="shared" si="521"/>
        <v>22.170849845882874</v>
      </c>
      <c r="X796" s="75">
        <f>W796*(1-PARAM!$C$27)*$I$8+(MOD($B796,60)=PARAM!$B$56)*($B796&gt;(60-PARAM!$B$56))*HLOOKUP(($B796+PARAM!$B$56)/12,Loyalty,2)*$F$1*MAX(Z795,0)</f>
        <v>18.557001321003963</v>
      </c>
      <c r="Y796" s="75">
        <f>PARAM!$C$26+MAX($G$8-CHOOSE(PARAM!$B$44,MAX(0,Z795*$F$1),0),0)*RATES!$L772/12+$H$8*(PARAM!$D$51/12)*RATES!$N772/100</f>
        <v>917.625</v>
      </c>
      <c r="Z796" s="16">
        <f t="shared" ref="Z796:Z859" si="547">IF(Z795&gt;0,Z795*$F$1,Z795)+X796-Y796</f>
        <v>-123358.24067502993</v>
      </c>
      <c r="AA796" s="15">
        <f t="shared" si="522"/>
        <v>22.170849845882874</v>
      </c>
      <c r="AB796" s="75">
        <f>AA796*(1-PARAM!$C$27)*$I$9+(MOD($B796,60)=PARAM!$B$56)*($B796&gt;(60-PARAM!$B$56))*HLOOKUP(($B796+PARAM!$B$56)/12,Loyalty,2)*$F$1*MAX(AD795,0)</f>
        <v>18.557001321003963</v>
      </c>
      <c r="AC796" s="75">
        <f>PARAM!$C$26+MAX($G$9-CHOOSE(PARAM!$B$44,MAX(0,AD795*$F$1),0),0)*RATES!$L772/12+$H$9*(PARAM!$D$51/12)*RATES!$N772/100</f>
        <v>917.625</v>
      </c>
      <c r="AD796" s="16">
        <f t="shared" ref="AD796:AD859" si="548">IF(AD795&gt;0,AD795*$F$1,AD795)+AB796-AC796</f>
        <v>-123358.24067502993</v>
      </c>
      <c r="AE796" s="15">
        <f t="shared" si="523"/>
        <v>22.170849845882874</v>
      </c>
      <c r="AF796" s="75">
        <f>AE796*(1-PARAM!$C$27)*$I$10+(MOD($B796,60)=PARAM!$B$56)*($B796&gt;(60-PARAM!$B$56))*HLOOKUP(($B796+PARAM!$B$56)/12,Loyalty,2)*$F$1*MAX(AH795,0)</f>
        <v>18.557001321003963</v>
      </c>
      <c r="AG796" s="75">
        <f>PARAM!$C$26+MAX($G$10-CHOOSE(PARAM!$B$44,MAX(0,AH795*$F$1),0),0)*RATES!$L772/12+$H$10*(PARAM!$D$51/12)*RATES!$N772/100</f>
        <v>917.625</v>
      </c>
      <c r="AH796" s="16">
        <f t="shared" ref="AH796:AH859" si="549">IF(AH795&gt;0,AH795*$F$1,AH795)+AF796-AG796</f>
        <v>-123358.24067502993</v>
      </c>
      <c r="AI796" s="15">
        <f t="shared" si="524"/>
        <v>22.170849845882874</v>
      </c>
      <c r="AJ796" s="75">
        <f>AI796*(1-PARAM!$C$27)*$I$11+(MOD($B796,60)=PARAM!$B$56)*($B796&gt;(60-PARAM!$B$56))*HLOOKUP(($B796+PARAM!$B$56)/12,Loyalty,2)*$F$1*MAX(AL795,0)</f>
        <v>18.557001321003963</v>
      </c>
      <c r="AK796" s="75">
        <f>PARAM!$C$26+MAX($G$11-CHOOSE(PARAM!$B$44,MAX(0,AL795*$F$1),0),0)*RATES!$L772/12+$H$11*(PARAM!$D$51/12)*RATES!$N772/100</f>
        <v>917.625</v>
      </c>
      <c r="AL796" s="16">
        <f t="shared" ref="AL796:AL859" si="550">IF(AL795&gt;0,AL795*$F$1,AL795)+AJ796-AK796</f>
        <v>-123358.24067502993</v>
      </c>
      <c r="AM796" s="15">
        <f t="shared" si="525"/>
        <v>22.170849845882874</v>
      </c>
      <c r="AN796" s="75">
        <f>AM796*(1-PARAM!$C$27)*$I$12+(MOD($B796,60)=PARAM!$B$56)*($B796&gt;(60-PARAM!$B$56))*HLOOKUP(($B796+PARAM!$B$56)/12,Loyalty,2)*$F$1*MAX(AP795,0)</f>
        <v>18.557001321003963</v>
      </c>
      <c r="AO796" s="75">
        <f>PARAM!$C$26+MAX($G$12-CHOOSE(PARAM!$B$44,MAX(0,AP795*$F$1),0),0)*RATES!$L772/12+$H$12*(PARAM!$D$51/12)*RATES!$N772/100</f>
        <v>917.625</v>
      </c>
      <c r="AP796" s="16">
        <f t="shared" ref="AP796:AP859" si="551">IF(AP795&gt;0,AP795*$F$1,AP795)+AN796-AO796</f>
        <v>-123358.24067502993</v>
      </c>
      <c r="AQ796" s="15">
        <f t="shared" si="526"/>
        <v>22.170849845882874</v>
      </c>
      <c r="AR796" s="75">
        <f>AQ796*(1-PARAM!$C$27)*$I$13+(MOD($B796,60)=PARAM!$B$56)*($B796&gt;(60-PARAM!$B$56))*HLOOKUP(($B796+PARAM!$B$56)/12,Loyalty,2)*$F$1*MAX(AT795,0)</f>
        <v>18.557001321003963</v>
      </c>
      <c r="AS796" s="75">
        <f>PARAM!$C$26+MAX($G$13-CHOOSE(PARAM!$B$44,MAX(0,AT795*$F$1),0),0)*RATES!$L772/12+$H$13*(PARAM!$D$51/12)*RATES!$N772/100</f>
        <v>917.625</v>
      </c>
      <c r="AT796" s="16">
        <f t="shared" ref="AT796:AT859" si="552">IF(AT795&gt;0,AT795*$F$1,AT795)+AR796-AS796</f>
        <v>-123358.24067502993</v>
      </c>
      <c r="AU796" s="15">
        <f t="shared" si="527"/>
        <v>22.170849845882874</v>
      </c>
      <c r="AV796" s="75">
        <f>AU796*(1-PARAM!$C$27)*$I$14+(MOD($B796,60)=PARAM!$B$56)*($B796&gt;(60-PARAM!$B$56))*HLOOKUP(($B796+PARAM!$B$56)/12,Loyalty,2)*$F$1*MAX(AX795,0)</f>
        <v>18.557001321003963</v>
      </c>
      <c r="AW796" s="75">
        <f>PARAM!$C$26+MAX($G$14-CHOOSE(PARAM!$B$44,MAX(0,AX795*$F$1),0),0)*RATES!$L772/12+$H$14*(PARAM!$D$51/12)*RATES!$N772/100</f>
        <v>917.625</v>
      </c>
      <c r="AX796" s="16">
        <f t="shared" ref="AX796:AX859" si="553">IF(AX795&gt;0,AX795*$F$1,AX795)+AV796-AW796</f>
        <v>-123358.24067502993</v>
      </c>
      <c r="AY796" s="15">
        <f t="shared" si="528"/>
        <v>22.170849845882874</v>
      </c>
      <c r="AZ796" s="75">
        <f>AY796*(1-PARAM!$C$27)*$I$15+(MOD($B796,60)=PARAM!$B$56)*($B796&gt;(60-PARAM!$B$56))*HLOOKUP(($B796+PARAM!$B$56)/12,Loyalty,2)*$F$1*MAX(BB795,0)</f>
        <v>18.557001321003963</v>
      </c>
      <c r="BA796" s="75">
        <f>PARAM!$C$26+MAX($G$15-CHOOSE(PARAM!$B$44,MAX(0,BB795*$F$1),0),0)*RATES!$L772/12+$H$15*(PARAM!$D$51/12)*RATES!$N772/100</f>
        <v>917.625</v>
      </c>
      <c r="BB796" s="16">
        <f t="shared" ref="BB796:BB859" si="554">IF(BB795&gt;0,BB795*$F$1,BB795)+AZ796-BA796</f>
        <v>-123358.24067502993</v>
      </c>
      <c r="BC796" s="15">
        <f t="shared" si="529"/>
        <v>22.170849845882874</v>
      </c>
      <c r="BD796" s="75">
        <f>BC796*(1-PARAM!$C$27)*$I$16+(MOD($B796,60)=PARAM!$B$56)*($B796&gt;(60-PARAM!$B$56))*HLOOKUP(($B796+PARAM!$B$56)/12,Loyalty,2)*$F$1*MAX(BF795,0)</f>
        <v>18.557001321003963</v>
      </c>
      <c r="BE796" s="75">
        <f>PARAM!$C$26+MAX($G$16-CHOOSE(PARAM!$B$44,MAX(0,BF795*$F$1),0),0)*RATES!$L772/12+$H$16*(PARAM!$D$51/12)*RATES!$N772/100</f>
        <v>917.625</v>
      </c>
      <c r="BF796" s="16">
        <f t="shared" ref="BF796:BF859" si="555">IF(BF795&gt;0,BF795*$F$1,BF795)+BD796-BE796</f>
        <v>-123358.24067502993</v>
      </c>
      <c r="BG796" s="15">
        <f t="shared" si="530"/>
        <v>22.170849845882874</v>
      </c>
      <c r="BH796" s="75">
        <f>BG796*(1-PARAM!$C$27)*$I$17+(MOD($B796,60)=PARAM!$B$56)*($B796&gt;(60-PARAM!$B$56))*HLOOKUP(($B796+PARAM!$B$56)/12,Loyalty,2)*$F$1*MAX(BJ795,0)</f>
        <v>18.557001321003963</v>
      </c>
      <c r="BI796" s="75">
        <f>PARAM!$C$26+MAX($G$17-CHOOSE(PARAM!$B$44,MAX(0,BJ795*$F$1),0),0)*RATES!$L772/12+$H$17*(PARAM!$D$51/12)*RATES!$N772/100</f>
        <v>917.625</v>
      </c>
      <c r="BJ796" s="16">
        <f t="shared" ref="BJ796:BJ859" si="556">IF(BJ795&gt;0,BJ795*$F$1,BJ795)+BH796-BI796</f>
        <v>-123358.24067502993</v>
      </c>
      <c r="BK796" s="15">
        <f t="shared" si="531"/>
        <v>22.170849845882874</v>
      </c>
      <c r="BL796" s="75">
        <f>BK796*(1-PARAM!$C$27)*$I$18+(MOD($B796,60)=PARAM!$B$56)*($B796&gt;(60-PARAM!$B$56))*HLOOKUP(($B796+PARAM!$B$56)/12,Loyalty,2)*$F$1*MAX(BN795,0)</f>
        <v>18.557001321003963</v>
      </c>
      <c r="BM796" s="75">
        <f>PARAM!$C$26+MAX($G$18-CHOOSE(PARAM!$B$44,MAX(0,BN795*$F$1),0),0)*RATES!$L772/12+$H$18*(PARAM!$D$51/12)*RATES!$N772/100</f>
        <v>917.625</v>
      </c>
      <c r="BN796" s="16">
        <f t="shared" ref="BN796:BN859" si="557">IF(BN795&gt;0,BN795*$F$1,BN795)+BL796-BM796</f>
        <v>-123358.24067502993</v>
      </c>
      <c r="BO796" s="15">
        <f t="shared" si="532"/>
        <v>22.170849845882874</v>
      </c>
      <c r="BP796" s="75">
        <f>BO796*(1-PARAM!$C$27)*$I$19+(MOD($B796,60)=PARAM!$B$56)*($B796&gt;(60-PARAM!$B$56))*HLOOKUP(($B796+PARAM!$B$56)/12,Loyalty,2)*$F$1*MAX(BR795,0)</f>
        <v>18.557001321003963</v>
      </c>
      <c r="BQ796" s="75">
        <f>PARAM!$C$26+MAX($G$19-CHOOSE(PARAM!$B$44,MAX(0,BR795*$F$1),0),0)*RATES!$L772/12+$H$19*(PARAM!$D$51/12)*RATES!$N772/100</f>
        <v>917.625</v>
      </c>
      <c r="BR796" s="16">
        <f t="shared" ref="BR796:BR859" si="558">IF(BR795&gt;0,BR795*$F$1,BR795)+BP796-BQ796</f>
        <v>-123358.24067502993</v>
      </c>
      <c r="BS796" s="15">
        <f t="shared" si="533"/>
        <v>22.170849845882874</v>
      </c>
      <c r="BT796" s="75">
        <f>BS796*(1-PARAM!$C$27)*$I$20+(MOD($B796,60)=PARAM!$B$56)*($B796&gt;(60-PARAM!$B$56))*HLOOKUP(($B796+PARAM!$B$56)/12,Loyalty,2)*$F$1*MAX(BV795,0)</f>
        <v>18.557001321003963</v>
      </c>
      <c r="BU796" s="75">
        <f>PARAM!$C$26+MAX($G$20-CHOOSE(PARAM!$B$44,MAX(0,BV795*$F$1),0),0)*RATES!$L772/12+$H$20*(PARAM!$D$51/12)*RATES!$N772/100</f>
        <v>917.625</v>
      </c>
      <c r="BV796" s="16">
        <f t="shared" ref="BV796:BV859" si="559">IF(BV795&gt;0,BV795*$F$1,BV795)+BT796-BU796</f>
        <v>-123358.24067502993</v>
      </c>
      <c r="BW796" s="15">
        <f t="shared" si="534"/>
        <v>22.170849845882874</v>
      </c>
      <c r="BX796" s="75">
        <f>BW796*(1-PARAM!$C$27)*$I$21+(MOD($B796,60)=PARAM!$B$56)*($B796&gt;(60-PARAM!$B$56))*HLOOKUP(($B796+PARAM!$B$56)/12,Loyalty,2)*$F$1*MAX(BZ795,0)</f>
        <v>18.557001321003963</v>
      </c>
      <c r="BY796" s="75">
        <f>PARAM!$C$26+MAX($G$21-CHOOSE(PARAM!$B$44,MAX(0,BZ795*$F$1),0),0)*RATES!$L772/12+$H$21*(PARAM!$D$51/12)*RATES!$N772/100</f>
        <v>917.625</v>
      </c>
      <c r="BZ796" s="16">
        <f t="shared" ref="BZ796:BZ859" si="560">IF(BZ795&gt;0,BZ795*$F$1,BZ795)+BX796-BY796</f>
        <v>-123358.24067502993</v>
      </c>
      <c r="CA796" s="15">
        <f t="shared" si="535"/>
        <v>22.170849845882874</v>
      </c>
      <c r="CB796" s="75">
        <f>CA796*(1-PARAM!$C$27)*$I$22+(MOD($B796,60)=PARAM!$B$56)*($B796&gt;(60-PARAM!$B$56))*HLOOKUP(($B796+PARAM!$B$56)/12,Loyalty,2)*$F$1*MAX(CD795,0)</f>
        <v>18.557001321003963</v>
      </c>
      <c r="CC796" s="75">
        <f>PARAM!$C$26+MAX($G$22-CHOOSE(PARAM!$B$44,MAX(0,CD795*$F$1),0),0)*RATES!$L772/12+$H$22*(PARAM!$D$51/12)*RATES!$N772/100</f>
        <v>917.625</v>
      </c>
      <c r="CD796" s="16">
        <f t="shared" ref="CD796:CD859" si="561">IF(CD795&gt;0,CD795*$F$1,CD795)+CB796-CC796</f>
        <v>-123358.24067502993</v>
      </c>
      <c r="CE796" s="33">
        <f>IF(0=MOD(B796,12/PARAM!$D$51),1,0)</f>
        <v>1</v>
      </c>
      <c r="CF796" s="15">
        <f t="shared" si="536"/>
        <v>0</v>
      </c>
      <c r="CG796" s="75">
        <f>CF796*(1-PARAM!$C$27)*$R$3+(MOD($B796/12,5)=0)*($B796&gt;60)*HLOOKUP($B796/12,Loyalty,2)*$F$1*MAX(CI795,0)</f>
        <v>0</v>
      </c>
      <c r="CH796" s="75">
        <f>PARAM!$C$26+MAX($P$3-CHOOSE(PARAM!$B$44,MAX(0,CI795*$F$1),0),0)*RATES!$L772/12+$Q$3*(PARAM!$D$51/12)*RATES!$N772/100</f>
        <v>917.625</v>
      </c>
      <c r="CI796" s="16">
        <f>IF(CI795&gt;0,CI795*PARAM!$C$53,CI795)+CG796-CH796</f>
        <v>-137509.00000000017</v>
      </c>
      <c r="CJ796" s="15">
        <f t="shared" ref="CJ796:CJ859" si="562">$Q$4*CE796</f>
        <v>0</v>
      </c>
      <c r="CK796" s="75">
        <f>CJ796*(1-PARAM!$C$27)*$R$4+(MOD($B796/12,5)=0)*($B796&gt;60)*HLOOKUP($B796/12,Loyalty,2)*$F$1*MAX(CM795,0)</f>
        <v>0</v>
      </c>
      <c r="CL796" s="75">
        <f>PARAM!$C$26+MAX($P$4-CHOOSE(PARAM!$B$44,MAX(0,CM795*$F$1),0),0)*RATES!$L772/12+$Q$4*(PARAM!$D$51/12)*RATES!$N772/100</f>
        <v>917.625</v>
      </c>
      <c r="CM796" s="16">
        <f>IF(CM795&gt;0,CM795*PARAM!$C$53,CM795)+CK796-CL796</f>
        <v>-137509.00000000017</v>
      </c>
      <c r="CO796" s="176"/>
    </row>
    <row r="797" spans="1:93" x14ac:dyDescent="0.2">
      <c r="A797" t="b">
        <f t="shared" si="537"/>
        <v>0</v>
      </c>
      <c r="B797" s="33">
        <v>770</v>
      </c>
      <c r="C797" s="15">
        <f t="shared" si="538"/>
        <v>20.081305947392778</v>
      </c>
      <c r="D797" s="75">
        <f>C797*(1-PARAM!$C$27)*$I$3+(MOD($B797,60)=PARAM!$B$56)*($B797&gt;(60-PARAM!$B$56))*HLOOKUP(($B797+PARAM!$B$56)/12,Loyalty,2)*$F$1*MAX(F796,0)</f>
        <v>16.808053077967756</v>
      </c>
      <c r="E797" s="75">
        <f>PARAM!$C$26+MAX($G$3-CHOOSE(PARAM!$B$44,MAX(0,F796*$F$1),0),0)*RATES!$L773/12+$H$3*(PARAM!$D$51/12)*RATES!$N773/100</f>
        <v>917.625</v>
      </c>
      <c r="F797" s="16">
        <f t="shared" si="539"/>
        <v>-125640.8493213684</v>
      </c>
      <c r="G797" s="15">
        <f t="shared" si="540"/>
        <v>22.035289406060361</v>
      </c>
      <c r="H797" s="75">
        <f>G797*(1-PARAM!$C$27)*$I$4+(MOD($B797,60)=PARAM!$B$56)*($B797&gt;(60-PARAM!$B$56))*HLOOKUP(($B797+PARAM!$B$56)/12,Loyalty,2)*$F$1*MAX(J796,0)</f>
        <v>18.443537232872522</v>
      </c>
      <c r="I797" s="75">
        <f>PARAM!$C$26+MAX($G$4-CHOOSE(PARAM!$B$44,MAX(0,J796*$F$1),0),0)*RATES!$L773/12+$H$4*(PARAM!$D$51/12)*RATES!$N773/100</f>
        <v>917.625</v>
      </c>
      <c r="J797" s="16">
        <f t="shared" si="541"/>
        <v>-124347.69355797004</v>
      </c>
      <c r="K797" s="15">
        <f t="shared" si="542"/>
        <v>22.170849845882874</v>
      </c>
      <c r="L797" s="75">
        <f>K797*(1-PARAM!$C$27)*$I$5+(MOD($B797,60)=PARAM!$B$56)*($B797&gt;(60-PARAM!$B$56))*HLOOKUP(($B797+PARAM!$B$56)/12,Loyalty,2)*$F$1*MAX(N796,0)</f>
        <v>18.557001321003963</v>
      </c>
      <c r="M797" s="75">
        <f>PARAM!$C$26+MAX($G$5-CHOOSE(PARAM!$B$44,MAX(0,N796*$F$1),0),0)*RATES!$L773/12+$H$5*(PARAM!$D$51/12)*RATES!$N773/100</f>
        <v>917.625</v>
      </c>
      <c r="N797" s="16">
        <f t="shared" si="543"/>
        <v>-124257.30867370892</v>
      </c>
      <c r="O797" s="15">
        <f t="shared" si="544"/>
        <v>22.170849845882874</v>
      </c>
      <c r="P797" s="75">
        <f>O797*(1-PARAM!$C$27)*$I$6+(MOD($B797,60)=PARAM!$B$56)*($B797&gt;(60-PARAM!$B$56))*HLOOKUP(($B797+PARAM!$B$56)/12,Loyalty,2)*$F$1*MAX(R796,0)</f>
        <v>18.557001321003963</v>
      </c>
      <c r="Q797" s="75">
        <f>PARAM!$C$26+MAX($G$6-CHOOSE(PARAM!$B$44,MAX(0,R796*$F$1),0),0)*RATES!$L773/12+$H$6*(PARAM!$D$51/12)*RATES!$N773/100</f>
        <v>917.625</v>
      </c>
      <c r="R797" s="16">
        <f t="shared" si="545"/>
        <v>-124257.30867370892</v>
      </c>
      <c r="S797" s="15">
        <f t="shared" si="520"/>
        <v>22.170849845882874</v>
      </c>
      <c r="T797" s="75">
        <f>S797*(1-PARAM!$C$27)*$I$7+(MOD($B797,60)=PARAM!$B$56)*($B797&gt;(60-PARAM!$B$56))*HLOOKUP(($B797+PARAM!$B$56)/12,Loyalty,2)*$F$1*MAX(V796,0)</f>
        <v>18.557001321003963</v>
      </c>
      <c r="U797" s="75">
        <f>PARAM!$C$26+MAX($G$7-CHOOSE(PARAM!$B$44,MAX(0,V796*$F$1),0),0)*RATES!$L773/12+$H$7*(PARAM!$D$51/12)*RATES!$N773/100</f>
        <v>917.625</v>
      </c>
      <c r="V797" s="16">
        <f t="shared" si="546"/>
        <v>-124257.30867370892</v>
      </c>
      <c r="W797" s="15">
        <f t="shared" si="521"/>
        <v>22.170849845882874</v>
      </c>
      <c r="X797" s="75">
        <f>W797*(1-PARAM!$C$27)*$I$8+(MOD($B797,60)=PARAM!$B$56)*($B797&gt;(60-PARAM!$B$56))*HLOOKUP(($B797+PARAM!$B$56)/12,Loyalty,2)*$F$1*MAX(Z796,0)</f>
        <v>18.557001321003963</v>
      </c>
      <c r="Y797" s="75">
        <f>PARAM!$C$26+MAX($G$8-CHOOSE(PARAM!$B$44,MAX(0,Z796*$F$1),0),0)*RATES!$L773/12+$H$8*(PARAM!$D$51/12)*RATES!$N773/100</f>
        <v>917.625</v>
      </c>
      <c r="Z797" s="16">
        <f t="shared" si="547"/>
        <v>-124257.30867370892</v>
      </c>
      <c r="AA797" s="15">
        <f t="shared" si="522"/>
        <v>22.170849845882874</v>
      </c>
      <c r="AB797" s="75">
        <f>AA797*(1-PARAM!$C$27)*$I$9+(MOD($B797,60)=PARAM!$B$56)*($B797&gt;(60-PARAM!$B$56))*HLOOKUP(($B797+PARAM!$B$56)/12,Loyalty,2)*$F$1*MAX(AD796,0)</f>
        <v>18.557001321003963</v>
      </c>
      <c r="AC797" s="75">
        <f>PARAM!$C$26+MAX($G$9-CHOOSE(PARAM!$B$44,MAX(0,AD796*$F$1),0),0)*RATES!$L773/12+$H$9*(PARAM!$D$51/12)*RATES!$N773/100</f>
        <v>917.625</v>
      </c>
      <c r="AD797" s="16">
        <f t="shared" si="548"/>
        <v>-124257.30867370892</v>
      </c>
      <c r="AE797" s="15">
        <f t="shared" si="523"/>
        <v>22.170849845882874</v>
      </c>
      <c r="AF797" s="75">
        <f>AE797*(1-PARAM!$C$27)*$I$10+(MOD($B797,60)=PARAM!$B$56)*($B797&gt;(60-PARAM!$B$56))*HLOOKUP(($B797+PARAM!$B$56)/12,Loyalty,2)*$F$1*MAX(AH796,0)</f>
        <v>18.557001321003963</v>
      </c>
      <c r="AG797" s="75">
        <f>PARAM!$C$26+MAX($G$10-CHOOSE(PARAM!$B$44,MAX(0,AH796*$F$1),0),0)*RATES!$L773/12+$H$10*(PARAM!$D$51/12)*RATES!$N773/100</f>
        <v>917.625</v>
      </c>
      <c r="AH797" s="16">
        <f t="shared" si="549"/>
        <v>-124257.30867370892</v>
      </c>
      <c r="AI797" s="15">
        <f t="shared" si="524"/>
        <v>22.170849845882874</v>
      </c>
      <c r="AJ797" s="75">
        <f>AI797*(1-PARAM!$C$27)*$I$11+(MOD($B797,60)=PARAM!$B$56)*($B797&gt;(60-PARAM!$B$56))*HLOOKUP(($B797+PARAM!$B$56)/12,Loyalty,2)*$F$1*MAX(AL796,0)</f>
        <v>18.557001321003963</v>
      </c>
      <c r="AK797" s="75">
        <f>PARAM!$C$26+MAX($G$11-CHOOSE(PARAM!$B$44,MAX(0,AL796*$F$1),0),0)*RATES!$L773/12+$H$11*(PARAM!$D$51/12)*RATES!$N773/100</f>
        <v>917.625</v>
      </c>
      <c r="AL797" s="16">
        <f t="shared" si="550"/>
        <v>-124257.30867370892</v>
      </c>
      <c r="AM797" s="15">
        <f t="shared" si="525"/>
        <v>22.170849845882874</v>
      </c>
      <c r="AN797" s="75">
        <f>AM797*(1-PARAM!$C$27)*$I$12+(MOD($B797,60)=PARAM!$B$56)*($B797&gt;(60-PARAM!$B$56))*HLOOKUP(($B797+PARAM!$B$56)/12,Loyalty,2)*$F$1*MAX(AP796,0)</f>
        <v>18.557001321003963</v>
      </c>
      <c r="AO797" s="75">
        <f>PARAM!$C$26+MAX($G$12-CHOOSE(PARAM!$B$44,MAX(0,AP796*$F$1),0),0)*RATES!$L773/12+$H$12*(PARAM!$D$51/12)*RATES!$N773/100</f>
        <v>917.625</v>
      </c>
      <c r="AP797" s="16">
        <f t="shared" si="551"/>
        <v>-124257.30867370892</v>
      </c>
      <c r="AQ797" s="15">
        <f t="shared" si="526"/>
        <v>22.170849845882874</v>
      </c>
      <c r="AR797" s="75">
        <f>AQ797*(1-PARAM!$C$27)*$I$13+(MOD($B797,60)=PARAM!$B$56)*($B797&gt;(60-PARAM!$B$56))*HLOOKUP(($B797+PARAM!$B$56)/12,Loyalty,2)*$F$1*MAX(AT796,0)</f>
        <v>18.557001321003963</v>
      </c>
      <c r="AS797" s="75">
        <f>PARAM!$C$26+MAX($G$13-CHOOSE(PARAM!$B$44,MAX(0,AT796*$F$1),0),0)*RATES!$L773/12+$H$13*(PARAM!$D$51/12)*RATES!$N773/100</f>
        <v>917.625</v>
      </c>
      <c r="AT797" s="16">
        <f t="shared" si="552"/>
        <v>-124257.30867370892</v>
      </c>
      <c r="AU797" s="15">
        <f t="shared" si="527"/>
        <v>22.170849845882874</v>
      </c>
      <c r="AV797" s="75">
        <f>AU797*(1-PARAM!$C$27)*$I$14+(MOD($B797,60)=PARAM!$B$56)*($B797&gt;(60-PARAM!$B$56))*HLOOKUP(($B797+PARAM!$B$56)/12,Loyalty,2)*$F$1*MAX(AX796,0)</f>
        <v>18.557001321003963</v>
      </c>
      <c r="AW797" s="75">
        <f>PARAM!$C$26+MAX($G$14-CHOOSE(PARAM!$B$44,MAX(0,AX796*$F$1),0),0)*RATES!$L773/12+$H$14*(PARAM!$D$51/12)*RATES!$N773/100</f>
        <v>917.625</v>
      </c>
      <c r="AX797" s="16">
        <f t="shared" si="553"/>
        <v>-124257.30867370892</v>
      </c>
      <c r="AY797" s="15">
        <f t="shared" si="528"/>
        <v>22.170849845882874</v>
      </c>
      <c r="AZ797" s="75">
        <f>AY797*(1-PARAM!$C$27)*$I$15+(MOD($B797,60)=PARAM!$B$56)*($B797&gt;(60-PARAM!$B$56))*HLOOKUP(($B797+PARAM!$B$56)/12,Loyalty,2)*$F$1*MAX(BB796,0)</f>
        <v>18.557001321003963</v>
      </c>
      <c r="BA797" s="75">
        <f>PARAM!$C$26+MAX($G$15-CHOOSE(PARAM!$B$44,MAX(0,BB796*$F$1),0),0)*RATES!$L773/12+$H$15*(PARAM!$D$51/12)*RATES!$N773/100</f>
        <v>917.625</v>
      </c>
      <c r="BB797" s="16">
        <f t="shared" si="554"/>
        <v>-124257.30867370892</v>
      </c>
      <c r="BC797" s="15">
        <f t="shared" si="529"/>
        <v>22.170849845882874</v>
      </c>
      <c r="BD797" s="75">
        <f>BC797*(1-PARAM!$C$27)*$I$16+(MOD($B797,60)=PARAM!$B$56)*($B797&gt;(60-PARAM!$B$56))*HLOOKUP(($B797+PARAM!$B$56)/12,Loyalty,2)*$F$1*MAX(BF796,0)</f>
        <v>18.557001321003963</v>
      </c>
      <c r="BE797" s="75">
        <f>PARAM!$C$26+MAX($G$16-CHOOSE(PARAM!$B$44,MAX(0,BF796*$F$1),0),0)*RATES!$L773/12+$H$16*(PARAM!$D$51/12)*RATES!$N773/100</f>
        <v>917.625</v>
      </c>
      <c r="BF797" s="16">
        <f t="shared" si="555"/>
        <v>-124257.30867370892</v>
      </c>
      <c r="BG797" s="15">
        <f t="shared" si="530"/>
        <v>22.170849845882874</v>
      </c>
      <c r="BH797" s="75">
        <f>BG797*(1-PARAM!$C$27)*$I$17+(MOD($B797,60)=PARAM!$B$56)*($B797&gt;(60-PARAM!$B$56))*HLOOKUP(($B797+PARAM!$B$56)/12,Loyalty,2)*$F$1*MAX(BJ796,0)</f>
        <v>18.557001321003963</v>
      </c>
      <c r="BI797" s="75">
        <f>PARAM!$C$26+MAX($G$17-CHOOSE(PARAM!$B$44,MAX(0,BJ796*$F$1),0),0)*RATES!$L773/12+$H$17*(PARAM!$D$51/12)*RATES!$N773/100</f>
        <v>917.625</v>
      </c>
      <c r="BJ797" s="16">
        <f t="shared" si="556"/>
        <v>-124257.30867370892</v>
      </c>
      <c r="BK797" s="15">
        <f t="shared" si="531"/>
        <v>22.170849845882874</v>
      </c>
      <c r="BL797" s="75">
        <f>BK797*(1-PARAM!$C$27)*$I$18+(MOD($B797,60)=PARAM!$B$56)*($B797&gt;(60-PARAM!$B$56))*HLOOKUP(($B797+PARAM!$B$56)/12,Loyalty,2)*$F$1*MAX(BN796,0)</f>
        <v>18.557001321003963</v>
      </c>
      <c r="BM797" s="75">
        <f>PARAM!$C$26+MAX($G$18-CHOOSE(PARAM!$B$44,MAX(0,BN796*$F$1),0),0)*RATES!$L773/12+$H$18*(PARAM!$D$51/12)*RATES!$N773/100</f>
        <v>917.625</v>
      </c>
      <c r="BN797" s="16">
        <f t="shared" si="557"/>
        <v>-124257.30867370892</v>
      </c>
      <c r="BO797" s="15">
        <f t="shared" si="532"/>
        <v>22.170849845882874</v>
      </c>
      <c r="BP797" s="75">
        <f>BO797*(1-PARAM!$C$27)*$I$19+(MOD($B797,60)=PARAM!$B$56)*($B797&gt;(60-PARAM!$B$56))*HLOOKUP(($B797+PARAM!$B$56)/12,Loyalty,2)*$F$1*MAX(BR796,0)</f>
        <v>18.557001321003963</v>
      </c>
      <c r="BQ797" s="75">
        <f>PARAM!$C$26+MAX($G$19-CHOOSE(PARAM!$B$44,MAX(0,BR796*$F$1),0),0)*RATES!$L773/12+$H$19*(PARAM!$D$51/12)*RATES!$N773/100</f>
        <v>917.625</v>
      </c>
      <c r="BR797" s="16">
        <f t="shared" si="558"/>
        <v>-124257.30867370892</v>
      </c>
      <c r="BS797" s="15">
        <f t="shared" si="533"/>
        <v>22.170849845882874</v>
      </c>
      <c r="BT797" s="75">
        <f>BS797*(1-PARAM!$C$27)*$I$20+(MOD($B797,60)=PARAM!$B$56)*($B797&gt;(60-PARAM!$B$56))*HLOOKUP(($B797+PARAM!$B$56)/12,Loyalty,2)*$F$1*MAX(BV796,0)</f>
        <v>18.557001321003963</v>
      </c>
      <c r="BU797" s="75">
        <f>PARAM!$C$26+MAX($G$20-CHOOSE(PARAM!$B$44,MAX(0,BV796*$F$1),0),0)*RATES!$L773/12+$H$20*(PARAM!$D$51/12)*RATES!$N773/100</f>
        <v>917.625</v>
      </c>
      <c r="BV797" s="16">
        <f t="shared" si="559"/>
        <v>-124257.30867370892</v>
      </c>
      <c r="BW797" s="15">
        <f t="shared" si="534"/>
        <v>22.170849845882874</v>
      </c>
      <c r="BX797" s="75">
        <f>BW797*(1-PARAM!$C$27)*$I$21+(MOD($B797,60)=PARAM!$B$56)*($B797&gt;(60-PARAM!$B$56))*HLOOKUP(($B797+PARAM!$B$56)/12,Loyalty,2)*$F$1*MAX(BZ796,0)</f>
        <v>18.557001321003963</v>
      </c>
      <c r="BY797" s="75">
        <f>PARAM!$C$26+MAX($G$21-CHOOSE(PARAM!$B$44,MAX(0,BZ796*$F$1),0),0)*RATES!$L773/12+$H$21*(PARAM!$D$51/12)*RATES!$N773/100</f>
        <v>917.625</v>
      </c>
      <c r="BZ797" s="16">
        <f t="shared" si="560"/>
        <v>-124257.30867370892</v>
      </c>
      <c r="CA797" s="15">
        <f t="shared" si="535"/>
        <v>22.170849845882874</v>
      </c>
      <c r="CB797" s="75">
        <f>CA797*(1-PARAM!$C$27)*$I$22+(MOD($B797,60)=PARAM!$B$56)*($B797&gt;(60-PARAM!$B$56))*HLOOKUP(($B797+PARAM!$B$56)/12,Loyalty,2)*$F$1*MAX(CD796,0)</f>
        <v>18.557001321003963</v>
      </c>
      <c r="CC797" s="75">
        <f>PARAM!$C$26+MAX($G$22-CHOOSE(PARAM!$B$44,MAX(0,CD796*$F$1),0),0)*RATES!$L773/12+$H$22*(PARAM!$D$51/12)*RATES!$N773/100</f>
        <v>917.625</v>
      </c>
      <c r="CD797" s="16">
        <f t="shared" si="561"/>
        <v>-124257.30867370892</v>
      </c>
      <c r="CE797" s="33">
        <f>IF(0=MOD(B797,12/PARAM!$D$51),1,0)</f>
        <v>1</v>
      </c>
      <c r="CF797" s="15">
        <f t="shared" si="536"/>
        <v>0</v>
      </c>
      <c r="CG797" s="75">
        <f>CF797*(1-PARAM!$C$27)*$R$3+(MOD($B797/12,5)=0)*($B797&gt;60)*HLOOKUP($B797/12,Loyalty,2)*$F$1*MAX(CI796,0)</f>
        <v>0</v>
      </c>
      <c r="CH797" s="75">
        <f>PARAM!$C$26+MAX($P$3-CHOOSE(PARAM!$B$44,MAX(0,CI796*$F$1),0),0)*RATES!$L773/12+$Q$3*(PARAM!$D$51/12)*RATES!$N773/100</f>
        <v>917.625</v>
      </c>
      <c r="CI797" s="16">
        <f>IF(CI796&gt;0,CI796*PARAM!$C$53,CI796)+CG797-CH797</f>
        <v>-138426.62500000017</v>
      </c>
      <c r="CJ797" s="15">
        <f t="shared" si="562"/>
        <v>0</v>
      </c>
      <c r="CK797" s="75">
        <f>CJ797*(1-PARAM!$C$27)*$R$4+(MOD($B797/12,5)=0)*($B797&gt;60)*HLOOKUP($B797/12,Loyalty,2)*$F$1*MAX(CM796,0)</f>
        <v>0</v>
      </c>
      <c r="CL797" s="75">
        <f>PARAM!$C$26+MAX($P$4-CHOOSE(PARAM!$B$44,MAX(0,CM796*$F$1),0),0)*RATES!$L773/12+$Q$4*(PARAM!$D$51/12)*RATES!$N773/100</f>
        <v>917.625</v>
      </c>
      <c r="CM797" s="16">
        <f>IF(CM796&gt;0,CM796*PARAM!$C$53,CM796)+CK797-CL797</f>
        <v>-138426.62500000017</v>
      </c>
      <c r="CO797" s="176"/>
    </row>
    <row r="798" spans="1:93" x14ac:dyDescent="0.2">
      <c r="A798" t="b">
        <f t="shared" si="537"/>
        <v>0</v>
      </c>
      <c r="B798" s="33">
        <v>771</v>
      </c>
      <c r="C798" s="15">
        <f t="shared" si="538"/>
        <v>20.081305947392778</v>
      </c>
      <c r="D798" s="75">
        <f>C798*(1-PARAM!$C$27)*$I$3+(MOD($B798,60)=PARAM!$B$56)*($B798&gt;(60-PARAM!$B$56))*HLOOKUP(($B798+PARAM!$B$56)/12,Loyalty,2)*$F$1*MAX(F797,0)</f>
        <v>16.808053077967756</v>
      </c>
      <c r="E798" s="75">
        <f>PARAM!$C$26+MAX($G$3-CHOOSE(PARAM!$B$44,MAX(0,F797*$F$1),0),0)*RATES!$L774/12+$H$3*(PARAM!$D$51/12)*RATES!$N774/100</f>
        <v>917.625</v>
      </c>
      <c r="F798" s="16">
        <f t="shared" si="539"/>
        <v>-126541.66626829043</v>
      </c>
      <c r="G798" s="15">
        <f t="shared" si="540"/>
        <v>22.035289406060361</v>
      </c>
      <c r="H798" s="75">
        <f>G798*(1-PARAM!$C$27)*$I$4+(MOD($B798,60)=PARAM!$B$56)*($B798&gt;(60-PARAM!$B$56))*HLOOKUP(($B798+PARAM!$B$56)/12,Loyalty,2)*$F$1*MAX(J797,0)</f>
        <v>18.443537232872522</v>
      </c>
      <c r="I798" s="75">
        <f>PARAM!$C$26+MAX($G$4-CHOOSE(PARAM!$B$44,MAX(0,J797*$F$1),0),0)*RATES!$L774/12+$H$4*(PARAM!$D$51/12)*RATES!$N774/100</f>
        <v>917.625</v>
      </c>
      <c r="J798" s="16">
        <f t="shared" si="541"/>
        <v>-125246.87502073716</v>
      </c>
      <c r="K798" s="15">
        <f t="shared" si="542"/>
        <v>22.170849845882874</v>
      </c>
      <c r="L798" s="75">
        <f>K798*(1-PARAM!$C$27)*$I$5+(MOD($B798,60)=PARAM!$B$56)*($B798&gt;(60-PARAM!$B$56))*HLOOKUP(($B798+PARAM!$B$56)/12,Loyalty,2)*$F$1*MAX(N797,0)</f>
        <v>18.557001321003963</v>
      </c>
      <c r="M798" s="75">
        <f>PARAM!$C$26+MAX($G$5-CHOOSE(PARAM!$B$44,MAX(0,N797*$F$1),0),0)*RATES!$L774/12+$H$5*(PARAM!$D$51/12)*RATES!$N774/100</f>
        <v>917.625</v>
      </c>
      <c r="N798" s="16">
        <f t="shared" si="543"/>
        <v>-125156.37667238791</v>
      </c>
      <c r="O798" s="15">
        <f t="shared" si="544"/>
        <v>22.170849845882874</v>
      </c>
      <c r="P798" s="75">
        <f>O798*(1-PARAM!$C$27)*$I$6+(MOD($B798,60)=PARAM!$B$56)*($B798&gt;(60-PARAM!$B$56))*HLOOKUP(($B798+PARAM!$B$56)/12,Loyalty,2)*$F$1*MAX(R797,0)</f>
        <v>18.557001321003963</v>
      </c>
      <c r="Q798" s="75">
        <f>PARAM!$C$26+MAX($G$6-CHOOSE(PARAM!$B$44,MAX(0,R797*$F$1),0),0)*RATES!$L774/12+$H$6*(PARAM!$D$51/12)*RATES!$N774/100</f>
        <v>917.625</v>
      </c>
      <c r="R798" s="16">
        <f t="shared" si="545"/>
        <v>-125156.37667238791</v>
      </c>
      <c r="S798" s="15">
        <f t="shared" si="520"/>
        <v>22.170849845882874</v>
      </c>
      <c r="T798" s="75">
        <f>S798*(1-PARAM!$C$27)*$I$7+(MOD($B798,60)=PARAM!$B$56)*($B798&gt;(60-PARAM!$B$56))*HLOOKUP(($B798+PARAM!$B$56)/12,Loyalty,2)*$F$1*MAX(V797,0)</f>
        <v>18.557001321003963</v>
      </c>
      <c r="U798" s="75">
        <f>PARAM!$C$26+MAX($G$7-CHOOSE(PARAM!$B$44,MAX(0,V797*$F$1),0),0)*RATES!$L774/12+$H$7*(PARAM!$D$51/12)*RATES!$N774/100</f>
        <v>917.625</v>
      </c>
      <c r="V798" s="16">
        <f t="shared" si="546"/>
        <v>-125156.37667238791</v>
      </c>
      <c r="W798" s="15">
        <f t="shared" si="521"/>
        <v>22.170849845882874</v>
      </c>
      <c r="X798" s="75">
        <f>W798*(1-PARAM!$C$27)*$I$8+(MOD($B798,60)=PARAM!$B$56)*($B798&gt;(60-PARAM!$B$56))*HLOOKUP(($B798+PARAM!$B$56)/12,Loyalty,2)*$F$1*MAX(Z797,0)</f>
        <v>18.557001321003963</v>
      </c>
      <c r="Y798" s="75">
        <f>PARAM!$C$26+MAX($G$8-CHOOSE(PARAM!$B$44,MAX(0,Z797*$F$1),0),0)*RATES!$L774/12+$H$8*(PARAM!$D$51/12)*RATES!$N774/100</f>
        <v>917.625</v>
      </c>
      <c r="Z798" s="16">
        <f t="shared" si="547"/>
        <v>-125156.37667238791</v>
      </c>
      <c r="AA798" s="15">
        <f t="shared" si="522"/>
        <v>22.170849845882874</v>
      </c>
      <c r="AB798" s="75">
        <f>AA798*(1-PARAM!$C$27)*$I$9+(MOD($B798,60)=PARAM!$B$56)*($B798&gt;(60-PARAM!$B$56))*HLOOKUP(($B798+PARAM!$B$56)/12,Loyalty,2)*$F$1*MAX(AD797,0)</f>
        <v>18.557001321003963</v>
      </c>
      <c r="AC798" s="75">
        <f>PARAM!$C$26+MAX($G$9-CHOOSE(PARAM!$B$44,MAX(0,AD797*$F$1),0),0)*RATES!$L774/12+$H$9*(PARAM!$D$51/12)*RATES!$N774/100</f>
        <v>917.625</v>
      </c>
      <c r="AD798" s="16">
        <f t="shared" si="548"/>
        <v>-125156.37667238791</v>
      </c>
      <c r="AE798" s="15">
        <f t="shared" si="523"/>
        <v>22.170849845882874</v>
      </c>
      <c r="AF798" s="75">
        <f>AE798*(1-PARAM!$C$27)*$I$10+(MOD($B798,60)=PARAM!$B$56)*($B798&gt;(60-PARAM!$B$56))*HLOOKUP(($B798+PARAM!$B$56)/12,Loyalty,2)*$F$1*MAX(AH797,0)</f>
        <v>18.557001321003963</v>
      </c>
      <c r="AG798" s="75">
        <f>PARAM!$C$26+MAX($G$10-CHOOSE(PARAM!$B$44,MAX(0,AH797*$F$1),0),0)*RATES!$L774/12+$H$10*(PARAM!$D$51/12)*RATES!$N774/100</f>
        <v>917.625</v>
      </c>
      <c r="AH798" s="16">
        <f t="shared" si="549"/>
        <v>-125156.37667238791</v>
      </c>
      <c r="AI798" s="15">
        <f t="shared" si="524"/>
        <v>22.170849845882874</v>
      </c>
      <c r="AJ798" s="75">
        <f>AI798*(1-PARAM!$C$27)*$I$11+(MOD($B798,60)=PARAM!$B$56)*($B798&gt;(60-PARAM!$B$56))*HLOOKUP(($B798+PARAM!$B$56)/12,Loyalty,2)*$F$1*MAX(AL797,0)</f>
        <v>18.557001321003963</v>
      </c>
      <c r="AK798" s="75">
        <f>PARAM!$C$26+MAX($G$11-CHOOSE(PARAM!$B$44,MAX(0,AL797*$F$1),0),0)*RATES!$L774/12+$H$11*(PARAM!$D$51/12)*RATES!$N774/100</f>
        <v>917.625</v>
      </c>
      <c r="AL798" s="16">
        <f t="shared" si="550"/>
        <v>-125156.37667238791</v>
      </c>
      <c r="AM798" s="15">
        <f t="shared" si="525"/>
        <v>22.170849845882874</v>
      </c>
      <c r="AN798" s="75">
        <f>AM798*(1-PARAM!$C$27)*$I$12+(MOD($B798,60)=PARAM!$B$56)*($B798&gt;(60-PARAM!$B$56))*HLOOKUP(($B798+PARAM!$B$56)/12,Loyalty,2)*$F$1*MAX(AP797,0)</f>
        <v>18.557001321003963</v>
      </c>
      <c r="AO798" s="75">
        <f>PARAM!$C$26+MAX($G$12-CHOOSE(PARAM!$B$44,MAX(0,AP797*$F$1),0),0)*RATES!$L774/12+$H$12*(PARAM!$D$51/12)*RATES!$N774/100</f>
        <v>917.625</v>
      </c>
      <c r="AP798" s="16">
        <f t="shared" si="551"/>
        <v>-125156.37667238791</v>
      </c>
      <c r="AQ798" s="15">
        <f t="shared" si="526"/>
        <v>22.170849845882874</v>
      </c>
      <c r="AR798" s="75">
        <f>AQ798*(1-PARAM!$C$27)*$I$13+(MOD($B798,60)=PARAM!$B$56)*($B798&gt;(60-PARAM!$B$56))*HLOOKUP(($B798+PARAM!$B$56)/12,Loyalty,2)*$F$1*MAX(AT797,0)</f>
        <v>18.557001321003963</v>
      </c>
      <c r="AS798" s="75">
        <f>PARAM!$C$26+MAX($G$13-CHOOSE(PARAM!$B$44,MAX(0,AT797*$F$1),0),0)*RATES!$L774/12+$H$13*(PARAM!$D$51/12)*RATES!$N774/100</f>
        <v>917.625</v>
      </c>
      <c r="AT798" s="16">
        <f t="shared" si="552"/>
        <v>-125156.37667238791</v>
      </c>
      <c r="AU798" s="15">
        <f t="shared" si="527"/>
        <v>22.170849845882874</v>
      </c>
      <c r="AV798" s="75">
        <f>AU798*(1-PARAM!$C$27)*$I$14+(MOD($B798,60)=PARAM!$B$56)*($B798&gt;(60-PARAM!$B$56))*HLOOKUP(($B798+PARAM!$B$56)/12,Loyalty,2)*$F$1*MAX(AX797,0)</f>
        <v>18.557001321003963</v>
      </c>
      <c r="AW798" s="75">
        <f>PARAM!$C$26+MAX($G$14-CHOOSE(PARAM!$B$44,MAX(0,AX797*$F$1),0),0)*RATES!$L774/12+$H$14*(PARAM!$D$51/12)*RATES!$N774/100</f>
        <v>917.625</v>
      </c>
      <c r="AX798" s="16">
        <f t="shared" si="553"/>
        <v>-125156.37667238791</v>
      </c>
      <c r="AY798" s="15">
        <f t="shared" si="528"/>
        <v>22.170849845882874</v>
      </c>
      <c r="AZ798" s="75">
        <f>AY798*(1-PARAM!$C$27)*$I$15+(MOD($B798,60)=PARAM!$B$56)*($B798&gt;(60-PARAM!$B$56))*HLOOKUP(($B798+PARAM!$B$56)/12,Loyalty,2)*$F$1*MAX(BB797,0)</f>
        <v>18.557001321003963</v>
      </c>
      <c r="BA798" s="75">
        <f>PARAM!$C$26+MAX($G$15-CHOOSE(PARAM!$B$44,MAX(0,BB797*$F$1),0),0)*RATES!$L774/12+$H$15*(PARAM!$D$51/12)*RATES!$N774/100</f>
        <v>917.625</v>
      </c>
      <c r="BB798" s="16">
        <f t="shared" si="554"/>
        <v>-125156.37667238791</v>
      </c>
      <c r="BC798" s="15">
        <f t="shared" si="529"/>
        <v>22.170849845882874</v>
      </c>
      <c r="BD798" s="75">
        <f>BC798*(1-PARAM!$C$27)*$I$16+(MOD($B798,60)=PARAM!$B$56)*($B798&gt;(60-PARAM!$B$56))*HLOOKUP(($B798+PARAM!$B$56)/12,Loyalty,2)*$F$1*MAX(BF797,0)</f>
        <v>18.557001321003963</v>
      </c>
      <c r="BE798" s="75">
        <f>PARAM!$C$26+MAX($G$16-CHOOSE(PARAM!$B$44,MAX(0,BF797*$F$1),0),0)*RATES!$L774/12+$H$16*(PARAM!$D$51/12)*RATES!$N774/100</f>
        <v>917.625</v>
      </c>
      <c r="BF798" s="16">
        <f t="shared" si="555"/>
        <v>-125156.37667238791</v>
      </c>
      <c r="BG798" s="15">
        <f t="shared" si="530"/>
        <v>22.170849845882874</v>
      </c>
      <c r="BH798" s="75">
        <f>BG798*(1-PARAM!$C$27)*$I$17+(MOD($B798,60)=PARAM!$B$56)*($B798&gt;(60-PARAM!$B$56))*HLOOKUP(($B798+PARAM!$B$56)/12,Loyalty,2)*$F$1*MAX(BJ797,0)</f>
        <v>18.557001321003963</v>
      </c>
      <c r="BI798" s="75">
        <f>PARAM!$C$26+MAX($G$17-CHOOSE(PARAM!$B$44,MAX(0,BJ797*$F$1),0),0)*RATES!$L774/12+$H$17*(PARAM!$D$51/12)*RATES!$N774/100</f>
        <v>917.625</v>
      </c>
      <c r="BJ798" s="16">
        <f t="shared" si="556"/>
        <v>-125156.37667238791</v>
      </c>
      <c r="BK798" s="15">
        <f t="shared" si="531"/>
        <v>22.170849845882874</v>
      </c>
      <c r="BL798" s="75">
        <f>BK798*(1-PARAM!$C$27)*$I$18+(MOD($B798,60)=PARAM!$B$56)*($B798&gt;(60-PARAM!$B$56))*HLOOKUP(($B798+PARAM!$B$56)/12,Loyalty,2)*$F$1*MAX(BN797,0)</f>
        <v>18.557001321003963</v>
      </c>
      <c r="BM798" s="75">
        <f>PARAM!$C$26+MAX($G$18-CHOOSE(PARAM!$B$44,MAX(0,BN797*$F$1),0),0)*RATES!$L774/12+$H$18*(PARAM!$D$51/12)*RATES!$N774/100</f>
        <v>917.625</v>
      </c>
      <c r="BN798" s="16">
        <f t="shared" si="557"/>
        <v>-125156.37667238791</v>
      </c>
      <c r="BO798" s="15">
        <f t="shared" si="532"/>
        <v>22.170849845882874</v>
      </c>
      <c r="BP798" s="75">
        <f>BO798*(1-PARAM!$C$27)*$I$19+(MOD($B798,60)=PARAM!$B$56)*($B798&gt;(60-PARAM!$B$56))*HLOOKUP(($B798+PARAM!$B$56)/12,Loyalty,2)*$F$1*MAX(BR797,0)</f>
        <v>18.557001321003963</v>
      </c>
      <c r="BQ798" s="75">
        <f>PARAM!$C$26+MAX($G$19-CHOOSE(PARAM!$B$44,MAX(0,BR797*$F$1),0),0)*RATES!$L774/12+$H$19*(PARAM!$D$51/12)*RATES!$N774/100</f>
        <v>917.625</v>
      </c>
      <c r="BR798" s="16">
        <f t="shared" si="558"/>
        <v>-125156.37667238791</v>
      </c>
      <c r="BS798" s="15">
        <f t="shared" si="533"/>
        <v>22.170849845882874</v>
      </c>
      <c r="BT798" s="75">
        <f>BS798*(1-PARAM!$C$27)*$I$20+(MOD($B798,60)=PARAM!$B$56)*($B798&gt;(60-PARAM!$B$56))*HLOOKUP(($B798+PARAM!$B$56)/12,Loyalty,2)*$F$1*MAX(BV797,0)</f>
        <v>18.557001321003963</v>
      </c>
      <c r="BU798" s="75">
        <f>PARAM!$C$26+MAX($G$20-CHOOSE(PARAM!$B$44,MAX(0,BV797*$F$1),0),0)*RATES!$L774/12+$H$20*(PARAM!$D$51/12)*RATES!$N774/100</f>
        <v>917.625</v>
      </c>
      <c r="BV798" s="16">
        <f t="shared" si="559"/>
        <v>-125156.37667238791</v>
      </c>
      <c r="BW798" s="15">
        <f t="shared" si="534"/>
        <v>22.170849845882874</v>
      </c>
      <c r="BX798" s="75">
        <f>BW798*(1-PARAM!$C$27)*$I$21+(MOD($B798,60)=PARAM!$B$56)*($B798&gt;(60-PARAM!$B$56))*HLOOKUP(($B798+PARAM!$B$56)/12,Loyalty,2)*$F$1*MAX(BZ797,0)</f>
        <v>18.557001321003963</v>
      </c>
      <c r="BY798" s="75">
        <f>PARAM!$C$26+MAX($G$21-CHOOSE(PARAM!$B$44,MAX(0,BZ797*$F$1),0),0)*RATES!$L774/12+$H$21*(PARAM!$D$51/12)*RATES!$N774/100</f>
        <v>917.625</v>
      </c>
      <c r="BZ798" s="16">
        <f t="shared" si="560"/>
        <v>-125156.37667238791</v>
      </c>
      <c r="CA798" s="15">
        <f t="shared" si="535"/>
        <v>22.170849845882874</v>
      </c>
      <c r="CB798" s="75">
        <f>CA798*(1-PARAM!$C$27)*$I$22+(MOD($B798,60)=PARAM!$B$56)*($B798&gt;(60-PARAM!$B$56))*HLOOKUP(($B798+PARAM!$B$56)/12,Loyalty,2)*$F$1*MAX(CD797,0)</f>
        <v>18.557001321003963</v>
      </c>
      <c r="CC798" s="75">
        <f>PARAM!$C$26+MAX($G$22-CHOOSE(PARAM!$B$44,MAX(0,CD797*$F$1),0),0)*RATES!$L774/12+$H$22*(PARAM!$D$51/12)*RATES!$N774/100</f>
        <v>917.625</v>
      </c>
      <c r="CD798" s="16">
        <f t="shared" si="561"/>
        <v>-125156.37667238791</v>
      </c>
      <c r="CE798" s="33">
        <f>IF(0=MOD(B798,12/PARAM!$D$51),1,0)</f>
        <v>1</v>
      </c>
      <c r="CF798" s="15">
        <f t="shared" si="536"/>
        <v>0</v>
      </c>
      <c r="CG798" s="75">
        <f>CF798*(1-PARAM!$C$27)*$R$3+(MOD($B798/12,5)=0)*($B798&gt;60)*HLOOKUP($B798/12,Loyalty,2)*$F$1*MAX(CI797,0)</f>
        <v>0</v>
      </c>
      <c r="CH798" s="75">
        <f>PARAM!$C$26+MAX($P$3-CHOOSE(PARAM!$B$44,MAX(0,CI797*$F$1),0),0)*RATES!$L774/12+$Q$3*(PARAM!$D$51/12)*RATES!$N774/100</f>
        <v>917.625</v>
      </c>
      <c r="CI798" s="16">
        <f>IF(CI797&gt;0,CI797*PARAM!$C$53,CI797)+CG798-CH798</f>
        <v>-139344.25000000017</v>
      </c>
      <c r="CJ798" s="15">
        <f t="shared" si="562"/>
        <v>0</v>
      </c>
      <c r="CK798" s="75">
        <f>CJ798*(1-PARAM!$C$27)*$R$4+(MOD($B798/12,5)=0)*($B798&gt;60)*HLOOKUP($B798/12,Loyalty,2)*$F$1*MAX(CM797,0)</f>
        <v>0</v>
      </c>
      <c r="CL798" s="75">
        <f>PARAM!$C$26+MAX($P$4-CHOOSE(PARAM!$B$44,MAX(0,CM797*$F$1),0),0)*RATES!$L774/12+$Q$4*(PARAM!$D$51/12)*RATES!$N774/100</f>
        <v>917.625</v>
      </c>
      <c r="CM798" s="16">
        <f>IF(CM797&gt;0,CM797*PARAM!$C$53,CM797)+CK798-CL798</f>
        <v>-139344.25000000017</v>
      </c>
      <c r="CO798" s="176"/>
    </row>
    <row r="799" spans="1:93" x14ac:dyDescent="0.2">
      <c r="A799" t="b">
        <f t="shared" si="537"/>
        <v>0</v>
      </c>
      <c r="B799" s="33">
        <v>772</v>
      </c>
      <c r="C799" s="15">
        <f t="shared" si="538"/>
        <v>20.081305947392778</v>
      </c>
      <c r="D799" s="75">
        <f>C799*(1-PARAM!$C$27)*$I$3+(MOD($B799,60)=PARAM!$B$56)*($B799&gt;(60-PARAM!$B$56))*HLOOKUP(($B799+PARAM!$B$56)/12,Loyalty,2)*$F$1*MAX(F798,0)</f>
        <v>16.808053077967756</v>
      </c>
      <c r="E799" s="75">
        <f>PARAM!$C$26+MAX($G$3-CHOOSE(PARAM!$B$44,MAX(0,F798*$F$1),0),0)*RATES!$L775/12+$H$3*(PARAM!$D$51/12)*RATES!$N775/100</f>
        <v>917.625</v>
      </c>
      <c r="F799" s="16">
        <f t="shared" si="539"/>
        <v>-127442.48321521246</v>
      </c>
      <c r="G799" s="15">
        <f t="shared" si="540"/>
        <v>22.035289406060361</v>
      </c>
      <c r="H799" s="75">
        <f>G799*(1-PARAM!$C$27)*$I$4+(MOD($B799,60)=PARAM!$B$56)*($B799&gt;(60-PARAM!$B$56))*HLOOKUP(($B799+PARAM!$B$56)/12,Loyalty,2)*$F$1*MAX(J798,0)</f>
        <v>18.443537232872522</v>
      </c>
      <c r="I799" s="75">
        <f>PARAM!$C$26+MAX($G$4-CHOOSE(PARAM!$B$44,MAX(0,J798*$F$1),0),0)*RATES!$L775/12+$H$4*(PARAM!$D$51/12)*RATES!$N775/100</f>
        <v>917.625</v>
      </c>
      <c r="J799" s="16">
        <f t="shared" si="541"/>
        <v>-126146.05648350429</v>
      </c>
      <c r="K799" s="15">
        <f t="shared" si="542"/>
        <v>22.170849845882874</v>
      </c>
      <c r="L799" s="75">
        <f>K799*(1-PARAM!$C$27)*$I$5+(MOD($B799,60)=PARAM!$B$56)*($B799&gt;(60-PARAM!$B$56))*HLOOKUP(($B799+PARAM!$B$56)/12,Loyalty,2)*$F$1*MAX(N798,0)</f>
        <v>18.557001321003963</v>
      </c>
      <c r="M799" s="75">
        <f>PARAM!$C$26+MAX($G$5-CHOOSE(PARAM!$B$44,MAX(0,N798*$F$1),0),0)*RATES!$L775/12+$H$5*(PARAM!$D$51/12)*RATES!$N775/100</f>
        <v>917.625</v>
      </c>
      <c r="N799" s="16">
        <f t="shared" si="543"/>
        <v>-126055.4446710669</v>
      </c>
      <c r="O799" s="15">
        <f t="shared" si="544"/>
        <v>22.170849845882874</v>
      </c>
      <c r="P799" s="75">
        <f>O799*(1-PARAM!$C$27)*$I$6+(MOD($B799,60)=PARAM!$B$56)*($B799&gt;(60-PARAM!$B$56))*HLOOKUP(($B799+PARAM!$B$56)/12,Loyalty,2)*$F$1*MAX(R798,0)</f>
        <v>18.557001321003963</v>
      </c>
      <c r="Q799" s="75">
        <f>PARAM!$C$26+MAX($G$6-CHOOSE(PARAM!$B$44,MAX(0,R798*$F$1),0),0)*RATES!$L775/12+$H$6*(PARAM!$D$51/12)*RATES!$N775/100</f>
        <v>917.625</v>
      </c>
      <c r="R799" s="16">
        <f t="shared" si="545"/>
        <v>-126055.4446710669</v>
      </c>
      <c r="S799" s="15">
        <f t="shared" si="520"/>
        <v>22.170849845882874</v>
      </c>
      <c r="T799" s="75">
        <f>S799*(1-PARAM!$C$27)*$I$7+(MOD($B799,60)=PARAM!$B$56)*($B799&gt;(60-PARAM!$B$56))*HLOOKUP(($B799+PARAM!$B$56)/12,Loyalty,2)*$F$1*MAX(V798,0)</f>
        <v>18.557001321003963</v>
      </c>
      <c r="U799" s="75">
        <f>PARAM!$C$26+MAX($G$7-CHOOSE(PARAM!$B$44,MAX(0,V798*$F$1),0),0)*RATES!$L775/12+$H$7*(PARAM!$D$51/12)*RATES!$N775/100</f>
        <v>917.625</v>
      </c>
      <c r="V799" s="16">
        <f t="shared" si="546"/>
        <v>-126055.4446710669</v>
      </c>
      <c r="W799" s="15">
        <f t="shared" si="521"/>
        <v>22.170849845882874</v>
      </c>
      <c r="X799" s="75">
        <f>W799*(1-PARAM!$C$27)*$I$8+(MOD($B799,60)=PARAM!$B$56)*($B799&gt;(60-PARAM!$B$56))*HLOOKUP(($B799+PARAM!$B$56)/12,Loyalty,2)*$F$1*MAX(Z798,0)</f>
        <v>18.557001321003963</v>
      </c>
      <c r="Y799" s="75">
        <f>PARAM!$C$26+MAX($G$8-CHOOSE(PARAM!$B$44,MAX(0,Z798*$F$1),0),0)*RATES!$L775/12+$H$8*(PARAM!$D$51/12)*RATES!$N775/100</f>
        <v>917.625</v>
      </c>
      <c r="Z799" s="16">
        <f t="shared" si="547"/>
        <v>-126055.4446710669</v>
      </c>
      <c r="AA799" s="15">
        <f t="shared" si="522"/>
        <v>22.170849845882874</v>
      </c>
      <c r="AB799" s="75">
        <f>AA799*(1-PARAM!$C$27)*$I$9+(MOD($B799,60)=PARAM!$B$56)*($B799&gt;(60-PARAM!$B$56))*HLOOKUP(($B799+PARAM!$B$56)/12,Loyalty,2)*$F$1*MAX(AD798,0)</f>
        <v>18.557001321003963</v>
      </c>
      <c r="AC799" s="75">
        <f>PARAM!$C$26+MAX($G$9-CHOOSE(PARAM!$B$44,MAX(0,AD798*$F$1),0),0)*RATES!$L775/12+$H$9*(PARAM!$D$51/12)*RATES!$N775/100</f>
        <v>917.625</v>
      </c>
      <c r="AD799" s="16">
        <f t="shared" si="548"/>
        <v>-126055.4446710669</v>
      </c>
      <c r="AE799" s="15">
        <f t="shared" si="523"/>
        <v>22.170849845882874</v>
      </c>
      <c r="AF799" s="75">
        <f>AE799*(1-PARAM!$C$27)*$I$10+(MOD($B799,60)=PARAM!$B$56)*($B799&gt;(60-PARAM!$B$56))*HLOOKUP(($B799+PARAM!$B$56)/12,Loyalty,2)*$F$1*MAX(AH798,0)</f>
        <v>18.557001321003963</v>
      </c>
      <c r="AG799" s="75">
        <f>PARAM!$C$26+MAX($G$10-CHOOSE(PARAM!$B$44,MAX(0,AH798*$F$1),0),0)*RATES!$L775/12+$H$10*(PARAM!$D$51/12)*RATES!$N775/100</f>
        <v>917.625</v>
      </c>
      <c r="AH799" s="16">
        <f t="shared" si="549"/>
        <v>-126055.4446710669</v>
      </c>
      <c r="AI799" s="15">
        <f t="shared" si="524"/>
        <v>22.170849845882874</v>
      </c>
      <c r="AJ799" s="75">
        <f>AI799*(1-PARAM!$C$27)*$I$11+(MOD($B799,60)=PARAM!$B$56)*($B799&gt;(60-PARAM!$B$56))*HLOOKUP(($B799+PARAM!$B$56)/12,Loyalty,2)*$F$1*MAX(AL798,0)</f>
        <v>18.557001321003963</v>
      </c>
      <c r="AK799" s="75">
        <f>PARAM!$C$26+MAX($G$11-CHOOSE(PARAM!$B$44,MAX(0,AL798*$F$1),0),0)*RATES!$L775/12+$H$11*(PARAM!$D$51/12)*RATES!$N775/100</f>
        <v>917.625</v>
      </c>
      <c r="AL799" s="16">
        <f t="shared" si="550"/>
        <v>-126055.4446710669</v>
      </c>
      <c r="AM799" s="15">
        <f t="shared" si="525"/>
        <v>22.170849845882874</v>
      </c>
      <c r="AN799" s="75">
        <f>AM799*(1-PARAM!$C$27)*$I$12+(MOD($B799,60)=PARAM!$B$56)*($B799&gt;(60-PARAM!$B$56))*HLOOKUP(($B799+PARAM!$B$56)/12,Loyalty,2)*$F$1*MAX(AP798,0)</f>
        <v>18.557001321003963</v>
      </c>
      <c r="AO799" s="75">
        <f>PARAM!$C$26+MAX($G$12-CHOOSE(PARAM!$B$44,MAX(0,AP798*$F$1),0),0)*RATES!$L775/12+$H$12*(PARAM!$D$51/12)*RATES!$N775/100</f>
        <v>917.625</v>
      </c>
      <c r="AP799" s="16">
        <f t="shared" si="551"/>
        <v>-126055.4446710669</v>
      </c>
      <c r="AQ799" s="15">
        <f t="shared" si="526"/>
        <v>22.170849845882874</v>
      </c>
      <c r="AR799" s="75">
        <f>AQ799*(1-PARAM!$C$27)*$I$13+(MOD($B799,60)=PARAM!$B$56)*($B799&gt;(60-PARAM!$B$56))*HLOOKUP(($B799+PARAM!$B$56)/12,Loyalty,2)*$F$1*MAX(AT798,0)</f>
        <v>18.557001321003963</v>
      </c>
      <c r="AS799" s="75">
        <f>PARAM!$C$26+MAX($G$13-CHOOSE(PARAM!$B$44,MAX(0,AT798*$F$1),0),0)*RATES!$L775/12+$H$13*(PARAM!$D$51/12)*RATES!$N775/100</f>
        <v>917.625</v>
      </c>
      <c r="AT799" s="16">
        <f t="shared" si="552"/>
        <v>-126055.4446710669</v>
      </c>
      <c r="AU799" s="15">
        <f t="shared" si="527"/>
        <v>22.170849845882874</v>
      </c>
      <c r="AV799" s="75">
        <f>AU799*(1-PARAM!$C$27)*$I$14+(MOD($B799,60)=PARAM!$B$56)*($B799&gt;(60-PARAM!$B$56))*HLOOKUP(($B799+PARAM!$B$56)/12,Loyalty,2)*$F$1*MAX(AX798,0)</f>
        <v>18.557001321003963</v>
      </c>
      <c r="AW799" s="75">
        <f>PARAM!$C$26+MAX($G$14-CHOOSE(PARAM!$B$44,MAX(0,AX798*$F$1),0),0)*RATES!$L775/12+$H$14*(PARAM!$D$51/12)*RATES!$N775/100</f>
        <v>917.625</v>
      </c>
      <c r="AX799" s="16">
        <f t="shared" si="553"/>
        <v>-126055.4446710669</v>
      </c>
      <c r="AY799" s="15">
        <f t="shared" si="528"/>
        <v>22.170849845882874</v>
      </c>
      <c r="AZ799" s="75">
        <f>AY799*(1-PARAM!$C$27)*$I$15+(MOD($B799,60)=PARAM!$B$56)*($B799&gt;(60-PARAM!$B$56))*HLOOKUP(($B799+PARAM!$B$56)/12,Loyalty,2)*$F$1*MAX(BB798,0)</f>
        <v>18.557001321003963</v>
      </c>
      <c r="BA799" s="75">
        <f>PARAM!$C$26+MAX($G$15-CHOOSE(PARAM!$B$44,MAX(0,BB798*$F$1),0),0)*RATES!$L775/12+$H$15*(PARAM!$D$51/12)*RATES!$N775/100</f>
        <v>917.625</v>
      </c>
      <c r="BB799" s="16">
        <f t="shared" si="554"/>
        <v>-126055.4446710669</v>
      </c>
      <c r="BC799" s="15">
        <f t="shared" si="529"/>
        <v>22.170849845882874</v>
      </c>
      <c r="BD799" s="75">
        <f>BC799*(1-PARAM!$C$27)*$I$16+(MOD($B799,60)=PARAM!$B$56)*($B799&gt;(60-PARAM!$B$56))*HLOOKUP(($B799+PARAM!$B$56)/12,Loyalty,2)*$F$1*MAX(BF798,0)</f>
        <v>18.557001321003963</v>
      </c>
      <c r="BE799" s="75">
        <f>PARAM!$C$26+MAX($G$16-CHOOSE(PARAM!$B$44,MAX(0,BF798*$F$1),0),0)*RATES!$L775/12+$H$16*(PARAM!$D$51/12)*RATES!$N775/100</f>
        <v>917.625</v>
      </c>
      <c r="BF799" s="16">
        <f t="shared" si="555"/>
        <v>-126055.4446710669</v>
      </c>
      <c r="BG799" s="15">
        <f t="shared" si="530"/>
        <v>22.170849845882874</v>
      </c>
      <c r="BH799" s="75">
        <f>BG799*(1-PARAM!$C$27)*$I$17+(MOD($B799,60)=PARAM!$B$56)*($B799&gt;(60-PARAM!$B$56))*HLOOKUP(($B799+PARAM!$B$56)/12,Loyalty,2)*$F$1*MAX(BJ798,0)</f>
        <v>18.557001321003963</v>
      </c>
      <c r="BI799" s="75">
        <f>PARAM!$C$26+MAX($G$17-CHOOSE(PARAM!$B$44,MAX(0,BJ798*$F$1),0),0)*RATES!$L775/12+$H$17*(PARAM!$D$51/12)*RATES!$N775/100</f>
        <v>917.625</v>
      </c>
      <c r="BJ799" s="16">
        <f t="shared" si="556"/>
        <v>-126055.4446710669</v>
      </c>
      <c r="BK799" s="15">
        <f t="shared" si="531"/>
        <v>22.170849845882874</v>
      </c>
      <c r="BL799" s="75">
        <f>BK799*(1-PARAM!$C$27)*$I$18+(MOD($B799,60)=PARAM!$B$56)*($B799&gt;(60-PARAM!$B$56))*HLOOKUP(($B799+PARAM!$B$56)/12,Loyalty,2)*$F$1*MAX(BN798,0)</f>
        <v>18.557001321003963</v>
      </c>
      <c r="BM799" s="75">
        <f>PARAM!$C$26+MAX($G$18-CHOOSE(PARAM!$B$44,MAX(0,BN798*$F$1),0),0)*RATES!$L775/12+$H$18*(PARAM!$D$51/12)*RATES!$N775/100</f>
        <v>917.625</v>
      </c>
      <c r="BN799" s="16">
        <f t="shared" si="557"/>
        <v>-126055.4446710669</v>
      </c>
      <c r="BO799" s="15">
        <f t="shared" si="532"/>
        <v>22.170849845882874</v>
      </c>
      <c r="BP799" s="75">
        <f>BO799*(1-PARAM!$C$27)*$I$19+(MOD($B799,60)=PARAM!$B$56)*($B799&gt;(60-PARAM!$B$56))*HLOOKUP(($B799+PARAM!$B$56)/12,Loyalty,2)*$F$1*MAX(BR798,0)</f>
        <v>18.557001321003963</v>
      </c>
      <c r="BQ799" s="75">
        <f>PARAM!$C$26+MAX($G$19-CHOOSE(PARAM!$B$44,MAX(0,BR798*$F$1),0),0)*RATES!$L775/12+$H$19*(PARAM!$D$51/12)*RATES!$N775/100</f>
        <v>917.625</v>
      </c>
      <c r="BR799" s="16">
        <f t="shared" si="558"/>
        <v>-126055.4446710669</v>
      </c>
      <c r="BS799" s="15">
        <f t="shared" si="533"/>
        <v>22.170849845882874</v>
      </c>
      <c r="BT799" s="75">
        <f>BS799*(1-PARAM!$C$27)*$I$20+(MOD($B799,60)=PARAM!$B$56)*($B799&gt;(60-PARAM!$B$56))*HLOOKUP(($B799+PARAM!$B$56)/12,Loyalty,2)*$F$1*MAX(BV798,0)</f>
        <v>18.557001321003963</v>
      </c>
      <c r="BU799" s="75">
        <f>PARAM!$C$26+MAX($G$20-CHOOSE(PARAM!$B$44,MAX(0,BV798*$F$1),0),0)*RATES!$L775/12+$H$20*(PARAM!$D$51/12)*RATES!$N775/100</f>
        <v>917.625</v>
      </c>
      <c r="BV799" s="16">
        <f t="shared" si="559"/>
        <v>-126055.4446710669</v>
      </c>
      <c r="BW799" s="15">
        <f t="shared" si="534"/>
        <v>22.170849845882874</v>
      </c>
      <c r="BX799" s="75">
        <f>BW799*(1-PARAM!$C$27)*$I$21+(MOD($B799,60)=PARAM!$B$56)*($B799&gt;(60-PARAM!$B$56))*HLOOKUP(($B799+PARAM!$B$56)/12,Loyalty,2)*$F$1*MAX(BZ798,0)</f>
        <v>18.557001321003963</v>
      </c>
      <c r="BY799" s="75">
        <f>PARAM!$C$26+MAX($G$21-CHOOSE(PARAM!$B$44,MAX(0,BZ798*$F$1),0),0)*RATES!$L775/12+$H$21*(PARAM!$D$51/12)*RATES!$N775/100</f>
        <v>917.625</v>
      </c>
      <c r="BZ799" s="16">
        <f t="shared" si="560"/>
        <v>-126055.4446710669</v>
      </c>
      <c r="CA799" s="15">
        <f t="shared" si="535"/>
        <v>22.170849845882874</v>
      </c>
      <c r="CB799" s="75">
        <f>CA799*(1-PARAM!$C$27)*$I$22+(MOD($B799,60)=PARAM!$B$56)*($B799&gt;(60-PARAM!$B$56))*HLOOKUP(($B799+PARAM!$B$56)/12,Loyalty,2)*$F$1*MAX(CD798,0)</f>
        <v>18.557001321003963</v>
      </c>
      <c r="CC799" s="75">
        <f>PARAM!$C$26+MAX($G$22-CHOOSE(PARAM!$B$44,MAX(0,CD798*$F$1),0),0)*RATES!$L775/12+$H$22*(PARAM!$D$51/12)*RATES!$N775/100</f>
        <v>917.625</v>
      </c>
      <c r="CD799" s="16">
        <f t="shared" si="561"/>
        <v>-126055.4446710669</v>
      </c>
      <c r="CE799" s="33">
        <f>IF(0=MOD(B799,12/PARAM!$D$51),1,0)</f>
        <v>1</v>
      </c>
      <c r="CF799" s="15">
        <f t="shared" si="536"/>
        <v>0</v>
      </c>
      <c r="CG799" s="75">
        <f>CF799*(1-PARAM!$C$27)*$R$3+(MOD($B799/12,5)=0)*($B799&gt;60)*HLOOKUP($B799/12,Loyalty,2)*$F$1*MAX(CI798,0)</f>
        <v>0</v>
      </c>
      <c r="CH799" s="75">
        <f>PARAM!$C$26+MAX($P$3-CHOOSE(PARAM!$B$44,MAX(0,CI798*$F$1),0),0)*RATES!$L775/12+$Q$3*(PARAM!$D$51/12)*RATES!$N775/100</f>
        <v>917.625</v>
      </c>
      <c r="CI799" s="16">
        <f>IF(CI798&gt;0,CI798*PARAM!$C$53,CI798)+CG799-CH799</f>
        <v>-140261.87500000017</v>
      </c>
      <c r="CJ799" s="15">
        <f t="shared" si="562"/>
        <v>0</v>
      </c>
      <c r="CK799" s="75">
        <f>CJ799*(1-PARAM!$C$27)*$R$4+(MOD($B799/12,5)=0)*($B799&gt;60)*HLOOKUP($B799/12,Loyalty,2)*$F$1*MAX(CM798,0)</f>
        <v>0</v>
      </c>
      <c r="CL799" s="75">
        <f>PARAM!$C$26+MAX($P$4-CHOOSE(PARAM!$B$44,MAX(0,CM798*$F$1),0),0)*RATES!$L775/12+$Q$4*(PARAM!$D$51/12)*RATES!$N775/100</f>
        <v>917.625</v>
      </c>
      <c r="CM799" s="16">
        <f>IF(CM798&gt;0,CM798*PARAM!$C$53,CM798)+CK799-CL799</f>
        <v>-140261.87500000017</v>
      </c>
      <c r="CO799" s="176"/>
    </row>
    <row r="800" spans="1:93" x14ac:dyDescent="0.2">
      <c r="A800" t="b">
        <f t="shared" si="537"/>
        <v>0</v>
      </c>
      <c r="B800" s="33">
        <v>773</v>
      </c>
      <c r="C800" s="15">
        <f t="shared" si="538"/>
        <v>20.081305947392778</v>
      </c>
      <c r="D800" s="75">
        <f>C800*(1-PARAM!$C$27)*$I$3+(MOD($B800,60)=PARAM!$B$56)*($B800&gt;(60-PARAM!$B$56))*HLOOKUP(($B800+PARAM!$B$56)/12,Loyalty,2)*$F$1*MAX(F799,0)</f>
        <v>16.808053077967756</v>
      </c>
      <c r="E800" s="75">
        <f>PARAM!$C$26+MAX($G$3-CHOOSE(PARAM!$B$44,MAX(0,F799*$F$1),0),0)*RATES!$L776/12+$H$3*(PARAM!$D$51/12)*RATES!$N776/100</f>
        <v>917.625</v>
      </c>
      <c r="F800" s="16">
        <f t="shared" si="539"/>
        <v>-128343.30016213449</v>
      </c>
      <c r="G800" s="15">
        <f t="shared" si="540"/>
        <v>22.035289406060361</v>
      </c>
      <c r="H800" s="75">
        <f>G800*(1-PARAM!$C$27)*$I$4+(MOD($B800,60)=PARAM!$B$56)*($B800&gt;(60-PARAM!$B$56))*HLOOKUP(($B800+PARAM!$B$56)/12,Loyalty,2)*$F$1*MAX(J799,0)</f>
        <v>18.443537232872522</v>
      </c>
      <c r="I800" s="75">
        <f>PARAM!$C$26+MAX($G$4-CHOOSE(PARAM!$B$44,MAX(0,J799*$F$1),0),0)*RATES!$L776/12+$H$4*(PARAM!$D$51/12)*RATES!$N776/100</f>
        <v>917.625</v>
      </c>
      <c r="J800" s="16">
        <f t="shared" si="541"/>
        <v>-127045.23794627142</v>
      </c>
      <c r="K800" s="15">
        <f t="shared" si="542"/>
        <v>22.170849845882874</v>
      </c>
      <c r="L800" s="75">
        <f>K800*(1-PARAM!$C$27)*$I$5+(MOD($B800,60)=PARAM!$B$56)*($B800&gt;(60-PARAM!$B$56))*HLOOKUP(($B800+PARAM!$B$56)/12,Loyalty,2)*$F$1*MAX(N799,0)</f>
        <v>18.557001321003963</v>
      </c>
      <c r="M800" s="75">
        <f>PARAM!$C$26+MAX($G$5-CHOOSE(PARAM!$B$44,MAX(0,N799*$F$1),0),0)*RATES!$L776/12+$H$5*(PARAM!$D$51/12)*RATES!$N776/100</f>
        <v>917.625</v>
      </c>
      <c r="N800" s="16">
        <f t="shared" si="543"/>
        <v>-126954.51266974589</v>
      </c>
      <c r="O800" s="15">
        <f t="shared" si="544"/>
        <v>22.170849845882874</v>
      </c>
      <c r="P800" s="75">
        <f>O800*(1-PARAM!$C$27)*$I$6+(MOD($B800,60)=PARAM!$B$56)*($B800&gt;(60-PARAM!$B$56))*HLOOKUP(($B800+PARAM!$B$56)/12,Loyalty,2)*$F$1*MAX(R799,0)</f>
        <v>18.557001321003963</v>
      </c>
      <c r="Q800" s="75">
        <f>PARAM!$C$26+MAX($G$6-CHOOSE(PARAM!$B$44,MAX(0,R799*$F$1),0),0)*RATES!$L776/12+$H$6*(PARAM!$D$51/12)*RATES!$N776/100</f>
        <v>917.625</v>
      </c>
      <c r="R800" s="16">
        <f t="shared" si="545"/>
        <v>-126954.51266974589</v>
      </c>
      <c r="S800" s="15">
        <f t="shared" si="520"/>
        <v>22.170849845882874</v>
      </c>
      <c r="T800" s="75">
        <f>S800*(1-PARAM!$C$27)*$I$7+(MOD($B800,60)=PARAM!$B$56)*($B800&gt;(60-PARAM!$B$56))*HLOOKUP(($B800+PARAM!$B$56)/12,Loyalty,2)*$F$1*MAX(V799,0)</f>
        <v>18.557001321003963</v>
      </c>
      <c r="U800" s="75">
        <f>PARAM!$C$26+MAX($G$7-CHOOSE(PARAM!$B$44,MAX(0,V799*$F$1),0),0)*RATES!$L776/12+$H$7*(PARAM!$D$51/12)*RATES!$N776/100</f>
        <v>917.625</v>
      </c>
      <c r="V800" s="16">
        <f t="shared" si="546"/>
        <v>-126954.51266974589</v>
      </c>
      <c r="W800" s="15">
        <f t="shared" si="521"/>
        <v>22.170849845882874</v>
      </c>
      <c r="X800" s="75">
        <f>W800*(1-PARAM!$C$27)*$I$8+(MOD($B800,60)=PARAM!$B$56)*($B800&gt;(60-PARAM!$B$56))*HLOOKUP(($B800+PARAM!$B$56)/12,Loyalty,2)*$F$1*MAX(Z799,0)</f>
        <v>18.557001321003963</v>
      </c>
      <c r="Y800" s="75">
        <f>PARAM!$C$26+MAX($G$8-CHOOSE(PARAM!$B$44,MAX(0,Z799*$F$1),0),0)*RATES!$L776/12+$H$8*(PARAM!$D$51/12)*RATES!$N776/100</f>
        <v>917.625</v>
      </c>
      <c r="Z800" s="16">
        <f t="shared" si="547"/>
        <v>-126954.51266974589</v>
      </c>
      <c r="AA800" s="15">
        <f t="shared" si="522"/>
        <v>22.170849845882874</v>
      </c>
      <c r="AB800" s="75">
        <f>AA800*(1-PARAM!$C$27)*$I$9+(MOD($B800,60)=PARAM!$B$56)*($B800&gt;(60-PARAM!$B$56))*HLOOKUP(($B800+PARAM!$B$56)/12,Loyalty,2)*$F$1*MAX(AD799,0)</f>
        <v>18.557001321003963</v>
      </c>
      <c r="AC800" s="75">
        <f>PARAM!$C$26+MAX($G$9-CHOOSE(PARAM!$B$44,MAX(0,AD799*$F$1),0),0)*RATES!$L776/12+$H$9*(PARAM!$D$51/12)*RATES!$N776/100</f>
        <v>917.625</v>
      </c>
      <c r="AD800" s="16">
        <f t="shared" si="548"/>
        <v>-126954.51266974589</v>
      </c>
      <c r="AE800" s="15">
        <f t="shared" si="523"/>
        <v>22.170849845882874</v>
      </c>
      <c r="AF800" s="75">
        <f>AE800*(1-PARAM!$C$27)*$I$10+(MOD($B800,60)=PARAM!$B$56)*($B800&gt;(60-PARAM!$B$56))*HLOOKUP(($B800+PARAM!$B$56)/12,Loyalty,2)*$F$1*MAX(AH799,0)</f>
        <v>18.557001321003963</v>
      </c>
      <c r="AG800" s="75">
        <f>PARAM!$C$26+MAX($G$10-CHOOSE(PARAM!$B$44,MAX(0,AH799*$F$1),0),0)*RATES!$L776/12+$H$10*(PARAM!$D$51/12)*RATES!$N776/100</f>
        <v>917.625</v>
      </c>
      <c r="AH800" s="16">
        <f t="shared" si="549"/>
        <v>-126954.51266974589</v>
      </c>
      <c r="AI800" s="15">
        <f t="shared" si="524"/>
        <v>22.170849845882874</v>
      </c>
      <c r="AJ800" s="75">
        <f>AI800*(1-PARAM!$C$27)*$I$11+(MOD($B800,60)=PARAM!$B$56)*($B800&gt;(60-PARAM!$B$56))*HLOOKUP(($B800+PARAM!$B$56)/12,Loyalty,2)*$F$1*MAX(AL799,0)</f>
        <v>18.557001321003963</v>
      </c>
      <c r="AK800" s="75">
        <f>PARAM!$C$26+MAX($G$11-CHOOSE(PARAM!$B$44,MAX(0,AL799*$F$1),0),0)*RATES!$L776/12+$H$11*(PARAM!$D$51/12)*RATES!$N776/100</f>
        <v>917.625</v>
      </c>
      <c r="AL800" s="16">
        <f t="shared" si="550"/>
        <v>-126954.51266974589</v>
      </c>
      <c r="AM800" s="15">
        <f t="shared" si="525"/>
        <v>22.170849845882874</v>
      </c>
      <c r="AN800" s="75">
        <f>AM800*(1-PARAM!$C$27)*$I$12+(MOD($B800,60)=PARAM!$B$56)*($B800&gt;(60-PARAM!$B$56))*HLOOKUP(($B800+PARAM!$B$56)/12,Loyalty,2)*$F$1*MAX(AP799,0)</f>
        <v>18.557001321003963</v>
      </c>
      <c r="AO800" s="75">
        <f>PARAM!$C$26+MAX($G$12-CHOOSE(PARAM!$B$44,MAX(0,AP799*$F$1),0),0)*RATES!$L776/12+$H$12*(PARAM!$D$51/12)*RATES!$N776/100</f>
        <v>917.625</v>
      </c>
      <c r="AP800" s="16">
        <f t="shared" si="551"/>
        <v>-126954.51266974589</v>
      </c>
      <c r="AQ800" s="15">
        <f t="shared" si="526"/>
        <v>22.170849845882874</v>
      </c>
      <c r="AR800" s="75">
        <f>AQ800*(1-PARAM!$C$27)*$I$13+(MOD($B800,60)=PARAM!$B$56)*($B800&gt;(60-PARAM!$B$56))*HLOOKUP(($B800+PARAM!$B$56)/12,Loyalty,2)*$F$1*MAX(AT799,0)</f>
        <v>18.557001321003963</v>
      </c>
      <c r="AS800" s="75">
        <f>PARAM!$C$26+MAX($G$13-CHOOSE(PARAM!$B$44,MAX(0,AT799*$F$1),0),0)*RATES!$L776/12+$H$13*(PARAM!$D$51/12)*RATES!$N776/100</f>
        <v>917.625</v>
      </c>
      <c r="AT800" s="16">
        <f t="shared" si="552"/>
        <v>-126954.51266974589</v>
      </c>
      <c r="AU800" s="15">
        <f t="shared" si="527"/>
        <v>22.170849845882874</v>
      </c>
      <c r="AV800" s="75">
        <f>AU800*(1-PARAM!$C$27)*$I$14+(MOD($B800,60)=PARAM!$B$56)*($B800&gt;(60-PARAM!$B$56))*HLOOKUP(($B800+PARAM!$B$56)/12,Loyalty,2)*$F$1*MAX(AX799,0)</f>
        <v>18.557001321003963</v>
      </c>
      <c r="AW800" s="75">
        <f>PARAM!$C$26+MAX($G$14-CHOOSE(PARAM!$B$44,MAX(0,AX799*$F$1),0),0)*RATES!$L776/12+$H$14*(PARAM!$D$51/12)*RATES!$N776/100</f>
        <v>917.625</v>
      </c>
      <c r="AX800" s="16">
        <f t="shared" si="553"/>
        <v>-126954.51266974589</v>
      </c>
      <c r="AY800" s="15">
        <f t="shared" si="528"/>
        <v>22.170849845882874</v>
      </c>
      <c r="AZ800" s="75">
        <f>AY800*(1-PARAM!$C$27)*$I$15+(MOD($B800,60)=PARAM!$B$56)*($B800&gt;(60-PARAM!$B$56))*HLOOKUP(($B800+PARAM!$B$56)/12,Loyalty,2)*$F$1*MAX(BB799,0)</f>
        <v>18.557001321003963</v>
      </c>
      <c r="BA800" s="75">
        <f>PARAM!$C$26+MAX($G$15-CHOOSE(PARAM!$B$44,MAX(0,BB799*$F$1),0),0)*RATES!$L776/12+$H$15*(PARAM!$D$51/12)*RATES!$N776/100</f>
        <v>917.625</v>
      </c>
      <c r="BB800" s="16">
        <f t="shared" si="554"/>
        <v>-126954.51266974589</v>
      </c>
      <c r="BC800" s="15">
        <f t="shared" si="529"/>
        <v>22.170849845882874</v>
      </c>
      <c r="BD800" s="75">
        <f>BC800*(1-PARAM!$C$27)*$I$16+(MOD($B800,60)=PARAM!$B$56)*($B800&gt;(60-PARAM!$B$56))*HLOOKUP(($B800+PARAM!$B$56)/12,Loyalty,2)*$F$1*MAX(BF799,0)</f>
        <v>18.557001321003963</v>
      </c>
      <c r="BE800" s="75">
        <f>PARAM!$C$26+MAX($G$16-CHOOSE(PARAM!$B$44,MAX(0,BF799*$F$1),0),0)*RATES!$L776/12+$H$16*(PARAM!$D$51/12)*RATES!$N776/100</f>
        <v>917.625</v>
      </c>
      <c r="BF800" s="16">
        <f t="shared" si="555"/>
        <v>-126954.51266974589</v>
      </c>
      <c r="BG800" s="15">
        <f t="shared" si="530"/>
        <v>22.170849845882874</v>
      </c>
      <c r="BH800" s="75">
        <f>BG800*(1-PARAM!$C$27)*$I$17+(MOD($B800,60)=PARAM!$B$56)*($B800&gt;(60-PARAM!$B$56))*HLOOKUP(($B800+PARAM!$B$56)/12,Loyalty,2)*$F$1*MAX(BJ799,0)</f>
        <v>18.557001321003963</v>
      </c>
      <c r="BI800" s="75">
        <f>PARAM!$C$26+MAX($G$17-CHOOSE(PARAM!$B$44,MAX(0,BJ799*$F$1),0),0)*RATES!$L776/12+$H$17*(PARAM!$D$51/12)*RATES!$N776/100</f>
        <v>917.625</v>
      </c>
      <c r="BJ800" s="16">
        <f t="shared" si="556"/>
        <v>-126954.51266974589</v>
      </c>
      <c r="BK800" s="15">
        <f t="shared" si="531"/>
        <v>22.170849845882874</v>
      </c>
      <c r="BL800" s="75">
        <f>BK800*(1-PARAM!$C$27)*$I$18+(MOD($B800,60)=PARAM!$B$56)*($B800&gt;(60-PARAM!$B$56))*HLOOKUP(($B800+PARAM!$B$56)/12,Loyalty,2)*$F$1*MAX(BN799,0)</f>
        <v>18.557001321003963</v>
      </c>
      <c r="BM800" s="75">
        <f>PARAM!$C$26+MAX($G$18-CHOOSE(PARAM!$B$44,MAX(0,BN799*$F$1),0),0)*RATES!$L776/12+$H$18*(PARAM!$D$51/12)*RATES!$N776/100</f>
        <v>917.625</v>
      </c>
      <c r="BN800" s="16">
        <f t="shared" si="557"/>
        <v>-126954.51266974589</v>
      </c>
      <c r="BO800" s="15">
        <f t="shared" si="532"/>
        <v>22.170849845882874</v>
      </c>
      <c r="BP800" s="75">
        <f>BO800*(1-PARAM!$C$27)*$I$19+(MOD($B800,60)=PARAM!$B$56)*($B800&gt;(60-PARAM!$B$56))*HLOOKUP(($B800+PARAM!$B$56)/12,Loyalty,2)*$F$1*MAX(BR799,0)</f>
        <v>18.557001321003963</v>
      </c>
      <c r="BQ800" s="75">
        <f>PARAM!$C$26+MAX($G$19-CHOOSE(PARAM!$B$44,MAX(0,BR799*$F$1),0),0)*RATES!$L776/12+$H$19*(PARAM!$D$51/12)*RATES!$N776/100</f>
        <v>917.625</v>
      </c>
      <c r="BR800" s="16">
        <f t="shared" si="558"/>
        <v>-126954.51266974589</v>
      </c>
      <c r="BS800" s="15">
        <f t="shared" si="533"/>
        <v>22.170849845882874</v>
      </c>
      <c r="BT800" s="75">
        <f>BS800*(1-PARAM!$C$27)*$I$20+(MOD($B800,60)=PARAM!$B$56)*($B800&gt;(60-PARAM!$B$56))*HLOOKUP(($B800+PARAM!$B$56)/12,Loyalty,2)*$F$1*MAX(BV799,0)</f>
        <v>18.557001321003963</v>
      </c>
      <c r="BU800" s="75">
        <f>PARAM!$C$26+MAX($G$20-CHOOSE(PARAM!$B$44,MAX(0,BV799*$F$1),0),0)*RATES!$L776/12+$H$20*(PARAM!$D$51/12)*RATES!$N776/100</f>
        <v>917.625</v>
      </c>
      <c r="BV800" s="16">
        <f t="shared" si="559"/>
        <v>-126954.51266974589</v>
      </c>
      <c r="BW800" s="15">
        <f t="shared" si="534"/>
        <v>22.170849845882874</v>
      </c>
      <c r="BX800" s="75">
        <f>BW800*(1-PARAM!$C$27)*$I$21+(MOD($B800,60)=PARAM!$B$56)*($B800&gt;(60-PARAM!$B$56))*HLOOKUP(($B800+PARAM!$B$56)/12,Loyalty,2)*$F$1*MAX(BZ799,0)</f>
        <v>18.557001321003963</v>
      </c>
      <c r="BY800" s="75">
        <f>PARAM!$C$26+MAX($G$21-CHOOSE(PARAM!$B$44,MAX(0,BZ799*$F$1),0),0)*RATES!$L776/12+$H$21*(PARAM!$D$51/12)*RATES!$N776/100</f>
        <v>917.625</v>
      </c>
      <c r="BZ800" s="16">
        <f t="shared" si="560"/>
        <v>-126954.51266974589</v>
      </c>
      <c r="CA800" s="15">
        <f t="shared" si="535"/>
        <v>22.170849845882874</v>
      </c>
      <c r="CB800" s="75">
        <f>CA800*(1-PARAM!$C$27)*$I$22+(MOD($B800,60)=PARAM!$B$56)*($B800&gt;(60-PARAM!$B$56))*HLOOKUP(($B800+PARAM!$B$56)/12,Loyalty,2)*$F$1*MAX(CD799,0)</f>
        <v>18.557001321003963</v>
      </c>
      <c r="CC800" s="75">
        <f>PARAM!$C$26+MAX($G$22-CHOOSE(PARAM!$B$44,MAX(0,CD799*$F$1),0),0)*RATES!$L776/12+$H$22*(PARAM!$D$51/12)*RATES!$N776/100</f>
        <v>917.625</v>
      </c>
      <c r="CD800" s="16">
        <f t="shared" si="561"/>
        <v>-126954.51266974589</v>
      </c>
      <c r="CE800" s="33">
        <f>IF(0=MOD(B800,12/PARAM!$D$51),1,0)</f>
        <v>1</v>
      </c>
      <c r="CF800" s="15">
        <f t="shared" si="536"/>
        <v>0</v>
      </c>
      <c r="CG800" s="75">
        <f>CF800*(1-PARAM!$C$27)*$R$3+(MOD($B800/12,5)=0)*($B800&gt;60)*HLOOKUP($B800/12,Loyalty,2)*$F$1*MAX(CI799,0)</f>
        <v>0</v>
      </c>
      <c r="CH800" s="75">
        <f>PARAM!$C$26+MAX($P$3-CHOOSE(PARAM!$B$44,MAX(0,CI799*$F$1),0),0)*RATES!$L776/12+$Q$3*(PARAM!$D$51/12)*RATES!$N776/100</f>
        <v>917.625</v>
      </c>
      <c r="CI800" s="16">
        <f>IF(CI799&gt;0,CI799*PARAM!$C$53,CI799)+CG800-CH800</f>
        <v>-141179.50000000017</v>
      </c>
      <c r="CJ800" s="15">
        <f t="shared" si="562"/>
        <v>0</v>
      </c>
      <c r="CK800" s="75">
        <f>CJ800*(1-PARAM!$C$27)*$R$4+(MOD($B800/12,5)=0)*($B800&gt;60)*HLOOKUP($B800/12,Loyalty,2)*$F$1*MAX(CM799,0)</f>
        <v>0</v>
      </c>
      <c r="CL800" s="75">
        <f>PARAM!$C$26+MAX($P$4-CHOOSE(PARAM!$B$44,MAX(0,CM799*$F$1),0),0)*RATES!$L776/12+$Q$4*(PARAM!$D$51/12)*RATES!$N776/100</f>
        <v>917.625</v>
      </c>
      <c r="CM800" s="16">
        <f>IF(CM799&gt;0,CM799*PARAM!$C$53,CM799)+CK800-CL800</f>
        <v>-141179.50000000017</v>
      </c>
      <c r="CO800" s="176"/>
    </row>
    <row r="801" spans="1:93" x14ac:dyDescent="0.2">
      <c r="A801" t="b">
        <f t="shared" si="537"/>
        <v>0</v>
      </c>
      <c r="B801" s="33">
        <v>774</v>
      </c>
      <c r="C801" s="15">
        <f t="shared" si="538"/>
        <v>20.081305947392778</v>
      </c>
      <c r="D801" s="75">
        <f>C801*(1-PARAM!$C$27)*$I$3+(MOD($B801,60)=PARAM!$B$56)*($B801&gt;(60-PARAM!$B$56))*HLOOKUP(($B801+PARAM!$B$56)/12,Loyalty,2)*$F$1*MAX(F800,0)</f>
        <v>16.808053077967756</v>
      </c>
      <c r="E801" s="75">
        <f>PARAM!$C$26+MAX($G$3-CHOOSE(PARAM!$B$44,MAX(0,F800*$F$1),0),0)*RATES!$L777/12+$H$3*(PARAM!$D$51/12)*RATES!$N777/100</f>
        <v>981.83333333333337</v>
      </c>
      <c r="F801" s="16">
        <f t="shared" si="539"/>
        <v>-129308.32544238985</v>
      </c>
      <c r="G801" s="15">
        <f t="shared" si="540"/>
        <v>22.035289406060361</v>
      </c>
      <c r="H801" s="75">
        <f>G801*(1-PARAM!$C$27)*$I$4+(MOD($B801,60)=PARAM!$B$56)*($B801&gt;(60-PARAM!$B$56))*HLOOKUP(($B801+PARAM!$B$56)/12,Loyalty,2)*$F$1*MAX(J800,0)</f>
        <v>18.443537232872522</v>
      </c>
      <c r="I801" s="75">
        <f>PARAM!$C$26+MAX($G$4-CHOOSE(PARAM!$B$44,MAX(0,J800*$F$1),0),0)*RATES!$L777/12+$H$4*(PARAM!$D$51/12)*RATES!$N777/100</f>
        <v>981.83333333333337</v>
      </c>
      <c r="J801" s="16">
        <f t="shared" si="541"/>
        <v>-128008.62774237187</v>
      </c>
      <c r="K801" s="15">
        <f t="shared" si="542"/>
        <v>22.170849845882874</v>
      </c>
      <c r="L801" s="75">
        <f>K801*(1-PARAM!$C$27)*$I$5+(MOD($B801,60)=PARAM!$B$56)*($B801&gt;(60-PARAM!$B$56))*HLOOKUP(($B801+PARAM!$B$56)/12,Loyalty,2)*$F$1*MAX(N800,0)</f>
        <v>18.557001321003963</v>
      </c>
      <c r="M801" s="75">
        <f>PARAM!$C$26+MAX($G$5-CHOOSE(PARAM!$B$44,MAX(0,N800*$F$1),0),0)*RATES!$L777/12+$H$5*(PARAM!$D$51/12)*RATES!$N777/100</f>
        <v>981.83333333333337</v>
      </c>
      <c r="N801" s="16">
        <f t="shared" si="543"/>
        <v>-127917.78900175821</v>
      </c>
      <c r="O801" s="15">
        <f t="shared" si="544"/>
        <v>22.170849845882874</v>
      </c>
      <c r="P801" s="75">
        <f>O801*(1-PARAM!$C$27)*$I$6+(MOD($B801,60)=PARAM!$B$56)*($B801&gt;(60-PARAM!$B$56))*HLOOKUP(($B801+PARAM!$B$56)/12,Loyalty,2)*$F$1*MAX(R800,0)</f>
        <v>18.557001321003963</v>
      </c>
      <c r="Q801" s="75">
        <f>PARAM!$C$26+MAX($G$6-CHOOSE(PARAM!$B$44,MAX(0,R800*$F$1),0),0)*RATES!$L777/12+$H$6*(PARAM!$D$51/12)*RATES!$N777/100</f>
        <v>981.83333333333337</v>
      </c>
      <c r="R801" s="16">
        <f t="shared" si="545"/>
        <v>-127917.78900175821</v>
      </c>
      <c r="S801" s="15">
        <f t="shared" si="520"/>
        <v>22.170849845882874</v>
      </c>
      <c r="T801" s="75">
        <f>S801*(1-PARAM!$C$27)*$I$7+(MOD($B801,60)=PARAM!$B$56)*($B801&gt;(60-PARAM!$B$56))*HLOOKUP(($B801+PARAM!$B$56)/12,Loyalty,2)*$F$1*MAX(V800,0)</f>
        <v>18.557001321003963</v>
      </c>
      <c r="U801" s="75">
        <f>PARAM!$C$26+MAX($G$7-CHOOSE(PARAM!$B$44,MAX(0,V800*$F$1),0),0)*RATES!$L777/12+$H$7*(PARAM!$D$51/12)*RATES!$N777/100</f>
        <v>981.83333333333337</v>
      </c>
      <c r="V801" s="16">
        <f t="shared" si="546"/>
        <v>-127917.78900175821</v>
      </c>
      <c r="W801" s="15">
        <f t="shared" si="521"/>
        <v>22.170849845882874</v>
      </c>
      <c r="X801" s="75">
        <f>W801*(1-PARAM!$C$27)*$I$8+(MOD($B801,60)=PARAM!$B$56)*($B801&gt;(60-PARAM!$B$56))*HLOOKUP(($B801+PARAM!$B$56)/12,Loyalty,2)*$F$1*MAX(Z800,0)</f>
        <v>18.557001321003963</v>
      </c>
      <c r="Y801" s="75">
        <f>PARAM!$C$26+MAX($G$8-CHOOSE(PARAM!$B$44,MAX(0,Z800*$F$1),0),0)*RATES!$L777/12+$H$8*(PARAM!$D$51/12)*RATES!$N777/100</f>
        <v>981.83333333333337</v>
      </c>
      <c r="Z801" s="16">
        <f t="shared" si="547"/>
        <v>-127917.78900175821</v>
      </c>
      <c r="AA801" s="15">
        <f t="shared" si="522"/>
        <v>22.170849845882874</v>
      </c>
      <c r="AB801" s="75">
        <f>AA801*(1-PARAM!$C$27)*$I$9+(MOD($B801,60)=PARAM!$B$56)*($B801&gt;(60-PARAM!$B$56))*HLOOKUP(($B801+PARAM!$B$56)/12,Loyalty,2)*$F$1*MAX(AD800,0)</f>
        <v>18.557001321003963</v>
      </c>
      <c r="AC801" s="75">
        <f>PARAM!$C$26+MAX($G$9-CHOOSE(PARAM!$B$44,MAX(0,AD800*$F$1),0),0)*RATES!$L777/12+$H$9*(PARAM!$D$51/12)*RATES!$N777/100</f>
        <v>981.83333333333337</v>
      </c>
      <c r="AD801" s="16">
        <f t="shared" si="548"/>
        <v>-127917.78900175821</v>
      </c>
      <c r="AE801" s="15">
        <f t="shared" si="523"/>
        <v>22.170849845882874</v>
      </c>
      <c r="AF801" s="75">
        <f>AE801*(1-PARAM!$C$27)*$I$10+(MOD($B801,60)=PARAM!$B$56)*($B801&gt;(60-PARAM!$B$56))*HLOOKUP(($B801+PARAM!$B$56)/12,Loyalty,2)*$F$1*MAX(AH800,0)</f>
        <v>18.557001321003963</v>
      </c>
      <c r="AG801" s="75">
        <f>PARAM!$C$26+MAX($G$10-CHOOSE(PARAM!$B$44,MAX(0,AH800*$F$1),0),0)*RATES!$L777/12+$H$10*(PARAM!$D$51/12)*RATES!$N777/100</f>
        <v>981.83333333333337</v>
      </c>
      <c r="AH801" s="16">
        <f t="shared" si="549"/>
        <v>-127917.78900175821</v>
      </c>
      <c r="AI801" s="15">
        <f t="shared" si="524"/>
        <v>22.170849845882874</v>
      </c>
      <c r="AJ801" s="75">
        <f>AI801*(1-PARAM!$C$27)*$I$11+(MOD($B801,60)=PARAM!$B$56)*($B801&gt;(60-PARAM!$B$56))*HLOOKUP(($B801+PARAM!$B$56)/12,Loyalty,2)*$F$1*MAX(AL800,0)</f>
        <v>18.557001321003963</v>
      </c>
      <c r="AK801" s="75">
        <f>PARAM!$C$26+MAX($G$11-CHOOSE(PARAM!$B$44,MAX(0,AL800*$F$1),0),0)*RATES!$L777/12+$H$11*(PARAM!$D$51/12)*RATES!$N777/100</f>
        <v>981.83333333333337</v>
      </c>
      <c r="AL801" s="16">
        <f t="shared" si="550"/>
        <v>-127917.78900175821</v>
      </c>
      <c r="AM801" s="15">
        <f t="shared" si="525"/>
        <v>22.170849845882874</v>
      </c>
      <c r="AN801" s="75">
        <f>AM801*(1-PARAM!$C$27)*$I$12+(MOD($B801,60)=PARAM!$B$56)*($B801&gt;(60-PARAM!$B$56))*HLOOKUP(($B801+PARAM!$B$56)/12,Loyalty,2)*$F$1*MAX(AP800,0)</f>
        <v>18.557001321003963</v>
      </c>
      <c r="AO801" s="75">
        <f>PARAM!$C$26+MAX($G$12-CHOOSE(PARAM!$B$44,MAX(0,AP800*$F$1),0),0)*RATES!$L777/12+$H$12*(PARAM!$D$51/12)*RATES!$N777/100</f>
        <v>981.83333333333337</v>
      </c>
      <c r="AP801" s="16">
        <f t="shared" si="551"/>
        <v>-127917.78900175821</v>
      </c>
      <c r="AQ801" s="15">
        <f t="shared" si="526"/>
        <v>22.170849845882874</v>
      </c>
      <c r="AR801" s="75">
        <f>AQ801*(1-PARAM!$C$27)*$I$13+(MOD($B801,60)=PARAM!$B$56)*($B801&gt;(60-PARAM!$B$56))*HLOOKUP(($B801+PARAM!$B$56)/12,Loyalty,2)*$F$1*MAX(AT800,0)</f>
        <v>18.557001321003963</v>
      </c>
      <c r="AS801" s="75">
        <f>PARAM!$C$26+MAX($G$13-CHOOSE(PARAM!$B$44,MAX(0,AT800*$F$1),0),0)*RATES!$L777/12+$H$13*(PARAM!$D$51/12)*RATES!$N777/100</f>
        <v>981.83333333333337</v>
      </c>
      <c r="AT801" s="16">
        <f t="shared" si="552"/>
        <v>-127917.78900175821</v>
      </c>
      <c r="AU801" s="15">
        <f t="shared" si="527"/>
        <v>22.170849845882874</v>
      </c>
      <c r="AV801" s="75">
        <f>AU801*(1-PARAM!$C$27)*$I$14+(MOD($B801,60)=PARAM!$B$56)*($B801&gt;(60-PARAM!$B$56))*HLOOKUP(($B801+PARAM!$B$56)/12,Loyalty,2)*$F$1*MAX(AX800,0)</f>
        <v>18.557001321003963</v>
      </c>
      <c r="AW801" s="75">
        <f>PARAM!$C$26+MAX($G$14-CHOOSE(PARAM!$B$44,MAX(0,AX800*$F$1),0),0)*RATES!$L777/12+$H$14*(PARAM!$D$51/12)*RATES!$N777/100</f>
        <v>981.83333333333337</v>
      </c>
      <c r="AX801" s="16">
        <f t="shared" si="553"/>
        <v>-127917.78900175821</v>
      </c>
      <c r="AY801" s="15">
        <f t="shared" si="528"/>
        <v>22.170849845882874</v>
      </c>
      <c r="AZ801" s="75">
        <f>AY801*(1-PARAM!$C$27)*$I$15+(MOD($B801,60)=PARAM!$B$56)*($B801&gt;(60-PARAM!$B$56))*HLOOKUP(($B801+PARAM!$B$56)/12,Loyalty,2)*$F$1*MAX(BB800,0)</f>
        <v>18.557001321003963</v>
      </c>
      <c r="BA801" s="75">
        <f>PARAM!$C$26+MAX($G$15-CHOOSE(PARAM!$B$44,MAX(0,BB800*$F$1),0),0)*RATES!$L777/12+$H$15*(PARAM!$D$51/12)*RATES!$N777/100</f>
        <v>981.83333333333337</v>
      </c>
      <c r="BB801" s="16">
        <f t="shared" si="554"/>
        <v>-127917.78900175821</v>
      </c>
      <c r="BC801" s="15">
        <f t="shared" si="529"/>
        <v>22.170849845882874</v>
      </c>
      <c r="BD801" s="75">
        <f>BC801*(1-PARAM!$C$27)*$I$16+(MOD($B801,60)=PARAM!$B$56)*($B801&gt;(60-PARAM!$B$56))*HLOOKUP(($B801+PARAM!$B$56)/12,Loyalty,2)*$F$1*MAX(BF800,0)</f>
        <v>18.557001321003963</v>
      </c>
      <c r="BE801" s="75">
        <f>PARAM!$C$26+MAX($G$16-CHOOSE(PARAM!$B$44,MAX(0,BF800*$F$1),0),0)*RATES!$L777/12+$H$16*(PARAM!$D$51/12)*RATES!$N777/100</f>
        <v>981.83333333333337</v>
      </c>
      <c r="BF801" s="16">
        <f t="shared" si="555"/>
        <v>-127917.78900175821</v>
      </c>
      <c r="BG801" s="15">
        <f t="shared" si="530"/>
        <v>22.170849845882874</v>
      </c>
      <c r="BH801" s="75">
        <f>BG801*(1-PARAM!$C$27)*$I$17+(MOD($B801,60)=PARAM!$B$56)*($B801&gt;(60-PARAM!$B$56))*HLOOKUP(($B801+PARAM!$B$56)/12,Loyalty,2)*$F$1*MAX(BJ800,0)</f>
        <v>18.557001321003963</v>
      </c>
      <c r="BI801" s="75">
        <f>PARAM!$C$26+MAX($G$17-CHOOSE(PARAM!$B$44,MAX(0,BJ800*$F$1),0),0)*RATES!$L777/12+$H$17*(PARAM!$D$51/12)*RATES!$N777/100</f>
        <v>981.83333333333337</v>
      </c>
      <c r="BJ801" s="16">
        <f t="shared" si="556"/>
        <v>-127917.78900175821</v>
      </c>
      <c r="BK801" s="15">
        <f t="shared" si="531"/>
        <v>22.170849845882874</v>
      </c>
      <c r="BL801" s="75">
        <f>BK801*(1-PARAM!$C$27)*$I$18+(MOD($B801,60)=PARAM!$B$56)*($B801&gt;(60-PARAM!$B$56))*HLOOKUP(($B801+PARAM!$B$56)/12,Loyalty,2)*$F$1*MAX(BN800,0)</f>
        <v>18.557001321003963</v>
      </c>
      <c r="BM801" s="75">
        <f>PARAM!$C$26+MAX($G$18-CHOOSE(PARAM!$B$44,MAX(0,BN800*$F$1),0),0)*RATES!$L777/12+$H$18*(PARAM!$D$51/12)*RATES!$N777/100</f>
        <v>981.83333333333337</v>
      </c>
      <c r="BN801" s="16">
        <f t="shared" si="557"/>
        <v>-127917.78900175821</v>
      </c>
      <c r="BO801" s="15">
        <f t="shared" si="532"/>
        <v>22.170849845882874</v>
      </c>
      <c r="BP801" s="75">
        <f>BO801*(1-PARAM!$C$27)*$I$19+(MOD($B801,60)=PARAM!$B$56)*($B801&gt;(60-PARAM!$B$56))*HLOOKUP(($B801+PARAM!$B$56)/12,Loyalty,2)*$F$1*MAX(BR800,0)</f>
        <v>18.557001321003963</v>
      </c>
      <c r="BQ801" s="75">
        <f>PARAM!$C$26+MAX($G$19-CHOOSE(PARAM!$B$44,MAX(0,BR800*$F$1),0),0)*RATES!$L777/12+$H$19*(PARAM!$D$51/12)*RATES!$N777/100</f>
        <v>981.83333333333337</v>
      </c>
      <c r="BR801" s="16">
        <f t="shared" si="558"/>
        <v>-127917.78900175821</v>
      </c>
      <c r="BS801" s="15">
        <f t="shared" si="533"/>
        <v>22.170849845882874</v>
      </c>
      <c r="BT801" s="75">
        <f>BS801*(1-PARAM!$C$27)*$I$20+(MOD($B801,60)=PARAM!$B$56)*($B801&gt;(60-PARAM!$B$56))*HLOOKUP(($B801+PARAM!$B$56)/12,Loyalty,2)*$F$1*MAX(BV800,0)</f>
        <v>18.557001321003963</v>
      </c>
      <c r="BU801" s="75">
        <f>PARAM!$C$26+MAX($G$20-CHOOSE(PARAM!$B$44,MAX(0,BV800*$F$1),0),0)*RATES!$L777/12+$H$20*(PARAM!$D$51/12)*RATES!$N777/100</f>
        <v>981.83333333333337</v>
      </c>
      <c r="BV801" s="16">
        <f t="shared" si="559"/>
        <v>-127917.78900175821</v>
      </c>
      <c r="BW801" s="15">
        <f t="shared" si="534"/>
        <v>22.170849845882874</v>
      </c>
      <c r="BX801" s="75">
        <f>BW801*(1-PARAM!$C$27)*$I$21+(MOD($B801,60)=PARAM!$B$56)*($B801&gt;(60-PARAM!$B$56))*HLOOKUP(($B801+PARAM!$B$56)/12,Loyalty,2)*$F$1*MAX(BZ800,0)</f>
        <v>18.557001321003963</v>
      </c>
      <c r="BY801" s="75">
        <f>PARAM!$C$26+MAX($G$21-CHOOSE(PARAM!$B$44,MAX(0,BZ800*$F$1),0),0)*RATES!$L777/12+$H$21*(PARAM!$D$51/12)*RATES!$N777/100</f>
        <v>981.83333333333337</v>
      </c>
      <c r="BZ801" s="16">
        <f t="shared" si="560"/>
        <v>-127917.78900175821</v>
      </c>
      <c r="CA801" s="15">
        <f t="shared" si="535"/>
        <v>22.170849845882874</v>
      </c>
      <c r="CB801" s="75">
        <f>CA801*(1-PARAM!$C$27)*$I$22+(MOD($B801,60)=PARAM!$B$56)*($B801&gt;(60-PARAM!$B$56))*HLOOKUP(($B801+PARAM!$B$56)/12,Loyalty,2)*$F$1*MAX(CD800,0)</f>
        <v>18.557001321003963</v>
      </c>
      <c r="CC801" s="75">
        <f>PARAM!$C$26+MAX($G$22-CHOOSE(PARAM!$B$44,MAX(0,CD800*$F$1),0),0)*RATES!$L777/12+$H$22*(PARAM!$D$51/12)*RATES!$N777/100</f>
        <v>981.83333333333337</v>
      </c>
      <c r="CD801" s="16">
        <f t="shared" si="561"/>
        <v>-127917.78900175821</v>
      </c>
      <c r="CE801" s="33">
        <f>IF(0=MOD(B801,12/PARAM!$D$51),1,0)</f>
        <v>1</v>
      </c>
      <c r="CF801" s="15">
        <f t="shared" si="536"/>
        <v>0</v>
      </c>
      <c r="CG801" s="75">
        <f>CF801*(1-PARAM!$C$27)*$R$3+(MOD($B801/12,5)=0)*($B801&gt;60)*HLOOKUP($B801/12,Loyalty,2)*$F$1*MAX(CI800,0)</f>
        <v>0</v>
      </c>
      <c r="CH801" s="75">
        <f>PARAM!$C$26+MAX($P$3-CHOOSE(PARAM!$B$44,MAX(0,CI800*$F$1),0),0)*RATES!$L777/12+$Q$3*(PARAM!$D$51/12)*RATES!$N777/100</f>
        <v>981.83333333333337</v>
      </c>
      <c r="CI801" s="16">
        <f>IF(CI800&gt;0,CI800*PARAM!$C$53,CI800)+CG801-CH801</f>
        <v>-142161.33333333352</v>
      </c>
      <c r="CJ801" s="15">
        <f t="shared" si="562"/>
        <v>0</v>
      </c>
      <c r="CK801" s="75">
        <f>CJ801*(1-PARAM!$C$27)*$R$4+(MOD($B801/12,5)=0)*($B801&gt;60)*HLOOKUP($B801/12,Loyalty,2)*$F$1*MAX(CM800,0)</f>
        <v>0</v>
      </c>
      <c r="CL801" s="75">
        <f>PARAM!$C$26+MAX($P$4-CHOOSE(PARAM!$B$44,MAX(0,CM800*$F$1),0),0)*RATES!$L777/12+$Q$4*(PARAM!$D$51/12)*RATES!$N777/100</f>
        <v>981.83333333333337</v>
      </c>
      <c r="CM801" s="16">
        <f>IF(CM800&gt;0,CM800*PARAM!$C$53,CM800)+CK801-CL801</f>
        <v>-142161.33333333352</v>
      </c>
      <c r="CO801" s="176"/>
    </row>
    <row r="802" spans="1:93" x14ac:dyDescent="0.2">
      <c r="A802" t="b">
        <f t="shared" si="537"/>
        <v>0</v>
      </c>
      <c r="B802" s="33">
        <v>775</v>
      </c>
      <c r="C802" s="15">
        <f t="shared" si="538"/>
        <v>20.081305947392778</v>
      </c>
      <c r="D802" s="75">
        <f>C802*(1-PARAM!$C$27)*$I$3+(MOD($B802,60)=PARAM!$B$56)*($B802&gt;(60-PARAM!$B$56))*HLOOKUP(($B802+PARAM!$B$56)/12,Loyalty,2)*$F$1*MAX(F801,0)</f>
        <v>16.808053077967756</v>
      </c>
      <c r="E802" s="75">
        <f>PARAM!$C$26+MAX($G$3-CHOOSE(PARAM!$B$44,MAX(0,F801*$F$1),0),0)*RATES!$L778/12+$H$3*(PARAM!$D$51/12)*RATES!$N778/100</f>
        <v>981.83333333333337</v>
      </c>
      <c r="F802" s="16">
        <f t="shared" si="539"/>
        <v>-130273.35072264521</v>
      </c>
      <c r="G802" s="15">
        <f t="shared" si="540"/>
        <v>22.035289406060361</v>
      </c>
      <c r="H802" s="75">
        <f>G802*(1-PARAM!$C$27)*$I$4+(MOD($B802,60)=PARAM!$B$56)*($B802&gt;(60-PARAM!$B$56))*HLOOKUP(($B802+PARAM!$B$56)/12,Loyalty,2)*$F$1*MAX(J801,0)</f>
        <v>18.443537232872522</v>
      </c>
      <c r="I802" s="75">
        <f>PARAM!$C$26+MAX($G$4-CHOOSE(PARAM!$B$44,MAX(0,J801*$F$1),0),0)*RATES!$L778/12+$H$4*(PARAM!$D$51/12)*RATES!$N778/100</f>
        <v>981.83333333333337</v>
      </c>
      <c r="J802" s="16">
        <f t="shared" si="541"/>
        <v>-128972.01753847233</v>
      </c>
      <c r="K802" s="15">
        <f t="shared" si="542"/>
        <v>22.170849845882874</v>
      </c>
      <c r="L802" s="75">
        <f>K802*(1-PARAM!$C$27)*$I$5+(MOD($B802,60)=PARAM!$B$56)*($B802&gt;(60-PARAM!$B$56))*HLOOKUP(($B802+PARAM!$B$56)/12,Loyalty,2)*$F$1*MAX(N801,0)</f>
        <v>18.557001321003963</v>
      </c>
      <c r="M802" s="75">
        <f>PARAM!$C$26+MAX($G$5-CHOOSE(PARAM!$B$44,MAX(0,N801*$F$1),0),0)*RATES!$L778/12+$H$5*(PARAM!$D$51/12)*RATES!$N778/100</f>
        <v>981.83333333333337</v>
      </c>
      <c r="N802" s="16">
        <f t="shared" si="543"/>
        <v>-128881.06533377053</v>
      </c>
      <c r="O802" s="15">
        <f t="shared" si="544"/>
        <v>22.170849845882874</v>
      </c>
      <c r="P802" s="75">
        <f>O802*(1-PARAM!$C$27)*$I$6+(MOD($B802,60)=PARAM!$B$56)*($B802&gt;(60-PARAM!$B$56))*HLOOKUP(($B802+PARAM!$B$56)/12,Loyalty,2)*$F$1*MAX(R801,0)</f>
        <v>18.557001321003963</v>
      </c>
      <c r="Q802" s="75">
        <f>PARAM!$C$26+MAX($G$6-CHOOSE(PARAM!$B$44,MAX(0,R801*$F$1),0),0)*RATES!$L778/12+$H$6*(PARAM!$D$51/12)*RATES!$N778/100</f>
        <v>981.83333333333337</v>
      </c>
      <c r="R802" s="16">
        <f t="shared" si="545"/>
        <v>-128881.06533377053</v>
      </c>
      <c r="S802" s="15">
        <f t="shared" si="520"/>
        <v>22.170849845882874</v>
      </c>
      <c r="T802" s="75">
        <f>S802*(1-PARAM!$C$27)*$I$7+(MOD($B802,60)=PARAM!$B$56)*($B802&gt;(60-PARAM!$B$56))*HLOOKUP(($B802+PARAM!$B$56)/12,Loyalty,2)*$F$1*MAX(V801,0)</f>
        <v>18.557001321003963</v>
      </c>
      <c r="U802" s="75">
        <f>PARAM!$C$26+MAX($G$7-CHOOSE(PARAM!$B$44,MAX(0,V801*$F$1),0),0)*RATES!$L778/12+$H$7*(PARAM!$D$51/12)*RATES!$N778/100</f>
        <v>981.83333333333337</v>
      </c>
      <c r="V802" s="16">
        <f t="shared" si="546"/>
        <v>-128881.06533377053</v>
      </c>
      <c r="W802" s="15">
        <f t="shared" si="521"/>
        <v>22.170849845882874</v>
      </c>
      <c r="X802" s="75">
        <f>W802*(1-PARAM!$C$27)*$I$8+(MOD($B802,60)=PARAM!$B$56)*($B802&gt;(60-PARAM!$B$56))*HLOOKUP(($B802+PARAM!$B$56)/12,Loyalty,2)*$F$1*MAX(Z801,0)</f>
        <v>18.557001321003963</v>
      </c>
      <c r="Y802" s="75">
        <f>PARAM!$C$26+MAX($G$8-CHOOSE(PARAM!$B$44,MAX(0,Z801*$F$1),0),0)*RATES!$L778/12+$H$8*(PARAM!$D$51/12)*RATES!$N778/100</f>
        <v>981.83333333333337</v>
      </c>
      <c r="Z802" s="16">
        <f t="shared" si="547"/>
        <v>-128881.06533377053</v>
      </c>
      <c r="AA802" s="15">
        <f t="shared" si="522"/>
        <v>22.170849845882874</v>
      </c>
      <c r="AB802" s="75">
        <f>AA802*(1-PARAM!$C$27)*$I$9+(MOD($B802,60)=PARAM!$B$56)*($B802&gt;(60-PARAM!$B$56))*HLOOKUP(($B802+PARAM!$B$56)/12,Loyalty,2)*$F$1*MAX(AD801,0)</f>
        <v>18.557001321003963</v>
      </c>
      <c r="AC802" s="75">
        <f>PARAM!$C$26+MAX($G$9-CHOOSE(PARAM!$B$44,MAX(0,AD801*$F$1),0),0)*RATES!$L778/12+$H$9*(PARAM!$D$51/12)*RATES!$N778/100</f>
        <v>981.83333333333337</v>
      </c>
      <c r="AD802" s="16">
        <f t="shared" si="548"/>
        <v>-128881.06533377053</v>
      </c>
      <c r="AE802" s="15">
        <f t="shared" si="523"/>
        <v>22.170849845882874</v>
      </c>
      <c r="AF802" s="75">
        <f>AE802*(1-PARAM!$C$27)*$I$10+(MOD($B802,60)=PARAM!$B$56)*($B802&gt;(60-PARAM!$B$56))*HLOOKUP(($B802+PARAM!$B$56)/12,Loyalty,2)*$F$1*MAX(AH801,0)</f>
        <v>18.557001321003963</v>
      </c>
      <c r="AG802" s="75">
        <f>PARAM!$C$26+MAX($G$10-CHOOSE(PARAM!$B$44,MAX(0,AH801*$F$1),0),0)*RATES!$L778/12+$H$10*(PARAM!$D$51/12)*RATES!$N778/100</f>
        <v>981.83333333333337</v>
      </c>
      <c r="AH802" s="16">
        <f t="shared" si="549"/>
        <v>-128881.06533377053</v>
      </c>
      <c r="AI802" s="15">
        <f t="shared" si="524"/>
        <v>22.170849845882874</v>
      </c>
      <c r="AJ802" s="75">
        <f>AI802*(1-PARAM!$C$27)*$I$11+(MOD($B802,60)=PARAM!$B$56)*($B802&gt;(60-PARAM!$B$56))*HLOOKUP(($B802+PARAM!$B$56)/12,Loyalty,2)*$F$1*MAX(AL801,0)</f>
        <v>18.557001321003963</v>
      </c>
      <c r="AK802" s="75">
        <f>PARAM!$C$26+MAX($G$11-CHOOSE(PARAM!$B$44,MAX(0,AL801*$F$1),0),0)*RATES!$L778/12+$H$11*(PARAM!$D$51/12)*RATES!$N778/100</f>
        <v>981.83333333333337</v>
      </c>
      <c r="AL802" s="16">
        <f t="shared" si="550"/>
        <v>-128881.06533377053</v>
      </c>
      <c r="AM802" s="15">
        <f t="shared" si="525"/>
        <v>22.170849845882874</v>
      </c>
      <c r="AN802" s="75">
        <f>AM802*(1-PARAM!$C$27)*$I$12+(MOD($B802,60)=PARAM!$B$56)*($B802&gt;(60-PARAM!$B$56))*HLOOKUP(($B802+PARAM!$B$56)/12,Loyalty,2)*$F$1*MAX(AP801,0)</f>
        <v>18.557001321003963</v>
      </c>
      <c r="AO802" s="75">
        <f>PARAM!$C$26+MAX($G$12-CHOOSE(PARAM!$B$44,MAX(0,AP801*$F$1),0),0)*RATES!$L778/12+$H$12*(PARAM!$D$51/12)*RATES!$N778/100</f>
        <v>981.83333333333337</v>
      </c>
      <c r="AP802" s="16">
        <f t="shared" si="551"/>
        <v>-128881.06533377053</v>
      </c>
      <c r="AQ802" s="15">
        <f t="shared" si="526"/>
        <v>22.170849845882874</v>
      </c>
      <c r="AR802" s="75">
        <f>AQ802*(1-PARAM!$C$27)*$I$13+(MOD($B802,60)=PARAM!$B$56)*($B802&gt;(60-PARAM!$B$56))*HLOOKUP(($B802+PARAM!$B$56)/12,Loyalty,2)*$F$1*MAX(AT801,0)</f>
        <v>18.557001321003963</v>
      </c>
      <c r="AS802" s="75">
        <f>PARAM!$C$26+MAX($G$13-CHOOSE(PARAM!$B$44,MAX(0,AT801*$F$1),0),0)*RATES!$L778/12+$H$13*(PARAM!$D$51/12)*RATES!$N778/100</f>
        <v>981.83333333333337</v>
      </c>
      <c r="AT802" s="16">
        <f t="shared" si="552"/>
        <v>-128881.06533377053</v>
      </c>
      <c r="AU802" s="15">
        <f t="shared" si="527"/>
        <v>22.170849845882874</v>
      </c>
      <c r="AV802" s="75">
        <f>AU802*(1-PARAM!$C$27)*$I$14+(MOD($B802,60)=PARAM!$B$56)*($B802&gt;(60-PARAM!$B$56))*HLOOKUP(($B802+PARAM!$B$56)/12,Loyalty,2)*$F$1*MAX(AX801,0)</f>
        <v>18.557001321003963</v>
      </c>
      <c r="AW802" s="75">
        <f>PARAM!$C$26+MAX($G$14-CHOOSE(PARAM!$B$44,MAX(0,AX801*$F$1),0),0)*RATES!$L778/12+$H$14*(PARAM!$D$51/12)*RATES!$N778/100</f>
        <v>981.83333333333337</v>
      </c>
      <c r="AX802" s="16">
        <f t="shared" si="553"/>
        <v>-128881.06533377053</v>
      </c>
      <c r="AY802" s="15">
        <f t="shared" si="528"/>
        <v>22.170849845882874</v>
      </c>
      <c r="AZ802" s="75">
        <f>AY802*(1-PARAM!$C$27)*$I$15+(MOD($B802,60)=PARAM!$B$56)*($B802&gt;(60-PARAM!$B$56))*HLOOKUP(($B802+PARAM!$B$56)/12,Loyalty,2)*$F$1*MAX(BB801,0)</f>
        <v>18.557001321003963</v>
      </c>
      <c r="BA802" s="75">
        <f>PARAM!$C$26+MAX($G$15-CHOOSE(PARAM!$B$44,MAX(0,BB801*$F$1),0),0)*RATES!$L778/12+$H$15*(PARAM!$D$51/12)*RATES!$N778/100</f>
        <v>981.83333333333337</v>
      </c>
      <c r="BB802" s="16">
        <f t="shared" si="554"/>
        <v>-128881.06533377053</v>
      </c>
      <c r="BC802" s="15">
        <f t="shared" si="529"/>
        <v>22.170849845882874</v>
      </c>
      <c r="BD802" s="75">
        <f>BC802*(1-PARAM!$C$27)*$I$16+(MOD($B802,60)=PARAM!$B$56)*($B802&gt;(60-PARAM!$B$56))*HLOOKUP(($B802+PARAM!$B$56)/12,Loyalty,2)*$F$1*MAX(BF801,0)</f>
        <v>18.557001321003963</v>
      </c>
      <c r="BE802" s="75">
        <f>PARAM!$C$26+MAX($G$16-CHOOSE(PARAM!$B$44,MAX(0,BF801*$F$1),0),0)*RATES!$L778/12+$H$16*(PARAM!$D$51/12)*RATES!$N778/100</f>
        <v>981.83333333333337</v>
      </c>
      <c r="BF802" s="16">
        <f t="shared" si="555"/>
        <v>-128881.06533377053</v>
      </c>
      <c r="BG802" s="15">
        <f t="shared" si="530"/>
        <v>22.170849845882874</v>
      </c>
      <c r="BH802" s="75">
        <f>BG802*(1-PARAM!$C$27)*$I$17+(MOD($B802,60)=PARAM!$B$56)*($B802&gt;(60-PARAM!$B$56))*HLOOKUP(($B802+PARAM!$B$56)/12,Loyalty,2)*$F$1*MAX(BJ801,0)</f>
        <v>18.557001321003963</v>
      </c>
      <c r="BI802" s="75">
        <f>PARAM!$C$26+MAX($G$17-CHOOSE(PARAM!$B$44,MAX(0,BJ801*$F$1),0),0)*RATES!$L778/12+$H$17*(PARAM!$D$51/12)*RATES!$N778/100</f>
        <v>981.83333333333337</v>
      </c>
      <c r="BJ802" s="16">
        <f t="shared" si="556"/>
        <v>-128881.06533377053</v>
      </c>
      <c r="BK802" s="15">
        <f t="shared" si="531"/>
        <v>22.170849845882874</v>
      </c>
      <c r="BL802" s="75">
        <f>BK802*(1-PARAM!$C$27)*$I$18+(MOD($B802,60)=PARAM!$B$56)*($B802&gt;(60-PARAM!$B$56))*HLOOKUP(($B802+PARAM!$B$56)/12,Loyalty,2)*$F$1*MAX(BN801,0)</f>
        <v>18.557001321003963</v>
      </c>
      <c r="BM802" s="75">
        <f>PARAM!$C$26+MAX($G$18-CHOOSE(PARAM!$B$44,MAX(0,BN801*$F$1),0),0)*RATES!$L778/12+$H$18*(PARAM!$D$51/12)*RATES!$N778/100</f>
        <v>981.83333333333337</v>
      </c>
      <c r="BN802" s="16">
        <f t="shared" si="557"/>
        <v>-128881.06533377053</v>
      </c>
      <c r="BO802" s="15">
        <f t="shared" si="532"/>
        <v>22.170849845882874</v>
      </c>
      <c r="BP802" s="75">
        <f>BO802*(1-PARAM!$C$27)*$I$19+(MOD($B802,60)=PARAM!$B$56)*($B802&gt;(60-PARAM!$B$56))*HLOOKUP(($B802+PARAM!$B$56)/12,Loyalty,2)*$F$1*MAX(BR801,0)</f>
        <v>18.557001321003963</v>
      </c>
      <c r="BQ802" s="75">
        <f>PARAM!$C$26+MAX($G$19-CHOOSE(PARAM!$B$44,MAX(0,BR801*$F$1),0),0)*RATES!$L778/12+$H$19*(PARAM!$D$51/12)*RATES!$N778/100</f>
        <v>981.83333333333337</v>
      </c>
      <c r="BR802" s="16">
        <f t="shared" si="558"/>
        <v>-128881.06533377053</v>
      </c>
      <c r="BS802" s="15">
        <f t="shared" si="533"/>
        <v>22.170849845882874</v>
      </c>
      <c r="BT802" s="75">
        <f>BS802*(1-PARAM!$C$27)*$I$20+(MOD($B802,60)=PARAM!$B$56)*($B802&gt;(60-PARAM!$B$56))*HLOOKUP(($B802+PARAM!$B$56)/12,Loyalty,2)*$F$1*MAX(BV801,0)</f>
        <v>18.557001321003963</v>
      </c>
      <c r="BU802" s="75">
        <f>PARAM!$C$26+MAX($G$20-CHOOSE(PARAM!$B$44,MAX(0,BV801*$F$1),0),0)*RATES!$L778/12+$H$20*(PARAM!$D$51/12)*RATES!$N778/100</f>
        <v>981.83333333333337</v>
      </c>
      <c r="BV802" s="16">
        <f t="shared" si="559"/>
        <v>-128881.06533377053</v>
      </c>
      <c r="BW802" s="15">
        <f t="shared" si="534"/>
        <v>22.170849845882874</v>
      </c>
      <c r="BX802" s="75">
        <f>BW802*(1-PARAM!$C$27)*$I$21+(MOD($B802,60)=PARAM!$B$56)*($B802&gt;(60-PARAM!$B$56))*HLOOKUP(($B802+PARAM!$B$56)/12,Loyalty,2)*$F$1*MAX(BZ801,0)</f>
        <v>18.557001321003963</v>
      </c>
      <c r="BY802" s="75">
        <f>PARAM!$C$26+MAX($G$21-CHOOSE(PARAM!$B$44,MAX(0,BZ801*$F$1),0),0)*RATES!$L778/12+$H$21*(PARAM!$D$51/12)*RATES!$N778/100</f>
        <v>981.83333333333337</v>
      </c>
      <c r="BZ802" s="16">
        <f t="shared" si="560"/>
        <v>-128881.06533377053</v>
      </c>
      <c r="CA802" s="15">
        <f t="shared" si="535"/>
        <v>22.170849845882874</v>
      </c>
      <c r="CB802" s="75">
        <f>CA802*(1-PARAM!$C$27)*$I$22+(MOD($B802,60)=PARAM!$B$56)*($B802&gt;(60-PARAM!$B$56))*HLOOKUP(($B802+PARAM!$B$56)/12,Loyalty,2)*$F$1*MAX(CD801,0)</f>
        <v>18.557001321003963</v>
      </c>
      <c r="CC802" s="75">
        <f>PARAM!$C$26+MAX($G$22-CHOOSE(PARAM!$B$44,MAX(0,CD801*$F$1),0),0)*RATES!$L778/12+$H$22*(PARAM!$D$51/12)*RATES!$N778/100</f>
        <v>981.83333333333337</v>
      </c>
      <c r="CD802" s="16">
        <f t="shared" si="561"/>
        <v>-128881.06533377053</v>
      </c>
      <c r="CE802" s="33">
        <f>IF(0=MOD(B802,12/PARAM!$D$51),1,0)</f>
        <v>1</v>
      </c>
      <c r="CF802" s="15">
        <f t="shared" si="536"/>
        <v>0</v>
      </c>
      <c r="CG802" s="75">
        <f>CF802*(1-PARAM!$C$27)*$R$3+(MOD($B802/12,5)=0)*($B802&gt;60)*HLOOKUP($B802/12,Loyalty,2)*$F$1*MAX(CI801,0)</f>
        <v>0</v>
      </c>
      <c r="CH802" s="75">
        <f>PARAM!$C$26+MAX($P$3-CHOOSE(PARAM!$B$44,MAX(0,CI801*$F$1),0),0)*RATES!$L778/12+$Q$3*(PARAM!$D$51/12)*RATES!$N778/100</f>
        <v>981.83333333333337</v>
      </c>
      <c r="CI802" s="16">
        <f>IF(CI801&gt;0,CI801*PARAM!$C$53,CI801)+CG802-CH802</f>
        <v>-143143.16666666686</v>
      </c>
      <c r="CJ802" s="15">
        <f t="shared" si="562"/>
        <v>0</v>
      </c>
      <c r="CK802" s="75">
        <f>CJ802*(1-PARAM!$C$27)*$R$4+(MOD($B802/12,5)=0)*($B802&gt;60)*HLOOKUP($B802/12,Loyalty,2)*$F$1*MAX(CM801,0)</f>
        <v>0</v>
      </c>
      <c r="CL802" s="75">
        <f>PARAM!$C$26+MAX($P$4-CHOOSE(PARAM!$B$44,MAX(0,CM801*$F$1),0),0)*RATES!$L778/12+$Q$4*(PARAM!$D$51/12)*RATES!$N778/100</f>
        <v>981.83333333333337</v>
      </c>
      <c r="CM802" s="16">
        <f>IF(CM801&gt;0,CM801*PARAM!$C$53,CM801)+CK802-CL802</f>
        <v>-143143.16666666686</v>
      </c>
      <c r="CO802" s="176"/>
    </row>
    <row r="803" spans="1:93" x14ac:dyDescent="0.2">
      <c r="A803" t="b">
        <f t="shared" si="537"/>
        <v>0</v>
      </c>
      <c r="B803" s="33">
        <v>776</v>
      </c>
      <c r="C803" s="15">
        <f t="shared" si="538"/>
        <v>20.081305947392778</v>
      </c>
      <c r="D803" s="75">
        <f>C803*(1-PARAM!$C$27)*$I$3+(MOD($B803,60)=PARAM!$B$56)*($B803&gt;(60-PARAM!$B$56))*HLOOKUP(($B803+PARAM!$B$56)/12,Loyalty,2)*$F$1*MAX(F802,0)</f>
        <v>16.808053077967756</v>
      </c>
      <c r="E803" s="75">
        <f>PARAM!$C$26+MAX($G$3-CHOOSE(PARAM!$B$44,MAX(0,F802*$F$1),0),0)*RATES!$L779/12+$H$3*(PARAM!$D$51/12)*RATES!$N779/100</f>
        <v>981.83333333333337</v>
      </c>
      <c r="F803" s="16">
        <f t="shared" si="539"/>
        <v>-131238.37600290056</v>
      </c>
      <c r="G803" s="15">
        <f t="shared" si="540"/>
        <v>22.035289406060361</v>
      </c>
      <c r="H803" s="75">
        <f>G803*(1-PARAM!$C$27)*$I$4+(MOD($B803,60)=PARAM!$B$56)*($B803&gt;(60-PARAM!$B$56))*HLOOKUP(($B803+PARAM!$B$56)/12,Loyalty,2)*$F$1*MAX(J802,0)</f>
        <v>18.443537232872522</v>
      </c>
      <c r="I803" s="75">
        <f>PARAM!$C$26+MAX($G$4-CHOOSE(PARAM!$B$44,MAX(0,J802*$F$1),0),0)*RATES!$L779/12+$H$4*(PARAM!$D$51/12)*RATES!$N779/100</f>
        <v>981.83333333333337</v>
      </c>
      <c r="J803" s="16">
        <f t="shared" si="541"/>
        <v>-129935.40733457278</v>
      </c>
      <c r="K803" s="15">
        <f t="shared" si="542"/>
        <v>22.170849845882874</v>
      </c>
      <c r="L803" s="75">
        <f>K803*(1-PARAM!$C$27)*$I$5+(MOD($B803,60)=PARAM!$B$56)*($B803&gt;(60-PARAM!$B$56))*HLOOKUP(($B803+PARAM!$B$56)/12,Loyalty,2)*$F$1*MAX(N802,0)</f>
        <v>18.557001321003963</v>
      </c>
      <c r="M803" s="75">
        <f>PARAM!$C$26+MAX($G$5-CHOOSE(PARAM!$B$44,MAX(0,N802*$F$1),0),0)*RATES!$L779/12+$H$5*(PARAM!$D$51/12)*RATES!$N779/100</f>
        <v>981.83333333333337</v>
      </c>
      <c r="N803" s="16">
        <f t="shared" si="543"/>
        <v>-129844.34166578285</v>
      </c>
      <c r="O803" s="15">
        <f t="shared" si="544"/>
        <v>22.170849845882874</v>
      </c>
      <c r="P803" s="75">
        <f>O803*(1-PARAM!$C$27)*$I$6+(MOD($B803,60)=PARAM!$B$56)*($B803&gt;(60-PARAM!$B$56))*HLOOKUP(($B803+PARAM!$B$56)/12,Loyalty,2)*$F$1*MAX(R802,0)</f>
        <v>18.557001321003963</v>
      </c>
      <c r="Q803" s="75">
        <f>PARAM!$C$26+MAX($G$6-CHOOSE(PARAM!$B$44,MAX(0,R802*$F$1),0),0)*RATES!$L779/12+$H$6*(PARAM!$D$51/12)*RATES!$N779/100</f>
        <v>981.83333333333337</v>
      </c>
      <c r="R803" s="16">
        <f t="shared" si="545"/>
        <v>-129844.34166578285</v>
      </c>
      <c r="S803" s="15">
        <f t="shared" si="520"/>
        <v>22.170849845882874</v>
      </c>
      <c r="T803" s="75">
        <f>S803*(1-PARAM!$C$27)*$I$7+(MOD($B803,60)=PARAM!$B$56)*($B803&gt;(60-PARAM!$B$56))*HLOOKUP(($B803+PARAM!$B$56)/12,Loyalty,2)*$F$1*MAX(V802,0)</f>
        <v>18.557001321003963</v>
      </c>
      <c r="U803" s="75">
        <f>PARAM!$C$26+MAX($G$7-CHOOSE(PARAM!$B$44,MAX(0,V802*$F$1),0),0)*RATES!$L779/12+$H$7*(PARAM!$D$51/12)*RATES!$N779/100</f>
        <v>981.83333333333337</v>
      </c>
      <c r="V803" s="16">
        <f t="shared" si="546"/>
        <v>-129844.34166578285</v>
      </c>
      <c r="W803" s="15">
        <f t="shared" si="521"/>
        <v>22.170849845882874</v>
      </c>
      <c r="X803" s="75">
        <f>W803*(1-PARAM!$C$27)*$I$8+(MOD($B803,60)=PARAM!$B$56)*($B803&gt;(60-PARAM!$B$56))*HLOOKUP(($B803+PARAM!$B$56)/12,Loyalty,2)*$F$1*MAX(Z802,0)</f>
        <v>18.557001321003963</v>
      </c>
      <c r="Y803" s="75">
        <f>PARAM!$C$26+MAX($G$8-CHOOSE(PARAM!$B$44,MAX(0,Z802*$F$1),0),0)*RATES!$L779/12+$H$8*(PARAM!$D$51/12)*RATES!$N779/100</f>
        <v>981.83333333333337</v>
      </c>
      <c r="Z803" s="16">
        <f t="shared" si="547"/>
        <v>-129844.34166578285</v>
      </c>
      <c r="AA803" s="15">
        <f t="shared" si="522"/>
        <v>22.170849845882874</v>
      </c>
      <c r="AB803" s="75">
        <f>AA803*(1-PARAM!$C$27)*$I$9+(MOD($B803,60)=PARAM!$B$56)*($B803&gt;(60-PARAM!$B$56))*HLOOKUP(($B803+PARAM!$B$56)/12,Loyalty,2)*$F$1*MAX(AD802,0)</f>
        <v>18.557001321003963</v>
      </c>
      <c r="AC803" s="75">
        <f>PARAM!$C$26+MAX($G$9-CHOOSE(PARAM!$B$44,MAX(0,AD802*$F$1),0),0)*RATES!$L779/12+$H$9*(PARAM!$D$51/12)*RATES!$N779/100</f>
        <v>981.83333333333337</v>
      </c>
      <c r="AD803" s="16">
        <f t="shared" si="548"/>
        <v>-129844.34166578285</v>
      </c>
      <c r="AE803" s="15">
        <f t="shared" si="523"/>
        <v>22.170849845882874</v>
      </c>
      <c r="AF803" s="75">
        <f>AE803*(1-PARAM!$C$27)*$I$10+(MOD($B803,60)=PARAM!$B$56)*($B803&gt;(60-PARAM!$B$56))*HLOOKUP(($B803+PARAM!$B$56)/12,Loyalty,2)*$F$1*MAX(AH802,0)</f>
        <v>18.557001321003963</v>
      </c>
      <c r="AG803" s="75">
        <f>PARAM!$C$26+MAX($G$10-CHOOSE(PARAM!$B$44,MAX(0,AH802*$F$1),0),0)*RATES!$L779/12+$H$10*(PARAM!$D$51/12)*RATES!$N779/100</f>
        <v>981.83333333333337</v>
      </c>
      <c r="AH803" s="16">
        <f t="shared" si="549"/>
        <v>-129844.34166578285</v>
      </c>
      <c r="AI803" s="15">
        <f t="shared" si="524"/>
        <v>22.170849845882874</v>
      </c>
      <c r="AJ803" s="75">
        <f>AI803*(1-PARAM!$C$27)*$I$11+(MOD($B803,60)=PARAM!$B$56)*($B803&gt;(60-PARAM!$B$56))*HLOOKUP(($B803+PARAM!$B$56)/12,Loyalty,2)*$F$1*MAX(AL802,0)</f>
        <v>18.557001321003963</v>
      </c>
      <c r="AK803" s="75">
        <f>PARAM!$C$26+MAX($G$11-CHOOSE(PARAM!$B$44,MAX(0,AL802*$F$1),0),0)*RATES!$L779/12+$H$11*(PARAM!$D$51/12)*RATES!$N779/100</f>
        <v>981.83333333333337</v>
      </c>
      <c r="AL803" s="16">
        <f t="shared" si="550"/>
        <v>-129844.34166578285</v>
      </c>
      <c r="AM803" s="15">
        <f t="shared" si="525"/>
        <v>22.170849845882874</v>
      </c>
      <c r="AN803" s="75">
        <f>AM803*(1-PARAM!$C$27)*$I$12+(MOD($B803,60)=PARAM!$B$56)*($B803&gt;(60-PARAM!$B$56))*HLOOKUP(($B803+PARAM!$B$56)/12,Loyalty,2)*$F$1*MAX(AP802,0)</f>
        <v>18.557001321003963</v>
      </c>
      <c r="AO803" s="75">
        <f>PARAM!$C$26+MAX($G$12-CHOOSE(PARAM!$B$44,MAX(0,AP802*$F$1),0),0)*RATES!$L779/12+$H$12*(PARAM!$D$51/12)*RATES!$N779/100</f>
        <v>981.83333333333337</v>
      </c>
      <c r="AP803" s="16">
        <f t="shared" si="551"/>
        <v>-129844.34166578285</v>
      </c>
      <c r="AQ803" s="15">
        <f t="shared" si="526"/>
        <v>22.170849845882874</v>
      </c>
      <c r="AR803" s="75">
        <f>AQ803*(1-PARAM!$C$27)*$I$13+(MOD($B803,60)=PARAM!$B$56)*($B803&gt;(60-PARAM!$B$56))*HLOOKUP(($B803+PARAM!$B$56)/12,Loyalty,2)*$F$1*MAX(AT802,0)</f>
        <v>18.557001321003963</v>
      </c>
      <c r="AS803" s="75">
        <f>PARAM!$C$26+MAX($G$13-CHOOSE(PARAM!$B$44,MAX(0,AT802*$F$1),0),0)*RATES!$L779/12+$H$13*(PARAM!$D$51/12)*RATES!$N779/100</f>
        <v>981.83333333333337</v>
      </c>
      <c r="AT803" s="16">
        <f t="shared" si="552"/>
        <v>-129844.34166578285</v>
      </c>
      <c r="AU803" s="15">
        <f t="shared" si="527"/>
        <v>22.170849845882874</v>
      </c>
      <c r="AV803" s="75">
        <f>AU803*(1-PARAM!$C$27)*$I$14+(MOD($B803,60)=PARAM!$B$56)*($B803&gt;(60-PARAM!$B$56))*HLOOKUP(($B803+PARAM!$B$56)/12,Loyalty,2)*$F$1*MAX(AX802,0)</f>
        <v>18.557001321003963</v>
      </c>
      <c r="AW803" s="75">
        <f>PARAM!$C$26+MAX($G$14-CHOOSE(PARAM!$B$44,MAX(0,AX802*$F$1),0),0)*RATES!$L779/12+$H$14*(PARAM!$D$51/12)*RATES!$N779/100</f>
        <v>981.83333333333337</v>
      </c>
      <c r="AX803" s="16">
        <f t="shared" si="553"/>
        <v>-129844.34166578285</v>
      </c>
      <c r="AY803" s="15">
        <f t="shared" si="528"/>
        <v>22.170849845882874</v>
      </c>
      <c r="AZ803" s="75">
        <f>AY803*(1-PARAM!$C$27)*$I$15+(MOD($B803,60)=PARAM!$B$56)*($B803&gt;(60-PARAM!$B$56))*HLOOKUP(($B803+PARAM!$B$56)/12,Loyalty,2)*$F$1*MAX(BB802,0)</f>
        <v>18.557001321003963</v>
      </c>
      <c r="BA803" s="75">
        <f>PARAM!$C$26+MAX($G$15-CHOOSE(PARAM!$B$44,MAX(0,BB802*$F$1),0),0)*RATES!$L779/12+$H$15*(PARAM!$D$51/12)*RATES!$N779/100</f>
        <v>981.83333333333337</v>
      </c>
      <c r="BB803" s="16">
        <f t="shared" si="554"/>
        <v>-129844.34166578285</v>
      </c>
      <c r="BC803" s="15">
        <f t="shared" si="529"/>
        <v>22.170849845882874</v>
      </c>
      <c r="BD803" s="75">
        <f>BC803*(1-PARAM!$C$27)*$I$16+(MOD($B803,60)=PARAM!$B$56)*($B803&gt;(60-PARAM!$B$56))*HLOOKUP(($B803+PARAM!$B$56)/12,Loyalty,2)*$F$1*MAX(BF802,0)</f>
        <v>18.557001321003963</v>
      </c>
      <c r="BE803" s="75">
        <f>PARAM!$C$26+MAX($G$16-CHOOSE(PARAM!$B$44,MAX(0,BF802*$F$1),0),0)*RATES!$L779/12+$H$16*(PARAM!$D$51/12)*RATES!$N779/100</f>
        <v>981.83333333333337</v>
      </c>
      <c r="BF803" s="16">
        <f t="shared" si="555"/>
        <v>-129844.34166578285</v>
      </c>
      <c r="BG803" s="15">
        <f t="shared" si="530"/>
        <v>22.170849845882874</v>
      </c>
      <c r="BH803" s="75">
        <f>BG803*(1-PARAM!$C$27)*$I$17+(MOD($B803,60)=PARAM!$B$56)*($B803&gt;(60-PARAM!$B$56))*HLOOKUP(($B803+PARAM!$B$56)/12,Loyalty,2)*$F$1*MAX(BJ802,0)</f>
        <v>18.557001321003963</v>
      </c>
      <c r="BI803" s="75">
        <f>PARAM!$C$26+MAX($G$17-CHOOSE(PARAM!$B$44,MAX(0,BJ802*$F$1),0),0)*RATES!$L779/12+$H$17*(PARAM!$D$51/12)*RATES!$N779/100</f>
        <v>981.83333333333337</v>
      </c>
      <c r="BJ803" s="16">
        <f t="shared" si="556"/>
        <v>-129844.34166578285</v>
      </c>
      <c r="BK803" s="15">
        <f t="shared" si="531"/>
        <v>22.170849845882874</v>
      </c>
      <c r="BL803" s="75">
        <f>BK803*(1-PARAM!$C$27)*$I$18+(MOD($B803,60)=PARAM!$B$56)*($B803&gt;(60-PARAM!$B$56))*HLOOKUP(($B803+PARAM!$B$56)/12,Loyalty,2)*$F$1*MAX(BN802,0)</f>
        <v>18.557001321003963</v>
      </c>
      <c r="BM803" s="75">
        <f>PARAM!$C$26+MAX($G$18-CHOOSE(PARAM!$B$44,MAX(0,BN802*$F$1),0),0)*RATES!$L779/12+$H$18*(PARAM!$D$51/12)*RATES!$N779/100</f>
        <v>981.83333333333337</v>
      </c>
      <c r="BN803" s="16">
        <f t="shared" si="557"/>
        <v>-129844.34166578285</v>
      </c>
      <c r="BO803" s="15">
        <f t="shared" si="532"/>
        <v>22.170849845882874</v>
      </c>
      <c r="BP803" s="75">
        <f>BO803*(1-PARAM!$C$27)*$I$19+(MOD($B803,60)=PARAM!$B$56)*($B803&gt;(60-PARAM!$B$56))*HLOOKUP(($B803+PARAM!$B$56)/12,Loyalty,2)*$F$1*MAX(BR802,0)</f>
        <v>18.557001321003963</v>
      </c>
      <c r="BQ803" s="75">
        <f>PARAM!$C$26+MAX($G$19-CHOOSE(PARAM!$B$44,MAX(0,BR802*$F$1),0),0)*RATES!$L779/12+$H$19*(PARAM!$D$51/12)*RATES!$N779/100</f>
        <v>981.83333333333337</v>
      </c>
      <c r="BR803" s="16">
        <f t="shared" si="558"/>
        <v>-129844.34166578285</v>
      </c>
      <c r="BS803" s="15">
        <f t="shared" si="533"/>
        <v>22.170849845882874</v>
      </c>
      <c r="BT803" s="75">
        <f>BS803*(1-PARAM!$C$27)*$I$20+(MOD($B803,60)=PARAM!$B$56)*($B803&gt;(60-PARAM!$B$56))*HLOOKUP(($B803+PARAM!$B$56)/12,Loyalty,2)*$F$1*MAX(BV802,0)</f>
        <v>18.557001321003963</v>
      </c>
      <c r="BU803" s="75">
        <f>PARAM!$C$26+MAX($G$20-CHOOSE(PARAM!$B$44,MAX(0,BV802*$F$1),0),0)*RATES!$L779/12+$H$20*(PARAM!$D$51/12)*RATES!$N779/100</f>
        <v>981.83333333333337</v>
      </c>
      <c r="BV803" s="16">
        <f t="shared" si="559"/>
        <v>-129844.34166578285</v>
      </c>
      <c r="BW803" s="15">
        <f t="shared" si="534"/>
        <v>22.170849845882874</v>
      </c>
      <c r="BX803" s="75">
        <f>BW803*(1-PARAM!$C$27)*$I$21+(MOD($B803,60)=PARAM!$B$56)*($B803&gt;(60-PARAM!$B$56))*HLOOKUP(($B803+PARAM!$B$56)/12,Loyalty,2)*$F$1*MAX(BZ802,0)</f>
        <v>18.557001321003963</v>
      </c>
      <c r="BY803" s="75">
        <f>PARAM!$C$26+MAX($G$21-CHOOSE(PARAM!$B$44,MAX(0,BZ802*$F$1),0),0)*RATES!$L779/12+$H$21*(PARAM!$D$51/12)*RATES!$N779/100</f>
        <v>981.83333333333337</v>
      </c>
      <c r="BZ803" s="16">
        <f t="shared" si="560"/>
        <v>-129844.34166578285</v>
      </c>
      <c r="CA803" s="15">
        <f t="shared" si="535"/>
        <v>22.170849845882874</v>
      </c>
      <c r="CB803" s="75">
        <f>CA803*(1-PARAM!$C$27)*$I$22+(MOD($B803,60)=PARAM!$B$56)*($B803&gt;(60-PARAM!$B$56))*HLOOKUP(($B803+PARAM!$B$56)/12,Loyalty,2)*$F$1*MAX(CD802,0)</f>
        <v>18.557001321003963</v>
      </c>
      <c r="CC803" s="75">
        <f>PARAM!$C$26+MAX($G$22-CHOOSE(PARAM!$B$44,MAX(0,CD802*$F$1),0),0)*RATES!$L779/12+$H$22*(PARAM!$D$51/12)*RATES!$N779/100</f>
        <v>981.83333333333337</v>
      </c>
      <c r="CD803" s="16">
        <f t="shared" si="561"/>
        <v>-129844.34166578285</v>
      </c>
      <c r="CE803" s="33">
        <f>IF(0=MOD(B803,12/PARAM!$D$51),1,0)</f>
        <v>1</v>
      </c>
      <c r="CF803" s="15">
        <f t="shared" si="536"/>
        <v>0</v>
      </c>
      <c r="CG803" s="75">
        <f>CF803*(1-PARAM!$C$27)*$R$3+(MOD($B803/12,5)=0)*($B803&gt;60)*HLOOKUP($B803/12,Loyalty,2)*$F$1*MAX(CI802,0)</f>
        <v>0</v>
      </c>
      <c r="CH803" s="75">
        <f>PARAM!$C$26+MAX($P$3-CHOOSE(PARAM!$B$44,MAX(0,CI802*$F$1),0),0)*RATES!$L779/12+$Q$3*(PARAM!$D$51/12)*RATES!$N779/100</f>
        <v>981.83333333333337</v>
      </c>
      <c r="CI803" s="16">
        <f>IF(CI802&gt;0,CI802*PARAM!$C$53,CI802)+CG803-CH803</f>
        <v>-144125.0000000002</v>
      </c>
      <c r="CJ803" s="15">
        <f t="shared" si="562"/>
        <v>0</v>
      </c>
      <c r="CK803" s="75">
        <f>CJ803*(1-PARAM!$C$27)*$R$4+(MOD($B803/12,5)=0)*($B803&gt;60)*HLOOKUP($B803/12,Loyalty,2)*$F$1*MAX(CM802,0)</f>
        <v>0</v>
      </c>
      <c r="CL803" s="75">
        <f>PARAM!$C$26+MAX($P$4-CHOOSE(PARAM!$B$44,MAX(0,CM802*$F$1),0),0)*RATES!$L779/12+$Q$4*(PARAM!$D$51/12)*RATES!$N779/100</f>
        <v>981.83333333333337</v>
      </c>
      <c r="CM803" s="16">
        <f>IF(CM802&gt;0,CM802*PARAM!$C$53,CM802)+CK803-CL803</f>
        <v>-144125.0000000002</v>
      </c>
      <c r="CO803" s="176"/>
    </row>
    <row r="804" spans="1:93" x14ac:dyDescent="0.2">
      <c r="A804" t="b">
        <f t="shared" si="537"/>
        <v>0</v>
      </c>
      <c r="B804" s="33">
        <v>777</v>
      </c>
      <c r="C804" s="15">
        <f t="shared" si="538"/>
        <v>20.081305947392778</v>
      </c>
      <c r="D804" s="75">
        <f>C804*(1-PARAM!$C$27)*$I$3+(MOD($B804,60)=PARAM!$B$56)*($B804&gt;(60-PARAM!$B$56))*HLOOKUP(($B804+PARAM!$B$56)/12,Loyalty,2)*$F$1*MAX(F803,0)</f>
        <v>16.808053077967756</v>
      </c>
      <c r="E804" s="75">
        <f>PARAM!$C$26+MAX($G$3-CHOOSE(PARAM!$B$44,MAX(0,F803*$F$1),0),0)*RATES!$L780/12+$H$3*(PARAM!$D$51/12)*RATES!$N780/100</f>
        <v>981.83333333333337</v>
      </c>
      <c r="F804" s="16">
        <f t="shared" si="539"/>
        <v>-132203.40128315595</v>
      </c>
      <c r="G804" s="15">
        <f t="shared" si="540"/>
        <v>22.035289406060361</v>
      </c>
      <c r="H804" s="75">
        <f>G804*(1-PARAM!$C$27)*$I$4+(MOD($B804,60)=PARAM!$B$56)*($B804&gt;(60-PARAM!$B$56))*HLOOKUP(($B804+PARAM!$B$56)/12,Loyalty,2)*$F$1*MAX(J803,0)</f>
        <v>18.443537232872522</v>
      </c>
      <c r="I804" s="75">
        <f>PARAM!$C$26+MAX($G$4-CHOOSE(PARAM!$B$44,MAX(0,J803*$F$1),0),0)*RATES!$L780/12+$H$4*(PARAM!$D$51/12)*RATES!$N780/100</f>
        <v>981.83333333333337</v>
      </c>
      <c r="J804" s="16">
        <f t="shared" si="541"/>
        <v>-130898.79713067324</v>
      </c>
      <c r="K804" s="15">
        <f t="shared" si="542"/>
        <v>22.170849845882874</v>
      </c>
      <c r="L804" s="75">
        <f>K804*(1-PARAM!$C$27)*$I$5+(MOD($B804,60)=PARAM!$B$56)*($B804&gt;(60-PARAM!$B$56))*HLOOKUP(($B804+PARAM!$B$56)/12,Loyalty,2)*$F$1*MAX(N803,0)</f>
        <v>18.557001321003963</v>
      </c>
      <c r="M804" s="75">
        <f>PARAM!$C$26+MAX($G$5-CHOOSE(PARAM!$B$44,MAX(0,N803*$F$1),0),0)*RATES!$L780/12+$H$5*(PARAM!$D$51/12)*RATES!$N780/100</f>
        <v>981.83333333333337</v>
      </c>
      <c r="N804" s="16">
        <f t="shared" si="543"/>
        <v>-130807.61799779517</v>
      </c>
      <c r="O804" s="15">
        <f t="shared" si="544"/>
        <v>22.170849845882874</v>
      </c>
      <c r="P804" s="75">
        <f>O804*(1-PARAM!$C$27)*$I$6+(MOD($B804,60)=PARAM!$B$56)*($B804&gt;(60-PARAM!$B$56))*HLOOKUP(($B804+PARAM!$B$56)/12,Loyalty,2)*$F$1*MAX(R803,0)</f>
        <v>18.557001321003963</v>
      </c>
      <c r="Q804" s="75">
        <f>PARAM!$C$26+MAX($G$6-CHOOSE(PARAM!$B$44,MAX(0,R803*$F$1),0),0)*RATES!$L780/12+$H$6*(PARAM!$D$51/12)*RATES!$N780/100</f>
        <v>981.83333333333337</v>
      </c>
      <c r="R804" s="16">
        <f t="shared" si="545"/>
        <v>-130807.61799779517</v>
      </c>
      <c r="S804" s="15">
        <f t="shared" si="520"/>
        <v>22.170849845882874</v>
      </c>
      <c r="T804" s="75">
        <f>S804*(1-PARAM!$C$27)*$I$7+(MOD($B804,60)=PARAM!$B$56)*($B804&gt;(60-PARAM!$B$56))*HLOOKUP(($B804+PARAM!$B$56)/12,Loyalty,2)*$F$1*MAX(V803,0)</f>
        <v>18.557001321003963</v>
      </c>
      <c r="U804" s="75">
        <f>PARAM!$C$26+MAX($G$7-CHOOSE(PARAM!$B$44,MAX(0,V803*$F$1),0),0)*RATES!$L780/12+$H$7*(PARAM!$D$51/12)*RATES!$N780/100</f>
        <v>981.83333333333337</v>
      </c>
      <c r="V804" s="16">
        <f t="shared" si="546"/>
        <v>-130807.61799779517</v>
      </c>
      <c r="W804" s="15">
        <f t="shared" si="521"/>
        <v>22.170849845882874</v>
      </c>
      <c r="X804" s="75">
        <f>W804*(1-PARAM!$C$27)*$I$8+(MOD($B804,60)=PARAM!$B$56)*($B804&gt;(60-PARAM!$B$56))*HLOOKUP(($B804+PARAM!$B$56)/12,Loyalty,2)*$F$1*MAX(Z803,0)</f>
        <v>18.557001321003963</v>
      </c>
      <c r="Y804" s="75">
        <f>PARAM!$C$26+MAX($G$8-CHOOSE(PARAM!$B$44,MAX(0,Z803*$F$1),0),0)*RATES!$L780/12+$H$8*(PARAM!$D$51/12)*RATES!$N780/100</f>
        <v>981.83333333333337</v>
      </c>
      <c r="Z804" s="16">
        <f t="shared" si="547"/>
        <v>-130807.61799779517</v>
      </c>
      <c r="AA804" s="15">
        <f t="shared" si="522"/>
        <v>22.170849845882874</v>
      </c>
      <c r="AB804" s="75">
        <f>AA804*(1-PARAM!$C$27)*$I$9+(MOD($B804,60)=PARAM!$B$56)*($B804&gt;(60-PARAM!$B$56))*HLOOKUP(($B804+PARAM!$B$56)/12,Loyalty,2)*$F$1*MAX(AD803,0)</f>
        <v>18.557001321003963</v>
      </c>
      <c r="AC804" s="75">
        <f>PARAM!$C$26+MAX($G$9-CHOOSE(PARAM!$B$44,MAX(0,AD803*$F$1),0),0)*RATES!$L780/12+$H$9*(PARAM!$D$51/12)*RATES!$N780/100</f>
        <v>981.83333333333337</v>
      </c>
      <c r="AD804" s="16">
        <f t="shared" si="548"/>
        <v>-130807.61799779517</v>
      </c>
      <c r="AE804" s="15">
        <f t="shared" si="523"/>
        <v>22.170849845882874</v>
      </c>
      <c r="AF804" s="75">
        <f>AE804*(1-PARAM!$C$27)*$I$10+(MOD($B804,60)=PARAM!$B$56)*($B804&gt;(60-PARAM!$B$56))*HLOOKUP(($B804+PARAM!$B$56)/12,Loyalty,2)*$F$1*MAX(AH803,0)</f>
        <v>18.557001321003963</v>
      </c>
      <c r="AG804" s="75">
        <f>PARAM!$C$26+MAX($G$10-CHOOSE(PARAM!$B$44,MAX(0,AH803*$F$1),0),0)*RATES!$L780/12+$H$10*(PARAM!$D$51/12)*RATES!$N780/100</f>
        <v>981.83333333333337</v>
      </c>
      <c r="AH804" s="16">
        <f t="shared" si="549"/>
        <v>-130807.61799779517</v>
      </c>
      <c r="AI804" s="15">
        <f t="shared" si="524"/>
        <v>22.170849845882874</v>
      </c>
      <c r="AJ804" s="75">
        <f>AI804*(1-PARAM!$C$27)*$I$11+(MOD($B804,60)=PARAM!$B$56)*($B804&gt;(60-PARAM!$B$56))*HLOOKUP(($B804+PARAM!$B$56)/12,Loyalty,2)*$F$1*MAX(AL803,0)</f>
        <v>18.557001321003963</v>
      </c>
      <c r="AK804" s="75">
        <f>PARAM!$C$26+MAX($G$11-CHOOSE(PARAM!$B$44,MAX(0,AL803*$F$1),0),0)*RATES!$L780/12+$H$11*(PARAM!$D$51/12)*RATES!$N780/100</f>
        <v>981.83333333333337</v>
      </c>
      <c r="AL804" s="16">
        <f t="shared" si="550"/>
        <v>-130807.61799779517</v>
      </c>
      <c r="AM804" s="15">
        <f t="shared" si="525"/>
        <v>22.170849845882874</v>
      </c>
      <c r="AN804" s="75">
        <f>AM804*(1-PARAM!$C$27)*$I$12+(MOD($B804,60)=PARAM!$B$56)*($B804&gt;(60-PARAM!$B$56))*HLOOKUP(($B804+PARAM!$B$56)/12,Loyalty,2)*$F$1*MAX(AP803,0)</f>
        <v>18.557001321003963</v>
      </c>
      <c r="AO804" s="75">
        <f>PARAM!$C$26+MAX($G$12-CHOOSE(PARAM!$B$44,MAX(0,AP803*$F$1),0),0)*RATES!$L780/12+$H$12*(PARAM!$D$51/12)*RATES!$N780/100</f>
        <v>981.83333333333337</v>
      </c>
      <c r="AP804" s="16">
        <f t="shared" si="551"/>
        <v>-130807.61799779517</v>
      </c>
      <c r="AQ804" s="15">
        <f t="shared" si="526"/>
        <v>22.170849845882874</v>
      </c>
      <c r="AR804" s="75">
        <f>AQ804*(1-PARAM!$C$27)*$I$13+(MOD($B804,60)=PARAM!$B$56)*($B804&gt;(60-PARAM!$B$56))*HLOOKUP(($B804+PARAM!$B$56)/12,Loyalty,2)*$F$1*MAX(AT803,0)</f>
        <v>18.557001321003963</v>
      </c>
      <c r="AS804" s="75">
        <f>PARAM!$C$26+MAX($G$13-CHOOSE(PARAM!$B$44,MAX(0,AT803*$F$1),0),0)*RATES!$L780/12+$H$13*(PARAM!$D$51/12)*RATES!$N780/100</f>
        <v>981.83333333333337</v>
      </c>
      <c r="AT804" s="16">
        <f t="shared" si="552"/>
        <v>-130807.61799779517</v>
      </c>
      <c r="AU804" s="15">
        <f t="shared" si="527"/>
        <v>22.170849845882874</v>
      </c>
      <c r="AV804" s="75">
        <f>AU804*(1-PARAM!$C$27)*$I$14+(MOD($B804,60)=PARAM!$B$56)*($B804&gt;(60-PARAM!$B$56))*HLOOKUP(($B804+PARAM!$B$56)/12,Loyalty,2)*$F$1*MAX(AX803,0)</f>
        <v>18.557001321003963</v>
      </c>
      <c r="AW804" s="75">
        <f>PARAM!$C$26+MAX($G$14-CHOOSE(PARAM!$B$44,MAX(0,AX803*$F$1),0),0)*RATES!$L780/12+$H$14*(PARAM!$D$51/12)*RATES!$N780/100</f>
        <v>981.83333333333337</v>
      </c>
      <c r="AX804" s="16">
        <f t="shared" si="553"/>
        <v>-130807.61799779517</v>
      </c>
      <c r="AY804" s="15">
        <f t="shared" si="528"/>
        <v>22.170849845882874</v>
      </c>
      <c r="AZ804" s="75">
        <f>AY804*(1-PARAM!$C$27)*$I$15+(MOD($B804,60)=PARAM!$B$56)*($B804&gt;(60-PARAM!$B$56))*HLOOKUP(($B804+PARAM!$B$56)/12,Loyalty,2)*$F$1*MAX(BB803,0)</f>
        <v>18.557001321003963</v>
      </c>
      <c r="BA804" s="75">
        <f>PARAM!$C$26+MAX($G$15-CHOOSE(PARAM!$B$44,MAX(0,BB803*$F$1),0),0)*RATES!$L780/12+$H$15*(PARAM!$D$51/12)*RATES!$N780/100</f>
        <v>981.83333333333337</v>
      </c>
      <c r="BB804" s="16">
        <f t="shared" si="554"/>
        <v>-130807.61799779517</v>
      </c>
      <c r="BC804" s="15">
        <f t="shared" si="529"/>
        <v>22.170849845882874</v>
      </c>
      <c r="BD804" s="75">
        <f>BC804*(1-PARAM!$C$27)*$I$16+(MOD($B804,60)=PARAM!$B$56)*($B804&gt;(60-PARAM!$B$56))*HLOOKUP(($B804+PARAM!$B$56)/12,Loyalty,2)*$F$1*MAX(BF803,0)</f>
        <v>18.557001321003963</v>
      </c>
      <c r="BE804" s="75">
        <f>PARAM!$C$26+MAX($G$16-CHOOSE(PARAM!$B$44,MAX(0,BF803*$F$1),0),0)*RATES!$L780/12+$H$16*(PARAM!$D$51/12)*RATES!$N780/100</f>
        <v>981.83333333333337</v>
      </c>
      <c r="BF804" s="16">
        <f t="shared" si="555"/>
        <v>-130807.61799779517</v>
      </c>
      <c r="BG804" s="15">
        <f t="shared" si="530"/>
        <v>22.170849845882874</v>
      </c>
      <c r="BH804" s="75">
        <f>BG804*(1-PARAM!$C$27)*$I$17+(MOD($B804,60)=PARAM!$B$56)*($B804&gt;(60-PARAM!$B$56))*HLOOKUP(($B804+PARAM!$B$56)/12,Loyalty,2)*$F$1*MAX(BJ803,0)</f>
        <v>18.557001321003963</v>
      </c>
      <c r="BI804" s="75">
        <f>PARAM!$C$26+MAX($G$17-CHOOSE(PARAM!$B$44,MAX(0,BJ803*$F$1),0),0)*RATES!$L780/12+$H$17*(PARAM!$D$51/12)*RATES!$N780/100</f>
        <v>981.83333333333337</v>
      </c>
      <c r="BJ804" s="16">
        <f t="shared" si="556"/>
        <v>-130807.61799779517</v>
      </c>
      <c r="BK804" s="15">
        <f t="shared" si="531"/>
        <v>22.170849845882874</v>
      </c>
      <c r="BL804" s="75">
        <f>BK804*(1-PARAM!$C$27)*$I$18+(MOD($B804,60)=PARAM!$B$56)*($B804&gt;(60-PARAM!$B$56))*HLOOKUP(($B804+PARAM!$B$56)/12,Loyalty,2)*$F$1*MAX(BN803,0)</f>
        <v>18.557001321003963</v>
      </c>
      <c r="BM804" s="75">
        <f>PARAM!$C$26+MAX($G$18-CHOOSE(PARAM!$B$44,MAX(0,BN803*$F$1),0),0)*RATES!$L780/12+$H$18*(PARAM!$D$51/12)*RATES!$N780/100</f>
        <v>981.83333333333337</v>
      </c>
      <c r="BN804" s="16">
        <f t="shared" si="557"/>
        <v>-130807.61799779517</v>
      </c>
      <c r="BO804" s="15">
        <f t="shared" si="532"/>
        <v>22.170849845882874</v>
      </c>
      <c r="BP804" s="75">
        <f>BO804*(1-PARAM!$C$27)*$I$19+(MOD($B804,60)=PARAM!$B$56)*($B804&gt;(60-PARAM!$B$56))*HLOOKUP(($B804+PARAM!$B$56)/12,Loyalty,2)*$F$1*MAX(BR803,0)</f>
        <v>18.557001321003963</v>
      </c>
      <c r="BQ804" s="75">
        <f>PARAM!$C$26+MAX($G$19-CHOOSE(PARAM!$B$44,MAX(0,BR803*$F$1),0),0)*RATES!$L780/12+$H$19*(PARAM!$D$51/12)*RATES!$N780/100</f>
        <v>981.83333333333337</v>
      </c>
      <c r="BR804" s="16">
        <f t="shared" si="558"/>
        <v>-130807.61799779517</v>
      </c>
      <c r="BS804" s="15">
        <f t="shared" si="533"/>
        <v>22.170849845882874</v>
      </c>
      <c r="BT804" s="75">
        <f>BS804*(1-PARAM!$C$27)*$I$20+(MOD($B804,60)=PARAM!$B$56)*($B804&gt;(60-PARAM!$B$56))*HLOOKUP(($B804+PARAM!$B$56)/12,Loyalty,2)*$F$1*MAX(BV803,0)</f>
        <v>18.557001321003963</v>
      </c>
      <c r="BU804" s="75">
        <f>PARAM!$C$26+MAX($G$20-CHOOSE(PARAM!$B$44,MAX(0,BV803*$F$1),0),0)*RATES!$L780/12+$H$20*(PARAM!$D$51/12)*RATES!$N780/100</f>
        <v>981.83333333333337</v>
      </c>
      <c r="BV804" s="16">
        <f t="shared" si="559"/>
        <v>-130807.61799779517</v>
      </c>
      <c r="BW804" s="15">
        <f t="shared" si="534"/>
        <v>22.170849845882874</v>
      </c>
      <c r="BX804" s="75">
        <f>BW804*(1-PARAM!$C$27)*$I$21+(MOD($B804,60)=PARAM!$B$56)*($B804&gt;(60-PARAM!$B$56))*HLOOKUP(($B804+PARAM!$B$56)/12,Loyalty,2)*$F$1*MAX(BZ803,0)</f>
        <v>18.557001321003963</v>
      </c>
      <c r="BY804" s="75">
        <f>PARAM!$C$26+MAX($G$21-CHOOSE(PARAM!$B$44,MAX(0,BZ803*$F$1),0),0)*RATES!$L780/12+$H$21*(PARAM!$D$51/12)*RATES!$N780/100</f>
        <v>981.83333333333337</v>
      </c>
      <c r="BZ804" s="16">
        <f t="shared" si="560"/>
        <v>-130807.61799779517</v>
      </c>
      <c r="CA804" s="15">
        <f t="shared" si="535"/>
        <v>22.170849845882874</v>
      </c>
      <c r="CB804" s="75">
        <f>CA804*(1-PARAM!$C$27)*$I$22+(MOD($B804,60)=PARAM!$B$56)*($B804&gt;(60-PARAM!$B$56))*HLOOKUP(($B804+PARAM!$B$56)/12,Loyalty,2)*$F$1*MAX(CD803,0)</f>
        <v>18.557001321003963</v>
      </c>
      <c r="CC804" s="75">
        <f>PARAM!$C$26+MAX($G$22-CHOOSE(PARAM!$B$44,MAX(0,CD803*$F$1),0),0)*RATES!$L780/12+$H$22*(PARAM!$D$51/12)*RATES!$N780/100</f>
        <v>981.83333333333337</v>
      </c>
      <c r="CD804" s="16">
        <f t="shared" si="561"/>
        <v>-130807.61799779517</v>
      </c>
      <c r="CE804" s="33">
        <f>IF(0=MOD(B804,12/PARAM!$D$51),1,0)</f>
        <v>1</v>
      </c>
      <c r="CF804" s="15">
        <f t="shared" si="536"/>
        <v>0</v>
      </c>
      <c r="CG804" s="75">
        <f>CF804*(1-PARAM!$C$27)*$R$3+(MOD($B804/12,5)=0)*($B804&gt;60)*HLOOKUP($B804/12,Loyalty,2)*$F$1*MAX(CI803,0)</f>
        <v>0</v>
      </c>
      <c r="CH804" s="75">
        <f>PARAM!$C$26+MAX($P$3-CHOOSE(PARAM!$B$44,MAX(0,CI803*$F$1),0),0)*RATES!$L780/12+$Q$3*(PARAM!$D$51/12)*RATES!$N780/100</f>
        <v>981.83333333333337</v>
      </c>
      <c r="CI804" s="16">
        <f>IF(CI803&gt;0,CI803*PARAM!$C$53,CI803)+CG804-CH804</f>
        <v>-145106.83333333355</v>
      </c>
      <c r="CJ804" s="15">
        <f t="shared" si="562"/>
        <v>0</v>
      </c>
      <c r="CK804" s="75">
        <f>CJ804*(1-PARAM!$C$27)*$R$4+(MOD($B804/12,5)=0)*($B804&gt;60)*HLOOKUP($B804/12,Loyalty,2)*$F$1*MAX(CM803,0)</f>
        <v>0</v>
      </c>
      <c r="CL804" s="75">
        <f>PARAM!$C$26+MAX($P$4-CHOOSE(PARAM!$B$44,MAX(0,CM803*$F$1),0),0)*RATES!$L780/12+$Q$4*(PARAM!$D$51/12)*RATES!$N780/100</f>
        <v>981.83333333333337</v>
      </c>
      <c r="CM804" s="16">
        <f>IF(CM803&gt;0,CM803*PARAM!$C$53,CM803)+CK804-CL804</f>
        <v>-145106.83333333355</v>
      </c>
      <c r="CO804" s="176"/>
    </row>
    <row r="805" spans="1:93" x14ac:dyDescent="0.2">
      <c r="A805" t="b">
        <f t="shared" si="537"/>
        <v>0</v>
      </c>
      <c r="B805" s="33">
        <v>778</v>
      </c>
      <c r="C805" s="15">
        <f t="shared" si="538"/>
        <v>20.081305947392778</v>
      </c>
      <c r="D805" s="75">
        <f>C805*(1-PARAM!$C$27)*$I$3+(MOD($B805,60)=PARAM!$B$56)*($B805&gt;(60-PARAM!$B$56))*HLOOKUP(($B805+PARAM!$B$56)/12,Loyalty,2)*$F$1*MAX(F804,0)</f>
        <v>16.808053077967756</v>
      </c>
      <c r="E805" s="75">
        <f>PARAM!$C$26+MAX($G$3-CHOOSE(PARAM!$B$44,MAX(0,F804*$F$1),0),0)*RATES!$L781/12+$H$3*(PARAM!$D$51/12)*RATES!$N781/100</f>
        <v>981.83333333333337</v>
      </c>
      <c r="F805" s="16">
        <f t="shared" si="539"/>
        <v>-133168.42656341134</v>
      </c>
      <c r="G805" s="15">
        <f t="shared" si="540"/>
        <v>22.035289406060361</v>
      </c>
      <c r="H805" s="75">
        <f>G805*(1-PARAM!$C$27)*$I$4+(MOD($B805,60)=PARAM!$B$56)*($B805&gt;(60-PARAM!$B$56))*HLOOKUP(($B805+PARAM!$B$56)/12,Loyalty,2)*$F$1*MAX(J804,0)</f>
        <v>18.443537232872522</v>
      </c>
      <c r="I805" s="75">
        <f>PARAM!$C$26+MAX($G$4-CHOOSE(PARAM!$B$44,MAX(0,J804*$F$1),0),0)*RATES!$L781/12+$H$4*(PARAM!$D$51/12)*RATES!$N781/100</f>
        <v>981.83333333333337</v>
      </c>
      <c r="J805" s="16">
        <f t="shared" si="541"/>
        <v>-131862.18692677369</v>
      </c>
      <c r="K805" s="15">
        <f t="shared" si="542"/>
        <v>22.170849845882874</v>
      </c>
      <c r="L805" s="75">
        <f>K805*(1-PARAM!$C$27)*$I$5+(MOD($B805,60)=PARAM!$B$56)*($B805&gt;(60-PARAM!$B$56))*HLOOKUP(($B805+PARAM!$B$56)/12,Loyalty,2)*$F$1*MAX(N804,0)</f>
        <v>18.557001321003963</v>
      </c>
      <c r="M805" s="75">
        <f>PARAM!$C$26+MAX($G$5-CHOOSE(PARAM!$B$44,MAX(0,N804*$F$1),0),0)*RATES!$L781/12+$H$5*(PARAM!$D$51/12)*RATES!$N781/100</f>
        <v>981.83333333333337</v>
      </c>
      <c r="N805" s="16">
        <f t="shared" si="543"/>
        <v>-131770.89432980749</v>
      </c>
      <c r="O805" s="15">
        <f t="shared" si="544"/>
        <v>22.170849845882874</v>
      </c>
      <c r="P805" s="75">
        <f>O805*(1-PARAM!$C$27)*$I$6+(MOD($B805,60)=PARAM!$B$56)*($B805&gt;(60-PARAM!$B$56))*HLOOKUP(($B805+PARAM!$B$56)/12,Loyalty,2)*$F$1*MAX(R804,0)</f>
        <v>18.557001321003963</v>
      </c>
      <c r="Q805" s="75">
        <f>PARAM!$C$26+MAX($G$6-CHOOSE(PARAM!$B$44,MAX(0,R804*$F$1),0),0)*RATES!$L781/12+$H$6*(PARAM!$D$51/12)*RATES!$N781/100</f>
        <v>981.83333333333337</v>
      </c>
      <c r="R805" s="16">
        <f t="shared" si="545"/>
        <v>-131770.89432980749</v>
      </c>
      <c r="S805" s="15">
        <f t="shared" si="520"/>
        <v>22.170849845882874</v>
      </c>
      <c r="T805" s="75">
        <f>S805*(1-PARAM!$C$27)*$I$7+(MOD($B805,60)=PARAM!$B$56)*($B805&gt;(60-PARAM!$B$56))*HLOOKUP(($B805+PARAM!$B$56)/12,Loyalty,2)*$F$1*MAX(V804,0)</f>
        <v>18.557001321003963</v>
      </c>
      <c r="U805" s="75">
        <f>PARAM!$C$26+MAX($G$7-CHOOSE(PARAM!$B$44,MAX(0,V804*$F$1),0),0)*RATES!$L781/12+$H$7*(PARAM!$D$51/12)*RATES!$N781/100</f>
        <v>981.83333333333337</v>
      </c>
      <c r="V805" s="16">
        <f t="shared" si="546"/>
        <v>-131770.89432980749</v>
      </c>
      <c r="W805" s="15">
        <f t="shared" si="521"/>
        <v>22.170849845882874</v>
      </c>
      <c r="X805" s="75">
        <f>W805*(1-PARAM!$C$27)*$I$8+(MOD($B805,60)=PARAM!$B$56)*($B805&gt;(60-PARAM!$B$56))*HLOOKUP(($B805+PARAM!$B$56)/12,Loyalty,2)*$F$1*MAX(Z804,0)</f>
        <v>18.557001321003963</v>
      </c>
      <c r="Y805" s="75">
        <f>PARAM!$C$26+MAX($G$8-CHOOSE(PARAM!$B$44,MAX(0,Z804*$F$1),0),0)*RATES!$L781/12+$H$8*(PARAM!$D$51/12)*RATES!$N781/100</f>
        <v>981.83333333333337</v>
      </c>
      <c r="Z805" s="16">
        <f t="shared" si="547"/>
        <v>-131770.89432980749</v>
      </c>
      <c r="AA805" s="15">
        <f t="shared" si="522"/>
        <v>22.170849845882874</v>
      </c>
      <c r="AB805" s="75">
        <f>AA805*(1-PARAM!$C$27)*$I$9+(MOD($B805,60)=PARAM!$B$56)*($B805&gt;(60-PARAM!$B$56))*HLOOKUP(($B805+PARAM!$B$56)/12,Loyalty,2)*$F$1*MAX(AD804,0)</f>
        <v>18.557001321003963</v>
      </c>
      <c r="AC805" s="75">
        <f>PARAM!$C$26+MAX($G$9-CHOOSE(PARAM!$B$44,MAX(0,AD804*$F$1),0),0)*RATES!$L781/12+$H$9*(PARAM!$D$51/12)*RATES!$N781/100</f>
        <v>981.83333333333337</v>
      </c>
      <c r="AD805" s="16">
        <f t="shared" si="548"/>
        <v>-131770.89432980749</v>
      </c>
      <c r="AE805" s="15">
        <f t="shared" si="523"/>
        <v>22.170849845882874</v>
      </c>
      <c r="AF805" s="75">
        <f>AE805*(1-PARAM!$C$27)*$I$10+(MOD($B805,60)=PARAM!$B$56)*($B805&gt;(60-PARAM!$B$56))*HLOOKUP(($B805+PARAM!$B$56)/12,Loyalty,2)*$F$1*MAX(AH804,0)</f>
        <v>18.557001321003963</v>
      </c>
      <c r="AG805" s="75">
        <f>PARAM!$C$26+MAX($G$10-CHOOSE(PARAM!$B$44,MAX(0,AH804*$F$1),0),0)*RATES!$L781/12+$H$10*(PARAM!$D$51/12)*RATES!$N781/100</f>
        <v>981.83333333333337</v>
      </c>
      <c r="AH805" s="16">
        <f t="shared" si="549"/>
        <v>-131770.89432980749</v>
      </c>
      <c r="AI805" s="15">
        <f t="shared" si="524"/>
        <v>22.170849845882874</v>
      </c>
      <c r="AJ805" s="75">
        <f>AI805*(1-PARAM!$C$27)*$I$11+(MOD($B805,60)=PARAM!$B$56)*($B805&gt;(60-PARAM!$B$56))*HLOOKUP(($B805+PARAM!$B$56)/12,Loyalty,2)*$F$1*MAX(AL804,0)</f>
        <v>18.557001321003963</v>
      </c>
      <c r="AK805" s="75">
        <f>PARAM!$C$26+MAX($G$11-CHOOSE(PARAM!$B$44,MAX(0,AL804*$F$1),0),0)*RATES!$L781/12+$H$11*(PARAM!$D$51/12)*RATES!$N781/100</f>
        <v>981.83333333333337</v>
      </c>
      <c r="AL805" s="16">
        <f t="shared" si="550"/>
        <v>-131770.89432980749</v>
      </c>
      <c r="AM805" s="15">
        <f t="shared" si="525"/>
        <v>22.170849845882874</v>
      </c>
      <c r="AN805" s="75">
        <f>AM805*(1-PARAM!$C$27)*$I$12+(MOD($B805,60)=PARAM!$B$56)*($B805&gt;(60-PARAM!$B$56))*HLOOKUP(($B805+PARAM!$B$56)/12,Loyalty,2)*$F$1*MAX(AP804,0)</f>
        <v>18.557001321003963</v>
      </c>
      <c r="AO805" s="75">
        <f>PARAM!$C$26+MAX($G$12-CHOOSE(PARAM!$B$44,MAX(0,AP804*$F$1),0),0)*RATES!$L781/12+$H$12*(PARAM!$D$51/12)*RATES!$N781/100</f>
        <v>981.83333333333337</v>
      </c>
      <c r="AP805" s="16">
        <f t="shared" si="551"/>
        <v>-131770.89432980749</v>
      </c>
      <c r="AQ805" s="15">
        <f t="shared" si="526"/>
        <v>22.170849845882874</v>
      </c>
      <c r="AR805" s="75">
        <f>AQ805*(1-PARAM!$C$27)*$I$13+(MOD($B805,60)=PARAM!$B$56)*($B805&gt;(60-PARAM!$B$56))*HLOOKUP(($B805+PARAM!$B$56)/12,Loyalty,2)*$F$1*MAX(AT804,0)</f>
        <v>18.557001321003963</v>
      </c>
      <c r="AS805" s="75">
        <f>PARAM!$C$26+MAX($G$13-CHOOSE(PARAM!$B$44,MAX(0,AT804*$F$1),0),0)*RATES!$L781/12+$H$13*(PARAM!$D$51/12)*RATES!$N781/100</f>
        <v>981.83333333333337</v>
      </c>
      <c r="AT805" s="16">
        <f t="shared" si="552"/>
        <v>-131770.89432980749</v>
      </c>
      <c r="AU805" s="15">
        <f t="shared" si="527"/>
        <v>22.170849845882874</v>
      </c>
      <c r="AV805" s="75">
        <f>AU805*(1-PARAM!$C$27)*$I$14+(MOD($B805,60)=PARAM!$B$56)*($B805&gt;(60-PARAM!$B$56))*HLOOKUP(($B805+PARAM!$B$56)/12,Loyalty,2)*$F$1*MAX(AX804,0)</f>
        <v>18.557001321003963</v>
      </c>
      <c r="AW805" s="75">
        <f>PARAM!$C$26+MAX($G$14-CHOOSE(PARAM!$B$44,MAX(0,AX804*$F$1),0),0)*RATES!$L781/12+$H$14*(PARAM!$D$51/12)*RATES!$N781/100</f>
        <v>981.83333333333337</v>
      </c>
      <c r="AX805" s="16">
        <f t="shared" si="553"/>
        <v>-131770.89432980749</v>
      </c>
      <c r="AY805" s="15">
        <f t="shared" si="528"/>
        <v>22.170849845882874</v>
      </c>
      <c r="AZ805" s="75">
        <f>AY805*(1-PARAM!$C$27)*$I$15+(MOD($B805,60)=PARAM!$B$56)*($B805&gt;(60-PARAM!$B$56))*HLOOKUP(($B805+PARAM!$B$56)/12,Loyalty,2)*$F$1*MAX(BB804,0)</f>
        <v>18.557001321003963</v>
      </c>
      <c r="BA805" s="75">
        <f>PARAM!$C$26+MAX($G$15-CHOOSE(PARAM!$B$44,MAX(0,BB804*$F$1),0),0)*RATES!$L781/12+$H$15*(PARAM!$D$51/12)*RATES!$N781/100</f>
        <v>981.83333333333337</v>
      </c>
      <c r="BB805" s="16">
        <f t="shared" si="554"/>
        <v>-131770.89432980749</v>
      </c>
      <c r="BC805" s="15">
        <f t="shared" si="529"/>
        <v>22.170849845882874</v>
      </c>
      <c r="BD805" s="75">
        <f>BC805*(1-PARAM!$C$27)*$I$16+(MOD($B805,60)=PARAM!$B$56)*($B805&gt;(60-PARAM!$B$56))*HLOOKUP(($B805+PARAM!$B$56)/12,Loyalty,2)*$F$1*MAX(BF804,0)</f>
        <v>18.557001321003963</v>
      </c>
      <c r="BE805" s="75">
        <f>PARAM!$C$26+MAX($G$16-CHOOSE(PARAM!$B$44,MAX(0,BF804*$F$1),0),0)*RATES!$L781/12+$H$16*(PARAM!$D$51/12)*RATES!$N781/100</f>
        <v>981.83333333333337</v>
      </c>
      <c r="BF805" s="16">
        <f t="shared" si="555"/>
        <v>-131770.89432980749</v>
      </c>
      <c r="BG805" s="15">
        <f t="shared" si="530"/>
        <v>22.170849845882874</v>
      </c>
      <c r="BH805" s="75">
        <f>BG805*(1-PARAM!$C$27)*$I$17+(MOD($B805,60)=PARAM!$B$56)*($B805&gt;(60-PARAM!$B$56))*HLOOKUP(($B805+PARAM!$B$56)/12,Loyalty,2)*$F$1*MAX(BJ804,0)</f>
        <v>18.557001321003963</v>
      </c>
      <c r="BI805" s="75">
        <f>PARAM!$C$26+MAX($G$17-CHOOSE(PARAM!$B$44,MAX(0,BJ804*$F$1),0),0)*RATES!$L781/12+$H$17*(PARAM!$D$51/12)*RATES!$N781/100</f>
        <v>981.83333333333337</v>
      </c>
      <c r="BJ805" s="16">
        <f t="shared" si="556"/>
        <v>-131770.89432980749</v>
      </c>
      <c r="BK805" s="15">
        <f t="shared" si="531"/>
        <v>22.170849845882874</v>
      </c>
      <c r="BL805" s="75">
        <f>BK805*(1-PARAM!$C$27)*$I$18+(MOD($B805,60)=PARAM!$B$56)*($B805&gt;(60-PARAM!$B$56))*HLOOKUP(($B805+PARAM!$B$56)/12,Loyalty,2)*$F$1*MAX(BN804,0)</f>
        <v>18.557001321003963</v>
      </c>
      <c r="BM805" s="75">
        <f>PARAM!$C$26+MAX($G$18-CHOOSE(PARAM!$B$44,MAX(0,BN804*$F$1),0),0)*RATES!$L781/12+$H$18*(PARAM!$D$51/12)*RATES!$N781/100</f>
        <v>981.83333333333337</v>
      </c>
      <c r="BN805" s="16">
        <f t="shared" si="557"/>
        <v>-131770.89432980749</v>
      </c>
      <c r="BO805" s="15">
        <f t="shared" si="532"/>
        <v>22.170849845882874</v>
      </c>
      <c r="BP805" s="75">
        <f>BO805*(1-PARAM!$C$27)*$I$19+(MOD($B805,60)=PARAM!$B$56)*($B805&gt;(60-PARAM!$B$56))*HLOOKUP(($B805+PARAM!$B$56)/12,Loyalty,2)*$F$1*MAX(BR804,0)</f>
        <v>18.557001321003963</v>
      </c>
      <c r="BQ805" s="75">
        <f>PARAM!$C$26+MAX($G$19-CHOOSE(PARAM!$B$44,MAX(0,BR804*$F$1),0),0)*RATES!$L781/12+$H$19*(PARAM!$D$51/12)*RATES!$N781/100</f>
        <v>981.83333333333337</v>
      </c>
      <c r="BR805" s="16">
        <f t="shared" si="558"/>
        <v>-131770.89432980749</v>
      </c>
      <c r="BS805" s="15">
        <f t="shared" si="533"/>
        <v>22.170849845882874</v>
      </c>
      <c r="BT805" s="75">
        <f>BS805*(1-PARAM!$C$27)*$I$20+(MOD($B805,60)=PARAM!$B$56)*($B805&gt;(60-PARAM!$B$56))*HLOOKUP(($B805+PARAM!$B$56)/12,Loyalty,2)*$F$1*MAX(BV804,0)</f>
        <v>18.557001321003963</v>
      </c>
      <c r="BU805" s="75">
        <f>PARAM!$C$26+MAX($G$20-CHOOSE(PARAM!$B$44,MAX(0,BV804*$F$1),0),0)*RATES!$L781/12+$H$20*(PARAM!$D$51/12)*RATES!$N781/100</f>
        <v>981.83333333333337</v>
      </c>
      <c r="BV805" s="16">
        <f t="shared" si="559"/>
        <v>-131770.89432980749</v>
      </c>
      <c r="BW805" s="15">
        <f t="shared" si="534"/>
        <v>22.170849845882874</v>
      </c>
      <c r="BX805" s="75">
        <f>BW805*(1-PARAM!$C$27)*$I$21+(MOD($B805,60)=PARAM!$B$56)*($B805&gt;(60-PARAM!$B$56))*HLOOKUP(($B805+PARAM!$B$56)/12,Loyalty,2)*$F$1*MAX(BZ804,0)</f>
        <v>18.557001321003963</v>
      </c>
      <c r="BY805" s="75">
        <f>PARAM!$C$26+MAX($G$21-CHOOSE(PARAM!$B$44,MAX(0,BZ804*$F$1),0),0)*RATES!$L781/12+$H$21*(PARAM!$D$51/12)*RATES!$N781/100</f>
        <v>981.83333333333337</v>
      </c>
      <c r="BZ805" s="16">
        <f t="shared" si="560"/>
        <v>-131770.89432980749</v>
      </c>
      <c r="CA805" s="15">
        <f t="shared" si="535"/>
        <v>22.170849845882874</v>
      </c>
      <c r="CB805" s="75">
        <f>CA805*(1-PARAM!$C$27)*$I$22+(MOD($B805,60)=PARAM!$B$56)*($B805&gt;(60-PARAM!$B$56))*HLOOKUP(($B805+PARAM!$B$56)/12,Loyalty,2)*$F$1*MAX(CD804,0)</f>
        <v>18.557001321003963</v>
      </c>
      <c r="CC805" s="75">
        <f>PARAM!$C$26+MAX($G$22-CHOOSE(PARAM!$B$44,MAX(0,CD804*$F$1),0),0)*RATES!$L781/12+$H$22*(PARAM!$D$51/12)*RATES!$N781/100</f>
        <v>981.83333333333337</v>
      </c>
      <c r="CD805" s="16">
        <f t="shared" si="561"/>
        <v>-131770.89432980749</v>
      </c>
      <c r="CE805" s="33">
        <f>IF(0=MOD(B805,12/PARAM!$D$51),1,0)</f>
        <v>1</v>
      </c>
      <c r="CF805" s="15">
        <f t="shared" si="536"/>
        <v>0</v>
      </c>
      <c r="CG805" s="75">
        <f>CF805*(1-PARAM!$C$27)*$R$3+(MOD($B805/12,5)=0)*($B805&gt;60)*HLOOKUP($B805/12,Loyalty,2)*$F$1*MAX(CI804,0)</f>
        <v>0</v>
      </c>
      <c r="CH805" s="75">
        <f>PARAM!$C$26+MAX($P$3-CHOOSE(PARAM!$B$44,MAX(0,CI804*$F$1),0),0)*RATES!$L781/12+$Q$3*(PARAM!$D$51/12)*RATES!$N781/100</f>
        <v>981.83333333333337</v>
      </c>
      <c r="CI805" s="16">
        <f>IF(CI804&gt;0,CI804*PARAM!$C$53,CI804)+CG805-CH805</f>
        <v>-146088.66666666689</v>
      </c>
      <c r="CJ805" s="15">
        <f t="shared" si="562"/>
        <v>0</v>
      </c>
      <c r="CK805" s="75">
        <f>CJ805*(1-PARAM!$C$27)*$R$4+(MOD($B805/12,5)=0)*($B805&gt;60)*HLOOKUP($B805/12,Loyalty,2)*$F$1*MAX(CM804,0)</f>
        <v>0</v>
      </c>
      <c r="CL805" s="75">
        <f>PARAM!$C$26+MAX($P$4-CHOOSE(PARAM!$B$44,MAX(0,CM804*$F$1),0),0)*RATES!$L781/12+$Q$4*(PARAM!$D$51/12)*RATES!$N781/100</f>
        <v>981.83333333333337</v>
      </c>
      <c r="CM805" s="16">
        <f>IF(CM804&gt;0,CM804*PARAM!$C$53,CM804)+CK805-CL805</f>
        <v>-146088.66666666689</v>
      </c>
      <c r="CO805" s="176"/>
    </row>
    <row r="806" spans="1:93" x14ac:dyDescent="0.2">
      <c r="A806" t="b">
        <f t="shared" si="537"/>
        <v>0</v>
      </c>
      <c r="B806" s="33">
        <v>779</v>
      </c>
      <c r="C806" s="15">
        <f t="shared" si="538"/>
        <v>20.081305947392778</v>
      </c>
      <c r="D806" s="75">
        <f>C806*(1-PARAM!$C$27)*$I$3+(MOD($B806,60)=PARAM!$B$56)*($B806&gt;(60-PARAM!$B$56))*HLOOKUP(($B806+PARAM!$B$56)/12,Loyalty,2)*$F$1*MAX(F805,0)</f>
        <v>16.808053077967756</v>
      </c>
      <c r="E806" s="75">
        <f>PARAM!$C$26+MAX($G$3-CHOOSE(PARAM!$B$44,MAX(0,F805*$F$1),0),0)*RATES!$L782/12+$H$3*(PARAM!$D$51/12)*RATES!$N782/100</f>
        <v>981.83333333333337</v>
      </c>
      <c r="F806" s="16">
        <f t="shared" si="539"/>
        <v>-134133.45184366673</v>
      </c>
      <c r="G806" s="15">
        <f t="shared" si="540"/>
        <v>22.035289406060361</v>
      </c>
      <c r="H806" s="75">
        <f>G806*(1-PARAM!$C$27)*$I$4+(MOD($B806,60)=PARAM!$B$56)*($B806&gt;(60-PARAM!$B$56))*HLOOKUP(($B806+PARAM!$B$56)/12,Loyalty,2)*$F$1*MAX(J805,0)</f>
        <v>18.443537232872522</v>
      </c>
      <c r="I806" s="75">
        <f>PARAM!$C$26+MAX($G$4-CHOOSE(PARAM!$B$44,MAX(0,J805*$F$1),0),0)*RATES!$L782/12+$H$4*(PARAM!$D$51/12)*RATES!$N782/100</f>
        <v>981.83333333333337</v>
      </c>
      <c r="J806" s="16">
        <f t="shared" si="541"/>
        <v>-132825.57672287416</v>
      </c>
      <c r="K806" s="15">
        <f t="shared" si="542"/>
        <v>22.170849845882874</v>
      </c>
      <c r="L806" s="75">
        <f>K806*(1-PARAM!$C$27)*$I$5+(MOD($B806,60)=PARAM!$B$56)*($B806&gt;(60-PARAM!$B$56))*HLOOKUP(($B806+PARAM!$B$56)/12,Loyalty,2)*$F$1*MAX(N805,0)</f>
        <v>18.557001321003963</v>
      </c>
      <c r="M806" s="75">
        <f>PARAM!$C$26+MAX($G$5-CHOOSE(PARAM!$B$44,MAX(0,N805*$F$1),0),0)*RATES!$L782/12+$H$5*(PARAM!$D$51/12)*RATES!$N782/100</f>
        <v>981.83333333333337</v>
      </c>
      <c r="N806" s="16">
        <f t="shared" si="543"/>
        <v>-132734.17066181984</v>
      </c>
      <c r="O806" s="15">
        <f t="shared" si="544"/>
        <v>22.170849845882874</v>
      </c>
      <c r="P806" s="75">
        <f>O806*(1-PARAM!$C$27)*$I$6+(MOD($B806,60)=PARAM!$B$56)*($B806&gt;(60-PARAM!$B$56))*HLOOKUP(($B806+PARAM!$B$56)/12,Loyalty,2)*$F$1*MAX(R805,0)</f>
        <v>18.557001321003963</v>
      </c>
      <c r="Q806" s="75">
        <f>PARAM!$C$26+MAX($G$6-CHOOSE(PARAM!$B$44,MAX(0,R805*$F$1),0),0)*RATES!$L782/12+$H$6*(PARAM!$D$51/12)*RATES!$N782/100</f>
        <v>981.83333333333337</v>
      </c>
      <c r="R806" s="16">
        <f t="shared" si="545"/>
        <v>-132734.17066181984</v>
      </c>
      <c r="S806" s="15">
        <f t="shared" si="520"/>
        <v>22.170849845882874</v>
      </c>
      <c r="T806" s="75">
        <f>S806*(1-PARAM!$C$27)*$I$7+(MOD($B806,60)=PARAM!$B$56)*($B806&gt;(60-PARAM!$B$56))*HLOOKUP(($B806+PARAM!$B$56)/12,Loyalty,2)*$F$1*MAX(V805,0)</f>
        <v>18.557001321003963</v>
      </c>
      <c r="U806" s="75">
        <f>PARAM!$C$26+MAX($G$7-CHOOSE(PARAM!$B$44,MAX(0,V805*$F$1),0),0)*RATES!$L782/12+$H$7*(PARAM!$D$51/12)*RATES!$N782/100</f>
        <v>981.83333333333337</v>
      </c>
      <c r="V806" s="16">
        <f t="shared" si="546"/>
        <v>-132734.17066181984</v>
      </c>
      <c r="W806" s="15">
        <f t="shared" si="521"/>
        <v>22.170849845882874</v>
      </c>
      <c r="X806" s="75">
        <f>W806*(1-PARAM!$C$27)*$I$8+(MOD($B806,60)=PARAM!$B$56)*($B806&gt;(60-PARAM!$B$56))*HLOOKUP(($B806+PARAM!$B$56)/12,Loyalty,2)*$F$1*MAX(Z805,0)</f>
        <v>18.557001321003963</v>
      </c>
      <c r="Y806" s="75">
        <f>PARAM!$C$26+MAX($G$8-CHOOSE(PARAM!$B$44,MAX(0,Z805*$F$1),0),0)*RATES!$L782/12+$H$8*(PARAM!$D$51/12)*RATES!$N782/100</f>
        <v>981.83333333333337</v>
      </c>
      <c r="Z806" s="16">
        <f t="shared" si="547"/>
        <v>-132734.17066181984</v>
      </c>
      <c r="AA806" s="15">
        <f t="shared" si="522"/>
        <v>22.170849845882874</v>
      </c>
      <c r="AB806" s="75">
        <f>AA806*(1-PARAM!$C$27)*$I$9+(MOD($B806,60)=PARAM!$B$56)*($B806&gt;(60-PARAM!$B$56))*HLOOKUP(($B806+PARAM!$B$56)/12,Loyalty,2)*$F$1*MAX(AD805,0)</f>
        <v>18.557001321003963</v>
      </c>
      <c r="AC806" s="75">
        <f>PARAM!$C$26+MAX($G$9-CHOOSE(PARAM!$B$44,MAX(0,AD805*$F$1),0),0)*RATES!$L782/12+$H$9*(PARAM!$D$51/12)*RATES!$N782/100</f>
        <v>981.83333333333337</v>
      </c>
      <c r="AD806" s="16">
        <f t="shared" si="548"/>
        <v>-132734.17066181984</v>
      </c>
      <c r="AE806" s="15">
        <f t="shared" si="523"/>
        <v>22.170849845882874</v>
      </c>
      <c r="AF806" s="75">
        <f>AE806*(1-PARAM!$C$27)*$I$10+(MOD($B806,60)=PARAM!$B$56)*($B806&gt;(60-PARAM!$B$56))*HLOOKUP(($B806+PARAM!$B$56)/12,Loyalty,2)*$F$1*MAX(AH805,0)</f>
        <v>18.557001321003963</v>
      </c>
      <c r="AG806" s="75">
        <f>PARAM!$C$26+MAX($G$10-CHOOSE(PARAM!$B$44,MAX(0,AH805*$F$1),0),0)*RATES!$L782/12+$H$10*(PARAM!$D$51/12)*RATES!$N782/100</f>
        <v>981.83333333333337</v>
      </c>
      <c r="AH806" s="16">
        <f t="shared" si="549"/>
        <v>-132734.17066181984</v>
      </c>
      <c r="AI806" s="15">
        <f t="shared" si="524"/>
        <v>22.170849845882874</v>
      </c>
      <c r="AJ806" s="75">
        <f>AI806*(1-PARAM!$C$27)*$I$11+(MOD($B806,60)=PARAM!$B$56)*($B806&gt;(60-PARAM!$B$56))*HLOOKUP(($B806+PARAM!$B$56)/12,Loyalty,2)*$F$1*MAX(AL805,0)</f>
        <v>18.557001321003963</v>
      </c>
      <c r="AK806" s="75">
        <f>PARAM!$C$26+MAX($G$11-CHOOSE(PARAM!$B$44,MAX(0,AL805*$F$1),0),0)*RATES!$L782/12+$H$11*(PARAM!$D$51/12)*RATES!$N782/100</f>
        <v>981.83333333333337</v>
      </c>
      <c r="AL806" s="16">
        <f t="shared" si="550"/>
        <v>-132734.17066181984</v>
      </c>
      <c r="AM806" s="15">
        <f t="shared" si="525"/>
        <v>22.170849845882874</v>
      </c>
      <c r="AN806" s="75">
        <f>AM806*(1-PARAM!$C$27)*$I$12+(MOD($B806,60)=PARAM!$B$56)*($B806&gt;(60-PARAM!$B$56))*HLOOKUP(($B806+PARAM!$B$56)/12,Loyalty,2)*$F$1*MAX(AP805,0)</f>
        <v>18.557001321003963</v>
      </c>
      <c r="AO806" s="75">
        <f>PARAM!$C$26+MAX($G$12-CHOOSE(PARAM!$B$44,MAX(0,AP805*$F$1),0),0)*RATES!$L782/12+$H$12*(PARAM!$D$51/12)*RATES!$N782/100</f>
        <v>981.83333333333337</v>
      </c>
      <c r="AP806" s="16">
        <f t="shared" si="551"/>
        <v>-132734.17066181984</v>
      </c>
      <c r="AQ806" s="15">
        <f t="shared" si="526"/>
        <v>22.170849845882874</v>
      </c>
      <c r="AR806" s="75">
        <f>AQ806*(1-PARAM!$C$27)*$I$13+(MOD($B806,60)=PARAM!$B$56)*($B806&gt;(60-PARAM!$B$56))*HLOOKUP(($B806+PARAM!$B$56)/12,Loyalty,2)*$F$1*MAX(AT805,0)</f>
        <v>18.557001321003963</v>
      </c>
      <c r="AS806" s="75">
        <f>PARAM!$C$26+MAX($G$13-CHOOSE(PARAM!$B$44,MAX(0,AT805*$F$1),0),0)*RATES!$L782/12+$H$13*(PARAM!$D$51/12)*RATES!$N782/100</f>
        <v>981.83333333333337</v>
      </c>
      <c r="AT806" s="16">
        <f t="shared" si="552"/>
        <v>-132734.17066181984</v>
      </c>
      <c r="AU806" s="15">
        <f t="shared" si="527"/>
        <v>22.170849845882874</v>
      </c>
      <c r="AV806" s="75">
        <f>AU806*(1-PARAM!$C$27)*$I$14+(MOD($B806,60)=PARAM!$B$56)*($B806&gt;(60-PARAM!$B$56))*HLOOKUP(($B806+PARAM!$B$56)/12,Loyalty,2)*$F$1*MAX(AX805,0)</f>
        <v>18.557001321003963</v>
      </c>
      <c r="AW806" s="75">
        <f>PARAM!$C$26+MAX($G$14-CHOOSE(PARAM!$B$44,MAX(0,AX805*$F$1),0),0)*RATES!$L782/12+$H$14*(PARAM!$D$51/12)*RATES!$N782/100</f>
        <v>981.83333333333337</v>
      </c>
      <c r="AX806" s="16">
        <f t="shared" si="553"/>
        <v>-132734.17066181984</v>
      </c>
      <c r="AY806" s="15">
        <f t="shared" si="528"/>
        <v>22.170849845882874</v>
      </c>
      <c r="AZ806" s="75">
        <f>AY806*(1-PARAM!$C$27)*$I$15+(MOD($B806,60)=PARAM!$B$56)*($B806&gt;(60-PARAM!$B$56))*HLOOKUP(($B806+PARAM!$B$56)/12,Loyalty,2)*$F$1*MAX(BB805,0)</f>
        <v>18.557001321003963</v>
      </c>
      <c r="BA806" s="75">
        <f>PARAM!$C$26+MAX($G$15-CHOOSE(PARAM!$B$44,MAX(0,BB805*$F$1),0),0)*RATES!$L782/12+$H$15*(PARAM!$D$51/12)*RATES!$N782/100</f>
        <v>981.83333333333337</v>
      </c>
      <c r="BB806" s="16">
        <f t="shared" si="554"/>
        <v>-132734.17066181984</v>
      </c>
      <c r="BC806" s="15">
        <f t="shared" si="529"/>
        <v>22.170849845882874</v>
      </c>
      <c r="BD806" s="75">
        <f>BC806*(1-PARAM!$C$27)*$I$16+(MOD($B806,60)=PARAM!$B$56)*($B806&gt;(60-PARAM!$B$56))*HLOOKUP(($B806+PARAM!$B$56)/12,Loyalty,2)*$F$1*MAX(BF805,0)</f>
        <v>18.557001321003963</v>
      </c>
      <c r="BE806" s="75">
        <f>PARAM!$C$26+MAX($G$16-CHOOSE(PARAM!$B$44,MAX(0,BF805*$F$1),0),0)*RATES!$L782/12+$H$16*(PARAM!$D$51/12)*RATES!$N782/100</f>
        <v>981.83333333333337</v>
      </c>
      <c r="BF806" s="16">
        <f t="shared" si="555"/>
        <v>-132734.17066181984</v>
      </c>
      <c r="BG806" s="15">
        <f t="shared" si="530"/>
        <v>22.170849845882874</v>
      </c>
      <c r="BH806" s="75">
        <f>BG806*(1-PARAM!$C$27)*$I$17+(MOD($B806,60)=PARAM!$B$56)*($B806&gt;(60-PARAM!$B$56))*HLOOKUP(($B806+PARAM!$B$56)/12,Loyalty,2)*$F$1*MAX(BJ805,0)</f>
        <v>18.557001321003963</v>
      </c>
      <c r="BI806" s="75">
        <f>PARAM!$C$26+MAX($G$17-CHOOSE(PARAM!$B$44,MAX(0,BJ805*$F$1),0),0)*RATES!$L782/12+$H$17*(PARAM!$D$51/12)*RATES!$N782/100</f>
        <v>981.83333333333337</v>
      </c>
      <c r="BJ806" s="16">
        <f t="shared" si="556"/>
        <v>-132734.17066181984</v>
      </c>
      <c r="BK806" s="15">
        <f t="shared" si="531"/>
        <v>22.170849845882874</v>
      </c>
      <c r="BL806" s="75">
        <f>BK806*(1-PARAM!$C$27)*$I$18+(MOD($B806,60)=PARAM!$B$56)*($B806&gt;(60-PARAM!$B$56))*HLOOKUP(($B806+PARAM!$B$56)/12,Loyalty,2)*$F$1*MAX(BN805,0)</f>
        <v>18.557001321003963</v>
      </c>
      <c r="BM806" s="75">
        <f>PARAM!$C$26+MAX($G$18-CHOOSE(PARAM!$B$44,MAX(0,BN805*$F$1),0),0)*RATES!$L782/12+$H$18*(PARAM!$D$51/12)*RATES!$N782/100</f>
        <v>981.83333333333337</v>
      </c>
      <c r="BN806" s="16">
        <f t="shared" si="557"/>
        <v>-132734.17066181984</v>
      </c>
      <c r="BO806" s="15">
        <f t="shared" si="532"/>
        <v>22.170849845882874</v>
      </c>
      <c r="BP806" s="75">
        <f>BO806*(1-PARAM!$C$27)*$I$19+(MOD($B806,60)=PARAM!$B$56)*($B806&gt;(60-PARAM!$B$56))*HLOOKUP(($B806+PARAM!$B$56)/12,Loyalty,2)*$F$1*MAX(BR805,0)</f>
        <v>18.557001321003963</v>
      </c>
      <c r="BQ806" s="75">
        <f>PARAM!$C$26+MAX($G$19-CHOOSE(PARAM!$B$44,MAX(0,BR805*$F$1),0),0)*RATES!$L782/12+$H$19*(PARAM!$D$51/12)*RATES!$N782/100</f>
        <v>981.83333333333337</v>
      </c>
      <c r="BR806" s="16">
        <f t="shared" si="558"/>
        <v>-132734.17066181984</v>
      </c>
      <c r="BS806" s="15">
        <f t="shared" si="533"/>
        <v>22.170849845882874</v>
      </c>
      <c r="BT806" s="75">
        <f>BS806*(1-PARAM!$C$27)*$I$20+(MOD($B806,60)=PARAM!$B$56)*($B806&gt;(60-PARAM!$B$56))*HLOOKUP(($B806+PARAM!$B$56)/12,Loyalty,2)*$F$1*MAX(BV805,0)</f>
        <v>18.557001321003963</v>
      </c>
      <c r="BU806" s="75">
        <f>PARAM!$C$26+MAX($G$20-CHOOSE(PARAM!$B$44,MAX(0,BV805*$F$1),0),0)*RATES!$L782/12+$H$20*(PARAM!$D$51/12)*RATES!$N782/100</f>
        <v>981.83333333333337</v>
      </c>
      <c r="BV806" s="16">
        <f t="shared" si="559"/>
        <v>-132734.17066181984</v>
      </c>
      <c r="BW806" s="15">
        <f t="shared" si="534"/>
        <v>22.170849845882874</v>
      </c>
      <c r="BX806" s="75">
        <f>BW806*(1-PARAM!$C$27)*$I$21+(MOD($B806,60)=PARAM!$B$56)*($B806&gt;(60-PARAM!$B$56))*HLOOKUP(($B806+PARAM!$B$56)/12,Loyalty,2)*$F$1*MAX(BZ805,0)</f>
        <v>18.557001321003963</v>
      </c>
      <c r="BY806" s="75">
        <f>PARAM!$C$26+MAX($G$21-CHOOSE(PARAM!$B$44,MAX(0,BZ805*$F$1),0),0)*RATES!$L782/12+$H$21*(PARAM!$D$51/12)*RATES!$N782/100</f>
        <v>981.83333333333337</v>
      </c>
      <c r="BZ806" s="16">
        <f t="shared" si="560"/>
        <v>-132734.17066181984</v>
      </c>
      <c r="CA806" s="15">
        <f t="shared" si="535"/>
        <v>22.170849845882874</v>
      </c>
      <c r="CB806" s="75">
        <f>CA806*(1-PARAM!$C$27)*$I$22+(MOD($B806,60)=PARAM!$B$56)*($B806&gt;(60-PARAM!$B$56))*HLOOKUP(($B806+PARAM!$B$56)/12,Loyalty,2)*$F$1*MAX(CD805,0)</f>
        <v>18.557001321003963</v>
      </c>
      <c r="CC806" s="75">
        <f>PARAM!$C$26+MAX($G$22-CHOOSE(PARAM!$B$44,MAX(0,CD805*$F$1),0),0)*RATES!$L782/12+$H$22*(PARAM!$D$51/12)*RATES!$N782/100</f>
        <v>981.83333333333337</v>
      </c>
      <c r="CD806" s="16">
        <f t="shared" si="561"/>
        <v>-132734.17066181984</v>
      </c>
      <c r="CE806" s="33">
        <f>IF(0=MOD(B806,12/PARAM!$D$51),1,0)</f>
        <v>1</v>
      </c>
      <c r="CF806" s="15">
        <f t="shared" si="536"/>
        <v>0</v>
      </c>
      <c r="CG806" s="75">
        <f>CF806*(1-PARAM!$C$27)*$R$3+(MOD($B806/12,5)=0)*($B806&gt;60)*HLOOKUP($B806/12,Loyalty,2)*$F$1*MAX(CI805,0)</f>
        <v>0</v>
      </c>
      <c r="CH806" s="75">
        <f>PARAM!$C$26+MAX($P$3-CHOOSE(PARAM!$B$44,MAX(0,CI805*$F$1),0),0)*RATES!$L782/12+$Q$3*(PARAM!$D$51/12)*RATES!$N782/100</f>
        <v>981.83333333333337</v>
      </c>
      <c r="CI806" s="16">
        <f>IF(CI805&gt;0,CI805*PARAM!$C$53,CI805)+CG806-CH806</f>
        <v>-147070.50000000023</v>
      </c>
      <c r="CJ806" s="15">
        <f t="shared" si="562"/>
        <v>0</v>
      </c>
      <c r="CK806" s="75">
        <f>CJ806*(1-PARAM!$C$27)*$R$4+(MOD($B806/12,5)=0)*($B806&gt;60)*HLOOKUP($B806/12,Loyalty,2)*$F$1*MAX(CM805,0)</f>
        <v>0</v>
      </c>
      <c r="CL806" s="75">
        <f>PARAM!$C$26+MAX($P$4-CHOOSE(PARAM!$B$44,MAX(0,CM805*$F$1),0),0)*RATES!$L782/12+$Q$4*(PARAM!$D$51/12)*RATES!$N782/100</f>
        <v>981.83333333333337</v>
      </c>
      <c r="CM806" s="16">
        <f>IF(CM805&gt;0,CM805*PARAM!$C$53,CM805)+CK806-CL806</f>
        <v>-147070.50000000023</v>
      </c>
      <c r="CO806" s="176"/>
    </row>
    <row r="807" spans="1:93" x14ac:dyDescent="0.2">
      <c r="A807" t="b">
        <f t="shared" si="537"/>
        <v>0</v>
      </c>
      <c r="B807" s="33">
        <v>780</v>
      </c>
      <c r="C807" s="15">
        <f t="shared" si="538"/>
        <v>20.081305947392778</v>
      </c>
      <c r="D807" s="75">
        <f>C807*(1-PARAM!$C$27)*$I$3+(MOD($B807,60)=PARAM!$B$56)*($B807&gt;(60-PARAM!$B$56))*HLOOKUP(($B807+PARAM!$B$56)/12,Loyalty,2)*$F$1*MAX(F806,0)</f>
        <v>16.808053077967756</v>
      </c>
      <c r="E807" s="75">
        <f>PARAM!$C$26+MAX($G$3-CHOOSE(PARAM!$B$44,MAX(0,F806*$F$1),0),0)*RATES!$L783/12+$H$3*(PARAM!$D$51/12)*RATES!$N783/100</f>
        <v>981.83333333333337</v>
      </c>
      <c r="F807" s="16">
        <f t="shared" si="539"/>
        <v>-135098.47712392212</v>
      </c>
      <c r="G807" s="15">
        <f t="shared" si="540"/>
        <v>22.035289406060361</v>
      </c>
      <c r="H807" s="75">
        <f>G807*(1-PARAM!$C$27)*$I$4+(MOD($B807,60)=PARAM!$B$56)*($B807&gt;(60-PARAM!$B$56))*HLOOKUP(($B807+PARAM!$B$56)/12,Loyalty,2)*$F$1*MAX(J806,0)</f>
        <v>18.443537232872522</v>
      </c>
      <c r="I807" s="75">
        <f>PARAM!$C$26+MAX($G$4-CHOOSE(PARAM!$B$44,MAX(0,J806*$F$1),0),0)*RATES!$L783/12+$H$4*(PARAM!$D$51/12)*RATES!$N783/100</f>
        <v>981.83333333333337</v>
      </c>
      <c r="J807" s="16">
        <f t="shared" si="541"/>
        <v>-133788.96651897463</v>
      </c>
      <c r="K807" s="15">
        <f t="shared" si="542"/>
        <v>22.170849845882874</v>
      </c>
      <c r="L807" s="75">
        <f>K807*(1-PARAM!$C$27)*$I$5+(MOD($B807,60)=PARAM!$B$56)*($B807&gt;(60-PARAM!$B$56))*HLOOKUP(($B807+PARAM!$B$56)/12,Loyalty,2)*$F$1*MAX(N806,0)</f>
        <v>18.557001321003963</v>
      </c>
      <c r="M807" s="75">
        <f>PARAM!$C$26+MAX($G$5-CHOOSE(PARAM!$B$44,MAX(0,N806*$F$1),0),0)*RATES!$L783/12+$H$5*(PARAM!$D$51/12)*RATES!$N783/100</f>
        <v>981.83333333333337</v>
      </c>
      <c r="N807" s="16">
        <f t="shared" si="543"/>
        <v>-133697.44699383219</v>
      </c>
      <c r="O807" s="15">
        <f t="shared" si="544"/>
        <v>22.170849845882874</v>
      </c>
      <c r="P807" s="75">
        <f>O807*(1-PARAM!$C$27)*$I$6+(MOD($B807,60)=PARAM!$B$56)*($B807&gt;(60-PARAM!$B$56))*HLOOKUP(($B807+PARAM!$B$56)/12,Loyalty,2)*$F$1*MAX(R806,0)</f>
        <v>18.557001321003963</v>
      </c>
      <c r="Q807" s="75">
        <f>PARAM!$C$26+MAX($G$6-CHOOSE(PARAM!$B$44,MAX(0,R806*$F$1),0),0)*RATES!$L783/12+$H$6*(PARAM!$D$51/12)*RATES!$N783/100</f>
        <v>981.83333333333337</v>
      </c>
      <c r="R807" s="16">
        <f t="shared" si="545"/>
        <v>-133697.44699383219</v>
      </c>
      <c r="S807" s="15">
        <f t="shared" si="520"/>
        <v>22.170849845882874</v>
      </c>
      <c r="T807" s="75">
        <f>S807*(1-PARAM!$C$27)*$I$7+(MOD($B807,60)=PARAM!$B$56)*($B807&gt;(60-PARAM!$B$56))*HLOOKUP(($B807+PARAM!$B$56)/12,Loyalty,2)*$F$1*MAX(V806,0)</f>
        <v>18.557001321003963</v>
      </c>
      <c r="U807" s="75">
        <f>PARAM!$C$26+MAX($G$7-CHOOSE(PARAM!$B$44,MAX(0,V806*$F$1),0),0)*RATES!$L783/12+$H$7*(PARAM!$D$51/12)*RATES!$N783/100</f>
        <v>981.83333333333337</v>
      </c>
      <c r="V807" s="16">
        <f t="shared" si="546"/>
        <v>-133697.44699383219</v>
      </c>
      <c r="W807" s="15">
        <f t="shared" si="521"/>
        <v>22.170849845882874</v>
      </c>
      <c r="X807" s="75">
        <f>W807*(1-PARAM!$C$27)*$I$8+(MOD($B807,60)=PARAM!$B$56)*($B807&gt;(60-PARAM!$B$56))*HLOOKUP(($B807+PARAM!$B$56)/12,Loyalty,2)*$F$1*MAX(Z806,0)</f>
        <v>18.557001321003963</v>
      </c>
      <c r="Y807" s="75">
        <f>PARAM!$C$26+MAX($G$8-CHOOSE(PARAM!$B$44,MAX(0,Z806*$F$1),0),0)*RATES!$L783/12+$H$8*(PARAM!$D$51/12)*RATES!$N783/100</f>
        <v>981.83333333333337</v>
      </c>
      <c r="Z807" s="16">
        <f t="shared" si="547"/>
        <v>-133697.44699383219</v>
      </c>
      <c r="AA807" s="15">
        <f t="shared" si="522"/>
        <v>22.170849845882874</v>
      </c>
      <c r="AB807" s="75">
        <f>AA807*(1-PARAM!$C$27)*$I$9+(MOD($B807,60)=PARAM!$B$56)*($B807&gt;(60-PARAM!$B$56))*HLOOKUP(($B807+PARAM!$B$56)/12,Loyalty,2)*$F$1*MAX(AD806,0)</f>
        <v>18.557001321003963</v>
      </c>
      <c r="AC807" s="75">
        <f>PARAM!$C$26+MAX($G$9-CHOOSE(PARAM!$B$44,MAX(0,AD806*$F$1),0),0)*RATES!$L783/12+$H$9*(PARAM!$D$51/12)*RATES!$N783/100</f>
        <v>981.83333333333337</v>
      </c>
      <c r="AD807" s="16">
        <f t="shared" si="548"/>
        <v>-133697.44699383219</v>
      </c>
      <c r="AE807" s="15">
        <f t="shared" si="523"/>
        <v>22.170849845882874</v>
      </c>
      <c r="AF807" s="75">
        <f>AE807*(1-PARAM!$C$27)*$I$10+(MOD($B807,60)=PARAM!$B$56)*($B807&gt;(60-PARAM!$B$56))*HLOOKUP(($B807+PARAM!$B$56)/12,Loyalty,2)*$F$1*MAX(AH806,0)</f>
        <v>18.557001321003963</v>
      </c>
      <c r="AG807" s="75">
        <f>PARAM!$C$26+MAX($G$10-CHOOSE(PARAM!$B$44,MAX(0,AH806*$F$1),0),0)*RATES!$L783/12+$H$10*(PARAM!$D$51/12)*RATES!$N783/100</f>
        <v>981.83333333333337</v>
      </c>
      <c r="AH807" s="16">
        <f t="shared" si="549"/>
        <v>-133697.44699383219</v>
      </c>
      <c r="AI807" s="15">
        <f t="shared" si="524"/>
        <v>22.170849845882874</v>
      </c>
      <c r="AJ807" s="75">
        <f>AI807*(1-PARAM!$C$27)*$I$11+(MOD($B807,60)=PARAM!$B$56)*($B807&gt;(60-PARAM!$B$56))*HLOOKUP(($B807+PARAM!$B$56)/12,Loyalty,2)*$F$1*MAX(AL806,0)</f>
        <v>18.557001321003963</v>
      </c>
      <c r="AK807" s="75">
        <f>PARAM!$C$26+MAX($G$11-CHOOSE(PARAM!$B$44,MAX(0,AL806*$F$1),0),0)*RATES!$L783/12+$H$11*(PARAM!$D$51/12)*RATES!$N783/100</f>
        <v>981.83333333333337</v>
      </c>
      <c r="AL807" s="16">
        <f t="shared" si="550"/>
        <v>-133697.44699383219</v>
      </c>
      <c r="AM807" s="15">
        <f t="shared" si="525"/>
        <v>22.170849845882874</v>
      </c>
      <c r="AN807" s="75">
        <f>AM807*(1-PARAM!$C$27)*$I$12+(MOD($B807,60)=PARAM!$B$56)*($B807&gt;(60-PARAM!$B$56))*HLOOKUP(($B807+PARAM!$B$56)/12,Loyalty,2)*$F$1*MAX(AP806,0)</f>
        <v>18.557001321003963</v>
      </c>
      <c r="AO807" s="75">
        <f>PARAM!$C$26+MAX($G$12-CHOOSE(PARAM!$B$44,MAX(0,AP806*$F$1),0),0)*RATES!$L783/12+$H$12*(PARAM!$D$51/12)*RATES!$N783/100</f>
        <v>981.83333333333337</v>
      </c>
      <c r="AP807" s="16">
        <f t="shared" si="551"/>
        <v>-133697.44699383219</v>
      </c>
      <c r="AQ807" s="15">
        <f t="shared" si="526"/>
        <v>22.170849845882874</v>
      </c>
      <c r="AR807" s="75">
        <f>AQ807*(1-PARAM!$C$27)*$I$13+(MOD($B807,60)=PARAM!$B$56)*($B807&gt;(60-PARAM!$B$56))*HLOOKUP(($B807+PARAM!$B$56)/12,Loyalty,2)*$F$1*MAX(AT806,0)</f>
        <v>18.557001321003963</v>
      </c>
      <c r="AS807" s="75">
        <f>PARAM!$C$26+MAX($G$13-CHOOSE(PARAM!$B$44,MAX(0,AT806*$F$1),0),0)*RATES!$L783/12+$H$13*(PARAM!$D$51/12)*RATES!$N783/100</f>
        <v>981.83333333333337</v>
      </c>
      <c r="AT807" s="16">
        <f t="shared" si="552"/>
        <v>-133697.44699383219</v>
      </c>
      <c r="AU807" s="15">
        <f t="shared" si="527"/>
        <v>22.170849845882874</v>
      </c>
      <c r="AV807" s="75">
        <f>AU807*(1-PARAM!$C$27)*$I$14+(MOD($B807,60)=PARAM!$B$56)*($B807&gt;(60-PARAM!$B$56))*HLOOKUP(($B807+PARAM!$B$56)/12,Loyalty,2)*$F$1*MAX(AX806,0)</f>
        <v>18.557001321003963</v>
      </c>
      <c r="AW807" s="75">
        <f>PARAM!$C$26+MAX($G$14-CHOOSE(PARAM!$B$44,MAX(0,AX806*$F$1),0),0)*RATES!$L783/12+$H$14*(PARAM!$D$51/12)*RATES!$N783/100</f>
        <v>981.83333333333337</v>
      </c>
      <c r="AX807" s="16">
        <f t="shared" si="553"/>
        <v>-133697.44699383219</v>
      </c>
      <c r="AY807" s="15">
        <f t="shared" si="528"/>
        <v>22.170849845882874</v>
      </c>
      <c r="AZ807" s="75">
        <f>AY807*(1-PARAM!$C$27)*$I$15+(MOD($B807,60)=PARAM!$B$56)*($B807&gt;(60-PARAM!$B$56))*HLOOKUP(($B807+PARAM!$B$56)/12,Loyalty,2)*$F$1*MAX(BB806,0)</f>
        <v>18.557001321003963</v>
      </c>
      <c r="BA807" s="75">
        <f>PARAM!$C$26+MAX($G$15-CHOOSE(PARAM!$B$44,MAX(0,BB806*$F$1),0),0)*RATES!$L783/12+$H$15*(PARAM!$D$51/12)*RATES!$N783/100</f>
        <v>981.83333333333337</v>
      </c>
      <c r="BB807" s="16">
        <f t="shared" si="554"/>
        <v>-133697.44699383219</v>
      </c>
      <c r="BC807" s="15">
        <f t="shared" si="529"/>
        <v>22.170849845882874</v>
      </c>
      <c r="BD807" s="75">
        <f>BC807*(1-PARAM!$C$27)*$I$16+(MOD($B807,60)=PARAM!$B$56)*($B807&gt;(60-PARAM!$B$56))*HLOOKUP(($B807+PARAM!$B$56)/12,Loyalty,2)*$F$1*MAX(BF806,0)</f>
        <v>18.557001321003963</v>
      </c>
      <c r="BE807" s="75">
        <f>PARAM!$C$26+MAX($G$16-CHOOSE(PARAM!$B$44,MAX(0,BF806*$F$1),0),0)*RATES!$L783/12+$H$16*(PARAM!$D$51/12)*RATES!$N783/100</f>
        <v>981.83333333333337</v>
      </c>
      <c r="BF807" s="16">
        <f t="shared" si="555"/>
        <v>-133697.44699383219</v>
      </c>
      <c r="BG807" s="15">
        <f t="shared" si="530"/>
        <v>22.170849845882874</v>
      </c>
      <c r="BH807" s="75">
        <f>BG807*(1-PARAM!$C$27)*$I$17+(MOD($B807,60)=PARAM!$B$56)*($B807&gt;(60-PARAM!$B$56))*HLOOKUP(($B807+PARAM!$B$56)/12,Loyalty,2)*$F$1*MAX(BJ806,0)</f>
        <v>18.557001321003963</v>
      </c>
      <c r="BI807" s="75">
        <f>PARAM!$C$26+MAX($G$17-CHOOSE(PARAM!$B$44,MAX(0,BJ806*$F$1),0),0)*RATES!$L783/12+$H$17*(PARAM!$D$51/12)*RATES!$N783/100</f>
        <v>981.83333333333337</v>
      </c>
      <c r="BJ807" s="16">
        <f t="shared" si="556"/>
        <v>-133697.44699383219</v>
      </c>
      <c r="BK807" s="15">
        <f t="shared" si="531"/>
        <v>22.170849845882874</v>
      </c>
      <c r="BL807" s="75">
        <f>BK807*(1-PARAM!$C$27)*$I$18+(MOD($B807,60)=PARAM!$B$56)*($B807&gt;(60-PARAM!$B$56))*HLOOKUP(($B807+PARAM!$B$56)/12,Loyalty,2)*$F$1*MAX(BN806,0)</f>
        <v>18.557001321003963</v>
      </c>
      <c r="BM807" s="75">
        <f>PARAM!$C$26+MAX($G$18-CHOOSE(PARAM!$B$44,MAX(0,BN806*$F$1),0),0)*RATES!$L783/12+$H$18*(PARAM!$D$51/12)*RATES!$N783/100</f>
        <v>981.83333333333337</v>
      </c>
      <c r="BN807" s="16">
        <f t="shared" si="557"/>
        <v>-133697.44699383219</v>
      </c>
      <c r="BO807" s="15">
        <f t="shared" si="532"/>
        <v>22.170849845882874</v>
      </c>
      <c r="BP807" s="75">
        <f>BO807*(1-PARAM!$C$27)*$I$19+(MOD($B807,60)=PARAM!$B$56)*($B807&gt;(60-PARAM!$B$56))*HLOOKUP(($B807+PARAM!$B$56)/12,Loyalty,2)*$F$1*MAX(BR806,0)</f>
        <v>18.557001321003963</v>
      </c>
      <c r="BQ807" s="75">
        <f>PARAM!$C$26+MAX($G$19-CHOOSE(PARAM!$B$44,MAX(0,BR806*$F$1),0),0)*RATES!$L783/12+$H$19*(PARAM!$D$51/12)*RATES!$N783/100</f>
        <v>981.83333333333337</v>
      </c>
      <c r="BR807" s="16">
        <f t="shared" si="558"/>
        <v>-133697.44699383219</v>
      </c>
      <c r="BS807" s="15">
        <f t="shared" si="533"/>
        <v>22.170849845882874</v>
      </c>
      <c r="BT807" s="75">
        <f>BS807*(1-PARAM!$C$27)*$I$20+(MOD($B807,60)=PARAM!$B$56)*($B807&gt;(60-PARAM!$B$56))*HLOOKUP(($B807+PARAM!$B$56)/12,Loyalty,2)*$F$1*MAX(BV806,0)</f>
        <v>18.557001321003963</v>
      </c>
      <c r="BU807" s="75">
        <f>PARAM!$C$26+MAX($G$20-CHOOSE(PARAM!$B$44,MAX(0,BV806*$F$1),0),0)*RATES!$L783/12+$H$20*(PARAM!$D$51/12)*RATES!$N783/100</f>
        <v>981.83333333333337</v>
      </c>
      <c r="BV807" s="16">
        <f t="shared" si="559"/>
        <v>-133697.44699383219</v>
      </c>
      <c r="BW807" s="15">
        <f t="shared" si="534"/>
        <v>22.170849845882874</v>
      </c>
      <c r="BX807" s="75">
        <f>BW807*(1-PARAM!$C$27)*$I$21+(MOD($B807,60)=PARAM!$B$56)*($B807&gt;(60-PARAM!$B$56))*HLOOKUP(($B807+PARAM!$B$56)/12,Loyalty,2)*$F$1*MAX(BZ806,0)</f>
        <v>18.557001321003963</v>
      </c>
      <c r="BY807" s="75">
        <f>PARAM!$C$26+MAX($G$21-CHOOSE(PARAM!$B$44,MAX(0,BZ806*$F$1),0),0)*RATES!$L783/12+$H$21*(PARAM!$D$51/12)*RATES!$N783/100</f>
        <v>981.83333333333337</v>
      </c>
      <c r="BZ807" s="16">
        <f t="shared" si="560"/>
        <v>-133697.44699383219</v>
      </c>
      <c r="CA807" s="15">
        <f t="shared" si="535"/>
        <v>22.170849845882874</v>
      </c>
      <c r="CB807" s="75">
        <f>CA807*(1-PARAM!$C$27)*$I$22+(MOD($B807,60)=PARAM!$B$56)*($B807&gt;(60-PARAM!$B$56))*HLOOKUP(($B807+PARAM!$B$56)/12,Loyalty,2)*$F$1*MAX(CD806,0)</f>
        <v>18.557001321003963</v>
      </c>
      <c r="CC807" s="75">
        <f>PARAM!$C$26+MAX($G$22-CHOOSE(PARAM!$B$44,MAX(0,CD806*$F$1),0),0)*RATES!$L783/12+$H$22*(PARAM!$D$51/12)*RATES!$N783/100</f>
        <v>981.83333333333337</v>
      </c>
      <c r="CD807" s="16">
        <f t="shared" si="561"/>
        <v>-133697.44699383219</v>
      </c>
      <c r="CE807" s="33">
        <f>IF(0=MOD(B807,12/PARAM!$D$51),1,0)</f>
        <v>1</v>
      </c>
      <c r="CF807" s="15">
        <f t="shared" si="536"/>
        <v>0</v>
      </c>
      <c r="CG807" s="75">
        <f>CF807*(1-PARAM!$C$27)*$R$3+(MOD($B807/12,5)=0)*($B807&gt;60)*HLOOKUP($B807/12,Loyalty,2)*$F$1*MAX(CI806,0)</f>
        <v>0</v>
      </c>
      <c r="CH807" s="75">
        <f>PARAM!$C$26+MAX($P$3-CHOOSE(PARAM!$B$44,MAX(0,CI806*$F$1),0),0)*RATES!$L783/12+$Q$3*(PARAM!$D$51/12)*RATES!$N783/100</f>
        <v>981.83333333333337</v>
      </c>
      <c r="CI807" s="16">
        <f>IF(CI806&gt;0,CI806*PARAM!$C$53,CI806)+CG807-CH807</f>
        <v>-148052.33333333358</v>
      </c>
      <c r="CJ807" s="15">
        <f t="shared" si="562"/>
        <v>0</v>
      </c>
      <c r="CK807" s="75">
        <f>CJ807*(1-PARAM!$C$27)*$R$4+(MOD($B807/12,5)=0)*($B807&gt;60)*HLOOKUP($B807/12,Loyalty,2)*$F$1*MAX(CM806,0)</f>
        <v>0</v>
      </c>
      <c r="CL807" s="75">
        <f>PARAM!$C$26+MAX($P$4-CHOOSE(PARAM!$B$44,MAX(0,CM806*$F$1),0),0)*RATES!$L783/12+$Q$4*(PARAM!$D$51/12)*RATES!$N783/100</f>
        <v>981.83333333333337</v>
      </c>
      <c r="CM807" s="16">
        <f>IF(CM806&gt;0,CM806*PARAM!$C$53,CM806)+CK807-CL807</f>
        <v>-148052.33333333358</v>
      </c>
      <c r="CO807" s="176"/>
    </row>
    <row r="808" spans="1:93" x14ac:dyDescent="0.2">
      <c r="A808" t="b">
        <f t="shared" si="537"/>
        <v>0</v>
      </c>
      <c r="B808" s="33">
        <v>781</v>
      </c>
      <c r="C808" s="15">
        <f t="shared" si="538"/>
        <v>20.081305947392778</v>
      </c>
      <c r="D808" s="75">
        <f>C808*(1-PARAM!$C$27)*$I$3+(MOD($B808,60)=PARAM!$B$56)*($B808&gt;(60-PARAM!$B$56))*HLOOKUP(($B808+PARAM!$B$56)/12,Loyalty,2)*$F$1*MAX(F807,0)</f>
        <v>16.808053077967756</v>
      </c>
      <c r="E808" s="75">
        <f>PARAM!$C$26+MAX($G$3-CHOOSE(PARAM!$B$44,MAX(0,F807*$F$1),0),0)*RATES!$L784/12+$H$3*(PARAM!$D$51/12)*RATES!$N784/100</f>
        <v>981.83333333333337</v>
      </c>
      <c r="F808" s="16">
        <f t="shared" si="539"/>
        <v>-136063.5024041775</v>
      </c>
      <c r="G808" s="15">
        <f t="shared" si="540"/>
        <v>22.035289406060361</v>
      </c>
      <c r="H808" s="75">
        <f>G808*(1-PARAM!$C$27)*$I$4+(MOD($B808,60)=PARAM!$B$56)*($B808&gt;(60-PARAM!$B$56))*HLOOKUP(($B808+PARAM!$B$56)/12,Loyalty,2)*$F$1*MAX(J807,0)</f>
        <v>18.443537232872522</v>
      </c>
      <c r="I808" s="75">
        <f>PARAM!$C$26+MAX($G$4-CHOOSE(PARAM!$B$44,MAX(0,J807*$F$1),0),0)*RATES!$L784/12+$H$4*(PARAM!$D$51/12)*RATES!$N784/100</f>
        <v>981.83333333333337</v>
      </c>
      <c r="J808" s="16">
        <f t="shared" si="541"/>
        <v>-134752.3563150751</v>
      </c>
      <c r="K808" s="15">
        <f t="shared" si="542"/>
        <v>22.170849845882874</v>
      </c>
      <c r="L808" s="75">
        <f>K808*(1-PARAM!$C$27)*$I$5+(MOD($B808,60)=PARAM!$B$56)*($B808&gt;(60-PARAM!$B$56))*HLOOKUP(($B808+PARAM!$B$56)/12,Loyalty,2)*$F$1*MAX(N807,0)</f>
        <v>18.557001321003963</v>
      </c>
      <c r="M808" s="75">
        <f>PARAM!$C$26+MAX($G$5-CHOOSE(PARAM!$B$44,MAX(0,N807*$F$1),0),0)*RATES!$L784/12+$H$5*(PARAM!$D$51/12)*RATES!$N784/100</f>
        <v>981.83333333333337</v>
      </c>
      <c r="N808" s="16">
        <f t="shared" si="543"/>
        <v>-134660.72332584453</v>
      </c>
      <c r="O808" s="15">
        <f t="shared" si="544"/>
        <v>22.170849845882874</v>
      </c>
      <c r="P808" s="75">
        <f>O808*(1-PARAM!$C$27)*$I$6+(MOD($B808,60)=PARAM!$B$56)*($B808&gt;(60-PARAM!$B$56))*HLOOKUP(($B808+PARAM!$B$56)/12,Loyalty,2)*$F$1*MAX(R807,0)</f>
        <v>18.557001321003963</v>
      </c>
      <c r="Q808" s="75">
        <f>PARAM!$C$26+MAX($G$6-CHOOSE(PARAM!$B$44,MAX(0,R807*$F$1),0),0)*RATES!$L784/12+$H$6*(PARAM!$D$51/12)*RATES!$N784/100</f>
        <v>981.83333333333337</v>
      </c>
      <c r="R808" s="16">
        <f t="shared" si="545"/>
        <v>-134660.72332584453</v>
      </c>
      <c r="S808" s="15">
        <f t="shared" si="520"/>
        <v>22.170849845882874</v>
      </c>
      <c r="T808" s="75">
        <f>S808*(1-PARAM!$C$27)*$I$7+(MOD($B808,60)=PARAM!$B$56)*($B808&gt;(60-PARAM!$B$56))*HLOOKUP(($B808+PARAM!$B$56)/12,Loyalty,2)*$F$1*MAX(V807,0)</f>
        <v>18.557001321003963</v>
      </c>
      <c r="U808" s="75">
        <f>PARAM!$C$26+MAX($G$7-CHOOSE(PARAM!$B$44,MAX(0,V807*$F$1),0),0)*RATES!$L784/12+$H$7*(PARAM!$D$51/12)*RATES!$N784/100</f>
        <v>981.83333333333337</v>
      </c>
      <c r="V808" s="16">
        <f t="shared" si="546"/>
        <v>-134660.72332584453</v>
      </c>
      <c r="W808" s="15">
        <f t="shared" si="521"/>
        <v>22.170849845882874</v>
      </c>
      <c r="X808" s="75">
        <f>W808*(1-PARAM!$C$27)*$I$8+(MOD($B808,60)=PARAM!$B$56)*($B808&gt;(60-PARAM!$B$56))*HLOOKUP(($B808+PARAM!$B$56)/12,Loyalty,2)*$F$1*MAX(Z807,0)</f>
        <v>18.557001321003963</v>
      </c>
      <c r="Y808" s="75">
        <f>PARAM!$C$26+MAX($G$8-CHOOSE(PARAM!$B$44,MAX(0,Z807*$F$1),0),0)*RATES!$L784/12+$H$8*(PARAM!$D$51/12)*RATES!$N784/100</f>
        <v>981.83333333333337</v>
      </c>
      <c r="Z808" s="16">
        <f t="shared" si="547"/>
        <v>-134660.72332584453</v>
      </c>
      <c r="AA808" s="15">
        <f t="shared" si="522"/>
        <v>22.170849845882874</v>
      </c>
      <c r="AB808" s="75">
        <f>AA808*(1-PARAM!$C$27)*$I$9+(MOD($B808,60)=PARAM!$B$56)*($B808&gt;(60-PARAM!$B$56))*HLOOKUP(($B808+PARAM!$B$56)/12,Loyalty,2)*$F$1*MAX(AD807,0)</f>
        <v>18.557001321003963</v>
      </c>
      <c r="AC808" s="75">
        <f>PARAM!$C$26+MAX($G$9-CHOOSE(PARAM!$B$44,MAX(0,AD807*$F$1),0),0)*RATES!$L784/12+$H$9*(PARAM!$D$51/12)*RATES!$N784/100</f>
        <v>981.83333333333337</v>
      </c>
      <c r="AD808" s="16">
        <f t="shared" si="548"/>
        <v>-134660.72332584453</v>
      </c>
      <c r="AE808" s="15">
        <f t="shared" si="523"/>
        <v>22.170849845882874</v>
      </c>
      <c r="AF808" s="75">
        <f>AE808*(1-PARAM!$C$27)*$I$10+(MOD($B808,60)=PARAM!$B$56)*($B808&gt;(60-PARAM!$B$56))*HLOOKUP(($B808+PARAM!$B$56)/12,Loyalty,2)*$F$1*MAX(AH807,0)</f>
        <v>18.557001321003963</v>
      </c>
      <c r="AG808" s="75">
        <f>PARAM!$C$26+MAX($G$10-CHOOSE(PARAM!$B$44,MAX(0,AH807*$F$1),0),0)*RATES!$L784/12+$H$10*(PARAM!$D$51/12)*RATES!$N784/100</f>
        <v>981.83333333333337</v>
      </c>
      <c r="AH808" s="16">
        <f t="shared" si="549"/>
        <v>-134660.72332584453</v>
      </c>
      <c r="AI808" s="15">
        <f t="shared" si="524"/>
        <v>22.170849845882874</v>
      </c>
      <c r="AJ808" s="75">
        <f>AI808*(1-PARAM!$C$27)*$I$11+(MOD($B808,60)=PARAM!$B$56)*($B808&gt;(60-PARAM!$B$56))*HLOOKUP(($B808+PARAM!$B$56)/12,Loyalty,2)*$F$1*MAX(AL807,0)</f>
        <v>18.557001321003963</v>
      </c>
      <c r="AK808" s="75">
        <f>PARAM!$C$26+MAX($G$11-CHOOSE(PARAM!$B$44,MAX(0,AL807*$F$1),0),0)*RATES!$L784/12+$H$11*(PARAM!$D$51/12)*RATES!$N784/100</f>
        <v>981.83333333333337</v>
      </c>
      <c r="AL808" s="16">
        <f t="shared" si="550"/>
        <v>-134660.72332584453</v>
      </c>
      <c r="AM808" s="15">
        <f t="shared" si="525"/>
        <v>22.170849845882874</v>
      </c>
      <c r="AN808" s="75">
        <f>AM808*(1-PARAM!$C$27)*$I$12+(MOD($B808,60)=PARAM!$B$56)*($B808&gt;(60-PARAM!$B$56))*HLOOKUP(($B808+PARAM!$B$56)/12,Loyalty,2)*$F$1*MAX(AP807,0)</f>
        <v>18.557001321003963</v>
      </c>
      <c r="AO808" s="75">
        <f>PARAM!$C$26+MAX($G$12-CHOOSE(PARAM!$B$44,MAX(0,AP807*$F$1),0),0)*RATES!$L784/12+$H$12*(PARAM!$D$51/12)*RATES!$N784/100</f>
        <v>981.83333333333337</v>
      </c>
      <c r="AP808" s="16">
        <f t="shared" si="551"/>
        <v>-134660.72332584453</v>
      </c>
      <c r="AQ808" s="15">
        <f t="shared" si="526"/>
        <v>22.170849845882874</v>
      </c>
      <c r="AR808" s="75">
        <f>AQ808*(1-PARAM!$C$27)*$I$13+(MOD($B808,60)=PARAM!$B$56)*($B808&gt;(60-PARAM!$B$56))*HLOOKUP(($B808+PARAM!$B$56)/12,Loyalty,2)*$F$1*MAX(AT807,0)</f>
        <v>18.557001321003963</v>
      </c>
      <c r="AS808" s="75">
        <f>PARAM!$C$26+MAX($G$13-CHOOSE(PARAM!$B$44,MAX(0,AT807*$F$1),0),0)*RATES!$L784/12+$H$13*(PARAM!$D$51/12)*RATES!$N784/100</f>
        <v>981.83333333333337</v>
      </c>
      <c r="AT808" s="16">
        <f t="shared" si="552"/>
        <v>-134660.72332584453</v>
      </c>
      <c r="AU808" s="15">
        <f t="shared" si="527"/>
        <v>22.170849845882874</v>
      </c>
      <c r="AV808" s="75">
        <f>AU808*(1-PARAM!$C$27)*$I$14+(MOD($B808,60)=PARAM!$B$56)*($B808&gt;(60-PARAM!$B$56))*HLOOKUP(($B808+PARAM!$B$56)/12,Loyalty,2)*$F$1*MAX(AX807,0)</f>
        <v>18.557001321003963</v>
      </c>
      <c r="AW808" s="75">
        <f>PARAM!$C$26+MAX($G$14-CHOOSE(PARAM!$B$44,MAX(0,AX807*$F$1),0),0)*RATES!$L784/12+$H$14*(PARAM!$D$51/12)*RATES!$N784/100</f>
        <v>981.83333333333337</v>
      </c>
      <c r="AX808" s="16">
        <f t="shared" si="553"/>
        <v>-134660.72332584453</v>
      </c>
      <c r="AY808" s="15">
        <f t="shared" si="528"/>
        <v>22.170849845882874</v>
      </c>
      <c r="AZ808" s="75">
        <f>AY808*(1-PARAM!$C$27)*$I$15+(MOD($B808,60)=PARAM!$B$56)*($B808&gt;(60-PARAM!$B$56))*HLOOKUP(($B808+PARAM!$B$56)/12,Loyalty,2)*$F$1*MAX(BB807,0)</f>
        <v>18.557001321003963</v>
      </c>
      <c r="BA808" s="75">
        <f>PARAM!$C$26+MAX($G$15-CHOOSE(PARAM!$B$44,MAX(0,BB807*$F$1),0),0)*RATES!$L784/12+$H$15*(PARAM!$D$51/12)*RATES!$N784/100</f>
        <v>981.83333333333337</v>
      </c>
      <c r="BB808" s="16">
        <f t="shared" si="554"/>
        <v>-134660.72332584453</v>
      </c>
      <c r="BC808" s="15">
        <f t="shared" si="529"/>
        <v>22.170849845882874</v>
      </c>
      <c r="BD808" s="75">
        <f>BC808*(1-PARAM!$C$27)*$I$16+(MOD($B808,60)=PARAM!$B$56)*($B808&gt;(60-PARAM!$B$56))*HLOOKUP(($B808+PARAM!$B$56)/12,Loyalty,2)*$F$1*MAX(BF807,0)</f>
        <v>18.557001321003963</v>
      </c>
      <c r="BE808" s="75">
        <f>PARAM!$C$26+MAX($G$16-CHOOSE(PARAM!$B$44,MAX(0,BF807*$F$1),0),0)*RATES!$L784/12+$H$16*(PARAM!$D$51/12)*RATES!$N784/100</f>
        <v>981.83333333333337</v>
      </c>
      <c r="BF808" s="16">
        <f t="shared" si="555"/>
        <v>-134660.72332584453</v>
      </c>
      <c r="BG808" s="15">
        <f t="shared" si="530"/>
        <v>22.170849845882874</v>
      </c>
      <c r="BH808" s="75">
        <f>BG808*(1-PARAM!$C$27)*$I$17+(MOD($B808,60)=PARAM!$B$56)*($B808&gt;(60-PARAM!$B$56))*HLOOKUP(($B808+PARAM!$B$56)/12,Loyalty,2)*$F$1*MAX(BJ807,0)</f>
        <v>18.557001321003963</v>
      </c>
      <c r="BI808" s="75">
        <f>PARAM!$C$26+MAX($G$17-CHOOSE(PARAM!$B$44,MAX(0,BJ807*$F$1),0),0)*RATES!$L784/12+$H$17*(PARAM!$D$51/12)*RATES!$N784/100</f>
        <v>981.83333333333337</v>
      </c>
      <c r="BJ808" s="16">
        <f t="shared" si="556"/>
        <v>-134660.72332584453</v>
      </c>
      <c r="BK808" s="15">
        <f t="shared" si="531"/>
        <v>22.170849845882874</v>
      </c>
      <c r="BL808" s="75">
        <f>BK808*(1-PARAM!$C$27)*$I$18+(MOD($B808,60)=PARAM!$B$56)*($B808&gt;(60-PARAM!$B$56))*HLOOKUP(($B808+PARAM!$B$56)/12,Loyalty,2)*$F$1*MAX(BN807,0)</f>
        <v>18.557001321003963</v>
      </c>
      <c r="BM808" s="75">
        <f>PARAM!$C$26+MAX($G$18-CHOOSE(PARAM!$B$44,MAX(0,BN807*$F$1),0),0)*RATES!$L784/12+$H$18*(PARAM!$D$51/12)*RATES!$N784/100</f>
        <v>981.83333333333337</v>
      </c>
      <c r="BN808" s="16">
        <f t="shared" si="557"/>
        <v>-134660.72332584453</v>
      </c>
      <c r="BO808" s="15">
        <f t="shared" si="532"/>
        <v>22.170849845882874</v>
      </c>
      <c r="BP808" s="75">
        <f>BO808*(1-PARAM!$C$27)*$I$19+(MOD($B808,60)=PARAM!$B$56)*($B808&gt;(60-PARAM!$B$56))*HLOOKUP(($B808+PARAM!$B$56)/12,Loyalty,2)*$F$1*MAX(BR807,0)</f>
        <v>18.557001321003963</v>
      </c>
      <c r="BQ808" s="75">
        <f>PARAM!$C$26+MAX($G$19-CHOOSE(PARAM!$B$44,MAX(0,BR807*$F$1),0),0)*RATES!$L784/12+$H$19*(PARAM!$D$51/12)*RATES!$N784/100</f>
        <v>981.83333333333337</v>
      </c>
      <c r="BR808" s="16">
        <f t="shared" si="558"/>
        <v>-134660.72332584453</v>
      </c>
      <c r="BS808" s="15">
        <f t="shared" si="533"/>
        <v>22.170849845882874</v>
      </c>
      <c r="BT808" s="75">
        <f>BS808*(1-PARAM!$C$27)*$I$20+(MOD($B808,60)=PARAM!$B$56)*($B808&gt;(60-PARAM!$B$56))*HLOOKUP(($B808+PARAM!$B$56)/12,Loyalty,2)*$F$1*MAX(BV807,0)</f>
        <v>18.557001321003963</v>
      </c>
      <c r="BU808" s="75">
        <f>PARAM!$C$26+MAX($G$20-CHOOSE(PARAM!$B$44,MAX(0,BV807*$F$1),0),0)*RATES!$L784/12+$H$20*(PARAM!$D$51/12)*RATES!$N784/100</f>
        <v>981.83333333333337</v>
      </c>
      <c r="BV808" s="16">
        <f t="shared" si="559"/>
        <v>-134660.72332584453</v>
      </c>
      <c r="BW808" s="15">
        <f t="shared" si="534"/>
        <v>22.170849845882874</v>
      </c>
      <c r="BX808" s="75">
        <f>BW808*(1-PARAM!$C$27)*$I$21+(MOD($B808,60)=PARAM!$B$56)*($B808&gt;(60-PARAM!$B$56))*HLOOKUP(($B808+PARAM!$B$56)/12,Loyalty,2)*$F$1*MAX(BZ807,0)</f>
        <v>18.557001321003963</v>
      </c>
      <c r="BY808" s="75">
        <f>PARAM!$C$26+MAX($G$21-CHOOSE(PARAM!$B$44,MAX(0,BZ807*$F$1),0),0)*RATES!$L784/12+$H$21*(PARAM!$D$51/12)*RATES!$N784/100</f>
        <v>981.83333333333337</v>
      </c>
      <c r="BZ808" s="16">
        <f t="shared" si="560"/>
        <v>-134660.72332584453</v>
      </c>
      <c r="CA808" s="15">
        <f t="shared" si="535"/>
        <v>22.170849845882874</v>
      </c>
      <c r="CB808" s="75">
        <f>CA808*(1-PARAM!$C$27)*$I$22+(MOD($B808,60)=PARAM!$B$56)*($B808&gt;(60-PARAM!$B$56))*HLOOKUP(($B808+PARAM!$B$56)/12,Loyalty,2)*$F$1*MAX(CD807,0)</f>
        <v>18.557001321003963</v>
      </c>
      <c r="CC808" s="75">
        <f>PARAM!$C$26+MAX($G$22-CHOOSE(PARAM!$B$44,MAX(0,CD807*$F$1),0),0)*RATES!$L784/12+$H$22*(PARAM!$D$51/12)*RATES!$N784/100</f>
        <v>981.83333333333337</v>
      </c>
      <c r="CD808" s="16">
        <f t="shared" si="561"/>
        <v>-134660.72332584453</v>
      </c>
      <c r="CE808" s="33">
        <f>IF(0=MOD(B808,12/PARAM!$D$51),1,0)</f>
        <v>1</v>
      </c>
      <c r="CF808" s="15">
        <f t="shared" si="536"/>
        <v>0</v>
      </c>
      <c r="CG808" s="75">
        <f>CF808*(1-PARAM!$C$27)*$R$3+(MOD($B808/12,5)=0)*($B808&gt;60)*HLOOKUP($B808/12,Loyalty,2)*$F$1*MAX(CI807,0)</f>
        <v>0</v>
      </c>
      <c r="CH808" s="75">
        <f>PARAM!$C$26+MAX($P$3-CHOOSE(PARAM!$B$44,MAX(0,CI807*$F$1),0),0)*RATES!$L784/12+$Q$3*(PARAM!$D$51/12)*RATES!$N784/100</f>
        <v>981.83333333333337</v>
      </c>
      <c r="CI808" s="16">
        <f>IF(CI807&gt;0,CI807*PARAM!$C$53,CI807)+CG808-CH808</f>
        <v>-149034.16666666692</v>
      </c>
      <c r="CJ808" s="15">
        <f t="shared" si="562"/>
        <v>0</v>
      </c>
      <c r="CK808" s="75">
        <f>CJ808*(1-PARAM!$C$27)*$R$4+(MOD($B808/12,5)=0)*($B808&gt;60)*HLOOKUP($B808/12,Loyalty,2)*$F$1*MAX(CM807,0)</f>
        <v>0</v>
      </c>
      <c r="CL808" s="75">
        <f>PARAM!$C$26+MAX($P$4-CHOOSE(PARAM!$B$44,MAX(0,CM807*$F$1),0),0)*RATES!$L784/12+$Q$4*(PARAM!$D$51/12)*RATES!$N784/100</f>
        <v>981.83333333333337</v>
      </c>
      <c r="CM808" s="16">
        <f>IF(CM807&gt;0,CM807*PARAM!$C$53,CM807)+CK808-CL808</f>
        <v>-149034.16666666692</v>
      </c>
      <c r="CO808" s="176"/>
    </row>
    <row r="809" spans="1:93" x14ac:dyDescent="0.2">
      <c r="A809" t="b">
        <f t="shared" si="537"/>
        <v>0</v>
      </c>
      <c r="B809" s="33">
        <v>782</v>
      </c>
      <c r="C809" s="15">
        <f t="shared" si="538"/>
        <v>20.081305947392778</v>
      </c>
      <c r="D809" s="75">
        <f>C809*(1-PARAM!$C$27)*$I$3+(MOD($B809,60)=PARAM!$B$56)*($B809&gt;(60-PARAM!$B$56))*HLOOKUP(($B809+PARAM!$B$56)/12,Loyalty,2)*$F$1*MAX(F808,0)</f>
        <v>16.808053077967756</v>
      </c>
      <c r="E809" s="75">
        <f>PARAM!$C$26+MAX($G$3-CHOOSE(PARAM!$B$44,MAX(0,F808*$F$1),0),0)*RATES!$L785/12+$H$3*(PARAM!$D$51/12)*RATES!$N785/100</f>
        <v>981.83333333333337</v>
      </c>
      <c r="F809" s="16">
        <f t="shared" si="539"/>
        <v>-137028.52768443289</v>
      </c>
      <c r="G809" s="15">
        <f t="shared" si="540"/>
        <v>22.035289406060361</v>
      </c>
      <c r="H809" s="75">
        <f>G809*(1-PARAM!$C$27)*$I$4+(MOD($B809,60)=PARAM!$B$56)*($B809&gt;(60-PARAM!$B$56))*HLOOKUP(($B809+PARAM!$B$56)/12,Loyalty,2)*$F$1*MAX(J808,0)</f>
        <v>18.443537232872522</v>
      </c>
      <c r="I809" s="75">
        <f>PARAM!$C$26+MAX($G$4-CHOOSE(PARAM!$B$44,MAX(0,J808*$F$1),0),0)*RATES!$L785/12+$H$4*(PARAM!$D$51/12)*RATES!$N785/100</f>
        <v>981.83333333333337</v>
      </c>
      <c r="J809" s="16">
        <f t="shared" si="541"/>
        <v>-135715.74611117557</v>
      </c>
      <c r="K809" s="15">
        <f t="shared" si="542"/>
        <v>22.170849845882874</v>
      </c>
      <c r="L809" s="75">
        <f>K809*(1-PARAM!$C$27)*$I$5+(MOD($B809,60)=PARAM!$B$56)*($B809&gt;(60-PARAM!$B$56))*HLOOKUP(($B809+PARAM!$B$56)/12,Loyalty,2)*$F$1*MAX(N808,0)</f>
        <v>18.557001321003963</v>
      </c>
      <c r="M809" s="75">
        <f>PARAM!$C$26+MAX($G$5-CHOOSE(PARAM!$B$44,MAX(0,N808*$F$1),0),0)*RATES!$L785/12+$H$5*(PARAM!$D$51/12)*RATES!$N785/100</f>
        <v>981.83333333333337</v>
      </c>
      <c r="N809" s="16">
        <f t="shared" si="543"/>
        <v>-135623.99965785688</v>
      </c>
      <c r="O809" s="15">
        <f t="shared" si="544"/>
        <v>22.170849845882874</v>
      </c>
      <c r="P809" s="75">
        <f>O809*(1-PARAM!$C$27)*$I$6+(MOD($B809,60)=PARAM!$B$56)*($B809&gt;(60-PARAM!$B$56))*HLOOKUP(($B809+PARAM!$B$56)/12,Loyalty,2)*$F$1*MAX(R808,0)</f>
        <v>18.557001321003963</v>
      </c>
      <c r="Q809" s="75">
        <f>PARAM!$C$26+MAX($G$6-CHOOSE(PARAM!$B$44,MAX(0,R808*$F$1),0),0)*RATES!$L785/12+$H$6*(PARAM!$D$51/12)*RATES!$N785/100</f>
        <v>981.83333333333337</v>
      </c>
      <c r="R809" s="16">
        <f t="shared" si="545"/>
        <v>-135623.99965785688</v>
      </c>
      <c r="S809" s="15">
        <f t="shared" si="520"/>
        <v>22.170849845882874</v>
      </c>
      <c r="T809" s="75">
        <f>S809*(1-PARAM!$C$27)*$I$7+(MOD($B809,60)=PARAM!$B$56)*($B809&gt;(60-PARAM!$B$56))*HLOOKUP(($B809+PARAM!$B$56)/12,Loyalty,2)*$F$1*MAX(V808,0)</f>
        <v>18.557001321003963</v>
      </c>
      <c r="U809" s="75">
        <f>PARAM!$C$26+MAX($G$7-CHOOSE(PARAM!$B$44,MAX(0,V808*$F$1),0),0)*RATES!$L785/12+$H$7*(PARAM!$D$51/12)*RATES!$N785/100</f>
        <v>981.83333333333337</v>
      </c>
      <c r="V809" s="16">
        <f t="shared" si="546"/>
        <v>-135623.99965785688</v>
      </c>
      <c r="W809" s="15">
        <f t="shared" si="521"/>
        <v>22.170849845882874</v>
      </c>
      <c r="X809" s="75">
        <f>W809*(1-PARAM!$C$27)*$I$8+(MOD($B809,60)=PARAM!$B$56)*($B809&gt;(60-PARAM!$B$56))*HLOOKUP(($B809+PARAM!$B$56)/12,Loyalty,2)*$F$1*MAX(Z808,0)</f>
        <v>18.557001321003963</v>
      </c>
      <c r="Y809" s="75">
        <f>PARAM!$C$26+MAX($G$8-CHOOSE(PARAM!$B$44,MAX(0,Z808*$F$1),0),0)*RATES!$L785/12+$H$8*(PARAM!$D$51/12)*RATES!$N785/100</f>
        <v>981.83333333333337</v>
      </c>
      <c r="Z809" s="16">
        <f t="shared" si="547"/>
        <v>-135623.99965785688</v>
      </c>
      <c r="AA809" s="15">
        <f t="shared" si="522"/>
        <v>22.170849845882874</v>
      </c>
      <c r="AB809" s="75">
        <f>AA809*(1-PARAM!$C$27)*$I$9+(MOD($B809,60)=PARAM!$B$56)*($B809&gt;(60-PARAM!$B$56))*HLOOKUP(($B809+PARAM!$B$56)/12,Loyalty,2)*$F$1*MAX(AD808,0)</f>
        <v>18.557001321003963</v>
      </c>
      <c r="AC809" s="75">
        <f>PARAM!$C$26+MAX($G$9-CHOOSE(PARAM!$B$44,MAX(0,AD808*$F$1),0),0)*RATES!$L785/12+$H$9*(PARAM!$D$51/12)*RATES!$N785/100</f>
        <v>981.83333333333337</v>
      </c>
      <c r="AD809" s="16">
        <f t="shared" si="548"/>
        <v>-135623.99965785688</v>
      </c>
      <c r="AE809" s="15">
        <f t="shared" si="523"/>
        <v>22.170849845882874</v>
      </c>
      <c r="AF809" s="75">
        <f>AE809*(1-PARAM!$C$27)*$I$10+(MOD($B809,60)=PARAM!$B$56)*($B809&gt;(60-PARAM!$B$56))*HLOOKUP(($B809+PARAM!$B$56)/12,Loyalty,2)*$F$1*MAX(AH808,0)</f>
        <v>18.557001321003963</v>
      </c>
      <c r="AG809" s="75">
        <f>PARAM!$C$26+MAX($G$10-CHOOSE(PARAM!$B$44,MAX(0,AH808*$F$1),0),0)*RATES!$L785/12+$H$10*(PARAM!$D$51/12)*RATES!$N785/100</f>
        <v>981.83333333333337</v>
      </c>
      <c r="AH809" s="16">
        <f t="shared" si="549"/>
        <v>-135623.99965785688</v>
      </c>
      <c r="AI809" s="15">
        <f t="shared" si="524"/>
        <v>22.170849845882874</v>
      </c>
      <c r="AJ809" s="75">
        <f>AI809*(1-PARAM!$C$27)*$I$11+(MOD($B809,60)=PARAM!$B$56)*($B809&gt;(60-PARAM!$B$56))*HLOOKUP(($B809+PARAM!$B$56)/12,Loyalty,2)*$F$1*MAX(AL808,0)</f>
        <v>18.557001321003963</v>
      </c>
      <c r="AK809" s="75">
        <f>PARAM!$C$26+MAX($G$11-CHOOSE(PARAM!$B$44,MAX(0,AL808*$F$1),0),0)*RATES!$L785/12+$H$11*(PARAM!$D$51/12)*RATES!$N785/100</f>
        <v>981.83333333333337</v>
      </c>
      <c r="AL809" s="16">
        <f t="shared" si="550"/>
        <v>-135623.99965785688</v>
      </c>
      <c r="AM809" s="15">
        <f t="shared" si="525"/>
        <v>22.170849845882874</v>
      </c>
      <c r="AN809" s="75">
        <f>AM809*(1-PARAM!$C$27)*$I$12+(MOD($B809,60)=PARAM!$B$56)*($B809&gt;(60-PARAM!$B$56))*HLOOKUP(($B809+PARAM!$B$56)/12,Loyalty,2)*$F$1*MAX(AP808,0)</f>
        <v>18.557001321003963</v>
      </c>
      <c r="AO809" s="75">
        <f>PARAM!$C$26+MAX($G$12-CHOOSE(PARAM!$B$44,MAX(0,AP808*$F$1),0),0)*RATES!$L785/12+$H$12*(PARAM!$D$51/12)*RATES!$N785/100</f>
        <v>981.83333333333337</v>
      </c>
      <c r="AP809" s="16">
        <f t="shared" si="551"/>
        <v>-135623.99965785688</v>
      </c>
      <c r="AQ809" s="15">
        <f t="shared" si="526"/>
        <v>22.170849845882874</v>
      </c>
      <c r="AR809" s="75">
        <f>AQ809*(1-PARAM!$C$27)*$I$13+(MOD($B809,60)=PARAM!$B$56)*($B809&gt;(60-PARAM!$B$56))*HLOOKUP(($B809+PARAM!$B$56)/12,Loyalty,2)*$F$1*MAX(AT808,0)</f>
        <v>18.557001321003963</v>
      </c>
      <c r="AS809" s="75">
        <f>PARAM!$C$26+MAX($G$13-CHOOSE(PARAM!$B$44,MAX(0,AT808*$F$1),0),0)*RATES!$L785/12+$H$13*(PARAM!$D$51/12)*RATES!$N785/100</f>
        <v>981.83333333333337</v>
      </c>
      <c r="AT809" s="16">
        <f t="shared" si="552"/>
        <v>-135623.99965785688</v>
      </c>
      <c r="AU809" s="15">
        <f t="shared" si="527"/>
        <v>22.170849845882874</v>
      </c>
      <c r="AV809" s="75">
        <f>AU809*(1-PARAM!$C$27)*$I$14+(MOD($B809,60)=PARAM!$B$56)*($B809&gt;(60-PARAM!$B$56))*HLOOKUP(($B809+PARAM!$B$56)/12,Loyalty,2)*$F$1*MAX(AX808,0)</f>
        <v>18.557001321003963</v>
      </c>
      <c r="AW809" s="75">
        <f>PARAM!$C$26+MAX($G$14-CHOOSE(PARAM!$B$44,MAX(0,AX808*$F$1),0),0)*RATES!$L785/12+$H$14*(PARAM!$D$51/12)*RATES!$N785/100</f>
        <v>981.83333333333337</v>
      </c>
      <c r="AX809" s="16">
        <f t="shared" si="553"/>
        <v>-135623.99965785688</v>
      </c>
      <c r="AY809" s="15">
        <f t="shared" si="528"/>
        <v>22.170849845882874</v>
      </c>
      <c r="AZ809" s="75">
        <f>AY809*(1-PARAM!$C$27)*$I$15+(MOD($B809,60)=PARAM!$B$56)*($B809&gt;(60-PARAM!$B$56))*HLOOKUP(($B809+PARAM!$B$56)/12,Loyalty,2)*$F$1*MAX(BB808,0)</f>
        <v>18.557001321003963</v>
      </c>
      <c r="BA809" s="75">
        <f>PARAM!$C$26+MAX($G$15-CHOOSE(PARAM!$B$44,MAX(0,BB808*$F$1),0),0)*RATES!$L785/12+$H$15*(PARAM!$D$51/12)*RATES!$N785/100</f>
        <v>981.83333333333337</v>
      </c>
      <c r="BB809" s="16">
        <f t="shared" si="554"/>
        <v>-135623.99965785688</v>
      </c>
      <c r="BC809" s="15">
        <f t="shared" si="529"/>
        <v>22.170849845882874</v>
      </c>
      <c r="BD809" s="75">
        <f>BC809*(1-PARAM!$C$27)*$I$16+(MOD($B809,60)=PARAM!$B$56)*($B809&gt;(60-PARAM!$B$56))*HLOOKUP(($B809+PARAM!$B$56)/12,Loyalty,2)*$F$1*MAX(BF808,0)</f>
        <v>18.557001321003963</v>
      </c>
      <c r="BE809" s="75">
        <f>PARAM!$C$26+MAX($G$16-CHOOSE(PARAM!$B$44,MAX(0,BF808*$F$1),0),0)*RATES!$L785/12+$H$16*(PARAM!$D$51/12)*RATES!$N785/100</f>
        <v>981.83333333333337</v>
      </c>
      <c r="BF809" s="16">
        <f t="shared" si="555"/>
        <v>-135623.99965785688</v>
      </c>
      <c r="BG809" s="15">
        <f t="shared" si="530"/>
        <v>22.170849845882874</v>
      </c>
      <c r="BH809" s="75">
        <f>BG809*(1-PARAM!$C$27)*$I$17+(MOD($B809,60)=PARAM!$B$56)*($B809&gt;(60-PARAM!$B$56))*HLOOKUP(($B809+PARAM!$B$56)/12,Loyalty,2)*$F$1*MAX(BJ808,0)</f>
        <v>18.557001321003963</v>
      </c>
      <c r="BI809" s="75">
        <f>PARAM!$C$26+MAX($G$17-CHOOSE(PARAM!$B$44,MAX(0,BJ808*$F$1),0),0)*RATES!$L785/12+$H$17*(PARAM!$D$51/12)*RATES!$N785/100</f>
        <v>981.83333333333337</v>
      </c>
      <c r="BJ809" s="16">
        <f t="shared" si="556"/>
        <v>-135623.99965785688</v>
      </c>
      <c r="BK809" s="15">
        <f t="shared" si="531"/>
        <v>22.170849845882874</v>
      </c>
      <c r="BL809" s="75">
        <f>BK809*(1-PARAM!$C$27)*$I$18+(MOD($B809,60)=PARAM!$B$56)*($B809&gt;(60-PARAM!$B$56))*HLOOKUP(($B809+PARAM!$B$56)/12,Loyalty,2)*$F$1*MAX(BN808,0)</f>
        <v>18.557001321003963</v>
      </c>
      <c r="BM809" s="75">
        <f>PARAM!$C$26+MAX($G$18-CHOOSE(PARAM!$B$44,MAX(0,BN808*$F$1),0),0)*RATES!$L785/12+$H$18*(PARAM!$D$51/12)*RATES!$N785/100</f>
        <v>981.83333333333337</v>
      </c>
      <c r="BN809" s="16">
        <f t="shared" si="557"/>
        <v>-135623.99965785688</v>
      </c>
      <c r="BO809" s="15">
        <f t="shared" si="532"/>
        <v>22.170849845882874</v>
      </c>
      <c r="BP809" s="75">
        <f>BO809*(1-PARAM!$C$27)*$I$19+(MOD($B809,60)=PARAM!$B$56)*($B809&gt;(60-PARAM!$B$56))*HLOOKUP(($B809+PARAM!$B$56)/12,Loyalty,2)*$F$1*MAX(BR808,0)</f>
        <v>18.557001321003963</v>
      </c>
      <c r="BQ809" s="75">
        <f>PARAM!$C$26+MAX($G$19-CHOOSE(PARAM!$B$44,MAX(0,BR808*$F$1),0),0)*RATES!$L785/12+$H$19*(PARAM!$D$51/12)*RATES!$N785/100</f>
        <v>981.83333333333337</v>
      </c>
      <c r="BR809" s="16">
        <f t="shared" si="558"/>
        <v>-135623.99965785688</v>
      </c>
      <c r="BS809" s="15">
        <f t="shared" si="533"/>
        <v>22.170849845882874</v>
      </c>
      <c r="BT809" s="75">
        <f>BS809*(1-PARAM!$C$27)*$I$20+(MOD($B809,60)=PARAM!$B$56)*($B809&gt;(60-PARAM!$B$56))*HLOOKUP(($B809+PARAM!$B$56)/12,Loyalty,2)*$F$1*MAX(BV808,0)</f>
        <v>18.557001321003963</v>
      </c>
      <c r="BU809" s="75">
        <f>PARAM!$C$26+MAX($G$20-CHOOSE(PARAM!$B$44,MAX(0,BV808*$F$1),0),0)*RATES!$L785/12+$H$20*(PARAM!$D$51/12)*RATES!$N785/100</f>
        <v>981.83333333333337</v>
      </c>
      <c r="BV809" s="16">
        <f t="shared" si="559"/>
        <v>-135623.99965785688</v>
      </c>
      <c r="BW809" s="15">
        <f t="shared" si="534"/>
        <v>22.170849845882874</v>
      </c>
      <c r="BX809" s="75">
        <f>BW809*(1-PARAM!$C$27)*$I$21+(MOD($B809,60)=PARAM!$B$56)*($B809&gt;(60-PARAM!$B$56))*HLOOKUP(($B809+PARAM!$B$56)/12,Loyalty,2)*$F$1*MAX(BZ808,0)</f>
        <v>18.557001321003963</v>
      </c>
      <c r="BY809" s="75">
        <f>PARAM!$C$26+MAX($G$21-CHOOSE(PARAM!$B$44,MAX(0,BZ808*$F$1),0),0)*RATES!$L785/12+$H$21*(PARAM!$D$51/12)*RATES!$N785/100</f>
        <v>981.83333333333337</v>
      </c>
      <c r="BZ809" s="16">
        <f t="shared" si="560"/>
        <v>-135623.99965785688</v>
      </c>
      <c r="CA809" s="15">
        <f t="shared" si="535"/>
        <v>22.170849845882874</v>
      </c>
      <c r="CB809" s="75">
        <f>CA809*(1-PARAM!$C$27)*$I$22+(MOD($B809,60)=PARAM!$B$56)*($B809&gt;(60-PARAM!$B$56))*HLOOKUP(($B809+PARAM!$B$56)/12,Loyalty,2)*$F$1*MAX(CD808,0)</f>
        <v>18.557001321003963</v>
      </c>
      <c r="CC809" s="75">
        <f>PARAM!$C$26+MAX($G$22-CHOOSE(PARAM!$B$44,MAX(0,CD808*$F$1),0),0)*RATES!$L785/12+$H$22*(PARAM!$D$51/12)*RATES!$N785/100</f>
        <v>981.83333333333337</v>
      </c>
      <c r="CD809" s="16">
        <f t="shared" si="561"/>
        <v>-135623.99965785688</v>
      </c>
      <c r="CE809" s="33">
        <f>IF(0=MOD(B809,12/PARAM!$D$51),1,0)</f>
        <v>1</v>
      </c>
      <c r="CF809" s="15">
        <f t="shared" si="536"/>
        <v>0</v>
      </c>
      <c r="CG809" s="75">
        <f>CF809*(1-PARAM!$C$27)*$R$3+(MOD($B809/12,5)=0)*($B809&gt;60)*HLOOKUP($B809/12,Loyalty,2)*$F$1*MAX(CI808,0)</f>
        <v>0</v>
      </c>
      <c r="CH809" s="75">
        <f>PARAM!$C$26+MAX($P$3-CHOOSE(PARAM!$B$44,MAX(0,CI808*$F$1),0),0)*RATES!$L785/12+$Q$3*(PARAM!$D$51/12)*RATES!$N785/100</f>
        <v>981.83333333333337</v>
      </c>
      <c r="CI809" s="16">
        <f>IF(CI808&gt;0,CI808*PARAM!$C$53,CI808)+CG809-CH809</f>
        <v>-150016.00000000026</v>
      </c>
      <c r="CJ809" s="15">
        <f t="shared" si="562"/>
        <v>0</v>
      </c>
      <c r="CK809" s="75">
        <f>CJ809*(1-PARAM!$C$27)*$R$4+(MOD($B809/12,5)=0)*($B809&gt;60)*HLOOKUP($B809/12,Loyalty,2)*$F$1*MAX(CM808,0)</f>
        <v>0</v>
      </c>
      <c r="CL809" s="75">
        <f>PARAM!$C$26+MAX($P$4-CHOOSE(PARAM!$B$44,MAX(0,CM808*$F$1),0),0)*RATES!$L785/12+$Q$4*(PARAM!$D$51/12)*RATES!$N785/100</f>
        <v>981.83333333333337</v>
      </c>
      <c r="CM809" s="16">
        <f>IF(CM808&gt;0,CM808*PARAM!$C$53,CM808)+CK809-CL809</f>
        <v>-150016.00000000026</v>
      </c>
      <c r="CO809" s="176"/>
    </row>
    <row r="810" spans="1:93" x14ac:dyDescent="0.2">
      <c r="A810" t="b">
        <f t="shared" si="537"/>
        <v>0</v>
      </c>
      <c r="B810" s="33">
        <v>783</v>
      </c>
      <c r="C810" s="15">
        <f t="shared" si="538"/>
        <v>20.081305947392778</v>
      </c>
      <c r="D810" s="75">
        <f>C810*(1-PARAM!$C$27)*$I$3+(MOD($B810,60)=PARAM!$B$56)*($B810&gt;(60-PARAM!$B$56))*HLOOKUP(($B810+PARAM!$B$56)/12,Loyalty,2)*$F$1*MAX(F809,0)</f>
        <v>16.808053077967756</v>
      </c>
      <c r="E810" s="75">
        <f>PARAM!$C$26+MAX($G$3-CHOOSE(PARAM!$B$44,MAX(0,F809*$F$1),0),0)*RATES!$L786/12+$H$3*(PARAM!$D$51/12)*RATES!$N786/100</f>
        <v>981.83333333333337</v>
      </c>
      <c r="F810" s="16">
        <f t="shared" si="539"/>
        <v>-137993.55296468828</v>
      </c>
      <c r="G810" s="15">
        <f t="shared" si="540"/>
        <v>22.035289406060361</v>
      </c>
      <c r="H810" s="75">
        <f>G810*(1-PARAM!$C$27)*$I$4+(MOD($B810,60)=PARAM!$B$56)*($B810&gt;(60-PARAM!$B$56))*HLOOKUP(($B810+PARAM!$B$56)/12,Loyalty,2)*$F$1*MAX(J809,0)</f>
        <v>18.443537232872522</v>
      </c>
      <c r="I810" s="75">
        <f>PARAM!$C$26+MAX($G$4-CHOOSE(PARAM!$B$44,MAX(0,J809*$F$1),0),0)*RATES!$L786/12+$H$4*(PARAM!$D$51/12)*RATES!$N786/100</f>
        <v>981.83333333333337</v>
      </c>
      <c r="J810" s="16">
        <f t="shared" si="541"/>
        <v>-136679.13590727604</v>
      </c>
      <c r="K810" s="15">
        <f t="shared" si="542"/>
        <v>22.170849845882874</v>
      </c>
      <c r="L810" s="75">
        <f>K810*(1-PARAM!$C$27)*$I$5+(MOD($B810,60)=PARAM!$B$56)*($B810&gt;(60-PARAM!$B$56))*HLOOKUP(($B810+PARAM!$B$56)/12,Loyalty,2)*$F$1*MAX(N809,0)</f>
        <v>18.557001321003963</v>
      </c>
      <c r="M810" s="75">
        <f>PARAM!$C$26+MAX($G$5-CHOOSE(PARAM!$B$44,MAX(0,N809*$F$1),0),0)*RATES!$L786/12+$H$5*(PARAM!$D$51/12)*RATES!$N786/100</f>
        <v>981.83333333333337</v>
      </c>
      <c r="N810" s="16">
        <f t="shared" si="543"/>
        <v>-136587.27598986923</v>
      </c>
      <c r="O810" s="15">
        <f t="shared" si="544"/>
        <v>22.170849845882874</v>
      </c>
      <c r="P810" s="75">
        <f>O810*(1-PARAM!$C$27)*$I$6+(MOD($B810,60)=PARAM!$B$56)*($B810&gt;(60-PARAM!$B$56))*HLOOKUP(($B810+PARAM!$B$56)/12,Loyalty,2)*$F$1*MAX(R809,0)</f>
        <v>18.557001321003963</v>
      </c>
      <c r="Q810" s="75">
        <f>PARAM!$C$26+MAX($G$6-CHOOSE(PARAM!$B$44,MAX(0,R809*$F$1),0),0)*RATES!$L786/12+$H$6*(PARAM!$D$51/12)*RATES!$N786/100</f>
        <v>981.83333333333337</v>
      </c>
      <c r="R810" s="16">
        <f t="shared" si="545"/>
        <v>-136587.27598986923</v>
      </c>
      <c r="S810" s="15">
        <f t="shared" si="520"/>
        <v>22.170849845882874</v>
      </c>
      <c r="T810" s="75">
        <f>S810*(1-PARAM!$C$27)*$I$7+(MOD($B810,60)=PARAM!$B$56)*($B810&gt;(60-PARAM!$B$56))*HLOOKUP(($B810+PARAM!$B$56)/12,Loyalty,2)*$F$1*MAX(V809,0)</f>
        <v>18.557001321003963</v>
      </c>
      <c r="U810" s="75">
        <f>PARAM!$C$26+MAX($G$7-CHOOSE(PARAM!$B$44,MAX(0,V809*$F$1),0),0)*RATES!$L786/12+$H$7*(PARAM!$D$51/12)*RATES!$N786/100</f>
        <v>981.83333333333337</v>
      </c>
      <c r="V810" s="16">
        <f t="shared" si="546"/>
        <v>-136587.27598986923</v>
      </c>
      <c r="W810" s="15">
        <f t="shared" si="521"/>
        <v>22.170849845882874</v>
      </c>
      <c r="X810" s="75">
        <f>W810*(1-PARAM!$C$27)*$I$8+(MOD($B810,60)=PARAM!$B$56)*($B810&gt;(60-PARAM!$B$56))*HLOOKUP(($B810+PARAM!$B$56)/12,Loyalty,2)*$F$1*MAX(Z809,0)</f>
        <v>18.557001321003963</v>
      </c>
      <c r="Y810" s="75">
        <f>PARAM!$C$26+MAX($G$8-CHOOSE(PARAM!$B$44,MAX(0,Z809*$F$1),0),0)*RATES!$L786/12+$H$8*(PARAM!$D$51/12)*RATES!$N786/100</f>
        <v>981.83333333333337</v>
      </c>
      <c r="Z810" s="16">
        <f t="shared" si="547"/>
        <v>-136587.27598986923</v>
      </c>
      <c r="AA810" s="15">
        <f t="shared" si="522"/>
        <v>22.170849845882874</v>
      </c>
      <c r="AB810" s="75">
        <f>AA810*(1-PARAM!$C$27)*$I$9+(MOD($B810,60)=PARAM!$B$56)*($B810&gt;(60-PARAM!$B$56))*HLOOKUP(($B810+PARAM!$B$56)/12,Loyalty,2)*$F$1*MAX(AD809,0)</f>
        <v>18.557001321003963</v>
      </c>
      <c r="AC810" s="75">
        <f>PARAM!$C$26+MAX($G$9-CHOOSE(PARAM!$B$44,MAX(0,AD809*$F$1),0),0)*RATES!$L786/12+$H$9*(PARAM!$D$51/12)*RATES!$N786/100</f>
        <v>981.83333333333337</v>
      </c>
      <c r="AD810" s="16">
        <f t="shared" si="548"/>
        <v>-136587.27598986923</v>
      </c>
      <c r="AE810" s="15">
        <f t="shared" si="523"/>
        <v>22.170849845882874</v>
      </c>
      <c r="AF810" s="75">
        <f>AE810*(1-PARAM!$C$27)*$I$10+(MOD($B810,60)=PARAM!$B$56)*($B810&gt;(60-PARAM!$B$56))*HLOOKUP(($B810+PARAM!$B$56)/12,Loyalty,2)*$F$1*MAX(AH809,0)</f>
        <v>18.557001321003963</v>
      </c>
      <c r="AG810" s="75">
        <f>PARAM!$C$26+MAX($G$10-CHOOSE(PARAM!$B$44,MAX(0,AH809*$F$1),0),0)*RATES!$L786/12+$H$10*(PARAM!$D$51/12)*RATES!$N786/100</f>
        <v>981.83333333333337</v>
      </c>
      <c r="AH810" s="16">
        <f t="shared" si="549"/>
        <v>-136587.27598986923</v>
      </c>
      <c r="AI810" s="15">
        <f t="shared" si="524"/>
        <v>22.170849845882874</v>
      </c>
      <c r="AJ810" s="75">
        <f>AI810*(1-PARAM!$C$27)*$I$11+(MOD($B810,60)=PARAM!$B$56)*($B810&gt;(60-PARAM!$B$56))*HLOOKUP(($B810+PARAM!$B$56)/12,Loyalty,2)*$F$1*MAX(AL809,0)</f>
        <v>18.557001321003963</v>
      </c>
      <c r="AK810" s="75">
        <f>PARAM!$C$26+MAX($G$11-CHOOSE(PARAM!$B$44,MAX(0,AL809*$F$1),0),0)*RATES!$L786/12+$H$11*(PARAM!$D$51/12)*RATES!$N786/100</f>
        <v>981.83333333333337</v>
      </c>
      <c r="AL810" s="16">
        <f t="shared" si="550"/>
        <v>-136587.27598986923</v>
      </c>
      <c r="AM810" s="15">
        <f t="shared" si="525"/>
        <v>22.170849845882874</v>
      </c>
      <c r="AN810" s="75">
        <f>AM810*(1-PARAM!$C$27)*$I$12+(MOD($B810,60)=PARAM!$B$56)*($B810&gt;(60-PARAM!$B$56))*HLOOKUP(($B810+PARAM!$B$56)/12,Loyalty,2)*$F$1*MAX(AP809,0)</f>
        <v>18.557001321003963</v>
      </c>
      <c r="AO810" s="75">
        <f>PARAM!$C$26+MAX($G$12-CHOOSE(PARAM!$B$44,MAX(0,AP809*$F$1),0),0)*RATES!$L786/12+$H$12*(PARAM!$D$51/12)*RATES!$N786/100</f>
        <v>981.83333333333337</v>
      </c>
      <c r="AP810" s="16">
        <f t="shared" si="551"/>
        <v>-136587.27598986923</v>
      </c>
      <c r="AQ810" s="15">
        <f t="shared" si="526"/>
        <v>22.170849845882874</v>
      </c>
      <c r="AR810" s="75">
        <f>AQ810*(1-PARAM!$C$27)*$I$13+(MOD($B810,60)=PARAM!$B$56)*($B810&gt;(60-PARAM!$B$56))*HLOOKUP(($B810+PARAM!$B$56)/12,Loyalty,2)*$F$1*MAX(AT809,0)</f>
        <v>18.557001321003963</v>
      </c>
      <c r="AS810" s="75">
        <f>PARAM!$C$26+MAX($G$13-CHOOSE(PARAM!$B$44,MAX(0,AT809*$F$1),0),0)*RATES!$L786/12+$H$13*(PARAM!$D$51/12)*RATES!$N786/100</f>
        <v>981.83333333333337</v>
      </c>
      <c r="AT810" s="16">
        <f t="shared" si="552"/>
        <v>-136587.27598986923</v>
      </c>
      <c r="AU810" s="15">
        <f t="shared" si="527"/>
        <v>22.170849845882874</v>
      </c>
      <c r="AV810" s="75">
        <f>AU810*(1-PARAM!$C$27)*$I$14+(MOD($B810,60)=PARAM!$B$56)*($B810&gt;(60-PARAM!$B$56))*HLOOKUP(($B810+PARAM!$B$56)/12,Loyalty,2)*$F$1*MAX(AX809,0)</f>
        <v>18.557001321003963</v>
      </c>
      <c r="AW810" s="75">
        <f>PARAM!$C$26+MAX($G$14-CHOOSE(PARAM!$B$44,MAX(0,AX809*$F$1),0),0)*RATES!$L786/12+$H$14*(PARAM!$D$51/12)*RATES!$N786/100</f>
        <v>981.83333333333337</v>
      </c>
      <c r="AX810" s="16">
        <f t="shared" si="553"/>
        <v>-136587.27598986923</v>
      </c>
      <c r="AY810" s="15">
        <f t="shared" si="528"/>
        <v>22.170849845882874</v>
      </c>
      <c r="AZ810" s="75">
        <f>AY810*(1-PARAM!$C$27)*$I$15+(MOD($B810,60)=PARAM!$B$56)*($B810&gt;(60-PARAM!$B$56))*HLOOKUP(($B810+PARAM!$B$56)/12,Loyalty,2)*$F$1*MAX(BB809,0)</f>
        <v>18.557001321003963</v>
      </c>
      <c r="BA810" s="75">
        <f>PARAM!$C$26+MAX($G$15-CHOOSE(PARAM!$B$44,MAX(0,BB809*$F$1),0),0)*RATES!$L786/12+$H$15*(PARAM!$D$51/12)*RATES!$N786/100</f>
        <v>981.83333333333337</v>
      </c>
      <c r="BB810" s="16">
        <f t="shared" si="554"/>
        <v>-136587.27598986923</v>
      </c>
      <c r="BC810" s="15">
        <f t="shared" si="529"/>
        <v>22.170849845882874</v>
      </c>
      <c r="BD810" s="75">
        <f>BC810*(1-PARAM!$C$27)*$I$16+(MOD($B810,60)=PARAM!$B$56)*($B810&gt;(60-PARAM!$B$56))*HLOOKUP(($B810+PARAM!$B$56)/12,Loyalty,2)*$F$1*MAX(BF809,0)</f>
        <v>18.557001321003963</v>
      </c>
      <c r="BE810" s="75">
        <f>PARAM!$C$26+MAX($G$16-CHOOSE(PARAM!$B$44,MAX(0,BF809*$F$1),0),0)*RATES!$L786/12+$H$16*(PARAM!$D$51/12)*RATES!$N786/100</f>
        <v>981.83333333333337</v>
      </c>
      <c r="BF810" s="16">
        <f t="shared" si="555"/>
        <v>-136587.27598986923</v>
      </c>
      <c r="BG810" s="15">
        <f t="shared" si="530"/>
        <v>22.170849845882874</v>
      </c>
      <c r="BH810" s="75">
        <f>BG810*(1-PARAM!$C$27)*$I$17+(MOD($B810,60)=PARAM!$B$56)*($B810&gt;(60-PARAM!$B$56))*HLOOKUP(($B810+PARAM!$B$56)/12,Loyalty,2)*$F$1*MAX(BJ809,0)</f>
        <v>18.557001321003963</v>
      </c>
      <c r="BI810" s="75">
        <f>PARAM!$C$26+MAX($G$17-CHOOSE(PARAM!$B$44,MAX(0,BJ809*$F$1),0),0)*RATES!$L786/12+$H$17*(PARAM!$D$51/12)*RATES!$N786/100</f>
        <v>981.83333333333337</v>
      </c>
      <c r="BJ810" s="16">
        <f t="shared" si="556"/>
        <v>-136587.27598986923</v>
      </c>
      <c r="BK810" s="15">
        <f t="shared" si="531"/>
        <v>22.170849845882874</v>
      </c>
      <c r="BL810" s="75">
        <f>BK810*(1-PARAM!$C$27)*$I$18+(MOD($B810,60)=PARAM!$B$56)*($B810&gt;(60-PARAM!$B$56))*HLOOKUP(($B810+PARAM!$B$56)/12,Loyalty,2)*$F$1*MAX(BN809,0)</f>
        <v>18.557001321003963</v>
      </c>
      <c r="BM810" s="75">
        <f>PARAM!$C$26+MAX($G$18-CHOOSE(PARAM!$B$44,MAX(0,BN809*$F$1),0),0)*RATES!$L786/12+$H$18*(PARAM!$D$51/12)*RATES!$N786/100</f>
        <v>981.83333333333337</v>
      </c>
      <c r="BN810" s="16">
        <f t="shared" si="557"/>
        <v>-136587.27598986923</v>
      </c>
      <c r="BO810" s="15">
        <f t="shared" si="532"/>
        <v>22.170849845882874</v>
      </c>
      <c r="BP810" s="75">
        <f>BO810*(1-PARAM!$C$27)*$I$19+(MOD($B810,60)=PARAM!$B$56)*($B810&gt;(60-PARAM!$B$56))*HLOOKUP(($B810+PARAM!$B$56)/12,Loyalty,2)*$F$1*MAX(BR809,0)</f>
        <v>18.557001321003963</v>
      </c>
      <c r="BQ810" s="75">
        <f>PARAM!$C$26+MAX($G$19-CHOOSE(PARAM!$B$44,MAX(0,BR809*$F$1),0),0)*RATES!$L786/12+$H$19*(PARAM!$D$51/12)*RATES!$N786/100</f>
        <v>981.83333333333337</v>
      </c>
      <c r="BR810" s="16">
        <f t="shared" si="558"/>
        <v>-136587.27598986923</v>
      </c>
      <c r="BS810" s="15">
        <f t="shared" si="533"/>
        <v>22.170849845882874</v>
      </c>
      <c r="BT810" s="75">
        <f>BS810*(1-PARAM!$C$27)*$I$20+(MOD($B810,60)=PARAM!$B$56)*($B810&gt;(60-PARAM!$B$56))*HLOOKUP(($B810+PARAM!$B$56)/12,Loyalty,2)*$F$1*MAX(BV809,0)</f>
        <v>18.557001321003963</v>
      </c>
      <c r="BU810" s="75">
        <f>PARAM!$C$26+MAX($G$20-CHOOSE(PARAM!$B$44,MAX(0,BV809*$F$1),0),0)*RATES!$L786/12+$H$20*(PARAM!$D$51/12)*RATES!$N786/100</f>
        <v>981.83333333333337</v>
      </c>
      <c r="BV810" s="16">
        <f t="shared" si="559"/>
        <v>-136587.27598986923</v>
      </c>
      <c r="BW810" s="15">
        <f t="shared" si="534"/>
        <v>22.170849845882874</v>
      </c>
      <c r="BX810" s="75">
        <f>BW810*(1-PARAM!$C$27)*$I$21+(MOD($B810,60)=PARAM!$B$56)*($B810&gt;(60-PARAM!$B$56))*HLOOKUP(($B810+PARAM!$B$56)/12,Loyalty,2)*$F$1*MAX(BZ809,0)</f>
        <v>18.557001321003963</v>
      </c>
      <c r="BY810" s="75">
        <f>PARAM!$C$26+MAX($G$21-CHOOSE(PARAM!$B$44,MAX(0,BZ809*$F$1),0),0)*RATES!$L786/12+$H$21*(PARAM!$D$51/12)*RATES!$N786/100</f>
        <v>981.83333333333337</v>
      </c>
      <c r="BZ810" s="16">
        <f t="shared" si="560"/>
        <v>-136587.27598986923</v>
      </c>
      <c r="CA810" s="15">
        <f t="shared" si="535"/>
        <v>22.170849845882874</v>
      </c>
      <c r="CB810" s="75">
        <f>CA810*(1-PARAM!$C$27)*$I$22+(MOD($B810,60)=PARAM!$B$56)*($B810&gt;(60-PARAM!$B$56))*HLOOKUP(($B810+PARAM!$B$56)/12,Loyalty,2)*$F$1*MAX(CD809,0)</f>
        <v>18.557001321003963</v>
      </c>
      <c r="CC810" s="75">
        <f>PARAM!$C$26+MAX($G$22-CHOOSE(PARAM!$B$44,MAX(0,CD809*$F$1),0),0)*RATES!$L786/12+$H$22*(PARAM!$D$51/12)*RATES!$N786/100</f>
        <v>981.83333333333337</v>
      </c>
      <c r="CD810" s="16">
        <f t="shared" si="561"/>
        <v>-136587.27598986923</v>
      </c>
      <c r="CE810" s="33">
        <f>IF(0=MOD(B810,12/PARAM!$D$51),1,0)</f>
        <v>1</v>
      </c>
      <c r="CF810" s="15">
        <f t="shared" si="536"/>
        <v>0</v>
      </c>
      <c r="CG810" s="75">
        <f>CF810*(1-PARAM!$C$27)*$R$3+(MOD($B810/12,5)=0)*($B810&gt;60)*HLOOKUP($B810/12,Loyalty,2)*$F$1*MAX(CI809,0)</f>
        <v>0</v>
      </c>
      <c r="CH810" s="75">
        <f>PARAM!$C$26+MAX($P$3-CHOOSE(PARAM!$B$44,MAX(0,CI809*$F$1),0),0)*RATES!$L786/12+$Q$3*(PARAM!$D$51/12)*RATES!$N786/100</f>
        <v>981.83333333333337</v>
      </c>
      <c r="CI810" s="16">
        <f>IF(CI809&gt;0,CI809*PARAM!$C$53,CI809)+CG810-CH810</f>
        <v>-150997.8333333336</v>
      </c>
      <c r="CJ810" s="15">
        <f t="shared" si="562"/>
        <v>0</v>
      </c>
      <c r="CK810" s="75">
        <f>CJ810*(1-PARAM!$C$27)*$R$4+(MOD($B810/12,5)=0)*($B810&gt;60)*HLOOKUP($B810/12,Loyalty,2)*$F$1*MAX(CM809,0)</f>
        <v>0</v>
      </c>
      <c r="CL810" s="75">
        <f>PARAM!$C$26+MAX($P$4-CHOOSE(PARAM!$B$44,MAX(0,CM809*$F$1),0),0)*RATES!$L786/12+$Q$4*(PARAM!$D$51/12)*RATES!$N786/100</f>
        <v>981.83333333333337</v>
      </c>
      <c r="CM810" s="16">
        <f>IF(CM809&gt;0,CM809*PARAM!$C$53,CM809)+CK810-CL810</f>
        <v>-150997.8333333336</v>
      </c>
      <c r="CO810" s="176"/>
    </row>
    <row r="811" spans="1:93" x14ac:dyDescent="0.2">
      <c r="A811" t="b">
        <f t="shared" si="537"/>
        <v>0</v>
      </c>
      <c r="B811" s="33">
        <v>784</v>
      </c>
      <c r="C811" s="15">
        <f t="shared" si="538"/>
        <v>20.081305947392778</v>
      </c>
      <c r="D811" s="75">
        <f>C811*(1-PARAM!$C$27)*$I$3+(MOD($B811,60)=PARAM!$B$56)*($B811&gt;(60-PARAM!$B$56))*HLOOKUP(($B811+PARAM!$B$56)/12,Loyalty,2)*$F$1*MAX(F810,0)</f>
        <v>16.808053077967756</v>
      </c>
      <c r="E811" s="75">
        <f>PARAM!$C$26+MAX($G$3-CHOOSE(PARAM!$B$44,MAX(0,F810*$F$1),0),0)*RATES!$L787/12+$H$3*(PARAM!$D$51/12)*RATES!$N787/100</f>
        <v>981.83333333333337</v>
      </c>
      <c r="F811" s="16">
        <f t="shared" si="539"/>
        <v>-138958.57824494367</v>
      </c>
      <c r="G811" s="15">
        <f t="shared" si="540"/>
        <v>22.035289406060361</v>
      </c>
      <c r="H811" s="75">
        <f>G811*(1-PARAM!$C$27)*$I$4+(MOD($B811,60)=PARAM!$B$56)*($B811&gt;(60-PARAM!$B$56))*HLOOKUP(($B811+PARAM!$B$56)/12,Loyalty,2)*$F$1*MAX(J810,0)</f>
        <v>18.443537232872522</v>
      </c>
      <c r="I811" s="75">
        <f>PARAM!$C$26+MAX($G$4-CHOOSE(PARAM!$B$44,MAX(0,J810*$F$1),0),0)*RATES!$L787/12+$H$4*(PARAM!$D$51/12)*RATES!$N787/100</f>
        <v>981.83333333333337</v>
      </c>
      <c r="J811" s="16">
        <f t="shared" si="541"/>
        <v>-137642.52570337651</v>
      </c>
      <c r="K811" s="15">
        <f t="shared" si="542"/>
        <v>22.170849845882874</v>
      </c>
      <c r="L811" s="75">
        <f>K811*(1-PARAM!$C$27)*$I$5+(MOD($B811,60)=PARAM!$B$56)*($B811&gt;(60-PARAM!$B$56))*HLOOKUP(($B811+PARAM!$B$56)/12,Loyalty,2)*$F$1*MAX(N810,0)</f>
        <v>18.557001321003963</v>
      </c>
      <c r="M811" s="75">
        <f>PARAM!$C$26+MAX($G$5-CHOOSE(PARAM!$B$44,MAX(0,N810*$F$1),0),0)*RATES!$L787/12+$H$5*(PARAM!$D$51/12)*RATES!$N787/100</f>
        <v>981.83333333333337</v>
      </c>
      <c r="N811" s="16">
        <f t="shared" si="543"/>
        <v>-137550.55232188158</v>
      </c>
      <c r="O811" s="15">
        <f t="shared" si="544"/>
        <v>22.170849845882874</v>
      </c>
      <c r="P811" s="75">
        <f>O811*(1-PARAM!$C$27)*$I$6+(MOD($B811,60)=PARAM!$B$56)*($B811&gt;(60-PARAM!$B$56))*HLOOKUP(($B811+PARAM!$B$56)/12,Loyalty,2)*$F$1*MAX(R810,0)</f>
        <v>18.557001321003963</v>
      </c>
      <c r="Q811" s="75">
        <f>PARAM!$C$26+MAX($G$6-CHOOSE(PARAM!$B$44,MAX(0,R810*$F$1),0),0)*RATES!$L787/12+$H$6*(PARAM!$D$51/12)*RATES!$N787/100</f>
        <v>981.83333333333337</v>
      </c>
      <c r="R811" s="16">
        <f t="shared" si="545"/>
        <v>-137550.55232188158</v>
      </c>
      <c r="S811" s="15">
        <f t="shared" si="520"/>
        <v>22.170849845882874</v>
      </c>
      <c r="T811" s="75">
        <f>S811*(1-PARAM!$C$27)*$I$7+(MOD($B811,60)=PARAM!$B$56)*($B811&gt;(60-PARAM!$B$56))*HLOOKUP(($B811+PARAM!$B$56)/12,Loyalty,2)*$F$1*MAX(V810,0)</f>
        <v>18.557001321003963</v>
      </c>
      <c r="U811" s="75">
        <f>PARAM!$C$26+MAX($G$7-CHOOSE(PARAM!$B$44,MAX(0,V810*$F$1),0),0)*RATES!$L787/12+$H$7*(PARAM!$D$51/12)*RATES!$N787/100</f>
        <v>981.83333333333337</v>
      </c>
      <c r="V811" s="16">
        <f t="shared" si="546"/>
        <v>-137550.55232188158</v>
      </c>
      <c r="W811" s="15">
        <f t="shared" si="521"/>
        <v>22.170849845882874</v>
      </c>
      <c r="X811" s="75">
        <f>W811*(1-PARAM!$C$27)*$I$8+(MOD($B811,60)=PARAM!$B$56)*($B811&gt;(60-PARAM!$B$56))*HLOOKUP(($B811+PARAM!$B$56)/12,Loyalty,2)*$F$1*MAX(Z810,0)</f>
        <v>18.557001321003963</v>
      </c>
      <c r="Y811" s="75">
        <f>PARAM!$C$26+MAX($G$8-CHOOSE(PARAM!$B$44,MAX(0,Z810*$F$1),0),0)*RATES!$L787/12+$H$8*(PARAM!$D$51/12)*RATES!$N787/100</f>
        <v>981.83333333333337</v>
      </c>
      <c r="Z811" s="16">
        <f t="shared" si="547"/>
        <v>-137550.55232188158</v>
      </c>
      <c r="AA811" s="15">
        <f t="shared" si="522"/>
        <v>22.170849845882874</v>
      </c>
      <c r="AB811" s="75">
        <f>AA811*(1-PARAM!$C$27)*$I$9+(MOD($B811,60)=PARAM!$B$56)*($B811&gt;(60-PARAM!$B$56))*HLOOKUP(($B811+PARAM!$B$56)/12,Loyalty,2)*$F$1*MAX(AD810,0)</f>
        <v>18.557001321003963</v>
      </c>
      <c r="AC811" s="75">
        <f>PARAM!$C$26+MAX($G$9-CHOOSE(PARAM!$B$44,MAX(0,AD810*$F$1),0),0)*RATES!$L787/12+$H$9*(PARAM!$D$51/12)*RATES!$N787/100</f>
        <v>981.83333333333337</v>
      </c>
      <c r="AD811" s="16">
        <f t="shared" si="548"/>
        <v>-137550.55232188158</v>
      </c>
      <c r="AE811" s="15">
        <f t="shared" si="523"/>
        <v>22.170849845882874</v>
      </c>
      <c r="AF811" s="75">
        <f>AE811*(1-PARAM!$C$27)*$I$10+(MOD($B811,60)=PARAM!$B$56)*($B811&gt;(60-PARAM!$B$56))*HLOOKUP(($B811+PARAM!$B$56)/12,Loyalty,2)*$F$1*MAX(AH810,0)</f>
        <v>18.557001321003963</v>
      </c>
      <c r="AG811" s="75">
        <f>PARAM!$C$26+MAX($G$10-CHOOSE(PARAM!$B$44,MAX(0,AH810*$F$1),0),0)*RATES!$L787/12+$H$10*(PARAM!$D$51/12)*RATES!$N787/100</f>
        <v>981.83333333333337</v>
      </c>
      <c r="AH811" s="16">
        <f t="shared" si="549"/>
        <v>-137550.55232188158</v>
      </c>
      <c r="AI811" s="15">
        <f t="shared" si="524"/>
        <v>22.170849845882874</v>
      </c>
      <c r="AJ811" s="75">
        <f>AI811*(1-PARAM!$C$27)*$I$11+(MOD($B811,60)=PARAM!$B$56)*($B811&gt;(60-PARAM!$B$56))*HLOOKUP(($B811+PARAM!$B$56)/12,Loyalty,2)*$F$1*MAX(AL810,0)</f>
        <v>18.557001321003963</v>
      </c>
      <c r="AK811" s="75">
        <f>PARAM!$C$26+MAX($G$11-CHOOSE(PARAM!$B$44,MAX(0,AL810*$F$1),0),0)*RATES!$L787/12+$H$11*(PARAM!$D$51/12)*RATES!$N787/100</f>
        <v>981.83333333333337</v>
      </c>
      <c r="AL811" s="16">
        <f t="shared" si="550"/>
        <v>-137550.55232188158</v>
      </c>
      <c r="AM811" s="15">
        <f t="shared" si="525"/>
        <v>22.170849845882874</v>
      </c>
      <c r="AN811" s="75">
        <f>AM811*(1-PARAM!$C$27)*$I$12+(MOD($B811,60)=PARAM!$B$56)*($B811&gt;(60-PARAM!$B$56))*HLOOKUP(($B811+PARAM!$B$56)/12,Loyalty,2)*$F$1*MAX(AP810,0)</f>
        <v>18.557001321003963</v>
      </c>
      <c r="AO811" s="75">
        <f>PARAM!$C$26+MAX($G$12-CHOOSE(PARAM!$B$44,MAX(0,AP810*$F$1),0),0)*RATES!$L787/12+$H$12*(PARAM!$D$51/12)*RATES!$N787/100</f>
        <v>981.83333333333337</v>
      </c>
      <c r="AP811" s="16">
        <f t="shared" si="551"/>
        <v>-137550.55232188158</v>
      </c>
      <c r="AQ811" s="15">
        <f t="shared" si="526"/>
        <v>22.170849845882874</v>
      </c>
      <c r="AR811" s="75">
        <f>AQ811*(1-PARAM!$C$27)*$I$13+(MOD($B811,60)=PARAM!$B$56)*($B811&gt;(60-PARAM!$B$56))*HLOOKUP(($B811+PARAM!$B$56)/12,Loyalty,2)*$F$1*MAX(AT810,0)</f>
        <v>18.557001321003963</v>
      </c>
      <c r="AS811" s="75">
        <f>PARAM!$C$26+MAX($G$13-CHOOSE(PARAM!$B$44,MAX(0,AT810*$F$1),0),0)*RATES!$L787/12+$H$13*(PARAM!$D$51/12)*RATES!$N787/100</f>
        <v>981.83333333333337</v>
      </c>
      <c r="AT811" s="16">
        <f t="shared" si="552"/>
        <v>-137550.55232188158</v>
      </c>
      <c r="AU811" s="15">
        <f t="shared" si="527"/>
        <v>22.170849845882874</v>
      </c>
      <c r="AV811" s="75">
        <f>AU811*(1-PARAM!$C$27)*$I$14+(MOD($B811,60)=PARAM!$B$56)*($B811&gt;(60-PARAM!$B$56))*HLOOKUP(($B811+PARAM!$B$56)/12,Loyalty,2)*$F$1*MAX(AX810,0)</f>
        <v>18.557001321003963</v>
      </c>
      <c r="AW811" s="75">
        <f>PARAM!$C$26+MAX($G$14-CHOOSE(PARAM!$B$44,MAX(0,AX810*$F$1),0),0)*RATES!$L787/12+$H$14*(PARAM!$D$51/12)*RATES!$N787/100</f>
        <v>981.83333333333337</v>
      </c>
      <c r="AX811" s="16">
        <f t="shared" si="553"/>
        <v>-137550.55232188158</v>
      </c>
      <c r="AY811" s="15">
        <f t="shared" si="528"/>
        <v>22.170849845882874</v>
      </c>
      <c r="AZ811" s="75">
        <f>AY811*(1-PARAM!$C$27)*$I$15+(MOD($B811,60)=PARAM!$B$56)*($B811&gt;(60-PARAM!$B$56))*HLOOKUP(($B811+PARAM!$B$56)/12,Loyalty,2)*$F$1*MAX(BB810,0)</f>
        <v>18.557001321003963</v>
      </c>
      <c r="BA811" s="75">
        <f>PARAM!$C$26+MAX($G$15-CHOOSE(PARAM!$B$44,MAX(0,BB810*$F$1),0),0)*RATES!$L787/12+$H$15*(PARAM!$D$51/12)*RATES!$N787/100</f>
        <v>981.83333333333337</v>
      </c>
      <c r="BB811" s="16">
        <f t="shared" si="554"/>
        <v>-137550.55232188158</v>
      </c>
      <c r="BC811" s="15">
        <f t="shared" si="529"/>
        <v>22.170849845882874</v>
      </c>
      <c r="BD811" s="75">
        <f>BC811*(1-PARAM!$C$27)*$I$16+(MOD($B811,60)=PARAM!$B$56)*($B811&gt;(60-PARAM!$B$56))*HLOOKUP(($B811+PARAM!$B$56)/12,Loyalty,2)*$F$1*MAX(BF810,0)</f>
        <v>18.557001321003963</v>
      </c>
      <c r="BE811" s="75">
        <f>PARAM!$C$26+MAX($G$16-CHOOSE(PARAM!$B$44,MAX(0,BF810*$F$1),0),0)*RATES!$L787/12+$H$16*(PARAM!$D$51/12)*RATES!$N787/100</f>
        <v>981.83333333333337</v>
      </c>
      <c r="BF811" s="16">
        <f t="shared" si="555"/>
        <v>-137550.55232188158</v>
      </c>
      <c r="BG811" s="15">
        <f t="shared" si="530"/>
        <v>22.170849845882874</v>
      </c>
      <c r="BH811" s="75">
        <f>BG811*(1-PARAM!$C$27)*$I$17+(MOD($B811,60)=PARAM!$B$56)*($B811&gt;(60-PARAM!$B$56))*HLOOKUP(($B811+PARAM!$B$56)/12,Loyalty,2)*$F$1*MAX(BJ810,0)</f>
        <v>18.557001321003963</v>
      </c>
      <c r="BI811" s="75">
        <f>PARAM!$C$26+MAX($G$17-CHOOSE(PARAM!$B$44,MAX(0,BJ810*$F$1),0),0)*RATES!$L787/12+$H$17*(PARAM!$D$51/12)*RATES!$N787/100</f>
        <v>981.83333333333337</v>
      </c>
      <c r="BJ811" s="16">
        <f t="shared" si="556"/>
        <v>-137550.55232188158</v>
      </c>
      <c r="BK811" s="15">
        <f t="shared" si="531"/>
        <v>22.170849845882874</v>
      </c>
      <c r="BL811" s="75">
        <f>BK811*(1-PARAM!$C$27)*$I$18+(MOD($B811,60)=PARAM!$B$56)*($B811&gt;(60-PARAM!$B$56))*HLOOKUP(($B811+PARAM!$B$56)/12,Loyalty,2)*$F$1*MAX(BN810,0)</f>
        <v>18.557001321003963</v>
      </c>
      <c r="BM811" s="75">
        <f>PARAM!$C$26+MAX($G$18-CHOOSE(PARAM!$B$44,MAX(0,BN810*$F$1),0),0)*RATES!$L787/12+$H$18*(PARAM!$D$51/12)*RATES!$N787/100</f>
        <v>981.83333333333337</v>
      </c>
      <c r="BN811" s="16">
        <f t="shared" si="557"/>
        <v>-137550.55232188158</v>
      </c>
      <c r="BO811" s="15">
        <f t="shared" si="532"/>
        <v>22.170849845882874</v>
      </c>
      <c r="BP811" s="75">
        <f>BO811*(1-PARAM!$C$27)*$I$19+(MOD($B811,60)=PARAM!$B$56)*($B811&gt;(60-PARAM!$B$56))*HLOOKUP(($B811+PARAM!$B$56)/12,Loyalty,2)*$F$1*MAX(BR810,0)</f>
        <v>18.557001321003963</v>
      </c>
      <c r="BQ811" s="75">
        <f>PARAM!$C$26+MAX($G$19-CHOOSE(PARAM!$B$44,MAX(0,BR810*$F$1),0),0)*RATES!$L787/12+$H$19*(PARAM!$D$51/12)*RATES!$N787/100</f>
        <v>981.83333333333337</v>
      </c>
      <c r="BR811" s="16">
        <f t="shared" si="558"/>
        <v>-137550.55232188158</v>
      </c>
      <c r="BS811" s="15">
        <f t="shared" si="533"/>
        <v>22.170849845882874</v>
      </c>
      <c r="BT811" s="75">
        <f>BS811*(1-PARAM!$C$27)*$I$20+(MOD($B811,60)=PARAM!$B$56)*($B811&gt;(60-PARAM!$B$56))*HLOOKUP(($B811+PARAM!$B$56)/12,Loyalty,2)*$F$1*MAX(BV810,0)</f>
        <v>18.557001321003963</v>
      </c>
      <c r="BU811" s="75">
        <f>PARAM!$C$26+MAX($G$20-CHOOSE(PARAM!$B$44,MAX(0,BV810*$F$1),0),0)*RATES!$L787/12+$H$20*(PARAM!$D$51/12)*RATES!$N787/100</f>
        <v>981.83333333333337</v>
      </c>
      <c r="BV811" s="16">
        <f t="shared" si="559"/>
        <v>-137550.55232188158</v>
      </c>
      <c r="BW811" s="15">
        <f t="shared" si="534"/>
        <v>22.170849845882874</v>
      </c>
      <c r="BX811" s="75">
        <f>BW811*(1-PARAM!$C$27)*$I$21+(MOD($B811,60)=PARAM!$B$56)*($B811&gt;(60-PARAM!$B$56))*HLOOKUP(($B811+PARAM!$B$56)/12,Loyalty,2)*$F$1*MAX(BZ810,0)</f>
        <v>18.557001321003963</v>
      </c>
      <c r="BY811" s="75">
        <f>PARAM!$C$26+MAX($G$21-CHOOSE(PARAM!$B$44,MAX(0,BZ810*$F$1),0),0)*RATES!$L787/12+$H$21*(PARAM!$D$51/12)*RATES!$N787/100</f>
        <v>981.83333333333337</v>
      </c>
      <c r="BZ811" s="16">
        <f t="shared" si="560"/>
        <v>-137550.55232188158</v>
      </c>
      <c r="CA811" s="15">
        <f t="shared" si="535"/>
        <v>22.170849845882874</v>
      </c>
      <c r="CB811" s="75">
        <f>CA811*(1-PARAM!$C$27)*$I$22+(MOD($B811,60)=PARAM!$B$56)*($B811&gt;(60-PARAM!$B$56))*HLOOKUP(($B811+PARAM!$B$56)/12,Loyalty,2)*$F$1*MAX(CD810,0)</f>
        <v>18.557001321003963</v>
      </c>
      <c r="CC811" s="75">
        <f>PARAM!$C$26+MAX($G$22-CHOOSE(PARAM!$B$44,MAX(0,CD810*$F$1),0),0)*RATES!$L787/12+$H$22*(PARAM!$D$51/12)*RATES!$N787/100</f>
        <v>981.83333333333337</v>
      </c>
      <c r="CD811" s="16">
        <f t="shared" si="561"/>
        <v>-137550.55232188158</v>
      </c>
      <c r="CE811" s="33">
        <f>IF(0=MOD(B811,12/PARAM!$D$51),1,0)</f>
        <v>1</v>
      </c>
      <c r="CF811" s="15">
        <f t="shared" si="536"/>
        <v>0</v>
      </c>
      <c r="CG811" s="75">
        <f>CF811*(1-PARAM!$C$27)*$R$3+(MOD($B811/12,5)=0)*($B811&gt;60)*HLOOKUP($B811/12,Loyalty,2)*$F$1*MAX(CI810,0)</f>
        <v>0</v>
      </c>
      <c r="CH811" s="75">
        <f>PARAM!$C$26+MAX($P$3-CHOOSE(PARAM!$B$44,MAX(0,CI810*$F$1),0),0)*RATES!$L787/12+$Q$3*(PARAM!$D$51/12)*RATES!$N787/100</f>
        <v>981.83333333333337</v>
      </c>
      <c r="CI811" s="16">
        <f>IF(CI810&gt;0,CI810*PARAM!$C$53,CI810)+CG811-CH811</f>
        <v>-151979.66666666695</v>
      </c>
      <c r="CJ811" s="15">
        <f t="shared" si="562"/>
        <v>0</v>
      </c>
      <c r="CK811" s="75">
        <f>CJ811*(1-PARAM!$C$27)*$R$4+(MOD($B811/12,5)=0)*($B811&gt;60)*HLOOKUP($B811/12,Loyalty,2)*$F$1*MAX(CM810,0)</f>
        <v>0</v>
      </c>
      <c r="CL811" s="75">
        <f>PARAM!$C$26+MAX($P$4-CHOOSE(PARAM!$B$44,MAX(0,CM810*$F$1),0),0)*RATES!$L787/12+$Q$4*(PARAM!$D$51/12)*RATES!$N787/100</f>
        <v>981.83333333333337</v>
      </c>
      <c r="CM811" s="16">
        <f>IF(CM810&gt;0,CM810*PARAM!$C$53,CM810)+CK811-CL811</f>
        <v>-151979.66666666695</v>
      </c>
      <c r="CO811" s="176"/>
    </row>
    <row r="812" spans="1:93" x14ac:dyDescent="0.2">
      <c r="A812" t="b">
        <f t="shared" si="537"/>
        <v>0</v>
      </c>
      <c r="B812" s="33">
        <v>785</v>
      </c>
      <c r="C812" s="15">
        <f t="shared" si="538"/>
        <v>20.081305947392778</v>
      </c>
      <c r="D812" s="75">
        <f>C812*(1-PARAM!$C$27)*$I$3+(MOD($B812,60)=PARAM!$B$56)*($B812&gt;(60-PARAM!$B$56))*HLOOKUP(($B812+PARAM!$B$56)/12,Loyalty,2)*$F$1*MAX(F811,0)</f>
        <v>16.808053077967756</v>
      </c>
      <c r="E812" s="75">
        <f>PARAM!$C$26+MAX($G$3-CHOOSE(PARAM!$B$44,MAX(0,F811*$F$1),0),0)*RATES!$L788/12+$H$3*(PARAM!$D$51/12)*RATES!$N788/100</f>
        <v>981.83333333333337</v>
      </c>
      <c r="F812" s="16">
        <f t="shared" si="539"/>
        <v>-139923.60352519905</v>
      </c>
      <c r="G812" s="15">
        <f t="shared" si="540"/>
        <v>22.035289406060361</v>
      </c>
      <c r="H812" s="75">
        <f>G812*(1-PARAM!$C$27)*$I$4+(MOD($B812,60)=PARAM!$B$56)*($B812&gt;(60-PARAM!$B$56))*HLOOKUP(($B812+PARAM!$B$56)/12,Loyalty,2)*$F$1*MAX(J811,0)</f>
        <v>18.443537232872522</v>
      </c>
      <c r="I812" s="75">
        <f>PARAM!$C$26+MAX($G$4-CHOOSE(PARAM!$B$44,MAX(0,J811*$F$1),0),0)*RATES!$L788/12+$H$4*(PARAM!$D$51/12)*RATES!$N788/100</f>
        <v>981.83333333333337</v>
      </c>
      <c r="J812" s="16">
        <f t="shared" si="541"/>
        <v>-138605.91549947698</v>
      </c>
      <c r="K812" s="15">
        <f t="shared" si="542"/>
        <v>22.170849845882874</v>
      </c>
      <c r="L812" s="75">
        <f>K812*(1-PARAM!$C$27)*$I$5+(MOD($B812,60)=PARAM!$B$56)*($B812&gt;(60-PARAM!$B$56))*HLOOKUP(($B812+PARAM!$B$56)/12,Loyalty,2)*$F$1*MAX(N811,0)</f>
        <v>18.557001321003963</v>
      </c>
      <c r="M812" s="75">
        <f>PARAM!$C$26+MAX($G$5-CHOOSE(PARAM!$B$44,MAX(0,N811*$F$1),0),0)*RATES!$L788/12+$H$5*(PARAM!$D$51/12)*RATES!$N788/100</f>
        <v>981.83333333333337</v>
      </c>
      <c r="N812" s="16">
        <f t="shared" si="543"/>
        <v>-138513.82865389393</v>
      </c>
      <c r="O812" s="15">
        <f t="shared" si="544"/>
        <v>22.170849845882874</v>
      </c>
      <c r="P812" s="75">
        <f>O812*(1-PARAM!$C$27)*$I$6+(MOD($B812,60)=PARAM!$B$56)*($B812&gt;(60-PARAM!$B$56))*HLOOKUP(($B812+PARAM!$B$56)/12,Loyalty,2)*$F$1*MAX(R811,0)</f>
        <v>18.557001321003963</v>
      </c>
      <c r="Q812" s="75">
        <f>PARAM!$C$26+MAX($G$6-CHOOSE(PARAM!$B$44,MAX(0,R811*$F$1),0),0)*RATES!$L788/12+$H$6*(PARAM!$D$51/12)*RATES!$N788/100</f>
        <v>981.83333333333337</v>
      </c>
      <c r="R812" s="16">
        <f t="shared" si="545"/>
        <v>-138513.82865389393</v>
      </c>
      <c r="S812" s="15">
        <f t="shared" si="520"/>
        <v>22.170849845882874</v>
      </c>
      <c r="T812" s="75">
        <f>S812*(1-PARAM!$C$27)*$I$7+(MOD($B812,60)=PARAM!$B$56)*($B812&gt;(60-PARAM!$B$56))*HLOOKUP(($B812+PARAM!$B$56)/12,Loyalty,2)*$F$1*MAX(V811,0)</f>
        <v>18.557001321003963</v>
      </c>
      <c r="U812" s="75">
        <f>PARAM!$C$26+MAX($G$7-CHOOSE(PARAM!$B$44,MAX(0,V811*$F$1),0),0)*RATES!$L788/12+$H$7*(PARAM!$D$51/12)*RATES!$N788/100</f>
        <v>981.83333333333337</v>
      </c>
      <c r="V812" s="16">
        <f t="shared" si="546"/>
        <v>-138513.82865389393</v>
      </c>
      <c r="W812" s="15">
        <f t="shared" si="521"/>
        <v>22.170849845882874</v>
      </c>
      <c r="X812" s="75">
        <f>W812*(1-PARAM!$C$27)*$I$8+(MOD($B812,60)=PARAM!$B$56)*($B812&gt;(60-PARAM!$B$56))*HLOOKUP(($B812+PARAM!$B$56)/12,Loyalty,2)*$F$1*MAX(Z811,0)</f>
        <v>18.557001321003963</v>
      </c>
      <c r="Y812" s="75">
        <f>PARAM!$C$26+MAX($G$8-CHOOSE(PARAM!$B$44,MAX(0,Z811*$F$1),0),0)*RATES!$L788/12+$H$8*(PARAM!$D$51/12)*RATES!$N788/100</f>
        <v>981.83333333333337</v>
      </c>
      <c r="Z812" s="16">
        <f t="shared" si="547"/>
        <v>-138513.82865389393</v>
      </c>
      <c r="AA812" s="15">
        <f t="shared" si="522"/>
        <v>22.170849845882874</v>
      </c>
      <c r="AB812" s="75">
        <f>AA812*(1-PARAM!$C$27)*$I$9+(MOD($B812,60)=PARAM!$B$56)*($B812&gt;(60-PARAM!$B$56))*HLOOKUP(($B812+PARAM!$B$56)/12,Loyalty,2)*$F$1*MAX(AD811,0)</f>
        <v>18.557001321003963</v>
      </c>
      <c r="AC812" s="75">
        <f>PARAM!$C$26+MAX($G$9-CHOOSE(PARAM!$B$44,MAX(0,AD811*$F$1),0),0)*RATES!$L788/12+$H$9*(PARAM!$D$51/12)*RATES!$N788/100</f>
        <v>981.83333333333337</v>
      </c>
      <c r="AD812" s="16">
        <f t="shared" si="548"/>
        <v>-138513.82865389393</v>
      </c>
      <c r="AE812" s="15">
        <f t="shared" si="523"/>
        <v>22.170849845882874</v>
      </c>
      <c r="AF812" s="75">
        <f>AE812*(1-PARAM!$C$27)*$I$10+(MOD($B812,60)=PARAM!$B$56)*($B812&gt;(60-PARAM!$B$56))*HLOOKUP(($B812+PARAM!$B$56)/12,Loyalty,2)*$F$1*MAX(AH811,0)</f>
        <v>18.557001321003963</v>
      </c>
      <c r="AG812" s="75">
        <f>PARAM!$C$26+MAX($G$10-CHOOSE(PARAM!$B$44,MAX(0,AH811*$F$1),0),0)*RATES!$L788/12+$H$10*(PARAM!$D$51/12)*RATES!$N788/100</f>
        <v>981.83333333333337</v>
      </c>
      <c r="AH812" s="16">
        <f t="shared" si="549"/>
        <v>-138513.82865389393</v>
      </c>
      <c r="AI812" s="15">
        <f t="shared" si="524"/>
        <v>22.170849845882874</v>
      </c>
      <c r="AJ812" s="75">
        <f>AI812*(1-PARAM!$C$27)*$I$11+(MOD($B812,60)=PARAM!$B$56)*($B812&gt;(60-PARAM!$B$56))*HLOOKUP(($B812+PARAM!$B$56)/12,Loyalty,2)*$F$1*MAX(AL811,0)</f>
        <v>18.557001321003963</v>
      </c>
      <c r="AK812" s="75">
        <f>PARAM!$C$26+MAX($G$11-CHOOSE(PARAM!$B$44,MAX(0,AL811*$F$1),0),0)*RATES!$L788/12+$H$11*(PARAM!$D$51/12)*RATES!$N788/100</f>
        <v>981.83333333333337</v>
      </c>
      <c r="AL812" s="16">
        <f t="shared" si="550"/>
        <v>-138513.82865389393</v>
      </c>
      <c r="AM812" s="15">
        <f t="shared" si="525"/>
        <v>22.170849845882874</v>
      </c>
      <c r="AN812" s="75">
        <f>AM812*(1-PARAM!$C$27)*$I$12+(MOD($B812,60)=PARAM!$B$56)*($B812&gt;(60-PARAM!$B$56))*HLOOKUP(($B812+PARAM!$B$56)/12,Loyalty,2)*$F$1*MAX(AP811,0)</f>
        <v>18.557001321003963</v>
      </c>
      <c r="AO812" s="75">
        <f>PARAM!$C$26+MAX($G$12-CHOOSE(PARAM!$B$44,MAX(0,AP811*$F$1),0),0)*RATES!$L788/12+$H$12*(PARAM!$D$51/12)*RATES!$N788/100</f>
        <v>981.83333333333337</v>
      </c>
      <c r="AP812" s="16">
        <f t="shared" si="551"/>
        <v>-138513.82865389393</v>
      </c>
      <c r="AQ812" s="15">
        <f t="shared" si="526"/>
        <v>22.170849845882874</v>
      </c>
      <c r="AR812" s="75">
        <f>AQ812*(1-PARAM!$C$27)*$I$13+(MOD($B812,60)=PARAM!$B$56)*($B812&gt;(60-PARAM!$B$56))*HLOOKUP(($B812+PARAM!$B$56)/12,Loyalty,2)*$F$1*MAX(AT811,0)</f>
        <v>18.557001321003963</v>
      </c>
      <c r="AS812" s="75">
        <f>PARAM!$C$26+MAX($G$13-CHOOSE(PARAM!$B$44,MAX(0,AT811*$F$1),0),0)*RATES!$L788/12+$H$13*(PARAM!$D$51/12)*RATES!$N788/100</f>
        <v>981.83333333333337</v>
      </c>
      <c r="AT812" s="16">
        <f t="shared" si="552"/>
        <v>-138513.82865389393</v>
      </c>
      <c r="AU812" s="15">
        <f t="shared" si="527"/>
        <v>22.170849845882874</v>
      </c>
      <c r="AV812" s="75">
        <f>AU812*(1-PARAM!$C$27)*$I$14+(MOD($B812,60)=PARAM!$B$56)*($B812&gt;(60-PARAM!$B$56))*HLOOKUP(($B812+PARAM!$B$56)/12,Loyalty,2)*$F$1*MAX(AX811,0)</f>
        <v>18.557001321003963</v>
      </c>
      <c r="AW812" s="75">
        <f>PARAM!$C$26+MAX($G$14-CHOOSE(PARAM!$B$44,MAX(0,AX811*$F$1),0),0)*RATES!$L788/12+$H$14*(PARAM!$D$51/12)*RATES!$N788/100</f>
        <v>981.83333333333337</v>
      </c>
      <c r="AX812" s="16">
        <f t="shared" si="553"/>
        <v>-138513.82865389393</v>
      </c>
      <c r="AY812" s="15">
        <f t="shared" si="528"/>
        <v>22.170849845882874</v>
      </c>
      <c r="AZ812" s="75">
        <f>AY812*(1-PARAM!$C$27)*$I$15+(MOD($B812,60)=PARAM!$B$56)*($B812&gt;(60-PARAM!$B$56))*HLOOKUP(($B812+PARAM!$B$56)/12,Loyalty,2)*$F$1*MAX(BB811,0)</f>
        <v>18.557001321003963</v>
      </c>
      <c r="BA812" s="75">
        <f>PARAM!$C$26+MAX($G$15-CHOOSE(PARAM!$B$44,MAX(0,BB811*$F$1),0),0)*RATES!$L788/12+$H$15*(PARAM!$D$51/12)*RATES!$N788/100</f>
        <v>981.83333333333337</v>
      </c>
      <c r="BB812" s="16">
        <f t="shared" si="554"/>
        <v>-138513.82865389393</v>
      </c>
      <c r="BC812" s="15">
        <f t="shared" si="529"/>
        <v>22.170849845882874</v>
      </c>
      <c r="BD812" s="75">
        <f>BC812*(1-PARAM!$C$27)*$I$16+(MOD($B812,60)=PARAM!$B$56)*($B812&gt;(60-PARAM!$B$56))*HLOOKUP(($B812+PARAM!$B$56)/12,Loyalty,2)*$F$1*MAX(BF811,0)</f>
        <v>18.557001321003963</v>
      </c>
      <c r="BE812" s="75">
        <f>PARAM!$C$26+MAX($G$16-CHOOSE(PARAM!$B$44,MAX(0,BF811*$F$1),0),0)*RATES!$L788/12+$H$16*(PARAM!$D$51/12)*RATES!$N788/100</f>
        <v>981.83333333333337</v>
      </c>
      <c r="BF812" s="16">
        <f t="shared" si="555"/>
        <v>-138513.82865389393</v>
      </c>
      <c r="BG812" s="15">
        <f t="shared" si="530"/>
        <v>22.170849845882874</v>
      </c>
      <c r="BH812" s="75">
        <f>BG812*(1-PARAM!$C$27)*$I$17+(MOD($B812,60)=PARAM!$B$56)*($B812&gt;(60-PARAM!$B$56))*HLOOKUP(($B812+PARAM!$B$56)/12,Loyalty,2)*$F$1*MAX(BJ811,0)</f>
        <v>18.557001321003963</v>
      </c>
      <c r="BI812" s="75">
        <f>PARAM!$C$26+MAX($G$17-CHOOSE(PARAM!$B$44,MAX(0,BJ811*$F$1),0),0)*RATES!$L788/12+$H$17*(PARAM!$D$51/12)*RATES!$N788/100</f>
        <v>981.83333333333337</v>
      </c>
      <c r="BJ812" s="16">
        <f t="shared" si="556"/>
        <v>-138513.82865389393</v>
      </c>
      <c r="BK812" s="15">
        <f t="shared" si="531"/>
        <v>22.170849845882874</v>
      </c>
      <c r="BL812" s="75">
        <f>BK812*(1-PARAM!$C$27)*$I$18+(MOD($B812,60)=PARAM!$B$56)*($B812&gt;(60-PARAM!$B$56))*HLOOKUP(($B812+PARAM!$B$56)/12,Loyalty,2)*$F$1*MAX(BN811,0)</f>
        <v>18.557001321003963</v>
      </c>
      <c r="BM812" s="75">
        <f>PARAM!$C$26+MAX($G$18-CHOOSE(PARAM!$B$44,MAX(0,BN811*$F$1),0),0)*RATES!$L788/12+$H$18*(PARAM!$D$51/12)*RATES!$N788/100</f>
        <v>981.83333333333337</v>
      </c>
      <c r="BN812" s="16">
        <f t="shared" si="557"/>
        <v>-138513.82865389393</v>
      </c>
      <c r="BO812" s="15">
        <f t="shared" si="532"/>
        <v>22.170849845882874</v>
      </c>
      <c r="BP812" s="75">
        <f>BO812*(1-PARAM!$C$27)*$I$19+(MOD($B812,60)=PARAM!$B$56)*($B812&gt;(60-PARAM!$B$56))*HLOOKUP(($B812+PARAM!$B$56)/12,Loyalty,2)*$F$1*MAX(BR811,0)</f>
        <v>18.557001321003963</v>
      </c>
      <c r="BQ812" s="75">
        <f>PARAM!$C$26+MAX($G$19-CHOOSE(PARAM!$B$44,MAX(0,BR811*$F$1),0),0)*RATES!$L788/12+$H$19*(PARAM!$D$51/12)*RATES!$N788/100</f>
        <v>981.83333333333337</v>
      </c>
      <c r="BR812" s="16">
        <f t="shared" si="558"/>
        <v>-138513.82865389393</v>
      </c>
      <c r="BS812" s="15">
        <f t="shared" si="533"/>
        <v>22.170849845882874</v>
      </c>
      <c r="BT812" s="75">
        <f>BS812*(1-PARAM!$C$27)*$I$20+(MOD($B812,60)=PARAM!$B$56)*($B812&gt;(60-PARAM!$B$56))*HLOOKUP(($B812+PARAM!$B$56)/12,Loyalty,2)*$F$1*MAX(BV811,0)</f>
        <v>18.557001321003963</v>
      </c>
      <c r="BU812" s="75">
        <f>PARAM!$C$26+MAX($G$20-CHOOSE(PARAM!$B$44,MAX(0,BV811*$F$1),0),0)*RATES!$L788/12+$H$20*(PARAM!$D$51/12)*RATES!$N788/100</f>
        <v>981.83333333333337</v>
      </c>
      <c r="BV812" s="16">
        <f t="shared" si="559"/>
        <v>-138513.82865389393</v>
      </c>
      <c r="BW812" s="15">
        <f t="shared" si="534"/>
        <v>22.170849845882874</v>
      </c>
      <c r="BX812" s="75">
        <f>BW812*(1-PARAM!$C$27)*$I$21+(MOD($B812,60)=PARAM!$B$56)*($B812&gt;(60-PARAM!$B$56))*HLOOKUP(($B812+PARAM!$B$56)/12,Loyalty,2)*$F$1*MAX(BZ811,0)</f>
        <v>18.557001321003963</v>
      </c>
      <c r="BY812" s="75">
        <f>PARAM!$C$26+MAX($G$21-CHOOSE(PARAM!$B$44,MAX(0,BZ811*$F$1),0),0)*RATES!$L788/12+$H$21*(PARAM!$D$51/12)*RATES!$N788/100</f>
        <v>981.83333333333337</v>
      </c>
      <c r="BZ812" s="16">
        <f t="shared" si="560"/>
        <v>-138513.82865389393</v>
      </c>
      <c r="CA812" s="15">
        <f t="shared" si="535"/>
        <v>22.170849845882874</v>
      </c>
      <c r="CB812" s="75">
        <f>CA812*(1-PARAM!$C$27)*$I$22+(MOD($B812,60)=PARAM!$B$56)*($B812&gt;(60-PARAM!$B$56))*HLOOKUP(($B812+PARAM!$B$56)/12,Loyalty,2)*$F$1*MAX(CD811,0)</f>
        <v>18.557001321003963</v>
      </c>
      <c r="CC812" s="75">
        <f>PARAM!$C$26+MAX($G$22-CHOOSE(PARAM!$B$44,MAX(0,CD811*$F$1),0),0)*RATES!$L788/12+$H$22*(PARAM!$D$51/12)*RATES!$N788/100</f>
        <v>981.83333333333337</v>
      </c>
      <c r="CD812" s="16">
        <f t="shared" si="561"/>
        <v>-138513.82865389393</v>
      </c>
      <c r="CE812" s="33">
        <f>IF(0=MOD(B812,12/PARAM!$D$51),1,0)</f>
        <v>1</v>
      </c>
      <c r="CF812" s="15">
        <f t="shared" si="536"/>
        <v>0</v>
      </c>
      <c r="CG812" s="75">
        <f>CF812*(1-PARAM!$C$27)*$R$3+(MOD($B812/12,5)=0)*($B812&gt;60)*HLOOKUP($B812/12,Loyalty,2)*$F$1*MAX(CI811,0)</f>
        <v>0</v>
      </c>
      <c r="CH812" s="75">
        <f>PARAM!$C$26+MAX($P$3-CHOOSE(PARAM!$B$44,MAX(0,CI811*$F$1),0),0)*RATES!$L788/12+$Q$3*(PARAM!$D$51/12)*RATES!$N788/100</f>
        <v>981.83333333333337</v>
      </c>
      <c r="CI812" s="16">
        <f>IF(CI811&gt;0,CI811*PARAM!$C$53,CI811)+CG812-CH812</f>
        <v>-152961.50000000029</v>
      </c>
      <c r="CJ812" s="15">
        <f t="shared" si="562"/>
        <v>0</v>
      </c>
      <c r="CK812" s="75">
        <f>CJ812*(1-PARAM!$C$27)*$R$4+(MOD($B812/12,5)=0)*($B812&gt;60)*HLOOKUP($B812/12,Loyalty,2)*$F$1*MAX(CM811,0)</f>
        <v>0</v>
      </c>
      <c r="CL812" s="75">
        <f>PARAM!$C$26+MAX($P$4-CHOOSE(PARAM!$B$44,MAX(0,CM811*$F$1),0),0)*RATES!$L788/12+$Q$4*(PARAM!$D$51/12)*RATES!$N788/100</f>
        <v>981.83333333333337</v>
      </c>
      <c r="CM812" s="16">
        <f>IF(CM811&gt;0,CM811*PARAM!$C$53,CM811)+CK812-CL812</f>
        <v>-152961.50000000029</v>
      </c>
      <c r="CO812" s="176"/>
    </row>
    <row r="813" spans="1:93" x14ac:dyDescent="0.2">
      <c r="A813" t="b">
        <f t="shared" si="537"/>
        <v>0</v>
      </c>
      <c r="B813" s="33">
        <v>786</v>
      </c>
      <c r="C813" s="15">
        <f t="shared" si="538"/>
        <v>20.081305947392778</v>
      </c>
      <c r="D813" s="75">
        <f>C813*(1-PARAM!$C$27)*$I$3+(MOD($B813,60)=PARAM!$B$56)*($B813&gt;(60-PARAM!$B$56))*HLOOKUP(($B813+PARAM!$B$56)/12,Loyalty,2)*$F$1*MAX(F812,0)</f>
        <v>16.808053077967756</v>
      </c>
      <c r="E813" s="75">
        <f>PARAM!$C$26+MAX($G$3-CHOOSE(PARAM!$B$44,MAX(0,F812*$F$1),0),0)*RATES!$L789/12+$H$3*(PARAM!$D$51/12)*RATES!$N789/100</f>
        <v>1048.7083333333333</v>
      </c>
      <c r="F813" s="16">
        <f t="shared" si="539"/>
        <v>-140955.50380545444</v>
      </c>
      <c r="G813" s="15">
        <f t="shared" si="540"/>
        <v>22.035289406060361</v>
      </c>
      <c r="H813" s="75">
        <f>G813*(1-PARAM!$C$27)*$I$4+(MOD($B813,60)=PARAM!$B$56)*($B813&gt;(60-PARAM!$B$56))*HLOOKUP(($B813+PARAM!$B$56)/12,Loyalty,2)*$F$1*MAX(J812,0)</f>
        <v>18.443537232872522</v>
      </c>
      <c r="I813" s="75">
        <f>PARAM!$C$26+MAX($G$4-CHOOSE(PARAM!$B$44,MAX(0,J812*$F$1),0),0)*RATES!$L789/12+$H$4*(PARAM!$D$51/12)*RATES!$N789/100</f>
        <v>1048.7083333333333</v>
      </c>
      <c r="J813" s="16">
        <f t="shared" si="541"/>
        <v>-139636.18029557745</v>
      </c>
      <c r="K813" s="15">
        <f t="shared" si="542"/>
        <v>22.170849845882874</v>
      </c>
      <c r="L813" s="75">
        <f>K813*(1-PARAM!$C$27)*$I$5+(MOD($B813,60)=PARAM!$B$56)*($B813&gt;(60-PARAM!$B$56))*HLOOKUP(($B813+PARAM!$B$56)/12,Loyalty,2)*$F$1*MAX(N812,0)</f>
        <v>18.557001321003963</v>
      </c>
      <c r="M813" s="75">
        <f>PARAM!$C$26+MAX($G$5-CHOOSE(PARAM!$B$44,MAX(0,N812*$F$1),0),0)*RATES!$L789/12+$H$5*(PARAM!$D$51/12)*RATES!$N789/100</f>
        <v>1048.7083333333333</v>
      </c>
      <c r="N813" s="16">
        <f t="shared" si="543"/>
        <v>-139543.97998590628</v>
      </c>
      <c r="O813" s="15">
        <f t="shared" si="544"/>
        <v>22.170849845882874</v>
      </c>
      <c r="P813" s="75">
        <f>O813*(1-PARAM!$C$27)*$I$6+(MOD($B813,60)=PARAM!$B$56)*($B813&gt;(60-PARAM!$B$56))*HLOOKUP(($B813+PARAM!$B$56)/12,Loyalty,2)*$F$1*MAX(R812,0)</f>
        <v>18.557001321003963</v>
      </c>
      <c r="Q813" s="75">
        <f>PARAM!$C$26+MAX($G$6-CHOOSE(PARAM!$B$44,MAX(0,R812*$F$1),0),0)*RATES!$L789/12+$H$6*(PARAM!$D$51/12)*RATES!$N789/100</f>
        <v>1048.7083333333333</v>
      </c>
      <c r="R813" s="16">
        <f t="shared" si="545"/>
        <v>-139543.97998590628</v>
      </c>
      <c r="S813" s="15">
        <f t="shared" si="520"/>
        <v>22.170849845882874</v>
      </c>
      <c r="T813" s="75">
        <f>S813*(1-PARAM!$C$27)*$I$7+(MOD($B813,60)=PARAM!$B$56)*($B813&gt;(60-PARAM!$B$56))*HLOOKUP(($B813+PARAM!$B$56)/12,Loyalty,2)*$F$1*MAX(V812,0)</f>
        <v>18.557001321003963</v>
      </c>
      <c r="U813" s="75">
        <f>PARAM!$C$26+MAX($G$7-CHOOSE(PARAM!$B$44,MAX(0,V812*$F$1),0),0)*RATES!$L789/12+$H$7*(PARAM!$D$51/12)*RATES!$N789/100</f>
        <v>1048.7083333333333</v>
      </c>
      <c r="V813" s="16">
        <f t="shared" si="546"/>
        <v>-139543.97998590628</v>
      </c>
      <c r="W813" s="15">
        <f t="shared" si="521"/>
        <v>22.170849845882874</v>
      </c>
      <c r="X813" s="75">
        <f>W813*(1-PARAM!$C$27)*$I$8+(MOD($B813,60)=PARAM!$B$56)*($B813&gt;(60-PARAM!$B$56))*HLOOKUP(($B813+PARAM!$B$56)/12,Loyalty,2)*$F$1*MAX(Z812,0)</f>
        <v>18.557001321003963</v>
      </c>
      <c r="Y813" s="75">
        <f>PARAM!$C$26+MAX($G$8-CHOOSE(PARAM!$B$44,MAX(0,Z812*$F$1),0),0)*RATES!$L789/12+$H$8*(PARAM!$D$51/12)*RATES!$N789/100</f>
        <v>1048.7083333333333</v>
      </c>
      <c r="Z813" s="16">
        <f t="shared" si="547"/>
        <v>-139543.97998590628</v>
      </c>
      <c r="AA813" s="15">
        <f t="shared" si="522"/>
        <v>22.170849845882874</v>
      </c>
      <c r="AB813" s="75">
        <f>AA813*(1-PARAM!$C$27)*$I$9+(MOD($B813,60)=PARAM!$B$56)*($B813&gt;(60-PARAM!$B$56))*HLOOKUP(($B813+PARAM!$B$56)/12,Loyalty,2)*$F$1*MAX(AD812,0)</f>
        <v>18.557001321003963</v>
      </c>
      <c r="AC813" s="75">
        <f>PARAM!$C$26+MAX($G$9-CHOOSE(PARAM!$B$44,MAX(0,AD812*$F$1),0),0)*RATES!$L789/12+$H$9*(PARAM!$D$51/12)*RATES!$N789/100</f>
        <v>1048.7083333333333</v>
      </c>
      <c r="AD813" s="16">
        <f t="shared" si="548"/>
        <v>-139543.97998590628</v>
      </c>
      <c r="AE813" s="15">
        <f t="shared" si="523"/>
        <v>22.170849845882874</v>
      </c>
      <c r="AF813" s="75">
        <f>AE813*(1-PARAM!$C$27)*$I$10+(MOD($B813,60)=PARAM!$B$56)*($B813&gt;(60-PARAM!$B$56))*HLOOKUP(($B813+PARAM!$B$56)/12,Loyalty,2)*$F$1*MAX(AH812,0)</f>
        <v>18.557001321003963</v>
      </c>
      <c r="AG813" s="75">
        <f>PARAM!$C$26+MAX($G$10-CHOOSE(PARAM!$B$44,MAX(0,AH812*$F$1),0),0)*RATES!$L789/12+$H$10*(PARAM!$D$51/12)*RATES!$N789/100</f>
        <v>1048.7083333333333</v>
      </c>
      <c r="AH813" s="16">
        <f t="shared" si="549"/>
        <v>-139543.97998590628</v>
      </c>
      <c r="AI813" s="15">
        <f t="shared" si="524"/>
        <v>22.170849845882874</v>
      </c>
      <c r="AJ813" s="75">
        <f>AI813*(1-PARAM!$C$27)*$I$11+(MOD($B813,60)=PARAM!$B$56)*($B813&gt;(60-PARAM!$B$56))*HLOOKUP(($B813+PARAM!$B$56)/12,Loyalty,2)*$F$1*MAX(AL812,0)</f>
        <v>18.557001321003963</v>
      </c>
      <c r="AK813" s="75">
        <f>PARAM!$C$26+MAX($G$11-CHOOSE(PARAM!$B$44,MAX(0,AL812*$F$1),0),0)*RATES!$L789/12+$H$11*(PARAM!$D$51/12)*RATES!$N789/100</f>
        <v>1048.7083333333333</v>
      </c>
      <c r="AL813" s="16">
        <f t="shared" si="550"/>
        <v>-139543.97998590628</v>
      </c>
      <c r="AM813" s="15">
        <f t="shared" si="525"/>
        <v>22.170849845882874</v>
      </c>
      <c r="AN813" s="75">
        <f>AM813*(1-PARAM!$C$27)*$I$12+(MOD($B813,60)=PARAM!$B$56)*($B813&gt;(60-PARAM!$B$56))*HLOOKUP(($B813+PARAM!$B$56)/12,Loyalty,2)*$F$1*MAX(AP812,0)</f>
        <v>18.557001321003963</v>
      </c>
      <c r="AO813" s="75">
        <f>PARAM!$C$26+MAX($G$12-CHOOSE(PARAM!$B$44,MAX(0,AP812*$F$1),0),0)*RATES!$L789/12+$H$12*(PARAM!$D$51/12)*RATES!$N789/100</f>
        <v>1048.7083333333333</v>
      </c>
      <c r="AP813" s="16">
        <f t="shared" si="551"/>
        <v>-139543.97998590628</v>
      </c>
      <c r="AQ813" s="15">
        <f t="shared" si="526"/>
        <v>22.170849845882874</v>
      </c>
      <c r="AR813" s="75">
        <f>AQ813*(1-PARAM!$C$27)*$I$13+(MOD($B813,60)=PARAM!$B$56)*($B813&gt;(60-PARAM!$B$56))*HLOOKUP(($B813+PARAM!$B$56)/12,Loyalty,2)*$F$1*MAX(AT812,0)</f>
        <v>18.557001321003963</v>
      </c>
      <c r="AS813" s="75">
        <f>PARAM!$C$26+MAX($G$13-CHOOSE(PARAM!$B$44,MAX(0,AT812*$F$1),0),0)*RATES!$L789/12+$H$13*(PARAM!$D$51/12)*RATES!$N789/100</f>
        <v>1048.7083333333333</v>
      </c>
      <c r="AT813" s="16">
        <f t="shared" si="552"/>
        <v>-139543.97998590628</v>
      </c>
      <c r="AU813" s="15">
        <f t="shared" si="527"/>
        <v>22.170849845882874</v>
      </c>
      <c r="AV813" s="75">
        <f>AU813*(1-PARAM!$C$27)*$I$14+(MOD($B813,60)=PARAM!$B$56)*($B813&gt;(60-PARAM!$B$56))*HLOOKUP(($B813+PARAM!$B$56)/12,Loyalty,2)*$F$1*MAX(AX812,0)</f>
        <v>18.557001321003963</v>
      </c>
      <c r="AW813" s="75">
        <f>PARAM!$C$26+MAX($G$14-CHOOSE(PARAM!$B$44,MAX(0,AX812*$F$1),0),0)*RATES!$L789/12+$H$14*(PARAM!$D$51/12)*RATES!$N789/100</f>
        <v>1048.7083333333333</v>
      </c>
      <c r="AX813" s="16">
        <f t="shared" si="553"/>
        <v>-139543.97998590628</v>
      </c>
      <c r="AY813" s="15">
        <f t="shared" si="528"/>
        <v>22.170849845882874</v>
      </c>
      <c r="AZ813" s="75">
        <f>AY813*(1-PARAM!$C$27)*$I$15+(MOD($B813,60)=PARAM!$B$56)*($B813&gt;(60-PARAM!$B$56))*HLOOKUP(($B813+PARAM!$B$56)/12,Loyalty,2)*$F$1*MAX(BB812,0)</f>
        <v>18.557001321003963</v>
      </c>
      <c r="BA813" s="75">
        <f>PARAM!$C$26+MAX($G$15-CHOOSE(PARAM!$B$44,MAX(0,BB812*$F$1),0),0)*RATES!$L789/12+$H$15*(PARAM!$D$51/12)*RATES!$N789/100</f>
        <v>1048.7083333333333</v>
      </c>
      <c r="BB813" s="16">
        <f t="shared" si="554"/>
        <v>-139543.97998590628</v>
      </c>
      <c r="BC813" s="15">
        <f t="shared" si="529"/>
        <v>22.170849845882874</v>
      </c>
      <c r="BD813" s="75">
        <f>BC813*(1-PARAM!$C$27)*$I$16+(MOD($B813,60)=PARAM!$B$56)*($B813&gt;(60-PARAM!$B$56))*HLOOKUP(($B813+PARAM!$B$56)/12,Loyalty,2)*$F$1*MAX(BF812,0)</f>
        <v>18.557001321003963</v>
      </c>
      <c r="BE813" s="75">
        <f>PARAM!$C$26+MAX($G$16-CHOOSE(PARAM!$B$44,MAX(0,BF812*$F$1),0),0)*RATES!$L789/12+$H$16*(PARAM!$D$51/12)*RATES!$N789/100</f>
        <v>1048.7083333333333</v>
      </c>
      <c r="BF813" s="16">
        <f t="shared" si="555"/>
        <v>-139543.97998590628</v>
      </c>
      <c r="BG813" s="15">
        <f t="shared" si="530"/>
        <v>22.170849845882874</v>
      </c>
      <c r="BH813" s="75">
        <f>BG813*(1-PARAM!$C$27)*$I$17+(MOD($B813,60)=PARAM!$B$56)*($B813&gt;(60-PARAM!$B$56))*HLOOKUP(($B813+PARAM!$B$56)/12,Loyalty,2)*$F$1*MAX(BJ812,0)</f>
        <v>18.557001321003963</v>
      </c>
      <c r="BI813" s="75">
        <f>PARAM!$C$26+MAX($G$17-CHOOSE(PARAM!$B$44,MAX(0,BJ812*$F$1),0),0)*RATES!$L789/12+$H$17*(PARAM!$D$51/12)*RATES!$N789/100</f>
        <v>1048.7083333333333</v>
      </c>
      <c r="BJ813" s="16">
        <f t="shared" si="556"/>
        <v>-139543.97998590628</v>
      </c>
      <c r="BK813" s="15">
        <f t="shared" si="531"/>
        <v>22.170849845882874</v>
      </c>
      <c r="BL813" s="75">
        <f>BK813*(1-PARAM!$C$27)*$I$18+(MOD($B813,60)=PARAM!$B$56)*($B813&gt;(60-PARAM!$B$56))*HLOOKUP(($B813+PARAM!$B$56)/12,Loyalty,2)*$F$1*MAX(BN812,0)</f>
        <v>18.557001321003963</v>
      </c>
      <c r="BM813" s="75">
        <f>PARAM!$C$26+MAX($G$18-CHOOSE(PARAM!$B$44,MAX(0,BN812*$F$1),0),0)*RATES!$L789/12+$H$18*(PARAM!$D$51/12)*RATES!$N789/100</f>
        <v>1048.7083333333333</v>
      </c>
      <c r="BN813" s="16">
        <f t="shared" si="557"/>
        <v>-139543.97998590628</v>
      </c>
      <c r="BO813" s="15">
        <f t="shared" si="532"/>
        <v>22.170849845882874</v>
      </c>
      <c r="BP813" s="75">
        <f>BO813*(1-PARAM!$C$27)*$I$19+(MOD($B813,60)=PARAM!$B$56)*($B813&gt;(60-PARAM!$B$56))*HLOOKUP(($B813+PARAM!$B$56)/12,Loyalty,2)*$F$1*MAX(BR812,0)</f>
        <v>18.557001321003963</v>
      </c>
      <c r="BQ813" s="75">
        <f>PARAM!$C$26+MAX($G$19-CHOOSE(PARAM!$B$44,MAX(0,BR812*$F$1),0),0)*RATES!$L789/12+$H$19*(PARAM!$D$51/12)*RATES!$N789/100</f>
        <v>1048.7083333333333</v>
      </c>
      <c r="BR813" s="16">
        <f t="shared" si="558"/>
        <v>-139543.97998590628</v>
      </c>
      <c r="BS813" s="15">
        <f t="shared" si="533"/>
        <v>22.170849845882874</v>
      </c>
      <c r="BT813" s="75">
        <f>BS813*(1-PARAM!$C$27)*$I$20+(MOD($B813,60)=PARAM!$B$56)*($B813&gt;(60-PARAM!$B$56))*HLOOKUP(($B813+PARAM!$B$56)/12,Loyalty,2)*$F$1*MAX(BV812,0)</f>
        <v>18.557001321003963</v>
      </c>
      <c r="BU813" s="75">
        <f>PARAM!$C$26+MAX($G$20-CHOOSE(PARAM!$B$44,MAX(0,BV812*$F$1),0),0)*RATES!$L789/12+$H$20*(PARAM!$D$51/12)*RATES!$N789/100</f>
        <v>1048.7083333333333</v>
      </c>
      <c r="BV813" s="16">
        <f t="shared" si="559"/>
        <v>-139543.97998590628</v>
      </c>
      <c r="BW813" s="15">
        <f t="shared" si="534"/>
        <v>22.170849845882874</v>
      </c>
      <c r="BX813" s="75">
        <f>BW813*(1-PARAM!$C$27)*$I$21+(MOD($B813,60)=PARAM!$B$56)*($B813&gt;(60-PARAM!$B$56))*HLOOKUP(($B813+PARAM!$B$56)/12,Loyalty,2)*$F$1*MAX(BZ812,0)</f>
        <v>18.557001321003963</v>
      </c>
      <c r="BY813" s="75">
        <f>PARAM!$C$26+MAX($G$21-CHOOSE(PARAM!$B$44,MAX(0,BZ812*$F$1),0),0)*RATES!$L789/12+$H$21*(PARAM!$D$51/12)*RATES!$N789/100</f>
        <v>1048.7083333333333</v>
      </c>
      <c r="BZ813" s="16">
        <f t="shared" si="560"/>
        <v>-139543.97998590628</v>
      </c>
      <c r="CA813" s="15">
        <f t="shared" si="535"/>
        <v>22.170849845882874</v>
      </c>
      <c r="CB813" s="75">
        <f>CA813*(1-PARAM!$C$27)*$I$22+(MOD($B813,60)=PARAM!$B$56)*($B813&gt;(60-PARAM!$B$56))*HLOOKUP(($B813+PARAM!$B$56)/12,Loyalty,2)*$F$1*MAX(CD812,0)</f>
        <v>18.557001321003963</v>
      </c>
      <c r="CC813" s="75">
        <f>PARAM!$C$26+MAX($G$22-CHOOSE(PARAM!$B$44,MAX(0,CD812*$F$1),0),0)*RATES!$L789/12+$H$22*(PARAM!$D$51/12)*RATES!$N789/100</f>
        <v>1048.7083333333333</v>
      </c>
      <c r="CD813" s="16">
        <f t="shared" si="561"/>
        <v>-139543.97998590628</v>
      </c>
      <c r="CE813" s="33">
        <f>IF(0=MOD(B813,12/PARAM!$D$51),1,0)</f>
        <v>1</v>
      </c>
      <c r="CF813" s="15">
        <f t="shared" si="536"/>
        <v>0</v>
      </c>
      <c r="CG813" s="75">
        <f>CF813*(1-PARAM!$C$27)*$R$3+(MOD($B813/12,5)=0)*($B813&gt;60)*HLOOKUP($B813/12,Loyalty,2)*$F$1*MAX(CI812,0)</f>
        <v>0</v>
      </c>
      <c r="CH813" s="75">
        <f>PARAM!$C$26+MAX($P$3-CHOOSE(PARAM!$B$44,MAX(0,CI812*$F$1),0),0)*RATES!$L789/12+$Q$3*(PARAM!$D$51/12)*RATES!$N789/100</f>
        <v>1048.7083333333333</v>
      </c>
      <c r="CI813" s="16">
        <f>IF(CI812&gt;0,CI812*PARAM!$C$53,CI812)+CG813-CH813</f>
        <v>-154010.20833333363</v>
      </c>
      <c r="CJ813" s="15">
        <f t="shared" si="562"/>
        <v>0</v>
      </c>
      <c r="CK813" s="75">
        <f>CJ813*(1-PARAM!$C$27)*$R$4+(MOD($B813/12,5)=0)*($B813&gt;60)*HLOOKUP($B813/12,Loyalty,2)*$F$1*MAX(CM812,0)</f>
        <v>0</v>
      </c>
      <c r="CL813" s="75">
        <f>PARAM!$C$26+MAX($P$4-CHOOSE(PARAM!$B$44,MAX(0,CM812*$F$1),0),0)*RATES!$L789/12+$Q$4*(PARAM!$D$51/12)*RATES!$N789/100</f>
        <v>1048.7083333333333</v>
      </c>
      <c r="CM813" s="16">
        <f>IF(CM812&gt;0,CM812*PARAM!$C$53,CM812)+CK813-CL813</f>
        <v>-154010.20833333363</v>
      </c>
      <c r="CO813" s="176"/>
    </row>
    <row r="814" spans="1:93" x14ac:dyDescent="0.2">
      <c r="A814" t="b">
        <f t="shared" si="537"/>
        <v>0</v>
      </c>
      <c r="B814" s="33">
        <v>787</v>
      </c>
      <c r="C814" s="15">
        <f t="shared" si="538"/>
        <v>20.081305947392778</v>
      </c>
      <c r="D814" s="75">
        <f>C814*(1-PARAM!$C$27)*$I$3+(MOD($B814,60)=PARAM!$B$56)*($B814&gt;(60-PARAM!$B$56))*HLOOKUP(($B814+PARAM!$B$56)/12,Loyalty,2)*$F$1*MAX(F813,0)</f>
        <v>16.808053077967756</v>
      </c>
      <c r="E814" s="75">
        <f>PARAM!$C$26+MAX($G$3-CHOOSE(PARAM!$B$44,MAX(0,F813*$F$1),0),0)*RATES!$L790/12+$H$3*(PARAM!$D$51/12)*RATES!$N790/100</f>
        <v>1048.7083333333333</v>
      </c>
      <c r="F814" s="16">
        <f t="shared" si="539"/>
        <v>-141987.40408570983</v>
      </c>
      <c r="G814" s="15">
        <f t="shared" si="540"/>
        <v>22.035289406060361</v>
      </c>
      <c r="H814" s="75">
        <f>G814*(1-PARAM!$C$27)*$I$4+(MOD($B814,60)=PARAM!$B$56)*($B814&gt;(60-PARAM!$B$56))*HLOOKUP(($B814+PARAM!$B$56)/12,Loyalty,2)*$F$1*MAX(J813,0)</f>
        <v>18.443537232872522</v>
      </c>
      <c r="I814" s="75">
        <f>PARAM!$C$26+MAX($G$4-CHOOSE(PARAM!$B$44,MAX(0,J813*$F$1),0),0)*RATES!$L790/12+$H$4*(PARAM!$D$51/12)*RATES!$N790/100</f>
        <v>1048.7083333333333</v>
      </c>
      <c r="J814" s="16">
        <f t="shared" si="541"/>
        <v>-140666.44509167792</v>
      </c>
      <c r="K814" s="15">
        <f t="shared" si="542"/>
        <v>22.170849845882874</v>
      </c>
      <c r="L814" s="75">
        <f>K814*(1-PARAM!$C$27)*$I$5+(MOD($B814,60)=PARAM!$B$56)*($B814&gt;(60-PARAM!$B$56))*HLOOKUP(($B814+PARAM!$B$56)/12,Loyalty,2)*$F$1*MAX(N813,0)</f>
        <v>18.557001321003963</v>
      </c>
      <c r="M814" s="75">
        <f>PARAM!$C$26+MAX($G$5-CHOOSE(PARAM!$B$44,MAX(0,N813*$F$1),0),0)*RATES!$L790/12+$H$5*(PARAM!$D$51/12)*RATES!$N790/100</f>
        <v>1048.7083333333333</v>
      </c>
      <c r="N814" s="16">
        <f t="shared" si="543"/>
        <v>-140574.13131791863</v>
      </c>
      <c r="O814" s="15">
        <f t="shared" si="544"/>
        <v>22.170849845882874</v>
      </c>
      <c r="P814" s="75">
        <f>O814*(1-PARAM!$C$27)*$I$6+(MOD($B814,60)=PARAM!$B$56)*($B814&gt;(60-PARAM!$B$56))*HLOOKUP(($B814+PARAM!$B$56)/12,Loyalty,2)*$F$1*MAX(R813,0)</f>
        <v>18.557001321003963</v>
      </c>
      <c r="Q814" s="75">
        <f>PARAM!$C$26+MAX($G$6-CHOOSE(PARAM!$B$44,MAX(0,R813*$F$1),0),0)*RATES!$L790/12+$H$6*(PARAM!$D$51/12)*RATES!$N790/100</f>
        <v>1048.7083333333333</v>
      </c>
      <c r="R814" s="16">
        <f t="shared" si="545"/>
        <v>-140574.13131791863</v>
      </c>
      <c r="S814" s="15">
        <f t="shared" si="520"/>
        <v>22.170849845882874</v>
      </c>
      <c r="T814" s="75">
        <f>S814*(1-PARAM!$C$27)*$I$7+(MOD($B814,60)=PARAM!$B$56)*($B814&gt;(60-PARAM!$B$56))*HLOOKUP(($B814+PARAM!$B$56)/12,Loyalty,2)*$F$1*MAX(V813,0)</f>
        <v>18.557001321003963</v>
      </c>
      <c r="U814" s="75">
        <f>PARAM!$C$26+MAX($G$7-CHOOSE(PARAM!$B$44,MAX(0,V813*$F$1),0),0)*RATES!$L790/12+$H$7*(PARAM!$D$51/12)*RATES!$N790/100</f>
        <v>1048.7083333333333</v>
      </c>
      <c r="V814" s="16">
        <f t="shared" si="546"/>
        <v>-140574.13131791863</v>
      </c>
      <c r="W814" s="15">
        <f t="shared" si="521"/>
        <v>22.170849845882874</v>
      </c>
      <c r="X814" s="75">
        <f>W814*(1-PARAM!$C$27)*$I$8+(MOD($B814,60)=PARAM!$B$56)*($B814&gt;(60-PARAM!$B$56))*HLOOKUP(($B814+PARAM!$B$56)/12,Loyalty,2)*$F$1*MAX(Z813,0)</f>
        <v>18.557001321003963</v>
      </c>
      <c r="Y814" s="75">
        <f>PARAM!$C$26+MAX($G$8-CHOOSE(PARAM!$B$44,MAX(0,Z813*$F$1),0),0)*RATES!$L790/12+$H$8*(PARAM!$D$51/12)*RATES!$N790/100</f>
        <v>1048.7083333333333</v>
      </c>
      <c r="Z814" s="16">
        <f t="shared" si="547"/>
        <v>-140574.13131791863</v>
      </c>
      <c r="AA814" s="15">
        <f t="shared" si="522"/>
        <v>22.170849845882874</v>
      </c>
      <c r="AB814" s="75">
        <f>AA814*(1-PARAM!$C$27)*$I$9+(MOD($B814,60)=PARAM!$B$56)*($B814&gt;(60-PARAM!$B$56))*HLOOKUP(($B814+PARAM!$B$56)/12,Loyalty,2)*$F$1*MAX(AD813,0)</f>
        <v>18.557001321003963</v>
      </c>
      <c r="AC814" s="75">
        <f>PARAM!$C$26+MAX($G$9-CHOOSE(PARAM!$B$44,MAX(0,AD813*$F$1),0),0)*RATES!$L790/12+$H$9*(PARAM!$D$51/12)*RATES!$N790/100</f>
        <v>1048.7083333333333</v>
      </c>
      <c r="AD814" s="16">
        <f t="shared" si="548"/>
        <v>-140574.13131791863</v>
      </c>
      <c r="AE814" s="15">
        <f t="shared" si="523"/>
        <v>22.170849845882874</v>
      </c>
      <c r="AF814" s="75">
        <f>AE814*(1-PARAM!$C$27)*$I$10+(MOD($B814,60)=PARAM!$B$56)*($B814&gt;(60-PARAM!$B$56))*HLOOKUP(($B814+PARAM!$B$56)/12,Loyalty,2)*$F$1*MAX(AH813,0)</f>
        <v>18.557001321003963</v>
      </c>
      <c r="AG814" s="75">
        <f>PARAM!$C$26+MAX($G$10-CHOOSE(PARAM!$B$44,MAX(0,AH813*$F$1),0),0)*RATES!$L790/12+$H$10*(PARAM!$D$51/12)*RATES!$N790/100</f>
        <v>1048.7083333333333</v>
      </c>
      <c r="AH814" s="16">
        <f t="shared" si="549"/>
        <v>-140574.13131791863</v>
      </c>
      <c r="AI814" s="15">
        <f t="shared" si="524"/>
        <v>22.170849845882874</v>
      </c>
      <c r="AJ814" s="75">
        <f>AI814*(1-PARAM!$C$27)*$I$11+(MOD($B814,60)=PARAM!$B$56)*($B814&gt;(60-PARAM!$B$56))*HLOOKUP(($B814+PARAM!$B$56)/12,Loyalty,2)*$F$1*MAX(AL813,0)</f>
        <v>18.557001321003963</v>
      </c>
      <c r="AK814" s="75">
        <f>PARAM!$C$26+MAX($G$11-CHOOSE(PARAM!$B$44,MAX(0,AL813*$F$1),0),0)*RATES!$L790/12+$H$11*(PARAM!$D$51/12)*RATES!$N790/100</f>
        <v>1048.7083333333333</v>
      </c>
      <c r="AL814" s="16">
        <f t="shared" si="550"/>
        <v>-140574.13131791863</v>
      </c>
      <c r="AM814" s="15">
        <f t="shared" si="525"/>
        <v>22.170849845882874</v>
      </c>
      <c r="AN814" s="75">
        <f>AM814*(1-PARAM!$C$27)*$I$12+(MOD($B814,60)=PARAM!$B$56)*($B814&gt;(60-PARAM!$B$56))*HLOOKUP(($B814+PARAM!$B$56)/12,Loyalty,2)*$F$1*MAX(AP813,0)</f>
        <v>18.557001321003963</v>
      </c>
      <c r="AO814" s="75">
        <f>PARAM!$C$26+MAX($G$12-CHOOSE(PARAM!$B$44,MAX(0,AP813*$F$1),0),0)*RATES!$L790/12+$H$12*(PARAM!$D$51/12)*RATES!$N790/100</f>
        <v>1048.7083333333333</v>
      </c>
      <c r="AP814" s="16">
        <f t="shared" si="551"/>
        <v>-140574.13131791863</v>
      </c>
      <c r="AQ814" s="15">
        <f t="shared" si="526"/>
        <v>22.170849845882874</v>
      </c>
      <c r="AR814" s="75">
        <f>AQ814*(1-PARAM!$C$27)*$I$13+(MOD($B814,60)=PARAM!$B$56)*($B814&gt;(60-PARAM!$B$56))*HLOOKUP(($B814+PARAM!$B$56)/12,Loyalty,2)*$F$1*MAX(AT813,0)</f>
        <v>18.557001321003963</v>
      </c>
      <c r="AS814" s="75">
        <f>PARAM!$C$26+MAX($G$13-CHOOSE(PARAM!$B$44,MAX(0,AT813*$F$1),0),0)*RATES!$L790/12+$H$13*(PARAM!$D$51/12)*RATES!$N790/100</f>
        <v>1048.7083333333333</v>
      </c>
      <c r="AT814" s="16">
        <f t="shared" si="552"/>
        <v>-140574.13131791863</v>
      </c>
      <c r="AU814" s="15">
        <f t="shared" si="527"/>
        <v>22.170849845882874</v>
      </c>
      <c r="AV814" s="75">
        <f>AU814*(1-PARAM!$C$27)*$I$14+(MOD($B814,60)=PARAM!$B$56)*($B814&gt;(60-PARAM!$B$56))*HLOOKUP(($B814+PARAM!$B$56)/12,Loyalty,2)*$F$1*MAX(AX813,0)</f>
        <v>18.557001321003963</v>
      </c>
      <c r="AW814" s="75">
        <f>PARAM!$C$26+MAX($G$14-CHOOSE(PARAM!$B$44,MAX(0,AX813*$F$1),0),0)*RATES!$L790/12+$H$14*(PARAM!$D$51/12)*RATES!$N790/100</f>
        <v>1048.7083333333333</v>
      </c>
      <c r="AX814" s="16">
        <f t="shared" si="553"/>
        <v>-140574.13131791863</v>
      </c>
      <c r="AY814" s="15">
        <f t="shared" si="528"/>
        <v>22.170849845882874</v>
      </c>
      <c r="AZ814" s="75">
        <f>AY814*(1-PARAM!$C$27)*$I$15+(MOD($B814,60)=PARAM!$B$56)*($B814&gt;(60-PARAM!$B$56))*HLOOKUP(($B814+PARAM!$B$56)/12,Loyalty,2)*$F$1*MAX(BB813,0)</f>
        <v>18.557001321003963</v>
      </c>
      <c r="BA814" s="75">
        <f>PARAM!$C$26+MAX($G$15-CHOOSE(PARAM!$B$44,MAX(0,BB813*$F$1),0),0)*RATES!$L790/12+$H$15*(PARAM!$D$51/12)*RATES!$N790/100</f>
        <v>1048.7083333333333</v>
      </c>
      <c r="BB814" s="16">
        <f t="shared" si="554"/>
        <v>-140574.13131791863</v>
      </c>
      <c r="BC814" s="15">
        <f t="shared" si="529"/>
        <v>22.170849845882874</v>
      </c>
      <c r="BD814" s="75">
        <f>BC814*(1-PARAM!$C$27)*$I$16+(MOD($B814,60)=PARAM!$B$56)*($B814&gt;(60-PARAM!$B$56))*HLOOKUP(($B814+PARAM!$B$56)/12,Loyalty,2)*$F$1*MAX(BF813,0)</f>
        <v>18.557001321003963</v>
      </c>
      <c r="BE814" s="75">
        <f>PARAM!$C$26+MAX($G$16-CHOOSE(PARAM!$B$44,MAX(0,BF813*$F$1),0),0)*RATES!$L790/12+$H$16*(PARAM!$D$51/12)*RATES!$N790/100</f>
        <v>1048.7083333333333</v>
      </c>
      <c r="BF814" s="16">
        <f t="shared" si="555"/>
        <v>-140574.13131791863</v>
      </c>
      <c r="BG814" s="15">
        <f t="shared" si="530"/>
        <v>22.170849845882874</v>
      </c>
      <c r="BH814" s="75">
        <f>BG814*(1-PARAM!$C$27)*$I$17+(MOD($B814,60)=PARAM!$B$56)*($B814&gt;(60-PARAM!$B$56))*HLOOKUP(($B814+PARAM!$B$56)/12,Loyalty,2)*$F$1*MAX(BJ813,0)</f>
        <v>18.557001321003963</v>
      </c>
      <c r="BI814" s="75">
        <f>PARAM!$C$26+MAX($G$17-CHOOSE(PARAM!$B$44,MAX(0,BJ813*$F$1),0),0)*RATES!$L790/12+$H$17*(PARAM!$D$51/12)*RATES!$N790/100</f>
        <v>1048.7083333333333</v>
      </c>
      <c r="BJ814" s="16">
        <f t="shared" si="556"/>
        <v>-140574.13131791863</v>
      </c>
      <c r="BK814" s="15">
        <f t="shared" si="531"/>
        <v>22.170849845882874</v>
      </c>
      <c r="BL814" s="75">
        <f>BK814*(1-PARAM!$C$27)*$I$18+(MOD($B814,60)=PARAM!$B$56)*($B814&gt;(60-PARAM!$B$56))*HLOOKUP(($B814+PARAM!$B$56)/12,Loyalty,2)*$F$1*MAX(BN813,0)</f>
        <v>18.557001321003963</v>
      </c>
      <c r="BM814" s="75">
        <f>PARAM!$C$26+MAX($G$18-CHOOSE(PARAM!$B$44,MAX(0,BN813*$F$1),0),0)*RATES!$L790/12+$H$18*(PARAM!$D$51/12)*RATES!$N790/100</f>
        <v>1048.7083333333333</v>
      </c>
      <c r="BN814" s="16">
        <f t="shared" si="557"/>
        <v>-140574.13131791863</v>
      </c>
      <c r="BO814" s="15">
        <f t="shared" si="532"/>
        <v>22.170849845882874</v>
      </c>
      <c r="BP814" s="75">
        <f>BO814*(1-PARAM!$C$27)*$I$19+(MOD($B814,60)=PARAM!$B$56)*($B814&gt;(60-PARAM!$B$56))*HLOOKUP(($B814+PARAM!$B$56)/12,Loyalty,2)*$F$1*MAX(BR813,0)</f>
        <v>18.557001321003963</v>
      </c>
      <c r="BQ814" s="75">
        <f>PARAM!$C$26+MAX($G$19-CHOOSE(PARAM!$B$44,MAX(0,BR813*$F$1),0),0)*RATES!$L790/12+$H$19*(PARAM!$D$51/12)*RATES!$N790/100</f>
        <v>1048.7083333333333</v>
      </c>
      <c r="BR814" s="16">
        <f t="shared" si="558"/>
        <v>-140574.13131791863</v>
      </c>
      <c r="BS814" s="15">
        <f t="shared" si="533"/>
        <v>22.170849845882874</v>
      </c>
      <c r="BT814" s="75">
        <f>BS814*(1-PARAM!$C$27)*$I$20+(MOD($B814,60)=PARAM!$B$56)*($B814&gt;(60-PARAM!$B$56))*HLOOKUP(($B814+PARAM!$B$56)/12,Loyalty,2)*$F$1*MAX(BV813,0)</f>
        <v>18.557001321003963</v>
      </c>
      <c r="BU814" s="75">
        <f>PARAM!$C$26+MAX($G$20-CHOOSE(PARAM!$B$44,MAX(0,BV813*$F$1),0),0)*RATES!$L790/12+$H$20*(PARAM!$D$51/12)*RATES!$N790/100</f>
        <v>1048.7083333333333</v>
      </c>
      <c r="BV814" s="16">
        <f t="shared" si="559"/>
        <v>-140574.13131791863</v>
      </c>
      <c r="BW814" s="15">
        <f t="shared" si="534"/>
        <v>22.170849845882874</v>
      </c>
      <c r="BX814" s="75">
        <f>BW814*(1-PARAM!$C$27)*$I$21+(MOD($B814,60)=PARAM!$B$56)*($B814&gt;(60-PARAM!$B$56))*HLOOKUP(($B814+PARAM!$B$56)/12,Loyalty,2)*$F$1*MAX(BZ813,0)</f>
        <v>18.557001321003963</v>
      </c>
      <c r="BY814" s="75">
        <f>PARAM!$C$26+MAX($G$21-CHOOSE(PARAM!$B$44,MAX(0,BZ813*$F$1),0),0)*RATES!$L790/12+$H$21*(PARAM!$D$51/12)*RATES!$N790/100</f>
        <v>1048.7083333333333</v>
      </c>
      <c r="BZ814" s="16">
        <f t="shared" si="560"/>
        <v>-140574.13131791863</v>
      </c>
      <c r="CA814" s="15">
        <f t="shared" si="535"/>
        <v>22.170849845882874</v>
      </c>
      <c r="CB814" s="75">
        <f>CA814*(1-PARAM!$C$27)*$I$22+(MOD($B814,60)=PARAM!$B$56)*($B814&gt;(60-PARAM!$B$56))*HLOOKUP(($B814+PARAM!$B$56)/12,Loyalty,2)*$F$1*MAX(CD813,0)</f>
        <v>18.557001321003963</v>
      </c>
      <c r="CC814" s="75">
        <f>PARAM!$C$26+MAX($G$22-CHOOSE(PARAM!$B$44,MAX(0,CD813*$F$1),0),0)*RATES!$L790/12+$H$22*(PARAM!$D$51/12)*RATES!$N790/100</f>
        <v>1048.7083333333333</v>
      </c>
      <c r="CD814" s="16">
        <f t="shared" si="561"/>
        <v>-140574.13131791863</v>
      </c>
      <c r="CE814" s="33">
        <f>IF(0=MOD(B814,12/PARAM!$D$51),1,0)</f>
        <v>1</v>
      </c>
      <c r="CF814" s="15">
        <f t="shared" si="536"/>
        <v>0</v>
      </c>
      <c r="CG814" s="75">
        <f>CF814*(1-PARAM!$C$27)*$R$3+(MOD($B814/12,5)=0)*($B814&gt;60)*HLOOKUP($B814/12,Loyalty,2)*$F$1*MAX(CI813,0)</f>
        <v>0</v>
      </c>
      <c r="CH814" s="75">
        <f>PARAM!$C$26+MAX($P$3-CHOOSE(PARAM!$B$44,MAX(0,CI813*$F$1),0),0)*RATES!$L790/12+$Q$3*(PARAM!$D$51/12)*RATES!$N790/100</f>
        <v>1048.7083333333333</v>
      </c>
      <c r="CI814" s="16">
        <f>IF(CI813&gt;0,CI813*PARAM!$C$53,CI813)+CG814-CH814</f>
        <v>-155058.91666666698</v>
      </c>
      <c r="CJ814" s="15">
        <f t="shared" si="562"/>
        <v>0</v>
      </c>
      <c r="CK814" s="75">
        <f>CJ814*(1-PARAM!$C$27)*$R$4+(MOD($B814/12,5)=0)*($B814&gt;60)*HLOOKUP($B814/12,Loyalty,2)*$F$1*MAX(CM813,0)</f>
        <v>0</v>
      </c>
      <c r="CL814" s="75">
        <f>PARAM!$C$26+MAX($P$4-CHOOSE(PARAM!$B$44,MAX(0,CM813*$F$1),0),0)*RATES!$L790/12+$Q$4*(PARAM!$D$51/12)*RATES!$N790/100</f>
        <v>1048.7083333333333</v>
      </c>
      <c r="CM814" s="16">
        <f>IF(CM813&gt;0,CM813*PARAM!$C$53,CM813)+CK814-CL814</f>
        <v>-155058.91666666698</v>
      </c>
      <c r="CO814" s="176"/>
    </row>
    <row r="815" spans="1:93" x14ac:dyDescent="0.2">
      <c r="A815" t="b">
        <f t="shared" si="537"/>
        <v>0</v>
      </c>
      <c r="B815" s="33">
        <v>788</v>
      </c>
      <c r="C815" s="15">
        <f t="shared" si="538"/>
        <v>20.081305947392778</v>
      </c>
      <c r="D815" s="75">
        <f>C815*(1-PARAM!$C$27)*$I$3+(MOD($B815,60)=PARAM!$B$56)*($B815&gt;(60-PARAM!$B$56))*HLOOKUP(($B815+PARAM!$B$56)/12,Loyalty,2)*$F$1*MAX(F814,0)</f>
        <v>16.808053077967756</v>
      </c>
      <c r="E815" s="75">
        <f>PARAM!$C$26+MAX($G$3-CHOOSE(PARAM!$B$44,MAX(0,F814*$F$1),0),0)*RATES!$L791/12+$H$3*(PARAM!$D$51/12)*RATES!$N791/100</f>
        <v>1048.7083333333333</v>
      </c>
      <c r="F815" s="16">
        <f t="shared" si="539"/>
        <v>-143019.30436596522</v>
      </c>
      <c r="G815" s="15">
        <f t="shared" si="540"/>
        <v>22.035289406060361</v>
      </c>
      <c r="H815" s="75">
        <f>G815*(1-PARAM!$C$27)*$I$4+(MOD($B815,60)=PARAM!$B$56)*($B815&gt;(60-PARAM!$B$56))*HLOOKUP(($B815+PARAM!$B$56)/12,Loyalty,2)*$F$1*MAX(J814,0)</f>
        <v>18.443537232872522</v>
      </c>
      <c r="I815" s="75">
        <f>PARAM!$C$26+MAX($G$4-CHOOSE(PARAM!$B$44,MAX(0,J814*$F$1),0),0)*RATES!$L791/12+$H$4*(PARAM!$D$51/12)*RATES!$N791/100</f>
        <v>1048.7083333333333</v>
      </c>
      <c r="J815" s="16">
        <f t="shared" si="541"/>
        <v>-141696.70988777839</v>
      </c>
      <c r="K815" s="15">
        <f t="shared" si="542"/>
        <v>22.170849845882874</v>
      </c>
      <c r="L815" s="75">
        <f>K815*(1-PARAM!$C$27)*$I$5+(MOD($B815,60)=PARAM!$B$56)*($B815&gt;(60-PARAM!$B$56))*HLOOKUP(($B815+PARAM!$B$56)/12,Loyalty,2)*$F$1*MAX(N814,0)</f>
        <v>18.557001321003963</v>
      </c>
      <c r="M815" s="75">
        <f>PARAM!$C$26+MAX($G$5-CHOOSE(PARAM!$B$44,MAX(0,N814*$F$1),0),0)*RATES!$L791/12+$H$5*(PARAM!$D$51/12)*RATES!$N791/100</f>
        <v>1048.7083333333333</v>
      </c>
      <c r="N815" s="16">
        <f t="shared" si="543"/>
        <v>-141604.28264993097</v>
      </c>
      <c r="O815" s="15">
        <f t="shared" si="544"/>
        <v>22.170849845882874</v>
      </c>
      <c r="P815" s="75">
        <f>O815*(1-PARAM!$C$27)*$I$6+(MOD($B815,60)=PARAM!$B$56)*($B815&gt;(60-PARAM!$B$56))*HLOOKUP(($B815+PARAM!$B$56)/12,Loyalty,2)*$F$1*MAX(R814,0)</f>
        <v>18.557001321003963</v>
      </c>
      <c r="Q815" s="75">
        <f>PARAM!$C$26+MAX($G$6-CHOOSE(PARAM!$B$44,MAX(0,R814*$F$1),0),0)*RATES!$L791/12+$H$6*(PARAM!$D$51/12)*RATES!$N791/100</f>
        <v>1048.7083333333333</v>
      </c>
      <c r="R815" s="16">
        <f t="shared" si="545"/>
        <v>-141604.28264993097</v>
      </c>
      <c r="S815" s="15">
        <f t="shared" si="520"/>
        <v>22.170849845882874</v>
      </c>
      <c r="T815" s="75">
        <f>S815*(1-PARAM!$C$27)*$I$7+(MOD($B815,60)=PARAM!$B$56)*($B815&gt;(60-PARAM!$B$56))*HLOOKUP(($B815+PARAM!$B$56)/12,Loyalty,2)*$F$1*MAX(V814,0)</f>
        <v>18.557001321003963</v>
      </c>
      <c r="U815" s="75">
        <f>PARAM!$C$26+MAX($G$7-CHOOSE(PARAM!$B$44,MAX(0,V814*$F$1),0),0)*RATES!$L791/12+$H$7*(PARAM!$D$51/12)*RATES!$N791/100</f>
        <v>1048.7083333333333</v>
      </c>
      <c r="V815" s="16">
        <f t="shared" si="546"/>
        <v>-141604.28264993097</v>
      </c>
      <c r="W815" s="15">
        <f t="shared" si="521"/>
        <v>22.170849845882874</v>
      </c>
      <c r="X815" s="75">
        <f>W815*(1-PARAM!$C$27)*$I$8+(MOD($B815,60)=PARAM!$B$56)*($B815&gt;(60-PARAM!$B$56))*HLOOKUP(($B815+PARAM!$B$56)/12,Loyalty,2)*$F$1*MAX(Z814,0)</f>
        <v>18.557001321003963</v>
      </c>
      <c r="Y815" s="75">
        <f>PARAM!$C$26+MAX($G$8-CHOOSE(PARAM!$B$44,MAX(0,Z814*$F$1),0),0)*RATES!$L791/12+$H$8*(PARAM!$D$51/12)*RATES!$N791/100</f>
        <v>1048.7083333333333</v>
      </c>
      <c r="Z815" s="16">
        <f t="shared" si="547"/>
        <v>-141604.28264993097</v>
      </c>
      <c r="AA815" s="15">
        <f t="shared" si="522"/>
        <v>22.170849845882874</v>
      </c>
      <c r="AB815" s="75">
        <f>AA815*(1-PARAM!$C$27)*$I$9+(MOD($B815,60)=PARAM!$B$56)*($B815&gt;(60-PARAM!$B$56))*HLOOKUP(($B815+PARAM!$B$56)/12,Loyalty,2)*$F$1*MAX(AD814,0)</f>
        <v>18.557001321003963</v>
      </c>
      <c r="AC815" s="75">
        <f>PARAM!$C$26+MAX($G$9-CHOOSE(PARAM!$B$44,MAX(0,AD814*$F$1),0),0)*RATES!$L791/12+$H$9*(PARAM!$D$51/12)*RATES!$N791/100</f>
        <v>1048.7083333333333</v>
      </c>
      <c r="AD815" s="16">
        <f t="shared" si="548"/>
        <v>-141604.28264993097</v>
      </c>
      <c r="AE815" s="15">
        <f t="shared" si="523"/>
        <v>22.170849845882874</v>
      </c>
      <c r="AF815" s="75">
        <f>AE815*(1-PARAM!$C$27)*$I$10+(MOD($B815,60)=PARAM!$B$56)*($B815&gt;(60-PARAM!$B$56))*HLOOKUP(($B815+PARAM!$B$56)/12,Loyalty,2)*$F$1*MAX(AH814,0)</f>
        <v>18.557001321003963</v>
      </c>
      <c r="AG815" s="75">
        <f>PARAM!$C$26+MAX($G$10-CHOOSE(PARAM!$B$44,MAX(0,AH814*$F$1),0),0)*RATES!$L791/12+$H$10*(PARAM!$D$51/12)*RATES!$N791/100</f>
        <v>1048.7083333333333</v>
      </c>
      <c r="AH815" s="16">
        <f t="shared" si="549"/>
        <v>-141604.28264993097</v>
      </c>
      <c r="AI815" s="15">
        <f t="shared" si="524"/>
        <v>22.170849845882874</v>
      </c>
      <c r="AJ815" s="75">
        <f>AI815*(1-PARAM!$C$27)*$I$11+(MOD($B815,60)=PARAM!$B$56)*($B815&gt;(60-PARAM!$B$56))*HLOOKUP(($B815+PARAM!$B$56)/12,Loyalty,2)*$F$1*MAX(AL814,0)</f>
        <v>18.557001321003963</v>
      </c>
      <c r="AK815" s="75">
        <f>PARAM!$C$26+MAX($G$11-CHOOSE(PARAM!$B$44,MAX(0,AL814*$F$1),0),0)*RATES!$L791/12+$H$11*(PARAM!$D$51/12)*RATES!$N791/100</f>
        <v>1048.7083333333333</v>
      </c>
      <c r="AL815" s="16">
        <f t="shared" si="550"/>
        <v>-141604.28264993097</v>
      </c>
      <c r="AM815" s="15">
        <f t="shared" si="525"/>
        <v>22.170849845882874</v>
      </c>
      <c r="AN815" s="75">
        <f>AM815*(1-PARAM!$C$27)*$I$12+(MOD($B815,60)=PARAM!$B$56)*($B815&gt;(60-PARAM!$B$56))*HLOOKUP(($B815+PARAM!$B$56)/12,Loyalty,2)*$F$1*MAX(AP814,0)</f>
        <v>18.557001321003963</v>
      </c>
      <c r="AO815" s="75">
        <f>PARAM!$C$26+MAX($G$12-CHOOSE(PARAM!$B$44,MAX(0,AP814*$F$1),0),0)*RATES!$L791/12+$H$12*(PARAM!$D$51/12)*RATES!$N791/100</f>
        <v>1048.7083333333333</v>
      </c>
      <c r="AP815" s="16">
        <f t="shared" si="551"/>
        <v>-141604.28264993097</v>
      </c>
      <c r="AQ815" s="15">
        <f t="shared" si="526"/>
        <v>22.170849845882874</v>
      </c>
      <c r="AR815" s="75">
        <f>AQ815*(1-PARAM!$C$27)*$I$13+(MOD($B815,60)=PARAM!$B$56)*($B815&gt;(60-PARAM!$B$56))*HLOOKUP(($B815+PARAM!$B$56)/12,Loyalty,2)*$F$1*MAX(AT814,0)</f>
        <v>18.557001321003963</v>
      </c>
      <c r="AS815" s="75">
        <f>PARAM!$C$26+MAX($G$13-CHOOSE(PARAM!$B$44,MAX(0,AT814*$F$1),0),0)*RATES!$L791/12+$H$13*(PARAM!$D$51/12)*RATES!$N791/100</f>
        <v>1048.7083333333333</v>
      </c>
      <c r="AT815" s="16">
        <f t="shared" si="552"/>
        <v>-141604.28264993097</v>
      </c>
      <c r="AU815" s="15">
        <f t="shared" si="527"/>
        <v>22.170849845882874</v>
      </c>
      <c r="AV815" s="75">
        <f>AU815*(1-PARAM!$C$27)*$I$14+(MOD($B815,60)=PARAM!$B$56)*($B815&gt;(60-PARAM!$B$56))*HLOOKUP(($B815+PARAM!$B$56)/12,Loyalty,2)*$F$1*MAX(AX814,0)</f>
        <v>18.557001321003963</v>
      </c>
      <c r="AW815" s="75">
        <f>PARAM!$C$26+MAX($G$14-CHOOSE(PARAM!$B$44,MAX(0,AX814*$F$1),0),0)*RATES!$L791/12+$H$14*(PARAM!$D$51/12)*RATES!$N791/100</f>
        <v>1048.7083333333333</v>
      </c>
      <c r="AX815" s="16">
        <f t="shared" si="553"/>
        <v>-141604.28264993097</v>
      </c>
      <c r="AY815" s="15">
        <f t="shared" si="528"/>
        <v>22.170849845882874</v>
      </c>
      <c r="AZ815" s="75">
        <f>AY815*(1-PARAM!$C$27)*$I$15+(MOD($B815,60)=PARAM!$B$56)*($B815&gt;(60-PARAM!$B$56))*HLOOKUP(($B815+PARAM!$B$56)/12,Loyalty,2)*$F$1*MAX(BB814,0)</f>
        <v>18.557001321003963</v>
      </c>
      <c r="BA815" s="75">
        <f>PARAM!$C$26+MAX($G$15-CHOOSE(PARAM!$B$44,MAX(0,BB814*$F$1),0),0)*RATES!$L791/12+$H$15*(PARAM!$D$51/12)*RATES!$N791/100</f>
        <v>1048.7083333333333</v>
      </c>
      <c r="BB815" s="16">
        <f t="shared" si="554"/>
        <v>-141604.28264993097</v>
      </c>
      <c r="BC815" s="15">
        <f t="shared" si="529"/>
        <v>22.170849845882874</v>
      </c>
      <c r="BD815" s="75">
        <f>BC815*(1-PARAM!$C$27)*$I$16+(MOD($B815,60)=PARAM!$B$56)*($B815&gt;(60-PARAM!$B$56))*HLOOKUP(($B815+PARAM!$B$56)/12,Loyalty,2)*$F$1*MAX(BF814,0)</f>
        <v>18.557001321003963</v>
      </c>
      <c r="BE815" s="75">
        <f>PARAM!$C$26+MAX($G$16-CHOOSE(PARAM!$B$44,MAX(0,BF814*$F$1),0),0)*RATES!$L791/12+$H$16*(PARAM!$D$51/12)*RATES!$N791/100</f>
        <v>1048.7083333333333</v>
      </c>
      <c r="BF815" s="16">
        <f t="shared" si="555"/>
        <v>-141604.28264993097</v>
      </c>
      <c r="BG815" s="15">
        <f t="shared" si="530"/>
        <v>22.170849845882874</v>
      </c>
      <c r="BH815" s="75">
        <f>BG815*(1-PARAM!$C$27)*$I$17+(MOD($B815,60)=PARAM!$B$56)*($B815&gt;(60-PARAM!$B$56))*HLOOKUP(($B815+PARAM!$B$56)/12,Loyalty,2)*$F$1*MAX(BJ814,0)</f>
        <v>18.557001321003963</v>
      </c>
      <c r="BI815" s="75">
        <f>PARAM!$C$26+MAX($G$17-CHOOSE(PARAM!$B$44,MAX(0,BJ814*$F$1),0),0)*RATES!$L791/12+$H$17*(PARAM!$D$51/12)*RATES!$N791/100</f>
        <v>1048.7083333333333</v>
      </c>
      <c r="BJ815" s="16">
        <f t="shared" si="556"/>
        <v>-141604.28264993097</v>
      </c>
      <c r="BK815" s="15">
        <f t="shared" si="531"/>
        <v>22.170849845882874</v>
      </c>
      <c r="BL815" s="75">
        <f>BK815*(1-PARAM!$C$27)*$I$18+(MOD($B815,60)=PARAM!$B$56)*($B815&gt;(60-PARAM!$B$56))*HLOOKUP(($B815+PARAM!$B$56)/12,Loyalty,2)*$F$1*MAX(BN814,0)</f>
        <v>18.557001321003963</v>
      </c>
      <c r="BM815" s="75">
        <f>PARAM!$C$26+MAX($G$18-CHOOSE(PARAM!$B$44,MAX(0,BN814*$F$1),0),0)*RATES!$L791/12+$H$18*(PARAM!$D$51/12)*RATES!$N791/100</f>
        <v>1048.7083333333333</v>
      </c>
      <c r="BN815" s="16">
        <f t="shared" si="557"/>
        <v>-141604.28264993097</v>
      </c>
      <c r="BO815" s="15">
        <f t="shared" si="532"/>
        <v>22.170849845882874</v>
      </c>
      <c r="BP815" s="75">
        <f>BO815*(1-PARAM!$C$27)*$I$19+(MOD($B815,60)=PARAM!$B$56)*($B815&gt;(60-PARAM!$B$56))*HLOOKUP(($B815+PARAM!$B$56)/12,Loyalty,2)*$F$1*MAX(BR814,0)</f>
        <v>18.557001321003963</v>
      </c>
      <c r="BQ815" s="75">
        <f>PARAM!$C$26+MAX($G$19-CHOOSE(PARAM!$B$44,MAX(0,BR814*$F$1),0),0)*RATES!$L791/12+$H$19*(PARAM!$D$51/12)*RATES!$N791/100</f>
        <v>1048.7083333333333</v>
      </c>
      <c r="BR815" s="16">
        <f t="shared" si="558"/>
        <v>-141604.28264993097</v>
      </c>
      <c r="BS815" s="15">
        <f t="shared" si="533"/>
        <v>22.170849845882874</v>
      </c>
      <c r="BT815" s="75">
        <f>BS815*(1-PARAM!$C$27)*$I$20+(MOD($B815,60)=PARAM!$B$56)*($B815&gt;(60-PARAM!$B$56))*HLOOKUP(($B815+PARAM!$B$56)/12,Loyalty,2)*$F$1*MAX(BV814,0)</f>
        <v>18.557001321003963</v>
      </c>
      <c r="BU815" s="75">
        <f>PARAM!$C$26+MAX($G$20-CHOOSE(PARAM!$B$44,MAX(0,BV814*$F$1),0),0)*RATES!$L791/12+$H$20*(PARAM!$D$51/12)*RATES!$N791/100</f>
        <v>1048.7083333333333</v>
      </c>
      <c r="BV815" s="16">
        <f t="shared" si="559"/>
        <v>-141604.28264993097</v>
      </c>
      <c r="BW815" s="15">
        <f t="shared" si="534"/>
        <v>22.170849845882874</v>
      </c>
      <c r="BX815" s="75">
        <f>BW815*(1-PARAM!$C$27)*$I$21+(MOD($B815,60)=PARAM!$B$56)*($B815&gt;(60-PARAM!$B$56))*HLOOKUP(($B815+PARAM!$B$56)/12,Loyalty,2)*$F$1*MAX(BZ814,0)</f>
        <v>18.557001321003963</v>
      </c>
      <c r="BY815" s="75">
        <f>PARAM!$C$26+MAX($G$21-CHOOSE(PARAM!$B$44,MAX(0,BZ814*$F$1),0),0)*RATES!$L791/12+$H$21*(PARAM!$D$51/12)*RATES!$N791/100</f>
        <v>1048.7083333333333</v>
      </c>
      <c r="BZ815" s="16">
        <f t="shared" si="560"/>
        <v>-141604.28264993097</v>
      </c>
      <c r="CA815" s="15">
        <f t="shared" si="535"/>
        <v>22.170849845882874</v>
      </c>
      <c r="CB815" s="75">
        <f>CA815*(1-PARAM!$C$27)*$I$22+(MOD($B815,60)=PARAM!$B$56)*($B815&gt;(60-PARAM!$B$56))*HLOOKUP(($B815+PARAM!$B$56)/12,Loyalty,2)*$F$1*MAX(CD814,0)</f>
        <v>18.557001321003963</v>
      </c>
      <c r="CC815" s="75">
        <f>PARAM!$C$26+MAX($G$22-CHOOSE(PARAM!$B$44,MAX(0,CD814*$F$1),0),0)*RATES!$L791/12+$H$22*(PARAM!$D$51/12)*RATES!$N791/100</f>
        <v>1048.7083333333333</v>
      </c>
      <c r="CD815" s="16">
        <f t="shared" si="561"/>
        <v>-141604.28264993097</v>
      </c>
      <c r="CE815" s="33">
        <f>IF(0=MOD(B815,12/PARAM!$D$51),1,0)</f>
        <v>1</v>
      </c>
      <c r="CF815" s="15">
        <f t="shared" si="536"/>
        <v>0</v>
      </c>
      <c r="CG815" s="75">
        <f>CF815*(1-PARAM!$C$27)*$R$3+(MOD($B815/12,5)=0)*($B815&gt;60)*HLOOKUP($B815/12,Loyalty,2)*$F$1*MAX(CI814,0)</f>
        <v>0</v>
      </c>
      <c r="CH815" s="75">
        <f>PARAM!$C$26+MAX($P$3-CHOOSE(PARAM!$B$44,MAX(0,CI814*$F$1),0),0)*RATES!$L791/12+$Q$3*(PARAM!$D$51/12)*RATES!$N791/100</f>
        <v>1048.7083333333333</v>
      </c>
      <c r="CI815" s="16">
        <f>IF(CI814&gt;0,CI814*PARAM!$C$53,CI814)+CG815-CH815</f>
        <v>-156107.62500000032</v>
      </c>
      <c r="CJ815" s="15">
        <f t="shared" si="562"/>
        <v>0</v>
      </c>
      <c r="CK815" s="75">
        <f>CJ815*(1-PARAM!$C$27)*$R$4+(MOD($B815/12,5)=0)*($B815&gt;60)*HLOOKUP($B815/12,Loyalty,2)*$F$1*MAX(CM814,0)</f>
        <v>0</v>
      </c>
      <c r="CL815" s="75">
        <f>PARAM!$C$26+MAX($P$4-CHOOSE(PARAM!$B$44,MAX(0,CM814*$F$1),0),0)*RATES!$L791/12+$Q$4*(PARAM!$D$51/12)*RATES!$N791/100</f>
        <v>1048.7083333333333</v>
      </c>
      <c r="CM815" s="16">
        <f>IF(CM814&gt;0,CM814*PARAM!$C$53,CM814)+CK815-CL815</f>
        <v>-156107.62500000032</v>
      </c>
      <c r="CO815" s="176"/>
    </row>
    <row r="816" spans="1:93" x14ac:dyDescent="0.2">
      <c r="A816" t="b">
        <f t="shared" si="537"/>
        <v>0</v>
      </c>
      <c r="B816" s="33">
        <v>789</v>
      </c>
      <c r="C816" s="15">
        <f t="shared" si="538"/>
        <v>20.081305947392778</v>
      </c>
      <c r="D816" s="75">
        <f>C816*(1-PARAM!$C$27)*$I$3+(MOD($B816,60)=PARAM!$B$56)*($B816&gt;(60-PARAM!$B$56))*HLOOKUP(($B816+PARAM!$B$56)/12,Loyalty,2)*$F$1*MAX(F815,0)</f>
        <v>16.808053077967756</v>
      </c>
      <c r="E816" s="75">
        <f>PARAM!$C$26+MAX($G$3-CHOOSE(PARAM!$B$44,MAX(0,F815*$F$1),0),0)*RATES!$L792/12+$H$3*(PARAM!$D$51/12)*RATES!$N792/100</f>
        <v>1048.7083333333333</v>
      </c>
      <c r="F816" s="16">
        <f t="shared" si="539"/>
        <v>-144051.20464622061</v>
      </c>
      <c r="G816" s="15">
        <f t="shared" si="540"/>
        <v>22.035289406060361</v>
      </c>
      <c r="H816" s="75">
        <f>G816*(1-PARAM!$C$27)*$I$4+(MOD($B816,60)=PARAM!$B$56)*($B816&gt;(60-PARAM!$B$56))*HLOOKUP(($B816+PARAM!$B$56)/12,Loyalty,2)*$F$1*MAX(J815,0)</f>
        <v>18.443537232872522</v>
      </c>
      <c r="I816" s="75">
        <f>PARAM!$C$26+MAX($G$4-CHOOSE(PARAM!$B$44,MAX(0,J815*$F$1),0),0)*RATES!$L792/12+$H$4*(PARAM!$D$51/12)*RATES!$N792/100</f>
        <v>1048.7083333333333</v>
      </c>
      <c r="J816" s="16">
        <f t="shared" si="541"/>
        <v>-142726.97468387886</v>
      </c>
      <c r="K816" s="15">
        <f t="shared" si="542"/>
        <v>22.170849845882874</v>
      </c>
      <c r="L816" s="75">
        <f>K816*(1-PARAM!$C$27)*$I$5+(MOD($B816,60)=PARAM!$B$56)*($B816&gt;(60-PARAM!$B$56))*HLOOKUP(($B816+PARAM!$B$56)/12,Loyalty,2)*$F$1*MAX(N815,0)</f>
        <v>18.557001321003963</v>
      </c>
      <c r="M816" s="75">
        <f>PARAM!$C$26+MAX($G$5-CHOOSE(PARAM!$B$44,MAX(0,N815*$F$1),0),0)*RATES!$L792/12+$H$5*(PARAM!$D$51/12)*RATES!$N792/100</f>
        <v>1048.7083333333333</v>
      </c>
      <c r="N816" s="16">
        <f t="shared" si="543"/>
        <v>-142634.43398194332</v>
      </c>
      <c r="O816" s="15">
        <f t="shared" si="544"/>
        <v>22.170849845882874</v>
      </c>
      <c r="P816" s="75">
        <f>O816*(1-PARAM!$C$27)*$I$6+(MOD($B816,60)=PARAM!$B$56)*($B816&gt;(60-PARAM!$B$56))*HLOOKUP(($B816+PARAM!$B$56)/12,Loyalty,2)*$F$1*MAX(R815,0)</f>
        <v>18.557001321003963</v>
      </c>
      <c r="Q816" s="75">
        <f>PARAM!$C$26+MAX($G$6-CHOOSE(PARAM!$B$44,MAX(0,R815*$F$1),0),0)*RATES!$L792/12+$H$6*(PARAM!$D$51/12)*RATES!$N792/100</f>
        <v>1048.7083333333333</v>
      </c>
      <c r="R816" s="16">
        <f t="shared" si="545"/>
        <v>-142634.43398194332</v>
      </c>
      <c r="S816" s="15">
        <f t="shared" si="520"/>
        <v>22.170849845882874</v>
      </c>
      <c r="T816" s="75">
        <f>S816*(1-PARAM!$C$27)*$I$7+(MOD($B816,60)=PARAM!$B$56)*($B816&gt;(60-PARAM!$B$56))*HLOOKUP(($B816+PARAM!$B$56)/12,Loyalty,2)*$F$1*MAX(V815,0)</f>
        <v>18.557001321003963</v>
      </c>
      <c r="U816" s="75">
        <f>PARAM!$C$26+MAX($G$7-CHOOSE(PARAM!$B$44,MAX(0,V815*$F$1),0),0)*RATES!$L792/12+$H$7*(PARAM!$D$51/12)*RATES!$N792/100</f>
        <v>1048.7083333333333</v>
      </c>
      <c r="V816" s="16">
        <f t="shared" si="546"/>
        <v>-142634.43398194332</v>
      </c>
      <c r="W816" s="15">
        <f t="shared" si="521"/>
        <v>22.170849845882874</v>
      </c>
      <c r="X816" s="75">
        <f>W816*(1-PARAM!$C$27)*$I$8+(MOD($B816,60)=PARAM!$B$56)*($B816&gt;(60-PARAM!$B$56))*HLOOKUP(($B816+PARAM!$B$56)/12,Loyalty,2)*$F$1*MAX(Z815,0)</f>
        <v>18.557001321003963</v>
      </c>
      <c r="Y816" s="75">
        <f>PARAM!$C$26+MAX($G$8-CHOOSE(PARAM!$B$44,MAX(0,Z815*$F$1),0),0)*RATES!$L792/12+$H$8*(PARAM!$D$51/12)*RATES!$N792/100</f>
        <v>1048.7083333333333</v>
      </c>
      <c r="Z816" s="16">
        <f t="shared" si="547"/>
        <v>-142634.43398194332</v>
      </c>
      <c r="AA816" s="15">
        <f t="shared" si="522"/>
        <v>22.170849845882874</v>
      </c>
      <c r="AB816" s="75">
        <f>AA816*(1-PARAM!$C$27)*$I$9+(MOD($B816,60)=PARAM!$B$56)*($B816&gt;(60-PARAM!$B$56))*HLOOKUP(($B816+PARAM!$B$56)/12,Loyalty,2)*$F$1*MAX(AD815,0)</f>
        <v>18.557001321003963</v>
      </c>
      <c r="AC816" s="75">
        <f>PARAM!$C$26+MAX($G$9-CHOOSE(PARAM!$B$44,MAX(0,AD815*$F$1),0),0)*RATES!$L792/12+$H$9*(PARAM!$D$51/12)*RATES!$N792/100</f>
        <v>1048.7083333333333</v>
      </c>
      <c r="AD816" s="16">
        <f t="shared" si="548"/>
        <v>-142634.43398194332</v>
      </c>
      <c r="AE816" s="15">
        <f t="shared" si="523"/>
        <v>22.170849845882874</v>
      </c>
      <c r="AF816" s="75">
        <f>AE816*(1-PARAM!$C$27)*$I$10+(MOD($B816,60)=PARAM!$B$56)*($B816&gt;(60-PARAM!$B$56))*HLOOKUP(($B816+PARAM!$B$56)/12,Loyalty,2)*$F$1*MAX(AH815,0)</f>
        <v>18.557001321003963</v>
      </c>
      <c r="AG816" s="75">
        <f>PARAM!$C$26+MAX($G$10-CHOOSE(PARAM!$B$44,MAX(0,AH815*$F$1),0),0)*RATES!$L792/12+$H$10*(PARAM!$D$51/12)*RATES!$N792/100</f>
        <v>1048.7083333333333</v>
      </c>
      <c r="AH816" s="16">
        <f t="shared" si="549"/>
        <v>-142634.43398194332</v>
      </c>
      <c r="AI816" s="15">
        <f t="shared" si="524"/>
        <v>22.170849845882874</v>
      </c>
      <c r="AJ816" s="75">
        <f>AI816*(1-PARAM!$C$27)*$I$11+(MOD($B816,60)=PARAM!$B$56)*($B816&gt;(60-PARAM!$B$56))*HLOOKUP(($B816+PARAM!$B$56)/12,Loyalty,2)*$F$1*MAX(AL815,0)</f>
        <v>18.557001321003963</v>
      </c>
      <c r="AK816" s="75">
        <f>PARAM!$C$26+MAX($G$11-CHOOSE(PARAM!$B$44,MAX(0,AL815*$F$1),0),0)*RATES!$L792/12+$H$11*(PARAM!$D$51/12)*RATES!$N792/100</f>
        <v>1048.7083333333333</v>
      </c>
      <c r="AL816" s="16">
        <f t="shared" si="550"/>
        <v>-142634.43398194332</v>
      </c>
      <c r="AM816" s="15">
        <f t="shared" si="525"/>
        <v>22.170849845882874</v>
      </c>
      <c r="AN816" s="75">
        <f>AM816*(1-PARAM!$C$27)*$I$12+(MOD($B816,60)=PARAM!$B$56)*($B816&gt;(60-PARAM!$B$56))*HLOOKUP(($B816+PARAM!$B$56)/12,Loyalty,2)*$F$1*MAX(AP815,0)</f>
        <v>18.557001321003963</v>
      </c>
      <c r="AO816" s="75">
        <f>PARAM!$C$26+MAX($G$12-CHOOSE(PARAM!$B$44,MAX(0,AP815*$F$1),0),0)*RATES!$L792/12+$H$12*(PARAM!$D$51/12)*RATES!$N792/100</f>
        <v>1048.7083333333333</v>
      </c>
      <c r="AP816" s="16">
        <f t="shared" si="551"/>
        <v>-142634.43398194332</v>
      </c>
      <c r="AQ816" s="15">
        <f t="shared" si="526"/>
        <v>22.170849845882874</v>
      </c>
      <c r="AR816" s="75">
        <f>AQ816*(1-PARAM!$C$27)*$I$13+(MOD($B816,60)=PARAM!$B$56)*($B816&gt;(60-PARAM!$B$56))*HLOOKUP(($B816+PARAM!$B$56)/12,Loyalty,2)*$F$1*MAX(AT815,0)</f>
        <v>18.557001321003963</v>
      </c>
      <c r="AS816" s="75">
        <f>PARAM!$C$26+MAX($G$13-CHOOSE(PARAM!$B$44,MAX(0,AT815*$F$1),0),0)*RATES!$L792/12+$H$13*(PARAM!$D$51/12)*RATES!$N792/100</f>
        <v>1048.7083333333333</v>
      </c>
      <c r="AT816" s="16">
        <f t="shared" si="552"/>
        <v>-142634.43398194332</v>
      </c>
      <c r="AU816" s="15">
        <f t="shared" si="527"/>
        <v>22.170849845882874</v>
      </c>
      <c r="AV816" s="75">
        <f>AU816*(1-PARAM!$C$27)*$I$14+(MOD($B816,60)=PARAM!$B$56)*($B816&gt;(60-PARAM!$B$56))*HLOOKUP(($B816+PARAM!$B$56)/12,Loyalty,2)*$F$1*MAX(AX815,0)</f>
        <v>18.557001321003963</v>
      </c>
      <c r="AW816" s="75">
        <f>PARAM!$C$26+MAX($G$14-CHOOSE(PARAM!$B$44,MAX(0,AX815*$F$1),0),0)*RATES!$L792/12+$H$14*(PARAM!$D$51/12)*RATES!$N792/100</f>
        <v>1048.7083333333333</v>
      </c>
      <c r="AX816" s="16">
        <f t="shared" si="553"/>
        <v>-142634.43398194332</v>
      </c>
      <c r="AY816" s="15">
        <f t="shared" si="528"/>
        <v>22.170849845882874</v>
      </c>
      <c r="AZ816" s="75">
        <f>AY816*(1-PARAM!$C$27)*$I$15+(MOD($B816,60)=PARAM!$B$56)*($B816&gt;(60-PARAM!$B$56))*HLOOKUP(($B816+PARAM!$B$56)/12,Loyalty,2)*$F$1*MAX(BB815,0)</f>
        <v>18.557001321003963</v>
      </c>
      <c r="BA816" s="75">
        <f>PARAM!$C$26+MAX($G$15-CHOOSE(PARAM!$B$44,MAX(0,BB815*$F$1),0),0)*RATES!$L792/12+$H$15*(PARAM!$D$51/12)*RATES!$N792/100</f>
        <v>1048.7083333333333</v>
      </c>
      <c r="BB816" s="16">
        <f t="shared" si="554"/>
        <v>-142634.43398194332</v>
      </c>
      <c r="BC816" s="15">
        <f t="shared" si="529"/>
        <v>22.170849845882874</v>
      </c>
      <c r="BD816" s="75">
        <f>BC816*(1-PARAM!$C$27)*$I$16+(MOD($B816,60)=PARAM!$B$56)*($B816&gt;(60-PARAM!$B$56))*HLOOKUP(($B816+PARAM!$B$56)/12,Loyalty,2)*$F$1*MAX(BF815,0)</f>
        <v>18.557001321003963</v>
      </c>
      <c r="BE816" s="75">
        <f>PARAM!$C$26+MAX($G$16-CHOOSE(PARAM!$B$44,MAX(0,BF815*$F$1),0),0)*RATES!$L792/12+$H$16*(PARAM!$D$51/12)*RATES!$N792/100</f>
        <v>1048.7083333333333</v>
      </c>
      <c r="BF816" s="16">
        <f t="shared" si="555"/>
        <v>-142634.43398194332</v>
      </c>
      <c r="BG816" s="15">
        <f t="shared" si="530"/>
        <v>22.170849845882874</v>
      </c>
      <c r="BH816" s="75">
        <f>BG816*(1-PARAM!$C$27)*$I$17+(MOD($B816,60)=PARAM!$B$56)*($B816&gt;(60-PARAM!$B$56))*HLOOKUP(($B816+PARAM!$B$56)/12,Loyalty,2)*$F$1*MAX(BJ815,0)</f>
        <v>18.557001321003963</v>
      </c>
      <c r="BI816" s="75">
        <f>PARAM!$C$26+MAX($G$17-CHOOSE(PARAM!$B$44,MAX(0,BJ815*$F$1),0),0)*RATES!$L792/12+$H$17*(PARAM!$D$51/12)*RATES!$N792/100</f>
        <v>1048.7083333333333</v>
      </c>
      <c r="BJ816" s="16">
        <f t="shared" si="556"/>
        <v>-142634.43398194332</v>
      </c>
      <c r="BK816" s="15">
        <f t="shared" si="531"/>
        <v>22.170849845882874</v>
      </c>
      <c r="BL816" s="75">
        <f>BK816*(1-PARAM!$C$27)*$I$18+(MOD($B816,60)=PARAM!$B$56)*($B816&gt;(60-PARAM!$B$56))*HLOOKUP(($B816+PARAM!$B$56)/12,Loyalty,2)*$F$1*MAX(BN815,0)</f>
        <v>18.557001321003963</v>
      </c>
      <c r="BM816" s="75">
        <f>PARAM!$C$26+MAX($G$18-CHOOSE(PARAM!$B$44,MAX(0,BN815*$F$1),0),0)*RATES!$L792/12+$H$18*(PARAM!$D$51/12)*RATES!$N792/100</f>
        <v>1048.7083333333333</v>
      </c>
      <c r="BN816" s="16">
        <f t="shared" si="557"/>
        <v>-142634.43398194332</v>
      </c>
      <c r="BO816" s="15">
        <f t="shared" si="532"/>
        <v>22.170849845882874</v>
      </c>
      <c r="BP816" s="75">
        <f>BO816*(1-PARAM!$C$27)*$I$19+(MOD($B816,60)=PARAM!$B$56)*($B816&gt;(60-PARAM!$B$56))*HLOOKUP(($B816+PARAM!$B$56)/12,Loyalty,2)*$F$1*MAX(BR815,0)</f>
        <v>18.557001321003963</v>
      </c>
      <c r="BQ816" s="75">
        <f>PARAM!$C$26+MAX($G$19-CHOOSE(PARAM!$B$44,MAX(0,BR815*$F$1),0),0)*RATES!$L792/12+$H$19*(PARAM!$D$51/12)*RATES!$N792/100</f>
        <v>1048.7083333333333</v>
      </c>
      <c r="BR816" s="16">
        <f t="shared" si="558"/>
        <v>-142634.43398194332</v>
      </c>
      <c r="BS816" s="15">
        <f t="shared" si="533"/>
        <v>22.170849845882874</v>
      </c>
      <c r="BT816" s="75">
        <f>BS816*(1-PARAM!$C$27)*$I$20+(MOD($B816,60)=PARAM!$B$56)*($B816&gt;(60-PARAM!$B$56))*HLOOKUP(($B816+PARAM!$B$56)/12,Loyalty,2)*$F$1*MAX(BV815,0)</f>
        <v>18.557001321003963</v>
      </c>
      <c r="BU816" s="75">
        <f>PARAM!$C$26+MAX($G$20-CHOOSE(PARAM!$B$44,MAX(0,BV815*$F$1),0),0)*RATES!$L792/12+$H$20*(PARAM!$D$51/12)*RATES!$N792/100</f>
        <v>1048.7083333333333</v>
      </c>
      <c r="BV816" s="16">
        <f t="shared" si="559"/>
        <v>-142634.43398194332</v>
      </c>
      <c r="BW816" s="15">
        <f t="shared" si="534"/>
        <v>22.170849845882874</v>
      </c>
      <c r="BX816" s="75">
        <f>BW816*(1-PARAM!$C$27)*$I$21+(MOD($B816,60)=PARAM!$B$56)*($B816&gt;(60-PARAM!$B$56))*HLOOKUP(($B816+PARAM!$B$56)/12,Loyalty,2)*$F$1*MAX(BZ815,0)</f>
        <v>18.557001321003963</v>
      </c>
      <c r="BY816" s="75">
        <f>PARAM!$C$26+MAX($G$21-CHOOSE(PARAM!$B$44,MAX(0,BZ815*$F$1),0),0)*RATES!$L792/12+$H$21*(PARAM!$D$51/12)*RATES!$N792/100</f>
        <v>1048.7083333333333</v>
      </c>
      <c r="BZ816" s="16">
        <f t="shared" si="560"/>
        <v>-142634.43398194332</v>
      </c>
      <c r="CA816" s="15">
        <f t="shared" si="535"/>
        <v>22.170849845882874</v>
      </c>
      <c r="CB816" s="75">
        <f>CA816*(1-PARAM!$C$27)*$I$22+(MOD($B816,60)=PARAM!$B$56)*($B816&gt;(60-PARAM!$B$56))*HLOOKUP(($B816+PARAM!$B$56)/12,Loyalty,2)*$F$1*MAX(CD815,0)</f>
        <v>18.557001321003963</v>
      </c>
      <c r="CC816" s="75">
        <f>PARAM!$C$26+MAX($G$22-CHOOSE(PARAM!$B$44,MAX(0,CD815*$F$1),0),0)*RATES!$L792/12+$H$22*(PARAM!$D$51/12)*RATES!$N792/100</f>
        <v>1048.7083333333333</v>
      </c>
      <c r="CD816" s="16">
        <f t="shared" si="561"/>
        <v>-142634.43398194332</v>
      </c>
      <c r="CE816" s="33">
        <f>IF(0=MOD(B816,12/PARAM!$D$51),1,0)</f>
        <v>1</v>
      </c>
      <c r="CF816" s="15">
        <f t="shared" si="536"/>
        <v>0</v>
      </c>
      <c r="CG816" s="75">
        <f>CF816*(1-PARAM!$C$27)*$R$3+(MOD($B816/12,5)=0)*($B816&gt;60)*HLOOKUP($B816/12,Loyalty,2)*$F$1*MAX(CI815,0)</f>
        <v>0</v>
      </c>
      <c r="CH816" s="75">
        <f>PARAM!$C$26+MAX($P$3-CHOOSE(PARAM!$B$44,MAX(0,CI815*$F$1),0),0)*RATES!$L792/12+$Q$3*(PARAM!$D$51/12)*RATES!$N792/100</f>
        <v>1048.7083333333333</v>
      </c>
      <c r="CI816" s="16">
        <f>IF(CI815&gt;0,CI815*PARAM!$C$53,CI815)+CG816-CH816</f>
        <v>-157156.33333333366</v>
      </c>
      <c r="CJ816" s="15">
        <f t="shared" si="562"/>
        <v>0</v>
      </c>
      <c r="CK816" s="75">
        <f>CJ816*(1-PARAM!$C$27)*$R$4+(MOD($B816/12,5)=0)*($B816&gt;60)*HLOOKUP($B816/12,Loyalty,2)*$F$1*MAX(CM815,0)</f>
        <v>0</v>
      </c>
      <c r="CL816" s="75">
        <f>PARAM!$C$26+MAX($P$4-CHOOSE(PARAM!$B$44,MAX(0,CM815*$F$1),0),0)*RATES!$L792/12+$Q$4*(PARAM!$D$51/12)*RATES!$N792/100</f>
        <v>1048.7083333333333</v>
      </c>
      <c r="CM816" s="16">
        <f>IF(CM815&gt;0,CM815*PARAM!$C$53,CM815)+CK816-CL816</f>
        <v>-157156.33333333366</v>
      </c>
      <c r="CO816" s="176"/>
    </row>
    <row r="817" spans="1:93" x14ac:dyDescent="0.2">
      <c r="A817" t="b">
        <f t="shared" si="537"/>
        <v>0</v>
      </c>
      <c r="B817" s="33">
        <v>790</v>
      </c>
      <c r="C817" s="15">
        <f t="shared" si="538"/>
        <v>20.081305947392778</v>
      </c>
      <c r="D817" s="75">
        <f>C817*(1-PARAM!$C$27)*$I$3+(MOD($B817,60)=PARAM!$B$56)*($B817&gt;(60-PARAM!$B$56))*HLOOKUP(($B817+PARAM!$B$56)/12,Loyalty,2)*$F$1*MAX(F816,0)</f>
        <v>16.808053077967756</v>
      </c>
      <c r="E817" s="75">
        <f>PARAM!$C$26+MAX($G$3-CHOOSE(PARAM!$B$44,MAX(0,F816*$F$1),0),0)*RATES!$L793/12+$H$3*(PARAM!$D$51/12)*RATES!$N793/100</f>
        <v>1048.7083333333333</v>
      </c>
      <c r="F817" s="16">
        <f t="shared" si="539"/>
        <v>-145083.10492647599</v>
      </c>
      <c r="G817" s="15">
        <f t="shared" si="540"/>
        <v>22.035289406060361</v>
      </c>
      <c r="H817" s="75">
        <f>G817*(1-PARAM!$C$27)*$I$4+(MOD($B817,60)=PARAM!$B$56)*($B817&gt;(60-PARAM!$B$56))*HLOOKUP(($B817+PARAM!$B$56)/12,Loyalty,2)*$F$1*MAX(J816,0)</f>
        <v>18.443537232872522</v>
      </c>
      <c r="I817" s="75">
        <f>PARAM!$C$26+MAX($G$4-CHOOSE(PARAM!$B$44,MAX(0,J816*$F$1),0),0)*RATES!$L793/12+$H$4*(PARAM!$D$51/12)*RATES!$N793/100</f>
        <v>1048.7083333333333</v>
      </c>
      <c r="J817" s="16">
        <f t="shared" si="541"/>
        <v>-143757.23947997933</v>
      </c>
      <c r="K817" s="15">
        <f t="shared" si="542"/>
        <v>22.170849845882874</v>
      </c>
      <c r="L817" s="75">
        <f>K817*(1-PARAM!$C$27)*$I$5+(MOD($B817,60)=PARAM!$B$56)*($B817&gt;(60-PARAM!$B$56))*HLOOKUP(($B817+PARAM!$B$56)/12,Loyalty,2)*$F$1*MAX(N816,0)</f>
        <v>18.557001321003963</v>
      </c>
      <c r="M817" s="75">
        <f>PARAM!$C$26+MAX($G$5-CHOOSE(PARAM!$B$44,MAX(0,N816*$F$1),0),0)*RATES!$L793/12+$H$5*(PARAM!$D$51/12)*RATES!$N793/100</f>
        <v>1048.7083333333333</v>
      </c>
      <c r="N817" s="16">
        <f t="shared" si="543"/>
        <v>-143664.58531395567</v>
      </c>
      <c r="O817" s="15">
        <f t="shared" si="544"/>
        <v>22.170849845882874</v>
      </c>
      <c r="P817" s="75">
        <f>O817*(1-PARAM!$C$27)*$I$6+(MOD($B817,60)=PARAM!$B$56)*($B817&gt;(60-PARAM!$B$56))*HLOOKUP(($B817+PARAM!$B$56)/12,Loyalty,2)*$F$1*MAX(R816,0)</f>
        <v>18.557001321003963</v>
      </c>
      <c r="Q817" s="75">
        <f>PARAM!$C$26+MAX($G$6-CHOOSE(PARAM!$B$44,MAX(0,R816*$F$1),0),0)*RATES!$L793/12+$H$6*(PARAM!$D$51/12)*RATES!$N793/100</f>
        <v>1048.7083333333333</v>
      </c>
      <c r="R817" s="16">
        <f t="shared" si="545"/>
        <v>-143664.58531395567</v>
      </c>
      <c r="S817" s="15">
        <f t="shared" si="520"/>
        <v>22.170849845882874</v>
      </c>
      <c r="T817" s="75">
        <f>S817*(1-PARAM!$C$27)*$I$7+(MOD($B817,60)=PARAM!$B$56)*($B817&gt;(60-PARAM!$B$56))*HLOOKUP(($B817+PARAM!$B$56)/12,Loyalty,2)*$F$1*MAX(V816,0)</f>
        <v>18.557001321003963</v>
      </c>
      <c r="U817" s="75">
        <f>PARAM!$C$26+MAX($G$7-CHOOSE(PARAM!$B$44,MAX(0,V816*$F$1),0),0)*RATES!$L793/12+$H$7*(PARAM!$D$51/12)*RATES!$N793/100</f>
        <v>1048.7083333333333</v>
      </c>
      <c r="V817" s="16">
        <f t="shared" si="546"/>
        <v>-143664.58531395567</v>
      </c>
      <c r="W817" s="15">
        <f t="shared" si="521"/>
        <v>22.170849845882874</v>
      </c>
      <c r="X817" s="75">
        <f>W817*(1-PARAM!$C$27)*$I$8+(MOD($B817,60)=PARAM!$B$56)*($B817&gt;(60-PARAM!$B$56))*HLOOKUP(($B817+PARAM!$B$56)/12,Loyalty,2)*$F$1*MAX(Z816,0)</f>
        <v>18.557001321003963</v>
      </c>
      <c r="Y817" s="75">
        <f>PARAM!$C$26+MAX($G$8-CHOOSE(PARAM!$B$44,MAX(0,Z816*$F$1),0),0)*RATES!$L793/12+$H$8*(PARAM!$D$51/12)*RATES!$N793/100</f>
        <v>1048.7083333333333</v>
      </c>
      <c r="Z817" s="16">
        <f t="shared" si="547"/>
        <v>-143664.58531395567</v>
      </c>
      <c r="AA817" s="15">
        <f t="shared" si="522"/>
        <v>22.170849845882874</v>
      </c>
      <c r="AB817" s="75">
        <f>AA817*(1-PARAM!$C$27)*$I$9+(MOD($B817,60)=PARAM!$B$56)*($B817&gt;(60-PARAM!$B$56))*HLOOKUP(($B817+PARAM!$B$56)/12,Loyalty,2)*$F$1*MAX(AD816,0)</f>
        <v>18.557001321003963</v>
      </c>
      <c r="AC817" s="75">
        <f>PARAM!$C$26+MAX($G$9-CHOOSE(PARAM!$B$44,MAX(0,AD816*$F$1),0),0)*RATES!$L793/12+$H$9*(PARAM!$D$51/12)*RATES!$N793/100</f>
        <v>1048.7083333333333</v>
      </c>
      <c r="AD817" s="16">
        <f t="shared" si="548"/>
        <v>-143664.58531395567</v>
      </c>
      <c r="AE817" s="15">
        <f t="shared" si="523"/>
        <v>22.170849845882874</v>
      </c>
      <c r="AF817" s="75">
        <f>AE817*(1-PARAM!$C$27)*$I$10+(MOD($B817,60)=PARAM!$B$56)*($B817&gt;(60-PARAM!$B$56))*HLOOKUP(($B817+PARAM!$B$56)/12,Loyalty,2)*$F$1*MAX(AH816,0)</f>
        <v>18.557001321003963</v>
      </c>
      <c r="AG817" s="75">
        <f>PARAM!$C$26+MAX($G$10-CHOOSE(PARAM!$B$44,MAX(0,AH816*$F$1),0),0)*RATES!$L793/12+$H$10*(PARAM!$D$51/12)*RATES!$N793/100</f>
        <v>1048.7083333333333</v>
      </c>
      <c r="AH817" s="16">
        <f t="shared" si="549"/>
        <v>-143664.58531395567</v>
      </c>
      <c r="AI817" s="15">
        <f t="shared" si="524"/>
        <v>22.170849845882874</v>
      </c>
      <c r="AJ817" s="75">
        <f>AI817*(1-PARAM!$C$27)*$I$11+(MOD($B817,60)=PARAM!$B$56)*($B817&gt;(60-PARAM!$B$56))*HLOOKUP(($B817+PARAM!$B$56)/12,Loyalty,2)*$F$1*MAX(AL816,0)</f>
        <v>18.557001321003963</v>
      </c>
      <c r="AK817" s="75">
        <f>PARAM!$C$26+MAX($G$11-CHOOSE(PARAM!$B$44,MAX(0,AL816*$F$1),0),0)*RATES!$L793/12+$H$11*(PARAM!$D$51/12)*RATES!$N793/100</f>
        <v>1048.7083333333333</v>
      </c>
      <c r="AL817" s="16">
        <f t="shared" si="550"/>
        <v>-143664.58531395567</v>
      </c>
      <c r="AM817" s="15">
        <f t="shared" si="525"/>
        <v>22.170849845882874</v>
      </c>
      <c r="AN817" s="75">
        <f>AM817*(1-PARAM!$C$27)*$I$12+(MOD($B817,60)=PARAM!$B$56)*($B817&gt;(60-PARAM!$B$56))*HLOOKUP(($B817+PARAM!$B$56)/12,Loyalty,2)*$F$1*MAX(AP816,0)</f>
        <v>18.557001321003963</v>
      </c>
      <c r="AO817" s="75">
        <f>PARAM!$C$26+MAX($G$12-CHOOSE(PARAM!$B$44,MAX(0,AP816*$F$1),0),0)*RATES!$L793/12+$H$12*(PARAM!$D$51/12)*RATES!$N793/100</f>
        <v>1048.7083333333333</v>
      </c>
      <c r="AP817" s="16">
        <f t="shared" si="551"/>
        <v>-143664.58531395567</v>
      </c>
      <c r="AQ817" s="15">
        <f t="shared" si="526"/>
        <v>22.170849845882874</v>
      </c>
      <c r="AR817" s="75">
        <f>AQ817*(1-PARAM!$C$27)*$I$13+(MOD($B817,60)=PARAM!$B$56)*($B817&gt;(60-PARAM!$B$56))*HLOOKUP(($B817+PARAM!$B$56)/12,Loyalty,2)*$F$1*MAX(AT816,0)</f>
        <v>18.557001321003963</v>
      </c>
      <c r="AS817" s="75">
        <f>PARAM!$C$26+MAX($G$13-CHOOSE(PARAM!$B$44,MAX(0,AT816*$F$1),0),0)*RATES!$L793/12+$H$13*(PARAM!$D$51/12)*RATES!$N793/100</f>
        <v>1048.7083333333333</v>
      </c>
      <c r="AT817" s="16">
        <f t="shared" si="552"/>
        <v>-143664.58531395567</v>
      </c>
      <c r="AU817" s="15">
        <f t="shared" si="527"/>
        <v>22.170849845882874</v>
      </c>
      <c r="AV817" s="75">
        <f>AU817*(1-PARAM!$C$27)*$I$14+(MOD($B817,60)=PARAM!$B$56)*($B817&gt;(60-PARAM!$B$56))*HLOOKUP(($B817+PARAM!$B$56)/12,Loyalty,2)*$F$1*MAX(AX816,0)</f>
        <v>18.557001321003963</v>
      </c>
      <c r="AW817" s="75">
        <f>PARAM!$C$26+MAX($G$14-CHOOSE(PARAM!$B$44,MAX(0,AX816*$F$1),0),0)*RATES!$L793/12+$H$14*(PARAM!$D$51/12)*RATES!$N793/100</f>
        <v>1048.7083333333333</v>
      </c>
      <c r="AX817" s="16">
        <f t="shared" si="553"/>
        <v>-143664.58531395567</v>
      </c>
      <c r="AY817" s="15">
        <f t="shared" si="528"/>
        <v>22.170849845882874</v>
      </c>
      <c r="AZ817" s="75">
        <f>AY817*(1-PARAM!$C$27)*$I$15+(MOD($B817,60)=PARAM!$B$56)*($B817&gt;(60-PARAM!$B$56))*HLOOKUP(($B817+PARAM!$B$56)/12,Loyalty,2)*$F$1*MAX(BB816,0)</f>
        <v>18.557001321003963</v>
      </c>
      <c r="BA817" s="75">
        <f>PARAM!$C$26+MAX($G$15-CHOOSE(PARAM!$B$44,MAX(0,BB816*$F$1),0),0)*RATES!$L793/12+$H$15*(PARAM!$D$51/12)*RATES!$N793/100</f>
        <v>1048.7083333333333</v>
      </c>
      <c r="BB817" s="16">
        <f t="shared" si="554"/>
        <v>-143664.58531395567</v>
      </c>
      <c r="BC817" s="15">
        <f t="shared" si="529"/>
        <v>22.170849845882874</v>
      </c>
      <c r="BD817" s="75">
        <f>BC817*(1-PARAM!$C$27)*$I$16+(MOD($B817,60)=PARAM!$B$56)*($B817&gt;(60-PARAM!$B$56))*HLOOKUP(($B817+PARAM!$B$56)/12,Loyalty,2)*$F$1*MAX(BF816,0)</f>
        <v>18.557001321003963</v>
      </c>
      <c r="BE817" s="75">
        <f>PARAM!$C$26+MAX($G$16-CHOOSE(PARAM!$B$44,MAX(0,BF816*$F$1),0),0)*RATES!$L793/12+$H$16*(PARAM!$D$51/12)*RATES!$N793/100</f>
        <v>1048.7083333333333</v>
      </c>
      <c r="BF817" s="16">
        <f t="shared" si="555"/>
        <v>-143664.58531395567</v>
      </c>
      <c r="BG817" s="15">
        <f t="shared" si="530"/>
        <v>22.170849845882874</v>
      </c>
      <c r="BH817" s="75">
        <f>BG817*(1-PARAM!$C$27)*$I$17+(MOD($B817,60)=PARAM!$B$56)*($B817&gt;(60-PARAM!$B$56))*HLOOKUP(($B817+PARAM!$B$56)/12,Loyalty,2)*$F$1*MAX(BJ816,0)</f>
        <v>18.557001321003963</v>
      </c>
      <c r="BI817" s="75">
        <f>PARAM!$C$26+MAX($G$17-CHOOSE(PARAM!$B$44,MAX(0,BJ816*$F$1),0),0)*RATES!$L793/12+$H$17*(PARAM!$D$51/12)*RATES!$N793/100</f>
        <v>1048.7083333333333</v>
      </c>
      <c r="BJ817" s="16">
        <f t="shared" si="556"/>
        <v>-143664.58531395567</v>
      </c>
      <c r="BK817" s="15">
        <f t="shared" si="531"/>
        <v>22.170849845882874</v>
      </c>
      <c r="BL817" s="75">
        <f>BK817*(1-PARAM!$C$27)*$I$18+(MOD($B817,60)=PARAM!$B$56)*($B817&gt;(60-PARAM!$B$56))*HLOOKUP(($B817+PARAM!$B$56)/12,Loyalty,2)*$F$1*MAX(BN816,0)</f>
        <v>18.557001321003963</v>
      </c>
      <c r="BM817" s="75">
        <f>PARAM!$C$26+MAX($G$18-CHOOSE(PARAM!$B$44,MAX(0,BN816*$F$1),0),0)*RATES!$L793/12+$H$18*(PARAM!$D$51/12)*RATES!$N793/100</f>
        <v>1048.7083333333333</v>
      </c>
      <c r="BN817" s="16">
        <f t="shared" si="557"/>
        <v>-143664.58531395567</v>
      </c>
      <c r="BO817" s="15">
        <f t="shared" si="532"/>
        <v>22.170849845882874</v>
      </c>
      <c r="BP817" s="75">
        <f>BO817*(1-PARAM!$C$27)*$I$19+(MOD($B817,60)=PARAM!$B$56)*($B817&gt;(60-PARAM!$B$56))*HLOOKUP(($B817+PARAM!$B$56)/12,Loyalty,2)*$F$1*MAX(BR816,0)</f>
        <v>18.557001321003963</v>
      </c>
      <c r="BQ817" s="75">
        <f>PARAM!$C$26+MAX($G$19-CHOOSE(PARAM!$B$44,MAX(0,BR816*$F$1),0),0)*RATES!$L793/12+$H$19*(PARAM!$D$51/12)*RATES!$N793/100</f>
        <v>1048.7083333333333</v>
      </c>
      <c r="BR817" s="16">
        <f t="shared" si="558"/>
        <v>-143664.58531395567</v>
      </c>
      <c r="BS817" s="15">
        <f t="shared" si="533"/>
        <v>22.170849845882874</v>
      </c>
      <c r="BT817" s="75">
        <f>BS817*(1-PARAM!$C$27)*$I$20+(MOD($B817,60)=PARAM!$B$56)*($B817&gt;(60-PARAM!$B$56))*HLOOKUP(($B817+PARAM!$B$56)/12,Loyalty,2)*$F$1*MAX(BV816,0)</f>
        <v>18.557001321003963</v>
      </c>
      <c r="BU817" s="75">
        <f>PARAM!$C$26+MAX($G$20-CHOOSE(PARAM!$B$44,MAX(0,BV816*$F$1),0),0)*RATES!$L793/12+$H$20*(PARAM!$D$51/12)*RATES!$N793/100</f>
        <v>1048.7083333333333</v>
      </c>
      <c r="BV817" s="16">
        <f t="shared" si="559"/>
        <v>-143664.58531395567</v>
      </c>
      <c r="BW817" s="15">
        <f t="shared" si="534"/>
        <v>22.170849845882874</v>
      </c>
      <c r="BX817" s="75">
        <f>BW817*(1-PARAM!$C$27)*$I$21+(MOD($B817,60)=PARAM!$B$56)*($B817&gt;(60-PARAM!$B$56))*HLOOKUP(($B817+PARAM!$B$56)/12,Loyalty,2)*$F$1*MAX(BZ816,0)</f>
        <v>18.557001321003963</v>
      </c>
      <c r="BY817" s="75">
        <f>PARAM!$C$26+MAX($G$21-CHOOSE(PARAM!$B$44,MAX(0,BZ816*$F$1),0),0)*RATES!$L793/12+$H$21*(PARAM!$D$51/12)*RATES!$N793/100</f>
        <v>1048.7083333333333</v>
      </c>
      <c r="BZ817" s="16">
        <f t="shared" si="560"/>
        <v>-143664.58531395567</v>
      </c>
      <c r="CA817" s="15">
        <f t="shared" si="535"/>
        <v>22.170849845882874</v>
      </c>
      <c r="CB817" s="75">
        <f>CA817*(1-PARAM!$C$27)*$I$22+(MOD($B817,60)=PARAM!$B$56)*($B817&gt;(60-PARAM!$B$56))*HLOOKUP(($B817+PARAM!$B$56)/12,Loyalty,2)*$F$1*MAX(CD816,0)</f>
        <v>18.557001321003963</v>
      </c>
      <c r="CC817" s="75">
        <f>PARAM!$C$26+MAX($G$22-CHOOSE(PARAM!$B$44,MAX(0,CD816*$F$1),0),0)*RATES!$L793/12+$H$22*(PARAM!$D$51/12)*RATES!$N793/100</f>
        <v>1048.7083333333333</v>
      </c>
      <c r="CD817" s="16">
        <f t="shared" si="561"/>
        <v>-143664.58531395567</v>
      </c>
      <c r="CE817" s="33">
        <f>IF(0=MOD(B817,12/PARAM!$D$51),1,0)</f>
        <v>1</v>
      </c>
      <c r="CF817" s="15">
        <f t="shared" si="536"/>
        <v>0</v>
      </c>
      <c r="CG817" s="75">
        <f>CF817*(1-PARAM!$C$27)*$R$3+(MOD($B817/12,5)=0)*($B817&gt;60)*HLOOKUP($B817/12,Loyalty,2)*$F$1*MAX(CI816,0)</f>
        <v>0</v>
      </c>
      <c r="CH817" s="75">
        <f>PARAM!$C$26+MAX($P$3-CHOOSE(PARAM!$B$44,MAX(0,CI816*$F$1),0),0)*RATES!$L793/12+$Q$3*(PARAM!$D$51/12)*RATES!$N793/100</f>
        <v>1048.7083333333333</v>
      </c>
      <c r="CI817" s="16">
        <f>IF(CI816&gt;0,CI816*PARAM!$C$53,CI816)+CG817-CH817</f>
        <v>-158205.04166666701</v>
      </c>
      <c r="CJ817" s="15">
        <f t="shared" si="562"/>
        <v>0</v>
      </c>
      <c r="CK817" s="75">
        <f>CJ817*(1-PARAM!$C$27)*$R$4+(MOD($B817/12,5)=0)*($B817&gt;60)*HLOOKUP($B817/12,Loyalty,2)*$F$1*MAX(CM816,0)</f>
        <v>0</v>
      </c>
      <c r="CL817" s="75">
        <f>PARAM!$C$26+MAX($P$4-CHOOSE(PARAM!$B$44,MAX(0,CM816*$F$1),0),0)*RATES!$L793/12+$Q$4*(PARAM!$D$51/12)*RATES!$N793/100</f>
        <v>1048.7083333333333</v>
      </c>
      <c r="CM817" s="16">
        <f>IF(CM816&gt;0,CM816*PARAM!$C$53,CM816)+CK817-CL817</f>
        <v>-158205.04166666701</v>
      </c>
      <c r="CO817" s="176"/>
    </row>
    <row r="818" spans="1:93" x14ac:dyDescent="0.2">
      <c r="A818" t="b">
        <f t="shared" si="537"/>
        <v>0</v>
      </c>
      <c r="B818" s="33">
        <v>791</v>
      </c>
      <c r="C818" s="15">
        <f t="shared" si="538"/>
        <v>20.081305947392778</v>
      </c>
      <c r="D818" s="75">
        <f>C818*(1-PARAM!$C$27)*$I$3+(MOD($B818,60)=PARAM!$B$56)*($B818&gt;(60-PARAM!$B$56))*HLOOKUP(($B818+PARAM!$B$56)/12,Loyalty,2)*$F$1*MAX(F817,0)</f>
        <v>16.808053077967756</v>
      </c>
      <c r="E818" s="75">
        <f>PARAM!$C$26+MAX($G$3-CHOOSE(PARAM!$B$44,MAX(0,F817*$F$1),0),0)*RATES!$L794/12+$H$3*(PARAM!$D$51/12)*RATES!$N794/100</f>
        <v>1048.7083333333333</v>
      </c>
      <c r="F818" s="16">
        <f t="shared" si="539"/>
        <v>-146115.00520673138</v>
      </c>
      <c r="G818" s="15">
        <f t="shared" si="540"/>
        <v>22.035289406060361</v>
      </c>
      <c r="H818" s="75">
        <f>G818*(1-PARAM!$C$27)*$I$4+(MOD($B818,60)=PARAM!$B$56)*($B818&gt;(60-PARAM!$B$56))*HLOOKUP(($B818+PARAM!$B$56)/12,Loyalty,2)*$F$1*MAX(J817,0)</f>
        <v>18.443537232872522</v>
      </c>
      <c r="I818" s="75">
        <f>PARAM!$C$26+MAX($G$4-CHOOSE(PARAM!$B$44,MAX(0,J817*$F$1),0),0)*RATES!$L794/12+$H$4*(PARAM!$D$51/12)*RATES!$N794/100</f>
        <v>1048.7083333333333</v>
      </c>
      <c r="J818" s="16">
        <f t="shared" si="541"/>
        <v>-144787.5042760798</v>
      </c>
      <c r="K818" s="15">
        <f t="shared" si="542"/>
        <v>22.170849845882874</v>
      </c>
      <c r="L818" s="75">
        <f>K818*(1-PARAM!$C$27)*$I$5+(MOD($B818,60)=PARAM!$B$56)*($B818&gt;(60-PARAM!$B$56))*HLOOKUP(($B818+PARAM!$B$56)/12,Loyalty,2)*$F$1*MAX(N817,0)</f>
        <v>18.557001321003963</v>
      </c>
      <c r="M818" s="75">
        <f>PARAM!$C$26+MAX($G$5-CHOOSE(PARAM!$B$44,MAX(0,N817*$F$1),0),0)*RATES!$L794/12+$H$5*(PARAM!$D$51/12)*RATES!$N794/100</f>
        <v>1048.7083333333333</v>
      </c>
      <c r="N818" s="16">
        <f t="shared" si="543"/>
        <v>-144694.73664596802</v>
      </c>
      <c r="O818" s="15">
        <f t="shared" si="544"/>
        <v>22.170849845882874</v>
      </c>
      <c r="P818" s="75">
        <f>O818*(1-PARAM!$C$27)*$I$6+(MOD($B818,60)=PARAM!$B$56)*($B818&gt;(60-PARAM!$B$56))*HLOOKUP(($B818+PARAM!$B$56)/12,Loyalty,2)*$F$1*MAX(R817,0)</f>
        <v>18.557001321003963</v>
      </c>
      <c r="Q818" s="75">
        <f>PARAM!$C$26+MAX($G$6-CHOOSE(PARAM!$B$44,MAX(0,R817*$F$1),0),0)*RATES!$L794/12+$H$6*(PARAM!$D$51/12)*RATES!$N794/100</f>
        <v>1048.7083333333333</v>
      </c>
      <c r="R818" s="16">
        <f t="shared" si="545"/>
        <v>-144694.73664596802</v>
      </c>
      <c r="S818" s="15">
        <f t="shared" si="520"/>
        <v>22.170849845882874</v>
      </c>
      <c r="T818" s="75">
        <f>S818*(1-PARAM!$C$27)*$I$7+(MOD($B818,60)=PARAM!$B$56)*($B818&gt;(60-PARAM!$B$56))*HLOOKUP(($B818+PARAM!$B$56)/12,Loyalty,2)*$F$1*MAX(V817,0)</f>
        <v>18.557001321003963</v>
      </c>
      <c r="U818" s="75">
        <f>PARAM!$C$26+MAX($G$7-CHOOSE(PARAM!$B$44,MAX(0,V817*$F$1),0),0)*RATES!$L794/12+$H$7*(PARAM!$D$51/12)*RATES!$N794/100</f>
        <v>1048.7083333333333</v>
      </c>
      <c r="V818" s="16">
        <f t="shared" si="546"/>
        <v>-144694.73664596802</v>
      </c>
      <c r="W818" s="15">
        <f t="shared" si="521"/>
        <v>22.170849845882874</v>
      </c>
      <c r="X818" s="75">
        <f>W818*(1-PARAM!$C$27)*$I$8+(MOD($B818,60)=PARAM!$B$56)*($B818&gt;(60-PARAM!$B$56))*HLOOKUP(($B818+PARAM!$B$56)/12,Loyalty,2)*$F$1*MAX(Z817,0)</f>
        <v>18.557001321003963</v>
      </c>
      <c r="Y818" s="75">
        <f>PARAM!$C$26+MAX($G$8-CHOOSE(PARAM!$B$44,MAX(0,Z817*$F$1),0),0)*RATES!$L794/12+$H$8*(PARAM!$D$51/12)*RATES!$N794/100</f>
        <v>1048.7083333333333</v>
      </c>
      <c r="Z818" s="16">
        <f t="shared" si="547"/>
        <v>-144694.73664596802</v>
      </c>
      <c r="AA818" s="15">
        <f t="shared" si="522"/>
        <v>22.170849845882874</v>
      </c>
      <c r="AB818" s="75">
        <f>AA818*(1-PARAM!$C$27)*$I$9+(MOD($B818,60)=PARAM!$B$56)*($B818&gt;(60-PARAM!$B$56))*HLOOKUP(($B818+PARAM!$B$56)/12,Loyalty,2)*$F$1*MAX(AD817,0)</f>
        <v>18.557001321003963</v>
      </c>
      <c r="AC818" s="75">
        <f>PARAM!$C$26+MAX($G$9-CHOOSE(PARAM!$B$44,MAX(0,AD817*$F$1),0),0)*RATES!$L794/12+$H$9*(PARAM!$D$51/12)*RATES!$N794/100</f>
        <v>1048.7083333333333</v>
      </c>
      <c r="AD818" s="16">
        <f t="shared" si="548"/>
        <v>-144694.73664596802</v>
      </c>
      <c r="AE818" s="15">
        <f t="shared" si="523"/>
        <v>22.170849845882874</v>
      </c>
      <c r="AF818" s="75">
        <f>AE818*(1-PARAM!$C$27)*$I$10+(MOD($B818,60)=PARAM!$B$56)*($B818&gt;(60-PARAM!$B$56))*HLOOKUP(($B818+PARAM!$B$56)/12,Loyalty,2)*$F$1*MAX(AH817,0)</f>
        <v>18.557001321003963</v>
      </c>
      <c r="AG818" s="75">
        <f>PARAM!$C$26+MAX($G$10-CHOOSE(PARAM!$B$44,MAX(0,AH817*$F$1),0),0)*RATES!$L794/12+$H$10*(PARAM!$D$51/12)*RATES!$N794/100</f>
        <v>1048.7083333333333</v>
      </c>
      <c r="AH818" s="16">
        <f t="shared" si="549"/>
        <v>-144694.73664596802</v>
      </c>
      <c r="AI818" s="15">
        <f t="shared" si="524"/>
        <v>22.170849845882874</v>
      </c>
      <c r="AJ818" s="75">
        <f>AI818*(1-PARAM!$C$27)*$I$11+(MOD($B818,60)=PARAM!$B$56)*($B818&gt;(60-PARAM!$B$56))*HLOOKUP(($B818+PARAM!$B$56)/12,Loyalty,2)*$F$1*MAX(AL817,0)</f>
        <v>18.557001321003963</v>
      </c>
      <c r="AK818" s="75">
        <f>PARAM!$C$26+MAX($G$11-CHOOSE(PARAM!$B$44,MAX(0,AL817*$F$1),0),0)*RATES!$L794/12+$H$11*(PARAM!$D$51/12)*RATES!$N794/100</f>
        <v>1048.7083333333333</v>
      </c>
      <c r="AL818" s="16">
        <f t="shared" si="550"/>
        <v>-144694.73664596802</v>
      </c>
      <c r="AM818" s="15">
        <f t="shared" si="525"/>
        <v>22.170849845882874</v>
      </c>
      <c r="AN818" s="75">
        <f>AM818*(1-PARAM!$C$27)*$I$12+(MOD($B818,60)=PARAM!$B$56)*($B818&gt;(60-PARAM!$B$56))*HLOOKUP(($B818+PARAM!$B$56)/12,Loyalty,2)*$F$1*MAX(AP817,0)</f>
        <v>18.557001321003963</v>
      </c>
      <c r="AO818" s="75">
        <f>PARAM!$C$26+MAX($G$12-CHOOSE(PARAM!$B$44,MAX(0,AP817*$F$1),0),0)*RATES!$L794/12+$H$12*(PARAM!$D$51/12)*RATES!$N794/100</f>
        <v>1048.7083333333333</v>
      </c>
      <c r="AP818" s="16">
        <f t="shared" si="551"/>
        <v>-144694.73664596802</v>
      </c>
      <c r="AQ818" s="15">
        <f t="shared" si="526"/>
        <v>22.170849845882874</v>
      </c>
      <c r="AR818" s="75">
        <f>AQ818*(1-PARAM!$C$27)*$I$13+(MOD($B818,60)=PARAM!$B$56)*($B818&gt;(60-PARAM!$B$56))*HLOOKUP(($B818+PARAM!$B$56)/12,Loyalty,2)*$F$1*MAX(AT817,0)</f>
        <v>18.557001321003963</v>
      </c>
      <c r="AS818" s="75">
        <f>PARAM!$C$26+MAX($G$13-CHOOSE(PARAM!$B$44,MAX(0,AT817*$F$1),0),0)*RATES!$L794/12+$H$13*(PARAM!$D$51/12)*RATES!$N794/100</f>
        <v>1048.7083333333333</v>
      </c>
      <c r="AT818" s="16">
        <f t="shared" si="552"/>
        <v>-144694.73664596802</v>
      </c>
      <c r="AU818" s="15">
        <f t="shared" si="527"/>
        <v>22.170849845882874</v>
      </c>
      <c r="AV818" s="75">
        <f>AU818*(1-PARAM!$C$27)*$I$14+(MOD($B818,60)=PARAM!$B$56)*($B818&gt;(60-PARAM!$B$56))*HLOOKUP(($B818+PARAM!$B$56)/12,Loyalty,2)*$F$1*MAX(AX817,0)</f>
        <v>18.557001321003963</v>
      </c>
      <c r="AW818" s="75">
        <f>PARAM!$C$26+MAX($G$14-CHOOSE(PARAM!$B$44,MAX(0,AX817*$F$1),0),0)*RATES!$L794/12+$H$14*(PARAM!$D$51/12)*RATES!$N794/100</f>
        <v>1048.7083333333333</v>
      </c>
      <c r="AX818" s="16">
        <f t="shared" si="553"/>
        <v>-144694.73664596802</v>
      </c>
      <c r="AY818" s="15">
        <f t="shared" si="528"/>
        <v>22.170849845882874</v>
      </c>
      <c r="AZ818" s="75">
        <f>AY818*(1-PARAM!$C$27)*$I$15+(MOD($B818,60)=PARAM!$B$56)*($B818&gt;(60-PARAM!$B$56))*HLOOKUP(($B818+PARAM!$B$56)/12,Loyalty,2)*$F$1*MAX(BB817,0)</f>
        <v>18.557001321003963</v>
      </c>
      <c r="BA818" s="75">
        <f>PARAM!$C$26+MAX($G$15-CHOOSE(PARAM!$B$44,MAX(0,BB817*$F$1),0),0)*RATES!$L794/12+$H$15*(PARAM!$D$51/12)*RATES!$N794/100</f>
        <v>1048.7083333333333</v>
      </c>
      <c r="BB818" s="16">
        <f t="shared" si="554"/>
        <v>-144694.73664596802</v>
      </c>
      <c r="BC818" s="15">
        <f t="shared" si="529"/>
        <v>22.170849845882874</v>
      </c>
      <c r="BD818" s="75">
        <f>BC818*(1-PARAM!$C$27)*$I$16+(MOD($B818,60)=PARAM!$B$56)*($B818&gt;(60-PARAM!$B$56))*HLOOKUP(($B818+PARAM!$B$56)/12,Loyalty,2)*$F$1*MAX(BF817,0)</f>
        <v>18.557001321003963</v>
      </c>
      <c r="BE818" s="75">
        <f>PARAM!$C$26+MAX($G$16-CHOOSE(PARAM!$B$44,MAX(0,BF817*$F$1),0),0)*RATES!$L794/12+$H$16*(PARAM!$D$51/12)*RATES!$N794/100</f>
        <v>1048.7083333333333</v>
      </c>
      <c r="BF818" s="16">
        <f t="shared" si="555"/>
        <v>-144694.73664596802</v>
      </c>
      <c r="BG818" s="15">
        <f t="shared" si="530"/>
        <v>22.170849845882874</v>
      </c>
      <c r="BH818" s="75">
        <f>BG818*(1-PARAM!$C$27)*$I$17+(MOD($B818,60)=PARAM!$B$56)*($B818&gt;(60-PARAM!$B$56))*HLOOKUP(($B818+PARAM!$B$56)/12,Loyalty,2)*$F$1*MAX(BJ817,0)</f>
        <v>18.557001321003963</v>
      </c>
      <c r="BI818" s="75">
        <f>PARAM!$C$26+MAX($G$17-CHOOSE(PARAM!$B$44,MAX(0,BJ817*$F$1),0),0)*RATES!$L794/12+$H$17*(PARAM!$D$51/12)*RATES!$N794/100</f>
        <v>1048.7083333333333</v>
      </c>
      <c r="BJ818" s="16">
        <f t="shared" si="556"/>
        <v>-144694.73664596802</v>
      </c>
      <c r="BK818" s="15">
        <f t="shared" si="531"/>
        <v>22.170849845882874</v>
      </c>
      <c r="BL818" s="75">
        <f>BK818*(1-PARAM!$C$27)*$I$18+(MOD($B818,60)=PARAM!$B$56)*($B818&gt;(60-PARAM!$B$56))*HLOOKUP(($B818+PARAM!$B$56)/12,Loyalty,2)*$F$1*MAX(BN817,0)</f>
        <v>18.557001321003963</v>
      </c>
      <c r="BM818" s="75">
        <f>PARAM!$C$26+MAX($G$18-CHOOSE(PARAM!$B$44,MAX(0,BN817*$F$1),0),0)*RATES!$L794/12+$H$18*(PARAM!$D$51/12)*RATES!$N794/100</f>
        <v>1048.7083333333333</v>
      </c>
      <c r="BN818" s="16">
        <f t="shared" si="557"/>
        <v>-144694.73664596802</v>
      </c>
      <c r="BO818" s="15">
        <f t="shared" si="532"/>
        <v>22.170849845882874</v>
      </c>
      <c r="BP818" s="75">
        <f>BO818*(1-PARAM!$C$27)*$I$19+(MOD($B818,60)=PARAM!$B$56)*($B818&gt;(60-PARAM!$B$56))*HLOOKUP(($B818+PARAM!$B$56)/12,Loyalty,2)*$F$1*MAX(BR817,0)</f>
        <v>18.557001321003963</v>
      </c>
      <c r="BQ818" s="75">
        <f>PARAM!$C$26+MAX($G$19-CHOOSE(PARAM!$B$44,MAX(0,BR817*$F$1),0),0)*RATES!$L794/12+$H$19*(PARAM!$D$51/12)*RATES!$N794/100</f>
        <v>1048.7083333333333</v>
      </c>
      <c r="BR818" s="16">
        <f t="shared" si="558"/>
        <v>-144694.73664596802</v>
      </c>
      <c r="BS818" s="15">
        <f t="shared" si="533"/>
        <v>22.170849845882874</v>
      </c>
      <c r="BT818" s="75">
        <f>BS818*(1-PARAM!$C$27)*$I$20+(MOD($B818,60)=PARAM!$B$56)*($B818&gt;(60-PARAM!$B$56))*HLOOKUP(($B818+PARAM!$B$56)/12,Loyalty,2)*$F$1*MAX(BV817,0)</f>
        <v>18.557001321003963</v>
      </c>
      <c r="BU818" s="75">
        <f>PARAM!$C$26+MAX($G$20-CHOOSE(PARAM!$B$44,MAX(0,BV817*$F$1),0),0)*RATES!$L794/12+$H$20*(PARAM!$D$51/12)*RATES!$N794/100</f>
        <v>1048.7083333333333</v>
      </c>
      <c r="BV818" s="16">
        <f t="shared" si="559"/>
        <v>-144694.73664596802</v>
      </c>
      <c r="BW818" s="15">
        <f t="shared" si="534"/>
        <v>22.170849845882874</v>
      </c>
      <c r="BX818" s="75">
        <f>BW818*(1-PARAM!$C$27)*$I$21+(MOD($B818,60)=PARAM!$B$56)*($B818&gt;(60-PARAM!$B$56))*HLOOKUP(($B818+PARAM!$B$56)/12,Loyalty,2)*$F$1*MAX(BZ817,0)</f>
        <v>18.557001321003963</v>
      </c>
      <c r="BY818" s="75">
        <f>PARAM!$C$26+MAX($G$21-CHOOSE(PARAM!$B$44,MAX(0,BZ817*$F$1),0),0)*RATES!$L794/12+$H$21*(PARAM!$D$51/12)*RATES!$N794/100</f>
        <v>1048.7083333333333</v>
      </c>
      <c r="BZ818" s="16">
        <f t="shared" si="560"/>
        <v>-144694.73664596802</v>
      </c>
      <c r="CA818" s="15">
        <f t="shared" si="535"/>
        <v>22.170849845882874</v>
      </c>
      <c r="CB818" s="75">
        <f>CA818*(1-PARAM!$C$27)*$I$22+(MOD($B818,60)=PARAM!$B$56)*($B818&gt;(60-PARAM!$B$56))*HLOOKUP(($B818+PARAM!$B$56)/12,Loyalty,2)*$F$1*MAX(CD817,0)</f>
        <v>18.557001321003963</v>
      </c>
      <c r="CC818" s="75">
        <f>PARAM!$C$26+MAX($G$22-CHOOSE(PARAM!$B$44,MAX(0,CD817*$F$1),0),0)*RATES!$L794/12+$H$22*(PARAM!$D$51/12)*RATES!$N794/100</f>
        <v>1048.7083333333333</v>
      </c>
      <c r="CD818" s="16">
        <f t="shared" si="561"/>
        <v>-144694.73664596802</v>
      </c>
      <c r="CE818" s="33">
        <f>IF(0=MOD(B818,12/PARAM!$D$51),1,0)</f>
        <v>1</v>
      </c>
      <c r="CF818" s="15">
        <f t="shared" si="536"/>
        <v>0</v>
      </c>
      <c r="CG818" s="75">
        <f>CF818*(1-PARAM!$C$27)*$R$3+(MOD($B818/12,5)=0)*($B818&gt;60)*HLOOKUP($B818/12,Loyalty,2)*$F$1*MAX(CI817,0)</f>
        <v>0</v>
      </c>
      <c r="CH818" s="75">
        <f>PARAM!$C$26+MAX($P$3-CHOOSE(PARAM!$B$44,MAX(0,CI817*$F$1),0),0)*RATES!$L794/12+$Q$3*(PARAM!$D$51/12)*RATES!$N794/100</f>
        <v>1048.7083333333333</v>
      </c>
      <c r="CI818" s="16">
        <f>IF(CI817&gt;0,CI817*PARAM!$C$53,CI817)+CG818-CH818</f>
        <v>-159253.75000000035</v>
      </c>
      <c r="CJ818" s="15">
        <f t="shared" si="562"/>
        <v>0</v>
      </c>
      <c r="CK818" s="75">
        <f>CJ818*(1-PARAM!$C$27)*$R$4+(MOD($B818/12,5)=0)*($B818&gt;60)*HLOOKUP($B818/12,Loyalty,2)*$F$1*MAX(CM817,0)</f>
        <v>0</v>
      </c>
      <c r="CL818" s="75">
        <f>PARAM!$C$26+MAX($P$4-CHOOSE(PARAM!$B$44,MAX(0,CM817*$F$1),0),0)*RATES!$L794/12+$Q$4*(PARAM!$D$51/12)*RATES!$N794/100</f>
        <v>1048.7083333333333</v>
      </c>
      <c r="CM818" s="16">
        <f>IF(CM817&gt;0,CM817*PARAM!$C$53,CM817)+CK818-CL818</f>
        <v>-159253.75000000035</v>
      </c>
      <c r="CO818" s="176"/>
    </row>
    <row r="819" spans="1:93" x14ac:dyDescent="0.2">
      <c r="A819" t="b">
        <f t="shared" si="537"/>
        <v>0</v>
      </c>
      <c r="B819" s="33">
        <v>792</v>
      </c>
      <c r="C819" s="15">
        <f t="shared" si="538"/>
        <v>20.081305947392778</v>
      </c>
      <c r="D819" s="75">
        <f>C819*(1-PARAM!$C$27)*$I$3+(MOD($B819,60)=PARAM!$B$56)*($B819&gt;(60-PARAM!$B$56))*HLOOKUP(($B819+PARAM!$B$56)/12,Loyalty,2)*$F$1*MAX(F818,0)</f>
        <v>16.808053077967756</v>
      </c>
      <c r="E819" s="75">
        <f>PARAM!$C$26+MAX($G$3-CHOOSE(PARAM!$B$44,MAX(0,F818*$F$1),0),0)*RATES!$L795/12+$H$3*(PARAM!$D$51/12)*RATES!$N795/100</f>
        <v>1048.7083333333333</v>
      </c>
      <c r="F819" s="16">
        <f t="shared" si="539"/>
        <v>-147146.90548698677</v>
      </c>
      <c r="G819" s="15">
        <f t="shared" si="540"/>
        <v>22.035289406060361</v>
      </c>
      <c r="H819" s="75">
        <f>G819*(1-PARAM!$C$27)*$I$4+(MOD($B819,60)=PARAM!$B$56)*($B819&gt;(60-PARAM!$B$56))*HLOOKUP(($B819+PARAM!$B$56)/12,Loyalty,2)*$F$1*MAX(J818,0)</f>
        <v>18.443537232872522</v>
      </c>
      <c r="I819" s="75">
        <f>PARAM!$C$26+MAX($G$4-CHOOSE(PARAM!$B$44,MAX(0,J818*$F$1),0),0)*RATES!$L795/12+$H$4*(PARAM!$D$51/12)*RATES!$N795/100</f>
        <v>1048.7083333333333</v>
      </c>
      <c r="J819" s="16">
        <f t="shared" si="541"/>
        <v>-145817.76907218026</v>
      </c>
      <c r="K819" s="15">
        <f t="shared" si="542"/>
        <v>22.170849845882874</v>
      </c>
      <c r="L819" s="75">
        <f>K819*(1-PARAM!$C$27)*$I$5+(MOD($B819,60)=PARAM!$B$56)*($B819&gt;(60-PARAM!$B$56))*HLOOKUP(($B819+PARAM!$B$56)/12,Loyalty,2)*$F$1*MAX(N818,0)</f>
        <v>18.557001321003963</v>
      </c>
      <c r="M819" s="75">
        <f>PARAM!$C$26+MAX($G$5-CHOOSE(PARAM!$B$44,MAX(0,N818*$F$1),0),0)*RATES!$L795/12+$H$5*(PARAM!$D$51/12)*RATES!$N795/100</f>
        <v>1048.7083333333333</v>
      </c>
      <c r="N819" s="16">
        <f t="shared" si="543"/>
        <v>-145724.88797798037</v>
      </c>
      <c r="O819" s="15">
        <f t="shared" si="544"/>
        <v>22.170849845882874</v>
      </c>
      <c r="P819" s="75">
        <f>O819*(1-PARAM!$C$27)*$I$6+(MOD($B819,60)=PARAM!$B$56)*($B819&gt;(60-PARAM!$B$56))*HLOOKUP(($B819+PARAM!$B$56)/12,Loyalty,2)*$F$1*MAX(R818,0)</f>
        <v>18.557001321003963</v>
      </c>
      <c r="Q819" s="75">
        <f>PARAM!$C$26+MAX($G$6-CHOOSE(PARAM!$B$44,MAX(0,R818*$F$1),0),0)*RATES!$L795/12+$H$6*(PARAM!$D$51/12)*RATES!$N795/100</f>
        <v>1048.7083333333333</v>
      </c>
      <c r="R819" s="16">
        <f t="shared" si="545"/>
        <v>-145724.88797798037</v>
      </c>
      <c r="S819" s="15">
        <f t="shared" si="520"/>
        <v>22.170849845882874</v>
      </c>
      <c r="T819" s="75">
        <f>S819*(1-PARAM!$C$27)*$I$7+(MOD($B819,60)=PARAM!$B$56)*($B819&gt;(60-PARAM!$B$56))*HLOOKUP(($B819+PARAM!$B$56)/12,Loyalty,2)*$F$1*MAX(V818,0)</f>
        <v>18.557001321003963</v>
      </c>
      <c r="U819" s="75">
        <f>PARAM!$C$26+MAX($G$7-CHOOSE(PARAM!$B$44,MAX(0,V818*$F$1),0),0)*RATES!$L795/12+$H$7*(PARAM!$D$51/12)*RATES!$N795/100</f>
        <v>1048.7083333333333</v>
      </c>
      <c r="V819" s="16">
        <f t="shared" si="546"/>
        <v>-145724.88797798037</v>
      </c>
      <c r="W819" s="15">
        <f t="shared" si="521"/>
        <v>22.170849845882874</v>
      </c>
      <c r="X819" s="75">
        <f>W819*(1-PARAM!$C$27)*$I$8+(MOD($B819,60)=PARAM!$B$56)*($B819&gt;(60-PARAM!$B$56))*HLOOKUP(($B819+PARAM!$B$56)/12,Loyalty,2)*$F$1*MAX(Z818,0)</f>
        <v>18.557001321003963</v>
      </c>
      <c r="Y819" s="75">
        <f>PARAM!$C$26+MAX($G$8-CHOOSE(PARAM!$B$44,MAX(0,Z818*$F$1),0),0)*RATES!$L795/12+$H$8*(PARAM!$D$51/12)*RATES!$N795/100</f>
        <v>1048.7083333333333</v>
      </c>
      <c r="Z819" s="16">
        <f t="shared" si="547"/>
        <v>-145724.88797798037</v>
      </c>
      <c r="AA819" s="15">
        <f t="shared" si="522"/>
        <v>22.170849845882874</v>
      </c>
      <c r="AB819" s="75">
        <f>AA819*(1-PARAM!$C$27)*$I$9+(MOD($B819,60)=PARAM!$B$56)*($B819&gt;(60-PARAM!$B$56))*HLOOKUP(($B819+PARAM!$B$56)/12,Loyalty,2)*$F$1*MAX(AD818,0)</f>
        <v>18.557001321003963</v>
      </c>
      <c r="AC819" s="75">
        <f>PARAM!$C$26+MAX($G$9-CHOOSE(PARAM!$B$44,MAX(0,AD818*$F$1),0),0)*RATES!$L795/12+$H$9*(PARAM!$D$51/12)*RATES!$N795/100</f>
        <v>1048.7083333333333</v>
      </c>
      <c r="AD819" s="16">
        <f t="shared" si="548"/>
        <v>-145724.88797798037</v>
      </c>
      <c r="AE819" s="15">
        <f t="shared" si="523"/>
        <v>22.170849845882874</v>
      </c>
      <c r="AF819" s="75">
        <f>AE819*(1-PARAM!$C$27)*$I$10+(MOD($B819,60)=PARAM!$B$56)*($B819&gt;(60-PARAM!$B$56))*HLOOKUP(($B819+PARAM!$B$56)/12,Loyalty,2)*$F$1*MAX(AH818,0)</f>
        <v>18.557001321003963</v>
      </c>
      <c r="AG819" s="75">
        <f>PARAM!$C$26+MAX($G$10-CHOOSE(PARAM!$B$44,MAX(0,AH818*$F$1),0),0)*RATES!$L795/12+$H$10*(PARAM!$D$51/12)*RATES!$N795/100</f>
        <v>1048.7083333333333</v>
      </c>
      <c r="AH819" s="16">
        <f t="shared" si="549"/>
        <v>-145724.88797798037</v>
      </c>
      <c r="AI819" s="15">
        <f t="shared" si="524"/>
        <v>22.170849845882874</v>
      </c>
      <c r="AJ819" s="75">
        <f>AI819*(1-PARAM!$C$27)*$I$11+(MOD($B819,60)=PARAM!$B$56)*($B819&gt;(60-PARAM!$B$56))*HLOOKUP(($B819+PARAM!$B$56)/12,Loyalty,2)*$F$1*MAX(AL818,0)</f>
        <v>18.557001321003963</v>
      </c>
      <c r="AK819" s="75">
        <f>PARAM!$C$26+MAX($G$11-CHOOSE(PARAM!$B$44,MAX(0,AL818*$F$1),0),0)*RATES!$L795/12+$H$11*(PARAM!$D$51/12)*RATES!$N795/100</f>
        <v>1048.7083333333333</v>
      </c>
      <c r="AL819" s="16">
        <f t="shared" si="550"/>
        <v>-145724.88797798037</v>
      </c>
      <c r="AM819" s="15">
        <f t="shared" si="525"/>
        <v>22.170849845882874</v>
      </c>
      <c r="AN819" s="75">
        <f>AM819*(1-PARAM!$C$27)*$I$12+(MOD($B819,60)=PARAM!$B$56)*($B819&gt;(60-PARAM!$B$56))*HLOOKUP(($B819+PARAM!$B$56)/12,Loyalty,2)*$F$1*MAX(AP818,0)</f>
        <v>18.557001321003963</v>
      </c>
      <c r="AO819" s="75">
        <f>PARAM!$C$26+MAX($G$12-CHOOSE(PARAM!$B$44,MAX(0,AP818*$F$1),0),0)*RATES!$L795/12+$H$12*(PARAM!$D$51/12)*RATES!$N795/100</f>
        <v>1048.7083333333333</v>
      </c>
      <c r="AP819" s="16">
        <f t="shared" si="551"/>
        <v>-145724.88797798037</v>
      </c>
      <c r="AQ819" s="15">
        <f t="shared" si="526"/>
        <v>22.170849845882874</v>
      </c>
      <c r="AR819" s="75">
        <f>AQ819*(1-PARAM!$C$27)*$I$13+(MOD($B819,60)=PARAM!$B$56)*($B819&gt;(60-PARAM!$B$56))*HLOOKUP(($B819+PARAM!$B$56)/12,Loyalty,2)*$F$1*MAX(AT818,0)</f>
        <v>18.557001321003963</v>
      </c>
      <c r="AS819" s="75">
        <f>PARAM!$C$26+MAX($G$13-CHOOSE(PARAM!$B$44,MAX(0,AT818*$F$1),0),0)*RATES!$L795/12+$H$13*(PARAM!$D$51/12)*RATES!$N795/100</f>
        <v>1048.7083333333333</v>
      </c>
      <c r="AT819" s="16">
        <f t="shared" si="552"/>
        <v>-145724.88797798037</v>
      </c>
      <c r="AU819" s="15">
        <f t="shared" si="527"/>
        <v>22.170849845882874</v>
      </c>
      <c r="AV819" s="75">
        <f>AU819*(1-PARAM!$C$27)*$I$14+(MOD($B819,60)=PARAM!$B$56)*($B819&gt;(60-PARAM!$B$56))*HLOOKUP(($B819+PARAM!$B$56)/12,Loyalty,2)*$F$1*MAX(AX818,0)</f>
        <v>18.557001321003963</v>
      </c>
      <c r="AW819" s="75">
        <f>PARAM!$C$26+MAX($G$14-CHOOSE(PARAM!$B$44,MAX(0,AX818*$F$1),0),0)*RATES!$L795/12+$H$14*(PARAM!$D$51/12)*RATES!$N795/100</f>
        <v>1048.7083333333333</v>
      </c>
      <c r="AX819" s="16">
        <f t="shared" si="553"/>
        <v>-145724.88797798037</v>
      </c>
      <c r="AY819" s="15">
        <f t="shared" si="528"/>
        <v>22.170849845882874</v>
      </c>
      <c r="AZ819" s="75">
        <f>AY819*(1-PARAM!$C$27)*$I$15+(MOD($B819,60)=PARAM!$B$56)*($B819&gt;(60-PARAM!$B$56))*HLOOKUP(($B819+PARAM!$B$56)/12,Loyalty,2)*$F$1*MAX(BB818,0)</f>
        <v>18.557001321003963</v>
      </c>
      <c r="BA819" s="75">
        <f>PARAM!$C$26+MAX($G$15-CHOOSE(PARAM!$B$44,MAX(0,BB818*$F$1),0),0)*RATES!$L795/12+$H$15*(PARAM!$D$51/12)*RATES!$N795/100</f>
        <v>1048.7083333333333</v>
      </c>
      <c r="BB819" s="16">
        <f t="shared" si="554"/>
        <v>-145724.88797798037</v>
      </c>
      <c r="BC819" s="15">
        <f t="shared" si="529"/>
        <v>22.170849845882874</v>
      </c>
      <c r="BD819" s="75">
        <f>BC819*(1-PARAM!$C$27)*$I$16+(MOD($B819,60)=PARAM!$B$56)*($B819&gt;(60-PARAM!$B$56))*HLOOKUP(($B819+PARAM!$B$56)/12,Loyalty,2)*$F$1*MAX(BF818,0)</f>
        <v>18.557001321003963</v>
      </c>
      <c r="BE819" s="75">
        <f>PARAM!$C$26+MAX($G$16-CHOOSE(PARAM!$B$44,MAX(0,BF818*$F$1),0),0)*RATES!$L795/12+$H$16*(PARAM!$D$51/12)*RATES!$N795/100</f>
        <v>1048.7083333333333</v>
      </c>
      <c r="BF819" s="16">
        <f t="shared" si="555"/>
        <v>-145724.88797798037</v>
      </c>
      <c r="BG819" s="15">
        <f t="shared" si="530"/>
        <v>22.170849845882874</v>
      </c>
      <c r="BH819" s="75">
        <f>BG819*(1-PARAM!$C$27)*$I$17+(MOD($B819,60)=PARAM!$B$56)*($B819&gt;(60-PARAM!$B$56))*HLOOKUP(($B819+PARAM!$B$56)/12,Loyalty,2)*$F$1*MAX(BJ818,0)</f>
        <v>18.557001321003963</v>
      </c>
      <c r="BI819" s="75">
        <f>PARAM!$C$26+MAX($G$17-CHOOSE(PARAM!$B$44,MAX(0,BJ818*$F$1),0),0)*RATES!$L795/12+$H$17*(PARAM!$D$51/12)*RATES!$N795/100</f>
        <v>1048.7083333333333</v>
      </c>
      <c r="BJ819" s="16">
        <f t="shared" si="556"/>
        <v>-145724.88797798037</v>
      </c>
      <c r="BK819" s="15">
        <f t="shared" si="531"/>
        <v>22.170849845882874</v>
      </c>
      <c r="BL819" s="75">
        <f>BK819*(1-PARAM!$C$27)*$I$18+(MOD($B819,60)=PARAM!$B$56)*($B819&gt;(60-PARAM!$B$56))*HLOOKUP(($B819+PARAM!$B$56)/12,Loyalty,2)*$F$1*MAX(BN818,0)</f>
        <v>18.557001321003963</v>
      </c>
      <c r="BM819" s="75">
        <f>PARAM!$C$26+MAX($G$18-CHOOSE(PARAM!$B$44,MAX(0,BN818*$F$1),0),0)*RATES!$L795/12+$H$18*(PARAM!$D$51/12)*RATES!$N795/100</f>
        <v>1048.7083333333333</v>
      </c>
      <c r="BN819" s="16">
        <f t="shared" si="557"/>
        <v>-145724.88797798037</v>
      </c>
      <c r="BO819" s="15">
        <f t="shared" si="532"/>
        <v>22.170849845882874</v>
      </c>
      <c r="BP819" s="75">
        <f>BO819*(1-PARAM!$C$27)*$I$19+(MOD($B819,60)=PARAM!$B$56)*($B819&gt;(60-PARAM!$B$56))*HLOOKUP(($B819+PARAM!$B$56)/12,Loyalty,2)*$F$1*MAX(BR818,0)</f>
        <v>18.557001321003963</v>
      </c>
      <c r="BQ819" s="75">
        <f>PARAM!$C$26+MAX($G$19-CHOOSE(PARAM!$B$44,MAX(0,BR818*$F$1),0),0)*RATES!$L795/12+$H$19*(PARAM!$D$51/12)*RATES!$N795/100</f>
        <v>1048.7083333333333</v>
      </c>
      <c r="BR819" s="16">
        <f t="shared" si="558"/>
        <v>-145724.88797798037</v>
      </c>
      <c r="BS819" s="15">
        <f t="shared" si="533"/>
        <v>22.170849845882874</v>
      </c>
      <c r="BT819" s="75">
        <f>BS819*(1-PARAM!$C$27)*$I$20+(MOD($B819,60)=PARAM!$B$56)*($B819&gt;(60-PARAM!$B$56))*HLOOKUP(($B819+PARAM!$B$56)/12,Loyalty,2)*$F$1*MAX(BV818,0)</f>
        <v>18.557001321003963</v>
      </c>
      <c r="BU819" s="75">
        <f>PARAM!$C$26+MAX($G$20-CHOOSE(PARAM!$B$44,MAX(0,BV818*$F$1),0),0)*RATES!$L795/12+$H$20*(PARAM!$D$51/12)*RATES!$N795/100</f>
        <v>1048.7083333333333</v>
      </c>
      <c r="BV819" s="16">
        <f t="shared" si="559"/>
        <v>-145724.88797798037</v>
      </c>
      <c r="BW819" s="15">
        <f t="shared" si="534"/>
        <v>22.170849845882874</v>
      </c>
      <c r="BX819" s="75">
        <f>BW819*(1-PARAM!$C$27)*$I$21+(MOD($B819,60)=PARAM!$B$56)*($B819&gt;(60-PARAM!$B$56))*HLOOKUP(($B819+PARAM!$B$56)/12,Loyalty,2)*$F$1*MAX(BZ818,0)</f>
        <v>18.557001321003963</v>
      </c>
      <c r="BY819" s="75">
        <f>PARAM!$C$26+MAX($G$21-CHOOSE(PARAM!$B$44,MAX(0,BZ818*$F$1),0),0)*RATES!$L795/12+$H$21*(PARAM!$D$51/12)*RATES!$N795/100</f>
        <v>1048.7083333333333</v>
      </c>
      <c r="BZ819" s="16">
        <f t="shared" si="560"/>
        <v>-145724.88797798037</v>
      </c>
      <c r="CA819" s="15">
        <f t="shared" si="535"/>
        <v>22.170849845882874</v>
      </c>
      <c r="CB819" s="75">
        <f>CA819*(1-PARAM!$C$27)*$I$22+(MOD($B819,60)=PARAM!$B$56)*($B819&gt;(60-PARAM!$B$56))*HLOOKUP(($B819+PARAM!$B$56)/12,Loyalty,2)*$F$1*MAX(CD818,0)</f>
        <v>18.557001321003963</v>
      </c>
      <c r="CC819" s="75">
        <f>PARAM!$C$26+MAX($G$22-CHOOSE(PARAM!$B$44,MAX(0,CD818*$F$1),0),0)*RATES!$L795/12+$H$22*(PARAM!$D$51/12)*RATES!$N795/100</f>
        <v>1048.7083333333333</v>
      </c>
      <c r="CD819" s="16">
        <f t="shared" si="561"/>
        <v>-145724.88797798037</v>
      </c>
      <c r="CE819" s="33">
        <f>IF(0=MOD(B819,12/PARAM!$D$51),1,0)</f>
        <v>1</v>
      </c>
      <c r="CF819" s="15">
        <f t="shared" si="536"/>
        <v>0</v>
      </c>
      <c r="CG819" s="75">
        <f>CF819*(1-PARAM!$C$27)*$R$3+(MOD($B819/12,5)=0)*($B819&gt;60)*HLOOKUP($B819/12,Loyalty,2)*$F$1*MAX(CI818,0)</f>
        <v>0</v>
      </c>
      <c r="CH819" s="75">
        <f>PARAM!$C$26+MAX($P$3-CHOOSE(PARAM!$B$44,MAX(0,CI818*$F$1),0),0)*RATES!$L795/12+$Q$3*(PARAM!$D$51/12)*RATES!$N795/100</f>
        <v>1048.7083333333333</v>
      </c>
      <c r="CI819" s="16">
        <f>IF(CI818&gt;0,CI818*PARAM!$C$53,CI818)+CG819-CH819</f>
        <v>-160302.45833333369</v>
      </c>
      <c r="CJ819" s="15">
        <f t="shared" si="562"/>
        <v>0</v>
      </c>
      <c r="CK819" s="75">
        <f>CJ819*(1-PARAM!$C$27)*$R$4+(MOD($B819/12,5)=0)*($B819&gt;60)*HLOOKUP($B819/12,Loyalty,2)*$F$1*MAX(CM818,0)</f>
        <v>0</v>
      </c>
      <c r="CL819" s="75">
        <f>PARAM!$C$26+MAX($P$4-CHOOSE(PARAM!$B$44,MAX(0,CM818*$F$1),0),0)*RATES!$L795/12+$Q$4*(PARAM!$D$51/12)*RATES!$N795/100</f>
        <v>1048.7083333333333</v>
      </c>
      <c r="CM819" s="16">
        <f>IF(CM818&gt;0,CM818*PARAM!$C$53,CM818)+CK819-CL819</f>
        <v>-160302.45833333369</v>
      </c>
      <c r="CO819" s="176"/>
    </row>
    <row r="820" spans="1:93" x14ac:dyDescent="0.2">
      <c r="A820" t="b">
        <f t="shared" si="537"/>
        <v>0</v>
      </c>
      <c r="B820" s="33">
        <v>793</v>
      </c>
      <c r="C820" s="15">
        <f t="shared" si="538"/>
        <v>20.081305947392778</v>
      </c>
      <c r="D820" s="75">
        <f>C820*(1-PARAM!$C$27)*$I$3+(MOD($B820,60)=PARAM!$B$56)*($B820&gt;(60-PARAM!$B$56))*HLOOKUP(($B820+PARAM!$B$56)/12,Loyalty,2)*$F$1*MAX(F819,0)</f>
        <v>16.808053077967756</v>
      </c>
      <c r="E820" s="75">
        <f>PARAM!$C$26+MAX($G$3-CHOOSE(PARAM!$B$44,MAX(0,F819*$F$1),0),0)*RATES!$L796/12+$H$3*(PARAM!$D$51/12)*RATES!$N796/100</f>
        <v>1048.7083333333333</v>
      </c>
      <c r="F820" s="16">
        <f t="shared" si="539"/>
        <v>-148178.80576724216</v>
      </c>
      <c r="G820" s="15">
        <f t="shared" si="540"/>
        <v>22.035289406060361</v>
      </c>
      <c r="H820" s="75">
        <f>G820*(1-PARAM!$C$27)*$I$4+(MOD($B820,60)=PARAM!$B$56)*($B820&gt;(60-PARAM!$B$56))*HLOOKUP(($B820+PARAM!$B$56)/12,Loyalty,2)*$F$1*MAX(J819,0)</f>
        <v>18.443537232872522</v>
      </c>
      <c r="I820" s="75">
        <f>PARAM!$C$26+MAX($G$4-CHOOSE(PARAM!$B$44,MAX(0,J819*$F$1),0),0)*RATES!$L796/12+$H$4*(PARAM!$D$51/12)*RATES!$N796/100</f>
        <v>1048.7083333333333</v>
      </c>
      <c r="J820" s="16">
        <f t="shared" si="541"/>
        <v>-146848.03386828073</v>
      </c>
      <c r="K820" s="15">
        <f t="shared" si="542"/>
        <v>22.170849845882874</v>
      </c>
      <c r="L820" s="75">
        <f>K820*(1-PARAM!$C$27)*$I$5+(MOD($B820,60)=PARAM!$B$56)*($B820&gt;(60-PARAM!$B$56))*HLOOKUP(($B820+PARAM!$B$56)/12,Loyalty,2)*$F$1*MAX(N819,0)</f>
        <v>18.557001321003963</v>
      </c>
      <c r="M820" s="75">
        <f>PARAM!$C$26+MAX($G$5-CHOOSE(PARAM!$B$44,MAX(0,N819*$F$1),0),0)*RATES!$L796/12+$H$5*(PARAM!$D$51/12)*RATES!$N796/100</f>
        <v>1048.7083333333333</v>
      </c>
      <c r="N820" s="16">
        <f t="shared" si="543"/>
        <v>-146755.03930999272</v>
      </c>
      <c r="O820" s="15">
        <f t="shared" si="544"/>
        <v>22.170849845882874</v>
      </c>
      <c r="P820" s="75">
        <f>O820*(1-PARAM!$C$27)*$I$6+(MOD($B820,60)=PARAM!$B$56)*($B820&gt;(60-PARAM!$B$56))*HLOOKUP(($B820+PARAM!$B$56)/12,Loyalty,2)*$F$1*MAX(R819,0)</f>
        <v>18.557001321003963</v>
      </c>
      <c r="Q820" s="75">
        <f>PARAM!$C$26+MAX($G$6-CHOOSE(PARAM!$B$44,MAX(0,R819*$F$1),0),0)*RATES!$L796/12+$H$6*(PARAM!$D$51/12)*RATES!$N796/100</f>
        <v>1048.7083333333333</v>
      </c>
      <c r="R820" s="16">
        <f t="shared" si="545"/>
        <v>-146755.03930999272</v>
      </c>
      <c r="S820" s="15">
        <f t="shared" si="520"/>
        <v>22.170849845882874</v>
      </c>
      <c r="T820" s="75">
        <f>S820*(1-PARAM!$C$27)*$I$7+(MOD($B820,60)=PARAM!$B$56)*($B820&gt;(60-PARAM!$B$56))*HLOOKUP(($B820+PARAM!$B$56)/12,Loyalty,2)*$F$1*MAX(V819,0)</f>
        <v>18.557001321003963</v>
      </c>
      <c r="U820" s="75">
        <f>PARAM!$C$26+MAX($G$7-CHOOSE(PARAM!$B$44,MAX(0,V819*$F$1),0),0)*RATES!$L796/12+$H$7*(PARAM!$D$51/12)*RATES!$N796/100</f>
        <v>1048.7083333333333</v>
      </c>
      <c r="V820" s="16">
        <f t="shared" si="546"/>
        <v>-146755.03930999272</v>
      </c>
      <c r="W820" s="15">
        <f t="shared" si="521"/>
        <v>22.170849845882874</v>
      </c>
      <c r="X820" s="75">
        <f>W820*(1-PARAM!$C$27)*$I$8+(MOD($B820,60)=PARAM!$B$56)*($B820&gt;(60-PARAM!$B$56))*HLOOKUP(($B820+PARAM!$B$56)/12,Loyalty,2)*$F$1*MAX(Z819,0)</f>
        <v>18.557001321003963</v>
      </c>
      <c r="Y820" s="75">
        <f>PARAM!$C$26+MAX($G$8-CHOOSE(PARAM!$B$44,MAX(0,Z819*$F$1),0),0)*RATES!$L796/12+$H$8*(PARAM!$D$51/12)*RATES!$N796/100</f>
        <v>1048.7083333333333</v>
      </c>
      <c r="Z820" s="16">
        <f t="shared" si="547"/>
        <v>-146755.03930999272</v>
      </c>
      <c r="AA820" s="15">
        <f t="shared" si="522"/>
        <v>22.170849845882874</v>
      </c>
      <c r="AB820" s="75">
        <f>AA820*(1-PARAM!$C$27)*$I$9+(MOD($B820,60)=PARAM!$B$56)*($B820&gt;(60-PARAM!$B$56))*HLOOKUP(($B820+PARAM!$B$56)/12,Loyalty,2)*$F$1*MAX(AD819,0)</f>
        <v>18.557001321003963</v>
      </c>
      <c r="AC820" s="75">
        <f>PARAM!$C$26+MAX($G$9-CHOOSE(PARAM!$B$44,MAX(0,AD819*$F$1),0),0)*RATES!$L796/12+$H$9*(PARAM!$D$51/12)*RATES!$N796/100</f>
        <v>1048.7083333333333</v>
      </c>
      <c r="AD820" s="16">
        <f t="shared" si="548"/>
        <v>-146755.03930999272</v>
      </c>
      <c r="AE820" s="15">
        <f t="shared" si="523"/>
        <v>22.170849845882874</v>
      </c>
      <c r="AF820" s="75">
        <f>AE820*(1-PARAM!$C$27)*$I$10+(MOD($B820,60)=PARAM!$B$56)*($B820&gt;(60-PARAM!$B$56))*HLOOKUP(($B820+PARAM!$B$56)/12,Loyalty,2)*$F$1*MAX(AH819,0)</f>
        <v>18.557001321003963</v>
      </c>
      <c r="AG820" s="75">
        <f>PARAM!$C$26+MAX($G$10-CHOOSE(PARAM!$B$44,MAX(0,AH819*$F$1),0),0)*RATES!$L796/12+$H$10*(PARAM!$D$51/12)*RATES!$N796/100</f>
        <v>1048.7083333333333</v>
      </c>
      <c r="AH820" s="16">
        <f t="shared" si="549"/>
        <v>-146755.03930999272</v>
      </c>
      <c r="AI820" s="15">
        <f t="shared" si="524"/>
        <v>22.170849845882874</v>
      </c>
      <c r="AJ820" s="75">
        <f>AI820*(1-PARAM!$C$27)*$I$11+(MOD($B820,60)=PARAM!$B$56)*($B820&gt;(60-PARAM!$B$56))*HLOOKUP(($B820+PARAM!$B$56)/12,Loyalty,2)*$F$1*MAX(AL819,0)</f>
        <v>18.557001321003963</v>
      </c>
      <c r="AK820" s="75">
        <f>PARAM!$C$26+MAX($G$11-CHOOSE(PARAM!$B$44,MAX(0,AL819*$F$1),0),0)*RATES!$L796/12+$H$11*(PARAM!$D$51/12)*RATES!$N796/100</f>
        <v>1048.7083333333333</v>
      </c>
      <c r="AL820" s="16">
        <f t="shared" si="550"/>
        <v>-146755.03930999272</v>
      </c>
      <c r="AM820" s="15">
        <f t="shared" si="525"/>
        <v>22.170849845882874</v>
      </c>
      <c r="AN820" s="75">
        <f>AM820*(1-PARAM!$C$27)*$I$12+(MOD($B820,60)=PARAM!$B$56)*($B820&gt;(60-PARAM!$B$56))*HLOOKUP(($B820+PARAM!$B$56)/12,Loyalty,2)*$F$1*MAX(AP819,0)</f>
        <v>18.557001321003963</v>
      </c>
      <c r="AO820" s="75">
        <f>PARAM!$C$26+MAX($G$12-CHOOSE(PARAM!$B$44,MAX(0,AP819*$F$1),0),0)*RATES!$L796/12+$H$12*(PARAM!$D$51/12)*RATES!$N796/100</f>
        <v>1048.7083333333333</v>
      </c>
      <c r="AP820" s="16">
        <f t="shared" si="551"/>
        <v>-146755.03930999272</v>
      </c>
      <c r="AQ820" s="15">
        <f t="shared" si="526"/>
        <v>22.170849845882874</v>
      </c>
      <c r="AR820" s="75">
        <f>AQ820*(1-PARAM!$C$27)*$I$13+(MOD($B820,60)=PARAM!$B$56)*($B820&gt;(60-PARAM!$B$56))*HLOOKUP(($B820+PARAM!$B$56)/12,Loyalty,2)*$F$1*MAX(AT819,0)</f>
        <v>18.557001321003963</v>
      </c>
      <c r="AS820" s="75">
        <f>PARAM!$C$26+MAX($G$13-CHOOSE(PARAM!$B$44,MAX(0,AT819*$F$1),0),0)*RATES!$L796/12+$H$13*(PARAM!$D$51/12)*RATES!$N796/100</f>
        <v>1048.7083333333333</v>
      </c>
      <c r="AT820" s="16">
        <f t="shared" si="552"/>
        <v>-146755.03930999272</v>
      </c>
      <c r="AU820" s="15">
        <f t="shared" si="527"/>
        <v>22.170849845882874</v>
      </c>
      <c r="AV820" s="75">
        <f>AU820*(1-PARAM!$C$27)*$I$14+(MOD($B820,60)=PARAM!$B$56)*($B820&gt;(60-PARAM!$B$56))*HLOOKUP(($B820+PARAM!$B$56)/12,Loyalty,2)*$F$1*MAX(AX819,0)</f>
        <v>18.557001321003963</v>
      </c>
      <c r="AW820" s="75">
        <f>PARAM!$C$26+MAX($G$14-CHOOSE(PARAM!$B$44,MAX(0,AX819*$F$1),0),0)*RATES!$L796/12+$H$14*(PARAM!$D$51/12)*RATES!$N796/100</f>
        <v>1048.7083333333333</v>
      </c>
      <c r="AX820" s="16">
        <f t="shared" si="553"/>
        <v>-146755.03930999272</v>
      </c>
      <c r="AY820" s="15">
        <f t="shared" si="528"/>
        <v>22.170849845882874</v>
      </c>
      <c r="AZ820" s="75">
        <f>AY820*(1-PARAM!$C$27)*$I$15+(MOD($B820,60)=PARAM!$B$56)*($B820&gt;(60-PARAM!$B$56))*HLOOKUP(($B820+PARAM!$B$56)/12,Loyalty,2)*$F$1*MAX(BB819,0)</f>
        <v>18.557001321003963</v>
      </c>
      <c r="BA820" s="75">
        <f>PARAM!$C$26+MAX($G$15-CHOOSE(PARAM!$B$44,MAX(0,BB819*$F$1),0),0)*RATES!$L796/12+$H$15*(PARAM!$D$51/12)*RATES!$N796/100</f>
        <v>1048.7083333333333</v>
      </c>
      <c r="BB820" s="16">
        <f t="shared" si="554"/>
        <v>-146755.03930999272</v>
      </c>
      <c r="BC820" s="15">
        <f t="shared" si="529"/>
        <v>22.170849845882874</v>
      </c>
      <c r="BD820" s="75">
        <f>BC820*(1-PARAM!$C$27)*$I$16+(MOD($B820,60)=PARAM!$B$56)*($B820&gt;(60-PARAM!$B$56))*HLOOKUP(($B820+PARAM!$B$56)/12,Loyalty,2)*$F$1*MAX(BF819,0)</f>
        <v>18.557001321003963</v>
      </c>
      <c r="BE820" s="75">
        <f>PARAM!$C$26+MAX($G$16-CHOOSE(PARAM!$B$44,MAX(0,BF819*$F$1),0),0)*RATES!$L796/12+$H$16*(PARAM!$D$51/12)*RATES!$N796/100</f>
        <v>1048.7083333333333</v>
      </c>
      <c r="BF820" s="16">
        <f t="shared" si="555"/>
        <v>-146755.03930999272</v>
      </c>
      <c r="BG820" s="15">
        <f t="shared" si="530"/>
        <v>22.170849845882874</v>
      </c>
      <c r="BH820" s="75">
        <f>BG820*(1-PARAM!$C$27)*$I$17+(MOD($B820,60)=PARAM!$B$56)*($B820&gt;(60-PARAM!$B$56))*HLOOKUP(($B820+PARAM!$B$56)/12,Loyalty,2)*$F$1*MAX(BJ819,0)</f>
        <v>18.557001321003963</v>
      </c>
      <c r="BI820" s="75">
        <f>PARAM!$C$26+MAX($G$17-CHOOSE(PARAM!$B$44,MAX(0,BJ819*$F$1),0),0)*RATES!$L796/12+$H$17*(PARAM!$D$51/12)*RATES!$N796/100</f>
        <v>1048.7083333333333</v>
      </c>
      <c r="BJ820" s="16">
        <f t="shared" si="556"/>
        <v>-146755.03930999272</v>
      </c>
      <c r="BK820" s="15">
        <f t="shared" si="531"/>
        <v>22.170849845882874</v>
      </c>
      <c r="BL820" s="75">
        <f>BK820*(1-PARAM!$C$27)*$I$18+(MOD($B820,60)=PARAM!$B$56)*($B820&gt;(60-PARAM!$B$56))*HLOOKUP(($B820+PARAM!$B$56)/12,Loyalty,2)*$F$1*MAX(BN819,0)</f>
        <v>18.557001321003963</v>
      </c>
      <c r="BM820" s="75">
        <f>PARAM!$C$26+MAX($G$18-CHOOSE(PARAM!$B$44,MAX(0,BN819*$F$1),0),0)*RATES!$L796/12+$H$18*(PARAM!$D$51/12)*RATES!$N796/100</f>
        <v>1048.7083333333333</v>
      </c>
      <c r="BN820" s="16">
        <f t="shared" si="557"/>
        <v>-146755.03930999272</v>
      </c>
      <c r="BO820" s="15">
        <f t="shared" si="532"/>
        <v>22.170849845882874</v>
      </c>
      <c r="BP820" s="75">
        <f>BO820*(1-PARAM!$C$27)*$I$19+(MOD($B820,60)=PARAM!$B$56)*($B820&gt;(60-PARAM!$B$56))*HLOOKUP(($B820+PARAM!$B$56)/12,Loyalty,2)*$F$1*MAX(BR819,0)</f>
        <v>18.557001321003963</v>
      </c>
      <c r="BQ820" s="75">
        <f>PARAM!$C$26+MAX($G$19-CHOOSE(PARAM!$B$44,MAX(0,BR819*$F$1),0),0)*RATES!$L796/12+$H$19*(PARAM!$D$51/12)*RATES!$N796/100</f>
        <v>1048.7083333333333</v>
      </c>
      <c r="BR820" s="16">
        <f t="shared" si="558"/>
        <v>-146755.03930999272</v>
      </c>
      <c r="BS820" s="15">
        <f t="shared" si="533"/>
        <v>22.170849845882874</v>
      </c>
      <c r="BT820" s="75">
        <f>BS820*(1-PARAM!$C$27)*$I$20+(MOD($B820,60)=PARAM!$B$56)*($B820&gt;(60-PARAM!$B$56))*HLOOKUP(($B820+PARAM!$B$56)/12,Loyalty,2)*$F$1*MAX(BV819,0)</f>
        <v>18.557001321003963</v>
      </c>
      <c r="BU820" s="75">
        <f>PARAM!$C$26+MAX($G$20-CHOOSE(PARAM!$B$44,MAX(0,BV819*$F$1),0),0)*RATES!$L796/12+$H$20*(PARAM!$D$51/12)*RATES!$N796/100</f>
        <v>1048.7083333333333</v>
      </c>
      <c r="BV820" s="16">
        <f t="shared" si="559"/>
        <v>-146755.03930999272</v>
      </c>
      <c r="BW820" s="15">
        <f t="shared" si="534"/>
        <v>22.170849845882874</v>
      </c>
      <c r="BX820" s="75">
        <f>BW820*(1-PARAM!$C$27)*$I$21+(MOD($B820,60)=PARAM!$B$56)*($B820&gt;(60-PARAM!$B$56))*HLOOKUP(($B820+PARAM!$B$56)/12,Loyalty,2)*$F$1*MAX(BZ819,0)</f>
        <v>18.557001321003963</v>
      </c>
      <c r="BY820" s="75">
        <f>PARAM!$C$26+MAX($G$21-CHOOSE(PARAM!$B$44,MAX(0,BZ819*$F$1),0),0)*RATES!$L796/12+$H$21*(PARAM!$D$51/12)*RATES!$N796/100</f>
        <v>1048.7083333333333</v>
      </c>
      <c r="BZ820" s="16">
        <f t="shared" si="560"/>
        <v>-146755.03930999272</v>
      </c>
      <c r="CA820" s="15">
        <f t="shared" si="535"/>
        <v>22.170849845882874</v>
      </c>
      <c r="CB820" s="75">
        <f>CA820*(1-PARAM!$C$27)*$I$22+(MOD($B820,60)=PARAM!$B$56)*($B820&gt;(60-PARAM!$B$56))*HLOOKUP(($B820+PARAM!$B$56)/12,Loyalty,2)*$F$1*MAX(CD819,0)</f>
        <v>18.557001321003963</v>
      </c>
      <c r="CC820" s="75">
        <f>PARAM!$C$26+MAX($G$22-CHOOSE(PARAM!$B$44,MAX(0,CD819*$F$1),0),0)*RATES!$L796/12+$H$22*(PARAM!$D$51/12)*RATES!$N796/100</f>
        <v>1048.7083333333333</v>
      </c>
      <c r="CD820" s="16">
        <f t="shared" si="561"/>
        <v>-146755.03930999272</v>
      </c>
      <c r="CE820" s="33">
        <f>IF(0=MOD(B820,12/PARAM!$D$51),1,0)</f>
        <v>1</v>
      </c>
      <c r="CF820" s="15">
        <f t="shared" si="536"/>
        <v>0</v>
      </c>
      <c r="CG820" s="75">
        <f>CF820*(1-PARAM!$C$27)*$R$3+(MOD($B820/12,5)=0)*($B820&gt;60)*HLOOKUP($B820/12,Loyalty,2)*$F$1*MAX(CI819,0)</f>
        <v>0</v>
      </c>
      <c r="CH820" s="75">
        <f>PARAM!$C$26+MAX($P$3-CHOOSE(PARAM!$B$44,MAX(0,CI819*$F$1),0),0)*RATES!$L796/12+$Q$3*(PARAM!$D$51/12)*RATES!$N796/100</f>
        <v>1048.7083333333333</v>
      </c>
      <c r="CI820" s="16">
        <f>IF(CI819&gt;0,CI819*PARAM!$C$53,CI819)+CG820-CH820</f>
        <v>-161351.16666666704</v>
      </c>
      <c r="CJ820" s="15">
        <f t="shared" si="562"/>
        <v>0</v>
      </c>
      <c r="CK820" s="75">
        <f>CJ820*(1-PARAM!$C$27)*$R$4+(MOD($B820/12,5)=0)*($B820&gt;60)*HLOOKUP($B820/12,Loyalty,2)*$F$1*MAX(CM819,0)</f>
        <v>0</v>
      </c>
      <c r="CL820" s="75">
        <f>PARAM!$C$26+MAX($P$4-CHOOSE(PARAM!$B$44,MAX(0,CM819*$F$1),0),0)*RATES!$L796/12+$Q$4*(PARAM!$D$51/12)*RATES!$N796/100</f>
        <v>1048.7083333333333</v>
      </c>
      <c r="CM820" s="16">
        <f>IF(CM819&gt;0,CM819*PARAM!$C$53,CM819)+CK820-CL820</f>
        <v>-161351.16666666704</v>
      </c>
      <c r="CO820" s="176"/>
    </row>
    <row r="821" spans="1:93" x14ac:dyDescent="0.2">
      <c r="A821" t="b">
        <f t="shared" si="537"/>
        <v>0</v>
      </c>
      <c r="B821" s="33">
        <v>794</v>
      </c>
      <c r="C821" s="15">
        <f t="shared" si="538"/>
        <v>20.081305947392778</v>
      </c>
      <c r="D821" s="75">
        <f>C821*(1-PARAM!$C$27)*$I$3+(MOD($B821,60)=PARAM!$B$56)*($B821&gt;(60-PARAM!$B$56))*HLOOKUP(($B821+PARAM!$B$56)/12,Loyalty,2)*$F$1*MAX(F820,0)</f>
        <v>16.808053077967756</v>
      </c>
      <c r="E821" s="75">
        <f>PARAM!$C$26+MAX($G$3-CHOOSE(PARAM!$B$44,MAX(0,F820*$F$1),0),0)*RATES!$L797/12+$H$3*(PARAM!$D$51/12)*RATES!$N797/100</f>
        <v>1048.7083333333333</v>
      </c>
      <c r="F821" s="16">
        <f t="shared" si="539"/>
        <v>-149210.70604749754</v>
      </c>
      <c r="G821" s="15">
        <f t="shared" si="540"/>
        <v>22.035289406060361</v>
      </c>
      <c r="H821" s="75">
        <f>G821*(1-PARAM!$C$27)*$I$4+(MOD($B821,60)=PARAM!$B$56)*($B821&gt;(60-PARAM!$B$56))*HLOOKUP(($B821+PARAM!$B$56)/12,Loyalty,2)*$F$1*MAX(J820,0)</f>
        <v>18.443537232872522</v>
      </c>
      <c r="I821" s="75">
        <f>PARAM!$C$26+MAX($G$4-CHOOSE(PARAM!$B$44,MAX(0,J820*$F$1),0),0)*RATES!$L797/12+$H$4*(PARAM!$D$51/12)*RATES!$N797/100</f>
        <v>1048.7083333333333</v>
      </c>
      <c r="J821" s="16">
        <f t="shared" si="541"/>
        <v>-147878.2986643812</v>
      </c>
      <c r="K821" s="15">
        <f t="shared" si="542"/>
        <v>22.170849845882874</v>
      </c>
      <c r="L821" s="75">
        <f>K821*(1-PARAM!$C$27)*$I$5+(MOD($B821,60)=PARAM!$B$56)*($B821&gt;(60-PARAM!$B$56))*HLOOKUP(($B821+PARAM!$B$56)/12,Loyalty,2)*$F$1*MAX(N820,0)</f>
        <v>18.557001321003963</v>
      </c>
      <c r="M821" s="75">
        <f>PARAM!$C$26+MAX($G$5-CHOOSE(PARAM!$B$44,MAX(0,N820*$F$1),0),0)*RATES!$L797/12+$H$5*(PARAM!$D$51/12)*RATES!$N797/100</f>
        <v>1048.7083333333333</v>
      </c>
      <c r="N821" s="16">
        <f t="shared" si="543"/>
        <v>-147785.19064200507</v>
      </c>
      <c r="O821" s="15">
        <f t="shared" si="544"/>
        <v>22.170849845882874</v>
      </c>
      <c r="P821" s="75">
        <f>O821*(1-PARAM!$C$27)*$I$6+(MOD($B821,60)=PARAM!$B$56)*($B821&gt;(60-PARAM!$B$56))*HLOOKUP(($B821+PARAM!$B$56)/12,Loyalty,2)*$F$1*MAX(R820,0)</f>
        <v>18.557001321003963</v>
      </c>
      <c r="Q821" s="75">
        <f>PARAM!$C$26+MAX($G$6-CHOOSE(PARAM!$B$44,MAX(0,R820*$F$1),0),0)*RATES!$L797/12+$H$6*(PARAM!$D$51/12)*RATES!$N797/100</f>
        <v>1048.7083333333333</v>
      </c>
      <c r="R821" s="16">
        <f t="shared" si="545"/>
        <v>-147785.19064200507</v>
      </c>
      <c r="S821" s="15">
        <f t="shared" si="520"/>
        <v>22.170849845882874</v>
      </c>
      <c r="T821" s="75">
        <f>S821*(1-PARAM!$C$27)*$I$7+(MOD($B821,60)=PARAM!$B$56)*($B821&gt;(60-PARAM!$B$56))*HLOOKUP(($B821+PARAM!$B$56)/12,Loyalty,2)*$F$1*MAX(V820,0)</f>
        <v>18.557001321003963</v>
      </c>
      <c r="U821" s="75">
        <f>PARAM!$C$26+MAX($G$7-CHOOSE(PARAM!$B$44,MAX(0,V820*$F$1),0),0)*RATES!$L797/12+$H$7*(PARAM!$D$51/12)*RATES!$N797/100</f>
        <v>1048.7083333333333</v>
      </c>
      <c r="V821" s="16">
        <f t="shared" si="546"/>
        <v>-147785.19064200507</v>
      </c>
      <c r="W821" s="15">
        <f t="shared" si="521"/>
        <v>22.170849845882874</v>
      </c>
      <c r="X821" s="75">
        <f>W821*(1-PARAM!$C$27)*$I$8+(MOD($B821,60)=PARAM!$B$56)*($B821&gt;(60-PARAM!$B$56))*HLOOKUP(($B821+PARAM!$B$56)/12,Loyalty,2)*$F$1*MAX(Z820,0)</f>
        <v>18.557001321003963</v>
      </c>
      <c r="Y821" s="75">
        <f>PARAM!$C$26+MAX($G$8-CHOOSE(PARAM!$B$44,MAX(0,Z820*$F$1),0),0)*RATES!$L797/12+$H$8*(PARAM!$D$51/12)*RATES!$N797/100</f>
        <v>1048.7083333333333</v>
      </c>
      <c r="Z821" s="16">
        <f t="shared" si="547"/>
        <v>-147785.19064200507</v>
      </c>
      <c r="AA821" s="15">
        <f t="shared" si="522"/>
        <v>22.170849845882874</v>
      </c>
      <c r="AB821" s="75">
        <f>AA821*(1-PARAM!$C$27)*$I$9+(MOD($B821,60)=PARAM!$B$56)*($B821&gt;(60-PARAM!$B$56))*HLOOKUP(($B821+PARAM!$B$56)/12,Loyalty,2)*$F$1*MAX(AD820,0)</f>
        <v>18.557001321003963</v>
      </c>
      <c r="AC821" s="75">
        <f>PARAM!$C$26+MAX($G$9-CHOOSE(PARAM!$B$44,MAX(0,AD820*$F$1),0),0)*RATES!$L797/12+$H$9*(PARAM!$D$51/12)*RATES!$N797/100</f>
        <v>1048.7083333333333</v>
      </c>
      <c r="AD821" s="16">
        <f t="shared" si="548"/>
        <v>-147785.19064200507</v>
      </c>
      <c r="AE821" s="15">
        <f t="shared" si="523"/>
        <v>22.170849845882874</v>
      </c>
      <c r="AF821" s="75">
        <f>AE821*(1-PARAM!$C$27)*$I$10+(MOD($B821,60)=PARAM!$B$56)*($B821&gt;(60-PARAM!$B$56))*HLOOKUP(($B821+PARAM!$B$56)/12,Loyalty,2)*$F$1*MAX(AH820,0)</f>
        <v>18.557001321003963</v>
      </c>
      <c r="AG821" s="75">
        <f>PARAM!$C$26+MAX($G$10-CHOOSE(PARAM!$B$44,MAX(0,AH820*$F$1),0),0)*RATES!$L797/12+$H$10*(PARAM!$D$51/12)*RATES!$N797/100</f>
        <v>1048.7083333333333</v>
      </c>
      <c r="AH821" s="16">
        <f t="shared" si="549"/>
        <v>-147785.19064200507</v>
      </c>
      <c r="AI821" s="15">
        <f t="shared" si="524"/>
        <v>22.170849845882874</v>
      </c>
      <c r="AJ821" s="75">
        <f>AI821*(1-PARAM!$C$27)*$I$11+(MOD($B821,60)=PARAM!$B$56)*($B821&gt;(60-PARAM!$B$56))*HLOOKUP(($B821+PARAM!$B$56)/12,Loyalty,2)*$F$1*MAX(AL820,0)</f>
        <v>18.557001321003963</v>
      </c>
      <c r="AK821" s="75">
        <f>PARAM!$C$26+MAX($G$11-CHOOSE(PARAM!$B$44,MAX(0,AL820*$F$1),0),0)*RATES!$L797/12+$H$11*(PARAM!$D$51/12)*RATES!$N797/100</f>
        <v>1048.7083333333333</v>
      </c>
      <c r="AL821" s="16">
        <f t="shared" si="550"/>
        <v>-147785.19064200507</v>
      </c>
      <c r="AM821" s="15">
        <f t="shared" si="525"/>
        <v>22.170849845882874</v>
      </c>
      <c r="AN821" s="75">
        <f>AM821*(1-PARAM!$C$27)*$I$12+(MOD($B821,60)=PARAM!$B$56)*($B821&gt;(60-PARAM!$B$56))*HLOOKUP(($B821+PARAM!$B$56)/12,Loyalty,2)*$F$1*MAX(AP820,0)</f>
        <v>18.557001321003963</v>
      </c>
      <c r="AO821" s="75">
        <f>PARAM!$C$26+MAX($G$12-CHOOSE(PARAM!$B$44,MAX(0,AP820*$F$1),0),0)*RATES!$L797/12+$H$12*(PARAM!$D$51/12)*RATES!$N797/100</f>
        <v>1048.7083333333333</v>
      </c>
      <c r="AP821" s="16">
        <f t="shared" si="551"/>
        <v>-147785.19064200507</v>
      </c>
      <c r="AQ821" s="15">
        <f t="shared" si="526"/>
        <v>22.170849845882874</v>
      </c>
      <c r="AR821" s="75">
        <f>AQ821*(1-PARAM!$C$27)*$I$13+(MOD($B821,60)=PARAM!$B$56)*($B821&gt;(60-PARAM!$B$56))*HLOOKUP(($B821+PARAM!$B$56)/12,Loyalty,2)*$F$1*MAX(AT820,0)</f>
        <v>18.557001321003963</v>
      </c>
      <c r="AS821" s="75">
        <f>PARAM!$C$26+MAX($G$13-CHOOSE(PARAM!$B$44,MAX(0,AT820*$F$1),0),0)*RATES!$L797/12+$H$13*(PARAM!$D$51/12)*RATES!$N797/100</f>
        <v>1048.7083333333333</v>
      </c>
      <c r="AT821" s="16">
        <f t="shared" si="552"/>
        <v>-147785.19064200507</v>
      </c>
      <c r="AU821" s="15">
        <f t="shared" si="527"/>
        <v>22.170849845882874</v>
      </c>
      <c r="AV821" s="75">
        <f>AU821*(1-PARAM!$C$27)*$I$14+(MOD($B821,60)=PARAM!$B$56)*($B821&gt;(60-PARAM!$B$56))*HLOOKUP(($B821+PARAM!$B$56)/12,Loyalty,2)*$F$1*MAX(AX820,0)</f>
        <v>18.557001321003963</v>
      </c>
      <c r="AW821" s="75">
        <f>PARAM!$C$26+MAX($G$14-CHOOSE(PARAM!$B$44,MAX(0,AX820*$F$1),0),0)*RATES!$L797/12+$H$14*(PARAM!$D$51/12)*RATES!$N797/100</f>
        <v>1048.7083333333333</v>
      </c>
      <c r="AX821" s="16">
        <f t="shared" si="553"/>
        <v>-147785.19064200507</v>
      </c>
      <c r="AY821" s="15">
        <f t="shared" si="528"/>
        <v>22.170849845882874</v>
      </c>
      <c r="AZ821" s="75">
        <f>AY821*(1-PARAM!$C$27)*$I$15+(MOD($B821,60)=PARAM!$B$56)*($B821&gt;(60-PARAM!$B$56))*HLOOKUP(($B821+PARAM!$B$56)/12,Loyalty,2)*$F$1*MAX(BB820,0)</f>
        <v>18.557001321003963</v>
      </c>
      <c r="BA821" s="75">
        <f>PARAM!$C$26+MAX($G$15-CHOOSE(PARAM!$B$44,MAX(0,BB820*$F$1),0),0)*RATES!$L797/12+$H$15*(PARAM!$D$51/12)*RATES!$N797/100</f>
        <v>1048.7083333333333</v>
      </c>
      <c r="BB821" s="16">
        <f t="shared" si="554"/>
        <v>-147785.19064200507</v>
      </c>
      <c r="BC821" s="15">
        <f t="shared" si="529"/>
        <v>22.170849845882874</v>
      </c>
      <c r="BD821" s="75">
        <f>BC821*(1-PARAM!$C$27)*$I$16+(MOD($B821,60)=PARAM!$B$56)*($B821&gt;(60-PARAM!$B$56))*HLOOKUP(($B821+PARAM!$B$56)/12,Loyalty,2)*$F$1*MAX(BF820,0)</f>
        <v>18.557001321003963</v>
      </c>
      <c r="BE821" s="75">
        <f>PARAM!$C$26+MAX($G$16-CHOOSE(PARAM!$B$44,MAX(0,BF820*$F$1),0),0)*RATES!$L797/12+$H$16*(PARAM!$D$51/12)*RATES!$N797/100</f>
        <v>1048.7083333333333</v>
      </c>
      <c r="BF821" s="16">
        <f t="shared" si="555"/>
        <v>-147785.19064200507</v>
      </c>
      <c r="BG821" s="15">
        <f t="shared" si="530"/>
        <v>22.170849845882874</v>
      </c>
      <c r="BH821" s="75">
        <f>BG821*(1-PARAM!$C$27)*$I$17+(MOD($B821,60)=PARAM!$B$56)*($B821&gt;(60-PARAM!$B$56))*HLOOKUP(($B821+PARAM!$B$56)/12,Loyalty,2)*$F$1*MAX(BJ820,0)</f>
        <v>18.557001321003963</v>
      </c>
      <c r="BI821" s="75">
        <f>PARAM!$C$26+MAX($G$17-CHOOSE(PARAM!$B$44,MAX(0,BJ820*$F$1),0),0)*RATES!$L797/12+$H$17*(PARAM!$D$51/12)*RATES!$N797/100</f>
        <v>1048.7083333333333</v>
      </c>
      <c r="BJ821" s="16">
        <f t="shared" si="556"/>
        <v>-147785.19064200507</v>
      </c>
      <c r="BK821" s="15">
        <f t="shared" si="531"/>
        <v>22.170849845882874</v>
      </c>
      <c r="BL821" s="75">
        <f>BK821*(1-PARAM!$C$27)*$I$18+(MOD($B821,60)=PARAM!$B$56)*($B821&gt;(60-PARAM!$B$56))*HLOOKUP(($B821+PARAM!$B$56)/12,Loyalty,2)*$F$1*MAX(BN820,0)</f>
        <v>18.557001321003963</v>
      </c>
      <c r="BM821" s="75">
        <f>PARAM!$C$26+MAX($G$18-CHOOSE(PARAM!$B$44,MAX(0,BN820*$F$1),0),0)*RATES!$L797/12+$H$18*(PARAM!$D$51/12)*RATES!$N797/100</f>
        <v>1048.7083333333333</v>
      </c>
      <c r="BN821" s="16">
        <f t="shared" si="557"/>
        <v>-147785.19064200507</v>
      </c>
      <c r="BO821" s="15">
        <f t="shared" si="532"/>
        <v>22.170849845882874</v>
      </c>
      <c r="BP821" s="75">
        <f>BO821*(1-PARAM!$C$27)*$I$19+(MOD($B821,60)=PARAM!$B$56)*($B821&gt;(60-PARAM!$B$56))*HLOOKUP(($B821+PARAM!$B$56)/12,Loyalty,2)*$F$1*MAX(BR820,0)</f>
        <v>18.557001321003963</v>
      </c>
      <c r="BQ821" s="75">
        <f>PARAM!$C$26+MAX($G$19-CHOOSE(PARAM!$B$44,MAX(0,BR820*$F$1),0),0)*RATES!$L797/12+$H$19*(PARAM!$D$51/12)*RATES!$N797/100</f>
        <v>1048.7083333333333</v>
      </c>
      <c r="BR821" s="16">
        <f t="shared" si="558"/>
        <v>-147785.19064200507</v>
      </c>
      <c r="BS821" s="15">
        <f t="shared" si="533"/>
        <v>22.170849845882874</v>
      </c>
      <c r="BT821" s="75">
        <f>BS821*(1-PARAM!$C$27)*$I$20+(MOD($B821,60)=PARAM!$B$56)*($B821&gt;(60-PARAM!$B$56))*HLOOKUP(($B821+PARAM!$B$56)/12,Loyalty,2)*$F$1*MAX(BV820,0)</f>
        <v>18.557001321003963</v>
      </c>
      <c r="BU821" s="75">
        <f>PARAM!$C$26+MAX($G$20-CHOOSE(PARAM!$B$44,MAX(0,BV820*$F$1),0),0)*RATES!$L797/12+$H$20*(PARAM!$D$51/12)*RATES!$N797/100</f>
        <v>1048.7083333333333</v>
      </c>
      <c r="BV821" s="16">
        <f t="shared" si="559"/>
        <v>-147785.19064200507</v>
      </c>
      <c r="BW821" s="15">
        <f t="shared" si="534"/>
        <v>22.170849845882874</v>
      </c>
      <c r="BX821" s="75">
        <f>BW821*(1-PARAM!$C$27)*$I$21+(MOD($B821,60)=PARAM!$B$56)*($B821&gt;(60-PARAM!$B$56))*HLOOKUP(($B821+PARAM!$B$56)/12,Loyalty,2)*$F$1*MAX(BZ820,0)</f>
        <v>18.557001321003963</v>
      </c>
      <c r="BY821" s="75">
        <f>PARAM!$C$26+MAX($G$21-CHOOSE(PARAM!$B$44,MAX(0,BZ820*$F$1),0),0)*RATES!$L797/12+$H$21*(PARAM!$D$51/12)*RATES!$N797/100</f>
        <v>1048.7083333333333</v>
      </c>
      <c r="BZ821" s="16">
        <f t="shared" si="560"/>
        <v>-147785.19064200507</v>
      </c>
      <c r="CA821" s="15">
        <f t="shared" si="535"/>
        <v>22.170849845882874</v>
      </c>
      <c r="CB821" s="75">
        <f>CA821*(1-PARAM!$C$27)*$I$22+(MOD($B821,60)=PARAM!$B$56)*($B821&gt;(60-PARAM!$B$56))*HLOOKUP(($B821+PARAM!$B$56)/12,Loyalty,2)*$F$1*MAX(CD820,0)</f>
        <v>18.557001321003963</v>
      </c>
      <c r="CC821" s="75">
        <f>PARAM!$C$26+MAX($G$22-CHOOSE(PARAM!$B$44,MAX(0,CD820*$F$1),0),0)*RATES!$L797/12+$H$22*(PARAM!$D$51/12)*RATES!$N797/100</f>
        <v>1048.7083333333333</v>
      </c>
      <c r="CD821" s="16">
        <f t="shared" si="561"/>
        <v>-147785.19064200507</v>
      </c>
      <c r="CE821" s="33">
        <f>IF(0=MOD(B821,12/PARAM!$D$51),1,0)</f>
        <v>1</v>
      </c>
      <c r="CF821" s="15">
        <f t="shared" si="536"/>
        <v>0</v>
      </c>
      <c r="CG821" s="75">
        <f>CF821*(1-PARAM!$C$27)*$R$3+(MOD($B821/12,5)=0)*($B821&gt;60)*HLOOKUP($B821/12,Loyalty,2)*$F$1*MAX(CI820,0)</f>
        <v>0</v>
      </c>
      <c r="CH821" s="75">
        <f>PARAM!$C$26+MAX($P$3-CHOOSE(PARAM!$B$44,MAX(0,CI820*$F$1),0),0)*RATES!$L797/12+$Q$3*(PARAM!$D$51/12)*RATES!$N797/100</f>
        <v>1048.7083333333333</v>
      </c>
      <c r="CI821" s="16">
        <f>IF(CI820&gt;0,CI820*PARAM!$C$53,CI820)+CG821-CH821</f>
        <v>-162399.87500000038</v>
      </c>
      <c r="CJ821" s="15">
        <f t="shared" si="562"/>
        <v>0</v>
      </c>
      <c r="CK821" s="75">
        <f>CJ821*(1-PARAM!$C$27)*$R$4+(MOD($B821/12,5)=0)*($B821&gt;60)*HLOOKUP($B821/12,Loyalty,2)*$F$1*MAX(CM820,0)</f>
        <v>0</v>
      </c>
      <c r="CL821" s="75">
        <f>PARAM!$C$26+MAX($P$4-CHOOSE(PARAM!$B$44,MAX(0,CM820*$F$1),0),0)*RATES!$L797/12+$Q$4*(PARAM!$D$51/12)*RATES!$N797/100</f>
        <v>1048.7083333333333</v>
      </c>
      <c r="CM821" s="16">
        <f>IF(CM820&gt;0,CM820*PARAM!$C$53,CM820)+CK821-CL821</f>
        <v>-162399.87500000038</v>
      </c>
      <c r="CO821" s="176"/>
    </row>
    <row r="822" spans="1:93" x14ac:dyDescent="0.2">
      <c r="A822" t="b">
        <f t="shared" si="537"/>
        <v>0</v>
      </c>
      <c r="B822" s="33">
        <v>795</v>
      </c>
      <c r="C822" s="15">
        <f t="shared" si="538"/>
        <v>20.081305947392778</v>
      </c>
      <c r="D822" s="75">
        <f>C822*(1-PARAM!$C$27)*$I$3+(MOD($B822,60)=PARAM!$B$56)*($B822&gt;(60-PARAM!$B$56))*HLOOKUP(($B822+PARAM!$B$56)/12,Loyalty,2)*$F$1*MAX(F821,0)</f>
        <v>16.808053077967756</v>
      </c>
      <c r="E822" s="75">
        <f>PARAM!$C$26+MAX($G$3-CHOOSE(PARAM!$B$44,MAX(0,F821*$F$1),0),0)*RATES!$L798/12+$H$3*(PARAM!$D$51/12)*RATES!$N798/100</f>
        <v>1048.7083333333333</v>
      </c>
      <c r="F822" s="16">
        <f t="shared" si="539"/>
        <v>-150242.60632775293</v>
      </c>
      <c r="G822" s="15">
        <f t="shared" si="540"/>
        <v>22.035289406060361</v>
      </c>
      <c r="H822" s="75">
        <f>G822*(1-PARAM!$C$27)*$I$4+(MOD($B822,60)=PARAM!$B$56)*($B822&gt;(60-PARAM!$B$56))*HLOOKUP(($B822+PARAM!$B$56)/12,Loyalty,2)*$F$1*MAX(J821,0)</f>
        <v>18.443537232872522</v>
      </c>
      <c r="I822" s="75">
        <f>PARAM!$C$26+MAX($G$4-CHOOSE(PARAM!$B$44,MAX(0,J821*$F$1),0),0)*RATES!$L798/12+$H$4*(PARAM!$D$51/12)*RATES!$N798/100</f>
        <v>1048.7083333333333</v>
      </c>
      <c r="J822" s="16">
        <f t="shared" si="541"/>
        <v>-148908.56346048167</v>
      </c>
      <c r="K822" s="15">
        <f t="shared" si="542"/>
        <v>22.170849845882874</v>
      </c>
      <c r="L822" s="75">
        <f>K822*(1-PARAM!$C$27)*$I$5+(MOD($B822,60)=PARAM!$B$56)*($B822&gt;(60-PARAM!$B$56))*HLOOKUP(($B822+PARAM!$B$56)/12,Loyalty,2)*$F$1*MAX(N821,0)</f>
        <v>18.557001321003963</v>
      </c>
      <c r="M822" s="75">
        <f>PARAM!$C$26+MAX($G$5-CHOOSE(PARAM!$B$44,MAX(0,N821*$F$1),0),0)*RATES!$L798/12+$H$5*(PARAM!$D$51/12)*RATES!$N798/100</f>
        <v>1048.7083333333333</v>
      </c>
      <c r="N822" s="16">
        <f t="shared" si="543"/>
        <v>-148815.34197401741</v>
      </c>
      <c r="O822" s="15">
        <f t="shared" si="544"/>
        <v>22.170849845882874</v>
      </c>
      <c r="P822" s="75">
        <f>O822*(1-PARAM!$C$27)*$I$6+(MOD($B822,60)=PARAM!$B$56)*($B822&gt;(60-PARAM!$B$56))*HLOOKUP(($B822+PARAM!$B$56)/12,Loyalty,2)*$F$1*MAX(R821,0)</f>
        <v>18.557001321003963</v>
      </c>
      <c r="Q822" s="75">
        <f>PARAM!$C$26+MAX($G$6-CHOOSE(PARAM!$B$44,MAX(0,R821*$F$1),0),0)*RATES!$L798/12+$H$6*(PARAM!$D$51/12)*RATES!$N798/100</f>
        <v>1048.7083333333333</v>
      </c>
      <c r="R822" s="16">
        <f t="shared" si="545"/>
        <v>-148815.34197401741</v>
      </c>
      <c r="S822" s="15">
        <f t="shared" si="520"/>
        <v>22.170849845882874</v>
      </c>
      <c r="T822" s="75">
        <f>S822*(1-PARAM!$C$27)*$I$7+(MOD($B822,60)=PARAM!$B$56)*($B822&gt;(60-PARAM!$B$56))*HLOOKUP(($B822+PARAM!$B$56)/12,Loyalty,2)*$F$1*MAX(V821,0)</f>
        <v>18.557001321003963</v>
      </c>
      <c r="U822" s="75">
        <f>PARAM!$C$26+MAX($G$7-CHOOSE(PARAM!$B$44,MAX(0,V821*$F$1),0),0)*RATES!$L798/12+$H$7*(PARAM!$D$51/12)*RATES!$N798/100</f>
        <v>1048.7083333333333</v>
      </c>
      <c r="V822" s="16">
        <f t="shared" si="546"/>
        <v>-148815.34197401741</v>
      </c>
      <c r="W822" s="15">
        <f t="shared" si="521"/>
        <v>22.170849845882874</v>
      </c>
      <c r="X822" s="75">
        <f>W822*(1-PARAM!$C$27)*$I$8+(MOD($B822,60)=PARAM!$B$56)*($B822&gt;(60-PARAM!$B$56))*HLOOKUP(($B822+PARAM!$B$56)/12,Loyalty,2)*$F$1*MAX(Z821,0)</f>
        <v>18.557001321003963</v>
      </c>
      <c r="Y822" s="75">
        <f>PARAM!$C$26+MAX($G$8-CHOOSE(PARAM!$B$44,MAX(0,Z821*$F$1),0),0)*RATES!$L798/12+$H$8*(PARAM!$D$51/12)*RATES!$N798/100</f>
        <v>1048.7083333333333</v>
      </c>
      <c r="Z822" s="16">
        <f t="shared" si="547"/>
        <v>-148815.34197401741</v>
      </c>
      <c r="AA822" s="15">
        <f t="shared" si="522"/>
        <v>22.170849845882874</v>
      </c>
      <c r="AB822" s="75">
        <f>AA822*(1-PARAM!$C$27)*$I$9+(MOD($B822,60)=PARAM!$B$56)*($B822&gt;(60-PARAM!$B$56))*HLOOKUP(($B822+PARAM!$B$56)/12,Loyalty,2)*$F$1*MAX(AD821,0)</f>
        <v>18.557001321003963</v>
      </c>
      <c r="AC822" s="75">
        <f>PARAM!$C$26+MAX($G$9-CHOOSE(PARAM!$B$44,MAX(0,AD821*$F$1),0),0)*RATES!$L798/12+$H$9*(PARAM!$D$51/12)*RATES!$N798/100</f>
        <v>1048.7083333333333</v>
      </c>
      <c r="AD822" s="16">
        <f t="shared" si="548"/>
        <v>-148815.34197401741</v>
      </c>
      <c r="AE822" s="15">
        <f t="shared" si="523"/>
        <v>22.170849845882874</v>
      </c>
      <c r="AF822" s="75">
        <f>AE822*(1-PARAM!$C$27)*$I$10+(MOD($B822,60)=PARAM!$B$56)*($B822&gt;(60-PARAM!$B$56))*HLOOKUP(($B822+PARAM!$B$56)/12,Loyalty,2)*$F$1*MAX(AH821,0)</f>
        <v>18.557001321003963</v>
      </c>
      <c r="AG822" s="75">
        <f>PARAM!$C$26+MAX($G$10-CHOOSE(PARAM!$B$44,MAX(0,AH821*$F$1),0),0)*RATES!$L798/12+$H$10*(PARAM!$D$51/12)*RATES!$N798/100</f>
        <v>1048.7083333333333</v>
      </c>
      <c r="AH822" s="16">
        <f t="shared" si="549"/>
        <v>-148815.34197401741</v>
      </c>
      <c r="AI822" s="15">
        <f t="shared" si="524"/>
        <v>22.170849845882874</v>
      </c>
      <c r="AJ822" s="75">
        <f>AI822*(1-PARAM!$C$27)*$I$11+(MOD($B822,60)=PARAM!$B$56)*($B822&gt;(60-PARAM!$B$56))*HLOOKUP(($B822+PARAM!$B$56)/12,Loyalty,2)*$F$1*MAX(AL821,0)</f>
        <v>18.557001321003963</v>
      </c>
      <c r="AK822" s="75">
        <f>PARAM!$C$26+MAX($G$11-CHOOSE(PARAM!$B$44,MAX(0,AL821*$F$1),0),0)*RATES!$L798/12+$H$11*(PARAM!$D$51/12)*RATES!$N798/100</f>
        <v>1048.7083333333333</v>
      </c>
      <c r="AL822" s="16">
        <f t="shared" si="550"/>
        <v>-148815.34197401741</v>
      </c>
      <c r="AM822" s="15">
        <f t="shared" si="525"/>
        <v>22.170849845882874</v>
      </c>
      <c r="AN822" s="75">
        <f>AM822*(1-PARAM!$C$27)*$I$12+(MOD($B822,60)=PARAM!$B$56)*($B822&gt;(60-PARAM!$B$56))*HLOOKUP(($B822+PARAM!$B$56)/12,Loyalty,2)*$F$1*MAX(AP821,0)</f>
        <v>18.557001321003963</v>
      </c>
      <c r="AO822" s="75">
        <f>PARAM!$C$26+MAX($G$12-CHOOSE(PARAM!$B$44,MAX(0,AP821*$F$1),0),0)*RATES!$L798/12+$H$12*(PARAM!$D$51/12)*RATES!$N798/100</f>
        <v>1048.7083333333333</v>
      </c>
      <c r="AP822" s="16">
        <f t="shared" si="551"/>
        <v>-148815.34197401741</v>
      </c>
      <c r="AQ822" s="15">
        <f t="shared" si="526"/>
        <v>22.170849845882874</v>
      </c>
      <c r="AR822" s="75">
        <f>AQ822*(1-PARAM!$C$27)*$I$13+(MOD($B822,60)=PARAM!$B$56)*($B822&gt;(60-PARAM!$B$56))*HLOOKUP(($B822+PARAM!$B$56)/12,Loyalty,2)*$F$1*MAX(AT821,0)</f>
        <v>18.557001321003963</v>
      </c>
      <c r="AS822" s="75">
        <f>PARAM!$C$26+MAX($G$13-CHOOSE(PARAM!$B$44,MAX(0,AT821*$F$1),0),0)*RATES!$L798/12+$H$13*(PARAM!$D$51/12)*RATES!$N798/100</f>
        <v>1048.7083333333333</v>
      </c>
      <c r="AT822" s="16">
        <f t="shared" si="552"/>
        <v>-148815.34197401741</v>
      </c>
      <c r="AU822" s="15">
        <f t="shared" si="527"/>
        <v>22.170849845882874</v>
      </c>
      <c r="AV822" s="75">
        <f>AU822*(1-PARAM!$C$27)*$I$14+(MOD($B822,60)=PARAM!$B$56)*($B822&gt;(60-PARAM!$B$56))*HLOOKUP(($B822+PARAM!$B$56)/12,Loyalty,2)*$F$1*MAX(AX821,0)</f>
        <v>18.557001321003963</v>
      </c>
      <c r="AW822" s="75">
        <f>PARAM!$C$26+MAX($G$14-CHOOSE(PARAM!$B$44,MAX(0,AX821*$F$1),0),0)*RATES!$L798/12+$H$14*(PARAM!$D$51/12)*RATES!$N798/100</f>
        <v>1048.7083333333333</v>
      </c>
      <c r="AX822" s="16">
        <f t="shared" si="553"/>
        <v>-148815.34197401741</v>
      </c>
      <c r="AY822" s="15">
        <f t="shared" si="528"/>
        <v>22.170849845882874</v>
      </c>
      <c r="AZ822" s="75">
        <f>AY822*(1-PARAM!$C$27)*$I$15+(MOD($B822,60)=PARAM!$B$56)*($B822&gt;(60-PARAM!$B$56))*HLOOKUP(($B822+PARAM!$B$56)/12,Loyalty,2)*$F$1*MAX(BB821,0)</f>
        <v>18.557001321003963</v>
      </c>
      <c r="BA822" s="75">
        <f>PARAM!$C$26+MAX($G$15-CHOOSE(PARAM!$B$44,MAX(0,BB821*$F$1),0),0)*RATES!$L798/12+$H$15*(PARAM!$D$51/12)*RATES!$N798/100</f>
        <v>1048.7083333333333</v>
      </c>
      <c r="BB822" s="16">
        <f t="shared" si="554"/>
        <v>-148815.34197401741</v>
      </c>
      <c r="BC822" s="15">
        <f t="shared" si="529"/>
        <v>22.170849845882874</v>
      </c>
      <c r="BD822" s="75">
        <f>BC822*(1-PARAM!$C$27)*$I$16+(MOD($B822,60)=PARAM!$B$56)*($B822&gt;(60-PARAM!$B$56))*HLOOKUP(($B822+PARAM!$B$56)/12,Loyalty,2)*$F$1*MAX(BF821,0)</f>
        <v>18.557001321003963</v>
      </c>
      <c r="BE822" s="75">
        <f>PARAM!$C$26+MAX($G$16-CHOOSE(PARAM!$B$44,MAX(0,BF821*$F$1),0),0)*RATES!$L798/12+$H$16*(PARAM!$D$51/12)*RATES!$N798/100</f>
        <v>1048.7083333333333</v>
      </c>
      <c r="BF822" s="16">
        <f t="shared" si="555"/>
        <v>-148815.34197401741</v>
      </c>
      <c r="BG822" s="15">
        <f t="shared" si="530"/>
        <v>22.170849845882874</v>
      </c>
      <c r="BH822" s="75">
        <f>BG822*(1-PARAM!$C$27)*$I$17+(MOD($B822,60)=PARAM!$B$56)*($B822&gt;(60-PARAM!$B$56))*HLOOKUP(($B822+PARAM!$B$56)/12,Loyalty,2)*$F$1*MAX(BJ821,0)</f>
        <v>18.557001321003963</v>
      </c>
      <c r="BI822" s="75">
        <f>PARAM!$C$26+MAX($G$17-CHOOSE(PARAM!$B$44,MAX(0,BJ821*$F$1),0),0)*RATES!$L798/12+$H$17*(PARAM!$D$51/12)*RATES!$N798/100</f>
        <v>1048.7083333333333</v>
      </c>
      <c r="BJ822" s="16">
        <f t="shared" si="556"/>
        <v>-148815.34197401741</v>
      </c>
      <c r="BK822" s="15">
        <f t="shared" si="531"/>
        <v>22.170849845882874</v>
      </c>
      <c r="BL822" s="75">
        <f>BK822*(1-PARAM!$C$27)*$I$18+(MOD($B822,60)=PARAM!$B$56)*($B822&gt;(60-PARAM!$B$56))*HLOOKUP(($B822+PARAM!$B$56)/12,Loyalty,2)*$F$1*MAX(BN821,0)</f>
        <v>18.557001321003963</v>
      </c>
      <c r="BM822" s="75">
        <f>PARAM!$C$26+MAX($G$18-CHOOSE(PARAM!$B$44,MAX(0,BN821*$F$1),0),0)*RATES!$L798/12+$H$18*(PARAM!$D$51/12)*RATES!$N798/100</f>
        <v>1048.7083333333333</v>
      </c>
      <c r="BN822" s="16">
        <f t="shared" si="557"/>
        <v>-148815.34197401741</v>
      </c>
      <c r="BO822" s="15">
        <f t="shared" si="532"/>
        <v>22.170849845882874</v>
      </c>
      <c r="BP822" s="75">
        <f>BO822*(1-PARAM!$C$27)*$I$19+(MOD($B822,60)=PARAM!$B$56)*($B822&gt;(60-PARAM!$B$56))*HLOOKUP(($B822+PARAM!$B$56)/12,Loyalty,2)*$F$1*MAX(BR821,0)</f>
        <v>18.557001321003963</v>
      </c>
      <c r="BQ822" s="75">
        <f>PARAM!$C$26+MAX($G$19-CHOOSE(PARAM!$B$44,MAX(0,BR821*$F$1),0),0)*RATES!$L798/12+$H$19*(PARAM!$D$51/12)*RATES!$N798/100</f>
        <v>1048.7083333333333</v>
      </c>
      <c r="BR822" s="16">
        <f t="shared" si="558"/>
        <v>-148815.34197401741</v>
      </c>
      <c r="BS822" s="15">
        <f t="shared" si="533"/>
        <v>22.170849845882874</v>
      </c>
      <c r="BT822" s="75">
        <f>BS822*(1-PARAM!$C$27)*$I$20+(MOD($B822,60)=PARAM!$B$56)*($B822&gt;(60-PARAM!$B$56))*HLOOKUP(($B822+PARAM!$B$56)/12,Loyalty,2)*$F$1*MAX(BV821,0)</f>
        <v>18.557001321003963</v>
      </c>
      <c r="BU822" s="75">
        <f>PARAM!$C$26+MAX($G$20-CHOOSE(PARAM!$B$44,MAX(0,BV821*$F$1),0),0)*RATES!$L798/12+$H$20*(PARAM!$D$51/12)*RATES!$N798/100</f>
        <v>1048.7083333333333</v>
      </c>
      <c r="BV822" s="16">
        <f t="shared" si="559"/>
        <v>-148815.34197401741</v>
      </c>
      <c r="BW822" s="15">
        <f t="shared" si="534"/>
        <v>22.170849845882874</v>
      </c>
      <c r="BX822" s="75">
        <f>BW822*(1-PARAM!$C$27)*$I$21+(MOD($B822,60)=PARAM!$B$56)*($B822&gt;(60-PARAM!$B$56))*HLOOKUP(($B822+PARAM!$B$56)/12,Loyalty,2)*$F$1*MAX(BZ821,0)</f>
        <v>18.557001321003963</v>
      </c>
      <c r="BY822" s="75">
        <f>PARAM!$C$26+MAX($G$21-CHOOSE(PARAM!$B$44,MAX(0,BZ821*$F$1),0),0)*RATES!$L798/12+$H$21*(PARAM!$D$51/12)*RATES!$N798/100</f>
        <v>1048.7083333333333</v>
      </c>
      <c r="BZ822" s="16">
        <f t="shared" si="560"/>
        <v>-148815.34197401741</v>
      </c>
      <c r="CA822" s="15">
        <f t="shared" si="535"/>
        <v>22.170849845882874</v>
      </c>
      <c r="CB822" s="75">
        <f>CA822*(1-PARAM!$C$27)*$I$22+(MOD($B822,60)=PARAM!$B$56)*($B822&gt;(60-PARAM!$B$56))*HLOOKUP(($B822+PARAM!$B$56)/12,Loyalty,2)*$F$1*MAX(CD821,0)</f>
        <v>18.557001321003963</v>
      </c>
      <c r="CC822" s="75">
        <f>PARAM!$C$26+MAX($G$22-CHOOSE(PARAM!$B$44,MAX(0,CD821*$F$1),0),0)*RATES!$L798/12+$H$22*(PARAM!$D$51/12)*RATES!$N798/100</f>
        <v>1048.7083333333333</v>
      </c>
      <c r="CD822" s="16">
        <f t="shared" si="561"/>
        <v>-148815.34197401741</v>
      </c>
      <c r="CE822" s="33">
        <f>IF(0=MOD(B822,12/PARAM!$D$51),1,0)</f>
        <v>1</v>
      </c>
      <c r="CF822" s="15">
        <f t="shared" si="536"/>
        <v>0</v>
      </c>
      <c r="CG822" s="75">
        <f>CF822*(1-PARAM!$C$27)*$R$3+(MOD($B822/12,5)=0)*($B822&gt;60)*HLOOKUP($B822/12,Loyalty,2)*$F$1*MAX(CI821,0)</f>
        <v>0</v>
      </c>
      <c r="CH822" s="75">
        <f>PARAM!$C$26+MAX($P$3-CHOOSE(PARAM!$B$44,MAX(0,CI821*$F$1),0),0)*RATES!$L798/12+$Q$3*(PARAM!$D$51/12)*RATES!$N798/100</f>
        <v>1048.7083333333333</v>
      </c>
      <c r="CI822" s="16">
        <f>IF(CI821&gt;0,CI821*PARAM!$C$53,CI821)+CG822-CH822</f>
        <v>-163448.58333333372</v>
      </c>
      <c r="CJ822" s="15">
        <f t="shared" si="562"/>
        <v>0</v>
      </c>
      <c r="CK822" s="75">
        <f>CJ822*(1-PARAM!$C$27)*$R$4+(MOD($B822/12,5)=0)*($B822&gt;60)*HLOOKUP($B822/12,Loyalty,2)*$F$1*MAX(CM821,0)</f>
        <v>0</v>
      </c>
      <c r="CL822" s="75">
        <f>PARAM!$C$26+MAX($P$4-CHOOSE(PARAM!$B$44,MAX(0,CM821*$F$1),0),0)*RATES!$L798/12+$Q$4*(PARAM!$D$51/12)*RATES!$N798/100</f>
        <v>1048.7083333333333</v>
      </c>
      <c r="CM822" s="16">
        <f>IF(CM821&gt;0,CM821*PARAM!$C$53,CM821)+CK822-CL822</f>
        <v>-163448.58333333372</v>
      </c>
      <c r="CO822" s="176"/>
    </row>
    <row r="823" spans="1:93" x14ac:dyDescent="0.2">
      <c r="A823" t="b">
        <f t="shared" si="537"/>
        <v>0</v>
      </c>
      <c r="B823" s="33">
        <v>796</v>
      </c>
      <c r="C823" s="15">
        <f t="shared" si="538"/>
        <v>20.081305947392778</v>
      </c>
      <c r="D823" s="75">
        <f>C823*(1-PARAM!$C$27)*$I$3+(MOD($B823,60)=PARAM!$B$56)*($B823&gt;(60-PARAM!$B$56))*HLOOKUP(($B823+PARAM!$B$56)/12,Loyalty,2)*$F$1*MAX(F822,0)</f>
        <v>16.808053077967756</v>
      </c>
      <c r="E823" s="75">
        <f>PARAM!$C$26+MAX($G$3-CHOOSE(PARAM!$B$44,MAX(0,F822*$F$1),0),0)*RATES!$L799/12+$H$3*(PARAM!$D$51/12)*RATES!$N799/100</f>
        <v>1048.7083333333333</v>
      </c>
      <c r="F823" s="16">
        <f t="shared" si="539"/>
        <v>-151274.50660800832</v>
      </c>
      <c r="G823" s="15">
        <f t="shared" si="540"/>
        <v>22.035289406060361</v>
      </c>
      <c r="H823" s="75">
        <f>G823*(1-PARAM!$C$27)*$I$4+(MOD($B823,60)=PARAM!$B$56)*($B823&gt;(60-PARAM!$B$56))*HLOOKUP(($B823+PARAM!$B$56)/12,Loyalty,2)*$F$1*MAX(J822,0)</f>
        <v>18.443537232872522</v>
      </c>
      <c r="I823" s="75">
        <f>PARAM!$C$26+MAX($G$4-CHOOSE(PARAM!$B$44,MAX(0,J822*$F$1),0),0)*RATES!$L799/12+$H$4*(PARAM!$D$51/12)*RATES!$N799/100</f>
        <v>1048.7083333333333</v>
      </c>
      <c r="J823" s="16">
        <f t="shared" si="541"/>
        <v>-149938.82825658214</v>
      </c>
      <c r="K823" s="15">
        <f t="shared" si="542"/>
        <v>22.170849845882874</v>
      </c>
      <c r="L823" s="75">
        <f>K823*(1-PARAM!$C$27)*$I$5+(MOD($B823,60)=PARAM!$B$56)*($B823&gt;(60-PARAM!$B$56))*HLOOKUP(($B823+PARAM!$B$56)/12,Loyalty,2)*$F$1*MAX(N822,0)</f>
        <v>18.557001321003963</v>
      </c>
      <c r="M823" s="75">
        <f>PARAM!$C$26+MAX($G$5-CHOOSE(PARAM!$B$44,MAX(0,N822*$F$1),0),0)*RATES!$L799/12+$H$5*(PARAM!$D$51/12)*RATES!$N799/100</f>
        <v>1048.7083333333333</v>
      </c>
      <c r="N823" s="16">
        <f t="shared" si="543"/>
        <v>-149845.49330602976</v>
      </c>
      <c r="O823" s="15">
        <f t="shared" si="544"/>
        <v>22.170849845882874</v>
      </c>
      <c r="P823" s="75">
        <f>O823*(1-PARAM!$C$27)*$I$6+(MOD($B823,60)=PARAM!$B$56)*($B823&gt;(60-PARAM!$B$56))*HLOOKUP(($B823+PARAM!$B$56)/12,Loyalty,2)*$F$1*MAX(R822,0)</f>
        <v>18.557001321003963</v>
      </c>
      <c r="Q823" s="75">
        <f>PARAM!$C$26+MAX($G$6-CHOOSE(PARAM!$B$44,MAX(0,R822*$F$1),0),0)*RATES!$L799/12+$H$6*(PARAM!$D$51/12)*RATES!$N799/100</f>
        <v>1048.7083333333333</v>
      </c>
      <c r="R823" s="16">
        <f t="shared" si="545"/>
        <v>-149845.49330602976</v>
      </c>
      <c r="S823" s="15">
        <f t="shared" si="520"/>
        <v>22.170849845882874</v>
      </c>
      <c r="T823" s="75">
        <f>S823*(1-PARAM!$C$27)*$I$7+(MOD($B823,60)=PARAM!$B$56)*($B823&gt;(60-PARAM!$B$56))*HLOOKUP(($B823+PARAM!$B$56)/12,Loyalty,2)*$F$1*MAX(V822,0)</f>
        <v>18.557001321003963</v>
      </c>
      <c r="U823" s="75">
        <f>PARAM!$C$26+MAX($G$7-CHOOSE(PARAM!$B$44,MAX(0,V822*$F$1),0),0)*RATES!$L799/12+$H$7*(PARAM!$D$51/12)*RATES!$N799/100</f>
        <v>1048.7083333333333</v>
      </c>
      <c r="V823" s="16">
        <f t="shared" si="546"/>
        <v>-149845.49330602976</v>
      </c>
      <c r="W823" s="15">
        <f t="shared" si="521"/>
        <v>22.170849845882874</v>
      </c>
      <c r="X823" s="75">
        <f>W823*(1-PARAM!$C$27)*$I$8+(MOD($B823,60)=PARAM!$B$56)*($B823&gt;(60-PARAM!$B$56))*HLOOKUP(($B823+PARAM!$B$56)/12,Loyalty,2)*$F$1*MAX(Z822,0)</f>
        <v>18.557001321003963</v>
      </c>
      <c r="Y823" s="75">
        <f>PARAM!$C$26+MAX($G$8-CHOOSE(PARAM!$B$44,MAX(0,Z822*$F$1),0),0)*RATES!$L799/12+$H$8*(PARAM!$D$51/12)*RATES!$N799/100</f>
        <v>1048.7083333333333</v>
      </c>
      <c r="Z823" s="16">
        <f t="shared" si="547"/>
        <v>-149845.49330602976</v>
      </c>
      <c r="AA823" s="15">
        <f t="shared" si="522"/>
        <v>22.170849845882874</v>
      </c>
      <c r="AB823" s="75">
        <f>AA823*(1-PARAM!$C$27)*$I$9+(MOD($B823,60)=PARAM!$B$56)*($B823&gt;(60-PARAM!$B$56))*HLOOKUP(($B823+PARAM!$B$56)/12,Loyalty,2)*$F$1*MAX(AD822,0)</f>
        <v>18.557001321003963</v>
      </c>
      <c r="AC823" s="75">
        <f>PARAM!$C$26+MAX($G$9-CHOOSE(PARAM!$B$44,MAX(0,AD822*$F$1),0),0)*RATES!$L799/12+$H$9*(PARAM!$D$51/12)*RATES!$N799/100</f>
        <v>1048.7083333333333</v>
      </c>
      <c r="AD823" s="16">
        <f t="shared" si="548"/>
        <v>-149845.49330602976</v>
      </c>
      <c r="AE823" s="15">
        <f t="shared" si="523"/>
        <v>22.170849845882874</v>
      </c>
      <c r="AF823" s="75">
        <f>AE823*(1-PARAM!$C$27)*$I$10+(MOD($B823,60)=PARAM!$B$56)*($B823&gt;(60-PARAM!$B$56))*HLOOKUP(($B823+PARAM!$B$56)/12,Loyalty,2)*$F$1*MAX(AH822,0)</f>
        <v>18.557001321003963</v>
      </c>
      <c r="AG823" s="75">
        <f>PARAM!$C$26+MAX($G$10-CHOOSE(PARAM!$B$44,MAX(0,AH822*$F$1),0),0)*RATES!$L799/12+$H$10*(PARAM!$D$51/12)*RATES!$N799/100</f>
        <v>1048.7083333333333</v>
      </c>
      <c r="AH823" s="16">
        <f t="shared" si="549"/>
        <v>-149845.49330602976</v>
      </c>
      <c r="AI823" s="15">
        <f t="shared" si="524"/>
        <v>22.170849845882874</v>
      </c>
      <c r="AJ823" s="75">
        <f>AI823*(1-PARAM!$C$27)*$I$11+(MOD($B823,60)=PARAM!$B$56)*($B823&gt;(60-PARAM!$B$56))*HLOOKUP(($B823+PARAM!$B$56)/12,Loyalty,2)*$F$1*MAX(AL822,0)</f>
        <v>18.557001321003963</v>
      </c>
      <c r="AK823" s="75">
        <f>PARAM!$C$26+MAX($G$11-CHOOSE(PARAM!$B$44,MAX(0,AL822*$F$1),0),0)*RATES!$L799/12+$H$11*(PARAM!$D$51/12)*RATES!$N799/100</f>
        <v>1048.7083333333333</v>
      </c>
      <c r="AL823" s="16">
        <f t="shared" si="550"/>
        <v>-149845.49330602976</v>
      </c>
      <c r="AM823" s="15">
        <f t="shared" si="525"/>
        <v>22.170849845882874</v>
      </c>
      <c r="AN823" s="75">
        <f>AM823*(1-PARAM!$C$27)*$I$12+(MOD($B823,60)=PARAM!$B$56)*($B823&gt;(60-PARAM!$B$56))*HLOOKUP(($B823+PARAM!$B$56)/12,Loyalty,2)*$F$1*MAX(AP822,0)</f>
        <v>18.557001321003963</v>
      </c>
      <c r="AO823" s="75">
        <f>PARAM!$C$26+MAX($G$12-CHOOSE(PARAM!$B$44,MAX(0,AP822*$F$1),0),0)*RATES!$L799/12+$H$12*(PARAM!$D$51/12)*RATES!$N799/100</f>
        <v>1048.7083333333333</v>
      </c>
      <c r="AP823" s="16">
        <f t="shared" si="551"/>
        <v>-149845.49330602976</v>
      </c>
      <c r="AQ823" s="15">
        <f t="shared" si="526"/>
        <v>22.170849845882874</v>
      </c>
      <c r="AR823" s="75">
        <f>AQ823*(1-PARAM!$C$27)*$I$13+(MOD($B823,60)=PARAM!$B$56)*($B823&gt;(60-PARAM!$B$56))*HLOOKUP(($B823+PARAM!$B$56)/12,Loyalty,2)*$F$1*MAX(AT822,0)</f>
        <v>18.557001321003963</v>
      </c>
      <c r="AS823" s="75">
        <f>PARAM!$C$26+MAX($G$13-CHOOSE(PARAM!$B$44,MAX(0,AT822*$F$1),0),0)*RATES!$L799/12+$H$13*(PARAM!$D$51/12)*RATES!$N799/100</f>
        <v>1048.7083333333333</v>
      </c>
      <c r="AT823" s="16">
        <f t="shared" si="552"/>
        <v>-149845.49330602976</v>
      </c>
      <c r="AU823" s="15">
        <f t="shared" si="527"/>
        <v>22.170849845882874</v>
      </c>
      <c r="AV823" s="75">
        <f>AU823*(1-PARAM!$C$27)*$I$14+(MOD($B823,60)=PARAM!$B$56)*($B823&gt;(60-PARAM!$B$56))*HLOOKUP(($B823+PARAM!$B$56)/12,Loyalty,2)*$F$1*MAX(AX822,0)</f>
        <v>18.557001321003963</v>
      </c>
      <c r="AW823" s="75">
        <f>PARAM!$C$26+MAX($G$14-CHOOSE(PARAM!$B$44,MAX(0,AX822*$F$1),0),0)*RATES!$L799/12+$H$14*(PARAM!$D$51/12)*RATES!$N799/100</f>
        <v>1048.7083333333333</v>
      </c>
      <c r="AX823" s="16">
        <f t="shared" si="553"/>
        <v>-149845.49330602976</v>
      </c>
      <c r="AY823" s="15">
        <f t="shared" si="528"/>
        <v>22.170849845882874</v>
      </c>
      <c r="AZ823" s="75">
        <f>AY823*(1-PARAM!$C$27)*$I$15+(MOD($B823,60)=PARAM!$B$56)*($B823&gt;(60-PARAM!$B$56))*HLOOKUP(($B823+PARAM!$B$56)/12,Loyalty,2)*$F$1*MAX(BB822,0)</f>
        <v>18.557001321003963</v>
      </c>
      <c r="BA823" s="75">
        <f>PARAM!$C$26+MAX($G$15-CHOOSE(PARAM!$B$44,MAX(0,BB822*$F$1),0),0)*RATES!$L799/12+$H$15*(PARAM!$D$51/12)*RATES!$N799/100</f>
        <v>1048.7083333333333</v>
      </c>
      <c r="BB823" s="16">
        <f t="shared" si="554"/>
        <v>-149845.49330602976</v>
      </c>
      <c r="BC823" s="15">
        <f t="shared" si="529"/>
        <v>22.170849845882874</v>
      </c>
      <c r="BD823" s="75">
        <f>BC823*(1-PARAM!$C$27)*$I$16+(MOD($B823,60)=PARAM!$B$56)*($B823&gt;(60-PARAM!$B$56))*HLOOKUP(($B823+PARAM!$B$56)/12,Loyalty,2)*$F$1*MAX(BF822,0)</f>
        <v>18.557001321003963</v>
      </c>
      <c r="BE823" s="75">
        <f>PARAM!$C$26+MAX($G$16-CHOOSE(PARAM!$B$44,MAX(0,BF822*$F$1),0),0)*RATES!$L799/12+$H$16*(PARAM!$D$51/12)*RATES!$N799/100</f>
        <v>1048.7083333333333</v>
      </c>
      <c r="BF823" s="16">
        <f t="shared" si="555"/>
        <v>-149845.49330602976</v>
      </c>
      <c r="BG823" s="15">
        <f t="shared" si="530"/>
        <v>22.170849845882874</v>
      </c>
      <c r="BH823" s="75">
        <f>BG823*(1-PARAM!$C$27)*$I$17+(MOD($B823,60)=PARAM!$B$56)*($B823&gt;(60-PARAM!$B$56))*HLOOKUP(($B823+PARAM!$B$56)/12,Loyalty,2)*$F$1*MAX(BJ822,0)</f>
        <v>18.557001321003963</v>
      </c>
      <c r="BI823" s="75">
        <f>PARAM!$C$26+MAX($G$17-CHOOSE(PARAM!$B$44,MAX(0,BJ822*$F$1),0),0)*RATES!$L799/12+$H$17*(PARAM!$D$51/12)*RATES!$N799/100</f>
        <v>1048.7083333333333</v>
      </c>
      <c r="BJ823" s="16">
        <f t="shared" si="556"/>
        <v>-149845.49330602976</v>
      </c>
      <c r="BK823" s="15">
        <f t="shared" si="531"/>
        <v>22.170849845882874</v>
      </c>
      <c r="BL823" s="75">
        <f>BK823*(1-PARAM!$C$27)*$I$18+(MOD($B823,60)=PARAM!$B$56)*($B823&gt;(60-PARAM!$B$56))*HLOOKUP(($B823+PARAM!$B$56)/12,Loyalty,2)*$F$1*MAX(BN822,0)</f>
        <v>18.557001321003963</v>
      </c>
      <c r="BM823" s="75">
        <f>PARAM!$C$26+MAX($G$18-CHOOSE(PARAM!$B$44,MAX(0,BN822*$F$1),0),0)*RATES!$L799/12+$H$18*(PARAM!$D$51/12)*RATES!$N799/100</f>
        <v>1048.7083333333333</v>
      </c>
      <c r="BN823" s="16">
        <f t="shared" si="557"/>
        <v>-149845.49330602976</v>
      </c>
      <c r="BO823" s="15">
        <f t="shared" si="532"/>
        <v>22.170849845882874</v>
      </c>
      <c r="BP823" s="75">
        <f>BO823*(1-PARAM!$C$27)*$I$19+(MOD($B823,60)=PARAM!$B$56)*($B823&gt;(60-PARAM!$B$56))*HLOOKUP(($B823+PARAM!$B$56)/12,Loyalty,2)*$F$1*MAX(BR822,0)</f>
        <v>18.557001321003963</v>
      </c>
      <c r="BQ823" s="75">
        <f>PARAM!$C$26+MAX($G$19-CHOOSE(PARAM!$B$44,MAX(0,BR822*$F$1),0),0)*RATES!$L799/12+$H$19*(PARAM!$D$51/12)*RATES!$N799/100</f>
        <v>1048.7083333333333</v>
      </c>
      <c r="BR823" s="16">
        <f t="shared" si="558"/>
        <v>-149845.49330602976</v>
      </c>
      <c r="BS823" s="15">
        <f t="shared" si="533"/>
        <v>22.170849845882874</v>
      </c>
      <c r="BT823" s="75">
        <f>BS823*(1-PARAM!$C$27)*$I$20+(MOD($B823,60)=PARAM!$B$56)*($B823&gt;(60-PARAM!$B$56))*HLOOKUP(($B823+PARAM!$B$56)/12,Loyalty,2)*$F$1*MAX(BV822,0)</f>
        <v>18.557001321003963</v>
      </c>
      <c r="BU823" s="75">
        <f>PARAM!$C$26+MAX($G$20-CHOOSE(PARAM!$B$44,MAX(0,BV822*$F$1),0),0)*RATES!$L799/12+$H$20*(PARAM!$D$51/12)*RATES!$N799/100</f>
        <v>1048.7083333333333</v>
      </c>
      <c r="BV823" s="16">
        <f t="shared" si="559"/>
        <v>-149845.49330602976</v>
      </c>
      <c r="BW823" s="15">
        <f t="shared" si="534"/>
        <v>22.170849845882874</v>
      </c>
      <c r="BX823" s="75">
        <f>BW823*(1-PARAM!$C$27)*$I$21+(MOD($B823,60)=PARAM!$B$56)*($B823&gt;(60-PARAM!$B$56))*HLOOKUP(($B823+PARAM!$B$56)/12,Loyalty,2)*$F$1*MAX(BZ822,0)</f>
        <v>18.557001321003963</v>
      </c>
      <c r="BY823" s="75">
        <f>PARAM!$C$26+MAX($G$21-CHOOSE(PARAM!$B$44,MAX(0,BZ822*$F$1),0),0)*RATES!$L799/12+$H$21*(PARAM!$D$51/12)*RATES!$N799/100</f>
        <v>1048.7083333333333</v>
      </c>
      <c r="BZ823" s="16">
        <f t="shared" si="560"/>
        <v>-149845.49330602976</v>
      </c>
      <c r="CA823" s="15">
        <f t="shared" si="535"/>
        <v>22.170849845882874</v>
      </c>
      <c r="CB823" s="75">
        <f>CA823*(1-PARAM!$C$27)*$I$22+(MOD($B823,60)=PARAM!$B$56)*($B823&gt;(60-PARAM!$B$56))*HLOOKUP(($B823+PARAM!$B$56)/12,Loyalty,2)*$F$1*MAX(CD822,0)</f>
        <v>18.557001321003963</v>
      </c>
      <c r="CC823" s="75">
        <f>PARAM!$C$26+MAX($G$22-CHOOSE(PARAM!$B$44,MAX(0,CD822*$F$1),0),0)*RATES!$L799/12+$H$22*(PARAM!$D$51/12)*RATES!$N799/100</f>
        <v>1048.7083333333333</v>
      </c>
      <c r="CD823" s="16">
        <f t="shared" si="561"/>
        <v>-149845.49330602976</v>
      </c>
      <c r="CE823" s="33">
        <f>IF(0=MOD(B823,12/PARAM!$D$51),1,0)</f>
        <v>1</v>
      </c>
      <c r="CF823" s="15">
        <f t="shared" si="536"/>
        <v>0</v>
      </c>
      <c r="CG823" s="75">
        <f>CF823*(1-PARAM!$C$27)*$R$3+(MOD($B823/12,5)=0)*($B823&gt;60)*HLOOKUP($B823/12,Loyalty,2)*$F$1*MAX(CI822,0)</f>
        <v>0</v>
      </c>
      <c r="CH823" s="75">
        <f>PARAM!$C$26+MAX($P$3-CHOOSE(PARAM!$B$44,MAX(0,CI822*$F$1),0),0)*RATES!$L799/12+$Q$3*(PARAM!$D$51/12)*RATES!$N799/100</f>
        <v>1048.7083333333333</v>
      </c>
      <c r="CI823" s="16">
        <f>IF(CI822&gt;0,CI822*PARAM!$C$53,CI822)+CG823-CH823</f>
        <v>-164497.29166666706</v>
      </c>
      <c r="CJ823" s="15">
        <f t="shared" si="562"/>
        <v>0</v>
      </c>
      <c r="CK823" s="75">
        <f>CJ823*(1-PARAM!$C$27)*$R$4+(MOD($B823/12,5)=0)*($B823&gt;60)*HLOOKUP($B823/12,Loyalty,2)*$F$1*MAX(CM822,0)</f>
        <v>0</v>
      </c>
      <c r="CL823" s="75">
        <f>PARAM!$C$26+MAX($P$4-CHOOSE(PARAM!$B$44,MAX(0,CM822*$F$1),0),0)*RATES!$L799/12+$Q$4*(PARAM!$D$51/12)*RATES!$N799/100</f>
        <v>1048.7083333333333</v>
      </c>
      <c r="CM823" s="16">
        <f>IF(CM822&gt;0,CM822*PARAM!$C$53,CM822)+CK823-CL823</f>
        <v>-164497.29166666706</v>
      </c>
      <c r="CO823" s="176"/>
    </row>
    <row r="824" spans="1:93" x14ac:dyDescent="0.2">
      <c r="A824" t="b">
        <f t="shared" si="537"/>
        <v>0</v>
      </c>
      <c r="B824" s="33">
        <v>797</v>
      </c>
      <c r="C824" s="15">
        <f t="shared" si="538"/>
        <v>20.081305947392778</v>
      </c>
      <c r="D824" s="75">
        <f>C824*(1-PARAM!$C$27)*$I$3+(MOD($B824,60)=PARAM!$B$56)*($B824&gt;(60-PARAM!$B$56))*HLOOKUP(($B824+PARAM!$B$56)/12,Loyalty,2)*$F$1*MAX(F823,0)</f>
        <v>16.808053077967756</v>
      </c>
      <c r="E824" s="75">
        <f>PARAM!$C$26+MAX($G$3-CHOOSE(PARAM!$B$44,MAX(0,F823*$F$1),0),0)*RATES!$L800/12+$H$3*(PARAM!$D$51/12)*RATES!$N800/100</f>
        <v>1048.7083333333333</v>
      </c>
      <c r="F824" s="16">
        <f t="shared" si="539"/>
        <v>-152306.40688826371</v>
      </c>
      <c r="G824" s="15">
        <f t="shared" si="540"/>
        <v>22.035289406060361</v>
      </c>
      <c r="H824" s="75">
        <f>G824*(1-PARAM!$C$27)*$I$4+(MOD($B824,60)=PARAM!$B$56)*($B824&gt;(60-PARAM!$B$56))*HLOOKUP(($B824+PARAM!$B$56)/12,Loyalty,2)*$F$1*MAX(J823,0)</f>
        <v>18.443537232872522</v>
      </c>
      <c r="I824" s="75">
        <f>PARAM!$C$26+MAX($G$4-CHOOSE(PARAM!$B$44,MAX(0,J823*$F$1),0),0)*RATES!$L800/12+$H$4*(PARAM!$D$51/12)*RATES!$N800/100</f>
        <v>1048.7083333333333</v>
      </c>
      <c r="J824" s="16">
        <f t="shared" si="541"/>
        <v>-150969.09305268261</v>
      </c>
      <c r="K824" s="15">
        <f t="shared" si="542"/>
        <v>22.170849845882874</v>
      </c>
      <c r="L824" s="75">
        <f>K824*(1-PARAM!$C$27)*$I$5+(MOD($B824,60)=PARAM!$B$56)*($B824&gt;(60-PARAM!$B$56))*HLOOKUP(($B824+PARAM!$B$56)/12,Loyalty,2)*$F$1*MAX(N823,0)</f>
        <v>18.557001321003963</v>
      </c>
      <c r="M824" s="75">
        <f>PARAM!$C$26+MAX($G$5-CHOOSE(PARAM!$B$44,MAX(0,N823*$F$1),0),0)*RATES!$L800/12+$H$5*(PARAM!$D$51/12)*RATES!$N800/100</f>
        <v>1048.7083333333333</v>
      </c>
      <c r="N824" s="16">
        <f t="shared" si="543"/>
        <v>-150875.64463804211</v>
      </c>
      <c r="O824" s="15">
        <f t="shared" si="544"/>
        <v>22.170849845882874</v>
      </c>
      <c r="P824" s="75">
        <f>O824*(1-PARAM!$C$27)*$I$6+(MOD($B824,60)=PARAM!$B$56)*($B824&gt;(60-PARAM!$B$56))*HLOOKUP(($B824+PARAM!$B$56)/12,Loyalty,2)*$F$1*MAX(R823,0)</f>
        <v>18.557001321003963</v>
      </c>
      <c r="Q824" s="75">
        <f>PARAM!$C$26+MAX($G$6-CHOOSE(PARAM!$B$44,MAX(0,R823*$F$1),0),0)*RATES!$L800/12+$H$6*(PARAM!$D$51/12)*RATES!$N800/100</f>
        <v>1048.7083333333333</v>
      </c>
      <c r="R824" s="16">
        <f t="shared" si="545"/>
        <v>-150875.64463804211</v>
      </c>
      <c r="S824" s="15">
        <f t="shared" si="520"/>
        <v>22.170849845882874</v>
      </c>
      <c r="T824" s="75">
        <f>S824*(1-PARAM!$C$27)*$I$7+(MOD($B824,60)=PARAM!$B$56)*($B824&gt;(60-PARAM!$B$56))*HLOOKUP(($B824+PARAM!$B$56)/12,Loyalty,2)*$F$1*MAX(V823,0)</f>
        <v>18.557001321003963</v>
      </c>
      <c r="U824" s="75">
        <f>PARAM!$C$26+MAX($G$7-CHOOSE(PARAM!$B$44,MAX(0,V823*$F$1),0),0)*RATES!$L800/12+$H$7*(PARAM!$D$51/12)*RATES!$N800/100</f>
        <v>1048.7083333333333</v>
      </c>
      <c r="V824" s="16">
        <f t="shared" si="546"/>
        <v>-150875.64463804211</v>
      </c>
      <c r="W824" s="15">
        <f t="shared" si="521"/>
        <v>22.170849845882874</v>
      </c>
      <c r="X824" s="75">
        <f>W824*(1-PARAM!$C$27)*$I$8+(MOD($B824,60)=PARAM!$B$56)*($B824&gt;(60-PARAM!$B$56))*HLOOKUP(($B824+PARAM!$B$56)/12,Loyalty,2)*$F$1*MAX(Z823,0)</f>
        <v>18.557001321003963</v>
      </c>
      <c r="Y824" s="75">
        <f>PARAM!$C$26+MAX($G$8-CHOOSE(PARAM!$B$44,MAX(0,Z823*$F$1),0),0)*RATES!$L800/12+$H$8*(PARAM!$D$51/12)*RATES!$N800/100</f>
        <v>1048.7083333333333</v>
      </c>
      <c r="Z824" s="16">
        <f t="shared" si="547"/>
        <v>-150875.64463804211</v>
      </c>
      <c r="AA824" s="15">
        <f t="shared" si="522"/>
        <v>22.170849845882874</v>
      </c>
      <c r="AB824" s="75">
        <f>AA824*(1-PARAM!$C$27)*$I$9+(MOD($B824,60)=PARAM!$B$56)*($B824&gt;(60-PARAM!$B$56))*HLOOKUP(($B824+PARAM!$B$56)/12,Loyalty,2)*$F$1*MAX(AD823,0)</f>
        <v>18.557001321003963</v>
      </c>
      <c r="AC824" s="75">
        <f>PARAM!$C$26+MAX($G$9-CHOOSE(PARAM!$B$44,MAX(0,AD823*$F$1),0),0)*RATES!$L800/12+$H$9*(PARAM!$D$51/12)*RATES!$N800/100</f>
        <v>1048.7083333333333</v>
      </c>
      <c r="AD824" s="16">
        <f t="shared" si="548"/>
        <v>-150875.64463804211</v>
      </c>
      <c r="AE824" s="15">
        <f t="shared" si="523"/>
        <v>22.170849845882874</v>
      </c>
      <c r="AF824" s="75">
        <f>AE824*(1-PARAM!$C$27)*$I$10+(MOD($B824,60)=PARAM!$B$56)*($B824&gt;(60-PARAM!$B$56))*HLOOKUP(($B824+PARAM!$B$56)/12,Loyalty,2)*$F$1*MAX(AH823,0)</f>
        <v>18.557001321003963</v>
      </c>
      <c r="AG824" s="75">
        <f>PARAM!$C$26+MAX($G$10-CHOOSE(PARAM!$B$44,MAX(0,AH823*$F$1),0),0)*RATES!$L800/12+$H$10*(PARAM!$D$51/12)*RATES!$N800/100</f>
        <v>1048.7083333333333</v>
      </c>
      <c r="AH824" s="16">
        <f t="shared" si="549"/>
        <v>-150875.64463804211</v>
      </c>
      <c r="AI824" s="15">
        <f t="shared" si="524"/>
        <v>22.170849845882874</v>
      </c>
      <c r="AJ824" s="75">
        <f>AI824*(1-PARAM!$C$27)*$I$11+(MOD($B824,60)=PARAM!$B$56)*($B824&gt;(60-PARAM!$B$56))*HLOOKUP(($B824+PARAM!$B$56)/12,Loyalty,2)*$F$1*MAX(AL823,0)</f>
        <v>18.557001321003963</v>
      </c>
      <c r="AK824" s="75">
        <f>PARAM!$C$26+MAX($G$11-CHOOSE(PARAM!$B$44,MAX(0,AL823*$F$1),0),0)*RATES!$L800/12+$H$11*(PARAM!$D$51/12)*RATES!$N800/100</f>
        <v>1048.7083333333333</v>
      </c>
      <c r="AL824" s="16">
        <f t="shared" si="550"/>
        <v>-150875.64463804211</v>
      </c>
      <c r="AM824" s="15">
        <f t="shared" si="525"/>
        <v>22.170849845882874</v>
      </c>
      <c r="AN824" s="75">
        <f>AM824*(1-PARAM!$C$27)*$I$12+(MOD($B824,60)=PARAM!$B$56)*($B824&gt;(60-PARAM!$B$56))*HLOOKUP(($B824+PARAM!$B$56)/12,Loyalty,2)*$F$1*MAX(AP823,0)</f>
        <v>18.557001321003963</v>
      </c>
      <c r="AO824" s="75">
        <f>PARAM!$C$26+MAX($G$12-CHOOSE(PARAM!$B$44,MAX(0,AP823*$F$1),0),0)*RATES!$L800/12+$H$12*(PARAM!$D$51/12)*RATES!$N800/100</f>
        <v>1048.7083333333333</v>
      </c>
      <c r="AP824" s="16">
        <f t="shared" si="551"/>
        <v>-150875.64463804211</v>
      </c>
      <c r="AQ824" s="15">
        <f t="shared" si="526"/>
        <v>22.170849845882874</v>
      </c>
      <c r="AR824" s="75">
        <f>AQ824*(1-PARAM!$C$27)*$I$13+(MOD($B824,60)=PARAM!$B$56)*($B824&gt;(60-PARAM!$B$56))*HLOOKUP(($B824+PARAM!$B$56)/12,Loyalty,2)*$F$1*MAX(AT823,0)</f>
        <v>18.557001321003963</v>
      </c>
      <c r="AS824" s="75">
        <f>PARAM!$C$26+MAX($G$13-CHOOSE(PARAM!$B$44,MAX(0,AT823*$F$1),0),0)*RATES!$L800/12+$H$13*(PARAM!$D$51/12)*RATES!$N800/100</f>
        <v>1048.7083333333333</v>
      </c>
      <c r="AT824" s="16">
        <f t="shared" si="552"/>
        <v>-150875.64463804211</v>
      </c>
      <c r="AU824" s="15">
        <f t="shared" si="527"/>
        <v>22.170849845882874</v>
      </c>
      <c r="AV824" s="75">
        <f>AU824*(1-PARAM!$C$27)*$I$14+(MOD($B824,60)=PARAM!$B$56)*($B824&gt;(60-PARAM!$B$56))*HLOOKUP(($B824+PARAM!$B$56)/12,Loyalty,2)*$F$1*MAX(AX823,0)</f>
        <v>18.557001321003963</v>
      </c>
      <c r="AW824" s="75">
        <f>PARAM!$C$26+MAX($G$14-CHOOSE(PARAM!$B$44,MAX(0,AX823*$F$1),0),0)*RATES!$L800/12+$H$14*(PARAM!$D$51/12)*RATES!$N800/100</f>
        <v>1048.7083333333333</v>
      </c>
      <c r="AX824" s="16">
        <f t="shared" si="553"/>
        <v>-150875.64463804211</v>
      </c>
      <c r="AY824" s="15">
        <f t="shared" si="528"/>
        <v>22.170849845882874</v>
      </c>
      <c r="AZ824" s="75">
        <f>AY824*(1-PARAM!$C$27)*$I$15+(MOD($B824,60)=PARAM!$B$56)*($B824&gt;(60-PARAM!$B$56))*HLOOKUP(($B824+PARAM!$B$56)/12,Loyalty,2)*$F$1*MAX(BB823,0)</f>
        <v>18.557001321003963</v>
      </c>
      <c r="BA824" s="75">
        <f>PARAM!$C$26+MAX($G$15-CHOOSE(PARAM!$B$44,MAX(0,BB823*$F$1),0),0)*RATES!$L800/12+$H$15*(PARAM!$D$51/12)*RATES!$N800/100</f>
        <v>1048.7083333333333</v>
      </c>
      <c r="BB824" s="16">
        <f t="shared" si="554"/>
        <v>-150875.64463804211</v>
      </c>
      <c r="BC824" s="15">
        <f t="shared" si="529"/>
        <v>22.170849845882874</v>
      </c>
      <c r="BD824" s="75">
        <f>BC824*(1-PARAM!$C$27)*$I$16+(MOD($B824,60)=PARAM!$B$56)*($B824&gt;(60-PARAM!$B$56))*HLOOKUP(($B824+PARAM!$B$56)/12,Loyalty,2)*$F$1*MAX(BF823,0)</f>
        <v>18.557001321003963</v>
      </c>
      <c r="BE824" s="75">
        <f>PARAM!$C$26+MAX($G$16-CHOOSE(PARAM!$B$44,MAX(0,BF823*$F$1),0),0)*RATES!$L800/12+$H$16*(PARAM!$D$51/12)*RATES!$N800/100</f>
        <v>1048.7083333333333</v>
      </c>
      <c r="BF824" s="16">
        <f t="shared" si="555"/>
        <v>-150875.64463804211</v>
      </c>
      <c r="BG824" s="15">
        <f t="shared" si="530"/>
        <v>22.170849845882874</v>
      </c>
      <c r="BH824" s="75">
        <f>BG824*(1-PARAM!$C$27)*$I$17+(MOD($B824,60)=PARAM!$B$56)*($B824&gt;(60-PARAM!$B$56))*HLOOKUP(($B824+PARAM!$B$56)/12,Loyalty,2)*$F$1*MAX(BJ823,0)</f>
        <v>18.557001321003963</v>
      </c>
      <c r="BI824" s="75">
        <f>PARAM!$C$26+MAX($G$17-CHOOSE(PARAM!$B$44,MAX(0,BJ823*$F$1),0),0)*RATES!$L800/12+$H$17*(PARAM!$D$51/12)*RATES!$N800/100</f>
        <v>1048.7083333333333</v>
      </c>
      <c r="BJ824" s="16">
        <f t="shared" si="556"/>
        <v>-150875.64463804211</v>
      </c>
      <c r="BK824" s="15">
        <f t="shared" si="531"/>
        <v>22.170849845882874</v>
      </c>
      <c r="BL824" s="75">
        <f>BK824*(1-PARAM!$C$27)*$I$18+(MOD($B824,60)=PARAM!$B$56)*($B824&gt;(60-PARAM!$B$56))*HLOOKUP(($B824+PARAM!$B$56)/12,Loyalty,2)*$F$1*MAX(BN823,0)</f>
        <v>18.557001321003963</v>
      </c>
      <c r="BM824" s="75">
        <f>PARAM!$C$26+MAX($G$18-CHOOSE(PARAM!$B$44,MAX(0,BN823*$F$1),0),0)*RATES!$L800/12+$H$18*(PARAM!$D$51/12)*RATES!$N800/100</f>
        <v>1048.7083333333333</v>
      </c>
      <c r="BN824" s="16">
        <f t="shared" si="557"/>
        <v>-150875.64463804211</v>
      </c>
      <c r="BO824" s="15">
        <f t="shared" si="532"/>
        <v>22.170849845882874</v>
      </c>
      <c r="BP824" s="75">
        <f>BO824*(1-PARAM!$C$27)*$I$19+(MOD($B824,60)=PARAM!$B$56)*($B824&gt;(60-PARAM!$B$56))*HLOOKUP(($B824+PARAM!$B$56)/12,Loyalty,2)*$F$1*MAX(BR823,0)</f>
        <v>18.557001321003963</v>
      </c>
      <c r="BQ824" s="75">
        <f>PARAM!$C$26+MAX($G$19-CHOOSE(PARAM!$B$44,MAX(0,BR823*$F$1),0),0)*RATES!$L800/12+$H$19*(PARAM!$D$51/12)*RATES!$N800/100</f>
        <v>1048.7083333333333</v>
      </c>
      <c r="BR824" s="16">
        <f t="shared" si="558"/>
        <v>-150875.64463804211</v>
      </c>
      <c r="BS824" s="15">
        <f t="shared" si="533"/>
        <v>22.170849845882874</v>
      </c>
      <c r="BT824" s="75">
        <f>BS824*(1-PARAM!$C$27)*$I$20+(MOD($B824,60)=PARAM!$B$56)*($B824&gt;(60-PARAM!$B$56))*HLOOKUP(($B824+PARAM!$B$56)/12,Loyalty,2)*$F$1*MAX(BV823,0)</f>
        <v>18.557001321003963</v>
      </c>
      <c r="BU824" s="75">
        <f>PARAM!$C$26+MAX($G$20-CHOOSE(PARAM!$B$44,MAX(0,BV823*$F$1),0),0)*RATES!$L800/12+$H$20*(PARAM!$D$51/12)*RATES!$N800/100</f>
        <v>1048.7083333333333</v>
      </c>
      <c r="BV824" s="16">
        <f t="shared" si="559"/>
        <v>-150875.64463804211</v>
      </c>
      <c r="BW824" s="15">
        <f t="shared" si="534"/>
        <v>22.170849845882874</v>
      </c>
      <c r="BX824" s="75">
        <f>BW824*(1-PARAM!$C$27)*$I$21+(MOD($B824,60)=PARAM!$B$56)*($B824&gt;(60-PARAM!$B$56))*HLOOKUP(($B824+PARAM!$B$56)/12,Loyalty,2)*$F$1*MAX(BZ823,0)</f>
        <v>18.557001321003963</v>
      </c>
      <c r="BY824" s="75">
        <f>PARAM!$C$26+MAX($G$21-CHOOSE(PARAM!$B$44,MAX(0,BZ823*$F$1),0),0)*RATES!$L800/12+$H$21*(PARAM!$D$51/12)*RATES!$N800/100</f>
        <v>1048.7083333333333</v>
      </c>
      <c r="BZ824" s="16">
        <f t="shared" si="560"/>
        <v>-150875.64463804211</v>
      </c>
      <c r="CA824" s="15">
        <f t="shared" si="535"/>
        <v>22.170849845882874</v>
      </c>
      <c r="CB824" s="75">
        <f>CA824*(1-PARAM!$C$27)*$I$22+(MOD($B824,60)=PARAM!$B$56)*($B824&gt;(60-PARAM!$B$56))*HLOOKUP(($B824+PARAM!$B$56)/12,Loyalty,2)*$F$1*MAX(CD823,0)</f>
        <v>18.557001321003963</v>
      </c>
      <c r="CC824" s="75">
        <f>PARAM!$C$26+MAX($G$22-CHOOSE(PARAM!$B$44,MAX(0,CD823*$F$1),0),0)*RATES!$L800/12+$H$22*(PARAM!$D$51/12)*RATES!$N800/100</f>
        <v>1048.7083333333333</v>
      </c>
      <c r="CD824" s="16">
        <f t="shared" si="561"/>
        <v>-150875.64463804211</v>
      </c>
      <c r="CE824" s="33">
        <f>IF(0=MOD(B824,12/PARAM!$D$51),1,0)</f>
        <v>1</v>
      </c>
      <c r="CF824" s="15">
        <f t="shared" si="536"/>
        <v>0</v>
      </c>
      <c r="CG824" s="75">
        <f>CF824*(1-PARAM!$C$27)*$R$3+(MOD($B824/12,5)=0)*($B824&gt;60)*HLOOKUP($B824/12,Loyalty,2)*$F$1*MAX(CI823,0)</f>
        <v>0</v>
      </c>
      <c r="CH824" s="75">
        <f>PARAM!$C$26+MAX($P$3-CHOOSE(PARAM!$B$44,MAX(0,CI823*$F$1),0),0)*RATES!$L800/12+$Q$3*(PARAM!$D$51/12)*RATES!$N800/100</f>
        <v>1048.7083333333333</v>
      </c>
      <c r="CI824" s="16">
        <f>IF(CI823&gt;0,CI823*PARAM!$C$53,CI823)+CG824-CH824</f>
        <v>-165546.00000000041</v>
      </c>
      <c r="CJ824" s="15">
        <f t="shared" si="562"/>
        <v>0</v>
      </c>
      <c r="CK824" s="75">
        <f>CJ824*(1-PARAM!$C$27)*$R$4+(MOD($B824/12,5)=0)*($B824&gt;60)*HLOOKUP($B824/12,Loyalty,2)*$F$1*MAX(CM823,0)</f>
        <v>0</v>
      </c>
      <c r="CL824" s="75">
        <f>PARAM!$C$26+MAX($P$4-CHOOSE(PARAM!$B$44,MAX(0,CM823*$F$1),0),0)*RATES!$L800/12+$Q$4*(PARAM!$D$51/12)*RATES!$N800/100</f>
        <v>1048.7083333333333</v>
      </c>
      <c r="CM824" s="16">
        <f>IF(CM823&gt;0,CM823*PARAM!$C$53,CM823)+CK824-CL824</f>
        <v>-165546.00000000041</v>
      </c>
      <c r="CO824" s="176"/>
    </row>
    <row r="825" spans="1:93" x14ac:dyDescent="0.2">
      <c r="A825" t="b">
        <f t="shared" si="537"/>
        <v>0</v>
      </c>
      <c r="B825" s="33">
        <v>798</v>
      </c>
      <c r="C825" s="15">
        <f t="shared" si="538"/>
        <v>20.081305947392778</v>
      </c>
      <c r="D825" s="75">
        <f>C825*(1-PARAM!$C$27)*$I$3+(MOD($B825,60)=PARAM!$B$56)*($B825&gt;(60-PARAM!$B$56))*HLOOKUP(($B825+PARAM!$B$56)/12,Loyalty,2)*$F$1*MAX(F824,0)</f>
        <v>16.808053077967756</v>
      </c>
      <c r="E825" s="75">
        <f>PARAM!$C$26+MAX($G$3-CHOOSE(PARAM!$B$44,MAX(0,F824*$F$1),0),0)*RATES!$L801/12+$H$3*(PARAM!$D$51/12)*RATES!$N801/100</f>
        <v>1118.1666666666667</v>
      </c>
      <c r="F825" s="16">
        <f t="shared" si="539"/>
        <v>-153407.76550185241</v>
      </c>
      <c r="G825" s="15">
        <f t="shared" si="540"/>
        <v>22.035289406060361</v>
      </c>
      <c r="H825" s="75">
        <f>G825*(1-PARAM!$C$27)*$I$4+(MOD($B825,60)=PARAM!$B$56)*($B825&gt;(60-PARAM!$B$56))*HLOOKUP(($B825+PARAM!$B$56)/12,Loyalty,2)*$F$1*MAX(J824,0)</f>
        <v>18.443537232872522</v>
      </c>
      <c r="I825" s="75">
        <f>PARAM!$C$26+MAX($G$4-CHOOSE(PARAM!$B$44,MAX(0,J824*$F$1),0),0)*RATES!$L801/12+$H$4*(PARAM!$D$51/12)*RATES!$N801/100</f>
        <v>1118.1666666666667</v>
      </c>
      <c r="J825" s="16">
        <f t="shared" si="541"/>
        <v>-152068.8161821164</v>
      </c>
      <c r="K825" s="15">
        <f t="shared" si="542"/>
        <v>22.170849845882874</v>
      </c>
      <c r="L825" s="75">
        <f>K825*(1-PARAM!$C$27)*$I$5+(MOD($B825,60)=PARAM!$B$56)*($B825&gt;(60-PARAM!$B$56))*HLOOKUP(($B825+PARAM!$B$56)/12,Loyalty,2)*$F$1*MAX(N824,0)</f>
        <v>18.557001321003963</v>
      </c>
      <c r="M825" s="75">
        <f>PARAM!$C$26+MAX($G$5-CHOOSE(PARAM!$B$44,MAX(0,N824*$F$1),0),0)*RATES!$L801/12+$H$5*(PARAM!$D$51/12)*RATES!$N801/100</f>
        <v>1118.1666666666667</v>
      </c>
      <c r="N825" s="16">
        <f t="shared" si="543"/>
        <v>-151975.25430338777</v>
      </c>
      <c r="O825" s="15">
        <f t="shared" si="544"/>
        <v>22.170849845882874</v>
      </c>
      <c r="P825" s="75">
        <f>O825*(1-PARAM!$C$27)*$I$6+(MOD($B825,60)=PARAM!$B$56)*($B825&gt;(60-PARAM!$B$56))*HLOOKUP(($B825+PARAM!$B$56)/12,Loyalty,2)*$F$1*MAX(R824,0)</f>
        <v>18.557001321003963</v>
      </c>
      <c r="Q825" s="75">
        <f>PARAM!$C$26+MAX($G$6-CHOOSE(PARAM!$B$44,MAX(0,R824*$F$1),0),0)*RATES!$L801/12+$H$6*(PARAM!$D$51/12)*RATES!$N801/100</f>
        <v>1118.1666666666667</v>
      </c>
      <c r="R825" s="16">
        <f t="shared" si="545"/>
        <v>-151975.25430338777</v>
      </c>
      <c r="S825" s="15">
        <f t="shared" si="520"/>
        <v>22.170849845882874</v>
      </c>
      <c r="T825" s="75">
        <f>S825*(1-PARAM!$C$27)*$I$7+(MOD($B825,60)=PARAM!$B$56)*($B825&gt;(60-PARAM!$B$56))*HLOOKUP(($B825+PARAM!$B$56)/12,Loyalty,2)*$F$1*MAX(V824,0)</f>
        <v>18.557001321003963</v>
      </c>
      <c r="U825" s="75">
        <f>PARAM!$C$26+MAX($G$7-CHOOSE(PARAM!$B$44,MAX(0,V824*$F$1),0),0)*RATES!$L801/12+$H$7*(PARAM!$D$51/12)*RATES!$N801/100</f>
        <v>1118.1666666666667</v>
      </c>
      <c r="V825" s="16">
        <f t="shared" si="546"/>
        <v>-151975.25430338777</v>
      </c>
      <c r="W825" s="15">
        <f t="shared" si="521"/>
        <v>22.170849845882874</v>
      </c>
      <c r="X825" s="75">
        <f>W825*(1-PARAM!$C$27)*$I$8+(MOD($B825,60)=PARAM!$B$56)*($B825&gt;(60-PARAM!$B$56))*HLOOKUP(($B825+PARAM!$B$56)/12,Loyalty,2)*$F$1*MAX(Z824,0)</f>
        <v>18.557001321003963</v>
      </c>
      <c r="Y825" s="75">
        <f>PARAM!$C$26+MAX($G$8-CHOOSE(PARAM!$B$44,MAX(0,Z824*$F$1),0),0)*RATES!$L801/12+$H$8*(PARAM!$D$51/12)*RATES!$N801/100</f>
        <v>1118.1666666666667</v>
      </c>
      <c r="Z825" s="16">
        <f t="shared" si="547"/>
        <v>-151975.25430338777</v>
      </c>
      <c r="AA825" s="15">
        <f t="shared" si="522"/>
        <v>22.170849845882874</v>
      </c>
      <c r="AB825" s="75">
        <f>AA825*(1-PARAM!$C$27)*$I$9+(MOD($B825,60)=PARAM!$B$56)*($B825&gt;(60-PARAM!$B$56))*HLOOKUP(($B825+PARAM!$B$56)/12,Loyalty,2)*$F$1*MAX(AD824,0)</f>
        <v>18.557001321003963</v>
      </c>
      <c r="AC825" s="75">
        <f>PARAM!$C$26+MAX($G$9-CHOOSE(PARAM!$B$44,MAX(0,AD824*$F$1),0),0)*RATES!$L801/12+$H$9*(PARAM!$D$51/12)*RATES!$N801/100</f>
        <v>1118.1666666666667</v>
      </c>
      <c r="AD825" s="16">
        <f t="shared" si="548"/>
        <v>-151975.25430338777</v>
      </c>
      <c r="AE825" s="15">
        <f t="shared" si="523"/>
        <v>22.170849845882874</v>
      </c>
      <c r="AF825" s="75">
        <f>AE825*(1-PARAM!$C$27)*$I$10+(MOD($B825,60)=PARAM!$B$56)*($B825&gt;(60-PARAM!$B$56))*HLOOKUP(($B825+PARAM!$B$56)/12,Loyalty,2)*$F$1*MAX(AH824,0)</f>
        <v>18.557001321003963</v>
      </c>
      <c r="AG825" s="75">
        <f>PARAM!$C$26+MAX($G$10-CHOOSE(PARAM!$B$44,MAX(0,AH824*$F$1),0),0)*RATES!$L801/12+$H$10*(PARAM!$D$51/12)*RATES!$N801/100</f>
        <v>1118.1666666666667</v>
      </c>
      <c r="AH825" s="16">
        <f t="shared" si="549"/>
        <v>-151975.25430338777</v>
      </c>
      <c r="AI825" s="15">
        <f t="shared" si="524"/>
        <v>22.170849845882874</v>
      </c>
      <c r="AJ825" s="75">
        <f>AI825*(1-PARAM!$C$27)*$I$11+(MOD($B825,60)=PARAM!$B$56)*($B825&gt;(60-PARAM!$B$56))*HLOOKUP(($B825+PARAM!$B$56)/12,Loyalty,2)*$F$1*MAX(AL824,0)</f>
        <v>18.557001321003963</v>
      </c>
      <c r="AK825" s="75">
        <f>PARAM!$C$26+MAX($G$11-CHOOSE(PARAM!$B$44,MAX(0,AL824*$F$1),0),0)*RATES!$L801/12+$H$11*(PARAM!$D$51/12)*RATES!$N801/100</f>
        <v>1118.1666666666667</v>
      </c>
      <c r="AL825" s="16">
        <f t="shared" si="550"/>
        <v>-151975.25430338777</v>
      </c>
      <c r="AM825" s="15">
        <f t="shared" si="525"/>
        <v>22.170849845882874</v>
      </c>
      <c r="AN825" s="75">
        <f>AM825*(1-PARAM!$C$27)*$I$12+(MOD($B825,60)=PARAM!$B$56)*($B825&gt;(60-PARAM!$B$56))*HLOOKUP(($B825+PARAM!$B$56)/12,Loyalty,2)*$F$1*MAX(AP824,0)</f>
        <v>18.557001321003963</v>
      </c>
      <c r="AO825" s="75">
        <f>PARAM!$C$26+MAX($G$12-CHOOSE(PARAM!$B$44,MAX(0,AP824*$F$1),0),0)*RATES!$L801/12+$H$12*(PARAM!$D$51/12)*RATES!$N801/100</f>
        <v>1118.1666666666667</v>
      </c>
      <c r="AP825" s="16">
        <f t="shared" si="551"/>
        <v>-151975.25430338777</v>
      </c>
      <c r="AQ825" s="15">
        <f t="shared" si="526"/>
        <v>22.170849845882874</v>
      </c>
      <c r="AR825" s="75">
        <f>AQ825*(1-PARAM!$C$27)*$I$13+(MOD($B825,60)=PARAM!$B$56)*($B825&gt;(60-PARAM!$B$56))*HLOOKUP(($B825+PARAM!$B$56)/12,Loyalty,2)*$F$1*MAX(AT824,0)</f>
        <v>18.557001321003963</v>
      </c>
      <c r="AS825" s="75">
        <f>PARAM!$C$26+MAX($G$13-CHOOSE(PARAM!$B$44,MAX(0,AT824*$F$1),0),0)*RATES!$L801/12+$H$13*(PARAM!$D$51/12)*RATES!$N801/100</f>
        <v>1118.1666666666667</v>
      </c>
      <c r="AT825" s="16">
        <f t="shared" si="552"/>
        <v>-151975.25430338777</v>
      </c>
      <c r="AU825" s="15">
        <f t="shared" si="527"/>
        <v>22.170849845882874</v>
      </c>
      <c r="AV825" s="75">
        <f>AU825*(1-PARAM!$C$27)*$I$14+(MOD($B825,60)=PARAM!$B$56)*($B825&gt;(60-PARAM!$B$56))*HLOOKUP(($B825+PARAM!$B$56)/12,Loyalty,2)*$F$1*MAX(AX824,0)</f>
        <v>18.557001321003963</v>
      </c>
      <c r="AW825" s="75">
        <f>PARAM!$C$26+MAX($G$14-CHOOSE(PARAM!$B$44,MAX(0,AX824*$F$1),0),0)*RATES!$L801/12+$H$14*(PARAM!$D$51/12)*RATES!$N801/100</f>
        <v>1118.1666666666667</v>
      </c>
      <c r="AX825" s="16">
        <f t="shared" si="553"/>
        <v>-151975.25430338777</v>
      </c>
      <c r="AY825" s="15">
        <f t="shared" si="528"/>
        <v>22.170849845882874</v>
      </c>
      <c r="AZ825" s="75">
        <f>AY825*(1-PARAM!$C$27)*$I$15+(MOD($B825,60)=PARAM!$B$56)*($B825&gt;(60-PARAM!$B$56))*HLOOKUP(($B825+PARAM!$B$56)/12,Loyalty,2)*$F$1*MAX(BB824,0)</f>
        <v>18.557001321003963</v>
      </c>
      <c r="BA825" s="75">
        <f>PARAM!$C$26+MAX($G$15-CHOOSE(PARAM!$B$44,MAX(0,BB824*$F$1),0),0)*RATES!$L801/12+$H$15*(PARAM!$D$51/12)*RATES!$N801/100</f>
        <v>1118.1666666666667</v>
      </c>
      <c r="BB825" s="16">
        <f t="shared" si="554"/>
        <v>-151975.25430338777</v>
      </c>
      <c r="BC825" s="15">
        <f t="shared" si="529"/>
        <v>22.170849845882874</v>
      </c>
      <c r="BD825" s="75">
        <f>BC825*(1-PARAM!$C$27)*$I$16+(MOD($B825,60)=PARAM!$B$56)*($B825&gt;(60-PARAM!$B$56))*HLOOKUP(($B825+PARAM!$B$56)/12,Loyalty,2)*$F$1*MAX(BF824,0)</f>
        <v>18.557001321003963</v>
      </c>
      <c r="BE825" s="75">
        <f>PARAM!$C$26+MAX($G$16-CHOOSE(PARAM!$B$44,MAX(0,BF824*$F$1),0),0)*RATES!$L801/12+$H$16*(PARAM!$D$51/12)*RATES!$N801/100</f>
        <v>1118.1666666666667</v>
      </c>
      <c r="BF825" s="16">
        <f t="shared" si="555"/>
        <v>-151975.25430338777</v>
      </c>
      <c r="BG825" s="15">
        <f t="shared" si="530"/>
        <v>22.170849845882874</v>
      </c>
      <c r="BH825" s="75">
        <f>BG825*(1-PARAM!$C$27)*$I$17+(MOD($B825,60)=PARAM!$B$56)*($B825&gt;(60-PARAM!$B$56))*HLOOKUP(($B825+PARAM!$B$56)/12,Loyalty,2)*$F$1*MAX(BJ824,0)</f>
        <v>18.557001321003963</v>
      </c>
      <c r="BI825" s="75">
        <f>PARAM!$C$26+MAX($G$17-CHOOSE(PARAM!$B$44,MAX(0,BJ824*$F$1),0),0)*RATES!$L801/12+$H$17*(PARAM!$D$51/12)*RATES!$N801/100</f>
        <v>1118.1666666666667</v>
      </c>
      <c r="BJ825" s="16">
        <f t="shared" si="556"/>
        <v>-151975.25430338777</v>
      </c>
      <c r="BK825" s="15">
        <f t="shared" si="531"/>
        <v>22.170849845882874</v>
      </c>
      <c r="BL825" s="75">
        <f>BK825*(1-PARAM!$C$27)*$I$18+(MOD($B825,60)=PARAM!$B$56)*($B825&gt;(60-PARAM!$B$56))*HLOOKUP(($B825+PARAM!$B$56)/12,Loyalty,2)*$F$1*MAX(BN824,0)</f>
        <v>18.557001321003963</v>
      </c>
      <c r="BM825" s="75">
        <f>PARAM!$C$26+MAX($G$18-CHOOSE(PARAM!$B$44,MAX(0,BN824*$F$1),0),0)*RATES!$L801/12+$H$18*(PARAM!$D$51/12)*RATES!$N801/100</f>
        <v>1118.1666666666667</v>
      </c>
      <c r="BN825" s="16">
        <f t="shared" si="557"/>
        <v>-151975.25430338777</v>
      </c>
      <c r="BO825" s="15">
        <f t="shared" si="532"/>
        <v>22.170849845882874</v>
      </c>
      <c r="BP825" s="75">
        <f>BO825*(1-PARAM!$C$27)*$I$19+(MOD($B825,60)=PARAM!$B$56)*($B825&gt;(60-PARAM!$B$56))*HLOOKUP(($B825+PARAM!$B$56)/12,Loyalty,2)*$F$1*MAX(BR824,0)</f>
        <v>18.557001321003963</v>
      </c>
      <c r="BQ825" s="75">
        <f>PARAM!$C$26+MAX($G$19-CHOOSE(PARAM!$B$44,MAX(0,BR824*$F$1),0),0)*RATES!$L801/12+$H$19*(PARAM!$D$51/12)*RATES!$N801/100</f>
        <v>1118.1666666666667</v>
      </c>
      <c r="BR825" s="16">
        <f t="shared" si="558"/>
        <v>-151975.25430338777</v>
      </c>
      <c r="BS825" s="15">
        <f t="shared" si="533"/>
        <v>22.170849845882874</v>
      </c>
      <c r="BT825" s="75">
        <f>BS825*(1-PARAM!$C$27)*$I$20+(MOD($B825,60)=PARAM!$B$56)*($B825&gt;(60-PARAM!$B$56))*HLOOKUP(($B825+PARAM!$B$56)/12,Loyalty,2)*$F$1*MAX(BV824,0)</f>
        <v>18.557001321003963</v>
      </c>
      <c r="BU825" s="75">
        <f>PARAM!$C$26+MAX($G$20-CHOOSE(PARAM!$B$44,MAX(0,BV824*$F$1),0),0)*RATES!$L801/12+$H$20*(PARAM!$D$51/12)*RATES!$N801/100</f>
        <v>1118.1666666666667</v>
      </c>
      <c r="BV825" s="16">
        <f t="shared" si="559"/>
        <v>-151975.25430338777</v>
      </c>
      <c r="BW825" s="15">
        <f t="shared" si="534"/>
        <v>22.170849845882874</v>
      </c>
      <c r="BX825" s="75">
        <f>BW825*(1-PARAM!$C$27)*$I$21+(MOD($B825,60)=PARAM!$B$56)*($B825&gt;(60-PARAM!$B$56))*HLOOKUP(($B825+PARAM!$B$56)/12,Loyalty,2)*$F$1*MAX(BZ824,0)</f>
        <v>18.557001321003963</v>
      </c>
      <c r="BY825" s="75">
        <f>PARAM!$C$26+MAX($G$21-CHOOSE(PARAM!$B$44,MAX(0,BZ824*$F$1),0),0)*RATES!$L801/12+$H$21*(PARAM!$D$51/12)*RATES!$N801/100</f>
        <v>1118.1666666666667</v>
      </c>
      <c r="BZ825" s="16">
        <f t="shared" si="560"/>
        <v>-151975.25430338777</v>
      </c>
      <c r="CA825" s="15">
        <f t="shared" si="535"/>
        <v>22.170849845882874</v>
      </c>
      <c r="CB825" s="75">
        <f>CA825*(1-PARAM!$C$27)*$I$22+(MOD($B825,60)=PARAM!$B$56)*($B825&gt;(60-PARAM!$B$56))*HLOOKUP(($B825+PARAM!$B$56)/12,Loyalty,2)*$F$1*MAX(CD824,0)</f>
        <v>18.557001321003963</v>
      </c>
      <c r="CC825" s="75">
        <f>PARAM!$C$26+MAX($G$22-CHOOSE(PARAM!$B$44,MAX(0,CD824*$F$1),0),0)*RATES!$L801/12+$H$22*(PARAM!$D$51/12)*RATES!$N801/100</f>
        <v>1118.1666666666667</v>
      </c>
      <c r="CD825" s="16">
        <f t="shared" si="561"/>
        <v>-151975.25430338777</v>
      </c>
      <c r="CE825" s="33">
        <f>IF(0=MOD(B825,12/PARAM!$D$51),1,0)</f>
        <v>1</v>
      </c>
      <c r="CF825" s="15">
        <f t="shared" si="536"/>
        <v>0</v>
      </c>
      <c r="CG825" s="75">
        <f>CF825*(1-PARAM!$C$27)*$R$3+(MOD($B825/12,5)=0)*($B825&gt;60)*HLOOKUP($B825/12,Loyalty,2)*$F$1*MAX(CI824,0)</f>
        <v>0</v>
      </c>
      <c r="CH825" s="75">
        <f>PARAM!$C$26+MAX($P$3-CHOOSE(PARAM!$B$44,MAX(0,CI824*$F$1),0),0)*RATES!$L801/12+$Q$3*(PARAM!$D$51/12)*RATES!$N801/100</f>
        <v>1118.1666666666667</v>
      </c>
      <c r="CI825" s="16">
        <f>IF(CI824&gt;0,CI824*PARAM!$C$53,CI824)+CG825-CH825</f>
        <v>-166664.16666666706</v>
      </c>
      <c r="CJ825" s="15">
        <f t="shared" si="562"/>
        <v>0</v>
      </c>
      <c r="CK825" s="75">
        <f>CJ825*(1-PARAM!$C$27)*$R$4+(MOD($B825/12,5)=0)*($B825&gt;60)*HLOOKUP($B825/12,Loyalty,2)*$F$1*MAX(CM824,0)</f>
        <v>0</v>
      </c>
      <c r="CL825" s="75">
        <f>PARAM!$C$26+MAX($P$4-CHOOSE(PARAM!$B$44,MAX(0,CM824*$F$1),0),0)*RATES!$L801/12+$Q$4*(PARAM!$D$51/12)*RATES!$N801/100</f>
        <v>1118.1666666666667</v>
      </c>
      <c r="CM825" s="16">
        <f>IF(CM824&gt;0,CM824*PARAM!$C$53,CM824)+CK825-CL825</f>
        <v>-166664.16666666706</v>
      </c>
      <c r="CO825" s="176"/>
    </row>
    <row r="826" spans="1:93" x14ac:dyDescent="0.2">
      <c r="A826" t="b">
        <f t="shared" si="537"/>
        <v>0</v>
      </c>
      <c r="B826" s="33">
        <v>799</v>
      </c>
      <c r="C826" s="15">
        <f t="shared" si="538"/>
        <v>20.081305947392778</v>
      </c>
      <c r="D826" s="75">
        <f>C826*(1-PARAM!$C$27)*$I$3+(MOD($B826,60)=PARAM!$B$56)*($B826&gt;(60-PARAM!$B$56))*HLOOKUP(($B826+PARAM!$B$56)/12,Loyalty,2)*$F$1*MAX(F825,0)</f>
        <v>16.808053077967756</v>
      </c>
      <c r="E826" s="75">
        <f>PARAM!$C$26+MAX($G$3-CHOOSE(PARAM!$B$44,MAX(0,F825*$F$1),0),0)*RATES!$L802/12+$H$3*(PARAM!$D$51/12)*RATES!$N802/100</f>
        <v>1118.1666666666667</v>
      </c>
      <c r="F826" s="16">
        <f t="shared" si="539"/>
        <v>-154509.12411544111</v>
      </c>
      <c r="G826" s="15">
        <f t="shared" si="540"/>
        <v>22.035289406060361</v>
      </c>
      <c r="H826" s="75">
        <f>G826*(1-PARAM!$C$27)*$I$4+(MOD($B826,60)=PARAM!$B$56)*($B826&gt;(60-PARAM!$B$56))*HLOOKUP(($B826+PARAM!$B$56)/12,Loyalty,2)*$F$1*MAX(J825,0)</f>
        <v>18.443537232872522</v>
      </c>
      <c r="I826" s="75">
        <f>PARAM!$C$26+MAX($G$4-CHOOSE(PARAM!$B$44,MAX(0,J825*$F$1),0),0)*RATES!$L802/12+$H$4*(PARAM!$D$51/12)*RATES!$N802/100</f>
        <v>1118.1666666666667</v>
      </c>
      <c r="J826" s="16">
        <f t="shared" si="541"/>
        <v>-153168.53931155018</v>
      </c>
      <c r="K826" s="15">
        <f t="shared" si="542"/>
        <v>22.170849845882874</v>
      </c>
      <c r="L826" s="75">
        <f>K826*(1-PARAM!$C$27)*$I$5+(MOD($B826,60)=PARAM!$B$56)*($B826&gt;(60-PARAM!$B$56))*HLOOKUP(($B826+PARAM!$B$56)/12,Loyalty,2)*$F$1*MAX(N825,0)</f>
        <v>18.557001321003963</v>
      </c>
      <c r="M826" s="75">
        <f>PARAM!$C$26+MAX($G$5-CHOOSE(PARAM!$B$44,MAX(0,N825*$F$1),0),0)*RATES!$L802/12+$H$5*(PARAM!$D$51/12)*RATES!$N802/100</f>
        <v>1118.1666666666667</v>
      </c>
      <c r="N826" s="16">
        <f t="shared" si="543"/>
        <v>-153074.86396873344</v>
      </c>
      <c r="O826" s="15">
        <f t="shared" si="544"/>
        <v>22.170849845882874</v>
      </c>
      <c r="P826" s="75">
        <f>O826*(1-PARAM!$C$27)*$I$6+(MOD($B826,60)=PARAM!$B$56)*($B826&gt;(60-PARAM!$B$56))*HLOOKUP(($B826+PARAM!$B$56)/12,Loyalty,2)*$F$1*MAX(R825,0)</f>
        <v>18.557001321003963</v>
      </c>
      <c r="Q826" s="75">
        <f>PARAM!$C$26+MAX($G$6-CHOOSE(PARAM!$B$44,MAX(0,R825*$F$1),0),0)*RATES!$L802/12+$H$6*(PARAM!$D$51/12)*RATES!$N802/100</f>
        <v>1118.1666666666667</v>
      </c>
      <c r="R826" s="16">
        <f t="shared" si="545"/>
        <v>-153074.86396873344</v>
      </c>
      <c r="S826" s="15">
        <f t="shared" si="520"/>
        <v>22.170849845882874</v>
      </c>
      <c r="T826" s="75">
        <f>S826*(1-PARAM!$C$27)*$I$7+(MOD($B826,60)=PARAM!$B$56)*($B826&gt;(60-PARAM!$B$56))*HLOOKUP(($B826+PARAM!$B$56)/12,Loyalty,2)*$F$1*MAX(V825,0)</f>
        <v>18.557001321003963</v>
      </c>
      <c r="U826" s="75">
        <f>PARAM!$C$26+MAX($G$7-CHOOSE(PARAM!$B$44,MAX(0,V825*$F$1),0),0)*RATES!$L802/12+$H$7*(PARAM!$D$51/12)*RATES!$N802/100</f>
        <v>1118.1666666666667</v>
      </c>
      <c r="V826" s="16">
        <f t="shared" si="546"/>
        <v>-153074.86396873344</v>
      </c>
      <c r="W826" s="15">
        <f t="shared" si="521"/>
        <v>22.170849845882874</v>
      </c>
      <c r="X826" s="75">
        <f>W826*(1-PARAM!$C$27)*$I$8+(MOD($B826,60)=PARAM!$B$56)*($B826&gt;(60-PARAM!$B$56))*HLOOKUP(($B826+PARAM!$B$56)/12,Loyalty,2)*$F$1*MAX(Z825,0)</f>
        <v>18.557001321003963</v>
      </c>
      <c r="Y826" s="75">
        <f>PARAM!$C$26+MAX($G$8-CHOOSE(PARAM!$B$44,MAX(0,Z825*$F$1),0),0)*RATES!$L802/12+$H$8*(PARAM!$D$51/12)*RATES!$N802/100</f>
        <v>1118.1666666666667</v>
      </c>
      <c r="Z826" s="16">
        <f t="shared" si="547"/>
        <v>-153074.86396873344</v>
      </c>
      <c r="AA826" s="15">
        <f t="shared" si="522"/>
        <v>22.170849845882874</v>
      </c>
      <c r="AB826" s="75">
        <f>AA826*(1-PARAM!$C$27)*$I$9+(MOD($B826,60)=PARAM!$B$56)*($B826&gt;(60-PARAM!$B$56))*HLOOKUP(($B826+PARAM!$B$56)/12,Loyalty,2)*$F$1*MAX(AD825,0)</f>
        <v>18.557001321003963</v>
      </c>
      <c r="AC826" s="75">
        <f>PARAM!$C$26+MAX($G$9-CHOOSE(PARAM!$B$44,MAX(0,AD825*$F$1),0),0)*RATES!$L802/12+$H$9*(PARAM!$D$51/12)*RATES!$N802/100</f>
        <v>1118.1666666666667</v>
      </c>
      <c r="AD826" s="16">
        <f t="shared" si="548"/>
        <v>-153074.86396873344</v>
      </c>
      <c r="AE826" s="15">
        <f t="shared" si="523"/>
        <v>22.170849845882874</v>
      </c>
      <c r="AF826" s="75">
        <f>AE826*(1-PARAM!$C$27)*$I$10+(MOD($B826,60)=PARAM!$B$56)*($B826&gt;(60-PARAM!$B$56))*HLOOKUP(($B826+PARAM!$B$56)/12,Loyalty,2)*$F$1*MAX(AH825,0)</f>
        <v>18.557001321003963</v>
      </c>
      <c r="AG826" s="75">
        <f>PARAM!$C$26+MAX($G$10-CHOOSE(PARAM!$B$44,MAX(0,AH825*$F$1),0),0)*RATES!$L802/12+$H$10*(PARAM!$D$51/12)*RATES!$N802/100</f>
        <v>1118.1666666666667</v>
      </c>
      <c r="AH826" s="16">
        <f t="shared" si="549"/>
        <v>-153074.86396873344</v>
      </c>
      <c r="AI826" s="15">
        <f t="shared" si="524"/>
        <v>22.170849845882874</v>
      </c>
      <c r="AJ826" s="75">
        <f>AI826*(1-PARAM!$C$27)*$I$11+(MOD($B826,60)=PARAM!$B$56)*($B826&gt;(60-PARAM!$B$56))*HLOOKUP(($B826+PARAM!$B$56)/12,Loyalty,2)*$F$1*MAX(AL825,0)</f>
        <v>18.557001321003963</v>
      </c>
      <c r="AK826" s="75">
        <f>PARAM!$C$26+MAX($G$11-CHOOSE(PARAM!$B$44,MAX(0,AL825*$F$1),0),0)*RATES!$L802/12+$H$11*(PARAM!$D$51/12)*RATES!$N802/100</f>
        <v>1118.1666666666667</v>
      </c>
      <c r="AL826" s="16">
        <f t="shared" si="550"/>
        <v>-153074.86396873344</v>
      </c>
      <c r="AM826" s="15">
        <f t="shared" si="525"/>
        <v>22.170849845882874</v>
      </c>
      <c r="AN826" s="75">
        <f>AM826*(1-PARAM!$C$27)*$I$12+(MOD($B826,60)=PARAM!$B$56)*($B826&gt;(60-PARAM!$B$56))*HLOOKUP(($B826+PARAM!$B$56)/12,Loyalty,2)*$F$1*MAX(AP825,0)</f>
        <v>18.557001321003963</v>
      </c>
      <c r="AO826" s="75">
        <f>PARAM!$C$26+MAX($G$12-CHOOSE(PARAM!$B$44,MAX(0,AP825*$F$1),0),0)*RATES!$L802/12+$H$12*(PARAM!$D$51/12)*RATES!$N802/100</f>
        <v>1118.1666666666667</v>
      </c>
      <c r="AP826" s="16">
        <f t="shared" si="551"/>
        <v>-153074.86396873344</v>
      </c>
      <c r="AQ826" s="15">
        <f t="shared" si="526"/>
        <v>22.170849845882874</v>
      </c>
      <c r="AR826" s="75">
        <f>AQ826*(1-PARAM!$C$27)*$I$13+(MOD($B826,60)=PARAM!$B$56)*($B826&gt;(60-PARAM!$B$56))*HLOOKUP(($B826+PARAM!$B$56)/12,Loyalty,2)*$F$1*MAX(AT825,0)</f>
        <v>18.557001321003963</v>
      </c>
      <c r="AS826" s="75">
        <f>PARAM!$C$26+MAX($G$13-CHOOSE(PARAM!$B$44,MAX(0,AT825*$F$1),0),0)*RATES!$L802/12+$H$13*(PARAM!$D$51/12)*RATES!$N802/100</f>
        <v>1118.1666666666667</v>
      </c>
      <c r="AT826" s="16">
        <f t="shared" si="552"/>
        <v>-153074.86396873344</v>
      </c>
      <c r="AU826" s="15">
        <f t="shared" si="527"/>
        <v>22.170849845882874</v>
      </c>
      <c r="AV826" s="75">
        <f>AU826*(1-PARAM!$C$27)*$I$14+(MOD($B826,60)=PARAM!$B$56)*($B826&gt;(60-PARAM!$B$56))*HLOOKUP(($B826+PARAM!$B$56)/12,Loyalty,2)*$F$1*MAX(AX825,0)</f>
        <v>18.557001321003963</v>
      </c>
      <c r="AW826" s="75">
        <f>PARAM!$C$26+MAX($G$14-CHOOSE(PARAM!$B$44,MAX(0,AX825*$F$1),0),0)*RATES!$L802/12+$H$14*(PARAM!$D$51/12)*RATES!$N802/100</f>
        <v>1118.1666666666667</v>
      </c>
      <c r="AX826" s="16">
        <f t="shared" si="553"/>
        <v>-153074.86396873344</v>
      </c>
      <c r="AY826" s="15">
        <f t="shared" si="528"/>
        <v>22.170849845882874</v>
      </c>
      <c r="AZ826" s="75">
        <f>AY826*(1-PARAM!$C$27)*$I$15+(MOD($B826,60)=PARAM!$B$56)*($B826&gt;(60-PARAM!$B$56))*HLOOKUP(($B826+PARAM!$B$56)/12,Loyalty,2)*$F$1*MAX(BB825,0)</f>
        <v>18.557001321003963</v>
      </c>
      <c r="BA826" s="75">
        <f>PARAM!$C$26+MAX($G$15-CHOOSE(PARAM!$B$44,MAX(0,BB825*$F$1),0),0)*RATES!$L802/12+$H$15*(PARAM!$D$51/12)*RATES!$N802/100</f>
        <v>1118.1666666666667</v>
      </c>
      <c r="BB826" s="16">
        <f t="shared" si="554"/>
        <v>-153074.86396873344</v>
      </c>
      <c r="BC826" s="15">
        <f t="shared" si="529"/>
        <v>22.170849845882874</v>
      </c>
      <c r="BD826" s="75">
        <f>BC826*(1-PARAM!$C$27)*$I$16+(MOD($B826,60)=PARAM!$B$56)*($B826&gt;(60-PARAM!$B$56))*HLOOKUP(($B826+PARAM!$B$56)/12,Loyalty,2)*$F$1*MAX(BF825,0)</f>
        <v>18.557001321003963</v>
      </c>
      <c r="BE826" s="75">
        <f>PARAM!$C$26+MAX($G$16-CHOOSE(PARAM!$B$44,MAX(0,BF825*$F$1),0),0)*RATES!$L802/12+$H$16*(PARAM!$D$51/12)*RATES!$N802/100</f>
        <v>1118.1666666666667</v>
      </c>
      <c r="BF826" s="16">
        <f t="shared" si="555"/>
        <v>-153074.86396873344</v>
      </c>
      <c r="BG826" s="15">
        <f t="shared" si="530"/>
        <v>22.170849845882874</v>
      </c>
      <c r="BH826" s="75">
        <f>BG826*(1-PARAM!$C$27)*$I$17+(MOD($B826,60)=PARAM!$B$56)*($B826&gt;(60-PARAM!$B$56))*HLOOKUP(($B826+PARAM!$B$56)/12,Loyalty,2)*$F$1*MAX(BJ825,0)</f>
        <v>18.557001321003963</v>
      </c>
      <c r="BI826" s="75">
        <f>PARAM!$C$26+MAX($G$17-CHOOSE(PARAM!$B$44,MAX(0,BJ825*$F$1),0),0)*RATES!$L802/12+$H$17*(PARAM!$D$51/12)*RATES!$N802/100</f>
        <v>1118.1666666666667</v>
      </c>
      <c r="BJ826" s="16">
        <f t="shared" si="556"/>
        <v>-153074.86396873344</v>
      </c>
      <c r="BK826" s="15">
        <f t="shared" si="531"/>
        <v>22.170849845882874</v>
      </c>
      <c r="BL826" s="75">
        <f>BK826*(1-PARAM!$C$27)*$I$18+(MOD($B826,60)=PARAM!$B$56)*($B826&gt;(60-PARAM!$B$56))*HLOOKUP(($B826+PARAM!$B$56)/12,Loyalty,2)*$F$1*MAX(BN825,0)</f>
        <v>18.557001321003963</v>
      </c>
      <c r="BM826" s="75">
        <f>PARAM!$C$26+MAX($G$18-CHOOSE(PARAM!$B$44,MAX(0,BN825*$F$1),0),0)*RATES!$L802/12+$H$18*(PARAM!$D$51/12)*RATES!$N802/100</f>
        <v>1118.1666666666667</v>
      </c>
      <c r="BN826" s="16">
        <f t="shared" si="557"/>
        <v>-153074.86396873344</v>
      </c>
      <c r="BO826" s="15">
        <f t="shared" si="532"/>
        <v>22.170849845882874</v>
      </c>
      <c r="BP826" s="75">
        <f>BO826*(1-PARAM!$C$27)*$I$19+(MOD($B826,60)=PARAM!$B$56)*($B826&gt;(60-PARAM!$B$56))*HLOOKUP(($B826+PARAM!$B$56)/12,Loyalty,2)*$F$1*MAX(BR825,0)</f>
        <v>18.557001321003963</v>
      </c>
      <c r="BQ826" s="75">
        <f>PARAM!$C$26+MAX($G$19-CHOOSE(PARAM!$B$44,MAX(0,BR825*$F$1),0),0)*RATES!$L802/12+$H$19*(PARAM!$D$51/12)*RATES!$N802/100</f>
        <v>1118.1666666666667</v>
      </c>
      <c r="BR826" s="16">
        <f t="shared" si="558"/>
        <v>-153074.86396873344</v>
      </c>
      <c r="BS826" s="15">
        <f t="shared" si="533"/>
        <v>22.170849845882874</v>
      </c>
      <c r="BT826" s="75">
        <f>BS826*(1-PARAM!$C$27)*$I$20+(MOD($B826,60)=PARAM!$B$56)*($B826&gt;(60-PARAM!$B$56))*HLOOKUP(($B826+PARAM!$B$56)/12,Loyalty,2)*$F$1*MAX(BV825,0)</f>
        <v>18.557001321003963</v>
      </c>
      <c r="BU826" s="75">
        <f>PARAM!$C$26+MAX($G$20-CHOOSE(PARAM!$B$44,MAX(0,BV825*$F$1),0),0)*RATES!$L802/12+$H$20*(PARAM!$D$51/12)*RATES!$N802/100</f>
        <v>1118.1666666666667</v>
      </c>
      <c r="BV826" s="16">
        <f t="shared" si="559"/>
        <v>-153074.86396873344</v>
      </c>
      <c r="BW826" s="15">
        <f t="shared" si="534"/>
        <v>22.170849845882874</v>
      </c>
      <c r="BX826" s="75">
        <f>BW826*(1-PARAM!$C$27)*$I$21+(MOD($B826,60)=PARAM!$B$56)*($B826&gt;(60-PARAM!$B$56))*HLOOKUP(($B826+PARAM!$B$56)/12,Loyalty,2)*$F$1*MAX(BZ825,0)</f>
        <v>18.557001321003963</v>
      </c>
      <c r="BY826" s="75">
        <f>PARAM!$C$26+MAX($G$21-CHOOSE(PARAM!$B$44,MAX(0,BZ825*$F$1),0),0)*RATES!$L802/12+$H$21*(PARAM!$D$51/12)*RATES!$N802/100</f>
        <v>1118.1666666666667</v>
      </c>
      <c r="BZ826" s="16">
        <f t="shared" si="560"/>
        <v>-153074.86396873344</v>
      </c>
      <c r="CA826" s="15">
        <f t="shared" si="535"/>
        <v>22.170849845882874</v>
      </c>
      <c r="CB826" s="75">
        <f>CA826*(1-PARAM!$C$27)*$I$22+(MOD($B826,60)=PARAM!$B$56)*($B826&gt;(60-PARAM!$B$56))*HLOOKUP(($B826+PARAM!$B$56)/12,Loyalty,2)*$F$1*MAX(CD825,0)</f>
        <v>18.557001321003963</v>
      </c>
      <c r="CC826" s="75">
        <f>PARAM!$C$26+MAX($G$22-CHOOSE(PARAM!$B$44,MAX(0,CD825*$F$1),0),0)*RATES!$L802/12+$H$22*(PARAM!$D$51/12)*RATES!$N802/100</f>
        <v>1118.1666666666667</v>
      </c>
      <c r="CD826" s="16">
        <f t="shared" si="561"/>
        <v>-153074.86396873344</v>
      </c>
      <c r="CE826" s="33">
        <f>IF(0=MOD(B826,12/PARAM!$D$51),1,0)</f>
        <v>1</v>
      </c>
      <c r="CF826" s="15">
        <f t="shared" si="536"/>
        <v>0</v>
      </c>
      <c r="CG826" s="75">
        <f>CF826*(1-PARAM!$C$27)*$R$3+(MOD($B826/12,5)=0)*($B826&gt;60)*HLOOKUP($B826/12,Loyalty,2)*$F$1*MAX(CI825,0)</f>
        <v>0</v>
      </c>
      <c r="CH826" s="75">
        <f>PARAM!$C$26+MAX($P$3-CHOOSE(PARAM!$B$44,MAX(0,CI825*$F$1),0),0)*RATES!$L802/12+$Q$3*(PARAM!$D$51/12)*RATES!$N802/100</f>
        <v>1118.1666666666667</v>
      </c>
      <c r="CI826" s="16">
        <f>IF(CI825&gt;0,CI825*PARAM!$C$53,CI825)+CG826-CH826</f>
        <v>-167782.33333333372</v>
      </c>
      <c r="CJ826" s="15">
        <f t="shared" si="562"/>
        <v>0</v>
      </c>
      <c r="CK826" s="75">
        <f>CJ826*(1-PARAM!$C$27)*$R$4+(MOD($B826/12,5)=0)*($B826&gt;60)*HLOOKUP($B826/12,Loyalty,2)*$F$1*MAX(CM825,0)</f>
        <v>0</v>
      </c>
      <c r="CL826" s="75">
        <f>PARAM!$C$26+MAX($P$4-CHOOSE(PARAM!$B$44,MAX(0,CM825*$F$1),0),0)*RATES!$L802/12+$Q$4*(PARAM!$D$51/12)*RATES!$N802/100</f>
        <v>1118.1666666666667</v>
      </c>
      <c r="CM826" s="16">
        <f>IF(CM825&gt;0,CM825*PARAM!$C$53,CM825)+CK826-CL826</f>
        <v>-167782.33333333372</v>
      </c>
      <c r="CO826" s="176"/>
    </row>
    <row r="827" spans="1:93" x14ac:dyDescent="0.2">
      <c r="A827" t="b">
        <f t="shared" si="537"/>
        <v>0</v>
      </c>
      <c r="B827" s="33">
        <v>800</v>
      </c>
      <c r="C827" s="15">
        <f t="shared" si="538"/>
        <v>20.081305947392778</v>
      </c>
      <c r="D827" s="75">
        <f>C827*(1-PARAM!$C$27)*$I$3+(MOD($B827,60)=PARAM!$B$56)*($B827&gt;(60-PARAM!$B$56))*HLOOKUP(($B827+PARAM!$B$56)/12,Loyalty,2)*$F$1*MAX(F826,0)</f>
        <v>16.808053077967756</v>
      </c>
      <c r="E827" s="75">
        <f>PARAM!$C$26+MAX($G$3-CHOOSE(PARAM!$B$44,MAX(0,F826*$F$1),0),0)*RATES!$L803/12+$H$3*(PARAM!$D$51/12)*RATES!$N803/100</f>
        <v>1118.1666666666667</v>
      </c>
      <c r="F827" s="16">
        <f t="shared" si="539"/>
        <v>-155610.48272902981</v>
      </c>
      <c r="G827" s="15">
        <f t="shared" si="540"/>
        <v>22.035289406060361</v>
      </c>
      <c r="H827" s="75">
        <f>G827*(1-PARAM!$C$27)*$I$4+(MOD($B827,60)=PARAM!$B$56)*($B827&gt;(60-PARAM!$B$56))*HLOOKUP(($B827+PARAM!$B$56)/12,Loyalty,2)*$F$1*MAX(J826,0)</f>
        <v>18.443537232872522</v>
      </c>
      <c r="I827" s="75">
        <f>PARAM!$C$26+MAX($G$4-CHOOSE(PARAM!$B$44,MAX(0,J826*$F$1),0),0)*RATES!$L803/12+$H$4*(PARAM!$D$51/12)*RATES!$N803/100</f>
        <v>1118.1666666666667</v>
      </c>
      <c r="J827" s="16">
        <f t="shared" si="541"/>
        <v>-154268.26244098396</v>
      </c>
      <c r="K827" s="15">
        <f t="shared" si="542"/>
        <v>22.170849845882874</v>
      </c>
      <c r="L827" s="75">
        <f>K827*(1-PARAM!$C$27)*$I$5+(MOD($B827,60)=PARAM!$B$56)*($B827&gt;(60-PARAM!$B$56))*HLOOKUP(($B827+PARAM!$B$56)/12,Loyalty,2)*$F$1*MAX(N826,0)</f>
        <v>18.557001321003963</v>
      </c>
      <c r="M827" s="75">
        <f>PARAM!$C$26+MAX($G$5-CHOOSE(PARAM!$B$44,MAX(0,N826*$F$1),0),0)*RATES!$L803/12+$H$5*(PARAM!$D$51/12)*RATES!$N803/100</f>
        <v>1118.1666666666667</v>
      </c>
      <c r="N827" s="16">
        <f t="shared" si="543"/>
        <v>-154174.4736340791</v>
      </c>
      <c r="O827" s="15">
        <f t="shared" si="544"/>
        <v>22.170849845882874</v>
      </c>
      <c r="P827" s="75">
        <f>O827*(1-PARAM!$C$27)*$I$6+(MOD($B827,60)=PARAM!$B$56)*($B827&gt;(60-PARAM!$B$56))*HLOOKUP(($B827+PARAM!$B$56)/12,Loyalty,2)*$F$1*MAX(R826,0)</f>
        <v>18.557001321003963</v>
      </c>
      <c r="Q827" s="75">
        <f>PARAM!$C$26+MAX($G$6-CHOOSE(PARAM!$B$44,MAX(0,R826*$F$1),0),0)*RATES!$L803/12+$H$6*(PARAM!$D$51/12)*RATES!$N803/100</f>
        <v>1118.1666666666667</v>
      </c>
      <c r="R827" s="16">
        <f t="shared" si="545"/>
        <v>-154174.4736340791</v>
      </c>
      <c r="S827" s="15">
        <f t="shared" si="520"/>
        <v>22.170849845882874</v>
      </c>
      <c r="T827" s="75">
        <f>S827*(1-PARAM!$C$27)*$I$7+(MOD($B827,60)=PARAM!$B$56)*($B827&gt;(60-PARAM!$B$56))*HLOOKUP(($B827+PARAM!$B$56)/12,Loyalty,2)*$F$1*MAX(V826,0)</f>
        <v>18.557001321003963</v>
      </c>
      <c r="U827" s="75">
        <f>PARAM!$C$26+MAX($G$7-CHOOSE(PARAM!$B$44,MAX(0,V826*$F$1),0),0)*RATES!$L803/12+$H$7*(PARAM!$D$51/12)*RATES!$N803/100</f>
        <v>1118.1666666666667</v>
      </c>
      <c r="V827" s="16">
        <f t="shared" si="546"/>
        <v>-154174.4736340791</v>
      </c>
      <c r="W827" s="15">
        <f t="shared" si="521"/>
        <v>22.170849845882874</v>
      </c>
      <c r="X827" s="75">
        <f>W827*(1-PARAM!$C$27)*$I$8+(MOD($B827,60)=PARAM!$B$56)*($B827&gt;(60-PARAM!$B$56))*HLOOKUP(($B827+PARAM!$B$56)/12,Loyalty,2)*$F$1*MAX(Z826,0)</f>
        <v>18.557001321003963</v>
      </c>
      <c r="Y827" s="75">
        <f>PARAM!$C$26+MAX($G$8-CHOOSE(PARAM!$B$44,MAX(0,Z826*$F$1),0),0)*RATES!$L803/12+$H$8*(PARAM!$D$51/12)*RATES!$N803/100</f>
        <v>1118.1666666666667</v>
      </c>
      <c r="Z827" s="16">
        <f t="shared" si="547"/>
        <v>-154174.4736340791</v>
      </c>
      <c r="AA827" s="15">
        <f t="shared" si="522"/>
        <v>22.170849845882874</v>
      </c>
      <c r="AB827" s="75">
        <f>AA827*(1-PARAM!$C$27)*$I$9+(MOD($B827,60)=PARAM!$B$56)*($B827&gt;(60-PARAM!$B$56))*HLOOKUP(($B827+PARAM!$B$56)/12,Loyalty,2)*$F$1*MAX(AD826,0)</f>
        <v>18.557001321003963</v>
      </c>
      <c r="AC827" s="75">
        <f>PARAM!$C$26+MAX($G$9-CHOOSE(PARAM!$B$44,MAX(0,AD826*$F$1),0),0)*RATES!$L803/12+$H$9*(PARAM!$D$51/12)*RATES!$N803/100</f>
        <v>1118.1666666666667</v>
      </c>
      <c r="AD827" s="16">
        <f t="shared" si="548"/>
        <v>-154174.4736340791</v>
      </c>
      <c r="AE827" s="15">
        <f t="shared" si="523"/>
        <v>22.170849845882874</v>
      </c>
      <c r="AF827" s="75">
        <f>AE827*(1-PARAM!$C$27)*$I$10+(MOD($B827,60)=PARAM!$B$56)*($B827&gt;(60-PARAM!$B$56))*HLOOKUP(($B827+PARAM!$B$56)/12,Loyalty,2)*$F$1*MAX(AH826,0)</f>
        <v>18.557001321003963</v>
      </c>
      <c r="AG827" s="75">
        <f>PARAM!$C$26+MAX($G$10-CHOOSE(PARAM!$B$44,MAX(0,AH826*$F$1),0),0)*RATES!$L803/12+$H$10*(PARAM!$D$51/12)*RATES!$N803/100</f>
        <v>1118.1666666666667</v>
      </c>
      <c r="AH827" s="16">
        <f t="shared" si="549"/>
        <v>-154174.4736340791</v>
      </c>
      <c r="AI827" s="15">
        <f t="shared" si="524"/>
        <v>22.170849845882874</v>
      </c>
      <c r="AJ827" s="75">
        <f>AI827*(1-PARAM!$C$27)*$I$11+(MOD($B827,60)=PARAM!$B$56)*($B827&gt;(60-PARAM!$B$56))*HLOOKUP(($B827+PARAM!$B$56)/12,Loyalty,2)*$F$1*MAX(AL826,0)</f>
        <v>18.557001321003963</v>
      </c>
      <c r="AK827" s="75">
        <f>PARAM!$C$26+MAX($G$11-CHOOSE(PARAM!$B$44,MAX(0,AL826*$F$1),0),0)*RATES!$L803/12+$H$11*(PARAM!$D$51/12)*RATES!$N803/100</f>
        <v>1118.1666666666667</v>
      </c>
      <c r="AL827" s="16">
        <f t="shared" si="550"/>
        <v>-154174.4736340791</v>
      </c>
      <c r="AM827" s="15">
        <f t="shared" si="525"/>
        <v>22.170849845882874</v>
      </c>
      <c r="AN827" s="75">
        <f>AM827*(1-PARAM!$C$27)*$I$12+(MOD($B827,60)=PARAM!$B$56)*($B827&gt;(60-PARAM!$B$56))*HLOOKUP(($B827+PARAM!$B$56)/12,Loyalty,2)*$F$1*MAX(AP826,0)</f>
        <v>18.557001321003963</v>
      </c>
      <c r="AO827" s="75">
        <f>PARAM!$C$26+MAX($G$12-CHOOSE(PARAM!$B$44,MAX(0,AP826*$F$1),0),0)*RATES!$L803/12+$H$12*(PARAM!$D$51/12)*RATES!$N803/100</f>
        <v>1118.1666666666667</v>
      </c>
      <c r="AP827" s="16">
        <f t="shared" si="551"/>
        <v>-154174.4736340791</v>
      </c>
      <c r="AQ827" s="15">
        <f t="shared" si="526"/>
        <v>22.170849845882874</v>
      </c>
      <c r="AR827" s="75">
        <f>AQ827*(1-PARAM!$C$27)*$I$13+(MOD($B827,60)=PARAM!$B$56)*($B827&gt;(60-PARAM!$B$56))*HLOOKUP(($B827+PARAM!$B$56)/12,Loyalty,2)*$F$1*MAX(AT826,0)</f>
        <v>18.557001321003963</v>
      </c>
      <c r="AS827" s="75">
        <f>PARAM!$C$26+MAX($G$13-CHOOSE(PARAM!$B$44,MAX(0,AT826*$F$1),0),0)*RATES!$L803/12+$H$13*(PARAM!$D$51/12)*RATES!$N803/100</f>
        <v>1118.1666666666667</v>
      </c>
      <c r="AT827" s="16">
        <f t="shared" si="552"/>
        <v>-154174.4736340791</v>
      </c>
      <c r="AU827" s="15">
        <f t="shared" si="527"/>
        <v>22.170849845882874</v>
      </c>
      <c r="AV827" s="75">
        <f>AU827*(1-PARAM!$C$27)*$I$14+(MOD($B827,60)=PARAM!$B$56)*($B827&gt;(60-PARAM!$B$56))*HLOOKUP(($B827+PARAM!$B$56)/12,Loyalty,2)*$F$1*MAX(AX826,0)</f>
        <v>18.557001321003963</v>
      </c>
      <c r="AW827" s="75">
        <f>PARAM!$C$26+MAX($G$14-CHOOSE(PARAM!$B$44,MAX(0,AX826*$F$1),0),0)*RATES!$L803/12+$H$14*(PARAM!$D$51/12)*RATES!$N803/100</f>
        <v>1118.1666666666667</v>
      </c>
      <c r="AX827" s="16">
        <f t="shared" si="553"/>
        <v>-154174.4736340791</v>
      </c>
      <c r="AY827" s="15">
        <f t="shared" si="528"/>
        <v>22.170849845882874</v>
      </c>
      <c r="AZ827" s="75">
        <f>AY827*(1-PARAM!$C$27)*$I$15+(MOD($B827,60)=PARAM!$B$56)*($B827&gt;(60-PARAM!$B$56))*HLOOKUP(($B827+PARAM!$B$56)/12,Loyalty,2)*$F$1*MAX(BB826,0)</f>
        <v>18.557001321003963</v>
      </c>
      <c r="BA827" s="75">
        <f>PARAM!$C$26+MAX($G$15-CHOOSE(PARAM!$B$44,MAX(0,BB826*$F$1),0),0)*RATES!$L803/12+$H$15*(PARAM!$D$51/12)*RATES!$N803/100</f>
        <v>1118.1666666666667</v>
      </c>
      <c r="BB827" s="16">
        <f t="shared" si="554"/>
        <v>-154174.4736340791</v>
      </c>
      <c r="BC827" s="15">
        <f t="shared" si="529"/>
        <v>22.170849845882874</v>
      </c>
      <c r="BD827" s="75">
        <f>BC827*(1-PARAM!$C$27)*$I$16+(MOD($B827,60)=PARAM!$B$56)*($B827&gt;(60-PARAM!$B$56))*HLOOKUP(($B827+PARAM!$B$56)/12,Loyalty,2)*$F$1*MAX(BF826,0)</f>
        <v>18.557001321003963</v>
      </c>
      <c r="BE827" s="75">
        <f>PARAM!$C$26+MAX($G$16-CHOOSE(PARAM!$B$44,MAX(0,BF826*$F$1),0),0)*RATES!$L803/12+$H$16*(PARAM!$D$51/12)*RATES!$N803/100</f>
        <v>1118.1666666666667</v>
      </c>
      <c r="BF827" s="16">
        <f t="shared" si="555"/>
        <v>-154174.4736340791</v>
      </c>
      <c r="BG827" s="15">
        <f t="shared" si="530"/>
        <v>22.170849845882874</v>
      </c>
      <c r="BH827" s="75">
        <f>BG827*(1-PARAM!$C$27)*$I$17+(MOD($B827,60)=PARAM!$B$56)*($B827&gt;(60-PARAM!$B$56))*HLOOKUP(($B827+PARAM!$B$56)/12,Loyalty,2)*$F$1*MAX(BJ826,0)</f>
        <v>18.557001321003963</v>
      </c>
      <c r="BI827" s="75">
        <f>PARAM!$C$26+MAX($G$17-CHOOSE(PARAM!$B$44,MAX(0,BJ826*$F$1),0),0)*RATES!$L803/12+$H$17*(PARAM!$D$51/12)*RATES!$N803/100</f>
        <v>1118.1666666666667</v>
      </c>
      <c r="BJ827" s="16">
        <f t="shared" si="556"/>
        <v>-154174.4736340791</v>
      </c>
      <c r="BK827" s="15">
        <f t="shared" si="531"/>
        <v>22.170849845882874</v>
      </c>
      <c r="BL827" s="75">
        <f>BK827*(1-PARAM!$C$27)*$I$18+(MOD($B827,60)=PARAM!$B$56)*($B827&gt;(60-PARAM!$B$56))*HLOOKUP(($B827+PARAM!$B$56)/12,Loyalty,2)*$F$1*MAX(BN826,0)</f>
        <v>18.557001321003963</v>
      </c>
      <c r="BM827" s="75">
        <f>PARAM!$C$26+MAX($G$18-CHOOSE(PARAM!$B$44,MAX(0,BN826*$F$1),0),0)*RATES!$L803/12+$H$18*(PARAM!$D$51/12)*RATES!$N803/100</f>
        <v>1118.1666666666667</v>
      </c>
      <c r="BN827" s="16">
        <f t="shared" si="557"/>
        <v>-154174.4736340791</v>
      </c>
      <c r="BO827" s="15">
        <f t="shared" si="532"/>
        <v>22.170849845882874</v>
      </c>
      <c r="BP827" s="75">
        <f>BO827*(1-PARAM!$C$27)*$I$19+(MOD($B827,60)=PARAM!$B$56)*($B827&gt;(60-PARAM!$B$56))*HLOOKUP(($B827+PARAM!$B$56)/12,Loyalty,2)*$F$1*MAX(BR826,0)</f>
        <v>18.557001321003963</v>
      </c>
      <c r="BQ827" s="75">
        <f>PARAM!$C$26+MAX($G$19-CHOOSE(PARAM!$B$44,MAX(0,BR826*$F$1),0),0)*RATES!$L803/12+$H$19*(PARAM!$D$51/12)*RATES!$N803/100</f>
        <v>1118.1666666666667</v>
      </c>
      <c r="BR827" s="16">
        <f t="shared" si="558"/>
        <v>-154174.4736340791</v>
      </c>
      <c r="BS827" s="15">
        <f t="shared" si="533"/>
        <v>22.170849845882874</v>
      </c>
      <c r="BT827" s="75">
        <f>BS827*(1-PARAM!$C$27)*$I$20+(MOD($B827,60)=PARAM!$B$56)*($B827&gt;(60-PARAM!$B$56))*HLOOKUP(($B827+PARAM!$B$56)/12,Loyalty,2)*$F$1*MAX(BV826,0)</f>
        <v>18.557001321003963</v>
      </c>
      <c r="BU827" s="75">
        <f>PARAM!$C$26+MAX($G$20-CHOOSE(PARAM!$B$44,MAX(0,BV826*$F$1),0),0)*RATES!$L803/12+$H$20*(PARAM!$D$51/12)*RATES!$N803/100</f>
        <v>1118.1666666666667</v>
      </c>
      <c r="BV827" s="16">
        <f t="shared" si="559"/>
        <v>-154174.4736340791</v>
      </c>
      <c r="BW827" s="15">
        <f t="shared" si="534"/>
        <v>22.170849845882874</v>
      </c>
      <c r="BX827" s="75">
        <f>BW827*(1-PARAM!$C$27)*$I$21+(MOD($B827,60)=PARAM!$B$56)*($B827&gt;(60-PARAM!$B$56))*HLOOKUP(($B827+PARAM!$B$56)/12,Loyalty,2)*$F$1*MAX(BZ826,0)</f>
        <v>18.557001321003963</v>
      </c>
      <c r="BY827" s="75">
        <f>PARAM!$C$26+MAX($G$21-CHOOSE(PARAM!$B$44,MAX(0,BZ826*$F$1),0),0)*RATES!$L803/12+$H$21*(PARAM!$D$51/12)*RATES!$N803/100</f>
        <v>1118.1666666666667</v>
      </c>
      <c r="BZ827" s="16">
        <f t="shared" si="560"/>
        <v>-154174.4736340791</v>
      </c>
      <c r="CA827" s="15">
        <f t="shared" si="535"/>
        <v>22.170849845882874</v>
      </c>
      <c r="CB827" s="75">
        <f>CA827*(1-PARAM!$C$27)*$I$22+(MOD($B827,60)=PARAM!$B$56)*($B827&gt;(60-PARAM!$B$56))*HLOOKUP(($B827+PARAM!$B$56)/12,Loyalty,2)*$F$1*MAX(CD826,0)</f>
        <v>18.557001321003963</v>
      </c>
      <c r="CC827" s="75">
        <f>PARAM!$C$26+MAX($G$22-CHOOSE(PARAM!$B$44,MAX(0,CD826*$F$1),0),0)*RATES!$L803/12+$H$22*(PARAM!$D$51/12)*RATES!$N803/100</f>
        <v>1118.1666666666667</v>
      </c>
      <c r="CD827" s="16">
        <f t="shared" si="561"/>
        <v>-154174.4736340791</v>
      </c>
      <c r="CE827" s="33">
        <f>IF(0=MOD(B827,12/PARAM!$D$51),1,0)</f>
        <v>1</v>
      </c>
      <c r="CF827" s="15">
        <f t="shared" si="536"/>
        <v>0</v>
      </c>
      <c r="CG827" s="75">
        <f>CF827*(1-PARAM!$C$27)*$R$3+(MOD($B827/12,5)=0)*($B827&gt;60)*HLOOKUP($B827/12,Loyalty,2)*$F$1*MAX(CI826,0)</f>
        <v>0</v>
      </c>
      <c r="CH827" s="75">
        <f>PARAM!$C$26+MAX($P$3-CHOOSE(PARAM!$B$44,MAX(0,CI826*$F$1),0),0)*RATES!$L803/12+$Q$3*(PARAM!$D$51/12)*RATES!$N803/100</f>
        <v>1118.1666666666667</v>
      </c>
      <c r="CI827" s="16">
        <f>IF(CI826&gt;0,CI826*PARAM!$C$53,CI826)+CG827-CH827</f>
        <v>-168900.50000000038</v>
      </c>
      <c r="CJ827" s="15">
        <f t="shared" si="562"/>
        <v>0</v>
      </c>
      <c r="CK827" s="75">
        <f>CJ827*(1-PARAM!$C$27)*$R$4+(MOD($B827/12,5)=0)*($B827&gt;60)*HLOOKUP($B827/12,Loyalty,2)*$F$1*MAX(CM826,0)</f>
        <v>0</v>
      </c>
      <c r="CL827" s="75">
        <f>PARAM!$C$26+MAX($P$4-CHOOSE(PARAM!$B$44,MAX(0,CM826*$F$1),0),0)*RATES!$L803/12+$Q$4*(PARAM!$D$51/12)*RATES!$N803/100</f>
        <v>1118.1666666666667</v>
      </c>
      <c r="CM827" s="16">
        <f>IF(CM826&gt;0,CM826*PARAM!$C$53,CM826)+CK827-CL827</f>
        <v>-168900.50000000038</v>
      </c>
      <c r="CO827" s="176"/>
    </row>
    <row r="828" spans="1:93" x14ac:dyDescent="0.2">
      <c r="A828" t="b">
        <f t="shared" si="537"/>
        <v>0</v>
      </c>
      <c r="B828" s="33">
        <v>801</v>
      </c>
      <c r="C828" s="15">
        <f t="shared" si="538"/>
        <v>20.081305947392778</v>
      </c>
      <c r="D828" s="75">
        <f>C828*(1-PARAM!$C$27)*$I$3+(MOD($B828,60)=PARAM!$B$56)*($B828&gt;(60-PARAM!$B$56))*HLOOKUP(($B828+PARAM!$B$56)/12,Loyalty,2)*$F$1*MAX(F827,0)</f>
        <v>16.808053077967756</v>
      </c>
      <c r="E828" s="75">
        <f>PARAM!$C$26+MAX($G$3-CHOOSE(PARAM!$B$44,MAX(0,F827*$F$1),0),0)*RATES!$L804/12+$H$3*(PARAM!$D$51/12)*RATES!$N804/100</f>
        <v>1118.1666666666667</v>
      </c>
      <c r="F828" s="16">
        <f t="shared" si="539"/>
        <v>-156711.84134261851</v>
      </c>
      <c r="G828" s="15">
        <f t="shared" si="540"/>
        <v>22.035289406060361</v>
      </c>
      <c r="H828" s="75">
        <f>G828*(1-PARAM!$C$27)*$I$4+(MOD($B828,60)=PARAM!$B$56)*($B828&gt;(60-PARAM!$B$56))*HLOOKUP(($B828+PARAM!$B$56)/12,Loyalty,2)*$F$1*MAX(J827,0)</f>
        <v>18.443537232872522</v>
      </c>
      <c r="I828" s="75">
        <f>PARAM!$C$26+MAX($G$4-CHOOSE(PARAM!$B$44,MAX(0,J827*$F$1),0),0)*RATES!$L804/12+$H$4*(PARAM!$D$51/12)*RATES!$N804/100</f>
        <v>1118.1666666666667</v>
      </c>
      <c r="J828" s="16">
        <f t="shared" si="541"/>
        <v>-155367.98557041775</v>
      </c>
      <c r="K828" s="15">
        <f t="shared" si="542"/>
        <v>22.170849845882874</v>
      </c>
      <c r="L828" s="75">
        <f>K828*(1-PARAM!$C$27)*$I$5+(MOD($B828,60)=PARAM!$B$56)*($B828&gt;(60-PARAM!$B$56))*HLOOKUP(($B828+PARAM!$B$56)/12,Loyalty,2)*$F$1*MAX(N827,0)</f>
        <v>18.557001321003963</v>
      </c>
      <c r="M828" s="75">
        <f>PARAM!$C$26+MAX($G$5-CHOOSE(PARAM!$B$44,MAX(0,N827*$F$1),0),0)*RATES!$L804/12+$H$5*(PARAM!$D$51/12)*RATES!$N804/100</f>
        <v>1118.1666666666667</v>
      </c>
      <c r="N828" s="16">
        <f t="shared" si="543"/>
        <v>-155274.08329942476</v>
      </c>
      <c r="O828" s="15">
        <f t="shared" si="544"/>
        <v>22.170849845882874</v>
      </c>
      <c r="P828" s="75">
        <f>O828*(1-PARAM!$C$27)*$I$6+(MOD($B828,60)=PARAM!$B$56)*($B828&gt;(60-PARAM!$B$56))*HLOOKUP(($B828+PARAM!$B$56)/12,Loyalty,2)*$F$1*MAX(R827,0)</f>
        <v>18.557001321003963</v>
      </c>
      <c r="Q828" s="75">
        <f>PARAM!$C$26+MAX($G$6-CHOOSE(PARAM!$B$44,MAX(0,R827*$F$1),0),0)*RATES!$L804/12+$H$6*(PARAM!$D$51/12)*RATES!$N804/100</f>
        <v>1118.1666666666667</v>
      </c>
      <c r="R828" s="16">
        <f t="shared" si="545"/>
        <v>-155274.08329942476</v>
      </c>
      <c r="S828" s="15">
        <f t="shared" si="520"/>
        <v>22.170849845882874</v>
      </c>
      <c r="T828" s="75">
        <f>S828*(1-PARAM!$C$27)*$I$7+(MOD($B828,60)=PARAM!$B$56)*($B828&gt;(60-PARAM!$B$56))*HLOOKUP(($B828+PARAM!$B$56)/12,Loyalty,2)*$F$1*MAX(V827,0)</f>
        <v>18.557001321003963</v>
      </c>
      <c r="U828" s="75">
        <f>PARAM!$C$26+MAX($G$7-CHOOSE(PARAM!$B$44,MAX(0,V827*$F$1),0),0)*RATES!$L804/12+$H$7*(PARAM!$D$51/12)*RATES!$N804/100</f>
        <v>1118.1666666666667</v>
      </c>
      <c r="V828" s="16">
        <f t="shared" si="546"/>
        <v>-155274.08329942476</v>
      </c>
      <c r="W828" s="15">
        <f t="shared" si="521"/>
        <v>22.170849845882874</v>
      </c>
      <c r="X828" s="75">
        <f>W828*(1-PARAM!$C$27)*$I$8+(MOD($B828,60)=PARAM!$B$56)*($B828&gt;(60-PARAM!$B$56))*HLOOKUP(($B828+PARAM!$B$56)/12,Loyalty,2)*$F$1*MAX(Z827,0)</f>
        <v>18.557001321003963</v>
      </c>
      <c r="Y828" s="75">
        <f>PARAM!$C$26+MAX($G$8-CHOOSE(PARAM!$B$44,MAX(0,Z827*$F$1),0),0)*RATES!$L804/12+$H$8*(PARAM!$D$51/12)*RATES!$N804/100</f>
        <v>1118.1666666666667</v>
      </c>
      <c r="Z828" s="16">
        <f t="shared" si="547"/>
        <v>-155274.08329942476</v>
      </c>
      <c r="AA828" s="15">
        <f t="shared" si="522"/>
        <v>22.170849845882874</v>
      </c>
      <c r="AB828" s="75">
        <f>AA828*(1-PARAM!$C$27)*$I$9+(MOD($B828,60)=PARAM!$B$56)*($B828&gt;(60-PARAM!$B$56))*HLOOKUP(($B828+PARAM!$B$56)/12,Loyalty,2)*$F$1*MAX(AD827,0)</f>
        <v>18.557001321003963</v>
      </c>
      <c r="AC828" s="75">
        <f>PARAM!$C$26+MAX($G$9-CHOOSE(PARAM!$B$44,MAX(0,AD827*$F$1),0),0)*RATES!$L804/12+$H$9*(PARAM!$D$51/12)*RATES!$N804/100</f>
        <v>1118.1666666666667</v>
      </c>
      <c r="AD828" s="16">
        <f t="shared" si="548"/>
        <v>-155274.08329942476</v>
      </c>
      <c r="AE828" s="15">
        <f t="shared" si="523"/>
        <v>22.170849845882874</v>
      </c>
      <c r="AF828" s="75">
        <f>AE828*(1-PARAM!$C$27)*$I$10+(MOD($B828,60)=PARAM!$B$56)*($B828&gt;(60-PARAM!$B$56))*HLOOKUP(($B828+PARAM!$B$56)/12,Loyalty,2)*$F$1*MAX(AH827,0)</f>
        <v>18.557001321003963</v>
      </c>
      <c r="AG828" s="75">
        <f>PARAM!$C$26+MAX($G$10-CHOOSE(PARAM!$B$44,MAX(0,AH827*$F$1),0),0)*RATES!$L804/12+$H$10*(PARAM!$D$51/12)*RATES!$N804/100</f>
        <v>1118.1666666666667</v>
      </c>
      <c r="AH828" s="16">
        <f t="shared" si="549"/>
        <v>-155274.08329942476</v>
      </c>
      <c r="AI828" s="15">
        <f t="shared" si="524"/>
        <v>22.170849845882874</v>
      </c>
      <c r="AJ828" s="75">
        <f>AI828*(1-PARAM!$C$27)*$I$11+(MOD($B828,60)=PARAM!$B$56)*($B828&gt;(60-PARAM!$B$56))*HLOOKUP(($B828+PARAM!$B$56)/12,Loyalty,2)*$F$1*MAX(AL827,0)</f>
        <v>18.557001321003963</v>
      </c>
      <c r="AK828" s="75">
        <f>PARAM!$C$26+MAX($G$11-CHOOSE(PARAM!$B$44,MAX(0,AL827*$F$1),0),0)*RATES!$L804/12+$H$11*(PARAM!$D$51/12)*RATES!$N804/100</f>
        <v>1118.1666666666667</v>
      </c>
      <c r="AL828" s="16">
        <f t="shared" si="550"/>
        <v>-155274.08329942476</v>
      </c>
      <c r="AM828" s="15">
        <f t="shared" si="525"/>
        <v>22.170849845882874</v>
      </c>
      <c r="AN828" s="75">
        <f>AM828*(1-PARAM!$C$27)*$I$12+(MOD($B828,60)=PARAM!$B$56)*($B828&gt;(60-PARAM!$B$56))*HLOOKUP(($B828+PARAM!$B$56)/12,Loyalty,2)*$F$1*MAX(AP827,0)</f>
        <v>18.557001321003963</v>
      </c>
      <c r="AO828" s="75">
        <f>PARAM!$C$26+MAX($G$12-CHOOSE(PARAM!$B$44,MAX(0,AP827*$F$1),0),0)*RATES!$L804/12+$H$12*(PARAM!$D$51/12)*RATES!$N804/100</f>
        <v>1118.1666666666667</v>
      </c>
      <c r="AP828" s="16">
        <f t="shared" si="551"/>
        <v>-155274.08329942476</v>
      </c>
      <c r="AQ828" s="15">
        <f t="shared" si="526"/>
        <v>22.170849845882874</v>
      </c>
      <c r="AR828" s="75">
        <f>AQ828*(1-PARAM!$C$27)*$I$13+(MOD($B828,60)=PARAM!$B$56)*($B828&gt;(60-PARAM!$B$56))*HLOOKUP(($B828+PARAM!$B$56)/12,Loyalty,2)*$F$1*MAX(AT827,0)</f>
        <v>18.557001321003963</v>
      </c>
      <c r="AS828" s="75">
        <f>PARAM!$C$26+MAX($G$13-CHOOSE(PARAM!$B$44,MAX(0,AT827*$F$1),0),0)*RATES!$L804/12+$H$13*(PARAM!$D$51/12)*RATES!$N804/100</f>
        <v>1118.1666666666667</v>
      </c>
      <c r="AT828" s="16">
        <f t="shared" si="552"/>
        <v>-155274.08329942476</v>
      </c>
      <c r="AU828" s="15">
        <f t="shared" si="527"/>
        <v>22.170849845882874</v>
      </c>
      <c r="AV828" s="75">
        <f>AU828*(1-PARAM!$C$27)*$I$14+(MOD($B828,60)=PARAM!$B$56)*($B828&gt;(60-PARAM!$B$56))*HLOOKUP(($B828+PARAM!$B$56)/12,Loyalty,2)*$F$1*MAX(AX827,0)</f>
        <v>18.557001321003963</v>
      </c>
      <c r="AW828" s="75">
        <f>PARAM!$C$26+MAX($G$14-CHOOSE(PARAM!$B$44,MAX(0,AX827*$F$1),0),0)*RATES!$L804/12+$H$14*(PARAM!$D$51/12)*RATES!$N804/100</f>
        <v>1118.1666666666667</v>
      </c>
      <c r="AX828" s="16">
        <f t="shared" si="553"/>
        <v>-155274.08329942476</v>
      </c>
      <c r="AY828" s="15">
        <f t="shared" si="528"/>
        <v>22.170849845882874</v>
      </c>
      <c r="AZ828" s="75">
        <f>AY828*(1-PARAM!$C$27)*$I$15+(MOD($B828,60)=PARAM!$B$56)*($B828&gt;(60-PARAM!$B$56))*HLOOKUP(($B828+PARAM!$B$56)/12,Loyalty,2)*$F$1*MAX(BB827,0)</f>
        <v>18.557001321003963</v>
      </c>
      <c r="BA828" s="75">
        <f>PARAM!$C$26+MAX($G$15-CHOOSE(PARAM!$B$44,MAX(0,BB827*$F$1),0),0)*RATES!$L804/12+$H$15*(PARAM!$D$51/12)*RATES!$N804/100</f>
        <v>1118.1666666666667</v>
      </c>
      <c r="BB828" s="16">
        <f t="shared" si="554"/>
        <v>-155274.08329942476</v>
      </c>
      <c r="BC828" s="15">
        <f t="shared" si="529"/>
        <v>22.170849845882874</v>
      </c>
      <c r="BD828" s="75">
        <f>BC828*(1-PARAM!$C$27)*$I$16+(MOD($B828,60)=PARAM!$B$56)*($B828&gt;(60-PARAM!$B$56))*HLOOKUP(($B828+PARAM!$B$56)/12,Loyalty,2)*$F$1*MAX(BF827,0)</f>
        <v>18.557001321003963</v>
      </c>
      <c r="BE828" s="75">
        <f>PARAM!$C$26+MAX($G$16-CHOOSE(PARAM!$B$44,MAX(0,BF827*$F$1),0),0)*RATES!$L804/12+$H$16*(PARAM!$D$51/12)*RATES!$N804/100</f>
        <v>1118.1666666666667</v>
      </c>
      <c r="BF828" s="16">
        <f t="shared" si="555"/>
        <v>-155274.08329942476</v>
      </c>
      <c r="BG828" s="15">
        <f t="shared" si="530"/>
        <v>22.170849845882874</v>
      </c>
      <c r="BH828" s="75">
        <f>BG828*(1-PARAM!$C$27)*$I$17+(MOD($B828,60)=PARAM!$B$56)*($B828&gt;(60-PARAM!$B$56))*HLOOKUP(($B828+PARAM!$B$56)/12,Loyalty,2)*$F$1*MAX(BJ827,0)</f>
        <v>18.557001321003963</v>
      </c>
      <c r="BI828" s="75">
        <f>PARAM!$C$26+MAX($G$17-CHOOSE(PARAM!$B$44,MAX(0,BJ827*$F$1),0),0)*RATES!$L804/12+$H$17*(PARAM!$D$51/12)*RATES!$N804/100</f>
        <v>1118.1666666666667</v>
      </c>
      <c r="BJ828" s="16">
        <f t="shared" si="556"/>
        <v>-155274.08329942476</v>
      </c>
      <c r="BK828" s="15">
        <f t="shared" si="531"/>
        <v>22.170849845882874</v>
      </c>
      <c r="BL828" s="75">
        <f>BK828*(1-PARAM!$C$27)*$I$18+(MOD($B828,60)=PARAM!$B$56)*($B828&gt;(60-PARAM!$B$56))*HLOOKUP(($B828+PARAM!$B$56)/12,Loyalty,2)*$F$1*MAX(BN827,0)</f>
        <v>18.557001321003963</v>
      </c>
      <c r="BM828" s="75">
        <f>PARAM!$C$26+MAX($G$18-CHOOSE(PARAM!$B$44,MAX(0,BN827*$F$1),0),0)*RATES!$L804/12+$H$18*(PARAM!$D$51/12)*RATES!$N804/100</f>
        <v>1118.1666666666667</v>
      </c>
      <c r="BN828" s="16">
        <f t="shared" si="557"/>
        <v>-155274.08329942476</v>
      </c>
      <c r="BO828" s="15">
        <f t="shared" si="532"/>
        <v>22.170849845882874</v>
      </c>
      <c r="BP828" s="75">
        <f>BO828*(1-PARAM!$C$27)*$I$19+(MOD($B828,60)=PARAM!$B$56)*($B828&gt;(60-PARAM!$B$56))*HLOOKUP(($B828+PARAM!$B$56)/12,Loyalty,2)*$F$1*MAX(BR827,0)</f>
        <v>18.557001321003963</v>
      </c>
      <c r="BQ828" s="75">
        <f>PARAM!$C$26+MAX($G$19-CHOOSE(PARAM!$B$44,MAX(0,BR827*$F$1),0),0)*RATES!$L804/12+$H$19*(PARAM!$D$51/12)*RATES!$N804/100</f>
        <v>1118.1666666666667</v>
      </c>
      <c r="BR828" s="16">
        <f t="shared" si="558"/>
        <v>-155274.08329942476</v>
      </c>
      <c r="BS828" s="15">
        <f t="shared" si="533"/>
        <v>22.170849845882874</v>
      </c>
      <c r="BT828" s="75">
        <f>BS828*(1-PARAM!$C$27)*$I$20+(MOD($B828,60)=PARAM!$B$56)*($B828&gt;(60-PARAM!$B$56))*HLOOKUP(($B828+PARAM!$B$56)/12,Loyalty,2)*$F$1*MAX(BV827,0)</f>
        <v>18.557001321003963</v>
      </c>
      <c r="BU828" s="75">
        <f>PARAM!$C$26+MAX($G$20-CHOOSE(PARAM!$B$44,MAX(0,BV827*$F$1),0),0)*RATES!$L804/12+$H$20*(PARAM!$D$51/12)*RATES!$N804/100</f>
        <v>1118.1666666666667</v>
      </c>
      <c r="BV828" s="16">
        <f t="shared" si="559"/>
        <v>-155274.08329942476</v>
      </c>
      <c r="BW828" s="15">
        <f t="shared" si="534"/>
        <v>22.170849845882874</v>
      </c>
      <c r="BX828" s="75">
        <f>BW828*(1-PARAM!$C$27)*$I$21+(MOD($B828,60)=PARAM!$B$56)*($B828&gt;(60-PARAM!$B$56))*HLOOKUP(($B828+PARAM!$B$56)/12,Loyalty,2)*$F$1*MAX(BZ827,0)</f>
        <v>18.557001321003963</v>
      </c>
      <c r="BY828" s="75">
        <f>PARAM!$C$26+MAX($G$21-CHOOSE(PARAM!$B$44,MAX(0,BZ827*$F$1),0),0)*RATES!$L804/12+$H$21*(PARAM!$D$51/12)*RATES!$N804/100</f>
        <v>1118.1666666666667</v>
      </c>
      <c r="BZ828" s="16">
        <f t="shared" si="560"/>
        <v>-155274.08329942476</v>
      </c>
      <c r="CA828" s="15">
        <f t="shared" si="535"/>
        <v>22.170849845882874</v>
      </c>
      <c r="CB828" s="75">
        <f>CA828*(1-PARAM!$C$27)*$I$22+(MOD($B828,60)=PARAM!$B$56)*($B828&gt;(60-PARAM!$B$56))*HLOOKUP(($B828+PARAM!$B$56)/12,Loyalty,2)*$F$1*MAX(CD827,0)</f>
        <v>18.557001321003963</v>
      </c>
      <c r="CC828" s="75">
        <f>PARAM!$C$26+MAX($G$22-CHOOSE(PARAM!$B$44,MAX(0,CD827*$F$1),0),0)*RATES!$L804/12+$H$22*(PARAM!$D$51/12)*RATES!$N804/100</f>
        <v>1118.1666666666667</v>
      </c>
      <c r="CD828" s="16">
        <f t="shared" si="561"/>
        <v>-155274.08329942476</v>
      </c>
      <c r="CE828" s="33">
        <f>IF(0=MOD(B828,12/PARAM!$D$51),1,0)</f>
        <v>1</v>
      </c>
      <c r="CF828" s="15">
        <f t="shared" si="536"/>
        <v>0</v>
      </c>
      <c r="CG828" s="75">
        <f>CF828*(1-PARAM!$C$27)*$R$3+(MOD($B828/12,5)=0)*($B828&gt;60)*HLOOKUP($B828/12,Loyalty,2)*$F$1*MAX(CI827,0)</f>
        <v>0</v>
      </c>
      <c r="CH828" s="75">
        <f>PARAM!$C$26+MAX($P$3-CHOOSE(PARAM!$B$44,MAX(0,CI827*$F$1),0),0)*RATES!$L804/12+$Q$3*(PARAM!$D$51/12)*RATES!$N804/100</f>
        <v>1118.1666666666667</v>
      </c>
      <c r="CI828" s="16">
        <f>IF(CI827&gt;0,CI827*PARAM!$C$53,CI827)+CG828-CH828</f>
        <v>-170018.66666666704</v>
      </c>
      <c r="CJ828" s="15">
        <f t="shared" si="562"/>
        <v>0</v>
      </c>
      <c r="CK828" s="75">
        <f>CJ828*(1-PARAM!$C$27)*$R$4+(MOD($B828/12,5)=0)*($B828&gt;60)*HLOOKUP($B828/12,Loyalty,2)*$F$1*MAX(CM827,0)</f>
        <v>0</v>
      </c>
      <c r="CL828" s="75">
        <f>PARAM!$C$26+MAX($P$4-CHOOSE(PARAM!$B$44,MAX(0,CM827*$F$1),0),0)*RATES!$L804/12+$Q$4*(PARAM!$D$51/12)*RATES!$N804/100</f>
        <v>1118.1666666666667</v>
      </c>
      <c r="CM828" s="16">
        <f>IF(CM827&gt;0,CM827*PARAM!$C$53,CM827)+CK828-CL828</f>
        <v>-170018.66666666704</v>
      </c>
      <c r="CO828" s="176"/>
    </row>
    <row r="829" spans="1:93" x14ac:dyDescent="0.2">
      <c r="A829" t="b">
        <f t="shared" si="537"/>
        <v>0</v>
      </c>
      <c r="B829" s="33">
        <v>802</v>
      </c>
      <c r="C829" s="15">
        <f t="shared" si="538"/>
        <v>20.081305947392778</v>
      </c>
      <c r="D829" s="75">
        <f>C829*(1-PARAM!$C$27)*$I$3+(MOD($B829,60)=PARAM!$B$56)*($B829&gt;(60-PARAM!$B$56))*HLOOKUP(($B829+PARAM!$B$56)/12,Loyalty,2)*$F$1*MAX(F828,0)</f>
        <v>16.808053077967756</v>
      </c>
      <c r="E829" s="75">
        <f>PARAM!$C$26+MAX($G$3-CHOOSE(PARAM!$B$44,MAX(0,F828*$F$1),0),0)*RATES!$L805/12+$H$3*(PARAM!$D$51/12)*RATES!$N805/100</f>
        <v>1118.1666666666667</v>
      </c>
      <c r="F829" s="16">
        <f t="shared" si="539"/>
        <v>-157813.19995620722</v>
      </c>
      <c r="G829" s="15">
        <f t="shared" si="540"/>
        <v>22.035289406060361</v>
      </c>
      <c r="H829" s="75">
        <f>G829*(1-PARAM!$C$27)*$I$4+(MOD($B829,60)=PARAM!$B$56)*($B829&gt;(60-PARAM!$B$56))*HLOOKUP(($B829+PARAM!$B$56)/12,Loyalty,2)*$F$1*MAX(J828,0)</f>
        <v>18.443537232872522</v>
      </c>
      <c r="I829" s="75">
        <f>PARAM!$C$26+MAX($G$4-CHOOSE(PARAM!$B$44,MAX(0,J828*$F$1),0),0)*RATES!$L805/12+$H$4*(PARAM!$D$51/12)*RATES!$N805/100</f>
        <v>1118.1666666666667</v>
      </c>
      <c r="J829" s="16">
        <f t="shared" si="541"/>
        <v>-156467.70869985153</v>
      </c>
      <c r="K829" s="15">
        <f t="shared" si="542"/>
        <v>22.170849845882874</v>
      </c>
      <c r="L829" s="75">
        <f>K829*(1-PARAM!$C$27)*$I$5+(MOD($B829,60)=PARAM!$B$56)*($B829&gt;(60-PARAM!$B$56))*HLOOKUP(($B829+PARAM!$B$56)/12,Loyalty,2)*$F$1*MAX(N828,0)</f>
        <v>18.557001321003963</v>
      </c>
      <c r="M829" s="75">
        <f>PARAM!$C$26+MAX($G$5-CHOOSE(PARAM!$B$44,MAX(0,N828*$F$1),0),0)*RATES!$L805/12+$H$5*(PARAM!$D$51/12)*RATES!$N805/100</f>
        <v>1118.1666666666667</v>
      </c>
      <c r="N829" s="16">
        <f t="shared" si="543"/>
        <v>-156373.69296477042</v>
      </c>
      <c r="O829" s="15">
        <f t="shared" si="544"/>
        <v>22.170849845882874</v>
      </c>
      <c r="P829" s="75">
        <f>O829*(1-PARAM!$C$27)*$I$6+(MOD($B829,60)=PARAM!$B$56)*($B829&gt;(60-PARAM!$B$56))*HLOOKUP(($B829+PARAM!$B$56)/12,Loyalty,2)*$F$1*MAX(R828,0)</f>
        <v>18.557001321003963</v>
      </c>
      <c r="Q829" s="75">
        <f>PARAM!$C$26+MAX($G$6-CHOOSE(PARAM!$B$44,MAX(0,R828*$F$1),0),0)*RATES!$L805/12+$H$6*(PARAM!$D$51/12)*RATES!$N805/100</f>
        <v>1118.1666666666667</v>
      </c>
      <c r="R829" s="16">
        <f t="shared" si="545"/>
        <v>-156373.69296477042</v>
      </c>
      <c r="S829" s="15">
        <f t="shared" si="520"/>
        <v>22.170849845882874</v>
      </c>
      <c r="T829" s="75">
        <f>S829*(1-PARAM!$C$27)*$I$7+(MOD($B829,60)=PARAM!$B$56)*($B829&gt;(60-PARAM!$B$56))*HLOOKUP(($B829+PARAM!$B$56)/12,Loyalty,2)*$F$1*MAX(V828,0)</f>
        <v>18.557001321003963</v>
      </c>
      <c r="U829" s="75">
        <f>PARAM!$C$26+MAX($G$7-CHOOSE(PARAM!$B$44,MAX(0,V828*$F$1),0),0)*RATES!$L805/12+$H$7*(PARAM!$D$51/12)*RATES!$N805/100</f>
        <v>1118.1666666666667</v>
      </c>
      <c r="V829" s="16">
        <f t="shared" si="546"/>
        <v>-156373.69296477042</v>
      </c>
      <c r="W829" s="15">
        <f t="shared" si="521"/>
        <v>22.170849845882874</v>
      </c>
      <c r="X829" s="75">
        <f>W829*(1-PARAM!$C$27)*$I$8+(MOD($B829,60)=PARAM!$B$56)*($B829&gt;(60-PARAM!$B$56))*HLOOKUP(($B829+PARAM!$B$56)/12,Loyalty,2)*$F$1*MAX(Z828,0)</f>
        <v>18.557001321003963</v>
      </c>
      <c r="Y829" s="75">
        <f>PARAM!$C$26+MAX($G$8-CHOOSE(PARAM!$B$44,MAX(0,Z828*$F$1),0),0)*RATES!$L805/12+$H$8*(PARAM!$D$51/12)*RATES!$N805/100</f>
        <v>1118.1666666666667</v>
      </c>
      <c r="Z829" s="16">
        <f t="shared" si="547"/>
        <v>-156373.69296477042</v>
      </c>
      <c r="AA829" s="15">
        <f t="shared" si="522"/>
        <v>22.170849845882874</v>
      </c>
      <c r="AB829" s="75">
        <f>AA829*(1-PARAM!$C$27)*$I$9+(MOD($B829,60)=PARAM!$B$56)*($B829&gt;(60-PARAM!$B$56))*HLOOKUP(($B829+PARAM!$B$56)/12,Loyalty,2)*$F$1*MAX(AD828,0)</f>
        <v>18.557001321003963</v>
      </c>
      <c r="AC829" s="75">
        <f>PARAM!$C$26+MAX($G$9-CHOOSE(PARAM!$B$44,MAX(0,AD828*$F$1),0),0)*RATES!$L805/12+$H$9*(PARAM!$D$51/12)*RATES!$N805/100</f>
        <v>1118.1666666666667</v>
      </c>
      <c r="AD829" s="16">
        <f t="shared" si="548"/>
        <v>-156373.69296477042</v>
      </c>
      <c r="AE829" s="15">
        <f t="shared" si="523"/>
        <v>22.170849845882874</v>
      </c>
      <c r="AF829" s="75">
        <f>AE829*(1-PARAM!$C$27)*$I$10+(MOD($B829,60)=PARAM!$B$56)*($B829&gt;(60-PARAM!$B$56))*HLOOKUP(($B829+PARAM!$B$56)/12,Loyalty,2)*$F$1*MAX(AH828,0)</f>
        <v>18.557001321003963</v>
      </c>
      <c r="AG829" s="75">
        <f>PARAM!$C$26+MAX($G$10-CHOOSE(PARAM!$B$44,MAX(0,AH828*$F$1),0),0)*RATES!$L805/12+$H$10*(PARAM!$D$51/12)*RATES!$N805/100</f>
        <v>1118.1666666666667</v>
      </c>
      <c r="AH829" s="16">
        <f t="shared" si="549"/>
        <v>-156373.69296477042</v>
      </c>
      <c r="AI829" s="15">
        <f t="shared" si="524"/>
        <v>22.170849845882874</v>
      </c>
      <c r="AJ829" s="75">
        <f>AI829*(1-PARAM!$C$27)*$I$11+(MOD($B829,60)=PARAM!$B$56)*($B829&gt;(60-PARAM!$B$56))*HLOOKUP(($B829+PARAM!$B$56)/12,Loyalty,2)*$F$1*MAX(AL828,0)</f>
        <v>18.557001321003963</v>
      </c>
      <c r="AK829" s="75">
        <f>PARAM!$C$26+MAX($G$11-CHOOSE(PARAM!$B$44,MAX(0,AL828*$F$1),0),0)*RATES!$L805/12+$H$11*(PARAM!$D$51/12)*RATES!$N805/100</f>
        <v>1118.1666666666667</v>
      </c>
      <c r="AL829" s="16">
        <f t="shared" si="550"/>
        <v>-156373.69296477042</v>
      </c>
      <c r="AM829" s="15">
        <f t="shared" si="525"/>
        <v>22.170849845882874</v>
      </c>
      <c r="AN829" s="75">
        <f>AM829*(1-PARAM!$C$27)*$I$12+(MOD($B829,60)=PARAM!$B$56)*($B829&gt;(60-PARAM!$B$56))*HLOOKUP(($B829+PARAM!$B$56)/12,Loyalty,2)*$F$1*MAX(AP828,0)</f>
        <v>18.557001321003963</v>
      </c>
      <c r="AO829" s="75">
        <f>PARAM!$C$26+MAX($G$12-CHOOSE(PARAM!$B$44,MAX(0,AP828*$F$1),0),0)*RATES!$L805/12+$H$12*(PARAM!$D$51/12)*RATES!$N805/100</f>
        <v>1118.1666666666667</v>
      </c>
      <c r="AP829" s="16">
        <f t="shared" si="551"/>
        <v>-156373.69296477042</v>
      </c>
      <c r="AQ829" s="15">
        <f t="shared" si="526"/>
        <v>22.170849845882874</v>
      </c>
      <c r="AR829" s="75">
        <f>AQ829*(1-PARAM!$C$27)*$I$13+(MOD($B829,60)=PARAM!$B$56)*($B829&gt;(60-PARAM!$B$56))*HLOOKUP(($B829+PARAM!$B$56)/12,Loyalty,2)*$F$1*MAX(AT828,0)</f>
        <v>18.557001321003963</v>
      </c>
      <c r="AS829" s="75">
        <f>PARAM!$C$26+MAX($G$13-CHOOSE(PARAM!$B$44,MAX(0,AT828*$F$1),0),0)*RATES!$L805/12+$H$13*(PARAM!$D$51/12)*RATES!$N805/100</f>
        <v>1118.1666666666667</v>
      </c>
      <c r="AT829" s="16">
        <f t="shared" si="552"/>
        <v>-156373.69296477042</v>
      </c>
      <c r="AU829" s="15">
        <f t="shared" si="527"/>
        <v>22.170849845882874</v>
      </c>
      <c r="AV829" s="75">
        <f>AU829*(1-PARAM!$C$27)*$I$14+(MOD($B829,60)=PARAM!$B$56)*($B829&gt;(60-PARAM!$B$56))*HLOOKUP(($B829+PARAM!$B$56)/12,Loyalty,2)*$F$1*MAX(AX828,0)</f>
        <v>18.557001321003963</v>
      </c>
      <c r="AW829" s="75">
        <f>PARAM!$C$26+MAX($G$14-CHOOSE(PARAM!$B$44,MAX(0,AX828*$F$1),0),0)*RATES!$L805/12+$H$14*(PARAM!$D$51/12)*RATES!$N805/100</f>
        <v>1118.1666666666667</v>
      </c>
      <c r="AX829" s="16">
        <f t="shared" si="553"/>
        <v>-156373.69296477042</v>
      </c>
      <c r="AY829" s="15">
        <f t="shared" si="528"/>
        <v>22.170849845882874</v>
      </c>
      <c r="AZ829" s="75">
        <f>AY829*(1-PARAM!$C$27)*$I$15+(MOD($B829,60)=PARAM!$B$56)*($B829&gt;(60-PARAM!$B$56))*HLOOKUP(($B829+PARAM!$B$56)/12,Loyalty,2)*$F$1*MAX(BB828,0)</f>
        <v>18.557001321003963</v>
      </c>
      <c r="BA829" s="75">
        <f>PARAM!$C$26+MAX($G$15-CHOOSE(PARAM!$B$44,MAX(0,BB828*$F$1),0),0)*RATES!$L805/12+$H$15*(PARAM!$D$51/12)*RATES!$N805/100</f>
        <v>1118.1666666666667</v>
      </c>
      <c r="BB829" s="16">
        <f t="shared" si="554"/>
        <v>-156373.69296477042</v>
      </c>
      <c r="BC829" s="15">
        <f t="shared" si="529"/>
        <v>22.170849845882874</v>
      </c>
      <c r="BD829" s="75">
        <f>BC829*(1-PARAM!$C$27)*$I$16+(MOD($B829,60)=PARAM!$B$56)*($B829&gt;(60-PARAM!$B$56))*HLOOKUP(($B829+PARAM!$B$56)/12,Loyalty,2)*$F$1*MAX(BF828,0)</f>
        <v>18.557001321003963</v>
      </c>
      <c r="BE829" s="75">
        <f>PARAM!$C$26+MAX($G$16-CHOOSE(PARAM!$B$44,MAX(0,BF828*$F$1),0),0)*RATES!$L805/12+$H$16*(PARAM!$D$51/12)*RATES!$N805/100</f>
        <v>1118.1666666666667</v>
      </c>
      <c r="BF829" s="16">
        <f t="shared" si="555"/>
        <v>-156373.69296477042</v>
      </c>
      <c r="BG829" s="15">
        <f t="shared" si="530"/>
        <v>22.170849845882874</v>
      </c>
      <c r="BH829" s="75">
        <f>BG829*(1-PARAM!$C$27)*$I$17+(MOD($B829,60)=PARAM!$B$56)*($B829&gt;(60-PARAM!$B$56))*HLOOKUP(($B829+PARAM!$B$56)/12,Loyalty,2)*$F$1*MAX(BJ828,0)</f>
        <v>18.557001321003963</v>
      </c>
      <c r="BI829" s="75">
        <f>PARAM!$C$26+MAX($G$17-CHOOSE(PARAM!$B$44,MAX(0,BJ828*$F$1),0),0)*RATES!$L805/12+$H$17*(PARAM!$D$51/12)*RATES!$N805/100</f>
        <v>1118.1666666666667</v>
      </c>
      <c r="BJ829" s="16">
        <f t="shared" si="556"/>
        <v>-156373.69296477042</v>
      </c>
      <c r="BK829" s="15">
        <f t="shared" si="531"/>
        <v>22.170849845882874</v>
      </c>
      <c r="BL829" s="75">
        <f>BK829*(1-PARAM!$C$27)*$I$18+(MOD($B829,60)=PARAM!$B$56)*($B829&gt;(60-PARAM!$B$56))*HLOOKUP(($B829+PARAM!$B$56)/12,Loyalty,2)*$F$1*MAX(BN828,0)</f>
        <v>18.557001321003963</v>
      </c>
      <c r="BM829" s="75">
        <f>PARAM!$C$26+MAX($G$18-CHOOSE(PARAM!$B$44,MAX(0,BN828*$F$1),0),0)*RATES!$L805/12+$H$18*(PARAM!$D$51/12)*RATES!$N805/100</f>
        <v>1118.1666666666667</v>
      </c>
      <c r="BN829" s="16">
        <f t="shared" si="557"/>
        <v>-156373.69296477042</v>
      </c>
      <c r="BO829" s="15">
        <f t="shared" si="532"/>
        <v>22.170849845882874</v>
      </c>
      <c r="BP829" s="75">
        <f>BO829*(1-PARAM!$C$27)*$I$19+(MOD($B829,60)=PARAM!$B$56)*($B829&gt;(60-PARAM!$B$56))*HLOOKUP(($B829+PARAM!$B$56)/12,Loyalty,2)*$F$1*MAX(BR828,0)</f>
        <v>18.557001321003963</v>
      </c>
      <c r="BQ829" s="75">
        <f>PARAM!$C$26+MAX($G$19-CHOOSE(PARAM!$B$44,MAX(0,BR828*$F$1),0),0)*RATES!$L805/12+$H$19*(PARAM!$D$51/12)*RATES!$N805/100</f>
        <v>1118.1666666666667</v>
      </c>
      <c r="BR829" s="16">
        <f t="shared" si="558"/>
        <v>-156373.69296477042</v>
      </c>
      <c r="BS829" s="15">
        <f t="shared" si="533"/>
        <v>22.170849845882874</v>
      </c>
      <c r="BT829" s="75">
        <f>BS829*(1-PARAM!$C$27)*$I$20+(MOD($B829,60)=PARAM!$B$56)*($B829&gt;(60-PARAM!$B$56))*HLOOKUP(($B829+PARAM!$B$56)/12,Loyalty,2)*$F$1*MAX(BV828,0)</f>
        <v>18.557001321003963</v>
      </c>
      <c r="BU829" s="75">
        <f>PARAM!$C$26+MAX($G$20-CHOOSE(PARAM!$B$44,MAX(0,BV828*$F$1),0),0)*RATES!$L805/12+$H$20*(PARAM!$D$51/12)*RATES!$N805/100</f>
        <v>1118.1666666666667</v>
      </c>
      <c r="BV829" s="16">
        <f t="shared" si="559"/>
        <v>-156373.69296477042</v>
      </c>
      <c r="BW829" s="15">
        <f t="shared" si="534"/>
        <v>22.170849845882874</v>
      </c>
      <c r="BX829" s="75">
        <f>BW829*(1-PARAM!$C$27)*$I$21+(MOD($B829,60)=PARAM!$B$56)*($B829&gt;(60-PARAM!$B$56))*HLOOKUP(($B829+PARAM!$B$56)/12,Loyalty,2)*$F$1*MAX(BZ828,0)</f>
        <v>18.557001321003963</v>
      </c>
      <c r="BY829" s="75">
        <f>PARAM!$C$26+MAX($G$21-CHOOSE(PARAM!$B$44,MAX(0,BZ828*$F$1),0),0)*RATES!$L805/12+$H$21*(PARAM!$D$51/12)*RATES!$N805/100</f>
        <v>1118.1666666666667</v>
      </c>
      <c r="BZ829" s="16">
        <f t="shared" si="560"/>
        <v>-156373.69296477042</v>
      </c>
      <c r="CA829" s="15">
        <f t="shared" si="535"/>
        <v>22.170849845882874</v>
      </c>
      <c r="CB829" s="75">
        <f>CA829*(1-PARAM!$C$27)*$I$22+(MOD($B829,60)=PARAM!$B$56)*($B829&gt;(60-PARAM!$B$56))*HLOOKUP(($B829+PARAM!$B$56)/12,Loyalty,2)*$F$1*MAX(CD828,0)</f>
        <v>18.557001321003963</v>
      </c>
      <c r="CC829" s="75">
        <f>PARAM!$C$26+MAX($G$22-CHOOSE(PARAM!$B$44,MAX(0,CD828*$F$1),0),0)*RATES!$L805/12+$H$22*(PARAM!$D$51/12)*RATES!$N805/100</f>
        <v>1118.1666666666667</v>
      </c>
      <c r="CD829" s="16">
        <f t="shared" si="561"/>
        <v>-156373.69296477042</v>
      </c>
      <c r="CE829" s="33">
        <f>IF(0=MOD(B829,12/PARAM!$D$51),1,0)</f>
        <v>1</v>
      </c>
      <c r="CF829" s="15">
        <f t="shared" si="536"/>
        <v>0</v>
      </c>
      <c r="CG829" s="75">
        <f>CF829*(1-PARAM!$C$27)*$R$3+(MOD($B829/12,5)=0)*($B829&gt;60)*HLOOKUP($B829/12,Loyalty,2)*$F$1*MAX(CI828,0)</f>
        <v>0</v>
      </c>
      <c r="CH829" s="75">
        <f>PARAM!$C$26+MAX($P$3-CHOOSE(PARAM!$B$44,MAX(0,CI828*$F$1),0),0)*RATES!$L805/12+$Q$3*(PARAM!$D$51/12)*RATES!$N805/100</f>
        <v>1118.1666666666667</v>
      </c>
      <c r="CI829" s="16">
        <f>IF(CI828&gt;0,CI828*PARAM!$C$53,CI828)+CG829-CH829</f>
        <v>-171136.83333333369</v>
      </c>
      <c r="CJ829" s="15">
        <f t="shared" si="562"/>
        <v>0</v>
      </c>
      <c r="CK829" s="75">
        <f>CJ829*(1-PARAM!$C$27)*$R$4+(MOD($B829/12,5)=0)*($B829&gt;60)*HLOOKUP($B829/12,Loyalty,2)*$F$1*MAX(CM828,0)</f>
        <v>0</v>
      </c>
      <c r="CL829" s="75">
        <f>PARAM!$C$26+MAX($P$4-CHOOSE(PARAM!$B$44,MAX(0,CM828*$F$1),0),0)*RATES!$L805/12+$Q$4*(PARAM!$D$51/12)*RATES!$N805/100</f>
        <v>1118.1666666666667</v>
      </c>
      <c r="CM829" s="16">
        <f>IF(CM828&gt;0,CM828*PARAM!$C$53,CM828)+CK829-CL829</f>
        <v>-171136.83333333369</v>
      </c>
      <c r="CO829" s="176"/>
    </row>
    <row r="830" spans="1:93" x14ac:dyDescent="0.2">
      <c r="A830" t="b">
        <f t="shared" si="537"/>
        <v>0</v>
      </c>
      <c r="B830" s="33">
        <v>803</v>
      </c>
      <c r="C830" s="15">
        <f t="shared" si="538"/>
        <v>20.081305947392778</v>
      </c>
      <c r="D830" s="75">
        <f>C830*(1-PARAM!$C$27)*$I$3+(MOD($B830,60)=PARAM!$B$56)*($B830&gt;(60-PARAM!$B$56))*HLOOKUP(($B830+PARAM!$B$56)/12,Loyalty,2)*$F$1*MAX(F829,0)</f>
        <v>16.808053077967756</v>
      </c>
      <c r="E830" s="75">
        <f>PARAM!$C$26+MAX($G$3-CHOOSE(PARAM!$B$44,MAX(0,F829*$F$1),0),0)*RATES!$L806/12+$H$3*(PARAM!$D$51/12)*RATES!$N806/100</f>
        <v>1118.1666666666667</v>
      </c>
      <c r="F830" s="16">
        <f t="shared" si="539"/>
        <v>-158914.55856979592</v>
      </c>
      <c r="G830" s="15">
        <f t="shared" si="540"/>
        <v>22.035289406060361</v>
      </c>
      <c r="H830" s="75">
        <f>G830*(1-PARAM!$C$27)*$I$4+(MOD($B830,60)=PARAM!$B$56)*($B830&gt;(60-PARAM!$B$56))*HLOOKUP(($B830+PARAM!$B$56)/12,Loyalty,2)*$F$1*MAX(J829,0)</f>
        <v>18.443537232872522</v>
      </c>
      <c r="I830" s="75">
        <f>PARAM!$C$26+MAX($G$4-CHOOSE(PARAM!$B$44,MAX(0,J829*$F$1),0),0)*RATES!$L806/12+$H$4*(PARAM!$D$51/12)*RATES!$N806/100</f>
        <v>1118.1666666666667</v>
      </c>
      <c r="J830" s="16">
        <f t="shared" si="541"/>
        <v>-157567.43182928531</v>
      </c>
      <c r="K830" s="15">
        <f t="shared" si="542"/>
        <v>22.170849845882874</v>
      </c>
      <c r="L830" s="75">
        <f>K830*(1-PARAM!$C$27)*$I$5+(MOD($B830,60)=PARAM!$B$56)*($B830&gt;(60-PARAM!$B$56))*HLOOKUP(($B830+PARAM!$B$56)/12,Loyalty,2)*$F$1*MAX(N829,0)</f>
        <v>18.557001321003963</v>
      </c>
      <c r="M830" s="75">
        <f>PARAM!$C$26+MAX($G$5-CHOOSE(PARAM!$B$44,MAX(0,N829*$F$1),0),0)*RATES!$L806/12+$H$5*(PARAM!$D$51/12)*RATES!$N806/100</f>
        <v>1118.1666666666667</v>
      </c>
      <c r="N830" s="16">
        <f t="shared" si="543"/>
        <v>-157473.30263011609</v>
      </c>
      <c r="O830" s="15">
        <f t="shared" si="544"/>
        <v>22.170849845882874</v>
      </c>
      <c r="P830" s="75">
        <f>O830*(1-PARAM!$C$27)*$I$6+(MOD($B830,60)=PARAM!$B$56)*($B830&gt;(60-PARAM!$B$56))*HLOOKUP(($B830+PARAM!$B$56)/12,Loyalty,2)*$F$1*MAX(R829,0)</f>
        <v>18.557001321003963</v>
      </c>
      <c r="Q830" s="75">
        <f>PARAM!$C$26+MAX($G$6-CHOOSE(PARAM!$B$44,MAX(0,R829*$F$1),0),0)*RATES!$L806/12+$H$6*(PARAM!$D$51/12)*RATES!$N806/100</f>
        <v>1118.1666666666667</v>
      </c>
      <c r="R830" s="16">
        <f t="shared" si="545"/>
        <v>-157473.30263011609</v>
      </c>
      <c r="S830" s="15">
        <f t="shared" si="520"/>
        <v>22.170849845882874</v>
      </c>
      <c r="T830" s="75">
        <f>S830*(1-PARAM!$C$27)*$I$7+(MOD($B830,60)=PARAM!$B$56)*($B830&gt;(60-PARAM!$B$56))*HLOOKUP(($B830+PARAM!$B$56)/12,Loyalty,2)*$F$1*MAX(V829,0)</f>
        <v>18.557001321003963</v>
      </c>
      <c r="U830" s="75">
        <f>PARAM!$C$26+MAX($G$7-CHOOSE(PARAM!$B$44,MAX(0,V829*$F$1),0),0)*RATES!$L806/12+$H$7*(PARAM!$D$51/12)*RATES!$N806/100</f>
        <v>1118.1666666666667</v>
      </c>
      <c r="V830" s="16">
        <f t="shared" si="546"/>
        <v>-157473.30263011609</v>
      </c>
      <c r="W830" s="15">
        <f t="shared" si="521"/>
        <v>22.170849845882874</v>
      </c>
      <c r="X830" s="75">
        <f>W830*(1-PARAM!$C$27)*$I$8+(MOD($B830,60)=PARAM!$B$56)*($B830&gt;(60-PARAM!$B$56))*HLOOKUP(($B830+PARAM!$B$56)/12,Loyalty,2)*$F$1*MAX(Z829,0)</f>
        <v>18.557001321003963</v>
      </c>
      <c r="Y830" s="75">
        <f>PARAM!$C$26+MAX($G$8-CHOOSE(PARAM!$B$44,MAX(0,Z829*$F$1),0),0)*RATES!$L806/12+$H$8*(PARAM!$D$51/12)*RATES!$N806/100</f>
        <v>1118.1666666666667</v>
      </c>
      <c r="Z830" s="16">
        <f t="shared" si="547"/>
        <v>-157473.30263011609</v>
      </c>
      <c r="AA830" s="15">
        <f t="shared" si="522"/>
        <v>22.170849845882874</v>
      </c>
      <c r="AB830" s="75">
        <f>AA830*(1-PARAM!$C$27)*$I$9+(MOD($B830,60)=PARAM!$B$56)*($B830&gt;(60-PARAM!$B$56))*HLOOKUP(($B830+PARAM!$B$56)/12,Loyalty,2)*$F$1*MAX(AD829,0)</f>
        <v>18.557001321003963</v>
      </c>
      <c r="AC830" s="75">
        <f>PARAM!$C$26+MAX($G$9-CHOOSE(PARAM!$B$44,MAX(0,AD829*$F$1),0),0)*RATES!$L806/12+$H$9*(PARAM!$D$51/12)*RATES!$N806/100</f>
        <v>1118.1666666666667</v>
      </c>
      <c r="AD830" s="16">
        <f t="shared" si="548"/>
        <v>-157473.30263011609</v>
      </c>
      <c r="AE830" s="15">
        <f t="shared" si="523"/>
        <v>22.170849845882874</v>
      </c>
      <c r="AF830" s="75">
        <f>AE830*(1-PARAM!$C$27)*$I$10+(MOD($B830,60)=PARAM!$B$56)*($B830&gt;(60-PARAM!$B$56))*HLOOKUP(($B830+PARAM!$B$56)/12,Loyalty,2)*$F$1*MAX(AH829,0)</f>
        <v>18.557001321003963</v>
      </c>
      <c r="AG830" s="75">
        <f>PARAM!$C$26+MAX($G$10-CHOOSE(PARAM!$B$44,MAX(0,AH829*$F$1),0),0)*RATES!$L806/12+$H$10*(PARAM!$D$51/12)*RATES!$N806/100</f>
        <v>1118.1666666666667</v>
      </c>
      <c r="AH830" s="16">
        <f t="shared" si="549"/>
        <v>-157473.30263011609</v>
      </c>
      <c r="AI830" s="15">
        <f t="shared" si="524"/>
        <v>22.170849845882874</v>
      </c>
      <c r="AJ830" s="75">
        <f>AI830*(1-PARAM!$C$27)*$I$11+(MOD($B830,60)=PARAM!$B$56)*($B830&gt;(60-PARAM!$B$56))*HLOOKUP(($B830+PARAM!$B$56)/12,Loyalty,2)*$F$1*MAX(AL829,0)</f>
        <v>18.557001321003963</v>
      </c>
      <c r="AK830" s="75">
        <f>PARAM!$C$26+MAX($G$11-CHOOSE(PARAM!$B$44,MAX(0,AL829*$F$1),0),0)*RATES!$L806/12+$H$11*(PARAM!$D$51/12)*RATES!$N806/100</f>
        <v>1118.1666666666667</v>
      </c>
      <c r="AL830" s="16">
        <f t="shared" si="550"/>
        <v>-157473.30263011609</v>
      </c>
      <c r="AM830" s="15">
        <f t="shared" si="525"/>
        <v>22.170849845882874</v>
      </c>
      <c r="AN830" s="75">
        <f>AM830*(1-PARAM!$C$27)*$I$12+(MOD($B830,60)=PARAM!$B$56)*($B830&gt;(60-PARAM!$B$56))*HLOOKUP(($B830+PARAM!$B$56)/12,Loyalty,2)*$F$1*MAX(AP829,0)</f>
        <v>18.557001321003963</v>
      </c>
      <c r="AO830" s="75">
        <f>PARAM!$C$26+MAX($G$12-CHOOSE(PARAM!$B$44,MAX(0,AP829*$F$1),0),0)*RATES!$L806/12+$H$12*(PARAM!$D$51/12)*RATES!$N806/100</f>
        <v>1118.1666666666667</v>
      </c>
      <c r="AP830" s="16">
        <f t="shared" si="551"/>
        <v>-157473.30263011609</v>
      </c>
      <c r="AQ830" s="15">
        <f t="shared" si="526"/>
        <v>22.170849845882874</v>
      </c>
      <c r="AR830" s="75">
        <f>AQ830*(1-PARAM!$C$27)*$I$13+(MOD($B830,60)=PARAM!$B$56)*($B830&gt;(60-PARAM!$B$56))*HLOOKUP(($B830+PARAM!$B$56)/12,Loyalty,2)*$F$1*MAX(AT829,0)</f>
        <v>18.557001321003963</v>
      </c>
      <c r="AS830" s="75">
        <f>PARAM!$C$26+MAX($G$13-CHOOSE(PARAM!$B$44,MAX(0,AT829*$F$1),0),0)*RATES!$L806/12+$H$13*(PARAM!$D$51/12)*RATES!$N806/100</f>
        <v>1118.1666666666667</v>
      </c>
      <c r="AT830" s="16">
        <f t="shared" si="552"/>
        <v>-157473.30263011609</v>
      </c>
      <c r="AU830" s="15">
        <f t="shared" si="527"/>
        <v>22.170849845882874</v>
      </c>
      <c r="AV830" s="75">
        <f>AU830*(1-PARAM!$C$27)*$I$14+(MOD($B830,60)=PARAM!$B$56)*($B830&gt;(60-PARAM!$B$56))*HLOOKUP(($B830+PARAM!$B$56)/12,Loyalty,2)*$F$1*MAX(AX829,0)</f>
        <v>18.557001321003963</v>
      </c>
      <c r="AW830" s="75">
        <f>PARAM!$C$26+MAX($G$14-CHOOSE(PARAM!$B$44,MAX(0,AX829*$F$1),0),0)*RATES!$L806/12+$H$14*(PARAM!$D$51/12)*RATES!$N806/100</f>
        <v>1118.1666666666667</v>
      </c>
      <c r="AX830" s="16">
        <f t="shared" si="553"/>
        <v>-157473.30263011609</v>
      </c>
      <c r="AY830" s="15">
        <f t="shared" si="528"/>
        <v>22.170849845882874</v>
      </c>
      <c r="AZ830" s="75">
        <f>AY830*(1-PARAM!$C$27)*$I$15+(MOD($B830,60)=PARAM!$B$56)*($B830&gt;(60-PARAM!$B$56))*HLOOKUP(($B830+PARAM!$B$56)/12,Loyalty,2)*$F$1*MAX(BB829,0)</f>
        <v>18.557001321003963</v>
      </c>
      <c r="BA830" s="75">
        <f>PARAM!$C$26+MAX($G$15-CHOOSE(PARAM!$B$44,MAX(0,BB829*$F$1),0),0)*RATES!$L806/12+$H$15*(PARAM!$D$51/12)*RATES!$N806/100</f>
        <v>1118.1666666666667</v>
      </c>
      <c r="BB830" s="16">
        <f t="shared" si="554"/>
        <v>-157473.30263011609</v>
      </c>
      <c r="BC830" s="15">
        <f t="shared" si="529"/>
        <v>22.170849845882874</v>
      </c>
      <c r="BD830" s="75">
        <f>BC830*(1-PARAM!$C$27)*$I$16+(MOD($B830,60)=PARAM!$B$56)*($B830&gt;(60-PARAM!$B$56))*HLOOKUP(($B830+PARAM!$B$56)/12,Loyalty,2)*$F$1*MAX(BF829,0)</f>
        <v>18.557001321003963</v>
      </c>
      <c r="BE830" s="75">
        <f>PARAM!$C$26+MAX($G$16-CHOOSE(PARAM!$B$44,MAX(0,BF829*$F$1),0),0)*RATES!$L806/12+$H$16*(PARAM!$D$51/12)*RATES!$N806/100</f>
        <v>1118.1666666666667</v>
      </c>
      <c r="BF830" s="16">
        <f t="shared" si="555"/>
        <v>-157473.30263011609</v>
      </c>
      <c r="BG830" s="15">
        <f t="shared" si="530"/>
        <v>22.170849845882874</v>
      </c>
      <c r="BH830" s="75">
        <f>BG830*(1-PARAM!$C$27)*$I$17+(MOD($B830,60)=PARAM!$B$56)*($B830&gt;(60-PARAM!$B$56))*HLOOKUP(($B830+PARAM!$B$56)/12,Loyalty,2)*$F$1*MAX(BJ829,0)</f>
        <v>18.557001321003963</v>
      </c>
      <c r="BI830" s="75">
        <f>PARAM!$C$26+MAX($G$17-CHOOSE(PARAM!$B$44,MAX(0,BJ829*$F$1),0),0)*RATES!$L806/12+$H$17*(PARAM!$D$51/12)*RATES!$N806/100</f>
        <v>1118.1666666666667</v>
      </c>
      <c r="BJ830" s="16">
        <f t="shared" si="556"/>
        <v>-157473.30263011609</v>
      </c>
      <c r="BK830" s="15">
        <f t="shared" si="531"/>
        <v>22.170849845882874</v>
      </c>
      <c r="BL830" s="75">
        <f>BK830*(1-PARAM!$C$27)*$I$18+(MOD($B830,60)=PARAM!$B$56)*($B830&gt;(60-PARAM!$B$56))*HLOOKUP(($B830+PARAM!$B$56)/12,Loyalty,2)*$F$1*MAX(BN829,0)</f>
        <v>18.557001321003963</v>
      </c>
      <c r="BM830" s="75">
        <f>PARAM!$C$26+MAX($G$18-CHOOSE(PARAM!$B$44,MAX(0,BN829*$F$1),0),0)*RATES!$L806/12+$H$18*(PARAM!$D$51/12)*RATES!$N806/100</f>
        <v>1118.1666666666667</v>
      </c>
      <c r="BN830" s="16">
        <f t="shared" si="557"/>
        <v>-157473.30263011609</v>
      </c>
      <c r="BO830" s="15">
        <f t="shared" si="532"/>
        <v>22.170849845882874</v>
      </c>
      <c r="BP830" s="75">
        <f>BO830*(1-PARAM!$C$27)*$I$19+(MOD($B830,60)=PARAM!$B$56)*($B830&gt;(60-PARAM!$B$56))*HLOOKUP(($B830+PARAM!$B$56)/12,Loyalty,2)*$F$1*MAX(BR829,0)</f>
        <v>18.557001321003963</v>
      </c>
      <c r="BQ830" s="75">
        <f>PARAM!$C$26+MAX($G$19-CHOOSE(PARAM!$B$44,MAX(0,BR829*$F$1),0),0)*RATES!$L806/12+$H$19*(PARAM!$D$51/12)*RATES!$N806/100</f>
        <v>1118.1666666666667</v>
      </c>
      <c r="BR830" s="16">
        <f t="shared" si="558"/>
        <v>-157473.30263011609</v>
      </c>
      <c r="BS830" s="15">
        <f t="shared" si="533"/>
        <v>22.170849845882874</v>
      </c>
      <c r="BT830" s="75">
        <f>BS830*(1-PARAM!$C$27)*$I$20+(MOD($B830,60)=PARAM!$B$56)*($B830&gt;(60-PARAM!$B$56))*HLOOKUP(($B830+PARAM!$B$56)/12,Loyalty,2)*$F$1*MAX(BV829,0)</f>
        <v>18.557001321003963</v>
      </c>
      <c r="BU830" s="75">
        <f>PARAM!$C$26+MAX($G$20-CHOOSE(PARAM!$B$44,MAX(0,BV829*$F$1),0),0)*RATES!$L806/12+$H$20*(PARAM!$D$51/12)*RATES!$N806/100</f>
        <v>1118.1666666666667</v>
      </c>
      <c r="BV830" s="16">
        <f t="shared" si="559"/>
        <v>-157473.30263011609</v>
      </c>
      <c r="BW830" s="15">
        <f t="shared" si="534"/>
        <v>22.170849845882874</v>
      </c>
      <c r="BX830" s="75">
        <f>BW830*(1-PARAM!$C$27)*$I$21+(MOD($B830,60)=PARAM!$B$56)*($B830&gt;(60-PARAM!$B$56))*HLOOKUP(($B830+PARAM!$B$56)/12,Loyalty,2)*$F$1*MAX(BZ829,0)</f>
        <v>18.557001321003963</v>
      </c>
      <c r="BY830" s="75">
        <f>PARAM!$C$26+MAX($G$21-CHOOSE(PARAM!$B$44,MAX(0,BZ829*$F$1),0),0)*RATES!$L806/12+$H$21*(PARAM!$D$51/12)*RATES!$N806/100</f>
        <v>1118.1666666666667</v>
      </c>
      <c r="BZ830" s="16">
        <f t="shared" si="560"/>
        <v>-157473.30263011609</v>
      </c>
      <c r="CA830" s="15">
        <f t="shared" si="535"/>
        <v>22.170849845882874</v>
      </c>
      <c r="CB830" s="75">
        <f>CA830*(1-PARAM!$C$27)*$I$22+(MOD($B830,60)=PARAM!$B$56)*($B830&gt;(60-PARAM!$B$56))*HLOOKUP(($B830+PARAM!$B$56)/12,Loyalty,2)*$F$1*MAX(CD829,0)</f>
        <v>18.557001321003963</v>
      </c>
      <c r="CC830" s="75">
        <f>PARAM!$C$26+MAX($G$22-CHOOSE(PARAM!$B$44,MAX(0,CD829*$F$1),0),0)*RATES!$L806/12+$H$22*(PARAM!$D$51/12)*RATES!$N806/100</f>
        <v>1118.1666666666667</v>
      </c>
      <c r="CD830" s="16">
        <f t="shared" si="561"/>
        <v>-157473.30263011609</v>
      </c>
      <c r="CE830" s="33">
        <f>IF(0=MOD(B830,12/PARAM!$D$51),1,0)</f>
        <v>1</v>
      </c>
      <c r="CF830" s="15">
        <f t="shared" si="536"/>
        <v>0</v>
      </c>
      <c r="CG830" s="75">
        <f>CF830*(1-PARAM!$C$27)*$R$3+(MOD($B830/12,5)=0)*($B830&gt;60)*HLOOKUP($B830/12,Loyalty,2)*$F$1*MAX(CI829,0)</f>
        <v>0</v>
      </c>
      <c r="CH830" s="75">
        <f>PARAM!$C$26+MAX($P$3-CHOOSE(PARAM!$B$44,MAX(0,CI829*$F$1),0),0)*RATES!$L806/12+$Q$3*(PARAM!$D$51/12)*RATES!$N806/100</f>
        <v>1118.1666666666667</v>
      </c>
      <c r="CI830" s="16">
        <f>IF(CI829&gt;0,CI829*PARAM!$C$53,CI829)+CG830-CH830</f>
        <v>-172255.00000000035</v>
      </c>
      <c r="CJ830" s="15">
        <f t="shared" si="562"/>
        <v>0</v>
      </c>
      <c r="CK830" s="75">
        <f>CJ830*(1-PARAM!$C$27)*$R$4+(MOD($B830/12,5)=0)*($B830&gt;60)*HLOOKUP($B830/12,Loyalty,2)*$F$1*MAX(CM829,0)</f>
        <v>0</v>
      </c>
      <c r="CL830" s="75">
        <f>PARAM!$C$26+MAX($P$4-CHOOSE(PARAM!$B$44,MAX(0,CM829*$F$1),0),0)*RATES!$L806/12+$Q$4*(PARAM!$D$51/12)*RATES!$N806/100</f>
        <v>1118.1666666666667</v>
      </c>
      <c r="CM830" s="16">
        <f>IF(CM829&gt;0,CM829*PARAM!$C$53,CM829)+CK830-CL830</f>
        <v>-172255.00000000035</v>
      </c>
      <c r="CO830" s="176"/>
    </row>
    <row r="831" spans="1:93" x14ac:dyDescent="0.2">
      <c r="A831" t="b">
        <f t="shared" si="537"/>
        <v>0</v>
      </c>
      <c r="B831" s="33">
        <v>804</v>
      </c>
      <c r="C831" s="15">
        <f t="shared" si="538"/>
        <v>20.081305947392778</v>
      </c>
      <c r="D831" s="75">
        <f>C831*(1-PARAM!$C$27)*$I$3+(MOD($B831,60)=PARAM!$B$56)*($B831&gt;(60-PARAM!$B$56))*HLOOKUP(($B831+PARAM!$B$56)/12,Loyalty,2)*$F$1*MAX(F830,0)</f>
        <v>16.808053077967756</v>
      </c>
      <c r="E831" s="75">
        <f>PARAM!$C$26+MAX($G$3-CHOOSE(PARAM!$B$44,MAX(0,F830*$F$1),0),0)*RATES!$L807/12+$H$3*(PARAM!$D$51/12)*RATES!$N807/100</f>
        <v>1118.1666666666667</v>
      </c>
      <c r="F831" s="16">
        <f t="shared" si="539"/>
        <v>-160015.91718338462</v>
      </c>
      <c r="G831" s="15">
        <f t="shared" si="540"/>
        <v>22.035289406060361</v>
      </c>
      <c r="H831" s="75">
        <f>G831*(1-PARAM!$C$27)*$I$4+(MOD($B831,60)=PARAM!$B$56)*($B831&gt;(60-PARAM!$B$56))*HLOOKUP(($B831+PARAM!$B$56)/12,Loyalty,2)*$F$1*MAX(J830,0)</f>
        <v>18.443537232872522</v>
      </c>
      <c r="I831" s="75">
        <f>PARAM!$C$26+MAX($G$4-CHOOSE(PARAM!$B$44,MAX(0,J830*$F$1),0),0)*RATES!$L807/12+$H$4*(PARAM!$D$51/12)*RATES!$N807/100</f>
        <v>1118.1666666666667</v>
      </c>
      <c r="J831" s="16">
        <f t="shared" si="541"/>
        <v>-158667.1549587191</v>
      </c>
      <c r="K831" s="15">
        <f t="shared" si="542"/>
        <v>22.170849845882874</v>
      </c>
      <c r="L831" s="75">
        <f>K831*(1-PARAM!$C$27)*$I$5+(MOD($B831,60)=PARAM!$B$56)*($B831&gt;(60-PARAM!$B$56))*HLOOKUP(($B831+PARAM!$B$56)/12,Loyalty,2)*$F$1*MAX(N830,0)</f>
        <v>18.557001321003963</v>
      </c>
      <c r="M831" s="75">
        <f>PARAM!$C$26+MAX($G$5-CHOOSE(PARAM!$B$44,MAX(0,N830*$F$1),0),0)*RATES!$L807/12+$H$5*(PARAM!$D$51/12)*RATES!$N807/100</f>
        <v>1118.1666666666667</v>
      </c>
      <c r="N831" s="16">
        <f t="shared" si="543"/>
        <v>-158572.91229546175</v>
      </c>
      <c r="O831" s="15">
        <f t="shared" si="544"/>
        <v>22.170849845882874</v>
      </c>
      <c r="P831" s="75">
        <f>O831*(1-PARAM!$C$27)*$I$6+(MOD($B831,60)=PARAM!$B$56)*($B831&gt;(60-PARAM!$B$56))*HLOOKUP(($B831+PARAM!$B$56)/12,Loyalty,2)*$F$1*MAX(R830,0)</f>
        <v>18.557001321003963</v>
      </c>
      <c r="Q831" s="75">
        <f>PARAM!$C$26+MAX($G$6-CHOOSE(PARAM!$B$44,MAX(0,R830*$F$1),0),0)*RATES!$L807/12+$H$6*(PARAM!$D$51/12)*RATES!$N807/100</f>
        <v>1118.1666666666667</v>
      </c>
      <c r="R831" s="16">
        <f t="shared" si="545"/>
        <v>-158572.91229546175</v>
      </c>
      <c r="S831" s="15">
        <f t="shared" si="520"/>
        <v>22.170849845882874</v>
      </c>
      <c r="T831" s="75">
        <f>S831*(1-PARAM!$C$27)*$I$7+(MOD($B831,60)=PARAM!$B$56)*($B831&gt;(60-PARAM!$B$56))*HLOOKUP(($B831+PARAM!$B$56)/12,Loyalty,2)*$F$1*MAX(V830,0)</f>
        <v>18.557001321003963</v>
      </c>
      <c r="U831" s="75">
        <f>PARAM!$C$26+MAX($G$7-CHOOSE(PARAM!$B$44,MAX(0,V830*$F$1),0),0)*RATES!$L807/12+$H$7*(PARAM!$D$51/12)*RATES!$N807/100</f>
        <v>1118.1666666666667</v>
      </c>
      <c r="V831" s="16">
        <f t="shared" si="546"/>
        <v>-158572.91229546175</v>
      </c>
      <c r="W831" s="15">
        <f t="shared" si="521"/>
        <v>22.170849845882874</v>
      </c>
      <c r="X831" s="75">
        <f>W831*(1-PARAM!$C$27)*$I$8+(MOD($B831,60)=PARAM!$B$56)*($B831&gt;(60-PARAM!$B$56))*HLOOKUP(($B831+PARAM!$B$56)/12,Loyalty,2)*$F$1*MAX(Z830,0)</f>
        <v>18.557001321003963</v>
      </c>
      <c r="Y831" s="75">
        <f>PARAM!$C$26+MAX($G$8-CHOOSE(PARAM!$B$44,MAX(0,Z830*$F$1),0),0)*RATES!$L807/12+$H$8*(PARAM!$D$51/12)*RATES!$N807/100</f>
        <v>1118.1666666666667</v>
      </c>
      <c r="Z831" s="16">
        <f t="shared" si="547"/>
        <v>-158572.91229546175</v>
      </c>
      <c r="AA831" s="15">
        <f t="shared" si="522"/>
        <v>22.170849845882874</v>
      </c>
      <c r="AB831" s="75">
        <f>AA831*(1-PARAM!$C$27)*$I$9+(MOD($B831,60)=PARAM!$B$56)*($B831&gt;(60-PARAM!$B$56))*HLOOKUP(($B831+PARAM!$B$56)/12,Loyalty,2)*$F$1*MAX(AD830,0)</f>
        <v>18.557001321003963</v>
      </c>
      <c r="AC831" s="75">
        <f>PARAM!$C$26+MAX($G$9-CHOOSE(PARAM!$B$44,MAX(0,AD830*$F$1),0),0)*RATES!$L807/12+$H$9*(PARAM!$D$51/12)*RATES!$N807/100</f>
        <v>1118.1666666666667</v>
      </c>
      <c r="AD831" s="16">
        <f t="shared" si="548"/>
        <v>-158572.91229546175</v>
      </c>
      <c r="AE831" s="15">
        <f t="shared" si="523"/>
        <v>22.170849845882874</v>
      </c>
      <c r="AF831" s="75">
        <f>AE831*(1-PARAM!$C$27)*$I$10+(MOD($B831,60)=PARAM!$B$56)*($B831&gt;(60-PARAM!$B$56))*HLOOKUP(($B831+PARAM!$B$56)/12,Loyalty,2)*$F$1*MAX(AH830,0)</f>
        <v>18.557001321003963</v>
      </c>
      <c r="AG831" s="75">
        <f>PARAM!$C$26+MAX($G$10-CHOOSE(PARAM!$B$44,MAX(0,AH830*$F$1),0),0)*RATES!$L807/12+$H$10*(PARAM!$D$51/12)*RATES!$N807/100</f>
        <v>1118.1666666666667</v>
      </c>
      <c r="AH831" s="16">
        <f t="shared" si="549"/>
        <v>-158572.91229546175</v>
      </c>
      <c r="AI831" s="15">
        <f t="shared" si="524"/>
        <v>22.170849845882874</v>
      </c>
      <c r="AJ831" s="75">
        <f>AI831*(1-PARAM!$C$27)*$I$11+(MOD($B831,60)=PARAM!$B$56)*($B831&gt;(60-PARAM!$B$56))*HLOOKUP(($B831+PARAM!$B$56)/12,Loyalty,2)*$F$1*MAX(AL830,0)</f>
        <v>18.557001321003963</v>
      </c>
      <c r="AK831" s="75">
        <f>PARAM!$C$26+MAX($G$11-CHOOSE(PARAM!$B$44,MAX(0,AL830*$F$1),0),0)*RATES!$L807/12+$H$11*(PARAM!$D$51/12)*RATES!$N807/100</f>
        <v>1118.1666666666667</v>
      </c>
      <c r="AL831" s="16">
        <f t="shared" si="550"/>
        <v>-158572.91229546175</v>
      </c>
      <c r="AM831" s="15">
        <f t="shared" si="525"/>
        <v>22.170849845882874</v>
      </c>
      <c r="AN831" s="75">
        <f>AM831*(1-PARAM!$C$27)*$I$12+(MOD($B831,60)=PARAM!$B$56)*($B831&gt;(60-PARAM!$B$56))*HLOOKUP(($B831+PARAM!$B$56)/12,Loyalty,2)*$F$1*MAX(AP830,0)</f>
        <v>18.557001321003963</v>
      </c>
      <c r="AO831" s="75">
        <f>PARAM!$C$26+MAX($G$12-CHOOSE(PARAM!$B$44,MAX(0,AP830*$F$1),0),0)*RATES!$L807/12+$H$12*(PARAM!$D$51/12)*RATES!$N807/100</f>
        <v>1118.1666666666667</v>
      </c>
      <c r="AP831" s="16">
        <f t="shared" si="551"/>
        <v>-158572.91229546175</v>
      </c>
      <c r="AQ831" s="15">
        <f t="shared" si="526"/>
        <v>22.170849845882874</v>
      </c>
      <c r="AR831" s="75">
        <f>AQ831*(1-PARAM!$C$27)*$I$13+(MOD($B831,60)=PARAM!$B$56)*($B831&gt;(60-PARAM!$B$56))*HLOOKUP(($B831+PARAM!$B$56)/12,Loyalty,2)*$F$1*MAX(AT830,0)</f>
        <v>18.557001321003963</v>
      </c>
      <c r="AS831" s="75">
        <f>PARAM!$C$26+MAX($G$13-CHOOSE(PARAM!$B$44,MAX(0,AT830*$F$1),0),0)*RATES!$L807/12+$H$13*(PARAM!$D$51/12)*RATES!$N807/100</f>
        <v>1118.1666666666667</v>
      </c>
      <c r="AT831" s="16">
        <f t="shared" si="552"/>
        <v>-158572.91229546175</v>
      </c>
      <c r="AU831" s="15">
        <f t="shared" si="527"/>
        <v>22.170849845882874</v>
      </c>
      <c r="AV831" s="75">
        <f>AU831*(1-PARAM!$C$27)*$I$14+(MOD($B831,60)=PARAM!$B$56)*($B831&gt;(60-PARAM!$B$56))*HLOOKUP(($B831+PARAM!$B$56)/12,Loyalty,2)*$F$1*MAX(AX830,0)</f>
        <v>18.557001321003963</v>
      </c>
      <c r="AW831" s="75">
        <f>PARAM!$C$26+MAX($G$14-CHOOSE(PARAM!$B$44,MAX(0,AX830*$F$1),0),0)*RATES!$L807/12+$H$14*(PARAM!$D$51/12)*RATES!$N807/100</f>
        <v>1118.1666666666667</v>
      </c>
      <c r="AX831" s="16">
        <f t="shared" si="553"/>
        <v>-158572.91229546175</v>
      </c>
      <c r="AY831" s="15">
        <f t="shared" si="528"/>
        <v>22.170849845882874</v>
      </c>
      <c r="AZ831" s="75">
        <f>AY831*(1-PARAM!$C$27)*$I$15+(MOD($B831,60)=PARAM!$B$56)*($B831&gt;(60-PARAM!$B$56))*HLOOKUP(($B831+PARAM!$B$56)/12,Loyalty,2)*$F$1*MAX(BB830,0)</f>
        <v>18.557001321003963</v>
      </c>
      <c r="BA831" s="75">
        <f>PARAM!$C$26+MAX($G$15-CHOOSE(PARAM!$B$44,MAX(0,BB830*$F$1),0),0)*RATES!$L807/12+$H$15*(PARAM!$D$51/12)*RATES!$N807/100</f>
        <v>1118.1666666666667</v>
      </c>
      <c r="BB831" s="16">
        <f t="shared" si="554"/>
        <v>-158572.91229546175</v>
      </c>
      <c r="BC831" s="15">
        <f t="shared" si="529"/>
        <v>22.170849845882874</v>
      </c>
      <c r="BD831" s="75">
        <f>BC831*(1-PARAM!$C$27)*$I$16+(MOD($B831,60)=PARAM!$B$56)*($B831&gt;(60-PARAM!$B$56))*HLOOKUP(($B831+PARAM!$B$56)/12,Loyalty,2)*$F$1*MAX(BF830,0)</f>
        <v>18.557001321003963</v>
      </c>
      <c r="BE831" s="75">
        <f>PARAM!$C$26+MAX($G$16-CHOOSE(PARAM!$B$44,MAX(0,BF830*$F$1),0),0)*RATES!$L807/12+$H$16*(PARAM!$D$51/12)*RATES!$N807/100</f>
        <v>1118.1666666666667</v>
      </c>
      <c r="BF831" s="16">
        <f t="shared" si="555"/>
        <v>-158572.91229546175</v>
      </c>
      <c r="BG831" s="15">
        <f t="shared" si="530"/>
        <v>22.170849845882874</v>
      </c>
      <c r="BH831" s="75">
        <f>BG831*(1-PARAM!$C$27)*$I$17+(MOD($B831,60)=PARAM!$B$56)*($B831&gt;(60-PARAM!$B$56))*HLOOKUP(($B831+PARAM!$B$56)/12,Loyalty,2)*$F$1*MAX(BJ830,0)</f>
        <v>18.557001321003963</v>
      </c>
      <c r="BI831" s="75">
        <f>PARAM!$C$26+MAX($G$17-CHOOSE(PARAM!$B$44,MAX(0,BJ830*$F$1),0),0)*RATES!$L807/12+$H$17*(PARAM!$D$51/12)*RATES!$N807/100</f>
        <v>1118.1666666666667</v>
      </c>
      <c r="BJ831" s="16">
        <f t="shared" si="556"/>
        <v>-158572.91229546175</v>
      </c>
      <c r="BK831" s="15">
        <f t="shared" si="531"/>
        <v>22.170849845882874</v>
      </c>
      <c r="BL831" s="75">
        <f>BK831*(1-PARAM!$C$27)*$I$18+(MOD($B831,60)=PARAM!$B$56)*($B831&gt;(60-PARAM!$B$56))*HLOOKUP(($B831+PARAM!$B$56)/12,Loyalty,2)*$F$1*MAX(BN830,0)</f>
        <v>18.557001321003963</v>
      </c>
      <c r="BM831" s="75">
        <f>PARAM!$C$26+MAX($G$18-CHOOSE(PARAM!$B$44,MAX(0,BN830*$F$1),0),0)*RATES!$L807/12+$H$18*(PARAM!$D$51/12)*RATES!$N807/100</f>
        <v>1118.1666666666667</v>
      </c>
      <c r="BN831" s="16">
        <f t="shared" si="557"/>
        <v>-158572.91229546175</v>
      </c>
      <c r="BO831" s="15">
        <f t="shared" si="532"/>
        <v>22.170849845882874</v>
      </c>
      <c r="BP831" s="75">
        <f>BO831*(1-PARAM!$C$27)*$I$19+(MOD($B831,60)=PARAM!$B$56)*($B831&gt;(60-PARAM!$B$56))*HLOOKUP(($B831+PARAM!$B$56)/12,Loyalty,2)*$F$1*MAX(BR830,0)</f>
        <v>18.557001321003963</v>
      </c>
      <c r="BQ831" s="75">
        <f>PARAM!$C$26+MAX($G$19-CHOOSE(PARAM!$B$44,MAX(0,BR830*$F$1),0),0)*RATES!$L807/12+$H$19*(PARAM!$D$51/12)*RATES!$N807/100</f>
        <v>1118.1666666666667</v>
      </c>
      <c r="BR831" s="16">
        <f t="shared" si="558"/>
        <v>-158572.91229546175</v>
      </c>
      <c r="BS831" s="15">
        <f t="shared" si="533"/>
        <v>22.170849845882874</v>
      </c>
      <c r="BT831" s="75">
        <f>BS831*(1-PARAM!$C$27)*$I$20+(MOD($B831,60)=PARAM!$B$56)*($B831&gt;(60-PARAM!$B$56))*HLOOKUP(($B831+PARAM!$B$56)/12,Loyalty,2)*$F$1*MAX(BV830,0)</f>
        <v>18.557001321003963</v>
      </c>
      <c r="BU831" s="75">
        <f>PARAM!$C$26+MAX($G$20-CHOOSE(PARAM!$B$44,MAX(0,BV830*$F$1),0),0)*RATES!$L807/12+$H$20*(PARAM!$D$51/12)*RATES!$N807/100</f>
        <v>1118.1666666666667</v>
      </c>
      <c r="BV831" s="16">
        <f t="shared" si="559"/>
        <v>-158572.91229546175</v>
      </c>
      <c r="BW831" s="15">
        <f t="shared" si="534"/>
        <v>22.170849845882874</v>
      </c>
      <c r="BX831" s="75">
        <f>BW831*(1-PARAM!$C$27)*$I$21+(MOD($B831,60)=PARAM!$B$56)*($B831&gt;(60-PARAM!$B$56))*HLOOKUP(($B831+PARAM!$B$56)/12,Loyalty,2)*$F$1*MAX(BZ830,0)</f>
        <v>18.557001321003963</v>
      </c>
      <c r="BY831" s="75">
        <f>PARAM!$C$26+MAX($G$21-CHOOSE(PARAM!$B$44,MAX(0,BZ830*$F$1),0),0)*RATES!$L807/12+$H$21*(PARAM!$D$51/12)*RATES!$N807/100</f>
        <v>1118.1666666666667</v>
      </c>
      <c r="BZ831" s="16">
        <f t="shared" si="560"/>
        <v>-158572.91229546175</v>
      </c>
      <c r="CA831" s="15">
        <f t="shared" si="535"/>
        <v>22.170849845882874</v>
      </c>
      <c r="CB831" s="75">
        <f>CA831*(1-PARAM!$C$27)*$I$22+(MOD($B831,60)=PARAM!$B$56)*($B831&gt;(60-PARAM!$B$56))*HLOOKUP(($B831+PARAM!$B$56)/12,Loyalty,2)*$F$1*MAX(CD830,0)</f>
        <v>18.557001321003963</v>
      </c>
      <c r="CC831" s="75">
        <f>PARAM!$C$26+MAX($G$22-CHOOSE(PARAM!$B$44,MAX(0,CD830*$F$1),0),0)*RATES!$L807/12+$H$22*(PARAM!$D$51/12)*RATES!$N807/100</f>
        <v>1118.1666666666667</v>
      </c>
      <c r="CD831" s="16">
        <f t="shared" si="561"/>
        <v>-158572.91229546175</v>
      </c>
      <c r="CE831" s="33">
        <f>IF(0=MOD(B831,12/PARAM!$D$51),1,0)</f>
        <v>1</v>
      </c>
      <c r="CF831" s="15">
        <f t="shared" si="536"/>
        <v>0</v>
      </c>
      <c r="CG831" s="75">
        <f>CF831*(1-PARAM!$C$27)*$R$3+(MOD($B831/12,5)=0)*($B831&gt;60)*HLOOKUP($B831/12,Loyalty,2)*$F$1*MAX(CI830,0)</f>
        <v>0</v>
      </c>
      <c r="CH831" s="75">
        <f>PARAM!$C$26+MAX($P$3-CHOOSE(PARAM!$B$44,MAX(0,CI830*$F$1),0),0)*RATES!$L807/12+$Q$3*(PARAM!$D$51/12)*RATES!$N807/100</f>
        <v>1118.1666666666667</v>
      </c>
      <c r="CI831" s="16">
        <f>IF(CI830&gt;0,CI830*PARAM!$C$53,CI830)+CG831-CH831</f>
        <v>-173373.16666666701</v>
      </c>
      <c r="CJ831" s="15">
        <f t="shared" si="562"/>
        <v>0</v>
      </c>
      <c r="CK831" s="75">
        <f>CJ831*(1-PARAM!$C$27)*$R$4+(MOD($B831/12,5)=0)*($B831&gt;60)*HLOOKUP($B831/12,Loyalty,2)*$F$1*MAX(CM830,0)</f>
        <v>0</v>
      </c>
      <c r="CL831" s="75">
        <f>PARAM!$C$26+MAX($P$4-CHOOSE(PARAM!$B$44,MAX(0,CM830*$F$1),0),0)*RATES!$L807/12+$Q$4*(PARAM!$D$51/12)*RATES!$N807/100</f>
        <v>1118.1666666666667</v>
      </c>
      <c r="CM831" s="16">
        <f>IF(CM830&gt;0,CM830*PARAM!$C$53,CM830)+CK831-CL831</f>
        <v>-173373.16666666701</v>
      </c>
      <c r="CO831" s="176"/>
    </row>
    <row r="832" spans="1:93" x14ac:dyDescent="0.2">
      <c r="A832" t="b">
        <f t="shared" si="537"/>
        <v>0</v>
      </c>
      <c r="B832" s="33">
        <v>805</v>
      </c>
      <c r="C832" s="15">
        <f t="shared" si="538"/>
        <v>20.081305947392778</v>
      </c>
      <c r="D832" s="75">
        <f>C832*(1-PARAM!$C$27)*$I$3+(MOD($B832,60)=PARAM!$B$56)*($B832&gt;(60-PARAM!$B$56))*HLOOKUP(($B832+PARAM!$B$56)/12,Loyalty,2)*$F$1*MAX(F831,0)</f>
        <v>16.808053077967756</v>
      </c>
      <c r="E832" s="75">
        <f>PARAM!$C$26+MAX($G$3-CHOOSE(PARAM!$B$44,MAX(0,F831*$F$1),0),0)*RATES!$L808/12+$H$3*(PARAM!$D$51/12)*RATES!$N808/100</f>
        <v>1118.1666666666667</v>
      </c>
      <c r="F832" s="16">
        <f t="shared" si="539"/>
        <v>-161117.27579697332</v>
      </c>
      <c r="G832" s="15">
        <f t="shared" si="540"/>
        <v>22.035289406060361</v>
      </c>
      <c r="H832" s="75">
        <f>G832*(1-PARAM!$C$27)*$I$4+(MOD($B832,60)=PARAM!$B$56)*($B832&gt;(60-PARAM!$B$56))*HLOOKUP(($B832+PARAM!$B$56)/12,Loyalty,2)*$F$1*MAX(J831,0)</f>
        <v>18.443537232872522</v>
      </c>
      <c r="I832" s="75">
        <f>PARAM!$C$26+MAX($G$4-CHOOSE(PARAM!$B$44,MAX(0,J831*$F$1),0),0)*RATES!$L808/12+$H$4*(PARAM!$D$51/12)*RATES!$N808/100</f>
        <v>1118.1666666666667</v>
      </c>
      <c r="J832" s="16">
        <f t="shared" si="541"/>
        <v>-159766.87808815288</v>
      </c>
      <c r="K832" s="15">
        <f t="shared" si="542"/>
        <v>22.170849845882874</v>
      </c>
      <c r="L832" s="75">
        <f>K832*(1-PARAM!$C$27)*$I$5+(MOD($B832,60)=PARAM!$B$56)*($B832&gt;(60-PARAM!$B$56))*HLOOKUP(($B832+PARAM!$B$56)/12,Loyalty,2)*$F$1*MAX(N831,0)</f>
        <v>18.557001321003963</v>
      </c>
      <c r="M832" s="75">
        <f>PARAM!$C$26+MAX($G$5-CHOOSE(PARAM!$B$44,MAX(0,N831*$F$1),0),0)*RATES!$L808/12+$H$5*(PARAM!$D$51/12)*RATES!$N808/100</f>
        <v>1118.1666666666667</v>
      </c>
      <c r="N832" s="16">
        <f t="shared" si="543"/>
        <v>-159672.52196080741</v>
      </c>
      <c r="O832" s="15">
        <f t="shared" si="544"/>
        <v>22.170849845882874</v>
      </c>
      <c r="P832" s="75">
        <f>O832*(1-PARAM!$C$27)*$I$6+(MOD($B832,60)=PARAM!$B$56)*($B832&gt;(60-PARAM!$B$56))*HLOOKUP(($B832+PARAM!$B$56)/12,Loyalty,2)*$F$1*MAX(R831,0)</f>
        <v>18.557001321003963</v>
      </c>
      <c r="Q832" s="75">
        <f>PARAM!$C$26+MAX($G$6-CHOOSE(PARAM!$B$44,MAX(0,R831*$F$1),0),0)*RATES!$L808/12+$H$6*(PARAM!$D$51/12)*RATES!$N808/100</f>
        <v>1118.1666666666667</v>
      </c>
      <c r="R832" s="16">
        <f t="shared" si="545"/>
        <v>-159672.52196080741</v>
      </c>
      <c r="S832" s="15">
        <f t="shared" si="520"/>
        <v>22.170849845882874</v>
      </c>
      <c r="T832" s="75">
        <f>S832*(1-PARAM!$C$27)*$I$7+(MOD($B832,60)=PARAM!$B$56)*($B832&gt;(60-PARAM!$B$56))*HLOOKUP(($B832+PARAM!$B$56)/12,Loyalty,2)*$F$1*MAX(V831,0)</f>
        <v>18.557001321003963</v>
      </c>
      <c r="U832" s="75">
        <f>PARAM!$C$26+MAX($G$7-CHOOSE(PARAM!$B$44,MAX(0,V831*$F$1),0),0)*RATES!$L808/12+$H$7*(PARAM!$D$51/12)*RATES!$N808/100</f>
        <v>1118.1666666666667</v>
      </c>
      <c r="V832" s="16">
        <f t="shared" si="546"/>
        <v>-159672.52196080741</v>
      </c>
      <c r="W832" s="15">
        <f t="shared" si="521"/>
        <v>22.170849845882874</v>
      </c>
      <c r="X832" s="75">
        <f>W832*(1-PARAM!$C$27)*$I$8+(MOD($B832,60)=PARAM!$B$56)*($B832&gt;(60-PARAM!$B$56))*HLOOKUP(($B832+PARAM!$B$56)/12,Loyalty,2)*$F$1*MAX(Z831,0)</f>
        <v>18.557001321003963</v>
      </c>
      <c r="Y832" s="75">
        <f>PARAM!$C$26+MAX($G$8-CHOOSE(PARAM!$B$44,MAX(0,Z831*$F$1),0),0)*RATES!$L808/12+$H$8*(PARAM!$D$51/12)*RATES!$N808/100</f>
        <v>1118.1666666666667</v>
      </c>
      <c r="Z832" s="16">
        <f t="shared" si="547"/>
        <v>-159672.52196080741</v>
      </c>
      <c r="AA832" s="15">
        <f t="shared" si="522"/>
        <v>22.170849845882874</v>
      </c>
      <c r="AB832" s="75">
        <f>AA832*(1-PARAM!$C$27)*$I$9+(MOD($B832,60)=PARAM!$B$56)*($B832&gt;(60-PARAM!$B$56))*HLOOKUP(($B832+PARAM!$B$56)/12,Loyalty,2)*$F$1*MAX(AD831,0)</f>
        <v>18.557001321003963</v>
      </c>
      <c r="AC832" s="75">
        <f>PARAM!$C$26+MAX($G$9-CHOOSE(PARAM!$B$44,MAX(0,AD831*$F$1),0),0)*RATES!$L808/12+$H$9*(PARAM!$D$51/12)*RATES!$N808/100</f>
        <v>1118.1666666666667</v>
      </c>
      <c r="AD832" s="16">
        <f t="shared" si="548"/>
        <v>-159672.52196080741</v>
      </c>
      <c r="AE832" s="15">
        <f t="shared" si="523"/>
        <v>22.170849845882874</v>
      </c>
      <c r="AF832" s="75">
        <f>AE832*(1-PARAM!$C$27)*$I$10+(MOD($B832,60)=PARAM!$B$56)*($B832&gt;(60-PARAM!$B$56))*HLOOKUP(($B832+PARAM!$B$56)/12,Loyalty,2)*$F$1*MAX(AH831,0)</f>
        <v>18.557001321003963</v>
      </c>
      <c r="AG832" s="75">
        <f>PARAM!$C$26+MAX($G$10-CHOOSE(PARAM!$B$44,MAX(0,AH831*$F$1),0),0)*RATES!$L808/12+$H$10*(PARAM!$D$51/12)*RATES!$N808/100</f>
        <v>1118.1666666666667</v>
      </c>
      <c r="AH832" s="16">
        <f t="shared" si="549"/>
        <v>-159672.52196080741</v>
      </c>
      <c r="AI832" s="15">
        <f t="shared" si="524"/>
        <v>22.170849845882874</v>
      </c>
      <c r="AJ832" s="75">
        <f>AI832*(1-PARAM!$C$27)*$I$11+(MOD($B832,60)=PARAM!$B$56)*($B832&gt;(60-PARAM!$B$56))*HLOOKUP(($B832+PARAM!$B$56)/12,Loyalty,2)*$F$1*MAX(AL831,0)</f>
        <v>18.557001321003963</v>
      </c>
      <c r="AK832" s="75">
        <f>PARAM!$C$26+MAX($G$11-CHOOSE(PARAM!$B$44,MAX(0,AL831*$F$1),0),0)*RATES!$L808/12+$H$11*(PARAM!$D$51/12)*RATES!$N808/100</f>
        <v>1118.1666666666667</v>
      </c>
      <c r="AL832" s="16">
        <f t="shared" si="550"/>
        <v>-159672.52196080741</v>
      </c>
      <c r="AM832" s="15">
        <f t="shared" si="525"/>
        <v>22.170849845882874</v>
      </c>
      <c r="AN832" s="75">
        <f>AM832*(1-PARAM!$C$27)*$I$12+(MOD($B832,60)=PARAM!$B$56)*($B832&gt;(60-PARAM!$B$56))*HLOOKUP(($B832+PARAM!$B$56)/12,Loyalty,2)*$F$1*MAX(AP831,0)</f>
        <v>18.557001321003963</v>
      </c>
      <c r="AO832" s="75">
        <f>PARAM!$C$26+MAX($G$12-CHOOSE(PARAM!$B$44,MAX(0,AP831*$F$1),0),0)*RATES!$L808/12+$H$12*(PARAM!$D$51/12)*RATES!$N808/100</f>
        <v>1118.1666666666667</v>
      </c>
      <c r="AP832" s="16">
        <f t="shared" si="551"/>
        <v>-159672.52196080741</v>
      </c>
      <c r="AQ832" s="15">
        <f t="shared" si="526"/>
        <v>22.170849845882874</v>
      </c>
      <c r="AR832" s="75">
        <f>AQ832*(1-PARAM!$C$27)*$I$13+(MOD($B832,60)=PARAM!$B$56)*($B832&gt;(60-PARAM!$B$56))*HLOOKUP(($B832+PARAM!$B$56)/12,Loyalty,2)*$F$1*MAX(AT831,0)</f>
        <v>18.557001321003963</v>
      </c>
      <c r="AS832" s="75">
        <f>PARAM!$C$26+MAX($G$13-CHOOSE(PARAM!$B$44,MAX(0,AT831*$F$1),0),0)*RATES!$L808/12+$H$13*(PARAM!$D$51/12)*RATES!$N808/100</f>
        <v>1118.1666666666667</v>
      </c>
      <c r="AT832" s="16">
        <f t="shared" si="552"/>
        <v>-159672.52196080741</v>
      </c>
      <c r="AU832" s="15">
        <f t="shared" si="527"/>
        <v>22.170849845882874</v>
      </c>
      <c r="AV832" s="75">
        <f>AU832*(1-PARAM!$C$27)*$I$14+(MOD($B832,60)=PARAM!$B$56)*($B832&gt;(60-PARAM!$B$56))*HLOOKUP(($B832+PARAM!$B$56)/12,Loyalty,2)*$F$1*MAX(AX831,0)</f>
        <v>18.557001321003963</v>
      </c>
      <c r="AW832" s="75">
        <f>PARAM!$C$26+MAX($G$14-CHOOSE(PARAM!$B$44,MAX(0,AX831*$F$1),0),0)*RATES!$L808/12+$H$14*(PARAM!$D$51/12)*RATES!$N808/100</f>
        <v>1118.1666666666667</v>
      </c>
      <c r="AX832" s="16">
        <f t="shared" si="553"/>
        <v>-159672.52196080741</v>
      </c>
      <c r="AY832" s="15">
        <f t="shared" si="528"/>
        <v>22.170849845882874</v>
      </c>
      <c r="AZ832" s="75">
        <f>AY832*(1-PARAM!$C$27)*$I$15+(MOD($B832,60)=PARAM!$B$56)*($B832&gt;(60-PARAM!$B$56))*HLOOKUP(($B832+PARAM!$B$56)/12,Loyalty,2)*$F$1*MAX(BB831,0)</f>
        <v>18.557001321003963</v>
      </c>
      <c r="BA832" s="75">
        <f>PARAM!$C$26+MAX($G$15-CHOOSE(PARAM!$B$44,MAX(0,BB831*$F$1),0),0)*RATES!$L808/12+$H$15*(PARAM!$D$51/12)*RATES!$N808/100</f>
        <v>1118.1666666666667</v>
      </c>
      <c r="BB832" s="16">
        <f t="shared" si="554"/>
        <v>-159672.52196080741</v>
      </c>
      <c r="BC832" s="15">
        <f t="shared" si="529"/>
        <v>22.170849845882874</v>
      </c>
      <c r="BD832" s="75">
        <f>BC832*(1-PARAM!$C$27)*$I$16+(MOD($B832,60)=PARAM!$B$56)*($B832&gt;(60-PARAM!$B$56))*HLOOKUP(($B832+PARAM!$B$56)/12,Loyalty,2)*$F$1*MAX(BF831,0)</f>
        <v>18.557001321003963</v>
      </c>
      <c r="BE832" s="75">
        <f>PARAM!$C$26+MAX($G$16-CHOOSE(PARAM!$B$44,MAX(0,BF831*$F$1),0),0)*RATES!$L808/12+$H$16*(PARAM!$D$51/12)*RATES!$N808/100</f>
        <v>1118.1666666666667</v>
      </c>
      <c r="BF832" s="16">
        <f t="shared" si="555"/>
        <v>-159672.52196080741</v>
      </c>
      <c r="BG832" s="15">
        <f t="shared" si="530"/>
        <v>22.170849845882874</v>
      </c>
      <c r="BH832" s="75">
        <f>BG832*(1-PARAM!$C$27)*$I$17+(MOD($B832,60)=PARAM!$B$56)*($B832&gt;(60-PARAM!$B$56))*HLOOKUP(($B832+PARAM!$B$56)/12,Loyalty,2)*$F$1*MAX(BJ831,0)</f>
        <v>18.557001321003963</v>
      </c>
      <c r="BI832" s="75">
        <f>PARAM!$C$26+MAX($G$17-CHOOSE(PARAM!$B$44,MAX(0,BJ831*$F$1),0),0)*RATES!$L808/12+$H$17*(PARAM!$D$51/12)*RATES!$N808/100</f>
        <v>1118.1666666666667</v>
      </c>
      <c r="BJ832" s="16">
        <f t="shared" si="556"/>
        <v>-159672.52196080741</v>
      </c>
      <c r="BK832" s="15">
        <f t="shared" si="531"/>
        <v>22.170849845882874</v>
      </c>
      <c r="BL832" s="75">
        <f>BK832*(1-PARAM!$C$27)*$I$18+(MOD($B832,60)=PARAM!$B$56)*($B832&gt;(60-PARAM!$B$56))*HLOOKUP(($B832+PARAM!$B$56)/12,Loyalty,2)*$F$1*MAX(BN831,0)</f>
        <v>18.557001321003963</v>
      </c>
      <c r="BM832" s="75">
        <f>PARAM!$C$26+MAX($G$18-CHOOSE(PARAM!$B$44,MAX(0,BN831*$F$1),0),0)*RATES!$L808/12+$H$18*(PARAM!$D$51/12)*RATES!$N808/100</f>
        <v>1118.1666666666667</v>
      </c>
      <c r="BN832" s="16">
        <f t="shared" si="557"/>
        <v>-159672.52196080741</v>
      </c>
      <c r="BO832" s="15">
        <f t="shared" si="532"/>
        <v>22.170849845882874</v>
      </c>
      <c r="BP832" s="75">
        <f>BO832*(1-PARAM!$C$27)*$I$19+(MOD($B832,60)=PARAM!$B$56)*($B832&gt;(60-PARAM!$B$56))*HLOOKUP(($B832+PARAM!$B$56)/12,Loyalty,2)*$F$1*MAX(BR831,0)</f>
        <v>18.557001321003963</v>
      </c>
      <c r="BQ832" s="75">
        <f>PARAM!$C$26+MAX($G$19-CHOOSE(PARAM!$B$44,MAX(0,BR831*$F$1),0),0)*RATES!$L808/12+$H$19*(PARAM!$D$51/12)*RATES!$N808/100</f>
        <v>1118.1666666666667</v>
      </c>
      <c r="BR832" s="16">
        <f t="shared" si="558"/>
        <v>-159672.52196080741</v>
      </c>
      <c r="BS832" s="15">
        <f t="shared" si="533"/>
        <v>22.170849845882874</v>
      </c>
      <c r="BT832" s="75">
        <f>BS832*(1-PARAM!$C$27)*$I$20+(MOD($B832,60)=PARAM!$B$56)*($B832&gt;(60-PARAM!$B$56))*HLOOKUP(($B832+PARAM!$B$56)/12,Loyalty,2)*$F$1*MAX(BV831,0)</f>
        <v>18.557001321003963</v>
      </c>
      <c r="BU832" s="75">
        <f>PARAM!$C$26+MAX($G$20-CHOOSE(PARAM!$B$44,MAX(0,BV831*$F$1),0),0)*RATES!$L808/12+$H$20*(PARAM!$D$51/12)*RATES!$N808/100</f>
        <v>1118.1666666666667</v>
      </c>
      <c r="BV832" s="16">
        <f t="shared" si="559"/>
        <v>-159672.52196080741</v>
      </c>
      <c r="BW832" s="15">
        <f t="shared" si="534"/>
        <v>22.170849845882874</v>
      </c>
      <c r="BX832" s="75">
        <f>BW832*(1-PARAM!$C$27)*$I$21+(MOD($B832,60)=PARAM!$B$56)*($B832&gt;(60-PARAM!$B$56))*HLOOKUP(($B832+PARAM!$B$56)/12,Loyalty,2)*$F$1*MAX(BZ831,0)</f>
        <v>18.557001321003963</v>
      </c>
      <c r="BY832" s="75">
        <f>PARAM!$C$26+MAX($G$21-CHOOSE(PARAM!$B$44,MAX(0,BZ831*$F$1),0),0)*RATES!$L808/12+$H$21*(PARAM!$D$51/12)*RATES!$N808/100</f>
        <v>1118.1666666666667</v>
      </c>
      <c r="BZ832" s="16">
        <f t="shared" si="560"/>
        <v>-159672.52196080741</v>
      </c>
      <c r="CA832" s="15">
        <f t="shared" si="535"/>
        <v>22.170849845882874</v>
      </c>
      <c r="CB832" s="75">
        <f>CA832*(1-PARAM!$C$27)*$I$22+(MOD($B832,60)=PARAM!$B$56)*($B832&gt;(60-PARAM!$B$56))*HLOOKUP(($B832+PARAM!$B$56)/12,Loyalty,2)*$F$1*MAX(CD831,0)</f>
        <v>18.557001321003963</v>
      </c>
      <c r="CC832" s="75">
        <f>PARAM!$C$26+MAX($G$22-CHOOSE(PARAM!$B$44,MAX(0,CD831*$F$1),0),0)*RATES!$L808/12+$H$22*(PARAM!$D$51/12)*RATES!$N808/100</f>
        <v>1118.1666666666667</v>
      </c>
      <c r="CD832" s="16">
        <f t="shared" si="561"/>
        <v>-159672.52196080741</v>
      </c>
      <c r="CE832" s="33">
        <f>IF(0=MOD(B832,12/PARAM!$D$51),1,0)</f>
        <v>1</v>
      </c>
      <c r="CF832" s="15">
        <f t="shared" si="536"/>
        <v>0</v>
      </c>
      <c r="CG832" s="75">
        <f>CF832*(1-PARAM!$C$27)*$R$3+(MOD($B832/12,5)=0)*($B832&gt;60)*HLOOKUP($B832/12,Loyalty,2)*$F$1*MAX(CI831,0)</f>
        <v>0</v>
      </c>
      <c r="CH832" s="75">
        <f>PARAM!$C$26+MAX($P$3-CHOOSE(PARAM!$B$44,MAX(0,CI831*$F$1),0),0)*RATES!$L808/12+$Q$3*(PARAM!$D$51/12)*RATES!$N808/100</f>
        <v>1118.1666666666667</v>
      </c>
      <c r="CI832" s="16">
        <f>IF(CI831&gt;0,CI831*PARAM!$C$53,CI831)+CG832-CH832</f>
        <v>-174491.33333333366</v>
      </c>
      <c r="CJ832" s="15">
        <f t="shared" si="562"/>
        <v>0</v>
      </c>
      <c r="CK832" s="75">
        <f>CJ832*(1-PARAM!$C$27)*$R$4+(MOD($B832/12,5)=0)*($B832&gt;60)*HLOOKUP($B832/12,Loyalty,2)*$F$1*MAX(CM831,0)</f>
        <v>0</v>
      </c>
      <c r="CL832" s="75">
        <f>PARAM!$C$26+MAX($P$4-CHOOSE(PARAM!$B$44,MAX(0,CM831*$F$1),0),0)*RATES!$L808/12+$Q$4*(PARAM!$D$51/12)*RATES!$N808/100</f>
        <v>1118.1666666666667</v>
      </c>
      <c r="CM832" s="16">
        <f>IF(CM831&gt;0,CM831*PARAM!$C$53,CM831)+CK832-CL832</f>
        <v>-174491.33333333366</v>
      </c>
      <c r="CO832" s="176"/>
    </row>
    <row r="833" spans="1:93" x14ac:dyDescent="0.2">
      <c r="A833" t="b">
        <f t="shared" si="537"/>
        <v>0</v>
      </c>
      <c r="B833" s="33">
        <v>806</v>
      </c>
      <c r="C833" s="15">
        <f t="shared" si="538"/>
        <v>20.081305947392778</v>
      </c>
      <c r="D833" s="75">
        <f>C833*(1-PARAM!$C$27)*$I$3+(MOD($B833,60)=PARAM!$B$56)*($B833&gt;(60-PARAM!$B$56))*HLOOKUP(($B833+PARAM!$B$56)/12,Loyalty,2)*$F$1*MAX(F832,0)</f>
        <v>16.808053077967756</v>
      </c>
      <c r="E833" s="75">
        <f>PARAM!$C$26+MAX($G$3-CHOOSE(PARAM!$B$44,MAX(0,F832*$F$1),0),0)*RATES!$L809/12+$H$3*(PARAM!$D$51/12)*RATES!$N809/100</f>
        <v>1118.1666666666667</v>
      </c>
      <c r="F833" s="16">
        <f t="shared" si="539"/>
        <v>-162218.63441056202</v>
      </c>
      <c r="G833" s="15">
        <f t="shared" si="540"/>
        <v>22.035289406060361</v>
      </c>
      <c r="H833" s="75">
        <f>G833*(1-PARAM!$C$27)*$I$4+(MOD($B833,60)=PARAM!$B$56)*($B833&gt;(60-PARAM!$B$56))*HLOOKUP(($B833+PARAM!$B$56)/12,Loyalty,2)*$F$1*MAX(J832,0)</f>
        <v>18.443537232872522</v>
      </c>
      <c r="I833" s="75">
        <f>PARAM!$C$26+MAX($G$4-CHOOSE(PARAM!$B$44,MAX(0,J832*$F$1),0),0)*RATES!$L809/12+$H$4*(PARAM!$D$51/12)*RATES!$N809/100</f>
        <v>1118.1666666666667</v>
      </c>
      <c r="J833" s="16">
        <f t="shared" si="541"/>
        <v>-160866.60121758666</v>
      </c>
      <c r="K833" s="15">
        <f t="shared" si="542"/>
        <v>22.170849845882874</v>
      </c>
      <c r="L833" s="75">
        <f>K833*(1-PARAM!$C$27)*$I$5+(MOD($B833,60)=PARAM!$B$56)*($B833&gt;(60-PARAM!$B$56))*HLOOKUP(($B833+PARAM!$B$56)/12,Loyalty,2)*$F$1*MAX(N832,0)</f>
        <v>18.557001321003963</v>
      </c>
      <c r="M833" s="75">
        <f>PARAM!$C$26+MAX($G$5-CHOOSE(PARAM!$B$44,MAX(0,N832*$F$1),0),0)*RATES!$L809/12+$H$5*(PARAM!$D$51/12)*RATES!$N809/100</f>
        <v>1118.1666666666667</v>
      </c>
      <c r="N833" s="16">
        <f t="shared" si="543"/>
        <v>-160772.13162615307</v>
      </c>
      <c r="O833" s="15">
        <f t="shared" si="544"/>
        <v>22.170849845882874</v>
      </c>
      <c r="P833" s="75">
        <f>O833*(1-PARAM!$C$27)*$I$6+(MOD($B833,60)=PARAM!$B$56)*($B833&gt;(60-PARAM!$B$56))*HLOOKUP(($B833+PARAM!$B$56)/12,Loyalty,2)*$F$1*MAX(R832,0)</f>
        <v>18.557001321003963</v>
      </c>
      <c r="Q833" s="75">
        <f>PARAM!$C$26+MAX($G$6-CHOOSE(PARAM!$B$44,MAX(0,R832*$F$1),0),0)*RATES!$L809/12+$H$6*(PARAM!$D$51/12)*RATES!$N809/100</f>
        <v>1118.1666666666667</v>
      </c>
      <c r="R833" s="16">
        <f t="shared" si="545"/>
        <v>-160772.13162615307</v>
      </c>
      <c r="S833" s="15">
        <f t="shared" si="520"/>
        <v>22.170849845882874</v>
      </c>
      <c r="T833" s="75">
        <f>S833*(1-PARAM!$C$27)*$I$7+(MOD($B833,60)=PARAM!$B$56)*($B833&gt;(60-PARAM!$B$56))*HLOOKUP(($B833+PARAM!$B$56)/12,Loyalty,2)*$F$1*MAX(V832,0)</f>
        <v>18.557001321003963</v>
      </c>
      <c r="U833" s="75">
        <f>PARAM!$C$26+MAX($G$7-CHOOSE(PARAM!$B$44,MAX(0,V832*$F$1),0),0)*RATES!$L809/12+$H$7*(PARAM!$D$51/12)*RATES!$N809/100</f>
        <v>1118.1666666666667</v>
      </c>
      <c r="V833" s="16">
        <f t="shared" si="546"/>
        <v>-160772.13162615307</v>
      </c>
      <c r="W833" s="15">
        <f t="shared" si="521"/>
        <v>22.170849845882874</v>
      </c>
      <c r="X833" s="75">
        <f>W833*(1-PARAM!$C$27)*$I$8+(MOD($B833,60)=PARAM!$B$56)*($B833&gt;(60-PARAM!$B$56))*HLOOKUP(($B833+PARAM!$B$56)/12,Loyalty,2)*$F$1*MAX(Z832,0)</f>
        <v>18.557001321003963</v>
      </c>
      <c r="Y833" s="75">
        <f>PARAM!$C$26+MAX($G$8-CHOOSE(PARAM!$B$44,MAX(0,Z832*$F$1),0),0)*RATES!$L809/12+$H$8*(PARAM!$D$51/12)*RATES!$N809/100</f>
        <v>1118.1666666666667</v>
      </c>
      <c r="Z833" s="16">
        <f t="shared" si="547"/>
        <v>-160772.13162615307</v>
      </c>
      <c r="AA833" s="15">
        <f t="shared" si="522"/>
        <v>22.170849845882874</v>
      </c>
      <c r="AB833" s="75">
        <f>AA833*(1-PARAM!$C$27)*$I$9+(MOD($B833,60)=PARAM!$B$56)*($B833&gt;(60-PARAM!$B$56))*HLOOKUP(($B833+PARAM!$B$56)/12,Loyalty,2)*$F$1*MAX(AD832,0)</f>
        <v>18.557001321003963</v>
      </c>
      <c r="AC833" s="75">
        <f>PARAM!$C$26+MAX($G$9-CHOOSE(PARAM!$B$44,MAX(0,AD832*$F$1),0),0)*RATES!$L809/12+$H$9*(PARAM!$D$51/12)*RATES!$N809/100</f>
        <v>1118.1666666666667</v>
      </c>
      <c r="AD833" s="16">
        <f t="shared" si="548"/>
        <v>-160772.13162615307</v>
      </c>
      <c r="AE833" s="15">
        <f t="shared" si="523"/>
        <v>22.170849845882874</v>
      </c>
      <c r="AF833" s="75">
        <f>AE833*(1-PARAM!$C$27)*$I$10+(MOD($B833,60)=PARAM!$B$56)*($B833&gt;(60-PARAM!$B$56))*HLOOKUP(($B833+PARAM!$B$56)/12,Loyalty,2)*$F$1*MAX(AH832,0)</f>
        <v>18.557001321003963</v>
      </c>
      <c r="AG833" s="75">
        <f>PARAM!$C$26+MAX($G$10-CHOOSE(PARAM!$B$44,MAX(0,AH832*$F$1),0),0)*RATES!$L809/12+$H$10*(PARAM!$D$51/12)*RATES!$N809/100</f>
        <v>1118.1666666666667</v>
      </c>
      <c r="AH833" s="16">
        <f t="shared" si="549"/>
        <v>-160772.13162615307</v>
      </c>
      <c r="AI833" s="15">
        <f t="shared" si="524"/>
        <v>22.170849845882874</v>
      </c>
      <c r="AJ833" s="75">
        <f>AI833*(1-PARAM!$C$27)*$I$11+(MOD($B833,60)=PARAM!$B$56)*($B833&gt;(60-PARAM!$B$56))*HLOOKUP(($B833+PARAM!$B$56)/12,Loyalty,2)*$F$1*MAX(AL832,0)</f>
        <v>18.557001321003963</v>
      </c>
      <c r="AK833" s="75">
        <f>PARAM!$C$26+MAX($G$11-CHOOSE(PARAM!$B$44,MAX(0,AL832*$F$1),0),0)*RATES!$L809/12+$H$11*(PARAM!$D$51/12)*RATES!$N809/100</f>
        <v>1118.1666666666667</v>
      </c>
      <c r="AL833" s="16">
        <f t="shared" si="550"/>
        <v>-160772.13162615307</v>
      </c>
      <c r="AM833" s="15">
        <f t="shared" si="525"/>
        <v>22.170849845882874</v>
      </c>
      <c r="AN833" s="75">
        <f>AM833*(1-PARAM!$C$27)*$I$12+(MOD($B833,60)=PARAM!$B$56)*($B833&gt;(60-PARAM!$B$56))*HLOOKUP(($B833+PARAM!$B$56)/12,Loyalty,2)*$F$1*MAX(AP832,0)</f>
        <v>18.557001321003963</v>
      </c>
      <c r="AO833" s="75">
        <f>PARAM!$C$26+MAX($G$12-CHOOSE(PARAM!$B$44,MAX(0,AP832*$F$1),0),0)*RATES!$L809/12+$H$12*(PARAM!$D$51/12)*RATES!$N809/100</f>
        <v>1118.1666666666667</v>
      </c>
      <c r="AP833" s="16">
        <f t="shared" si="551"/>
        <v>-160772.13162615307</v>
      </c>
      <c r="AQ833" s="15">
        <f t="shared" si="526"/>
        <v>22.170849845882874</v>
      </c>
      <c r="AR833" s="75">
        <f>AQ833*(1-PARAM!$C$27)*$I$13+(MOD($B833,60)=PARAM!$B$56)*($B833&gt;(60-PARAM!$B$56))*HLOOKUP(($B833+PARAM!$B$56)/12,Loyalty,2)*$F$1*MAX(AT832,0)</f>
        <v>18.557001321003963</v>
      </c>
      <c r="AS833" s="75">
        <f>PARAM!$C$26+MAX($G$13-CHOOSE(PARAM!$B$44,MAX(0,AT832*$F$1),0),0)*RATES!$L809/12+$H$13*(PARAM!$D$51/12)*RATES!$N809/100</f>
        <v>1118.1666666666667</v>
      </c>
      <c r="AT833" s="16">
        <f t="shared" si="552"/>
        <v>-160772.13162615307</v>
      </c>
      <c r="AU833" s="15">
        <f t="shared" si="527"/>
        <v>22.170849845882874</v>
      </c>
      <c r="AV833" s="75">
        <f>AU833*(1-PARAM!$C$27)*$I$14+(MOD($B833,60)=PARAM!$B$56)*($B833&gt;(60-PARAM!$B$56))*HLOOKUP(($B833+PARAM!$B$56)/12,Loyalty,2)*$F$1*MAX(AX832,0)</f>
        <v>18.557001321003963</v>
      </c>
      <c r="AW833" s="75">
        <f>PARAM!$C$26+MAX($G$14-CHOOSE(PARAM!$B$44,MAX(0,AX832*$F$1),0),0)*RATES!$L809/12+$H$14*(PARAM!$D$51/12)*RATES!$N809/100</f>
        <v>1118.1666666666667</v>
      </c>
      <c r="AX833" s="16">
        <f t="shared" si="553"/>
        <v>-160772.13162615307</v>
      </c>
      <c r="AY833" s="15">
        <f t="shared" si="528"/>
        <v>22.170849845882874</v>
      </c>
      <c r="AZ833" s="75">
        <f>AY833*(1-PARAM!$C$27)*$I$15+(MOD($B833,60)=PARAM!$B$56)*($B833&gt;(60-PARAM!$B$56))*HLOOKUP(($B833+PARAM!$B$56)/12,Loyalty,2)*$F$1*MAX(BB832,0)</f>
        <v>18.557001321003963</v>
      </c>
      <c r="BA833" s="75">
        <f>PARAM!$C$26+MAX($G$15-CHOOSE(PARAM!$B$44,MAX(0,BB832*$F$1),0),0)*RATES!$L809/12+$H$15*(PARAM!$D$51/12)*RATES!$N809/100</f>
        <v>1118.1666666666667</v>
      </c>
      <c r="BB833" s="16">
        <f t="shared" si="554"/>
        <v>-160772.13162615307</v>
      </c>
      <c r="BC833" s="15">
        <f t="shared" si="529"/>
        <v>22.170849845882874</v>
      </c>
      <c r="BD833" s="75">
        <f>BC833*(1-PARAM!$C$27)*$I$16+(MOD($B833,60)=PARAM!$B$56)*($B833&gt;(60-PARAM!$B$56))*HLOOKUP(($B833+PARAM!$B$56)/12,Loyalty,2)*$F$1*MAX(BF832,0)</f>
        <v>18.557001321003963</v>
      </c>
      <c r="BE833" s="75">
        <f>PARAM!$C$26+MAX($G$16-CHOOSE(PARAM!$B$44,MAX(0,BF832*$F$1),0),0)*RATES!$L809/12+$H$16*(PARAM!$D$51/12)*RATES!$N809/100</f>
        <v>1118.1666666666667</v>
      </c>
      <c r="BF833" s="16">
        <f t="shared" si="555"/>
        <v>-160772.13162615307</v>
      </c>
      <c r="BG833" s="15">
        <f t="shared" si="530"/>
        <v>22.170849845882874</v>
      </c>
      <c r="BH833" s="75">
        <f>BG833*(1-PARAM!$C$27)*$I$17+(MOD($B833,60)=PARAM!$B$56)*($B833&gt;(60-PARAM!$B$56))*HLOOKUP(($B833+PARAM!$B$56)/12,Loyalty,2)*$F$1*MAX(BJ832,0)</f>
        <v>18.557001321003963</v>
      </c>
      <c r="BI833" s="75">
        <f>PARAM!$C$26+MAX($G$17-CHOOSE(PARAM!$B$44,MAX(0,BJ832*$F$1),0),0)*RATES!$L809/12+$H$17*(PARAM!$D$51/12)*RATES!$N809/100</f>
        <v>1118.1666666666667</v>
      </c>
      <c r="BJ833" s="16">
        <f t="shared" si="556"/>
        <v>-160772.13162615307</v>
      </c>
      <c r="BK833" s="15">
        <f t="shared" si="531"/>
        <v>22.170849845882874</v>
      </c>
      <c r="BL833" s="75">
        <f>BK833*(1-PARAM!$C$27)*$I$18+(MOD($B833,60)=PARAM!$B$56)*($B833&gt;(60-PARAM!$B$56))*HLOOKUP(($B833+PARAM!$B$56)/12,Loyalty,2)*$F$1*MAX(BN832,0)</f>
        <v>18.557001321003963</v>
      </c>
      <c r="BM833" s="75">
        <f>PARAM!$C$26+MAX($G$18-CHOOSE(PARAM!$B$44,MAX(0,BN832*$F$1),0),0)*RATES!$L809/12+$H$18*(PARAM!$D$51/12)*RATES!$N809/100</f>
        <v>1118.1666666666667</v>
      </c>
      <c r="BN833" s="16">
        <f t="shared" si="557"/>
        <v>-160772.13162615307</v>
      </c>
      <c r="BO833" s="15">
        <f t="shared" si="532"/>
        <v>22.170849845882874</v>
      </c>
      <c r="BP833" s="75">
        <f>BO833*(1-PARAM!$C$27)*$I$19+(MOD($B833,60)=PARAM!$B$56)*($B833&gt;(60-PARAM!$B$56))*HLOOKUP(($B833+PARAM!$B$56)/12,Loyalty,2)*$F$1*MAX(BR832,0)</f>
        <v>18.557001321003963</v>
      </c>
      <c r="BQ833" s="75">
        <f>PARAM!$C$26+MAX($G$19-CHOOSE(PARAM!$B$44,MAX(0,BR832*$F$1),0),0)*RATES!$L809/12+$H$19*(PARAM!$D$51/12)*RATES!$N809/100</f>
        <v>1118.1666666666667</v>
      </c>
      <c r="BR833" s="16">
        <f t="shared" si="558"/>
        <v>-160772.13162615307</v>
      </c>
      <c r="BS833" s="15">
        <f t="shared" si="533"/>
        <v>22.170849845882874</v>
      </c>
      <c r="BT833" s="75">
        <f>BS833*(1-PARAM!$C$27)*$I$20+(MOD($B833,60)=PARAM!$B$56)*($B833&gt;(60-PARAM!$B$56))*HLOOKUP(($B833+PARAM!$B$56)/12,Loyalty,2)*$F$1*MAX(BV832,0)</f>
        <v>18.557001321003963</v>
      </c>
      <c r="BU833" s="75">
        <f>PARAM!$C$26+MAX($G$20-CHOOSE(PARAM!$B$44,MAX(0,BV832*$F$1),0),0)*RATES!$L809/12+$H$20*(PARAM!$D$51/12)*RATES!$N809/100</f>
        <v>1118.1666666666667</v>
      </c>
      <c r="BV833" s="16">
        <f t="shared" si="559"/>
        <v>-160772.13162615307</v>
      </c>
      <c r="BW833" s="15">
        <f t="shared" si="534"/>
        <v>22.170849845882874</v>
      </c>
      <c r="BX833" s="75">
        <f>BW833*(1-PARAM!$C$27)*$I$21+(MOD($B833,60)=PARAM!$B$56)*($B833&gt;(60-PARAM!$B$56))*HLOOKUP(($B833+PARAM!$B$56)/12,Loyalty,2)*$F$1*MAX(BZ832,0)</f>
        <v>18.557001321003963</v>
      </c>
      <c r="BY833" s="75">
        <f>PARAM!$C$26+MAX($G$21-CHOOSE(PARAM!$B$44,MAX(0,BZ832*$F$1),0),0)*RATES!$L809/12+$H$21*(PARAM!$D$51/12)*RATES!$N809/100</f>
        <v>1118.1666666666667</v>
      </c>
      <c r="BZ833" s="16">
        <f t="shared" si="560"/>
        <v>-160772.13162615307</v>
      </c>
      <c r="CA833" s="15">
        <f t="shared" si="535"/>
        <v>22.170849845882874</v>
      </c>
      <c r="CB833" s="75">
        <f>CA833*(1-PARAM!$C$27)*$I$22+(MOD($B833,60)=PARAM!$B$56)*($B833&gt;(60-PARAM!$B$56))*HLOOKUP(($B833+PARAM!$B$56)/12,Loyalty,2)*$F$1*MAX(CD832,0)</f>
        <v>18.557001321003963</v>
      </c>
      <c r="CC833" s="75">
        <f>PARAM!$C$26+MAX($G$22-CHOOSE(PARAM!$B$44,MAX(0,CD832*$F$1),0),0)*RATES!$L809/12+$H$22*(PARAM!$D$51/12)*RATES!$N809/100</f>
        <v>1118.1666666666667</v>
      </c>
      <c r="CD833" s="16">
        <f t="shared" si="561"/>
        <v>-160772.13162615307</v>
      </c>
      <c r="CE833" s="33">
        <f>IF(0=MOD(B833,12/PARAM!$D$51),1,0)</f>
        <v>1</v>
      </c>
      <c r="CF833" s="15">
        <f t="shared" si="536"/>
        <v>0</v>
      </c>
      <c r="CG833" s="75">
        <f>CF833*(1-PARAM!$C$27)*$R$3+(MOD($B833/12,5)=0)*($B833&gt;60)*HLOOKUP($B833/12,Loyalty,2)*$F$1*MAX(CI832,0)</f>
        <v>0</v>
      </c>
      <c r="CH833" s="75">
        <f>PARAM!$C$26+MAX($P$3-CHOOSE(PARAM!$B$44,MAX(0,CI832*$F$1),0),0)*RATES!$L809/12+$Q$3*(PARAM!$D$51/12)*RATES!$N809/100</f>
        <v>1118.1666666666667</v>
      </c>
      <c r="CI833" s="16">
        <f>IF(CI832&gt;0,CI832*PARAM!$C$53,CI832)+CG833-CH833</f>
        <v>-175609.50000000032</v>
      </c>
      <c r="CJ833" s="15">
        <f t="shared" si="562"/>
        <v>0</v>
      </c>
      <c r="CK833" s="75">
        <f>CJ833*(1-PARAM!$C$27)*$R$4+(MOD($B833/12,5)=0)*($B833&gt;60)*HLOOKUP($B833/12,Loyalty,2)*$F$1*MAX(CM832,0)</f>
        <v>0</v>
      </c>
      <c r="CL833" s="75">
        <f>PARAM!$C$26+MAX($P$4-CHOOSE(PARAM!$B$44,MAX(0,CM832*$F$1),0),0)*RATES!$L809/12+$Q$4*(PARAM!$D$51/12)*RATES!$N809/100</f>
        <v>1118.1666666666667</v>
      </c>
      <c r="CM833" s="16">
        <f>IF(CM832&gt;0,CM832*PARAM!$C$53,CM832)+CK833-CL833</f>
        <v>-175609.50000000032</v>
      </c>
      <c r="CO833" s="176"/>
    </row>
    <row r="834" spans="1:93" x14ac:dyDescent="0.2">
      <c r="A834" t="b">
        <f t="shared" si="537"/>
        <v>0</v>
      </c>
      <c r="B834" s="33">
        <v>807</v>
      </c>
      <c r="C834" s="15">
        <f t="shared" si="538"/>
        <v>20.081305947392778</v>
      </c>
      <c r="D834" s="75">
        <f>C834*(1-PARAM!$C$27)*$I$3+(MOD($B834,60)=PARAM!$B$56)*($B834&gt;(60-PARAM!$B$56))*HLOOKUP(($B834+PARAM!$B$56)/12,Loyalty,2)*$F$1*MAX(F833,0)</f>
        <v>16.808053077967756</v>
      </c>
      <c r="E834" s="75">
        <f>PARAM!$C$26+MAX($G$3-CHOOSE(PARAM!$B$44,MAX(0,F833*$F$1),0),0)*RATES!$L810/12+$H$3*(PARAM!$D$51/12)*RATES!$N810/100</f>
        <v>1118.1666666666667</v>
      </c>
      <c r="F834" s="16">
        <f t="shared" si="539"/>
        <v>-163319.99302415072</v>
      </c>
      <c r="G834" s="15">
        <f t="shared" si="540"/>
        <v>22.035289406060361</v>
      </c>
      <c r="H834" s="75">
        <f>G834*(1-PARAM!$C$27)*$I$4+(MOD($B834,60)=PARAM!$B$56)*($B834&gt;(60-PARAM!$B$56))*HLOOKUP(($B834+PARAM!$B$56)/12,Loyalty,2)*$F$1*MAX(J833,0)</f>
        <v>18.443537232872522</v>
      </c>
      <c r="I834" s="75">
        <f>PARAM!$C$26+MAX($G$4-CHOOSE(PARAM!$B$44,MAX(0,J833*$F$1),0),0)*RATES!$L810/12+$H$4*(PARAM!$D$51/12)*RATES!$N810/100</f>
        <v>1118.1666666666667</v>
      </c>
      <c r="J834" s="16">
        <f t="shared" si="541"/>
        <v>-161966.32434702045</v>
      </c>
      <c r="K834" s="15">
        <f t="shared" si="542"/>
        <v>22.170849845882874</v>
      </c>
      <c r="L834" s="75">
        <f>K834*(1-PARAM!$C$27)*$I$5+(MOD($B834,60)=PARAM!$B$56)*($B834&gt;(60-PARAM!$B$56))*HLOOKUP(($B834+PARAM!$B$56)/12,Loyalty,2)*$F$1*MAX(N833,0)</f>
        <v>18.557001321003963</v>
      </c>
      <c r="M834" s="75">
        <f>PARAM!$C$26+MAX($G$5-CHOOSE(PARAM!$B$44,MAX(0,N833*$F$1),0),0)*RATES!$L810/12+$H$5*(PARAM!$D$51/12)*RATES!$N810/100</f>
        <v>1118.1666666666667</v>
      </c>
      <c r="N834" s="16">
        <f t="shared" si="543"/>
        <v>-161871.74129149874</v>
      </c>
      <c r="O834" s="15">
        <f t="shared" si="544"/>
        <v>22.170849845882874</v>
      </c>
      <c r="P834" s="75">
        <f>O834*(1-PARAM!$C$27)*$I$6+(MOD($B834,60)=PARAM!$B$56)*($B834&gt;(60-PARAM!$B$56))*HLOOKUP(($B834+PARAM!$B$56)/12,Loyalty,2)*$F$1*MAX(R833,0)</f>
        <v>18.557001321003963</v>
      </c>
      <c r="Q834" s="75">
        <f>PARAM!$C$26+MAX($G$6-CHOOSE(PARAM!$B$44,MAX(0,R833*$F$1),0),0)*RATES!$L810/12+$H$6*(PARAM!$D$51/12)*RATES!$N810/100</f>
        <v>1118.1666666666667</v>
      </c>
      <c r="R834" s="16">
        <f t="shared" si="545"/>
        <v>-161871.74129149874</v>
      </c>
      <c r="S834" s="15">
        <f t="shared" si="520"/>
        <v>22.170849845882874</v>
      </c>
      <c r="T834" s="75">
        <f>S834*(1-PARAM!$C$27)*$I$7+(MOD($B834,60)=PARAM!$B$56)*($B834&gt;(60-PARAM!$B$56))*HLOOKUP(($B834+PARAM!$B$56)/12,Loyalty,2)*$F$1*MAX(V833,0)</f>
        <v>18.557001321003963</v>
      </c>
      <c r="U834" s="75">
        <f>PARAM!$C$26+MAX($G$7-CHOOSE(PARAM!$B$44,MAX(0,V833*$F$1),0),0)*RATES!$L810/12+$H$7*(PARAM!$D$51/12)*RATES!$N810/100</f>
        <v>1118.1666666666667</v>
      </c>
      <c r="V834" s="16">
        <f t="shared" si="546"/>
        <v>-161871.74129149874</v>
      </c>
      <c r="W834" s="15">
        <f t="shared" si="521"/>
        <v>22.170849845882874</v>
      </c>
      <c r="X834" s="75">
        <f>W834*(1-PARAM!$C$27)*$I$8+(MOD($B834,60)=PARAM!$B$56)*($B834&gt;(60-PARAM!$B$56))*HLOOKUP(($B834+PARAM!$B$56)/12,Loyalty,2)*$F$1*MAX(Z833,0)</f>
        <v>18.557001321003963</v>
      </c>
      <c r="Y834" s="75">
        <f>PARAM!$C$26+MAX($G$8-CHOOSE(PARAM!$B$44,MAX(0,Z833*$F$1),0),0)*RATES!$L810/12+$H$8*(PARAM!$D$51/12)*RATES!$N810/100</f>
        <v>1118.1666666666667</v>
      </c>
      <c r="Z834" s="16">
        <f t="shared" si="547"/>
        <v>-161871.74129149874</v>
      </c>
      <c r="AA834" s="15">
        <f t="shared" si="522"/>
        <v>22.170849845882874</v>
      </c>
      <c r="AB834" s="75">
        <f>AA834*(1-PARAM!$C$27)*$I$9+(MOD($B834,60)=PARAM!$B$56)*($B834&gt;(60-PARAM!$B$56))*HLOOKUP(($B834+PARAM!$B$56)/12,Loyalty,2)*$F$1*MAX(AD833,0)</f>
        <v>18.557001321003963</v>
      </c>
      <c r="AC834" s="75">
        <f>PARAM!$C$26+MAX($G$9-CHOOSE(PARAM!$B$44,MAX(0,AD833*$F$1),0),0)*RATES!$L810/12+$H$9*(PARAM!$D$51/12)*RATES!$N810/100</f>
        <v>1118.1666666666667</v>
      </c>
      <c r="AD834" s="16">
        <f t="shared" si="548"/>
        <v>-161871.74129149874</v>
      </c>
      <c r="AE834" s="15">
        <f t="shared" si="523"/>
        <v>22.170849845882874</v>
      </c>
      <c r="AF834" s="75">
        <f>AE834*(1-PARAM!$C$27)*$I$10+(MOD($B834,60)=PARAM!$B$56)*($B834&gt;(60-PARAM!$B$56))*HLOOKUP(($B834+PARAM!$B$56)/12,Loyalty,2)*$F$1*MAX(AH833,0)</f>
        <v>18.557001321003963</v>
      </c>
      <c r="AG834" s="75">
        <f>PARAM!$C$26+MAX($G$10-CHOOSE(PARAM!$B$44,MAX(0,AH833*$F$1),0),0)*RATES!$L810/12+$H$10*(PARAM!$D$51/12)*RATES!$N810/100</f>
        <v>1118.1666666666667</v>
      </c>
      <c r="AH834" s="16">
        <f t="shared" si="549"/>
        <v>-161871.74129149874</v>
      </c>
      <c r="AI834" s="15">
        <f t="shared" si="524"/>
        <v>22.170849845882874</v>
      </c>
      <c r="AJ834" s="75">
        <f>AI834*(1-PARAM!$C$27)*$I$11+(MOD($B834,60)=PARAM!$B$56)*($B834&gt;(60-PARAM!$B$56))*HLOOKUP(($B834+PARAM!$B$56)/12,Loyalty,2)*$F$1*MAX(AL833,0)</f>
        <v>18.557001321003963</v>
      </c>
      <c r="AK834" s="75">
        <f>PARAM!$C$26+MAX($G$11-CHOOSE(PARAM!$B$44,MAX(0,AL833*$F$1),0),0)*RATES!$L810/12+$H$11*(PARAM!$D$51/12)*RATES!$N810/100</f>
        <v>1118.1666666666667</v>
      </c>
      <c r="AL834" s="16">
        <f t="shared" si="550"/>
        <v>-161871.74129149874</v>
      </c>
      <c r="AM834" s="15">
        <f t="shared" si="525"/>
        <v>22.170849845882874</v>
      </c>
      <c r="AN834" s="75">
        <f>AM834*(1-PARAM!$C$27)*$I$12+(MOD($B834,60)=PARAM!$B$56)*($B834&gt;(60-PARAM!$B$56))*HLOOKUP(($B834+PARAM!$B$56)/12,Loyalty,2)*$F$1*MAX(AP833,0)</f>
        <v>18.557001321003963</v>
      </c>
      <c r="AO834" s="75">
        <f>PARAM!$C$26+MAX($G$12-CHOOSE(PARAM!$B$44,MAX(0,AP833*$F$1),0),0)*RATES!$L810/12+$H$12*(PARAM!$D$51/12)*RATES!$N810/100</f>
        <v>1118.1666666666667</v>
      </c>
      <c r="AP834" s="16">
        <f t="shared" si="551"/>
        <v>-161871.74129149874</v>
      </c>
      <c r="AQ834" s="15">
        <f t="shared" si="526"/>
        <v>22.170849845882874</v>
      </c>
      <c r="AR834" s="75">
        <f>AQ834*(1-PARAM!$C$27)*$I$13+(MOD($B834,60)=PARAM!$B$56)*($B834&gt;(60-PARAM!$B$56))*HLOOKUP(($B834+PARAM!$B$56)/12,Loyalty,2)*$F$1*MAX(AT833,0)</f>
        <v>18.557001321003963</v>
      </c>
      <c r="AS834" s="75">
        <f>PARAM!$C$26+MAX($G$13-CHOOSE(PARAM!$B$44,MAX(0,AT833*$F$1),0),0)*RATES!$L810/12+$H$13*(PARAM!$D$51/12)*RATES!$N810/100</f>
        <v>1118.1666666666667</v>
      </c>
      <c r="AT834" s="16">
        <f t="shared" si="552"/>
        <v>-161871.74129149874</v>
      </c>
      <c r="AU834" s="15">
        <f t="shared" si="527"/>
        <v>22.170849845882874</v>
      </c>
      <c r="AV834" s="75">
        <f>AU834*(1-PARAM!$C$27)*$I$14+(MOD($B834,60)=PARAM!$B$56)*($B834&gt;(60-PARAM!$B$56))*HLOOKUP(($B834+PARAM!$B$56)/12,Loyalty,2)*$F$1*MAX(AX833,0)</f>
        <v>18.557001321003963</v>
      </c>
      <c r="AW834" s="75">
        <f>PARAM!$C$26+MAX($G$14-CHOOSE(PARAM!$B$44,MAX(0,AX833*$F$1),0),0)*RATES!$L810/12+$H$14*(PARAM!$D$51/12)*RATES!$N810/100</f>
        <v>1118.1666666666667</v>
      </c>
      <c r="AX834" s="16">
        <f t="shared" si="553"/>
        <v>-161871.74129149874</v>
      </c>
      <c r="AY834" s="15">
        <f t="shared" si="528"/>
        <v>22.170849845882874</v>
      </c>
      <c r="AZ834" s="75">
        <f>AY834*(1-PARAM!$C$27)*$I$15+(MOD($B834,60)=PARAM!$B$56)*($B834&gt;(60-PARAM!$B$56))*HLOOKUP(($B834+PARAM!$B$56)/12,Loyalty,2)*$F$1*MAX(BB833,0)</f>
        <v>18.557001321003963</v>
      </c>
      <c r="BA834" s="75">
        <f>PARAM!$C$26+MAX($G$15-CHOOSE(PARAM!$B$44,MAX(0,BB833*$F$1),0),0)*RATES!$L810/12+$H$15*(PARAM!$D$51/12)*RATES!$N810/100</f>
        <v>1118.1666666666667</v>
      </c>
      <c r="BB834" s="16">
        <f t="shared" si="554"/>
        <v>-161871.74129149874</v>
      </c>
      <c r="BC834" s="15">
        <f t="shared" si="529"/>
        <v>22.170849845882874</v>
      </c>
      <c r="BD834" s="75">
        <f>BC834*(1-PARAM!$C$27)*$I$16+(MOD($B834,60)=PARAM!$B$56)*($B834&gt;(60-PARAM!$B$56))*HLOOKUP(($B834+PARAM!$B$56)/12,Loyalty,2)*$F$1*MAX(BF833,0)</f>
        <v>18.557001321003963</v>
      </c>
      <c r="BE834" s="75">
        <f>PARAM!$C$26+MAX($G$16-CHOOSE(PARAM!$B$44,MAX(0,BF833*$F$1),0),0)*RATES!$L810/12+$H$16*(PARAM!$D$51/12)*RATES!$N810/100</f>
        <v>1118.1666666666667</v>
      </c>
      <c r="BF834" s="16">
        <f t="shared" si="555"/>
        <v>-161871.74129149874</v>
      </c>
      <c r="BG834" s="15">
        <f t="shared" si="530"/>
        <v>22.170849845882874</v>
      </c>
      <c r="BH834" s="75">
        <f>BG834*(1-PARAM!$C$27)*$I$17+(MOD($B834,60)=PARAM!$B$56)*($B834&gt;(60-PARAM!$B$56))*HLOOKUP(($B834+PARAM!$B$56)/12,Loyalty,2)*$F$1*MAX(BJ833,0)</f>
        <v>18.557001321003963</v>
      </c>
      <c r="BI834" s="75">
        <f>PARAM!$C$26+MAX($G$17-CHOOSE(PARAM!$B$44,MAX(0,BJ833*$F$1),0),0)*RATES!$L810/12+$H$17*(PARAM!$D$51/12)*RATES!$N810/100</f>
        <v>1118.1666666666667</v>
      </c>
      <c r="BJ834" s="16">
        <f t="shared" si="556"/>
        <v>-161871.74129149874</v>
      </c>
      <c r="BK834" s="15">
        <f t="shared" si="531"/>
        <v>22.170849845882874</v>
      </c>
      <c r="BL834" s="75">
        <f>BK834*(1-PARAM!$C$27)*$I$18+(MOD($B834,60)=PARAM!$B$56)*($B834&gt;(60-PARAM!$B$56))*HLOOKUP(($B834+PARAM!$B$56)/12,Loyalty,2)*$F$1*MAX(BN833,0)</f>
        <v>18.557001321003963</v>
      </c>
      <c r="BM834" s="75">
        <f>PARAM!$C$26+MAX($G$18-CHOOSE(PARAM!$B$44,MAX(0,BN833*$F$1),0),0)*RATES!$L810/12+$H$18*(PARAM!$D$51/12)*RATES!$N810/100</f>
        <v>1118.1666666666667</v>
      </c>
      <c r="BN834" s="16">
        <f t="shared" si="557"/>
        <v>-161871.74129149874</v>
      </c>
      <c r="BO834" s="15">
        <f t="shared" si="532"/>
        <v>22.170849845882874</v>
      </c>
      <c r="BP834" s="75">
        <f>BO834*(1-PARAM!$C$27)*$I$19+(MOD($B834,60)=PARAM!$B$56)*($B834&gt;(60-PARAM!$B$56))*HLOOKUP(($B834+PARAM!$B$56)/12,Loyalty,2)*$F$1*MAX(BR833,0)</f>
        <v>18.557001321003963</v>
      </c>
      <c r="BQ834" s="75">
        <f>PARAM!$C$26+MAX($G$19-CHOOSE(PARAM!$B$44,MAX(0,BR833*$F$1),0),0)*RATES!$L810/12+$H$19*(PARAM!$D$51/12)*RATES!$N810/100</f>
        <v>1118.1666666666667</v>
      </c>
      <c r="BR834" s="16">
        <f t="shared" si="558"/>
        <v>-161871.74129149874</v>
      </c>
      <c r="BS834" s="15">
        <f t="shared" si="533"/>
        <v>22.170849845882874</v>
      </c>
      <c r="BT834" s="75">
        <f>BS834*(1-PARAM!$C$27)*$I$20+(MOD($B834,60)=PARAM!$B$56)*($B834&gt;(60-PARAM!$B$56))*HLOOKUP(($B834+PARAM!$B$56)/12,Loyalty,2)*$F$1*MAX(BV833,0)</f>
        <v>18.557001321003963</v>
      </c>
      <c r="BU834" s="75">
        <f>PARAM!$C$26+MAX($G$20-CHOOSE(PARAM!$B$44,MAX(0,BV833*$F$1),0),0)*RATES!$L810/12+$H$20*(PARAM!$D$51/12)*RATES!$N810/100</f>
        <v>1118.1666666666667</v>
      </c>
      <c r="BV834" s="16">
        <f t="shared" si="559"/>
        <v>-161871.74129149874</v>
      </c>
      <c r="BW834" s="15">
        <f t="shared" si="534"/>
        <v>22.170849845882874</v>
      </c>
      <c r="BX834" s="75">
        <f>BW834*(1-PARAM!$C$27)*$I$21+(MOD($B834,60)=PARAM!$B$56)*($B834&gt;(60-PARAM!$B$56))*HLOOKUP(($B834+PARAM!$B$56)/12,Loyalty,2)*$F$1*MAX(BZ833,0)</f>
        <v>18.557001321003963</v>
      </c>
      <c r="BY834" s="75">
        <f>PARAM!$C$26+MAX($G$21-CHOOSE(PARAM!$B$44,MAX(0,BZ833*$F$1),0),0)*RATES!$L810/12+$H$21*(PARAM!$D$51/12)*RATES!$N810/100</f>
        <v>1118.1666666666667</v>
      </c>
      <c r="BZ834" s="16">
        <f t="shared" si="560"/>
        <v>-161871.74129149874</v>
      </c>
      <c r="CA834" s="15">
        <f t="shared" si="535"/>
        <v>22.170849845882874</v>
      </c>
      <c r="CB834" s="75">
        <f>CA834*(1-PARAM!$C$27)*$I$22+(MOD($B834,60)=PARAM!$B$56)*($B834&gt;(60-PARAM!$B$56))*HLOOKUP(($B834+PARAM!$B$56)/12,Loyalty,2)*$F$1*MAX(CD833,0)</f>
        <v>18.557001321003963</v>
      </c>
      <c r="CC834" s="75">
        <f>PARAM!$C$26+MAX($G$22-CHOOSE(PARAM!$B$44,MAX(0,CD833*$F$1),0),0)*RATES!$L810/12+$H$22*(PARAM!$D$51/12)*RATES!$N810/100</f>
        <v>1118.1666666666667</v>
      </c>
      <c r="CD834" s="16">
        <f t="shared" si="561"/>
        <v>-161871.74129149874</v>
      </c>
      <c r="CE834" s="33">
        <f>IF(0=MOD(B834,12/PARAM!$D$51),1,0)</f>
        <v>1</v>
      </c>
      <c r="CF834" s="15">
        <f t="shared" si="536"/>
        <v>0</v>
      </c>
      <c r="CG834" s="75">
        <f>CF834*(1-PARAM!$C$27)*$R$3+(MOD($B834/12,5)=0)*($B834&gt;60)*HLOOKUP($B834/12,Loyalty,2)*$F$1*MAX(CI833,0)</f>
        <v>0</v>
      </c>
      <c r="CH834" s="75">
        <f>PARAM!$C$26+MAX($P$3-CHOOSE(PARAM!$B$44,MAX(0,CI833*$F$1),0),0)*RATES!$L810/12+$Q$3*(PARAM!$D$51/12)*RATES!$N810/100</f>
        <v>1118.1666666666667</v>
      </c>
      <c r="CI834" s="16">
        <f>IF(CI833&gt;0,CI833*PARAM!$C$53,CI833)+CG834-CH834</f>
        <v>-176727.66666666698</v>
      </c>
      <c r="CJ834" s="15">
        <f t="shared" si="562"/>
        <v>0</v>
      </c>
      <c r="CK834" s="75">
        <f>CJ834*(1-PARAM!$C$27)*$R$4+(MOD($B834/12,5)=0)*($B834&gt;60)*HLOOKUP($B834/12,Loyalty,2)*$F$1*MAX(CM833,0)</f>
        <v>0</v>
      </c>
      <c r="CL834" s="75">
        <f>PARAM!$C$26+MAX($P$4-CHOOSE(PARAM!$B$44,MAX(0,CM833*$F$1),0),0)*RATES!$L810/12+$Q$4*(PARAM!$D$51/12)*RATES!$N810/100</f>
        <v>1118.1666666666667</v>
      </c>
      <c r="CM834" s="16">
        <f>IF(CM833&gt;0,CM833*PARAM!$C$53,CM833)+CK834-CL834</f>
        <v>-176727.66666666698</v>
      </c>
      <c r="CO834" s="176"/>
    </row>
    <row r="835" spans="1:93" x14ac:dyDescent="0.2">
      <c r="A835" t="b">
        <f t="shared" si="537"/>
        <v>0</v>
      </c>
      <c r="B835" s="33">
        <v>808</v>
      </c>
      <c r="C835" s="15">
        <f t="shared" si="538"/>
        <v>20.081305947392778</v>
      </c>
      <c r="D835" s="75">
        <f>C835*(1-PARAM!$C$27)*$I$3+(MOD($B835,60)=PARAM!$B$56)*($B835&gt;(60-PARAM!$B$56))*HLOOKUP(($B835+PARAM!$B$56)/12,Loyalty,2)*$F$1*MAX(F834,0)</f>
        <v>16.808053077967756</v>
      </c>
      <c r="E835" s="75">
        <f>PARAM!$C$26+MAX($G$3-CHOOSE(PARAM!$B$44,MAX(0,F834*$F$1),0),0)*RATES!$L811/12+$H$3*(PARAM!$D$51/12)*RATES!$N811/100</f>
        <v>1118.1666666666667</v>
      </c>
      <c r="F835" s="16">
        <f t="shared" si="539"/>
        <v>-164421.35163773943</v>
      </c>
      <c r="G835" s="15">
        <f t="shared" si="540"/>
        <v>22.035289406060361</v>
      </c>
      <c r="H835" s="75">
        <f>G835*(1-PARAM!$C$27)*$I$4+(MOD($B835,60)=PARAM!$B$56)*($B835&gt;(60-PARAM!$B$56))*HLOOKUP(($B835+PARAM!$B$56)/12,Loyalty,2)*$F$1*MAX(J834,0)</f>
        <v>18.443537232872522</v>
      </c>
      <c r="I835" s="75">
        <f>PARAM!$C$26+MAX($G$4-CHOOSE(PARAM!$B$44,MAX(0,J834*$F$1),0),0)*RATES!$L811/12+$H$4*(PARAM!$D$51/12)*RATES!$N811/100</f>
        <v>1118.1666666666667</v>
      </c>
      <c r="J835" s="16">
        <f t="shared" si="541"/>
        <v>-163066.04747645423</v>
      </c>
      <c r="K835" s="15">
        <f t="shared" si="542"/>
        <v>22.170849845882874</v>
      </c>
      <c r="L835" s="75">
        <f>K835*(1-PARAM!$C$27)*$I$5+(MOD($B835,60)=PARAM!$B$56)*($B835&gt;(60-PARAM!$B$56))*HLOOKUP(($B835+PARAM!$B$56)/12,Loyalty,2)*$F$1*MAX(N834,0)</f>
        <v>18.557001321003963</v>
      </c>
      <c r="M835" s="75">
        <f>PARAM!$C$26+MAX($G$5-CHOOSE(PARAM!$B$44,MAX(0,N834*$F$1),0),0)*RATES!$L811/12+$H$5*(PARAM!$D$51/12)*RATES!$N811/100</f>
        <v>1118.1666666666667</v>
      </c>
      <c r="N835" s="16">
        <f t="shared" si="543"/>
        <v>-162971.3509568444</v>
      </c>
      <c r="O835" s="15">
        <f t="shared" si="544"/>
        <v>22.170849845882874</v>
      </c>
      <c r="P835" s="75">
        <f>O835*(1-PARAM!$C$27)*$I$6+(MOD($B835,60)=PARAM!$B$56)*($B835&gt;(60-PARAM!$B$56))*HLOOKUP(($B835+PARAM!$B$56)/12,Loyalty,2)*$F$1*MAX(R834,0)</f>
        <v>18.557001321003963</v>
      </c>
      <c r="Q835" s="75">
        <f>PARAM!$C$26+MAX($G$6-CHOOSE(PARAM!$B$44,MAX(0,R834*$F$1),0),0)*RATES!$L811/12+$H$6*(PARAM!$D$51/12)*RATES!$N811/100</f>
        <v>1118.1666666666667</v>
      </c>
      <c r="R835" s="16">
        <f t="shared" si="545"/>
        <v>-162971.3509568444</v>
      </c>
      <c r="S835" s="15">
        <f t="shared" si="520"/>
        <v>22.170849845882874</v>
      </c>
      <c r="T835" s="75">
        <f>S835*(1-PARAM!$C$27)*$I$7+(MOD($B835,60)=PARAM!$B$56)*($B835&gt;(60-PARAM!$B$56))*HLOOKUP(($B835+PARAM!$B$56)/12,Loyalty,2)*$F$1*MAX(V834,0)</f>
        <v>18.557001321003963</v>
      </c>
      <c r="U835" s="75">
        <f>PARAM!$C$26+MAX($G$7-CHOOSE(PARAM!$B$44,MAX(0,V834*$F$1),0),0)*RATES!$L811/12+$H$7*(PARAM!$D$51/12)*RATES!$N811/100</f>
        <v>1118.1666666666667</v>
      </c>
      <c r="V835" s="16">
        <f t="shared" si="546"/>
        <v>-162971.3509568444</v>
      </c>
      <c r="W835" s="15">
        <f t="shared" si="521"/>
        <v>22.170849845882874</v>
      </c>
      <c r="X835" s="75">
        <f>W835*(1-PARAM!$C$27)*$I$8+(MOD($B835,60)=PARAM!$B$56)*($B835&gt;(60-PARAM!$B$56))*HLOOKUP(($B835+PARAM!$B$56)/12,Loyalty,2)*$F$1*MAX(Z834,0)</f>
        <v>18.557001321003963</v>
      </c>
      <c r="Y835" s="75">
        <f>PARAM!$C$26+MAX($G$8-CHOOSE(PARAM!$B$44,MAX(0,Z834*$F$1),0),0)*RATES!$L811/12+$H$8*(PARAM!$D$51/12)*RATES!$N811/100</f>
        <v>1118.1666666666667</v>
      </c>
      <c r="Z835" s="16">
        <f t="shared" si="547"/>
        <v>-162971.3509568444</v>
      </c>
      <c r="AA835" s="15">
        <f t="shared" si="522"/>
        <v>22.170849845882874</v>
      </c>
      <c r="AB835" s="75">
        <f>AA835*(1-PARAM!$C$27)*$I$9+(MOD($B835,60)=PARAM!$B$56)*($B835&gt;(60-PARAM!$B$56))*HLOOKUP(($B835+PARAM!$B$56)/12,Loyalty,2)*$F$1*MAX(AD834,0)</f>
        <v>18.557001321003963</v>
      </c>
      <c r="AC835" s="75">
        <f>PARAM!$C$26+MAX($G$9-CHOOSE(PARAM!$B$44,MAX(0,AD834*$F$1),0),0)*RATES!$L811/12+$H$9*(PARAM!$D$51/12)*RATES!$N811/100</f>
        <v>1118.1666666666667</v>
      </c>
      <c r="AD835" s="16">
        <f t="shared" si="548"/>
        <v>-162971.3509568444</v>
      </c>
      <c r="AE835" s="15">
        <f t="shared" si="523"/>
        <v>22.170849845882874</v>
      </c>
      <c r="AF835" s="75">
        <f>AE835*(1-PARAM!$C$27)*$I$10+(MOD($B835,60)=PARAM!$B$56)*($B835&gt;(60-PARAM!$B$56))*HLOOKUP(($B835+PARAM!$B$56)/12,Loyalty,2)*$F$1*MAX(AH834,0)</f>
        <v>18.557001321003963</v>
      </c>
      <c r="AG835" s="75">
        <f>PARAM!$C$26+MAX($G$10-CHOOSE(PARAM!$B$44,MAX(0,AH834*$F$1),0),0)*RATES!$L811/12+$H$10*(PARAM!$D$51/12)*RATES!$N811/100</f>
        <v>1118.1666666666667</v>
      </c>
      <c r="AH835" s="16">
        <f t="shared" si="549"/>
        <v>-162971.3509568444</v>
      </c>
      <c r="AI835" s="15">
        <f t="shared" si="524"/>
        <v>22.170849845882874</v>
      </c>
      <c r="AJ835" s="75">
        <f>AI835*(1-PARAM!$C$27)*$I$11+(MOD($B835,60)=PARAM!$B$56)*($B835&gt;(60-PARAM!$B$56))*HLOOKUP(($B835+PARAM!$B$56)/12,Loyalty,2)*$F$1*MAX(AL834,0)</f>
        <v>18.557001321003963</v>
      </c>
      <c r="AK835" s="75">
        <f>PARAM!$C$26+MAX($G$11-CHOOSE(PARAM!$B$44,MAX(0,AL834*$F$1),0),0)*RATES!$L811/12+$H$11*(PARAM!$D$51/12)*RATES!$N811/100</f>
        <v>1118.1666666666667</v>
      </c>
      <c r="AL835" s="16">
        <f t="shared" si="550"/>
        <v>-162971.3509568444</v>
      </c>
      <c r="AM835" s="15">
        <f t="shared" si="525"/>
        <v>22.170849845882874</v>
      </c>
      <c r="AN835" s="75">
        <f>AM835*(1-PARAM!$C$27)*$I$12+(MOD($B835,60)=PARAM!$B$56)*($B835&gt;(60-PARAM!$B$56))*HLOOKUP(($B835+PARAM!$B$56)/12,Loyalty,2)*$F$1*MAX(AP834,0)</f>
        <v>18.557001321003963</v>
      </c>
      <c r="AO835" s="75">
        <f>PARAM!$C$26+MAX($G$12-CHOOSE(PARAM!$B$44,MAX(0,AP834*$F$1),0),0)*RATES!$L811/12+$H$12*(PARAM!$D$51/12)*RATES!$N811/100</f>
        <v>1118.1666666666667</v>
      </c>
      <c r="AP835" s="16">
        <f t="shared" si="551"/>
        <v>-162971.3509568444</v>
      </c>
      <c r="AQ835" s="15">
        <f t="shared" si="526"/>
        <v>22.170849845882874</v>
      </c>
      <c r="AR835" s="75">
        <f>AQ835*(1-PARAM!$C$27)*$I$13+(MOD($B835,60)=PARAM!$B$56)*($B835&gt;(60-PARAM!$B$56))*HLOOKUP(($B835+PARAM!$B$56)/12,Loyalty,2)*$F$1*MAX(AT834,0)</f>
        <v>18.557001321003963</v>
      </c>
      <c r="AS835" s="75">
        <f>PARAM!$C$26+MAX($G$13-CHOOSE(PARAM!$B$44,MAX(0,AT834*$F$1),0),0)*RATES!$L811/12+$H$13*(PARAM!$D$51/12)*RATES!$N811/100</f>
        <v>1118.1666666666667</v>
      </c>
      <c r="AT835" s="16">
        <f t="shared" si="552"/>
        <v>-162971.3509568444</v>
      </c>
      <c r="AU835" s="15">
        <f t="shared" si="527"/>
        <v>22.170849845882874</v>
      </c>
      <c r="AV835" s="75">
        <f>AU835*(1-PARAM!$C$27)*$I$14+(MOD($B835,60)=PARAM!$B$56)*($B835&gt;(60-PARAM!$B$56))*HLOOKUP(($B835+PARAM!$B$56)/12,Loyalty,2)*$F$1*MAX(AX834,0)</f>
        <v>18.557001321003963</v>
      </c>
      <c r="AW835" s="75">
        <f>PARAM!$C$26+MAX($G$14-CHOOSE(PARAM!$B$44,MAX(0,AX834*$F$1),0),0)*RATES!$L811/12+$H$14*(PARAM!$D$51/12)*RATES!$N811/100</f>
        <v>1118.1666666666667</v>
      </c>
      <c r="AX835" s="16">
        <f t="shared" si="553"/>
        <v>-162971.3509568444</v>
      </c>
      <c r="AY835" s="15">
        <f t="shared" si="528"/>
        <v>22.170849845882874</v>
      </c>
      <c r="AZ835" s="75">
        <f>AY835*(1-PARAM!$C$27)*$I$15+(MOD($B835,60)=PARAM!$B$56)*($B835&gt;(60-PARAM!$B$56))*HLOOKUP(($B835+PARAM!$B$56)/12,Loyalty,2)*$F$1*MAX(BB834,0)</f>
        <v>18.557001321003963</v>
      </c>
      <c r="BA835" s="75">
        <f>PARAM!$C$26+MAX($G$15-CHOOSE(PARAM!$B$44,MAX(0,BB834*$F$1),0),0)*RATES!$L811/12+$H$15*(PARAM!$D$51/12)*RATES!$N811/100</f>
        <v>1118.1666666666667</v>
      </c>
      <c r="BB835" s="16">
        <f t="shared" si="554"/>
        <v>-162971.3509568444</v>
      </c>
      <c r="BC835" s="15">
        <f t="shared" si="529"/>
        <v>22.170849845882874</v>
      </c>
      <c r="BD835" s="75">
        <f>BC835*(1-PARAM!$C$27)*$I$16+(MOD($B835,60)=PARAM!$B$56)*($B835&gt;(60-PARAM!$B$56))*HLOOKUP(($B835+PARAM!$B$56)/12,Loyalty,2)*$F$1*MAX(BF834,0)</f>
        <v>18.557001321003963</v>
      </c>
      <c r="BE835" s="75">
        <f>PARAM!$C$26+MAX($G$16-CHOOSE(PARAM!$B$44,MAX(0,BF834*$F$1),0),0)*RATES!$L811/12+$H$16*(PARAM!$D$51/12)*RATES!$N811/100</f>
        <v>1118.1666666666667</v>
      </c>
      <c r="BF835" s="16">
        <f t="shared" si="555"/>
        <v>-162971.3509568444</v>
      </c>
      <c r="BG835" s="15">
        <f t="shared" si="530"/>
        <v>22.170849845882874</v>
      </c>
      <c r="BH835" s="75">
        <f>BG835*(1-PARAM!$C$27)*$I$17+(MOD($B835,60)=PARAM!$B$56)*($B835&gt;(60-PARAM!$B$56))*HLOOKUP(($B835+PARAM!$B$56)/12,Loyalty,2)*$F$1*MAX(BJ834,0)</f>
        <v>18.557001321003963</v>
      </c>
      <c r="BI835" s="75">
        <f>PARAM!$C$26+MAX($G$17-CHOOSE(PARAM!$B$44,MAX(0,BJ834*$F$1),0),0)*RATES!$L811/12+$H$17*(PARAM!$D$51/12)*RATES!$N811/100</f>
        <v>1118.1666666666667</v>
      </c>
      <c r="BJ835" s="16">
        <f t="shared" si="556"/>
        <v>-162971.3509568444</v>
      </c>
      <c r="BK835" s="15">
        <f t="shared" si="531"/>
        <v>22.170849845882874</v>
      </c>
      <c r="BL835" s="75">
        <f>BK835*(1-PARAM!$C$27)*$I$18+(MOD($B835,60)=PARAM!$B$56)*($B835&gt;(60-PARAM!$B$56))*HLOOKUP(($B835+PARAM!$B$56)/12,Loyalty,2)*$F$1*MAX(BN834,0)</f>
        <v>18.557001321003963</v>
      </c>
      <c r="BM835" s="75">
        <f>PARAM!$C$26+MAX($G$18-CHOOSE(PARAM!$B$44,MAX(0,BN834*$F$1),0),0)*RATES!$L811/12+$H$18*(PARAM!$D$51/12)*RATES!$N811/100</f>
        <v>1118.1666666666667</v>
      </c>
      <c r="BN835" s="16">
        <f t="shared" si="557"/>
        <v>-162971.3509568444</v>
      </c>
      <c r="BO835" s="15">
        <f t="shared" si="532"/>
        <v>22.170849845882874</v>
      </c>
      <c r="BP835" s="75">
        <f>BO835*(1-PARAM!$C$27)*$I$19+(MOD($B835,60)=PARAM!$B$56)*($B835&gt;(60-PARAM!$B$56))*HLOOKUP(($B835+PARAM!$B$56)/12,Loyalty,2)*$F$1*MAX(BR834,0)</f>
        <v>18.557001321003963</v>
      </c>
      <c r="BQ835" s="75">
        <f>PARAM!$C$26+MAX($G$19-CHOOSE(PARAM!$B$44,MAX(0,BR834*$F$1),0),0)*RATES!$L811/12+$H$19*(PARAM!$D$51/12)*RATES!$N811/100</f>
        <v>1118.1666666666667</v>
      </c>
      <c r="BR835" s="16">
        <f t="shared" si="558"/>
        <v>-162971.3509568444</v>
      </c>
      <c r="BS835" s="15">
        <f t="shared" si="533"/>
        <v>22.170849845882874</v>
      </c>
      <c r="BT835" s="75">
        <f>BS835*(1-PARAM!$C$27)*$I$20+(MOD($B835,60)=PARAM!$B$56)*($B835&gt;(60-PARAM!$B$56))*HLOOKUP(($B835+PARAM!$B$56)/12,Loyalty,2)*$F$1*MAX(BV834,0)</f>
        <v>18.557001321003963</v>
      </c>
      <c r="BU835" s="75">
        <f>PARAM!$C$26+MAX($G$20-CHOOSE(PARAM!$B$44,MAX(0,BV834*$F$1),0),0)*RATES!$L811/12+$H$20*(PARAM!$D$51/12)*RATES!$N811/100</f>
        <v>1118.1666666666667</v>
      </c>
      <c r="BV835" s="16">
        <f t="shared" si="559"/>
        <v>-162971.3509568444</v>
      </c>
      <c r="BW835" s="15">
        <f t="shared" si="534"/>
        <v>22.170849845882874</v>
      </c>
      <c r="BX835" s="75">
        <f>BW835*(1-PARAM!$C$27)*$I$21+(MOD($B835,60)=PARAM!$B$56)*($B835&gt;(60-PARAM!$B$56))*HLOOKUP(($B835+PARAM!$B$56)/12,Loyalty,2)*$F$1*MAX(BZ834,0)</f>
        <v>18.557001321003963</v>
      </c>
      <c r="BY835" s="75">
        <f>PARAM!$C$26+MAX($G$21-CHOOSE(PARAM!$B$44,MAX(0,BZ834*$F$1),0),0)*RATES!$L811/12+$H$21*(PARAM!$D$51/12)*RATES!$N811/100</f>
        <v>1118.1666666666667</v>
      </c>
      <c r="BZ835" s="16">
        <f t="shared" si="560"/>
        <v>-162971.3509568444</v>
      </c>
      <c r="CA835" s="15">
        <f t="shared" si="535"/>
        <v>22.170849845882874</v>
      </c>
      <c r="CB835" s="75">
        <f>CA835*(1-PARAM!$C$27)*$I$22+(MOD($B835,60)=PARAM!$B$56)*($B835&gt;(60-PARAM!$B$56))*HLOOKUP(($B835+PARAM!$B$56)/12,Loyalty,2)*$F$1*MAX(CD834,0)</f>
        <v>18.557001321003963</v>
      </c>
      <c r="CC835" s="75">
        <f>PARAM!$C$26+MAX($G$22-CHOOSE(PARAM!$B$44,MAX(0,CD834*$F$1),0),0)*RATES!$L811/12+$H$22*(PARAM!$D$51/12)*RATES!$N811/100</f>
        <v>1118.1666666666667</v>
      </c>
      <c r="CD835" s="16">
        <f t="shared" si="561"/>
        <v>-162971.3509568444</v>
      </c>
      <c r="CE835" s="33">
        <f>IF(0=MOD(B835,12/PARAM!$D$51),1,0)</f>
        <v>1</v>
      </c>
      <c r="CF835" s="15">
        <f t="shared" si="536"/>
        <v>0</v>
      </c>
      <c r="CG835" s="75">
        <f>CF835*(1-PARAM!$C$27)*$R$3+(MOD($B835/12,5)=0)*($B835&gt;60)*HLOOKUP($B835/12,Loyalty,2)*$F$1*MAX(CI834,0)</f>
        <v>0</v>
      </c>
      <c r="CH835" s="75">
        <f>PARAM!$C$26+MAX($P$3-CHOOSE(PARAM!$B$44,MAX(0,CI834*$F$1),0),0)*RATES!$L811/12+$Q$3*(PARAM!$D$51/12)*RATES!$N811/100</f>
        <v>1118.1666666666667</v>
      </c>
      <c r="CI835" s="16">
        <f>IF(CI834&gt;0,CI834*PARAM!$C$53,CI834)+CG835-CH835</f>
        <v>-177845.83333333363</v>
      </c>
      <c r="CJ835" s="15">
        <f t="shared" si="562"/>
        <v>0</v>
      </c>
      <c r="CK835" s="75">
        <f>CJ835*(1-PARAM!$C$27)*$R$4+(MOD($B835/12,5)=0)*($B835&gt;60)*HLOOKUP($B835/12,Loyalty,2)*$F$1*MAX(CM834,0)</f>
        <v>0</v>
      </c>
      <c r="CL835" s="75">
        <f>PARAM!$C$26+MAX($P$4-CHOOSE(PARAM!$B$44,MAX(0,CM834*$F$1),0),0)*RATES!$L811/12+$Q$4*(PARAM!$D$51/12)*RATES!$N811/100</f>
        <v>1118.1666666666667</v>
      </c>
      <c r="CM835" s="16">
        <f>IF(CM834&gt;0,CM834*PARAM!$C$53,CM834)+CK835-CL835</f>
        <v>-177845.83333333363</v>
      </c>
      <c r="CO835" s="176"/>
    </row>
    <row r="836" spans="1:93" x14ac:dyDescent="0.2">
      <c r="A836" t="b">
        <f t="shared" si="537"/>
        <v>0</v>
      </c>
      <c r="B836" s="33">
        <v>809</v>
      </c>
      <c r="C836" s="15">
        <f t="shared" si="538"/>
        <v>20.081305947392778</v>
      </c>
      <c r="D836" s="75">
        <f>C836*(1-PARAM!$C$27)*$I$3+(MOD($B836,60)=PARAM!$B$56)*($B836&gt;(60-PARAM!$B$56))*HLOOKUP(($B836+PARAM!$B$56)/12,Loyalty,2)*$F$1*MAX(F835,0)</f>
        <v>16.808053077967756</v>
      </c>
      <c r="E836" s="75">
        <f>PARAM!$C$26+MAX($G$3-CHOOSE(PARAM!$B$44,MAX(0,F835*$F$1),0),0)*RATES!$L812/12+$H$3*(PARAM!$D$51/12)*RATES!$N812/100</f>
        <v>1118.1666666666667</v>
      </c>
      <c r="F836" s="16">
        <f t="shared" si="539"/>
        <v>-165522.71025132813</v>
      </c>
      <c r="G836" s="15">
        <f t="shared" si="540"/>
        <v>22.035289406060361</v>
      </c>
      <c r="H836" s="75">
        <f>G836*(1-PARAM!$C$27)*$I$4+(MOD($B836,60)=PARAM!$B$56)*($B836&gt;(60-PARAM!$B$56))*HLOOKUP(($B836+PARAM!$B$56)/12,Loyalty,2)*$F$1*MAX(J835,0)</f>
        <v>18.443537232872522</v>
      </c>
      <c r="I836" s="75">
        <f>PARAM!$C$26+MAX($G$4-CHOOSE(PARAM!$B$44,MAX(0,J835*$F$1),0),0)*RATES!$L812/12+$H$4*(PARAM!$D$51/12)*RATES!$N812/100</f>
        <v>1118.1666666666667</v>
      </c>
      <c r="J836" s="16">
        <f t="shared" si="541"/>
        <v>-164165.77060588801</v>
      </c>
      <c r="K836" s="15">
        <f t="shared" si="542"/>
        <v>22.170849845882874</v>
      </c>
      <c r="L836" s="75">
        <f>K836*(1-PARAM!$C$27)*$I$5+(MOD($B836,60)=PARAM!$B$56)*($B836&gt;(60-PARAM!$B$56))*HLOOKUP(($B836+PARAM!$B$56)/12,Loyalty,2)*$F$1*MAX(N835,0)</f>
        <v>18.557001321003963</v>
      </c>
      <c r="M836" s="75">
        <f>PARAM!$C$26+MAX($G$5-CHOOSE(PARAM!$B$44,MAX(0,N835*$F$1),0),0)*RATES!$L812/12+$H$5*(PARAM!$D$51/12)*RATES!$N812/100</f>
        <v>1118.1666666666667</v>
      </c>
      <c r="N836" s="16">
        <f t="shared" si="543"/>
        <v>-164070.96062219006</v>
      </c>
      <c r="O836" s="15">
        <f t="shared" si="544"/>
        <v>22.170849845882874</v>
      </c>
      <c r="P836" s="75">
        <f>O836*(1-PARAM!$C$27)*$I$6+(MOD($B836,60)=PARAM!$B$56)*($B836&gt;(60-PARAM!$B$56))*HLOOKUP(($B836+PARAM!$B$56)/12,Loyalty,2)*$F$1*MAX(R835,0)</f>
        <v>18.557001321003963</v>
      </c>
      <c r="Q836" s="75">
        <f>PARAM!$C$26+MAX($G$6-CHOOSE(PARAM!$B$44,MAX(0,R835*$F$1),0),0)*RATES!$L812/12+$H$6*(PARAM!$D$51/12)*RATES!$N812/100</f>
        <v>1118.1666666666667</v>
      </c>
      <c r="R836" s="16">
        <f t="shared" si="545"/>
        <v>-164070.96062219006</v>
      </c>
      <c r="S836" s="15">
        <f t="shared" si="520"/>
        <v>22.170849845882874</v>
      </c>
      <c r="T836" s="75">
        <f>S836*(1-PARAM!$C$27)*$I$7+(MOD($B836,60)=PARAM!$B$56)*($B836&gt;(60-PARAM!$B$56))*HLOOKUP(($B836+PARAM!$B$56)/12,Loyalty,2)*$F$1*MAX(V835,0)</f>
        <v>18.557001321003963</v>
      </c>
      <c r="U836" s="75">
        <f>PARAM!$C$26+MAX($G$7-CHOOSE(PARAM!$B$44,MAX(0,V835*$F$1),0),0)*RATES!$L812/12+$H$7*(PARAM!$D$51/12)*RATES!$N812/100</f>
        <v>1118.1666666666667</v>
      </c>
      <c r="V836" s="16">
        <f t="shared" si="546"/>
        <v>-164070.96062219006</v>
      </c>
      <c r="W836" s="15">
        <f t="shared" si="521"/>
        <v>22.170849845882874</v>
      </c>
      <c r="X836" s="75">
        <f>W836*(1-PARAM!$C$27)*$I$8+(MOD($B836,60)=PARAM!$B$56)*($B836&gt;(60-PARAM!$B$56))*HLOOKUP(($B836+PARAM!$B$56)/12,Loyalty,2)*$F$1*MAX(Z835,0)</f>
        <v>18.557001321003963</v>
      </c>
      <c r="Y836" s="75">
        <f>PARAM!$C$26+MAX($G$8-CHOOSE(PARAM!$B$44,MAX(0,Z835*$F$1),0),0)*RATES!$L812/12+$H$8*(PARAM!$D$51/12)*RATES!$N812/100</f>
        <v>1118.1666666666667</v>
      </c>
      <c r="Z836" s="16">
        <f t="shared" si="547"/>
        <v>-164070.96062219006</v>
      </c>
      <c r="AA836" s="15">
        <f t="shared" si="522"/>
        <v>22.170849845882874</v>
      </c>
      <c r="AB836" s="75">
        <f>AA836*(1-PARAM!$C$27)*$I$9+(MOD($B836,60)=PARAM!$B$56)*($B836&gt;(60-PARAM!$B$56))*HLOOKUP(($B836+PARAM!$B$56)/12,Loyalty,2)*$F$1*MAX(AD835,0)</f>
        <v>18.557001321003963</v>
      </c>
      <c r="AC836" s="75">
        <f>PARAM!$C$26+MAX($G$9-CHOOSE(PARAM!$B$44,MAX(0,AD835*$F$1),0),0)*RATES!$L812/12+$H$9*(PARAM!$D$51/12)*RATES!$N812/100</f>
        <v>1118.1666666666667</v>
      </c>
      <c r="AD836" s="16">
        <f t="shared" si="548"/>
        <v>-164070.96062219006</v>
      </c>
      <c r="AE836" s="15">
        <f t="shared" si="523"/>
        <v>22.170849845882874</v>
      </c>
      <c r="AF836" s="75">
        <f>AE836*(1-PARAM!$C$27)*$I$10+(MOD($B836,60)=PARAM!$B$56)*($B836&gt;(60-PARAM!$B$56))*HLOOKUP(($B836+PARAM!$B$56)/12,Loyalty,2)*$F$1*MAX(AH835,0)</f>
        <v>18.557001321003963</v>
      </c>
      <c r="AG836" s="75">
        <f>PARAM!$C$26+MAX($G$10-CHOOSE(PARAM!$B$44,MAX(0,AH835*$F$1),0),0)*RATES!$L812/12+$H$10*(PARAM!$D$51/12)*RATES!$N812/100</f>
        <v>1118.1666666666667</v>
      </c>
      <c r="AH836" s="16">
        <f t="shared" si="549"/>
        <v>-164070.96062219006</v>
      </c>
      <c r="AI836" s="15">
        <f t="shared" si="524"/>
        <v>22.170849845882874</v>
      </c>
      <c r="AJ836" s="75">
        <f>AI836*(1-PARAM!$C$27)*$I$11+(MOD($B836,60)=PARAM!$B$56)*($B836&gt;(60-PARAM!$B$56))*HLOOKUP(($B836+PARAM!$B$56)/12,Loyalty,2)*$F$1*MAX(AL835,0)</f>
        <v>18.557001321003963</v>
      </c>
      <c r="AK836" s="75">
        <f>PARAM!$C$26+MAX($G$11-CHOOSE(PARAM!$B$44,MAX(0,AL835*$F$1),0),0)*RATES!$L812/12+$H$11*(PARAM!$D$51/12)*RATES!$N812/100</f>
        <v>1118.1666666666667</v>
      </c>
      <c r="AL836" s="16">
        <f t="shared" si="550"/>
        <v>-164070.96062219006</v>
      </c>
      <c r="AM836" s="15">
        <f t="shared" si="525"/>
        <v>22.170849845882874</v>
      </c>
      <c r="AN836" s="75">
        <f>AM836*(1-PARAM!$C$27)*$I$12+(MOD($B836,60)=PARAM!$B$56)*($B836&gt;(60-PARAM!$B$56))*HLOOKUP(($B836+PARAM!$B$56)/12,Loyalty,2)*$F$1*MAX(AP835,0)</f>
        <v>18.557001321003963</v>
      </c>
      <c r="AO836" s="75">
        <f>PARAM!$C$26+MAX($G$12-CHOOSE(PARAM!$B$44,MAX(0,AP835*$F$1),0),0)*RATES!$L812/12+$H$12*(PARAM!$D$51/12)*RATES!$N812/100</f>
        <v>1118.1666666666667</v>
      </c>
      <c r="AP836" s="16">
        <f t="shared" si="551"/>
        <v>-164070.96062219006</v>
      </c>
      <c r="AQ836" s="15">
        <f t="shared" si="526"/>
        <v>22.170849845882874</v>
      </c>
      <c r="AR836" s="75">
        <f>AQ836*(1-PARAM!$C$27)*$I$13+(MOD($B836,60)=PARAM!$B$56)*($B836&gt;(60-PARAM!$B$56))*HLOOKUP(($B836+PARAM!$B$56)/12,Loyalty,2)*$F$1*MAX(AT835,0)</f>
        <v>18.557001321003963</v>
      </c>
      <c r="AS836" s="75">
        <f>PARAM!$C$26+MAX($G$13-CHOOSE(PARAM!$B$44,MAX(0,AT835*$F$1),0),0)*RATES!$L812/12+$H$13*(PARAM!$D$51/12)*RATES!$N812/100</f>
        <v>1118.1666666666667</v>
      </c>
      <c r="AT836" s="16">
        <f t="shared" si="552"/>
        <v>-164070.96062219006</v>
      </c>
      <c r="AU836" s="15">
        <f t="shared" si="527"/>
        <v>22.170849845882874</v>
      </c>
      <c r="AV836" s="75">
        <f>AU836*(1-PARAM!$C$27)*$I$14+(MOD($B836,60)=PARAM!$B$56)*($B836&gt;(60-PARAM!$B$56))*HLOOKUP(($B836+PARAM!$B$56)/12,Loyalty,2)*$F$1*MAX(AX835,0)</f>
        <v>18.557001321003963</v>
      </c>
      <c r="AW836" s="75">
        <f>PARAM!$C$26+MAX($G$14-CHOOSE(PARAM!$B$44,MAX(0,AX835*$F$1),0),0)*RATES!$L812/12+$H$14*(PARAM!$D$51/12)*RATES!$N812/100</f>
        <v>1118.1666666666667</v>
      </c>
      <c r="AX836" s="16">
        <f t="shared" si="553"/>
        <v>-164070.96062219006</v>
      </c>
      <c r="AY836" s="15">
        <f t="shared" si="528"/>
        <v>22.170849845882874</v>
      </c>
      <c r="AZ836" s="75">
        <f>AY836*(1-PARAM!$C$27)*$I$15+(MOD($B836,60)=PARAM!$B$56)*($B836&gt;(60-PARAM!$B$56))*HLOOKUP(($B836+PARAM!$B$56)/12,Loyalty,2)*$F$1*MAX(BB835,0)</f>
        <v>18.557001321003963</v>
      </c>
      <c r="BA836" s="75">
        <f>PARAM!$C$26+MAX($G$15-CHOOSE(PARAM!$B$44,MAX(0,BB835*$F$1),0),0)*RATES!$L812/12+$H$15*(PARAM!$D$51/12)*RATES!$N812/100</f>
        <v>1118.1666666666667</v>
      </c>
      <c r="BB836" s="16">
        <f t="shared" si="554"/>
        <v>-164070.96062219006</v>
      </c>
      <c r="BC836" s="15">
        <f t="shared" si="529"/>
        <v>22.170849845882874</v>
      </c>
      <c r="BD836" s="75">
        <f>BC836*(1-PARAM!$C$27)*$I$16+(MOD($B836,60)=PARAM!$B$56)*($B836&gt;(60-PARAM!$B$56))*HLOOKUP(($B836+PARAM!$B$56)/12,Loyalty,2)*$F$1*MAX(BF835,0)</f>
        <v>18.557001321003963</v>
      </c>
      <c r="BE836" s="75">
        <f>PARAM!$C$26+MAX($G$16-CHOOSE(PARAM!$B$44,MAX(0,BF835*$F$1),0),0)*RATES!$L812/12+$H$16*(PARAM!$D$51/12)*RATES!$N812/100</f>
        <v>1118.1666666666667</v>
      </c>
      <c r="BF836" s="16">
        <f t="shared" si="555"/>
        <v>-164070.96062219006</v>
      </c>
      <c r="BG836" s="15">
        <f t="shared" si="530"/>
        <v>22.170849845882874</v>
      </c>
      <c r="BH836" s="75">
        <f>BG836*(1-PARAM!$C$27)*$I$17+(MOD($B836,60)=PARAM!$B$56)*($B836&gt;(60-PARAM!$B$56))*HLOOKUP(($B836+PARAM!$B$56)/12,Loyalty,2)*$F$1*MAX(BJ835,0)</f>
        <v>18.557001321003963</v>
      </c>
      <c r="BI836" s="75">
        <f>PARAM!$C$26+MAX($G$17-CHOOSE(PARAM!$B$44,MAX(0,BJ835*$F$1),0),0)*RATES!$L812/12+$H$17*(PARAM!$D$51/12)*RATES!$N812/100</f>
        <v>1118.1666666666667</v>
      </c>
      <c r="BJ836" s="16">
        <f t="shared" si="556"/>
        <v>-164070.96062219006</v>
      </c>
      <c r="BK836" s="15">
        <f t="shared" si="531"/>
        <v>22.170849845882874</v>
      </c>
      <c r="BL836" s="75">
        <f>BK836*(1-PARAM!$C$27)*$I$18+(MOD($B836,60)=PARAM!$B$56)*($B836&gt;(60-PARAM!$B$56))*HLOOKUP(($B836+PARAM!$B$56)/12,Loyalty,2)*$F$1*MAX(BN835,0)</f>
        <v>18.557001321003963</v>
      </c>
      <c r="BM836" s="75">
        <f>PARAM!$C$26+MAX($G$18-CHOOSE(PARAM!$B$44,MAX(0,BN835*$F$1),0),0)*RATES!$L812/12+$H$18*(PARAM!$D$51/12)*RATES!$N812/100</f>
        <v>1118.1666666666667</v>
      </c>
      <c r="BN836" s="16">
        <f t="shared" si="557"/>
        <v>-164070.96062219006</v>
      </c>
      <c r="BO836" s="15">
        <f t="shared" si="532"/>
        <v>22.170849845882874</v>
      </c>
      <c r="BP836" s="75">
        <f>BO836*(1-PARAM!$C$27)*$I$19+(MOD($B836,60)=PARAM!$B$56)*($B836&gt;(60-PARAM!$B$56))*HLOOKUP(($B836+PARAM!$B$56)/12,Loyalty,2)*$F$1*MAX(BR835,0)</f>
        <v>18.557001321003963</v>
      </c>
      <c r="BQ836" s="75">
        <f>PARAM!$C$26+MAX($G$19-CHOOSE(PARAM!$B$44,MAX(0,BR835*$F$1),0),0)*RATES!$L812/12+$H$19*(PARAM!$D$51/12)*RATES!$N812/100</f>
        <v>1118.1666666666667</v>
      </c>
      <c r="BR836" s="16">
        <f t="shared" si="558"/>
        <v>-164070.96062219006</v>
      </c>
      <c r="BS836" s="15">
        <f t="shared" si="533"/>
        <v>22.170849845882874</v>
      </c>
      <c r="BT836" s="75">
        <f>BS836*(1-PARAM!$C$27)*$I$20+(MOD($B836,60)=PARAM!$B$56)*($B836&gt;(60-PARAM!$B$56))*HLOOKUP(($B836+PARAM!$B$56)/12,Loyalty,2)*$F$1*MAX(BV835,0)</f>
        <v>18.557001321003963</v>
      </c>
      <c r="BU836" s="75">
        <f>PARAM!$C$26+MAX($G$20-CHOOSE(PARAM!$B$44,MAX(0,BV835*$F$1),0),0)*RATES!$L812/12+$H$20*(PARAM!$D$51/12)*RATES!$N812/100</f>
        <v>1118.1666666666667</v>
      </c>
      <c r="BV836" s="16">
        <f t="shared" si="559"/>
        <v>-164070.96062219006</v>
      </c>
      <c r="BW836" s="15">
        <f t="shared" si="534"/>
        <v>22.170849845882874</v>
      </c>
      <c r="BX836" s="75">
        <f>BW836*(1-PARAM!$C$27)*$I$21+(MOD($B836,60)=PARAM!$B$56)*($B836&gt;(60-PARAM!$B$56))*HLOOKUP(($B836+PARAM!$B$56)/12,Loyalty,2)*$F$1*MAX(BZ835,0)</f>
        <v>18.557001321003963</v>
      </c>
      <c r="BY836" s="75">
        <f>PARAM!$C$26+MAX($G$21-CHOOSE(PARAM!$B$44,MAX(0,BZ835*$F$1),0),0)*RATES!$L812/12+$H$21*(PARAM!$D$51/12)*RATES!$N812/100</f>
        <v>1118.1666666666667</v>
      </c>
      <c r="BZ836" s="16">
        <f t="shared" si="560"/>
        <v>-164070.96062219006</v>
      </c>
      <c r="CA836" s="15">
        <f t="shared" si="535"/>
        <v>22.170849845882874</v>
      </c>
      <c r="CB836" s="75">
        <f>CA836*(1-PARAM!$C$27)*$I$22+(MOD($B836,60)=PARAM!$B$56)*($B836&gt;(60-PARAM!$B$56))*HLOOKUP(($B836+PARAM!$B$56)/12,Loyalty,2)*$F$1*MAX(CD835,0)</f>
        <v>18.557001321003963</v>
      </c>
      <c r="CC836" s="75">
        <f>PARAM!$C$26+MAX($G$22-CHOOSE(PARAM!$B$44,MAX(0,CD835*$F$1),0),0)*RATES!$L812/12+$H$22*(PARAM!$D$51/12)*RATES!$N812/100</f>
        <v>1118.1666666666667</v>
      </c>
      <c r="CD836" s="16">
        <f t="shared" si="561"/>
        <v>-164070.96062219006</v>
      </c>
      <c r="CE836" s="33">
        <f>IF(0=MOD(B836,12/PARAM!$D$51),1,0)</f>
        <v>1</v>
      </c>
      <c r="CF836" s="15">
        <f t="shared" si="536"/>
        <v>0</v>
      </c>
      <c r="CG836" s="75">
        <f>CF836*(1-PARAM!$C$27)*$R$3+(MOD($B836/12,5)=0)*($B836&gt;60)*HLOOKUP($B836/12,Loyalty,2)*$F$1*MAX(CI835,0)</f>
        <v>0</v>
      </c>
      <c r="CH836" s="75">
        <f>PARAM!$C$26+MAX($P$3-CHOOSE(PARAM!$B$44,MAX(0,CI835*$F$1),0),0)*RATES!$L812/12+$Q$3*(PARAM!$D$51/12)*RATES!$N812/100</f>
        <v>1118.1666666666667</v>
      </c>
      <c r="CI836" s="16">
        <f>IF(CI835&gt;0,CI835*PARAM!$C$53,CI835)+CG836-CH836</f>
        <v>-178964.00000000029</v>
      </c>
      <c r="CJ836" s="15">
        <f t="shared" si="562"/>
        <v>0</v>
      </c>
      <c r="CK836" s="75">
        <f>CJ836*(1-PARAM!$C$27)*$R$4+(MOD($B836/12,5)=0)*($B836&gt;60)*HLOOKUP($B836/12,Loyalty,2)*$F$1*MAX(CM835,0)</f>
        <v>0</v>
      </c>
      <c r="CL836" s="75">
        <f>PARAM!$C$26+MAX($P$4-CHOOSE(PARAM!$B$44,MAX(0,CM835*$F$1),0),0)*RATES!$L812/12+$Q$4*(PARAM!$D$51/12)*RATES!$N812/100</f>
        <v>1118.1666666666667</v>
      </c>
      <c r="CM836" s="16">
        <f>IF(CM835&gt;0,CM835*PARAM!$C$53,CM835)+CK836-CL836</f>
        <v>-178964.00000000029</v>
      </c>
      <c r="CO836" s="176"/>
    </row>
    <row r="837" spans="1:93" x14ac:dyDescent="0.2">
      <c r="A837" t="b">
        <f t="shared" si="537"/>
        <v>0</v>
      </c>
      <c r="B837" s="33">
        <v>810</v>
      </c>
      <c r="C837" s="15">
        <f t="shared" si="538"/>
        <v>20.081305947392778</v>
      </c>
      <c r="D837" s="75">
        <f>C837*(1-PARAM!$C$27)*$I$3+(MOD($B837,60)=PARAM!$B$56)*($B837&gt;(60-PARAM!$B$56))*HLOOKUP(($B837+PARAM!$B$56)/12,Loyalty,2)*$F$1*MAX(F836,0)</f>
        <v>16.808053077967756</v>
      </c>
      <c r="E837" s="75">
        <f>PARAM!$C$26+MAX($G$3-CHOOSE(PARAM!$B$44,MAX(0,F836*$F$1),0),0)*RATES!$L813/12+$H$3*(PARAM!$D$51/12)*RATES!$N813/100</f>
        <v>1190.0416666666667</v>
      </c>
      <c r="F837" s="16">
        <f t="shared" si="539"/>
        <v>-166695.94386491683</v>
      </c>
      <c r="G837" s="15">
        <f t="shared" si="540"/>
        <v>22.035289406060361</v>
      </c>
      <c r="H837" s="75">
        <f>G837*(1-PARAM!$C$27)*$I$4+(MOD($B837,60)=PARAM!$B$56)*($B837&gt;(60-PARAM!$B$56))*HLOOKUP(($B837+PARAM!$B$56)/12,Loyalty,2)*$F$1*MAX(J836,0)</f>
        <v>18.443537232872522</v>
      </c>
      <c r="I837" s="75">
        <f>PARAM!$C$26+MAX($G$4-CHOOSE(PARAM!$B$44,MAX(0,J836*$F$1),0),0)*RATES!$L813/12+$H$4*(PARAM!$D$51/12)*RATES!$N813/100</f>
        <v>1190.0416666666667</v>
      </c>
      <c r="J837" s="16">
        <f t="shared" si="541"/>
        <v>-165337.3687353218</v>
      </c>
      <c r="K837" s="15">
        <f t="shared" si="542"/>
        <v>22.170849845882874</v>
      </c>
      <c r="L837" s="75">
        <f>K837*(1-PARAM!$C$27)*$I$5+(MOD($B837,60)=PARAM!$B$56)*($B837&gt;(60-PARAM!$B$56))*HLOOKUP(($B837+PARAM!$B$56)/12,Loyalty,2)*$F$1*MAX(N836,0)</f>
        <v>18.557001321003963</v>
      </c>
      <c r="M837" s="75">
        <f>PARAM!$C$26+MAX($G$5-CHOOSE(PARAM!$B$44,MAX(0,N836*$F$1),0),0)*RATES!$L813/12+$H$5*(PARAM!$D$51/12)*RATES!$N813/100</f>
        <v>1190.0416666666667</v>
      </c>
      <c r="N837" s="16">
        <f t="shared" si="543"/>
        <v>-165242.44528753572</v>
      </c>
      <c r="O837" s="15">
        <f t="shared" si="544"/>
        <v>22.170849845882874</v>
      </c>
      <c r="P837" s="75">
        <f>O837*(1-PARAM!$C$27)*$I$6+(MOD($B837,60)=PARAM!$B$56)*($B837&gt;(60-PARAM!$B$56))*HLOOKUP(($B837+PARAM!$B$56)/12,Loyalty,2)*$F$1*MAX(R836,0)</f>
        <v>18.557001321003963</v>
      </c>
      <c r="Q837" s="75">
        <f>PARAM!$C$26+MAX($G$6-CHOOSE(PARAM!$B$44,MAX(0,R836*$F$1),0),0)*RATES!$L813/12+$H$6*(PARAM!$D$51/12)*RATES!$N813/100</f>
        <v>1190.0416666666667</v>
      </c>
      <c r="R837" s="16">
        <f t="shared" si="545"/>
        <v>-165242.44528753572</v>
      </c>
      <c r="S837" s="15">
        <f t="shared" si="520"/>
        <v>22.170849845882874</v>
      </c>
      <c r="T837" s="75">
        <f>S837*(1-PARAM!$C$27)*$I$7+(MOD($B837,60)=PARAM!$B$56)*($B837&gt;(60-PARAM!$B$56))*HLOOKUP(($B837+PARAM!$B$56)/12,Loyalty,2)*$F$1*MAX(V836,0)</f>
        <v>18.557001321003963</v>
      </c>
      <c r="U837" s="75">
        <f>PARAM!$C$26+MAX($G$7-CHOOSE(PARAM!$B$44,MAX(0,V836*$F$1),0),0)*RATES!$L813/12+$H$7*(PARAM!$D$51/12)*RATES!$N813/100</f>
        <v>1190.0416666666667</v>
      </c>
      <c r="V837" s="16">
        <f t="shared" si="546"/>
        <v>-165242.44528753572</v>
      </c>
      <c r="W837" s="15">
        <f t="shared" si="521"/>
        <v>22.170849845882874</v>
      </c>
      <c r="X837" s="75">
        <f>W837*(1-PARAM!$C$27)*$I$8+(MOD($B837,60)=PARAM!$B$56)*($B837&gt;(60-PARAM!$B$56))*HLOOKUP(($B837+PARAM!$B$56)/12,Loyalty,2)*$F$1*MAX(Z836,0)</f>
        <v>18.557001321003963</v>
      </c>
      <c r="Y837" s="75">
        <f>PARAM!$C$26+MAX($G$8-CHOOSE(PARAM!$B$44,MAX(0,Z836*$F$1),0),0)*RATES!$L813/12+$H$8*(PARAM!$D$51/12)*RATES!$N813/100</f>
        <v>1190.0416666666667</v>
      </c>
      <c r="Z837" s="16">
        <f t="shared" si="547"/>
        <v>-165242.44528753572</v>
      </c>
      <c r="AA837" s="15">
        <f t="shared" si="522"/>
        <v>22.170849845882874</v>
      </c>
      <c r="AB837" s="75">
        <f>AA837*(1-PARAM!$C$27)*$I$9+(MOD($B837,60)=PARAM!$B$56)*($B837&gt;(60-PARAM!$B$56))*HLOOKUP(($B837+PARAM!$B$56)/12,Loyalty,2)*$F$1*MAX(AD836,0)</f>
        <v>18.557001321003963</v>
      </c>
      <c r="AC837" s="75">
        <f>PARAM!$C$26+MAX($G$9-CHOOSE(PARAM!$B$44,MAX(0,AD836*$F$1),0),0)*RATES!$L813/12+$H$9*(PARAM!$D$51/12)*RATES!$N813/100</f>
        <v>1190.0416666666667</v>
      </c>
      <c r="AD837" s="16">
        <f t="shared" si="548"/>
        <v>-165242.44528753572</v>
      </c>
      <c r="AE837" s="15">
        <f t="shared" si="523"/>
        <v>22.170849845882874</v>
      </c>
      <c r="AF837" s="75">
        <f>AE837*(1-PARAM!$C$27)*$I$10+(MOD($B837,60)=PARAM!$B$56)*($B837&gt;(60-PARAM!$B$56))*HLOOKUP(($B837+PARAM!$B$56)/12,Loyalty,2)*$F$1*MAX(AH836,0)</f>
        <v>18.557001321003963</v>
      </c>
      <c r="AG837" s="75">
        <f>PARAM!$C$26+MAX($G$10-CHOOSE(PARAM!$B$44,MAX(0,AH836*$F$1),0),0)*RATES!$L813/12+$H$10*(PARAM!$D$51/12)*RATES!$N813/100</f>
        <v>1190.0416666666667</v>
      </c>
      <c r="AH837" s="16">
        <f t="shared" si="549"/>
        <v>-165242.44528753572</v>
      </c>
      <c r="AI837" s="15">
        <f t="shared" si="524"/>
        <v>22.170849845882874</v>
      </c>
      <c r="AJ837" s="75">
        <f>AI837*(1-PARAM!$C$27)*$I$11+(MOD($B837,60)=PARAM!$B$56)*($B837&gt;(60-PARAM!$B$56))*HLOOKUP(($B837+PARAM!$B$56)/12,Loyalty,2)*$F$1*MAX(AL836,0)</f>
        <v>18.557001321003963</v>
      </c>
      <c r="AK837" s="75">
        <f>PARAM!$C$26+MAX($G$11-CHOOSE(PARAM!$B$44,MAX(0,AL836*$F$1),0),0)*RATES!$L813/12+$H$11*(PARAM!$D$51/12)*RATES!$N813/100</f>
        <v>1190.0416666666667</v>
      </c>
      <c r="AL837" s="16">
        <f t="shared" si="550"/>
        <v>-165242.44528753572</v>
      </c>
      <c r="AM837" s="15">
        <f t="shared" si="525"/>
        <v>22.170849845882874</v>
      </c>
      <c r="AN837" s="75">
        <f>AM837*(1-PARAM!$C$27)*$I$12+(MOD($B837,60)=PARAM!$B$56)*($B837&gt;(60-PARAM!$B$56))*HLOOKUP(($B837+PARAM!$B$56)/12,Loyalty,2)*$F$1*MAX(AP836,0)</f>
        <v>18.557001321003963</v>
      </c>
      <c r="AO837" s="75">
        <f>PARAM!$C$26+MAX($G$12-CHOOSE(PARAM!$B$44,MAX(0,AP836*$F$1),0),0)*RATES!$L813/12+$H$12*(PARAM!$D$51/12)*RATES!$N813/100</f>
        <v>1190.0416666666667</v>
      </c>
      <c r="AP837" s="16">
        <f t="shared" si="551"/>
        <v>-165242.44528753572</v>
      </c>
      <c r="AQ837" s="15">
        <f t="shared" si="526"/>
        <v>22.170849845882874</v>
      </c>
      <c r="AR837" s="75">
        <f>AQ837*(1-PARAM!$C$27)*$I$13+(MOD($B837,60)=PARAM!$B$56)*($B837&gt;(60-PARAM!$B$56))*HLOOKUP(($B837+PARAM!$B$56)/12,Loyalty,2)*$F$1*MAX(AT836,0)</f>
        <v>18.557001321003963</v>
      </c>
      <c r="AS837" s="75">
        <f>PARAM!$C$26+MAX($G$13-CHOOSE(PARAM!$B$44,MAX(0,AT836*$F$1),0),0)*RATES!$L813/12+$H$13*(PARAM!$D$51/12)*RATES!$N813/100</f>
        <v>1190.0416666666667</v>
      </c>
      <c r="AT837" s="16">
        <f t="shared" si="552"/>
        <v>-165242.44528753572</v>
      </c>
      <c r="AU837" s="15">
        <f t="shared" si="527"/>
        <v>22.170849845882874</v>
      </c>
      <c r="AV837" s="75">
        <f>AU837*(1-PARAM!$C$27)*$I$14+(MOD($B837,60)=PARAM!$B$56)*($B837&gt;(60-PARAM!$B$56))*HLOOKUP(($B837+PARAM!$B$56)/12,Loyalty,2)*$F$1*MAX(AX836,0)</f>
        <v>18.557001321003963</v>
      </c>
      <c r="AW837" s="75">
        <f>PARAM!$C$26+MAX($G$14-CHOOSE(PARAM!$B$44,MAX(0,AX836*$F$1),0),0)*RATES!$L813/12+$H$14*(PARAM!$D$51/12)*RATES!$N813/100</f>
        <v>1190.0416666666667</v>
      </c>
      <c r="AX837" s="16">
        <f t="shared" si="553"/>
        <v>-165242.44528753572</v>
      </c>
      <c r="AY837" s="15">
        <f t="shared" si="528"/>
        <v>22.170849845882874</v>
      </c>
      <c r="AZ837" s="75">
        <f>AY837*(1-PARAM!$C$27)*$I$15+(MOD($B837,60)=PARAM!$B$56)*($B837&gt;(60-PARAM!$B$56))*HLOOKUP(($B837+PARAM!$B$56)/12,Loyalty,2)*$F$1*MAX(BB836,0)</f>
        <v>18.557001321003963</v>
      </c>
      <c r="BA837" s="75">
        <f>PARAM!$C$26+MAX($G$15-CHOOSE(PARAM!$B$44,MAX(0,BB836*$F$1),0),0)*RATES!$L813/12+$H$15*(PARAM!$D$51/12)*RATES!$N813/100</f>
        <v>1190.0416666666667</v>
      </c>
      <c r="BB837" s="16">
        <f t="shared" si="554"/>
        <v>-165242.44528753572</v>
      </c>
      <c r="BC837" s="15">
        <f t="shared" si="529"/>
        <v>22.170849845882874</v>
      </c>
      <c r="BD837" s="75">
        <f>BC837*(1-PARAM!$C$27)*$I$16+(MOD($B837,60)=PARAM!$B$56)*($B837&gt;(60-PARAM!$B$56))*HLOOKUP(($B837+PARAM!$B$56)/12,Loyalty,2)*$F$1*MAX(BF836,0)</f>
        <v>18.557001321003963</v>
      </c>
      <c r="BE837" s="75">
        <f>PARAM!$C$26+MAX($G$16-CHOOSE(PARAM!$B$44,MAX(0,BF836*$F$1),0),0)*RATES!$L813/12+$H$16*(PARAM!$D$51/12)*RATES!$N813/100</f>
        <v>1190.0416666666667</v>
      </c>
      <c r="BF837" s="16">
        <f t="shared" si="555"/>
        <v>-165242.44528753572</v>
      </c>
      <c r="BG837" s="15">
        <f t="shared" si="530"/>
        <v>22.170849845882874</v>
      </c>
      <c r="BH837" s="75">
        <f>BG837*(1-PARAM!$C$27)*$I$17+(MOD($B837,60)=PARAM!$B$56)*($B837&gt;(60-PARAM!$B$56))*HLOOKUP(($B837+PARAM!$B$56)/12,Loyalty,2)*$F$1*MAX(BJ836,0)</f>
        <v>18.557001321003963</v>
      </c>
      <c r="BI837" s="75">
        <f>PARAM!$C$26+MAX($G$17-CHOOSE(PARAM!$B$44,MAX(0,BJ836*$F$1),0),0)*RATES!$L813/12+$H$17*(PARAM!$D$51/12)*RATES!$N813/100</f>
        <v>1190.0416666666667</v>
      </c>
      <c r="BJ837" s="16">
        <f t="shared" si="556"/>
        <v>-165242.44528753572</v>
      </c>
      <c r="BK837" s="15">
        <f t="shared" si="531"/>
        <v>22.170849845882874</v>
      </c>
      <c r="BL837" s="75">
        <f>BK837*(1-PARAM!$C$27)*$I$18+(MOD($B837,60)=PARAM!$B$56)*($B837&gt;(60-PARAM!$B$56))*HLOOKUP(($B837+PARAM!$B$56)/12,Loyalty,2)*$F$1*MAX(BN836,0)</f>
        <v>18.557001321003963</v>
      </c>
      <c r="BM837" s="75">
        <f>PARAM!$C$26+MAX($G$18-CHOOSE(PARAM!$B$44,MAX(0,BN836*$F$1),0),0)*RATES!$L813/12+$H$18*(PARAM!$D$51/12)*RATES!$N813/100</f>
        <v>1190.0416666666667</v>
      </c>
      <c r="BN837" s="16">
        <f t="shared" si="557"/>
        <v>-165242.44528753572</v>
      </c>
      <c r="BO837" s="15">
        <f t="shared" si="532"/>
        <v>22.170849845882874</v>
      </c>
      <c r="BP837" s="75">
        <f>BO837*(1-PARAM!$C$27)*$I$19+(MOD($B837,60)=PARAM!$B$56)*($B837&gt;(60-PARAM!$B$56))*HLOOKUP(($B837+PARAM!$B$56)/12,Loyalty,2)*$F$1*MAX(BR836,0)</f>
        <v>18.557001321003963</v>
      </c>
      <c r="BQ837" s="75">
        <f>PARAM!$C$26+MAX($G$19-CHOOSE(PARAM!$B$44,MAX(0,BR836*$F$1),0),0)*RATES!$L813/12+$H$19*(PARAM!$D$51/12)*RATES!$N813/100</f>
        <v>1190.0416666666667</v>
      </c>
      <c r="BR837" s="16">
        <f t="shared" si="558"/>
        <v>-165242.44528753572</v>
      </c>
      <c r="BS837" s="15">
        <f t="shared" si="533"/>
        <v>22.170849845882874</v>
      </c>
      <c r="BT837" s="75">
        <f>BS837*(1-PARAM!$C$27)*$I$20+(MOD($B837,60)=PARAM!$B$56)*($B837&gt;(60-PARAM!$B$56))*HLOOKUP(($B837+PARAM!$B$56)/12,Loyalty,2)*$F$1*MAX(BV836,0)</f>
        <v>18.557001321003963</v>
      </c>
      <c r="BU837" s="75">
        <f>PARAM!$C$26+MAX($G$20-CHOOSE(PARAM!$B$44,MAX(0,BV836*$F$1),0),0)*RATES!$L813/12+$H$20*(PARAM!$D$51/12)*RATES!$N813/100</f>
        <v>1190.0416666666667</v>
      </c>
      <c r="BV837" s="16">
        <f t="shared" si="559"/>
        <v>-165242.44528753572</v>
      </c>
      <c r="BW837" s="15">
        <f t="shared" si="534"/>
        <v>22.170849845882874</v>
      </c>
      <c r="BX837" s="75">
        <f>BW837*(1-PARAM!$C$27)*$I$21+(MOD($B837,60)=PARAM!$B$56)*($B837&gt;(60-PARAM!$B$56))*HLOOKUP(($B837+PARAM!$B$56)/12,Loyalty,2)*$F$1*MAX(BZ836,0)</f>
        <v>18.557001321003963</v>
      </c>
      <c r="BY837" s="75">
        <f>PARAM!$C$26+MAX($G$21-CHOOSE(PARAM!$B$44,MAX(0,BZ836*$F$1),0),0)*RATES!$L813/12+$H$21*(PARAM!$D$51/12)*RATES!$N813/100</f>
        <v>1190.0416666666667</v>
      </c>
      <c r="BZ837" s="16">
        <f t="shared" si="560"/>
        <v>-165242.44528753572</v>
      </c>
      <c r="CA837" s="15">
        <f t="shared" si="535"/>
        <v>22.170849845882874</v>
      </c>
      <c r="CB837" s="75">
        <f>CA837*(1-PARAM!$C$27)*$I$22+(MOD($B837,60)=PARAM!$B$56)*($B837&gt;(60-PARAM!$B$56))*HLOOKUP(($B837+PARAM!$B$56)/12,Loyalty,2)*$F$1*MAX(CD836,0)</f>
        <v>18.557001321003963</v>
      </c>
      <c r="CC837" s="75">
        <f>PARAM!$C$26+MAX($G$22-CHOOSE(PARAM!$B$44,MAX(0,CD836*$F$1),0),0)*RATES!$L813/12+$H$22*(PARAM!$D$51/12)*RATES!$N813/100</f>
        <v>1190.0416666666667</v>
      </c>
      <c r="CD837" s="16">
        <f t="shared" si="561"/>
        <v>-165242.44528753572</v>
      </c>
      <c r="CE837" s="33">
        <f>IF(0=MOD(B837,12/PARAM!$D$51),1,0)</f>
        <v>1</v>
      </c>
      <c r="CF837" s="15">
        <f t="shared" si="536"/>
        <v>0</v>
      </c>
      <c r="CG837" s="75">
        <f>CF837*(1-PARAM!$C$27)*$R$3+(MOD($B837/12,5)=0)*($B837&gt;60)*HLOOKUP($B837/12,Loyalty,2)*$F$1*MAX(CI836,0)</f>
        <v>0</v>
      </c>
      <c r="CH837" s="75">
        <f>PARAM!$C$26+MAX($P$3-CHOOSE(PARAM!$B$44,MAX(0,CI836*$F$1),0),0)*RATES!$L813/12+$Q$3*(PARAM!$D$51/12)*RATES!$N813/100</f>
        <v>1190.0416666666667</v>
      </c>
      <c r="CI837" s="16">
        <f>IF(CI836&gt;0,CI836*PARAM!$C$53,CI836)+CG837-CH837</f>
        <v>-180154.04166666695</v>
      </c>
      <c r="CJ837" s="15">
        <f t="shared" si="562"/>
        <v>0</v>
      </c>
      <c r="CK837" s="75">
        <f>CJ837*(1-PARAM!$C$27)*$R$4+(MOD($B837/12,5)=0)*($B837&gt;60)*HLOOKUP($B837/12,Loyalty,2)*$F$1*MAX(CM836,0)</f>
        <v>0</v>
      </c>
      <c r="CL837" s="75">
        <f>PARAM!$C$26+MAX($P$4-CHOOSE(PARAM!$B$44,MAX(0,CM836*$F$1),0),0)*RATES!$L813/12+$Q$4*(PARAM!$D$51/12)*RATES!$N813/100</f>
        <v>1190.0416666666667</v>
      </c>
      <c r="CM837" s="16">
        <f>IF(CM836&gt;0,CM836*PARAM!$C$53,CM836)+CK837-CL837</f>
        <v>-180154.04166666695</v>
      </c>
      <c r="CO837" s="176"/>
    </row>
    <row r="838" spans="1:93" x14ac:dyDescent="0.2">
      <c r="A838" t="b">
        <f t="shared" si="537"/>
        <v>0</v>
      </c>
      <c r="B838" s="33">
        <v>811</v>
      </c>
      <c r="C838" s="15">
        <f t="shared" si="538"/>
        <v>20.081305947392778</v>
      </c>
      <c r="D838" s="75">
        <f>C838*(1-PARAM!$C$27)*$I$3+(MOD($B838,60)=PARAM!$B$56)*($B838&gt;(60-PARAM!$B$56))*HLOOKUP(($B838+PARAM!$B$56)/12,Loyalty,2)*$F$1*MAX(F837,0)</f>
        <v>16.808053077967756</v>
      </c>
      <c r="E838" s="75">
        <f>PARAM!$C$26+MAX($G$3-CHOOSE(PARAM!$B$44,MAX(0,F837*$F$1),0),0)*RATES!$L814/12+$H$3*(PARAM!$D$51/12)*RATES!$N814/100</f>
        <v>1190.0416666666667</v>
      </c>
      <c r="F838" s="16">
        <f t="shared" si="539"/>
        <v>-167869.17747850553</v>
      </c>
      <c r="G838" s="15">
        <f t="shared" si="540"/>
        <v>22.035289406060361</v>
      </c>
      <c r="H838" s="75">
        <f>G838*(1-PARAM!$C$27)*$I$4+(MOD($B838,60)=PARAM!$B$56)*($B838&gt;(60-PARAM!$B$56))*HLOOKUP(($B838+PARAM!$B$56)/12,Loyalty,2)*$F$1*MAX(J837,0)</f>
        <v>18.443537232872522</v>
      </c>
      <c r="I838" s="75">
        <f>PARAM!$C$26+MAX($G$4-CHOOSE(PARAM!$B$44,MAX(0,J837*$F$1),0),0)*RATES!$L814/12+$H$4*(PARAM!$D$51/12)*RATES!$N814/100</f>
        <v>1190.0416666666667</v>
      </c>
      <c r="J838" s="16">
        <f t="shared" si="541"/>
        <v>-166508.96686475558</v>
      </c>
      <c r="K838" s="15">
        <f t="shared" si="542"/>
        <v>22.170849845882874</v>
      </c>
      <c r="L838" s="75">
        <f>K838*(1-PARAM!$C$27)*$I$5+(MOD($B838,60)=PARAM!$B$56)*($B838&gt;(60-PARAM!$B$56))*HLOOKUP(($B838+PARAM!$B$56)/12,Loyalty,2)*$F$1*MAX(N837,0)</f>
        <v>18.557001321003963</v>
      </c>
      <c r="M838" s="75">
        <f>PARAM!$C$26+MAX($G$5-CHOOSE(PARAM!$B$44,MAX(0,N837*$F$1),0),0)*RATES!$L814/12+$H$5*(PARAM!$D$51/12)*RATES!$N814/100</f>
        <v>1190.0416666666667</v>
      </c>
      <c r="N838" s="16">
        <f t="shared" si="543"/>
        <v>-166413.92995288139</v>
      </c>
      <c r="O838" s="15">
        <f t="shared" si="544"/>
        <v>22.170849845882874</v>
      </c>
      <c r="P838" s="75">
        <f>O838*(1-PARAM!$C$27)*$I$6+(MOD($B838,60)=PARAM!$B$56)*($B838&gt;(60-PARAM!$B$56))*HLOOKUP(($B838+PARAM!$B$56)/12,Loyalty,2)*$F$1*MAX(R837,0)</f>
        <v>18.557001321003963</v>
      </c>
      <c r="Q838" s="75">
        <f>PARAM!$C$26+MAX($G$6-CHOOSE(PARAM!$B$44,MAX(0,R837*$F$1),0),0)*RATES!$L814/12+$H$6*(PARAM!$D$51/12)*RATES!$N814/100</f>
        <v>1190.0416666666667</v>
      </c>
      <c r="R838" s="16">
        <f t="shared" si="545"/>
        <v>-166413.92995288139</v>
      </c>
      <c r="S838" s="15">
        <f t="shared" si="520"/>
        <v>22.170849845882874</v>
      </c>
      <c r="T838" s="75">
        <f>S838*(1-PARAM!$C$27)*$I$7+(MOD($B838,60)=PARAM!$B$56)*($B838&gt;(60-PARAM!$B$56))*HLOOKUP(($B838+PARAM!$B$56)/12,Loyalty,2)*$F$1*MAX(V837,0)</f>
        <v>18.557001321003963</v>
      </c>
      <c r="U838" s="75">
        <f>PARAM!$C$26+MAX($G$7-CHOOSE(PARAM!$B$44,MAX(0,V837*$F$1),0),0)*RATES!$L814/12+$H$7*(PARAM!$D$51/12)*RATES!$N814/100</f>
        <v>1190.0416666666667</v>
      </c>
      <c r="V838" s="16">
        <f t="shared" si="546"/>
        <v>-166413.92995288139</v>
      </c>
      <c r="W838" s="15">
        <f t="shared" si="521"/>
        <v>22.170849845882874</v>
      </c>
      <c r="X838" s="75">
        <f>W838*(1-PARAM!$C$27)*$I$8+(MOD($B838,60)=PARAM!$B$56)*($B838&gt;(60-PARAM!$B$56))*HLOOKUP(($B838+PARAM!$B$56)/12,Loyalty,2)*$F$1*MAX(Z837,0)</f>
        <v>18.557001321003963</v>
      </c>
      <c r="Y838" s="75">
        <f>PARAM!$C$26+MAX($G$8-CHOOSE(PARAM!$B$44,MAX(0,Z837*$F$1),0),0)*RATES!$L814/12+$H$8*(PARAM!$D$51/12)*RATES!$N814/100</f>
        <v>1190.0416666666667</v>
      </c>
      <c r="Z838" s="16">
        <f t="shared" si="547"/>
        <v>-166413.92995288139</v>
      </c>
      <c r="AA838" s="15">
        <f t="shared" si="522"/>
        <v>22.170849845882874</v>
      </c>
      <c r="AB838" s="75">
        <f>AA838*(1-PARAM!$C$27)*$I$9+(MOD($B838,60)=PARAM!$B$56)*($B838&gt;(60-PARAM!$B$56))*HLOOKUP(($B838+PARAM!$B$56)/12,Loyalty,2)*$F$1*MAX(AD837,0)</f>
        <v>18.557001321003963</v>
      </c>
      <c r="AC838" s="75">
        <f>PARAM!$C$26+MAX($G$9-CHOOSE(PARAM!$B$44,MAX(0,AD837*$F$1),0),0)*RATES!$L814/12+$H$9*(PARAM!$D$51/12)*RATES!$N814/100</f>
        <v>1190.0416666666667</v>
      </c>
      <c r="AD838" s="16">
        <f t="shared" si="548"/>
        <v>-166413.92995288139</v>
      </c>
      <c r="AE838" s="15">
        <f t="shared" si="523"/>
        <v>22.170849845882874</v>
      </c>
      <c r="AF838" s="75">
        <f>AE838*(1-PARAM!$C$27)*$I$10+(MOD($B838,60)=PARAM!$B$56)*($B838&gt;(60-PARAM!$B$56))*HLOOKUP(($B838+PARAM!$B$56)/12,Loyalty,2)*$F$1*MAX(AH837,0)</f>
        <v>18.557001321003963</v>
      </c>
      <c r="AG838" s="75">
        <f>PARAM!$C$26+MAX($G$10-CHOOSE(PARAM!$B$44,MAX(0,AH837*$F$1),0),0)*RATES!$L814/12+$H$10*(PARAM!$D$51/12)*RATES!$N814/100</f>
        <v>1190.0416666666667</v>
      </c>
      <c r="AH838" s="16">
        <f t="shared" si="549"/>
        <v>-166413.92995288139</v>
      </c>
      <c r="AI838" s="15">
        <f t="shared" si="524"/>
        <v>22.170849845882874</v>
      </c>
      <c r="AJ838" s="75">
        <f>AI838*(1-PARAM!$C$27)*$I$11+(MOD($B838,60)=PARAM!$B$56)*($B838&gt;(60-PARAM!$B$56))*HLOOKUP(($B838+PARAM!$B$56)/12,Loyalty,2)*$F$1*MAX(AL837,0)</f>
        <v>18.557001321003963</v>
      </c>
      <c r="AK838" s="75">
        <f>PARAM!$C$26+MAX($G$11-CHOOSE(PARAM!$B$44,MAX(0,AL837*$F$1),0),0)*RATES!$L814/12+$H$11*(PARAM!$D$51/12)*RATES!$N814/100</f>
        <v>1190.0416666666667</v>
      </c>
      <c r="AL838" s="16">
        <f t="shared" si="550"/>
        <v>-166413.92995288139</v>
      </c>
      <c r="AM838" s="15">
        <f t="shared" si="525"/>
        <v>22.170849845882874</v>
      </c>
      <c r="AN838" s="75">
        <f>AM838*(1-PARAM!$C$27)*$I$12+(MOD($B838,60)=PARAM!$B$56)*($B838&gt;(60-PARAM!$B$56))*HLOOKUP(($B838+PARAM!$B$56)/12,Loyalty,2)*$F$1*MAX(AP837,0)</f>
        <v>18.557001321003963</v>
      </c>
      <c r="AO838" s="75">
        <f>PARAM!$C$26+MAX($G$12-CHOOSE(PARAM!$B$44,MAX(0,AP837*$F$1),0),0)*RATES!$L814/12+$H$12*(PARAM!$D$51/12)*RATES!$N814/100</f>
        <v>1190.0416666666667</v>
      </c>
      <c r="AP838" s="16">
        <f t="shared" si="551"/>
        <v>-166413.92995288139</v>
      </c>
      <c r="AQ838" s="15">
        <f t="shared" si="526"/>
        <v>22.170849845882874</v>
      </c>
      <c r="AR838" s="75">
        <f>AQ838*(1-PARAM!$C$27)*$I$13+(MOD($B838,60)=PARAM!$B$56)*($B838&gt;(60-PARAM!$B$56))*HLOOKUP(($B838+PARAM!$B$56)/12,Loyalty,2)*$F$1*MAX(AT837,0)</f>
        <v>18.557001321003963</v>
      </c>
      <c r="AS838" s="75">
        <f>PARAM!$C$26+MAX($G$13-CHOOSE(PARAM!$B$44,MAX(0,AT837*$F$1),0),0)*RATES!$L814/12+$H$13*(PARAM!$D$51/12)*RATES!$N814/100</f>
        <v>1190.0416666666667</v>
      </c>
      <c r="AT838" s="16">
        <f t="shared" si="552"/>
        <v>-166413.92995288139</v>
      </c>
      <c r="AU838" s="15">
        <f t="shared" si="527"/>
        <v>22.170849845882874</v>
      </c>
      <c r="AV838" s="75">
        <f>AU838*(1-PARAM!$C$27)*$I$14+(MOD($B838,60)=PARAM!$B$56)*($B838&gt;(60-PARAM!$B$56))*HLOOKUP(($B838+PARAM!$B$56)/12,Loyalty,2)*$F$1*MAX(AX837,0)</f>
        <v>18.557001321003963</v>
      </c>
      <c r="AW838" s="75">
        <f>PARAM!$C$26+MAX($G$14-CHOOSE(PARAM!$B$44,MAX(0,AX837*$F$1),0),0)*RATES!$L814/12+$H$14*(PARAM!$D$51/12)*RATES!$N814/100</f>
        <v>1190.0416666666667</v>
      </c>
      <c r="AX838" s="16">
        <f t="shared" si="553"/>
        <v>-166413.92995288139</v>
      </c>
      <c r="AY838" s="15">
        <f t="shared" si="528"/>
        <v>22.170849845882874</v>
      </c>
      <c r="AZ838" s="75">
        <f>AY838*(1-PARAM!$C$27)*$I$15+(MOD($B838,60)=PARAM!$B$56)*($B838&gt;(60-PARAM!$B$56))*HLOOKUP(($B838+PARAM!$B$56)/12,Loyalty,2)*$F$1*MAX(BB837,0)</f>
        <v>18.557001321003963</v>
      </c>
      <c r="BA838" s="75">
        <f>PARAM!$C$26+MAX($G$15-CHOOSE(PARAM!$B$44,MAX(0,BB837*$F$1),0),0)*RATES!$L814/12+$H$15*(PARAM!$D$51/12)*RATES!$N814/100</f>
        <v>1190.0416666666667</v>
      </c>
      <c r="BB838" s="16">
        <f t="shared" si="554"/>
        <v>-166413.92995288139</v>
      </c>
      <c r="BC838" s="15">
        <f t="shared" si="529"/>
        <v>22.170849845882874</v>
      </c>
      <c r="BD838" s="75">
        <f>BC838*(1-PARAM!$C$27)*$I$16+(MOD($B838,60)=PARAM!$B$56)*($B838&gt;(60-PARAM!$B$56))*HLOOKUP(($B838+PARAM!$B$56)/12,Loyalty,2)*$F$1*MAX(BF837,0)</f>
        <v>18.557001321003963</v>
      </c>
      <c r="BE838" s="75">
        <f>PARAM!$C$26+MAX($G$16-CHOOSE(PARAM!$B$44,MAX(0,BF837*$F$1),0),0)*RATES!$L814/12+$H$16*(PARAM!$D$51/12)*RATES!$N814/100</f>
        <v>1190.0416666666667</v>
      </c>
      <c r="BF838" s="16">
        <f t="shared" si="555"/>
        <v>-166413.92995288139</v>
      </c>
      <c r="BG838" s="15">
        <f t="shared" si="530"/>
        <v>22.170849845882874</v>
      </c>
      <c r="BH838" s="75">
        <f>BG838*(1-PARAM!$C$27)*$I$17+(MOD($B838,60)=PARAM!$B$56)*($B838&gt;(60-PARAM!$B$56))*HLOOKUP(($B838+PARAM!$B$56)/12,Loyalty,2)*$F$1*MAX(BJ837,0)</f>
        <v>18.557001321003963</v>
      </c>
      <c r="BI838" s="75">
        <f>PARAM!$C$26+MAX($G$17-CHOOSE(PARAM!$B$44,MAX(0,BJ837*$F$1),0),0)*RATES!$L814/12+$H$17*(PARAM!$D$51/12)*RATES!$N814/100</f>
        <v>1190.0416666666667</v>
      </c>
      <c r="BJ838" s="16">
        <f t="shared" si="556"/>
        <v>-166413.92995288139</v>
      </c>
      <c r="BK838" s="15">
        <f t="shared" si="531"/>
        <v>22.170849845882874</v>
      </c>
      <c r="BL838" s="75">
        <f>BK838*(1-PARAM!$C$27)*$I$18+(MOD($B838,60)=PARAM!$B$56)*($B838&gt;(60-PARAM!$B$56))*HLOOKUP(($B838+PARAM!$B$56)/12,Loyalty,2)*$F$1*MAX(BN837,0)</f>
        <v>18.557001321003963</v>
      </c>
      <c r="BM838" s="75">
        <f>PARAM!$C$26+MAX($G$18-CHOOSE(PARAM!$B$44,MAX(0,BN837*$F$1),0),0)*RATES!$L814/12+$H$18*(PARAM!$D$51/12)*RATES!$N814/100</f>
        <v>1190.0416666666667</v>
      </c>
      <c r="BN838" s="16">
        <f t="shared" si="557"/>
        <v>-166413.92995288139</v>
      </c>
      <c r="BO838" s="15">
        <f t="shared" si="532"/>
        <v>22.170849845882874</v>
      </c>
      <c r="BP838" s="75">
        <f>BO838*(1-PARAM!$C$27)*$I$19+(MOD($B838,60)=PARAM!$B$56)*($B838&gt;(60-PARAM!$B$56))*HLOOKUP(($B838+PARAM!$B$56)/12,Loyalty,2)*$F$1*MAX(BR837,0)</f>
        <v>18.557001321003963</v>
      </c>
      <c r="BQ838" s="75">
        <f>PARAM!$C$26+MAX($G$19-CHOOSE(PARAM!$B$44,MAX(0,BR837*$F$1),0),0)*RATES!$L814/12+$H$19*(PARAM!$D$51/12)*RATES!$N814/100</f>
        <v>1190.0416666666667</v>
      </c>
      <c r="BR838" s="16">
        <f t="shared" si="558"/>
        <v>-166413.92995288139</v>
      </c>
      <c r="BS838" s="15">
        <f t="shared" si="533"/>
        <v>22.170849845882874</v>
      </c>
      <c r="BT838" s="75">
        <f>BS838*(1-PARAM!$C$27)*$I$20+(MOD($B838,60)=PARAM!$B$56)*($B838&gt;(60-PARAM!$B$56))*HLOOKUP(($B838+PARAM!$B$56)/12,Loyalty,2)*$F$1*MAX(BV837,0)</f>
        <v>18.557001321003963</v>
      </c>
      <c r="BU838" s="75">
        <f>PARAM!$C$26+MAX($G$20-CHOOSE(PARAM!$B$44,MAX(0,BV837*$F$1),0),0)*RATES!$L814/12+$H$20*(PARAM!$D$51/12)*RATES!$N814/100</f>
        <v>1190.0416666666667</v>
      </c>
      <c r="BV838" s="16">
        <f t="shared" si="559"/>
        <v>-166413.92995288139</v>
      </c>
      <c r="BW838" s="15">
        <f t="shared" si="534"/>
        <v>22.170849845882874</v>
      </c>
      <c r="BX838" s="75">
        <f>BW838*(1-PARAM!$C$27)*$I$21+(MOD($B838,60)=PARAM!$B$56)*($B838&gt;(60-PARAM!$B$56))*HLOOKUP(($B838+PARAM!$B$56)/12,Loyalty,2)*$F$1*MAX(BZ837,0)</f>
        <v>18.557001321003963</v>
      </c>
      <c r="BY838" s="75">
        <f>PARAM!$C$26+MAX($G$21-CHOOSE(PARAM!$B$44,MAX(0,BZ837*$F$1),0),0)*RATES!$L814/12+$H$21*(PARAM!$D$51/12)*RATES!$N814/100</f>
        <v>1190.0416666666667</v>
      </c>
      <c r="BZ838" s="16">
        <f t="shared" si="560"/>
        <v>-166413.92995288139</v>
      </c>
      <c r="CA838" s="15">
        <f t="shared" si="535"/>
        <v>22.170849845882874</v>
      </c>
      <c r="CB838" s="75">
        <f>CA838*(1-PARAM!$C$27)*$I$22+(MOD($B838,60)=PARAM!$B$56)*($B838&gt;(60-PARAM!$B$56))*HLOOKUP(($B838+PARAM!$B$56)/12,Loyalty,2)*$F$1*MAX(CD837,0)</f>
        <v>18.557001321003963</v>
      </c>
      <c r="CC838" s="75">
        <f>PARAM!$C$26+MAX($G$22-CHOOSE(PARAM!$B$44,MAX(0,CD837*$F$1),0),0)*RATES!$L814/12+$H$22*(PARAM!$D$51/12)*RATES!$N814/100</f>
        <v>1190.0416666666667</v>
      </c>
      <c r="CD838" s="16">
        <f t="shared" si="561"/>
        <v>-166413.92995288139</v>
      </c>
      <c r="CE838" s="33">
        <f>IF(0=MOD(B838,12/PARAM!$D$51),1,0)</f>
        <v>1</v>
      </c>
      <c r="CF838" s="15">
        <f t="shared" si="536"/>
        <v>0</v>
      </c>
      <c r="CG838" s="75">
        <f>CF838*(1-PARAM!$C$27)*$R$3+(MOD($B838/12,5)=0)*($B838&gt;60)*HLOOKUP($B838/12,Loyalty,2)*$F$1*MAX(CI837,0)</f>
        <v>0</v>
      </c>
      <c r="CH838" s="75">
        <f>PARAM!$C$26+MAX($P$3-CHOOSE(PARAM!$B$44,MAX(0,CI837*$F$1),0),0)*RATES!$L814/12+$Q$3*(PARAM!$D$51/12)*RATES!$N814/100</f>
        <v>1190.0416666666667</v>
      </c>
      <c r="CI838" s="16">
        <f>IF(CI837&gt;0,CI837*PARAM!$C$53,CI837)+CG838-CH838</f>
        <v>-181344.0833333336</v>
      </c>
      <c r="CJ838" s="15">
        <f t="shared" si="562"/>
        <v>0</v>
      </c>
      <c r="CK838" s="75">
        <f>CJ838*(1-PARAM!$C$27)*$R$4+(MOD($B838/12,5)=0)*($B838&gt;60)*HLOOKUP($B838/12,Loyalty,2)*$F$1*MAX(CM837,0)</f>
        <v>0</v>
      </c>
      <c r="CL838" s="75">
        <f>PARAM!$C$26+MAX($P$4-CHOOSE(PARAM!$B$44,MAX(0,CM837*$F$1),0),0)*RATES!$L814/12+$Q$4*(PARAM!$D$51/12)*RATES!$N814/100</f>
        <v>1190.0416666666667</v>
      </c>
      <c r="CM838" s="16">
        <f>IF(CM837&gt;0,CM837*PARAM!$C$53,CM837)+CK838-CL838</f>
        <v>-181344.0833333336</v>
      </c>
      <c r="CO838" s="176"/>
    </row>
    <row r="839" spans="1:93" x14ac:dyDescent="0.2">
      <c r="A839" t="b">
        <f t="shared" si="537"/>
        <v>0</v>
      </c>
      <c r="B839" s="33">
        <v>812</v>
      </c>
      <c r="C839" s="15">
        <f t="shared" si="538"/>
        <v>20.081305947392778</v>
      </c>
      <c r="D839" s="75">
        <f>C839*(1-PARAM!$C$27)*$I$3+(MOD($B839,60)=PARAM!$B$56)*($B839&gt;(60-PARAM!$B$56))*HLOOKUP(($B839+PARAM!$B$56)/12,Loyalty,2)*$F$1*MAX(F838,0)</f>
        <v>16.808053077967756</v>
      </c>
      <c r="E839" s="75">
        <f>PARAM!$C$26+MAX($G$3-CHOOSE(PARAM!$B$44,MAX(0,F838*$F$1),0),0)*RATES!$L815/12+$H$3*(PARAM!$D$51/12)*RATES!$N815/100</f>
        <v>1190.0416666666667</v>
      </c>
      <c r="F839" s="16">
        <f t="shared" si="539"/>
        <v>-169042.41109209423</v>
      </c>
      <c r="G839" s="15">
        <f t="shared" si="540"/>
        <v>22.035289406060361</v>
      </c>
      <c r="H839" s="75">
        <f>G839*(1-PARAM!$C$27)*$I$4+(MOD($B839,60)=PARAM!$B$56)*($B839&gt;(60-PARAM!$B$56))*HLOOKUP(($B839+PARAM!$B$56)/12,Loyalty,2)*$F$1*MAX(J838,0)</f>
        <v>18.443537232872522</v>
      </c>
      <c r="I839" s="75">
        <f>PARAM!$C$26+MAX($G$4-CHOOSE(PARAM!$B$44,MAX(0,J838*$F$1),0),0)*RATES!$L815/12+$H$4*(PARAM!$D$51/12)*RATES!$N815/100</f>
        <v>1190.0416666666667</v>
      </c>
      <c r="J839" s="16">
        <f t="shared" si="541"/>
        <v>-167680.56499418936</v>
      </c>
      <c r="K839" s="15">
        <f t="shared" si="542"/>
        <v>22.170849845882874</v>
      </c>
      <c r="L839" s="75">
        <f>K839*(1-PARAM!$C$27)*$I$5+(MOD($B839,60)=PARAM!$B$56)*($B839&gt;(60-PARAM!$B$56))*HLOOKUP(($B839+PARAM!$B$56)/12,Loyalty,2)*$F$1*MAX(N838,0)</f>
        <v>18.557001321003963</v>
      </c>
      <c r="M839" s="75">
        <f>PARAM!$C$26+MAX($G$5-CHOOSE(PARAM!$B$44,MAX(0,N838*$F$1),0),0)*RATES!$L815/12+$H$5*(PARAM!$D$51/12)*RATES!$N815/100</f>
        <v>1190.0416666666667</v>
      </c>
      <c r="N839" s="16">
        <f t="shared" si="543"/>
        <v>-167585.41461822705</v>
      </c>
      <c r="O839" s="15">
        <f t="shared" si="544"/>
        <v>22.170849845882874</v>
      </c>
      <c r="P839" s="75">
        <f>O839*(1-PARAM!$C$27)*$I$6+(MOD($B839,60)=PARAM!$B$56)*($B839&gt;(60-PARAM!$B$56))*HLOOKUP(($B839+PARAM!$B$56)/12,Loyalty,2)*$F$1*MAX(R838,0)</f>
        <v>18.557001321003963</v>
      </c>
      <c r="Q839" s="75">
        <f>PARAM!$C$26+MAX($G$6-CHOOSE(PARAM!$B$44,MAX(0,R838*$F$1),0),0)*RATES!$L815/12+$H$6*(PARAM!$D$51/12)*RATES!$N815/100</f>
        <v>1190.0416666666667</v>
      </c>
      <c r="R839" s="16">
        <f t="shared" si="545"/>
        <v>-167585.41461822705</v>
      </c>
      <c r="S839" s="15">
        <f t="shared" si="520"/>
        <v>22.170849845882874</v>
      </c>
      <c r="T839" s="75">
        <f>S839*(1-PARAM!$C$27)*$I$7+(MOD($B839,60)=PARAM!$B$56)*($B839&gt;(60-PARAM!$B$56))*HLOOKUP(($B839+PARAM!$B$56)/12,Loyalty,2)*$F$1*MAX(V838,0)</f>
        <v>18.557001321003963</v>
      </c>
      <c r="U839" s="75">
        <f>PARAM!$C$26+MAX($G$7-CHOOSE(PARAM!$B$44,MAX(0,V838*$F$1),0),0)*RATES!$L815/12+$H$7*(PARAM!$D$51/12)*RATES!$N815/100</f>
        <v>1190.0416666666667</v>
      </c>
      <c r="V839" s="16">
        <f t="shared" si="546"/>
        <v>-167585.41461822705</v>
      </c>
      <c r="W839" s="15">
        <f t="shared" si="521"/>
        <v>22.170849845882874</v>
      </c>
      <c r="X839" s="75">
        <f>W839*(1-PARAM!$C$27)*$I$8+(MOD($B839,60)=PARAM!$B$56)*($B839&gt;(60-PARAM!$B$56))*HLOOKUP(($B839+PARAM!$B$56)/12,Loyalty,2)*$F$1*MAX(Z838,0)</f>
        <v>18.557001321003963</v>
      </c>
      <c r="Y839" s="75">
        <f>PARAM!$C$26+MAX($G$8-CHOOSE(PARAM!$B$44,MAX(0,Z838*$F$1),0),0)*RATES!$L815/12+$H$8*(PARAM!$D$51/12)*RATES!$N815/100</f>
        <v>1190.0416666666667</v>
      </c>
      <c r="Z839" s="16">
        <f t="shared" si="547"/>
        <v>-167585.41461822705</v>
      </c>
      <c r="AA839" s="15">
        <f t="shared" si="522"/>
        <v>22.170849845882874</v>
      </c>
      <c r="AB839" s="75">
        <f>AA839*(1-PARAM!$C$27)*$I$9+(MOD($B839,60)=PARAM!$B$56)*($B839&gt;(60-PARAM!$B$56))*HLOOKUP(($B839+PARAM!$B$56)/12,Loyalty,2)*$F$1*MAX(AD838,0)</f>
        <v>18.557001321003963</v>
      </c>
      <c r="AC839" s="75">
        <f>PARAM!$C$26+MAX($G$9-CHOOSE(PARAM!$B$44,MAX(0,AD838*$F$1),0),0)*RATES!$L815/12+$H$9*(PARAM!$D$51/12)*RATES!$N815/100</f>
        <v>1190.0416666666667</v>
      </c>
      <c r="AD839" s="16">
        <f t="shared" si="548"/>
        <v>-167585.41461822705</v>
      </c>
      <c r="AE839" s="15">
        <f t="shared" si="523"/>
        <v>22.170849845882874</v>
      </c>
      <c r="AF839" s="75">
        <f>AE839*(1-PARAM!$C$27)*$I$10+(MOD($B839,60)=PARAM!$B$56)*($B839&gt;(60-PARAM!$B$56))*HLOOKUP(($B839+PARAM!$B$56)/12,Loyalty,2)*$F$1*MAX(AH838,0)</f>
        <v>18.557001321003963</v>
      </c>
      <c r="AG839" s="75">
        <f>PARAM!$C$26+MAX($G$10-CHOOSE(PARAM!$B$44,MAX(0,AH838*$F$1),0),0)*RATES!$L815/12+$H$10*(PARAM!$D$51/12)*RATES!$N815/100</f>
        <v>1190.0416666666667</v>
      </c>
      <c r="AH839" s="16">
        <f t="shared" si="549"/>
        <v>-167585.41461822705</v>
      </c>
      <c r="AI839" s="15">
        <f t="shared" si="524"/>
        <v>22.170849845882874</v>
      </c>
      <c r="AJ839" s="75">
        <f>AI839*(1-PARAM!$C$27)*$I$11+(MOD($B839,60)=PARAM!$B$56)*($B839&gt;(60-PARAM!$B$56))*HLOOKUP(($B839+PARAM!$B$56)/12,Loyalty,2)*$F$1*MAX(AL838,0)</f>
        <v>18.557001321003963</v>
      </c>
      <c r="AK839" s="75">
        <f>PARAM!$C$26+MAX($G$11-CHOOSE(PARAM!$B$44,MAX(0,AL838*$F$1),0),0)*RATES!$L815/12+$H$11*(PARAM!$D$51/12)*RATES!$N815/100</f>
        <v>1190.0416666666667</v>
      </c>
      <c r="AL839" s="16">
        <f t="shared" si="550"/>
        <v>-167585.41461822705</v>
      </c>
      <c r="AM839" s="15">
        <f t="shared" si="525"/>
        <v>22.170849845882874</v>
      </c>
      <c r="AN839" s="75">
        <f>AM839*(1-PARAM!$C$27)*$I$12+(MOD($B839,60)=PARAM!$B$56)*($B839&gt;(60-PARAM!$B$56))*HLOOKUP(($B839+PARAM!$B$56)/12,Loyalty,2)*$F$1*MAX(AP838,0)</f>
        <v>18.557001321003963</v>
      </c>
      <c r="AO839" s="75">
        <f>PARAM!$C$26+MAX($G$12-CHOOSE(PARAM!$B$44,MAX(0,AP838*$F$1),0),0)*RATES!$L815/12+$H$12*(PARAM!$D$51/12)*RATES!$N815/100</f>
        <v>1190.0416666666667</v>
      </c>
      <c r="AP839" s="16">
        <f t="shared" si="551"/>
        <v>-167585.41461822705</v>
      </c>
      <c r="AQ839" s="15">
        <f t="shared" si="526"/>
        <v>22.170849845882874</v>
      </c>
      <c r="AR839" s="75">
        <f>AQ839*(1-PARAM!$C$27)*$I$13+(MOD($B839,60)=PARAM!$B$56)*($B839&gt;(60-PARAM!$B$56))*HLOOKUP(($B839+PARAM!$B$56)/12,Loyalty,2)*$F$1*MAX(AT838,0)</f>
        <v>18.557001321003963</v>
      </c>
      <c r="AS839" s="75">
        <f>PARAM!$C$26+MAX($G$13-CHOOSE(PARAM!$B$44,MAX(0,AT838*$F$1),0),0)*RATES!$L815/12+$H$13*(PARAM!$D$51/12)*RATES!$N815/100</f>
        <v>1190.0416666666667</v>
      </c>
      <c r="AT839" s="16">
        <f t="shared" si="552"/>
        <v>-167585.41461822705</v>
      </c>
      <c r="AU839" s="15">
        <f t="shared" si="527"/>
        <v>22.170849845882874</v>
      </c>
      <c r="AV839" s="75">
        <f>AU839*(1-PARAM!$C$27)*$I$14+(MOD($B839,60)=PARAM!$B$56)*($B839&gt;(60-PARAM!$B$56))*HLOOKUP(($B839+PARAM!$B$56)/12,Loyalty,2)*$F$1*MAX(AX838,0)</f>
        <v>18.557001321003963</v>
      </c>
      <c r="AW839" s="75">
        <f>PARAM!$C$26+MAX($G$14-CHOOSE(PARAM!$B$44,MAX(0,AX838*$F$1),0),0)*RATES!$L815/12+$H$14*(PARAM!$D$51/12)*RATES!$N815/100</f>
        <v>1190.0416666666667</v>
      </c>
      <c r="AX839" s="16">
        <f t="shared" si="553"/>
        <v>-167585.41461822705</v>
      </c>
      <c r="AY839" s="15">
        <f t="shared" si="528"/>
        <v>22.170849845882874</v>
      </c>
      <c r="AZ839" s="75">
        <f>AY839*(1-PARAM!$C$27)*$I$15+(MOD($B839,60)=PARAM!$B$56)*($B839&gt;(60-PARAM!$B$56))*HLOOKUP(($B839+PARAM!$B$56)/12,Loyalty,2)*$F$1*MAX(BB838,0)</f>
        <v>18.557001321003963</v>
      </c>
      <c r="BA839" s="75">
        <f>PARAM!$C$26+MAX($G$15-CHOOSE(PARAM!$B$44,MAX(0,BB838*$F$1),0),0)*RATES!$L815/12+$H$15*(PARAM!$D$51/12)*RATES!$N815/100</f>
        <v>1190.0416666666667</v>
      </c>
      <c r="BB839" s="16">
        <f t="shared" si="554"/>
        <v>-167585.41461822705</v>
      </c>
      <c r="BC839" s="15">
        <f t="shared" si="529"/>
        <v>22.170849845882874</v>
      </c>
      <c r="BD839" s="75">
        <f>BC839*(1-PARAM!$C$27)*$I$16+(MOD($B839,60)=PARAM!$B$56)*($B839&gt;(60-PARAM!$B$56))*HLOOKUP(($B839+PARAM!$B$56)/12,Loyalty,2)*$F$1*MAX(BF838,0)</f>
        <v>18.557001321003963</v>
      </c>
      <c r="BE839" s="75">
        <f>PARAM!$C$26+MAX($G$16-CHOOSE(PARAM!$B$44,MAX(0,BF838*$F$1),0),0)*RATES!$L815/12+$H$16*(PARAM!$D$51/12)*RATES!$N815/100</f>
        <v>1190.0416666666667</v>
      </c>
      <c r="BF839" s="16">
        <f t="shared" si="555"/>
        <v>-167585.41461822705</v>
      </c>
      <c r="BG839" s="15">
        <f t="shared" si="530"/>
        <v>22.170849845882874</v>
      </c>
      <c r="BH839" s="75">
        <f>BG839*(1-PARAM!$C$27)*$I$17+(MOD($B839,60)=PARAM!$B$56)*($B839&gt;(60-PARAM!$B$56))*HLOOKUP(($B839+PARAM!$B$56)/12,Loyalty,2)*$F$1*MAX(BJ838,0)</f>
        <v>18.557001321003963</v>
      </c>
      <c r="BI839" s="75">
        <f>PARAM!$C$26+MAX($G$17-CHOOSE(PARAM!$B$44,MAX(0,BJ838*$F$1),0),0)*RATES!$L815/12+$H$17*(PARAM!$D$51/12)*RATES!$N815/100</f>
        <v>1190.0416666666667</v>
      </c>
      <c r="BJ839" s="16">
        <f t="shared" si="556"/>
        <v>-167585.41461822705</v>
      </c>
      <c r="BK839" s="15">
        <f t="shared" si="531"/>
        <v>22.170849845882874</v>
      </c>
      <c r="BL839" s="75">
        <f>BK839*(1-PARAM!$C$27)*$I$18+(MOD($B839,60)=PARAM!$B$56)*($B839&gt;(60-PARAM!$B$56))*HLOOKUP(($B839+PARAM!$B$56)/12,Loyalty,2)*$F$1*MAX(BN838,0)</f>
        <v>18.557001321003963</v>
      </c>
      <c r="BM839" s="75">
        <f>PARAM!$C$26+MAX($G$18-CHOOSE(PARAM!$B$44,MAX(0,BN838*$F$1),0),0)*RATES!$L815/12+$H$18*(PARAM!$D$51/12)*RATES!$N815/100</f>
        <v>1190.0416666666667</v>
      </c>
      <c r="BN839" s="16">
        <f t="shared" si="557"/>
        <v>-167585.41461822705</v>
      </c>
      <c r="BO839" s="15">
        <f t="shared" si="532"/>
        <v>22.170849845882874</v>
      </c>
      <c r="BP839" s="75">
        <f>BO839*(1-PARAM!$C$27)*$I$19+(MOD($B839,60)=PARAM!$B$56)*($B839&gt;(60-PARAM!$B$56))*HLOOKUP(($B839+PARAM!$B$56)/12,Loyalty,2)*$F$1*MAX(BR838,0)</f>
        <v>18.557001321003963</v>
      </c>
      <c r="BQ839" s="75">
        <f>PARAM!$C$26+MAX($G$19-CHOOSE(PARAM!$B$44,MAX(0,BR838*$F$1),0),0)*RATES!$L815/12+$H$19*(PARAM!$D$51/12)*RATES!$N815/100</f>
        <v>1190.0416666666667</v>
      </c>
      <c r="BR839" s="16">
        <f t="shared" si="558"/>
        <v>-167585.41461822705</v>
      </c>
      <c r="BS839" s="15">
        <f t="shared" si="533"/>
        <v>22.170849845882874</v>
      </c>
      <c r="BT839" s="75">
        <f>BS839*(1-PARAM!$C$27)*$I$20+(MOD($B839,60)=PARAM!$B$56)*($B839&gt;(60-PARAM!$B$56))*HLOOKUP(($B839+PARAM!$B$56)/12,Loyalty,2)*$F$1*MAX(BV838,0)</f>
        <v>18.557001321003963</v>
      </c>
      <c r="BU839" s="75">
        <f>PARAM!$C$26+MAX($G$20-CHOOSE(PARAM!$B$44,MAX(0,BV838*$F$1),0),0)*RATES!$L815/12+$H$20*(PARAM!$D$51/12)*RATES!$N815/100</f>
        <v>1190.0416666666667</v>
      </c>
      <c r="BV839" s="16">
        <f t="shared" si="559"/>
        <v>-167585.41461822705</v>
      </c>
      <c r="BW839" s="15">
        <f t="shared" si="534"/>
        <v>22.170849845882874</v>
      </c>
      <c r="BX839" s="75">
        <f>BW839*(1-PARAM!$C$27)*$I$21+(MOD($B839,60)=PARAM!$B$56)*($B839&gt;(60-PARAM!$B$56))*HLOOKUP(($B839+PARAM!$B$56)/12,Loyalty,2)*$F$1*MAX(BZ838,0)</f>
        <v>18.557001321003963</v>
      </c>
      <c r="BY839" s="75">
        <f>PARAM!$C$26+MAX($G$21-CHOOSE(PARAM!$B$44,MAX(0,BZ838*$F$1),0),0)*RATES!$L815/12+$H$21*(PARAM!$D$51/12)*RATES!$N815/100</f>
        <v>1190.0416666666667</v>
      </c>
      <c r="BZ839" s="16">
        <f t="shared" si="560"/>
        <v>-167585.41461822705</v>
      </c>
      <c r="CA839" s="15">
        <f t="shared" si="535"/>
        <v>22.170849845882874</v>
      </c>
      <c r="CB839" s="75">
        <f>CA839*(1-PARAM!$C$27)*$I$22+(MOD($B839,60)=PARAM!$B$56)*($B839&gt;(60-PARAM!$B$56))*HLOOKUP(($B839+PARAM!$B$56)/12,Loyalty,2)*$F$1*MAX(CD838,0)</f>
        <v>18.557001321003963</v>
      </c>
      <c r="CC839" s="75">
        <f>PARAM!$C$26+MAX($G$22-CHOOSE(PARAM!$B$44,MAX(0,CD838*$F$1),0),0)*RATES!$L815/12+$H$22*(PARAM!$D$51/12)*RATES!$N815/100</f>
        <v>1190.0416666666667</v>
      </c>
      <c r="CD839" s="16">
        <f t="shared" si="561"/>
        <v>-167585.41461822705</v>
      </c>
      <c r="CE839" s="33">
        <f>IF(0=MOD(B839,12/PARAM!$D$51),1,0)</f>
        <v>1</v>
      </c>
      <c r="CF839" s="15">
        <f t="shared" si="536"/>
        <v>0</v>
      </c>
      <c r="CG839" s="75">
        <f>CF839*(1-PARAM!$C$27)*$R$3+(MOD($B839/12,5)=0)*($B839&gt;60)*HLOOKUP($B839/12,Loyalty,2)*$F$1*MAX(CI838,0)</f>
        <v>0</v>
      </c>
      <c r="CH839" s="75">
        <f>PARAM!$C$26+MAX($P$3-CHOOSE(PARAM!$B$44,MAX(0,CI838*$F$1),0),0)*RATES!$L815/12+$Q$3*(PARAM!$D$51/12)*RATES!$N815/100</f>
        <v>1190.0416666666667</v>
      </c>
      <c r="CI839" s="16">
        <f>IF(CI838&gt;0,CI838*PARAM!$C$53,CI838)+CG839-CH839</f>
        <v>-182534.12500000026</v>
      </c>
      <c r="CJ839" s="15">
        <f t="shared" si="562"/>
        <v>0</v>
      </c>
      <c r="CK839" s="75">
        <f>CJ839*(1-PARAM!$C$27)*$R$4+(MOD($B839/12,5)=0)*($B839&gt;60)*HLOOKUP($B839/12,Loyalty,2)*$F$1*MAX(CM838,0)</f>
        <v>0</v>
      </c>
      <c r="CL839" s="75">
        <f>PARAM!$C$26+MAX($P$4-CHOOSE(PARAM!$B$44,MAX(0,CM838*$F$1),0),0)*RATES!$L815/12+$Q$4*(PARAM!$D$51/12)*RATES!$N815/100</f>
        <v>1190.0416666666667</v>
      </c>
      <c r="CM839" s="16">
        <f>IF(CM838&gt;0,CM838*PARAM!$C$53,CM838)+CK839-CL839</f>
        <v>-182534.12500000026</v>
      </c>
      <c r="CO839" s="176"/>
    </row>
    <row r="840" spans="1:93" x14ac:dyDescent="0.2">
      <c r="A840" t="b">
        <f t="shared" si="537"/>
        <v>0</v>
      </c>
      <c r="B840" s="33">
        <v>813</v>
      </c>
      <c r="C840" s="15">
        <f t="shared" si="538"/>
        <v>20.081305947392778</v>
      </c>
      <c r="D840" s="75">
        <f>C840*(1-PARAM!$C$27)*$I$3+(MOD($B840,60)=PARAM!$B$56)*($B840&gt;(60-PARAM!$B$56))*HLOOKUP(($B840+PARAM!$B$56)/12,Loyalty,2)*$F$1*MAX(F839,0)</f>
        <v>16.808053077967756</v>
      </c>
      <c r="E840" s="75">
        <f>PARAM!$C$26+MAX($G$3-CHOOSE(PARAM!$B$44,MAX(0,F839*$F$1),0),0)*RATES!$L816/12+$H$3*(PARAM!$D$51/12)*RATES!$N816/100</f>
        <v>1190.0416666666667</v>
      </c>
      <c r="F840" s="16">
        <f t="shared" si="539"/>
        <v>-170215.64470568293</v>
      </c>
      <c r="G840" s="15">
        <f t="shared" si="540"/>
        <v>22.035289406060361</v>
      </c>
      <c r="H840" s="75">
        <f>G840*(1-PARAM!$C$27)*$I$4+(MOD($B840,60)=PARAM!$B$56)*($B840&gt;(60-PARAM!$B$56))*HLOOKUP(($B840+PARAM!$B$56)/12,Loyalty,2)*$F$1*MAX(J839,0)</f>
        <v>18.443537232872522</v>
      </c>
      <c r="I840" s="75">
        <f>PARAM!$C$26+MAX($G$4-CHOOSE(PARAM!$B$44,MAX(0,J839*$F$1),0),0)*RATES!$L816/12+$H$4*(PARAM!$D$51/12)*RATES!$N816/100</f>
        <v>1190.0416666666667</v>
      </c>
      <c r="J840" s="16">
        <f t="shared" si="541"/>
        <v>-168852.16312362315</v>
      </c>
      <c r="K840" s="15">
        <f t="shared" si="542"/>
        <v>22.170849845882874</v>
      </c>
      <c r="L840" s="75">
        <f>K840*(1-PARAM!$C$27)*$I$5+(MOD($B840,60)=PARAM!$B$56)*($B840&gt;(60-PARAM!$B$56))*HLOOKUP(($B840+PARAM!$B$56)/12,Loyalty,2)*$F$1*MAX(N839,0)</f>
        <v>18.557001321003963</v>
      </c>
      <c r="M840" s="75">
        <f>PARAM!$C$26+MAX($G$5-CHOOSE(PARAM!$B$44,MAX(0,N839*$F$1),0),0)*RATES!$L816/12+$H$5*(PARAM!$D$51/12)*RATES!$N816/100</f>
        <v>1190.0416666666667</v>
      </c>
      <c r="N840" s="16">
        <f t="shared" si="543"/>
        <v>-168756.89928357271</v>
      </c>
      <c r="O840" s="15">
        <f t="shared" si="544"/>
        <v>22.170849845882874</v>
      </c>
      <c r="P840" s="75">
        <f>O840*(1-PARAM!$C$27)*$I$6+(MOD($B840,60)=PARAM!$B$56)*($B840&gt;(60-PARAM!$B$56))*HLOOKUP(($B840+PARAM!$B$56)/12,Loyalty,2)*$F$1*MAX(R839,0)</f>
        <v>18.557001321003963</v>
      </c>
      <c r="Q840" s="75">
        <f>PARAM!$C$26+MAX($G$6-CHOOSE(PARAM!$B$44,MAX(0,R839*$F$1),0),0)*RATES!$L816/12+$H$6*(PARAM!$D$51/12)*RATES!$N816/100</f>
        <v>1190.0416666666667</v>
      </c>
      <c r="R840" s="16">
        <f t="shared" si="545"/>
        <v>-168756.89928357271</v>
      </c>
      <c r="S840" s="15">
        <f t="shared" si="520"/>
        <v>22.170849845882874</v>
      </c>
      <c r="T840" s="75">
        <f>S840*(1-PARAM!$C$27)*$I$7+(MOD($B840,60)=PARAM!$B$56)*($B840&gt;(60-PARAM!$B$56))*HLOOKUP(($B840+PARAM!$B$56)/12,Loyalty,2)*$F$1*MAX(V839,0)</f>
        <v>18.557001321003963</v>
      </c>
      <c r="U840" s="75">
        <f>PARAM!$C$26+MAX($G$7-CHOOSE(PARAM!$B$44,MAX(0,V839*$F$1),0),0)*RATES!$L816/12+$H$7*(PARAM!$D$51/12)*RATES!$N816/100</f>
        <v>1190.0416666666667</v>
      </c>
      <c r="V840" s="16">
        <f t="shared" si="546"/>
        <v>-168756.89928357271</v>
      </c>
      <c r="W840" s="15">
        <f t="shared" si="521"/>
        <v>22.170849845882874</v>
      </c>
      <c r="X840" s="75">
        <f>W840*(1-PARAM!$C$27)*$I$8+(MOD($B840,60)=PARAM!$B$56)*($B840&gt;(60-PARAM!$B$56))*HLOOKUP(($B840+PARAM!$B$56)/12,Loyalty,2)*$F$1*MAX(Z839,0)</f>
        <v>18.557001321003963</v>
      </c>
      <c r="Y840" s="75">
        <f>PARAM!$C$26+MAX($G$8-CHOOSE(PARAM!$B$44,MAX(0,Z839*$F$1),0),0)*RATES!$L816/12+$H$8*(PARAM!$D$51/12)*RATES!$N816/100</f>
        <v>1190.0416666666667</v>
      </c>
      <c r="Z840" s="16">
        <f t="shared" si="547"/>
        <v>-168756.89928357271</v>
      </c>
      <c r="AA840" s="15">
        <f t="shared" si="522"/>
        <v>22.170849845882874</v>
      </c>
      <c r="AB840" s="75">
        <f>AA840*(1-PARAM!$C$27)*$I$9+(MOD($B840,60)=PARAM!$B$56)*($B840&gt;(60-PARAM!$B$56))*HLOOKUP(($B840+PARAM!$B$56)/12,Loyalty,2)*$F$1*MAX(AD839,0)</f>
        <v>18.557001321003963</v>
      </c>
      <c r="AC840" s="75">
        <f>PARAM!$C$26+MAX($G$9-CHOOSE(PARAM!$B$44,MAX(0,AD839*$F$1),0),0)*RATES!$L816/12+$H$9*(PARAM!$D$51/12)*RATES!$N816/100</f>
        <v>1190.0416666666667</v>
      </c>
      <c r="AD840" s="16">
        <f t="shared" si="548"/>
        <v>-168756.89928357271</v>
      </c>
      <c r="AE840" s="15">
        <f t="shared" si="523"/>
        <v>22.170849845882874</v>
      </c>
      <c r="AF840" s="75">
        <f>AE840*(1-PARAM!$C$27)*$I$10+(MOD($B840,60)=PARAM!$B$56)*($B840&gt;(60-PARAM!$B$56))*HLOOKUP(($B840+PARAM!$B$56)/12,Loyalty,2)*$F$1*MAX(AH839,0)</f>
        <v>18.557001321003963</v>
      </c>
      <c r="AG840" s="75">
        <f>PARAM!$C$26+MAX($G$10-CHOOSE(PARAM!$B$44,MAX(0,AH839*$F$1),0),0)*RATES!$L816/12+$H$10*(PARAM!$D$51/12)*RATES!$N816/100</f>
        <v>1190.0416666666667</v>
      </c>
      <c r="AH840" s="16">
        <f t="shared" si="549"/>
        <v>-168756.89928357271</v>
      </c>
      <c r="AI840" s="15">
        <f t="shared" si="524"/>
        <v>22.170849845882874</v>
      </c>
      <c r="AJ840" s="75">
        <f>AI840*(1-PARAM!$C$27)*$I$11+(MOD($B840,60)=PARAM!$B$56)*($B840&gt;(60-PARAM!$B$56))*HLOOKUP(($B840+PARAM!$B$56)/12,Loyalty,2)*$F$1*MAX(AL839,0)</f>
        <v>18.557001321003963</v>
      </c>
      <c r="AK840" s="75">
        <f>PARAM!$C$26+MAX($G$11-CHOOSE(PARAM!$B$44,MAX(0,AL839*$F$1),0),0)*RATES!$L816/12+$H$11*(PARAM!$D$51/12)*RATES!$N816/100</f>
        <v>1190.0416666666667</v>
      </c>
      <c r="AL840" s="16">
        <f t="shared" si="550"/>
        <v>-168756.89928357271</v>
      </c>
      <c r="AM840" s="15">
        <f t="shared" si="525"/>
        <v>22.170849845882874</v>
      </c>
      <c r="AN840" s="75">
        <f>AM840*(1-PARAM!$C$27)*$I$12+(MOD($B840,60)=PARAM!$B$56)*($B840&gt;(60-PARAM!$B$56))*HLOOKUP(($B840+PARAM!$B$56)/12,Loyalty,2)*$F$1*MAX(AP839,0)</f>
        <v>18.557001321003963</v>
      </c>
      <c r="AO840" s="75">
        <f>PARAM!$C$26+MAX($G$12-CHOOSE(PARAM!$B$44,MAX(0,AP839*$F$1),0),0)*RATES!$L816/12+$H$12*(PARAM!$D$51/12)*RATES!$N816/100</f>
        <v>1190.0416666666667</v>
      </c>
      <c r="AP840" s="16">
        <f t="shared" si="551"/>
        <v>-168756.89928357271</v>
      </c>
      <c r="AQ840" s="15">
        <f t="shared" si="526"/>
        <v>22.170849845882874</v>
      </c>
      <c r="AR840" s="75">
        <f>AQ840*(1-PARAM!$C$27)*$I$13+(MOD($B840,60)=PARAM!$B$56)*($B840&gt;(60-PARAM!$B$56))*HLOOKUP(($B840+PARAM!$B$56)/12,Loyalty,2)*$F$1*MAX(AT839,0)</f>
        <v>18.557001321003963</v>
      </c>
      <c r="AS840" s="75">
        <f>PARAM!$C$26+MAX($G$13-CHOOSE(PARAM!$B$44,MAX(0,AT839*$F$1),0),0)*RATES!$L816/12+$H$13*(PARAM!$D$51/12)*RATES!$N816/100</f>
        <v>1190.0416666666667</v>
      </c>
      <c r="AT840" s="16">
        <f t="shared" si="552"/>
        <v>-168756.89928357271</v>
      </c>
      <c r="AU840" s="15">
        <f t="shared" si="527"/>
        <v>22.170849845882874</v>
      </c>
      <c r="AV840" s="75">
        <f>AU840*(1-PARAM!$C$27)*$I$14+(MOD($B840,60)=PARAM!$B$56)*($B840&gt;(60-PARAM!$B$56))*HLOOKUP(($B840+PARAM!$B$56)/12,Loyalty,2)*$F$1*MAX(AX839,0)</f>
        <v>18.557001321003963</v>
      </c>
      <c r="AW840" s="75">
        <f>PARAM!$C$26+MAX($G$14-CHOOSE(PARAM!$B$44,MAX(0,AX839*$F$1),0),0)*RATES!$L816/12+$H$14*(PARAM!$D$51/12)*RATES!$N816/100</f>
        <v>1190.0416666666667</v>
      </c>
      <c r="AX840" s="16">
        <f t="shared" si="553"/>
        <v>-168756.89928357271</v>
      </c>
      <c r="AY840" s="15">
        <f t="shared" si="528"/>
        <v>22.170849845882874</v>
      </c>
      <c r="AZ840" s="75">
        <f>AY840*(1-PARAM!$C$27)*$I$15+(MOD($B840,60)=PARAM!$B$56)*($B840&gt;(60-PARAM!$B$56))*HLOOKUP(($B840+PARAM!$B$56)/12,Loyalty,2)*$F$1*MAX(BB839,0)</f>
        <v>18.557001321003963</v>
      </c>
      <c r="BA840" s="75">
        <f>PARAM!$C$26+MAX($G$15-CHOOSE(PARAM!$B$44,MAX(0,BB839*$F$1),0),0)*RATES!$L816/12+$H$15*(PARAM!$D$51/12)*RATES!$N816/100</f>
        <v>1190.0416666666667</v>
      </c>
      <c r="BB840" s="16">
        <f t="shared" si="554"/>
        <v>-168756.89928357271</v>
      </c>
      <c r="BC840" s="15">
        <f t="shared" si="529"/>
        <v>22.170849845882874</v>
      </c>
      <c r="BD840" s="75">
        <f>BC840*(1-PARAM!$C$27)*$I$16+(MOD($B840,60)=PARAM!$B$56)*($B840&gt;(60-PARAM!$B$56))*HLOOKUP(($B840+PARAM!$B$56)/12,Loyalty,2)*$F$1*MAX(BF839,0)</f>
        <v>18.557001321003963</v>
      </c>
      <c r="BE840" s="75">
        <f>PARAM!$C$26+MAX($G$16-CHOOSE(PARAM!$B$44,MAX(0,BF839*$F$1),0),0)*RATES!$L816/12+$H$16*(PARAM!$D$51/12)*RATES!$N816/100</f>
        <v>1190.0416666666667</v>
      </c>
      <c r="BF840" s="16">
        <f t="shared" si="555"/>
        <v>-168756.89928357271</v>
      </c>
      <c r="BG840" s="15">
        <f t="shared" si="530"/>
        <v>22.170849845882874</v>
      </c>
      <c r="BH840" s="75">
        <f>BG840*(1-PARAM!$C$27)*$I$17+(MOD($B840,60)=PARAM!$B$56)*($B840&gt;(60-PARAM!$B$56))*HLOOKUP(($B840+PARAM!$B$56)/12,Loyalty,2)*$F$1*MAX(BJ839,0)</f>
        <v>18.557001321003963</v>
      </c>
      <c r="BI840" s="75">
        <f>PARAM!$C$26+MAX($G$17-CHOOSE(PARAM!$B$44,MAX(0,BJ839*$F$1),0),0)*RATES!$L816/12+$H$17*(PARAM!$D$51/12)*RATES!$N816/100</f>
        <v>1190.0416666666667</v>
      </c>
      <c r="BJ840" s="16">
        <f t="shared" si="556"/>
        <v>-168756.89928357271</v>
      </c>
      <c r="BK840" s="15">
        <f t="shared" si="531"/>
        <v>22.170849845882874</v>
      </c>
      <c r="BL840" s="75">
        <f>BK840*(1-PARAM!$C$27)*$I$18+(MOD($B840,60)=PARAM!$B$56)*($B840&gt;(60-PARAM!$B$56))*HLOOKUP(($B840+PARAM!$B$56)/12,Loyalty,2)*$F$1*MAX(BN839,0)</f>
        <v>18.557001321003963</v>
      </c>
      <c r="BM840" s="75">
        <f>PARAM!$C$26+MAX($G$18-CHOOSE(PARAM!$B$44,MAX(0,BN839*$F$1),0),0)*RATES!$L816/12+$H$18*(PARAM!$D$51/12)*RATES!$N816/100</f>
        <v>1190.0416666666667</v>
      </c>
      <c r="BN840" s="16">
        <f t="shared" si="557"/>
        <v>-168756.89928357271</v>
      </c>
      <c r="BO840" s="15">
        <f t="shared" si="532"/>
        <v>22.170849845882874</v>
      </c>
      <c r="BP840" s="75">
        <f>BO840*(1-PARAM!$C$27)*$I$19+(MOD($B840,60)=PARAM!$B$56)*($B840&gt;(60-PARAM!$B$56))*HLOOKUP(($B840+PARAM!$B$56)/12,Loyalty,2)*$F$1*MAX(BR839,0)</f>
        <v>18.557001321003963</v>
      </c>
      <c r="BQ840" s="75">
        <f>PARAM!$C$26+MAX($G$19-CHOOSE(PARAM!$B$44,MAX(0,BR839*$F$1),0),0)*RATES!$L816/12+$H$19*(PARAM!$D$51/12)*RATES!$N816/100</f>
        <v>1190.0416666666667</v>
      </c>
      <c r="BR840" s="16">
        <f t="shared" si="558"/>
        <v>-168756.89928357271</v>
      </c>
      <c r="BS840" s="15">
        <f t="shared" si="533"/>
        <v>22.170849845882874</v>
      </c>
      <c r="BT840" s="75">
        <f>BS840*(1-PARAM!$C$27)*$I$20+(MOD($B840,60)=PARAM!$B$56)*($B840&gt;(60-PARAM!$B$56))*HLOOKUP(($B840+PARAM!$B$56)/12,Loyalty,2)*$F$1*MAX(BV839,0)</f>
        <v>18.557001321003963</v>
      </c>
      <c r="BU840" s="75">
        <f>PARAM!$C$26+MAX($G$20-CHOOSE(PARAM!$B$44,MAX(0,BV839*$F$1),0),0)*RATES!$L816/12+$H$20*(PARAM!$D$51/12)*RATES!$N816/100</f>
        <v>1190.0416666666667</v>
      </c>
      <c r="BV840" s="16">
        <f t="shared" si="559"/>
        <v>-168756.89928357271</v>
      </c>
      <c r="BW840" s="15">
        <f t="shared" si="534"/>
        <v>22.170849845882874</v>
      </c>
      <c r="BX840" s="75">
        <f>BW840*(1-PARAM!$C$27)*$I$21+(MOD($B840,60)=PARAM!$B$56)*($B840&gt;(60-PARAM!$B$56))*HLOOKUP(($B840+PARAM!$B$56)/12,Loyalty,2)*$F$1*MAX(BZ839,0)</f>
        <v>18.557001321003963</v>
      </c>
      <c r="BY840" s="75">
        <f>PARAM!$C$26+MAX($G$21-CHOOSE(PARAM!$B$44,MAX(0,BZ839*$F$1),0),0)*RATES!$L816/12+$H$21*(PARAM!$D$51/12)*RATES!$N816/100</f>
        <v>1190.0416666666667</v>
      </c>
      <c r="BZ840" s="16">
        <f t="shared" si="560"/>
        <v>-168756.89928357271</v>
      </c>
      <c r="CA840" s="15">
        <f t="shared" si="535"/>
        <v>22.170849845882874</v>
      </c>
      <c r="CB840" s="75">
        <f>CA840*(1-PARAM!$C$27)*$I$22+(MOD($B840,60)=PARAM!$B$56)*($B840&gt;(60-PARAM!$B$56))*HLOOKUP(($B840+PARAM!$B$56)/12,Loyalty,2)*$F$1*MAX(CD839,0)</f>
        <v>18.557001321003963</v>
      </c>
      <c r="CC840" s="75">
        <f>PARAM!$C$26+MAX($G$22-CHOOSE(PARAM!$B$44,MAX(0,CD839*$F$1),0),0)*RATES!$L816/12+$H$22*(PARAM!$D$51/12)*RATES!$N816/100</f>
        <v>1190.0416666666667</v>
      </c>
      <c r="CD840" s="16">
        <f t="shared" si="561"/>
        <v>-168756.89928357271</v>
      </c>
      <c r="CE840" s="33">
        <f>IF(0=MOD(B840,12/PARAM!$D$51),1,0)</f>
        <v>1</v>
      </c>
      <c r="CF840" s="15">
        <f t="shared" si="536"/>
        <v>0</v>
      </c>
      <c r="CG840" s="75">
        <f>CF840*(1-PARAM!$C$27)*$R$3+(MOD($B840/12,5)=0)*($B840&gt;60)*HLOOKUP($B840/12,Loyalty,2)*$F$1*MAX(CI839,0)</f>
        <v>0</v>
      </c>
      <c r="CH840" s="75">
        <f>PARAM!$C$26+MAX($P$3-CHOOSE(PARAM!$B$44,MAX(0,CI839*$F$1),0),0)*RATES!$L816/12+$Q$3*(PARAM!$D$51/12)*RATES!$N816/100</f>
        <v>1190.0416666666667</v>
      </c>
      <c r="CI840" s="16">
        <f>IF(CI839&gt;0,CI839*PARAM!$C$53,CI839)+CG840-CH840</f>
        <v>-183724.16666666692</v>
      </c>
      <c r="CJ840" s="15">
        <f t="shared" si="562"/>
        <v>0</v>
      </c>
      <c r="CK840" s="75">
        <f>CJ840*(1-PARAM!$C$27)*$R$4+(MOD($B840/12,5)=0)*($B840&gt;60)*HLOOKUP($B840/12,Loyalty,2)*$F$1*MAX(CM839,0)</f>
        <v>0</v>
      </c>
      <c r="CL840" s="75">
        <f>PARAM!$C$26+MAX($P$4-CHOOSE(PARAM!$B$44,MAX(0,CM839*$F$1),0),0)*RATES!$L816/12+$Q$4*(PARAM!$D$51/12)*RATES!$N816/100</f>
        <v>1190.0416666666667</v>
      </c>
      <c r="CM840" s="16">
        <f>IF(CM839&gt;0,CM839*PARAM!$C$53,CM839)+CK840-CL840</f>
        <v>-183724.16666666692</v>
      </c>
      <c r="CO840" s="176"/>
    </row>
    <row r="841" spans="1:93" x14ac:dyDescent="0.2">
      <c r="A841" t="b">
        <f t="shared" si="537"/>
        <v>0</v>
      </c>
      <c r="B841" s="33">
        <v>814</v>
      </c>
      <c r="C841" s="15">
        <f t="shared" si="538"/>
        <v>20.081305947392778</v>
      </c>
      <c r="D841" s="75">
        <f>C841*(1-PARAM!$C$27)*$I$3+(MOD($B841,60)=PARAM!$B$56)*($B841&gt;(60-PARAM!$B$56))*HLOOKUP(($B841+PARAM!$B$56)/12,Loyalty,2)*$F$1*MAX(F840,0)</f>
        <v>16.808053077967756</v>
      </c>
      <c r="E841" s="75">
        <f>PARAM!$C$26+MAX($G$3-CHOOSE(PARAM!$B$44,MAX(0,F840*$F$1),0),0)*RATES!$L817/12+$H$3*(PARAM!$D$51/12)*RATES!$N817/100</f>
        <v>1190.0416666666667</v>
      </c>
      <c r="F841" s="16">
        <f t="shared" si="539"/>
        <v>-171388.87831927164</v>
      </c>
      <c r="G841" s="15">
        <f t="shared" si="540"/>
        <v>22.035289406060361</v>
      </c>
      <c r="H841" s="75">
        <f>G841*(1-PARAM!$C$27)*$I$4+(MOD($B841,60)=PARAM!$B$56)*($B841&gt;(60-PARAM!$B$56))*HLOOKUP(($B841+PARAM!$B$56)/12,Loyalty,2)*$F$1*MAX(J840,0)</f>
        <v>18.443537232872522</v>
      </c>
      <c r="I841" s="75">
        <f>PARAM!$C$26+MAX($G$4-CHOOSE(PARAM!$B$44,MAX(0,J840*$F$1),0),0)*RATES!$L817/12+$H$4*(PARAM!$D$51/12)*RATES!$N817/100</f>
        <v>1190.0416666666667</v>
      </c>
      <c r="J841" s="16">
        <f t="shared" si="541"/>
        <v>-170023.76125305693</v>
      </c>
      <c r="K841" s="15">
        <f t="shared" si="542"/>
        <v>22.170849845882874</v>
      </c>
      <c r="L841" s="75">
        <f>K841*(1-PARAM!$C$27)*$I$5+(MOD($B841,60)=PARAM!$B$56)*($B841&gt;(60-PARAM!$B$56))*HLOOKUP(($B841+PARAM!$B$56)/12,Loyalty,2)*$F$1*MAX(N840,0)</f>
        <v>18.557001321003963</v>
      </c>
      <c r="M841" s="75">
        <f>PARAM!$C$26+MAX($G$5-CHOOSE(PARAM!$B$44,MAX(0,N840*$F$1),0),0)*RATES!$L817/12+$H$5*(PARAM!$D$51/12)*RATES!$N817/100</f>
        <v>1190.0416666666667</v>
      </c>
      <c r="N841" s="16">
        <f t="shared" si="543"/>
        <v>-169928.38394891837</v>
      </c>
      <c r="O841" s="15">
        <f t="shared" si="544"/>
        <v>22.170849845882874</v>
      </c>
      <c r="P841" s="75">
        <f>O841*(1-PARAM!$C$27)*$I$6+(MOD($B841,60)=PARAM!$B$56)*($B841&gt;(60-PARAM!$B$56))*HLOOKUP(($B841+PARAM!$B$56)/12,Loyalty,2)*$F$1*MAX(R840,0)</f>
        <v>18.557001321003963</v>
      </c>
      <c r="Q841" s="75">
        <f>PARAM!$C$26+MAX($G$6-CHOOSE(PARAM!$B$44,MAX(0,R840*$F$1),0),0)*RATES!$L817/12+$H$6*(PARAM!$D$51/12)*RATES!$N817/100</f>
        <v>1190.0416666666667</v>
      </c>
      <c r="R841" s="16">
        <f t="shared" si="545"/>
        <v>-169928.38394891837</v>
      </c>
      <c r="S841" s="15">
        <f t="shared" si="520"/>
        <v>22.170849845882874</v>
      </c>
      <c r="T841" s="75">
        <f>S841*(1-PARAM!$C$27)*$I$7+(MOD($B841,60)=PARAM!$B$56)*($B841&gt;(60-PARAM!$B$56))*HLOOKUP(($B841+PARAM!$B$56)/12,Loyalty,2)*$F$1*MAX(V840,0)</f>
        <v>18.557001321003963</v>
      </c>
      <c r="U841" s="75">
        <f>PARAM!$C$26+MAX($G$7-CHOOSE(PARAM!$B$44,MAX(0,V840*$F$1),0),0)*RATES!$L817/12+$H$7*(PARAM!$D$51/12)*RATES!$N817/100</f>
        <v>1190.0416666666667</v>
      </c>
      <c r="V841" s="16">
        <f t="shared" si="546"/>
        <v>-169928.38394891837</v>
      </c>
      <c r="W841" s="15">
        <f t="shared" si="521"/>
        <v>22.170849845882874</v>
      </c>
      <c r="X841" s="75">
        <f>W841*(1-PARAM!$C$27)*$I$8+(MOD($B841,60)=PARAM!$B$56)*($B841&gt;(60-PARAM!$B$56))*HLOOKUP(($B841+PARAM!$B$56)/12,Loyalty,2)*$F$1*MAX(Z840,0)</f>
        <v>18.557001321003963</v>
      </c>
      <c r="Y841" s="75">
        <f>PARAM!$C$26+MAX($G$8-CHOOSE(PARAM!$B$44,MAX(0,Z840*$F$1),0),0)*RATES!$L817/12+$H$8*(PARAM!$D$51/12)*RATES!$N817/100</f>
        <v>1190.0416666666667</v>
      </c>
      <c r="Z841" s="16">
        <f t="shared" si="547"/>
        <v>-169928.38394891837</v>
      </c>
      <c r="AA841" s="15">
        <f t="shared" si="522"/>
        <v>22.170849845882874</v>
      </c>
      <c r="AB841" s="75">
        <f>AA841*(1-PARAM!$C$27)*$I$9+(MOD($B841,60)=PARAM!$B$56)*($B841&gt;(60-PARAM!$B$56))*HLOOKUP(($B841+PARAM!$B$56)/12,Loyalty,2)*$F$1*MAX(AD840,0)</f>
        <v>18.557001321003963</v>
      </c>
      <c r="AC841" s="75">
        <f>PARAM!$C$26+MAX($G$9-CHOOSE(PARAM!$B$44,MAX(0,AD840*$F$1),0),0)*RATES!$L817/12+$H$9*(PARAM!$D$51/12)*RATES!$N817/100</f>
        <v>1190.0416666666667</v>
      </c>
      <c r="AD841" s="16">
        <f t="shared" si="548"/>
        <v>-169928.38394891837</v>
      </c>
      <c r="AE841" s="15">
        <f t="shared" si="523"/>
        <v>22.170849845882874</v>
      </c>
      <c r="AF841" s="75">
        <f>AE841*(1-PARAM!$C$27)*$I$10+(MOD($B841,60)=PARAM!$B$56)*($B841&gt;(60-PARAM!$B$56))*HLOOKUP(($B841+PARAM!$B$56)/12,Loyalty,2)*$F$1*MAX(AH840,0)</f>
        <v>18.557001321003963</v>
      </c>
      <c r="AG841" s="75">
        <f>PARAM!$C$26+MAX($G$10-CHOOSE(PARAM!$B$44,MAX(0,AH840*$F$1),0),0)*RATES!$L817/12+$H$10*(PARAM!$D$51/12)*RATES!$N817/100</f>
        <v>1190.0416666666667</v>
      </c>
      <c r="AH841" s="16">
        <f t="shared" si="549"/>
        <v>-169928.38394891837</v>
      </c>
      <c r="AI841" s="15">
        <f t="shared" si="524"/>
        <v>22.170849845882874</v>
      </c>
      <c r="AJ841" s="75">
        <f>AI841*(1-PARAM!$C$27)*$I$11+(MOD($B841,60)=PARAM!$B$56)*($B841&gt;(60-PARAM!$B$56))*HLOOKUP(($B841+PARAM!$B$56)/12,Loyalty,2)*$F$1*MAX(AL840,0)</f>
        <v>18.557001321003963</v>
      </c>
      <c r="AK841" s="75">
        <f>PARAM!$C$26+MAX($G$11-CHOOSE(PARAM!$B$44,MAX(0,AL840*$F$1),0),0)*RATES!$L817/12+$H$11*(PARAM!$D$51/12)*RATES!$N817/100</f>
        <v>1190.0416666666667</v>
      </c>
      <c r="AL841" s="16">
        <f t="shared" si="550"/>
        <v>-169928.38394891837</v>
      </c>
      <c r="AM841" s="15">
        <f t="shared" si="525"/>
        <v>22.170849845882874</v>
      </c>
      <c r="AN841" s="75">
        <f>AM841*(1-PARAM!$C$27)*$I$12+(MOD($B841,60)=PARAM!$B$56)*($B841&gt;(60-PARAM!$B$56))*HLOOKUP(($B841+PARAM!$B$56)/12,Loyalty,2)*$F$1*MAX(AP840,0)</f>
        <v>18.557001321003963</v>
      </c>
      <c r="AO841" s="75">
        <f>PARAM!$C$26+MAX($G$12-CHOOSE(PARAM!$B$44,MAX(0,AP840*$F$1),0),0)*RATES!$L817/12+$H$12*(PARAM!$D$51/12)*RATES!$N817/100</f>
        <v>1190.0416666666667</v>
      </c>
      <c r="AP841" s="16">
        <f t="shared" si="551"/>
        <v>-169928.38394891837</v>
      </c>
      <c r="AQ841" s="15">
        <f t="shared" si="526"/>
        <v>22.170849845882874</v>
      </c>
      <c r="AR841" s="75">
        <f>AQ841*(1-PARAM!$C$27)*$I$13+(MOD($B841,60)=PARAM!$B$56)*($B841&gt;(60-PARAM!$B$56))*HLOOKUP(($B841+PARAM!$B$56)/12,Loyalty,2)*$F$1*MAX(AT840,0)</f>
        <v>18.557001321003963</v>
      </c>
      <c r="AS841" s="75">
        <f>PARAM!$C$26+MAX($G$13-CHOOSE(PARAM!$B$44,MAX(0,AT840*$F$1),0),0)*RATES!$L817/12+$H$13*(PARAM!$D$51/12)*RATES!$N817/100</f>
        <v>1190.0416666666667</v>
      </c>
      <c r="AT841" s="16">
        <f t="shared" si="552"/>
        <v>-169928.38394891837</v>
      </c>
      <c r="AU841" s="15">
        <f t="shared" si="527"/>
        <v>22.170849845882874</v>
      </c>
      <c r="AV841" s="75">
        <f>AU841*(1-PARAM!$C$27)*$I$14+(MOD($B841,60)=PARAM!$B$56)*($B841&gt;(60-PARAM!$B$56))*HLOOKUP(($B841+PARAM!$B$56)/12,Loyalty,2)*$F$1*MAX(AX840,0)</f>
        <v>18.557001321003963</v>
      </c>
      <c r="AW841" s="75">
        <f>PARAM!$C$26+MAX($G$14-CHOOSE(PARAM!$B$44,MAX(0,AX840*$F$1),0),0)*RATES!$L817/12+$H$14*(PARAM!$D$51/12)*RATES!$N817/100</f>
        <v>1190.0416666666667</v>
      </c>
      <c r="AX841" s="16">
        <f t="shared" si="553"/>
        <v>-169928.38394891837</v>
      </c>
      <c r="AY841" s="15">
        <f t="shared" si="528"/>
        <v>22.170849845882874</v>
      </c>
      <c r="AZ841" s="75">
        <f>AY841*(1-PARAM!$C$27)*$I$15+(MOD($B841,60)=PARAM!$B$56)*($B841&gt;(60-PARAM!$B$56))*HLOOKUP(($B841+PARAM!$B$56)/12,Loyalty,2)*$F$1*MAX(BB840,0)</f>
        <v>18.557001321003963</v>
      </c>
      <c r="BA841" s="75">
        <f>PARAM!$C$26+MAX($G$15-CHOOSE(PARAM!$B$44,MAX(0,BB840*$F$1),0),0)*RATES!$L817/12+$H$15*(PARAM!$D$51/12)*RATES!$N817/100</f>
        <v>1190.0416666666667</v>
      </c>
      <c r="BB841" s="16">
        <f t="shared" si="554"/>
        <v>-169928.38394891837</v>
      </c>
      <c r="BC841" s="15">
        <f t="shared" si="529"/>
        <v>22.170849845882874</v>
      </c>
      <c r="BD841" s="75">
        <f>BC841*(1-PARAM!$C$27)*$I$16+(MOD($B841,60)=PARAM!$B$56)*($B841&gt;(60-PARAM!$B$56))*HLOOKUP(($B841+PARAM!$B$56)/12,Loyalty,2)*$F$1*MAX(BF840,0)</f>
        <v>18.557001321003963</v>
      </c>
      <c r="BE841" s="75">
        <f>PARAM!$C$26+MAX($G$16-CHOOSE(PARAM!$B$44,MAX(0,BF840*$F$1),0),0)*RATES!$L817/12+$H$16*(PARAM!$D$51/12)*RATES!$N817/100</f>
        <v>1190.0416666666667</v>
      </c>
      <c r="BF841" s="16">
        <f t="shared" si="555"/>
        <v>-169928.38394891837</v>
      </c>
      <c r="BG841" s="15">
        <f t="shared" si="530"/>
        <v>22.170849845882874</v>
      </c>
      <c r="BH841" s="75">
        <f>BG841*(1-PARAM!$C$27)*$I$17+(MOD($B841,60)=PARAM!$B$56)*($B841&gt;(60-PARAM!$B$56))*HLOOKUP(($B841+PARAM!$B$56)/12,Loyalty,2)*$F$1*MAX(BJ840,0)</f>
        <v>18.557001321003963</v>
      </c>
      <c r="BI841" s="75">
        <f>PARAM!$C$26+MAX($G$17-CHOOSE(PARAM!$B$44,MAX(0,BJ840*$F$1),0),0)*RATES!$L817/12+$H$17*(PARAM!$D$51/12)*RATES!$N817/100</f>
        <v>1190.0416666666667</v>
      </c>
      <c r="BJ841" s="16">
        <f t="shared" si="556"/>
        <v>-169928.38394891837</v>
      </c>
      <c r="BK841" s="15">
        <f t="shared" si="531"/>
        <v>22.170849845882874</v>
      </c>
      <c r="BL841" s="75">
        <f>BK841*(1-PARAM!$C$27)*$I$18+(MOD($B841,60)=PARAM!$B$56)*($B841&gt;(60-PARAM!$B$56))*HLOOKUP(($B841+PARAM!$B$56)/12,Loyalty,2)*$F$1*MAX(BN840,0)</f>
        <v>18.557001321003963</v>
      </c>
      <c r="BM841" s="75">
        <f>PARAM!$C$26+MAX($G$18-CHOOSE(PARAM!$B$44,MAX(0,BN840*$F$1),0),0)*RATES!$L817/12+$H$18*(PARAM!$D$51/12)*RATES!$N817/100</f>
        <v>1190.0416666666667</v>
      </c>
      <c r="BN841" s="16">
        <f t="shared" si="557"/>
        <v>-169928.38394891837</v>
      </c>
      <c r="BO841" s="15">
        <f t="shared" si="532"/>
        <v>22.170849845882874</v>
      </c>
      <c r="BP841" s="75">
        <f>BO841*(1-PARAM!$C$27)*$I$19+(MOD($B841,60)=PARAM!$B$56)*($B841&gt;(60-PARAM!$B$56))*HLOOKUP(($B841+PARAM!$B$56)/12,Loyalty,2)*$F$1*MAX(BR840,0)</f>
        <v>18.557001321003963</v>
      </c>
      <c r="BQ841" s="75">
        <f>PARAM!$C$26+MAX($G$19-CHOOSE(PARAM!$B$44,MAX(0,BR840*$F$1),0),0)*RATES!$L817/12+$H$19*(PARAM!$D$51/12)*RATES!$N817/100</f>
        <v>1190.0416666666667</v>
      </c>
      <c r="BR841" s="16">
        <f t="shared" si="558"/>
        <v>-169928.38394891837</v>
      </c>
      <c r="BS841" s="15">
        <f t="shared" si="533"/>
        <v>22.170849845882874</v>
      </c>
      <c r="BT841" s="75">
        <f>BS841*(1-PARAM!$C$27)*$I$20+(MOD($B841,60)=PARAM!$B$56)*($B841&gt;(60-PARAM!$B$56))*HLOOKUP(($B841+PARAM!$B$56)/12,Loyalty,2)*$F$1*MAX(BV840,0)</f>
        <v>18.557001321003963</v>
      </c>
      <c r="BU841" s="75">
        <f>PARAM!$C$26+MAX($G$20-CHOOSE(PARAM!$B$44,MAX(0,BV840*$F$1),0),0)*RATES!$L817/12+$H$20*(PARAM!$D$51/12)*RATES!$N817/100</f>
        <v>1190.0416666666667</v>
      </c>
      <c r="BV841" s="16">
        <f t="shared" si="559"/>
        <v>-169928.38394891837</v>
      </c>
      <c r="BW841" s="15">
        <f t="shared" si="534"/>
        <v>22.170849845882874</v>
      </c>
      <c r="BX841" s="75">
        <f>BW841*(1-PARAM!$C$27)*$I$21+(MOD($B841,60)=PARAM!$B$56)*($B841&gt;(60-PARAM!$B$56))*HLOOKUP(($B841+PARAM!$B$56)/12,Loyalty,2)*$F$1*MAX(BZ840,0)</f>
        <v>18.557001321003963</v>
      </c>
      <c r="BY841" s="75">
        <f>PARAM!$C$26+MAX($G$21-CHOOSE(PARAM!$B$44,MAX(0,BZ840*$F$1),0),0)*RATES!$L817/12+$H$21*(PARAM!$D$51/12)*RATES!$N817/100</f>
        <v>1190.0416666666667</v>
      </c>
      <c r="BZ841" s="16">
        <f t="shared" si="560"/>
        <v>-169928.38394891837</v>
      </c>
      <c r="CA841" s="15">
        <f t="shared" si="535"/>
        <v>22.170849845882874</v>
      </c>
      <c r="CB841" s="75">
        <f>CA841*(1-PARAM!$C$27)*$I$22+(MOD($B841,60)=PARAM!$B$56)*($B841&gt;(60-PARAM!$B$56))*HLOOKUP(($B841+PARAM!$B$56)/12,Loyalty,2)*$F$1*MAX(CD840,0)</f>
        <v>18.557001321003963</v>
      </c>
      <c r="CC841" s="75">
        <f>PARAM!$C$26+MAX($G$22-CHOOSE(PARAM!$B$44,MAX(0,CD840*$F$1),0),0)*RATES!$L817/12+$H$22*(PARAM!$D$51/12)*RATES!$N817/100</f>
        <v>1190.0416666666667</v>
      </c>
      <c r="CD841" s="16">
        <f t="shared" si="561"/>
        <v>-169928.38394891837</v>
      </c>
      <c r="CE841" s="33">
        <f>IF(0=MOD(B841,12/PARAM!$D$51),1,0)</f>
        <v>1</v>
      </c>
      <c r="CF841" s="15">
        <f t="shared" si="536"/>
        <v>0</v>
      </c>
      <c r="CG841" s="75">
        <f>CF841*(1-PARAM!$C$27)*$R$3+(MOD($B841/12,5)=0)*($B841&gt;60)*HLOOKUP($B841/12,Loyalty,2)*$F$1*MAX(CI840,0)</f>
        <v>0</v>
      </c>
      <c r="CH841" s="75">
        <f>PARAM!$C$26+MAX($P$3-CHOOSE(PARAM!$B$44,MAX(0,CI840*$F$1),0),0)*RATES!$L817/12+$Q$3*(PARAM!$D$51/12)*RATES!$N817/100</f>
        <v>1190.0416666666667</v>
      </c>
      <c r="CI841" s="16">
        <f>IF(CI840&gt;0,CI840*PARAM!$C$53,CI840)+CG841-CH841</f>
        <v>-184914.20833333358</v>
      </c>
      <c r="CJ841" s="15">
        <f t="shared" si="562"/>
        <v>0</v>
      </c>
      <c r="CK841" s="75">
        <f>CJ841*(1-PARAM!$C$27)*$R$4+(MOD($B841/12,5)=0)*($B841&gt;60)*HLOOKUP($B841/12,Loyalty,2)*$F$1*MAX(CM840,0)</f>
        <v>0</v>
      </c>
      <c r="CL841" s="75">
        <f>PARAM!$C$26+MAX($P$4-CHOOSE(PARAM!$B$44,MAX(0,CM840*$F$1),0),0)*RATES!$L817/12+$Q$4*(PARAM!$D$51/12)*RATES!$N817/100</f>
        <v>1190.0416666666667</v>
      </c>
      <c r="CM841" s="16">
        <f>IF(CM840&gt;0,CM840*PARAM!$C$53,CM840)+CK841-CL841</f>
        <v>-184914.20833333358</v>
      </c>
      <c r="CO841" s="176"/>
    </row>
    <row r="842" spans="1:93" x14ac:dyDescent="0.2">
      <c r="A842" t="b">
        <f t="shared" si="537"/>
        <v>0</v>
      </c>
      <c r="B842" s="33">
        <v>815</v>
      </c>
      <c r="C842" s="15">
        <f t="shared" si="538"/>
        <v>20.081305947392778</v>
      </c>
      <c r="D842" s="75">
        <f>C842*(1-PARAM!$C$27)*$I$3+(MOD($B842,60)=PARAM!$B$56)*($B842&gt;(60-PARAM!$B$56))*HLOOKUP(($B842+PARAM!$B$56)/12,Loyalty,2)*$F$1*MAX(F841,0)</f>
        <v>16.808053077967756</v>
      </c>
      <c r="E842" s="75">
        <f>PARAM!$C$26+MAX($G$3-CHOOSE(PARAM!$B$44,MAX(0,F841*$F$1),0),0)*RATES!$L818/12+$H$3*(PARAM!$D$51/12)*RATES!$N818/100</f>
        <v>1190.0416666666667</v>
      </c>
      <c r="F842" s="16">
        <f t="shared" si="539"/>
        <v>-172562.11193286034</v>
      </c>
      <c r="G842" s="15">
        <f t="shared" si="540"/>
        <v>22.035289406060361</v>
      </c>
      <c r="H842" s="75">
        <f>G842*(1-PARAM!$C$27)*$I$4+(MOD($B842,60)=PARAM!$B$56)*($B842&gt;(60-PARAM!$B$56))*HLOOKUP(($B842+PARAM!$B$56)/12,Loyalty,2)*$F$1*MAX(J841,0)</f>
        <v>18.443537232872522</v>
      </c>
      <c r="I842" s="75">
        <f>PARAM!$C$26+MAX($G$4-CHOOSE(PARAM!$B$44,MAX(0,J841*$F$1),0),0)*RATES!$L818/12+$H$4*(PARAM!$D$51/12)*RATES!$N818/100</f>
        <v>1190.0416666666667</v>
      </c>
      <c r="J842" s="16">
        <f t="shared" si="541"/>
        <v>-171195.35938249071</v>
      </c>
      <c r="K842" s="15">
        <f t="shared" si="542"/>
        <v>22.170849845882874</v>
      </c>
      <c r="L842" s="75">
        <f>K842*(1-PARAM!$C$27)*$I$5+(MOD($B842,60)=PARAM!$B$56)*($B842&gt;(60-PARAM!$B$56))*HLOOKUP(($B842+PARAM!$B$56)/12,Loyalty,2)*$F$1*MAX(N841,0)</f>
        <v>18.557001321003963</v>
      </c>
      <c r="M842" s="75">
        <f>PARAM!$C$26+MAX($G$5-CHOOSE(PARAM!$B$44,MAX(0,N841*$F$1),0),0)*RATES!$L818/12+$H$5*(PARAM!$D$51/12)*RATES!$N818/100</f>
        <v>1190.0416666666667</v>
      </c>
      <c r="N842" s="16">
        <f t="shared" si="543"/>
        <v>-171099.86861426404</v>
      </c>
      <c r="O842" s="15">
        <f t="shared" si="544"/>
        <v>22.170849845882874</v>
      </c>
      <c r="P842" s="75">
        <f>O842*(1-PARAM!$C$27)*$I$6+(MOD($B842,60)=PARAM!$B$56)*($B842&gt;(60-PARAM!$B$56))*HLOOKUP(($B842+PARAM!$B$56)/12,Loyalty,2)*$F$1*MAX(R841,0)</f>
        <v>18.557001321003963</v>
      </c>
      <c r="Q842" s="75">
        <f>PARAM!$C$26+MAX($G$6-CHOOSE(PARAM!$B$44,MAX(0,R841*$F$1),0),0)*RATES!$L818/12+$H$6*(PARAM!$D$51/12)*RATES!$N818/100</f>
        <v>1190.0416666666667</v>
      </c>
      <c r="R842" s="16">
        <f t="shared" si="545"/>
        <v>-171099.86861426404</v>
      </c>
      <c r="S842" s="15">
        <f t="shared" si="520"/>
        <v>22.170849845882874</v>
      </c>
      <c r="T842" s="75">
        <f>S842*(1-PARAM!$C$27)*$I$7+(MOD($B842,60)=PARAM!$B$56)*($B842&gt;(60-PARAM!$B$56))*HLOOKUP(($B842+PARAM!$B$56)/12,Loyalty,2)*$F$1*MAX(V841,0)</f>
        <v>18.557001321003963</v>
      </c>
      <c r="U842" s="75">
        <f>PARAM!$C$26+MAX($G$7-CHOOSE(PARAM!$B$44,MAX(0,V841*$F$1),0),0)*RATES!$L818/12+$H$7*(PARAM!$D$51/12)*RATES!$N818/100</f>
        <v>1190.0416666666667</v>
      </c>
      <c r="V842" s="16">
        <f t="shared" si="546"/>
        <v>-171099.86861426404</v>
      </c>
      <c r="W842" s="15">
        <f t="shared" si="521"/>
        <v>22.170849845882874</v>
      </c>
      <c r="X842" s="75">
        <f>W842*(1-PARAM!$C$27)*$I$8+(MOD($B842,60)=PARAM!$B$56)*($B842&gt;(60-PARAM!$B$56))*HLOOKUP(($B842+PARAM!$B$56)/12,Loyalty,2)*$F$1*MAX(Z841,0)</f>
        <v>18.557001321003963</v>
      </c>
      <c r="Y842" s="75">
        <f>PARAM!$C$26+MAX($G$8-CHOOSE(PARAM!$B$44,MAX(0,Z841*$F$1),0),0)*RATES!$L818/12+$H$8*(PARAM!$D$51/12)*RATES!$N818/100</f>
        <v>1190.0416666666667</v>
      </c>
      <c r="Z842" s="16">
        <f t="shared" si="547"/>
        <v>-171099.86861426404</v>
      </c>
      <c r="AA842" s="15">
        <f t="shared" si="522"/>
        <v>22.170849845882874</v>
      </c>
      <c r="AB842" s="75">
        <f>AA842*(1-PARAM!$C$27)*$I$9+(MOD($B842,60)=PARAM!$B$56)*($B842&gt;(60-PARAM!$B$56))*HLOOKUP(($B842+PARAM!$B$56)/12,Loyalty,2)*$F$1*MAX(AD841,0)</f>
        <v>18.557001321003963</v>
      </c>
      <c r="AC842" s="75">
        <f>PARAM!$C$26+MAX($G$9-CHOOSE(PARAM!$B$44,MAX(0,AD841*$F$1),0),0)*RATES!$L818/12+$H$9*(PARAM!$D$51/12)*RATES!$N818/100</f>
        <v>1190.0416666666667</v>
      </c>
      <c r="AD842" s="16">
        <f t="shared" si="548"/>
        <v>-171099.86861426404</v>
      </c>
      <c r="AE842" s="15">
        <f t="shared" si="523"/>
        <v>22.170849845882874</v>
      </c>
      <c r="AF842" s="75">
        <f>AE842*(1-PARAM!$C$27)*$I$10+(MOD($B842,60)=PARAM!$B$56)*($B842&gt;(60-PARAM!$B$56))*HLOOKUP(($B842+PARAM!$B$56)/12,Loyalty,2)*$F$1*MAX(AH841,0)</f>
        <v>18.557001321003963</v>
      </c>
      <c r="AG842" s="75">
        <f>PARAM!$C$26+MAX($G$10-CHOOSE(PARAM!$B$44,MAX(0,AH841*$F$1),0),0)*RATES!$L818/12+$H$10*(PARAM!$D$51/12)*RATES!$N818/100</f>
        <v>1190.0416666666667</v>
      </c>
      <c r="AH842" s="16">
        <f t="shared" si="549"/>
        <v>-171099.86861426404</v>
      </c>
      <c r="AI842" s="15">
        <f t="shared" si="524"/>
        <v>22.170849845882874</v>
      </c>
      <c r="AJ842" s="75">
        <f>AI842*(1-PARAM!$C$27)*$I$11+(MOD($B842,60)=PARAM!$B$56)*($B842&gt;(60-PARAM!$B$56))*HLOOKUP(($B842+PARAM!$B$56)/12,Loyalty,2)*$F$1*MAX(AL841,0)</f>
        <v>18.557001321003963</v>
      </c>
      <c r="AK842" s="75">
        <f>PARAM!$C$26+MAX($G$11-CHOOSE(PARAM!$B$44,MAX(0,AL841*$F$1),0),0)*RATES!$L818/12+$H$11*(PARAM!$D$51/12)*RATES!$N818/100</f>
        <v>1190.0416666666667</v>
      </c>
      <c r="AL842" s="16">
        <f t="shared" si="550"/>
        <v>-171099.86861426404</v>
      </c>
      <c r="AM842" s="15">
        <f t="shared" si="525"/>
        <v>22.170849845882874</v>
      </c>
      <c r="AN842" s="75">
        <f>AM842*(1-PARAM!$C$27)*$I$12+(MOD($B842,60)=PARAM!$B$56)*($B842&gt;(60-PARAM!$B$56))*HLOOKUP(($B842+PARAM!$B$56)/12,Loyalty,2)*$F$1*MAX(AP841,0)</f>
        <v>18.557001321003963</v>
      </c>
      <c r="AO842" s="75">
        <f>PARAM!$C$26+MAX($G$12-CHOOSE(PARAM!$B$44,MAX(0,AP841*$F$1),0),0)*RATES!$L818/12+$H$12*(PARAM!$D$51/12)*RATES!$N818/100</f>
        <v>1190.0416666666667</v>
      </c>
      <c r="AP842" s="16">
        <f t="shared" si="551"/>
        <v>-171099.86861426404</v>
      </c>
      <c r="AQ842" s="15">
        <f t="shared" si="526"/>
        <v>22.170849845882874</v>
      </c>
      <c r="AR842" s="75">
        <f>AQ842*(1-PARAM!$C$27)*$I$13+(MOD($B842,60)=PARAM!$B$56)*($B842&gt;(60-PARAM!$B$56))*HLOOKUP(($B842+PARAM!$B$56)/12,Loyalty,2)*$F$1*MAX(AT841,0)</f>
        <v>18.557001321003963</v>
      </c>
      <c r="AS842" s="75">
        <f>PARAM!$C$26+MAX($G$13-CHOOSE(PARAM!$B$44,MAX(0,AT841*$F$1),0),0)*RATES!$L818/12+$H$13*(PARAM!$D$51/12)*RATES!$N818/100</f>
        <v>1190.0416666666667</v>
      </c>
      <c r="AT842" s="16">
        <f t="shared" si="552"/>
        <v>-171099.86861426404</v>
      </c>
      <c r="AU842" s="15">
        <f t="shared" si="527"/>
        <v>22.170849845882874</v>
      </c>
      <c r="AV842" s="75">
        <f>AU842*(1-PARAM!$C$27)*$I$14+(MOD($B842,60)=PARAM!$B$56)*($B842&gt;(60-PARAM!$B$56))*HLOOKUP(($B842+PARAM!$B$56)/12,Loyalty,2)*$F$1*MAX(AX841,0)</f>
        <v>18.557001321003963</v>
      </c>
      <c r="AW842" s="75">
        <f>PARAM!$C$26+MAX($G$14-CHOOSE(PARAM!$B$44,MAX(0,AX841*$F$1),0),0)*RATES!$L818/12+$H$14*(PARAM!$D$51/12)*RATES!$N818/100</f>
        <v>1190.0416666666667</v>
      </c>
      <c r="AX842" s="16">
        <f t="shared" si="553"/>
        <v>-171099.86861426404</v>
      </c>
      <c r="AY842" s="15">
        <f t="shared" si="528"/>
        <v>22.170849845882874</v>
      </c>
      <c r="AZ842" s="75">
        <f>AY842*(1-PARAM!$C$27)*$I$15+(MOD($B842,60)=PARAM!$B$56)*($B842&gt;(60-PARAM!$B$56))*HLOOKUP(($B842+PARAM!$B$56)/12,Loyalty,2)*$F$1*MAX(BB841,0)</f>
        <v>18.557001321003963</v>
      </c>
      <c r="BA842" s="75">
        <f>PARAM!$C$26+MAX($G$15-CHOOSE(PARAM!$B$44,MAX(0,BB841*$F$1),0),0)*RATES!$L818/12+$H$15*(PARAM!$D$51/12)*RATES!$N818/100</f>
        <v>1190.0416666666667</v>
      </c>
      <c r="BB842" s="16">
        <f t="shared" si="554"/>
        <v>-171099.86861426404</v>
      </c>
      <c r="BC842" s="15">
        <f t="shared" si="529"/>
        <v>22.170849845882874</v>
      </c>
      <c r="BD842" s="75">
        <f>BC842*(1-PARAM!$C$27)*$I$16+(MOD($B842,60)=PARAM!$B$56)*($B842&gt;(60-PARAM!$B$56))*HLOOKUP(($B842+PARAM!$B$56)/12,Loyalty,2)*$F$1*MAX(BF841,0)</f>
        <v>18.557001321003963</v>
      </c>
      <c r="BE842" s="75">
        <f>PARAM!$C$26+MAX($G$16-CHOOSE(PARAM!$B$44,MAX(0,BF841*$F$1),0),0)*RATES!$L818/12+$H$16*(PARAM!$D$51/12)*RATES!$N818/100</f>
        <v>1190.0416666666667</v>
      </c>
      <c r="BF842" s="16">
        <f t="shared" si="555"/>
        <v>-171099.86861426404</v>
      </c>
      <c r="BG842" s="15">
        <f t="shared" si="530"/>
        <v>22.170849845882874</v>
      </c>
      <c r="BH842" s="75">
        <f>BG842*(1-PARAM!$C$27)*$I$17+(MOD($B842,60)=PARAM!$B$56)*($B842&gt;(60-PARAM!$B$56))*HLOOKUP(($B842+PARAM!$B$56)/12,Loyalty,2)*$F$1*MAX(BJ841,0)</f>
        <v>18.557001321003963</v>
      </c>
      <c r="BI842" s="75">
        <f>PARAM!$C$26+MAX($G$17-CHOOSE(PARAM!$B$44,MAX(0,BJ841*$F$1),0),0)*RATES!$L818/12+$H$17*(PARAM!$D$51/12)*RATES!$N818/100</f>
        <v>1190.0416666666667</v>
      </c>
      <c r="BJ842" s="16">
        <f t="shared" si="556"/>
        <v>-171099.86861426404</v>
      </c>
      <c r="BK842" s="15">
        <f t="shared" si="531"/>
        <v>22.170849845882874</v>
      </c>
      <c r="BL842" s="75">
        <f>BK842*(1-PARAM!$C$27)*$I$18+(MOD($B842,60)=PARAM!$B$56)*($B842&gt;(60-PARAM!$B$56))*HLOOKUP(($B842+PARAM!$B$56)/12,Loyalty,2)*$F$1*MAX(BN841,0)</f>
        <v>18.557001321003963</v>
      </c>
      <c r="BM842" s="75">
        <f>PARAM!$C$26+MAX($G$18-CHOOSE(PARAM!$B$44,MAX(0,BN841*$F$1),0),0)*RATES!$L818/12+$H$18*(PARAM!$D$51/12)*RATES!$N818/100</f>
        <v>1190.0416666666667</v>
      </c>
      <c r="BN842" s="16">
        <f t="shared" si="557"/>
        <v>-171099.86861426404</v>
      </c>
      <c r="BO842" s="15">
        <f t="shared" si="532"/>
        <v>22.170849845882874</v>
      </c>
      <c r="BP842" s="75">
        <f>BO842*(1-PARAM!$C$27)*$I$19+(MOD($B842,60)=PARAM!$B$56)*($B842&gt;(60-PARAM!$B$56))*HLOOKUP(($B842+PARAM!$B$56)/12,Loyalty,2)*$F$1*MAX(BR841,0)</f>
        <v>18.557001321003963</v>
      </c>
      <c r="BQ842" s="75">
        <f>PARAM!$C$26+MAX($G$19-CHOOSE(PARAM!$B$44,MAX(0,BR841*$F$1),0),0)*RATES!$L818/12+$H$19*(PARAM!$D$51/12)*RATES!$N818/100</f>
        <v>1190.0416666666667</v>
      </c>
      <c r="BR842" s="16">
        <f t="shared" si="558"/>
        <v>-171099.86861426404</v>
      </c>
      <c r="BS842" s="15">
        <f t="shared" si="533"/>
        <v>22.170849845882874</v>
      </c>
      <c r="BT842" s="75">
        <f>BS842*(1-PARAM!$C$27)*$I$20+(MOD($B842,60)=PARAM!$B$56)*($B842&gt;(60-PARAM!$B$56))*HLOOKUP(($B842+PARAM!$B$56)/12,Loyalty,2)*$F$1*MAX(BV841,0)</f>
        <v>18.557001321003963</v>
      </c>
      <c r="BU842" s="75">
        <f>PARAM!$C$26+MAX($G$20-CHOOSE(PARAM!$B$44,MAX(0,BV841*$F$1),0),0)*RATES!$L818/12+$H$20*(PARAM!$D$51/12)*RATES!$N818/100</f>
        <v>1190.0416666666667</v>
      </c>
      <c r="BV842" s="16">
        <f t="shared" si="559"/>
        <v>-171099.86861426404</v>
      </c>
      <c r="BW842" s="15">
        <f t="shared" si="534"/>
        <v>22.170849845882874</v>
      </c>
      <c r="BX842" s="75">
        <f>BW842*(1-PARAM!$C$27)*$I$21+(MOD($B842,60)=PARAM!$B$56)*($B842&gt;(60-PARAM!$B$56))*HLOOKUP(($B842+PARAM!$B$56)/12,Loyalty,2)*$F$1*MAX(BZ841,0)</f>
        <v>18.557001321003963</v>
      </c>
      <c r="BY842" s="75">
        <f>PARAM!$C$26+MAX($G$21-CHOOSE(PARAM!$B$44,MAX(0,BZ841*$F$1),0),0)*RATES!$L818/12+$H$21*(PARAM!$D$51/12)*RATES!$N818/100</f>
        <v>1190.0416666666667</v>
      </c>
      <c r="BZ842" s="16">
        <f t="shared" si="560"/>
        <v>-171099.86861426404</v>
      </c>
      <c r="CA842" s="15">
        <f t="shared" si="535"/>
        <v>22.170849845882874</v>
      </c>
      <c r="CB842" s="75">
        <f>CA842*(1-PARAM!$C$27)*$I$22+(MOD($B842,60)=PARAM!$B$56)*($B842&gt;(60-PARAM!$B$56))*HLOOKUP(($B842+PARAM!$B$56)/12,Loyalty,2)*$F$1*MAX(CD841,0)</f>
        <v>18.557001321003963</v>
      </c>
      <c r="CC842" s="75">
        <f>PARAM!$C$26+MAX($G$22-CHOOSE(PARAM!$B$44,MAX(0,CD841*$F$1),0),0)*RATES!$L818/12+$H$22*(PARAM!$D$51/12)*RATES!$N818/100</f>
        <v>1190.0416666666667</v>
      </c>
      <c r="CD842" s="16">
        <f t="shared" si="561"/>
        <v>-171099.86861426404</v>
      </c>
      <c r="CE842" s="33">
        <f>IF(0=MOD(B842,12/PARAM!$D$51),1,0)</f>
        <v>1</v>
      </c>
      <c r="CF842" s="15">
        <f t="shared" si="536"/>
        <v>0</v>
      </c>
      <c r="CG842" s="75">
        <f>CF842*(1-PARAM!$C$27)*$R$3+(MOD($B842/12,5)=0)*($B842&gt;60)*HLOOKUP($B842/12,Loyalty,2)*$F$1*MAX(CI841,0)</f>
        <v>0</v>
      </c>
      <c r="CH842" s="75">
        <f>PARAM!$C$26+MAX($P$3-CHOOSE(PARAM!$B$44,MAX(0,CI841*$F$1),0),0)*RATES!$L818/12+$Q$3*(PARAM!$D$51/12)*RATES!$N818/100</f>
        <v>1190.0416666666667</v>
      </c>
      <c r="CI842" s="16">
        <f>IF(CI841&gt;0,CI841*PARAM!$C$53,CI841)+CG842-CH842</f>
        <v>-186104.25000000023</v>
      </c>
      <c r="CJ842" s="15">
        <f t="shared" si="562"/>
        <v>0</v>
      </c>
      <c r="CK842" s="75">
        <f>CJ842*(1-PARAM!$C$27)*$R$4+(MOD($B842/12,5)=0)*($B842&gt;60)*HLOOKUP($B842/12,Loyalty,2)*$F$1*MAX(CM841,0)</f>
        <v>0</v>
      </c>
      <c r="CL842" s="75">
        <f>PARAM!$C$26+MAX($P$4-CHOOSE(PARAM!$B$44,MAX(0,CM841*$F$1),0),0)*RATES!$L818/12+$Q$4*(PARAM!$D$51/12)*RATES!$N818/100</f>
        <v>1190.0416666666667</v>
      </c>
      <c r="CM842" s="16">
        <f>IF(CM841&gt;0,CM841*PARAM!$C$53,CM841)+CK842-CL842</f>
        <v>-186104.25000000023</v>
      </c>
      <c r="CO842" s="176"/>
    </row>
    <row r="843" spans="1:93" x14ac:dyDescent="0.2">
      <c r="A843" t="b">
        <f t="shared" si="537"/>
        <v>0</v>
      </c>
      <c r="B843" s="33">
        <v>816</v>
      </c>
      <c r="C843" s="15">
        <f t="shared" si="538"/>
        <v>20.081305947392778</v>
      </c>
      <c r="D843" s="75">
        <f>C843*(1-PARAM!$C$27)*$I$3+(MOD($B843,60)=PARAM!$B$56)*($B843&gt;(60-PARAM!$B$56))*HLOOKUP(($B843+PARAM!$B$56)/12,Loyalty,2)*$F$1*MAX(F842,0)</f>
        <v>16.808053077967756</v>
      </c>
      <c r="E843" s="75">
        <f>PARAM!$C$26+MAX($G$3-CHOOSE(PARAM!$B$44,MAX(0,F842*$F$1),0),0)*RATES!$L819/12+$H$3*(PARAM!$D$51/12)*RATES!$N819/100</f>
        <v>1190.0416666666667</v>
      </c>
      <c r="F843" s="16">
        <f t="shared" si="539"/>
        <v>-173735.34554644904</v>
      </c>
      <c r="G843" s="15">
        <f t="shared" si="540"/>
        <v>22.035289406060361</v>
      </c>
      <c r="H843" s="75">
        <f>G843*(1-PARAM!$C$27)*$I$4+(MOD($B843,60)=PARAM!$B$56)*($B843&gt;(60-PARAM!$B$56))*HLOOKUP(($B843+PARAM!$B$56)/12,Loyalty,2)*$F$1*MAX(J842,0)</f>
        <v>18.443537232872522</v>
      </c>
      <c r="I843" s="75">
        <f>PARAM!$C$26+MAX($G$4-CHOOSE(PARAM!$B$44,MAX(0,J842*$F$1),0),0)*RATES!$L819/12+$H$4*(PARAM!$D$51/12)*RATES!$N819/100</f>
        <v>1190.0416666666667</v>
      </c>
      <c r="J843" s="16">
        <f t="shared" si="541"/>
        <v>-172366.9575119245</v>
      </c>
      <c r="K843" s="15">
        <f t="shared" si="542"/>
        <v>22.170849845882874</v>
      </c>
      <c r="L843" s="75">
        <f>K843*(1-PARAM!$C$27)*$I$5+(MOD($B843,60)=PARAM!$B$56)*($B843&gt;(60-PARAM!$B$56))*HLOOKUP(($B843+PARAM!$B$56)/12,Loyalty,2)*$F$1*MAX(N842,0)</f>
        <v>18.557001321003963</v>
      </c>
      <c r="M843" s="75">
        <f>PARAM!$C$26+MAX($G$5-CHOOSE(PARAM!$B$44,MAX(0,N842*$F$1),0),0)*RATES!$L819/12+$H$5*(PARAM!$D$51/12)*RATES!$N819/100</f>
        <v>1190.0416666666667</v>
      </c>
      <c r="N843" s="16">
        <f t="shared" si="543"/>
        <v>-172271.3532796097</v>
      </c>
      <c r="O843" s="15">
        <f t="shared" si="544"/>
        <v>22.170849845882874</v>
      </c>
      <c r="P843" s="75">
        <f>O843*(1-PARAM!$C$27)*$I$6+(MOD($B843,60)=PARAM!$B$56)*($B843&gt;(60-PARAM!$B$56))*HLOOKUP(($B843+PARAM!$B$56)/12,Loyalty,2)*$F$1*MAX(R842,0)</f>
        <v>18.557001321003963</v>
      </c>
      <c r="Q843" s="75">
        <f>PARAM!$C$26+MAX($G$6-CHOOSE(PARAM!$B$44,MAX(0,R842*$F$1),0),0)*RATES!$L819/12+$H$6*(PARAM!$D$51/12)*RATES!$N819/100</f>
        <v>1190.0416666666667</v>
      </c>
      <c r="R843" s="16">
        <f t="shared" si="545"/>
        <v>-172271.3532796097</v>
      </c>
      <c r="S843" s="15">
        <f t="shared" si="520"/>
        <v>22.170849845882874</v>
      </c>
      <c r="T843" s="75">
        <f>S843*(1-PARAM!$C$27)*$I$7+(MOD($B843,60)=PARAM!$B$56)*($B843&gt;(60-PARAM!$B$56))*HLOOKUP(($B843+PARAM!$B$56)/12,Loyalty,2)*$F$1*MAX(V842,0)</f>
        <v>18.557001321003963</v>
      </c>
      <c r="U843" s="75">
        <f>PARAM!$C$26+MAX($G$7-CHOOSE(PARAM!$B$44,MAX(0,V842*$F$1),0),0)*RATES!$L819/12+$H$7*(PARAM!$D$51/12)*RATES!$N819/100</f>
        <v>1190.0416666666667</v>
      </c>
      <c r="V843" s="16">
        <f t="shared" si="546"/>
        <v>-172271.3532796097</v>
      </c>
      <c r="W843" s="15">
        <f t="shared" si="521"/>
        <v>22.170849845882874</v>
      </c>
      <c r="X843" s="75">
        <f>W843*(1-PARAM!$C$27)*$I$8+(MOD($B843,60)=PARAM!$B$56)*($B843&gt;(60-PARAM!$B$56))*HLOOKUP(($B843+PARAM!$B$56)/12,Loyalty,2)*$F$1*MAX(Z842,0)</f>
        <v>18.557001321003963</v>
      </c>
      <c r="Y843" s="75">
        <f>PARAM!$C$26+MAX($G$8-CHOOSE(PARAM!$B$44,MAX(0,Z842*$F$1),0),0)*RATES!$L819/12+$H$8*(PARAM!$D$51/12)*RATES!$N819/100</f>
        <v>1190.0416666666667</v>
      </c>
      <c r="Z843" s="16">
        <f t="shared" si="547"/>
        <v>-172271.3532796097</v>
      </c>
      <c r="AA843" s="15">
        <f t="shared" si="522"/>
        <v>22.170849845882874</v>
      </c>
      <c r="AB843" s="75">
        <f>AA843*(1-PARAM!$C$27)*$I$9+(MOD($B843,60)=PARAM!$B$56)*($B843&gt;(60-PARAM!$B$56))*HLOOKUP(($B843+PARAM!$B$56)/12,Loyalty,2)*$F$1*MAX(AD842,0)</f>
        <v>18.557001321003963</v>
      </c>
      <c r="AC843" s="75">
        <f>PARAM!$C$26+MAX($G$9-CHOOSE(PARAM!$B$44,MAX(0,AD842*$F$1),0),0)*RATES!$L819/12+$H$9*(PARAM!$D$51/12)*RATES!$N819/100</f>
        <v>1190.0416666666667</v>
      </c>
      <c r="AD843" s="16">
        <f t="shared" si="548"/>
        <v>-172271.3532796097</v>
      </c>
      <c r="AE843" s="15">
        <f t="shared" si="523"/>
        <v>22.170849845882874</v>
      </c>
      <c r="AF843" s="75">
        <f>AE843*(1-PARAM!$C$27)*$I$10+(MOD($B843,60)=PARAM!$B$56)*($B843&gt;(60-PARAM!$B$56))*HLOOKUP(($B843+PARAM!$B$56)/12,Loyalty,2)*$F$1*MAX(AH842,0)</f>
        <v>18.557001321003963</v>
      </c>
      <c r="AG843" s="75">
        <f>PARAM!$C$26+MAX($G$10-CHOOSE(PARAM!$B$44,MAX(0,AH842*$F$1),0),0)*RATES!$L819/12+$H$10*(PARAM!$D$51/12)*RATES!$N819/100</f>
        <v>1190.0416666666667</v>
      </c>
      <c r="AH843" s="16">
        <f t="shared" si="549"/>
        <v>-172271.3532796097</v>
      </c>
      <c r="AI843" s="15">
        <f t="shared" si="524"/>
        <v>22.170849845882874</v>
      </c>
      <c r="AJ843" s="75">
        <f>AI843*(1-PARAM!$C$27)*$I$11+(MOD($B843,60)=PARAM!$B$56)*($B843&gt;(60-PARAM!$B$56))*HLOOKUP(($B843+PARAM!$B$56)/12,Loyalty,2)*$F$1*MAX(AL842,0)</f>
        <v>18.557001321003963</v>
      </c>
      <c r="AK843" s="75">
        <f>PARAM!$C$26+MAX($G$11-CHOOSE(PARAM!$B$44,MAX(0,AL842*$F$1),0),0)*RATES!$L819/12+$H$11*(PARAM!$D$51/12)*RATES!$N819/100</f>
        <v>1190.0416666666667</v>
      </c>
      <c r="AL843" s="16">
        <f t="shared" si="550"/>
        <v>-172271.3532796097</v>
      </c>
      <c r="AM843" s="15">
        <f t="shared" si="525"/>
        <v>22.170849845882874</v>
      </c>
      <c r="AN843" s="75">
        <f>AM843*(1-PARAM!$C$27)*$I$12+(MOD($B843,60)=PARAM!$B$56)*($B843&gt;(60-PARAM!$B$56))*HLOOKUP(($B843+PARAM!$B$56)/12,Loyalty,2)*$F$1*MAX(AP842,0)</f>
        <v>18.557001321003963</v>
      </c>
      <c r="AO843" s="75">
        <f>PARAM!$C$26+MAX($G$12-CHOOSE(PARAM!$B$44,MAX(0,AP842*$F$1),0),0)*RATES!$L819/12+$H$12*(PARAM!$D$51/12)*RATES!$N819/100</f>
        <v>1190.0416666666667</v>
      </c>
      <c r="AP843" s="16">
        <f t="shared" si="551"/>
        <v>-172271.3532796097</v>
      </c>
      <c r="AQ843" s="15">
        <f t="shared" si="526"/>
        <v>22.170849845882874</v>
      </c>
      <c r="AR843" s="75">
        <f>AQ843*(1-PARAM!$C$27)*$I$13+(MOD($B843,60)=PARAM!$B$56)*($B843&gt;(60-PARAM!$B$56))*HLOOKUP(($B843+PARAM!$B$56)/12,Loyalty,2)*$F$1*MAX(AT842,0)</f>
        <v>18.557001321003963</v>
      </c>
      <c r="AS843" s="75">
        <f>PARAM!$C$26+MAX($G$13-CHOOSE(PARAM!$B$44,MAX(0,AT842*$F$1),0),0)*RATES!$L819/12+$H$13*(PARAM!$D$51/12)*RATES!$N819/100</f>
        <v>1190.0416666666667</v>
      </c>
      <c r="AT843" s="16">
        <f t="shared" si="552"/>
        <v>-172271.3532796097</v>
      </c>
      <c r="AU843" s="15">
        <f t="shared" si="527"/>
        <v>22.170849845882874</v>
      </c>
      <c r="AV843" s="75">
        <f>AU843*(1-PARAM!$C$27)*$I$14+(MOD($B843,60)=PARAM!$B$56)*($B843&gt;(60-PARAM!$B$56))*HLOOKUP(($B843+PARAM!$B$56)/12,Loyalty,2)*$F$1*MAX(AX842,0)</f>
        <v>18.557001321003963</v>
      </c>
      <c r="AW843" s="75">
        <f>PARAM!$C$26+MAX($G$14-CHOOSE(PARAM!$B$44,MAX(0,AX842*$F$1),0),0)*RATES!$L819/12+$H$14*(PARAM!$D$51/12)*RATES!$N819/100</f>
        <v>1190.0416666666667</v>
      </c>
      <c r="AX843" s="16">
        <f t="shared" si="553"/>
        <v>-172271.3532796097</v>
      </c>
      <c r="AY843" s="15">
        <f t="shared" si="528"/>
        <v>22.170849845882874</v>
      </c>
      <c r="AZ843" s="75">
        <f>AY843*(1-PARAM!$C$27)*$I$15+(MOD($B843,60)=PARAM!$B$56)*($B843&gt;(60-PARAM!$B$56))*HLOOKUP(($B843+PARAM!$B$56)/12,Loyalty,2)*$F$1*MAX(BB842,0)</f>
        <v>18.557001321003963</v>
      </c>
      <c r="BA843" s="75">
        <f>PARAM!$C$26+MAX($G$15-CHOOSE(PARAM!$B$44,MAX(0,BB842*$F$1),0),0)*RATES!$L819/12+$H$15*(PARAM!$D$51/12)*RATES!$N819/100</f>
        <v>1190.0416666666667</v>
      </c>
      <c r="BB843" s="16">
        <f t="shared" si="554"/>
        <v>-172271.3532796097</v>
      </c>
      <c r="BC843" s="15">
        <f t="shared" si="529"/>
        <v>22.170849845882874</v>
      </c>
      <c r="BD843" s="75">
        <f>BC843*(1-PARAM!$C$27)*$I$16+(MOD($B843,60)=PARAM!$B$56)*($B843&gt;(60-PARAM!$B$56))*HLOOKUP(($B843+PARAM!$B$56)/12,Loyalty,2)*$F$1*MAX(BF842,0)</f>
        <v>18.557001321003963</v>
      </c>
      <c r="BE843" s="75">
        <f>PARAM!$C$26+MAX($G$16-CHOOSE(PARAM!$B$44,MAX(0,BF842*$F$1),0),0)*RATES!$L819/12+$H$16*(PARAM!$D$51/12)*RATES!$N819/100</f>
        <v>1190.0416666666667</v>
      </c>
      <c r="BF843" s="16">
        <f t="shared" si="555"/>
        <v>-172271.3532796097</v>
      </c>
      <c r="BG843" s="15">
        <f t="shared" si="530"/>
        <v>22.170849845882874</v>
      </c>
      <c r="BH843" s="75">
        <f>BG843*(1-PARAM!$C$27)*$I$17+(MOD($B843,60)=PARAM!$B$56)*($B843&gt;(60-PARAM!$B$56))*HLOOKUP(($B843+PARAM!$B$56)/12,Loyalty,2)*$F$1*MAX(BJ842,0)</f>
        <v>18.557001321003963</v>
      </c>
      <c r="BI843" s="75">
        <f>PARAM!$C$26+MAX($G$17-CHOOSE(PARAM!$B$44,MAX(0,BJ842*$F$1),0),0)*RATES!$L819/12+$H$17*(PARAM!$D$51/12)*RATES!$N819/100</f>
        <v>1190.0416666666667</v>
      </c>
      <c r="BJ843" s="16">
        <f t="shared" si="556"/>
        <v>-172271.3532796097</v>
      </c>
      <c r="BK843" s="15">
        <f t="shared" si="531"/>
        <v>22.170849845882874</v>
      </c>
      <c r="BL843" s="75">
        <f>BK843*(1-PARAM!$C$27)*$I$18+(MOD($B843,60)=PARAM!$B$56)*($B843&gt;(60-PARAM!$B$56))*HLOOKUP(($B843+PARAM!$B$56)/12,Loyalty,2)*$F$1*MAX(BN842,0)</f>
        <v>18.557001321003963</v>
      </c>
      <c r="BM843" s="75">
        <f>PARAM!$C$26+MAX($G$18-CHOOSE(PARAM!$B$44,MAX(0,BN842*$F$1),0),0)*RATES!$L819/12+$H$18*(PARAM!$D$51/12)*RATES!$N819/100</f>
        <v>1190.0416666666667</v>
      </c>
      <c r="BN843" s="16">
        <f t="shared" si="557"/>
        <v>-172271.3532796097</v>
      </c>
      <c r="BO843" s="15">
        <f t="shared" si="532"/>
        <v>22.170849845882874</v>
      </c>
      <c r="BP843" s="75">
        <f>BO843*(1-PARAM!$C$27)*$I$19+(MOD($B843,60)=PARAM!$B$56)*($B843&gt;(60-PARAM!$B$56))*HLOOKUP(($B843+PARAM!$B$56)/12,Loyalty,2)*$F$1*MAX(BR842,0)</f>
        <v>18.557001321003963</v>
      </c>
      <c r="BQ843" s="75">
        <f>PARAM!$C$26+MAX($G$19-CHOOSE(PARAM!$B$44,MAX(0,BR842*$F$1),0),0)*RATES!$L819/12+$H$19*(PARAM!$D$51/12)*RATES!$N819/100</f>
        <v>1190.0416666666667</v>
      </c>
      <c r="BR843" s="16">
        <f t="shared" si="558"/>
        <v>-172271.3532796097</v>
      </c>
      <c r="BS843" s="15">
        <f t="shared" si="533"/>
        <v>22.170849845882874</v>
      </c>
      <c r="BT843" s="75">
        <f>BS843*(1-PARAM!$C$27)*$I$20+(MOD($B843,60)=PARAM!$B$56)*($B843&gt;(60-PARAM!$B$56))*HLOOKUP(($B843+PARAM!$B$56)/12,Loyalty,2)*$F$1*MAX(BV842,0)</f>
        <v>18.557001321003963</v>
      </c>
      <c r="BU843" s="75">
        <f>PARAM!$C$26+MAX($G$20-CHOOSE(PARAM!$B$44,MAX(0,BV842*$F$1),0),0)*RATES!$L819/12+$H$20*(PARAM!$D$51/12)*RATES!$N819/100</f>
        <v>1190.0416666666667</v>
      </c>
      <c r="BV843" s="16">
        <f t="shared" si="559"/>
        <v>-172271.3532796097</v>
      </c>
      <c r="BW843" s="15">
        <f t="shared" si="534"/>
        <v>22.170849845882874</v>
      </c>
      <c r="BX843" s="75">
        <f>BW843*(1-PARAM!$C$27)*$I$21+(MOD($B843,60)=PARAM!$B$56)*($B843&gt;(60-PARAM!$B$56))*HLOOKUP(($B843+PARAM!$B$56)/12,Loyalty,2)*$F$1*MAX(BZ842,0)</f>
        <v>18.557001321003963</v>
      </c>
      <c r="BY843" s="75">
        <f>PARAM!$C$26+MAX($G$21-CHOOSE(PARAM!$B$44,MAX(0,BZ842*$F$1),0),0)*RATES!$L819/12+$H$21*(PARAM!$D$51/12)*RATES!$N819/100</f>
        <v>1190.0416666666667</v>
      </c>
      <c r="BZ843" s="16">
        <f t="shared" si="560"/>
        <v>-172271.3532796097</v>
      </c>
      <c r="CA843" s="15">
        <f t="shared" si="535"/>
        <v>22.170849845882874</v>
      </c>
      <c r="CB843" s="75">
        <f>CA843*(1-PARAM!$C$27)*$I$22+(MOD($B843,60)=PARAM!$B$56)*($B843&gt;(60-PARAM!$B$56))*HLOOKUP(($B843+PARAM!$B$56)/12,Loyalty,2)*$F$1*MAX(CD842,0)</f>
        <v>18.557001321003963</v>
      </c>
      <c r="CC843" s="75">
        <f>PARAM!$C$26+MAX($G$22-CHOOSE(PARAM!$B$44,MAX(0,CD842*$F$1),0),0)*RATES!$L819/12+$H$22*(PARAM!$D$51/12)*RATES!$N819/100</f>
        <v>1190.0416666666667</v>
      </c>
      <c r="CD843" s="16">
        <f t="shared" si="561"/>
        <v>-172271.3532796097</v>
      </c>
      <c r="CE843" s="33">
        <f>IF(0=MOD(B843,12/PARAM!$D$51),1,0)</f>
        <v>1</v>
      </c>
      <c r="CF843" s="15">
        <f t="shared" si="536"/>
        <v>0</v>
      </c>
      <c r="CG843" s="75">
        <f>CF843*(1-PARAM!$C$27)*$R$3+(MOD($B843/12,5)=0)*($B843&gt;60)*HLOOKUP($B843/12,Loyalty,2)*$F$1*MAX(CI842,0)</f>
        <v>0</v>
      </c>
      <c r="CH843" s="75">
        <f>PARAM!$C$26+MAX($P$3-CHOOSE(PARAM!$B$44,MAX(0,CI842*$F$1),0),0)*RATES!$L819/12+$Q$3*(PARAM!$D$51/12)*RATES!$N819/100</f>
        <v>1190.0416666666667</v>
      </c>
      <c r="CI843" s="16">
        <f>IF(CI842&gt;0,CI842*PARAM!$C$53,CI842)+CG843-CH843</f>
        <v>-187294.29166666689</v>
      </c>
      <c r="CJ843" s="15">
        <f t="shared" si="562"/>
        <v>0</v>
      </c>
      <c r="CK843" s="75">
        <f>CJ843*(1-PARAM!$C$27)*$R$4+(MOD($B843/12,5)=0)*($B843&gt;60)*HLOOKUP($B843/12,Loyalty,2)*$F$1*MAX(CM842,0)</f>
        <v>0</v>
      </c>
      <c r="CL843" s="75">
        <f>PARAM!$C$26+MAX($P$4-CHOOSE(PARAM!$B$44,MAX(0,CM842*$F$1),0),0)*RATES!$L819/12+$Q$4*(PARAM!$D$51/12)*RATES!$N819/100</f>
        <v>1190.0416666666667</v>
      </c>
      <c r="CM843" s="16">
        <f>IF(CM842&gt;0,CM842*PARAM!$C$53,CM842)+CK843-CL843</f>
        <v>-187294.29166666689</v>
      </c>
      <c r="CO843" s="176"/>
    </row>
    <row r="844" spans="1:93" x14ac:dyDescent="0.2">
      <c r="A844" t="b">
        <f t="shared" si="537"/>
        <v>0</v>
      </c>
      <c r="B844" s="33">
        <v>817</v>
      </c>
      <c r="C844" s="15">
        <f t="shared" si="538"/>
        <v>20.081305947392778</v>
      </c>
      <c r="D844" s="75">
        <f>C844*(1-PARAM!$C$27)*$I$3+(MOD($B844,60)=PARAM!$B$56)*($B844&gt;(60-PARAM!$B$56))*HLOOKUP(($B844+PARAM!$B$56)/12,Loyalty,2)*$F$1*MAX(F843,0)</f>
        <v>16.808053077967756</v>
      </c>
      <c r="E844" s="75">
        <f>PARAM!$C$26+MAX($G$3-CHOOSE(PARAM!$B$44,MAX(0,F843*$F$1),0),0)*RATES!$L820/12+$H$3*(PARAM!$D$51/12)*RATES!$N820/100</f>
        <v>1190.0416666666667</v>
      </c>
      <c r="F844" s="16">
        <f t="shared" si="539"/>
        <v>-174908.57916003774</v>
      </c>
      <c r="G844" s="15">
        <f t="shared" si="540"/>
        <v>22.035289406060361</v>
      </c>
      <c r="H844" s="75">
        <f>G844*(1-PARAM!$C$27)*$I$4+(MOD($B844,60)=PARAM!$B$56)*($B844&gt;(60-PARAM!$B$56))*HLOOKUP(($B844+PARAM!$B$56)/12,Loyalty,2)*$F$1*MAX(J843,0)</f>
        <v>18.443537232872522</v>
      </c>
      <c r="I844" s="75">
        <f>PARAM!$C$26+MAX($G$4-CHOOSE(PARAM!$B$44,MAX(0,J843*$F$1),0),0)*RATES!$L820/12+$H$4*(PARAM!$D$51/12)*RATES!$N820/100</f>
        <v>1190.0416666666667</v>
      </c>
      <c r="J844" s="16">
        <f t="shared" si="541"/>
        <v>-173538.55564135828</v>
      </c>
      <c r="K844" s="15">
        <f t="shared" si="542"/>
        <v>22.170849845882874</v>
      </c>
      <c r="L844" s="75">
        <f>K844*(1-PARAM!$C$27)*$I$5+(MOD($B844,60)=PARAM!$B$56)*($B844&gt;(60-PARAM!$B$56))*HLOOKUP(($B844+PARAM!$B$56)/12,Loyalty,2)*$F$1*MAX(N843,0)</f>
        <v>18.557001321003963</v>
      </c>
      <c r="M844" s="75">
        <f>PARAM!$C$26+MAX($G$5-CHOOSE(PARAM!$B$44,MAX(0,N843*$F$1),0),0)*RATES!$L820/12+$H$5*(PARAM!$D$51/12)*RATES!$N820/100</f>
        <v>1190.0416666666667</v>
      </c>
      <c r="N844" s="16">
        <f t="shared" si="543"/>
        <v>-173442.83794495536</v>
      </c>
      <c r="O844" s="15">
        <f t="shared" si="544"/>
        <v>22.170849845882874</v>
      </c>
      <c r="P844" s="75">
        <f>O844*(1-PARAM!$C$27)*$I$6+(MOD($B844,60)=PARAM!$B$56)*($B844&gt;(60-PARAM!$B$56))*HLOOKUP(($B844+PARAM!$B$56)/12,Loyalty,2)*$F$1*MAX(R843,0)</f>
        <v>18.557001321003963</v>
      </c>
      <c r="Q844" s="75">
        <f>PARAM!$C$26+MAX($G$6-CHOOSE(PARAM!$B$44,MAX(0,R843*$F$1),0),0)*RATES!$L820/12+$H$6*(PARAM!$D$51/12)*RATES!$N820/100</f>
        <v>1190.0416666666667</v>
      </c>
      <c r="R844" s="16">
        <f t="shared" si="545"/>
        <v>-173442.83794495536</v>
      </c>
      <c r="S844" s="15">
        <f t="shared" si="520"/>
        <v>22.170849845882874</v>
      </c>
      <c r="T844" s="75">
        <f>S844*(1-PARAM!$C$27)*$I$7+(MOD($B844,60)=PARAM!$B$56)*($B844&gt;(60-PARAM!$B$56))*HLOOKUP(($B844+PARAM!$B$56)/12,Loyalty,2)*$F$1*MAX(V843,0)</f>
        <v>18.557001321003963</v>
      </c>
      <c r="U844" s="75">
        <f>PARAM!$C$26+MAX($G$7-CHOOSE(PARAM!$B$44,MAX(0,V843*$F$1),0),0)*RATES!$L820/12+$H$7*(PARAM!$D$51/12)*RATES!$N820/100</f>
        <v>1190.0416666666667</v>
      </c>
      <c r="V844" s="16">
        <f t="shared" si="546"/>
        <v>-173442.83794495536</v>
      </c>
      <c r="W844" s="15">
        <f t="shared" si="521"/>
        <v>22.170849845882874</v>
      </c>
      <c r="X844" s="75">
        <f>W844*(1-PARAM!$C$27)*$I$8+(MOD($B844,60)=PARAM!$B$56)*($B844&gt;(60-PARAM!$B$56))*HLOOKUP(($B844+PARAM!$B$56)/12,Loyalty,2)*$F$1*MAX(Z843,0)</f>
        <v>18.557001321003963</v>
      </c>
      <c r="Y844" s="75">
        <f>PARAM!$C$26+MAX($G$8-CHOOSE(PARAM!$B$44,MAX(0,Z843*$F$1),0),0)*RATES!$L820/12+$H$8*(PARAM!$D$51/12)*RATES!$N820/100</f>
        <v>1190.0416666666667</v>
      </c>
      <c r="Z844" s="16">
        <f t="shared" si="547"/>
        <v>-173442.83794495536</v>
      </c>
      <c r="AA844" s="15">
        <f t="shared" si="522"/>
        <v>22.170849845882874</v>
      </c>
      <c r="AB844" s="75">
        <f>AA844*(1-PARAM!$C$27)*$I$9+(MOD($B844,60)=PARAM!$B$56)*($B844&gt;(60-PARAM!$B$56))*HLOOKUP(($B844+PARAM!$B$56)/12,Loyalty,2)*$F$1*MAX(AD843,0)</f>
        <v>18.557001321003963</v>
      </c>
      <c r="AC844" s="75">
        <f>PARAM!$C$26+MAX($G$9-CHOOSE(PARAM!$B$44,MAX(0,AD843*$F$1),0),0)*RATES!$L820/12+$H$9*(PARAM!$D$51/12)*RATES!$N820/100</f>
        <v>1190.0416666666667</v>
      </c>
      <c r="AD844" s="16">
        <f t="shared" si="548"/>
        <v>-173442.83794495536</v>
      </c>
      <c r="AE844" s="15">
        <f t="shared" si="523"/>
        <v>22.170849845882874</v>
      </c>
      <c r="AF844" s="75">
        <f>AE844*(1-PARAM!$C$27)*$I$10+(MOD($B844,60)=PARAM!$B$56)*($B844&gt;(60-PARAM!$B$56))*HLOOKUP(($B844+PARAM!$B$56)/12,Loyalty,2)*$F$1*MAX(AH843,0)</f>
        <v>18.557001321003963</v>
      </c>
      <c r="AG844" s="75">
        <f>PARAM!$C$26+MAX($G$10-CHOOSE(PARAM!$B$44,MAX(0,AH843*$F$1),0),0)*RATES!$L820/12+$H$10*(PARAM!$D$51/12)*RATES!$N820/100</f>
        <v>1190.0416666666667</v>
      </c>
      <c r="AH844" s="16">
        <f t="shared" si="549"/>
        <v>-173442.83794495536</v>
      </c>
      <c r="AI844" s="15">
        <f t="shared" si="524"/>
        <v>22.170849845882874</v>
      </c>
      <c r="AJ844" s="75">
        <f>AI844*(1-PARAM!$C$27)*$I$11+(MOD($B844,60)=PARAM!$B$56)*($B844&gt;(60-PARAM!$B$56))*HLOOKUP(($B844+PARAM!$B$56)/12,Loyalty,2)*$F$1*MAX(AL843,0)</f>
        <v>18.557001321003963</v>
      </c>
      <c r="AK844" s="75">
        <f>PARAM!$C$26+MAX($G$11-CHOOSE(PARAM!$B$44,MAX(0,AL843*$F$1),0),0)*RATES!$L820/12+$H$11*(PARAM!$D$51/12)*RATES!$N820/100</f>
        <v>1190.0416666666667</v>
      </c>
      <c r="AL844" s="16">
        <f t="shared" si="550"/>
        <v>-173442.83794495536</v>
      </c>
      <c r="AM844" s="15">
        <f t="shared" si="525"/>
        <v>22.170849845882874</v>
      </c>
      <c r="AN844" s="75">
        <f>AM844*(1-PARAM!$C$27)*$I$12+(MOD($B844,60)=PARAM!$B$56)*($B844&gt;(60-PARAM!$B$56))*HLOOKUP(($B844+PARAM!$B$56)/12,Loyalty,2)*$F$1*MAX(AP843,0)</f>
        <v>18.557001321003963</v>
      </c>
      <c r="AO844" s="75">
        <f>PARAM!$C$26+MAX($G$12-CHOOSE(PARAM!$B$44,MAX(0,AP843*$F$1),0),0)*RATES!$L820/12+$H$12*(PARAM!$D$51/12)*RATES!$N820/100</f>
        <v>1190.0416666666667</v>
      </c>
      <c r="AP844" s="16">
        <f t="shared" si="551"/>
        <v>-173442.83794495536</v>
      </c>
      <c r="AQ844" s="15">
        <f t="shared" si="526"/>
        <v>22.170849845882874</v>
      </c>
      <c r="AR844" s="75">
        <f>AQ844*(1-PARAM!$C$27)*$I$13+(MOD($B844,60)=PARAM!$B$56)*($B844&gt;(60-PARAM!$B$56))*HLOOKUP(($B844+PARAM!$B$56)/12,Loyalty,2)*$F$1*MAX(AT843,0)</f>
        <v>18.557001321003963</v>
      </c>
      <c r="AS844" s="75">
        <f>PARAM!$C$26+MAX($G$13-CHOOSE(PARAM!$B$44,MAX(0,AT843*$F$1),0),0)*RATES!$L820/12+$H$13*(PARAM!$D$51/12)*RATES!$N820/100</f>
        <v>1190.0416666666667</v>
      </c>
      <c r="AT844" s="16">
        <f t="shared" si="552"/>
        <v>-173442.83794495536</v>
      </c>
      <c r="AU844" s="15">
        <f t="shared" si="527"/>
        <v>22.170849845882874</v>
      </c>
      <c r="AV844" s="75">
        <f>AU844*(1-PARAM!$C$27)*$I$14+(MOD($B844,60)=PARAM!$B$56)*($B844&gt;(60-PARAM!$B$56))*HLOOKUP(($B844+PARAM!$B$56)/12,Loyalty,2)*$F$1*MAX(AX843,0)</f>
        <v>18.557001321003963</v>
      </c>
      <c r="AW844" s="75">
        <f>PARAM!$C$26+MAX($G$14-CHOOSE(PARAM!$B$44,MAX(0,AX843*$F$1),0),0)*RATES!$L820/12+$H$14*(PARAM!$D$51/12)*RATES!$N820/100</f>
        <v>1190.0416666666667</v>
      </c>
      <c r="AX844" s="16">
        <f t="shared" si="553"/>
        <v>-173442.83794495536</v>
      </c>
      <c r="AY844" s="15">
        <f t="shared" si="528"/>
        <v>22.170849845882874</v>
      </c>
      <c r="AZ844" s="75">
        <f>AY844*(1-PARAM!$C$27)*$I$15+(MOD($B844,60)=PARAM!$B$56)*($B844&gt;(60-PARAM!$B$56))*HLOOKUP(($B844+PARAM!$B$56)/12,Loyalty,2)*$F$1*MAX(BB843,0)</f>
        <v>18.557001321003963</v>
      </c>
      <c r="BA844" s="75">
        <f>PARAM!$C$26+MAX($G$15-CHOOSE(PARAM!$B$44,MAX(0,BB843*$F$1),0),0)*RATES!$L820/12+$H$15*(PARAM!$D$51/12)*RATES!$N820/100</f>
        <v>1190.0416666666667</v>
      </c>
      <c r="BB844" s="16">
        <f t="shared" si="554"/>
        <v>-173442.83794495536</v>
      </c>
      <c r="BC844" s="15">
        <f t="shared" si="529"/>
        <v>22.170849845882874</v>
      </c>
      <c r="BD844" s="75">
        <f>BC844*(1-PARAM!$C$27)*$I$16+(MOD($B844,60)=PARAM!$B$56)*($B844&gt;(60-PARAM!$B$56))*HLOOKUP(($B844+PARAM!$B$56)/12,Loyalty,2)*$F$1*MAX(BF843,0)</f>
        <v>18.557001321003963</v>
      </c>
      <c r="BE844" s="75">
        <f>PARAM!$C$26+MAX($G$16-CHOOSE(PARAM!$B$44,MAX(0,BF843*$F$1),0),0)*RATES!$L820/12+$H$16*(PARAM!$D$51/12)*RATES!$N820/100</f>
        <v>1190.0416666666667</v>
      </c>
      <c r="BF844" s="16">
        <f t="shared" si="555"/>
        <v>-173442.83794495536</v>
      </c>
      <c r="BG844" s="15">
        <f t="shared" si="530"/>
        <v>22.170849845882874</v>
      </c>
      <c r="BH844" s="75">
        <f>BG844*(1-PARAM!$C$27)*$I$17+(MOD($B844,60)=PARAM!$B$56)*($B844&gt;(60-PARAM!$B$56))*HLOOKUP(($B844+PARAM!$B$56)/12,Loyalty,2)*$F$1*MAX(BJ843,0)</f>
        <v>18.557001321003963</v>
      </c>
      <c r="BI844" s="75">
        <f>PARAM!$C$26+MAX($G$17-CHOOSE(PARAM!$B$44,MAX(0,BJ843*$F$1),0),0)*RATES!$L820/12+$H$17*(PARAM!$D$51/12)*RATES!$N820/100</f>
        <v>1190.0416666666667</v>
      </c>
      <c r="BJ844" s="16">
        <f t="shared" si="556"/>
        <v>-173442.83794495536</v>
      </c>
      <c r="BK844" s="15">
        <f t="shared" si="531"/>
        <v>22.170849845882874</v>
      </c>
      <c r="BL844" s="75">
        <f>BK844*(1-PARAM!$C$27)*$I$18+(MOD($B844,60)=PARAM!$B$56)*($B844&gt;(60-PARAM!$B$56))*HLOOKUP(($B844+PARAM!$B$56)/12,Loyalty,2)*$F$1*MAX(BN843,0)</f>
        <v>18.557001321003963</v>
      </c>
      <c r="BM844" s="75">
        <f>PARAM!$C$26+MAX($G$18-CHOOSE(PARAM!$B$44,MAX(0,BN843*$F$1),0),0)*RATES!$L820/12+$H$18*(PARAM!$D$51/12)*RATES!$N820/100</f>
        <v>1190.0416666666667</v>
      </c>
      <c r="BN844" s="16">
        <f t="shared" si="557"/>
        <v>-173442.83794495536</v>
      </c>
      <c r="BO844" s="15">
        <f t="shared" si="532"/>
        <v>22.170849845882874</v>
      </c>
      <c r="BP844" s="75">
        <f>BO844*(1-PARAM!$C$27)*$I$19+(MOD($B844,60)=PARAM!$B$56)*($B844&gt;(60-PARAM!$B$56))*HLOOKUP(($B844+PARAM!$B$56)/12,Loyalty,2)*$F$1*MAX(BR843,0)</f>
        <v>18.557001321003963</v>
      </c>
      <c r="BQ844" s="75">
        <f>PARAM!$C$26+MAX($G$19-CHOOSE(PARAM!$B$44,MAX(0,BR843*$F$1),0),0)*RATES!$L820/12+$H$19*(PARAM!$D$51/12)*RATES!$N820/100</f>
        <v>1190.0416666666667</v>
      </c>
      <c r="BR844" s="16">
        <f t="shared" si="558"/>
        <v>-173442.83794495536</v>
      </c>
      <c r="BS844" s="15">
        <f t="shared" si="533"/>
        <v>22.170849845882874</v>
      </c>
      <c r="BT844" s="75">
        <f>BS844*(1-PARAM!$C$27)*$I$20+(MOD($B844,60)=PARAM!$B$56)*($B844&gt;(60-PARAM!$B$56))*HLOOKUP(($B844+PARAM!$B$56)/12,Loyalty,2)*$F$1*MAX(BV843,0)</f>
        <v>18.557001321003963</v>
      </c>
      <c r="BU844" s="75">
        <f>PARAM!$C$26+MAX($G$20-CHOOSE(PARAM!$B$44,MAX(0,BV843*$F$1),0),0)*RATES!$L820/12+$H$20*(PARAM!$D$51/12)*RATES!$N820/100</f>
        <v>1190.0416666666667</v>
      </c>
      <c r="BV844" s="16">
        <f t="shared" si="559"/>
        <v>-173442.83794495536</v>
      </c>
      <c r="BW844" s="15">
        <f t="shared" si="534"/>
        <v>22.170849845882874</v>
      </c>
      <c r="BX844" s="75">
        <f>BW844*(1-PARAM!$C$27)*$I$21+(MOD($B844,60)=PARAM!$B$56)*($B844&gt;(60-PARAM!$B$56))*HLOOKUP(($B844+PARAM!$B$56)/12,Loyalty,2)*$F$1*MAX(BZ843,0)</f>
        <v>18.557001321003963</v>
      </c>
      <c r="BY844" s="75">
        <f>PARAM!$C$26+MAX($G$21-CHOOSE(PARAM!$B$44,MAX(0,BZ843*$F$1),0),0)*RATES!$L820/12+$H$21*(PARAM!$D$51/12)*RATES!$N820/100</f>
        <v>1190.0416666666667</v>
      </c>
      <c r="BZ844" s="16">
        <f t="shared" si="560"/>
        <v>-173442.83794495536</v>
      </c>
      <c r="CA844" s="15">
        <f t="shared" si="535"/>
        <v>22.170849845882874</v>
      </c>
      <c r="CB844" s="75">
        <f>CA844*(1-PARAM!$C$27)*$I$22+(MOD($B844,60)=PARAM!$B$56)*($B844&gt;(60-PARAM!$B$56))*HLOOKUP(($B844+PARAM!$B$56)/12,Loyalty,2)*$F$1*MAX(CD843,0)</f>
        <v>18.557001321003963</v>
      </c>
      <c r="CC844" s="75">
        <f>PARAM!$C$26+MAX($G$22-CHOOSE(PARAM!$B$44,MAX(0,CD843*$F$1),0),0)*RATES!$L820/12+$H$22*(PARAM!$D$51/12)*RATES!$N820/100</f>
        <v>1190.0416666666667</v>
      </c>
      <c r="CD844" s="16">
        <f t="shared" si="561"/>
        <v>-173442.83794495536</v>
      </c>
      <c r="CE844" s="33">
        <f>IF(0=MOD(B844,12/PARAM!$D$51),1,0)</f>
        <v>1</v>
      </c>
      <c r="CF844" s="15">
        <f t="shared" si="536"/>
        <v>0</v>
      </c>
      <c r="CG844" s="75">
        <f>CF844*(1-PARAM!$C$27)*$R$3+(MOD($B844/12,5)=0)*($B844&gt;60)*HLOOKUP($B844/12,Loyalty,2)*$F$1*MAX(CI843,0)</f>
        <v>0</v>
      </c>
      <c r="CH844" s="75">
        <f>PARAM!$C$26+MAX($P$3-CHOOSE(PARAM!$B$44,MAX(0,CI843*$F$1),0),0)*RATES!$L820/12+$Q$3*(PARAM!$D$51/12)*RATES!$N820/100</f>
        <v>1190.0416666666667</v>
      </c>
      <c r="CI844" s="16">
        <f>IF(CI843&gt;0,CI843*PARAM!$C$53,CI843)+CG844-CH844</f>
        <v>-188484.33333333355</v>
      </c>
      <c r="CJ844" s="15">
        <f t="shared" si="562"/>
        <v>0</v>
      </c>
      <c r="CK844" s="75">
        <f>CJ844*(1-PARAM!$C$27)*$R$4+(MOD($B844/12,5)=0)*($B844&gt;60)*HLOOKUP($B844/12,Loyalty,2)*$F$1*MAX(CM843,0)</f>
        <v>0</v>
      </c>
      <c r="CL844" s="75">
        <f>PARAM!$C$26+MAX($P$4-CHOOSE(PARAM!$B$44,MAX(0,CM843*$F$1),0),0)*RATES!$L820/12+$Q$4*(PARAM!$D$51/12)*RATES!$N820/100</f>
        <v>1190.0416666666667</v>
      </c>
      <c r="CM844" s="16">
        <f>IF(CM843&gt;0,CM843*PARAM!$C$53,CM843)+CK844-CL844</f>
        <v>-188484.33333333355</v>
      </c>
      <c r="CO844" s="176"/>
    </row>
    <row r="845" spans="1:93" x14ac:dyDescent="0.2">
      <c r="A845" t="b">
        <f t="shared" si="537"/>
        <v>0</v>
      </c>
      <c r="B845" s="33">
        <v>818</v>
      </c>
      <c r="C845" s="15">
        <f t="shared" si="538"/>
        <v>20.081305947392778</v>
      </c>
      <c r="D845" s="75">
        <f>C845*(1-PARAM!$C$27)*$I$3+(MOD($B845,60)=PARAM!$B$56)*($B845&gt;(60-PARAM!$B$56))*HLOOKUP(($B845+PARAM!$B$56)/12,Loyalty,2)*$F$1*MAX(F844,0)</f>
        <v>16.808053077967756</v>
      </c>
      <c r="E845" s="75">
        <f>PARAM!$C$26+MAX($G$3-CHOOSE(PARAM!$B$44,MAX(0,F844*$F$1),0),0)*RATES!$L821/12+$H$3*(PARAM!$D$51/12)*RATES!$N821/100</f>
        <v>1190.0416666666667</v>
      </c>
      <c r="F845" s="16">
        <f t="shared" si="539"/>
        <v>-176081.81277362644</v>
      </c>
      <c r="G845" s="15">
        <f t="shared" si="540"/>
        <v>22.035289406060361</v>
      </c>
      <c r="H845" s="75">
        <f>G845*(1-PARAM!$C$27)*$I$4+(MOD($B845,60)=PARAM!$B$56)*($B845&gt;(60-PARAM!$B$56))*HLOOKUP(($B845+PARAM!$B$56)/12,Loyalty,2)*$F$1*MAX(J844,0)</f>
        <v>18.443537232872522</v>
      </c>
      <c r="I845" s="75">
        <f>PARAM!$C$26+MAX($G$4-CHOOSE(PARAM!$B$44,MAX(0,J844*$F$1),0),0)*RATES!$L821/12+$H$4*(PARAM!$D$51/12)*RATES!$N821/100</f>
        <v>1190.0416666666667</v>
      </c>
      <c r="J845" s="16">
        <f t="shared" si="541"/>
        <v>-174710.15377079207</v>
      </c>
      <c r="K845" s="15">
        <f t="shared" si="542"/>
        <v>22.170849845882874</v>
      </c>
      <c r="L845" s="75">
        <f>K845*(1-PARAM!$C$27)*$I$5+(MOD($B845,60)=PARAM!$B$56)*($B845&gt;(60-PARAM!$B$56))*HLOOKUP(($B845+PARAM!$B$56)/12,Loyalty,2)*$F$1*MAX(N844,0)</f>
        <v>18.557001321003963</v>
      </c>
      <c r="M845" s="75">
        <f>PARAM!$C$26+MAX($G$5-CHOOSE(PARAM!$B$44,MAX(0,N844*$F$1),0),0)*RATES!$L821/12+$H$5*(PARAM!$D$51/12)*RATES!$N821/100</f>
        <v>1190.0416666666667</v>
      </c>
      <c r="N845" s="16">
        <f t="shared" si="543"/>
        <v>-174614.32261030102</v>
      </c>
      <c r="O845" s="15">
        <f t="shared" si="544"/>
        <v>22.170849845882874</v>
      </c>
      <c r="P845" s="75">
        <f>O845*(1-PARAM!$C$27)*$I$6+(MOD($B845,60)=PARAM!$B$56)*($B845&gt;(60-PARAM!$B$56))*HLOOKUP(($B845+PARAM!$B$56)/12,Loyalty,2)*$F$1*MAX(R844,0)</f>
        <v>18.557001321003963</v>
      </c>
      <c r="Q845" s="75">
        <f>PARAM!$C$26+MAX($G$6-CHOOSE(PARAM!$B$44,MAX(0,R844*$F$1),0),0)*RATES!$L821/12+$H$6*(PARAM!$D$51/12)*RATES!$N821/100</f>
        <v>1190.0416666666667</v>
      </c>
      <c r="R845" s="16">
        <f t="shared" si="545"/>
        <v>-174614.32261030102</v>
      </c>
      <c r="S845" s="15">
        <f t="shared" si="520"/>
        <v>22.170849845882874</v>
      </c>
      <c r="T845" s="75">
        <f>S845*(1-PARAM!$C$27)*$I$7+(MOD($B845,60)=PARAM!$B$56)*($B845&gt;(60-PARAM!$B$56))*HLOOKUP(($B845+PARAM!$B$56)/12,Loyalty,2)*$F$1*MAX(V844,0)</f>
        <v>18.557001321003963</v>
      </c>
      <c r="U845" s="75">
        <f>PARAM!$C$26+MAX($G$7-CHOOSE(PARAM!$B$44,MAX(0,V844*$F$1),0),0)*RATES!$L821/12+$H$7*(PARAM!$D$51/12)*RATES!$N821/100</f>
        <v>1190.0416666666667</v>
      </c>
      <c r="V845" s="16">
        <f t="shared" si="546"/>
        <v>-174614.32261030102</v>
      </c>
      <c r="W845" s="15">
        <f t="shared" si="521"/>
        <v>22.170849845882874</v>
      </c>
      <c r="X845" s="75">
        <f>W845*(1-PARAM!$C$27)*$I$8+(MOD($B845,60)=PARAM!$B$56)*($B845&gt;(60-PARAM!$B$56))*HLOOKUP(($B845+PARAM!$B$56)/12,Loyalty,2)*$F$1*MAX(Z844,0)</f>
        <v>18.557001321003963</v>
      </c>
      <c r="Y845" s="75">
        <f>PARAM!$C$26+MAX($G$8-CHOOSE(PARAM!$B$44,MAX(0,Z844*$F$1),0),0)*RATES!$L821/12+$H$8*(PARAM!$D$51/12)*RATES!$N821/100</f>
        <v>1190.0416666666667</v>
      </c>
      <c r="Z845" s="16">
        <f t="shared" si="547"/>
        <v>-174614.32261030102</v>
      </c>
      <c r="AA845" s="15">
        <f t="shared" si="522"/>
        <v>22.170849845882874</v>
      </c>
      <c r="AB845" s="75">
        <f>AA845*(1-PARAM!$C$27)*$I$9+(MOD($B845,60)=PARAM!$B$56)*($B845&gt;(60-PARAM!$B$56))*HLOOKUP(($B845+PARAM!$B$56)/12,Loyalty,2)*$F$1*MAX(AD844,0)</f>
        <v>18.557001321003963</v>
      </c>
      <c r="AC845" s="75">
        <f>PARAM!$C$26+MAX($G$9-CHOOSE(PARAM!$B$44,MAX(0,AD844*$F$1),0),0)*RATES!$L821/12+$H$9*(PARAM!$D$51/12)*RATES!$N821/100</f>
        <v>1190.0416666666667</v>
      </c>
      <c r="AD845" s="16">
        <f t="shared" si="548"/>
        <v>-174614.32261030102</v>
      </c>
      <c r="AE845" s="15">
        <f t="shared" si="523"/>
        <v>22.170849845882874</v>
      </c>
      <c r="AF845" s="75">
        <f>AE845*(1-PARAM!$C$27)*$I$10+(MOD($B845,60)=PARAM!$B$56)*($B845&gt;(60-PARAM!$B$56))*HLOOKUP(($B845+PARAM!$B$56)/12,Loyalty,2)*$F$1*MAX(AH844,0)</f>
        <v>18.557001321003963</v>
      </c>
      <c r="AG845" s="75">
        <f>PARAM!$C$26+MAX($G$10-CHOOSE(PARAM!$B$44,MAX(0,AH844*$F$1),0),0)*RATES!$L821/12+$H$10*(PARAM!$D$51/12)*RATES!$N821/100</f>
        <v>1190.0416666666667</v>
      </c>
      <c r="AH845" s="16">
        <f t="shared" si="549"/>
        <v>-174614.32261030102</v>
      </c>
      <c r="AI845" s="15">
        <f t="shared" si="524"/>
        <v>22.170849845882874</v>
      </c>
      <c r="AJ845" s="75">
        <f>AI845*(1-PARAM!$C$27)*$I$11+(MOD($B845,60)=PARAM!$B$56)*($B845&gt;(60-PARAM!$B$56))*HLOOKUP(($B845+PARAM!$B$56)/12,Loyalty,2)*$F$1*MAX(AL844,0)</f>
        <v>18.557001321003963</v>
      </c>
      <c r="AK845" s="75">
        <f>PARAM!$C$26+MAX($G$11-CHOOSE(PARAM!$B$44,MAX(0,AL844*$F$1),0),0)*RATES!$L821/12+$H$11*(PARAM!$D$51/12)*RATES!$N821/100</f>
        <v>1190.0416666666667</v>
      </c>
      <c r="AL845" s="16">
        <f t="shared" si="550"/>
        <v>-174614.32261030102</v>
      </c>
      <c r="AM845" s="15">
        <f t="shared" si="525"/>
        <v>22.170849845882874</v>
      </c>
      <c r="AN845" s="75">
        <f>AM845*(1-PARAM!$C$27)*$I$12+(MOD($B845,60)=PARAM!$B$56)*($B845&gt;(60-PARAM!$B$56))*HLOOKUP(($B845+PARAM!$B$56)/12,Loyalty,2)*$F$1*MAX(AP844,0)</f>
        <v>18.557001321003963</v>
      </c>
      <c r="AO845" s="75">
        <f>PARAM!$C$26+MAX($G$12-CHOOSE(PARAM!$B$44,MAX(0,AP844*$F$1),0),0)*RATES!$L821/12+$H$12*(PARAM!$D$51/12)*RATES!$N821/100</f>
        <v>1190.0416666666667</v>
      </c>
      <c r="AP845" s="16">
        <f t="shared" si="551"/>
        <v>-174614.32261030102</v>
      </c>
      <c r="AQ845" s="15">
        <f t="shared" si="526"/>
        <v>22.170849845882874</v>
      </c>
      <c r="AR845" s="75">
        <f>AQ845*(1-PARAM!$C$27)*$I$13+(MOD($B845,60)=PARAM!$B$56)*($B845&gt;(60-PARAM!$B$56))*HLOOKUP(($B845+PARAM!$B$56)/12,Loyalty,2)*$F$1*MAX(AT844,0)</f>
        <v>18.557001321003963</v>
      </c>
      <c r="AS845" s="75">
        <f>PARAM!$C$26+MAX($G$13-CHOOSE(PARAM!$B$44,MAX(0,AT844*$F$1),0),0)*RATES!$L821/12+$H$13*(PARAM!$D$51/12)*RATES!$N821/100</f>
        <v>1190.0416666666667</v>
      </c>
      <c r="AT845" s="16">
        <f t="shared" si="552"/>
        <v>-174614.32261030102</v>
      </c>
      <c r="AU845" s="15">
        <f t="shared" si="527"/>
        <v>22.170849845882874</v>
      </c>
      <c r="AV845" s="75">
        <f>AU845*(1-PARAM!$C$27)*$I$14+(MOD($B845,60)=PARAM!$B$56)*($B845&gt;(60-PARAM!$B$56))*HLOOKUP(($B845+PARAM!$B$56)/12,Loyalty,2)*$F$1*MAX(AX844,0)</f>
        <v>18.557001321003963</v>
      </c>
      <c r="AW845" s="75">
        <f>PARAM!$C$26+MAX($G$14-CHOOSE(PARAM!$B$44,MAX(0,AX844*$F$1),0),0)*RATES!$L821/12+$H$14*(PARAM!$D$51/12)*RATES!$N821/100</f>
        <v>1190.0416666666667</v>
      </c>
      <c r="AX845" s="16">
        <f t="shared" si="553"/>
        <v>-174614.32261030102</v>
      </c>
      <c r="AY845" s="15">
        <f t="shared" si="528"/>
        <v>22.170849845882874</v>
      </c>
      <c r="AZ845" s="75">
        <f>AY845*(1-PARAM!$C$27)*$I$15+(MOD($B845,60)=PARAM!$B$56)*($B845&gt;(60-PARAM!$B$56))*HLOOKUP(($B845+PARAM!$B$56)/12,Loyalty,2)*$F$1*MAX(BB844,0)</f>
        <v>18.557001321003963</v>
      </c>
      <c r="BA845" s="75">
        <f>PARAM!$C$26+MAX($G$15-CHOOSE(PARAM!$B$44,MAX(0,BB844*$F$1),0),0)*RATES!$L821/12+$H$15*(PARAM!$D$51/12)*RATES!$N821/100</f>
        <v>1190.0416666666667</v>
      </c>
      <c r="BB845" s="16">
        <f t="shared" si="554"/>
        <v>-174614.32261030102</v>
      </c>
      <c r="BC845" s="15">
        <f t="shared" si="529"/>
        <v>22.170849845882874</v>
      </c>
      <c r="BD845" s="75">
        <f>BC845*(1-PARAM!$C$27)*$I$16+(MOD($B845,60)=PARAM!$B$56)*($B845&gt;(60-PARAM!$B$56))*HLOOKUP(($B845+PARAM!$B$56)/12,Loyalty,2)*$F$1*MAX(BF844,0)</f>
        <v>18.557001321003963</v>
      </c>
      <c r="BE845" s="75">
        <f>PARAM!$C$26+MAX($G$16-CHOOSE(PARAM!$B$44,MAX(0,BF844*$F$1),0),0)*RATES!$L821/12+$H$16*(PARAM!$D$51/12)*RATES!$N821/100</f>
        <v>1190.0416666666667</v>
      </c>
      <c r="BF845" s="16">
        <f t="shared" si="555"/>
        <v>-174614.32261030102</v>
      </c>
      <c r="BG845" s="15">
        <f t="shared" si="530"/>
        <v>22.170849845882874</v>
      </c>
      <c r="BH845" s="75">
        <f>BG845*(1-PARAM!$C$27)*$I$17+(MOD($B845,60)=PARAM!$B$56)*($B845&gt;(60-PARAM!$B$56))*HLOOKUP(($B845+PARAM!$B$56)/12,Loyalty,2)*$F$1*MAX(BJ844,0)</f>
        <v>18.557001321003963</v>
      </c>
      <c r="BI845" s="75">
        <f>PARAM!$C$26+MAX($G$17-CHOOSE(PARAM!$B$44,MAX(0,BJ844*$F$1),0),0)*RATES!$L821/12+$H$17*(PARAM!$D$51/12)*RATES!$N821/100</f>
        <v>1190.0416666666667</v>
      </c>
      <c r="BJ845" s="16">
        <f t="shared" si="556"/>
        <v>-174614.32261030102</v>
      </c>
      <c r="BK845" s="15">
        <f t="shared" si="531"/>
        <v>22.170849845882874</v>
      </c>
      <c r="BL845" s="75">
        <f>BK845*(1-PARAM!$C$27)*$I$18+(MOD($B845,60)=PARAM!$B$56)*($B845&gt;(60-PARAM!$B$56))*HLOOKUP(($B845+PARAM!$B$56)/12,Loyalty,2)*$F$1*MAX(BN844,0)</f>
        <v>18.557001321003963</v>
      </c>
      <c r="BM845" s="75">
        <f>PARAM!$C$26+MAX($G$18-CHOOSE(PARAM!$B$44,MAX(0,BN844*$F$1),0),0)*RATES!$L821/12+$H$18*(PARAM!$D$51/12)*RATES!$N821/100</f>
        <v>1190.0416666666667</v>
      </c>
      <c r="BN845" s="16">
        <f t="shared" si="557"/>
        <v>-174614.32261030102</v>
      </c>
      <c r="BO845" s="15">
        <f t="shared" si="532"/>
        <v>22.170849845882874</v>
      </c>
      <c r="BP845" s="75">
        <f>BO845*(1-PARAM!$C$27)*$I$19+(MOD($B845,60)=PARAM!$B$56)*($B845&gt;(60-PARAM!$B$56))*HLOOKUP(($B845+PARAM!$B$56)/12,Loyalty,2)*$F$1*MAX(BR844,0)</f>
        <v>18.557001321003963</v>
      </c>
      <c r="BQ845" s="75">
        <f>PARAM!$C$26+MAX($G$19-CHOOSE(PARAM!$B$44,MAX(0,BR844*$F$1),0),0)*RATES!$L821/12+$H$19*(PARAM!$D$51/12)*RATES!$N821/100</f>
        <v>1190.0416666666667</v>
      </c>
      <c r="BR845" s="16">
        <f t="shared" si="558"/>
        <v>-174614.32261030102</v>
      </c>
      <c r="BS845" s="15">
        <f t="shared" si="533"/>
        <v>22.170849845882874</v>
      </c>
      <c r="BT845" s="75">
        <f>BS845*(1-PARAM!$C$27)*$I$20+(MOD($B845,60)=PARAM!$B$56)*($B845&gt;(60-PARAM!$B$56))*HLOOKUP(($B845+PARAM!$B$56)/12,Loyalty,2)*$F$1*MAX(BV844,0)</f>
        <v>18.557001321003963</v>
      </c>
      <c r="BU845" s="75">
        <f>PARAM!$C$26+MAX($G$20-CHOOSE(PARAM!$B$44,MAX(0,BV844*$F$1),0),0)*RATES!$L821/12+$H$20*(PARAM!$D$51/12)*RATES!$N821/100</f>
        <v>1190.0416666666667</v>
      </c>
      <c r="BV845" s="16">
        <f t="shared" si="559"/>
        <v>-174614.32261030102</v>
      </c>
      <c r="BW845" s="15">
        <f t="shared" si="534"/>
        <v>22.170849845882874</v>
      </c>
      <c r="BX845" s="75">
        <f>BW845*(1-PARAM!$C$27)*$I$21+(MOD($B845,60)=PARAM!$B$56)*($B845&gt;(60-PARAM!$B$56))*HLOOKUP(($B845+PARAM!$B$56)/12,Loyalty,2)*$F$1*MAX(BZ844,0)</f>
        <v>18.557001321003963</v>
      </c>
      <c r="BY845" s="75">
        <f>PARAM!$C$26+MAX($G$21-CHOOSE(PARAM!$B$44,MAX(0,BZ844*$F$1),0),0)*RATES!$L821/12+$H$21*(PARAM!$D$51/12)*RATES!$N821/100</f>
        <v>1190.0416666666667</v>
      </c>
      <c r="BZ845" s="16">
        <f t="shared" si="560"/>
        <v>-174614.32261030102</v>
      </c>
      <c r="CA845" s="15">
        <f t="shared" si="535"/>
        <v>22.170849845882874</v>
      </c>
      <c r="CB845" s="75">
        <f>CA845*(1-PARAM!$C$27)*$I$22+(MOD($B845,60)=PARAM!$B$56)*($B845&gt;(60-PARAM!$B$56))*HLOOKUP(($B845+PARAM!$B$56)/12,Loyalty,2)*$F$1*MAX(CD844,0)</f>
        <v>18.557001321003963</v>
      </c>
      <c r="CC845" s="75">
        <f>PARAM!$C$26+MAX($G$22-CHOOSE(PARAM!$B$44,MAX(0,CD844*$F$1),0),0)*RATES!$L821/12+$H$22*(PARAM!$D$51/12)*RATES!$N821/100</f>
        <v>1190.0416666666667</v>
      </c>
      <c r="CD845" s="16">
        <f t="shared" si="561"/>
        <v>-174614.32261030102</v>
      </c>
      <c r="CE845" s="33">
        <f>IF(0=MOD(B845,12/PARAM!$D$51),1,0)</f>
        <v>1</v>
      </c>
      <c r="CF845" s="15">
        <f t="shared" si="536"/>
        <v>0</v>
      </c>
      <c r="CG845" s="75">
        <f>CF845*(1-PARAM!$C$27)*$R$3+(MOD($B845/12,5)=0)*($B845&gt;60)*HLOOKUP($B845/12,Loyalty,2)*$F$1*MAX(CI844,0)</f>
        <v>0</v>
      </c>
      <c r="CH845" s="75">
        <f>PARAM!$C$26+MAX($P$3-CHOOSE(PARAM!$B$44,MAX(0,CI844*$F$1),0),0)*RATES!$L821/12+$Q$3*(PARAM!$D$51/12)*RATES!$N821/100</f>
        <v>1190.0416666666667</v>
      </c>
      <c r="CI845" s="16">
        <f>IF(CI844&gt;0,CI844*PARAM!$C$53,CI844)+CG845-CH845</f>
        <v>-189674.3750000002</v>
      </c>
      <c r="CJ845" s="15">
        <f t="shared" si="562"/>
        <v>0</v>
      </c>
      <c r="CK845" s="75">
        <f>CJ845*(1-PARAM!$C$27)*$R$4+(MOD($B845/12,5)=0)*($B845&gt;60)*HLOOKUP($B845/12,Loyalty,2)*$F$1*MAX(CM844,0)</f>
        <v>0</v>
      </c>
      <c r="CL845" s="75">
        <f>PARAM!$C$26+MAX($P$4-CHOOSE(PARAM!$B$44,MAX(0,CM844*$F$1),0),0)*RATES!$L821/12+$Q$4*(PARAM!$D$51/12)*RATES!$N821/100</f>
        <v>1190.0416666666667</v>
      </c>
      <c r="CM845" s="16">
        <f>IF(CM844&gt;0,CM844*PARAM!$C$53,CM844)+CK845-CL845</f>
        <v>-189674.3750000002</v>
      </c>
      <c r="CO845" s="176"/>
    </row>
    <row r="846" spans="1:93" x14ac:dyDescent="0.2">
      <c r="A846" t="b">
        <f t="shared" si="537"/>
        <v>0</v>
      </c>
      <c r="B846" s="33">
        <v>819</v>
      </c>
      <c r="C846" s="15">
        <f t="shared" si="538"/>
        <v>20.081305947392778</v>
      </c>
      <c r="D846" s="75">
        <f>C846*(1-PARAM!$C$27)*$I$3+(MOD($B846,60)=PARAM!$B$56)*($B846&gt;(60-PARAM!$B$56))*HLOOKUP(($B846+PARAM!$B$56)/12,Loyalty,2)*$F$1*MAX(F845,0)</f>
        <v>16.808053077967756</v>
      </c>
      <c r="E846" s="75">
        <f>PARAM!$C$26+MAX($G$3-CHOOSE(PARAM!$B$44,MAX(0,F845*$F$1),0),0)*RATES!$L822/12+$H$3*(PARAM!$D$51/12)*RATES!$N822/100</f>
        <v>1190.0416666666667</v>
      </c>
      <c r="F846" s="16">
        <f t="shared" si="539"/>
        <v>-177255.04638721514</v>
      </c>
      <c r="G846" s="15">
        <f t="shared" si="540"/>
        <v>22.035289406060361</v>
      </c>
      <c r="H846" s="75">
        <f>G846*(1-PARAM!$C$27)*$I$4+(MOD($B846,60)=PARAM!$B$56)*($B846&gt;(60-PARAM!$B$56))*HLOOKUP(($B846+PARAM!$B$56)/12,Loyalty,2)*$F$1*MAX(J845,0)</f>
        <v>18.443537232872522</v>
      </c>
      <c r="I846" s="75">
        <f>PARAM!$C$26+MAX($G$4-CHOOSE(PARAM!$B$44,MAX(0,J845*$F$1),0),0)*RATES!$L822/12+$H$4*(PARAM!$D$51/12)*RATES!$N822/100</f>
        <v>1190.0416666666667</v>
      </c>
      <c r="J846" s="16">
        <f t="shared" si="541"/>
        <v>-175881.75190022585</v>
      </c>
      <c r="K846" s="15">
        <f t="shared" si="542"/>
        <v>22.170849845882874</v>
      </c>
      <c r="L846" s="75">
        <f>K846*(1-PARAM!$C$27)*$I$5+(MOD($B846,60)=PARAM!$B$56)*($B846&gt;(60-PARAM!$B$56))*HLOOKUP(($B846+PARAM!$B$56)/12,Loyalty,2)*$F$1*MAX(N845,0)</f>
        <v>18.557001321003963</v>
      </c>
      <c r="M846" s="75">
        <f>PARAM!$C$26+MAX($G$5-CHOOSE(PARAM!$B$44,MAX(0,N845*$F$1),0),0)*RATES!$L822/12+$H$5*(PARAM!$D$51/12)*RATES!$N822/100</f>
        <v>1190.0416666666667</v>
      </c>
      <c r="N846" s="16">
        <f t="shared" si="543"/>
        <v>-175785.80727564669</v>
      </c>
      <c r="O846" s="15">
        <f t="shared" si="544"/>
        <v>22.170849845882874</v>
      </c>
      <c r="P846" s="75">
        <f>O846*(1-PARAM!$C$27)*$I$6+(MOD($B846,60)=PARAM!$B$56)*($B846&gt;(60-PARAM!$B$56))*HLOOKUP(($B846+PARAM!$B$56)/12,Loyalty,2)*$F$1*MAX(R845,0)</f>
        <v>18.557001321003963</v>
      </c>
      <c r="Q846" s="75">
        <f>PARAM!$C$26+MAX($G$6-CHOOSE(PARAM!$B$44,MAX(0,R845*$F$1),0),0)*RATES!$L822/12+$H$6*(PARAM!$D$51/12)*RATES!$N822/100</f>
        <v>1190.0416666666667</v>
      </c>
      <c r="R846" s="16">
        <f t="shared" si="545"/>
        <v>-175785.80727564669</v>
      </c>
      <c r="S846" s="15">
        <f t="shared" si="520"/>
        <v>22.170849845882874</v>
      </c>
      <c r="T846" s="75">
        <f>S846*(1-PARAM!$C$27)*$I$7+(MOD($B846,60)=PARAM!$B$56)*($B846&gt;(60-PARAM!$B$56))*HLOOKUP(($B846+PARAM!$B$56)/12,Loyalty,2)*$F$1*MAX(V845,0)</f>
        <v>18.557001321003963</v>
      </c>
      <c r="U846" s="75">
        <f>PARAM!$C$26+MAX($G$7-CHOOSE(PARAM!$B$44,MAX(0,V845*$F$1),0),0)*RATES!$L822/12+$H$7*(PARAM!$D$51/12)*RATES!$N822/100</f>
        <v>1190.0416666666667</v>
      </c>
      <c r="V846" s="16">
        <f t="shared" si="546"/>
        <v>-175785.80727564669</v>
      </c>
      <c r="W846" s="15">
        <f t="shared" si="521"/>
        <v>22.170849845882874</v>
      </c>
      <c r="X846" s="75">
        <f>W846*(1-PARAM!$C$27)*$I$8+(MOD($B846,60)=PARAM!$B$56)*($B846&gt;(60-PARAM!$B$56))*HLOOKUP(($B846+PARAM!$B$56)/12,Loyalty,2)*$F$1*MAX(Z845,0)</f>
        <v>18.557001321003963</v>
      </c>
      <c r="Y846" s="75">
        <f>PARAM!$C$26+MAX($G$8-CHOOSE(PARAM!$B$44,MAX(0,Z845*$F$1),0),0)*RATES!$L822/12+$H$8*(PARAM!$D$51/12)*RATES!$N822/100</f>
        <v>1190.0416666666667</v>
      </c>
      <c r="Z846" s="16">
        <f t="shared" si="547"/>
        <v>-175785.80727564669</v>
      </c>
      <c r="AA846" s="15">
        <f t="shared" si="522"/>
        <v>22.170849845882874</v>
      </c>
      <c r="AB846" s="75">
        <f>AA846*(1-PARAM!$C$27)*$I$9+(MOD($B846,60)=PARAM!$B$56)*($B846&gt;(60-PARAM!$B$56))*HLOOKUP(($B846+PARAM!$B$56)/12,Loyalty,2)*$F$1*MAX(AD845,0)</f>
        <v>18.557001321003963</v>
      </c>
      <c r="AC846" s="75">
        <f>PARAM!$C$26+MAX($G$9-CHOOSE(PARAM!$B$44,MAX(0,AD845*$F$1),0),0)*RATES!$L822/12+$H$9*(PARAM!$D$51/12)*RATES!$N822/100</f>
        <v>1190.0416666666667</v>
      </c>
      <c r="AD846" s="16">
        <f t="shared" si="548"/>
        <v>-175785.80727564669</v>
      </c>
      <c r="AE846" s="15">
        <f t="shared" si="523"/>
        <v>22.170849845882874</v>
      </c>
      <c r="AF846" s="75">
        <f>AE846*(1-PARAM!$C$27)*$I$10+(MOD($B846,60)=PARAM!$B$56)*($B846&gt;(60-PARAM!$B$56))*HLOOKUP(($B846+PARAM!$B$56)/12,Loyalty,2)*$F$1*MAX(AH845,0)</f>
        <v>18.557001321003963</v>
      </c>
      <c r="AG846" s="75">
        <f>PARAM!$C$26+MAX($G$10-CHOOSE(PARAM!$B$44,MAX(0,AH845*$F$1),0),0)*RATES!$L822/12+$H$10*(PARAM!$D$51/12)*RATES!$N822/100</f>
        <v>1190.0416666666667</v>
      </c>
      <c r="AH846" s="16">
        <f t="shared" si="549"/>
        <v>-175785.80727564669</v>
      </c>
      <c r="AI846" s="15">
        <f t="shared" si="524"/>
        <v>22.170849845882874</v>
      </c>
      <c r="AJ846" s="75">
        <f>AI846*(1-PARAM!$C$27)*$I$11+(MOD($B846,60)=PARAM!$B$56)*($B846&gt;(60-PARAM!$B$56))*HLOOKUP(($B846+PARAM!$B$56)/12,Loyalty,2)*$F$1*MAX(AL845,0)</f>
        <v>18.557001321003963</v>
      </c>
      <c r="AK846" s="75">
        <f>PARAM!$C$26+MAX($G$11-CHOOSE(PARAM!$B$44,MAX(0,AL845*$F$1),0),0)*RATES!$L822/12+$H$11*(PARAM!$D$51/12)*RATES!$N822/100</f>
        <v>1190.0416666666667</v>
      </c>
      <c r="AL846" s="16">
        <f t="shared" si="550"/>
        <v>-175785.80727564669</v>
      </c>
      <c r="AM846" s="15">
        <f t="shared" si="525"/>
        <v>22.170849845882874</v>
      </c>
      <c r="AN846" s="75">
        <f>AM846*(1-PARAM!$C$27)*$I$12+(MOD($B846,60)=PARAM!$B$56)*($B846&gt;(60-PARAM!$B$56))*HLOOKUP(($B846+PARAM!$B$56)/12,Loyalty,2)*$F$1*MAX(AP845,0)</f>
        <v>18.557001321003963</v>
      </c>
      <c r="AO846" s="75">
        <f>PARAM!$C$26+MAX($G$12-CHOOSE(PARAM!$B$44,MAX(0,AP845*$F$1),0),0)*RATES!$L822/12+$H$12*(PARAM!$D$51/12)*RATES!$N822/100</f>
        <v>1190.0416666666667</v>
      </c>
      <c r="AP846" s="16">
        <f t="shared" si="551"/>
        <v>-175785.80727564669</v>
      </c>
      <c r="AQ846" s="15">
        <f t="shared" si="526"/>
        <v>22.170849845882874</v>
      </c>
      <c r="AR846" s="75">
        <f>AQ846*(1-PARAM!$C$27)*$I$13+(MOD($B846,60)=PARAM!$B$56)*($B846&gt;(60-PARAM!$B$56))*HLOOKUP(($B846+PARAM!$B$56)/12,Loyalty,2)*$F$1*MAX(AT845,0)</f>
        <v>18.557001321003963</v>
      </c>
      <c r="AS846" s="75">
        <f>PARAM!$C$26+MAX($G$13-CHOOSE(PARAM!$B$44,MAX(0,AT845*$F$1),0),0)*RATES!$L822/12+$H$13*(PARAM!$D$51/12)*RATES!$N822/100</f>
        <v>1190.0416666666667</v>
      </c>
      <c r="AT846" s="16">
        <f t="shared" si="552"/>
        <v>-175785.80727564669</v>
      </c>
      <c r="AU846" s="15">
        <f t="shared" si="527"/>
        <v>22.170849845882874</v>
      </c>
      <c r="AV846" s="75">
        <f>AU846*(1-PARAM!$C$27)*$I$14+(MOD($B846,60)=PARAM!$B$56)*($B846&gt;(60-PARAM!$B$56))*HLOOKUP(($B846+PARAM!$B$56)/12,Loyalty,2)*$F$1*MAX(AX845,0)</f>
        <v>18.557001321003963</v>
      </c>
      <c r="AW846" s="75">
        <f>PARAM!$C$26+MAX($G$14-CHOOSE(PARAM!$B$44,MAX(0,AX845*$F$1),0),0)*RATES!$L822/12+$H$14*(PARAM!$D$51/12)*RATES!$N822/100</f>
        <v>1190.0416666666667</v>
      </c>
      <c r="AX846" s="16">
        <f t="shared" si="553"/>
        <v>-175785.80727564669</v>
      </c>
      <c r="AY846" s="15">
        <f t="shared" si="528"/>
        <v>22.170849845882874</v>
      </c>
      <c r="AZ846" s="75">
        <f>AY846*(1-PARAM!$C$27)*$I$15+(MOD($B846,60)=PARAM!$B$56)*($B846&gt;(60-PARAM!$B$56))*HLOOKUP(($B846+PARAM!$B$56)/12,Loyalty,2)*$F$1*MAX(BB845,0)</f>
        <v>18.557001321003963</v>
      </c>
      <c r="BA846" s="75">
        <f>PARAM!$C$26+MAX($G$15-CHOOSE(PARAM!$B$44,MAX(0,BB845*$F$1),0),0)*RATES!$L822/12+$H$15*(PARAM!$D$51/12)*RATES!$N822/100</f>
        <v>1190.0416666666667</v>
      </c>
      <c r="BB846" s="16">
        <f t="shared" si="554"/>
        <v>-175785.80727564669</v>
      </c>
      <c r="BC846" s="15">
        <f t="shared" si="529"/>
        <v>22.170849845882874</v>
      </c>
      <c r="BD846" s="75">
        <f>BC846*(1-PARAM!$C$27)*$I$16+(MOD($B846,60)=PARAM!$B$56)*($B846&gt;(60-PARAM!$B$56))*HLOOKUP(($B846+PARAM!$B$56)/12,Loyalty,2)*$F$1*MAX(BF845,0)</f>
        <v>18.557001321003963</v>
      </c>
      <c r="BE846" s="75">
        <f>PARAM!$C$26+MAX($G$16-CHOOSE(PARAM!$B$44,MAX(0,BF845*$F$1),0),0)*RATES!$L822/12+$H$16*(PARAM!$D$51/12)*RATES!$N822/100</f>
        <v>1190.0416666666667</v>
      </c>
      <c r="BF846" s="16">
        <f t="shared" si="555"/>
        <v>-175785.80727564669</v>
      </c>
      <c r="BG846" s="15">
        <f t="shared" si="530"/>
        <v>22.170849845882874</v>
      </c>
      <c r="BH846" s="75">
        <f>BG846*(1-PARAM!$C$27)*$I$17+(MOD($B846,60)=PARAM!$B$56)*($B846&gt;(60-PARAM!$B$56))*HLOOKUP(($B846+PARAM!$B$56)/12,Loyalty,2)*$F$1*MAX(BJ845,0)</f>
        <v>18.557001321003963</v>
      </c>
      <c r="BI846" s="75">
        <f>PARAM!$C$26+MAX($G$17-CHOOSE(PARAM!$B$44,MAX(0,BJ845*$F$1),0),0)*RATES!$L822/12+$H$17*(PARAM!$D$51/12)*RATES!$N822/100</f>
        <v>1190.0416666666667</v>
      </c>
      <c r="BJ846" s="16">
        <f t="shared" si="556"/>
        <v>-175785.80727564669</v>
      </c>
      <c r="BK846" s="15">
        <f t="shared" si="531"/>
        <v>22.170849845882874</v>
      </c>
      <c r="BL846" s="75">
        <f>BK846*(1-PARAM!$C$27)*$I$18+(MOD($B846,60)=PARAM!$B$56)*($B846&gt;(60-PARAM!$B$56))*HLOOKUP(($B846+PARAM!$B$56)/12,Loyalty,2)*$F$1*MAX(BN845,0)</f>
        <v>18.557001321003963</v>
      </c>
      <c r="BM846" s="75">
        <f>PARAM!$C$26+MAX($G$18-CHOOSE(PARAM!$B$44,MAX(0,BN845*$F$1),0),0)*RATES!$L822/12+$H$18*(PARAM!$D$51/12)*RATES!$N822/100</f>
        <v>1190.0416666666667</v>
      </c>
      <c r="BN846" s="16">
        <f t="shared" si="557"/>
        <v>-175785.80727564669</v>
      </c>
      <c r="BO846" s="15">
        <f t="shared" si="532"/>
        <v>22.170849845882874</v>
      </c>
      <c r="BP846" s="75">
        <f>BO846*(1-PARAM!$C$27)*$I$19+(MOD($B846,60)=PARAM!$B$56)*($B846&gt;(60-PARAM!$B$56))*HLOOKUP(($B846+PARAM!$B$56)/12,Loyalty,2)*$F$1*MAX(BR845,0)</f>
        <v>18.557001321003963</v>
      </c>
      <c r="BQ846" s="75">
        <f>PARAM!$C$26+MAX($G$19-CHOOSE(PARAM!$B$44,MAX(0,BR845*$F$1),0),0)*RATES!$L822/12+$H$19*(PARAM!$D$51/12)*RATES!$N822/100</f>
        <v>1190.0416666666667</v>
      </c>
      <c r="BR846" s="16">
        <f t="shared" si="558"/>
        <v>-175785.80727564669</v>
      </c>
      <c r="BS846" s="15">
        <f t="shared" si="533"/>
        <v>22.170849845882874</v>
      </c>
      <c r="BT846" s="75">
        <f>BS846*(1-PARAM!$C$27)*$I$20+(MOD($B846,60)=PARAM!$B$56)*($B846&gt;(60-PARAM!$B$56))*HLOOKUP(($B846+PARAM!$B$56)/12,Loyalty,2)*$F$1*MAX(BV845,0)</f>
        <v>18.557001321003963</v>
      </c>
      <c r="BU846" s="75">
        <f>PARAM!$C$26+MAX($G$20-CHOOSE(PARAM!$B$44,MAX(0,BV845*$F$1),0),0)*RATES!$L822/12+$H$20*(PARAM!$D$51/12)*RATES!$N822/100</f>
        <v>1190.0416666666667</v>
      </c>
      <c r="BV846" s="16">
        <f t="shared" si="559"/>
        <v>-175785.80727564669</v>
      </c>
      <c r="BW846" s="15">
        <f t="shared" si="534"/>
        <v>22.170849845882874</v>
      </c>
      <c r="BX846" s="75">
        <f>BW846*(1-PARAM!$C$27)*$I$21+(MOD($B846,60)=PARAM!$B$56)*($B846&gt;(60-PARAM!$B$56))*HLOOKUP(($B846+PARAM!$B$56)/12,Loyalty,2)*$F$1*MAX(BZ845,0)</f>
        <v>18.557001321003963</v>
      </c>
      <c r="BY846" s="75">
        <f>PARAM!$C$26+MAX($G$21-CHOOSE(PARAM!$B$44,MAX(0,BZ845*$F$1),0),0)*RATES!$L822/12+$H$21*(PARAM!$D$51/12)*RATES!$N822/100</f>
        <v>1190.0416666666667</v>
      </c>
      <c r="BZ846" s="16">
        <f t="shared" si="560"/>
        <v>-175785.80727564669</v>
      </c>
      <c r="CA846" s="15">
        <f t="shared" si="535"/>
        <v>22.170849845882874</v>
      </c>
      <c r="CB846" s="75">
        <f>CA846*(1-PARAM!$C$27)*$I$22+(MOD($B846,60)=PARAM!$B$56)*($B846&gt;(60-PARAM!$B$56))*HLOOKUP(($B846+PARAM!$B$56)/12,Loyalty,2)*$F$1*MAX(CD845,0)</f>
        <v>18.557001321003963</v>
      </c>
      <c r="CC846" s="75">
        <f>PARAM!$C$26+MAX($G$22-CHOOSE(PARAM!$B$44,MAX(0,CD845*$F$1),0),0)*RATES!$L822/12+$H$22*(PARAM!$D$51/12)*RATES!$N822/100</f>
        <v>1190.0416666666667</v>
      </c>
      <c r="CD846" s="16">
        <f t="shared" si="561"/>
        <v>-175785.80727564669</v>
      </c>
      <c r="CE846" s="33">
        <f>IF(0=MOD(B846,12/PARAM!$D$51),1,0)</f>
        <v>1</v>
      </c>
      <c r="CF846" s="15">
        <f t="shared" si="536"/>
        <v>0</v>
      </c>
      <c r="CG846" s="75">
        <f>CF846*(1-PARAM!$C$27)*$R$3+(MOD($B846/12,5)=0)*($B846&gt;60)*HLOOKUP($B846/12,Loyalty,2)*$F$1*MAX(CI845,0)</f>
        <v>0</v>
      </c>
      <c r="CH846" s="75">
        <f>PARAM!$C$26+MAX($P$3-CHOOSE(PARAM!$B$44,MAX(0,CI845*$F$1),0),0)*RATES!$L822/12+$Q$3*(PARAM!$D$51/12)*RATES!$N822/100</f>
        <v>1190.0416666666667</v>
      </c>
      <c r="CI846" s="16">
        <f>IF(CI845&gt;0,CI845*PARAM!$C$53,CI845)+CG846-CH846</f>
        <v>-190864.41666666686</v>
      </c>
      <c r="CJ846" s="15">
        <f t="shared" si="562"/>
        <v>0</v>
      </c>
      <c r="CK846" s="75">
        <f>CJ846*(1-PARAM!$C$27)*$R$4+(MOD($B846/12,5)=0)*($B846&gt;60)*HLOOKUP($B846/12,Loyalty,2)*$F$1*MAX(CM845,0)</f>
        <v>0</v>
      </c>
      <c r="CL846" s="75">
        <f>PARAM!$C$26+MAX($P$4-CHOOSE(PARAM!$B$44,MAX(0,CM845*$F$1),0),0)*RATES!$L822/12+$Q$4*(PARAM!$D$51/12)*RATES!$N822/100</f>
        <v>1190.0416666666667</v>
      </c>
      <c r="CM846" s="16">
        <f>IF(CM845&gt;0,CM845*PARAM!$C$53,CM845)+CK846-CL846</f>
        <v>-190864.41666666686</v>
      </c>
      <c r="CO846" s="176"/>
    </row>
    <row r="847" spans="1:93" x14ac:dyDescent="0.2">
      <c r="A847" t="b">
        <f t="shared" si="537"/>
        <v>0</v>
      </c>
      <c r="B847" s="33">
        <v>820</v>
      </c>
      <c r="C847" s="15">
        <f t="shared" si="538"/>
        <v>20.081305947392778</v>
      </c>
      <c r="D847" s="75">
        <f>C847*(1-PARAM!$C$27)*$I$3+(MOD($B847,60)=PARAM!$B$56)*($B847&gt;(60-PARAM!$B$56))*HLOOKUP(($B847+PARAM!$B$56)/12,Loyalty,2)*$F$1*MAX(F846,0)</f>
        <v>16.808053077967756</v>
      </c>
      <c r="E847" s="75">
        <f>PARAM!$C$26+MAX($G$3-CHOOSE(PARAM!$B$44,MAX(0,F846*$F$1),0),0)*RATES!$L823/12+$H$3*(PARAM!$D$51/12)*RATES!$N823/100</f>
        <v>1190.0416666666667</v>
      </c>
      <c r="F847" s="16">
        <f t="shared" si="539"/>
        <v>-178428.28000080385</v>
      </c>
      <c r="G847" s="15">
        <f t="shared" si="540"/>
        <v>22.035289406060361</v>
      </c>
      <c r="H847" s="75">
        <f>G847*(1-PARAM!$C$27)*$I$4+(MOD($B847,60)=PARAM!$B$56)*($B847&gt;(60-PARAM!$B$56))*HLOOKUP(($B847+PARAM!$B$56)/12,Loyalty,2)*$F$1*MAX(J846,0)</f>
        <v>18.443537232872522</v>
      </c>
      <c r="I847" s="75">
        <f>PARAM!$C$26+MAX($G$4-CHOOSE(PARAM!$B$44,MAX(0,J846*$F$1),0),0)*RATES!$L823/12+$H$4*(PARAM!$D$51/12)*RATES!$N823/100</f>
        <v>1190.0416666666667</v>
      </c>
      <c r="J847" s="16">
        <f t="shared" si="541"/>
        <v>-177053.35002965963</v>
      </c>
      <c r="K847" s="15">
        <f t="shared" si="542"/>
        <v>22.170849845882874</v>
      </c>
      <c r="L847" s="75">
        <f>K847*(1-PARAM!$C$27)*$I$5+(MOD($B847,60)=PARAM!$B$56)*($B847&gt;(60-PARAM!$B$56))*HLOOKUP(($B847+PARAM!$B$56)/12,Loyalty,2)*$F$1*MAX(N846,0)</f>
        <v>18.557001321003963</v>
      </c>
      <c r="M847" s="75">
        <f>PARAM!$C$26+MAX($G$5-CHOOSE(PARAM!$B$44,MAX(0,N846*$F$1),0),0)*RATES!$L823/12+$H$5*(PARAM!$D$51/12)*RATES!$N823/100</f>
        <v>1190.0416666666667</v>
      </c>
      <c r="N847" s="16">
        <f t="shared" si="543"/>
        <v>-176957.29194099235</v>
      </c>
      <c r="O847" s="15">
        <f t="shared" si="544"/>
        <v>22.170849845882874</v>
      </c>
      <c r="P847" s="75">
        <f>O847*(1-PARAM!$C$27)*$I$6+(MOD($B847,60)=PARAM!$B$56)*($B847&gt;(60-PARAM!$B$56))*HLOOKUP(($B847+PARAM!$B$56)/12,Loyalty,2)*$F$1*MAX(R846,0)</f>
        <v>18.557001321003963</v>
      </c>
      <c r="Q847" s="75">
        <f>PARAM!$C$26+MAX($G$6-CHOOSE(PARAM!$B$44,MAX(0,R846*$F$1),0),0)*RATES!$L823/12+$H$6*(PARAM!$D$51/12)*RATES!$N823/100</f>
        <v>1190.0416666666667</v>
      </c>
      <c r="R847" s="16">
        <f t="shared" si="545"/>
        <v>-176957.29194099235</v>
      </c>
      <c r="S847" s="15">
        <f t="shared" si="520"/>
        <v>22.170849845882874</v>
      </c>
      <c r="T847" s="75">
        <f>S847*(1-PARAM!$C$27)*$I$7+(MOD($B847,60)=PARAM!$B$56)*($B847&gt;(60-PARAM!$B$56))*HLOOKUP(($B847+PARAM!$B$56)/12,Loyalty,2)*$F$1*MAX(V846,0)</f>
        <v>18.557001321003963</v>
      </c>
      <c r="U847" s="75">
        <f>PARAM!$C$26+MAX($G$7-CHOOSE(PARAM!$B$44,MAX(0,V846*$F$1),0),0)*RATES!$L823/12+$H$7*(PARAM!$D$51/12)*RATES!$N823/100</f>
        <v>1190.0416666666667</v>
      </c>
      <c r="V847" s="16">
        <f t="shared" si="546"/>
        <v>-176957.29194099235</v>
      </c>
      <c r="W847" s="15">
        <f t="shared" si="521"/>
        <v>22.170849845882874</v>
      </c>
      <c r="X847" s="75">
        <f>W847*(1-PARAM!$C$27)*$I$8+(MOD($B847,60)=PARAM!$B$56)*($B847&gt;(60-PARAM!$B$56))*HLOOKUP(($B847+PARAM!$B$56)/12,Loyalty,2)*$F$1*MAX(Z846,0)</f>
        <v>18.557001321003963</v>
      </c>
      <c r="Y847" s="75">
        <f>PARAM!$C$26+MAX($G$8-CHOOSE(PARAM!$B$44,MAX(0,Z846*$F$1),0),0)*RATES!$L823/12+$H$8*(PARAM!$D$51/12)*RATES!$N823/100</f>
        <v>1190.0416666666667</v>
      </c>
      <c r="Z847" s="16">
        <f t="shared" si="547"/>
        <v>-176957.29194099235</v>
      </c>
      <c r="AA847" s="15">
        <f t="shared" si="522"/>
        <v>22.170849845882874</v>
      </c>
      <c r="AB847" s="75">
        <f>AA847*(1-PARAM!$C$27)*$I$9+(MOD($B847,60)=PARAM!$B$56)*($B847&gt;(60-PARAM!$B$56))*HLOOKUP(($B847+PARAM!$B$56)/12,Loyalty,2)*$F$1*MAX(AD846,0)</f>
        <v>18.557001321003963</v>
      </c>
      <c r="AC847" s="75">
        <f>PARAM!$C$26+MAX($G$9-CHOOSE(PARAM!$B$44,MAX(0,AD846*$F$1),0),0)*RATES!$L823/12+$H$9*(PARAM!$D$51/12)*RATES!$N823/100</f>
        <v>1190.0416666666667</v>
      </c>
      <c r="AD847" s="16">
        <f t="shared" si="548"/>
        <v>-176957.29194099235</v>
      </c>
      <c r="AE847" s="15">
        <f t="shared" si="523"/>
        <v>22.170849845882874</v>
      </c>
      <c r="AF847" s="75">
        <f>AE847*(1-PARAM!$C$27)*$I$10+(MOD($B847,60)=PARAM!$B$56)*($B847&gt;(60-PARAM!$B$56))*HLOOKUP(($B847+PARAM!$B$56)/12,Loyalty,2)*$F$1*MAX(AH846,0)</f>
        <v>18.557001321003963</v>
      </c>
      <c r="AG847" s="75">
        <f>PARAM!$C$26+MAX($G$10-CHOOSE(PARAM!$B$44,MAX(0,AH846*$F$1),0),0)*RATES!$L823/12+$H$10*(PARAM!$D$51/12)*RATES!$N823/100</f>
        <v>1190.0416666666667</v>
      </c>
      <c r="AH847" s="16">
        <f t="shared" si="549"/>
        <v>-176957.29194099235</v>
      </c>
      <c r="AI847" s="15">
        <f t="shared" si="524"/>
        <v>22.170849845882874</v>
      </c>
      <c r="AJ847" s="75">
        <f>AI847*(1-PARAM!$C$27)*$I$11+(MOD($B847,60)=PARAM!$B$56)*($B847&gt;(60-PARAM!$B$56))*HLOOKUP(($B847+PARAM!$B$56)/12,Loyalty,2)*$F$1*MAX(AL846,0)</f>
        <v>18.557001321003963</v>
      </c>
      <c r="AK847" s="75">
        <f>PARAM!$C$26+MAX($G$11-CHOOSE(PARAM!$B$44,MAX(0,AL846*$F$1),0),0)*RATES!$L823/12+$H$11*(PARAM!$D$51/12)*RATES!$N823/100</f>
        <v>1190.0416666666667</v>
      </c>
      <c r="AL847" s="16">
        <f t="shared" si="550"/>
        <v>-176957.29194099235</v>
      </c>
      <c r="AM847" s="15">
        <f t="shared" si="525"/>
        <v>22.170849845882874</v>
      </c>
      <c r="AN847" s="75">
        <f>AM847*(1-PARAM!$C$27)*$I$12+(MOD($B847,60)=PARAM!$B$56)*($B847&gt;(60-PARAM!$B$56))*HLOOKUP(($B847+PARAM!$B$56)/12,Loyalty,2)*$F$1*MAX(AP846,0)</f>
        <v>18.557001321003963</v>
      </c>
      <c r="AO847" s="75">
        <f>PARAM!$C$26+MAX($G$12-CHOOSE(PARAM!$B$44,MAX(0,AP846*$F$1),0),0)*RATES!$L823/12+$H$12*(PARAM!$D$51/12)*RATES!$N823/100</f>
        <v>1190.0416666666667</v>
      </c>
      <c r="AP847" s="16">
        <f t="shared" si="551"/>
        <v>-176957.29194099235</v>
      </c>
      <c r="AQ847" s="15">
        <f t="shared" si="526"/>
        <v>22.170849845882874</v>
      </c>
      <c r="AR847" s="75">
        <f>AQ847*(1-PARAM!$C$27)*$I$13+(MOD($B847,60)=PARAM!$B$56)*($B847&gt;(60-PARAM!$B$56))*HLOOKUP(($B847+PARAM!$B$56)/12,Loyalty,2)*$F$1*MAX(AT846,0)</f>
        <v>18.557001321003963</v>
      </c>
      <c r="AS847" s="75">
        <f>PARAM!$C$26+MAX($G$13-CHOOSE(PARAM!$B$44,MAX(0,AT846*$F$1),0),0)*RATES!$L823/12+$H$13*(PARAM!$D$51/12)*RATES!$N823/100</f>
        <v>1190.0416666666667</v>
      </c>
      <c r="AT847" s="16">
        <f t="shared" si="552"/>
        <v>-176957.29194099235</v>
      </c>
      <c r="AU847" s="15">
        <f t="shared" si="527"/>
        <v>22.170849845882874</v>
      </c>
      <c r="AV847" s="75">
        <f>AU847*(1-PARAM!$C$27)*$I$14+(MOD($B847,60)=PARAM!$B$56)*($B847&gt;(60-PARAM!$B$56))*HLOOKUP(($B847+PARAM!$B$56)/12,Loyalty,2)*$F$1*MAX(AX846,0)</f>
        <v>18.557001321003963</v>
      </c>
      <c r="AW847" s="75">
        <f>PARAM!$C$26+MAX($G$14-CHOOSE(PARAM!$B$44,MAX(0,AX846*$F$1),0),0)*RATES!$L823/12+$H$14*(PARAM!$D$51/12)*RATES!$N823/100</f>
        <v>1190.0416666666667</v>
      </c>
      <c r="AX847" s="16">
        <f t="shared" si="553"/>
        <v>-176957.29194099235</v>
      </c>
      <c r="AY847" s="15">
        <f t="shared" si="528"/>
        <v>22.170849845882874</v>
      </c>
      <c r="AZ847" s="75">
        <f>AY847*(1-PARAM!$C$27)*$I$15+(MOD($B847,60)=PARAM!$B$56)*($B847&gt;(60-PARAM!$B$56))*HLOOKUP(($B847+PARAM!$B$56)/12,Loyalty,2)*$F$1*MAX(BB846,0)</f>
        <v>18.557001321003963</v>
      </c>
      <c r="BA847" s="75">
        <f>PARAM!$C$26+MAX($G$15-CHOOSE(PARAM!$B$44,MAX(0,BB846*$F$1),0),0)*RATES!$L823/12+$H$15*(PARAM!$D$51/12)*RATES!$N823/100</f>
        <v>1190.0416666666667</v>
      </c>
      <c r="BB847" s="16">
        <f t="shared" si="554"/>
        <v>-176957.29194099235</v>
      </c>
      <c r="BC847" s="15">
        <f t="shared" si="529"/>
        <v>22.170849845882874</v>
      </c>
      <c r="BD847" s="75">
        <f>BC847*(1-PARAM!$C$27)*$I$16+(MOD($B847,60)=PARAM!$B$56)*($B847&gt;(60-PARAM!$B$56))*HLOOKUP(($B847+PARAM!$B$56)/12,Loyalty,2)*$F$1*MAX(BF846,0)</f>
        <v>18.557001321003963</v>
      </c>
      <c r="BE847" s="75">
        <f>PARAM!$C$26+MAX($G$16-CHOOSE(PARAM!$B$44,MAX(0,BF846*$F$1),0),0)*RATES!$L823/12+$H$16*(PARAM!$D$51/12)*RATES!$N823/100</f>
        <v>1190.0416666666667</v>
      </c>
      <c r="BF847" s="16">
        <f t="shared" si="555"/>
        <v>-176957.29194099235</v>
      </c>
      <c r="BG847" s="15">
        <f t="shared" si="530"/>
        <v>22.170849845882874</v>
      </c>
      <c r="BH847" s="75">
        <f>BG847*(1-PARAM!$C$27)*$I$17+(MOD($B847,60)=PARAM!$B$56)*($B847&gt;(60-PARAM!$B$56))*HLOOKUP(($B847+PARAM!$B$56)/12,Loyalty,2)*$F$1*MAX(BJ846,0)</f>
        <v>18.557001321003963</v>
      </c>
      <c r="BI847" s="75">
        <f>PARAM!$C$26+MAX($G$17-CHOOSE(PARAM!$B$44,MAX(0,BJ846*$F$1),0),0)*RATES!$L823/12+$H$17*(PARAM!$D$51/12)*RATES!$N823/100</f>
        <v>1190.0416666666667</v>
      </c>
      <c r="BJ847" s="16">
        <f t="shared" si="556"/>
        <v>-176957.29194099235</v>
      </c>
      <c r="BK847" s="15">
        <f t="shared" si="531"/>
        <v>22.170849845882874</v>
      </c>
      <c r="BL847" s="75">
        <f>BK847*(1-PARAM!$C$27)*$I$18+(MOD($B847,60)=PARAM!$B$56)*($B847&gt;(60-PARAM!$B$56))*HLOOKUP(($B847+PARAM!$B$56)/12,Loyalty,2)*$F$1*MAX(BN846,0)</f>
        <v>18.557001321003963</v>
      </c>
      <c r="BM847" s="75">
        <f>PARAM!$C$26+MAX($G$18-CHOOSE(PARAM!$B$44,MAX(0,BN846*$F$1),0),0)*RATES!$L823/12+$H$18*(PARAM!$D$51/12)*RATES!$N823/100</f>
        <v>1190.0416666666667</v>
      </c>
      <c r="BN847" s="16">
        <f t="shared" si="557"/>
        <v>-176957.29194099235</v>
      </c>
      <c r="BO847" s="15">
        <f t="shared" si="532"/>
        <v>22.170849845882874</v>
      </c>
      <c r="BP847" s="75">
        <f>BO847*(1-PARAM!$C$27)*$I$19+(MOD($B847,60)=PARAM!$B$56)*($B847&gt;(60-PARAM!$B$56))*HLOOKUP(($B847+PARAM!$B$56)/12,Loyalty,2)*$F$1*MAX(BR846,0)</f>
        <v>18.557001321003963</v>
      </c>
      <c r="BQ847" s="75">
        <f>PARAM!$C$26+MAX($G$19-CHOOSE(PARAM!$B$44,MAX(0,BR846*$F$1),0),0)*RATES!$L823/12+$H$19*(PARAM!$D$51/12)*RATES!$N823/100</f>
        <v>1190.0416666666667</v>
      </c>
      <c r="BR847" s="16">
        <f t="shared" si="558"/>
        <v>-176957.29194099235</v>
      </c>
      <c r="BS847" s="15">
        <f t="shared" si="533"/>
        <v>22.170849845882874</v>
      </c>
      <c r="BT847" s="75">
        <f>BS847*(1-PARAM!$C$27)*$I$20+(MOD($B847,60)=PARAM!$B$56)*($B847&gt;(60-PARAM!$B$56))*HLOOKUP(($B847+PARAM!$B$56)/12,Loyalty,2)*$F$1*MAX(BV846,0)</f>
        <v>18.557001321003963</v>
      </c>
      <c r="BU847" s="75">
        <f>PARAM!$C$26+MAX($G$20-CHOOSE(PARAM!$B$44,MAX(0,BV846*$F$1),0),0)*RATES!$L823/12+$H$20*(PARAM!$D$51/12)*RATES!$N823/100</f>
        <v>1190.0416666666667</v>
      </c>
      <c r="BV847" s="16">
        <f t="shared" si="559"/>
        <v>-176957.29194099235</v>
      </c>
      <c r="BW847" s="15">
        <f t="shared" si="534"/>
        <v>22.170849845882874</v>
      </c>
      <c r="BX847" s="75">
        <f>BW847*(1-PARAM!$C$27)*$I$21+(MOD($B847,60)=PARAM!$B$56)*($B847&gt;(60-PARAM!$B$56))*HLOOKUP(($B847+PARAM!$B$56)/12,Loyalty,2)*$F$1*MAX(BZ846,0)</f>
        <v>18.557001321003963</v>
      </c>
      <c r="BY847" s="75">
        <f>PARAM!$C$26+MAX($G$21-CHOOSE(PARAM!$B$44,MAX(0,BZ846*$F$1),0),0)*RATES!$L823/12+$H$21*(PARAM!$D$51/12)*RATES!$N823/100</f>
        <v>1190.0416666666667</v>
      </c>
      <c r="BZ847" s="16">
        <f t="shared" si="560"/>
        <v>-176957.29194099235</v>
      </c>
      <c r="CA847" s="15">
        <f t="shared" si="535"/>
        <v>22.170849845882874</v>
      </c>
      <c r="CB847" s="75">
        <f>CA847*(1-PARAM!$C$27)*$I$22+(MOD($B847,60)=PARAM!$B$56)*($B847&gt;(60-PARAM!$B$56))*HLOOKUP(($B847+PARAM!$B$56)/12,Loyalty,2)*$F$1*MAX(CD846,0)</f>
        <v>18.557001321003963</v>
      </c>
      <c r="CC847" s="75">
        <f>PARAM!$C$26+MAX($G$22-CHOOSE(PARAM!$B$44,MAX(0,CD846*$F$1),0),0)*RATES!$L823/12+$H$22*(PARAM!$D$51/12)*RATES!$N823/100</f>
        <v>1190.0416666666667</v>
      </c>
      <c r="CD847" s="16">
        <f t="shared" si="561"/>
        <v>-176957.29194099235</v>
      </c>
      <c r="CE847" s="33">
        <f>IF(0=MOD(B847,12/PARAM!$D$51),1,0)</f>
        <v>1</v>
      </c>
      <c r="CF847" s="15">
        <f t="shared" si="536"/>
        <v>0</v>
      </c>
      <c r="CG847" s="75">
        <f>CF847*(1-PARAM!$C$27)*$R$3+(MOD($B847/12,5)=0)*($B847&gt;60)*HLOOKUP($B847/12,Loyalty,2)*$F$1*MAX(CI846,0)</f>
        <v>0</v>
      </c>
      <c r="CH847" s="75">
        <f>PARAM!$C$26+MAX($P$3-CHOOSE(PARAM!$B$44,MAX(0,CI846*$F$1),0),0)*RATES!$L823/12+$Q$3*(PARAM!$D$51/12)*RATES!$N823/100</f>
        <v>1190.0416666666667</v>
      </c>
      <c r="CI847" s="16">
        <f>IF(CI846&gt;0,CI846*PARAM!$C$53,CI846)+CG847-CH847</f>
        <v>-192054.45833333352</v>
      </c>
      <c r="CJ847" s="15">
        <f t="shared" si="562"/>
        <v>0</v>
      </c>
      <c r="CK847" s="75">
        <f>CJ847*(1-PARAM!$C$27)*$R$4+(MOD($B847/12,5)=0)*($B847&gt;60)*HLOOKUP($B847/12,Loyalty,2)*$F$1*MAX(CM846,0)</f>
        <v>0</v>
      </c>
      <c r="CL847" s="75">
        <f>PARAM!$C$26+MAX($P$4-CHOOSE(PARAM!$B$44,MAX(0,CM846*$F$1),0),0)*RATES!$L823/12+$Q$4*(PARAM!$D$51/12)*RATES!$N823/100</f>
        <v>1190.0416666666667</v>
      </c>
      <c r="CM847" s="16">
        <f>IF(CM846&gt;0,CM846*PARAM!$C$53,CM846)+CK847-CL847</f>
        <v>-192054.45833333352</v>
      </c>
      <c r="CO847" s="176"/>
    </row>
    <row r="848" spans="1:93" x14ac:dyDescent="0.2">
      <c r="A848" t="b">
        <f t="shared" si="537"/>
        <v>0</v>
      </c>
      <c r="B848" s="33">
        <v>821</v>
      </c>
      <c r="C848" s="15">
        <f t="shared" si="538"/>
        <v>20.081305947392778</v>
      </c>
      <c r="D848" s="75">
        <f>C848*(1-PARAM!$C$27)*$I$3+(MOD($B848,60)=PARAM!$B$56)*($B848&gt;(60-PARAM!$B$56))*HLOOKUP(($B848+PARAM!$B$56)/12,Loyalty,2)*$F$1*MAX(F847,0)</f>
        <v>16.808053077967756</v>
      </c>
      <c r="E848" s="75">
        <f>PARAM!$C$26+MAX($G$3-CHOOSE(PARAM!$B$44,MAX(0,F847*$F$1),0),0)*RATES!$L824/12+$H$3*(PARAM!$D$51/12)*RATES!$N824/100</f>
        <v>1190.0416666666667</v>
      </c>
      <c r="F848" s="16">
        <f t="shared" si="539"/>
        <v>-179601.51361439255</v>
      </c>
      <c r="G848" s="15">
        <f t="shared" si="540"/>
        <v>22.035289406060361</v>
      </c>
      <c r="H848" s="75">
        <f>G848*(1-PARAM!$C$27)*$I$4+(MOD($B848,60)=PARAM!$B$56)*($B848&gt;(60-PARAM!$B$56))*HLOOKUP(($B848+PARAM!$B$56)/12,Loyalty,2)*$F$1*MAX(J847,0)</f>
        <v>18.443537232872522</v>
      </c>
      <c r="I848" s="75">
        <f>PARAM!$C$26+MAX($G$4-CHOOSE(PARAM!$B$44,MAX(0,J847*$F$1),0),0)*RATES!$L824/12+$H$4*(PARAM!$D$51/12)*RATES!$N824/100</f>
        <v>1190.0416666666667</v>
      </c>
      <c r="J848" s="16">
        <f t="shared" si="541"/>
        <v>-178224.94815909342</v>
      </c>
      <c r="K848" s="15">
        <f t="shared" si="542"/>
        <v>22.170849845882874</v>
      </c>
      <c r="L848" s="75">
        <f>K848*(1-PARAM!$C$27)*$I$5+(MOD($B848,60)=PARAM!$B$56)*($B848&gt;(60-PARAM!$B$56))*HLOOKUP(($B848+PARAM!$B$56)/12,Loyalty,2)*$F$1*MAX(N847,0)</f>
        <v>18.557001321003963</v>
      </c>
      <c r="M848" s="75">
        <f>PARAM!$C$26+MAX($G$5-CHOOSE(PARAM!$B$44,MAX(0,N847*$F$1),0),0)*RATES!$L824/12+$H$5*(PARAM!$D$51/12)*RATES!$N824/100</f>
        <v>1190.0416666666667</v>
      </c>
      <c r="N848" s="16">
        <f t="shared" si="543"/>
        <v>-178128.77660633801</v>
      </c>
      <c r="O848" s="15">
        <f t="shared" si="544"/>
        <v>22.170849845882874</v>
      </c>
      <c r="P848" s="75">
        <f>O848*(1-PARAM!$C$27)*$I$6+(MOD($B848,60)=PARAM!$B$56)*($B848&gt;(60-PARAM!$B$56))*HLOOKUP(($B848+PARAM!$B$56)/12,Loyalty,2)*$F$1*MAX(R847,0)</f>
        <v>18.557001321003963</v>
      </c>
      <c r="Q848" s="75">
        <f>PARAM!$C$26+MAX($G$6-CHOOSE(PARAM!$B$44,MAX(0,R847*$F$1),0),0)*RATES!$L824/12+$H$6*(PARAM!$D$51/12)*RATES!$N824/100</f>
        <v>1190.0416666666667</v>
      </c>
      <c r="R848" s="16">
        <f t="shared" si="545"/>
        <v>-178128.77660633801</v>
      </c>
      <c r="S848" s="15">
        <f t="shared" si="520"/>
        <v>22.170849845882874</v>
      </c>
      <c r="T848" s="75">
        <f>S848*(1-PARAM!$C$27)*$I$7+(MOD($B848,60)=PARAM!$B$56)*($B848&gt;(60-PARAM!$B$56))*HLOOKUP(($B848+PARAM!$B$56)/12,Loyalty,2)*$F$1*MAX(V847,0)</f>
        <v>18.557001321003963</v>
      </c>
      <c r="U848" s="75">
        <f>PARAM!$C$26+MAX($G$7-CHOOSE(PARAM!$B$44,MAX(0,V847*$F$1),0),0)*RATES!$L824/12+$H$7*(PARAM!$D$51/12)*RATES!$N824/100</f>
        <v>1190.0416666666667</v>
      </c>
      <c r="V848" s="16">
        <f t="shared" si="546"/>
        <v>-178128.77660633801</v>
      </c>
      <c r="W848" s="15">
        <f t="shared" si="521"/>
        <v>22.170849845882874</v>
      </c>
      <c r="X848" s="75">
        <f>W848*(1-PARAM!$C$27)*$I$8+(MOD($B848,60)=PARAM!$B$56)*($B848&gt;(60-PARAM!$B$56))*HLOOKUP(($B848+PARAM!$B$56)/12,Loyalty,2)*$F$1*MAX(Z847,0)</f>
        <v>18.557001321003963</v>
      </c>
      <c r="Y848" s="75">
        <f>PARAM!$C$26+MAX($G$8-CHOOSE(PARAM!$B$44,MAX(0,Z847*$F$1),0),0)*RATES!$L824/12+$H$8*(PARAM!$D$51/12)*RATES!$N824/100</f>
        <v>1190.0416666666667</v>
      </c>
      <c r="Z848" s="16">
        <f t="shared" si="547"/>
        <v>-178128.77660633801</v>
      </c>
      <c r="AA848" s="15">
        <f t="shared" si="522"/>
        <v>22.170849845882874</v>
      </c>
      <c r="AB848" s="75">
        <f>AA848*(1-PARAM!$C$27)*$I$9+(MOD($B848,60)=PARAM!$B$56)*($B848&gt;(60-PARAM!$B$56))*HLOOKUP(($B848+PARAM!$B$56)/12,Loyalty,2)*$F$1*MAX(AD847,0)</f>
        <v>18.557001321003963</v>
      </c>
      <c r="AC848" s="75">
        <f>PARAM!$C$26+MAX($G$9-CHOOSE(PARAM!$B$44,MAX(0,AD847*$F$1),0),0)*RATES!$L824/12+$H$9*(PARAM!$D$51/12)*RATES!$N824/100</f>
        <v>1190.0416666666667</v>
      </c>
      <c r="AD848" s="16">
        <f t="shared" si="548"/>
        <v>-178128.77660633801</v>
      </c>
      <c r="AE848" s="15">
        <f t="shared" si="523"/>
        <v>22.170849845882874</v>
      </c>
      <c r="AF848" s="75">
        <f>AE848*(1-PARAM!$C$27)*$I$10+(MOD($B848,60)=PARAM!$B$56)*($B848&gt;(60-PARAM!$B$56))*HLOOKUP(($B848+PARAM!$B$56)/12,Loyalty,2)*$F$1*MAX(AH847,0)</f>
        <v>18.557001321003963</v>
      </c>
      <c r="AG848" s="75">
        <f>PARAM!$C$26+MAX($G$10-CHOOSE(PARAM!$B$44,MAX(0,AH847*$F$1),0),0)*RATES!$L824/12+$H$10*(PARAM!$D$51/12)*RATES!$N824/100</f>
        <v>1190.0416666666667</v>
      </c>
      <c r="AH848" s="16">
        <f t="shared" si="549"/>
        <v>-178128.77660633801</v>
      </c>
      <c r="AI848" s="15">
        <f t="shared" si="524"/>
        <v>22.170849845882874</v>
      </c>
      <c r="AJ848" s="75">
        <f>AI848*(1-PARAM!$C$27)*$I$11+(MOD($B848,60)=PARAM!$B$56)*($B848&gt;(60-PARAM!$B$56))*HLOOKUP(($B848+PARAM!$B$56)/12,Loyalty,2)*$F$1*MAX(AL847,0)</f>
        <v>18.557001321003963</v>
      </c>
      <c r="AK848" s="75">
        <f>PARAM!$C$26+MAX($G$11-CHOOSE(PARAM!$B$44,MAX(0,AL847*$F$1),0),0)*RATES!$L824/12+$H$11*(PARAM!$D$51/12)*RATES!$N824/100</f>
        <v>1190.0416666666667</v>
      </c>
      <c r="AL848" s="16">
        <f t="shared" si="550"/>
        <v>-178128.77660633801</v>
      </c>
      <c r="AM848" s="15">
        <f t="shared" si="525"/>
        <v>22.170849845882874</v>
      </c>
      <c r="AN848" s="75">
        <f>AM848*(1-PARAM!$C$27)*$I$12+(MOD($B848,60)=PARAM!$B$56)*($B848&gt;(60-PARAM!$B$56))*HLOOKUP(($B848+PARAM!$B$56)/12,Loyalty,2)*$F$1*MAX(AP847,0)</f>
        <v>18.557001321003963</v>
      </c>
      <c r="AO848" s="75">
        <f>PARAM!$C$26+MAX($G$12-CHOOSE(PARAM!$B$44,MAX(0,AP847*$F$1),0),0)*RATES!$L824/12+$H$12*(PARAM!$D$51/12)*RATES!$N824/100</f>
        <v>1190.0416666666667</v>
      </c>
      <c r="AP848" s="16">
        <f t="shared" si="551"/>
        <v>-178128.77660633801</v>
      </c>
      <c r="AQ848" s="15">
        <f t="shared" si="526"/>
        <v>22.170849845882874</v>
      </c>
      <c r="AR848" s="75">
        <f>AQ848*(1-PARAM!$C$27)*$I$13+(MOD($B848,60)=PARAM!$B$56)*($B848&gt;(60-PARAM!$B$56))*HLOOKUP(($B848+PARAM!$B$56)/12,Loyalty,2)*$F$1*MAX(AT847,0)</f>
        <v>18.557001321003963</v>
      </c>
      <c r="AS848" s="75">
        <f>PARAM!$C$26+MAX($G$13-CHOOSE(PARAM!$B$44,MAX(0,AT847*$F$1),0),0)*RATES!$L824/12+$H$13*(PARAM!$D$51/12)*RATES!$N824/100</f>
        <v>1190.0416666666667</v>
      </c>
      <c r="AT848" s="16">
        <f t="shared" si="552"/>
        <v>-178128.77660633801</v>
      </c>
      <c r="AU848" s="15">
        <f t="shared" si="527"/>
        <v>22.170849845882874</v>
      </c>
      <c r="AV848" s="75">
        <f>AU848*(1-PARAM!$C$27)*$I$14+(MOD($B848,60)=PARAM!$B$56)*($B848&gt;(60-PARAM!$B$56))*HLOOKUP(($B848+PARAM!$B$56)/12,Loyalty,2)*$F$1*MAX(AX847,0)</f>
        <v>18.557001321003963</v>
      </c>
      <c r="AW848" s="75">
        <f>PARAM!$C$26+MAX($G$14-CHOOSE(PARAM!$B$44,MAX(0,AX847*$F$1),0),0)*RATES!$L824/12+$H$14*(PARAM!$D$51/12)*RATES!$N824/100</f>
        <v>1190.0416666666667</v>
      </c>
      <c r="AX848" s="16">
        <f t="shared" si="553"/>
        <v>-178128.77660633801</v>
      </c>
      <c r="AY848" s="15">
        <f t="shared" si="528"/>
        <v>22.170849845882874</v>
      </c>
      <c r="AZ848" s="75">
        <f>AY848*(1-PARAM!$C$27)*$I$15+(MOD($B848,60)=PARAM!$B$56)*($B848&gt;(60-PARAM!$B$56))*HLOOKUP(($B848+PARAM!$B$56)/12,Loyalty,2)*$F$1*MAX(BB847,0)</f>
        <v>18.557001321003963</v>
      </c>
      <c r="BA848" s="75">
        <f>PARAM!$C$26+MAX($G$15-CHOOSE(PARAM!$B$44,MAX(0,BB847*$F$1),0),0)*RATES!$L824/12+$H$15*(PARAM!$D$51/12)*RATES!$N824/100</f>
        <v>1190.0416666666667</v>
      </c>
      <c r="BB848" s="16">
        <f t="shared" si="554"/>
        <v>-178128.77660633801</v>
      </c>
      <c r="BC848" s="15">
        <f t="shared" si="529"/>
        <v>22.170849845882874</v>
      </c>
      <c r="BD848" s="75">
        <f>BC848*(1-PARAM!$C$27)*$I$16+(MOD($B848,60)=PARAM!$B$56)*($B848&gt;(60-PARAM!$B$56))*HLOOKUP(($B848+PARAM!$B$56)/12,Loyalty,2)*$F$1*MAX(BF847,0)</f>
        <v>18.557001321003963</v>
      </c>
      <c r="BE848" s="75">
        <f>PARAM!$C$26+MAX($G$16-CHOOSE(PARAM!$B$44,MAX(0,BF847*$F$1),0),0)*RATES!$L824/12+$H$16*(PARAM!$D$51/12)*RATES!$N824/100</f>
        <v>1190.0416666666667</v>
      </c>
      <c r="BF848" s="16">
        <f t="shared" si="555"/>
        <v>-178128.77660633801</v>
      </c>
      <c r="BG848" s="15">
        <f t="shared" si="530"/>
        <v>22.170849845882874</v>
      </c>
      <c r="BH848" s="75">
        <f>BG848*(1-PARAM!$C$27)*$I$17+(MOD($B848,60)=PARAM!$B$56)*($B848&gt;(60-PARAM!$B$56))*HLOOKUP(($B848+PARAM!$B$56)/12,Loyalty,2)*$F$1*MAX(BJ847,0)</f>
        <v>18.557001321003963</v>
      </c>
      <c r="BI848" s="75">
        <f>PARAM!$C$26+MAX($G$17-CHOOSE(PARAM!$B$44,MAX(0,BJ847*$F$1),0),0)*RATES!$L824/12+$H$17*(PARAM!$D$51/12)*RATES!$N824/100</f>
        <v>1190.0416666666667</v>
      </c>
      <c r="BJ848" s="16">
        <f t="shared" si="556"/>
        <v>-178128.77660633801</v>
      </c>
      <c r="BK848" s="15">
        <f t="shared" si="531"/>
        <v>22.170849845882874</v>
      </c>
      <c r="BL848" s="75">
        <f>BK848*(1-PARAM!$C$27)*$I$18+(MOD($B848,60)=PARAM!$B$56)*($B848&gt;(60-PARAM!$B$56))*HLOOKUP(($B848+PARAM!$B$56)/12,Loyalty,2)*$F$1*MAX(BN847,0)</f>
        <v>18.557001321003963</v>
      </c>
      <c r="BM848" s="75">
        <f>PARAM!$C$26+MAX($G$18-CHOOSE(PARAM!$B$44,MAX(0,BN847*$F$1),0),0)*RATES!$L824/12+$H$18*(PARAM!$D$51/12)*RATES!$N824/100</f>
        <v>1190.0416666666667</v>
      </c>
      <c r="BN848" s="16">
        <f t="shared" si="557"/>
        <v>-178128.77660633801</v>
      </c>
      <c r="BO848" s="15">
        <f t="shared" si="532"/>
        <v>22.170849845882874</v>
      </c>
      <c r="BP848" s="75">
        <f>BO848*(1-PARAM!$C$27)*$I$19+(MOD($B848,60)=PARAM!$B$56)*($B848&gt;(60-PARAM!$B$56))*HLOOKUP(($B848+PARAM!$B$56)/12,Loyalty,2)*$F$1*MAX(BR847,0)</f>
        <v>18.557001321003963</v>
      </c>
      <c r="BQ848" s="75">
        <f>PARAM!$C$26+MAX($G$19-CHOOSE(PARAM!$B$44,MAX(0,BR847*$F$1),0),0)*RATES!$L824/12+$H$19*(PARAM!$D$51/12)*RATES!$N824/100</f>
        <v>1190.0416666666667</v>
      </c>
      <c r="BR848" s="16">
        <f t="shared" si="558"/>
        <v>-178128.77660633801</v>
      </c>
      <c r="BS848" s="15">
        <f t="shared" si="533"/>
        <v>22.170849845882874</v>
      </c>
      <c r="BT848" s="75">
        <f>BS848*(1-PARAM!$C$27)*$I$20+(MOD($B848,60)=PARAM!$B$56)*($B848&gt;(60-PARAM!$B$56))*HLOOKUP(($B848+PARAM!$B$56)/12,Loyalty,2)*$F$1*MAX(BV847,0)</f>
        <v>18.557001321003963</v>
      </c>
      <c r="BU848" s="75">
        <f>PARAM!$C$26+MAX($G$20-CHOOSE(PARAM!$B$44,MAX(0,BV847*$F$1),0),0)*RATES!$L824/12+$H$20*(PARAM!$D$51/12)*RATES!$N824/100</f>
        <v>1190.0416666666667</v>
      </c>
      <c r="BV848" s="16">
        <f t="shared" si="559"/>
        <v>-178128.77660633801</v>
      </c>
      <c r="BW848" s="15">
        <f t="shared" si="534"/>
        <v>22.170849845882874</v>
      </c>
      <c r="BX848" s="75">
        <f>BW848*(1-PARAM!$C$27)*$I$21+(MOD($B848,60)=PARAM!$B$56)*($B848&gt;(60-PARAM!$B$56))*HLOOKUP(($B848+PARAM!$B$56)/12,Loyalty,2)*$F$1*MAX(BZ847,0)</f>
        <v>18.557001321003963</v>
      </c>
      <c r="BY848" s="75">
        <f>PARAM!$C$26+MAX($G$21-CHOOSE(PARAM!$B$44,MAX(0,BZ847*$F$1),0),0)*RATES!$L824/12+$H$21*(PARAM!$D$51/12)*RATES!$N824/100</f>
        <v>1190.0416666666667</v>
      </c>
      <c r="BZ848" s="16">
        <f t="shared" si="560"/>
        <v>-178128.77660633801</v>
      </c>
      <c r="CA848" s="15">
        <f t="shared" si="535"/>
        <v>22.170849845882874</v>
      </c>
      <c r="CB848" s="75">
        <f>CA848*(1-PARAM!$C$27)*$I$22+(MOD($B848,60)=PARAM!$B$56)*($B848&gt;(60-PARAM!$B$56))*HLOOKUP(($B848+PARAM!$B$56)/12,Loyalty,2)*$F$1*MAX(CD847,0)</f>
        <v>18.557001321003963</v>
      </c>
      <c r="CC848" s="75">
        <f>PARAM!$C$26+MAX($G$22-CHOOSE(PARAM!$B$44,MAX(0,CD847*$F$1),0),0)*RATES!$L824/12+$H$22*(PARAM!$D$51/12)*RATES!$N824/100</f>
        <v>1190.0416666666667</v>
      </c>
      <c r="CD848" s="16">
        <f t="shared" si="561"/>
        <v>-178128.77660633801</v>
      </c>
      <c r="CE848" s="33">
        <f>IF(0=MOD(B848,12/PARAM!$D$51),1,0)</f>
        <v>1</v>
      </c>
      <c r="CF848" s="15">
        <f t="shared" si="536"/>
        <v>0</v>
      </c>
      <c r="CG848" s="75">
        <f>CF848*(1-PARAM!$C$27)*$R$3+(MOD($B848/12,5)=0)*($B848&gt;60)*HLOOKUP($B848/12,Loyalty,2)*$F$1*MAX(CI847,0)</f>
        <v>0</v>
      </c>
      <c r="CH848" s="75">
        <f>PARAM!$C$26+MAX($P$3-CHOOSE(PARAM!$B$44,MAX(0,CI847*$F$1),0),0)*RATES!$L824/12+$Q$3*(PARAM!$D$51/12)*RATES!$N824/100</f>
        <v>1190.0416666666667</v>
      </c>
      <c r="CI848" s="16">
        <f>IF(CI847&gt;0,CI847*PARAM!$C$53,CI847)+CG848-CH848</f>
        <v>-193244.50000000017</v>
      </c>
      <c r="CJ848" s="15">
        <f t="shared" si="562"/>
        <v>0</v>
      </c>
      <c r="CK848" s="75">
        <f>CJ848*(1-PARAM!$C$27)*$R$4+(MOD($B848/12,5)=0)*($B848&gt;60)*HLOOKUP($B848/12,Loyalty,2)*$F$1*MAX(CM847,0)</f>
        <v>0</v>
      </c>
      <c r="CL848" s="75">
        <f>PARAM!$C$26+MAX($P$4-CHOOSE(PARAM!$B$44,MAX(0,CM847*$F$1),0),0)*RATES!$L824/12+$Q$4*(PARAM!$D$51/12)*RATES!$N824/100</f>
        <v>1190.0416666666667</v>
      </c>
      <c r="CM848" s="16">
        <f>IF(CM847&gt;0,CM847*PARAM!$C$53,CM847)+CK848-CL848</f>
        <v>-193244.50000000017</v>
      </c>
      <c r="CO848" s="176"/>
    </row>
    <row r="849" spans="1:93" x14ac:dyDescent="0.2">
      <c r="A849" t="b">
        <f t="shared" si="537"/>
        <v>0</v>
      </c>
      <c r="B849" s="33">
        <v>822</v>
      </c>
      <c r="C849" s="15">
        <f t="shared" si="538"/>
        <v>20.081305947392778</v>
      </c>
      <c r="D849" s="75">
        <f>C849*(1-PARAM!$C$27)*$I$3+(MOD($B849,60)=PARAM!$B$56)*($B849&gt;(60-PARAM!$B$56))*HLOOKUP(($B849+PARAM!$B$56)/12,Loyalty,2)*$F$1*MAX(F848,0)</f>
        <v>16.808053077967756</v>
      </c>
      <c r="E849" s="75">
        <f>PARAM!$C$26+MAX($G$3-CHOOSE(PARAM!$B$44,MAX(0,F848*$F$1),0),0)*RATES!$L825/12+$H$3*(PARAM!$D$51/12)*RATES!$N825/100</f>
        <v>1190.0416666666667</v>
      </c>
      <c r="F849" s="16">
        <f t="shared" si="539"/>
        <v>-180774.74722798125</v>
      </c>
      <c r="G849" s="15">
        <f t="shared" si="540"/>
        <v>22.035289406060361</v>
      </c>
      <c r="H849" s="75">
        <f>G849*(1-PARAM!$C$27)*$I$4+(MOD($B849,60)=PARAM!$B$56)*($B849&gt;(60-PARAM!$B$56))*HLOOKUP(($B849+PARAM!$B$56)/12,Loyalty,2)*$F$1*MAX(J848,0)</f>
        <v>18.443537232872522</v>
      </c>
      <c r="I849" s="75">
        <f>PARAM!$C$26+MAX($G$4-CHOOSE(PARAM!$B$44,MAX(0,J848*$F$1),0),0)*RATES!$L825/12+$H$4*(PARAM!$D$51/12)*RATES!$N825/100</f>
        <v>1190.0416666666667</v>
      </c>
      <c r="J849" s="16">
        <f t="shared" si="541"/>
        <v>-179396.5462885272</v>
      </c>
      <c r="K849" s="15">
        <f t="shared" si="542"/>
        <v>22.170849845882874</v>
      </c>
      <c r="L849" s="75">
        <f>K849*(1-PARAM!$C$27)*$I$5+(MOD($B849,60)=PARAM!$B$56)*($B849&gt;(60-PARAM!$B$56))*HLOOKUP(($B849+PARAM!$B$56)/12,Loyalty,2)*$F$1*MAX(N848,0)</f>
        <v>18.557001321003963</v>
      </c>
      <c r="M849" s="75">
        <f>PARAM!$C$26+MAX($G$5-CHOOSE(PARAM!$B$44,MAX(0,N848*$F$1),0),0)*RATES!$L825/12+$H$5*(PARAM!$D$51/12)*RATES!$N825/100</f>
        <v>1190.0416666666667</v>
      </c>
      <c r="N849" s="16">
        <f t="shared" si="543"/>
        <v>-179300.26127168367</v>
      </c>
      <c r="O849" s="15">
        <f t="shared" si="544"/>
        <v>22.170849845882874</v>
      </c>
      <c r="P849" s="75">
        <f>O849*(1-PARAM!$C$27)*$I$6+(MOD($B849,60)=PARAM!$B$56)*($B849&gt;(60-PARAM!$B$56))*HLOOKUP(($B849+PARAM!$B$56)/12,Loyalty,2)*$F$1*MAX(R848,0)</f>
        <v>18.557001321003963</v>
      </c>
      <c r="Q849" s="75">
        <f>PARAM!$C$26+MAX($G$6-CHOOSE(PARAM!$B$44,MAX(0,R848*$F$1),0),0)*RATES!$L825/12+$H$6*(PARAM!$D$51/12)*RATES!$N825/100</f>
        <v>1190.0416666666667</v>
      </c>
      <c r="R849" s="16">
        <f t="shared" si="545"/>
        <v>-179300.26127168367</v>
      </c>
      <c r="S849" s="15">
        <f t="shared" si="520"/>
        <v>22.170849845882874</v>
      </c>
      <c r="T849" s="75">
        <f>S849*(1-PARAM!$C$27)*$I$7+(MOD($B849,60)=PARAM!$B$56)*($B849&gt;(60-PARAM!$B$56))*HLOOKUP(($B849+PARAM!$B$56)/12,Loyalty,2)*$F$1*MAX(V848,0)</f>
        <v>18.557001321003963</v>
      </c>
      <c r="U849" s="75">
        <f>PARAM!$C$26+MAX($G$7-CHOOSE(PARAM!$B$44,MAX(0,V848*$F$1),0),0)*RATES!$L825/12+$H$7*(PARAM!$D$51/12)*RATES!$N825/100</f>
        <v>1190.0416666666667</v>
      </c>
      <c r="V849" s="16">
        <f t="shared" si="546"/>
        <v>-179300.26127168367</v>
      </c>
      <c r="W849" s="15">
        <f t="shared" si="521"/>
        <v>22.170849845882874</v>
      </c>
      <c r="X849" s="75">
        <f>W849*(1-PARAM!$C$27)*$I$8+(MOD($B849,60)=PARAM!$B$56)*($B849&gt;(60-PARAM!$B$56))*HLOOKUP(($B849+PARAM!$B$56)/12,Loyalty,2)*$F$1*MAX(Z848,0)</f>
        <v>18.557001321003963</v>
      </c>
      <c r="Y849" s="75">
        <f>PARAM!$C$26+MAX($G$8-CHOOSE(PARAM!$B$44,MAX(0,Z848*$F$1),0),0)*RATES!$L825/12+$H$8*(PARAM!$D$51/12)*RATES!$N825/100</f>
        <v>1190.0416666666667</v>
      </c>
      <c r="Z849" s="16">
        <f t="shared" si="547"/>
        <v>-179300.26127168367</v>
      </c>
      <c r="AA849" s="15">
        <f t="shared" si="522"/>
        <v>22.170849845882874</v>
      </c>
      <c r="AB849" s="75">
        <f>AA849*(1-PARAM!$C$27)*$I$9+(MOD($B849,60)=PARAM!$B$56)*($B849&gt;(60-PARAM!$B$56))*HLOOKUP(($B849+PARAM!$B$56)/12,Loyalty,2)*$F$1*MAX(AD848,0)</f>
        <v>18.557001321003963</v>
      </c>
      <c r="AC849" s="75">
        <f>PARAM!$C$26+MAX($G$9-CHOOSE(PARAM!$B$44,MAX(0,AD848*$F$1),0),0)*RATES!$L825/12+$H$9*(PARAM!$D$51/12)*RATES!$N825/100</f>
        <v>1190.0416666666667</v>
      </c>
      <c r="AD849" s="16">
        <f t="shared" si="548"/>
        <v>-179300.26127168367</v>
      </c>
      <c r="AE849" s="15">
        <f t="shared" si="523"/>
        <v>22.170849845882874</v>
      </c>
      <c r="AF849" s="75">
        <f>AE849*(1-PARAM!$C$27)*$I$10+(MOD($B849,60)=PARAM!$B$56)*($B849&gt;(60-PARAM!$B$56))*HLOOKUP(($B849+PARAM!$B$56)/12,Loyalty,2)*$F$1*MAX(AH848,0)</f>
        <v>18.557001321003963</v>
      </c>
      <c r="AG849" s="75">
        <f>PARAM!$C$26+MAX($G$10-CHOOSE(PARAM!$B$44,MAX(0,AH848*$F$1),0),0)*RATES!$L825/12+$H$10*(PARAM!$D$51/12)*RATES!$N825/100</f>
        <v>1190.0416666666667</v>
      </c>
      <c r="AH849" s="16">
        <f t="shared" si="549"/>
        <v>-179300.26127168367</v>
      </c>
      <c r="AI849" s="15">
        <f t="shared" si="524"/>
        <v>22.170849845882874</v>
      </c>
      <c r="AJ849" s="75">
        <f>AI849*(1-PARAM!$C$27)*$I$11+(MOD($B849,60)=PARAM!$B$56)*($B849&gt;(60-PARAM!$B$56))*HLOOKUP(($B849+PARAM!$B$56)/12,Loyalty,2)*$F$1*MAX(AL848,0)</f>
        <v>18.557001321003963</v>
      </c>
      <c r="AK849" s="75">
        <f>PARAM!$C$26+MAX($G$11-CHOOSE(PARAM!$B$44,MAX(0,AL848*$F$1),0),0)*RATES!$L825/12+$H$11*(PARAM!$D$51/12)*RATES!$N825/100</f>
        <v>1190.0416666666667</v>
      </c>
      <c r="AL849" s="16">
        <f t="shared" si="550"/>
        <v>-179300.26127168367</v>
      </c>
      <c r="AM849" s="15">
        <f t="shared" si="525"/>
        <v>22.170849845882874</v>
      </c>
      <c r="AN849" s="75">
        <f>AM849*(1-PARAM!$C$27)*$I$12+(MOD($B849,60)=PARAM!$B$56)*($B849&gt;(60-PARAM!$B$56))*HLOOKUP(($B849+PARAM!$B$56)/12,Loyalty,2)*$F$1*MAX(AP848,0)</f>
        <v>18.557001321003963</v>
      </c>
      <c r="AO849" s="75">
        <f>PARAM!$C$26+MAX($G$12-CHOOSE(PARAM!$B$44,MAX(0,AP848*$F$1),0),0)*RATES!$L825/12+$H$12*(PARAM!$D$51/12)*RATES!$N825/100</f>
        <v>1190.0416666666667</v>
      </c>
      <c r="AP849" s="16">
        <f t="shared" si="551"/>
        <v>-179300.26127168367</v>
      </c>
      <c r="AQ849" s="15">
        <f t="shared" si="526"/>
        <v>22.170849845882874</v>
      </c>
      <c r="AR849" s="75">
        <f>AQ849*(1-PARAM!$C$27)*$I$13+(MOD($B849,60)=PARAM!$B$56)*($B849&gt;(60-PARAM!$B$56))*HLOOKUP(($B849+PARAM!$B$56)/12,Loyalty,2)*$F$1*MAX(AT848,0)</f>
        <v>18.557001321003963</v>
      </c>
      <c r="AS849" s="75">
        <f>PARAM!$C$26+MAX($G$13-CHOOSE(PARAM!$B$44,MAX(0,AT848*$F$1),0),0)*RATES!$L825/12+$H$13*(PARAM!$D$51/12)*RATES!$N825/100</f>
        <v>1190.0416666666667</v>
      </c>
      <c r="AT849" s="16">
        <f t="shared" si="552"/>
        <v>-179300.26127168367</v>
      </c>
      <c r="AU849" s="15">
        <f t="shared" si="527"/>
        <v>22.170849845882874</v>
      </c>
      <c r="AV849" s="75">
        <f>AU849*(1-PARAM!$C$27)*$I$14+(MOD($B849,60)=PARAM!$B$56)*($B849&gt;(60-PARAM!$B$56))*HLOOKUP(($B849+PARAM!$B$56)/12,Loyalty,2)*$F$1*MAX(AX848,0)</f>
        <v>18.557001321003963</v>
      </c>
      <c r="AW849" s="75">
        <f>PARAM!$C$26+MAX($G$14-CHOOSE(PARAM!$B$44,MAX(0,AX848*$F$1),0),0)*RATES!$L825/12+$H$14*(PARAM!$D$51/12)*RATES!$N825/100</f>
        <v>1190.0416666666667</v>
      </c>
      <c r="AX849" s="16">
        <f t="shared" si="553"/>
        <v>-179300.26127168367</v>
      </c>
      <c r="AY849" s="15">
        <f t="shared" si="528"/>
        <v>22.170849845882874</v>
      </c>
      <c r="AZ849" s="75">
        <f>AY849*(1-PARAM!$C$27)*$I$15+(MOD($B849,60)=PARAM!$B$56)*($B849&gt;(60-PARAM!$B$56))*HLOOKUP(($B849+PARAM!$B$56)/12,Loyalty,2)*$F$1*MAX(BB848,0)</f>
        <v>18.557001321003963</v>
      </c>
      <c r="BA849" s="75">
        <f>PARAM!$C$26+MAX($G$15-CHOOSE(PARAM!$B$44,MAX(0,BB848*$F$1),0),0)*RATES!$L825/12+$H$15*(PARAM!$D$51/12)*RATES!$N825/100</f>
        <v>1190.0416666666667</v>
      </c>
      <c r="BB849" s="16">
        <f t="shared" si="554"/>
        <v>-179300.26127168367</v>
      </c>
      <c r="BC849" s="15">
        <f t="shared" si="529"/>
        <v>22.170849845882874</v>
      </c>
      <c r="BD849" s="75">
        <f>BC849*(1-PARAM!$C$27)*$I$16+(MOD($B849,60)=PARAM!$B$56)*($B849&gt;(60-PARAM!$B$56))*HLOOKUP(($B849+PARAM!$B$56)/12,Loyalty,2)*$F$1*MAX(BF848,0)</f>
        <v>18.557001321003963</v>
      </c>
      <c r="BE849" s="75">
        <f>PARAM!$C$26+MAX($G$16-CHOOSE(PARAM!$B$44,MAX(0,BF848*$F$1),0),0)*RATES!$L825/12+$H$16*(PARAM!$D$51/12)*RATES!$N825/100</f>
        <v>1190.0416666666667</v>
      </c>
      <c r="BF849" s="16">
        <f t="shared" si="555"/>
        <v>-179300.26127168367</v>
      </c>
      <c r="BG849" s="15">
        <f t="shared" si="530"/>
        <v>22.170849845882874</v>
      </c>
      <c r="BH849" s="75">
        <f>BG849*(1-PARAM!$C$27)*$I$17+(MOD($B849,60)=PARAM!$B$56)*($B849&gt;(60-PARAM!$B$56))*HLOOKUP(($B849+PARAM!$B$56)/12,Loyalty,2)*$F$1*MAX(BJ848,0)</f>
        <v>18.557001321003963</v>
      </c>
      <c r="BI849" s="75">
        <f>PARAM!$C$26+MAX($G$17-CHOOSE(PARAM!$B$44,MAX(0,BJ848*$F$1),0),0)*RATES!$L825/12+$H$17*(PARAM!$D$51/12)*RATES!$N825/100</f>
        <v>1190.0416666666667</v>
      </c>
      <c r="BJ849" s="16">
        <f t="shared" si="556"/>
        <v>-179300.26127168367</v>
      </c>
      <c r="BK849" s="15">
        <f t="shared" si="531"/>
        <v>22.170849845882874</v>
      </c>
      <c r="BL849" s="75">
        <f>BK849*(1-PARAM!$C$27)*$I$18+(MOD($B849,60)=PARAM!$B$56)*($B849&gt;(60-PARAM!$B$56))*HLOOKUP(($B849+PARAM!$B$56)/12,Loyalty,2)*$F$1*MAX(BN848,0)</f>
        <v>18.557001321003963</v>
      </c>
      <c r="BM849" s="75">
        <f>PARAM!$C$26+MAX($G$18-CHOOSE(PARAM!$B$44,MAX(0,BN848*$F$1),0),0)*RATES!$L825/12+$H$18*(PARAM!$D$51/12)*RATES!$N825/100</f>
        <v>1190.0416666666667</v>
      </c>
      <c r="BN849" s="16">
        <f t="shared" si="557"/>
        <v>-179300.26127168367</v>
      </c>
      <c r="BO849" s="15">
        <f t="shared" si="532"/>
        <v>22.170849845882874</v>
      </c>
      <c r="BP849" s="75">
        <f>BO849*(1-PARAM!$C$27)*$I$19+(MOD($B849,60)=PARAM!$B$56)*($B849&gt;(60-PARAM!$B$56))*HLOOKUP(($B849+PARAM!$B$56)/12,Loyalty,2)*$F$1*MAX(BR848,0)</f>
        <v>18.557001321003963</v>
      </c>
      <c r="BQ849" s="75">
        <f>PARAM!$C$26+MAX($G$19-CHOOSE(PARAM!$B$44,MAX(0,BR848*$F$1),0),0)*RATES!$L825/12+$H$19*(PARAM!$D$51/12)*RATES!$N825/100</f>
        <v>1190.0416666666667</v>
      </c>
      <c r="BR849" s="16">
        <f t="shared" si="558"/>
        <v>-179300.26127168367</v>
      </c>
      <c r="BS849" s="15">
        <f t="shared" si="533"/>
        <v>22.170849845882874</v>
      </c>
      <c r="BT849" s="75">
        <f>BS849*(1-PARAM!$C$27)*$I$20+(MOD($B849,60)=PARAM!$B$56)*($B849&gt;(60-PARAM!$B$56))*HLOOKUP(($B849+PARAM!$B$56)/12,Loyalty,2)*$F$1*MAX(BV848,0)</f>
        <v>18.557001321003963</v>
      </c>
      <c r="BU849" s="75">
        <f>PARAM!$C$26+MAX($G$20-CHOOSE(PARAM!$B$44,MAX(0,BV848*$F$1),0),0)*RATES!$L825/12+$H$20*(PARAM!$D$51/12)*RATES!$N825/100</f>
        <v>1190.0416666666667</v>
      </c>
      <c r="BV849" s="16">
        <f t="shared" si="559"/>
        <v>-179300.26127168367</v>
      </c>
      <c r="BW849" s="15">
        <f t="shared" si="534"/>
        <v>22.170849845882874</v>
      </c>
      <c r="BX849" s="75">
        <f>BW849*(1-PARAM!$C$27)*$I$21+(MOD($B849,60)=PARAM!$B$56)*($B849&gt;(60-PARAM!$B$56))*HLOOKUP(($B849+PARAM!$B$56)/12,Loyalty,2)*$F$1*MAX(BZ848,0)</f>
        <v>18.557001321003963</v>
      </c>
      <c r="BY849" s="75">
        <f>PARAM!$C$26+MAX($G$21-CHOOSE(PARAM!$B$44,MAX(0,BZ848*$F$1),0),0)*RATES!$L825/12+$H$21*(PARAM!$D$51/12)*RATES!$N825/100</f>
        <v>1190.0416666666667</v>
      </c>
      <c r="BZ849" s="16">
        <f t="shared" si="560"/>
        <v>-179300.26127168367</v>
      </c>
      <c r="CA849" s="15">
        <f t="shared" si="535"/>
        <v>22.170849845882874</v>
      </c>
      <c r="CB849" s="75">
        <f>CA849*(1-PARAM!$C$27)*$I$22+(MOD($B849,60)=PARAM!$B$56)*($B849&gt;(60-PARAM!$B$56))*HLOOKUP(($B849+PARAM!$B$56)/12,Loyalty,2)*$F$1*MAX(CD848,0)</f>
        <v>18.557001321003963</v>
      </c>
      <c r="CC849" s="75">
        <f>PARAM!$C$26+MAX($G$22-CHOOSE(PARAM!$B$44,MAX(0,CD848*$F$1),0),0)*RATES!$L825/12+$H$22*(PARAM!$D$51/12)*RATES!$N825/100</f>
        <v>1190.0416666666667</v>
      </c>
      <c r="CD849" s="16">
        <f t="shared" si="561"/>
        <v>-179300.26127168367</v>
      </c>
      <c r="CE849" s="33">
        <f>IF(0=MOD(B849,12/PARAM!$D$51),1,0)</f>
        <v>1</v>
      </c>
      <c r="CF849" s="15">
        <f t="shared" si="536"/>
        <v>0</v>
      </c>
      <c r="CG849" s="75">
        <f>CF849*(1-PARAM!$C$27)*$R$3+(MOD($B849/12,5)=0)*($B849&gt;60)*HLOOKUP($B849/12,Loyalty,2)*$F$1*MAX(CI848,0)</f>
        <v>0</v>
      </c>
      <c r="CH849" s="75">
        <f>PARAM!$C$26+MAX($P$3-CHOOSE(PARAM!$B$44,MAX(0,CI848*$F$1),0),0)*RATES!$L825/12+$Q$3*(PARAM!$D$51/12)*RATES!$N825/100</f>
        <v>1190.0416666666667</v>
      </c>
      <c r="CI849" s="16">
        <f>IF(CI848&gt;0,CI848*PARAM!$C$53,CI848)+CG849-CH849</f>
        <v>-194434.54166666683</v>
      </c>
      <c r="CJ849" s="15">
        <f t="shared" si="562"/>
        <v>0</v>
      </c>
      <c r="CK849" s="75">
        <f>CJ849*(1-PARAM!$C$27)*$R$4+(MOD($B849/12,5)=0)*($B849&gt;60)*HLOOKUP($B849/12,Loyalty,2)*$F$1*MAX(CM848,0)</f>
        <v>0</v>
      </c>
      <c r="CL849" s="75">
        <f>PARAM!$C$26+MAX($P$4-CHOOSE(PARAM!$B$44,MAX(0,CM848*$F$1),0),0)*RATES!$L825/12+$Q$4*(PARAM!$D$51/12)*RATES!$N825/100</f>
        <v>1190.0416666666667</v>
      </c>
      <c r="CM849" s="16">
        <f>IF(CM848&gt;0,CM848*PARAM!$C$53,CM848)+CK849-CL849</f>
        <v>-194434.54166666683</v>
      </c>
      <c r="CO849" s="176"/>
    </row>
    <row r="850" spans="1:93" x14ac:dyDescent="0.2">
      <c r="A850" t="b">
        <f t="shared" si="537"/>
        <v>0</v>
      </c>
      <c r="B850" s="33">
        <v>823</v>
      </c>
      <c r="C850" s="15">
        <f t="shared" si="538"/>
        <v>20.081305947392778</v>
      </c>
      <c r="D850" s="75">
        <f>C850*(1-PARAM!$C$27)*$I$3+(MOD($B850,60)=PARAM!$B$56)*($B850&gt;(60-PARAM!$B$56))*HLOOKUP(($B850+PARAM!$B$56)/12,Loyalty,2)*$F$1*MAX(F849,0)</f>
        <v>16.808053077967756</v>
      </c>
      <c r="E850" s="75">
        <f>PARAM!$C$26+MAX($G$3-CHOOSE(PARAM!$B$44,MAX(0,F849*$F$1),0),0)*RATES!$L826/12+$H$3*(PARAM!$D$51/12)*RATES!$N826/100</f>
        <v>1190.0416666666667</v>
      </c>
      <c r="F850" s="16">
        <f t="shared" si="539"/>
        <v>-181947.98084156995</v>
      </c>
      <c r="G850" s="15">
        <f t="shared" si="540"/>
        <v>22.035289406060361</v>
      </c>
      <c r="H850" s="75">
        <f>G850*(1-PARAM!$C$27)*$I$4+(MOD($B850,60)=PARAM!$B$56)*($B850&gt;(60-PARAM!$B$56))*HLOOKUP(($B850+PARAM!$B$56)/12,Loyalty,2)*$F$1*MAX(J849,0)</f>
        <v>18.443537232872522</v>
      </c>
      <c r="I850" s="75">
        <f>PARAM!$C$26+MAX($G$4-CHOOSE(PARAM!$B$44,MAX(0,J849*$F$1),0),0)*RATES!$L826/12+$H$4*(PARAM!$D$51/12)*RATES!$N826/100</f>
        <v>1190.0416666666667</v>
      </c>
      <c r="J850" s="16">
        <f t="shared" si="541"/>
        <v>-180568.14441796098</v>
      </c>
      <c r="K850" s="15">
        <f t="shared" si="542"/>
        <v>22.170849845882874</v>
      </c>
      <c r="L850" s="75">
        <f>K850*(1-PARAM!$C$27)*$I$5+(MOD($B850,60)=PARAM!$B$56)*($B850&gt;(60-PARAM!$B$56))*HLOOKUP(($B850+PARAM!$B$56)/12,Loyalty,2)*$F$1*MAX(N849,0)</f>
        <v>18.557001321003963</v>
      </c>
      <c r="M850" s="75">
        <f>PARAM!$C$26+MAX($G$5-CHOOSE(PARAM!$B$44,MAX(0,N849*$F$1),0),0)*RATES!$L826/12+$H$5*(PARAM!$D$51/12)*RATES!$N826/100</f>
        <v>1190.0416666666667</v>
      </c>
      <c r="N850" s="16">
        <f t="shared" si="543"/>
        <v>-180471.74593702934</v>
      </c>
      <c r="O850" s="15">
        <f t="shared" si="544"/>
        <v>22.170849845882874</v>
      </c>
      <c r="P850" s="75">
        <f>O850*(1-PARAM!$C$27)*$I$6+(MOD($B850,60)=PARAM!$B$56)*($B850&gt;(60-PARAM!$B$56))*HLOOKUP(($B850+PARAM!$B$56)/12,Loyalty,2)*$F$1*MAX(R849,0)</f>
        <v>18.557001321003963</v>
      </c>
      <c r="Q850" s="75">
        <f>PARAM!$C$26+MAX($G$6-CHOOSE(PARAM!$B$44,MAX(0,R849*$F$1),0),0)*RATES!$L826/12+$H$6*(PARAM!$D$51/12)*RATES!$N826/100</f>
        <v>1190.0416666666667</v>
      </c>
      <c r="R850" s="16">
        <f t="shared" si="545"/>
        <v>-180471.74593702934</v>
      </c>
      <c r="S850" s="15">
        <f t="shared" si="520"/>
        <v>22.170849845882874</v>
      </c>
      <c r="T850" s="75">
        <f>S850*(1-PARAM!$C$27)*$I$7+(MOD($B850,60)=PARAM!$B$56)*($B850&gt;(60-PARAM!$B$56))*HLOOKUP(($B850+PARAM!$B$56)/12,Loyalty,2)*$F$1*MAX(V849,0)</f>
        <v>18.557001321003963</v>
      </c>
      <c r="U850" s="75">
        <f>PARAM!$C$26+MAX($G$7-CHOOSE(PARAM!$B$44,MAX(0,V849*$F$1),0),0)*RATES!$L826/12+$H$7*(PARAM!$D$51/12)*RATES!$N826/100</f>
        <v>1190.0416666666667</v>
      </c>
      <c r="V850" s="16">
        <f t="shared" si="546"/>
        <v>-180471.74593702934</v>
      </c>
      <c r="W850" s="15">
        <f t="shared" si="521"/>
        <v>22.170849845882874</v>
      </c>
      <c r="X850" s="75">
        <f>W850*(1-PARAM!$C$27)*$I$8+(MOD($B850,60)=PARAM!$B$56)*($B850&gt;(60-PARAM!$B$56))*HLOOKUP(($B850+PARAM!$B$56)/12,Loyalty,2)*$F$1*MAX(Z849,0)</f>
        <v>18.557001321003963</v>
      </c>
      <c r="Y850" s="75">
        <f>PARAM!$C$26+MAX($G$8-CHOOSE(PARAM!$B$44,MAX(0,Z849*$F$1),0),0)*RATES!$L826/12+$H$8*(PARAM!$D$51/12)*RATES!$N826/100</f>
        <v>1190.0416666666667</v>
      </c>
      <c r="Z850" s="16">
        <f t="shared" si="547"/>
        <v>-180471.74593702934</v>
      </c>
      <c r="AA850" s="15">
        <f t="shared" si="522"/>
        <v>22.170849845882874</v>
      </c>
      <c r="AB850" s="75">
        <f>AA850*(1-PARAM!$C$27)*$I$9+(MOD($B850,60)=PARAM!$B$56)*($B850&gt;(60-PARAM!$B$56))*HLOOKUP(($B850+PARAM!$B$56)/12,Loyalty,2)*$F$1*MAX(AD849,0)</f>
        <v>18.557001321003963</v>
      </c>
      <c r="AC850" s="75">
        <f>PARAM!$C$26+MAX($G$9-CHOOSE(PARAM!$B$44,MAX(0,AD849*$F$1),0),0)*RATES!$L826/12+$H$9*(PARAM!$D$51/12)*RATES!$N826/100</f>
        <v>1190.0416666666667</v>
      </c>
      <c r="AD850" s="16">
        <f t="shared" si="548"/>
        <v>-180471.74593702934</v>
      </c>
      <c r="AE850" s="15">
        <f t="shared" si="523"/>
        <v>22.170849845882874</v>
      </c>
      <c r="AF850" s="75">
        <f>AE850*(1-PARAM!$C$27)*$I$10+(MOD($B850,60)=PARAM!$B$56)*($B850&gt;(60-PARAM!$B$56))*HLOOKUP(($B850+PARAM!$B$56)/12,Loyalty,2)*$F$1*MAX(AH849,0)</f>
        <v>18.557001321003963</v>
      </c>
      <c r="AG850" s="75">
        <f>PARAM!$C$26+MAX($G$10-CHOOSE(PARAM!$B$44,MAX(0,AH849*$F$1),0),0)*RATES!$L826/12+$H$10*(PARAM!$D$51/12)*RATES!$N826/100</f>
        <v>1190.0416666666667</v>
      </c>
      <c r="AH850" s="16">
        <f t="shared" si="549"/>
        <v>-180471.74593702934</v>
      </c>
      <c r="AI850" s="15">
        <f t="shared" si="524"/>
        <v>22.170849845882874</v>
      </c>
      <c r="AJ850" s="75">
        <f>AI850*(1-PARAM!$C$27)*$I$11+(MOD($B850,60)=PARAM!$B$56)*($B850&gt;(60-PARAM!$B$56))*HLOOKUP(($B850+PARAM!$B$56)/12,Loyalty,2)*$F$1*MAX(AL849,0)</f>
        <v>18.557001321003963</v>
      </c>
      <c r="AK850" s="75">
        <f>PARAM!$C$26+MAX($G$11-CHOOSE(PARAM!$B$44,MAX(0,AL849*$F$1),0),0)*RATES!$L826/12+$H$11*(PARAM!$D$51/12)*RATES!$N826/100</f>
        <v>1190.0416666666667</v>
      </c>
      <c r="AL850" s="16">
        <f t="shared" si="550"/>
        <v>-180471.74593702934</v>
      </c>
      <c r="AM850" s="15">
        <f t="shared" si="525"/>
        <v>22.170849845882874</v>
      </c>
      <c r="AN850" s="75">
        <f>AM850*(1-PARAM!$C$27)*$I$12+(MOD($B850,60)=PARAM!$B$56)*($B850&gt;(60-PARAM!$B$56))*HLOOKUP(($B850+PARAM!$B$56)/12,Loyalty,2)*$F$1*MAX(AP849,0)</f>
        <v>18.557001321003963</v>
      </c>
      <c r="AO850" s="75">
        <f>PARAM!$C$26+MAX($G$12-CHOOSE(PARAM!$B$44,MAX(0,AP849*$F$1),0),0)*RATES!$L826/12+$H$12*(PARAM!$D$51/12)*RATES!$N826/100</f>
        <v>1190.0416666666667</v>
      </c>
      <c r="AP850" s="16">
        <f t="shared" si="551"/>
        <v>-180471.74593702934</v>
      </c>
      <c r="AQ850" s="15">
        <f t="shared" si="526"/>
        <v>22.170849845882874</v>
      </c>
      <c r="AR850" s="75">
        <f>AQ850*(1-PARAM!$C$27)*$I$13+(MOD($B850,60)=PARAM!$B$56)*($B850&gt;(60-PARAM!$B$56))*HLOOKUP(($B850+PARAM!$B$56)/12,Loyalty,2)*$F$1*MAX(AT849,0)</f>
        <v>18.557001321003963</v>
      </c>
      <c r="AS850" s="75">
        <f>PARAM!$C$26+MAX($G$13-CHOOSE(PARAM!$B$44,MAX(0,AT849*$F$1),0),0)*RATES!$L826/12+$H$13*(PARAM!$D$51/12)*RATES!$N826/100</f>
        <v>1190.0416666666667</v>
      </c>
      <c r="AT850" s="16">
        <f t="shared" si="552"/>
        <v>-180471.74593702934</v>
      </c>
      <c r="AU850" s="15">
        <f t="shared" si="527"/>
        <v>22.170849845882874</v>
      </c>
      <c r="AV850" s="75">
        <f>AU850*(1-PARAM!$C$27)*$I$14+(MOD($B850,60)=PARAM!$B$56)*($B850&gt;(60-PARAM!$B$56))*HLOOKUP(($B850+PARAM!$B$56)/12,Loyalty,2)*$F$1*MAX(AX849,0)</f>
        <v>18.557001321003963</v>
      </c>
      <c r="AW850" s="75">
        <f>PARAM!$C$26+MAX($G$14-CHOOSE(PARAM!$B$44,MAX(0,AX849*$F$1),0),0)*RATES!$L826/12+$H$14*(PARAM!$D$51/12)*RATES!$N826/100</f>
        <v>1190.0416666666667</v>
      </c>
      <c r="AX850" s="16">
        <f t="shared" si="553"/>
        <v>-180471.74593702934</v>
      </c>
      <c r="AY850" s="15">
        <f t="shared" si="528"/>
        <v>22.170849845882874</v>
      </c>
      <c r="AZ850" s="75">
        <f>AY850*(1-PARAM!$C$27)*$I$15+(MOD($B850,60)=PARAM!$B$56)*($B850&gt;(60-PARAM!$B$56))*HLOOKUP(($B850+PARAM!$B$56)/12,Loyalty,2)*$F$1*MAX(BB849,0)</f>
        <v>18.557001321003963</v>
      </c>
      <c r="BA850" s="75">
        <f>PARAM!$C$26+MAX($G$15-CHOOSE(PARAM!$B$44,MAX(0,BB849*$F$1),0),0)*RATES!$L826/12+$H$15*(PARAM!$D$51/12)*RATES!$N826/100</f>
        <v>1190.0416666666667</v>
      </c>
      <c r="BB850" s="16">
        <f t="shared" si="554"/>
        <v>-180471.74593702934</v>
      </c>
      <c r="BC850" s="15">
        <f t="shared" si="529"/>
        <v>22.170849845882874</v>
      </c>
      <c r="BD850" s="75">
        <f>BC850*(1-PARAM!$C$27)*$I$16+(MOD($B850,60)=PARAM!$B$56)*($B850&gt;(60-PARAM!$B$56))*HLOOKUP(($B850+PARAM!$B$56)/12,Loyalty,2)*$F$1*MAX(BF849,0)</f>
        <v>18.557001321003963</v>
      </c>
      <c r="BE850" s="75">
        <f>PARAM!$C$26+MAX($G$16-CHOOSE(PARAM!$B$44,MAX(0,BF849*$F$1),0),0)*RATES!$L826/12+$H$16*(PARAM!$D$51/12)*RATES!$N826/100</f>
        <v>1190.0416666666667</v>
      </c>
      <c r="BF850" s="16">
        <f t="shared" si="555"/>
        <v>-180471.74593702934</v>
      </c>
      <c r="BG850" s="15">
        <f t="shared" si="530"/>
        <v>22.170849845882874</v>
      </c>
      <c r="BH850" s="75">
        <f>BG850*(1-PARAM!$C$27)*$I$17+(MOD($B850,60)=PARAM!$B$56)*($B850&gt;(60-PARAM!$B$56))*HLOOKUP(($B850+PARAM!$B$56)/12,Loyalty,2)*$F$1*MAX(BJ849,0)</f>
        <v>18.557001321003963</v>
      </c>
      <c r="BI850" s="75">
        <f>PARAM!$C$26+MAX($G$17-CHOOSE(PARAM!$B$44,MAX(0,BJ849*$F$1),0),0)*RATES!$L826/12+$H$17*(PARAM!$D$51/12)*RATES!$N826/100</f>
        <v>1190.0416666666667</v>
      </c>
      <c r="BJ850" s="16">
        <f t="shared" si="556"/>
        <v>-180471.74593702934</v>
      </c>
      <c r="BK850" s="15">
        <f t="shared" si="531"/>
        <v>22.170849845882874</v>
      </c>
      <c r="BL850" s="75">
        <f>BK850*(1-PARAM!$C$27)*$I$18+(MOD($B850,60)=PARAM!$B$56)*($B850&gt;(60-PARAM!$B$56))*HLOOKUP(($B850+PARAM!$B$56)/12,Loyalty,2)*$F$1*MAX(BN849,0)</f>
        <v>18.557001321003963</v>
      </c>
      <c r="BM850" s="75">
        <f>PARAM!$C$26+MAX($G$18-CHOOSE(PARAM!$B$44,MAX(0,BN849*$F$1),0),0)*RATES!$L826/12+$H$18*(PARAM!$D$51/12)*RATES!$N826/100</f>
        <v>1190.0416666666667</v>
      </c>
      <c r="BN850" s="16">
        <f t="shared" si="557"/>
        <v>-180471.74593702934</v>
      </c>
      <c r="BO850" s="15">
        <f t="shared" si="532"/>
        <v>22.170849845882874</v>
      </c>
      <c r="BP850" s="75">
        <f>BO850*(1-PARAM!$C$27)*$I$19+(MOD($B850,60)=PARAM!$B$56)*($B850&gt;(60-PARAM!$B$56))*HLOOKUP(($B850+PARAM!$B$56)/12,Loyalty,2)*$F$1*MAX(BR849,0)</f>
        <v>18.557001321003963</v>
      </c>
      <c r="BQ850" s="75">
        <f>PARAM!$C$26+MAX($G$19-CHOOSE(PARAM!$B$44,MAX(0,BR849*$F$1),0),0)*RATES!$L826/12+$H$19*(PARAM!$D$51/12)*RATES!$N826/100</f>
        <v>1190.0416666666667</v>
      </c>
      <c r="BR850" s="16">
        <f t="shared" si="558"/>
        <v>-180471.74593702934</v>
      </c>
      <c r="BS850" s="15">
        <f t="shared" si="533"/>
        <v>22.170849845882874</v>
      </c>
      <c r="BT850" s="75">
        <f>BS850*(1-PARAM!$C$27)*$I$20+(MOD($B850,60)=PARAM!$B$56)*($B850&gt;(60-PARAM!$B$56))*HLOOKUP(($B850+PARAM!$B$56)/12,Loyalty,2)*$F$1*MAX(BV849,0)</f>
        <v>18.557001321003963</v>
      </c>
      <c r="BU850" s="75">
        <f>PARAM!$C$26+MAX($G$20-CHOOSE(PARAM!$B$44,MAX(0,BV849*$F$1),0),0)*RATES!$L826/12+$H$20*(PARAM!$D$51/12)*RATES!$N826/100</f>
        <v>1190.0416666666667</v>
      </c>
      <c r="BV850" s="16">
        <f t="shared" si="559"/>
        <v>-180471.74593702934</v>
      </c>
      <c r="BW850" s="15">
        <f t="shared" si="534"/>
        <v>22.170849845882874</v>
      </c>
      <c r="BX850" s="75">
        <f>BW850*(1-PARAM!$C$27)*$I$21+(MOD($B850,60)=PARAM!$B$56)*($B850&gt;(60-PARAM!$B$56))*HLOOKUP(($B850+PARAM!$B$56)/12,Loyalty,2)*$F$1*MAX(BZ849,0)</f>
        <v>18.557001321003963</v>
      </c>
      <c r="BY850" s="75">
        <f>PARAM!$C$26+MAX($G$21-CHOOSE(PARAM!$B$44,MAX(0,BZ849*$F$1),0),0)*RATES!$L826/12+$H$21*(PARAM!$D$51/12)*RATES!$N826/100</f>
        <v>1190.0416666666667</v>
      </c>
      <c r="BZ850" s="16">
        <f t="shared" si="560"/>
        <v>-180471.74593702934</v>
      </c>
      <c r="CA850" s="15">
        <f t="shared" si="535"/>
        <v>22.170849845882874</v>
      </c>
      <c r="CB850" s="75">
        <f>CA850*(1-PARAM!$C$27)*$I$22+(MOD($B850,60)=PARAM!$B$56)*($B850&gt;(60-PARAM!$B$56))*HLOOKUP(($B850+PARAM!$B$56)/12,Loyalty,2)*$F$1*MAX(CD849,0)</f>
        <v>18.557001321003963</v>
      </c>
      <c r="CC850" s="75">
        <f>PARAM!$C$26+MAX($G$22-CHOOSE(PARAM!$B$44,MAX(0,CD849*$F$1),0),0)*RATES!$L826/12+$H$22*(PARAM!$D$51/12)*RATES!$N826/100</f>
        <v>1190.0416666666667</v>
      </c>
      <c r="CD850" s="16">
        <f t="shared" si="561"/>
        <v>-180471.74593702934</v>
      </c>
      <c r="CE850" s="33">
        <f>IF(0=MOD(B850,12/PARAM!$D$51),1,0)</f>
        <v>1</v>
      </c>
      <c r="CF850" s="15">
        <f t="shared" si="536"/>
        <v>0</v>
      </c>
      <c r="CG850" s="75">
        <f>CF850*(1-PARAM!$C$27)*$R$3+(MOD($B850/12,5)=0)*($B850&gt;60)*HLOOKUP($B850/12,Loyalty,2)*$F$1*MAX(CI849,0)</f>
        <v>0</v>
      </c>
      <c r="CH850" s="75">
        <f>PARAM!$C$26+MAX($P$3-CHOOSE(PARAM!$B$44,MAX(0,CI849*$F$1),0),0)*RATES!$L826/12+$Q$3*(PARAM!$D$51/12)*RATES!$N826/100</f>
        <v>1190.0416666666667</v>
      </c>
      <c r="CI850" s="16">
        <f>IF(CI849&gt;0,CI849*PARAM!$C$53,CI849)+CG850-CH850</f>
        <v>-195624.58333333349</v>
      </c>
      <c r="CJ850" s="15">
        <f t="shared" si="562"/>
        <v>0</v>
      </c>
      <c r="CK850" s="75">
        <f>CJ850*(1-PARAM!$C$27)*$R$4+(MOD($B850/12,5)=0)*($B850&gt;60)*HLOOKUP($B850/12,Loyalty,2)*$F$1*MAX(CM849,0)</f>
        <v>0</v>
      </c>
      <c r="CL850" s="75">
        <f>PARAM!$C$26+MAX($P$4-CHOOSE(PARAM!$B$44,MAX(0,CM849*$F$1),0),0)*RATES!$L826/12+$Q$4*(PARAM!$D$51/12)*RATES!$N826/100</f>
        <v>1190.0416666666667</v>
      </c>
      <c r="CM850" s="16">
        <f>IF(CM849&gt;0,CM849*PARAM!$C$53,CM849)+CK850-CL850</f>
        <v>-195624.58333333349</v>
      </c>
      <c r="CO850" s="176"/>
    </row>
    <row r="851" spans="1:93" x14ac:dyDescent="0.2">
      <c r="A851" t="b">
        <f t="shared" si="537"/>
        <v>0</v>
      </c>
      <c r="B851" s="33">
        <v>824</v>
      </c>
      <c r="C851" s="15">
        <f t="shared" si="538"/>
        <v>20.081305947392778</v>
      </c>
      <c r="D851" s="75">
        <f>C851*(1-PARAM!$C$27)*$I$3+(MOD($B851,60)=PARAM!$B$56)*($B851&gt;(60-PARAM!$B$56))*HLOOKUP(($B851+PARAM!$B$56)/12,Loyalty,2)*$F$1*MAX(F850,0)</f>
        <v>16.808053077967756</v>
      </c>
      <c r="E851" s="75">
        <f>PARAM!$C$26+MAX($G$3-CHOOSE(PARAM!$B$44,MAX(0,F850*$F$1),0),0)*RATES!$L827/12+$H$3*(PARAM!$D$51/12)*RATES!$N827/100</f>
        <v>1190.0416666666667</v>
      </c>
      <c r="F851" s="16">
        <f t="shared" si="539"/>
        <v>-183121.21445515865</v>
      </c>
      <c r="G851" s="15">
        <f t="shared" si="540"/>
        <v>22.035289406060361</v>
      </c>
      <c r="H851" s="75">
        <f>G851*(1-PARAM!$C$27)*$I$4+(MOD($B851,60)=PARAM!$B$56)*($B851&gt;(60-PARAM!$B$56))*HLOOKUP(($B851+PARAM!$B$56)/12,Loyalty,2)*$F$1*MAX(J850,0)</f>
        <v>18.443537232872522</v>
      </c>
      <c r="I851" s="75">
        <f>PARAM!$C$26+MAX($G$4-CHOOSE(PARAM!$B$44,MAX(0,J850*$F$1),0),0)*RATES!$L827/12+$H$4*(PARAM!$D$51/12)*RATES!$N827/100</f>
        <v>1190.0416666666667</v>
      </c>
      <c r="J851" s="16">
        <f t="shared" si="541"/>
        <v>-181739.74254739477</v>
      </c>
      <c r="K851" s="15">
        <f t="shared" si="542"/>
        <v>22.170849845882874</v>
      </c>
      <c r="L851" s="75">
        <f>K851*(1-PARAM!$C$27)*$I$5+(MOD($B851,60)=PARAM!$B$56)*($B851&gt;(60-PARAM!$B$56))*HLOOKUP(($B851+PARAM!$B$56)/12,Loyalty,2)*$F$1*MAX(N850,0)</f>
        <v>18.557001321003963</v>
      </c>
      <c r="M851" s="75">
        <f>PARAM!$C$26+MAX($G$5-CHOOSE(PARAM!$B$44,MAX(0,N850*$F$1),0),0)*RATES!$L827/12+$H$5*(PARAM!$D$51/12)*RATES!$N827/100</f>
        <v>1190.0416666666667</v>
      </c>
      <c r="N851" s="16">
        <f t="shared" si="543"/>
        <v>-181643.230602375</v>
      </c>
      <c r="O851" s="15">
        <f t="shared" si="544"/>
        <v>22.170849845882874</v>
      </c>
      <c r="P851" s="75">
        <f>O851*(1-PARAM!$C$27)*$I$6+(MOD($B851,60)=PARAM!$B$56)*($B851&gt;(60-PARAM!$B$56))*HLOOKUP(($B851+PARAM!$B$56)/12,Loyalty,2)*$F$1*MAX(R850,0)</f>
        <v>18.557001321003963</v>
      </c>
      <c r="Q851" s="75">
        <f>PARAM!$C$26+MAX($G$6-CHOOSE(PARAM!$B$44,MAX(0,R850*$F$1),0),0)*RATES!$L827/12+$H$6*(PARAM!$D$51/12)*RATES!$N827/100</f>
        <v>1190.0416666666667</v>
      </c>
      <c r="R851" s="16">
        <f t="shared" si="545"/>
        <v>-181643.230602375</v>
      </c>
      <c r="S851" s="15">
        <f t="shared" si="520"/>
        <v>22.170849845882874</v>
      </c>
      <c r="T851" s="75">
        <f>S851*(1-PARAM!$C$27)*$I$7+(MOD($B851,60)=PARAM!$B$56)*($B851&gt;(60-PARAM!$B$56))*HLOOKUP(($B851+PARAM!$B$56)/12,Loyalty,2)*$F$1*MAX(V850,0)</f>
        <v>18.557001321003963</v>
      </c>
      <c r="U851" s="75">
        <f>PARAM!$C$26+MAX($G$7-CHOOSE(PARAM!$B$44,MAX(0,V850*$F$1),0),0)*RATES!$L827/12+$H$7*(PARAM!$D$51/12)*RATES!$N827/100</f>
        <v>1190.0416666666667</v>
      </c>
      <c r="V851" s="16">
        <f t="shared" si="546"/>
        <v>-181643.230602375</v>
      </c>
      <c r="W851" s="15">
        <f t="shared" si="521"/>
        <v>22.170849845882874</v>
      </c>
      <c r="X851" s="75">
        <f>W851*(1-PARAM!$C$27)*$I$8+(MOD($B851,60)=PARAM!$B$56)*($B851&gt;(60-PARAM!$B$56))*HLOOKUP(($B851+PARAM!$B$56)/12,Loyalty,2)*$F$1*MAX(Z850,0)</f>
        <v>18.557001321003963</v>
      </c>
      <c r="Y851" s="75">
        <f>PARAM!$C$26+MAX($G$8-CHOOSE(PARAM!$B$44,MAX(0,Z850*$F$1),0),0)*RATES!$L827/12+$H$8*(PARAM!$D$51/12)*RATES!$N827/100</f>
        <v>1190.0416666666667</v>
      </c>
      <c r="Z851" s="16">
        <f t="shared" si="547"/>
        <v>-181643.230602375</v>
      </c>
      <c r="AA851" s="15">
        <f t="shared" si="522"/>
        <v>22.170849845882874</v>
      </c>
      <c r="AB851" s="75">
        <f>AA851*(1-PARAM!$C$27)*$I$9+(MOD($B851,60)=PARAM!$B$56)*($B851&gt;(60-PARAM!$B$56))*HLOOKUP(($B851+PARAM!$B$56)/12,Loyalty,2)*$F$1*MAX(AD850,0)</f>
        <v>18.557001321003963</v>
      </c>
      <c r="AC851" s="75">
        <f>PARAM!$C$26+MAX($G$9-CHOOSE(PARAM!$B$44,MAX(0,AD850*$F$1),0),0)*RATES!$L827/12+$H$9*(PARAM!$D$51/12)*RATES!$N827/100</f>
        <v>1190.0416666666667</v>
      </c>
      <c r="AD851" s="16">
        <f t="shared" si="548"/>
        <v>-181643.230602375</v>
      </c>
      <c r="AE851" s="15">
        <f t="shared" si="523"/>
        <v>22.170849845882874</v>
      </c>
      <c r="AF851" s="75">
        <f>AE851*(1-PARAM!$C$27)*$I$10+(MOD($B851,60)=PARAM!$B$56)*($B851&gt;(60-PARAM!$B$56))*HLOOKUP(($B851+PARAM!$B$56)/12,Loyalty,2)*$F$1*MAX(AH850,0)</f>
        <v>18.557001321003963</v>
      </c>
      <c r="AG851" s="75">
        <f>PARAM!$C$26+MAX($G$10-CHOOSE(PARAM!$B$44,MAX(0,AH850*$F$1),0),0)*RATES!$L827/12+$H$10*(PARAM!$D$51/12)*RATES!$N827/100</f>
        <v>1190.0416666666667</v>
      </c>
      <c r="AH851" s="16">
        <f t="shared" si="549"/>
        <v>-181643.230602375</v>
      </c>
      <c r="AI851" s="15">
        <f t="shared" si="524"/>
        <v>22.170849845882874</v>
      </c>
      <c r="AJ851" s="75">
        <f>AI851*(1-PARAM!$C$27)*$I$11+(MOD($B851,60)=PARAM!$B$56)*($B851&gt;(60-PARAM!$B$56))*HLOOKUP(($B851+PARAM!$B$56)/12,Loyalty,2)*$F$1*MAX(AL850,0)</f>
        <v>18.557001321003963</v>
      </c>
      <c r="AK851" s="75">
        <f>PARAM!$C$26+MAX($G$11-CHOOSE(PARAM!$B$44,MAX(0,AL850*$F$1),0),0)*RATES!$L827/12+$H$11*(PARAM!$D$51/12)*RATES!$N827/100</f>
        <v>1190.0416666666667</v>
      </c>
      <c r="AL851" s="16">
        <f t="shared" si="550"/>
        <v>-181643.230602375</v>
      </c>
      <c r="AM851" s="15">
        <f t="shared" si="525"/>
        <v>22.170849845882874</v>
      </c>
      <c r="AN851" s="75">
        <f>AM851*(1-PARAM!$C$27)*$I$12+(MOD($B851,60)=PARAM!$B$56)*($B851&gt;(60-PARAM!$B$56))*HLOOKUP(($B851+PARAM!$B$56)/12,Loyalty,2)*$F$1*MAX(AP850,0)</f>
        <v>18.557001321003963</v>
      </c>
      <c r="AO851" s="75">
        <f>PARAM!$C$26+MAX($G$12-CHOOSE(PARAM!$B$44,MAX(0,AP850*$F$1),0),0)*RATES!$L827/12+$H$12*(PARAM!$D$51/12)*RATES!$N827/100</f>
        <v>1190.0416666666667</v>
      </c>
      <c r="AP851" s="16">
        <f t="shared" si="551"/>
        <v>-181643.230602375</v>
      </c>
      <c r="AQ851" s="15">
        <f t="shared" si="526"/>
        <v>22.170849845882874</v>
      </c>
      <c r="AR851" s="75">
        <f>AQ851*(1-PARAM!$C$27)*$I$13+(MOD($B851,60)=PARAM!$B$56)*($B851&gt;(60-PARAM!$B$56))*HLOOKUP(($B851+PARAM!$B$56)/12,Loyalty,2)*$F$1*MAX(AT850,0)</f>
        <v>18.557001321003963</v>
      </c>
      <c r="AS851" s="75">
        <f>PARAM!$C$26+MAX($G$13-CHOOSE(PARAM!$B$44,MAX(0,AT850*$F$1),0),0)*RATES!$L827/12+$H$13*(PARAM!$D$51/12)*RATES!$N827/100</f>
        <v>1190.0416666666667</v>
      </c>
      <c r="AT851" s="16">
        <f t="shared" si="552"/>
        <v>-181643.230602375</v>
      </c>
      <c r="AU851" s="15">
        <f t="shared" si="527"/>
        <v>22.170849845882874</v>
      </c>
      <c r="AV851" s="75">
        <f>AU851*(1-PARAM!$C$27)*$I$14+(MOD($B851,60)=PARAM!$B$56)*($B851&gt;(60-PARAM!$B$56))*HLOOKUP(($B851+PARAM!$B$56)/12,Loyalty,2)*$F$1*MAX(AX850,0)</f>
        <v>18.557001321003963</v>
      </c>
      <c r="AW851" s="75">
        <f>PARAM!$C$26+MAX($G$14-CHOOSE(PARAM!$B$44,MAX(0,AX850*$F$1),0),0)*RATES!$L827/12+$H$14*(PARAM!$D$51/12)*RATES!$N827/100</f>
        <v>1190.0416666666667</v>
      </c>
      <c r="AX851" s="16">
        <f t="shared" si="553"/>
        <v>-181643.230602375</v>
      </c>
      <c r="AY851" s="15">
        <f t="shared" si="528"/>
        <v>22.170849845882874</v>
      </c>
      <c r="AZ851" s="75">
        <f>AY851*(1-PARAM!$C$27)*$I$15+(MOD($B851,60)=PARAM!$B$56)*($B851&gt;(60-PARAM!$B$56))*HLOOKUP(($B851+PARAM!$B$56)/12,Loyalty,2)*$F$1*MAX(BB850,0)</f>
        <v>18.557001321003963</v>
      </c>
      <c r="BA851" s="75">
        <f>PARAM!$C$26+MAX($G$15-CHOOSE(PARAM!$B$44,MAX(0,BB850*$F$1),0),0)*RATES!$L827/12+$H$15*(PARAM!$D$51/12)*RATES!$N827/100</f>
        <v>1190.0416666666667</v>
      </c>
      <c r="BB851" s="16">
        <f t="shared" si="554"/>
        <v>-181643.230602375</v>
      </c>
      <c r="BC851" s="15">
        <f t="shared" si="529"/>
        <v>22.170849845882874</v>
      </c>
      <c r="BD851" s="75">
        <f>BC851*(1-PARAM!$C$27)*$I$16+(MOD($B851,60)=PARAM!$B$56)*($B851&gt;(60-PARAM!$B$56))*HLOOKUP(($B851+PARAM!$B$56)/12,Loyalty,2)*$F$1*MAX(BF850,0)</f>
        <v>18.557001321003963</v>
      </c>
      <c r="BE851" s="75">
        <f>PARAM!$C$26+MAX($G$16-CHOOSE(PARAM!$B$44,MAX(0,BF850*$F$1),0),0)*RATES!$L827/12+$H$16*(PARAM!$D$51/12)*RATES!$N827/100</f>
        <v>1190.0416666666667</v>
      </c>
      <c r="BF851" s="16">
        <f t="shared" si="555"/>
        <v>-181643.230602375</v>
      </c>
      <c r="BG851" s="15">
        <f t="shared" si="530"/>
        <v>22.170849845882874</v>
      </c>
      <c r="BH851" s="75">
        <f>BG851*(1-PARAM!$C$27)*$I$17+(MOD($B851,60)=PARAM!$B$56)*($B851&gt;(60-PARAM!$B$56))*HLOOKUP(($B851+PARAM!$B$56)/12,Loyalty,2)*$F$1*MAX(BJ850,0)</f>
        <v>18.557001321003963</v>
      </c>
      <c r="BI851" s="75">
        <f>PARAM!$C$26+MAX($G$17-CHOOSE(PARAM!$B$44,MAX(0,BJ850*$F$1),0),0)*RATES!$L827/12+$H$17*(PARAM!$D$51/12)*RATES!$N827/100</f>
        <v>1190.0416666666667</v>
      </c>
      <c r="BJ851" s="16">
        <f t="shared" si="556"/>
        <v>-181643.230602375</v>
      </c>
      <c r="BK851" s="15">
        <f t="shared" si="531"/>
        <v>22.170849845882874</v>
      </c>
      <c r="BL851" s="75">
        <f>BK851*(1-PARAM!$C$27)*$I$18+(MOD($B851,60)=PARAM!$B$56)*($B851&gt;(60-PARAM!$B$56))*HLOOKUP(($B851+PARAM!$B$56)/12,Loyalty,2)*$F$1*MAX(BN850,0)</f>
        <v>18.557001321003963</v>
      </c>
      <c r="BM851" s="75">
        <f>PARAM!$C$26+MAX($G$18-CHOOSE(PARAM!$B$44,MAX(0,BN850*$F$1),0),0)*RATES!$L827/12+$H$18*(PARAM!$D$51/12)*RATES!$N827/100</f>
        <v>1190.0416666666667</v>
      </c>
      <c r="BN851" s="16">
        <f t="shared" si="557"/>
        <v>-181643.230602375</v>
      </c>
      <c r="BO851" s="15">
        <f t="shared" si="532"/>
        <v>22.170849845882874</v>
      </c>
      <c r="BP851" s="75">
        <f>BO851*(1-PARAM!$C$27)*$I$19+(MOD($B851,60)=PARAM!$B$56)*($B851&gt;(60-PARAM!$B$56))*HLOOKUP(($B851+PARAM!$B$56)/12,Loyalty,2)*$F$1*MAX(BR850,0)</f>
        <v>18.557001321003963</v>
      </c>
      <c r="BQ851" s="75">
        <f>PARAM!$C$26+MAX($G$19-CHOOSE(PARAM!$B$44,MAX(0,BR850*$F$1),0),0)*RATES!$L827/12+$H$19*(PARAM!$D$51/12)*RATES!$N827/100</f>
        <v>1190.0416666666667</v>
      </c>
      <c r="BR851" s="16">
        <f t="shared" si="558"/>
        <v>-181643.230602375</v>
      </c>
      <c r="BS851" s="15">
        <f t="shared" si="533"/>
        <v>22.170849845882874</v>
      </c>
      <c r="BT851" s="75">
        <f>BS851*(1-PARAM!$C$27)*$I$20+(MOD($B851,60)=PARAM!$B$56)*($B851&gt;(60-PARAM!$B$56))*HLOOKUP(($B851+PARAM!$B$56)/12,Loyalty,2)*$F$1*MAX(BV850,0)</f>
        <v>18.557001321003963</v>
      </c>
      <c r="BU851" s="75">
        <f>PARAM!$C$26+MAX($G$20-CHOOSE(PARAM!$B$44,MAX(0,BV850*$F$1),0),0)*RATES!$L827/12+$H$20*(PARAM!$D$51/12)*RATES!$N827/100</f>
        <v>1190.0416666666667</v>
      </c>
      <c r="BV851" s="16">
        <f t="shared" si="559"/>
        <v>-181643.230602375</v>
      </c>
      <c r="BW851" s="15">
        <f t="shared" si="534"/>
        <v>22.170849845882874</v>
      </c>
      <c r="BX851" s="75">
        <f>BW851*(1-PARAM!$C$27)*$I$21+(MOD($B851,60)=PARAM!$B$56)*($B851&gt;(60-PARAM!$B$56))*HLOOKUP(($B851+PARAM!$B$56)/12,Loyalty,2)*$F$1*MAX(BZ850,0)</f>
        <v>18.557001321003963</v>
      </c>
      <c r="BY851" s="75">
        <f>PARAM!$C$26+MAX($G$21-CHOOSE(PARAM!$B$44,MAX(0,BZ850*$F$1),0),0)*RATES!$L827/12+$H$21*(PARAM!$D$51/12)*RATES!$N827/100</f>
        <v>1190.0416666666667</v>
      </c>
      <c r="BZ851" s="16">
        <f t="shared" si="560"/>
        <v>-181643.230602375</v>
      </c>
      <c r="CA851" s="15">
        <f t="shared" si="535"/>
        <v>22.170849845882874</v>
      </c>
      <c r="CB851" s="75">
        <f>CA851*(1-PARAM!$C$27)*$I$22+(MOD($B851,60)=PARAM!$B$56)*($B851&gt;(60-PARAM!$B$56))*HLOOKUP(($B851+PARAM!$B$56)/12,Loyalty,2)*$F$1*MAX(CD850,0)</f>
        <v>18.557001321003963</v>
      </c>
      <c r="CC851" s="75">
        <f>PARAM!$C$26+MAX($G$22-CHOOSE(PARAM!$B$44,MAX(0,CD850*$F$1),0),0)*RATES!$L827/12+$H$22*(PARAM!$D$51/12)*RATES!$N827/100</f>
        <v>1190.0416666666667</v>
      </c>
      <c r="CD851" s="16">
        <f t="shared" si="561"/>
        <v>-181643.230602375</v>
      </c>
      <c r="CE851" s="33">
        <f>IF(0=MOD(B851,12/PARAM!$D$51),1,0)</f>
        <v>1</v>
      </c>
      <c r="CF851" s="15">
        <f t="shared" si="536"/>
        <v>0</v>
      </c>
      <c r="CG851" s="75">
        <f>CF851*(1-PARAM!$C$27)*$R$3+(MOD($B851/12,5)=0)*($B851&gt;60)*HLOOKUP($B851/12,Loyalty,2)*$F$1*MAX(CI850,0)</f>
        <v>0</v>
      </c>
      <c r="CH851" s="75">
        <f>PARAM!$C$26+MAX($P$3-CHOOSE(PARAM!$B$44,MAX(0,CI850*$F$1),0),0)*RATES!$L827/12+$Q$3*(PARAM!$D$51/12)*RATES!$N827/100</f>
        <v>1190.0416666666667</v>
      </c>
      <c r="CI851" s="16">
        <f>IF(CI850&gt;0,CI850*PARAM!$C$53,CI850)+CG851-CH851</f>
        <v>-196814.62500000015</v>
      </c>
      <c r="CJ851" s="15">
        <f t="shared" si="562"/>
        <v>0</v>
      </c>
      <c r="CK851" s="75">
        <f>CJ851*(1-PARAM!$C$27)*$R$4+(MOD($B851/12,5)=0)*($B851&gt;60)*HLOOKUP($B851/12,Loyalty,2)*$F$1*MAX(CM850,0)</f>
        <v>0</v>
      </c>
      <c r="CL851" s="75">
        <f>PARAM!$C$26+MAX($P$4-CHOOSE(PARAM!$B$44,MAX(0,CM850*$F$1),0),0)*RATES!$L827/12+$Q$4*(PARAM!$D$51/12)*RATES!$N827/100</f>
        <v>1190.0416666666667</v>
      </c>
      <c r="CM851" s="16">
        <f>IF(CM850&gt;0,CM850*PARAM!$C$53,CM850)+CK851-CL851</f>
        <v>-196814.62500000015</v>
      </c>
      <c r="CO851" s="176"/>
    </row>
    <row r="852" spans="1:93" x14ac:dyDescent="0.2">
      <c r="A852" t="b">
        <f t="shared" si="537"/>
        <v>0</v>
      </c>
      <c r="B852" s="33">
        <v>825</v>
      </c>
      <c r="C852" s="15">
        <f t="shared" si="538"/>
        <v>20.081305947392778</v>
      </c>
      <c r="D852" s="75">
        <f>C852*(1-PARAM!$C$27)*$I$3+(MOD($B852,60)=PARAM!$B$56)*($B852&gt;(60-PARAM!$B$56))*HLOOKUP(($B852+PARAM!$B$56)/12,Loyalty,2)*$F$1*MAX(F851,0)</f>
        <v>16.808053077967756</v>
      </c>
      <c r="E852" s="75">
        <f>PARAM!$C$26+MAX($G$3-CHOOSE(PARAM!$B$44,MAX(0,F851*$F$1),0),0)*RATES!$L828/12+$H$3*(PARAM!$D$51/12)*RATES!$N828/100</f>
        <v>1190.0416666666667</v>
      </c>
      <c r="F852" s="16">
        <f t="shared" si="539"/>
        <v>-184294.44806874736</v>
      </c>
      <c r="G852" s="15">
        <f t="shared" si="540"/>
        <v>22.035289406060361</v>
      </c>
      <c r="H852" s="75">
        <f>G852*(1-PARAM!$C$27)*$I$4+(MOD($B852,60)=PARAM!$B$56)*($B852&gt;(60-PARAM!$B$56))*HLOOKUP(($B852+PARAM!$B$56)/12,Loyalty,2)*$F$1*MAX(J851,0)</f>
        <v>18.443537232872522</v>
      </c>
      <c r="I852" s="75">
        <f>PARAM!$C$26+MAX($G$4-CHOOSE(PARAM!$B$44,MAX(0,J851*$F$1),0),0)*RATES!$L828/12+$H$4*(PARAM!$D$51/12)*RATES!$N828/100</f>
        <v>1190.0416666666667</v>
      </c>
      <c r="J852" s="16">
        <f t="shared" si="541"/>
        <v>-182911.34067682855</v>
      </c>
      <c r="K852" s="15">
        <f t="shared" si="542"/>
        <v>22.170849845882874</v>
      </c>
      <c r="L852" s="75">
        <f>K852*(1-PARAM!$C$27)*$I$5+(MOD($B852,60)=PARAM!$B$56)*($B852&gt;(60-PARAM!$B$56))*HLOOKUP(($B852+PARAM!$B$56)/12,Loyalty,2)*$F$1*MAX(N851,0)</f>
        <v>18.557001321003963</v>
      </c>
      <c r="M852" s="75">
        <f>PARAM!$C$26+MAX($G$5-CHOOSE(PARAM!$B$44,MAX(0,N851*$F$1),0),0)*RATES!$L828/12+$H$5*(PARAM!$D$51/12)*RATES!$N828/100</f>
        <v>1190.0416666666667</v>
      </c>
      <c r="N852" s="16">
        <f t="shared" si="543"/>
        <v>-182814.71526772066</v>
      </c>
      <c r="O852" s="15">
        <f t="shared" si="544"/>
        <v>22.170849845882874</v>
      </c>
      <c r="P852" s="75">
        <f>O852*(1-PARAM!$C$27)*$I$6+(MOD($B852,60)=PARAM!$B$56)*($B852&gt;(60-PARAM!$B$56))*HLOOKUP(($B852+PARAM!$B$56)/12,Loyalty,2)*$F$1*MAX(R851,0)</f>
        <v>18.557001321003963</v>
      </c>
      <c r="Q852" s="75">
        <f>PARAM!$C$26+MAX($G$6-CHOOSE(PARAM!$B$44,MAX(0,R851*$F$1),0),0)*RATES!$L828/12+$H$6*(PARAM!$D$51/12)*RATES!$N828/100</f>
        <v>1190.0416666666667</v>
      </c>
      <c r="R852" s="16">
        <f t="shared" si="545"/>
        <v>-182814.71526772066</v>
      </c>
      <c r="S852" s="15">
        <f t="shared" si="520"/>
        <v>22.170849845882874</v>
      </c>
      <c r="T852" s="75">
        <f>S852*(1-PARAM!$C$27)*$I$7+(MOD($B852,60)=PARAM!$B$56)*($B852&gt;(60-PARAM!$B$56))*HLOOKUP(($B852+PARAM!$B$56)/12,Loyalty,2)*$F$1*MAX(V851,0)</f>
        <v>18.557001321003963</v>
      </c>
      <c r="U852" s="75">
        <f>PARAM!$C$26+MAX($G$7-CHOOSE(PARAM!$B$44,MAX(0,V851*$F$1),0),0)*RATES!$L828/12+$H$7*(PARAM!$D$51/12)*RATES!$N828/100</f>
        <v>1190.0416666666667</v>
      </c>
      <c r="V852" s="16">
        <f t="shared" si="546"/>
        <v>-182814.71526772066</v>
      </c>
      <c r="W852" s="15">
        <f t="shared" si="521"/>
        <v>22.170849845882874</v>
      </c>
      <c r="X852" s="75">
        <f>W852*(1-PARAM!$C$27)*$I$8+(MOD($B852,60)=PARAM!$B$56)*($B852&gt;(60-PARAM!$B$56))*HLOOKUP(($B852+PARAM!$B$56)/12,Loyalty,2)*$F$1*MAX(Z851,0)</f>
        <v>18.557001321003963</v>
      </c>
      <c r="Y852" s="75">
        <f>PARAM!$C$26+MAX($G$8-CHOOSE(PARAM!$B$44,MAX(0,Z851*$F$1),0),0)*RATES!$L828/12+$H$8*(PARAM!$D$51/12)*RATES!$N828/100</f>
        <v>1190.0416666666667</v>
      </c>
      <c r="Z852" s="16">
        <f t="shared" si="547"/>
        <v>-182814.71526772066</v>
      </c>
      <c r="AA852" s="15">
        <f t="shared" si="522"/>
        <v>22.170849845882874</v>
      </c>
      <c r="AB852" s="75">
        <f>AA852*(1-PARAM!$C$27)*$I$9+(MOD($B852,60)=PARAM!$B$56)*($B852&gt;(60-PARAM!$B$56))*HLOOKUP(($B852+PARAM!$B$56)/12,Loyalty,2)*$F$1*MAX(AD851,0)</f>
        <v>18.557001321003963</v>
      </c>
      <c r="AC852" s="75">
        <f>PARAM!$C$26+MAX($G$9-CHOOSE(PARAM!$B$44,MAX(0,AD851*$F$1),0),0)*RATES!$L828/12+$H$9*(PARAM!$D$51/12)*RATES!$N828/100</f>
        <v>1190.0416666666667</v>
      </c>
      <c r="AD852" s="16">
        <f t="shared" si="548"/>
        <v>-182814.71526772066</v>
      </c>
      <c r="AE852" s="15">
        <f t="shared" si="523"/>
        <v>22.170849845882874</v>
      </c>
      <c r="AF852" s="75">
        <f>AE852*(1-PARAM!$C$27)*$I$10+(MOD($B852,60)=PARAM!$B$56)*($B852&gt;(60-PARAM!$B$56))*HLOOKUP(($B852+PARAM!$B$56)/12,Loyalty,2)*$F$1*MAX(AH851,0)</f>
        <v>18.557001321003963</v>
      </c>
      <c r="AG852" s="75">
        <f>PARAM!$C$26+MAX($G$10-CHOOSE(PARAM!$B$44,MAX(0,AH851*$F$1),0),0)*RATES!$L828/12+$H$10*(PARAM!$D$51/12)*RATES!$N828/100</f>
        <v>1190.0416666666667</v>
      </c>
      <c r="AH852" s="16">
        <f t="shared" si="549"/>
        <v>-182814.71526772066</v>
      </c>
      <c r="AI852" s="15">
        <f t="shared" si="524"/>
        <v>22.170849845882874</v>
      </c>
      <c r="AJ852" s="75">
        <f>AI852*(1-PARAM!$C$27)*$I$11+(MOD($B852,60)=PARAM!$B$56)*($B852&gt;(60-PARAM!$B$56))*HLOOKUP(($B852+PARAM!$B$56)/12,Loyalty,2)*$F$1*MAX(AL851,0)</f>
        <v>18.557001321003963</v>
      </c>
      <c r="AK852" s="75">
        <f>PARAM!$C$26+MAX($G$11-CHOOSE(PARAM!$B$44,MAX(0,AL851*$F$1),0),0)*RATES!$L828/12+$H$11*(PARAM!$D$51/12)*RATES!$N828/100</f>
        <v>1190.0416666666667</v>
      </c>
      <c r="AL852" s="16">
        <f t="shared" si="550"/>
        <v>-182814.71526772066</v>
      </c>
      <c r="AM852" s="15">
        <f t="shared" si="525"/>
        <v>22.170849845882874</v>
      </c>
      <c r="AN852" s="75">
        <f>AM852*(1-PARAM!$C$27)*$I$12+(MOD($B852,60)=PARAM!$B$56)*($B852&gt;(60-PARAM!$B$56))*HLOOKUP(($B852+PARAM!$B$56)/12,Loyalty,2)*$F$1*MAX(AP851,0)</f>
        <v>18.557001321003963</v>
      </c>
      <c r="AO852" s="75">
        <f>PARAM!$C$26+MAX($G$12-CHOOSE(PARAM!$B$44,MAX(0,AP851*$F$1),0),0)*RATES!$L828/12+$H$12*(PARAM!$D$51/12)*RATES!$N828/100</f>
        <v>1190.0416666666667</v>
      </c>
      <c r="AP852" s="16">
        <f t="shared" si="551"/>
        <v>-182814.71526772066</v>
      </c>
      <c r="AQ852" s="15">
        <f t="shared" si="526"/>
        <v>22.170849845882874</v>
      </c>
      <c r="AR852" s="75">
        <f>AQ852*(1-PARAM!$C$27)*$I$13+(MOD($B852,60)=PARAM!$B$56)*($B852&gt;(60-PARAM!$B$56))*HLOOKUP(($B852+PARAM!$B$56)/12,Loyalty,2)*$F$1*MAX(AT851,0)</f>
        <v>18.557001321003963</v>
      </c>
      <c r="AS852" s="75">
        <f>PARAM!$C$26+MAX($G$13-CHOOSE(PARAM!$B$44,MAX(0,AT851*$F$1),0),0)*RATES!$L828/12+$H$13*(PARAM!$D$51/12)*RATES!$N828/100</f>
        <v>1190.0416666666667</v>
      </c>
      <c r="AT852" s="16">
        <f t="shared" si="552"/>
        <v>-182814.71526772066</v>
      </c>
      <c r="AU852" s="15">
        <f t="shared" si="527"/>
        <v>22.170849845882874</v>
      </c>
      <c r="AV852" s="75">
        <f>AU852*(1-PARAM!$C$27)*$I$14+(MOD($B852,60)=PARAM!$B$56)*($B852&gt;(60-PARAM!$B$56))*HLOOKUP(($B852+PARAM!$B$56)/12,Loyalty,2)*$F$1*MAX(AX851,0)</f>
        <v>18.557001321003963</v>
      </c>
      <c r="AW852" s="75">
        <f>PARAM!$C$26+MAX($G$14-CHOOSE(PARAM!$B$44,MAX(0,AX851*$F$1),0),0)*RATES!$L828/12+$H$14*(PARAM!$D$51/12)*RATES!$N828/100</f>
        <v>1190.0416666666667</v>
      </c>
      <c r="AX852" s="16">
        <f t="shared" si="553"/>
        <v>-182814.71526772066</v>
      </c>
      <c r="AY852" s="15">
        <f t="shared" si="528"/>
        <v>22.170849845882874</v>
      </c>
      <c r="AZ852" s="75">
        <f>AY852*(1-PARAM!$C$27)*$I$15+(MOD($B852,60)=PARAM!$B$56)*($B852&gt;(60-PARAM!$B$56))*HLOOKUP(($B852+PARAM!$B$56)/12,Loyalty,2)*$F$1*MAX(BB851,0)</f>
        <v>18.557001321003963</v>
      </c>
      <c r="BA852" s="75">
        <f>PARAM!$C$26+MAX($G$15-CHOOSE(PARAM!$B$44,MAX(0,BB851*$F$1),0),0)*RATES!$L828/12+$H$15*(PARAM!$D$51/12)*RATES!$N828/100</f>
        <v>1190.0416666666667</v>
      </c>
      <c r="BB852" s="16">
        <f t="shared" si="554"/>
        <v>-182814.71526772066</v>
      </c>
      <c r="BC852" s="15">
        <f t="shared" si="529"/>
        <v>22.170849845882874</v>
      </c>
      <c r="BD852" s="75">
        <f>BC852*(1-PARAM!$C$27)*$I$16+(MOD($B852,60)=PARAM!$B$56)*($B852&gt;(60-PARAM!$B$56))*HLOOKUP(($B852+PARAM!$B$56)/12,Loyalty,2)*$F$1*MAX(BF851,0)</f>
        <v>18.557001321003963</v>
      </c>
      <c r="BE852" s="75">
        <f>PARAM!$C$26+MAX($G$16-CHOOSE(PARAM!$B$44,MAX(0,BF851*$F$1),0),0)*RATES!$L828/12+$H$16*(PARAM!$D$51/12)*RATES!$N828/100</f>
        <v>1190.0416666666667</v>
      </c>
      <c r="BF852" s="16">
        <f t="shared" si="555"/>
        <v>-182814.71526772066</v>
      </c>
      <c r="BG852" s="15">
        <f t="shared" si="530"/>
        <v>22.170849845882874</v>
      </c>
      <c r="BH852" s="75">
        <f>BG852*(1-PARAM!$C$27)*$I$17+(MOD($B852,60)=PARAM!$B$56)*($B852&gt;(60-PARAM!$B$56))*HLOOKUP(($B852+PARAM!$B$56)/12,Loyalty,2)*$F$1*MAX(BJ851,0)</f>
        <v>18.557001321003963</v>
      </c>
      <c r="BI852" s="75">
        <f>PARAM!$C$26+MAX($G$17-CHOOSE(PARAM!$B$44,MAX(0,BJ851*$F$1),0),0)*RATES!$L828/12+$H$17*(PARAM!$D$51/12)*RATES!$N828/100</f>
        <v>1190.0416666666667</v>
      </c>
      <c r="BJ852" s="16">
        <f t="shared" si="556"/>
        <v>-182814.71526772066</v>
      </c>
      <c r="BK852" s="15">
        <f t="shared" si="531"/>
        <v>22.170849845882874</v>
      </c>
      <c r="BL852" s="75">
        <f>BK852*(1-PARAM!$C$27)*$I$18+(MOD($B852,60)=PARAM!$B$56)*($B852&gt;(60-PARAM!$B$56))*HLOOKUP(($B852+PARAM!$B$56)/12,Loyalty,2)*$F$1*MAX(BN851,0)</f>
        <v>18.557001321003963</v>
      </c>
      <c r="BM852" s="75">
        <f>PARAM!$C$26+MAX($G$18-CHOOSE(PARAM!$B$44,MAX(0,BN851*$F$1),0),0)*RATES!$L828/12+$H$18*(PARAM!$D$51/12)*RATES!$N828/100</f>
        <v>1190.0416666666667</v>
      </c>
      <c r="BN852" s="16">
        <f t="shared" si="557"/>
        <v>-182814.71526772066</v>
      </c>
      <c r="BO852" s="15">
        <f t="shared" si="532"/>
        <v>22.170849845882874</v>
      </c>
      <c r="BP852" s="75">
        <f>BO852*(1-PARAM!$C$27)*$I$19+(MOD($B852,60)=PARAM!$B$56)*($B852&gt;(60-PARAM!$B$56))*HLOOKUP(($B852+PARAM!$B$56)/12,Loyalty,2)*$F$1*MAX(BR851,0)</f>
        <v>18.557001321003963</v>
      </c>
      <c r="BQ852" s="75">
        <f>PARAM!$C$26+MAX($G$19-CHOOSE(PARAM!$B$44,MAX(0,BR851*$F$1),0),0)*RATES!$L828/12+$H$19*(PARAM!$D$51/12)*RATES!$N828/100</f>
        <v>1190.0416666666667</v>
      </c>
      <c r="BR852" s="16">
        <f t="shared" si="558"/>
        <v>-182814.71526772066</v>
      </c>
      <c r="BS852" s="15">
        <f t="shared" si="533"/>
        <v>22.170849845882874</v>
      </c>
      <c r="BT852" s="75">
        <f>BS852*(1-PARAM!$C$27)*$I$20+(MOD($B852,60)=PARAM!$B$56)*($B852&gt;(60-PARAM!$B$56))*HLOOKUP(($B852+PARAM!$B$56)/12,Loyalty,2)*$F$1*MAX(BV851,0)</f>
        <v>18.557001321003963</v>
      </c>
      <c r="BU852" s="75">
        <f>PARAM!$C$26+MAX($G$20-CHOOSE(PARAM!$B$44,MAX(0,BV851*$F$1),0),0)*RATES!$L828/12+$H$20*(PARAM!$D$51/12)*RATES!$N828/100</f>
        <v>1190.0416666666667</v>
      </c>
      <c r="BV852" s="16">
        <f t="shared" si="559"/>
        <v>-182814.71526772066</v>
      </c>
      <c r="BW852" s="15">
        <f t="shared" si="534"/>
        <v>22.170849845882874</v>
      </c>
      <c r="BX852" s="75">
        <f>BW852*(1-PARAM!$C$27)*$I$21+(MOD($B852,60)=PARAM!$B$56)*($B852&gt;(60-PARAM!$B$56))*HLOOKUP(($B852+PARAM!$B$56)/12,Loyalty,2)*$F$1*MAX(BZ851,0)</f>
        <v>18.557001321003963</v>
      </c>
      <c r="BY852" s="75">
        <f>PARAM!$C$26+MAX($G$21-CHOOSE(PARAM!$B$44,MAX(0,BZ851*$F$1),0),0)*RATES!$L828/12+$H$21*(PARAM!$D$51/12)*RATES!$N828/100</f>
        <v>1190.0416666666667</v>
      </c>
      <c r="BZ852" s="16">
        <f t="shared" si="560"/>
        <v>-182814.71526772066</v>
      </c>
      <c r="CA852" s="15">
        <f t="shared" si="535"/>
        <v>22.170849845882874</v>
      </c>
      <c r="CB852" s="75">
        <f>CA852*(1-PARAM!$C$27)*$I$22+(MOD($B852,60)=PARAM!$B$56)*($B852&gt;(60-PARAM!$B$56))*HLOOKUP(($B852+PARAM!$B$56)/12,Loyalty,2)*$F$1*MAX(CD851,0)</f>
        <v>18.557001321003963</v>
      </c>
      <c r="CC852" s="75">
        <f>PARAM!$C$26+MAX($G$22-CHOOSE(PARAM!$B$44,MAX(0,CD851*$F$1),0),0)*RATES!$L828/12+$H$22*(PARAM!$D$51/12)*RATES!$N828/100</f>
        <v>1190.0416666666667</v>
      </c>
      <c r="CD852" s="16">
        <f t="shared" si="561"/>
        <v>-182814.71526772066</v>
      </c>
      <c r="CE852" s="33">
        <f>IF(0=MOD(B852,12/PARAM!$D$51),1,0)</f>
        <v>1</v>
      </c>
      <c r="CF852" s="15">
        <f t="shared" si="536"/>
        <v>0</v>
      </c>
      <c r="CG852" s="75">
        <f>CF852*(1-PARAM!$C$27)*$R$3+(MOD($B852/12,5)=0)*($B852&gt;60)*HLOOKUP($B852/12,Loyalty,2)*$F$1*MAX(CI851,0)</f>
        <v>0</v>
      </c>
      <c r="CH852" s="75">
        <f>PARAM!$C$26+MAX($P$3-CHOOSE(PARAM!$B$44,MAX(0,CI851*$F$1),0),0)*RATES!$L828/12+$Q$3*(PARAM!$D$51/12)*RATES!$N828/100</f>
        <v>1190.0416666666667</v>
      </c>
      <c r="CI852" s="16">
        <f>IF(CI851&gt;0,CI851*PARAM!$C$53,CI851)+CG852-CH852</f>
        <v>-198004.6666666668</v>
      </c>
      <c r="CJ852" s="15">
        <f t="shared" si="562"/>
        <v>0</v>
      </c>
      <c r="CK852" s="75">
        <f>CJ852*(1-PARAM!$C$27)*$R$4+(MOD($B852/12,5)=0)*($B852&gt;60)*HLOOKUP($B852/12,Loyalty,2)*$F$1*MAX(CM851,0)</f>
        <v>0</v>
      </c>
      <c r="CL852" s="75">
        <f>PARAM!$C$26+MAX($P$4-CHOOSE(PARAM!$B$44,MAX(0,CM851*$F$1),0),0)*RATES!$L828/12+$Q$4*(PARAM!$D$51/12)*RATES!$N828/100</f>
        <v>1190.0416666666667</v>
      </c>
      <c r="CM852" s="16">
        <f>IF(CM851&gt;0,CM851*PARAM!$C$53,CM851)+CK852-CL852</f>
        <v>-198004.6666666668</v>
      </c>
      <c r="CO852" s="176"/>
    </row>
    <row r="853" spans="1:93" x14ac:dyDescent="0.2">
      <c r="A853" t="b">
        <f t="shared" si="537"/>
        <v>0</v>
      </c>
      <c r="B853" s="33">
        <v>826</v>
      </c>
      <c r="C853" s="15">
        <f t="shared" si="538"/>
        <v>20.081305947392778</v>
      </c>
      <c r="D853" s="75">
        <f>C853*(1-PARAM!$C$27)*$I$3+(MOD($B853,60)=PARAM!$B$56)*($B853&gt;(60-PARAM!$B$56))*HLOOKUP(($B853+PARAM!$B$56)/12,Loyalty,2)*$F$1*MAX(F852,0)</f>
        <v>16.808053077967756</v>
      </c>
      <c r="E853" s="75">
        <f>PARAM!$C$26+MAX($G$3-CHOOSE(PARAM!$B$44,MAX(0,F852*$F$1),0),0)*RATES!$L829/12+$H$3*(PARAM!$D$51/12)*RATES!$N829/100</f>
        <v>1190.0416666666667</v>
      </c>
      <c r="F853" s="16">
        <f t="shared" si="539"/>
        <v>-185467.68168233606</v>
      </c>
      <c r="G853" s="15">
        <f t="shared" si="540"/>
        <v>22.035289406060361</v>
      </c>
      <c r="H853" s="75">
        <f>G853*(1-PARAM!$C$27)*$I$4+(MOD($B853,60)=PARAM!$B$56)*($B853&gt;(60-PARAM!$B$56))*HLOOKUP(($B853+PARAM!$B$56)/12,Loyalty,2)*$F$1*MAX(J852,0)</f>
        <v>18.443537232872522</v>
      </c>
      <c r="I853" s="75">
        <f>PARAM!$C$26+MAX($G$4-CHOOSE(PARAM!$B$44,MAX(0,J852*$F$1),0),0)*RATES!$L829/12+$H$4*(PARAM!$D$51/12)*RATES!$N829/100</f>
        <v>1190.0416666666667</v>
      </c>
      <c r="J853" s="16">
        <f t="shared" si="541"/>
        <v>-184082.93880626233</v>
      </c>
      <c r="K853" s="15">
        <f t="shared" si="542"/>
        <v>22.170849845882874</v>
      </c>
      <c r="L853" s="75">
        <f>K853*(1-PARAM!$C$27)*$I$5+(MOD($B853,60)=PARAM!$B$56)*($B853&gt;(60-PARAM!$B$56))*HLOOKUP(($B853+PARAM!$B$56)/12,Loyalty,2)*$F$1*MAX(N852,0)</f>
        <v>18.557001321003963</v>
      </c>
      <c r="M853" s="75">
        <f>PARAM!$C$26+MAX($G$5-CHOOSE(PARAM!$B$44,MAX(0,N852*$F$1),0),0)*RATES!$L829/12+$H$5*(PARAM!$D$51/12)*RATES!$N829/100</f>
        <v>1190.0416666666667</v>
      </c>
      <c r="N853" s="16">
        <f t="shared" si="543"/>
        <v>-183986.19993306632</v>
      </c>
      <c r="O853" s="15">
        <f t="shared" si="544"/>
        <v>22.170849845882874</v>
      </c>
      <c r="P853" s="75">
        <f>O853*(1-PARAM!$C$27)*$I$6+(MOD($B853,60)=PARAM!$B$56)*($B853&gt;(60-PARAM!$B$56))*HLOOKUP(($B853+PARAM!$B$56)/12,Loyalty,2)*$F$1*MAX(R852,0)</f>
        <v>18.557001321003963</v>
      </c>
      <c r="Q853" s="75">
        <f>PARAM!$C$26+MAX($G$6-CHOOSE(PARAM!$B$44,MAX(0,R852*$F$1),0),0)*RATES!$L829/12+$H$6*(PARAM!$D$51/12)*RATES!$N829/100</f>
        <v>1190.0416666666667</v>
      </c>
      <c r="R853" s="16">
        <f t="shared" si="545"/>
        <v>-183986.19993306632</v>
      </c>
      <c r="S853" s="15">
        <f t="shared" si="520"/>
        <v>22.170849845882874</v>
      </c>
      <c r="T853" s="75">
        <f>S853*(1-PARAM!$C$27)*$I$7+(MOD($B853,60)=PARAM!$B$56)*($B853&gt;(60-PARAM!$B$56))*HLOOKUP(($B853+PARAM!$B$56)/12,Loyalty,2)*$F$1*MAX(V852,0)</f>
        <v>18.557001321003963</v>
      </c>
      <c r="U853" s="75">
        <f>PARAM!$C$26+MAX($G$7-CHOOSE(PARAM!$B$44,MAX(0,V852*$F$1),0),0)*RATES!$L829/12+$H$7*(PARAM!$D$51/12)*RATES!$N829/100</f>
        <v>1190.0416666666667</v>
      </c>
      <c r="V853" s="16">
        <f t="shared" si="546"/>
        <v>-183986.19993306632</v>
      </c>
      <c r="W853" s="15">
        <f t="shared" si="521"/>
        <v>22.170849845882874</v>
      </c>
      <c r="X853" s="75">
        <f>W853*(1-PARAM!$C$27)*$I$8+(MOD($B853,60)=PARAM!$B$56)*($B853&gt;(60-PARAM!$B$56))*HLOOKUP(($B853+PARAM!$B$56)/12,Loyalty,2)*$F$1*MAX(Z852,0)</f>
        <v>18.557001321003963</v>
      </c>
      <c r="Y853" s="75">
        <f>PARAM!$C$26+MAX($G$8-CHOOSE(PARAM!$B$44,MAX(0,Z852*$F$1),0),0)*RATES!$L829/12+$H$8*(PARAM!$D$51/12)*RATES!$N829/100</f>
        <v>1190.0416666666667</v>
      </c>
      <c r="Z853" s="16">
        <f t="shared" si="547"/>
        <v>-183986.19993306632</v>
      </c>
      <c r="AA853" s="15">
        <f t="shared" si="522"/>
        <v>22.170849845882874</v>
      </c>
      <c r="AB853" s="75">
        <f>AA853*(1-PARAM!$C$27)*$I$9+(MOD($B853,60)=PARAM!$B$56)*($B853&gt;(60-PARAM!$B$56))*HLOOKUP(($B853+PARAM!$B$56)/12,Loyalty,2)*$F$1*MAX(AD852,0)</f>
        <v>18.557001321003963</v>
      </c>
      <c r="AC853" s="75">
        <f>PARAM!$C$26+MAX($G$9-CHOOSE(PARAM!$B$44,MAX(0,AD852*$F$1),0),0)*RATES!$L829/12+$H$9*(PARAM!$D$51/12)*RATES!$N829/100</f>
        <v>1190.0416666666667</v>
      </c>
      <c r="AD853" s="16">
        <f t="shared" si="548"/>
        <v>-183986.19993306632</v>
      </c>
      <c r="AE853" s="15">
        <f t="shared" si="523"/>
        <v>22.170849845882874</v>
      </c>
      <c r="AF853" s="75">
        <f>AE853*(1-PARAM!$C$27)*$I$10+(MOD($B853,60)=PARAM!$B$56)*($B853&gt;(60-PARAM!$B$56))*HLOOKUP(($B853+PARAM!$B$56)/12,Loyalty,2)*$F$1*MAX(AH852,0)</f>
        <v>18.557001321003963</v>
      </c>
      <c r="AG853" s="75">
        <f>PARAM!$C$26+MAX($G$10-CHOOSE(PARAM!$B$44,MAX(0,AH852*$F$1),0),0)*RATES!$L829/12+$H$10*(PARAM!$D$51/12)*RATES!$N829/100</f>
        <v>1190.0416666666667</v>
      </c>
      <c r="AH853" s="16">
        <f t="shared" si="549"/>
        <v>-183986.19993306632</v>
      </c>
      <c r="AI853" s="15">
        <f t="shared" si="524"/>
        <v>22.170849845882874</v>
      </c>
      <c r="AJ853" s="75">
        <f>AI853*(1-PARAM!$C$27)*$I$11+(MOD($B853,60)=PARAM!$B$56)*($B853&gt;(60-PARAM!$B$56))*HLOOKUP(($B853+PARAM!$B$56)/12,Loyalty,2)*$F$1*MAX(AL852,0)</f>
        <v>18.557001321003963</v>
      </c>
      <c r="AK853" s="75">
        <f>PARAM!$C$26+MAX($G$11-CHOOSE(PARAM!$B$44,MAX(0,AL852*$F$1),0),0)*RATES!$L829/12+$H$11*(PARAM!$D$51/12)*RATES!$N829/100</f>
        <v>1190.0416666666667</v>
      </c>
      <c r="AL853" s="16">
        <f t="shared" si="550"/>
        <v>-183986.19993306632</v>
      </c>
      <c r="AM853" s="15">
        <f t="shared" si="525"/>
        <v>22.170849845882874</v>
      </c>
      <c r="AN853" s="75">
        <f>AM853*(1-PARAM!$C$27)*$I$12+(MOD($B853,60)=PARAM!$B$56)*($B853&gt;(60-PARAM!$B$56))*HLOOKUP(($B853+PARAM!$B$56)/12,Loyalty,2)*$F$1*MAX(AP852,0)</f>
        <v>18.557001321003963</v>
      </c>
      <c r="AO853" s="75">
        <f>PARAM!$C$26+MAX($G$12-CHOOSE(PARAM!$B$44,MAX(0,AP852*$F$1),0),0)*RATES!$L829/12+$H$12*(PARAM!$D$51/12)*RATES!$N829/100</f>
        <v>1190.0416666666667</v>
      </c>
      <c r="AP853" s="16">
        <f t="shared" si="551"/>
        <v>-183986.19993306632</v>
      </c>
      <c r="AQ853" s="15">
        <f t="shared" si="526"/>
        <v>22.170849845882874</v>
      </c>
      <c r="AR853" s="75">
        <f>AQ853*(1-PARAM!$C$27)*$I$13+(MOD($B853,60)=PARAM!$B$56)*($B853&gt;(60-PARAM!$B$56))*HLOOKUP(($B853+PARAM!$B$56)/12,Loyalty,2)*$F$1*MAX(AT852,0)</f>
        <v>18.557001321003963</v>
      </c>
      <c r="AS853" s="75">
        <f>PARAM!$C$26+MAX($G$13-CHOOSE(PARAM!$B$44,MAX(0,AT852*$F$1),0),0)*RATES!$L829/12+$H$13*(PARAM!$D$51/12)*RATES!$N829/100</f>
        <v>1190.0416666666667</v>
      </c>
      <c r="AT853" s="16">
        <f t="shared" si="552"/>
        <v>-183986.19993306632</v>
      </c>
      <c r="AU853" s="15">
        <f t="shared" si="527"/>
        <v>22.170849845882874</v>
      </c>
      <c r="AV853" s="75">
        <f>AU853*(1-PARAM!$C$27)*$I$14+(MOD($B853,60)=PARAM!$B$56)*($B853&gt;(60-PARAM!$B$56))*HLOOKUP(($B853+PARAM!$B$56)/12,Loyalty,2)*$F$1*MAX(AX852,0)</f>
        <v>18.557001321003963</v>
      </c>
      <c r="AW853" s="75">
        <f>PARAM!$C$26+MAX($G$14-CHOOSE(PARAM!$B$44,MAX(0,AX852*$F$1),0),0)*RATES!$L829/12+$H$14*(PARAM!$D$51/12)*RATES!$N829/100</f>
        <v>1190.0416666666667</v>
      </c>
      <c r="AX853" s="16">
        <f t="shared" si="553"/>
        <v>-183986.19993306632</v>
      </c>
      <c r="AY853" s="15">
        <f t="shared" si="528"/>
        <v>22.170849845882874</v>
      </c>
      <c r="AZ853" s="75">
        <f>AY853*(1-PARAM!$C$27)*$I$15+(MOD($B853,60)=PARAM!$B$56)*($B853&gt;(60-PARAM!$B$56))*HLOOKUP(($B853+PARAM!$B$56)/12,Loyalty,2)*$F$1*MAX(BB852,0)</f>
        <v>18.557001321003963</v>
      </c>
      <c r="BA853" s="75">
        <f>PARAM!$C$26+MAX($G$15-CHOOSE(PARAM!$B$44,MAX(0,BB852*$F$1),0),0)*RATES!$L829/12+$H$15*(PARAM!$D$51/12)*RATES!$N829/100</f>
        <v>1190.0416666666667</v>
      </c>
      <c r="BB853" s="16">
        <f t="shared" si="554"/>
        <v>-183986.19993306632</v>
      </c>
      <c r="BC853" s="15">
        <f t="shared" si="529"/>
        <v>22.170849845882874</v>
      </c>
      <c r="BD853" s="75">
        <f>BC853*(1-PARAM!$C$27)*$I$16+(MOD($B853,60)=PARAM!$B$56)*($B853&gt;(60-PARAM!$B$56))*HLOOKUP(($B853+PARAM!$B$56)/12,Loyalty,2)*$F$1*MAX(BF852,0)</f>
        <v>18.557001321003963</v>
      </c>
      <c r="BE853" s="75">
        <f>PARAM!$C$26+MAX($G$16-CHOOSE(PARAM!$B$44,MAX(0,BF852*$F$1),0),0)*RATES!$L829/12+$H$16*(PARAM!$D$51/12)*RATES!$N829/100</f>
        <v>1190.0416666666667</v>
      </c>
      <c r="BF853" s="16">
        <f t="shared" si="555"/>
        <v>-183986.19993306632</v>
      </c>
      <c r="BG853" s="15">
        <f t="shared" si="530"/>
        <v>22.170849845882874</v>
      </c>
      <c r="BH853" s="75">
        <f>BG853*(1-PARAM!$C$27)*$I$17+(MOD($B853,60)=PARAM!$B$56)*($B853&gt;(60-PARAM!$B$56))*HLOOKUP(($B853+PARAM!$B$56)/12,Loyalty,2)*$F$1*MAX(BJ852,0)</f>
        <v>18.557001321003963</v>
      </c>
      <c r="BI853" s="75">
        <f>PARAM!$C$26+MAX($G$17-CHOOSE(PARAM!$B$44,MAX(0,BJ852*$F$1),0),0)*RATES!$L829/12+$H$17*(PARAM!$D$51/12)*RATES!$N829/100</f>
        <v>1190.0416666666667</v>
      </c>
      <c r="BJ853" s="16">
        <f t="shared" si="556"/>
        <v>-183986.19993306632</v>
      </c>
      <c r="BK853" s="15">
        <f t="shared" si="531"/>
        <v>22.170849845882874</v>
      </c>
      <c r="BL853" s="75">
        <f>BK853*(1-PARAM!$C$27)*$I$18+(MOD($B853,60)=PARAM!$B$56)*($B853&gt;(60-PARAM!$B$56))*HLOOKUP(($B853+PARAM!$B$56)/12,Loyalty,2)*$F$1*MAX(BN852,0)</f>
        <v>18.557001321003963</v>
      </c>
      <c r="BM853" s="75">
        <f>PARAM!$C$26+MAX($G$18-CHOOSE(PARAM!$B$44,MAX(0,BN852*$F$1),0),0)*RATES!$L829/12+$H$18*(PARAM!$D$51/12)*RATES!$N829/100</f>
        <v>1190.0416666666667</v>
      </c>
      <c r="BN853" s="16">
        <f t="shared" si="557"/>
        <v>-183986.19993306632</v>
      </c>
      <c r="BO853" s="15">
        <f t="shared" si="532"/>
        <v>22.170849845882874</v>
      </c>
      <c r="BP853" s="75">
        <f>BO853*(1-PARAM!$C$27)*$I$19+(MOD($B853,60)=PARAM!$B$56)*($B853&gt;(60-PARAM!$B$56))*HLOOKUP(($B853+PARAM!$B$56)/12,Loyalty,2)*$F$1*MAX(BR852,0)</f>
        <v>18.557001321003963</v>
      </c>
      <c r="BQ853" s="75">
        <f>PARAM!$C$26+MAX($G$19-CHOOSE(PARAM!$B$44,MAX(0,BR852*$F$1),0),0)*RATES!$L829/12+$H$19*(PARAM!$D$51/12)*RATES!$N829/100</f>
        <v>1190.0416666666667</v>
      </c>
      <c r="BR853" s="16">
        <f t="shared" si="558"/>
        <v>-183986.19993306632</v>
      </c>
      <c r="BS853" s="15">
        <f t="shared" si="533"/>
        <v>22.170849845882874</v>
      </c>
      <c r="BT853" s="75">
        <f>BS853*(1-PARAM!$C$27)*$I$20+(MOD($B853,60)=PARAM!$B$56)*($B853&gt;(60-PARAM!$B$56))*HLOOKUP(($B853+PARAM!$B$56)/12,Loyalty,2)*$F$1*MAX(BV852,0)</f>
        <v>18.557001321003963</v>
      </c>
      <c r="BU853" s="75">
        <f>PARAM!$C$26+MAX($G$20-CHOOSE(PARAM!$B$44,MAX(0,BV852*$F$1),0),0)*RATES!$L829/12+$H$20*(PARAM!$D$51/12)*RATES!$N829/100</f>
        <v>1190.0416666666667</v>
      </c>
      <c r="BV853" s="16">
        <f t="shared" si="559"/>
        <v>-183986.19993306632</v>
      </c>
      <c r="BW853" s="15">
        <f t="shared" si="534"/>
        <v>22.170849845882874</v>
      </c>
      <c r="BX853" s="75">
        <f>BW853*(1-PARAM!$C$27)*$I$21+(MOD($B853,60)=PARAM!$B$56)*($B853&gt;(60-PARAM!$B$56))*HLOOKUP(($B853+PARAM!$B$56)/12,Loyalty,2)*$F$1*MAX(BZ852,0)</f>
        <v>18.557001321003963</v>
      </c>
      <c r="BY853" s="75">
        <f>PARAM!$C$26+MAX($G$21-CHOOSE(PARAM!$B$44,MAX(0,BZ852*$F$1),0),0)*RATES!$L829/12+$H$21*(PARAM!$D$51/12)*RATES!$N829/100</f>
        <v>1190.0416666666667</v>
      </c>
      <c r="BZ853" s="16">
        <f t="shared" si="560"/>
        <v>-183986.19993306632</v>
      </c>
      <c r="CA853" s="15">
        <f t="shared" si="535"/>
        <v>22.170849845882874</v>
      </c>
      <c r="CB853" s="75">
        <f>CA853*(1-PARAM!$C$27)*$I$22+(MOD($B853,60)=PARAM!$B$56)*($B853&gt;(60-PARAM!$B$56))*HLOOKUP(($B853+PARAM!$B$56)/12,Loyalty,2)*$F$1*MAX(CD852,0)</f>
        <v>18.557001321003963</v>
      </c>
      <c r="CC853" s="75">
        <f>PARAM!$C$26+MAX($G$22-CHOOSE(PARAM!$B$44,MAX(0,CD852*$F$1),0),0)*RATES!$L829/12+$H$22*(PARAM!$D$51/12)*RATES!$N829/100</f>
        <v>1190.0416666666667</v>
      </c>
      <c r="CD853" s="16">
        <f t="shared" si="561"/>
        <v>-183986.19993306632</v>
      </c>
      <c r="CE853" s="33">
        <f>IF(0=MOD(B853,12/PARAM!$D$51),1,0)</f>
        <v>1</v>
      </c>
      <c r="CF853" s="15">
        <f t="shared" si="536"/>
        <v>0</v>
      </c>
      <c r="CG853" s="75">
        <f>CF853*(1-PARAM!$C$27)*$R$3+(MOD($B853/12,5)=0)*($B853&gt;60)*HLOOKUP($B853/12,Loyalty,2)*$F$1*MAX(CI852,0)</f>
        <v>0</v>
      </c>
      <c r="CH853" s="75">
        <f>PARAM!$C$26+MAX($P$3-CHOOSE(PARAM!$B$44,MAX(0,CI852*$F$1),0),0)*RATES!$L829/12+$Q$3*(PARAM!$D$51/12)*RATES!$N829/100</f>
        <v>1190.0416666666667</v>
      </c>
      <c r="CI853" s="16">
        <f>IF(CI852&gt;0,CI852*PARAM!$C$53,CI852)+CG853-CH853</f>
        <v>-199194.70833333346</v>
      </c>
      <c r="CJ853" s="15">
        <f t="shared" si="562"/>
        <v>0</v>
      </c>
      <c r="CK853" s="75">
        <f>CJ853*(1-PARAM!$C$27)*$R$4+(MOD($B853/12,5)=0)*($B853&gt;60)*HLOOKUP($B853/12,Loyalty,2)*$F$1*MAX(CM852,0)</f>
        <v>0</v>
      </c>
      <c r="CL853" s="75">
        <f>PARAM!$C$26+MAX($P$4-CHOOSE(PARAM!$B$44,MAX(0,CM852*$F$1),0),0)*RATES!$L829/12+$Q$4*(PARAM!$D$51/12)*RATES!$N829/100</f>
        <v>1190.0416666666667</v>
      </c>
      <c r="CM853" s="16">
        <f>IF(CM852&gt;0,CM852*PARAM!$C$53,CM852)+CK853-CL853</f>
        <v>-199194.70833333346</v>
      </c>
      <c r="CO853" s="176"/>
    </row>
    <row r="854" spans="1:93" x14ac:dyDescent="0.2">
      <c r="A854" t="b">
        <f t="shared" si="537"/>
        <v>0</v>
      </c>
      <c r="B854" s="33">
        <v>827</v>
      </c>
      <c r="C854" s="15">
        <f t="shared" si="538"/>
        <v>20.081305947392778</v>
      </c>
      <c r="D854" s="75">
        <f>C854*(1-PARAM!$C$27)*$I$3+(MOD($B854,60)=PARAM!$B$56)*($B854&gt;(60-PARAM!$B$56))*HLOOKUP(($B854+PARAM!$B$56)/12,Loyalty,2)*$F$1*MAX(F853,0)</f>
        <v>16.808053077967756</v>
      </c>
      <c r="E854" s="75">
        <f>PARAM!$C$26+MAX($G$3-CHOOSE(PARAM!$B$44,MAX(0,F853*$F$1),0),0)*RATES!$L830/12+$H$3*(PARAM!$D$51/12)*RATES!$N830/100</f>
        <v>1190.0416666666667</v>
      </c>
      <c r="F854" s="16">
        <f t="shared" si="539"/>
        <v>-186640.91529592476</v>
      </c>
      <c r="G854" s="15">
        <f t="shared" si="540"/>
        <v>22.035289406060361</v>
      </c>
      <c r="H854" s="75">
        <f>G854*(1-PARAM!$C$27)*$I$4+(MOD($B854,60)=PARAM!$B$56)*($B854&gt;(60-PARAM!$B$56))*HLOOKUP(($B854+PARAM!$B$56)/12,Loyalty,2)*$F$1*MAX(J853,0)</f>
        <v>18.443537232872522</v>
      </c>
      <c r="I854" s="75">
        <f>PARAM!$C$26+MAX($G$4-CHOOSE(PARAM!$B$44,MAX(0,J853*$F$1),0),0)*RATES!$L830/12+$H$4*(PARAM!$D$51/12)*RATES!$N830/100</f>
        <v>1190.0416666666667</v>
      </c>
      <c r="J854" s="16">
        <f t="shared" si="541"/>
        <v>-185254.53693569612</v>
      </c>
      <c r="K854" s="15">
        <f t="shared" si="542"/>
        <v>22.170849845882874</v>
      </c>
      <c r="L854" s="75">
        <f>K854*(1-PARAM!$C$27)*$I$5+(MOD($B854,60)=PARAM!$B$56)*($B854&gt;(60-PARAM!$B$56))*HLOOKUP(($B854+PARAM!$B$56)/12,Loyalty,2)*$F$1*MAX(N853,0)</f>
        <v>18.557001321003963</v>
      </c>
      <c r="M854" s="75">
        <f>PARAM!$C$26+MAX($G$5-CHOOSE(PARAM!$B$44,MAX(0,N853*$F$1),0),0)*RATES!$L830/12+$H$5*(PARAM!$D$51/12)*RATES!$N830/100</f>
        <v>1190.0416666666667</v>
      </c>
      <c r="N854" s="16">
        <f t="shared" si="543"/>
        <v>-185157.68459841199</v>
      </c>
      <c r="O854" s="15">
        <f t="shared" si="544"/>
        <v>22.170849845882874</v>
      </c>
      <c r="P854" s="75">
        <f>O854*(1-PARAM!$C$27)*$I$6+(MOD($B854,60)=PARAM!$B$56)*($B854&gt;(60-PARAM!$B$56))*HLOOKUP(($B854+PARAM!$B$56)/12,Loyalty,2)*$F$1*MAX(R853,0)</f>
        <v>18.557001321003963</v>
      </c>
      <c r="Q854" s="75">
        <f>PARAM!$C$26+MAX($G$6-CHOOSE(PARAM!$B$44,MAX(0,R853*$F$1),0),0)*RATES!$L830/12+$H$6*(PARAM!$D$51/12)*RATES!$N830/100</f>
        <v>1190.0416666666667</v>
      </c>
      <c r="R854" s="16">
        <f t="shared" si="545"/>
        <v>-185157.68459841199</v>
      </c>
      <c r="S854" s="15">
        <f t="shared" si="520"/>
        <v>22.170849845882874</v>
      </c>
      <c r="T854" s="75">
        <f>S854*(1-PARAM!$C$27)*$I$7+(MOD($B854,60)=PARAM!$B$56)*($B854&gt;(60-PARAM!$B$56))*HLOOKUP(($B854+PARAM!$B$56)/12,Loyalty,2)*$F$1*MAX(V853,0)</f>
        <v>18.557001321003963</v>
      </c>
      <c r="U854" s="75">
        <f>PARAM!$C$26+MAX($G$7-CHOOSE(PARAM!$B$44,MAX(0,V853*$F$1),0),0)*RATES!$L830/12+$H$7*(PARAM!$D$51/12)*RATES!$N830/100</f>
        <v>1190.0416666666667</v>
      </c>
      <c r="V854" s="16">
        <f t="shared" si="546"/>
        <v>-185157.68459841199</v>
      </c>
      <c r="W854" s="15">
        <f t="shared" si="521"/>
        <v>22.170849845882874</v>
      </c>
      <c r="X854" s="75">
        <f>W854*(1-PARAM!$C$27)*$I$8+(MOD($B854,60)=PARAM!$B$56)*($B854&gt;(60-PARAM!$B$56))*HLOOKUP(($B854+PARAM!$B$56)/12,Loyalty,2)*$F$1*MAX(Z853,0)</f>
        <v>18.557001321003963</v>
      </c>
      <c r="Y854" s="75">
        <f>PARAM!$C$26+MAX($G$8-CHOOSE(PARAM!$B$44,MAX(0,Z853*$F$1),0),0)*RATES!$L830/12+$H$8*(PARAM!$D$51/12)*RATES!$N830/100</f>
        <v>1190.0416666666667</v>
      </c>
      <c r="Z854" s="16">
        <f t="shared" si="547"/>
        <v>-185157.68459841199</v>
      </c>
      <c r="AA854" s="15">
        <f t="shared" si="522"/>
        <v>22.170849845882874</v>
      </c>
      <c r="AB854" s="75">
        <f>AA854*(1-PARAM!$C$27)*$I$9+(MOD($B854,60)=PARAM!$B$56)*($B854&gt;(60-PARAM!$B$56))*HLOOKUP(($B854+PARAM!$B$56)/12,Loyalty,2)*$F$1*MAX(AD853,0)</f>
        <v>18.557001321003963</v>
      </c>
      <c r="AC854" s="75">
        <f>PARAM!$C$26+MAX($G$9-CHOOSE(PARAM!$B$44,MAX(0,AD853*$F$1),0),0)*RATES!$L830/12+$H$9*(PARAM!$D$51/12)*RATES!$N830/100</f>
        <v>1190.0416666666667</v>
      </c>
      <c r="AD854" s="16">
        <f t="shared" si="548"/>
        <v>-185157.68459841199</v>
      </c>
      <c r="AE854" s="15">
        <f t="shared" si="523"/>
        <v>22.170849845882874</v>
      </c>
      <c r="AF854" s="75">
        <f>AE854*(1-PARAM!$C$27)*$I$10+(MOD($B854,60)=PARAM!$B$56)*($B854&gt;(60-PARAM!$B$56))*HLOOKUP(($B854+PARAM!$B$56)/12,Loyalty,2)*$F$1*MAX(AH853,0)</f>
        <v>18.557001321003963</v>
      </c>
      <c r="AG854" s="75">
        <f>PARAM!$C$26+MAX($G$10-CHOOSE(PARAM!$B$44,MAX(0,AH853*$F$1),0),0)*RATES!$L830/12+$H$10*(PARAM!$D$51/12)*RATES!$N830/100</f>
        <v>1190.0416666666667</v>
      </c>
      <c r="AH854" s="16">
        <f t="shared" si="549"/>
        <v>-185157.68459841199</v>
      </c>
      <c r="AI854" s="15">
        <f t="shared" si="524"/>
        <v>22.170849845882874</v>
      </c>
      <c r="AJ854" s="75">
        <f>AI854*(1-PARAM!$C$27)*$I$11+(MOD($B854,60)=PARAM!$B$56)*($B854&gt;(60-PARAM!$B$56))*HLOOKUP(($B854+PARAM!$B$56)/12,Loyalty,2)*$F$1*MAX(AL853,0)</f>
        <v>18.557001321003963</v>
      </c>
      <c r="AK854" s="75">
        <f>PARAM!$C$26+MAX($G$11-CHOOSE(PARAM!$B$44,MAX(0,AL853*$F$1),0),0)*RATES!$L830/12+$H$11*(PARAM!$D$51/12)*RATES!$N830/100</f>
        <v>1190.0416666666667</v>
      </c>
      <c r="AL854" s="16">
        <f t="shared" si="550"/>
        <v>-185157.68459841199</v>
      </c>
      <c r="AM854" s="15">
        <f t="shared" si="525"/>
        <v>22.170849845882874</v>
      </c>
      <c r="AN854" s="75">
        <f>AM854*(1-PARAM!$C$27)*$I$12+(MOD($B854,60)=PARAM!$B$56)*($B854&gt;(60-PARAM!$B$56))*HLOOKUP(($B854+PARAM!$B$56)/12,Loyalty,2)*$F$1*MAX(AP853,0)</f>
        <v>18.557001321003963</v>
      </c>
      <c r="AO854" s="75">
        <f>PARAM!$C$26+MAX($G$12-CHOOSE(PARAM!$B$44,MAX(0,AP853*$F$1),0),0)*RATES!$L830/12+$H$12*(PARAM!$D$51/12)*RATES!$N830/100</f>
        <v>1190.0416666666667</v>
      </c>
      <c r="AP854" s="16">
        <f t="shared" si="551"/>
        <v>-185157.68459841199</v>
      </c>
      <c r="AQ854" s="15">
        <f t="shared" si="526"/>
        <v>22.170849845882874</v>
      </c>
      <c r="AR854" s="75">
        <f>AQ854*(1-PARAM!$C$27)*$I$13+(MOD($B854,60)=PARAM!$B$56)*($B854&gt;(60-PARAM!$B$56))*HLOOKUP(($B854+PARAM!$B$56)/12,Loyalty,2)*$F$1*MAX(AT853,0)</f>
        <v>18.557001321003963</v>
      </c>
      <c r="AS854" s="75">
        <f>PARAM!$C$26+MAX($G$13-CHOOSE(PARAM!$B$44,MAX(0,AT853*$F$1),0),0)*RATES!$L830/12+$H$13*(PARAM!$D$51/12)*RATES!$N830/100</f>
        <v>1190.0416666666667</v>
      </c>
      <c r="AT854" s="16">
        <f t="shared" si="552"/>
        <v>-185157.68459841199</v>
      </c>
      <c r="AU854" s="15">
        <f t="shared" si="527"/>
        <v>22.170849845882874</v>
      </c>
      <c r="AV854" s="75">
        <f>AU854*(1-PARAM!$C$27)*$I$14+(MOD($B854,60)=PARAM!$B$56)*($B854&gt;(60-PARAM!$B$56))*HLOOKUP(($B854+PARAM!$B$56)/12,Loyalty,2)*$F$1*MAX(AX853,0)</f>
        <v>18.557001321003963</v>
      </c>
      <c r="AW854" s="75">
        <f>PARAM!$C$26+MAX($G$14-CHOOSE(PARAM!$B$44,MAX(0,AX853*$F$1),0),0)*RATES!$L830/12+$H$14*(PARAM!$D$51/12)*RATES!$N830/100</f>
        <v>1190.0416666666667</v>
      </c>
      <c r="AX854" s="16">
        <f t="shared" si="553"/>
        <v>-185157.68459841199</v>
      </c>
      <c r="AY854" s="15">
        <f t="shared" si="528"/>
        <v>22.170849845882874</v>
      </c>
      <c r="AZ854" s="75">
        <f>AY854*(1-PARAM!$C$27)*$I$15+(MOD($B854,60)=PARAM!$B$56)*($B854&gt;(60-PARAM!$B$56))*HLOOKUP(($B854+PARAM!$B$56)/12,Loyalty,2)*$F$1*MAX(BB853,0)</f>
        <v>18.557001321003963</v>
      </c>
      <c r="BA854" s="75">
        <f>PARAM!$C$26+MAX($G$15-CHOOSE(PARAM!$B$44,MAX(0,BB853*$F$1),0),0)*RATES!$L830/12+$H$15*(PARAM!$D$51/12)*RATES!$N830/100</f>
        <v>1190.0416666666667</v>
      </c>
      <c r="BB854" s="16">
        <f t="shared" si="554"/>
        <v>-185157.68459841199</v>
      </c>
      <c r="BC854" s="15">
        <f t="shared" si="529"/>
        <v>22.170849845882874</v>
      </c>
      <c r="BD854" s="75">
        <f>BC854*(1-PARAM!$C$27)*$I$16+(MOD($B854,60)=PARAM!$B$56)*($B854&gt;(60-PARAM!$B$56))*HLOOKUP(($B854+PARAM!$B$56)/12,Loyalty,2)*$F$1*MAX(BF853,0)</f>
        <v>18.557001321003963</v>
      </c>
      <c r="BE854" s="75">
        <f>PARAM!$C$26+MAX($G$16-CHOOSE(PARAM!$B$44,MAX(0,BF853*$F$1),0),0)*RATES!$L830/12+$H$16*(PARAM!$D$51/12)*RATES!$N830/100</f>
        <v>1190.0416666666667</v>
      </c>
      <c r="BF854" s="16">
        <f t="shared" si="555"/>
        <v>-185157.68459841199</v>
      </c>
      <c r="BG854" s="15">
        <f t="shared" si="530"/>
        <v>22.170849845882874</v>
      </c>
      <c r="BH854" s="75">
        <f>BG854*(1-PARAM!$C$27)*$I$17+(MOD($B854,60)=PARAM!$B$56)*($B854&gt;(60-PARAM!$B$56))*HLOOKUP(($B854+PARAM!$B$56)/12,Loyalty,2)*$F$1*MAX(BJ853,0)</f>
        <v>18.557001321003963</v>
      </c>
      <c r="BI854" s="75">
        <f>PARAM!$C$26+MAX($G$17-CHOOSE(PARAM!$B$44,MAX(0,BJ853*$F$1),0),0)*RATES!$L830/12+$H$17*(PARAM!$D$51/12)*RATES!$N830/100</f>
        <v>1190.0416666666667</v>
      </c>
      <c r="BJ854" s="16">
        <f t="shared" si="556"/>
        <v>-185157.68459841199</v>
      </c>
      <c r="BK854" s="15">
        <f t="shared" si="531"/>
        <v>22.170849845882874</v>
      </c>
      <c r="BL854" s="75">
        <f>BK854*(1-PARAM!$C$27)*$I$18+(MOD($B854,60)=PARAM!$B$56)*($B854&gt;(60-PARAM!$B$56))*HLOOKUP(($B854+PARAM!$B$56)/12,Loyalty,2)*$F$1*MAX(BN853,0)</f>
        <v>18.557001321003963</v>
      </c>
      <c r="BM854" s="75">
        <f>PARAM!$C$26+MAX($G$18-CHOOSE(PARAM!$B$44,MAX(0,BN853*$F$1),0),0)*RATES!$L830/12+$H$18*(PARAM!$D$51/12)*RATES!$N830/100</f>
        <v>1190.0416666666667</v>
      </c>
      <c r="BN854" s="16">
        <f t="shared" si="557"/>
        <v>-185157.68459841199</v>
      </c>
      <c r="BO854" s="15">
        <f t="shared" si="532"/>
        <v>22.170849845882874</v>
      </c>
      <c r="BP854" s="75">
        <f>BO854*(1-PARAM!$C$27)*$I$19+(MOD($B854,60)=PARAM!$B$56)*($B854&gt;(60-PARAM!$B$56))*HLOOKUP(($B854+PARAM!$B$56)/12,Loyalty,2)*$F$1*MAX(BR853,0)</f>
        <v>18.557001321003963</v>
      </c>
      <c r="BQ854" s="75">
        <f>PARAM!$C$26+MAX($G$19-CHOOSE(PARAM!$B$44,MAX(0,BR853*$F$1),0),0)*RATES!$L830/12+$H$19*(PARAM!$D$51/12)*RATES!$N830/100</f>
        <v>1190.0416666666667</v>
      </c>
      <c r="BR854" s="16">
        <f t="shared" si="558"/>
        <v>-185157.68459841199</v>
      </c>
      <c r="BS854" s="15">
        <f t="shared" si="533"/>
        <v>22.170849845882874</v>
      </c>
      <c r="BT854" s="75">
        <f>BS854*(1-PARAM!$C$27)*$I$20+(MOD($B854,60)=PARAM!$B$56)*($B854&gt;(60-PARAM!$B$56))*HLOOKUP(($B854+PARAM!$B$56)/12,Loyalty,2)*$F$1*MAX(BV853,0)</f>
        <v>18.557001321003963</v>
      </c>
      <c r="BU854" s="75">
        <f>PARAM!$C$26+MAX($G$20-CHOOSE(PARAM!$B$44,MAX(0,BV853*$F$1),0),0)*RATES!$L830/12+$H$20*(PARAM!$D$51/12)*RATES!$N830/100</f>
        <v>1190.0416666666667</v>
      </c>
      <c r="BV854" s="16">
        <f t="shared" si="559"/>
        <v>-185157.68459841199</v>
      </c>
      <c r="BW854" s="15">
        <f t="shared" si="534"/>
        <v>22.170849845882874</v>
      </c>
      <c r="BX854" s="75">
        <f>BW854*(1-PARAM!$C$27)*$I$21+(MOD($B854,60)=PARAM!$B$56)*($B854&gt;(60-PARAM!$B$56))*HLOOKUP(($B854+PARAM!$B$56)/12,Loyalty,2)*$F$1*MAX(BZ853,0)</f>
        <v>18.557001321003963</v>
      </c>
      <c r="BY854" s="75">
        <f>PARAM!$C$26+MAX($G$21-CHOOSE(PARAM!$B$44,MAX(0,BZ853*$F$1),0),0)*RATES!$L830/12+$H$21*(PARAM!$D$51/12)*RATES!$N830/100</f>
        <v>1190.0416666666667</v>
      </c>
      <c r="BZ854" s="16">
        <f t="shared" si="560"/>
        <v>-185157.68459841199</v>
      </c>
      <c r="CA854" s="15">
        <f t="shared" si="535"/>
        <v>22.170849845882874</v>
      </c>
      <c r="CB854" s="75">
        <f>CA854*(1-PARAM!$C$27)*$I$22+(MOD($B854,60)=PARAM!$B$56)*($B854&gt;(60-PARAM!$B$56))*HLOOKUP(($B854+PARAM!$B$56)/12,Loyalty,2)*$F$1*MAX(CD853,0)</f>
        <v>18.557001321003963</v>
      </c>
      <c r="CC854" s="75">
        <f>PARAM!$C$26+MAX($G$22-CHOOSE(PARAM!$B$44,MAX(0,CD853*$F$1),0),0)*RATES!$L830/12+$H$22*(PARAM!$D$51/12)*RATES!$N830/100</f>
        <v>1190.0416666666667</v>
      </c>
      <c r="CD854" s="16">
        <f t="shared" si="561"/>
        <v>-185157.68459841199</v>
      </c>
      <c r="CE854" s="33">
        <f>IF(0=MOD(B854,12/PARAM!$D$51),1,0)</f>
        <v>1</v>
      </c>
      <c r="CF854" s="15">
        <f t="shared" si="536"/>
        <v>0</v>
      </c>
      <c r="CG854" s="75">
        <f>CF854*(1-PARAM!$C$27)*$R$3+(MOD($B854/12,5)=0)*($B854&gt;60)*HLOOKUP($B854/12,Loyalty,2)*$F$1*MAX(CI853,0)</f>
        <v>0</v>
      </c>
      <c r="CH854" s="75">
        <f>PARAM!$C$26+MAX($P$3-CHOOSE(PARAM!$B$44,MAX(0,CI853*$F$1),0),0)*RATES!$L830/12+$Q$3*(PARAM!$D$51/12)*RATES!$N830/100</f>
        <v>1190.0416666666667</v>
      </c>
      <c r="CI854" s="16">
        <f>IF(CI853&gt;0,CI853*PARAM!$C$53,CI853)+CG854-CH854</f>
        <v>-200384.75000000012</v>
      </c>
      <c r="CJ854" s="15">
        <f t="shared" si="562"/>
        <v>0</v>
      </c>
      <c r="CK854" s="75">
        <f>CJ854*(1-PARAM!$C$27)*$R$4+(MOD($B854/12,5)=0)*($B854&gt;60)*HLOOKUP($B854/12,Loyalty,2)*$F$1*MAX(CM853,0)</f>
        <v>0</v>
      </c>
      <c r="CL854" s="75">
        <f>PARAM!$C$26+MAX($P$4-CHOOSE(PARAM!$B$44,MAX(0,CM853*$F$1),0),0)*RATES!$L830/12+$Q$4*(PARAM!$D$51/12)*RATES!$N830/100</f>
        <v>1190.0416666666667</v>
      </c>
      <c r="CM854" s="16">
        <f>IF(CM853&gt;0,CM853*PARAM!$C$53,CM853)+CK854-CL854</f>
        <v>-200384.75000000012</v>
      </c>
      <c r="CO854" s="176"/>
    </row>
    <row r="855" spans="1:93" x14ac:dyDescent="0.2">
      <c r="A855" t="b">
        <f t="shared" si="537"/>
        <v>0</v>
      </c>
      <c r="B855" s="33">
        <v>828</v>
      </c>
      <c r="C855" s="15">
        <f t="shared" si="538"/>
        <v>20.081305947392778</v>
      </c>
      <c r="D855" s="75">
        <f>C855*(1-PARAM!$C$27)*$I$3+(MOD($B855,60)=PARAM!$B$56)*($B855&gt;(60-PARAM!$B$56))*HLOOKUP(($B855+PARAM!$B$56)/12,Loyalty,2)*$F$1*MAX(F854,0)</f>
        <v>16.808053077967756</v>
      </c>
      <c r="E855" s="75">
        <f>PARAM!$C$26+MAX($G$3-CHOOSE(PARAM!$B$44,MAX(0,F854*$F$1),0),0)*RATES!$L831/12+$H$3*(PARAM!$D$51/12)*RATES!$N831/100</f>
        <v>1190.0416666666667</v>
      </c>
      <c r="F855" s="16">
        <f t="shared" si="539"/>
        <v>-187814.14890951346</v>
      </c>
      <c r="G855" s="15">
        <f t="shared" si="540"/>
        <v>22.035289406060361</v>
      </c>
      <c r="H855" s="75">
        <f>G855*(1-PARAM!$C$27)*$I$4+(MOD($B855,60)=PARAM!$B$56)*($B855&gt;(60-PARAM!$B$56))*HLOOKUP(($B855+PARAM!$B$56)/12,Loyalty,2)*$F$1*MAX(J854,0)</f>
        <v>18.443537232872522</v>
      </c>
      <c r="I855" s="75">
        <f>PARAM!$C$26+MAX($G$4-CHOOSE(PARAM!$B$44,MAX(0,J854*$F$1),0),0)*RATES!$L831/12+$H$4*(PARAM!$D$51/12)*RATES!$N831/100</f>
        <v>1190.0416666666667</v>
      </c>
      <c r="J855" s="16">
        <f t="shared" si="541"/>
        <v>-186426.1350651299</v>
      </c>
      <c r="K855" s="15">
        <f t="shared" si="542"/>
        <v>22.170849845882874</v>
      </c>
      <c r="L855" s="75">
        <f>K855*(1-PARAM!$C$27)*$I$5+(MOD($B855,60)=PARAM!$B$56)*($B855&gt;(60-PARAM!$B$56))*HLOOKUP(($B855+PARAM!$B$56)/12,Loyalty,2)*$F$1*MAX(N854,0)</f>
        <v>18.557001321003963</v>
      </c>
      <c r="M855" s="75">
        <f>PARAM!$C$26+MAX($G$5-CHOOSE(PARAM!$B$44,MAX(0,N854*$F$1),0),0)*RATES!$L831/12+$H$5*(PARAM!$D$51/12)*RATES!$N831/100</f>
        <v>1190.0416666666667</v>
      </c>
      <c r="N855" s="16">
        <f t="shared" si="543"/>
        <v>-186329.16926375765</v>
      </c>
      <c r="O855" s="15">
        <f t="shared" si="544"/>
        <v>22.170849845882874</v>
      </c>
      <c r="P855" s="75">
        <f>O855*(1-PARAM!$C$27)*$I$6+(MOD($B855,60)=PARAM!$B$56)*($B855&gt;(60-PARAM!$B$56))*HLOOKUP(($B855+PARAM!$B$56)/12,Loyalty,2)*$F$1*MAX(R854,0)</f>
        <v>18.557001321003963</v>
      </c>
      <c r="Q855" s="75">
        <f>PARAM!$C$26+MAX($G$6-CHOOSE(PARAM!$B$44,MAX(0,R854*$F$1),0),0)*RATES!$L831/12+$H$6*(PARAM!$D$51/12)*RATES!$N831/100</f>
        <v>1190.0416666666667</v>
      </c>
      <c r="R855" s="16">
        <f t="shared" si="545"/>
        <v>-186329.16926375765</v>
      </c>
      <c r="S855" s="15">
        <f t="shared" si="520"/>
        <v>22.170849845882874</v>
      </c>
      <c r="T855" s="75">
        <f>S855*(1-PARAM!$C$27)*$I$7+(MOD($B855,60)=PARAM!$B$56)*($B855&gt;(60-PARAM!$B$56))*HLOOKUP(($B855+PARAM!$B$56)/12,Loyalty,2)*$F$1*MAX(V854,0)</f>
        <v>18.557001321003963</v>
      </c>
      <c r="U855" s="75">
        <f>PARAM!$C$26+MAX($G$7-CHOOSE(PARAM!$B$44,MAX(0,V854*$F$1),0),0)*RATES!$L831/12+$H$7*(PARAM!$D$51/12)*RATES!$N831/100</f>
        <v>1190.0416666666667</v>
      </c>
      <c r="V855" s="16">
        <f t="shared" si="546"/>
        <v>-186329.16926375765</v>
      </c>
      <c r="W855" s="15">
        <f t="shared" si="521"/>
        <v>22.170849845882874</v>
      </c>
      <c r="X855" s="75">
        <f>W855*(1-PARAM!$C$27)*$I$8+(MOD($B855,60)=PARAM!$B$56)*($B855&gt;(60-PARAM!$B$56))*HLOOKUP(($B855+PARAM!$B$56)/12,Loyalty,2)*$F$1*MAX(Z854,0)</f>
        <v>18.557001321003963</v>
      </c>
      <c r="Y855" s="75">
        <f>PARAM!$C$26+MAX($G$8-CHOOSE(PARAM!$B$44,MAX(0,Z854*$F$1),0),0)*RATES!$L831/12+$H$8*(PARAM!$D$51/12)*RATES!$N831/100</f>
        <v>1190.0416666666667</v>
      </c>
      <c r="Z855" s="16">
        <f t="shared" si="547"/>
        <v>-186329.16926375765</v>
      </c>
      <c r="AA855" s="15">
        <f t="shared" si="522"/>
        <v>22.170849845882874</v>
      </c>
      <c r="AB855" s="75">
        <f>AA855*(1-PARAM!$C$27)*$I$9+(MOD($B855,60)=PARAM!$B$56)*($B855&gt;(60-PARAM!$B$56))*HLOOKUP(($B855+PARAM!$B$56)/12,Loyalty,2)*$F$1*MAX(AD854,0)</f>
        <v>18.557001321003963</v>
      </c>
      <c r="AC855" s="75">
        <f>PARAM!$C$26+MAX($G$9-CHOOSE(PARAM!$B$44,MAX(0,AD854*$F$1),0),0)*RATES!$L831/12+$H$9*(PARAM!$D$51/12)*RATES!$N831/100</f>
        <v>1190.0416666666667</v>
      </c>
      <c r="AD855" s="16">
        <f t="shared" si="548"/>
        <v>-186329.16926375765</v>
      </c>
      <c r="AE855" s="15">
        <f t="shared" si="523"/>
        <v>22.170849845882874</v>
      </c>
      <c r="AF855" s="75">
        <f>AE855*(1-PARAM!$C$27)*$I$10+(MOD($B855,60)=PARAM!$B$56)*($B855&gt;(60-PARAM!$B$56))*HLOOKUP(($B855+PARAM!$B$56)/12,Loyalty,2)*$F$1*MAX(AH854,0)</f>
        <v>18.557001321003963</v>
      </c>
      <c r="AG855" s="75">
        <f>PARAM!$C$26+MAX($G$10-CHOOSE(PARAM!$B$44,MAX(0,AH854*$F$1),0),0)*RATES!$L831/12+$H$10*(PARAM!$D$51/12)*RATES!$N831/100</f>
        <v>1190.0416666666667</v>
      </c>
      <c r="AH855" s="16">
        <f t="shared" si="549"/>
        <v>-186329.16926375765</v>
      </c>
      <c r="AI855" s="15">
        <f t="shared" si="524"/>
        <v>22.170849845882874</v>
      </c>
      <c r="AJ855" s="75">
        <f>AI855*(1-PARAM!$C$27)*$I$11+(MOD($B855,60)=PARAM!$B$56)*($B855&gt;(60-PARAM!$B$56))*HLOOKUP(($B855+PARAM!$B$56)/12,Loyalty,2)*$F$1*MAX(AL854,0)</f>
        <v>18.557001321003963</v>
      </c>
      <c r="AK855" s="75">
        <f>PARAM!$C$26+MAX($G$11-CHOOSE(PARAM!$B$44,MAX(0,AL854*$F$1),0),0)*RATES!$L831/12+$H$11*(PARAM!$D$51/12)*RATES!$N831/100</f>
        <v>1190.0416666666667</v>
      </c>
      <c r="AL855" s="16">
        <f t="shared" si="550"/>
        <v>-186329.16926375765</v>
      </c>
      <c r="AM855" s="15">
        <f t="shared" si="525"/>
        <v>22.170849845882874</v>
      </c>
      <c r="AN855" s="75">
        <f>AM855*(1-PARAM!$C$27)*$I$12+(MOD($B855,60)=PARAM!$B$56)*($B855&gt;(60-PARAM!$B$56))*HLOOKUP(($B855+PARAM!$B$56)/12,Loyalty,2)*$F$1*MAX(AP854,0)</f>
        <v>18.557001321003963</v>
      </c>
      <c r="AO855" s="75">
        <f>PARAM!$C$26+MAX($G$12-CHOOSE(PARAM!$B$44,MAX(0,AP854*$F$1),0),0)*RATES!$L831/12+$H$12*(PARAM!$D$51/12)*RATES!$N831/100</f>
        <v>1190.0416666666667</v>
      </c>
      <c r="AP855" s="16">
        <f t="shared" si="551"/>
        <v>-186329.16926375765</v>
      </c>
      <c r="AQ855" s="15">
        <f t="shared" si="526"/>
        <v>22.170849845882874</v>
      </c>
      <c r="AR855" s="75">
        <f>AQ855*(1-PARAM!$C$27)*$I$13+(MOD($B855,60)=PARAM!$B$56)*($B855&gt;(60-PARAM!$B$56))*HLOOKUP(($B855+PARAM!$B$56)/12,Loyalty,2)*$F$1*MAX(AT854,0)</f>
        <v>18.557001321003963</v>
      </c>
      <c r="AS855" s="75">
        <f>PARAM!$C$26+MAX($G$13-CHOOSE(PARAM!$B$44,MAX(0,AT854*$F$1),0),0)*RATES!$L831/12+$H$13*(PARAM!$D$51/12)*RATES!$N831/100</f>
        <v>1190.0416666666667</v>
      </c>
      <c r="AT855" s="16">
        <f t="shared" si="552"/>
        <v>-186329.16926375765</v>
      </c>
      <c r="AU855" s="15">
        <f t="shared" si="527"/>
        <v>22.170849845882874</v>
      </c>
      <c r="AV855" s="75">
        <f>AU855*(1-PARAM!$C$27)*$I$14+(MOD($B855,60)=PARAM!$B$56)*($B855&gt;(60-PARAM!$B$56))*HLOOKUP(($B855+PARAM!$B$56)/12,Loyalty,2)*$F$1*MAX(AX854,0)</f>
        <v>18.557001321003963</v>
      </c>
      <c r="AW855" s="75">
        <f>PARAM!$C$26+MAX($G$14-CHOOSE(PARAM!$B$44,MAX(0,AX854*$F$1),0),0)*RATES!$L831/12+$H$14*(PARAM!$D$51/12)*RATES!$N831/100</f>
        <v>1190.0416666666667</v>
      </c>
      <c r="AX855" s="16">
        <f t="shared" si="553"/>
        <v>-186329.16926375765</v>
      </c>
      <c r="AY855" s="15">
        <f t="shared" si="528"/>
        <v>22.170849845882874</v>
      </c>
      <c r="AZ855" s="75">
        <f>AY855*(1-PARAM!$C$27)*$I$15+(MOD($B855,60)=PARAM!$B$56)*($B855&gt;(60-PARAM!$B$56))*HLOOKUP(($B855+PARAM!$B$56)/12,Loyalty,2)*$F$1*MAX(BB854,0)</f>
        <v>18.557001321003963</v>
      </c>
      <c r="BA855" s="75">
        <f>PARAM!$C$26+MAX($G$15-CHOOSE(PARAM!$B$44,MAX(0,BB854*$F$1),0),0)*RATES!$L831/12+$H$15*(PARAM!$D$51/12)*RATES!$N831/100</f>
        <v>1190.0416666666667</v>
      </c>
      <c r="BB855" s="16">
        <f t="shared" si="554"/>
        <v>-186329.16926375765</v>
      </c>
      <c r="BC855" s="15">
        <f t="shared" si="529"/>
        <v>22.170849845882874</v>
      </c>
      <c r="BD855" s="75">
        <f>BC855*(1-PARAM!$C$27)*$I$16+(MOD($B855,60)=PARAM!$B$56)*($B855&gt;(60-PARAM!$B$56))*HLOOKUP(($B855+PARAM!$B$56)/12,Loyalty,2)*$F$1*MAX(BF854,0)</f>
        <v>18.557001321003963</v>
      </c>
      <c r="BE855" s="75">
        <f>PARAM!$C$26+MAX($G$16-CHOOSE(PARAM!$B$44,MAX(0,BF854*$F$1),0),0)*RATES!$L831/12+$H$16*(PARAM!$D$51/12)*RATES!$N831/100</f>
        <v>1190.0416666666667</v>
      </c>
      <c r="BF855" s="16">
        <f t="shared" si="555"/>
        <v>-186329.16926375765</v>
      </c>
      <c r="BG855" s="15">
        <f t="shared" si="530"/>
        <v>22.170849845882874</v>
      </c>
      <c r="BH855" s="75">
        <f>BG855*(1-PARAM!$C$27)*$I$17+(MOD($B855,60)=PARAM!$B$56)*($B855&gt;(60-PARAM!$B$56))*HLOOKUP(($B855+PARAM!$B$56)/12,Loyalty,2)*$F$1*MAX(BJ854,0)</f>
        <v>18.557001321003963</v>
      </c>
      <c r="BI855" s="75">
        <f>PARAM!$C$26+MAX($G$17-CHOOSE(PARAM!$B$44,MAX(0,BJ854*$F$1),0),0)*RATES!$L831/12+$H$17*(PARAM!$D$51/12)*RATES!$N831/100</f>
        <v>1190.0416666666667</v>
      </c>
      <c r="BJ855" s="16">
        <f t="shared" si="556"/>
        <v>-186329.16926375765</v>
      </c>
      <c r="BK855" s="15">
        <f t="shared" si="531"/>
        <v>22.170849845882874</v>
      </c>
      <c r="BL855" s="75">
        <f>BK855*(1-PARAM!$C$27)*$I$18+(MOD($B855,60)=PARAM!$B$56)*($B855&gt;(60-PARAM!$B$56))*HLOOKUP(($B855+PARAM!$B$56)/12,Loyalty,2)*$F$1*MAX(BN854,0)</f>
        <v>18.557001321003963</v>
      </c>
      <c r="BM855" s="75">
        <f>PARAM!$C$26+MAX($G$18-CHOOSE(PARAM!$B$44,MAX(0,BN854*$F$1),0),0)*RATES!$L831/12+$H$18*(PARAM!$D$51/12)*RATES!$N831/100</f>
        <v>1190.0416666666667</v>
      </c>
      <c r="BN855" s="16">
        <f t="shared" si="557"/>
        <v>-186329.16926375765</v>
      </c>
      <c r="BO855" s="15">
        <f t="shared" si="532"/>
        <v>22.170849845882874</v>
      </c>
      <c r="BP855" s="75">
        <f>BO855*(1-PARAM!$C$27)*$I$19+(MOD($B855,60)=PARAM!$B$56)*($B855&gt;(60-PARAM!$B$56))*HLOOKUP(($B855+PARAM!$B$56)/12,Loyalty,2)*$F$1*MAX(BR854,0)</f>
        <v>18.557001321003963</v>
      </c>
      <c r="BQ855" s="75">
        <f>PARAM!$C$26+MAX($G$19-CHOOSE(PARAM!$B$44,MAX(0,BR854*$F$1),0),0)*RATES!$L831/12+$H$19*(PARAM!$D$51/12)*RATES!$N831/100</f>
        <v>1190.0416666666667</v>
      </c>
      <c r="BR855" s="16">
        <f t="shared" si="558"/>
        <v>-186329.16926375765</v>
      </c>
      <c r="BS855" s="15">
        <f t="shared" si="533"/>
        <v>22.170849845882874</v>
      </c>
      <c r="BT855" s="75">
        <f>BS855*(1-PARAM!$C$27)*$I$20+(MOD($B855,60)=PARAM!$B$56)*($B855&gt;(60-PARAM!$B$56))*HLOOKUP(($B855+PARAM!$B$56)/12,Loyalty,2)*$F$1*MAX(BV854,0)</f>
        <v>18.557001321003963</v>
      </c>
      <c r="BU855" s="75">
        <f>PARAM!$C$26+MAX($G$20-CHOOSE(PARAM!$B$44,MAX(0,BV854*$F$1),0),0)*RATES!$L831/12+$H$20*(PARAM!$D$51/12)*RATES!$N831/100</f>
        <v>1190.0416666666667</v>
      </c>
      <c r="BV855" s="16">
        <f t="shared" si="559"/>
        <v>-186329.16926375765</v>
      </c>
      <c r="BW855" s="15">
        <f t="shared" si="534"/>
        <v>22.170849845882874</v>
      </c>
      <c r="BX855" s="75">
        <f>BW855*(1-PARAM!$C$27)*$I$21+(MOD($B855,60)=PARAM!$B$56)*($B855&gt;(60-PARAM!$B$56))*HLOOKUP(($B855+PARAM!$B$56)/12,Loyalty,2)*$F$1*MAX(BZ854,0)</f>
        <v>18.557001321003963</v>
      </c>
      <c r="BY855" s="75">
        <f>PARAM!$C$26+MAX($G$21-CHOOSE(PARAM!$B$44,MAX(0,BZ854*$F$1),0),0)*RATES!$L831/12+$H$21*(PARAM!$D$51/12)*RATES!$N831/100</f>
        <v>1190.0416666666667</v>
      </c>
      <c r="BZ855" s="16">
        <f t="shared" si="560"/>
        <v>-186329.16926375765</v>
      </c>
      <c r="CA855" s="15">
        <f t="shared" si="535"/>
        <v>22.170849845882874</v>
      </c>
      <c r="CB855" s="75">
        <f>CA855*(1-PARAM!$C$27)*$I$22+(MOD($B855,60)=PARAM!$B$56)*($B855&gt;(60-PARAM!$B$56))*HLOOKUP(($B855+PARAM!$B$56)/12,Loyalty,2)*$F$1*MAX(CD854,0)</f>
        <v>18.557001321003963</v>
      </c>
      <c r="CC855" s="75">
        <f>PARAM!$C$26+MAX($G$22-CHOOSE(PARAM!$B$44,MAX(0,CD854*$F$1),0),0)*RATES!$L831/12+$H$22*(PARAM!$D$51/12)*RATES!$N831/100</f>
        <v>1190.0416666666667</v>
      </c>
      <c r="CD855" s="16">
        <f t="shared" si="561"/>
        <v>-186329.16926375765</v>
      </c>
      <c r="CE855" s="33">
        <f>IF(0=MOD(B855,12/PARAM!$D$51),1,0)</f>
        <v>1</v>
      </c>
      <c r="CF855" s="15">
        <f t="shared" si="536"/>
        <v>0</v>
      </c>
      <c r="CG855" s="75">
        <f>CF855*(1-PARAM!$C$27)*$R$3+(MOD($B855/12,5)=0)*($B855&gt;60)*HLOOKUP($B855/12,Loyalty,2)*$F$1*MAX(CI854,0)</f>
        <v>0</v>
      </c>
      <c r="CH855" s="75">
        <f>PARAM!$C$26+MAX($P$3-CHOOSE(PARAM!$B$44,MAX(0,CI854*$F$1),0),0)*RATES!$L831/12+$Q$3*(PARAM!$D$51/12)*RATES!$N831/100</f>
        <v>1190.0416666666667</v>
      </c>
      <c r="CI855" s="16">
        <f>IF(CI854&gt;0,CI854*PARAM!$C$53,CI854)+CG855-CH855</f>
        <v>-201574.79166666677</v>
      </c>
      <c r="CJ855" s="15">
        <f t="shared" si="562"/>
        <v>0</v>
      </c>
      <c r="CK855" s="75">
        <f>CJ855*(1-PARAM!$C$27)*$R$4+(MOD($B855/12,5)=0)*($B855&gt;60)*HLOOKUP($B855/12,Loyalty,2)*$F$1*MAX(CM854,0)</f>
        <v>0</v>
      </c>
      <c r="CL855" s="75">
        <f>PARAM!$C$26+MAX($P$4-CHOOSE(PARAM!$B$44,MAX(0,CM854*$F$1),0),0)*RATES!$L831/12+$Q$4*(PARAM!$D$51/12)*RATES!$N831/100</f>
        <v>1190.0416666666667</v>
      </c>
      <c r="CM855" s="16">
        <f>IF(CM854&gt;0,CM854*PARAM!$C$53,CM854)+CK855-CL855</f>
        <v>-201574.79166666677</v>
      </c>
      <c r="CO855" s="176"/>
    </row>
    <row r="856" spans="1:93" x14ac:dyDescent="0.2">
      <c r="A856" t="b">
        <f t="shared" si="537"/>
        <v>0</v>
      </c>
      <c r="B856" s="33">
        <v>829</v>
      </c>
      <c r="C856" s="15">
        <f t="shared" si="538"/>
        <v>20.081305947392778</v>
      </c>
      <c r="D856" s="75">
        <f>C856*(1-PARAM!$C$27)*$I$3+(MOD($B856,60)=PARAM!$B$56)*($B856&gt;(60-PARAM!$B$56))*HLOOKUP(($B856+PARAM!$B$56)/12,Loyalty,2)*$F$1*MAX(F855,0)</f>
        <v>16.808053077967756</v>
      </c>
      <c r="E856" s="75">
        <f>PARAM!$C$26+MAX($G$3-CHOOSE(PARAM!$B$44,MAX(0,F855*$F$1),0),0)*RATES!$L832/12+$H$3*(PARAM!$D$51/12)*RATES!$N832/100</f>
        <v>1190.0416666666667</v>
      </c>
      <c r="F856" s="16">
        <f t="shared" si="539"/>
        <v>-188987.38252310216</v>
      </c>
      <c r="G856" s="15">
        <f t="shared" si="540"/>
        <v>22.035289406060361</v>
      </c>
      <c r="H856" s="75">
        <f>G856*(1-PARAM!$C$27)*$I$4+(MOD($B856,60)=PARAM!$B$56)*($B856&gt;(60-PARAM!$B$56))*HLOOKUP(($B856+PARAM!$B$56)/12,Loyalty,2)*$F$1*MAX(J855,0)</f>
        <v>18.443537232872522</v>
      </c>
      <c r="I856" s="75">
        <f>PARAM!$C$26+MAX($G$4-CHOOSE(PARAM!$B$44,MAX(0,J855*$F$1),0),0)*RATES!$L832/12+$H$4*(PARAM!$D$51/12)*RATES!$N832/100</f>
        <v>1190.0416666666667</v>
      </c>
      <c r="J856" s="16">
        <f t="shared" si="541"/>
        <v>-187597.73319456368</v>
      </c>
      <c r="K856" s="15">
        <f t="shared" si="542"/>
        <v>22.170849845882874</v>
      </c>
      <c r="L856" s="75">
        <f>K856*(1-PARAM!$C$27)*$I$5+(MOD($B856,60)=PARAM!$B$56)*($B856&gt;(60-PARAM!$B$56))*HLOOKUP(($B856+PARAM!$B$56)/12,Loyalty,2)*$F$1*MAX(N855,0)</f>
        <v>18.557001321003963</v>
      </c>
      <c r="M856" s="75">
        <f>PARAM!$C$26+MAX($G$5-CHOOSE(PARAM!$B$44,MAX(0,N855*$F$1),0),0)*RATES!$L832/12+$H$5*(PARAM!$D$51/12)*RATES!$N832/100</f>
        <v>1190.0416666666667</v>
      </c>
      <c r="N856" s="16">
        <f t="shared" si="543"/>
        <v>-187500.65392910331</v>
      </c>
      <c r="O856" s="15">
        <f t="shared" si="544"/>
        <v>22.170849845882874</v>
      </c>
      <c r="P856" s="75">
        <f>O856*(1-PARAM!$C$27)*$I$6+(MOD($B856,60)=PARAM!$B$56)*($B856&gt;(60-PARAM!$B$56))*HLOOKUP(($B856+PARAM!$B$56)/12,Loyalty,2)*$F$1*MAX(R855,0)</f>
        <v>18.557001321003963</v>
      </c>
      <c r="Q856" s="75">
        <f>PARAM!$C$26+MAX($G$6-CHOOSE(PARAM!$B$44,MAX(0,R855*$F$1),0),0)*RATES!$L832/12+$H$6*(PARAM!$D$51/12)*RATES!$N832/100</f>
        <v>1190.0416666666667</v>
      </c>
      <c r="R856" s="16">
        <f t="shared" si="545"/>
        <v>-187500.65392910331</v>
      </c>
      <c r="S856" s="15">
        <f t="shared" si="520"/>
        <v>22.170849845882874</v>
      </c>
      <c r="T856" s="75">
        <f>S856*(1-PARAM!$C$27)*$I$7+(MOD($B856,60)=PARAM!$B$56)*($B856&gt;(60-PARAM!$B$56))*HLOOKUP(($B856+PARAM!$B$56)/12,Loyalty,2)*$F$1*MAX(V855,0)</f>
        <v>18.557001321003963</v>
      </c>
      <c r="U856" s="75">
        <f>PARAM!$C$26+MAX($G$7-CHOOSE(PARAM!$B$44,MAX(0,V855*$F$1),0),0)*RATES!$L832/12+$H$7*(PARAM!$D$51/12)*RATES!$N832/100</f>
        <v>1190.0416666666667</v>
      </c>
      <c r="V856" s="16">
        <f t="shared" si="546"/>
        <v>-187500.65392910331</v>
      </c>
      <c r="W856" s="15">
        <f t="shared" si="521"/>
        <v>22.170849845882874</v>
      </c>
      <c r="X856" s="75">
        <f>W856*(1-PARAM!$C$27)*$I$8+(MOD($B856,60)=PARAM!$B$56)*($B856&gt;(60-PARAM!$B$56))*HLOOKUP(($B856+PARAM!$B$56)/12,Loyalty,2)*$F$1*MAX(Z855,0)</f>
        <v>18.557001321003963</v>
      </c>
      <c r="Y856" s="75">
        <f>PARAM!$C$26+MAX($G$8-CHOOSE(PARAM!$B$44,MAX(0,Z855*$F$1),0),0)*RATES!$L832/12+$H$8*(PARAM!$D$51/12)*RATES!$N832/100</f>
        <v>1190.0416666666667</v>
      </c>
      <c r="Z856" s="16">
        <f t="shared" si="547"/>
        <v>-187500.65392910331</v>
      </c>
      <c r="AA856" s="15">
        <f t="shared" si="522"/>
        <v>22.170849845882874</v>
      </c>
      <c r="AB856" s="75">
        <f>AA856*(1-PARAM!$C$27)*$I$9+(MOD($B856,60)=PARAM!$B$56)*($B856&gt;(60-PARAM!$B$56))*HLOOKUP(($B856+PARAM!$B$56)/12,Loyalty,2)*$F$1*MAX(AD855,0)</f>
        <v>18.557001321003963</v>
      </c>
      <c r="AC856" s="75">
        <f>PARAM!$C$26+MAX($G$9-CHOOSE(PARAM!$B$44,MAX(0,AD855*$F$1),0),0)*RATES!$L832/12+$H$9*(PARAM!$D$51/12)*RATES!$N832/100</f>
        <v>1190.0416666666667</v>
      </c>
      <c r="AD856" s="16">
        <f t="shared" si="548"/>
        <v>-187500.65392910331</v>
      </c>
      <c r="AE856" s="15">
        <f t="shared" si="523"/>
        <v>22.170849845882874</v>
      </c>
      <c r="AF856" s="75">
        <f>AE856*(1-PARAM!$C$27)*$I$10+(MOD($B856,60)=PARAM!$B$56)*($B856&gt;(60-PARAM!$B$56))*HLOOKUP(($B856+PARAM!$B$56)/12,Loyalty,2)*$F$1*MAX(AH855,0)</f>
        <v>18.557001321003963</v>
      </c>
      <c r="AG856" s="75">
        <f>PARAM!$C$26+MAX($G$10-CHOOSE(PARAM!$B$44,MAX(0,AH855*$F$1),0),0)*RATES!$L832/12+$H$10*(PARAM!$D$51/12)*RATES!$N832/100</f>
        <v>1190.0416666666667</v>
      </c>
      <c r="AH856" s="16">
        <f t="shared" si="549"/>
        <v>-187500.65392910331</v>
      </c>
      <c r="AI856" s="15">
        <f t="shared" si="524"/>
        <v>22.170849845882874</v>
      </c>
      <c r="AJ856" s="75">
        <f>AI856*(1-PARAM!$C$27)*$I$11+(MOD($B856,60)=PARAM!$B$56)*($B856&gt;(60-PARAM!$B$56))*HLOOKUP(($B856+PARAM!$B$56)/12,Loyalty,2)*$F$1*MAX(AL855,0)</f>
        <v>18.557001321003963</v>
      </c>
      <c r="AK856" s="75">
        <f>PARAM!$C$26+MAX($G$11-CHOOSE(PARAM!$B$44,MAX(0,AL855*$F$1),0),0)*RATES!$L832/12+$H$11*(PARAM!$D$51/12)*RATES!$N832/100</f>
        <v>1190.0416666666667</v>
      </c>
      <c r="AL856" s="16">
        <f t="shared" si="550"/>
        <v>-187500.65392910331</v>
      </c>
      <c r="AM856" s="15">
        <f t="shared" si="525"/>
        <v>22.170849845882874</v>
      </c>
      <c r="AN856" s="75">
        <f>AM856*(1-PARAM!$C$27)*$I$12+(MOD($B856,60)=PARAM!$B$56)*($B856&gt;(60-PARAM!$B$56))*HLOOKUP(($B856+PARAM!$B$56)/12,Loyalty,2)*$F$1*MAX(AP855,0)</f>
        <v>18.557001321003963</v>
      </c>
      <c r="AO856" s="75">
        <f>PARAM!$C$26+MAX($G$12-CHOOSE(PARAM!$B$44,MAX(0,AP855*$F$1),0),0)*RATES!$L832/12+$H$12*(PARAM!$D$51/12)*RATES!$N832/100</f>
        <v>1190.0416666666667</v>
      </c>
      <c r="AP856" s="16">
        <f t="shared" si="551"/>
        <v>-187500.65392910331</v>
      </c>
      <c r="AQ856" s="15">
        <f t="shared" si="526"/>
        <v>22.170849845882874</v>
      </c>
      <c r="AR856" s="75">
        <f>AQ856*(1-PARAM!$C$27)*$I$13+(MOD($B856,60)=PARAM!$B$56)*($B856&gt;(60-PARAM!$B$56))*HLOOKUP(($B856+PARAM!$B$56)/12,Loyalty,2)*$F$1*MAX(AT855,0)</f>
        <v>18.557001321003963</v>
      </c>
      <c r="AS856" s="75">
        <f>PARAM!$C$26+MAX($G$13-CHOOSE(PARAM!$B$44,MAX(0,AT855*$F$1),0),0)*RATES!$L832/12+$H$13*(PARAM!$D$51/12)*RATES!$N832/100</f>
        <v>1190.0416666666667</v>
      </c>
      <c r="AT856" s="16">
        <f t="shared" si="552"/>
        <v>-187500.65392910331</v>
      </c>
      <c r="AU856" s="15">
        <f t="shared" si="527"/>
        <v>22.170849845882874</v>
      </c>
      <c r="AV856" s="75">
        <f>AU856*(1-PARAM!$C$27)*$I$14+(MOD($B856,60)=PARAM!$B$56)*($B856&gt;(60-PARAM!$B$56))*HLOOKUP(($B856+PARAM!$B$56)/12,Loyalty,2)*$F$1*MAX(AX855,0)</f>
        <v>18.557001321003963</v>
      </c>
      <c r="AW856" s="75">
        <f>PARAM!$C$26+MAX($G$14-CHOOSE(PARAM!$B$44,MAX(0,AX855*$F$1),0),0)*RATES!$L832/12+$H$14*(PARAM!$D$51/12)*RATES!$N832/100</f>
        <v>1190.0416666666667</v>
      </c>
      <c r="AX856" s="16">
        <f t="shared" si="553"/>
        <v>-187500.65392910331</v>
      </c>
      <c r="AY856" s="15">
        <f t="shared" si="528"/>
        <v>22.170849845882874</v>
      </c>
      <c r="AZ856" s="75">
        <f>AY856*(1-PARAM!$C$27)*$I$15+(MOD($B856,60)=PARAM!$B$56)*($B856&gt;(60-PARAM!$B$56))*HLOOKUP(($B856+PARAM!$B$56)/12,Loyalty,2)*$F$1*MAX(BB855,0)</f>
        <v>18.557001321003963</v>
      </c>
      <c r="BA856" s="75">
        <f>PARAM!$C$26+MAX($G$15-CHOOSE(PARAM!$B$44,MAX(0,BB855*$F$1),0),0)*RATES!$L832/12+$H$15*(PARAM!$D$51/12)*RATES!$N832/100</f>
        <v>1190.0416666666667</v>
      </c>
      <c r="BB856" s="16">
        <f t="shared" si="554"/>
        <v>-187500.65392910331</v>
      </c>
      <c r="BC856" s="15">
        <f t="shared" si="529"/>
        <v>22.170849845882874</v>
      </c>
      <c r="BD856" s="75">
        <f>BC856*(1-PARAM!$C$27)*$I$16+(MOD($B856,60)=PARAM!$B$56)*($B856&gt;(60-PARAM!$B$56))*HLOOKUP(($B856+PARAM!$B$56)/12,Loyalty,2)*$F$1*MAX(BF855,0)</f>
        <v>18.557001321003963</v>
      </c>
      <c r="BE856" s="75">
        <f>PARAM!$C$26+MAX($G$16-CHOOSE(PARAM!$B$44,MAX(0,BF855*$F$1),0),0)*RATES!$L832/12+$H$16*(PARAM!$D$51/12)*RATES!$N832/100</f>
        <v>1190.0416666666667</v>
      </c>
      <c r="BF856" s="16">
        <f t="shared" si="555"/>
        <v>-187500.65392910331</v>
      </c>
      <c r="BG856" s="15">
        <f t="shared" si="530"/>
        <v>22.170849845882874</v>
      </c>
      <c r="BH856" s="75">
        <f>BG856*(1-PARAM!$C$27)*$I$17+(MOD($B856,60)=PARAM!$B$56)*($B856&gt;(60-PARAM!$B$56))*HLOOKUP(($B856+PARAM!$B$56)/12,Loyalty,2)*$F$1*MAX(BJ855,0)</f>
        <v>18.557001321003963</v>
      </c>
      <c r="BI856" s="75">
        <f>PARAM!$C$26+MAX($G$17-CHOOSE(PARAM!$B$44,MAX(0,BJ855*$F$1),0),0)*RATES!$L832/12+$H$17*(PARAM!$D$51/12)*RATES!$N832/100</f>
        <v>1190.0416666666667</v>
      </c>
      <c r="BJ856" s="16">
        <f t="shared" si="556"/>
        <v>-187500.65392910331</v>
      </c>
      <c r="BK856" s="15">
        <f t="shared" si="531"/>
        <v>22.170849845882874</v>
      </c>
      <c r="BL856" s="75">
        <f>BK856*(1-PARAM!$C$27)*$I$18+(MOD($B856,60)=PARAM!$B$56)*($B856&gt;(60-PARAM!$B$56))*HLOOKUP(($B856+PARAM!$B$56)/12,Loyalty,2)*$F$1*MAX(BN855,0)</f>
        <v>18.557001321003963</v>
      </c>
      <c r="BM856" s="75">
        <f>PARAM!$C$26+MAX($G$18-CHOOSE(PARAM!$B$44,MAX(0,BN855*$F$1),0),0)*RATES!$L832/12+$H$18*(PARAM!$D$51/12)*RATES!$N832/100</f>
        <v>1190.0416666666667</v>
      </c>
      <c r="BN856" s="16">
        <f t="shared" si="557"/>
        <v>-187500.65392910331</v>
      </c>
      <c r="BO856" s="15">
        <f t="shared" si="532"/>
        <v>22.170849845882874</v>
      </c>
      <c r="BP856" s="75">
        <f>BO856*(1-PARAM!$C$27)*$I$19+(MOD($B856,60)=PARAM!$B$56)*($B856&gt;(60-PARAM!$B$56))*HLOOKUP(($B856+PARAM!$B$56)/12,Loyalty,2)*$F$1*MAX(BR855,0)</f>
        <v>18.557001321003963</v>
      </c>
      <c r="BQ856" s="75">
        <f>PARAM!$C$26+MAX($G$19-CHOOSE(PARAM!$B$44,MAX(0,BR855*$F$1),0),0)*RATES!$L832/12+$H$19*(PARAM!$D$51/12)*RATES!$N832/100</f>
        <v>1190.0416666666667</v>
      </c>
      <c r="BR856" s="16">
        <f t="shared" si="558"/>
        <v>-187500.65392910331</v>
      </c>
      <c r="BS856" s="15">
        <f t="shared" si="533"/>
        <v>22.170849845882874</v>
      </c>
      <c r="BT856" s="75">
        <f>BS856*(1-PARAM!$C$27)*$I$20+(MOD($B856,60)=PARAM!$B$56)*($B856&gt;(60-PARAM!$B$56))*HLOOKUP(($B856+PARAM!$B$56)/12,Loyalty,2)*$F$1*MAX(BV855,0)</f>
        <v>18.557001321003963</v>
      </c>
      <c r="BU856" s="75">
        <f>PARAM!$C$26+MAX($G$20-CHOOSE(PARAM!$B$44,MAX(0,BV855*$F$1),0),0)*RATES!$L832/12+$H$20*(PARAM!$D$51/12)*RATES!$N832/100</f>
        <v>1190.0416666666667</v>
      </c>
      <c r="BV856" s="16">
        <f t="shared" si="559"/>
        <v>-187500.65392910331</v>
      </c>
      <c r="BW856" s="15">
        <f t="shared" si="534"/>
        <v>22.170849845882874</v>
      </c>
      <c r="BX856" s="75">
        <f>BW856*(1-PARAM!$C$27)*$I$21+(MOD($B856,60)=PARAM!$B$56)*($B856&gt;(60-PARAM!$B$56))*HLOOKUP(($B856+PARAM!$B$56)/12,Loyalty,2)*$F$1*MAX(BZ855,0)</f>
        <v>18.557001321003963</v>
      </c>
      <c r="BY856" s="75">
        <f>PARAM!$C$26+MAX($G$21-CHOOSE(PARAM!$B$44,MAX(0,BZ855*$F$1),0),0)*RATES!$L832/12+$H$21*(PARAM!$D$51/12)*RATES!$N832/100</f>
        <v>1190.0416666666667</v>
      </c>
      <c r="BZ856" s="16">
        <f t="shared" si="560"/>
        <v>-187500.65392910331</v>
      </c>
      <c r="CA856" s="15">
        <f t="shared" si="535"/>
        <v>22.170849845882874</v>
      </c>
      <c r="CB856" s="75">
        <f>CA856*(1-PARAM!$C$27)*$I$22+(MOD($B856,60)=PARAM!$B$56)*($B856&gt;(60-PARAM!$B$56))*HLOOKUP(($B856+PARAM!$B$56)/12,Loyalty,2)*$F$1*MAX(CD855,0)</f>
        <v>18.557001321003963</v>
      </c>
      <c r="CC856" s="75">
        <f>PARAM!$C$26+MAX($G$22-CHOOSE(PARAM!$B$44,MAX(0,CD855*$F$1),0),0)*RATES!$L832/12+$H$22*(PARAM!$D$51/12)*RATES!$N832/100</f>
        <v>1190.0416666666667</v>
      </c>
      <c r="CD856" s="16">
        <f t="shared" si="561"/>
        <v>-187500.65392910331</v>
      </c>
      <c r="CE856" s="33">
        <f>IF(0=MOD(B856,12/PARAM!$D$51),1,0)</f>
        <v>1</v>
      </c>
      <c r="CF856" s="15">
        <f t="shared" si="536"/>
        <v>0</v>
      </c>
      <c r="CG856" s="75">
        <f>CF856*(1-PARAM!$C$27)*$R$3+(MOD($B856/12,5)=0)*($B856&gt;60)*HLOOKUP($B856/12,Loyalty,2)*$F$1*MAX(CI855,0)</f>
        <v>0</v>
      </c>
      <c r="CH856" s="75">
        <f>PARAM!$C$26+MAX($P$3-CHOOSE(PARAM!$B$44,MAX(0,CI855*$F$1),0),0)*RATES!$L832/12+$Q$3*(PARAM!$D$51/12)*RATES!$N832/100</f>
        <v>1190.0416666666667</v>
      </c>
      <c r="CI856" s="16">
        <f>IF(CI855&gt;0,CI855*PARAM!$C$53,CI855)+CG856-CH856</f>
        <v>-202764.83333333343</v>
      </c>
      <c r="CJ856" s="15">
        <f t="shared" si="562"/>
        <v>0</v>
      </c>
      <c r="CK856" s="75">
        <f>CJ856*(1-PARAM!$C$27)*$R$4+(MOD($B856/12,5)=0)*($B856&gt;60)*HLOOKUP($B856/12,Loyalty,2)*$F$1*MAX(CM855,0)</f>
        <v>0</v>
      </c>
      <c r="CL856" s="75">
        <f>PARAM!$C$26+MAX($P$4-CHOOSE(PARAM!$B$44,MAX(0,CM855*$F$1),0),0)*RATES!$L832/12+$Q$4*(PARAM!$D$51/12)*RATES!$N832/100</f>
        <v>1190.0416666666667</v>
      </c>
      <c r="CM856" s="16">
        <f>IF(CM855&gt;0,CM855*PARAM!$C$53,CM855)+CK856-CL856</f>
        <v>-202764.83333333343</v>
      </c>
      <c r="CO856" s="176"/>
    </row>
    <row r="857" spans="1:93" x14ac:dyDescent="0.2">
      <c r="A857" t="b">
        <f t="shared" si="537"/>
        <v>0</v>
      </c>
      <c r="B857" s="33">
        <v>830</v>
      </c>
      <c r="C857" s="15">
        <f t="shared" si="538"/>
        <v>20.081305947392778</v>
      </c>
      <c r="D857" s="75">
        <f>C857*(1-PARAM!$C$27)*$I$3+(MOD($B857,60)=PARAM!$B$56)*($B857&gt;(60-PARAM!$B$56))*HLOOKUP(($B857+PARAM!$B$56)/12,Loyalty,2)*$F$1*MAX(F856,0)</f>
        <v>16.808053077967756</v>
      </c>
      <c r="E857" s="75">
        <f>PARAM!$C$26+MAX($G$3-CHOOSE(PARAM!$B$44,MAX(0,F856*$F$1),0),0)*RATES!$L833/12+$H$3*(PARAM!$D$51/12)*RATES!$N833/100</f>
        <v>1190.0416666666667</v>
      </c>
      <c r="F857" s="16">
        <f t="shared" si="539"/>
        <v>-190160.61613669086</v>
      </c>
      <c r="G857" s="15">
        <f t="shared" si="540"/>
        <v>22.035289406060361</v>
      </c>
      <c r="H857" s="75">
        <f>G857*(1-PARAM!$C$27)*$I$4+(MOD($B857,60)=PARAM!$B$56)*($B857&gt;(60-PARAM!$B$56))*HLOOKUP(($B857+PARAM!$B$56)/12,Loyalty,2)*$F$1*MAX(J856,0)</f>
        <v>18.443537232872522</v>
      </c>
      <c r="I857" s="75">
        <f>PARAM!$C$26+MAX($G$4-CHOOSE(PARAM!$B$44,MAX(0,J856*$F$1),0),0)*RATES!$L833/12+$H$4*(PARAM!$D$51/12)*RATES!$N833/100</f>
        <v>1190.0416666666667</v>
      </c>
      <c r="J857" s="16">
        <f t="shared" si="541"/>
        <v>-188769.33132399747</v>
      </c>
      <c r="K857" s="15">
        <f t="shared" si="542"/>
        <v>22.170849845882874</v>
      </c>
      <c r="L857" s="75">
        <f>K857*(1-PARAM!$C$27)*$I$5+(MOD($B857,60)=PARAM!$B$56)*($B857&gt;(60-PARAM!$B$56))*HLOOKUP(($B857+PARAM!$B$56)/12,Loyalty,2)*$F$1*MAX(N856,0)</f>
        <v>18.557001321003963</v>
      </c>
      <c r="M857" s="75">
        <f>PARAM!$C$26+MAX($G$5-CHOOSE(PARAM!$B$44,MAX(0,N856*$F$1),0),0)*RATES!$L833/12+$H$5*(PARAM!$D$51/12)*RATES!$N833/100</f>
        <v>1190.0416666666667</v>
      </c>
      <c r="N857" s="16">
        <f t="shared" si="543"/>
        <v>-188672.13859444897</v>
      </c>
      <c r="O857" s="15">
        <f t="shared" si="544"/>
        <v>22.170849845882874</v>
      </c>
      <c r="P857" s="75">
        <f>O857*(1-PARAM!$C$27)*$I$6+(MOD($B857,60)=PARAM!$B$56)*($B857&gt;(60-PARAM!$B$56))*HLOOKUP(($B857+PARAM!$B$56)/12,Loyalty,2)*$F$1*MAX(R856,0)</f>
        <v>18.557001321003963</v>
      </c>
      <c r="Q857" s="75">
        <f>PARAM!$C$26+MAX($G$6-CHOOSE(PARAM!$B$44,MAX(0,R856*$F$1),0),0)*RATES!$L833/12+$H$6*(PARAM!$D$51/12)*RATES!$N833/100</f>
        <v>1190.0416666666667</v>
      </c>
      <c r="R857" s="16">
        <f t="shared" si="545"/>
        <v>-188672.13859444897</v>
      </c>
      <c r="S857" s="15">
        <f t="shared" si="520"/>
        <v>22.170849845882874</v>
      </c>
      <c r="T857" s="75">
        <f>S857*(1-PARAM!$C$27)*$I$7+(MOD($B857,60)=PARAM!$B$56)*($B857&gt;(60-PARAM!$B$56))*HLOOKUP(($B857+PARAM!$B$56)/12,Loyalty,2)*$F$1*MAX(V856,0)</f>
        <v>18.557001321003963</v>
      </c>
      <c r="U857" s="75">
        <f>PARAM!$C$26+MAX($G$7-CHOOSE(PARAM!$B$44,MAX(0,V856*$F$1),0),0)*RATES!$L833/12+$H$7*(PARAM!$D$51/12)*RATES!$N833/100</f>
        <v>1190.0416666666667</v>
      </c>
      <c r="V857" s="16">
        <f t="shared" si="546"/>
        <v>-188672.13859444897</v>
      </c>
      <c r="W857" s="15">
        <f t="shared" si="521"/>
        <v>22.170849845882874</v>
      </c>
      <c r="X857" s="75">
        <f>W857*(1-PARAM!$C$27)*$I$8+(MOD($B857,60)=PARAM!$B$56)*($B857&gt;(60-PARAM!$B$56))*HLOOKUP(($B857+PARAM!$B$56)/12,Loyalty,2)*$F$1*MAX(Z856,0)</f>
        <v>18.557001321003963</v>
      </c>
      <c r="Y857" s="75">
        <f>PARAM!$C$26+MAX($G$8-CHOOSE(PARAM!$B$44,MAX(0,Z856*$F$1),0),0)*RATES!$L833/12+$H$8*(PARAM!$D$51/12)*RATES!$N833/100</f>
        <v>1190.0416666666667</v>
      </c>
      <c r="Z857" s="16">
        <f t="shared" si="547"/>
        <v>-188672.13859444897</v>
      </c>
      <c r="AA857" s="15">
        <f t="shared" si="522"/>
        <v>22.170849845882874</v>
      </c>
      <c r="AB857" s="75">
        <f>AA857*(1-PARAM!$C$27)*$I$9+(MOD($B857,60)=PARAM!$B$56)*($B857&gt;(60-PARAM!$B$56))*HLOOKUP(($B857+PARAM!$B$56)/12,Loyalty,2)*$F$1*MAX(AD856,0)</f>
        <v>18.557001321003963</v>
      </c>
      <c r="AC857" s="75">
        <f>PARAM!$C$26+MAX($G$9-CHOOSE(PARAM!$B$44,MAX(0,AD856*$F$1),0),0)*RATES!$L833/12+$H$9*(PARAM!$D$51/12)*RATES!$N833/100</f>
        <v>1190.0416666666667</v>
      </c>
      <c r="AD857" s="16">
        <f t="shared" si="548"/>
        <v>-188672.13859444897</v>
      </c>
      <c r="AE857" s="15">
        <f t="shared" si="523"/>
        <v>22.170849845882874</v>
      </c>
      <c r="AF857" s="75">
        <f>AE857*(1-PARAM!$C$27)*$I$10+(MOD($B857,60)=PARAM!$B$56)*($B857&gt;(60-PARAM!$B$56))*HLOOKUP(($B857+PARAM!$B$56)/12,Loyalty,2)*$F$1*MAX(AH856,0)</f>
        <v>18.557001321003963</v>
      </c>
      <c r="AG857" s="75">
        <f>PARAM!$C$26+MAX($G$10-CHOOSE(PARAM!$B$44,MAX(0,AH856*$F$1),0),0)*RATES!$L833/12+$H$10*(PARAM!$D$51/12)*RATES!$N833/100</f>
        <v>1190.0416666666667</v>
      </c>
      <c r="AH857" s="16">
        <f t="shared" si="549"/>
        <v>-188672.13859444897</v>
      </c>
      <c r="AI857" s="15">
        <f t="shared" si="524"/>
        <v>22.170849845882874</v>
      </c>
      <c r="AJ857" s="75">
        <f>AI857*(1-PARAM!$C$27)*$I$11+(MOD($B857,60)=PARAM!$B$56)*($B857&gt;(60-PARAM!$B$56))*HLOOKUP(($B857+PARAM!$B$56)/12,Loyalty,2)*$F$1*MAX(AL856,0)</f>
        <v>18.557001321003963</v>
      </c>
      <c r="AK857" s="75">
        <f>PARAM!$C$26+MAX($G$11-CHOOSE(PARAM!$B$44,MAX(0,AL856*$F$1),0),0)*RATES!$L833/12+$H$11*(PARAM!$D$51/12)*RATES!$N833/100</f>
        <v>1190.0416666666667</v>
      </c>
      <c r="AL857" s="16">
        <f t="shared" si="550"/>
        <v>-188672.13859444897</v>
      </c>
      <c r="AM857" s="15">
        <f t="shared" si="525"/>
        <v>22.170849845882874</v>
      </c>
      <c r="AN857" s="75">
        <f>AM857*(1-PARAM!$C$27)*$I$12+(MOD($B857,60)=PARAM!$B$56)*($B857&gt;(60-PARAM!$B$56))*HLOOKUP(($B857+PARAM!$B$56)/12,Loyalty,2)*$F$1*MAX(AP856,0)</f>
        <v>18.557001321003963</v>
      </c>
      <c r="AO857" s="75">
        <f>PARAM!$C$26+MAX($G$12-CHOOSE(PARAM!$B$44,MAX(0,AP856*$F$1),0),0)*RATES!$L833/12+$H$12*(PARAM!$D$51/12)*RATES!$N833/100</f>
        <v>1190.0416666666667</v>
      </c>
      <c r="AP857" s="16">
        <f t="shared" si="551"/>
        <v>-188672.13859444897</v>
      </c>
      <c r="AQ857" s="15">
        <f t="shared" si="526"/>
        <v>22.170849845882874</v>
      </c>
      <c r="AR857" s="75">
        <f>AQ857*(1-PARAM!$C$27)*$I$13+(MOD($B857,60)=PARAM!$B$56)*($B857&gt;(60-PARAM!$B$56))*HLOOKUP(($B857+PARAM!$B$56)/12,Loyalty,2)*$F$1*MAX(AT856,0)</f>
        <v>18.557001321003963</v>
      </c>
      <c r="AS857" s="75">
        <f>PARAM!$C$26+MAX($G$13-CHOOSE(PARAM!$B$44,MAX(0,AT856*$F$1),0),0)*RATES!$L833/12+$H$13*(PARAM!$D$51/12)*RATES!$N833/100</f>
        <v>1190.0416666666667</v>
      </c>
      <c r="AT857" s="16">
        <f t="shared" si="552"/>
        <v>-188672.13859444897</v>
      </c>
      <c r="AU857" s="15">
        <f t="shared" si="527"/>
        <v>22.170849845882874</v>
      </c>
      <c r="AV857" s="75">
        <f>AU857*(1-PARAM!$C$27)*$I$14+(MOD($B857,60)=PARAM!$B$56)*($B857&gt;(60-PARAM!$B$56))*HLOOKUP(($B857+PARAM!$B$56)/12,Loyalty,2)*$F$1*MAX(AX856,0)</f>
        <v>18.557001321003963</v>
      </c>
      <c r="AW857" s="75">
        <f>PARAM!$C$26+MAX($G$14-CHOOSE(PARAM!$B$44,MAX(0,AX856*$F$1),0),0)*RATES!$L833/12+$H$14*(PARAM!$D$51/12)*RATES!$N833/100</f>
        <v>1190.0416666666667</v>
      </c>
      <c r="AX857" s="16">
        <f t="shared" si="553"/>
        <v>-188672.13859444897</v>
      </c>
      <c r="AY857" s="15">
        <f t="shared" si="528"/>
        <v>22.170849845882874</v>
      </c>
      <c r="AZ857" s="75">
        <f>AY857*(1-PARAM!$C$27)*$I$15+(MOD($B857,60)=PARAM!$B$56)*($B857&gt;(60-PARAM!$B$56))*HLOOKUP(($B857+PARAM!$B$56)/12,Loyalty,2)*$F$1*MAX(BB856,0)</f>
        <v>18.557001321003963</v>
      </c>
      <c r="BA857" s="75">
        <f>PARAM!$C$26+MAX($G$15-CHOOSE(PARAM!$B$44,MAX(0,BB856*$F$1),0),0)*RATES!$L833/12+$H$15*(PARAM!$D$51/12)*RATES!$N833/100</f>
        <v>1190.0416666666667</v>
      </c>
      <c r="BB857" s="16">
        <f t="shared" si="554"/>
        <v>-188672.13859444897</v>
      </c>
      <c r="BC857" s="15">
        <f t="shared" si="529"/>
        <v>22.170849845882874</v>
      </c>
      <c r="BD857" s="75">
        <f>BC857*(1-PARAM!$C$27)*$I$16+(MOD($B857,60)=PARAM!$B$56)*($B857&gt;(60-PARAM!$B$56))*HLOOKUP(($B857+PARAM!$B$56)/12,Loyalty,2)*$F$1*MAX(BF856,0)</f>
        <v>18.557001321003963</v>
      </c>
      <c r="BE857" s="75">
        <f>PARAM!$C$26+MAX($G$16-CHOOSE(PARAM!$B$44,MAX(0,BF856*$F$1),0),0)*RATES!$L833/12+$H$16*(PARAM!$D$51/12)*RATES!$N833/100</f>
        <v>1190.0416666666667</v>
      </c>
      <c r="BF857" s="16">
        <f t="shared" si="555"/>
        <v>-188672.13859444897</v>
      </c>
      <c r="BG857" s="15">
        <f t="shared" si="530"/>
        <v>22.170849845882874</v>
      </c>
      <c r="BH857" s="75">
        <f>BG857*(1-PARAM!$C$27)*$I$17+(MOD($B857,60)=PARAM!$B$56)*($B857&gt;(60-PARAM!$B$56))*HLOOKUP(($B857+PARAM!$B$56)/12,Loyalty,2)*$F$1*MAX(BJ856,0)</f>
        <v>18.557001321003963</v>
      </c>
      <c r="BI857" s="75">
        <f>PARAM!$C$26+MAX($G$17-CHOOSE(PARAM!$B$44,MAX(0,BJ856*$F$1),0),0)*RATES!$L833/12+$H$17*(PARAM!$D$51/12)*RATES!$N833/100</f>
        <v>1190.0416666666667</v>
      </c>
      <c r="BJ857" s="16">
        <f t="shared" si="556"/>
        <v>-188672.13859444897</v>
      </c>
      <c r="BK857" s="15">
        <f t="shared" si="531"/>
        <v>22.170849845882874</v>
      </c>
      <c r="BL857" s="75">
        <f>BK857*(1-PARAM!$C$27)*$I$18+(MOD($B857,60)=PARAM!$B$56)*($B857&gt;(60-PARAM!$B$56))*HLOOKUP(($B857+PARAM!$B$56)/12,Loyalty,2)*$F$1*MAX(BN856,0)</f>
        <v>18.557001321003963</v>
      </c>
      <c r="BM857" s="75">
        <f>PARAM!$C$26+MAX($G$18-CHOOSE(PARAM!$B$44,MAX(0,BN856*$F$1),0),0)*RATES!$L833/12+$H$18*(PARAM!$D$51/12)*RATES!$N833/100</f>
        <v>1190.0416666666667</v>
      </c>
      <c r="BN857" s="16">
        <f t="shared" si="557"/>
        <v>-188672.13859444897</v>
      </c>
      <c r="BO857" s="15">
        <f t="shared" si="532"/>
        <v>22.170849845882874</v>
      </c>
      <c r="BP857" s="75">
        <f>BO857*(1-PARAM!$C$27)*$I$19+(MOD($B857,60)=PARAM!$B$56)*($B857&gt;(60-PARAM!$B$56))*HLOOKUP(($B857+PARAM!$B$56)/12,Loyalty,2)*$F$1*MAX(BR856,0)</f>
        <v>18.557001321003963</v>
      </c>
      <c r="BQ857" s="75">
        <f>PARAM!$C$26+MAX($G$19-CHOOSE(PARAM!$B$44,MAX(0,BR856*$F$1),0),0)*RATES!$L833/12+$H$19*(PARAM!$D$51/12)*RATES!$N833/100</f>
        <v>1190.0416666666667</v>
      </c>
      <c r="BR857" s="16">
        <f t="shared" si="558"/>
        <v>-188672.13859444897</v>
      </c>
      <c r="BS857" s="15">
        <f t="shared" si="533"/>
        <v>22.170849845882874</v>
      </c>
      <c r="BT857" s="75">
        <f>BS857*(1-PARAM!$C$27)*$I$20+(MOD($B857,60)=PARAM!$B$56)*($B857&gt;(60-PARAM!$B$56))*HLOOKUP(($B857+PARAM!$B$56)/12,Loyalty,2)*$F$1*MAX(BV856,0)</f>
        <v>18.557001321003963</v>
      </c>
      <c r="BU857" s="75">
        <f>PARAM!$C$26+MAX($G$20-CHOOSE(PARAM!$B$44,MAX(0,BV856*$F$1),0),0)*RATES!$L833/12+$H$20*(PARAM!$D$51/12)*RATES!$N833/100</f>
        <v>1190.0416666666667</v>
      </c>
      <c r="BV857" s="16">
        <f t="shared" si="559"/>
        <v>-188672.13859444897</v>
      </c>
      <c r="BW857" s="15">
        <f t="shared" si="534"/>
        <v>22.170849845882874</v>
      </c>
      <c r="BX857" s="75">
        <f>BW857*(1-PARAM!$C$27)*$I$21+(MOD($B857,60)=PARAM!$B$56)*($B857&gt;(60-PARAM!$B$56))*HLOOKUP(($B857+PARAM!$B$56)/12,Loyalty,2)*$F$1*MAX(BZ856,0)</f>
        <v>18.557001321003963</v>
      </c>
      <c r="BY857" s="75">
        <f>PARAM!$C$26+MAX($G$21-CHOOSE(PARAM!$B$44,MAX(0,BZ856*$F$1),0),0)*RATES!$L833/12+$H$21*(PARAM!$D$51/12)*RATES!$N833/100</f>
        <v>1190.0416666666667</v>
      </c>
      <c r="BZ857" s="16">
        <f t="shared" si="560"/>
        <v>-188672.13859444897</v>
      </c>
      <c r="CA857" s="15">
        <f t="shared" si="535"/>
        <v>22.170849845882874</v>
      </c>
      <c r="CB857" s="75">
        <f>CA857*(1-PARAM!$C$27)*$I$22+(MOD($B857,60)=PARAM!$B$56)*($B857&gt;(60-PARAM!$B$56))*HLOOKUP(($B857+PARAM!$B$56)/12,Loyalty,2)*$F$1*MAX(CD856,0)</f>
        <v>18.557001321003963</v>
      </c>
      <c r="CC857" s="75">
        <f>PARAM!$C$26+MAX($G$22-CHOOSE(PARAM!$B$44,MAX(0,CD856*$F$1),0),0)*RATES!$L833/12+$H$22*(PARAM!$D$51/12)*RATES!$N833/100</f>
        <v>1190.0416666666667</v>
      </c>
      <c r="CD857" s="16">
        <f t="shared" si="561"/>
        <v>-188672.13859444897</v>
      </c>
      <c r="CE857" s="33">
        <f>IF(0=MOD(B857,12/PARAM!$D$51),1,0)</f>
        <v>1</v>
      </c>
      <c r="CF857" s="15">
        <f t="shared" si="536"/>
        <v>0</v>
      </c>
      <c r="CG857" s="75">
        <f>CF857*(1-PARAM!$C$27)*$R$3+(MOD($B857/12,5)=0)*($B857&gt;60)*HLOOKUP($B857/12,Loyalty,2)*$F$1*MAX(CI856,0)</f>
        <v>0</v>
      </c>
      <c r="CH857" s="75">
        <f>PARAM!$C$26+MAX($P$3-CHOOSE(PARAM!$B$44,MAX(0,CI856*$F$1),0),0)*RATES!$L833/12+$Q$3*(PARAM!$D$51/12)*RATES!$N833/100</f>
        <v>1190.0416666666667</v>
      </c>
      <c r="CI857" s="16">
        <f>IF(CI856&gt;0,CI856*PARAM!$C$53,CI856)+CG857-CH857</f>
        <v>-203954.87500000009</v>
      </c>
      <c r="CJ857" s="15">
        <f t="shared" si="562"/>
        <v>0</v>
      </c>
      <c r="CK857" s="75">
        <f>CJ857*(1-PARAM!$C$27)*$R$4+(MOD($B857/12,5)=0)*($B857&gt;60)*HLOOKUP($B857/12,Loyalty,2)*$F$1*MAX(CM856,0)</f>
        <v>0</v>
      </c>
      <c r="CL857" s="75">
        <f>PARAM!$C$26+MAX($P$4-CHOOSE(PARAM!$B$44,MAX(0,CM856*$F$1),0),0)*RATES!$L833/12+$Q$4*(PARAM!$D$51/12)*RATES!$N833/100</f>
        <v>1190.0416666666667</v>
      </c>
      <c r="CM857" s="16">
        <f>IF(CM856&gt;0,CM856*PARAM!$C$53,CM856)+CK857-CL857</f>
        <v>-203954.87500000009</v>
      </c>
      <c r="CO857" s="176"/>
    </row>
    <row r="858" spans="1:93" x14ac:dyDescent="0.2">
      <c r="A858" t="b">
        <f t="shared" si="537"/>
        <v>0</v>
      </c>
      <c r="B858" s="33">
        <v>831</v>
      </c>
      <c r="C858" s="15">
        <f t="shared" si="538"/>
        <v>20.081305947392778</v>
      </c>
      <c r="D858" s="75">
        <f>C858*(1-PARAM!$C$27)*$I$3+(MOD($B858,60)=PARAM!$B$56)*($B858&gt;(60-PARAM!$B$56))*HLOOKUP(($B858+PARAM!$B$56)/12,Loyalty,2)*$F$1*MAX(F857,0)</f>
        <v>16.808053077967756</v>
      </c>
      <c r="E858" s="75">
        <f>PARAM!$C$26+MAX($G$3-CHOOSE(PARAM!$B$44,MAX(0,F857*$F$1),0),0)*RATES!$L834/12+$H$3*(PARAM!$D$51/12)*RATES!$N834/100</f>
        <v>1190.0416666666667</v>
      </c>
      <c r="F858" s="16">
        <f t="shared" si="539"/>
        <v>-191333.84975027957</v>
      </c>
      <c r="G858" s="15">
        <f t="shared" si="540"/>
        <v>22.035289406060361</v>
      </c>
      <c r="H858" s="75">
        <f>G858*(1-PARAM!$C$27)*$I$4+(MOD($B858,60)=PARAM!$B$56)*($B858&gt;(60-PARAM!$B$56))*HLOOKUP(($B858+PARAM!$B$56)/12,Loyalty,2)*$F$1*MAX(J857,0)</f>
        <v>18.443537232872522</v>
      </c>
      <c r="I858" s="75">
        <f>PARAM!$C$26+MAX($G$4-CHOOSE(PARAM!$B$44,MAX(0,J857*$F$1),0),0)*RATES!$L834/12+$H$4*(PARAM!$D$51/12)*RATES!$N834/100</f>
        <v>1190.0416666666667</v>
      </c>
      <c r="J858" s="16">
        <f t="shared" si="541"/>
        <v>-189940.92945343125</v>
      </c>
      <c r="K858" s="15">
        <f t="shared" si="542"/>
        <v>22.170849845882874</v>
      </c>
      <c r="L858" s="75">
        <f>K858*(1-PARAM!$C$27)*$I$5+(MOD($B858,60)=PARAM!$B$56)*($B858&gt;(60-PARAM!$B$56))*HLOOKUP(($B858+PARAM!$B$56)/12,Loyalty,2)*$F$1*MAX(N857,0)</f>
        <v>18.557001321003963</v>
      </c>
      <c r="M858" s="75">
        <f>PARAM!$C$26+MAX($G$5-CHOOSE(PARAM!$B$44,MAX(0,N857*$F$1),0),0)*RATES!$L834/12+$H$5*(PARAM!$D$51/12)*RATES!$N834/100</f>
        <v>1190.0416666666667</v>
      </c>
      <c r="N858" s="16">
        <f t="shared" si="543"/>
        <v>-189843.62325979464</v>
      </c>
      <c r="O858" s="15">
        <f t="shared" si="544"/>
        <v>22.170849845882874</v>
      </c>
      <c r="P858" s="75">
        <f>O858*(1-PARAM!$C$27)*$I$6+(MOD($B858,60)=PARAM!$B$56)*($B858&gt;(60-PARAM!$B$56))*HLOOKUP(($B858+PARAM!$B$56)/12,Loyalty,2)*$F$1*MAX(R857,0)</f>
        <v>18.557001321003963</v>
      </c>
      <c r="Q858" s="75">
        <f>PARAM!$C$26+MAX($G$6-CHOOSE(PARAM!$B$44,MAX(0,R857*$F$1),0),0)*RATES!$L834/12+$H$6*(PARAM!$D$51/12)*RATES!$N834/100</f>
        <v>1190.0416666666667</v>
      </c>
      <c r="R858" s="16">
        <f t="shared" si="545"/>
        <v>-189843.62325979464</v>
      </c>
      <c r="S858" s="15">
        <f t="shared" si="520"/>
        <v>22.170849845882874</v>
      </c>
      <c r="T858" s="75">
        <f>S858*(1-PARAM!$C$27)*$I$7+(MOD($B858,60)=PARAM!$B$56)*($B858&gt;(60-PARAM!$B$56))*HLOOKUP(($B858+PARAM!$B$56)/12,Loyalty,2)*$F$1*MAX(V857,0)</f>
        <v>18.557001321003963</v>
      </c>
      <c r="U858" s="75">
        <f>PARAM!$C$26+MAX($G$7-CHOOSE(PARAM!$B$44,MAX(0,V857*$F$1),0),0)*RATES!$L834/12+$H$7*(PARAM!$D$51/12)*RATES!$N834/100</f>
        <v>1190.0416666666667</v>
      </c>
      <c r="V858" s="16">
        <f t="shared" si="546"/>
        <v>-189843.62325979464</v>
      </c>
      <c r="W858" s="15">
        <f t="shared" si="521"/>
        <v>22.170849845882874</v>
      </c>
      <c r="X858" s="75">
        <f>W858*(1-PARAM!$C$27)*$I$8+(MOD($B858,60)=PARAM!$B$56)*($B858&gt;(60-PARAM!$B$56))*HLOOKUP(($B858+PARAM!$B$56)/12,Loyalty,2)*$F$1*MAX(Z857,0)</f>
        <v>18.557001321003963</v>
      </c>
      <c r="Y858" s="75">
        <f>PARAM!$C$26+MAX($G$8-CHOOSE(PARAM!$B$44,MAX(0,Z857*$F$1),0),0)*RATES!$L834/12+$H$8*(PARAM!$D$51/12)*RATES!$N834/100</f>
        <v>1190.0416666666667</v>
      </c>
      <c r="Z858" s="16">
        <f t="shared" si="547"/>
        <v>-189843.62325979464</v>
      </c>
      <c r="AA858" s="15">
        <f t="shared" si="522"/>
        <v>22.170849845882874</v>
      </c>
      <c r="AB858" s="75">
        <f>AA858*(1-PARAM!$C$27)*$I$9+(MOD($B858,60)=PARAM!$B$56)*($B858&gt;(60-PARAM!$B$56))*HLOOKUP(($B858+PARAM!$B$56)/12,Loyalty,2)*$F$1*MAX(AD857,0)</f>
        <v>18.557001321003963</v>
      </c>
      <c r="AC858" s="75">
        <f>PARAM!$C$26+MAX($G$9-CHOOSE(PARAM!$B$44,MAX(0,AD857*$F$1),0),0)*RATES!$L834/12+$H$9*(PARAM!$D$51/12)*RATES!$N834/100</f>
        <v>1190.0416666666667</v>
      </c>
      <c r="AD858" s="16">
        <f t="shared" si="548"/>
        <v>-189843.62325979464</v>
      </c>
      <c r="AE858" s="15">
        <f t="shared" si="523"/>
        <v>22.170849845882874</v>
      </c>
      <c r="AF858" s="75">
        <f>AE858*(1-PARAM!$C$27)*$I$10+(MOD($B858,60)=PARAM!$B$56)*($B858&gt;(60-PARAM!$B$56))*HLOOKUP(($B858+PARAM!$B$56)/12,Loyalty,2)*$F$1*MAX(AH857,0)</f>
        <v>18.557001321003963</v>
      </c>
      <c r="AG858" s="75">
        <f>PARAM!$C$26+MAX($G$10-CHOOSE(PARAM!$B$44,MAX(0,AH857*$F$1),0),0)*RATES!$L834/12+$H$10*(PARAM!$D$51/12)*RATES!$N834/100</f>
        <v>1190.0416666666667</v>
      </c>
      <c r="AH858" s="16">
        <f t="shared" si="549"/>
        <v>-189843.62325979464</v>
      </c>
      <c r="AI858" s="15">
        <f t="shared" si="524"/>
        <v>22.170849845882874</v>
      </c>
      <c r="AJ858" s="75">
        <f>AI858*(1-PARAM!$C$27)*$I$11+(MOD($B858,60)=PARAM!$B$56)*($B858&gt;(60-PARAM!$B$56))*HLOOKUP(($B858+PARAM!$B$56)/12,Loyalty,2)*$F$1*MAX(AL857,0)</f>
        <v>18.557001321003963</v>
      </c>
      <c r="AK858" s="75">
        <f>PARAM!$C$26+MAX($G$11-CHOOSE(PARAM!$B$44,MAX(0,AL857*$F$1),0),0)*RATES!$L834/12+$H$11*(PARAM!$D$51/12)*RATES!$N834/100</f>
        <v>1190.0416666666667</v>
      </c>
      <c r="AL858" s="16">
        <f t="shared" si="550"/>
        <v>-189843.62325979464</v>
      </c>
      <c r="AM858" s="15">
        <f t="shared" si="525"/>
        <v>22.170849845882874</v>
      </c>
      <c r="AN858" s="75">
        <f>AM858*(1-PARAM!$C$27)*$I$12+(MOD($B858,60)=PARAM!$B$56)*($B858&gt;(60-PARAM!$B$56))*HLOOKUP(($B858+PARAM!$B$56)/12,Loyalty,2)*$F$1*MAX(AP857,0)</f>
        <v>18.557001321003963</v>
      </c>
      <c r="AO858" s="75">
        <f>PARAM!$C$26+MAX($G$12-CHOOSE(PARAM!$B$44,MAX(0,AP857*$F$1),0),0)*RATES!$L834/12+$H$12*(PARAM!$D$51/12)*RATES!$N834/100</f>
        <v>1190.0416666666667</v>
      </c>
      <c r="AP858" s="16">
        <f t="shared" si="551"/>
        <v>-189843.62325979464</v>
      </c>
      <c r="AQ858" s="15">
        <f t="shared" si="526"/>
        <v>22.170849845882874</v>
      </c>
      <c r="AR858" s="75">
        <f>AQ858*(1-PARAM!$C$27)*$I$13+(MOD($B858,60)=PARAM!$B$56)*($B858&gt;(60-PARAM!$B$56))*HLOOKUP(($B858+PARAM!$B$56)/12,Loyalty,2)*$F$1*MAX(AT857,0)</f>
        <v>18.557001321003963</v>
      </c>
      <c r="AS858" s="75">
        <f>PARAM!$C$26+MAX($G$13-CHOOSE(PARAM!$B$44,MAX(0,AT857*$F$1),0),0)*RATES!$L834/12+$H$13*(PARAM!$D$51/12)*RATES!$N834/100</f>
        <v>1190.0416666666667</v>
      </c>
      <c r="AT858" s="16">
        <f t="shared" si="552"/>
        <v>-189843.62325979464</v>
      </c>
      <c r="AU858" s="15">
        <f t="shared" si="527"/>
        <v>22.170849845882874</v>
      </c>
      <c r="AV858" s="75">
        <f>AU858*(1-PARAM!$C$27)*$I$14+(MOD($B858,60)=PARAM!$B$56)*($B858&gt;(60-PARAM!$B$56))*HLOOKUP(($B858+PARAM!$B$56)/12,Loyalty,2)*$F$1*MAX(AX857,0)</f>
        <v>18.557001321003963</v>
      </c>
      <c r="AW858" s="75">
        <f>PARAM!$C$26+MAX($G$14-CHOOSE(PARAM!$B$44,MAX(0,AX857*$F$1),0),0)*RATES!$L834/12+$H$14*(PARAM!$D$51/12)*RATES!$N834/100</f>
        <v>1190.0416666666667</v>
      </c>
      <c r="AX858" s="16">
        <f t="shared" si="553"/>
        <v>-189843.62325979464</v>
      </c>
      <c r="AY858" s="15">
        <f t="shared" si="528"/>
        <v>22.170849845882874</v>
      </c>
      <c r="AZ858" s="75">
        <f>AY858*(1-PARAM!$C$27)*$I$15+(MOD($B858,60)=PARAM!$B$56)*($B858&gt;(60-PARAM!$B$56))*HLOOKUP(($B858+PARAM!$B$56)/12,Loyalty,2)*$F$1*MAX(BB857,0)</f>
        <v>18.557001321003963</v>
      </c>
      <c r="BA858" s="75">
        <f>PARAM!$C$26+MAX($G$15-CHOOSE(PARAM!$B$44,MAX(0,BB857*$F$1),0),0)*RATES!$L834/12+$H$15*(PARAM!$D$51/12)*RATES!$N834/100</f>
        <v>1190.0416666666667</v>
      </c>
      <c r="BB858" s="16">
        <f t="shared" si="554"/>
        <v>-189843.62325979464</v>
      </c>
      <c r="BC858" s="15">
        <f t="shared" si="529"/>
        <v>22.170849845882874</v>
      </c>
      <c r="BD858" s="75">
        <f>BC858*(1-PARAM!$C$27)*$I$16+(MOD($B858,60)=PARAM!$B$56)*($B858&gt;(60-PARAM!$B$56))*HLOOKUP(($B858+PARAM!$B$56)/12,Loyalty,2)*$F$1*MAX(BF857,0)</f>
        <v>18.557001321003963</v>
      </c>
      <c r="BE858" s="75">
        <f>PARAM!$C$26+MAX($G$16-CHOOSE(PARAM!$B$44,MAX(0,BF857*$F$1),0),0)*RATES!$L834/12+$H$16*(PARAM!$D$51/12)*RATES!$N834/100</f>
        <v>1190.0416666666667</v>
      </c>
      <c r="BF858" s="16">
        <f t="shared" si="555"/>
        <v>-189843.62325979464</v>
      </c>
      <c r="BG858" s="15">
        <f t="shared" si="530"/>
        <v>22.170849845882874</v>
      </c>
      <c r="BH858" s="75">
        <f>BG858*(1-PARAM!$C$27)*$I$17+(MOD($B858,60)=PARAM!$B$56)*($B858&gt;(60-PARAM!$B$56))*HLOOKUP(($B858+PARAM!$B$56)/12,Loyalty,2)*$F$1*MAX(BJ857,0)</f>
        <v>18.557001321003963</v>
      </c>
      <c r="BI858" s="75">
        <f>PARAM!$C$26+MAX($G$17-CHOOSE(PARAM!$B$44,MAX(0,BJ857*$F$1),0),0)*RATES!$L834/12+$H$17*(PARAM!$D$51/12)*RATES!$N834/100</f>
        <v>1190.0416666666667</v>
      </c>
      <c r="BJ858" s="16">
        <f t="shared" si="556"/>
        <v>-189843.62325979464</v>
      </c>
      <c r="BK858" s="15">
        <f t="shared" si="531"/>
        <v>22.170849845882874</v>
      </c>
      <c r="BL858" s="75">
        <f>BK858*(1-PARAM!$C$27)*$I$18+(MOD($B858,60)=PARAM!$B$56)*($B858&gt;(60-PARAM!$B$56))*HLOOKUP(($B858+PARAM!$B$56)/12,Loyalty,2)*$F$1*MAX(BN857,0)</f>
        <v>18.557001321003963</v>
      </c>
      <c r="BM858" s="75">
        <f>PARAM!$C$26+MAX($G$18-CHOOSE(PARAM!$B$44,MAX(0,BN857*$F$1),0),0)*RATES!$L834/12+$H$18*(PARAM!$D$51/12)*RATES!$N834/100</f>
        <v>1190.0416666666667</v>
      </c>
      <c r="BN858" s="16">
        <f t="shared" si="557"/>
        <v>-189843.62325979464</v>
      </c>
      <c r="BO858" s="15">
        <f t="shared" si="532"/>
        <v>22.170849845882874</v>
      </c>
      <c r="BP858" s="75">
        <f>BO858*(1-PARAM!$C$27)*$I$19+(MOD($B858,60)=PARAM!$B$56)*($B858&gt;(60-PARAM!$B$56))*HLOOKUP(($B858+PARAM!$B$56)/12,Loyalty,2)*$F$1*MAX(BR857,0)</f>
        <v>18.557001321003963</v>
      </c>
      <c r="BQ858" s="75">
        <f>PARAM!$C$26+MAX($G$19-CHOOSE(PARAM!$B$44,MAX(0,BR857*$F$1),0),0)*RATES!$L834/12+$H$19*(PARAM!$D$51/12)*RATES!$N834/100</f>
        <v>1190.0416666666667</v>
      </c>
      <c r="BR858" s="16">
        <f t="shared" si="558"/>
        <v>-189843.62325979464</v>
      </c>
      <c r="BS858" s="15">
        <f t="shared" si="533"/>
        <v>22.170849845882874</v>
      </c>
      <c r="BT858" s="75">
        <f>BS858*(1-PARAM!$C$27)*$I$20+(MOD($B858,60)=PARAM!$B$56)*($B858&gt;(60-PARAM!$B$56))*HLOOKUP(($B858+PARAM!$B$56)/12,Loyalty,2)*$F$1*MAX(BV857,0)</f>
        <v>18.557001321003963</v>
      </c>
      <c r="BU858" s="75">
        <f>PARAM!$C$26+MAX($G$20-CHOOSE(PARAM!$B$44,MAX(0,BV857*$F$1),0),0)*RATES!$L834/12+$H$20*(PARAM!$D$51/12)*RATES!$N834/100</f>
        <v>1190.0416666666667</v>
      </c>
      <c r="BV858" s="16">
        <f t="shared" si="559"/>
        <v>-189843.62325979464</v>
      </c>
      <c r="BW858" s="15">
        <f t="shared" si="534"/>
        <v>22.170849845882874</v>
      </c>
      <c r="BX858" s="75">
        <f>BW858*(1-PARAM!$C$27)*$I$21+(MOD($B858,60)=PARAM!$B$56)*($B858&gt;(60-PARAM!$B$56))*HLOOKUP(($B858+PARAM!$B$56)/12,Loyalty,2)*$F$1*MAX(BZ857,0)</f>
        <v>18.557001321003963</v>
      </c>
      <c r="BY858" s="75">
        <f>PARAM!$C$26+MAX($G$21-CHOOSE(PARAM!$B$44,MAX(0,BZ857*$F$1),0),0)*RATES!$L834/12+$H$21*(PARAM!$D$51/12)*RATES!$N834/100</f>
        <v>1190.0416666666667</v>
      </c>
      <c r="BZ858" s="16">
        <f t="shared" si="560"/>
        <v>-189843.62325979464</v>
      </c>
      <c r="CA858" s="15">
        <f t="shared" si="535"/>
        <v>22.170849845882874</v>
      </c>
      <c r="CB858" s="75">
        <f>CA858*(1-PARAM!$C$27)*$I$22+(MOD($B858,60)=PARAM!$B$56)*($B858&gt;(60-PARAM!$B$56))*HLOOKUP(($B858+PARAM!$B$56)/12,Loyalty,2)*$F$1*MAX(CD857,0)</f>
        <v>18.557001321003963</v>
      </c>
      <c r="CC858" s="75">
        <f>PARAM!$C$26+MAX($G$22-CHOOSE(PARAM!$B$44,MAX(0,CD857*$F$1),0),0)*RATES!$L834/12+$H$22*(PARAM!$D$51/12)*RATES!$N834/100</f>
        <v>1190.0416666666667</v>
      </c>
      <c r="CD858" s="16">
        <f t="shared" si="561"/>
        <v>-189843.62325979464</v>
      </c>
      <c r="CE858" s="33">
        <f>IF(0=MOD(B858,12/PARAM!$D$51),1,0)</f>
        <v>1</v>
      </c>
      <c r="CF858" s="15">
        <f t="shared" si="536"/>
        <v>0</v>
      </c>
      <c r="CG858" s="75">
        <f>CF858*(1-PARAM!$C$27)*$R$3+(MOD($B858/12,5)=0)*($B858&gt;60)*HLOOKUP($B858/12,Loyalty,2)*$F$1*MAX(CI857,0)</f>
        <v>0</v>
      </c>
      <c r="CH858" s="75">
        <f>PARAM!$C$26+MAX($P$3-CHOOSE(PARAM!$B$44,MAX(0,CI857*$F$1),0),0)*RATES!$L834/12+$Q$3*(PARAM!$D$51/12)*RATES!$N834/100</f>
        <v>1190.0416666666667</v>
      </c>
      <c r="CI858" s="16">
        <f>IF(CI857&gt;0,CI857*PARAM!$C$53,CI857)+CG858-CH858</f>
        <v>-205144.91666666674</v>
      </c>
      <c r="CJ858" s="15">
        <f t="shared" si="562"/>
        <v>0</v>
      </c>
      <c r="CK858" s="75">
        <f>CJ858*(1-PARAM!$C$27)*$R$4+(MOD($B858/12,5)=0)*($B858&gt;60)*HLOOKUP($B858/12,Loyalty,2)*$F$1*MAX(CM857,0)</f>
        <v>0</v>
      </c>
      <c r="CL858" s="75">
        <f>PARAM!$C$26+MAX($P$4-CHOOSE(PARAM!$B$44,MAX(0,CM857*$F$1),0),0)*RATES!$L834/12+$Q$4*(PARAM!$D$51/12)*RATES!$N834/100</f>
        <v>1190.0416666666667</v>
      </c>
      <c r="CM858" s="16">
        <f>IF(CM857&gt;0,CM857*PARAM!$C$53,CM857)+CK858-CL858</f>
        <v>-205144.91666666674</v>
      </c>
      <c r="CO858" s="176"/>
    </row>
    <row r="859" spans="1:93" x14ac:dyDescent="0.2">
      <c r="A859" t="b">
        <f t="shared" si="537"/>
        <v>0</v>
      </c>
      <c r="B859" s="33">
        <v>832</v>
      </c>
      <c r="C859" s="15">
        <f t="shared" si="538"/>
        <v>20.081305947392778</v>
      </c>
      <c r="D859" s="75">
        <f>C859*(1-PARAM!$C$27)*$I$3+(MOD($B859,60)=PARAM!$B$56)*($B859&gt;(60-PARAM!$B$56))*HLOOKUP(($B859+PARAM!$B$56)/12,Loyalty,2)*$F$1*MAX(F858,0)</f>
        <v>16.808053077967756</v>
      </c>
      <c r="E859" s="75">
        <f>PARAM!$C$26+MAX($G$3-CHOOSE(PARAM!$B$44,MAX(0,F858*$F$1),0),0)*RATES!$L835/12+$H$3*(PARAM!$D$51/12)*RATES!$N835/100</f>
        <v>1190.0416666666667</v>
      </c>
      <c r="F859" s="16">
        <f t="shared" si="539"/>
        <v>-192507.08336386827</v>
      </c>
      <c r="G859" s="15">
        <f t="shared" si="540"/>
        <v>22.035289406060361</v>
      </c>
      <c r="H859" s="75">
        <f>G859*(1-PARAM!$C$27)*$I$4+(MOD($B859,60)=PARAM!$B$56)*($B859&gt;(60-PARAM!$B$56))*HLOOKUP(($B859+PARAM!$B$56)/12,Loyalty,2)*$F$1*MAX(J858,0)</f>
        <v>18.443537232872522</v>
      </c>
      <c r="I859" s="75">
        <f>PARAM!$C$26+MAX($G$4-CHOOSE(PARAM!$B$44,MAX(0,J858*$F$1),0),0)*RATES!$L835/12+$H$4*(PARAM!$D$51/12)*RATES!$N835/100</f>
        <v>1190.0416666666667</v>
      </c>
      <c r="J859" s="16">
        <f t="shared" si="541"/>
        <v>-191112.52758286503</v>
      </c>
      <c r="K859" s="15">
        <f t="shared" si="542"/>
        <v>22.170849845882874</v>
      </c>
      <c r="L859" s="75">
        <f>K859*(1-PARAM!$C$27)*$I$5+(MOD($B859,60)=PARAM!$B$56)*($B859&gt;(60-PARAM!$B$56))*HLOOKUP(($B859+PARAM!$B$56)/12,Loyalty,2)*$F$1*MAX(N858,0)</f>
        <v>18.557001321003963</v>
      </c>
      <c r="M859" s="75">
        <f>PARAM!$C$26+MAX($G$5-CHOOSE(PARAM!$B$44,MAX(0,N858*$F$1),0),0)*RATES!$L835/12+$H$5*(PARAM!$D$51/12)*RATES!$N835/100</f>
        <v>1190.0416666666667</v>
      </c>
      <c r="N859" s="16">
        <f t="shared" si="543"/>
        <v>-191015.1079251403</v>
      </c>
      <c r="O859" s="15">
        <f t="shared" si="544"/>
        <v>22.170849845882874</v>
      </c>
      <c r="P859" s="75">
        <f>O859*(1-PARAM!$C$27)*$I$6+(MOD($B859,60)=PARAM!$B$56)*($B859&gt;(60-PARAM!$B$56))*HLOOKUP(($B859+PARAM!$B$56)/12,Loyalty,2)*$F$1*MAX(R858,0)</f>
        <v>18.557001321003963</v>
      </c>
      <c r="Q859" s="75">
        <f>PARAM!$C$26+MAX($G$6-CHOOSE(PARAM!$B$44,MAX(0,R858*$F$1),0),0)*RATES!$L835/12+$H$6*(PARAM!$D$51/12)*RATES!$N835/100</f>
        <v>1190.0416666666667</v>
      </c>
      <c r="R859" s="16">
        <f t="shared" si="545"/>
        <v>-191015.1079251403</v>
      </c>
      <c r="S859" s="15">
        <f t="shared" ref="S859:S922" si="563">$H$7*$CE859</f>
        <v>22.170849845882874</v>
      </c>
      <c r="T859" s="75">
        <f>S859*(1-PARAM!$C$27)*$I$7+(MOD($B859,60)=PARAM!$B$56)*($B859&gt;(60-PARAM!$B$56))*HLOOKUP(($B859+PARAM!$B$56)/12,Loyalty,2)*$F$1*MAX(V858,0)</f>
        <v>18.557001321003963</v>
      </c>
      <c r="U859" s="75">
        <f>PARAM!$C$26+MAX($G$7-CHOOSE(PARAM!$B$44,MAX(0,V858*$F$1),0),0)*RATES!$L835/12+$H$7*(PARAM!$D$51/12)*RATES!$N835/100</f>
        <v>1190.0416666666667</v>
      </c>
      <c r="V859" s="16">
        <f t="shared" si="546"/>
        <v>-191015.1079251403</v>
      </c>
      <c r="W859" s="15">
        <f t="shared" ref="W859:W922" si="564">$H$8*$CE859</f>
        <v>22.170849845882874</v>
      </c>
      <c r="X859" s="75">
        <f>W859*(1-PARAM!$C$27)*$I$8+(MOD($B859,60)=PARAM!$B$56)*($B859&gt;(60-PARAM!$B$56))*HLOOKUP(($B859+PARAM!$B$56)/12,Loyalty,2)*$F$1*MAX(Z858,0)</f>
        <v>18.557001321003963</v>
      </c>
      <c r="Y859" s="75">
        <f>PARAM!$C$26+MAX($G$8-CHOOSE(PARAM!$B$44,MAX(0,Z858*$F$1),0),0)*RATES!$L835/12+$H$8*(PARAM!$D$51/12)*RATES!$N835/100</f>
        <v>1190.0416666666667</v>
      </c>
      <c r="Z859" s="16">
        <f t="shared" si="547"/>
        <v>-191015.1079251403</v>
      </c>
      <c r="AA859" s="15">
        <f t="shared" ref="AA859:AA922" si="565">$H$9*$CE859</f>
        <v>22.170849845882874</v>
      </c>
      <c r="AB859" s="75">
        <f>AA859*(1-PARAM!$C$27)*$I$9+(MOD($B859,60)=PARAM!$B$56)*($B859&gt;(60-PARAM!$B$56))*HLOOKUP(($B859+PARAM!$B$56)/12,Loyalty,2)*$F$1*MAX(AD858,0)</f>
        <v>18.557001321003963</v>
      </c>
      <c r="AC859" s="75">
        <f>PARAM!$C$26+MAX($G$9-CHOOSE(PARAM!$B$44,MAX(0,AD858*$F$1),0),0)*RATES!$L835/12+$H$9*(PARAM!$D$51/12)*RATES!$N835/100</f>
        <v>1190.0416666666667</v>
      </c>
      <c r="AD859" s="16">
        <f t="shared" si="548"/>
        <v>-191015.1079251403</v>
      </c>
      <c r="AE859" s="15">
        <f t="shared" ref="AE859:AE922" si="566">$H$10*$CE859</f>
        <v>22.170849845882874</v>
      </c>
      <c r="AF859" s="75">
        <f>AE859*(1-PARAM!$C$27)*$I$10+(MOD($B859,60)=PARAM!$B$56)*($B859&gt;(60-PARAM!$B$56))*HLOOKUP(($B859+PARAM!$B$56)/12,Loyalty,2)*$F$1*MAX(AH858,0)</f>
        <v>18.557001321003963</v>
      </c>
      <c r="AG859" s="75">
        <f>PARAM!$C$26+MAX($G$10-CHOOSE(PARAM!$B$44,MAX(0,AH858*$F$1),0),0)*RATES!$L835/12+$H$10*(PARAM!$D$51/12)*RATES!$N835/100</f>
        <v>1190.0416666666667</v>
      </c>
      <c r="AH859" s="16">
        <f t="shared" si="549"/>
        <v>-191015.1079251403</v>
      </c>
      <c r="AI859" s="15">
        <f t="shared" ref="AI859:AI922" si="567">$H$11*$CE859</f>
        <v>22.170849845882874</v>
      </c>
      <c r="AJ859" s="75">
        <f>AI859*(1-PARAM!$C$27)*$I$11+(MOD($B859,60)=PARAM!$B$56)*($B859&gt;(60-PARAM!$B$56))*HLOOKUP(($B859+PARAM!$B$56)/12,Loyalty,2)*$F$1*MAX(AL858,0)</f>
        <v>18.557001321003963</v>
      </c>
      <c r="AK859" s="75">
        <f>PARAM!$C$26+MAX($G$11-CHOOSE(PARAM!$B$44,MAX(0,AL858*$F$1),0),0)*RATES!$L835/12+$H$11*(PARAM!$D$51/12)*RATES!$N835/100</f>
        <v>1190.0416666666667</v>
      </c>
      <c r="AL859" s="16">
        <f t="shared" si="550"/>
        <v>-191015.1079251403</v>
      </c>
      <c r="AM859" s="15">
        <f t="shared" ref="AM859:AM922" si="568">$H$12*$CE859</f>
        <v>22.170849845882874</v>
      </c>
      <c r="AN859" s="75">
        <f>AM859*(1-PARAM!$C$27)*$I$12+(MOD($B859,60)=PARAM!$B$56)*($B859&gt;(60-PARAM!$B$56))*HLOOKUP(($B859+PARAM!$B$56)/12,Loyalty,2)*$F$1*MAX(AP858,0)</f>
        <v>18.557001321003963</v>
      </c>
      <c r="AO859" s="75">
        <f>PARAM!$C$26+MAX($G$12-CHOOSE(PARAM!$B$44,MAX(0,AP858*$F$1),0),0)*RATES!$L835/12+$H$12*(PARAM!$D$51/12)*RATES!$N835/100</f>
        <v>1190.0416666666667</v>
      </c>
      <c r="AP859" s="16">
        <f t="shared" si="551"/>
        <v>-191015.1079251403</v>
      </c>
      <c r="AQ859" s="15">
        <f t="shared" ref="AQ859:AQ922" si="569">$H$13*$CE859</f>
        <v>22.170849845882874</v>
      </c>
      <c r="AR859" s="75">
        <f>AQ859*(1-PARAM!$C$27)*$I$13+(MOD($B859,60)=PARAM!$B$56)*($B859&gt;(60-PARAM!$B$56))*HLOOKUP(($B859+PARAM!$B$56)/12,Loyalty,2)*$F$1*MAX(AT858,0)</f>
        <v>18.557001321003963</v>
      </c>
      <c r="AS859" s="75">
        <f>PARAM!$C$26+MAX($G$13-CHOOSE(PARAM!$B$44,MAX(0,AT858*$F$1),0),0)*RATES!$L835/12+$H$13*(PARAM!$D$51/12)*RATES!$N835/100</f>
        <v>1190.0416666666667</v>
      </c>
      <c r="AT859" s="16">
        <f t="shared" si="552"/>
        <v>-191015.1079251403</v>
      </c>
      <c r="AU859" s="15">
        <f t="shared" ref="AU859:AU922" si="570">$H$14*$CE859</f>
        <v>22.170849845882874</v>
      </c>
      <c r="AV859" s="75">
        <f>AU859*(1-PARAM!$C$27)*$I$14+(MOD($B859,60)=PARAM!$B$56)*($B859&gt;(60-PARAM!$B$56))*HLOOKUP(($B859+PARAM!$B$56)/12,Loyalty,2)*$F$1*MAX(AX858,0)</f>
        <v>18.557001321003963</v>
      </c>
      <c r="AW859" s="75">
        <f>PARAM!$C$26+MAX($G$14-CHOOSE(PARAM!$B$44,MAX(0,AX858*$F$1),0),0)*RATES!$L835/12+$H$14*(PARAM!$D$51/12)*RATES!$N835/100</f>
        <v>1190.0416666666667</v>
      </c>
      <c r="AX859" s="16">
        <f t="shared" si="553"/>
        <v>-191015.1079251403</v>
      </c>
      <c r="AY859" s="15">
        <f t="shared" ref="AY859:AY922" si="571">$H$15*$CE859</f>
        <v>22.170849845882874</v>
      </c>
      <c r="AZ859" s="75">
        <f>AY859*(1-PARAM!$C$27)*$I$15+(MOD($B859,60)=PARAM!$B$56)*($B859&gt;(60-PARAM!$B$56))*HLOOKUP(($B859+PARAM!$B$56)/12,Loyalty,2)*$F$1*MAX(BB858,0)</f>
        <v>18.557001321003963</v>
      </c>
      <c r="BA859" s="75">
        <f>PARAM!$C$26+MAX($G$15-CHOOSE(PARAM!$B$44,MAX(0,BB858*$F$1),0),0)*RATES!$L835/12+$H$15*(PARAM!$D$51/12)*RATES!$N835/100</f>
        <v>1190.0416666666667</v>
      </c>
      <c r="BB859" s="16">
        <f t="shared" si="554"/>
        <v>-191015.1079251403</v>
      </c>
      <c r="BC859" s="15">
        <f t="shared" ref="BC859:BC922" si="572">$H$16*$CE859</f>
        <v>22.170849845882874</v>
      </c>
      <c r="BD859" s="75">
        <f>BC859*(1-PARAM!$C$27)*$I$16+(MOD($B859,60)=PARAM!$B$56)*($B859&gt;(60-PARAM!$B$56))*HLOOKUP(($B859+PARAM!$B$56)/12,Loyalty,2)*$F$1*MAX(BF858,0)</f>
        <v>18.557001321003963</v>
      </c>
      <c r="BE859" s="75">
        <f>PARAM!$C$26+MAX($G$16-CHOOSE(PARAM!$B$44,MAX(0,BF858*$F$1),0),0)*RATES!$L835/12+$H$16*(PARAM!$D$51/12)*RATES!$N835/100</f>
        <v>1190.0416666666667</v>
      </c>
      <c r="BF859" s="16">
        <f t="shared" si="555"/>
        <v>-191015.1079251403</v>
      </c>
      <c r="BG859" s="15">
        <f t="shared" ref="BG859:BG922" si="573">$H$17*$CE859</f>
        <v>22.170849845882874</v>
      </c>
      <c r="BH859" s="75">
        <f>BG859*(1-PARAM!$C$27)*$I$17+(MOD($B859,60)=PARAM!$B$56)*($B859&gt;(60-PARAM!$B$56))*HLOOKUP(($B859+PARAM!$B$56)/12,Loyalty,2)*$F$1*MAX(BJ858,0)</f>
        <v>18.557001321003963</v>
      </c>
      <c r="BI859" s="75">
        <f>PARAM!$C$26+MAX($G$17-CHOOSE(PARAM!$B$44,MAX(0,BJ858*$F$1),0),0)*RATES!$L835/12+$H$17*(PARAM!$D$51/12)*RATES!$N835/100</f>
        <v>1190.0416666666667</v>
      </c>
      <c r="BJ859" s="16">
        <f t="shared" si="556"/>
        <v>-191015.1079251403</v>
      </c>
      <c r="BK859" s="15">
        <f t="shared" ref="BK859:BK922" si="574">$H$18*$CE859</f>
        <v>22.170849845882874</v>
      </c>
      <c r="BL859" s="75">
        <f>BK859*(1-PARAM!$C$27)*$I$18+(MOD($B859,60)=PARAM!$B$56)*($B859&gt;(60-PARAM!$B$56))*HLOOKUP(($B859+PARAM!$B$56)/12,Loyalty,2)*$F$1*MAX(BN858,0)</f>
        <v>18.557001321003963</v>
      </c>
      <c r="BM859" s="75">
        <f>PARAM!$C$26+MAX($G$18-CHOOSE(PARAM!$B$44,MAX(0,BN858*$F$1),0),0)*RATES!$L835/12+$H$18*(PARAM!$D$51/12)*RATES!$N835/100</f>
        <v>1190.0416666666667</v>
      </c>
      <c r="BN859" s="16">
        <f t="shared" si="557"/>
        <v>-191015.1079251403</v>
      </c>
      <c r="BO859" s="15">
        <f t="shared" ref="BO859:BO922" si="575">$H$19*$CE859</f>
        <v>22.170849845882874</v>
      </c>
      <c r="BP859" s="75">
        <f>BO859*(1-PARAM!$C$27)*$I$19+(MOD($B859,60)=PARAM!$B$56)*($B859&gt;(60-PARAM!$B$56))*HLOOKUP(($B859+PARAM!$B$56)/12,Loyalty,2)*$F$1*MAX(BR858,0)</f>
        <v>18.557001321003963</v>
      </c>
      <c r="BQ859" s="75">
        <f>PARAM!$C$26+MAX($G$19-CHOOSE(PARAM!$B$44,MAX(0,BR858*$F$1),0),0)*RATES!$L835/12+$H$19*(PARAM!$D$51/12)*RATES!$N835/100</f>
        <v>1190.0416666666667</v>
      </c>
      <c r="BR859" s="16">
        <f t="shared" si="558"/>
        <v>-191015.1079251403</v>
      </c>
      <c r="BS859" s="15">
        <f t="shared" ref="BS859:BS922" si="576">$H$20*$CE859</f>
        <v>22.170849845882874</v>
      </c>
      <c r="BT859" s="75">
        <f>BS859*(1-PARAM!$C$27)*$I$20+(MOD($B859,60)=PARAM!$B$56)*($B859&gt;(60-PARAM!$B$56))*HLOOKUP(($B859+PARAM!$B$56)/12,Loyalty,2)*$F$1*MAX(BV858,0)</f>
        <v>18.557001321003963</v>
      </c>
      <c r="BU859" s="75">
        <f>PARAM!$C$26+MAX($G$20-CHOOSE(PARAM!$B$44,MAX(0,BV858*$F$1),0),0)*RATES!$L835/12+$H$20*(PARAM!$D$51/12)*RATES!$N835/100</f>
        <v>1190.0416666666667</v>
      </c>
      <c r="BV859" s="16">
        <f t="shared" si="559"/>
        <v>-191015.1079251403</v>
      </c>
      <c r="BW859" s="15">
        <f t="shared" ref="BW859:BW922" si="577">$H$21*$CE859</f>
        <v>22.170849845882874</v>
      </c>
      <c r="BX859" s="75">
        <f>BW859*(1-PARAM!$C$27)*$I$21+(MOD($B859,60)=PARAM!$B$56)*($B859&gt;(60-PARAM!$B$56))*HLOOKUP(($B859+PARAM!$B$56)/12,Loyalty,2)*$F$1*MAX(BZ858,0)</f>
        <v>18.557001321003963</v>
      </c>
      <c r="BY859" s="75">
        <f>PARAM!$C$26+MAX($G$21-CHOOSE(PARAM!$B$44,MAX(0,BZ858*$F$1),0),0)*RATES!$L835/12+$H$21*(PARAM!$D$51/12)*RATES!$N835/100</f>
        <v>1190.0416666666667</v>
      </c>
      <c r="BZ859" s="16">
        <f t="shared" si="560"/>
        <v>-191015.1079251403</v>
      </c>
      <c r="CA859" s="15">
        <f t="shared" ref="CA859:CA922" si="578">$H$22*$CE859</f>
        <v>22.170849845882874</v>
      </c>
      <c r="CB859" s="75">
        <f>CA859*(1-PARAM!$C$27)*$I$22+(MOD($B859,60)=PARAM!$B$56)*($B859&gt;(60-PARAM!$B$56))*HLOOKUP(($B859+PARAM!$B$56)/12,Loyalty,2)*$F$1*MAX(CD858,0)</f>
        <v>18.557001321003963</v>
      </c>
      <c r="CC859" s="75">
        <f>PARAM!$C$26+MAX($G$22-CHOOSE(PARAM!$B$44,MAX(0,CD858*$F$1),0),0)*RATES!$L835/12+$H$22*(PARAM!$D$51/12)*RATES!$N835/100</f>
        <v>1190.0416666666667</v>
      </c>
      <c r="CD859" s="16">
        <f t="shared" si="561"/>
        <v>-191015.1079251403</v>
      </c>
      <c r="CE859" s="33">
        <f>IF(0=MOD(B859,12/PARAM!$D$51),1,0)</f>
        <v>1</v>
      </c>
      <c r="CF859" s="15">
        <f t="shared" ref="CF859:CF922" si="579">$Q$3*CE859</f>
        <v>0</v>
      </c>
      <c r="CG859" s="75">
        <f>CF859*(1-PARAM!$C$27)*$R$3+(MOD($B859/12,5)=0)*($B859&gt;60)*HLOOKUP($B859/12,Loyalty,2)*$F$1*MAX(CI858,0)</f>
        <v>0</v>
      </c>
      <c r="CH859" s="75">
        <f>PARAM!$C$26+MAX($P$3-CHOOSE(PARAM!$B$44,MAX(0,CI858*$F$1),0),0)*RATES!$L835/12+$Q$3*(PARAM!$D$51/12)*RATES!$N835/100</f>
        <v>1190.0416666666667</v>
      </c>
      <c r="CI859" s="16">
        <f>IF(CI858&gt;0,CI858*PARAM!$C$53,CI858)+CG859-CH859</f>
        <v>-206334.9583333334</v>
      </c>
      <c r="CJ859" s="15">
        <f t="shared" si="562"/>
        <v>0</v>
      </c>
      <c r="CK859" s="75">
        <f>CJ859*(1-PARAM!$C$27)*$R$4+(MOD($B859/12,5)=0)*($B859&gt;60)*HLOOKUP($B859/12,Loyalty,2)*$F$1*MAX(CM858,0)</f>
        <v>0</v>
      </c>
      <c r="CL859" s="75">
        <f>PARAM!$C$26+MAX($P$4-CHOOSE(PARAM!$B$44,MAX(0,CM858*$F$1),0),0)*RATES!$L835/12+$Q$4*(PARAM!$D$51/12)*RATES!$N835/100</f>
        <v>1190.0416666666667</v>
      </c>
      <c r="CM859" s="16">
        <f>IF(CM858&gt;0,CM858*PARAM!$C$53,CM858)+CK859-CL859</f>
        <v>-206334.9583333334</v>
      </c>
      <c r="CO859" s="176"/>
    </row>
    <row r="860" spans="1:93" x14ac:dyDescent="0.2">
      <c r="A860" t="b">
        <f t="shared" ref="A860:A923" si="580">F860&gt;0</f>
        <v>0</v>
      </c>
      <c r="B860" s="33">
        <v>833</v>
      </c>
      <c r="C860" s="15">
        <f t="shared" ref="C860:C923" si="581">$H$3*$CE860</f>
        <v>20.081305947392778</v>
      </c>
      <c r="D860" s="75">
        <f>C860*(1-PARAM!$C$27)*$I$3+(MOD($B860,60)=PARAM!$B$56)*($B860&gt;(60-PARAM!$B$56))*HLOOKUP(($B860+PARAM!$B$56)/12,Loyalty,2)*$F$1*MAX(F859,0)</f>
        <v>16.808053077967756</v>
      </c>
      <c r="E860" s="75">
        <f>PARAM!$C$26+MAX($G$3-CHOOSE(PARAM!$B$44,MAX(0,F859*$F$1),0),0)*RATES!$L836/12+$H$3*(PARAM!$D$51/12)*RATES!$N836/100</f>
        <v>1190.0416666666667</v>
      </c>
      <c r="F860" s="16">
        <f t="shared" ref="F860:F923" si="582">IF(F859&gt;0,F859*$F$1,F859)+D860-E860</f>
        <v>-193680.31697745697</v>
      </c>
      <c r="G860" s="15">
        <f t="shared" ref="G860:G923" si="583">$H$4*$CE860</f>
        <v>22.035289406060361</v>
      </c>
      <c r="H860" s="75">
        <f>G860*(1-PARAM!$C$27)*$I$4+(MOD($B860,60)=PARAM!$B$56)*($B860&gt;(60-PARAM!$B$56))*HLOOKUP(($B860+PARAM!$B$56)/12,Loyalty,2)*$F$1*MAX(J859,0)</f>
        <v>18.443537232872522</v>
      </c>
      <c r="I860" s="75">
        <f>PARAM!$C$26+MAX($G$4-CHOOSE(PARAM!$B$44,MAX(0,J859*$F$1),0),0)*RATES!$L836/12+$H$4*(PARAM!$D$51/12)*RATES!$N836/100</f>
        <v>1190.0416666666667</v>
      </c>
      <c r="J860" s="16">
        <f t="shared" ref="J860:J923" si="584">IF(J859&gt;0,J859*$F$1,J859)+H860-I860</f>
        <v>-192284.12571229882</v>
      </c>
      <c r="K860" s="15">
        <f t="shared" ref="K860:K923" si="585">$H$5*$CE860</f>
        <v>22.170849845882874</v>
      </c>
      <c r="L860" s="75">
        <f>K860*(1-PARAM!$C$27)*$I$5+(MOD($B860,60)=PARAM!$B$56)*($B860&gt;(60-PARAM!$B$56))*HLOOKUP(($B860+PARAM!$B$56)/12,Loyalty,2)*$F$1*MAX(N859,0)</f>
        <v>18.557001321003963</v>
      </c>
      <c r="M860" s="75">
        <f>PARAM!$C$26+MAX($G$5-CHOOSE(PARAM!$B$44,MAX(0,N859*$F$1),0),0)*RATES!$L836/12+$H$5*(PARAM!$D$51/12)*RATES!$N836/100</f>
        <v>1190.0416666666667</v>
      </c>
      <c r="N860" s="16">
        <f t="shared" ref="N860:N923" si="586">IF(N859&gt;0,N859*$F$1,N859)+L860-M860</f>
        <v>-192186.59259048596</v>
      </c>
      <c r="O860" s="15">
        <f t="shared" ref="O860:O923" si="587">$H$6*$CE860</f>
        <v>22.170849845882874</v>
      </c>
      <c r="P860" s="75">
        <f>O860*(1-PARAM!$C$27)*$I$6+(MOD($B860,60)=PARAM!$B$56)*($B860&gt;(60-PARAM!$B$56))*HLOOKUP(($B860+PARAM!$B$56)/12,Loyalty,2)*$F$1*MAX(R859,0)</f>
        <v>18.557001321003963</v>
      </c>
      <c r="Q860" s="75">
        <f>PARAM!$C$26+MAX($G$6-CHOOSE(PARAM!$B$44,MAX(0,R859*$F$1),0),0)*RATES!$L836/12+$H$6*(PARAM!$D$51/12)*RATES!$N836/100</f>
        <v>1190.0416666666667</v>
      </c>
      <c r="R860" s="16">
        <f t="shared" ref="R860:R923" si="588">IF(R859&gt;0,R859*$F$1,R859)+P860-Q860</f>
        <v>-192186.59259048596</v>
      </c>
      <c r="S860" s="15">
        <f t="shared" si="563"/>
        <v>22.170849845882874</v>
      </c>
      <c r="T860" s="75">
        <f>S860*(1-PARAM!$C$27)*$I$7+(MOD($B860,60)=PARAM!$B$56)*($B860&gt;(60-PARAM!$B$56))*HLOOKUP(($B860+PARAM!$B$56)/12,Loyalty,2)*$F$1*MAX(V859,0)</f>
        <v>18.557001321003963</v>
      </c>
      <c r="U860" s="75">
        <f>PARAM!$C$26+MAX($G$7-CHOOSE(PARAM!$B$44,MAX(0,V859*$F$1),0),0)*RATES!$L836/12+$H$7*(PARAM!$D$51/12)*RATES!$N836/100</f>
        <v>1190.0416666666667</v>
      </c>
      <c r="V860" s="16">
        <f t="shared" ref="V860:V923" si="589">IF(V859&gt;0,V859*$F$1,V859)+T860-U860</f>
        <v>-192186.59259048596</v>
      </c>
      <c r="W860" s="15">
        <f t="shared" si="564"/>
        <v>22.170849845882874</v>
      </c>
      <c r="X860" s="75">
        <f>W860*(1-PARAM!$C$27)*$I$8+(MOD($B860,60)=PARAM!$B$56)*($B860&gt;(60-PARAM!$B$56))*HLOOKUP(($B860+PARAM!$B$56)/12,Loyalty,2)*$F$1*MAX(Z859,0)</f>
        <v>18.557001321003963</v>
      </c>
      <c r="Y860" s="75">
        <f>PARAM!$C$26+MAX($G$8-CHOOSE(PARAM!$B$44,MAX(0,Z859*$F$1),0),0)*RATES!$L836/12+$H$8*(PARAM!$D$51/12)*RATES!$N836/100</f>
        <v>1190.0416666666667</v>
      </c>
      <c r="Z860" s="16">
        <f t="shared" ref="Z860:Z923" si="590">IF(Z859&gt;0,Z859*$F$1,Z859)+X860-Y860</f>
        <v>-192186.59259048596</v>
      </c>
      <c r="AA860" s="15">
        <f t="shared" si="565"/>
        <v>22.170849845882874</v>
      </c>
      <c r="AB860" s="75">
        <f>AA860*(1-PARAM!$C$27)*$I$9+(MOD($B860,60)=PARAM!$B$56)*($B860&gt;(60-PARAM!$B$56))*HLOOKUP(($B860+PARAM!$B$56)/12,Loyalty,2)*$F$1*MAX(AD859,0)</f>
        <v>18.557001321003963</v>
      </c>
      <c r="AC860" s="75">
        <f>PARAM!$C$26+MAX($G$9-CHOOSE(PARAM!$B$44,MAX(0,AD859*$F$1),0),0)*RATES!$L836/12+$H$9*(PARAM!$D$51/12)*RATES!$N836/100</f>
        <v>1190.0416666666667</v>
      </c>
      <c r="AD860" s="16">
        <f t="shared" ref="AD860:AD923" si="591">IF(AD859&gt;0,AD859*$F$1,AD859)+AB860-AC860</f>
        <v>-192186.59259048596</v>
      </c>
      <c r="AE860" s="15">
        <f t="shared" si="566"/>
        <v>22.170849845882874</v>
      </c>
      <c r="AF860" s="75">
        <f>AE860*(1-PARAM!$C$27)*$I$10+(MOD($B860,60)=PARAM!$B$56)*($B860&gt;(60-PARAM!$B$56))*HLOOKUP(($B860+PARAM!$B$56)/12,Loyalty,2)*$F$1*MAX(AH859,0)</f>
        <v>18.557001321003963</v>
      </c>
      <c r="AG860" s="75">
        <f>PARAM!$C$26+MAX($G$10-CHOOSE(PARAM!$B$44,MAX(0,AH859*$F$1),0),0)*RATES!$L836/12+$H$10*(PARAM!$D$51/12)*RATES!$N836/100</f>
        <v>1190.0416666666667</v>
      </c>
      <c r="AH860" s="16">
        <f t="shared" ref="AH860:AH923" si="592">IF(AH859&gt;0,AH859*$F$1,AH859)+AF860-AG860</f>
        <v>-192186.59259048596</v>
      </c>
      <c r="AI860" s="15">
        <f t="shared" si="567"/>
        <v>22.170849845882874</v>
      </c>
      <c r="AJ860" s="75">
        <f>AI860*(1-PARAM!$C$27)*$I$11+(MOD($B860,60)=PARAM!$B$56)*($B860&gt;(60-PARAM!$B$56))*HLOOKUP(($B860+PARAM!$B$56)/12,Loyalty,2)*$F$1*MAX(AL859,0)</f>
        <v>18.557001321003963</v>
      </c>
      <c r="AK860" s="75">
        <f>PARAM!$C$26+MAX($G$11-CHOOSE(PARAM!$B$44,MAX(0,AL859*$F$1),0),0)*RATES!$L836/12+$H$11*(PARAM!$D$51/12)*RATES!$N836/100</f>
        <v>1190.0416666666667</v>
      </c>
      <c r="AL860" s="16">
        <f t="shared" ref="AL860:AL923" si="593">IF(AL859&gt;0,AL859*$F$1,AL859)+AJ860-AK860</f>
        <v>-192186.59259048596</v>
      </c>
      <c r="AM860" s="15">
        <f t="shared" si="568"/>
        <v>22.170849845882874</v>
      </c>
      <c r="AN860" s="75">
        <f>AM860*(1-PARAM!$C$27)*$I$12+(MOD($B860,60)=PARAM!$B$56)*($B860&gt;(60-PARAM!$B$56))*HLOOKUP(($B860+PARAM!$B$56)/12,Loyalty,2)*$F$1*MAX(AP859,0)</f>
        <v>18.557001321003963</v>
      </c>
      <c r="AO860" s="75">
        <f>PARAM!$C$26+MAX($G$12-CHOOSE(PARAM!$B$44,MAX(0,AP859*$F$1),0),0)*RATES!$L836/12+$H$12*(PARAM!$D$51/12)*RATES!$N836/100</f>
        <v>1190.0416666666667</v>
      </c>
      <c r="AP860" s="16">
        <f t="shared" ref="AP860:AP923" si="594">IF(AP859&gt;0,AP859*$F$1,AP859)+AN860-AO860</f>
        <v>-192186.59259048596</v>
      </c>
      <c r="AQ860" s="15">
        <f t="shared" si="569"/>
        <v>22.170849845882874</v>
      </c>
      <c r="AR860" s="75">
        <f>AQ860*(1-PARAM!$C$27)*$I$13+(MOD($B860,60)=PARAM!$B$56)*($B860&gt;(60-PARAM!$B$56))*HLOOKUP(($B860+PARAM!$B$56)/12,Loyalty,2)*$F$1*MAX(AT859,0)</f>
        <v>18.557001321003963</v>
      </c>
      <c r="AS860" s="75">
        <f>PARAM!$C$26+MAX($G$13-CHOOSE(PARAM!$B$44,MAX(0,AT859*$F$1),0),0)*RATES!$L836/12+$H$13*(PARAM!$D$51/12)*RATES!$N836/100</f>
        <v>1190.0416666666667</v>
      </c>
      <c r="AT860" s="16">
        <f t="shared" ref="AT860:AT923" si="595">IF(AT859&gt;0,AT859*$F$1,AT859)+AR860-AS860</f>
        <v>-192186.59259048596</v>
      </c>
      <c r="AU860" s="15">
        <f t="shared" si="570"/>
        <v>22.170849845882874</v>
      </c>
      <c r="AV860" s="75">
        <f>AU860*(1-PARAM!$C$27)*$I$14+(MOD($B860,60)=PARAM!$B$56)*($B860&gt;(60-PARAM!$B$56))*HLOOKUP(($B860+PARAM!$B$56)/12,Loyalty,2)*$F$1*MAX(AX859,0)</f>
        <v>18.557001321003963</v>
      </c>
      <c r="AW860" s="75">
        <f>PARAM!$C$26+MAX($G$14-CHOOSE(PARAM!$B$44,MAX(0,AX859*$F$1),0),0)*RATES!$L836/12+$H$14*(PARAM!$D$51/12)*RATES!$N836/100</f>
        <v>1190.0416666666667</v>
      </c>
      <c r="AX860" s="16">
        <f t="shared" ref="AX860:AX923" si="596">IF(AX859&gt;0,AX859*$F$1,AX859)+AV860-AW860</f>
        <v>-192186.59259048596</v>
      </c>
      <c r="AY860" s="15">
        <f t="shared" si="571"/>
        <v>22.170849845882874</v>
      </c>
      <c r="AZ860" s="75">
        <f>AY860*(1-PARAM!$C$27)*$I$15+(MOD($B860,60)=PARAM!$B$56)*($B860&gt;(60-PARAM!$B$56))*HLOOKUP(($B860+PARAM!$B$56)/12,Loyalty,2)*$F$1*MAX(BB859,0)</f>
        <v>18.557001321003963</v>
      </c>
      <c r="BA860" s="75">
        <f>PARAM!$C$26+MAX($G$15-CHOOSE(PARAM!$B$44,MAX(0,BB859*$F$1),0),0)*RATES!$L836/12+$H$15*(PARAM!$D$51/12)*RATES!$N836/100</f>
        <v>1190.0416666666667</v>
      </c>
      <c r="BB860" s="16">
        <f t="shared" ref="BB860:BB923" si="597">IF(BB859&gt;0,BB859*$F$1,BB859)+AZ860-BA860</f>
        <v>-192186.59259048596</v>
      </c>
      <c r="BC860" s="15">
        <f t="shared" si="572"/>
        <v>22.170849845882874</v>
      </c>
      <c r="BD860" s="75">
        <f>BC860*(1-PARAM!$C$27)*$I$16+(MOD($B860,60)=PARAM!$B$56)*($B860&gt;(60-PARAM!$B$56))*HLOOKUP(($B860+PARAM!$B$56)/12,Loyalty,2)*$F$1*MAX(BF859,0)</f>
        <v>18.557001321003963</v>
      </c>
      <c r="BE860" s="75">
        <f>PARAM!$C$26+MAX($G$16-CHOOSE(PARAM!$B$44,MAX(0,BF859*$F$1),0),0)*RATES!$L836/12+$H$16*(PARAM!$D$51/12)*RATES!$N836/100</f>
        <v>1190.0416666666667</v>
      </c>
      <c r="BF860" s="16">
        <f t="shared" ref="BF860:BF923" si="598">IF(BF859&gt;0,BF859*$F$1,BF859)+BD860-BE860</f>
        <v>-192186.59259048596</v>
      </c>
      <c r="BG860" s="15">
        <f t="shared" si="573"/>
        <v>22.170849845882874</v>
      </c>
      <c r="BH860" s="75">
        <f>BG860*(1-PARAM!$C$27)*$I$17+(MOD($B860,60)=PARAM!$B$56)*($B860&gt;(60-PARAM!$B$56))*HLOOKUP(($B860+PARAM!$B$56)/12,Loyalty,2)*$F$1*MAX(BJ859,0)</f>
        <v>18.557001321003963</v>
      </c>
      <c r="BI860" s="75">
        <f>PARAM!$C$26+MAX($G$17-CHOOSE(PARAM!$B$44,MAX(0,BJ859*$F$1),0),0)*RATES!$L836/12+$H$17*(PARAM!$D$51/12)*RATES!$N836/100</f>
        <v>1190.0416666666667</v>
      </c>
      <c r="BJ860" s="16">
        <f t="shared" ref="BJ860:BJ923" si="599">IF(BJ859&gt;0,BJ859*$F$1,BJ859)+BH860-BI860</f>
        <v>-192186.59259048596</v>
      </c>
      <c r="BK860" s="15">
        <f t="shared" si="574"/>
        <v>22.170849845882874</v>
      </c>
      <c r="BL860" s="75">
        <f>BK860*(1-PARAM!$C$27)*$I$18+(MOD($B860,60)=PARAM!$B$56)*($B860&gt;(60-PARAM!$B$56))*HLOOKUP(($B860+PARAM!$B$56)/12,Loyalty,2)*$F$1*MAX(BN859,0)</f>
        <v>18.557001321003963</v>
      </c>
      <c r="BM860" s="75">
        <f>PARAM!$C$26+MAX($G$18-CHOOSE(PARAM!$B$44,MAX(0,BN859*$F$1),0),0)*RATES!$L836/12+$H$18*(PARAM!$D$51/12)*RATES!$N836/100</f>
        <v>1190.0416666666667</v>
      </c>
      <c r="BN860" s="16">
        <f t="shared" ref="BN860:BN923" si="600">IF(BN859&gt;0,BN859*$F$1,BN859)+BL860-BM860</f>
        <v>-192186.59259048596</v>
      </c>
      <c r="BO860" s="15">
        <f t="shared" si="575"/>
        <v>22.170849845882874</v>
      </c>
      <c r="BP860" s="75">
        <f>BO860*(1-PARAM!$C$27)*$I$19+(MOD($B860,60)=PARAM!$B$56)*($B860&gt;(60-PARAM!$B$56))*HLOOKUP(($B860+PARAM!$B$56)/12,Loyalty,2)*$F$1*MAX(BR859,0)</f>
        <v>18.557001321003963</v>
      </c>
      <c r="BQ860" s="75">
        <f>PARAM!$C$26+MAX($G$19-CHOOSE(PARAM!$B$44,MAX(0,BR859*$F$1),0),0)*RATES!$L836/12+$H$19*(PARAM!$D$51/12)*RATES!$N836/100</f>
        <v>1190.0416666666667</v>
      </c>
      <c r="BR860" s="16">
        <f t="shared" ref="BR860:BR923" si="601">IF(BR859&gt;0,BR859*$F$1,BR859)+BP860-BQ860</f>
        <v>-192186.59259048596</v>
      </c>
      <c r="BS860" s="15">
        <f t="shared" si="576"/>
        <v>22.170849845882874</v>
      </c>
      <c r="BT860" s="75">
        <f>BS860*(1-PARAM!$C$27)*$I$20+(MOD($B860,60)=PARAM!$B$56)*($B860&gt;(60-PARAM!$B$56))*HLOOKUP(($B860+PARAM!$B$56)/12,Loyalty,2)*$F$1*MAX(BV859,0)</f>
        <v>18.557001321003963</v>
      </c>
      <c r="BU860" s="75">
        <f>PARAM!$C$26+MAX($G$20-CHOOSE(PARAM!$B$44,MAX(0,BV859*$F$1),0),0)*RATES!$L836/12+$H$20*(PARAM!$D$51/12)*RATES!$N836/100</f>
        <v>1190.0416666666667</v>
      </c>
      <c r="BV860" s="16">
        <f t="shared" ref="BV860:BV923" si="602">IF(BV859&gt;0,BV859*$F$1,BV859)+BT860-BU860</f>
        <v>-192186.59259048596</v>
      </c>
      <c r="BW860" s="15">
        <f t="shared" si="577"/>
        <v>22.170849845882874</v>
      </c>
      <c r="BX860" s="75">
        <f>BW860*(1-PARAM!$C$27)*$I$21+(MOD($B860,60)=PARAM!$B$56)*($B860&gt;(60-PARAM!$B$56))*HLOOKUP(($B860+PARAM!$B$56)/12,Loyalty,2)*$F$1*MAX(BZ859,0)</f>
        <v>18.557001321003963</v>
      </c>
      <c r="BY860" s="75">
        <f>PARAM!$C$26+MAX($G$21-CHOOSE(PARAM!$B$44,MAX(0,BZ859*$F$1),0),0)*RATES!$L836/12+$H$21*(PARAM!$D$51/12)*RATES!$N836/100</f>
        <v>1190.0416666666667</v>
      </c>
      <c r="BZ860" s="16">
        <f t="shared" ref="BZ860:BZ923" si="603">IF(BZ859&gt;0,BZ859*$F$1,BZ859)+BX860-BY860</f>
        <v>-192186.59259048596</v>
      </c>
      <c r="CA860" s="15">
        <f t="shared" si="578"/>
        <v>22.170849845882874</v>
      </c>
      <c r="CB860" s="75">
        <f>CA860*(1-PARAM!$C$27)*$I$22+(MOD($B860,60)=PARAM!$B$56)*($B860&gt;(60-PARAM!$B$56))*HLOOKUP(($B860+PARAM!$B$56)/12,Loyalty,2)*$F$1*MAX(CD859,0)</f>
        <v>18.557001321003963</v>
      </c>
      <c r="CC860" s="75">
        <f>PARAM!$C$26+MAX($G$22-CHOOSE(PARAM!$B$44,MAX(0,CD859*$F$1),0),0)*RATES!$L836/12+$H$22*(PARAM!$D$51/12)*RATES!$N836/100</f>
        <v>1190.0416666666667</v>
      </c>
      <c r="CD860" s="16">
        <f t="shared" ref="CD860:CD923" si="604">IF(CD859&gt;0,CD859*$F$1,CD859)+CB860-CC860</f>
        <v>-192186.59259048596</v>
      </c>
      <c r="CE860" s="33">
        <f>IF(0=MOD(B860,12/PARAM!$D$51),1,0)</f>
        <v>1</v>
      </c>
      <c r="CF860" s="15">
        <f t="shared" si="579"/>
        <v>0</v>
      </c>
      <c r="CG860" s="75">
        <f>CF860*(1-PARAM!$C$27)*$R$3+(MOD($B860/12,5)=0)*($B860&gt;60)*HLOOKUP($B860/12,Loyalty,2)*$F$1*MAX(CI859,0)</f>
        <v>0</v>
      </c>
      <c r="CH860" s="75">
        <f>PARAM!$C$26+MAX($P$3-CHOOSE(PARAM!$B$44,MAX(0,CI859*$F$1),0),0)*RATES!$L836/12+$Q$3*(PARAM!$D$51/12)*RATES!$N836/100</f>
        <v>1190.0416666666667</v>
      </c>
      <c r="CI860" s="16">
        <f>IF(CI859&gt;0,CI859*PARAM!$C$53,CI859)+CG860-CH860</f>
        <v>-207525.00000000006</v>
      </c>
      <c r="CJ860" s="15">
        <f t="shared" ref="CJ860:CJ923" si="605">$Q$4*CE860</f>
        <v>0</v>
      </c>
      <c r="CK860" s="75">
        <f>CJ860*(1-PARAM!$C$27)*$R$4+(MOD($B860/12,5)=0)*($B860&gt;60)*HLOOKUP($B860/12,Loyalty,2)*$F$1*MAX(CM859,0)</f>
        <v>0</v>
      </c>
      <c r="CL860" s="75">
        <f>PARAM!$C$26+MAX($P$4-CHOOSE(PARAM!$B$44,MAX(0,CM859*$F$1),0),0)*RATES!$L836/12+$Q$4*(PARAM!$D$51/12)*RATES!$N836/100</f>
        <v>1190.0416666666667</v>
      </c>
      <c r="CM860" s="16">
        <f>IF(CM859&gt;0,CM859*PARAM!$C$53,CM859)+CK860-CL860</f>
        <v>-207525.00000000006</v>
      </c>
      <c r="CO860" s="176"/>
    </row>
    <row r="861" spans="1:93" x14ac:dyDescent="0.2">
      <c r="A861" t="b">
        <f t="shared" si="580"/>
        <v>0</v>
      </c>
      <c r="B861" s="33">
        <v>834</v>
      </c>
      <c r="C861" s="15">
        <f t="shared" si="581"/>
        <v>20.081305947392778</v>
      </c>
      <c r="D861" s="75">
        <f>C861*(1-PARAM!$C$27)*$I$3+(MOD($B861,60)=PARAM!$B$56)*($B861&gt;(60-PARAM!$B$56))*HLOOKUP(($B861+PARAM!$B$56)/12,Loyalty,2)*$F$1*MAX(F860,0)</f>
        <v>16.808053077967756</v>
      </c>
      <c r="E861" s="75">
        <f>PARAM!$C$26+MAX($G$3-CHOOSE(PARAM!$B$44,MAX(0,F860*$F$1),0),0)*RATES!$L837/12+$H$3*(PARAM!$D$51/12)*RATES!$N837/100</f>
        <v>1190.0416666666667</v>
      </c>
      <c r="F861" s="16">
        <f t="shared" si="582"/>
        <v>-194853.55059104567</v>
      </c>
      <c r="G861" s="15">
        <f t="shared" si="583"/>
        <v>22.035289406060361</v>
      </c>
      <c r="H861" s="75">
        <f>G861*(1-PARAM!$C$27)*$I$4+(MOD($B861,60)=PARAM!$B$56)*($B861&gt;(60-PARAM!$B$56))*HLOOKUP(($B861+PARAM!$B$56)/12,Loyalty,2)*$F$1*MAX(J860,0)</f>
        <v>18.443537232872522</v>
      </c>
      <c r="I861" s="75">
        <f>PARAM!$C$26+MAX($G$4-CHOOSE(PARAM!$B$44,MAX(0,J860*$F$1),0),0)*RATES!$L837/12+$H$4*(PARAM!$D$51/12)*RATES!$N837/100</f>
        <v>1190.0416666666667</v>
      </c>
      <c r="J861" s="16">
        <f t="shared" si="584"/>
        <v>-193455.7238417326</v>
      </c>
      <c r="K861" s="15">
        <f t="shared" si="585"/>
        <v>22.170849845882874</v>
      </c>
      <c r="L861" s="75">
        <f>K861*(1-PARAM!$C$27)*$I$5+(MOD($B861,60)=PARAM!$B$56)*($B861&gt;(60-PARAM!$B$56))*HLOOKUP(($B861+PARAM!$B$56)/12,Loyalty,2)*$F$1*MAX(N860,0)</f>
        <v>18.557001321003963</v>
      </c>
      <c r="M861" s="75">
        <f>PARAM!$C$26+MAX($G$5-CHOOSE(PARAM!$B$44,MAX(0,N860*$F$1),0),0)*RATES!$L837/12+$H$5*(PARAM!$D$51/12)*RATES!$N837/100</f>
        <v>1190.0416666666667</v>
      </c>
      <c r="N861" s="16">
        <f t="shared" si="586"/>
        <v>-193358.07725583162</v>
      </c>
      <c r="O861" s="15">
        <f t="shared" si="587"/>
        <v>22.170849845882874</v>
      </c>
      <c r="P861" s="75">
        <f>O861*(1-PARAM!$C$27)*$I$6+(MOD($B861,60)=PARAM!$B$56)*($B861&gt;(60-PARAM!$B$56))*HLOOKUP(($B861+PARAM!$B$56)/12,Loyalty,2)*$F$1*MAX(R860,0)</f>
        <v>18.557001321003963</v>
      </c>
      <c r="Q861" s="75">
        <f>PARAM!$C$26+MAX($G$6-CHOOSE(PARAM!$B$44,MAX(0,R860*$F$1),0),0)*RATES!$L837/12+$H$6*(PARAM!$D$51/12)*RATES!$N837/100</f>
        <v>1190.0416666666667</v>
      </c>
      <c r="R861" s="16">
        <f t="shared" si="588"/>
        <v>-193358.07725583162</v>
      </c>
      <c r="S861" s="15">
        <f t="shared" si="563"/>
        <v>22.170849845882874</v>
      </c>
      <c r="T861" s="75">
        <f>S861*(1-PARAM!$C$27)*$I$7+(MOD($B861,60)=PARAM!$B$56)*($B861&gt;(60-PARAM!$B$56))*HLOOKUP(($B861+PARAM!$B$56)/12,Loyalty,2)*$F$1*MAX(V860,0)</f>
        <v>18.557001321003963</v>
      </c>
      <c r="U861" s="75">
        <f>PARAM!$C$26+MAX($G$7-CHOOSE(PARAM!$B$44,MAX(0,V860*$F$1),0),0)*RATES!$L837/12+$H$7*(PARAM!$D$51/12)*RATES!$N837/100</f>
        <v>1190.0416666666667</v>
      </c>
      <c r="V861" s="16">
        <f t="shared" si="589"/>
        <v>-193358.07725583162</v>
      </c>
      <c r="W861" s="15">
        <f t="shared" si="564"/>
        <v>22.170849845882874</v>
      </c>
      <c r="X861" s="75">
        <f>W861*(1-PARAM!$C$27)*$I$8+(MOD($B861,60)=PARAM!$B$56)*($B861&gt;(60-PARAM!$B$56))*HLOOKUP(($B861+PARAM!$B$56)/12,Loyalty,2)*$F$1*MAX(Z860,0)</f>
        <v>18.557001321003963</v>
      </c>
      <c r="Y861" s="75">
        <f>PARAM!$C$26+MAX($G$8-CHOOSE(PARAM!$B$44,MAX(0,Z860*$F$1),0),0)*RATES!$L837/12+$H$8*(PARAM!$D$51/12)*RATES!$N837/100</f>
        <v>1190.0416666666667</v>
      </c>
      <c r="Z861" s="16">
        <f t="shared" si="590"/>
        <v>-193358.07725583162</v>
      </c>
      <c r="AA861" s="15">
        <f t="shared" si="565"/>
        <v>22.170849845882874</v>
      </c>
      <c r="AB861" s="75">
        <f>AA861*(1-PARAM!$C$27)*$I$9+(MOD($B861,60)=PARAM!$B$56)*($B861&gt;(60-PARAM!$B$56))*HLOOKUP(($B861+PARAM!$B$56)/12,Loyalty,2)*$F$1*MAX(AD860,0)</f>
        <v>18.557001321003963</v>
      </c>
      <c r="AC861" s="75">
        <f>PARAM!$C$26+MAX($G$9-CHOOSE(PARAM!$B$44,MAX(0,AD860*$F$1),0),0)*RATES!$L837/12+$H$9*(PARAM!$D$51/12)*RATES!$N837/100</f>
        <v>1190.0416666666667</v>
      </c>
      <c r="AD861" s="16">
        <f t="shared" si="591"/>
        <v>-193358.07725583162</v>
      </c>
      <c r="AE861" s="15">
        <f t="shared" si="566"/>
        <v>22.170849845882874</v>
      </c>
      <c r="AF861" s="75">
        <f>AE861*(1-PARAM!$C$27)*$I$10+(MOD($B861,60)=PARAM!$B$56)*($B861&gt;(60-PARAM!$B$56))*HLOOKUP(($B861+PARAM!$B$56)/12,Loyalty,2)*$F$1*MAX(AH860,0)</f>
        <v>18.557001321003963</v>
      </c>
      <c r="AG861" s="75">
        <f>PARAM!$C$26+MAX($G$10-CHOOSE(PARAM!$B$44,MAX(0,AH860*$F$1),0),0)*RATES!$L837/12+$H$10*(PARAM!$D$51/12)*RATES!$N837/100</f>
        <v>1190.0416666666667</v>
      </c>
      <c r="AH861" s="16">
        <f t="shared" si="592"/>
        <v>-193358.07725583162</v>
      </c>
      <c r="AI861" s="15">
        <f t="shared" si="567"/>
        <v>22.170849845882874</v>
      </c>
      <c r="AJ861" s="75">
        <f>AI861*(1-PARAM!$C$27)*$I$11+(MOD($B861,60)=PARAM!$B$56)*($B861&gt;(60-PARAM!$B$56))*HLOOKUP(($B861+PARAM!$B$56)/12,Loyalty,2)*$F$1*MAX(AL860,0)</f>
        <v>18.557001321003963</v>
      </c>
      <c r="AK861" s="75">
        <f>PARAM!$C$26+MAX($G$11-CHOOSE(PARAM!$B$44,MAX(0,AL860*$F$1),0),0)*RATES!$L837/12+$H$11*(PARAM!$D$51/12)*RATES!$N837/100</f>
        <v>1190.0416666666667</v>
      </c>
      <c r="AL861" s="16">
        <f t="shared" si="593"/>
        <v>-193358.07725583162</v>
      </c>
      <c r="AM861" s="15">
        <f t="shared" si="568"/>
        <v>22.170849845882874</v>
      </c>
      <c r="AN861" s="75">
        <f>AM861*(1-PARAM!$C$27)*$I$12+(MOD($B861,60)=PARAM!$B$56)*($B861&gt;(60-PARAM!$B$56))*HLOOKUP(($B861+PARAM!$B$56)/12,Loyalty,2)*$F$1*MAX(AP860,0)</f>
        <v>18.557001321003963</v>
      </c>
      <c r="AO861" s="75">
        <f>PARAM!$C$26+MAX($G$12-CHOOSE(PARAM!$B$44,MAX(0,AP860*$F$1),0),0)*RATES!$L837/12+$H$12*(PARAM!$D$51/12)*RATES!$N837/100</f>
        <v>1190.0416666666667</v>
      </c>
      <c r="AP861" s="16">
        <f t="shared" si="594"/>
        <v>-193358.07725583162</v>
      </c>
      <c r="AQ861" s="15">
        <f t="shared" si="569"/>
        <v>22.170849845882874</v>
      </c>
      <c r="AR861" s="75">
        <f>AQ861*(1-PARAM!$C$27)*$I$13+(MOD($B861,60)=PARAM!$B$56)*($B861&gt;(60-PARAM!$B$56))*HLOOKUP(($B861+PARAM!$B$56)/12,Loyalty,2)*$F$1*MAX(AT860,0)</f>
        <v>18.557001321003963</v>
      </c>
      <c r="AS861" s="75">
        <f>PARAM!$C$26+MAX($G$13-CHOOSE(PARAM!$B$44,MAX(0,AT860*$F$1),0),0)*RATES!$L837/12+$H$13*(PARAM!$D$51/12)*RATES!$N837/100</f>
        <v>1190.0416666666667</v>
      </c>
      <c r="AT861" s="16">
        <f t="shared" si="595"/>
        <v>-193358.07725583162</v>
      </c>
      <c r="AU861" s="15">
        <f t="shared" si="570"/>
        <v>22.170849845882874</v>
      </c>
      <c r="AV861" s="75">
        <f>AU861*(1-PARAM!$C$27)*$I$14+(MOD($B861,60)=PARAM!$B$56)*($B861&gt;(60-PARAM!$B$56))*HLOOKUP(($B861+PARAM!$B$56)/12,Loyalty,2)*$F$1*MAX(AX860,0)</f>
        <v>18.557001321003963</v>
      </c>
      <c r="AW861" s="75">
        <f>PARAM!$C$26+MAX($G$14-CHOOSE(PARAM!$B$44,MAX(0,AX860*$F$1),0),0)*RATES!$L837/12+$H$14*(PARAM!$D$51/12)*RATES!$N837/100</f>
        <v>1190.0416666666667</v>
      </c>
      <c r="AX861" s="16">
        <f t="shared" si="596"/>
        <v>-193358.07725583162</v>
      </c>
      <c r="AY861" s="15">
        <f t="shared" si="571"/>
        <v>22.170849845882874</v>
      </c>
      <c r="AZ861" s="75">
        <f>AY861*(1-PARAM!$C$27)*$I$15+(MOD($B861,60)=PARAM!$B$56)*($B861&gt;(60-PARAM!$B$56))*HLOOKUP(($B861+PARAM!$B$56)/12,Loyalty,2)*$F$1*MAX(BB860,0)</f>
        <v>18.557001321003963</v>
      </c>
      <c r="BA861" s="75">
        <f>PARAM!$C$26+MAX($G$15-CHOOSE(PARAM!$B$44,MAX(0,BB860*$F$1),0),0)*RATES!$L837/12+$H$15*(PARAM!$D$51/12)*RATES!$N837/100</f>
        <v>1190.0416666666667</v>
      </c>
      <c r="BB861" s="16">
        <f t="shared" si="597"/>
        <v>-193358.07725583162</v>
      </c>
      <c r="BC861" s="15">
        <f t="shared" si="572"/>
        <v>22.170849845882874</v>
      </c>
      <c r="BD861" s="75">
        <f>BC861*(1-PARAM!$C$27)*$I$16+(MOD($B861,60)=PARAM!$B$56)*($B861&gt;(60-PARAM!$B$56))*HLOOKUP(($B861+PARAM!$B$56)/12,Loyalty,2)*$F$1*MAX(BF860,0)</f>
        <v>18.557001321003963</v>
      </c>
      <c r="BE861" s="75">
        <f>PARAM!$C$26+MAX($G$16-CHOOSE(PARAM!$B$44,MAX(0,BF860*$F$1),0),0)*RATES!$L837/12+$H$16*(PARAM!$D$51/12)*RATES!$N837/100</f>
        <v>1190.0416666666667</v>
      </c>
      <c r="BF861" s="16">
        <f t="shared" si="598"/>
        <v>-193358.07725583162</v>
      </c>
      <c r="BG861" s="15">
        <f t="shared" si="573"/>
        <v>22.170849845882874</v>
      </c>
      <c r="BH861" s="75">
        <f>BG861*(1-PARAM!$C$27)*$I$17+(MOD($B861,60)=PARAM!$B$56)*($B861&gt;(60-PARAM!$B$56))*HLOOKUP(($B861+PARAM!$B$56)/12,Loyalty,2)*$F$1*MAX(BJ860,0)</f>
        <v>18.557001321003963</v>
      </c>
      <c r="BI861" s="75">
        <f>PARAM!$C$26+MAX($G$17-CHOOSE(PARAM!$B$44,MAX(0,BJ860*$F$1),0),0)*RATES!$L837/12+$H$17*(PARAM!$D$51/12)*RATES!$N837/100</f>
        <v>1190.0416666666667</v>
      </c>
      <c r="BJ861" s="16">
        <f t="shared" si="599"/>
        <v>-193358.07725583162</v>
      </c>
      <c r="BK861" s="15">
        <f t="shared" si="574"/>
        <v>22.170849845882874</v>
      </c>
      <c r="BL861" s="75">
        <f>BK861*(1-PARAM!$C$27)*$I$18+(MOD($B861,60)=PARAM!$B$56)*($B861&gt;(60-PARAM!$B$56))*HLOOKUP(($B861+PARAM!$B$56)/12,Loyalty,2)*$F$1*MAX(BN860,0)</f>
        <v>18.557001321003963</v>
      </c>
      <c r="BM861" s="75">
        <f>PARAM!$C$26+MAX($G$18-CHOOSE(PARAM!$B$44,MAX(0,BN860*$F$1),0),0)*RATES!$L837/12+$H$18*(PARAM!$D$51/12)*RATES!$N837/100</f>
        <v>1190.0416666666667</v>
      </c>
      <c r="BN861" s="16">
        <f t="shared" si="600"/>
        <v>-193358.07725583162</v>
      </c>
      <c r="BO861" s="15">
        <f t="shared" si="575"/>
        <v>22.170849845882874</v>
      </c>
      <c r="BP861" s="75">
        <f>BO861*(1-PARAM!$C$27)*$I$19+(MOD($B861,60)=PARAM!$B$56)*($B861&gt;(60-PARAM!$B$56))*HLOOKUP(($B861+PARAM!$B$56)/12,Loyalty,2)*$F$1*MAX(BR860,0)</f>
        <v>18.557001321003963</v>
      </c>
      <c r="BQ861" s="75">
        <f>PARAM!$C$26+MAX($G$19-CHOOSE(PARAM!$B$44,MAX(0,BR860*$F$1),0),0)*RATES!$L837/12+$H$19*(PARAM!$D$51/12)*RATES!$N837/100</f>
        <v>1190.0416666666667</v>
      </c>
      <c r="BR861" s="16">
        <f t="shared" si="601"/>
        <v>-193358.07725583162</v>
      </c>
      <c r="BS861" s="15">
        <f t="shared" si="576"/>
        <v>22.170849845882874</v>
      </c>
      <c r="BT861" s="75">
        <f>BS861*(1-PARAM!$C$27)*$I$20+(MOD($B861,60)=PARAM!$B$56)*($B861&gt;(60-PARAM!$B$56))*HLOOKUP(($B861+PARAM!$B$56)/12,Loyalty,2)*$F$1*MAX(BV860,0)</f>
        <v>18.557001321003963</v>
      </c>
      <c r="BU861" s="75">
        <f>PARAM!$C$26+MAX($G$20-CHOOSE(PARAM!$B$44,MAX(0,BV860*$F$1),0),0)*RATES!$L837/12+$H$20*(PARAM!$D$51/12)*RATES!$N837/100</f>
        <v>1190.0416666666667</v>
      </c>
      <c r="BV861" s="16">
        <f t="shared" si="602"/>
        <v>-193358.07725583162</v>
      </c>
      <c r="BW861" s="15">
        <f t="shared" si="577"/>
        <v>22.170849845882874</v>
      </c>
      <c r="BX861" s="75">
        <f>BW861*(1-PARAM!$C$27)*$I$21+(MOD($B861,60)=PARAM!$B$56)*($B861&gt;(60-PARAM!$B$56))*HLOOKUP(($B861+PARAM!$B$56)/12,Loyalty,2)*$F$1*MAX(BZ860,0)</f>
        <v>18.557001321003963</v>
      </c>
      <c r="BY861" s="75">
        <f>PARAM!$C$26+MAX($G$21-CHOOSE(PARAM!$B$44,MAX(0,BZ860*$F$1),0),0)*RATES!$L837/12+$H$21*(PARAM!$D$51/12)*RATES!$N837/100</f>
        <v>1190.0416666666667</v>
      </c>
      <c r="BZ861" s="16">
        <f t="shared" si="603"/>
        <v>-193358.07725583162</v>
      </c>
      <c r="CA861" s="15">
        <f t="shared" si="578"/>
        <v>22.170849845882874</v>
      </c>
      <c r="CB861" s="75">
        <f>CA861*(1-PARAM!$C$27)*$I$22+(MOD($B861,60)=PARAM!$B$56)*($B861&gt;(60-PARAM!$B$56))*HLOOKUP(($B861+PARAM!$B$56)/12,Loyalty,2)*$F$1*MAX(CD860,0)</f>
        <v>18.557001321003963</v>
      </c>
      <c r="CC861" s="75">
        <f>PARAM!$C$26+MAX($G$22-CHOOSE(PARAM!$B$44,MAX(0,CD860*$F$1),0),0)*RATES!$L837/12+$H$22*(PARAM!$D$51/12)*RATES!$N837/100</f>
        <v>1190.0416666666667</v>
      </c>
      <c r="CD861" s="16">
        <f t="shared" si="604"/>
        <v>-193358.07725583162</v>
      </c>
      <c r="CE861" s="33">
        <f>IF(0=MOD(B861,12/PARAM!$D$51),1,0)</f>
        <v>1</v>
      </c>
      <c r="CF861" s="15">
        <f t="shared" si="579"/>
        <v>0</v>
      </c>
      <c r="CG861" s="75">
        <f>CF861*(1-PARAM!$C$27)*$R$3+(MOD($B861/12,5)=0)*($B861&gt;60)*HLOOKUP($B861/12,Loyalty,2)*$F$1*MAX(CI860,0)</f>
        <v>0</v>
      </c>
      <c r="CH861" s="75">
        <f>PARAM!$C$26+MAX($P$3-CHOOSE(PARAM!$B$44,MAX(0,CI860*$F$1),0),0)*RATES!$L837/12+$Q$3*(PARAM!$D$51/12)*RATES!$N837/100</f>
        <v>1190.0416666666667</v>
      </c>
      <c r="CI861" s="16">
        <f>IF(CI860&gt;0,CI860*PARAM!$C$53,CI860)+CG861-CH861</f>
        <v>-208715.04166666672</v>
      </c>
      <c r="CJ861" s="15">
        <f t="shared" si="605"/>
        <v>0</v>
      </c>
      <c r="CK861" s="75">
        <f>CJ861*(1-PARAM!$C$27)*$R$4+(MOD($B861/12,5)=0)*($B861&gt;60)*HLOOKUP($B861/12,Loyalty,2)*$F$1*MAX(CM860,0)</f>
        <v>0</v>
      </c>
      <c r="CL861" s="75">
        <f>PARAM!$C$26+MAX($P$4-CHOOSE(PARAM!$B$44,MAX(0,CM860*$F$1),0),0)*RATES!$L837/12+$Q$4*(PARAM!$D$51/12)*RATES!$N837/100</f>
        <v>1190.0416666666667</v>
      </c>
      <c r="CM861" s="16">
        <f>IF(CM860&gt;0,CM860*PARAM!$C$53,CM860)+CK861-CL861</f>
        <v>-208715.04166666672</v>
      </c>
      <c r="CO861" s="176"/>
    </row>
    <row r="862" spans="1:93" x14ac:dyDescent="0.2">
      <c r="A862" t="b">
        <f t="shared" si="580"/>
        <v>0</v>
      </c>
      <c r="B862" s="33">
        <v>835</v>
      </c>
      <c r="C862" s="15">
        <f t="shared" si="581"/>
        <v>20.081305947392778</v>
      </c>
      <c r="D862" s="75">
        <f>C862*(1-PARAM!$C$27)*$I$3+(MOD($B862,60)=PARAM!$B$56)*($B862&gt;(60-PARAM!$B$56))*HLOOKUP(($B862+PARAM!$B$56)/12,Loyalty,2)*$F$1*MAX(F861,0)</f>
        <v>16.808053077967756</v>
      </c>
      <c r="E862" s="75">
        <f>PARAM!$C$26+MAX($G$3-CHOOSE(PARAM!$B$44,MAX(0,F861*$F$1),0),0)*RATES!$L838/12+$H$3*(PARAM!$D$51/12)*RATES!$N838/100</f>
        <v>1190.0416666666667</v>
      </c>
      <c r="F862" s="16">
        <f t="shared" si="582"/>
        <v>-196026.78420463437</v>
      </c>
      <c r="G862" s="15">
        <f t="shared" si="583"/>
        <v>22.035289406060361</v>
      </c>
      <c r="H862" s="75">
        <f>G862*(1-PARAM!$C$27)*$I$4+(MOD($B862,60)=PARAM!$B$56)*($B862&gt;(60-PARAM!$B$56))*HLOOKUP(($B862+PARAM!$B$56)/12,Loyalty,2)*$F$1*MAX(J861,0)</f>
        <v>18.443537232872522</v>
      </c>
      <c r="I862" s="75">
        <f>PARAM!$C$26+MAX($G$4-CHOOSE(PARAM!$B$44,MAX(0,J861*$F$1),0),0)*RATES!$L838/12+$H$4*(PARAM!$D$51/12)*RATES!$N838/100</f>
        <v>1190.0416666666667</v>
      </c>
      <c r="J862" s="16">
        <f t="shared" si="584"/>
        <v>-194627.32197116638</v>
      </c>
      <c r="K862" s="15">
        <f t="shared" si="585"/>
        <v>22.170849845882874</v>
      </c>
      <c r="L862" s="75">
        <f>K862*(1-PARAM!$C$27)*$I$5+(MOD($B862,60)=PARAM!$B$56)*($B862&gt;(60-PARAM!$B$56))*HLOOKUP(($B862+PARAM!$B$56)/12,Loyalty,2)*$F$1*MAX(N861,0)</f>
        <v>18.557001321003963</v>
      </c>
      <c r="M862" s="75">
        <f>PARAM!$C$26+MAX($G$5-CHOOSE(PARAM!$B$44,MAX(0,N861*$F$1),0),0)*RATES!$L838/12+$H$5*(PARAM!$D$51/12)*RATES!$N838/100</f>
        <v>1190.0416666666667</v>
      </c>
      <c r="N862" s="16">
        <f t="shared" si="586"/>
        <v>-194529.56192117729</v>
      </c>
      <c r="O862" s="15">
        <f t="shared" si="587"/>
        <v>22.170849845882874</v>
      </c>
      <c r="P862" s="75">
        <f>O862*(1-PARAM!$C$27)*$I$6+(MOD($B862,60)=PARAM!$B$56)*($B862&gt;(60-PARAM!$B$56))*HLOOKUP(($B862+PARAM!$B$56)/12,Loyalty,2)*$F$1*MAX(R861,0)</f>
        <v>18.557001321003963</v>
      </c>
      <c r="Q862" s="75">
        <f>PARAM!$C$26+MAX($G$6-CHOOSE(PARAM!$B$44,MAX(0,R861*$F$1),0),0)*RATES!$L838/12+$H$6*(PARAM!$D$51/12)*RATES!$N838/100</f>
        <v>1190.0416666666667</v>
      </c>
      <c r="R862" s="16">
        <f t="shared" si="588"/>
        <v>-194529.56192117729</v>
      </c>
      <c r="S862" s="15">
        <f t="shared" si="563"/>
        <v>22.170849845882874</v>
      </c>
      <c r="T862" s="75">
        <f>S862*(1-PARAM!$C$27)*$I$7+(MOD($B862,60)=PARAM!$B$56)*($B862&gt;(60-PARAM!$B$56))*HLOOKUP(($B862+PARAM!$B$56)/12,Loyalty,2)*$F$1*MAX(V861,0)</f>
        <v>18.557001321003963</v>
      </c>
      <c r="U862" s="75">
        <f>PARAM!$C$26+MAX($G$7-CHOOSE(PARAM!$B$44,MAX(0,V861*$F$1),0),0)*RATES!$L838/12+$H$7*(PARAM!$D$51/12)*RATES!$N838/100</f>
        <v>1190.0416666666667</v>
      </c>
      <c r="V862" s="16">
        <f t="shared" si="589"/>
        <v>-194529.56192117729</v>
      </c>
      <c r="W862" s="15">
        <f t="shared" si="564"/>
        <v>22.170849845882874</v>
      </c>
      <c r="X862" s="75">
        <f>W862*(1-PARAM!$C$27)*$I$8+(MOD($B862,60)=PARAM!$B$56)*($B862&gt;(60-PARAM!$B$56))*HLOOKUP(($B862+PARAM!$B$56)/12,Loyalty,2)*$F$1*MAX(Z861,0)</f>
        <v>18.557001321003963</v>
      </c>
      <c r="Y862" s="75">
        <f>PARAM!$C$26+MAX($G$8-CHOOSE(PARAM!$B$44,MAX(0,Z861*$F$1),0),0)*RATES!$L838/12+$H$8*(PARAM!$D$51/12)*RATES!$N838/100</f>
        <v>1190.0416666666667</v>
      </c>
      <c r="Z862" s="16">
        <f t="shared" si="590"/>
        <v>-194529.56192117729</v>
      </c>
      <c r="AA862" s="15">
        <f t="shared" si="565"/>
        <v>22.170849845882874</v>
      </c>
      <c r="AB862" s="75">
        <f>AA862*(1-PARAM!$C$27)*$I$9+(MOD($B862,60)=PARAM!$B$56)*($B862&gt;(60-PARAM!$B$56))*HLOOKUP(($B862+PARAM!$B$56)/12,Loyalty,2)*$F$1*MAX(AD861,0)</f>
        <v>18.557001321003963</v>
      </c>
      <c r="AC862" s="75">
        <f>PARAM!$C$26+MAX($G$9-CHOOSE(PARAM!$B$44,MAX(0,AD861*$F$1),0),0)*RATES!$L838/12+$H$9*(PARAM!$D$51/12)*RATES!$N838/100</f>
        <v>1190.0416666666667</v>
      </c>
      <c r="AD862" s="16">
        <f t="shared" si="591"/>
        <v>-194529.56192117729</v>
      </c>
      <c r="AE862" s="15">
        <f t="shared" si="566"/>
        <v>22.170849845882874</v>
      </c>
      <c r="AF862" s="75">
        <f>AE862*(1-PARAM!$C$27)*$I$10+(MOD($B862,60)=PARAM!$B$56)*($B862&gt;(60-PARAM!$B$56))*HLOOKUP(($B862+PARAM!$B$56)/12,Loyalty,2)*$F$1*MAX(AH861,0)</f>
        <v>18.557001321003963</v>
      </c>
      <c r="AG862" s="75">
        <f>PARAM!$C$26+MAX($G$10-CHOOSE(PARAM!$B$44,MAX(0,AH861*$F$1),0),0)*RATES!$L838/12+$H$10*(PARAM!$D$51/12)*RATES!$N838/100</f>
        <v>1190.0416666666667</v>
      </c>
      <c r="AH862" s="16">
        <f t="shared" si="592"/>
        <v>-194529.56192117729</v>
      </c>
      <c r="AI862" s="15">
        <f t="shared" si="567"/>
        <v>22.170849845882874</v>
      </c>
      <c r="AJ862" s="75">
        <f>AI862*(1-PARAM!$C$27)*$I$11+(MOD($B862,60)=PARAM!$B$56)*($B862&gt;(60-PARAM!$B$56))*HLOOKUP(($B862+PARAM!$B$56)/12,Loyalty,2)*$F$1*MAX(AL861,0)</f>
        <v>18.557001321003963</v>
      </c>
      <c r="AK862" s="75">
        <f>PARAM!$C$26+MAX($G$11-CHOOSE(PARAM!$B$44,MAX(0,AL861*$F$1),0),0)*RATES!$L838/12+$H$11*(PARAM!$D$51/12)*RATES!$N838/100</f>
        <v>1190.0416666666667</v>
      </c>
      <c r="AL862" s="16">
        <f t="shared" si="593"/>
        <v>-194529.56192117729</v>
      </c>
      <c r="AM862" s="15">
        <f t="shared" si="568"/>
        <v>22.170849845882874</v>
      </c>
      <c r="AN862" s="75">
        <f>AM862*(1-PARAM!$C$27)*$I$12+(MOD($B862,60)=PARAM!$B$56)*($B862&gt;(60-PARAM!$B$56))*HLOOKUP(($B862+PARAM!$B$56)/12,Loyalty,2)*$F$1*MAX(AP861,0)</f>
        <v>18.557001321003963</v>
      </c>
      <c r="AO862" s="75">
        <f>PARAM!$C$26+MAX($G$12-CHOOSE(PARAM!$B$44,MAX(0,AP861*$F$1),0),0)*RATES!$L838/12+$H$12*(PARAM!$D$51/12)*RATES!$N838/100</f>
        <v>1190.0416666666667</v>
      </c>
      <c r="AP862" s="16">
        <f t="shared" si="594"/>
        <v>-194529.56192117729</v>
      </c>
      <c r="AQ862" s="15">
        <f t="shared" si="569"/>
        <v>22.170849845882874</v>
      </c>
      <c r="AR862" s="75">
        <f>AQ862*(1-PARAM!$C$27)*$I$13+(MOD($B862,60)=PARAM!$B$56)*($B862&gt;(60-PARAM!$B$56))*HLOOKUP(($B862+PARAM!$B$56)/12,Loyalty,2)*$F$1*MAX(AT861,0)</f>
        <v>18.557001321003963</v>
      </c>
      <c r="AS862" s="75">
        <f>PARAM!$C$26+MAX($G$13-CHOOSE(PARAM!$B$44,MAX(0,AT861*$F$1),0),0)*RATES!$L838/12+$H$13*(PARAM!$D$51/12)*RATES!$N838/100</f>
        <v>1190.0416666666667</v>
      </c>
      <c r="AT862" s="16">
        <f t="shared" si="595"/>
        <v>-194529.56192117729</v>
      </c>
      <c r="AU862" s="15">
        <f t="shared" si="570"/>
        <v>22.170849845882874</v>
      </c>
      <c r="AV862" s="75">
        <f>AU862*(1-PARAM!$C$27)*$I$14+(MOD($B862,60)=PARAM!$B$56)*($B862&gt;(60-PARAM!$B$56))*HLOOKUP(($B862+PARAM!$B$56)/12,Loyalty,2)*$F$1*MAX(AX861,0)</f>
        <v>18.557001321003963</v>
      </c>
      <c r="AW862" s="75">
        <f>PARAM!$C$26+MAX($G$14-CHOOSE(PARAM!$B$44,MAX(0,AX861*$F$1),0),0)*RATES!$L838/12+$H$14*(PARAM!$D$51/12)*RATES!$N838/100</f>
        <v>1190.0416666666667</v>
      </c>
      <c r="AX862" s="16">
        <f t="shared" si="596"/>
        <v>-194529.56192117729</v>
      </c>
      <c r="AY862" s="15">
        <f t="shared" si="571"/>
        <v>22.170849845882874</v>
      </c>
      <c r="AZ862" s="75">
        <f>AY862*(1-PARAM!$C$27)*$I$15+(MOD($B862,60)=PARAM!$B$56)*($B862&gt;(60-PARAM!$B$56))*HLOOKUP(($B862+PARAM!$B$56)/12,Loyalty,2)*$F$1*MAX(BB861,0)</f>
        <v>18.557001321003963</v>
      </c>
      <c r="BA862" s="75">
        <f>PARAM!$C$26+MAX($G$15-CHOOSE(PARAM!$B$44,MAX(0,BB861*$F$1),0),0)*RATES!$L838/12+$H$15*(PARAM!$D$51/12)*RATES!$N838/100</f>
        <v>1190.0416666666667</v>
      </c>
      <c r="BB862" s="16">
        <f t="shared" si="597"/>
        <v>-194529.56192117729</v>
      </c>
      <c r="BC862" s="15">
        <f t="shared" si="572"/>
        <v>22.170849845882874</v>
      </c>
      <c r="BD862" s="75">
        <f>BC862*(1-PARAM!$C$27)*$I$16+(MOD($B862,60)=PARAM!$B$56)*($B862&gt;(60-PARAM!$B$56))*HLOOKUP(($B862+PARAM!$B$56)/12,Loyalty,2)*$F$1*MAX(BF861,0)</f>
        <v>18.557001321003963</v>
      </c>
      <c r="BE862" s="75">
        <f>PARAM!$C$26+MAX($G$16-CHOOSE(PARAM!$B$44,MAX(0,BF861*$F$1),0),0)*RATES!$L838/12+$H$16*(PARAM!$D$51/12)*RATES!$N838/100</f>
        <v>1190.0416666666667</v>
      </c>
      <c r="BF862" s="16">
        <f t="shared" si="598"/>
        <v>-194529.56192117729</v>
      </c>
      <c r="BG862" s="15">
        <f t="shared" si="573"/>
        <v>22.170849845882874</v>
      </c>
      <c r="BH862" s="75">
        <f>BG862*(1-PARAM!$C$27)*$I$17+(MOD($B862,60)=PARAM!$B$56)*($B862&gt;(60-PARAM!$B$56))*HLOOKUP(($B862+PARAM!$B$56)/12,Loyalty,2)*$F$1*MAX(BJ861,0)</f>
        <v>18.557001321003963</v>
      </c>
      <c r="BI862" s="75">
        <f>PARAM!$C$26+MAX($G$17-CHOOSE(PARAM!$B$44,MAX(0,BJ861*$F$1),0),0)*RATES!$L838/12+$H$17*(PARAM!$D$51/12)*RATES!$N838/100</f>
        <v>1190.0416666666667</v>
      </c>
      <c r="BJ862" s="16">
        <f t="shared" si="599"/>
        <v>-194529.56192117729</v>
      </c>
      <c r="BK862" s="15">
        <f t="shared" si="574"/>
        <v>22.170849845882874</v>
      </c>
      <c r="BL862" s="75">
        <f>BK862*(1-PARAM!$C$27)*$I$18+(MOD($B862,60)=PARAM!$B$56)*($B862&gt;(60-PARAM!$B$56))*HLOOKUP(($B862+PARAM!$B$56)/12,Loyalty,2)*$F$1*MAX(BN861,0)</f>
        <v>18.557001321003963</v>
      </c>
      <c r="BM862" s="75">
        <f>PARAM!$C$26+MAX($G$18-CHOOSE(PARAM!$B$44,MAX(0,BN861*$F$1),0),0)*RATES!$L838/12+$H$18*(PARAM!$D$51/12)*RATES!$N838/100</f>
        <v>1190.0416666666667</v>
      </c>
      <c r="BN862" s="16">
        <f t="shared" si="600"/>
        <v>-194529.56192117729</v>
      </c>
      <c r="BO862" s="15">
        <f t="shared" si="575"/>
        <v>22.170849845882874</v>
      </c>
      <c r="BP862" s="75">
        <f>BO862*(1-PARAM!$C$27)*$I$19+(MOD($B862,60)=PARAM!$B$56)*($B862&gt;(60-PARAM!$B$56))*HLOOKUP(($B862+PARAM!$B$56)/12,Loyalty,2)*$F$1*MAX(BR861,0)</f>
        <v>18.557001321003963</v>
      </c>
      <c r="BQ862" s="75">
        <f>PARAM!$C$26+MAX($G$19-CHOOSE(PARAM!$B$44,MAX(0,BR861*$F$1),0),0)*RATES!$L838/12+$H$19*(PARAM!$D$51/12)*RATES!$N838/100</f>
        <v>1190.0416666666667</v>
      </c>
      <c r="BR862" s="16">
        <f t="shared" si="601"/>
        <v>-194529.56192117729</v>
      </c>
      <c r="BS862" s="15">
        <f t="shared" si="576"/>
        <v>22.170849845882874</v>
      </c>
      <c r="BT862" s="75">
        <f>BS862*(1-PARAM!$C$27)*$I$20+(MOD($B862,60)=PARAM!$B$56)*($B862&gt;(60-PARAM!$B$56))*HLOOKUP(($B862+PARAM!$B$56)/12,Loyalty,2)*$F$1*MAX(BV861,0)</f>
        <v>18.557001321003963</v>
      </c>
      <c r="BU862" s="75">
        <f>PARAM!$C$26+MAX($G$20-CHOOSE(PARAM!$B$44,MAX(0,BV861*$F$1),0),0)*RATES!$L838/12+$H$20*(PARAM!$D$51/12)*RATES!$N838/100</f>
        <v>1190.0416666666667</v>
      </c>
      <c r="BV862" s="16">
        <f t="shared" si="602"/>
        <v>-194529.56192117729</v>
      </c>
      <c r="BW862" s="15">
        <f t="shared" si="577"/>
        <v>22.170849845882874</v>
      </c>
      <c r="BX862" s="75">
        <f>BW862*(1-PARAM!$C$27)*$I$21+(MOD($B862,60)=PARAM!$B$56)*($B862&gt;(60-PARAM!$B$56))*HLOOKUP(($B862+PARAM!$B$56)/12,Loyalty,2)*$F$1*MAX(BZ861,0)</f>
        <v>18.557001321003963</v>
      </c>
      <c r="BY862" s="75">
        <f>PARAM!$C$26+MAX($G$21-CHOOSE(PARAM!$B$44,MAX(0,BZ861*$F$1),0),0)*RATES!$L838/12+$H$21*(PARAM!$D$51/12)*RATES!$N838/100</f>
        <v>1190.0416666666667</v>
      </c>
      <c r="BZ862" s="16">
        <f t="shared" si="603"/>
        <v>-194529.56192117729</v>
      </c>
      <c r="CA862" s="15">
        <f t="shared" si="578"/>
        <v>22.170849845882874</v>
      </c>
      <c r="CB862" s="75">
        <f>CA862*(1-PARAM!$C$27)*$I$22+(MOD($B862,60)=PARAM!$B$56)*($B862&gt;(60-PARAM!$B$56))*HLOOKUP(($B862+PARAM!$B$56)/12,Loyalty,2)*$F$1*MAX(CD861,0)</f>
        <v>18.557001321003963</v>
      </c>
      <c r="CC862" s="75">
        <f>PARAM!$C$26+MAX($G$22-CHOOSE(PARAM!$B$44,MAX(0,CD861*$F$1),0),0)*RATES!$L838/12+$H$22*(PARAM!$D$51/12)*RATES!$N838/100</f>
        <v>1190.0416666666667</v>
      </c>
      <c r="CD862" s="16">
        <f t="shared" si="604"/>
        <v>-194529.56192117729</v>
      </c>
      <c r="CE862" s="33">
        <f>IF(0=MOD(B862,12/PARAM!$D$51),1,0)</f>
        <v>1</v>
      </c>
      <c r="CF862" s="15">
        <f t="shared" si="579"/>
        <v>0</v>
      </c>
      <c r="CG862" s="75">
        <f>CF862*(1-PARAM!$C$27)*$R$3+(MOD($B862/12,5)=0)*($B862&gt;60)*HLOOKUP($B862/12,Loyalty,2)*$F$1*MAX(CI861,0)</f>
        <v>0</v>
      </c>
      <c r="CH862" s="75">
        <f>PARAM!$C$26+MAX($P$3-CHOOSE(PARAM!$B$44,MAX(0,CI861*$F$1),0),0)*RATES!$L838/12+$Q$3*(PARAM!$D$51/12)*RATES!$N838/100</f>
        <v>1190.0416666666667</v>
      </c>
      <c r="CI862" s="16">
        <f>IF(CI861&gt;0,CI861*PARAM!$C$53,CI861)+CG862-CH862</f>
        <v>-209905.08333333337</v>
      </c>
      <c r="CJ862" s="15">
        <f t="shared" si="605"/>
        <v>0</v>
      </c>
      <c r="CK862" s="75">
        <f>CJ862*(1-PARAM!$C$27)*$R$4+(MOD($B862/12,5)=0)*($B862&gt;60)*HLOOKUP($B862/12,Loyalty,2)*$F$1*MAX(CM861,0)</f>
        <v>0</v>
      </c>
      <c r="CL862" s="75">
        <f>PARAM!$C$26+MAX($P$4-CHOOSE(PARAM!$B$44,MAX(0,CM861*$F$1),0),0)*RATES!$L838/12+$Q$4*(PARAM!$D$51/12)*RATES!$N838/100</f>
        <v>1190.0416666666667</v>
      </c>
      <c r="CM862" s="16">
        <f>IF(CM861&gt;0,CM861*PARAM!$C$53,CM861)+CK862-CL862</f>
        <v>-209905.08333333337</v>
      </c>
      <c r="CO862" s="176"/>
    </row>
    <row r="863" spans="1:93" x14ac:dyDescent="0.2">
      <c r="A863" t="b">
        <f t="shared" si="580"/>
        <v>0</v>
      </c>
      <c r="B863" s="33">
        <v>836</v>
      </c>
      <c r="C863" s="15">
        <f t="shared" si="581"/>
        <v>20.081305947392778</v>
      </c>
      <c r="D863" s="75">
        <f>C863*(1-PARAM!$C$27)*$I$3+(MOD($B863,60)=PARAM!$B$56)*($B863&gt;(60-PARAM!$B$56))*HLOOKUP(($B863+PARAM!$B$56)/12,Loyalty,2)*$F$1*MAX(F862,0)</f>
        <v>16.808053077967756</v>
      </c>
      <c r="E863" s="75">
        <f>PARAM!$C$26+MAX($G$3-CHOOSE(PARAM!$B$44,MAX(0,F862*$F$1),0),0)*RATES!$L839/12+$H$3*(PARAM!$D$51/12)*RATES!$N839/100</f>
        <v>1190.0416666666667</v>
      </c>
      <c r="F863" s="16">
        <f t="shared" si="582"/>
        <v>-197200.01781822307</v>
      </c>
      <c r="G863" s="15">
        <f t="shared" si="583"/>
        <v>22.035289406060361</v>
      </c>
      <c r="H863" s="75">
        <f>G863*(1-PARAM!$C$27)*$I$4+(MOD($B863,60)=PARAM!$B$56)*($B863&gt;(60-PARAM!$B$56))*HLOOKUP(($B863+PARAM!$B$56)/12,Loyalty,2)*$F$1*MAX(J862,0)</f>
        <v>18.443537232872522</v>
      </c>
      <c r="I863" s="75">
        <f>PARAM!$C$26+MAX($G$4-CHOOSE(PARAM!$B$44,MAX(0,J862*$F$1),0),0)*RATES!$L839/12+$H$4*(PARAM!$D$51/12)*RATES!$N839/100</f>
        <v>1190.0416666666667</v>
      </c>
      <c r="J863" s="16">
        <f t="shared" si="584"/>
        <v>-195798.92010060017</v>
      </c>
      <c r="K863" s="15">
        <f t="shared" si="585"/>
        <v>22.170849845882874</v>
      </c>
      <c r="L863" s="75">
        <f>K863*(1-PARAM!$C$27)*$I$5+(MOD($B863,60)=PARAM!$B$56)*($B863&gt;(60-PARAM!$B$56))*HLOOKUP(($B863+PARAM!$B$56)/12,Loyalty,2)*$F$1*MAX(N862,0)</f>
        <v>18.557001321003963</v>
      </c>
      <c r="M863" s="75">
        <f>PARAM!$C$26+MAX($G$5-CHOOSE(PARAM!$B$44,MAX(0,N862*$F$1),0),0)*RATES!$L839/12+$H$5*(PARAM!$D$51/12)*RATES!$N839/100</f>
        <v>1190.0416666666667</v>
      </c>
      <c r="N863" s="16">
        <f t="shared" si="586"/>
        <v>-195701.04658652295</v>
      </c>
      <c r="O863" s="15">
        <f t="shared" si="587"/>
        <v>22.170849845882874</v>
      </c>
      <c r="P863" s="75">
        <f>O863*(1-PARAM!$C$27)*$I$6+(MOD($B863,60)=PARAM!$B$56)*($B863&gt;(60-PARAM!$B$56))*HLOOKUP(($B863+PARAM!$B$56)/12,Loyalty,2)*$F$1*MAX(R862,0)</f>
        <v>18.557001321003963</v>
      </c>
      <c r="Q863" s="75">
        <f>PARAM!$C$26+MAX($G$6-CHOOSE(PARAM!$B$44,MAX(0,R862*$F$1),0),0)*RATES!$L839/12+$H$6*(PARAM!$D$51/12)*RATES!$N839/100</f>
        <v>1190.0416666666667</v>
      </c>
      <c r="R863" s="16">
        <f t="shared" si="588"/>
        <v>-195701.04658652295</v>
      </c>
      <c r="S863" s="15">
        <f t="shared" si="563"/>
        <v>22.170849845882874</v>
      </c>
      <c r="T863" s="75">
        <f>S863*(1-PARAM!$C$27)*$I$7+(MOD($B863,60)=PARAM!$B$56)*($B863&gt;(60-PARAM!$B$56))*HLOOKUP(($B863+PARAM!$B$56)/12,Loyalty,2)*$F$1*MAX(V862,0)</f>
        <v>18.557001321003963</v>
      </c>
      <c r="U863" s="75">
        <f>PARAM!$C$26+MAX($G$7-CHOOSE(PARAM!$B$44,MAX(0,V862*$F$1),0),0)*RATES!$L839/12+$H$7*(PARAM!$D$51/12)*RATES!$N839/100</f>
        <v>1190.0416666666667</v>
      </c>
      <c r="V863" s="16">
        <f t="shared" si="589"/>
        <v>-195701.04658652295</v>
      </c>
      <c r="W863" s="15">
        <f t="shared" si="564"/>
        <v>22.170849845882874</v>
      </c>
      <c r="X863" s="75">
        <f>W863*(1-PARAM!$C$27)*$I$8+(MOD($B863,60)=PARAM!$B$56)*($B863&gt;(60-PARAM!$B$56))*HLOOKUP(($B863+PARAM!$B$56)/12,Loyalty,2)*$F$1*MAX(Z862,0)</f>
        <v>18.557001321003963</v>
      </c>
      <c r="Y863" s="75">
        <f>PARAM!$C$26+MAX($G$8-CHOOSE(PARAM!$B$44,MAX(0,Z862*$F$1),0),0)*RATES!$L839/12+$H$8*(PARAM!$D$51/12)*RATES!$N839/100</f>
        <v>1190.0416666666667</v>
      </c>
      <c r="Z863" s="16">
        <f t="shared" si="590"/>
        <v>-195701.04658652295</v>
      </c>
      <c r="AA863" s="15">
        <f t="shared" si="565"/>
        <v>22.170849845882874</v>
      </c>
      <c r="AB863" s="75">
        <f>AA863*(1-PARAM!$C$27)*$I$9+(MOD($B863,60)=PARAM!$B$56)*($B863&gt;(60-PARAM!$B$56))*HLOOKUP(($B863+PARAM!$B$56)/12,Loyalty,2)*$F$1*MAX(AD862,0)</f>
        <v>18.557001321003963</v>
      </c>
      <c r="AC863" s="75">
        <f>PARAM!$C$26+MAX($G$9-CHOOSE(PARAM!$B$44,MAX(0,AD862*$F$1),0),0)*RATES!$L839/12+$H$9*(PARAM!$D$51/12)*RATES!$N839/100</f>
        <v>1190.0416666666667</v>
      </c>
      <c r="AD863" s="16">
        <f t="shared" si="591"/>
        <v>-195701.04658652295</v>
      </c>
      <c r="AE863" s="15">
        <f t="shared" si="566"/>
        <v>22.170849845882874</v>
      </c>
      <c r="AF863" s="75">
        <f>AE863*(1-PARAM!$C$27)*$I$10+(MOD($B863,60)=PARAM!$B$56)*($B863&gt;(60-PARAM!$B$56))*HLOOKUP(($B863+PARAM!$B$56)/12,Loyalty,2)*$F$1*MAX(AH862,0)</f>
        <v>18.557001321003963</v>
      </c>
      <c r="AG863" s="75">
        <f>PARAM!$C$26+MAX($G$10-CHOOSE(PARAM!$B$44,MAX(0,AH862*$F$1),0),0)*RATES!$L839/12+$H$10*(PARAM!$D$51/12)*RATES!$N839/100</f>
        <v>1190.0416666666667</v>
      </c>
      <c r="AH863" s="16">
        <f t="shared" si="592"/>
        <v>-195701.04658652295</v>
      </c>
      <c r="AI863" s="15">
        <f t="shared" si="567"/>
        <v>22.170849845882874</v>
      </c>
      <c r="AJ863" s="75">
        <f>AI863*(1-PARAM!$C$27)*$I$11+(MOD($B863,60)=PARAM!$B$56)*($B863&gt;(60-PARAM!$B$56))*HLOOKUP(($B863+PARAM!$B$56)/12,Loyalty,2)*$F$1*MAX(AL862,0)</f>
        <v>18.557001321003963</v>
      </c>
      <c r="AK863" s="75">
        <f>PARAM!$C$26+MAX($G$11-CHOOSE(PARAM!$B$44,MAX(0,AL862*$F$1),0),0)*RATES!$L839/12+$H$11*(PARAM!$D$51/12)*RATES!$N839/100</f>
        <v>1190.0416666666667</v>
      </c>
      <c r="AL863" s="16">
        <f t="shared" si="593"/>
        <v>-195701.04658652295</v>
      </c>
      <c r="AM863" s="15">
        <f t="shared" si="568"/>
        <v>22.170849845882874</v>
      </c>
      <c r="AN863" s="75">
        <f>AM863*(1-PARAM!$C$27)*$I$12+(MOD($B863,60)=PARAM!$B$56)*($B863&gt;(60-PARAM!$B$56))*HLOOKUP(($B863+PARAM!$B$56)/12,Loyalty,2)*$F$1*MAX(AP862,0)</f>
        <v>18.557001321003963</v>
      </c>
      <c r="AO863" s="75">
        <f>PARAM!$C$26+MAX($G$12-CHOOSE(PARAM!$B$44,MAX(0,AP862*$F$1),0),0)*RATES!$L839/12+$H$12*(PARAM!$D$51/12)*RATES!$N839/100</f>
        <v>1190.0416666666667</v>
      </c>
      <c r="AP863" s="16">
        <f t="shared" si="594"/>
        <v>-195701.04658652295</v>
      </c>
      <c r="AQ863" s="15">
        <f t="shared" si="569"/>
        <v>22.170849845882874</v>
      </c>
      <c r="AR863" s="75">
        <f>AQ863*(1-PARAM!$C$27)*$I$13+(MOD($B863,60)=PARAM!$B$56)*($B863&gt;(60-PARAM!$B$56))*HLOOKUP(($B863+PARAM!$B$56)/12,Loyalty,2)*$F$1*MAX(AT862,0)</f>
        <v>18.557001321003963</v>
      </c>
      <c r="AS863" s="75">
        <f>PARAM!$C$26+MAX($G$13-CHOOSE(PARAM!$B$44,MAX(0,AT862*$F$1),0),0)*RATES!$L839/12+$H$13*(PARAM!$D$51/12)*RATES!$N839/100</f>
        <v>1190.0416666666667</v>
      </c>
      <c r="AT863" s="16">
        <f t="shared" si="595"/>
        <v>-195701.04658652295</v>
      </c>
      <c r="AU863" s="15">
        <f t="shared" si="570"/>
        <v>22.170849845882874</v>
      </c>
      <c r="AV863" s="75">
        <f>AU863*(1-PARAM!$C$27)*$I$14+(MOD($B863,60)=PARAM!$B$56)*($B863&gt;(60-PARAM!$B$56))*HLOOKUP(($B863+PARAM!$B$56)/12,Loyalty,2)*$F$1*MAX(AX862,0)</f>
        <v>18.557001321003963</v>
      </c>
      <c r="AW863" s="75">
        <f>PARAM!$C$26+MAX($G$14-CHOOSE(PARAM!$B$44,MAX(0,AX862*$F$1),0),0)*RATES!$L839/12+$H$14*(PARAM!$D$51/12)*RATES!$N839/100</f>
        <v>1190.0416666666667</v>
      </c>
      <c r="AX863" s="16">
        <f t="shared" si="596"/>
        <v>-195701.04658652295</v>
      </c>
      <c r="AY863" s="15">
        <f t="shared" si="571"/>
        <v>22.170849845882874</v>
      </c>
      <c r="AZ863" s="75">
        <f>AY863*(1-PARAM!$C$27)*$I$15+(MOD($B863,60)=PARAM!$B$56)*($B863&gt;(60-PARAM!$B$56))*HLOOKUP(($B863+PARAM!$B$56)/12,Loyalty,2)*$F$1*MAX(BB862,0)</f>
        <v>18.557001321003963</v>
      </c>
      <c r="BA863" s="75">
        <f>PARAM!$C$26+MAX($G$15-CHOOSE(PARAM!$B$44,MAX(0,BB862*$F$1),0),0)*RATES!$L839/12+$H$15*(PARAM!$D$51/12)*RATES!$N839/100</f>
        <v>1190.0416666666667</v>
      </c>
      <c r="BB863" s="16">
        <f t="shared" si="597"/>
        <v>-195701.04658652295</v>
      </c>
      <c r="BC863" s="15">
        <f t="shared" si="572"/>
        <v>22.170849845882874</v>
      </c>
      <c r="BD863" s="75">
        <f>BC863*(1-PARAM!$C$27)*$I$16+(MOD($B863,60)=PARAM!$B$56)*($B863&gt;(60-PARAM!$B$56))*HLOOKUP(($B863+PARAM!$B$56)/12,Loyalty,2)*$F$1*MAX(BF862,0)</f>
        <v>18.557001321003963</v>
      </c>
      <c r="BE863" s="75">
        <f>PARAM!$C$26+MAX($G$16-CHOOSE(PARAM!$B$44,MAX(0,BF862*$F$1),0),0)*RATES!$L839/12+$H$16*(PARAM!$D$51/12)*RATES!$N839/100</f>
        <v>1190.0416666666667</v>
      </c>
      <c r="BF863" s="16">
        <f t="shared" si="598"/>
        <v>-195701.04658652295</v>
      </c>
      <c r="BG863" s="15">
        <f t="shared" si="573"/>
        <v>22.170849845882874</v>
      </c>
      <c r="BH863" s="75">
        <f>BG863*(1-PARAM!$C$27)*$I$17+(MOD($B863,60)=PARAM!$B$56)*($B863&gt;(60-PARAM!$B$56))*HLOOKUP(($B863+PARAM!$B$56)/12,Loyalty,2)*$F$1*MAX(BJ862,0)</f>
        <v>18.557001321003963</v>
      </c>
      <c r="BI863" s="75">
        <f>PARAM!$C$26+MAX($G$17-CHOOSE(PARAM!$B$44,MAX(0,BJ862*$F$1),0),0)*RATES!$L839/12+$H$17*(PARAM!$D$51/12)*RATES!$N839/100</f>
        <v>1190.0416666666667</v>
      </c>
      <c r="BJ863" s="16">
        <f t="shared" si="599"/>
        <v>-195701.04658652295</v>
      </c>
      <c r="BK863" s="15">
        <f t="shared" si="574"/>
        <v>22.170849845882874</v>
      </c>
      <c r="BL863" s="75">
        <f>BK863*(1-PARAM!$C$27)*$I$18+(MOD($B863,60)=PARAM!$B$56)*($B863&gt;(60-PARAM!$B$56))*HLOOKUP(($B863+PARAM!$B$56)/12,Loyalty,2)*$F$1*MAX(BN862,0)</f>
        <v>18.557001321003963</v>
      </c>
      <c r="BM863" s="75">
        <f>PARAM!$C$26+MAX($G$18-CHOOSE(PARAM!$B$44,MAX(0,BN862*$F$1),0),0)*RATES!$L839/12+$H$18*(PARAM!$D$51/12)*RATES!$N839/100</f>
        <v>1190.0416666666667</v>
      </c>
      <c r="BN863" s="16">
        <f t="shared" si="600"/>
        <v>-195701.04658652295</v>
      </c>
      <c r="BO863" s="15">
        <f t="shared" si="575"/>
        <v>22.170849845882874</v>
      </c>
      <c r="BP863" s="75">
        <f>BO863*(1-PARAM!$C$27)*$I$19+(MOD($B863,60)=PARAM!$B$56)*($B863&gt;(60-PARAM!$B$56))*HLOOKUP(($B863+PARAM!$B$56)/12,Loyalty,2)*$F$1*MAX(BR862,0)</f>
        <v>18.557001321003963</v>
      </c>
      <c r="BQ863" s="75">
        <f>PARAM!$C$26+MAX($G$19-CHOOSE(PARAM!$B$44,MAX(0,BR862*$F$1),0),0)*RATES!$L839/12+$H$19*(PARAM!$D$51/12)*RATES!$N839/100</f>
        <v>1190.0416666666667</v>
      </c>
      <c r="BR863" s="16">
        <f t="shared" si="601"/>
        <v>-195701.04658652295</v>
      </c>
      <c r="BS863" s="15">
        <f t="shared" si="576"/>
        <v>22.170849845882874</v>
      </c>
      <c r="BT863" s="75">
        <f>BS863*(1-PARAM!$C$27)*$I$20+(MOD($B863,60)=PARAM!$B$56)*($B863&gt;(60-PARAM!$B$56))*HLOOKUP(($B863+PARAM!$B$56)/12,Loyalty,2)*$F$1*MAX(BV862,0)</f>
        <v>18.557001321003963</v>
      </c>
      <c r="BU863" s="75">
        <f>PARAM!$C$26+MAX($G$20-CHOOSE(PARAM!$B$44,MAX(0,BV862*$F$1),0),0)*RATES!$L839/12+$H$20*(PARAM!$D$51/12)*RATES!$N839/100</f>
        <v>1190.0416666666667</v>
      </c>
      <c r="BV863" s="16">
        <f t="shared" si="602"/>
        <v>-195701.04658652295</v>
      </c>
      <c r="BW863" s="15">
        <f t="shared" si="577"/>
        <v>22.170849845882874</v>
      </c>
      <c r="BX863" s="75">
        <f>BW863*(1-PARAM!$C$27)*$I$21+(MOD($B863,60)=PARAM!$B$56)*($B863&gt;(60-PARAM!$B$56))*HLOOKUP(($B863+PARAM!$B$56)/12,Loyalty,2)*$F$1*MAX(BZ862,0)</f>
        <v>18.557001321003963</v>
      </c>
      <c r="BY863" s="75">
        <f>PARAM!$C$26+MAX($G$21-CHOOSE(PARAM!$B$44,MAX(0,BZ862*$F$1),0),0)*RATES!$L839/12+$H$21*(PARAM!$D$51/12)*RATES!$N839/100</f>
        <v>1190.0416666666667</v>
      </c>
      <c r="BZ863" s="16">
        <f t="shared" si="603"/>
        <v>-195701.04658652295</v>
      </c>
      <c r="CA863" s="15">
        <f t="shared" si="578"/>
        <v>22.170849845882874</v>
      </c>
      <c r="CB863" s="75">
        <f>CA863*(1-PARAM!$C$27)*$I$22+(MOD($B863,60)=PARAM!$B$56)*($B863&gt;(60-PARAM!$B$56))*HLOOKUP(($B863+PARAM!$B$56)/12,Loyalty,2)*$F$1*MAX(CD862,0)</f>
        <v>18.557001321003963</v>
      </c>
      <c r="CC863" s="75">
        <f>PARAM!$C$26+MAX($G$22-CHOOSE(PARAM!$B$44,MAX(0,CD862*$F$1),0),0)*RATES!$L839/12+$H$22*(PARAM!$D$51/12)*RATES!$N839/100</f>
        <v>1190.0416666666667</v>
      </c>
      <c r="CD863" s="16">
        <f t="shared" si="604"/>
        <v>-195701.04658652295</v>
      </c>
      <c r="CE863" s="33">
        <f>IF(0=MOD(B863,12/PARAM!$D$51),1,0)</f>
        <v>1</v>
      </c>
      <c r="CF863" s="15">
        <f t="shared" si="579"/>
        <v>0</v>
      </c>
      <c r="CG863" s="75">
        <f>CF863*(1-PARAM!$C$27)*$R$3+(MOD($B863/12,5)=0)*($B863&gt;60)*HLOOKUP($B863/12,Loyalty,2)*$F$1*MAX(CI862,0)</f>
        <v>0</v>
      </c>
      <c r="CH863" s="75">
        <f>PARAM!$C$26+MAX($P$3-CHOOSE(PARAM!$B$44,MAX(0,CI862*$F$1),0),0)*RATES!$L839/12+$Q$3*(PARAM!$D$51/12)*RATES!$N839/100</f>
        <v>1190.0416666666667</v>
      </c>
      <c r="CI863" s="16">
        <f>IF(CI862&gt;0,CI862*PARAM!$C$53,CI862)+CG863-CH863</f>
        <v>-211095.12500000003</v>
      </c>
      <c r="CJ863" s="15">
        <f t="shared" si="605"/>
        <v>0</v>
      </c>
      <c r="CK863" s="75">
        <f>CJ863*(1-PARAM!$C$27)*$R$4+(MOD($B863/12,5)=0)*($B863&gt;60)*HLOOKUP($B863/12,Loyalty,2)*$F$1*MAX(CM862,0)</f>
        <v>0</v>
      </c>
      <c r="CL863" s="75">
        <f>PARAM!$C$26+MAX($P$4-CHOOSE(PARAM!$B$44,MAX(0,CM862*$F$1),0),0)*RATES!$L839/12+$Q$4*(PARAM!$D$51/12)*RATES!$N839/100</f>
        <v>1190.0416666666667</v>
      </c>
      <c r="CM863" s="16">
        <f>IF(CM862&gt;0,CM862*PARAM!$C$53,CM862)+CK863-CL863</f>
        <v>-211095.12500000003</v>
      </c>
      <c r="CO863" s="176"/>
    </row>
    <row r="864" spans="1:93" x14ac:dyDescent="0.2">
      <c r="A864" t="b">
        <f t="shared" si="580"/>
        <v>0</v>
      </c>
      <c r="B864" s="33">
        <v>837</v>
      </c>
      <c r="C864" s="15">
        <f t="shared" si="581"/>
        <v>20.081305947392778</v>
      </c>
      <c r="D864" s="75">
        <f>C864*(1-PARAM!$C$27)*$I$3+(MOD($B864,60)=PARAM!$B$56)*($B864&gt;(60-PARAM!$B$56))*HLOOKUP(($B864+PARAM!$B$56)/12,Loyalty,2)*$F$1*MAX(F863,0)</f>
        <v>16.808053077967756</v>
      </c>
      <c r="E864" s="75">
        <f>PARAM!$C$26+MAX($G$3-CHOOSE(PARAM!$B$44,MAX(0,F863*$F$1),0),0)*RATES!$L840/12+$H$3*(PARAM!$D$51/12)*RATES!$N840/100</f>
        <v>1190.0416666666667</v>
      </c>
      <c r="F864" s="16">
        <f t="shared" si="582"/>
        <v>-198373.25143181178</v>
      </c>
      <c r="G864" s="15">
        <f t="shared" si="583"/>
        <v>22.035289406060361</v>
      </c>
      <c r="H864" s="75">
        <f>G864*(1-PARAM!$C$27)*$I$4+(MOD($B864,60)=PARAM!$B$56)*($B864&gt;(60-PARAM!$B$56))*HLOOKUP(($B864+PARAM!$B$56)/12,Loyalty,2)*$F$1*MAX(J863,0)</f>
        <v>18.443537232872522</v>
      </c>
      <c r="I864" s="75">
        <f>PARAM!$C$26+MAX($G$4-CHOOSE(PARAM!$B$44,MAX(0,J863*$F$1),0),0)*RATES!$L840/12+$H$4*(PARAM!$D$51/12)*RATES!$N840/100</f>
        <v>1190.0416666666667</v>
      </c>
      <c r="J864" s="16">
        <f t="shared" si="584"/>
        <v>-196970.51823003395</v>
      </c>
      <c r="K864" s="15">
        <f t="shared" si="585"/>
        <v>22.170849845882874</v>
      </c>
      <c r="L864" s="75">
        <f>K864*(1-PARAM!$C$27)*$I$5+(MOD($B864,60)=PARAM!$B$56)*($B864&gt;(60-PARAM!$B$56))*HLOOKUP(($B864+PARAM!$B$56)/12,Loyalty,2)*$F$1*MAX(N863,0)</f>
        <v>18.557001321003963</v>
      </c>
      <c r="M864" s="75">
        <f>PARAM!$C$26+MAX($G$5-CHOOSE(PARAM!$B$44,MAX(0,N863*$F$1),0),0)*RATES!$L840/12+$H$5*(PARAM!$D$51/12)*RATES!$N840/100</f>
        <v>1190.0416666666667</v>
      </c>
      <c r="N864" s="16">
        <f t="shared" si="586"/>
        <v>-196872.53125186861</v>
      </c>
      <c r="O864" s="15">
        <f t="shared" si="587"/>
        <v>22.170849845882874</v>
      </c>
      <c r="P864" s="75">
        <f>O864*(1-PARAM!$C$27)*$I$6+(MOD($B864,60)=PARAM!$B$56)*($B864&gt;(60-PARAM!$B$56))*HLOOKUP(($B864+PARAM!$B$56)/12,Loyalty,2)*$F$1*MAX(R863,0)</f>
        <v>18.557001321003963</v>
      </c>
      <c r="Q864" s="75">
        <f>PARAM!$C$26+MAX($G$6-CHOOSE(PARAM!$B$44,MAX(0,R863*$F$1),0),0)*RATES!$L840/12+$H$6*(PARAM!$D$51/12)*RATES!$N840/100</f>
        <v>1190.0416666666667</v>
      </c>
      <c r="R864" s="16">
        <f t="shared" si="588"/>
        <v>-196872.53125186861</v>
      </c>
      <c r="S864" s="15">
        <f t="shared" si="563"/>
        <v>22.170849845882874</v>
      </c>
      <c r="T864" s="75">
        <f>S864*(1-PARAM!$C$27)*$I$7+(MOD($B864,60)=PARAM!$B$56)*($B864&gt;(60-PARAM!$B$56))*HLOOKUP(($B864+PARAM!$B$56)/12,Loyalty,2)*$F$1*MAX(V863,0)</f>
        <v>18.557001321003963</v>
      </c>
      <c r="U864" s="75">
        <f>PARAM!$C$26+MAX($G$7-CHOOSE(PARAM!$B$44,MAX(0,V863*$F$1),0),0)*RATES!$L840/12+$H$7*(PARAM!$D$51/12)*RATES!$N840/100</f>
        <v>1190.0416666666667</v>
      </c>
      <c r="V864" s="16">
        <f t="shared" si="589"/>
        <v>-196872.53125186861</v>
      </c>
      <c r="W864" s="15">
        <f t="shared" si="564"/>
        <v>22.170849845882874</v>
      </c>
      <c r="X864" s="75">
        <f>W864*(1-PARAM!$C$27)*$I$8+(MOD($B864,60)=PARAM!$B$56)*($B864&gt;(60-PARAM!$B$56))*HLOOKUP(($B864+PARAM!$B$56)/12,Loyalty,2)*$F$1*MAX(Z863,0)</f>
        <v>18.557001321003963</v>
      </c>
      <c r="Y864" s="75">
        <f>PARAM!$C$26+MAX($G$8-CHOOSE(PARAM!$B$44,MAX(0,Z863*$F$1),0),0)*RATES!$L840/12+$H$8*(PARAM!$D$51/12)*RATES!$N840/100</f>
        <v>1190.0416666666667</v>
      </c>
      <c r="Z864" s="16">
        <f t="shared" si="590"/>
        <v>-196872.53125186861</v>
      </c>
      <c r="AA864" s="15">
        <f t="shared" si="565"/>
        <v>22.170849845882874</v>
      </c>
      <c r="AB864" s="75">
        <f>AA864*(1-PARAM!$C$27)*$I$9+(MOD($B864,60)=PARAM!$B$56)*($B864&gt;(60-PARAM!$B$56))*HLOOKUP(($B864+PARAM!$B$56)/12,Loyalty,2)*$F$1*MAX(AD863,0)</f>
        <v>18.557001321003963</v>
      </c>
      <c r="AC864" s="75">
        <f>PARAM!$C$26+MAX($G$9-CHOOSE(PARAM!$B$44,MAX(0,AD863*$F$1),0),0)*RATES!$L840/12+$H$9*(PARAM!$D$51/12)*RATES!$N840/100</f>
        <v>1190.0416666666667</v>
      </c>
      <c r="AD864" s="16">
        <f t="shared" si="591"/>
        <v>-196872.53125186861</v>
      </c>
      <c r="AE864" s="15">
        <f t="shared" si="566"/>
        <v>22.170849845882874</v>
      </c>
      <c r="AF864" s="75">
        <f>AE864*(1-PARAM!$C$27)*$I$10+(MOD($B864,60)=PARAM!$B$56)*($B864&gt;(60-PARAM!$B$56))*HLOOKUP(($B864+PARAM!$B$56)/12,Loyalty,2)*$F$1*MAX(AH863,0)</f>
        <v>18.557001321003963</v>
      </c>
      <c r="AG864" s="75">
        <f>PARAM!$C$26+MAX($G$10-CHOOSE(PARAM!$B$44,MAX(0,AH863*$F$1),0),0)*RATES!$L840/12+$H$10*(PARAM!$D$51/12)*RATES!$N840/100</f>
        <v>1190.0416666666667</v>
      </c>
      <c r="AH864" s="16">
        <f t="shared" si="592"/>
        <v>-196872.53125186861</v>
      </c>
      <c r="AI864" s="15">
        <f t="shared" si="567"/>
        <v>22.170849845882874</v>
      </c>
      <c r="AJ864" s="75">
        <f>AI864*(1-PARAM!$C$27)*$I$11+(MOD($B864,60)=PARAM!$B$56)*($B864&gt;(60-PARAM!$B$56))*HLOOKUP(($B864+PARAM!$B$56)/12,Loyalty,2)*$F$1*MAX(AL863,0)</f>
        <v>18.557001321003963</v>
      </c>
      <c r="AK864" s="75">
        <f>PARAM!$C$26+MAX($G$11-CHOOSE(PARAM!$B$44,MAX(0,AL863*$F$1),0),0)*RATES!$L840/12+$H$11*(PARAM!$D$51/12)*RATES!$N840/100</f>
        <v>1190.0416666666667</v>
      </c>
      <c r="AL864" s="16">
        <f t="shared" si="593"/>
        <v>-196872.53125186861</v>
      </c>
      <c r="AM864" s="15">
        <f t="shared" si="568"/>
        <v>22.170849845882874</v>
      </c>
      <c r="AN864" s="75">
        <f>AM864*(1-PARAM!$C$27)*$I$12+(MOD($B864,60)=PARAM!$B$56)*($B864&gt;(60-PARAM!$B$56))*HLOOKUP(($B864+PARAM!$B$56)/12,Loyalty,2)*$F$1*MAX(AP863,0)</f>
        <v>18.557001321003963</v>
      </c>
      <c r="AO864" s="75">
        <f>PARAM!$C$26+MAX($G$12-CHOOSE(PARAM!$B$44,MAX(0,AP863*$F$1),0),0)*RATES!$L840/12+$H$12*(PARAM!$D$51/12)*RATES!$N840/100</f>
        <v>1190.0416666666667</v>
      </c>
      <c r="AP864" s="16">
        <f t="shared" si="594"/>
        <v>-196872.53125186861</v>
      </c>
      <c r="AQ864" s="15">
        <f t="shared" si="569"/>
        <v>22.170849845882874</v>
      </c>
      <c r="AR864" s="75">
        <f>AQ864*(1-PARAM!$C$27)*$I$13+(MOD($B864,60)=PARAM!$B$56)*($B864&gt;(60-PARAM!$B$56))*HLOOKUP(($B864+PARAM!$B$56)/12,Loyalty,2)*$F$1*MAX(AT863,0)</f>
        <v>18.557001321003963</v>
      </c>
      <c r="AS864" s="75">
        <f>PARAM!$C$26+MAX($G$13-CHOOSE(PARAM!$B$44,MAX(0,AT863*$F$1),0),0)*RATES!$L840/12+$H$13*(PARAM!$D$51/12)*RATES!$N840/100</f>
        <v>1190.0416666666667</v>
      </c>
      <c r="AT864" s="16">
        <f t="shared" si="595"/>
        <v>-196872.53125186861</v>
      </c>
      <c r="AU864" s="15">
        <f t="shared" si="570"/>
        <v>22.170849845882874</v>
      </c>
      <c r="AV864" s="75">
        <f>AU864*(1-PARAM!$C$27)*$I$14+(MOD($B864,60)=PARAM!$B$56)*($B864&gt;(60-PARAM!$B$56))*HLOOKUP(($B864+PARAM!$B$56)/12,Loyalty,2)*$F$1*MAX(AX863,0)</f>
        <v>18.557001321003963</v>
      </c>
      <c r="AW864" s="75">
        <f>PARAM!$C$26+MAX($G$14-CHOOSE(PARAM!$B$44,MAX(0,AX863*$F$1),0),0)*RATES!$L840/12+$H$14*(PARAM!$D$51/12)*RATES!$N840/100</f>
        <v>1190.0416666666667</v>
      </c>
      <c r="AX864" s="16">
        <f t="shared" si="596"/>
        <v>-196872.53125186861</v>
      </c>
      <c r="AY864" s="15">
        <f t="shared" si="571"/>
        <v>22.170849845882874</v>
      </c>
      <c r="AZ864" s="75">
        <f>AY864*(1-PARAM!$C$27)*$I$15+(MOD($B864,60)=PARAM!$B$56)*($B864&gt;(60-PARAM!$B$56))*HLOOKUP(($B864+PARAM!$B$56)/12,Loyalty,2)*$F$1*MAX(BB863,0)</f>
        <v>18.557001321003963</v>
      </c>
      <c r="BA864" s="75">
        <f>PARAM!$C$26+MAX($G$15-CHOOSE(PARAM!$B$44,MAX(0,BB863*$F$1),0),0)*RATES!$L840/12+$H$15*(PARAM!$D$51/12)*RATES!$N840/100</f>
        <v>1190.0416666666667</v>
      </c>
      <c r="BB864" s="16">
        <f t="shared" si="597"/>
        <v>-196872.53125186861</v>
      </c>
      <c r="BC864" s="15">
        <f t="shared" si="572"/>
        <v>22.170849845882874</v>
      </c>
      <c r="BD864" s="75">
        <f>BC864*(1-PARAM!$C$27)*$I$16+(MOD($B864,60)=PARAM!$B$56)*($B864&gt;(60-PARAM!$B$56))*HLOOKUP(($B864+PARAM!$B$56)/12,Loyalty,2)*$F$1*MAX(BF863,0)</f>
        <v>18.557001321003963</v>
      </c>
      <c r="BE864" s="75">
        <f>PARAM!$C$26+MAX($G$16-CHOOSE(PARAM!$B$44,MAX(0,BF863*$F$1),0),0)*RATES!$L840/12+$H$16*(PARAM!$D$51/12)*RATES!$N840/100</f>
        <v>1190.0416666666667</v>
      </c>
      <c r="BF864" s="16">
        <f t="shared" si="598"/>
        <v>-196872.53125186861</v>
      </c>
      <c r="BG864" s="15">
        <f t="shared" si="573"/>
        <v>22.170849845882874</v>
      </c>
      <c r="BH864" s="75">
        <f>BG864*(1-PARAM!$C$27)*$I$17+(MOD($B864,60)=PARAM!$B$56)*($B864&gt;(60-PARAM!$B$56))*HLOOKUP(($B864+PARAM!$B$56)/12,Loyalty,2)*$F$1*MAX(BJ863,0)</f>
        <v>18.557001321003963</v>
      </c>
      <c r="BI864" s="75">
        <f>PARAM!$C$26+MAX($G$17-CHOOSE(PARAM!$B$44,MAX(0,BJ863*$F$1),0),0)*RATES!$L840/12+$H$17*(PARAM!$D$51/12)*RATES!$N840/100</f>
        <v>1190.0416666666667</v>
      </c>
      <c r="BJ864" s="16">
        <f t="shared" si="599"/>
        <v>-196872.53125186861</v>
      </c>
      <c r="BK864" s="15">
        <f t="shared" si="574"/>
        <v>22.170849845882874</v>
      </c>
      <c r="BL864" s="75">
        <f>BK864*(1-PARAM!$C$27)*$I$18+(MOD($B864,60)=PARAM!$B$56)*($B864&gt;(60-PARAM!$B$56))*HLOOKUP(($B864+PARAM!$B$56)/12,Loyalty,2)*$F$1*MAX(BN863,0)</f>
        <v>18.557001321003963</v>
      </c>
      <c r="BM864" s="75">
        <f>PARAM!$C$26+MAX($G$18-CHOOSE(PARAM!$B$44,MAX(0,BN863*$F$1),0),0)*RATES!$L840/12+$H$18*(PARAM!$D$51/12)*RATES!$N840/100</f>
        <v>1190.0416666666667</v>
      </c>
      <c r="BN864" s="16">
        <f t="shared" si="600"/>
        <v>-196872.53125186861</v>
      </c>
      <c r="BO864" s="15">
        <f t="shared" si="575"/>
        <v>22.170849845882874</v>
      </c>
      <c r="BP864" s="75">
        <f>BO864*(1-PARAM!$C$27)*$I$19+(MOD($B864,60)=PARAM!$B$56)*($B864&gt;(60-PARAM!$B$56))*HLOOKUP(($B864+PARAM!$B$56)/12,Loyalty,2)*$F$1*MAX(BR863,0)</f>
        <v>18.557001321003963</v>
      </c>
      <c r="BQ864" s="75">
        <f>PARAM!$C$26+MAX($G$19-CHOOSE(PARAM!$B$44,MAX(0,BR863*$F$1),0),0)*RATES!$L840/12+$H$19*(PARAM!$D$51/12)*RATES!$N840/100</f>
        <v>1190.0416666666667</v>
      </c>
      <c r="BR864" s="16">
        <f t="shared" si="601"/>
        <v>-196872.53125186861</v>
      </c>
      <c r="BS864" s="15">
        <f t="shared" si="576"/>
        <v>22.170849845882874</v>
      </c>
      <c r="BT864" s="75">
        <f>BS864*(1-PARAM!$C$27)*$I$20+(MOD($B864,60)=PARAM!$B$56)*($B864&gt;(60-PARAM!$B$56))*HLOOKUP(($B864+PARAM!$B$56)/12,Loyalty,2)*$F$1*MAX(BV863,0)</f>
        <v>18.557001321003963</v>
      </c>
      <c r="BU864" s="75">
        <f>PARAM!$C$26+MAX($G$20-CHOOSE(PARAM!$B$44,MAX(0,BV863*$F$1),0),0)*RATES!$L840/12+$H$20*(PARAM!$D$51/12)*RATES!$N840/100</f>
        <v>1190.0416666666667</v>
      </c>
      <c r="BV864" s="16">
        <f t="shared" si="602"/>
        <v>-196872.53125186861</v>
      </c>
      <c r="BW864" s="15">
        <f t="shared" si="577"/>
        <v>22.170849845882874</v>
      </c>
      <c r="BX864" s="75">
        <f>BW864*(1-PARAM!$C$27)*$I$21+(MOD($B864,60)=PARAM!$B$56)*($B864&gt;(60-PARAM!$B$56))*HLOOKUP(($B864+PARAM!$B$56)/12,Loyalty,2)*$F$1*MAX(BZ863,0)</f>
        <v>18.557001321003963</v>
      </c>
      <c r="BY864" s="75">
        <f>PARAM!$C$26+MAX($G$21-CHOOSE(PARAM!$B$44,MAX(0,BZ863*$F$1),0),0)*RATES!$L840/12+$H$21*(PARAM!$D$51/12)*RATES!$N840/100</f>
        <v>1190.0416666666667</v>
      </c>
      <c r="BZ864" s="16">
        <f t="shared" si="603"/>
        <v>-196872.53125186861</v>
      </c>
      <c r="CA864" s="15">
        <f t="shared" si="578"/>
        <v>22.170849845882874</v>
      </c>
      <c r="CB864" s="75">
        <f>CA864*(1-PARAM!$C$27)*$I$22+(MOD($B864,60)=PARAM!$B$56)*($B864&gt;(60-PARAM!$B$56))*HLOOKUP(($B864+PARAM!$B$56)/12,Loyalty,2)*$F$1*MAX(CD863,0)</f>
        <v>18.557001321003963</v>
      </c>
      <c r="CC864" s="75">
        <f>PARAM!$C$26+MAX($G$22-CHOOSE(PARAM!$B$44,MAX(0,CD863*$F$1),0),0)*RATES!$L840/12+$H$22*(PARAM!$D$51/12)*RATES!$N840/100</f>
        <v>1190.0416666666667</v>
      </c>
      <c r="CD864" s="16">
        <f t="shared" si="604"/>
        <v>-196872.53125186861</v>
      </c>
      <c r="CE864" s="33">
        <f>IF(0=MOD(B864,12/PARAM!$D$51),1,0)</f>
        <v>1</v>
      </c>
      <c r="CF864" s="15">
        <f t="shared" si="579"/>
        <v>0</v>
      </c>
      <c r="CG864" s="75">
        <f>CF864*(1-PARAM!$C$27)*$R$3+(MOD($B864/12,5)=0)*($B864&gt;60)*HLOOKUP($B864/12,Loyalty,2)*$F$1*MAX(CI863,0)</f>
        <v>0</v>
      </c>
      <c r="CH864" s="75">
        <f>PARAM!$C$26+MAX($P$3-CHOOSE(PARAM!$B$44,MAX(0,CI863*$F$1),0),0)*RATES!$L840/12+$Q$3*(PARAM!$D$51/12)*RATES!$N840/100</f>
        <v>1190.0416666666667</v>
      </c>
      <c r="CI864" s="16">
        <f>IF(CI863&gt;0,CI863*PARAM!$C$53,CI863)+CG864-CH864</f>
        <v>-212285.16666666669</v>
      </c>
      <c r="CJ864" s="15">
        <f t="shared" si="605"/>
        <v>0</v>
      </c>
      <c r="CK864" s="75">
        <f>CJ864*(1-PARAM!$C$27)*$R$4+(MOD($B864/12,5)=0)*($B864&gt;60)*HLOOKUP($B864/12,Loyalty,2)*$F$1*MAX(CM863,0)</f>
        <v>0</v>
      </c>
      <c r="CL864" s="75">
        <f>PARAM!$C$26+MAX($P$4-CHOOSE(PARAM!$B$44,MAX(0,CM863*$F$1),0),0)*RATES!$L840/12+$Q$4*(PARAM!$D$51/12)*RATES!$N840/100</f>
        <v>1190.0416666666667</v>
      </c>
      <c r="CM864" s="16">
        <f>IF(CM863&gt;0,CM863*PARAM!$C$53,CM863)+CK864-CL864</f>
        <v>-212285.16666666669</v>
      </c>
      <c r="CO864" s="176"/>
    </row>
    <row r="865" spans="1:93" x14ac:dyDescent="0.2">
      <c r="A865" t="b">
        <f t="shared" si="580"/>
        <v>0</v>
      </c>
      <c r="B865" s="33">
        <v>838</v>
      </c>
      <c r="C865" s="15">
        <f t="shared" si="581"/>
        <v>20.081305947392778</v>
      </c>
      <c r="D865" s="75">
        <f>C865*(1-PARAM!$C$27)*$I$3+(MOD($B865,60)=PARAM!$B$56)*($B865&gt;(60-PARAM!$B$56))*HLOOKUP(($B865+PARAM!$B$56)/12,Loyalty,2)*$F$1*MAX(F864,0)</f>
        <v>16.808053077967756</v>
      </c>
      <c r="E865" s="75">
        <f>PARAM!$C$26+MAX($G$3-CHOOSE(PARAM!$B$44,MAX(0,F864*$F$1),0),0)*RATES!$L841/12+$H$3*(PARAM!$D$51/12)*RATES!$N841/100</f>
        <v>1190.0416666666667</v>
      </c>
      <c r="F865" s="16">
        <f t="shared" si="582"/>
        <v>-199546.48504540048</v>
      </c>
      <c r="G865" s="15">
        <f t="shared" si="583"/>
        <v>22.035289406060361</v>
      </c>
      <c r="H865" s="75">
        <f>G865*(1-PARAM!$C$27)*$I$4+(MOD($B865,60)=PARAM!$B$56)*($B865&gt;(60-PARAM!$B$56))*HLOOKUP(($B865+PARAM!$B$56)/12,Loyalty,2)*$F$1*MAX(J864,0)</f>
        <v>18.443537232872522</v>
      </c>
      <c r="I865" s="75">
        <f>PARAM!$C$26+MAX($G$4-CHOOSE(PARAM!$B$44,MAX(0,J864*$F$1),0),0)*RATES!$L841/12+$H$4*(PARAM!$D$51/12)*RATES!$N841/100</f>
        <v>1190.0416666666667</v>
      </c>
      <c r="J865" s="16">
        <f t="shared" si="584"/>
        <v>-198142.11635946773</v>
      </c>
      <c r="K865" s="15">
        <f t="shared" si="585"/>
        <v>22.170849845882874</v>
      </c>
      <c r="L865" s="75">
        <f>K865*(1-PARAM!$C$27)*$I$5+(MOD($B865,60)=PARAM!$B$56)*($B865&gt;(60-PARAM!$B$56))*HLOOKUP(($B865+PARAM!$B$56)/12,Loyalty,2)*$F$1*MAX(N864,0)</f>
        <v>18.557001321003963</v>
      </c>
      <c r="M865" s="75">
        <f>PARAM!$C$26+MAX($G$5-CHOOSE(PARAM!$B$44,MAX(0,N864*$F$1),0),0)*RATES!$L841/12+$H$5*(PARAM!$D$51/12)*RATES!$N841/100</f>
        <v>1190.0416666666667</v>
      </c>
      <c r="N865" s="16">
        <f t="shared" si="586"/>
        <v>-198044.01591721427</v>
      </c>
      <c r="O865" s="15">
        <f t="shared" si="587"/>
        <v>22.170849845882874</v>
      </c>
      <c r="P865" s="75">
        <f>O865*(1-PARAM!$C$27)*$I$6+(MOD($B865,60)=PARAM!$B$56)*($B865&gt;(60-PARAM!$B$56))*HLOOKUP(($B865+PARAM!$B$56)/12,Loyalty,2)*$F$1*MAX(R864,0)</f>
        <v>18.557001321003963</v>
      </c>
      <c r="Q865" s="75">
        <f>PARAM!$C$26+MAX($G$6-CHOOSE(PARAM!$B$44,MAX(0,R864*$F$1),0),0)*RATES!$L841/12+$H$6*(PARAM!$D$51/12)*RATES!$N841/100</f>
        <v>1190.0416666666667</v>
      </c>
      <c r="R865" s="16">
        <f t="shared" si="588"/>
        <v>-198044.01591721427</v>
      </c>
      <c r="S865" s="15">
        <f t="shared" si="563"/>
        <v>22.170849845882874</v>
      </c>
      <c r="T865" s="75">
        <f>S865*(1-PARAM!$C$27)*$I$7+(MOD($B865,60)=PARAM!$B$56)*($B865&gt;(60-PARAM!$B$56))*HLOOKUP(($B865+PARAM!$B$56)/12,Loyalty,2)*$F$1*MAX(V864,0)</f>
        <v>18.557001321003963</v>
      </c>
      <c r="U865" s="75">
        <f>PARAM!$C$26+MAX($G$7-CHOOSE(PARAM!$B$44,MAX(0,V864*$F$1),0),0)*RATES!$L841/12+$H$7*(PARAM!$D$51/12)*RATES!$N841/100</f>
        <v>1190.0416666666667</v>
      </c>
      <c r="V865" s="16">
        <f t="shared" si="589"/>
        <v>-198044.01591721427</v>
      </c>
      <c r="W865" s="15">
        <f t="shared" si="564"/>
        <v>22.170849845882874</v>
      </c>
      <c r="X865" s="75">
        <f>W865*(1-PARAM!$C$27)*$I$8+(MOD($B865,60)=PARAM!$B$56)*($B865&gt;(60-PARAM!$B$56))*HLOOKUP(($B865+PARAM!$B$56)/12,Loyalty,2)*$F$1*MAX(Z864,0)</f>
        <v>18.557001321003963</v>
      </c>
      <c r="Y865" s="75">
        <f>PARAM!$C$26+MAX($G$8-CHOOSE(PARAM!$B$44,MAX(0,Z864*$F$1),0),0)*RATES!$L841/12+$H$8*(PARAM!$D$51/12)*RATES!$N841/100</f>
        <v>1190.0416666666667</v>
      </c>
      <c r="Z865" s="16">
        <f t="shared" si="590"/>
        <v>-198044.01591721427</v>
      </c>
      <c r="AA865" s="15">
        <f t="shared" si="565"/>
        <v>22.170849845882874</v>
      </c>
      <c r="AB865" s="75">
        <f>AA865*(1-PARAM!$C$27)*$I$9+(MOD($B865,60)=PARAM!$B$56)*($B865&gt;(60-PARAM!$B$56))*HLOOKUP(($B865+PARAM!$B$56)/12,Loyalty,2)*$F$1*MAX(AD864,0)</f>
        <v>18.557001321003963</v>
      </c>
      <c r="AC865" s="75">
        <f>PARAM!$C$26+MAX($G$9-CHOOSE(PARAM!$B$44,MAX(0,AD864*$F$1),0),0)*RATES!$L841/12+$H$9*(PARAM!$D$51/12)*RATES!$N841/100</f>
        <v>1190.0416666666667</v>
      </c>
      <c r="AD865" s="16">
        <f t="shared" si="591"/>
        <v>-198044.01591721427</v>
      </c>
      <c r="AE865" s="15">
        <f t="shared" si="566"/>
        <v>22.170849845882874</v>
      </c>
      <c r="AF865" s="75">
        <f>AE865*(1-PARAM!$C$27)*$I$10+(MOD($B865,60)=PARAM!$B$56)*($B865&gt;(60-PARAM!$B$56))*HLOOKUP(($B865+PARAM!$B$56)/12,Loyalty,2)*$F$1*MAX(AH864,0)</f>
        <v>18.557001321003963</v>
      </c>
      <c r="AG865" s="75">
        <f>PARAM!$C$26+MAX($G$10-CHOOSE(PARAM!$B$44,MAX(0,AH864*$F$1),0),0)*RATES!$L841/12+$H$10*(PARAM!$D$51/12)*RATES!$N841/100</f>
        <v>1190.0416666666667</v>
      </c>
      <c r="AH865" s="16">
        <f t="shared" si="592"/>
        <v>-198044.01591721427</v>
      </c>
      <c r="AI865" s="15">
        <f t="shared" si="567"/>
        <v>22.170849845882874</v>
      </c>
      <c r="AJ865" s="75">
        <f>AI865*(1-PARAM!$C$27)*$I$11+(MOD($B865,60)=PARAM!$B$56)*($B865&gt;(60-PARAM!$B$56))*HLOOKUP(($B865+PARAM!$B$56)/12,Loyalty,2)*$F$1*MAX(AL864,0)</f>
        <v>18.557001321003963</v>
      </c>
      <c r="AK865" s="75">
        <f>PARAM!$C$26+MAX($G$11-CHOOSE(PARAM!$B$44,MAX(0,AL864*$F$1),0),0)*RATES!$L841/12+$H$11*(PARAM!$D$51/12)*RATES!$N841/100</f>
        <v>1190.0416666666667</v>
      </c>
      <c r="AL865" s="16">
        <f t="shared" si="593"/>
        <v>-198044.01591721427</v>
      </c>
      <c r="AM865" s="15">
        <f t="shared" si="568"/>
        <v>22.170849845882874</v>
      </c>
      <c r="AN865" s="75">
        <f>AM865*(1-PARAM!$C$27)*$I$12+(MOD($B865,60)=PARAM!$B$56)*($B865&gt;(60-PARAM!$B$56))*HLOOKUP(($B865+PARAM!$B$56)/12,Loyalty,2)*$F$1*MAX(AP864,0)</f>
        <v>18.557001321003963</v>
      </c>
      <c r="AO865" s="75">
        <f>PARAM!$C$26+MAX($G$12-CHOOSE(PARAM!$B$44,MAX(0,AP864*$F$1),0),0)*RATES!$L841/12+$H$12*(PARAM!$D$51/12)*RATES!$N841/100</f>
        <v>1190.0416666666667</v>
      </c>
      <c r="AP865" s="16">
        <f t="shared" si="594"/>
        <v>-198044.01591721427</v>
      </c>
      <c r="AQ865" s="15">
        <f t="shared" si="569"/>
        <v>22.170849845882874</v>
      </c>
      <c r="AR865" s="75">
        <f>AQ865*(1-PARAM!$C$27)*$I$13+(MOD($B865,60)=PARAM!$B$56)*($B865&gt;(60-PARAM!$B$56))*HLOOKUP(($B865+PARAM!$B$56)/12,Loyalty,2)*$F$1*MAX(AT864,0)</f>
        <v>18.557001321003963</v>
      </c>
      <c r="AS865" s="75">
        <f>PARAM!$C$26+MAX($G$13-CHOOSE(PARAM!$B$44,MAX(0,AT864*$F$1),0),0)*RATES!$L841/12+$H$13*(PARAM!$D$51/12)*RATES!$N841/100</f>
        <v>1190.0416666666667</v>
      </c>
      <c r="AT865" s="16">
        <f t="shared" si="595"/>
        <v>-198044.01591721427</v>
      </c>
      <c r="AU865" s="15">
        <f t="shared" si="570"/>
        <v>22.170849845882874</v>
      </c>
      <c r="AV865" s="75">
        <f>AU865*(1-PARAM!$C$27)*$I$14+(MOD($B865,60)=PARAM!$B$56)*($B865&gt;(60-PARAM!$B$56))*HLOOKUP(($B865+PARAM!$B$56)/12,Loyalty,2)*$F$1*MAX(AX864,0)</f>
        <v>18.557001321003963</v>
      </c>
      <c r="AW865" s="75">
        <f>PARAM!$C$26+MAX($G$14-CHOOSE(PARAM!$B$44,MAX(0,AX864*$F$1),0),0)*RATES!$L841/12+$H$14*(PARAM!$D$51/12)*RATES!$N841/100</f>
        <v>1190.0416666666667</v>
      </c>
      <c r="AX865" s="16">
        <f t="shared" si="596"/>
        <v>-198044.01591721427</v>
      </c>
      <c r="AY865" s="15">
        <f t="shared" si="571"/>
        <v>22.170849845882874</v>
      </c>
      <c r="AZ865" s="75">
        <f>AY865*(1-PARAM!$C$27)*$I$15+(MOD($B865,60)=PARAM!$B$56)*($B865&gt;(60-PARAM!$B$56))*HLOOKUP(($B865+PARAM!$B$56)/12,Loyalty,2)*$F$1*MAX(BB864,0)</f>
        <v>18.557001321003963</v>
      </c>
      <c r="BA865" s="75">
        <f>PARAM!$C$26+MAX($G$15-CHOOSE(PARAM!$B$44,MAX(0,BB864*$F$1),0),0)*RATES!$L841/12+$H$15*(PARAM!$D$51/12)*RATES!$N841/100</f>
        <v>1190.0416666666667</v>
      </c>
      <c r="BB865" s="16">
        <f t="shared" si="597"/>
        <v>-198044.01591721427</v>
      </c>
      <c r="BC865" s="15">
        <f t="shared" si="572"/>
        <v>22.170849845882874</v>
      </c>
      <c r="BD865" s="75">
        <f>BC865*(1-PARAM!$C$27)*$I$16+(MOD($B865,60)=PARAM!$B$56)*($B865&gt;(60-PARAM!$B$56))*HLOOKUP(($B865+PARAM!$B$56)/12,Loyalty,2)*$F$1*MAX(BF864,0)</f>
        <v>18.557001321003963</v>
      </c>
      <c r="BE865" s="75">
        <f>PARAM!$C$26+MAX($G$16-CHOOSE(PARAM!$B$44,MAX(0,BF864*$F$1),0),0)*RATES!$L841/12+$H$16*(PARAM!$D$51/12)*RATES!$N841/100</f>
        <v>1190.0416666666667</v>
      </c>
      <c r="BF865" s="16">
        <f t="shared" si="598"/>
        <v>-198044.01591721427</v>
      </c>
      <c r="BG865" s="15">
        <f t="shared" si="573"/>
        <v>22.170849845882874</v>
      </c>
      <c r="BH865" s="75">
        <f>BG865*(1-PARAM!$C$27)*$I$17+(MOD($B865,60)=PARAM!$B$56)*($B865&gt;(60-PARAM!$B$56))*HLOOKUP(($B865+PARAM!$B$56)/12,Loyalty,2)*$F$1*MAX(BJ864,0)</f>
        <v>18.557001321003963</v>
      </c>
      <c r="BI865" s="75">
        <f>PARAM!$C$26+MAX($G$17-CHOOSE(PARAM!$B$44,MAX(0,BJ864*$F$1),0),0)*RATES!$L841/12+$H$17*(PARAM!$D$51/12)*RATES!$N841/100</f>
        <v>1190.0416666666667</v>
      </c>
      <c r="BJ865" s="16">
        <f t="shared" si="599"/>
        <v>-198044.01591721427</v>
      </c>
      <c r="BK865" s="15">
        <f t="shared" si="574"/>
        <v>22.170849845882874</v>
      </c>
      <c r="BL865" s="75">
        <f>BK865*(1-PARAM!$C$27)*$I$18+(MOD($B865,60)=PARAM!$B$56)*($B865&gt;(60-PARAM!$B$56))*HLOOKUP(($B865+PARAM!$B$56)/12,Loyalty,2)*$F$1*MAX(BN864,0)</f>
        <v>18.557001321003963</v>
      </c>
      <c r="BM865" s="75">
        <f>PARAM!$C$26+MAX($G$18-CHOOSE(PARAM!$B$44,MAX(0,BN864*$F$1),0),0)*RATES!$L841/12+$H$18*(PARAM!$D$51/12)*RATES!$N841/100</f>
        <v>1190.0416666666667</v>
      </c>
      <c r="BN865" s="16">
        <f t="shared" si="600"/>
        <v>-198044.01591721427</v>
      </c>
      <c r="BO865" s="15">
        <f t="shared" si="575"/>
        <v>22.170849845882874</v>
      </c>
      <c r="BP865" s="75">
        <f>BO865*(1-PARAM!$C$27)*$I$19+(MOD($B865,60)=PARAM!$B$56)*($B865&gt;(60-PARAM!$B$56))*HLOOKUP(($B865+PARAM!$B$56)/12,Loyalty,2)*$F$1*MAX(BR864,0)</f>
        <v>18.557001321003963</v>
      </c>
      <c r="BQ865" s="75">
        <f>PARAM!$C$26+MAX($G$19-CHOOSE(PARAM!$B$44,MAX(0,BR864*$F$1),0),0)*RATES!$L841/12+$H$19*(PARAM!$D$51/12)*RATES!$N841/100</f>
        <v>1190.0416666666667</v>
      </c>
      <c r="BR865" s="16">
        <f t="shared" si="601"/>
        <v>-198044.01591721427</v>
      </c>
      <c r="BS865" s="15">
        <f t="shared" si="576"/>
        <v>22.170849845882874</v>
      </c>
      <c r="BT865" s="75">
        <f>BS865*(1-PARAM!$C$27)*$I$20+(MOD($B865,60)=PARAM!$B$56)*($B865&gt;(60-PARAM!$B$56))*HLOOKUP(($B865+PARAM!$B$56)/12,Loyalty,2)*$F$1*MAX(BV864,0)</f>
        <v>18.557001321003963</v>
      </c>
      <c r="BU865" s="75">
        <f>PARAM!$C$26+MAX($G$20-CHOOSE(PARAM!$B$44,MAX(0,BV864*$F$1),0),0)*RATES!$L841/12+$H$20*(PARAM!$D$51/12)*RATES!$N841/100</f>
        <v>1190.0416666666667</v>
      </c>
      <c r="BV865" s="16">
        <f t="shared" si="602"/>
        <v>-198044.01591721427</v>
      </c>
      <c r="BW865" s="15">
        <f t="shared" si="577"/>
        <v>22.170849845882874</v>
      </c>
      <c r="BX865" s="75">
        <f>BW865*(1-PARAM!$C$27)*$I$21+(MOD($B865,60)=PARAM!$B$56)*($B865&gt;(60-PARAM!$B$56))*HLOOKUP(($B865+PARAM!$B$56)/12,Loyalty,2)*$F$1*MAX(BZ864,0)</f>
        <v>18.557001321003963</v>
      </c>
      <c r="BY865" s="75">
        <f>PARAM!$C$26+MAX($G$21-CHOOSE(PARAM!$B$44,MAX(0,BZ864*$F$1),0),0)*RATES!$L841/12+$H$21*(PARAM!$D$51/12)*RATES!$N841/100</f>
        <v>1190.0416666666667</v>
      </c>
      <c r="BZ865" s="16">
        <f t="shared" si="603"/>
        <v>-198044.01591721427</v>
      </c>
      <c r="CA865" s="15">
        <f t="shared" si="578"/>
        <v>22.170849845882874</v>
      </c>
      <c r="CB865" s="75">
        <f>CA865*(1-PARAM!$C$27)*$I$22+(MOD($B865,60)=PARAM!$B$56)*($B865&gt;(60-PARAM!$B$56))*HLOOKUP(($B865+PARAM!$B$56)/12,Loyalty,2)*$F$1*MAX(CD864,0)</f>
        <v>18.557001321003963</v>
      </c>
      <c r="CC865" s="75">
        <f>PARAM!$C$26+MAX($G$22-CHOOSE(PARAM!$B$44,MAX(0,CD864*$F$1),0),0)*RATES!$L841/12+$H$22*(PARAM!$D$51/12)*RATES!$N841/100</f>
        <v>1190.0416666666667</v>
      </c>
      <c r="CD865" s="16">
        <f t="shared" si="604"/>
        <v>-198044.01591721427</v>
      </c>
      <c r="CE865" s="33">
        <f>IF(0=MOD(B865,12/PARAM!$D$51),1,0)</f>
        <v>1</v>
      </c>
      <c r="CF865" s="15">
        <f t="shared" si="579"/>
        <v>0</v>
      </c>
      <c r="CG865" s="75">
        <f>CF865*(1-PARAM!$C$27)*$R$3+(MOD($B865/12,5)=0)*($B865&gt;60)*HLOOKUP($B865/12,Loyalty,2)*$F$1*MAX(CI864,0)</f>
        <v>0</v>
      </c>
      <c r="CH865" s="75">
        <f>PARAM!$C$26+MAX($P$3-CHOOSE(PARAM!$B$44,MAX(0,CI864*$F$1),0),0)*RATES!$L841/12+$Q$3*(PARAM!$D$51/12)*RATES!$N841/100</f>
        <v>1190.0416666666667</v>
      </c>
      <c r="CI865" s="16">
        <f>IF(CI864&gt;0,CI864*PARAM!$C$53,CI864)+CG865-CH865</f>
        <v>-213475.20833333334</v>
      </c>
      <c r="CJ865" s="15">
        <f t="shared" si="605"/>
        <v>0</v>
      </c>
      <c r="CK865" s="75">
        <f>CJ865*(1-PARAM!$C$27)*$R$4+(MOD($B865/12,5)=0)*($B865&gt;60)*HLOOKUP($B865/12,Loyalty,2)*$F$1*MAX(CM864,0)</f>
        <v>0</v>
      </c>
      <c r="CL865" s="75">
        <f>PARAM!$C$26+MAX($P$4-CHOOSE(PARAM!$B$44,MAX(0,CM864*$F$1),0),0)*RATES!$L841/12+$Q$4*(PARAM!$D$51/12)*RATES!$N841/100</f>
        <v>1190.0416666666667</v>
      </c>
      <c r="CM865" s="16">
        <f>IF(CM864&gt;0,CM864*PARAM!$C$53,CM864)+CK865-CL865</f>
        <v>-213475.20833333334</v>
      </c>
      <c r="CO865" s="176"/>
    </row>
    <row r="866" spans="1:93" x14ac:dyDescent="0.2">
      <c r="A866" t="b">
        <f t="shared" si="580"/>
        <v>0</v>
      </c>
      <c r="B866" s="33">
        <v>839</v>
      </c>
      <c r="C866" s="15">
        <f t="shared" si="581"/>
        <v>20.081305947392778</v>
      </c>
      <c r="D866" s="75">
        <f>C866*(1-PARAM!$C$27)*$I$3+(MOD($B866,60)=PARAM!$B$56)*($B866&gt;(60-PARAM!$B$56))*HLOOKUP(($B866+PARAM!$B$56)/12,Loyalty,2)*$F$1*MAX(F865,0)</f>
        <v>16.808053077967756</v>
      </c>
      <c r="E866" s="75">
        <f>PARAM!$C$26+MAX($G$3-CHOOSE(PARAM!$B$44,MAX(0,F865*$F$1),0),0)*RATES!$L842/12+$H$3*(PARAM!$D$51/12)*RATES!$N842/100</f>
        <v>1190.0416666666667</v>
      </c>
      <c r="F866" s="16">
        <f t="shared" si="582"/>
        <v>-200719.71865898918</v>
      </c>
      <c r="G866" s="15">
        <f t="shared" si="583"/>
        <v>22.035289406060361</v>
      </c>
      <c r="H866" s="75">
        <f>G866*(1-PARAM!$C$27)*$I$4+(MOD($B866,60)=PARAM!$B$56)*($B866&gt;(60-PARAM!$B$56))*HLOOKUP(($B866+PARAM!$B$56)/12,Loyalty,2)*$F$1*MAX(J865,0)</f>
        <v>18.443537232872522</v>
      </c>
      <c r="I866" s="75">
        <f>PARAM!$C$26+MAX($G$4-CHOOSE(PARAM!$B$44,MAX(0,J865*$F$1),0),0)*RATES!$L842/12+$H$4*(PARAM!$D$51/12)*RATES!$N842/100</f>
        <v>1190.0416666666667</v>
      </c>
      <c r="J866" s="16">
        <f t="shared" si="584"/>
        <v>-199313.71448890152</v>
      </c>
      <c r="K866" s="15">
        <f t="shared" si="585"/>
        <v>22.170849845882874</v>
      </c>
      <c r="L866" s="75">
        <f>K866*(1-PARAM!$C$27)*$I$5+(MOD($B866,60)=PARAM!$B$56)*($B866&gt;(60-PARAM!$B$56))*HLOOKUP(($B866+PARAM!$B$56)/12,Loyalty,2)*$F$1*MAX(N865,0)</f>
        <v>18.557001321003963</v>
      </c>
      <c r="M866" s="75">
        <f>PARAM!$C$26+MAX($G$5-CHOOSE(PARAM!$B$44,MAX(0,N865*$F$1),0),0)*RATES!$L842/12+$H$5*(PARAM!$D$51/12)*RATES!$N842/100</f>
        <v>1190.0416666666667</v>
      </c>
      <c r="N866" s="16">
        <f t="shared" si="586"/>
        <v>-199215.50058255994</v>
      </c>
      <c r="O866" s="15">
        <f t="shared" si="587"/>
        <v>22.170849845882874</v>
      </c>
      <c r="P866" s="75">
        <f>O866*(1-PARAM!$C$27)*$I$6+(MOD($B866,60)=PARAM!$B$56)*($B866&gt;(60-PARAM!$B$56))*HLOOKUP(($B866+PARAM!$B$56)/12,Loyalty,2)*$F$1*MAX(R865,0)</f>
        <v>18.557001321003963</v>
      </c>
      <c r="Q866" s="75">
        <f>PARAM!$C$26+MAX($G$6-CHOOSE(PARAM!$B$44,MAX(0,R865*$F$1),0),0)*RATES!$L842/12+$H$6*(PARAM!$D$51/12)*RATES!$N842/100</f>
        <v>1190.0416666666667</v>
      </c>
      <c r="R866" s="16">
        <f t="shared" si="588"/>
        <v>-199215.50058255994</v>
      </c>
      <c r="S866" s="15">
        <f t="shared" si="563"/>
        <v>22.170849845882874</v>
      </c>
      <c r="T866" s="75">
        <f>S866*(1-PARAM!$C$27)*$I$7+(MOD($B866,60)=PARAM!$B$56)*($B866&gt;(60-PARAM!$B$56))*HLOOKUP(($B866+PARAM!$B$56)/12,Loyalty,2)*$F$1*MAX(V865,0)</f>
        <v>18.557001321003963</v>
      </c>
      <c r="U866" s="75">
        <f>PARAM!$C$26+MAX($G$7-CHOOSE(PARAM!$B$44,MAX(0,V865*$F$1),0),0)*RATES!$L842/12+$H$7*(PARAM!$D$51/12)*RATES!$N842/100</f>
        <v>1190.0416666666667</v>
      </c>
      <c r="V866" s="16">
        <f t="shared" si="589"/>
        <v>-199215.50058255994</v>
      </c>
      <c r="W866" s="15">
        <f t="shared" si="564"/>
        <v>22.170849845882874</v>
      </c>
      <c r="X866" s="75">
        <f>W866*(1-PARAM!$C$27)*$I$8+(MOD($B866,60)=PARAM!$B$56)*($B866&gt;(60-PARAM!$B$56))*HLOOKUP(($B866+PARAM!$B$56)/12,Loyalty,2)*$F$1*MAX(Z865,0)</f>
        <v>18.557001321003963</v>
      </c>
      <c r="Y866" s="75">
        <f>PARAM!$C$26+MAX($G$8-CHOOSE(PARAM!$B$44,MAX(0,Z865*$F$1),0),0)*RATES!$L842/12+$H$8*(PARAM!$D$51/12)*RATES!$N842/100</f>
        <v>1190.0416666666667</v>
      </c>
      <c r="Z866" s="16">
        <f t="shared" si="590"/>
        <v>-199215.50058255994</v>
      </c>
      <c r="AA866" s="15">
        <f t="shared" si="565"/>
        <v>22.170849845882874</v>
      </c>
      <c r="AB866" s="75">
        <f>AA866*(1-PARAM!$C$27)*$I$9+(MOD($B866,60)=PARAM!$B$56)*($B866&gt;(60-PARAM!$B$56))*HLOOKUP(($B866+PARAM!$B$56)/12,Loyalty,2)*$F$1*MAX(AD865,0)</f>
        <v>18.557001321003963</v>
      </c>
      <c r="AC866" s="75">
        <f>PARAM!$C$26+MAX($G$9-CHOOSE(PARAM!$B$44,MAX(0,AD865*$F$1),0),0)*RATES!$L842/12+$H$9*(PARAM!$D$51/12)*RATES!$N842/100</f>
        <v>1190.0416666666667</v>
      </c>
      <c r="AD866" s="16">
        <f t="shared" si="591"/>
        <v>-199215.50058255994</v>
      </c>
      <c r="AE866" s="15">
        <f t="shared" si="566"/>
        <v>22.170849845882874</v>
      </c>
      <c r="AF866" s="75">
        <f>AE866*(1-PARAM!$C$27)*$I$10+(MOD($B866,60)=PARAM!$B$56)*($B866&gt;(60-PARAM!$B$56))*HLOOKUP(($B866+PARAM!$B$56)/12,Loyalty,2)*$F$1*MAX(AH865,0)</f>
        <v>18.557001321003963</v>
      </c>
      <c r="AG866" s="75">
        <f>PARAM!$C$26+MAX($G$10-CHOOSE(PARAM!$B$44,MAX(0,AH865*$F$1),0),0)*RATES!$L842/12+$H$10*(PARAM!$D$51/12)*RATES!$N842/100</f>
        <v>1190.0416666666667</v>
      </c>
      <c r="AH866" s="16">
        <f t="shared" si="592"/>
        <v>-199215.50058255994</v>
      </c>
      <c r="AI866" s="15">
        <f t="shared" si="567"/>
        <v>22.170849845882874</v>
      </c>
      <c r="AJ866" s="75">
        <f>AI866*(1-PARAM!$C$27)*$I$11+(MOD($B866,60)=PARAM!$B$56)*($B866&gt;(60-PARAM!$B$56))*HLOOKUP(($B866+PARAM!$B$56)/12,Loyalty,2)*$F$1*MAX(AL865,0)</f>
        <v>18.557001321003963</v>
      </c>
      <c r="AK866" s="75">
        <f>PARAM!$C$26+MAX($G$11-CHOOSE(PARAM!$B$44,MAX(0,AL865*$F$1),0),0)*RATES!$L842/12+$H$11*(PARAM!$D$51/12)*RATES!$N842/100</f>
        <v>1190.0416666666667</v>
      </c>
      <c r="AL866" s="16">
        <f t="shared" si="593"/>
        <v>-199215.50058255994</v>
      </c>
      <c r="AM866" s="15">
        <f t="shared" si="568"/>
        <v>22.170849845882874</v>
      </c>
      <c r="AN866" s="75">
        <f>AM866*(1-PARAM!$C$27)*$I$12+(MOD($B866,60)=PARAM!$B$56)*($B866&gt;(60-PARAM!$B$56))*HLOOKUP(($B866+PARAM!$B$56)/12,Loyalty,2)*$F$1*MAX(AP865,0)</f>
        <v>18.557001321003963</v>
      </c>
      <c r="AO866" s="75">
        <f>PARAM!$C$26+MAX($G$12-CHOOSE(PARAM!$B$44,MAX(0,AP865*$F$1),0),0)*RATES!$L842/12+$H$12*(PARAM!$D$51/12)*RATES!$N842/100</f>
        <v>1190.0416666666667</v>
      </c>
      <c r="AP866" s="16">
        <f t="shared" si="594"/>
        <v>-199215.50058255994</v>
      </c>
      <c r="AQ866" s="15">
        <f t="shared" si="569"/>
        <v>22.170849845882874</v>
      </c>
      <c r="AR866" s="75">
        <f>AQ866*(1-PARAM!$C$27)*$I$13+(MOD($B866,60)=PARAM!$B$56)*($B866&gt;(60-PARAM!$B$56))*HLOOKUP(($B866+PARAM!$B$56)/12,Loyalty,2)*$F$1*MAX(AT865,0)</f>
        <v>18.557001321003963</v>
      </c>
      <c r="AS866" s="75">
        <f>PARAM!$C$26+MAX($G$13-CHOOSE(PARAM!$B$44,MAX(0,AT865*$F$1),0),0)*RATES!$L842/12+$H$13*(PARAM!$D$51/12)*RATES!$N842/100</f>
        <v>1190.0416666666667</v>
      </c>
      <c r="AT866" s="16">
        <f t="shared" si="595"/>
        <v>-199215.50058255994</v>
      </c>
      <c r="AU866" s="15">
        <f t="shared" si="570"/>
        <v>22.170849845882874</v>
      </c>
      <c r="AV866" s="75">
        <f>AU866*(1-PARAM!$C$27)*$I$14+(MOD($B866,60)=PARAM!$B$56)*($B866&gt;(60-PARAM!$B$56))*HLOOKUP(($B866+PARAM!$B$56)/12,Loyalty,2)*$F$1*MAX(AX865,0)</f>
        <v>18.557001321003963</v>
      </c>
      <c r="AW866" s="75">
        <f>PARAM!$C$26+MAX($G$14-CHOOSE(PARAM!$B$44,MAX(0,AX865*$F$1),0),0)*RATES!$L842/12+$H$14*(PARAM!$D$51/12)*RATES!$N842/100</f>
        <v>1190.0416666666667</v>
      </c>
      <c r="AX866" s="16">
        <f t="shared" si="596"/>
        <v>-199215.50058255994</v>
      </c>
      <c r="AY866" s="15">
        <f t="shared" si="571"/>
        <v>22.170849845882874</v>
      </c>
      <c r="AZ866" s="75">
        <f>AY866*(1-PARAM!$C$27)*$I$15+(MOD($B866,60)=PARAM!$B$56)*($B866&gt;(60-PARAM!$B$56))*HLOOKUP(($B866+PARAM!$B$56)/12,Loyalty,2)*$F$1*MAX(BB865,0)</f>
        <v>18.557001321003963</v>
      </c>
      <c r="BA866" s="75">
        <f>PARAM!$C$26+MAX($G$15-CHOOSE(PARAM!$B$44,MAX(0,BB865*$F$1),0),0)*RATES!$L842/12+$H$15*(PARAM!$D$51/12)*RATES!$N842/100</f>
        <v>1190.0416666666667</v>
      </c>
      <c r="BB866" s="16">
        <f t="shared" si="597"/>
        <v>-199215.50058255994</v>
      </c>
      <c r="BC866" s="15">
        <f t="shared" si="572"/>
        <v>22.170849845882874</v>
      </c>
      <c r="BD866" s="75">
        <f>BC866*(1-PARAM!$C$27)*$I$16+(MOD($B866,60)=PARAM!$B$56)*($B866&gt;(60-PARAM!$B$56))*HLOOKUP(($B866+PARAM!$B$56)/12,Loyalty,2)*$F$1*MAX(BF865,0)</f>
        <v>18.557001321003963</v>
      </c>
      <c r="BE866" s="75">
        <f>PARAM!$C$26+MAX($G$16-CHOOSE(PARAM!$B$44,MAX(0,BF865*$F$1),0),0)*RATES!$L842/12+$H$16*(PARAM!$D$51/12)*RATES!$N842/100</f>
        <v>1190.0416666666667</v>
      </c>
      <c r="BF866" s="16">
        <f t="shared" si="598"/>
        <v>-199215.50058255994</v>
      </c>
      <c r="BG866" s="15">
        <f t="shared" si="573"/>
        <v>22.170849845882874</v>
      </c>
      <c r="BH866" s="75">
        <f>BG866*(1-PARAM!$C$27)*$I$17+(MOD($B866,60)=PARAM!$B$56)*($B866&gt;(60-PARAM!$B$56))*HLOOKUP(($B866+PARAM!$B$56)/12,Loyalty,2)*$F$1*MAX(BJ865,0)</f>
        <v>18.557001321003963</v>
      </c>
      <c r="BI866" s="75">
        <f>PARAM!$C$26+MAX($G$17-CHOOSE(PARAM!$B$44,MAX(0,BJ865*$F$1),0),0)*RATES!$L842/12+$H$17*(PARAM!$D$51/12)*RATES!$N842/100</f>
        <v>1190.0416666666667</v>
      </c>
      <c r="BJ866" s="16">
        <f t="shared" si="599"/>
        <v>-199215.50058255994</v>
      </c>
      <c r="BK866" s="15">
        <f t="shared" si="574"/>
        <v>22.170849845882874</v>
      </c>
      <c r="BL866" s="75">
        <f>BK866*(1-PARAM!$C$27)*$I$18+(MOD($B866,60)=PARAM!$B$56)*($B866&gt;(60-PARAM!$B$56))*HLOOKUP(($B866+PARAM!$B$56)/12,Loyalty,2)*$F$1*MAX(BN865,0)</f>
        <v>18.557001321003963</v>
      </c>
      <c r="BM866" s="75">
        <f>PARAM!$C$26+MAX($G$18-CHOOSE(PARAM!$B$44,MAX(0,BN865*$F$1),0),0)*RATES!$L842/12+$H$18*(PARAM!$D$51/12)*RATES!$N842/100</f>
        <v>1190.0416666666667</v>
      </c>
      <c r="BN866" s="16">
        <f t="shared" si="600"/>
        <v>-199215.50058255994</v>
      </c>
      <c r="BO866" s="15">
        <f t="shared" si="575"/>
        <v>22.170849845882874</v>
      </c>
      <c r="BP866" s="75">
        <f>BO866*(1-PARAM!$C$27)*$I$19+(MOD($B866,60)=PARAM!$B$56)*($B866&gt;(60-PARAM!$B$56))*HLOOKUP(($B866+PARAM!$B$56)/12,Loyalty,2)*$F$1*MAX(BR865,0)</f>
        <v>18.557001321003963</v>
      </c>
      <c r="BQ866" s="75">
        <f>PARAM!$C$26+MAX($G$19-CHOOSE(PARAM!$B$44,MAX(0,BR865*$F$1),0),0)*RATES!$L842/12+$H$19*(PARAM!$D$51/12)*RATES!$N842/100</f>
        <v>1190.0416666666667</v>
      </c>
      <c r="BR866" s="16">
        <f t="shared" si="601"/>
        <v>-199215.50058255994</v>
      </c>
      <c r="BS866" s="15">
        <f t="shared" si="576"/>
        <v>22.170849845882874</v>
      </c>
      <c r="BT866" s="75">
        <f>BS866*(1-PARAM!$C$27)*$I$20+(MOD($B866,60)=PARAM!$B$56)*($B866&gt;(60-PARAM!$B$56))*HLOOKUP(($B866+PARAM!$B$56)/12,Loyalty,2)*$F$1*MAX(BV865,0)</f>
        <v>18.557001321003963</v>
      </c>
      <c r="BU866" s="75">
        <f>PARAM!$C$26+MAX($G$20-CHOOSE(PARAM!$B$44,MAX(0,BV865*$F$1),0),0)*RATES!$L842/12+$H$20*(PARAM!$D$51/12)*RATES!$N842/100</f>
        <v>1190.0416666666667</v>
      </c>
      <c r="BV866" s="16">
        <f t="shared" si="602"/>
        <v>-199215.50058255994</v>
      </c>
      <c r="BW866" s="15">
        <f t="shared" si="577"/>
        <v>22.170849845882874</v>
      </c>
      <c r="BX866" s="75">
        <f>BW866*(1-PARAM!$C$27)*$I$21+(MOD($B866,60)=PARAM!$B$56)*($B866&gt;(60-PARAM!$B$56))*HLOOKUP(($B866+PARAM!$B$56)/12,Loyalty,2)*$F$1*MAX(BZ865,0)</f>
        <v>18.557001321003963</v>
      </c>
      <c r="BY866" s="75">
        <f>PARAM!$C$26+MAX($G$21-CHOOSE(PARAM!$B$44,MAX(0,BZ865*$F$1),0),0)*RATES!$L842/12+$H$21*(PARAM!$D$51/12)*RATES!$N842/100</f>
        <v>1190.0416666666667</v>
      </c>
      <c r="BZ866" s="16">
        <f t="shared" si="603"/>
        <v>-199215.50058255994</v>
      </c>
      <c r="CA866" s="15">
        <f t="shared" si="578"/>
        <v>22.170849845882874</v>
      </c>
      <c r="CB866" s="75">
        <f>CA866*(1-PARAM!$C$27)*$I$22+(MOD($B866,60)=PARAM!$B$56)*($B866&gt;(60-PARAM!$B$56))*HLOOKUP(($B866+PARAM!$B$56)/12,Loyalty,2)*$F$1*MAX(CD865,0)</f>
        <v>18.557001321003963</v>
      </c>
      <c r="CC866" s="75">
        <f>PARAM!$C$26+MAX($G$22-CHOOSE(PARAM!$B$44,MAX(0,CD865*$F$1),0),0)*RATES!$L842/12+$H$22*(PARAM!$D$51/12)*RATES!$N842/100</f>
        <v>1190.0416666666667</v>
      </c>
      <c r="CD866" s="16">
        <f t="shared" si="604"/>
        <v>-199215.50058255994</v>
      </c>
      <c r="CE866" s="33">
        <f>IF(0=MOD(B866,12/PARAM!$D$51),1,0)</f>
        <v>1</v>
      </c>
      <c r="CF866" s="15">
        <f t="shared" si="579"/>
        <v>0</v>
      </c>
      <c r="CG866" s="75">
        <f>CF866*(1-PARAM!$C$27)*$R$3+(MOD($B866/12,5)=0)*($B866&gt;60)*HLOOKUP($B866/12,Loyalty,2)*$F$1*MAX(CI865,0)</f>
        <v>0</v>
      </c>
      <c r="CH866" s="75">
        <f>PARAM!$C$26+MAX($P$3-CHOOSE(PARAM!$B$44,MAX(0,CI865*$F$1),0),0)*RATES!$L842/12+$Q$3*(PARAM!$D$51/12)*RATES!$N842/100</f>
        <v>1190.0416666666667</v>
      </c>
      <c r="CI866" s="16">
        <f>IF(CI865&gt;0,CI865*PARAM!$C$53,CI865)+CG866-CH866</f>
        <v>-214665.25</v>
      </c>
      <c r="CJ866" s="15">
        <f t="shared" si="605"/>
        <v>0</v>
      </c>
      <c r="CK866" s="75">
        <f>CJ866*(1-PARAM!$C$27)*$R$4+(MOD($B866/12,5)=0)*($B866&gt;60)*HLOOKUP($B866/12,Loyalty,2)*$F$1*MAX(CM865,0)</f>
        <v>0</v>
      </c>
      <c r="CL866" s="75">
        <f>PARAM!$C$26+MAX($P$4-CHOOSE(PARAM!$B$44,MAX(0,CM865*$F$1),0),0)*RATES!$L842/12+$Q$4*(PARAM!$D$51/12)*RATES!$N842/100</f>
        <v>1190.0416666666667</v>
      </c>
      <c r="CM866" s="16">
        <f>IF(CM865&gt;0,CM865*PARAM!$C$53,CM865)+CK866-CL866</f>
        <v>-214665.25</v>
      </c>
      <c r="CO866" s="176"/>
    </row>
    <row r="867" spans="1:93" x14ac:dyDescent="0.2">
      <c r="A867" t="b">
        <f t="shared" si="580"/>
        <v>0</v>
      </c>
      <c r="B867" s="33">
        <v>840</v>
      </c>
      <c r="C867" s="15">
        <f t="shared" si="581"/>
        <v>20.081305947392778</v>
      </c>
      <c r="D867" s="75">
        <f>C867*(1-PARAM!$C$27)*$I$3+(MOD($B867,60)=PARAM!$B$56)*($B867&gt;(60-PARAM!$B$56))*HLOOKUP(($B867+PARAM!$B$56)/12,Loyalty,2)*$F$1*MAX(F866,0)</f>
        <v>16.808053077967756</v>
      </c>
      <c r="E867" s="75">
        <f>PARAM!$C$26+MAX($G$3-CHOOSE(PARAM!$B$44,MAX(0,F866*$F$1),0),0)*RATES!$L843/12+$H$3*(PARAM!$D$51/12)*RATES!$N843/100</f>
        <v>1190.0416666666667</v>
      </c>
      <c r="F867" s="16">
        <f t="shared" si="582"/>
        <v>-201892.95227257788</v>
      </c>
      <c r="G867" s="15">
        <f t="shared" si="583"/>
        <v>22.035289406060361</v>
      </c>
      <c r="H867" s="75">
        <f>G867*(1-PARAM!$C$27)*$I$4+(MOD($B867,60)=PARAM!$B$56)*($B867&gt;(60-PARAM!$B$56))*HLOOKUP(($B867+PARAM!$B$56)/12,Loyalty,2)*$F$1*MAX(J866,0)</f>
        <v>18.443537232872522</v>
      </c>
      <c r="I867" s="75">
        <f>PARAM!$C$26+MAX($G$4-CHOOSE(PARAM!$B$44,MAX(0,J866*$F$1),0),0)*RATES!$L843/12+$H$4*(PARAM!$D$51/12)*RATES!$N843/100</f>
        <v>1190.0416666666667</v>
      </c>
      <c r="J867" s="16">
        <f t="shared" si="584"/>
        <v>-200485.3126183353</v>
      </c>
      <c r="K867" s="15">
        <f t="shared" si="585"/>
        <v>22.170849845882874</v>
      </c>
      <c r="L867" s="75">
        <f>K867*(1-PARAM!$C$27)*$I$5+(MOD($B867,60)=PARAM!$B$56)*($B867&gt;(60-PARAM!$B$56))*HLOOKUP(($B867+PARAM!$B$56)/12,Loyalty,2)*$F$1*MAX(N866,0)</f>
        <v>18.557001321003963</v>
      </c>
      <c r="M867" s="75">
        <f>PARAM!$C$26+MAX($G$5-CHOOSE(PARAM!$B$44,MAX(0,N866*$F$1),0),0)*RATES!$L843/12+$H$5*(PARAM!$D$51/12)*RATES!$N843/100</f>
        <v>1190.0416666666667</v>
      </c>
      <c r="N867" s="16">
        <f t="shared" si="586"/>
        <v>-200386.9852479056</v>
      </c>
      <c r="O867" s="15">
        <f t="shared" si="587"/>
        <v>22.170849845882874</v>
      </c>
      <c r="P867" s="75">
        <f>O867*(1-PARAM!$C$27)*$I$6+(MOD($B867,60)=PARAM!$B$56)*($B867&gt;(60-PARAM!$B$56))*HLOOKUP(($B867+PARAM!$B$56)/12,Loyalty,2)*$F$1*MAX(R866,0)</f>
        <v>18.557001321003963</v>
      </c>
      <c r="Q867" s="75">
        <f>PARAM!$C$26+MAX($G$6-CHOOSE(PARAM!$B$44,MAX(0,R866*$F$1),0),0)*RATES!$L843/12+$H$6*(PARAM!$D$51/12)*RATES!$N843/100</f>
        <v>1190.0416666666667</v>
      </c>
      <c r="R867" s="16">
        <f t="shared" si="588"/>
        <v>-200386.9852479056</v>
      </c>
      <c r="S867" s="15">
        <f t="shared" si="563"/>
        <v>22.170849845882874</v>
      </c>
      <c r="T867" s="75">
        <f>S867*(1-PARAM!$C$27)*$I$7+(MOD($B867,60)=PARAM!$B$56)*($B867&gt;(60-PARAM!$B$56))*HLOOKUP(($B867+PARAM!$B$56)/12,Loyalty,2)*$F$1*MAX(V866,0)</f>
        <v>18.557001321003963</v>
      </c>
      <c r="U867" s="75">
        <f>PARAM!$C$26+MAX($G$7-CHOOSE(PARAM!$B$44,MAX(0,V866*$F$1),0),0)*RATES!$L843/12+$H$7*(PARAM!$D$51/12)*RATES!$N843/100</f>
        <v>1190.0416666666667</v>
      </c>
      <c r="V867" s="16">
        <f t="shared" si="589"/>
        <v>-200386.9852479056</v>
      </c>
      <c r="W867" s="15">
        <f t="shared" si="564"/>
        <v>22.170849845882874</v>
      </c>
      <c r="X867" s="75">
        <f>W867*(1-PARAM!$C$27)*$I$8+(MOD($B867,60)=PARAM!$B$56)*($B867&gt;(60-PARAM!$B$56))*HLOOKUP(($B867+PARAM!$B$56)/12,Loyalty,2)*$F$1*MAX(Z866,0)</f>
        <v>18.557001321003963</v>
      </c>
      <c r="Y867" s="75">
        <f>PARAM!$C$26+MAX($G$8-CHOOSE(PARAM!$B$44,MAX(0,Z866*$F$1),0),0)*RATES!$L843/12+$H$8*(PARAM!$D$51/12)*RATES!$N843/100</f>
        <v>1190.0416666666667</v>
      </c>
      <c r="Z867" s="16">
        <f t="shared" si="590"/>
        <v>-200386.9852479056</v>
      </c>
      <c r="AA867" s="15">
        <f t="shared" si="565"/>
        <v>22.170849845882874</v>
      </c>
      <c r="AB867" s="75">
        <f>AA867*(1-PARAM!$C$27)*$I$9+(MOD($B867,60)=PARAM!$B$56)*($B867&gt;(60-PARAM!$B$56))*HLOOKUP(($B867+PARAM!$B$56)/12,Loyalty,2)*$F$1*MAX(AD866,0)</f>
        <v>18.557001321003963</v>
      </c>
      <c r="AC867" s="75">
        <f>PARAM!$C$26+MAX($G$9-CHOOSE(PARAM!$B$44,MAX(0,AD866*$F$1),0),0)*RATES!$L843/12+$H$9*(PARAM!$D$51/12)*RATES!$N843/100</f>
        <v>1190.0416666666667</v>
      </c>
      <c r="AD867" s="16">
        <f t="shared" si="591"/>
        <v>-200386.9852479056</v>
      </c>
      <c r="AE867" s="15">
        <f t="shared" si="566"/>
        <v>22.170849845882874</v>
      </c>
      <c r="AF867" s="75">
        <f>AE867*(1-PARAM!$C$27)*$I$10+(MOD($B867,60)=PARAM!$B$56)*($B867&gt;(60-PARAM!$B$56))*HLOOKUP(($B867+PARAM!$B$56)/12,Loyalty,2)*$F$1*MAX(AH866,0)</f>
        <v>18.557001321003963</v>
      </c>
      <c r="AG867" s="75">
        <f>PARAM!$C$26+MAX($G$10-CHOOSE(PARAM!$B$44,MAX(0,AH866*$F$1),0),0)*RATES!$L843/12+$H$10*(PARAM!$D$51/12)*RATES!$N843/100</f>
        <v>1190.0416666666667</v>
      </c>
      <c r="AH867" s="16">
        <f t="shared" si="592"/>
        <v>-200386.9852479056</v>
      </c>
      <c r="AI867" s="15">
        <f t="shared" si="567"/>
        <v>22.170849845882874</v>
      </c>
      <c r="AJ867" s="75">
        <f>AI867*(1-PARAM!$C$27)*$I$11+(MOD($B867,60)=PARAM!$B$56)*($B867&gt;(60-PARAM!$B$56))*HLOOKUP(($B867+PARAM!$B$56)/12,Loyalty,2)*$F$1*MAX(AL866,0)</f>
        <v>18.557001321003963</v>
      </c>
      <c r="AK867" s="75">
        <f>PARAM!$C$26+MAX($G$11-CHOOSE(PARAM!$B$44,MAX(0,AL866*$F$1),0),0)*RATES!$L843/12+$H$11*(PARAM!$D$51/12)*RATES!$N843/100</f>
        <v>1190.0416666666667</v>
      </c>
      <c r="AL867" s="16">
        <f t="shared" si="593"/>
        <v>-200386.9852479056</v>
      </c>
      <c r="AM867" s="15">
        <f t="shared" si="568"/>
        <v>22.170849845882874</v>
      </c>
      <c r="AN867" s="75">
        <f>AM867*(1-PARAM!$C$27)*$I$12+(MOD($B867,60)=PARAM!$B$56)*($B867&gt;(60-PARAM!$B$56))*HLOOKUP(($B867+PARAM!$B$56)/12,Loyalty,2)*$F$1*MAX(AP866,0)</f>
        <v>18.557001321003963</v>
      </c>
      <c r="AO867" s="75">
        <f>PARAM!$C$26+MAX($G$12-CHOOSE(PARAM!$B$44,MAX(0,AP866*$F$1),0),0)*RATES!$L843/12+$H$12*(PARAM!$D$51/12)*RATES!$N843/100</f>
        <v>1190.0416666666667</v>
      </c>
      <c r="AP867" s="16">
        <f t="shared" si="594"/>
        <v>-200386.9852479056</v>
      </c>
      <c r="AQ867" s="15">
        <f t="shared" si="569"/>
        <v>22.170849845882874</v>
      </c>
      <c r="AR867" s="75">
        <f>AQ867*(1-PARAM!$C$27)*$I$13+(MOD($B867,60)=PARAM!$B$56)*($B867&gt;(60-PARAM!$B$56))*HLOOKUP(($B867+PARAM!$B$56)/12,Loyalty,2)*$F$1*MAX(AT866,0)</f>
        <v>18.557001321003963</v>
      </c>
      <c r="AS867" s="75">
        <f>PARAM!$C$26+MAX($G$13-CHOOSE(PARAM!$B$44,MAX(0,AT866*$F$1),0),0)*RATES!$L843/12+$H$13*(PARAM!$D$51/12)*RATES!$N843/100</f>
        <v>1190.0416666666667</v>
      </c>
      <c r="AT867" s="16">
        <f t="shared" si="595"/>
        <v>-200386.9852479056</v>
      </c>
      <c r="AU867" s="15">
        <f t="shared" si="570"/>
        <v>22.170849845882874</v>
      </c>
      <c r="AV867" s="75">
        <f>AU867*(1-PARAM!$C$27)*$I$14+(MOD($B867,60)=PARAM!$B$56)*($B867&gt;(60-PARAM!$B$56))*HLOOKUP(($B867+PARAM!$B$56)/12,Loyalty,2)*$F$1*MAX(AX866,0)</f>
        <v>18.557001321003963</v>
      </c>
      <c r="AW867" s="75">
        <f>PARAM!$C$26+MAX($G$14-CHOOSE(PARAM!$B$44,MAX(0,AX866*$F$1),0),0)*RATES!$L843/12+$H$14*(PARAM!$D$51/12)*RATES!$N843/100</f>
        <v>1190.0416666666667</v>
      </c>
      <c r="AX867" s="16">
        <f t="shared" si="596"/>
        <v>-200386.9852479056</v>
      </c>
      <c r="AY867" s="15">
        <f t="shared" si="571"/>
        <v>22.170849845882874</v>
      </c>
      <c r="AZ867" s="75">
        <f>AY867*(1-PARAM!$C$27)*$I$15+(MOD($B867,60)=PARAM!$B$56)*($B867&gt;(60-PARAM!$B$56))*HLOOKUP(($B867+PARAM!$B$56)/12,Loyalty,2)*$F$1*MAX(BB866,0)</f>
        <v>18.557001321003963</v>
      </c>
      <c r="BA867" s="75">
        <f>PARAM!$C$26+MAX($G$15-CHOOSE(PARAM!$B$44,MAX(0,BB866*$F$1),0),0)*RATES!$L843/12+$H$15*(PARAM!$D$51/12)*RATES!$N843/100</f>
        <v>1190.0416666666667</v>
      </c>
      <c r="BB867" s="16">
        <f t="shared" si="597"/>
        <v>-200386.9852479056</v>
      </c>
      <c r="BC867" s="15">
        <f t="shared" si="572"/>
        <v>22.170849845882874</v>
      </c>
      <c r="BD867" s="75">
        <f>BC867*(1-PARAM!$C$27)*$I$16+(MOD($B867,60)=PARAM!$B$56)*($B867&gt;(60-PARAM!$B$56))*HLOOKUP(($B867+PARAM!$B$56)/12,Loyalty,2)*$F$1*MAX(BF866,0)</f>
        <v>18.557001321003963</v>
      </c>
      <c r="BE867" s="75">
        <f>PARAM!$C$26+MAX($G$16-CHOOSE(PARAM!$B$44,MAX(0,BF866*$F$1),0),0)*RATES!$L843/12+$H$16*(PARAM!$D$51/12)*RATES!$N843/100</f>
        <v>1190.0416666666667</v>
      </c>
      <c r="BF867" s="16">
        <f t="shared" si="598"/>
        <v>-200386.9852479056</v>
      </c>
      <c r="BG867" s="15">
        <f t="shared" si="573"/>
        <v>22.170849845882874</v>
      </c>
      <c r="BH867" s="75">
        <f>BG867*(1-PARAM!$C$27)*$I$17+(MOD($B867,60)=PARAM!$B$56)*($B867&gt;(60-PARAM!$B$56))*HLOOKUP(($B867+PARAM!$B$56)/12,Loyalty,2)*$F$1*MAX(BJ866,0)</f>
        <v>18.557001321003963</v>
      </c>
      <c r="BI867" s="75">
        <f>PARAM!$C$26+MAX($G$17-CHOOSE(PARAM!$B$44,MAX(0,BJ866*$F$1),0),0)*RATES!$L843/12+$H$17*(PARAM!$D$51/12)*RATES!$N843/100</f>
        <v>1190.0416666666667</v>
      </c>
      <c r="BJ867" s="16">
        <f t="shared" si="599"/>
        <v>-200386.9852479056</v>
      </c>
      <c r="BK867" s="15">
        <f t="shared" si="574"/>
        <v>22.170849845882874</v>
      </c>
      <c r="BL867" s="75">
        <f>BK867*(1-PARAM!$C$27)*$I$18+(MOD($B867,60)=PARAM!$B$56)*($B867&gt;(60-PARAM!$B$56))*HLOOKUP(($B867+PARAM!$B$56)/12,Loyalty,2)*$F$1*MAX(BN866,0)</f>
        <v>18.557001321003963</v>
      </c>
      <c r="BM867" s="75">
        <f>PARAM!$C$26+MAX($G$18-CHOOSE(PARAM!$B$44,MAX(0,BN866*$F$1),0),0)*RATES!$L843/12+$H$18*(PARAM!$D$51/12)*RATES!$N843/100</f>
        <v>1190.0416666666667</v>
      </c>
      <c r="BN867" s="16">
        <f t="shared" si="600"/>
        <v>-200386.9852479056</v>
      </c>
      <c r="BO867" s="15">
        <f t="shared" si="575"/>
        <v>22.170849845882874</v>
      </c>
      <c r="BP867" s="75">
        <f>BO867*(1-PARAM!$C$27)*$I$19+(MOD($B867,60)=PARAM!$B$56)*($B867&gt;(60-PARAM!$B$56))*HLOOKUP(($B867+PARAM!$B$56)/12,Loyalty,2)*$F$1*MAX(BR866,0)</f>
        <v>18.557001321003963</v>
      </c>
      <c r="BQ867" s="75">
        <f>PARAM!$C$26+MAX($G$19-CHOOSE(PARAM!$B$44,MAX(0,BR866*$F$1),0),0)*RATES!$L843/12+$H$19*(PARAM!$D$51/12)*RATES!$N843/100</f>
        <v>1190.0416666666667</v>
      </c>
      <c r="BR867" s="16">
        <f t="shared" si="601"/>
        <v>-200386.9852479056</v>
      </c>
      <c r="BS867" s="15">
        <f t="shared" si="576"/>
        <v>22.170849845882874</v>
      </c>
      <c r="BT867" s="75">
        <f>BS867*(1-PARAM!$C$27)*$I$20+(MOD($B867,60)=PARAM!$B$56)*($B867&gt;(60-PARAM!$B$56))*HLOOKUP(($B867+PARAM!$B$56)/12,Loyalty,2)*$F$1*MAX(BV866,0)</f>
        <v>18.557001321003963</v>
      </c>
      <c r="BU867" s="75">
        <f>PARAM!$C$26+MAX($G$20-CHOOSE(PARAM!$B$44,MAX(0,BV866*$F$1),0),0)*RATES!$L843/12+$H$20*(PARAM!$D$51/12)*RATES!$N843/100</f>
        <v>1190.0416666666667</v>
      </c>
      <c r="BV867" s="16">
        <f t="shared" si="602"/>
        <v>-200386.9852479056</v>
      </c>
      <c r="BW867" s="15">
        <f t="shared" si="577"/>
        <v>22.170849845882874</v>
      </c>
      <c r="BX867" s="75">
        <f>BW867*(1-PARAM!$C$27)*$I$21+(MOD($B867,60)=PARAM!$B$56)*($B867&gt;(60-PARAM!$B$56))*HLOOKUP(($B867+PARAM!$B$56)/12,Loyalty,2)*$F$1*MAX(BZ866,0)</f>
        <v>18.557001321003963</v>
      </c>
      <c r="BY867" s="75">
        <f>PARAM!$C$26+MAX($G$21-CHOOSE(PARAM!$B$44,MAX(0,BZ866*$F$1),0),0)*RATES!$L843/12+$H$21*(PARAM!$D$51/12)*RATES!$N843/100</f>
        <v>1190.0416666666667</v>
      </c>
      <c r="BZ867" s="16">
        <f t="shared" si="603"/>
        <v>-200386.9852479056</v>
      </c>
      <c r="CA867" s="15">
        <f t="shared" si="578"/>
        <v>22.170849845882874</v>
      </c>
      <c r="CB867" s="75">
        <f>CA867*(1-PARAM!$C$27)*$I$22+(MOD($B867,60)=PARAM!$B$56)*($B867&gt;(60-PARAM!$B$56))*HLOOKUP(($B867+PARAM!$B$56)/12,Loyalty,2)*$F$1*MAX(CD866,0)</f>
        <v>18.557001321003963</v>
      </c>
      <c r="CC867" s="75">
        <f>PARAM!$C$26+MAX($G$22-CHOOSE(PARAM!$B$44,MAX(0,CD866*$F$1),0),0)*RATES!$L843/12+$H$22*(PARAM!$D$51/12)*RATES!$N843/100</f>
        <v>1190.0416666666667</v>
      </c>
      <c r="CD867" s="16">
        <f t="shared" si="604"/>
        <v>-200386.9852479056</v>
      </c>
      <c r="CE867" s="33">
        <f>IF(0=MOD(B867,12/PARAM!$D$51),1,0)</f>
        <v>1</v>
      </c>
      <c r="CF867" s="15">
        <f t="shared" si="579"/>
        <v>0</v>
      </c>
      <c r="CG867" s="75">
        <f>CF867*(1-PARAM!$C$27)*$R$3+(MOD($B867/12,5)=0)*($B867&gt;60)*HLOOKUP($B867/12,Loyalty,2)*$F$1*MAX(CI866,0)</f>
        <v>0</v>
      </c>
      <c r="CH867" s="75">
        <f>PARAM!$C$26+MAX($P$3-CHOOSE(PARAM!$B$44,MAX(0,CI866*$F$1),0),0)*RATES!$L843/12+$Q$3*(PARAM!$D$51/12)*RATES!$N843/100</f>
        <v>1190.0416666666667</v>
      </c>
      <c r="CI867" s="16">
        <f>IF(CI866&gt;0,CI866*PARAM!$C$53,CI866)+CG867-CH867</f>
        <v>-215855.29166666666</v>
      </c>
      <c r="CJ867" s="15">
        <f t="shared" si="605"/>
        <v>0</v>
      </c>
      <c r="CK867" s="75">
        <f>CJ867*(1-PARAM!$C$27)*$R$4+(MOD($B867/12,5)=0)*($B867&gt;60)*HLOOKUP($B867/12,Loyalty,2)*$F$1*MAX(CM866,0)</f>
        <v>0</v>
      </c>
      <c r="CL867" s="75">
        <f>PARAM!$C$26+MAX($P$4-CHOOSE(PARAM!$B$44,MAX(0,CM866*$F$1),0),0)*RATES!$L843/12+$Q$4*(PARAM!$D$51/12)*RATES!$N843/100</f>
        <v>1190.0416666666667</v>
      </c>
      <c r="CM867" s="16">
        <f>IF(CM866&gt;0,CM866*PARAM!$C$53,CM866)+CK867-CL867</f>
        <v>-215855.29166666666</v>
      </c>
      <c r="CO867" s="176"/>
    </row>
    <row r="868" spans="1:93" x14ac:dyDescent="0.2">
      <c r="A868" t="b">
        <f t="shared" si="580"/>
        <v>0</v>
      </c>
      <c r="B868" s="33">
        <v>841</v>
      </c>
      <c r="C868" s="15">
        <f t="shared" si="581"/>
        <v>20.081305947392778</v>
      </c>
      <c r="D868" s="75">
        <f>C868*(1-PARAM!$C$27)*$I$3+(MOD($B868,60)=PARAM!$B$56)*($B868&gt;(60-PARAM!$B$56))*HLOOKUP(($B868+PARAM!$B$56)/12,Loyalty,2)*$F$1*MAX(F867,0)</f>
        <v>16.808053077967756</v>
      </c>
      <c r="E868" s="75">
        <f>PARAM!$C$26+MAX($G$3-CHOOSE(PARAM!$B$44,MAX(0,F867*$F$1),0),0)*RATES!$L844/12+$H$3*(PARAM!$D$51/12)*RATES!$N844/100</f>
        <v>1190.0416666666667</v>
      </c>
      <c r="F868" s="16">
        <f t="shared" si="582"/>
        <v>-203066.18588616658</v>
      </c>
      <c r="G868" s="15">
        <f t="shared" si="583"/>
        <v>22.035289406060361</v>
      </c>
      <c r="H868" s="75">
        <f>G868*(1-PARAM!$C$27)*$I$4+(MOD($B868,60)=PARAM!$B$56)*($B868&gt;(60-PARAM!$B$56))*HLOOKUP(($B868+PARAM!$B$56)/12,Loyalty,2)*$F$1*MAX(J867,0)</f>
        <v>18.443537232872522</v>
      </c>
      <c r="I868" s="75">
        <f>PARAM!$C$26+MAX($G$4-CHOOSE(PARAM!$B$44,MAX(0,J867*$F$1),0),0)*RATES!$L844/12+$H$4*(PARAM!$D$51/12)*RATES!$N844/100</f>
        <v>1190.0416666666667</v>
      </c>
      <c r="J868" s="16">
        <f t="shared" si="584"/>
        <v>-201656.91074776908</v>
      </c>
      <c r="K868" s="15">
        <f t="shared" si="585"/>
        <v>22.170849845882874</v>
      </c>
      <c r="L868" s="75">
        <f>K868*(1-PARAM!$C$27)*$I$5+(MOD($B868,60)=PARAM!$B$56)*($B868&gt;(60-PARAM!$B$56))*HLOOKUP(($B868+PARAM!$B$56)/12,Loyalty,2)*$F$1*MAX(N867,0)</f>
        <v>18.557001321003963</v>
      </c>
      <c r="M868" s="75">
        <f>PARAM!$C$26+MAX($G$5-CHOOSE(PARAM!$B$44,MAX(0,N867*$F$1),0),0)*RATES!$L844/12+$H$5*(PARAM!$D$51/12)*RATES!$N844/100</f>
        <v>1190.0416666666667</v>
      </c>
      <c r="N868" s="16">
        <f t="shared" si="586"/>
        <v>-201558.46991325126</v>
      </c>
      <c r="O868" s="15">
        <f t="shared" si="587"/>
        <v>22.170849845882874</v>
      </c>
      <c r="P868" s="75">
        <f>O868*(1-PARAM!$C$27)*$I$6+(MOD($B868,60)=PARAM!$B$56)*($B868&gt;(60-PARAM!$B$56))*HLOOKUP(($B868+PARAM!$B$56)/12,Loyalty,2)*$F$1*MAX(R867,0)</f>
        <v>18.557001321003963</v>
      </c>
      <c r="Q868" s="75">
        <f>PARAM!$C$26+MAX($G$6-CHOOSE(PARAM!$B$44,MAX(0,R867*$F$1),0),0)*RATES!$L844/12+$H$6*(PARAM!$D$51/12)*RATES!$N844/100</f>
        <v>1190.0416666666667</v>
      </c>
      <c r="R868" s="16">
        <f t="shared" si="588"/>
        <v>-201558.46991325126</v>
      </c>
      <c r="S868" s="15">
        <f t="shared" si="563"/>
        <v>22.170849845882874</v>
      </c>
      <c r="T868" s="75">
        <f>S868*(1-PARAM!$C$27)*$I$7+(MOD($B868,60)=PARAM!$B$56)*($B868&gt;(60-PARAM!$B$56))*HLOOKUP(($B868+PARAM!$B$56)/12,Loyalty,2)*$F$1*MAX(V867,0)</f>
        <v>18.557001321003963</v>
      </c>
      <c r="U868" s="75">
        <f>PARAM!$C$26+MAX($G$7-CHOOSE(PARAM!$B$44,MAX(0,V867*$F$1),0),0)*RATES!$L844/12+$H$7*(PARAM!$D$51/12)*RATES!$N844/100</f>
        <v>1190.0416666666667</v>
      </c>
      <c r="V868" s="16">
        <f t="shared" si="589"/>
        <v>-201558.46991325126</v>
      </c>
      <c r="W868" s="15">
        <f t="shared" si="564"/>
        <v>22.170849845882874</v>
      </c>
      <c r="X868" s="75">
        <f>W868*(1-PARAM!$C$27)*$I$8+(MOD($B868,60)=PARAM!$B$56)*($B868&gt;(60-PARAM!$B$56))*HLOOKUP(($B868+PARAM!$B$56)/12,Loyalty,2)*$F$1*MAX(Z867,0)</f>
        <v>18.557001321003963</v>
      </c>
      <c r="Y868" s="75">
        <f>PARAM!$C$26+MAX($G$8-CHOOSE(PARAM!$B$44,MAX(0,Z867*$F$1),0),0)*RATES!$L844/12+$H$8*(PARAM!$D$51/12)*RATES!$N844/100</f>
        <v>1190.0416666666667</v>
      </c>
      <c r="Z868" s="16">
        <f t="shared" si="590"/>
        <v>-201558.46991325126</v>
      </c>
      <c r="AA868" s="15">
        <f t="shared" si="565"/>
        <v>22.170849845882874</v>
      </c>
      <c r="AB868" s="75">
        <f>AA868*(1-PARAM!$C$27)*$I$9+(MOD($B868,60)=PARAM!$B$56)*($B868&gt;(60-PARAM!$B$56))*HLOOKUP(($B868+PARAM!$B$56)/12,Loyalty,2)*$F$1*MAX(AD867,0)</f>
        <v>18.557001321003963</v>
      </c>
      <c r="AC868" s="75">
        <f>PARAM!$C$26+MAX($G$9-CHOOSE(PARAM!$B$44,MAX(0,AD867*$F$1),0),0)*RATES!$L844/12+$H$9*(PARAM!$D$51/12)*RATES!$N844/100</f>
        <v>1190.0416666666667</v>
      </c>
      <c r="AD868" s="16">
        <f t="shared" si="591"/>
        <v>-201558.46991325126</v>
      </c>
      <c r="AE868" s="15">
        <f t="shared" si="566"/>
        <v>22.170849845882874</v>
      </c>
      <c r="AF868" s="75">
        <f>AE868*(1-PARAM!$C$27)*$I$10+(MOD($B868,60)=PARAM!$B$56)*($B868&gt;(60-PARAM!$B$56))*HLOOKUP(($B868+PARAM!$B$56)/12,Loyalty,2)*$F$1*MAX(AH867,0)</f>
        <v>18.557001321003963</v>
      </c>
      <c r="AG868" s="75">
        <f>PARAM!$C$26+MAX($G$10-CHOOSE(PARAM!$B$44,MAX(0,AH867*$F$1),0),0)*RATES!$L844/12+$H$10*(PARAM!$D$51/12)*RATES!$N844/100</f>
        <v>1190.0416666666667</v>
      </c>
      <c r="AH868" s="16">
        <f t="shared" si="592"/>
        <v>-201558.46991325126</v>
      </c>
      <c r="AI868" s="15">
        <f t="shared" si="567"/>
        <v>22.170849845882874</v>
      </c>
      <c r="AJ868" s="75">
        <f>AI868*(1-PARAM!$C$27)*$I$11+(MOD($B868,60)=PARAM!$B$56)*($B868&gt;(60-PARAM!$B$56))*HLOOKUP(($B868+PARAM!$B$56)/12,Loyalty,2)*$F$1*MAX(AL867,0)</f>
        <v>18.557001321003963</v>
      </c>
      <c r="AK868" s="75">
        <f>PARAM!$C$26+MAX($G$11-CHOOSE(PARAM!$B$44,MAX(0,AL867*$F$1),0),0)*RATES!$L844/12+$H$11*(PARAM!$D$51/12)*RATES!$N844/100</f>
        <v>1190.0416666666667</v>
      </c>
      <c r="AL868" s="16">
        <f t="shared" si="593"/>
        <v>-201558.46991325126</v>
      </c>
      <c r="AM868" s="15">
        <f t="shared" si="568"/>
        <v>22.170849845882874</v>
      </c>
      <c r="AN868" s="75">
        <f>AM868*(1-PARAM!$C$27)*$I$12+(MOD($B868,60)=PARAM!$B$56)*($B868&gt;(60-PARAM!$B$56))*HLOOKUP(($B868+PARAM!$B$56)/12,Loyalty,2)*$F$1*MAX(AP867,0)</f>
        <v>18.557001321003963</v>
      </c>
      <c r="AO868" s="75">
        <f>PARAM!$C$26+MAX($G$12-CHOOSE(PARAM!$B$44,MAX(0,AP867*$F$1),0),0)*RATES!$L844/12+$H$12*(PARAM!$D$51/12)*RATES!$N844/100</f>
        <v>1190.0416666666667</v>
      </c>
      <c r="AP868" s="16">
        <f t="shared" si="594"/>
        <v>-201558.46991325126</v>
      </c>
      <c r="AQ868" s="15">
        <f t="shared" si="569"/>
        <v>22.170849845882874</v>
      </c>
      <c r="AR868" s="75">
        <f>AQ868*(1-PARAM!$C$27)*$I$13+(MOD($B868,60)=PARAM!$B$56)*($B868&gt;(60-PARAM!$B$56))*HLOOKUP(($B868+PARAM!$B$56)/12,Loyalty,2)*$F$1*MAX(AT867,0)</f>
        <v>18.557001321003963</v>
      </c>
      <c r="AS868" s="75">
        <f>PARAM!$C$26+MAX($G$13-CHOOSE(PARAM!$B$44,MAX(0,AT867*$F$1),0),0)*RATES!$L844/12+$H$13*(PARAM!$D$51/12)*RATES!$N844/100</f>
        <v>1190.0416666666667</v>
      </c>
      <c r="AT868" s="16">
        <f t="shared" si="595"/>
        <v>-201558.46991325126</v>
      </c>
      <c r="AU868" s="15">
        <f t="shared" si="570"/>
        <v>22.170849845882874</v>
      </c>
      <c r="AV868" s="75">
        <f>AU868*(1-PARAM!$C$27)*$I$14+(MOD($B868,60)=PARAM!$B$56)*($B868&gt;(60-PARAM!$B$56))*HLOOKUP(($B868+PARAM!$B$56)/12,Loyalty,2)*$F$1*MAX(AX867,0)</f>
        <v>18.557001321003963</v>
      </c>
      <c r="AW868" s="75">
        <f>PARAM!$C$26+MAX($G$14-CHOOSE(PARAM!$B$44,MAX(0,AX867*$F$1),0),0)*RATES!$L844/12+$H$14*(PARAM!$D$51/12)*RATES!$N844/100</f>
        <v>1190.0416666666667</v>
      </c>
      <c r="AX868" s="16">
        <f t="shared" si="596"/>
        <v>-201558.46991325126</v>
      </c>
      <c r="AY868" s="15">
        <f t="shared" si="571"/>
        <v>22.170849845882874</v>
      </c>
      <c r="AZ868" s="75">
        <f>AY868*(1-PARAM!$C$27)*$I$15+(MOD($B868,60)=PARAM!$B$56)*($B868&gt;(60-PARAM!$B$56))*HLOOKUP(($B868+PARAM!$B$56)/12,Loyalty,2)*$F$1*MAX(BB867,0)</f>
        <v>18.557001321003963</v>
      </c>
      <c r="BA868" s="75">
        <f>PARAM!$C$26+MAX($G$15-CHOOSE(PARAM!$B$44,MAX(0,BB867*$F$1),0),0)*RATES!$L844/12+$H$15*(PARAM!$D$51/12)*RATES!$N844/100</f>
        <v>1190.0416666666667</v>
      </c>
      <c r="BB868" s="16">
        <f t="shared" si="597"/>
        <v>-201558.46991325126</v>
      </c>
      <c r="BC868" s="15">
        <f t="shared" si="572"/>
        <v>22.170849845882874</v>
      </c>
      <c r="BD868" s="75">
        <f>BC868*(1-PARAM!$C$27)*$I$16+(MOD($B868,60)=PARAM!$B$56)*($B868&gt;(60-PARAM!$B$56))*HLOOKUP(($B868+PARAM!$B$56)/12,Loyalty,2)*$F$1*MAX(BF867,0)</f>
        <v>18.557001321003963</v>
      </c>
      <c r="BE868" s="75">
        <f>PARAM!$C$26+MAX($G$16-CHOOSE(PARAM!$B$44,MAX(0,BF867*$F$1),0),0)*RATES!$L844/12+$H$16*(PARAM!$D$51/12)*RATES!$N844/100</f>
        <v>1190.0416666666667</v>
      </c>
      <c r="BF868" s="16">
        <f t="shared" si="598"/>
        <v>-201558.46991325126</v>
      </c>
      <c r="BG868" s="15">
        <f t="shared" si="573"/>
        <v>22.170849845882874</v>
      </c>
      <c r="BH868" s="75">
        <f>BG868*(1-PARAM!$C$27)*$I$17+(MOD($B868,60)=PARAM!$B$56)*($B868&gt;(60-PARAM!$B$56))*HLOOKUP(($B868+PARAM!$B$56)/12,Loyalty,2)*$F$1*MAX(BJ867,0)</f>
        <v>18.557001321003963</v>
      </c>
      <c r="BI868" s="75">
        <f>PARAM!$C$26+MAX($G$17-CHOOSE(PARAM!$B$44,MAX(0,BJ867*$F$1),0),0)*RATES!$L844/12+$H$17*(PARAM!$D$51/12)*RATES!$N844/100</f>
        <v>1190.0416666666667</v>
      </c>
      <c r="BJ868" s="16">
        <f t="shared" si="599"/>
        <v>-201558.46991325126</v>
      </c>
      <c r="BK868" s="15">
        <f t="shared" si="574"/>
        <v>22.170849845882874</v>
      </c>
      <c r="BL868" s="75">
        <f>BK868*(1-PARAM!$C$27)*$I$18+(MOD($B868,60)=PARAM!$B$56)*($B868&gt;(60-PARAM!$B$56))*HLOOKUP(($B868+PARAM!$B$56)/12,Loyalty,2)*$F$1*MAX(BN867,0)</f>
        <v>18.557001321003963</v>
      </c>
      <c r="BM868" s="75">
        <f>PARAM!$C$26+MAX($G$18-CHOOSE(PARAM!$B$44,MAX(0,BN867*$F$1),0),0)*RATES!$L844/12+$H$18*(PARAM!$D$51/12)*RATES!$N844/100</f>
        <v>1190.0416666666667</v>
      </c>
      <c r="BN868" s="16">
        <f t="shared" si="600"/>
        <v>-201558.46991325126</v>
      </c>
      <c r="BO868" s="15">
        <f t="shared" si="575"/>
        <v>22.170849845882874</v>
      </c>
      <c r="BP868" s="75">
        <f>BO868*(1-PARAM!$C$27)*$I$19+(MOD($B868,60)=PARAM!$B$56)*($B868&gt;(60-PARAM!$B$56))*HLOOKUP(($B868+PARAM!$B$56)/12,Loyalty,2)*$F$1*MAX(BR867,0)</f>
        <v>18.557001321003963</v>
      </c>
      <c r="BQ868" s="75">
        <f>PARAM!$C$26+MAX($G$19-CHOOSE(PARAM!$B$44,MAX(0,BR867*$F$1),0),0)*RATES!$L844/12+$H$19*(PARAM!$D$51/12)*RATES!$N844/100</f>
        <v>1190.0416666666667</v>
      </c>
      <c r="BR868" s="16">
        <f t="shared" si="601"/>
        <v>-201558.46991325126</v>
      </c>
      <c r="BS868" s="15">
        <f t="shared" si="576"/>
        <v>22.170849845882874</v>
      </c>
      <c r="BT868" s="75">
        <f>BS868*(1-PARAM!$C$27)*$I$20+(MOD($B868,60)=PARAM!$B$56)*($B868&gt;(60-PARAM!$B$56))*HLOOKUP(($B868+PARAM!$B$56)/12,Loyalty,2)*$F$1*MAX(BV867,0)</f>
        <v>18.557001321003963</v>
      </c>
      <c r="BU868" s="75">
        <f>PARAM!$C$26+MAX($G$20-CHOOSE(PARAM!$B$44,MAX(0,BV867*$F$1),0),0)*RATES!$L844/12+$H$20*(PARAM!$D$51/12)*RATES!$N844/100</f>
        <v>1190.0416666666667</v>
      </c>
      <c r="BV868" s="16">
        <f t="shared" si="602"/>
        <v>-201558.46991325126</v>
      </c>
      <c r="BW868" s="15">
        <f t="shared" si="577"/>
        <v>22.170849845882874</v>
      </c>
      <c r="BX868" s="75">
        <f>BW868*(1-PARAM!$C$27)*$I$21+(MOD($B868,60)=PARAM!$B$56)*($B868&gt;(60-PARAM!$B$56))*HLOOKUP(($B868+PARAM!$B$56)/12,Loyalty,2)*$F$1*MAX(BZ867,0)</f>
        <v>18.557001321003963</v>
      </c>
      <c r="BY868" s="75">
        <f>PARAM!$C$26+MAX($G$21-CHOOSE(PARAM!$B$44,MAX(0,BZ867*$F$1),0),0)*RATES!$L844/12+$H$21*(PARAM!$D$51/12)*RATES!$N844/100</f>
        <v>1190.0416666666667</v>
      </c>
      <c r="BZ868" s="16">
        <f t="shared" si="603"/>
        <v>-201558.46991325126</v>
      </c>
      <c r="CA868" s="15">
        <f t="shared" si="578"/>
        <v>22.170849845882874</v>
      </c>
      <c r="CB868" s="75">
        <f>CA868*(1-PARAM!$C$27)*$I$22+(MOD($B868,60)=PARAM!$B$56)*($B868&gt;(60-PARAM!$B$56))*HLOOKUP(($B868+PARAM!$B$56)/12,Loyalty,2)*$F$1*MAX(CD867,0)</f>
        <v>18.557001321003963</v>
      </c>
      <c r="CC868" s="75">
        <f>PARAM!$C$26+MAX($G$22-CHOOSE(PARAM!$B$44,MAX(0,CD867*$F$1),0),0)*RATES!$L844/12+$H$22*(PARAM!$D$51/12)*RATES!$N844/100</f>
        <v>1190.0416666666667</v>
      </c>
      <c r="CD868" s="16">
        <f t="shared" si="604"/>
        <v>-201558.46991325126</v>
      </c>
      <c r="CE868" s="33">
        <f>IF(0=MOD(B868,12/PARAM!$D$51),1,0)</f>
        <v>1</v>
      </c>
      <c r="CF868" s="15">
        <f t="shared" si="579"/>
        <v>0</v>
      </c>
      <c r="CG868" s="75">
        <f>CF868*(1-PARAM!$C$27)*$R$3+(MOD($B868/12,5)=0)*($B868&gt;60)*HLOOKUP($B868/12,Loyalty,2)*$F$1*MAX(CI867,0)</f>
        <v>0</v>
      </c>
      <c r="CH868" s="75">
        <f>PARAM!$C$26+MAX($P$3-CHOOSE(PARAM!$B$44,MAX(0,CI867*$F$1),0),0)*RATES!$L844/12+$Q$3*(PARAM!$D$51/12)*RATES!$N844/100</f>
        <v>1190.0416666666667</v>
      </c>
      <c r="CI868" s="16">
        <f>IF(CI867&gt;0,CI867*PARAM!$C$53,CI867)+CG868-CH868</f>
        <v>-217045.33333333331</v>
      </c>
      <c r="CJ868" s="15">
        <f t="shared" si="605"/>
        <v>0</v>
      </c>
      <c r="CK868" s="75">
        <f>CJ868*(1-PARAM!$C$27)*$R$4+(MOD($B868/12,5)=0)*($B868&gt;60)*HLOOKUP($B868/12,Loyalty,2)*$F$1*MAX(CM867,0)</f>
        <v>0</v>
      </c>
      <c r="CL868" s="75">
        <f>PARAM!$C$26+MAX($P$4-CHOOSE(PARAM!$B$44,MAX(0,CM867*$F$1),0),0)*RATES!$L844/12+$Q$4*(PARAM!$D$51/12)*RATES!$N844/100</f>
        <v>1190.0416666666667</v>
      </c>
      <c r="CM868" s="16">
        <f>IF(CM867&gt;0,CM867*PARAM!$C$53,CM867)+CK868-CL868</f>
        <v>-217045.33333333331</v>
      </c>
      <c r="CO868" s="176"/>
    </row>
    <row r="869" spans="1:93" x14ac:dyDescent="0.2">
      <c r="A869" t="b">
        <f t="shared" si="580"/>
        <v>0</v>
      </c>
      <c r="B869" s="33">
        <v>842</v>
      </c>
      <c r="C869" s="15">
        <f t="shared" si="581"/>
        <v>20.081305947392778</v>
      </c>
      <c r="D869" s="75">
        <f>C869*(1-PARAM!$C$27)*$I$3+(MOD($B869,60)=PARAM!$B$56)*($B869&gt;(60-PARAM!$B$56))*HLOOKUP(($B869+PARAM!$B$56)/12,Loyalty,2)*$F$1*MAX(F868,0)</f>
        <v>16.808053077967756</v>
      </c>
      <c r="E869" s="75">
        <f>PARAM!$C$26+MAX($G$3-CHOOSE(PARAM!$B$44,MAX(0,F868*$F$1),0),0)*RATES!$L845/12+$H$3*(PARAM!$D$51/12)*RATES!$N845/100</f>
        <v>1190.0416666666667</v>
      </c>
      <c r="F869" s="16">
        <f t="shared" si="582"/>
        <v>-204239.41949975528</v>
      </c>
      <c r="G869" s="15">
        <f t="shared" si="583"/>
        <v>22.035289406060361</v>
      </c>
      <c r="H869" s="75">
        <f>G869*(1-PARAM!$C$27)*$I$4+(MOD($B869,60)=PARAM!$B$56)*($B869&gt;(60-PARAM!$B$56))*HLOOKUP(($B869+PARAM!$B$56)/12,Loyalty,2)*$F$1*MAX(J868,0)</f>
        <v>18.443537232872522</v>
      </c>
      <c r="I869" s="75">
        <f>PARAM!$C$26+MAX($G$4-CHOOSE(PARAM!$B$44,MAX(0,J868*$F$1),0),0)*RATES!$L845/12+$H$4*(PARAM!$D$51/12)*RATES!$N845/100</f>
        <v>1190.0416666666667</v>
      </c>
      <c r="J869" s="16">
        <f t="shared" si="584"/>
        <v>-202828.50887720287</v>
      </c>
      <c r="K869" s="15">
        <f t="shared" si="585"/>
        <v>22.170849845882874</v>
      </c>
      <c r="L869" s="75">
        <f>K869*(1-PARAM!$C$27)*$I$5+(MOD($B869,60)=PARAM!$B$56)*($B869&gt;(60-PARAM!$B$56))*HLOOKUP(($B869+PARAM!$B$56)/12,Loyalty,2)*$F$1*MAX(N868,0)</f>
        <v>18.557001321003963</v>
      </c>
      <c r="M869" s="75">
        <f>PARAM!$C$26+MAX($G$5-CHOOSE(PARAM!$B$44,MAX(0,N868*$F$1),0),0)*RATES!$L845/12+$H$5*(PARAM!$D$51/12)*RATES!$N845/100</f>
        <v>1190.0416666666667</v>
      </c>
      <c r="N869" s="16">
        <f t="shared" si="586"/>
        <v>-202729.95457859692</v>
      </c>
      <c r="O869" s="15">
        <f t="shared" si="587"/>
        <v>22.170849845882874</v>
      </c>
      <c r="P869" s="75">
        <f>O869*(1-PARAM!$C$27)*$I$6+(MOD($B869,60)=PARAM!$B$56)*($B869&gt;(60-PARAM!$B$56))*HLOOKUP(($B869+PARAM!$B$56)/12,Loyalty,2)*$F$1*MAX(R868,0)</f>
        <v>18.557001321003963</v>
      </c>
      <c r="Q869" s="75">
        <f>PARAM!$C$26+MAX($G$6-CHOOSE(PARAM!$B$44,MAX(0,R868*$F$1),0),0)*RATES!$L845/12+$H$6*(PARAM!$D$51/12)*RATES!$N845/100</f>
        <v>1190.0416666666667</v>
      </c>
      <c r="R869" s="16">
        <f t="shared" si="588"/>
        <v>-202729.95457859692</v>
      </c>
      <c r="S869" s="15">
        <f t="shared" si="563"/>
        <v>22.170849845882874</v>
      </c>
      <c r="T869" s="75">
        <f>S869*(1-PARAM!$C$27)*$I$7+(MOD($B869,60)=PARAM!$B$56)*($B869&gt;(60-PARAM!$B$56))*HLOOKUP(($B869+PARAM!$B$56)/12,Loyalty,2)*$F$1*MAX(V868,0)</f>
        <v>18.557001321003963</v>
      </c>
      <c r="U869" s="75">
        <f>PARAM!$C$26+MAX($G$7-CHOOSE(PARAM!$B$44,MAX(0,V868*$F$1),0),0)*RATES!$L845/12+$H$7*(PARAM!$D$51/12)*RATES!$N845/100</f>
        <v>1190.0416666666667</v>
      </c>
      <c r="V869" s="16">
        <f t="shared" si="589"/>
        <v>-202729.95457859692</v>
      </c>
      <c r="W869" s="15">
        <f t="shared" si="564"/>
        <v>22.170849845882874</v>
      </c>
      <c r="X869" s="75">
        <f>W869*(1-PARAM!$C$27)*$I$8+(MOD($B869,60)=PARAM!$B$56)*($B869&gt;(60-PARAM!$B$56))*HLOOKUP(($B869+PARAM!$B$56)/12,Loyalty,2)*$F$1*MAX(Z868,0)</f>
        <v>18.557001321003963</v>
      </c>
      <c r="Y869" s="75">
        <f>PARAM!$C$26+MAX($G$8-CHOOSE(PARAM!$B$44,MAX(0,Z868*$F$1),0),0)*RATES!$L845/12+$H$8*(PARAM!$D$51/12)*RATES!$N845/100</f>
        <v>1190.0416666666667</v>
      </c>
      <c r="Z869" s="16">
        <f t="shared" si="590"/>
        <v>-202729.95457859692</v>
      </c>
      <c r="AA869" s="15">
        <f t="shared" si="565"/>
        <v>22.170849845882874</v>
      </c>
      <c r="AB869" s="75">
        <f>AA869*(1-PARAM!$C$27)*$I$9+(MOD($B869,60)=PARAM!$B$56)*($B869&gt;(60-PARAM!$B$56))*HLOOKUP(($B869+PARAM!$B$56)/12,Loyalty,2)*$F$1*MAX(AD868,0)</f>
        <v>18.557001321003963</v>
      </c>
      <c r="AC869" s="75">
        <f>PARAM!$C$26+MAX($G$9-CHOOSE(PARAM!$B$44,MAX(0,AD868*$F$1),0),0)*RATES!$L845/12+$H$9*(PARAM!$D$51/12)*RATES!$N845/100</f>
        <v>1190.0416666666667</v>
      </c>
      <c r="AD869" s="16">
        <f t="shared" si="591"/>
        <v>-202729.95457859692</v>
      </c>
      <c r="AE869" s="15">
        <f t="shared" si="566"/>
        <v>22.170849845882874</v>
      </c>
      <c r="AF869" s="75">
        <f>AE869*(1-PARAM!$C$27)*$I$10+(MOD($B869,60)=PARAM!$B$56)*($B869&gt;(60-PARAM!$B$56))*HLOOKUP(($B869+PARAM!$B$56)/12,Loyalty,2)*$F$1*MAX(AH868,0)</f>
        <v>18.557001321003963</v>
      </c>
      <c r="AG869" s="75">
        <f>PARAM!$C$26+MAX($G$10-CHOOSE(PARAM!$B$44,MAX(0,AH868*$F$1),0),0)*RATES!$L845/12+$H$10*(PARAM!$D$51/12)*RATES!$N845/100</f>
        <v>1190.0416666666667</v>
      </c>
      <c r="AH869" s="16">
        <f t="shared" si="592"/>
        <v>-202729.95457859692</v>
      </c>
      <c r="AI869" s="15">
        <f t="shared" si="567"/>
        <v>22.170849845882874</v>
      </c>
      <c r="AJ869" s="75">
        <f>AI869*(1-PARAM!$C$27)*$I$11+(MOD($B869,60)=PARAM!$B$56)*($B869&gt;(60-PARAM!$B$56))*HLOOKUP(($B869+PARAM!$B$56)/12,Loyalty,2)*$F$1*MAX(AL868,0)</f>
        <v>18.557001321003963</v>
      </c>
      <c r="AK869" s="75">
        <f>PARAM!$C$26+MAX($G$11-CHOOSE(PARAM!$B$44,MAX(0,AL868*$F$1),0),0)*RATES!$L845/12+$H$11*(PARAM!$D$51/12)*RATES!$N845/100</f>
        <v>1190.0416666666667</v>
      </c>
      <c r="AL869" s="16">
        <f t="shared" si="593"/>
        <v>-202729.95457859692</v>
      </c>
      <c r="AM869" s="15">
        <f t="shared" si="568"/>
        <v>22.170849845882874</v>
      </c>
      <c r="AN869" s="75">
        <f>AM869*(1-PARAM!$C$27)*$I$12+(MOD($B869,60)=PARAM!$B$56)*($B869&gt;(60-PARAM!$B$56))*HLOOKUP(($B869+PARAM!$B$56)/12,Loyalty,2)*$F$1*MAX(AP868,0)</f>
        <v>18.557001321003963</v>
      </c>
      <c r="AO869" s="75">
        <f>PARAM!$C$26+MAX($G$12-CHOOSE(PARAM!$B$44,MAX(0,AP868*$F$1),0),0)*RATES!$L845/12+$H$12*(PARAM!$D$51/12)*RATES!$N845/100</f>
        <v>1190.0416666666667</v>
      </c>
      <c r="AP869" s="16">
        <f t="shared" si="594"/>
        <v>-202729.95457859692</v>
      </c>
      <c r="AQ869" s="15">
        <f t="shared" si="569"/>
        <v>22.170849845882874</v>
      </c>
      <c r="AR869" s="75">
        <f>AQ869*(1-PARAM!$C$27)*$I$13+(MOD($B869,60)=PARAM!$B$56)*($B869&gt;(60-PARAM!$B$56))*HLOOKUP(($B869+PARAM!$B$56)/12,Loyalty,2)*$F$1*MAX(AT868,0)</f>
        <v>18.557001321003963</v>
      </c>
      <c r="AS869" s="75">
        <f>PARAM!$C$26+MAX($G$13-CHOOSE(PARAM!$B$44,MAX(0,AT868*$F$1),0),0)*RATES!$L845/12+$H$13*(PARAM!$D$51/12)*RATES!$N845/100</f>
        <v>1190.0416666666667</v>
      </c>
      <c r="AT869" s="16">
        <f t="shared" si="595"/>
        <v>-202729.95457859692</v>
      </c>
      <c r="AU869" s="15">
        <f t="shared" si="570"/>
        <v>22.170849845882874</v>
      </c>
      <c r="AV869" s="75">
        <f>AU869*(1-PARAM!$C$27)*$I$14+(MOD($B869,60)=PARAM!$B$56)*($B869&gt;(60-PARAM!$B$56))*HLOOKUP(($B869+PARAM!$B$56)/12,Loyalty,2)*$F$1*MAX(AX868,0)</f>
        <v>18.557001321003963</v>
      </c>
      <c r="AW869" s="75">
        <f>PARAM!$C$26+MAX($G$14-CHOOSE(PARAM!$B$44,MAX(0,AX868*$F$1),0),0)*RATES!$L845/12+$H$14*(PARAM!$D$51/12)*RATES!$N845/100</f>
        <v>1190.0416666666667</v>
      </c>
      <c r="AX869" s="16">
        <f t="shared" si="596"/>
        <v>-202729.95457859692</v>
      </c>
      <c r="AY869" s="15">
        <f t="shared" si="571"/>
        <v>22.170849845882874</v>
      </c>
      <c r="AZ869" s="75">
        <f>AY869*(1-PARAM!$C$27)*$I$15+(MOD($B869,60)=PARAM!$B$56)*($B869&gt;(60-PARAM!$B$56))*HLOOKUP(($B869+PARAM!$B$56)/12,Loyalty,2)*$F$1*MAX(BB868,0)</f>
        <v>18.557001321003963</v>
      </c>
      <c r="BA869" s="75">
        <f>PARAM!$C$26+MAX($G$15-CHOOSE(PARAM!$B$44,MAX(0,BB868*$F$1),0),0)*RATES!$L845/12+$H$15*(PARAM!$D$51/12)*RATES!$N845/100</f>
        <v>1190.0416666666667</v>
      </c>
      <c r="BB869" s="16">
        <f t="shared" si="597"/>
        <v>-202729.95457859692</v>
      </c>
      <c r="BC869" s="15">
        <f t="shared" si="572"/>
        <v>22.170849845882874</v>
      </c>
      <c r="BD869" s="75">
        <f>BC869*(1-PARAM!$C$27)*$I$16+(MOD($B869,60)=PARAM!$B$56)*($B869&gt;(60-PARAM!$B$56))*HLOOKUP(($B869+PARAM!$B$56)/12,Loyalty,2)*$F$1*MAX(BF868,0)</f>
        <v>18.557001321003963</v>
      </c>
      <c r="BE869" s="75">
        <f>PARAM!$C$26+MAX($G$16-CHOOSE(PARAM!$B$44,MAX(0,BF868*$F$1),0),0)*RATES!$L845/12+$H$16*(PARAM!$D$51/12)*RATES!$N845/100</f>
        <v>1190.0416666666667</v>
      </c>
      <c r="BF869" s="16">
        <f t="shared" si="598"/>
        <v>-202729.95457859692</v>
      </c>
      <c r="BG869" s="15">
        <f t="shared" si="573"/>
        <v>22.170849845882874</v>
      </c>
      <c r="BH869" s="75">
        <f>BG869*(1-PARAM!$C$27)*$I$17+(MOD($B869,60)=PARAM!$B$56)*($B869&gt;(60-PARAM!$B$56))*HLOOKUP(($B869+PARAM!$B$56)/12,Loyalty,2)*$F$1*MAX(BJ868,0)</f>
        <v>18.557001321003963</v>
      </c>
      <c r="BI869" s="75">
        <f>PARAM!$C$26+MAX($G$17-CHOOSE(PARAM!$B$44,MAX(0,BJ868*$F$1),0),0)*RATES!$L845/12+$H$17*(PARAM!$D$51/12)*RATES!$N845/100</f>
        <v>1190.0416666666667</v>
      </c>
      <c r="BJ869" s="16">
        <f t="shared" si="599"/>
        <v>-202729.95457859692</v>
      </c>
      <c r="BK869" s="15">
        <f t="shared" si="574"/>
        <v>22.170849845882874</v>
      </c>
      <c r="BL869" s="75">
        <f>BK869*(1-PARAM!$C$27)*$I$18+(MOD($B869,60)=PARAM!$B$56)*($B869&gt;(60-PARAM!$B$56))*HLOOKUP(($B869+PARAM!$B$56)/12,Loyalty,2)*$F$1*MAX(BN868,0)</f>
        <v>18.557001321003963</v>
      </c>
      <c r="BM869" s="75">
        <f>PARAM!$C$26+MAX($G$18-CHOOSE(PARAM!$B$44,MAX(0,BN868*$F$1),0),0)*RATES!$L845/12+$H$18*(PARAM!$D$51/12)*RATES!$N845/100</f>
        <v>1190.0416666666667</v>
      </c>
      <c r="BN869" s="16">
        <f t="shared" si="600"/>
        <v>-202729.95457859692</v>
      </c>
      <c r="BO869" s="15">
        <f t="shared" si="575"/>
        <v>22.170849845882874</v>
      </c>
      <c r="BP869" s="75">
        <f>BO869*(1-PARAM!$C$27)*$I$19+(MOD($B869,60)=PARAM!$B$56)*($B869&gt;(60-PARAM!$B$56))*HLOOKUP(($B869+PARAM!$B$56)/12,Loyalty,2)*$F$1*MAX(BR868,0)</f>
        <v>18.557001321003963</v>
      </c>
      <c r="BQ869" s="75">
        <f>PARAM!$C$26+MAX($G$19-CHOOSE(PARAM!$B$44,MAX(0,BR868*$F$1),0),0)*RATES!$L845/12+$H$19*(PARAM!$D$51/12)*RATES!$N845/100</f>
        <v>1190.0416666666667</v>
      </c>
      <c r="BR869" s="16">
        <f t="shared" si="601"/>
        <v>-202729.95457859692</v>
      </c>
      <c r="BS869" s="15">
        <f t="shared" si="576"/>
        <v>22.170849845882874</v>
      </c>
      <c r="BT869" s="75">
        <f>BS869*(1-PARAM!$C$27)*$I$20+(MOD($B869,60)=PARAM!$B$56)*($B869&gt;(60-PARAM!$B$56))*HLOOKUP(($B869+PARAM!$B$56)/12,Loyalty,2)*$F$1*MAX(BV868,0)</f>
        <v>18.557001321003963</v>
      </c>
      <c r="BU869" s="75">
        <f>PARAM!$C$26+MAX($G$20-CHOOSE(PARAM!$B$44,MAX(0,BV868*$F$1),0),0)*RATES!$L845/12+$H$20*(PARAM!$D$51/12)*RATES!$N845/100</f>
        <v>1190.0416666666667</v>
      </c>
      <c r="BV869" s="16">
        <f t="shared" si="602"/>
        <v>-202729.95457859692</v>
      </c>
      <c r="BW869" s="15">
        <f t="shared" si="577"/>
        <v>22.170849845882874</v>
      </c>
      <c r="BX869" s="75">
        <f>BW869*(1-PARAM!$C$27)*$I$21+(MOD($B869,60)=PARAM!$B$56)*($B869&gt;(60-PARAM!$B$56))*HLOOKUP(($B869+PARAM!$B$56)/12,Loyalty,2)*$F$1*MAX(BZ868,0)</f>
        <v>18.557001321003963</v>
      </c>
      <c r="BY869" s="75">
        <f>PARAM!$C$26+MAX($G$21-CHOOSE(PARAM!$B$44,MAX(0,BZ868*$F$1),0),0)*RATES!$L845/12+$H$21*(PARAM!$D$51/12)*RATES!$N845/100</f>
        <v>1190.0416666666667</v>
      </c>
      <c r="BZ869" s="16">
        <f t="shared" si="603"/>
        <v>-202729.95457859692</v>
      </c>
      <c r="CA869" s="15">
        <f t="shared" si="578"/>
        <v>22.170849845882874</v>
      </c>
      <c r="CB869" s="75">
        <f>CA869*(1-PARAM!$C$27)*$I$22+(MOD($B869,60)=PARAM!$B$56)*($B869&gt;(60-PARAM!$B$56))*HLOOKUP(($B869+PARAM!$B$56)/12,Loyalty,2)*$F$1*MAX(CD868,0)</f>
        <v>18.557001321003963</v>
      </c>
      <c r="CC869" s="75">
        <f>PARAM!$C$26+MAX($G$22-CHOOSE(PARAM!$B$44,MAX(0,CD868*$F$1),0),0)*RATES!$L845/12+$H$22*(PARAM!$D$51/12)*RATES!$N845/100</f>
        <v>1190.0416666666667</v>
      </c>
      <c r="CD869" s="16">
        <f t="shared" si="604"/>
        <v>-202729.95457859692</v>
      </c>
      <c r="CE869" s="33">
        <f>IF(0=MOD(B869,12/PARAM!$D$51),1,0)</f>
        <v>1</v>
      </c>
      <c r="CF869" s="15">
        <f t="shared" si="579"/>
        <v>0</v>
      </c>
      <c r="CG869" s="75">
        <f>CF869*(1-PARAM!$C$27)*$R$3+(MOD($B869/12,5)=0)*($B869&gt;60)*HLOOKUP($B869/12,Loyalty,2)*$F$1*MAX(CI868,0)</f>
        <v>0</v>
      </c>
      <c r="CH869" s="75">
        <f>PARAM!$C$26+MAX($P$3-CHOOSE(PARAM!$B$44,MAX(0,CI868*$F$1),0),0)*RATES!$L845/12+$Q$3*(PARAM!$D$51/12)*RATES!$N845/100</f>
        <v>1190.0416666666667</v>
      </c>
      <c r="CI869" s="16">
        <f>IF(CI868&gt;0,CI868*PARAM!$C$53,CI868)+CG869-CH869</f>
        <v>-218235.37499999997</v>
      </c>
      <c r="CJ869" s="15">
        <f t="shared" si="605"/>
        <v>0</v>
      </c>
      <c r="CK869" s="75">
        <f>CJ869*(1-PARAM!$C$27)*$R$4+(MOD($B869/12,5)=0)*($B869&gt;60)*HLOOKUP($B869/12,Loyalty,2)*$F$1*MAX(CM868,0)</f>
        <v>0</v>
      </c>
      <c r="CL869" s="75">
        <f>PARAM!$C$26+MAX($P$4-CHOOSE(PARAM!$B$44,MAX(0,CM868*$F$1),0),0)*RATES!$L845/12+$Q$4*(PARAM!$D$51/12)*RATES!$N845/100</f>
        <v>1190.0416666666667</v>
      </c>
      <c r="CM869" s="16">
        <f>IF(CM868&gt;0,CM868*PARAM!$C$53,CM868)+CK869-CL869</f>
        <v>-218235.37499999997</v>
      </c>
      <c r="CO869" s="176"/>
    </row>
    <row r="870" spans="1:93" x14ac:dyDescent="0.2">
      <c r="A870" t="b">
        <f t="shared" si="580"/>
        <v>0</v>
      </c>
      <c r="B870" s="33">
        <v>843</v>
      </c>
      <c r="C870" s="15">
        <f t="shared" si="581"/>
        <v>20.081305947392778</v>
      </c>
      <c r="D870" s="75">
        <f>C870*(1-PARAM!$C$27)*$I$3+(MOD($B870,60)=PARAM!$B$56)*($B870&gt;(60-PARAM!$B$56))*HLOOKUP(($B870+PARAM!$B$56)/12,Loyalty,2)*$F$1*MAX(F869,0)</f>
        <v>16.808053077967756</v>
      </c>
      <c r="E870" s="75">
        <f>PARAM!$C$26+MAX($G$3-CHOOSE(PARAM!$B$44,MAX(0,F869*$F$1),0),0)*RATES!$L846/12+$H$3*(PARAM!$D$51/12)*RATES!$N846/100</f>
        <v>1190.0416666666667</v>
      </c>
      <c r="F870" s="16">
        <f t="shared" si="582"/>
        <v>-205412.65311334399</v>
      </c>
      <c r="G870" s="15">
        <f t="shared" si="583"/>
        <v>22.035289406060361</v>
      </c>
      <c r="H870" s="75">
        <f>G870*(1-PARAM!$C$27)*$I$4+(MOD($B870,60)=PARAM!$B$56)*($B870&gt;(60-PARAM!$B$56))*HLOOKUP(($B870+PARAM!$B$56)/12,Loyalty,2)*$F$1*MAX(J869,0)</f>
        <v>18.443537232872522</v>
      </c>
      <c r="I870" s="75">
        <f>PARAM!$C$26+MAX($G$4-CHOOSE(PARAM!$B$44,MAX(0,J869*$F$1),0),0)*RATES!$L846/12+$H$4*(PARAM!$D$51/12)*RATES!$N846/100</f>
        <v>1190.0416666666667</v>
      </c>
      <c r="J870" s="16">
        <f t="shared" si="584"/>
        <v>-204000.10700663665</v>
      </c>
      <c r="K870" s="15">
        <f t="shared" si="585"/>
        <v>22.170849845882874</v>
      </c>
      <c r="L870" s="75">
        <f>K870*(1-PARAM!$C$27)*$I$5+(MOD($B870,60)=PARAM!$B$56)*($B870&gt;(60-PARAM!$B$56))*HLOOKUP(($B870+PARAM!$B$56)/12,Loyalty,2)*$F$1*MAX(N869,0)</f>
        <v>18.557001321003963</v>
      </c>
      <c r="M870" s="75">
        <f>PARAM!$C$26+MAX($G$5-CHOOSE(PARAM!$B$44,MAX(0,N869*$F$1),0),0)*RATES!$L846/12+$H$5*(PARAM!$D$51/12)*RATES!$N846/100</f>
        <v>1190.0416666666667</v>
      </c>
      <c r="N870" s="16">
        <f t="shared" si="586"/>
        <v>-203901.43924394259</v>
      </c>
      <c r="O870" s="15">
        <f t="shared" si="587"/>
        <v>22.170849845882874</v>
      </c>
      <c r="P870" s="75">
        <f>O870*(1-PARAM!$C$27)*$I$6+(MOD($B870,60)=PARAM!$B$56)*($B870&gt;(60-PARAM!$B$56))*HLOOKUP(($B870+PARAM!$B$56)/12,Loyalty,2)*$F$1*MAX(R869,0)</f>
        <v>18.557001321003963</v>
      </c>
      <c r="Q870" s="75">
        <f>PARAM!$C$26+MAX($G$6-CHOOSE(PARAM!$B$44,MAX(0,R869*$F$1),0),0)*RATES!$L846/12+$H$6*(PARAM!$D$51/12)*RATES!$N846/100</f>
        <v>1190.0416666666667</v>
      </c>
      <c r="R870" s="16">
        <f t="shared" si="588"/>
        <v>-203901.43924394259</v>
      </c>
      <c r="S870" s="15">
        <f t="shared" si="563"/>
        <v>22.170849845882874</v>
      </c>
      <c r="T870" s="75">
        <f>S870*(1-PARAM!$C$27)*$I$7+(MOD($B870,60)=PARAM!$B$56)*($B870&gt;(60-PARAM!$B$56))*HLOOKUP(($B870+PARAM!$B$56)/12,Loyalty,2)*$F$1*MAX(V869,0)</f>
        <v>18.557001321003963</v>
      </c>
      <c r="U870" s="75">
        <f>PARAM!$C$26+MAX($G$7-CHOOSE(PARAM!$B$44,MAX(0,V869*$F$1),0),0)*RATES!$L846/12+$H$7*(PARAM!$D$51/12)*RATES!$N846/100</f>
        <v>1190.0416666666667</v>
      </c>
      <c r="V870" s="16">
        <f t="shared" si="589"/>
        <v>-203901.43924394259</v>
      </c>
      <c r="W870" s="15">
        <f t="shared" si="564"/>
        <v>22.170849845882874</v>
      </c>
      <c r="X870" s="75">
        <f>W870*(1-PARAM!$C$27)*$I$8+(MOD($B870,60)=PARAM!$B$56)*($B870&gt;(60-PARAM!$B$56))*HLOOKUP(($B870+PARAM!$B$56)/12,Loyalty,2)*$F$1*MAX(Z869,0)</f>
        <v>18.557001321003963</v>
      </c>
      <c r="Y870" s="75">
        <f>PARAM!$C$26+MAX($G$8-CHOOSE(PARAM!$B$44,MAX(0,Z869*$F$1),0),0)*RATES!$L846/12+$H$8*(PARAM!$D$51/12)*RATES!$N846/100</f>
        <v>1190.0416666666667</v>
      </c>
      <c r="Z870" s="16">
        <f t="shared" si="590"/>
        <v>-203901.43924394259</v>
      </c>
      <c r="AA870" s="15">
        <f t="shared" si="565"/>
        <v>22.170849845882874</v>
      </c>
      <c r="AB870" s="75">
        <f>AA870*(1-PARAM!$C$27)*$I$9+(MOD($B870,60)=PARAM!$B$56)*($B870&gt;(60-PARAM!$B$56))*HLOOKUP(($B870+PARAM!$B$56)/12,Loyalty,2)*$F$1*MAX(AD869,0)</f>
        <v>18.557001321003963</v>
      </c>
      <c r="AC870" s="75">
        <f>PARAM!$C$26+MAX($G$9-CHOOSE(PARAM!$B$44,MAX(0,AD869*$F$1),0),0)*RATES!$L846/12+$H$9*(PARAM!$D$51/12)*RATES!$N846/100</f>
        <v>1190.0416666666667</v>
      </c>
      <c r="AD870" s="16">
        <f t="shared" si="591"/>
        <v>-203901.43924394259</v>
      </c>
      <c r="AE870" s="15">
        <f t="shared" si="566"/>
        <v>22.170849845882874</v>
      </c>
      <c r="AF870" s="75">
        <f>AE870*(1-PARAM!$C$27)*$I$10+(MOD($B870,60)=PARAM!$B$56)*($B870&gt;(60-PARAM!$B$56))*HLOOKUP(($B870+PARAM!$B$56)/12,Loyalty,2)*$F$1*MAX(AH869,0)</f>
        <v>18.557001321003963</v>
      </c>
      <c r="AG870" s="75">
        <f>PARAM!$C$26+MAX($G$10-CHOOSE(PARAM!$B$44,MAX(0,AH869*$F$1),0),0)*RATES!$L846/12+$H$10*(PARAM!$D$51/12)*RATES!$N846/100</f>
        <v>1190.0416666666667</v>
      </c>
      <c r="AH870" s="16">
        <f t="shared" si="592"/>
        <v>-203901.43924394259</v>
      </c>
      <c r="AI870" s="15">
        <f t="shared" si="567"/>
        <v>22.170849845882874</v>
      </c>
      <c r="AJ870" s="75">
        <f>AI870*(1-PARAM!$C$27)*$I$11+(MOD($B870,60)=PARAM!$B$56)*($B870&gt;(60-PARAM!$B$56))*HLOOKUP(($B870+PARAM!$B$56)/12,Loyalty,2)*$F$1*MAX(AL869,0)</f>
        <v>18.557001321003963</v>
      </c>
      <c r="AK870" s="75">
        <f>PARAM!$C$26+MAX($G$11-CHOOSE(PARAM!$B$44,MAX(0,AL869*$F$1),0),0)*RATES!$L846/12+$H$11*(PARAM!$D$51/12)*RATES!$N846/100</f>
        <v>1190.0416666666667</v>
      </c>
      <c r="AL870" s="16">
        <f t="shared" si="593"/>
        <v>-203901.43924394259</v>
      </c>
      <c r="AM870" s="15">
        <f t="shared" si="568"/>
        <v>22.170849845882874</v>
      </c>
      <c r="AN870" s="75">
        <f>AM870*(1-PARAM!$C$27)*$I$12+(MOD($B870,60)=PARAM!$B$56)*($B870&gt;(60-PARAM!$B$56))*HLOOKUP(($B870+PARAM!$B$56)/12,Loyalty,2)*$F$1*MAX(AP869,0)</f>
        <v>18.557001321003963</v>
      </c>
      <c r="AO870" s="75">
        <f>PARAM!$C$26+MAX($G$12-CHOOSE(PARAM!$B$44,MAX(0,AP869*$F$1),0),0)*RATES!$L846/12+$H$12*(PARAM!$D$51/12)*RATES!$N846/100</f>
        <v>1190.0416666666667</v>
      </c>
      <c r="AP870" s="16">
        <f t="shared" si="594"/>
        <v>-203901.43924394259</v>
      </c>
      <c r="AQ870" s="15">
        <f t="shared" si="569"/>
        <v>22.170849845882874</v>
      </c>
      <c r="AR870" s="75">
        <f>AQ870*(1-PARAM!$C$27)*$I$13+(MOD($B870,60)=PARAM!$B$56)*($B870&gt;(60-PARAM!$B$56))*HLOOKUP(($B870+PARAM!$B$56)/12,Loyalty,2)*$F$1*MAX(AT869,0)</f>
        <v>18.557001321003963</v>
      </c>
      <c r="AS870" s="75">
        <f>PARAM!$C$26+MAX($G$13-CHOOSE(PARAM!$B$44,MAX(0,AT869*$F$1),0),0)*RATES!$L846/12+$H$13*(PARAM!$D$51/12)*RATES!$N846/100</f>
        <v>1190.0416666666667</v>
      </c>
      <c r="AT870" s="16">
        <f t="shared" si="595"/>
        <v>-203901.43924394259</v>
      </c>
      <c r="AU870" s="15">
        <f t="shared" si="570"/>
        <v>22.170849845882874</v>
      </c>
      <c r="AV870" s="75">
        <f>AU870*(1-PARAM!$C$27)*$I$14+(MOD($B870,60)=PARAM!$B$56)*($B870&gt;(60-PARAM!$B$56))*HLOOKUP(($B870+PARAM!$B$56)/12,Loyalty,2)*$F$1*MAX(AX869,0)</f>
        <v>18.557001321003963</v>
      </c>
      <c r="AW870" s="75">
        <f>PARAM!$C$26+MAX($G$14-CHOOSE(PARAM!$B$44,MAX(0,AX869*$F$1),0),0)*RATES!$L846/12+$H$14*(PARAM!$D$51/12)*RATES!$N846/100</f>
        <v>1190.0416666666667</v>
      </c>
      <c r="AX870" s="16">
        <f t="shared" si="596"/>
        <v>-203901.43924394259</v>
      </c>
      <c r="AY870" s="15">
        <f t="shared" si="571"/>
        <v>22.170849845882874</v>
      </c>
      <c r="AZ870" s="75">
        <f>AY870*(1-PARAM!$C$27)*$I$15+(MOD($B870,60)=PARAM!$B$56)*($B870&gt;(60-PARAM!$B$56))*HLOOKUP(($B870+PARAM!$B$56)/12,Loyalty,2)*$F$1*MAX(BB869,0)</f>
        <v>18.557001321003963</v>
      </c>
      <c r="BA870" s="75">
        <f>PARAM!$C$26+MAX($G$15-CHOOSE(PARAM!$B$44,MAX(0,BB869*$F$1),0),0)*RATES!$L846/12+$H$15*(PARAM!$D$51/12)*RATES!$N846/100</f>
        <v>1190.0416666666667</v>
      </c>
      <c r="BB870" s="16">
        <f t="shared" si="597"/>
        <v>-203901.43924394259</v>
      </c>
      <c r="BC870" s="15">
        <f t="shared" si="572"/>
        <v>22.170849845882874</v>
      </c>
      <c r="BD870" s="75">
        <f>BC870*(1-PARAM!$C$27)*$I$16+(MOD($B870,60)=PARAM!$B$56)*($B870&gt;(60-PARAM!$B$56))*HLOOKUP(($B870+PARAM!$B$56)/12,Loyalty,2)*$F$1*MAX(BF869,0)</f>
        <v>18.557001321003963</v>
      </c>
      <c r="BE870" s="75">
        <f>PARAM!$C$26+MAX($G$16-CHOOSE(PARAM!$B$44,MAX(0,BF869*$F$1),0),0)*RATES!$L846/12+$H$16*(PARAM!$D$51/12)*RATES!$N846/100</f>
        <v>1190.0416666666667</v>
      </c>
      <c r="BF870" s="16">
        <f t="shared" si="598"/>
        <v>-203901.43924394259</v>
      </c>
      <c r="BG870" s="15">
        <f t="shared" si="573"/>
        <v>22.170849845882874</v>
      </c>
      <c r="BH870" s="75">
        <f>BG870*(1-PARAM!$C$27)*$I$17+(MOD($B870,60)=PARAM!$B$56)*($B870&gt;(60-PARAM!$B$56))*HLOOKUP(($B870+PARAM!$B$56)/12,Loyalty,2)*$F$1*MAX(BJ869,0)</f>
        <v>18.557001321003963</v>
      </c>
      <c r="BI870" s="75">
        <f>PARAM!$C$26+MAX($G$17-CHOOSE(PARAM!$B$44,MAX(0,BJ869*$F$1),0),0)*RATES!$L846/12+$H$17*(PARAM!$D$51/12)*RATES!$N846/100</f>
        <v>1190.0416666666667</v>
      </c>
      <c r="BJ870" s="16">
        <f t="shared" si="599"/>
        <v>-203901.43924394259</v>
      </c>
      <c r="BK870" s="15">
        <f t="shared" si="574"/>
        <v>22.170849845882874</v>
      </c>
      <c r="BL870" s="75">
        <f>BK870*(1-PARAM!$C$27)*$I$18+(MOD($B870,60)=PARAM!$B$56)*($B870&gt;(60-PARAM!$B$56))*HLOOKUP(($B870+PARAM!$B$56)/12,Loyalty,2)*$F$1*MAX(BN869,0)</f>
        <v>18.557001321003963</v>
      </c>
      <c r="BM870" s="75">
        <f>PARAM!$C$26+MAX($G$18-CHOOSE(PARAM!$B$44,MAX(0,BN869*$F$1),0),0)*RATES!$L846/12+$H$18*(PARAM!$D$51/12)*RATES!$N846/100</f>
        <v>1190.0416666666667</v>
      </c>
      <c r="BN870" s="16">
        <f t="shared" si="600"/>
        <v>-203901.43924394259</v>
      </c>
      <c r="BO870" s="15">
        <f t="shared" si="575"/>
        <v>22.170849845882874</v>
      </c>
      <c r="BP870" s="75">
        <f>BO870*(1-PARAM!$C$27)*$I$19+(MOD($B870,60)=PARAM!$B$56)*($B870&gt;(60-PARAM!$B$56))*HLOOKUP(($B870+PARAM!$B$56)/12,Loyalty,2)*$F$1*MAX(BR869,0)</f>
        <v>18.557001321003963</v>
      </c>
      <c r="BQ870" s="75">
        <f>PARAM!$C$26+MAX($G$19-CHOOSE(PARAM!$B$44,MAX(0,BR869*$F$1),0),0)*RATES!$L846/12+$H$19*(PARAM!$D$51/12)*RATES!$N846/100</f>
        <v>1190.0416666666667</v>
      </c>
      <c r="BR870" s="16">
        <f t="shared" si="601"/>
        <v>-203901.43924394259</v>
      </c>
      <c r="BS870" s="15">
        <f t="shared" si="576"/>
        <v>22.170849845882874</v>
      </c>
      <c r="BT870" s="75">
        <f>BS870*(1-PARAM!$C$27)*$I$20+(MOD($B870,60)=PARAM!$B$56)*($B870&gt;(60-PARAM!$B$56))*HLOOKUP(($B870+PARAM!$B$56)/12,Loyalty,2)*$F$1*MAX(BV869,0)</f>
        <v>18.557001321003963</v>
      </c>
      <c r="BU870" s="75">
        <f>PARAM!$C$26+MAX($G$20-CHOOSE(PARAM!$B$44,MAX(0,BV869*$F$1),0),0)*RATES!$L846/12+$H$20*(PARAM!$D$51/12)*RATES!$N846/100</f>
        <v>1190.0416666666667</v>
      </c>
      <c r="BV870" s="16">
        <f t="shared" si="602"/>
        <v>-203901.43924394259</v>
      </c>
      <c r="BW870" s="15">
        <f t="shared" si="577"/>
        <v>22.170849845882874</v>
      </c>
      <c r="BX870" s="75">
        <f>BW870*(1-PARAM!$C$27)*$I$21+(MOD($B870,60)=PARAM!$B$56)*($B870&gt;(60-PARAM!$B$56))*HLOOKUP(($B870+PARAM!$B$56)/12,Loyalty,2)*$F$1*MAX(BZ869,0)</f>
        <v>18.557001321003963</v>
      </c>
      <c r="BY870" s="75">
        <f>PARAM!$C$26+MAX($G$21-CHOOSE(PARAM!$B$44,MAX(0,BZ869*$F$1),0),0)*RATES!$L846/12+$H$21*(PARAM!$D$51/12)*RATES!$N846/100</f>
        <v>1190.0416666666667</v>
      </c>
      <c r="BZ870" s="16">
        <f t="shared" si="603"/>
        <v>-203901.43924394259</v>
      </c>
      <c r="CA870" s="15">
        <f t="shared" si="578"/>
        <v>22.170849845882874</v>
      </c>
      <c r="CB870" s="75">
        <f>CA870*(1-PARAM!$C$27)*$I$22+(MOD($B870,60)=PARAM!$B$56)*($B870&gt;(60-PARAM!$B$56))*HLOOKUP(($B870+PARAM!$B$56)/12,Loyalty,2)*$F$1*MAX(CD869,0)</f>
        <v>18.557001321003963</v>
      </c>
      <c r="CC870" s="75">
        <f>PARAM!$C$26+MAX($G$22-CHOOSE(PARAM!$B$44,MAX(0,CD869*$F$1),0),0)*RATES!$L846/12+$H$22*(PARAM!$D$51/12)*RATES!$N846/100</f>
        <v>1190.0416666666667</v>
      </c>
      <c r="CD870" s="16">
        <f t="shared" si="604"/>
        <v>-203901.43924394259</v>
      </c>
      <c r="CE870" s="33">
        <f>IF(0=MOD(B870,12/PARAM!$D$51),1,0)</f>
        <v>1</v>
      </c>
      <c r="CF870" s="15">
        <f t="shared" si="579"/>
        <v>0</v>
      </c>
      <c r="CG870" s="75">
        <f>CF870*(1-PARAM!$C$27)*$R$3+(MOD($B870/12,5)=0)*($B870&gt;60)*HLOOKUP($B870/12,Loyalty,2)*$F$1*MAX(CI869,0)</f>
        <v>0</v>
      </c>
      <c r="CH870" s="75">
        <f>PARAM!$C$26+MAX($P$3-CHOOSE(PARAM!$B$44,MAX(0,CI869*$F$1),0),0)*RATES!$L846/12+$Q$3*(PARAM!$D$51/12)*RATES!$N846/100</f>
        <v>1190.0416666666667</v>
      </c>
      <c r="CI870" s="16">
        <f>IF(CI869&gt;0,CI869*PARAM!$C$53,CI869)+CG870-CH870</f>
        <v>-219425.41666666663</v>
      </c>
      <c r="CJ870" s="15">
        <f t="shared" si="605"/>
        <v>0</v>
      </c>
      <c r="CK870" s="75">
        <f>CJ870*(1-PARAM!$C$27)*$R$4+(MOD($B870/12,5)=0)*($B870&gt;60)*HLOOKUP($B870/12,Loyalty,2)*$F$1*MAX(CM869,0)</f>
        <v>0</v>
      </c>
      <c r="CL870" s="75">
        <f>PARAM!$C$26+MAX($P$4-CHOOSE(PARAM!$B$44,MAX(0,CM869*$F$1),0),0)*RATES!$L846/12+$Q$4*(PARAM!$D$51/12)*RATES!$N846/100</f>
        <v>1190.0416666666667</v>
      </c>
      <c r="CM870" s="16">
        <f>IF(CM869&gt;0,CM869*PARAM!$C$53,CM869)+CK870-CL870</f>
        <v>-219425.41666666663</v>
      </c>
      <c r="CO870" s="176"/>
    </row>
    <row r="871" spans="1:93" x14ac:dyDescent="0.2">
      <c r="A871" t="b">
        <f t="shared" si="580"/>
        <v>0</v>
      </c>
      <c r="B871" s="33">
        <v>844</v>
      </c>
      <c r="C871" s="15">
        <f t="shared" si="581"/>
        <v>20.081305947392778</v>
      </c>
      <c r="D871" s="75">
        <f>C871*(1-PARAM!$C$27)*$I$3+(MOD($B871,60)=PARAM!$B$56)*($B871&gt;(60-PARAM!$B$56))*HLOOKUP(($B871+PARAM!$B$56)/12,Loyalty,2)*$F$1*MAX(F870,0)</f>
        <v>16.808053077967756</v>
      </c>
      <c r="E871" s="75">
        <f>PARAM!$C$26+MAX($G$3-CHOOSE(PARAM!$B$44,MAX(0,F870*$F$1),0),0)*RATES!$L847/12+$H$3*(PARAM!$D$51/12)*RATES!$N847/100</f>
        <v>1190.0416666666667</v>
      </c>
      <c r="F871" s="16">
        <f t="shared" si="582"/>
        <v>-206585.88672693269</v>
      </c>
      <c r="G871" s="15">
        <f t="shared" si="583"/>
        <v>22.035289406060361</v>
      </c>
      <c r="H871" s="75">
        <f>G871*(1-PARAM!$C$27)*$I$4+(MOD($B871,60)=PARAM!$B$56)*($B871&gt;(60-PARAM!$B$56))*HLOOKUP(($B871+PARAM!$B$56)/12,Loyalty,2)*$F$1*MAX(J870,0)</f>
        <v>18.443537232872522</v>
      </c>
      <c r="I871" s="75">
        <f>PARAM!$C$26+MAX($G$4-CHOOSE(PARAM!$B$44,MAX(0,J870*$F$1),0),0)*RATES!$L847/12+$H$4*(PARAM!$D$51/12)*RATES!$N847/100</f>
        <v>1190.0416666666667</v>
      </c>
      <c r="J871" s="16">
        <f t="shared" si="584"/>
        <v>-205171.70513607044</v>
      </c>
      <c r="K871" s="15">
        <f t="shared" si="585"/>
        <v>22.170849845882874</v>
      </c>
      <c r="L871" s="75">
        <f>K871*(1-PARAM!$C$27)*$I$5+(MOD($B871,60)=PARAM!$B$56)*($B871&gt;(60-PARAM!$B$56))*HLOOKUP(($B871+PARAM!$B$56)/12,Loyalty,2)*$F$1*MAX(N870,0)</f>
        <v>18.557001321003963</v>
      </c>
      <c r="M871" s="75">
        <f>PARAM!$C$26+MAX($G$5-CHOOSE(PARAM!$B$44,MAX(0,N870*$F$1),0),0)*RATES!$L847/12+$H$5*(PARAM!$D$51/12)*RATES!$N847/100</f>
        <v>1190.0416666666667</v>
      </c>
      <c r="N871" s="16">
        <f t="shared" si="586"/>
        <v>-205072.92390928825</v>
      </c>
      <c r="O871" s="15">
        <f t="shared" si="587"/>
        <v>22.170849845882874</v>
      </c>
      <c r="P871" s="75">
        <f>O871*(1-PARAM!$C$27)*$I$6+(MOD($B871,60)=PARAM!$B$56)*($B871&gt;(60-PARAM!$B$56))*HLOOKUP(($B871+PARAM!$B$56)/12,Loyalty,2)*$F$1*MAX(R870,0)</f>
        <v>18.557001321003963</v>
      </c>
      <c r="Q871" s="75">
        <f>PARAM!$C$26+MAX($G$6-CHOOSE(PARAM!$B$44,MAX(0,R870*$F$1),0),0)*RATES!$L847/12+$H$6*(PARAM!$D$51/12)*RATES!$N847/100</f>
        <v>1190.0416666666667</v>
      </c>
      <c r="R871" s="16">
        <f t="shared" si="588"/>
        <v>-205072.92390928825</v>
      </c>
      <c r="S871" s="15">
        <f t="shared" si="563"/>
        <v>22.170849845882874</v>
      </c>
      <c r="T871" s="75">
        <f>S871*(1-PARAM!$C$27)*$I$7+(MOD($B871,60)=PARAM!$B$56)*($B871&gt;(60-PARAM!$B$56))*HLOOKUP(($B871+PARAM!$B$56)/12,Loyalty,2)*$F$1*MAX(V870,0)</f>
        <v>18.557001321003963</v>
      </c>
      <c r="U871" s="75">
        <f>PARAM!$C$26+MAX($G$7-CHOOSE(PARAM!$B$44,MAX(0,V870*$F$1),0),0)*RATES!$L847/12+$H$7*(PARAM!$D$51/12)*RATES!$N847/100</f>
        <v>1190.0416666666667</v>
      </c>
      <c r="V871" s="16">
        <f t="shared" si="589"/>
        <v>-205072.92390928825</v>
      </c>
      <c r="W871" s="15">
        <f t="shared" si="564"/>
        <v>22.170849845882874</v>
      </c>
      <c r="X871" s="75">
        <f>W871*(1-PARAM!$C$27)*$I$8+(MOD($B871,60)=PARAM!$B$56)*($B871&gt;(60-PARAM!$B$56))*HLOOKUP(($B871+PARAM!$B$56)/12,Loyalty,2)*$F$1*MAX(Z870,0)</f>
        <v>18.557001321003963</v>
      </c>
      <c r="Y871" s="75">
        <f>PARAM!$C$26+MAX($G$8-CHOOSE(PARAM!$B$44,MAX(0,Z870*$F$1),0),0)*RATES!$L847/12+$H$8*(PARAM!$D$51/12)*RATES!$N847/100</f>
        <v>1190.0416666666667</v>
      </c>
      <c r="Z871" s="16">
        <f t="shared" si="590"/>
        <v>-205072.92390928825</v>
      </c>
      <c r="AA871" s="15">
        <f t="shared" si="565"/>
        <v>22.170849845882874</v>
      </c>
      <c r="AB871" s="75">
        <f>AA871*(1-PARAM!$C$27)*$I$9+(MOD($B871,60)=PARAM!$B$56)*($B871&gt;(60-PARAM!$B$56))*HLOOKUP(($B871+PARAM!$B$56)/12,Loyalty,2)*$F$1*MAX(AD870,0)</f>
        <v>18.557001321003963</v>
      </c>
      <c r="AC871" s="75">
        <f>PARAM!$C$26+MAX($G$9-CHOOSE(PARAM!$B$44,MAX(0,AD870*$F$1),0),0)*RATES!$L847/12+$H$9*(PARAM!$D$51/12)*RATES!$N847/100</f>
        <v>1190.0416666666667</v>
      </c>
      <c r="AD871" s="16">
        <f t="shared" si="591"/>
        <v>-205072.92390928825</v>
      </c>
      <c r="AE871" s="15">
        <f t="shared" si="566"/>
        <v>22.170849845882874</v>
      </c>
      <c r="AF871" s="75">
        <f>AE871*(1-PARAM!$C$27)*$I$10+(MOD($B871,60)=PARAM!$B$56)*($B871&gt;(60-PARAM!$B$56))*HLOOKUP(($B871+PARAM!$B$56)/12,Loyalty,2)*$F$1*MAX(AH870,0)</f>
        <v>18.557001321003963</v>
      </c>
      <c r="AG871" s="75">
        <f>PARAM!$C$26+MAX($G$10-CHOOSE(PARAM!$B$44,MAX(0,AH870*$F$1),0),0)*RATES!$L847/12+$H$10*(PARAM!$D$51/12)*RATES!$N847/100</f>
        <v>1190.0416666666667</v>
      </c>
      <c r="AH871" s="16">
        <f t="shared" si="592"/>
        <v>-205072.92390928825</v>
      </c>
      <c r="AI871" s="15">
        <f t="shared" si="567"/>
        <v>22.170849845882874</v>
      </c>
      <c r="AJ871" s="75">
        <f>AI871*(1-PARAM!$C$27)*$I$11+(MOD($B871,60)=PARAM!$B$56)*($B871&gt;(60-PARAM!$B$56))*HLOOKUP(($B871+PARAM!$B$56)/12,Loyalty,2)*$F$1*MAX(AL870,0)</f>
        <v>18.557001321003963</v>
      </c>
      <c r="AK871" s="75">
        <f>PARAM!$C$26+MAX($G$11-CHOOSE(PARAM!$B$44,MAX(0,AL870*$F$1),0),0)*RATES!$L847/12+$H$11*(PARAM!$D$51/12)*RATES!$N847/100</f>
        <v>1190.0416666666667</v>
      </c>
      <c r="AL871" s="16">
        <f t="shared" si="593"/>
        <v>-205072.92390928825</v>
      </c>
      <c r="AM871" s="15">
        <f t="shared" si="568"/>
        <v>22.170849845882874</v>
      </c>
      <c r="AN871" s="75">
        <f>AM871*(1-PARAM!$C$27)*$I$12+(MOD($B871,60)=PARAM!$B$56)*($B871&gt;(60-PARAM!$B$56))*HLOOKUP(($B871+PARAM!$B$56)/12,Loyalty,2)*$F$1*MAX(AP870,0)</f>
        <v>18.557001321003963</v>
      </c>
      <c r="AO871" s="75">
        <f>PARAM!$C$26+MAX($G$12-CHOOSE(PARAM!$B$44,MAX(0,AP870*$F$1),0),0)*RATES!$L847/12+$H$12*(PARAM!$D$51/12)*RATES!$N847/100</f>
        <v>1190.0416666666667</v>
      </c>
      <c r="AP871" s="16">
        <f t="shared" si="594"/>
        <v>-205072.92390928825</v>
      </c>
      <c r="AQ871" s="15">
        <f t="shared" si="569"/>
        <v>22.170849845882874</v>
      </c>
      <c r="AR871" s="75">
        <f>AQ871*(1-PARAM!$C$27)*$I$13+(MOD($B871,60)=PARAM!$B$56)*($B871&gt;(60-PARAM!$B$56))*HLOOKUP(($B871+PARAM!$B$56)/12,Loyalty,2)*$F$1*MAX(AT870,0)</f>
        <v>18.557001321003963</v>
      </c>
      <c r="AS871" s="75">
        <f>PARAM!$C$26+MAX($G$13-CHOOSE(PARAM!$B$44,MAX(0,AT870*$F$1),0),0)*RATES!$L847/12+$H$13*(PARAM!$D$51/12)*RATES!$N847/100</f>
        <v>1190.0416666666667</v>
      </c>
      <c r="AT871" s="16">
        <f t="shared" si="595"/>
        <v>-205072.92390928825</v>
      </c>
      <c r="AU871" s="15">
        <f t="shared" si="570"/>
        <v>22.170849845882874</v>
      </c>
      <c r="AV871" s="75">
        <f>AU871*(1-PARAM!$C$27)*$I$14+(MOD($B871,60)=PARAM!$B$56)*($B871&gt;(60-PARAM!$B$56))*HLOOKUP(($B871+PARAM!$B$56)/12,Loyalty,2)*$F$1*MAX(AX870,0)</f>
        <v>18.557001321003963</v>
      </c>
      <c r="AW871" s="75">
        <f>PARAM!$C$26+MAX($G$14-CHOOSE(PARAM!$B$44,MAX(0,AX870*$F$1),0),0)*RATES!$L847/12+$H$14*(PARAM!$D$51/12)*RATES!$N847/100</f>
        <v>1190.0416666666667</v>
      </c>
      <c r="AX871" s="16">
        <f t="shared" si="596"/>
        <v>-205072.92390928825</v>
      </c>
      <c r="AY871" s="15">
        <f t="shared" si="571"/>
        <v>22.170849845882874</v>
      </c>
      <c r="AZ871" s="75">
        <f>AY871*(1-PARAM!$C$27)*$I$15+(MOD($B871,60)=PARAM!$B$56)*($B871&gt;(60-PARAM!$B$56))*HLOOKUP(($B871+PARAM!$B$56)/12,Loyalty,2)*$F$1*MAX(BB870,0)</f>
        <v>18.557001321003963</v>
      </c>
      <c r="BA871" s="75">
        <f>PARAM!$C$26+MAX($G$15-CHOOSE(PARAM!$B$44,MAX(0,BB870*$F$1),0),0)*RATES!$L847/12+$H$15*(PARAM!$D$51/12)*RATES!$N847/100</f>
        <v>1190.0416666666667</v>
      </c>
      <c r="BB871" s="16">
        <f t="shared" si="597"/>
        <v>-205072.92390928825</v>
      </c>
      <c r="BC871" s="15">
        <f t="shared" si="572"/>
        <v>22.170849845882874</v>
      </c>
      <c r="BD871" s="75">
        <f>BC871*(1-PARAM!$C$27)*$I$16+(MOD($B871,60)=PARAM!$B$56)*($B871&gt;(60-PARAM!$B$56))*HLOOKUP(($B871+PARAM!$B$56)/12,Loyalty,2)*$F$1*MAX(BF870,0)</f>
        <v>18.557001321003963</v>
      </c>
      <c r="BE871" s="75">
        <f>PARAM!$C$26+MAX($G$16-CHOOSE(PARAM!$B$44,MAX(0,BF870*$F$1),0),0)*RATES!$L847/12+$H$16*(PARAM!$D$51/12)*RATES!$N847/100</f>
        <v>1190.0416666666667</v>
      </c>
      <c r="BF871" s="16">
        <f t="shared" si="598"/>
        <v>-205072.92390928825</v>
      </c>
      <c r="BG871" s="15">
        <f t="shared" si="573"/>
        <v>22.170849845882874</v>
      </c>
      <c r="BH871" s="75">
        <f>BG871*(1-PARAM!$C$27)*$I$17+(MOD($B871,60)=PARAM!$B$56)*($B871&gt;(60-PARAM!$B$56))*HLOOKUP(($B871+PARAM!$B$56)/12,Loyalty,2)*$F$1*MAX(BJ870,0)</f>
        <v>18.557001321003963</v>
      </c>
      <c r="BI871" s="75">
        <f>PARAM!$C$26+MAX($G$17-CHOOSE(PARAM!$B$44,MAX(0,BJ870*$F$1),0),0)*RATES!$L847/12+$H$17*(PARAM!$D$51/12)*RATES!$N847/100</f>
        <v>1190.0416666666667</v>
      </c>
      <c r="BJ871" s="16">
        <f t="shared" si="599"/>
        <v>-205072.92390928825</v>
      </c>
      <c r="BK871" s="15">
        <f t="shared" si="574"/>
        <v>22.170849845882874</v>
      </c>
      <c r="BL871" s="75">
        <f>BK871*(1-PARAM!$C$27)*$I$18+(MOD($B871,60)=PARAM!$B$56)*($B871&gt;(60-PARAM!$B$56))*HLOOKUP(($B871+PARAM!$B$56)/12,Loyalty,2)*$F$1*MAX(BN870,0)</f>
        <v>18.557001321003963</v>
      </c>
      <c r="BM871" s="75">
        <f>PARAM!$C$26+MAX($G$18-CHOOSE(PARAM!$B$44,MAX(0,BN870*$F$1),0),0)*RATES!$L847/12+$H$18*(PARAM!$D$51/12)*RATES!$N847/100</f>
        <v>1190.0416666666667</v>
      </c>
      <c r="BN871" s="16">
        <f t="shared" si="600"/>
        <v>-205072.92390928825</v>
      </c>
      <c r="BO871" s="15">
        <f t="shared" si="575"/>
        <v>22.170849845882874</v>
      </c>
      <c r="BP871" s="75">
        <f>BO871*(1-PARAM!$C$27)*$I$19+(MOD($B871,60)=PARAM!$B$56)*($B871&gt;(60-PARAM!$B$56))*HLOOKUP(($B871+PARAM!$B$56)/12,Loyalty,2)*$F$1*MAX(BR870,0)</f>
        <v>18.557001321003963</v>
      </c>
      <c r="BQ871" s="75">
        <f>PARAM!$C$26+MAX($G$19-CHOOSE(PARAM!$B$44,MAX(0,BR870*$F$1),0),0)*RATES!$L847/12+$H$19*(PARAM!$D$51/12)*RATES!$N847/100</f>
        <v>1190.0416666666667</v>
      </c>
      <c r="BR871" s="16">
        <f t="shared" si="601"/>
        <v>-205072.92390928825</v>
      </c>
      <c r="BS871" s="15">
        <f t="shared" si="576"/>
        <v>22.170849845882874</v>
      </c>
      <c r="BT871" s="75">
        <f>BS871*(1-PARAM!$C$27)*$I$20+(MOD($B871,60)=PARAM!$B$56)*($B871&gt;(60-PARAM!$B$56))*HLOOKUP(($B871+PARAM!$B$56)/12,Loyalty,2)*$F$1*MAX(BV870,0)</f>
        <v>18.557001321003963</v>
      </c>
      <c r="BU871" s="75">
        <f>PARAM!$C$26+MAX($G$20-CHOOSE(PARAM!$B$44,MAX(0,BV870*$F$1),0),0)*RATES!$L847/12+$H$20*(PARAM!$D$51/12)*RATES!$N847/100</f>
        <v>1190.0416666666667</v>
      </c>
      <c r="BV871" s="16">
        <f t="shared" si="602"/>
        <v>-205072.92390928825</v>
      </c>
      <c r="BW871" s="15">
        <f t="shared" si="577"/>
        <v>22.170849845882874</v>
      </c>
      <c r="BX871" s="75">
        <f>BW871*(1-PARAM!$C$27)*$I$21+(MOD($B871,60)=PARAM!$B$56)*($B871&gt;(60-PARAM!$B$56))*HLOOKUP(($B871+PARAM!$B$56)/12,Loyalty,2)*$F$1*MAX(BZ870,0)</f>
        <v>18.557001321003963</v>
      </c>
      <c r="BY871" s="75">
        <f>PARAM!$C$26+MAX($G$21-CHOOSE(PARAM!$B$44,MAX(0,BZ870*$F$1),0),0)*RATES!$L847/12+$H$21*(PARAM!$D$51/12)*RATES!$N847/100</f>
        <v>1190.0416666666667</v>
      </c>
      <c r="BZ871" s="16">
        <f t="shared" si="603"/>
        <v>-205072.92390928825</v>
      </c>
      <c r="CA871" s="15">
        <f t="shared" si="578"/>
        <v>22.170849845882874</v>
      </c>
      <c r="CB871" s="75">
        <f>CA871*(1-PARAM!$C$27)*$I$22+(MOD($B871,60)=PARAM!$B$56)*($B871&gt;(60-PARAM!$B$56))*HLOOKUP(($B871+PARAM!$B$56)/12,Loyalty,2)*$F$1*MAX(CD870,0)</f>
        <v>18.557001321003963</v>
      </c>
      <c r="CC871" s="75">
        <f>PARAM!$C$26+MAX($G$22-CHOOSE(PARAM!$B$44,MAX(0,CD870*$F$1),0),0)*RATES!$L847/12+$H$22*(PARAM!$D$51/12)*RATES!$N847/100</f>
        <v>1190.0416666666667</v>
      </c>
      <c r="CD871" s="16">
        <f t="shared" si="604"/>
        <v>-205072.92390928825</v>
      </c>
      <c r="CE871" s="33">
        <f>IF(0=MOD(B871,12/PARAM!$D$51),1,0)</f>
        <v>1</v>
      </c>
      <c r="CF871" s="15">
        <f t="shared" si="579"/>
        <v>0</v>
      </c>
      <c r="CG871" s="75">
        <f>CF871*(1-PARAM!$C$27)*$R$3+(MOD($B871/12,5)=0)*($B871&gt;60)*HLOOKUP($B871/12,Loyalty,2)*$F$1*MAX(CI870,0)</f>
        <v>0</v>
      </c>
      <c r="CH871" s="75">
        <f>PARAM!$C$26+MAX($P$3-CHOOSE(PARAM!$B$44,MAX(0,CI870*$F$1),0),0)*RATES!$L847/12+$Q$3*(PARAM!$D$51/12)*RATES!$N847/100</f>
        <v>1190.0416666666667</v>
      </c>
      <c r="CI871" s="16">
        <f>IF(CI870&gt;0,CI870*PARAM!$C$53,CI870)+CG871-CH871</f>
        <v>-220615.45833333328</v>
      </c>
      <c r="CJ871" s="15">
        <f t="shared" si="605"/>
        <v>0</v>
      </c>
      <c r="CK871" s="75">
        <f>CJ871*(1-PARAM!$C$27)*$R$4+(MOD($B871/12,5)=0)*($B871&gt;60)*HLOOKUP($B871/12,Loyalty,2)*$F$1*MAX(CM870,0)</f>
        <v>0</v>
      </c>
      <c r="CL871" s="75">
        <f>PARAM!$C$26+MAX($P$4-CHOOSE(PARAM!$B$44,MAX(0,CM870*$F$1),0),0)*RATES!$L847/12+$Q$4*(PARAM!$D$51/12)*RATES!$N847/100</f>
        <v>1190.0416666666667</v>
      </c>
      <c r="CM871" s="16">
        <f>IF(CM870&gt;0,CM870*PARAM!$C$53,CM870)+CK871-CL871</f>
        <v>-220615.45833333328</v>
      </c>
      <c r="CO871" s="176"/>
    </row>
    <row r="872" spans="1:93" x14ac:dyDescent="0.2">
      <c r="A872" t="b">
        <f t="shared" si="580"/>
        <v>0</v>
      </c>
      <c r="B872" s="33">
        <v>845</v>
      </c>
      <c r="C872" s="15">
        <f t="shared" si="581"/>
        <v>20.081305947392778</v>
      </c>
      <c r="D872" s="75">
        <f>C872*(1-PARAM!$C$27)*$I$3+(MOD($B872,60)=PARAM!$B$56)*($B872&gt;(60-PARAM!$B$56))*HLOOKUP(($B872+PARAM!$B$56)/12,Loyalty,2)*$F$1*MAX(F871,0)</f>
        <v>16.808053077967756</v>
      </c>
      <c r="E872" s="75">
        <f>PARAM!$C$26+MAX($G$3-CHOOSE(PARAM!$B$44,MAX(0,F871*$F$1),0),0)*RATES!$L848/12+$H$3*(PARAM!$D$51/12)*RATES!$N848/100</f>
        <v>1190.0416666666667</v>
      </c>
      <c r="F872" s="16">
        <f t="shared" si="582"/>
        <v>-207759.12034052139</v>
      </c>
      <c r="G872" s="15">
        <f t="shared" si="583"/>
        <v>22.035289406060361</v>
      </c>
      <c r="H872" s="75">
        <f>G872*(1-PARAM!$C$27)*$I$4+(MOD($B872,60)=PARAM!$B$56)*($B872&gt;(60-PARAM!$B$56))*HLOOKUP(($B872+PARAM!$B$56)/12,Loyalty,2)*$F$1*MAX(J871,0)</f>
        <v>18.443537232872522</v>
      </c>
      <c r="I872" s="75">
        <f>PARAM!$C$26+MAX($G$4-CHOOSE(PARAM!$B$44,MAX(0,J871*$F$1),0),0)*RATES!$L848/12+$H$4*(PARAM!$D$51/12)*RATES!$N848/100</f>
        <v>1190.0416666666667</v>
      </c>
      <c r="J872" s="16">
        <f t="shared" si="584"/>
        <v>-206343.30326550422</v>
      </c>
      <c r="K872" s="15">
        <f t="shared" si="585"/>
        <v>22.170849845882874</v>
      </c>
      <c r="L872" s="75">
        <f>K872*(1-PARAM!$C$27)*$I$5+(MOD($B872,60)=PARAM!$B$56)*($B872&gt;(60-PARAM!$B$56))*HLOOKUP(($B872+PARAM!$B$56)/12,Loyalty,2)*$F$1*MAX(N871,0)</f>
        <v>18.557001321003963</v>
      </c>
      <c r="M872" s="75">
        <f>PARAM!$C$26+MAX($G$5-CHOOSE(PARAM!$B$44,MAX(0,N871*$F$1),0),0)*RATES!$L848/12+$H$5*(PARAM!$D$51/12)*RATES!$N848/100</f>
        <v>1190.0416666666667</v>
      </c>
      <c r="N872" s="16">
        <f t="shared" si="586"/>
        <v>-206244.40857463391</v>
      </c>
      <c r="O872" s="15">
        <f t="shared" si="587"/>
        <v>22.170849845882874</v>
      </c>
      <c r="P872" s="75">
        <f>O872*(1-PARAM!$C$27)*$I$6+(MOD($B872,60)=PARAM!$B$56)*($B872&gt;(60-PARAM!$B$56))*HLOOKUP(($B872+PARAM!$B$56)/12,Loyalty,2)*$F$1*MAX(R871,0)</f>
        <v>18.557001321003963</v>
      </c>
      <c r="Q872" s="75">
        <f>PARAM!$C$26+MAX($G$6-CHOOSE(PARAM!$B$44,MAX(0,R871*$F$1),0),0)*RATES!$L848/12+$H$6*(PARAM!$D$51/12)*RATES!$N848/100</f>
        <v>1190.0416666666667</v>
      </c>
      <c r="R872" s="16">
        <f t="shared" si="588"/>
        <v>-206244.40857463391</v>
      </c>
      <c r="S872" s="15">
        <f t="shared" si="563"/>
        <v>22.170849845882874</v>
      </c>
      <c r="T872" s="75">
        <f>S872*(1-PARAM!$C$27)*$I$7+(MOD($B872,60)=PARAM!$B$56)*($B872&gt;(60-PARAM!$B$56))*HLOOKUP(($B872+PARAM!$B$56)/12,Loyalty,2)*$F$1*MAX(V871,0)</f>
        <v>18.557001321003963</v>
      </c>
      <c r="U872" s="75">
        <f>PARAM!$C$26+MAX($G$7-CHOOSE(PARAM!$B$44,MAX(0,V871*$F$1),0),0)*RATES!$L848/12+$H$7*(PARAM!$D$51/12)*RATES!$N848/100</f>
        <v>1190.0416666666667</v>
      </c>
      <c r="V872" s="16">
        <f t="shared" si="589"/>
        <v>-206244.40857463391</v>
      </c>
      <c r="W872" s="15">
        <f t="shared" si="564"/>
        <v>22.170849845882874</v>
      </c>
      <c r="X872" s="75">
        <f>W872*(1-PARAM!$C$27)*$I$8+(MOD($B872,60)=PARAM!$B$56)*($B872&gt;(60-PARAM!$B$56))*HLOOKUP(($B872+PARAM!$B$56)/12,Loyalty,2)*$F$1*MAX(Z871,0)</f>
        <v>18.557001321003963</v>
      </c>
      <c r="Y872" s="75">
        <f>PARAM!$C$26+MAX($G$8-CHOOSE(PARAM!$B$44,MAX(0,Z871*$F$1),0),0)*RATES!$L848/12+$H$8*(PARAM!$D$51/12)*RATES!$N848/100</f>
        <v>1190.0416666666667</v>
      </c>
      <c r="Z872" s="16">
        <f t="shared" si="590"/>
        <v>-206244.40857463391</v>
      </c>
      <c r="AA872" s="15">
        <f t="shared" si="565"/>
        <v>22.170849845882874</v>
      </c>
      <c r="AB872" s="75">
        <f>AA872*(1-PARAM!$C$27)*$I$9+(MOD($B872,60)=PARAM!$B$56)*($B872&gt;(60-PARAM!$B$56))*HLOOKUP(($B872+PARAM!$B$56)/12,Loyalty,2)*$F$1*MAX(AD871,0)</f>
        <v>18.557001321003963</v>
      </c>
      <c r="AC872" s="75">
        <f>PARAM!$C$26+MAX($G$9-CHOOSE(PARAM!$B$44,MAX(0,AD871*$F$1),0),0)*RATES!$L848/12+$H$9*(PARAM!$D$51/12)*RATES!$N848/100</f>
        <v>1190.0416666666667</v>
      </c>
      <c r="AD872" s="16">
        <f t="shared" si="591"/>
        <v>-206244.40857463391</v>
      </c>
      <c r="AE872" s="15">
        <f t="shared" si="566"/>
        <v>22.170849845882874</v>
      </c>
      <c r="AF872" s="75">
        <f>AE872*(1-PARAM!$C$27)*$I$10+(MOD($B872,60)=PARAM!$B$56)*($B872&gt;(60-PARAM!$B$56))*HLOOKUP(($B872+PARAM!$B$56)/12,Loyalty,2)*$F$1*MAX(AH871,0)</f>
        <v>18.557001321003963</v>
      </c>
      <c r="AG872" s="75">
        <f>PARAM!$C$26+MAX($G$10-CHOOSE(PARAM!$B$44,MAX(0,AH871*$F$1),0),0)*RATES!$L848/12+$H$10*(PARAM!$D$51/12)*RATES!$N848/100</f>
        <v>1190.0416666666667</v>
      </c>
      <c r="AH872" s="16">
        <f t="shared" si="592"/>
        <v>-206244.40857463391</v>
      </c>
      <c r="AI872" s="15">
        <f t="shared" si="567"/>
        <v>22.170849845882874</v>
      </c>
      <c r="AJ872" s="75">
        <f>AI872*(1-PARAM!$C$27)*$I$11+(MOD($B872,60)=PARAM!$B$56)*($B872&gt;(60-PARAM!$B$56))*HLOOKUP(($B872+PARAM!$B$56)/12,Loyalty,2)*$F$1*MAX(AL871,0)</f>
        <v>18.557001321003963</v>
      </c>
      <c r="AK872" s="75">
        <f>PARAM!$C$26+MAX($G$11-CHOOSE(PARAM!$B$44,MAX(0,AL871*$F$1),0),0)*RATES!$L848/12+$H$11*(PARAM!$D$51/12)*RATES!$N848/100</f>
        <v>1190.0416666666667</v>
      </c>
      <c r="AL872" s="16">
        <f t="shared" si="593"/>
        <v>-206244.40857463391</v>
      </c>
      <c r="AM872" s="15">
        <f t="shared" si="568"/>
        <v>22.170849845882874</v>
      </c>
      <c r="AN872" s="75">
        <f>AM872*(1-PARAM!$C$27)*$I$12+(MOD($B872,60)=PARAM!$B$56)*($B872&gt;(60-PARAM!$B$56))*HLOOKUP(($B872+PARAM!$B$56)/12,Loyalty,2)*$F$1*MAX(AP871,0)</f>
        <v>18.557001321003963</v>
      </c>
      <c r="AO872" s="75">
        <f>PARAM!$C$26+MAX($G$12-CHOOSE(PARAM!$B$44,MAX(0,AP871*$F$1),0),0)*RATES!$L848/12+$H$12*(PARAM!$D$51/12)*RATES!$N848/100</f>
        <v>1190.0416666666667</v>
      </c>
      <c r="AP872" s="16">
        <f t="shared" si="594"/>
        <v>-206244.40857463391</v>
      </c>
      <c r="AQ872" s="15">
        <f t="shared" si="569"/>
        <v>22.170849845882874</v>
      </c>
      <c r="AR872" s="75">
        <f>AQ872*(1-PARAM!$C$27)*$I$13+(MOD($B872,60)=PARAM!$B$56)*($B872&gt;(60-PARAM!$B$56))*HLOOKUP(($B872+PARAM!$B$56)/12,Loyalty,2)*$F$1*MAX(AT871,0)</f>
        <v>18.557001321003963</v>
      </c>
      <c r="AS872" s="75">
        <f>PARAM!$C$26+MAX($G$13-CHOOSE(PARAM!$B$44,MAX(0,AT871*$F$1),0),0)*RATES!$L848/12+$H$13*(PARAM!$D$51/12)*RATES!$N848/100</f>
        <v>1190.0416666666667</v>
      </c>
      <c r="AT872" s="16">
        <f t="shared" si="595"/>
        <v>-206244.40857463391</v>
      </c>
      <c r="AU872" s="15">
        <f t="shared" si="570"/>
        <v>22.170849845882874</v>
      </c>
      <c r="AV872" s="75">
        <f>AU872*(1-PARAM!$C$27)*$I$14+(MOD($B872,60)=PARAM!$B$56)*($B872&gt;(60-PARAM!$B$56))*HLOOKUP(($B872+PARAM!$B$56)/12,Loyalty,2)*$F$1*MAX(AX871,0)</f>
        <v>18.557001321003963</v>
      </c>
      <c r="AW872" s="75">
        <f>PARAM!$C$26+MAX($G$14-CHOOSE(PARAM!$B$44,MAX(0,AX871*$F$1),0),0)*RATES!$L848/12+$H$14*(PARAM!$D$51/12)*RATES!$N848/100</f>
        <v>1190.0416666666667</v>
      </c>
      <c r="AX872" s="16">
        <f t="shared" si="596"/>
        <v>-206244.40857463391</v>
      </c>
      <c r="AY872" s="15">
        <f t="shared" si="571"/>
        <v>22.170849845882874</v>
      </c>
      <c r="AZ872" s="75">
        <f>AY872*(1-PARAM!$C$27)*$I$15+(MOD($B872,60)=PARAM!$B$56)*($B872&gt;(60-PARAM!$B$56))*HLOOKUP(($B872+PARAM!$B$56)/12,Loyalty,2)*$F$1*MAX(BB871,0)</f>
        <v>18.557001321003963</v>
      </c>
      <c r="BA872" s="75">
        <f>PARAM!$C$26+MAX($G$15-CHOOSE(PARAM!$B$44,MAX(0,BB871*$F$1),0),0)*RATES!$L848/12+$H$15*(PARAM!$D$51/12)*RATES!$N848/100</f>
        <v>1190.0416666666667</v>
      </c>
      <c r="BB872" s="16">
        <f t="shared" si="597"/>
        <v>-206244.40857463391</v>
      </c>
      <c r="BC872" s="15">
        <f t="shared" si="572"/>
        <v>22.170849845882874</v>
      </c>
      <c r="BD872" s="75">
        <f>BC872*(1-PARAM!$C$27)*$I$16+(MOD($B872,60)=PARAM!$B$56)*($B872&gt;(60-PARAM!$B$56))*HLOOKUP(($B872+PARAM!$B$56)/12,Loyalty,2)*$F$1*MAX(BF871,0)</f>
        <v>18.557001321003963</v>
      </c>
      <c r="BE872" s="75">
        <f>PARAM!$C$26+MAX($G$16-CHOOSE(PARAM!$B$44,MAX(0,BF871*$F$1),0),0)*RATES!$L848/12+$H$16*(PARAM!$D$51/12)*RATES!$N848/100</f>
        <v>1190.0416666666667</v>
      </c>
      <c r="BF872" s="16">
        <f t="shared" si="598"/>
        <v>-206244.40857463391</v>
      </c>
      <c r="BG872" s="15">
        <f t="shared" si="573"/>
        <v>22.170849845882874</v>
      </c>
      <c r="BH872" s="75">
        <f>BG872*(1-PARAM!$C$27)*$I$17+(MOD($B872,60)=PARAM!$B$56)*($B872&gt;(60-PARAM!$B$56))*HLOOKUP(($B872+PARAM!$B$56)/12,Loyalty,2)*$F$1*MAX(BJ871,0)</f>
        <v>18.557001321003963</v>
      </c>
      <c r="BI872" s="75">
        <f>PARAM!$C$26+MAX($G$17-CHOOSE(PARAM!$B$44,MAX(0,BJ871*$F$1),0),0)*RATES!$L848/12+$H$17*(PARAM!$D$51/12)*RATES!$N848/100</f>
        <v>1190.0416666666667</v>
      </c>
      <c r="BJ872" s="16">
        <f t="shared" si="599"/>
        <v>-206244.40857463391</v>
      </c>
      <c r="BK872" s="15">
        <f t="shared" si="574"/>
        <v>22.170849845882874</v>
      </c>
      <c r="BL872" s="75">
        <f>BK872*(1-PARAM!$C$27)*$I$18+(MOD($B872,60)=PARAM!$B$56)*($B872&gt;(60-PARAM!$B$56))*HLOOKUP(($B872+PARAM!$B$56)/12,Loyalty,2)*$F$1*MAX(BN871,0)</f>
        <v>18.557001321003963</v>
      </c>
      <c r="BM872" s="75">
        <f>PARAM!$C$26+MAX($G$18-CHOOSE(PARAM!$B$44,MAX(0,BN871*$F$1),0),0)*RATES!$L848/12+$H$18*(PARAM!$D$51/12)*RATES!$N848/100</f>
        <v>1190.0416666666667</v>
      </c>
      <c r="BN872" s="16">
        <f t="shared" si="600"/>
        <v>-206244.40857463391</v>
      </c>
      <c r="BO872" s="15">
        <f t="shared" si="575"/>
        <v>22.170849845882874</v>
      </c>
      <c r="BP872" s="75">
        <f>BO872*(1-PARAM!$C$27)*$I$19+(MOD($B872,60)=PARAM!$B$56)*($B872&gt;(60-PARAM!$B$56))*HLOOKUP(($B872+PARAM!$B$56)/12,Loyalty,2)*$F$1*MAX(BR871,0)</f>
        <v>18.557001321003963</v>
      </c>
      <c r="BQ872" s="75">
        <f>PARAM!$C$26+MAX($G$19-CHOOSE(PARAM!$B$44,MAX(0,BR871*$F$1),0),0)*RATES!$L848/12+$H$19*(PARAM!$D$51/12)*RATES!$N848/100</f>
        <v>1190.0416666666667</v>
      </c>
      <c r="BR872" s="16">
        <f t="shared" si="601"/>
        <v>-206244.40857463391</v>
      </c>
      <c r="BS872" s="15">
        <f t="shared" si="576"/>
        <v>22.170849845882874</v>
      </c>
      <c r="BT872" s="75">
        <f>BS872*(1-PARAM!$C$27)*$I$20+(MOD($B872,60)=PARAM!$B$56)*($B872&gt;(60-PARAM!$B$56))*HLOOKUP(($B872+PARAM!$B$56)/12,Loyalty,2)*$F$1*MAX(BV871,0)</f>
        <v>18.557001321003963</v>
      </c>
      <c r="BU872" s="75">
        <f>PARAM!$C$26+MAX($G$20-CHOOSE(PARAM!$B$44,MAX(0,BV871*$F$1),0),0)*RATES!$L848/12+$H$20*(PARAM!$D$51/12)*RATES!$N848/100</f>
        <v>1190.0416666666667</v>
      </c>
      <c r="BV872" s="16">
        <f t="shared" si="602"/>
        <v>-206244.40857463391</v>
      </c>
      <c r="BW872" s="15">
        <f t="shared" si="577"/>
        <v>22.170849845882874</v>
      </c>
      <c r="BX872" s="75">
        <f>BW872*(1-PARAM!$C$27)*$I$21+(MOD($B872,60)=PARAM!$B$56)*($B872&gt;(60-PARAM!$B$56))*HLOOKUP(($B872+PARAM!$B$56)/12,Loyalty,2)*$F$1*MAX(BZ871,0)</f>
        <v>18.557001321003963</v>
      </c>
      <c r="BY872" s="75">
        <f>PARAM!$C$26+MAX($G$21-CHOOSE(PARAM!$B$44,MAX(0,BZ871*$F$1),0),0)*RATES!$L848/12+$H$21*(PARAM!$D$51/12)*RATES!$N848/100</f>
        <v>1190.0416666666667</v>
      </c>
      <c r="BZ872" s="16">
        <f t="shared" si="603"/>
        <v>-206244.40857463391</v>
      </c>
      <c r="CA872" s="15">
        <f t="shared" si="578"/>
        <v>22.170849845882874</v>
      </c>
      <c r="CB872" s="75">
        <f>CA872*(1-PARAM!$C$27)*$I$22+(MOD($B872,60)=PARAM!$B$56)*($B872&gt;(60-PARAM!$B$56))*HLOOKUP(($B872+PARAM!$B$56)/12,Loyalty,2)*$F$1*MAX(CD871,0)</f>
        <v>18.557001321003963</v>
      </c>
      <c r="CC872" s="75">
        <f>PARAM!$C$26+MAX($G$22-CHOOSE(PARAM!$B$44,MAX(0,CD871*$F$1),0),0)*RATES!$L848/12+$H$22*(PARAM!$D$51/12)*RATES!$N848/100</f>
        <v>1190.0416666666667</v>
      </c>
      <c r="CD872" s="16">
        <f t="shared" si="604"/>
        <v>-206244.40857463391</v>
      </c>
      <c r="CE872" s="33">
        <f>IF(0=MOD(B872,12/PARAM!$D$51),1,0)</f>
        <v>1</v>
      </c>
      <c r="CF872" s="15">
        <f t="shared" si="579"/>
        <v>0</v>
      </c>
      <c r="CG872" s="75">
        <f>CF872*(1-PARAM!$C$27)*$R$3+(MOD($B872/12,5)=0)*($B872&gt;60)*HLOOKUP($B872/12,Loyalty,2)*$F$1*MAX(CI871,0)</f>
        <v>0</v>
      </c>
      <c r="CH872" s="75">
        <f>PARAM!$C$26+MAX($P$3-CHOOSE(PARAM!$B$44,MAX(0,CI871*$F$1),0),0)*RATES!$L848/12+$Q$3*(PARAM!$D$51/12)*RATES!$N848/100</f>
        <v>1190.0416666666667</v>
      </c>
      <c r="CI872" s="16">
        <f>IF(CI871&gt;0,CI871*PARAM!$C$53,CI871)+CG872-CH872</f>
        <v>-221805.49999999994</v>
      </c>
      <c r="CJ872" s="15">
        <f t="shared" si="605"/>
        <v>0</v>
      </c>
      <c r="CK872" s="75">
        <f>CJ872*(1-PARAM!$C$27)*$R$4+(MOD($B872/12,5)=0)*($B872&gt;60)*HLOOKUP($B872/12,Loyalty,2)*$F$1*MAX(CM871,0)</f>
        <v>0</v>
      </c>
      <c r="CL872" s="75">
        <f>PARAM!$C$26+MAX($P$4-CHOOSE(PARAM!$B$44,MAX(0,CM871*$F$1),0),0)*RATES!$L848/12+$Q$4*(PARAM!$D$51/12)*RATES!$N848/100</f>
        <v>1190.0416666666667</v>
      </c>
      <c r="CM872" s="16">
        <f>IF(CM871&gt;0,CM871*PARAM!$C$53,CM871)+CK872-CL872</f>
        <v>-221805.49999999994</v>
      </c>
      <c r="CO872" s="176"/>
    </row>
    <row r="873" spans="1:93" x14ac:dyDescent="0.2">
      <c r="A873" t="b">
        <f t="shared" si="580"/>
        <v>0</v>
      </c>
      <c r="B873" s="33">
        <v>846</v>
      </c>
      <c r="C873" s="15">
        <f t="shared" si="581"/>
        <v>20.081305947392778</v>
      </c>
      <c r="D873" s="75">
        <f>C873*(1-PARAM!$C$27)*$I$3+(MOD($B873,60)=PARAM!$B$56)*($B873&gt;(60-PARAM!$B$56))*HLOOKUP(($B873+PARAM!$B$56)/12,Loyalty,2)*$F$1*MAX(F872,0)</f>
        <v>16.808053077967756</v>
      </c>
      <c r="E873" s="75">
        <f>PARAM!$C$26+MAX($G$3-CHOOSE(PARAM!$B$44,MAX(0,F872*$F$1),0),0)*RATES!$L849/12+$H$3*(PARAM!$D$51/12)*RATES!$N849/100</f>
        <v>1190.0416666666667</v>
      </c>
      <c r="F873" s="16">
        <f t="shared" si="582"/>
        <v>-208932.35395411009</v>
      </c>
      <c r="G873" s="15">
        <f t="shared" si="583"/>
        <v>22.035289406060361</v>
      </c>
      <c r="H873" s="75">
        <f>G873*(1-PARAM!$C$27)*$I$4+(MOD($B873,60)=PARAM!$B$56)*($B873&gt;(60-PARAM!$B$56))*HLOOKUP(($B873+PARAM!$B$56)/12,Loyalty,2)*$F$1*MAX(J872,0)</f>
        <v>18.443537232872522</v>
      </c>
      <c r="I873" s="75">
        <f>PARAM!$C$26+MAX($G$4-CHOOSE(PARAM!$B$44,MAX(0,J872*$F$1),0),0)*RATES!$L849/12+$H$4*(PARAM!$D$51/12)*RATES!$N849/100</f>
        <v>1190.0416666666667</v>
      </c>
      <c r="J873" s="16">
        <f t="shared" si="584"/>
        <v>-207514.901394938</v>
      </c>
      <c r="K873" s="15">
        <f t="shared" si="585"/>
        <v>22.170849845882874</v>
      </c>
      <c r="L873" s="75">
        <f>K873*(1-PARAM!$C$27)*$I$5+(MOD($B873,60)=PARAM!$B$56)*($B873&gt;(60-PARAM!$B$56))*HLOOKUP(($B873+PARAM!$B$56)/12,Loyalty,2)*$F$1*MAX(N872,0)</f>
        <v>18.557001321003963</v>
      </c>
      <c r="M873" s="75">
        <f>PARAM!$C$26+MAX($G$5-CHOOSE(PARAM!$B$44,MAX(0,N872*$F$1),0),0)*RATES!$L849/12+$H$5*(PARAM!$D$51/12)*RATES!$N849/100</f>
        <v>1190.0416666666667</v>
      </c>
      <c r="N873" s="16">
        <f t="shared" si="586"/>
        <v>-207415.89323997957</v>
      </c>
      <c r="O873" s="15">
        <f t="shared" si="587"/>
        <v>22.170849845882874</v>
      </c>
      <c r="P873" s="75">
        <f>O873*(1-PARAM!$C$27)*$I$6+(MOD($B873,60)=PARAM!$B$56)*($B873&gt;(60-PARAM!$B$56))*HLOOKUP(($B873+PARAM!$B$56)/12,Loyalty,2)*$F$1*MAX(R872,0)</f>
        <v>18.557001321003963</v>
      </c>
      <c r="Q873" s="75">
        <f>PARAM!$C$26+MAX($G$6-CHOOSE(PARAM!$B$44,MAX(0,R872*$F$1),0),0)*RATES!$L849/12+$H$6*(PARAM!$D$51/12)*RATES!$N849/100</f>
        <v>1190.0416666666667</v>
      </c>
      <c r="R873" s="16">
        <f t="shared" si="588"/>
        <v>-207415.89323997957</v>
      </c>
      <c r="S873" s="15">
        <f t="shared" si="563"/>
        <v>22.170849845882874</v>
      </c>
      <c r="T873" s="75">
        <f>S873*(1-PARAM!$C$27)*$I$7+(MOD($B873,60)=PARAM!$B$56)*($B873&gt;(60-PARAM!$B$56))*HLOOKUP(($B873+PARAM!$B$56)/12,Loyalty,2)*$F$1*MAX(V872,0)</f>
        <v>18.557001321003963</v>
      </c>
      <c r="U873" s="75">
        <f>PARAM!$C$26+MAX($G$7-CHOOSE(PARAM!$B$44,MAX(0,V872*$F$1),0),0)*RATES!$L849/12+$H$7*(PARAM!$D$51/12)*RATES!$N849/100</f>
        <v>1190.0416666666667</v>
      </c>
      <c r="V873" s="16">
        <f t="shared" si="589"/>
        <v>-207415.89323997957</v>
      </c>
      <c r="W873" s="15">
        <f t="shared" si="564"/>
        <v>22.170849845882874</v>
      </c>
      <c r="X873" s="75">
        <f>W873*(1-PARAM!$C$27)*$I$8+(MOD($B873,60)=PARAM!$B$56)*($B873&gt;(60-PARAM!$B$56))*HLOOKUP(($B873+PARAM!$B$56)/12,Loyalty,2)*$F$1*MAX(Z872,0)</f>
        <v>18.557001321003963</v>
      </c>
      <c r="Y873" s="75">
        <f>PARAM!$C$26+MAX($G$8-CHOOSE(PARAM!$B$44,MAX(0,Z872*$F$1),0),0)*RATES!$L849/12+$H$8*(PARAM!$D$51/12)*RATES!$N849/100</f>
        <v>1190.0416666666667</v>
      </c>
      <c r="Z873" s="16">
        <f t="shared" si="590"/>
        <v>-207415.89323997957</v>
      </c>
      <c r="AA873" s="15">
        <f t="shared" si="565"/>
        <v>22.170849845882874</v>
      </c>
      <c r="AB873" s="75">
        <f>AA873*(1-PARAM!$C$27)*$I$9+(MOD($B873,60)=PARAM!$B$56)*($B873&gt;(60-PARAM!$B$56))*HLOOKUP(($B873+PARAM!$B$56)/12,Loyalty,2)*$F$1*MAX(AD872,0)</f>
        <v>18.557001321003963</v>
      </c>
      <c r="AC873" s="75">
        <f>PARAM!$C$26+MAX($G$9-CHOOSE(PARAM!$B$44,MAX(0,AD872*$F$1),0),0)*RATES!$L849/12+$H$9*(PARAM!$D$51/12)*RATES!$N849/100</f>
        <v>1190.0416666666667</v>
      </c>
      <c r="AD873" s="16">
        <f t="shared" si="591"/>
        <v>-207415.89323997957</v>
      </c>
      <c r="AE873" s="15">
        <f t="shared" si="566"/>
        <v>22.170849845882874</v>
      </c>
      <c r="AF873" s="75">
        <f>AE873*(1-PARAM!$C$27)*$I$10+(MOD($B873,60)=PARAM!$B$56)*($B873&gt;(60-PARAM!$B$56))*HLOOKUP(($B873+PARAM!$B$56)/12,Loyalty,2)*$F$1*MAX(AH872,0)</f>
        <v>18.557001321003963</v>
      </c>
      <c r="AG873" s="75">
        <f>PARAM!$C$26+MAX($G$10-CHOOSE(PARAM!$B$44,MAX(0,AH872*$F$1),0),0)*RATES!$L849/12+$H$10*(PARAM!$D$51/12)*RATES!$N849/100</f>
        <v>1190.0416666666667</v>
      </c>
      <c r="AH873" s="16">
        <f t="shared" si="592"/>
        <v>-207415.89323997957</v>
      </c>
      <c r="AI873" s="15">
        <f t="shared" si="567"/>
        <v>22.170849845882874</v>
      </c>
      <c r="AJ873" s="75">
        <f>AI873*(1-PARAM!$C$27)*$I$11+(MOD($B873,60)=PARAM!$B$56)*($B873&gt;(60-PARAM!$B$56))*HLOOKUP(($B873+PARAM!$B$56)/12,Loyalty,2)*$F$1*MAX(AL872,0)</f>
        <v>18.557001321003963</v>
      </c>
      <c r="AK873" s="75">
        <f>PARAM!$C$26+MAX($G$11-CHOOSE(PARAM!$B$44,MAX(0,AL872*$F$1),0),0)*RATES!$L849/12+$H$11*(PARAM!$D$51/12)*RATES!$N849/100</f>
        <v>1190.0416666666667</v>
      </c>
      <c r="AL873" s="16">
        <f t="shared" si="593"/>
        <v>-207415.89323997957</v>
      </c>
      <c r="AM873" s="15">
        <f t="shared" si="568"/>
        <v>22.170849845882874</v>
      </c>
      <c r="AN873" s="75">
        <f>AM873*(1-PARAM!$C$27)*$I$12+(MOD($B873,60)=PARAM!$B$56)*($B873&gt;(60-PARAM!$B$56))*HLOOKUP(($B873+PARAM!$B$56)/12,Loyalty,2)*$F$1*MAX(AP872,0)</f>
        <v>18.557001321003963</v>
      </c>
      <c r="AO873" s="75">
        <f>PARAM!$C$26+MAX($G$12-CHOOSE(PARAM!$B$44,MAX(0,AP872*$F$1),0),0)*RATES!$L849/12+$H$12*(PARAM!$D$51/12)*RATES!$N849/100</f>
        <v>1190.0416666666667</v>
      </c>
      <c r="AP873" s="16">
        <f t="shared" si="594"/>
        <v>-207415.89323997957</v>
      </c>
      <c r="AQ873" s="15">
        <f t="shared" si="569"/>
        <v>22.170849845882874</v>
      </c>
      <c r="AR873" s="75">
        <f>AQ873*(1-PARAM!$C$27)*$I$13+(MOD($B873,60)=PARAM!$B$56)*($B873&gt;(60-PARAM!$B$56))*HLOOKUP(($B873+PARAM!$B$56)/12,Loyalty,2)*$F$1*MAX(AT872,0)</f>
        <v>18.557001321003963</v>
      </c>
      <c r="AS873" s="75">
        <f>PARAM!$C$26+MAX($G$13-CHOOSE(PARAM!$B$44,MAX(0,AT872*$F$1),0),0)*RATES!$L849/12+$H$13*(PARAM!$D$51/12)*RATES!$N849/100</f>
        <v>1190.0416666666667</v>
      </c>
      <c r="AT873" s="16">
        <f t="shared" si="595"/>
        <v>-207415.89323997957</v>
      </c>
      <c r="AU873" s="15">
        <f t="shared" si="570"/>
        <v>22.170849845882874</v>
      </c>
      <c r="AV873" s="75">
        <f>AU873*(1-PARAM!$C$27)*$I$14+(MOD($B873,60)=PARAM!$B$56)*($B873&gt;(60-PARAM!$B$56))*HLOOKUP(($B873+PARAM!$B$56)/12,Loyalty,2)*$F$1*MAX(AX872,0)</f>
        <v>18.557001321003963</v>
      </c>
      <c r="AW873" s="75">
        <f>PARAM!$C$26+MAX($G$14-CHOOSE(PARAM!$B$44,MAX(0,AX872*$F$1),0),0)*RATES!$L849/12+$H$14*(PARAM!$D$51/12)*RATES!$N849/100</f>
        <v>1190.0416666666667</v>
      </c>
      <c r="AX873" s="16">
        <f t="shared" si="596"/>
        <v>-207415.89323997957</v>
      </c>
      <c r="AY873" s="15">
        <f t="shared" si="571"/>
        <v>22.170849845882874</v>
      </c>
      <c r="AZ873" s="75">
        <f>AY873*(1-PARAM!$C$27)*$I$15+(MOD($B873,60)=PARAM!$B$56)*($B873&gt;(60-PARAM!$B$56))*HLOOKUP(($B873+PARAM!$B$56)/12,Loyalty,2)*$F$1*MAX(BB872,0)</f>
        <v>18.557001321003963</v>
      </c>
      <c r="BA873" s="75">
        <f>PARAM!$C$26+MAX($G$15-CHOOSE(PARAM!$B$44,MAX(0,BB872*$F$1),0),0)*RATES!$L849/12+$H$15*(PARAM!$D$51/12)*RATES!$N849/100</f>
        <v>1190.0416666666667</v>
      </c>
      <c r="BB873" s="16">
        <f t="shared" si="597"/>
        <v>-207415.89323997957</v>
      </c>
      <c r="BC873" s="15">
        <f t="shared" si="572"/>
        <v>22.170849845882874</v>
      </c>
      <c r="BD873" s="75">
        <f>BC873*(1-PARAM!$C$27)*$I$16+(MOD($B873,60)=PARAM!$B$56)*($B873&gt;(60-PARAM!$B$56))*HLOOKUP(($B873+PARAM!$B$56)/12,Loyalty,2)*$F$1*MAX(BF872,0)</f>
        <v>18.557001321003963</v>
      </c>
      <c r="BE873" s="75">
        <f>PARAM!$C$26+MAX($G$16-CHOOSE(PARAM!$B$44,MAX(0,BF872*$F$1),0),0)*RATES!$L849/12+$H$16*(PARAM!$D$51/12)*RATES!$N849/100</f>
        <v>1190.0416666666667</v>
      </c>
      <c r="BF873" s="16">
        <f t="shared" si="598"/>
        <v>-207415.89323997957</v>
      </c>
      <c r="BG873" s="15">
        <f t="shared" si="573"/>
        <v>22.170849845882874</v>
      </c>
      <c r="BH873" s="75">
        <f>BG873*(1-PARAM!$C$27)*$I$17+(MOD($B873,60)=PARAM!$B$56)*($B873&gt;(60-PARAM!$B$56))*HLOOKUP(($B873+PARAM!$B$56)/12,Loyalty,2)*$F$1*MAX(BJ872,0)</f>
        <v>18.557001321003963</v>
      </c>
      <c r="BI873" s="75">
        <f>PARAM!$C$26+MAX($G$17-CHOOSE(PARAM!$B$44,MAX(0,BJ872*$F$1),0),0)*RATES!$L849/12+$H$17*(PARAM!$D$51/12)*RATES!$N849/100</f>
        <v>1190.0416666666667</v>
      </c>
      <c r="BJ873" s="16">
        <f t="shared" si="599"/>
        <v>-207415.89323997957</v>
      </c>
      <c r="BK873" s="15">
        <f t="shared" si="574"/>
        <v>22.170849845882874</v>
      </c>
      <c r="BL873" s="75">
        <f>BK873*(1-PARAM!$C$27)*$I$18+(MOD($B873,60)=PARAM!$B$56)*($B873&gt;(60-PARAM!$B$56))*HLOOKUP(($B873+PARAM!$B$56)/12,Loyalty,2)*$F$1*MAX(BN872,0)</f>
        <v>18.557001321003963</v>
      </c>
      <c r="BM873" s="75">
        <f>PARAM!$C$26+MAX($G$18-CHOOSE(PARAM!$B$44,MAX(0,BN872*$F$1),0),0)*RATES!$L849/12+$H$18*(PARAM!$D$51/12)*RATES!$N849/100</f>
        <v>1190.0416666666667</v>
      </c>
      <c r="BN873" s="16">
        <f t="shared" si="600"/>
        <v>-207415.89323997957</v>
      </c>
      <c r="BO873" s="15">
        <f t="shared" si="575"/>
        <v>22.170849845882874</v>
      </c>
      <c r="BP873" s="75">
        <f>BO873*(1-PARAM!$C$27)*$I$19+(MOD($B873,60)=PARAM!$B$56)*($B873&gt;(60-PARAM!$B$56))*HLOOKUP(($B873+PARAM!$B$56)/12,Loyalty,2)*$F$1*MAX(BR872,0)</f>
        <v>18.557001321003963</v>
      </c>
      <c r="BQ873" s="75">
        <f>PARAM!$C$26+MAX($G$19-CHOOSE(PARAM!$B$44,MAX(0,BR872*$F$1),0),0)*RATES!$L849/12+$H$19*(PARAM!$D$51/12)*RATES!$N849/100</f>
        <v>1190.0416666666667</v>
      </c>
      <c r="BR873" s="16">
        <f t="shared" si="601"/>
        <v>-207415.89323997957</v>
      </c>
      <c r="BS873" s="15">
        <f t="shared" si="576"/>
        <v>22.170849845882874</v>
      </c>
      <c r="BT873" s="75">
        <f>BS873*(1-PARAM!$C$27)*$I$20+(MOD($B873,60)=PARAM!$B$56)*($B873&gt;(60-PARAM!$B$56))*HLOOKUP(($B873+PARAM!$B$56)/12,Loyalty,2)*$F$1*MAX(BV872,0)</f>
        <v>18.557001321003963</v>
      </c>
      <c r="BU873" s="75">
        <f>PARAM!$C$26+MAX($G$20-CHOOSE(PARAM!$B$44,MAX(0,BV872*$F$1),0),0)*RATES!$L849/12+$H$20*(PARAM!$D$51/12)*RATES!$N849/100</f>
        <v>1190.0416666666667</v>
      </c>
      <c r="BV873" s="16">
        <f t="shared" si="602"/>
        <v>-207415.89323997957</v>
      </c>
      <c r="BW873" s="15">
        <f t="shared" si="577"/>
        <v>22.170849845882874</v>
      </c>
      <c r="BX873" s="75">
        <f>BW873*(1-PARAM!$C$27)*$I$21+(MOD($B873,60)=PARAM!$B$56)*($B873&gt;(60-PARAM!$B$56))*HLOOKUP(($B873+PARAM!$B$56)/12,Loyalty,2)*$F$1*MAX(BZ872,0)</f>
        <v>18.557001321003963</v>
      </c>
      <c r="BY873" s="75">
        <f>PARAM!$C$26+MAX($G$21-CHOOSE(PARAM!$B$44,MAX(0,BZ872*$F$1),0),0)*RATES!$L849/12+$H$21*(PARAM!$D$51/12)*RATES!$N849/100</f>
        <v>1190.0416666666667</v>
      </c>
      <c r="BZ873" s="16">
        <f t="shared" si="603"/>
        <v>-207415.89323997957</v>
      </c>
      <c r="CA873" s="15">
        <f t="shared" si="578"/>
        <v>22.170849845882874</v>
      </c>
      <c r="CB873" s="75">
        <f>CA873*(1-PARAM!$C$27)*$I$22+(MOD($B873,60)=PARAM!$B$56)*($B873&gt;(60-PARAM!$B$56))*HLOOKUP(($B873+PARAM!$B$56)/12,Loyalty,2)*$F$1*MAX(CD872,0)</f>
        <v>18.557001321003963</v>
      </c>
      <c r="CC873" s="75">
        <f>PARAM!$C$26+MAX($G$22-CHOOSE(PARAM!$B$44,MAX(0,CD872*$F$1),0),0)*RATES!$L849/12+$H$22*(PARAM!$D$51/12)*RATES!$N849/100</f>
        <v>1190.0416666666667</v>
      </c>
      <c r="CD873" s="16">
        <f t="shared" si="604"/>
        <v>-207415.89323997957</v>
      </c>
      <c r="CE873" s="33">
        <f>IF(0=MOD(B873,12/PARAM!$D$51),1,0)</f>
        <v>1</v>
      </c>
      <c r="CF873" s="15">
        <f t="shared" si="579"/>
        <v>0</v>
      </c>
      <c r="CG873" s="75">
        <f>CF873*(1-PARAM!$C$27)*$R$3+(MOD($B873/12,5)=0)*($B873&gt;60)*HLOOKUP($B873/12,Loyalty,2)*$F$1*MAX(CI872,0)</f>
        <v>0</v>
      </c>
      <c r="CH873" s="75">
        <f>PARAM!$C$26+MAX($P$3-CHOOSE(PARAM!$B$44,MAX(0,CI872*$F$1),0),0)*RATES!$L849/12+$Q$3*(PARAM!$D$51/12)*RATES!$N849/100</f>
        <v>1190.0416666666667</v>
      </c>
      <c r="CI873" s="16">
        <f>IF(CI872&gt;0,CI872*PARAM!$C$53,CI872)+CG873-CH873</f>
        <v>-222995.5416666666</v>
      </c>
      <c r="CJ873" s="15">
        <f t="shared" si="605"/>
        <v>0</v>
      </c>
      <c r="CK873" s="75">
        <f>CJ873*(1-PARAM!$C$27)*$R$4+(MOD($B873/12,5)=0)*($B873&gt;60)*HLOOKUP($B873/12,Loyalty,2)*$F$1*MAX(CM872,0)</f>
        <v>0</v>
      </c>
      <c r="CL873" s="75">
        <f>PARAM!$C$26+MAX($P$4-CHOOSE(PARAM!$B$44,MAX(0,CM872*$F$1),0),0)*RATES!$L849/12+$Q$4*(PARAM!$D$51/12)*RATES!$N849/100</f>
        <v>1190.0416666666667</v>
      </c>
      <c r="CM873" s="16">
        <f>IF(CM872&gt;0,CM872*PARAM!$C$53,CM872)+CK873-CL873</f>
        <v>-222995.5416666666</v>
      </c>
      <c r="CO873" s="176"/>
    </row>
    <row r="874" spans="1:93" x14ac:dyDescent="0.2">
      <c r="A874" t="b">
        <f t="shared" si="580"/>
        <v>0</v>
      </c>
      <c r="B874" s="33">
        <v>847</v>
      </c>
      <c r="C874" s="15">
        <f t="shared" si="581"/>
        <v>20.081305947392778</v>
      </c>
      <c r="D874" s="75">
        <f>C874*(1-PARAM!$C$27)*$I$3+(MOD($B874,60)=PARAM!$B$56)*($B874&gt;(60-PARAM!$B$56))*HLOOKUP(($B874+PARAM!$B$56)/12,Loyalty,2)*$F$1*MAX(F873,0)</f>
        <v>16.808053077967756</v>
      </c>
      <c r="E874" s="75">
        <f>PARAM!$C$26+MAX($G$3-CHOOSE(PARAM!$B$44,MAX(0,F873*$F$1),0),0)*RATES!$L850/12+$H$3*(PARAM!$D$51/12)*RATES!$N850/100</f>
        <v>1190.0416666666667</v>
      </c>
      <c r="F874" s="16">
        <f t="shared" si="582"/>
        <v>-210105.58756769879</v>
      </c>
      <c r="G874" s="15">
        <f t="shared" si="583"/>
        <v>22.035289406060361</v>
      </c>
      <c r="H874" s="75">
        <f>G874*(1-PARAM!$C$27)*$I$4+(MOD($B874,60)=PARAM!$B$56)*($B874&gt;(60-PARAM!$B$56))*HLOOKUP(($B874+PARAM!$B$56)/12,Loyalty,2)*$F$1*MAX(J873,0)</f>
        <v>18.443537232872522</v>
      </c>
      <c r="I874" s="75">
        <f>PARAM!$C$26+MAX($G$4-CHOOSE(PARAM!$B$44,MAX(0,J873*$F$1),0),0)*RATES!$L850/12+$H$4*(PARAM!$D$51/12)*RATES!$N850/100</f>
        <v>1190.0416666666667</v>
      </c>
      <c r="J874" s="16">
        <f t="shared" si="584"/>
        <v>-208686.49952437179</v>
      </c>
      <c r="K874" s="15">
        <f t="shared" si="585"/>
        <v>22.170849845882874</v>
      </c>
      <c r="L874" s="75">
        <f>K874*(1-PARAM!$C$27)*$I$5+(MOD($B874,60)=PARAM!$B$56)*($B874&gt;(60-PARAM!$B$56))*HLOOKUP(($B874+PARAM!$B$56)/12,Loyalty,2)*$F$1*MAX(N873,0)</f>
        <v>18.557001321003963</v>
      </c>
      <c r="M874" s="75">
        <f>PARAM!$C$26+MAX($G$5-CHOOSE(PARAM!$B$44,MAX(0,N873*$F$1),0),0)*RATES!$L850/12+$H$5*(PARAM!$D$51/12)*RATES!$N850/100</f>
        <v>1190.0416666666667</v>
      </c>
      <c r="N874" s="16">
        <f t="shared" si="586"/>
        <v>-208587.37790532524</v>
      </c>
      <c r="O874" s="15">
        <f t="shared" si="587"/>
        <v>22.170849845882874</v>
      </c>
      <c r="P874" s="75">
        <f>O874*(1-PARAM!$C$27)*$I$6+(MOD($B874,60)=PARAM!$B$56)*($B874&gt;(60-PARAM!$B$56))*HLOOKUP(($B874+PARAM!$B$56)/12,Loyalty,2)*$F$1*MAX(R873,0)</f>
        <v>18.557001321003963</v>
      </c>
      <c r="Q874" s="75">
        <f>PARAM!$C$26+MAX($G$6-CHOOSE(PARAM!$B$44,MAX(0,R873*$F$1),0),0)*RATES!$L850/12+$H$6*(PARAM!$D$51/12)*RATES!$N850/100</f>
        <v>1190.0416666666667</v>
      </c>
      <c r="R874" s="16">
        <f t="shared" si="588"/>
        <v>-208587.37790532524</v>
      </c>
      <c r="S874" s="15">
        <f t="shared" si="563"/>
        <v>22.170849845882874</v>
      </c>
      <c r="T874" s="75">
        <f>S874*(1-PARAM!$C$27)*$I$7+(MOD($B874,60)=PARAM!$B$56)*($B874&gt;(60-PARAM!$B$56))*HLOOKUP(($B874+PARAM!$B$56)/12,Loyalty,2)*$F$1*MAX(V873,0)</f>
        <v>18.557001321003963</v>
      </c>
      <c r="U874" s="75">
        <f>PARAM!$C$26+MAX($G$7-CHOOSE(PARAM!$B$44,MAX(0,V873*$F$1),0),0)*RATES!$L850/12+$H$7*(PARAM!$D$51/12)*RATES!$N850/100</f>
        <v>1190.0416666666667</v>
      </c>
      <c r="V874" s="16">
        <f t="shared" si="589"/>
        <v>-208587.37790532524</v>
      </c>
      <c r="W874" s="15">
        <f t="shared" si="564"/>
        <v>22.170849845882874</v>
      </c>
      <c r="X874" s="75">
        <f>W874*(1-PARAM!$C$27)*$I$8+(MOD($B874,60)=PARAM!$B$56)*($B874&gt;(60-PARAM!$B$56))*HLOOKUP(($B874+PARAM!$B$56)/12,Loyalty,2)*$F$1*MAX(Z873,0)</f>
        <v>18.557001321003963</v>
      </c>
      <c r="Y874" s="75">
        <f>PARAM!$C$26+MAX($G$8-CHOOSE(PARAM!$B$44,MAX(0,Z873*$F$1),0),0)*RATES!$L850/12+$H$8*(PARAM!$D$51/12)*RATES!$N850/100</f>
        <v>1190.0416666666667</v>
      </c>
      <c r="Z874" s="16">
        <f t="shared" si="590"/>
        <v>-208587.37790532524</v>
      </c>
      <c r="AA874" s="15">
        <f t="shared" si="565"/>
        <v>22.170849845882874</v>
      </c>
      <c r="AB874" s="75">
        <f>AA874*(1-PARAM!$C$27)*$I$9+(MOD($B874,60)=PARAM!$B$56)*($B874&gt;(60-PARAM!$B$56))*HLOOKUP(($B874+PARAM!$B$56)/12,Loyalty,2)*$F$1*MAX(AD873,0)</f>
        <v>18.557001321003963</v>
      </c>
      <c r="AC874" s="75">
        <f>PARAM!$C$26+MAX($G$9-CHOOSE(PARAM!$B$44,MAX(0,AD873*$F$1),0),0)*RATES!$L850/12+$H$9*(PARAM!$D$51/12)*RATES!$N850/100</f>
        <v>1190.0416666666667</v>
      </c>
      <c r="AD874" s="16">
        <f t="shared" si="591"/>
        <v>-208587.37790532524</v>
      </c>
      <c r="AE874" s="15">
        <f t="shared" si="566"/>
        <v>22.170849845882874</v>
      </c>
      <c r="AF874" s="75">
        <f>AE874*(1-PARAM!$C$27)*$I$10+(MOD($B874,60)=PARAM!$B$56)*($B874&gt;(60-PARAM!$B$56))*HLOOKUP(($B874+PARAM!$B$56)/12,Loyalty,2)*$F$1*MAX(AH873,0)</f>
        <v>18.557001321003963</v>
      </c>
      <c r="AG874" s="75">
        <f>PARAM!$C$26+MAX($G$10-CHOOSE(PARAM!$B$44,MAX(0,AH873*$F$1),0),0)*RATES!$L850/12+$H$10*(PARAM!$D$51/12)*RATES!$N850/100</f>
        <v>1190.0416666666667</v>
      </c>
      <c r="AH874" s="16">
        <f t="shared" si="592"/>
        <v>-208587.37790532524</v>
      </c>
      <c r="AI874" s="15">
        <f t="shared" si="567"/>
        <v>22.170849845882874</v>
      </c>
      <c r="AJ874" s="75">
        <f>AI874*(1-PARAM!$C$27)*$I$11+(MOD($B874,60)=PARAM!$B$56)*($B874&gt;(60-PARAM!$B$56))*HLOOKUP(($B874+PARAM!$B$56)/12,Loyalty,2)*$F$1*MAX(AL873,0)</f>
        <v>18.557001321003963</v>
      </c>
      <c r="AK874" s="75">
        <f>PARAM!$C$26+MAX($G$11-CHOOSE(PARAM!$B$44,MAX(0,AL873*$F$1),0),0)*RATES!$L850/12+$H$11*(PARAM!$D$51/12)*RATES!$N850/100</f>
        <v>1190.0416666666667</v>
      </c>
      <c r="AL874" s="16">
        <f t="shared" si="593"/>
        <v>-208587.37790532524</v>
      </c>
      <c r="AM874" s="15">
        <f t="shared" si="568"/>
        <v>22.170849845882874</v>
      </c>
      <c r="AN874" s="75">
        <f>AM874*(1-PARAM!$C$27)*$I$12+(MOD($B874,60)=PARAM!$B$56)*($B874&gt;(60-PARAM!$B$56))*HLOOKUP(($B874+PARAM!$B$56)/12,Loyalty,2)*$F$1*MAX(AP873,0)</f>
        <v>18.557001321003963</v>
      </c>
      <c r="AO874" s="75">
        <f>PARAM!$C$26+MAX($G$12-CHOOSE(PARAM!$B$44,MAX(0,AP873*$F$1),0),0)*RATES!$L850/12+$H$12*(PARAM!$D$51/12)*RATES!$N850/100</f>
        <v>1190.0416666666667</v>
      </c>
      <c r="AP874" s="16">
        <f t="shared" si="594"/>
        <v>-208587.37790532524</v>
      </c>
      <c r="AQ874" s="15">
        <f t="shared" si="569"/>
        <v>22.170849845882874</v>
      </c>
      <c r="AR874" s="75">
        <f>AQ874*(1-PARAM!$C$27)*$I$13+(MOD($B874,60)=PARAM!$B$56)*($B874&gt;(60-PARAM!$B$56))*HLOOKUP(($B874+PARAM!$B$56)/12,Loyalty,2)*$F$1*MAX(AT873,0)</f>
        <v>18.557001321003963</v>
      </c>
      <c r="AS874" s="75">
        <f>PARAM!$C$26+MAX($G$13-CHOOSE(PARAM!$B$44,MAX(0,AT873*$F$1),0),0)*RATES!$L850/12+$H$13*(PARAM!$D$51/12)*RATES!$N850/100</f>
        <v>1190.0416666666667</v>
      </c>
      <c r="AT874" s="16">
        <f t="shared" si="595"/>
        <v>-208587.37790532524</v>
      </c>
      <c r="AU874" s="15">
        <f t="shared" si="570"/>
        <v>22.170849845882874</v>
      </c>
      <c r="AV874" s="75">
        <f>AU874*(1-PARAM!$C$27)*$I$14+(MOD($B874,60)=PARAM!$B$56)*($B874&gt;(60-PARAM!$B$56))*HLOOKUP(($B874+PARAM!$B$56)/12,Loyalty,2)*$F$1*MAX(AX873,0)</f>
        <v>18.557001321003963</v>
      </c>
      <c r="AW874" s="75">
        <f>PARAM!$C$26+MAX($G$14-CHOOSE(PARAM!$B$44,MAX(0,AX873*$F$1),0),0)*RATES!$L850/12+$H$14*(PARAM!$D$51/12)*RATES!$N850/100</f>
        <v>1190.0416666666667</v>
      </c>
      <c r="AX874" s="16">
        <f t="shared" si="596"/>
        <v>-208587.37790532524</v>
      </c>
      <c r="AY874" s="15">
        <f t="shared" si="571"/>
        <v>22.170849845882874</v>
      </c>
      <c r="AZ874" s="75">
        <f>AY874*(1-PARAM!$C$27)*$I$15+(MOD($B874,60)=PARAM!$B$56)*($B874&gt;(60-PARAM!$B$56))*HLOOKUP(($B874+PARAM!$B$56)/12,Loyalty,2)*$F$1*MAX(BB873,0)</f>
        <v>18.557001321003963</v>
      </c>
      <c r="BA874" s="75">
        <f>PARAM!$C$26+MAX($G$15-CHOOSE(PARAM!$B$44,MAX(0,BB873*$F$1),0),0)*RATES!$L850/12+$H$15*(PARAM!$D$51/12)*RATES!$N850/100</f>
        <v>1190.0416666666667</v>
      </c>
      <c r="BB874" s="16">
        <f t="shared" si="597"/>
        <v>-208587.37790532524</v>
      </c>
      <c r="BC874" s="15">
        <f t="shared" si="572"/>
        <v>22.170849845882874</v>
      </c>
      <c r="BD874" s="75">
        <f>BC874*(1-PARAM!$C$27)*$I$16+(MOD($B874,60)=PARAM!$B$56)*($B874&gt;(60-PARAM!$B$56))*HLOOKUP(($B874+PARAM!$B$56)/12,Loyalty,2)*$F$1*MAX(BF873,0)</f>
        <v>18.557001321003963</v>
      </c>
      <c r="BE874" s="75">
        <f>PARAM!$C$26+MAX($G$16-CHOOSE(PARAM!$B$44,MAX(0,BF873*$F$1),0),0)*RATES!$L850/12+$H$16*(PARAM!$D$51/12)*RATES!$N850/100</f>
        <v>1190.0416666666667</v>
      </c>
      <c r="BF874" s="16">
        <f t="shared" si="598"/>
        <v>-208587.37790532524</v>
      </c>
      <c r="BG874" s="15">
        <f t="shared" si="573"/>
        <v>22.170849845882874</v>
      </c>
      <c r="BH874" s="75">
        <f>BG874*(1-PARAM!$C$27)*$I$17+(MOD($B874,60)=PARAM!$B$56)*($B874&gt;(60-PARAM!$B$56))*HLOOKUP(($B874+PARAM!$B$56)/12,Loyalty,2)*$F$1*MAX(BJ873,0)</f>
        <v>18.557001321003963</v>
      </c>
      <c r="BI874" s="75">
        <f>PARAM!$C$26+MAX($G$17-CHOOSE(PARAM!$B$44,MAX(0,BJ873*$F$1),0),0)*RATES!$L850/12+$H$17*(PARAM!$D$51/12)*RATES!$N850/100</f>
        <v>1190.0416666666667</v>
      </c>
      <c r="BJ874" s="16">
        <f t="shared" si="599"/>
        <v>-208587.37790532524</v>
      </c>
      <c r="BK874" s="15">
        <f t="shared" si="574"/>
        <v>22.170849845882874</v>
      </c>
      <c r="BL874" s="75">
        <f>BK874*(1-PARAM!$C$27)*$I$18+(MOD($B874,60)=PARAM!$B$56)*($B874&gt;(60-PARAM!$B$56))*HLOOKUP(($B874+PARAM!$B$56)/12,Loyalty,2)*$F$1*MAX(BN873,0)</f>
        <v>18.557001321003963</v>
      </c>
      <c r="BM874" s="75">
        <f>PARAM!$C$26+MAX($G$18-CHOOSE(PARAM!$B$44,MAX(0,BN873*$F$1),0),0)*RATES!$L850/12+$H$18*(PARAM!$D$51/12)*RATES!$N850/100</f>
        <v>1190.0416666666667</v>
      </c>
      <c r="BN874" s="16">
        <f t="shared" si="600"/>
        <v>-208587.37790532524</v>
      </c>
      <c r="BO874" s="15">
        <f t="shared" si="575"/>
        <v>22.170849845882874</v>
      </c>
      <c r="BP874" s="75">
        <f>BO874*(1-PARAM!$C$27)*$I$19+(MOD($B874,60)=PARAM!$B$56)*($B874&gt;(60-PARAM!$B$56))*HLOOKUP(($B874+PARAM!$B$56)/12,Loyalty,2)*$F$1*MAX(BR873,0)</f>
        <v>18.557001321003963</v>
      </c>
      <c r="BQ874" s="75">
        <f>PARAM!$C$26+MAX($G$19-CHOOSE(PARAM!$B$44,MAX(0,BR873*$F$1),0),0)*RATES!$L850/12+$H$19*(PARAM!$D$51/12)*RATES!$N850/100</f>
        <v>1190.0416666666667</v>
      </c>
      <c r="BR874" s="16">
        <f t="shared" si="601"/>
        <v>-208587.37790532524</v>
      </c>
      <c r="BS874" s="15">
        <f t="shared" si="576"/>
        <v>22.170849845882874</v>
      </c>
      <c r="BT874" s="75">
        <f>BS874*(1-PARAM!$C$27)*$I$20+(MOD($B874,60)=PARAM!$B$56)*($B874&gt;(60-PARAM!$B$56))*HLOOKUP(($B874+PARAM!$B$56)/12,Loyalty,2)*$F$1*MAX(BV873,0)</f>
        <v>18.557001321003963</v>
      </c>
      <c r="BU874" s="75">
        <f>PARAM!$C$26+MAX($G$20-CHOOSE(PARAM!$B$44,MAX(0,BV873*$F$1),0),0)*RATES!$L850/12+$H$20*(PARAM!$D$51/12)*RATES!$N850/100</f>
        <v>1190.0416666666667</v>
      </c>
      <c r="BV874" s="16">
        <f t="shared" si="602"/>
        <v>-208587.37790532524</v>
      </c>
      <c r="BW874" s="15">
        <f t="shared" si="577"/>
        <v>22.170849845882874</v>
      </c>
      <c r="BX874" s="75">
        <f>BW874*(1-PARAM!$C$27)*$I$21+(MOD($B874,60)=PARAM!$B$56)*($B874&gt;(60-PARAM!$B$56))*HLOOKUP(($B874+PARAM!$B$56)/12,Loyalty,2)*$F$1*MAX(BZ873,0)</f>
        <v>18.557001321003963</v>
      </c>
      <c r="BY874" s="75">
        <f>PARAM!$C$26+MAX($G$21-CHOOSE(PARAM!$B$44,MAX(0,BZ873*$F$1),0),0)*RATES!$L850/12+$H$21*(PARAM!$D$51/12)*RATES!$N850/100</f>
        <v>1190.0416666666667</v>
      </c>
      <c r="BZ874" s="16">
        <f t="shared" si="603"/>
        <v>-208587.37790532524</v>
      </c>
      <c r="CA874" s="15">
        <f t="shared" si="578"/>
        <v>22.170849845882874</v>
      </c>
      <c r="CB874" s="75">
        <f>CA874*(1-PARAM!$C$27)*$I$22+(MOD($B874,60)=PARAM!$B$56)*($B874&gt;(60-PARAM!$B$56))*HLOOKUP(($B874+PARAM!$B$56)/12,Loyalty,2)*$F$1*MAX(CD873,0)</f>
        <v>18.557001321003963</v>
      </c>
      <c r="CC874" s="75">
        <f>PARAM!$C$26+MAX($G$22-CHOOSE(PARAM!$B$44,MAX(0,CD873*$F$1),0),0)*RATES!$L850/12+$H$22*(PARAM!$D$51/12)*RATES!$N850/100</f>
        <v>1190.0416666666667</v>
      </c>
      <c r="CD874" s="16">
        <f t="shared" si="604"/>
        <v>-208587.37790532524</v>
      </c>
      <c r="CE874" s="33">
        <f>IF(0=MOD(B874,12/PARAM!$D$51),1,0)</f>
        <v>1</v>
      </c>
      <c r="CF874" s="15">
        <f t="shared" si="579"/>
        <v>0</v>
      </c>
      <c r="CG874" s="75">
        <f>CF874*(1-PARAM!$C$27)*$R$3+(MOD($B874/12,5)=0)*($B874&gt;60)*HLOOKUP($B874/12,Loyalty,2)*$F$1*MAX(CI873,0)</f>
        <v>0</v>
      </c>
      <c r="CH874" s="75">
        <f>PARAM!$C$26+MAX($P$3-CHOOSE(PARAM!$B$44,MAX(0,CI873*$F$1),0),0)*RATES!$L850/12+$Q$3*(PARAM!$D$51/12)*RATES!$N850/100</f>
        <v>1190.0416666666667</v>
      </c>
      <c r="CI874" s="16">
        <f>IF(CI873&gt;0,CI873*PARAM!$C$53,CI873)+CG874-CH874</f>
        <v>-224185.58333333326</v>
      </c>
      <c r="CJ874" s="15">
        <f t="shared" si="605"/>
        <v>0</v>
      </c>
      <c r="CK874" s="75">
        <f>CJ874*(1-PARAM!$C$27)*$R$4+(MOD($B874/12,5)=0)*($B874&gt;60)*HLOOKUP($B874/12,Loyalty,2)*$F$1*MAX(CM873,0)</f>
        <v>0</v>
      </c>
      <c r="CL874" s="75">
        <f>PARAM!$C$26+MAX($P$4-CHOOSE(PARAM!$B$44,MAX(0,CM873*$F$1),0),0)*RATES!$L850/12+$Q$4*(PARAM!$D$51/12)*RATES!$N850/100</f>
        <v>1190.0416666666667</v>
      </c>
      <c r="CM874" s="16">
        <f>IF(CM873&gt;0,CM873*PARAM!$C$53,CM873)+CK874-CL874</f>
        <v>-224185.58333333326</v>
      </c>
      <c r="CO874" s="176"/>
    </row>
    <row r="875" spans="1:93" x14ac:dyDescent="0.2">
      <c r="A875" t="b">
        <f t="shared" si="580"/>
        <v>0</v>
      </c>
      <c r="B875" s="33">
        <v>848</v>
      </c>
      <c r="C875" s="15">
        <f t="shared" si="581"/>
        <v>20.081305947392778</v>
      </c>
      <c r="D875" s="75">
        <f>C875*(1-PARAM!$C$27)*$I$3+(MOD($B875,60)=PARAM!$B$56)*($B875&gt;(60-PARAM!$B$56))*HLOOKUP(($B875+PARAM!$B$56)/12,Loyalty,2)*$F$1*MAX(F874,0)</f>
        <v>16.808053077967756</v>
      </c>
      <c r="E875" s="75">
        <f>PARAM!$C$26+MAX($G$3-CHOOSE(PARAM!$B$44,MAX(0,F874*$F$1),0),0)*RATES!$L851/12+$H$3*(PARAM!$D$51/12)*RATES!$N851/100</f>
        <v>1190.0416666666667</v>
      </c>
      <c r="F875" s="16">
        <f t="shared" si="582"/>
        <v>-211278.82118128749</v>
      </c>
      <c r="G875" s="15">
        <f t="shared" si="583"/>
        <v>22.035289406060361</v>
      </c>
      <c r="H875" s="75">
        <f>G875*(1-PARAM!$C$27)*$I$4+(MOD($B875,60)=PARAM!$B$56)*($B875&gt;(60-PARAM!$B$56))*HLOOKUP(($B875+PARAM!$B$56)/12,Loyalty,2)*$F$1*MAX(J874,0)</f>
        <v>18.443537232872522</v>
      </c>
      <c r="I875" s="75">
        <f>PARAM!$C$26+MAX($G$4-CHOOSE(PARAM!$B$44,MAX(0,J874*$F$1),0),0)*RATES!$L851/12+$H$4*(PARAM!$D$51/12)*RATES!$N851/100</f>
        <v>1190.0416666666667</v>
      </c>
      <c r="J875" s="16">
        <f t="shared" si="584"/>
        <v>-209858.09765380557</v>
      </c>
      <c r="K875" s="15">
        <f t="shared" si="585"/>
        <v>22.170849845882874</v>
      </c>
      <c r="L875" s="75">
        <f>K875*(1-PARAM!$C$27)*$I$5+(MOD($B875,60)=PARAM!$B$56)*($B875&gt;(60-PARAM!$B$56))*HLOOKUP(($B875+PARAM!$B$56)/12,Loyalty,2)*$F$1*MAX(N874,0)</f>
        <v>18.557001321003963</v>
      </c>
      <c r="M875" s="75">
        <f>PARAM!$C$26+MAX($G$5-CHOOSE(PARAM!$B$44,MAX(0,N874*$F$1),0),0)*RATES!$L851/12+$H$5*(PARAM!$D$51/12)*RATES!$N851/100</f>
        <v>1190.0416666666667</v>
      </c>
      <c r="N875" s="16">
        <f t="shared" si="586"/>
        <v>-209758.8625706709</v>
      </c>
      <c r="O875" s="15">
        <f t="shared" si="587"/>
        <v>22.170849845882874</v>
      </c>
      <c r="P875" s="75">
        <f>O875*(1-PARAM!$C$27)*$I$6+(MOD($B875,60)=PARAM!$B$56)*($B875&gt;(60-PARAM!$B$56))*HLOOKUP(($B875+PARAM!$B$56)/12,Loyalty,2)*$F$1*MAX(R874,0)</f>
        <v>18.557001321003963</v>
      </c>
      <c r="Q875" s="75">
        <f>PARAM!$C$26+MAX($G$6-CHOOSE(PARAM!$B$44,MAX(0,R874*$F$1),0),0)*RATES!$L851/12+$H$6*(PARAM!$D$51/12)*RATES!$N851/100</f>
        <v>1190.0416666666667</v>
      </c>
      <c r="R875" s="16">
        <f t="shared" si="588"/>
        <v>-209758.8625706709</v>
      </c>
      <c r="S875" s="15">
        <f t="shared" si="563"/>
        <v>22.170849845882874</v>
      </c>
      <c r="T875" s="75">
        <f>S875*(1-PARAM!$C$27)*$I$7+(MOD($B875,60)=PARAM!$B$56)*($B875&gt;(60-PARAM!$B$56))*HLOOKUP(($B875+PARAM!$B$56)/12,Loyalty,2)*$F$1*MAX(V874,0)</f>
        <v>18.557001321003963</v>
      </c>
      <c r="U875" s="75">
        <f>PARAM!$C$26+MAX($G$7-CHOOSE(PARAM!$B$44,MAX(0,V874*$F$1),0),0)*RATES!$L851/12+$H$7*(PARAM!$D$51/12)*RATES!$N851/100</f>
        <v>1190.0416666666667</v>
      </c>
      <c r="V875" s="16">
        <f t="shared" si="589"/>
        <v>-209758.8625706709</v>
      </c>
      <c r="W875" s="15">
        <f t="shared" si="564"/>
        <v>22.170849845882874</v>
      </c>
      <c r="X875" s="75">
        <f>W875*(1-PARAM!$C$27)*$I$8+(MOD($B875,60)=PARAM!$B$56)*($B875&gt;(60-PARAM!$B$56))*HLOOKUP(($B875+PARAM!$B$56)/12,Loyalty,2)*$F$1*MAX(Z874,0)</f>
        <v>18.557001321003963</v>
      </c>
      <c r="Y875" s="75">
        <f>PARAM!$C$26+MAX($G$8-CHOOSE(PARAM!$B$44,MAX(0,Z874*$F$1),0),0)*RATES!$L851/12+$H$8*(PARAM!$D$51/12)*RATES!$N851/100</f>
        <v>1190.0416666666667</v>
      </c>
      <c r="Z875" s="16">
        <f t="shared" si="590"/>
        <v>-209758.8625706709</v>
      </c>
      <c r="AA875" s="15">
        <f t="shared" si="565"/>
        <v>22.170849845882874</v>
      </c>
      <c r="AB875" s="75">
        <f>AA875*(1-PARAM!$C$27)*$I$9+(MOD($B875,60)=PARAM!$B$56)*($B875&gt;(60-PARAM!$B$56))*HLOOKUP(($B875+PARAM!$B$56)/12,Loyalty,2)*$F$1*MAX(AD874,0)</f>
        <v>18.557001321003963</v>
      </c>
      <c r="AC875" s="75">
        <f>PARAM!$C$26+MAX($G$9-CHOOSE(PARAM!$B$44,MAX(0,AD874*$F$1),0),0)*RATES!$L851/12+$H$9*(PARAM!$D$51/12)*RATES!$N851/100</f>
        <v>1190.0416666666667</v>
      </c>
      <c r="AD875" s="16">
        <f t="shared" si="591"/>
        <v>-209758.8625706709</v>
      </c>
      <c r="AE875" s="15">
        <f t="shared" si="566"/>
        <v>22.170849845882874</v>
      </c>
      <c r="AF875" s="75">
        <f>AE875*(1-PARAM!$C$27)*$I$10+(MOD($B875,60)=PARAM!$B$56)*($B875&gt;(60-PARAM!$B$56))*HLOOKUP(($B875+PARAM!$B$56)/12,Loyalty,2)*$F$1*MAX(AH874,0)</f>
        <v>18.557001321003963</v>
      </c>
      <c r="AG875" s="75">
        <f>PARAM!$C$26+MAX($G$10-CHOOSE(PARAM!$B$44,MAX(0,AH874*$F$1),0),0)*RATES!$L851/12+$H$10*(PARAM!$D$51/12)*RATES!$N851/100</f>
        <v>1190.0416666666667</v>
      </c>
      <c r="AH875" s="16">
        <f t="shared" si="592"/>
        <v>-209758.8625706709</v>
      </c>
      <c r="AI875" s="15">
        <f t="shared" si="567"/>
        <v>22.170849845882874</v>
      </c>
      <c r="AJ875" s="75">
        <f>AI875*(1-PARAM!$C$27)*$I$11+(MOD($B875,60)=PARAM!$B$56)*($B875&gt;(60-PARAM!$B$56))*HLOOKUP(($B875+PARAM!$B$56)/12,Loyalty,2)*$F$1*MAX(AL874,0)</f>
        <v>18.557001321003963</v>
      </c>
      <c r="AK875" s="75">
        <f>PARAM!$C$26+MAX($G$11-CHOOSE(PARAM!$B$44,MAX(0,AL874*$F$1),0),0)*RATES!$L851/12+$H$11*(PARAM!$D$51/12)*RATES!$N851/100</f>
        <v>1190.0416666666667</v>
      </c>
      <c r="AL875" s="16">
        <f t="shared" si="593"/>
        <v>-209758.8625706709</v>
      </c>
      <c r="AM875" s="15">
        <f t="shared" si="568"/>
        <v>22.170849845882874</v>
      </c>
      <c r="AN875" s="75">
        <f>AM875*(1-PARAM!$C$27)*$I$12+(MOD($B875,60)=PARAM!$B$56)*($B875&gt;(60-PARAM!$B$56))*HLOOKUP(($B875+PARAM!$B$56)/12,Loyalty,2)*$F$1*MAX(AP874,0)</f>
        <v>18.557001321003963</v>
      </c>
      <c r="AO875" s="75">
        <f>PARAM!$C$26+MAX($G$12-CHOOSE(PARAM!$B$44,MAX(0,AP874*$F$1),0),0)*RATES!$L851/12+$H$12*(PARAM!$D$51/12)*RATES!$N851/100</f>
        <v>1190.0416666666667</v>
      </c>
      <c r="AP875" s="16">
        <f t="shared" si="594"/>
        <v>-209758.8625706709</v>
      </c>
      <c r="AQ875" s="15">
        <f t="shared" si="569"/>
        <v>22.170849845882874</v>
      </c>
      <c r="AR875" s="75">
        <f>AQ875*(1-PARAM!$C$27)*$I$13+(MOD($B875,60)=PARAM!$B$56)*($B875&gt;(60-PARAM!$B$56))*HLOOKUP(($B875+PARAM!$B$56)/12,Loyalty,2)*$F$1*MAX(AT874,0)</f>
        <v>18.557001321003963</v>
      </c>
      <c r="AS875" s="75">
        <f>PARAM!$C$26+MAX($G$13-CHOOSE(PARAM!$B$44,MAX(0,AT874*$F$1),0),0)*RATES!$L851/12+$H$13*(PARAM!$D$51/12)*RATES!$N851/100</f>
        <v>1190.0416666666667</v>
      </c>
      <c r="AT875" s="16">
        <f t="shared" si="595"/>
        <v>-209758.8625706709</v>
      </c>
      <c r="AU875" s="15">
        <f t="shared" si="570"/>
        <v>22.170849845882874</v>
      </c>
      <c r="AV875" s="75">
        <f>AU875*(1-PARAM!$C$27)*$I$14+(MOD($B875,60)=PARAM!$B$56)*($B875&gt;(60-PARAM!$B$56))*HLOOKUP(($B875+PARAM!$B$56)/12,Loyalty,2)*$F$1*MAX(AX874,0)</f>
        <v>18.557001321003963</v>
      </c>
      <c r="AW875" s="75">
        <f>PARAM!$C$26+MAX($G$14-CHOOSE(PARAM!$B$44,MAX(0,AX874*$F$1),0),0)*RATES!$L851/12+$H$14*(PARAM!$D$51/12)*RATES!$N851/100</f>
        <v>1190.0416666666667</v>
      </c>
      <c r="AX875" s="16">
        <f t="shared" si="596"/>
        <v>-209758.8625706709</v>
      </c>
      <c r="AY875" s="15">
        <f t="shared" si="571"/>
        <v>22.170849845882874</v>
      </c>
      <c r="AZ875" s="75">
        <f>AY875*(1-PARAM!$C$27)*$I$15+(MOD($B875,60)=PARAM!$B$56)*($B875&gt;(60-PARAM!$B$56))*HLOOKUP(($B875+PARAM!$B$56)/12,Loyalty,2)*$F$1*MAX(BB874,0)</f>
        <v>18.557001321003963</v>
      </c>
      <c r="BA875" s="75">
        <f>PARAM!$C$26+MAX($G$15-CHOOSE(PARAM!$B$44,MAX(0,BB874*$F$1),0),0)*RATES!$L851/12+$H$15*(PARAM!$D$51/12)*RATES!$N851/100</f>
        <v>1190.0416666666667</v>
      </c>
      <c r="BB875" s="16">
        <f t="shared" si="597"/>
        <v>-209758.8625706709</v>
      </c>
      <c r="BC875" s="15">
        <f t="shared" si="572"/>
        <v>22.170849845882874</v>
      </c>
      <c r="BD875" s="75">
        <f>BC875*(1-PARAM!$C$27)*$I$16+(MOD($B875,60)=PARAM!$B$56)*($B875&gt;(60-PARAM!$B$56))*HLOOKUP(($B875+PARAM!$B$56)/12,Loyalty,2)*$F$1*MAX(BF874,0)</f>
        <v>18.557001321003963</v>
      </c>
      <c r="BE875" s="75">
        <f>PARAM!$C$26+MAX($G$16-CHOOSE(PARAM!$B$44,MAX(0,BF874*$F$1),0),0)*RATES!$L851/12+$H$16*(PARAM!$D$51/12)*RATES!$N851/100</f>
        <v>1190.0416666666667</v>
      </c>
      <c r="BF875" s="16">
        <f t="shared" si="598"/>
        <v>-209758.8625706709</v>
      </c>
      <c r="BG875" s="15">
        <f t="shared" si="573"/>
        <v>22.170849845882874</v>
      </c>
      <c r="BH875" s="75">
        <f>BG875*(1-PARAM!$C$27)*$I$17+(MOD($B875,60)=PARAM!$B$56)*($B875&gt;(60-PARAM!$B$56))*HLOOKUP(($B875+PARAM!$B$56)/12,Loyalty,2)*$F$1*MAX(BJ874,0)</f>
        <v>18.557001321003963</v>
      </c>
      <c r="BI875" s="75">
        <f>PARAM!$C$26+MAX($G$17-CHOOSE(PARAM!$B$44,MAX(0,BJ874*$F$1),0),0)*RATES!$L851/12+$H$17*(PARAM!$D$51/12)*RATES!$N851/100</f>
        <v>1190.0416666666667</v>
      </c>
      <c r="BJ875" s="16">
        <f t="shared" si="599"/>
        <v>-209758.8625706709</v>
      </c>
      <c r="BK875" s="15">
        <f t="shared" si="574"/>
        <v>22.170849845882874</v>
      </c>
      <c r="BL875" s="75">
        <f>BK875*(1-PARAM!$C$27)*$I$18+(MOD($B875,60)=PARAM!$B$56)*($B875&gt;(60-PARAM!$B$56))*HLOOKUP(($B875+PARAM!$B$56)/12,Loyalty,2)*$F$1*MAX(BN874,0)</f>
        <v>18.557001321003963</v>
      </c>
      <c r="BM875" s="75">
        <f>PARAM!$C$26+MAX($G$18-CHOOSE(PARAM!$B$44,MAX(0,BN874*$F$1),0),0)*RATES!$L851/12+$H$18*(PARAM!$D$51/12)*RATES!$N851/100</f>
        <v>1190.0416666666667</v>
      </c>
      <c r="BN875" s="16">
        <f t="shared" si="600"/>
        <v>-209758.8625706709</v>
      </c>
      <c r="BO875" s="15">
        <f t="shared" si="575"/>
        <v>22.170849845882874</v>
      </c>
      <c r="BP875" s="75">
        <f>BO875*(1-PARAM!$C$27)*$I$19+(MOD($B875,60)=PARAM!$B$56)*($B875&gt;(60-PARAM!$B$56))*HLOOKUP(($B875+PARAM!$B$56)/12,Loyalty,2)*$F$1*MAX(BR874,0)</f>
        <v>18.557001321003963</v>
      </c>
      <c r="BQ875" s="75">
        <f>PARAM!$C$26+MAX($G$19-CHOOSE(PARAM!$B$44,MAX(0,BR874*$F$1),0),0)*RATES!$L851/12+$H$19*(PARAM!$D$51/12)*RATES!$N851/100</f>
        <v>1190.0416666666667</v>
      </c>
      <c r="BR875" s="16">
        <f t="shared" si="601"/>
        <v>-209758.8625706709</v>
      </c>
      <c r="BS875" s="15">
        <f t="shared" si="576"/>
        <v>22.170849845882874</v>
      </c>
      <c r="BT875" s="75">
        <f>BS875*(1-PARAM!$C$27)*$I$20+(MOD($B875,60)=PARAM!$B$56)*($B875&gt;(60-PARAM!$B$56))*HLOOKUP(($B875+PARAM!$B$56)/12,Loyalty,2)*$F$1*MAX(BV874,0)</f>
        <v>18.557001321003963</v>
      </c>
      <c r="BU875" s="75">
        <f>PARAM!$C$26+MAX($G$20-CHOOSE(PARAM!$B$44,MAX(0,BV874*$F$1),0),0)*RATES!$L851/12+$H$20*(PARAM!$D$51/12)*RATES!$N851/100</f>
        <v>1190.0416666666667</v>
      </c>
      <c r="BV875" s="16">
        <f t="shared" si="602"/>
        <v>-209758.8625706709</v>
      </c>
      <c r="BW875" s="15">
        <f t="shared" si="577"/>
        <v>22.170849845882874</v>
      </c>
      <c r="BX875" s="75">
        <f>BW875*(1-PARAM!$C$27)*$I$21+(MOD($B875,60)=PARAM!$B$56)*($B875&gt;(60-PARAM!$B$56))*HLOOKUP(($B875+PARAM!$B$56)/12,Loyalty,2)*$F$1*MAX(BZ874,0)</f>
        <v>18.557001321003963</v>
      </c>
      <c r="BY875" s="75">
        <f>PARAM!$C$26+MAX($G$21-CHOOSE(PARAM!$B$44,MAX(0,BZ874*$F$1),0),0)*RATES!$L851/12+$H$21*(PARAM!$D$51/12)*RATES!$N851/100</f>
        <v>1190.0416666666667</v>
      </c>
      <c r="BZ875" s="16">
        <f t="shared" si="603"/>
        <v>-209758.8625706709</v>
      </c>
      <c r="CA875" s="15">
        <f t="shared" si="578"/>
        <v>22.170849845882874</v>
      </c>
      <c r="CB875" s="75">
        <f>CA875*(1-PARAM!$C$27)*$I$22+(MOD($B875,60)=PARAM!$B$56)*($B875&gt;(60-PARAM!$B$56))*HLOOKUP(($B875+PARAM!$B$56)/12,Loyalty,2)*$F$1*MAX(CD874,0)</f>
        <v>18.557001321003963</v>
      </c>
      <c r="CC875" s="75">
        <f>PARAM!$C$26+MAX($G$22-CHOOSE(PARAM!$B$44,MAX(0,CD874*$F$1),0),0)*RATES!$L851/12+$H$22*(PARAM!$D$51/12)*RATES!$N851/100</f>
        <v>1190.0416666666667</v>
      </c>
      <c r="CD875" s="16">
        <f t="shared" si="604"/>
        <v>-209758.8625706709</v>
      </c>
      <c r="CE875" s="33">
        <f>IF(0=MOD(B875,12/PARAM!$D$51),1,0)</f>
        <v>1</v>
      </c>
      <c r="CF875" s="15">
        <f t="shared" si="579"/>
        <v>0</v>
      </c>
      <c r="CG875" s="75">
        <f>CF875*(1-PARAM!$C$27)*$R$3+(MOD($B875/12,5)=0)*($B875&gt;60)*HLOOKUP($B875/12,Loyalty,2)*$F$1*MAX(CI874,0)</f>
        <v>0</v>
      </c>
      <c r="CH875" s="75">
        <f>PARAM!$C$26+MAX($P$3-CHOOSE(PARAM!$B$44,MAX(0,CI874*$F$1),0),0)*RATES!$L851/12+$Q$3*(PARAM!$D$51/12)*RATES!$N851/100</f>
        <v>1190.0416666666667</v>
      </c>
      <c r="CI875" s="16">
        <f>IF(CI874&gt;0,CI874*PARAM!$C$53,CI874)+CG875-CH875</f>
        <v>-225375.62499999991</v>
      </c>
      <c r="CJ875" s="15">
        <f t="shared" si="605"/>
        <v>0</v>
      </c>
      <c r="CK875" s="75">
        <f>CJ875*(1-PARAM!$C$27)*$R$4+(MOD($B875/12,5)=0)*($B875&gt;60)*HLOOKUP($B875/12,Loyalty,2)*$F$1*MAX(CM874,0)</f>
        <v>0</v>
      </c>
      <c r="CL875" s="75">
        <f>PARAM!$C$26+MAX($P$4-CHOOSE(PARAM!$B$44,MAX(0,CM874*$F$1),0),0)*RATES!$L851/12+$Q$4*(PARAM!$D$51/12)*RATES!$N851/100</f>
        <v>1190.0416666666667</v>
      </c>
      <c r="CM875" s="16">
        <f>IF(CM874&gt;0,CM874*PARAM!$C$53,CM874)+CK875-CL875</f>
        <v>-225375.62499999991</v>
      </c>
      <c r="CO875" s="176"/>
    </row>
    <row r="876" spans="1:93" x14ac:dyDescent="0.2">
      <c r="A876" t="b">
        <f t="shared" si="580"/>
        <v>0</v>
      </c>
      <c r="B876" s="33">
        <v>849</v>
      </c>
      <c r="C876" s="15">
        <f t="shared" si="581"/>
        <v>20.081305947392778</v>
      </c>
      <c r="D876" s="75">
        <f>C876*(1-PARAM!$C$27)*$I$3+(MOD($B876,60)=PARAM!$B$56)*($B876&gt;(60-PARAM!$B$56))*HLOOKUP(($B876+PARAM!$B$56)/12,Loyalty,2)*$F$1*MAX(F875,0)</f>
        <v>16.808053077967756</v>
      </c>
      <c r="E876" s="75">
        <f>PARAM!$C$26+MAX($G$3-CHOOSE(PARAM!$B$44,MAX(0,F875*$F$1),0),0)*RATES!$L852/12+$H$3*(PARAM!$D$51/12)*RATES!$N852/100</f>
        <v>1190.0416666666667</v>
      </c>
      <c r="F876" s="16">
        <f t="shared" si="582"/>
        <v>-212452.0547948762</v>
      </c>
      <c r="G876" s="15">
        <f t="shared" si="583"/>
        <v>22.035289406060361</v>
      </c>
      <c r="H876" s="75">
        <f>G876*(1-PARAM!$C$27)*$I$4+(MOD($B876,60)=PARAM!$B$56)*($B876&gt;(60-PARAM!$B$56))*HLOOKUP(($B876+PARAM!$B$56)/12,Loyalty,2)*$F$1*MAX(J875,0)</f>
        <v>18.443537232872522</v>
      </c>
      <c r="I876" s="75">
        <f>PARAM!$C$26+MAX($G$4-CHOOSE(PARAM!$B$44,MAX(0,J875*$F$1),0),0)*RATES!$L852/12+$H$4*(PARAM!$D$51/12)*RATES!$N852/100</f>
        <v>1190.0416666666667</v>
      </c>
      <c r="J876" s="16">
        <f t="shared" si="584"/>
        <v>-211029.69578323935</v>
      </c>
      <c r="K876" s="15">
        <f t="shared" si="585"/>
        <v>22.170849845882874</v>
      </c>
      <c r="L876" s="75">
        <f>K876*(1-PARAM!$C$27)*$I$5+(MOD($B876,60)=PARAM!$B$56)*($B876&gt;(60-PARAM!$B$56))*HLOOKUP(($B876+PARAM!$B$56)/12,Loyalty,2)*$F$1*MAX(N875,0)</f>
        <v>18.557001321003963</v>
      </c>
      <c r="M876" s="75">
        <f>PARAM!$C$26+MAX($G$5-CHOOSE(PARAM!$B$44,MAX(0,N875*$F$1),0),0)*RATES!$L852/12+$H$5*(PARAM!$D$51/12)*RATES!$N852/100</f>
        <v>1190.0416666666667</v>
      </c>
      <c r="N876" s="16">
        <f t="shared" si="586"/>
        <v>-210930.34723601656</v>
      </c>
      <c r="O876" s="15">
        <f t="shared" si="587"/>
        <v>22.170849845882874</v>
      </c>
      <c r="P876" s="75">
        <f>O876*(1-PARAM!$C$27)*$I$6+(MOD($B876,60)=PARAM!$B$56)*($B876&gt;(60-PARAM!$B$56))*HLOOKUP(($B876+PARAM!$B$56)/12,Loyalty,2)*$F$1*MAX(R875,0)</f>
        <v>18.557001321003963</v>
      </c>
      <c r="Q876" s="75">
        <f>PARAM!$C$26+MAX($G$6-CHOOSE(PARAM!$B$44,MAX(0,R875*$F$1),0),0)*RATES!$L852/12+$H$6*(PARAM!$D$51/12)*RATES!$N852/100</f>
        <v>1190.0416666666667</v>
      </c>
      <c r="R876" s="16">
        <f t="shared" si="588"/>
        <v>-210930.34723601656</v>
      </c>
      <c r="S876" s="15">
        <f t="shared" si="563"/>
        <v>22.170849845882874</v>
      </c>
      <c r="T876" s="75">
        <f>S876*(1-PARAM!$C$27)*$I$7+(MOD($B876,60)=PARAM!$B$56)*($B876&gt;(60-PARAM!$B$56))*HLOOKUP(($B876+PARAM!$B$56)/12,Loyalty,2)*$F$1*MAX(V875,0)</f>
        <v>18.557001321003963</v>
      </c>
      <c r="U876" s="75">
        <f>PARAM!$C$26+MAX($G$7-CHOOSE(PARAM!$B$44,MAX(0,V875*$F$1),0),0)*RATES!$L852/12+$H$7*(PARAM!$D$51/12)*RATES!$N852/100</f>
        <v>1190.0416666666667</v>
      </c>
      <c r="V876" s="16">
        <f t="shared" si="589"/>
        <v>-210930.34723601656</v>
      </c>
      <c r="W876" s="15">
        <f t="shared" si="564"/>
        <v>22.170849845882874</v>
      </c>
      <c r="X876" s="75">
        <f>W876*(1-PARAM!$C$27)*$I$8+(MOD($B876,60)=PARAM!$B$56)*($B876&gt;(60-PARAM!$B$56))*HLOOKUP(($B876+PARAM!$B$56)/12,Loyalty,2)*$F$1*MAX(Z875,0)</f>
        <v>18.557001321003963</v>
      </c>
      <c r="Y876" s="75">
        <f>PARAM!$C$26+MAX($G$8-CHOOSE(PARAM!$B$44,MAX(0,Z875*$F$1),0),0)*RATES!$L852/12+$H$8*(PARAM!$D$51/12)*RATES!$N852/100</f>
        <v>1190.0416666666667</v>
      </c>
      <c r="Z876" s="16">
        <f t="shared" si="590"/>
        <v>-210930.34723601656</v>
      </c>
      <c r="AA876" s="15">
        <f t="shared" si="565"/>
        <v>22.170849845882874</v>
      </c>
      <c r="AB876" s="75">
        <f>AA876*(1-PARAM!$C$27)*$I$9+(MOD($B876,60)=PARAM!$B$56)*($B876&gt;(60-PARAM!$B$56))*HLOOKUP(($B876+PARAM!$B$56)/12,Loyalty,2)*$F$1*MAX(AD875,0)</f>
        <v>18.557001321003963</v>
      </c>
      <c r="AC876" s="75">
        <f>PARAM!$C$26+MAX($G$9-CHOOSE(PARAM!$B$44,MAX(0,AD875*$F$1),0),0)*RATES!$L852/12+$H$9*(PARAM!$D$51/12)*RATES!$N852/100</f>
        <v>1190.0416666666667</v>
      </c>
      <c r="AD876" s="16">
        <f t="shared" si="591"/>
        <v>-210930.34723601656</v>
      </c>
      <c r="AE876" s="15">
        <f t="shared" si="566"/>
        <v>22.170849845882874</v>
      </c>
      <c r="AF876" s="75">
        <f>AE876*(1-PARAM!$C$27)*$I$10+(MOD($B876,60)=PARAM!$B$56)*($B876&gt;(60-PARAM!$B$56))*HLOOKUP(($B876+PARAM!$B$56)/12,Loyalty,2)*$F$1*MAX(AH875,0)</f>
        <v>18.557001321003963</v>
      </c>
      <c r="AG876" s="75">
        <f>PARAM!$C$26+MAX($G$10-CHOOSE(PARAM!$B$44,MAX(0,AH875*$F$1),0),0)*RATES!$L852/12+$H$10*(PARAM!$D$51/12)*RATES!$N852/100</f>
        <v>1190.0416666666667</v>
      </c>
      <c r="AH876" s="16">
        <f t="shared" si="592"/>
        <v>-210930.34723601656</v>
      </c>
      <c r="AI876" s="15">
        <f t="shared" si="567"/>
        <v>22.170849845882874</v>
      </c>
      <c r="AJ876" s="75">
        <f>AI876*(1-PARAM!$C$27)*$I$11+(MOD($B876,60)=PARAM!$B$56)*($B876&gt;(60-PARAM!$B$56))*HLOOKUP(($B876+PARAM!$B$56)/12,Loyalty,2)*$F$1*MAX(AL875,0)</f>
        <v>18.557001321003963</v>
      </c>
      <c r="AK876" s="75">
        <f>PARAM!$C$26+MAX($G$11-CHOOSE(PARAM!$B$44,MAX(0,AL875*$F$1),0),0)*RATES!$L852/12+$H$11*(PARAM!$D$51/12)*RATES!$N852/100</f>
        <v>1190.0416666666667</v>
      </c>
      <c r="AL876" s="16">
        <f t="shared" si="593"/>
        <v>-210930.34723601656</v>
      </c>
      <c r="AM876" s="15">
        <f t="shared" si="568"/>
        <v>22.170849845882874</v>
      </c>
      <c r="AN876" s="75">
        <f>AM876*(1-PARAM!$C$27)*$I$12+(MOD($B876,60)=PARAM!$B$56)*($B876&gt;(60-PARAM!$B$56))*HLOOKUP(($B876+PARAM!$B$56)/12,Loyalty,2)*$F$1*MAX(AP875,0)</f>
        <v>18.557001321003963</v>
      </c>
      <c r="AO876" s="75">
        <f>PARAM!$C$26+MAX($G$12-CHOOSE(PARAM!$B$44,MAX(0,AP875*$F$1),0),0)*RATES!$L852/12+$H$12*(PARAM!$D$51/12)*RATES!$N852/100</f>
        <v>1190.0416666666667</v>
      </c>
      <c r="AP876" s="16">
        <f t="shared" si="594"/>
        <v>-210930.34723601656</v>
      </c>
      <c r="AQ876" s="15">
        <f t="shared" si="569"/>
        <v>22.170849845882874</v>
      </c>
      <c r="AR876" s="75">
        <f>AQ876*(1-PARAM!$C$27)*$I$13+(MOD($B876,60)=PARAM!$B$56)*($B876&gt;(60-PARAM!$B$56))*HLOOKUP(($B876+PARAM!$B$56)/12,Loyalty,2)*$F$1*MAX(AT875,0)</f>
        <v>18.557001321003963</v>
      </c>
      <c r="AS876" s="75">
        <f>PARAM!$C$26+MAX($G$13-CHOOSE(PARAM!$B$44,MAX(0,AT875*$F$1),0),0)*RATES!$L852/12+$H$13*(PARAM!$D$51/12)*RATES!$N852/100</f>
        <v>1190.0416666666667</v>
      </c>
      <c r="AT876" s="16">
        <f t="shared" si="595"/>
        <v>-210930.34723601656</v>
      </c>
      <c r="AU876" s="15">
        <f t="shared" si="570"/>
        <v>22.170849845882874</v>
      </c>
      <c r="AV876" s="75">
        <f>AU876*(1-PARAM!$C$27)*$I$14+(MOD($B876,60)=PARAM!$B$56)*($B876&gt;(60-PARAM!$B$56))*HLOOKUP(($B876+PARAM!$B$56)/12,Loyalty,2)*$F$1*MAX(AX875,0)</f>
        <v>18.557001321003963</v>
      </c>
      <c r="AW876" s="75">
        <f>PARAM!$C$26+MAX($G$14-CHOOSE(PARAM!$B$44,MAX(0,AX875*$F$1),0),0)*RATES!$L852/12+$H$14*(PARAM!$D$51/12)*RATES!$N852/100</f>
        <v>1190.0416666666667</v>
      </c>
      <c r="AX876" s="16">
        <f t="shared" si="596"/>
        <v>-210930.34723601656</v>
      </c>
      <c r="AY876" s="15">
        <f t="shared" si="571"/>
        <v>22.170849845882874</v>
      </c>
      <c r="AZ876" s="75">
        <f>AY876*(1-PARAM!$C$27)*$I$15+(MOD($B876,60)=PARAM!$B$56)*($B876&gt;(60-PARAM!$B$56))*HLOOKUP(($B876+PARAM!$B$56)/12,Loyalty,2)*$F$1*MAX(BB875,0)</f>
        <v>18.557001321003963</v>
      </c>
      <c r="BA876" s="75">
        <f>PARAM!$C$26+MAX($G$15-CHOOSE(PARAM!$B$44,MAX(0,BB875*$F$1),0),0)*RATES!$L852/12+$H$15*(PARAM!$D$51/12)*RATES!$N852/100</f>
        <v>1190.0416666666667</v>
      </c>
      <c r="BB876" s="16">
        <f t="shared" si="597"/>
        <v>-210930.34723601656</v>
      </c>
      <c r="BC876" s="15">
        <f t="shared" si="572"/>
        <v>22.170849845882874</v>
      </c>
      <c r="BD876" s="75">
        <f>BC876*(1-PARAM!$C$27)*$I$16+(MOD($B876,60)=PARAM!$B$56)*($B876&gt;(60-PARAM!$B$56))*HLOOKUP(($B876+PARAM!$B$56)/12,Loyalty,2)*$F$1*MAX(BF875,0)</f>
        <v>18.557001321003963</v>
      </c>
      <c r="BE876" s="75">
        <f>PARAM!$C$26+MAX($G$16-CHOOSE(PARAM!$B$44,MAX(0,BF875*$F$1),0),0)*RATES!$L852/12+$H$16*(PARAM!$D$51/12)*RATES!$N852/100</f>
        <v>1190.0416666666667</v>
      </c>
      <c r="BF876" s="16">
        <f t="shared" si="598"/>
        <v>-210930.34723601656</v>
      </c>
      <c r="BG876" s="15">
        <f t="shared" si="573"/>
        <v>22.170849845882874</v>
      </c>
      <c r="BH876" s="75">
        <f>BG876*(1-PARAM!$C$27)*$I$17+(MOD($B876,60)=PARAM!$B$56)*($B876&gt;(60-PARAM!$B$56))*HLOOKUP(($B876+PARAM!$B$56)/12,Loyalty,2)*$F$1*MAX(BJ875,0)</f>
        <v>18.557001321003963</v>
      </c>
      <c r="BI876" s="75">
        <f>PARAM!$C$26+MAX($G$17-CHOOSE(PARAM!$B$44,MAX(0,BJ875*$F$1),0),0)*RATES!$L852/12+$H$17*(PARAM!$D$51/12)*RATES!$N852/100</f>
        <v>1190.0416666666667</v>
      </c>
      <c r="BJ876" s="16">
        <f t="shared" si="599"/>
        <v>-210930.34723601656</v>
      </c>
      <c r="BK876" s="15">
        <f t="shared" si="574"/>
        <v>22.170849845882874</v>
      </c>
      <c r="BL876" s="75">
        <f>BK876*(1-PARAM!$C$27)*$I$18+(MOD($B876,60)=PARAM!$B$56)*($B876&gt;(60-PARAM!$B$56))*HLOOKUP(($B876+PARAM!$B$56)/12,Loyalty,2)*$F$1*MAX(BN875,0)</f>
        <v>18.557001321003963</v>
      </c>
      <c r="BM876" s="75">
        <f>PARAM!$C$26+MAX($G$18-CHOOSE(PARAM!$B$44,MAX(0,BN875*$F$1),0),0)*RATES!$L852/12+$H$18*(PARAM!$D$51/12)*RATES!$N852/100</f>
        <v>1190.0416666666667</v>
      </c>
      <c r="BN876" s="16">
        <f t="shared" si="600"/>
        <v>-210930.34723601656</v>
      </c>
      <c r="BO876" s="15">
        <f t="shared" si="575"/>
        <v>22.170849845882874</v>
      </c>
      <c r="BP876" s="75">
        <f>BO876*(1-PARAM!$C$27)*$I$19+(MOD($B876,60)=PARAM!$B$56)*($B876&gt;(60-PARAM!$B$56))*HLOOKUP(($B876+PARAM!$B$56)/12,Loyalty,2)*$F$1*MAX(BR875,0)</f>
        <v>18.557001321003963</v>
      </c>
      <c r="BQ876" s="75">
        <f>PARAM!$C$26+MAX($G$19-CHOOSE(PARAM!$B$44,MAX(0,BR875*$F$1),0),0)*RATES!$L852/12+$H$19*(PARAM!$D$51/12)*RATES!$N852/100</f>
        <v>1190.0416666666667</v>
      </c>
      <c r="BR876" s="16">
        <f t="shared" si="601"/>
        <v>-210930.34723601656</v>
      </c>
      <c r="BS876" s="15">
        <f t="shared" si="576"/>
        <v>22.170849845882874</v>
      </c>
      <c r="BT876" s="75">
        <f>BS876*(1-PARAM!$C$27)*$I$20+(MOD($B876,60)=PARAM!$B$56)*($B876&gt;(60-PARAM!$B$56))*HLOOKUP(($B876+PARAM!$B$56)/12,Loyalty,2)*$F$1*MAX(BV875,0)</f>
        <v>18.557001321003963</v>
      </c>
      <c r="BU876" s="75">
        <f>PARAM!$C$26+MAX($G$20-CHOOSE(PARAM!$B$44,MAX(0,BV875*$F$1),0),0)*RATES!$L852/12+$H$20*(PARAM!$D$51/12)*RATES!$N852/100</f>
        <v>1190.0416666666667</v>
      </c>
      <c r="BV876" s="16">
        <f t="shared" si="602"/>
        <v>-210930.34723601656</v>
      </c>
      <c r="BW876" s="15">
        <f t="shared" si="577"/>
        <v>22.170849845882874</v>
      </c>
      <c r="BX876" s="75">
        <f>BW876*(1-PARAM!$C$27)*$I$21+(MOD($B876,60)=PARAM!$B$56)*($B876&gt;(60-PARAM!$B$56))*HLOOKUP(($B876+PARAM!$B$56)/12,Loyalty,2)*$F$1*MAX(BZ875,0)</f>
        <v>18.557001321003963</v>
      </c>
      <c r="BY876" s="75">
        <f>PARAM!$C$26+MAX($G$21-CHOOSE(PARAM!$B$44,MAX(0,BZ875*$F$1),0),0)*RATES!$L852/12+$H$21*(PARAM!$D$51/12)*RATES!$N852/100</f>
        <v>1190.0416666666667</v>
      </c>
      <c r="BZ876" s="16">
        <f t="shared" si="603"/>
        <v>-210930.34723601656</v>
      </c>
      <c r="CA876" s="15">
        <f t="shared" si="578"/>
        <v>22.170849845882874</v>
      </c>
      <c r="CB876" s="75">
        <f>CA876*(1-PARAM!$C$27)*$I$22+(MOD($B876,60)=PARAM!$B$56)*($B876&gt;(60-PARAM!$B$56))*HLOOKUP(($B876+PARAM!$B$56)/12,Loyalty,2)*$F$1*MAX(CD875,0)</f>
        <v>18.557001321003963</v>
      </c>
      <c r="CC876" s="75">
        <f>PARAM!$C$26+MAX($G$22-CHOOSE(PARAM!$B$44,MAX(0,CD875*$F$1),0),0)*RATES!$L852/12+$H$22*(PARAM!$D$51/12)*RATES!$N852/100</f>
        <v>1190.0416666666667</v>
      </c>
      <c r="CD876" s="16">
        <f t="shared" si="604"/>
        <v>-210930.34723601656</v>
      </c>
      <c r="CE876" s="33">
        <f>IF(0=MOD(B876,12/PARAM!$D$51),1,0)</f>
        <v>1</v>
      </c>
      <c r="CF876" s="15">
        <f t="shared" si="579"/>
        <v>0</v>
      </c>
      <c r="CG876" s="75">
        <f>CF876*(1-PARAM!$C$27)*$R$3+(MOD($B876/12,5)=0)*($B876&gt;60)*HLOOKUP($B876/12,Loyalty,2)*$F$1*MAX(CI875,0)</f>
        <v>0</v>
      </c>
      <c r="CH876" s="75">
        <f>PARAM!$C$26+MAX($P$3-CHOOSE(PARAM!$B$44,MAX(0,CI875*$F$1),0),0)*RATES!$L852/12+$Q$3*(PARAM!$D$51/12)*RATES!$N852/100</f>
        <v>1190.0416666666667</v>
      </c>
      <c r="CI876" s="16">
        <f>IF(CI875&gt;0,CI875*PARAM!$C$53,CI875)+CG876-CH876</f>
        <v>-226565.66666666657</v>
      </c>
      <c r="CJ876" s="15">
        <f t="shared" si="605"/>
        <v>0</v>
      </c>
      <c r="CK876" s="75">
        <f>CJ876*(1-PARAM!$C$27)*$R$4+(MOD($B876/12,5)=0)*($B876&gt;60)*HLOOKUP($B876/12,Loyalty,2)*$F$1*MAX(CM875,0)</f>
        <v>0</v>
      </c>
      <c r="CL876" s="75">
        <f>PARAM!$C$26+MAX($P$4-CHOOSE(PARAM!$B$44,MAX(0,CM875*$F$1),0),0)*RATES!$L852/12+$Q$4*(PARAM!$D$51/12)*RATES!$N852/100</f>
        <v>1190.0416666666667</v>
      </c>
      <c r="CM876" s="16">
        <f>IF(CM875&gt;0,CM875*PARAM!$C$53,CM875)+CK876-CL876</f>
        <v>-226565.66666666657</v>
      </c>
      <c r="CO876" s="176"/>
    </row>
    <row r="877" spans="1:93" x14ac:dyDescent="0.2">
      <c r="A877" t="b">
        <f t="shared" si="580"/>
        <v>0</v>
      </c>
      <c r="B877" s="33">
        <v>850</v>
      </c>
      <c r="C877" s="15">
        <f t="shared" si="581"/>
        <v>20.081305947392778</v>
      </c>
      <c r="D877" s="75">
        <f>C877*(1-PARAM!$C$27)*$I$3+(MOD($B877,60)=PARAM!$B$56)*($B877&gt;(60-PARAM!$B$56))*HLOOKUP(($B877+PARAM!$B$56)/12,Loyalty,2)*$F$1*MAX(F876,0)</f>
        <v>16.808053077967756</v>
      </c>
      <c r="E877" s="75">
        <f>PARAM!$C$26+MAX($G$3-CHOOSE(PARAM!$B$44,MAX(0,F876*$F$1),0),0)*RATES!$L853/12+$H$3*(PARAM!$D$51/12)*RATES!$N853/100</f>
        <v>1190.0416666666667</v>
      </c>
      <c r="F877" s="16">
        <f t="shared" si="582"/>
        <v>-213625.2884084649</v>
      </c>
      <c r="G877" s="15">
        <f t="shared" si="583"/>
        <v>22.035289406060361</v>
      </c>
      <c r="H877" s="75">
        <f>G877*(1-PARAM!$C$27)*$I$4+(MOD($B877,60)=PARAM!$B$56)*($B877&gt;(60-PARAM!$B$56))*HLOOKUP(($B877+PARAM!$B$56)/12,Loyalty,2)*$F$1*MAX(J876,0)</f>
        <v>18.443537232872522</v>
      </c>
      <c r="I877" s="75">
        <f>PARAM!$C$26+MAX($G$4-CHOOSE(PARAM!$B$44,MAX(0,J876*$F$1),0),0)*RATES!$L853/12+$H$4*(PARAM!$D$51/12)*RATES!$N853/100</f>
        <v>1190.0416666666667</v>
      </c>
      <c r="J877" s="16">
        <f t="shared" si="584"/>
        <v>-212201.29391267314</v>
      </c>
      <c r="K877" s="15">
        <f t="shared" si="585"/>
        <v>22.170849845882874</v>
      </c>
      <c r="L877" s="75">
        <f>K877*(1-PARAM!$C$27)*$I$5+(MOD($B877,60)=PARAM!$B$56)*($B877&gt;(60-PARAM!$B$56))*HLOOKUP(($B877+PARAM!$B$56)/12,Loyalty,2)*$F$1*MAX(N876,0)</f>
        <v>18.557001321003963</v>
      </c>
      <c r="M877" s="75">
        <f>PARAM!$C$26+MAX($G$5-CHOOSE(PARAM!$B$44,MAX(0,N876*$F$1),0),0)*RATES!$L853/12+$H$5*(PARAM!$D$51/12)*RATES!$N853/100</f>
        <v>1190.0416666666667</v>
      </c>
      <c r="N877" s="16">
        <f t="shared" si="586"/>
        <v>-212101.83190136222</v>
      </c>
      <c r="O877" s="15">
        <f t="shared" si="587"/>
        <v>22.170849845882874</v>
      </c>
      <c r="P877" s="75">
        <f>O877*(1-PARAM!$C$27)*$I$6+(MOD($B877,60)=PARAM!$B$56)*($B877&gt;(60-PARAM!$B$56))*HLOOKUP(($B877+PARAM!$B$56)/12,Loyalty,2)*$F$1*MAX(R876,0)</f>
        <v>18.557001321003963</v>
      </c>
      <c r="Q877" s="75">
        <f>PARAM!$C$26+MAX($G$6-CHOOSE(PARAM!$B$44,MAX(0,R876*$F$1),0),0)*RATES!$L853/12+$H$6*(PARAM!$D$51/12)*RATES!$N853/100</f>
        <v>1190.0416666666667</v>
      </c>
      <c r="R877" s="16">
        <f t="shared" si="588"/>
        <v>-212101.83190136222</v>
      </c>
      <c r="S877" s="15">
        <f t="shared" si="563"/>
        <v>22.170849845882874</v>
      </c>
      <c r="T877" s="75">
        <f>S877*(1-PARAM!$C$27)*$I$7+(MOD($B877,60)=PARAM!$B$56)*($B877&gt;(60-PARAM!$B$56))*HLOOKUP(($B877+PARAM!$B$56)/12,Loyalty,2)*$F$1*MAX(V876,0)</f>
        <v>18.557001321003963</v>
      </c>
      <c r="U877" s="75">
        <f>PARAM!$C$26+MAX($G$7-CHOOSE(PARAM!$B$44,MAX(0,V876*$F$1),0),0)*RATES!$L853/12+$H$7*(PARAM!$D$51/12)*RATES!$N853/100</f>
        <v>1190.0416666666667</v>
      </c>
      <c r="V877" s="16">
        <f t="shared" si="589"/>
        <v>-212101.83190136222</v>
      </c>
      <c r="W877" s="15">
        <f t="shared" si="564"/>
        <v>22.170849845882874</v>
      </c>
      <c r="X877" s="75">
        <f>W877*(1-PARAM!$C$27)*$I$8+(MOD($B877,60)=PARAM!$B$56)*($B877&gt;(60-PARAM!$B$56))*HLOOKUP(($B877+PARAM!$B$56)/12,Loyalty,2)*$F$1*MAX(Z876,0)</f>
        <v>18.557001321003963</v>
      </c>
      <c r="Y877" s="75">
        <f>PARAM!$C$26+MAX($G$8-CHOOSE(PARAM!$B$44,MAX(0,Z876*$F$1),0),0)*RATES!$L853/12+$H$8*(PARAM!$D$51/12)*RATES!$N853/100</f>
        <v>1190.0416666666667</v>
      </c>
      <c r="Z877" s="16">
        <f t="shared" si="590"/>
        <v>-212101.83190136222</v>
      </c>
      <c r="AA877" s="15">
        <f t="shared" si="565"/>
        <v>22.170849845882874</v>
      </c>
      <c r="AB877" s="75">
        <f>AA877*(1-PARAM!$C$27)*$I$9+(MOD($B877,60)=PARAM!$B$56)*($B877&gt;(60-PARAM!$B$56))*HLOOKUP(($B877+PARAM!$B$56)/12,Loyalty,2)*$F$1*MAX(AD876,0)</f>
        <v>18.557001321003963</v>
      </c>
      <c r="AC877" s="75">
        <f>PARAM!$C$26+MAX($G$9-CHOOSE(PARAM!$B$44,MAX(0,AD876*$F$1),0),0)*RATES!$L853/12+$H$9*(PARAM!$D$51/12)*RATES!$N853/100</f>
        <v>1190.0416666666667</v>
      </c>
      <c r="AD877" s="16">
        <f t="shared" si="591"/>
        <v>-212101.83190136222</v>
      </c>
      <c r="AE877" s="15">
        <f t="shared" si="566"/>
        <v>22.170849845882874</v>
      </c>
      <c r="AF877" s="75">
        <f>AE877*(1-PARAM!$C$27)*$I$10+(MOD($B877,60)=PARAM!$B$56)*($B877&gt;(60-PARAM!$B$56))*HLOOKUP(($B877+PARAM!$B$56)/12,Loyalty,2)*$F$1*MAX(AH876,0)</f>
        <v>18.557001321003963</v>
      </c>
      <c r="AG877" s="75">
        <f>PARAM!$C$26+MAX($G$10-CHOOSE(PARAM!$B$44,MAX(0,AH876*$F$1),0),0)*RATES!$L853/12+$H$10*(PARAM!$D$51/12)*RATES!$N853/100</f>
        <v>1190.0416666666667</v>
      </c>
      <c r="AH877" s="16">
        <f t="shared" si="592"/>
        <v>-212101.83190136222</v>
      </c>
      <c r="AI877" s="15">
        <f t="shared" si="567"/>
        <v>22.170849845882874</v>
      </c>
      <c r="AJ877" s="75">
        <f>AI877*(1-PARAM!$C$27)*$I$11+(MOD($B877,60)=PARAM!$B$56)*($B877&gt;(60-PARAM!$B$56))*HLOOKUP(($B877+PARAM!$B$56)/12,Loyalty,2)*$F$1*MAX(AL876,0)</f>
        <v>18.557001321003963</v>
      </c>
      <c r="AK877" s="75">
        <f>PARAM!$C$26+MAX($G$11-CHOOSE(PARAM!$B$44,MAX(0,AL876*$F$1),0),0)*RATES!$L853/12+$H$11*(PARAM!$D$51/12)*RATES!$N853/100</f>
        <v>1190.0416666666667</v>
      </c>
      <c r="AL877" s="16">
        <f t="shared" si="593"/>
        <v>-212101.83190136222</v>
      </c>
      <c r="AM877" s="15">
        <f t="shared" si="568"/>
        <v>22.170849845882874</v>
      </c>
      <c r="AN877" s="75">
        <f>AM877*(1-PARAM!$C$27)*$I$12+(MOD($B877,60)=PARAM!$B$56)*($B877&gt;(60-PARAM!$B$56))*HLOOKUP(($B877+PARAM!$B$56)/12,Loyalty,2)*$F$1*MAX(AP876,0)</f>
        <v>18.557001321003963</v>
      </c>
      <c r="AO877" s="75">
        <f>PARAM!$C$26+MAX($G$12-CHOOSE(PARAM!$B$44,MAX(0,AP876*$F$1),0),0)*RATES!$L853/12+$H$12*(PARAM!$D$51/12)*RATES!$N853/100</f>
        <v>1190.0416666666667</v>
      </c>
      <c r="AP877" s="16">
        <f t="shared" si="594"/>
        <v>-212101.83190136222</v>
      </c>
      <c r="AQ877" s="15">
        <f t="shared" si="569"/>
        <v>22.170849845882874</v>
      </c>
      <c r="AR877" s="75">
        <f>AQ877*(1-PARAM!$C$27)*$I$13+(MOD($B877,60)=PARAM!$B$56)*($B877&gt;(60-PARAM!$B$56))*HLOOKUP(($B877+PARAM!$B$56)/12,Loyalty,2)*$F$1*MAX(AT876,0)</f>
        <v>18.557001321003963</v>
      </c>
      <c r="AS877" s="75">
        <f>PARAM!$C$26+MAX($G$13-CHOOSE(PARAM!$B$44,MAX(0,AT876*$F$1),0),0)*RATES!$L853/12+$H$13*(PARAM!$D$51/12)*RATES!$N853/100</f>
        <v>1190.0416666666667</v>
      </c>
      <c r="AT877" s="16">
        <f t="shared" si="595"/>
        <v>-212101.83190136222</v>
      </c>
      <c r="AU877" s="15">
        <f t="shared" si="570"/>
        <v>22.170849845882874</v>
      </c>
      <c r="AV877" s="75">
        <f>AU877*(1-PARAM!$C$27)*$I$14+(MOD($B877,60)=PARAM!$B$56)*($B877&gt;(60-PARAM!$B$56))*HLOOKUP(($B877+PARAM!$B$56)/12,Loyalty,2)*$F$1*MAX(AX876,0)</f>
        <v>18.557001321003963</v>
      </c>
      <c r="AW877" s="75">
        <f>PARAM!$C$26+MAX($G$14-CHOOSE(PARAM!$B$44,MAX(0,AX876*$F$1),0),0)*RATES!$L853/12+$H$14*(PARAM!$D$51/12)*RATES!$N853/100</f>
        <v>1190.0416666666667</v>
      </c>
      <c r="AX877" s="16">
        <f t="shared" si="596"/>
        <v>-212101.83190136222</v>
      </c>
      <c r="AY877" s="15">
        <f t="shared" si="571"/>
        <v>22.170849845882874</v>
      </c>
      <c r="AZ877" s="75">
        <f>AY877*(1-PARAM!$C$27)*$I$15+(MOD($B877,60)=PARAM!$B$56)*($B877&gt;(60-PARAM!$B$56))*HLOOKUP(($B877+PARAM!$B$56)/12,Loyalty,2)*$F$1*MAX(BB876,0)</f>
        <v>18.557001321003963</v>
      </c>
      <c r="BA877" s="75">
        <f>PARAM!$C$26+MAX($G$15-CHOOSE(PARAM!$B$44,MAX(0,BB876*$F$1),0),0)*RATES!$L853/12+$H$15*(PARAM!$D$51/12)*RATES!$N853/100</f>
        <v>1190.0416666666667</v>
      </c>
      <c r="BB877" s="16">
        <f t="shared" si="597"/>
        <v>-212101.83190136222</v>
      </c>
      <c r="BC877" s="15">
        <f t="shared" si="572"/>
        <v>22.170849845882874</v>
      </c>
      <c r="BD877" s="75">
        <f>BC877*(1-PARAM!$C$27)*$I$16+(MOD($B877,60)=PARAM!$B$56)*($B877&gt;(60-PARAM!$B$56))*HLOOKUP(($B877+PARAM!$B$56)/12,Loyalty,2)*$F$1*MAX(BF876,0)</f>
        <v>18.557001321003963</v>
      </c>
      <c r="BE877" s="75">
        <f>PARAM!$C$26+MAX($G$16-CHOOSE(PARAM!$B$44,MAX(0,BF876*$F$1),0),0)*RATES!$L853/12+$H$16*(PARAM!$D$51/12)*RATES!$N853/100</f>
        <v>1190.0416666666667</v>
      </c>
      <c r="BF877" s="16">
        <f t="shared" si="598"/>
        <v>-212101.83190136222</v>
      </c>
      <c r="BG877" s="15">
        <f t="shared" si="573"/>
        <v>22.170849845882874</v>
      </c>
      <c r="BH877" s="75">
        <f>BG877*(1-PARAM!$C$27)*$I$17+(MOD($B877,60)=PARAM!$B$56)*($B877&gt;(60-PARAM!$B$56))*HLOOKUP(($B877+PARAM!$B$56)/12,Loyalty,2)*$F$1*MAX(BJ876,0)</f>
        <v>18.557001321003963</v>
      </c>
      <c r="BI877" s="75">
        <f>PARAM!$C$26+MAX($G$17-CHOOSE(PARAM!$B$44,MAX(0,BJ876*$F$1),0),0)*RATES!$L853/12+$H$17*(PARAM!$D$51/12)*RATES!$N853/100</f>
        <v>1190.0416666666667</v>
      </c>
      <c r="BJ877" s="16">
        <f t="shared" si="599"/>
        <v>-212101.83190136222</v>
      </c>
      <c r="BK877" s="15">
        <f t="shared" si="574"/>
        <v>22.170849845882874</v>
      </c>
      <c r="BL877" s="75">
        <f>BK877*(1-PARAM!$C$27)*$I$18+(MOD($B877,60)=PARAM!$B$56)*($B877&gt;(60-PARAM!$B$56))*HLOOKUP(($B877+PARAM!$B$56)/12,Loyalty,2)*$F$1*MAX(BN876,0)</f>
        <v>18.557001321003963</v>
      </c>
      <c r="BM877" s="75">
        <f>PARAM!$C$26+MAX($G$18-CHOOSE(PARAM!$B$44,MAX(0,BN876*$F$1),0),0)*RATES!$L853/12+$H$18*(PARAM!$D$51/12)*RATES!$N853/100</f>
        <v>1190.0416666666667</v>
      </c>
      <c r="BN877" s="16">
        <f t="shared" si="600"/>
        <v>-212101.83190136222</v>
      </c>
      <c r="BO877" s="15">
        <f t="shared" si="575"/>
        <v>22.170849845882874</v>
      </c>
      <c r="BP877" s="75">
        <f>BO877*(1-PARAM!$C$27)*$I$19+(MOD($B877,60)=PARAM!$B$56)*($B877&gt;(60-PARAM!$B$56))*HLOOKUP(($B877+PARAM!$B$56)/12,Loyalty,2)*$F$1*MAX(BR876,0)</f>
        <v>18.557001321003963</v>
      </c>
      <c r="BQ877" s="75">
        <f>PARAM!$C$26+MAX($G$19-CHOOSE(PARAM!$B$44,MAX(0,BR876*$F$1),0),0)*RATES!$L853/12+$H$19*(PARAM!$D$51/12)*RATES!$N853/100</f>
        <v>1190.0416666666667</v>
      </c>
      <c r="BR877" s="16">
        <f t="shared" si="601"/>
        <v>-212101.83190136222</v>
      </c>
      <c r="BS877" s="15">
        <f t="shared" si="576"/>
        <v>22.170849845882874</v>
      </c>
      <c r="BT877" s="75">
        <f>BS877*(1-PARAM!$C$27)*$I$20+(MOD($B877,60)=PARAM!$B$56)*($B877&gt;(60-PARAM!$B$56))*HLOOKUP(($B877+PARAM!$B$56)/12,Loyalty,2)*$F$1*MAX(BV876,0)</f>
        <v>18.557001321003963</v>
      </c>
      <c r="BU877" s="75">
        <f>PARAM!$C$26+MAX($G$20-CHOOSE(PARAM!$B$44,MAX(0,BV876*$F$1),0),0)*RATES!$L853/12+$H$20*(PARAM!$D$51/12)*RATES!$N853/100</f>
        <v>1190.0416666666667</v>
      </c>
      <c r="BV877" s="16">
        <f t="shared" si="602"/>
        <v>-212101.83190136222</v>
      </c>
      <c r="BW877" s="15">
        <f t="shared" si="577"/>
        <v>22.170849845882874</v>
      </c>
      <c r="BX877" s="75">
        <f>BW877*(1-PARAM!$C$27)*$I$21+(MOD($B877,60)=PARAM!$B$56)*($B877&gt;(60-PARAM!$B$56))*HLOOKUP(($B877+PARAM!$B$56)/12,Loyalty,2)*$F$1*MAX(BZ876,0)</f>
        <v>18.557001321003963</v>
      </c>
      <c r="BY877" s="75">
        <f>PARAM!$C$26+MAX($G$21-CHOOSE(PARAM!$B$44,MAX(0,BZ876*$F$1),0),0)*RATES!$L853/12+$H$21*(PARAM!$D$51/12)*RATES!$N853/100</f>
        <v>1190.0416666666667</v>
      </c>
      <c r="BZ877" s="16">
        <f t="shared" si="603"/>
        <v>-212101.83190136222</v>
      </c>
      <c r="CA877" s="15">
        <f t="shared" si="578"/>
        <v>22.170849845882874</v>
      </c>
      <c r="CB877" s="75">
        <f>CA877*(1-PARAM!$C$27)*$I$22+(MOD($B877,60)=PARAM!$B$56)*($B877&gt;(60-PARAM!$B$56))*HLOOKUP(($B877+PARAM!$B$56)/12,Loyalty,2)*$F$1*MAX(CD876,0)</f>
        <v>18.557001321003963</v>
      </c>
      <c r="CC877" s="75">
        <f>PARAM!$C$26+MAX($G$22-CHOOSE(PARAM!$B$44,MAX(0,CD876*$F$1),0),0)*RATES!$L853/12+$H$22*(PARAM!$D$51/12)*RATES!$N853/100</f>
        <v>1190.0416666666667</v>
      </c>
      <c r="CD877" s="16">
        <f t="shared" si="604"/>
        <v>-212101.83190136222</v>
      </c>
      <c r="CE877" s="33">
        <f>IF(0=MOD(B877,12/PARAM!$D$51),1,0)</f>
        <v>1</v>
      </c>
      <c r="CF877" s="15">
        <f t="shared" si="579"/>
        <v>0</v>
      </c>
      <c r="CG877" s="75">
        <f>CF877*(1-PARAM!$C$27)*$R$3+(MOD($B877/12,5)=0)*($B877&gt;60)*HLOOKUP($B877/12,Loyalty,2)*$F$1*MAX(CI876,0)</f>
        <v>0</v>
      </c>
      <c r="CH877" s="75">
        <f>PARAM!$C$26+MAX($P$3-CHOOSE(PARAM!$B$44,MAX(0,CI876*$F$1),0),0)*RATES!$L853/12+$Q$3*(PARAM!$D$51/12)*RATES!$N853/100</f>
        <v>1190.0416666666667</v>
      </c>
      <c r="CI877" s="16">
        <f>IF(CI876&gt;0,CI876*PARAM!$C$53,CI876)+CG877-CH877</f>
        <v>-227755.70833333323</v>
      </c>
      <c r="CJ877" s="15">
        <f t="shared" si="605"/>
        <v>0</v>
      </c>
      <c r="CK877" s="75">
        <f>CJ877*(1-PARAM!$C$27)*$R$4+(MOD($B877/12,5)=0)*($B877&gt;60)*HLOOKUP($B877/12,Loyalty,2)*$F$1*MAX(CM876,0)</f>
        <v>0</v>
      </c>
      <c r="CL877" s="75">
        <f>PARAM!$C$26+MAX($P$4-CHOOSE(PARAM!$B$44,MAX(0,CM876*$F$1),0),0)*RATES!$L853/12+$Q$4*(PARAM!$D$51/12)*RATES!$N853/100</f>
        <v>1190.0416666666667</v>
      </c>
      <c r="CM877" s="16">
        <f>IF(CM876&gt;0,CM876*PARAM!$C$53,CM876)+CK877-CL877</f>
        <v>-227755.70833333323</v>
      </c>
      <c r="CO877" s="176"/>
    </row>
    <row r="878" spans="1:93" x14ac:dyDescent="0.2">
      <c r="A878" t="b">
        <f t="shared" si="580"/>
        <v>0</v>
      </c>
      <c r="B878" s="33">
        <v>851</v>
      </c>
      <c r="C878" s="15">
        <f t="shared" si="581"/>
        <v>20.081305947392778</v>
      </c>
      <c r="D878" s="75">
        <f>C878*(1-PARAM!$C$27)*$I$3+(MOD($B878,60)=PARAM!$B$56)*($B878&gt;(60-PARAM!$B$56))*HLOOKUP(($B878+PARAM!$B$56)/12,Loyalty,2)*$F$1*MAX(F877,0)</f>
        <v>16.808053077967756</v>
      </c>
      <c r="E878" s="75">
        <f>PARAM!$C$26+MAX($G$3-CHOOSE(PARAM!$B$44,MAX(0,F877*$F$1),0),0)*RATES!$L854/12+$H$3*(PARAM!$D$51/12)*RATES!$N854/100</f>
        <v>1190.0416666666667</v>
      </c>
      <c r="F878" s="16">
        <f t="shared" si="582"/>
        <v>-214798.5220220536</v>
      </c>
      <c r="G878" s="15">
        <f t="shared" si="583"/>
        <v>22.035289406060361</v>
      </c>
      <c r="H878" s="75">
        <f>G878*(1-PARAM!$C$27)*$I$4+(MOD($B878,60)=PARAM!$B$56)*($B878&gt;(60-PARAM!$B$56))*HLOOKUP(($B878+PARAM!$B$56)/12,Loyalty,2)*$F$1*MAX(J877,0)</f>
        <v>18.443537232872522</v>
      </c>
      <c r="I878" s="75">
        <f>PARAM!$C$26+MAX($G$4-CHOOSE(PARAM!$B$44,MAX(0,J877*$F$1),0),0)*RATES!$L854/12+$H$4*(PARAM!$D$51/12)*RATES!$N854/100</f>
        <v>1190.0416666666667</v>
      </c>
      <c r="J878" s="16">
        <f t="shared" si="584"/>
        <v>-213372.89204210692</v>
      </c>
      <c r="K878" s="15">
        <f t="shared" si="585"/>
        <v>22.170849845882874</v>
      </c>
      <c r="L878" s="75">
        <f>K878*(1-PARAM!$C$27)*$I$5+(MOD($B878,60)=PARAM!$B$56)*($B878&gt;(60-PARAM!$B$56))*HLOOKUP(($B878+PARAM!$B$56)/12,Loyalty,2)*$F$1*MAX(N877,0)</f>
        <v>18.557001321003963</v>
      </c>
      <c r="M878" s="75">
        <f>PARAM!$C$26+MAX($G$5-CHOOSE(PARAM!$B$44,MAX(0,N877*$F$1),0),0)*RATES!$L854/12+$H$5*(PARAM!$D$51/12)*RATES!$N854/100</f>
        <v>1190.0416666666667</v>
      </c>
      <c r="N878" s="16">
        <f t="shared" si="586"/>
        <v>-213273.31656670789</v>
      </c>
      <c r="O878" s="15">
        <f t="shared" si="587"/>
        <v>22.170849845882874</v>
      </c>
      <c r="P878" s="75">
        <f>O878*(1-PARAM!$C$27)*$I$6+(MOD($B878,60)=PARAM!$B$56)*($B878&gt;(60-PARAM!$B$56))*HLOOKUP(($B878+PARAM!$B$56)/12,Loyalty,2)*$F$1*MAX(R877,0)</f>
        <v>18.557001321003963</v>
      </c>
      <c r="Q878" s="75">
        <f>PARAM!$C$26+MAX($G$6-CHOOSE(PARAM!$B$44,MAX(0,R877*$F$1),0),0)*RATES!$L854/12+$H$6*(PARAM!$D$51/12)*RATES!$N854/100</f>
        <v>1190.0416666666667</v>
      </c>
      <c r="R878" s="16">
        <f t="shared" si="588"/>
        <v>-213273.31656670789</v>
      </c>
      <c r="S878" s="15">
        <f t="shared" si="563"/>
        <v>22.170849845882874</v>
      </c>
      <c r="T878" s="75">
        <f>S878*(1-PARAM!$C$27)*$I$7+(MOD($B878,60)=PARAM!$B$56)*($B878&gt;(60-PARAM!$B$56))*HLOOKUP(($B878+PARAM!$B$56)/12,Loyalty,2)*$F$1*MAX(V877,0)</f>
        <v>18.557001321003963</v>
      </c>
      <c r="U878" s="75">
        <f>PARAM!$C$26+MAX($G$7-CHOOSE(PARAM!$B$44,MAX(0,V877*$F$1),0),0)*RATES!$L854/12+$H$7*(PARAM!$D$51/12)*RATES!$N854/100</f>
        <v>1190.0416666666667</v>
      </c>
      <c r="V878" s="16">
        <f t="shared" si="589"/>
        <v>-213273.31656670789</v>
      </c>
      <c r="W878" s="15">
        <f t="shared" si="564"/>
        <v>22.170849845882874</v>
      </c>
      <c r="X878" s="75">
        <f>W878*(1-PARAM!$C$27)*$I$8+(MOD($B878,60)=PARAM!$B$56)*($B878&gt;(60-PARAM!$B$56))*HLOOKUP(($B878+PARAM!$B$56)/12,Loyalty,2)*$F$1*MAX(Z877,0)</f>
        <v>18.557001321003963</v>
      </c>
      <c r="Y878" s="75">
        <f>PARAM!$C$26+MAX($G$8-CHOOSE(PARAM!$B$44,MAX(0,Z877*$F$1),0),0)*RATES!$L854/12+$H$8*(PARAM!$D$51/12)*RATES!$N854/100</f>
        <v>1190.0416666666667</v>
      </c>
      <c r="Z878" s="16">
        <f t="shared" si="590"/>
        <v>-213273.31656670789</v>
      </c>
      <c r="AA878" s="15">
        <f t="shared" si="565"/>
        <v>22.170849845882874</v>
      </c>
      <c r="AB878" s="75">
        <f>AA878*(1-PARAM!$C$27)*$I$9+(MOD($B878,60)=PARAM!$B$56)*($B878&gt;(60-PARAM!$B$56))*HLOOKUP(($B878+PARAM!$B$56)/12,Loyalty,2)*$F$1*MAX(AD877,0)</f>
        <v>18.557001321003963</v>
      </c>
      <c r="AC878" s="75">
        <f>PARAM!$C$26+MAX($G$9-CHOOSE(PARAM!$B$44,MAX(0,AD877*$F$1),0),0)*RATES!$L854/12+$H$9*(PARAM!$D$51/12)*RATES!$N854/100</f>
        <v>1190.0416666666667</v>
      </c>
      <c r="AD878" s="16">
        <f t="shared" si="591"/>
        <v>-213273.31656670789</v>
      </c>
      <c r="AE878" s="15">
        <f t="shared" si="566"/>
        <v>22.170849845882874</v>
      </c>
      <c r="AF878" s="75">
        <f>AE878*(1-PARAM!$C$27)*$I$10+(MOD($B878,60)=PARAM!$B$56)*($B878&gt;(60-PARAM!$B$56))*HLOOKUP(($B878+PARAM!$B$56)/12,Loyalty,2)*$F$1*MAX(AH877,0)</f>
        <v>18.557001321003963</v>
      </c>
      <c r="AG878" s="75">
        <f>PARAM!$C$26+MAX($G$10-CHOOSE(PARAM!$B$44,MAX(0,AH877*$F$1),0),0)*RATES!$L854/12+$H$10*(PARAM!$D$51/12)*RATES!$N854/100</f>
        <v>1190.0416666666667</v>
      </c>
      <c r="AH878" s="16">
        <f t="shared" si="592"/>
        <v>-213273.31656670789</v>
      </c>
      <c r="AI878" s="15">
        <f t="shared" si="567"/>
        <v>22.170849845882874</v>
      </c>
      <c r="AJ878" s="75">
        <f>AI878*(1-PARAM!$C$27)*$I$11+(MOD($B878,60)=PARAM!$B$56)*($B878&gt;(60-PARAM!$B$56))*HLOOKUP(($B878+PARAM!$B$56)/12,Loyalty,2)*$F$1*MAX(AL877,0)</f>
        <v>18.557001321003963</v>
      </c>
      <c r="AK878" s="75">
        <f>PARAM!$C$26+MAX($G$11-CHOOSE(PARAM!$B$44,MAX(0,AL877*$F$1),0),0)*RATES!$L854/12+$H$11*(PARAM!$D$51/12)*RATES!$N854/100</f>
        <v>1190.0416666666667</v>
      </c>
      <c r="AL878" s="16">
        <f t="shared" si="593"/>
        <v>-213273.31656670789</v>
      </c>
      <c r="AM878" s="15">
        <f t="shared" si="568"/>
        <v>22.170849845882874</v>
      </c>
      <c r="AN878" s="75">
        <f>AM878*(1-PARAM!$C$27)*$I$12+(MOD($B878,60)=PARAM!$B$56)*($B878&gt;(60-PARAM!$B$56))*HLOOKUP(($B878+PARAM!$B$56)/12,Loyalty,2)*$F$1*MAX(AP877,0)</f>
        <v>18.557001321003963</v>
      </c>
      <c r="AO878" s="75">
        <f>PARAM!$C$26+MAX($G$12-CHOOSE(PARAM!$B$44,MAX(0,AP877*$F$1),0),0)*RATES!$L854/12+$H$12*(PARAM!$D$51/12)*RATES!$N854/100</f>
        <v>1190.0416666666667</v>
      </c>
      <c r="AP878" s="16">
        <f t="shared" si="594"/>
        <v>-213273.31656670789</v>
      </c>
      <c r="AQ878" s="15">
        <f t="shared" si="569"/>
        <v>22.170849845882874</v>
      </c>
      <c r="AR878" s="75">
        <f>AQ878*(1-PARAM!$C$27)*$I$13+(MOD($B878,60)=PARAM!$B$56)*($B878&gt;(60-PARAM!$B$56))*HLOOKUP(($B878+PARAM!$B$56)/12,Loyalty,2)*$F$1*MAX(AT877,0)</f>
        <v>18.557001321003963</v>
      </c>
      <c r="AS878" s="75">
        <f>PARAM!$C$26+MAX($G$13-CHOOSE(PARAM!$B$44,MAX(0,AT877*$F$1),0),0)*RATES!$L854/12+$H$13*(PARAM!$D$51/12)*RATES!$N854/100</f>
        <v>1190.0416666666667</v>
      </c>
      <c r="AT878" s="16">
        <f t="shared" si="595"/>
        <v>-213273.31656670789</v>
      </c>
      <c r="AU878" s="15">
        <f t="shared" si="570"/>
        <v>22.170849845882874</v>
      </c>
      <c r="AV878" s="75">
        <f>AU878*(1-PARAM!$C$27)*$I$14+(MOD($B878,60)=PARAM!$B$56)*($B878&gt;(60-PARAM!$B$56))*HLOOKUP(($B878+PARAM!$B$56)/12,Loyalty,2)*$F$1*MAX(AX877,0)</f>
        <v>18.557001321003963</v>
      </c>
      <c r="AW878" s="75">
        <f>PARAM!$C$26+MAX($G$14-CHOOSE(PARAM!$B$44,MAX(0,AX877*$F$1),0),0)*RATES!$L854/12+$H$14*(PARAM!$D$51/12)*RATES!$N854/100</f>
        <v>1190.0416666666667</v>
      </c>
      <c r="AX878" s="16">
        <f t="shared" si="596"/>
        <v>-213273.31656670789</v>
      </c>
      <c r="AY878" s="15">
        <f t="shared" si="571"/>
        <v>22.170849845882874</v>
      </c>
      <c r="AZ878" s="75">
        <f>AY878*(1-PARAM!$C$27)*$I$15+(MOD($B878,60)=PARAM!$B$56)*($B878&gt;(60-PARAM!$B$56))*HLOOKUP(($B878+PARAM!$B$56)/12,Loyalty,2)*$F$1*MAX(BB877,0)</f>
        <v>18.557001321003963</v>
      </c>
      <c r="BA878" s="75">
        <f>PARAM!$C$26+MAX($G$15-CHOOSE(PARAM!$B$44,MAX(0,BB877*$F$1),0),0)*RATES!$L854/12+$H$15*(PARAM!$D$51/12)*RATES!$N854/100</f>
        <v>1190.0416666666667</v>
      </c>
      <c r="BB878" s="16">
        <f t="shared" si="597"/>
        <v>-213273.31656670789</v>
      </c>
      <c r="BC878" s="15">
        <f t="shared" si="572"/>
        <v>22.170849845882874</v>
      </c>
      <c r="BD878" s="75">
        <f>BC878*(1-PARAM!$C$27)*$I$16+(MOD($B878,60)=PARAM!$B$56)*($B878&gt;(60-PARAM!$B$56))*HLOOKUP(($B878+PARAM!$B$56)/12,Loyalty,2)*$F$1*MAX(BF877,0)</f>
        <v>18.557001321003963</v>
      </c>
      <c r="BE878" s="75">
        <f>PARAM!$C$26+MAX($G$16-CHOOSE(PARAM!$B$44,MAX(0,BF877*$F$1),0),0)*RATES!$L854/12+$H$16*(PARAM!$D$51/12)*RATES!$N854/100</f>
        <v>1190.0416666666667</v>
      </c>
      <c r="BF878" s="16">
        <f t="shared" si="598"/>
        <v>-213273.31656670789</v>
      </c>
      <c r="BG878" s="15">
        <f t="shared" si="573"/>
        <v>22.170849845882874</v>
      </c>
      <c r="BH878" s="75">
        <f>BG878*(1-PARAM!$C$27)*$I$17+(MOD($B878,60)=PARAM!$B$56)*($B878&gt;(60-PARAM!$B$56))*HLOOKUP(($B878+PARAM!$B$56)/12,Loyalty,2)*$F$1*MAX(BJ877,0)</f>
        <v>18.557001321003963</v>
      </c>
      <c r="BI878" s="75">
        <f>PARAM!$C$26+MAX($G$17-CHOOSE(PARAM!$B$44,MAX(0,BJ877*$F$1),0),0)*RATES!$L854/12+$H$17*(PARAM!$D$51/12)*RATES!$N854/100</f>
        <v>1190.0416666666667</v>
      </c>
      <c r="BJ878" s="16">
        <f t="shared" si="599"/>
        <v>-213273.31656670789</v>
      </c>
      <c r="BK878" s="15">
        <f t="shared" si="574"/>
        <v>22.170849845882874</v>
      </c>
      <c r="BL878" s="75">
        <f>BK878*(1-PARAM!$C$27)*$I$18+(MOD($B878,60)=PARAM!$B$56)*($B878&gt;(60-PARAM!$B$56))*HLOOKUP(($B878+PARAM!$B$56)/12,Loyalty,2)*$F$1*MAX(BN877,0)</f>
        <v>18.557001321003963</v>
      </c>
      <c r="BM878" s="75">
        <f>PARAM!$C$26+MAX($G$18-CHOOSE(PARAM!$B$44,MAX(0,BN877*$F$1),0),0)*RATES!$L854/12+$H$18*(PARAM!$D$51/12)*RATES!$N854/100</f>
        <v>1190.0416666666667</v>
      </c>
      <c r="BN878" s="16">
        <f t="shared" si="600"/>
        <v>-213273.31656670789</v>
      </c>
      <c r="BO878" s="15">
        <f t="shared" si="575"/>
        <v>22.170849845882874</v>
      </c>
      <c r="BP878" s="75">
        <f>BO878*(1-PARAM!$C$27)*$I$19+(MOD($B878,60)=PARAM!$B$56)*($B878&gt;(60-PARAM!$B$56))*HLOOKUP(($B878+PARAM!$B$56)/12,Loyalty,2)*$F$1*MAX(BR877,0)</f>
        <v>18.557001321003963</v>
      </c>
      <c r="BQ878" s="75">
        <f>PARAM!$C$26+MAX($G$19-CHOOSE(PARAM!$B$44,MAX(0,BR877*$F$1),0),0)*RATES!$L854/12+$H$19*(PARAM!$D$51/12)*RATES!$N854/100</f>
        <v>1190.0416666666667</v>
      </c>
      <c r="BR878" s="16">
        <f t="shared" si="601"/>
        <v>-213273.31656670789</v>
      </c>
      <c r="BS878" s="15">
        <f t="shared" si="576"/>
        <v>22.170849845882874</v>
      </c>
      <c r="BT878" s="75">
        <f>BS878*(1-PARAM!$C$27)*$I$20+(MOD($B878,60)=PARAM!$B$56)*($B878&gt;(60-PARAM!$B$56))*HLOOKUP(($B878+PARAM!$B$56)/12,Loyalty,2)*$F$1*MAX(BV877,0)</f>
        <v>18.557001321003963</v>
      </c>
      <c r="BU878" s="75">
        <f>PARAM!$C$26+MAX($G$20-CHOOSE(PARAM!$B$44,MAX(0,BV877*$F$1),0),0)*RATES!$L854/12+$H$20*(PARAM!$D$51/12)*RATES!$N854/100</f>
        <v>1190.0416666666667</v>
      </c>
      <c r="BV878" s="16">
        <f t="shared" si="602"/>
        <v>-213273.31656670789</v>
      </c>
      <c r="BW878" s="15">
        <f t="shared" si="577"/>
        <v>22.170849845882874</v>
      </c>
      <c r="BX878" s="75">
        <f>BW878*(1-PARAM!$C$27)*$I$21+(MOD($B878,60)=PARAM!$B$56)*($B878&gt;(60-PARAM!$B$56))*HLOOKUP(($B878+PARAM!$B$56)/12,Loyalty,2)*$F$1*MAX(BZ877,0)</f>
        <v>18.557001321003963</v>
      </c>
      <c r="BY878" s="75">
        <f>PARAM!$C$26+MAX($G$21-CHOOSE(PARAM!$B$44,MAX(0,BZ877*$F$1),0),0)*RATES!$L854/12+$H$21*(PARAM!$D$51/12)*RATES!$N854/100</f>
        <v>1190.0416666666667</v>
      </c>
      <c r="BZ878" s="16">
        <f t="shared" si="603"/>
        <v>-213273.31656670789</v>
      </c>
      <c r="CA878" s="15">
        <f t="shared" si="578"/>
        <v>22.170849845882874</v>
      </c>
      <c r="CB878" s="75">
        <f>CA878*(1-PARAM!$C$27)*$I$22+(MOD($B878,60)=PARAM!$B$56)*($B878&gt;(60-PARAM!$B$56))*HLOOKUP(($B878+PARAM!$B$56)/12,Loyalty,2)*$F$1*MAX(CD877,0)</f>
        <v>18.557001321003963</v>
      </c>
      <c r="CC878" s="75">
        <f>PARAM!$C$26+MAX($G$22-CHOOSE(PARAM!$B$44,MAX(0,CD877*$F$1),0),0)*RATES!$L854/12+$H$22*(PARAM!$D$51/12)*RATES!$N854/100</f>
        <v>1190.0416666666667</v>
      </c>
      <c r="CD878" s="16">
        <f t="shared" si="604"/>
        <v>-213273.31656670789</v>
      </c>
      <c r="CE878" s="33">
        <f>IF(0=MOD(B878,12/PARAM!$D$51),1,0)</f>
        <v>1</v>
      </c>
      <c r="CF878" s="15">
        <f t="shared" si="579"/>
        <v>0</v>
      </c>
      <c r="CG878" s="75">
        <f>CF878*(1-PARAM!$C$27)*$R$3+(MOD($B878/12,5)=0)*($B878&gt;60)*HLOOKUP($B878/12,Loyalty,2)*$F$1*MAX(CI877,0)</f>
        <v>0</v>
      </c>
      <c r="CH878" s="75">
        <f>PARAM!$C$26+MAX($P$3-CHOOSE(PARAM!$B$44,MAX(0,CI877*$F$1),0),0)*RATES!$L854/12+$Q$3*(PARAM!$D$51/12)*RATES!$N854/100</f>
        <v>1190.0416666666667</v>
      </c>
      <c r="CI878" s="16">
        <f>IF(CI877&gt;0,CI877*PARAM!$C$53,CI877)+CG878-CH878</f>
        <v>-228945.74999999988</v>
      </c>
      <c r="CJ878" s="15">
        <f t="shared" si="605"/>
        <v>0</v>
      </c>
      <c r="CK878" s="75">
        <f>CJ878*(1-PARAM!$C$27)*$R$4+(MOD($B878/12,5)=0)*($B878&gt;60)*HLOOKUP($B878/12,Loyalty,2)*$F$1*MAX(CM877,0)</f>
        <v>0</v>
      </c>
      <c r="CL878" s="75">
        <f>PARAM!$C$26+MAX($P$4-CHOOSE(PARAM!$B$44,MAX(0,CM877*$F$1),0),0)*RATES!$L854/12+$Q$4*(PARAM!$D$51/12)*RATES!$N854/100</f>
        <v>1190.0416666666667</v>
      </c>
      <c r="CM878" s="16">
        <f>IF(CM877&gt;0,CM877*PARAM!$C$53,CM877)+CK878-CL878</f>
        <v>-228945.74999999988</v>
      </c>
      <c r="CO878" s="176"/>
    </row>
    <row r="879" spans="1:93" x14ac:dyDescent="0.2">
      <c r="A879" t="b">
        <f t="shared" si="580"/>
        <v>0</v>
      </c>
      <c r="B879" s="33">
        <v>852</v>
      </c>
      <c r="C879" s="15">
        <f t="shared" si="581"/>
        <v>20.081305947392778</v>
      </c>
      <c r="D879" s="75">
        <f>C879*(1-PARAM!$C$27)*$I$3+(MOD($B879,60)=PARAM!$B$56)*($B879&gt;(60-PARAM!$B$56))*HLOOKUP(($B879+PARAM!$B$56)/12,Loyalty,2)*$F$1*MAX(F878,0)</f>
        <v>16.808053077967756</v>
      </c>
      <c r="E879" s="75">
        <f>PARAM!$C$26+MAX($G$3-CHOOSE(PARAM!$B$44,MAX(0,F878*$F$1),0),0)*RATES!$L855/12+$H$3*(PARAM!$D$51/12)*RATES!$N855/100</f>
        <v>1190.0416666666667</v>
      </c>
      <c r="F879" s="16">
        <f t="shared" si="582"/>
        <v>-215971.7556356423</v>
      </c>
      <c r="G879" s="15">
        <f t="shared" si="583"/>
        <v>22.035289406060361</v>
      </c>
      <c r="H879" s="75">
        <f>G879*(1-PARAM!$C$27)*$I$4+(MOD($B879,60)=PARAM!$B$56)*($B879&gt;(60-PARAM!$B$56))*HLOOKUP(($B879+PARAM!$B$56)/12,Loyalty,2)*$F$1*MAX(J878,0)</f>
        <v>18.443537232872522</v>
      </c>
      <c r="I879" s="75">
        <f>PARAM!$C$26+MAX($G$4-CHOOSE(PARAM!$B$44,MAX(0,J878*$F$1),0),0)*RATES!$L855/12+$H$4*(PARAM!$D$51/12)*RATES!$N855/100</f>
        <v>1190.0416666666667</v>
      </c>
      <c r="J879" s="16">
        <f t="shared" si="584"/>
        <v>-214544.4901715407</v>
      </c>
      <c r="K879" s="15">
        <f t="shared" si="585"/>
        <v>22.170849845882874</v>
      </c>
      <c r="L879" s="75">
        <f>K879*(1-PARAM!$C$27)*$I$5+(MOD($B879,60)=PARAM!$B$56)*($B879&gt;(60-PARAM!$B$56))*HLOOKUP(($B879+PARAM!$B$56)/12,Loyalty,2)*$F$1*MAX(N878,0)</f>
        <v>18.557001321003963</v>
      </c>
      <c r="M879" s="75">
        <f>PARAM!$C$26+MAX($G$5-CHOOSE(PARAM!$B$44,MAX(0,N878*$F$1),0),0)*RATES!$L855/12+$H$5*(PARAM!$D$51/12)*RATES!$N855/100</f>
        <v>1190.0416666666667</v>
      </c>
      <c r="N879" s="16">
        <f t="shared" si="586"/>
        <v>-214444.80123205355</v>
      </c>
      <c r="O879" s="15">
        <f t="shared" si="587"/>
        <v>22.170849845882874</v>
      </c>
      <c r="P879" s="75">
        <f>O879*(1-PARAM!$C$27)*$I$6+(MOD($B879,60)=PARAM!$B$56)*($B879&gt;(60-PARAM!$B$56))*HLOOKUP(($B879+PARAM!$B$56)/12,Loyalty,2)*$F$1*MAX(R878,0)</f>
        <v>18.557001321003963</v>
      </c>
      <c r="Q879" s="75">
        <f>PARAM!$C$26+MAX($G$6-CHOOSE(PARAM!$B$44,MAX(0,R878*$F$1),0),0)*RATES!$L855/12+$H$6*(PARAM!$D$51/12)*RATES!$N855/100</f>
        <v>1190.0416666666667</v>
      </c>
      <c r="R879" s="16">
        <f t="shared" si="588"/>
        <v>-214444.80123205355</v>
      </c>
      <c r="S879" s="15">
        <f t="shared" si="563"/>
        <v>22.170849845882874</v>
      </c>
      <c r="T879" s="75">
        <f>S879*(1-PARAM!$C$27)*$I$7+(MOD($B879,60)=PARAM!$B$56)*($B879&gt;(60-PARAM!$B$56))*HLOOKUP(($B879+PARAM!$B$56)/12,Loyalty,2)*$F$1*MAX(V878,0)</f>
        <v>18.557001321003963</v>
      </c>
      <c r="U879" s="75">
        <f>PARAM!$C$26+MAX($G$7-CHOOSE(PARAM!$B$44,MAX(0,V878*$F$1),0),0)*RATES!$L855/12+$H$7*(PARAM!$D$51/12)*RATES!$N855/100</f>
        <v>1190.0416666666667</v>
      </c>
      <c r="V879" s="16">
        <f t="shared" si="589"/>
        <v>-214444.80123205355</v>
      </c>
      <c r="W879" s="15">
        <f t="shared" si="564"/>
        <v>22.170849845882874</v>
      </c>
      <c r="X879" s="75">
        <f>W879*(1-PARAM!$C$27)*$I$8+(MOD($B879,60)=PARAM!$B$56)*($B879&gt;(60-PARAM!$B$56))*HLOOKUP(($B879+PARAM!$B$56)/12,Loyalty,2)*$F$1*MAX(Z878,0)</f>
        <v>18.557001321003963</v>
      </c>
      <c r="Y879" s="75">
        <f>PARAM!$C$26+MAX($G$8-CHOOSE(PARAM!$B$44,MAX(0,Z878*$F$1),0),0)*RATES!$L855/12+$H$8*(PARAM!$D$51/12)*RATES!$N855/100</f>
        <v>1190.0416666666667</v>
      </c>
      <c r="Z879" s="16">
        <f t="shared" si="590"/>
        <v>-214444.80123205355</v>
      </c>
      <c r="AA879" s="15">
        <f t="shared" si="565"/>
        <v>22.170849845882874</v>
      </c>
      <c r="AB879" s="75">
        <f>AA879*(1-PARAM!$C$27)*$I$9+(MOD($B879,60)=PARAM!$B$56)*($B879&gt;(60-PARAM!$B$56))*HLOOKUP(($B879+PARAM!$B$56)/12,Loyalty,2)*$F$1*MAX(AD878,0)</f>
        <v>18.557001321003963</v>
      </c>
      <c r="AC879" s="75">
        <f>PARAM!$C$26+MAX($G$9-CHOOSE(PARAM!$B$44,MAX(0,AD878*$F$1),0),0)*RATES!$L855/12+$H$9*(PARAM!$D$51/12)*RATES!$N855/100</f>
        <v>1190.0416666666667</v>
      </c>
      <c r="AD879" s="16">
        <f t="shared" si="591"/>
        <v>-214444.80123205355</v>
      </c>
      <c r="AE879" s="15">
        <f t="shared" si="566"/>
        <v>22.170849845882874</v>
      </c>
      <c r="AF879" s="75">
        <f>AE879*(1-PARAM!$C$27)*$I$10+(MOD($B879,60)=PARAM!$B$56)*($B879&gt;(60-PARAM!$B$56))*HLOOKUP(($B879+PARAM!$B$56)/12,Loyalty,2)*$F$1*MAX(AH878,0)</f>
        <v>18.557001321003963</v>
      </c>
      <c r="AG879" s="75">
        <f>PARAM!$C$26+MAX($G$10-CHOOSE(PARAM!$B$44,MAX(0,AH878*$F$1),0),0)*RATES!$L855/12+$H$10*(PARAM!$D$51/12)*RATES!$N855/100</f>
        <v>1190.0416666666667</v>
      </c>
      <c r="AH879" s="16">
        <f t="shared" si="592"/>
        <v>-214444.80123205355</v>
      </c>
      <c r="AI879" s="15">
        <f t="shared" si="567"/>
        <v>22.170849845882874</v>
      </c>
      <c r="AJ879" s="75">
        <f>AI879*(1-PARAM!$C$27)*$I$11+(MOD($B879,60)=PARAM!$B$56)*($B879&gt;(60-PARAM!$B$56))*HLOOKUP(($B879+PARAM!$B$56)/12,Loyalty,2)*$F$1*MAX(AL878,0)</f>
        <v>18.557001321003963</v>
      </c>
      <c r="AK879" s="75">
        <f>PARAM!$C$26+MAX($G$11-CHOOSE(PARAM!$B$44,MAX(0,AL878*$F$1),0),0)*RATES!$L855/12+$H$11*(PARAM!$D$51/12)*RATES!$N855/100</f>
        <v>1190.0416666666667</v>
      </c>
      <c r="AL879" s="16">
        <f t="shared" si="593"/>
        <v>-214444.80123205355</v>
      </c>
      <c r="AM879" s="15">
        <f t="shared" si="568"/>
        <v>22.170849845882874</v>
      </c>
      <c r="AN879" s="75">
        <f>AM879*(1-PARAM!$C$27)*$I$12+(MOD($B879,60)=PARAM!$B$56)*($B879&gt;(60-PARAM!$B$56))*HLOOKUP(($B879+PARAM!$B$56)/12,Loyalty,2)*$F$1*MAX(AP878,0)</f>
        <v>18.557001321003963</v>
      </c>
      <c r="AO879" s="75">
        <f>PARAM!$C$26+MAX($G$12-CHOOSE(PARAM!$B$44,MAX(0,AP878*$F$1),0),0)*RATES!$L855/12+$H$12*(PARAM!$D$51/12)*RATES!$N855/100</f>
        <v>1190.0416666666667</v>
      </c>
      <c r="AP879" s="16">
        <f t="shared" si="594"/>
        <v>-214444.80123205355</v>
      </c>
      <c r="AQ879" s="15">
        <f t="shared" si="569"/>
        <v>22.170849845882874</v>
      </c>
      <c r="AR879" s="75">
        <f>AQ879*(1-PARAM!$C$27)*$I$13+(MOD($B879,60)=PARAM!$B$56)*($B879&gt;(60-PARAM!$B$56))*HLOOKUP(($B879+PARAM!$B$56)/12,Loyalty,2)*$F$1*MAX(AT878,0)</f>
        <v>18.557001321003963</v>
      </c>
      <c r="AS879" s="75">
        <f>PARAM!$C$26+MAX($G$13-CHOOSE(PARAM!$B$44,MAX(0,AT878*$F$1),0),0)*RATES!$L855/12+$H$13*(PARAM!$D$51/12)*RATES!$N855/100</f>
        <v>1190.0416666666667</v>
      </c>
      <c r="AT879" s="16">
        <f t="shared" si="595"/>
        <v>-214444.80123205355</v>
      </c>
      <c r="AU879" s="15">
        <f t="shared" si="570"/>
        <v>22.170849845882874</v>
      </c>
      <c r="AV879" s="75">
        <f>AU879*(1-PARAM!$C$27)*$I$14+(MOD($B879,60)=PARAM!$B$56)*($B879&gt;(60-PARAM!$B$56))*HLOOKUP(($B879+PARAM!$B$56)/12,Loyalty,2)*$F$1*MAX(AX878,0)</f>
        <v>18.557001321003963</v>
      </c>
      <c r="AW879" s="75">
        <f>PARAM!$C$26+MAX($G$14-CHOOSE(PARAM!$B$44,MAX(0,AX878*$F$1),0),0)*RATES!$L855/12+$H$14*(PARAM!$D$51/12)*RATES!$N855/100</f>
        <v>1190.0416666666667</v>
      </c>
      <c r="AX879" s="16">
        <f t="shared" si="596"/>
        <v>-214444.80123205355</v>
      </c>
      <c r="AY879" s="15">
        <f t="shared" si="571"/>
        <v>22.170849845882874</v>
      </c>
      <c r="AZ879" s="75">
        <f>AY879*(1-PARAM!$C$27)*$I$15+(MOD($B879,60)=PARAM!$B$56)*($B879&gt;(60-PARAM!$B$56))*HLOOKUP(($B879+PARAM!$B$56)/12,Loyalty,2)*$F$1*MAX(BB878,0)</f>
        <v>18.557001321003963</v>
      </c>
      <c r="BA879" s="75">
        <f>PARAM!$C$26+MAX($G$15-CHOOSE(PARAM!$B$44,MAX(0,BB878*$F$1),0),0)*RATES!$L855/12+$H$15*(PARAM!$D$51/12)*RATES!$N855/100</f>
        <v>1190.0416666666667</v>
      </c>
      <c r="BB879" s="16">
        <f t="shared" si="597"/>
        <v>-214444.80123205355</v>
      </c>
      <c r="BC879" s="15">
        <f t="shared" si="572"/>
        <v>22.170849845882874</v>
      </c>
      <c r="BD879" s="75">
        <f>BC879*(1-PARAM!$C$27)*$I$16+(MOD($B879,60)=PARAM!$B$56)*($B879&gt;(60-PARAM!$B$56))*HLOOKUP(($B879+PARAM!$B$56)/12,Loyalty,2)*$F$1*MAX(BF878,0)</f>
        <v>18.557001321003963</v>
      </c>
      <c r="BE879" s="75">
        <f>PARAM!$C$26+MAX($G$16-CHOOSE(PARAM!$B$44,MAX(0,BF878*$F$1),0),0)*RATES!$L855/12+$H$16*(PARAM!$D$51/12)*RATES!$N855/100</f>
        <v>1190.0416666666667</v>
      </c>
      <c r="BF879" s="16">
        <f t="shared" si="598"/>
        <v>-214444.80123205355</v>
      </c>
      <c r="BG879" s="15">
        <f t="shared" si="573"/>
        <v>22.170849845882874</v>
      </c>
      <c r="BH879" s="75">
        <f>BG879*(1-PARAM!$C$27)*$I$17+(MOD($B879,60)=PARAM!$B$56)*($B879&gt;(60-PARAM!$B$56))*HLOOKUP(($B879+PARAM!$B$56)/12,Loyalty,2)*$F$1*MAX(BJ878,0)</f>
        <v>18.557001321003963</v>
      </c>
      <c r="BI879" s="75">
        <f>PARAM!$C$26+MAX($G$17-CHOOSE(PARAM!$B$44,MAX(0,BJ878*$F$1),0),0)*RATES!$L855/12+$H$17*(PARAM!$D$51/12)*RATES!$N855/100</f>
        <v>1190.0416666666667</v>
      </c>
      <c r="BJ879" s="16">
        <f t="shared" si="599"/>
        <v>-214444.80123205355</v>
      </c>
      <c r="BK879" s="15">
        <f t="shared" si="574"/>
        <v>22.170849845882874</v>
      </c>
      <c r="BL879" s="75">
        <f>BK879*(1-PARAM!$C$27)*$I$18+(MOD($B879,60)=PARAM!$B$56)*($B879&gt;(60-PARAM!$B$56))*HLOOKUP(($B879+PARAM!$B$56)/12,Loyalty,2)*$F$1*MAX(BN878,0)</f>
        <v>18.557001321003963</v>
      </c>
      <c r="BM879" s="75">
        <f>PARAM!$C$26+MAX($G$18-CHOOSE(PARAM!$B$44,MAX(0,BN878*$F$1),0),0)*RATES!$L855/12+$H$18*(PARAM!$D$51/12)*RATES!$N855/100</f>
        <v>1190.0416666666667</v>
      </c>
      <c r="BN879" s="16">
        <f t="shared" si="600"/>
        <v>-214444.80123205355</v>
      </c>
      <c r="BO879" s="15">
        <f t="shared" si="575"/>
        <v>22.170849845882874</v>
      </c>
      <c r="BP879" s="75">
        <f>BO879*(1-PARAM!$C$27)*$I$19+(MOD($B879,60)=PARAM!$B$56)*($B879&gt;(60-PARAM!$B$56))*HLOOKUP(($B879+PARAM!$B$56)/12,Loyalty,2)*$F$1*MAX(BR878,0)</f>
        <v>18.557001321003963</v>
      </c>
      <c r="BQ879" s="75">
        <f>PARAM!$C$26+MAX($G$19-CHOOSE(PARAM!$B$44,MAX(0,BR878*$F$1),0),0)*RATES!$L855/12+$H$19*(PARAM!$D$51/12)*RATES!$N855/100</f>
        <v>1190.0416666666667</v>
      </c>
      <c r="BR879" s="16">
        <f t="shared" si="601"/>
        <v>-214444.80123205355</v>
      </c>
      <c r="BS879" s="15">
        <f t="shared" si="576"/>
        <v>22.170849845882874</v>
      </c>
      <c r="BT879" s="75">
        <f>BS879*(1-PARAM!$C$27)*$I$20+(MOD($B879,60)=PARAM!$B$56)*($B879&gt;(60-PARAM!$B$56))*HLOOKUP(($B879+PARAM!$B$56)/12,Loyalty,2)*$F$1*MAX(BV878,0)</f>
        <v>18.557001321003963</v>
      </c>
      <c r="BU879" s="75">
        <f>PARAM!$C$26+MAX($G$20-CHOOSE(PARAM!$B$44,MAX(0,BV878*$F$1),0),0)*RATES!$L855/12+$H$20*(PARAM!$D$51/12)*RATES!$N855/100</f>
        <v>1190.0416666666667</v>
      </c>
      <c r="BV879" s="16">
        <f t="shared" si="602"/>
        <v>-214444.80123205355</v>
      </c>
      <c r="BW879" s="15">
        <f t="shared" si="577"/>
        <v>22.170849845882874</v>
      </c>
      <c r="BX879" s="75">
        <f>BW879*(1-PARAM!$C$27)*$I$21+(MOD($B879,60)=PARAM!$B$56)*($B879&gt;(60-PARAM!$B$56))*HLOOKUP(($B879+PARAM!$B$56)/12,Loyalty,2)*$F$1*MAX(BZ878,0)</f>
        <v>18.557001321003963</v>
      </c>
      <c r="BY879" s="75">
        <f>PARAM!$C$26+MAX($G$21-CHOOSE(PARAM!$B$44,MAX(0,BZ878*$F$1),0),0)*RATES!$L855/12+$H$21*(PARAM!$D$51/12)*RATES!$N855/100</f>
        <v>1190.0416666666667</v>
      </c>
      <c r="BZ879" s="16">
        <f t="shared" si="603"/>
        <v>-214444.80123205355</v>
      </c>
      <c r="CA879" s="15">
        <f t="shared" si="578"/>
        <v>22.170849845882874</v>
      </c>
      <c r="CB879" s="75">
        <f>CA879*(1-PARAM!$C$27)*$I$22+(MOD($B879,60)=PARAM!$B$56)*($B879&gt;(60-PARAM!$B$56))*HLOOKUP(($B879+PARAM!$B$56)/12,Loyalty,2)*$F$1*MAX(CD878,0)</f>
        <v>18.557001321003963</v>
      </c>
      <c r="CC879" s="75">
        <f>PARAM!$C$26+MAX($G$22-CHOOSE(PARAM!$B$44,MAX(0,CD878*$F$1),0),0)*RATES!$L855/12+$H$22*(PARAM!$D$51/12)*RATES!$N855/100</f>
        <v>1190.0416666666667</v>
      </c>
      <c r="CD879" s="16">
        <f t="shared" si="604"/>
        <v>-214444.80123205355</v>
      </c>
      <c r="CE879" s="33">
        <f>IF(0=MOD(B879,12/PARAM!$D$51),1,0)</f>
        <v>1</v>
      </c>
      <c r="CF879" s="15">
        <f t="shared" si="579"/>
        <v>0</v>
      </c>
      <c r="CG879" s="75">
        <f>CF879*(1-PARAM!$C$27)*$R$3+(MOD($B879/12,5)=0)*($B879&gt;60)*HLOOKUP($B879/12,Loyalty,2)*$F$1*MAX(CI878,0)</f>
        <v>0</v>
      </c>
      <c r="CH879" s="75">
        <f>PARAM!$C$26+MAX($P$3-CHOOSE(PARAM!$B$44,MAX(0,CI878*$F$1),0),0)*RATES!$L855/12+$Q$3*(PARAM!$D$51/12)*RATES!$N855/100</f>
        <v>1190.0416666666667</v>
      </c>
      <c r="CI879" s="16">
        <f>IF(CI878&gt;0,CI878*PARAM!$C$53,CI878)+CG879-CH879</f>
        <v>-230135.79166666654</v>
      </c>
      <c r="CJ879" s="15">
        <f t="shared" si="605"/>
        <v>0</v>
      </c>
      <c r="CK879" s="75">
        <f>CJ879*(1-PARAM!$C$27)*$R$4+(MOD($B879/12,5)=0)*($B879&gt;60)*HLOOKUP($B879/12,Loyalty,2)*$F$1*MAX(CM878,0)</f>
        <v>0</v>
      </c>
      <c r="CL879" s="75">
        <f>PARAM!$C$26+MAX($P$4-CHOOSE(PARAM!$B$44,MAX(0,CM878*$F$1),0),0)*RATES!$L855/12+$Q$4*(PARAM!$D$51/12)*RATES!$N855/100</f>
        <v>1190.0416666666667</v>
      </c>
      <c r="CM879" s="16">
        <f>IF(CM878&gt;0,CM878*PARAM!$C$53,CM878)+CK879-CL879</f>
        <v>-230135.79166666654</v>
      </c>
      <c r="CO879" s="176"/>
    </row>
    <row r="880" spans="1:93" x14ac:dyDescent="0.2">
      <c r="A880" t="b">
        <f t="shared" si="580"/>
        <v>0</v>
      </c>
      <c r="B880" s="33">
        <v>853</v>
      </c>
      <c r="C880" s="15">
        <f t="shared" si="581"/>
        <v>20.081305947392778</v>
      </c>
      <c r="D880" s="75">
        <f>C880*(1-PARAM!$C$27)*$I$3+(MOD($B880,60)=PARAM!$B$56)*($B880&gt;(60-PARAM!$B$56))*HLOOKUP(($B880+PARAM!$B$56)/12,Loyalty,2)*$F$1*MAX(F879,0)</f>
        <v>16.808053077967756</v>
      </c>
      <c r="E880" s="75">
        <f>PARAM!$C$26+MAX($G$3-CHOOSE(PARAM!$B$44,MAX(0,F879*$F$1),0),0)*RATES!$L856/12+$H$3*(PARAM!$D$51/12)*RATES!$N856/100</f>
        <v>1190.0416666666667</v>
      </c>
      <c r="F880" s="16">
        <f t="shared" si="582"/>
        <v>-217144.989249231</v>
      </c>
      <c r="G880" s="15">
        <f t="shared" si="583"/>
        <v>22.035289406060361</v>
      </c>
      <c r="H880" s="75">
        <f>G880*(1-PARAM!$C$27)*$I$4+(MOD($B880,60)=PARAM!$B$56)*($B880&gt;(60-PARAM!$B$56))*HLOOKUP(($B880+PARAM!$B$56)/12,Loyalty,2)*$F$1*MAX(J879,0)</f>
        <v>18.443537232872522</v>
      </c>
      <c r="I880" s="75">
        <f>PARAM!$C$26+MAX($G$4-CHOOSE(PARAM!$B$44,MAX(0,J879*$F$1),0),0)*RATES!$L856/12+$H$4*(PARAM!$D$51/12)*RATES!$N856/100</f>
        <v>1190.0416666666667</v>
      </c>
      <c r="J880" s="16">
        <f t="shared" si="584"/>
        <v>-215716.08830097449</v>
      </c>
      <c r="K880" s="15">
        <f t="shared" si="585"/>
        <v>22.170849845882874</v>
      </c>
      <c r="L880" s="75">
        <f>K880*(1-PARAM!$C$27)*$I$5+(MOD($B880,60)=PARAM!$B$56)*($B880&gt;(60-PARAM!$B$56))*HLOOKUP(($B880+PARAM!$B$56)/12,Loyalty,2)*$F$1*MAX(N879,0)</f>
        <v>18.557001321003963</v>
      </c>
      <c r="M880" s="75">
        <f>PARAM!$C$26+MAX($G$5-CHOOSE(PARAM!$B$44,MAX(0,N879*$F$1),0),0)*RATES!$L856/12+$H$5*(PARAM!$D$51/12)*RATES!$N856/100</f>
        <v>1190.0416666666667</v>
      </c>
      <c r="N880" s="16">
        <f t="shared" si="586"/>
        <v>-215616.28589739921</v>
      </c>
      <c r="O880" s="15">
        <f t="shared" si="587"/>
        <v>22.170849845882874</v>
      </c>
      <c r="P880" s="75">
        <f>O880*(1-PARAM!$C$27)*$I$6+(MOD($B880,60)=PARAM!$B$56)*($B880&gt;(60-PARAM!$B$56))*HLOOKUP(($B880+PARAM!$B$56)/12,Loyalty,2)*$F$1*MAX(R879,0)</f>
        <v>18.557001321003963</v>
      </c>
      <c r="Q880" s="75">
        <f>PARAM!$C$26+MAX($G$6-CHOOSE(PARAM!$B$44,MAX(0,R879*$F$1),0),0)*RATES!$L856/12+$H$6*(PARAM!$D$51/12)*RATES!$N856/100</f>
        <v>1190.0416666666667</v>
      </c>
      <c r="R880" s="16">
        <f t="shared" si="588"/>
        <v>-215616.28589739921</v>
      </c>
      <c r="S880" s="15">
        <f t="shared" si="563"/>
        <v>22.170849845882874</v>
      </c>
      <c r="T880" s="75">
        <f>S880*(1-PARAM!$C$27)*$I$7+(MOD($B880,60)=PARAM!$B$56)*($B880&gt;(60-PARAM!$B$56))*HLOOKUP(($B880+PARAM!$B$56)/12,Loyalty,2)*$F$1*MAX(V879,0)</f>
        <v>18.557001321003963</v>
      </c>
      <c r="U880" s="75">
        <f>PARAM!$C$26+MAX($G$7-CHOOSE(PARAM!$B$44,MAX(0,V879*$F$1),0),0)*RATES!$L856/12+$H$7*(PARAM!$D$51/12)*RATES!$N856/100</f>
        <v>1190.0416666666667</v>
      </c>
      <c r="V880" s="16">
        <f t="shared" si="589"/>
        <v>-215616.28589739921</v>
      </c>
      <c r="W880" s="15">
        <f t="shared" si="564"/>
        <v>22.170849845882874</v>
      </c>
      <c r="X880" s="75">
        <f>W880*(1-PARAM!$C$27)*$I$8+(MOD($B880,60)=PARAM!$B$56)*($B880&gt;(60-PARAM!$B$56))*HLOOKUP(($B880+PARAM!$B$56)/12,Loyalty,2)*$F$1*MAX(Z879,0)</f>
        <v>18.557001321003963</v>
      </c>
      <c r="Y880" s="75">
        <f>PARAM!$C$26+MAX($G$8-CHOOSE(PARAM!$B$44,MAX(0,Z879*$F$1),0),0)*RATES!$L856/12+$H$8*(PARAM!$D$51/12)*RATES!$N856/100</f>
        <v>1190.0416666666667</v>
      </c>
      <c r="Z880" s="16">
        <f t="shared" si="590"/>
        <v>-215616.28589739921</v>
      </c>
      <c r="AA880" s="15">
        <f t="shared" si="565"/>
        <v>22.170849845882874</v>
      </c>
      <c r="AB880" s="75">
        <f>AA880*(1-PARAM!$C$27)*$I$9+(MOD($B880,60)=PARAM!$B$56)*($B880&gt;(60-PARAM!$B$56))*HLOOKUP(($B880+PARAM!$B$56)/12,Loyalty,2)*$F$1*MAX(AD879,0)</f>
        <v>18.557001321003963</v>
      </c>
      <c r="AC880" s="75">
        <f>PARAM!$C$26+MAX($G$9-CHOOSE(PARAM!$B$44,MAX(0,AD879*$F$1),0),0)*RATES!$L856/12+$H$9*(PARAM!$D$51/12)*RATES!$N856/100</f>
        <v>1190.0416666666667</v>
      </c>
      <c r="AD880" s="16">
        <f t="shared" si="591"/>
        <v>-215616.28589739921</v>
      </c>
      <c r="AE880" s="15">
        <f t="shared" si="566"/>
        <v>22.170849845882874</v>
      </c>
      <c r="AF880" s="75">
        <f>AE880*(1-PARAM!$C$27)*$I$10+(MOD($B880,60)=PARAM!$B$56)*($B880&gt;(60-PARAM!$B$56))*HLOOKUP(($B880+PARAM!$B$56)/12,Loyalty,2)*$F$1*MAX(AH879,0)</f>
        <v>18.557001321003963</v>
      </c>
      <c r="AG880" s="75">
        <f>PARAM!$C$26+MAX($G$10-CHOOSE(PARAM!$B$44,MAX(0,AH879*$F$1),0),0)*RATES!$L856/12+$H$10*(PARAM!$D$51/12)*RATES!$N856/100</f>
        <v>1190.0416666666667</v>
      </c>
      <c r="AH880" s="16">
        <f t="shared" si="592"/>
        <v>-215616.28589739921</v>
      </c>
      <c r="AI880" s="15">
        <f t="shared" si="567"/>
        <v>22.170849845882874</v>
      </c>
      <c r="AJ880" s="75">
        <f>AI880*(1-PARAM!$C$27)*$I$11+(MOD($B880,60)=PARAM!$B$56)*($B880&gt;(60-PARAM!$B$56))*HLOOKUP(($B880+PARAM!$B$56)/12,Loyalty,2)*$F$1*MAX(AL879,0)</f>
        <v>18.557001321003963</v>
      </c>
      <c r="AK880" s="75">
        <f>PARAM!$C$26+MAX($G$11-CHOOSE(PARAM!$B$44,MAX(0,AL879*$F$1),0),0)*RATES!$L856/12+$H$11*(PARAM!$D$51/12)*RATES!$N856/100</f>
        <v>1190.0416666666667</v>
      </c>
      <c r="AL880" s="16">
        <f t="shared" si="593"/>
        <v>-215616.28589739921</v>
      </c>
      <c r="AM880" s="15">
        <f t="shared" si="568"/>
        <v>22.170849845882874</v>
      </c>
      <c r="AN880" s="75">
        <f>AM880*(1-PARAM!$C$27)*$I$12+(MOD($B880,60)=PARAM!$B$56)*($B880&gt;(60-PARAM!$B$56))*HLOOKUP(($B880+PARAM!$B$56)/12,Loyalty,2)*$F$1*MAX(AP879,0)</f>
        <v>18.557001321003963</v>
      </c>
      <c r="AO880" s="75">
        <f>PARAM!$C$26+MAX($G$12-CHOOSE(PARAM!$B$44,MAX(0,AP879*$F$1),0),0)*RATES!$L856/12+$H$12*(PARAM!$D$51/12)*RATES!$N856/100</f>
        <v>1190.0416666666667</v>
      </c>
      <c r="AP880" s="16">
        <f t="shared" si="594"/>
        <v>-215616.28589739921</v>
      </c>
      <c r="AQ880" s="15">
        <f t="shared" si="569"/>
        <v>22.170849845882874</v>
      </c>
      <c r="AR880" s="75">
        <f>AQ880*(1-PARAM!$C$27)*$I$13+(MOD($B880,60)=PARAM!$B$56)*($B880&gt;(60-PARAM!$B$56))*HLOOKUP(($B880+PARAM!$B$56)/12,Loyalty,2)*$F$1*MAX(AT879,0)</f>
        <v>18.557001321003963</v>
      </c>
      <c r="AS880" s="75">
        <f>PARAM!$C$26+MAX($G$13-CHOOSE(PARAM!$B$44,MAX(0,AT879*$F$1),0),0)*RATES!$L856/12+$H$13*(PARAM!$D$51/12)*RATES!$N856/100</f>
        <v>1190.0416666666667</v>
      </c>
      <c r="AT880" s="16">
        <f t="shared" si="595"/>
        <v>-215616.28589739921</v>
      </c>
      <c r="AU880" s="15">
        <f t="shared" si="570"/>
        <v>22.170849845882874</v>
      </c>
      <c r="AV880" s="75">
        <f>AU880*(1-PARAM!$C$27)*$I$14+(MOD($B880,60)=PARAM!$B$56)*($B880&gt;(60-PARAM!$B$56))*HLOOKUP(($B880+PARAM!$B$56)/12,Loyalty,2)*$F$1*MAX(AX879,0)</f>
        <v>18.557001321003963</v>
      </c>
      <c r="AW880" s="75">
        <f>PARAM!$C$26+MAX($G$14-CHOOSE(PARAM!$B$44,MAX(0,AX879*$F$1),0),0)*RATES!$L856/12+$H$14*(PARAM!$D$51/12)*RATES!$N856/100</f>
        <v>1190.0416666666667</v>
      </c>
      <c r="AX880" s="16">
        <f t="shared" si="596"/>
        <v>-215616.28589739921</v>
      </c>
      <c r="AY880" s="15">
        <f t="shared" si="571"/>
        <v>22.170849845882874</v>
      </c>
      <c r="AZ880" s="75">
        <f>AY880*(1-PARAM!$C$27)*$I$15+(MOD($B880,60)=PARAM!$B$56)*($B880&gt;(60-PARAM!$B$56))*HLOOKUP(($B880+PARAM!$B$56)/12,Loyalty,2)*$F$1*MAX(BB879,0)</f>
        <v>18.557001321003963</v>
      </c>
      <c r="BA880" s="75">
        <f>PARAM!$C$26+MAX($G$15-CHOOSE(PARAM!$B$44,MAX(0,BB879*$F$1),0),0)*RATES!$L856/12+$H$15*(PARAM!$D$51/12)*RATES!$N856/100</f>
        <v>1190.0416666666667</v>
      </c>
      <c r="BB880" s="16">
        <f t="shared" si="597"/>
        <v>-215616.28589739921</v>
      </c>
      <c r="BC880" s="15">
        <f t="shared" si="572"/>
        <v>22.170849845882874</v>
      </c>
      <c r="BD880" s="75">
        <f>BC880*(1-PARAM!$C$27)*$I$16+(MOD($B880,60)=PARAM!$B$56)*($B880&gt;(60-PARAM!$B$56))*HLOOKUP(($B880+PARAM!$B$56)/12,Loyalty,2)*$F$1*MAX(BF879,0)</f>
        <v>18.557001321003963</v>
      </c>
      <c r="BE880" s="75">
        <f>PARAM!$C$26+MAX($G$16-CHOOSE(PARAM!$B$44,MAX(0,BF879*$F$1),0),0)*RATES!$L856/12+$H$16*(PARAM!$D$51/12)*RATES!$N856/100</f>
        <v>1190.0416666666667</v>
      </c>
      <c r="BF880" s="16">
        <f t="shared" si="598"/>
        <v>-215616.28589739921</v>
      </c>
      <c r="BG880" s="15">
        <f t="shared" si="573"/>
        <v>22.170849845882874</v>
      </c>
      <c r="BH880" s="75">
        <f>BG880*(1-PARAM!$C$27)*$I$17+(MOD($B880,60)=PARAM!$B$56)*($B880&gt;(60-PARAM!$B$56))*HLOOKUP(($B880+PARAM!$B$56)/12,Loyalty,2)*$F$1*MAX(BJ879,0)</f>
        <v>18.557001321003963</v>
      </c>
      <c r="BI880" s="75">
        <f>PARAM!$C$26+MAX($G$17-CHOOSE(PARAM!$B$44,MAX(0,BJ879*$F$1),0),0)*RATES!$L856/12+$H$17*(PARAM!$D$51/12)*RATES!$N856/100</f>
        <v>1190.0416666666667</v>
      </c>
      <c r="BJ880" s="16">
        <f t="shared" si="599"/>
        <v>-215616.28589739921</v>
      </c>
      <c r="BK880" s="15">
        <f t="shared" si="574"/>
        <v>22.170849845882874</v>
      </c>
      <c r="BL880" s="75">
        <f>BK880*(1-PARAM!$C$27)*$I$18+(MOD($B880,60)=PARAM!$B$56)*($B880&gt;(60-PARAM!$B$56))*HLOOKUP(($B880+PARAM!$B$56)/12,Loyalty,2)*$F$1*MAX(BN879,0)</f>
        <v>18.557001321003963</v>
      </c>
      <c r="BM880" s="75">
        <f>PARAM!$C$26+MAX($G$18-CHOOSE(PARAM!$B$44,MAX(0,BN879*$F$1),0),0)*RATES!$L856/12+$H$18*(PARAM!$D$51/12)*RATES!$N856/100</f>
        <v>1190.0416666666667</v>
      </c>
      <c r="BN880" s="16">
        <f t="shared" si="600"/>
        <v>-215616.28589739921</v>
      </c>
      <c r="BO880" s="15">
        <f t="shared" si="575"/>
        <v>22.170849845882874</v>
      </c>
      <c r="BP880" s="75">
        <f>BO880*(1-PARAM!$C$27)*$I$19+(MOD($B880,60)=PARAM!$B$56)*($B880&gt;(60-PARAM!$B$56))*HLOOKUP(($B880+PARAM!$B$56)/12,Loyalty,2)*$F$1*MAX(BR879,0)</f>
        <v>18.557001321003963</v>
      </c>
      <c r="BQ880" s="75">
        <f>PARAM!$C$26+MAX($G$19-CHOOSE(PARAM!$B$44,MAX(0,BR879*$F$1),0),0)*RATES!$L856/12+$H$19*(PARAM!$D$51/12)*RATES!$N856/100</f>
        <v>1190.0416666666667</v>
      </c>
      <c r="BR880" s="16">
        <f t="shared" si="601"/>
        <v>-215616.28589739921</v>
      </c>
      <c r="BS880" s="15">
        <f t="shared" si="576"/>
        <v>22.170849845882874</v>
      </c>
      <c r="BT880" s="75">
        <f>BS880*(1-PARAM!$C$27)*$I$20+(MOD($B880,60)=PARAM!$B$56)*($B880&gt;(60-PARAM!$B$56))*HLOOKUP(($B880+PARAM!$B$56)/12,Loyalty,2)*$F$1*MAX(BV879,0)</f>
        <v>18.557001321003963</v>
      </c>
      <c r="BU880" s="75">
        <f>PARAM!$C$26+MAX($G$20-CHOOSE(PARAM!$B$44,MAX(0,BV879*$F$1),0),0)*RATES!$L856/12+$H$20*(PARAM!$D$51/12)*RATES!$N856/100</f>
        <v>1190.0416666666667</v>
      </c>
      <c r="BV880" s="16">
        <f t="shared" si="602"/>
        <v>-215616.28589739921</v>
      </c>
      <c r="BW880" s="15">
        <f t="shared" si="577"/>
        <v>22.170849845882874</v>
      </c>
      <c r="BX880" s="75">
        <f>BW880*(1-PARAM!$C$27)*$I$21+(MOD($B880,60)=PARAM!$B$56)*($B880&gt;(60-PARAM!$B$56))*HLOOKUP(($B880+PARAM!$B$56)/12,Loyalty,2)*$F$1*MAX(BZ879,0)</f>
        <v>18.557001321003963</v>
      </c>
      <c r="BY880" s="75">
        <f>PARAM!$C$26+MAX($G$21-CHOOSE(PARAM!$B$44,MAX(0,BZ879*$F$1),0),0)*RATES!$L856/12+$H$21*(PARAM!$D$51/12)*RATES!$N856/100</f>
        <v>1190.0416666666667</v>
      </c>
      <c r="BZ880" s="16">
        <f t="shared" si="603"/>
        <v>-215616.28589739921</v>
      </c>
      <c r="CA880" s="15">
        <f t="shared" si="578"/>
        <v>22.170849845882874</v>
      </c>
      <c r="CB880" s="75">
        <f>CA880*(1-PARAM!$C$27)*$I$22+(MOD($B880,60)=PARAM!$B$56)*($B880&gt;(60-PARAM!$B$56))*HLOOKUP(($B880+PARAM!$B$56)/12,Loyalty,2)*$F$1*MAX(CD879,0)</f>
        <v>18.557001321003963</v>
      </c>
      <c r="CC880" s="75">
        <f>PARAM!$C$26+MAX($G$22-CHOOSE(PARAM!$B$44,MAX(0,CD879*$F$1),0),0)*RATES!$L856/12+$H$22*(PARAM!$D$51/12)*RATES!$N856/100</f>
        <v>1190.0416666666667</v>
      </c>
      <c r="CD880" s="16">
        <f t="shared" si="604"/>
        <v>-215616.28589739921</v>
      </c>
      <c r="CE880" s="33">
        <f>IF(0=MOD(B880,12/PARAM!$D$51),1,0)</f>
        <v>1</v>
      </c>
      <c r="CF880" s="15">
        <f t="shared" si="579"/>
        <v>0</v>
      </c>
      <c r="CG880" s="75">
        <f>CF880*(1-PARAM!$C$27)*$R$3+(MOD($B880/12,5)=0)*($B880&gt;60)*HLOOKUP($B880/12,Loyalty,2)*$F$1*MAX(CI879,0)</f>
        <v>0</v>
      </c>
      <c r="CH880" s="75">
        <f>PARAM!$C$26+MAX($P$3-CHOOSE(PARAM!$B$44,MAX(0,CI879*$F$1),0),0)*RATES!$L856/12+$Q$3*(PARAM!$D$51/12)*RATES!$N856/100</f>
        <v>1190.0416666666667</v>
      </c>
      <c r="CI880" s="16">
        <f>IF(CI879&gt;0,CI879*PARAM!$C$53,CI879)+CG880-CH880</f>
        <v>-231325.8333333332</v>
      </c>
      <c r="CJ880" s="15">
        <f t="shared" si="605"/>
        <v>0</v>
      </c>
      <c r="CK880" s="75">
        <f>CJ880*(1-PARAM!$C$27)*$R$4+(MOD($B880/12,5)=0)*($B880&gt;60)*HLOOKUP($B880/12,Loyalty,2)*$F$1*MAX(CM879,0)</f>
        <v>0</v>
      </c>
      <c r="CL880" s="75">
        <f>PARAM!$C$26+MAX($P$4-CHOOSE(PARAM!$B$44,MAX(0,CM879*$F$1),0),0)*RATES!$L856/12+$Q$4*(PARAM!$D$51/12)*RATES!$N856/100</f>
        <v>1190.0416666666667</v>
      </c>
      <c r="CM880" s="16">
        <f>IF(CM879&gt;0,CM879*PARAM!$C$53,CM879)+CK880-CL880</f>
        <v>-231325.8333333332</v>
      </c>
      <c r="CO880" s="176"/>
    </row>
    <row r="881" spans="1:93" x14ac:dyDescent="0.2">
      <c r="A881" t="b">
        <f t="shared" si="580"/>
        <v>0</v>
      </c>
      <c r="B881" s="33">
        <v>854</v>
      </c>
      <c r="C881" s="15">
        <f t="shared" si="581"/>
        <v>20.081305947392778</v>
      </c>
      <c r="D881" s="75">
        <f>C881*(1-PARAM!$C$27)*$I$3+(MOD($B881,60)=PARAM!$B$56)*($B881&gt;(60-PARAM!$B$56))*HLOOKUP(($B881+PARAM!$B$56)/12,Loyalty,2)*$F$1*MAX(F880,0)</f>
        <v>16.808053077967756</v>
      </c>
      <c r="E881" s="75">
        <f>PARAM!$C$26+MAX($G$3-CHOOSE(PARAM!$B$44,MAX(0,F880*$F$1),0),0)*RATES!$L857/12+$H$3*(PARAM!$D$51/12)*RATES!$N857/100</f>
        <v>1190.0416666666667</v>
      </c>
      <c r="F881" s="16">
        <f t="shared" si="582"/>
        <v>-218318.2228628197</v>
      </c>
      <c r="G881" s="15">
        <f t="shared" si="583"/>
        <v>22.035289406060361</v>
      </c>
      <c r="H881" s="75">
        <f>G881*(1-PARAM!$C$27)*$I$4+(MOD($B881,60)=PARAM!$B$56)*($B881&gt;(60-PARAM!$B$56))*HLOOKUP(($B881+PARAM!$B$56)/12,Loyalty,2)*$F$1*MAX(J880,0)</f>
        <v>18.443537232872522</v>
      </c>
      <c r="I881" s="75">
        <f>PARAM!$C$26+MAX($G$4-CHOOSE(PARAM!$B$44,MAX(0,J880*$F$1),0),0)*RATES!$L857/12+$H$4*(PARAM!$D$51/12)*RATES!$N857/100</f>
        <v>1190.0416666666667</v>
      </c>
      <c r="J881" s="16">
        <f t="shared" si="584"/>
        <v>-216887.68643040827</v>
      </c>
      <c r="K881" s="15">
        <f t="shared" si="585"/>
        <v>22.170849845882874</v>
      </c>
      <c r="L881" s="75">
        <f>K881*(1-PARAM!$C$27)*$I$5+(MOD($B881,60)=PARAM!$B$56)*($B881&gt;(60-PARAM!$B$56))*HLOOKUP(($B881+PARAM!$B$56)/12,Loyalty,2)*$F$1*MAX(N880,0)</f>
        <v>18.557001321003963</v>
      </c>
      <c r="M881" s="75">
        <f>PARAM!$C$26+MAX($G$5-CHOOSE(PARAM!$B$44,MAX(0,N880*$F$1),0),0)*RATES!$L857/12+$H$5*(PARAM!$D$51/12)*RATES!$N857/100</f>
        <v>1190.0416666666667</v>
      </c>
      <c r="N881" s="16">
        <f t="shared" si="586"/>
        <v>-216787.77056274487</v>
      </c>
      <c r="O881" s="15">
        <f t="shared" si="587"/>
        <v>22.170849845882874</v>
      </c>
      <c r="P881" s="75">
        <f>O881*(1-PARAM!$C$27)*$I$6+(MOD($B881,60)=PARAM!$B$56)*($B881&gt;(60-PARAM!$B$56))*HLOOKUP(($B881+PARAM!$B$56)/12,Loyalty,2)*$F$1*MAX(R880,0)</f>
        <v>18.557001321003963</v>
      </c>
      <c r="Q881" s="75">
        <f>PARAM!$C$26+MAX($G$6-CHOOSE(PARAM!$B$44,MAX(0,R880*$F$1),0),0)*RATES!$L857/12+$H$6*(PARAM!$D$51/12)*RATES!$N857/100</f>
        <v>1190.0416666666667</v>
      </c>
      <c r="R881" s="16">
        <f t="shared" si="588"/>
        <v>-216787.77056274487</v>
      </c>
      <c r="S881" s="15">
        <f t="shared" si="563"/>
        <v>22.170849845882874</v>
      </c>
      <c r="T881" s="75">
        <f>S881*(1-PARAM!$C$27)*$I$7+(MOD($B881,60)=PARAM!$B$56)*($B881&gt;(60-PARAM!$B$56))*HLOOKUP(($B881+PARAM!$B$56)/12,Loyalty,2)*$F$1*MAX(V880,0)</f>
        <v>18.557001321003963</v>
      </c>
      <c r="U881" s="75">
        <f>PARAM!$C$26+MAX($G$7-CHOOSE(PARAM!$B$44,MAX(0,V880*$F$1),0),0)*RATES!$L857/12+$H$7*(PARAM!$D$51/12)*RATES!$N857/100</f>
        <v>1190.0416666666667</v>
      </c>
      <c r="V881" s="16">
        <f t="shared" si="589"/>
        <v>-216787.77056274487</v>
      </c>
      <c r="W881" s="15">
        <f t="shared" si="564"/>
        <v>22.170849845882874</v>
      </c>
      <c r="X881" s="75">
        <f>W881*(1-PARAM!$C$27)*$I$8+(MOD($B881,60)=PARAM!$B$56)*($B881&gt;(60-PARAM!$B$56))*HLOOKUP(($B881+PARAM!$B$56)/12,Loyalty,2)*$F$1*MAX(Z880,0)</f>
        <v>18.557001321003963</v>
      </c>
      <c r="Y881" s="75">
        <f>PARAM!$C$26+MAX($G$8-CHOOSE(PARAM!$B$44,MAX(0,Z880*$F$1),0),0)*RATES!$L857/12+$H$8*(PARAM!$D$51/12)*RATES!$N857/100</f>
        <v>1190.0416666666667</v>
      </c>
      <c r="Z881" s="16">
        <f t="shared" si="590"/>
        <v>-216787.77056274487</v>
      </c>
      <c r="AA881" s="15">
        <f t="shared" si="565"/>
        <v>22.170849845882874</v>
      </c>
      <c r="AB881" s="75">
        <f>AA881*(1-PARAM!$C$27)*$I$9+(MOD($B881,60)=PARAM!$B$56)*($B881&gt;(60-PARAM!$B$56))*HLOOKUP(($B881+PARAM!$B$56)/12,Loyalty,2)*$F$1*MAX(AD880,0)</f>
        <v>18.557001321003963</v>
      </c>
      <c r="AC881" s="75">
        <f>PARAM!$C$26+MAX($G$9-CHOOSE(PARAM!$B$44,MAX(0,AD880*$F$1),0),0)*RATES!$L857/12+$H$9*(PARAM!$D$51/12)*RATES!$N857/100</f>
        <v>1190.0416666666667</v>
      </c>
      <c r="AD881" s="16">
        <f t="shared" si="591"/>
        <v>-216787.77056274487</v>
      </c>
      <c r="AE881" s="15">
        <f t="shared" si="566"/>
        <v>22.170849845882874</v>
      </c>
      <c r="AF881" s="75">
        <f>AE881*(1-PARAM!$C$27)*$I$10+(MOD($B881,60)=PARAM!$B$56)*($B881&gt;(60-PARAM!$B$56))*HLOOKUP(($B881+PARAM!$B$56)/12,Loyalty,2)*$F$1*MAX(AH880,0)</f>
        <v>18.557001321003963</v>
      </c>
      <c r="AG881" s="75">
        <f>PARAM!$C$26+MAX($G$10-CHOOSE(PARAM!$B$44,MAX(0,AH880*$F$1),0),0)*RATES!$L857/12+$H$10*(PARAM!$D$51/12)*RATES!$N857/100</f>
        <v>1190.0416666666667</v>
      </c>
      <c r="AH881" s="16">
        <f t="shared" si="592"/>
        <v>-216787.77056274487</v>
      </c>
      <c r="AI881" s="15">
        <f t="shared" si="567"/>
        <v>22.170849845882874</v>
      </c>
      <c r="AJ881" s="75">
        <f>AI881*(1-PARAM!$C$27)*$I$11+(MOD($B881,60)=PARAM!$B$56)*($B881&gt;(60-PARAM!$B$56))*HLOOKUP(($B881+PARAM!$B$56)/12,Loyalty,2)*$F$1*MAX(AL880,0)</f>
        <v>18.557001321003963</v>
      </c>
      <c r="AK881" s="75">
        <f>PARAM!$C$26+MAX($G$11-CHOOSE(PARAM!$B$44,MAX(0,AL880*$F$1),0),0)*RATES!$L857/12+$H$11*(PARAM!$D$51/12)*RATES!$N857/100</f>
        <v>1190.0416666666667</v>
      </c>
      <c r="AL881" s="16">
        <f t="shared" si="593"/>
        <v>-216787.77056274487</v>
      </c>
      <c r="AM881" s="15">
        <f t="shared" si="568"/>
        <v>22.170849845882874</v>
      </c>
      <c r="AN881" s="75">
        <f>AM881*(1-PARAM!$C$27)*$I$12+(MOD($B881,60)=PARAM!$B$56)*($B881&gt;(60-PARAM!$B$56))*HLOOKUP(($B881+PARAM!$B$56)/12,Loyalty,2)*$F$1*MAX(AP880,0)</f>
        <v>18.557001321003963</v>
      </c>
      <c r="AO881" s="75">
        <f>PARAM!$C$26+MAX($G$12-CHOOSE(PARAM!$B$44,MAX(0,AP880*$F$1),0),0)*RATES!$L857/12+$H$12*(PARAM!$D$51/12)*RATES!$N857/100</f>
        <v>1190.0416666666667</v>
      </c>
      <c r="AP881" s="16">
        <f t="shared" si="594"/>
        <v>-216787.77056274487</v>
      </c>
      <c r="AQ881" s="15">
        <f t="shared" si="569"/>
        <v>22.170849845882874</v>
      </c>
      <c r="AR881" s="75">
        <f>AQ881*(1-PARAM!$C$27)*$I$13+(MOD($B881,60)=PARAM!$B$56)*($B881&gt;(60-PARAM!$B$56))*HLOOKUP(($B881+PARAM!$B$56)/12,Loyalty,2)*$F$1*MAX(AT880,0)</f>
        <v>18.557001321003963</v>
      </c>
      <c r="AS881" s="75">
        <f>PARAM!$C$26+MAX($G$13-CHOOSE(PARAM!$B$44,MAX(0,AT880*$F$1),0),0)*RATES!$L857/12+$H$13*(PARAM!$D$51/12)*RATES!$N857/100</f>
        <v>1190.0416666666667</v>
      </c>
      <c r="AT881" s="16">
        <f t="shared" si="595"/>
        <v>-216787.77056274487</v>
      </c>
      <c r="AU881" s="15">
        <f t="shared" si="570"/>
        <v>22.170849845882874</v>
      </c>
      <c r="AV881" s="75">
        <f>AU881*(1-PARAM!$C$27)*$I$14+(MOD($B881,60)=PARAM!$B$56)*($B881&gt;(60-PARAM!$B$56))*HLOOKUP(($B881+PARAM!$B$56)/12,Loyalty,2)*$F$1*MAX(AX880,0)</f>
        <v>18.557001321003963</v>
      </c>
      <c r="AW881" s="75">
        <f>PARAM!$C$26+MAX($G$14-CHOOSE(PARAM!$B$44,MAX(0,AX880*$F$1),0),0)*RATES!$L857/12+$H$14*(PARAM!$D$51/12)*RATES!$N857/100</f>
        <v>1190.0416666666667</v>
      </c>
      <c r="AX881" s="16">
        <f t="shared" si="596"/>
        <v>-216787.77056274487</v>
      </c>
      <c r="AY881" s="15">
        <f t="shared" si="571"/>
        <v>22.170849845882874</v>
      </c>
      <c r="AZ881" s="75">
        <f>AY881*(1-PARAM!$C$27)*$I$15+(MOD($B881,60)=PARAM!$B$56)*($B881&gt;(60-PARAM!$B$56))*HLOOKUP(($B881+PARAM!$B$56)/12,Loyalty,2)*$F$1*MAX(BB880,0)</f>
        <v>18.557001321003963</v>
      </c>
      <c r="BA881" s="75">
        <f>PARAM!$C$26+MAX($G$15-CHOOSE(PARAM!$B$44,MAX(0,BB880*$F$1),0),0)*RATES!$L857/12+$H$15*(PARAM!$D$51/12)*RATES!$N857/100</f>
        <v>1190.0416666666667</v>
      </c>
      <c r="BB881" s="16">
        <f t="shared" si="597"/>
        <v>-216787.77056274487</v>
      </c>
      <c r="BC881" s="15">
        <f t="shared" si="572"/>
        <v>22.170849845882874</v>
      </c>
      <c r="BD881" s="75">
        <f>BC881*(1-PARAM!$C$27)*$I$16+(MOD($B881,60)=PARAM!$B$56)*($B881&gt;(60-PARAM!$B$56))*HLOOKUP(($B881+PARAM!$B$56)/12,Loyalty,2)*$F$1*MAX(BF880,0)</f>
        <v>18.557001321003963</v>
      </c>
      <c r="BE881" s="75">
        <f>PARAM!$C$26+MAX($G$16-CHOOSE(PARAM!$B$44,MAX(0,BF880*$F$1),0),0)*RATES!$L857/12+$H$16*(PARAM!$D$51/12)*RATES!$N857/100</f>
        <v>1190.0416666666667</v>
      </c>
      <c r="BF881" s="16">
        <f t="shared" si="598"/>
        <v>-216787.77056274487</v>
      </c>
      <c r="BG881" s="15">
        <f t="shared" si="573"/>
        <v>22.170849845882874</v>
      </c>
      <c r="BH881" s="75">
        <f>BG881*(1-PARAM!$C$27)*$I$17+(MOD($B881,60)=PARAM!$B$56)*($B881&gt;(60-PARAM!$B$56))*HLOOKUP(($B881+PARAM!$B$56)/12,Loyalty,2)*$F$1*MAX(BJ880,0)</f>
        <v>18.557001321003963</v>
      </c>
      <c r="BI881" s="75">
        <f>PARAM!$C$26+MAX($G$17-CHOOSE(PARAM!$B$44,MAX(0,BJ880*$F$1),0),0)*RATES!$L857/12+$H$17*(PARAM!$D$51/12)*RATES!$N857/100</f>
        <v>1190.0416666666667</v>
      </c>
      <c r="BJ881" s="16">
        <f t="shared" si="599"/>
        <v>-216787.77056274487</v>
      </c>
      <c r="BK881" s="15">
        <f t="shared" si="574"/>
        <v>22.170849845882874</v>
      </c>
      <c r="BL881" s="75">
        <f>BK881*(1-PARAM!$C$27)*$I$18+(MOD($B881,60)=PARAM!$B$56)*($B881&gt;(60-PARAM!$B$56))*HLOOKUP(($B881+PARAM!$B$56)/12,Loyalty,2)*$F$1*MAX(BN880,0)</f>
        <v>18.557001321003963</v>
      </c>
      <c r="BM881" s="75">
        <f>PARAM!$C$26+MAX($G$18-CHOOSE(PARAM!$B$44,MAX(0,BN880*$F$1),0),0)*RATES!$L857/12+$H$18*(PARAM!$D$51/12)*RATES!$N857/100</f>
        <v>1190.0416666666667</v>
      </c>
      <c r="BN881" s="16">
        <f t="shared" si="600"/>
        <v>-216787.77056274487</v>
      </c>
      <c r="BO881" s="15">
        <f t="shared" si="575"/>
        <v>22.170849845882874</v>
      </c>
      <c r="BP881" s="75">
        <f>BO881*(1-PARAM!$C$27)*$I$19+(MOD($B881,60)=PARAM!$B$56)*($B881&gt;(60-PARAM!$B$56))*HLOOKUP(($B881+PARAM!$B$56)/12,Loyalty,2)*$F$1*MAX(BR880,0)</f>
        <v>18.557001321003963</v>
      </c>
      <c r="BQ881" s="75">
        <f>PARAM!$C$26+MAX($G$19-CHOOSE(PARAM!$B$44,MAX(0,BR880*$F$1),0),0)*RATES!$L857/12+$H$19*(PARAM!$D$51/12)*RATES!$N857/100</f>
        <v>1190.0416666666667</v>
      </c>
      <c r="BR881" s="16">
        <f t="shared" si="601"/>
        <v>-216787.77056274487</v>
      </c>
      <c r="BS881" s="15">
        <f t="shared" si="576"/>
        <v>22.170849845882874</v>
      </c>
      <c r="BT881" s="75">
        <f>BS881*(1-PARAM!$C$27)*$I$20+(MOD($B881,60)=PARAM!$B$56)*($B881&gt;(60-PARAM!$B$56))*HLOOKUP(($B881+PARAM!$B$56)/12,Loyalty,2)*$F$1*MAX(BV880,0)</f>
        <v>18.557001321003963</v>
      </c>
      <c r="BU881" s="75">
        <f>PARAM!$C$26+MAX($G$20-CHOOSE(PARAM!$B$44,MAX(0,BV880*$F$1),0),0)*RATES!$L857/12+$H$20*(PARAM!$D$51/12)*RATES!$N857/100</f>
        <v>1190.0416666666667</v>
      </c>
      <c r="BV881" s="16">
        <f t="shared" si="602"/>
        <v>-216787.77056274487</v>
      </c>
      <c r="BW881" s="15">
        <f t="shared" si="577"/>
        <v>22.170849845882874</v>
      </c>
      <c r="BX881" s="75">
        <f>BW881*(1-PARAM!$C$27)*$I$21+(MOD($B881,60)=PARAM!$B$56)*($B881&gt;(60-PARAM!$B$56))*HLOOKUP(($B881+PARAM!$B$56)/12,Loyalty,2)*$F$1*MAX(BZ880,0)</f>
        <v>18.557001321003963</v>
      </c>
      <c r="BY881" s="75">
        <f>PARAM!$C$26+MAX($G$21-CHOOSE(PARAM!$B$44,MAX(0,BZ880*$F$1),0),0)*RATES!$L857/12+$H$21*(PARAM!$D$51/12)*RATES!$N857/100</f>
        <v>1190.0416666666667</v>
      </c>
      <c r="BZ881" s="16">
        <f t="shared" si="603"/>
        <v>-216787.77056274487</v>
      </c>
      <c r="CA881" s="15">
        <f t="shared" si="578"/>
        <v>22.170849845882874</v>
      </c>
      <c r="CB881" s="75">
        <f>CA881*(1-PARAM!$C$27)*$I$22+(MOD($B881,60)=PARAM!$B$56)*($B881&gt;(60-PARAM!$B$56))*HLOOKUP(($B881+PARAM!$B$56)/12,Loyalty,2)*$F$1*MAX(CD880,0)</f>
        <v>18.557001321003963</v>
      </c>
      <c r="CC881" s="75">
        <f>PARAM!$C$26+MAX($G$22-CHOOSE(PARAM!$B$44,MAX(0,CD880*$F$1),0),0)*RATES!$L857/12+$H$22*(PARAM!$D$51/12)*RATES!$N857/100</f>
        <v>1190.0416666666667</v>
      </c>
      <c r="CD881" s="16">
        <f t="shared" si="604"/>
        <v>-216787.77056274487</v>
      </c>
      <c r="CE881" s="33">
        <f>IF(0=MOD(B881,12/PARAM!$D$51),1,0)</f>
        <v>1</v>
      </c>
      <c r="CF881" s="15">
        <f t="shared" si="579"/>
        <v>0</v>
      </c>
      <c r="CG881" s="75">
        <f>CF881*(1-PARAM!$C$27)*$R$3+(MOD($B881/12,5)=0)*($B881&gt;60)*HLOOKUP($B881/12,Loyalty,2)*$F$1*MAX(CI880,0)</f>
        <v>0</v>
      </c>
      <c r="CH881" s="75">
        <f>PARAM!$C$26+MAX($P$3-CHOOSE(PARAM!$B$44,MAX(0,CI880*$F$1),0),0)*RATES!$L857/12+$Q$3*(PARAM!$D$51/12)*RATES!$N857/100</f>
        <v>1190.0416666666667</v>
      </c>
      <c r="CI881" s="16">
        <f>IF(CI880&gt;0,CI880*PARAM!$C$53,CI880)+CG881-CH881</f>
        <v>-232515.87499999985</v>
      </c>
      <c r="CJ881" s="15">
        <f t="shared" si="605"/>
        <v>0</v>
      </c>
      <c r="CK881" s="75">
        <f>CJ881*(1-PARAM!$C$27)*$R$4+(MOD($B881/12,5)=0)*($B881&gt;60)*HLOOKUP($B881/12,Loyalty,2)*$F$1*MAX(CM880,0)</f>
        <v>0</v>
      </c>
      <c r="CL881" s="75">
        <f>PARAM!$C$26+MAX($P$4-CHOOSE(PARAM!$B$44,MAX(0,CM880*$F$1),0),0)*RATES!$L857/12+$Q$4*(PARAM!$D$51/12)*RATES!$N857/100</f>
        <v>1190.0416666666667</v>
      </c>
      <c r="CM881" s="16">
        <f>IF(CM880&gt;0,CM880*PARAM!$C$53,CM880)+CK881-CL881</f>
        <v>-232515.87499999985</v>
      </c>
      <c r="CO881" s="176"/>
    </row>
    <row r="882" spans="1:93" x14ac:dyDescent="0.2">
      <c r="A882" t="b">
        <f t="shared" si="580"/>
        <v>0</v>
      </c>
      <c r="B882" s="33">
        <v>855</v>
      </c>
      <c r="C882" s="15">
        <f t="shared" si="581"/>
        <v>20.081305947392778</v>
      </c>
      <c r="D882" s="75">
        <f>C882*(1-PARAM!$C$27)*$I$3+(MOD($B882,60)=PARAM!$B$56)*($B882&gt;(60-PARAM!$B$56))*HLOOKUP(($B882+PARAM!$B$56)/12,Loyalty,2)*$F$1*MAX(F881,0)</f>
        <v>16.808053077967756</v>
      </c>
      <c r="E882" s="75">
        <f>PARAM!$C$26+MAX($G$3-CHOOSE(PARAM!$B$44,MAX(0,F881*$F$1),0),0)*RATES!$L858/12+$H$3*(PARAM!$D$51/12)*RATES!$N858/100</f>
        <v>1190.0416666666667</v>
      </c>
      <c r="F882" s="16">
        <f t="shared" si="582"/>
        <v>-219491.45647640841</v>
      </c>
      <c r="G882" s="15">
        <f t="shared" si="583"/>
        <v>22.035289406060361</v>
      </c>
      <c r="H882" s="75">
        <f>G882*(1-PARAM!$C$27)*$I$4+(MOD($B882,60)=PARAM!$B$56)*($B882&gt;(60-PARAM!$B$56))*HLOOKUP(($B882+PARAM!$B$56)/12,Loyalty,2)*$F$1*MAX(J881,0)</f>
        <v>18.443537232872522</v>
      </c>
      <c r="I882" s="75">
        <f>PARAM!$C$26+MAX($G$4-CHOOSE(PARAM!$B$44,MAX(0,J881*$F$1),0),0)*RATES!$L858/12+$H$4*(PARAM!$D$51/12)*RATES!$N858/100</f>
        <v>1190.0416666666667</v>
      </c>
      <c r="J882" s="16">
        <f t="shared" si="584"/>
        <v>-218059.28455984205</v>
      </c>
      <c r="K882" s="15">
        <f t="shared" si="585"/>
        <v>22.170849845882874</v>
      </c>
      <c r="L882" s="75">
        <f>K882*(1-PARAM!$C$27)*$I$5+(MOD($B882,60)=PARAM!$B$56)*($B882&gt;(60-PARAM!$B$56))*HLOOKUP(($B882+PARAM!$B$56)/12,Loyalty,2)*$F$1*MAX(N881,0)</f>
        <v>18.557001321003963</v>
      </c>
      <c r="M882" s="75">
        <f>PARAM!$C$26+MAX($G$5-CHOOSE(PARAM!$B$44,MAX(0,N881*$F$1),0),0)*RATES!$L858/12+$H$5*(PARAM!$D$51/12)*RATES!$N858/100</f>
        <v>1190.0416666666667</v>
      </c>
      <c r="N882" s="16">
        <f t="shared" si="586"/>
        <v>-217959.25522809054</v>
      </c>
      <c r="O882" s="15">
        <f t="shared" si="587"/>
        <v>22.170849845882874</v>
      </c>
      <c r="P882" s="75">
        <f>O882*(1-PARAM!$C$27)*$I$6+(MOD($B882,60)=PARAM!$B$56)*($B882&gt;(60-PARAM!$B$56))*HLOOKUP(($B882+PARAM!$B$56)/12,Loyalty,2)*$F$1*MAX(R881,0)</f>
        <v>18.557001321003963</v>
      </c>
      <c r="Q882" s="75">
        <f>PARAM!$C$26+MAX($G$6-CHOOSE(PARAM!$B$44,MAX(0,R881*$F$1),0),0)*RATES!$L858/12+$H$6*(PARAM!$D$51/12)*RATES!$N858/100</f>
        <v>1190.0416666666667</v>
      </c>
      <c r="R882" s="16">
        <f t="shared" si="588"/>
        <v>-217959.25522809054</v>
      </c>
      <c r="S882" s="15">
        <f t="shared" si="563"/>
        <v>22.170849845882874</v>
      </c>
      <c r="T882" s="75">
        <f>S882*(1-PARAM!$C$27)*$I$7+(MOD($B882,60)=PARAM!$B$56)*($B882&gt;(60-PARAM!$B$56))*HLOOKUP(($B882+PARAM!$B$56)/12,Loyalty,2)*$F$1*MAX(V881,0)</f>
        <v>18.557001321003963</v>
      </c>
      <c r="U882" s="75">
        <f>PARAM!$C$26+MAX($G$7-CHOOSE(PARAM!$B$44,MAX(0,V881*$F$1),0),0)*RATES!$L858/12+$H$7*(PARAM!$D$51/12)*RATES!$N858/100</f>
        <v>1190.0416666666667</v>
      </c>
      <c r="V882" s="16">
        <f t="shared" si="589"/>
        <v>-217959.25522809054</v>
      </c>
      <c r="W882" s="15">
        <f t="shared" si="564"/>
        <v>22.170849845882874</v>
      </c>
      <c r="X882" s="75">
        <f>W882*(1-PARAM!$C$27)*$I$8+(MOD($B882,60)=PARAM!$B$56)*($B882&gt;(60-PARAM!$B$56))*HLOOKUP(($B882+PARAM!$B$56)/12,Loyalty,2)*$F$1*MAX(Z881,0)</f>
        <v>18.557001321003963</v>
      </c>
      <c r="Y882" s="75">
        <f>PARAM!$C$26+MAX($G$8-CHOOSE(PARAM!$B$44,MAX(0,Z881*$F$1),0),0)*RATES!$L858/12+$H$8*(PARAM!$D$51/12)*RATES!$N858/100</f>
        <v>1190.0416666666667</v>
      </c>
      <c r="Z882" s="16">
        <f t="shared" si="590"/>
        <v>-217959.25522809054</v>
      </c>
      <c r="AA882" s="15">
        <f t="shared" si="565"/>
        <v>22.170849845882874</v>
      </c>
      <c r="AB882" s="75">
        <f>AA882*(1-PARAM!$C$27)*$I$9+(MOD($B882,60)=PARAM!$B$56)*($B882&gt;(60-PARAM!$B$56))*HLOOKUP(($B882+PARAM!$B$56)/12,Loyalty,2)*$F$1*MAX(AD881,0)</f>
        <v>18.557001321003963</v>
      </c>
      <c r="AC882" s="75">
        <f>PARAM!$C$26+MAX($G$9-CHOOSE(PARAM!$B$44,MAX(0,AD881*$F$1),0),0)*RATES!$L858/12+$H$9*(PARAM!$D$51/12)*RATES!$N858/100</f>
        <v>1190.0416666666667</v>
      </c>
      <c r="AD882" s="16">
        <f t="shared" si="591"/>
        <v>-217959.25522809054</v>
      </c>
      <c r="AE882" s="15">
        <f t="shared" si="566"/>
        <v>22.170849845882874</v>
      </c>
      <c r="AF882" s="75">
        <f>AE882*(1-PARAM!$C$27)*$I$10+(MOD($B882,60)=PARAM!$B$56)*($B882&gt;(60-PARAM!$B$56))*HLOOKUP(($B882+PARAM!$B$56)/12,Loyalty,2)*$F$1*MAX(AH881,0)</f>
        <v>18.557001321003963</v>
      </c>
      <c r="AG882" s="75">
        <f>PARAM!$C$26+MAX($G$10-CHOOSE(PARAM!$B$44,MAX(0,AH881*$F$1),0),0)*RATES!$L858/12+$H$10*(PARAM!$D$51/12)*RATES!$N858/100</f>
        <v>1190.0416666666667</v>
      </c>
      <c r="AH882" s="16">
        <f t="shared" si="592"/>
        <v>-217959.25522809054</v>
      </c>
      <c r="AI882" s="15">
        <f t="shared" si="567"/>
        <v>22.170849845882874</v>
      </c>
      <c r="AJ882" s="75">
        <f>AI882*(1-PARAM!$C$27)*$I$11+(MOD($B882,60)=PARAM!$B$56)*($B882&gt;(60-PARAM!$B$56))*HLOOKUP(($B882+PARAM!$B$56)/12,Loyalty,2)*$F$1*MAX(AL881,0)</f>
        <v>18.557001321003963</v>
      </c>
      <c r="AK882" s="75">
        <f>PARAM!$C$26+MAX($G$11-CHOOSE(PARAM!$B$44,MAX(0,AL881*$F$1),0),0)*RATES!$L858/12+$H$11*(PARAM!$D$51/12)*RATES!$N858/100</f>
        <v>1190.0416666666667</v>
      </c>
      <c r="AL882" s="16">
        <f t="shared" si="593"/>
        <v>-217959.25522809054</v>
      </c>
      <c r="AM882" s="15">
        <f t="shared" si="568"/>
        <v>22.170849845882874</v>
      </c>
      <c r="AN882" s="75">
        <f>AM882*(1-PARAM!$C$27)*$I$12+(MOD($B882,60)=PARAM!$B$56)*($B882&gt;(60-PARAM!$B$56))*HLOOKUP(($B882+PARAM!$B$56)/12,Loyalty,2)*$F$1*MAX(AP881,0)</f>
        <v>18.557001321003963</v>
      </c>
      <c r="AO882" s="75">
        <f>PARAM!$C$26+MAX($G$12-CHOOSE(PARAM!$B$44,MAX(0,AP881*$F$1),0),0)*RATES!$L858/12+$H$12*(PARAM!$D$51/12)*RATES!$N858/100</f>
        <v>1190.0416666666667</v>
      </c>
      <c r="AP882" s="16">
        <f t="shared" si="594"/>
        <v>-217959.25522809054</v>
      </c>
      <c r="AQ882" s="15">
        <f t="shared" si="569"/>
        <v>22.170849845882874</v>
      </c>
      <c r="AR882" s="75">
        <f>AQ882*(1-PARAM!$C$27)*$I$13+(MOD($B882,60)=PARAM!$B$56)*($B882&gt;(60-PARAM!$B$56))*HLOOKUP(($B882+PARAM!$B$56)/12,Loyalty,2)*$F$1*MAX(AT881,0)</f>
        <v>18.557001321003963</v>
      </c>
      <c r="AS882" s="75">
        <f>PARAM!$C$26+MAX($G$13-CHOOSE(PARAM!$B$44,MAX(0,AT881*$F$1),0),0)*RATES!$L858/12+$H$13*(PARAM!$D$51/12)*RATES!$N858/100</f>
        <v>1190.0416666666667</v>
      </c>
      <c r="AT882" s="16">
        <f t="shared" si="595"/>
        <v>-217959.25522809054</v>
      </c>
      <c r="AU882" s="15">
        <f t="shared" si="570"/>
        <v>22.170849845882874</v>
      </c>
      <c r="AV882" s="75">
        <f>AU882*(1-PARAM!$C$27)*$I$14+(MOD($B882,60)=PARAM!$B$56)*($B882&gt;(60-PARAM!$B$56))*HLOOKUP(($B882+PARAM!$B$56)/12,Loyalty,2)*$F$1*MAX(AX881,0)</f>
        <v>18.557001321003963</v>
      </c>
      <c r="AW882" s="75">
        <f>PARAM!$C$26+MAX($G$14-CHOOSE(PARAM!$B$44,MAX(0,AX881*$F$1),0),0)*RATES!$L858/12+$H$14*(PARAM!$D$51/12)*RATES!$N858/100</f>
        <v>1190.0416666666667</v>
      </c>
      <c r="AX882" s="16">
        <f t="shared" si="596"/>
        <v>-217959.25522809054</v>
      </c>
      <c r="AY882" s="15">
        <f t="shared" si="571"/>
        <v>22.170849845882874</v>
      </c>
      <c r="AZ882" s="75">
        <f>AY882*(1-PARAM!$C$27)*$I$15+(MOD($B882,60)=PARAM!$B$56)*($B882&gt;(60-PARAM!$B$56))*HLOOKUP(($B882+PARAM!$B$56)/12,Loyalty,2)*$F$1*MAX(BB881,0)</f>
        <v>18.557001321003963</v>
      </c>
      <c r="BA882" s="75">
        <f>PARAM!$C$26+MAX($G$15-CHOOSE(PARAM!$B$44,MAX(0,BB881*$F$1),0),0)*RATES!$L858/12+$H$15*(PARAM!$D$51/12)*RATES!$N858/100</f>
        <v>1190.0416666666667</v>
      </c>
      <c r="BB882" s="16">
        <f t="shared" si="597"/>
        <v>-217959.25522809054</v>
      </c>
      <c r="BC882" s="15">
        <f t="shared" si="572"/>
        <v>22.170849845882874</v>
      </c>
      <c r="BD882" s="75">
        <f>BC882*(1-PARAM!$C$27)*$I$16+(MOD($B882,60)=PARAM!$B$56)*($B882&gt;(60-PARAM!$B$56))*HLOOKUP(($B882+PARAM!$B$56)/12,Loyalty,2)*$F$1*MAX(BF881,0)</f>
        <v>18.557001321003963</v>
      </c>
      <c r="BE882" s="75">
        <f>PARAM!$C$26+MAX($G$16-CHOOSE(PARAM!$B$44,MAX(0,BF881*$F$1),0),0)*RATES!$L858/12+$H$16*(PARAM!$D$51/12)*RATES!$N858/100</f>
        <v>1190.0416666666667</v>
      </c>
      <c r="BF882" s="16">
        <f t="shared" si="598"/>
        <v>-217959.25522809054</v>
      </c>
      <c r="BG882" s="15">
        <f t="shared" si="573"/>
        <v>22.170849845882874</v>
      </c>
      <c r="BH882" s="75">
        <f>BG882*(1-PARAM!$C$27)*$I$17+(MOD($B882,60)=PARAM!$B$56)*($B882&gt;(60-PARAM!$B$56))*HLOOKUP(($B882+PARAM!$B$56)/12,Loyalty,2)*$F$1*MAX(BJ881,0)</f>
        <v>18.557001321003963</v>
      </c>
      <c r="BI882" s="75">
        <f>PARAM!$C$26+MAX($G$17-CHOOSE(PARAM!$B$44,MAX(0,BJ881*$F$1),0),0)*RATES!$L858/12+$H$17*(PARAM!$D$51/12)*RATES!$N858/100</f>
        <v>1190.0416666666667</v>
      </c>
      <c r="BJ882" s="16">
        <f t="shared" si="599"/>
        <v>-217959.25522809054</v>
      </c>
      <c r="BK882" s="15">
        <f t="shared" si="574"/>
        <v>22.170849845882874</v>
      </c>
      <c r="BL882" s="75">
        <f>BK882*(1-PARAM!$C$27)*$I$18+(MOD($B882,60)=PARAM!$B$56)*($B882&gt;(60-PARAM!$B$56))*HLOOKUP(($B882+PARAM!$B$56)/12,Loyalty,2)*$F$1*MAX(BN881,0)</f>
        <v>18.557001321003963</v>
      </c>
      <c r="BM882" s="75">
        <f>PARAM!$C$26+MAX($G$18-CHOOSE(PARAM!$B$44,MAX(0,BN881*$F$1),0),0)*RATES!$L858/12+$H$18*(PARAM!$D$51/12)*RATES!$N858/100</f>
        <v>1190.0416666666667</v>
      </c>
      <c r="BN882" s="16">
        <f t="shared" si="600"/>
        <v>-217959.25522809054</v>
      </c>
      <c r="BO882" s="15">
        <f t="shared" si="575"/>
        <v>22.170849845882874</v>
      </c>
      <c r="BP882" s="75">
        <f>BO882*(1-PARAM!$C$27)*$I$19+(MOD($B882,60)=PARAM!$B$56)*($B882&gt;(60-PARAM!$B$56))*HLOOKUP(($B882+PARAM!$B$56)/12,Loyalty,2)*$F$1*MAX(BR881,0)</f>
        <v>18.557001321003963</v>
      </c>
      <c r="BQ882" s="75">
        <f>PARAM!$C$26+MAX($G$19-CHOOSE(PARAM!$B$44,MAX(0,BR881*$F$1),0),0)*RATES!$L858/12+$H$19*(PARAM!$D$51/12)*RATES!$N858/100</f>
        <v>1190.0416666666667</v>
      </c>
      <c r="BR882" s="16">
        <f t="shared" si="601"/>
        <v>-217959.25522809054</v>
      </c>
      <c r="BS882" s="15">
        <f t="shared" si="576"/>
        <v>22.170849845882874</v>
      </c>
      <c r="BT882" s="75">
        <f>BS882*(1-PARAM!$C$27)*$I$20+(MOD($B882,60)=PARAM!$B$56)*($B882&gt;(60-PARAM!$B$56))*HLOOKUP(($B882+PARAM!$B$56)/12,Loyalty,2)*$F$1*MAX(BV881,0)</f>
        <v>18.557001321003963</v>
      </c>
      <c r="BU882" s="75">
        <f>PARAM!$C$26+MAX($G$20-CHOOSE(PARAM!$B$44,MAX(0,BV881*$F$1),0),0)*RATES!$L858/12+$H$20*(PARAM!$D$51/12)*RATES!$N858/100</f>
        <v>1190.0416666666667</v>
      </c>
      <c r="BV882" s="16">
        <f t="shared" si="602"/>
        <v>-217959.25522809054</v>
      </c>
      <c r="BW882" s="15">
        <f t="shared" si="577"/>
        <v>22.170849845882874</v>
      </c>
      <c r="BX882" s="75">
        <f>BW882*(1-PARAM!$C$27)*$I$21+(MOD($B882,60)=PARAM!$B$56)*($B882&gt;(60-PARAM!$B$56))*HLOOKUP(($B882+PARAM!$B$56)/12,Loyalty,2)*$F$1*MAX(BZ881,0)</f>
        <v>18.557001321003963</v>
      </c>
      <c r="BY882" s="75">
        <f>PARAM!$C$26+MAX($G$21-CHOOSE(PARAM!$B$44,MAX(0,BZ881*$F$1),0),0)*RATES!$L858/12+$H$21*(PARAM!$D$51/12)*RATES!$N858/100</f>
        <v>1190.0416666666667</v>
      </c>
      <c r="BZ882" s="16">
        <f t="shared" si="603"/>
        <v>-217959.25522809054</v>
      </c>
      <c r="CA882" s="15">
        <f t="shared" si="578"/>
        <v>22.170849845882874</v>
      </c>
      <c r="CB882" s="75">
        <f>CA882*(1-PARAM!$C$27)*$I$22+(MOD($B882,60)=PARAM!$B$56)*($B882&gt;(60-PARAM!$B$56))*HLOOKUP(($B882+PARAM!$B$56)/12,Loyalty,2)*$F$1*MAX(CD881,0)</f>
        <v>18.557001321003963</v>
      </c>
      <c r="CC882" s="75">
        <f>PARAM!$C$26+MAX($G$22-CHOOSE(PARAM!$B$44,MAX(0,CD881*$F$1),0),0)*RATES!$L858/12+$H$22*(PARAM!$D$51/12)*RATES!$N858/100</f>
        <v>1190.0416666666667</v>
      </c>
      <c r="CD882" s="16">
        <f t="shared" si="604"/>
        <v>-217959.25522809054</v>
      </c>
      <c r="CE882" s="33">
        <f>IF(0=MOD(B882,12/PARAM!$D$51),1,0)</f>
        <v>1</v>
      </c>
      <c r="CF882" s="15">
        <f t="shared" si="579"/>
        <v>0</v>
      </c>
      <c r="CG882" s="75">
        <f>CF882*(1-PARAM!$C$27)*$R$3+(MOD($B882/12,5)=0)*($B882&gt;60)*HLOOKUP($B882/12,Loyalty,2)*$F$1*MAX(CI881,0)</f>
        <v>0</v>
      </c>
      <c r="CH882" s="75">
        <f>PARAM!$C$26+MAX($P$3-CHOOSE(PARAM!$B$44,MAX(0,CI881*$F$1),0),0)*RATES!$L858/12+$Q$3*(PARAM!$D$51/12)*RATES!$N858/100</f>
        <v>1190.0416666666667</v>
      </c>
      <c r="CI882" s="16">
        <f>IF(CI881&gt;0,CI881*PARAM!$C$53,CI881)+CG882-CH882</f>
        <v>-233705.91666666651</v>
      </c>
      <c r="CJ882" s="15">
        <f t="shared" si="605"/>
        <v>0</v>
      </c>
      <c r="CK882" s="75">
        <f>CJ882*(1-PARAM!$C$27)*$R$4+(MOD($B882/12,5)=0)*($B882&gt;60)*HLOOKUP($B882/12,Loyalty,2)*$F$1*MAX(CM881,0)</f>
        <v>0</v>
      </c>
      <c r="CL882" s="75">
        <f>PARAM!$C$26+MAX($P$4-CHOOSE(PARAM!$B$44,MAX(0,CM881*$F$1),0),0)*RATES!$L858/12+$Q$4*(PARAM!$D$51/12)*RATES!$N858/100</f>
        <v>1190.0416666666667</v>
      </c>
      <c r="CM882" s="16">
        <f>IF(CM881&gt;0,CM881*PARAM!$C$53,CM881)+CK882-CL882</f>
        <v>-233705.91666666651</v>
      </c>
      <c r="CO882" s="176"/>
    </row>
    <row r="883" spans="1:93" x14ac:dyDescent="0.2">
      <c r="A883" t="b">
        <f t="shared" si="580"/>
        <v>0</v>
      </c>
      <c r="B883" s="33">
        <v>856</v>
      </c>
      <c r="C883" s="15">
        <f t="shared" si="581"/>
        <v>20.081305947392778</v>
      </c>
      <c r="D883" s="75">
        <f>C883*(1-PARAM!$C$27)*$I$3+(MOD($B883,60)=PARAM!$B$56)*($B883&gt;(60-PARAM!$B$56))*HLOOKUP(($B883+PARAM!$B$56)/12,Loyalty,2)*$F$1*MAX(F882,0)</f>
        <v>16.808053077967756</v>
      </c>
      <c r="E883" s="75">
        <f>PARAM!$C$26+MAX($G$3-CHOOSE(PARAM!$B$44,MAX(0,F882*$F$1),0),0)*RATES!$L859/12+$H$3*(PARAM!$D$51/12)*RATES!$N859/100</f>
        <v>1190.0416666666667</v>
      </c>
      <c r="F883" s="16">
        <f t="shared" si="582"/>
        <v>-220664.69008999711</v>
      </c>
      <c r="G883" s="15">
        <f t="shared" si="583"/>
        <v>22.035289406060361</v>
      </c>
      <c r="H883" s="75">
        <f>G883*(1-PARAM!$C$27)*$I$4+(MOD($B883,60)=PARAM!$B$56)*($B883&gt;(60-PARAM!$B$56))*HLOOKUP(($B883+PARAM!$B$56)/12,Loyalty,2)*$F$1*MAX(J882,0)</f>
        <v>18.443537232872522</v>
      </c>
      <c r="I883" s="75">
        <f>PARAM!$C$26+MAX($G$4-CHOOSE(PARAM!$B$44,MAX(0,J882*$F$1),0),0)*RATES!$L859/12+$H$4*(PARAM!$D$51/12)*RATES!$N859/100</f>
        <v>1190.0416666666667</v>
      </c>
      <c r="J883" s="16">
        <f t="shared" si="584"/>
        <v>-219230.88268927584</v>
      </c>
      <c r="K883" s="15">
        <f t="shared" si="585"/>
        <v>22.170849845882874</v>
      </c>
      <c r="L883" s="75">
        <f>K883*(1-PARAM!$C$27)*$I$5+(MOD($B883,60)=PARAM!$B$56)*($B883&gt;(60-PARAM!$B$56))*HLOOKUP(($B883+PARAM!$B$56)/12,Loyalty,2)*$F$1*MAX(N882,0)</f>
        <v>18.557001321003963</v>
      </c>
      <c r="M883" s="75">
        <f>PARAM!$C$26+MAX($G$5-CHOOSE(PARAM!$B$44,MAX(0,N882*$F$1),0),0)*RATES!$L859/12+$H$5*(PARAM!$D$51/12)*RATES!$N859/100</f>
        <v>1190.0416666666667</v>
      </c>
      <c r="N883" s="16">
        <f t="shared" si="586"/>
        <v>-219130.7398934362</v>
      </c>
      <c r="O883" s="15">
        <f t="shared" si="587"/>
        <v>22.170849845882874</v>
      </c>
      <c r="P883" s="75">
        <f>O883*(1-PARAM!$C$27)*$I$6+(MOD($B883,60)=PARAM!$B$56)*($B883&gt;(60-PARAM!$B$56))*HLOOKUP(($B883+PARAM!$B$56)/12,Loyalty,2)*$F$1*MAX(R882,0)</f>
        <v>18.557001321003963</v>
      </c>
      <c r="Q883" s="75">
        <f>PARAM!$C$26+MAX($G$6-CHOOSE(PARAM!$B$44,MAX(0,R882*$F$1),0),0)*RATES!$L859/12+$H$6*(PARAM!$D$51/12)*RATES!$N859/100</f>
        <v>1190.0416666666667</v>
      </c>
      <c r="R883" s="16">
        <f t="shared" si="588"/>
        <v>-219130.7398934362</v>
      </c>
      <c r="S883" s="15">
        <f t="shared" si="563"/>
        <v>22.170849845882874</v>
      </c>
      <c r="T883" s="75">
        <f>S883*(1-PARAM!$C$27)*$I$7+(MOD($B883,60)=PARAM!$B$56)*($B883&gt;(60-PARAM!$B$56))*HLOOKUP(($B883+PARAM!$B$56)/12,Loyalty,2)*$F$1*MAX(V882,0)</f>
        <v>18.557001321003963</v>
      </c>
      <c r="U883" s="75">
        <f>PARAM!$C$26+MAX($G$7-CHOOSE(PARAM!$B$44,MAX(0,V882*$F$1),0),0)*RATES!$L859/12+$H$7*(PARAM!$D$51/12)*RATES!$N859/100</f>
        <v>1190.0416666666667</v>
      </c>
      <c r="V883" s="16">
        <f t="shared" si="589"/>
        <v>-219130.7398934362</v>
      </c>
      <c r="W883" s="15">
        <f t="shared" si="564"/>
        <v>22.170849845882874</v>
      </c>
      <c r="X883" s="75">
        <f>W883*(1-PARAM!$C$27)*$I$8+(MOD($B883,60)=PARAM!$B$56)*($B883&gt;(60-PARAM!$B$56))*HLOOKUP(($B883+PARAM!$B$56)/12,Loyalty,2)*$F$1*MAX(Z882,0)</f>
        <v>18.557001321003963</v>
      </c>
      <c r="Y883" s="75">
        <f>PARAM!$C$26+MAX($G$8-CHOOSE(PARAM!$B$44,MAX(0,Z882*$F$1),0),0)*RATES!$L859/12+$H$8*(PARAM!$D$51/12)*RATES!$N859/100</f>
        <v>1190.0416666666667</v>
      </c>
      <c r="Z883" s="16">
        <f t="shared" si="590"/>
        <v>-219130.7398934362</v>
      </c>
      <c r="AA883" s="15">
        <f t="shared" si="565"/>
        <v>22.170849845882874</v>
      </c>
      <c r="AB883" s="75">
        <f>AA883*(1-PARAM!$C$27)*$I$9+(MOD($B883,60)=PARAM!$B$56)*($B883&gt;(60-PARAM!$B$56))*HLOOKUP(($B883+PARAM!$B$56)/12,Loyalty,2)*$F$1*MAX(AD882,0)</f>
        <v>18.557001321003963</v>
      </c>
      <c r="AC883" s="75">
        <f>PARAM!$C$26+MAX($G$9-CHOOSE(PARAM!$B$44,MAX(0,AD882*$F$1),0),0)*RATES!$L859/12+$H$9*(PARAM!$D$51/12)*RATES!$N859/100</f>
        <v>1190.0416666666667</v>
      </c>
      <c r="AD883" s="16">
        <f t="shared" si="591"/>
        <v>-219130.7398934362</v>
      </c>
      <c r="AE883" s="15">
        <f t="shared" si="566"/>
        <v>22.170849845882874</v>
      </c>
      <c r="AF883" s="75">
        <f>AE883*(1-PARAM!$C$27)*$I$10+(MOD($B883,60)=PARAM!$B$56)*($B883&gt;(60-PARAM!$B$56))*HLOOKUP(($B883+PARAM!$B$56)/12,Loyalty,2)*$F$1*MAX(AH882,0)</f>
        <v>18.557001321003963</v>
      </c>
      <c r="AG883" s="75">
        <f>PARAM!$C$26+MAX($G$10-CHOOSE(PARAM!$B$44,MAX(0,AH882*$F$1),0),0)*RATES!$L859/12+$H$10*(PARAM!$D$51/12)*RATES!$N859/100</f>
        <v>1190.0416666666667</v>
      </c>
      <c r="AH883" s="16">
        <f t="shared" si="592"/>
        <v>-219130.7398934362</v>
      </c>
      <c r="AI883" s="15">
        <f t="shared" si="567"/>
        <v>22.170849845882874</v>
      </c>
      <c r="AJ883" s="75">
        <f>AI883*(1-PARAM!$C$27)*$I$11+(MOD($B883,60)=PARAM!$B$56)*($B883&gt;(60-PARAM!$B$56))*HLOOKUP(($B883+PARAM!$B$56)/12,Loyalty,2)*$F$1*MAX(AL882,0)</f>
        <v>18.557001321003963</v>
      </c>
      <c r="AK883" s="75">
        <f>PARAM!$C$26+MAX($G$11-CHOOSE(PARAM!$B$44,MAX(0,AL882*$F$1),0),0)*RATES!$L859/12+$H$11*(PARAM!$D$51/12)*RATES!$N859/100</f>
        <v>1190.0416666666667</v>
      </c>
      <c r="AL883" s="16">
        <f t="shared" si="593"/>
        <v>-219130.7398934362</v>
      </c>
      <c r="AM883" s="15">
        <f t="shared" si="568"/>
        <v>22.170849845882874</v>
      </c>
      <c r="AN883" s="75">
        <f>AM883*(1-PARAM!$C$27)*$I$12+(MOD($B883,60)=PARAM!$B$56)*($B883&gt;(60-PARAM!$B$56))*HLOOKUP(($B883+PARAM!$B$56)/12,Loyalty,2)*$F$1*MAX(AP882,0)</f>
        <v>18.557001321003963</v>
      </c>
      <c r="AO883" s="75">
        <f>PARAM!$C$26+MAX($G$12-CHOOSE(PARAM!$B$44,MAX(0,AP882*$F$1),0),0)*RATES!$L859/12+$H$12*(PARAM!$D$51/12)*RATES!$N859/100</f>
        <v>1190.0416666666667</v>
      </c>
      <c r="AP883" s="16">
        <f t="shared" si="594"/>
        <v>-219130.7398934362</v>
      </c>
      <c r="AQ883" s="15">
        <f t="shared" si="569"/>
        <v>22.170849845882874</v>
      </c>
      <c r="AR883" s="75">
        <f>AQ883*(1-PARAM!$C$27)*$I$13+(MOD($B883,60)=PARAM!$B$56)*($B883&gt;(60-PARAM!$B$56))*HLOOKUP(($B883+PARAM!$B$56)/12,Loyalty,2)*$F$1*MAX(AT882,0)</f>
        <v>18.557001321003963</v>
      </c>
      <c r="AS883" s="75">
        <f>PARAM!$C$26+MAX($G$13-CHOOSE(PARAM!$B$44,MAX(0,AT882*$F$1),0),0)*RATES!$L859/12+$H$13*(PARAM!$D$51/12)*RATES!$N859/100</f>
        <v>1190.0416666666667</v>
      </c>
      <c r="AT883" s="16">
        <f t="shared" si="595"/>
        <v>-219130.7398934362</v>
      </c>
      <c r="AU883" s="15">
        <f t="shared" si="570"/>
        <v>22.170849845882874</v>
      </c>
      <c r="AV883" s="75">
        <f>AU883*(1-PARAM!$C$27)*$I$14+(MOD($B883,60)=PARAM!$B$56)*($B883&gt;(60-PARAM!$B$56))*HLOOKUP(($B883+PARAM!$B$56)/12,Loyalty,2)*$F$1*MAX(AX882,0)</f>
        <v>18.557001321003963</v>
      </c>
      <c r="AW883" s="75">
        <f>PARAM!$C$26+MAX($G$14-CHOOSE(PARAM!$B$44,MAX(0,AX882*$F$1),0),0)*RATES!$L859/12+$H$14*(PARAM!$D$51/12)*RATES!$N859/100</f>
        <v>1190.0416666666667</v>
      </c>
      <c r="AX883" s="16">
        <f t="shared" si="596"/>
        <v>-219130.7398934362</v>
      </c>
      <c r="AY883" s="15">
        <f t="shared" si="571"/>
        <v>22.170849845882874</v>
      </c>
      <c r="AZ883" s="75">
        <f>AY883*(1-PARAM!$C$27)*$I$15+(MOD($B883,60)=PARAM!$B$56)*($B883&gt;(60-PARAM!$B$56))*HLOOKUP(($B883+PARAM!$B$56)/12,Loyalty,2)*$F$1*MAX(BB882,0)</f>
        <v>18.557001321003963</v>
      </c>
      <c r="BA883" s="75">
        <f>PARAM!$C$26+MAX($G$15-CHOOSE(PARAM!$B$44,MAX(0,BB882*$F$1),0),0)*RATES!$L859/12+$H$15*(PARAM!$D$51/12)*RATES!$N859/100</f>
        <v>1190.0416666666667</v>
      </c>
      <c r="BB883" s="16">
        <f t="shared" si="597"/>
        <v>-219130.7398934362</v>
      </c>
      <c r="BC883" s="15">
        <f t="shared" si="572"/>
        <v>22.170849845882874</v>
      </c>
      <c r="BD883" s="75">
        <f>BC883*(1-PARAM!$C$27)*$I$16+(MOD($B883,60)=PARAM!$B$56)*($B883&gt;(60-PARAM!$B$56))*HLOOKUP(($B883+PARAM!$B$56)/12,Loyalty,2)*$F$1*MAX(BF882,0)</f>
        <v>18.557001321003963</v>
      </c>
      <c r="BE883" s="75">
        <f>PARAM!$C$26+MAX($G$16-CHOOSE(PARAM!$B$44,MAX(0,BF882*$F$1),0),0)*RATES!$L859/12+$H$16*(PARAM!$D$51/12)*RATES!$N859/100</f>
        <v>1190.0416666666667</v>
      </c>
      <c r="BF883" s="16">
        <f t="shared" si="598"/>
        <v>-219130.7398934362</v>
      </c>
      <c r="BG883" s="15">
        <f t="shared" si="573"/>
        <v>22.170849845882874</v>
      </c>
      <c r="BH883" s="75">
        <f>BG883*(1-PARAM!$C$27)*$I$17+(MOD($B883,60)=PARAM!$B$56)*($B883&gt;(60-PARAM!$B$56))*HLOOKUP(($B883+PARAM!$B$56)/12,Loyalty,2)*$F$1*MAX(BJ882,0)</f>
        <v>18.557001321003963</v>
      </c>
      <c r="BI883" s="75">
        <f>PARAM!$C$26+MAX($G$17-CHOOSE(PARAM!$B$44,MAX(0,BJ882*$F$1),0),0)*RATES!$L859/12+$H$17*(PARAM!$D$51/12)*RATES!$N859/100</f>
        <v>1190.0416666666667</v>
      </c>
      <c r="BJ883" s="16">
        <f t="shared" si="599"/>
        <v>-219130.7398934362</v>
      </c>
      <c r="BK883" s="15">
        <f t="shared" si="574"/>
        <v>22.170849845882874</v>
      </c>
      <c r="BL883" s="75">
        <f>BK883*(1-PARAM!$C$27)*$I$18+(MOD($B883,60)=PARAM!$B$56)*($B883&gt;(60-PARAM!$B$56))*HLOOKUP(($B883+PARAM!$B$56)/12,Loyalty,2)*$F$1*MAX(BN882,0)</f>
        <v>18.557001321003963</v>
      </c>
      <c r="BM883" s="75">
        <f>PARAM!$C$26+MAX($G$18-CHOOSE(PARAM!$B$44,MAX(0,BN882*$F$1),0),0)*RATES!$L859/12+$H$18*(PARAM!$D$51/12)*RATES!$N859/100</f>
        <v>1190.0416666666667</v>
      </c>
      <c r="BN883" s="16">
        <f t="shared" si="600"/>
        <v>-219130.7398934362</v>
      </c>
      <c r="BO883" s="15">
        <f t="shared" si="575"/>
        <v>22.170849845882874</v>
      </c>
      <c r="BP883" s="75">
        <f>BO883*(1-PARAM!$C$27)*$I$19+(MOD($B883,60)=PARAM!$B$56)*($B883&gt;(60-PARAM!$B$56))*HLOOKUP(($B883+PARAM!$B$56)/12,Loyalty,2)*$F$1*MAX(BR882,0)</f>
        <v>18.557001321003963</v>
      </c>
      <c r="BQ883" s="75">
        <f>PARAM!$C$26+MAX($G$19-CHOOSE(PARAM!$B$44,MAX(0,BR882*$F$1),0),0)*RATES!$L859/12+$H$19*(PARAM!$D$51/12)*RATES!$N859/100</f>
        <v>1190.0416666666667</v>
      </c>
      <c r="BR883" s="16">
        <f t="shared" si="601"/>
        <v>-219130.7398934362</v>
      </c>
      <c r="BS883" s="15">
        <f t="shared" si="576"/>
        <v>22.170849845882874</v>
      </c>
      <c r="BT883" s="75">
        <f>BS883*(1-PARAM!$C$27)*$I$20+(MOD($B883,60)=PARAM!$B$56)*($B883&gt;(60-PARAM!$B$56))*HLOOKUP(($B883+PARAM!$B$56)/12,Loyalty,2)*$F$1*MAX(BV882,0)</f>
        <v>18.557001321003963</v>
      </c>
      <c r="BU883" s="75">
        <f>PARAM!$C$26+MAX($G$20-CHOOSE(PARAM!$B$44,MAX(0,BV882*$F$1),0),0)*RATES!$L859/12+$H$20*(PARAM!$D$51/12)*RATES!$N859/100</f>
        <v>1190.0416666666667</v>
      </c>
      <c r="BV883" s="16">
        <f t="shared" si="602"/>
        <v>-219130.7398934362</v>
      </c>
      <c r="BW883" s="15">
        <f t="shared" si="577"/>
        <v>22.170849845882874</v>
      </c>
      <c r="BX883" s="75">
        <f>BW883*(1-PARAM!$C$27)*$I$21+(MOD($B883,60)=PARAM!$B$56)*($B883&gt;(60-PARAM!$B$56))*HLOOKUP(($B883+PARAM!$B$56)/12,Loyalty,2)*$F$1*MAX(BZ882,0)</f>
        <v>18.557001321003963</v>
      </c>
      <c r="BY883" s="75">
        <f>PARAM!$C$26+MAX($G$21-CHOOSE(PARAM!$B$44,MAX(0,BZ882*$F$1),0),0)*RATES!$L859/12+$H$21*(PARAM!$D$51/12)*RATES!$N859/100</f>
        <v>1190.0416666666667</v>
      </c>
      <c r="BZ883" s="16">
        <f t="shared" si="603"/>
        <v>-219130.7398934362</v>
      </c>
      <c r="CA883" s="15">
        <f t="shared" si="578"/>
        <v>22.170849845882874</v>
      </c>
      <c r="CB883" s="75">
        <f>CA883*(1-PARAM!$C$27)*$I$22+(MOD($B883,60)=PARAM!$B$56)*($B883&gt;(60-PARAM!$B$56))*HLOOKUP(($B883+PARAM!$B$56)/12,Loyalty,2)*$F$1*MAX(CD882,0)</f>
        <v>18.557001321003963</v>
      </c>
      <c r="CC883" s="75">
        <f>PARAM!$C$26+MAX($G$22-CHOOSE(PARAM!$B$44,MAX(0,CD882*$F$1),0),0)*RATES!$L859/12+$H$22*(PARAM!$D$51/12)*RATES!$N859/100</f>
        <v>1190.0416666666667</v>
      </c>
      <c r="CD883" s="16">
        <f t="shared" si="604"/>
        <v>-219130.7398934362</v>
      </c>
      <c r="CE883" s="33">
        <f>IF(0=MOD(B883,12/PARAM!$D$51),1,0)</f>
        <v>1</v>
      </c>
      <c r="CF883" s="15">
        <f t="shared" si="579"/>
        <v>0</v>
      </c>
      <c r="CG883" s="75">
        <f>CF883*(1-PARAM!$C$27)*$R$3+(MOD($B883/12,5)=0)*($B883&gt;60)*HLOOKUP($B883/12,Loyalty,2)*$F$1*MAX(CI882,0)</f>
        <v>0</v>
      </c>
      <c r="CH883" s="75">
        <f>PARAM!$C$26+MAX($P$3-CHOOSE(PARAM!$B$44,MAX(0,CI882*$F$1),0),0)*RATES!$L859/12+$Q$3*(PARAM!$D$51/12)*RATES!$N859/100</f>
        <v>1190.0416666666667</v>
      </c>
      <c r="CI883" s="16">
        <f>IF(CI882&gt;0,CI882*PARAM!$C$53,CI882)+CG883-CH883</f>
        <v>-234895.95833333317</v>
      </c>
      <c r="CJ883" s="15">
        <f t="shared" si="605"/>
        <v>0</v>
      </c>
      <c r="CK883" s="75">
        <f>CJ883*(1-PARAM!$C$27)*$R$4+(MOD($B883/12,5)=0)*($B883&gt;60)*HLOOKUP($B883/12,Loyalty,2)*$F$1*MAX(CM882,0)</f>
        <v>0</v>
      </c>
      <c r="CL883" s="75">
        <f>PARAM!$C$26+MAX($P$4-CHOOSE(PARAM!$B$44,MAX(0,CM882*$F$1),0),0)*RATES!$L859/12+$Q$4*(PARAM!$D$51/12)*RATES!$N859/100</f>
        <v>1190.0416666666667</v>
      </c>
      <c r="CM883" s="16">
        <f>IF(CM882&gt;0,CM882*PARAM!$C$53,CM882)+CK883-CL883</f>
        <v>-234895.95833333317</v>
      </c>
      <c r="CO883" s="176"/>
    </row>
    <row r="884" spans="1:93" x14ac:dyDescent="0.2">
      <c r="A884" t="b">
        <f t="shared" si="580"/>
        <v>0</v>
      </c>
      <c r="B884" s="33">
        <v>857</v>
      </c>
      <c r="C884" s="15">
        <f t="shared" si="581"/>
        <v>20.081305947392778</v>
      </c>
      <c r="D884" s="75">
        <f>C884*(1-PARAM!$C$27)*$I$3+(MOD($B884,60)=PARAM!$B$56)*($B884&gt;(60-PARAM!$B$56))*HLOOKUP(($B884+PARAM!$B$56)/12,Loyalty,2)*$F$1*MAX(F883,0)</f>
        <v>16.808053077967756</v>
      </c>
      <c r="E884" s="75">
        <f>PARAM!$C$26+MAX($G$3-CHOOSE(PARAM!$B$44,MAX(0,F883*$F$1),0),0)*RATES!$L860/12+$H$3*(PARAM!$D$51/12)*RATES!$N860/100</f>
        <v>1190.0416666666667</v>
      </c>
      <c r="F884" s="16">
        <f t="shared" si="582"/>
        <v>-221837.92370358581</v>
      </c>
      <c r="G884" s="15">
        <f t="shared" si="583"/>
        <v>22.035289406060361</v>
      </c>
      <c r="H884" s="75">
        <f>G884*(1-PARAM!$C$27)*$I$4+(MOD($B884,60)=PARAM!$B$56)*($B884&gt;(60-PARAM!$B$56))*HLOOKUP(($B884+PARAM!$B$56)/12,Loyalty,2)*$F$1*MAX(J883,0)</f>
        <v>18.443537232872522</v>
      </c>
      <c r="I884" s="75">
        <f>PARAM!$C$26+MAX($G$4-CHOOSE(PARAM!$B$44,MAX(0,J883*$F$1),0),0)*RATES!$L860/12+$H$4*(PARAM!$D$51/12)*RATES!$N860/100</f>
        <v>1190.0416666666667</v>
      </c>
      <c r="J884" s="16">
        <f t="shared" si="584"/>
        <v>-220402.48081870962</v>
      </c>
      <c r="K884" s="15">
        <f t="shared" si="585"/>
        <v>22.170849845882874</v>
      </c>
      <c r="L884" s="75">
        <f>K884*(1-PARAM!$C$27)*$I$5+(MOD($B884,60)=PARAM!$B$56)*($B884&gt;(60-PARAM!$B$56))*HLOOKUP(($B884+PARAM!$B$56)/12,Loyalty,2)*$F$1*MAX(N883,0)</f>
        <v>18.557001321003963</v>
      </c>
      <c r="M884" s="75">
        <f>PARAM!$C$26+MAX($G$5-CHOOSE(PARAM!$B$44,MAX(0,N883*$F$1),0),0)*RATES!$L860/12+$H$5*(PARAM!$D$51/12)*RATES!$N860/100</f>
        <v>1190.0416666666667</v>
      </c>
      <c r="N884" s="16">
        <f t="shared" si="586"/>
        <v>-220302.22455878186</v>
      </c>
      <c r="O884" s="15">
        <f t="shared" si="587"/>
        <v>22.170849845882874</v>
      </c>
      <c r="P884" s="75">
        <f>O884*(1-PARAM!$C$27)*$I$6+(MOD($B884,60)=PARAM!$B$56)*($B884&gt;(60-PARAM!$B$56))*HLOOKUP(($B884+PARAM!$B$56)/12,Loyalty,2)*$F$1*MAX(R883,0)</f>
        <v>18.557001321003963</v>
      </c>
      <c r="Q884" s="75">
        <f>PARAM!$C$26+MAX($G$6-CHOOSE(PARAM!$B$44,MAX(0,R883*$F$1),0),0)*RATES!$L860/12+$H$6*(PARAM!$D$51/12)*RATES!$N860/100</f>
        <v>1190.0416666666667</v>
      </c>
      <c r="R884" s="16">
        <f t="shared" si="588"/>
        <v>-220302.22455878186</v>
      </c>
      <c r="S884" s="15">
        <f t="shared" si="563"/>
        <v>22.170849845882874</v>
      </c>
      <c r="T884" s="75">
        <f>S884*(1-PARAM!$C$27)*$I$7+(MOD($B884,60)=PARAM!$B$56)*($B884&gt;(60-PARAM!$B$56))*HLOOKUP(($B884+PARAM!$B$56)/12,Loyalty,2)*$F$1*MAX(V883,0)</f>
        <v>18.557001321003963</v>
      </c>
      <c r="U884" s="75">
        <f>PARAM!$C$26+MAX($G$7-CHOOSE(PARAM!$B$44,MAX(0,V883*$F$1),0),0)*RATES!$L860/12+$H$7*(PARAM!$D$51/12)*RATES!$N860/100</f>
        <v>1190.0416666666667</v>
      </c>
      <c r="V884" s="16">
        <f t="shared" si="589"/>
        <v>-220302.22455878186</v>
      </c>
      <c r="W884" s="15">
        <f t="shared" si="564"/>
        <v>22.170849845882874</v>
      </c>
      <c r="X884" s="75">
        <f>W884*(1-PARAM!$C$27)*$I$8+(MOD($B884,60)=PARAM!$B$56)*($B884&gt;(60-PARAM!$B$56))*HLOOKUP(($B884+PARAM!$B$56)/12,Loyalty,2)*$F$1*MAX(Z883,0)</f>
        <v>18.557001321003963</v>
      </c>
      <c r="Y884" s="75">
        <f>PARAM!$C$26+MAX($G$8-CHOOSE(PARAM!$B$44,MAX(0,Z883*$F$1),0),0)*RATES!$L860/12+$H$8*(PARAM!$D$51/12)*RATES!$N860/100</f>
        <v>1190.0416666666667</v>
      </c>
      <c r="Z884" s="16">
        <f t="shared" si="590"/>
        <v>-220302.22455878186</v>
      </c>
      <c r="AA884" s="15">
        <f t="shared" si="565"/>
        <v>22.170849845882874</v>
      </c>
      <c r="AB884" s="75">
        <f>AA884*(1-PARAM!$C$27)*$I$9+(MOD($B884,60)=PARAM!$B$56)*($B884&gt;(60-PARAM!$B$56))*HLOOKUP(($B884+PARAM!$B$56)/12,Loyalty,2)*$F$1*MAX(AD883,0)</f>
        <v>18.557001321003963</v>
      </c>
      <c r="AC884" s="75">
        <f>PARAM!$C$26+MAX($G$9-CHOOSE(PARAM!$B$44,MAX(0,AD883*$F$1),0),0)*RATES!$L860/12+$H$9*(PARAM!$D$51/12)*RATES!$N860/100</f>
        <v>1190.0416666666667</v>
      </c>
      <c r="AD884" s="16">
        <f t="shared" si="591"/>
        <v>-220302.22455878186</v>
      </c>
      <c r="AE884" s="15">
        <f t="shared" si="566"/>
        <v>22.170849845882874</v>
      </c>
      <c r="AF884" s="75">
        <f>AE884*(1-PARAM!$C$27)*$I$10+(MOD($B884,60)=PARAM!$B$56)*($B884&gt;(60-PARAM!$B$56))*HLOOKUP(($B884+PARAM!$B$56)/12,Loyalty,2)*$F$1*MAX(AH883,0)</f>
        <v>18.557001321003963</v>
      </c>
      <c r="AG884" s="75">
        <f>PARAM!$C$26+MAX($G$10-CHOOSE(PARAM!$B$44,MAX(0,AH883*$F$1),0),0)*RATES!$L860/12+$H$10*(PARAM!$D$51/12)*RATES!$N860/100</f>
        <v>1190.0416666666667</v>
      </c>
      <c r="AH884" s="16">
        <f t="shared" si="592"/>
        <v>-220302.22455878186</v>
      </c>
      <c r="AI884" s="15">
        <f t="shared" si="567"/>
        <v>22.170849845882874</v>
      </c>
      <c r="AJ884" s="75">
        <f>AI884*(1-PARAM!$C$27)*$I$11+(MOD($B884,60)=PARAM!$B$56)*($B884&gt;(60-PARAM!$B$56))*HLOOKUP(($B884+PARAM!$B$56)/12,Loyalty,2)*$F$1*MAX(AL883,0)</f>
        <v>18.557001321003963</v>
      </c>
      <c r="AK884" s="75">
        <f>PARAM!$C$26+MAX($G$11-CHOOSE(PARAM!$B$44,MAX(0,AL883*$F$1),0),0)*RATES!$L860/12+$H$11*(PARAM!$D$51/12)*RATES!$N860/100</f>
        <v>1190.0416666666667</v>
      </c>
      <c r="AL884" s="16">
        <f t="shared" si="593"/>
        <v>-220302.22455878186</v>
      </c>
      <c r="AM884" s="15">
        <f t="shared" si="568"/>
        <v>22.170849845882874</v>
      </c>
      <c r="AN884" s="75">
        <f>AM884*(1-PARAM!$C$27)*$I$12+(MOD($B884,60)=PARAM!$B$56)*($B884&gt;(60-PARAM!$B$56))*HLOOKUP(($B884+PARAM!$B$56)/12,Loyalty,2)*$F$1*MAX(AP883,0)</f>
        <v>18.557001321003963</v>
      </c>
      <c r="AO884" s="75">
        <f>PARAM!$C$26+MAX($G$12-CHOOSE(PARAM!$B$44,MAX(0,AP883*$F$1),0),0)*RATES!$L860/12+$H$12*(PARAM!$D$51/12)*RATES!$N860/100</f>
        <v>1190.0416666666667</v>
      </c>
      <c r="AP884" s="16">
        <f t="shared" si="594"/>
        <v>-220302.22455878186</v>
      </c>
      <c r="AQ884" s="15">
        <f t="shared" si="569"/>
        <v>22.170849845882874</v>
      </c>
      <c r="AR884" s="75">
        <f>AQ884*(1-PARAM!$C$27)*$I$13+(MOD($B884,60)=PARAM!$B$56)*($B884&gt;(60-PARAM!$B$56))*HLOOKUP(($B884+PARAM!$B$56)/12,Loyalty,2)*$F$1*MAX(AT883,0)</f>
        <v>18.557001321003963</v>
      </c>
      <c r="AS884" s="75">
        <f>PARAM!$C$26+MAX($G$13-CHOOSE(PARAM!$B$44,MAX(0,AT883*$F$1),0),0)*RATES!$L860/12+$H$13*(PARAM!$D$51/12)*RATES!$N860/100</f>
        <v>1190.0416666666667</v>
      </c>
      <c r="AT884" s="16">
        <f t="shared" si="595"/>
        <v>-220302.22455878186</v>
      </c>
      <c r="AU884" s="15">
        <f t="shared" si="570"/>
        <v>22.170849845882874</v>
      </c>
      <c r="AV884" s="75">
        <f>AU884*(1-PARAM!$C$27)*$I$14+(MOD($B884,60)=PARAM!$B$56)*($B884&gt;(60-PARAM!$B$56))*HLOOKUP(($B884+PARAM!$B$56)/12,Loyalty,2)*$F$1*MAX(AX883,0)</f>
        <v>18.557001321003963</v>
      </c>
      <c r="AW884" s="75">
        <f>PARAM!$C$26+MAX($G$14-CHOOSE(PARAM!$B$44,MAX(0,AX883*$F$1),0),0)*RATES!$L860/12+$H$14*(PARAM!$D$51/12)*RATES!$N860/100</f>
        <v>1190.0416666666667</v>
      </c>
      <c r="AX884" s="16">
        <f t="shared" si="596"/>
        <v>-220302.22455878186</v>
      </c>
      <c r="AY884" s="15">
        <f t="shared" si="571"/>
        <v>22.170849845882874</v>
      </c>
      <c r="AZ884" s="75">
        <f>AY884*(1-PARAM!$C$27)*$I$15+(MOD($B884,60)=PARAM!$B$56)*($B884&gt;(60-PARAM!$B$56))*HLOOKUP(($B884+PARAM!$B$56)/12,Loyalty,2)*$F$1*MAX(BB883,0)</f>
        <v>18.557001321003963</v>
      </c>
      <c r="BA884" s="75">
        <f>PARAM!$C$26+MAX($G$15-CHOOSE(PARAM!$B$44,MAX(0,BB883*$F$1),0),0)*RATES!$L860/12+$H$15*(PARAM!$D$51/12)*RATES!$N860/100</f>
        <v>1190.0416666666667</v>
      </c>
      <c r="BB884" s="16">
        <f t="shared" si="597"/>
        <v>-220302.22455878186</v>
      </c>
      <c r="BC884" s="15">
        <f t="shared" si="572"/>
        <v>22.170849845882874</v>
      </c>
      <c r="BD884" s="75">
        <f>BC884*(1-PARAM!$C$27)*$I$16+(MOD($B884,60)=PARAM!$B$56)*($B884&gt;(60-PARAM!$B$56))*HLOOKUP(($B884+PARAM!$B$56)/12,Loyalty,2)*$F$1*MAX(BF883,0)</f>
        <v>18.557001321003963</v>
      </c>
      <c r="BE884" s="75">
        <f>PARAM!$C$26+MAX($G$16-CHOOSE(PARAM!$B$44,MAX(0,BF883*$F$1),0),0)*RATES!$L860/12+$H$16*(PARAM!$D$51/12)*RATES!$N860/100</f>
        <v>1190.0416666666667</v>
      </c>
      <c r="BF884" s="16">
        <f t="shared" si="598"/>
        <v>-220302.22455878186</v>
      </c>
      <c r="BG884" s="15">
        <f t="shared" si="573"/>
        <v>22.170849845882874</v>
      </c>
      <c r="BH884" s="75">
        <f>BG884*(1-PARAM!$C$27)*$I$17+(MOD($B884,60)=PARAM!$B$56)*($B884&gt;(60-PARAM!$B$56))*HLOOKUP(($B884+PARAM!$B$56)/12,Loyalty,2)*$F$1*MAX(BJ883,0)</f>
        <v>18.557001321003963</v>
      </c>
      <c r="BI884" s="75">
        <f>PARAM!$C$26+MAX($G$17-CHOOSE(PARAM!$B$44,MAX(0,BJ883*$F$1),0),0)*RATES!$L860/12+$H$17*(PARAM!$D$51/12)*RATES!$N860/100</f>
        <v>1190.0416666666667</v>
      </c>
      <c r="BJ884" s="16">
        <f t="shared" si="599"/>
        <v>-220302.22455878186</v>
      </c>
      <c r="BK884" s="15">
        <f t="shared" si="574"/>
        <v>22.170849845882874</v>
      </c>
      <c r="BL884" s="75">
        <f>BK884*(1-PARAM!$C$27)*$I$18+(MOD($B884,60)=PARAM!$B$56)*($B884&gt;(60-PARAM!$B$56))*HLOOKUP(($B884+PARAM!$B$56)/12,Loyalty,2)*$F$1*MAX(BN883,0)</f>
        <v>18.557001321003963</v>
      </c>
      <c r="BM884" s="75">
        <f>PARAM!$C$26+MAX($G$18-CHOOSE(PARAM!$B$44,MAX(0,BN883*$F$1),0),0)*RATES!$L860/12+$H$18*(PARAM!$D$51/12)*RATES!$N860/100</f>
        <v>1190.0416666666667</v>
      </c>
      <c r="BN884" s="16">
        <f t="shared" si="600"/>
        <v>-220302.22455878186</v>
      </c>
      <c r="BO884" s="15">
        <f t="shared" si="575"/>
        <v>22.170849845882874</v>
      </c>
      <c r="BP884" s="75">
        <f>BO884*(1-PARAM!$C$27)*$I$19+(MOD($B884,60)=PARAM!$B$56)*($B884&gt;(60-PARAM!$B$56))*HLOOKUP(($B884+PARAM!$B$56)/12,Loyalty,2)*$F$1*MAX(BR883,0)</f>
        <v>18.557001321003963</v>
      </c>
      <c r="BQ884" s="75">
        <f>PARAM!$C$26+MAX($G$19-CHOOSE(PARAM!$B$44,MAX(0,BR883*$F$1),0),0)*RATES!$L860/12+$H$19*(PARAM!$D$51/12)*RATES!$N860/100</f>
        <v>1190.0416666666667</v>
      </c>
      <c r="BR884" s="16">
        <f t="shared" si="601"/>
        <v>-220302.22455878186</v>
      </c>
      <c r="BS884" s="15">
        <f t="shared" si="576"/>
        <v>22.170849845882874</v>
      </c>
      <c r="BT884" s="75">
        <f>BS884*(1-PARAM!$C$27)*$I$20+(MOD($B884,60)=PARAM!$B$56)*($B884&gt;(60-PARAM!$B$56))*HLOOKUP(($B884+PARAM!$B$56)/12,Loyalty,2)*$F$1*MAX(BV883,0)</f>
        <v>18.557001321003963</v>
      </c>
      <c r="BU884" s="75">
        <f>PARAM!$C$26+MAX($G$20-CHOOSE(PARAM!$B$44,MAX(0,BV883*$F$1),0),0)*RATES!$L860/12+$H$20*(PARAM!$D$51/12)*RATES!$N860/100</f>
        <v>1190.0416666666667</v>
      </c>
      <c r="BV884" s="16">
        <f t="shared" si="602"/>
        <v>-220302.22455878186</v>
      </c>
      <c r="BW884" s="15">
        <f t="shared" si="577"/>
        <v>22.170849845882874</v>
      </c>
      <c r="BX884" s="75">
        <f>BW884*(1-PARAM!$C$27)*$I$21+(MOD($B884,60)=PARAM!$B$56)*($B884&gt;(60-PARAM!$B$56))*HLOOKUP(($B884+PARAM!$B$56)/12,Loyalty,2)*$F$1*MAX(BZ883,0)</f>
        <v>18.557001321003963</v>
      </c>
      <c r="BY884" s="75">
        <f>PARAM!$C$26+MAX($G$21-CHOOSE(PARAM!$B$44,MAX(0,BZ883*$F$1),0),0)*RATES!$L860/12+$H$21*(PARAM!$D$51/12)*RATES!$N860/100</f>
        <v>1190.0416666666667</v>
      </c>
      <c r="BZ884" s="16">
        <f t="shared" si="603"/>
        <v>-220302.22455878186</v>
      </c>
      <c r="CA884" s="15">
        <f t="shared" si="578"/>
        <v>22.170849845882874</v>
      </c>
      <c r="CB884" s="75">
        <f>CA884*(1-PARAM!$C$27)*$I$22+(MOD($B884,60)=PARAM!$B$56)*($B884&gt;(60-PARAM!$B$56))*HLOOKUP(($B884+PARAM!$B$56)/12,Loyalty,2)*$F$1*MAX(CD883,0)</f>
        <v>18.557001321003963</v>
      </c>
      <c r="CC884" s="75">
        <f>PARAM!$C$26+MAX($G$22-CHOOSE(PARAM!$B$44,MAX(0,CD883*$F$1),0),0)*RATES!$L860/12+$H$22*(PARAM!$D$51/12)*RATES!$N860/100</f>
        <v>1190.0416666666667</v>
      </c>
      <c r="CD884" s="16">
        <f t="shared" si="604"/>
        <v>-220302.22455878186</v>
      </c>
      <c r="CE884" s="33">
        <f>IF(0=MOD(B884,12/PARAM!$D$51),1,0)</f>
        <v>1</v>
      </c>
      <c r="CF884" s="15">
        <f t="shared" si="579"/>
        <v>0</v>
      </c>
      <c r="CG884" s="75">
        <f>CF884*(1-PARAM!$C$27)*$R$3+(MOD($B884/12,5)=0)*($B884&gt;60)*HLOOKUP($B884/12,Loyalty,2)*$F$1*MAX(CI883,0)</f>
        <v>0</v>
      </c>
      <c r="CH884" s="75">
        <f>PARAM!$C$26+MAX($P$3-CHOOSE(PARAM!$B$44,MAX(0,CI883*$F$1),0),0)*RATES!$L860/12+$Q$3*(PARAM!$D$51/12)*RATES!$N860/100</f>
        <v>1190.0416666666667</v>
      </c>
      <c r="CI884" s="16">
        <f>IF(CI883&gt;0,CI883*PARAM!$C$53,CI883)+CG884-CH884</f>
        <v>-236085.99999999983</v>
      </c>
      <c r="CJ884" s="15">
        <f t="shared" si="605"/>
        <v>0</v>
      </c>
      <c r="CK884" s="75">
        <f>CJ884*(1-PARAM!$C$27)*$R$4+(MOD($B884/12,5)=0)*($B884&gt;60)*HLOOKUP($B884/12,Loyalty,2)*$F$1*MAX(CM883,0)</f>
        <v>0</v>
      </c>
      <c r="CL884" s="75">
        <f>PARAM!$C$26+MAX($P$4-CHOOSE(PARAM!$B$44,MAX(0,CM883*$F$1),0),0)*RATES!$L860/12+$Q$4*(PARAM!$D$51/12)*RATES!$N860/100</f>
        <v>1190.0416666666667</v>
      </c>
      <c r="CM884" s="16">
        <f>IF(CM883&gt;0,CM883*PARAM!$C$53,CM883)+CK884-CL884</f>
        <v>-236085.99999999983</v>
      </c>
      <c r="CO884" s="176"/>
    </row>
    <row r="885" spans="1:93" x14ac:dyDescent="0.2">
      <c r="A885" t="b">
        <f t="shared" si="580"/>
        <v>0</v>
      </c>
      <c r="B885" s="33">
        <v>858</v>
      </c>
      <c r="C885" s="15">
        <f t="shared" si="581"/>
        <v>20.081305947392778</v>
      </c>
      <c r="D885" s="75">
        <f>C885*(1-PARAM!$C$27)*$I$3+(MOD($B885,60)=PARAM!$B$56)*($B885&gt;(60-PARAM!$B$56))*HLOOKUP(($B885+PARAM!$B$56)/12,Loyalty,2)*$F$1*MAX(F884,0)</f>
        <v>16.808053077967756</v>
      </c>
      <c r="E885" s="75">
        <f>PARAM!$C$26+MAX($G$3-CHOOSE(PARAM!$B$44,MAX(0,F884*$F$1),0),0)*RATES!$L861/12+$H$3*(PARAM!$D$51/12)*RATES!$N861/100</f>
        <v>1190.0416666666667</v>
      </c>
      <c r="F885" s="16">
        <f t="shared" si="582"/>
        <v>-223011.15731717451</v>
      </c>
      <c r="G885" s="15">
        <f t="shared" si="583"/>
        <v>22.035289406060361</v>
      </c>
      <c r="H885" s="75">
        <f>G885*(1-PARAM!$C$27)*$I$4+(MOD($B885,60)=PARAM!$B$56)*($B885&gt;(60-PARAM!$B$56))*HLOOKUP(($B885+PARAM!$B$56)/12,Loyalty,2)*$F$1*MAX(J884,0)</f>
        <v>18.443537232872522</v>
      </c>
      <c r="I885" s="75">
        <f>PARAM!$C$26+MAX($G$4-CHOOSE(PARAM!$B$44,MAX(0,J884*$F$1),0),0)*RATES!$L861/12+$H$4*(PARAM!$D$51/12)*RATES!$N861/100</f>
        <v>1190.0416666666667</v>
      </c>
      <c r="J885" s="16">
        <f t="shared" si="584"/>
        <v>-221574.0789481434</v>
      </c>
      <c r="K885" s="15">
        <f t="shared" si="585"/>
        <v>22.170849845882874</v>
      </c>
      <c r="L885" s="75">
        <f>K885*(1-PARAM!$C$27)*$I$5+(MOD($B885,60)=PARAM!$B$56)*($B885&gt;(60-PARAM!$B$56))*HLOOKUP(($B885+PARAM!$B$56)/12,Loyalty,2)*$F$1*MAX(N884,0)</f>
        <v>18.557001321003963</v>
      </c>
      <c r="M885" s="75">
        <f>PARAM!$C$26+MAX($G$5-CHOOSE(PARAM!$B$44,MAX(0,N884*$F$1),0),0)*RATES!$L861/12+$H$5*(PARAM!$D$51/12)*RATES!$N861/100</f>
        <v>1190.0416666666667</v>
      </c>
      <c r="N885" s="16">
        <f t="shared" si="586"/>
        <v>-221473.70922412752</v>
      </c>
      <c r="O885" s="15">
        <f t="shared" si="587"/>
        <v>22.170849845882874</v>
      </c>
      <c r="P885" s="75">
        <f>O885*(1-PARAM!$C$27)*$I$6+(MOD($B885,60)=PARAM!$B$56)*($B885&gt;(60-PARAM!$B$56))*HLOOKUP(($B885+PARAM!$B$56)/12,Loyalty,2)*$F$1*MAX(R884,0)</f>
        <v>18.557001321003963</v>
      </c>
      <c r="Q885" s="75">
        <f>PARAM!$C$26+MAX($G$6-CHOOSE(PARAM!$B$44,MAX(0,R884*$F$1),0),0)*RATES!$L861/12+$H$6*(PARAM!$D$51/12)*RATES!$N861/100</f>
        <v>1190.0416666666667</v>
      </c>
      <c r="R885" s="16">
        <f t="shared" si="588"/>
        <v>-221473.70922412752</v>
      </c>
      <c r="S885" s="15">
        <f t="shared" si="563"/>
        <v>22.170849845882874</v>
      </c>
      <c r="T885" s="75">
        <f>S885*(1-PARAM!$C$27)*$I$7+(MOD($B885,60)=PARAM!$B$56)*($B885&gt;(60-PARAM!$B$56))*HLOOKUP(($B885+PARAM!$B$56)/12,Loyalty,2)*$F$1*MAX(V884,0)</f>
        <v>18.557001321003963</v>
      </c>
      <c r="U885" s="75">
        <f>PARAM!$C$26+MAX($G$7-CHOOSE(PARAM!$B$44,MAX(0,V884*$F$1),0),0)*RATES!$L861/12+$H$7*(PARAM!$D$51/12)*RATES!$N861/100</f>
        <v>1190.0416666666667</v>
      </c>
      <c r="V885" s="16">
        <f t="shared" si="589"/>
        <v>-221473.70922412752</v>
      </c>
      <c r="W885" s="15">
        <f t="shared" si="564"/>
        <v>22.170849845882874</v>
      </c>
      <c r="X885" s="75">
        <f>W885*(1-PARAM!$C$27)*$I$8+(MOD($B885,60)=PARAM!$B$56)*($B885&gt;(60-PARAM!$B$56))*HLOOKUP(($B885+PARAM!$B$56)/12,Loyalty,2)*$F$1*MAX(Z884,0)</f>
        <v>18.557001321003963</v>
      </c>
      <c r="Y885" s="75">
        <f>PARAM!$C$26+MAX($G$8-CHOOSE(PARAM!$B$44,MAX(0,Z884*$F$1),0),0)*RATES!$L861/12+$H$8*(PARAM!$D$51/12)*RATES!$N861/100</f>
        <v>1190.0416666666667</v>
      </c>
      <c r="Z885" s="16">
        <f t="shared" si="590"/>
        <v>-221473.70922412752</v>
      </c>
      <c r="AA885" s="15">
        <f t="shared" si="565"/>
        <v>22.170849845882874</v>
      </c>
      <c r="AB885" s="75">
        <f>AA885*(1-PARAM!$C$27)*$I$9+(MOD($B885,60)=PARAM!$B$56)*($B885&gt;(60-PARAM!$B$56))*HLOOKUP(($B885+PARAM!$B$56)/12,Loyalty,2)*$F$1*MAX(AD884,0)</f>
        <v>18.557001321003963</v>
      </c>
      <c r="AC885" s="75">
        <f>PARAM!$C$26+MAX($G$9-CHOOSE(PARAM!$B$44,MAX(0,AD884*$F$1),0),0)*RATES!$L861/12+$H$9*(PARAM!$D$51/12)*RATES!$N861/100</f>
        <v>1190.0416666666667</v>
      </c>
      <c r="AD885" s="16">
        <f t="shared" si="591"/>
        <v>-221473.70922412752</v>
      </c>
      <c r="AE885" s="15">
        <f t="shared" si="566"/>
        <v>22.170849845882874</v>
      </c>
      <c r="AF885" s="75">
        <f>AE885*(1-PARAM!$C$27)*$I$10+(MOD($B885,60)=PARAM!$B$56)*($B885&gt;(60-PARAM!$B$56))*HLOOKUP(($B885+PARAM!$B$56)/12,Loyalty,2)*$F$1*MAX(AH884,0)</f>
        <v>18.557001321003963</v>
      </c>
      <c r="AG885" s="75">
        <f>PARAM!$C$26+MAX($G$10-CHOOSE(PARAM!$B$44,MAX(0,AH884*$F$1),0),0)*RATES!$L861/12+$H$10*(PARAM!$D$51/12)*RATES!$N861/100</f>
        <v>1190.0416666666667</v>
      </c>
      <c r="AH885" s="16">
        <f t="shared" si="592"/>
        <v>-221473.70922412752</v>
      </c>
      <c r="AI885" s="15">
        <f t="shared" si="567"/>
        <v>22.170849845882874</v>
      </c>
      <c r="AJ885" s="75">
        <f>AI885*(1-PARAM!$C$27)*$I$11+(MOD($B885,60)=PARAM!$B$56)*($B885&gt;(60-PARAM!$B$56))*HLOOKUP(($B885+PARAM!$B$56)/12,Loyalty,2)*$F$1*MAX(AL884,0)</f>
        <v>18.557001321003963</v>
      </c>
      <c r="AK885" s="75">
        <f>PARAM!$C$26+MAX($G$11-CHOOSE(PARAM!$B$44,MAX(0,AL884*$F$1),0),0)*RATES!$L861/12+$H$11*(PARAM!$D$51/12)*RATES!$N861/100</f>
        <v>1190.0416666666667</v>
      </c>
      <c r="AL885" s="16">
        <f t="shared" si="593"/>
        <v>-221473.70922412752</v>
      </c>
      <c r="AM885" s="15">
        <f t="shared" si="568"/>
        <v>22.170849845882874</v>
      </c>
      <c r="AN885" s="75">
        <f>AM885*(1-PARAM!$C$27)*$I$12+(MOD($B885,60)=PARAM!$B$56)*($B885&gt;(60-PARAM!$B$56))*HLOOKUP(($B885+PARAM!$B$56)/12,Loyalty,2)*$F$1*MAX(AP884,0)</f>
        <v>18.557001321003963</v>
      </c>
      <c r="AO885" s="75">
        <f>PARAM!$C$26+MAX($G$12-CHOOSE(PARAM!$B$44,MAX(0,AP884*$F$1),0),0)*RATES!$L861/12+$H$12*(PARAM!$D$51/12)*RATES!$N861/100</f>
        <v>1190.0416666666667</v>
      </c>
      <c r="AP885" s="16">
        <f t="shared" si="594"/>
        <v>-221473.70922412752</v>
      </c>
      <c r="AQ885" s="15">
        <f t="shared" si="569"/>
        <v>22.170849845882874</v>
      </c>
      <c r="AR885" s="75">
        <f>AQ885*(1-PARAM!$C$27)*$I$13+(MOD($B885,60)=PARAM!$B$56)*($B885&gt;(60-PARAM!$B$56))*HLOOKUP(($B885+PARAM!$B$56)/12,Loyalty,2)*$F$1*MAX(AT884,0)</f>
        <v>18.557001321003963</v>
      </c>
      <c r="AS885" s="75">
        <f>PARAM!$C$26+MAX($G$13-CHOOSE(PARAM!$B$44,MAX(0,AT884*$F$1),0),0)*RATES!$L861/12+$H$13*(PARAM!$D$51/12)*RATES!$N861/100</f>
        <v>1190.0416666666667</v>
      </c>
      <c r="AT885" s="16">
        <f t="shared" si="595"/>
        <v>-221473.70922412752</v>
      </c>
      <c r="AU885" s="15">
        <f t="shared" si="570"/>
        <v>22.170849845882874</v>
      </c>
      <c r="AV885" s="75">
        <f>AU885*(1-PARAM!$C$27)*$I$14+(MOD($B885,60)=PARAM!$B$56)*($B885&gt;(60-PARAM!$B$56))*HLOOKUP(($B885+PARAM!$B$56)/12,Loyalty,2)*$F$1*MAX(AX884,0)</f>
        <v>18.557001321003963</v>
      </c>
      <c r="AW885" s="75">
        <f>PARAM!$C$26+MAX($G$14-CHOOSE(PARAM!$B$44,MAX(0,AX884*$F$1),0),0)*RATES!$L861/12+$H$14*(PARAM!$D$51/12)*RATES!$N861/100</f>
        <v>1190.0416666666667</v>
      </c>
      <c r="AX885" s="16">
        <f t="shared" si="596"/>
        <v>-221473.70922412752</v>
      </c>
      <c r="AY885" s="15">
        <f t="shared" si="571"/>
        <v>22.170849845882874</v>
      </c>
      <c r="AZ885" s="75">
        <f>AY885*(1-PARAM!$C$27)*$I$15+(MOD($B885,60)=PARAM!$B$56)*($B885&gt;(60-PARAM!$B$56))*HLOOKUP(($B885+PARAM!$B$56)/12,Loyalty,2)*$F$1*MAX(BB884,0)</f>
        <v>18.557001321003963</v>
      </c>
      <c r="BA885" s="75">
        <f>PARAM!$C$26+MAX($G$15-CHOOSE(PARAM!$B$44,MAX(0,BB884*$F$1),0),0)*RATES!$L861/12+$H$15*(PARAM!$D$51/12)*RATES!$N861/100</f>
        <v>1190.0416666666667</v>
      </c>
      <c r="BB885" s="16">
        <f t="shared" si="597"/>
        <v>-221473.70922412752</v>
      </c>
      <c r="BC885" s="15">
        <f t="shared" si="572"/>
        <v>22.170849845882874</v>
      </c>
      <c r="BD885" s="75">
        <f>BC885*(1-PARAM!$C$27)*$I$16+(MOD($B885,60)=PARAM!$B$56)*($B885&gt;(60-PARAM!$B$56))*HLOOKUP(($B885+PARAM!$B$56)/12,Loyalty,2)*$F$1*MAX(BF884,0)</f>
        <v>18.557001321003963</v>
      </c>
      <c r="BE885" s="75">
        <f>PARAM!$C$26+MAX($G$16-CHOOSE(PARAM!$B$44,MAX(0,BF884*$F$1),0),0)*RATES!$L861/12+$H$16*(PARAM!$D$51/12)*RATES!$N861/100</f>
        <v>1190.0416666666667</v>
      </c>
      <c r="BF885" s="16">
        <f t="shared" si="598"/>
        <v>-221473.70922412752</v>
      </c>
      <c r="BG885" s="15">
        <f t="shared" si="573"/>
        <v>22.170849845882874</v>
      </c>
      <c r="BH885" s="75">
        <f>BG885*(1-PARAM!$C$27)*$I$17+(MOD($B885,60)=PARAM!$B$56)*($B885&gt;(60-PARAM!$B$56))*HLOOKUP(($B885+PARAM!$B$56)/12,Loyalty,2)*$F$1*MAX(BJ884,0)</f>
        <v>18.557001321003963</v>
      </c>
      <c r="BI885" s="75">
        <f>PARAM!$C$26+MAX($G$17-CHOOSE(PARAM!$B$44,MAX(0,BJ884*$F$1),0),0)*RATES!$L861/12+$H$17*(PARAM!$D$51/12)*RATES!$N861/100</f>
        <v>1190.0416666666667</v>
      </c>
      <c r="BJ885" s="16">
        <f t="shared" si="599"/>
        <v>-221473.70922412752</v>
      </c>
      <c r="BK885" s="15">
        <f t="shared" si="574"/>
        <v>22.170849845882874</v>
      </c>
      <c r="BL885" s="75">
        <f>BK885*(1-PARAM!$C$27)*$I$18+(MOD($B885,60)=PARAM!$B$56)*($B885&gt;(60-PARAM!$B$56))*HLOOKUP(($B885+PARAM!$B$56)/12,Loyalty,2)*$F$1*MAX(BN884,0)</f>
        <v>18.557001321003963</v>
      </c>
      <c r="BM885" s="75">
        <f>PARAM!$C$26+MAX($G$18-CHOOSE(PARAM!$B$44,MAX(0,BN884*$F$1),0),0)*RATES!$L861/12+$H$18*(PARAM!$D$51/12)*RATES!$N861/100</f>
        <v>1190.0416666666667</v>
      </c>
      <c r="BN885" s="16">
        <f t="shared" si="600"/>
        <v>-221473.70922412752</v>
      </c>
      <c r="BO885" s="15">
        <f t="shared" si="575"/>
        <v>22.170849845882874</v>
      </c>
      <c r="BP885" s="75">
        <f>BO885*(1-PARAM!$C$27)*$I$19+(MOD($B885,60)=PARAM!$B$56)*($B885&gt;(60-PARAM!$B$56))*HLOOKUP(($B885+PARAM!$B$56)/12,Loyalty,2)*$F$1*MAX(BR884,0)</f>
        <v>18.557001321003963</v>
      </c>
      <c r="BQ885" s="75">
        <f>PARAM!$C$26+MAX($G$19-CHOOSE(PARAM!$B$44,MAX(0,BR884*$F$1),0),0)*RATES!$L861/12+$H$19*(PARAM!$D$51/12)*RATES!$N861/100</f>
        <v>1190.0416666666667</v>
      </c>
      <c r="BR885" s="16">
        <f t="shared" si="601"/>
        <v>-221473.70922412752</v>
      </c>
      <c r="BS885" s="15">
        <f t="shared" si="576"/>
        <v>22.170849845882874</v>
      </c>
      <c r="BT885" s="75">
        <f>BS885*(1-PARAM!$C$27)*$I$20+(MOD($B885,60)=PARAM!$B$56)*($B885&gt;(60-PARAM!$B$56))*HLOOKUP(($B885+PARAM!$B$56)/12,Loyalty,2)*$F$1*MAX(BV884,0)</f>
        <v>18.557001321003963</v>
      </c>
      <c r="BU885" s="75">
        <f>PARAM!$C$26+MAX($G$20-CHOOSE(PARAM!$B$44,MAX(0,BV884*$F$1),0),0)*RATES!$L861/12+$H$20*(PARAM!$D$51/12)*RATES!$N861/100</f>
        <v>1190.0416666666667</v>
      </c>
      <c r="BV885" s="16">
        <f t="shared" si="602"/>
        <v>-221473.70922412752</v>
      </c>
      <c r="BW885" s="15">
        <f t="shared" si="577"/>
        <v>22.170849845882874</v>
      </c>
      <c r="BX885" s="75">
        <f>BW885*(1-PARAM!$C$27)*$I$21+(MOD($B885,60)=PARAM!$B$56)*($B885&gt;(60-PARAM!$B$56))*HLOOKUP(($B885+PARAM!$B$56)/12,Loyalty,2)*$F$1*MAX(BZ884,0)</f>
        <v>18.557001321003963</v>
      </c>
      <c r="BY885" s="75">
        <f>PARAM!$C$26+MAX($G$21-CHOOSE(PARAM!$B$44,MAX(0,BZ884*$F$1),0),0)*RATES!$L861/12+$H$21*(PARAM!$D$51/12)*RATES!$N861/100</f>
        <v>1190.0416666666667</v>
      </c>
      <c r="BZ885" s="16">
        <f t="shared" si="603"/>
        <v>-221473.70922412752</v>
      </c>
      <c r="CA885" s="15">
        <f t="shared" si="578"/>
        <v>22.170849845882874</v>
      </c>
      <c r="CB885" s="75">
        <f>CA885*(1-PARAM!$C$27)*$I$22+(MOD($B885,60)=PARAM!$B$56)*($B885&gt;(60-PARAM!$B$56))*HLOOKUP(($B885+PARAM!$B$56)/12,Loyalty,2)*$F$1*MAX(CD884,0)</f>
        <v>18.557001321003963</v>
      </c>
      <c r="CC885" s="75">
        <f>PARAM!$C$26+MAX($G$22-CHOOSE(PARAM!$B$44,MAX(0,CD884*$F$1),0),0)*RATES!$L861/12+$H$22*(PARAM!$D$51/12)*RATES!$N861/100</f>
        <v>1190.0416666666667</v>
      </c>
      <c r="CD885" s="16">
        <f t="shared" si="604"/>
        <v>-221473.70922412752</v>
      </c>
      <c r="CE885" s="33">
        <f>IF(0=MOD(B885,12/PARAM!$D$51),1,0)</f>
        <v>1</v>
      </c>
      <c r="CF885" s="15">
        <f t="shared" si="579"/>
        <v>0</v>
      </c>
      <c r="CG885" s="75">
        <f>CF885*(1-PARAM!$C$27)*$R$3+(MOD($B885/12,5)=0)*($B885&gt;60)*HLOOKUP($B885/12,Loyalty,2)*$F$1*MAX(CI884,0)</f>
        <v>0</v>
      </c>
      <c r="CH885" s="75">
        <f>PARAM!$C$26+MAX($P$3-CHOOSE(PARAM!$B$44,MAX(0,CI884*$F$1),0),0)*RATES!$L861/12+$Q$3*(PARAM!$D$51/12)*RATES!$N861/100</f>
        <v>1190.0416666666667</v>
      </c>
      <c r="CI885" s="16">
        <f>IF(CI884&gt;0,CI884*PARAM!$C$53,CI884)+CG885-CH885</f>
        <v>-237276.04166666648</v>
      </c>
      <c r="CJ885" s="15">
        <f t="shared" si="605"/>
        <v>0</v>
      </c>
      <c r="CK885" s="75">
        <f>CJ885*(1-PARAM!$C$27)*$R$4+(MOD($B885/12,5)=0)*($B885&gt;60)*HLOOKUP($B885/12,Loyalty,2)*$F$1*MAX(CM884,0)</f>
        <v>0</v>
      </c>
      <c r="CL885" s="75">
        <f>PARAM!$C$26+MAX($P$4-CHOOSE(PARAM!$B$44,MAX(0,CM884*$F$1),0),0)*RATES!$L861/12+$Q$4*(PARAM!$D$51/12)*RATES!$N861/100</f>
        <v>1190.0416666666667</v>
      </c>
      <c r="CM885" s="16">
        <f>IF(CM884&gt;0,CM884*PARAM!$C$53,CM884)+CK885-CL885</f>
        <v>-237276.04166666648</v>
      </c>
      <c r="CO885" s="176"/>
    </row>
    <row r="886" spans="1:93" x14ac:dyDescent="0.2">
      <c r="A886" t="b">
        <f t="shared" si="580"/>
        <v>0</v>
      </c>
      <c r="B886" s="33">
        <v>859</v>
      </c>
      <c r="C886" s="15">
        <f t="shared" si="581"/>
        <v>20.081305947392778</v>
      </c>
      <c r="D886" s="75">
        <f>C886*(1-PARAM!$C$27)*$I$3+(MOD($B886,60)=PARAM!$B$56)*($B886&gt;(60-PARAM!$B$56))*HLOOKUP(($B886+PARAM!$B$56)/12,Loyalty,2)*$F$1*MAX(F885,0)</f>
        <v>16.808053077967756</v>
      </c>
      <c r="E886" s="75">
        <f>PARAM!$C$26+MAX($G$3-CHOOSE(PARAM!$B$44,MAX(0,F885*$F$1),0),0)*RATES!$L862/12+$H$3*(PARAM!$D$51/12)*RATES!$N862/100</f>
        <v>1190.0416666666667</v>
      </c>
      <c r="F886" s="16">
        <f t="shared" si="582"/>
        <v>-224184.39093076321</v>
      </c>
      <c r="G886" s="15">
        <f t="shared" si="583"/>
        <v>22.035289406060361</v>
      </c>
      <c r="H886" s="75">
        <f>G886*(1-PARAM!$C$27)*$I$4+(MOD($B886,60)=PARAM!$B$56)*($B886&gt;(60-PARAM!$B$56))*HLOOKUP(($B886+PARAM!$B$56)/12,Loyalty,2)*$F$1*MAX(J885,0)</f>
        <v>18.443537232872522</v>
      </c>
      <c r="I886" s="75">
        <f>PARAM!$C$26+MAX($G$4-CHOOSE(PARAM!$B$44,MAX(0,J885*$F$1),0),0)*RATES!$L862/12+$H$4*(PARAM!$D$51/12)*RATES!$N862/100</f>
        <v>1190.0416666666667</v>
      </c>
      <c r="J886" s="16">
        <f t="shared" si="584"/>
        <v>-222745.67707757719</v>
      </c>
      <c r="K886" s="15">
        <f t="shared" si="585"/>
        <v>22.170849845882874</v>
      </c>
      <c r="L886" s="75">
        <f>K886*(1-PARAM!$C$27)*$I$5+(MOD($B886,60)=PARAM!$B$56)*($B886&gt;(60-PARAM!$B$56))*HLOOKUP(($B886+PARAM!$B$56)/12,Loyalty,2)*$F$1*MAX(N885,0)</f>
        <v>18.557001321003963</v>
      </c>
      <c r="M886" s="75">
        <f>PARAM!$C$26+MAX($G$5-CHOOSE(PARAM!$B$44,MAX(0,N885*$F$1),0),0)*RATES!$L862/12+$H$5*(PARAM!$D$51/12)*RATES!$N862/100</f>
        <v>1190.0416666666667</v>
      </c>
      <c r="N886" s="16">
        <f t="shared" si="586"/>
        <v>-222645.19388947319</v>
      </c>
      <c r="O886" s="15">
        <f t="shared" si="587"/>
        <v>22.170849845882874</v>
      </c>
      <c r="P886" s="75">
        <f>O886*(1-PARAM!$C$27)*$I$6+(MOD($B886,60)=PARAM!$B$56)*($B886&gt;(60-PARAM!$B$56))*HLOOKUP(($B886+PARAM!$B$56)/12,Loyalty,2)*$F$1*MAX(R885,0)</f>
        <v>18.557001321003963</v>
      </c>
      <c r="Q886" s="75">
        <f>PARAM!$C$26+MAX($G$6-CHOOSE(PARAM!$B$44,MAX(0,R885*$F$1),0),0)*RATES!$L862/12+$H$6*(PARAM!$D$51/12)*RATES!$N862/100</f>
        <v>1190.0416666666667</v>
      </c>
      <c r="R886" s="16">
        <f t="shared" si="588"/>
        <v>-222645.19388947319</v>
      </c>
      <c r="S886" s="15">
        <f t="shared" si="563"/>
        <v>22.170849845882874</v>
      </c>
      <c r="T886" s="75">
        <f>S886*(1-PARAM!$C$27)*$I$7+(MOD($B886,60)=PARAM!$B$56)*($B886&gt;(60-PARAM!$B$56))*HLOOKUP(($B886+PARAM!$B$56)/12,Loyalty,2)*$F$1*MAX(V885,0)</f>
        <v>18.557001321003963</v>
      </c>
      <c r="U886" s="75">
        <f>PARAM!$C$26+MAX($G$7-CHOOSE(PARAM!$B$44,MAX(0,V885*$F$1),0),0)*RATES!$L862/12+$H$7*(PARAM!$D$51/12)*RATES!$N862/100</f>
        <v>1190.0416666666667</v>
      </c>
      <c r="V886" s="16">
        <f t="shared" si="589"/>
        <v>-222645.19388947319</v>
      </c>
      <c r="W886" s="15">
        <f t="shared" si="564"/>
        <v>22.170849845882874</v>
      </c>
      <c r="X886" s="75">
        <f>W886*(1-PARAM!$C$27)*$I$8+(MOD($B886,60)=PARAM!$B$56)*($B886&gt;(60-PARAM!$B$56))*HLOOKUP(($B886+PARAM!$B$56)/12,Loyalty,2)*$F$1*MAX(Z885,0)</f>
        <v>18.557001321003963</v>
      </c>
      <c r="Y886" s="75">
        <f>PARAM!$C$26+MAX($G$8-CHOOSE(PARAM!$B$44,MAX(0,Z885*$F$1),0),0)*RATES!$L862/12+$H$8*(PARAM!$D$51/12)*RATES!$N862/100</f>
        <v>1190.0416666666667</v>
      </c>
      <c r="Z886" s="16">
        <f t="shared" si="590"/>
        <v>-222645.19388947319</v>
      </c>
      <c r="AA886" s="15">
        <f t="shared" si="565"/>
        <v>22.170849845882874</v>
      </c>
      <c r="AB886" s="75">
        <f>AA886*(1-PARAM!$C$27)*$I$9+(MOD($B886,60)=PARAM!$B$56)*($B886&gt;(60-PARAM!$B$56))*HLOOKUP(($B886+PARAM!$B$56)/12,Loyalty,2)*$F$1*MAX(AD885,0)</f>
        <v>18.557001321003963</v>
      </c>
      <c r="AC886" s="75">
        <f>PARAM!$C$26+MAX($G$9-CHOOSE(PARAM!$B$44,MAX(0,AD885*$F$1),0),0)*RATES!$L862/12+$H$9*(PARAM!$D$51/12)*RATES!$N862/100</f>
        <v>1190.0416666666667</v>
      </c>
      <c r="AD886" s="16">
        <f t="shared" si="591"/>
        <v>-222645.19388947319</v>
      </c>
      <c r="AE886" s="15">
        <f t="shared" si="566"/>
        <v>22.170849845882874</v>
      </c>
      <c r="AF886" s="75">
        <f>AE886*(1-PARAM!$C$27)*$I$10+(MOD($B886,60)=PARAM!$B$56)*($B886&gt;(60-PARAM!$B$56))*HLOOKUP(($B886+PARAM!$B$56)/12,Loyalty,2)*$F$1*MAX(AH885,0)</f>
        <v>18.557001321003963</v>
      </c>
      <c r="AG886" s="75">
        <f>PARAM!$C$26+MAX($G$10-CHOOSE(PARAM!$B$44,MAX(0,AH885*$F$1),0),0)*RATES!$L862/12+$H$10*(PARAM!$D$51/12)*RATES!$N862/100</f>
        <v>1190.0416666666667</v>
      </c>
      <c r="AH886" s="16">
        <f t="shared" si="592"/>
        <v>-222645.19388947319</v>
      </c>
      <c r="AI886" s="15">
        <f t="shared" si="567"/>
        <v>22.170849845882874</v>
      </c>
      <c r="AJ886" s="75">
        <f>AI886*(1-PARAM!$C$27)*$I$11+(MOD($B886,60)=PARAM!$B$56)*($B886&gt;(60-PARAM!$B$56))*HLOOKUP(($B886+PARAM!$B$56)/12,Loyalty,2)*$F$1*MAX(AL885,0)</f>
        <v>18.557001321003963</v>
      </c>
      <c r="AK886" s="75">
        <f>PARAM!$C$26+MAX($G$11-CHOOSE(PARAM!$B$44,MAX(0,AL885*$F$1),0),0)*RATES!$L862/12+$H$11*(PARAM!$D$51/12)*RATES!$N862/100</f>
        <v>1190.0416666666667</v>
      </c>
      <c r="AL886" s="16">
        <f t="shared" si="593"/>
        <v>-222645.19388947319</v>
      </c>
      <c r="AM886" s="15">
        <f t="shared" si="568"/>
        <v>22.170849845882874</v>
      </c>
      <c r="AN886" s="75">
        <f>AM886*(1-PARAM!$C$27)*$I$12+(MOD($B886,60)=PARAM!$B$56)*($B886&gt;(60-PARAM!$B$56))*HLOOKUP(($B886+PARAM!$B$56)/12,Loyalty,2)*$F$1*MAX(AP885,0)</f>
        <v>18.557001321003963</v>
      </c>
      <c r="AO886" s="75">
        <f>PARAM!$C$26+MAX($G$12-CHOOSE(PARAM!$B$44,MAX(0,AP885*$F$1),0),0)*RATES!$L862/12+$H$12*(PARAM!$D$51/12)*RATES!$N862/100</f>
        <v>1190.0416666666667</v>
      </c>
      <c r="AP886" s="16">
        <f t="shared" si="594"/>
        <v>-222645.19388947319</v>
      </c>
      <c r="AQ886" s="15">
        <f t="shared" si="569"/>
        <v>22.170849845882874</v>
      </c>
      <c r="AR886" s="75">
        <f>AQ886*(1-PARAM!$C$27)*$I$13+(MOD($B886,60)=PARAM!$B$56)*($B886&gt;(60-PARAM!$B$56))*HLOOKUP(($B886+PARAM!$B$56)/12,Loyalty,2)*$F$1*MAX(AT885,0)</f>
        <v>18.557001321003963</v>
      </c>
      <c r="AS886" s="75">
        <f>PARAM!$C$26+MAX($G$13-CHOOSE(PARAM!$B$44,MAX(0,AT885*$F$1),0),0)*RATES!$L862/12+$H$13*(PARAM!$D$51/12)*RATES!$N862/100</f>
        <v>1190.0416666666667</v>
      </c>
      <c r="AT886" s="16">
        <f t="shared" si="595"/>
        <v>-222645.19388947319</v>
      </c>
      <c r="AU886" s="15">
        <f t="shared" si="570"/>
        <v>22.170849845882874</v>
      </c>
      <c r="AV886" s="75">
        <f>AU886*(1-PARAM!$C$27)*$I$14+(MOD($B886,60)=PARAM!$B$56)*($B886&gt;(60-PARAM!$B$56))*HLOOKUP(($B886+PARAM!$B$56)/12,Loyalty,2)*$F$1*MAX(AX885,0)</f>
        <v>18.557001321003963</v>
      </c>
      <c r="AW886" s="75">
        <f>PARAM!$C$26+MAX($G$14-CHOOSE(PARAM!$B$44,MAX(0,AX885*$F$1),0),0)*RATES!$L862/12+$H$14*(PARAM!$D$51/12)*RATES!$N862/100</f>
        <v>1190.0416666666667</v>
      </c>
      <c r="AX886" s="16">
        <f t="shared" si="596"/>
        <v>-222645.19388947319</v>
      </c>
      <c r="AY886" s="15">
        <f t="shared" si="571"/>
        <v>22.170849845882874</v>
      </c>
      <c r="AZ886" s="75">
        <f>AY886*(1-PARAM!$C$27)*$I$15+(MOD($B886,60)=PARAM!$B$56)*($B886&gt;(60-PARAM!$B$56))*HLOOKUP(($B886+PARAM!$B$56)/12,Loyalty,2)*$F$1*MAX(BB885,0)</f>
        <v>18.557001321003963</v>
      </c>
      <c r="BA886" s="75">
        <f>PARAM!$C$26+MAX($G$15-CHOOSE(PARAM!$B$44,MAX(0,BB885*$F$1),0),0)*RATES!$L862/12+$H$15*(PARAM!$D$51/12)*RATES!$N862/100</f>
        <v>1190.0416666666667</v>
      </c>
      <c r="BB886" s="16">
        <f t="shared" si="597"/>
        <v>-222645.19388947319</v>
      </c>
      <c r="BC886" s="15">
        <f t="shared" si="572"/>
        <v>22.170849845882874</v>
      </c>
      <c r="BD886" s="75">
        <f>BC886*(1-PARAM!$C$27)*$I$16+(MOD($B886,60)=PARAM!$B$56)*($B886&gt;(60-PARAM!$B$56))*HLOOKUP(($B886+PARAM!$B$56)/12,Loyalty,2)*$F$1*MAX(BF885,0)</f>
        <v>18.557001321003963</v>
      </c>
      <c r="BE886" s="75">
        <f>PARAM!$C$26+MAX($G$16-CHOOSE(PARAM!$B$44,MAX(0,BF885*$F$1),0),0)*RATES!$L862/12+$H$16*(PARAM!$D$51/12)*RATES!$N862/100</f>
        <v>1190.0416666666667</v>
      </c>
      <c r="BF886" s="16">
        <f t="shared" si="598"/>
        <v>-222645.19388947319</v>
      </c>
      <c r="BG886" s="15">
        <f t="shared" si="573"/>
        <v>22.170849845882874</v>
      </c>
      <c r="BH886" s="75">
        <f>BG886*(1-PARAM!$C$27)*$I$17+(MOD($B886,60)=PARAM!$B$56)*($B886&gt;(60-PARAM!$B$56))*HLOOKUP(($B886+PARAM!$B$56)/12,Loyalty,2)*$F$1*MAX(BJ885,0)</f>
        <v>18.557001321003963</v>
      </c>
      <c r="BI886" s="75">
        <f>PARAM!$C$26+MAX($G$17-CHOOSE(PARAM!$B$44,MAX(0,BJ885*$F$1),0),0)*RATES!$L862/12+$H$17*(PARAM!$D$51/12)*RATES!$N862/100</f>
        <v>1190.0416666666667</v>
      </c>
      <c r="BJ886" s="16">
        <f t="shared" si="599"/>
        <v>-222645.19388947319</v>
      </c>
      <c r="BK886" s="15">
        <f t="shared" si="574"/>
        <v>22.170849845882874</v>
      </c>
      <c r="BL886" s="75">
        <f>BK886*(1-PARAM!$C$27)*$I$18+(MOD($B886,60)=PARAM!$B$56)*($B886&gt;(60-PARAM!$B$56))*HLOOKUP(($B886+PARAM!$B$56)/12,Loyalty,2)*$F$1*MAX(BN885,0)</f>
        <v>18.557001321003963</v>
      </c>
      <c r="BM886" s="75">
        <f>PARAM!$C$26+MAX($G$18-CHOOSE(PARAM!$B$44,MAX(0,BN885*$F$1),0),0)*RATES!$L862/12+$H$18*(PARAM!$D$51/12)*RATES!$N862/100</f>
        <v>1190.0416666666667</v>
      </c>
      <c r="BN886" s="16">
        <f t="shared" si="600"/>
        <v>-222645.19388947319</v>
      </c>
      <c r="BO886" s="15">
        <f t="shared" si="575"/>
        <v>22.170849845882874</v>
      </c>
      <c r="BP886" s="75">
        <f>BO886*(1-PARAM!$C$27)*$I$19+(MOD($B886,60)=PARAM!$B$56)*($B886&gt;(60-PARAM!$B$56))*HLOOKUP(($B886+PARAM!$B$56)/12,Loyalty,2)*$F$1*MAX(BR885,0)</f>
        <v>18.557001321003963</v>
      </c>
      <c r="BQ886" s="75">
        <f>PARAM!$C$26+MAX($G$19-CHOOSE(PARAM!$B$44,MAX(0,BR885*$F$1),0),0)*RATES!$L862/12+$H$19*(PARAM!$D$51/12)*RATES!$N862/100</f>
        <v>1190.0416666666667</v>
      </c>
      <c r="BR886" s="16">
        <f t="shared" si="601"/>
        <v>-222645.19388947319</v>
      </c>
      <c r="BS886" s="15">
        <f t="shared" si="576"/>
        <v>22.170849845882874</v>
      </c>
      <c r="BT886" s="75">
        <f>BS886*(1-PARAM!$C$27)*$I$20+(MOD($B886,60)=PARAM!$B$56)*($B886&gt;(60-PARAM!$B$56))*HLOOKUP(($B886+PARAM!$B$56)/12,Loyalty,2)*$F$1*MAX(BV885,0)</f>
        <v>18.557001321003963</v>
      </c>
      <c r="BU886" s="75">
        <f>PARAM!$C$26+MAX($G$20-CHOOSE(PARAM!$B$44,MAX(0,BV885*$F$1),0),0)*RATES!$L862/12+$H$20*(PARAM!$D$51/12)*RATES!$N862/100</f>
        <v>1190.0416666666667</v>
      </c>
      <c r="BV886" s="16">
        <f t="shared" si="602"/>
        <v>-222645.19388947319</v>
      </c>
      <c r="BW886" s="15">
        <f t="shared" si="577"/>
        <v>22.170849845882874</v>
      </c>
      <c r="BX886" s="75">
        <f>BW886*(1-PARAM!$C$27)*$I$21+(MOD($B886,60)=PARAM!$B$56)*($B886&gt;(60-PARAM!$B$56))*HLOOKUP(($B886+PARAM!$B$56)/12,Loyalty,2)*$F$1*MAX(BZ885,0)</f>
        <v>18.557001321003963</v>
      </c>
      <c r="BY886" s="75">
        <f>PARAM!$C$26+MAX($G$21-CHOOSE(PARAM!$B$44,MAX(0,BZ885*$F$1),0),0)*RATES!$L862/12+$H$21*(PARAM!$D$51/12)*RATES!$N862/100</f>
        <v>1190.0416666666667</v>
      </c>
      <c r="BZ886" s="16">
        <f t="shared" si="603"/>
        <v>-222645.19388947319</v>
      </c>
      <c r="CA886" s="15">
        <f t="shared" si="578"/>
        <v>22.170849845882874</v>
      </c>
      <c r="CB886" s="75">
        <f>CA886*(1-PARAM!$C$27)*$I$22+(MOD($B886,60)=PARAM!$B$56)*($B886&gt;(60-PARAM!$B$56))*HLOOKUP(($B886+PARAM!$B$56)/12,Loyalty,2)*$F$1*MAX(CD885,0)</f>
        <v>18.557001321003963</v>
      </c>
      <c r="CC886" s="75">
        <f>PARAM!$C$26+MAX($G$22-CHOOSE(PARAM!$B$44,MAX(0,CD885*$F$1),0),0)*RATES!$L862/12+$H$22*(PARAM!$D$51/12)*RATES!$N862/100</f>
        <v>1190.0416666666667</v>
      </c>
      <c r="CD886" s="16">
        <f t="shared" si="604"/>
        <v>-222645.19388947319</v>
      </c>
      <c r="CE886" s="33">
        <f>IF(0=MOD(B886,12/PARAM!$D$51),1,0)</f>
        <v>1</v>
      </c>
      <c r="CF886" s="15">
        <f t="shared" si="579"/>
        <v>0</v>
      </c>
      <c r="CG886" s="75">
        <f>CF886*(1-PARAM!$C$27)*$R$3+(MOD($B886/12,5)=0)*($B886&gt;60)*HLOOKUP($B886/12,Loyalty,2)*$F$1*MAX(CI885,0)</f>
        <v>0</v>
      </c>
      <c r="CH886" s="75">
        <f>PARAM!$C$26+MAX($P$3-CHOOSE(PARAM!$B$44,MAX(0,CI885*$F$1),0),0)*RATES!$L862/12+$Q$3*(PARAM!$D$51/12)*RATES!$N862/100</f>
        <v>1190.0416666666667</v>
      </c>
      <c r="CI886" s="16">
        <f>IF(CI885&gt;0,CI885*PARAM!$C$53,CI885)+CG886-CH886</f>
        <v>-238466.08333333314</v>
      </c>
      <c r="CJ886" s="15">
        <f t="shared" si="605"/>
        <v>0</v>
      </c>
      <c r="CK886" s="75">
        <f>CJ886*(1-PARAM!$C$27)*$R$4+(MOD($B886/12,5)=0)*($B886&gt;60)*HLOOKUP($B886/12,Loyalty,2)*$F$1*MAX(CM885,0)</f>
        <v>0</v>
      </c>
      <c r="CL886" s="75">
        <f>PARAM!$C$26+MAX($P$4-CHOOSE(PARAM!$B$44,MAX(0,CM885*$F$1),0),0)*RATES!$L862/12+$Q$4*(PARAM!$D$51/12)*RATES!$N862/100</f>
        <v>1190.0416666666667</v>
      </c>
      <c r="CM886" s="16">
        <f>IF(CM885&gt;0,CM885*PARAM!$C$53,CM885)+CK886-CL886</f>
        <v>-238466.08333333314</v>
      </c>
      <c r="CO886" s="176"/>
    </row>
    <row r="887" spans="1:93" x14ac:dyDescent="0.2">
      <c r="A887" t="b">
        <f t="shared" si="580"/>
        <v>0</v>
      </c>
      <c r="B887" s="33">
        <v>860</v>
      </c>
      <c r="C887" s="15">
        <f t="shared" si="581"/>
        <v>20.081305947392778</v>
      </c>
      <c r="D887" s="75">
        <f>C887*(1-PARAM!$C$27)*$I$3+(MOD($B887,60)=PARAM!$B$56)*($B887&gt;(60-PARAM!$B$56))*HLOOKUP(($B887+PARAM!$B$56)/12,Loyalty,2)*$F$1*MAX(F886,0)</f>
        <v>16.808053077967756</v>
      </c>
      <c r="E887" s="75">
        <f>PARAM!$C$26+MAX($G$3-CHOOSE(PARAM!$B$44,MAX(0,F886*$F$1),0),0)*RATES!$L863/12+$H$3*(PARAM!$D$51/12)*RATES!$N863/100</f>
        <v>1190.0416666666667</v>
      </c>
      <c r="F887" s="16">
        <f t="shared" si="582"/>
        <v>-225357.62454435191</v>
      </c>
      <c r="G887" s="15">
        <f t="shared" si="583"/>
        <v>22.035289406060361</v>
      </c>
      <c r="H887" s="75">
        <f>G887*(1-PARAM!$C$27)*$I$4+(MOD($B887,60)=PARAM!$B$56)*($B887&gt;(60-PARAM!$B$56))*HLOOKUP(($B887+PARAM!$B$56)/12,Loyalty,2)*$F$1*MAX(J886,0)</f>
        <v>18.443537232872522</v>
      </c>
      <c r="I887" s="75">
        <f>PARAM!$C$26+MAX($G$4-CHOOSE(PARAM!$B$44,MAX(0,J886*$F$1),0),0)*RATES!$L863/12+$H$4*(PARAM!$D$51/12)*RATES!$N863/100</f>
        <v>1190.0416666666667</v>
      </c>
      <c r="J887" s="16">
        <f t="shared" si="584"/>
        <v>-223917.27520701097</v>
      </c>
      <c r="K887" s="15">
        <f t="shared" si="585"/>
        <v>22.170849845882874</v>
      </c>
      <c r="L887" s="75">
        <f>K887*(1-PARAM!$C$27)*$I$5+(MOD($B887,60)=PARAM!$B$56)*($B887&gt;(60-PARAM!$B$56))*HLOOKUP(($B887+PARAM!$B$56)/12,Loyalty,2)*$F$1*MAX(N886,0)</f>
        <v>18.557001321003963</v>
      </c>
      <c r="M887" s="75">
        <f>PARAM!$C$26+MAX($G$5-CHOOSE(PARAM!$B$44,MAX(0,N886*$F$1),0),0)*RATES!$L863/12+$H$5*(PARAM!$D$51/12)*RATES!$N863/100</f>
        <v>1190.0416666666667</v>
      </c>
      <c r="N887" s="16">
        <f t="shared" si="586"/>
        <v>-223816.67855481885</v>
      </c>
      <c r="O887" s="15">
        <f t="shared" si="587"/>
        <v>22.170849845882874</v>
      </c>
      <c r="P887" s="75">
        <f>O887*(1-PARAM!$C$27)*$I$6+(MOD($B887,60)=PARAM!$B$56)*($B887&gt;(60-PARAM!$B$56))*HLOOKUP(($B887+PARAM!$B$56)/12,Loyalty,2)*$F$1*MAX(R886,0)</f>
        <v>18.557001321003963</v>
      </c>
      <c r="Q887" s="75">
        <f>PARAM!$C$26+MAX($G$6-CHOOSE(PARAM!$B$44,MAX(0,R886*$F$1),0),0)*RATES!$L863/12+$H$6*(PARAM!$D$51/12)*RATES!$N863/100</f>
        <v>1190.0416666666667</v>
      </c>
      <c r="R887" s="16">
        <f t="shared" si="588"/>
        <v>-223816.67855481885</v>
      </c>
      <c r="S887" s="15">
        <f t="shared" si="563"/>
        <v>22.170849845882874</v>
      </c>
      <c r="T887" s="75">
        <f>S887*(1-PARAM!$C$27)*$I$7+(MOD($B887,60)=PARAM!$B$56)*($B887&gt;(60-PARAM!$B$56))*HLOOKUP(($B887+PARAM!$B$56)/12,Loyalty,2)*$F$1*MAX(V886,0)</f>
        <v>18.557001321003963</v>
      </c>
      <c r="U887" s="75">
        <f>PARAM!$C$26+MAX($G$7-CHOOSE(PARAM!$B$44,MAX(0,V886*$F$1),0),0)*RATES!$L863/12+$H$7*(PARAM!$D$51/12)*RATES!$N863/100</f>
        <v>1190.0416666666667</v>
      </c>
      <c r="V887" s="16">
        <f t="shared" si="589"/>
        <v>-223816.67855481885</v>
      </c>
      <c r="W887" s="15">
        <f t="shared" si="564"/>
        <v>22.170849845882874</v>
      </c>
      <c r="X887" s="75">
        <f>W887*(1-PARAM!$C$27)*$I$8+(MOD($B887,60)=PARAM!$B$56)*($B887&gt;(60-PARAM!$B$56))*HLOOKUP(($B887+PARAM!$B$56)/12,Loyalty,2)*$F$1*MAX(Z886,0)</f>
        <v>18.557001321003963</v>
      </c>
      <c r="Y887" s="75">
        <f>PARAM!$C$26+MAX($G$8-CHOOSE(PARAM!$B$44,MAX(0,Z886*$F$1),0),0)*RATES!$L863/12+$H$8*(PARAM!$D$51/12)*RATES!$N863/100</f>
        <v>1190.0416666666667</v>
      </c>
      <c r="Z887" s="16">
        <f t="shared" si="590"/>
        <v>-223816.67855481885</v>
      </c>
      <c r="AA887" s="15">
        <f t="shared" si="565"/>
        <v>22.170849845882874</v>
      </c>
      <c r="AB887" s="75">
        <f>AA887*(1-PARAM!$C$27)*$I$9+(MOD($B887,60)=PARAM!$B$56)*($B887&gt;(60-PARAM!$B$56))*HLOOKUP(($B887+PARAM!$B$56)/12,Loyalty,2)*$F$1*MAX(AD886,0)</f>
        <v>18.557001321003963</v>
      </c>
      <c r="AC887" s="75">
        <f>PARAM!$C$26+MAX($G$9-CHOOSE(PARAM!$B$44,MAX(0,AD886*$F$1),0),0)*RATES!$L863/12+$H$9*(PARAM!$D$51/12)*RATES!$N863/100</f>
        <v>1190.0416666666667</v>
      </c>
      <c r="AD887" s="16">
        <f t="shared" si="591"/>
        <v>-223816.67855481885</v>
      </c>
      <c r="AE887" s="15">
        <f t="shared" si="566"/>
        <v>22.170849845882874</v>
      </c>
      <c r="AF887" s="75">
        <f>AE887*(1-PARAM!$C$27)*$I$10+(MOD($B887,60)=PARAM!$B$56)*($B887&gt;(60-PARAM!$B$56))*HLOOKUP(($B887+PARAM!$B$56)/12,Loyalty,2)*$F$1*MAX(AH886,0)</f>
        <v>18.557001321003963</v>
      </c>
      <c r="AG887" s="75">
        <f>PARAM!$C$26+MAX($G$10-CHOOSE(PARAM!$B$44,MAX(0,AH886*$F$1),0),0)*RATES!$L863/12+$H$10*(PARAM!$D$51/12)*RATES!$N863/100</f>
        <v>1190.0416666666667</v>
      </c>
      <c r="AH887" s="16">
        <f t="shared" si="592"/>
        <v>-223816.67855481885</v>
      </c>
      <c r="AI887" s="15">
        <f t="shared" si="567"/>
        <v>22.170849845882874</v>
      </c>
      <c r="AJ887" s="75">
        <f>AI887*(1-PARAM!$C$27)*$I$11+(MOD($B887,60)=PARAM!$B$56)*($B887&gt;(60-PARAM!$B$56))*HLOOKUP(($B887+PARAM!$B$56)/12,Loyalty,2)*$F$1*MAX(AL886,0)</f>
        <v>18.557001321003963</v>
      </c>
      <c r="AK887" s="75">
        <f>PARAM!$C$26+MAX($G$11-CHOOSE(PARAM!$B$44,MAX(0,AL886*$F$1),0),0)*RATES!$L863/12+$H$11*(PARAM!$D$51/12)*RATES!$N863/100</f>
        <v>1190.0416666666667</v>
      </c>
      <c r="AL887" s="16">
        <f t="shared" si="593"/>
        <v>-223816.67855481885</v>
      </c>
      <c r="AM887" s="15">
        <f t="shared" si="568"/>
        <v>22.170849845882874</v>
      </c>
      <c r="AN887" s="75">
        <f>AM887*(1-PARAM!$C$27)*$I$12+(MOD($B887,60)=PARAM!$B$56)*($B887&gt;(60-PARAM!$B$56))*HLOOKUP(($B887+PARAM!$B$56)/12,Loyalty,2)*$F$1*MAX(AP886,0)</f>
        <v>18.557001321003963</v>
      </c>
      <c r="AO887" s="75">
        <f>PARAM!$C$26+MAX($G$12-CHOOSE(PARAM!$B$44,MAX(0,AP886*$F$1),0),0)*RATES!$L863/12+$H$12*(PARAM!$D$51/12)*RATES!$N863/100</f>
        <v>1190.0416666666667</v>
      </c>
      <c r="AP887" s="16">
        <f t="shared" si="594"/>
        <v>-223816.67855481885</v>
      </c>
      <c r="AQ887" s="15">
        <f t="shared" si="569"/>
        <v>22.170849845882874</v>
      </c>
      <c r="AR887" s="75">
        <f>AQ887*(1-PARAM!$C$27)*$I$13+(MOD($B887,60)=PARAM!$B$56)*($B887&gt;(60-PARAM!$B$56))*HLOOKUP(($B887+PARAM!$B$56)/12,Loyalty,2)*$F$1*MAX(AT886,0)</f>
        <v>18.557001321003963</v>
      </c>
      <c r="AS887" s="75">
        <f>PARAM!$C$26+MAX($G$13-CHOOSE(PARAM!$B$44,MAX(0,AT886*$F$1),0),0)*RATES!$L863/12+$H$13*(PARAM!$D$51/12)*RATES!$N863/100</f>
        <v>1190.0416666666667</v>
      </c>
      <c r="AT887" s="16">
        <f t="shared" si="595"/>
        <v>-223816.67855481885</v>
      </c>
      <c r="AU887" s="15">
        <f t="shared" si="570"/>
        <v>22.170849845882874</v>
      </c>
      <c r="AV887" s="75">
        <f>AU887*(1-PARAM!$C$27)*$I$14+(MOD($B887,60)=PARAM!$B$56)*($B887&gt;(60-PARAM!$B$56))*HLOOKUP(($B887+PARAM!$B$56)/12,Loyalty,2)*$F$1*MAX(AX886,0)</f>
        <v>18.557001321003963</v>
      </c>
      <c r="AW887" s="75">
        <f>PARAM!$C$26+MAX($G$14-CHOOSE(PARAM!$B$44,MAX(0,AX886*$F$1),0),0)*RATES!$L863/12+$H$14*(PARAM!$D$51/12)*RATES!$N863/100</f>
        <v>1190.0416666666667</v>
      </c>
      <c r="AX887" s="16">
        <f t="shared" si="596"/>
        <v>-223816.67855481885</v>
      </c>
      <c r="AY887" s="15">
        <f t="shared" si="571"/>
        <v>22.170849845882874</v>
      </c>
      <c r="AZ887" s="75">
        <f>AY887*(1-PARAM!$C$27)*$I$15+(MOD($B887,60)=PARAM!$B$56)*($B887&gt;(60-PARAM!$B$56))*HLOOKUP(($B887+PARAM!$B$56)/12,Loyalty,2)*$F$1*MAX(BB886,0)</f>
        <v>18.557001321003963</v>
      </c>
      <c r="BA887" s="75">
        <f>PARAM!$C$26+MAX($G$15-CHOOSE(PARAM!$B$44,MAX(0,BB886*$F$1),0),0)*RATES!$L863/12+$H$15*(PARAM!$D$51/12)*RATES!$N863/100</f>
        <v>1190.0416666666667</v>
      </c>
      <c r="BB887" s="16">
        <f t="shared" si="597"/>
        <v>-223816.67855481885</v>
      </c>
      <c r="BC887" s="15">
        <f t="shared" si="572"/>
        <v>22.170849845882874</v>
      </c>
      <c r="BD887" s="75">
        <f>BC887*(1-PARAM!$C$27)*$I$16+(MOD($B887,60)=PARAM!$B$56)*($B887&gt;(60-PARAM!$B$56))*HLOOKUP(($B887+PARAM!$B$56)/12,Loyalty,2)*$F$1*MAX(BF886,0)</f>
        <v>18.557001321003963</v>
      </c>
      <c r="BE887" s="75">
        <f>PARAM!$C$26+MAX($G$16-CHOOSE(PARAM!$B$44,MAX(0,BF886*$F$1),0),0)*RATES!$L863/12+$H$16*(PARAM!$D$51/12)*RATES!$N863/100</f>
        <v>1190.0416666666667</v>
      </c>
      <c r="BF887" s="16">
        <f t="shared" si="598"/>
        <v>-223816.67855481885</v>
      </c>
      <c r="BG887" s="15">
        <f t="shared" si="573"/>
        <v>22.170849845882874</v>
      </c>
      <c r="BH887" s="75">
        <f>BG887*(1-PARAM!$C$27)*$I$17+(MOD($B887,60)=PARAM!$B$56)*($B887&gt;(60-PARAM!$B$56))*HLOOKUP(($B887+PARAM!$B$56)/12,Loyalty,2)*$F$1*MAX(BJ886,0)</f>
        <v>18.557001321003963</v>
      </c>
      <c r="BI887" s="75">
        <f>PARAM!$C$26+MAX($G$17-CHOOSE(PARAM!$B$44,MAX(0,BJ886*$F$1),0),0)*RATES!$L863/12+$H$17*(PARAM!$D$51/12)*RATES!$N863/100</f>
        <v>1190.0416666666667</v>
      </c>
      <c r="BJ887" s="16">
        <f t="shared" si="599"/>
        <v>-223816.67855481885</v>
      </c>
      <c r="BK887" s="15">
        <f t="shared" si="574"/>
        <v>22.170849845882874</v>
      </c>
      <c r="BL887" s="75">
        <f>BK887*(1-PARAM!$C$27)*$I$18+(MOD($B887,60)=PARAM!$B$56)*($B887&gt;(60-PARAM!$B$56))*HLOOKUP(($B887+PARAM!$B$56)/12,Loyalty,2)*$F$1*MAX(BN886,0)</f>
        <v>18.557001321003963</v>
      </c>
      <c r="BM887" s="75">
        <f>PARAM!$C$26+MAX($G$18-CHOOSE(PARAM!$B$44,MAX(0,BN886*$F$1),0),0)*RATES!$L863/12+$H$18*(PARAM!$D$51/12)*RATES!$N863/100</f>
        <v>1190.0416666666667</v>
      </c>
      <c r="BN887" s="16">
        <f t="shared" si="600"/>
        <v>-223816.67855481885</v>
      </c>
      <c r="BO887" s="15">
        <f t="shared" si="575"/>
        <v>22.170849845882874</v>
      </c>
      <c r="BP887" s="75">
        <f>BO887*(1-PARAM!$C$27)*$I$19+(MOD($B887,60)=PARAM!$B$56)*($B887&gt;(60-PARAM!$B$56))*HLOOKUP(($B887+PARAM!$B$56)/12,Loyalty,2)*$F$1*MAX(BR886,0)</f>
        <v>18.557001321003963</v>
      </c>
      <c r="BQ887" s="75">
        <f>PARAM!$C$26+MAX($G$19-CHOOSE(PARAM!$B$44,MAX(0,BR886*$F$1),0),0)*RATES!$L863/12+$H$19*(PARAM!$D$51/12)*RATES!$N863/100</f>
        <v>1190.0416666666667</v>
      </c>
      <c r="BR887" s="16">
        <f t="shared" si="601"/>
        <v>-223816.67855481885</v>
      </c>
      <c r="BS887" s="15">
        <f t="shared" si="576"/>
        <v>22.170849845882874</v>
      </c>
      <c r="BT887" s="75">
        <f>BS887*(1-PARAM!$C$27)*$I$20+(MOD($B887,60)=PARAM!$B$56)*($B887&gt;(60-PARAM!$B$56))*HLOOKUP(($B887+PARAM!$B$56)/12,Loyalty,2)*$F$1*MAX(BV886,0)</f>
        <v>18.557001321003963</v>
      </c>
      <c r="BU887" s="75">
        <f>PARAM!$C$26+MAX($G$20-CHOOSE(PARAM!$B$44,MAX(0,BV886*$F$1),0),0)*RATES!$L863/12+$H$20*(PARAM!$D$51/12)*RATES!$N863/100</f>
        <v>1190.0416666666667</v>
      </c>
      <c r="BV887" s="16">
        <f t="shared" si="602"/>
        <v>-223816.67855481885</v>
      </c>
      <c r="BW887" s="15">
        <f t="shared" si="577"/>
        <v>22.170849845882874</v>
      </c>
      <c r="BX887" s="75">
        <f>BW887*(1-PARAM!$C$27)*$I$21+(MOD($B887,60)=PARAM!$B$56)*($B887&gt;(60-PARAM!$B$56))*HLOOKUP(($B887+PARAM!$B$56)/12,Loyalty,2)*$F$1*MAX(BZ886,0)</f>
        <v>18.557001321003963</v>
      </c>
      <c r="BY887" s="75">
        <f>PARAM!$C$26+MAX($G$21-CHOOSE(PARAM!$B$44,MAX(0,BZ886*$F$1),0),0)*RATES!$L863/12+$H$21*(PARAM!$D$51/12)*RATES!$N863/100</f>
        <v>1190.0416666666667</v>
      </c>
      <c r="BZ887" s="16">
        <f t="shared" si="603"/>
        <v>-223816.67855481885</v>
      </c>
      <c r="CA887" s="15">
        <f t="shared" si="578"/>
        <v>22.170849845882874</v>
      </c>
      <c r="CB887" s="75">
        <f>CA887*(1-PARAM!$C$27)*$I$22+(MOD($B887,60)=PARAM!$B$56)*($B887&gt;(60-PARAM!$B$56))*HLOOKUP(($B887+PARAM!$B$56)/12,Loyalty,2)*$F$1*MAX(CD886,0)</f>
        <v>18.557001321003963</v>
      </c>
      <c r="CC887" s="75">
        <f>PARAM!$C$26+MAX($G$22-CHOOSE(PARAM!$B$44,MAX(0,CD886*$F$1),0),0)*RATES!$L863/12+$H$22*(PARAM!$D$51/12)*RATES!$N863/100</f>
        <v>1190.0416666666667</v>
      </c>
      <c r="CD887" s="16">
        <f t="shared" si="604"/>
        <v>-223816.67855481885</v>
      </c>
      <c r="CE887" s="33">
        <f>IF(0=MOD(B887,12/PARAM!$D$51),1,0)</f>
        <v>1</v>
      </c>
      <c r="CF887" s="15">
        <f t="shared" si="579"/>
        <v>0</v>
      </c>
      <c r="CG887" s="75">
        <f>CF887*(1-PARAM!$C$27)*$R$3+(MOD($B887/12,5)=0)*($B887&gt;60)*HLOOKUP($B887/12,Loyalty,2)*$F$1*MAX(CI886,0)</f>
        <v>0</v>
      </c>
      <c r="CH887" s="75">
        <f>PARAM!$C$26+MAX($P$3-CHOOSE(PARAM!$B$44,MAX(0,CI886*$F$1),0),0)*RATES!$L863/12+$Q$3*(PARAM!$D$51/12)*RATES!$N863/100</f>
        <v>1190.0416666666667</v>
      </c>
      <c r="CI887" s="16">
        <f>IF(CI886&gt;0,CI886*PARAM!$C$53,CI886)+CG887-CH887</f>
        <v>-239656.1249999998</v>
      </c>
      <c r="CJ887" s="15">
        <f t="shared" si="605"/>
        <v>0</v>
      </c>
      <c r="CK887" s="75">
        <f>CJ887*(1-PARAM!$C$27)*$R$4+(MOD($B887/12,5)=0)*($B887&gt;60)*HLOOKUP($B887/12,Loyalty,2)*$F$1*MAX(CM886,0)</f>
        <v>0</v>
      </c>
      <c r="CL887" s="75">
        <f>PARAM!$C$26+MAX($P$4-CHOOSE(PARAM!$B$44,MAX(0,CM886*$F$1),0),0)*RATES!$L863/12+$Q$4*(PARAM!$D$51/12)*RATES!$N863/100</f>
        <v>1190.0416666666667</v>
      </c>
      <c r="CM887" s="16">
        <f>IF(CM886&gt;0,CM886*PARAM!$C$53,CM886)+CK887-CL887</f>
        <v>-239656.1249999998</v>
      </c>
      <c r="CO887" s="176"/>
    </row>
    <row r="888" spans="1:93" x14ac:dyDescent="0.2">
      <c r="A888" t="b">
        <f t="shared" si="580"/>
        <v>0</v>
      </c>
      <c r="B888" s="33">
        <v>861</v>
      </c>
      <c r="C888" s="15">
        <f t="shared" si="581"/>
        <v>20.081305947392778</v>
      </c>
      <c r="D888" s="75">
        <f>C888*(1-PARAM!$C$27)*$I$3+(MOD($B888,60)=PARAM!$B$56)*($B888&gt;(60-PARAM!$B$56))*HLOOKUP(($B888+PARAM!$B$56)/12,Loyalty,2)*$F$1*MAX(F887,0)</f>
        <v>16.808053077967756</v>
      </c>
      <c r="E888" s="75">
        <f>PARAM!$C$26+MAX($G$3-CHOOSE(PARAM!$B$44,MAX(0,F887*$F$1),0),0)*RATES!$L864/12+$H$3*(PARAM!$D$51/12)*RATES!$N864/100</f>
        <v>1190.0416666666667</v>
      </c>
      <c r="F888" s="16">
        <f t="shared" si="582"/>
        <v>-226530.85815794062</v>
      </c>
      <c r="G888" s="15">
        <f t="shared" si="583"/>
        <v>22.035289406060361</v>
      </c>
      <c r="H888" s="75">
        <f>G888*(1-PARAM!$C$27)*$I$4+(MOD($B888,60)=PARAM!$B$56)*($B888&gt;(60-PARAM!$B$56))*HLOOKUP(($B888+PARAM!$B$56)/12,Loyalty,2)*$F$1*MAX(J887,0)</f>
        <v>18.443537232872522</v>
      </c>
      <c r="I888" s="75">
        <f>PARAM!$C$26+MAX($G$4-CHOOSE(PARAM!$B$44,MAX(0,J887*$F$1),0),0)*RATES!$L864/12+$H$4*(PARAM!$D$51/12)*RATES!$N864/100</f>
        <v>1190.0416666666667</v>
      </c>
      <c r="J888" s="16">
        <f t="shared" si="584"/>
        <v>-225088.87333644475</v>
      </c>
      <c r="K888" s="15">
        <f t="shared" si="585"/>
        <v>22.170849845882874</v>
      </c>
      <c r="L888" s="75">
        <f>K888*(1-PARAM!$C$27)*$I$5+(MOD($B888,60)=PARAM!$B$56)*($B888&gt;(60-PARAM!$B$56))*HLOOKUP(($B888+PARAM!$B$56)/12,Loyalty,2)*$F$1*MAX(N887,0)</f>
        <v>18.557001321003963</v>
      </c>
      <c r="M888" s="75">
        <f>PARAM!$C$26+MAX($G$5-CHOOSE(PARAM!$B$44,MAX(0,N887*$F$1),0),0)*RATES!$L864/12+$H$5*(PARAM!$D$51/12)*RATES!$N864/100</f>
        <v>1190.0416666666667</v>
      </c>
      <c r="N888" s="16">
        <f t="shared" si="586"/>
        <v>-224988.16322016451</v>
      </c>
      <c r="O888" s="15">
        <f t="shared" si="587"/>
        <v>22.170849845882874</v>
      </c>
      <c r="P888" s="75">
        <f>O888*(1-PARAM!$C$27)*$I$6+(MOD($B888,60)=PARAM!$B$56)*($B888&gt;(60-PARAM!$B$56))*HLOOKUP(($B888+PARAM!$B$56)/12,Loyalty,2)*$F$1*MAX(R887,0)</f>
        <v>18.557001321003963</v>
      </c>
      <c r="Q888" s="75">
        <f>PARAM!$C$26+MAX($G$6-CHOOSE(PARAM!$B$44,MAX(0,R887*$F$1),0),0)*RATES!$L864/12+$H$6*(PARAM!$D$51/12)*RATES!$N864/100</f>
        <v>1190.0416666666667</v>
      </c>
      <c r="R888" s="16">
        <f t="shared" si="588"/>
        <v>-224988.16322016451</v>
      </c>
      <c r="S888" s="15">
        <f t="shared" si="563"/>
        <v>22.170849845882874</v>
      </c>
      <c r="T888" s="75">
        <f>S888*(1-PARAM!$C$27)*$I$7+(MOD($B888,60)=PARAM!$B$56)*($B888&gt;(60-PARAM!$B$56))*HLOOKUP(($B888+PARAM!$B$56)/12,Loyalty,2)*$F$1*MAX(V887,0)</f>
        <v>18.557001321003963</v>
      </c>
      <c r="U888" s="75">
        <f>PARAM!$C$26+MAX($G$7-CHOOSE(PARAM!$B$44,MAX(0,V887*$F$1),0),0)*RATES!$L864/12+$H$7*(PARAM!$D$51/12)*RATES!$N864/100</f>
        <v>1190.0416666666667</v>
      </c>
      <c r="V888" s="16">
        <f t="shared" si="589"/>
        <v>-224988.16322016451</v>
      </c>
      <c r="W888" s="15">
        <f t="shared" si="564"/>
        <v>22.170849845882874</v>
      </c>
      <c r="X888" s="75">
        <f>W888*(1-PARAM!$C$27)*$I$8+(MOD($B888,60)=PARAM!$B$56)*($B888&gt;(60-PARAM!$B$56))*HLOOKUP(($B888+PARAM!$B$56)/12,Loyalty,2)*$F$1*MAX(Z887,0)</f>
        <v>18.557001321003963</v>
      </c>
      <c r="Y888" s="75">
        <f>PARAM!$C$26+MAX($G$8-CHOOSE(PARAM!$B$44,MAX(0,Z887*$F$1),0),0)*RATES!$L864/12+$H$8*(PARAM!$D$51/12)*RATES!$N864/100</f>
        <v>1190.0416666666667</v>
      </c>
      <c r="Z888" s="16">
        <f t="shared" si="590"/>
        <v>-224988.16322016451</v>
      </c>
      <c r="AA888" s="15">
        <f t="shared" si="565"/>
        <v>22.170849845882874</v>
      </c>
      <c r="AB888" s="75">
        <f>AA888*(1-PARAM!$C$27)*$I$9+(MOD($B888,60)=PARAM!$B$56)*($B888&gt;(60-PARAM!$B$56))*HLOOKUP(($B888+PARAM!$B$56)/12,Loyalty,2)*$F$1*MAX(AD887,0)</f>
        <v>18.557001321003963</v>
      </c>
      <c r="AC888" s="75">
        <f>PARAM!$C$26+MAX($G$9-CHOOSE(PARAM!$B$44,MAX(0,AD887*$F$1),0),0)*RATES!$L864/12+$H$9*(PARAM!$D$51/12)*RATES!$N864/100</f>
        <v>1190.0416666666667</v>
      </c>
      <c r="AD888" s="16">
        <f t="shared" si="591"/>
        <v>-224988.16322016451</v>
      </c>
      <c r="AE888" s="15">
        <f t="shared" si="566"/>
        <v>22.170849845882874</v>
      </c>
      <c r="AF888" s="75">
        <f>AE888*(1-PARAM!$C$27)*$I$10+(MOD($B888,60)=PARAM!$B$56)*($B888&gt;(60-PARAM!$B$56))*HLOOKUP(($B888+PARAM!$B$56)/12,Loyalty,2)*$F$1*MAX(AH887,0)</f>
        <v>18.557001321003963</v>
      </c>
      <c r="AG888" s="75">
        <f>PARAM!$C$26+MAX($G$10-CHOOSE(PARAM!$B$44,MAX(0,AH887*$F$1),0),0)*RATES!$L864/12+$H$10*(PARAM!$D$51/12)*RATES!$N864/100</f>
        <v>1190.0416666666667</v>
      </c>
      <c r="AH888" s="16">
        <f t="shared" si="592"/>
        <v>-224988.16322016451</v>
      </c>
      <c r="AI888" s="15">
        <f t="shared" si="567"/>
        <v>22.170849845882874</v>
      </c>
      <c r="AJ888" s="75">
        <f>AI888*(1-PARAM!$C$27)*$I$11+(MOD($B888,60)=PARAM!$B$56)*($B888&gt;(60-PARAM!$B$56))*HLOOKUP(($B888+PARAM!$B$56)/12,Loyalty,2)*$F$1*MAX(AL887,0)</f>
        <v>18.557001321003963</v>
      </c>
      <c r="AK888" s="75">
        <f>PARAM!$C$26+MAX($G$11-CHOOSE(PARAM!$B$44,MAX(0,AL887*$F$1),0),0)*RATES!$L864/12+$H$11*(PARAM!$D$51/12)*RATES!$N864/100</f>
        <v>1190.0416666666667</v>
      </c>
      <c r="AL888" s="16">
        <f t="shared" si="593"/>
        <v>-224988.16322016451</v>
      </c>
      <c r="AM888" s="15">
        <f t="shared" si="568"/>
        <v>22.170849845882874</v>
      </c>
      <c r="AN888" s="75">
        <f>AM888*(1-PARAM!$C$27)*$I$12+(MOD($B888,60)=PARAM!$B$56)*($B888&gt;(60-PARAM!$B$56))*HLOOKUP(($B888+PARAM!$B$56)/12,Loyalty,2)*$F$1*MAX(AP887,0)</f>
        <v>18.557001321003963</v>
      </c>
      <c r="AO888" s="75">
        <f>PARAM!$C$26+MAX($G$12-CHOOSE(PARAM!$B$44,MAX(0,AP887*$F$1),0),0)*RATES!$L864/12+$H$12*(PARAM!$D$51/12)*RATES!$N864/100</f>
        <v>1190.0416666666667</v>
      </c>
      <c r="AP888" s="16">
        <f t="shared" si="594"/>
        <v>-224988.16322016451</v>
      </c>
      <c r="AQ888" s="15">
        <f t="shared" si="569"/>
        <v>22.170849845882874</v>
      </c>
      <c r="AR888" s="75">
        <f>AQ888*(1-PARAM!$C$27)*$I$13+(MOD($B888,60)=PARAM!$B$56)*($B888&gt;(60-PARAM!$B$56))*HLOOKUP(($B888+PARAM!$B$56)/12,Loyalty,2)*$F$1*MAX(AT887,0)</f>
        <v>18.557001321003963</v>
      </c>
      <c r="AS888" s="75">
        <f>PARAM!$C$26+MAX($G$13-CHOOSE(PARAM!$B$44,MAX(0,AT887*$F$1),0),0)*RATES!$L864/12+$H$13*(PARAM!$D$51/12)*RATES!$N864/100</f>
        <v>1190.0416666666667</v>
      </c>
      <c r="AT888" s="16">
        <f t="shared" si="595"/>
        <v>-224988.16322016451</v>
      </c>
      <c r="AU888" s="15">
        <f t="shared" si="570"/>
        <v>22.170849845882874</v>
      </c>
      <c r="AV888" s="75">
        <f>AU888*(1-PARAM!$C$27)*$I$14+(MOD($B888,60)=PARAM!$B$56)*($B888&gt;(60-PARAM!$B$56))*HLOOKUP(($B888+PARAM!$B$56)/12,Loyalty,2)*$F$1*MAX(AX887,0)</f>
        <v>18.557001321003963</v>
      </c>
      <c r="AW888" s="75">
        <f>PARAM!$C$26+MAX($G$14-CHOOSE(PARAM!$B$44,MAX(0,AX887*$F$1),0),0)*RATES!$L864/12+$H$14*(PARAM!$D$51/12)*RATES!$N864/100</f>
        <v>1190.0416666666667</v>
      </c>
      <c r="AX888" s="16">
        <f t="shared" si="596"/>
        <v>-224988.16322016451</v>
      </c>
      <c r="AY888" s="15">
        <f t="shared" si="571"/>
        <v>22.170849845882874</v>
      </c>
      <c r="AZ888" s="75">
        <f>AY888*(1-PARAM!$C$27)*$I$15+(MOD($B888,60)=PARAM!$B$56)*($B888&gt;(60-PARAM!$B$56))*HLOOKUP(($B888+PARAM!$B$56)/12,Loyalty,2)*$F$1*MAX(BB887,0)</f>
        <v>18.557001321003963</v>
      </c>
      <c r="BA888" s="75">
        <f>PARAM!$C$26+MAX($G$15-CHOOSE(PARAM!$B$44,MAX(0,BB887*$F$1),0),0)*RATES!$L864/12+$H$15*(PARAM!$D$51/12)*RATES!$N864/100</f>
        <v>1190.0416666666667</v>
      </c>
      <c r="BB888" s="16">
        <f t="shared" si="597"/>
        <v>-224988.16322016451</v>
      </c>
      <c r="BC888" s="15">
        <f t="shared" si="572"/>
        <v>22.170849845882874</v>
      </c>
      <c r="BD888" s="75">
        <f>BC888*(1-PARAM!$C$27)*$I$16+(MOD($B888,60)=PARAM!$B$56)*($B888&gt;(60-PARAM!$B$56))*HLOOKUP(($B888+PARAM!$B$56)/12,Loyalty,2)*$F$1*MAX(BF887,0)</f>
        <v>18.557001321003963</v>
      </c>
      <c r="BE888" s="75">
        <f>PARAM!$C$26+MAX($G$16-CHOOSE(PARAM!$B$44,MAX(0,BF887*$F$1),0),0)*RATES!$L864/12+$H$16*(PARAM!$D$51/12)*RATES!$N864/100</f>
        <v>1190.0416666666667</v>
      </c>
      <c r="BF888" s="16">
        <f t="shared" si="598"/>
        <v>-224988.16322016451</v>
      </c>
      <c r="BG888" s="15">
        <f t="shared" si="573"/>
        <v>22.170849845882874</v>
      </c>
      <c r="BH888" s="75">
        <f>BG888*(1-PARAM!$C$27)*$I$17+(MOD($B888,60)=PARAM!$B$56)*($B888&gt;(60-PARAM!$B$56))*HLOOKUP(($B888+PARAM!$B$56)/12,Loyalty,2)*$F$1*MAX(BJ887,0)</f>
        <v>18.557001321003963</v>
      </c>
      <c r="BI888" s="75">
        <f>PARAM!$C$26+MAX($G$17-CHOOSE(PARAM!$B$44,MAX(0,BJ887*$F$1),0),0)*RATES!$L864/12+$H$17*(PARAM!$D$51/12)*RATES!$N864/100</f>
        <v>1190.0416666666667</v>
      </c>
      <c r="BJ888" s="16">
        <f t="shared" si="599"/>
        <v>-224988.16322016451</v>
      </c>
      <c r="BK888" s="15">
        <f t="shared" si="574"/>
        <v>22.170849845882874</v>
      </c>
      <c r="BL888" s="75">
        <f>BK888*(1-PARAM!$C$27)*$I$18+(MOD($B888,60)=PARAM!$B$56)*($B888&gt;(60-PARAM!$B$56))*HLOOKUP(($B888+PARAM!$B$56)/12,Loyalty,2)*$F$1*MAX(BN887,0)</f>
        <v>18.557001321003963</v>
      </c>
      <c r="BM888" s="75">
        <f>PARAM!$C$26+MAX($G$18-CHOOSE(PARAM!$B$44,MAX(0,BN887*$F$1),0),0)*RATES!$L864/12+$H$18*(PARAM!$D$51/12)*RATES!$N864/100</f>
        <v>1190.0416666666667</v>
      </c>
      <c r="BN888" s="16">
        <f t="shared" si="600"/>
        <v>-224988.16322016451</v>
      </c>
      <c r="BO888" s="15">
        <f t="shared" si="575"/>
        <v>22.170849845882874</v>
      </c>
      <c r="BP888" s="75">
        <f>BO888*(1-PARAM!$C$27)*$I$19+(MOD($B888,60)=PARAM!$B$56)*($B888&gt;(60-PARAM!$B$56))*HLOOKUP(($B888+PARAM!$B$56)/12,Loyalty,2)*$F$1*MAX(BR887,0)</f>
        <v>18.557001321003963</v>
      </c>
      <c r="BQ888" s="75">
        <f>PARAM!$C$26+MAX($G$19-CHOOSE(PARAM!$B$44,MAX(0,BR887*$F$1),0),0)*RATES!$L864/12+$H$19*(PARAM!$D$51/12)*RATES!$N864/100</f>
        <v>1190.0416666666667</v>
      </c>
      <c r="BR888" s="16">
        <f t="shared" si="601"/>
        <v>-224988.16322016451</v>
      </c>
      <c r="BS888" s="15">
        <f t="shared" si="576"/>
        <v>22.170849845882874</v>
      </c>
      <c r="BT888" s="75">
        <f>BS888*(1-PARAM!$C$27)*$I$20+(MOD($B888,60)=PARAM!$B$56)*($B888&gt;(60-PARAM!$B$56))*HLOOKUP(($B888+PARAM!$B$56)/12,Loyalty,2)*$F$1*MAX(BV887,0)</f>
        <v>18.557001321003963</v>
      </c>
      <c r="BU888" s="75">
        <f>PARAM!$C$26+MAX($G$20-CHOOSE(PARAM!$B$44,MAX(0,BV887*$F$1),0),0)*RATES!$L864/12+$H$20*(PARAM!$D$51/12)*RATES!$N864/100</f>
        <v>1190.0416666666667</v>
      </c>
      <c r="BV888" s="16">
        <f t="shared" si="602"/>
        <v>-224988.16322016451</v>
      </c>
      <c r="BW888" s="15">
        <f t="shared" si="577"/>
        <v>22.170849845882874</v>
      </c>
      <c r="BX888" s="75">
        <f>BW888*(1-PARAM!$C$27)*$I$21+(MOD($B888,60)=PARAM!$B$56)*($B888&gt;(60-PARAM!$B$56))*HLOOKUP(($B888+PARAM!$B$56)/12,Loyalty,2)*$F$1*MAX(BZ887,0)</f>
        <v>18.557001321003963</v>
      </c>
      <c r="BY888" s="75">
        <f>PARAM!$C$26+MAX($G$21-CHOOSE(PARAM!$B$44,MAX(0,BZ887*$F$1),0),0)*RATES!$L864/12+$H$21*(PARAM!$D$51/12)*RATES!$N864/100</f>
        <v>1190.0416666666667</v>
      </c>
      <c r="BZ888" s="16">
        <f t="shared" si="603"/>
        <v>-224988.16322016451</v>
      </c>
      <c r="CA888" s="15">
        <f t="shared" si="578"/>
        <v>22.170849845882874</v>
      </c>
      <c r="CB888" s="75">
        <f>CA888*(1-PARAM!$C$27)*$I$22+(MOD($B888,60)=PARAM!$B$56)*($B888&gt;(60-PARAM!$B$56))*HLOOKUP(($B888+PARAM!$B$56)/12,Loyalty,2)*$F$1*MAX(CD887,0)</f>
        <v>18.557001321003963</v>
      </c>
      <c r="CC888" s="75">
        <f>PARAM!$C$26+MAX($G$22-CHOOSE(PARAM!$B$44,MAX(0,CD887*$F$1),0),0)*RATES!$L864/12+$H$22*(PARAM!$D$51/12)*RATES!$N864/100</f>
        <v>1190.0416666666667</v>
      </c>
      <c r="CD888" s="16">
        <f t="shared" si="604"/>
        <v>-224988.16322016451</v>
      </c>
      <c r="CE888" s="33">
        <f>IF(0=MOD(B888,12/PARAM!$D$51),1,0)</f>
        <v>1</v>
      </c>
      <c r="CF888" s="15">
        <f t="shared" si="579"/>
        <v>0</v>
      </c>
      <c r="CG888" s="75">
        <f>CF888*(1-PARAM!$C$27)*$R$3+(MOD($B888/12,5)=0)*($B888&gt;60)*HLOOKUP($B888/12,Loyalty,2)*$F$1*MAX(CI887,0)</f>
        <v>0</v>
      </c>
      <c r="CH888" s="75">
        <f>PARAM!$C$26+MAX($P$3-CHOOSE(PARAM!$B$44,MAX(0,CI887*$F$1),0),0)*RATES!$L864/12+$Q$3*(PARAM!$D$51/12)*RATES!$N864/100</f>
        <v>1190.0416666666667</v>
      </c>
      <c r="CI888" s="16">
        <f>IF(CI887&gt;0,CI887*PARAM!$C$53,CI887)+CG888-CH888</f>
        <v>-240846.16666666645</v>
      </c>
      <c r="CJ888" s="15">
        <f t="shared" si="605"/>
        <v>0</v>
      </c>
      <c r="CK888" s="75">
        <f>CJ888*(1-PARAM!$C$27)*$R$4+(MOD($B888/12,5)=0)*($B888&gt;60)*HLOOKUP($B888/12,Loyalty,2)*$F$1*MAX(CM887,0)</f>
        <v>0</v>
      </c>
      <c r="CL888" s="75">
        <f>PARAM!$C$26+MAX($P$4-CHOOSE(PARAM!$B$44,MAX(0,CM887*$F$1),0),0)*RATES!$L864/12+$Q$4*(PARAM!$D$51/12)*RATES!$N864/100</f>
        <v>1190.0416666666667</v>
      </c>
      <c r="CM888" s="16">
        <f>IF(CM887&gt;0,CM887*PARAM!$C$53,CM887)+CK888-CL888</f>
        <v>-240846.16666666645</v>
      </c>
      <c r="CO888" s="176"/>
    </row>
    <row r="889" spans="1:93" x14ac:dyDescent="0.2">
      <c r="A889" t="b">
        <f t="shared" si="580"/>
        <v>0</v>
      </c>
      <c r="B889" s="33">
        <v>862</v>
      </c>
      <c r="C889" s="15">
        <f t="shared" si="581"/>
        <v>20.081305947392778</v>
      </c>
      <c r="D889" s="75">
        <f>C889*(1-PARAM!$C$27)*$I$3+(MOD($B889,60)=PARAM!$B$56)*($B889&gt;(60-PARAM!$B$56))*HLOOKUP(($B889+PARAM!$B$56)/12,Loyalty,2)*$F$1*MAX(F888,0)</f>
        <v>16.808053077967756</v>
      </c>
      <c r="E889" s="75">
        <f>PARAM!$C$26+MAX($G$3-CHOOSE(PARAM!$B$44,MAX(0,F888*$F$1),0),0)*RATES!$L865/12+$H$3*(PARAM!$D$51/12)*RATES!$N865/100</f>
        <v>1190.0416666666667</v>
      </c>
      <c r="F889" s="16">
        <f t="shared" si="582"/>
        <v>-227704.09177152932</v>
      </c>
      <c r="G889" s="15">
        <f t="shared" si="583"/>
        <v>22.035289406060361</v>
      </c>
      <c r="H889" s="75">
        <f>G889*(1-PARAM!$C$27)*$I$4+(MOD($B889,60)=PARAM!$B$56)*($B889&gt;(60-PARAM!$B$56))*HLOOKUP(($B889+PARAM!$B$56)/12,Loyalty,2)*$F$1*MAX(J888,0)</f>
        <v>18.443537232872522</v>
      </c>
      <c r="I889" s="75">
        <f>PARAM!$C$26+MAX($G$4-CHOOSE(PARAM!$B$44,MAX(0,J888*$F$1),0),0)*RATES!$L865/12+$H$4*(PARAM!$D$51/12)*RATES!$N865/100</f>
        <v>1190.0416666666667</v>
      </c>
      <c r="J889" s="16">
        <f t="shared" si="584"/>
        <v>-226260.47146587854</v>
      </c>
      <c r="K889" s="15">
        <f t="shared" si="585"/>
        <v>22.170849845882874</v>
      </c>
      <c r="L889" s="75">
        <f>K889*(1-PARAM!$C$27)*$I$5+(MOD($B889,60)=PARAM!$B$56)*($B889&gt;(60-PARAM!$B$56))*HLOOKUP(($B889+PARAM!$B$56)/12,Loyalty,2)*$F$1*MAX(N888,0)</f>
        <v>18.557001321003963</v>
      </c>
      <c r="M889" s="75">
        <f>PARAM!$C$26+MAX($G$5-CHOOSE(PARAM!$B$44,MAX(0,N888*$F$1),0),0)*RATES!$L865/12+$H$5*(PARAM!$D$51/12)*RATES!$N865/100</f>
        <v>1190.0416666666667</v>
      </c>
      <c r="N889" s="16">
        <f t="shared" si="586"/>
        <v>-226159.64788551017</v>
      </c>
      <c r="O889" s="15">
        <f t="shared" si="587"/>
        <v>22.170849845882874</v>
      </c>
      <c r="P889" s="75">
        <f>O889*(1-PARAM!$C$27)*$I$6+(MOD($B889,60)=PARAM!$B$56)*($B889&gt;(60-PARAM!$B$56))*HLOOKUP(($B889+PARAM!$B$56)/12,Loyalty,2)*$F$1*MAX(R888,0)</f>
        <v>18.557001321003963</v>
      </c>
      <c r="Q889" s="75">
        <f>PARAM!$C$26+MAX($G$6-CHOOSE(PARAM!$B$44,MAX(0,R888*$F$1),0),0)*RATES!$L865/12+$H$6*(PARAM!$D$51/12)*RATES!$N865/100</f>
        <v>1190.0416666666667</v>
      </c>
      <c r="R889" s="16">
        <f t="shared" si="588"/>
        <v>-226159.64788551017</v>
      </c>
      <c r="S889" s="15">
        <f t="shared" si="563"/>
        <v>22.170849845882874</v>
      </c>
      <c r="T889" s="75">
        <f>S889*(1-PARAM!$C$27)*$I$7+(MOD($B889,60)=PARAM!$B$56)*($B889&gt;(60-PARAM!$B$56))*HLOOKUP(($B889+PARAM!$B$56)/12,Loyalty,2)*$F$1*MAX(V888,0)</f>
        <v>18.557001321003963</v>
      </c>
      <c r="U889" s="75">
        <f>PARAM!$C$26+MAX($G$7-CHOOSE(PARAM!$B$44,MAX(0,V888*$F$1),0),0)*RATES!$L865/12+$H$7*(PARAM!$D$51/12)*RATES!$N865/100</f>
        <v>1190.0416666666667</v>
      </c>
      <c r="V889" s="16">
        <f t="shared" si="589"/>
        <v>-226159.64788551017</v>
      </c>
      <c r="W889" s="15">
        <f t="shared" si="564"/>
        <v>22.170849845882874</v>
      </c>
      <c r="X889" s="75">
        <f>W889*(1-PARAM!$C$27)*$I$8+(MOD($B889,60)=PARAM!$B$56)*($B889&gt;(60-PARAM!$B$56))*HLOOKUP(($B889+PARAM!$B$56)/12,Loyalty,2)*$F$1*MAX(Z888,0)</f>
        <v>18.557001321003963</v>
      </c>
      <c r="Y889" s="75">
        <f>PARAM!$C$26+MAX($G$8-CHOOSE(PARAM!$B$44,MAX(0,Z888*$F$1),0),0)*RATES!$L865/12+$H$8*(PARAM!$D$51/12)*RATES!$N865/100</f>
        <v>1190.0416666666667</v>
      </c>
      <c r="Z889" s="16">
        <f t="shared" si="590"/>
        <v>-226159.64788551017</v>
      </c>
      <c r="AA889" s="15">
        <f t="shared" si="565"/>
        <v>22.170849845882874</v>
      </c>
      <c r="AB889" s="75">
        <f>AA889*(1-PARAM!$C$27)*$I$9+(MOD($B889,60)=PARAM!$B$56)*($B889&gt;(60-PARAM!$B$56))*HLOOKUP(($B889+PARAM!$B$56)/12,Loyalty,2)*$F$1*MAX(AD888,0)</f>
        <v>18.557001321003963</v>
      </c>
      <c r="AC889" s="75">
        <f>PARAM!$C$26+MAX($G$9-CHOOSE(PARAM!$B$44,MAX(0,AD888*$F$1),0),0)*RATES!$L865/12+$H$9*(PARAM!$D$51/12)*RATES!$N865/100</f>
        <v>1190.0416666666667</v>
      </c>
      <c r="AD889" s="16">
        <f t="shared" si="591"/>
        <v>-226159.64788551017</v>
      </c>
      <c r="AE889" s="15">
        <f t="shared" si="566"/>
        <v>22.170849845882874</v>
      </c>
      <c r="AF889" s="75">
        <f>AE889*(1-PARAM!$C$27)*$I$10+(MOD($B889,60)=PARAM!$B$56)*($B889&gt;(60-PARAM!$B$56))*HLOOKUP(($B889+PARAM!$B$56)/12,Loyalty,2)*$F$1*MAX(AH888,0)</f>
        <v>18.557001321003963</v>
      </c>
      <c r="AG889" s="75">
        <f>PARAM!$C$26+MAX($G$10-CHOOSE(PARAM!$B$44,MAX(0,AH888*$F$1),0),0)*RATES!$L865/12+$H$10*(PARAM!$D$51/12)*RATES!$N865/100</f>
        <v>1190.0416666666667</v>
      </c>
      <c r="AH889" s="16">
        <f t="shared" si="592"/>
        <v>-226159.64788551017</v>
      </c>
      <c r="AI889" s="15">
        <f t="shared" si="567"/>
        <v>22.170849845882874</v>
      </c>
      <c r="AJ889" s="75">
        <f>AI889*(1-PARAM!$C$27)*$I$11+(MOD($B889,60)=PARAM!$B$56)*($B889&gt;(60-PARAM!$B$56))*HLOOKUP(($B889+PARAM!$B$56)/12,Loyalty,2)*$F$1*MAX(AL888,0)</f>
        <v>18.557001321003963</v>
      </c>
      <c r="AK889" s="75">
        <f>PARAM!$C$26+MAX($G$11-CHOOSE(PARAM!$B$44,MAX(0,AL888*$F$1),0),0)*RATES!$L865/12+$H$11*(PARAM!$D$51/12)*RATES!$N865/100</f>
        <v>1190.0416666666667</v>
      </c>
      <c r="AL889" s="16">
        <f t="shared" si="593"/>
        <v>-226159.64788551017</v>
      </c>
      <c r="AM889" s="15">
        <f t="shared" si="568"/>
        <v>22.170849845882874</v>
      </c>
      <c r="AN889" s="75">
        <f>AM889*(1-PARAM!$C$27)*$I$12+(MOD($B889,60)=PARAM!$B$56)*($B889&gt;(60-PARAM!$B$56))*HLOOKUP(($B889+PARAM!$B$56)/12,Loyalty,2)*$F$1*MAX(AP888,0)</f>
        <v>18.557001321003963</v>
      </c>
      <c r="AO889" s="75">
        <f>PARAM!$C$26+MAX($G$12-CHOOSE(PARAM!$B$44,MAX(0,AP888*$F$1),0),0)*RATES!$L865/12+$H$12*(PARAM!$D$51/12)*RATES!$N865/100</f>
        <v>1190.0416666666667</v>
      </c>
      <c r="AP889" s="16">
        <f t="shared" si="594"/>
        <v>-226159.64788551017</v>
      </c>
      <c r="AQ889" s="15">
        <f t="shared" si="569"/>
        <v>22.170849845882874</v>
      </c>
      <c r="AR889" s="75">
        <f>AQ889*(1-PARAM!$C$27)*$I$13+(MOD($B889,60)=PARAM!$B$56)*($B889&gt;(60-PARAM!$B$56))*HLOOKUP(($B889+PARAM!$B$56)/12,Loyalty,2)*$F$1*MAX(AT888,0)</f>
        <v>18.557001321003963</v>
      </c>
      <c r="AS889" s="75">
        <f>PARAM!$C$26+MAX($G$13-CHOOSE(PARAM!$B$44,MAX(0,AT888*$F$1),0),0)*RATES!$L865/12+$H$13*(PARAM!$D$51/12)*RATES!$N865/100</f>
        <v>1190.0416666666667</v>
      </c>
      <c r="AT889" s="16">
        <f t="shared" si="595"/>
        <v>-226159.64788551017</v>
      </c>
      <c r="AU889" s="15">
        <f t="shared" si="570"/>
        <v>22.170849845882874</v>
      </c>
      <c r="AV889" s="75">
        <f>AU889*(1-PARAM!$C$27)*$I$14+(MOD($B889,60)=PARAM!$B$56)*($B889&gt;(60-PARAM!$B$56))*HLOOKUP(($B889+PARAM!$B$56)/12,Loyalty,2)*$F$1*MAX(AX888,0)</f>
        <v>18.557001321003963</v>
      </c>
      <c r="AW889" s="75">
        <f>PARAM!$C$26+MAX($G$14-CHOOSE(PARAM!$B$44,MAX(0,AX888*$F$1),0),0)*RATES!$L865/12+$H$14*(PARAM!$D$51/12)*RATES!$N865/100</f>
        <v>1190.0416666666667</v>
      </c>
      <c r="AX889" s="16">
        <f t="shared" si="596"/>
        <v>-226159.64788551017</v>
      </c>
      <c r="AY889" s="15">
        <f t="shared" si="571"/>
        <v>22.170849845882874</v>
      </c>
      <c r="AZ889" s="75">
        <f>AY889*(1-PARAM!$C$27)*$I$15+(MOD($B889,60)=PARAM!$B$56)*($B889&gt;(60-PARAM!$B$56))*HLOOKUP(($B889+PARAM!$B$56)/12,Loyalty,2)*$F$1*MAX(BB888,0)</f>
        <v>18.557001321003963</v>
      </c>
      <c r="BA889" s="75">
        <f>PARAM!$C$26+MAX($G$15-CHOOSE(PARAM!$B$44,MAX(0,BB888*$F$1),0),0)*RATES!$L865/12+$H$15*(PARAM!$D$51/12)*RATES!$N865/100</f>
        <v>1190.0416666666667</v>
      </c>
      <c r="BB889" s="16">
        <f t="shared" si="597"/>
        <v>-226159.64788551017</v>
      </c>
      <c r="BC889" s="15">
        <f t="shared" si="572"/>
        <v>22.170849845882874</v>
      </c>
      <c r="BD889" s="75">
        <f>BC889*(1-PARAM!$C$27)*$I$16+(MOD($B889,60)=PARAM!$B$56)*($B889&gt;(60-PARAM!$B$56))*HLOOKUP(($B889+PARAM!$B$56)/12,Loyalty,2)*$F$1*MAX(BF888,0)</f>
        <v>18.557001321003963</v>
      </c>
      <c r="BE889" s="75">
        <f>PARAM!$C$26+MAX($G$16-CHOOSE(PARAM!$B$44,MAX(0,BF888*$F$1),0),0)*RATES!$L865/12+$H$16*(PARAM!$D$51/12)*RATES!$N865/100</f>
        <v>1190.0416666666667</v>
      </c>
      <c r="BF889" s="16">
        <f t="shared" si="598"/>
        <v>-226159.64788551017</v>
      </c>
      <c r="BG889" s="15">
        <f t="shared" si="573"/>
        <v>22.170849845882874</v>
      </c>
      <c r="BH889" s="75">
        <f>BG889*(1-PARAM!$C$27)*$I$17+(MOD($B889,60)=PARAM!$B$56)*($B889&gt;(60-PARAM!$B$56))*HLOOKUP(($B889+PARAM!$B$56)/12,Loyalty,2)*$F$1*MAX(BJ888,0)</f>
        <v>18.557001321003963</v>
      </c>
      <c r="BI889" s="75">
        <f>PARAM!$C$26+MAX($G$17-CHOOSE(PARAM!$B$44,MAX(0,BJ888*$F$1),0),0)*RATES!$L865/12+$H$17*(PARAM!$D$51/12)*RATES!$N865/100</f>
        <v>1190.0416666666667</v>
      </c>
      <c r="BJ889" s="16">
        <f t="shared" si="599"/>
        <v>-226159.64788551017</v>
      </c>
      <c r="BK889" s="15">
        <f t="shared" si="574"/>
        <v>22.170849845882874</v>
      </c>
      <c r="BL889" s="75">
        <f>BK889*(1-PARAM!$C$27)*$I$18+(MOD($B889,60)=PARAM!$B$56)*($B889&gt;(60-PARAM!$B$56))*HLOOKUP(($B889+PARAM!$B$56)/12,Loyalty,2)*$F$1*MAX(BN888,0)</f>
        <v>18.557001321003963</v>
      </c>
      <c r="BM889" s="75">
        <f>PARAM!$C$26+MAX($G$18-CHOOSE(PARAM!$B$44,MAX(0,BN888*$F$1),0),0)*RATES!$L865/12+$H$18*(PARAM!$D$51/12)*RATES!$N865/100</f>
        <v>1190.0416666666667</v>
      </c>
      <c r="BN889" s="16">
        <f t="shared" si="600"/>
        <v>-226159.64788551017</v>
      </c>
      <c r="BO889" s="15">
        <f t="shared" si="575"/>
        <v>22.170849845882874</v>
      </c>
      <c r="BP889" s="75">
        <f>BO889*(1-PARAM!$C$27)*$I$19+(MOD($B889,60)=PARAM!$B$56)*($B889&gt;(60-PARAM!$B$56))*HLOOKUP(($B889+PARAM!$B$56)/12,Loyalty,2)*$F$1*MAX(BR888,0)</f>
        <v>18.557001321003963</v>
      </c>
      <c r="BQ889" s="75">
        <f>PARAM!$C$26+MAX($G$19-CHOOSE(PARAM!$B$44,MAX(0,BR888*$F$1),0),0)*RATES!$L865/12+$H$19*(PARAM!$D$51/12)*RATES!$N865/100</f>
        <v>1190.0416666666667</v>
      </c>
      <c r="BR889" s="16">
        <f t="shared" si="601"/>
        <v>-226159.64788551017</v>
      </c>
      <c r="BS889" s="15">
        <f t="shared" si="576"/>
        <v>22.170849845882874</v>
      </c>
      <c r="BT889" s="75">
        <f>BS889*(1-PARAM!$C$27)*$I$20+(MOD($B889,60)=PARAM!$B$56)*($B889&gt;(60-PARAM!$B$56))*HLOOKUP(($B889+PARAM!$B$56)/12,Loyalty,2)*$F$1*MAX(BV888,0)</f>
        <v>18.557001321003963</v>
      </c>
      <c r="BU889" s="75">
        <f>PARAM!$C$26+MAX($G$20-CHOOSE(PARAM!$B$44,MAX(0,BV888*$F$1),0),0)*RATES!$L865/12+$H$20*(PARAM!$D$51/12)*RATES!$N865/100</f>
        <v>1190.0416666666667</v>
      </c>
      <c r="BV889" s="16">
        <f t="shared" si="602"/>
        <v>-226159.64788551017</v>
      </c>
      <c r="BW889" s="15">
        <f t="shared" si="577"/>
        <v>22.170849845882874</v>
      </c>
      <c r="BX889" s="75">
        <f>BW889*(1-PARAM!$C$27)*$I$21+(MOD($B889,60)=PARAM!$B$56)*($B889&gt;(60-PARAM!$B$56))*HLOOKUP(($B889+PARAM!$B$56)/12,Loyalty,2)*$F$1*MAX(BZ888,0)</f>
        <v>18.557001321003963</v>
      </c>
      <c r="BY889" s="75">
        <f>PARAM!$C$26+MAX($G$21-CHOOSE(PARAM!$B$44,MAX(0,BZ888*$F$1),0),0)*RATES!$L865/12+$H$21*(PARAM!$D$51/12)*RATES!$N865/100</f>
        <v>1190.0416666666667</v>
      </c>
      <c r="BZ889" s="16">
        <f t="shared" si="603"/>
        <v>-226159.64788551017</v>
      </c>
      <c r="CA889" s="15">
        <f t="shared" si="578"/>
        <v>22.170849845882874</v>
      </c>
      <c r="CB889" s="75">
        <f>CA889*(1-PARAM!$C$27)*$I$22+(MOD($B889,60)=PARAM!$B$56)*($B889&gt;(60-PARAM!$B$56))*HLOOKUP(($B889+PARAM!$B$56)/12,Loyalty,2)*$F$1*MAX(CD888,0)</f>
        <v>18.557001321003963</v>
      </c>
      <c r="CC889" s="75">
        <f>PARAM!$C$26+MAX($G$22-CHOOSE(PARAM!$B$44,MAX(0,CD888*$F$1),0),0)*RATES!$L865/12+$H$22*(PARAM!$D$51/12)*RATES!$N865/100</f>
        <v>1190.0416666666667</v>
      </c>
      <c r="CD889" s="16">
        <f t="shared" si="604"/>
        <v>-226159.64788551017</v>
      </c>
      <c r="CE889" s="33">
        <f>IF(0=MOD(B889,12/PARAM!$D$51),1,0)</f>
        <v>1</v>
      </c>
      <c r="CF889" s="15">
        <f t="shared" si="579"/>
        <v>0</v>
      </c>
      <c r="CG889" s="75">
        <f>CF889*(1-PARAM!$C$27)*$R$3+(MOD($B889/12,5)=0)*($B889&gt;60)*HLOOKUP($B889/12,Loyalty,2)*$F$1*MAX(CI888,0)</f>
        <v>0</v>
      </c>
      <c r="CH889" s="75">
        <f>PARAM!$C$26+MAX($P$3-CHOOSE(PARAM!$B$44,MAX(0,CI888*$F$1),0),0)*RATES!$L865/12+$Q$3*(PARAM!$D$51/12)*RATES!$N865/100</f>
        <v>1190.0416666666667</v>
      </c>
      <c r="CI889" s="16">
        <f>IF(CI888&gt;0,CI888*PARAM!$C$53,CI888)+CG889-CH889</f>
        <v>-242036.20833333311</v>
      </c>
      <c r="CJ889" s="15">
        <f t="shared" si="605"/>
        <v>0</v>
      </c>
      <c r="CK889" s="75">
        <f>CJ889*(1-PARAM!$C$27)*$R$4+(MOD($B889/12,5)=0)*($B889&gt;60)*HLOOKUP($B889/12,Loyalty,2)*$F$1*MAX(CM888,0)</f>
        <v>0</v>
      </c>
      <c r="CL889" s="75">
        <f>PARAM!$C$26+MAX($P$4-CHOOSE(PARAM!$B$44,MAX(0,CM888*$F$1),0),0)*RATES!$L865/12+$Q$4*(PARAM!$D$51/12)*RATES!$N865/100</f>
        <v>1190.0416666666667</v>
      </c>
      <c r="CM889" s="16">
        <f>IF(CM888&gt;0,CM888*PARAM!$C$53,CM888)+CK889-CL889</f>
        <v>-242036.20833333311</v>
      </c>
      <c r="CO889" s="176"/>
    </row>
    <row r="890" spans="1:93" x14ac:dyDescent="0.2">
      <c r="A890" t="b">
        <f t="shared" si="580"/>
        <v>0</v>
      </c>
      <c r="B890" s="33">
        <v>863</v>
      </c>
      <c r="C890" s="15">
        <f t="shared" si="581"/>
        <v>20.081305947392778</v>
      </c>
      <c r="D890" s="75">
        <f>C890*(1-PARAM!$C$27)*$I$3+(MOD($B890,60)=PARAM!$B$56)*($B890&gt;(60-PARAM!$B$56))*HLOOKUP(($B890+PARAM!$B$56)/12,Loyalty,2)*$F$1*MAX(F889,0)</f>
        <v>16.808053077967756</v>
      </c>
      <c r="E890" s="75">
        <f>PARAM!$C$26+MAX($G$3-CHOOSE(PARAM!$B$44,MAX(0,F889*$F$1),0),0)*RATES!$L866/12+$H$3*(PARAM!$D$51/12)*RATES!$N866/100</f>
        <v>1190.0416666666667</v>
      </c>
      <c r="F890" s="16">
        <f t="shared" si="582"/>
        <v>-228877.32538511802</v>
      </c>
      <c r="G890" s="15">
        <f t="shared" si="583"/>
        <v>22.035289406060361</v>
      </c>
      <c r="H890" s="75">
        <f>G890*(1-PARAM!$C$27)*$I$4+(MOD($B890,60)=PARAM!$B$56)*($B890&gt;(60-PARAM!$B$56))*HLOOKUP(($B890+PARAM!$B$56)/12,Loyalty,2)*$F$1*MAX(J889,0)</f>
        <v>18.443537232872522</v>
      </c>
      <c r="I890" s="75">
        <f>PARAM!$C$26+MAX($G$4-CHOOSE(PARAM!$B$44,MAX(0,J889*$F$1),0),0)*RATES!$L866/12+$H$4*(PARAM!$D$51/12)*RATES!$N866/100</f>
        <v>1190.0416666666667</v>
      </c>
      <c r="J890" s="16">
        <f t="shared" si="584"/>
        <v>-227432.06959531232</v>
      </c>
      <c r="K890" s="15">
        <f t="shared" si="585"/>
        <v>22.170849845882874</v>
      </c>
      <c r="L890" s="75">
        <f>K890*(1-PARAM!$C$27)*$I$5+(MOD($B890,60)=PARAM!$B$56)*($B890&gt;(60-PARAM!$B$56))*HLOOKUP(($B890+PARAM!$B$56)/12,Loyalty,2)*$F$1*MAX(N889,0)</f>
        <v>18.557001321003963</v>
      </c>
      <c r="M890" s="75">
        <f>PARAM!$C$26+MAX($G$5-CHOOSE(PARAM!$B$44,MAX(0,N889*$F$1),0),0)*RATES!$L866/12+$H$5*(PARAM!$D$51/12)*RATES!$N866/100</f>
        <v>1190.0416666666667</v>
      </c>
      <c r="N890" s="16">
        <f t="shared" si="586"/>
        <v>-227331.13255085584</v>
      </c>
      <c r="O890" s="15">
        <f t="shared" si="587"/>
        <v>22.170849845882874</v>
      </c>
      <c r="P890" s="75">
        <f>O890*(1-PARAM!$C$27)*$I$6+(MOD($B890,60)=PARAM!$B$56)*($B890&gt;(60-PARAM!$B$56))*HLOOKUP(($B890+PARAM!$B$56)/12,Loyalty,2)*$F$1*MAX(R889,0)</f>
        <v>18.557001321003963</v>
      </c>
      <c r="Q890" s="75">
        <f>PARAM!$C$26+MAX($G$6-CHOOSE(PARAM!$B$44,MAX(0,R889*$F$1),0),0)*RATES!$L866/12+$H$6*(PARAM!$D$51/12)*RATES!$N866/100</f>
        <v>1190.0416666666667</v>
      </c>
      <c r="R890" s="16">
        <f t="shared" si="588"/>
        <v>-227331.13255085584</v>
      </c>
      <c r="S890" s="15">
        <f t="shared" si="563"/>
        <v>22.170849845882874</v>
      </c>
      <c r="T890" s="75">
        <f>S890*(1-PARAM!$C$27)*$I$7+(MOD($B890,60)=PARAM!$B$56)*($B890&gt;(60-PARAM!$B$56))*HLOOKUP(($B890+PARAM!$B$56)/12,Loyalty,2)*$F$1*MAX(V889,0)</f>
        <v>18.557001321003963</v>
      </c>
      <c r="U890" s="75">
        <f>PARAM!$C$26+MAX($G$7-CHOOSE(PARAM!$B$44,MAX(0,V889*$F$1),0),0)*RATES!$L866/12+$H$7*(PARAM!$D$51/12)*RATES!$N866/100</f>
        <v>1190.0416666666667</v>
      </c>
      <c r="V890" s="16">
        <f t="shared" si="589"/>
        <v>-227331.13255085584</v>
      </c>
      <c r="W890" s="15">
        <f t="shared" si="564"/>
        <v>22.170849845882874</v>
      </c>
      <c r="X890" s="75">
        <f>W890*(1-PARAM!$C$27)*$I$8+(MOD($B890,60)=PARAM!$B$56)*($B890&gt;(60-PARAM!$B$56))*HLOOKUP(($B890+PARAM!$B$56)/12,Loyalty,2)*$F$1*MAX(Z889,0)</f>
        <v>18.557001321003963</v>
      </c>
      <c r="Y890" s="75">
        <f>PARAM!$C$26+MAX($G$8-CHOOSE(PARAM!$B$44,MAX(0,Z889*$F$1),0),0)*RATES!$L866/12+$H$8*(PARAM!$D$51/12)*RATES!$N866/100</f>
        <v>1190.0416666666667</v>
      </c>
      <c r="Z890" s="16">
        <f t="shared" si="590"/>
        <v>-227331.13255085584</v>
      </c>
      <c r="AA890" s="15">
        <f t="shared" si="565"/>
        <v>22.170849845882874</v>
      </c>
      <c r="AB890" s="75">
        <f>AA890*(1-PARAM!$C$27)*$I$9+(MOD($B890,60)=PARAM!$B$56)*($B890&gt;(60-PARAM!$B$56))*HLOOKUP(($B890+PARAM!$B$56)/12,Loyalty,2)*$F$1*MAX(AD889,0)</f>
        <v>18.557001321003963</v>
      </c>
      <c r="AC890" s="75">
        <f>PARAM!$C$26+MAX($G$9-CHOOSE(PARAM!$B$44,MAX(0,AD889*$F$1),0),0)*RATES!$L866/12+$H$9*(PARAM!$D$51/12)*RATES!$N866/100</f>
        <v>1190.0416666666667</v>
      </c>
      <c r="AD890" s="16">
        <f t="shared" si="591"/>
        <v>-227331.13255085584</v>
      </c>
      <c r="AE890" s="15">
        <f t="shared" si="566"/>
        <v>22.170849845882874</v>
      </c>
      <c r="AF890" s="75">
        <f>AE890*(1-PARAM!$C$27)*$I$10+(MOD($B890,60)=PARAM!$B$56)*($B890&gt;(60-PARAM!$B$56))*HLOOKUP(($B890+PARAM!$B$56)/12,Loyalty,2)*$F$1*MAX(AH889,0)</f>
        <v>18.557001321003963</v>
      </c>
      <c r="AG890" s="75">
        <f>PARAM!$C$26+MAX($G$10-CHOOSE(PARAM!$B$44,MAX(0,AH889*$F$1),0),0)*RATES!$L866/12+$H$10*(PARAM!$D$51/12)*RATES!$N866/100</f>
        <v>1190.0416666666667</v>
      </c>
      <c r="AH890" s="16">
        <f t="shared" si="592"/>
        <v>-227331.13255085584</v>
      </c>
      <c r="AI890" s="15">
        <f t="shared" si="567"/>
        <v>22.170849845882874</v>
      </c>
      <c r="AJ890" s="75">
        <f>AI890*(1-PARAM!$C$27)*$I$11+(MOD($B890,60)=PARAM!$B$56)*($B890&gt;(60-PARAM!$B$56))*HLOOKUP(($B890+PARAM!$B$56)/12,Loyalty,2)*$F$1*MAX(AL889,0)</f>
        <v>18.557001321003963</v>
      </c>
      <c r="AK890" s="75">
        <f>PARAM!$C$26+MAX($G$11-CHOOSE(PARAM!$B$44,MAX(0,AL889*$F$1),0),0)*RATES!$L866/12+$H$11*(PARAM!$D$51/12)*RATES!$N866/100</f>
        <v>1190.0416666666667</v>
      </c>
      <c r="AL890" s="16">
        <f t="shared" si="593"/>
        <v>-227331.13255085584</v>
      </c>
      <c r="AM890" s="15">
        <f t="shared" si="568"/>
        <v>22.170849845882874</v>
      </c>
      <c r="AN890" s="75">
        <f>AM890*(1-PARAM!$C$27)*$I$12+(MOD($B890,60)=PARAM!$B$56)*($B890&gt;(60-PARAM!$B$56))*HLOOKUP(($B890+PARAM!$B$56)/12,Loyalty,2)*$F$1*MAX(AP889,0)</f>
        <v>18.557001321003963</v>
      </c>
      <c r="AO890" s="75">
        <f>PARAM!$C$26+MAX($G$12-CHOOSE(PARAM!$B$44,MAX(0,AP889*$F$1),0),0)*RATES!$L866/12+$H$12*(PARAM!$D$51/12)*RATES!$N866/100</f>
        <v>1190.0416666666667</v>
      </c>
      <c r="AP890" s="16">
        <f t="shared" si="594"/>
        <v>-227331.13255085584</v>
      </c>
      <c r="AQ890" s="15">
        <f t="shared" si="569"/>
        <v>22.170849845882874</v>
      </c>
      <c r="AR890" s="75">
        <f>AQ890*(1-PARAM!$C$27)*$I$13+(MOD($B890,60)=PARAM!$B$56)*($B890&gt;(60-PARAM!$B$56))*HLOOKUP(($B890+PARAM!$B$56)/12,Loyalty,2)*$F$1*MAX(AT889,0)</f>
        <v>18.557001321003963</v>
      </c>
      <c r="AS890" s="75">
        <f>PARAM!$C$26+MAX($G$13-CHOOSE(PARAM!$B$44,MAX(0,AT889*$F$1),0),0)*RATES!$L866/12+$H$13*(PARAM!$D$51/12)*RATES!$N866/100</f>
        <v>1190.0416666666667</v>
      </c>
      <c r="AT890" s="16">
        <f t="shared" si="595"/>
        <v>-227331.13255085584</v>
      </c>
      <c r="AU890" s="15">
        <f t="shared" si="570"/>
        <v>22.170849845882874</v>
      </c>
      <c r="AV890" s="75">
        <f>AU890*(1-PARAM!$C$27)*$I$14+(MOD($B890,60)=PARAM!$B$56)*($B890&gt;(60-PARAM!$B$56))*HLOOKUP(($B890+PARAM!$B$56)/12,Loyalty,2)*$F$1*MAX(AX889,0)</f>
        <v>18.557001321003963</v>
      </c>
      <c r="AW890" s="75">
        <f>PARAM!$C$26+MAX($G$14-CHOOSE(PARAM!$B$44,MAX(0,AX889*$F$1),0),0)*RATES!$L866/12+$H$14*(PARAM!$D$51/12)*RATES!$N866/100</f>
        <v>1190.0416666666667</v>
      </c>
      <c r="AX890" s="16">
        <f t="shared" si="596"/>
        <v>-227331.13255085584</v>
      </c>
      <c r="AY890" s="15">
        <f t="shared" si="571"/>
        <v>22.170849845882874</v>
      </c>
      <c r="AZ890" s="75">
        <f>AY890*(1-PARAM!$C$27)*$I$15+(MOD($B890,60)=PARAM!$B$56)*($B890&gt;(60-PARAM!$B$56))*HLOOKUP(($B890+PARAM!$B$56)/12,Loyalty,2)*$F$1*MAX(BB889,0)</f>
        <v>18.557001321003963</v>
      </c>
      <c r="BA890" s="75">
        <f>PARAM!$C$26+MAX($G$15-CHOOSE(PARAM!$B$44,MAX(0,BB889*$F$1),0),0)*RATES!$L866/12+$H$15*(PARAM!$D$51/12)*RATES!$N866/100</f>
        <v>1190.0416666666667</v>
      </c>
      <c r="BB890" s="16">
        <f t="shared" si="597"/>
        <v>-227331.13255085584</v>
      </c>
      <c r="BC890" s="15">
        <f t="shared" si="572"/>
        <v>22.170849845882874</v>
      </c>
      <c r="BD890" s="75">
        <f>BC890*(1-PARAM!$C$27)*$I$16+(MOD($B890,60)=PARAM!$B$56)*($B890&gt;(60-PARAM!$B$56))*HLOOKUP(($B890+PARAM!$B$56)/12,Loyalty,2)*$F$1*MAX(BF889,0)</f>
        <v>18.557001321003963</v>
      </c>
      <c r="BE890" s="75">
        <f>PARAM!$C$26+MAX($G$16-CHOOSE(PARAM!$B$44,MAX(0,BF889*$F$1),0),0)*RATES!$L866/12+$H$16*(PARAM!$D$51/12)*RATES!$N866/100</f>
        <v>1190.0416666666667</v>
      </c>
      <c r="BF890" s="16">
        <f t="shared" si="598"/>
        <v>-227331.13255085584</v>
      </c>
      <c r="BG890" s="15">
        <f t="shared" si="573"/>
        <v>22.170849845882874</v>
      </c>
      <c r="BH890" s="75">
        <f>BG890*(1-PARAM!$C$27)*$I$17+(MOD($B890,60)=PARAM!$B$56)*($B890&gt;(60-PARAM!$B$56))*HLOOKUP(($B890+PARAM!$B$56)/12,Loyalty,2)*$F$1*MAX(BJ889,0)</f>
        <v>18.557001321003963</v>
      </c>
      <c r="BI890" s="75">
        <f>PARAM!$C$26+MAX($G$17-CHOOSE(PARAM!$B$44,MAX(0,BJ889*$F$1),0),0)*RATES!$L866/12+$H$17*(PARAM!$D$51/12)*RATES!$N866/100</f>
        <v>1190.0416666666667</v>
      </c>
      <c r="BJ890" s="16">
        <f t="shared" si="599"/>
        <v>-227331.13255085584</v>
      </c>
      <c r="BK890" s="15">
        <f t="shared" si="574"/>
        <v>22.170849845882874</v>
      </c>
      <c r="BL890" s="75">
        <f>BK890*(1-PARAM!$C$27)*$I$18+(MOD($B890,60)=PARAM!$B$56)*($B890&gt;(60-PARAM!$B$56))*HLOOKUP(($B890+PARAM!$B$56)/12,Loyalty,2)*$F$1*MAX(BN889,0)</f>
        <v>18.557001321003963</v>
      </c>
      <c r="BM890" s="75">
        <f>PARAM!$C$26+MAX($G$18-CHOOSE(PARAM!$B$44,MAX(0,BN889*$F$1),0),0)*RATES!$L866/12+$H$18*(PARAM!$D$51/12)*RATES!$N866/100</f>
        <v>1190.0416666666667</v>
      </c>
      <c r="BN890" s="16">
        <f t="shared" si="600"/>
        <v>-227331.13255085584</v>
      </c>
      <c r="BO890" s="15">
        <f t="shared" si="575"/>
        <v>22.170849845882874</v>
      </c>
      <c r="BP890" s="75">
        <f>BO890*(1-PARAM!$C$27)*$I$19+(MOD($B890,60)=PARAM!$B$56)*($B890&gt;(60-PARAM!$B$56))*HLOOKUP(($B890+PARAM!$B$56)/12,Loyalty,2)*$F$1*MAX(BR889,0)</f>
        <v>18.557001321003963</v>
      </c>
      <c r="BQ890" s="75">
        <f>PARAM!$C$26+MAX($G$19-CHOOSE(PARAM!$B$44,MAX(0,BR889*$F$1),0),0)*RATES!$L866/12+$H$19*(PARAM!$D$51/12)*RATES!$N866/100</f>
        <v>1190.0416666666667</v>
      </c>
      <c r="BR890" s="16">
        <f t="shared" si="601"/>
        <v>-227331.13255085584</v>
      </c>
      <c r="BS890" s="15">
        <f t="shared" si="576"/>
        <v>22.170849845882874</v>
      </c>
      <c r="BT890" s="75">
        <f>BS890*(1-PARAM!$C$27)*$I$20+(MOD($B890,60)=PARAM!$B$56)*($B890&gt;(60-PARAM!$B$56))*HLOOKUP(($B890+PARAM!$B$56)/12,Loyalty,2)*$F$1*MAX(BV889,0)</f>
        <v>18.557001321003963</v>
      </c>
      <c r="BU890" s="75">
        <f>PARAM!$C$26+MAX($G$20-CHOOSE(PARAM!$B$44,MAX(0,BV889*$F$1),0),0)*RATES!$L866/12+$H$20*(PARAM!$D$51/12)*RATES!$N866/100</f>
        <v>1190.0416666666667</v>
      </c>
      <c r="BV890" s="16">
        <f t="shared" si="602"/>
        <v>-227331.13255085584</v>
      </c>
      <c r="BW890" s="15">
        <f t="shared" si="577"/>
        <v>22.170849845882874</v>
      </c>
      <c r="BX890" s="75">
        <f>BW890*(1-PARAM!$C$27)*$I$21+(MOD($B890,60)=PARAM!$B$56)*($B890&gt;(60-PARAM!$B$56))*HLOOKUP(($B890+PARAM!$B$56)/12,Loyalty,2)*$F$1*MAX(BZ889,0)</f>
        <v>18.557001321003963</v>
      </c>
      <c r="BY890" s="75">
        <f>PARAM!$C$26+MAX($G$21-CHOOSE(PARAM!$B$44,MAX(0,BZ889*$F$1),0),0)*RATES!$L866/12+$H$21*(PARAM!$D$51/12)*RATES!$N866/100</f>
        <v>1190.0416666666667</v>
      </c>
      <c r="BZ890" s="16">
        <f t="shared" si="603"/>
        <v>-227331.13255085584</v>
      </c>
      <c r="CA890" s="15">
        <f t="shared" si="578"/>
        <v>22.170849845882874</v>
      </c>
      <c r="CB890" s="75">
        <f>CA890*(1-PARAM!$C$27)*$I$22+(MOD($B890,60)=PARAM!$B$56)*($B890&gt;(60-PARAM!$B$56))*HLOOKUP(($B890+PARAM!$B$56)/12,Loyalty,2)*$F$1*MAX(CD889,0)</f>
        <v>18.557001321003963</v>
      </c>
      <c r="CC890" s="75">
        <f>PARAM!$C$26+MAX($G$22-CHOOSE(PARAM!$B$44,MAX(0,CD889*$F$1),0),0)*RATES!$L866/12+$H$22*(PARAM!$D$51/12)*RATES!$N866/100</f>
        <v>1190.0416666666667</v>
      </c>
      <c r="CD890" s="16">
        <f t="shared" si="604"/>
        <v>-227331.13255085584</v>
      </c>
      <c r="CE890" s="33">
        <f>IF(0=MOD(B890,12/PARAM!$D$51),1,0)</f>
        <v>1</v>
      </c>
      <c r="CF890" s="15">
        <f t="shared" si="579"/>
        <v>0</v>
      </c>
      <c r="CG890" s="75">
        <f>CF890*(1-PARAM!$C$27)*$R$3+(MOD($B890/12,5)=0)*($B890&gt;60)*HLOOKUP($B890/12,Loyalty,2)*$F$1*MAX(CI889,0)</f>
        <v>0</v>
      </c>
      <c r="CH890" s="75">
        <f>PARAM!$C$26+MAX($P$3-CHOOSE(PARAM!$B$44,MAX(0,CI889*$F$1),0),0)*RATES!$L866/12+$Q$3*(PARAM!$D$51/12)*RATES!$N866/100</f>
        <v>1190.0416666666667</v>
      </c>
      <c r="CI890" s="16">
        <f>IF(CI889&gt;0,CI889*PARAM!$C$53,CI889)+CG890-CH890</f>
        <v>-243226.24999999977</v>
      </c>
      <c r="CJ890" s="15">
        <f t="shared" si="605"/>
        <v>0</v>
      </c>
      <c r="CK890" s="75">
        <f>CJ890*(1-PARAM!$C$27)*$R$4+(MOD($B890/12,5)=0)*($B890&gt;60)*HLOOKUP($B890/12,Loyalty,2)*$F$1*MAX(CM889,0)</f>
        <v>0</v>
      </c>
      <c r="CL890" s="75">
        <f>PARAM!$C$26+MAX($P$4-CHOOSE(PARAM!$B$44,MAX(0,CM889*$F$1),0),0)*RATES!$L866/12+$Q$4*(PARAM!$D$51/12)*RATES!$N866/100</f>
        <v>1190.0416666666667</v>
      </c>
      <c r="CM890" s="16">
        <f>IF(CM889&gt;0,CM889*PARAM!$C$53,CM889)+CK890-CL890</f>
        <v>-243226.24999999977</v>
      </c>
      <c r="CO890" s="176"/>
    </row>
    <row r="891" spans="1:93" x14ac:dyDescent="0.2">
      <c r="A891" t="b">
        <f t="shared" si="580"/>
        <v>0</v>
      </c>
      <c r="B891" s="33">
        <v>864</v>
      </c>
      <c r="C891" s="15">
        <f t="shared" si="581"/>
        <v>20.081305947392778</v>
      </c>
      <c r="D891" s="75">
        <f>C891*(1-PARAM!$C$27)*$I$3+(MOD($B891,60)=PARAM!$B$56)*($B891&gt;(60-PARAM!$B$56))*HLOOKUP(($B891+PARAM!$B$56)/12,Loyalty,2)*$F$1*MAX(F890,0)</f>
        <v>16.808053077967756</v>
      </c>
      <c r="E891" s="75">
        <f>PARAM!$C$26+MAX($G$3-CHOOSE(PARAM!$B$44,MAX(0,F890*$F$1),0),0)*RATES!$L867/12+$H$3*(PARAM!$D$51/12)*RATES!$N867/100</f>
        <v>1190.0416666666667</v>
      </c>
      <c r="F891" s="16">
        <f t="shared" si="582"/>
        <v>-230050.55899870672</v>
      </c>
      <c r="G891" s="15">
        <f t="shared" si="583"/>
        <v>22.035289406060361</v>
      </c>
      <c r="H891" s="75">
        <f>G891*(1-PARAM!$C$27)*$I$4+(MOD($B891,60)=PARAM!$B$56)*($B891&gt;(60-PARAM!$B$56))*HLOOKUP(($B891+PARAM!$B$56)/12,Loyalty,2)*$F$1*MAX(J890,0)</f>
        <v>18.443537232872522</v>
      </c>
      <c r="I891" s="75">
        <f>PARAM!$C$26+MAX($G$4-CHOOSE(PARAM!$B$44,MAX(0,J890*$F$1),0),0)*RATES!$L867/12+$H$4*(PARAM!$D$51/12)*RATES!$N867/100</f>
        <v>1190.0416666666667</v>
      </c>
      <c r="J891" s="16">
        <f t="shared" si="584"/>
        <v>-228603.6677247461</v>
      </c>
      <c r="K891" s="15">
        <f t="shared" si="585"/>
        <v>22.170849845882874</v>
      </c>
      <c r="L891" s="75">
        <f>K891*(1-PARAM!$C$27)*$I$5+(MOD($B891,60)=PARAM!$B$56)*($B891&gt;(60-PARAM!$B$56))*HLOOKUP(($B891+PARAM!$B$56)/12,Loyalty,2)*$F$1*MAX(N890,0)</f>
        <v>18.557001321003963</v>
      </c>
      <c r="M891" s="75">
        <f>PARAM!$C$26+MAX($G$5-CHOOSE(PARAM!$B$44,MAX(0,N890*$F$1),0),0)*RATES!$L867/12+$H$5*(PARAM!$D$51/12)*RATES!$N867/100</f>
        <v>1190.0416666666667</v>
      </c>
      <c r="N891" s="16">
        <f t="shared" si="586"/>
        <v>-228502.6172162015</v>
      </c>
      <c r="O891" s="15">
        <f t="shared" si="587"/>
        <v>22.170849845882874</v>
      </c>
      <c r="P891" s="75">
        <f>O891*(1-PARAM!$C$27)*$I$6+(MOD($B891,60)=PARAM!$B$56)*($B891&gt;(60-PARAM!$B$56))*HLOOKUP(($B891+PARAM!$B$56)/12,Loyalty,2)*$F$1*MAX(R890,0)</f>
        <v>18.557001321003963</v>
      </c>
      <c r="Q891" s="75">
        <f>PARAM!$C$26+MAX($G$6-CHOOSE(PARAM!$B$44,MAX(0,R890*$F$1),0),0)*RATES!$L867/12+$H$6*(PARAM!$D$51/12)*RATES!$N867/100</f>
        <v>1190.0416666666667</v>
      </c>
      <c r="R891" s="16">
        <f t="shared" si="588"/>
        <v>-228502.6172162015</v>
      </c>
      <c r="S891" s="15">
        <f t="shared" si="563"/>
        <v>22.170849845882874</v>
      </c>
      <c r="T891" s="75">
        <f>S891*(1-PARAM!$C$27)*$I$7+(MOD($B891,60)=PARAM!$B$56)*($B891&gt;(60-PARAM!$B$56))*HLOOKUP(($B891+PARAM!$B$56)/12,Loyalty,2)*$F$1*MAX(V890,0)</f>
        <v>18.557001321003963</v>
      </c>
      <c r="U891" s="75">
        <f>PARAM!$C$26+MAX($G$7-CHOOSE(PARAM!$B$44,MAX(0,V890*$F$1),0),0)*RATES!$L867/12+$H$7*(PARAM!$D$51/12)*RATES!$N867/100</f>
        <v>1190.0416666666667</v>
      </c>
      <c r="V891" s="16">
        <f t="shared" si="589"/>
        <v>-228502.6172162015</v>
      </c>
      <c r="W891" s="15">
        <f t="shared" si="564"/>
        <v>22.170849845882874</v>
      </c>
      <c r="X891" s="75">
        <f>W891*(1-PARAM!$C$27)*$I$8+(MOD($B891,60)=PARAM!$B$56)*($B891&gt;(60-PARAM!$B$56))*HLOOKUP(($B891+PARAM!$B$56)/12,Loyalty,2)*$F$1*MAX(Z890,0)</f>
        <v>18.557001321003963</v>
      </c>
      <c r="Y891" s="75">
        <f>PARAM!$C$26+MAX($G$8-CHOOSE(PARAM!$B$44,MAX(0,Z890*$F$1),0),0)*RATES!$L867/12+$H$8*(PARAM!$D$51/12)*RATES!$N867/100</f>
        <v>1190.0416666666667</v>
      </c>
      <c r="Z891" s="16">
        <f t="shared" si="590"/>
        <v>-228502.6172162015</v>
      </c>
      <c r="AA891" s="15">
        <f t="shared" si="565"/>
        <v>22.170849845882874</v>
      </c>
      <c r="AB891" s="75">
        <f>AA891*(1-PARAM!$C$27)*$I$9+(MOD($B891,60)=PARAM!$B$56)*($B891&gt;(60-PARAM!$B$56))*HLOOKUP(($B891+PARAM!$B$56)/12,Loyalty,2)*$F$1*MAX(AD890,0)</f>
        <v>18.557001321003963</v>
      </c>
      <c r="AC891" s="75">
        <f>PARAM!$C$26+MAX($G$9-CHOOSE(PARAM!$B$44,MAX(0,AD890*$F$1),0),0)*RATES!$L867/12+$H$9*(PARAM!$D$51/12)*RATES!$N867/100</f>
        <v>1190.0416666666667</v>
      </c>
      <c r="AD891" s="16">
        <f t="shared" si="591"/>
        <v>-228502.6172162015</v>
      </c>
      <c r="AE891" s="15">
        <f t="shared" si="566"/>
        <v>22.170849845882874</v>
      </c>
      <c r="AF891" s="75">
        <f>AE891*(1-PARAM!$C$27)*$I$10+(MOD($B891,60)=PARAM!$B$56)*($B891&gt;(60-PARAM!$B$56))*HLOOKUP(($B891+PARAM!$B$56)/12,Loyalty,2)*$F$1*MAX(AH890,0)</f>
        <v>18.557001321003963</v>
      </c>
      <c r="AG891" s="75">
        <f>PARAM!$C$26+MAX($G$10-CHOOSE(PARAM!$B$44,MAX(0,AH890*$F$1),0),0)*RATES!$L867/12+$H$10*(PARAM!$D$51/12)*RATES!$N867/100</f>
        <v>1190.0416666666667</v>
      </c>
      <c r="AH891" s="16">
        <f t="shared" si="592"/>
        <v>-228502.6172162015</v>
      </c>
      <c r="AI891" s="15">
        <f t="shared" si="567"/>
        <v>22.170849845882874</v>
      </c>
      <c r="AJ891" s="75">
        <f>AI891*(1-PARAM!$C$27)*$I$11+(MOD($B891,60)=PARAM!$B$56)*($B891&gt;(60-PARAM!$B$56))*HLOOKUP(($B891+PARAM!$B$56)/12,Loyalty,2)*$F$1*MAX(AL890,0)</f>
        <v>18.557001321003963</v>
      </c>
      <c r="AK891" s="75">
        <f>PARAM!$C$26+MAX($G$11-CHOOSE(PARAM!$B$44,MAX(0,AL890*$F$1),0),0)*RATES!$L867/12+$H$11*(PARAM!$D$51/12)*RATES!$N867/100</f>
        <v>1190.0416666666667</v>
      </c>
      <c r="AL891" s="16">
        <f t="shared" si="593"/>
        <v>-228502.6172162015</v>
      </c>
      <c r="AM891" s="15">
        <f t="shared" si="568"/>
        <v>22.170849845882874</v>
      </c>
      <c r="AN891" s="75">
        <f>AM891*(1-PARAM!$C$27)*$I$12+(MOD($B891,60)=PARAM!$B$56)*($B891&gt;(60-PARAM!$B$56))*HLOOKUP(($B891+PARAM!$B$56)/12,Loyalty,2)*$F$1*MAX(AP890,0)</f>
        <v>18.557001321003963</v>
      </c>
      <c r="AO891" s="75">
        <f>PARAM!$C$26+MAX($G$12-CHOOSE(PARAM!$B$44,MAX(0,AP890*$F$1),0),0)*RATES!$L867/12+$H$12*(PARAM!$D$51/12)*RATES!$N867/100</f>
        <v>1190.0416666666667</v>
      </c>
      <c r="AP891" s="16">
        <f t="shared" si="594"/>
        <v>-228502.6172162015</v>
      </c>
      <c r="AQ891" s="15">
        <f t="shared" si="569"/>
        <v>22.170849845882874</v>
      </c>
      <c r="AR891" s="75">
        <f>AQ891*(1-PARAM!$C$27)*$I$13+(MOD($B891,60)=PARAM!$B$56)*($B891&gt;(60-PARAM!$B$56))*HLOOKUP(($B891+PARAM!$B$56)/12,Loyalty,2)*$F$1*MAX(AT890,0)</f>
        <v>18.557001321003963</v>
      </c>
      <c r="AS891" s="75">
        <f>PARAM!$C$26+MAX($G$13-CHOOSE(PARAM!$B$44,MAX(0,AT890*$F$1),0),0)*RATES!$L867/12+$H$13*(PARAM!$D$51/12)*RATES!$N867/100</f>
        <v>1190.0416666666667</v>
      </c>
      <c r="AT891" s="16">
        <f t="shared" si="595"/>
        <v>-228502.6172162015</v>
      </c>
      <c r="AU891" s="15">
        <f t="shared" si="570"/>
        <v>22.170849845882874</v>
      </c>
      <c r="AV891" s="75">
        <f>AU891*(1-PARAM!$C$27)*$I$14+(MOD($B891,60)=PARAM!$B$56)*($B891&gt;(60-PARAM!$B$56))*HLOOKUP(($B891+PARAM!$B$56)/12,Loyalty,2)*$F$1*MAX(AX890,0)</f>
        <v>18.557001321003963</v>
      </c>
      <c r="AW891" s="75">
        <f>PARAM!$C$26+MAX($G$14-CHOOSE(PARAM!$B$44,MAX(0,AX890*$F$1),0),0)*RATES!$L867/12+$H$14*(PARAM!$D$51/12)*RATES!$N867/100</f>
        <v>1190.0416666666667</v>
      </c>
      <c r="AX891" s="16">
        <f t="shared" si="596"/>
        <v>-228502.6172162015</v>
      </c>
      <c r="AY891" s="15">
        <f t="shared" si="571"/>
        <v>22.170849845882874</v>
      </c>
      <c r="AZ891" s="75">
        <f>AY891*(1-PARAM!$C$27)*$I$15+(MOD($B891,60)=PARAM!$B$56)*($B891&gt;(60-PARAM!$B$56))*HLOOKUP(($B891+PARAM!$B$56)/12,Loyalty,2)*$F$1*MAX(BB890,0)</f>
        <v>18.557001321003963</v>
      </c>
      <c r="BA891" s="75">
        <f>PARAM!$C$26+MAX($G$15-CHOOSE(PARAM!$B$44,MAX(0,BB890*$F$1),0),0)*RATES!$L867/12+$H$15*(PARAM!$D$51/12)*RATES!$N867/100</f>
        <v>1190.0416666666667</v>
      </c>
      <c r="BB891" s="16">
        <f t="shared" si="597"/>
        <v>-228502.6172162015</v>
      </c>
      <c r="BC891" s="15">
        <f t="shared" si="572"/>
        <v>22.170849845882874</v>
      </c>
      <c r="BD891" s="75">
        <f>BC891*(1-PARAM!$C$27)*$I$16+(MOD($B891,60)=PARAM!$B$56)*($B891&gt;(60-PARAM!$B$56))*HLOOKUP(($B891+PARAM!$B$56)/12,Loyalty,2)*$F$1*MAX(BF890,0)</f>
        <v>18.557001321003963</v>
      </c>
      <c r="BE891" s="75">
        <f>PARAM!$C$26+MAX($G$16-CHOOSE(PARAM!$B$44,MAX(0,BF890*$F$1),0),0)*RATES!$L867/12+$H$16*(PARAM!$D$51/12)*RATES!$N867/100</f>
        <v>1190.0416666666667</v>
      </c>
      <c r="BF891" s="16">
        <f t="shared" si="598"/>
        <v>-228502.6172162015</v>
      </c>
      <c r="BG891" s="15">
        <f t="shared" si="573"/>
        <v>22.170849845882874</v>
      </c>
      <c r="BH891" s="75">
        <f>BG891*(1-PARAM!$C$27)*$I$17+(MOD($B891,60)=PARAM!$B$56)*($B891&gt;(60-PARAM!$B$56))*HLOOKUP(($B891+PARAM!$B$56)/12,Loyalty,2)*$F$1*MAX(BJ890,0)</f>
        <v>18.557001321003963</v>
      </c>
      <c r="BI891" s="75">
        <f>PARAM!$C$26+MAX($G$17-CHOOSE(PARAM!$B$44,MAX(0,BJ890*$F$1),0),0)*RATES!$L867/12+$H$17*(PARAM!$D$51/12)*RATES!$N867/100</f>
        <v>1190.0416666666667</v>
      </c>
      <c r="BJ891" s="16">
        <f t="shared" si="599"/>
        <v>-228502.6172162015</v>
      </c>
      <c r="BK891" s="15">
        <f t="shared" si="574"/>
        <v>22.170849845882874</v>
      </c>
      <c r="BL891" s="75">
        <f>BK891*(1-PARAM!$C$27)*$I$18+(MOD($B891,60)=PARAM!$B$56)*($B891&gt;(60-PARAM!$B$56))*HLOOKUP(($B891+PARAM!$B$56)/12,Loyalty,2)*$F$1*MAX(BN890,0)</f>
        <v>18.557001321003963</v>
      </c>
      <c r="BM891" s="75">
        <f>PARAM!$C$26+MAX($G$18-CHOOSE(PARAM!$B$44,MAX(0,BN890*$F$1),0),0)*RATES!$L867/12+$H$18*(PARAM!$D$51/12)*RATES!$N867/100</f>
        <v>1190.0416666666667</v>
      </c>
      <c r="BN891" s="16">
        <f t="shared" si="600"/>
        <v>-228502.6172162015</v>
      </c>
      <c r="BO891" s="15">
        <f t="shared" si="575"/>
        <v>22.170849845882874</v>
      </c>
      <c r="BP891" s="75">
        <f>BO891*(1-PARAM!$C$27)*$I$19+(MOD($B891,60)=PARAM!$B$56)*($B891&gt;(60-PARAM!$B$56))*HLOOKUP(($B891+PARAM!$B$56)/12,Loyalty,2)*$F$1*MAX(BR890,0)</f>
        <v>18.557001321003963</v>
      </c>
      <c r="BQ891" s="75">
        <f>PARAM!$C$26+MAX($G$19-CHOOSE(PARAM!$B$44,MAX(0,BR890*$F$1),0),0)*RATES!$L867/12+$H$19*(PARAM!$D$51/12)*RATES!$N867/100</f>
        <v>1190.0416666666667</v>
      </c>
      <c r="BR891" s="16">
        <f t="shared" si="601"/>
        <v>-228502.6172162015</v>
      </c>
      <c r="BS891" s="15">
        <f t="shared" si="576"/>
        <v>22.170849845882874</v>
      </c>
      <c r="BT891" s="75">
        <f>BS891*(1-PARAM!$C$27)*$I$20+(MOD($B891,60)=PARAM!$B$56)*($B891&gt;(60-PARAM!$B$56))*HLOOKUP(($B891+PARAM!$B$56)/12,Loyalty,2)*$F$1*MAX(BV890,0)</f>
        <v>18.557001321003963</v>
      </c>
      <c r="BU891" s="75">
        <f>PARAM!$C$26+MAX($G$20-CHOOSE(PARAM!$B$44,MAX(0,BV890*$F$1),0),0)*RATES!$L867/12+$H$20*(PARAM!$D$51/12)*RATES!$N867/100</f>
        <v>1190.0416666666667</v>
      </c>
      <c r="BV891" s="16">
        <f t="shared" si="602"/>
        <v>-228502.6172162015</v>
      </c>
      <c r="BW891" s="15">
        <f t="shared" si="577"/>
        <v>22.170849845882874</v>
      </c>
      <c r="BX891" s="75">
        <f>BW891*(1-PARAM!$C$27)*$I$21+(MOD($B891,60)=PARAM!$B$56)*($B891&gt;(60-PARAM!$B$56))*HLOOKUP(($B891+PARAM!$B$56)/12,Loyalty,2)*$F$1*MAX(BZ890,0)</f>
        <v>18.557001321003963</v>
      </c>
      <c r="BY891" s="75">
        <f>PARAM!$C$26+MAX($G$21-CHOOSE(PARAM!$B$44,MAX(0,BZ890*$F$1),0),0)*RATES!$L867/12+$H$21*(PARAM!$D$51/12)*RATES!$N867/100</f>
        <v>1190.0416666666667</v>
      </c>
      <c r="BZ891" s="16">
        <f t="shared" si="603"/>
        <v>-228502.6172162015</v>
      </c>
      <c r="CA891" s="15">
        <f t="shared" si="578"/>
        <v>22.170849845882874</v>
      </c>
      <c r="CB891" s="75">
        <f>CA891*(1-PARAM!$C$27)*$I$22+(MOD($B891,60)=PARAM!$B$56)*($B891&gt;(60-PARAM!$B$56))*HLOOKUP(($B891+PARAM!$B$56)/12,Loyalty,2)*$F$1*MAX(CD890,0)</f>
        <v>18.557001321003963</v>
      </c>
      <c r="CC891" s="75">
        <f>PARAM!$C$26+MAX($G$22-CHOOSE(PARAM!$B$44,MAX(0,CD890*$F$1),0),0)*RATES!$L867/12+$H$22*(PARAM!$D$51/12)*RATES!$N867/100</f>
        <v>1190.0416666666667</v>
      </c>
      <c r="CD891" s="16">
        <f t="shared" si="604"/>
        <v>-228502.6172162015</v>
      </c>
      <c r="CE891" s="33">
        <f>IF(0=MOD(B891,12/PARAM!$D$51),1,0)</f>
        <v>1</v>
      </c>
      <c r="CF891" s="15">
        <f t="shared" si="579"/>
        <v>0</v>
      </c>
      <c r="CG891" s="75">
        <f>CF891*(1-PARAM!$C$27)*$R$3+(MOD($B891/12,5)=0)*($B891&gt;60)*HLOOKUP($B891/12,Loyalty,2)*$F$1*MAX(CI890,0)</f>
        <v>0</v>
      </c>
      <c r="CH891" s="75">
        <f>PARAM!$C$26+MAX($P$3-CHOOSE(PARAM!$B$44,MAX(0,CI890*$F$1),0),0)*RATES!$L867/12+$Q$3*(PARAM!$D$51/12)*RATES!$N867/100</f>
        <v>1190.0416666666667</v>
      </c>
      <c r="CI891" s="16">
        <f>IF(CI890&gt;0,CI890*PARAM!$C$53,CI890)+CG891-CH891</f>
        <v>-244416.29166666642</v>
      </c>
      <c r="CJ891" s="15">
        <f t="shared" si="605"/>
        <v>0</v>
      </c>
      <c r="CK891" s="75">
        <f>CJ891*(1-PARAM!$C$27)*$R$4+(MOD($B891/12,5)=0)*($B891&gt;60)*HLOOKUP($B891/12,Loyalty,2)*$F$1*MAX(CM890,0)</f>
        <v>0</v>
      </c>
      <c r="CL891" s="75">
        <f>PARAM!$C$26+MAX($P$4-CHOOSE(PARAM!$B$44,MAX(0,CM890*$F$1),0),0)*RATES!$L867/12+$Q$4*(PARAM!$D$51/12)*RATES!$N867/100</f>
        <v>1190.0416666666667</v>
      </c>
      <c r="CM891" s="16">
        <f>IF(CM890&gt;0,CM890*PARAM!$C$53,CM890)+CK891-CL891</f>
        <v>-244416.29166666642</v>
      </c>
      <c r="CO891" s="176"/>
    </row>
    <row r="892" spans="1:93" x14ac:dyDescent="0.2">
      <c r="A892" t="b">
        <f t="shared" si="580"/>
        <v>0</v>
      </c>
      <c r="B892" s="33">
        <v>865</v>
      </c>
      <c r="C892" s="15">
        <f t="shared" si="581"/>
        <v>20.081305947392778</v>
      </c>
      <c r="D892" s="75">
        <f>C892*(1-PARAM!$C$27)*$I$3+(MOD($B892,60)=PARAM!$B$56)*($B892&gt;(60-PARAM!$B$56))*HLOOKUP(($B892+PARAM!$B$56)/12,Loyalty,2)*$F$1*MAX(F891,0)</f>
        <v>16.808053077967756</v>
      </c>
      <c r="E892" s="75">
        <f>PARAM!$C$26+MAX($G$3-CHOOSE(PARAM!$B$44,MAX(0,F891*$F$1),0),0)*RATES!$L868/12+$H$3*(PARAM!$D$51/12)*RATES!$N868/100</f>
        <v>1190.0416666666667</v>
      </c>
      <c r="F892" s="16">
        <f t="shared" si="582"/>
        <v>-231223.79261229542</v>
      </c>
      <c r="G892" s="15">
        <f t="shared" si="583"/>
        <v>22.035289406060361</v>
      </c>
      <c r="H892" s="75">
        <f>G892*(1-PARAM!$C$27)*$I$4+(MOD($B892,60)=PARAM!$B$56)*($B892&gt;(60-PARAM!$B$56))*HLOOKUP(($B892+PARAM!$B$56)/12,Loyalty,2)*$F$1*MAX(J891,0)</f>
        <v>18.443537232872522</v>
      </c>
      <c r="I892" s="75">
        <f>PARAM!$C$26+MAX($G$4-CHOOSE(PARAM!$B$44,MAX(0,J891*$F$1),0),0)*RATES!$L868/12+$H$4*(PARAM!$D$51/12)*RATES!$N868/100</f>
        <v>1190.0416666666667</v>
      </c>
      <c r="J892" s="16">
        <f t="shared" si="584"/>
        <v>-229775.26585417989</v>
      </c>
      <c r="K892" s="15">
        <f t="shared" si="585"/>
        <v>22.170849845882874</v>
      </c>
      <c r="L892" s="75">
        <f>K892*(1-PARAM!$C$27)*$I$5+(MOD($B892,60)=PARAM!$B$56)*($B892&gt;(60-PARAM!$B$56))*HLOOKUP(($B892+PARAM!$B$56)/12,Loyalty,2)*$F$1*MAX(N891,0)</f>
        <v>18.557001321003963</v>
      </c>
      <c r="M892" s="75">
        <f>PARAM!$C$26+MAX($G$5-CHOOSE(PARAM!$B$44,MAX(0,N891*$F$1),0),0)*RATES!$L868/12+$H$5*(PARAM!$D$51/12)*RATES!$N868/100</f>
        <v>1190.0416666666667</v>
      </c>
      <c r="N892" s="16">
        <f t="shared" si="586"/>
        <v>-229674.10188154716</v>
      </c>
      <c r="O892" s="15">
        <f t="shared" si="587"/>
        <v>22.170849845882874</v>
      </c>
      <c r="P892" s="75">
        <f>O892*(1-PARAM!$C$27)*$I$6+(MOD($B892,60)=PARAM!$B$56)*($B892&gt;(60-PARAM!$B$56))*HLOOKUP(($B892+PARAM!$B$56)/12,Loyalty,2)*$F$1*MAX(R891,0)</f>
        <v>18.557001321003963</v>
      </c>
      <c r="Q892" s="75">
        <f>PARAM!$C$26+MAX($G$6-CHOOSE(PARAM!$B$44,MAX(0,R891*$F$1),0),0)*RATES!$L868/12+$H$6*(PARAM!$D$51/12)*RATES!$N868/100</f>
        <v>1190.0416666666667</v>
      </c>
      <c r="R892" s="16">
        <f t="shared" si="588"/>
        <v>-229674.10188154716</v>
      </c>
      <c r="S892" s="15">
        <f t="shared" si="563"/>
        <v>22.170849845882874</v>
      </c>
      <c r="T892" s="75">
        <f>S892*(1-PARAM!$C$27)*$I$7+(MOD($B892,60)=PARAM!$B$56)*($B892&gt;(60-PARAM!$B$56))*HLOOKUP(($B892+PARAM!$B$56)/12,Loyalty,2)*$F$1*MAX(V891,0)</f>
        <v>18.557001321003963</v>
      </c>
      <c r="U892" s="75">
        <f>PARAM!$C$26+MAX($G$7-CHOOSE(PARAM!$B$44,MAX(0,V891*$F$1),0),0)*RATES!$L868/12+$H$7*(PARAM!$D$51/12)*RATES!$N868/100</f>
        <v>1190.0416666666667</v>
      </c>
      <c r="V892" s="16">
        <f t="shared" si="589"/>
        <v>-229674.10188154716</v>
      </c>
      <c r="W892" s="15">
        <f t="shared" si="564"/>
        <v>22.170849845882874</v>
      </c>
      <c r="X892" s="75">
        <f>W892*(1-PARAM!$C$27)*$I$8+(MOD($B892,60)=PARAM!$B$56)*($B892&gt;(60-PARAM!$B$56))*HLOOKUP(($B892+PARAM!$B$56)/12,Loyalty,2)*$F$1*MAX(Z891,0)</f>
        <v>18.557001321003963</v>
      </c>
      <c r="Y892" s="75">
        <f>PARAM!$C$26+MAX($G$8-CHOOSE(PARAM!$B$44,MAX(0,Z891*$F$1),0),0)*RATES!$L868/12+$H$8*(PARAM!$D$51/12)*RATES!$N868/100</f>
        <v>1190.0416666666667</v>
      </c>
      <c r="Z892" s="16">
        <f t="shared" si="590"/>
        <v>-229674.10188154716</v>
      </c>
      <c r="AA892" s="15">
        <f t="shared" si="565"/>
        <v>22.170849845882874</v>
      </c>
      <c r="AB892" s="75">
        <f>AA892*(1-PARAM!$C$27)*$I$9+(MOD($B892,60)=PARAM!$B$56)*($B892&gt;(60-PARAM!$B$56))*HLOOKUP(($B892+PARAM!$B$56)/12,Loyalty,2)*$F$1*MAX(AD891,0)</f>
        <v>18.557001321003963</v>
      </c>
      <c r="AC892" s="75">
        <f>PARAM!$C$26+MAX($G$9-CHOOSE(PARAM!$B$44,MAX(0,AD891*$F$1),0),0)*RATES!$L868/12+$H$9*(PARAM!$D$51/12)*RATES!$N868/100</f>
        <v>1190.0416666666667</v>
      </c>
      <c r="AD892" s="16">
        <f t="shared" si="591"/>
        <v>-229674.10188154716</v>
      </c>
      <c r="AE892" s="15">
        <f t="shared" si="566"/>
        <v>22.170849845882874</v>
      </c>
      <c r="AF892" s="75">
        <f>AE892*(1-PARAM!$C$27)*$I$10+(MOD($B892,60)=PARAM!$B$56)*($B892&gt;(60-PARAM!$B$56))*HLOOKUP(($B892+PARAM!$B$56)/12,Loyalty,2)*$F$1*MAX(AH891,0)</f>
        <v>18.557001321003963</v>
      </c>
      <c r="AG892" s="75">
        <f>PARAM!$C$26+MAX($G$10-CHOOSE(PARAM!$B$44,MAX(0,AH891*$F$1),0),0)*RATES!$L868/12+$H$10*(PARAM!$D$51/12)*RATES!$N868/100</f>
        <v>1190.0416666666667</v>
      </c>
      <c r="AH892" s="16">
        <f t="shared" si="592"/>
        <v>-229674.10188154716</v>
      </c>
      <c r="AI892" s="15">
        <f t="shared" si="567"/>
        <v>22.170849845882874</v>
      </c>
      <c r="AJ892" s="75">
        <f>AI892*(1-PARAM!$C$27)*$I$11+(MOD($B892,60)=PARAM!$B$56)*($B892&gt;(60-PARAM!$B$56))*HLOOKUP(($B892+PARAM!$B$56)/12,Loyalty,2)*$F$1*MAX(AL891,0)</f>
        <v>18.557001321003963</v>
      </c>
      <c r="AK892" s="75">
        <f>PARAM!$C$26+MAX($G$11-CHOOSE(PARAM!$B$44,MAX(0,AL891*$F$1),0),0)*RATES!$L868/12+$H$11*(PARAM!$D$51/12)*RATES!$N868/100</f>
        <v>1190.0416666666667</v>
      </c>
      <c r="AL892" s="16">
        <f t="shared" si="593"/>
        <v>-229674.10188154716</v>
      </c>
      <c r="AM892" s="15">
        <f t="shared" si="568"/>
        <v>22.170849845882874</v>
      </c>
      <c r="AN892" s="75">
        <f>AM892*(1-PARAM!$C$27)*$I$12+(MOD($B892,60)=PARAM!$B$56)*($B892&gt;(60-PARAM!$B$56))*HLOOKUP(($B892+PARAM!$B$56)/12,Loyalty,2)*$F$1*MAX(AP891,0)</f>
        <v>18.557001321003963</v>
      </c>
      <c r="AO892" s="75">
        <f>PARAM!$C$26+MAX($G$12-CHOOSE(PARAM!$B$44,MAX(0,AP891*$F$1),0),0)*RATES!$L868/12+$H$12*(PARAM!$D$51/12)*RATES!$N868/100</f>
        <v>1190.0416666666667</v>
      </c>
      <c r="AP892" s="16">
        <f t="shared" si="594"/>
        <v>-229674.10188154716</v>
      </c>
      <c r="AQ892" s="15">
        <f t="shared" si="569"/>
        <v>22.170849845882874</v>
      </c>
      <c r="AR892" s="75">
        <f>AQ892*(1-PARAM!$C$27)*$I$13+(MOD($B892,60)=PARAM!$B$56)*($B892&gt;(60-PARAM!$B$56))*HLOOKUP(($B892+PARAM!$B$56)/12,Loyalty,2)*$F$1*MAX(AT891,0)</f>
        <v>18.557001321003963</v>
      </c>
      <c r="AS892" s="75">
        <f>PARAM!$C$26+MAX($G$13-CHOOSE(PARAM!$B$44,MAX(0,AT891*$F$1),0),0)*RATES!$L868/12+$H$13*(PARAM!$D$51/12)*RATES!$N868/100</f>
        <v>1190.0416666666667</v>
      </c>
      <c r="AT892" s="16">
        <f t="shared" si="595"/>
        <v>-229674.10188154716</v>
      </c>
      <c r="AU892" s="15">
        <f t="shared" si="570"/>
        <v>22.170849845882874</v>
      </c>
      <c r="AV892" s="75">
        <f>AU892*(1-PARAM!$C$27)*$I$14+(MOD($B892,60)=PARAM!$B$56)*($B892&gt;(60-PARAM!$B$56))*HLOOKUP(($B892+PARAM!$B$56)/12,Loyalty,2)*$F$1*MAX(AX891,0)</f>
        <v>18.557001321003963</v>
      </c>
      <c r="AW892" s="75">
        <f>PARAM!$C$26+MAX($G$14-CHOOSE(PARAM!$B$44,MAX(0,AX891*$F$1),0),0)*RATES!$L868/12+$H$14*(PARAM!$D$51/12)*RATES!$N868/100</f>
        <v>1190.0416666666667</v>
      </c>
      <c r="AX892" s="16">
        <f t="shared" si="596"/>
        <v>-229674.10188154716</v>
      </c>
      <c r="AY892" s="15">
        <f t="shared" si="571"/>
        <v>22.170849845882874</v>
      </c>
      <c r="AZ892" s="75">
        <f>AY892*(1-PARAM!$C$27)*$I$15+(MOD($B892,60)=PARAM!$B$56)*($B892&gt;(60-PARAM!$B$56))*HLOOKUP(($B892+PARAM!$B$56)/12,Loyalty,2)*$F$1*MAX(BB891,0)</f>
        <v>18.557001321003963</v>
      </c>
      <c r="BA892" s="75">
        <f>PARAM!$C$26+MAX($G$15-CHOOSE(PARAM!$B$44,MAX(0,BB891*$F$1),0),0)*RATES!$L868/12+$H$15*(PARAM!$D$51/12)*RATES!$N868/100</f>
        <v>1190.0416666666667</v>
      </c>
      <c r="BB892" s="16">
        <f t="shared" si="597"/>
        <v>-229674.10188154716</v>
      </c>
      <c r="BC892" s="15">
        <f t="shared" si="572"/>
        <v>22.170849845882874</v>
      </c>
      <c r="BD892" s="75">
        <f>BC892*(1-PARAM!$C$27)*$I$16+(MOD($B892,60)=PARAM!$B$56)*($B892&gt;(60-PARAM!$B$56))*HLOOKUP(($B892+PARAM!$B$56)/12,Loyalty,2)*$F$1*MAX(BF891,0)</f>
        <v>18.557001321003963</v>
      </c>
      <c r="BE892" s="75">
        <f>PARAM!$C$26+MAX($G$16-CHOOSE(PARAM!$B$44,MAX(0,BF891*$F$1),0),0)*RATES!$L868/12+$H$16*(PARAM!$D$51/12)*RATES!$N868/100</f>
        <v>1190.0416666666667</v>
      </c>
      <c r="BF892" s="16">
        <f t="shared" si="598"/>
        <v>-229674.10188154716</v>
      </c>
      <c r="BG892" s="15">
        <f t="shared" si="573"/>
        <v>22.170849845882874</v>
      </c>
      <c r="BH892" s="75">
        <f>BG892*(1-PARAM!$C$27)*$I$17+(MOD($B892,60)=PARAM!$B$56)*($B892&gt;(60-PARAM!$B$56))*HLOOKUP(($B892+PARAM!$B$56)/12,Loyalty,2)*$F$1*MAX(BJ891,0)</f>
        <v>18.557001321003963</v>
      </c>
      <c r="BI892" s="75">
        <f>PARAM!$C$26+MAX($G$17-CHOOSE(PARAM!$B$44,MAX(0,BJ891*$F$1),0),0)*RATES!$L868/12+$H$17*(PARAM!$D$51/12)*RATES!$N868/100</f>
        <v>1190.0416666666667</v>
      </c>
      <c r="BJ892" s="16">
        <f t="shared" si="599"/>
        <v>-229674.10188154716</v>
      </c>
      <c r="BK892" s="15">
        <f t="shared" si="574"/>
        <v>22.170849845882874</v>
      </c>
      <c r="BL892" s="75">
        <f>BK892*(1-PARAM!$C$27)*$I$18+(MOD($B892,60)=PARAM!$B$56)*($B892&gt;(60-PARAM!$B$56))*HLOOKUP(($B892+PARAM!$B$56)/12,Loyalty,2)*$F$1*MAX(BN891,0)</f>
        <v>18.557001321003963</v>
      </c>
      <c r="BM892" s="75">
        <f>PARAM!$C$26+MAX($G$18-CHOOSE(PARAM!$B$44,MAX(0,BN891*$F$1),0),0)*RATES!$L868/12+$H$18*(PARAM!$D$51/12)*RATES!$N868/100</f>
        <v>1190.0416666666667</v>
      </c>
      <c r="BN892" s="16">
        <f t="shared" si="600"/>
        <v>-229674.10188154716</v>
      </c>
      <c r="BO892" s="15">
        <f t="shared" si="575"/>
        <v>22.170849845882874</v>
      </c>
      <c r="BP892" s="75">
        <f>BO892*(1-PARAM!$C$27)*$I$19+(MOD($B892,60)=PARAM!$B$56)*($B892&gt;(60-PARAM!$B$56))*HLOOKUP(($B892+PARAM!$B$56)/12,Loyalty,2)*$F$1*MAX(BR891,0)</f>
        <v>18.557001321003963</v>
      </c>
      <c r="BQ892" s="75">
        <f>PARAM!$C$26+MAX($G$19-CHOOSE(PARAM!$B$44,MAX(0,BR891*$F$1),0),0)*RATES!$L868/12+$H$19*(PARAM!$D$51/12)*RATES!$N868/100</f>
        <v>1190.0416666666667</v>
      </c>
      <c r="BR892" s="16">
        <f t="shared" si="601"/>
        <v>-229674.10188154716</v>
      </c>
      <c r="BS892" s="15">
        <f t="shared" si="576"/>
        <v>22.170849845882874</v>
      </c>
      <c r="BT892" s="75">
        <f>BS892*(1-PARAM!$C$27)*$I$20+(MOD($B892,60)=PARAM!$B$56)*($B892&gt;(60-PARAM!$B$56))*HLOOKUP(($B892+PARAM!$B$56)/12,Loyalty,2)*$F$1*MAX(BV891,0)</f>
        <v>18.557001321003963</v>
      </c>
      <c r="BU892" s="75">
        <f>PARAM!$C$26+MAX($G$20-CHOOSE(PARAM!$B$44,MAX(0,BV891*$F$1),0),0)*RATES!$L868/12+$H$20*(PARAM!$D$51/12)*RATES!$N868/100</f>
        <v>1190.0416666666667</v>
      </c>
      <c r="BV892" s="16">
        <f t="shared" si="602"/>
        <v>-229674.10188154716</v>
      </c>
      <c r="BW892" s="15">
        <f t="shared" si="577"/>
        <v>22.170849845882874</v>
      </c>
      <c r="BX892" s="75">
        <f>BW892*(1-PARAM!$C$27)*$I$21+(MOD($B892,60)=PARAM!$B$56)*($B892&gt;(60-PARAM!$B$56))*HLOOKUP(($B892+PARAM!$B$56)/12,Loyalty,2)*$F$1*MAX(BZ891,0)</f>
        <v>18.557001321003963</v>
      </c>
      <c r="BY892" s="75">
        <f>PARAM!$C$26+MAX($G$21-CHOOSE(PARAM!$B$44,MAX(0,BZ891*$F$1),0),0)*RATES!$L868/12+$H$21*(PARAM!$D$51/12)*RATES!$N868/100</f>
        <v>1190.0416666666667</v>
      </c>
      <c r="BZ892" s="16">
        <f t="shared" si="603"/>
        <v>-229674.10188154716</v>
      </c>
      <c r="CA892" s="15">
        <f t="shared" si="578"/>
        <v>22.170849845882874</v>
      </c>
      <c r="CB892" s="75">
        <f>CA892*(1-PARAM!$C$27)*$I$22+(MOD($B892,60)=PARAM!$B$56)*($B892&gt;(60-PARAM!$B$56))*HLOOKUP(($B892+PARAM!$B$56)/12,Loyalty,2)*$F$1*MAX(CD891,0)</f>
        <v>18.557001321003963</v>
      </c>
      <c r="CC892" s="75">
        <f>PARAM!$C$26+MAX($G$22-CHOOSE(PARAM!$B$44,MAX(0,CD891*$F$1),0),0)*RATES!$L868/12+$H$22*(PARAM!$D$51/12)*RATES!$N868/100</f>
        <v>1190.0416666666667</v>
      </c>
      <c r="CD892" s="16">
        <f t="shared" si="604"/>
        <v>-229674.10188154716</v>
      </c>
      <c r="CE892" s="33">
        <f>IF(0=MOD(B892,12/PARAM!$D$51),1,0)</f>
        <v>1</v>
      </c>
      <c r="CF892" s="15">
        <f t="shared" si="579"/>
        <v>0</v>
      </c>
      <c r="CG892" s="75">
        <f>CF892*(1-PARAM!$C$27)*$R$3+(MOD($B892/12,5)=0)*($B892&gt;60)*HLOOKUP($B892/12,Loyalty,2)*$F$1*MAX(CI891,0)</f>
        <v>0</v>
      </c>
      <c r="CH892" s="75">
        <f>PARAM!$C$26+MAX($P$3-CHOOSE(PARAM!$B$44,MAX(0,CI891*$F$1),0),0)*RATES!$L868/12+$Q$3*(PARAM!$D$51/12)*RATES!$N868/100</f>
        <v>1190.0416666666667</v>
      </c>
      <c r="CI892" s="16">
        <f>IF(CI891&gt;0,CI891*PARAM!$C$53,CI891)+CG892-CH892</f>
        <v>-245606.33333333308</v>
      </c>
      <c r="CJ892" s="15">
        <f t="shared" si="605"/>
        <v>0</v>
      </c>
      <c r="CK892" s="75">
        <f>CJ892*(1-PARAM!$C$27)*$R$4+(MOD($B892/12,5)=0)*($B892&gt;60)*HLOOKUP($B892/12,Loyalty,2)*$F$1*MAX(CM891,0)</f>
        <v>0</v>
      </c>
      <c r="CL892" s="75">
        <f>PARAM!$C$26+MAX($P$4-CHOOSE(PARAM!$B$44,MAX(0,CM891*$F$1),0),0)*RATES!$L868/12+$Q$4*(PARAM!$D$51/12)*RATES!$N868/100</f>
        <v>1190.0416666666667</v>
      </c>
      <c r="CM892" s="16">
        <f>IF(CM891&gt;0,CM891*PARAM!$C$53,CM891)+CK892-CL892</f>
        <v>-245606.33333333308</v>
      </c>
      <c r="CO892" s="176"/>
    </row>
    <row r="893" spans="1:93" x14ac:dyDescent="0.2">
      <c r="A893" t="b">
        <f t="shared" si="580"/>
        <v>0</v>
      </c>
      <c r="B893" s="33">
        <v>866</v>
      </c>
      <c r="C893" s="15">
        <f t="shared" si="581"/>
        <v>20.081305947392778</v>
      </c>
      <c r="D893" s="75">
        <f>C893*(1-PARAM!$C$27)*$I$3+(MOD($B893,60)=PARAM!$B$56)*($B893&gt;(60-PARAM!$B$56))*HLOOKUP(($B893+PARAM!$B$56)/12,Loyalty,2)*$F$1*MAX(F892,0)</f>
        <v>16.808053077967756</v>
      </c>
      <c r="E893" s="75">
        <f>PARAM!$C$26+MAX($G$3-CHOOSE(PARAM!$B$44,MAX(0,F892*$F$1),0),0)*RATES!$L869/12+$H$3*(PARAM!$D$51/12)*RATES!$N869/100</f>
        <v>1190.0416666666667</v>
      </c>
      <c r="F893" s="16">
        <f t="shared" si="582"/>
        <v>-232397.02622588412</v>
      </c>
      <c r="G893" s="15">
        <f t="shared" si="583"/>
        <v>22.035289406060361</v>
      </c>
      <c r="H893" s="75">
        <f>G893*(1-PARAM!$C$27)*$I$4+(MOD($B893,60)=PARAM!$B$56)*($B893&gt;(60-PARAM!$B$56))*HLOOKUP(($B893+PARAM!$B$56)/12,Loyalty,2)*$F$1*MAX(J892,0)</f>
        <v>18.443537232872522</v>
      </c>
      <c r="I893" s="75">
        <f>PARAM!$C$26+MAX($G$4-CHOOSE(PARAM!$B$44,MAX(0,J892*$F$1),0),0)*RATES!$L869/12+$H$4*(PARAM!$D$51/12)*RATES!$N869/100</f>
        <v>1190.0416666666667</v>
      </c>
      <c r="J893" s="16">
        <f t="shared" si="584"/>
        <v>-230946.86398361367</v>
      </c>
      <c r="K893" s="15">
        <f t="shared" si="585"/>
        <v>22.170849845882874</v>
      </c>
      <c r="L893" s="75">
        <f>K893*(1-PARAM!$C$27)*$I$5+(MOD($B893,60)=PARAM!$B$56)*($B893&gt;(60-PARAM!$B$56))*HLOOKUP(($B893+PARAM!$B$56)/12,Loyalty,2)*$F$1*MAX(N892,0)</f>
        <v>18.557001321003963</v>
      </c>
      <c r="M893" s="75">
        <f>PARAM!$C$26+MAX($G$5-CHOOSE(PARAM!$B$44,MAX(0,N892*$F$1),0),0)*RATES!$L869/12+$H$5*(PARAM!$D$51/12)*RATES!$N869/100</f>
        <v>1190.0416666666667</v>
      </c>
      <c r="N893" s="16">
        <f t="shared" si="586"/>
        <v>-230845.58654689282</v>
      </c>
      <c r="O893" s="15">
        <f t="shared" si="587"/>
        <v>22.170849845882874</v>
      </c>
      <c r="P893" s="75">
        <f>O893*(1-PARAM!$C$27)*$I$6+(MOD($B893,60)=PARAM!$B$56)*($B893&gt;(60-PARAM!$B$56))*HLOOKUP(($B893+PARAM!$B$56)/12,Loyalty,2)*$F$1*MAX(R892,0)</f>
        <v>18.557001321003963</v>
      </c>
      <c r="Q893" s="75">
        <f>PARAM!$C$26+MAX($G$6-CHOOSE(PARAM!$B$44,MAX(0,R892*$F$1),0),0)*RATES!$L869/12+$H$6*(PARAM!$D$51/12)*RATES!$N869/100</f>
        <v>1190.0416666666667</v>
      </c>
      <c r="R893" s="16">
        <f t="shared" si="588"/>
        <v>-230845.58654689282</v>
      </c>
      <c r="S893" s="15">
        <f t="shared" si="563"/>
        <v>22.170849845882874</v>
      </c>
      <c r="T893" s="75">
        <f>S893*(1-PARAM!$C$27)*$I$7+(MOD($B893,60)=PARAM!$B$56)*($B893&gt;(60-PARAM!$B$56))*HLOOKUP(($B893+PARAM!$B$56)/12,Loyalty,2)*$F$1*MAX(V892,0)</f>
        <v>18.557001321003963</v>
      </c>
      <c r="U893" s="75">
        <f>PARAM!$C$26+MAX($G$7-CHOOSE(PARAM!$B$44,MAX(0,V892*$F$1),0),0)*RATES!$L869/12+$H$7*(PARAM!$D$51/12)*RATES!$N869/100</f>
        <v>1190.0416666666667</v>
      </c>
      <c r="V893" s="16">
        <f t="shared" si="589"/>
        <v>-230845.58654689282</v>
      </c>
      <c r="W893" s="15">
        <f t="shared" si="564"/>
        <v>22.170849845882874</v>
      </c>
      <c r="X893" s="75">
        <f>W893*(1-PARAM!$C$27)*$I$8+(MOD($B893,60)=PARAM!$B$56)*($B893&gt;(60-PARAM!$B$56))*HLOOKUP(($B893+PARAM!$B$56)/12,Loyalty,2)*$F$1*MAX(Z892,0)</f>
        <v>18.557001321003963</v>
      </c>
      <c r="Y893" s="75">
        <f>PARAM!$C$26+MAX($G$8-CHOOSE(PARAM!$B$44,MAX(0,Z892*$F$1),0),0)*RATES!$L869/12+$H$8*(PARAM!$D$51/12)*RATES!$N869/100</f>
        <v>1190.0416666666667</v>
      </c>
      <c r="Z893" s="16">
        <f t="shared" si="590"/>
        <v>-230845.58654689282</v>
      </c>
      <c r="AA893" s="15">
        <f t="shared" si="565"/>
        <v>22.170849845882874</v>
      </c>
      <c r="AB893" s="75">
        <f>AA893*(1-PARAM!$C$27)*$I$9+(MOD($B893,60)=PARAM!$B$56)*($B893&gt;(60-PARAM!$B$56))*HLOOKUP(($B893+PARAM!$B$56)/12,Loyalty,2)*$F$1*MAX(AD892,0)</f>
        <v>18.557001321003963</v>
      </c>
      <c r="AC893" s="75">
        <f>PARAM!$C$26+MAX($G$9-CHOOSE(PARAM!$B$44,MAX(0,AD892*$F$1),0),0)*RATES!$L869/12+$H$9*(PARAM!$D$51/12)*RATES!$N869/100</f>
        <v>1190.0416666666667</v>
      </c>
      <c r="AD893" s="16">
        <f t="shared" si="591"/>
        <v>-230845.58654689282</v>
      </c>
      <c r="AE893" s="15">
        <f t="shared" si="566"/>
        <v>22.170849845882874</v>
      </c>
      <c r="AF893" s="75">
        <f>AE893*(1-PARAM!$C$27)*$I$10+(MOD($B893,60)=PARAM!$B$56)*($B893&gt;(60-PARAM!$B$56))*HLOOKUP(($B893+PARAM!$B$56)/12,Loyalty,2)*$F$1*MAX(AH892,0)</f>
        <v>18.557001321003963</v>
      </c>
      <c r="AG893" s="75">
        <f>PARAM!$C$26+MAX($G$10-CHOOSE(PARAM!$B$44,MAX(0,AH892*$F$1),0),0)*RATES!$L869/12+$H$10*(PARAM!$D$51/12)*RATES!$N869/100</f>
        <v>1190.0416666666667</v>
      </c>
      <c r="AH893" s="16">
        <f t="shared" si="592"/>
        <v>-230845.58654689282</v>
      </c>
      <c r="AI893" s="15">
        <f t="shared" si="567"/>
        <v>22.170849845882874</v>
      </c>
      <c r="AJ893" s="75">
        <f>AI893*(1-PARAM!$C$27)*$I$11+(MOD($B893,60)=PARAM!$B$56)*($B893&gt;(60-PARAM!$B$56))*HLOOKUP(($B893+PARAM!$B$56)/12,Loyalty,2)*$F$1*MAX(AL892,0)</f>
        <v>18.557001321003963</v>
      </c>
      <c r="AK893" s="75">
        <f>PARAM!$C$26+MAX($G$11-CHOOSE(PARAM!$B$44,MAX(0,AL892*$F$1),0),0)*RATES!$L869/12+$H$11*(PARAM!$D$51/12)*RATES!$N869/100</f>
        <v>1190.0416666666667</v>
      </c>
      <c r="AL893" s="16">
        <f t="shared" si="593"/>
        <v>-230845.58654689282</v>
      </c>
      <c r="AM893" s="15">
        <f t="shared" si="568"/>
        <v>22.170849845882874</v>
      </c>
      <c r="AN893" s="75">
        <f>AM893*(1-PARAM!$C$27)*$I$12+(MOD($B893,60)=PARAM!$B$56)*($B893&gt;(60-PARAM!$B$56))*HLOOKUP(($B893+PARAM!$B$56)/12,Loyalty,2)*$F$1*MAX(AP892,0)</f>
        <v>18.557001321003963</v>
      </c>
      <c r="AO893" s="75">
        <f>PARAM!$C$26+MAX($G$12-CHOOSE(PARAM!$B$44,MAX(0,AP892*$F$1),0),0)*RATES!$L869/12+$H$12*(PARAM!$D$51/12)*RATES!$N869/100</f>
        <v>1190.0416666666667</v>
      </c>
      <c r="AP893" s="16">
        <f t="shared" si="594"/>
        <v>-230845.58654689282</v>
      </c>
      <c r="AQ893" s="15">
        <f t="shared" si="569"/>
        <v>22.170849845882874</v>
      </c>
      <c r="AR893" s="75">
        <f>AQ893*(1-PARAM!$C$27)*$I$13+(MOD($B893,60)=PARAM!$B$56)*($B893&gt;(60-PARAM!$B$56))*HLOOKUP(($B893+PARAM!$B$56)/12,Loyalty,2)*$F$1*MAX(AT892,0)</f>
        <v>18.557001321003963</v>
      </c>
      <c r="AS893" s="75">
        <f>PARAM!$C$26+MAX($G$13-CHOOSE(PARAM!$B$44,MAX(0,AT892*$F$1),0),0)*RATES!$L869/12+$H$13*(PARAM!$D$51/12)*RATES!$N869/100</f>
        <v>1190.0416666666667</v>
      </c>
      <c r="AT893" s="16">
        <f t="shared" si="595"/>
        <v>-230845.58654689282</v>
      </c>
      <c r="AU893" s="15">
        <f t="shared" si="570"/>
        <v>22.170849845882874</v>
      </c>
      <c r="AV893" s="75">
        <f>AU893*(1-PARAM!$C$27)*$I$14+(MOD($B893,60)=PARAM!$B$56)*($B893&gt;(60-PARAM!$B$56))*HLOOKUP(($B893+PARAM!$B$56)/12,Loyalty,2)*$F$1*MAX(AX892,0)</f>
        <v>18.557001321003963</v>
      </c>
      <c r="AW893" s="75">
        <f>PARAM!$C$26+MAX($G$14-CHOOSE(PARAM!$B$44,MAX(0,AX892*$F$1),0),0)*RATES!$L869/12+$H$14*(PARAM!$D$51/12)*RATES!$N869/100</f>
        <v>1190.0416666666667</v>
      </c>
      <c r="AX893" s="16">
        <f t="shared" si="596"/>
        <v>-230845.58654689282</v>
      </c>
      <c r="AY893" s="15">
        <f t="shared" si="571"/>
        <v>22.170849845882874</v>
      </c>
      <c r="AZ893" s="75">
        <f>AY893*(1-PARAM!$C$27)*$I$15+(MOD($B893,60)=PARAM!$B$56)*($B893&gt;(60-PARAM!$B$56))*HLOOKUP(($B893+PARAM!$B$56)/12,Loyalty,2)*$F$1*MAX(BB892,0)</f>
        <v>18.557001321003963</v>
      </c>
      <c r="BA893" s="75">
        <f>PARAM!$C$26+MAX($G$15-CHOOSE(PARAM!$B$44,MAX(0,BB892*$F$1),0),0)*RATES!$L869/12+$H$15*(PARAM!$D$51/12)*RATES!$N869/100</f>
        <v>1190.0416666666667</v>
      </c>
      <c r="BB893" s="16">
        <f t="shared" si="597"/>
        <v>-230845.58654689282</v>
      </c>
      <c r="BC893" s="15">
        <f t="shared" si="572"/>
        <v>22.170849845882874</v>
      </c>
      <c r="BD893" s="75">
        <f>BC893*(1-PARAM!$C$27)*$I$16+(MOD($B893,60)=PARAM!$B$56)*($B893&gt;(60-PARAM!$B$56))*HLOOKUP(($B893+PARAM!$B$56)/12,Loyalty,2)*$F$1*MAX(BF892,0)</f>
        <v>18.557001321003963</v>
      </c>
      <c r="BE893" s="75">
        <f>PARAM!$C$26+MAX($G$16-CHOOSE(PARAM!$B$44,MAX(0,BF892*$F$1),0),0)*RATES!$L869/12+$H$16*(PARAM!$D$51/12)*RATES!$N869/100</f>
        <v>1190.0416666666667</v>
      </c>
      <c r="BF893" s="16">
        <f t="shared" si="598"/>
        <v>-230845.58654689282</v>
      </c>
      <c r="BG893" s="15">
        <f t="shared" si="573"/>
        <v>22.170849845882874</v>
      </c>
      <c r="BH893" s="75">
        <f>BG893*(1-PARAM!$C$27)*$I$17+(MOD($B893,60)=PARAM!$B$56)*($B893&gt;(60-PARAM!$B$56))*HLOOKUP(($B893+PARAM!$B$56)/12,Loyalty,2)*$F$1*MAX(BJ892,0)</f>
        <v>18.557001321003963</v>
      </c>
      <c r="BI893" s="75">
        <f>PARAM!$C$26+MAX($G$17-CHOOSE(PARAM!$B$44,MAX(0,BJ892*$F$1),0),0)*RATES!$L869/12+$H$17*(PARAM!$D$51/12)*RATES!$N869/100</f>
        <v>1190.0416666666667</v>
      </c>
      <c r="BJ893" s="16">
        <f t="shared" si="599"/>
        <v>-230845.58654689282</v>
      </c>
      <c r="BK893" s="15">
        <f t="shared" si="574"/>
        <v>22.170849845882874</v>
      </c>
      <c r="BL893" s="75">
        <f>BK893*(1-PARAM!$C$27)*$I$18+(MOD($B893,60)=PARAM!$B$56)*($B893&gt;(60-PARAM!$B$56))*HLOOKUP(($B893+PARAM!$B$56)/12,Loyalty,2)*$F$1*MAX(BN892,0)</f>
        <v>18.557001321003963</v>
      </c>
      <c r="BM893" s="75">
        <f>PARAM!$C$26+MAX($G$18-CHOOSE(PARAM!$B$44,MAX(0,BN892*$F$1),0),0)*RATES!$L869/12+$H$18*(PARAM!$D$51/12)*RATES!$N869/100</f>
        <v>1190.0416666666667</v>
      </c>
      <c r="BN893" s="16">
        <f t="shared" si="600"/>
        <v>-230845.58654689282</v>
      </c>
      <c r="BO893" s="15">
        <f t="shared" si="575"/>
        <v>22.170849845882874</v>
      </c>
      <c r="BP893" s="75">
        <f>BO893*(1-PARAM!$C$27)*$I$19+(MOD($B893,60)=PARAM!$B$56)*($B893&gt;(60-PARAM!$B$56))*HLOOKUP(($B893+PARAM!$B$56)/12,Loyalty,2)*$F$1*MAX(BR892,0)</f>
        <v>18.557001321003963</v>
      </c>
      <c r="BQ893" s="75">
        <f>PARAM!$C$26+MAX($G$19-CHOOSE(PARAM!$B$44,MAX(0,BR892*$F$1),0),0)*RATES!$L869/12+$H$19*(PARAM!$D$51/12)*RATES!$N869/100</f>
        <v>1190.0416666666667</v>
      </c>
      <c r="BR893" s="16">
        <f t="shared" si="601"/>
        <v>-230845.58654689282</v>
      </c>
      <c r="BS893" s="15">
        <f t="shared" si="576"/>
        <v>22.170849845882874</v>
      </c>
      <c r="BT893" s="75">
        <f>BS893*(1-PARAM!$C$27)*$I$20+(MOD($B893,60)=PARAM!$B$56)*($B893&gt;(60-PARAM!$B$56))*HLOOKUP(($B893+PARAM!$B$56)/12,Loyalty,2)*$F$1*MAX(BV892,0)</f>
        <v>18.557001321003963</v>
      </c>
      <c r="BU893" s="75">
        <f>PARAM!$C$26+MAX($G$20-CHOOSE(PARAM!$B$44,MAX(0,BV892*$F$1),0),0)*RATES!$L869/12+$H$20*(PARAM!$D$51/12)*RATES!$N869/100</f>
        <v>1190.0416666666667</v>
      </c>
      <c r="BV893" s="16">
        <f t="shared" si="602"/>
        <v>-230845.58654689282</v>
      </c>
      <c r="BW893" s="15">
        <f t="shared" si="577"/>
        <v>22.170849845882874</v>
      </c>
      <c r="BX893" s="75">
        <f>BW893*(1-PARAM!$C$27)*$I$21+(MOD($B893,60)=PARAM!$B$56)*($B893&gt;(60-PARAM!$B$56))*HLOOKUP(($B893+PARAM!$B$56)/12,Loyalty,2)*$F$1*MAX(BZ892,0)</f>
        <v>18.557001321003963</v>
      </c>
      <c r="BY893" s="75">
        <f>PARAM!$C$26+MAX($G$21-CHOOSE(PARAM!$B$44,MAX(0,BZ892*$F$1),0),0)*RATES!$L869/12+$H$21*(PARAM!$D$51/12)*RATES!$N869/100</f>
        <v>1190.0416666666667</v>
      </c>
      <c r="BZ893" s="16">
        <f t="shared" si="603"/>
        <v>-230845.58654689282</v>
      </c>
      <c r="CA893" s="15">
        <f t="shared" si="578"/>
        <v>22.170849845882874</v>
      </c>
      <c r="CB893" s="75">
        <f>CA893*(1-PARAM!$C$27)*$I$22+(MOD($B893,60)=PARAM!$B$56)*($B893&gt;(60-PARAM!$B$56))*HLOOKUP(($B893+PARAM!$B$56)/12,Loyalty,2)*$F$1*MAX(CD892,0)</f>
        <v>18.557001321003963</v>
      </c>
      <c r="CC893" s="75">
        <f>PARAM!$C$26+MAX($G$22-CHOOSE(PARAM!$B$44,MAX(0,CD892*$F$1),0),0)*RATES!$L869/12+$H$22*(PARAM!$D$51/12)*RATES!$N869/100</f>
        <v>1190.0416666666667</v>
      </c>
      <c r="CD893" s="16">
        <f t="shared" si="604"/>
        <v>-230845.58654689282</v>
      </c>
      <c r="CE893" s="33">
        <f>IF(0=MOD(B893,12/PARAM!$D$51),1,0)</f>
        <v>1</v>
      </c>
      <c r="CF893" s="15">
        <f t="shared" si="579"/>
        <v>0</v>
      </c>
      <c r="CG893" s="75">
        <f>CF893*(1-PARAM!$C$27)*$R$3+(MOD($B893/12,5)=0)*($B893&gt;60)*HLOOKUP($B893/12,Loyalty,2)*$F$1*MAX(CI892,0)</f>
        <v>0</v>
      </c>
      <c r="CH893" s="75">
        <f>PARAM!$C$26+MAX($P$3-CHOOSE(PARAM!$B$44,MAX(0,CI892*$F$1),0),0)*RATES!$L869/12+$Q$3*(PARAM!$D$51/12)*RATES!$N869/100</f>
        <v>1190.0416666666667</v>
      </c>
      <c r="CI893" s="16">
        <f>IF(CI892&gt;0,CI892*PARAM!$C$53,CI892)+CG893-CH893</f>
        <v>-246796.37499999974</v>
      </c>
      <c r="CJ893" s="15">
        <f t="shared" si="605"/>
        <v>0</v>
      </c>
      <c r="CK893" s="75">
        <f>CJ893*(1-PARAM!$C$27)*$R$4+(MOD($B893/12,5)=0)*($B893&gt;60)*HLOOKUP($B893/12,Loyalty,2)*$F$1*MAX(CM892,0)</f>
        <v>0</v>
      </c>
      <c r="CL893" s="75">
        <f>PARAM!$C$26+MAX($P$4-CHOOSE(PARAM!$B$44,MAX(0,CM892*$F$1),0),0)*RATES!$L869/12+$Q$4*(PARAM!$D$51/12)*RATES!$N869/100</f>
        <v>1190.0416666666667</v>
      </c>
      <c r="CM893" s="16">
        <f>IF(CM892&gt;0,CM892*PARAM!$C$53,CM892)+CK893-CL893</f>
        <v>-246796.37499999974</v>
      </c>
      <c r="CO893" s="176"/>
    </row>
    <row r="894" spans="1:93" x14ac:dyDescent="0.2">
      <c r="A894" t="b">
        <f t="shared" si="580"/>
        <v>0</v>
      </c>
      <c r="B894" s="33">
        <v>867</v>
      </c>
      <c r="C894" s="15">
        <f t="shared" si="581"/>
        <v>20.081305947392778</v>
      </c>
      <c r="D894" s="75">
        <f>C894*(1-PARAM!$C$27)*$I$3+(MOD($B894,60)=PARAM!$B$56)*($B894&gt;(60-PARAM!$B$56))*HLOOKUP(($B894+PARAM!$B$56)/12,Loyalty,2)*$F$1*MAX(F893,0)</f>
        <v>16.808053077967756</v>
      </c>
      <c r="E894" s="75">
        <f>PARAM!$C$26+MAX($G$3-CHOOSE(PARAM!$B$44,MAX(0,F893*$F$1),0),0)*RATES!$L870/12+$H$3*(PARAM!$D$51/12)*RATES!$N870/100</f>
        <v>1190.0416666666667</v>
      </c>
      <c r="F894" s="16">
        <f t="shared" si="582"/>
        <v>-233570.25983947283</v>
      </c>
      <c r="G894" s="15">
        <f t="shared" si="583"/>
        <v>22.035289406060361</v>
      </c>
      <c r="H894" s="75">
        <f>G894*(1-PARAM!$C$27)*$I$4+(MOD($B894,60)=PARAM!$B$56)*($B894&gt;(60-PARAM!$B$56))*HLOOKUP(($B894+PARAM!$B$56)/12,Loyalty,2)*$F$1*MAX(J893,0)</f>
        <v>18.443537232872522</v>
      </c>
      <c r="I894" s="75">
        <f>PARAM!$C$26+MAX($G$4-CHOOSE(PARAM!$B$44,MAX(0,J893*$F$1),0),0)*RATES!$L870/12+$H$4*(PARAM!$D$51/12)*RATES!$N870/100</f>
        <v>1190.0416666666667</v>
      </c>
      <c r="J894" s="16">
        <f t="shared" si="584"/>
        <v>-232118.46211304746</v>
      </c>
      <c r="K894" s="15">
        <f t="shared" si="585"/>
        <v>22.170849845882874</v>
      </c>
      <c r="L894" s="75">
        <f>K894*(1-PARAM!$C$27)*$I$5+(MOD($B894,60)=PARAM!$B$56)*($B894&gt;(60-PARAM!$B$56))*HLOOKUP(($B894+PARAM!$B$56)/12,Loyalty,2)*$F$1*MAX(N893,0)</f>
        <v>18.557001321003963</v>
      </c>
      <c r="M894" s="75">
        <f>PARAM!$C$26+MAX($G$5-CHOOSE(PARAM!$B$44,MAX(0,N893*$F$1),0),0)*RATES!$L870/12+$H$5*(PARAM!$D$51/12)*RATES!$N870/100</f>
        <v>1190.0416666666667</v>
      </c>
      <c r="N894" s="16">
        <f t="shared" si="586"/>
        <v>-232017.07121223849</v>
      </c>
      <c r="O894" s="15">
        <f t="shared" si="587"/>
        <v>22.170849845882874</v>
      </c>
      <c r="P894" s="75">
        <f>O894*(1-PARAM!$C$27)*$I$6+(MOD($B894,60)=PARAM!$B$56)*($B894&gt;(60-PARAM!$B$56))*HLOOKUP(($B894+PARAM!$B$56)/12,Loyalty,2)*$F$1*MAX(R893,0)</f>
        <v>18.557001321003963</v>
      </c>
      <c r="Q894" s="75">
        <f>PARAM!$C$26+MAX($G$6-CHOOSE(PARAM!$B$44,MAX(0,R893*$F$1),0),0)*RATES!$L870/12+$H$6*(PARAM!$D$51/12)*RATES!$N870/100</f>
        <v>1190.0416666666667</v>
      </c>
      <c r="R894" s="16">
        <f t="shared" si="588"/>
        <v>-232017.07121223849</v>
      </c>
      <c r="S894" s="15">
        <f t="shared" si="563"/>
        <v>22.170849845882874</v>
      </c>
      <c r="T894" s="75">
        <f>S894*(1-PARAM!$C$27)*$I$7+(MOD($B894,60)=PARAM!$B$56)*($B894&gt;(60-PARAM!$B$56))*HLOOKUP(($B894+PARAM!$B$56)/12,Loyalty,2)*$F$1*MAX(V893,0)</f>
        <v>18.557001321003963</v>
      </c>
      <c r="U894" s="75">
        <f>PARAM!$C$26+MAX($G$7-CHOOSE(PARAM!$B$44,MAX(0,V893*$F$1),0),0)*RATES!$L870/12+$H$7*(PARAM!$D$51/12)*RATES!$N870/100</f>
        <v>1190.0416666666667</v>
      </c>
      <c r="V894" s="16">
        <f t="shared" si="589"/>
        <v>-232017.07121223849</v>
      </c>
      <c r="W894" s="15">
        <f t="shared" si="564"/>
        <v>22.170849845882874</v>
      </c>
      <c r="X894" s="75">
        <f>W894*(1-PARAM!$C$27)*$I$8+(MOD($B894,60)=PARAM!$B$56)*($B894&gt;(60-PARAM!$B$56))*HLOOKUP(($B894+PARAM!$B$56)/12,Loyalty,2)*$F$1*MAX(Z893,0)</f>
        <v>18.557001321003963</v>
      </c>
      <c r="Y894" s="75">
        <f>PARAM!$C$26+MAX($G$8-CHOOSE(PARAM!$B$44,MAX(0,Z893*$F$1),0),0)*RATES!$L870/12+$H$8*(PARAM!$D$51/12)*RATES!$N870/100</f>
        <v>1190.0416666666667</v>
      </c>
      <c r="Z894" s="16">
        <f t="shared" si="590"/>
        <v>-232017.07121223849</v>
      </c>
      <c r="AA894" s="15">
        <f t="shared" si="565"/>
        <v>22.170849845882874</v>
      </c>
      <c r="AB894" s="75">
        <f>AA894*(1-PARAM!$C$27)*$I$9+(MOD($B894,60)=PARAM!$B$56)*($B894&gt;(60-PARAM!$B$56))*HLOOKUP(($B894+PARAM!$B$56)/12,Loyalty,2)*$F$1*MAX(AD893,0)</f>
        <v>18.557001321003963</v>
      </c>
      <c r="AC894" s="75">
        <f>PARAM!$C$26+MAX($G$9-CHOOSE(PARAM!$B$44,MAX(0,AD893*$F$1),0),0)*RATES!$L870/12+$H$9*(PARAM!$D$51/12)*RATES!$N870/100</f>
        <v>1190.0416666666667</v>
      </c>
      <c r="AD894" s="16">
        <f t="shared" si="591"/>
        <v>-232017.07121223849</v>
      </c>
      <c r="AE894" s="15">
        <f t="shared" si="566"/>
        <v>22.170849845882874</v>
      </c>
      <c r="AF894" s="75">
        <f>AE894*(1-PARAM!$C$27)*$I$10+(MOD($B894,60)=PARAM!$B$56)*($B894&gt;(60-PARAM!$B$56))*HLOOKUP(($B894+PARAM!$B$56)/12,Loyalty,2)*$F$1*MAX(AH893,0)</f>
        <v>18.557001321003963</v>
      </c>
      <c r="AG894" s="75">
        <f>PARAM!$C$26+MAX($G$10-CHOOSE(PARAM!$B$44,MAX(0,AH893*$F$1),0),0)*RATES!$L870/12+$H$10*(PARAM!$D$51/12)*RATES!$N870/100</f>
        <v>1190.0416666666667</v>
      </c>
      <c r="AH894" s="16">
        <f t="shared" si="592"/>
        <v>-232017.07121223849</v>
      </c>
      <c r="AI894" s="15">
        <f t="shared" si="567"/>
        <v>22.170849845882874</v>
      </c>
      <c r="AJ894" s="75">
        <f>AI894*(1-PARAM!$C$27)*$I$11+(MOD($B894,60)=PARAM!$B$56)*($B894&gt;(60-PARAM!$B$56))*HLOOKUP(($B894+PARAM!$B$56)/12,Loyalty,2)*$F$1*MAX(AL893,0)</f>
        <v>18.557001321003963</v>
      </c>
      <c r="AK894" s="75">
        <f>PARAM!$C$26+MAX($G$11-CHOOSE(PARAM!$B$44,MAX(0,AL893*$F$1),0),0)*RATES!$L870/12+$H$11*(PARAM!$D$51/12)*RATES!$N870/100</f>
        <v>1190.0416666666667</v>
      </c>
      <c r="AL894" s="16">
        <f t="shared" si="593"/>
        <v>-232017.07121223849</v>
      </c>
      <c r="AM894" s="15">
        <f t="shared" si="568"/>
        <v>22.170849845882874</v>
      </c>
      <c r="AN894" s="75">
        <f>AM894*(1-PARAM!$C$27)*$I$12+(MOD($B894,60)=PARAM!$B$56)*($B894&gt;(60-PARAM!$B$56))*HLOOKUP(($B894+PARAM!$B$56)/12,Loyalty,2)*$F$1*MAX(AP893,0)</f>
        <v>18.557001321003963</v>
      </c>
      <c r="AO894" s="75">
        <f>PARAM!$C$26+MAX($G$12-CHOOSE(PARAM!$B$44,MAX(0,AP893*$F$1),0),0)*RATES!$L870/12+$H$12*(PARAM!$D$51/12)*RATES!$N870/100</f>
        <v>1190.0416666666667</v>
      </c>
      <c r="AP894" s="16">
        <f t="shared" si="594"/>
        <v>-232017.07121223849</v>
      </c>
      <c r="AQ894" s="15">
        <f t="shared" si="569"/>
        <v>22.170849845882874</v>
      </c>
      <c r="AR894" s="75">
        <f>AQ894*(1-PARAM!$C$27)*$I$13+(MOD($B894,60)=PARAM!$B$56)*($B894&gt;(60-PARAM!$B$56))*HLOOKUP(($B894+PARAM!$B$56)/12,Loyalty,2)*$F$1*MAX(AT893,0)</f>
        <v>18.557001321003963</v>
      </c>
      <c r="AS894" s="75">
        <f>PARAM!$C$26+MAX($G$13-CHOOSE(PARAM!$B$44,MAX(0,AT893*$F$1),0),0)*RATES!$L870/12+$H$13*(PARAM!$D$51/12)*RATES!$N870/100</f>
        <v>1190.0416666666667</v>
      </c>
      <c r="AT894" s="16">
        <f t="shared" si="595"/>
        <v>-232017.07121223849</v>
      </c>
      <c r="AU894" s="15">
        <f t="shared" si="570"/>
        <v>22.170849845882874</v>
      </c>
      <c r="AV894" s="75">
        <f>AU894*(1-PARAM!$C$27)*$I$14+(MOD($B894,60)=PARAM!$B$56)*($B894&gt;(60-PARAM!$B$56))*HLOOKUP(($B894+PARAM!$B$56)/12,Loyalty,2)*$F$1*MAX(AX893,0)</f>
        <v>18.557001321003963</v>
      </c>
      <c r="AW894" s="75">
        <f>PARAM!$C$26+MAX($G$14-CHOOSE(PARAM!$B$44,MAX(0,AX893*$F$1),0),0)*RATES!$L870/12+$H$14*(PARAM!$D$51/12)*RATES!$N870/100</f>
        <v>1190.0416666666667</v>
      </c>
      <c r="AX894" s="16">
        <f t="shared" si="596"/>
        <v>-232017.07121223849</v>
      </c>
      <c r="AY894" s="15">
        <f t="shared" si="571"/>
        <v>22.170849845882874</v>
      </c>
      <c r="AZ894" s="75">
        <f>AY894*(1-PARAM!$C$27)*$I$15+(MOD($B894,60)=PARAM!$B$56)*($B894&gt;(60-PARAM!$B$56))*HLOOKUP(($B894+PARAM!$B$56)/12,Loyalty,2)*$F$1*MAX(BB893,0)</f>
        <v>18.557001321003963</v>
      </c>
      <c r="BA894" s="75">
        <f>PARAM!$C$26+MAX($G$15-CHOOSE(PARAM!$B$44,MAX(0,BB893*$F$1),0),0)*RATES!$L870/12+$H$15*(PARAM!$D$51/12)*RATES!$N870/100</f>
        <v>1190.0416666666667</v>
      </c>
      <c r="BB894" s="16">
        <f t="shared" si="597"/>
        <v>-232017.07121223849</v>
      </c>
      <c r="BC894" s="15">
        <f t="shared" si="572"/>
        <v>22.170849845882874</v>
      </c>
      <c r="BD894" s="75">
        <f>BC894*(1-PARAM!$C$27)*$I$16+(MOD($B894,60)=PARAM!$B$56)*($B894&gt;(60-PARAM!$B$56))*HLOOKUP(($B894+PARAM!$B$56)/12,Loyalty,2)*$F$1*MAX(BF893,0)</f>
        <v>18.557001321003963</v>
      </c>
      <c r="BE894" s="75">
        <f>PARAM!$C$26+MAX($G$16-CHOOSE(PARAM!$B$44,MAX(0,BF893*$F$1),0),0)*RATES!$L870/12+$H$16*(PARAM!$D$51/12)*RATES!$N870/100</f>
        <v>1190.0416666666667</v>
      </c>
      <c r="BF894" s="16">
        <f t="shared" si="598"/>
        <v>-232017.07121223849</v>
      </c>
      <c r="BG894" s="15">
        <f t="shared" si="573"/>
        <v>22.170849845882874</v>
      </c>
      <c r="BH894" s="75">
        <f>BG894*(1-PARAM!$C$27)*$I$17+(MOD($B894,60)=PARAM!$B$56)*($B894&gt;(60-PARAM!$B$56))*HLOOKUP(($B894+PARAM!$B$56)/12,Loyalty,2)*$F$1*MAX(BJ893,0)</f>
        <v>18.557001321003963</v>
      </c>
      <c r="BI894" s="75">
        <f>PARAM!$C$26+MAX($G$17-CHOOSE(PARAM!$B$44,MAX(0,BJ893*$F$1),0),0)*RATES!$L870/12+$H$17*(PARAM!$D$51/12)*RATES!$N870/100</f>
        <v>1190.0416666666667</v>
      </c>
      <c r="BJ894" s="16">
        <f t="shared" si="599"/>
        <v>-232017.07121223849</v>
      </c>
      <c r="BK894" s="15">
        <f t="shared" si="574"/>
        <v>22.170849845882874</v>
      </c>
      <c r="BL894" s="75">
        <f>BK894*(1-PARAM!$C$27)*$I$18+(MOD($B894,60)=PARAM!$B$56)*($B894&gt;(60-PARAM!$B$56))*HLOOKUP(($B894+PARAM!$B$56)/12,Loyalty,2)*$F$1*MAX(BN893,0)</f>
        <v>18.557001321003963</v>
      </c>
      <c r="BM894" s="75">
        <f>PARAM!$C$26+MAX($G$18-CHOOSE(PARAM!$B$44,MAX(0,BN893*$F$1),0),0)*RATES!$L870/12+$H$18*(PARAM!$D$51/12)*RATES!$N870/100</f>
        <v>1190.0416666666667</v>
      </c>
      <c r="BN894" s="16">
        <f t="shared" si="600"/>
        <v>-232017.07121223849</v>
      </c>
      <c r="BO894" s="15">
        <f t="shared" si="575"/>
        <v>22.170849845882874</v>
      </c>
      <c r="BP894" s="75">
        <f>BO894*(1-PARAM!$C$27)*$I$19+(MOD($B894,60)=PARAM!$B$56)*($B894&gt;(60-PARAM!$B$56))*HLOOKUP(($B894+PARAM!$B$56)/12,Loyalty,2)*$F$1*MAX(BR893,0)</f>
        <v>18.557001321003963</v>
      </c>
      <c r="BQ894" s="75">
        <f>PARAM!$C$26+MAX($G$19-CHOOSE(PARAM!$B$44,MAX(0,BR893*$F$1),0),0)*RATES!$L870/12+$H$19*(PARAM!$D$51/12)*RATES!$N870/100</f>
        <v>1190.0416666666667</v>
      </c>
      <c r="BR894" s="16">
        <f t="shared" si="601"/>
        <v>-232017.07121223849</v>
      </c>
      <c r="BS894" s="15">
        <f t="shared" si="576"/>
        <v>22.170849845882874</v>
      </c>
      <c r="BT894" s="75">
        <f>BS894*(1-PARAM!$C$27)*$I$20+(MOD($B894,60)=PARAM!$B$56)*($B894&gt;(60-PARAM!$B$56))*HLOOKUP(($B894+PARAM!$B$56)/12,Loyalty,2)*$F$1*MAX(BV893,0)</f>
        <v>18.557001321003963</v>
      </c>
      <c r="BU894" s="75">
        <f>PARAM!$C$26+MAX($G$20-CHOOSE(PARAM!$B$44,MAX(0,BV893*$F$1),0),0)*RATES!$L870/12+$H$20*(PARAM!$D$51/12)*RATES!$N870/100</f>
        <v>1190.0416666666667</v>
      </c>
      <c r="BV894" s="16">
        <f t="shared" si="602"/>
        <v>-232017.07121223849</v>
      </c>
      <c r="BW894" s="15">
        <f t="shared" si="577"/>
        <v>22.170849845882874</v>
      </c>
      <c r="BX894" s="75">
        <f>BW894*(1-PARAM!$C$27)*$I$21+(MOD($B894,60)=PARAM!$B$56)*($B894&gt;(60-PARAM!$B$56))*HLOOKUP(($B894+PARAM!$B$56)/12,Loyalty,2)*$F$1*MAX(BZ893,0)</f>
        <v>18.557001321003963</v>
      </c>
      <c r="BY894" s="75">
        <f>PARAM!$C$26+MAX($G$21-CHOOSE(PARAM!$B$44,MAX(0,BZ893*$F$1),0),0)*RATES!$L870/12+$H$21*(PARAM!$D$51/12)*RATES!$N870/100</f>
        <v>1190.0416666666667</v>
      </c>
      <c r="BZ894" s="16">
        <f t="shared" si="603"/>
        <v>-232017.07121223849</v>
      </c>
      <c r="CA894" s="15">
        <f t="shared" si="578"/>
        <v>22.170849845882874</v>
      </c>
      <c r="CB894" s="75">
        <f>CA894*(1-PARAM!$C$27)*$I$22+(MOD($B894,60)=PARAM!$B$56)*($B894&gt;(60-PARAM!$B$56))*HLOOKUP(($B894+PARAM!$B$56)/12,Loyalty,2)*$F$1*MAX(CD893,0)</f>
        <v>18.557001321003963</v>
      </c>
      <c r="CC894" s="75">
        <f>PARAM!$C$26+MAX($G$22-CHOOSE(PARAM!$B$44,MAX(0,CD893*$F$1),0),0)*RATES!$L870/12+$H$22*(PARAM!$D$51/12)*RATES!$N870/100</f>
        <v>1190.0416666666667</v>
      </c>
      <c r="CD894" s="16">
        <f t="shared" si="604"/>
        <v>-232017.07121223849</v>
      </c>
      <c r="CE894" s="33">
        <f>IF(0=MOD(B894,12/PARAM!$D$51),1,0)</f>
        <v>1</v>
      </c>
      <c r="CF894" s="15">
        <f t="shared" si="579"/>
        <v>0</v>
      </c>
      <c r="CG894" s="75">
        <f>CF894*(1-PARAM!$C$27)*$R$3+(MOD($B894/12,5)=0)*($B894&gt;60)*HLOOKUP($B894/12,Loyalty,2)*$F$1*MAX(CI893,0)</f>
        <v>0</v>
      </c>
      <c r="CH894" s="75">
        <f>PARAM!$C$26+MAX($P$3-CHOOSE(PARAM!$B$44,MAX(0,CI893*$F$1),0),0)*RATES!$L870/12+$Q$3*(PARAM!$D$51/12)*RATES!$N870/100</f>
        <v>1190.0416666666667</v>
      </c>
      <c r="CI894" s="16">
        <f>IF(CI893&gt;0,CI893*PARAM!$C$53,CI893)+CG894-CH894</f>
        <v>-247986.4166666664</v>
      </c>
      <c r="CJ894" s="15">
        <f t="shared" si="605"/>
        <v>0</v>
      </c>
      <c r="CK894" s="75">
        <f>CJ894*(1-PARAM!$C$27)*$R$4+(MOD($B894/12,5)=0)*($B894&gt;60)*HLOOKUP($B894/12,Loyalty,2)*$F$1*MAX(CM893,0)</f>
        <v>0</v>
      </c>
      <c r="CL894" s="75">
        <f>PARAM!$C$26+MAX($P$4-CHOOSE(PARAM!$B$44,MAX(0,CM893*$F$1),0),0)*RATES!$L870/12+$Q$4*(PARAM!$D$51/12)*RATES!$N870/100</f>
        <v>1190.0416666666667</v>
      </c>
      <c r="CM894" s="16">
        <f>IF(CM893&gt;0,CM893*PARAM!$C$53,CM893)+CK894-CL894</f>
        <v>-247986.4166666664</v>
      </c>
      <c r="CO894" s="176"/>
    </row>
    <row r="895" spans="1:93" x14ac:dyDescent="0.2">
      <c r="A895" t="b">
        <f t="shared" si="580"/>
        <v>0</v>
      </c>
      <c r="B895" s="33">
        <v>868</v>
      </c>
      <c r="C895" s="15">
        <f t="shared" si="581"/>
        <v>20.081305947392778</v>
      </c>
      <c r="D895" s="75">
        <f>C895*(1-PARAM!$C$27)*$I$3+(MOD($B895,60)=PARAM!$B$56)*($B895&gt;(60-PARAM!$B$56))*HLOOKUP(($B895+PARAM!$B$56)/12,Loyalty,2)*$F$1*MAX(F894,0)</f>
        <v>16.808053077967756</v>
      </c>
      <c r="E895" s="75">
        <f>PARAM!$C$26+MAX($G$3-CHOOSE(PARAM!$B$44,MAX(0,F894*$F$1),0),0)*RATES!$L871/12+$H$3*(PARAM!$D$51/12)*RATES!$N871/100</f>
        <v>1190.0416666666667</v>
      </c>
      <c r="F895" s="16">
        <f t="shared" si="582"/>
        <v>-234743.49345306153</v>
      </c>
      <c r="G895" s="15">
        <f t="shared" si="583"/>
        <v>22.035289406060361</v>
      </c>
      <c r="H895" s="75">
        <f>G895*(1-PARAM!$C$27)*$I$4+(MOD($B895,60)=PARAM!$B$56)*($B895&gt;(60-PARAM!$B$56))*HLOOKUP(($B895+PARAM!$B$56)/12,Loyalty,2)*$F$1*MAX(J894,0)</f>
        <v>18.443537232872522</v>
      </c>
      <c r="I895" s="75">
        <f>PARAM!$C$26+MAX($G$4-CHOOSE(PARAM!$B$44,MAX(0,J894*$F$1),0),0)*RATES!$L871/12+$H$4*(PARAM!$D$51/12)*RATES!$N871/100</f>
        <v>1190.0416666666667</v>
      </c>
      <c r="J895" s="16">
        <f t="shared" si="584"/>
        <v>-233290.06024248124</v>
      </c>
      <c r="K895" s="15">
        <f t="shared" si="585"/>
        <v>22.170849845882874</v>
      </c>
      <c r="L895" s="75">
        <f>K895*(1-PARAM!$C$27)*$I$5+(MOD($B895,60)=PARAM!$B$56)*($B895&gt;(60-PARAM!$B$56))*HLOOKUP(($B895+PARAM!$B$56)/12,Loyalty,2)*$F$1*MAX(N894,0)</f>
        <v>18.557001321003963</v>
      </c>
      <c r="M895" s="75">
        <f>PARAM!$C$26+MAX($G$5-CHOOSE(PARAM!$B$44,MAX(0,N894*$F$1),0),0)*RATES!$L871/12+$H$5*(PARAM!$D$51/12)*RATES!$N871/100</f>
        <v>1190.0416666666667</v>
      </c>
      <c r="N895" s="16">
        <f t="shared" si="586"/>
        <v>-233188.55587758415</v>
      </c>
      <c r="O895" s="15">
        <f t="shared" si="587"/>
        <v>22.170849845882874</v>
      </c>
      <c r="P895" s="75">
        <f>O895*(1-PARAM!$C$27)*$I$6+(MOD($B895,60)=PARAM!$B$56)*($B895&gt;(60-PARAM!$B$56))*HLOOKUP(($B895+PARAM!$B$56)/12,Loyalty,2)*$F$1*MAX(R894,0)</f>
        <v>18.557001321003963</v>
      </c>
      <c r="Q895" s="75">
        <f>PARAM!$C$26+MAX($G$6-CHOOSE(PARAM!$B$44,MAX(0,R894*$F$1),0),0)*RATES!$L871/12+$H$6*(PARAM!$D$51/12)*RATES!$N871/100</f>
        <v>1190.0416666666667</v>
      </c>
      <c r="R895" s="16">
        <f t="shared" si="588"/>
        <v>-233188.55587758415</v>
      </c>
      <c r="S895" s="15">
        <f t="shared" si="563"/>
        <v>22.170849845882874</v>
      </c>
      <c r="T895" s="75">
        <f>S895*(1-PARAM!$C$27)*$I$7+(MOD($B895,60)=PARAM!$B$56)*($B895&gt;(60-PARAM!$B$56))*HLOOKUP(($B895+PARAM!$B$56)/12,Loyalty,2)*$F$1*MAX(V894,0)</f>
        <v>18.557001321003963</v>
      </c>
      <c r="U895" s="75">
        <f>PARAM!$C$26+MAX($G$7-CHOOSE(PARAM!$B$44,MAX(0,V894*$F$1),0),0)*RATES!$L871/12+$H$7*(PARAM!$D$51/12)*RATES!$N871/100</f>
        <v>1190.0416666666667</v>
      </c>
      <c r="V895" s="16">
        <f t="shared" si="589"/>
        <v>-233188.55587758415</v>
      </c>
      <c r="W895" s="15">
        <f t="shared" si="564"/>
        <v>22.170849845882874</v>
      </c>
      <c r="X895" s="75">
        <f>W895*(1-PARAM!$C$27)*$I$8+(MOD($B895,60)=PARAM!$B$56)*($B895&gt;(60-PARAM!$B$56))*HLOOKUP(($B895+PARAM!$B$56)/12,Loyalty,2)*$F$1*MAX(Z894,0)</f>
        <v>18.557001321003963</v>
      </c>
      <c r="Y895" s="75">
        <f>PARAM!$C$26+MAX($G$8-CHOOSE(PARAM!$B$44,MAX(0,Z894*$F$1),0),0)*RATES!$L871/12+$H$8*(PARAM!$D$51/12)*RATES!$N871/100</f>
        <v>1190.0416666666667</v>
      </c>
      <c r="Z895" s="16">
        <f t="shared" si="590"/>
        <v>-233188.55587758415</v>
      </c>
      <c r="AA895" s="15">
        <f t="shared" si="565"/>
        <v>22.170849845882874</v>
      </c>
      <c r="AB895" s="75">
        <f>AA895*(1-PARAM!$C$27)*$I$9+(MOD($B895,60)=PARAM!$B$56)*($B895&gt;(60-PARAM!$B$56))*HLOOKUP(($B895+PARAM!$B$56)/12,Loyalty,2)*$F$1*MAX(AD894,0)</f>
        <v>18.557001321003963</v>
      </c>
      <c r="AC895" s="75">
        <f>PARAM!$C$26+MAX($G$9-CHOOSE(PARAM!$B$44,MAX(0,AD894*$F$1),0),0)*RATES!$L871/12+$H$9*(PARAM!$D$51/12)*RATES!$N871/100</f>
        <v>1190.0416666666667</v>
      </c>
      <c r="AD895" s="16">
        <f t="shared" si="591"/>
        <v>-233188.55587758415</v>
      </c>
      <c r="AE895" s="15">
        <f t="shared" si="566"/>
        <v>22.170849845882874</v>
      </c>
      <c r="AF895" s="75">
        <f>AE895*(1-PARAM!$C$27)*$I$10+(MOD($B895,60)=PARAM!$B$56)*($B895&gt;(60-PARAM!$B$56))*HLOOKUP(($B895+PARAM!$B$56)/12,Loyalty,2)*$F$1*MAX(AH894,0)</f>
        <v>18.557001321003963</v>
      </c>
      <c r="AG895" s="75">
        <f>PARAM!$C$26+MAX($G$10-CHOOSE(PARAM!$B$44,MAX(0,AH894*$F$1),0),0)*RATES!$L871/12+$H$10*(PARAM!$D$51/12)*RATES!$N871/100</f>
        <v>1190.0416666666667</v>
      </c>
      <c r="AH895" s="16">
        <f t="shared" si="592"/>
        <v>-233188.55587758415</v>
      </c>
      <c r="AI895" s="15">
        <f t="shared" si="567"/>
        <v>22.170849845882874</v>
      </c>
      <c r="AJ895" s="75">
        <f>AI895*(1-PARAM!$C$27)*$I$11+(MOD($B895,60)=PARAM!$B$56)*($B895&gt;(60-PARAM!$B$56))*HLOOKUP(($B895+PARAM!$B$56)/12,Loyalty,2)*$F$1*MAX(AL894,0)</f>
        <v>18.557001321003963</v>
      </c>
      <c r="AK895" s="75">
        <f>PARAM!$C$26+MAX($G$11-CHOOSE(PARAM!$B$44,MAX(0,AL894*$F$1),0),0)*RATES!$L871/12+$H$11*(PARAM!$D$51/12)*RATES!$N871/100</f>
        <v>1190.0416666666667</v>
      </c>
      <c r="AL895" s="16">
        <f t="shared" si="593"/>
        <v>-233188.55587758415</v>
      </c>
      <c r="AM895" s="15">
        <f t="shared" si="568"/>
        <v>22.170849845882874</v>
      </c>
      <c r="AN895" s="75">
        <f>AM895*(1-PARAM!$C$27)*$I$12+(MOD($B895,60)=PARAM!$B$56)*($B895&gt;(60-PARAM!$B$56))*HLOOKUP(($B895+PARAM!$B$56)/12,Loyalty,2)*$F$1*MAX(AP894,0)</f>
        <v>18.557001321003963</v>
      </c>
      <c r="AO895" s="75">
        <f>PARAM!$C$26+MAX($G$12-CHOOSE(PARAM!$B$44,MAX(0,AP894*$F$1),0),0)*RATES!$L871/12+$H$12*(PARAM!$D$51/12)*RATES!$N871/100</f>
        <v>1190.0416666666667</v>
      </c>
      <c r="AP895" s="16">
        <f t="shared" si="594"/>
        <v>-233188.55587758415</v>
      </c>
      <c r="AQ895" s="15">
        <f t="shared" si="569"/>
        <v>22.170849845882874</v>
      </c>
      <c r="AR895" s="75">
        <f>AQ895*(1-PARAM!$C$27)*$I$13+(MOD($B895,60)=PARAM!$B$56)*($B895&gt;(60-PARAM!$B$56))*HLOOKUP(($B895+PARAM!$B$56)/12,Loyalty,2)*$F$1*MAX(AT894,0)</f>
        <v>18.557001321003963</v>
      </c>
      <c r="AS895" s="75">
        <f>PARAM!$C$26+MAX($G$13-CHOOSE(PARAM!$B$44,MAX(0,AT894*$F$1),0),0)*RATES!$L871/12+$H$13*(PARAM!$D$51/12)*RATES!$N871/100</f>
        <v>1190.0416666666667</v>
      </c>
      <c r="AT895" s="16">
        <f t="shared" si="595"/>
        <v>-233188.55587758415</v>
      </c>
      <c r="AU895" s="15">
        <f t="shared" si="570"/>
        <v>22.170849845882874</v>
      </c>
      <c r="AV895" s="75">
        <f>AU895*(1-PARAM!$C$27)*$I$14+(MOD($B895,60)=PARAM!$B$56)*($B895&gt;(60-PARAM!$B$56))*HLOOKUP(($B895+PARAM!$B$56)/12,Loyalty,2)*$F$1*MAX(AX894,0)</f>
        <v>18.557001321003963</v>
      </c>
      <c r="AW895" s="75">
        <f>PARAM!$C$26+MAX($G$14-CHOOSE(PARAM!$B$44,MAX(0,AX894*$F$1),0),0)*RATES!$L871/12+$H$14*(PARAM!$D$51/12)*RATES!$N871/100</f>
        <v>1190.0416666666667</v>
      </c>
      <c r="AX895" s="16">
        <f t="shared" si="596"/>
        <v>-233188.55587758415</v>
      </c>
      <c r="AY895" s="15">
        <f t="shared" si="571"/>
        <v>22.170849845882874</v>
      </c>
      <c r="AZ895" s="75">
        <f>AY895*(1-PARAM!$C$27)*$I$15+(MOD($B895,60)=PARAM!$B$56)*($B895&gt;(60-PARAM!$B$56))*HLOOKUP(($B895+PARAM!$B$56)/12,Loyalty,2)*$F$1*MAX(BB894,0)</f>
        <v>18.557001321003963</v>
      </c>
      <c r="BA895" s="75">
        <f>PARAM!$C$26+MAX($G$15-CHOOSE(PARAM!$B$44,MAX(0,BB894*$F$1),0),0)*RATES!$L871/12+$H$15*(PARAM!$D$51/12)*RATES!$N871/100</f>
        <v>1190.0416666666667</v>
      </c>
      <c r="BB895" s="16">
        <f t="shared" si="597"/>
        <v>-233188.55587758415</v>
      </c>
      <c r="BC895" s="15">
        <f t="shared" si="572"/>
        <v>22.170849845882874</v>
      </c>
      <c r="BD895" s="75">
        <f>BC895*(1-PARAM!$C$27)*$I$16+(MOD($B895,60)=PARAM!$B$56)*($B895&gt;(60-PARAM!$B$56))*HLOOKUP(($B895+PARAM!$B$56)/12,Loyalty,2)*$F$1*MAX(BF894,0)</f>
        <v>18.557001321003963</v>
      </c>
      <c r="BE895" s="75">
        <f>PARAM!$C$26+MAX($G$16-CHOOSE(PARAM!$B$44,MAX(0,BF894*$F$1),0),0)*RATES!$L871/12+$H$16*(PARAM!$D$51/12)*RATES!$N871/100</f>
        <v>1190.0416666666667</v>
      </c>
      <c r="BF895" s="16">
        <f t="shared" si="598"/>
        <v>-233188.55587758415</v>
      </c>
      <c r="BG895" s="15">
        <f t="shared" si="573"/>
        <v>22.170849845882874</v>
      </c>
      <c r="BH895" s="75">
        <f>BG895*(1-PARAM!$C$27)*$I$17+(MOD($B895,60)=PARAM!$B$56)*($B895&gt;(60-PARAM!$B$56))*HLOOKUP(($B895+PARAM!$B$56)/12,Loyalty,2)*$F$1*MAX(BJ894,0)</f>
        <v>18.557001321003963</v>
      </c>
      <c r="BI895" s="75">
        <f>PARAM!$C$26+MAX($G$17-CHOOSE(PARAM!$B$44,MAX(0,BJ894*$F$1),0),0)*RATES!$L871/12+$H$17*(PARAM!$D$51/12)*RATES!$N871/100</f>
        <v>1190.0416666666667</v>
      </c>
      <c r="BJ895" s="16">
        <f t="shared" si="599"/>
        <v>-233188.55587758415</v>
      </c>
      <c r="BK895" s="15">
        <f t="shared" si="574"/>
        <v>22.170849845882874</v>
      </c>
      <c r="BL895" s="75">
        <f>BK895*(1-PARAM!$C$27)*$I$18+(MOD($B895,60)=PARAM!$B$56)*($B895&gt;(60-PARAM!$B$56))*HLOOKUP(($B895+PARAM!$B$56)/12,Loyalty,2)*$F$1*MAX(BN894,0)</f>
        <v>18.557001321003963</v>
      </c>
      <c r="BM895" s="75">
        <f>PARAM!$C$26+MAX($G$18-CHOOSE(PARAM!$B$44,MAX(0,BN894*$F$1),0),0)*RATES!$L871/12+$H$18*(PARAM!$D$51/12)*RATES!$N871/100</f>
        <v>1190.0416666666667</v>
      </c>
      <c r="BN895" s="16">
        <f t="shared" si="600"/>
        <v>-233188.55587758415</v>
      </c>
      <c r="BO895" s="15">
        <f t="shared" si="575"/>
        <v>22.170849845882874</v>
      </c>
      <c r="BP895" s="75">
        <f>BO895*(1-PARAM!$C$27)*$I$19+(MOD($B895,60)=PARAM!$B$56)*($B895&gt;(60-PARAM!$B$56))*HLOOKUP(($B895+PARAM!$B$56)/12,Loyalty,2)*$F$1*MAX(BR894,0)</f>
        <v>18.557001321003963</v>
      </c>
      <c r="BQ895" s="75">
        <f>PARAM!$C$26+MAX($G$19-CHOOSE(PARAM!$B$44,MAX(0,BR894*$F$1),0),0)*RATES!$L871/12+$H$19*(PARAM!$D$51/12)*RATES!$N871/100</f>
        <v>1190.0416666666667</v>
      </c>
      <c r="BR895" s="16">
        <f t="shared" si="601"/>
        <v>-233188.55587758415</v>
      </c>
      <c r="BS895" s="15">
        <f t="shared" si="576"/>
        <v>22.170849845882874</v>
      </c>
      <c r="BT895" s="75">
        <f>BS895*(1-PARAM!$C$27)*$I$20+(MOD($B895,60)=PARAM!$B$56)*($B895&gt;(60-PARAM!$B$56))*HLOOKUP(($B895+PARAM!$B$56)/12,Loyalty,2)*$F$1*MAX(BV894,0)</f>
        <v>18.557001321003963</v>
      </c>
      <c r="BU895" s="75">
        <f>PARAM!$C$26+MAX($G$20-CHOOSE(PARAM!$B$44,MAX(0,BV894*$F$1),0),0)*RATES!$L871/12+$H$20*(PARAM!$D$51/12)*RATES!$N871/100</f>
        <v>1190.0416666666667</v>
      </c>
      <c r="BV895" s="16">
        <f t="shared" si="602"/>
        <v>-233188.55587758415</v>
      </c>
      <c r="BW895" s="15">
        <f t="shared" si="577"/>
        <v>22.170849845882874</v>
      </c>
      <c r="BX895" s="75">
        <f>BW895*(1-PARAM!$C$27)*$I$21+(MOD($B895,60)=PARAM!$B$56)*($B895&gt;(60-PARAM!$B$56))*HLOOKUP(($B895+PARAM!$B$56)/12,Loyalty,2)*$F$1*MAX(BZ894,0)</f>
        <v>18.557001321003963</v>
      </c>
      <c r="BY895" s="75">
        <f>PARAM!$C$26+MAX($G$21-CHOOSE(PARAM!$B$44,MAX(0,BZ894*$F$1),0),0)*RATES!$L871/12+$H$21*(PARAM!$D$51/12)*RATES!$N871/100</f>
        <v>1190.0416666666667</v>
      </c>
      <c r="BZ895" s="16">
        <f t="shared" si="603"/>
        <v>-233188.55587758415</v>
      </c>
      <c r="CA895" s="15">
        <f t="shared" si="578"/>
        <v>22.170849845882874</v>
      </c>
      <c r="CB895" s="75">
        <f>CA895*(1-PARAM!$C$27)*$I$22+(MOD($B895,60)=PARAM!$B$56)*($B895&gt;(60-PARAM!$B$56))*HLOOKUP(($B895+PARAM!$B$56)/12,Loyalty,2)*$F$1*MAX(CD894,0)</f>
        <v>18.557001321003963</v>
      </c>
      <c r="CC895" s="75">
        <f>PARAM!$C$26+MAX($G$22-CHOOSE(PARAM!$B$44,MAX(0,CD894*$F$1),0),0)*RATES!$L871/12+$H$22*(PARAM!$D$51/12)*RATES!$N871/100</f>
        <v>1190.0416666666667</v>
      </c>
      <c r="CD895" s="16">
        <f t="shared" si="604"/>
        <v>-233188.55587758415</v>
      </c>
      <c r="CE895" s="33">
        <f>IF(0=MOD(B895,12/PARAM!$D$51),1,0)</f>
        <v>1</v>
      </c>
      <c r="CF895" s="15">
        <f t="shared" si="579"/>
        <v>0</v>
      </c>
      <c r="CG895" s="75">
        <f>CF895*(1-PARAM!$C$27)*$R$3+(MOD($B895/12,5)=0)*($B895&gt;60)*HLOOKUP($B895/12,Loyalty,2)*$F$1*MAX(CI894,0)</f>
        <v>0</v>
      </c>
      <c r="CH895" s="75">
        <f>PARAM!$C$26+MAX($P$3-CHOOSE(PARAM!$B$44,MAX(0,CI894*$F$1),0),0)*RATES!$L871/12+$Q$3*(PARAM!$D$51/12)*RATES!$N871/100</f>
        <v>1190.0416666666667</v>
      </c>
      <c r="CI895" s="16">
        <f>IF(CI894&gt;0,CI894*PARAM!$C$53,CI894)+CG895-CH895</f>
        <v>-249176.45833333305</v>
      </c>
      <c r="CJ895" s="15">
        <f t="shared" si="605"/>
        <v>0</v>
      </c>
      <c r="CK895" s="75">
        <f>CJ895*(1-PARAM!$C$27)*$R$4+(MOD($B895/12,5)=0)*($B895&gt;60)*HLOOKUP($B895/12,Loyalty,2)*$F$1*MAX(CM894,0)</f>
        <v>0</v>
      </c>
      <c r="CL895" s="75">
        <f>PARAM!$C$26+MAX($P$4-CHOOSE(PARAM!$B$44,MAX(0,CM894*$F$1),0),0)*RATES!$L871/12+$Q$4*(PARAM!$D$51/12)*RATES!$N871/100</f>
        <v>1190.0416666666667</v>
      </c>
      <c r="CM895" s="16">
        <f>IF(CM894&gt;0,CM894*PARAM!$C$53,CM894)+CK895-CL895</f>
        <v>-249176.45833333305</v>
      </c>
      <c r="CO895" s="176"/>
    </row>
    <row r="896" spans="1:93" x14ac:dyDescent="0.2">
      <c r="A896" t="b">
        <f t="shared" si="580"/>
        <v>0</v>
      </c>
      <c r="B896" s="33">
        <v>869</v>
      </c>
      <c r="C896" s="15">
        <f t="shared" si="581"/>
        <v>20.081305947392778</v>
      </c>
      <c r="D896" s="75">
        <f>C896*(1-PARAM!$C$27)*$I$3+(MOD($B896,60)=PARAM!$B$56)*($B896&gt;(60-PARAM!$B$56))*HLOOKUP(($B896+PARAM!$B$56)/12,Loyalty,2)*$F$1*MAX(F895,0)</f>
        <v>16.808053077967756</v>
      </c>
      <c r="E896" s="75">
        <f>PARAM!$C$26+MAX($G$3-CHOOSE(PARAM!$B$44,MAX(0,F895*$F$1),0),0)*RATES!$L872/12+$H$3*(PARAM!$D$51/12)*RATES!$N872/100</f>
        <v>1190.0416666666667</v>
      </c>
      <c r="F896" s="16">
        <f t="shared" si="582"/>
        <v>-235916.72706665023</v>
      </c>
      <c r="G896" s="15">
        <f t="shared" si="583"/>
        <v>22.035289406060361</v>
      </c>
      <c r="H896" s="75">
        <f>G896*(1-PARAM!$C$27)*$I$4+(MOD($B896,60)=PARAM!$B$56)*($B896&gt;(60-PARAM!$B$56))*HLOOKUP(($B896+PARAM!$B$56)/12,Loyalty,2)*$F$1*MAX(J895,0)</f>
        <v>18.443537232872522</v>
      </c>
      <c r="I896" s="75">
        <f>PARAM!$C$26+MAX($G$4-CHOOSE(PARAM!$B$44,MAX(0,J895*$F$1),0),0)*RATES!$L872/12+$H$4*(PARAM!$D$51/12)*RATES!$N872/100</f>
        <v>1190.0416666666667</v>
      </c>
      <c r="J896" s="16">
        <f t="shared" si="584"/>
        <v>-234461.65837191502</v>
      </c>
      <c r="K896" s="15">
        <f t="shared" si="585"/>
        <v>22.170849845882874</v>
      </c>
      <c r="L896" s="75">
        <f>K896*(1-PARAM!$C$27)*$I$5+(MOD($B896,60)=PARAM!$B$56)*($B896&gt;(60-PARAM!$B$56))*HLOOKUP(($B896+PARAM!$B$56)/12,Loyalty,2)*$F$1*MAX(N895,0)</f>
        <v>18.557001321003963</v>
      </c>
      <c r="M896" s="75">
        <f>PARAM!$C$26+MAX($G$5-CHOOSE(PARAM!$B$44,MAX(0,N895*$F$1),0),0)*RATES!$L872/12+$H$5*(PARAM!$D$51/12)*RATES!$N872/100</f>
        <v>1190.0416666666667</v>
      </c>
      <c r="N896" s="16">
        <f t="shared" si="586"/>
        <v>-234360.04054292981</v>
      </c>
      <c r="O896" s="15">
        <f t="shared" si="587"/>
        <v>22.170849845882874</v>
      </c>
      <c r="P896" s="75">
        <f>O896*(1-PARAM!$C$27)*$I$6+(MOD($B896,60)=PARAM!$B$56)*($B896&gt;(60-PARAM!$B$56))*HLOOKUP(($B896+PARAM!$B$56)/12,Loyalty,2)*$F$1*MAX(R895,0)</f>
        <v>18.557001321003963</v>
      </c>
      <c r="Q896" s="75">
        <f>PARAM!$C$26+MAX($G$6-CHOOSE(PARAM!$B$44,MAX(0,R895*$F$1),0),0)*RATES!$L872/12+$H$6*(PARAM!$D$51/12)*RATES!$N872/100</f>
        <v>1190.0416666666667</v>
      </c>
      <c r="R896" s="16">
        <f t="shared" si="588"/>
        <v>-234360.04054292981</v>
      </c>
      <c r="S896" s="15">
        <f t="shared" si="563"/>
        <v>22.170849845882874</v>
      </c>
      <c r="T896" s="75">
        <f>S896*(1-PARAM!$C$27)*$I$7+(MOD($B896,60)=PARAM!$B$56)*($B896&gt;(60-PARAM!$B$56))*HLOOKUP(($B896+PARAM!$B$56)/12,Loyalty,2)*$F$1*MAX(V895,0)</f>
        <v>18.557001321003963</v>
      </c>
      <c r="U896" s="75">
        <f>PARAM!$C$26+MAX($G$7-CHOOSE(PARAM!$B$44,MAX(0,V895*$F$1),0),0)*RATES!$L872/12+$H$7*(PARAM!$D$51/12)*RATES!$N872/100</f>
        <v>1190.0416666666667</v>
      </c>
      <c r="V896" s="16">
        <f t="shared" si="589"/>
        <v>-234360.04054292981</v>
      </c>
      <c r="W896" s="15">
        <f t="shared" si="564"/>
        <v>22.170849845882874</v>
      </c>
      <c r="X896" s="75">
        <f>W896*(1-PARAM!$C$27)*$I$8+(MOD($B896,60)=PARAM!$B$56)*($B896&gt;(60-PARAM!$B$56))*HLOOKUP(($B896+PARAM!$B$56)/12,Loyalty,2)*$F$1*MAX(Z895,0)</f>
        <v>18.557001321003963</v>
      </c>
      <c r="Y896" s="75">
        <f>PARAM!$C$26+MAX($G$8-CHOOSE(PARAM!$B$44,MAX(0,Z895*$F$1),0),0)*RATES!$L872/12+$H$8*(PARAM!$D$51/12)*RATES!$N872/100</f>
        <v>1190.0416666666667</v>
      </c>
      <c r="Z896" s="16">
        <f t="shared" si="590"/>
        <v>-234360.04054292981</v>
      </c>
      <c r="AA896" s="15">
        <f t="shared" si="565"/>
        <v>22.170849845882874</v>
      </c>
      <c r="AB896" s="75">
        <f>AA896*(1-PARAM!$C$27)*$I$9+(MOD($B896,60)=PARAM!$B$56)*($B896&gt;(60-PARAM!$B$56))*HLOOKUP(($B896+PARAM!$B$56)/12,Loyalty,2)*$F$1*MAX(AD895,0)</f>
        <v>18.557001321003963</v>
      </c>
      <c r="AC896" s="75">
        <f>PARAM!$C$26+MAX($G$9-CHOOSE(PARAM!$B$44,MAX(0,AD895*$F$1),0),0)*RATES!$L872/12+$H$9*(PARAM!$D$51/12)*RATES!$N872/100</f>
        <v>1190.0416666666667</v>
      </c>
      <c r="AD896" s="16">
        <f t="shared" si="591"/>
        <v>-234360.04054292981</v>
      </c>
      <c r="AE896" s="15">
        <f t="shared" si="566"/>
        <v>22.170849845882874</v>
      </c>
      <c r="AF896" s="75">
        <f>AE896*(1-PARAM!$C$27)*$I$10+(MOD($B896,60)=PARAM!$B$56)*($B896&gt;(60-PARAM!$B$56))*HLOOKUP(($B896+PARAM!$B$56)/12,Loyalty,2)*$F$1*MAX(AH895,0)</f>
        <v>18.557001321003963</v>
      </c>
      <c r="AG896" s="75">
        <f>PARAM!$C$26+MAX($G$10-CHOOSE(PARAM!$B$44,MAX(0,AH895*$F$1),0),0)*RATES!$L872/12+$H$10*(PARAM!$D$51/12)*RATES!$N872/100</f>
        <v>1190.0416666666667</v>
      </c>
      <c r="AH896" s="16">
        <f t="shared" si="592"/>
        <v>-234360.04054292981</v>
      </c>
      <c r="AI896" s="15">
        <f t="shared" si="567"/>
        <v>22.170849845882874</v>
      </c>
      <c r="AJ896" s="75">
        <f>AI896*(1-PARAM!$C$27)*$I$11+(MOD($B896,60)=PARAM!$B$56)*($B896&gt;(60-PARAM!$B$56))*HLOOKUP(($B896+PARAM!$B$56)/12,Loyalty,2)*$F$1*MAX(AL895,0)</f>
        <v>18.557001321003963</v>
      </c>
      <c r="AK896" s="75">
        <f>PARAM!$C$26+MAX($G$11-CHOOSE(PARAM!$B$44,MAX(0,AL895*$F$1),0),0)*RATES!$L872/12+$H$11*(PARAM!$D$51/12)*RATES!$N872/100</f>
        <v>1190.0416666666667</v>
      </c>
      <c r="AL896" s="16">
        <f t="shared" si="593"/>
        <v>-234360.04054292981</v>
      </c>
      <c r="AM896" s="15">
        <f t="shared" si="568"/>
        <v>22.170849845882874</v>
      </c>
      <c r="AN896" s="75">
        <f>AM896*(1-PARAM!$C$27)*$I$12+(MOD($B896,60)=PARAM!$B$56)*($B896&gt;(60-PARAM!$B$56))*HLOOKUP(($B896+PARAM!$B$56)/12,Loyalty,2)*$F$1*MAX(AP895,0)</f>
        <v>18.557001321003963</v>
      </c>
      <c r="AO896" s="75">
        <f>PARAM!$C$26+MAX($G$12-CHOOSE(PARAM!$B$44,MAX(0,AP895*$F$1),0),0)*RATES!$L872/12+$H$12*(PARAM!$D$51/12)*RATES!$N872/100</f>
        <v>1190.0416666666667</v>
      </c>
      <c r="AP896" s="16">
        <f t="shared" si="594"/>
        <v>-234360.04054292981</v>
      </c>
      <c r="AQ896" s="15">
        <f t="shared" si="569"/>
        <v>22.170849845882874</v>
      </c>
      <c r="AR896" s="75">
        <f>AQ896*(1-PARAM!$C$27)*$I$13+(MOD($B896,60)=PARAM!$B$56)*($B896&gt;(60-PARAM!$B$56))*HLOOKUP(($B896+PARAM!$B$56)/12,Loyalty,2)*$F$1*MAX(AT895,0)</f>
        <v>18.557001321003963</v>
      </c>
      <c r="AS896" s="75">
        <f>PARAM!$C$26+MAX($G$13-CHOOSE(PARAM!$B$44,MAX(0,AT895*$F$1),0),0)*RATES!$L872/12+$H$13*(PARAM!$D$51/12)*RATES!$N872/100</f>
        <v>1190.0416666666667</v>
      </c>
      <c r="AT896" s="16">
        <f t="shared" si="595"/>
        <v>-234360.04054292981</v>
      </c>
      <c r="AU896" s="15">
        <f t="shared" si="570"/>
        <v>22.170849845882874</v>
      </c>
      <c r="AV896" s="75">
        <f>AU896*(1-PARAM!$C$27)*$I$14+(MOD($B896,60)=PARAM!$B$56)*($B896&gt;(60-PARAM!$B$56))*HLOOKUP(($B896+PARAM!$B$56)/12,Loyalty,2)*$F$1*MAX(AX895,0)</f>
        <v>18.557001321003963</v>
      </c>
      <c r="AW896" s="75">
        <f>PARAM!$C$26+MAX($G$14-CHOOSE(PARAM!$B$44,MAX(0,AX895*$F$1),0),0)*RATES!$L872/12+$H$14*(PARAM!$D$51/12)*RATES!$N872/100</f>
        <v>1190.0416666666667</v>
      </c>
      <c r="AX896" s="16">
        <f t="shared" si="596"/>
        <v>-234360.04054292981</v>
      </c>
      <c r="AY896" s="15">
        <f t="shared" si="571"/>
        <v>22.170849845882874</v>
      </c>
      <c r="AZ896" s="75">
        <f>AY896*(1-PARAM!$C$27)*$I$15+(MOD($B896,60)=PARAM!$B$56)*($B896&gt;(60-PARAM!$B$56))*HLOOKUP(($B896+PARAM!$B$56)/12,Loyalty,2)*$F$1*MAX(BB895,0)</f>
        <v>18.557001321003963</v>
      </c>
      <c r="BA896" s="75">
        <f>PARAM!$C$26+MAX($G$15-CHOOSE(PARAM!$B$44,MAX(0,BB895*$F$1),0),0)*RATES!$L872/12+$H$15*(PARAM!$D$51/12)*RATES!$N872/100</f>
        <v>1190.0416666666667</v>
      </c>
      <c r="BB896" s="16">
        <f t="shared" si="597"/>
        <v>-234360.04054292981</v>
      </c>
      <c r="BC896" s="15">
        <f t="shared" si="572"/>
        <v>22.170849845882874</v>
      </c>
      <c r="BD896" s="75">
        <f>BC896*(1-PARAM!$C$27)*$I$16+(MOD($B896,60)=PARAM!$B$56)*($B896&gt;(60-PARAM!$B$56))*HLOOKUP(($B896+PARAM!$B$56)/12,Loyalty,2)*$F$1*MAX(BF895,0)</f>
        <v>18.557001321003963</v>
      </c>
      <c r="BE896" s="75">
        <f>PARAM!$C$26+MAX($G$16-CHOOSE(PARAM!$B$44,MAX(0,BF895*$F$1),0),0)*RATES!$L872/12+$H$16*(PARAM!$D$51/12)*RATES!$N872/100</f>
        <v>1190.0416666666667</v>
      </c>
      <c r="BF896" s="16">
        <f t="shared" si="598"/>
        <v>-234360.04054292981</v>
      </c>
      <c r="BG896" s="15">
        <f t="shared" si="573"/>
        <v>22.170849845882874</v>
      </c>
      <c r="BH896" s="75">
        <f>BG896*(1-PARAM!$C$27)*$I$17+(MOD($B896,60)=PARAM!$B$56)*($B896&gt;(60-PARAM!$B$56))*HLOOKUP(($B896+PARAM!$B$56)/12,Loyalty,2)*$F$1*MAX(BJ895,0)</f>
        <v>18.557001321003963</v>
      </c>
      <c r="BI896" s="75">
        <f>PARAM!$C$26+MAX($G$17-CHOOSE(PARAM!$B$44,MAX(0,BJ895*$F$1),0),0)*RATES!$L872/12+$H$17*(PARAM!$D$51/12)*RATES!$N872/100</f>
        <v>1190.0416666666667</v>
      </c>
      <c r="BJ896" s="16">
        <f t="shared" si="599"/>
        <v>-234360.04054292981</v>
      </c>
      <c r="BK896" s="15">
        <f t="shared" si="574"/>
        <v>22.170849845882874</v>
      </c>
      <c r="BL896" s="75">
        <f>BK896*(1-PARAM!$C$27)*$I$18+(MOD($B896,60)=PARAM!$B$56)*($B896&gt;(60-PARAM!$B$56))*HLOOKUP(($B896+PARAM!$B$56)/12,Loyalty,2)*$F$1*MAX(BN895,0)</f>
        <v>18.557001321003963</v>
      </c>
      <c r="BM896" s="75">
        <f>PARAM!$C$26+MAX($G$18-CHOOSE(PARAM!$B$44,MAX(0,BN895*$F$1),0),0)*RATES!$L872/12+$H$18*(PARAM!$D$51/12)*RATES!$N872/100</f>
        <v>1190.0416666666667</v>
      </c>
      <c r="BN896" s="16">
        <f t="shared" si="600"/>
        <v>-234360.04054292981</v>
      </c>
      <c r="BO896" s="15">
        <f t="shared" si="575"/>
        <v>22.170849845882874</v>
      </c>
      <c r="BP896" s="75">
        <f>BO896*(1-PARAM!$C$27)*$I$19+(MOD($B896,60)=PARAM!$B$56)*($B896&gt;(60-PARAM!$B$56))*HLOOKUP(($B896+PARAM!$B$56)/12,Loyalty,2)*$F$1*MAX(BR895,0)</f>
        <v>18.557001321003963</v>
      </c>
      <c r="BQ896" s="75">
        <f>PARAM!$C$26+MAX($G$19-CHOOSE(PARAM!$B$44,MAX(0,BR895*$F$1),0),0)*RATES!$L872/12+$H$19*(PARAM!$D$51/12)*RATES!$N872/100</f>
        <v>1190.0416666666667</v>
      </c>
      <c r="BR896" s="16">
        <f t="shared" si="601"/>
        <v>-234360.04054292981</v>
      </c>
      <c r="BS896" s="15">
        <f t="shared" si="576"/>
        <v>22.170849845882874</v>
      </c>
      <c r="BT896" s="75">
        <f>BS896*(1-PARAM!$C$27)*$I$20+(MOD($B896,60)=PARAM!$B$56)*($B896&gt;(60-PARAM!$B$56))*HLOOKUP(($B896+PARAM!$B$56)/12,Loyalty,2)*$F$1*MAX(BV895,0)</f>
        <v>18.557001321003963</v>
      </c>
      <c r="BU896" s="75">
        <f>PARAM!$C$26+MAX($G$20-CHOOSE(PARAM!$B$44,MAX(0,BV895*$F$1),0),0)*RATES!$L872/12+$H$20*(PARAM!$D$51/12)*RATES!$N872/100</f>
        <v>1190.0416666666667</v>
      </c>
      <c r="BV896" s="16">
        <f t="shared" si="602"/>
        <v>-234360.04054292981</v>
      </c>
      <c r="BW896" s="15">
        <f t="shared" si="577"/>
        <v>22.170849845882874</v>
      </c>
      <c r="BX896" s="75">
        <f>BW896*(1-PARAM!$C$27)*$I$21+(MOD($B896,60)=PARAM!$B$56)*($B896&gt;(60-PARAM!$B$56))*HLOOKUP(($B896+PARAM!$B$56)/12,Loyalty,2)*$F$1*MAX(BZ895,0)</f>
        <v>18.557001321003963</v>
      </c>
      <c r="BY896" s="75">
        <f>PARAM!$C$26+MAX($G$21-CHOOSE(PARAM!$B$44,MAX(0,BZ895*$F$1),0),0)*RATES!$L872/12+$H$21*(PARAM!$D$51/12)*RATES!$N872/100</f>
        <v>1190.0416666666667</v>
      </c>
      <c r="BZ896" s="16">
        <f t="shared" si="603"/>
        <v>-234360.04054292981</v>
      </c>
      <c r="CA896" s="15">
        <f t="shared" si="578"/>
        <v>22.170849845882874</v>
      </c>
      <c r="CB896" s="75">
        <f>CA896*(1-PARAM!$C$27)*$I$22+(MOD($B896,60)=PARAM!$B$56)*($B896&gt;(60-PARAM!$B$56))*HLOOKUP(($B896+PARAM!$B$56)/12,Loyalty,2)*$F$1*MAX(CD895,0)</f>
        <v>18.557001321003963</v>
      </c>
      <c r="CC896" s="75">
        <f>PARAM!$C$26+MAX($G$22-CHOOSE(PARAM!$B$44,MAX(0,CD895*$F$1),0),0)*RATES!$L872/12+$H$22*(PARAM!$D$51/12)*RATES!$N872/100</f>
        <v>1190.0416666666667</v>
      </c>
      <c r="CD896" s="16">
        <f t="shared" si="604"/>
        <v>-234360.04054292981</v>
      </c>
      <c r="CE896" s="33">
        <f>IF(0=MOD(B896,12/PARAM!$D$51),1,0)</f>
        <v>1</v>
      </c>
      <c r="CF896" s="15">
        <f t="shared" si="579"/>
        <v>0</v>
      </c>
      <c r="CG896" s="75">
        <f>CF896*(1-PARAM!$C$27)*$R$3+(MOD($B896/12,5)=0)*($B896&gt;60)*HLOOKUP($B896/12,Loyalty,2)*$F$1*MAX(CI895,0)</f>
        <v>0</v>
      </c>
      <c r="CH896" s="75">
        <f>PARAM!$C$26+MAX($P$3-CHOOSE(PARAM!$B$44,MAX(0,CI895*$F$1),0),0)*RATES!$L872/12+$Q$3*(PARAM!$D$51/12)*RATES!$N872/100</f>
        <v>1190.0416666666667</v>
      </c>
      <c r="CI896" s="16">
        <f>IF(CI895&gt;0,CI895*PARAM!$C$53,CI895)+CG896-CH896</f>
        <v>-250366.49999999971</v>
      </c>
      <c r="CJ896" s="15">
        <f t="shared" si="605"/>
        <v>0</v>
      </c>
      <c r="CK896" s="75">
        <f>CJ896*(1-PARAM!$C$27)*$R$4+(MOD($B896/12,5)=0)*($B896&gt;60)*HLOOKUP($B896/12,Loyalty,2)*$F$1*MAX(CM895,0)</f>
        <v>0</v>
      </c>
      <c r="CL896" s="75">
        <f>PARAM!$C$26+MAX($P$4-CHOOSE(PARAM!$B$44,MAX(0,CM895*$F$1),0),0)*RATES!$L872/12+$Q$4*(PARAM!$D$51/12)*RATES!$N872/100</f>
        <v>1190.0416666666667</v>
      </c>
      <c r="CM896" s="16">
        <f>IF(CM895&gt;0,CM895*PARAM!$C$53,CM895)+CK896-CL896</f>
        <v>-250366.49999999971</v>
      </c>
      <c r="CO896" s="176"/>
    </row>
    <row r="897" spans="1:93" x14ac:dyDescent="0.2">
      <c r="A897" t="b">
        <f t="shared" si="580"/>
        <v>0</v>
      </c>
      <c r="B897" s="33">
        <v>870</v>
      </c>
      <c r="C897" s="15">
        <f t="shared" si="581"/>
        <v>20.081305947392778</v>
      </c>
      <c r="D897" s="75">
        <f>C897*(1-PARAM!$C$27)*$I$3+(MOD($B897,60)=PARAM!$B$56)*($B897&gt;(60-PARAM!$B$56))*HLOOKUP(($B897+PARAM!$B$56)/12,Loyalty,2)*$F$1*MAX(F896,0)</f>
        <v>16.808053077967756</v>
      </c>
      <c r="E897" s="75">
        <f>PARAM!$C$26+MAX($G$3-CHOOSE(PARAM!$B$44,MAX(0,F896*$F$1),0),0)*RATES!$L873/12+$H$3*(PARAM!$D$51/12)*RATES!$N873/100</f>
        <v>1190.0416666666667</v>
      </c>
      <c r="F897" s="16">
        <f t="shared" si="582"/>
        <v>-237089.96068023893</v>
      </c>
      <c r="G897" s="15">
        <f t="shared" si="583"/>
        <v>22.035289406060361</v>
      </c>
      <c r="H897" s="75">
        <f>G897*(1-PARAM!$C$27)*$I$4+(MOD($B897,60)=PARAM!$B$56)*($B897&gt;(60-PARAM!$B$56))*HLOOKUP(($B897+PARAM!$B$56)/12,Loyalty,2)*$F$1*MAX(J896,0)</f>
        <v>18.443537232872522</v>
      </c>
      <c r="I897" s="75">
        <f>PARAM!$C$26+MAX($G$4-CHOOSE(PARAM!$B$44,MAX(0,J896*$F$1),0),0)*RATES!$L873/12+$H$4*(PARAM!$D$51/12)*RATES!$N873/100</f>
        <v>1190.0416666666667</v>
      </c>
      <c r="J897" s="16">
        <f t="shared" si="584"/>
        <v>-235633.25650134881</v>
      </c>
      <c r="K897" s="15">
        <f t="shared" si="585"/>
        <v>22.170849845882874</v>
      </c>
      <c r="L897" s="75">
        <f>K897*(1-PARAM!$C$27)*$I$5+(MOD($B897,60)=PARAM!$B$56)*($B897&gt;(60-PARAM!$B$56))*HLOOKUP(($B897+PARAM!$B$56)/12,Loyalty,2)*$F$1*MAX(N896,0)</f>
        <v>18.557001321003963</v>
      </c>
      <c r="M897" s="75">
        <f>PARAM!$C$26+MAX($G$5-CHOOSE(PARAM!$B$44,MAX(0,N896*$F$1),0),0)*RATES!$L873/12+$H$5*(PARAM!$D$51/12)*RATES!$N873/100</f>
        <v>1190.0416666666667</v>
      </c>
      <c r="N897" s="16">
        <f t="shared" si="586"/>
        <v>-235531.52520827547</v>
      </c>
      <c r="O897" s="15">
        <f t="shared" si="587"/>
        <v>22.170849845882874</v>
      </c>
      <c r="P897" s="75">
        <f>O897*(1-PARAM!$C$27)*$I$6+(MOD($B897,60)=PARAM!$B$56)*($B897&gt;(60-PARAM!$B$56))*HLOOKUP(($B897+PARAM!$B$56)/12,Loyalty,2)*$F$1*MAX(R896,0)</f>
        <v>18.557001321003963</v>
      </c>
      <c r="Q897" s="75">
        <f>PARAM!$C$26+MAX($G$6-CHOOSE(PARAM!$B$44,MAX(0,R896*$F$1),0),0)*RATES!$L873/12+$H$6*(PARAM!$D$51/12)*RATES!$N873/100</f>
        <v>1190.0416666666667</v>
      </c>
      <c r="R897" s="16">
        <f t="shared" si="588"/>
        <v>-235531.52520827547</v>
      </c>
      <c r="S897" s="15">
        <f t="shared" si="563"/>
        <v>22.170849845882874</v>
      </c>
      <c r="T897" s="75">
        <f>S897*(1-PARAM!$C$27)*$I$7+(MOD($B897,60)=PARAM!$B$56)*($B897&gt;(60-PARAM!$B$56))*HLOOKUP(($B897+PARAM!$B$56)/12,Loyalty,2)*$F$1*MAX(V896,0)</f>
        <v>18.557001321003963</v>
      </c>
      <c r="U897" s="75">
        <f>PARAM!$C$26+MAX($G$7-CHOOSE(PARAM!$B$44,MAX(0,V896*$F$1),0),0)*RATES!$L873/12+$H$7*(PARAM!$D$51/12)*RATES!$N873/100</f>
        <v>1190.0416666666667</v>
      </c>
      <c r="V897" s="16">
        <f t="shared" si="589"/>
        <v>-235531.52520827547</v>
      </c>
      <c r="W897" s="15">
        <f t="shared" si="564"/>
        <v>22.170849845882874</v>
      </c>
      <c r="X897" s="75">
        <f>W897*(1-PARAM!$C$27)*$I$8+(MOD($B897,60)=PARAM!$B$56)*($B897&gt;(60-PARAM!$B$56))*HLOOKUP(($B897+PARAM!$B$56)/12,Loyalty,2)*$F$1*MAX(Z896,0)</f>
        <v>18.557001321003963</v>
      </c>
      <c r="Y897" s="75">
        <f>PARAM!$C$26+MAX($G$8-CHOOSE(PARAM!$B$44,MAX(0,Z896*$F$1),0),0)*RATES!$L873/12+$H$8*(PARAM!$D$51/12)*RATES!$N873/100</f>
        <v>1190.0416666666667</v>
      </c>
      <c r="Z897" s="16">
        <f t="shared" si="590"/>
        <v>-235531.52520827547</v>
      </c>
      <c r="AA897" s="15">
        <f t="shared" si="565"/>
        <v>22.170849845882874</v>
      </c>
      <c r="AB897" s="75">
        <f>AA897*(1-PARAM!$C$27)*$I$9+(MOD($B897,60)=PARAM!$B$56)*($B897&gt;(60-PARAM!$B$56))*HLOOKUP(($B897+PARAM!$B$56)/12,Loyalty,2)*$F$1*MAX(AD896,0)</f>
        <v>18.557001321003963</v>
      </c>
      <c r="AC897" s="75">
        <f>PARAM!$C$26+MAX($G$9-CHOOSE(PARAM!$B$44,MAX(0,AD896*$F$1),0),0)*RATES!$L873/12+$H$9*(PARAM!$D$51/12)*RATES!$N873/100</f>
        <v>1190.0416666666667</v>
      </c>
      <c r="AD897" s="16">
        <f t="shared" si="591"/>
        <v>-235531.52520827547</v>
      </c>
      <c r="AE897" s="15">
        <f t="shared" si="566"/>
        <v>22.170849845882874</v>
      </c>
      <c r="AF897" s="75">
        <f>AE897*(1-PARAM!$C$27)*$I$10+(MOD($B897,60)=PARAM!$B$56)*($B897&gt;(60-PARAM!$B$56))*HLOOKUP(($B897+PARAM!$B$56)/12,Loyalty,2)*$F$1*MAX(AH896,0)</f>
        <v>18.557001321003963</v>
      </c>
      <c r="AG897" s="75">
        <f>PARAM!$C$26+MAX($G$10-CHOOSE(PARAM!$B$44,MAX(0,AH896*$F$1),0),0)*RATES!$L873/12+$H$10*(PARAM!$D$51/12)*RATES!$N873/100</f>
        <v>1190.0416666666667</v>
      </c>
      <c r="AH897" s="16">
        <f t="shared" si="592"/>
        <v>-235531.52520827547</v>
      </c>
      <c r="AI897" s="15">
        <f t="shared" si="567"/>
        <v>22.170849845882874</v>
      </c>
      <c r="AJ897" s="75">
        <f>AI897*(1-PARAM!$C$27)*$I$11+(MOD($B897,60)=PARAM!$B$56)*($B897&gt;(60-PARAM!$B$56))*HLOOKUP(($B897+PARAM!$B$56)/12,Loyalty,2)*$F$1*MAX(AL896,0)</f>
        <v>18.557001321003963</v>
      </c>
      <c r="AK897" s="75">
        <f>PARAM!$C$26+MAX($G$11-CHOOSE(PARAM!$B$44,MAX(0,AL896*$F$1),0),0)*RATES!$L873/12+$H$11*(PARAM!$D$51/12)*RATES!$N873/100</f>
        <v>1190.0416666666667</v>
      </c>
      <c r="AL897" s="16">
        <f t="shared" si="593"/>
        <v>-235531.52520827547</v>
      </c>
      <c r="AM897" s="15">
        <f t="shared" si="568"/>
        <v>22.170849845882874</v>
      </c>
      <c r="AN897" s="75">
        <f>AM897*(1-PARAM!$C$27)*$I$12+(MOD($B897,60)=PARAM!$B$56)*($B897&gt;(60-PARAM!$B$56))*HLOOKUP(($B897+PARAM!$B$56)/12,Loyalty,2)*$F$1*MAX(AP896,0)</f>
        <v>18.557001321003963</v>
      </c>
      <c r="AO897" s="75">
        <f>PARAM!$C$26+MAX($G$12-CHOOSE(PARAM!$B$44,MAX(0,AP896*$F$1),0),0)*RATES!$L873/12+$H$12*(PARAM!$D$51/12)*RATES!$N873/100</f>
        <v>1190.0416666666667</v>
      </c>
      <c r="AP897" s="16">
        <f t="shared" si="594"/>
        <v>-235531.52520827547</v>
      </c>
      <c r="AQ897" s="15">
        <f t="shared" si="569"/>
        <v>22.170849845882874</v>
      </c>
      <c r="AR897" s="75">
        <f>AQ897*(1-PARAM!$C$27)*$I$13+(MOD($B897,60)=PARAM!$B$56)*($B897&gt;(60-PARAM!$B$56))*HLOOKUP(($B897+PARAM!$B$56)/12,Loyalty,2)*$F$1*MAX(AT896,0)</f>
        <v>18.557001321003963</v>
      </c>
      <c r="AS897" s="75">
        <f>PARAM!$C$26+MAX($G$13-CHOOSE(PARAM!$B$44,MAX(0,AT896*$F$1),0),0)*RATES!$L873/12+$H$13*(PARAM!$D$51/12)*RATES!$N873/100</f>
        <v>1190.0416666666667</v>
      </c>
      <c r="AT897" s="16">
        <f t="shared" si="595"/>
        <v>-235531.52520827547</v>
      </c>
      <c r="AU897" s="15">
        <f t="shared" si="570"/>
        <v>22.170849845882874</v>
      </c>
      <c r="AV897" s="75">
        <f>AU897*(1-PARAM!$C$27)*$I$14+(MOD($B897,60)=PARAM!$B$56)*($B897&gt;(60-PARAM!$B$56))*HLOOKUP(($B897+PARAM!$B$56)/12,Loyalty,2)*$F$1*MAX(AX896,0)</f>
        <v>18.557001321003963</v>
      </c>
      <c r="AW897" s="75">
        <f>PARAM!$C$26+MAX($G$14-CHOOSE(PARAM!$B$44,MAX(0,AX896*$F$1),0),0)*RATES!$L873/12+$H$14*(PARAM!$D$51/12)*RATES!$N873/100</f>
        <v>1190.0416666666667</v>
      </c>
      <c r="AX897" s="16">
        <f t="shared" si="596"/>
        <v>-235531.52520827547</v>
      </c>
      <c r="AY897" s="15">
        <f t="shared" si="571"/>
        <v>22.170849845882874</v>
      </c>
      <c r="AZ897" s="75">
        <f>AY897*(1-PARAM!$C$27)*$I$15+(MOD($B897,60)=PARAM!$B$56)*($B897&gt;(60-PARAM!$B$56))*HLOOKUP(($B897+PARAM!$B$56)/12,Loyalty,2)*$F$1*MAX(BB896,0)</f>
        <v>18.557001321003963</v>
      </c>
      <c r="BA897" s="75">
        <f>PARAM!$C$26+MAX($G$15-CHOOSE(PARAM!$B$44,MAX(0,BB896*$F$1),0),0)*RATES!$L873/12+$H$15*(PARAM!$D$51/12)*RATES!$N873/100</f>
        <v>1190.0416666666667</v>
      </c>
      <c r="BB897" s="16">
        <f t="shared" si="597"/>
        <v>-235531.52520827547</v>
      </c>
      <c r="BC897" s="15">
        <f t="shared" si="572"/>
        <v>22.170849845882874</v>
      </c>
      <c r="BD897" s="75">
        <f>BC897*(1-PARAM!$C$27)*$I$16+(MOD($B897,60)=PARAM!$B$56)*($B897&gt;(60-PARAM!$B$56))*HLOOKUP(($B897+PARAM!$B$56)/12,Loyalty,2)*$F$1*MAX(BF896,0)</f>
        <v>18.557001321003963</v>
      </c>
      <c r="BE897" s="75">
        <f>PARAM!$C$26+MAX($G$16-CHOOSE(PARAM!$B$44,MAX(0,BF896*$F$1),0),0)*RATES!$L873/12+$H$16*(PARAM!$D$51/12)*RATES!$N873/100</f>
        <v>1190.0416666666667</v>
      </c>
      <c r="BF897" s="16">
        <f t="shared" si="598"/>
        <v>-235531.52520827547</v>
      </c>
      <c r="BG897" s="15">
        <f t="shared" si="573"/>
        <v>22.170849845882874</v>
      </c>
      <c r="BH897" s="75">
        <f>BG897*(1-PARAM!$C$27)*$I$17+(MOD($B897,60)=PARAM!$B$56)*($B897&gt;(60-PARAM!$B$56))*HLOOKUP(($B897+PARAM!$B$56)/12,Loyalty,2)*$F$1*MAX(BJ896,0)</f>
        <v>18.557001321003963</v>
      </c>
      <c r="BI897" s="75">
        <f>PARAM!$C$26+MAX($G$17-CHOOSE(PARAM!$B$44,MAX(0,BJ896*$F$1),0),0)*RATES!$L873/12+$H$17*(PARAM!$D$51/12)*RATES!$N873/100</f>
        <v>1190.0416666666667</v>
      </c>
      <c r="BJ897" s="16">
        <f t="shared" si="599"/>
        <v>-235531.52520827547</v>
      </c>
      <c r="BK897" s="15">
        <f t="shared" si="574"/>
        <v>22.170849845882874</v>
      </c>
      <c r="BL897" s="75">
        <f>BK897*(1-PARAM!$C$27)*$I$18+(MOD($B897,60)=PARAM!$B$56)*($B897&gt;(60-PARAM!$B$56))*HLOOKUP(($B897+PARAM!$B$56)/12,Loyalty,2)*$F$1*MAX(BN896,0)</f>
        <v>18.557001321003963</v>
      </c>
      <c r="BM897" s="75">
        <f>PARAM!$C$26+MAX($G$18-CHOOSE(PARAM!$B$44,MAX(0,BN896*$F$1),0),0)*RATES!$L873/12+$H$18*(PARAM!$D$51/12)*RATES!$N873/100</f>
        <v>1190.0416666666667</v>
      </c>
      <c r="BN897" s="16">
        <f t="shared" si="600"/>
        <v>-235531.52520827547</v>
      </c>
      <c r="BO897" s="15">
        <f t="shared" si="575"/>
        <v>22.170849845882874</v>
      </c>
      <c r="BP897" s="75">
        <f>BO897*(1-PARAM!$C$27)*$I$19+(MOD($B897,60)=PARAM!$B$56)*($B897&gt;(60-PARAM!$B$56))*HLOOKUP(($B897+PARAM!$B$56)/12,Loyalty,2)*$F$1*MAX(BR896,0)</f>
        <v>18.557001321003963</v>
      </c>
      <c r="BQ897" s="75">
        <f>PARAM!$C$26+MAX($G$19-CHOOSE(PARAM!$B$44,MAX(0,BR896*$F$1),0),0)*RATES!$L873/12+$H$19*(PARAM!$D$51/12)*RATES!$N873/100</f>
        <v>1190.0416666666667</v>
      </c>
      <c r="BR897" s="16">
        <f t="shared" si="601"/>
        <v>-235531.52520827547</v>
      </c>
      <c r="BS897" s="15">
        <f t="shared" si="576"/>
        <v>22.170849845882874</v>
      </c>
      <c r="BT897" s="75">
        <f>BS897*(1-PARAM!$C$27)*$I$20+(MOD($B897,60)=PARAM!$B$56)*($B897&gt;(60-PARAM!$B$56))*HLOOKUP(($B897+PARAM!$B$56)/12,Loyalty,2)*$F$1*MAX(BV896,0)</f>
        <v>18.557001321003963</v>
      </c>
      <c r="BU897" s="75">
        <f>PARAM!$C$26+MAX($G$20-CHOOSE(PARAM!$B$44,MAX(0,BV896*$F$1),0),0)*RATES!$L873/12+$H$20*(PARAM!$D$51/12)*RATES!$N873/100</f>
        <v>1190.0416666666667</v>
      </c>
      <c r="BV897" s="16">
        <f t="shared" si="602"/>
        <v>-235531.52520827547</v>
      </c>
      <c r="BW897" s="15">
        <f t="shared" si="577"/>
        <v>22.170849845882874</v>
      </c>
      <c r="BX897" s="75">
        <f>BW897*(1-PARAM!$C$27)*$I$21+(MOD($B897,60)=PARAM!$B$56)*($B897&gt;(60-PARAM!$B$56))*HLOOKUP(($B897+PARAM!$B$56)/12,Loyalty,2)*$F$1*MAX(BZ896,0)</f>
        <v>18.557001321003963</v>
      </c>
      <c r="BY897" s="75">
        <f>PARAM!$C$26+MAX($G$21-CHOOSE(PARAM!$B$44,MAX(0,BZ896*$F$1),0),0)*RATES!$L873/12+$H$21*(PARAM!$D$51/12)*RATES!$N873/100</f>
        <v>1190.0416666666667</v>
      </c>
      <c r="BZ897" s="16">
        <f t="shared" si="603"/>
        <v>-235531.52520827547</v>
      </c>
      <c r="CA897" s="15">
        <f t="shared" si="578"/>
        <v>22.170849845882874</v>
      </c>
      <c r="CB897" s="75">
        <f>CA897*(1-PARAM!$C$27)*$I$22+(MOD($B897,60)=PARAM!$B$56)*($B897&gt;(60-PARAM!$B$56))*HLOOKUP(($B897+PARAM!$B$56)/12,Loyalty,2)*$F$1*MAX(CD896,0)</f>
        <v>18.557001321003963</v>
      </c>
      <c r="CC897" s="75">
        <f>PARAM!$C$26+MAX($G$22-CHOOSE(PARAM!$B$44,MAX(0,CD896*$F$1),0),0)*RATES!$L873/12+$H$22*(PARAM!$D$51/12)*RATES!$N873/100</f>
        <v>1190.0416666666667</v>
      </c>
      <c r="CD897" s="16">
        <f t="shared" si="604"/>
        <v>-235531.52520827547</v>
      </c>
      <c r="CE897" s="33">
        <f>IF(0=MOD(B897,12/PARAM!$D$51),1,0)</f>
        <v>1</v>
      </c>
      <c r="CF897" s="15">
        <f t="shared" si="579"/>
        <v>0</v>
      </c>
      <c r="CG897" s="75">
        <f>CF897*(1-PARAM!$C$27)*$R$3+(MOD($B897/12,5)=0)*($B897&gt;60)*HLOOKUP($B897/12,Loyalty,2)*$F$1*MAX(CI896,0)</f>
        <v>0</v>
      </c>
      <c r="CH897" s="75">
        <f>PARAM!$C$26+MAX($P$3-CHOOSE(PARAM!$B$44,MAX(0,CI896*$F$1),0),0)*RATES!$L873/12+$Q$3*(PARAM!$D$51/12)*RATES!$N873/100</f>
        <v>1190.0416666666667</v>
      </c>
      <c r="CI897" s="16">
        <f>IF(CI896&gt;0,CI896*PARAM!$C$53,CI896)+CG897-CH897</f>
        <v>-251556.54166666637</v>
      </c>
      <c r="CJ897" s="15">
        <f t="shared" si="605"/>
        <v>0</v>
      </c>
      <c r="CK897" s="75">
        <f>CJ897*(1-PARAM!$C$27)*$R$4+(MOD($B897/12,5)=0)*($B897&gt;60)*HLOOKUP($B897/12,Loyalty,2)*$F$1*MAX(CM896,0)</f>
        <v>0</v>
      </c>
      <c r="CL897" s="75">
        <f>PARAM!$C$26+MAX($P$4-CHOOSE(PARAM!$B$44,MAX(0,CM896*$F$1),0),0)*RATES!$L873/12+$Q$4*(PARAM!$D$51/12)*RATES!$N873/100</f>
        <v>1190.0416666666667</v>
      </c>
      <c r="CM897" s="16">
        <f>IF(CM896&gt;0,CM896*PARAM!$C$53,CM896)+CK897-CL897</f>
        <v>-251556.54166666637</v>
      </c>
      <c r="CO897" s="176"/>
    </row>
    <row r="898" spans="1:93" x14ac:dyDescent="0.2">
      <c r="A898" t="b">
        <f t="shared" si="580"/>
        <v>0</v>
      </c>
      <c r="B898" s="33">
        <v>871</v>
      </c>
      <c r="C898" s="15">
        <f t="shared" si="581"/>
        <v>20.081305947392778</v>
      </c>
      <c r="D898" s="75">
        <f>C898*(1-PARAM!$C$27)*$I$3+(MOD($B898,60)=PARAM!$B$56)*($B898&gt;(60-PARAM!$B$56))*HLOOKUP(($B898+PARAM!$B$56)/12,Loyalty,2)*$F$1*MAX(F897,0)</f>
        <v>16.808053077967756</v>
      </c>
      <c r="E898" s="75">
        <f>PARAM!$C$26+MAX($G$3-CHOOSE(PARAM!$B$44,MAX(0,F897*$F$1),0),0)*RATES!$L874/12+$H$3*(PARAM!$D$51/12)*RATES!$N874/100</f>
        <v>1190.0416666666667</v>
      </c>
      <c r="F898" s="16">
        <f t="shared" si="582"/>
        <v>-238263.19429382763</v>
      </c>
      <c r="G898" s="15">
        <f t="shared" si="583"/>
        <v>22.035289406060361</v>
      </c>
      <c r="H898" s="75">
        <f>G898*(1-PARAM!$C$27)*$I$4+(MOD($B898,60)=PARAM!$B$56)*($B898&gt;(60-PARAM!$B$56))*HLOOKUP(($B898+PARAM!$B$56)/12,Loyalty,2)*$F$1*MAX(J897,0)</f>
        <v>18.443537232872522</v>
      </c>
      <c r="I898" s="75">
        <f>PARAM!$C$26+MAX($G$4-CHOOSE(PARAM!$B$44,MAX(0,J897*$F$1),0),0)*RATES!$L874/12+$H$4*(PARAM!$D$51/12)*RATES!$N874/100</f>
        <v>1190.0416666666667</v>
      </c>
      <c r="J898" s="16">
        <f t="shared" si="584"/>
        <v>-236804.85463078259</v>
      </c>
      <c r="K898" s="15">
        <f t="shared" si="585"/>
        <v>22.170849845882874</v>
      </c>
      <c r="L898" s="75">
        <f>K898*(1-PARAM!$C$27)*$I$5+(MOD($B898,60)=PARAM!$B$56)*($B898&gt;(60-PARAM!$B$56))*HLOOKUP(($B898+PARAM!$B$56)/12,Loyalty,2)*$F$1*MAX(N897,0)</f>
        <v>18.557001321003963</v>
      </c>
      <c r="M898" s="75">
        <f>PARAM!$C$26+MAX($G$5-CHOOSE(PARAM!$B$44,MAX(0,N897*$F$1),0),0)*RATES!$L874/12+$H$5*(PARAM!$D$51/12)*RATES!$N874/100</f>
        <v>1190.0416666666667</v>
      </c>
      <c r="N898" s="16">
        <f t="shared" si="586"/>
        <v>-236703.00987362114</v>
      </c>
      <c r="O898" s="15">
        <f t="shared" si="587"/>
        <v>22.170849845882874</v>
      </c>
      <c r="P898" s="75">
        <f>O898*(1-PARAM!$C$27)*$I$6+(MOD($B898,60)=PARAM!$B$56)*($B898&gt;(60-PARAM!$B$56))*HLOOKUP(($B898+PARAM!$B$56)/12,Loyalty,2)*$F$1*MAX(R897,0)</f>
        <v>18.557001321003963</v>
      </c>
      <c r="Q898" s="75">
        <f>PARAM!$C$26+MAX($G$6-CHOOSE(PARAM!$B$44,MAX(0,R897*$F$1),0),0)*RATES!$L874/12+$H$6*(PARAM!$D$51/12)*RATES!$N874/100</f>
        <v>1190.0416666666667</v>
      </c>
      <c r="R898" s="16">
        <f t="shared" si="588"/>
        <v>-236703.00987362114</v>
      </c>
      <c r="S898" s="15">
        <f t="shared" si="563"/>
        <v>22.170849845882874</v>
      </c>
      <c r="T898" s="75">
        <f>S898*(1-PARAM!$C$27)*$I$7+(MOD($B898,60)=PARAM!$B$56)*($B898&gt;(60-PARAM!$B$56))*HLOOKUP(($B898+PARAM!$B$56)/12,Loyalty,2)*$F$1*MAX(V897,0)</f>
        <v>18.557001321003963</v>
      </c>
      <c r="U898" s="75">
        <f>PARAM!$C$26+MAX($G$7-CHOOSE(PARAM!$B$44,MAX(0,V897*$F$1),0),0)*RATES!$L874/12+$H$7*(PARAM!$D$51/12)*RATES!$N874/100</f>
        <v>1190.0416666666667</v>
      </c>
      <c r="V898" s="16">
        <f t="shared" si="589"/>
        <v>-236703.00987362114</v>
      </c>
      <c r="W898" s="15">
        <f t="shared" si="564"/>
        <v>22.170849845882874</v>
      </c>
      <c r="X898" s="75">
        <f>W898*(1-PARAM!$C$27)*$I$8+(MOD($B898,60)=PARAM!$B$56)*($B898&gt;(60-PARAM!$B$56))*HLOOKUP(($B898+PARAM!$B$56)/12,Loyalty,2)*$F$1*MAX(Z897,0)</f>
        <v>18.557001321003963</v>
      </c>
      <c r="Y898" s="75">
        <f>PARAM!$C$26+MAX($G$8-CHOOSE(PARAM!$B$44,MAX(0,Z897*$F$1),0),0)*RATES!$L874/12+$H$8*(PARAM!$D$51/12)*RATES!$N874/100</f>
        <v>1190.0416666666667</v>
      </c>
      <c r="Z898" s="16">
        <f t="shared" si="590"/>
        <v>-236703.00987362114</v>
      </c>
      <c r="AA898" s="15">
        <f t="shared" si="565"/>
        <v>22.170849845882874</v>
      </c>
      <c r="AB898" s="75">
        <f>AA898*(1-PARAM!$C$27)*$I$9+(MOD($B898,60)=PARAM!$B$56)*($B898&gt;(60-PARAM!$B$56))*HLOOKUP(($B898+PARAM!$B$56)/12,Loyalty,2)*$F$1*MAX(AD897,0)</f>
        <v>18.557001321003963</v>
      </c>
      <c r="AC898" s="75">
        <f>PARAM!$C$26+MAX($G$9-CHOOSE(PARAM!$B$44,MAX(0,AD897*$F$1),0),0)*RATES!$L874/12+$H$9*(PARAM!$D$51/12)*RATES!$N874/100</f>
        <v>1190.0416666666667</v>
      </c>
      <c r="AD898" s="16">
        <f t="shared" si="591"/>
        <v>-236703.00987362114</v>
      </c>
      <c r="AE898" s="15">
        <f t="shared" si="566"/>
        <v>22.170849845882874</v>
      </c>
      <c r="AF898" s="75">
        <f>AE898*(1-PARAM!$C$27)*$I$10+(MOD($B898,60)=PARAM!$B$56)*($B898&gt;(60-PARAM!$B$56))*HLOOKUP(($B898+PARAM!$B$56)/12,Loyalty,2)*$F$1*MAX(AH897,0)</f>
        <v>18.557001321003963</v>
      </c>
      <c r="AG898" s="75">
        <f>PARAM!$C$26+MAX($G$10-CHOOSE(PARAM!$B$44,MAX(0,AH897*$F$1),0),0)*RATES!$L874/12+$H$10*(PARAM!$D$51/12)*RATES!$N874/100</f>
        <v>1190.0416666666667</v>
      </c>
      <c r="AH898" s="16">
        <f t="shared" si="592"/>
        <v>-236703.00987362114</v>
      </c>
      <c r="AI898" s="15">
        <f t="shared" si="567"/>
        <v>22.170849845882874</v>
      </c>
      <c r="AJ898" s="75">
        <f>AI898*(1-PARAM!$C$27)*$I$11+(MOD($B898,60)=PARAM!$B$56)*($B898&gt;(60-PARAM!$B$56))*HLOOKUP(($B898+PARAM!$B$56)/12,Loyalty,2)*$F$1*MAX(AL897,0)</f>
        <v>18.557001321003963</v>
      </c>
      <c r="AK898" s="75">
        <f>PARAM!$C$26+MAX($G$11-CHOOSE(PARAM!$B$44,MAX(0,AL897*$F$1),0),0)*RATES!$L874/12+$H$11*(PARAM!$D$51/12)*RATES!$N874/100</f>
        <v>1190.0416666666667</v>
      </c>
      <c r="AL898" s="16">
        <f t="shared" si="593"/>
        <v>-236703.00987362114</v>
      </c>
      <c r="AM898" s="15">
        <f t="shared" si="568"/>
        <v>22.170849845882874</v>
      </c>
      <c r="AN898" s="75">
        <f>AM898*(1-PARAM!$C$27)*$I$12+(MOD($B898,60)=PARAM!$B$56)*($B898&gt;(60-PARAM!$B$56))*HLOOKUP(($B898+PARAM!$B$56)/12,Loyalty,2)*$F$1*MAX(AP897,0)</f>
        <v>18.557001321003963</v>
      </c>
      <c r="AO898" s="75">
        <f>PARAM!$C$26+MAX($G$12-CHOOSE(PARAM!$B$44,MAX(0,AP897*$F$1),0),0)*RATES!$L874/12+$H$12*(PARAM!$D$51/12)*RATES!$N874/100</f>
        <v>1190.0416666666667</v>
      </c>
      <c r="AP898" s="16">
        <f t="shared" si="594"/>
        <v>-236703.00987362114</v>
      </c>
      <c r="AQ898" s="15">
        <f t="shared" si="569"/>
        <v>22.170849845882874</v>
      </c>
      <c r="AR898" s="75">
        <f>AQ898*(1-PARAM!$C$27)*$I$13+(MOD($B898,60)=PARAM!$B$56)*($B898&gt;(60-PARAM!$B$56))*HLOOKUP(($B898+PARAM!$B$56)/12,Loyalty,2)*$F$1*MAX(AT897,0)</f>
        <v>18.557001321003963</v>
      </c>
      <c r="AS898" s="75">
        <f>PARAM!$C$26+MAX($G$13-CHOOSE(PARAM!$B$44,MAX(0,AT897*$F$1),0),0)*RATES!$L874/12+$H$13*(PARAM!$D$51/12)*RATES!$N874/100</f>
        <v>1190.0416666666667</v>
      </c>
      <c r="AT898" s="16">
        <f t="shared" si="595"/>
        <v>-236703.00987362114</v>
      </c>
      <c r="AU898" s="15">
        <f t="shared" si="570"/>
        <v>22.170849845882874</v>
      </c>
      <c r="AV898" s="75">
        <f>AU898*(1-PARAM!$C$27)*$I$14+(MOD($B898,60)=PARAM!$B$56)*($B898&gt;(60-PARAM!$B$56))*HLOOKUP(($B898+PARAM!$B$56)/12,Loyalty,2)*$F$1*MAX(AX897,0)</f>
        <v>18.557001321003963</v>
      </c>
      <c r="AW898" s="75">
        <f>PARAM!$C$26+MAX($G$14-CHOOSE(PARAM!$B$44,MAX(0,AX897*$F$1),0),0)*RATES!$L874/12+$H$14*(PARAM!$D$51/12)*RATES!$N874/100</f>
        <v>1190.0416666666667</v>
      </c>
      <c r="AX898" s="16">
        <f t="shared" si="596"/>
        <v>-236703.00987362114</v>
      </c>
      <c r="AY898" s="15">
        <f t="shared" si="571"/>
        <v>22.170849845882874</v>
      </c>
      <c r="AZ898" s="75">
        <f>AY898*(1-PARAM!$C$27)*$I$15+(MOD($B898,60)=PARAM!$B$56)*($B898&gt;(60-PARAM!$B$56))*HLOOKUP(($B898+PARAM!$B$56)/12,Loyalty,2)*$F$1*MAX(BB897,0)</f>
        <v>18.557001321003963</v>
      </c>
      <c r="BA898" s="75">
        <f>PARAM!$C$26+MAX($G$15-CHOOSE(PARAM!$B$44,MAX(0,BB897*$F$1),0),0)*RATES!$L874/12+$H$15*(PARAM!$D$51/12)*RATES!$N874/100</f>
        <v>1190.0416666666667</v>
      </c>
      <c r="BB898" s="16">
        <f t="shared" si="597"/>
        <v>-236703.00987362114</v>
      </c>
      <c r="BC898" s="15">
        <f t="shared" si="572"/>
        <v>22.170849845882874</v>
      </c>
      <c r="BD898" s="75">
        <f>BC898*(1-PARAM!$C$27)*$I$16+(MOD($B898,60)=PARAM!$B$56)*($B898&gt;(60-PARAM!$B$56))*HLOOKUP(($B898+PARAM!$B$56)/12,Loyalty,2)*$F$1*MAX(BF897,0)</f>
        <v>18.557001321003963</v>
      </c>
      <c r="BE898" s="75">
        <f>PARAM!$C$26+MAX($G$16-CHOOSE(PARAM!$B$44,MAX(0,BF897*$F$1),0),0)*RATES!$L874/12+$H$16*(PARAM!$D$51/12)*RATES!$N874/100</f>
        <v>1190.0416666666667</v>
      </c>
      <c r="BF898" s="16">
        <f t="shared" si="598"/>
        <v>-236703.00987362114</v>
      </c>
      <c r="BG898" s="15">
        <f t="shared" si="573"/>
        <v>22.170849845882874</v>
      </c>
      <c r="BH898" s="75">
        <f>BG898*(1-PARAM!$C$27)*$I$17+(MOD($B898,60)=PARAM!$B$56)*($B898&gt;(60-PARAM!$B$56))*HLOOKUP(($B898+PARAM!$B$56)/12,Loyalty,2)*$F$1*MAX(BJ897,0)</f>
        <v>18.557001321003963</v>
      </c>
      <c r="BI898" s="75">
        <f>PARAM!$C$26+MAX($G$17-CHOOSE(PARAM!$B$44,MAX(0,BJ897*$F$1),0),0)*RATES!$L874/12+$H$17*(PARAM!$D$51/12)*RATES!$N874/100</f>
        <v>1190.0416666666667</v>
      </c>
      <c r="BJ898" s="16">
        <f t="shared" si="599"/>
        <v>-236703.00987362114</v>
      </c>
      <c r="BK898" s="15">
        <f t="shared" si="574"/>
        <v>22.170849845882874</v>
      </c>
      <c r="BL898" s="75">
        <f>BK898*(1-PARAM!$C$27)*$I$18+(MOD($B898,60)=PARAM!$B$56)*($B898&gt;(60-PARAM!$B$56))*HLOOKUP(($B898+PARAM!$B$56)/12,Loyalty,2)*$F$1*MAX(BN897,0)</f>
        <v>18.557001321003963</v>
      </c>
      <c r="BM898" s="75">
        <f>PARAM!$C$26+MAX($G$18-CHOOSE(PARAM!$B$44,MAX(0,BN897*$F$1),0),0)*RATES!$L874/12+$H$18*(PARAM!$D$51/12)*RATES!$N874/100</f>
        <v>1190.0416666666667</v>
      </c>
      <c r="BN898" s="16">
        <f t="shared" si="600"/>
        <v>-236703.00987362114</v>
      </c>
      <c r="BO898" s="15">
        <f t="shared" si="575"/>
        <v>22.170849845882874</v>
      </c>
      <c r="BP898" s="75">
        <f>BO898*(1-PARAM!$C$27)*$I$19+(MOD($B898,60)=PARAM!$B$56)*($B898&gt;(60-PARAM!$B$56))*HLOOKUP(($B898+PARAM!$B$56)/12,Loyalty,2)*$F$1*MAX(BR897,0)</f>
        <v>18.557001321003963</v>
      </c>
      <c r="BQ898" s="75">
        <f>PARAM!$C$26+MAX($G$19-CHOOSE(PARAM!$B$44,MAX(0,BR897*$F$1),0),0)*RATES!$L874/12+$H$19*(PARAM!$D$51/12)*RATES!$N874/100</f>
        <v>1190.0416666666667</v>
      </c>
      <c r="BR898" s="16">
        <f t="shared" si="601"/>
        <v>-236703.00987362114</v>
      </c>
      <c r="BS898" s="15">
        <f t="shared" si="576"/>
        <v>22.170849845882874</v>
      </c>
      <c r="BT898" s="75">
        <f>BS898*(1-PARAM!$C$27)*$I$20+(MOD($B898,60)=PARAM!$B$56)*($B898&gt;(60-PARAM!$B$56))*HLOOKUP(($B898+PARAM!$B$56)/12,Loyalty,2)*$F$1*MAX(BV897,0)</f>
        <v>18.557001321003963</v>
      </c>
      <c r="BU898" s="75">
        <f>PARAM!$C$26+MAX($G$20-CHOOSE(PARAM!$B$44,MAX(0,BV897*$F$1),0),0)*RATES!$L874/12+$H$20*(PARAM!$D$51/12)*RATES!$N874/100</f>
        <v>1190.0416666666667</v>
      </c>
      <c r="BV898" s="16">
        <f t="shared" si="602"/>
        <v>-236703.00987362114</v>
      </c>
      <c r="BW898" s="15">
        <f t="shared" si="577"/>
        <v>22.170849845882874</v>
      </c>
      <c r="BX898" s="75">
        <f>BW898*(1-PARAM!$C$27)*$I$21+(MOD($B898,60)=PARAM!$B$56)*($B898&gt;(60-PARAM!$B$56))*HLOOKUP(($B898+PARAM!$B$56)/12,Loyalty,2)*$F$1*MAX(BZ897,0)</f>
        <v>18.557001321003963</v>
      </c>
      <c r="BY898" s="75">
        <f>PARAM!$C$26+MAX($G$21-CHOOSE(PARAM!$B$44,MAX(0,BZ897*$F$1),0),0)*RATES!$L874/12+$H$21*(PARAM!$D$51/12)*RATES!$N874/100</f>
        <v>1190.0416666666667</v>
      </c>
      <c r="BZ898" s="16">
        <f t="shared" si="603"/>
        <v>-236703.00987362114</v>
      </c>
      <c r="CA898" s="15">
        <f t="shared" si="578"/>
        <v>22.170849845882874</v>
      </c>
      <c r="CB898" s="75">
        <f>CA898*(1-PARAM!$C$27)*$I$22+(MOD($B898,60)=PARAM!$B$56)*($B898&gt;(60-PARAM!$B$56))*HLOOKUP(($B898+PARAM!$B$56)/12,Loyalty,2)*$F$1*MAX(CD897,0)</f>
        <v>18.557001321003963</v>
      </c>
      <c r="CC898" s="75">
        <f>PARAM!$C$26+MAX($G$22-CHOOSE(PARAM!$B$44,MAX(0,CD897*$F$1),0),0)*RATES!$L874/12+$H$22*(PARAM!$D$51/12)*RATES!$N874/100</f>
        <v>1190.0416666666667</v>
      </c>
      <c r="CD898" s="16">
        <f t="shared" si="604"/>
        <v>-236703.00987362114</v>
      </c>
      <c r="CE898" s="33">
        <f>IF(0=MOD(B898,12/PARAM!$D$51),1,0)</f>
        <v>1</v>
      </c>
      <c r="CF898" s="15">
        <f t="shared" si="579"/>
        <v>0</v>
      </c>
      <c r="CG898" s="75">
        <f>CF898*(1-PARAM!$C$27)*$R$3+(MOD($B898/12,5)=0)*($B898&gt;60)*HLOOKUP($B898/12,Loyalty,2)*$F$1*MAX(CI897,0)</f>
        <v>0</v>
      </c>
      <c r="CH898" s="75">
        <f>PARAM!$C$26+MAX($P$3-CHOOSE(PARAM!$B$44,MAX(0,CI897*$F$1),0),0)*RATES!$L874/12+$Q$3*(PARAM!$D$51/12)*RATES!$N874/100</f>
        <v>1190.0416666666667</v>
      </c>
      <c r="CI898" s="16">
        <f>IF(CI897&gt;0,CI897*PARAM!$C$53,CI897)+CG898-CH898</f>
        <v>-252746.58333333302</v>
      </c>
      <c r="CJ898" s="15">
        <f t="shared" si="605"/>
        <v>0</v>
      </c>
      <c r="CK898" s="75">
        <f>CJ898*(1-PARAM!$C$27)*$R$4+(MOD($B898/12,5)=0)*($B898&gt;60)*HLOOKUP($B898/12,Loyalty,2)*$F$1*MAX(CM897,0)</f>
        <v>0</v>
      </c>
      <c r="CL898" s="75">
        <f>PARAM!$C$26+MAX($P$4-CHOOSE(PARAM!$B$44,MAX(0,CM897*$F$1),0),0)*RATES!$L874/12+$Q$4*(PARAM!$D$51/12)*RATES!$N874/100</f>
        <v>1190.0416666666667</v>
      </c>
      <c r="CM898" s="16">
        <f>IF(CM897&gt;0,CM897*PARAM!$C$53,CM897)+CK898-CL898</f>
        <v>-252746.58333333302</v>
      </c>
      <c r="CO898" s="176"/>
    </row>
    <row r="899" spans="1:93" x14ac:dyDescent="0.2">
      <c r="A899" t="b">
        <f t="shared" si="580"/>
        <v>0</v>
      </c>
      <c r="B899" s="33">
        <v>872</v>
      </c>
      <c r="C899" s="15">
        <f t="shared" si="581"/>
        <v>20.081305947392778</v>
      </c>
      <c r="D899" s="75">
        <f>C899*(1-PARAM!$C$27)*$I$3+(MOD($B899,60)=PARAM!$B$56)*($B899&gt;(60-PARAM!$B$56))*HLOOKUP(($B899+PARAM!$B$56)/12,Loyalty,2)*$F$1*MAX(F898,0)</f>
        <v>16.808053077967756</v>
      </c>
      <c r="E899" s="75">
        <f>PARAM!$C$26+MAX($G$3-CHOOSE(PARAM!$B$44,MAX(0,F898*$F$1),0),0)*RATES!$L875/12+$H$3*(PARAM!$D$51/12)*RATES!$N875/100</f>
        <v>1190.0416666666667</v>
      </c>
      <c r="F899" s="16">
        <f t="shared" si="582"/>
        <v>-239436.42790741634</v>
      </c>
      <c r="G899" s="15">
        <f t="shared" si="583"/>
        <v>22.035289406060361</v>
      </c>
      <c r="H899" s="75">
        <f>G899*(1-PARAM!$C$27)*$I$4+(MOD($B899,60)=PARAM!$B$56)*($B899&gt;(60-PARAM!$B$56))*HLOOKUP(($B899+PARAM!$B$56)/12,Loyalty,2)*$F$1*MAX(J898,0)</f>
        <v>18.443537232872522</v>
      </c>
      <c r="I899" s="75">
        <f>PARAM!$C$26+MAX($G$4-CHOOSE(PARAM!$B$44,MAX(0,J898*$F$1),0),0)*RATES!$L875/12+$H$4*(PARAM!$D$51/12)*RATES!$N875/100</f>
        <v>1190.0416666666667</v>
      </c>
      <c r="J899" s="16">
        <f t="shared" si="584"/>
        <v>-237976.45276021637</v>
      </c>
      <c r="K899" s="15">
        <f t="shared" si="585"/>
        <v>22.170849845882874</v>
      </c>
      <c r="L899" s="75">
        <f>K899*(1-PARAM!$C$27)*$I$5+(MOD($B899,60)=PARAM!$B$56)*($B899&gt;(60-PARAM!$B$56))*HLOOKUP(($B899+PARAM!$B$56)/12,Loyalty,2)*$F$1*MAX(N898,0)</f>
        <v>18.557001321003963</v>
      </c>
      <c r="M899" s="75">
        <f>PARAM!$C$26+MAX($G$5-CHOOSE(PARAM!$B$44,MAX(0,N898*$F$1),0),0)*RATES!$L875/12+$H$5*(PARAM!$D$51/12)*RATES!$N875/100</f>
        <v>1190.0416666666667</v>
      </c>
      <c r="N899" s="16">
        <f t="shared" si="586"/>
        <v>-237874.4945389668</v>
      </c>
      <c r="O899" s="15">
        <f t="shared" si="587"/>
        <v>22.170849845882874</v>
      </c>
      <c r="P899" s="75">
        <f>O899*(1-PARAM!$C$27)*$I$6+(MOD($B899,60)=PARAM!$B$56)*($B899&gt;(60-PARAM!$B$56))*HLOOKUP(($B899+PARAM!$B$56)/12,Loyalty,2)*$F$1*MAX(R898,0)</f>
        <v>18.557001321003963</v>
      </c>
      <c r="Q899" s="75">
        <f>PARAM!$C$26+MAX($G$6-CHOOSE(PARAM!$B$44,MAX(0,R898*$F$1),0),0)*RATES!$L875/12+$H$6*(PARAM!$D$51/12)*RATES!$N875/100</f>
        <v>1190.0416666666667</v>
      </c>
      <c r="R899" s="16">
        <f t="shared" si="588"/>
        <v>-237874.4945389668</v>
      </c>
      <c r="S899" s="15">
        <f t="shared" si="563"/>
        <v>22.170849845882874</v>
      </c>
      <c r="T899" s="75">
        <f>S899*(1-PARAM!$C$27)*$I$7+(MOD($B899,60)=PARAM!$B$56)*($B899&gt;(60-PARAM!$B$56))*HLOOKUP(($B899+PARAM!$B$56)/12,Loyalty,2)*$F$1*MAX(V898,0)</f>
        <v>18.557001321003963</v>
      </c>
      <c r="U899" s="75">
        <f>PARAM!$C$26+MAX($G$7-CHOOSE(PARAM!$B$44,MAX(0,V898*$F$1),0),0)*RATES!$L875/12+$H$7*(PARAM!$D$51/12)*RATES!$N875/100</f>
        <v>1190.0416666666667</v>
      </c>
      <c r="V899" s="16">
        <f t="shared" si="589"/>
        <v>-237874.4945389668</v>
      </c>
      <c r="W899" s="15">
        <f t="shared" si="564"/>
        <v>22.170849845882874</v>
      </c>
      <c r="X899" s="75">
        <f>W899*(1-PARAM!$C$27)*$I$8+(MOD($B899,60)=PARAM!$B$56)*($B899&gt;(60-PARAM!$B$56))*HLOOKUP(($B899+PARAM!$B$56)/12,Loyalty,2)*$F$1*MAX(Z898,0)</f>
        <v>18.557001321003963</v>
      </c>
      <c r="Y899" s="75">
        <f>PARAM!$C$26+MAX($G$8-CHOOSE(PARAM!$B$44,MAX(0,Z898*$F$1),0),0)*RATES!$L875/12+$H$8*(PARAM!$D$51/12)*RATES!$N875/100</f>
        <v>1190.0416666666667</v>
      </c>
      <c r="Z899" s="16">
        <f t="shared" si="590"/>
        <v>-237874.4945389668</v>
      </c>
      <c r="AA899" s="15">
        <f t="shared" si="565"/>
        <v>22.170849845882874</v>
      </c>
      <c r="AB899" s="75">
        <f>AA899*(1-PARAM!$C$27)*$I$9+(MOD($B899,60)=PARAM!$B$56)*($B899&gt;(60-PARAM!$B$56))*HLOOKUP(($B899+PARAM!$B$56)/12,Loyalty,2)*$F$1*MAX(AD898,0)</f>
        <v>18.557001321003963</v>
      </c>
      <c r="AC899" s="75">
        <f>PARAM!$C$26+MAX($G$9-CHOOSE(PARAM!$B$44,MAX(0,AD898*$F$1),0),0)*RATES!$L875/12+$H$9*(PARAM!$D$51/12)*RATES!$N875/100</f>
        <v>1190.0416666666667</v>
      </c>
      <c r="AD899" s="16">
        <f t="shared" si="591"/>
        <v>-237874.4945389668</v>
      </c>
      <c r="AE899" s="15">
        <f t="shared" si="566"/>
        <v>22.170849845882874</v>
      </c>
      <c r="AF899" s="75">
        <f>AE899*(1-PARAM!$C$27)*$I$10+(MOD($B899,60)=PARAM!$B$56)*($B899&gt;(60-PARAM!$B$56))*HLOOKUP(($B899+PARAM!$B$56)/12,Loyalty,2)*$F$1*MAX(AH898,0)</f>
        <v>18.557001321003963</v>
      </c>
      <c r="AG899" s="75">
        <f>PARAM!$C$26+MAX($G$10-CHOOSE(PARAM!$B$44,MAX(0,AH898*$F$1),0),0)*RATES!$L875/12+$H$10*(PARAM!$D$51/12)*RATES!$N875/100</f>
        <v>1190.0416666666667</v>
      </c>
      <c r="AH899" s="16">
        <f t="shared" si="592"/>
        <v>-237874.4945389668</v>
      </c>
      <c r="AI899" s="15">
        <f t="shared" si="567"/>
        <v>22.170849845882874</v>
      </c>
      <c r="AJ899" s="75">
        <f>AI899*(1-PARAM!$C$27)*$I$11+(MOD($B899,60)=PARAM!$B$56)*($B899&gt;(60-PARAM!$B$56))*HLOOKUP(($B899+PARAM!$B$56)/12,Loyalty,2)*$F$1*MAX(AL898,0)</f>
        <v>18.557001321003963</v>
      </c>
      <c r="AK899" s="75">
        <f>PARAM!$C$26+MAX($G$11-CHOOSE(PARAM!$B$44,MAX(0,AL898*$F$1),0),0)*RATES!$L875/12+$H$11*(PARAM!$D$51/12)*RATES!$N875/100</f>
        <v>1190.0416666666667</v>
      </c>
      <c r="AL899" s="16">
        <f t="shared" si="593"/>
        <v>-237874.4945389668</v>
      </c>
      <c r="AM899" s="15">
        <f t="shared" si="568"/>
        <v>22.170849845882874</v>
      </c>
      <c r="AN899" s="75">
        <f>AM899*(1-PARAM!$C$27)*$I$12+(MOD($B899,60)=PARAM!$B$56)*($B899&gt;(60-PARAM!$B$56))*HLOOKUP(($B899+PARAM!$B$56)/12,Loyalty,2)*$F$1*MAX(AP898,0)</f>
        <v>18.557001321003963</v>
      </c>
      <c r="AO899" s="75">
        <f>PARAM!$C$26+MAX($G$12-CHOOSE(PARAM!$B$44,MAX(0,AP898*$F$1),0),0)*RATES!$L875/12+$H$12*(PARAM!$D$51/12)*RATES!$N875/100</f>
        <v>1190.0416666666667</v>
      </c>
      <c r="AP899" s="16">
        <f t="shared" si="594"/>
        <v>-237874.4945389668</v>
      </c>
      <c r="AQ899" s="15">
        <f t="shared" si="569"/>
        <v>22.170849845882874</v>
      </c>
      <c r="AR899" s="75">
        <f>AQ899*(1-PARAM!$C$27)*$I$13+(MOD($B899,60)=PARAM!$B$56)*($B899&gt;(60-PARAM!$B$56))*HLOOKUP(($B899+PARAM!$B$56)/12,Loyalty,2)*$F$1*MAX(AT898,0)</f>
        <v>18.557001321003963</v>
      </c>
      <c r="AS899" s="75">
        <f>PARAM!$C$26+MAX($G$13-CHOOSE(PARAM!$B$44,MAX(0,AT898*$F$1),0),0)*RATES!$L875/12+$H$13*(PARAM!$D$51/12)*RATES!$N875/100</f>
        <v>1190.0416666666667</v>
      </c>
      <c r="AT899" s="16">
        <f t="shared" si="595"/>
        <v>-237874.4945389668</v>
      </c>
      <c r="AU899" s="15">
        <f t="shared" si="570"/>
        <v>22.170849845882874</v>
      </c>
      <c r="AV899" s="75">
        <f>AU899*(1-PARAM!$C$27)*$I$14+(MOD($B899,60)=PARAM!$B$56)*($B899&gt;(60-PARAM!$B$56))*HLOOKUP(($B899+PARAM!$B$56)/12,Loyalty,2)*$F$1*MAX(AX898,0)</f>
        <v>18.557001321003963</v>
      </c>
      <c r="AW899" s="75">
        <f>PARAM!$C$26+MAX($G$14-CHOOSE(PARAM!$B$44,MAX(0,AX898*$F$1),0),0)*RATES!$L875/12+$H$14*(PARAM!$D$51/12)*RATES!$N875/100</f>
        <v>1190.0416666666667</v>
      </c>
      <c r="AX899" s="16">
        <f t="shared" si="596"/>
        <v>-237874.4945389668</v>
      </c>
      <c r="AY899" s="15">
        <f t="shared" si="571"/>
        <v>22.170849845882874</v>
      </c>
      <c r="AZ899" s="75">
        <f>AY899*(1-PARAM!$C$27)*$I$15+(MOD($B899,60)=PARAM!$B$56)*($B899&gt;(60-PARAM!$B$56))*HLOOKUP(($B899+PARAM!$B$56)/12,Loyalty,2)*$F$1*MAX(BB898,0)</f>
        <v>18.557001321003963</v>
      </c>
      <c r="BA899" s="75">
        <f>PARAM!$C$26+MAX($G$15-CHOOSE(PARAM!$B$44,MAX(0,BB898*$F$1),0),0)*RATES!$L875/12+$H$15*(PARAM!$D$51/12)*RATES!$N875/100</f>
        <v>1190.0416666666667</v>
      </c>
      <c r="BB899" s="16">
        <f t="shared" si="597"/>
        <v>-237874.4945389668</v>
      </c>
      <c r="BC899" s="15">
        <f t="shared" si="572"/>
        <v>22.170849845882874</v>
      </c>
      <c r="BD899" s="75">
        <f>BC899*(1-PARAM!$C$27)*$I$16+(MOD($B899,60)=PARAM!$B$56)*($B899&gt;(60-PARAM!$B$56))*HLOOKUP(($B899+PARAM!$B$56)/12,Loyalty,2)*$F$1*MAX(BF898,0)</f>
        <v>18.557001321003963</v>
      </c>
      <c r="BE899" s="75">
        <f>PARAM!$C$26+MAX($G$16-CHOOSE(PARAM!$B$44,MAX(0,BF898*$F$1),0),0)*RATES!$L875/12+$H$16*(PARAM!$D$51/12)*RATES!$N875/100</f>
        <v>1190.0416666666667</v>
      </c>
      <c r="BF899" s="16">
        <f t="shared" si="598"/>
        <v>-237874.4945389668</v>
      </c>
      <c r="BG899" s="15">
        <f t="shared" si="573"/>
        <v>22.170849845882874</v>
      </c>
      <c r="BH899" s="75">
        <f>BG899*(1-PARAM!$C$27)*$I$17+(MOD($B899,60)=PARAM!$B$56)*($B899&gt;(60-PARAM!$B$56))*HLOOKUP(($B899+PARAM!$B$56)/12,Loyalty,2)*$F$1*MAX(BJ898,0)</f>
        <v>18.557001321003963</v>
      </c>
      <c r="BI899" s="75">
        <f>PARAM!$C$26+MAX($G$17-CHOOSE(PARAM!$B$44,MAX(0,BJ898*$F$1),0),0)*RATES!$L875/12+$H$17*(PARAM!$D$51/12)*RATES!$N875/100</f>
        <v>1190.0416666666667</v>
      </c>
      <c r="BJ899" s="16">
        <f t="shared" si="599"/>
        <v>-237874.4945389668</v>
      </c>
      <c r="BK899" s="15">
        <f t="shared" si="574"/>
        <v>22.170849845882874</v>
      </c>
      <c r="BL899" s="75">
        <f>BK899*(1-PARAM!$C$27)*$I$18+(MOD($B899,60)=PARAM!$B$56)*($B899&gt;(60-PARAM!$B$56))*HLOOKUP(($B899+PARAM!$B$56)/12,Loyalty,2)*$F$1*MAX(BN898,0)</f>
        <v>18.557001321003963</v>
      </c>
      <c r="BM899" s="75">
        <f>PARAM!$C$26+MAX($G$18-CHOOSE(PARAM!$B$44,MAX(0,BN898*$F$1),0),0)*RATES!$L875/12+$H$18*(PARAM!$D$51/12)*RATES!$N875/100</f>
        <v>1190.0416666666667</v>
      </c>
      <c r="BN899" s="16">
        <f t="shared" si="600"/>
        <v>-237874.4945389668</v>
      </c>
      <c r="BO899" s="15">
        <f t="shared" si="575"/>
        <v>22.170849845882874</v>
      </c>
      <c r="BP899" s="75">
        <f>BO899*(1-PARAM!$C$27)*$I$19+(MOD($B899,60)=PARAM!$B$56)*($B899&gt;(60-PARAM!$B$56))*HLOOKUP(($B899+PARAM!$B$56)/12,Loyalty,2)*$F$1*MAX(BR898,0)</f>
        <v>18.557001321003963</v>
      </c>
      <c r="BQ899" s="75">
        <f>PARAM!$C$26+MAX($G$19-CHOOSE(PARAM!$B$44,MAX(0,BR898*$F$1),0),0)*RATES!$L875/12+$H$19*(PARAM!$D$51/12)*RATES!$N875/100</f>
        <v>1190.0416666666667</v>
      </c>
      <c r="BR899" s="16">
        <f t="shared" si="601"/>
        <v>-237874.4945389668</v>
      </c>
      <c r="BS899" s="15">
        <f t="shared" si="576"/>
        <v>22.170849845882874</v>
      </c>
      <c r="BT899" s="75">
        <f>BS899*(1-PARAM!$C$27)*$I$20+(MOD($B899,60)=PARAM!$B$56)*($B899&gt;(60-PARAM!$B$56))*HLOOKUP(($B899+PARAM!$B$56)/12,Loyalty,2)*$F$1*MAX(BV898,0)</f>
        <v>18.557001321003963</v>
      </c>
      <c r="BU899" s="75">
        <f>PARAM!$C$26+MAX($G$20-CHOOSE(PARAM!$B$44,MAX(0,BV898*$F$1),0),0)*RATES!$L875/12+$H$20*(PARAM!$D$51/12)*RATES!$N875/100</f>
        <v>1190.0416666666667</v>
      </c>
      <c r="BV899" s="16">
        <f t="shared" si="602"/>
        <v>-237874.4945389668</v>
      </c>
      <c r="BW899" s="15">
        <f t="shared" si="577"/>
        <v>22.170849845882874</v>
      </c>
      <c r="BX899" s="75">
        <f>BW899*(1-PARAM!$C$27)*$I$21+(MOD($B899,60)=PARAM!$B$56)*($B899&gt;(60-PARAM!$B$56))*HLOOKUP(($B899+PARAM!$B$56)/12,Loyalty,2)*$F$1*MAX(BZ898,0)</f>
        <v>18.557001321003963</v>
      </c>
      <c r="BY899" s="75">
        <f>PARAM!$C$26+MAX($G$21-CHOOSE(PARAM!$B$44,MAX(0,BZ898*$F$1),0),0)*RATES!$L875/12+$H$21*(PARAM!$D$51/12)*RATES!$N875/100</f>
        <v>1190.0416666666667</v>
      </c>
      <c r="BZ899" s="16">
        <f t="shared" si="603"/>
        <v>-237874.4945389668</v>
      </c>
      <c r="CA899" s="15">
        <f t="shared" si="578"/>
        <v>22.170849845882874</v>
      </c>
      <c r="CB899" s="75">
        <f>CA899*(1-PARAM!$C$27)*$I$22+(MOD($B899,60)=PARAM!$B$56)*($B899&gt;(60-PARAM!$B$56))*HLOOKUP(($B899+PARAM!$B$56)/12,Loyalty,2)*$F$1*MAX(CD898,0)</f>
        <v>18.557001321003963</v>
      </c>
      <c r="CC899" s="75">
        <f>PARAM!$C$26+MAX($G$22-CHOOSE(PARAM!$B$44,MAX(0,CD898*$F$1),0),0)*RATES!$L875/12+$H$22*(PARAM!$D$51/12)*RATES!$N875/100</f>
        <v>1190.0416666666667</v>
      </c>
      <c r="CD899" s="16">
        <f t="shared" si="604"/>
        <v>-237874.4945389668</v>
      </c>
      <c r="CE899" s="33">
        <f>IF(0=MOD(B899,12/PARAM!$D$51),1,0)</f>
        <v>1</v>
      </c>
      <c r="CF899" s="15">
        <f t="shared" si="579"/>
        <v>0</v>
      </c>
      <c r="CG899" s="75">
        <f>CF899*(1-PARAM!$C$27)*$R$3+(MOD($B899/12,5)=0)*($B899&gt;60)*HLOOKUP($B899/12,Loyalty,2)*$F$1*MAX(CI898,0)</f>
        <v>0</v>
      </c>
      <c r="CH899" s="75">
        <f>PARAM!$C$26+MAX($P$3-CHOOSE(PARAM!$B$44,MAX(0,CI898*$F$1),0),0)*RATES!$L875/12+$Q$3*(PARAM!$D$51/12)*RATES!$N875/100</f>
        <v>1190.0416666666667</v>
      </c>
      <c r="CI899" s="16">
        <f>IF(CI898&gt;0,CI898*PARAM!$C$53,CI898)+CG899-CH899</f>
        <v>-253936.62499999968</v>
      </c>
      <c r="CJ899" s="15">
        <f t="shared" si="605"/>
        <v>0</v>
      </c>
      <c r="CK899" s="75">
        <f>CJ899*(1-PARAM!$C$27)*$R$4+(MOD($B899/12,5)=0)*($B899&gt;60)*HLOOKUP($B899/12,Loyalty,2)*$F$1*MAX(CM898,0)</f>
        <v>0</v>
      </c>
      <c r="CL899" s="75">
        <f>PARAM!$C$26+MAX($P$4-CHOOSE(PARAM!$B$44,MAX(0,CM898*$F$1),0),0)*RATES!$L875/12+$Q$4*(PARAM!$D$51/12)*RATES!$N875/100</f>
        <v>1190.0416666666667</v>
      </c>
      <c r="CM899" s="16">
        <f>IF(CM898&gt;0,CM898*PARAM!$C$53,CM898)+CK899-CL899</f>
        <v>-253936.62499999968</v>
      </c>
      <c r="CO899" s="176"/>
    </row>
    <row r="900" spans="1:93" x14ac:dyDescent="0.2">
      <c r="A900" t="b">
        <f t="shared" si="580"/>
        <v>0</v>
      </c>
      <c r="B900" s="33">
        <v>873</v>
      </c>
      <c r="C900" s="15">
        <f t="shared" si="581"/>
        <v>20.081305947392778</v>
      </c>
      <c r="D900" s="75">
        <f>C900*(1-PARAM!$C$27)*$I$3+(MOD($B900,60)=PARAM!$B$56)*($B900&gt;(60-PARAM!$B$56))*HLOOKUP(($B900+PARAM!$B$56)/12,Loyalty,2)*$F$1*MAX(F899,0)</f>
        <v>16.808053077967756</v>
      </c>
      <c r="E900" s="75">
        <f>PARAM!$C$26+MAX($G$3-CHOOSE(PARAM!$B$44,MAX(0,F899*$F$1),0),0)*RATES!$L876/12+$H$3*(PARAM!$D$51/12)*RATES!$N876/100</f>
        <v>1190.0416666666667</v>
      </c>
      <c r="F900" s="16">
        <f t="shared" si="582"/>
        <v>-240609.66152100504</v>
      </c>
      <c r="G900" s="15">
        <f t="shared" si="583"/>
        <v>22.035289406060361</v>
      </c>
      <c r="H900" s="75">
        <f>G900*(1-PARAM!$C$27)*$I$4+(MOD($B900,60)=PARAM!$B$56)*($B900&gt;(60-PARAM!$B$56))*HLOOKUP(($B900+PARAM!$B$56)/12,Loyalty,2)*$F$1*MAX(J899,0)</f>
        <v>18.443537232872522</v>
      </c>
      <c r="I900" s="75">
        <f>PARAM!$C$26+MAX($G$4-CHOOSE(PARAM!$B$44,MAX(0,J899*$F$1),0),0)*RATES!$L876/12+$H$4*(PARAM!$D$51/12)*RATES!$N876/100</f>
        <v>1190.0416666666667</v>
      </c>
      <c r="J900" s="16">
        <f t="shared" si="584"/>
        <v>-239148.05088965016</v>
      </c>
      <c r="K900" s="15">
        <f t="shared" si="585"/>
        <v>22.170849845882874</v>
      </c>
      <c r="L900" s="75">
        <f>K900*(1-PARAM!$C$27)*$I$5+(MOD($B900,60)=PARAM!$B$56)*($B900&gt;(60-PARAM!$B$56))*HLOOKUP(($B900+PARAM!$B$56)/12,Loyalty,2)*$F$1*MAX(N899,0)</f>
        <v>18.557001321003963</v>
      </c>
      <c r="M900" s="75">
        <f>PARAM!$C$26+MAX($G$5-CHOOSE(PARAM!$B$44,MAX(0,N899*$F$1),0),0)*RATES!$L876/12+$H$5*(PARAM!$D$51/12)*RATES!$N876/100</f>
        <v>1190.0416666666667</v>
      </c>
      <c r="N900" s="16">
        <f t="shared" si="586"/>
        <v>-239045.97920431246</v>
      </c>
      <c r="O900" s="15">
        <f t="shared" si="587"/>
        <v>22.170849845882874</v>
      </c>
      <c r="P900" s="75">
        <f>O900*(1-PARAM!$C$27)*$I$6+(MOD($B900,60)=PARAM!$B$56)*($B900&gt;(60-PARAM!$B$56))*HLOOKUP(($B900+PARAM!$B$56)/12,Loyalty,2)*$F$1*MAX(R899,0)</f>
        <v>18.557001321003963</v>
      </c>
      <c r="Q900" s="75">
        <f>PARAM!$C$26+MAX($G$6-CHOOSE(PARAM!$B$44,MAX(0,R899*$F$1),0),0)*RATES!$L876/12+$H$6*(PARAM!$D$51/12)*RATES!$N876/100</f>
        <v>1190.0416666666667</v>
      </c>
      <c r="R900" s="16">
        <f t="shared" si="588"/>
        <v>-239045.97920431246</v>
      </c>
      <c r="S900" s="15">
        <f t="shared" si="563"/>
        <v>22.170849845882874</v>
      </c>
      <c r="T900" s="75">
        <f>S900*(1-PARAM!$C$27)*$I$7+(MOD($B900,60)=PARAM!$B$56)*($B900&gt;(60-PARAM!$B$56))*HLOOKUP(($B900+PARAM!$B$56)/12,Loyalty,2)*$F$1*MAX(V899,0)</f>
        <v>18.557001321003963</v>
      </c>
      <c r="U900" s="75">
        <f>PARAM!$C$26+MAX($G$7-CHOOSE(PARAM!$B$44,MAX(0,V899*$F$1),0),0)*RATES!$L876/12+$H$7*(PARAM!$D$51/12)*RATES!$N876/100</f>
        <v>1190.0416666666667</v>
      </c>
      <c r="V900" s="16">
        <f t="shared" si="589"/>
        <v>-239045.97920431246</v>
      </c>
      <c r="W900" s="15">
        <f t="shared" si="564"/>
        <v>22.170849845882874</v>
      </c>
      <c r="X900" s="75">
        <f>W900*(1-PARAM!$C$27)*$I$8+(MOD($B900,60)=PARAM!$B$56)*($B900&gt;(60-PARAM!$B$56))*HLOOKUP(($B900+PARAM!$B$56)/12,Loyalty,2)*$F$1*MAX(Z899,0)</f>
        <v>18.557001321003963</v>
      </c>
      <c r="Y900" s="75">
        <f>PARAM!$C$26+MAX($G$8-CHOOSE(PARAM!$B$44,MAX(0,Z899*$F$1),0),0)*RATES!$L876/12+$H$8*(PARAM!$D$51/12)*RATES!$N876/100</f>
        <v>1190.0416666666667</v>
      </c>
      <c r="Z900" s="16">
        <f t="shared" si="590"/>
        <v>-239045.97920431246</v>
      </c>
      <c r="AA900" s="15">
        <f t="shared" si="565"/>
        <v>22.170849845882874</v>
      </c>
      <c r="AB900" s="75">
        <f>AA900*(1-PARAM!$C$27)*$I$9+(MOD($B900,60)=PARAM!$B$56)*($B900&gt;(60-PARAM!$B$56))*HLOOKUP(($B900+PARAM!$B$56)/12,Loyalty,2)*$F$1*MAX(AD899,0)</f>
        <v>18.557001321003963</v>
      </c>
      <c r="AC900" s="75">
        <f>PARAM!$C$26+MAX($G$9-CHOOSE(PARAM!$B$44,MAX(0,AD899*$F$1),0),0)*RATES!$L876/12+$H$9*(PARAM!$D$51/12)*RATES!$N876/100</f>
        <v>1190.0416666666667</v>
      </c>
      <c r="AD900" s="16">
        <f t="shared" si="591"/>
        <v>-239045.97920431246</v>
      </c>
      <c r="AE900" s="15">
        <f t="shared" si="566"/>
        <v>22.170849845882874</v>
      </c>
      <c r="AF900" s="75">
        <f>AE900*(1-PARAM!$C$27)*$I$10+(MOD($B900,60)=PARAM!$B$56)*($B900&gt;(60-PARAM!$B$56))*HLOOKUP(($B900+PARAM!$B$56)/12,Loyalty,2)*$F$1*MAX(AH899,0)</f>
        <v>18.557001321003963</v>
      </c>
      <c r="AG900" s="75">
        <f>PARAM!$C$26+MAX($G$10-CHOOSE(PARAM!$B$44,MAX(0,AH899*$F$1),0),0)*RATES!$L876/12+$H$10*(PARAM!$D$51/12)*RATES!$N876/100</f>
        <v>1190.0416666666667</v>
      </c>
      <c r="AH900" s="16">
        <f t="shared" si="592"/>
        <v>-239045.97920431246</v>
      </c>
      <c r="AI900" s="15">
        <f t="shared" si="567"/>
        <v>22.170849845882874</v>
      </c>
      <c r="AJ900" s="75">
        <f>AI900*(1-PARAM!$C$27)*$I$11+(MOD($B900,60)=PARAM!$B$56)*($B900&gt;(60-PARAM!$B$56))*HLOOKUP(($B900+PARAM!$B$56)/12,Loyalty,2)*$F$1*MAX(AL899,0)</f>
        <v>18.557001321003963</v>
      </c>
      <c r="AK900" s="75">
        <f>PARAM!$C$26+MAX($G$11-CHOOSE(PARAM!$B$44,MAX(0,AL899*$F$1),0),0)*RATES!$L876/12+$H$11*(PARAM!$D$51/12)*RATES!$N876/100</f>
        <v>1190.0416666666667</v>
      </c>
      <c r="AL900" s="16">
        <f t="shared" si="593"/>
        <v>-239045.97920431246</v>
      </c>
      <c r="AM900" s="15">
        <f t="shared" si="568"/>
        <v>22.170849845882874</v>
      </c>
      <c r="AN900" s="75">
        <f>AM900*(1-PARAM!$C$27)*$I$12+(MOD($B900,60)=PARAM!$B$56)*($B900&gt;(60-PARAM!$B$56))*HLOOKUP(($B900+PARAM!$B$56)/12,Loyalty,2)*$F$1*MAX(AP899,0)</f>
        <v>18.557001321003963</v>
      </c>
      <c r="AO900" s="75">
        <f>PARAM!$C$26+MAX($G$12-CHOOSE(PARAM!$B$44,MAX(0,AP899*$F$1),0),0)*RATES!$L876/12+$H$12*(PARAM!$D$51/12)*RATES!$N876/100</f>
        <v>1190.0416666666667</v>
      </c>
      <c r="AP900" s="16">
        <f t="shared" si="594"/>
        <v>-239045.97920431246</v>
      </c>
      <c r="AQ900" s="15">
        <f t="shared" si="569"/>
        <v>22.170849845882874</v>
      </c>
      <c r="AR900" s="75">
        <f>AQ900*(1-PARAM!$C$27)*$I$13+(MOD($B900,60)=PARAM!$B$56)*($B900&gt;(60-PARAM!$B$56))*HLOOKUP(($B900+PARAM!$B$56)/12,Loyalty,2)*$F$1*MAX(AT899,0)</f>
        <v>18.557001321003963</v>
      </c>
      <c r="AS900" s="75">
        <f>PARAM!$C$26+MAX($G$13-CHOOSE(PARAM!$B$44,MAX(0,AT899*$F$1),0),0)*RATES!$L876/12+$H$13*(PARAM!$D$51/12)*RATES!$N876/100</f>
        <v>1190.0416666666667</v>
      </c>
      <c r="AT900" s="16">
        <f t="shared" si="595"/>
        <v>-239045.97920431246</v>
      </c>
      <c r="AU900" s="15">
        <f t="shared" si="570"/>
        <v>22.170849845882874</v>
      </c>
      <c r="AV900" s="75">
        <f>AU900*(1-PARAM!$C$27)*$I$14+(MOD($B900,60)=PARAM!$B$56)*($B900&gt;(60-PARAM!$B$56))*HLOOKUP(($B900+PARAM!$B$56)/12,Loyalty,2)*$F$1*MAX(AX899,0)</f>
        <v>18.557001321003963</v>
      </c>
      <c r="AW900" s="75">
        <f>PARAM!$C$26+MAX($G$14-CHOOSE(PARAM!$B$44,MAX(0,AX899*$F$1),0),0)*RATES!$L876/12+$H$14*(PARAM!$D$51/12)*RATES!$N876/100</f>
        <v>1190.0416666666667</v>
      </c>
      <c r="AX900" s="16">
        <f t="shared" si="596"/>
        <v>-239045.97920431246</v>
      </c>
      <c r="AY900" s="15">
        <f t="shared" si="571"/>
        <v>22.170849845882874</v>
      </c>
      <c r="AZ900" s="75">
        <f>AY900*(1-PARAM!$C$27)*$I$15+(MOD($B900,60)=PARAM!$B$56)*($B900&gt;(60-PARAM!$B$56))*HLOOKUP(($B900+PARAM!$B$56)/12,Loyalty,2)*$F$1*MAX(BB899,0)</f>
        <v>18.557001321003963</v>
      </c>
      <c r="BA900" s="75">
        <f>PARAM!$C$26+MAX($G$15-CHOOSE(PARAM!$B$44,MAX(0,BB899*$F$1),0),0)*RATES!$L876/12+$H$15*(PARAM!$D$51/12)*RATES!$N876/100</f>
        <v>1190.0416666666667</v>
      </c>
      <c r="BB900" s="16">
        <f t="shared" si="597"/>
        <v>-239045.97920431246</v>
      </c>
      <c r="BC900" s="15">
        <f t="shared" si="572"/>
        <v>22.170849845882874</v>
      </c>
      <c r="BD900" s="75">
        <f>BC900*(1-PARAM!$C$27)*$I$16+(MOD($B900,60)=PARAM!$B$56)*($B900&gt;(60-PARAM!$B$56))*HLOOKUP(($B900+PARAM!$B$56)/12,Loyalty,2)*$F$1*MAX(BF899,0)</f>
        <v>18.557001321003963</v>
      </c>
      <c r="BE900" s="75">
        <f>PARAM!$C$26+MAX($G$16-CHOOSE(PARAM!$B$44,MAX(0,BF899*$F$1),0),0)*RATES!$L876/12+$H$16*(PARAM!$D$51/12)*RATES!$N876/100</f>
        <v>1190.0416666666667</v>
      </c>
      <c r="BF900" s="16">
        <f t="shared" si="598"/>
        <v>-239045.97920431246</v>
      </c>
      <c r="BG900" s="15">
        <f t="shared" si="573"/>
        <v>22.170849845882874</v>
      </c>
      <c r="BH900" s="75">
        <f>BG900*(1-PARAM!$C$27)*$I$17+(MOD($B900,60)=PARAM!$B$56)*($B900&gt;(60-PARAM!$B$56))*HLOOKUP(($B900+PARAM!$B$56)/12,Loyalty,2)*$F$1*MAX(BJ899,0)</f>
        <v>18.557001321003963</v>
      </c>
      <c r="BI900" s="75">
        <f>PARAM!$C$26+MAX($G$17-CHOOSE(PARAM!$B$44,MAX(0,BJ899*$F$1),0),0)*RATES!$L876/12+$H$17*(PARAM!$D$51/12)*RATES!$N876/100</f>
        <v>1190.0416666666667</v>
      </c>
      <c r="BJ900" s="16">
        <f t="shared" si="599"/>
        <v>-239045.97920431246</v>
      </c>
      <c r="BK900" s="15">
        <f t="shared" si="574"/>
        <v>22.170849845882874</v>
      </c>
      <c r="BL900" s="75">
        <f>BK900*(1-PARAM!$C$27)*$I$18+(MOD($B900,60)=PARAM!$B$56)*($B900&gt;(60-PARAM!$B$56))*HLOOKUP(($B900+PARAM!$B$56)/12,Loyalty,2)*$F$1*MAX(BN899,0)</f>
        <v>18.557001321003963</v>
      </c>
      <c r="BM900" s="75">
        <f>PARAM!$C$26+MAX($G$18-CHOOSE(PARAM!$B$44,MAX(0,BN899*$F$1),0),0)*RATES!$L876/12+$H$18*(PARAM!$D$51/12)*RATES!$N876/100</f>
        <v>1190.0416666666667</v>
      </c>
      <c r="BN900" s="16">
        <f t="shared" si="600"/>
        <v>-239045.97920431246</v>
      </c>
      <c r="BO900" s="15">
        <f t="shared" si="575"/>
        <v>22.170849845882874</v>
      </c>
      <c r="BP900" s="75">
        <f>BO900*(1-PARAM!$C$27)*$I$19+(MOD($B900,60)=PARAM!$B$56)*($B900&gt;(60-PARAM!$B$56))*HLOOKUP(($B900+PARAM!$B$56)/12,Loyalty,2)*$F$1*MAX(BR899,0)</f>
        <v>18.557001321003963</v>
      </c>
      <c r="BQ900" s="75">
        <f>PARAM!$C$26+MAX($G$19-CHOOSE(PARAM!$B$44,MAX(0,BR899*$F$1),0),0)*RATES!$L876/12+$H$19*(PARAM!$D$51/12)*RATES!$N876/100</f>
        <v>1190.0416666666667</v>
      </c>
      <c r="BR900" s="16">
        <f t="shared" si="601"/>
        <v>-239045.97920431246</v>
      </c>
      <c r="BS900" s="15">
        <f t="shared" si="576"/>
        <v>22.170849845882874</v>
      </c>
      <c r="BT900" s="75">
        <f>BS900*(1-PARAM!$C$27)*$I$20+(MOD($B900,60)=PARAM!$B$56)*($B900&gt;(60-PARAM!$B$56))*HLOOKUP(($B900+PARAM!$B$56)/12,Loyalty,2)*$F$1*MAX(BV899,0)</f>
        <v>18.557001321003963</v>
      </c>
      <c r="BU900" s="75">
        <f>PARAM!$C$26+MAX($G$20-CHOOSE(PARAM!$B$44,MAX(0,BV899*$F$1),0),0)*RATES!$L876/12+$H$20*(PARAM!$D$51/12)*RATES!$N876/100</f>
        <v>1190.0416666666667</v>
      </c>
      <c r="BV900" s="16">
        <f t="shared" si="602"/>
        <v>-239045.97920431246</v>
      </c>
      <c r="BW900" s="15">
        <f t="shared" si="577"/>
        <v>22.170849845882874</v>
      </c>
      <c r="BX900" s="75">
        <f>BW900*(1-PARAM!$C$27)*$I$21+(MOD($B900,60)=PARAM!$B$56)*($B900&gt;(60-PARAM!$B$56))*HLOOKUP(($B900+PARAM!$B$56)/12,Loyalty,2)*$F$1*MAX(BZ899,0)</f>
        <v>18.557001321003963</v>
      </c>
      <c r="BY900" s="75">
        <f>PARAM!$C$26+MAX($G$21-CHOOSE(PARAM!$B$44,MAX(0,BZ899*$F$1),0),0)*RATES!$L876/12+$H$21*(PARAM!$D$51/12)*RATES!$N876/100</f>
        <v>1190.0416666666667</v>
      </c>
      <c r="BZ900" s="16">
        <f t="shared" si="603"/>
        <v>-239045.97920431246</v>
      </c>
      <c r="CA900" s="15">
        <f t="shared" si="578"/>
        <v>22.170849845882874</v>
      </c>
      <c r="CB900" s="75">
        <f>CA900*(1-PARAM!$C$27)*$I$22+(MOD($B900,60)=PARAM!$B$56)*($B900&gt;(60-PARAM!$B$56))*HLOOKUP(($B900+PARAM!$B$56)/12,Loyalty,2)*$F$1*MAX(CD899,0)</f>
        <v>18.557001321003963</v>
      </c>
      <c r="CC900" s="75">
        <f>PARAM!$C$26+MAX($G$22-CHOOSE(PARAM!$B$44,MAX(0,CD899*$F$1),0),0)*RATES!$L876/12+$H$22*(PARAM!$D$51/12)*RATES!$N876/100</f>
        <v>1190.0416666666667</v>
      </c>
      <c r="CD900" s="16">
        <f t="shared" si="604"/>
        <v>-239045.97920431246</v>
      </c>
      <c r="CE900" s="33">
        <f>IF(0=MOD(B900,12/PARAM!$D$51),1,0)</f>
        <v>1</v>
      </c>
      <c r="CF900" s="15">
        <f t="shared" si="579"/>
        <v>0</v>
      </c>
      <c r="CG900" s="75">
        <f>CF900*(1-PARAM!$C$27)*$R$3+(MOD($B900/12,5)=0)*($B900&gt;60)*HLOOKUP($B900/12,Loyalty,2)*$F$1*MAX(CI899,0)</f>
        <v>0</v>
      </c>
      <c r="CH900" s="75">
        <f>PARAM!$C$26+MAX($P$3-CHOOSE(PARAM!$B$44,MAX(0,CI899*$F$1),0),0)*RATES!$L876/12+$Q$3*(PARAM!$D$51/12)*RATES!$N876/100</f>
        <v>1190.0416666666667</v>
      </c>
      <c r="CI900" s="16">
        <f>IF(CI899&gt;0,CI899*PARAM!$C$53,CI899)+CG900-CH900</f>
        <v>-255126.66666666634</v>
      </c>
      <c r="CJ900" s="15">
        <f t="shared" si="605"/>
        <v>0</v>
      </c>
      <c r="CK900" s="75">
        <f>CJ900*(1-PARAM!$C$27)*$R$4+(MOD($B900/12,5)=0)*($B900&gt;60)*HLOOKUP($B900/12,Loyalty,2)*$F$1*MAX(CM899,0)</f>
        <v>0</v>
      </c>
      <c r="CL900" s="75">
        <f>PARAM!$C$26+MAX($P$4-CHOOSE(PARAM!$B$44,MAX(0,CM899*$F$1),0),0)*RATES!$L876/12+$Q$4*(PARAM!$D$51/12)*RATES!$N876/100</f>
        <v>1190.0416666666667</v>
      </c>
      <c r="CM900" s="16">
        <f>IF(CM899&gt;0,CM899*PARAM!$C$53,CM899)+CK900-CL900</f>
        <v>-255126.66666666634</v>
      </c>
      <c r="CO900" s="176"/>
    </row>
    <row r="901" spans="1:93" x14ac:dyDescent="0.2">
      <c r="A901" t="b">
        <f t="shared" si="580"/>
        <v>0</v>
      </c>
      <c r="B901" s="33">
        <v>874</v>
      </c>
      <c r="C901" s="15">
        <f t="shared" si="581"/>
        <v>20.081305947392778</v>
      </c>
      <c r="D901" s="75">
        <f>C901*(1-PARAM!$C$27)*$I$3+(MOD($B901,60)=PARAM!$B$56)*($B901&gt;(60-PARAM!$B$56))*HLOOKUP(($B901+PARAM!$B$56)/12,Loyalty,2)*$F$1*MAX(F900,0)</f>
        <v>16.808053077967756</v>
      </c>
      <c r="E901" s="75">
        <f>PARAM!$C$26+MAX($G$3-CHOOSE(PARAM!$B$44,MAX(0,F900*$F$1),0),0)*RATES!$L877/12+$H$3*(PARAM!$D$51/12)*RATES!$N877/100</f>
        <v>1190.0416666666667</v>
      </c>
      <c r="F901" s="16">
        <f t="shared" si="582"/>
        <v>-241782.89513459374</v>
      </c>
      <c r="G901" s="15">
        <f t="shared" si="583"/>
        <v>22.035289406060361</v>
      </c>
      <c r="H901" s="75">
        <f>G901*(1-PARAM!$C$27)*$I$4+(MOD($B901,60)=PARAM!$B$56)*($B901&gt;(60-PARAM!$B$56))*HLOOKUP(($B901+PARAM!$B$56)/12,Loyalty,2)*$F$1*MAX(J900,0)</f>
        <v>18.443537232872522</v>
      </c>
      <c r="I901" s="75">
        <f>PARAM!$C$26+MAX($G$4-CHOOSE(PARAM!$B$44,MAX(0,J900*$F$1),0),0)*RATES!$L877/12+$H$4*(PARAM!$D$51/12)*RATES!$N877/100</f>
        <v>1190.0416666666667</v>
      </c>
      <c r="J901" s="16">
        <f t="shared" si="584"/>
        <v>-240319.64901908394</v>
      </c>
      <c r="K901" s="15">
        <f t="shared" si="585"/>
        <v>22.170849845882874</v>
      </c>
      <c r="L901" s="75">
        <f>K901*(1-PARAM!$C$27)*$I$5+(MOD($B901,60)=PARAM!$B$56)*($B901&gt;(60-PARAM!$B$56))*HLOOKUP(($B901+PARAM!$B$56)/12,Loyalty,2)*$F$1*MAX(N900,0)</f>
        <v>18.557001321003963</v>
      </c>
      <c r="M901" s="75">
        <f>PARAM!$C$26+MAX($G$5-CHOOSE(PARAM!$B$44,MAX(0,N900*$F$1),0),0)*RATES!$L877/12+$H$5*(PARAM!$D$51/12)*RATES!$N877/100</f>
        <v>1190.0416666666667</v>
      </c>
      <c r="N901" s="16">
        <f t="shared" si="586"/>
        <v>-240217.46386965812</v>
      </c>
      <c r="O901" s="15">
        <f t="shared" si="587"/>
        <v>22.170849845882874</v>
      </c>
      <c r="P901" s="75">
        <f>O901*(1-PARAM!$C$27)*$I$6+(MOD($B901,60)=PARAM!$B$56)*($B901&gt;(60-PARAM!$B$56))*HLOOKUP(($B901+PARAM!$B$56)/12,Loyalty,2)*$F$1*MAX(R900,0)</f>
        <v>18.557001321003963</v>
      </c>
      <c r="Q901" s="75">
        <f>PARAM!$C$26+MAX($G$6-CHOOSE(PARAM!$B$44,MAX(0,R900*$F$1),0),0)*RATES!$L877/12+$H$6*(PARAM!$D$51/12)*RATES!$N877/100</f>
        <v>1190.0416666666667</v>
      </c>
      <c r="R901" s="16">
        <f t="shared" si="588"/>
        <v>-240217.46386965812</v>
      </c>
      <c r="S901" s="15">
        <f t="shared" si="563"/>
        <v>22.170849845882874</v>
      </c>
      <c r="T901" s="75">
        <f>S901*(1-PARAM!$C$27)*$I$7+(MOD($B901,60)=PARAM!$B$56)*($B901&gt;(60-PARAM!$B$56))*HLOOKUP(($B901+PARAM!$B$56)/12,Loyalty,2)*$F$1*MAX(V900,0)</f>
        <v>18.557001321003963</v>
      </c>
      <c r="U901" s="75">
        <f>PARAM!$C$26+MAX($G$7-CHOOSE(PARAM!$B$44,MAX(0,V900*$F$1),0),0)*RATES!$L877/12+$H$7*(PARAM!$D$51/12)*RATES!$N877/100</f>
        <v>1190.0416666666667</v>
      </c>
      <c r="V901" s="16">
        <f t="shared" si="589"/>
        <v>-240217.46386965812</v>
      </c>
      <c r="W901" s="15">
        <f t="shared" si="564"/>
        <v>22.170849845882874</v>
      </c>
      <c r="X901" s="75">
        <f>W901*(1-PARAM!$C$27)*$I$8+(MOD($B901,60)=PARAM!$B$56)*($B901&gt;(60-PARAM!$B$56))*HLOOKUP(($B901+PARAM!$B$56)/12,Loyalty,2)*$F$1*MAX(Z900,0)</f>
        <v>18.557001321003963</v>
      </c>
      <c r="Y901" s="75">
        <f>PARAM!$C$26+MAX($G$8-CHOOSE(PARAM!$B$44,MAX(0,Z900*$F$1),0),0)*RATES!$L877/12+$H$8*(PARAM!$D$51/12)*RATES!$N877/100</f>
        <v>1190.0416666666667</v>
      </c>
      <c r="Z901" s="16">
        <f t="shared" si="590"/>
        <v>-240217.46386965812</v>
      </c>
      <c r="AA901" s="15">
        <f t="shared" si="565"/>
        <v>22.170849845882874</v>
      </c>
      <c r="AB901" s="75">
        <f>AA901*(1-PARAM!$C$27)*$I$9+(MOD($B901,60)=PARAM!$B$56)*($B901&gt;(60-PARAM!$B$56))*HLOOKUP(($B901+PARAM!$B$56)/12,Loyalty,2)*$F$1*MAX(AD900,0)</f>
        <v>18.557001321003963</v>
      </c>
      <c r="AC901" s="75">
        <f>PARAM!$C$26+MAX($G$9-CHOOSE(PARAM!$B$44,MAX(0,AD900*$F$1),0),0)*RATES!$L877/12+$H$9*(PARAM!$D$51/12)*RATES!$N877/100</f>
        <v>1190.0416666666667</v>
      </c>
      <c r="AD901" s="16">
        <f t="shared" si="591"/>
        <v>-240217.46386965812</v>
      </c>
      <c r="AE901" s="15">
        <f t="shared" si="566"/>
        <v>22.170849845882874</v>
      </c>
      <c r="AF901" s="75">
        <f>AE901*(1-PARAM!$C$27)*$I$10+(MOD($B901,60)=PARAM!$B$56)*($B901&gt;(60-PARAM!$B$56))*HLOOKUP(($B901+PARAM!$B$56)/12,Loyalty,2)*$F$1*MAX(AH900,0)</f>
        <v>18.557001321003963</v>
      </c>
      <c r="AG901" s="75">
        <f>PARAM!$C$26+MAX($G$10-CHOOSE(PARAM!$B$44,MAX(0,AH900*$F$1),0),0)*RATES!$L877/12+$H$10*(PARAM!$D$51/12)*RATES!$N877/100</f>
        <v>1190.0416666666667</v>
      </c>
      <c r="AH901" s="16">
        <f t="shared" si="592"/>
        <v>-240217.46386965812</v>
      </c>
      <c r="AI901" s="15">
        <f t="shared" si="567"/>
        <v>22.170849845882874</v>
      </c>
      <c r="AJ901" s="75">
        <f>AI901*(1-PARAM!$C$27)*$I$11+(MOD($B901,60)=PARAM!$B$56)*($B901&gt;(60-PARAM!$B$56))*HLOOKUP(($B901+PARAM!$B$56)/12,Loyalty,2)*$F$1*MAX(AL900,0)</f>
        <v>18.557001321003963</v>
      </c>
      <c r="AK901" s="75">
        <f>PARAM!$C$26+MAX($G$11-CHOOSE(PARAM!$B$44,MAX(0,AL900*$F$1),0),0)*RATES!$L877/12+$H$11*(PARAM!$D$51/12)*RATES!$N877/100</f>
        <v>1190.0416666666667</v>
      </c>
      <c r="AL901" s="16">
        <f t="shared" si="593"/>
        <v>-240217.46386965812</v>
      </c>
      <c r="AM901" s="15">
        <f t="shared" si="568"/>
        <v>22.170849845882874</v>
      </c>
      <c r="AN901" s="75">
        <f>AM901*(1-PARAM!$C$27)*$I$12+(MOD($B901,60)=PARAM!$B$56)*($B901&gt;(60-PARAM!$B$56))*HLOOKUP(($B901+PARAM!$B$56)/12,Loyalty,2)*$F$1*MAX(AP900,0)</f>
        <v>18.557001321003963</v>
      </c>
      <c r="AO901" s="75">
        <f>PARAM!$C$26+MAX($G$12-CHOOSE(PARAM!$B$44,MAX(0,AP900*$F$1),0),0)*RATES!$L877/12+$H$12*(PARAM!$D$51/12)*RATES!$N877/100</f>
        <v>1190.0416666666667</v>
      </c>
      <c r="AP901" s="16">
        <f t="shared" si="594"/>
        <v>-240217.46386965812</v>
      </c>
      <c r="AQ901" s="15">
        <f t="shared" si="569"/>
        <v>22.170849845882874</v>
      </c>
      <c r="AR901" s="75">
        <f>AQ901*(1-PARAM!$C$27)*$I$13+(MOD($B901,60)=PARAM!$B$56)*($B901&gt;(60-PARAM!$B$56))*HLOOKUP(($B901+PARAM!$B$56)/12,Loyalty,2)*$F$1*MAX(AT900,0)</f>
        <v>18.557001321003963</v>
      </c>
      <c r="AS901" s="75">
        <f>PARAM!$C$26+MAX($G$13-CHOOSE(PARAM!$B$44,MAX(0,AT900*$F$1),0),0)*RATES!$L877/12+$H$13*(PARAM!$D$51/12)*RATES!$N877/100</f>
        <v>1190.0416666666667</v>
      </c>
      <c r="AT901" s="16">
        <f t="shared" si="595"/>
        <v>-240217.46386965812</v>
      </c>
      <c r="AU901" s="15">
        <f t="shared" si="570"/>
        <v>22.170849845882874</v>
      </c>
      <c r="AV901" s="75">
        <f>AU901*(1-PARAM!$C$27)*$I$14+(MOD($B901,60)=PARAM!$B$56)*($B901&gt;(60-PARAM!$B$56))*HLOOKUP(($B901+PARAM!$B$56)/12,Loyalty,2)*$F$1*MAX(AX900,0)</f>
        <v>18.557001321003963</v>
      </c>
      <c r="AW901" s="75">
        <f>PARAM!$C$26+MAX($G$14-CHOOSE(PARAM!$B$44,MAX(0,AX900*$F$1),0),0)*RATES!$L877/12+$H$14*(PARAM!$D$51/12)*RATES!$N877/100</f>
        <v>1190.0416666666667</v>
      </c>
      <c r="AX901" s="16">
        <f t="shared" si="596"/>
        <v>-240217.46386965812</v>
      </c>
      <c r="AY901" s="15">
        <f t="shared" si="571"/>
        <v>22.170849845882874</v>
      </c>
      <c r="AZ901" s="75">
        <f>AY901*(1-PARAM!$C$27)*$I$15+(MOD($B901,60)=PARAM!$B$56)*($B901&gt;(60-PARAM!$B$56))*HLOOKUP(($B901+PARAM!$B$56)/12,Loyalty,2)*$F$1*MAX(BB900,0)</f>
        <v>18.557001321003963</v>
      </c>
      <c r="BA901" s="75">
        <f>PARAM!$C$26+MAX($G$15-CHOOSE(PARAM!$B$44,MAX(0,BB900*$F$1),0),0)*RATES!$L877/12+$H$15*(PARAM!$D$51/12)*RATES!$N877/100</f>
        <v>1190.0416666666667</v>
      </c>
      <c r="BB901" s="16">
        <f t="shared" si="597"/>
        <v>-240217.46386965812</v>
      </c>
      <c r="BC901" s="15">
        <f t="shared" si="572"/>
        <v>22.170849845882874</v>
      </c>
      <c r="BD901" s="75">
        <f>BC901*(1-PARAM!$C$27)*$I$16+(MOD($B901,60)=PARAM!$B$56)*($B901&gt;(60-PARAM!$B$56))*HLOOKUP(($B901+PARAM!$B$56)/12,Loyalty,2)*$F$1*MAX(BF900,0)</f>
        <v>18.557001321003963</v>
      </c>
      <c r="BE901" s="75">
        <f>PARAM!$C$26+MAX($G$16-CHOOSE(PARAM!$B$44,MAX(0,BF900*$F$1),0),0)*RATES!$L877/12+$H$16*(PARAM!$D$51/12)*RATES!$N877/100</f>
        <v>1190.0416666666667</v>
      </c>
      <c r="BF901" s="16">
        <f t="shared" si="598"/>
        <v>-240217.46386965812</v>
      </c>
      <c r="BG901" s="15">
        <f t="shared" si="573"/>
        <v>22.170849845882874</v>
      </c>
      <c r="BH901" s="75">
        <f>BG901*(1-PARAM!$C$27)*$I$17+(MOD($B901,60)=PARAM!$B$56)*($B901&gt;(60-PARAM!$B$56))*HLOOKUP(($B901+PARAM!$B$56)/12,Loyalty,2)*$F$1*MAX(BJ900,0)</f>
        <v>18.557001321003963</v>
      </c>
      <c r="BI901" s="75">
        <f>PARAM!$C$26+MAX($G$17-CHOOSE(PARAM!$B$44,MAX(0,BJ900*$F$1),0),0)*RATES!$L877/12+$H$17*(PARAM!$D$51/12)*RATES!$N877/100</f>
        <v>1190.0416666666667</v>
      </c>
      <c r="BJ901" s="16">
        <f t="shared" si="599"/>
        <v>-240217.46386965812</v>
      </c>
      <c r="BK901" s="15">
        <f t="shared" si="574"/>
        <v>22.170849845882874</v>
      </c>
      <c r="BL901" s="75">
        <f>BK901*(1-PARAM!$C$27)*$I$18+(MOD($B901,60)=PARAM!$B$56)*($B901&gt;(60-PARAM!$B$56))*HLOOKUP(($B901+PARAM!$B$56)/12,Loyalty,2)*$F$1*MAX(BN900,0)</f>
        <v>18.557001321003963</v>
      </c>
      <c r="BM901" s="75">
        <f>PARAM!$C$26+MAX($G$18-CHOOSE(PARAM!$B$44,MAX(0,BN900*$F$1),0),0)*RATES!$L877/12+$H$18*(PARAM!$D$51/12)*RATES!$N877/100</f>
        <v>1190.0416666666667</v>
      </c>
      <c r="BN901" s="16">
        <f t="shared" si="600"/>
        <v>-240217.46386965812</v>
      </c>
      <c r="BO901" s="15">
        <f t="shared" si="575"/>
        <v>22.170849845882874</v>
      </c>
      <c r="BP901" s="75">
        <f>BO901*(1-PARAM!$C$27)*$I$19+(MOD($B901,60)=PARAM!$B$56)*($B901&gt;(60-PARAM!$B$56))*HLOOKUP(($B901+PARAM!$B$56)/12,Loyalty,2)*$F$1*MAX(BR900,0)</f>
        <v>18.557001321003963</v>
      </c>
      <c r="BQ901" s="75">
        <f>PARAM!$C$26+MAX($G$19-CHOOSE(PARAM!$B$44,MAX(0,BR900*$F$1),0),0)*RATES!$L877/12+$H$19*(PARAM!$D$51/12)*RATES!$N877/100</f>
        <v>1190.0416666666667</v>
      </c>
      <c r="BR901" s="16">
        <f t="shared" si="601"/>
        <v>-240217.46386965812</v>
      </c>
      <c r="BS901" s="15">
        <f t="shared" si="576"/>
        <v>22.170849845882874</v>
      </c>
      <c r="BT901" s="75">
        <f>BS901*(1-PARAM!$C$27)*$I$20+(MOD($B901,60)=PARAM!$B$56)*($B901&gt;(60-PARAM!$B$56))*HLOOKUP(($B901+PARAM!$B$56)/12,Loyalty,2)*$F$1*MAX(BV900,0)</f>
        <v>18.557001321003963</v>
      </c>
      <c r="BU901" s="75">
        <f>PARAM!$C$26+MAX($G$20-CHOOSE(PARAM!$B$44,MAX(0,BV900*$F$1),0),0)*RATES!$L877/12+$H$20*(PARAM!$D$51/12)*RATES!$N877/100</f>
        <v>1190.0416666666667</v>
      </c>
      <c r="BV901" s="16">
        <f t="shared" si="602"/>
        <v>-240217.46386965812</v>
      </c>
      <c r="BW901" s="15">
        <f t="shared" si="577"/>
        <v>22.170849845882874</v>
      </c>
      <c r="BX901" s="75">
        <f>BW901*(1-PARAM!$C$27)*$I$21+(MOD($B901,60)=PARAM!$B$56)*($B901&gt;(60-PARAM!$B$56))*HLOOKUP(($B901+PARAM!$B$56)/12,Loyalty,2)*$F$1*MAX(BZ900,0)</f>
        <v>18.557001321003963</v>
      </c>
      <c r="BY901" s="75">
        <f>PARAM!$C$26+MAX($G$21-CHOOSE(PARAM!$B$44,MAX(0,BZ900*$F$1),0),0)*RATES!$L877/12+$H$21*(PARAM!$D$51/12)*RATES!$N877/100</f>
        <v>1190.0416666666667</v>
      </c>
      <c r="BZ901" s="16">
        <f t="shared" si="603"/>
        <v>-240217.46386965812</v>
      </c>
      <c r="CA901" s="15">
        <f t="shared" si="578"/>
        <v>22.170849845882874</v>
      </c>
      <c r="CB901" s="75">
        <f>CA901*(1-PARAM!$C$27)*$I$22+(MOD($B901,60)=PARAM!$B$56)*($B901&gt;(60-PARAM!$B$56))*HLOOKUP(($B901+PARAM!$B$56)/12,Loyalty,2)*$F$1*MAX(CD900,0)</f>
        <v>18.557001321003963</v>
      </c>
      <c r="CC901" s="75">
        <f>PARAM!$C$26+MAX($G$22-CHOOSE(PARAM!$B$44,MAX(0,CD900*$F$1),0),0)*RATES!$L877/12+$H$22*(PARAM!$D$51/12)*RATES!$N877/100</f>
        <v>1190.0416666666667</v>
      </c>
      <c r="CD901" s="16">
        <f t="shared" si="604"/>
        <v>-240217.46386965812</v>
      </c>
      <c r="CE901" s="33">
        <f>IF(0=MOD(B901,12/PARAM!$D$51),1,0)</f>
        <v>1</v>
      </c>
      <c r="CF901" s="15">
        <f t="shared" si="579"/>
        <v>0</v>
      </c>
      <c r="CG901" s="75">
        <f>CF901*(1-PARAM!$C$27)*$R$3+(MOD($B901/12,5)=0)*($B901&gt;60)*HLOOKUP($B901/12,Loyalty,2)*$F$1*MAX(CI900,0)</f>
        <v>0</v>
      </c>
      <c r="CH901" s="75">
        <f>PARAM!$C$26+MAX($P$3-CHOOSE(PARAM!$B$44,MAX(0,CI900*$F$1),0),0)*RATES!$L877/12+$Q$3*(PARAM!$D$51/12)*RATES!$N877/100</f>
        <v>1190.0416666666667</v>
      </c>
      <c r="CI901" s="16">
        <f>IF(CI900&gt;0,CI900*PARAM!$C$53,CI900)+CG901-CH901</f>
        <v>-256316.70833333299</v>
      </c>
      <c r="CJ901" s="15">
        <f t="shared" si="605"/>
        <v>0</v>
      </c>
      <c r="CK901" s="75">
        <f>CJ901*(1-PARAM!$C$27)*$R$4+(MOD($B901/12,5)=0)*($B901&gt;60)*HLOOKUP($B901/12,Loyalty,2)*$F$1*MAX(CM900,0)</f>
        <v>0</v>
      </c>
      <c r="CL901" s="75">
        <f>PARAM!$C$26+MAX($P$4-CHOOSE(PARAM!$B$44,MAX(0,CM900*$F$1),0),0)*RATES!$L877/12+$Q$4*(PARAM!$D$51/12)*RATES!$N877/100</f>
        <v>1190.0416666666667</v>
      </c>
      <c r="CM901" s="16">
        <f>IF(CM900&gt;0,CM900*PARAM!$C$53,CM900)+CK901-CL901</f>
        <v>-256316.70833333299</v>
      </c>
      <c r="CO901" s="176"/>
    </row>
    <row r="902" spans="1:93" x14ac:dyDescent="0.2">
      <c r="A902" t="b">
        <f t="shared" si="580"/>
        <v>0</v>
      </c>
      <c r="B902" s="33">
        <v>875</v>
      </c>
      <c r="C902" s="15">
        <f t="shared" si="581"/>
        <v>20.081305947392778</v>
      </c>
      <c r="D902" s="75">
        <f>C902*(1-PARAM!$C$27)*$I$3+(MOD($B902,60)=PARAM!$B$56)*($B902&gt;(60-PARAM!$B$56))*HLOOKUP(($B902+PARAM!$B$56)/12,Loyalty,2)*$F$1*MAX(F901,0)</f>
        <v>16.808053077967756</v>
      </c>
      <c r="E902" s="75">
        <f>PARAM!$C$26+MAX($G$3-CHOOSE(PARAM!$B$44,MAX(0,F901*$F$1),0),0)*RATES!$L878/12+$H$3*(PARAM!$D$51/12)*RATES!$N878/100</f>
        <v>1190.0416666666667</v>
      </c>
      <c r="F902" s="16">
        <f t="shared" si="582"/>
        <v>-242956.12874818244</v>
      </c>
      <c r="G902" s="15">
        <f t="shared" si="583"/>
        <v>22.035289406060361</v>
      </c>
      <c r="H902" s="75">
        <f>G902*(1-PARAM!$C$27)*$I$4+(MOD($B902,60)=PARAM!$B$56)*($B902&gt;(60-PARAM!$B$56))*HLOOKUP(($B902+PARAM!$B$56)/12,Loyalty,2)*$F$1*MAX(J901,0)</f>
        <v>18.443537232872522</v>
      </c>
      <c r="I902" s="75">
        <f>PARAM!$C$26+MAX($G$4-CHOOSE(PARAM!$B$44,MAX(0,J901*$F$1),0),0)*RATES!$L878/12+$H$4*(PARAM!$D$51/12)*RATES!$N878/100</f>
        <v>1190.0416666666667</v>
      </c>
      <c r="J902" s="16">
        <f t="shared" si="584"/>
        <v>-241491.24714851772</v>
      </c>
      <c r="K902" s="15">
        <f t="shared" si="585"/>
        <v>22.170849845882874</v>
      </c>
      <c r="L902" s="75">
        <f>K902*(1-PARAM!$C$27)*$I$5+(MOD($B902,60)=PARAM!$B$56)*($B902&gt;(60-PARAM!$B$56))*HLOOKUP(($B902+PARAM!$B$56)/12,Loyalty,2)*$F$1*MAX(N901,0)</f>
        <v>18.557001321003963</v>
      </c>
      <c r="M902" s="75">
        <f>PARAM!$C$26+MAX($G$5-CHOOSE(PARAM!$B$44,MAX(0,N901*$F$1),0),0)*RATES!$L878/12+$H$5*(PARAM!$D$51/12)*RATES!$N878/100</f>
        <v>1190.0416666666667</v>
      </c>
      <c r="N902" s="16">
        <f t="shared" si="586"/>
        <v>-241388.94853500379</v>
      </c>
      <c r="O902" s="15">
        <f t="shared" si="587"/>
        <v>22.170849845882874</v>
      </c>
      <c r="P902" s="75">
        <f>O902*(1-PARAM!$C$27)*$I$6+(MOD($B902,60)=PARAM!$B$56)*($B902&gt;(60-PARAM!$B$56))*HLOOKUP(($B902+PARAM!$B$56)/12,Loyalty,2)*$F$1*MAX(R901,0)</f>
        <v>18.557001321003963</v>
      </c>
      <c r="Q902" s="75">
        <f>PARAM!$C$26+MAX($G$6-CHOOSE(PARAM!$B$44,MAX(0,R901*$F$1),0),0)*RATES!$L878/12+$H$6*(PARAM!$D$51/12)*RATES!$N878/100</f>
        <v>1190.0416666666667</v>
      </c>
      <c r="R902" s="16">
        <f t="shared" si="588"/>
        <v>-241388.94853500379</v>
      </c>
      <c r="S902" s="15">
        <f t="shared" si="563"/>
        <v>22.170849845882874</v>
      </c>
      <c r="T902" s="75">
        <f>S902*(1-PARAM!$C$27)*$I$7+(MOD($B902,60)=PARAM!$B$56)*($B902&gt;(60-PARAM!$B$56))*HLOOKUP(($B902+PARAM!$B$56)/12,Loyalty,2)*$F$1*MAX(V901,0)</f>
        <v>18.557001321003963</v>
      </c>
      <c r="U902" s="75">
        <f>PARAM!$C$26+MAX($G$7-CHOOSE(PARAM!$B$44,MAX(0,V901*$F$1),0),0)*RATES!$L878/12+$H$7*(PARAM!$D$51/12)*RATES!$N878/100</f>
        <v>1190.0416666666667</v>
      </c>
      <c r="V902" s="16">
        <f t="shared" si="589"/>
        <v>-241388.94853500379</v>
      </c>
      <c r="W902" s="15">
        <f t="shared" si="564"/>
        <v>22.170849845882874</v>
      </c>
      <c r="X902" s="75">
        <f>W902*(1-PARAM!$C$27)*$I$8+(MOD($B902,60)=PARAM!$B$56)*($B902&gt;(60-PARAM!$B$56))*HLOOKUP(($B902+PARAM!$B$56)/12,Loyalty,2)*$F$1*MAX(Z901,0)</f>
        <v>18.557001321003963</v>
      </c>
      <c r="Y902" s="75">
        <f>PARAM!$C$26+MAX($G$8-CHOOSE(PARAM!$B$44,MAX(0,Z901*$F$1),0),0)*RATES!$L878/12+$H$8*(PARAM!$D$51/12)*RATES!$N878/100</f>
        <v>1190.0416666666667</v>
      </c>
      <c r="Z902" s="16">
        <f t="shared" si="590"/>
        <v>-241388.94853500379</v>
      </c>
      <c r="AA902" s="15">
        <f t="shared" si="565"/>
        <v>22.170849845882874</v>
      </c>
      <c r="AB902" s="75">
        <f>AA902*(1-PARAM!$C$27)*$I$9+(MOD($B902,60)=PARAM!$B$56)*($B902&gt;(60-PARAM!$B$56))*HLOOKUP(($B902+PARAM!$B$56)/12,Loyalty,2)*$F$1*MAX(AD901,0)</f>
        <v>18.557001321003963</v>
      </c>
      <c r="AC902" s="75">
        <f>PARAM!$C$26+MAX($G$9-CHOOSE(PARAM!$B$44,MAX(0,AD901*$F$1),0),0)*RATES!$L878/12+$H$9*(PARAM!$D$51/12)*RATES!$N878/100</f>
        <v>1190.0416666666667</v>
      </c>
      <c r="AD902" s="16">
        <f t="shared" si="591"/>
        <v>-241388.94853500379</v>
      </c>
      <c r="AE902" s="15">
        <f t="shared" si="566"/>
        <v>22.170849845882874</v>
      </c>
      <c r="AF902" s="75">
        <f>AE902*(1-PARAM!$C$27)*$I$10+(MOD($B902,60)=PARAM!$B$56)*($B902&gt;(60-PARAM!$B$56))*HLOOKUP(($B902+PARAM!$B$56)/12,Loyalty,2)*$F$1*MAX(AH901,0)</f>
        <v>18.557001321003963</v>
      </c>
      <c r="AG902" s="75">
        <f>PARAM!$C$26+MAX($G$10-CHOOSE(PARAM!$B$44,MAX(0,AH901*$F$1),0),0)*RATES!$L878/12+$H$10*(PARAM!$D$51/12)*RATES!$N878/100</f>
        <v>1190.0416666666667</v>
      </c>
      <c r="AH902" s="16">
        <f t="shared" si="592"/>
        <v>-241388.94853500379</v>
      </c>
      <c r="AI902" s="15">
        <f t="shared" si="567"/>
        <v>22.170849845882874</v>
      </c>
      <c r="AJ902" s="75">
        <f>AI902*(1-PARAM!$C$27)*$I$11+(MOD($B902,60)=PARAM!$B$56)*($B902&gt;(60-PARAM!$B$56))*HLOOKUP(($B902+PARAM!$B$56)/12,Loyalty,2)*$F$1*MAX(AL901,0)</f>
        <v>18.557001321003963</v>
      </c>
      <c r="AK902" s="75">
        <f>PARAM!$C$26+MAX($G$11-CHOOSE(PARAM!$B$44,MAX(0,AL901*$F$1),0),0)*RATES!$L878/12+$H$11*(PARAM!$D$51/12)*RATES!$N878/100</f>
        <v>1190.0416666666667</v>
      </c>
      <c r="AL902" s="16">
        <f t="shared" si="593"/>
        <v>-241388.94853500379</v>
      </c>
      <c r="AM902" s="15">
        <f t="shared" si="568"/>
        <v>22.170849845882874</v>
      </c>
      <c r="AN902" s="75">
        <f>AM902*(1-PARAM!$C$27)*$I$12+(MOD($B902,60)=PARAM!$B$56)*($B902&gt;(60-PARAM!$B$56))*HLOOKUP(($B902+PARAM!$B$56)/12,Loyalty,2)*$F$1*MAX(AP901,0)</f>
        <v>18.557001321003963</v>
      </c>
      <c r="AO902" s="75">
        <f>PARAM!$C$26+MAX($G$12-CHOOSE(PARAM!$B$44,MAX(0,AP901*$F$1),0),0)*RATES!$L878/12+$H$12*(PARAM!$D$51/12)*RATES!$N878/100</f>
        <v>1190.0416666666667</v>
      </c>
      <c r="AP902" s="16">
        <f t="shared" si="594"/>
        <v>-241388.94853500379</v>
      </c>
      <c r="AQ902" s="15">
        <f t="shared" si="569"/>
        <v>22.170849845882874</v>
      </c>
      <c r="AR902" s="75">
        <f>AQ902*(1-PARAM!$C$27)*$I$13+(MOD($B902,60)=PARAM!$B$56)*($B902&gt;(60-PARAM!$B$56))*HLOOKUP(($B902+PARAM!$B$56)/12,Loyalty,2)*$F$1*MAX(AT901,0)</f>
        <v>18.557001321003963</v>
      </c>
      <c r="AS902" s="75">
        <f>PARAM!$C$26+MAX($G$13-CHOOSE(PARAM!$B$44,MAX(0,AT901*$F$1),0),0)*RATES!$L878/12+$H$13*(PARAM!$D$51/12)*RATES!$N878/100</f>
        <v>1190.0416666666667</v>
      </c>
      <c r="AT902" s="16">
        <f t="shared" si="595"/>
        <v>-241388.94853500379</v>
      </c>
      <c r="AU902" s="15">
        <f t="shared" si="570"/>
        <v>22.170849845882874</v>
      </c>
      <c r="AV902" s="75">
        <f>AU902*(1-PARAM!$C$27)*$I$14+(MOD($B902,60)=PARAM!$B$56)*($B902&gt;(60-PARAM!$B$56))*HLOOKUP(($B902+PARAM!$B$56)/12,Loyalty,2)*$F$1*MAX(AX901,0)</f>
        <v>18.557001321003963</v>
      </c>
      <c r="AW902" s="75">
        <f>PARAM!$C$26+MAX($G$14-CHOOSE(PARAM!$B$44,MAX(0,AX901*$F$1),0),0)*RATES!$L878/12+$H$14*(PARAM!$D$51/12)*RATES!$N878/100</f>
        <v>1190.0416666666667</v>
      </c>
      <c r="AX902" s="16">
        <f t="shared" si="596"/>
        <v>-241388.94853500379</v>
      </c>
      <c r="AY902" s="15">
        <f t="shared" si="571"/>
        <v>22.170849845882874</v>
      </c>
      <c r="AZ902" s="75">
        <f>AY902*(1-PARAM!$C$27)*$I$15+(MOD($B902,60)=PARAM!$B$56)*($B902&gt;(60-PARAM!$B$56))*HLOOKUP(($B902+PARAM!$B$56)/12,Loyalty,2)*$F$1*MAX(BB901,0)</f>
        <v>18.557001321003963</v>
      </c>
      <c r="BA902" s="75">
        <f>PARAM!$C$26+MAX($G$15-CHOOSE(PARAM!$B$44,MAX(0,BB901*$F$1),0),0)*RATES!$L878/12+$H$15*(PARAM!$D$51/12)*RATES!$N878/100</f>
        <v>1190.0416666666667</v>
      </c>
      <c r="BB902" s="16">
        <f t="shared" si="597"/>
        <v>-241388.94853500379</v>
      </c>
      <c r="BC902" s="15">
        <f t="shared" si="572"/>
        <v>22.170849845882874</v>
      </c>
      <c r="BD902" s="75">
        <f>BC902*(1-PARAM!$C$27)*$I$16+(MOD($B902,60)=PARAM!$B$56)*($B902&gt;(60-PARAM!$B$56))*HLOOKUP(($B902+PARAM!$B$56)/12,Loyalty,2)*$F$1*MAX(BF901,0)</f>
        <v>18.557001321003963</v>
      </c>
      <c r="BE902" s="75">
        <f>PARAM!$C$26+MAX($G$16-CHOOSE(PARAM!$B$44,MAX(0,BF901*$F$1),0),0)*RATES!$L878/12+$H$16*(PARAM!$D$51/12)*RATES!$N878/100</f>
        <v>1190.0416666666667</v>
      </c>
      <c r="BF902" s="16">
        <f t="shared" si="598"/>
        <v>-241388.94853500379</v>
      </c>
      <c r="BG902" s="15">
        <f t="shared" si="573"/>
        <v>22.170849845882874</v>
      </c>
      <c r="BH902" s="75">
        <f>BG902*(1-PARAM!$C$27)*$I$17+(MOD($B902,60)=PARAM!$B$56)*($B902&gt;(60-PARAM!$B$56))*HLOOKUP(($B902+PARAM!$B$56)/12,Loyalty,2)*$F$1*MAX(BJ901,0)</f>
        <v>18.557001321003963</v>
      </c>
      <c r="BI902" s="75">
        <f>PARAM!$C$26+MAX($G$17-CHOOSE(PARAM!$B$44,MAX(0,BJ901*$F$1),0),0)*RATES!$L878/12+$H$17*(PARAM!$D$51/12)*RATES!$N878/100</f>
        <v>1190.0416666666667</v>
      </c>
      <c r="BJ902" s="16">
        <f t="shared" si="599"/>
        <v>-241388.94853500379</v>
      </c>
      <c r="BK902" s="15">
        <f t="shared" si="574"/>
        <v>22.170849845882874</v>
      </c>
      <c r="BL902" s="75">
        <f>BK902*(1-PARAM!$C$27)*$I$18+(MOD($B902,60)=PARAM!$B$56)*($B902&gt;(60-PARAM!$B$56))*HLOOKUP(($B902+PARAM!$B$56)/12,Loyalty,2)*$F$1*MAX(BN901,0)</f>
        <v>18.557001321003963</v>
      </c>
      <c r="BM902" s="75">
        <f>PARAM!$C$26+MAX($G$18-CHOOSE(PARAM!$B$44,MAX(0,BN901*$F$1),0),0)*RATES!$L878/12+$H$18*(PARAM!$D$51/12)*RATES!$N878/100</f>
        <v>1190.0416666666667</v>
      </c>
      <c r="BN902" s="16">
        <f t="shared" si="600"/>
        <v>-241388.94853500379</v>
      </c>
      <c r="BO902" s="15">
        <f t="shared" si="575"/>
        <v>22.170849845882874</v>
      </c>
      <c r="BP902" s="75">
        <f>BO902*(1-PARAM!$C$27)*$I$19+(MOD($B902,60)=PARAM!$B$56)*($B902&gt;(60-PARAM!$B$56))*HLOOKUP(($B902+PARAM!$B$56)/12,Loyalty,2)*$F$1*MAX(BR901,0)</f>
        <v>18.557001321003963</v>
      </c>
      <c r="BQ902" s="75">
        <f>PARAM!$C$26+MAX($G$19-CHOOSE(PARAM!$B$44,MAX(0,BR901*$F$1),0),0)*RATES!$L878/12+$H$19*(PARAM!$D$51/12)*RATES!$N878/100</f>
        <v>1190.0416666666667</v>
      </c>
      <c r="BR902" s="16">
        <f t="shared" si="601"/>
        <v>-241388.94853500379</v>
      </c>
      <c r="BS902" s="15">
        <f t="shared" si="576"/>
        <v>22.170849845882874</v>
      </c>
      <c r="BT902" s="75">
        <f>BS902*(1-PARAM!$C$27)*$I$20+(MOD($B902,60)=PARAM!$B$56)*($B902&gt;(60-PARAM!$B$56))*HLOOKUP(($B902+PARAM!$B$56)/12,Loyalty,2)*$F$1*MAX(BV901,0)</f>
        <v>18.557001321003963</v>
      </c>
      <c r="BU902" s="75">
        <f>PARAM!$C$26+MAX($G$20-CHOOSE(PARAM!$B$44,MAX(0,BV901*$F$1),0),0)*RATES!$L878/12+$H$20*(PARAM!$D$51/12)*RATES!$N878/100</f>
        <v>1190.0416666666667</v>
      </c>
      <c r="BV902" s="16">
        <f t="shared" si="602"/>
        <v>-241388.94853500379</v>
      </c>
      <c r="BW902" s="15">
        <f t="shared" si="577"/>
        <v>22.170849845882874</v>
      </c>
      <c r="BX902" s="75">
        <f>BW902*(1-PARAM!$C$27)*$I$21+(MOD($B902,60)=PARAM!$B$56)*($B902&gt;(60-PARAM!$B$56))*HLOOKUP(($B902+PARAM!$B$56)/12,Loyalty,2)*$F$1*MAX(BZ901,0)</f>
        <v>18.557001321003963</v>
      </c>
      <c r="BY902" s="75">
        <f>PARAM!$C$26+MAX($G$21-CHOOSE(PARAM!$B$44,MAX(0,BZ901*$F$1),0),0)*RATES!$L878/12+$H$21*(PARAM!$D$51/12)*RATES!$N878/100</f>
        <v>1190.0416666666667</v>
      </c>
      <c r="BZ902" s="16">
        <f t="shared" si="603"/>
        <v>-241388.94853500379</v>
      </c>
      <c r="CA902" s="15">
        <f t="shared" si="578"/>
        <v>22.170849845882874</v>
      </c>
      <c r="CB902" s="75">
        <f>CA902*(1-PARAM!$C$27)*$I$22+(MOD($B902,60)=PARAM!$B$56)*($B902&gt;(60-PARAM!$B$56))*HLOOKUP(($B902+PARAM!$B$56)/12,Loyalty,2)*$F$1*MAX(CD901,0)</f>
        <v>18.557001321003963</v>
      </c>
      <c r="CC902" s="75">
        <f>PARAM!$C$26+MAX($G$22-CHOOSE(PARAM!$B$44,MAX(0,CD901*$F$1),0),0)*RATES!$L878/12+$H$22*(PARAM!$D$51/12)*RATES!$N878/100</f>
        <v>1190.0416666666667</v>
      </c>
      <c r="CD902" s="16">
        <f t="shared" si="604"/>
        <v>-241388.94853500379</v>
      </c>
      <c r="CE902" s="33">
        <f>IF(0=MOD(B902,12/PARAM!$D$51),1,0)</f>
        <v>1</v>
      </c>
      <c r="CF902" s="15">
        <f t="shared" si="579"/>
        <v>0</v>
      </c>
      <c r="CG902" s="75">
        <f>CF902*(1-PARAM!$C$27)*$R$3+(MOD($B902/12,5)=0)*($B902&gt;60)*HLOOKUP($B902/12,Loyalty,2)*$F$1*MAX(CI901,0)</f>
        <v>0</v>
      </c>
      <c r="CH902" s="75">
        <f>PARAM!$C$26+MAX($P$3-CHOOSE(PARAM!$B$44,MAX(0,CI901*$F$1),0),0)*RATES!$L878/12+$Q$3*(PARAM!$D$51/12)*RATES!$N878/100</f>
        <v>1190.0416666666667</v>
      </c>
      <c r="CI902" s="16">
        <f>IF(CI901&gt;0,CI901*PARAM!$C$53,CI901)+CG902-CH902</f>
        <v>-257506.74999999965</v>
      </c>
      <c r="CJ902" s="15">
        <f t="shared" si="605"/>
        <v>0</v>
      </c>
      <c r="CK902" s="75">
        <f>CJ902*(1-PARAM!$C$27)*$R$4+(MOD($B902/12,5)=0)*($B902&gt;60)*HLOOKUP($B902/12,Loyalty,2)*$F$1*MAX(CM901,0)</f>
        <v>0</v>
      </c>
      <c r="CL902" s="75">
        <f>PARAM!$C$26+MAX($P$4-CHOOSE(PARAM!$B$44,MAX(0,CM901*$F$1),0),0)*RATES!$L878/12+$Q$4*(PARAM!$D$51/12)*RATES!$N878/100</f>
        <v>1190.0416666666667</v>
      </c>
      <c r="CM902" s="16">
        <f>IF(CM901&gt;0,CM901*PARAM!$C$53,CM901)+CK902-CL902</f>
        <v>-257506.74999999965</v>
      </c>
      <c r="CO902" s="176"/>
    </row>
    <row r="903" spans="1:93" x14ac:dyDescent="0.2">
      <c r="A903" t="b">
        <f t="shared" si="580"/>
        <v>0</v>
      </c>
      <c r="B903" s="33">
        <v>876</v>
      </c>
      <c r="C903" s="15">
        <f t="shared" si="581"/>
        <v>20.081305947392778</v>
      </c>
      <c r="D903" s="75">
        <f>C903*(1-PARAM!$C$27)*$I$3+(MOD($B903,60)=PARAM!$B$56)*($B903&gt;(60-PARAM!$B$56))*HLOOKUP(($B903+PARAM!$B$56)/12,Loyalty,2)*$F$1*MAX(F902,0)</f>
        <v>16.808053077967756</v>
      </c>
      <c r="E903" s="75">
        <f>PARAM!$C$26+MAX($G$3-CHOOSE(PARAM!$B$44,MAX(0,F902*$F$1),0),0)*RATES!$L879/12+$H$3*(PARAM!$D$51/12)*RATES!$N879/100</f>
        <v>1190.0416666666667</v>
      </c>
      <c r="F903" s="16">
        <f t="shared" si="582"/>
        <v>-244129.36236177114</v>
      </c>
      <c r="G903" s="15">
        <f t="shared" si="583"/>
        <v>22.035289406060361</v>
      </c>
      <c r="H903" s="75">
        <f>G903*(1-PARAM!$C$27)*$I$4+(MOD($B903,60)=PARAM!$B$56)*($B903&gt;(60-PARAM!$B$56))*HLOOKUP(($B903+PARAM!$B$56)/12,Loyalty,2)*$F$1*MAX(J902,0)</f>
        <v>18.443537232872522</v>
      </c>
      <c r="I903" s="75">
        <f>PARAM!$C$26+MAX($G$4-CHOOSE(PARAM!$B$44,MAX(0,J902*$F$1),0),0)*RATES!$L879/12+$H$4*(PARAM!$D$51/12)*RATES!$N879/100</f>
        <v>1190.0416666666667</v>
      </c>
      <c r="J903" s="16">
        <f t="shared" si="584"/>
        <v>-242662.84527795151</v>
      </c>
      <c r="K903" s="15">
        <f t="shared" si="585"/>
        <v>22.170849845882874</v>
      </c>
      <c r="L903" s="75">
        <f>K903*(1-PARAM!$C$27)*$I$5+(MOD($B903,60)=PARAM!$B$56)*($B903&gt;(60-PARAM!$B$56))*HLOOKUP(($B903+PARAM!$B$56)/12,Loyalty,2)*$F$1*MAX(N902,0)</f>
        <v>18.557001321003963</v>
      </c>
      <c r="M903" s="75">
        <f>PARAM!$C$26+MAX($G$5-CHOOSE(PARAM!$B$44,MAX(0,N902*$F$1),0),0)*RATES!$L879/12+$H$5*(PARAM!$D$51/12)*RATES!$N879/100</f>
        <v>1190.0416666666667</v>
      </c>
      <c r="N903" s="16">
        <f t="shared" si="586"/>
        <v>-242560.43320034945</v>
      </c>
      <c r="O903" s="15">
        <f t="shared" si="587"/>
        <v>22.170849845882874</v>
      </c>
      <c r="P903" s="75">
        <f>O903*(1-PARAM!$C$27)*$I$6+(MOD($B903,60)=PARAM!$B$56)*($B903&gt;(60-PARAM!$B$56))*HLOOKUP(($B903+PARAM!$B$56)/12,Loyalty,2)*$F$1*MAX(R902,0)</f>
        <v>18.557001321003963</v>
      </c>
      <c r="Q903" s="75">
        <f>PARAM!$C$26+MAX($G$6-CHOOSE(PARAM!$B$44,MAX(0,R902*$F$1),0),0)*RATES!$L879/12+$H$6*(PARAM!$D$51/12)*RATES!$N879/100</f>
        <v>1190.0416666666667</v>
      </c>
      <c r="R903" s="16">
        <f t="shared" si="588"/>
        <v>-242560.43320034945</v>
      </c>
      <c r="S903" s="15">
        <f t="shared" si="563"/>
        <v>22.170849845882874</v>
      </c>
      <c r="T903" s="75">
        <f>S903*(1-PARAM!$C$27)*$I$7+(MOD($B903,60)=PARAM!$B$56)*($B903&gt;(60-PARAM!$B$56))*HLOOKUP(($B903+PARAM!$B$56)/12,Loyalty,2)*$F$1*MAX(V902,0)</f>
        <v>18.557001321003963</v>
      </c>
      <c r="U903" s="75">
        <f>PARAM!$C$26+MAX($G$7-CHOOSE(PARAM!$B$44,MAX(0,V902*$F$1),0),0)*RATES!$L879/12+$H$7*(PARAM!$D$51/12)*RATES!$N879/100</f>
        <v>1190.0416666666667</v>
      </c>
      <c r="V903" s="16">
        <f t="shared" si="589"/>
        <v>-242560.43320034945</v>
      </c>
      <c r="W903" s="15">
        <f t="shared" si="564"/>
        <v>22.170849845882874</v>
      </c>
      <c r="X903" s="75">
        <f>W903*(1-PARAM!$C$27)*$I$8+(MOD($B903,60)=PARAM!$B$56)*($B903&gt;(60-PARAM!$B$56))*HLOOKUP(($B903+PARAM!$B$56)/12,Loyalty,2)*$F$1*MAX(Z902,0)</f>
        <v>18.557001321003963</v>
      </c>
      <c r="Y903" s="75">
        <f>PARAM!$C$26+MAX($G$8-CHOOSE(PARAM!$B$44,MAX(0,Z902*$F$1),0),0)*RATES!$L879/12+$H$8*(PARAM!$D$51/12)*RATES!$N879/100</f>
        <v>1190.0416666666667</v>
      </c>
      <c r="Z903" s="16">
        <f t="shared" si="590"/>
        <v>-242560.43320034945</v>
      </c>
      <c r="AA903" s="15">
        <f t="shared" si="565"/>
        <v>22.170849845882874</v>
      </c>
      <c r="AB903" s="75">
        <f>AA903*(1-PARAM!$C$27)*$I$9+(MOD($B903,60)=PARAM!$B$56)*($B903&gt;(60-PARAM!$B$56))*HLOOKUP(($B903+PARAM!$B$56)/12,Loyalty,2)*$F$1*MAX(AD902,0)</f>
        <v>18.557001321003963</v>
      </c>
      <c r="AC903" s="75">
        <f>PARAM!$C$26+MAX($G$9-CHOOSE(PARAM!$B$44,MAX(0,AD902*$F$1),0),0)*RATES!$L879/12+$H$9*(PARAM!$D$51/12)*RATES!$N879/100</f>
        <v>1190.0416666666667</v>
      </c>
      <c r="AD903" s="16">
        <f t="shared" si="591"/>
        <v>-242560.43320034945</v>
      </c>
      <c r="AE903" s="15">
        <f t="shared" si="566"/>
        <v>22.170849845882874</v>
      </c>
      <c r="AF903" s="75">
        <f>AE903*(1-PARAM!$C$27)*$I$10+(MOD($B903,60)=PARAM!$B$56)*($B903&gt;(60-PARAM!$B$56))*HLOOKUP(($B903+PARAM!$B$56)/12,Loyalty,2)*$F$1*MAX(AH902,0)</f>
        <v>18.557001321003963</v>
      </c>
      <c r="AG903" s="75">
        <f>PARAM!$C$26+MAX($G$10-CHOOSE(PARAM!$B$44,MAX(0,AH902*$F$1),0),0)*RATES!$L879/12+$H$10*(PARAM!$D$51/12)*RATES!$N879/100</f>
        <v>1190.0416666666667</v>
      </c>
      <c r="AH903" s="16">
        <f t="shared" si="592"/>
        <v>-242560.43320034945</v>
      </c>
      <c r="AI903" s="15">
        <f t="shared" si="567"/>
        <v>22.170849845882874</v>
      </c>
      <c r="AJ903" s="75">
        <f>AI903*(1-PARAM!$C$27)*$I$11+(MOD($B903,60)=PARAM!$B$56)*($B903&gt;(60-PARAM!$B$56))*HLOOKUP(($B903+PARAM!$B$56)/12,Loyalty,2)*$F$1*MAX(AL902,0)</f>
        <v>18.557001321003963</v>
      </c>
      <c r="AK903" s="75">
        <f>PARAM!$C$26+MAX($G$11-CHOOSE(PARAM!$B$44,MAX(0,AL902*$F$1),0),0)*RATES!$L879/12+$H$11*(PARAM!$D$51/12)*RATES!$N879/100</f>
        <v>1190.0416666666667</v>
      </c>
      <c r="AL903" s="16">
        <f t="shared" si="593"/>
        <v>-242560.43320034945</v>
      </c>
      <c r="AM903" s="15">
        <f t="shared" si="568"/>
        <v>22.170849845882874</v>
      </c>
      <c r="AN903" s="75">
        <f>AM903*(1-PARAM!$C$27)*$I$12+(MOD($B903,60)=PARAM!$B$56)*($B903&gt;(60-PARAM!$B$56))*HLOOKUP(($B903+PARAM!$B$56)/12,Loyalty,2)*$F$1*MAX(AP902,0)</f>
        <v>18.557001321003963</v>
      </c>
      <c r="AO903" s="75">
        <f>PARAM!$C$26+MAX($G$12-CHOOSE(PARAM!$B$44,MAX(0,AP902*$F$1),0),0)*RATES!$L879/12+$H$12*(PARAM!$D$51/12)*RATES!$N879/100</f>
        <v>1190.0416666666667</v>
      </c>
      <c r="AP903" s="16">
        <f t="shared" si="594"/>
        <v>-242560.43320034945</v>
      </c>
      <c r="AQ903" s="15">
        <f t="shared" si="569"/>
        <v>22.170849845882874</v>
      </c>
      <c r="AR903" s="75">
        <f>AQ903*(1-PARAM!$C$27)*$I$13+(MOD($B903,60)=PARAM!$B$56)*($B903&gt;(60-PARAM!$B$56))*HLOOKUP(($B903+PARAM!$B$56)/12,Loyalty,2)*$F$1*MAX(AT902,0)</f>
        <v>18.557001321003963</v>
      </c>
      <c r="AS903" s="75">
        <f>PARAM!$C$26+MAX($G$13-CHOOSE(PARAM!$B$44,MAX(0,AT902*$F$1),0),0)*RATES!$L879/12+$H$13*(PARAM!$D$51/12)*RATES!$N879/100</f>
        <v>1190.0416666666667</v>
      </c>
      <c r="AT903" s="16">
        <f t="shared" si="595"/>
        <v>-242560.43320034945</v>
      </c>
      <c r="AU903" s="15">
        <f t="shared" si="570"/>
        <v>22.170849845882874</v>
      </c>
      <c r="AV903" s="75">
        <f>AU903*(1-PARAM!$C$27)*$I$14+(MOD($B903,60)=PARAM!$B$56)*($B903&gt;(60-PARAM!$B$56))*HLOOKUP(($B903+PARAM!$B$56)/12,Loyalty,2)*$F$1*MAX(AX902,0)</f>
        <v>18.557001321003963</v>
      </c>
      <c r="AW903" s="75">
        <f>PARAM!$C$26+MAX($G$14-CHOOSE(PARAM!$B$44,MAX(0,AX902*$F$1),0),0)*RATES!$L879/12+$H$14*(PARAM!$D$51/12)*RATES!$N879/100</f>
        <v>1190.0416666666667</v>
      </c>
      <c r="AX903" s="16">
        <f t="shared" si="596"/>
        <v>-242560.43320034945</v>
      </c>
      <c r="AY903" s="15">
        <f t="shared" si="571"/>
        <v>22.170849845882874</v>
      </c>
      <c r="AZ903" s="75">
        <f>AY903*(1-PARAM!$C$27)*$I$15+(MOD($B903,60)=PARAM!$B$56)*($B903&gt;(60-PARAM!$B$56))*HLOOKUP(($B903+PARAM!$B$56)/12,Loyalty,2)*$F$1*MAX(BB902,0)</f>
        <v>18.557001321003963</v>
      </c>
      <c r="BA903" s="75">
        <f>PARAM!$C$26+MAX($G$15-CHOOSE(PARAM!$B$44,MAX(0,BB902*$F$1),0),0)*RATES!$L879/12+$H$15*(PARAM!$D$51/12)*RATES!$N879/100</f>
        <v>1190.0416666666667</v>
      </c>
      <c r="BB903" s="16">
        <f t="shared" si="597"/>
        <v>-242560.43320034945</v>
      </c>
      <c r="BC903" s="15">
        <f t="shared" si="572"/>
        <v>22.170849845882874</v>
      </c>
      <c r="BD903" s="75">
        <f>BC903*(1-PARAM!$C$27)*$I$16+(MOD($B903,60)=PARAM!$B$56)*($B903&gt;(60-PARAM!$B$56))*HLOOKUP(($B903+PARAM!$B$56)/12,Loyalty,2)*$F$1*MAX(BF902,0)</f>
        <v>18.557001321003963</v>
      </c>
      <c r="BE903" s="75">
        <f>PARAM!$C$26+MAX($G$16-CHOOSE(PARAM!$B$44,MAX(0,BF902*$F$1),0),0)*RATES!$L879/12+$H$16*(PARAM!$D$51/12)*RATES!$N879/100</f>
        <v>1190.0416666666667</v>
      </c>
      <c r="BF903" s="16">
        <f t="shared" si="598"/>
        <v>-242560.43320034945</v>
      </c>
      <c r="BG903" s="15">
        <f t="shared" si="573"/>
        <v>22.170849845882874</v>
      </c>
      <c r="BH903" s="75">
        <f>BG903*(1-PARAM!$C$27)*$I$17+(MOD($B903,60)=PARAM!$B$56)*($B903&gt;(60-PARAM!$B$56))*HLOOKUP(($B903+PARAM!$B$56)/12,Loyalty,2)*$F$1*MAX(BJ902,0)</f>
        <v>18.557001321003963</v>
      </c>
      <c r="BI903" s="75">
        <f>PARAM!$C$26+MAX($G$17-CHOOSE(PARAM!$B$44,MAX(0,BJ902*$F$1),0),0)*RATES!$L879/12+$H$17*(PARAM!$D$51/12)*RATES!$N879/100</f>
        <v>1190.0416666666667</v>
      </c>
      <c r="BJ903" s="16">
        <f t="shared" si="599"/>
        <v>-242560.43320034945</v>
      </c>
      <c r="BK903" s="15">
        <f t="shared" si="574"/>
        <v>22.170849845882874</v>
      </c>
      <c r="BL903" s="75">
        <f>BK903*(1-PARAM!$C$27)*$I$18+(MOD($B903,60)=PARAM!$B$56)*($B903&gt;(60-PARAM!$B$56))*HLOOKUP(($B903+PARAM!$B$56)/12,Loyalty,2)*$F$1*MAX(BN902,0)</f>
        <v>18.557001321003963</v>
      </c>
      <c r="BM903" s="75">
        <f>PARAM!$C$26+MAX($G$18-CHOOSE(PARAM!$B$44,MAX(0,BN902*$F$1),0),0)*RATES!$L879/12+$H$18*(PARAM!$D$51/12)*RATES!$N879/100</f>
        <v>1190.0416666666667</v>
      </c>
      <c r="BN903" s="16">
        <f t="shared" si="600"/>
        <v>-242560.43320034945</v>
      </c>
      <c r="BO903" s="15">
        <f t="shared" si="575"/>
        <v>22.170849845882874</v>
      </c>
      <c r="BP903" s="75">
        <f>BO903*(1-PARAM!$C$27)*$I$19+(MOD($B903,60)=PARAM!$B$56)*($B903&gt;(60-PARAM!$B$56))*HLOOKUP(($B903+PARAM!$B$56)/12,Loyalty,2)*$F$1*MAX(BR902,0)</f>
        <v>18.557001321003963</v>
      </c>
      <c r="BQ903" s="75">
        <f>PARAM!$C$26+MAX($G$19-CHOOSE(PARAM!$B$44,MAX(0,BR902*$F$1),0),0)*RATES!$L879/12+$H$19*(PARAM!$D$51/12)*RATES!$N879/100</f>
        <v>1190.0416666666667</v>
      </c>
      <c r="BR903" s="16">
        <f t="shared" si="601"/>
        <v>-242560.43320034945</v>
      </c>
      <c r="BS903" s="15">
        <f t="shared" si="576"/>
        <v>22.170849845882874</v>
      </c>
      <c r="BT903" s="75">
        <f>BS903*(1-PARAM!$C$27)*$I$20+(MOD($B903,60)=PARAM!$B$56)*($B903&gt;(60-PARAM!$B$56))*HLOOKUP(($B903+PARAM!$B$56)/12,Loyalty,2)*$F$1*MAX(BV902,0)</f>
        <v>18.557001321003963</v>
      </c>
      <c r="BU903" s="75">
        <f>PARAM!$C$26+MAX($G$20-CHOOSE(PARAM!$B$44,MAX(0,BV902*$F$1),0),0)*RATES!$L879/12+$H$20*(PARAM!$D$51/12)*RATES!$N879/100</f>
        <v>1190.0416666666667</v>
      </c>
      <c r="BV903" s="16">
        <f t="shared" si="602"/>
        <v>-242560.43320034945</v>
      </c>
      <c r="BW903" s="15">
        <f t="shared" si="577"/>
        <v>22.170849845882874</v>
      </c>
      <c r="BX903" s="75">
        <f>BW903*(1-PARAM!$C$27)*$I$21+(MOD($B903,60)=PARAM!$B$56)*($B903&gt;(60-PARAM!$B$56))*HLOOKUP(($B903+PARAM!$B$56)/12,Loyalty,2)*$F$1*MAX(BZ902,0)</f>
        <v>18.557001321003963</v>
      </c>
      <c r="BY903" s="75">
        <f>PARAM!$C$26+MAX($G$21-CHOOSE(PARAM!$B$44,MAX(0,BZ902*$F$1),0),0)*RATES!$L879/12+$H$21*(PARAM!$D$51/12)*RATES!$N879/100</f>
        <v>1190.0416666666667</v>
      </c>
      <c r="BZ903" s="16">
        <f t="shared" si="603"/>
        <v>-242560.43320034945</v>
      </c>
      <c r="CA903" s="15">
        <f t="shared" si="578"/>
        <v>22.170849845882874</v>
      </c>
      <c r="CB903" s="75">
        <f>CA903*(1-PARAM!$C$27)*$I$22+(MOD($B903,60)=PARAM!$B$56)*($B903&gt;(60-PARAM!$B$56))*HLOOKUP(($B903+PARAM!$B$56)/12,Loyalty,2)*$F$1*MAX(CD902,0)</f>
        <v>18.557001321003963</v>
      </c>
      <c r="CC903" s="75">
        <f>PARAM!$C$26+MAX($G$22-CHOOSE(PARAM!$B$44,MAX(0,CD902*$F$1),0),0)*RATES!$L879/12+$H$22*(PARAM!$D$51/12)*RATES!$N879/100</f>
        <v>1190.0416666666667</v>
      </c>
      <c r="CD903" s="16">
        <f t="shared" si="604"/>
        <v>-242560.43320034945</v>
      </c>
      <c r="CE903" s="33">
        <f>IF(0=MOD(B903,12/PARAM!$D$51),1,0)</f>
        <v>1</v>
      </c>
      <c r="CF903" s="15">
        <f t="shared" si="579"/>
        <v>0</v>
      </c>
      <c r="CG903" s="75">
        <f>CF903*(1-PARAM!$C$27)*$R$3+(MOD($B903/12,5)=0)*($B903&gt;60)*HLOOKUP($B903/12,Loyalty,2)*$F$1*MAX(CI902,0)</f>
        <v>0</v>
      </c>
      <c r="CH903" s="75">
        <f>PARAM!$C$26+MAX($P$3-CHOOSE(PARAM!$B$44,MAX(0,CI902*$F$1),0),0)*RATES!$L879/12+$Q$3*(PARAM!$D$51/12)*RATES!$N879/100</f>
        <v>1190.0416666666667</v>
      </c>
      <c r="CI903" s="16">
        <f>IF(CI902&gt;0,CI902*PARAM!$C$53,CI902)+CG903-CH903</f>
        <v>-258696.79166666631</v>
      </c>
      <c r="CJ903" s="15">
        <f t="shared" si="605"/>
        <v>0</v>
      </c>
      <c r="CK903" s="75">
        <f>CJ903*(1-PARAM!$C$27)*$R$4+(MOD($B903/12,5)=0)*($B903&gt;60)*HLOOKUP($B903/12,Loyalty,2)*$F$1*MAX(CM902,0)</f>
        <v>0</v>
      </c>
      <c r="CL903" s="75">
        <f>PARAM!$C$26+MAX($P$4-CHOOSE(PARAM!$B$44,MAX(0,CM902*$F$1),0),0)*RATES!$L879/12+$Q$4*(PARAM!$D$51/12)*RATES!$N879/100</f>
        <v>1190.0416666666667</v>
      </c>
      <c r="CM903" s="16">
        <f>IF(CM902&gt;0,CM902*PARAM!$C$53,CM902)+CK903-CL903</f>
        <v>-258696.79166666631</v>
      </c>
      <c r="CO903" s="176"/>
    </row>
    <row r="904" spans="1:93" x14ac:dyDescent="0.2">
      <c r="A904" t="b">
        <f t="shared" si="580"/>
        <v>0</v>
      </c>
      <c r="B904" s="33">
        <v>877</v>
      </c>
      <c r="C904" s="15">
        <f t="shared" si="581"/>
        <v>20.081305947392778</v>
      </c>
      <c r="D904" s="75">
        <f>C904*(1-PARAM!$C$27)*$I$3+(MOD($B904,60)=PARAM!$B$56)*($B904&gt;(60-PARAM!$B$56))*HLOOKUP(($B904+PARAM!$B$56)/12,Loyalty,2)*$F$1*MAX(F903,0)</f>
        <v>16.808053077967756</v>
      </c>
      <c r="E904" s="75">
        <f>PARAM!$C$26+MAX($G$3-CHOOSE(PARAM!$B$44,MAX(0,F903*$F$1),0),0)*RATES!$L880/12+$H$3*(PARAM!$D$51/12)*RATES!$N880/100</f>
        <v>1190.0416666666667</v>
      </c>
      <c r="F904" s="16">
        <f t="shared" si="582"/>
        <v>-245302.59597535984</v>
      </c>
      <c r="G904" s="15">
        <f t="shared" si="583"/>
        <v>22.035289406060361</v>
      </c>
      <c r="H904" s="75">
        <f>G904*(1-PARAM!$C$27)*$I$4+(MOD($B904,60)=PARAM!$B$56)*($B904&gt;(60-PARAM!$B$56))*HLOOKUP(($B904+PARAM!$B$56)/12,Loyalty,2)*$F$1*MAX(J903,0)</f>
        <v>18.443537232872522</v>
      </c>
      <c r="I904" s="75">
        <f>PARAM!$C$26+MAX($G$4-CHOOSE(PARAM!$B$44,MAX(0,J903*$F$1),0),0)*RATES!$L880/12+$H$4*(PARAM!$D$51/12)*RATES!$N880/100</f>
        <v>1190.0416666666667</v>
      </c>
      <c r="J904" s="16">
        <f t="shared" si="584"/>
        <v>-243834.44340738529</v>
      </c>
      <c r="K904" s="15">
        <f t="shared" si="585"/>
        <v>22.170849845882874</v>
      </c>
      <c r="L904" s="75">
        <f>K904*(1-PARAM!$C$27)*$I$5+(MOD($B904,60)=PARAM!$B$56)*($B904&gt;(60-PARAM!$B$56))*HLOOKUP(($B904+PARAM!$B$56)/12,Loyalty,2)*$F$1*MAX(N903,0)</f>
        <v>18.557001321003963</v>
      </c>
      <c r="M904" s="75">
        <f>PARAM!$C$26+MAX($G$5-CHOOSE(PARAM!$B$44,MAX(0,N903*$F$1),0),0)*RATES!$L880/12+$H$5*(PARAM!$D$51/12)*RATES!$N880/100</f>
        <v>1190.0416666666667</v>
      </c>
      <c r="N904" s="16">
        <f t="shared" si="586"/>
        <v>-243731.91786569511</v>
      </c>
      <c r="O904" s="15">
        <f t="shared" si="587"/>
        <v>22.170849845882874</v>
      </c>
      <c r="P904" s="75">
        <f>O904*(1-PARAM!$C$27)*$I$6+(MOD($B904,60)=PARAM!$B$56)*($B904&gt;(60-PARAM!$B$56))*HLOOKUP(($B904+PARAM!$B$56)/12,Loyalty,2)*$F$1*MAX(R903,0)</f>
        <v>18.557001321003963</v>
      </c>
      <c r="Q904" s="75">
        <f>PARAM!$C$26+MAX($G$6-CHOOSE(PARAM!$B$44,MAX(0,R903*$F$1),0),0)*RATES!$L880/12+$H$6*(PARAM!$D$51/12)*RATES!$N880/100</f>
        <v>1190.0416666666667</v>
      </c>
      <c r="R904" s="16">
        <f t="shared" si="588"/>
        <v>-243731.91786569511</v>
      </c>
      <c r="S904" s="15">
        <f t="shared" si="563"/>
        <v>22.170849845882874</v>
      </c>
      <c r="T904" s="75">
        <f>S904*(1-PARAM!$C$27)*$I$7+(MOD($B904,60)=PARAM!$B$56)*($B904&gt;(60-PARAM!$B$56))*HLOOKUP(($B904+PARAM!$B$56)/12,Loyalty,2)*$F$1*MAX(V903,0)</f>
        <v>18.557001321003963</v>
      </c>
      <c r="U904" s="75">
        <f>PARAM!$C$26+MAX($G$7-CHOOSE(PARAM!$B$44,MAX(0,V903*$F$1),0),0)*RATES!$L880/12+$H$7*(PARAM!$D$51/12)*RATES!$N880/100</f>
        <v>1190.0416666666667</v>
      </c>
      <c r="V904" s="16">
        <f t="shared" si="589"/>
        <v>-243731.91786569511</v>
      </c>
      <c r="W904" s="15">
        <f t="shared" si="564"/>
        <v>22.170849845882874</v>
      </c>
      <c r="X904" s="75">
        <f>W904*(1-PARAM!$C$27)*$I$8+(MOD($B904,60)=PARAM!$B$56)*($B904&gt;(60-PARAM!$B$56))*HLOOKUP(($B904+PARAM!$B$56)/12,Loyalty,2)*$F$1*MAX(Z903,0)</f>
        <v>18.557001321003963</v>
      </c>
      <c r="Y904" s="75">
        <f>PARAM!$C$26+MAX($G$8-CHOOSE(PARAM!$B$44,MAX(0,Z903*$F$1),0),0)*RATES!$L880/12+$H$8*(PARAM!$D$51/12)*RATES!$N880/100</f>
        <v>1190.0416666666667</v>
      </c>
      <c r="Z904" s="16">
        <f t="shared" si="590"/>
        <v>-243731.91786569511</v>
      </c>
      <c r="AA904" s="15">
        <f t="shared" si="565"/>
        <v>22.170849845882874</v>
      </c>
      <c r="AB904" s="75">
        <f>AA904*(1-PARAM!$C$27)*$I$9+(MOD($B904,60)=PARAM!$B$56)*($B904&gt;(60-PARAM!$B$56))*HLOOKUP(($B904+PARAM!$B$56)/12,Loyalty,2)*$F$1*MAX(AD903,0)</f>
        <v>18.557001321003963</v>
      </c>
      <c r="AC904" s="75">
        <f>PARAM!$C$26+MAX($G$9-CHOOSE(PARAM!$B$44,MAX(0,AD903*$F$1),0),0)*RATES!$L880/12+$H$9*(PARAM!$D$51/12)*RATES!$N880/100</f>
        <v>1190.0416666666667</v>
      </c>
      <c r="AD904" s="16">
        <f t="shared" si="591"/>
        <v>-243731.91786569511</v>
      </c>
      <c r="AE904" s="15">
        <f t="shared" si="566"/>
        <v>22.170849845882874</v>
      </c>
      <c r="AF904" s="75">
        <f>AE904*(1-PARAM!$C$27)*$I$10+(MOD($B904,60)=PARAM!$B$56)*($B904&gt;(60-PARAM!$B$56))*HLOOKUP(($B904+PARAM!$B$56)/12,Loyalty,2)*$F$1*MAX(AH903,0)</f>
        <v>18.557001321003963</v>
      </c>
      <c r="AG904" s="75">
        <f>PARAM!$C$26+MAX($G$10-CHOOSE(PARAM!$B$44,MAX(0,AH903*$F$1),0),0)*RATES!$L880/12+$H$10*(PARAM!$D$51/12)*RATES!$N880/100</f>
        <v>1190.0416666666667</v>
      </c>
      <c r="AH904" s="16">
        <f t="shared" si="592"/>
        <v>-243731.91786569511</v>
      </c>
      <c r="AI904" s="15">
        <f t="shared" si="567"/>
        <v>22.170849845882874</v>
      </c>
      <c r="AJ904" s="75">
        <f>AI904*(1-PARAM!$C$27)*$I$11+(MOD($B904,60)=PARAM!$B$56)*($B904&gt;(60-PARAM!$B$56))*HLOOKUP(($B904+PARAM!$B$56)/12,Loyalty,2)*$F$1*MAX(AL903,0)</f>
        <v>18.557001321003963</v>
      </c>
      <c r="AK904" s="75">
        <f>PARAM!$C$26+MAX($G$11-CHOOSE(PARAM!$B$44,MAX(0,AL903*$F$1),0),0)*RATES!$L880/12+$H$11*(PARAM!$D$51/12)*RATES!$N880/100</f>
        <v>1190.0416666666667</v>
      </c>
      <c r="AL904" s="16">
        <f t="shared" si="593"/>
        <v>-243731.91786569511</v>
      </c>
      <c r="AM904" s="15">
        <f t="shared" si="568"/>
        <v>22.170849845882874</v>
      </c>
      <c r="AN904" s="75">
        <f>AM904*(1-PARAM!$C$27)*$I$12+(MOD($B904,60)=PARAM!$B$56)*($B904&gt;(60-PARAM!$B$56))*HLOOKUP(($B904+PARAM!$B$56)/12,Loyalty,2)*$F$1*MAX(AP903,0)</f>
        <v>18.557001321003963</v>
      </c>
      <c r="AO904" s="75">
        <f>PARAM!$C$26+MAX($G$12-CHOOSE(PARAM!$B$44,MAX(0,AP903*$F$1),0),0)*RATES!$L880/12+$H$12*(PARAM!$D$51/12)*RATES!$N880/100</f>
        <v>1190.0416666666667</v>
      </c>
      <c r="AP904" s="16">
        <f t="shared" si="594"/>
        <v>-243731.91786569511</v>
      </c>
      <c r="AQ904" s="15">
        <f t="shared" si="569"/>
        <v>22.170849845882874</v>
      </c>
      <c r="AR904" s="75">
        <f>AQ904*(1-PARAM!$C$27)*$I$13+(MOD($B904,60)=PARAM!$B$56)*($B904&gt;(60-PARAM!$B$56))*HLOOKUP(($B904+PARAM!$B$56)/12,Loyalty,2)*$F$1*MAX(AT903,0)</f>
        <v>18.557001321003963</v>
      </c>
      <c r="AS904" s="75">
        <f>PARAM!$C$26+MAX($G$13-CHOOSE(PARAM!$B$44,MAX(0,AT903*$F$1),0),0)*RATES!$L880/12+$H$13*(PARAM!$D$51/12)*RATES!$N880/100</f>
        <v>1190.0416666666667</v>
      </c>
      <c r="AT904" s="16">
        <f t="shared" si="595"/>
        <v>-243731.91786569511</v>
      </c>
      <c r="AU904" s="15">
        <f t="shared" si="570"/>
        <v>22.170849845882874</v>
      </c>
      <c r="AV904" s="75">
        <f>AU904*(1-PARAM!$C$27)*$I$14+(MOD($B904,60)=PARAM!$B$56)*($B904&gt;(60-PARAM!$B$56))*HLOOKUP(($B904+PARAM!$B$56)/12,Loyalty,2)*$F$1*MAX(AX903,0)</f>
        <v>18.557001321003963</v>
      </c>
      <c r="AW904" s="75">
        <f>PARAM!$C$26+MAX($G$14-CHOOSE(PARAM!$B$44,MAX(0,AX903*$F$1),0),0)*RATES!$L880/12+$H$14*(PARAM!$D$51/12)*RATES!$N880/100</f>
        <v>1190.0416666666667</v>
      </c>
      <c r="AX904" s="16">
        <f t="shared" si="596"/>
        <v>-243731.91786569511</v>
      </c>
      <c r="AY904" s="15">
        <f t="shared" si="571"/>
        <v>22.170849845882874</v>
      </c>
      <c r="AZ904" s="75">
        <f>AY904*(1-PARAM!$C$27)*$I$15+(MOD($B904,60)=PARAM!$B$56)*($B904&gt;(60-PARAM!$B$56))*HLOOKUP(($B904+PARAM!$B$56)/12,Loyalty,2)*$F$1*MAX(BB903,0)</f>
        <v>18.557001321003963</v>
      </c>
      <c r="BA904" s="75">
        <f>PARAM!$C$26+MAX($G$15-CHOOSE(PARAM!$B$44,MAX(0,BB903*$F$1),0),0)*RATES!$L880/12+$H$15*(PARAM!$D$51/12)*RATES!$N880/100</f>
        <v>1190.0416666666667</v>
      </c>
      <c r="BB904" s="16">
        <f t="shared" si="597"/>
        <v>-243731.91786569511</v>
      </c>
      <c r="BC904" s="15">
        <f t="shared" si="572"/>
        <v>22.170849845882874</v>
      </c>
      <c r="BD904" s="75">
        <f>BC904*(1-PARAM!$C$27)*$I$16+(MOD($B904,60)=PARAM!$B$56)*($B904&gt;(60-PARAM!$B$56))*HLOOKUP(($B904+PARAM!$B$56)/12,Loyalty,2)*$F$1*MAX(BF903,0)</f>
        <v>18.557001321003963</v>
      </c>
      <c r="BE904" s="75">
        <f>PARAM!$C$26+MAX($G$16-CHOOSE(PARAM!$B$44,MAX(0,BF903*$F$1),0),0)*RATES!$L880/12+$H$16*(PARAM!$D$51/12)*RATES!$N880/100</f>
        <v>1190.0416666666667</v>
      </c>
      <c r="BF904" s="16">
        <f t="shared" si="598"/>
        <v>-243731.91786569511</v>
      </c>
      <c r="BG904" s="15">
        <f t="shared" si="573"/>
        <v>22.170849845882874</v>
      </c>
      <c r="BH904" s="75">
        <f>BG904*(1-PARAM!$C$27)*$I$17+(MOD($B904,60)=PARAM!$B$56)*($B904&gt;(60-PARAM!$B$56))*HLOOKUP(($B904+PARAM!$B$56)/12,Loyalty,2)*$F$1*MAX(BJ903,0)</f>
        <v>18.557001321003963</v>
      </c>
      <c r="BI904" s="75">
        <f>PARAM!$C$26+MAX($G$17-CHOOSE(PARAM!$B$44,MAX(0,BJ903*$F$1),0),0)*RATES!$L880/12+$H$17*(PARAM!$D$51/12)*RATES!$N880/100</f>
        <v>1190.0416666666667</v>
      </c>
      <c r="BJ904" s="16">
        <f t="shared" si="599"/>
        <v>-243731.91786569511</v>
      </c>
      <c r="BK904" s="15">
        <f t="shared" si="574"/>
        <v>22.170849845882874</v>
      </c>
      <c r="BL904" s="75">
        <f>BK904*(1-PARAM!$C$27)*$I$18+(MOD($B904,60)=PARAM!$B$56)*($B904&gt;(60-PARAM!$B$56))*HLOOKUP(($B904+PARAM!$B$56)/12,Loyalty,2)*$F$1*MAX(BN903,0)</f>
        <v>18.557001321003963</v>
      </c>
      <c r="BM904" s="75">
        <f>PARAM!$C$26+MAX($G$18-CHOOSE(PARAM!$B$44,MAX(0,BN903*$F$1),0),0)*RATES!$L880/12+$H$18*(PARAM!$D$51/12)*RATES!$N880/100</f>
        <v>1190.0416666666667</v>
      </c>
      <c r="BN904" s="16">
        <f t="shared" si="600"/>
        <v>-243731.91786569511</v>
      </c>
      <c r="BO904" s="15">
        <f t="shared" si="575"/>
        <v>22.170849845882874</v>
      </c>
      <c r="BP904" s="75">
        <f>BO904*(1-PARAM!$C$27)*$I$19+(MOD($B904,60)=PARAM!$B$56)*($B904&gt;(60-PARAM!$B$56))*HLOOKUP(($B904+PARAM!$B$56)/12,Loyalty,2)*$F$1*MAX(BR903,0)</f>
        <v>18.557001321003963</v>
      </c>
      <c r="BQ904" s="75">
        <f>PARAM!$C$26+MAX($G$19-CHOOSE(PARAM!$B$44,MAX(0,BR903*$F$1),0),0)*RATES!$L880/12+$H$19*(PARAM!$D$51/12)*RATES!$N880/100</f>
        <v>1190.0416666666667</v>
      </c>
      <c r="BR904" s="16">
        <f t="shared" si="601"/>
        <v>-243731.91786569511</v>
      </c>
      <c r="BS904" s="15">
        <f t="shared" si="576"/>
        <v>22.170849845882874</v>
      </c>
      <c r="BT904" s="75">
        <f>BS904*(1-PARAM!$C$27)*$I$20+(MOD($B904,60)=PARAM!$B$56)*($B904&gt;(60-PARAM!$B$56))*HLOOKUP(($B904+PARAM!$B$56)/12,Loyalty,2)*$F$1*MAX(BV903,0)</f>
        <v>18.557001321003963</v>
      </c>
      <c r="BU904" s="75">
        <f>PARAM!$C$26+MAX($G$20-CHOOSE(PARAM!$B$44,MAX(0,BV903*$F$1),0),0)*RATES!$L880/12+$H$20*(PARAM!$D$51/12)*RATES!$N880/100</f>
        <v>1190.0416666666667</v>
      </c>
      <c r="BV904" s="16">
        <f t="shared" si="602"/>
        <v>-243731.91786569511</v>
      </c>
      <c r="BW904" s="15">
        <f t="shared" si="577"/>
        <v>22.170849845882874</v>
      </c>
      <c r="BX904" s="75">
        <f>BW904*(1-PARAM!$C$27)*$I$21+(MOD($B904,60)=PARAM!$B$56)*($B904&gt;(60-PARAM!$B$56))*HLOOKUP(($B904+PARAM!$B$56)/12,Loyalty,2)*$F$1*MAX(BZ903,0)</f>
        <v>18.557001321003963</v>
      </c>
      <c r="BY904" s="75">
        <f>PARAM!$C$26+MAX($G$21-CHOOSE(PARAM!$B$44,MAX(0,BZ903*$F$1),0),0)*RATES!$L880/12+$H$21*(PARAM!$D$51/12)*RATES!$N880/100</f>
        <v>1190.0416666666667</v>
      </c>
      <c r="BZ904" s="16">
        <f t="shared" si="603"/>
        <v>-243731.91786569511</v>
      </c>
      <c r="CA904" s="15">
        <f t="shared" si="578"/>
        <v>22.170849845882874</v>
      </c>
      <c r="CB904" s="75">
        <f>CA904*(1-PARAM!$C$27)*$I$22+(MOD($B904,60)=PARAM!$B$56)*($B904&gt;(60-PARAM!$B$56))*HLOOKUP(($B904+PARAM!$B$56)/12,Loyalty,2)*$F$1*MAX(CD903,0)</f>
        <v>18.557001321003963</v>
      </c>
      <c r="CC904" s="75">
        <f>PARAM!$C$26+MAX($G$22-CHOOSE(PARAM!$B$44,MAX(0,CD903*$F$1),0),0)*RATES!$L880/12+$H$22*(PARAM!$D$51/12)*RATES!$N880/100</f>
        <v>1190.0416666666667</v>
      </c>
      <c r="CD904" s="16">
        <f t="shared" si="604"/>
        <v>-243731.91786569511</v>
      </c>
      <c r="CE904" s="33">
        <f>IF(0=MOD(B904,12/PARAM!$D$51),1,0)</f>
        <v>1</v>
      </c>
      <c r="CF904" s="15">
        <f t="shared" si="579"/>
        <v>0</v>
      </c>
      <c r="CG904" s="75">
        <f>CF904*(1-PARAM!$C$27)*$R$3+(MOD($B904/12,5)=0)*($B904&gt;60)*HLOOKUP($B904/12,Loyalty,2)*$F$1*MAX(CI903,0)</f>
        <v>0</v>
      </c>
      <c r="CH904" s="75">
        <f>PARAM!$C$26+MAX($P$3-CHOOSE(PARAM!$B$44,MAX(0,CI903*$F$1),0),0)*RATES!$L880/12+$Q$3*(PARAM!$D$51/12)*RATES!$N880/100</f>
        <v>1190.0416666666667</v>
      </c>
      <c r="CI904" s="16">
        <f>IF(CI903&gt;0,CI903*PARAM!$C$53,CI903)+CG904-CH904</f>
        <v>-259886.83333333296</v>
      </c>
      <c r="CJ904" s="15">
        <f t="shared" si="605"/>
        <v>0</v>
      </c>
      <c r="CK904" s="75">
        <f>CJ904*(1-PARAM!$C$27)*$R$4+(MOD($B904/12,5)=0)*($B904&gt;60)*HLOOKUP($B904/12,Loyalty,2)*$F$1*MAX(CM903,0)</f>
        <v>0</v>
      </c>
      <c r="CL904" s="75">
        <f>PARAM!$C$26+MAX($P$4-CHOOSE(PARAM!$B$44,MAX(0,CM903*$F$1),0),0)*RATES!$L880/12+$Q$4*(PARAM!$D$51/12)*RATES!$N880/100</f>
        <v>1190.0416666666667</v>
      </c>
      <c r="CM904" s="16">
        <f>IF(CM903&gt;0,CM903*PARAM!$C$53,CM903)+CK904-CL904</f>
        <v>-259886.83333333296</v>
      </c>
      <c r="CO904" s="176"/>
    </row>
    <row r="905" spans="1:93" x14ac:dyDescent="0.2">
      <c r="A905" t="b">
        <f t="shared" si="580"/>
        <v>0</v>
      </c>
      <c r="B905" s="33">
        <v>878</v>
      </c>
      <c r="C905" s="15">
        <f t="shared" si="581"/>
        <v>20.081305947392778</v>
      </c>
      <c r="D905" s="75">
        <f>C905*(1-PARAM!$C$27)*$I$3+(MOD($B905,60)=PARAM!$B$56)*($B905&gt;(60-PARAM!$B$56))*HLOOKUP(($B905+PARAM!$B$56)/12,Loyalty,2)*$F$1*MAX(F904,0)</f>
        <v>16.808053077967756</v>
      </c>
      <c r="E905" s="75">
        <f>PARAM!$C$26+MAX($G$3-CHOOSE(PARAM!$B$44,MAX(0,F904*$F$1),0),0)*RATES!$L881/12+$H$3*(PARAM!$D$51/12)*RATES!$N881/100</f>
        <v>1190.0416666666667</v>
      </c>
      <c r="F905" s="16">
        <f t="shared" si="582"/>
        <v>-246475.82958894855</v>
      </c>
      <c r="G905" s="15">
        <f t="shared" si="583"/>
        <v>22.035289406060361</v>
      </c>
      <c r="H905" s="75">
        <f>G905*(1-PARAM!$C$27)*$I$4+(MOD($B905,60)=PARAM!$B$56)*($B905&gt;(60-PARAM!$B$56))*HLOOKUP(($B905+PARAM!$B$56)/12,Loyalty,2)*$F$1*MAX(J904,0)</f>
        <v>18.443537232872522</v>
      </c>
      <c r="I905" s="75">
        <f>PARAM!$C$26+MAX($G$4-CHOOSE(PARAM!$B$44,MAX(0,J904*$F$1),0),0)*RATES!$L881/12+$H$4*(PARAM!$D$51/12)*RATES!$N881/100</f>
        <v>1190.0416666666667</v>
      </c>
      <c r="J905" s="16">
        <f t="shared" si="584"/>
        <v>-245006.04153681907</v>
      </c>
      <c r="K905" s="15">
        <f t="shared" si="585"/>
        <v>22.170849845882874</v>
      </c>
      <c r="L905" s="75">
        <f>K905*(1-PARAM!$C$27)*$I$5+(MOD($B905,60)=PARAM!$B$56)*($B905&gt;(60-PARAM!$B$56))*HLOOKUP(($B905+PARAM!$B$56)/12,Loyalty,2)*$F$1*MAX(N904,0)</f>
        <v>18.557001321003963</v>
      </c>
      <c r="M905" s="75">
        <f>PARAM!$C$26+MAX($G$5-CHOOSE(PARAM!$B$44,MAX(0,N904*$F$1),0),0)*RATES!$L881/12+$H$5*(PARAM!$D$51/12)*RATES!$N881/100</f>
        <v>1190.0416666666667</v>
      </c>
      <c r="N905" s="16">
        <f t="shared" si="586"/>
        <v>-244903.40253104077</v>
      </c>
      <c r="O905" s="15">
        <f t="shared" si="587"/>
        <v>22.170849845882874</v>
      </c>
      <c r="P905" s="75">
        <f>O905*(1-PARAM!$C$27)*$I$6+(MOD($B905,60)=PARAM!$B$56)*($B905&gt;(60-PARAM!$B$56))*HLOOKUP(($B905+PARAM!$B$56)/12,Loyalty,2)*$F$1*MAX(R904,0)</f>
        <v>18.557001321003963</v>
      </c>
      <c r="Q905" s="75">
        <f>PARAM!$C$26+MAX($G$6-CHOOSE(PARAM!$B$44,MAX(0,R904*$F$1),0),0)*RATES!$L881/12+$H$6*(PARAM!$D$51/12)*RATES!$N881/100</f>
        <v>1190.0416666666667</v>
      </c>
      <c r="R905" s="16">
        <f t="shared" si="588"/>
        <v>-244903.40253104077</v>
      </c>
      <c r="S905" s="15">
        <f t="shared" si="563"/>
        <v>22.170849845882874</v>
      </c>
      <c r="T905" s="75">
        <f>S905*(1-PARAM!$C$27)*$I$7+(MOD($B905,60)=PARAM!$B$56)*($B905&gt;(60-PARAM!$B$56))*HLOOKUP(($B905+PARAM!$B$56)/12,Loyalty,2)*$F$1*MAX(V904,0)</f>
        <v>18.557001321003963</v>
      </c>
      <c r="U905" s="75">
        <f>PARAM!$C$26+MAX($G$7-CHOOSE(PARAM!$B$44,MAX(0,V904*$F$1),0),0)*RATES!$L881/12+$H$7*(PARAM!$D$51/12)*RATES!$N881/100</f>
        <v>1190.0416666666667</v>
      </c>
      <c r="V905" s="16">
        <f t="shared" si="589"/>
        <v>-244903.40253104077</v>
      </c>
      <c r="W905" s="15">
        <f t="shared" si="564"/>
        <v>22.170849845882874</v>
      </c>
      <c r="X905" s="75">
        <f>W905*(1-PARAM!$C$27)*$I$8+(MOD($B905,60)=PARAM!$B$56)*($B905&gt;(60-PARAM!$B$56))*HLOOKUP(($B905+PARAM!$B$56)/12,Loyalty,2)*$F$1*MAX(Z904,0)</f>
        <v>18.557001321003963</v>
      </c>
      <c r="Y905" s="75">
        <f>PARAM!$C$26+MAX($G$8-CHOOSE(PARAM!$B$44,MAX(0,Z904*$F$1),0),0)*RATES!$L881/12+$H$8*(PARAM!$D$51/12)*RATES!$N881/100</f>
        <v>1190.0416666666667</v>
      </c>
      <c r="Z905" s="16">
        <f t="shared" si="590"/>
        <v>-244903.40253104077</v>
      </c>
      <c r="AA905" s="15">
        <f t="shared" si="565"/>
        <v>22.170849845882874</v>
      </c>
      <c r="AB905" s="75">
        <f>AA905*(1-PARAM!$C$27)*$I$9+(MOD($B905,60)=PARAM!$B$56)*($B905&gt;(60-PARAM!$B$56))*HLOOKUP(($B905+PARAM!$B$56)/12,Loyalty,2)*$F$1*MAX(AD904,0)</f>
        <v>18.557001321003963</v>
      </c>
      <c r="AC905" s="75">
        <f>PARAM!$C$26+MAX($G$9-CHOOSE(PARAM!$B$44,MAX(0,AD904*$F$1),0),0)*RATES!$L881/12+$H$9*(PARAM!$D$51/12)*RATES!$N881/100</f>
        <v>1190.0416666666667</v>
      </c>
      <c r="AD905" s="16">
        <f t="shared" si="591"/>
        <v>-244903.40253104077</v>
      </c>
      <c r="AE905" s="15">
        <f t="shared" si="566"/>
        <v>22.170849845882874</v>
      </c>
      <c r="AF905" s="75">
        <f>AE905*(1-PARAM!$C$27)*$I$10+(MOD($B905,60)=PARAM!$B$56)*($B905&gt;(60-PARAM!$B$56))*HLOOKUP(($B905+PARAM!$B$56)/12,Loyalty,2)*$F$1*MAX(AH904,0)</f>
        <v>18.557001321003963</v>
      </c>
      <c r="AG905" s="75">
        <f>PARAM!$C$26+MAX($G$10-CHOOSE(PARAM!$B$44,MAX(0,AH904*$F$1),0),0)*RATES!$L881/12+$H$10*(PARAM!$D$51/12)*RATES!$N881/100</f>
        <v>1190.0416666666667</v>
      </c>
      <c r="AH905" s="16">
        <f t="shared" si="592"/>
        <v>-244903.40253104077</v>
      </c>
      <c r="AI905" s="15">
        <f t="shared" si="567"/>
        <v>22.170849845882874</v>
      </c>
      <c r="AJ905" s="75">
        <f>AI905*(1-PARAM!$C$27)*$I$11+(MOD($B905,60)=PARAM!$B$56)*($B905&gt;(60-PARAM!$B$56))*HLOOKUP(($B905+PARAM!$B$56)/12,Loyalty,2)*$F$1*MAX(AL904,0)</f>
        <v>18.557001321003963</v>
      </c>
      <c r="AK905" s="75">
        <f>PARAM!$C$26+MAX($G$11-CHOOSE(PARAM!$B$44,MAX(0,AL904*$F$1),0),0)*RATES!$L881/12+$H$11*(PARAM!$D$51/12)*RATES!$N881/100</f>
        <v>1190.0416666666667</v>
      </c>
      <c r="AL905" s="16">
        <f t="shared" si="593"/>
        <v>-244903.40253104077</v>
      </c>
      <c r="AM905" s="15">
        <f t="shared" si="568"/>
        <v>22.170849845882874</v>
      </c>
      <c r="AN905" s="75">
        <f>AM905*(1-PARAM!$C$27)*$I$12+(MOD($B905,60)=PARAM!$B$56)*($B905&gt;(60-PARAM!$B$56))*HLOOKUP(($B905+PARAM!$B$56)/12,Loyalty,2)*$F$1*MAX(AP904,0)</f>
        <v>18.557001321003963</v>
      </c>
      <c r="AO905" s="75">
        <f>PARAM!$C$26+MAX($G$12-CHOOSE(PARAM!$B$44,MAX(0,AP904*$F$1),0),0)*RATES!$L881/12+$H$12*(PARAM!$D$51/12)*RATES!$N881/100</f>
        <v>1190.0416666666667</v>
      </c>
      <c r="AP905" s="16">
        <f t="shared" si="594"/>
        <v>-244903.40253104077</v>
      </c>
      <c r="AQ905" s="15">
        <f t="shared" si="569"/>
        <v>22.170849845882874</v>
      </c>
      <c r="AR905" s="75">
        <f>AQ905*(1-PARAM!$C$27)*$I$13+(MOD($B905,60)=PARAM!$B$56)*($B905&gt;(60-PARAM!$B$56))*HLOOKUP(($B905+PARAM!$B$56)/12,Loyalty,2)*$F$1*MAX(AT904,0)</f>
        <v>18.557001321003963</v>
      </c>
      <c r="AS905" s="75">
        <f>PARAM!$C$26+MAX($G$13-CHOOSE(PARAM!$B$44,MAX(0,AT904*$F$1),0),0)*RATES!$L881/12+$H$13*(PARAM!$D$51/12)*RATES!$N881/100</f>
        <v>1190.0416666666667</v>
      </c>
      <c r="AT905" s="16">
        <f t="shared" si="595"/>
        <v>-244903.40253104077</v>
      </c>
      <c r="AU905" s="15">
        <f t="shared" si="570"/>
        <v>22.170849845882874</v>
      </c>
      <c r="AV905" s="75">
        <f>AU905*(1-PARAM!$C$27)*$I$14+(MOD($B905,60)=PARAM!$B$56)*($B905&gt;(60-PARAM!$B$56))*HLOOKUP(($B905+PARAM!$B$56)/12,Loyalty,2)*$F$1*MAX(AX904,0)</f>
        <v>18.557001321003963</v>
      </c>
      <c r="AW905" s="75">
        <f>PARAM!$C$26+MAX($G$14-CHOOSE(PARAM!$B$44,MAX(0,AX904*$F$1),0),0)*RATES!$L881/12+$H$14*(PARAM!$D$51/12)*RATES!$N881/100</f>
        <v>1190.0416666666667</v>
      </c>
      <c r="AX905" s="16">
        <f t="shared" si="596"/>
        <v>-244903.40253104077</v>
      </c>
      <c r="AY905" s="15">
        <f t="shared" si="571"/>
        <v>22.170849845882874</v>
      </c>
      <c r="AZ905" s="75">
        <f>AY905*(1-PARAM!$C$27)*$I$15+(MOD($B905,60)=PARAM!$B$56)*($B905&gt;(60-PARAM!$B$56))*HLOOKUP(($B905+PARAM!$B$56)/12,Loyalty,2)*$F$1*MAX(BB904,0)</f>
        <v>18.557001321003963</v>
      </c>
      <c r="BA905" s="75">
        <f>PARAM!$C$26+MAX($G$15-CHOOSE(PARAM!$B$44,MAX(0,BB904*$F$1),0),0)*RATES!$L881/12+$H$15*(PARAM!$D$51/12)*RATES!$N881/100</f>
        <v>1190.0416666666667</v>
      </c>
      <c r="BB905" s="16">
        <f t="shared" si="597"/>
        <v>-244903.40253104077</v>
      </c>
      <c r="BC905" s="15">
        <f t="shared" si="572"/>
        <v>22.170849845882874</v>
      </c>
      <c r="BD905" s="75">
        <f>BC905*(1-PARAM!$C$27)*$I$16+(MOD($B905,60)=PARAM!$B$56)*($B905&gt;(60-PARAM!$B$56))*HLOOKUP(($B905+PARAM!$B$56)/12,Loyalty,2)*$F$1*MAX(BF904,0)</f>
        <v>18.557001321003963</v>
      </c>
      <c r="BE905" s="75">
        <f>PARAM!$C$26+MAX($G$16-CHOOSE(PARAM!$B$44,MAX(0,BF904*$F$1),0),0)*RATES!$L881/12+$H$16*(PARAM!$D$51/12)*RATES!$N881/100</f>
        <v>1190.0416666666667</v>
      </c>
      <c r="BF905" s="16">
        <f t="shared" si="598"/>
        <v>-244903.40253104077</v>
      </c>
      <c r="BG905" s="15">
        <f t="shared" si="573"/>
        <v>22.170849845882874</v>
      </c>
      <c r="BH905" s="75">
        <f>BG905*(1-PARAM!$C$27)*$I$17+(MOD($B905,60)=PARAM!$B$56)*($B905&gt;(60-PARAM!$B$56))*HLOOKUP(($B905+PARAM!$B$56)/12,Loyalty,2)*$F$1*MAX(BJ904,0)</f>
        <v>18.557001321003963</v>
      </c>
      <c r="BI905" s="75">
        <f>PARAM!$C$26+MAX($G$17-CHOOSE(PARAM!$B$44,MAX(0,BJ904*$F$1),0),0)*RATES!$L881/12+$H$17*(PARAM!$D$51/12)*RATES!$N881/100</f>
        <v>1190.0416666666667</v>
      </c>
      <c r="BJ905" s="16">
        <f t="shared" si="599"/>
        <v>-244903.40253104077</v>
      </c>
      <c r="BK905" s="15">
        <f t="shared" si="574"/>
        <v>22.170849845882874</v>
      </c>
      <c r="BL905" s="75">
        <f>BK905*(1-PARAM!$C$27)*$I$18+(MOD($B905,60)=PARAM!$B$56)*($B905&gt;(60-PARAM!$B$56))*HLOOKUP(($B905+PARAM!$B$56)/12,Loyalty,2)*$F$1*MAX(BN904,0)</f>
        <v>18.557001321003963</v>
      </c>
      <c r="BM905" s="75">
        <f>PARAM!$C$26+MAX($G$18-CHOOSE(PARAM!$B$44,MAX(0,BN904*$F$1),0),0)*RATES!$L881/12+$H$18*(PARAM!$D$51/12)*RATES!$N881/100</f>
        <v>1190.0416666666667</v>
      </c>
      <c r="BN905" s="16">
        <f t="shared" si="600"/>
        <v>-244903.40253104077</v>
      </c>
      <c r="BO905" s="15">
        <f t="shared" si="575"/>
        <v>22.170849845882874</v>
      </c>
      <c r="BP905" s="75">
        <f>BO905*(1-PARAM!$C$27)*$I$19+(MOD($B905,60)=PARAM!$B$56)*($B905&gt;(60-PARAM!$B$56))*HLOOKUP(($B905+PARAM!$B$56)/12,Loyalty,2)*$F$1*MAX(BR904,0)</f>
        <v>18.557001321003963</v>
      </c>
      <c r="BQ905" s="75">
        <f>PARAM!$C$26+MAX($G$19-CHOOSE(PARAM!$B$44,MAX(0,BR904*$F$1),0),0)*RATES!$L881/12+$H$19*(PARAM!$D$51/12)*RATES!$N881/100</f>
        <v>1190.0416666666667</v>
      </c>
      <c r="BR905" s="16">
        <f t="shared" si="601"/>
        <v>-244903.40253104077</v>
      </c>
      <c r="BS905" s="15">
        <f t="shared" si="576"/>
        <v>22.170849845882874</v>
      </c>
      <c r="BT905" s="75">
        <f>BS905*(1-PARAM!$C$27)*$I$20+(MOD($B905,60)=PARAM!$B$56)*($B905&gt;(60-PARAM!$B$56))*HLOOKUP(($B905+PARAM!$B$56)/12,Loyalty,2)*$F$1*MAX(BV904,0)</f>
        <v>18.557001321003963</v>
      </c>
      <c r="BU905" s="75">
        <f>PARAM!$C$26+MAX($G$20-CHOOSE(PARAM!$B$44,MAX(0,BV904*$F$1),0),0)*RATES!$L881/12+$H$20*(PARAM!$D$51/12)*RATES!$N881/100</f>
        <v>1190.0416666666667</v>
      </c>
      <c r="BV905" s="16">
        <f t="shared" si="602"/>
        <v>-244903.40253104077</v>
      </c>
      <c r="BW905" s="15">
        <f t="shared" si="577"/>
        <v>22.170849845882874</v>
      </c>
      <c r="BX905" s="75">
        <f>BW905*(1-PARAM!$C$27)*$I$21+(MOD($B905,60)=PARAM!$B$56)*($B905&gt;(60-PARAM!$B$56))*HLOOKUP(($B905+PARAM!$B$56)/12,Loyalty,2)*$F$1*MAX(BZ904,0)</f>
        <v>18.557001321003963</v>
      </c>
      <c r="BY905" s="75">
        <f>PARAM!$C$26+MAX($G$21-CHOOSE(PARAM!$B$44,MAX(0,BZ904*$F$1),0),0)*RATES!$L881/12+$H$21*(PARAM!$D$51/12)*RATES!$N881/100</f>
        <v>1190.0416666666667</v>
      </c>
      <c r="BZ905" s="16">
        <f t="shared" si="603"/>
        <v>-244903.40253104077</v>
      </c>
      <c r="CA905" s="15">
        <f t="shared" si="578"/>
        <v>22.170849845882874</v>
      </c>
      <c r="CB905" s="75">
        <f>CA905*(1-PARAM!$C$27)*$I$22+(MOD($B905,60)=PARAM!$B$56)*($B905&gt;(60-PARAM!$B$56))*HLOOKUP(($B905+PARAM!$B$56)/12,Loyalty,2)*$F$1*MAX(CD904,0)</f>
        <v>18.557001321003963</v>
      </c>
      <c r="CC905" s="75">
        <f>PARAM!$C$26+MAX($G$22-CHOOSE(PARAM!$B$44,MAX(0,CD904*$F$1),0),0)*RATES!$L881/12+$H$22*(PARAM!$D$51/12)*RATES!$N881/100</f>
        <v>1190.0416666666667</v>
      </c>
      <c r="CD905" s="16">
        <f t="shared" si="604"/>
        <v>-244903.40253104077</v>
      </c>
      <c r="CE905" s="33">
        <f>IF(0=MOD(B905,12/PARAM!$D$51),1,0)</f>
        <v>1</v>
      </c>
      <c r="CF905" s="15">
        <f t="shared" si="579"/>
        <v>0</v>
      </c>
      <c r="CG905" s="75">
        <f>CF905*(1-PARAM!$C$27)*$R$3+(MOD($B905/12,5)=0)*($B905&gt;60)*HLOOKUP($B905/12,Loyalty,2)*$F$1*MAX(CI904,0)</f>
        <v>0</v>
      </c>
      <c r="CH905" s="75">
        <f>PARAM!$C$26+MAX($P$3-CHOOSE(PARAM!$B$44,MAX(0,CI904*$F$1),0),0)*RATES!$L881/12+$Q$3*(PARAM!$D$51/12)*RATES!$N881/100</f>
        <v>1190.0416666666667</v>
      </c>
      <c r="CI905" s="16">
        <f>IF(CI904&gt;0,CI904*PARAM!$C$53,CI904)+CG905-CH905</f>
        <v>-261076.87499999962</v>
      </c>
      <c r="CJ905" s="15">
        <f t="shared" si="605"/>
        <v>0</v>
      </c>
      <c r="CK905" s="75">
        <f>CJ905*(1-PARAM!$C$27)*$R$4+(MOD($B905/12,5)=0)*($B905&gt;60)*HLOOKUP($B905/12,Loyalty,2)*$F$1*MAX(CM904,0)</f>
        <v>0</v>
      </c>
      <c r="CL905" s="75">
        <f>PARAM!$C$26+MAX($P$4-CHOOSE(PARAM!$B$44,MAX(0,CM904*$F$1),0),0)*RATES!$L881/12+$Q$4*(PARAM!$D$51/12)*RATES!$N881/100</f>
        <v>1190.0416666666667</v>
      </c>
      <c r="CM905" s="16">
        <f>IF(CM904&gt;0,CM904*PARAM!$C$53,CM904)+CK905-CL905</f>
        <v>-261076.87499999962</v>
      </c>
      <c r="CO905" s="176"/>
    </row>
    <row r="906" spans="1:93" x14ac:dyDescent="0.2">
      <c r="A906" t="b">
        <f t="shared" si="580"/>
        <v>0</v>
      </c>
      <c r="B906" s="33">
        <v>879</v>
      </c>
      <c r="C906" s="15">
        <f t="shared" si="581"/>
        <v>20.081305947392778</v>
      </c>
      <c r="D906" s="75">
        <f>C906*(1-PARAM!$C$27)*$I$3+(MOD($B906,60)=PARAM!$B$56)*($B906&gt;(60-PARAM!$B$56))*HLOOKUP(($B906+PARAM!$B$56)/12,Loyalty,2)*$F$1*MAX(F905,0)</f>
        <v>16.808053077967756</v>
      </c>
      <c r="E906" s="75">
        <f>PARAM!$C$26+MAX($G$3-CHOOSE(PARAM!$B$44,MAX(0,F905*$F$1),0),0)*RATES!$L882/12+$H$3*(PARAM!$D$51/12)*RATES!$N882/100</f>
        <v>1190.0416666666667</v>
      </c>
      <c r="F906" s="16">
        <f t="shared" si="582"/>
        <v>-247649.06320253725</v>
      </c>
      <c r="G906" s="15">
        <f t="shared" si="583"/>
        <v>22.035289406060361</v>
      </c>
      <c r="H906" s="75">
        <f>G906*(1-PARAM!$C$27)*$I$4+(MOD($B906,60)=PARAM!$B$56)*($B906&gt;(60-PARAM!$B$56))*HLOOKUP(($B906+PARAM!$B$56)/12,Loyalty,2)*$F$1*MAX(J905,0)</f>
        <v>18.443537232872522</v>
      </c>
      <c r="I906" s="75">
        <f>PARAM!$C$26+MAX($G$4-CHOOSE(PARAM!$B$44,MAX(0,J905*$F$1),0),0)*RATES!$L882/12+$H$4*(PARAM!$D$51/12)*RATES!$N882/100</f>
        <v>1190.0416666666667</v>
      </c>
      <c r="J906" s="16">
        <f t="shared" si="584"/>
        <v>-246177.63966625286</v>
      </c>
      <c r="K906" s="15">
        <f t="shared" si="585"/>
        <v>22.170849845882874</v>
      </c>
      <c r="L906" s="75">
        <f>K906*(1-PARAM!$C$27)*$I$5+(MOD($B906,60)=PARAM!$B$56)*($B906&gt;(60-PARAM!$B$56))*HLOOKUP(($B906+PARAM!$B$56)/12,Loyalty,2)*$F$1*MAX(N905,0)</f>
        <v>18.557001321003963</v>
      </c>
      <c r="M906" s="75">
        <f>PARAM!$C$26+MAX($G$5-CHOOSE(PARAM!$B$44,MAX(0,N905*$F$1),0),0)*RATES!$L882/12+$H$5*(PARAM!$D$51/12)*RATES!$N882/100</f>
        <v>1190.0416666666667</v>
      </c>
      <c r="N906" s="16">
        <f t="shared" si="586"/>
        <v>-246074.88719638644</v>
      </c>
      <c r="O906" s="15">
        <f t="shared" si="587"/>
        <v>22.170849845882874</v>
      </c>
      <c r="P906" s="75">
        <f>O906*(1-PARAM!$C$27)*$I$6+(MOD($B906,60)=PARAM!$B$56)*($B906&gt;(60-PARAM!$B$56))*HLOOKUP(($B906+PARAM!$B$56)/12,Loyalty,2)*$F$1*MAX(R905,0)</f>
        <v>18.557001321003963</v>
      </c>
      <c r="Q906" s="75">
        <f>PARAM!$C$26+MAX($G$6-CHOOSE(PARAM!$B$44,MAX(0,R905*$F$1),0),0)*RATES!$L882/12+$H$6*(PARAM!$D$51/12)*RATES!$N882/100</f>
        <v>1190.0416666666667</v>
      </c>
      <c r="R906" s="16">
        <f t="shared" si="588"/>
        <v>-246074.88719638644</v>
      </c>
      <c r="S906" s="15">
        <f t="shared" si="563"/>
        <v>22.170849845882874</v>
      </c>
      <c r="T906" s="75">
        <f>S906*(1-PARAM!$C$27)*$I$7+(MOD($B906,60)=PARAM!$B$56)*($B906&gt;(60-PARAM!$B$56))*HLOOKUP(($B906+PARAM!$B$56)/12,Loyalty,2)*$F$1*MAX(V905,0)</f>
        <v>18.557001321003963</v>
      </c>
      <c r="U906" s="75">
        <f>PARAM!$C$26+MAX($G$7-CHOOSE(PARAM!$B$44,MAX(0,V905*$F$1),0),0)*RATES!$L882/12+$H$7*(PARAM!$D$51/12)*RATES!$N882/100</f>
        <v>1190.0416666666667</v>
      </c>
      <c r="V906" s="16">
        <f t="shared" si="589"/>
        <v>-246074.88719638644</v>
      </c>
      <c r="W906" s="15">
        <f t="shared" si="564"/>
        <v>22.170849845882874</v>
      </c>
      <c r="X906" s="75">
        <f>W906*(1-PARAM!$C$27)*$I$8+(MOD($B906,60)=PARAM!$B$56)*($B906&gt;(60-PARAM!$B$56))*HLOOKUP(($B906+PARAM!$B$56)/12,Loyalty,2)*$F$1*MAX(Z905,0)</f>
        <v>18.557001321003963</v>
      </c>
      <c r="Y906" s="75">
        <f>PARAM!$C$26+MAX($G$8-CHOOSE(PARAM!$B$44,MAX(0,Z905*$F$1),0),0)*RATES!$L882/12+$H$8*(PARAM!$D$51/12)*RATES!$N882/100</f>
        <v>1190.0416666666667</v>
      </c>
      <c r="Z906" s="16">
        <f t="shared" si="590"/>
        <v>-246074.88719638644</v>
      </c>
      <c r="AA906" s="15">
        <f t="shared" si="565"/>
        <v>22.170849845882874</v>
      </c>
      <c r="AB906" s="75">
        <f>AA906*(1-PARAM!$C$27)*$I$9+(MOD($B906,60)=PARAM!$B$56)*($B906&gt;(60-PARAM!$B$56))*HLOOKUP(($B906+PARAM!$B$56)/12,Loyalty,2)*$F$1*MAX(AD905,0)</f>
        <v>18.557001321003963</v>
      </c>
      <c r="AC906" s="75">
        <f>PARAM!$C$26+MAX($G$9-CHOOSE(PARAM!$B$44,MAX(0,AD905*$F$1),0),0)*RATES!$L882/12+$H$9*(PARAM!$D$51/12)*RATES!$N882/100</f>
        <v>1190.0416666666667</v>
      </c>
      <c r="AD906" s="16">
        <f t="shared" si="591"/>
        <v>-246074.88719638644</v>
      </c>
      <c r="AE906" s="15">
        <f t="shared" si="566"/>
        <v>22.170849845882874</v>
      </c>
      <c r="AF906" s="75">
        <f>AE906*(1-PARAM!$C$27)*$I$10+(MOD($B906,60)=PARAM!$B$56)*($B906&gt;(60-PARAM!$B$56))*HLOOKUP(($B906+PARAM!$B$56)/12,Loyalty,2)*$F$1*MAX(AH905,0)</f>
        <v>18.557001321003963</v>
      </c>
      <c r="AG906" s="75">
        <f>PARAM!$C$26+MAX($G$10-CHOOSE(PARAM!$B$44,MAX(0,AH905*$F$1),0),0)*RATES!$L882/12+$H$10*(PARAM!$D$51/12)*RATES!$N882/100</f>
        <v>1190.0416666666667</v>
      </c>
      <c r="AH906" s="16">
        <f t="shared" si="592"/>
        <v>-246074.88719638644</v>
      </c>
      <c r="AI906" s="15">
        <f t="shared" si="567"/>
        <v>22.170849845882874</v>
      </c>
      <c r="AJ906" s="75">
        <f>AI906*(1-PARAM!$C$27)*$I$11+(MOD($B906,60)=PARAM!$B$56)*($B906&gt;(60-PARAM!$B$56))*HLOOKUP(($B906+PARAM!$B$56)/12,Loyalty,2)*$F$1*MAX(AL905,0)</f>
        <v>18.557001321003963</v>
      </c>
      <c r="AK906" s="75">
        <f>PARAM!$C$26+MAX($G$11-CHOOSE(PARAM!$B$44,MAX(0,AL905*$F$1),0),0)*RATES!$L882/12+$H$11*(PARAM!$D$51/12)*RATES!$N882/100</f>
        <v>1190.0416666666667</v>
      </c>
      <c r="AL906" s="16">
        <f t="shared" si="593"/>
        <v>-246074.88719638644</v>
      </c>
      <c r="AM906" s="15">
        <f t="shared" si="568"/>
        <v>22.170849845882874</v>
      </c>
      <c r="AN906" s="75">
        <f>AM906*(1-PARAM!$C$27)*$I$12+(MOD($B906,60)=PARAM!$B$56)*($B906&gt;(60-PARAM!$B$56))*HLOOKUP(($B906+PARAM!$B$56)/12,Loyalty,2)*$F$1*MAX(AP905,0)</f>
        <v>18.557001321003963</v>
      </c>
      <c r="AO906" s="75">
        <f>PARAM!$C$26+MAX($G$12-CHOOSE(PARAM!$B$44,MAX(0,AP905*$F$1),0),0)*RATES!$L882/12+$H$12*(PARAM!$D$51/12)*RATES!$N882/100</f>
        <v>1190.0416666666667</v>
      </c>
      <c r="AP906" s="16">
        <f t="shared" si="594"/>
        <v>-246074.88719638644</v>
      </c>
      <c r="AQ906" s="15">
        <f t="shared" si="569"/>
        <v>22.170849845882874</v>
      </c>
      <c r="AR906" s="75">
        <f>AQ906*(1-PARAM!$C$27)*$I$13+(MOD($B906,60)=PARAM!$B$56)*($B906&gt;(60-PARAM!$B$56))*HLOOKUP(($B906+PARAM!$B$56)/12,Loyalty,2)*$F$1*MAX(AT905,0)</f>
        <v>18.557001321003963</v>
      </c>
      <c r="AS906" s="75">
        <f>PARAM!$C$26+MAX($G$13-CHOOSE(PARAM!$B$44,MAX(0,AT905*$F$1),0),0)*RATES!$L882/12+$H$13*(PARAM!$D$51/12)*RATES!$N882/100</f>
        <v>1190.0416666666667</v>
      </c>
      <c r="AT906" s="16">
        <f t="shared" si="595"/>
        <v>-246074.88719638644</v>
      </c>
      <c r="AU906" s="15">
        <f t="shared" si="570"/>
        <v>22.170849845882874</v>
      </c>
      <c r="AV906" s="75">
        <f>AU906*(1-PARAM!$C$27)*$I$14+(MOD($B906,60)=PARAM!$B$56)*($B906&gt;(60-PARAM!$B$56))*HLOOKUP(($B906+PARAM!$B$56)/12,Loyalty,2)*$F$1*MAX(AX905,0)</f>
        <v>18.557001321003963</v>
      </c>
      <c r="AW906" s="75">
        <f>PARAM!$C$26+MAX($G$14-CHOOSE(PARAM!$B$44,MAX(0,AX905*$F$1),0),0)*RATES!$L882/12+$H$14*(PARAM!$D$51/12)*RATES!$N882/100</f>
        <v>1190.0416666666667</v>
      </c>
      <c r="AX906" s="16">
        <f t="shared" si="596"/>
        <v>-246074.88719638644</v>
      </c>
      <c r="AY906" s="15">
        <f t="shared" si="571"/>
        <v>22.170849845882874</v>
      </c>
      <c r="AZ906" s="75">
        <f>AY906*(1-PARAM!$C$27)*$I$15+(MOD($B906,60)=PARAM!$B$56)*($B906&gt;(60-PARAM!$B$56))*HLOOKUP(($B906+PARAM!$B$56)/12,Loyalty,2)*$F$1*MAX(BB905,0)</f>
        <v>18.557001321003963</v>
      </c>
      <c r="BA906" s="75">
        <f>PARAM!$C$26+MAX($G$15-CHOOSE(PARAM!$B$44,MAX(0,BB905*$F$1),0),0)*RATES!$L882/12+$H$15*(PARAM!$D$51/12)*RATES!$N882/100</f>
        <v>1190.0416666666667</v>
      </c>
      <c r="BB906" s="16">
        <f t="shared" si="597"/>
        <v>-246074.88719638644</v>
      </c>
      <c r="BC906" s="15">
        <f t="shared" si="572"/>
        <v>22.170849845882874</v>
      </c>
      <c r="BD906" s="75">
        <f>BC906*(1-PARAM!$C$27)*$I$16+(MOD($B906,60)=PARAM!$B$56)*($B906&gt;(60-PARAM!$B$56))*HLOOKUP(($B906+PARAM!$B$56)/12,Loyalty,2)*$F$1*MAX(BF905,0)</f>
        <v>18.557001321003963</v>
      </c>
      <c r="BE906" s="75">
        <f>PARAM!$C$26+MAX($G$16-CHOOSE(PARAM!$B$44,MAX(0,BF905*$F$1),0),0)*RATES!$L882/12+$H$16*(PARAM!$D$51/12)*RATES!$N882/100</f>
        <v>1190.0416666666667</v>
      </c>
      <c r="BF906" s="16">
        <f t="shared" si="598"/>
        <v>-246074.88719638644</v>
      </c>
      <c r="BG906" s="15">
        <f t="shared" si="573"/>
        <v>22.170849845882874</v>
      </c>
      <c r="BH906" s="75">
        <f>BG906*(1-PARAM!$C$27)*$I$17+(MOD($B906,60)=PARAM!$B$56)*($B906&gt;(60-PARAM!$B$56))*HLOOKUP(($B906+PARAM!$B$56)/12,Loyalty,2)*$F$1*MAX(BJ905,0)</f>
        <v>18.557001321003963</v>
      </c>
      <c r="BI906" s="75">
        <f>PARAM!$C$26+MAX($G$17-CHOOSE(PARAM!$B$44,MAX(0,BJ905*$F$1),0),0)*RATES!$L882/12+$H$17*(PARAM!$D$51/12)*RATES!$N882/100</f>
        <v>1190.0416666666667</v>
      </c>
      <c r="BJ906" s="16">
        <f t="shared" si="599"/>
        <v>-246074.88719638644</v>
      </c>
      <c r="BK906" s="15">
        <f t="shared" si="574"/>
        <v>22.170849845882874</v>
      </c>
      <c r="BL906" s="75">
        <f>BK906*(1-PARAM!$C$27)*$I$18+(MOD($B906,60)=PARAM!$B$56)*($B906&gt;(60-PARAM!$B$56))*HLOOKUP(($B906+PARAM!$B$56)/12,Loyalty,2)*$F$1*MAX(BN905,0)</f>
        <v>18.557001321003963</v>
      </c>
      <c r="BM906" s="75">
        <f>PARAM!$C$26+MAX($G$18-CHOOSE(PARAM!$B$44,MAX(0,BN905*$F$1),0),0)*RATES!$L882/12+$H$18*(PARAM!$D$51/12)*RATES!$N882/100</f>
        <v>1190.0416666666667</v>
      </c>
      <c r="BN906" s="16">
        <f t="shared" si="600"/>
        <v>-246074.88719638644</v>
      </c>
      <c r="BO906" s="15">
        <f t="shared" si="575"/>
        <v>22.170849845882874</v>
      </c>
      <c r="BP906" s="75">
        <f>BO906*(1-PARAM!$C$27)*$I$19+(MOD($B906,60)=PARAM!$B$56)*($B906&gt;(60-PARAM!$B$56))*HLOOKUP(($B906+PARAM!$B$56)/12,Loyalty,2)*$F$1*MAX(BR905,0)</f>
        <v>18.557001321003963</v>
      </c>
      <c r="BQ906" s="75">
        <f>PARAM!$C$26+MAX($G$19-CHOOSE(PARAM!$B$44,MAX(0,BR905*$F$1),0),0)*RATES!$L882/12+$H$19*(PARAM!$D$51/12)*RATES!$N882/100</f>
        <v>1190.0416666666667</v>
      </c>
      <c r="BR906" s="16">
        <f t="shared" si="601"/>
        <v>-246074.88719638644</v>
      </c>
      <c r="BS906" s="15">
        <f t="shared" si="576"/>
        <v>22.170849845882874</v>
      </c>
      <c r="BT906" s="75">
        <f>BS906*(1-PARAM!$C$27)*$I$20+(MOD($B906,60)=PARAM!$B$56)*($B906&gt;(60-PARAM!$B$56))*HLOOKUP(($B906+PARAM!$B$56)/12,Loyalty,2)*$F$1*MAX(BV905,0)</f>
        <v>18.557001321003963</v>
      </c>
      <c r="BU906" s="75">
        <f>PARAM!$C$26+MAX($G$20-CHOOSE(PARAM!$B$44,MAX(0,BV905*$F$1),0),0)*RATES!$L882/12+$H$20*(PARAM!$D$51/12)*RATES!$N882/100</f>
        <v>1190.0416666666667</v>
      </c>
      <c r="BV906" s="16">
        <f t="shared" si="602"/>
        <v>-246074.88719638644</v>
      </c>
      <c r="BW906" s="15">
        <f t="shared" si="577"/>
        <v>22.170849845882874</v>
      </c>
      <c r="BX906" s="75">
        <f>BW906*(1-PARAM!$C$27)*$I$21+(MOD($B906,60)=PARAM!$B$56)*($B906&gt;(60-PARAM!$B$56))*HLOOKUP(($B906+PARAM!$B$56)/12,Loyalty,2)*$F$1*MAX(BZ905,0)</f>
        <v>18.557001321003963</v>
      </c>
      <c r="BY906" s="75">
        <f>PARAM!$C$26+MAX($G$21-CHOOSE(PARAM!$B$44,MAX(0,BZ905*$F$1),0),0)*RATES!$L882/12+$H$21*(PARAM!$D$51/12)*RATES!$N882/100</f>
        <v>1190.0416666666667</v>
      </c>
      <c r="BZ906" s="16">
        <f t="shared" si="603"/>
        <v>-246074.88719638644</v>
      </c>
      <c r="CA906" s="15">
        <f t="shared" si="578"/>
        <v>22.170849845882874</v>
      </c>
      <c r="CB906" s="75">
        <f>CA906*(1-PARAM!$C$27)*$I$22+(MOD($B906,60)=PARAM!$B$56)*($B906&gt;(60-PARAM!$B$56))*HLOOKUP(($B906+PARAM!$B$56)/12,Loyalty,2)*$F$1*MAX(CD905,0)</f>
        <v>18.557001321003963</v>
      </c>
      <c r="CC906" s="75">
        <f>PARAM!$C$26+MAX($G$22-CHOOSE(PARAM!$B$44,MAX(0,CD905*$F$1),0),0)*RATES!$L882/12+$H$22*(PARAM!$D$51/12)*RATES!$N882/100</f>
        <v>1190.0416666666667</v>
      </c>
      <c r="CD906" s="16">
        <f t="shared" si="604"/>
        <v>-246074.88719638644</v>
      </c>
      <c r="CE906" s="33">
        <f>IF(0=MOD(B906,12/PARAM!$D$51),1,0)</f>
        <v>1</v>
      </c>
      <c r="CF906" s="15">
        <f t="shared" si="579"/>
        <v>0</v>
      </c>
      <c r="CG906" s="75">
        <f>CF906*(1-PARAM!$C$27)*$R$3+(MOD($B906/12,5)=0)*($B906&gt;60)*HLOOKUP($B906/12,Loyalty,2)*$F$1*MAX(CI905,0)</f>
        <v>0</v>
      </c>
      <c r="CH906" s="75">
        <f>PARAM!$C$26+MAX($P$3-CHOOSE(PARAM!$B$44,MAX(0,CI905*$F$1),0),0)*RATES!$L882/12+$Q$3*(PARAM!$D$51/12)*RATES!$N882/100</f>
        <v>1190.0416666666667</v>
      </c>
      <c r="CI906" s="16">
        <f>IF(CI905&gt;0,CI905*PARAM!$C$53,CI905)+CG906-CH906</f>
        <v>-262266.91666666628</v>
      </c>
      <c r="CJ906" s="15">
        <f t="shared" si="605"/>
        <v>0</v>
      </c>
      <c r="CK906" s="75">
        <f>CJ906*(1-PARAM!$C$27)*$R$4+(MOD($B906/12,5)=0)*($B906&gt;60)*HLOOKUP($B906/12,Loyalty,2)*$F$1*MAX(CM905,0)</f>
        <v>0</v>
      </c>
      <c r="CL906" s="75">
        <f>PARAM!$C$26+MAX($P$4-CHOOSE(PARAM!$B$44,MAX(0,CM905*$F$1),0),0)*RATES!$L882/12+$Q$4*(PARAM!$D$51/12)*RATES!$N882/100</f>
        <v>1190.0416666666667</v>
      </c>
      <c r="CM906" s="16">
        <f>IF(CM905&gt;0,CM905*PARAM!$C$53,CM905)+CK906-CL906</f>
        <v>-262266.91666666628</v>
      </c>
      <c r="CO906" s="176"/>
    </row>
    <row r="907" spans="1:93" x14ac:dyDescent="0.2">
      <c r="A907" t="b">
        <f t="shared" si="580"/>
        <v>0</v>
      </c>
      <c r="B907" s="33">
        <v>880</v>
      </c>
      <c r="C907" s="15">
        <f t="shared" si="581"/>
        <v>20.081305947392778</v>
      </c>
      <c r="D907" s="75">
        <f>C907*(1-PARAM!$C$27)*$I$3+(MOD($B907,60)=PARAM!$B$56)*($B907&gt;(60-PARAM!$B$56))*HLOOKUP(($B907+PARAM!$B$56)/12,Loyalty,2)*$F$1*MAX(F906,0)</f>
        <v>16.808053077967756</v>
      </c>
      <c r="E907" s="75">
        <f>PARAM!$C$26+MAX($G$3-CHOOSE(PARAM!$B$44,MAX(0,F906*$F$1),0),0)*RATES!$L883/12+$H$3*(PARAM!$D$51/12)*RATES!$N883/100</f>
        <v>1190.0416666666667</v>
      </c>
      <c r="F907" s="16">
        <f t="shared" si="582"/>
        <v>-248822.29681612595</v>
      </c>
      <c r="G907" s="15">
        <f t="shared" si="583"/>
        <v>22.035289406060361</v>
      </c>
      <c r="H907" s="75">
        <f>G907*(1-PARAM!$C$27)*$I$4+(MOD($B907,60)=PARAM!$B$56)*($B907&gt;(60-PARAM!$B$56))*HLOOKUP(($B907+PARAM!$B$56)/12,Loyalty,2)*$F$1*MAX(J906,0)</f>
        <v>18.443537232872522</v>
      </c>
      <c r="I907" s="75">
        <f>PARAM!$C$26+MAX($G$4-CHOOSE(PARAM!$B$44,MAX(0,J906*$F$1),0),0)*RATES!$L883/12+$H$4*(PARAM!$D$51/12)*RATES!$N883/100</f>
        <v>1190.0416666666667</v>
      </c>
      <c r="J907" s="16">
        <f t="shared" si="584"/>
        <v>-247349.23779568664</v>
      </c>
      <c r="K907" s="15">
        <f t="shared" si="585"/>
        <v>22.170849845882874</v>
      </c>
      <c r="L907" s="75">
        <f>K907*(1-PARAM!$C$27)*$I$5+(MOD($B907,60)=PARAM!$B$56)*($B907&gt;(60-PARAM!$B$56))*HLOOKUP(($B907+PARAM!$B$56)/12,Loyalty,2)*$F$1*MAX(N906,0)</f>
        <v>18.557001321003963</v>
      </c>
      <c r="M907" s="75">
        <f>PARAM!$C$26+MAX($G$5-CHOOSE(PARAM!$B$44,MAX(0,N906*$F$1),0),0)*RATES!$L883/12+$H$5*(PARAM!$D$51/12)*RATES!$N883/100</f>
        <v>1190.0416666666667</v>
      </c>
      <c r="N907" s="16">
        <f t="shared" si="586"/>
        <v>-247246.3718617321</v>
      </c>
      <c r="O907" s="15">
        <f t="shared" si="587"/>
        <v>22.170849845882874</v>
      </c>
      <c r="P907" s="75">
        <f>O907*(1-PARAM!$C$27)*$I$6+(MOD($B907,60)=PARAM!$B$56)*($B907&gt;(60-PARAM!$B$56))*HLOOKUP(($B907+PARAM!$B$56)/12,Loyalty,2)*$F$1*MAX(R906,0)</f>
        <v>18.557001321003963</v>
      </c>
      <c r="Q907" s="75">
        <f>PARAM!$C$26+MAX($G$6-CHOOSE(PARAM!$B$44,MAX(0,R906*$F$1),0),0)*RATES!$L883/12+$H$6*(PARAM!$D$51/12)*RATES!$N883/100</f>
        <v>1190.0416666666667</v>
      </c>
      <c r="R907" s="16">
        <f t="shared" si="588"/>
        <v>-247246.3718617321</v>
      </c>
      <c r="S907" s="15">
        <f t="shared" si="563"/>
        <v>22.170849845882874</v>
      </c>
      <c r="T907" s="75">
        <f>S907*(1-PARAM!$C$27)*$I$7+(MOD($B907,60)=PARAM!$B$56)*($B907&gt;(60-PARAM!$B$56))*HLOOKUP(($B907+PARAM!$B$56)/12,Loyalty,2)*$F$1*MAX(V906,0)</f>
        <v>18.557001321003963</v>
      </c>
      <c r="U907" s="75">
        <f>PARAM!$C$26+MAX($G$7-CHOOSE(PARAM!$B$44,MAX(0,V906*$F$1),0),0)*RATES!$L883/12+$H$7*(PARAM!$D$51/12)*RATES!$N883/100</f>
        <v>1190.0416666666667</v>
      </c>
      <c r="V907" s="16">
        <f t="shared" si="589"/>
        <v>-247246.3718617321</v>
      </c>
      <c r="W907" s="15">
        <f t="shared" si="564"/>
        <v>22.170849845882874</v>
      </c>
      <c r="X907" s="75">
        <f>W907*(1-PARAM!$C$27)*$I$8+(MOD($B907,60)=PARAM!$B$56)*($B907&gt;(60-PARAM!$B$56))*HLOOKUP(($B907+PARAM!$B$56)/12,Loyalty,2)*$F$1*MAX(Z906,0)</f>
        <v>18.557001321003963</v>
      </c>
      <c r="Y907" s="75">
        <f>PARAM!$C$26+MAX($G$8-CHOOSE(PARAM!$B$44,MAX(0,Z906*$F$1),0),0)*RATES!$L883/12+$H$8*(PARAM!$D$51/12)*RATES!$N883/100</f>
        <v>1190.0416666666667</v>
      </c>
      <c r="Z907" s="16">
        <f t="shared" si="590"/>
        <v>-247246.3718617321</v>
      </c>
      <c r="AA907" s="15">
        <f t="shared" si="565"/>
        <v>22.170849845882874</v>
      </c>
      <c r="AB907" s="75">
        <f>AA907*(1-PARAM!$C$27)*$I$9+(MOD($B907,60)=PARAM!$B$56)*($B907&gt;(60-PARAM!$B$56))*HLOOKUP(($B907+PARAM!$B$56)/12,Loyalty,2)*$F$1*MAX(AD906,0)</f>
        <v>18.557001321003963</v>
      </c>
      <c r="AC907" s="75">
        <f>PARAM!$C$26+MAX($G$9-CHOOSE(PARAM!$B$44,MAX(0,AD906*$F$1),0),0)*RATES!$L883/12+$H$9*(PARAM!$D$51/12)*RATES!$N883/100</f>
        <v>1190.0416666666667</v>
      </c>
      <c r="AD907" s="16">
        <f t="shared" si="591"/>
        <v>-247246.3718617321</v>
      </c>
      <c r="AE907" s="15">
        <f t="shared" si="566"/>
        <v>22.170849845882874</v>
      </c>
      <c r="AF907" s="75">
        <f>AE907*(1-PARAM!$C$27)*$I$10+(MOD($B907,60)=PARAM!$B$56)*($B907&gt;(60-PARAM!$B$56))*HLOOKUP(($B907+PARAM!$B$56)/12,Loyalty,2)*$F$1*MAX(AH906,0)</f>
        <v>18.557001321003963</v>
      </c>
      <c r="AG907" s="75">
        <f>PARAM!$C$26+MAX($G$10-CHOOSE(PARAM!$B$44,MAX(0,AH906*$F$1),0),0)*RATES!$L883/12+$H$10*(PARAM!$D$51/12)*RATES!$N883/100</f>
        <v>1190.0416666666667</v>
      </c>
      <c r="AH907" s="16">
        <f t="shared" si="592"/>
        <v>-247246.3718617321</v>
      </c>
      <c r="AI907" s="15">
        <f t="shared" si="567"/>
        <v>22.170849845882874</v>
      </c>
      <c r="AJ907" s="75">
        <f>AI907*(1-PARAM!$C$27)*$I$11+(MOD($B907,60)=PARAM!$B$56)*($B907&gt;(60-PARAM!$B$56))*HLOOKUP(($B907+PARAM!$B$56)/12,Loyalty,2)*$F$1*MAX(AL906,0)</f>
        <v>18.557001321003963</v>
      </c>
      <c r="AK907" s="75">
        <f>PARAM!$C$26+MAX($G$11-CHOOSE(PARAM!$B$44,MAX(0,AL906*$F$1),0),0)*RATES!$L883/12+$H$11*(PARAM!$D$51/12)*RATES!$N883/100</f>
        <v>1190.0416666666667</v>
      </c>
      <c r="AL907" s="16">
        <f t="shared" si="593"/>
        <v>-247246.3718617321</v>
      </c>
      <c r="AM907" s="15">
        <f t="shared" si="568"/>
        <v>22.170849845882874</v>
      </c>
      <c r="AN907" s="75">
        <f>AM907*(1-PARAM!$C$27)*$I$12+(MOD($B907,60)=PARAM!$B$56)*($B907&gt;(60-PARAM!$B$56))*HLOOKUP(($B907+PARAM!$B$56)/12,Loyalty,2)*$F$1*MAX(AP906,0)</f>
        <v>18.557001321003963</v>
      </c>
      <c r="AO907" s="75">
        <f>PARAM!$C$26+MAX($G$12-CHOOSE(PARAM!$B$44,MAX(0,AP906*$F$1),0),0)*RATES!$L883/12+$H$12*(PARAM!$D$51/12)*RATES!$N883/100</f>
        <v>1190.0416666666667</v>
      </c>
      <c r="AP907" s="16">
        <f t="shared" si="594"/>
        <v>-247246.3718617321</v>
      </c>
      <c r="AQ907" s="15">
        <f t="shared" si="569"/>
        <v>22.170849845882874</v>
      </c>
      <c r="AR907" s="75">
        <f>AQ907*(1-PARAM!$C$27)*$I$13+(MOD($B907,60)=PARAM!$B$56)*($B907&gt;(60-PARAM!$B$56))*HLOOKUP(($B907+PARAM!$B$56)/12,Loyalty,2)*$F$1*MAX(AT906,0)</f>
        <v>18.557001321003963</v>
      </c>
      <c r="AS907" s="75">
        <f>PARAM!$C$26+MAX($G$13-CHOOSE(PARAM!$B$44,MAX(0,AT906*$F$1),0),0)*RATES!$L883/12+$H$13*(PARAM!$D$51/12)*RATES!$N883/100</f>
        <v>1190.0416666666667</v>
      </c>
      <c r="AT907" s="16">
        <f t="shared" si="595"/>
        <v>-247246.3718617321</v>
      </c>
      <c r="AU907" s="15">
        <f t="shared" si="570"/>
        <v>22.170849845882874</v>
      </c>
      <c r="AV907" s="75">
        <f>AU907*(1-PARAM!$C$27)*$I$14+(MOD($B907,60)=PARAM!$B$56)*($B907&gt;(60-PARAM!$B$56))*HLOOKUP(($B907+PARAM!$B$56)/12,Loyalty,2)*$F$1*MAX(AX906,0)</f>
        <v>18.557001321003963</v>
      </c>
      <c r="AW907" s="75">
        <f>PARAM!$C$26+MAX($G$14-CHOOSE(PARAM!$B$44,MAX(0,AX906*$F$1),0),0)*RATES!$L883/12+$H$14*(PARAM!$D$51/12)*RATES!$N883/100</f>
        <v>1190.0416666666667</v>
      </c>
      <c r="AX907" s="16">
        <f t="shared" si="596"/>
        <v>-247246.3718617321</v>
      </c>
      <c r="AY907" s="15">
        <f t="shared" si="571"/>
        <v>22.170849845882874</v>
      </c>
      <c r="AZ907" s="75">
        <f>AY907*(1-PARAM!$C$27)*$I$15+(MOD($B907,60)=PARAM!$B$56)*($B907&gt;(60-PARAM!$B$56))*HLOOKUP(($B907+PARAM!$B$56)/12,Loyalty,2)*$F$1*MAX(BB906,0)</f>
        <v>18.557001321003963</v>
      </c>
      <c r="BA907" s="75">
        <f>PARAM!$C$26+MAX($G$15-CHOOSE(PARAM!$B$44,MAX(0,BB906*$F$1),0),0)*RATES!$L883/12+$H$15*(PARAM!$D$51/12)*RATES!$N883/100</f>
        <v>1190.0416666666667</v>
      </c>
      <c r="BB907" s="16">
        <f t="shared" si="597"/>
        <v>-247246.3718617321</v>
      </c>
      <c r="BC907" s="15">
        <f t="shared" si="572"/>
        <v>22.170849845882874</v>
      </c>
      <c r="BD907" s="75">
        <f>BC907*(1-PARAM!$C$27)*$I$16+(MOD($B907,60)=PARAM!$B$56)*($B907&gt;(60-PARAM!$B$56))*HLOOKUP(($B907+PARAM!$B$56)/12,Loyalty,2)*$F$1*MAX(BF906,0)</f>
        <v>18.557001321003963</v>
      </c>
      <c r="BE907" s="75">
        <f>PARAM!$C$26+MAX($G$16-CHOOSE(PARAM!$B$44,MAX(0,BF906*$F$1),0),0)*RATES!$L883/12+$H$16*(PARAM!$D$51/12)*RATES!$N883/100</f>
        <v>1190.0416666666667</v>
      </c>
      <c r="BF907" s="16">
        <f t="shared" si="598"/>
        <v>-247246.3718617321</v>
      </c>
      <c r="BG907" s="15">
        <f t="shared" si="573"/>
        <v>22.170849845882874</v>
      </c>
      <c r="BH907" s="75">
        <f>BG907*(1-PARAM!$C$27)*$I$17+(MOD($B907,60)=PARAM!$B$56)*($B907&gt;(60-PARAM!$B$56))*HLOOKUP(($B907+PARAM!$B$56)/12,Loyalty,2)*$F$1*MAX(BJ906,0)</f>
        <v>18.557001321003963</v>
      </c>
      <c r="BI907" s="75">
        <f>PARAM!$C$26+MAX($G$17-CHOOSE(PARAM!$B$44,MAX(0,BJ906*$F$1),0),0)*RATES!$L883/12+$H$17*(PARAM!$D$51/12)*RATES!$N883/100</f>
        <v>1190.0416666666667</v>
      </c>
      <c r="BJ907" s="16">
        <f t="shared" si="599"/>
        <v>-247246.3718617321</v>
      </c>
      <c r="BK907" s="15">
        <f t="shared" si="574"/>
        <v>22.170849845882874</v>
      </c>
      <c r="BL907" s="75">
        <f>BK907*(1-PARAM!$C$27)*$I$18+(MOD($B907,60)=PARAM!$B$56)*($B907&gt;(60-PARAM!$B$56))*HLOOKUP(($B907+PARAM!$B$56)/12,Loyalty,2)*$F$1*MAX(BN906,0)</f>
        <v>18.557001321003963</v>
      </c>
      <c r="BM907" s="75">
        <f>PARAM!$C$26+MAX($G$18-CHOOSE(PARAM!$B$44,MAX(0,BN906*$F$1),0),0)*RATES!$L883/12+$H$18*(PARAM!$D$51/12)*RATES!$N883/100</f>
        <v>1190.0416666666667</v>
      </c>
      <c r="BN907" s="16">
        <f t="shared" si="600"/>
        <v>-247246.3718617321</v>
      </c>
      <c r="BO907" s="15">
        <f t="shared" si="575"/>
        <v>22.170849845882874</v>
      </c>
      <c r="BP907" s="75">
        <f>BO907*(1-PARAM!$C$27)*$I$19+(MOD($B907,60)=PARAM!$B$56)*($B907&gt;(60-PARAM!$B$56))*HLOOKUP(($B907+PARAM!$B$56)/12,Loyalty,2)*$F$1*MAX(BR906,0)</f>
        <v>18.557001321003963</v>
      </c>
      <c r="BQ907" s="75">
        <f>PARAM!$C$26+MAX($G$19-CHOOSE(PARAM!$B$44,MAX(0,BR906*$F$1),0),0)*RATES!$L883/12+$H$19*(PARAM!$D$51/12)*RATES!$N883/100</f>
        <v>1190.0416666666667</v>
      </c>
      <c r="BR907" s="16">
        <f t="shared" si="601"/>
        <v>-247246.3718617321</v>
      </c>
      <c r="BS907" s="15">
        <f t="shared" si="576"/>
        <v>22.170849845882874</v>
      </c>
      <c r="BT907" s="75">
        <f>BS907*(1-PARAM!$C$27)*$I$20+(MOD($B907,60)=PARAM!$B$56)*($B907&gt;(60-PARAM!$B$56))*HLOOKUP(($B907+PARAM!$B$56)/12,Loyalty,2)*$F$1*MAX(BV906,0)</f>
        <v>18.557001321003963</v>
      </c>
      <c r="BU907" s="75">
        <f>PARAM!$C$26+MAX($G$20-CHOOSE(PARAM!$B$44,MAX(0,BV906*$F$1),0),0)*RATES!$L883/12+$H$20*(PARAM!$D$51/12)*RATES!$N883/100</f>
        <v>1190.0416666666667</v>
      </c>
      <c r="BV907" s="16">
        <f t="shared" si="602"/>
        <v>-247246.3718617321</v>
      </c>
      <c r="BW907" s="15">
        <f t="shared" si="577"/>
        <v>22.170849845882874</v>
      </c>
      <c r="BX907" s="75">
        <f>BW907*(1-PARAM!$C$27)*$I$21+(MOD($B907,60)=PARAM!$B$56)*($B907&gt;(60-PARAM!$B$56))*HLOOKUP(($B907+PARAM!$B$56)/12,Loyalty,2)*$F$1*MAX(BZ906,0)</f>
        <v>18.557001321003963</v>
      </c>
      <c r="BY907" s="75">
        <f>PARAM!$C$26+MAX($G$21-CHOOSE(PARAM!$B$44,MAX(0,BZ906*$F$1),0),0)*RATES!$L883/12+$H$21*(PARAM!$D$51/12)*RATES!$N883/100</f>
        <v>1190.0416666666667</v>
      </c>
      <c r="BZ907" s="16">
        <f t="shared" si="603"/>
        <v>-247246.3718617321</v>
      </c>
      <c r="CA907" s="15">
        <f t="shared" si="578"/>
        <v>22.170849845882874</v>
      </c>
      <c r="CB907" s="75">
        <f>CA907*(1-PARAM!$C$27)*$I$22+(MOD($B907,60)=PARAM!$B$56)*($B907&gt;(60-PARAM!$B$56))*HLOOKUP(($B907+PARAM!$B$56)/12,Loyalty,2)*$F$1*MAX(CD906,0)</f>
        <v>18.557001321003963</v>
      </c>
      <c r="CC907" s="75">
        <f>PARAM!$C$26+MAX($G$22-CHOOSE(PARAM!$B$44,MAX(0,CD906*$F$1),0),0)*RATES!$L883/12+$H$22*(PARAM!$D$51/12)*RATES!$N883/100</f>
        <v>1190.0416666666667</v>
      </c>
      <c r="CD907" s="16">
        <f t="shared" si="604"/>
        <v>-247246.3718617321</v>
      </c>
      <c r="CE907" s="33">
        <f>IF(0=MOD(B907,12/PARAM!$D$51),1,0)</f>
        <v>1</v>
      </c>
      <c r="CF907" s="15">
        <f t="shared" si="579"/>
        <v>0</v>
      </c>
      <c r="CG907" s="75">
        <f>CF907*(1-PARAM!$C$27)*$R$3+(MOD($B907/12,5)=0)*($B907&gt;60)*HLOOKUP($B907/12,Loyalty,2)*$F$1*MAX(CI906,0)</f>
        <v>0</v>
      </c>
      <c r="CH907" s="75">
        <f>PARAM!$C$26+MAX($P$3-CHOOSE(PARAM!$B$44,MAX(0,CI906*$F$1),0),0)*RATES!$L883/12+$Q$3*(PARAM!$D$51/12)*RATES!$N883/100</f>
        <v>1190.0416666666667</v>
      </c>
      <c r="CI907" s="16">
        <f>IF(CI906&gt;0,CI906*PARAM!$C$53,CI906)+CG907-CH907</f>
        <v>-263456.95833333296</v>
      </c>
      <c r="CJ907" s="15">
        <f t="shared" si="605"/>
        <v>0</v>
      </c>
      <c r="CK907" s="75">
        <f>CJ907*(1-PARAM!$C$27)*$R$4+(MOD($B907/12,5)=0)*($B907&gt;60)*HLOOKUP($B907/12,Loyalty,2)*$F$1*MAX(CM906,0)</f>
        <v>0</v>
      </c>
      <c r="CL907" s="75">
        <f>PARAM!$C$26+MAX($P$4-CHOOSE(PARAM!$B$44,MAX(0,CM906*$F$1),0),0)*RATES!$L883/12+$Q$4*(PARAM!$D$51/12)*RATES!$N883/100</f>
        <v>1190.0416666666667</v>
      </c>
      <c r="CM907" s="16">
        <f>IF(CM906&gt;0,CM906*PARAM!$C$53,CM906)+CK907-CL907</f>
        <v>-263456.95833333296</v>
      </c>
      <c r="CO907" s="176"/>
    </row>
    <row r="908" spans="1:93" x14ac:dyDescent="0.2">
      <c r="A908" t="b">
        <f t="shared" si="580"/>
        <v>0</v>
      </c>
      <c r="B908" s="33">
        <v>881</v>
      </c>
      <c r="C908" s="15">
        <f t="shared" si="581"/>
        <v>20.081305947392778</v>
      </c>
      <c r="D908" s="75">
        <f>C908*(1-PARAM!$C$27)*$I$3+(MOD($B908,60)=PARAM!$B$56)*($B908&gt;(60-PARAM!$B$56))*HLOOKUP(($B908+PARAM!$B$56)/12,Loyalty,2)*$F$1*MAX(F907,0)</f>
        <v>16.808053077967756</v>
      </c>
      <c r="E908" s="75">
        <f>PARAM!$C$26+MAX($G$3-CHOOSE(PARAM!$B$44,MAX(0,F907*$F$1),0),0)*RATES!$L884/12+$H$3*(PARAM!$D$51/12)*RATES!$N884/100</f>
        <v>1190.0416666666667</v>
      </c>
      <c r="F908" s="16">
        <f t="shared" si="582"/>
        <v>-249995.53042971465</v>
      </c>
      <c r="G908" s="15">
        <f t="shared" si="583"/>
        <v>22.035289406060361</v>
      </c>
      <c r="H908" s="75">
        <f>G908*(1-PARAM!$C$27)*$I$4+(MOD($B908,60)=PARAM!$B$56)*($B908&gt;(60-PARAM!$B$56))*HLOOKUP(($B908+PARAM!$B$56)/12,Loyalty,2)*$F$1*MAX(J907,0)</f>
        <v>18.443537232872522</v>
      </c>
      <c r="I908" s="75">
        <f>PARAM!$C$26+MAX($G$4-CHOOSE(PARAM!$B$44,MAX(0,J907*$F$1),0),0)*RATES!$L884/12+$H$4*(PARAM!$D$51/12)*RATES!$N884/100</f>
        <v>1190.0416666666667</v>
      </c>
      <c r="J908" s="16">
        <f t="shared" si="584"/>
        <v>-248520.83592512042</v>
      </c>
      <c r="K908" s="15">
        <f t="shared" si="585"/>
        <v>22.170849845882874</v>
      </c>
      <c r="L908" s="75">
        <f>K908*(1-PARAM!$C$27)*$I$5+(MOD($B908,60)=PARAM!$B$56)*($B908&gt;(60-PARAM!$B$56))*HLOOKUP(($B908+PARAM!$B$56)/12,Loyalty,2)*$F$1*MAX(N907,0)</f>
        <v>18.557001321003963</v>
      </c>
      <c r="M908" s="75">
        <f>PARAM!$C$26+MAX($G$5-CHOOSE(PARAM!$B$44,MAX(0,N907*$F$1),0),0)*RATES!$L884/12+$H$5*(PARAM!$D$51/12)*RATES!$N884/100</f>
        <v>1190.0416666666667</v>
      </c>
      <c r="N908" s="16">
        <f t="shared" si="586"/>
        <v>-248417.85652707776</v>
      </c>
      <c r="O908" s="15">
        <f t="shared" si="587"/>
        <v>22.170849845882874</v>
      </c>
      <c r="P908" s="75">
        <f>O908*(1-PARAM!$C$27)*$I$6+(MOD($B908,60)=PARAM!$B$56)*($B908&gt;(60-PARAM!$B$56))*HLOOKUP(($B908+PARAM!$B$56)/12,Loyalty,2)*$F$1*MAX(R907,0)</f>
        <v>18.557001321003963</v>
      </c>
      <c r="Q908" s="75">
        <f>PARAM!$C$26+MAX($G$6-CHOOSE(PARAM!$B$44,MAX(0,R907*$F$1),0),0)*RATES!$L884/12+$H$6*(PARAM!$D$51/12)*RATES!$N884/100</f>
        <v>1190.0416666666667</v>
      </c>
      <c r="R908" s="16">
        <f t="shared" si="588"/>
        <v>-248417.85652707776</v>
      </c>
      <c r="S908" s="15">
        <f t="shared" si="563"/>
        <v>22.170849845882874</v>
      </c>
      <c r="T908" s="75">
        <f>S908*(1-PARAM!$C$27)*$I$7+(MOD($B908,60)=PARAM!$B$56)*($B908&gt;(60-PARAM!$B$56))*HLOOKUP(($B908+PARAM!$B$56)/12,Loyalty,2)*$F$1*MAX(V907,0)</f>
        <v>18.557001321003963</v>
      </c>
      <c r="U908" s="75">
        <f>PARAM!$C$26+MAX($G$7-CHOOSE(PARAM!$B$44,MAX(0,V907*$F$1),0),0)*RATES!$L884/12+$H$7*(PARAM!$D$51/12)*RATES!$N884/100</f>
        <v>1190.0416666666667</v>
      </c>
      <c r="V908" s="16">
        <f t="shared" si="589"/>
        <v>-248417.85652707776</v>
      </c>
      <c r="W908" s="15">
        <f t="shared" si="564"/>
        <v>22.170849845882874</v>
      </c>
      <c r="X908" s="75">
        <f>W908*(1-PARAM!$C$27)*$I$8+(MOD($B908,60)=PARAM!$B$56)*($B908&gt;(60-PARAM!$B$56))*HLOOKUP(($B908+PARAM!$B$56)/12,Loyalty,2)*$F$1*MAX(Z907,0)</f>
        <v>18.557001321003963</v>
      </c>
      <c r="Y908" s="75">
        <f>PARAM!$C$26+MAX($G$8-CHOOSE(PARAM!$B$44,MAX(0,Z907*$F$1),0),0)*RATES!$L884/12+$H$8*(PARAM!$D$51/12)*RATES!$N884/100</f>
        <v>1190.0416666666667</v>
      </c>
      <c r="Z908" s="16">
        <f t="shared" si="590"/>
        <v>-248417.85652707776</v>
      </c>
      <c r="AA908" s="15">
        <f t="shared" si="565"/>
        <v>22.170849845882874</v>
      </c>
      <c r="AB908" s="75">
        <f>AA908*(1-PARAM!$C$27)*$I$9+(MOD($B908,60)=PARAM!$B$56)*($B908&gt;(60-PARAM!$B$56))*HLOOKUP(($B908+PARAM!$B$56)/12,Loyalty,2)*$F$1*MAX(AD907,0)</f>
        <v>18.557001321003963</v>
      </c>
      <c r="AC908" s="75">
        <f>PARAM!$C$26+MAX($G$9-CHOOSE(PARAM!$B$44,MAX(0,AD907*$F$1),0),0)*RATES!$L884/12+$H$9*(PARAM!$D$51/12)*RATES!$N884/100</f>
        <v>1190.0416666666667</v>
      </c>
      <c r="AD908" s="16">
        <f t="shared" si="591"/>
        <v>-248417.85652707776</v>
      </c>
      <c r="AE908" s="15">
        <f t="shared" si="566"/>
        <v>22.170849845882874</v>
      </c>
      <c r="AF908" s="75">
        <f>AE908*(1-PARAM!$C$27)*$I$10+(MOD($B908,60)=PARAM!$B$56)*($B908&gt;(60-PARAM!$B$56))*HLOOKUP(($B908+PARAM!$B$56)/12,Loyalty,2)*$F$1*MAX(AH907,0)</f>
        <v>18.557001321003963</v>
      </c>
      <c r="AG908" s="75">
        <f>PARAM!$C$26+MAX($G$10-CHOOSE(PARAM!$B$44,MAX(0,AH907*$F$1),0),0)*RATES!$L884/12+$H$10*(PARAM!$D$51/12)*RATES!$N884/100</f>
        <v>1190.0416666666667</v>
      </c>
      <c r="AH908" s="16">
        <f t="shared" si="592"/>
        <v>-248417.85652707776</v>
      </c>
      <c r="AI908" s="15">
        <f t="shared" si="567"/>
        <v>22.170849845882874</v>
      </c>
      <c r="AJ908" s="75">
        <f>AI908*(1-PARAM!$C$27)*$I$11+(MOD($B908,60)=PARAM!$B$56)*($B908&gt;(60-PARAM!$B$56))*HLOOKUP(($B908+PARAM!$B$56)/12,Loyalty,2)*$F$1*MAX(AL907,0)</f>
        <v>18.557001321003963</v>
      </c>
      <c r="AK908" s="75">
        <f>PARAM!$C$26+MAX($G$11-CHOOSE(PARAM!$B$44,MAX(0,AL907*$F$1),0),0)*RATES!$L884/12+$H$11*(PARAM!$D$51/12)*RATES!$N884/100</f>
        <v>1190.0416666666667</v>
      </c>
      <c r="AL908" s="16">
        <f t="shared" si="593"/>
        <v>-248417.85652707776</v>
      </c>
      <c r="AM908" s="15">
        <f t="shared" si="568"/>
        <v>22.170849845882874</v>
      </c>
      <c r="AN908" s="75">
        <f>AM908*(1-PARAM!$C$27)*$I$12+(MOD($B908,60)=PARAM!$B$56)*($B908&gt;(60-PARAM!$B$56))*HLOOKUP(($B908+PARAM!$B$56)/12,Loyalty,2)*$F$1*MAX(AP907,0)</f>
        <v>18.557001321003963</v>
      </c>
      <c r="AO908" s="75">
        <f>PARAM!$C$26+MAX($G$12-CHOOSE(PARAM!$B$44,MAX(0,AP907*$F$1),0),0)*RATES!$L884/12+$H$12*(PARAM!$D$51/12)*RATES!$N884/100</f>
        <v>1190.0416666666667</v>
      </c>
      <c r="AP908" s="16">
        <f t="shared" si="594"/>
        <v>-248417.85652707776</v>
      </c>
      <c r="AQ908" s="15">
        <f t="shared" si="569"/>
        <v>22.170849845882874</v>
      </c>
      <c r="AR908" s="75">
        <f>AQ908*(1-PARAM!$C$27)*$I$13+(MOD($B908,60)=PARAM!$B$56)*($B908&gt;(60-PARAM!$B$56))*HLOOKUP(($B908+PARAM!$B$56)/12,Loyalty,2)*$F$1*MAX(AT907,0)</f>
        <v>18.557001321003963</v>
      </c>
      <c r="AS908" s="75">
        <f>PARAM!$C$26+MAX($G$13-CHOOSE(PARAM!$B$44,MAX(0,AT907*$F$1),0),0)*RATES!$L884/12+$H$13*(PARAM!$D$51/12)*RATES!$N884/100</f>
        <v>1190.0416666666667</v>
      </c>
      <c r="AT908" s="16">
        <f t="shared" si="595"/>
        <v>-248417.85652707776</v>
      </c>
      <c r="AU908" s="15">
        <f t="shared" si="570"/>
        <v>22.170849845882874</v>
      </c>
      <c r="AV908" s="75">
        <f>AU908*(1-PARAM!$C$27)*$I$14+(MOD($B908,60)=PARAM!$B$56)*($B908&gt;(60-PARAM!$B$56))*HLOOKUP(($B908+PARAM!$B$56)/12,Loyalty,2)*$F$1*MAX(AX907,0)</f>
        <v>18.557001321003963</v>
      </c>
      <c r="AW908" s="75">
        <f>PARAM!$C$26+MAX($G$14-CHOOSE(PARAM!$B$44,MAX(0,AX907*$F$1),0),0)*RATES!$L884/12+$H$14*(PARAM!$D$51/12)*RATES!$N884/100</f>
        <v>1190.0416666666667</v>
      </c>
      <c r="AX908" s="16">
        <f t="shared" si="596"/>
        <v>-248417.85652707776</v>
      </c>
      <c r="AY908" s="15">
        <f t="shared" si="571"/>
        <v>22.170849845882874</v>
      </c>
      <c r="AZ908" s="75">
        <f>AY908*(1-PARAM!$C$27)*$I$15+(MOD($B908,60)=PARAM!$B$56)*($B908&gt;(60-PARAM!$B$56))*HLOOKUP(($B908+PARAM!$B$56)/12,Loyalty,2)*$F$1*MAX(BB907,0)</f>
        <v>18.557001321003963</v>
      </c>
      <c r="BA908" s="75">
        <f>PARAM!$C$26+MAX($G$15-CHOOSE(PARAM!$B$44,MAX(0,BB907*$F$1),0),0)*RATES!$L884/12+$H$15*(PARAM!$D$51/12)*RATES!$N884/100</f>
        <v>1190.0416666666667</v>
      </c>
      <c r="BB908" s="16">
        <f t="shared" si="597"/>
        <v>-248417.85652707776</v>
      </c>
      <c r="BC908" s="15">
        <f t="shared" si="572"/>
        <v>22.170849845882874</v>
      </c>
      <c r="BD908" s="75">
        <f>BC908*(1-PARAM!$C$27)*$I$16+(MOD($B908,60)=PARAM!$B$56)*($B908&gt;(60-PARAM!$B$56))*HLOOKUP(($B908+PARAM!$B$56)/12,Loyalty,2)*$F$1*MAX(BF907,0)</f>
        <v>18.557001321003963</v>
      </c>
      <c r="BE908" s="75">
        <f>PARAM!$C$26+MAX($G$16-CHOOSE(PARAM!$B$44,MAX(0,BF907*$F$1),0),0)*RATES!$L884/12+$H$16*(PARAM!$D$51/12)*RATES!$N884/100</f>
        <v>1190.0416666666667</v>
      </c>
      <c r="BF908" s="16">
        <f t="shared" si="598"/>
        <v>-248417.85652707776</v>
      </c>
      <c r="BG908" s="15">
        <f t="shared" si="573"/>
        <v>22.170849845882874</v>
      </c>
      <c r="BH908" s="75">
        <f>BG908*(1-PARAM!$C$27)*$I$17+(MOD($B908,60)=PARAM!$B$56)*($B908&gt;(60-PARAM!$B$56))*HLOOKUP(($B908+PARAM!$B$56)/12,Loyalty,2)*$F$1*MAX(BJ907,0)</f>
        <v>18.557001321003963</v>
      </c>
      <c r="BI908" s="75">
        <f>PARAM!$C$26+MAX($G$17-CHOOSE(PARAM!$B$44,MAX(0,BJ907*$F$1),0),0)*RATES!$L884/12+$H$17*(PARAM!$D$51/12)*RATES!$N884/100</f>
        <v>1190.0416666666667</v>
      </c>
      <c r="BJ908" s="16">
        <f t="shared" si="599"/>
        <v>-248417.85652707776</v>
      </c>
      <c r="BK908" s="15">
        <f t="shared" si="574"/>
        <v>22.170849845882874</v>
      </c>
      <c r="BL908" s="75">
        <f>BK908*(1-PARAM!$C$27)*$I$18+(MOD($B908,60)=PARAM!$B$56)*($B908&gt;(60-PARAM!$B$56))*HLOOKUP(($B908+PARAM!$B$56)/12,Loyalty,2)*$F$1*MAX(BN907,0)</f>
        <v>18.557001321003963</v>
      </c>
      <c r="BM908" s="75">
        <f>PARAM!$C$26+MAX($G$18-CHOOSE(PARAM!$B$44,MAX(0,BN907*$F$1),0),0)*RATES!$L884/12+$H$18*(PARAM!$D$51/12)*RATES!$N884/100</f>
        <v>1190.0416666666667</v>
      </c>
      <c r="BN908" s="16">
        <f t="shared" si="600"/>
        <v>-248417.85652707776</v>
      </c>
      <c r="BO908" s="15">
        <f t="shared" si="575"/>
        <v>22.170849845882874</v>
      </c>
      <c r="BP908" s="75">
        <f>BO908*(1-PARAM!$C$27)*$I$19+(MOD($B908,60)=PARAM!$B$56)*($B908&gt;(60-PARAM!$B$56))*HLOOKUP(($B908+PARAM!$B$56)/12,Loyalty,2)*$F$1*MAX(BR907,0)</f>
        <v>18.557001321003963</v>
      </c>
      <c r="BQ908" s="75">
        <f>PARAM!$C$26+MAX($G$19-CHOOSE(PARAM!$B$44,MAX(0,BR907*$F$1),0),0)*RATES!$L884/12+$H$19*(PARAM!$D$51/12)*RATES!$N884/100</f>
        <v>1190.0416666666667</v>
      </c>
      <c r="BR908" s="16">
        <f t="shared" si="601"/>
        <v>-248417.85652707776</v>
      </c>
      <c r="BS908" s="15">
        <f t="shared" si="576"/>
        <v>22.170849845882874</v>
      </c>
      <c r="BT908" s="75">
        <f>BS908*(1-PARAM!$C$27)*$I$20+(MOD($B908,60)=PARAM!$B$56)*($B908&gt;(60-PARAM!$B$56))*HLOOKUP(($B908+PARAM!$B$56)/12,Loyalty,2)*$F$1*MAX(BV907,0)</f>
        <v>18.557001321003963</v>
      </c>
      <c r="BU908" s="75">
        <f>PARAM!$C$26+MAX($G$20-CHOOSE(PARAM!$B$44,MAX(0,BV907*$F$1),0),0)*RATES!$L884/12+$H$20*(PARAM!$D$51/12)*RATES!$N884/100</f>
        <v>1190.0416666666667</v>
      </c>
      <c r="BV908" s="16">
        <f t="shared" si="602"/>
        <v>-248417.85652707776</v>
      </c>
      <c r="BW908" s="15">
        <f t="shared" si="577"/>
        <v>22.170849845882874</v>
      </c>
      <c r="BX908" s="75">
        <f>BW908*(1-PARAM!$C$27)*$I$21+(MOD($B908,60)=PARAM!$B$56)*($B908&gt;(60-PARAM!$B$56))*HLOOKUP(($B908+PARAM!$B$56)/12,Loyalty,2)*$F$1*MAX(BZ907,0)</f>
        <v>18.557001321003963</v>
      </c>
      <c r="BY908" s="75">
        <f>PARAM!$C$26+MAX($G$21-CHOOSE(PARAM!$B$44,MAX(0,BZ907*$F$1),0),0)*RATES!$L884/12+$H$21*(PARAM!$D$51/12)*RATES!$N884/100</f>
        <v>1190.0416666666667</v>
      </c>
      <c r="BZ908" s="16">
        <f t="shared" si="603"/>
        <v>-248417.85652707776</v>
      </c>
      <c r="CA908" s="15">
        <f t="shared" si="578"/>
        <v>22.170849845882874</v>
      </c>
      <c r="CB908" s="75">
        <f>CA908*(1-PARAM!$C$27)*$I$22+(MOD($B908,60)=PARAM!$B$56)*($B908&gt;(60-PARAM!$B$56))*HLOOKUP(($B908+PARAM!$B$56)/12,Loyalty,2)*$F$1*MAX(CD907,0)</f>
        <v>18.557001321003963</v>
      </c>
      <c r="CC908" s="75">
        <f>PARAM!$C$26+MAX($G$22-CHOOSE(PARAM!$B$44,MAX(0,CD907*$F$1),0),0)*RATES!$L884/12+$H$22*(PARAM!$D$51/12)*RATES!$N884/100</f>
        <v>1190.0416666666667</v>
      </c>
      <c r="CD908" s="16">
        <f t="shared" si="604"/>
        <v>-248417.85652707776</v>
      </c>
      <c r="CE908" s="33">
        <f>IF(0=MOD(B908,12/PARAM!$D$51),1,0)</f>
        <v>1</v>
      </c>
      <c r="CF908" s="15">
        <f t="shared" si="579"/>
        <v>0</v>
      </c>
      <c r="CG908" s="75">
        <f>CF908*(1-PARAM!$C$27)*$R$3+(MOD($B908/12,5)=0)*($B908&gt;60)*HLOOKUP($B908/12,Loyalty,2)*$F$1*MAX(CI907,0)</f>
        <v>0</v>
      </c>
      <c r="CH908" s="75">
        <f>PARAM!$C$26+MAX($P$3-CHOOSE(PARAM!$B$44,MAX(0,CI907*$F$1),0),0)*RATES!$L884/12+$Q$3*(PARAM!$D$51/12)*RATES!$N884/100</f>
        <v>1190.0416666666667</v>
      </c>
      <c r="CI908" s="16">
        <f>IF(CI907&gt;0,CI907*PARAM!$C$53,CI907)+CG908-CH908</f>
        <v>-264646.99999999965</v>
      </c>
      <c r="CJ908" s="15">
        <f t="shared" si="605"/>
        <v>0</v>
      </c>
      <c r="CK908" s="75">
        <f>CJ908*(1-PARAM!$C$27)*$R$4+(MOD($B908/12,5)=0)*($B908&gt;60)*HLOOKUP($B908/12,Loyalty,2)*$F$1*MAX(CM907,0)</f>
        <v>0</v>
      </c>
      <c r="CL908" s="75">
        <f>PARAM!$C$26+MAX($P$4-CHOOSE(PARAM!$B$44,MAX(0,CM907*$F$1),0),0)*RATES!$L884/12+$Q$4*(PARAM!$D$51/12)*RATES!$N884/100</f>
        <v>1190.0416666666667</v>
      </c>
      <c r="CM908" s="16">
        <f>IF(CM907&gt;0,CM907*PARAM!$C$53,CM907)+CK908-CL908</f>
        <v>-264646.99999999965</v>
      </c>
      <c r="CO908" s="176"/>
    </row>
    <row r="909" spans="1:93" x14ac:dyDescent="0.2">
      <c r="A909" t="b">
        <f t="shared" si="580"/>
        <v>0</v>
      </c>
      <c r="B909" s="33">
        <v>882</v>
      </c>
      <c r="C909" s="15">
        <f t="shared" si="581"/>
        <v>20.081305947392778</v>
      </c>
      <c r="D909" s="75">
        <f>C909*(1-PARAM!$C$27)*$I$3+(MOD($B909,60)=PARAM!$B$56)*($B909&gt;(60-PARAM!$B$56))*HLOOKUP(($B909+PARAM!$B$56)/12,Loyalty,2)*$F$1*MAX(F908,0)</f>
        <v>16.808053077967756</v>
      </c>
      <c r="E909" s="75">
        <f>PARAM!$C$26+MAX($G$3-CHOOSE(PARAM!$B$44,MAX(0,F908*$F$1),0),0)*RATES!$L885/12+$H$3*(PARAM!$D$51/12)*RATES!$N885/100</f>
        <v>1190.0416666666667</v>
      </c>
      <c r="F909" s="16">
        <f t="shared" si="582"/>
        <v>-251168.76404330335</v>
      </c>
      <c r="G909" s="15">
        <f t="shared" si="583"/>
        <v>22.035289406060361</v>
      </c>
      <c r="H909" s="75">
        <f>G909*(1-PARAM!$C$27)*$I$4+(MOD($B909,60)=PARAM!$B$56)*($B909&gt;(60-PARAM!$B$56))*HLOOKUP(($B909+PARAM!$B$56)/12,Loyalty,2)*$F$1*MAX(J908,0)</f>
        <v>18.443537232872522</v>
      </c>
      <c r="I909" s="75">
        <f>PARAM!$C$26+MAX($G$4-CHOOSE(PARAM!$B$44,MAX(0,J908*$F$1),0),0)*RATES!$L885/12+$H$4*(PARAM!$D$51/12)*RATES!$N885/100</f>
        <v>1190.0416666666667</v>
      </c>
      <c r="J909" s="16">
        <f t="shared" si="584"/>
        <v>-249692.43405455421</v>
      </c>
      <c r="K909" s="15">
        <f t="shared" si="585"/>
        <v>22.170849845882874</v>
      </c>
      <c r="L909" s="75">
        <f>K909*(1-PARAM!$C$27)*$I$5+(MOD($B909,60)=PARAM!$B$56)*($B909&gt;(60-PARAM!$B$56))*HLOOKUP(($B909+PARAM!$B$56)/12,Loyalty,2)*$F$1*MAX(N908,0)</f>
        <v>18.557001321003963</v>
      </c>
      <c r="M909" s="75">
        <f>PARAM!$C$26+MAX($G$5-CHOOSE(PARAM!$B$44,MAX(0,N908*$F$1),0),0)*RATES!$L885/12+$H$5*(PARAM!$D$51/12)*RATES!$N885/100</f>
        <v>1190.0416666666667</v>
      </c>
      <c r="N909" s="16">
        <f t="shared" si="586"/>
        <v>-249589.34119242342</v>
      </c>
      <c r="O909" s="15">
        <f t="shared" si="587"/>
        <v>22.170849845882874</v>
      </c>
      <c r="P909" s="75">
        <f>O909*(1-PARAM!$C$27)*$I$6+(MOD($B909,60)=PARAM!$B$56)*($B909&gt;(60-PARAM!$B$56))*HLOOKUP(($B909+PARAM!$B$56)/12,Loyalty,2)*$F$1*MAX(R908,0)</f>
        <v>18.557001321003963</v>
      </c>
      <c r="Q909" s="75">
        <f>PARAM!$C$26+MAX($G$6-CHOOSE(PARAM!$B$44,MAX(0,R908*$F$1),0),0)*RATES!$L885/12+$H$6*(PARAM!$D$51/12)*RATES!$N885/100</f>
        <v>1190.0416666666667</v>
      </c>
      <c r="R909" s="16">
        <f t="shared" si="588"/>
        <v>-249589.34119242342</v>
      </c>
      <c r="S909" s="15">
        <f t="shared" si="563"/>
        <v>22.170849845882874</v>
      </c>
      <c r="T909" s="75">
        <f>S909*(1-PARAM!$C$27)*$I$7+(MOD($B909,60)=PARAM!$B$56)*($B909&gt;(60-PARAM!$B$56))*HLOOKUP(($B909+PARAM!$B$56)/12,Loyalty,2)*$F$1*MAX(V908,0)</f>
        <v>18.557001321003963</v>
      </c>
      <c r="U909" s="75">
        <f>PARAM!$C$26+MAX($G$7-CHOOSE(PARAM!$B$44,MAX(0,V908*$F$1),0),0)*RATES!$L885/12+$H$7*(PARAM!$D$51/12)*RATES!$N885/100</f>
        <v>1190.0416666666667</v>
      </c>
      <c r="V909" s="16">
        <f t="shared" si="589"/>
        <v>-249589.34119242342</v>
      </c>
      <c r="W909" s="15">
        <f t="shared" si="564"/>
        <v>22.170849845882874</v>
      </c>
      <c r="X909" s="75">
        <f>W909*(1-PARAM!$C$27)*$I$8+(MOD($B909,60)=PARAM!$B$56)*($B909&gt;(60-PARAM!$B$56))*HLOOKUP(($B909+PARAM!$B$56)/12,Loyalty,2)*$F$1*MAX(Z908,0)</f>
        <v>18.557001321003963</v>
      </c>
      <c r="Y909" s="75">
        <f>PARAM!$C$26+MAX($G$8-CHOOSE(PARAM!$B$44,MAX(0,Z908*$F$1),0),0)*RATES!$L885/12+$H$8*(PARAM!$D$51/12)*RATES!$N885/100</f>
        <v>1190.0416666666667</v>
      </c>
      <c r="Z909" s="16">
        <f t="shared" si="590"/>
        <v>-249589.34119242342</v>
      </c>
      <c r="AA909" s="15">
        <f t="shared" si="565"/>
        <v>22.170849845882874</v>
      </c>
      <c r="AB909" s="75">
        <f>AA909*(1-PARAM!$C$27)*$I$9+(MOD($B909,60)=PARAM!$B$56)*($B909&gt;(60-PARAM!$B$56))*HLOOKUP(($B909+PARAM!$B$56)/12,Loyalty,2)*$F$1*MAX(AD908,0)</f>
        <v>18.557001321003963</v>
      </c>
      <c r="AC909" s="75">
        <f>PARAM!$C$26+MAX($G$9-CHOOSE(PARAM!$B$44,MAX(0,AD908*$F$1),0),0)*RATES!$L885/12+$H$9*(PARAM!$D$51/12)*RATES!$N885/100</f>
        <v>1190.0416666666667</v>
      </c>
      <c r="AD909" s="16">
        <f t="shared" si="591"/>
        <v>-249589.34119242342</v>
      </c>
      <c r="AE909" s="15">
        <f t="shared" si="566"/>
        <v>22.170849845882874</v>
      </c>
      <c r="AF909" s="75">
        <f>AE909*(1-PARAM!$C$27)*$I$10+(MOD($B909,60)=PARAM!$B$56)*($B909&gt;(60-PARAM!$B$56))*HLOOKUP(($B909+PARAM!$B$56)/12,Loyalty,2)*$F$1*MAX(AH908,0)</f>
        <v>18.557001321003963</v>
      </c>
      <c r="AG909" s="75">
        <f>PARAM!$C$26+MAX($G$10-CHOOSE(PARAM!$B$44,MAX(0,AH908*$F$1),0),0)*RATES!$L885/12+$H$10*(PARAM!$D$51/12)*RATES!$N885/100</f>
        <v>1190.0416666666667</v>
      </c>
      <c r="AH909" s="16">
        <f t="shared" si="592"/>
        <v>-249589.34119242342</v>
      </c>
      <c r="AI909" s="15">
        <f t="shared" si="567"/>
        <v>22.170849845882874</v>
      </c>
      <c r="AJ909" s="75">
        <f>AI909*(1-PARAM!$C$27)*$I$11+(MOD($B909,60)=PARAM!$B$56)*($B909&gt;(60-PARAM!$B$56))*HLOOKUP(($B909+PARAM!$B$56)/12,Loyalty,2)*$F$1*MAX(AL908,0)</f>
        <v>18.557001321003963</v>
      </c>
      <c r="AK909" s="75">
        <f>PARAM!$C$26+MAX($G$11-CHOOSE(PARAM!$B$44,MAX(0,AL908*$F$1),0),0)*RATES!$L885/12+$H$11*(PARAM!$D$51/12)*RATES!$N885/100</f>
        <v>1190.0416666666667</v>
      </c>
      <c r="AL909" s="16">
        <f t="shared" si="593"/>
        <v>-249589.34119242342</v>
      </c>
      <c r="AM909" s="15">
        <f t="shared" si="568"/>
        <v>22.170849845882874</v>
      </c>
      <c r="AN909" s="75">
        <f>AM909*(1-PARAM!$C$27)*$I$12+(MOD($B909,60)=PARAM!$B$56)*($B909&gt;(60-PARAM!$B$56))*HLOOKUP(($B909+PARAM!$B$56)/12,Loyalty,2)*$F$1*MAX(AP908,0)</f>
        <v>18.557001321003963</v>
      </c>
      <c r="AO909" s="75">
        <f>PARAM!$C$26+MAX($G$12-CHOOSE(PARAM!$B$44,MAX(0,AP908*$F$1),0),0)*RATES!$L885/12+$H$12*(PARAM!$D$51/12)*RATES!$N885/100</f>
        <v>1190.0416666666667</v>
      </c>
      <c r="AP909" s="16">
        <f t="shared" si="594"/>
        <v>-249589.34119242342</v>
      </c>
      <c r="AQ909" s="15">
        <f t="shared" si="569"/>
        <v>22.170849845882874</v>
      </c>
      <c r="AR909" s="75">
        <f>AQ909*(1-PARAM!$C$27)*$I$13+(MOD($B909,60)=PARAM!$B$56)*($B909&gt;(60-PARAM!$B$56))*HLOOKUP(($B909+PARAM!$B$56)/12,Loyalty,2)*$F$1*MAX(AT908,0)</f>
        <v>18.557001321003963</v>
      </c>
      <c r="AS909" s="75">
        <f>PARAM!$C$26+MAX($G$13-CHOOSE(PARAM!$B$44,MAX(0,AT908*$F$1),0),0)*RATES!$L885/12+$H$13*(PARAM!$D$51/12)*RATES!$N885/100</f>
        <v>1190.0416666666667</v>
      </c>
      <c r="AT909" s="16">
        <f t="shared" si="595"/>
        <v>-249589.34119242342</v>
      </c>
      <c r="AU909" s="15">
        <f t="shared" si="570"/>
        <v>22.170849845882874</v>
      </c>
      <c r="AV909" s="75">
        <f>AU909*(1-PARAM!$C$27)*$I$14+(MOD($B909,60)=PARAM!$B$56)*($B909&gt;(60-PARAM!$B$56))*HLOOKUP(($B909+PARAM!$B$56)/12,Loyalty,2)*$F$1*MAX(AX908,0)</f>
        <v>18.557001321003963</v>
      </c>
      <c r="AW909" s="75">
        <f>PARAM!$C$26+MAX($G$14-CHOOSE(PARAM!$B$44,MAX(0,AX908*$F$1),0),0)*RATES!$L885/12+$H$14*(PARAM!$D$51/12)*RATES!$N885/100</f>
        <v>1190.0416666666667</v>
      </c>
      <c r="AX909" s="16">
        <f t="shared" si="596"/>
        <v>-249589.34119242342</v>
      </c>
      <c r="AY909" s="15">
        <f t="shared" si="571"/>
        <v>22.170849845882874</v>
      </c>
      <c r="AZ909" s="75">
        <f>AY909*(1-PARAM!$C$27)*$I$15+(MOD($B909,60)=PARAM!$B$56)*($B909&gt;(60-PARAM!$B$56))*HLOOKUP(($B909+PARAM!$B$56)/12,Loyalty,2)*$F$1*MAX(BB908,0)</f>
        <v>18.557001321003963</v>
      </c>
      <c r="BA909" s="75">
        <f>PARAM!$C$26+MAX($G$15-CHOOSE(PARAM!$B$44,MAX(0,BB908*$F$1),0),0)*RATES!$L885/12+$H$15*(PARAM!$D$51/12)*RATES!$N885/100</f>
        <v>1190.0416666666667</v>
      </c>
      <c r="BB909" s="16">
        <f t="shared" si="597"/>
        <v>-249589.34119242342</v>
      </c>
      <c r="BC909" s="15">
        <f t="shared" si="572"/>
        <v>22.170849845882874</v>
      </c>
      <c r="BD909" s="75">
        <f>BC909*(1-PARAM!$C$27)*$I$16+(MOD($B909,60)=PARAM!$B$56)*($B909&gt;(60-PARAM!$B$56))*HLOOKUP(($B909+PARAM!$B$56)/12,Loyalty,2)*$F$1*MAX(BF908,0)</f>
        <v>18.557001321003963</v>
      </c>
      <c r="BE909" s="75">
        <f>PARAM!$C$26+MAX($G$16-CHOOSE(PARAM!$B$44,MAX(0,BF908*$F$1),0),0)*RATES!$L885/12+$H$16*(PARAM!$D$51/12)*RATES!$N885/100</f>
        <v>1190.0416666666667</v>
      </c>
      <c r="BF909" s="16">
        <f t="shared" si="598"/>
        <v>-249589.34119242342</v>
      </c>
      <c r="BG909" s="15">
        <f t="shared" si="573"/>
        <v>22.170849845882874</v>
      </c>
      <c r="BH909" s="75">
        <f>BG909*(1-PARAM!$C$27)*$I$17+(MOD($B909,60)=PARAM!$B$56)*($B909&gt;(60-PARAM!$B$56))*HLOOKUP(($B909+PARAM!$B$56)/12,Loyalty,2)*$F$1*MAX(BJ908,0)</f>
        <v>18.557001321003963</v>
      </c>
      <c r="BI909" s="75">
        <f>PARAM!$C$26+MAX($G$17-CHOOSE(PARAM!$B$44,MAX(0,BJ908*$F$1),0),0)*RATES!$L885/12+$H$17*(PARAM!$D$51/12)*RATES!$N885/100</f>
        <v>1190.0416666666667</v>
      </c>
      <c r="BJ909" s="16">
        <f t="shared" si="599"/>
        <v>-249589.34119242342</v>
      </c>
      <c r="BK909" s="15">
        <f t="shared" si="574"/>
        <v>22.170849845882874</v>
      </c>
      <c r="BL909" s="75">
        <f>BK909*(1-PARAM!$C$27)*$I$18+(MOD($B909,60)=PARAM!$B$56)*($B909&gt;(60-PARAM!$B$56))*HLOOKUP(($B909+PARAM!$B$56)/12,Loyalty,2)*$F$1*MAX(BN908,0)</f>
        <v>18.557001321003963</v>
      </c>
      <c r="BM909" s="75">
        <f>PARAM!$C$26+MAX($G$18-CHOOSE(PARAM!$B$44,MAX(0,BN908*$F$1),0),0)*RATES!$L885/12+$H$18*(PARAM!$D$51/12)*RATES!$N885/100</f>
        <v>1190.0416666666667</v>
      </c>
      <c r="BN909" s="16">
        <f t="shared" si="600"/>
        <v>-249589.34119242342</v>
      </c>
      <c r="BO909" s="15">
        <f t="shared" si="575"/>
        <v>22.170849845882874</v>
      </c>
      <c r="BP909" s="75">
        <f>BO909*(1-PARAM!$C$27)*$I$19+(MOD($B909,60)=PARAM!$B$56)*($B909&gt;(60-PARAM!$B$56))*HLOOKUP(($B909+PARAM!$B$56)/12,Loyalty,2)*$F$1*MAX(BR908,0)</f>
        <v>18.557001321003963</v>
      </c>
      <c r="BQ909" s="75">
        <f>PARAM!$C$26+MAX($G$19-CHOOSE(PARAM!$B$44,MAX(0,BR908*$F$1),0),0)*RATES!$L885/12+$H$19*(PARAM!$D$51/12)*RATES!$N885/100</f>
        <v>1190.0416666666667</v>
      </c>
      <c r="BR909" s="16">
        <f t="shared" si="601"/>
        <v>-249589.34119242342</v>
      </c>
      <c r="BS909" s="15">
        <f t="shared" si="576"/>
        <v>22.170849845882874</v>
      </c>
      <c r="BT909" s="75">
        <f>BS909*(1-PARAM!$C$27)*$I$20+(MOD($B909,60)=PARAM!$B$56)*($B909&gt;(60-PARAM!$B$56))*HLOOKUP(($B909+PARAM!$B$56)/12,Loyalty,2)*$F$1*MAX(BV908,0)</f>
        <v>18.557001321003963</v>
      </c>
      <c r="BU909" s="75">
        <f>PARAM!$C$26+MAX($G$20-CHOOSE(PARAM!$B$44,MAX(0,BV908*$F$1),0),0)*RATES!$L885/12+$H$20*(PARAM!$D$51/12)*RATES!$N885/100</f>
        <v>1190.0416666666667</v>
      </c>
      <c r="BV909" s="16">
        <f t="shared" si="602"/>
        <v>-249589.34119242342</v>
      </c>
      <c r="BW909" s="15">
        <f t="shared" si="577"/>
        <v>22.170849845882874</v>
      </c>
      <c r="BX909" s="75">
        <f>BW909*(1-PARAM!$C$27)*$I$21+(MOD($B909,60)=PARAM!$B$56)*($B909&gt;(60-PARAM!$B$56))*HLOOKUP(($B909+PARAM!$B$56)/12,Loyalty,2)*$F$1*MAX(BZ908,0)</f>
        <v>18.557001321003963</v>
      </c>
      <c r="BY909" s="75">
        <f>PARAM!$C$26+MAX($G$21-CHOOSE(PARAM!$B$44,MAX(0,BZ908*$F$1),0),0)*RATES!$L885/12+$H$21*(PARAM!$D$51/12)*RATES!$N885/100</f>
        <v>1190.0416666666667</v>
      </c>
      <c r="BZ909" s="16">
        <f t="shared" si="603"/>
        <v>-249589.34119242342</v>
      </c>
      <c r="CA909" s="15">
        <f t="shared" si="578"/>
        <v>22.170849845882874</v>
      </c>
      <c r="CB909" s="75">
        <f>CA909*(1-PARAM!$C$27)*$I$22+(MOD($B909,60)=PARAM!$B$56)*($B909&gt;(60-PARAM!$B$56))*HLOOKUP(($B909+PARAM!$B$56)/12,Loyalty,2)*$F$1*MAX(CD908,0)</f>
        <v>18.557001321003963</v>
      </c>
      <c r="CC909" s="75">
        <f>PARAM!$C$26+MAX($G$22-CHOOSE(PARAM!$B$44,MAX(0,CD908*$F$1),0),0)*RATES!$L885/12+$H$22*(PARAM!$D$51/12)*RATES!$N885/100</f>
        <v>1190.0416666666667</v>
      </c>
      <c r="CD909" s="16">
        <f t="shared" si="604"/>
        <v>-249589.34119242342</v>
      </c>
      <c r="CE909" s="33">
        <f>IF(0=MOD(B909,12/PARAM!$D$51),1,0)</f>
        <v>1</v>
      </c>
      <c r="CF909" s="15">
        <f t="shared" si="579"/>
        <v>0</v>
      </c>
      <c r="CG909" s="75">
        <f>CF909*(1-PARAM!$C$27)*$R$3+(MOD($B909/12,5)=0)*($B909&gt;60)*HLOOKUP($B909/12,Loyalty,2)*$F$1*MAX(CI908,0)</f>
        <v>0</v>
      </c>
      <c r="CH909" s="75">
        <f>PARAM!$C$26+MAX($P$3-CHOOSE(PARAM!$B$44,MAX(0,CI908*$F$1),0),0)*RATES!$L885/12+$Q$3*(PARAM!$D$51/12)*RATES!$N885/100</f>
        <v>1190.0416666666667</v>
      </c>
      <c r="CI909" s="16">
        <f>IF(CI908&gt;0,CI908*PARAM!$C$53,CI908)+CG909-CH909</f>
        <v>-265837.04166666634</v>
      </c>
      <c r="CJ909" s="15">
        <f t="shared" si="605"/>
        <v>0</v>
      </c>
      <c r="CK909" s="75">
        <f>CJ909*(1-PARAM!$C$27)*$R$4+(MOD($B909/12,5)=0)*($B909&gt;60)*HLOOKUP($B909/12,Loyalty,2)*$F$1*MAX(CM908,0)</f>
        <v>0</v>
      </c>
      <c r="CL909" s="75">
        <f>PARAM!$C$26+MAX($P$4-CHOOSE(PARAM!$B$44,MAX(0,CM908*$F$1),0),0)*RATES!$L885/12+$Q$4*(PARAM!$D$51/12)*RATES!$N885/100</f>
        <v>1190.0416666666667</v>
      </c>
      <c r="CM909" s="16">
        <f>IF(CM908&gt;0,CM908*PARAM!$C$53,CM908)+CK909-CL909</f>
        <v>-265837.04166666634</v>
      </c>
      <c r="CO909" s="176"/>
    </row>
    <row r="910" spans="1:93" x14ac:dyDescent="0.2">
      <c r="A910" t="b">
        <f t="shared" si="580"/>
        <v>0</v>
      </c>
      <c r="B910" s="33">
        <v>883</v>
      </c>
      <c r="C910" s="15">
        <f t="shared" si="581"/>
        <v>20.081305947392778</v>
      </c>
      <c r="D910" s="75">
        <f>C910*(1-PARAM!$C$27)*$I$3+(MOD($B910,60)=PARAM!$B$56)*($B910&gt;(60-PARAM!$B$56))*HLOOKUP(($B910+PARAM!$B$56)/12,Loyalty,2)*$F$1*MAX(F909,0)</f>
        <v>16.808053077967756</v>
      </c>
      <c r="E910" s="75">
        <f>PARAM!$C$26+MAX($G$3-CHOOSE(PARAM!$B$44,MAX(0,F909*$F$1),0),0)*RATES!$L886/12+$H$3*(PARAM!$D$51/12)*RATES!$N886/100</f>
        <v>1190.0416666666667</v>
      </c>
      <c r="F910" s="16">
        <f t="shared" si="582"/>
        <v>-252341.99765689205</v>
      </c>
      <c r="G910" s="15">
        <f t="shared" si="583"/>
        <v>22.035289406060361</v>
      </c>
      <c r="H910" s="75">
        <f>G910*(1-PARAM!$C$27)*$I$4+(MOD($B910,60)=PARAM!$B$56)*($B910&gt;(60-PARAM!$B$56))*HLOOKUP(($B910+PARAM!$B$56)/12,Loyalty,2)*$F$1*MAX(J909,0)</f>
        <v>18.443537232872522</v>
      </c>
      <c r="I910" s="75">
        <f>PARAM!$C$26+MAX($G$4-CHOOSE(PARAM!$B$44,MAX(0,J909*$F$1),0),0)*RATES!$L886/12+$H$4*(PARAM!$D$51/12)*RATES!$N886/100</f>
        <v>1190.0416666666667</v>
      </c>
      <c r="J910" s="16">
        <f t="shared" si="584"/>
        <v>-250864.03218398799</v>
      </c>
      <c r="K910" s="15">
        <f t="shared" si="585"/>
        <v>22.170849845882874</v>
      </c>
      <c r="L910" s="75">
        <f>K910*(1-PARAM!$C$27)*$I$5+(MOD($B910,60)=PARAM!$B$56)*($B910&gt;(60-PARAM!$B$56))*HLOOKUP(($B910+PARAM!$B$56)/12,Loyalty,2)*$F$1*MAX(N909,0)</f>
        <v>18.557001321003963</v>
      </c>
      <c r="M910" s="75">
        <f>PARAM!$C$26+MAX($G$5-CHOOSE(PARAM!$B$44,MAX(0,N909*$F$1),0),0)*RATES!$L886/12+$H$5*(PARAM!$D$51/12)*RATES!$N886/100</f>
        <v>1190.0416666666667</v>
      </c>
      <c r="N910" s="16">
        <f t="shared" si="586"/>
        <v>-250760.82585776909</v>
      </c>
      <c r="O910" s="15">
        <f t="shared" si="587"/>
        <v>22.170849845882874</v>
      </c>
      <c r="P910" s="75">
        <f>O910*(1-PARAM!$C$27)*$I$6+(MOD($B910,60)=PARAM!$B$56)*($B910&gt;(60-PARAM!$B$56))*HLOOKUP(($B910+PARAM!$B$56)/12,Loyalty,2)*$F$1*MAX(R909,0)</f>
        <v>18.557001321003963</v>
      </c>
      <c r="Q910" s="75">
        <f>PARAM!$C$26+MAX($G$6-CHOOSE(PARAM!$B$44,MAX(0,R909*$F$1),0),0)*RATES!$L886/12+$H$6*(PARAM!$D$51/12)*RATES!$N886/100</f>
        <v>1190.0416666666667</v>
      </c>
      <c r="R910" s="16">
        <f t="shared" si="588"/>
        <v>-250760.82585776909</v>
      </c>
      <c r="S910" s="15">
        <f t="shared" si="563"/>
        <v>22.170849845882874</v>
      </c>
      <c r="T910" s="75">
        <f>S910*(1-PARAM!$C$27)*$I$7+(MOD($B910,60)=PARAM!$B$56)*($B910&gt;(60-PARAM!$B$56))*HLOOKUP(($B910+PARAM!$B$56)/12,Loyalty,2)*$F$1*MAX(V909,0)</f>
        <v>18.557001321003963</v>
      </c>
      <c r="U910" s="75">
        <f>PARAM!$C$26+MAX($G$7-CHOOSE(PARAM!$B$44,MAX(0,V909*$F$1),0),0)*RATES!$L886/12+$H$7*(PARAM!$D$51/12)*RATES!$N886/100</f>
        <v>1190.0416666666667</v>
      </c>
      <c r="V910" s="16">
        <f t="shared" si="589"/>
        <v>-250760.82585776909</v>
      </c>
      <c r="W910" s="15">
        <f t="shared" si="564"/>
        <v>22.170849845882874</v>
      </c>
      <c r="X910" s="75">
        <f>W910*(1-PARAM!$C$27)*$I$8+(MOD($B910,60)=PARAM!$B$56)*($B910&gt;(60-PARAM!$B$56))*HLOOKUP(($B910+PARAM!$B$56)/12,Loyalty,2)*$F$1*MAX(Z909,0)</f>
        <v>18.557001321003963</v>
      </c>
      <c r="Y910" s="75">
        <f>PARAM!$C$26+MAX($G$8-CHOOSE(PARAM!$B$44,MAX(0,Z909*$F$1),0),0)*RATES!$L886/12+$H$8*(PARAM!$D$51/12)*RATES!$N886/100</f>
        <v>1190.0416666666667</v>
      </c>
      <c r="Z910" s="16">
        <f t="shared" si="590"/>
        <v>-250760.82585776909</v>
      </c>
      <c r="AA910" s="15">
        <f t="shared" si="565"/>
        <v>22.170849845882874</v>
      </c>
      <c r="AB910" s="75">
        <f>AA910*(1-PARAM!$C$27)*$I$9+(MOD($B910,60)=PARAM!$B$56)*($B910&gt;(60-PARAM!$B$56))*HLOOKUP(($B910+PARAM!$B$56)/12,Loyalty,2)*$F$1*MAX(AD909,0)</f>
        <v>18.557001321003963</v>
      </c>
      <c r="AC910" s="75">
        <f>PARAM!$C$26+MAX($G$9-CHOOSE(PARAM!$B$44,MAX(0,AD909*$F$1),0),0)*RATES!$L886/12+$H$9*(PARAM!$D$51/12)*RATES!$N886/100</f>
        <v>1190.0416666666667</v>
      </c>
      <c r="AD910" s="16">
        <f t="shared" si="591"/>
        <v>-250760.82585776909</v>
      </c>
      <c r="AE910" s="15">
        <f t="shared" si="566"/>
        <v>22.170849845882874</v>
      </c>
      <c r="AF910" s="75">
        <f>AE910*(1-PARAM!$C$27)*$I$10+(MOD($B910,60)=PARAM!$B$56)*($B910&gt;(60-PARAM!$B$56))*HLOOKUP(($B910+PARAM!$B$56)/12,Loyalty,2)*$F$1*MAX(AH909,0)</f>
        <v>18.557001321003963</v>
      </c>
      <c r="AG910" s="75">
        <f>PARAM!$C$26+MAX($G$10-CHOOSE(PARAM!$B$44,MAX(0,AH909*$F$1),0),0)*RATES!$L886/12+$H$10*(PARAM!$D$51/12)*RATES!$N886/100</f>
        <v>1190.0416666666667</v>
      </c>
      <c r="AH910" s="16">
        <f t="shared" si="592"/>
        <v>-250760.82585776909</v>
      </c>
      <c r="AI910" s="15">
        <f t="shared" si="567"/>
        <v>22.170849845882874</v>
      </c>
      <c r="AJ910" s="75">
        <f>AI910*(1-PARAM!$C$27)*$I$11+(MOD($B910,60)=PARAM!$B$56)*($B910&gt;(60-PARAM!$B$56))*HLOOKUP(($B910+PARAM!$B$56)/12,Loyalty,2)*$F$1*MAX(AL909,0)</f>
        <v>18.557001321003963</v>
      </c>
      <c r="AK910" s="75">
        <f>PARAM!$C$26+MAX($G$11-CHOOSE(PARAM!$B$44,MAX(0,AL909*$F$1),0),0)*RATES!$L886/12+$H$11*(PARAM!$D$51/12)*RATES!$N886/100</f>
        <v>1190.0416666666667</v>
      </c>
      <c r="AL910" s="16">
        <f t="shared" si="593"/>
        <v>-250760.82585776909</v>
      </c>
      <c r="AM910" s="15">
        <f t="shared" si="568"/>
        <v>22.170849845882874</v>
      </c>
      <c r="AN910" s="75">
        <f>AM910*(1-PARAM!$C$27)*$I$12+(MOD($B910,60)=PARAM!$B$56)*($B910&gt;(60-PARAM!$B$56))*HLOOKUP(($B910+PARAM!$B$56)/12,Loyalty,2)*$F$1*MAX(AP909,0)</f>
        <v>18.557001321003963</v>
      </c>
      <c r="AO910" s="75">
        <f>PARAM!$C$26+MAX($G$12-CHOOSE(PARAM!$B$44,MAX(0,AP909*$F$1),0),0)*RATES!$L886/12+$H$12*(PARAM!$D$51/12)*RATES!$N886/100</f>
        <v>1190.0416666666667</v>
      </c>
      <c r="AP910" s="16">
        <f t="shared" si="594"/>
        <v>-250760.82585776909</v>
      </c>
      <c r="AQ910" s="15">
        <f t="shared" si="569"/>
        <v>22.170849845882874</v>
      </c>
      <c r="AR910" s="75">
        <f>AQ910*(1-PARAM!$C$27)*$I$13+(MOD($B910,60)=PARAM!$B$56)*($B910&gt;(60-PARAM!$B$56))*HLOOKUP(($B910+PARAM!$B$56)/12,Loyalty,2)*$F$1*MAX(AT909,0)</f>
        <v>18.557001321003963</v>
      </c>
      <c r="AS910" s="75">
        <f>PARAM!$C$26+MAX($G$13-CHOOSE(PARAM!$B$44,MAX(0,AT909*$F$1),0),0)*RATES!$L886/12+$H$13*(PARAM!$D$51/12)*RATES!$N886/100</f>
        <v>1190.0416666666667</v>
      </c>
      <c r="AT910" s="16">
        <f t="shared" si="595"/>
        <v>-250760.82585776909</v>
      </c>
      <c r="AU910" s="15">
        <f t="shared" si="570"/>
        <v>22.170849845882874</v>
      </c>
      <c r="AV910" s="75">
        <f>AU910*(1-PARAM!$C$27)*$I$14+(MOD($B910,60)=PARAM!$B$56)*($B910&gt;(60-PARAM!$B$56))*HLOOKUP(($B910+PARAM!$B$56)/12,Loyalty,2)*$F$1*MAX(AX909,0)</f>
        <v>18.557001321003963</v>
      </c>
      <c r="AW910" s="75">
        <f>PARAM!$C$26+MAX($G$14-CHOOSE(PARAM!$B$44,MAX(0,AX909*$F$1),0),0)*RATES!$L886/12+$H$14*(PARAM!$D$51/12)*RATES!$N886/100</f>
        <v>1190.0416666666667</v>
      </c>
      <c r="AX910" s="16">
        <f t="shared" si="596"/>
        <v>-250760.82585776909</v>
      </c>
      <c r="AY910" s="15">
        <f t="shared" si="571"/>
        <v>22.170849845882874</v>
      </c>
      <c r="AZ910" s="75">
        <f>AY910*(1-PARAM!$C$27)*$I$15+(MOD($B910,60)=PARAM!$B$56)*($B910&gt;(60-PARAM!$B$56))*HLOOKUP(($B910+PARAM!$B$56)/12,Loyalty,2)*$F$1*MAX(BB909,0)</f>
        <v>18.557001321003963</v>
      </c>
      <c r="BA910" s="75">
        <f>PARAM!$C$26+MAX($G$15-CHOOSE(PARAM!$B$44,MAX(0,BB909*$F$1),0),0)*RATES!$L886/12+$H$15*(PARAM!$D$51/12)*RATES!$N886/100</f>
        <v>1190.0416666666667</v>
      </c>
      <c r="BB910" s="16">
        <f t="shared" si="597"/>
        <v>-250760.82585776909</v>
      </c>
      <c r="BC910" s="15">
        <f t="shared" si="572"/>
        <v>22.170849845882874</v>
      </c>
      <c r="BD910" s="75">
        <f>BC910*(1-PARAM!$C$27)*$I$16+(MOD($B910,60)=PARAM!$B$56)*($B910&gt;(60-PARAM!$B$56))*HLOOKUP(($B910+PARAM!$B$56)/12,Loyalty,2)*$F$1*MAX(BF909,0)</f>
        <v>18.557001321003963</v>
      </c>
      <c r="BE910" s="75">
        <f>PARAM!$C$26+MAX($G$16-CHOOSE(PARAM!$B$44,MAX(0,BF909*$F$1),0),0)*RATES!$L886/12+$H$16*(PARAM!$D$51/12)*RATES!$N886/100</f>
        <v>1190.0416666666667</v>
      </c>
      <c r="BF910" s="16">
        <f t="shared" si="598"/>
        <v>-250760.82585776909</v>
      </c>
      <c r="BG910" s="15">
        <f t="shared" si="573"/>
        <v>22.170849845882874</v>
      </c>
      <c r="BH910" s="75">
        <f>BG910*(1-PARAM!$C$27)*$I$17+(MOD($B910,60)=PARAM!$B$56)*($B910&gt;(60-PARAM!$B$56))*HLOOKUP(($B910+PARAM!$B$56)/12,Loyalty,2)*$F$1*MAX(BJ909,0)</f>
        <v>18.557001321003963</v>
      </c>
      <c r="BI910" s="75">
        <f>PARAM!$C$26+MAX($G$17-CHOOSE(PARAM!$B$44,MAX(0,BJ909*$F$1),0),0)*RATES!$L886/12+$H$17*(PARAM!$D$51/12)*RATES!$N886/100</f>
        <v>1190.0416666666667</v>
      </c>
      <c r="BJ910" s="16">
        <f t="shared" si="599"/>
        <v>-250760.82585776909</v>
      </c>
      <c r="BK910" s="15">
        <f t="shared" si="574"/>
        <v>22.170849845882874</v>
      </c>
      <c r="BL910" s="75">
        <f>BK910*(1-PARAM!$C$27)*$I$18+(MOD($B910,60)=PARAM!$B$56)*($B910&gt;(60-PARAM!$B$56))*HLOOKUP(($B910+PARAM!$B$56)/12,Loyalty,2)*$F$1*MAX(BN909,0)</f>
        <v>18.557001321003963</v>
      </c>
      <c r="BM910" s="75">
        <f>PARAM!$C$26+MAX($G$18-CHOOSE(PARAM!$B$44,MAX(0,BN909*$F$1),0),0)*RATES!$L886/12+$H$18*(PARAM!$D$51/12)*RATES!$N886/100</f>
        <v>1190.0416666666667</v>
      </c>
      <c r="BN910" s="16">
        <f t="shared" si="600"/>
        <v>-250760.82585776909</v>
      </c>
      <c r="BO910" s="15">
        <f t="shared" si="575"/>
        <v>22.170849845882874</v>
      </c>
      <c r="BP910" s="75">
        <f>BO910*(1-PARAM!$C$27)*$I$19+(MOD($B910,60)=PARAM!$B$56)*($B910&gt;(60-PARAM!$B$56))*HLOOKUP(($B910+PARAM!$B$56)/12,Loyalty,2)*$F$1*MAX(BR909,0)</f>
        <v>18.557001321003963</v>
      </c>
      <c r="BQ910" s="75">
        <f>PARAM!$C$26+MAX($G$19-CHOOSE(PARAM!$B$44,MAX(0,BR909*$F$1),0),0)*RATES!$L886/12+$H$19*(PARAM!$D$51/12)*RATES!$N886/100</f>
        <v>1190.0416666666667</v>
      </c>
      <c r="BR910" s="16">
        <f t="shared" si="601"/>
        <v>-250760.82585776909</v>
      </c>
      <c r="BS910" s="15">
        <f t="shared" si="576"/>
        <v>22.170849845882874</v>
      </c>
      <c r="BT910" s="75">
        <f>BS910*(1-PARAM!$C$27)*$I$20+(MOD($B910,60)=PARAM!$B$56)*($B910&gt;(60-PARAM!$B$56))*HLOOKUP(($B910+PARAM!$B$56)/12,Loyalty,2)*$F$1*MAX(BV909,0)</f>
        <v>18.557001321003963</v>
      </c>
      <c r="BU910" s="75">
        <f>PARAM!$C$26+MAX($G$20-CHOOSE(PARAM!$B$44,MAX(0,BV909*$F$1),0),0)*RATES!$L886/12+$H$20*(PARAM!$D$51/12)*RATES!$N886/100</f>
        <v>1190.0416666666667</v>
      </c>
      <c r="BV910" s="16">
        <f t="shared" si="602"/>
        <v>-250760.82585776909</v>
      </c>
      <c r="BW910" s="15">
        <f t="shared" si="577"/>
        <v>22.170849845882874</v>
      </c>
      <c r="BX910" s="75">
        <f>BW910*(1-PARAM!$C$27)*$I$21+(MOD($B910,60)=PARAM!$B$56)*($B910&gt;(60-PARAM!$B$56))*HLOOKUP(($B910+PARAM!$B$56)/12,Loyalty,2)*$F$1*MAX(BZ909,0)</f>
        <v>18.557001321003963</v>
      </c>
      <c r="BY910" s="75">
        <f>PARAM!$C$26+MAX($G$21-CHOOSE(PARAM!$B$44,MAX(0,BZ909*$F$1),0),0)*RATES!$L886/12+$H$21*(PARAM!$D$51/12)*RATES!$N886/100</f>
        <v>1190.0416666666667</v>
      </c>
      <c r="BZ910" s="16">
        <f t="shared" si="603"/>
        <v>-250760.82585776909</v>
      </c>
      <c r="CA910" s="15">
        <f t="shared" si="578"/>
        <v>22.170849845882874</v>
      </c>
      <c r="CB910" s="75">
        <f>CA910*(1-PARAM!$C$27)*$I$22+(MOD($B910,60)=PARAM!$B$56)*($B910&gt;(60-PARAM!$B$56))*HLOOKUP(($B910+PARAM!$B$56)/12,Loyalty,2)*$F$1*MAX(CD909,0)</f>
        <v>18.557001321003963</v>
      </c>
      <c r="CC910" s="75">
        <f>PARAM!$C$26+MAX($G$22-CHOOSE(PARAM!$B$44,MAX(0,CD909*$F$1),0),0)*RATES!$L886/12+$H$22*(PARAM!$D$51/12)*RATES!$N886/100</f>
        <v>1190.0416666666667</v>
      </c>
      <c r="CD910" s="16">
        <f t="shared" si="604"/>
        <v>-250760.82585776909</v>
      </c>
      <c r="CE910" s="33">
        <f>IF(0=MOD(B910,12/PARAM!$D$51),1,0)</f>
        <v>1</v>
      </c>
      <c r="CF910" s="15">
        <f t="shared" si="579"/>
        <v>0</v>
      </c>
      <c r="CG910" s="75">
        <f>CF910*(1-PARAM!$C$27)*$R$3+(MOD($B910/12,5)=0)*($B910&gt;60)*HLOOKUP($B910/12,Loyalty,2)*$F$1*MAX(CI909,0)</f>
        <v>0</v>
      </c>
      <c r="CH910" s="75">
        <f>PARAM!$C$26+MAX($P$3-CHOOSE(PARAM!$B$44,MAX(0,CI909*$F$1),0),0)*RATES!$L886/12+$Q$3*(PARAM!$D$51/12)*RATES!$N886/100</f>
        <v>1190.0416666666667</v>
      </c>
      <c r="CI910" s="16">
        <f>IF(CI909&gt;0,CI909*PARAM!$C$53,CI909)+CG910-CH910</f>
        <v>-267027.08333333302</v>
      </c>
      <c r="CJ910" s="15">
        <f t="shared" si="605"/>
        <v>0</v>
      </c>
      <c r="CK910" s="75">
        <f>CJ910*(1-PARAM!$C$27)*$R$4+(MOD($B910/12,5)=0)*($B910&gt;60)*HLOOKUP($B910/12,Loyalty,2)*$F$1*MAX(CM909,0)</f>
        <v>0</v>
      </c>
      <c r="CL910" s="75">
        <f>PARAM!$C$26+MAX($P$4-CHOOSE(PARAM!$B$44,MAX(0,CM909*$F$1),0),0)*RATES!$L886/12+$Q$4*(PARAM!$D$51/12)*RATES!$N886/100</f>
        <v>1190.0416666666667</v>
      </c>
      <c r="CM910" s="16">
        <f>IF(CM909&gt;0,CM909*PARAM!$C$53,CM909)+CK910-CL910</f>
        <v>-267027.08333333302</v>
      </c>
      <c r="CO910" s="176"/>
    </row>
    <row r="911" spans="1:93" x14ac:dyDescent="0.2">
      <c r="A911" t="b">
        <f t="shared" si="580"/>
        <v>0</v>
      </c>
      <c r="B911" s="33">
        <v>884</v>
      </c>
      <c r="C911" s="15">
        <f t="shared" si="581"/>
        <v>20.081305947392778</v>
      </c>
      <c r="D911" s="75">
        <f>C911*(1-PARAM!$C$27)*$I$3+(MOD($B911,60)=PARAM!$B$56)*($B911&gt;(60-PARAM!$B$56))*HLOOKUP(($B911+PARAM!$B$56)/12,Loyalty,2)*$F$1*MAX(F910,0)</f>
        <v>16.808053077967756</v>
      </c>
      <c r="E911" s="75">
        <f>PARAM!$C$26+MAX($G$3-CHOOSE(PARAM!$B$44,MAX(0,F910*$F$1),0),0)*RATES!$L887/12+$H$3*(PARAM!$D$51/12)*RATES!$N887/100</f>
        <v>1190.0416666666667</v>
      </c>
      <c r="F911" s="16">
        <f t="shared" si="582"/>
        <v>-253515.23127048076</v>
      </c>
      <c r="G911" s="15">
        <f t="shared" si="583"/>
        <v>22.035289406060361</v>
      </c>
      <c r="H911" s="75">
        <f>G911*(1-PARAM!$C$27)*$I$4+(MOD($B911,60)=PARAM!$B$56)*($B911&gt;(60-PARAM!$B$56))*HLOOKUP(($B911+PARAM!$B$56)/12,Loyalty,2)*$F$1*MAX(J910,0)</f>
        <v>18.443537232872522</v>
      </c>
      <c r="I911" s="75">
        <f>PARAM!$C$26+MAX($G$4-CHOOSE(PARAM!$B$44,MAX(0,J910*$F$1),0),0)*RATES!$L887/12+$H$4*(PARAM!$D$51/12)*RATES!$N887/100</f>
        <v>1190.0416666666667</v>
      </c>
      <c r="J911" s="16">
        <f t="shared" si="584"/>
        <v>-252035.63031342177</v>
      </c>
      <c r="K911" s="15">
        <f t="shared" si="585"/>
        <v>22.170849845882874</v>
      </c>
      <c r="L911" s="75">
        <f>K911*(1-PARAM!$C$27)*$I$5+(MOD($B911,60)=PARAM!$B$56)*($B911&gt;(60-PARAM!$B$56))*HLOOKUP(($B911+PARAM!$B$56)/12,Loyalty,2)*$F$1*MAX(N910,0)</f>
        <v>18.557001321003963</v>
      </c>
      <c r="M911" s="75">
        <f>PARAM!$C$26+MAX($G$5-CHOOSE(PARAM!$B$44,MAX(0,N910*$F$1),0),0)*RATES!$L887/12+$H$5*(PARAM!$D$51/12)*RATES!$N887/100</f>
        <v>1190.0416666666667</v>
      </c>
      <c r="N911" s="16">
        <f t="shared" si="586"/>
        <v>-251932.31052311475</v>
      </c>
      <c r="O911" s="15">
        <f t="shared" si="587"/>
        <v>22.170849845882874</v>
      </c>
      <c r="P911" s="75">
        <f>O911*(1-PARAM!$C$27)*$I$6+(MOD($B911,60)=PARAM!$B$56)*($B911&gt;(60-PARAM!$B$56))*HLOOKUP(($B911+PARAM!$B$56)/12,Loyalty,2)*$F$1*MAX(R910,0)</f>
        <v>18.557001321003963</v>
      </c>
      <c r="Q911" s="75">
        <f>PARAM!$C$26+MAX($G$6-CHOOSE(PARAM!$B$44,MAX(0,R910*$F$1),0),0)*RATES!$L887/12+$H$6*(PARAM!$D$51/12)*RATES!$N887/100</f>
        <v>1190.0416666666667</v>
      </c>
      <c r="R911" s="16">
        <f t="shared" si="588"/>
        <v>-251932.31052311475</v>
      </c>
      <c r="S911" s="15">
        <f t="shared" si="563"/>
        <v>22.170849845882874</v>
      </c>
      <c r="T911" s="75">
        <f>S911*(1-PARAM!$C$27)*$I$7+(MOD($B911,60)=PARAM!$B$56)*($B911&gt;(60-PARAM!$B$56))*HLOOKUP(($B911+PARAM!$B$56)/12,Loyalty,2)*$F$1*MAX(V910,0)</f>
        <v>18.557001321003963</v>
      </c>
      <c r="U911" s="75">
        <f>PARAM!$C$26+MAX($G$7-CHOOSE(PARAM!$B$44,MAX(0,V910*$F$1),0),0)*RATES!$L887/12+$H$7*(PARAM!$D$51/12)*RATES!$N887/100</f>
        <v>1190.0416666666667</v>
      </c>
      <c r="V911" s="16">
        <f t="shared" si="589"/>
        <v>-251932.31052311475</v>
      </c>
      <c r="W911" s="15">
        <f t="shared" si="564"/>
        <v>22.170849845882874</v>
      </c>
      <c r="X911" s="75">
        <f>W911*(1-PARAM!$C$27)*$I$8+(MOD($B911,60)=PARAM!$B$56)*($B911&gt;(60-PARAM!$B$56))*HLOOKUP(($B911+PARAM!$B$56)/12,Loyalty,2)*$F$1*MAX(Z910,0)</f>
        <v>18.557001321003963</v>
      </c>
      <c r="Y911" s="75">
        <f>PARAM!$C$26+MAX($G$8-CHOOSE(PARAM!$B$44,MAX(0,Z910*$F$1),0),0)*RATES!$L887/12+$H$8*(PARAM!$D$51/12)*RATES!$N887/100</f>
        <v>1190.0416666666667</v>
      </c>
      <c r="Z911" s="16">
        <f t="shared" si="590"/>
        <v>-251932.31052311475</v>
      </c>
      <c r="AA911" s="15">
        <f t="shared" si="565"/>
        <v>22.170849845882874</v>
      </c>
      <c r="AB911" s="75">
        <f>AA911*(1-PARAM!$C$27)*$I$9+(MOD($B911,60)=PARAM!$B$56)*($B911&gt;(60-PARAM!$B$56))*HLOOKUP(($B911+PARAM!$B$56)/12,Loyalty,2)*$F$1*MAX(AD910,0)</f>
        <v>18.557001321003963</v>
      </c>
      <c r="AC911" s="75">
        <f>PARAM!$C$26+MAX($G$9-CHOOSE(PARAM!$B$44,MAX(0,AD910*$F$1),0),0)*RATES!$L887/12+$H$9*(PARAM!$D$51/12)*RATES!$N887/100</f>
        <v>1190.0416666666667</v>
      </c>
      <c r="AD911" s="16">
        <f t="shared" si="591"/>
        <v>-251932.31052311475</v>
      </c>
      <c r="AE911" s="15">
        <f t="shared" si="566"/>
        <v>22.170849845882874</v>
      </c>
      <c r="AF911" s="75">
        <f>AE911*(1-PARAM!$C$27)*$I$10+(MOD($B911,60)=PARAM!$B$56)*($B911&gt;(60-PARAM!$B$56))*HLOOKUP(($B911+PARAM!$B$56)/12,Loyalty,2)*$F$1*MAX(AH910,0)</f>
        <v>18.557001321003963</v>
      </c>
      <c r="AG911" s="75">
        <f>PARAM!$C$26+MAX($G$10-CHOOSE(PARAM!$B$44,MAX(0,AH910*$F$1),0),0)*RATES!$L887/12+$H$10*(PARAM!$D$51/12)*RATES!$N887/100</f>
        <v>1190.0416666666667</v>
      </c>
      <c r="AH911" s="16">
        <f t="shared" si="592"/>
        <v>-251932.31052311475</v>
      </c>
      <c r="AI911" s="15">
        <f t="shared" si="567"/>
        <v>22.170849845882874</v>
      </c>
      <c r="AJ911" s="75">
        <f>AI911*(1-PARAM!$C$27)*$I$11+(MOD($B911,60)=PARAM!$B$56)*($B911&gt;(60-PARAM!$B$56))*HLOOKUP(($B911+PARAM!$B$56)/12,Loyalty,2)*$F$1*MAX(AL910,0)</f>
        <v>18.557001321003963</v>
      </c>
      <c r="AK911" s="75">
        <f>PARAM!$C$26+MAX($G$11-CHOOSE(PARAM!$B$44,MAX(0,AL910*$F$1),0),0)*RATES!$L887/12+$H$11*(PARAM!$D$51/12)*RATES!$N887/100</f>
        <v>1190.0416666666667</v>
      </c>
      <c r="AL911" s="16">
        <f t="shared" si="593"/>
        <v>-251932.31052311475</v>
      </c>
      <c r="AM911" s="15">
        <f t="shared" si="568"/>
        <v>22.170849845882874</v>
      </c>
      <c r="AN911" s="75">
        <f>AM911*(1-PARAM!$C$27)*$I$12+(MOD($B911,60)=PARAM!$B$56)*($B911&gt;(60-PARAM!$B$56))*HLOOKUP(($B911+PARAM!$B$56)/12,Loyalty,2)*$F$1*MAX(AP910,0)</f>
        <v>18.557001321003963</v>
      </c>
      <c r="AO911" s="75">
        <f>PARAM!$C$26+MAX($G$12-CHOOSE(PARAM!$B$44,MAX(0,AP910*$F$1),0),0)*RATES!$L887/12+$H$12*(PARAM!$D$51/12)*RATES!$N887/100</f>
        <v>1190.0416666666667</v>
      </c>
      <c r="AP911" s="16">
        <f t="shared" si="594"/>
        <v>-251932.31052311475</v>
      </c>
      <c r="AQ911" s="15">
        <f t="shared" si="569"/>
        <v>22.170849845882874</v>
      </c>
      <c r="AR911" s="75">
        <f>AQ911*(1-PARAM!$C$27)*$I$13+(MOD($B911,60)=PARAM!$B$56)*($B911&gt;(60-PARAM!$B$56))*HLOOKUP(($B911+PARAM!$B$56)/12,Loyalty,2)*$F$1*MAX(AT910,0)</f>
        <v>18.557001321003963</v>
      </c>
      <c r="AS911" s="75">
        <f>PARAM!$C$26+MAX($G$13-CHOOSE(PARAM!$B$44,MAX(0,AT910*$F$1),0),0)*RATES!$L887/12+$H$13*(PARAM!$D$51/12)*RATES!$N887/100</f>
        <v>1190.0416666666667</v>
      </c>
      <c r="AT911" s="16">
        <f t="shared" si="595"/>
        <v>-251932.31052311475</v>
      </c>
      <c r="AU911" s="15">
        <f t="shared" si="570"/>
        <v>22.170849845882874</v>
      </c>
      <c r="AV911" s="75">
        <f>AU911*(1-PARAM!$C$27)*$I$14+(MOD($B911,60)=PARAM!$B$56)*($B911&gt;(60-PARAM!$B$56))*HLOOKUP(($B911+PARAM!$B$56)/12,Loyalty,2)*$F$1*MAX(AX910,0)</f>
        <v>18.557001321003963</v>
      </c>
      <c r="AW911" s="75">
        <f>PARAM!$C$26+MAX($G$14-CHOOSE(PARAM!$B$44,MAX(0,AX910*$F$1),0),0)*RATES!$L887/12+$H$14*(PARAM!$D$51/12)*RATES!$N887/100</f>
        <v>1190.0416666666667</v>
      </c>
      <c r="AX911" s="16">
        <f t="shared" si="596"/>
        <v>-251932.31052311475</v>
      </c>
      <c r="AY911" s="15">
        <f t="shared" si="571"/>
        <v>22.170849845882874</v>
      </c>
      <c r="AZ911" s="75">
        <f>AY911*(1-PARAM!$C$27)*$I$15+(MOD($B911,60)=PARAM!$B$56)*($B911&gt;(60-PARAM!$B$56))*HLOOKUP(($B911+PARAM!$B$56)/12,Loyalty,2)*$F$1*MAX(BB910,0)</f>
        <v>18.557001321003963</v>
      </c>
      <c r="BA911" s="75">
        <f>PARAM!$C$26+MAX($G$15-CHOOSE(PARAM!$B$44,MAX(0,BB910*$F$1),0),0)*RATES!$L887/12+$H$15*(PARAM!$D$51/12)*RATES!$N887/100</f>
        <v>1190.0416666666667</v>
      </c>
      <c r="BB911" s="16">
        <f t="shared" si="597"/>
        <v>-251932.31052311475</v>
      </c>
      <c r="BC911" s="15">
        <f t="shared" si="572"/>
        <v>22.170849845882874</v>
      </c>
      <c r="BD911" s="75">
        <f>BC911*(1-PARAM!$C$27)*$I$16+(MOD($B911,60)=PARAM!$B$56)*($B911&gt;(60-PARAM!$B$56))*HLOOKUP(($B911+PARAM!$B$56)/12,Loyalty,2)*$F$1*MAX(BF910,0)</f>
        <v>18.557001321003963</v>
      </c>
      <c r="BE911" s="75">
        <f>PARAM!$C$26+MAX($G$16-CHOOSE(PARAM!$B$44,MAX(0,BF910*$F$1),0),0)*RATES!$L887/12+$H$16*(PARAM!$D$51/12)*RATES!$N887/100</f>
        <v>1190.0416666666667</v>
      </c>
      <c r="BF911" s="16">
        <f t="shared" si="598"/>
        <v>-251932.31052311475</v>
      </c>
      <c r="BG911" s="15">
        <f t="shared" si="573"/>
        <v>22.170849845882874</v>
      </c>
      <c r="BH911" s="75">
        <f>BG911*(1-PARAM!$C$27)*$I$17+(MOD($B911,60)=PARAM!$B$56)*($B911&gt;(60-PARAM!$B$56))*HLOOKUP(($B911+PARAM!$B$56)/12,Loyalty,2)*$F$1*MAX(BJ910,0)</f>
        <v>18.557001321003963</v>
      </c>
      <c r="BI911" s="75">
        <f>PARAM!$C$26+MAX($G$17-CHOOSE(PARAM!$B$44,MAX(0,BJ910*$F$1),0),0)*RATES!$L887/12+$H$17*(PARAM!$D$51/12)*RATES!$N887/100</f>
        <v>1190.0416666666667</v>
      </c>
      <c r="BJ911" s="16">
        <f t="shared" si="599"/>
        <v>-251932.31052311475</v>
      </c>
      <c r="BK911" s="15">
        <f t="shared" si="574"/>
        <v>22.170849845882874</v>
      </c>
      <c r="BL911" s="75">
        <f>BK911*(1-PARAM!$C$27)*$I$18+(MOD($B911,60)=PARAM!$B$56)*($B911&gt;(60-PARAM!$B$56))*HLOOKUP(($B911+PARAM!$B$56)/12,Loyalty,2)*$F$1*MAX(BN910,0)</f>
        <v>18.557001321003963</v>
      </c>
      <c r="BM911" s="75">
        <f>PARAM!$C$26+MAX($G$18-CHOOSE(PARAM!$B$44,MAX(0,BN910*$F$1),0),0)*RATES!$L887/12+$H$18*(PARAM!$D$51/12)*RATES!$N887/100</f>
        <v>1190.0416666666667</v>
      </c>
      <c r="BN911" s="16">
        <f t="shared" si="600"/>
        <v>-251932.31052311475</v>
      </c>
      <c r="BO911" s="15">
        <f t="shared" si="575"/>
        <v>22.170849845882874</v>
      </c>
      <c r="BP911" s="75">
        <f>BO911*(1-PARAM!$C$27)*$I$19+(MOD($B911,60)=PARAM!$B$56)*($B911&gt;(60-PARAM!$B$56))*HLOOKUP(($B911+PARAM!$B$56)/12,Loyalty,2)*$F$1*MAX(BR910,0)</f>
        <v>18.557001321003963</v>
      </c>
      <c r="BQ911" s="75">
        <f>PARAM!$C$26+MAX($G$19-CHOOSE(PARAM!$B$44,MAX(0,BR910*$F$1),0),0)*RATES!$L887/12+$H$19*(PARAM!$D$51/12)*RATES!$N887/100</f>
        <v>1190.0416666666667</v>
      </c>
      <c r="BR911" s="16">
        <f t="shared" si="601"/>
        <v>-251932.31052311475</v>
      </c>
      <c r="BS911" s="15">
        <f t="shared" si="576"/>
        <v>22.170849845882874</v>
      </c>
      <c r="BT911" s="75">
        <f>BS911*(1-PARAM!$C$27)*$I$20+(MOD($B911,60)=PARAM!$B$56)*($B911&gt;(60-PARAM!$B$56))*HLOOKUP(($B911+PARAM!$B$56)/12,Loyalty,2)*$F$1*MAX(BV910,0)</f>
        <v>18.557001321003963</v>
      </c>
      <c r="BU911" s="75">
        <f>PARAM!$C$26+MAX($G$20-CHOOSE(PARAM!$B$44,MAX(0,BV910*$F$1),0),0)*RATES!$L887/12+$H$20*(PARAM!$D$51/12)*RATES!$N887/100</f>
        <v>1190.0416666666667</v>
      </c>
      <c r="BV911" s="16">
        <f t="shared" si="602"/>
        <v>-251932.31052311475</v>
      </c>
      <c r="BW911" s="15">
        <f t="shared" si="577"/>
        <v>22.170849845882874</v>
      </c>
      <c r="BX911" s="75">
        <f>BW911*(1-PARAM!$C$27)*$I$21+(MOD($B911,60)=PARAM!$B$56)*($B911&gt;(60-PARAM!$B$56))*HLOOKUP(($B911+PARAM!$B$56)/12,Loyalty,2)*$F$1*MAX(BZ910,0)</f>
        <v>18.557001321003963</v>
      </c>
      <c r="BY911" s="75">
        <f>PARAM!$C$26+MAX($G$21-CHOOSE(PARAM!$B$44,MAX(0,BZ910*$F$1),0),0)*RATES!$L887/12+$H$21*(PARAM!$D$51/12)*RATES!$N887/100</f>
        <v>1190.0416666666667</v>
      </c>
      <c r="BZ911" s="16">
        <f t="shared" si="603"/>
        <v>-251932.31052311475</v>
      </c>
      <c r="CA911" s="15">
        <f t="shared" si="578"/>
        <v>22.170849845882874</v>
      </c>
      <c r="CB911" s="75">
        <f>CA911*(1-PARAM!$C$27)*$I$22+(MOD($B911,60)=PARAM!$B$56)*($B911&gt;(60-PARAM!$B$56))*HLOOKUP(($B911+PARAM!$B$56)/12,Loyalty,2)*$F$1*MAX(CD910,0)</f>
        <v>18.557001321003963</v>
      </c>
      <c r="CC911" s="75">
        <f>PARAM!$C$26+MAX($G$22-CHOOSE(PARAM!$B$44,MAX(0,CD910*$F$1),0),0)*RATES!$L887/12+$H$22*(PARAM!$D$51/12)*RATES!$N887/100</f>
        <v>1190.0416666666667</v>
      </c>
      <c r="CD911" s="16">
        <f t="shared" si="604"/>
        <v>-251932.31052311475</v>
      </c>
      <c r="CE911" s="33">
        <f>IF(0=MOD(B911,12/PARAM!$D$51),1,0)</f>
        <v>1</v>
      </c>
      <c r="CF911" s="15">
        <f t="shared" si="579"/>
        <v>0</v>
      </c>
      <c r="CG911" s="75">
        <f>CF911*(1-PARAM!$C$27)*$R$3+(MOD($B911/12,5)=0)*($B911&gt;60)*HLOOKUP($B911/12,Loyalty,2)*$F$1*MAX(CI910,0)</f>
        <v>0</v>
      </c>
      <c r="CH911" s="75">
        <f>PARAM!$C$26+MAX($P$3-CHOOSE(PARAM!$B$44,MAX(0,CI910*$F$1),0),0)*RATES!$L887/12+$Q$3*(PARAM!$D$51/12)*RATES!$N887/100</f>
        <v>1190.0416666666667</v>
      </c>
      <c r="CI911" s="16">
        <f>IF(CI910&gt;0,CI910*PARAM!$C$53,CI910)+CG911-CH911</f>
        <v>-268217.12499999971</v>
      </c>
      <c r="CJ911" s="15">
        <f t="shared" si="605"/>
        <v>0</v>
      </c>
      <c r="CK911" s="75">
        <f>CJ911*(1-PARAM!$C$27)*$R$4+(MOD($B911/12,5)=0)*($B911&gt;60)*HLOOKUP($B911/12,Loyalty,2)*$F$1*MAX(CM910,0)</f>
        <v>0</v>
      </c>
      <c r="CL911" s="75">
        <f>PARAM!$C$26+MAX($P$4-CHOOSE(PARAM!$B$44,MAX(0,CM910*$F$1),0),0)*RATES!$L887/12+$Q$4*(PARAM!$D$51/12)*RATES!$N887/100</f>
        <v>1190.0416666666667</v>
      </c>
      <c r="CM911" s="16">
        <f>IF(CM910&gt;0,CM910*PARAM!$C$53,CM910)+CK911-CL911</f>
        <v>-268217.12499999971</v>
      </c>
      <c r="CO911" s="176"/>
    </row>
    <row r="912" spans="1:93" x14ac:dyDescent="0.2">
      <c r="A912" t="b">
        <f t="shared" si="580"/>
        <v>0</v>
      </c>
      <c r="B912" s="33">
        <v>885</v>
      </c>
      <c r="C912" s="15">
        <f t="shared" si="581"/>
        <v>20.081305947392778</v>
      </c>
      <c r="D912" s="75">
        <f>C912*(1-PARAM!$C$27)*$I$3+(MOD($B912,60)=PARAM!$B$56)*($B912&gt;(60-PARAM!$B$56))*HLOOKUP(($B912+PARAM!$B$56)/12,Loyalty,2)*$F$1*MAX(F911,0)</f>
        <v>16.808053077967756</v>
      </c>
      <c r="E912" s="75">
        <f>PARAM!$C$26+MAX($G$3-CHOOSE(PARAM!$B$44,MAX(0,F911*$F$1),0),0)*RATES!$L888/12+$H$3*(PARAM!$D$51/12)*RATES!$N888/100</f>
        <v>1190.0416666666667</v>
      </c>
      <c r="F912" s="16">
        <f t="shared" si="582"/>
        <v>-254688.46488406946</v>
      </c>
      <c r="G912" s="15">
        <f t="shared" si="583"/>
        <v>22.035289406060361</v>
      </c>
      <c r="H912" s="75">
        <f>G912*(1-PARAM!$C$27)*$I$4+(MOD($B912,60)=PARAM!$B$56)*($B912&gt;(60-PARAM!$B$56))*HLOOKUP(($B912+PARAM!$B$56)/12,Loyalty,2)*$F$1*MAX(J911,0)</f>
        <v>18.443537232872522</v>
      </c>
      <c r="I912" s="75">
        <f>PARAM!$C$26+MAX($G$4-CHOOSE(PARAM!$B$44,MAX(0,J911*$F$1),0),0)*RATES!$L888/12+$H$4*(PARAM!$D$51/12)*RATES!$N888/100</f>
        <v>1190.0416666666667</v>
      </c>
      <c r="J912" s="16">
        <f t="shared" si="584"/>
        <v>-253207.22844285556</v>
      </c>
      <c r="K912" s="15">
        <f t="shared" si="585"/>
        <v>22.170849845882874</v>
      </c>
      <c r="L912" s="75">
        <f>K912*(1-PARAM!$C$27)*$I$5+(MOD($B912,60)=PARAM!$B$56)*($B912&gt;(60-PARAM!$B$56))*HLOOKUP(($B912+PARAM!$B$56)/12,Loyalty,2)*$F$1*MAX(N911,0)</f>
        <v>18.557001321003963</v>
      </c>
      <c r="M912" s="75">
        <f>PARAM!$C$26+MAX($G$5-CHOOSE(PARAM!$B$44,MAX(0,N911*$F$1),0),0)*RATES!$L888/12+$H$5*(PARAM!$D$51/12)*RATES!$N888/100</f>
        <v>1190.0416666666667</v>
      </c>
      <c r="N912" s="16">
        <f t="shared" si="586"/>
        <v>-253103.79518846041</v>
      </c>
      <c r="O912" s="15">
        <f t="shared" si="587"/>
        <v>22.170849845882874</v>
      </c>
      <c r="P912" s="75">
        <f>O912*(1-PARAM!$C$27)*$I$6+(MOD($B912,60)=PARAM!$B$56)*($B912&gt;(60-PARAM!$B$56))*HLOOKUP(($B912+PARAM!$B$56)/12,Loyalty,2)*$F$1*MAX(R911,0)</f>
        <v>18.557001321003963</v>
      </c>
      <c r="Q912" s="75">
        <f>PARAM!$C$26+MAX($G$6-CHOOSE(PARAM!$B$44,MAX(0,R911*$F$1),0),0)*RATES!$L888/12+$H$6*(PARAM!$D$51/12)*RATES!$N888/100</f>
        <v>1190.0416666666667</v>
      </c>
      <c r="R912" s="16">
        <f t="shared" si="588"/>
        <v>-253103.79518846041</v>
      </c>
      <c r="S912" s="15">
        <f t="shared" si="563"/>
        <v>22.170849845882874</v>
      </c>
      <c r="T912" s="75">
        <f>S912*(1-PARAM!$C$27)*$I$7+(MOD($B912,60)=PARAM!$B$56)*($B912&gt;(60-PARAM!$B$56))*HLOOKUP(($B912+PARAM!$B$56)/12,Loyalty,2)*$F$1*MAX(V911,0)</f>
        <v>18.557001321003963</v>
      </c>
      <c r="U912" s="75">
        <f>PARAM!$C$26+MAX($G$7-CHOOSE(PARAM!$B$44,MAX(0,V911*$F$1),0),0)*RATES!$L888/12+$H$7*(PARAM!$D$51/12)*RATES!$N888/100</f>
        <v>1190.0416666666667</v>
      </c>
      <c r="V912" s="16">
        <f t="shared" si="589"/>
        <v>-253103.79518846041</v>
      </c>
      <c r="W912" s="15">
        <f t="shared" si="564"/>
        <v>22.170849845882874</v>
      </c>
      <c r="X912" s="75">
        <f>W912*(1-PARAM!$C$27)*$I$8+(MOD($B912,60)=PARAM!$B$56)*($B912&gt;(60-PARAM!$B$56))*HLOOKUP(($B912+PARAM!$B$56)/12,Loyalty,2)*$F$1*MAX(Z911,0)</f>
        <v>18.557001321003963</v>
      </c>
      <c r="Y912" s="75">
        <f>PARAM!$C$26+MAX($G$8-CHOOSE(PARAM!$B$44,MAX(0,Z911*$F$1),0),0)*RATES!$L888/12+$H$8*(PARAM!$D$51/12)*RATES!$N888/100</f>
        <v>1190.0416666666667</v>
      </c>
      <c r="Z912" s="16">
        <f t="shared" si="590"/>
        <v>-253103.79518846041</v>
      </c>
      <c r="AA912" s="15">
        <f t="shared" si="565"/>
        <v>22.170849845882874</v>
      </c>
      <c r="AB912" s="75">
        <f>AA912*(1-PARAM!$C$27)*$I$9+(MOD($B912,60)=PARAM!$B$56)*($B912&gt;(60-PARAM!$B$56))*HLOOKUP(($B912+PARAM!$B$56)/12,Loyalty,2)*$F$1*MAX(AD911,0)</f>
        <v>18.557001321003963</v>
      </c>
      <c r="AC912" s="75">
        <f>PARAM!$C$26+MAX($G$9-CHOOSE(PARAM!$B$44,MAX(0,AD911*$F$1),0),0)*RATES!$L888/12+$H$9*(PARAM!$D$51/12)*RATES!$N888/100</f>
        <v>1190.0416666666667</v>
      </c>
      <c r="AD912" s="16">
        <f t="shared" si="591"/>
        <v>-253103.79518846041</v>
      </c>
      <c r="AE912" s="15">
        <f t="shared" si="566"/>
        <v>22.170849845882874</v>
      </c>
      <c r="AF912" s="75">
        <f>AE912*(1-PARAM!$C$27)*$I$10+(MOD($B912,60)=PARAM!$B$56)*($B912&gt;(60-PARAM!$B$56))*HLOOKUP(($B912+PARAM!$B$56)/12,Loyalty,2)*$F$1*MAX(AH911,0)</f>
        <v>18.557001321003963</v>
      </c>
      <c r="AG912" s="75">
        <f>PARAM!$C$26+MAX($G$10-CHOOSE(PARAM!$B$44,MAX(0,AH911*$F$1),0),0)*RATES!$L888/12+$H$10*(PARAM!$D$51/12)*RATES!$N888/100</f>
        <v>1190.0416666666667</v>
      </c>
      <c r="AH912" s="16">
        <f t="shared" si="592"/>
        <v>-253103.79518846041</v>
      </c>
      <c r="AI912" s="15">
        <f t="shared" si="567"/>
        <v>22.170849845882874</v>
      </c>
      <c r="AJ912" s="75">
        <f>AI912*(1-PARAM!$C$27)*$I$11+(MOD($B912,60)=PARAM!$B$56)*($B912&gt;(60-PARAM!$B$56))*HLOOKUP(($B912+PARAM!$B$56)/12,Loyalty,2)*$F$1*MAX(AL911,0)</f>
        <v>18.557001321003963</v>
      </c>
      <c r="AK912" s="75">
        <f>PARAM!$C$26+MAX($G$11-CHOOSE(PARAM!$B$44,MAX(0,AL911*$F$1),0),0)*RATES!$L888/12+$H$11*(PARAM!$D$51/12)*RATES!$N888/100</f>
        <v>1190.0416666666667</v>
      </c>
      <c r="AL912" s="16">
        <f t="shared" si="593"/>
        <v>-253103.79518846041</v>
      </c>
      <c r="AM912" s="15">
        <f t="shared" si="568"/>
        <v>22.170849845882874</v>
      </c>
      <c r="AN912" s="75">
        <f>AM912*(1-PARAM!$C$27)*$I$12+(MOD($B912,60)=PARAM!$B$56)*($B912&gt;(60-PARAM!$B$56))*HLOOKUP(($B912+PARAM!$B$56)/12,Loyalty,2)*$F$1*MAX(AP911,0)</f>
        <v>18.557001321003963</v>
      </c>
      <c r="AO912" s="75">
        <f>PARAM!$C$26+MAX($G$12-CHOOSE(PARAM!$B$44,MAX(0,AP911*$F$1),0),0)*RATES!$L888/12+$H$12*(PARAM!$D$51/12)*RATES!$N888/100</f>
        <v>1190.0416666666667</v>
      </c>
      <c r="AP912" s="16">
        <f t="shared" si="594"/>
        <v>-253103.79518846041</v>
      </c>
      <c r="AQ912" s="15">
        <f t="shared" si="569"/>
        <v>22.170849845882874</v>
      </c>
      <c r="AR912" s="75">
        <f>AQ912*(1-PARAM!$C$27)*$I$13+(MOD($B912,60)=PARAM!$B$56)*($B912&gt;(60-PARAM!$B$56))*HLOOKUP(($B912+PARAM!$B$56)/12,Loyalty,2)*$F$1*MAX(AT911,0)</f>
        <v>18.557001321003963</v>
      </c>
      <c r="AS912" s="75">
        <f>PARAM!$C$26+MAX($G$13-CHOOSE(PARAM!$B$44,MAX(0,AT911*$F$1),0),0)*RATES!$L888/12+$H$13*(PARAM!$D$51/12)*RATES!$N888/100</f>
        <v>1190.0416666666667</v>
      </c>
      <c r="AT912" s="16">
        <f t="shared" si="595"/>
        <v>-253103.79518846041</v>
      </c>
      <c r="AU912" s="15">
        <f t="shared" si="570"/>
        <v>22.170849845882874</v>
      </c>
      <c r="AV912" s="75">
        <f>AU912*(1-PARAM!$C$27)*$I$14+(MOD($B912,60)=PARAM!$B$56)*($B912&gt;(60-PARAM!$B$56))*HLOOKUP(($B912+PARAM!$B$56)/12,Loyalty,2)*$F$1*MAX(AX911,0)</f>
        <v>18.557001321003963</v>
      </c>
      <c r="AW912" s="75">
        <f>PARAM!$C$26+MAX($G$14-CHOOSE(PARAM!$B$44,MAX(0,AX911*$F$1),0),0)*RATES!$L888/12+$H$14*(PARAM!$D$51/12)*RATES!$N888/100</f>
        <v>1190.0416666666667</v>
      </c>
      <c r="AX912" s="16">
        <f t="shared" si="596"/>
        <v>-253103.79518846041</v>
      </c>
      <c r="AY912" s="15">
        <f t="shared" si="571"/>
        <v>22.170849845882874</v>
      </c>
      <c r="AZ912" s="75">
        <f>AY912*(1-PARAM!$C$27)*$I$15+(MOD($B912,60)=PARAM!$B$56)*($B912&gt;(60-PARAM!$B$56))*HLOOKUP(($B912+PARAM!$B$56)/12,Loyalty,2)*$F$1*MAX(BB911,0)</f>
        <v>18.557001321003963</v>
      </c>
      <c r="BA912" s="75">
        <f>PARAM!$C$26+MAX($G$15-CHOOSE(PARAM!$B$44,MAX(0,BB911*$F$1),0),0)*RATES!$L888/12+$H$15*(PARAM!$D$51/12)*RATES!$N888/100</f>
        <v>1190.0416666666667</v>
      </c>
      <c r="BB912" s="16">
        <f t="shared" si="597"/>
        <v>-253103.79518846041</v>
      </c>
      <c r="BC912" s="15">
        <f t="shared" si="572"/>
        <v>22.170849845882874</v>
      </c>
      <c r="BD912" s="75">
        <f>BC912*(1-PARAM!$C$27)*$I$16+(MOD($B912,60)=PARAM!$B$56)*($B912&gt;(60-PARAM!$B$56))*HLOOKUP(($B912+PARAM!$B$56)/12,Loyalty,2)*$F$1*MAX(BF911,0)</f>
        <v>18.557001321003963</v>
      </c>
      <c r="BE912" s="75">
        <f>PARAM!$C$26+MAX($G$16-CHOOSE(PARAM!$B$44,MAX(0,BF911*$F$1),0),0)*RATES!$L888/12+$H$16*(PARAM!$D$51/12)*RATES!$N888/100</f>
        <v>1190.0416666666667</v>
      </c>
      <c r="BF912" s="16">
        <f t="shared" si="598"/>
        <v>-253103.79518846041</v>
      </c>
      <c r="BG912" s="15">
        <f t="shared" si="573"/>
        <v>22.170849845882874</v>
      </c>
      <c r="BH912" s="75">
        <f>BG912*(1-PARAM!$C$27)*$I$17+(MOD($B912,60)=PARAM!$B$56)*($B912&gt;(60-PARAM!$B$56))*HLOOKUP(($B912+PARAM!$B$56)/12,Loyalty,2)*$F$1*MAX(BJ911,0)</f>
        <v>18.557001321003963</v>
      </c>
      <c r="BI912" s="75">
        <f>PARAM!$C$26+MAX($G$17-CHOOSE(PARAM!$B$44,MAX(0,BJ911*$F$1),0),0)*RATES!$L888/12+$H$17*(PARAM!$D$51/12)*RATES!$N888/100</f>
        <v>1190.0416666666667</v>
      </c>
      <c r="BJ912" s="16">
        <f t="shared" si="599"/>
        <v>-253103.79518846041</v>
      </c>
      <c r="BK912" s="15">
        <f t="shared" si="574"/>
        <v>22.170849845882874</v>
      </c>
      <c r="BL912" s="75">
        <f>BK912*(1-PARAM!$C$27)*$I$18+(MOD($B912,60)=PARAM!$B$56)*($B912&gt;(60-PARAM!$B$56))*HLOOKUP(($B912+PARAM!$B$56)/12,Loyalty,2)*$F$1*MAX(BN911,0)</f>
        <v>18.557001321003963</v>
      </c>
      <c r="BM912" s="75">
        <f>PARAM!$C$26+MAX($G$18-CHOOSE(PARAM!$B$44,MAX(0,BN911*$F$1),0),0)*RATES!$L888/12+$H$18*(PARAM!$D$51/12)*RATES!$N888/100</f>
        <v>1190.0416666666667</v>
      </c>
      <c r="BN912" s="16">
        <f t="shared" si="600"/>
        <v>-253103.79518846041</v>
      </c>
      <c r="BO912" s="15">
        <f t="shared" si="575"/>
        <v>22.170849845882874</v>
      </c>
      <c r="BP912" s="75">
        <f>BO912*(1-PARAM!$C$27)*$I$19+(MOD($B912,60)=PARAM!$B$56)*($B912&gt;(60-PARAM!$B$56))*HLOOKUP(($B912+PARAM!$B$56)/12,Loyalty,2)*$F$1*MAX(BR911,0)</f>
        <v>18.557001321003963</v>
      </c>
      <c r="BQ912" s="75">
        <f>PARAM!$C$26+MAX($G$19-CHOOSE(PARAM!$B$44,MAX(0,BR911*$F$1),0),0)*RATES!$L888/12+$H$19*(PARAM!$D$51/12)*RATES!$N888/100</f>
        <v>1190.0416666666667</v>
      </c>
      <c r="BR912" s="16">
        <f t="shared" si="601"/>
        <v>-253103.79518846041</v>
      </c>
      <c r="BS912" s="15">
        <f t="shared" si="576"/>
        <v>22.170849845882874</v>
      </c>
      <c r="BT912" s="75">
        <f>BS912*(1-PARAM!$C$27)*$I$20+(MOD($B912,60)=PARAM!$B$56)*($B912&gt;(60-PARAM!$B$56))*HLOOKUP(($B912+PARAM!$B$56)/12,Loyalty,2)*$F$1*MAX(BV911,0)</f>
        <v>18.557001321003963</v>
      </c>
      <c r="BU912" s="75">
        <f>PARAM!$C$26+MAX($G$20-CHOOSE(PARAM!$B$44,MAX(0,BV911*$F$1),0),0)*RATES!$L888/12+$H$20*(PARAM!$D$51/12)*RATES!$N888/100</f>
        <v>1190.0416666666667</v>
      </c>
      <c r="BV912" s="16">
        <f t="shared" si="602"/>
        <v>-253103.79518846041</v>
      </c>
      <c r="BW912" s="15">
        <f t="shared" si="577"/>
        <v>22.170849845882874</v>
      </c>
      <c r="BX912" s="75">
        <f>BW912*(1-PARAM!$C$27)*$I$21+(MOD($B912,60)=PARAM!$B$56)*($B912&gt;(60-PARAM!$B$56))*HLOOKUP(($B912+PARAM!$B$56)/12,Loyalty,2)*$F$1*MAX(BZ911,0)</f>
        <v>18.557001321003963</v>
      </c>
      <c r="BY912" s="75">
        <f>PARAM!$C$26+MAX($G$21-CHOOSE(PARAM!$B$44,MAX(0,BZ911*$F$1),0),0)*RATES!$L888/12+$H$21*(PARAM!$D$51/12)*RATES!$N888/100</f>
        <v>1190.0416666666667</v>
      </c>
      <c r="BZ912" s="16">
        <f t="shared" si="603"/>
        <v>-253103.79518846041</v>
      </c>
      <c r="CA912" s="15">
        <f t="shared" si="578"/>
        <v>22.170849845882874</v>
      </c>
      <c r="CB912" s="75">
        <f>CA912*(1-PARAM!$C$27)*$I$22+(MOD($B912,60)=PARAM!$B$56)*($B912&gt;(60-PARAM!$B$56))*HLOOKUP(($B912+PARAM!$B$56)/12,Loyalty,2)*$F$1*MAX(CD911,0)</f>
        <v>18.557001321003963</v>
      </c>
      <c r="CC912" s="75">
        <f>PARAM!$C$26+MAX($G$22-CHOOSE(PARAM!$B$44,MAX(0,CD911*$F$1),0),0)*RATES!$L888/12+$H$22*(PARAM!$D$51/12)*RATES!$N888/100</f>
        <v>1190.0416666666667</v>
      </c>
      <c r="CD912" s="16">
        <f t="shared" si="604"/>
        <v>-253103.79518846041</v>
      </c>
      <c r="CE912" s="33">
        <f>IF(0=MOD(B912,12/PARAM!$D$51),1,0)</f>
        <v>1</v>
      </c>
      <c r="CF912" s="15">
        <f t="shared" si="579"/>
        <v>0</v>
      </c>
      <c r="CG912" s="75">
        <f>CF912*(1-PARAM!$C$27)*$R$3+(MOD($B912/12,5)=0)*($B912&gt;60)*HLOOKUP($B912/12,Loyalty,2)*$F$1*MAX(CI911,0)</f>
        <v>0</v>
      </c>
      <c r="CH912" s="75">
        <f>PARAM!$C$26+MAX($P$3-CHOOSE(PARAM!$B$44,MAX(0,CI911*$F$1),0),0)*RATES!$L888/12+$Q$3*(PARAM!$D$51/12)*RATES!$N888/100</f>
        <v>1190.0416666666667</v>
      </c>
      <c r="CI912" s="16">
        <f>IF(CI911&gt;0,CI911*PARAM!$C$53,CI911)+CG912-CH912</f>
        <v>-269407.1666666664</v>
      </c>
      <c r="CJ912" s="15">
        <f t="shared" si="605"/>
        <v>0</v>
      </c>
      <c r="CK912" s="75">
        <f>CJ912*(1-PARAM!$C$27)*$R$4+(MOD($B912/12,5)=0)*($B912&gt;60)*HLOOKUP($B912/12,Loyalty,2)*$F$1*MAX(CM911,0)</f>
        <v>0</v>
      </c>
      <c r="CL912" s="75">
        <f>PARAM!$C$26+MAX($P$4-CHOOSE(PARAM!$B$44,MAX(0,CM911*$F$1),0),0)*RATES!$L888/12+$Q$4*(PARAM!$D$51/12)*RATES!$N888/100</f>
        <v>1190.0416666666667</v>
      </c>
      <c r="CM912" s="16">
        <f>IF(CM911&gt;0,CM911*PARAM!$C$53,CM911)+CK912-CL912</f>
        <v>-269407.1666666664</v>
      </c>
      <c r="CO912" s="176"/>
    </row>
    <row r="913" spans="1:93" x14ac:dyDescent="0.2">
      <c r="A913" t="b">
        <f t="shared" si="580"/>
        <v>0</v>
      </c>
      <c r="B913" s="33">
        <v>886</v>
      </c>
      <c r="C913" s="15">
        <f t="shared" si="581"/>
        <v>20.081305947392778</v>
      </c>
      <c r="D913" s="75">
        <f>C913*(1-PARAM!$C$27)*$I$3+(MOD($B913,60)=PARAM!$B$56)*($B913&gt;(60-PARAM!$B$56))*HLOOKUP(($B913+PARAM!$B$56)/12,Loyalty,2)*$F$1*MAX(F912,0)</f>
        <v>16.808053077967756</v>
      </c>
      <c r="E913" s="75">
        <f>PARAM!$C$26+MAX($G$3-CHOOSE(PARAM!$B$44,MAX(0,F912*$F$1),0),0)*RATES!$L889/12+$H$3*(PARAM!$D$51/12)*RATES!$N889/100</f>
        <v>1190.0416666666667</v>
      </c>
      <c r="F913" s="16">
        <f t="shared" si="582"/>
        <v>-255861.69849765816</v>
      </c>
      <c r="G913" s="15">
        <f t="shared" si="583"/>
        <v>22.035289406060361</v>
      </c>
      <c r="H913" s="75">
        <f>G913*(1-PARAM!$C$27)*$I$4+(MOD($B913,60)=PARAM!$B$56)*($B913&gt;(60-PARAM!$B$56))*HLOOKUP(($B913+PARAM!$B$56)/12,Loyalty,2)*$F$1*MAX(J912,0)</f>
        <v>18.443537232872522</v>
      </c>
      <c r="I913" s="75">
        <f>PARAM!$C$26+MAX($G$4-CHOOSE(PARAM!$B$44,MAX(0,J912*$F$1),0),0)*RATES!$L889/12+$H$4*(PARAM!$D$51/12)*RATES!$N889/100</f>
        <v>1190.0416666666667</v>
      </c>
      <c r="J913" s="16">
        <f t="shared" si="584"/>
        <v>-254378.82657228934</v>
      </c>
      <c r="K913" s="15">
        <f t="shared" si="585"/>
        <v>22.170849845882874</v>
      </c>
      <c r="L913" s="75">
        <f>K913*(1-PARAM!$C$27)*$I$5+(MOD($B913,60)=PARAM!$B$56)*($B913&gt;(60-PARAM!$B$56))*HLOOKUP(($B913+PARAM!$B$56)/12,Loyalty,2)*$F$1*MAX(N912,0)</f>
        <v>18.557001321003963</v>
      </c>
      <c r="M913" s="75">
        <f>PARAM!$C$26+MAX($G$5-CHOOSE(PARAM!$B$44,MAX(0,N912*$F$1),0),0)*RATES!$L889/12+$H$5*(PARAM!$D$51/12)*RATES!$N889/100</f>
        <v>1190.0416666666667</v>
      </c>
      <c r="N913" s="16">
        <f t="shared" si="586"/>
        <v>-254275.27985380607</v>
      </c>
      <c r="O913" s="15">
        <f t="shared" si="587"/>
        <v>22.170849845882874</v>
      </c>
      <c r="P913" s="75">
        <f>O913*(1-PARAM!$C$27)*$I$6+(MOD($B913,60)=PARAM!$B$56)*($B913&gt;(60-PARAM!$B$56))*HLOOKUP(($B913+PARAM!$B$56)/12,Loyalty,2)*$F$1*MAX(R912,0)</f>
        <v>18.557001321003963</v>
      </c>
      <c r="Q913" s="75">
        <f>PARAM!$C$26+MAX($G$6-CHOOSE(PARAM!$B$44,MAX(0,R912*$F$1),0),0)*RATES!$L889/12+$H$6*(PARAM!$D$51/12)*RATES!$N889/100</f>
        <v>1190.0416666666667</v>
      </c>
      <c r="R913" s="16">
        <f t="shared" si="588"/>
        <v>-254275.27985380607</v>
      </c>
      <c r="S913" s="15">
        <f t="shared" si="563"/>
        <v>22.170849845882874</v>
      </c>
      <c r="T913" s="75">
        <f>S913*(1-PARAM!$C$27)*$I$7+(MOD($B913,60)=PARAM!$B$56)*($B913&gt;(60-PARAM!$B$56))*HLOOKUP(($B913+PARAM!$B$56)/12,Loyalty,2)*$F$1*MAX(V912,0)</f>
        <v>18.557001321003963</v>
      </c>
      <c r="U913" s="75">
        <f>PARAM!$C$26+MAX($G$7-CHOOSE(PARAM!$B$44,MAX(0,V912*$F$1),0),0)*RATES!$L889/12+$H$7*(PARAM!$D$51/12)*RATES!$N889/100</f>
        <v>1190.0416666666667</v>
      </c>
      <c r="V913" s="16">
        <f t="shared" si="589"/>
        <v>-254275.27985380607</v>
      </c>
      <c r="W913" s="15">
        <f t="shared" si="564"/>
        <v>22.170849845882874</v>
      </c>
      <c r="X913" s="75">
        <f>W913*(1-PARAM!$C$27)*$I$8+(MOD($B913,60)=PARAM!$B$56)*($B913&gt;(60-PARAM!$B$56))*HLOOKUP(($B913+PARAM!$B$56)/12,Loyalty,2)*$F$1*MAX(Z912,0)</f>
        <v>18.557001321003963</v>
      </c>
      <c r="Y913" s="75">
        <f>PARAM!$C$26+MAX($G$8-CHOOSE(PARAM!$B$44,MAX(0,Z912*$F$1),0),0)*RATES!$L889/12+$H$8*(PARAM!$D$51/12)*RATES!$N889/100</f>
        <v>1190.0416666666667</v>
      </c>
      <c r="Z913" s="16">
        <f t="shared" si="590"/>
        <v>-254275.27985380607</v>
      </c>
      <c r="AA913" s="15">
        <f t="shared" si="565"/>
        <v>22.170849845882874</v>
      </c>
      <c r="AB913" s="75">
        <f>AA913*(1-PARAM!$C$27)*$I$9+(MOD($B913,60)=PARAM!$B$56)*($B913&gt;(60-PARAM!$B$56))*HLOOKUP(($B913+PARAM!$B$56)/12,Loyalty,2)*$F$1*MAX(AD912,0)</f>
        <v>18.557001321003963</v>
      </c>
      <c r="AC913" s="75">
        <f>PARAM!$C$26+MAX($G$9-CHOOSE(PARAM!$B$44,MAX(0,AD912*$F$1),0),0)*RATES!$L889/12+$H$9*(PARAM!$D$51/12)*RATES!$N889/100</f>
        <v>1190.0416666666667</v>
      </c>
      <c r="AD913" s="16">
        <f t="shared" si="591"/>
        <v>-254275.27985380607</v>
      </c>
      <c r="AE913" s="15">
        <f t="shared" si="566"/>
        <v>22.170849845882874</v>
      </c>
      <c r="AF913" s="75">
        <f>AE913*(1-PARAM!$C$27)*$I$10+(MOD($B913,60)=PARAM!$B$56)*($B913&gt;(60-PARAM!$B$56))*HLOOKUP(($B913+PARAM!$B$56)/12,Loyalty,2)*$F$1*MAX(AH912,0)</f>
        <v>18.557001321003963</v>
      </c>
      <c r="AG913" s="75">
        <f>PARAM!$C$26+MAX($G$10-CHOOSE(PARAM!$B$44,MAX(0,AH912*$F$1),0),0)*RATES!$L889/12+$H$10*(PARAM!$D$51/12)*RATES!$N889/100</f>
        <v>1190.0416666666667</v>
      </c>
      <c r="AH913" s="16">
        <f t="shared" si="592"/>
        <v>-254275.27985380607</v>
      </c>
      <c r="AI913" s="15">
        <f t="shared" si="567"/>
        <v>22.170849845882874</v>
      </c>
      <c r="AJ913" s="75">
        <f>AI913*(1-PARAM!$C$27)*$I$11+(MOD($B913,60)=PARAM!$B$56)*($B913&gt;(60-PARAM!$B$56))*HLOOKUP(($B913+PARAM!$B$56)/12,Loyalty,2)*$F$1*MAX(AL912,0)</f>
        <v>18.557001321003963</v>
      </c>
      <c r="AK913" s="75">
        <f>PARAM!$C$26+MAX($G$11-CHOOSE(PARAM!$B$44,MAX(0,AL912*$F$1),0),0)*RATES!$L889/12+$H$11*(PARAM!$D$51/12)*RATES!$N889/100</f>
        <v>1190.0416666666667</v>
      </c>
      <c r="AL913" s="16">
        <f t="shared" si="593"/>
        <v>-254275.27985380607</v>
      </c>
      <c r="AM913" s="15">
        <f t="shared" si="568"/>
        <v>22.170849845882874</v>
      </c>
      <c r="AN913" s="75">
        <f>AM913*(1-PARAM!$C$27)*$I$12+(MOD($B913,60)=PARAM!$B$56)*($B913&gt;(60-PARAM!$B$56))*HLOOKUP(($B913+PARAM!$B$56)/12,Loyalty,2)*$F$1*MAX(AP912,0)</f>
        <v>18.557001321003963</v>
      </c>
      <c r="AO913" s="75">
        <f>PARAM!$C$26+MAX($G$12-CHOOSE(PARAM!$B$44,MAX(0,AP912*$F$1),0),0)*RATES!$L889/12+$H$12*(PARAM!$D$51/12)*RATES!$N889/100</f>
        <v>1190.0416666666667</v>
      </c>
      <c r="AP913" s="16">
        <f t="shared" si="594"/>
        <v>-254275.27985380607</v>
      </c>
      <c r="AQ913" s="15">
        <f t="shared" si="569"/>
        <v>22.170849845882874</v>
      </c>
      <c r="AR913" s="75">
        <f>AQ913*(1-PARAM!$C$27)*$I$13+(MOD($B913,60)=PARAM!$B$56)*($B913&gt;(60-PARAM!$B$56))*HLOOKUP(($B913+PARAM!$B$56)/12,Loyalty,2)*$F$1*MAX(AT912,0)</f>
        <v>18.557001321003963</v>
      </c>
      <c r="AS913" s="75">
        <f>PARAM!$C$26+MAX($G$13-CHOOSE(PARAM!$B$44,MAX(0,AT912*$F$1),0),0)*RATES!$L889/12+$H$13*(PARAM!$D$51/12)*RATES!$N889/100</f>
        <v>1190.0416666666667</v>
      </c>
      <c r="AT913" s="16">
        <f t="shared" si="595"/>
        <v>-254275.27985380607</v>
      </c>
      <c r="AU913" s="15">
        <f t="shared" si="570"/>
        <v>22.170849845882874</v>
      </c>
      <c r="AV913" s="75">
        <f>AU913*(1-PARAM!$C$27)*$I$14+(MOD($B913,60)=PARAM!$B$56)*($B913&gt;(60-PARAM!$B$56))*HLOOKUP(($B913+PARAM!$B$56)/12,Loyalty,2)*$F$1*MAX(AX912,0)</f>
        <v>18.557001321003963</v>
      </c>
      <c r="AW913" s="75">
        <f>PARAM!$C$26+MAX($G$14-CHOOSE(PARAM!$B$44,MAX(0,AX912*$F$1),0),0)*RATES!$L889/12+$H$14*(PARAM!$D$51/12)*RATES!$N889/100</f>
        <v>1190.0416666666667</v>
      </c>
      <c r="AX913" s="16">
        <f t="shared" si="596"/>
        <v>-254275.27985380607</v>
      </c>
      <c r="AY913" s="15">
        <f t="shared" si="571"/>
        <v>22.170849845882874</v>
      </c>
      <c r="AZ913" s="75">
        <f>AY913*(1-PARAM!$C$27)*$I$15+(MOD($B913,60)=PARAM!$B$56)*($B913&gt;(60-PARAM!$B$56))*HLOOKUP(($B913+PARAM!$B$56)/12,Loyalty,2)*$F$1*MAX(BB912,0)</f>
        <v>18.557001321003963</v>
      </c>
      <c r="BA913" s="75">
        <f>PARAM!$C$26+MAX($G$15-CHOOSE(PARAM!$B$44,MAX(0,BB912*$F$1),0),0)*RATES!$L889/12+$H$15*(PARAM!$D$51/12)*RATES!$N889/100</f>
        <v>1190.0416666666667</v>
      </c>
      <c r="BB913" s="16">
        <f t="shared" si="597"/>
        <v>-254275.27985380607</v>
      </c>
      <c r="BC913" s="15">
        <f t="shared" si="572"/>
        <v>22.170849845882874</v>
      </c>
      <c r="BD913" s="75">
        <f>BC913*(1-PARAM!$C$27)*$I$16+(MOD($B913,60)=PARAM!$B$56)*($B913&gt;(60-PARAM!$B$56))*HLOOKUP(($B913+PARAM!$B$56)/12,Loyalty,2)*$F$1*MAX(BF912,0)</f>
        <v>18.557001321003963</v>
      </c>
      <c r="BE913" s="75">
        <f>PARAM!$C$26+MAX($G$16-CHOOSE(PARAM!$B$44,MAX(0,BF912*$F$1),0),0)*RATES!$L889/12+$H$16*(PARAM!$D$51/12)*RATES!$N889/100</f>
        <v>1190.0416666666667</v>
      </c>
      <c r="BF913" s="16">
        <f t="shared" si="598"/>
        <v>-254275.27985380607</v>
      </c>
      <c r="BG913" s="15">
        <f t="shared" si="573"/>
        <v>22.170849845882874</v>
      </c>
      <c r="BH913" s="75">
        <f>BG913*(1-PARAM!$C$27)*$I$17+(MOD($B913,60)=PARAM!$B$56)*($B913&gt;(60-PARAM!$B$56))*HLOOKUP(($B913+PARAM!$B$56)/12,Loyalty,2)*$F$1*MAX(BJ912,0)</f>
        <v>18.557001321003963</v>
      </c>
      <c r="BI913" s="75">
        <f>PARAM!$C$26+MAX($G$17-CHOOSE(PARAM!$B$44,MAX(0,BJ912*$F$1),0),0)*RATES!$L889/12+$H$17*(PARAM!$D$51/12)*RATES!$N889/100</f>
        <v>1190.0416666666667</v>
      </c>
      <c r="BJ913" s="16">
        <f t="shared" si="599"/>
        <v>-254275.27985380607</v>
      </c>
      <c r="BK913" s="15">
        <f t="shared" si="574"/>
        <v>22.170849845882874</v>
      </c>
      <c r="BL913" s="75">
        <f>BK913*(1-PARAM!$C$27)*$I$18+(MOD($B913,60)=PARAM!$B$56)*($B913&gt;(60-PARAM!$B$56))*HLOOKUP(($B913+PARAM!$B$56)/12,Loyalty,2)*$F$1*MAX(BN912,0)</f>
        <v>18.557001321003963</v>
      </c>
      <c r="BM913" s="75">
        <f>PARAM!$C$26+MAX($G$18-CHOOSE(PARAM!$B$44,MAX(0,BN912*$F$1),0),0)*RATES!$L889/12+$H$18*(PARAM!$D$51/12)*RATES!$N889/100</f>
        <v>1190.0416666666667</v>
      </c>
      <c r="BN913" s="16">
        <f t="shared" si="600"/>
        <v>-254275.27985380607</v>
      </c>
      <c r="BO913" s="15">
        <f t="shared" si="575"/>
        <v>22.170849845882874</v>
      </c>
      <c r="BP913" s="75">
        <f>BO913*(1-PARAM!$C$27)*$I$19+(MOD($B913,60)=PARAM!$B$56)*($B913&gt;(60-PARAM!$B$56))*HLOOKUP(($B913+PARAM!$B$56)/12,Loyalty,2)*$F$1*MAX(BR912,0)</f>
        <v>18.557001321003963</v>
      </c>
      <c r="BQ913" s="75">
        <f>PARAM!$C$26+MAX($G$19-CHOOSE(PARAM!$B$44,MAX(0,BR912*$F$1),0),0)*RATES!$L889/12+$H$19*(PARAM!$D$51/12)*RATES!$N889/100</f>
        <v>1190.0416666666667</v>
      </c>
      <c r="BR913" s="16">
        <f t="shared" si="601"/>
        <v>-254275.27985380607</v>
      </c>
      <c r="BS913" s="15">
        <f t="shared" si="576"/>
        <v>22.170849845882874</v>
      </c>
      <c r="BT913" s="75">
        <f>BS913*(1-PARAM!$C$27)*$I$20+(MOD($B913,60)=PARAM!$B$56)*($B913&gt;(60-PARAM!$B$56))*HLOOKUP(($B913+PARAM!$B$56)/12,Loyalty,2)*$F$1*MAX(BV912,0)</f>
        <v>18.557001321003963</v>
      </c>
      <c r="BU913" s="75">
        <f>PARAM!$C$26+MAX($G$20-CHOOSE(PARAM!$B$44,MAX(0,BV912*$F$1),0),0)*RATES!$L889/12+$H$20*(PARAM!$D$51/12)*RATES!$N889/100</f>
        <v>1190.0416666666667</v>
      </c>
      <c r="BV913" s="16">
        <f t="shared" si="602"/>
        <v>-254275.27985380607</v>
      </c>
      <c r="BW913" s="15">
        <f t="shared" si="577"/>
        <v>22.170849845882874</v>
      </c>
      <c r="BX913" s="75">
        <f>BW913*(1-PARAM!$C$27)*$I$21+(MOD($B913,60)=PARAM!$B$56)*($B913&gt;(60-PARAM!$B$56))*HLOOKUP(($B913+PARAM!$B$56)/12,Loyalty,2)*$F$1*MAX(BZ912,0)</f>
        <v>18.557001321003963</v>
      </c>
      <c r="BY913" s="75">
        <f>PARAM!$C$26+MAX($G$21-CHOOSE(PARAM!$B$44,MAX(0,BZ912*$F$1),0),0)*RATES!$L889/12+$H$21*(PARAM!$D$51/12)*RATES!$N889/100</f>
        <v>1190.0416666666667</v>
      </c>
      <c r="BZ913" s="16">
        <f t="shared" si="603"/>
        <v>-254275.27985380607</v>
      </c>
      <c r="CA913" s="15">
        <f t="shared" si="578"/>
        <v>22.170849845882874</v>
      </c>
      <c r="CB913" s="75">
        <f>CA913*(1-PARAM!$C$27)*$I$22+(MOD($B913,60)=PARAM!$B$56)*($B913&gt;(60-PARAM!$B$56))*HLOOKUP(($B913+PARAM!$B$56)/12,Loyalty,2)*$F$1*MAX(CD912,0)</f>
        <v>18.557001321003963</v>
      </c>
      <c r="CC913" s="75">
        <f>PARAM!$C$26+MAX($G$22-CHOOSE(PARAM!$B$44,MAX(0,CD912*$F$1),0),0)*RATES!$L889/12+$H$22*(PARAM!$D$51/12)*RATES!$N889/100</f>
        <v>1190.0416666666667</v>
      </c>
      <c r="CD913" s="16">
        <f t="shared" si="604"/>
        <v>-254275.27985380607</v>
      </c>
      <c r="CE913" s="33">
        <f>IF(0=MOD(B913,12/PARAM!$D$51),1,0)</f>
        <v>1</v>
      </c>
      <c r="CF913" s="15">
        <f t="shared" si="579"/>
        <v>0</v>
      </c>
      <c r="CG913" s="75">
        <f>CF913*(1-PARAM!$C$27)*$R$3+(MOD($B913/12,5)=0)*($B913&gt;60)*HLOOKUP($B913/12,Loyalty,2)*$F$1*MAX(CI912,0)</f>
        <v>0</v>
      </c>
      <c r="CH913" s="75">
        <f>PARAM!$C$26+MAX($P$3-CHOOSE(PARAM!$B$44,MAX(0,CI912*$F$1),0),0)*RATES!$L889/12+$Q$3*(PARAM!$D$51/12)*RATES!$N889/100</f>
        <v>1190.0416666666667</v>
      </c>
      <c r="CI913" s="16">
        <f>IF(CI912&gt;0,CI912*PARAM!$C$53,CI912)+CG913-CH913</f>
        <v>-270597.20833333308</v>
      </c>
      <c r="CJ913" s="15">
        <f t="shared" si="605"/>
        <v>0</v>
      </c>
      <c r="CK913" s="75">
        <f>CJ913*(1-PARAM!$C$27)*$R$4+(MOD($B913/12,5)=0)*($B913&gt;60)*HLOOKUP($B913/12,Loyalty,2)*$F$1*MAX(CM912,0)</f>
        <v>0</v>
      </c>
      <c r="CL913" s="75">
        <f>PARAM!$C$26+MAX($P$4-CHOOSE(PARAM!$B$44,MAX(0,CM912*$F$1),0),0)*RATES!$L889/12+$Q$4*(PARAM!$D$51/12)*RATES!$N889/100</f>
        <v>1190.0416666666667</v>
      </c>
      <c r="CM913" s="16">
        <f>IF(CM912&gt;0,CM912*PARAM!$C$53,CM912)+CK913-CL913</f>
        <v>-270597.20833333308</v>
      </c>
      <c r="CO913" s="176"/>
    </row>
    <row r="914" spans="1:93" x14ac:dyDescent="0.2">
      <c r="A914" t="b">
        <f t="shared" si="580"/>
        <v>0</v>
      </c>
      <c r="B914" s="33">
        <v>887</v>
      </c>
      <c r="C914" s="15">
        <f t="shared" si="581"/>
        <v>20.081305947392778</v>
      </c>
      <c r="D914" s="75">
        <f>C914*(1-PARAM!$C$27)*$I$3+(MOD($B914,60)=PARAM!$B$56)*($B914&gt;(60-PARAM!$B$56))*HLOOKUP(($B914+PARAM!$B$56)/12,Loyalty,2)*$F$1*MAX(F913,0)</f>
        <v>16.808053077967756</v>
      </c>
      <c r="E914" s="75">
        <f>PARAM!$C$26+MAX($G$3-CHOOSE(PARAM!$B$44,MAX(0,F913*$F$1),0),0)*RATES!$L890/12+$H$3*(PARAM!$D$51/12)*RATES!$N890/100</f>
        <v>1190.0416666666667</v>
      </c>
      <c r="F914" s="16">
        <f t="shared" si="582"/>
        <v>-257034.93211124686</v>
      </c>
      <c r="G914" s="15">
        <f t="shared" si="583"/>
        <v>22.035289406060361</v>
      </c>
      <c r="H914" s="75">
        <f>G914*(1-PARAM!$C$27)*$I$4+(MOD($B914,60)=PARAM!$B$56)*($B914&gt;(60-PARAM!$B$56))*HLOOKUP(($B914+PARAM!$B$56)/12,Loyalty,2)*$F$1*MAX(J913,0)</f>
        <v>18.443537232872522</v>
      </c>
      <c r="I914" s="75">
        <f>PARAM!$C$26+MAX($G$4-CHOOSE(PARAM!$B$44,MAX(0,J913*$F$1),0),0)*RATES!$L890/12+$H$4*(PARAM!$D$51/12)*RATES!$N890/100</f>
        <v>1190.0416666666667</v>
      </c>
      <c r="J914" s="16">
        <f t="shared" si="584"/>
        <v>-255550.42470172312</v>
      </c>
      <c r="K914" s="15">
        <f t="shared" si="585"/>
        <v>22.170849845882874</v>
      </c>
      <c r="L914" s="75">
        <f>K914*(1-PARAM!$C$27)*$I$5+(MOD($B914,60)=PARAM!$B$56)*($B914&gt;(60-PARAM!$B$56))*HLOOKUP(($B914+PARAM!$B$56)/12,Loyalty,2)*$F$1*MAX(N913,0)</f>
        <v>18.557001321003963</v>
      </c>
      <c r="M914" s="75">
        <f>PARAM!$C$26+MAX($G$5-CHOOSE(PARAM!$B$44,MAX(0,N913*$F$1),0),0)*RATES!$L890/12+$H$5*(PARAM!$D$51/12)*RATES!$N890/100</f>
        <v>1190.0416666666667</v>
      </c>
      <c r="N914" s="16">
        <f t="shared" si="586"/>
        <v>-255446.76451915174</v>
      </c>
      <c r="O914" s="15">
        <f t="shared" si="587"/>
        <v>22.170849845882874</v>
      </c>
      <c r="P914" s="75">
        <f>O914*(1-PARAM!$C$27)*$I$6+(MOD($B914,60)=PARAM!$B$56)*($B914&gt;(60-PARAM!$B$56))*HLOOKUP(($B914+PARAM!$B$56)/12,Loyalty,2)*$F$1*MAX(R913,0)</f>
        <v>18.557001321003963</v>
      </c>
      <c r="Q914" s="75">
        <f>PARAM!$C$26+MAX($G$6-CHOOSE(PARAM!$B$44,MAX(0,R913*$F$1),0),0)*RATES!$L890/12+$H$6*(PARAM!$D$51/12)*RATES!$N890/100</f>
        <v>1190.0416666666667</v>
      </c>
      <c r="R914" s="16">
        <f t="shared" si="588"/>
        <v>-255446.76451915174</v>
      </c>
      <c r="S914" s="15">
        <f t="shared" si="563"/>
        <v>22.170849845882874</v>
      </c>
      <c r="T914" s="75">
        <f>S914*(1-PARAM!$C$27)*$I$7+(MOD($B914,60)=PARAM!$B$56)*($B914&gt;(60-PARAM!$B$56))*HLOOKUP(($B914+PARAM!$B$56)/12,Loyalty,2)*$F$1*MAX(V913,0)</f>
        <v>18.557001321003963</v>
      </c>
      <c r="U914" s="75">
        <f>PARAM!$C$26+MAX($G$7-CHOOSE(PARAM!$B$44,MAX(0,V913*$F$1),0),0)*RATES!$L890/12+$H$7*(PARAM!$D$51/12)*RATES!$N890/100</f>
        <v>1190.0416666666667</v>
      </c>
      <c r="V914" s="16">
        <f t="shared" si="589"/>
        <v>-255446.76451915174</v>
      </c>
      <c r="W914" s="15">
        <f t="shared" si="564"/>
        <v>22.170849845882874</v>
      </c>
      <c r="X914" s="75">
        <f>W914*(1-PARAM!$C$27)*$I$8+(MOD($B914,60)=PARAM!$B$56)*($B914&gt;(60-PARAM!$B$56))*HLOOKUP(($B914+PARAM!$B$56)/12,Loyalty,2)*$F$1*MAX(Z913,0)</f>
        <v>18.557001321003963</v>
      </c>
      <c r="Y914" s="75">
        <f>PARAM!$C$26+MAX($G$8-CHOOSE(PARAM!$B$44,MAX(0,Z913*$F$1),0),0)*RATES!$L890/12+$H$8*(PARAM!$D$51/12)*RATES!$N890/100</f>
        <v>1190.0416666666667</v>
      </c>
      <c r="Z914" s="16">
        <f t="shared" si="590"/>
        <v>-255446.76451915174</v>
      </c>
      <c r="AA914" s="15">
        <f t="shared" si="565"/>
        <v>22.170849845882874</v>
      </c>
      <c r="AB914" s="75">
        <f>AA914*(1-PARAM!$C$27)*$I$9+(MOD($B914,60)=PARAM!$B$56)*($B914&gt;(60-PARAM!$B$56))*HLOOKUP(($B914+PARAM!$B$56)/12,Loyalty,2)*$F$1*MAX(AD913,0)</f>
        <v>18.557001321003963</v>
      </c>
      <c r="AC914" s="75">
        <f>PARAM!$C$26+MAX($G$9-CHOOSE(PARAM!$B$44,MAX(0,AD913*$F$1),0),0)*RATES!$L890/12+$H$9*(PARAM!$D$51/12)*RATES!$N890/100</f>
        <v>1190.0416666666667</v>
      </c>
      <c r="AD914" s="16">
        <f t="shared" si="591"/>
        <v>-255446.76451915174</v>
      </c>
      <c r="AE914" s="15">
        <f t="shared" si="566"/>
        <v>22.170849845882874</v>
      </c>
      <c r="AF914" s="75">
        <f>AE914*(1-PARAM!$C$27)*$I$10+(MOD($B914,60)=PARAM!$B$56)*($B914&gt;(60-PARAM!$B$56))*HLOOKUP(($B914+PARAM!$B$56)/12,Loyalty,2)*$F$1*MAX(AH913,0)</f>
        <v>18.557001321003963</v>
      </c>
      <c r="AG914" s="75">
        <f>PARAM!$C$26+MAX($G$10-CHOOSE(PARAM!$B$44,MAX(0,AH913*$F$1),0),0)*RATES!$L890/12+$H$10*(PARAM!$D$51/12)*RATES!$N890/100</f>
        <v>1190.0416666666667</v>
      </c>
      <c r="AH914" s="16">
        <f t="shared" si="592"/>
        <v>-255446.76451915174</v>
      </c>
      <c r="AI914" s="15">
        <f t="shared" si="567"/>
        <v>22.170849845882874</v>
      </c>
      <c r="AJ914" s="75">
        <f>AI914*(1-PARAM!$C$27)*$I$11+(MOD($B914,60)=PARAM!$B$56)*($B914&gt;(60-PARAM!$B$56))*HLOOKUP(($B914+PARAM!$B$56)/12,Loyalty,2)*$F$1*MAX(AL913,0)</f>
        <v>18.557001321003963</v>
      </c>
      <c r="AK914" s="75">
        <f>PARAM!$C$26+MAX($G$11-CHOOSE(PARAM!$B$44,MAX(0,AL913*$F$1),0),0)*RATES!$L890/12+$H$11*(PARAM!$D$51/12)*RATES!$N890/100</f>
        <v>1190.0416666666667</v>
      </c>
      <c r="AL914" s="16">
        <f t="shared" si="593"/>
        <v>-255446.76451915174</v>
      </c>
      <c r="AM914" s="15">
        <f t="shared" si="568"/>
        <v>22.170849845882874</v>
      </c>
      <c r="AN914" s="75">
        <f>AM914*(1-PARAM!$C$27)*$I$12+(MOD($B914,60)=PARAM!$B$56)*($B914&gt;(60-PARAM!$B$56))*HLOOKUP(($B914+PARAM!$B$56)/12,Loyalty,2)*$F$1*MAX(AP913,0)</f>
        <v>18.557001321003963</v>
      </c>
      <c r="AO914" s="75">
        <f>PARAM!$C$26+MAX($G$12-CHOOSE(PARAM!$B$44,MAX(0,AP913*$F$1),0),0)*RATES!$L890/12+$H$12*(PARAM!$D$51/12)*RATES!$N890/100</f>
        <v>1190.0416666666667</v>
      </c>
      <c r="AP914" s="16">
        <f t="shared" si="594"/>
        <v>-255446.76451915174</v>
      </c>
      <c r="AQ914" s="15">
        <f t="shared" si="569"/>
        <v>22.170849845882874</v>
      </c>
      <c r="AR914" s="75">
        <f>AQ914*(1-PARAM!$C$27)*$I$13+(MOD($B914,60)=PARAM!$B$56)*($B914&gt;(60-PARAM!$B$56))*HLOOKUP(($B914+PARAM!$B$56)/12,Loyalty,2)*$F$1*MAX(AT913,0)</f>
        <v>18.557001321003963</v>
      </c>
      <c r="AS914" s="75">
        <f>PARAM!$C$26+MAX($G$13-CHOOSE(PARAM!$B$44,MAX(0,AT913*$F$1),0),0)*RATES!$L890/12+$H$13*(PARAM!$D$51/12)*RATES!$N890/100</f>
        <v>1190.0416666666667</v>
      </c>
      <c r="AT914" s="16">
        <f t="shared" si="595"/>
        <v>-255446.76451915174</v>
      </c>
      <c r="AU914" s="15">
        <f t="shared" si="570"/>
        <v>22.170849845882874</v>
      </c>
      <c r="AV914" s="75">
        <f>AU914*(1-PARAM!$C$27)*$I$14+(MOD($B914,60)=PARAM!$B$56)*($B914&gt;(60-PARAM!$B$56))*HLOOKUP(($B914+PARAM!$B$56)/12,Loyalty,2)*$F$1*MAX(AX913,0)</f>
        <v>18.557001321003963</v>
      </c>
      <c r="AW914" s="75">
        <f>PARAM!$C$26+MAX($G$14-CHOOSE(PARAM!$B$44,MAX(0,AX913*$F$1),0),0)*RATES!$L890/12+$H$14*(PARAM!$D$51/12)*RATES!$N890/100</f>
        <v>1190.0416666666667</v>
      </c>
      <c r="AX914" s="16">
        <f t="shared" si="596"/>
        <v>-255446.76451915174</v>
      </c>
      <c r="AY914" s="15">
        <f t="shared" si="571"/>
        <v>22.170849845882874</v>
      </c>
      <c r="AZ914" s="75">
        <f>AY914*(1-PARAM!$C$27)*$I$15+(MOD($B914,60)=PARAM!$B$56)*($B914&gt;(60-PARAM!$B$56))*HLOOKUP(($B914+PARAM!$B$56)/12,Loyalty,2)*$F$1*MAX(BB913,0)</f>
        <v>18.557001321003963</v>
      </c>
      <c r="BA914" s="75">
        <f>PARAM!$C$26+MAX($G$15-CHOOSE(PARAM!$B$44,MAX(0,BB913*$F$1),0),0)*RATES!$L890/12+$H$15*(PARAM!$D$51/12)*RATES!$N890/100</f>
        <v>1190.0416666666667</v>
      </c>
      <c r="BB914" s="16">
        <f t="shared" si="597"/>
        <v>-255446.76451915174</v>
      </c>
      <c r="BC914" s="15">
        <f t="shared" si="572"/>
        <v>22.170849845882874</v>
      </c>
      <c r="BD914" s="75">
        <f>BC914*(1-PARAM!$C$27)*$I$16+(MOD($B914,60)=PARAM!$B$56)*($B914&gt;(60-PARAM!$B$56))*HLOOKUP(($B914+PARAM!$B$56)/12,Loyalty,2)*$F$1*MAX(BF913,0)</f>
        <v>18.557001321003963</v>
      </c>
      <c r="BE914" s="75">
        <f>PARAM!$C$26+MAX($G$16-CHOOSE(PARAM!$B$44,MAX(0,BF913*$F$1),0),0)*RATES!$L890/12+$H$16*(PARAM!$D$51/12)*RATES!$N890/100</f>
        <v>1190.0416666666667</v>
      </c>
      <c r="BF914" s="16">
        <f t="shared" si="598"/>
        <v>-255446.76451915174</v>
      </c>
      <c r="BG914" s="15">
        <f t="shared" si="573"/>
        <v>22.170849845882874</v>
      </c>
      <c r="BH914" s="75">
        <f>BG914*(1-PARAM!$C$27)*$I$17+(MOD($B914,60)=PARAM!$B$56)*($B914&gt;(60-PARAM!$B$56))*HLOOKUP(($B914+PARAM!$B$56)/12,Loyalty,2)*$F$1*MAX(BJ913,0)</f>
        <v>18.557001321003963</v>
      </c>
      <c r="BI914" s="75">
        <f>PARAM!$C$26+MAX($G$17-CHOOSE(PARAM!$B$44,MAX(0,BJ913*$F$1),0),0)*RATES!$L890/12+$H$17*(PARAM!$D$51/12)*RATES!$N890/100</f>
        <v>1190.0416666666667</v>
      </c>
      <c r="BJ914" s="16">
        <f t="shared" si="599"/>
        <v>-255446.76451915174</v>
      </c>
      <c r="BK914" s="15">
        <f t="shared" si="574"/>
        <v>22.170849845882874</v>
      </c>
      <c r="BL914" s="75">
        <f>BK914*(1-PARAM!$C$27)*$I$18+(MOD($B914,60)=PARAM!$B$56)*($B914&gt;(60-PARAM!$B$56))*HLOOKUP(($B914+PARAM!$B$56)/12,Loyalty,2)*$F$1*MAX(BN913,0)</f>
        <v>18.557001321003963</v>
      </c>
      <c r="BM914" s="75">
        <f>PARAM!$C$26+MAX($G$18-CHOOSE(PARAM!$B$44,MAX(0,BN913*$F$1),0),0)*RATES!$L890/12+$H$18*(PARAM!$D$51/12)*RATES!$N890/100</f>
        <v>1190.0416666666667</v>
      </c>
      <c r="BN914" s="16">
        <f t="shared" si="600"/>
        <v>-255446.76451915174</v>
      </c>
      <c r="BO914" s="15">
        <f t="shared" si="575"/>
        <v>22.170849845882874</v>
      </c>
      <c r="BP914" s="75">
        <f>BO914*(1-PARAM!$C$27)*$I$19+(MOD($B914,60)=PARAM!$B$56)*($B914&gt;(60-PARAM!$B$56))*HLOOKUP(($B914+PARAM!$B$56)/12,Loyalty,2)*$F$1*MAX(BR913,0)</f>
        <v>18.557001321003963</v>
      </c>
      <c r="BQ914" s="75">
        <f>PARAM!$C$26+MAX($G$19-CHOOSE(PARAM!$B$44,MAX(0,BR913*$F$1),0),0)*RATES!$L890/12+$H$19*(PARAM!$D$51/12)*RATES!$N890/100</f>
        <v>1190.0416666666667</v>
      </c>
      <c r="BR914" s="16">
        <f t="shared" si="601"/>
        <v>-255446.76451915174</v>
      </c>
      <c r="BS914" s="15">
        <f t="shared" si="576"/>
        <v>22.170849845882874</v>
      </c>
      <c r="BT914" s="75">
        <f>BS914*(1-PARAM!$C$27)*$I$20+(MOD($B914,60)=PARAM!$B$56)*($B914&gt;(60-PARAM!$B$56))*HLOOKUP(($B914+PARAM!$B$56)/12,Loyalty,2)*$F$1*MAX(BV913,0)</f>
        <v>18.557001321003963</v>
      </c>
      <c r="BU914" s="75">
        <f>PARAM!$C$26+MAX($G$20-CHOOSE(PARAM!$B$44,MAX(0,BV913*$F$1),0),0)*RATES!$L890/12+$H$20*(PARAM!$D$51/12)*RATES!$N890/100</f>
        <v>1190.0416666666667</v>
      </c>
      <c r="BV914" s="16">
        <f t="shared" si="602"/>
        <v>-255446.76451915174</v>
      </c>
      <c r="BW914" s="15">
        <f t="shared" si="577"/>
        <v>22.170849845882874</v>
      </c>
      <c r="BX914" s="75">
        <f>BW914*(1-PARAM!$C$27)*$I$21+(MOD($B914,60)=PARAM!$B$56)*($B914&gt;(60-PARAM!$B$56))*HLOOKUP(($B914+PARAM!$B$56)/12,Loyalty,2)*$F$1*MAX(BZ913,0)</f>
        <v>18.557001321003963</v>
      </c>
      <c r="BY914" s="75">
        <f>PARAM!$C$26+MAX($G$21-CHOOSE(PARAM!$B$44,MAX(0,BZ913*$F$1),0),0)*RATES!$L890/12+$H$21*(PARAM!$D$51/12)*RATES!$N890/100</f>
        <v>1190.0416666666667</v>
      </c>
      <c r="BZ914" s="16">
        <f t="shared" si="603"/>
        <v>-255446.76451915174</v>
      </c>
      <c r="CA914" s="15">
        <f t="shared" si="578"/>
        <v>22.170849845882874</v>
      </c>
      <c r="CB914" s="75">
        <f>CA914*(1-PARAM!$C$27)*$I$22+(MOD($B914,60)=PARAM!$B$56)*($B914&gt;(60-PARAM!$B$56))*HLOOKUP(($B914+PARAM!$B$56)/12,Loyalty,2)*$F$1*MAX(CD913,0)</f>
        <v>18.557001321003963</v>
      </c>
      <c r="CC914" s="75">
        <f>PARAM!$C$26+MAX($G$22-CHOOSE(PARAM!$B$44,MAX(0,CD913*$F$1),0),0)*RATES!$L890/12+$H$22*(PARAM!$D$51/12)*RATES!$N890/100</f>
        <v>1190.0416666666667</v>
      </c>
      <c r="CD914" s="16">
        <f t="shared" si="604"/>
        <v>-255446.76451915174</v>
      </c>
      <c r="CE914" s="33">
        <f>IF(0=MOD(B914,12/PARAM!$D$51),1,0)</f>
        <v>1</v>
      </c>
      <c r="CF914" s="15">
        <f t="shared" si="579"/>
        <v>0</v>
      </c>
      <c r="CG914" s="75">
        <f>CF914*(1-PARAM!$C$27)*$R$3+(MOD($B914/12,5)=0)*($B914&gt;60)*HLOOKUP($B914/12,Loyalty,2)*$F$1*MAX(CI913,0)</f>
        <v>0</v>
      </c>
      <c r="CH914" s="75">
        <f>PARAM!$C$26+MAX($P$3-CHOOSE(PARAM!$B$44,MAX(0,CI913*$F$1),0),0)*RATES!$L890/12+$Q$3*(PARAM!$D$51/12)*RATES!$N890/100</f>
        <v>1190.0416666666667</v>
      </c>
      <c r="CI914" s="16">
        <f>IF(CI913&gt;0,CI913*PARAM!$C$53,CI913)+CG914-CH914</f>
        <v>-271787.24999999977</v>
      </c>
      <c r="CJ914" s="15">
        <f t="shared" si="605"/>
        <v>0</v>
      </c>
      <c r="CK914" s="75">
        <f>CJ914*(1-PARAM!$C$27)*$R$4+(MOD($B914/12,5)=0)*($B914&gt;60)*HLOOKUP($B914/12,Loyalty,2)*$F$1*MAX(CM913,0)</f>
        <v>0</v>
      </c>
      <c r="CL914" s="75">
        <f>PARAM!$C$26+MAX($P$4-CHOOSE(PARAM!$B$44,MAX(0,CM913*$F$1),0),0)*RATES!$L890/12+$Q$4*(PARAM!$D$51/12)*RATES!$N890/100</f>
        <v>1190.0416666666667</v>
      </c>
      <c r="CM914" s="16">
        <f>IF(CM913&gt;0,CM913*PARAM!$C$53,CM913)+CK914-CL914</f>
        <v>-271787.24999999977</v>
      </c>
      <c r="CO914" s="176"/>
    </row>
    <row r="915" spans="1:93" x14ac:dyDescent="0.2">
      <c r="A915" t="b">
        <f t="shared" si="580"/>
        <v>0</v>
      </c>
      <c r="B915" s="33">
        <v>888</v>
      </c>
      <c r="C915" s="15">
        <f t="shared" si="581"/>
        <v>20.081305947392778</v>
      </c>
      <c r="D915" s="75">
        <f>C915*(1-PARAM!$C$27)*$I$3+(MOD($B915,60)=PARAM!$B$56)*($B915&gt;(60-PARAM!$B$56))*HLOOKUP(($B915+PARAM!$B$56)/12,Loyalty,2)*$F$1*MAX(F914,0)</f>
        <v>16.808053077967756</v>
      </c>
      <c r="E915" s="75">
        <f>PARAM!$C$26+MAX($G$3-CHOOSE(PARAM!$B$44,MAX(0,F914*$F$1),0),0)*RATES!$L891/12+$H$3*(PARAM!$D$51/12)*RATES!$N891/100</f>
        <v>1190.0416666666667</v>
      </c>
      <c r="F915" s="16">
        <f t="shared" si="582"/>
        <v>-258208.16572483556</v>
      </c>
      <c r="G915" s="15">
        <f t="shared" si="583"/>
        <v>22.035289406060361</v>
      </c>
      <c r="H915" s="75">
        <f>G915*(1-PARAM!$C$27)*$I$4+(MOD($B915,60)=PARAM!$B$56)*($B915&gt;(60-PARAM!$B$56))*HLOOKUP(($B915+PARAM!$B$56)/12,Loyalty,2)*$F$1*MAX(J914,0)</f>
        <v>18.443537232872522</v>
      </c>
      <c r="I915" s="75">
        <f>PARAM!$C$26+MAX($G$4-CHOOSE(PARAM!$B$44,MAX(0,J914*$F$1),0),0)*RATES!$L891/12+$H$4*(PARAM!$D$51/12)*RATES!$N891/100</f>
        <v>1190.0416666666667</v>
      </c>
      <c r="J915" s="16">
        <f t="shared" si="584"/>
        <v>-256722.02283115691</v>
      </c>
      <c r="K915" s="15">
        <f t="shared" si="585"/>
        <v>22.170849845882874</v>
      </c>
      <c r="L915" s="75">
        <f>K915*(1-PARAM!$C$27)*$I$5+(MOD($B915,60)=PARAM!$B$56)*($B915&gt;(60-PARAM!$B$56))*HLOOKUP(($B915+PARAM!$B$56)/12,Loyalty,2)*$F$1*MAX(N914,0)</f>
        <v>18.557001321003963</v>
      </c>
      <c r="M915" s="75">
        <f>PARAM!$C$26+MAX($G$5-CHOOSE(PARAM!$B$44,MAX(0,N914*$F$1),0),0)*RATES!$L891/12+$H$5*(PARAM!$D$51/12)*RATES!$N891/100</f>
        <v>1190.0416666666667</v>
      </c>
      <c r="N915" s="16">
        <f t="shared" si="586"/>
        <v>-256618.2491844974</v>
      </c>
      <c r="O915" s="15">
        <f t="shared" si="587"/>
        <v>22.170849845882874</v>
      </c>
      <c r="P915" s="75">
        <f>O915*(1-PARAM!$C$27)*$I$6+(MOD($B915,60)=PARAM!$B$56)*($B915&gt;(60-PARAM!$B$56))*HLOOKUP(($B915+PARAM!$B$56)/12,Loyalty,2)*$F$1*MAX(R914,0)</f>
        <v>18.557001321003963</v>
      </c>
      <c r="Q915" s="75">
        <f>PARAM!$C$26+MAX($G$6-CHOOSE(PARAM!$B$44,MAX(0,R914*$F$1),0),0)*RATES!$L891/12+$H$6*(PARAM!$D$51/12)*RATES!$N891/100</f>
        <v>1190.0416666666667</v>
      </c>
      <c r="R915" s="16">
        <f t="shared" si="588"/>
        <v>-256618.2491844974</v>
      </c>
      <c r="S915" s="15">
        <f t="shared" si="563"/>
        <v>22.170849845882874</v>
      </c>
      <c r="T915" s="75">
        <f>S915*(1-PARAM!$C$27)*$I$7+(MOD($B915,60)=PARAM!$B$56)*($B915&gt;(60-PARAM!$B$56))*HLOOKUP(($B915+PARAM!$B$56)/12,Loyalty,2)*$F$1*MAX(V914,0)</f>
        <v>18.557001321003963</v>
      </c>
      <c r="U915" s="75">
        <f>PARAM!$C$26+MAX($G$7-CHOOSE(PARAM!$B$44,MAX(0,V914*$F$1),0),0)*RATES!$L891/12+$H$7*(PARAM!$D$51/12)*RATES!$N891/100</f>
        <v>1190.0416666666667</v>
      </c>
      <c r="V915" s="16">
        <f t="shared" si="589"/>
        <v>-256618.2491844974</v>
      </c>
      <c r="W915" s="15">
        <f t="shared" si="564"/>
        <v>22.170849845882874</v>
      </c>
      <c r="X915" s="75">
        <f>W915*(1-PARAM!$C$27)*$I$8+(MOD($B915,60)=PARAM!$B$56)*($B915&gt;(60-PARAM!$B$56))*HLOOKUP(($B915+PARAM!$B$56)/12,Loyalty,2)*$F$1*MAX(Z914,0)</f>
        <v>18.557001321003963</v>
      </c>
      <c r="Y915" s="75">
        <f>PARAM!$C$26+MAX($G$8-CHOOSE(PARAM!$B$44,MAX(0,Z914*$F$1),0),0)*RATES!$L891/12+$H$8*(PARAM!$D$51/12)*RATES!$N891/100</f>
        <v>1190.0416666666667</v>
      </c>
      <c r="Z915" s="16">
        <f t="shared" si="590"/>
        <v>-256618.2491844974</v>
      </c>
      <c r="AA915" s="15">
        <f t="shared" si="565"/>
        <v>22.170849845882874</v>
      </c>
      <c r="AB915" s="75">
        <f>AA915*(1-PARAM!$C$27)*$I$9+(MOD($B915,60)=PARAM!$B$56)*($B915&gt;(60-PARAM!$B$56))*HLOOKUP(($B915+PARAM!$B$56)/12,Loyalty,2)*$F$1*MAX(AD914,0)</f>
        <v>18.557001321003963</v>
      </c>
      <c r="AC915" s="75">
        <f>PARAM!$C$26+MAX($G$9-CHOOSE(PARAM!$B$44,MAX(0,AD914*$F$1),0),0)*RATES!$L891/12+$H$9*(PARAM!$D$51/12)*RATES!$N891/100</f>
        <v>1190.0416666666667</v>
      </c>
      <c r="AD915" s="16">
        <f t="shared" si="591"/>
        <v>-256618.2491844974</v>
      </c>
      <c r="AE915" s="15">
        <f t="shared" si="566"/>
        <v>22.170849845882874</v>
      </c>
      <c r="AF915" s="75">
        <f>AE915*(1-PARAM!$C$27)*$I$10+(MOD($B915,60)=PARAM!$B$56)*($B915&gt;(60-PARAM!$B$56))*HLOOKUP(($B915+PARAM!$B$56)/12,Loyalty,2)*$F$1*MAX(AH914,0)</f>
        <v>18.557001321003963</v>
      </c>
      <c r="AG915" s="75">
        <f>PARAM!$C$26+MAX($G$10-CHOOSE(PARAM!$B$44,MAX(0,AH914*$F$1),0),0)*RATES!$L891/12+$H$10*(PARAM!$D$51/12)*RATES!$N891/100</f>
        <v>1190.0416666666667</v>
      </c>
      <c r="AH915" s="16">
        <f t="shared" si="592"/>
        <v>-256618.2491844974</v>
      </c>
      <c r="AI915" s="15">
        <f t="shared" si="567"/>
        <v>22.170849845882874</v>
      </c>
      <c r="AJ915" s="75">
        <f>AI915*(1-PARAM!$C$27)*$I$11+(MOD($B915,60)=PARAM!$B$56)*($B915&gt;(60-PARAM!$B$56))*HLOOKUP(($B915+PARAM!$B$56)/12,Loyalty,2)*$F$1*MAX(AL914,0)</f>
        <v>18.557001321003963</v>
      </c>
      <c r="AK915" s="75">
        <f>PARAM!$C$26+MAX($G$11-CHOOSE(PARAM!$B$44,MAX(0,AL914*$F$1),0),0)*RATES!$L891/12+$H$11*(PARAM!$D$51/12)*RATES!$N891/100</f>
        <v>1190.0416666666667</v>
      </c>
      <c r="AL915" s="16">
        <f t="shared" si="593"/>
        <v>-256618.2491844974</v>
      </c>
      <c r="AM915" s="15">
        <f t="shared" si="568"/>
        <v>22.170849845882874</v>
      </c>
      <c r="AN915" s="75">
        <f>AM915*(1-PARAM!$C$27)*$I$12+(MOD($B915,60)=PARAM!$B$56)*($B915&gt;(60-PARAM!$B$56))*HLOOKUP(($B915+PARAM!$B$56)/12,Loyalty,2)*$F$1*MAX(AP914,0)</f>
        <v>18.557001321003963</v>
      </c>
      <c r="AO915" s="75">
        <f>PARAM!$C$26+MAX($G$12-CHOOSE(PARAM!$B$44,MAX(0,AP914*$F$1),0),0)*RATES!$L891/12+$H$12*(PARAM!$D$51/12)*RATES!$N891/100</f>
        <v>1190.0416666666667</v>
      </c>
      <c r="AP915" s="16">
        <f t="shared" si="594"/>
        <v>-256618.2491844974</v>
      </c>
      <c r="AQ915" s="15">
        <f t="shared" si="569"/>
        <v>22.170849845882874</v>
      </c>
      <c r="AR915" s="75">
        <f>AQ915*(1-PARAM!$C$27)*$I$13+(MOD($B915,60)=PARAM!$B$56)*($B915&gt;(60-PARAM!$B$56))*HLOOKUP(($B915+PARAM!$B$56)/12,Loyalty,2)*$F$1*MAX(AT914,0)</f>
        <v>18.557001321003963</v>
      </c>
      <c r="AS915" s="75">
        <f>PARAM!$C$26+MAX($G$13-CHOOSE(PARAM!$B$44,MAX(0,AT914*$F$1),0),0)*RATES!$L891/12+$H$13*(PARAM!$D$51/12)*RATES!$N891/100</f>
        <v>1190.0416666666667</v>
      </c>
      <c r="AT915" s="16">
        <f t="shared" si="595"/>
        <v>-256618.2491844974</v>
      </c>
      <c r="AU915" s="15">
        <f t="shared" si="570"/>
        <v>22.170849845882874</v>
      </c>
      <c r="AV915" s="75">
        <f>AU915*(1-PARAM!$C$27)*$I$14+(MOD($B915,60)=PARAM!$B$56)*($B915&gt;(60-PARAM!$B$56))*HLOOKUP(($B915+PARAM!$B$56)/12,Loyalty,2)*$F$1*MAX(AX914,0)</f>
        <v>18.557001321003963</v>
      </c>
      <c r="AW915" s="75">
        <f>PARAM!$C$26+MAX($G$14-CHOOSE(PARAM!$B$44,MAX(0,AX914*$F$1),0),0)*RATES!$L891/12+$H$14*(PARAM!$D$51/12)*RATES!$N891/100</f>
        <v>1190.0416666666667</v>
      </c>
      <c r="AX915" s="16">
        <f t="shared" si="596"/>
        <v>-256618.2491844974</v>
      </c>
      <c r="AY915" s="15">
        <f t="shared" si="571"/>
        <v>22.170849845882874</v>
      </c>
      <c r="AZ915" s="75">
        <f>AY915*(1-PARAM!$C$27)*$I$15+(MOD($B915,60)=PARAM!$B$56)*($B915&gt;(60-PARAM!$B$56))*HLOOKUP(($B915+PARAM!$B$56)/12,Loyalty,2)*$F$1*MAX(BB914,0)</f>
        <v>18.557001321003963</v>
      </c>
      <c r="BA915" s="75">
        <f>PARAM!$C$26+MAX($G$15-CHOOSE(PARAM!$B$44,MAX(0,BB914*$F$1),0),0)*RATES!$L891/12+$H$15*(PARAM!$D$51/12)*RATES!$N891/100</f>
        <v>1190.0416666666667</v>
      </c>
      <c r="BB915" s="16">
        <f t="shared" si="597"/>
        <v>-256618.2491844974</v>
      </c>
      <c r="BC915" s="15">
        <f t="shared" si="572"/>
        <v>22.170849845882874</v>
      </c>
      <c r="BD915" s="75">
        <f>BC915*(1-PARAM!$C$27)*$I$16+(MOD($B915,60)=PARAM!$B$56)*($B915&gt;(60-PARAM!$B$56))*HLOOKUP(($B915+PARAM!$B$56)/12,Loyalty,2)*$F$1*MAX(BF914,0)</f>
        <v>18.557001321003963</v>
      </c>
      <c r="BE915" s="75">
        <f>PARAM!$C$26+MAX($G$16-CHOOSE(PARAM!$B$44,MAX(0,BF914*$F$1),0),0)*RATES!$L891/12+$H$16*(PARAM!$D$51/12)*RATES!$N891/100</f>
        <v>1190.0416666666667</v>
      </c>
      <c r="BF915" s="16">
        <f t="shared" si="598"/>
        <v>-256618.2491844974</v>
      </c>
      <c r="BG915" s="15">
        <f t="shared" si="573"/>
        <v>22.170849845882874</v>
      </c>
      <c r="BH915" s="75">
        <f>BG915*(1-PARAM!$C$27)*$I$17+(MOD($B915,60)=PARAM!$B$56)*($B915&gt;(60-PARAM!$B$56))*HLOOKUP(($B915+PARAM!$B$56)/12,Loyalty,2)*$F$1*MAX(BJ914,0)</f>
        <v>18.557001321003963</v>
      </c>
      <c r="BI915" s="75">
        <f>PARAM!$C$26+MAX($G$17-CHOOSE(PARAM!$B$44,MAX(0,BJ914*$F$1),0),0)*RATES!$L891/12+$H$17*(PARAM!$D$51/12)*RATES!$N891/100</f>
        <v>1190.0416666666667</v>
      </c>
      <c r="BJ915" s="16">
        <f t="shared" si="599"/>
        <v>-256618.2491844974</v>
      </c>
      <c r="BK915" s="15">
        <f t="shared" si="574"/>
        <v>22.170849845882874</v>
      </c>
      <c r="BL915" s="75">
        <f>BK915*(1-PARAM!$C$27)*$I$18+(MOD($B915,60)=PARAM!$B$56)*($B915&gt;(60-PARAM!$B$56))*HLOOKUP(($B915+PARAM!$B$56)/12,Loyalty,2)*$F$1*MAX(BN914,0)</f>
        <v>18.557001321003963</v>
      </c>
      <c r="BM915" s="75">
        <f>PARAM!$C$26+MAX($G$18-CHOOSE(PARAM!$B$44,MAX(0,BN914*$F$1),0),0)*RATES!$L891/12+$H$18*(PARAM!$D$51/12)*RATES!$N891/100</f>
        <v>1190.0416666666667</v>
      </c>
      <c r="BN915" s="16">
        <f t="shared" si="600"/>
        <v>-256618.2491844974</v>
      </c>
      <c r="BO915" s="15">
        <f t="shared" si="575"/>
        <v>22.170849845882874</v>
      </c>
      <c r="BP915" s="75">
        <f>BO915*(1-PARAM!$C$27)*$I$19+(MOD($B915,60)=PARAM!$B$56)*($B915&gt;(60-PARAM!$B$56))*HLOOKUP(($B915+PARAM!$B$56)/12,Loyalty,2)*$F$1*MAX(BR914,0)</f>
        <v>18.557001321003963</v>
      </c>
      <c r="BQ915" s="75">
        <f>PARAM!$C$26+MAX($G$19-CHOOSE(PARAM!$B$44,MAX(0,BR914*$F$1),0),0)*RATES!$L891/12+$H$19*(PARAM!$D$51/12)*RATES!$N891/100</f>
        <v>1190.0416666666667</v>
      </c>
      <c r="BR915" s="16">
        <f t="shared" si="601"/>
        <v>-256618.2491844974</v>
      </c>
      <c r="BS915" s="15">
        <f t="shared" si="576"/>
        <v>22.170849845882874</v>
      </c>
      <c r="BT915" s="75">
        <f>BS915*(1-PARAM!$C$27)*$I$20+(MOD($B915,60)=PARAM!$B$56)*($B915&gt;(60-PARAM!$B$56))*HLOOKUP(($B915+PARAM!$B$56)/12,Loyalty,2)*$F$1*MAX(BV914,0)</f>
        <v>18.557001321003963</v>
      </c>
      <c r="BU915" s="75">
        <f>PARAM!$C$26+MAX($G$20-CHOOSE(PARAM!$B$44,MAX(0,BV914*$F$1),0),0)*RATES!$L891/12+$H$20*(PARAM!$D$51/12)*RATES!$N891/100</f>
        <v>1190.0416666666667</v>
      </c>
      <c r="BV915" s="16">
        <f t="shared" si="602"/>
        <v>-256618.2491844974</v>
      </c>
      <c r="BW915" s="15">
        <f t="shared" si="577"/>
        <v>22.170849845882874</v>
      </c>
      <c r="BX915" s="75">
        <f>BW915*(1-PARAM!$C$27)*$I$21+(MOD($B915,60)=PARAM!$B$56)*($B915&gt;(60-PARAM!$B$56))*HLOOKUP(($B915+PARAM!$B$56)/12,Loyalty,2)*$F$1*MAX(BZ914,0)</f>
        <v>18.557001321003963</v>
      </c>
      <c r="BY915" s="75">
        <f>PARAM!$C$26+MAX($G$21-CHOOSE(PARAM!$B$44,MAX(0,BZ914*$F$1),0),0)*RATES!$L891/12+$H$21*(PARAM!$D$51/12)*RATES!$N891/100</f>
        <v>1190.0416666666667</v>
      </c>
      <c r="BZ915" s="16">
        <f t="shared" si="603"/>
        <v>-256618.2491844974</v>
      </c>
      <c r="CA915" s="15">
        <f t="shared" si="578"/>
        <v>22.170849845882874</v>
      </c>
      <c r="CB915" s="75">
        <f>CA915*(1-PARAM!$C$27)*$I$22+(MOD($B915,60)=PARAM!$B$56)*($B915&gt;(60-PARAM!$B$56))*HLOOKUP(($B915+PARAM!$B$56)/12,Loyalty,2)*$F$1*MAX(CD914,0)</f>
        <v>18.557001321003963</v>
      </c>
      <c r="CC915" s="75">
        <f>PARAM!$C$26+MAX($G$22-CHOOSE(PARAM!$B$44,MAX(0,CD914*$F$1),0),0)*RATES!$L891/12+$H$22*(PARAM!$D$51/12)*RATES!$N891/100</f>
        <v>1190.0416666666667</v>
      </c>
      <c r="CD915" s="16">
        <f t="shared" si="604"/>
        <v>-256618.2491844974</v>
      </c>
      <c r="CE915" s="33">
        <f>IF(0=MOD(B915,12/PARAM!$D$51),1,0)</f>
        <v>1</v>
      </c>
      <c r="CF915" s="15">
        <f t="shared" si="579"/>
        <v>0</v>
      </c>
      <c r="CG915" s="75">
        <f>CF915*(1-PARAM!$C$27)*$R$3+(MOD($B915/12,5)=0)*($B915&gt;60)*HLOOKUP($B915/12,Loyalty,2)*$F$1*MAX(CI914,0)</f>
        <v>0</v>
      </c>
      <c r="CH915" s="75">
        <f>PARAM!$C$26+MAX($P$3-CHOOSE(PARAM!$B$44,MAX(0,CI914*$F$1),0),0)*RATES!$L891/12+$Q$3*(PARAM!$D$51/12)*RATES!$N891/100</f>
        <v>1190.0416666666667</v>
      </c>
      <c r="CI915" s="16">
        <f>IF(CI914&gt;0,CI914*PARAM!$C$53,CI914)+CG915-CH915</f>
        <v>-272977.29166666645</v>
      </c>
      <c r="CJ915" s="15">
        <f t="shared" si="605"/>
        <v>0</v>
      </c>
      <c r="CK915" s="75">
        <f>CJ915*(1-PARAM!$C$27)*$R$4+(MOD($B915/12,5)=0)*($B915&gt;60)*HLOOKUP($B915/12,Loyalty,2)*$F$1*MAX(CM914,0)</f>
        <v>0</v>
      </c>
      <c r="CL915" s="75">
        <f>PARAM!$C$26+MAX($P$4-CHOOSE(PARAM!$B$44,MAX(0,CM914*$F$1),0),0)*RATES!$L891/12+$Q$4*(PARAM!$D$51/12)*RATES!$N891/100</f>
        <v>1190.0416666666667</v>
      </c>
      <c r="CM915" s="16">
        <f>IF(CM914&gt;0,CM914*PARAM!$C$53,CM914)+CK915-CL915</f>
        <v>-272977.29166666645</v>
      </c>
      <c r="CO915" s="176"/>
    </row>
    <row r="916" spans="1:93" x14ac:dyDescent="0.2">
      <c r="A916" t="b">
        <f t="shared" si="580"/>
        <v>0</v>
      </c>
      <c r="B916" s="33">
        <v>889</v>
      </c>
      <c r="C916" s="15">
        <f t="shared" si="581"/>
        <v>20.081305947392778</v>
      </c>
      <c r="D916" s="75">
        <f>C916*(1-PARAM!$C$27)*$I$3+(MOD($B916,60)=PARAM!$B$56)*($B916&gt;(60-PARAM!$B$56))*HLOOKUP(($B916+PARAM!$B$56)/12,Loyalty,2)*$F$1*MAX(F915,0)</f>
        <v>16.808053077967756</v>
      </c>
      <c r="E916" s="75">
        <f>PARAM!$C$26+MAX($G$3-CHOOSE(PARAM!$B$44,MAX(0,F915*$F$1),0),0)*RATES!$L892/12+$H$3*(PARAM!$D$51/12)*RATES!$N892/100</f>
        <v>1190.0416666666667</v>
      </c>
      <c r="F916" s="16">
        <f t="shared" si="582"/>
        <v>-259381.39933842426</v>
      </c>
      <c r="G916" s="15">
        <f t="shared" si="583"/>
        <v>22.035289406060361</v>
      </c>
      <c r="H916" s="75">
        <f>G916*(1-PARAM!$C$27)*$I$4+(MOD($B916,60)=PARAM!$B$56)*($B916&gt;(60-PARAM!$B$56))*HLOOKUP(($B916+PARAM!$B$56)/12,Loyalty,2)*$F$1*MAX(J915,0)</f>
        <v>18.443537232872522</v>
      </c>
      <c r="I916" s="75">
        <f>PARAM!$C$26+MAX($G$4-CHOOSE(PARAM!$B$44,MAX(0,J915*$F$1),0),0)*RATES!$L892/12+$H$4*(PARAM!$D$51/12)*RATES!$N892/100</f>
        <v>1190.0416666666667</v>
      </c>
      <c r="J916" s="16">
        <f t="shared" si="584"/>
        <v>-257893.62096059069</v>
      </c>
      <c r="K916" s="15">
        <f t="shared" si="585"/>
        <v>22.170849845882874</v>
      </c>
      <c r="L916" s="75">
        <f>K916*(1-PARAM!$C$27)*$I$5+(MOD($B916,60)=PARAM!$B$56)*($B916&gt;(60-PARAM!$B$56))*HLOOKUP(($B916+PARAM!$B$56)/12,Loyalty,2)*$F$1*MAX(N915,0)</f>
        <v>18.557001321003963</v>
      </c>
      <c r="M916" s="75">
        <f>PARAM!$C$26+MAX($G$5-CHOOSE(PARAM!$B$44,MAX(0,N915*$F$1),0),0)*RATES!$L892/12+$H$5*(PARAM!$D$51/12)*RATES!$N892/100</f>
        <v>1190.0416666666667</v>
      </c>
      <c r="N916" s="16">
        <f t="shared" si="586"/>
        <v>-257789.73384984306</v>
      </c>
      <c r="O916" s="15">
        <f t="shared" si="587"/>
        <v>22.170849845882874</v>
      </c>
      <c r="P916" s="75">
        <f>O916*(1-PARAM!$C$27)*$I$6+(MOD($B916,60)=PARAM!$B$56)*($B916&gt;(60-PARAM!$B$56))*HLOOKUP(($B916+PARAM!$B$56)/12,Loyalty,2)*$F$1*MAX(R915,0)</f>
        <v>18.557001321003963</v>
      </c>
      <c r="Q916" s="75">
        <f>PARAM!$C$26+MAX($G$6-CHOOSE(PARAM!$B$44,MAX(0,R915*$F$1),0),0)*RATES!$L892/12+$H$6*(PARAM!$D$51/12)*RATES!$N892/100</f>
        <v>1190.0416666666667</v>
      </c>
      <c r="R916" s="16">
        <f t="shared" si="588"/>
        <v>-257789.73384984306</v>
      </c>
      <c r="S916" s="15">
        <f t="shared" si="563"/>
        <v>22.170849845882874</v>
      </c>
      <c r="T916" s="75">
        <f>S916*(1-PARAM!$C$27)*$I$7+(MOD($B916,60)=PARAM!$B$56)*($B916&gt;(60-PARAM!$B$56))*HLOOKUP(($B916+PARAM!$B$56)/12,Loyalty,2)*$F$1*MAX(V915,0)</f>
        <v>18.557001321003963</v>
      </c>
      <c r="U916" s="75">
        <f>PARAM!$C$26+MAX($G$7-CHOOSE(PARAM!$B$44,MAX(0,V915*$F$1),0),0)*RATES!$L892/12+$H$7*(PARAM!$D$51/12)*RATES!$N892/100</f>
        <v>1190.0416666666667</v>
      </c>
      <c r="V916" s="16">
        <f t="shared" si="589"/>
        <v>-257789.73384984306</v>
      </c>
      <c r="W916" s="15">
        <f t="shared" si="564"/>
        <v>22.170849845882874</v>
      </c>
      <c r="X916" s="75">
        <f>W916*(1-PARAM!$C$27)*$I$8+(MOD($B916,60)=PARAM!$B$56)*($B916&gt;(60-PARAM!$B$56))*HLOOKUP(($B916+PARAM!$B$56)/12,Loyalty,2)*$F$1*MAX(Z915,0)</f>
        <v>18.557001321003963</v>
      </c>
      <c r="Y916" s="75">
        <f>PARAM!$C$26+MAX($G$8-CHOOSE(PARAM!$B$44,MAX(0,Z915*$F$1),0),0)*RATES!$L892/12+$H$8*(PARAM!$D$51/12)*RATES!$N892/100</f>
        <v>1190.0416666666667</v>
      </c>
      <c r="Z916" s="16">
        <f t="shared" si="590"/>
        <v>-257789.73384984306</v>
      </c>
      <c r="AA916" s="15">
        <f t="shared" si="565"/>
        <v>22.170849845882874</v>
      </c>
      <c r="AB916" s="75">
        <f>AA916*(1-PARAM!$C$27)*$I$9+(MOD($B916,60)=PARAM!$B$56)*($B916&gt;(60-PARAM!$B$56))*HLOOKUP(($B916+PARAM!$B$56)/12,Loyalty,2)*$F$1*MAX(AD915,0)</f>
        <v>18.557001321003963</v>
      </c>
      <c r="AC916" s="75">
        <f>PARAM!$C$26+MAX($G$9-CHOOSE(PARAM!$B$44,MAX(0,AD915*$F$1),0),0)*RATES!$L892/12+$H$9*(PARAM!$D$51/12)*RATES!$N892/100</f>
        <v>1190.0416666666667</v>
      </c>
      <c r="AD916" s="16">
        <f t="shared" si="591"/>
        <v>-257789.73384984306</v>
      </c>
      <c r="AE916" s="15">
        <f t="shared" si="566"/>
        <v>22.170849845882874</v>
      </c>
      <c r="AF916" s="75">
        <f>AE916*(1-PARAM!$C$27)*$I$10+(MOD($B916,60)=PARAM!$B$56)*($B916&gt;(60-PARAM!$B$56))*HLOOKUP(($B916+PARAM!$B$56)/12,Loyalty,2)*$F$1*MAX(AH915,0)</f>
        <v>18.557001321003963</v>
      </c>
      <c r="AG916" s="75">
        <f>PARAM!$C$26+MAX($G$10-CHOOSE(PARAM!$B$44,MAX(0,AH915*$F$1),0),0)*RATES!$L892/12+$H$10*(PARAM!$D$51/12)*RATES!$N892/100</f>
        <v>1190.0416666666667</v>
      </c>
      <c r="AH916" s="16">
        <f t="shared" si="592"/>
        <v>-257789.73384984306</v>
      </c>
      <c r="AI916" s="15">
        <f t="shared" si="567"/>
        <v>22.170849845882874</v>
      </c>
      <c r="AJ916" s="75">
        <f>AI916*(1-PARAM!$C$27)*$I$11+(MOD($B916,60)=PARAM!$B$56)*($B916&gt;(60-PARAM!$B$56))*HLOOKUP(($B916+PARAM!$B$56)/12,Loyalty,2)*$F$1*MAX(AL915,0)</f>
        <v>18.557001321003963</v>
      </c>
      <c r="AK916" s="75">
        <f>PARAM!$C$26+MAX($G$11-CHOOSE(PARAM!$B$44,MAX(0,AL915*$F$1),0),0)*RATES!$L892/12+$H$11*(PARAM!$D$51/12)*RATES!$N892/100</f>
        <v>1190.0416666666667</v>
      </c>
      <c r="AL916" s="16">
        <f t="shared" si="593"/>
        <v>-257789.73384984306</v>
      </c>
      <c r="AM916" s="15">
        <f t="shared" si="568"/>
        <v>22.170849845882874</v>
      </c>
      <c r="AN916" s="75">
        <f>AM916*(1-PARAM!$C$27)*$I$12+(MOD($B916,60)=PARAM!$B$56)*($B916&gt;(60-PARAM!$B$56))*HLOOKUP(($B916+PARAM!$B$56)/12,Loyalty,2)*$F$1*MAX(AP915,0)</f>
        <v>18.557001321003963</v>
      </c>
      <c r="AO916" s="75">
        <f>PARAM!$C$26+MAX($G$12-CHOOSE(PARAM!$B$44,MAX(0,AP915*$F$1),0),0)*RATES!$L892/12+$H$12*(PARAM!$D$51/12)*RATES!$N892/100</f>
        <v>1190.0416666666667</v>
      </c>
      <c r="AP916" s="16">
        <f t="shared" si="594"/>
        <v>-257789.73384984306</v>
      </c>
      <c r="AQ916" s="15">
        <f t="shared" si="569"/>
        <v>22.170849845882874</v>
      </c>
      <c r="AR916" s="75">
        <f>AQ916*(1-PARAM!$C$27)*$I$13+(MOD($B916,60)=PARAM!$B$56)*($B916&gt;(60-PARAM!$B$56))*HLOOKUP(($B916+PARAM!$B$56)/12,Loyalty,2)*$F$1*MAX(AT915,0)</f>
        <v>18.557001321003963</v>
      </c>
      <c r="AS916" s="75">
        <f>PARAM!$C$26+MAX($G$13-CHOOSE(PARAM!$B$44,MAX(0,AT915*$F$1),0),0)*RATES!$L892/12+$H$13*(PARAM!$D$51/12)*RATES!$N892/100</f>
        <v>1190.0416666666667</v>
      </c>
      <c r="AT916" s="16">
        <f t="shared" si="595"/>
        <v>-257789.73384984306</v>
      </c>
      <c r="AU916" s="15">
        <f t="shared" si="570"/>
        <v>22.170849845882874</v>
      </c>
      <c r="AV916" s="75">
        <f>AU916*(1-PARAM!$C$27)*$I$14+(MOD($B916,60)=PARAM!$B$56)*($B916&gt;(60-PARAM!$B$56))*HLOOKUP(($B916+PARAM!$B$56)/12,Loyalty,2)*$F$1*MAX(AX915,0)</f>
        <v>18.557001321003963</v>
      </c>
      <c r="AW916" s="75">
        <f>PARAM!$C$26+MAX($G$14-CHOOSE(PARAM!$B$44,MAX(0,AX915*$F$1),0),0)*RATES!$L892/12+$H$14*(PARAM!$D$51/12)*RATES!$N892/100</f>
        <v>1190.0416666666667</v>
      </c>
      <c r="AX916" s="16">
        <f t="shared" si="596"/>
        <v>-257789.73384984306</v>
      </c>
      <c r="AY916" s="15">
        <f t="shared" si="571"/>
        <v>22.170849845882874</v>
      </c>
      <c r="AZ916" s="75">
        <f>AY916*(1-PARAM!$C$27)*$I$15+(MOD($B916,60)=PARAM!$B$56)*($B916&gt;(60-PARAM!$B$56))*HLOOKUP(($B916+PARAM!$B$56)/12,Loyalty,2)*$F$1*MAX(BB915,0)</f>
        <v>18.557001321003963</v>
      </c>
      <c r="BA916" s="75">
        <f>PARAM!$C$26+MAX($G$15-CHOOSE(PARAM!$B$44,MAX(0,BB915*$F$1),0),0)*RATES!$L892/12+$H$15*(PARAM!$D$51/12)*RATES!$N892/100</f>
        <v>1190.0416666666667</v>
      </c>
      <c r="BB916" s="16">
        <f t="shared" si="597"/>
        <v>-257789.73384984306</v>
      </c>
      <c r="BC916" s="15">
        <f t="shared" si="572"/>
        <v>22.170849845882874</v>
      </c>
      <c r="BD916" s="75">
        <f>BC916*(1-PARAM!$C$27)*$I$16+(MOD($B916,60)=PARAM!$B$56)*($B916&gt;(60-PARAM!$B$56))*HLOOKUP(($B916+PARAM!$B$56)/12,Loyalty,2)*$F$1*MAX(BF915,0)</f>
        <v>18.557001321003963</v>
      </c>
      <c r="BE916" s="75">
        <f>PARAM!$C$26+MAX($G$16-CHOOSE(PARAM!$B$44,MAX(0,BF915*$F$1),0),0)*RATES!$L892/12+$H$16*(PARAM!$D$51/12)*RATES!$N892/100</f>
        <v>1190.0416666666667</v>
      </c>
      <c r="BF916" s="16">
        <f t="shared" si="598"/>
        <v>-257789.73384984306</v>
      </c>
      <c r="BG916" s="15">
        <f t="shared" si="573"/>
        <v>22.170849845882874</v>
      </c>
      <c r="BH916" s="75">
        <f>BG916*(1-PARAM!$C$27)*$I$17+(MOD($B916,60)=PARAM!$B$56)*($B916&gt;(60-PARAM!$B$56))*HLOOKUP(($B916+PARAM!$B$56)/12,Loyalty,2)*$F$1*MAX(BJ915,0)</f>
        <v>18.557001321003963</v>
      </c>
      <c r="BI916" s="75">
        <f>PARAM!$C$26+MAX($G$17-CHOOSE(PARAM!$B$44,MAX(0,BJ915*$F$1),0),0)*RATES!$L892/12+$H$17*(PARAM!$D$51/12)*RATES!$N892/100</f>
        <v>1190.0416666666667</v>
      </c>
      <c r="BJ916" s="16">
        <f t="shared" si="599"/>
        <v>-257789.73384984306</v>
      </c>
      <c r="BK916" s="15">
        <f t="shared" si="574"/>
        <v>22.170849845882874</v>
      </c>
      <c r="BL916" s="75">
        <f>BK916*(1-PARAM!$C$27)*$I$18+(MOD($B916,60)=PARAM!$B$56)*($B916&gt;(60-PARAM!$B$56))*HLOOKUP(($B916+PARAM!$B$56)/12,Loyalty,2)*$F$1*MAX(BN915,0)</f>
        <v>18.557001321003963</v>
      </c>
      <c r="BM916" s="75">
        <f>PARAM!$C$26+MAX($G$18-CHOOSE(PARAM!$B$44,MAX(0,BN915*$F$1),0),0)*RATES!$L892/12+$H$18*(PARAM!$D$51/12)*RATES!$N892/100</f>
        <v>1190.0416666666667</v>
      </c>
      <c r="BN916" s="16">
        <f t="shared" si="600"/>
        <v>-257789.73384984306</v>
      </c>
      <c r="BO916" s="15">
        <f t="shared" si="575"/>
        <v>22.170849845882874</v>
      </c>
      <c r="BP916" s="75">
        <f>BO916*(1-PARAM!$C$27)*$I$19+(MOD($B916,60)=PARAM!$B$56)*($B916&gt;(60-PARAM!$B$56))*HLOOKUP(($B916+PARAM!$B$56)/12,Loyalty,2)*$F$1*MAX(BR915,0)</f>
        <v>18.557001321003963</v>
      </c>
      <c r="BQ916" s="75">
        <f>PARAM!$C$26+MAX($G$19-CHOOSE(PARAM!$B$44,MAX(0,BR915*$F$1),0),0)*RATES!$L892/12+$H$19*(PARAM!$D$51/12)*RATES!$N892/100</f>
        <v>1190.0416666666667</v>
      </c>
      <c r="BR916" s="16">
        <f t="shared" si="601"/>
        <v>-257789.73384984306</v>
      </c>
      <c r="BS916" s="15">
        <f t="shared" si="576"/>
        <v>22.170849845882874</v>
      </c>
      <c r="BT916" s="75">
        <f>BS916*(1-PARAM!$C$27)*$I$20+(MOD($B916,60)=PARAM!$B$56)*($B916&gt;(60-PARAM!$B$56))*HLOOKUP(($B916+PARAM!$B$56)/12,Loyalty,2)*$F$1*MAX(BV915,0)</f>
        <v>18.557001321003963</v>
      </c>
      <c r="BU916" s="75">
        <f>PARAM!$C$26+MAX($G$20-CHOOSE(PARAM!$B$44,MAX(0,BV915*$F$1),0),0)*RATES!$L892/12+$H$20*(PARAM!$D$51/12)*RATES!$N892/100</f>
        <v>1190.0416666666667</v>
      </c>
      <c r="BV916" s="16">
        <f t="shared" si="602"/>
        <v>-257789.73384984306</v>
      </c>
      <c r="BW916" s="15">
        <f t="shared" si="577"/>
        <v>22.170849845882874</v>
      </c>
      <c r="BX916" s="75">
        <f>BW916*(1-PARAM!$C$27)*$I$21+(MOD($B916,60)=PARAM!$B$56)*($B916&gt;(60-PARAM!$B$56))*HLOOKUP(($B916+PARAM!$B$56)/12,Loyalty,2)*$F$1*MAX(BZ915,0)</f>
        <v>18.557001321003963</v>
      </c>
      <c r="BY916" s="75">
        <f>PARAM!$C$26+MAX($G$21-CHOOSE(PARAM!$B$44,MAX(0,BZ915*$F$1),0),0)*RATES!$L892/12+$H$21*(PARAM!$D$51/12)*RATES!$N892/100</f>
        <v>1190.0416666666667</v>
      </c>
      <c r="BZ916" s="16">
        <f t="shared" si="603"/>
        <v>-257789.73384984306</v>
      </c>
      <c r="CA916" s="15">
        <f t="shared" si="578"/>
        <v>22.170849845882874</v>
      </c>
      <c r="CB916" s="75">
        <f>CA916*(1-PARAM!$C$27)*$I$22+(MOD($B916,60)=PARAM!$B$56)*($B916&gt;(60-PARAM!$B$56))*HLOOKUP(($B916+PARAM!$B$56)/12,Loyalty,2)*$F$1*MAX(CD915,0)</f>
        <v>18.557001321003963</v>
      </c>
      <c r="CC916" s="75">
        <f>PARAM!$C$26+MAX($G$22-CHOOSE(PARAM!$B$44,MAX(0,CD915*$F$1),0),0)*RATES!$L892/12+$H$22*(PARAM!$D$51/12)*RATES!$N892/100</f>
        <v>1190.0416666666667</v>
      </c>
      <c r="CD916" s="16">
        <f t="shared" si="604"/>
        <v>-257789.73384984306</v>
      </c>
      <c r="CE916" s="33">
        <f>IF(0=MOD(B916,12/PARAM!$D$51),1,0)</f>
        <v>1</v>
      </c>
      <c r="CF916" s="15">
        <f t="shared" si="579"/>
        <v>0</v>
      </c>
      <c r="CG916" s="75">
        <f>CF916*(1-PARAM!$C$27)*$R$3+(MOD($B916/12,5)=0)*($B916&gt;60)*HLOOKUP($B916/12,Loyalty,2)*$F$1*MAX(CI915,0)</f>
        <v>0</v>
      </c>
      <c r="CH916" s="75">
        <f>PARAM!$C$26+MAX($P$3-CHOOSE(PARAM!$B$44,MAX(0,CI915*$F$1),0),0)*RATES!$L892/12+$Q$3*(PARAM!$D$51/12)*RATES!$N892/100</f>
        <v>1190.0416666666667</v>
      </c>
      <c r="CI916" s="16">
        <f>IF(CI915&gt;0,CI915*PARAM!$C$53,CI915)+CG916-CH916</f>
        <v>-274167.33333333314</v>
      </c>
      <c r="CJ916" s="15">
        <f t="shared" si="605"/>
        <v>0</v>
      </c>
      <c r="CK916" s="75">
        <f>CJ916*(1-PARAM!$C$27)*$R$4+(MOD($B916/12,5)=0)*($B916&gt;60)*HLOOKUP($B916/12,Loyalty,2)*$F$1*MAX(CM915,0)</f>
        <v>0</v>
      </c>
      <c r="CL916" s="75">
        <f>PARAM!$C$26+MAX($P$4-CHOOSE(PARAM!$B$44,MAX(0,CM915*$F$1),0),0)*RATES!$L892/12+$Q$4*(PARAM!$D$51/12)*RATES!$N892/100</f>
        <v>1190.0416666666667</v>
      </c>
      <c r="CM916" s="16">
        <f>IF(CM915&gt;0,CM915*PARAM!$C$53,CM915)+CK916-CL916</f>
        <v>-274167.33333333314</v>
      </c>
      <c r="CO916" s="176"/>
    </row>
    <row r="917" spans="1:93" x14ac:dyDescent="0.2">
      <c r="A917" t="b">
        <f t="shared" si="580"/>
        <v>0</v>
      </c>
      <c r="B917" s="33">
        <v>890</v>
      </c>
      <c r="C917" s="15">
        <f t="shared" si="581"/>
        <v>20.081305947392778</v>
      </c>
      <c r="D917" s="75">
        <f>C917*(1-PARAM!$C$27)*$I$3+(MOD($B917,60)=PARAM!$B$56)*($B917&gt;(60-PARAM!$B$56))*HLOOKUP(($B917+PARAM!$B$56)/12,Loyalty,2)*$F$1*MAX(F916,0)</f>
        <v>16.808053077967756</v>
      </c>
      <c r="E917" s="75">
        <f>PARAM!$C$26+MAX($G$3-CHOOSE(PARAM!$B$44,MAX(0,F916*$F$1),0),0)*RATES!$L893/12+$H$3*(PARAM!$D$51/12)*RATES!$N893/100</f>
        <v>1190.0416666666667</v>
      </c>
      <c r="F917" s="16">
        <f t="shared" si="582"/>
        <v>-260554.63295201297</v>
      </c>
      <c r="G917" s="15">
        <f t="shared" si="583"/>
        <v>22.035289406060361</v>
      </c>
      <c r="H917" s="75">
        <f>G917*(1-PARAM!$C$27)*$I$4+(MOD($B917,60)=PARAM!$B$56)*($B917&gt;(60-PARAM!$B$56))*HLOOKUP(($B917+PARAM!$B$56)/12,Loyalty,2)*$F$1*MAX(J916,0)</f>
        <v>18.443537232872522</v>
      </c>
      <c r="I917" s="75">
        <f>PARAM!$C$26+MAX($G$4-CHOOSE(PARAM!$B$44,MAX(0,J916*$F$1),0),0)*RATES!$L893/12+$H$4*(PARAM!$D$51/12)*RATES!$N893/100</f>
        <v>1190.0416666666667</v>
      </c>
      <c r="J917" s="16">
        <f t="shared" si="584"/>
        <v>-259065.21909002448</v>
      </c>
      <c r="K917" s="15">
        <f t="shared" si="585"/>
        <v>22.170849845882874</v>
      </c>
      <c r="L917" s="75">
        <f>K917*(1-PARAM!$C$27)*$I$5+(MOD($B917,60)=PARAM!$B$56)*($B917&gt;(60-PARAM!$B$56))*HLOOKUP(($B917+PARAM!$B$56)/12,Loyalty,2)*$F$1*MAX(N916,0)</f>
        <v>18.557001321003963</v>
      </c>
      <c r="M917" s="75">
        <f>PARAM!$C$26+MAX($G$5-CHOOSE(PARAM!$B$44,MAX(0,N916*$F$1),0),0)*RATES!$L893/12+$H$5*(PARAM!$D$51/12)*RATES!$N893/100</f>
        <v>1190.0416666666667</v>
      </c>
      <c r="N917" s="16">
        <f t="shared" si="586"/>
        <v>-258961.21851518872</v>
      </c>
      <c r="O917" s="15">
        <f t="shared" si="587"/>
        <v>22.170849845882874</v>
      </c>
      <c r="P917" s="75">
        <f>O917*(1-PARAM!$C$27)*$I$6+(MOD($B917,60)=PARAM!$B$56)*($B917&gt;(60-PARAM!$B$56))*HLOOKUP(($B917+PARAM!$B$56)/12,Loyalty,2)*$F$1*MAX(R916,0)</f>
        <v>18.557001321003963</v>
      </c>
      <c r="Q917" s="75">
        <f>PARAM!$C$26+MAX($G$6-CHOOSE(PARAM!$B$44,MAX(0,R916*$F$1),0),0)*RATES!$L893/12+$H$6*(PARAM!$D$51/12)*RATES!$N893/100</f>
        <v>1190.0416666666667</v>
      </c>
      <c r="R917" s="16">
        <f t="shared" si="588"/>
        <v>-258961.21851518872</v>
      </c>
      <c r="S917" s="15">
        <f t="shared" si="563"/>
        <v>22.170849845882874</v>
      </c>
      <c r="T917" s="75">
        <f>S917*(1-PARAM!$C$27)*$I$7+(MOD($B917,60)=PARAM!$B$56)*($B917&gt;(60-PARAM!$B$56))*HLOOKUP(($B917+PARAM!$B$56)/12,Loyalty,2)*$F$1*MAX(V916,0)</f>
        <v>18.557001321003963</v>
      </c>
      <c r="U917" s="75">
        <f>PARAM!$C$26+MAX($G$7-CHOOSE(PARAM!$B$44,MAX(0,V916*$F$1),0),0)*RATES!$L893/12+$H$7*(PARAM!$D$51/12)*RATES!$N893/100</f>
        <v>1190.0416666666667</v>
      </c>
      <c r="V917" s="16">
        <f t="shared" si="589"/>
        <v>-258961.21851518872</v>
      </c>
      <c r="W917" s="15">
        <f t="shared" si="564"/>
        <v>22.170849845882874</v>
      </c>
      <c r="X917" s="75">
        <f>W917*(1-PARAM!$C$27)*$I$8+(MOD($B917,60)=PARAM!$B$56)*($B917&gt;(60-PARAM!$B$56))*HLOOKUP(($B917+PARAM!$B$56)/12,Loyalty,2)*$F$1*MAX(Z916,0)</f>
        <v>18.557001321003963</v>
      </c>
      <c r="Y917" s="75">
        <f>PARAM!$C$26+MAX($G$8-CHOOSE(PARAM!$B$44,MAX(0,Z916*$F$1),0),0)*RATES!$L893/12+$H$8*(PARAM!$D$51/12)*RATES!$N893/100</f>
        <v>1190.0416666666667</v>
      </c>
      <c r="Z917" s="16">
        <f t="shared" si="590"/>
        <v>-258961.21851518872</v>
      </c>
      <c r="AA917" s="15">
        <f t="shared" si="565"/>
        <v>22.170849845882874</v>
      </c>
      <c r="AB917" s="75">
        <f>AA917*(1-PARAM!$C$27)*$I$9+(MOD($B917,60)=PARAM!$B$56)*($B917&gt;(60-PARAM!$B$56))*HLOOKUP(($B917+PARAM!$B$56)/12,Loyalty,2)*$F$1*MAX(AD916,0)</f>
        <v>18.557001321003963</v>
      </c>
      <c r="AC917" s="75">
        <f>PARAM!$C$26+MAX($G$9-CHOOSE(PARAM!$B$44,MAX(0,AD916*$F$1),0),0)*RATES!$L893/12+$H$9*(PARAM!$D$51/12)*RATES!$N893/100</f>
        <v>1190.0416666666667</v>
      </c>
      <c r="AD917" s="16">
        <f t="shared" si="591"/>
        <v>-258961.21851518872</v>
      </c>
      <c r="AE917" s="15">
        <f t="shared" si="566"/>
        <v>22.170849845882874</v>
      </c>
      <c r="AF917" s="75">
        <f>AE917*(1-PARAM!$C$27)*$I$10+(MOD($B917,60)=PARAM!$B$56)*($B917&gt;(60-PARAM!$B$56))*HLOOKUP(($B917+PARAM!$B$56)/12,Loyalty,2)*$F$1*MAX(AH916,0)</f>
        <v>18.557001321003963</v>
      </c>
      <c r="AG917" s="75">
        <f>PARAM!$C$26+MAX($G$10-CHOOSE(PARAM!$B$44,MAX(0,AH916*$F$1),0),0)*RATES!$L893/12+$H$10*(PARAM!$D$51/12)*RATES!$N893/100</f>
        <v>1190.0416666666667</v>
      </c>
      <c r="AH917" s="16">
        <f t="shared" si="592"/>
        <v>-258961.21851518872</v>
      </c>
      <c r="AI917" s="15">
        <f t="shared" si="567"/>
        <v>22.170849845882874</v>
      </c>
      <c r="AJ917" s="75">
        <f>AI917*(1-PARAM!$C$27)*$I$11+(MOD($B917,60)=PARAM!$B$56)*($B917&gt;(60-PARAM!$B$56))*HLOOKUP(($B917+PARAM!$B$56)/12,Loyalty,2)*$F$1*MAX(AL916,0)</f>
        <v>18.557001321003963</v>
      </c>
      <c r="AK917" s="75">
        <f>PARAM!$C$26+MAX($G$11-CHOOSE(PARAM!$B$44,MAX(0,AL916*$F$1),0),0)*RATES!$L893/12+$H$11*(PARAM!$D$51/12)*RATES!$N893/100</f>
        <v>1190.0416666666667</v>
      </c>
      <c r="AL917" s="16">
        <f t="shared" si="593"/>
        <v>-258961.21851518872</v>
      </c>
      <c r="AM917" s="15">
        <f t="shared" si="568"/>
        <v>22.170849845882874</v>
      </c>
      <c r="AN917" s="75">
        <f>AM917*(1-PARAM!$C$27)*$I$12+(MOD($B917,60)=PARAM!$B$56)*($B917&gt;(60-PARAM!$B$56))*HLOOKUP(($B917+PARAM!$B$56)/12,Loyalty,2)*$F$1*MAX(AP916,0)</f>
        <v>18.557001321003963</v>
      </c>
      <c r="AO917" s="75">
        <f>PARAM!$C$26+MAX($G$12-CHOOSE(PARAM!$B$44,MAX(0,AP916*$F$1),0),0)*RATES!$L893/12+$H$12*(PARAM!$D$51/12)*RATES!$N893/100</f>
        <v>1190.0416666666667</v>
      </c>
      <c r="AP917" s="16">
        <f t="shared" si="594"/>
        <v>-258961.21851518872</v>
      </c>
      <c r="AQ917" s="15">
        <f t="shared" si="569"/>
        <v>22.170849845882874</v>
      </c>
      <c r="AR917" s="75">
        <f>AQ917*(1-PARAM!$C$27)*$I$13+(MOD($B917,60)=PARAM!$B$56)*($B917&gt;(60-PARAM!$B$56))*HLOOKUP(($B917+PARAM!$B$56)/12,Loyalty,2)*$F$1*MAX(AT916,0)</f>
        <v>18.557001321003963</v>
      </c>
      <c r="AS917" s="75">
        <f>PARAM!$C$26+MAX($G$13-CHOOSE(PARAM!$B$44,MAX(0,AT916*$F$1),0),0)*RATES!$L893/12+$H$13*(PARAM!$D$51/12)*RATES!$N893/100</f>
        <v>1190.0416666666667</v>
      </c>
      <c r="AT917" s="16">
        <f t="shared" si="595"/>
        <v>-258961.21851518872</v>
      </c>
      <c r="AU917" s="15">
        <f t="shared" si="570"/>
        <v>22.170849845882874</v>
      </c>
      <c r="AV917" s="75">
        <f>AU917*(1-PARAM!$C$27)*$I$14+(MOD($B917,60)=PARAM!$B$56)*($B917&gt;(60-PARAM!$B$56))*HLOOKUP(($B917+PARAM!$B$56)/12,Loyalty,2)*$F$1*MAX(AX916,0)</f>
        <v>18.557001321003963</v>
      </c>
      <c r="AW917" s="75">
        <f>PARAM!$C$26+MAX($G$14-CHOOSE(PARAM!$B$44,MAX(0,AX916*$F$1),0),0)*RATES!$L893/12+$H$14*(PARAM!$D$51/12)*RATES!$N893/100</f>
        <v>1190.0416666666667</v>
      </c>
      <c r="AX917" s="16">
        <f t="shared" si="596"/>
        <v>-258961.21851518872</v>
      </c>
      <c r="AY917" s="15">
        <f t="shared" si="571"/>
        <v>22.170849845882874</v>
      </c>
      <c r="AZ917" s="75">
        <f>AY917*(1-PARAM!$C$27)*$I$15+(MOD($B917,60)=PARAM!$B$56)*($B917&gt;(60-PARAM!$B$56))*HLOOKUP(($B917+PARAM!$B$56)/12,Loyalty,2)*$F$1*MAX(BB916,0)</f>
        <v>18.557001321003963</v>
      </c>
      <c r="BA917" s="75">
        <f>PARAM!$C$26+MAX($G$15-CHOOSE(PARAM!$B$44,MAX(0,BB916*$F$1),0),0)*RATES!$L893/12+$H$15*(PARAM!$D$51/12)*RATES!$N893/100</f>
        <v>1190.0416666666667</v>
      </c>
      <c r="BB917" s="16">
        <f t="shared" si="597"/>
        <v>-258961.21851518872</v>
      </c>
      <c r="BC917" s="15">
        <f t="shared" si="572"/>
        <v>22.170849845882874</v>
      </c>
      <c r="BD917" s="75">
        <f>BC917*(1-PARAM!$C$27)*$I$16+(MOD($B917,60)=PARAM!$B$56)*($B917&gt;(60-PARAM!$B$56))*HLOOKUP(($B917+PARAM!$B$56)/12,Loyalty,2)*$F$1*MAX(BF916,0)</f>
        <v>18.557001321003963</v>
      </c>
      <c r="BE917" s="75">
        <f>PARAM!$C$26+MAX($G$16-CHOOSE(PARAM!$B$44,MAX(0,BF916*$F$1),0),0)*RATES!$L893/12+$H$16*(PARAM!$D$51/12)*RATES!$N893/100</f>
        <v>1190.0416666666667</v>
      </c>
      <c r="BF917" s="16">
        <f t="shared" si="598"/>
        <v>-258961.21851518872</v>
      </c>
      <c r="BG917" s="15">
        <f t="shared" si="573"/>
        <v>22.170849845882874</v>
      </c>
      <c r="BH917" s="75">
        <f>BG917*(1-PARAM!$C$27)*$I$17+(MOD($B917,60)=PARAM!$B$56)*($B917&gt;(60-PARAM!$B$56))*HLOOKUP(($B917+PARAM!$B$56)/12,Loyalty,2)*$F$1*MAX(BJ916,0)</f>
        <v>18.557001321003963</v>
      </c>
      <c r="BI917" s="75">
        <f>PARAM!$C$26+MAX($G$17-CHOOSE(PARAM!$B$44,MAX(0,BJ916*$F$1),0),0)*RATES!$L893/12+$H$17*(PARAM!$D$51/12)*RATES!$N893/100</f>
        <v>1190.0416666666667</v>
      </c>
      <c r="BJ917" s="16">
        <f t="shared" si="599"/>
        <v>-258961.21851518872</v>
      </c>
      <c r="BK917" s="15">
        <f t="shared" si="574"/>
        <v>22.170849845882874</v>
      </c>
      <c r="BL917" s="75">
        <f>BK917*(1-PARAM!$C$27)*$I$18+(MOD($B917,60)=PARAM!$B$56)*($B917&gt;(60-PARAM!$B$56))*HLOOKUP(($B917+PARAM!$B$56)/12,Loyalty,2)*$F$1*MAX(BN916,0)</f>
        <v>18.557001321003963</v>
      </c>
      <c r="BM917" s="75">
        <f>PARAM!$C$26+MAX($G$18-CHOOSE(PARAM!$B$44,MAX(0,BN916*$F$1),0),0)*RATES!$L893/12+$H$18*(PARAM!$D$51/12)*RATES!$N893/100</f>
        <v>1190.0416666666667</v>
      </c>
      <c r="BN917" s="16">
        <f t="shared" si="600"/>
        <v>-258961.21851518872</v>
      </c>
      <c r="BO917" s="15">
        <f t="shared" si="575"/>
        <v>22.170849845882874</v>
      </c>
      <c r="BP917" s="75">
        <f>BO917*(1-PARAM!$C$27)*$I$19+(MOD($B917,60)=PARAM!$B$56)*($B917&gt;(60-PARAM!$B$56))*HLOOKUP(($B917+PARAM!$B$56)/12,Loyalty,2)*$F$1*MAX(BR916,0)</f>
        <v>18.557001321003963</v>
      </c>
      <c r="BQ917" s="75">
        <f>PARAM!$C$26+MAX($G$19-CHOOSE(PARAM!$B$44,MAX(0,BR916*$F$1),0),0)*RATES!$L893/12+$H$19*(PARAM!$D$51/12)*RATES!$N893/100</f>
        <v>1190.0416666666667</v>
      </c>
      <c r="BR917" s="16">
        <f t="shared" si="601"/>
        <v>-258961.21851518872</v>
      </c>
      <c r="BS917" s="15">
        <f t="shared" si="576"/>
        <v>22.170849845882874</v>
      </c>
      <c r="BT917" s="75">
        <f>BS917*(1-PARAM!$C$27)*$I$20+(MOD($B917,60)=PARAM!$B$56)*($B917&gt;(60-PARAM!$B$56))*HLOOKUP(($B917+PARAM!$B$56)/12,Loyalty,2)*$F$1*MAX(BV916,0)</f>
        <v>18.557001321003963</v>
      </c>
      <c r="BU917" s="75">
        <f>PARAM!$C$26+MAX($G$20-CHOOSE(PARAM!$B$44,MAX(0,BV916*$F$1),0),0)*RATES!$L893/12+$H$20*(PARAM!$D$51/12)*RATES!$N893/100</f>
        <v>1190.0416666666667</v>
      </c>
      <c r="BV917" s="16">
        <f t="shared" si="602"/>
        <v>-258961.21851518872</v>
      </c>
      <c r="BW917" s="15">
        <f t="shared" si="577"/>
        <v>22.170849845882874</v>
      </c>
      <c r="BX917" s="75">
        <f>BW917*(1-PARAM!$C$27)*$I$21+(MOD($B917,60)=PARAM!$B$56)*($B917&gt;(60-PARAM!$B$56))*HLOOKUP(($B917+PARAM!$B$56)/12,Loyalty,2)*$F$1*MAX(BZ916,0)</f>
        <v>18.557001321003963</v>
      </c>
      <c r="BY917" s="75">
        <f>PARAM!$C$26+MAX($G$21-CHOOSE(PARAM!$B$44,MAX(0,BZ916*$F$1),0),0)*RATES!$L893/12+$H$21*(PARAM!$D$51/12)*RATES!$N893/100</f>
        <v>1190.0416666666667</v>
      </c>
      <c r="BZ917" s="16">
        <f t="shared" si="603"/>
        <v>-258961.21851518872</v>
      </c>
      <c r="CA917" s="15">
        <f t="shared" si="578"/>
        <v>22.170849845882874</v>
      </c>
      <c r="CB917" s="75">
        <f>CA917*(1-PARAM!$C$27)*$I$22+(MOD($B917,60)=PARAM!$B$56)*($B917&gt;(60-PARAM!$B$56))*HLOOKUP(($B917+PARAM!$B$56)/12,Loyalty,2)*$F$1*MAX(CD916,0)</f>
        <v>18.557001321003963</v>
      </c>
      <c r="CC917" s="75">
        <f>PARAM!$C$26+MAX($G$22-CHOOSE(PARAM!$B$44,MAX(0,CD916*$F$1),0),0)*RATES!$L893/12+$H$22*(PARAM!$D$51/12)*RATES!$N893/100</f>
        <v>1190.0416666666667</v>
      </c>
      <c r="CD917" s="16">
        <f t="shared" si="604"/>
        <v>-258961.21851518872</v>
      </c>
      <c r="CE917" s="33">
        <f>IF(0=MOD(B917,12/PARAM!$D$51),1,0)</f>
        <v>1</v>
      </c>
      <c r="CF917" s="15">
        <f t="shared" si="579"/>
        <v>0</v>
      </c>
      <c r="CG917" s="75">
        <f>CF917*(1-PARAM!$C$27)*$R$3+(MOD($B917/12,5)=0)*($B917&gt;60)*HLOOKUP($B917/12,Loyalty,2)*$F$1*MAX(CI916,0)</f>
        <v>0</v>
      </c>
      <c r="CH917" s="75">
        <f>PARAM!$C$26+MAX($P$3-CHOOSE(PARAM!$B$44,MAX(0,CI916*$F$1),0),0)*RATES!$L893/12+$Q$3*(PARAM!$D$51/12)*RATES!$N893/100</f>
        <v>1190.0416666666667</v>
      </c>
      <c r="CI917" s="16">
        <f>IF(CI916&gt;0,CI916*PARAM!$C$53,CI916)+CG917-CH917</f>
        <v>-275357.37499999983</v>
      </c>
      <c r="CJ917" s="15">
        <f t="shared" si="605"/>
        <v>0</v>
      </c>
      <c r="CK917" s="75">
        <f>CJ917*(1-PARAM!$C$27)*$R$4+(MOD($B917/12,5)=0)*($B917&gt;60)*HLOOKUP($B917/12,Loyalty,2)*$F$1*MAX(CM916,0)</f>
        <v>0</v>
      </c>
      <c r="CL917" s="75">
        <f>PARAM!$C$26+MAX($P$4-CHOOSE(PARAM!$B$44,MAX(0,CM916*$F$1),0),0)*RATES!$L893/12+$Q$4*(PARAM!$D$51/12)*RATES!$N893/100</f>
        <v>1190.0416666666667</v>
      </c>
      <c r="CM917" s="16">
        <f>IF(CM916&gt;0,CM916*PARAM!$C$53,CM916)+CK917-CL917</f>
        <v>-275357.37499999983</v>
      </c>
      <c r="CO917" s="176"/>
    </row>
    <row r="918" spans="1:93" x14ac:dyDescent="0.2">
      <c r="A918" t="b">
        <f t="shared" si="580"/>
        <v>0</v>
      </c>
      <c r="B918" s="33">
        <v>891</v>
      </c>
      <c r="C918" s="15">
        <f t="shared" si="581"/>
        <v>20.081305947392778</v>
      </c>
      <c r="D918" s="75">
        <f>C918*(1-PARAM!$C$27)*$I$3+(MOD($B918,60)=PARAM!$B$56)*($B918&gt;(60-PARAM!$B$56))*HLOOKUP(($B918+PARAM!$B$56)/12,Loyalty,2)*$F$1*MAX(F917,0)</f>
        <v>16.808053077967756</v>
      </c>
      <c r="E918" s="75">
        <f>PARAM!$C$26+MAX($G$3-CHOOSE(PARAM!$B$44,MAX(0,F917*$F$1),0),0)*RATES!$L894/12+$H$3*(PARAM!$D$51/12)*RATES!$N894/100</f>
        <v>1190.0416666666667</v>
      </c>
      <c r="F918" s="16">
        <f t="shared" si="582"/>
        <v>-261727.86656560167</v>
      </c>
      <c r="G918" s="15">
        <f t="shared" si="583"/>
        <v>22.035289406060361</v>
      </c>
      <c r="H918" s="75">
        <f>G918*(1-PARAM!$C$27)*$I$4+(MOD($B918,60)=PARAM!$B$56)*($B918&gt;(60-PARAM!$B$56))*HLOOKUP(($B918+PARAM!$B$56)/12,Loyalty,2)*$F$1*MAX(J917,0)</f>
        <v>18.443537232872522</v>
      </c>
      <c r="I918" s="75">
        <f>PARAM!$C$26+MAX($G$4-CHOOSE(PARAM!$B$44,MAX(0,J917*$F$1),0),0)*RATES!$L894/12+$H$4*(PARAM!$D$51/12)*RATES!$N894/100</f>
        <v>1190.0416666666667</v>
      </c>
      <c r="J918" s="16">
        <f t="shared" si="584"/>
        <v>-260236.81721945826</v>
      </c>
      <c r="K918" s="15">
        <f t="shared" si="585"/>
        <v>22.170849845882874</v>
      </c>
      <c r="L918" s="75">
        <f>K918*(1-PARAM!$C$27)*$I$5+(MOD($B918,60)=PARAM!$B$56)*($B918&gt;(60-PARAM!$B$56))*HLOOKUP(($B918+PARAM!$B$56)/12,Loyalty,2)*$F$1*MAX(N917,0)</f>
        <v>18.557001321003963</v>
      </c>
      <c r="M918" s="75">
        <f>PARAM!$C$26+MAX($G$5-CHOOSE(PARAM!$B$44,MAX(0,N917*$F$1),0),0)*RATES!$L894/12+$H$5*(PARAM!$D$51/12)*RATES!$N894/100</f>
        <v>1190.0416666666667</v>
      </c>
      <c r="N918" s="16">
        <f t="shared" si="586"/>
        <v>-260132.70318053439</v>
      </c>
      <c r="O918" s="15">
        <f t="shared" si="587"/>
        <v>22.170849845882874</v>
      </c>
      <c r="P918" s="75">
        <f>O918*(1-PARAM!$C$27)*$I$6+(MOD($B918,60)=PARAM!$B$56)*($B918&gt;(60-PARAM!$B$56))*HLOOKUP(($B918+PARAM!$B$56)/12,Loyalty,2)*$F$1*MAX(R917,0)</f>
        <v>18.557001321003963</v>
      </c>
      <c r="Q918" s="75">
        <f>PARAM!$C$26+MAX($G$6-CHOOSE(PARAM!$B$44,MAX(0,R917*$F$1),0),0)*RATES!$L894/12+$H$6*(PARAM!$D$51/12)*RATES!$N894/100</f>
        <v>1190.0416666666667</v>
      </c>
      <c r="R918" s="16">
        <f t="shared" si="588"/>
        <v>-260132.70318053439</v>
      </c>
      <c r="S918" s="15">
        <f t="shared" si="563"/>
        <v>22.170849845882874</v>
      </c>
      <c r="T918" s="75">
        <f>S918*(1-PARAM!$C$27)*$I$7+(MOD($B918,60)=PARAM!$B$56)*($B918&gt;(60-PARAM!$B$56))*HLOOKUP(($B918+PARAM!$B$56)/12,Loyalty,2)*$F$1*MAX(V917,0)</f>
        <v>18.557001321003963</v>
      </c>
      <c r="U918" s="75">
        <f>PARAM!$C$26+MAX($G$7-CHOOSE(PARAM!$B$44,MAX(0,V917*$F$1),0),0)*RATES!$L894/12+$H$7*(PARAM!$D$51/12)*RATES!$N894/100</f>
        <v>1190.0416666666667</v>
      </c>
      <c r="V918" s="16">
        <f t="shared" si="589"/>
        <v>-260132.70318053439</v>
      </c>
      <c r="W918" s="15">
        <f t="shared" si="564"/>
        <v>22.170849845882874</v>
      </c>
      <c r="X918" s="75">
        <f>W918*(1-PARAM!$C$27)*$I$8+(MOD($B918,60)=PARAM!$B$56)*($B918&gt;(60-PARAM!$B$56))*HLOOKUP(($B918+PARAM!$B$56)/12,Loyalty,2)*$F$1*MAX(Z917,0)</f>
        <v>18.557001321003963</v>
      </c>
      <c r="Y918" s="75">
        <f>PARAM!$C$26+MAX($G$8-CHOOSE(PARAM!$B$44,MAX(0,Z917*$F$1),0),0)*RATES!$L894/12+$H$8*(PARAM!$D$51/12)*RATES!$N894/100</f>
        <v>1190.0416666666667</v>
      </c>
      <c r="Z918" s="16">
        <f t="shared" si="590"/>
        <v>-260132.70318053439</v>
      </c>
      <c r="AA918" s="15">
        <f t="shared" si="565"/>
        <v>22.170849845882874</v>
      </c>
      <c r="AB918" s="75">
        <f>AA918*(1-PARAM!$C$27)*$I$9+(MOD($B918,60)=PARAM!$B$56)*($B918&gt;(60-PARAM!$B$56))*HLOOKUP(($B918+PARAM!$B$56)/12,Loyalty,2)*$F$1*MAX(AD917,0)</f>
        <v>18.557001321003963</v>
      </c>
      <c r="AC918" s="75">
        <f>PARAM!$C$26+MAX($G$9-CHOOSE(PARAM!$B$44,MAX(0,AD917*$F$1),0),0)*RATES!$L894/12+$H$9*(PARAM!$D$51/12)*RATES!$N894/100</f>
        <v>1190.0416666666667</v>
      </c>
      <c r="AD918" s="16">
        <f t="shared" si="591"/>
        <v>-260132.70318053439</v>
      </c>
      <c r="AE918" s="15">
        <f t="shared" si="566"/>
        <v>22.170849845882874</v>
      </c>
      <c r="AF918" s="75">
        <f>AE918*(1-PARAM!$C$27)*$I$10+(MOD($B918,60)=PARAM!$B$56)*($B918&gt;(60-PARAM!$B$56))*HLOOKUP(($B918+PARAM!$B$56)/12,Loyalty,2)*$F$1*MAX(AH917,0)</f>
        <v>18.557001321003963</v>
      </c>
      <c r="AG918" s="75">
        <f>PARAM!$C$26+MAX($G$10-CHOOSE(PARAM!$B$44,MAX(0,AH917*$F$1),0),0)*RATES!$L894/12+$H$10*(PARAM!$D$51/12)*RATES!$N894/100</f>
        <v>1190.0416666666667</v>
      </c>
      <c r="AH918" s="16">
        <f t="shared" si="592"/>
        <v>-260132.70318053439</v>
      </c>
      <c r="AI918" s="15">
        <f t="shared" si="567"/>
        <v>22.170849845882874</v>
      </c>
      <c r="AJ918" s="75">
        <f>AI918*(1-PARAM!$C$27)*$I$11+(MOD($B918,60)=PARAM!$B$56)*($B918&gt;(60-PARAM!$B$56))*HLOOKUP(($B918+PARAM!$B$56)/12,Loyalty,2)*$F$1*MAX(AL917,0)</f>
        <v>18.557001321003963</v>
      </c>
      <c r="AK918" s="75">
        <f>PARAM!$C$26+MAX($G$11-CHOOSE(PARAM!$B$44,MAX(0,AL917*$F$1),0),0)*RATES!$L894/12+$H$11*(PARAM!$D$51/12)*RATES!$N894/100</f>
        <v>1190.0416666666667</v>
      </c>
      <c r="AL918" s="16">
        <f t="shared" si="593"/>
        <v>-260132.70318053439</v>
      </c>
      <c r="AM918" s="15">
        <f t="shared" si="568"/>
        <v>22.170849845882874</v>
      </c>
      <c r="AN918" s="75">
        <f>AM918*(1-PARAM!$C$27)*$I$12+(MOD($B918,60)=PARAM!$B$56)*($B918&gt;(60-PARAM!$B$56))*HLOOKUP(($B918+PARAM!$B$56)/12,Loyalty,2)*$F$1*MAX(AP917,0)</f>
        <v>18.557001321003963</v>
      </c>
      <c r="AO918" s="75">
        <f>PARAM!$C$26+MAX($G$12-CHOOSE(PARAM!$B$44,MAX(0,AP917*$F$1),0),0)*RATES!$L894/12+$H$12*(PARAM!$D$51/12)*RATES!$N894/100</f>
        <v>1190.0416666666667</v>
      </c>
      <c r="AP918" s="16">
        <f t="shared" si="594"/>
        <v>-260132.70318053439</v>
      </c>
      <c r="AQ918" s="15">
        <f t="shared" si="569"/>
        <v>22.170849845882874</v>
      </c>
      <c r="AR918" s="75">
        <f>AQ918*(1-PARAM!$C$27)*$I$13+(MOD($B918,60)=PARAM!$B$56)*($B918&gt;(60-PARAM!$B$56))*HLOOKUP(($B918+PARAM!$B$56)/12,Loyalty,2)*$F$1*MAX(AT917,0)</f>
        <v>18.557001321003963</v>
      </c>
      <c r="AS918" s="75">
        <f>PARAM!$C$26+MAX($G$13-CHOOSE(PARAM!$B$44,MAX(0,AT917*$F$1),0),0)*RATES!$L894/12+$H$13*(PARAM!$D$51/12)*RATES!$N894/100</f>
        <v>1190.0416666666667</v>
      </c>
      <c r="AT918" s="16">
        <f t="shared" si="595"/>
        <v>-260132.70318053439</v>
      </c>
      <c r="AU918" s="15">
        <f t="shared" si="570"/>
        <v>22.170849845882874</v>
      </c>
      <c r="AV918" s="75">
        <f>AU918*(1-PARAM!$C$27)*$I$14+(MOD($B918,60)=PARAM!$B$56)*($B918&gt;(60-PARAM!$B$56))*HLOOKUP(($B918+PARAM!$B$56)/12,Loyalty,2)*$F$1*MAX(AX917,0)</f>
        <v>18.557001321003963</v>
      </c>
      <c r="AW918" s="75">
        <f>PARAM!$C$26+MAX($G$14-CHOOSE(PARAM!$B$44,MAX(0,AX917*$F$1),0),0)*RATES!$L894/12+$H$14*(PARAM!$D$51/12)*RATES!$N894/100</f>
        <v>1190.0416666666667</v>
      </c>
      <c r="AX918" s="16">
        <f t="shared" si="596"/>
        <v>-260132.70318053439</v>
      </c>
      <c r="AY918" s="15">
        <f t="shared" si="571"/>
        <v>22.170849845882874</v>
      </c>
      <c r="AZ918" s="75">
        <f>AY918*(1-PARAM!$C$27)*$I$15+(MOD($B918,60)=PARAM!$B$56)*($B918&gt;(60-PARAM!$B$56))*HLOOKUP(($B918+PARAM!$B$56)/12,Loyalty,2)*$F$1*MAX(BB917,0)</f>
        <v>18.557001321003963</v>
      </c>
      <c r="BA918" s="75">
        <f>PARAM!$C$26+MAX($G$15-CHOOSE(PARAM!$B$44,MAX(0,BB917*$F$1),0),0)*RATES!$L894/12+$H$15*(PARAM!$D$51/12)*RATES!$N894/100</f>
        <v>1190.0416666666667</v>
      </c>
      <c r="BB918" s="16">
        <f t="shared" si="597"/>
        <v>-260132.70318053439</v>
      </c>
      <c r="BC918" s="15">
        <f t="shared" si="572"/>
        <v>22.170849845882874</v>
      </c>
      <c r="BD918" s="75">
        <f>BC918*(1-PARAM!$C$27)*$I$16+(MOD($B918,60)=PARAM!$B$56)*($B918&gt;(60-PARAM!$B$56))*HLOOKUP(($B918+PARAM!$B$56)/12,Loyalty,2)*$F$1*MAX(BF917,0)</f>
        <v>18.557001321003963</v>
      </c>
      <c r="BE918" s="75">
        <f>PARAM!$C$26+MAX($G$16-CHOOSE(PARAM!$B$44,MAX(0,BF917*$F$1),0),0)*RATES!$L894/12+$H$16*(PARAM!$D$51/12)*RATES!$N894/100</f>
        <v>1190.0416666666667</v>
      </c>
      <c r="BF918" s="16">
        <f t="shared" si="598"/>
        <v>-260132.70318053439</v>
      </c>
      <c r="BG918" s="15">
        <f t="shared" si="573"/>
        <v>22.170849845882874</v>
      </c>
      <c r="BH918" s="75">
        <f>BG918*(1-PARAM!$C$27)*$I$17+(MOD($B918,60)=PARAM!$B$56)*($B918&gt;(60-PARAM!$B$56))*HLOOKUP(($B918+PARAM!$B$56)/12,Loyalty,2)*$F$1*MAX(BJ917,0)</f>
        <v>18.557001321003963</v>
      </c>
      <c r="BI918" s="75">
        <f>PARAM!$C$26+MAX($G$17-CHOOSE(PARAM!$B$44,MAX(0,BJ917*$F$1),0),0)*RATES!$L894/12+$H$17*(PARAM!$D$51/12)*RATES!$N894/100</f>
        <v>1190.0416666666667</v>
      </c>
      <c r="BJ918" s="16">
        <f t="shared" si="599"/>
        <v>-260132.70318053439</v>
      </c>
      <c r="BK918" s="15">
        <f t="shared" si="574"/>
        <v>22.170849845882874</v>
      </c>
      <c r="BL918" s="75">
        <f>BK918*(1-PARAM!$C$27)*$I$18+(MOD($B918,60)=PARAM!$B$56)*($B918&gt;(60-PARAM!$B$56))*HLOOKUP(($B918+PARAM!$B$56)/12,Loyalty,2)*$F$1*MAX(BN917,0)</f>
        <v>18.557001321003963</v>
      </c>
      <c r="BM918" s="75">
        <f>PARAM!$C$26+MAX($G$18-CHOOSE(PARAM!$B$44,MAX(0,BN917*$F$1),0),0)*RATES!$L894/12+$H$18*(PARAM!$D$51/12)*RATES!$N894/100</f>
        <v>1190.0416666666667</v>
      </c>
      <c r="BN918" s="16">
        <f t="shared" si="600"/>
        <v>-260132.70318053439</v>
      </c>
      <c r="BO918" s="15">
        <f t="shared" si="575"/>
        <v>22.170849845882874</v>
      </c>
      <c r="BP918" s="75">
        <f>BO918*(1-PARAM!$C$27)*$I$19+(MOD($B918,60)=PARAM!$B$56)*($B918&gt;(60-PARAM!$B$56))*HLOOKUP(($B918+PARAM!$B$56)/12,Loyalty,2)*$F$1*MAX(BR917,0)</f>
        <v>18.557001321003963</v>
      </c>
      <c r="BQ918" s="75">
        <f>PARAM!$C$26+MAX($G$19-CHOOSE(PARAM!$B$44,MAX(0,BR917*$F$1),0),0)*RATES!$L894/12+$H$19*(PARAM!$D$51/12)*RATES!$N894/100</f>
        <v>1190.0416666666667</v>
      </c>
      <c r="BR918" s="16">
        <f t="shared" si="601"/>
        <v>-260132.70318053439</v>
      </c>
      <c r="BS918" s="15">
        <f t="shared" si="576"/>
        <v>22.170849845882874</v>
      </c>
      <c r="BT918" s="75">
        <f>BS918*(1-PARAM!$C$27)*$I$20+(MOD($B918,60)=PARAM!$B$56)*($B918&gt;(60-PARAM!$B$56))*HLOOKUP(($B918+PARAM!$B$56)/12,Loyalty,2)*$F$1*MAX(BV917,0)</f>
        <v>18.557001321003963</v>
      </c>
      <c r="BU918" s="75">
        <f>PARAM!$C$26+MAX($G$20-CHOOSE(PARAM!$B$44,MAX(0,BV917*$F$1),0),0)*RATES!$L894/12+$H$20*(PARAM!$D$51/12)*RATES!$N894/100</f>
        <v>1190.0416666666667</v>
      </c>
      <c r="BV918" s="16">
        <f t="shared" si="602"/>
        <v>-260132.70318053439</v>
      </c>
      <c r="BW918" s="15">
        <f t="shared" si="577"/>
        <v>22.170849845882874</v>
      </c>
      <c r="BX918" s="75">
        <f>BW918*(1-PARAM!$C$27)*$I$21+(MOD($B918,60)=PARAM!$B$56)*($B918&gt;(60-PARAM!$B$56))*HLOOKUP(($B918+PARAM!$B$56)/12,Loyalty,2)*$F$1*MAX(BZ917,0)</f>
        <v>18.557001321003963</v>
      </c>
      <c r="BY918" s="75">
        <f>PARAM!$C$26+MAX($G$21-CHOOSE(PARAM!$B$44,MAX(0,BZ917*$F$1),0),0)*RATES!$L894/12+$H$21*(PARAM!$D$51/12)*RATES!$N894/100</f>
        <v>1190.0416666666667</v>
      </c>
      <c r="BZ918" s="16">
        <f t="shared" si="603"/>
        <v>-260132.70318053439</v>
      </c>
      <c r="CA918" s="15">
        <f t="shared" si="578"/>
        <v>22.170849845882874</v>
      </c>
      <c r="CB918" s="75">
        <f>CA918*(1-PARAM!$C$27)*$I$22+(MOD($B918,60)=PARAM!$B$56)*($B918&gt;(60-PARAM!$B$56))*HLOOKUP(($B918+PARAM!$B$56)/12,Loyalty,2)*$F$1*MAX(CD917,0)</f>
        <v>18.557001321003963</v>
      </c>
      <c r="CC918" s="75">
        <f>PARAM!$C$26+MAX($G$22-CHOOSE(PARAM!$B$44,MAX(0,CD917*$F$1),0),0)*RATES!$L894/12+$H$22*(PARAM!$D$51/12)*RATES!$N894/100</f>
        <v>1190.0416666666667</v>
      </c>
      <c r="CD918" s="16">
        <f t="shared" si="604"/>
        <v>-260132.70318053439</v>
      </c>
      <c r="CE918" s="33">
        <f>IF(0=MOD(B918,12/PARAM!$D$51),1,0)</f>
        <v>1</v>
      </c>
      <c r="CF918" s="15">
        <f t="shared" si="579"/>
        <v>0</v>
      </c>
      <c r="CG918" s="75">
        <f>CF918*(1-PARAM!$C$27)*$R$3+(MOD($B918/12,5)=0)*($B918&gt;60)*HLOOKUP($B918/12,Loyalty,2)*$F$1*MAX(CI917,0)</f>
        <v>0</v>
      </c>
      <c r="CH918" s="75">
        <f>PARAM!$C$26+MAX($P$3-CHOOSE(PARAM!$B$44,MAX(0,CI917*$F$1),0),0)*RATES!$L894/12+$Q$3*(PARAM!$D$51/12)*RATES!$N894/100</f>
        <v>1190.0416666666667</v>
      </c>
      <c r="CI918" s="16">
        <f>IF(CI917&gt;0,CI917*PARAM!$C$53,CI917)+CG918-CH918</f>
        <v>-276547.41666666651</v>
      </c>
      <c r="CJ918" s="15">
        <f t="shared" si="605"/>
        <v>0</v>
      </c>
      <c r="CK918" s="75">
        <f>CJ918*(1-PARAM!$C$27)*$R$4+(MOD($B918/12,5)=0)*($B918&gt;60)*HLOOKUP($B918/12,Loyalty,2)*$F$1*MAX(CM917,0)</f>
        <v>0</v>
      </c>
      <c r="CL918" s="75">
        <f>PARAM!$C$26+MAX($P$4-CHOOSE(PARAM!$B$44,MAX(0,CM917*$F$1),0),0)*RATES!$L894/12+$Q$4*(PARAM!$D$51/12)*RATES!$N894/100</f>
        <v>1190.0416666666667</v>
      </c>
      <c r="CM918" s="16">
        <f>IF(CM917&gt;0,CM917*PARAM!$C$53,CM917)+CK918-CL918</f>
        <v>-276547.41666666651</v>
      </c>
      <c r="CO918" s="176"/>
    </row>
    <row r="919" spans="1:93" x14ac:dyDescent="0.2">
      <c r="A919" t="b">
        <f t="shared" si="580"/>
        <v>0</v>
      </c>
      <c r="B919" s="33">
        <v>892</v>
      </c>
      <c r="C919" s="15">
        <f t="shared" si="581"/>
        <v>20.081305947392778</v>
      </c>
      <c r="D919" s="75">
        <f>C919*(1-PARAM!$C$27)*$I$3+(MOD($B919,60)=PARAM!$B$56)*($B919&gt;(60-PARAM!$B$56))*HLOOKUP(($B919+PARAM!$B$56)/12,Loyalty,2)*$F$1*MAX(F918,0)</f>
        <v>16.808053077967756</v>
      </c>
      <c r="E919" s="75">
        <f>PARAM!$C$26+MAX($G$3-CHOOSE(PARAM!$B$44,MAX(0,F918*$F$1),0),0)*RATES!$L895/12+$H$3*(PARAM!$D$51/12)*RATES!$N895/100</f>
        <v>1190.0416666666667</v>
      </c>
      <c r="F919" s="16">
        <f t="shared" si="582"/>
        <v>-262901.1001791904</v>
      </c>
      <c r="G919" s="15">
        <f t="shared" si="583"/>
        <v>22.035289406060361</v>
      </c>
      <c r="H919" s="75">
        <f>G919*(1-PARAM!$C$27)*$I$4+(MOD($B919,60)=PARAM!$B$56)*($B919&gt;(60-PARAM!$B$56))*HLOOKUP(($B919+PARAM!$B$56)/12,Loyalty,2)*$F$1*MAX(J918,0)</f>
        <v>18.443537232872522</v>
      </c>
      <c r="I919" s="75">
        <f>PARAM!$C$26+MAX($G$4-CHOOSE(PARAM!$B$44,MAX(0,J918*$F$1),0),0)*RATES!$L895/12+$H$4*(PARAM!$D$51/12)*RATES!$N895/100</f>
        <v>1190.0416666666667</v>
      </c>
      <c r="J919" s="16">
        <f t="shared" si="584"/>
        <v>-261408.41534889204</v>
      </c>
      <c r="K919" s="15">
        <f t="shared" si="585"/>
        <v>22.170849845882874</v>
      </c>
      <c r="L919" s="75">
        <f>K919*(1-PARAM!$C$27)*$I$5+(MOD($B919,60)=PARAM!$B$56)*($B919&gt;(60-PARAM!$B$56))*HLOOKUP(($B919+PARAM!$B$56)/12,Loyalty,2)*$F$1*MAX(N918,0)</f>
        <v>18.557001321003963</v>
      </c>
      <c r="M919" s="75">
        <f>PARAM!$C$26+MAX($G$5-CHOOSE(PARAM!$B$44,MAX(0,N918*$F$1),0),0)*RATES!$L895/12+$H$5*(PARAM!$D$51/12)*RATES!$N895/100</f>
        <v>1190.0416666666667</v>
      </c>
      <c r="N919" s="16">
        <f t="shared" si="586"/>
        <v>-261304.18784588005</v>
      </c>
      <c r="O919" s="15">
        <f t="shared" si="587"/>
        <v>22.170849845882874</v>
      </c>
      <c r="P919" s="75">
        <f>O919*(1-PARAM!$C$27)*$I$6+(MOD($B919,60)=PARAM!$B$56)*($B919&gt;(60-PARAM!$B$56))*HLOOKUP(($B919+PARAM!$B$56)/12,Loyalty,2)*$F$1*MAX(R918,0)</f>
        <v>18.557001321003963</v>
      </c>
      <c r="Q919" s="75">
        <f>PARAM!$C$26+MAX($G$6-CHOOSE(PARAM!$B$44,MAX(0,R918*$F$1),0),0)*RATES!$L895/12+$H$6*(PARAM!$D$51/12)*RATES!$N895/100</f>
        <v>1190.0416666666667</v>
      </c>
      <c r="R919" s="16">
        <f t="shared" si="588"/>
        <v>-261304.18784588005</v>
      </c>
      <c r="S919" s="15">
        <f t="shared" si="563"/>
        <v>22.170849845882874</v>
      </c>
      <c r="T919" s="75">
        <f>S919*(1-PARAM!$C$27)*$I$7+(MOD($B919,60)=PARAM!$B$56)*($B919&gt;(60-PARAM!$B$56))*HLOOKUP(($B919+PARAM!$B$56)/12,Loyalty,2)*$F$1*MAX(V918,0)</f>
        <v>18.557001321003963</v>
      </c>
      <c r="U919" s="75">
        <f>PARAM!$C$26+MAX($G$7-CHOOSE(PARAM!$B$44,MAX(0,V918*$F$1),0),0)*RATES!$L895/12+$H$7*(PARAM!$D$51/12)*RATES!$N895/100</f>
        <v>1190.0416666666667</v>
      </c>
      <c r="V919" s="16">
        <f t="shared" si="589"/>
        <v>-261304.18784588005</v>
      </c>
      <c r="W919" s="15">
        <f t="shared" si="564"/>
        <v>22.170849845882874</v>
      </c>
      <c r="X919" s="75">
        <f>W919*(1-PARAM!$C$27)*$I$8+(MOD($B919,60)=PARAM!$B$56)*($B919&gt;(60-PARAM!$B$56))*HLOOKUP(($B919+PARAM!$B$56)/12,Loyalty,2)*$F$1*MAX(Z918,0)</f>
        <v>18.557001321003963</v>
      </c>
      <c r="Y919" s="75">
        <f>PARAM!$C$26+MAX($G$8-CHOOSE(PARAM!$B$44,MAX(0,Z918*$F$1),0),0)*RATES!$L895/12+$H$8*(PARAM!$D$51/12)*RATES!$N895/100</f>
        <v>1190.0416666666667</v>
      </c>
      <c r="Z919" s="16">
        <f t="shared" si="590"/>
        <v>-261304.18784588005</v>
      </c>
      <c r="AA919" s="15">
        <f t="shared" si="565"/>
        <v>22.170849845882874</v>
      </c>
      <c r="AB919" s="75">
        <f>AA919*(1-PARAM!$C$27)*$I$9+(MOD($B919,60)=PARAM!$B$56)*($B919&gt;(60-PARAM!$B$56))*HLOOKUP(($B919+PARAM!$B$56)/12,Loyalty,2)*$F$1*MAX(AD918,0)</f>
        <v>18.557001321003963</v>
      </c>
      <c r="AC919" s="75">
        <f>PARAM!$C$26+MAX($G$9-CHOOSE(PARAM!$B$44,MAX(0,AD918*$F$1),0),0)*RATES!$L895/12+$H$9*(PARAM!$D$51/12)*RATES!$N895/100</f>
        <v>1190.0416666666667</v>
      </c>
      <c r="AD919" s="16">
        <f t="shared" si="591"/>
        <v>-261304.18784588005</v>
      </c>
      <c r="AE919" s="15">
        <f t="shared" si="566"/>
        <v>22.170849845882874</v>
      </c>
      <c r="AF919" s="75">
        <f>AE919*(1-PARAM!$C$27)*$I$10+(MOD($B919,60)=PARAM!$B$56)*($B919&gt;(60-PARAM!$B$56))*HLOOKUP(($B919+PARAM!$B$56)/12,Loyalty,2)*$F$1*MAX(AH918,0)</f>
        <v>18.557001321003963</v>
      </c>
      <c r="AG919" s="75">
        <f>PARAM!$C$26+MAX($G$10-CHOOSE(PARAM!$B$44,MAX(0,AH918*$F$1),0),0)*RATES!$L895/12+$H$10*(PARAM!$D$51/12)*RATES!$N895/100</f>
        <v>1190.0416666666667</v>
      </c>
      <c r="AH919" s="16">
        <f t="shared" si="592"/>
        <v>-261304.18784588005</v>
      </c>
      <c r="AI919" s="15">
        <f t="shared" si="567"/>
        <v>22.170849845882874</v>
      </c>
      <c r="AJ919" s="75">
        <f>AI919*(1-PARAM!$C$27)*$I$11+(MOD($B919,60)=PARAM!$B$56)*($B919&gt;(60-PARAM!$B$56))*HLOOKUP(($B919+PARAM!$B$56)/12,Loyalty,2)*$F$1*MAX(AL918,0)</f>
        <v>18.557001321003963</v>
      </c>
      <c r="AK919" s="75">
        <f>PARAM!$C$26+MAX($G$11-CHOOSE(PARAM!$B$44,MAX(0,AL918*$F$1),0),0)*RATES!$L895/12+$H$11*(PARAM!$D$51/12)*RATES!$N895/100</f>
        <v>1190.0416666666667</v>
      </c>
      <c r="AL919" s="16">
        <f t="shared" si="593"/>
        <v>-261304.18784588005</v>
      </c>
      <c r="AM919" s="15">
        <f t="shared" si="568"/>
        <v>22.170849845882874</v>
      </c>
      <c r="AN919" s="75">
        <f>AM919*(1-PARAM!$C$27)*$I$12+(MOD($B919,60)=PARAM!$B$56)*($B919&gt;(60-PARAM!$B$56))*HLOOKUP(($B919+PARAM!$B$56)/12,Loyalty,2)*$F$1*MAX(AP918,0)</f>
        <v>18.557001321003963</v>
      </c>
      <c r="AO919" s="75">
        <f>PARAM!$C$26+MAX($G$12-CHOOSE(PARAM!$B$44,MAX(0,AP918*$F$1),0),0)*RATES!$L895/12+$H$12*(PARAM!$D$51/12)*RATES!$N895/100</f>
        <v>1190.0416666666667</v>
      </c>
      <c r="AP919" s="16">
        <f t="shared" si="594"/>
        <v>-261304.18784588005</v>
      </c>
      <c r="AQ919" s="15">
        <f t="shared" si="569"/>
        <v>22.170849845882874</v>
      </c>
      <c r="AR919" s="75">
        <f>AQ919*(1-PARAM!$C$27)*$I$13+(MOD($B919,60)=PARAM!$B$56)*($B919&gt;(60-PARAM!$B$56))*HLOOKUP(($B919+PARAM!$B$56)/12,Loyalty,2)*$F$1*MAX(AT918,0)</f>
        <v>18.557001321003963</v>
      </c>
      <c r="AS919" s="75">
        <f>PARAM!$C$26+MAX($G$13-CHOOSE(PARAM!$B$44,MAX(0,AT918*$F$1),0),0)*RATES!$L895/12+$H$13*(PARAM!$D$51/12)*RATES!$N895/100</f>
        <v>1190.0416666666667</v>
      </c>
      <c r="AT919" s="16">
        <f t="shared" si="595"/>
        <v>-261304.18784588005</v>
      </c>
      <c r="AU919" s="15">
        <f t="shared" si="570"/>
        <v>22.170849845882874</v>
      </c>
      <c r="AV919" s="75">
        <f>AU919*(1-PARAM!$C$27)*$I$14+(MOD($B919,60)=PARAM!$B$56)*($B919&gt;(60-PARAM!$B$56))*HLOOKUP(($B919+PARAM!$B$56)/12,Loyalty,2)*$F$1*MAX(AX918,0)</f>
        <v>18.557001321003963</v>
      </c>
      <c r="AW919" s="75">
        <f>PARAM!$C$26+MAX($G$14-CHOOSE(PARAM!$B$44,MAX(0,AX918*$F$1),0),0)*RATES!$L895/12+$H$14*(PARAM!$D$51/12)*RATES!$N895/100</f>
        <v>1190.0416666666667</v>
      </c>
      <c r="AX919" s="16">
        <f t="shared" si="596"/>
        <v>-261304.18784588005</v>
      </c>
      <c r="AY919" s="15">
        <f t="shared" si="571"/>
        <v>22.170849845882874</v>
      </c>
      <c r="AZ919" s="75">
        <f>AY919*(1-PARAM!$C$27)*$I$15+(MOD($B919,60)=PARAM!$B$56)*($B919&gt;(60-PARAM!$B$56))*HLOOKUP(($B919+PARAM!$B$56)/12,Loyalty,2)*$F$1*MAX(BB918,0)</f>
        <v>18.557001321003963</v>
      </c>
      <c r="BA919" s="75">
        <f>PARAM!$C$26+MAX($G$15-CHOOSE(PARAM!$B$44,MAX(0,BB918*$F$1),0),0)*RATES!$L895/12+$H$15*(PARAM!$D$51/12)*RATES!$N895/100</f>
        <v>1190.0416666666667</v>
      </c>
      <c r="BB919" s="16">
        <f t="shared" si="597"/>
        <v>-261304.18784588005</v>
      </c>
      <c r="BC919" s="15">
        <f t="shared" si="572"/>
        <v>22.170849845882874</v>
      </c>
      <c r="BD919" s="75">
        <f>BC919*(1-PARAM!$C$27)*$I$16+(MOD($B919,60)=PARAM!$B$56)*($B919&gt;(60-PARAM!$B$56))*HLOOKUP(($B919+PARAM!$B$56)/12,Loyalty,2)*$F$1*MAX(BF918,0)</f>
        <v>18.557001321003963</v>
      </c>
      <c r="BE919" s="75">
        <f>PARAM!$C$26+MAX($G$16-CHOOSE(PARAM!$B$44,MAX(0,BF918*$F$1),0),0)*RATES!$L895/12+$H$16*(PARAM!$D$51/12)*RATES!$N895/100</f>
        <v>1190.0416666666667</v>
      </c>
      <c r="BF919" s="16">
        <f t="shared" si="598"/>
        <v>-261304.18784588005</v>
      </c>
      <c r="BG919" s="15">
        <f t="shared" si="573"/>
        <v>22.170849845882874</v>
      </c>
      <c r="BH919" s="75">
        <f>BG919*(1-PARAM!$C$27)*$I$17+(MOD($B919,60)=PARAM!$B$56)*($B919&gt;(60-PARAM!$B$56))*HLOOKUP(($B919+PARAM!$B$56)/12,Loyalty,2)*$F$1*MAX(BJ918,0)</f>
        <v>18.557001321003963</v>
      </c>
      <c r="BI919" s="75">
        <f>PARAM!$C$26+MAX($G$17-CHOOSE(PARAM!$B$44,MAX(0,BJ918*$F$1),0),0)*RATES!$L895/12+$H$17*(PARAM!$D$51/12)*RATES!$N895/100</f>
        <v>1190.0416666666667</v>
      </c>
      <c r="BJ919" s="16">
        <f t="shared" si="599"/>
        <v>-261304.18784588005</v>
      </c>
      <c r="BK919" s="15">
        <f t="shared" si="574"/>
        <v>22.170849845882874</v>
      </c>
      <c r="BL919" s="75">
        <f>BK919*(1-PARAM!$C$27)*$I$18+(MOD($B919,60)=PARAM!$B$56)*($B919&gt;(60-PARAM!$B$56))*HLOOKUP(($B919+PARAM!$B$56)/12,Loyalty,2)*$F$1*MAX(BN918,0)</f>
        <v>18.557001321003963</v>
      </c>
      <c r="BM919" s="75">
        <f>PARAM!$C$26+MAX($G$18-CHOOSE(PARAM!$B$44,MAX(0,BN918*$F$1),0),0)*RATES!$L895/12+$H$18*(PARAM!$D$51/12)*RATES!$N895/100</f>
        <v>1190.0416666666667</v>
      </c>
      <c r="BN919" s="16">
        <f t="shared" si="600"/>
        <v>-261304.18784588005</v>
      </c>
      <c r="BO919" s="15">
        <f t="shared" si="575"/>
        <v>22.170849845882874</v>
      </c>
      <c r="BP919" s="75">
        <f>BO919*(1-PARAM!$C$27)*$I$19+(MOD($B919,60)=PARAM!$B$56)*($B919&gt;(60-PARAM!$B$56))*HLOOKUP(($B919+PARAM!$B$56)/12,Loyalty,2)*$F$1*MAX(BR918,0)</f>
        <v>18.557001321003963</v>
      </c>
      <c r="BQ919" s="75">
        <f>PARAM!$C$26+MAX($G$19-CHOOSE(PARAM!$B$44,MAX(0,BR918*$F$1),0),0)*RATES!$L895/12+$H$19*(PARAM!$D$51/12)*RATES!$N895/100</f>
        <v>1190.0416666666667</v>
      </c>
      <c r="BR919" s="16">
        <f t="shared" si="601"/>
        <v>-261304.18784588005</v>
      </c>
      <c r="BS919" s="15">
        <f t="shared" si="576"/>
        <v>22.170849845882874</v>
      </c>
      <c r="BT919" s="75">
        <f>BS919*(1-PARAM!$C$27)*$I$20+(MOD($B919,60)=PARAM!$B$56)*($B919&gt;(60-PARAM!$B$56))*HLOOKUP(($B919+PARAM!$B$56)/12,Loyalty,2)*$F$1*MAX(BV918,0)</f>
        <v>18.557001321003963</v>
      </c>
      <c r="BU919" s="75">
        <f>PARAM!$C$26+MAX($G$20-CHOOSE(PARAM!$B$44,MAX(0,BV918*$F$1),0),0)*RATES!$L895/12+$H$20*(PARAM!$D$51/12)*RATES!$N895/100</f>
        <v>1190.0416666666667</v>
      </c>
      <c r="BV919" s="16">
        <f t="shared" si="602"/>
        <v>-261304.18784588005</v>
      </c>
      <c r="BW919" s="15">
        <f t="shared" si="577"/>
        <v>22.170849845882874</v>
      </c>
      <c r="BX919" s="75">
        <f>BW919*(1-PARAM!$C$27)*$I$21+(MOD($B919,60)=PARAM!$B$56)*($B919&gt;(60-PARAM!$B$56))*HLOOKUP(($B919+PARAM!$B$56)/12,Loyalty,2)*$F$1*MAX(BZ918,0)</f>
        <v>18.557001321003963</v>
      </c>
      <c r="BY919" s="75">
        <f>PARAM!$C$26+MAX($G$21-CHOOSE(PARAM!$B$44,MAX(0,BZ918*$F$1),0),0)*RATES!$L895/12+$H$21*(PARAM!$D$51/12)*RATES!$N895/100</f>
        <v>1190.0416666666667</v>
      </c>
      <c r="BZ919" s="16">
        <f t="shared" si="603"/>
        <v>-261304.18784588005</v>
      </c>
      <c r="CA919" s="15">
        <f t="shared" si="578"/>
        <v>22.170849845882874</v>
      </c>
      <c r="CB919" s="75">
        <f>CA919*(1-PARAM!$C$27)*$I$22+(MOD($B919,60)=PARAM!$B$56)*($B919&gt;(60-PARAM!$B$56))*HLOOKUP(($B919+PARAM!$B$56)/12,Loyalty,2)*$F$1*MAX(CD918,0)</f>
        <v>18.557001321003963</v>
      </c>
      <c r="CC919" s="75">
        <f>PARAM!$C$26+MAX($G$22-CHOOSE(PARAM!$B$44,MAX(0,CD918*$F$1),0),0)*RATES!$L895/12+$H$22*(PARAM!$D$51/12)*RATES!$N895/100</f>
        <v>1190.0416666666667</v>
      </c>
      <c r="CD919" s="16">
        <f t="shared" si="604"/>
        <v>-261304.18784588005</v>
      </c>
      <c r="CE919" s="33">
        <f>IF(0=MOD(B919,12/PARAM!$D$51),1,0)</f>
        <v>1</v>
      </c>
      <c r="CF919" s="15">
        <f t="shared" si="579"/>
        <v>0</v>
      </c>
      <c r="CG919" s="75">
        <f>CF919*(1-PARAM!$C$27)*$R$3+(MOD($B919/12,5)=0)*($B919&gt;60)*HLOOKUP($B919/12,Loyalty,2)*$F$1*MAX(CI918,0)</f>
        <v>0</v>
      </c>
      <c r="CH919" s="75">
        <f>PARAM!$C$26+MAX($P$3-CHOOSE(PARAM!$B$44,MAX(0,CI918*$F$1),0),0)*RATES!$L895/12+$Q$3*(PARAM!$D$51/12)*RATES!$N895/100</f>
        <v>1190.0416666666667</v>
      </c>
      <c r="CI919" s="16">
        <f>IF(CI918&gt;0,CI918*PARAM!$C$53,CI918)+CG919-CH919</f>
        <v>-277737.4583333332</v>
      </c>
      <c r="CJ919" s="15">
        <f t="shared" si="605"/>
        <v>0</v>
      </c>
      <c r="CK919" s="75">
        <f>CJ919*(1-PARAM!$C$27)*$R$4+(MOD($B919/12,5)=0)*($B919&gt;60)*HLOOKUP($B919/12,Loyalty,2)*$F$1*MAX(CM918,0)</f>
        <v>0</v>
      </c>
      <c r="CL919" s="75">
        <f>PARAM!$C$26+MAX($P$4-CHOOSE(PARAM!$B$44,MAX(0,CM918*$F$1),0),0)*RATES!$L895/12+$Q$4*(PARAM!$D$51/12)*RATES!$N895/100</f>
        <v>1190.0416666666667</v>
      </c>
      <c r="CM919" s="16">
        <f>IF(CM918&gt;0,CM918*PARAM!$C$53,CM918)+CK919-CL919</f>
        <v>-277737.4583333332</v>
      </c>
      <c r="CO919" s="176"/>
    </row>
    <row r="920" spans="1:93" x14ac:dyDescent="0.2">
      <c r="A920" t="b">
        <f t="shared" si="580"/>
        <v>0</v>
      </c>
      <c r="B920" s="33">
        <v>893</v>
      </c>
      <c r="C920" s="15">
        <f t="shared" si="581"/>
        <v>20.081305947392778</v>
      </c>
      <c r="D920" s="75">
        <f>C920*(1-PARAM!$C$27)*$I$3+(MOD($B920,60)=PARAM!$B$56)*($B920&gt;(60-PARAM!$B$56))*HLOOKUP(($B920+PARAM!$B$56)/12,Loyalty,2)*$F$1*MAX(F919,0)</f>
        <v>16.808053077967756</v>
      </c>
      <c r="E920" s="75">
        <f>PARAM!$C$26+MAX($G$3-CHOOSE(PARAM!$B$44,MAX(0,F919*$F$1),0),0)*RATES!$L896/12+$H$3*(PARAM!$D$51/12)*RATES!$N896/100</f>
        <v>1190.0416666666667</v>
      </c>
      <c r="F920" s="16">
        <f t="shared" si="582"/>
        <v>-264074.33379277913</v>
      </c>
      <c r="G920" s="15">
        <f t="shared" si="583"/>
        <v>22.035289406060361</v>
      </c>
      <c r="H920" s="75">
        <f>G920*(1-PARAM!$C$27)*$I$4+(MOD($B920,60)=PARAM!$B$56)*($B920&gt;(60-PARAM!$B$56))*HLOOKUP(($B920+PARAM!$B$56)/12,Loyalty,2)*$F$1*MAX(J919,0)</f>
        <v>18.443537232872522</v>
      </c>
      <c r="I920" s="75">
        <f>PARAM!$C$26+MAX($G$4-CHOOSE(PARAM!$B$44,MAX(0,J919*$F$1),0),0)*RATES!$L896/12+$H$4*(PARAM!$D$51/12)*RATES!$N896/100</f>
        <v>1190.0416666666667</v>
      </c>
      <c r="J920" s="16">
        <f t="shared" si="584"/>
        <v>-262580.01347832585</v>
      </c>
      <c r="K920" s="15">
        <f t="shared" si="585"/>
        <v>22.170849845882874</v>
      </c>
      <c r="L920" s="75">
        <f>K920*(1-PARAM!$C$27)*$I$5+(MOD($B920,60)=PARAM!$B$56)*($B920&gt;(60-PARAM!$B$56))*HLOOKUP(($B920+PARAM!$B$56)/12,Loyalty,2)*$F$1*MAX(N919,0)</f>
        <v>18.557001321003963</v>
      </c>
      <c r="M920" s="75">
        <f>PARAM!$C$26+MAX($G$5-CHOOSE(PARAM!$B$44,MAX(0,N919*$F$1),0),0)*RATES!$L896/12+$H$5*(PARAM!$D$51/12)*RATES!$N896/100</f>
        <v>1190.0416666666667</v>
      </c>
      <c r="N920" s="16">
        <f t="shared" si="586"/>
        <v>-262475.67251122574</v>
      </c>
      <c r="O920" s="15">
        <f t="shared" si="587"/>
        <v>22.170849845882874</v>
      </c>
      <c r="P920" s="75">
        <f>O920*(1-PARAM!$C$27)*$I$6+(MOD($B920,60)=PARAM!$B$56)*($B920&gt;(60-PARAM!$B$56))*HLOOKUP(($B920+PARAM!$B$56)/12,Loyalty,2)*$F$1*MAX(R919,0)</f>
        <v>18.557001321003963</v>
      </c>
      <c r="Q920" s="75">
        <f>PARAM!$C$26+MAX($G$6-CHOOSE(PARAM!$B$44,MAX(0,R919*$F$1),0),0)*RATES!$L896/12+$H$6*(PARAM!$D$51/12)*RATES!$N896/100</f>
        <v>1190.0416666666667</v>
      </c>
      <c r="R920" s="16">
        <f t="shared" si="588"/>
        <v>-262475.67251122574</v>
      </c>
      <c r="S920" s="15">
        <f t="shared" si="563"/>
        <v>22.170849845882874</v>
      </c>
      <c r="T920" s="75">
        <f>S920*(1-PARAM!$C$27)*$I$7+(MOD($B920,60)=PARAM!$B$56)*($B920&gt;(60-PARAM!$B$56))*HLOOKUP(($B920+PARAM!$B$56)/12,Loyalty,2)*$F$1*MAX(V919,0)</f>
        <v>18.557001321003963</v>
      </c>
      <c r="U920" s="75">
        <f>PARAM!$C$26+MAX($G$7-CHOOSE(PARAM!$B$44,MAX(0,V919*$F$1),0),0)*RATES!$L896/12+$H$7*(PARAM!$D$51/12)*RATES!$N896/100</f>
        <v>1190.0416666666667</v>
      </c>
      <c r="V920" s="16">
        <f t="shared" si="589"/>
        <v>-262475.67251122574</v>
      </c>
      <c r="W920" s="15">
        <f t="shared" si="564"/>
        <v>22.170849845882874</v>
      </c>
      <c r="X920" s="75">
        <f>W920*(1-PARAM!$C$27)*$I$8+(MOD($B920,60)=PARAM!$B$56)*($B920&gt;(60-PARAM!$B$56))*HLOOKUP(($B920+PARAM!$B$56)/12,Loyalty,2)*$F$1*MAX(Z919,0)</f>
        <v>18.557001321003963</v>
      </c>
      <c r="Y920" s="75">
        <f>PARAM!$C$26+MAX($G$8-CHOOSE(PARAM!$B$44,MAX(0,Z919*$F$1),0),0)*RATES!$L896/12+$H$8*(PARAM!$D$51/12)*RATES!$N896/100</f>
        <v>1190.0416666666667</v>
      </c>
      <c r="Z920" s="16">
        <f t="shared" si="590"/>
        <v>-262475.67251122574</v>
      </c>
      <c r="AA920" s="15">
        <f t="shared" si="565"/>
        <v>22.170849845882874</v>
      </c>
      <c r="AB920" s="75">
        <f>AA920*(1-PARAM!$C$27)*$I$9+(MOD($B920,60)=PARAM!$B$56)*($B920&gt;(60-PARAM!$B$56))*HLOOKUP(($B920+PARAM!$B$56)/12,Loyalty,2)*$F$1*MAX(AD919,0)</f>
        <v>18.557001321003963</v>
      </c>
      <c r="AC920" s="75">
        <f>PARAM!$C$26+MAX($G$9-CHOOSE(PARAM!$B$44,MAX(0,AD919*$F$1),0),0)*RATES!$L896/12+$H$9*(PARAM!$D$51/12)*RATES!$N896/100</f>
        <v>1190.0416666666667</v>
      </c>
      <c r="AD920" s="16">
        <f t="shared" si="591"/>
        <v>-262475.67251122574</v>
      </c>
      <c r="AE920" s="15">
        <f t="shared" si="566"/>
        <v>22.170849845882874</v>
      </c>
      <c r="AF920" s="75">
        <f>AE920*(1-PARAM!$C$27)*$I$10+(MOD($B920,60)=PARAM!$B$56)*($B920&gt;(60-PARAM!$B$56))*HLOOKUP(($B920+PARAM!$B$56)/12,Loyalty,2)*$F$1*MAX(AH919,0)</f>
        <v>18.557001321003963</v>
      </c>
      <c r="AG920" s="75">
        <f>PARAM!$C$26+MAX($G$10-CHOOSE(PARAM!$B$44,MAX(0,AH919*$F$1),0),0)*RATES!$L896/12+$H$10*(PARAM!$D$51/12)*RATES!$N896/100</f>
        <v>1190.0416666666667</v>
      </c>
      <c r="AH920" s="16">
        <f t="shared" si="592"/>
        <v>-262475.67251122574</v>
      </c>
      <c r="AI920" s="15">
        <f t="shared" si="567"/>
        <v>22.170849845882874</v>
      </c>
      <c r="AJ920" s="75">
        <f>AI920*(1-PARAM!$C$27)*$I$11+(MOD($B920,60)=PARAM!$B$56)*($B920&gt;(60-PARAM!$B$56))*HLOOKUP(($B920+PARAM!$B$56)/12,Loyalty,2)*$F$1*MAX(AL919,0)</f>
        <v>18.557001321003963</v>
      </c>
      <c r="AK920" s="75">
        <f>PARAM!$C$26+MAX($G$11-CHOOSE(PARAM!$B$44,MAX(0,AL919*$F$1),0),0)*RATES!$L896/12+$H$11*(PARAM!$D$51/12)*RATES!$N896/100</f>
        <v>1190.0416666666667</v>
      </c>
      <c r="AL920" s="16">
        <f t="shared" si="593"/>
        <v>-262475.67251122574</v>
      </c>
      <c r="AM920" s="15">
        <f t="shared" si="568"/>
        <v>22.170849845882874</v>
      </c>
      <c r="AN920" s="75">
        <f>AM920*(1-PARAM!$C$27)*$I$12+(MOD($B920,60)=PARAM!$B$56)*($B920&gt;(60-PARAM!$B$56))*HLOOKUP(($B920+PARAM!$B$56)/12,Loyalty,2)*$F$1*MAX(AP919,0)</f>
        <v>18.557001321003963</v>
      </c>
      <c r="AO920" s="75">
        <f>PARAM!$C$26+MAX($G$12-CHOOSE(PARAM!$B$44,MAX(0,AP919*$F$1),0),0)*RATES!$L896/12+$H$12*(PARAM!$D$51/12)*RATES!$N896/100</f>
        <v>1190.0416666666667</v>
      </c>
      <c r="AP920" s="16">
        <f t="shared" si="594"/>
        <v>-262475.67251122574</v>
      </c>
      <c r="AQ920" s="15">
        <f t="shared" si="569"/>
        <v>22.170849845882874</v>
      </c>
      <c r="AR920" s="75">
        <f>AQ920*(1-PARAM!$C$27)*$I$13+(MOD($B920,60)=PARAM!$B$56)*($B920&gt;(60-PARAM!$B$56))*HLOOKUP(($B920+PARAM!$B$56)/12,Loyalty,2)*$F$1*MAX(AT919,0)</f>
        <v>18.557001321003963</v>
      </c>
      <c r="AS920" s="75">
        <f>PARAM!$C$26+MAX($G$13-CHOOSE(PARAM!$B$44,MAX(0,AT919*$F$1),0),0)*RATES!$L896/12+$H$13*(PARAM!$D$51/12)*RATES!$N896/100</f>
        <v>1190.0416666666667</v>
      </c>
      <c r="AT920" s="16">
        <f t="shared" si="595"/>
        <v>-262475.67251122574</v>
      </c>
      <c r="AU920" s="15">
        <f t="shared" si="570"/>
        <v>22.170849845882874</v>
      </c>
      <c r="AV920" s="75">
        <f>AU920*(1-PARAM!$C$27)*$I$14+(MOD($B920,60)=PARAM!$B$56)*($B920&gt;(60-PARAM!$B$56))*HLOOKUP(($B920+PARAM!$B$56)/12,Loyalty,2)*$F$1*MAX(AX919,0)</f>
        <v>18.557001321003963</v>
      </c>
      <c r="AW920" s="75">
        <f>PARAM!$C$26+MAX($G$14-CHOOSE(PARAM!$B$44,MAX(0,AX919*$F$1),0),0)*RATES!$L896/12+$H$14*(PARAM!$D$51/12)*RATES!$N896/100</f>
        <v>1190.0416666666667</v>
      </c>
      <c r="AX920" s="16">
        <f t="shared" si="596"/>
        <v>-262475.67251122574</v>
      </c>
      <c r="AY920" s="15">
        <f t="shared" si="571"/>
        <v>22.170849845882874</v>
      </c>
      <c r="AZ920" s="75">
        <f>AY920*(1-PARAM!$C$27)*$I$15+(MOD($B920,60)=PARAM!$B$56)*($B920&gt;(60-PARAM!$B$56))*HLOOKUP(($B920+PARAM!$B$56)/12,Loyalty,2)*$F$1*MAX(BB919,0)</f>
        <v>18.557001321003963</v>
      </c>
      <c r="BA920" s="75">
        <f>PARAM!$C$26+MAX($G$15-CHOOSE(PARAM!$B$44,MAX(0,BB919*$F$1),0),0)*RATES!$L896/12+$H$15*(PARAM!$D$51/12)*RATES!$N896/100</f>
        <v>1190.0416666666667</v>
      </c>
      <c r="BB920" s="16">
        <f t="shared" si="597"/>
        <v>-262475.67251122574</v>
      </c>
      <c r="BC920" s="15">
        <f t="shared" si="572"/>
        <v>22.170849845882874</v>
      </c>
      <c r="BD920" s="75">
        <f>BC920*(1-PARAM!$C$27)*$I$16+(MOD($B920,60)=PARAM!$B$56)*($B920&gt;(60-PARAM!$B$56))*HLOOKUP(($B920+PARAM!$B$56)/12,Loyalty,2)*$F$1*MAX(BF919,0)</f>
        <v>18.557001321003963</v>
      </c>
      <c r="BE920" s="75">
        <f>PARAM!$C$26+MAX($G$16-CHOOSE(PARAM!$B$44,MAX(0,BF919*$F$1),0),0)*RATES!$L896/12+$H$16*(PARAM!$D$51/12)*RATES!$N896/100</f>
        <v>1190.0416666666667</v>
      </c>
      <c r="BF920" s="16">
        <f t="shared" si="598"/>
        <v>-262475.67251122574</v>
      </c>
      <c r="BG920" s="15">
        <f t="shared" si="573"/>
        <v>22.170849845882874</v>
      </c>
      <c r="BH920" s="75">
        <f>BG920*(1-PARAM!$C$27)*$I$17+(MOD($B920,60)=PARAM!$B$56)*($B920&gt;(60-PARAM!$B$56))*HLOOKUP(($B920+PARAM!$B$56)/12,Loyalty,2)*$F$1*MAX(BJ919,0)</f>
        <v>18.557001321003963</v>
      </c>
      <c r="BI920" s="75">
        <f>PARAM!$C$26+MAX($G$17-CHOOSE(PARAM!$B$44,MAX(0,BJ919*$F$1),0),0)*RATES!$L896/12+$H$17*(PARAM!$D$51/12)*RATES!$N896/100</f>
        <v>1190.0416666666667</v>
      </c>
      <c r="BJ920" s="16">
        <f t="shared" si="599"/>
        <v>-262475.67251122574</v>
      </c>
      <c r="BK920" s="15">
        <f t="shared" si="574"/>
        <v>22.170849845882874</v>
      </c>
      <c r="BL920" s="75">
        <f>BK920*(1-PARAM!$C$27)*$I$18+(MOD($B920,60)=PARAM!$B$56)*($B920&gt;(60-PARAM!$B$56))*HLOOKUP(($B920+PARAM!$B$56)/12,Loyalty,2)*$F$1*MAX(BN919,0)</f>
        <v>18.557001321003963</v>
      </c>
      <c r="BM920" s="75">
        <f>PARAM!$C$26+MAX($G$18-CHOOSE(PARAM!$B$44,MAX(0,BN919*$F$1),0),0)*RATES!$L896/12+$H$18*(PARAM!$D$51/12)*RATES!$N896/100</f>
        <v>1190.0416666666667</v>
      </c>
      <c r="BN920" s="16">
        <f t="shared" si="600"/>
        <v>-262475.67251122574</v>
      </c>
      <c r="BO920" s="15">
        <f t="shared" si="575"/>
        <v>22.170849845882874</v>
      </c>
      <c r="BP920" s="75">
        <f>BO920*(1-PARAM!$C$27)*$I$19+(MOD($B920,60)=PARAM!$B$56)*($B920&gt;(60-PARAM!$B$56))*HLOOKUP(($B920+PARAM!$B$56)/12,Loyalty,2)*$F$1*MAX(BR919,0)</f>
        <v>18.557001321003963</v>
      </c>
      <c r="BQ920" s="75">
        <f>PARAM!$C$26+MAX($G$19-CHOOSE(PARAM!$B$44,MAX(0,BR919*$F$1),0),0)*RATES!$L896/12+$H$19*(PARAM!$D$51/12)*RATES!$N896/100</f>
        <v>1190.0416666666667</v>
      </c>
      <c r="BR920" s="16">
        <f t="shared" si="601"/>
        <v>-262475.67251122574</v>
      </c>
      <c r="BS920" s="15">
        <f t="shared" si="576"/>
        <v>22.170849845882874</v>
      </c>
      <c r="BT920" s="75">
        <f>BS920*(1-PARAM!$C$27)*$I$20+(MOD($B920,60)=PARAM!$B$56)*($B920&gt;(60-PARAM!$B$56))*HLOOKUP(($B920+PARAM!$B$56)/12,Loyalty,2)*$F$1*MAX(BV919,0)</f>
        <v>18.557001321003963</v>
      </c>
      <c r="BU920" s="75">
        <f>PARAM!$C$26+MAX($G$20-CHOOSE(PARAM!$B$44,MAX(0,BV919*$F$1),0),0)*RATES!$L896/12+$H$20*(PARAM!$D$51/12)*RATES!$N896/100</f>
        <v>1190.0416666666667</v>
      </c>
      <c r="BV920" s="16">
        <f t="shared" si="602"/>
        <v>-262475.67251122574</v>
      </c>
      <c r="BW920" s="15">
        <f t="shared" si="577"/>
        <v>22.170849845882874</v>
      </c>
      <c r="BX920" s="75">
        <f>BW920*(1-PARAM!$C$27)*$I$21+(MOD($B920,60)=PARAM!$B$56)*($B920&gt;(60-PARAM!$B$56))*HLOOKUP(($B920+PARAM!$B$56)/12,Loyalty,2)*$F$1*MAX(BZ919,0)</f>
        <v>18.557001321003963</v>
      </c>
      <c r="BY920" s="75">
        <f>PARAM!$C$26+MAX($G$21-CHOOSE(PARAM!$B$44,MAX(0,BZ919*$F$1),0),0)*RATES!$L896/12+$H$21*(PARAM!$D$51/12)*RATES!$N896/100</f>
        <v>1190.0416666666667</v>
      </c>
      <c r="BZ920" s="16">
        <f t="shared" si="603"/>
        <v>-262475.67251122574</v>
      </c>
      <c r="CA920" s="15">
        <f t="shared" si="578"/>
        <v>22.170849845882874</v>
      </c>
      <c r="CB920" s="75">
        <f>CA920*(1-PARAM!$C$27)*$I$22+(MOD($B920,60)=PARAM!$B$56)*($B920&gt;(60-PARAM!$B$56))*HLOOKUP(($B920+PARAM!$B$56)/12,Loyalty,2)*$F$1*MAX(CD919,0)</f>
        <v>18.557001321003963</v>
      </c>
      <c r="CC920" s="75">
        <f>PARAM!$C$26+MAX($G$22-CHOOSE(PARAM!$B$44,MAX(0,CD919*$F$1),0),0)*RATES!$L896/12+$H$22*(PARAM!$D$51/12)*RATES!$N896/100</f>
        <v>1190.0416666666667</v>
      </c>
      <c r="CD920" s="16">
        <f t="shared" si="604"/>
        <v>-262475.67251122574</v>
      </c>
      <c r="CE920" s="33">
        <f>IF(0=MOD(B920,12/PARAM!$D$51),1,0)</f>
        <v>1</v>
      </c>
      <c r="CF920" s="15">
        <f t="shared" si="579"/>
        <v>0</v>
      </c>
      <c r="CG920" s="75">
        <f>CF920*(1-PARAM!$C$27)*$R$3+(MOD($B920/12,5)=0)*($B920&gt;60)*HLOOKUP($B920/12,Loyalty,2)*$F$1*MAX(CI919,0)</f>
        <v>0</v>
      </c>
      <c r="CH920" s="75">
        <f>PARAM!$C$26+MAX($P$3-CHOOSE(PARAM!$B$44,MAX(0,CI919*$F$1),0),0)*RATES!$L896/12+$Q$3*(PARAM!$D$51/12)*RATES!$N896/100</f>
        <v>1190.0416666666667</v>
      </c>
      <c r="CI920" s="16">
        <f>IF(CI919&gt;0,CI919*PARAM!$C$53,CI919)+CG920-CH920</f>
        <v>-278927.49999999988</v>
      </c>
      <c r="CJ920" s="15">
        <f t="shared" si="605"/>
        <v>0</v>
      </c>
      <c r="CK920" s="75">
        <f>CJ920*(1-PARAM!$C$27)*$R$4+(MOD($B920/12,5)=0)*($B920&gt;60)*HLOOKUP($B920/12,Loyalty,2)*$F$1*MAX(CM919,0)</f>
        <v>0</v>
      </c>
      <c r="CL920" s="75">
        <f>PARAM!$C$26+MAX($P$4-CHOOSE(PARAM!$B$44,MAX(0,CM919*$F$1),0),0)*RATES!$L896/12+$Q$4*(PARAM!$D$51/12)*RATES!$N896/100</f>
        <v>1190.0416666666667</v>
      </c>
      <c r="CM920" s="16">
        <f>IF(CM919&gt;0,CM919*PARAM!$C$53,CM919)+CK920-CL920</f>
        <v>-278927.49999999988</v>
      </c>
      <c r="CO920" s="176"/>
    </row>
    <row r="921" spans="1:93" x14ac:dyDescent="0.2">
      <c r="A921" t="b">
        <f t="shared" si="580"/>
        <v>0</v>
      </c>
      <c r="B921" s="33">
        <v>894</v>
      </c>
      <c r="C921" s="15">
        <f t="shared" si="581"/>
        <v>20.081305947392778</v>
      </c>
      <c r="D921" s="75">
        <f>C921*(1-PARAM!$C$27)*$I$3+(MOD($B921,60)=PARAM!$B$56)*($B921&gt;(60-PARAM!$B$56))*HLOOKUP(($B921+PARAM!$B$56)/12,Loyalty,2)*$F$1*MAX(F920,0)</f>
        <v>16.808053077967756</v>
      </c>
      <c r="E921" s="75">
        <f>PARAM!$C$26+MAX($G$3-CHOOSE(PARAM!$B$44,MAX(0,F920*$F$1),0),0)*RATES!$L897/12+$H$3*(PARAM!$D$51/12)*RATES!$N897/100</f>
        <v>1190.0416666666667</v>
      </c>
      <c r="F921" s="16">
        <f t="shared" si="582"/>
        <v>-265247.56740636786</v>
      </c>
      <c r="G921" s="15">
        <f t="shared" si="583"/>
        <v>22.035289406060361</v>
      </c>
      <c r="H921" s="75">
        <f>G921*(1-PARAM!$C$27)*$I$4+(MOD($B921,60)=PARAM!$B$56)*($B921&gt;(60-PARAM!$B$56))*HLOOKUP(($B921+PARAM!$B$56)/12,Loyalty,2)*$F$1*MAX(J920,0)</f>
        <v>18.443537232872522</v>
      </c>
      <c r="I921" s="75">
        <f>PARAM!$C$26+MAX($G$4-CHOOSE(PARAM!$B$44,MAX(0,J920*$F$1),0),0)*RATES!$L897/12+$H$4*(PARAM!$D$51/12)*RATES!$N897/100</f>
        <v>1190.0416666666667</v>
      </c>
      <c r="J921" s="16">
        <f t="shared" si="584"/>
        <v>-263751.61160775967</v>
      </c>
      <c r="K921" s="15">
        <f t="shared" si="585"/>
        <v>22.170849845882874</v>
      </c>
      <c r="L921" s="75">
        <f>K921*(1-PARAM!$C$27)*$I$5+(MOD($B921,60)=PARAM!$B$56)*($B921&gt;(60-PARAM!$B$56))*HLOOKUP(($B921+PARAM!$B$56)/12,Loyalty,2)*$F$1*MAX(N920,0)</f>
        <v>18.557001321003963</v>
      </c>
      <c r="M921" s="75">
        <f>PARAM!$C$26+MAX($G$5-CHOOSE(PARAM!$B$44,MAX(0,N920*$F$1),0),0)*RATES!$L897/12+$H$5*(PARAM!$D$51/12)*RATES!$N897/100</f>
        <v>1190.0416666666667</v>
      </c>
      <c r="N921" s="16">
        <f t="shared" si="586"/>
        <v>-263647.15717657143</v>
      </c>
      <c r="O921" s="15">
        <f t="shared" si="587"/>
        <v>22.170849845882874</v>
      </c>
      <c r="P921" s="75">
        <f>O921*(1-PARAM!$C$27)*$I$6+(MOD($B921,60)=PARAM!$B$56)*($B921&gt;(60-PARAM!$B$56))*HLOOKUP(($B921+PARAM!$B$56)/12,Loyalty,2)*$F$1*MAX(R920,0)</f>
        <v>18.557001321003963</v>
      </c>
      <c r="Q921" s="75">
        <f>PARAM!$C$26+MAX($G$6-CHOOSE(PARAM!$B$44,MAX(0,R920*$F$1),0),0)*RATES!$L897/12+$H$6*(PARAM!$D$51/12)*RATES!$N897/100</f>
        <v>1190.0416666666667</v>
      </c>
      <c r="R921" s="16">
        <f t="shared" si="588"/>
        <v>-263647.15717657143</v>
      </c>
      <c r="S921" s="15">
        <f t="shared" si="563"/>
        <v>22.170849845882874</v>
      </c>
      <c r="T921" s="75">
        <f>S921*(1-PARAM!$C$27)*$I$7+(MOD($B921,60)=PARAM!$B$56)*($B921&gt;(60-PARAM!$B$56))*HLOOKUP(($B921+PARAM!$B$56)/12,Loyalty,2)*$F$1*MAX(V920,0)</f>
        <v>18.557001321003963</v>
      </c>
      <c r="U921" s="75">
        <f>PARAM!$C$26+MAX($G$7-CHOOSE(PARAM!$B$44,MAX(0,V920*$F$1),0),0)*RATES!$L897/12+$H$7*(PARAM!$D$51/12)*RATES!$N897/100</f>
        <v>1190.0416666666667</v>
      </c>
      <c r="V921" s="16">
        <f t="shared" si="589"/>
        <v>-263647.15717657143</v>
      </c>
      <c r="W921" s="15">
        <f t="shared" si="564"/>
        <v>22.170849845882874</v>
      </c>
      <c r="X921" s="75">
        <f>W921*(1-PARAM!$C$27)*$I$8+(MOD($B921,60)=PARAM!$B$56)*($B921&gt;(60-PARAM!$B$56))*HLOOKUP(($B921+PARAM!$B$56)/12,Loyalty,2)*$F$1*MAX(Z920,0)</f>
        <v>18.557001321003963</v>
      </c>
      <c r="Y921" s="75">
        <f>PARAM!$C$26+MAX($G$8-CHOOSE(PARAM!$B$44,MAX(0,Z920*$F$1),0),0)*RATES!$L897/12+$H$8*(PARAM!$D$51/12)*RATES!$N897/100</f>
        <v>1190.0416666666667</v>
      </c>
      <c r="Z921" s="16">
        <f t="shared" si="590"/>
        <v>-263647.15717657143</v>
      </c>
      <c r="AA921" s="15">
        <f t="shared" si="565"/>
        <v>22.170849845882874</v>
      </c>
      <c r="AB921" s="75">
        <f>AA921*(1-PARAM!$C$27)*$I$9+(MOD($B921,60)=PARAM!$B$56)*($B921&gt;(60-PARAM!$B$56))*HLOOKUP(($B921+PARAM!$B$56)/12,Loyalty,2)*$F$1*MAX(AD920,0)</f>
        <v>18.557001321003963</v>
      </c>
      <c r="AC921" s="75">
        <f>PARAM!$C$26+MAX($G$9-CHOOSE(PARAM!$B$44,MAX(0,AD920*$F$1),0),0)*RATES!$L897/12+$H$9*(PARAM!$D$51/12)*RATES!$N897/100</f>
        <v>1190.0416666666667</v>
      </c>
      <c r="AD921" s="16">
        <f t="shared" si="591"/>
        <v>-263647.15717657143</v>
      </c>
      <c r="AE921" s="15">
        <f t="shared" si="566"/>
        <v>22.170849845882874</v>
      </c>
      <c r="AF921" s="75">
        <f>AE921*(1-PARAM!$C$27)*$I$10+(MOD($B921,60)=PARAM!$B$56)*($B921&gt;(60-PARAM!$B$56))*HLOOKUP(($B921+PARAM!$B$56)/12,Loyalty,2)*$F$1*MAX(AH920,0)</f>
        <v>18.557001321003963</v>
      </c>
      <c r="AG921" s="75">
        <f>PARAM!$C$26+MAX($G$10-CHOOSE(PARAM!$B$44,MAX(0,AH920*$F$1),0),0)*RATES!$L897/12+$H$10*(PARAM!$D$51/12)*RATES!$N897/100</f>
        <v>1190.0416666666667</v>
      </c>
      <c r="AH921" s="16">
        <f t="shared" si="592"/>
        <v>-263647.15717657143</v>
      </c>
      <c r="AI921" s="15">
        <f t="shared" si="567"/>
        <v>22.170849845882874</v>
      </c>
      <c r="AJ921" s="75">
        <f>AI921*(1-PARAM!$C$27)*$I$11+(MOD($B921,60)=PARAM!$B$56)*($B921&gt;(60-PARAM!$B$56))*HLOOKUP(($B921+PARAM!$B$56)/12,Loyalty,2)*$F$1*MAX(AL920,0)</f>
        <v>18.557001321003963</v>
      </c>
      <c r="AK921" s="75">
        <f>PARAM!$C$26+MAX($G$11-CHOOSE(PARAM!$B$44,MAX(0,AL920*$F$1),0),0)*RATES!$L897/12+$H$11*(PARAM!$D$51/12)*RATES!$N897/100</f>
        <v>1190.0416666666667</v>
      </c>
      <c r="AL921" s="16">
        <f t="shared" si="593"/>
        <v>-263647.15717657143</v>
      </c>
      <c r="AM921" s="15">
        <f t="shared" si="568"/>
        <v>22.170849845882874</v>
      </c>
      <c r="AN921" s="75">
        <f>AM921*(1-PARAM!$C$27)*$I$12+(MOD($B921,60)=PARAM!$B$56)*($B921&gt;(60-PARAM!$B$56))*HLOOKUP(($B921+PARAM!$B$56)/12,Loyalty,2)*$F$1*MAX(AP920,0)</f>
        <v>18.557001321003963</v>
      </c>
      <c r="AO921" s="75">
        <f>PARAM!$C$26+MAX($G$12-CHOOSE(PARAM!$B$44,MAX(0,AP920*$F$1),0),0)*RATES!$L897/12+$H$12*(PARAM!$D$51/12)*RATES!$N897/100</f>
        <v>1190.0416666666667</v>
      </c>
      <c r="AP921" s="16">
        <f t="shared" si="594"/>
        <v>-263647.15717657143</v>
      </c>
      <c r="AQ921" s="15">
        <f t="shared" si="569"/>
        <v>22.170849845882874</v>
      </c>
      <c r="AR921" s="75">
        <f>AQ921*(1-PARAM!$C$27)*$I$13+(MOD($B921,60)=PARAM!$B$56)*($B921&gt;(60-PARAM!$B$56))*HLOOKUP(($B921+PARAM!$B$56)/12,Loyalty,2)*$F$1*MAX(AT920,0)</f>
        <v>18.557001321003963</v>
      </c>
      <c r="AS921" s="75">
        <f>PARAM!$C$26+MAX($G$13-CHOOSE(PARAM!$B$44,MAX(0,AT920*$F$1),0),0)*RATES!$L897/12+$H$13*(PARAM!$D$51/12)*RATES!$N897/100</f>
        <v>1190.0416666666667</v>
      </c>
      <c r="AT921" s="16">
        <f t="shared" si="595"/>
        <v>-263647.15717657143</v>
      </c>
      <c r="AU921" s="15">
        <f t="shared" si="570"/>
        <v>22.170849845882874</v>
      </c>
      <c r="AV921" s="75">
        <f>AU921*(1-PARAM!$C$27)*$I$14+(MOD($B921,60)=PARAM!$B$56)*($B921&gt;(60-PARAM!$B$56))*HLOOKUP(($B921+PARAM!$B$56)/12,Loyalty,2)*$F$1*MAX(AX920,0)</f>
        <v>18.557001321003963</v>
      </c>
      <c r="AW921" s="75">
        <f>PARAM!$C$26+MAX($G$14-CHOOSE(PARAM!$B$44,MAX(0,AX920*$F$1),0),0)*RATES!$L897/12+$H$14*(PARAM!$D$51/12)*RATES!$N897/100</f>
        <v>1190.0416666666667</v>
      </c>
      <c r="AX921" s="16">
        <f t="shared" si="596"/>
        <v>-263647.15717657143</v>
      </c>
      <c r="AY921" s="15">
        <f t="shared" si="571"/>
        <v>22.170849845882874</v>
      </c>
      <c r="AZ921" s="75">
        <f>AY921*(1-PARAM!$C$27)*$I$15+(MOD($B921,60)=PARAM!$B$56)*($B921&gt;(60-PARAM!$B$56))*HLOOKUP(($B921+PARAM!$B$56)/12,Loyalty,2)*$F$1*MAX(BB920,0)</f>
        <v>18.557001321003963</v>
      </c>
      <c r="BA921" s="75">
        <f>PARAM!$C$26+MAX($G$15-CHOOSE(PARAM!$B$44,MAX(0,BB920*$F$1),0),0)*RATES!$L897/12+$H$15*(PARAM!$D$51/12)*RATES!$N897/100</f>
        <v>1190.0416666666667</v>
      </c>
      <c r="BB921" s="16">
        <f t="shared" si="597"/>
        <v>-263647.15717657143</v>
      </c>
      <c r="BC921" s="15">
        <f t="shared" si="572"/>
        <v>22.170849845882874</v>
      </c>
      <c r="BD921" s="75">
        <f>BC921*(1-PARAM!$C$27)*$I$16+(MOD($B921,60)=PARAM!$B$56)*($B921&gt;(60-PARAM!$B$56))*HLOOKUP(($B921+PARAM!$B$56)/12,Loyalty,2)*$F$1*MAX(BF920,0)</f>
        <v>18.557001321003963</v>
      </c>
      <c r="BE921" s="75">
        <f>PARAM!$C$26+MAX($G$16-CHOOSE(PARAM!$B$44,MAX(0,BF920*$F$1),0),0)*RATES!$L897/12+$H$16*(PARAM!$D$51/12)*RATES!$N897/100</f>
        <v>1190.0416666666667</v>
      </c>
      <c r="BF921" s="16">
        <f t="shared" si="598"/>
        <v>-263647.15717657143</v>
      </c>
      <c r="BG921" s="15">
        <f t="shared" si="573"/>
        <v>22.170849845882874</v>
      </c>
      <c r="BH921" s="75">
        <f>BG921*(1-PARAM!$C$27)*$I$17+(MOD($B921,60)=PARAM!$B$56)*($B921&gt;(60-PARAM!$B$56))*HLOOKUP(($B921+PARAM!$B$56)/12,Loyalty,2)*$F$1*MAX(BJ920,0)</f>
        <v>18.557001321003963</v>
      </c>
      <c r="BI921" s="75">
        <f>PARAM!$C$26+MAX($G$17-CHOOSE(PARAM!$B$44,MAX(0,BJ920*$F$1),0),0)*RATES!$L897/12+$H$17*(PARAM!$D$51/12)*RATES!$N897/100</f>
        <v>1190.0416666666667</v>
      </c>
      <c r="BJ921" s="16">
        <f t="shared" si="599"/>
        <v>-263647.15717657143</v>
      </c>
      <c r="BK921" s="15">
        <f t="shared" si="574"/>
        <v>22.170849845882874</v>
      </c>
      <c r="BL921" s="75">
        <f>BK921*(1-PARAM!$C$27)*$I$18+(MOD($B921,60)=PARAM!$B$56)*($B921&gt;(60-PARAM!$B$56))*HLOOKUP(($B921+PARAM!$B$56)/12,Loyalty,2)*$F$1*MAX(BN920,0)</f>
        <v>18.557001321003963</v>
      </c>
      <c r="BM921" s="75">
        <f>PARAM!$C$26+MAX($G$18-CHOOSE(PARAM!$B$44,MAX(0,BN920*$F$1),0),0)*RATES!$L897/12+$H$18*(PARAM!$D$51/12)*RATES!$N897/100</f>
        <v>1190.0416666666667</v>
      </c>
      <c r="BN921" s="16">
        <f t="shared" si="600"/>
        <v>-263647.15717657143</v>
      </c>
      <c r="BO921" s="15">
        <f t="shared" si="575"/>
        <v>22.170849845882874</v>
      </c>
      <c r="BP921" s="75">
        <f>BO921*(1-PARAM!$C$27)*$I$19+(MOD($B921,60)=PARAM!$B$56)*($B921&gt;(60-PARAM!$B$56))*HLOOKUP(($B921+PARAM!$B$56)/12,Loyalty,2)*$F$1*MAX(BR920,0)</f>
        <v>18.557001321003963</v>
      </c>
      <c r="BQ921" s="75">
        <f>PARAM!$C$26+MAX($G$19-CHOOSE(PARAM!$B$44,MAX(0,BR920*$F$1),0),0)*RATES!$L897/12+$H$19*(PARAM!$D$51/12)*RATES!$N897/100</f>
        <v>1190.0416666666667</v>
      </c>
      <c r="BR921" s="16">
        <f t="shared" si="601"/>
        <v>-263647.15717657143</v>
      </c>
      <c r="BS921" s="15">
        <f t="shared" si="576"/>
        <v>22.170849845882874</v>
      </c>
      <c r="BT921" s="75">
        <f>BS921*(1-PARAM!$C$27)*$I$20+(MOD($B921,60)=PARAM!$B$56)*($B921&gt;(60-PARAM!$B$56))*HLOOKUP(($B921+PARAM!$B$56)/12,Loyalty,2)*$F$1*MAX(BV920,0)</f>
        <v>18.557001321003963</v>
      </c>
      <c r="BU921" s="75">
        <f>PARAM!$C$26+MAX($G$20-CHOOSE(PARAM!$B$44,MAX(0,BV920*$F$1),0),0)*RATES!$L897/12+$H$20*(PARAM!$D$51/12)*RATES!$N897/100</f>
        <v>1190.0416666666667</v>
      </c>
      <c r="BV921" s="16">
        <f t="shared" si="602"/>
        <v>-263647.15717657143</v>
      </c>
      <c r="BW921" s="15">
        <f t="shared" si="577"/>
        <v>22.170849845882874</v>
      </c>
      <c r="BX921" s="75">
        <f>BW921*(1-PARAM!$C$27)*$I$21+(MOD($B921,60)=PARAM!$B$56)*($B921&gt;(60-PARAM!$B$56))*HLOOKUP(($B921+PARAM!$B$56)/12,Loyalty,2)*$F$1*MAX(BZ920,0)</f>
        <v>18.557001321003963</v>
      </c>
      <c r="BY921" s="75">
        <f>PARAM!$C$26+MAX($G$21-CHOOSE(PARAM!$B$44,MAX(0,BZ920*$F$1),0),0)*RATES!$L897/12+$H$21*(PARAM!$D$51/12)*RATES!$N897/100</f>
        <v>1190.0416666666667</v>
      </c>
      <c r="BZ921" s="16">
        <f t="shared" si="603"/>
        <v>-263647.15717657143</v>
      </c>
      <c r="CA921" s="15">
        <f t="shared" si="578"/>
        <v>22.170849845882874</v>
      </c>
      <c r="CB921" s="75">
        <f>CA921*(1-PARAM!$C$27)*$I$22+(MOD($B921,60)=PARAM!$B$56)*($B921&gt;(60-PARAM!$B$56))*HLOOKUP(($B921+PARAM!$B$56)/12,Loyalty,2)*$F$1*MAX(CD920,0)</f>
        <v>18.557001321003963</v>
      </c>
      <c r="CC921" s="75">
        <f>PARAM!$C$26+MAX($G$22-CHOOSE(PARAM!$B$44,MAX(0,CD920*$F$1),0),0)*RATES!$L897/12+$H$22*(PARAM!$D$51/12)*RATES!$N897/100</f>
        <v>1190.0416666666667</v>
      </c>
      <c r="CD921" s="16">
        <f t="shared" si="604"/>
        <v>-263647.15717657143</v>
      </c>
      <c r="CE921" s="33">
        <f>IF(0=MOD(B921,12/PARAM!$D$51),1,0)</f>
        <v>1</v>
      </c>
      <c r="CF921" s="15">
        <f t="shared" si="579"/>
        <v>0</v>
      </c>
      <c r="CG921" s="75">
        <f>CF921*(1-PARAM!$C$27)*$R$3+(MOD($B921/12,5)=0)*($B921&gt;60)*HLOOKUP($B921/12,Loyalty,2)*$F$1*MAX(CI920,0)</f>
        <v>0</v>
      </c>
      <c r="CH921" s="75">
        <f>PARAM!$C$26+MAX($P$3-CHOOSE(PARAM!$B$44,MAX(0,CI920*$F$1),0),0)*RATES!$L897/12+$Q$3*(PARAM!$D$51/12)*RATES!$N897/100</f>
        <v>1190.0416666666667</v>
      </c>
      <c r="CI921" s="16">
        <f>IF(CI920&gt;0,CI920*PARAM!$C$53,CI920)+CG921-CH921</f>
        <v>-280117.54166666657</v>
      </c>
      <c r="CJ921" s="15">
        <f t="shared" si="605"/>
        <v>0</v>
      </c>
      <c r="CK921" s="75">
        <f>CJ921*(1-PARAM!$C$27)*$R$4+(MOD($B921/12,5)=0)*($B921&gt;60)*HLOOKUP($B921/12,Loyalty,2)*$F$1*MAX(CM920,0)</f>
        <v>0</v>
      </c>
      <c r="CL921" s="75">
        <f>PARAM!$C$26+MAX($P$4-CHOOSE(PARAM!$B$44,MAX(0,CM920*$F$1),0),0)*RATES!$L897/12+$Q$4*(PARAM!$D$51/12)*RATES!$N897/100</f>
        <v>1190.0416666666667</v>
      </c>
      <c r="CM921" s="16">
        <f>IF(CM920&gt;0,CM920*PARAM!$C$53,CM920)+CK921-CL921</f>
        <v>-280117.54166666657</v>
      </c>
      <c r="CO921" s="176"/>
    </row>
    <row r="922" spans="1:93" x14ac:dyDescent="0.2">
      <c r="A922" t="b">
        <f t="shared" si="580"/>
        <v>0</v>
      </c>
      <c r="B922" s="33">
        <v>895</v>
      </c>
      <c r="C922" s="15">
        <f t="shared" si="581"/>
        <v>20.081305947392778</v>
      </c>
      <c r="D922" s="75">
        <f>C922*(1-PARAM!$C$27)*$I$3+(MOD($B922,60)=PARAM!$B$56)*($B922&gt;(60-PARAM!$B$56))*HLOOKUP(($B922+PARAM!$B$56)/12,Loyalty,2)*$F$1*MAX(F921,0)</f>
        <v>16.808053077967756</v>
      </c>
      <c r="E922" s="75">
        <f>PARAM!$C$26+MAX($G$3-CHOOSE(PARAM!$B$44,MAX(0,F921*$F$1),0),0)*RATES!$L898/12+$H$3*(PARAM!$D$51/12)*RATES!$N898/100</f>
        <v>1190.0416666666667</v>
      </c>
      <c r="F922" s="16">
        <f t="shared" si="582"/>
        <v>-266420.80101995659</v>
      </c>
      <c r="G922" s="15">
        <f t="shared" si="583"/>
        <v>22.035289406060361</v>
      </c>
      <c r="H922" s="75">
        <f>G922*(1-PARAM!$C$27)*$I$4+(MOD($B922,60)=PARAM!$B$56)*($B922&gt;(60-PARAM!$B$56))*HLOOKUP(($B922+PARAM!$B$56)/12,Loyalty,2)*$F$1*MAX(J921,0)</f>
        <v>18.443537232872522</v>
      </c>
      <c r="I922" s="75">
        <f>PARAM!$C$26+MAX($G$4-CHOOSE(PARAM!$B$44,MAX(0,J921*$F$1),0),0)*RATES!$L898/12+$H$4*(PARAM!$D$51/12)*RATES!$N898/100</f>
        <v>1190.0416666666667</v>
      </c>
      <c r="J922" s="16">
        <f t="shared" si="584"/>
        <v>-264923.20973719348</v>
      </c>
      <c r="K922" s="15">
        <f t="shared" si="585"/>
        <v>22.170849845882874</v>
      </c>
      <c r="L922" s="75">
        <f>K922*(1-PARAM!$C$27)*$I$5+(MOD($B922,60)=PARAM!$B$56)*($B922&gt;(60-PARAM!$B$56))*HLOOKUP(($B922+PARAM!$B$56)/12,Loyalty,2)*$F$1*MAX(N921,0)</f>
        <v>18.557001321003963</v>
      </c>
      <c r="M922" s="75">
        <f>PARAM!$C$26+MAX($G$5-CHOOSE(PARAM!$B$44,MAX(0,N921*$F$1),0),0)*RATES!$L898/12+$H$5*(PARAM!$D$51/12)*RATES!$N898/100</f>
        <v>1190.0416666666667</v>
      </c>
      <c r="N922" s="16">
        <f t="shared" si="586"/>
        <v>-264818.64184191712</v>
      </c>
      <c r="O922" s="15">
        <f t="shared" si="587"/>
        <v>22.170849845882874</v>
      </c>
      <c r="P922" s="75">
        <f>O922*(1-PARAM!$C$27)*$I$6+(MOD($B922,60)=PARAM!$B$56)*($B922&gt;(60-PARAM!$B$56))*HLOOKUP(($B922+PARAM!$B$56)/12,Loyalty,2)*$F$1*MAX(R921,0)</f>
        <v>18.557001321003963</v>
      </c>
      <c r="Q922" s="75">
        <f>PARAM!$C$26+MAX($G$6-CHOOSE(PARAM!$B$44,MAX(0,R921*$F$1),0),0)*RATES!$L898/12+$H$6*(PARAM!$D$51/12)*RATES!$N898/100</f>
        <v>1190.0416666666667</v>
      </c>
      <c r="R922" s="16">
        <f t="shared" si="588"/>
        <v>-264818.64184191712</v>
      </c>
      <c r="S922" s="15">
        <f t="shared" si="563"/>
        <v>22.170849845882874</v>
      </c>
      <c r="T922" s="75">
        <f>S922*(1-PARAM!$C$27)*$I$7+(MOD($B922,60)=PARAM!$B$56)*($B922&gt;(60-PARAM!$B$56))*HLOOKUP(($B922+PARAM!$B$56)/12,Loyalty,2)*$F$1*MAX(V921,0)</f>
        <v>18.557001321003963</v>
      </c>
      <c r="U922" s="75">
        <f>PARAM!$C$26+MAX($G$7-CHOOSE(PARAM!$B$44,MAX(0,V921*$F$1),0),0)*RATES!$L898/12+$H$7*(PARAM!$D$51/12)*RATES!$N898/100</f>
        <v>1190.0416666666667</v>
      </c>
      <c r="V922" s="16">
        <f t="shared" si="589"/>
        <v>-264818.64184191712</v>
      </c>
      <c r="W922" s="15">
        <f t="shared" si="564"/>
        <v>22.170849845882874</v>
      </c>
      <c r="X922" s="75">
        <f>W922*(1-PARAM!$C$27)*$I$8+(MOD($B922,60)=PARAM!$B$56)*($B922&gt;(60-PARAM!$B$56))*HLOOKUP(($B922+PARAM!$B$56)/12,Loyalty,2)*$F$1*MAX(Z921,0)</f>
        <v>18.557001321003963</v>
      </c>
      <c r="Y922" s="75">
        <f>PARAM!$C$26+MAX($G$8-CHOOSE(PARAM!$B$44,MAX(0,Z921*$F$1),0),0)*RATES!$L898/12+$H$8*(PARAM!$D$51/12)*RATES!$N898/100</f>
        <v>1190.0416666666667</v>
      </c>
      <c r="Z922" s="16">
        <f t="shared" si="590"/>
        <v>-264818.64184191712</v>
      </c>
      <c r="AA922" s="15">
        <f t="shared" si="565"/>
        <v>22.170849845882874</v>
      </c>
      <c r="AB922" s="75">
        <f>AA922*(1-PARAM!$C$27)*$I$9+(MOD($B922,60)=PARAM!$B$56)*($B922&gt;(60-PARAM!$B$56))*HLOOKUP(($B922+PARAM!$B$56)/12,Loyalty,2)*$F$1*MAX(AD921,0)</f>
        <v>18.557001321003963</v>
      </c>
      <c r="AC922" s="75">
        <f>PARAM!$C$26+MAX($G$9-CHOOSE(PARAM!$B$44,MAX(0,AD921*$F$1),0),0)*RATES!$L898/12+$H$9*(PARAM!$D$51/12)*RATES!$N898/100</f>
        <v>1190.0416666666667</v>
      </c>
      <c r="AD922" s="16">
        <f t="shared" si="591"/>
        <v>-264818.64184191712</v>
      </c>
      <c r="AE922" s="15">
        <f t="shared" si="566"/>
        <v>22.170849845882874</v>
      </c>
      <c r="AF922" s="75">
        <f>AE922*(1-PARAM!$C$27)*$I$10+(MOD($B922,60)=PARAM!$B$56)*($B922&gt;(60-PARAM!$B$56))*HLOOKUP(($B922+PARAM!$B$56)/12,Loyalty,2)*$F$1*MAX(AH921,0)</f>
        <v>18.557001321003963</v>
      </c>
      <c r="AG922" s="75">
        <f>PARAM!$C$26+MAX($G$10-CHOOSE(PARAM!$B$44,MAX(0,AH921*$F$1),0),0)*RATES!$L898/12+$H$10*(PARAM!$D$51/12)*RATES!$N898/100</f>
        <v>1190.0416666666667</v>
      </c>
      <c r="AH922" s="16">
        <f t="shared" si="592"/>
        <v>-264818.64184191712</v>
      </c>
      <c r="AI922" s="15">
        <f t="shared" si="567"/>
        <v>22.170849845882874</v>
      </c>
      <c r="AJ922" s="75">
        <f>AI922*(1-PARAM!$C$27)*$I$11+(MOD($B922,60)=PARAM!$B$56)*($B922&gt;(60-PARAM!$B$56))*HLOOKUP(($B922+PARAM!$B$56)/12,Loyalty,2)*$F$1*MAX(AL921,0)</f>
        <v>18.557001321003963</v>
      </c>
      <c r="AK922" s="75">
        <f>PARAM!$C$26+MAX($G$11-CHOOSE(PARAM!$B$44,MAX(0,AL921*$F$1),0),0)*RATES!$L898/12+$H$11*(PARAM!$D$51/12)*RATES!$N898/100</f>
        <v>1190.0416666666667</v>
      </c>
      <c r="AL922" s="16">
        <f t="shared" si="593"/>
        <v>-264818.64184191712</v>
      </c>
      <c r="AM922" s="15">
        <f t="shared" si="568"/>
        <v>22.170849845882874</v>
      </c>
      <c r="AN922" s="75">
        <f>AM922*(1-PARAM!$C$27)*$I$12+(MOD($B922,60)=PARAM!$B$56)*($B922&gt;(60-PARAM!$B$56))*HLOOKUP(($B922+PARAM!$B$56)/12,Loyalty,2)*$F$1*MAX(AP921,0)</f>
        <v>18.557001321003963</v>
      </c>
      <c r="AO922" s="75">
        <f>PARAM!$C$26+MAX($G$12-CHOOSE(PARAM!$B$44,MAX(0,AP921*$F$1),0),0)*RATES!$L898/12+$H$12*(PARAM!$D$51/12)*RATES!$N898/100</f>
        <v>1190.0416666666667</v>
      </c>
      <c r="AP922" s="16">
        <f t="shared" si="594"/>
        <v>-264818.64184191712</v>
      </c>
      <c r="AQ922" s="15">
        <f t="shared" si="569"/>
        <v>22.170849845882874</v>
      </c>
      <c r="AR922" s="75">
        <f>AQ922*(1-PARAM!$C$27)*$I$13+(MOD($B922,60)=PARAM!$B$56)*($B922&gt;(60-PARAM!$B$56))*HLOOKUP(($B922+PARAM!$B$56)/12,Loyalty,2)*$F$1*MAX(AT921,0)</f>
        <v>18.557001321003963</v>
      </c>
      <c r="AS922" s="75">
        <f>PARAM!$C$26+MAX($G$13-CHOOSE(PARAM!$B$44,MAX(0,AT921*$F$1),0),0)*RATES!$L898/12+$H$13*(PARAM!$D$51/12)*RATES!$N898/100</f>
        <v>1190.0416666666667</v>
      </c>
      <c r="AT922" s="16">
        <f t="shared" si="595"/>
        <v>-264818.64184191712</v>
      </c>
      <c r="AU922" s="15">
        <f t="shared" si="570"/>
        <v>22.170849845882874</v>
      </c>
      <c r="AV922" s="75">
        <f>AU922*(1-PARAM!$C$27)*$I$14+(MOD($B922,60)=PARAM!$B$56)*($B922&gt;(60-PARAM!$B$56))*HLOOKUP(($B922+PARAM!$B$56)/12,Loyalty,2)*$F$1*MAX(AX921,0)</f>
        <v>18.557001321003963</v>
      </c>
      <c r="AW922" s="75">
        <f>PARAM!$C$26+MAX($G$14-CHOOSE(PARAM!$B$44,MAX(0,AX921*$F$1),0),0)*RATES!$L898/12+$H$14*(PARAM!$D$51/12)*RATES!$N898/100</f>
        <v>1190.0416666666667</v>
      </c>
      <c r="AX922" s="16">
        <f t="shared" si="596"/>
        <v>-264818.64184191712</v>
      </c>
      <c r="AY922" s="15">
        <f t="shared" si="571"/>
        <v>22.170849845882874</v>
      </c>
      <c r="AZ922" s="75">
        <f>AY922*(1-PARAM!$C$27)*$I$15+(MOD($B922,60)=PARAM!$B$56)*($B922&gt;(60-PARAM!$B$56))*HLOOKUP(($B922+PARAM!$B$56)/12,Loyalty,2)*$F$1*MAX(BB921,0)</f>
        <v>18.557001321003963</v>
      </c>
      <c r="BA922" s="75">
        <f>PARAM!$C$26+MAX($G$15-CHOOSE(PARAM!$B$44,MAX(0,BB921*$F$1),0),0)*RATES!$L898/12+$H$15*(PARAM!$D$51/12)*RATES!$N898/100</f>
        <v>1190.0416666666667</v>
      </c>
      <c r="BB922" s="16">
        <f t="shared" si="597"/>
        <v>-264818.64184191712</v>
      </c>
      <c r="BC922" s="15">
        <f t="shared" si="572"/>
        <v>22.170849845882874</v>
      </c>
      <c r="BD922" s="75">
        <f>BC922*(1-PARAM!$C$27)*$I$16+(MOD($B922,60)=PARAM!$B$56)*($B922&gt;(60-PARAM!$B$56))*HLOOKUP(($B922+PARAM!$B$56)/12,Loyalty,2)*$F$1*MAX(BF921,0)</f>
        <v>18.557001321003963</v>
      </c>
      <c r="BE922" s="75">
        <f>PARAM!$C$26+MAX($G$16-CHOOSE(PARAM!$B$44,MAX(0,BF921*$F$1),0),0)*RATES!$L898/12+$H$16*(PARAM!$D$51/12)*RATES!$N898/100</f>
        <v>1190.0416666666667</v>
      </c>
      <c r="BF922" s="16">
        <f t="shared" si="598"/>
        <v>-264818.64184191712</v>
      </c>
      <c r="BG922" s="15">
        <f t="shared" si="573"/>
        <v>22.170849845882874</v>
      </c>
      <c r="BH922" s="75">
        <f>BG922*(1-PARAM!$C$27)*$I$17+(MOD($B922,60)=PARAM!$B$56)*($B922&gt;(60-PARAM!$B$56))*HLOOKUP(($B922+PARAM!$B$56)/12,Loyalty,2)*$F$1*MAX(BJ921,0)</f>
        <v>18.557001321003963</v>
      </c>
      <c r="BI922" s="75">
        <f>PARAM!$C$26+MAX($G$17-CHOOSE(PARAM!$B$44,MAX(0,BJ921*$F$1),0),0)*RATES!$L898/12+$H$17*(PARAM!$D$51/12)*RATES!$N898/100</f>
        <v>1190.0416666666667</v>
      </c>
      <c r="BJ922" s="16">
        <f t="shared" si="599"/>
        <v>-264818.64184191712</v>
      </c>
      <c r="BK922" s="15">
        <f t="shared" si="574"/>
        <v>22.170849845882874</v>
      </c>
      <c r="BL922" s="75">
        <f>BK922*(1-PARAM!$C$27)*$I$18+(MOD($B922,60)=PARAM!$B$56)*($B922&gt;(60-PARAM!$B$56))*HLOOKUP(($B922+PARAM!$B$56)/12,Loyalty,2)*$F$1*MAX(BN921,0)</f>
        <v>18.557001321003963</v>
      </c>
      <c r="BM922" s="75">
        <f>PARAM!$C$26+MAX($G$18-CHOOSE(PARAM!$B$44,MAX(0,BN921*$F$1),0),0)*RATES!$L898/12+$H$18*(PARAM!$D$51/12)*RATES!$N898/100</f>
        <v>1190.0416666666667</v>
      </c>
      <c r="BN922" s="16">
        <f t="shared" si="600"/>
        <v>-264818.64184191712</v>
      </c>
      <c r="BO922" s="15">
        <f t="shared" si="575"/>
        <v>22.170849845882874</v>
      </c>
      <c r="BP922" s="75">
        <f>BO922*(1-PARAM!$C$27)*$I$19+(MOD($B922,60)=PARAM!$B$56)*($B922&gt;(60-PARAM!$B$56))*HLOOKUP(($B922+PARAM!$B$56)/12,Loyalty,2)*$F$1*MAX(BR921,0)</f>
        <v>18.557001321003963</v>
      </c>
      <c r="BQ922" s="75">
        <f>PARAM!$C$26+MAX($G$19-CHOOSE(PARAM!$B$44,MAX(0,BR921*$F$1),0),0)*RATES!$L898/12+$H$19*(PARAM!$D$51/12)*RATES!$N898/100</f>
        <v>1190.0416666666667</v>
      </c>
      <c r="BR922" s="16">
        <f t="shared" si="601"/>
        <v>-264818.64184191712</v>
      </c>
      <c r="BS922" s="15">
        <f t="shared" si="576"/>
        <v>22.170849845882874</v>
      </c>
      <c r="BT922" s="75">
        <f>BS922*(1-PARAM!$C$27)*$I$20+(MOD($B922,60)=PARAM!$B$56)*($B922&gt;(60-PARAM!$B$56))*HLOOKUP(($B922+PARAM!$B$56)/12,Loyalty,2)*$F$1*MAX(BV921,0)</f>
        <v>18.557001321003963</v>
      </c>
      <c r="BU922" s="75">
        <f>PARAM!$C$26+MAX($G$20-CHOOSE(PARAM!$B$44,MAX(0,BV921*$F$1),0),0)*RATES!$L898/12+$H$20*(PARAM!$D$51/12)*RATES!$N898/100</f>
        <v>1190.0416666666667</v>
      </c>
      <c r="BV922" s="16">
        <f t="shared" si="602"/>
        <v>-264818.64184191712</v>
      </c>
      <c r="BW922" s="15">
        <f t="shared" si="577"/>
        <v>22.170849845882874</v>
      </c>
      <c r="BX922" s="75">
        <f>BW922*(1-PARAM!$C$27)*$I$21+(MOD($B922,60)=PARAM!$B$56)*($B922&gt;(60-PARAM!$B$56))*HLOOKUP(($B922+PARAM!$B$56)/12,Loyalty,2)*$F$1*MAX(BZ921,0)</f>
        <v>18.557001321003963</v>
      </c>
      <c r="BY922" s="75">
        <f>PARAM!$C$26+MAX($G$21-CHOOSE(PARAM!$B$44,MAX(0,BZ921*$F$1),0),0)*RATES!$L898/12+$H$21*(PARAM!$D$51/12)*RATES!$N898/100</f>
        <v>1190.0416666666667</v>
      </c>
      <c r="BZ922" s="16">
        <f t="shared" si="603"/>
        <v>-264818.64184191712</v>
      </c>
      <c r="CA922" s="15">
        <f t="shared" si="578"/>
        <v>22.170849845882874</v>
      </c>
      <c r="CB922" s="75">
        <f>CA922*(1-PARAM!$C$27)*$I$22+(MOD($B922,60)=PARAM!$B$56)*($B922&gt;(60-PARAM!$B$56))*HLOOKUP(($B922+PARAM!$B$56)/12,Loyalty,2)*$F$1*MAX(CD921,0)</f>
        <v>18.557001321003963</v>
      </c>
      <c r="CC922" s="75">
        <f>PARAM!$C$26+MAX($G$22-CHOOSE(PARAM!$B$44,MAX(0,CD921*$F$1),0),0)*RATES!$L898/12+$H$22*(PARAM!$D$51/12)*RATES!$N898/100</f>
        <v>1190.0416666666667</v>
      </c>
      <c r="CD922" s="16">
        <f t="shared" si="604"/>
        <v>-264818.64184191712</v>
      </c>
      <c r="CE922" s="33">
        <f>IF(0=MOD(B922,12/PARAM!$D$51),1,0)</f>
        <v>1</v>
      </c>
      <c r="CF922" s="15">
        <f t="shared" si="579"/>
        <v>0</v>
      </c>
      <c r="CG922" s="75">
        <f>CF922*(1-PARAM!$C$27)*$R$3+(MOD($B922/12,5)=0)*($B922&gt;60)*HLOOKUP($B922/12,Loyalty,2)*$F$1*MAX(CI921,0)</f>
        <v>0</v>
      </c>
      <c r="CH922" s="75">
        <f>PARAM!$C$26+MAX($P$3-CHOOSE(PARAM!$B$44,MAX(0,CI921*$F$1),0),0)*RATES!$L898/12+$Q$3*(PARAM!$D$51/12)*RATES!$N898/100</f>
        <v>1190.0416666666667</v>
      </c>
      <c r="CI922" s="16">
        <f>IF(CI921&gt;0,CI921*PARAM!$C$53,CI921)+CG922-CH922</f>
        <v>-281307.58333333326</v>
      </c>
      <c r="CJ922" s="15">
        <f t="shared" si="605"/>
        <v>0</v>
      </c>
      <c r="CK922" s="75">
        <f>CJ922*(1-PARAM!$C$27)*$R$4+(MOD($B922/12,5)=0)*($B922&gt;60)*HLOOKUP($B922/12,Loyalty,2)*$F$1*MAX(CM921,0)</f>
        <v>0</v>
      </c>
      <c r="CL922" s="75">
        <f>PARAM!$C$26+MAX($P$4-CHOOSE(PARAM!$B$44,MAX(0,CM921*$F$1),0),0)*RATES!$L898/12+$Q$4*(PARAM!$D$51/12)*RATES!$N898/100</f>
        <v>1190.0416666666667</v>
      </c>
      <c r="CM922" s="16">
        <f>IF(CM921&gt;0,CM921*PARAM!$C$53,CM921)+CK922-CL922</f>
        <v>-281307.58333333326</v>
      </c>
      <c r="CO922" s="176"/>
    </row>
    <row r="923" spans="1:93" x14ac:dyDescent="0.2">
      <c r="A923" t="b">
        <f t="shared" si="580"/>
        <v>0</v>
      </c>
      <c r="B923" s="33">
        <v>896</v>
      </c>
      <c r="C923" s="15">
        <f t="shared" si="581"/>
        <v>20.081305947392778</v>
      </c>
      <c r="D923" s="75">
        <f>C923*(1-PARAM!$C$27)*$I$3+(MOD($B923,60)=PARAM!$B$56)*($B923&gt;(60-PARAM!$B$56))*HLOOKUP(($B923+PARAM!$B$56)/12,Loyalty,2)*$F$1*MAX(F922,0)</f>
        <v>16.808053077967756</v>
      </c>
      <c r="E923" s="75">
        <f>PARAM!$C$26+MAX($G$3-CHOOSE(PARAM!$B$44,MAX(0,F922*$F$1),0),0)*RATES!$L899/12+$H$3*(PARAM!$D$51/12)*RATES!$N899/100</f>
        <v>1190.0416666666667</v>
      </c>
      <c r="F923" s="16">
        <f t="shared" si="582"/>
        <v>-267594.03463354532</v>
      </c>
      <c r="G923" s="15">
        <f t="shared" si="583"/>
        <v>22.035289406060361</v>
      </c>
      <c r="H923" s="75">
        <f>G923*(1-PARAM!$C$27)*$I$4+(MOD($B923,60)=PARAM!$B$56)*($B923&gt;(60-PARAM!$B$56))*HLOOKUP(($B923+PARAM!$B$56)/12,Loyalty,2)*$F$1*MAX(J922,0)</f>
        <v>18.443537232872522</v>
      </c>
      <c r="I923" s="75">
        <f>PARAM!$C$26+MAX($G$4-CHOOSE(PARAM!$B$44,MAX(0,J922*$F$1),0),0)*RATES!$L899/12+$H$4*(PARAM!$D$51/12)*RATES!$N899/100</f>
        <v>1190.0416666666667</v>
      </c>
      <c r="J923" s="16">
        <f t="shared" si="584"/>
        <v>-266094.80786662729</v>
      </c>
      <c r="K923" s="15">
        <f t="shared" si="585"/>
        <v>22.170849845882874</v>
      </c>
      <c r="L923" s="75">
        <f>K923*(1-PARAM!$C$27)*$I$5+(MOD($B923,60)=PARAM!$B$56)*($B923&gt;(60-PARAM!$B$56))*HLOOKUP(($B923+PARAM!$B$56)/12,Loyalty,2)*$F$1*MAX(N922,0)</f>
        <v>18.557001321003963</v>
      </c>
      <c r="M923" s="75">
        <f>PARAM!$C$26+MAX($G$5-CHOOSE(PARAM!$B$44,MAX(0,N922*$F$1),0),0)*RATES!$L899/12+$H$5*(PARAM!$D$51/12)*RATES!$N899/100</f>
        <v>1190.0416666666667</v>
      </c>
      <c r="N923" s="16">
        <f t="shared" si="586"/>
        <v>-265990.12650726282</v>
      </c>
      <c r="O923" s="15">
        <f t="shared" si="587"/>
        <v>22.170849845882874</v>
      </c>
      <c r="P923" s="75">
        <f>O923*(1-PARAM!$C$27)*$I$6+(MOD($B923,60)=PARAM!$B$56)*($B923&gt;(60-PARAM!$B$56))*HLOOKUP(($B923+PARAM!$B$56)/12,Loyalty,2)*$F$1*MAX(R922,0)</f>
        <v>18.557001321003963</v>
      </c>
      <c r="Q923" s="75">
        <f>PARAM!$C$26+MAX($G$6-CHOOSE(PARAM!$B$44,MAX(0,R922*$F$1),0),0)*RATES!$L899/12+$H$6*(PARAM!$D$51/12)*RATES!$N899/100</f>
        <v>1190.0416666666667</v>
      </c>
      <c r="R923" s="16">
        <f t="shared" si="588"/>
        <v>-265990.12650726282</v>
      </c>
      <c r="S923" s="15">
        <f t="shared" ref="S923:S986" si="606">$H$7*$CE923</f>
        <v>22.170849845882874</v>
      </c>
      <c r="T923" s="75">
        <f>S923*(1-PARAM!$C$27)*$I$7+(MOD($B923,60)=PARAM!$B$56)*($B923&gt;(60-PARAM!$B$56))*HLOOKUP(($B923+PARAM!$B$56)/12,Loyalty,2)*$F$1*MAX(V922,0)</f>
        <v>18.557001321003963</v>
      </c>
      <c r="U923" s="75">
        <f>PARAM!$C$26+MAX($G$7-CHOOSE(PARAM!$B$44,MAX(0,V922*$F$1),0),0)*RATES!$L899/12+$H$7*(PARAM!$D$51/12)*RATES!$N899/100</f>
        <v>1190.0416666666667</v>
      </c>
      <c r="V923" s="16">
        <f t="shared" si="589"/>
        <v>-265990.12650726282</v>
      </c>
      <c r="W923" s="15">
        <f t="shared" ref="W923:W986" si="607">$H$8*$CE923</f>
        <v>22.170849845882874</v>
      </c>
      <c r="X923" s="75">
        <f>W923*(1-PARAM!$C$27)*$I$8+(MOD($B923,60)=PARAM!$B$56)*($B923&gt;(60-PARAM!$B$56))*HLOOKUP(($B923+PARAM!$B$56)/12,Loyalty,2)*$F$1*MAX(Z922,0)</f>
        <v>18.557001321003963</v>
      </c>
      <c r="Y923" s="75">
        <f>PARAM!$C$26+MAX($G$8-CHOOSE(PARAM!$B$44,MAX(0,Z922*$F$1),0),0)*RATES!$L899/12+$H$8*(PARAM!$D$51/12)*RATES!$N899/100</f>
        <v>1190.0416666666667</v>
      </c>
      <c r="Z923" s="16">
        <f t="shared" si="590"/>
        <v>-265990.12650726282</v>
      </c>
      <c r="AA923" s="15">
        <f t="shared" ref="AA923:AA986" si="608">$H$9*$CE923</f>
        <v>22.170849845882874</v>
      </c>
      <c r="AB923" s="75">
        <f>AA923*(1-PARAM!$C$27)*$I$9+(MOD($B923,60)=PARAM!$B$56)*($B923&gt;(60-PARAM!$B$56))*HLOOKUP(($B923+PARAM!$B$56)/12,Loyalty,2)*$F$1*MAX(AD922,0)</f>
        <v>18.557001321003963</v>
      </c>
      <c r="AC923" s="75">
        <f>PARAM!$C$26+MAX($G$9-CHOOSE(PARAM!$B$44,MAX(0,AD922*$F$1),0),0)*RATES!$L899/12+$H$9*(PARAM!$D$51/12)*RATES!$N899/100</f>
        <v>1190.0416666666667</v>
      </c>
      <c r="AD923" s="16">
        <f t="shared" si="591"/>
        <v>-265990.12650726282</v>
      </c>
      <c r="AE923" s="15">
        <f t="shared" ref="AE923:AE986" si="609">$H$10*$CE923</f>
        <v>22.170849845882874</v>
      </c>
      <c r="AF923" s="75">
        <f>AE923*(1-PARAM!$C$27)*$I$10+(MOD($B923,60)=PARAM!$B$56)*($B923&gt;(60-PARAM!$B$56))*HLOOKUP(($B923+PARAM!$B$56)/12,Loyalty,2)*$F$1*MAX(AH922,0)</f>
        <v>18.557001321003963</v>
      </c>
      <c r="AG923" s="75">
        <f>PARAM!$C$26+MAX($G$10-CHOOSE(PARAM!$B$44,MAX(0,AH922*$F$1),0),0)*RATES!$L899/12+$H$10*(PARAM!$D$51/12)*RATES!$N899/100</f>
        <v>1190.0416666666667</v>
      </c>
      <c r="AH923" s="16">
        <f t="shared" si="592"/>
        <v>-265990.12650726282</v>
      </c>
      <c r="AI923" s="15">
        <f t="shared" ref="AI923:AI986" si="610">$H$11*$CE923</f>
        <v>22.170849845882874</v>
      </c>
      <c r="AJ923" s="75">
        <f>AI923*(1-PARAM!$C$27)*$I$11+(MOD($B923,60)=PARAM!$B$56)*($B923&gt;(60-PARAM!$B$56))*HLOOKUP(($B923+PARAM!$B$56)/12,Loyalty,2)*$F$1*MAX(AL922,0)</f>
        <v>18.557001321003963</v>
      </c>
      <c r="AK923" s="75">
        <f>PARAM!$C$26+MAX($G$11-CHOOSE(PARAM!$B$44,MAX(0,AL922*$F$1),0),0)*RATES!$L899/12+$H$11*(PARAM!$D$51/12)*RATES!$N899/100</f>
        <v>1190.0416666666667</v>
      </c>
      <c r="AL923" s="16">
        <f t="shared" si="593"/>
        <v>-265990.12650726282</v>
      </c>
      <c r="AM923" s="15">
        <f t="shared" ref="AM923:AM986" si="611">$H$12*$CE923</f>
        <v>22.170849845882874</v>
      </c>
      <c r="AN923" s="75">
        <f>AM923*(1-PARAM!$C$27)*$I$12+(MOD($B923,60)=PARAM!$B$56)*($B923&gt;(60-PARAM!$B$56))*HLOOKUP(($B923+PARAM!$B$56)/12,Loyalty,2)*$F$1*MAX(AP922,0)</f>
        <v>18.557001321003963</v>
      </c>
      <c r="AO923" s="75">
        <f>PARAM!$C$26+MAX($G$12-CHOOSE(PARAM!$B$44,MAX(0,AP922*$F$1),0),0)*RATES!$L899/12+$H$12*(PARAM!$D$51/12)*RATES!$N899/100</f>
        <v>1190.0416666666667</v>
      </c>
      <c r="AP923" s="16">
        <f t="shared" si="594"/>
        <v>-265990.12650726282</v>
      </c>
      <c r="AQ923" s="15">
        <f t="shared" ref="AQ923:AQ986" si="612">$H$13*$CE923</f>
        <v>22.170849845882874</v>
      </c>
      <c r="AR923" s="75">
        <f>AQ923*(1-PARAM!$C$27)*$I$13+(MOD($B923,60)=PARAM!$B$56)*($B923&gt;(60-PARAM!$B$56))*HLOOKUP(($B923+PARAM!$B$56)/12,Loyalty,2)*$F$1*MAX(AT922,0)</f>
        <v>18.557001321003963</v>
      </c>
      <c r="AS923" s="75">
        <f>PARAM!$C$26+MAX($G$13-CHOOSE(PARAM!$B$44,MAX(0,AT922*$F$1),0),0)*RATES!$L899/12+$H$13*(PARAM!$D$51/12)*RATES!$N899/100</f>
        <v>1190.0416666666667</v>
      </c>
      <c r="AT923" s="16">
        <f t="shared" si="595"/>
        <v>-265990.12650726282</v>
      </c>
      <c r="AU923" s="15">
        <f t="shared" ref="AU923:AU986" si="613">$H$14*$CE923</f>
        <v>22.170849845882874</v>
      </c>
      <c r="AV923" s="75">
        <f>AU923*(1-PARAM!$C$27)*$I$14+(MOD($B923,60)=PARAM!$B$56)*($B923&gt;(60-PARAM!$B$56))*HLOOKUP(($B923+PARAM!$B$56)/12,Loyalty,2)*$F$1*MAX(AX922,0)</f>
        <v>18.557001321003963</v>
      </c>
      <c r="AW923" s="75">
        <f>PARAM!$C$26+MAX($G$14-CHOOSE(PARAM!$B$44,MAX(0,AX922*$F$1),0),0)*RATES!$L899/12+$H$14*(PARAM!$D$51/12)*RATES!$N899/100</f>
        <v>1190.0416666666667</v>
      </c>
      <c r="AX923" s="16">
        <f t="shared" si="596"/>
        <v>-265990.12650726282</v>
      </c>
      <c r="AY923" s="15">
        <f t="shared" ref="AY923:AY986" si="614">$H$15*$CE923</f>
        <v>22.170849845882874</v>
      </c>
      <c r="AZ923" s="75">
        <f>AY923*(1-PARAM!$C$27)*$I$15+(MOD($B923,60)=PARAM!$B$56)*($B923&gt;(60-PARAM!$B$56))*HLOOKUP(($B923+PARAM!$B$56)/12,Loyalty,2)*$F$1*MAX(BB922,0)</f>
        <v>18.557001321003963</v>
      </c>
      <c r="BA923" s="75">
        <f>PARAM!$C$26+MAX($G$15-CHOOSE(PARAM!$B$44,MAX(0,BB922*$F$1),0),0)*RATES!$L899/12+$H$15*(PARAM!$D$51/12)*RATES!$N899/100</f>
        <v>1190.0416666666667</v>
      </c>
      <c r="BB923" s="16">
        <f t="shared" si="597"/>
        <v>-265990.12650726282</v>
      </c>
      <c r="BC923" s="15">
        <f t="shared" ref="BC923:BC986" si="615">$H$16*$CE923</f>
        <v>22.170849845882874</v>
      </c>
      <c r="BD923" s="75">
        <f>BC923*(1-PARAM!$C$27)*$I$16+(MOD($B923,60)=PARAM!$B$56)*($B923&gt;(60-PARAM!$B$56))*HLOOKUP(($B923+PARAM!$B$56)/12,Loyalty,2)*$F$1*MAX(BF922,0)</f>
        <v>18.557001321003963</v>
      </c>
      <c r="BE923" s="75">
        <f>PARAM!$C$26+MAX($G$16-CHOOSE(PARAM!$B$44,MAX(0,BF922*$F$1),0),0)*RATES!$L899/12+$H$16*(PARAM!$D$51/12)*RATES!$N899/100</f>
        <v>1190.0416666666667</v>
      </c>
      <c r="BF923" s="16">
        <f t="shared" si="598"/>
        <v>-265990.12650726282</v>
      </c>
      <c r="BG923" s="15">
        <f t="shared" ref="BG923:BG986" si="616">$H$17*$CE923</f>
        <v>22.170849845882874</v>
      </c>
      <c r="BH923" s="75">
        <f>BG923*(1-PARAM!$C$27)*$I$17+(MOD($B923,60)=PARAM!$B$56)*($B923&gt;(60-PARAM!$B$56))*HLOOKUP(($B923+PARAM!$B$56)/12,Loyalty,2)*$F$1*MAX(BJ922,0)</f>
        <v>18.557001321003963</v>
      </c>
      <c r="BI923" s="75">
        <f>PARAM!$C$26+MAX($G$17-CHOOSE(PARAM!$B$44,MAX(0,BJ922*$F$1),0),0)*RATES!$L899/12+$H$17*(PARAM!$D$51/12)*RATES!$N899/100</f>
        <v>1190.0416666666667</v>
      </c>
      <c r="BJ923" s="16">
        <f t="shared" si="599"/>
        <v>-265990.12650726282</v>
      </c>
      <c r="BK923" s="15">
        <f t="shared" ref="BK923:BK986" si="617">$H$18*$CE923</f>
        <v>22.170849845882874</v>
      </c>
      <c r="BL923" s="75">
        <f>BK923*(1-PARAM!$C$27)*$I$18+(MOD($B923,60)=PARAM!$B$56)*($B923&gt;(60-PARAM!$B$56))*HLOOKUP(($B923+PARAM!$B$56)/12,Loyalty,2)*$F$1*MAX(BN922,0)</f>
        <v>18.557001321003963</v>
      </c>
      <c r="BM923" s="75">
        <f>PARAM!$C$26+MAX($G$18-CHOOSE(PARAM!$B$44,MAX(0,BN922*$F$1),0),0)*RATES!$L899/12+$H$18*(PARAM!$D$51/12)*RATES!$N899/100</f>
        <v>1190.0416666666667</v>
      </c>
      <c r="BN923" s="16">
        <f t="shared" si="600"/>
        <v>-265990.12650726282</v>
      </c>
      <c r="BO923" s="15">
        <f t="shared" ref="BO923:BO986" si="618">$H$19*$CE923</f>
        <v>22.170849845882874</v>
      </c>
      <c r="BP923" s="75">
        <f>BO923*(1-PARAM!$C$27)*$I$19+(MOD($B923,60)=PARAM!$B$56)*($B923&gt;(60-PARAM!$B$56))*HLOOKUP(($B923+PARAM!$B$56)/12,Loyalty,2)*$F$1*MAX(BR922,0)</f>
        <v>18.557001321003963</v>
      </c>
      <c r="BQ923" s="75">
        <f>PARAM!$C$26+MAX($G$19-CHOOSE(PARAM!$B$44,MAX(0,BR922*$F$1),0),0)*RATES!$L899/12+$H$19*(PARAM!$D$51/12)*RATES!$N899/100</f>
        <v>1190.0416666666667</v>
      </c>
      <c r="BR923" s="16">
        <f t="shared" si="601"/>
        <v>-265990.12650726282</v>
      </c>
      <c r="BS923" s="15">
        <f t="shared" ref="BS923:BS986" si="619">$H$20*$CE923</f>
        <v>22.170849845882874</v>
      </c>
      <c r="BT923" s="75">
        <f>BS923*(1-PARAM!$C$27)*$I$20+(MOD($B923,60)=PARAM!$B$56)*($B923&gt;(60-PARAM!$B$56))*HLOOKUP(($B923+PARAM!$B$56)/12,Loyalty,2)*$F$1*MAX(BV922,0)</f>
        <v>18.557001321003963</v>
      </c>
      <c r="BU923" s="75">
        <f>PARAM!$C$26+MAX($G$20-CHOOSE(PARAM!$B$44,MAX(0,BV922*$F$1),0),0)*RATES!$L899/12+$H$20*(PARAM!$D$51/12)*RATES!$N899/100</f>
        <v>1190.0416666666667</v>
      </c>
      <c r="BV923" s="16">
        <f t="shared" si="602"/>
        <v>-265990.12650726282</v>
      </c>
      <c r="BW923" s="15">
        <f t="shared" ref="BW923:BW986" si="620">$H$21*$CE923</f>
        <v>22.170849845882874</v>
      </c>
      <c r="BX923" s="75">
        <f>BW923*(1-PARAM!$C$27)*$I$21+(MOD($B923,60)=PARAM!$B$56)*($B923&gt;(60-PARAM!$B$56))*HLOOKUP(($B923+PARAM!$B$56)/12,Loyalty,2)*$F$1*MAX(BZ922,0)</f>
        <v>18.557001321003963</v>
      </c>
      <c r="BY923" s="75">
        <f>PARAM!$C$26+MAX($G$21-CHOOSE(PARAM!$B$44,MAX(0,BZ922*$F$1),0),0)*RATES!$L899/12+$H$21*(PARAM!$D$51/12)*RATES!$N899/100</f>
        <v>1190.0416666666667</v>
      </c>
      <c r="BZ923" s="16">
        <f t="shared" si="603"/>
        <v>-265990.12650726282</v>
      </c>
      <c r="CA923" s="15">
        <f t="shared" ref="CA923:CA986" si="621">$H$22*$CE923</f>
        <v>22.170849845882874</v>
      </c>
      <c r="CB923" s="75">
        <f>CA923*(1-PARAM!$C$27)*$I$22+(MOD($B923,60)=PARAM!$B$56)*($B923&gt;(60-PARAM!$B$56))*HLOOKUP(($B923+PARAM!$B$56)/12,Loyalty,2)*$F$1*MAX(CD922,0)</f>
        <v>18.557001321003963</v>
      </c>
      <c r="CC923" s="75">
        <f>PARAM!$C$26+MAX($G$22-CHOOSE(PARAM!$B$44,MAX(0,CD922*$F$1),0),0)*RATES!$L899/12+$H$22*(PARAM!$D$51/12)*RATES!$N899/100</f>
        <v>1190.0416666666667</v>
      </c>
      <c r="CD923" s="16">
        <f t="shared" si="604"/>
        <v>-265990.12650726282</v>
      </c>
      <c r="CE923" s="33">
        <f>IF(0=MOD(B923,12/PARAM!$D$51),1,0)</f>
        <v>1</v>
      </c>
      <c r="CF923" s="15">
        <f t="shared" ref="CF923:CF986" si="622">$Q$3*CE923</f>
        <v>0</v>
      </c>
      <c r="CG923" s="75">
        <f>CF923*(1-PARAM!$C$27)*$R$3+(MOD($B923/12,5)=0)*($B923&gt;60)*HLOOKUP($B923/12,Loyalty,2)*$F$1*MAX(CI922,0)</f>
        <v>0</v>
      </c>
      <c r="CH923" s="75">
        <f>PARAM!$C$26+MAX($P$3-CHOOSE(PARAM!$B$44,MAX(0,CI922*$F$1),0),0)*RATES!$L899/12+$Q$3*(PARAM!$D$51/12)*RATES!$N899/100</f>
        <v>1190.0416666666667</v>
      </c>
      <c r="CI923" s="16">
        <f>IF(CI922&gt;0,CI922*PARAM!$C$53,CI922)+CG923-CH923</f>
        <v>-282497.62499999994</v>
      </c>
      <c r="CJ923" s="15">
        <f t="shared" si="605"/>
        <v>0</v>
      </c>
      <c r="CK923" s="75">
        <f>CJ923*(1-PARAM!$C$27)*$R$4+(MOD($B923/12,5)=0)*($B923&gt;60)*HLOOKUP($B923/12,Loyalty,2)*$F$1*MAX(CM922,0)</f>
        <v>0</v>
      </c>
      <c r="CL923" s="75">
        <f>PARAM!$C$26+MAX($P$4-CHOOSE(PARAM!$B$44,MAX(0,CM922*$F$1),0),0)*RATES!$L899/12+$Q$4*(PARAM!$D$51/12)*RATES!$N899/100</f>
        <v>1190.0416666666667</v>
      </c>
      <c r="CM923" s="16">
        <f>IF(CM922&gt;0,CM922*PARAM!$C$53,CM922)+CK923-CL923</f>
        <v>-282497.62499999994</v>
      </c>
      <c r="CO923" s="176"/>
    </row>
    <row r="924" spans="1:93" x14ac:dyDescent="0.2">
      <c r="A924" t="b">
        <f t="shared" ref="A924:A987" si="623">F924&gt;0</f>
        <v>0</v>
      </c>
      <c r="B924" s="33">
        <v>897</v>
      </c>
      <c r="C924" s="15">
        <f t="shared" ref="C924:C987" si="624">$H$3*$CE924</f>
        <v>20.081305947392778</v>
      </c>
      <c r="D924" s="75">
        <f>C924*(1-PARAM!$C$27)*$I$3+(MOD($B924,60)=PARAM!$B$56)*($B924&gt;(60-PARAM!$B$56))*HLOOKUP(($B924+PARAM!$B$56)/12,Loyalty,2)*$F$1*MAX(F923,0)</f>
        <v>16.808053077967756</v>
      </c>
      <c r="E924" s="75">
        <f>PARAM!$C$26+MAX($G$3-CHOOSE(PARAM!$B$44,MAX(0,F923*$F$1),0),0)*RATES!$L900/12+$H$3*(PARAM!$D$51/12)*RATES!$N900/100</f>
        <v>1190.0416666666667</v>
      </c>
      <c r="F924" s="16">
        <f t="shared" ref="F924:F987" si="625">IF(F923&gt;0,F923*$F$1,F923)+D924-E924</f>
        <v>-268767.26824713405</v>
      </c>
      <c r="G924" s="15">
        <f t="shared" ref="G924:G987" si="626">$H$4*$CE924</f>
        <v>22.035289406060361</v>
      </c>
      <c r="H924" s="75">
        <f>G924*(1-PARAM!$C$27)*$I$4+(MOD($B924,60)=PARAM!$B$56)*($B924&gt;(60-PARAM!$B$56))*HLOOKUP(($B924+PARAM!$B$56)/12,Loyalty,2)*$F$1*MAX(J923,0)</f>
        <v>18.443537232872522</v>
      </c>
      <c r="I924" s="75">
        <f>PARAM!$C$26+MAX($G$4-CHOOSE(PARAM!$B$44,MAX(0,J923*$F$1),0),0)*RATES!$L900/12+$H$4*(PARAM!$D$51/12)*RATES!$N900/100</f>
        <v>1190.0416666666667</v>
      </c>
      <c r="J924" s="16">
        <f t="shared" ref="J924:J987" si="627">IF(J923&gt;0,J923*$F$1,J923)+H924-I924</f>
        <v>-267266.4059960611</v>
      </c>
      <c r="K924" s="15">
        <f t="shared" ref="K924:K987" si="628">$H$5*$CE924</f>
        <v>22.170849845882874</v>
      </c>
      <c r="L924" s="75">
        <f>K924*(1-PARAM!$C$27)*$I$5+(MOD($B924,60)=PARAM!$B$56)*($B924&gt;(60-PARAM!$B$56))*HLOOKUP(($B924+PARAM!$B$56)/12,Loyalty,2)*$F$1*MAX(N923,0)</f>
        <v>18.557001321003963</v>
      </c>
      <c r="M924" s="75">
        <f>PARAM!$C$26+MAX($G$5-CHOOSE(PARAM!$B$44,MAX(0,N923*$F$1),0),0)*RATES!$L900/12+$H$5*(PARAM!$D$51/12)*RATES!$N900/100</f>
        <v>1190.0416666666667</v>
      </c>
      <c r="N924" s="16">
        <f t="shared" ref="N924:N987" si="629">IF(N923&gt;0,N923*$F$1,N923)+L924-M924</f>
        <v>-267161.61117260851</v>
      </c>
      <c r="O924" s="15">
        <f t="shared" ref="O924:O987" si="630">$H$6*$CE924</f>
        <v>22.170849845882874</v>
      </c>
      <c r="P924" s="75">
        <f>O924*(1-PARAM!$C$27)*$I$6+(MOD($B924,60)=PARAM!$B$56)*($B924&gt;(60-PARAM!$B$56))*HLOOKUP(($B924+PARAM!$B$56)/12,Loyalty,2)*$F$1*MAX(R923,0)</f>
        <v>18.557001321003963</v>
      </c>
      <c r="Q924" s="75">
        <f>PARAM!$C$26+MAX($G$6-CHOOSE(PARAM!$B$44,MAX(0,R923*$F$1),0),0)*RATES!$L900/12+$H$6*(PARAM!$D$51/12)*RATES!$N900/100</f>
        <v>1190.0416666666667</v>
      </c>
      <c r="R924" s="16">
        <f t="shared" ref="R924:R987" si="631">IF(R923&gt;0,R923*$F$1,R923)+P924-Q924</f>
        <v>-267161.61117260851</v>
      </c>
      <c r="S924" s="15">
        <f t="shared" si="606"/>
        <v>22.170849845882874</v>
      </c>
      <c r="T924" s="75">
        <f>S924*(1-PARAM!$C$27)*$I$7+(MOD($B924,60)=PARAM!$B$56)*($B924&gt;(60-PARAM!$B$56))*HLOOKUP(($B924+PARAM!$B$56)/12,Loyalty,2)*$F$1*MAX(V923,0)</f>
        <v>18.557001321003963</v>
      </c>
      <c r="U924" s="75">
        <f>PARAM!$C$26+MAX($G$7-CHOOSE(PARAM!$B$44,MAX(0,V923*$F$1),0),0)*RATES!$L900/12+$H$7*(PARAM!$D$51/12)*RATES!$N900/100</f>
        <v>1190.0416666666667</v>
      </c>
      <c r="V924" s="16">
        <f t="shared" ref="V924:V987" si="632">IF(V923&gt;0,V923*$F$1,V923)+T924-U924</f>
        <v>-267161.61117260851</v>
      </c>
      <c r="W924" s="15">
        <f t="shared" si="607"/>
        <v>22.170849845882874</v>
      </c>
      <c r="X924" s="75">
        <f>W924*(1-PARAM!$C$27)*$I$8+(MOD($B924,60)=PARAM!$B$56)*($B924&gt;(60-PARAM!$B$56))*HLOOKUP(($B924+PARAM!$B$56)/12,Loyalty,2)*$F$1*MAX(Z923,0)</f>
        <v>18.557001321003963</v>
      </c>
      <c r="Y924" s="75">
        <f>PARAM!$C$26+MAX($G$8-CHOOSE(PARAM!$B$44,MAX(0,Z923*$F$1),0),0)*RATES!$L900/12+$H$8*(PARAM!$D$51/12)*RATES!$N900/100</f>
        <v>1190.0416666666667</v>
      </c>
      <c r="Z924" s="16">
        <f t="shared" ref="Z924:Z987" si="633">IF(Z923&gt;0,Z923*$F$1,Z923)+X924-Y924</f>
        <v>-267161.61117260851</v>
      </c>
      <c r="AA924" s="15">
        <f t="shared" si="608"/>
        <v>22.170849845882874</v>
      </c>
      <c r="AB924" s="75">
        <f>AA924*(1-PARAM!$C$27)*$I$9+(MOD($B924,60)=PARAM!$B$56)*($B924&gt;(60-PARAM!$B$56))*HLOOKUP(($B924+PARAM!$B$56)/12,Loyalty,2)*$F$1*MAX(AD923,0)</f>
        <v>18.557001321003963</v>
      </c>
      <c r="AC924" s="75">
        <f>PARAM!$C$26+MAX($G$9-CHOOSE(PARAM!$B$44,MAX(0,AD923*$F$1),0),0)*RATES!$L900/12+$H$9*(PARAM!$D$51/12)*RATES!$N900/100</f>
        <v>1190.0416666666667</v>
      </c>
      <c r="AD924" s="16">
        <f t="shared" ref="AD924:AD987" si="634">IF(AD923&gt;0,AD923*$F$1,AD923)+AB924-AC924</f>
        <v>-267161.61117260851</v>
      </c>
      <c r="AE924" s="15">
        <f t="shared" si="609"/>
        <v>22.170849845882874</v>
      </c>
      <c r="AF924" s="75">
        <f>AE924*(1-PARAM!$C$27)*$I$10+(MOD($B924,60)=PARAM!$B$56)*($B924&gt;(60-PARAM!$B$56))*HLOOKUP(($B924+PARAM!$B$56)/12,Loyalty,2)*$F$1*MAX(AH923,0)</f>
        <v>18.557001321003963</v>
      </c>
      <c r="AG924" s="75">
        <f>PARAM!$C$26+MAX($G$10-CHOOSE(PARAM!$B$44,MAX(0,AH923*$F$1),0),0)*RATES!$L900/12+$H$10*(PARAM!$D$51/12)*RATES!$N900/100</f>
        <v>1190.0416666666667</v>
      </c>
      <c r="AH924" s="16">
        <f t="shared" ref="AH924:AH987" si="635">IF(AH923&gt;0,AH923*$F$1,AH923)+AF924-AG924</f>
        <v>-267161.61117260851</v>
      </c>
      <c r="AI924" s="15">
        <f t="shared" si="610"/>
        <v>22.170849845882874</v>
      </c>
      <c r="AJ924" s="75">
        <f>AI924*(1-PARAM!$C$27)*$I$11+(MOD($B924,60)=PARAM!$B$56)*($B924&gt;(60-PARAM!$B$56))*HLOOKUP(($B924+PARAM!$B$56)/12,Loyalty,2)*$F$1*MAX(AL923,0)</f>
        <v>18.557001321003963</v>
      </c>
      <c r="AK924" s="75">
        <f>PARAM!$C$26+MAX($G$11-CHOOSE(PARAM!$B$44,MAX(0,AL923*$F$1),0),0)*RATES!$L900/12+$H$11*(PARAM!$D$51/12)*RATES!$N900/100</f>
        <v>1190.0416666666667</v>
      </c>
      <c r="AL924" s="16">
        <f t="shared" ref="AL924:AL987" si="636">IF(AL923&gt;0,AL923*$F$1,AL923)+AJ924-AK924</f>
        <v>-267161.61117260851</v>
      </c>
      <c r="AM924" s="15">
        <f t="shared" si="611"/>
        <v>22.170849845882874</v>
      </c>
      <c r="AN924" s="75">
        <f>AM924*(1-PARAM!$C$27)*$I$12+(MOD($B924,60)=PARAM!$B$56)*($B924&gt;(60-PARAM!$B$56))*HLOOKUP(($B924+PARAM!$B$56)/12,Loyalty,2)*$F$1*MAX(AP923,0)</f>
        <v>18.557001321003963</v>
      </c>
      <c r="AO924" s="75">
        <f>PARAM!$C$26+MAX($G$12-CHOOSE(PARAM!$B$44,MAX(0,AP923*$F$1),0),0)*RATES!$L900/12+$H$12*(PARAM!$D$51/12)*RATES!$N900/100</f>
        <v>1190.0416666666667</v>
      </c>
      <c r="AP924" s="16">
        <f t="shared" ref="AP924:AP987" si="637">IF(AP923&gt;0,AP923*$F$1,AP923)+AN924-AO924</f>
        <v>-267161.61117260851</v>
      </c>
      <c r="AQ924" s="15">
        <f t="shared" si="612"/>
        <v>22.170849845882874</v>
      </c>
      <c r="AR924" s="75">
        <f>AQ924*(1-PARAM!$C$27)*$I$13+(MOD($B924,60)=PARAM!$B$56)*($B924&gt;(60-PARAM!$B$56))*HLOOKUP(($B924+PARAM!$B$56)/12,Loyalty,2)*$F$1*MAX(AT923,0)</f>
        <v>18.557001321003963</v>
      </c>
      <c r="AS924" s="75">
        <f>PARAM!$C$26+MAX($G$13-CHOOSE(PARAM!$B$44,MAX(0,AT923*$F$1),0),0)*RATES!$L900/12+$H$13*(PARAM!$D$51/12)*RATES!$N900/100</f>
        <v>1190.0416666666667</v>
      </c>
      <c r="AT924" s="16">
        <f t="shared" ref="AT924:AT987" si="638">IF(AT923&gt;0,AT923*$F$1,AT923)+AR924-AS924</f>
        <v>-267161.61117260851</v>
      </c>
      <c r="AU924" s="15">
        <f t="shared" si="613"/>
        <v>22.170849845882874</v>
      </c>
      <c r="AV924" s="75">
        <f>AU924*(1-PARAM!$C$27)*$I$14+(MOD($B924,60)=PARAM!$B$56)*($B924&gt;(60-PARAM!$B$56))*HLOOKUP(($B924+PARAM!$B$56)/12,Loyalty,2)*$F$1*MAX(AX923,0)</f>
        <v>18.557001321003963</v>
      </c>
      <c r="AW924" s="75">
        <f>PARAM!$C$26+MAX($G$14-CHOOSE(PARAM!$B$44,MAX(0,AX923*$F$1),0),0)*RATES!$L900/12+$H$14*(PARAM!$D$51/12)*RATES!$N900/100</f>
        <v>1190.0416666666667</v>
      </c>
      <c r="AX924" s="16">
        <f t="shared" ref="AX924:AX987" si="639">IF(AX923&gt;0,AX923*$F$1,AX923)+AV924-AW924</f>
        <v>-267161.61117260851</v>
      </c>
      <c r="AY924" s="15">
        <f t="shared" si="614"/>
        <v>22.170849845882874</v>
      </c>
      <c r="AZ924" s="75">
        <f>AY924*(1-PARAM!$C$27)*$I$15+(MOD($B924,60)=PARAM!$B$56)*($B924&gt;(60-PARAM!$B$56))*HLOOKUP(($B924+PARAM!$B$56)/12,Loyalty,2)*$F$1*MAX(BB923,0)</f>
        <v>18.557001321003963</v>
      </c>
      <c r="BA924" s="75">
        <f>PARAM!$C$26+MAX($G$15-CHOOSE(PARAM!$B$44,MAX(0,BB923*$F$1),0),0)*RATES!$L900/12+$H$15*(PARAM!$D$51/12)*RATES!$N900/100</f>
        <v>1190.0416666666667</v>
      </c>
      <c r="BB924" s="16">
        <f t="shared" ref="BB924:BB987" si="640">IF(BB923&gt;0,BB923*$F$1,BB923)+AZ924-BA924</f>
        <v>-267161.61117260851</v>
      </c>
      <c r="BC924" s="15">
        <f t="shared" si="615"/>
        <v>22.170849845882874</v>
      </c>
      <c r="BD924" s="75">
        <f>BC924*(1-PARAM!$C$27)*$I$16+(MOD($B924,60)=PARAM!$B$56)*($B924&gt;(60-PARAM!$B$56))*HLOOKUP(($B924+PARAM!$B$56)/12,Loyalty,2)*$F$1*MAX(BF923,0)</f>
        <v>18.557001321003963</v>
      </c>
      <c r="BE924" s="75">
        <f>PARAM!$C$26+MAX($G$16-CHOOSE(PARAM!$B$44,MAX(0,BF923*$F$1),0),0)*RATES!$L900/12+$H$16*(PARAM!$D$51/12)*RATES!$N900/100</f>
        <v>1190.0416666666667</v>
      </c>
      <c r="BF924" s="16">
        <f t="shared" ref="BF924:BF987" si="641">IF(BF923&gt;0,BF923*$F$1,BF923)+BD924-BE924</f>
        <v>-267161.61117260851</v>
      </c>
      <c r="BG924" s="15">
        <f t="shared" si="616"/>
        <v>22.170849845882874</v>
      </c>
      <c r="BH924" s="75">
        <f>BG924*(1-PARAM!$C$27)*$I$17+(MOD($B924,60)=PARAM!$B$56)*($B924&gt;(60-PARAM!$B$56))*HLOOKUP(($B924+PARAM!$B$56)/12,Loyalty,2)*$F$1*MAX(BJ923,0)</f>
        <v>18.557001321003963</v>
      </c>
      <c r="BI924" s="75">
        <f>PARAM!$C$26+MAX($G$17-CHOOSE(PARAM!$B$44,MAX(0,BJ923*$F$1),0),0)*RATES!$L900/12+$H$17*(PARAM!$D$51/12)*RATES!$N900/100</f>
        <v>1190.0416666666667</v>
      </c>
      <c r="BJ924" s="16">
        <f t="shared" ref="BJ924:BJ987" si="642">IF(BJ923&gt;0,BJ923*$F$1,BJ923)+BH924-BI924</f>
        <v>-267161.61117260851</v>
      </c>
      <c r="BK924" s="15">
        <f t="shared" si="617"/>
        <v>22.170849845882874</v>
      </c>
      <c r="BL924" s="75">
        <f>BK924*(1-PARAM!$C$27)*$I$18+(MOD($B924,60)=PARAM!$B$56)*($B924&gt;(60-PARAM!$B$56))*HLOOKUP(($B924+PARAM!$B$56)/12,Loyalty,2)*$F$1*MAX(BN923,0)</f>
        <v>18.557001321003963</v>
      </c>
      <c r="BM924" s="75">
        <f>PARAM!$C$26+MAX($G$18-CHOOSE(PARAM!$B$44,MAX(0,BN923*$F$1),0),0)*RATES!$L900/12+$H$18*(PARAM!$D$51/12)*RATES!$N900/100</f>
        <v>1190.0416666666667</v>
      </c>
      <c r="BN924" s="16">
        <f t="shared" ref="BN924:BN987" si="643">IF(BN923&gt;0,BN923*$F$1,BN923)+BL924-BM924</f>
        <v>-267161.61117260851</v>
      </c>
      <c r="BO924" s="15">
        <f t="shared" si="618"/>
        <v>22.170849845882874</v>
      </c>
      <c r="BP924" s="75">
        <f>BO924*(1-PARAM!$C$27)*$I$19+(MOD($B924,60)=PARAM!$B$56)*($B924&gt;(60-PARAM!$B$56))*HLOOKUP(($B924+PARAM!$B$56)/12,Loyalty,2)*$F$1*MAX(BR923,0)</f>
        <v>18.557001321003963</v>
      </c>
      <c r="BQ924" s="75">
        <f>PARAM!$C$26+MAX($G$19-CHOOSE(PARAM!$B$44,MAX(0,BR923*$F$1),0),0)*RATES!$L900/12+$H$19*(PARAM!$D$51/12)*RATES!$N900/100</f>
        <v>1190.0416666666667</v>
      </c>
      <c r="BR924" s="16">
        <f t="shared" ref="BR924:BR987" si="644">IF(BR923&gt;0,BR923*$F$1,BR923)+BP924-BQ924</f>
        <v>-267161.61117260851</v>
      </c>
      <c r="BS924" s="15">
        <f t="shared" si="619"/>
        <v>22.170849845882874</v>
      </c>
      <c r="BT924" s="75">
        <f>BS924*(1-PARAM!$C$27)*$I$20+(MOD($B924,60)=PARAM!$B$56)*($B924&gt;(60-PARAM!$B$56))*HLOOKUP(($B924+PARAM!$B$56)/12,Loyalty,2)*$F$1*MAX(BV923,0)</f>
        <v>18.557001321003963</v>
      </c>
      <c r="BU924" s="75">
        <f>PARAM!$C$26+MAX($G$20-CHOOSE(PARAM!$B$44,MAX(0,BV923*$F$1),0),0)*RATES!$L900/12+$H$20*(PARAM!$D$51/12)*RATES!$N900/100</f>
        <v>1190.0416666666667</v>
      </c>
      <c r="BV924" s="16">
        <f t="shared" ref="BV924:BV987" si="645">IF(BV923&gt;0,BV923*$F$1,BV923)+BT924-BU924</f>
        <v>-267161.61117260851</v>
      </c>
      <c r="BW924" s="15">
        <f t="shared" si="620"/>
        <v>22.170849845882874</v>
      </c>
      <c r="BX924" s="75">
        <f>BW924*(1-PARAM!$C$27)*$I$21+(MOD($B924,60)=PARAM!$B$56)*($B924&gt;(60-PARAM!$B$56))*HLOOKUP(($B924+PARAM!$B$56)/12,Loyalty,2)*$F$1*MAX(BZ923,0)</f>
        <v>18.557001321003963</v>
      </c>
      <c r="BY924" s="75">
        <f>PARAM!$C$26+MAX($G$21-CHOOSE(PARAM!$B$44,MAX(0,BZ923*$F$1),0),0)*RATES!$L900/12+$H$21*(PARAM!$D$51/12)*RATES!$N900/100</f>
        <v>1190.0416666666667</v>
      </c>
      <c r="BZ924" s="16">
        <f t="shared" ref="BZ924:BZ987" si="646">IF(BZ923&gt;0,BZ923*$F$1,BZ923)+BX924-BY924</f>
        <v>-267161.61117260851</v>
      </c>
      <c r="CA924" s="15">
        <f t="shared" si="621"/>
        <v>22.170849845882874</v>
      </c>
      <c r="CB924" s="75">
        <f>CA924*(1-PARAM!$C$27)*$I$22+(MOD($B924,60)=PARAM!$B$56)*($B924&gt;(60-PARAM!$B$56))*HLOOKUP(($B924+PARAM!$B$56)/12,Loyalty,2)*$F$1*MAX(CD923,0)</f>
        <v>18.557001321003963</v>
      </c>
      <c r="CC924" s="75">
        <f>PARAM!$C$26+MAX($G$22-CHOOSE(PARAM!$B$44,MAX(0,CD923*$F$1),0),0)*RATES!$L900/12+$H$22*(PARAM!$D$51/12)*RATES!$N900/100</f>
        <v>1190.0416666666667</v>
      </c>
      <c r="CD924" s="16">
        <f t="shared" ref="CD924:CD987" si="647">IF(CD923&gt;0,CD923*$F$1,CD923)+CB924-CC924</f>
        <v>-267161.61117260851</v>
      </c>
      <c r="CE924" s="33">
        <f>IF(0=MOD(B924,12/PARAM!$D$51),1,0)</f>
        <v>1</v>
      </c>
      <c r="CF924" s="15">
        <f t="shared" si="622"/>
        <v>0</v>
      </c>
      <c r="CG924" s="75">
        <f>CF924*(1-PARAM!$C$27)*$R$3+(MOD($B924/12,5)=0)*($B924&gt;60)*HLOOKUP($B924/12,Loyalty,2)*$F$1*MAX(CI923,0)</f>
        <v>0</v>
      </c>
      <c r="CH924" s="75">
        <f>PARAM!$C$26+MAX($P$3-CHOOSE(PARAM!$B$44,MAX(0,CI923*$F$1),0),0)*RATES!$L900/12+$Q$3*(PARAM!$D$51/12)*RATES!$N900/100</f>
        <v>1190.0416666666667</v>
      </c>
      <c r="CI924" s="16">
        <f>IF(CI923&gt;0,CI923*PARAM!$C$53,CI923)+CG924-CH924</f>
        <v>-283687.66666666663</v>
      </c>
      <c r="CJ924" s="15">
        <f t="shared" ref="CJ924:CJ987" si="648">$Q$4*CE924</f>
        <v>0</v>
      </c>
      <c r="CK924" s="75">
        <f>CJ924*(1-PARAM!$C$27)*$R$4+(MOD($B924/12,5)=0)*($B924&gt;60)*HLOOKUP($B924/12,Loyalty,2)*$F$1*MAX(CM923,0)</f>
        <v>0</v>
      </c>
      <c r="CL924" s="75">
        <f>PARAM!$C$26+MAX($P$4-CHOOSE(PARAM!$B$44,MAX(0,CM923*$F$1),0),0)*RATES!$L900/12+$Q$4*(PARAM!$D$51/12)*RATES!$N900/100</f>
        <v>1190.0416666666667</v>
      </c>
      <c r="CM924" s="16">
        <f>IF(CM923&gt;0,CM923*PARAM!$C$53,CM923)+CK924-CL924</f>
        <v>-283687.66666666663</v>
      </c>
      <c r="CO924" s="176"/>
    </row>
    <row r="925" spans="1:93" x14ac:dyDescent="0.2">
      <c r="A925" t="b">
        <f t="shared" si="623"/>
        <v>0</v>
      </c>
      <c r="B925" s="33">
        <v>898</v>
      </c>
      <c r="C925" s="15">
        <f t="shared" si="624"/>
        <v>20.081305947392778</v>
      </c>
      <c r="D925" s="75">
        <f>C925*(1-PARAM!$C$27)*$I$3+(MOD($B925,60)=PARAM!$B$56)*($B925&gt;(60-PARAM!$B$56))*HLOOKUP(($B925+PARAM!$B$56)/12,Loyalty,2)*$F$1*MAX(F924,0)</f>
        <v>16.808053077967756</v>
      </c>
      <c r="E925" s="75">
        <f>PARAM!$C$26+MAX($G$3-CHOOSE(PARAM!$B$44,MAX(0,F924*$F$1),0),0)*RATES!$L901/12+$H$3*(PARAM!$D$51/12)*RATES!$N901/100</f>
        <v>1190.0416666666667</v>
      </c>
      <c r="F925" s="16">
        <f t="shared" si="625"/>
        <v>-269940.50186072278</v>
      </c>
      <c r="G925" s="15">
        <f t="shared" si="626"/>
        <v>22.035289406060361</v>
      </c>
      <c r="H925" s="75">
        <f>G925*(1-PARAM!$C$27)*$I$4+(MOD($B925,60)=PARAM!$B$56)*($B925&gt;(60-PARAM!$B$56))*HLOOKUP(($B925+PARAM!$B$56)/12,Loyalty,2)*$F$1*MAX(J924,0)</f>
        <v>18.443537232872522</v>
      </c>
      <c r="I925" s="75">
        <f>PARAM!$C$26+MAX($G$4-CHOOSE(PARAM!$B$44,MAX(0,J924*$F$1),0),0)*RATES!$L901/12+$H$4*(PARAM!$D$51/12)*RATES!$N901/100</f>
        <v>1190.0416666666667</v>
      </c>
      <c r="J925" s="16">
        <f t="shared" si="627"/>
        <v>-268438.00412549492</v>
      </c>
      <c r="K925" s="15">
        <f t="shared" si="628"/>
        <v>22.170849845882874</v>
      </c>
      <c r="L925" s="75">
        <f>K925*(1-PARAM!$C$27)*$I$5+(MOD($B925,60)=PARAM!$B$56)*($B925&gt;(60-PARAM!$B$56))*HLOOKUP(($B925+PARAM!$B$56)/12,Loyalty,2)*$F$1*MAX(N924,0)</f>
        <v>18.557001321003963</v>
      </c>
      <c r="M925" s="75">
        <f>PARAM!$C$26+MAX($G$5-CHOOSE(PARAM!$B$44,MAX(0,N924*$F$1),0),0)*RATES!$L901/12+$H$5*(PARAM!$D$51/12)*RATES!$N901/100</f>
        <v>1190.0416666666667</v>
      </c>
      <c r="N925" s="16">
        <f t="shared" si="629"/>
        <v>-268333.0958379542</v>
      </c>
      <c r="O925" s="15">
        <f t="shared" si="630"/>
        <v>22.170849845882874</v>
      </c>
      <c r="P925" s="75">
        <f>O925*(1-PARAM!$C$27)*$I$6+(MOD($B925,60)=PARAM!$B$56)*($B925&gt;(60-PARAM!$B$56))*HLOOKUP(($B925+PARAM!$B$56)/12,Loyalty,2)*$F$1*MAX(R924,0)</f>
        <v>18.557001321003963</v>
      </c>
      <c r="Q925" s="75">
        <f>PARAM!$C$26+MAX($G$6-CHOOSE(PARAM!$B$44,MAX(0,R924*$F$1),0),0)*RATES!$L901/12+$H$6*(PARAM!$D$51/12)*RATES!$N901/100</f>
        <v>1190.0416666666667</v>
      </c>
      <c r="R925" s="16">
        <f t="shared" si="631"/>
        <v>-268333.0958379542</v>
      </c>
      <c r="S925" s="15">
        <f t="shared" si="606"/>
        <v>22.170849845882874</v>
      </c>
      <c r="T925" s="75">
        <f>S925*(1-PARAM!$C$27)*$I$7+(MOD($B925,60)=PARAM!$B$56)*($B925&gt;(60-PARAM!$B$56))*HLOOKUP(($B925+PARAM!$B$56)/12,Loyalty,2)*$F$1*MAX(V924,0)</f>
        <v>18.557001321003963</v>
      </c>
      <c r="U925" s="75">
        <f>PARAM!$C$26+MAX($G$7-CHOOSE(PARAM!$B$44,MAX(0,V924*$F$1),0),0)*RATES!$L901/12+$H$7*(PARAM!$D$51/12)*RATES!$N901/100</f>
        <v>1190.0416666666667</v>
      </c>
      <c r="V925" s="16">
        <f t="shared" si="632"/>
        <v>-268333.0958379542</v>
      </c>
      <c r="W925" s="15">
        <f t="shared" si="607"/>
        <v>22.170849845882874</v>
      </c>
      <c r="X925" s="75">
        <f>W925*(1-PARAM!$C$27)*$I$8+(MOD($B925,60)=PARAM!$B$56)*($B925&gt;(60-PARAM!$B$56))*HLOOKUP(($B925+PARAM!$B$56)/12,Loyalty,2)*$F$1*MAX(Z924,0)</f>
        <v>18.557001321003963</v>
      </c>
      <c r="Y925" s="75">
        <f>PARAM!$C$26+MAX($G$8-CHOOSE(PARAM!$B$44,MAX(0,Z924*$F$1),0),0)*RATES!$L901/12+$H$8*(PARAM!$D$51/12)*RATES!$N901/100</f>
        <v>1190.0416666666667</v>
      </c>
      <c r="Z925" s="16">
        <f t="shared" si="633"/>
        <v>-268333.0958379542</v>
      </c>
      <c r="AA925" s="15">
        <f t="shared" si="608"/>
        <v>22.170849845882874</v>
      </c>
      <c r="AB925" s="75">
        <f>AA925*(1-PARAM!$C$27)*$I$9+(MOD($B925,60)=PARAM!$B$56)*($B925&gt;(60-PARAM!$B$56))*HLOOKUP(($B925+PARAM!$B$56)/12,Loyalty,2)*$F$1*MAX(AD924,0)</f>
        <v>18.557001321003963</v>
      </c>
      <c r="AC925" s="75">
        <f>PARAM!$C$26+MAX($G$9-CHOOSE(PARAM!$B$44,MAX(0,AD924*$F$1),0),0)*RATES!$L901/12+$H$9*(PARAM!$D$51/12)*RATES!$N901/100</f>
        <v>1190.0416666666667</v>
      </c>
      <c r="AD925" s="16">
        <f t="shared" si="634"/>
        <v>-268333.0958379542</v>
      </c>
      <c r="AE925" s="15">
        <f t="shared" si="609"/>
        <v>22.170849845882874</v>
      </c>
      <c r="AF925" s="75">
        <f>AE925*(1-PARAM!$C$27)*$I$10+(MOD($B925,60)=PARAM!$B$56)*($B925&gt;(60-PARAM!$B$56))*HLOOKUP(($B925+PARAM!$B$56)/12,Loyalty,2)*$F$1*MAX(AH924,0)</f>
        <v>18.557001321003963</v>
      </c>
      <c r="AG925" s="75">
        <f>PARAM!$C$26+MAX($G$10-CHOOSE(PARAM!$B$44,MAX(0,AH924*$F$1),0),0)*RATES!$L901/12+$H$10*(PARAM!$D$51/12)*RATES!$N901/100</f>
        <v>1190.0416666666667</v>
      </c>
      <c r="AH925" s="16">
        <f t="shared" si="635"/>
        <v>-268333.0958379542</v>
      </c>
      <c r="AI925" s="15">
        <f t="shared" si="610"/>
        <v>22.170849845882874</v>
      </c>
      <c r="AJ925" s="75">
        <f>AI925*(1-PARAM!$C$27)*$I$11+(MOD($B925,60)=PARAM!$B$56)*($B925&gt;(60-PARAM!$B$56))*HLOOKUP(($B925+PARAM!$B$56)/12,Loyalty,2)*$F$1*MAX(AL924,0)</f>
        <v>18.557001321003963</v>
      </c>
      <c r="AK925" s="75">
        <f>PARAM!$C$26+MAX($G$11-CHOOSE(PARAM!$B$44,MAX(0,AL924*$F$1),0),0)*RATES!$L901/12+$H$11*(PARAM!$D$51/12)*RATES!$N901/100</f>
        <v>1190.0416666666667</v>
      </c>
      <c r="AL925" s="16">
        <f t="shared" si="636"/>
        <v>-268333.0958379542</v>
      </c>
      <c r="AM925" s="15">
        <f t="shared" si="611"/>
        <v>22.170849845882874</v>
      </c>
      <c r="AN925" s="75">
        <f>AM925*(1-PARAM!$C$27)*$I$12+(MOD($B925,60)=PARAM!$B$56)*($B925&gt;(60-PARAM!$B$56))*HLOOKUP(($B925+PARAM!$B$56)/12,Loyalty,2)*$F$1*MAX(AP924,0)</f>
        <v>18.557001321003963</v>
      </c>
      <c r="AO925" s="75">
        <f>PARAM!$C$26+MAX($G$12-CHOOSE(PARAM!$B$44,MAX(0,AP924*$F$1),0),0)*RATES!$L901/12+$H$12*(PARAM!$D$51/12)*RATES!$N901/100</f>
        <v>1190.0416666666667</v>
      </c>
      <c r="AP925" s="16">
        <f t="shared" si="637"/>
        <v>-268333.0958379542</v>
      </c>
      <c r="AQ925" s="15">
        <f t="shared" si="612"/>
        <v>22.170849845882874</v>
      </c>
      <c r="AR925" s="75">
        <f>AQ925*(1-PARAM!$C$27)*$I$13+(MOD($B925,60)=PARAM!$B$56)*($B925&gt;(60-PARAM!$B$56))*HLOOKUP(($B925+PARAM!$B$56)/12,Loyalty,2)*$F$1*MAX(AT924,0)</f>
        <v>18.557001321003963</v>
      </c>
      <c r="AS925" s="75">
        <f>PARAM!$C$26+MAX($G$13-CHOOSE(PARAM!$B$44,MAX(0,AT924*$F$1),0),0)*RATES!$L901/12+$H$13*(PARAM!$D$51/12)*RATES!$N901/100</f>
        <v>1190.0416666666667</v>
      </c>
      <c r="AT925" s="16">
        <f t="shared" si="638"/>
        <v>-268333.0958379542</v>
      </c>
      <c r="AU925" s="15">
        <f t="shared" si="613"/>
        <v>22.170849845882874</v>
      </c>
      <c r="AV925" s="75">
        <f>AU925*(1-PARAM!$C$27)*$I$14+(MOD($B925,60)=PARAM!$B$56)*($B925&gt;(60-PARAM!$B$56))*HLOOKUP(($B925+PARAM!$B$56)/12,Loyalty,2)*$F$1*MAX(AX924,0)</f>
        <v>18.557001321003963</v>
      </c>
      <c r="AW925" s="75">
        <f>PARAM!$C$26+MAX($G$14-CHOOSE(PARAM!$B$44,MAX(0,AX924*$F$1),0),0)*RATES!$L901/12+$H$14*(PARAM!$D$51/12)*RATES!$N901/100</f>
        <v>1190.0416666666667</v>
      </c>
      <c r="AX925" s="16">
        <f t="shared" si="639"/>
        <v>-268333.0958379542</v>
      </c>
      <c r="AY925" s="15">
        <f t="shared" si="614"/>
        <v>22.170849845882874</v>
      </c>
      <c r="AZ925" s="75">
        <f>AY925*(1-PARAM!$C$27)*$I$15+(MOD($B925,60)=PARAM!$B$56)*($B925&gt;(60-PARAM!$B$56))*HLOOKUP(($B925+PARAM!$B$56)/12,Loyalty,2)*$F$1*MAX(BB924,0)</f>
        <v>18.557001321003963</v>
      </c>
      <c r="BA925" s="75">
        <f>PARAM!$C$26+MAX($G$15-CHOOSE(PARAM!$B$44,MAX(0,BB924*$F$1),0),0)*RATES!$L901/12+$H$15*(PARAM!$D$51/12)*RATES!$N901/100</f>
        <v>1190.0416666666667</v>
      </c>
      <c r="BB925" s="16">
        <f t="shared" si="640"/>
        <v>-268333.0958379542</v>
      </c>
      <c r="BC925" s="15">
        <f t="shared" si="615"/>
        <v>22.170849845882874</v>
      </c>
      <c r="BD925" s="75">
        <f>BC925*(1-PARAM!$C$27)*$I$16+(MOD($B925,60)=PARAM!$B$56)*($B925&gt;(60-PARAM!$B$56))*HLOOKUP(($B925+PARAM!$B$56)/12,Loyalty,2)*$F$1*MAX(BF924,0)</f>
        <v>18.557001321003963</v>
      </c>
      <c r="BE925" s="75">
        <f>PARAM!$C$26+MAX($G$16-CHOOSE(PARAM!$B$44,MAX(0,BF924*$F$1),0),0)*RATES!$L901/12+$H$16*(PARAM!$D$51/12)*RATES!$N901/100</f>
        <v>1190.0416666666667</v>
      </c>
      <c r="BF925" s="16">
        <f t="shared" si="641"/>
        <v>-268333.0958379542</v>
      </c>
      <c r="BG925" s="15">
        <f t="shared" si="616"/>
        <v>22.170849845882874</v>
      </c>
      <c r="BH925" s="75">
        <f>BG925*(1-PARAM!$C$27)*$I$17+(MOD($B925,60)=PARAM!$B$56)*($B925&gt;(60-PARAM!$B$56))*HLOOKUP(($B925+PARAM!$B$56)/12,Loyalty,2)*$F$1*MAX(BJ924,0)</f>
        <v>18.557001321003963</v>
      </c>
      <c r="BI925" s="75">
        <f>PARAM!$C$26+MAX($G$17-CHOOSE(PARAM!$B$44,MAX(0,BJ924*$F$1),0),0)*RATES!$L901/12+$H$17*(PARAM!$D$51/12)*RATES!$N901/100</f>
        <v>1190.0416666666667</v>
      </c>
      <c r="BJ925" s="16">
        <f t="shared" si="642"/>
        <v>-268333.0958379542</v>
      </c>
      <c r="BK925" s="15">
        <f t="shared" si="617"/>
        <v>22.170849845882874</v>
      </c>
      <c r="BL925" s="75">
        <f>BK925*(1-PARAM!$C$27)*$I$18+(MOD($B925,60)=PARAM!$B$56)*($B925&gt;(60-PARAM!$B$56))*HLOOKUP(($B925+PARAM!$B$56)/12,Loyalty,2)*$F$1*MAX(BN924,0)</f>
        <v>18.557001321003963</v>
      </c>
      <c r="BM925" s="75">
        <f>PARAM!$C$26+MAX($G$18-CHOOSE(PARAM!$B$44,MAX(0,BN924*$F$1),0),0)*RATES!$L901/12+$H$18*(PARAM!$D$51/12)*RATES!$N901/100</f>
        <v>1190.0416666666667</v>
      </c>
      <c r="BN925" s="16">
        <f t="shared" si="643"/>
        <v>-268333.0958379542</v>
      </c>
      <c r="BO925" s="15">
        <f t="shared" si="618"/>
        <v>22.170849845882874</v>
      </c>
      <c r="BP925" s="75">
        <f>BO925*(1-PARAM!$C$27)*$I$19+(MOD($B925,60)=PARAM!$B$56)*($B925&gt;(60-PARAM!$B$56))*HLOOKUP(($B925+PARAM!$B$56)/12,Loyalty,2)*$F$1*MAX(BR924,0)</f>
        <v>18.557001321003963</v>
      </c>
      <c r="BQ925" s="75">
        <f>PARAM!$C$26+MAX($G$19-CHOOSE(PARAM!$B$44,MAX(0,BR924*$F$1),0),0)*RATES!$L901/12+$H$19*(PARAM!$D$51/12)*RATES!$N901/100</f>
        <v>1190.0416666666667</v>
      </c>
      <c r="BR925" s="16">
        <f t="shared" si="644"/>
        <v>-268333.0958379542</v>
      </c>
      <c r="BS925" s="15">
        <f t="shared" si="619"/>
        <v>22.170849845882874</v>
      </c>
      <c r="BT925" s="75">
        <f>BS925*(1-PARAM!$C$27)*$I$20+(MOD($B925,60)=PARAM!$B$56)*($B925&gt;(60-PARAM!$B$56))*HLOOKUP(($B925+PARAM!$B$56)/12,Loyalty,2)*$F$1*MAX(BV924,0)</f>
        <v>18.557001321003963</v>
      </c>
      <c r="BU925" s="75">
        <f>PARAM!$C$26+MAX($G$20-CHOOSE(PARAM!$B$44,MAX(0,BV924*$F$1),0),0)*RATES!$L901/12+$H$20*(PARAM!$D$51/12)*RATES!$N901/100</f>
        <v>1190.0416666666667</v>
      </c>
      <c r="BV925" s="16">
        <f t="shared" si="645"/>
        <v>-268333.0958379542</v>
      </c>
      <c r="BW925" s="15">
        <f t="shared" si="620"/>
        <v>22.170849845882874</v>
      </c>
      <c r="BX925" s="75">
        <f>BW925*(1-PARAM!$C$27)*$I$21+(MOD($B925,60)=PARAM!$B$56)*($B925&gt;(60-PARAM!$B$56))*HLOOKUP(($B925+PARAM!$B$56)/12,Loyalty,2)*$F$1*MAX(BZ924,0)</f>
        <v>18.557001321003963</v>
      </c>
      <c r="BY925" s="75">
        <f>PARAM!$C$26+MAX($G$21-CHOOSE(PARAM!$B$44,MAX(0,BZ924*$F$1),0),0)*RATES!$L901/12+$H$21*(PARAM!$D$51/12)*RATES!$N901/100</f>
        <v>1190.0416666666667</v>
      </c>
      <c r="BZ925" s="16">
        <f t="shared" si="646"/>
        <v>-268333.0958379542</v>
      </c>
      <c r="CA925" s="15">
        <f t="shared" si="621"/>
        <v>22.170849845882874</v>
      </c>
      <c r="CB925" s="75">
        <f>CA925*(1-PARAM!$C$27)*$I$22+(MOD($B925,60)=PARAM!$B$56)*($B925&gt;(60-PARAM!$B$56))*HLOOKUP(($B925+PARAM!$B$56)/12,Loyalty,2)*$F$1*MAX(CD924,0)</f>
        <v>18.557001321003963</v>
      </c>
      <c r="CC925" s="75">
        <f>PARAM!$C$26+MAX($G$22-CHOOSE(PARAM!$B$44,MAX(0,CD924*$F$1),0),0)*RATES!$L901/12+$H$22*(PARAM!$D$51/12)*RATES!$N901/100</f>
        <v>1190.0416666666667</v>
      </c>
      <c r="CD925" s="16">
        <f t="shared" si="647"/>
        <v>-268333.0958379542</v>
      </c>
      <c r="CE925" s="33">
        <f>IF(0=MOD(B925,12/PARAM!$D$51),1,0)</f>
        <v>1</v>
      </c>
      <c r="CF925" s="15">
        <f t="shared" si="622"/>
        <v>0</v>
      </c>
      <c r="CG925" s="75">
        <f>CF925*(1-PARAM!$C$27)*$R$3+(MOD($B925/12,5)=0)*($B925&gt;60)*HLOOKUP($B925/12,Loyalty,2)*$F$1*MAX(CI924,0)</f>
        <v>0</v>
      </c>
      <c r="CH925" s="75">
        <f>PARAM!$C$26+MAX($P$3-CHOOSE(PARAM!$B$44,MAX(0,CI924*$F$1),0),0)*RATES!$L901/12+$Q$3*(PARAM!$D$51/12)*RATES!$N901/100</f>
        <v>1190.0416666666667</v>
      </c>
      <c r="CI925" s="16">
        <f>IF(CI924&gt;0,CI924*PARAM!$C$53,CI924)+CG925-CH925</f>
        <v>-284877.70833333331</v>
      </c>
      <c r="CJ925" s="15">
        <f t="shared" si="648"/>
        <v>0</v>
      </c>
      <c r="CK925" s="75">
        <f>CJ925*(1-PARAM!$C$27)*$R$4+(MOD($B925/12,5)=0)*($B925&gt;60)*HLOOKUP($B925/12,Loyalty,2)*$F$1*MAX(CM924,0)</f>
        <v>0</v>
      </c>
      <c r="CL925" s="75">
        <f>PARAM!$C$26+MAX($P$4-CHOOSE(PARAM!$B$44,MAX(0,CM924*$F$1),0),0)*RATES!$L901/12+$Q$4*(PARAM!$D$51/12)*RATES!$N901/100</f>
        <v>1190.0416666666667</v>
      </c>
      <c r="CM925" s="16">
        <f>IF(CM924&gt;0,CM924*PARAM!$C$53,CM924)+CK925-CL925</f>
        <v>-284877.70833333331</v>
      </c>
      <c r="CO925" s="176"/>
    </row>
    <row r="926" spans="1:93" x14ac:dyDescent="0.2">
      <c r="A926" t="b">
        <f t="shared" si="623"/>
        <v>0</v>
      </c>
      <c r="B926" s="33">
        <v>899</v>
      </c>
      <c r="C926" s="15">
        <f t="shared" si="624"/>
        <v>20.081305947392778</v>
      </c>
      <c r="D926" s="75">
        <f>C926*(1-PARAM!$C$27)*$I$3+(MOD($B926,60)=PARAM!$B$56)*($B926&gt;(60-PARAM!$B$56))*HLOOKUP(($B926+PARAM!$B$56)/12,Loyalty,2)*$F$1*MAX(F925,0)</f>
        <v>16.808053077967756</v>
      </c>
      <c r="E926" s="75">
        <f>PARAM!$C$26+MAX($G$3-CHOOSE(PARAM!$B$44,MAX(0,F925*$F$1),0),0)*RATES!$L902/12+$H$3*(PARAM!$D$51/12)*RATES!$N902/100</f>
        <v>1190.0416666666667</v>
      </c>
      <c r="F926" s="16">
        <f t="shared" si="625"/>
        <v>-271113.73547431151</v>
      </c>
      <c r="G926" s="15">
        <f t="shared" si="626"/>
        <v>22.035289406060361</v>
      </c>
      <c r="H926" s="75">
        <f>G926*(1-PARAM!$C$27)*$I$4+(MOD($B926,60)=PARAM!$B$56)*($B926&gt;(60-PARAM!$B$56))*HLOOKUP(($B926+PARAM!$B$56)/12,Loyalty,2)*$F$1*MAX(J925,0)</f>
        <v>18.443537232872522</v>
      </c>
      <c r="I926" s="75">
        <f>PARAM!$C$26+MAX($G$4-CHOOSE(PARAM!$B$44,MAX(0,J925*$F$1),0),0)*RATES!$L902/12+$H$4*(PARAM!$D$51/12)*RATES!$N902/100</f>
        <v>1190.0416666666667</v>
      </c>
      <c r="J926" s="16">
        <f t="shared" si="627"/>
        <v>-269609.60225492873</v>
      </c>
      <c r="K926" s="15">
        <f t="shared" si="628"/>
        <v>22.170849845882874</v>
      </c>
      <c r="L926" s="75">
        <f>K926*(1-PARAM!$C$27)*$I$5+(MOD($B926,60)=PARAM!$B$56)*($B926&gt;(60-PARAM!$B$56))*HLOOKUP(($B926+PARAM!$B$56)/12,Loyalty,2)*$F$1*MAX(N925,0)</f>
        <v>18.557001321003963</v>
      </c>
      <c r="M926" s="75">
        <f>PARAM!$C$26+MAX($G$5-CHOOSE(PARAM!$B$44,MAX(0,N925*$F$1),0),0)*RATES!$L902/12+$H$5*(PARAM!$D$51/12)*RATES!$N902/100</f>
        <v>1190.0416666666667</v>
      </c>
      <c r="N926" s="16">
        <f t="shared" si="629"/>
        <v>-269504.58050329989</v>
      </c>
      <c r="O926" s="15">
        <f t="shared" si="630"/>
        <v>22.170849845882874</v>
      </c>
      <c r="P926" s="75">
        <f>O926*(1-PARAM!$C$27)*$I$6+(MOD($B926,60)=PARAM!$B$56)*($B926&gt;(60-PARAM!$B$56))*HLOOKUP(($B926+PARAM!$B$56)/12,Loyalty,2)*$F$1*MAX(R925,0)</f>
        <v>18.557001321003963</v>
      </c>
      <c r="Q926" s="75">
        <f>PARAM!$C$26+MAX($G$6-CHOOSE(PARAM!$B$44,MAX(0,R925*$F$1),0),0)*RATES!$L902/12+$H$6*(PARAM!$D$51/12)*RATES!$N902/100</f>
        <v>1190.0416666666667</v>
      </c>
      <c r="R926" s="16">
        <f t="shared" si="631"/>
        <v>-269504.58050329989</v>
      </c>
      <c r="S926" s="15">
        <f t="shared" si="606"/>
        <v>22.170849845882874</v>
      </c>
      <c r="T926" s="75">
        <f>S926*(1-PARAM!$C$27)*$I$7+(MOD($B926,60)=PARAM!$B$56)*($B926&gt;(60-PARAM!$B$56))*HLOOKUP(($B926+PARAM!$B$56)/12,Loyalty,2)*$F$1*MAX(V925,0)</f>
        <v>18.557001321003963</v>
      </c>
      <c r="U926" s="75">
        <f>PARAM!$C$26+MAX($G$7-CHOOSE(PARAM!$B$44,MAX(0,V925*$F$1),0),0)*RATES!$L902/12+$H$7*(PARAM!$D$51/12)*RATES!$N902/100</f>
        <v>1190.0416666666667</v>
      </c>
      <c r="V926" s="16">
        <f t="shared" si="632"/>
        <v>-269504.58050329989</v>
      </c>
      <c r="W926" s="15">
        <f t="shared" si="607"/>
        <v>22.170849845882874</v>
      </c>
      <c r="X926" s="75">
        <f>W926*(1-PARAM!$C$27)*$I$8+(MOD($B926,60)=PARAM!$B$56)*($B926&gt;(60-PARAM!$B$56))*HLOOKUP(($B926+PARAM!$B$56)/12,Loyalty,2)*$F$1*MAX(Z925,0)</f>
        <v>18.557001321003963</v>
      </c>
      <c r="Y926" s="75">
        <f>PARAM!$C$26+MAX($G$8-CHOOSE(PARAM!$B$44,MAX(0,Z925*$F$1),0),0)*RATES!$L902/12+$H$8*(PARAM!$D$51/12)*RATES!$N902/100</f>
        <v>1190.0416666666667</v>
      </c>
      <c r="Z926" s="16">
        <f t="shared" si="633"/>
        <v>-269504.58050329989</v>
      </c>
      <c r="AA926" s="15">
        <f t="shared" si="608"/>
        <v>22.170849845882874</v>
      </c>
      <c r="AB926" s="75">
        <f>AA926*(1-PARAM!$C$27)*$I$9+(MOD($B926,60)=PARAM!$B$56)*($B926&gt;(60-PARAM!$B$56))*HLOOKUP(($B926+PARAM!$B$56)/12,Loyalty,2)*$F$1*MAX(AD925,0)</f>
        <v>18.557001321003963</v>
      </c>
      <c r="AC926" s="75">
        <f>PARAM!$C$26+MAX($G$9-CHOOSE(PARAM!$B$44,MAX(0,AD925*$F$1),0),0)*RATES!$L902/12+$H$9*(PARAM!$D$51/12)*RATES!$N902/100</f>
        <v>1190.0416666666667</v>
      </c>
      <c r="AD926" s="16">
        <f t="shared" si="634"/>
        <v>-269504.58050329989</v>
      </c>
      <c r="AE926" s="15">
        <f t="shared" si="609"/>
        <v>22.170849845882874</v>
      </c>
      <c r="AF926" s="75">
        <f>AE926*(1-PARAM!$C$27)*$I$10+(MOD($B926,60)=PARAM!$B$56)*($B926&gt;(60-PARAM!$B$56))*HLOOKUP(($B926+PARAM!$B$56)/12,Loyalty,2)*$F$1*MAX(AH925,0)</f>
        <v>18.557001321003963</v>
      </c>
      <c r="AG926" s="75">
        <f>PARAM!$C$26+MAX($G$10-CHOOSE(PARAM!$B$44,MAX(0,AH925*$F$1),0),0)*RATES!$L902/12+$H$10*(PARAM!$D$51/12)*RATES!$N902/100</f>
        <v>1190.0416666666667</v>
      </c>
      <c r="AH926" s="16">
        <f t="shared" si="635"/>
        <v>-269504.58050329989</v>
      </c>
      <c r="AI926" s="15">
        <f t="shared" si="610"/>
        <v>22.170849845882874</v>
      </c>
      <c r="AJ926" s="75">
        <f>AI926*(1-PARAM!$C$27)*$I$11+(MOD($B926,60)=PARAM!$B$56)*($B926&gt;(60-PARAM!$B$56))*HLOOKUP(($B926+PARAM!$B$56)/12,Loyalty,2)*$F$1*MAX(AL925,0)</f>
        <v>18.557001321003963</v>
      </c>
      <c r="AK926" s="75">
        <f>PARAM!$C$26+MAX($G$11-CHOOSE(PARAM!$B$44,MAX(0,AL925*$F$1),0),0)*RATES!$L902/12+$H$11*(PARAM!$D$51/12)*RATES!$N902/100</f>
        <v>1190.0416666666667</v>
      </c>
      <c r="AL926" s="16">
        <f t="shared" si="636"/>
        <v>-269504.58050329989</v>
      </c>
      <c r="AM926" s="15">
        <f t="shared" si="611"/>
        <v>22.170849845882874</v>
      </c>
      <c r="AN926" s="75">
        <f>AM926*(1-PARAM!$C$27)*$I$12+(MOD($B926,60)=PARAM!$B$56)*($B926&gt;(60-PARAM!$B$56))*HLOOKUP(($B926+PARAM!$B$56)/12,Loyalty,2)*$F$1*MAX(AP925,0)</f>
        <v>18.557001321003963</v>
      </c>
      <c r="AO926" s="75">
        <f>PARAM!$C$26+MAX($G$12-CHOOSE(PARAM!$B$44,MAX(0,AP925*$F$1),0),0)*RATES!$L902/12+$H$12*(PARAM!$D$51/12)*RATES!$N902/100</f>
        <v>1190.0416666666667</v>
      </c>
      <c r="AP926" s="16">
        <f t="shared" si="637"/>
        <v>-269504.58050329989</v>
      </c>
      <c r="AQ926" s="15">
        <f t="shared" si="612"/>
        <v>22.170849845882874</v>
      </c>
      <c r="AR926" s="75">
        <f>AQ926*(1-PARAM!$C$27)*$I$13+(MOD($B926,60)=PARAM!$B$56)*($B926&gt;(60-PARAM!$B$56))*HLOOKUP(($B926+PARAM!$B$56)/12,Loyalty,2)*$F$1*MAX(AT925,0)</f>
        <v>18.557001321003963</v>
      </c>
      <c r="AS926" s="75">
        <f>PARAM!$C$26+MAX($G$13-CHOOSE(PARAM!$B$44,MAX(0,AT925*$F$1),0),0)*RATES!$L902/12+$H$13*(PARAM!$D$51/12)*RATES!$N902/100</f>
        <v>1190.0416666666667</v>
      </c>
      <c r="AT926" s="16">
        <f t="shared" si="638"/>
        <v>-269504.58050329989</v>
      </c>
      <c r="AU926" s="15">
        <f t="shared" si="613"/>
        <v>22.170849845882874</v>
      </c>
      <c r="AV926" s="75">
        <f>AU926*(1-PARAM!$C$27)*$I$14+(MOD($B926,60)=PARAM!$B$56)*($B926&gt;(60-PARAM!$B$56))*HLOOKUP(($B926+PARAM!$B$56)/12,Loyalty,2)*$F$1*MAX(AX925,0)</f>
        <v>18.557001321003963</v>
      </c>
      <c r="AW926" s="75">
        <f>PARAM!$C$26+MAX($G$14-CHOOSE(PARAM!$B$44,MAX(0,AX925*$F$1),0),0)*RATES!$L902/12+$H$14*(PARAM!$D$51/12)*RATES!$N902/100</f>
        <v>1190.0416666666667</v>
      </c>
      <c r="AX926" s="16">
        <f t="shared" si="639"/>
        <v>-269504.58050329989</v>
      </c>
      <c r="AY926" s="15">
        <f t="shared" si="614"/>
        <v>22.170849845882874</v>
      </c>
      <c r="AZ926" s="75">
        <f>AY926*(1-PARAM!$C$27)*$I$15+(MOD($B926,60)=PARAM!$B$56)*($B926&gt;(60-PARAM!$B$56))*HLOOKUP(($B926+PARAM!$B$56)/12,Loyalty,2)*$F$1*MAX(BB925,0)</f>
        <v>18.557001321003963</v>
      </c>
      <c r="BA926" s="75">
        <f>PARAM!$C$26+MAX($G$15-CHOOSE(PARAM!$B$44,MAX(0,BB925*$F$1),0),0)*RATES!$L902/12+$H$15*(PARAM!$D$51/12)*RATES!$N902/100</f>
        <v>1190.0416666666667</v>
      </c>
      <c r="BB926" s="16">
        <f t="shared" si="640"/>
        <v>-269504.58050329989</v>
      </c>
      <c r="BC926" s="15">
        <f t="shared" si="615"/>
        <v>22.170849845882874</v>
      </c>
      <c r="BD926" s="75">
        <f>BC926*(1-PARAM!$C$27)*$I$16+(MOD($B926,60)=PARAM!$B$56)*($B926&gt;(60-PARAM!$B$56))*HLOOKUP(($B926+PARAM!$B$56)/12,Loyalty,2)*$F$1*MAX(BF925,0)</f>
        <v>18.557001321003963</v>
      </c>
      <c r="BE926" s="75">
        <f>PARAM!$C$26+MAX($G$16-CHOOSE(PARAM!$B$44,MAX(0,BF925*$F$1),0),0)*RATES!$L902/12+$H$16*(PARAM!$D$51/12)*RATES!$N902/100</f>
        <v>1190.0416666666667</v>
      </c>
      <c r="BF926" s="16">
        <f t="shared" si="641"/>
        <v>-269504.58050329989</v>
      </c>
      <c r="BG926" s="15">
        <f t="shared" si="616"/>
        <v>22.170849845882874</v>
      </c>
      <c r="BH926" s="75">
        <f>BG926*(1-PARAM!$C$27)*$I$17+(MOD($B926,60)=PARAM!$B$56)*($B926&gt;(60-PARAM!$B$56))*HLOOKUP(($B926+PARAM!$B$56)/12,Loyalty,2)*$F$1*MAX(BJ925,0)</f>
        <v>18.557001321003963</v>
      </c>
      <c r="BI926" s="75">
        <f>PARAM!$C$26+MAX($G$17-CHOOSE(PARAM!$B$44,MAX(0,BJ925*$F$1),0),0)*RATES!$L902/12+$H$17*(PARAM!$D$51/12)*RATES!$N902/100</f>
        <v>1190.0416666666667</v>
      </c>
      <c r="BJ926" s="16">
        <f t="shared" si="642"/>
        <v>-269504.58050329989</v>
      </c>
      <c r="BK926" s="15">
        <f t="shared" si="617"/>
        <v>22.170849845882874</v>
      </c>
      <c r="BL926" s="75">
        <f>BK926*(1-PARAM!$C$27)*$I$18+(MOD($B926,60)=PARAM!$B$56)*($B926&gt;(60-PARAM!$B$56))*HLOOKUP(($B926+PARAM!$B$56)/12,Loyalty,2)*$F$1*MAX(BN925,0)</f>
        <v>18.557001321003963</v>
      </c>
      <c r="BM926" s="75">
        <f>PARAM!$C$26+MAX($G$18-CHOOSE(PARAM!$B$44,MAX(0,BN925*$F$1),0),0)*RATES!$L902/12+$H$18*(PARAM!$D$51/12)*RATES!$N902/100</f>
        <v>1190.0416666666667</v>
      </c>
      <c r="BN926" s="16">
        <f t="shared" si="643"/>
        <v>-269504.58050329989</v>
      </c>
      <c r="BO926" s="15">
        <f t="shared" si="618"/>
        <v>22.170849845882874</v>
      </c>
      <c r="BP926" s="75">
        <f>BO926*(1-PARAM!$C$27)*$I$19+(MOD($B926,60)=PARAM!$B$56)*($B926&gt;(60-PARAM!$B$56))*HLOOKUP(($B926+PARAM!$B$56)/12,Loyalty,2)*$F$1*MAX(BR925,0)</f>
        <v>18.557001321003963</v>
      </c>
      <c r="BQ926" s="75">
        <f>PARAM!$C$26+MAX($G$19-CHOOSE(PARAM!$B$44,MAX(0,BR925*$F$1),0),0)*RATES!$L902/12+$H$19*(PARAM!$D$51/12)*RATES!$N902/100</f>
        <v>1190.0416666666667</v>
      </c>
      <c r="BR926" s="16">
        <f t="shared" si="644"/>
        <v>-269504.58050329989</v>
      </c>
      <c r="BS926" s="15">
        <f t="shared" si="619"/>
        <v>22.170849845882874</v>
      </c>
      <c r="BT926" s="75">
        <f>BS926*(1-PARAM!$C$27)*$I$20+(MOD($B926,60)=PARAM!$B$56)*($B926&gt;(60-PARAM!$B$56))*HLOOKUP(($B926+PARAM!$B$56)/12,Loyalty,2)*$F$1*MAX(BV925,0)</f>
        <v>18.557001321003963</v>
      </c>
      <c r="BU926" s="75">
        <f>PARAM!$C$26+MAX($G$20-CHOOSE(PARAM!$B$44,MAX(0,BV925*$F$1),0),0)*RATES!$L902/12+$H$20*(PARAM!$D$51/12)*RATES!$N902/100</f>
        <v>1190.0416666666667</v>
      </c>
      <c r="BV926" s="16">
        <f t="shared" si="645"/>
        <v>-269504.58050329989</v>
      </c>
      <c r="BW926" s="15">
        <f t="shared" si="620"/>
        <v>22.170849845882874</v>
      </c>
      <c r="BX926" s="75">
        <f>BW926*(1-PARAM!$C$27)*$I$21+(MOD($B926,60)=PARAM!$B$56)*($B926&gt;(60-PARAM!$B$56))*HLOOKUP(($B926+PARAM!$B$56)/12,Loyalty,2)*$F$1*MAX(BZ925,0)</f>
        <v>18.557001321003963</v>
      </c>
      <c r="BY926" s="75">
        <f>PARAM!$C$26+MAX($G$21-CHOOSE(PARAM!$B$44,MAX(0,BZ925*$F$1),0),0)*RATES!$L902/12+$H$21*(PARAM!$D$51/12)*RATES!$N902/100</f>
        <v>1190.0416666666667</v>
      </c>
      <c r="BZ926" s="16">
        <f t="shared" si="646"/>
        <v>-269504.58050329989</v>
      </c>
      <c r="CA926" s="15">
        <f t="shared" si="621"/>
        <v>22.170849845882874</v>
      </c>
      <c r="CB926" s="75">
        <f>CA926*(1-PARAM!$C$27)*$I$22+(MOD($B926,60)=PARAM!$B$56)*($B926&gt;(60-PARAM!$B$56))*HLOOKUP(($B926+PARAM!$B$56)/12,Loyalty,2)*$F$1*MAX(CD925,0)</f>
        <v>18.557001321003963</v>
      </c>
      <c r="CC926" s="75">
        <f>PARAM!$C$26+MAX($G$22-CHOOSE(PARAM!$B$44,MAX(0,CD925*$F$1),0),0)*RATES!$L902/12+$H$22*(PARAM!$D$51/12)*RATES!$N902/100</f>
        <v>1190.0416666666667</v>
      </c>
      <c r="CD926" s="16">
        <f t="shared" si="647"/>
        <v>-269504.58050329989</v>
      </c>
      <c r="CE926" s="33">
        <f>IF(0=MOD(B926,12/PARAM!$D$51),1,0)</f>
        <v>1</v>
      </c>
      <c r="CF926" s="15">
        <f t="shared" si="622"/>
        <v>0</v>
      </c>
      <c r="CG926" s="75">
        <f>CF926*(1-PARAM!$C$27)*$R$3+(MOD($B926/12,5)=0)*($B926&gt;60)*HLOOKUP($B926/12,Loyalty,2)*$F$1*MAX(CI925,0)</f>
        <v>0</v>
      </c>
      <c r="CH926" s="75">
        <f>PARAM!$C$26+MAX($P$3-CHOOSE(PARAM!$B$44,MAX(0,CI925*$F$1),0),0)*RATES!$L902/12+$Q$3*(PARAM!$D$51/12)*RATES!$N902/100</f>
        <v>1190.0416666666667</v>
      </c>
      <c r="CI926" s="16">
        <f>IF(CI925&gt;0,CI925*PARAM!$C$53,CI925)+CG926-CH926</f>
        <v>-286067.75</v>
      </c>
      <c r="CJ926" s="15">
        <f t="shared" si="648"/>
        <v>0</v>
      </c>
      <c r="CK926" s="75">
        <f>CJ926*(1-PARAM!$C$27)*$R$4+(MOD($B926/12,5)=0)*($B926&gt;60)*HLOOKUP($B926/12,Loyalty,2)*$F$1*MAX(CM925,0)</f>
        <v>0</v>
      </c>
      <c r="CL926" s="75">
        <f>PARAM!$C$26+MAX($P$4-CHOOSE(PARAM!$B$44,MAX(0,CM925*$F$1),0),0)*RATES!$L902/12+$Q$4*(PARAM!$D$51/12)*RATES!$N902/100</f>
        <v>1190.0416666666667</v>
      </c>
      <c r="CM926" s="16">
        <f>IF(CM925&gt;0,CM925*PARAM!$C$53,CM925)+CK926-CL926</f>
        <v>-286067.75</v>
      </c>
      <c r="CO926" s="176"/>
    </row>
    <row r="927" spans="1:93" x14ac:dyDescent="0.2">
      <c r="A927" t="b">
        <f t="shared" si="623"/>
        <v>0</v>
      </c>
      <c r="B927" s="33">
        <v>900</v>
      </c>
      <c r="C927" s="15">
        <f t="shared" si="624"/>
        <v>20.081305947392778</v>
      </c>
      <c r="D927" s="75">
        <f>C927*(1-PARAM!$C$27)*$I$3+(MOD($B927,60)=PARAM!$B$56)*($B927&gt;(60-PARAM!$B$56))*HLOOKUP(($B927+PARAM!$B$56)/12,Loyalty,2)*$F$1*MAX(F926,0)</f>
        <v>16.808053077967756</v>
      </c>
      <c r="E927" s="75">
        <f>PARAM!$C$26+MAX($G$3-CHOOSE(PARAM!$B$44,MAX(0,F926*$F$1),0),0)*RATES!$L903/12+$H$3*(PARAM!$D$51/12)*RATES!$N903/100</f>
        <v>1190.0416666666667</v>
      </c>
      <c r="F927" s="16">
        <f t="shared" si="625"/>
        <v>-272286.96908790024</v>
      </c>
      <c r="G927" s="15">
        <f t="shared" si="626"/>
        <v>22.035289406060361</v>
      </c>
      <c r="H927" s="75">
        <f>G927*(1-PARAM!$C$27)*$I$4+(MOD($B927,60)=PARAM!$B$56)*($B927&gt;(60-PARAM!$B$56))*HLOOKUP(($B927+PARAM!$B$56)/12,Loyalty,2)*$F$1*MAX(J926,0)</f>
        <v>18.443537232872522</v>
      </c>
      <c r="I927" s="75">
        <f>PARAM!$C$26+MAX($G$4-CHOOSE(PARAM!$B$44,MAX(0,J926*$F$1),0),0)*RATES!$L903/12+$H$4*(PARAM!$D$51/12)*RATES!$N903/100</f>
        <v>1190.0416666666667</v>
      </c>
      <c r="J927" s="16">
        <f t="shared" si="627"/>
        <v>-270781.20038436254</v>
      </c>
      <c r="K927" s="15">
        <f t="shared" si="628"/>
        <v>22.170849845882874</v>
      </c>
      <c r="L927" s="75">
        <f>K927*(1-PARAM!$C$27)*$I$5+(MOD($B927,60)=PARAM!$B$56)*($B927&gt;(60-PARAM!$B$56))*HLOOKUP(($B927+PARAM!$B$56)/12,Loyalty,2)*$F$1*MAX(N926,0)</f>
        <v>18.557001321003963</v>
      </c>
      <c r="M927" s="75">
        <f>PARAM!$C$26+MAX($G$5-CHOOSE(PARAM!$B$44,MAX(0,N926*$F$1),0),0)*RATES!$L903/12+$H$5*(PARAM!$D$51/12)*RATES!$N903/100</f>
        <v>1190.0416666666667</v>
      </c>
      <c r="N927" s="16">
        <f t="shared" si="629"/>
        <v>-270676.06516864558</v>
      </c>
      <c r="O927" s="15">
        <f t="shared" si="630"/>
        <v>22.170849845882874</v>
      </c>
      <c r="P927" s="75">
        <f>O927*(1-PARAM!$C$27)*$I$6+(MOD($B927,60)=PARAM!$B$56)*($B927&gt;(60-PARAM!$B$56))*HLOOKUP(($B927+PARAM!$B$56)/12,Loyalty,2)*$F$1*MAX(R926,0)</f>
        <v>18.557001321003963</v>
      </c>
      <c r="Q927" s="75">
        <f>PARAM!$C$26+MAX($G$6-CHOOSE(PARAM!$B$44,MAX(0,R926*$F$1),0),0)*RATES!$L903/12+$H$6*(PARAM!$D$51/12)*RATES!$N903/100</f>
        <v>1190.0416666666667</v>
      </c>
      <c r="R927" s="16">
        <f t="shared" si="631"/>
        <v>-270676.06516864558</v>
      </c>
      <c r="S927" s="15">
        <f t="shared" si="606"/>
        <v>22.170849845882874</v>
      </c>
      <c r="T927" s="75">
        <f>S927*(1-PARAM!$C$27)*$I$7+(MOD($B927,60)=PARAM!$B$56)*($B927&gt;(60-PARAM!$B$56))*HLOOKUP(($B927+PARAM!$B$56)/12,Loyalty,2)*$F$1*MAX(V926,0)</f>
        <v>18.557001321003963</v>
      </c>
      <c r="U927" s="75">
        <f>PARAM!$C$26+MAX($G$7-CHOOSE(PARAM!$B$44,MAX(0,V926*$F$1),0),0)*RATES!$L903/12+$H$7*(PARAM!$D$51/12)*RATES!$N903/100</f>
        <v>1190.0416666666667</v>
      </c>
      <c r="V927" s="16">
        <f t="shared" si="632"/>
        <v>-270676.06516864558</v>
      </c>
      <c r="W927" s="15">
        <f t="shared" si="607"/>
        <v>22.170849845882874</v>
      </c>
      <c r="X927" s="75">
        <f>W927*(1-PARAM!$C$27)*$I$8+(MOD($B927,60)=PARAM!$B$56)*($B927&gt;(60-PARAM!$B$56))*HLOOKUP(($B927+PARAM!$B$56)/12,Loyalty,2)*$F$1*MAX(Z926,0)</f>
        <v>18.557001321003963</v>
      </c>
      <c r="Y927" s="75">
        <f>PARAM!$C$26+MAX($G$8-CHOOSE(PARAM!$B$44,MAX(0,Z926*$F$1),0),0)*RATES!$L903/12+$H$8*(PARAM!$D$51/12)*RATES!$N903/100</f>
        <v>1190.0416666666667</v>
      </c>
      <c r="Z927" s="16">
        <f t="shared" si="633"/>
        <v>-270676.06516864558</v>
      </c>
      <c r="AA927" s="15">
        <f t="shared" si="608"/>
        <v>22.170849845882874</v>
      </c>
      <c r="AB927" s="75">
        <f>AA927*(1-PARAM!$C$27)*$I$9+(MOD($B927,60)=PARAM!$B$56)*($B927&gt;(60-PARAM!$B$56))*HLOOKUP(($B927+PARAM!$B$56)/12,Loyalty,2)*$F$1*MAX(AD926,0)</f>
        <v>18.557001321003963</v>
      </c>
      <c r="AC927" s="75">
        <f>PARAM!$C$26+MAX($G$9-CHOOSE(PARAM!$B$44,MAX(0,AD926*$F$1),0),0)*RATES!$L903/12+$H$9*(PARAM!$D$51/12)*RATES!$N903/100</f>
        <v>1190.0416666666667</v>
      </c>
      <c r="AD927" s="16">
        <f t="shared" si="634"/>
        <v>-270676.06516864558</v>
      </c>
      <c r="AE927" s="15">
        <f t="shared" si="609"/>
        <v>22.170849845882874</v>
      </c>
      <c r="AF927" s="75">
        <f>AE927*(1-PARAM!$C$27)*$I$10+(MOD($B927,60)=PARAM!$B$56)*($B927&gt;(60-PARAM!$B$56))*HLOOKUP(($B927+PARAM!$B$56)/12,Loyalty,2)*$F$1*MAX(AH926,0)</f>
        <v>18.557001321003963</v>
      </c>
      <c r="AG927" s="75">
        <f>PARAM!$C$26+MAX($G$10-CHOOSE(PARAM!$B$44,MAX(0,AH926*$F$1),0),0)*RATES!$L903/12+$H$10*(PARAM!$D$51/12)*RATES!$N903/100</f>
        <v>1190.0416666666667</v>
      </c>
      <c r="AH927" s="16">
        <f t="shared" si="635"/>
        <v>-270676.06516864558</v>
      </c>
      <c r="AI927" s="15">
        <f t="shared" si="610"/>
        <v>22.170849845882874</v>
      </c>
      <c r="AJ927" s="75">
        <f>AI927*(1-PARAM!$C$27)*$I$11+(MOD($B927,60)=PARAM!$B$56)*($B927&gt;(60-PARAM!$B$56))*HLOOKUP(($B927+PARAM!$B$56)/12,Loyalty,2)*$F$1*MAX(AL926,0)</f>
        <v>18.557001321003963</v>
      </c>
      <c r="AK927" s="75">
        <f>PARAM!$C$26+MAX($G$11-CHOOSE(PARAM!$B$44,MAX(0,AL926*$F$1),0),0)*RATES!$L903/12+$H$11*(PARAM!$D$51/12)*RATES!$N903/100</f>
        <v>1190.0416666666667</v>
      </c>
      <c r="AL927" s="16">
        <f t="shared" si="636"/>
        <v>-270676.06516864558</v>
      </c>
      <c r="AM927" s="15">
        <f t="shared" si="611"/>
        <v>22.170849845882874</v>
      </c>
      <c r="AN927" s="75">
        <f>AM927*(1-PARAM!$C$27)*$I$12+(MOD($B927,60)=PARAM!$B$56)*($B927&gt;(60-PARAM!$B$56))*HLOOKUP(($B927+PARAM!$B$56)/12,Loyalty,2)*$F$1*MAX(AP926,0)</f>
        <v>18.557001321003963</v>
      </c>
      <c r="AO927" s="75">
        <f>PARAM!$C$26+MAX($G$12-CHOOSE(PARAM!$B$44,MAX(0,AP926*$F$1),0),0)*RATES!$L903/12+$H$12*(PARAM!$D$51/12)*RATES!$N903/100</f>
        <v>1190.0416666666667</v>
      </c>
      <c r="AP927" s="16">
        <f t="shared" si="637"/>
        <v>-270676.06516864558</v>
      </c>
      <c r="AQ927" s="15">
        <f t="shared" si="612"/>
        <v>22.170849845882874</v>
      </c>
      <c r="AR927" s="75">
        <f>AQ927*(1-PARAM!$C$27)*$I$13+(MOD($B927,60)=PARAM!$B$56)*($B927&gt;(60-PARAM!$B$56))*HLOOKUP(($B927+PARAM!$B$56)/12,Loyalty,2)*$F$1*MAX(AT926,0)</f>
        <v>18.557001321003963</v>
      </c>
      <c r="AS927" s="75">
        <f>PARAM!$C$26+MAX($G$13-CHOOSE(PARAM!$B$44,MAX(0,AT926*$F$1),0),0)*RATES!$L903/12+$H$13*(PARAM!$D$51/12)*RATES!$N903/100</f>
        <v>1190.0416666666667</v>
      </c>
      <c r="AT927" s="16">
        <f t="shared" si="638"/>
        <v>-270676.06516864558</v>
      </c>
      <c r="AU927" s="15">
        <f t="shared" si="613"/>
        <v>22.170849845882874</v>
      </c>
      <c r="AV927" s="75">
        <f>AU927*(1-PARAM!$C$27)*$I$14+(MOD($B927,60)=PARAM!$B$56)*($B927&gt;(60-PARAM!$B$56))*HLOOKUP(($B927+PARAM!$B$56)/12,Loyalty,2)*$F$1*MAX(AX926,0)</f>
        <v>18.557001321003963</v>
      </c>
      <c r="AW927" s="75">
        <f>PARAM!$C$26+MAX($G$14-CHOOSE(PARAM!$B$44,MAX(0,AX926*$F$1),0),0)*RATES!$L903/12+$H$14*(PARAM!$D$51/12)*RATES!$N903/100</f>
        <v>1190.0416666666667</v>
      </c>
      <c r="AX927" s="16">
        <f t="shared" si="639"/>
        <v>-270676.06516864558</v>
      </c>
      <c r="AY927" s="15">
        <f t="shared" si="614"/>
        <v>22.170849845882874</v>
      </c>
      <c r="AZ927" s="75">
        <f>AY927*(1-PARAM!$C$27)*$I$15+(MOD($B927,60)=PARAM!$B$56)*($B927&gt;(60-PARAM!$B$56))*HLOOKUP(($B927+PARAM!$B$56)/12,Loyalty,2)*$F$1*MAX(BB926,0)</f>
        <v>18.557001321003963</v>
      </c>
      <c r="BA927" s="75">
        <f>PARAM!$C$26+MAX($G$15-CHOOSE(PARAM!$B$44,MAX(0,BB926*$F$1),0),0)*RATES!$L903/12+$H$15*(PARAM!$D$51/12)*RATES!$N903/100</f>
        <v>1190.0416666666667</v>
      </c>
      <c r="BB927" s="16">
        <f t="shared" si="640"/>
        <v>-270676.06516864558</v>
      </c>
      <c r="BC927" s="15">
        <f t="shared" si="615"/>
        <v>22.170849845882874</v>
      </c>
      <c r="BD927" s="75">
        <f>BC927*(1-PARAM!$C$27)*$I$16+(MOD($B927,60)=PARAM!$B$56)*($B927&gt;(60-PARAM!$B$56))*HLOOKUP(($B927+PARAM!$B$56)/12,Loyalty,2)*$F$1*MAX(BF926,0)</f>
        <v>18.557001321003963</v>
      </c>
      <c r="BE927" s="75">
        <f>PARAM!$C$26+MAX($G$16-CHOOSE(PARAM!$B$44,MAX(0,BF926*$F$1),0),0)*RATES!$L903/12+$H$16*(PARAM!$D$51/12)*RATES!$N903/100</f>
        <v>1190.0416666666667</v>
      </c>
      <c r="BF927" s="16">
        <f t="shared" si="641"/>
        <v>-270676.06516864558</v>
      </c>
      <c r="BG927" s="15">
        <f t="shared" si="616"/>
        <v>22.170849845882874</v>
      </c>
      <c r="BH927" s="75">
        <f>BG927*(1-PARAM!$C$27)*$I$17+(MOD($B927,60)=PARAM!$B$56)*($B927&gt;(60-PARAM!$B$56))*HLOOKUP(($B927+PARAM!$B$56)/12,Loyalty,2)*$F$1*MAX(BJ926,0)</f>
        <v>18.557001321003963</v>
      </c>
      <c r="BI927" s="75">
        <f>PARAM!$C$26+MAX($G$17-CHOOSE(PARAM!$B$44,MAX(0,BJ926*$F$1),0),0)*RATES!$L903/12+$H$17*(PARAM!$D$51/12)*RATES!$N903/100</f>
        <v>1190.0416666666667</v>
      </c>
      <c r="BJ927" s="16">
        <f t="shared" si="642"/>
        <v>-270676.06516864558</v>
      </c>
      <c r="BK927" s="15">
        <f t="shared" si="617"/>
        <v>22.170849845882874</v>
      </c>
      <c r="BL927" s="75">
        <f>BK927*(1-PARAM!$C$27)*$I$18+(MOD($B927,60)=PARAM!$B$56)*($B927&gt;(60-PARAM!$B$56))*HLOOKUP(($B927+PARAM!$B$56)/12,Loyalty,2)*$F$1*MAX(BN926,0)</f>
        <v>18.557001321003963</v>
      </c>
      <c r="BM927" s="75">
        <f>PARAM!$C$26+MAX($G$18-CHOOSE(PARAM!$B$44,MAX(0,BN926*$F$1),0),0)*RATES!$L903/12+$H$18*(PARAM!$D$51/12)*RATES!$N903/100</f>
        <v>1190.0416666666667</v>
      </c>
      <c r="BN927" s="16">
        <f t="shared" si="643"/>
        <v>-270676.06516864558</v>
      </c>
      <c r="BO927" s="15">
        <f t="shared" si="618"/>
        <v>22.170849845882874</v>
      </c>
      <c r="BP927" s="75">
        <f>BO927*(1-PARAM!$C$27)*$I$19+(MOD($B927,60)=PARAM!$B$56)*($B927&gt;(60-PARAM!$B$56))*HLOOKUP(($B927+PARAM!$B$56)/12,Loyalty,2)*$F$1*MAX(BR926,0)</f>
        <v>18.557001321003963</v>
      </c>
      <c r="BQ927" s="75">
        <f>PARAM!$C$26+MAX($G$19-CHOOSE(PARAM!$B$44,MAX(0,BR926*$F$1),0),0)*RATES!$L903/12+$H$19*(PARAM!$D$51/12)*RATES!$N903/100</f>
        <v>1190.0416666666667</v>
      </c>
      <c r="BR927" s="16">
        <f t="shared" si="644"/>
        <v>-270676.06516864558</v>
      </c>
      <c r="BS927" s="15">
        <f t="shared" si="619"/>
        <v>22.170849845882874</v>
      </c>
      <c r="BT927" s="75">
        <f>BS927*(1-PARAM!$C$27)*$I$20+(MOD($B927,60)=PARAM!$B$56)*($B927&gt;(60-PARAM!$B$56))*HLOOKUP(($B927+PARAM!$B$56)/12,Loyalty,2)*$F$1*MAX(BV926,0)</f>
        <v>18.557001321003963</v>
      </c>
      <c r="BU927" s="75">
        <f>PARAM!$C$26+MAX($G$20-CHOOSE(PARAM!$B$44,MAX(0,BV926*$F$1),0),0)*RATES!$L903/12+$H$20*(PARAM!$D$51/12)*RATES!$N903/100</f>
        <v>1190.0416666666667</v>
      </c>
      <c r="BV927" s="16">
        <f t="shared" si="645"/>
        <v>-270676.06516864558</v>
      </c>
      <c r="BW927" s="15">
        <f t="shared" si="620"/>
        <v>22.170849845882874</v>
      </c>
      <c r="BX927" s="75">
        <f>BW927*(1-PARAM!$C$27)*$I$21+(MOD($B927,60)=PARAM!$B$56)*($B927&gt;(60-PARAM!$B$56))*HLOOKUP(($B927+PARAM!$B$56)/12,Loyalty,2)*$F$1*MAX(BZ926,0)</f>
        <v>18.557001321003963</v>
      </c>
      <c r="BY927" s="75">
        <f>PARAM!$C$26+MAX($G$21-CHOOSE(PARAM!$B$44,MAX(0,BZ926*$F$1),0),0)*RATES!$L903/12+$H$21*(PARAM!$D$51/12)*RATES!$N903/100</f>
        <v>1190.0416666666667</v>
      </c>
      <c r="BZ927" s="16">
        <f t="shared" si="646"/>
        <v>-270676.06516864558</v>
      </c>
      <c r="CA927" s="15">
        <f t="shared" si="621"/>
        <v>22.170849845882874</v>
      </c>
      <c r="CB927" s="75">
        <f>CA927*(1-PARAM!$C$27)*$I$22+(MOD($B927,60)=PARAM!$B$56)*($B927&gt;(60-PARAM!$B$56))*HLOOKUP(($B927+PARAM!$B$56)/12,Loyalty,2)*$F$1*MAX(CD926,0)</f>
        <v>18.557001321003963</v>
      </c>
      <c r="CC927" s="75">
        <f>PARAM!$C$26+MAX($G$22-CHOOSE(PARAM!$B$44,MAX(0,CD926*$F$1),0),0)*RATES!$L903/12+$H$22*(PARAM!$D$51/12)*RATES!$N903/100</f>
        <v>1190.0416666666667</v>
      </c>
      <c r="CD927" s="16">
        <f t="shared" si="647"/>
        <v>-270676.06516864558</v>
      </c>
      <c r="CE927" s="33">
        <f>IF(0=MOD(B927,12/PARAM!$D$51),1,0)</f>
        <v>1</v>
      </c>
      <c r="CF927" s="15">
        <f t="shared" si="622"/>
        <v>0</v>
      </c>
      <c r="CG927" s="75">
        <f>CF927*(1-PARAM!$C$27)*$R$3+(MOD($B927/12,5)=0)*($B927&gt;60)*HLOOKUP($B927/12,Loyalty,2)*$F$1*MAX(CI926,0)</f>
        <v>0</v>
      </c>
      <c r="CH927" s="75">
        <f>PARAM!$C$26+MAX($P$3-CHOOSE(PARAM!$B$44,MAX(0,CI926*$F$1),0),0)*RATES!$L903/12+$Q$3*(PARAM!$D$51/12)*RATES!$N903/100</f>
        <v>1190.0416666666667</v>
      </c>
      <c r="CI927" s="16">
        <f>IF(CI926&gt;0,CI926*PARAM!$C$53,CI926)+CG927-CH927</f>
        <v>-287257.79166666669</v>
      </c>
      <c r="CJ927" s="15">
        <f t="shared" si="648"/>
        <v>0</v>
      </c>
      <c r="CK927" s="75">
        <f>CJ927*(1-PARAM!$C$27)*$R$4+(MOD($B927/12,5)=0)*($B927&gt;60)*HLOOKUP($B927/12,Loyalty,2)*$F$1*MAX(CM926,0)</f>
        <v>0</v>
      </c>
      <c r="CL927" s="75">
        <f>PARAM!$C$26+MAX($P$4-CHOOSE(PARAM!$B$44,MAX(0,CM926*$F$1),0),0)*RATES!$L903/12+$Q$4*(PARAM!$D$51/12)*RATES!$N903/100</f>
        <v>1190.0416666666667</v>
      </c>
      <c r="CM927" s="16">
        <f>IF(CM926&gt;0,CM926*PARAM!$C$53,CM926)+CK927-CL927</f>
        <v>-287257.79166666669</v>
      </c>
      <c r="CO927" s="176"/>
    </row>
    <row r="928" spans="1:93" x14ac:dyDescent="0.2">
      <c r="A928" t="b">
        <f t="shared" si="623"/>
        <v>0</v>
      </c>
      <c r="B928" s="33">
        <v>901</v>
      </c>
      <c r="C928" s="15">
        <f t="shared" si="624"/>
        <v>20.081305947392778</v>
      </c>
      <c r="D928" s="75">
        <f>C928*(1-PARAM!$C$27)*$I$3+(MOD($B928,60)=PARAM!$B$56)*($B928&gt;(60-PARAM!$B$56))*HLOOKUP(($B928+PARAM!$B$56)/12,Loyalty,2)*$F$1*MAX(F927,0)</f>
        <v>16.808053077967756</v>
      </c>
      <c r="E928" s="75">
        <f>PARAM!$C$26+MAX($G$3-CHOOSE(PARAM!$B$44,MAX(0,F927*$F$1),0),0)*RATES!$L904/12+$H$3*(PARAM!$D$51/12)*RATES!$N904/100</f>
        <v>1190.0416666666667</v>
      </c>
      <c r="F928" s="16">
        <f t="shared" si="625"/>
        <v>-273460.20270148898</v>
      </c>
      <c r="G928" s="15">
        <f t="shared" si="626"/>
        <v>22.035289406060361</v>
      </c>
      <c r="H928" s="75">
        <f>G928*(1-PARAM!$C$27)*$I$4+(MOD($B928,60)=PARAM!$B$56)*($B928&gt;(60-PARAM!$B$56))*HLOOKUP(($B928+PARAM!$B$56)/12,Loyalty,2)*$F$1*MAX(J927,0)</f>
        <v>18.443537232872522</v>
      </c>
      <c r="I928" s="75">
        <f>PARAM!$C$26+MAX($G$4-CHOOSE(PARAM!$B$44,MAX(0,J927*$F$1),0),0)*RATES!$L904/12+$H$4*(PARAM!$D$51/12)*RATES!$N904/100</f>
        <v>1190.0416666666667</v>
      </c>
      <c r="J928" s="16">
        <f t="shared" si="627"/>
        <v>-271952.79851379636</v>
      </c>
      <c r="K928" s="15">
        <f t="shared" si="628"/>
        <v>22.170849845882874</v>
      </c>
      <c r="L928" s="75">
        <f>K928*(1-PARAM!$C$27)*$I$5+(MOD($B928,60)=PARAM!$B$56)*($B928&gt;(60-PARAM!$B$56))*HLOOKUP(($B928+PARAM!$B$56)/12,Loyalty,2)*$F$1*MAX(N927,0)</f>
        <v>18.557001321003963</v>
      </c>
      <c r="M928" s="75">
        <f>PARAM!$C$26+MAX($G$5-CHOOSE(PARAM!$B$44,MAX(0,N927*$F$1),0),0)*RATES!$L904/12+$H$5*(PARAM!$D$51/12)*RATES!$N904/100</f>
        <v>1190.0416666666667</v>
      </c>
      <c r="N928" s="16">
        <f t="shared" si="629"/>
        <v>-271847.54983399127</v>
      </c>
      <c r="O928" s="15">
        <f t="shared" si="630"/>
        <v>22.170849845882874</v>
      </c>
      <c r="P928" s="75">
        <f>O928*(1-PARAM!$C$27)*$I$6+(MOD($B928,60)=PARAM!$B$56)*($B928&gt;(60-PARAM!$B$56))*HLOOKUP(($B928+PARAM!$B$56)/12,Loyalty,2)*$F$1*MAX(R927,0)</f>
        <v>18.557001321003963</v>
      </c>
      <c r="Q928" s="75">
        <f>PARAM!$C$26+MAX($G$6-CHOOSE(PARAM!$B$44,MAX(0,R927*$F$1),0),0)*RATES!$L904/12+$H$6*(PARAM!$D$51/12)*RATES!$N904/100</f>
        <v>1190.0416666666667</v>
      </c>
      <c r="R928" s="16">
        <f t="shared" si="631"/>
        <v>-271847.54983399127</v>
      </c>
      <c r="S928" s="15">
        <f t="shared" si="606"/>
        <v>22.170849845882874</v>
      </c>
      <c r="T928" s="75">
        <f>S928*(1-PARAM!$C$27)*$I$7+(MOD($B928,60)=PARAM!$B$56)*($B928&gt;(60-PARAM!$B$56))*HLOOKUP(($B928+PARAM!$B$56)/12,Loyalty,2)*$F$1*MAX(V927,0)</f>
        <v>18.557001321003963</v>
      </c>
      <c r="U928" s="75">
        <f>PARAM!$C$26+MAX($G$7-CHOOSE(PARAM!$B$44,MAX(0,V927*$F$1),0),0)*RATES!$L904/12+$H$7*(PARAM!$D$51/12)*RATES!$N904/100</f>
        <v>1190.0416666666667</v>
      </c>
      <c r="V928" s="16">
        <f t="shared" si="632"/>
        <v>-271847.54983399127</v>
      </c>
      <c r="W928" s="15">
        <f t="shared" si="607"/>
        <v>22.170849845882874</v>
      </c>
      <c r="X928" s="75">
        <f>W928*(1-PARAM!$C$27)*$I$8+(MOD($B928,60)=PARAM!$B$56)*($B928&gt;(60-PARAM!$B$56))*HLOOKUP(($B928+PARAM!$B$56)/12,Loyalty,2)*$F$1*MAX(Z927,0)</f>
        <v>18.557001321003963</v>
      </c>
      <c r="Y928" s="75">
        <f>PARAM!$C$26+MAX($G$8-CHOOSE(PARAM!$B$44,MAX(0,Z927*$F$1),0),0)*RATES!$L904/12+$H$8*(PARAM!$D$51/12)*RATES!$N904/100</f>
        <v>1190.0416666666667</v>
      </c>
      <c r="Z928" s="16">
        <f t="shared" si="633"/>
        <v>-271847.54983399127</v>
      </c>
      <c r="AA928" s="15">
        <f t="shared" si="608"/>
        <v>22.170849845882874</v>
      </c>
      <c r="AB928" s="75">
        <f>AA928*(1-PARAM!$C$27)*$I$9+(MOD($B928,60)=PARAM!$B$56)*($B928&gt;(60-PARAM!$B$56))*HLOOKUP(($B928+PARAM!$B$56)/12,Loyalty,2)*$F$1*MAX(AD927,0)</f>
        <v>18.557001321003963</v>
      </c>
      <c r="AC928" s="75">
        <f>PARAM!$C$26+MAX($G$9-CHOOSE(PARAM!$B$44,MAX(0,AD927*$F$1),0),0)*RATES!$L904/12+$H$9*(PARAM!$D$51/12)*RATES!$N904/100</f>
        <v>1190.0416666666667</v>
      </c>
      <c r="AD928" s="16">
        <f t="shared" si="634"/>
        <v>-271847.54983399127</v>
      </c>
      <c r="AE928" s="15">
        <f t="shared" si="609"/>
        <v>22.170849845882874</v>
      </c>
      <c r="AF928" s="75">
        <f>AE928*(1-PARAM!$C$27)*$I$10+(MOD($B928,60)=PARAM!$B$56)*($B928&gt;(60-PARAM!$B$56))*HLOOKUP(($B928+PARAM!$B$56)/12,Loyalty,2)*$F$1*MAX(AH927,0)</f>
        <v>18.557001321003963</v>
      </c>
      <c r="AG928" s="75">
        <f>PARAM!$C$26+MAX($G$10-CHOOSE(PARAM!$B$44,MAX(0,AH927*$F$1),0),0)*RATES!$L904/12+$H$10*(PARAM!$D$51/12)*RATES!$N904/100</f>
        <v>1190.0416666666667</v>
      </c>
      <c r="AH928" s="16">
        <f t="shared" si="635"/>
        <v>-271847.54983399127</v>
      </c>
      <c r="AI928" s="15">
        <f t="shared" si="610"/>
        <v>22.170849845882874</v>
      </c>
      <c r="AJ928" s="75">
        <f>AI928*(1-PARAM!$C$27)*$I$11+(MOD($B928,60)=PARAM!$B$56)*($B928&gt;(60-PARAM!$B$56))*HLOOKUP(($B928+PARAM!$B$56)/12,Loyalty,2)*$F$1*MAX(AL927,0)</f>
        <v>18.557001321003963</v>
      </c>
      <c r="AK928" s="75">
        <f>PARAM!$C$26+MAX($G$11-CHOOSE(PARAM!$B$44,MAX(0,AL927*$F$1),0),0)*RATES!$L904/12+$H$11*(PARAM!$D$51/12)*RATES!$N904/100</f>
        <v>1190.0416666666667</v>
      </c>
      <c r="AL928" s="16">
        <f t="shared" si="636"/>
        <v>-271847.54983399127</v>
      </c>
      <c r="AM928" s="15">
        <f t="shared" si="611"/>
        <v>22.170849845882874</v>
      </c>
      <c r="AN928" s="75">
        <f>AM928*(1-PARAM!$C$27)*$I$12+(MOD($B928,60)=PARAM!$B$56)*($B928&gt;(60-PARAM!$B$56))*HLOOKUP(($B928+PARAM!$B$56)/12,Loyalty,2)*$F$1*MAX(AP927,0)</f>
        <v>18.557001321003963</v>
      </c>
      <c r="AO928" s="75">
        <f>PARAM!$C$26+MAX($G$12-CHOOSE(PARAM!$B$44,MAX(0,AP927*$F$1),0),0)*RATES!$L904/12+$H$12*(PARAM!$D$51/12)*RATES!$N904/100</f>
        <v>1190.0416666666667</v>
      </c>
      <c r="AP928" s="16">
        <f t="shared" si="637"/>
        <v>-271847.54983399127</v>
      </c>
      <c r="AQ928" s="15">
        <f t="shared" si="612"/>
        <v>22.170849845882874</v>
      </c>
      <c r="AR928" s="75">
        <f>AQ928*(1-PARAM!$C$27)*$I$13+(MOD($B928,60)=PARAM!$B$56)*($B928&gt;(60-PARAM!$B$56))*HLOOKUP(($B928+PARAM!$B$56)/12,Loyalty,2)*$F$1*MAX(AT927,0)</f>
        <v>18.557001321003963</v>
      </c>
      <c r="AS928" s="75">
        <f>PARAM!$C$26+MAX($G$13-CHOOSE(PARAM!$B$44,MAX(0,AT927*$F$1),0),0)*RATES!$L904/12+$H$13*(PARAM!$D$51/12)*RATES!$N904/100</f>
        <v>1190.0416666666667</v>
      </c>
      <c r="AT928" s="16">
        <f t="shared" si="638"/>
        <v>-271847.54983399127</v>
      </c>
      <c r="AU928" s="15">
        <f t="shared" si="613"/>
        <v>22.170849845882874</v>
      </c>
      <c r="AV928" s="75">
        <f>AU928*(1-PARAM!$C$27)*$I$14+(MOD($B928,60)=PARAM!$B$56)*($B928&gt;(60-PARAM!$B$56))*HLOOKUP(($B928+PARAM!$B$56)/12,Loyalty,2)*$F$1*MAX(AX927,0)</f>
        <v>18.557001321003963</v>
      </c>
      <c r="AW928" s="75">
        <f>PARAM!$C$26+MAX($G$14-CHOOSE(PARAM!$B$44,MAX(0,AX927*$F$1),0),0)*RATES!$L904/12+$H$14*(PARAM!$D$51/12)*RATES!$N904/100</f>
        <v>1190.0416666666667</v>
      </c>
      <c r="AX928" s="16">
        <f t="shared" si="639"/>
        <v>-271847.54983399127</v>
      </c>
      <c r="AY928" s="15">
        <f t="shared" si="614"/>
        <v>22.170849845882874</v>
      </c>
      <c r="AZ928" s="75">
        <f>AY928*(1-PARAM!$C$27)*$I$15+(MOD($B928,60)=PARAM!$B$56)*($B928&gt;(60-PARAM!$B$56))*HLOOKUP(($B928+PARAM!$B$56)/12,Loyalty,2)*$F$1*MAX(BB927,0)</f>
        <v>18.557001321003963</v>
      </c>
      <c r="BA928" s="75">
        <f>PARAM!$C$26+MAX($G$15-CHOOSE(PARAM!$B$44,MAX(0,BB927*$F$1),0),0)*RATES!$L904/12+$H$15*(PARAM!$D$51/12)*RATES!$N904/100</f>
        <v>1190.0416666666667</v>
      </c>
      <c r="BB928" s="16">
        <f t="shared" si="640"/>
        <v>-271847.54983399127</v>
      </c>
      <c r="BC928" s="15">
        <f t="shared" si="615"/>
        <v>22.170849845882874</v>
      </c>
      <c r="BD928" s="75">
        <f>BC928*(1-PARAM!$C$27)*$I$16+(MOD($B928,60)=PARAM!$B$56)*($B928&gt;(60-PARAM!$B$56))*HLOOKUP(($B928+PARAM!$B$56)/12,Loyalty,2)*$F$1*MAX(BF927,0)</f>
        <v>18.557001321003963</v>
      </c>
      <c r="BE928" s="75">
        <f>PARAM!$C$26+MAX($G$16-CHOOSE(PARAM!$B$44,MAX(0,BF927*$F$1),0),0)*RATES!$L904/12+$H$16*(PARAM!$D$51/12)*RATES!$N904/100</f>
        <v>1190.0416666666667</v>
      </c>
      <c r="BF928" s="16">
        <f t="shared" si="641"/>
        <v>-271847.54983399127</v>
      </c>
      <c r="BG928" s="15">
        <f t="shared" si="616"/>
        <v>22.170849845882874</v>
      </c>
      <c r="BH928" s="75">
        <f>BG928*(1-PARAM!$C$27)*$I$17+(MOD($B928,60)=PARAM!$B$56)*($B928&gt;(60-PARAM!$B$56))*HLOOKUP(($B928+PARAM!$B$56)/12,Loyalty,2)*$F$1*MAX(BJ927,0)</f>
        <v>18.557001321003963</v>
      </c>
      <c r="BI928" s="75">
        <f>PARAM!$C$26+MAX($G$17-CHOOSE(PARAM!$B$44,MAX(0,BJ927*$F$1),0),0)*RATES!$L904/12+$H$17*(PARAM!$D$51/12)*RATES!$N904/100</f>
        <v>1190.0416666666667</v>
      </c>
      <c r="BJ928" s="16">
        <f t="shared" si="642"/>
        <v>-271847.54983399127</v>
      </c>
      <c r="BK928" s="15">
        <f t="shared" si="617"/>
        <v>22.170849845882874</v>
      </c>
      <c r="BL928" s="75">
        <f>BK928*(1-PARAM!$C$27)*$I$18+(MOD($B928,60)=PARAM!$B$56)*($B928&gt;(60-PARAM!$B$56))*HLOOKUP(($B928+PARAM!$B$56)/12,Loyalty,2)*$F$1*MAX(BN927,0)</f>
        <v>18.557001321003963</v>
      </c>
      <c r="BM928" s="75">
        <f>PARAM!$C$26+MAX($G$18-CHOOSE(PARAM!$B$44,MAX(0,BN927*$F$1),0),0)*RATES!$L904/12+$H$18*(PARAM!$D$51/12)*RATES!$N904/100</f>
        <v>1190.0416666666667</v>
      </c>
      <c r="BN928" s="16">
        <f t="shared" si="643"/>
        <v>-271847.54983399127</v>
      </c>
      <c r="BO928" s="15">
        <f t="shared" si="618"/>
        <v>22.170849845882874</v>
      </c>
      <c r="BP928" s="75">
        <f>BO928*(1-PARAM!$C$27)*$I$19+(MOD($B928,60)=PARAM!$B$56)*($B928&gt;(60-PARAM!$B$56))*HLOOKUP(($B928+PARAM!$B$56)/12,Loyalty,2)*$F$1*MAX(BR927,0)</f>
        <v>18.557001321003963</v>
      </c>
      <c r="BQ928" s="75">
        <f>PARAM!$C$26+MAX($G$19-CHOOSE(PARAM!$B$44,MAX(0,BR927*$F$1),0),0)*RATES!$L904/12+$H$19*(PARAM!$D$51/12)*RATES!$N904/100</f>
        <v>1190.0416666666667</v>
      </c>
      <c r="BR928" s="16">
        <f t="shared" si="644"/>
        <v>-271847.54983399127</v>
      </c>
      <c r="BS928" s="15">
        <f t="shared" si="619"/>
        <v>22.170849845882874</v>
      </c>
      <c r="BT928" s="75">
        <f>BS928*(1-PARAM!$C$27)*$I$20+(MOD($B928,60)=PARAM!$B$56)*($B928&gt;(60-PARAM!$B$56))*HLOOKUP(($B928+PARAM!$B$56)/12,Loyalty,2)*$F$1*MAX(BV927,0)</f>
        <v>18.557001321003963</v>
      </c>
      <c r="BU928" s="75">
        <f>PARAM!$C$26+MAX($G$20-CHOOSE(PARAM!$B$44,MAX(0,BV927*$F$1),0),0)*RATES!$L904/12+$H$20*(PARAM!$D$51/12)*RATES!$N904/100</f>
        <v>1190.0416666666667</v>
      </c>
      <c r="BV928" s="16">
        <f t="shared" si="645"/>
        <v>-271847.54983399127</v>
      </c>
      <c r="BW928" s="15">
        <f t="shared" si="620"/>
        <v>22.170849845882874</v>
      </c>
      <c r="BX928" s="75">
        <f>BW928*(1-PARAM!$C$27)*$I$21+(MOD($B928,60)=PARAM!$B$56)*($B928&gt;(60-PARAM!$B$56))*HLOOKUP(($B928+PARAM!$B$56)/12,Loyalty,2)*$F$1*MAX(BZ927,0)</f>
        <v>18.557001321003963</v>
      </c>
      <c r="BY928" s="75">
        <f>PARAM!$C$26+MAX($G$21-CHOOSE(PARAM!$B$44,MAX(0,BZ927*$F$1),0),0)*RATES!$L904/12+$H$21*(PARAM!$D$51/12)*RATES!$N904/100</f>
        <v>1190.0416666666667</v>
      </c>
      <c r="BZ928" s="16">
        <f t="shared" si="646"/>
        <v>-271847.54983399127</v>
      </c>
      <c r="CA928" s="15">
        <f t="shared" si="621"/>
        <v>22.170849845882874</v>
      </c>
      <c r="CB928" s="75">
        <f>CA928*(1-PARAM!$C$27)*$I$22+(MOD($B928,60)=PARAM!$B$56)*($B928&gt;(60-PARAM!$B$56))*HLOOKUP(($B928+PARAM!$B$56)/12,Loyalty,2)*$F$1*MAX(CD927,0)</f>
        <v>18.557001321003963</v>
      </c>
      <c r="CC928" s="75">
        <f>PARAM!$C$26+MAX($G$22-CHOOSE(PARAM!$B$44,MAX(0,CD927*$F$1),0),0)*RATES!$L904/12+$H$22*(PARAM!$D$51/12)*RATES!$N904/100</f>
        <v>1190.0416666666667</v>
      </c>
      <c r="CD928" s="16">
        <f t="shared" si="647"/>
        <v>-271847.54983399127</v>
      </c>
      <c r="CE928" s="33">
        <f>IF(0=MOD(B928,12/PARAM!$D$51),1,0)</f>
        <v>1</v>
      </c>
      <c r="CF928" s="15">
        <f t="shared" si="622"/>
        <v>0</v>
      </c>
      <c r="CG928" s="75">
        <f>CF928*(1-PARAM!$C$27)*$R$3+(MOD($B928/12,5)=0)*($B928&gt;60)*HLOOKUP($B928/12,Loyalty,2)*$F$1*MAX(CI927,0)</f>
        <v>0</v>
      </c>
      <c r="CH928" s="75">
        <f>PARAM!$C$26+MAX($P$3-CHOOSE(PARAM!$B$44,MAX(0,CI927*$F$1),0),0)*RATES!$L904/12+$Q$3*(PARAM!$D$51/12)*RATES!$N904/100</f>
        <v>1190.0416666666667</v>
      </c>
      <c r="CI928" s="16">
        <f>IF(CI927&gt;0,CI927*PARAM!$C$53,CI927)+CG928-CH928</f>
        <v>-288447.83333333337</v>
      </c>
      <c r="CJ928" s="15">
        <f t="shared" si="648"/>
        <v>0</v>
      </c>
      <c r="CK928" s="75">
        <f>CJ928*(1-PARAM!$C$27)*$R$4+(MOD($B928/12,5)=0)*($B928&gt;60)*HLOOKUP($B928/12,Loyalty,2)*$F$1*MAX(CM927,0)</f>
        <v>0</v>
      </c>
      <c r="CL928" s="75">
        <f>PARAM!$C$26+MAX($P$4-CHOOSE(PARAM!$B$44,MAX(0,CM927*$F$1),0),0)*RATES!$L904/12+$Q$4*(PARAM!$D$51/12)*RATES!$N904/100</f>
        <v>1190.0416666666667</v>
      </c>
      <c r="CM928" s="16">
        <f>IF(CM927&gt;0,CM927*PARAM!$C$53,CM927)+CK928-CL928</f>
        <v>-288447.83333333337</v>
      </c>
      <c r="CO928" s="176"/>
    </row>
    <row r="929" spans="1:93" x14ac:dyDescent="0.2">
      <c r="A929" t="b">
        <f t="shared" si="623"/>
        <v>0</v>
      </c>
      <c r="B929" s="33">
        <v>902</v>
      </c>
      <c r="C929" s="15">
        <f t="shared" si="624"/>
        <v>20.081305947392778</v>
      </c>
      <c r="D929" s="75">
        <f>C929*(1-PARAM!$C$27)*$I$3+(MOD($B929,60)=PARAM!$B$56)*($B929&gt;(60-PARAM!$B$56))*HLOOKUP(($B929+PARAM!$B$56)/12,Loyalty,2)*$F$1*MAX(F928,0)</f>
        <v>16.808053077967756</v>
      </c>
      <c r="E929" s="75">
        <f>PARAM!$C$26+MAX($G$3-CHOOSE(PARAM!$B$44,MAX(0,F928*$F$1),0),0)*RATES!$L905/12+$H$3*(PARAM!$D$51/12)*RATES!$N905/100</f>
        <v>1190.0416666666667</v>
      </c>
      <c r="F929" s="16">
        <f t="shared" si="625"/>
        <v>-274633.43631507771</v>
      </c>
      <c r="G929" s="15">
        <f t="shared" si="626"/>
        <v>22.035289406060361</v>
      </c>
      <c r="H929" s="75">
        <f>G929*(1-PARAM!$C$27)*$I$4+(MOD($B929,60)=PARAM!$B$56)*($B929&gt;(60-PARAM!$B$56))*HLOOKUP(($B929+PARAM!$B$56)/12,Loyalty,2)*$F$1*MAX(J928,0)</f>
        <v>18.443537232872522</v>
      </c>
      <c r="I929" s="75">
        <f>PARAM!$C$26+MAX($G$4-CHOOSE(PARAM!$B$44,MAX(0,J928*$F$1),0),0)*RATES!$L905/12+$H$4*(PARAM!$D$51/12)*RATES!$N905/100</f>
        <v>1190.0416666666667</v>
      </c>
      <c r="J929" s="16">
        <f t="shared" si="627"/>
        <v>-273124.39664323017</v>
      </c>
      <c r="K929" s="15">
        <f t="shared" si="628"/>
        <v>22.170849845882874</v>
      </c>
      <c r="L929" s="75">
        <f>K929*(1-PARAM!$C$27)*$I$5+(MOD($B929,60)=PARAM!$B$56)*($B929&gt;(60-PARAM!$B$56))*HLOOKUP(($B929+PARAM!$B$56)/12,Loyalty,2)*$F$1*MAX(N928,0)</f>
        <v>18.557001321003963</v>
      </c>
      <c r="M929" s="75">
        <f>PARAM!$C$26+MAX($G$5-CHOOSE(PARAM!$B$44,MAX(0,N928*$F$1),0),0)*RATES!$L905/12+$H$5*(PARAM!$D$51/12)*RATES!$N905/100</f>
        <v>1190.0416666666667</v>
      </c>
      <c r="N929" s="16">
        <f t="shared" si="629"/>
        <v>-273019.03449933697</v>
      </c>
      <c r="O929" s="15">
        <f t="shared" si="630"/>
        <v>22.170849845882874</v>
      </c>
      <c r="P929" s="75">
        <f>O929*(1-PARAM!$C$27)*$I$6+(MOD($B929,60)=PARAM!$B$56)*($B929&gt;(60-PARAM!$B$56))*HLOOKUP(($B929+PARAM!$B$56)/12,Loyalty,2)*$F$1*MAX(R928,0)</f>
        <v>18.557001321003963</v>
      </c>
      <c r="Q929" s="75">
        <f>PARAM!$C$26+MAX($G$6-CHOOSE(PARAM!$B$44,MAX(0,R928*$F$1),0),0)*RATES!$L905/12+$H$6*(PARAM!$D$51/12)*RATES!$N905/100</f>
        <v>1190.0416666666667</v>
      </c>
      <c r="R929" s="16">
        <f t="shared" si="631"/>
        <v>-273019.03449933697</v>
      </c>
      <c r="S929" s="15">
        <f t="shared" si="606"/>
        <v>22.170849845882874</v>
      </c>
      <c r="T929" s="75">
        <f>S929*(1-PARAM!$C$27)*$I$7+(MOD($B929,60)=PARAM!$B$56)*($B929&gt;(60-PARAM!$B$56))*HLOOKUP(($B929+PARAM!$B$56)/12,Loyalty,2)*$F$1*MAX(V928,0)</f>
        <v>18.557001321003963</v>
      </c>
      <c r="U929" s="75">
        <f>PARAM!$C$26+MAX($G$7-CHOOSE(PARAM!$B$44,MAX(0,V928*$F$1),0),0)*RATES!$L905/12+$H$7*(PARAM!$D$51/12)*RATES!$N905/100</f>
        <v>1190.0416666666667</v>
      </c>
      <c r="V929" s="16">
        <f t="shared" si="632"/>
        <v>-273019.03449933697</v>
      </c>
      <c r="W929" s="15">
        <f t="shared" si="607"/>
        <v>22.170849845882874</v>
      </c>
      <c r="X929" s="75">
        <f>W929*(1-PARAM!$C$27)*$I$8+(MOD($B929,60)=PARAM!$B$56)*($B929&gt;(60-PARAM!$B$56))*HLOOKUP(($B929+PARAM!$B$56)/12,Loyalty,2)*$F$1*MAX(Z928,0)</f>
        <v>18.557001321003963</v>
      </c>
      <c r="Y929" s="75">
        <f>PARAM!$C$26+MAX($G$8-CHOOSE(PARAM!$B$44,MAX(0,Z928*$F$1),0),0)*RATES!$L905/12+$H$8*(PARAM!$D$51/12)*RATES!$N905/100</f>
        <v>1190.0416666666667</v>
      </c>
      <c r="Z929" s="16">
        <f t="shared" si="633"/>
        <v>-273019.03449933697</v>
      </c>
      <c r="AA929" s="15">
        <f t="shared" si="608"/>
        <v>22.170849845882874</v>
      </c>
      <c r="AB929" s="75">
        <f>AA929*(1-PARAM!$C$27)*$I$9+(MOD($B929,60)=PARAM!$B$56)*($B929&gt;(60-PARAM!$B$56))*HLOOKUP(($B929+PARAM!$B$56)/12,Loyalty,2)*$F$1*MAX(AD928,0)</f>
        <v>18.557001321003963</v>
      </c>
      <c r="AC929" s="75">
        <f>PARAM!$C$26+MAX($G$9-CHOOSE(PARAM!$B$44,MAX(0,AD928*$F$1),0),0)*RATES!$L905/12+$H$9*(PARAM!$D$51/12)*RATES!$N905/100</f>
        <v>1190.0416666666667</v>
      </c>
      <c r="AD929" s="16">
        <f t="shared" si="634"/>
        <v>-273019.03449933697</v>
      </c>
      <c r="AE929" s="15">
        <f t="shared" si="609"/>
        <v>22.170849845882874</v>
      </c>
      <c r="AF929" s="75">
        <f>AE929*(1-PARAM!$C$27)*$I$10+(MOD($B929,60)=PARAM!$B$56)*($B929&gt;(60-PARAM!$B$56))*HLOOKUP(($B929+PARAM!$B$56)/12,Loyalty,2)*$F$1*MAX(AH928,0)</f>
        <v>18.557001321003963</v>
      </c>
      <c r="AG929" s="75">
        <f>PARAM!$C$26+MAX($G$10-CHOOSE(PARAM!$B$44,MAX(0,AH928*$F$1),0),0)*RATES!$L905/12+$H$10*(PARAM!$D$51/12)*RATES!$N905/100</f>
        <v>1190.0416666666667</v>
      </c>
      <c r="AH929" s="16">
        <f t="shared" si="635"/>
        <v>-273019.03449933697</v>
      </c>
      <c r="AI929" s="15">
        <f t="shared" si="610"/>
        <v>22.170849845882874</v>
      </c>
      <c r="AJ929" s="75">
        <f>AI929*(1-PARAM!$C$27)*$I$11+(MOD($B929,60)=PARAM!$B$56)*($B929&gt;(60-PARAM!$B$56))*HLOOKUP(($B929+PARAM!$B$56)/12,Loyalty,2)*$F$1*MAX(AL928,0)</f>
        <v>18.557001321003963</v>
      </c>
      <c r="AK929" s="75">
        <f>PARAM!$C$26+MAX($G$11-CHOOSE(PARAM!$B$44,MAX(0,AL928*$F$1),0),0)*RATES!$L905/12+$H$11*(PARAM!$D$51/12)*RATES!$N905/100</f>
        <v>1190.0416666666667</v>
      </c>
      <c r="AL929" s="16">
        <f t="shared" si="636"/>
        <v>-273019.03449933697</v>
      </c>
      <c r="AM929" s="15">
        <f t="shared" si="611"/>
        <v>22.170849845882874</v>
      </c>
      <c r="AN929" s="75">
        <f>AM929*(1-PARAM!$C$27)*$I$12+(MOD($B929,60)=PARAM!$B$56)*($B929&gt;(60-PARAM!$B$56))*HLOOKUP(($B929+PARAM!$B$56)/12,Loyalty,2)*$F$1*MAX(AP928,0)</f>
        <v>18.557001321003963</v>
      </c>
      <c r="AO929" s="75">
        <f>PARAM!$C$26+MAX($G$12-CHOOSE(PARAM!$B$44,MAX(0,AP928*$F$1),0),0)*RATES!$L905/12+$H$12*(PARAM!$D$51/12)*RATES!$N905/100</f>
        <v>1190.0416666666667</v>
      </c>
      <c r="AP929" s="16">
        <f t="shared" si="637"/>
        <v>-273019.03449933697</v>
      </c>
      <c r="AQ929" s="15">
        <f t="shared" si="612"/>
        <v>22.170849845882874</v>
      </c>
      <c r="AR929" s="75">
        <f>AQ929*(1-PARAM!$C$27)*$I$13+(MOD($B929,60)=PARAM!$B$56)*($B929&gt;(60-PARAM!$B$56))*HLOOKUP(($B929+PARAM!$B$56)/12,Loyalty,2)*$F$1*MAX(AT928,0)</f>
        <v>18.557001321003963</v>
      </c>
      <c r="AS929" s="75">
        <f>PARAM!$C$26+MAX($G$13-CHOOSE(PARAM!$B$44,MAX(0,AT928*$F$1),0),0)*RATES!$L905/12+$H$13*(PARAM!$D$51/12)*RATES!$N905/100</f>
        <v>1190.0416666666667</v>
      </c>
      <c r="AT929" s="16">
        <f t="shared" si="638"/>
        <v>-273019.03449933697</v>
      </c>
      <c r="AU929" s="15">
        <f t="shared" si="613"/>
        <v>22.170849845882874</v>
      </c>
      <c r="AV929" s="75">
        <f>AU929*(1-PARAM!$C$27)*$I$14+(MOD($B929,60)=PARAM!$B$56)*($B929&gt;(60-PARAM!$B$56))*HLOOKUP(($B929+PARAM!$B$56)/12,Loyalty,2)*$F$1*MAX(AX928,0)</f>
        <v>18.557001321003963</v>
      </c>
      <c r="AW929" s="75">
        <f>PARAM!$C$26+MAX($G$14-CHOOSE(PARAM!$B$44,MAX(0,AX928*$F$1),0),0)*RATES!$L905/12+$H$14*(PARAM!$D$51/12)*RATES!$N905/100</f>
        <v>1190.0416666666667</v>
      </c>
      <c r="AX929" s="16">
        <f t="shared" si="639"/>
        <v>-273019.03449933697</v>
      </c>
      <c r="AY929" s="15">
        <f t="shared" si="614"/>
        <v>22.170849845882874</v>
      </c>
      <c r="AZ929" s="75">
        <f>AY929*(1-PARAM!$C$27)*$I$15+(MOD($B929,60)=PARAM!$B$56)*($B929&gt;(60-PARAM!$B$56))*HLOOKUP(($B929+PARAM!$B$56)/12,Loyalty,2)*$F$1*MAX(BB928,0)</f>
        <v>18.557001321003963</v>
      </c>
      <c r="BA929" s="75">
        <f>PARAM!$C$26+MAX($G$15-CHOOSE(PARAM!$B$44,MAX(0,BB928*$F$1),0),0)*RATES!$L905/12+$H$15*(PARAM!$D$51/12)*RATES!$N905/100</f>
        <v>1190.0416666666667</v>
      </c>
      <c r="BB929" s="16">
        <f t="shared" si="640"/>
        <v>-273019.03449933697</v>
      </c>
      <c r="BC929" s="15">
        <f t="shared" si="615"/>
        <v>22.170849845882874</v>
      </c>
      <c r="BD929" s="75">
        <f>BC929*(1-PARAM!$C$27)*$I$16+(MOD($B929,60)=PARAM!$B$56)*($B929&gt;(60-PARAM!$B$56))*HLOOKUP(($B929+PARAM!$B$56)/12,Loyalty,2)*$F$1*MAX(BF928,0)</f>
        <v>18.557001321003963</v>
      </c>
      <c r="BE929" s="75">
        <f>PARAM!$C$26+MAX($G$16-CHOOSE(PARAM!$B$44,MAX(0,BF928*$F$1),0),0)*RATES!$L905/12+$H$16*(PARAM!$D$51/12)*RATES!$N905/100</f>
        <v>1190.0416666666667</v>
      </c>
      <c r="BF929" s="16">
        <f t="shared" si="641"/>
        <v>-273019.03449933697</v>
      </c>
      <c r="BG929" s="15">
        <f t="shared" si="616"/>
        <v>22.170849845882874</v>
      </c>
      <c r="BH929" s="75">
        <f>BG929*(1-PARAM!$C$27)*$I$17+(MOD($B929,60)=PARAM!$B$56)*($B929&gt;(60-PARAM!$B$56))*HLOOKUP(($B929+PARAM!$B$56)/12,Loyalty,2)*$F$1*MAX(BJ928,0)</f>
        <v>18.557001321003963</v>
      </c>
      <c r="BI929" s="75">
        <f>PARAM!$C$26+MAX($G$17-CHOOSE(PARAM!$B$44,MAX(0,BJ928*$F$1),0),0)*RATES!$L905/12+$H$17*(PARAM!$D$51/12)*RATES!$N905/100</f>
        <v>1190.0416666666667</v>
      </c>
      <c r="BJ929" s="16">
        <f t="shared" si="642"/>
        <v>-273019.03449933697</v>
      </c>
      <c r="BK929" s="15">
        <f t="shared" si="617"/>
        <v>22.170849845882874</v>
      </c>
      <c r="BL929" s="75">
        <f>BK929*(1-PARAM!$C$27)*$I$18+(MOD($B929,60)=PARAM!$B$56)*($B929&gt;(60-PARAM!$B$56))*HLOOKUP(($B929+PARAM!$B$56)/12,Loyalty,2)*$F$1*MAX(BN928,0)</f>
        <v>18.557001321003963</v>
      </c>
      <c r="BM929" s="75">
        <f>PARAM!$C$26+MAX($G$18-CHOOSE(PARAM!$B$44,MAX(0,BN928*$F$1),0),0)*RATES!$L905/12+$H$18*(PARAM!$D$51/12)*RATES!$N905/100</f>
        <v>1190.0416666666667</v>
      </c>
      <c r="BN929" s="16">
        <f t="shared" si="643"/>
        <v>-273019.03449933697</v>
      </c>
      <c r="BO929" s="15">
        <f t="shared" si="618"/>
        <v>22.170849845882874</v>
      </c>
      <c r="BP929" s="75">
        <f>BO929*(1-PARAM!$C$27)*$I$19+(MOD($B929,60)=PARAM!$B$56)*($B929&gt;(60-PARAM!$B$56))*HLOOKUP(($B929+PARAM!$B$56)/12,Loyalty,2)*$F$1*MAX(BR928,0)</f>
        <v>18.557001321003963</v>
      </c>
      <c r="BQ929" s="75">
        <f>PARAM!$C$26+MAX($G$19-CHOOSE(PARAM!$B$44,MAX(0,BR928*$F$1),0),0)*RATES!$L905/12+$H$19*(PARAM!$D$51/12)*RATES!$N905/100</f>
        <v>1190.0416666666667</v>
      </c>
      <c r="BR929" s="16">
        <f t="shared" si="644"/>
        <v>-273019.03449933697</v>
      </c>
      <c r="BS929" s="15">
        <f t="shared" si="619"/>
        <v>22.170849845882874</v>
      </c>
      <c r="BT929" s="75">
        <f>BS929*(1-PARAM!$C$27)*$I$20+(MOD($B929,60)=PARAM!$B$56)*($B929&gt;(60-PARAM!$B$56))*HLOOKUP(($B929+PARAM!$B$56)/12,Loyalty,2)*$F$1*MAX(BV928,0)</f>
        <v>18.557001321003963</v>
      </c>
      <c r="BU929" s="75">
        <f>PARAM!$C$26+MAX($G$20-CHOOSE(PARAM!$B$44,MAX(0,BV928*$F$1),0),0)*RATES!$L905/12+$H$20*(PARAM!$D$51/12)*RATES!$N905/100</f>
        <v>1190.0416666666667</v>
      </c>
      <c r="BV929" s="16">
        <f t="shared" si="645"/>
        <v>-273019.03449933697</v>
      </c>
      <c r="BW929" s="15">
        <f t="shared" si="620"/>
        <v>22.170849845882874</v>
      </c>
      <c r="BX929" s="75">
        <f>BW929*(1-PARAM!$C$27)*$I$21+(MOD($B929,60)=PARAM!$B$56)*($B929&gt;(60-PARAM!$B$56))*HLOOKUP(($B929+PARAM!$B$56)/12,Loyalty,2)*$F$1*MAX(BZ928,0)</f>
        <v>18.557001321003963</v>
      </c>
      <c r="BY929" s="75">
        <f>PARAM!$C$26+MAX($G$21-CHOOSE(PARAM!$B$44,MAX(0,BZ928*$F$1),0),0)*RATES!$L905/12+$H$21*(PARAM!$D$51/12)*RATES!$N905/100</f>
        <v>1190.0416666666667</v>
      </c>
      <c r="BZ929" s="16">
        <f t="shared" si="646"/>
        <v>-273019.03449933697</v>
      </c>
      <c r="CA929" s="15">
        <f t="shared" si="621"/>
        <v>22.170849845882874</v>
      </c>
      <c r="CB929" s="75">
        <f>CA929*(1-PARAM!$C$27)*$I$22+(MOD($B929,60)=PARAM!$B$56)*($B929&gt;(60-PARAM!$B$56))*HLOOKUP(($B929+PARAM!$B$56)/12,Loyalty,2)*$F$1*MAX(CD928,0)</f>
        <v>18.557001321003963</v>
      </c>
      <c r="CC929" s="75">
        <f>PARAM!$C$26+MAX($G$22-CHOOSE(PARAM!$B$44,MAX(0,CD928*$F$1),0),0)*RATES!$L905/12+$H$22*(PARAM!$D$51/12)*RATES!$N905/100</f>
        <v>1190.0416666666667</v>
      </c>
      <c r="CD929" s="16">
        <f t="shared" si="647"/>
        <v>-273019.03449933697</v>
      </c>
      <c r="CE929" s="33">
        <f>IF(0=MOD(B929,12/PARAM!$D$51),1,0)</f>
        <v>1</v>
      </c>
      <c r="CF929" s="15">
        <f t="shared" si="622"/>
        <v>0</v>
      </c>
      <c r="CG929" s="75">
        <f>CF929*(1-PARAM!$C$27)*$R$3+(MOD($B929/12,5)=0)*($B929&gt;60)*HLOOKUP($B929/12,Loyalty,2)*$F$1*MAX(CI928,0)</f>
        <v>0</v>
      </c>
      <c r="CH929" s="75">
        <f>PARAM!$C$26+MAX($P$3-CHOOSE(PARAM!$B$44,MAX(0,CI928*$F$1),0),0)*RATES!$L905/12+$Q$3*(PARAM!$D$51/12)*RATES!$N905/100</f>
        <v>1190.0416666666667</v>
      </c>
      <c r="CI929" s="16">
        <f>IF(CI928&gt;0,CI928*PARAM!$C$53,CI928)+CG929-CH929</f>
        <v>-289637.87500000006</v>
      </c>
      <c r="CJ929" s="15">
        <f t="shared" si="648"/>
        <v>0</v>
      </c>
      <c r="CK929" s="75">
        <f>CJ929*(1-PARAM!$C$27)*$R$4+(MOD($B929/12,5)=0)*($B929&gt;60)*HLOOKUP($B929/12,Loyalty,2)*$F$1*MAX(CM928,0)</f>
        <v>0</v>
      </c>
      <c r="CL929" s="75">
        <f>PARAM!$C$26+MAX($P$4-CHOOSE(PARAM!$B$44,MAX(0,CM928*$F$1),0),0)*RATES!$L905/12+$Q$4*(PARAM!$D$51/12)*RATES!$N905/100</f>
        <v>1190.0416666666667</v>
      </c>
      <c r="CM929" s="16">
        <f>IF(CM928&gt;0,CM928*PARAM!$C$53,CM928)+CK929-CL929</f>
        <v>-289637.87500000006</v>
      </c>
      <c r="CO929" s="176"/>
    </row>
    <row r="930" spans="1:93" x14ac:dyDescent="0.2">
      <c r="A930" t="b">
        <f t="shared" si="623"/>
        <v>0</v>
      </c>
      <c r="B930" s="33">
        <v>903</v>
      </c>
      <c r="C930" s="15">
        <f t="shared" si="624"/>
        <v>20.081305947392778</v>
      </c>
      <c r="D930" s="75">
        <f>C930*(1-PARAM!$C$27)*$I$3+(MOD($B930,60)=PARAM!$B$56)*($B930&gt;(60-PARAM!$B$56))*HLOOKUP(($B930+PARAM!$B$56)/12,Loyalty,2)*$F$1*MAX(F929,0)</f>
        <v>16.808053077967756</v>
      </c>
      <c r="E930" s="75">
        <f>PARAM!$C$26+MAX($G$3-CHOOSE(PARAM!$B$44,MAX(0,F929*$F$1),0),0)*RATES!$L906/12+$H$3*(PARAM!$D$51/12)*RATES!$N906/100</f>
        <v>1190.0416666666667</v>
      </c>
      <c r="F930" s="16">
        <f t="shared" si="625"/>
        <v>-275806.66992866644</v>
      </c>
      <c r="G930" s="15">
        <f t="shared" si="626"/>
        <v>22.035289406060361</v>
      </c>
      <c r="H930" s="75">
        <f>G930*(1-PARAM!$C$27)*$I$4+(MOD($B930,60)=PARAM!$B$56)*($B930&gt;(60-PARAM!$B$56))*HLOOKUP(($B930+PARAM!$B$56)/12,Loyalty,2)*$F$1*MAX(J929,0)</f>
        <v>18.443537232872522</v>
      </c>
      <c r="I930" s="75">
        <f>PARAM!$C$26+MAX($G$4-CHOOSE(PARAM!$B$44,MAX(0,J929*$F$1),0),0)*RATES!$L906/12+$H$4*(PARAM!$D$51/12)*RATES!$N906/100</f>
        <v>1190.0416666666667</v>
      </c>
      <c r="J930" s="16">
        <f t="shared" si="627"/>
        <v>-274295.99477266398</v>
      </c>
      <c r="K930" s="15">
        <f t="shared" si="628"/>
        <v>22.170849845882874</v>
      </c>
      <c r="L930" s="75">
        <f>K930*(1-PARAM!$C$27)*$I$5+(MOD($B930,60)=PARAM!$B$56)*($B930&gt;(60-PARAM!$B$56))*HLOOKUP(($B930+PARAM!$B$56)/12,Loyalty,2)*$F$1*MAX(N929,0)</f>
        <v>18.557001321003963</v>
      </c>
      <c r="M930" s="75">
        <f>PARAM!$C$26+MAX($G$5-CHOOSE(PARAM!$B$44,MAX(0,N929*$F$1),0),0)*RATES!$L906/12+$H$5*(PARAM!$D$51/12)*RATES!$N906/100</f>
        <v>1190.0416666666667</v>
      </c>
      <c r="N930" s="16">
        <f t="shared" si="629"/>
        <v>-274190.51916468266</v>
      </c>
      <c r="O930" s="15">
        <f t="shared" si="630"/>
        <v>22.170849845882874</v>
      </c>
      <c r="P930" s="75">
        <f>O930*(1-PARAM!$C$27)*$I$6+(MOD($B930,60)=PARAM!$B$56)*($B930&gt;(60-PARAM!$B$56))*HLOOKUP(($B930+PARAM!$B$56)/12,Loyalty,2)*$F$1*MAX(R929,0)</f>
        <v>18.557001321003963</v>
      </c>
      <c r="Q930" s="75">
        <f>PARAM!$C$26+MAX($G$6-CHOOSE(PARAM!$B$44,MAX(0,R929*$F$1),0),0)*RATES!$L906/12+$H$6*(PARAM!$D$51/12)*RATES!$N906/100</f>
        <v>1190.0416666666667</v>
      </c>
      <c r="R930" s="16">
        <f t="shared" si="631"/>
        <v>-274190.51916468266</v>
      </c>
      <c r="S930" s="15">
        <f t="shared" si="606"/>
        <v>22.170849845882874</v>
      </c>
      <c r="T930" s="75">
        <f>S930*(1-PARAM!$C$27)*$I$7+(MOD($B930,60)=PARAM!$B$56)*($B930&gt;(60-PARAM!$B$56))*HLOOKUP(($B930+PARAM!$B$56)/12,Loyalty,2)*$F$1*MAX(V929,0)</f>
        <v>18.557001321003963</v>
      </c>
      <c r="U930" s="75">
        <f>PARAM!$C$26+MAX($G$7-CHOOSE(PARAM!$B$44,MAX(0,V929*$F$1),0),0)*RATES!$L906/12+$H$7*(PARAM!$D$51/12)*RATES!$N906/100</f>
        <v>1190.0416666666667</v>
      </c>
      <c r="V930" s="16">
        <f t="shared" si="632"/>
        <v>-274190.51916468266</v>
      </c>
      <c r="W930" s="15">
        <f t="shared" si="607"/>
        <v>22.170849845882874</v>
      </c>
      <c r="X930" s="75">
        <f>W930*(1-PARAM!$C$27)*$I$8+(MOD($B930,60)=PARAM!$B$56)*($B930&gt;(60-PARAM!$B$56))*HLOOKUP(($B930+PARAM!$B$56)/12,Loyalty,2)*$F$1*MAX(Z929,0)</f>
        <v>18.557001321003963</v>
      </c>
      <c r="Y930" s="75">
        <f>PARAM!$C$26+MAX($G$8-CHOOSE(PARAM!$B$44,MAX(0,Z929*$F$1),0),0)*RATES!$L906/12+$H$8*(PARAM!$D$51/12)*RATES!$N906/100</f>
        <v>1190.0416666666667</v>
      </c>
      <c r="Z930" s="16">
        <f t="shared" si="633"/>
        <v>-274190.51916468266</v>
      </c>
      <c r="AA930" s="15">
        <f t="shared" si="608"/>
        <v>22.170849845882874</v>
      </c>
      <c r="AB930" s="75">
        <f>AA930*(1-PARAM!$C$27)*$I$9+(MOD($B930,60)=PARAM!$B$56)*($B930&gt;(60-PARAM!$B$56))*HLOOKUP(($B930+PARAM!$B$56)/12,Loyalty,2)*$F$1*MAX(AD929,0)</f>
        <v>18.557001321003963</v>
      </c>
      <c r="AC930" s="75">
        <f>PARAM!$C$26+MAX($G$9-CHOOSE(PARAM!$B$44,MAX(0,AD929*$F$1),0),0)*RATES!$L906/12+$H$9*(PARAM!$D$51/12)*RATES!$N906/100</f>
        <v>1190.0416666666667</v>
      </c>
      <c r="AD930" s="16">
        <f t="shared" si="634"/>
        <v>-274190.51916468266</v>
      </c>
      <c r="AE930" s="15">
        <f t="shared" si="609"/>
        <v>22.170849845882874</v>
      </c>
      <c r="AF930" s="75">
        <f>AE930*(1-PARAM!$C$27)*$I$10+(MOD($B930,60)=PARAM!$B$56)*($B930&gt;(60-PARAM!$B$56))*HLOOKUP(($B930+PARAM!$B$56)/12,Loyalty,2)*$F$1*MAX(AH929,0)</f>
        <v>18.557001321003963</v>
      </c>
      <c r="AG930" s="75">
        <f>PARAM!$C$26+MAX($G$10-CHOOSE(PARAM!$B$44,MAX(0,AH929*$F$1),0),0)*RATES!$L906/12+$H$10*(PARAM!$D$51/12)*RATES!$N906/100</f>
        <v>1190.0416666666667</v>
      </c>
      <c r="AH930" s="16">
        <f t="shared" si="635"/>
        <v>-274190.51916468266</v>
      </c>
      <c r="AI930" s="15">
        <f t="shared" si="610"/>
        <v>22.170849845882874</v>
      </c>
      <c r="AJ930" s="75">
        <f>AI930*(1-PARAM!$C$27)*$I$11+(MOD($B930,60)=PARAM!$B$56)*($B930&gt;(60-PARAM!$B$56))*HLOOKUP(($B930+PARAM!$B$56)/12,Loyalty,2)*$F$1*MAX(AL929,0)</f>
        <v>18.557001321003963</v>
      </c>
      <c r="AK930" s="75">
        <f>PARAM!$C$26+MAX($G$11-CHOOSE(PARAM!$B$44,MAX(0,AL929*$F$1),0),0)*RATES!$L906/12+$H$11*(PARAM!$D$51/12)*RATES!$N906/100</f>
        <v>1190.0416666666667</v>
      </c>
      <c r="AL930" s="16">
        <f t="shared" si="636"/>
        <v>-274190.51916468266</v>
      </c>
      <c r="AM930" s="15">
        <f t="shared" si="611"/>
        <v>22.170849845882874</v>
      </c>
      <c r="AN930" s="75">
        <f>AM930*(1-PARAM!$C$27)*$I$12+(MOD($B930,60)=PARAM!$B$56)*($B930&gt;(60-PARAM!$B$56))*HLOOKUP(($B930+PARAM!$B$56)/12,Loyalty,2)*$F$1*MAX(AP929,0)</f>
        <v>18.557001321003963</v>
      </c>
      <c r="AO930" s="75">
        <f>PARAM!$C$26+MAX($G$12-CHOOSE(PARAM!$B$44,MAX(0,AP929*$F$1),0),0)*RATES!$L906/12+$H$12*(PARAM!$D$51/12)*RATES!$N906/100</f>
        <v>1190.0416666666667</v>
      </c>
      <c r="AP930" s="16">
        <f t="shared" si="637"/>
        <v>-274190.51916468266</v>
      </c>
      <c r="AQ930" s="15">
        <f t="shared" si="612"/>
        <v>22.170849845882874</v>
      </c>
      <c r="AR930" s="75">
        <f>AQ930*(1-PARAM!$C$27)*$I$13+(MOD($B930,60)=PARAM!$B$56)*($B930&gt;(60-PARAM!$B$56))*HLOOKUP(($B930+PARAM!$B$56)/12,Loyalty,2)*$F$1*MAX(AT929,0)</f>
        <v>18.557001321003963</v>
      </c>
      <c r="AS930" s="75">
        <f>PARAM!$C$26+MAX($G$13-CHOOSE(PARAM!$B$44,MAX(0,AT929*$F$1),0),0)*RATES!$L906/12+$H$13*(PARAM!$D$51/12)*RATES!$N906/100</f>
        <v>1190.0416666666667</v>
      </c>
      <c r="AT930" s="16">
        <f t="shared" si="638"/>
        <v>-274190.51916468266</v>
      </c>
      <c r="AU930" s="15">
        <f t="shared" si="613"/>
        <v>22.170849845882874</v>
      </c>
      <c r="AV930" s="75">
        <f>AU930*(1-PARAM!$C$27)*$I$14+(MOD($B930,60)=PARAM!$B$56)*($B930&gt;(60-PARAM!$B$56))*HLOOKUP(($B930+PARAM!$B$56)/12,Loyalty,2)*$F$1*MAX(AX929,0)</f>
        <v>18.557001321003963</v>
      </c>
      <c r="AW930" s="75">
        <f>PARAM!$C$26+MAX($G$14-CHOOSE(PARAM!$B$44,MAX(0,AX929*$F$1),0),0)*RATES!$L906/12+$H$14*(PARAM!$D$51/12)*RATES!$N906/100</f>
        <v>1190.0416666666667</v>
      </c>
      <c r="AX930" s="16">
        <f t="shared" si="639"/>
        <v>-274190.51916468266</v>
      </c>
      <c r="AY930" s="15">
        <f t="shared" si="614"/>
        <v>22.170849845882874</v>
      </c>
      <c r="AZ930" s="75">
        <f>AY930*(1-PARAM!$C$27)*$I$15+(MOD($B930,60)=PARAM!$B$56)*($B930&gt;(60-PARAM!$B$56))*HLOOKUP(($B930+PARAM!$B$56)/12,Loyalty,2)*$F$1*MAX(BB929,0)</f>
        <v>18.557001321003963</v>
      </c>
      <c r="BA930" s="75">
        <f>PARAM!$C$26+MAX($G$15-CHOOSE(PARAM!$B$44,MAX(0,BB929*$F$1),0),0)*RATES!$L906/12+$H$15*(PARAM!$D$51/12)*RATES!$N906/100</f>
        <v>1190.0416666666667</v>
      </c>
      <c r="BB930" s="16">
        <f t="shared" si="640"/>
        <v>-274190.51916468266</v>
      </c>
      <c r="BC930" s="15">
        <f t="shared" si="615"/>
        <v>22.170849845882874</v>
      </c>
      <c r="BD930" s="75">
        <f>BC930*(1-PARAM!$C$27)*$I$16+(MOD($B930,60)=PARAM!$B$56)*($B930&gt;(60-PARAM!$B$56))*HLOOKUP(($B930+PARAM!$B$56)/12,Loyalty,2)*$F$1*MAX(BF929,0)</f>
        <v>18.557001321003963</v>
      </c>
      <c r="BE930" s="75">
        <f>PARAM!$C$26+MAX($G$16-CHOOSE(PARAM!$B$44,MAX(0,BF929*$F$1),0),0)*RATES!$L906/12+$H$16*(PARAM!$D$51/12)*RATES!$N906/100</f>
        <v>1190.0416666666667</v>
      </c>
      <c r="BF930" s="16">
        <f t="shared" si="641"/>
        <v>-274190.51916468266</v>
      </c>
      <c r="BG930" s="15">
        <f t="shared" si="616"/>
        <v>22.170849845882874</v>
      </c>
      <c r="BH930" s="75">
        <f>BG930*(1-PARAM!$C$27)*$I$17+(MOD($B930,60)=PARAM!$B$56)*($B930&gt;(60-PARAM!$B$56))*HLOOKUP(($B930+PARAM!$B$56)/12,Loyalty,2)*$F$1*MAX(BJ929,0)</f>
        <v>18.557001321003963</v>
      </c>
      <c r="BI930" s="75">
        <f>PARAM!$C$26+MAX($G$17-CHOOSE(PARAM!$B$44,MAX(0,BJ929*$F$1),0),0)*RATES!$L906/12+$H$17*(PARAM!$D$51/12)*RATES!$N906/100</f>
        <v>1190.0416666666667</v>
      </c>
      <c r="BJ930" s="16">
        <f t="shared" si="642"/>
        <v>-274190.51916468266</v>
      </c>
      <c r="BK930" s="15">
        <f t="shared" si="617"/>
        <v>22.170849845882874</v>
      </c>
      <c r="BL930" s="75">
        <f>BK930*(1-PARAM!$C$27)*$I$18+(MOD($B930,60)=PARAM!$B$56)*($B930&gt;(60-PARAM!$B$56))*HLOOKUP(($B930+PARAM!$B$56)/12,Loyalty,2)*$F$1*MAX(BN929,0)</f>
        <v>18.557001321003963</v>
      </c>
      <c r="BM930" s="75">
        <f>PARAM!$C$26+MAX($G$18-CHOOSE(PARAM!$B$44,MAX(0,BN929*$F$1),0),0)*RATES!$L906/12+$H$18*(PARAM!$D$51/12)*RATES!$N906/100</f>
        <v>1190.0416666666667</v>
      </c>
      <c r="BN930" s="16">
        <f t="shared" si="643"/>
        <v>-274190.51916468266</v>
      </c>
      <c r="BO930" s="15">
        <f t="shared" si="618"/>
        <v>22.170849845882874</v>
      </c>
      <c r="BP930" s="75">
        <f>BO930*(1-PARAM!$C$27)*$I$19+(MOD($B930,60)=PARAM!$B$56)*($B930&gt;(60-PARAM!$B$56))*HLOOKUP(($B930+PARAM!$B$56)/12,Loyalty,2)*$F$1*MAX(BR929,0)</f>
        <v>18.557001321003963</v>
      </c>
      <c r="BQ930" s="75">
        <f>PARAM!$C$26+MAX($G$19-CHOOSE(PARAM!$B$44,MAX(0,BR929*$F$1),0),0)*RATES!$L906/12+$H$19*(PARAM!$D$51/12)*RATES!$N906/100</f>
        <v>1190.0416666666667</v>
      </c>
      <c r="BR930" s="16">
        <f t="shared" si="644"/>
        <v>-274190.51916468266</v>
      </c>
      <c r="BS930" s="15">
        <f t="shared" si="619"/>
        <v>22.170849845882874</v>
      </c>
      <c r="BT930" s="75">
        <f>BS930*(1-PARAM!$C$27)*$I$20+(MOD($B930,60)=PARAM!$B$56)*($B930&gt;(60-PARAM!$B$56))*HLOOKUP(($B930+PARAM!$B$56)/12,Loyalty,2)*$F$1*MAX(BV929,0)</f>
        <v>18.557001321003963</v>
      </c>
      <c r="BU930" s="75">
        <f>PARAM!$C$26+MAX($G$20-CHOOSE(PARAM!$B$44,MAX(0,BV929*$F$1),0),0)*RATES!$L906/12+$H$20*(PARAM!$D$51/12)*RATES!$N906/100</f>
        <v>1190.0416666666667</v>
      </c>
      <c r="BV930" s="16">
        <f t="shared" si="645"/>
        <v>-274190.51916468266</v>
      </c>
      <c r="BW930" s="15">
        <f t="shared" si="620"/>
        <v>22.170849845882874</v>
      </c>
      <c r="BX930" s="75">
        <f>BW930*(1-PARAM!$C$27)*$I$21+(MOD($B930,60)=PARAM!$B$56)*($B930&gt;(60-PARAM!$B$56))*HLOOKUP(($B930+PARAM!$B$56)/12,Loyalty,2)*$F$1*MAX(BZ929,0)</f>
        <v>18.557001321003963</v>
      </c>
      <c r="BY930" s="75">
        <f>PARAM!$C$26+MAX($G$21-CHOOSE(PARAM!$B$44,MAX(0,BZ929*$F$1),0),0)*RATES!$L906/12+$H$21*(PARAM!$D$51/12)*RATES!$N906/100</f>
        <v>1190.0416666666667</v>
      </c>
      <c r="BZ930" s="16">
        <f t="shared" si="646"/>
        <v>-274190.51916468266</v>
      </c>
      <c r="CA930" s="15">
        <f t="shared" si="621"/>
        <v>22.170849845882874</v>
      </c>
      <c r="CB930" s="75">
        <f>CA930*(1-PARAM!$C$27)*$I$22+(MOD($B930,60)=PARAM!$B$56)*($B930&gt;(60-PARAM!$B$56))*HLOOKUP(($B930+PARAM!$B$56)/12,Loyalty,2)*$F$1*MAX(CD929,0)</f>
        <v>18.557001321003963</v>
      </c>
      <c r="CC930" s="75">
        <f>PARAM!$C$26+MAX($G$22-CHOOSE(PARAM!$B$44,MAX(0,CD929*$F$1),0),0)*RATES!$L906/12+$H$22*(PARAM!$D$51/12)*RATES!$N906/100</f>
        <v>1190.0416666666667</v>
      </c>
      <c r="CD930" s="16">
        <f t="shared" si="647"/>
        <v>-274190.51916468266</v>
      </c>
      <c r="CE930" s="33">
        <f>IF(0=MOD(B930,12/PARAM!$D$51),1,0)</f>
        <v>1</v>
      </c>
      <c r="CF930" s="15">
        <f t="shared" si="622"/>
        <v>0</v>
      </c>
      <c r="CG930" s="75">
        <f>CF930*(1-PARAM!$C$27)*$R$3+(MOD($B930/12,5)=0)*($B930&gt;60)*HLOOKUP($B930/12,Loyalty,2)*$F$1*MAX(CI929,0)</f>
        <v>0</v>
      </c>
      <c r="CH930" s="75">
        <f>PARAM!$C$26+MAX($P$3-CHOOSE(PARAM!$B$44,MAX(0,CI929*$F$1),0),0)*RATES!$L906/12+$Q$3*(PARAM!$D$51/12)*RATES!$N906/100</f>
        <v>1190.0416666666667</v>
      </c>
      <c r="CI930" s="16">
        <f>IF(CI929&gt;0,CI929*PARAM!$C$53,CI929)+CG930-CH930</f>
        <v>-290827.91666666674</v>
      </c>
      <c r="CJ930" s="15">
        <f t="shared" si="648"/>
        <v>0</v>
      </c>
      <c r="CK930" s="75">
        <f>CJ930*(1-PARAM!$C$27)*$R$4+(MOD($B930/12,5)=0)*($B930&gt;60)*HLOOKUP($B930/12,Loyalty,2)*$F$1*MAX(CM929,0)</f>
        <v>0</v>
      </c>
      <c r="CL930" s="75">
        <f>PARAM!$C$26+MAX($P$4-CHOOSE(PARAM!$B$44,MAX(0,CM929*$F$1),0),0)*RATES!$L906/12+$Q$4*(PARAM!$D$51/12)*RATES!$N906/100</f>
        <v>1190.0416666666667</v>
      </c>
      <c r="CM930" s="16">
        <f>IF(CM929&gt;0,CM929*PARAM!$C$53,CM929)+CK930-CL930</f>
        <v>-290827.91666666674</v>
      </c>
      <c r="CO930" s="176"/>
    </row>
    <row r="931" spans="1:93" x14ac:dyDescent="0.2">
      <c r="A931" t="b">
        <f t="shared" si="623"/>
        <v>0</v>
      </c>
      <c r="B931" s="33">
        <v>904</v>
      </c>
      <c r="C931" s="15">
        <f t="shared" si="624"/>
        <v>20.081305947392778</v>
      </c>
      <c r="D931" s="75">
        <f>C931*(1-PARAM!$C$27)*$I$3+(MOD($B931,60)=PARAM!$B$56)*($B931&gt;(60-PARAM!$B$56))*HLOOKUP(($B931+PARAM!$B$56)/12,Loyalty,2)*$F$1*MAX(F930,0)</f>
        <v>16.808053077967756</v>
      </c>
      <c r="E931" s="75">
        <f>PARAM!$C$26+MAX($G$3-CHOOSE(PARAM!$B$44,MAX(0,F930*$F$1),0),0)*RATES!$L907/12+$H$3*(PARAM!$D$51/12)*RATES!$N907/100</f>
        <v>1190.0416666666667</v>
      </c>
      <c r="F931" s="16">
        <f t="shared" si="625"/>
        <v>-276979.90354225517</v>
      </c>
      <c r="G931" s="15">
        <f t="shared" si="626"/>
        <v>22.035289406060361</v>
      </c>
      <c r="H931" s="75">
        <f>G931*(1-PARAM!$C$27)*$I$4+(MOD($B931,60)=PARAM!$B$56)*($B931&gt;(60-PARAM!$B$56))*HLOOKUP(($B931+PARAM!$B$56)/12,Loyalty,2)*$F$1*MAX(J930,0)</f>
        <v>18.443537232872522</v>
      </c>
      <c r="I931" s="75">
        <f>PARAM!$C$26+MAX($G$4-CHOOSE(PARAM!$B$44,MAX(0,J930*$F$1),0),0)*RATES!$L907/12+$H$4*(PARAM!$D$51/12)*RATES!$N907/100</f>
        <v>1190.0416666666667</v>
      </c>
      <c r="J931" s="16">
        <f t="shared" si="627"/>
        <v>-275467.59290209779</v>
      </c>
      <c r="K931" s="15">
        <f t="shared" si="628"/>
        <v>22.170849845882874</v>
      </c>
      <c r="L931" s="75">
        <f>K931*(1-PARAM!$C$27)*$I$5+(MOD($B931,60)=PARAM!$B$56)*($B931&gt;(60-PARAM!$B$56))*HLOOKUP(($B931+PARAM!$B$56)/12,Loyalty,2)*$F$1*MAX(N930,0)</f>
        <v>18.557001321003963</v>
      </c>
      <c r="M931" s="75">
        <f>PARAM!$C$26+MAX($G$5-CHOOSE(PARAM!$B$44,MAX(0,N930*$F$1),0),0)*RATES!$L907/12+$H$5*(PARAM!$D$51/12)*RATES!$N907/100</f>
        <v>1190.0416666666667</v>
      </c>
      <c r="N931" s="16">
        <f t="shared" si="629"/>
        <v>-275362.00383002835</v>
      </c>
      <c r="O931" s="15">
        <f t="shared" si="630"/>
        <v>22.170849845882874</v>
      </c>
      <c r="P931" s="75">
        <f>O931*(1-PARAM!$C$27)*$I$6+(MOD($B931,60)=PARAM!$B$56)*($B931&gt;(60-PARAM!$B$56))*HLOOKUP(($B931+PARAM!$B$56)/12,Loyalty,2)*$F$1*MAX(R930,0)</f>
        <v>18.557001321003963</v>
      </c>
      <c r="Q931" s="75">
        <f>PARAM!$C$26+MAX($G$6-CHOOSE(PARAM!$B$44,MAX(0,R930*$F$1),0),0)*RATES!$L907/12+$H$6*(PARAM!$D$51/12)*RATES!$N907/100</f>
        <v>1190.0416666666667</v>
      </c>
      <c r="R931" s="16">
        <f t="shared" si="631"/>
        <v>-275362.00383002835</v>
      </c>
      <c r="S931" s="15">
        <f t="shared" si="606"/>
        <v>22.170849845882874</v>
      </c>
      <c r="T931" s="75">
        <f>S931*(1-PARAM!$C$27)*$I$7+(MOD($B931,60)=PARAM!$B$56)*($B931&gt;(60-PARAM!$B$56))*HLOOKUP(($B931+PARAM!$B$56)/12,Loyalty,2)*$F$1*MAX(V930,0)</f>
        <v>18.557001321003963</v>
      </c>
      <c r="U931" s="75">
        <f>PARAM!$C$26+MAX($G$7-CHOOSE(PARAM!$B$44,MAX(0,V930*$F$1),0),0)*RATES!$L907/12+$H$7*(PARAM!$D$51/12)*RATES!$N907/100</f>
        <v>1190.0416666666667</v>
      </c>
      <c r="V931" s="16">
        <f t="shared" si="632"/>
        <v>-275362.00383002835</v>
      </c>
      <c r="W931" s="15">
        <f t="shared" si="607"/>
        <v>22.170849845882874</v>
      </c>
      <c r="X931" s="75">
        <f>W931*(1-PARAM!$C$27)*$I$8+(MOD($B931,60)=PARAM!$B$56)*($B931&gt;(60-PARAM!$B$56))*HLOOKUP(($B931+PARAM!$B$56)/12,Loyalty,2)*$F$1*MAX(Z930,0)</f>
        <v>18.557001321003963</v>
      </c>
      <c r="Y931" s="75">
        <f>PARAM!$C$26+MAX($G$8-CHOOSE(PARAM!$B$44,MAX(0,Z930*$F$1),0),0)*RATES!$L907/12+$H$8*(PARAM!$D$51/12)*RATES!$N907/100</f>
        <v>1190.0416666666667</v>
      </c>
      <c r="Z931" s="16">
        <f t="shared" si="633"/>
        <v>-275362.00383002835</v>
      </c>
      <c r="AA931" s="15">
        <f t="shared" si="608"/>
        <v>22.170849845882874</v>
      </c>
      <c r="AB931" s="75">
        <f>AA931*(1-PARAM!$C$27)*$I$9+(MOD($B931,60)=PARAM!$B$56)*($B931&gt;(60-PARAM!$B$56))*HLOOKUP(($B931+PARAM!$B$56)/12,Loyalty,2)*$F$1*MAX(AD930,0)</f>
        <v>18.557001321003963</v>
      </c>
      <c r="AC931" s="75">
        <f>PARAM!$C$26+MAX($G$9-CHOOSE(PARAM!$B$44,MAX(0,AD930*$F$1),0),0)*RATES!$L907/12+$H$9*(PARAM!$D$51/12)*RATES!$N907/100</f>
        <v>1190.0416666666667</v>
      </c>
      <c r="AD931" s="16">
        <f t="shared" si="634"/>
        <v>-275362.00383002835</v>
      </c>
      <c r="AE931" s="15">
        <f t="shared" si="609"/>
        <v>22.170849845882874</v>
      </c>
      <c r="AF931" s="75">
        <f>AE931*(1-PARAM!$C$27)*$I$10+(MOD($B931,60)=PARAM!$B$56)*($B931&gt;(60-PARAM!$B$56))*HLOOKUP(($B931+PARAM!$B$56)/12,Loyalty,2)*$F$1*MAX(AH930,0)</f>
        <v>18.557001321003963</v>
      </c>
      <c r="AG931" s="75">
        <f>PARAM!$C$26+MAX($G$10-CHOOSE(PARAM!$B$44,MAX(0,AH930*$F$1),0),0)*RATES!$L907/12+$H$10*(PARAM!$D$51/12)*RATES!$N907/100</f>
        <v>1190.0416666666667</v>
      </c>
      <c r="AH931" s="16">
        <f t="shared" si="635"/>
        <v>-275362.00383002835</v>
      </c>
      <c r="AI931" s="15">
        <f t="shared" si="610"/>
        <v>22.170849845882874</v>
      </c>
      <c r="AJ931" s="75">
        <f>AI931*(1-PARAM!$C$27)*$I$11+(MOD($B931,60)=PARAM!$B$56)*($B931&gt;(60-PARAM!$B$56))*HLOOKUP(($B931+PARAM!$B$56)/12,Loyalty,2)*$F$1*MAX(AL930,0)</f>
        <v>18.557001321003963</v>
      </c>
      <c r="AK931" s="75">
        <f>PARAM!$C$26+MAX($G$11-CHOOSE(PARAM!$B$44,MAX(0,AL930*$F$1),0),0)*RATES!$L907/12+$H$11*(PARAM!$D$51/12)*RATES!$N907/100</f>
        <v>1190.0416666666667</v>
      </c>
      <c r="AL931" s="16">
        <f t="shared" si="636"/>
        <v>-275362.00383002835</v>
      </c>
      <c r="AM931" s="15">
        <f t="shared" si="611"/>
        <v>22.170849845882874</v>
      </c>
      <c r="AN931" s="75">
        <f>AM931*(1-PARAM!$C$27)*$I$12+(MOD($B931,60)=PARAM!$B$56)*($B931&gt;(60-PARAM!$B$56))*HLOOKUP(($B931+PARAM!$B$56)/12,Loyalty,2)*$F$1*MAX(AP930,0)</f>
        <v>18.557001321003963</v>
      </c>
      <c r="AO931" s="75">
        <f>PARAM!$C$26+MAX($G$12-CHOOSE(PARAM!$B$44,MAX(0,AP930*$F$1),0),0)*RATES!$L907/12+$H$12*(PARAM!$D$51/12)*RATES!$N907/100</f>
        <v>1190.0416666666667</v>
      </c>
      <c r="AP931" s="16">
        <f t="shared" si="637"/>
        <v>-275362.00383002835</v>
      </c>
      <c r="AQ931" s="15">
        <f t="shared" si="612"/>
        <v>22.170849845882874</v>
      </c>
      <c r="AR931" s="75">
        <f>AQ931*(1-PARAM!$C$27)*$I$13+(MOD($B931,60)=PARAM!$B$56)*($B931&gt;(60-PARAM!$B$56))*HLOOKUP(($B931+PARAM!$B$56)/12,Loyalty,2)*$F$1*MAX(AT930,0)</f>
        <v>18.557001321003963</v>
      </c>
      <c r="AS931" s="75">
        <f>PARAM!$C$26+MAX($G$13-CHOOSE(PARAM!$B$44,MAX(0,AT930*$F$1),0),0)*RATES!$L907/12+$H$13*(PARAM!$D$51/12)*RATES!$N907/100</f>
        <v>1190.0416666666667</v>
      </c>
      <c r="AT931" s="16">
        <f t="shared" si="638"/>
        <v>-275362.00383002835</v>
      </c>
      <c r="AU931" s="15">
        <f t="shared" si="613"/>
        <v>22.170849845882874</v>
      </c>
      <c r="AV931" s="75">
        <f>AU931*(1-PARAM!$C$27)*$I$14+(MOD($B931,60)=PARAM!$B$56)*($B931&gt;(60-PARAM!$B$56))*HLOOKUP(($B931+PARAM!$B$56)/12,Loyalty,2)*$F$1*MAX(AX930,0)</f>
        <v>18.557001321003963</v>
      </c>
      <c r="AW931" s="75">
        <f>PARAM!$C$26+MAX($G$14-CHOOSE(PARAM!$B$44,MAX(0,AX930*$F$1),0),0)*RATES!$L907/12+$H$14*(PARAM!$D$51/12)*RATES!$N907/100</f>
        <v>1190.0416666666667</v>
      </c>
      <c r="AX931" s="16">
        <f t="shared" si="639"/>
        <v>-275362.00383002835</v>
      </c>
      <c r="AY931" s="15">
        <f t="shared" si="614"/>
        <v>22.170849845882874</v>
      </c>
      <c r="AZ931" s="75">
        <f>AY931*(1-PARAM!$C$27)*$I$15+(MOD($B931,60)=PARAM!$B$56)*($B931&gt;(60-PARAM!$B$56))*HLOOKUP(($B931+PARAM!$B$56)/12,Loyalty,2)*$F$1*MAX(BB930,0)</f>
        <v>18.557001321003963</v>
      </c>
      <c r="BA931" s="75">
        <f>PARAM!$C$26+MAX($G$15-CHOOSE(PARAM!$B$44,MAX(0,BB930*$F$1),0),0)*RATES!$L907/12+$H$15*(PARAM!$D$51/12)*RATES!$N907/100</f>
        <v>1190.0416666666667</v>
      </c>
      <c r="BB931" s="16">
        <f t="shared" si="640"/>
        <v>-275362.00383002835</v>
      </c>
      <c r="BC931" s="15">
        <f t="shared" si="615"/>
        <v>22.170849845882874</v>
      </c>
      <c r="BD931" s="75">
        <f>BC931*(1-PARAM!$C$27)*$I$16+(MOD($B931,60)=PARAM!$B$56)*($B931&gt;(60-PARAM!$B$56))*HLOOKUP(($B931+PARAM!$B$56)/12,Loyalty,2)*$F$1*MAX(BF930,0)</f>
        <v>18.557001321003963</v>
      </c>
      <c r="BE931" s="75">
        <f>PARAM!$C$26+MAX($G$16-CHOOSE(PARAM!$B$44,MAX(0,BF930*$F$1),0),0)*RATES!$L907/12+$H$16*(PARAM!$D$51/12)*RATES!$N907/100</f>
        <v>1190.0416666666667</v>
      </c>
      <c r="BF931" s="16">
        <f t="shared" si="641"/>
        <v>-275362.00383002835</v>
      </c>
      <c r="BG931" s="15">
        <f t="shared" si="616"/>
        <v>22.170849845882874</v>
      </c>
      <c r="BH931" s="75">
        <f>BG931*(1-PARAM!$C$27)*$I$17+(MOD($B931,60)=PARAM!$B$56)*($B931&gt;(60-PARAM!$B$56))*HLOOKUP(($B931+PARAM!$B$56)/12,Loyalty,2)*$F$1*MAX(BJ930,0)</f>
        <v>18.557001321003963</v>
      </c>
      <c r="BI931" s="75">
        <f>PARAM!$C$26+MAX($G$17-CHOOSE(PARAM!$B$44,MAX(0,BJ930*$F$1),0),0)*RATES!$L907/12+$H$17*(PARAM!$D$51/12)*RATES!$N907/100</f>
        <v>1190.0416666666667</v>
      </c>
      <c r="BJ931" s="16">
        <f t="shared" si="642"/>
        <v>-275362.00383002835</v>
      </c>
      <c r="BK931" s="15">
        <f t="shared" si="617"/>
        <v>22.170849845882874</v>
      </c>
      <c r="BL931" s="75">
        <f>BK931*(1-PARAM!$C$27)*$I$18+(MOD($B931,60)=PARAM!$B$56)*($B931&gt;(60-PARAM!$B$56))*HLOOKUP(($B931+PARAM!$B$56)/12,Loyalty,2)*$F$1*MAX(BN930,0)</f>
        <v>18.557001321003963</v>
      </c>
      <c r="BM931" s="75">
        <f>PARAM!$C$26+MAX($G$18-CHOOSE(PARAM!$B$44,MAX(0,BN930*$F$1),0),0)*RATES!$L907/12+$H$18*(PARAM!$D$51/12)*RATES!$N907/100</f>
        <v>1190.0416666666667</v>
      </c>
      <c r="BN931" s="16">
        <f t="shared" si="643"/>
        <v>-275362.00383002835</v>
      </c>
      <c r="BO931" s="15">
        <f t="shared" si="618"/>
        <v>22.170849845882874</v>
      </c>
      <c r="BP931" s="75">
        <f>BO931*(1-PARAM!$C$27)*$I$19+(MOD($B931,60)=PARAM!$B$56)*($B931&gt;(60-PARAM!$B$56))*HLOOKUP(($B931+PARAM!$B$56)/12,Loyalty,2)*$F$1*MAX(BR930,0)</f>
        <v>18.557001321003963</v>
      </c>
      <c r="BQ931" s="75">
        <f>PARAM!$C$26+MAX($G$19-CHOOSE(PARAM!$B$44,MAX(0,BR930*$F$1),0),0)*RATES!$L907/12+$H$19*(PARAM!$D$51/12)*RATES!$N907/100</f>
        <v>1190.0416666666667</v>
      </c>
      <c r="BR931" s="16">
        <f t="shared" si="644"/>
        <v>-275362.00383002835</v>
      </c>
      <c r="BS931" s="15">
        <f t="shared" si="619"/>
        <v>22.170849845882874</v>
      </c>
      <c r="BT931" s="75">
        <f>BS931*(1-PARAM!$C$27)*$I$20+(MOD($B931,60)=PARAM!$B$56)*($B931&gt;(60-PARAM!$B$56))*HLOOKUP(($B931+PARAM!$B$56)/12,Loyalty,2)*$F$1*MAX(BV930,0)</f>
        <v>18.557001321003963</v>
      </c>
      <c r="BU931" s="75">
        <f>PARAM!$C$26+MAX($G$20-CHOOSE(PARAM!$B$44,MAX(0,BV930*$F$1),0),0)*RATES!$L907/12+$H$20*(PARAM!$D$51/12)*RATES!$N907/100</f>
        <v>1190.0416666666667</v>
      </c>
      <c r="BV931" s="16">
        <f t="shared" si="645"/>
        <v>-275362.00383002835</v>
      </c>
      <c r="BW931" s="15">
        <f t="shared" si="620"/>
        <v>22.170849845882874</v>
      </c>
      <c r="BX931" s="75">
        <f>BW931*(1-PARAM!$C$27)*$I$21+(MOD($B931,60)=PARAM!$B$56)*($B931&gt;(60-PARAM!$B$56))*HLOOKUP(($B931+PARAM!$B$56)/12,Loyalty,2)*$F$1*MAX(BZ930,0)</f>
        <v>18.557001321003963</v>
      </c>
      <c r="BY931" s="75">
        <f>PARAM!$C$26+MAX($G$21-CHOOSE(PARAM!$B$44,MAX(0,BZ930*$F$1),0),0)*RATES!$L907/12+$H$21*(PARAM!$D$51/12)*RATES!$N907/100</f>
        <v>1190.0416666666667</v>
      </c>
      <c r="BZ931" s="16">
        <f t="shared" si="646"/>
        <v>-275362.00383002835</v>
      </c>
      <c r="CA931" s="15">
        <f t="shared" si="621"/>
        <v>22.170849845882874</v>
      </c>
      <c r="CB931" s="75">
        <f>CA931*(1-PARAM!$C$27)*$I$22+(MOD($B931,60)=PARAM!$B$56)*($B931&gt;(60-PARAM!$B$56))*HLOOKUP(($B931+PARAM!$B$56)/12,Loyalty,2)*$F$1*MAX(CD930,0)</f>
        <v>18.557001321003963</v>
      </c>
      <c r="CC931" s="75">
        <f>PARAM!$C$26+MAX($G$22-CHOOSE(PARAM!$B$44,MAX(0,CD930*$F$1),0),0)*RATES!$L907/12+$H$22*(PARAM!$D$51/12)*RATES!$N907/100</f>
        <v>1190.0416666666667</v>
      </c>
      <c r="CD931" s="16">
        <f t="shared" si="647"/>
        <v>-275362.00383002835</v>
      </c>
      <c r="CE931" s="33">
        <f>IF(0=MOD(B931,12/PARAM!$D$51),1,0)</f>
        <v>1</v>
      </c>
      <c r="CF931" s="15">
        <f t="shared" si="622"/>
        <v>0</v>
      </c>
      <c r="CG931" s="75">
        <f>CF931*(1-PARAM!$C$27)*$R$3+(MOD($B931/12,5)=0)*($B931&gt;60)*HLOOKUP($B931/12,Loyalty,2)*$F$1*MAX(CI930,0)</f>
        <v>0</v>
      </c>
      <c r="CH931" s="75">
        <f>PARAM!$C$26+MAX($P$3-CHOOSE(PARAM!$B$44,MAX(0,CI930*$F$1),0),0)*RATES!$L907/12+$Q$3*(PARAM!$D$51/12)*RATES!$N907/100</f>
        <v>1190.0416666666667</v>
      </c>
      <c r="CI931" s="16">
        <f>IF(CI930&gt;0,CI930*PARAM!$C$53,CI930)+CG931-CH931</f>
        <v>-292017.95833333343</v>
      </c>
      <c r="CJ931" s="15">
        <f t="shared" si="648"/>
        <v>0</v>
      </c>
      <c r="CK931" s="75">
        <f>CJ931*(1-PARAM!$C$27)*$R$4+(MOD($B931/12,5)=0)*($B931&gt;60)*HLOOKUP($B931/12,Loyalty,2)*$F$1*MAX(CM930,0)</f>
        <v>0</v>
      </c>
      <c r="CL931" s="75">
        <f>PARAM!$C$26+MAX($P$4-CHOOSE(PARAM!$B$44,MAX(0,CM930*$F$1),0),0)*RATES!$L907/12+$Q$4*(PARAM!$D$51/12)*RATES!$N907/100</f>
        <v>1190.0416666666667</v>
      </c>
      <c r="CM931" s="16">
        <f>IF(CM930&gt;0,CM930*PARAM!$C$53,CM930)+CK931-CL931</f>
        <v>-292017.95833333343</v>
      </c>
      <c r="CO931" s="176"/>
    </row>
    <row r="932" spans="1:93" x14ac:dyDescent="0.2">
      <c r="A932" t="b">
        <f t="shared" si="623"/>
        <v>0</v>
      </c>
      <c r="B932" s="33">
        <v>905</v>
      </c>
      <c r="C932" s="15">
        <f t="shared" si="624"/>
        <v>20.081305947392778</v>
      </c>
      <c r="D932" s="75">
        <f>C932*(1-PARAM!$C$27)*$I$3+(MOD($B932,60)=PARAM!$B$56)*($B932&gt;(60-PARAM!$B$56))*HLOOKUP(($B932+PARAM!$B$56)/12,Loyalty,2)*$F$1*MAX(F931,0)</f>
        <v>16.808053077967756</v>
      </c>
      <c r="E932" s="75">
        <f>PARAM!$C$26+MAX($G$3-CHOOSE(PARAM!$B$44,MAX(0,F931*$F$1),0),0)*RATES!$L908/12+$H$3*(PARAM!$D$51/12)*RATES!$N908/100</f>
        <v>1190.0416666666667</v>
      </c>
      <c r="F932" s="16">
        <f t="shared" si="625"/>
        <v>-278153.1371558439</v>
      </c>
      <c r="G932" s="15">
        <f t="shared" si="626"/>
        <v>22.035289406060361</v>
      </c>
      <c r="H932" s="75">
        <f>G932*(1-PARAM!$C$27)*$I$4+(MOD($B932,60)=PARAM!$B$56)*($B932&gt;(60-PARAM!$B$56))*HLOOKUP(($B932+PARAM!$B$56)/12,Loyalty,2)*$F$1*MAX(J931,0)</f>
        <v>18.443537232872522</v>
      </c>
      <c r="I932" s="75">
        <f>PARAM!$C$26+MAX($G$4-CHOOSE(PARAM!$B$44,MAX(0,J931*$F$1),0),0)*RATES!$L908/12+$H$4*(PARAM!$D$51/12)*RATES!$N908/100</f>
        <v>1190.0416666666667</v>
      </c>
      <c r="J932" s="16">
        <f t="shared" si="627"/>
        <v>-276639.19103153161</v>
      </c>
      <c r="K932" s="15">
        <f t="shared" si="628"/>
        <v>22.170849845882874</v>
      </c>
      <c r="L932" s="75">
        <f>K932*(1-PARAM!$C$27)*$I$5+(MOD($B932,60)=PARAM!$B$56)*($B932&gt;(60-PARAM!$B$56))*HLOOKUP(($B932+PARAM!$B$56)/12,Loyalty,2)*$F$1*MAX(N931,0)</f>
        <v>18.557001321003963</v>
      </c>
      <c r="M932" s="75">
        <f>PARAM!$C$26+MAX($G$5-CHOOSE(PARAM!$B$44,MAX(0,N931*$F$1),0),0)*RATES!$L908/12+$H$5*(PARAM!$D$51/12)*RATES!$N908/100</f>
        <v>1190.0416666666667</v>
      </c>
      <c r="N932" s="16">
        <f t="shared" si="629"/>
        <v>-276533.48849537404</v>
      </c>
      <c r="O932" s="15">
        <f t="shared" si="630"/>
        <v>22.170849845882874</v>
      </c>
      <c r="P932" s="75">
        <f>O932*(1-PARAM!$C$27)*$I$6+(MOD($B932,60)=PARAM!$B$56)*($B932&gt;(60-PARAM!$B$56))*HLOOKUP(($B932+PARAM!$B$56)/12,Loyalty,2)*$F$1*MAX(R931,0)</f>
        <v>18.557001321003963</v>
      </c>
      <c r="Q932" s="75">
        <f>PARAM!$C$26+MAX($G$6-CHOOSE(PARAM!$B$44,MAX(0,R931*$F$1),0),0)*RATES!$L908/12+$H$6*(PARAM!$D$51/12)*RATES!$N908/100</f>
        <v>1190.0416666666667</v>
      </c>
      <c r="R932" s="16">
        <f t="shared" si="631"/>
        <v>-276533.48849537404</v>
      </c>
      <c r="S932" s="15">
        <f t="shared" si="606"/>
        <v>22.170849845882874</v>
      </c>
      <c r="T932" s="75">
        <f>S932*(1-PARAM!$C$27)*$I$7+(MOD($B932,60)=PARAM!$B$56)*($B932&gt;(60-PARAM!$B$56))*HLOOKUP(($B932+PARAM!$B$56)/12,Loyalty,2)*$F$1*MAX(V931,0)</f>
        <v>18.557001321003963</v>
      </c>
      <c r="U932" s="75">
        <f>PARAM!$C$26+MAX($G$7-CHOOSE(PARAM!$B$44,MAX(0,V931*$F$1),0),0)*RATES!$L908/12+$H$7*(PARAM!$D$51/12)*RATES!$N908/100</f>
        <v>1190.0416666666667</v>
      </c>
      <c r="V932" s="16">
        <f t="shared" si="632"/>
        <v>-276533.48849537404</v>
      </c>
      <c r="W932" s="15">
        <f t="shared" si="607"/>
        <v>22.170849845882874</v>
      </c>
      <c r="X932" s="75">
        <f>W932*(1-PARAM!$C$27)*$I$8+(MOD($B932,60)=PARAM!$B$56)*($B932&gt;(60-PARAM!$B$56))*HLOOKUP(($B932+PARAM!$B$56)/12,Loyalty,2)*$F$1*MAX(Z931,0)</f>
        <v>18.557001321003963</v>
      </c>
      <c r="Y932" s="75">
        <f>PARAM!$C$26+MAX($G$8-CHOOSE(PARAM!$B$44,MAX(0,Z931*$F$1),0),0)*RATES!$L908/12+$H$8*(PARAM!$D$51/12)*RATES!$N908/100</f>
        <v>1190.0416666666667</v>
      </c>
      <c r="Z932" s="16">
        <f t="shared" si="633"/>
        <v>-276533.48849537404</v>
      </c>
      <c r="AA932" s="15">
        <f t="shared" si="608"/>
        <v>22.170849845882874</v>
      </c>
      <c r="AB932" s="75">
        <f>AA932*(1-PARAM!$C$27)*$I$9+(MOD($B932,60)=PARAM!$B$56)*($B932&gt;(60-PARAM!$B$56))*HLOOKUP(($B932+PARAM!$B$56)/12,Loyalty,2)*$F$1*MAX(AD931,0)</f>
        <v>18.557001321003963</v>
      </c>
      <c r="AC932" s="75">
        <f>PARAM!$C$26+MAX($G$9-CHOOSE(PARAM!$B$44,MAX(0,AD931*$F$1),0),0)*RATES!$L908/12+$H$9*(PARAM!$D$51/12)*RATES!$N908/100</f>
        <v>1190.0416666666667</v>
      </c>
      <c r="AD932" s="16">
        <f t="shared" si="634"/>
        <v>-276533.48849537404</v>
      </c>
      <c r="AE932" s="15">
        <f t="shared" si="609"/>
        <v>22.170849845882874</v>
      </c>
      <c r="AF932" s="75">
        <f>AE932*(1-PARAM!$C$27)*$I$10+(MOD($B932,60)=PARAM!$B$56)*($B932&gt;(60-PARAM!$B$56))*HLOOKUP(($B932+PARAM!$B$56)/12,Loyalty,2)*$F$1*MAX(AH931,0)</f>
        <v>18.557001321003963</v>
      </c>
      <c r="AG932" s="75">
        <f>PARAM!$C$26+MAX($G$10-CHOOSE(PARAM!$B$44,MAX(0,AH931*$F$1),0),0)*RATES!$L908/12+$H$10*(PARAM!$D$51/12)*RATES!$N908/100</f>
        <v>1190.0416666666667</v>
      </c>
      <c r="AH932" s="16">
        <f t="shared" si="635"/>
        <v>-276533.48849537404</v>
      </c>
      <c r="AI932" s="15">
        <f t="shared" si="610"/>
        <v>22.170849845882874</v>
      </c>
      <c r="AJ932" s="75">
        <f>AI932*(1-PARAM!$C$27)*$I$11+(MOD($B932,60)=PARAM!$B$56)*($B932&gt;(60-PARAM!$B$56))*HLOOKUP(($B932+PARAM!$B$56)/12,Loyalty,2)*$F$1*MAX(AL931,0)</f>
        <v>18.557001321003963</v>
      </c>
      <c r="AK932" s="75">
        <f>PARAM!$C$26+MAX($G$11-CHOOSE(PARAM!$B$44,MAX(0,AL931*$F$1),0),0)*RATES!$L908/12+$H$11*(PARAM!$D$51/12)*RATES!$N908/100</f>
        <v>1190.0416666666667</v>
      </c>
      <c r="AL932" s="16">
        <f t="shared" si="636"/>
        <v>-276533.48849537404</v>
      </c>
      <c r="AM932" s="15">
        <f t="shared" si="611"/>
        <v>22.170849845882874</v>
      </c>
      <c r="AN932" s="75">
        <f>AM932*(1-PARAM!$C$27)*$I$12+(MOD($B932,60)=PARAM!$B$56)*($B932&gt;(60-PARAM!$B$56))*HLOOKUP(($B932+PARAM!$B$56)/12,Loyalty,2)*$F$1*MAX(AP931,0)</f>
        <v>18.557001321003963</v>
      </c>
      <c r="AO932" s="75">
        <f>PARAM!$C$26+MAX($G$12-CHOOSE(PARAM!$B$44,MAX(0,AP931*$F$1),0),0)*RATES!$L908/12+$H$12*(PARAM!$D$51/12)*RATES!$N908/100</f>
        <v>1190.0416666666667</v>
      </c>
      <c r="AP932" s="16">
        <f t="shared" si="637"/>
        <v>-276533.48849537404</v>
      </c>
      <c r="AQ932" s="15">
        <f t="shared" si="612"/>
        <v>22.170849845882874</v>
      </c>
      <c r="AR932" s="75">
        <f>AQ932*(1-PARAM!$C$27)*$I$13+(MOD($B932,60)=PARAM!$B$56)*($B932&gt;(60-PARAM!$B$56))*HLOOKUP(($B932+PARAM!$B$56)/12,Loyalty,2)*$F$1*MAX(AT931,0)</f>
        <v>18.557001321003963</v>
      </c>
      <c r="AS932" s="75">
        <f>PARAM!$C$26+MAX($G$13-CHOOSE(PARAM!$B$44,MAX(0,AT931*$F$1),0),0)*RATES!$L908/12+$H$13*(PARAM!$D$51/12)*RATES!$N908/100</f>
        <v>1190.0416666666667</v>
      </c>
      <c r="AT932" s="16">
        <f t="shared" si="638"/>
        <v>-276533.48849537404</v>
      </c>
      <c r="AU932" s="15">
        <f t="shared" si="613"/>
        <v>22.170849845882874</v>
      </c>
      <c r="AV932" s="75">
        <f>AU932*(1-PARAM!$C$27)*$I$14+(MOD($B932,60)=PARAM!$B$56)*($B932&gt;(60-PARAM!$B$56))*HLOOKUP(($B932+PARAM!$B$56)/12,Loyalty,2)*$F$1*MAX(AX931,0)</f>
        <v>18.557001321003963</v>
      </c>
      <c r="AW932" s="75">
        <f>PARAM!$C$26+MAX($G$14-CHOOSE(PARAM!$B$44,MAX(0,AX931*$F$1),0),0)*RATES!$L908/12+$H$14*(PARAM!$D$51/12)*RATES!$N908/100</f>
        <v>1190.0416666666667</v>
      </c>
      <c r="AX932" s="16">
        <f t="shared" si="639"/>
        <v>-276533.48849537404</v>
      </c>
      <c r="AY932" s="15">
        <f t="shared" si="614"/>
        <v>22.170849845882874</v>
      </c>
      <c r="AZ932" s="75">
        <f>AY932*(1-PARAM!$C$27)*$I$15+(MOD($B932,60)=PARAM!$B$56)*($B932&gt;(60-PARAM!$B$56))*HLOOKUP(($B932+PARAM!$B$56)/12,Loyalty,2)*$F$1*MAX(BB931,0)</f>
        <v>18.557001321003963</v>
      </c>
      <c r="BA932" s="75">
        <f>PARAM!$C$26+MAX($G$15-CHOOSE(PARAM!$B$44,MAX(0,BB931*$F$1),0),0)*RATES!$L908/12+$H$15*(PARAM!$D$51/12)*RATES!$N908/100</f>
        <v>1190.0416666666667</v>
      </c>
      <c r="BB932" s="16">
        <f t="shared" si="640"/>
        <v>-276533.48849537404</v>
      </c>
      <c r="BC932" s="15">
        <f t="shared" si="615"/>
        <v>22.170849845882874</v>
      </c>
      <c r="BD932" s="75">
        <f>BC932*(1-PARAM!$C$27)*$I$16+(MOD($B932,60)=PARAM!$B$56)*($B932&gt;(60-PARAM!$B$56))*HLOOKUP(($B932+PARAM!$B$56)/12,Loyalty,2)*$F$1*MAX(BF931,0)</f>
        <v>18.557001321003963</v>
      </c>
      <c r="BE932" s="75">
        <f>PARAM!$C$26+MAX($G$16-CHOOSE(PARAM!$B$44,MAX(0,BF931*$F$1),0),0)*RATES!$L908/12+$H$16*(PARAM!$D$51/12)*RATES!$N908/100</f>
        <v>1190.0416666666667</v>
      </c>
      <c r="BF932" s="16">
        <f t="shared" si="641"/>
        <v>-276533.48849537404</v>
      </c>
      <c r="BG932" s="15">
        <f t="shared" si="616"/>
        <v>22.170849845882874</v>
      </c>
      <c r="BH932" s="75">
        <f>BG932*(1-PARAM!$C$27)*$I$17+(MOD($B932,60)=PARAM!$B$56)*($B932&gt;(60-PARAM!$B$56))*HLOOKUP(($B932+PARAM!$B$56)/12,Loyalty,2)*$F$1*MAX(BJ931,0)</f>
        <v>18.557001321003963</v>
      </c>
      <c r="BI932" s="75">
        <f>PARAM!$C$26+MAX($G$17-CHOOSE(PARAM!$B$44,MAX(0,BJ931*$F$1),0),0)*RATES!$L908/12+$H$17*(PARAM!$D$51/12)*RATES!$N908/100</f>
        <v>1190.0416666666667</v>
      </c>
      <c r="BJ932" s="16">
        <f t="shared" si="642"/>
        <v>-276533.48849537404</v>
      </c>
      <c r="BK932" s="15">
        <f t="shared" si="617"/>
        <v>22.170849845882874</v>
      </c>
      <c r="BL932" s="75">
        <f>BK932*(1-PARAM!$C$27)*$I$18+(MOD($B932,60)=PARAM!$B$56)*($B932&gt;(60-PARAM!$B$56))*HLOOKUP(($B932+PARAM!$B$56)/12,Loyalty,2)*$F$1*MAX(BN931,0)</f>
        <v>18.557001321003963</v>
      </c>
      <c r="BM932" s="75">
        <f>PARAM!$C$26+MAX($G$18-CHOOSE(PARAM!$B$44,MAX(0,BN931*$F$1),0),0)*RATES!$L908/12+$H$18*(PARAM!$D$51/12)*RATES!$N908/100</f>
        <v>1190.0416666666667</v>
      </c>
      <c r="BN932" s="16">
        <f t="shared" si="643"/>
        <v>-276533.48849537404</v>
      </c>
      <c r="BO932" s="15">
        <f t="shared" si="618"/>
        <v>22.170849845882874</v>
      </c>
      <c r="BP932" s="75">
        <f>BO932*(1-PARAM!$C$27)*$I$19+(MOD($B932,60)=PARAM!$B$56)*($B932&gt;(60-PARAM!$B$56))*HLOOKUP(($B932+PARAM!$B$56)/12,Loyalty,2)*$F$1*MAX(BR931,0)</f>
        <v>18.557001321003963</v>
      </c>
      <c r="BQ932" s="75">
        <f>PARAM!$C$26+MAX($G$19-CHOOSE(PARAM!$B$44,MAX(0,BR931*$F$1),0),0)*RATES!$L908/12+$H$19*(PARAM!$D$51/12)*RATES!$N908/100</f>
        <v>1190.0416666666667</v>
      </c>
      <c r="BR932" s="16">
        <f t="shared" si="644"/>
        <v>-276533.48849537404</v>
      </c>
      <c r="BS932" s="15">
        <f t="shared" si="619"/>
        <v>22.170849845882874</v>
      </c>
      <c r="BT932" s="75">
        <f>BS932*(1-PARAM!$C$27)*$I$20+(MOD($B932,60)=PARAM!$B$56)*($B932&gt;(60-PARAM!$B$56))*HLOOKUP(($B932+PARAM!$B$56)/12,Loyalty,2)*$F$1*MAX(BV931,0)</f>
        <v>18.557001321003963</v>
      </c>
      <c r="BU932" s="75">
        <f>PARAM!$C$26+MAX($G$20-CHOOSE(PARAM!$B$44,MAX(0,BV931*$F$1),0),0)*RATES!$L908/12+$H$20*(PARAM!$D$51/12)*RATES!$N908/100</f>
        <v>1190.0416666666667</v>
      </c>
      <c r="BV932" s="16">
        <f t="shared" si="645"/>
        <v>-276533.48849537404</v>
      </c>
      <c r="BW932" s="15">
        <f t="shared" si="620"/>
        <v>22.170849845882874</v>
      </c>
      <c r="BX932" s="75">
        <f>BW932*(1-PARAM!$C$27)*$I$21+(MOD($B932,60)=PARAM!$B$56)*($B932&gt;(60-PARAM!$B$56))*HLOOKUP(($B932+PARAM!$B$56)/12,Loyalty,2)*$F$1*MAX(BZ931,0)</f>
        <v>18.557001321003963</v>
      </c>
      <c r="BY932" s="75">
        <f>PARAM!$C$26+MAX($G$21-CHOOSE(PARAM!$B$44,MAX(0,BZ931*$F$1),0),0)*RATES!$L908/12+$H$21*(PARAM!$D$51/12)*RATES!$N908/100</f>
        <v>1190.0416666666667</v>
      </c>
      <c r="BZ932" s="16">
        <f t="shared" si="646"/>
        <v>-276533.48849537404</v>
      </c>
      <c r="CA932" s="15">
        <f t="shared" si="621"/>
        <v>22.170849845882874</v>
      </c>
      <c r="CB932" s="75">
        <f>CA932*(1-PARAM!$C$27)*$I$22+(MOD($B932,60)=PARAM!$B$56)*($B932&gt;(60-PARAM!$B$56))*HLOOKUP(($B932+PARAM!$B$56)/12,Loyalty,2)*$F$1*MAX(CD931,0)</f>
        <v>18.557001321003963</v>
      </c>
      <c r="CC932" s="75">
        <f>PARAM!$C$26+MAX($G$22-CHOOSE(PARAM!$B$44,MAX(0,CD931*$F$1),0),0)*RATES!$L908/12+$H$22*(PARAM!$D$51/12)*RATES!$N908/100</f>
        <v>1190.0416666666667</v>
      </c>
      <c r="CD932" s="16">
        <f t="shared" si="647"/>
        <v>-276533.48849537404</v>
      </c>
      <c r="CE932" s="33">
        <f>IF(0=MOD(B932,12/PARAM!$D$51),1,0)</f>
        <v>1</v>
      </c>
      <c r="CF932" s="15">
        <f t="shared" si="622"/>
        <v>0</v>
      </c>
      <c r="CG932" s="75">
        <f>CF932*(1-PARAM!$C$27)*$R$3+(MOD($B932/12,5)=0)*($B932&gt;60)*HLOOKUP($B932/12,Loyalty,2)*$F$1*MAX(CI931,0)</f>
        <v>0</v>
      </c>
      <c r="CH932" s="75">
        <f>PARAM!$C$26+MAX($P$3-CHOOSE(PARAM!$B$44,MAX(0,CI931*$F$1),0),0)*RATES!$L908/12+$Q$3*(PARAM!$D$51/12)*RATES!$N908/100</f>
        <v>1190.0416666666667</v>
      </c>
      <c r="CI932" s="16">
        <f>IF(CI931&gt;0,CI931*PARAM!$C$53,CI931)+CG932-CH932</f>
        <v>-293208.00000000012</v>
      </c>
      <c r="CJ932" s="15">
        <f t="shared" si="648"/>
        <v>0</v>
      </c>
      <c r="CK932" s="75">
        <f>CJ932*(1-PARAM!$C$27)*$R$4+(MOD($B932/12,5)=0)*($B932&gt;60)*HLOOKUP($B932/12,Loyalty,2)*$F$1*MAX(CM931,0)</f>
        <v>0</v>
      </c>
      <c r="CL932" s="75">
        <f>PARAM!$C$26+MAX($P$4-CHOOSE(PARAM!$B$44,MAX(0,CM931*$F$1),0),0)*RATES!$L908/12+$Q$4*(PARAM!$D$51/12)*RATES!$N908/100</f>
        <v>1190.0416666666667</v>
      </c>
      <c r="CM932" s="16">
        <f>IF(CM931&gt;0,CM931*PARAM!$C$53,CM931)+CK932-CL932</f>
        <v>-293208.00000000012</v>
      </c>
      <c r="CO932" s="176"/>
    </row>
    <row r="933" spans="1:93" x14ac:dyDescent="0.2">
      <c r="A933" t="b">
        <f t="shared" si="623"/>
        <v>0</v>
      </c>
      <c r="B933" s="33">
        <v>906</v>
      </c>
      <c r="C933" s="15">
        <f t="shared" si="624"/>
        <v>20.081305947392778</v>
      </c>
      <c r="D933" s="75">
        <f>C933*(1-PARAM!$C$27)*$I$3+(MOD($B933,60)=PARAM!$B$56)*($B933&gt;(60-PARAM!$B$56))*HLOOKUP(($B933+PARAM!$B$56)/12,Loyalty,2)*$F$1*MAX(F932,0)</f>
        <v>16.808053077967756</v>
      </c>
      <c r="E933" s="75">
        <f>PARAM!$C$26+MAX($G$3-CHOOSE(PARAM!$B$44,MAX(0,F932*$F$1),0),0)*RATES!$L909/12+$H$3*(PARAM!$D$51/12)*RATES!$N909/100</f>
        <v>1190.0416666666667</v>
      </c>
      <c r="F933" s="16">
        <f t="shared" si="625"/>
        <v>-279326.37076943263</v>
      </c>
      <c r="G933" s="15">
        <f t="shared" si="626"/>
        <v>22.035289406060361</v>
      </c>
      <c r="H933" s="75">
        <f>G933*(1-PARAM!$C$27)*$I$4+(MOD($B933,60)=PARAM!$B$56)*($B933&gt;(60-PARAM!$B$56))*HLOOKUP(($B933+PARAM!$B$56)/12,Loyalty,2)*$F$1*MAX(J932,0)</f>
        <v>18.443537232872522</v>
      </c>
      <c r="I933" s="75">
        <f>PARAM!$C$26+MAX($G$4-CHOOSE(PARAM!$B$44,MAX(0,J932*$F$1),0),0)*RATES!$L909/12+$H$4*(PARAM!$D$51/12)*RATES!$N909/100</f>
        <v>1190.0416666666667</v>
      </c>
      <c r="J933" s="16">
        <f t="shared" si="627"/>
        <v>-277810.78916096542</v>
      </c>
      <c r="K933" s="15">
        <f t="shared" si="628"/>
        <v>22.170849845882874</v>
      </c>
      <c r="L933" s="75">
        <f>K933*(1-PARAM!$C$27)*$I$5+(MOD($B933,60)=PARAM!$B$56)*($B933&gt;(60-PARAM!$B$56))*HLOOKUP(($B933+PARAM!$B$56)/12,Loyalty,2)*$F$1*MAX(N932,0)</f>
        <v>18.557001321003963</v>
      </c>
      <c r="M933" s="75">
        <f>PARAM!$C$26+MAX($G$5-CHOOSE(PARAM!$B$44,MAX(0,N932*$F$1),0),0)*RATES!$L909/12+$H$5*(PARAM!$D$51/12)*RATES!$N909/100</f>
        <v>1190.0416666666667</v>
      </c>
      <c r="N933" s="16">
        <f t="shared" si="629"/>
        <v>-277704.97316071973</v>
      </c>
      <c r="O933" s="15">
        <f t="shared" si="630"/>
        <v>22.170849845882874</v>
      </c>
      <c r="P933" s="75">
        <f>O933*(1-PARAM!$C$27)*$I$6+(MOD($B933,60)=PARAM!$B$56)*($B933&gt;(60-PARAM!$B$56))*HLOOKUP(($B933+PARAM!$B$56)/12,Loyalty,2)*$F$1*MAX(R932,0)</f>
        <v>18.557001321003963</v>
      </c>
      <c r="Q933" s="75">
        <f>PARAM!$C$26+MAX($G$6-CHOOSE(PARAM!$B$44,MAX(0,R932*$F$1),0),0)*RATES!$L909/12+$H$6*(PARAM!$D$51/12)*RATES!$N909/100</f>
        <v>1190.0416666666667</v>
      </c>
      <c r="R933" s="16">
        <f t="shared" si="631"/>
        <v>-277704.97316071973</v>
      </c>
      <c r="S933" s="15">
        <f t="shared" si="606"/>
        <v>22.170849845882874</v>
      </c>
      <c r="T933" s="75">
        <f>S933*(1-PARAM!$C$27)*$I$7+(MOD($B933,60)=PARAM!$B$56)*($B933&gt;(60-PARAM!$B$56))*HLOOKUP(($B933+PARAM!$B$56)/12,Loyalty,2)*$F$1*MAX(V932,0)</f>
        <v>18.557001321003963</v>
      </c>
      <c r="U933" s="75">
        <f>PARAM!$C$26+MAX($G$7-CHOOSE(PARAM!$B$44,MAX(0,V932*$F$1),0),0)*RATES!$L909/12+$H$7*(PARAM!$D$51/12)*RATES!$N909/100</f>
        <v>1190.0416666666667</v>
      </c>
      <c r="V933" s="16">
        <f t="shared" si="632"/>
        <v>-277704.97316071973</v>
      </c>
      <c r="W933" s="15">
        <f t="shared" si="607"/>
        <v>22.170849845882874</v>
      </c>
      <c r="X933" s="75">
        <f>W933*(1-PARAM!$C$27)*$I$8+(MOD($B933,60)=PARAM!$B$56)*($B933&gt;(60-PARAM!$B$56))*HLOOKUP(($B933+PARAM!$B$56)/12,Loyalty,2)*$F$1*MAX(Z932,0)</f>
        <v>18.557001321003963</v>
      </c>
      <c r="Y933" s="75">
        <f>PARAM!$C$26+MAX($G$8-CHOOSE(PARAM!$B$44,MAX(0,Z932*$F$1),0),0)*RATES!$L909/12+$H$8*(PARAM!$D$51/12)*RATES!$N909/100</f>
        <v>1190.0416666666667</v>
      </c>
      <c r="Z933" s="16">
        <f t="shared" si="633"/>
        <v>-277704.97316071973</v>
      </c>
      <c r="AA933" s="15">
        <f t="shared" si="608"/>
        <v>22.170849845882874</v>
      </c>
      <c r="AB933" s="75">
        <f>AA933*(1-PARAM!$C$27)*$I$9+(MOD($B933,60)=PARAM!$B$56)*($B933&gt;(60-PARAM!$B$56))*HLOOKUP(($B933+PARAM!$B$56)/12,Loyalty,2)*$F$1*MAX(AD932,0)</f>
        <v>18.557001321003963</v>
      </c>
      <c r="AC933" s="75">
        <f>PARAM!$C$26+MAX($G$9-CHOOSE(PARAM!$B$44,MAX(0,AD932*$F$1),0),0)*RATES!$L909/12+$H$9*(PARAM!$D$51/12)*RATES!$N909/100</f>
        <v>1190.0416666666667</v>
      </c>
      <c r="AD933" s="16">
        <f t="shared" si="634"/>
        <v>-277704.97316071973</v>
      </c>
      <c r="AE933" s="15">
        <f t="shared" si="609"/>
        <v>22.170849845882874</v>
      </c>
      <c r="AF933" s="75">
        <f>AE933*(1-PARAM!$C$27)*$I$10+(MOD($B933,60)=PARAM!$B$56)*($B933&gt;(60-PARAM!$B$56))*HLOOKUP(($B933+PARAM!$B$56)/12,Loyalty,2)*$F$1*MAX(AH932,0)</f>
        <v>18.557001321003963</v>
      </c>
      <c r="AG933" s="75">
        <f>PARAM!$C$26+MAX($G$10-CHOOSE(PARAM!$B$44,MAX(0,AH932*$F$1),0),0)*RATES!$L909/12+$H$10*(PARAM!$D$51/12)*RATES!$N909/100</f>
        <v>1190.0416666666667</v>
      </c>
      <c r="AH933" s="16">
        <f t="shared" si="635"/>
        <v>-277704.97316071973</v>
      </c>
      <c r="AI933" s="15">
        <f t="shared" si="610"/>
        <v>22.170849845882874</v>
      </c>
      <c r="AJ933" s="75">
        <f>AI933*(1-PARAM!$C$27)*$I$11+(MOD($B933,60)=PARAM!$B$56)*($B933&gt;(60-PARAM!$B$56))*HLOOKUP(($B933+PARAM!$B$56)/12,Loyalty,2)*$F$1*MAX(AL932,0)</f>
        <v>18.557001321003963</v>
      </c>
      <c r="AK933" s="75">
        <f>PARAM!$C$26+MAX($G$11-CHOOSE(PARAM!$B$44,MAX(0,AL932*$F$1),0),0)*RATES!$L909/12+$H$11*(PARAM!$D$51/12)*RATES!$N909/100</f>
        <v>1190.0416666666667</v>
      </c>
      <c r="AL933" s="16">
        <f t="shared" si="636"/>
        <v>-277704.97316071973</v>
      </c>
      <c r="AM933" s="15">
        <f t="shared" si="611"/>
        <v>22.170849845882874</v>
      </c>
      <c r="AN933" s="75">
        <f>AM933*(1-PARAM!$C$27)*$I$12+(MOD($B933,60)=PARAM!$B$56)*($B933&gt;(60-PARAM!$B$56))*HLOOKUP(($B933+PARAM!$B$56)/12,Loyalty,2)*$F$1*MAX(AP932,0)</f>
        <v>18.557001321003963</v>
      </c>
      <c r="AO933" s="75">
        <f>PARAM!$C$26+MAX($G$12-CHOOSE(PARAM!$B$44,MAX(0,AP932*$F$1),0),0)*RATES!$L909/12+$H$12*(PARAM!$D$51/12)*RATES!$N909/100</f>
        <v>1190.0416666666667</v>
      </c>
      <c r="AP933" s="16">
        <f t="shared" si="637"/>
        <v>-277704.97316071973</v>
      </c>
      <c r="AQ933" s="15">
        <f t="shared" si="612"/>
        <v>22.170849845882874</v>
      </c>
      <c r="AR933" s="75">
        <f>AQ933*(1-PARAM!$C$27)*$I$13+(MOD($B933,60)=PARAM!$B$56)*($B933&gt;(60-PARAM!$B$56))*HLOOKUP(($B933+PARAM!$B$56)/12,Loyalty,2)*$F$1*MAX(AT932,0)</f>
        <v>18.557001321003963</v>
      </c>
      <c r="AS933" s="75">
        <f>PARAM!$C$26+MAX($G$13-CHOOSE(PARAM!$B$44,MAX(0,AT932*$F$1),0),0)*RATES!$L909/12+$H$13*(PARAM!$D$51/12)*RATES!$N909/100</f>
        <v>1190.0416666666667</v>
      </c>
      <c r="AT933" s="16">
        <f t="shared" si="638"/>
        <v>-277704.97316071973</v>
      </c>
      <c r="AU933" s="15">
        <f t="shared" si="613"/>
        <v>22.170849845882874</v>
      </c>
      <c r="AV933" s="75">
        <f>AU933*(1-PARAM!$C$27)*$I$14+(MOD($B933,60)=PARAM!$B$56)*($B933&gt;(60-PARAM!$B$56))*HLOOKUP(($B933+PARAM!$B$56)/12,Loyalty,2)*$F$1*MAX(AX932,0)</f>
        <v>18.557001321003963</v>
      </c>
      <c r="AW933" s="75">
        <f>PARAM!$C$26+MAX($G$14-CHOOSE(PARAM!$B$44,MAX(0,AX932*$F$1),0),0)*RATES!$L909/12+$H$14*(PARAM!$D$51/12)*RATES!$N909/100</f>
        <v>1190.0416666666667</v>
      </c>
      <c r="AX933" s="16">
        <f t="shared" si="639"/>
        <v>-277704.97316071973</v>
      </c>
      <c r="AY933" s="15">
        <f t="shared" si="614"/>
        <v>22.170849845882874</v>
      </c>
      <c r="AZ933" s="75">
        <f>AY933*(1-PARAM!$C$27)*$I$15+(MOD($B933,60)=PARAM!$B$56)*($B933&gt;(60-PARAM!$B$56))*HLOOKUP(($B933+PARAM!$B$56)/12,Loyalty,2)*$F$1*MAX(BB932,0)</f>
        <v>18.557001321003963</v>
      </c>
      <c r="BA933" s="75">
        <f>PARAM!$C$26+MAX($G$15-CHOOSE(PARAM!$B$44,MAX(0,BB932*$F$1),0),0)*RATES!$L909/12+$H$15*(PARAM!$D$51/12)*RATES!$N909/100</f>
        <v>1190.0416666666667</v>
      </c>
      <c r="BB933" s="16">
        <f t="shared" si="640"/>
        <v>-277704.97316071973</v>
      </c>
      <c r="BC933" s="15">
        <f t="shared" si="615"/>
        <v>22.170849845882874</v>
      </c>
      <c r="BD933" s="75">
        <f>BC933*(1-PARAM!$C$27)*$I$16+(MOD($B933,60)=PARAM!$B$56)*($B933&gt;(60-PARAM!$B$56))*HLOOKUP(($B933+PARAM!$B$56)/12,Loyalty,2)*$F$1*MAX(BF932,0)</f>
        <v>18.557001321003963</v>
      </c>
      <c r="BE933" s="75">
        <f>PARAM!$C$26+MAX($G$16-CHOOSE(PARAM!$B$44,MAX(0,BF932*$F$1),0),0)*RATES!$L909/12+$H$16*(PARAM!$D$51/12)*RATES!$N909/100</f>
        <v>1190.0416666666667</v>
      </c>
      <c r="BF933" s="16">
        <f t="shared" si="641"/>
        <v>-277704.97316071973</v>
      </c>
      <c r="BG933" s="15">
        <f t="shared" si="616"/>
        <v>22.170849845882874</v>
      </c>
      <c r="BH933" s="75">
        <f>BG933*(1-PARAM!$C$27)*$I$17+(MOD($B933,60)=PARAM!$B$56)*($B933&gt;(60-PARAM!$B$56))*HLOOKUP(($B933+PARAM!$B$56)/12,Loyalty,2)*$F$1*MAX(BJ932,0)</f>
        <v>18.557001321003963</v>
      </c>
      <c r="BI933" s="75">
        <f>PARAM!$C$26+MAX($G$17-CHOOSE(PARAM!$B$44,MAX(0,BJ932*$F$1),0),0)*RATES!$L909/12+$H$17*(PARAM!$D$51/12)*RATES!$N909/100</f>
        <v>1190.0416666666667</v>
      </c>
      <c r="BJ933" s="16">
        <f t="shared" si="642"/>
        <v>-277704.97316071973</v>
      </c>
      <c r="BK933" s="15">
        <f t="shared" si="617"/>
        <v>22.170849845882874</v>
      </c>
      <c r="BL933" s="75">
        <f>BK933*(1-PARAM!$C$27)*$I$18+(MOD($B933,60)=PARAM!$B$56)*($B933&gt;(60-PARAM!$B$56))*HLOOKUP(($B933+PARAM!$B$56)/12,Loyalty,2)*$F$1*MAX(BN932,0)</f>
        <v>18.557001321003963</v>
      </c>
      <c r="BM933" s="75">
        <f>PARAM!$C$26+MAX($G$18-CHOOSE(PARAM!$B$44,MAX(0,BN932*$F$1),0),0)*RATES!$L909/12+$H$18*(PARAM!$D$51/12)*RATES!$N909/100</f>
        <v>1190.0416666666667</v>
      </c>
      <c r="BN933" s="16">
        <f t="shared" si="643"/>
        <v>-277704.97316071973</v>
      </c>
      <c r="BO933" s="15">
        <f t="shared" si="618"/>
        <v>22.170849845882874</v>
      </c>
      <c r="BP933" s="75">
        <f>BO933*(1-PARAM!$C$27)*$I$19+(MOD($B933,60)=PARAM!$B$56)*($B933&gt;(60-PARAM!$B$56))*HLOOKUP(($B933+PARAM!$B$56)/12,Loyalty,2)*$F$1*MAX(BR932,0)</f>
        <v>18.557001321003963</v>
      </c>
      <c r="BQ933" s="75">
        <f>PARAM!$C$26+MAX($G$19-CHOOSE(PARAM!$B$44,MAX(0,BR932*$F$1),0),0)*RATES!$L909/12+$H$19*(PARAM!$D$51/12)*RATES!$N909/100</f>
        <v>1190.0416666666667</v>
      </c>
      <c r="BR933" s="16">
        <f t="shared" si="644"/>
        <v>-277704.97316071973</v>
      </c>
      <c r="BS933" s="15">
        <f t="shared" si="619"/>
        <v>22.170849845882874</v>
      </c>
      <c r="BT933" s="75">
        <f>BS933*(1-PARAM!$C$27)*$I$20+(MOD($B933,60)=PARAM!$B$56)*($B933&gt;(60-PARAM!$B$56))*HLOOKUP(($B933+PARAM!$B$56)/12,Loyalty,2)*$F$1*MAX(BV932,0)</f>
        <v>18.557001321003963</v>
      </c>
      <c r="BU933" s="75">
        <f>PARAM!$C$26+MAX($G$20-CHOOSE(PARAM!$B$44,MAX(0,BV932*$F$1),0),0)*RATES!$L909/12+$H$20*(PARAM!$D$51/12)*RATES!$N909/100</f>
        <v>1190.0416666666667</v>
      </c>
      <c r="BV933" s="16">
        <f t="shared" si="645"/>
        <v>-277704.97316071973</v>
      </c>
      <c r="BW933" s="15">
        <f t="shared" si="620"/>
        <v>22.170849845882874</v>
      </c>
      <c r="BX933" s="75">
        <f>BW933*(1-PARAM!$C$27)*$I$21+(MOD($B933,60)=PARAM!$B$56)*($B933&gt;(60-PARAM!$B$56))*HLOOKUP(($B933+PARAM!$B$56)/12,Loyalty,2)*$F$1*MAX(BZ932,0)</f>
        <v>18.557001321003963</v>
      </c>
      <c r="BY933" s="75">
        <f>PARAM!$C$26+MAX($G$21-CHOOSE(PARAM!$B$44,MAX(0,BZ932*$F$1),0),0)*RATES!$L909/12+$H$21*(PARAM!$D$51/12)*RATES!$N909/100</f>
        <v>1190.0416666666667</v>
      </c>
      <c r="BZ933" s="16">
        <f t="shared" si="646"/>
        <v>-277704.97316071973</v>
      </c>
      <c r="CA933" s="15">
        <f t="shared" si="621"/>
        <v>22.170849845882874</v>
      </c>
      <c r="CB933" s="75">
        <f>CA933*(1-PARAM!$C$27)*$I$22+(MOD($B933,60)=PARAM!$B$56)*($B933&gt;(60-PARAM!$B$56))*HLOOKUP(($B933+PARAM!$B$56)/12,Loyalty,2)*$F$1*MAX(CD932,0)</f>
        <v>18.557001321003963</v>
      </c>
      <c r="CC933" s="75">
        <f>PARAM!$C$26+MAX($G$22-CHOOSE(PARAM!$B$44,MAX(0,CD932*$F$1),0),0)*RATES!$L909/12+$H$22*(PARAM!$D$51/12)*RATES!$N909/100</f>
        <v>1190.0416666666667</v>
      </c>
      <c r="CD933" s="16">
        <f t="shared" si="647"/>
        <v>-277704.97316071973</v>
      </c>
      <c r="CE933" s="33">
        <f>IF(0=MOD(B933,12/PARAM!$D$51),1,0)</f>
        <v>1</v>
      </c>
      <c r="CF933" s="15">
        <f t="shared" si="622"/>
        <v>0</v>
      </c>
      <c r="CG933" s="75">
        <f>CF933*(1-PARAM!$C$27)*$R$3+(MOD($B933/12,5)=0)*($B933&gt;60)*HLOOKUP($B933/12,Loyalty,2)*$F$1*MAX(CI932,0)</f>
        <v>0</v>
      </c>
      <c r="CH933" s="75">
        <f>PARAM!$C$26+MAX($P$3-CHOOSE(PARAM!$B$44,MAX(0,CI932*$F$1),0),0)*RATES!$L909/12+$Q$3*(PARAM!$D$51/12)*RATES!$N909/100</f>
        <v>1190.0416666666667</v>
      </c>
      <c r="CI933" s="16">
        <f>IF(CI932&gt;0,CI932*PARAM!$C$53,CI932)+CG933-CH933</f>
        <v>-294398.0416666668</v>
      </c>
      <c r="CJ933" s="15">
        <f t="shared" si="648"/>
        <v>0</v>
      </c>
      <c r="CK933" s="75">
        <f>CJ933*(1-PARAM!$C$27)*$R$4+(MOD($B933/12,5)=0)*($B933&gt;60)*HLOOKUP($B933/12,Loyalty,2)*$F$1*MAX(CM932,0)</f>
        <v>0</v>
      </c>
      <c r="CL933" s="75">
        <f>PARAM!$C$26+MAX($P$4-CHOOSE(PARAM!$B$44,MAX(0,CM932*$F$1),0),0)*RATES!$L909/12+$Q$4*(PARAM!$D$51/12)*RATES!$N909/100</f>
        <v>1190.0416666666667</v>
      </c>
      <c r="CM933" s="16">
        <f>IF(CM932&gt;0,CM932*PARAM!$C$53,CM932)+CK933-CL933</f>
        <v>-294398.0416666668</v>
      </c>
      <c r="CO933" s="176"/>
    </row>
    <row r="934" spans="1:93" x14ac:dyDescent="0.2">
      <c r="A934" t="b">
        <f t="shared" si="623"/>
        <v>0</v>
      </c>
      <c r="B934" s="33">
        <v>907</v>
      </c>
      <c r="C934" s="15">
        <f t="shared" si="624"/>
        <v>20.081305947392778</v>
      </c>
      <c r="D934" s="75">
        <f>C934*(1-PARAM!$C$27)*$I$3+(MOD($B934,60)=PARAM!$B$56)*($B934&gt;(60-PARAM!$B$56))*HLOOKUP(($B934+PARAM!$B$56)/12,Loyalty,2)*$F$1*MAX(F933,0)</f>
        <v>16.808053077967756</v>
      </c>
      <c r="E934" s="75">
        <f>PARAM!$C$26+MAX($G$3-CHOOSE(PARAM!$B$44,MAX(0,F933*$F$1),0),0)*RATES!$L910/12+$H$3*(PARAM!$D$51/12)*RATES!$N910/100</f>
        <v>1190.0416666666667</v>
      </c>
      <c r="F934" s="16">
        <f t="shared" si="625"/>
        <v>-280499.60438302136</v>
      </c>
      <c r="G934" s="15">
        <f t="shared" si="626"/>
        <v>22.035289406060361</v>
      </c>
      <c r="H934" s="75">
        <f>G934*(1-PARAM!$C$27)*$I$4+(MOD($B934,60)=PARAM!$B$56)*($B934&gt;(60-PARAM!$B$56))*HLOOKUP(($B934+PARAM!$B$56)/12,Loyalty,2)*$F$1*MAX(J933,0)</f>
        <v>18.443537232872522</v>
      </c>
      <c r="I934" s="75">
        <f>PARAM!$C$26+MAX($G$4-CHOOSE(PARAM!$B$44,MAX(0,J933*$F$1),0),0)*RATES!$L910/12+$H$4*(PARAM!$D$51/12)*RATES!$N910/100</f>
        <v>1190.0416666666667</v>
      </c>
      <c r="J934" s="16">
        <f t="shared" si="627"/>
        <v>-278982.38729039923</v>
      </c>
      <c r="K934" s="15">
        <f t="shared" si="628"/>
        <v>22.170849845882874</v>
      </c>
      <c r="L934" s="75">
        <f>K934*(1-PARAM!$C$27)*$I$5+(MOD($B934,60)=PARAM!$B$56)*($B934&gt;(60-PARAM!$B$56))*HLOOKUP(($B934+PARAM!$B$56)/12,Loyalty,2)*$F$1*MAX(N933,0)</f>
        <v>18.557001321003963</v>
      </c>
      <c r="M934" s="75">
        <f>PARAM!$C$26+MAX($G$5-CHOOSE(PARAM!$B$44,MAX(0,N933*$F$1),0),0)*RATES!$L910/12+$H$5*(PARAM!$D$51/12)*RATES!$N910/100</f>
        <v>1190.0416666666667</v>
      </c>
      <c r="N934" s="16">
        <f t="shared" si="629"/>
        <v>-278876.45782606542</v>
      </c>
      <c r="O934" s="15">
        <f t="shared" si="630"/>
        <v>22.170849845882874</v>
      </c>
      <c r="P934" s="75">
        <f>O934*(1-PARAM!$C$27)*$I$6+(MOD($B934,60)=PARAM!$B$56)*($B934&gt;(60-PARAM!$B$56))*HLOOKUP(($B934+PARAM!$B$56)/12,Loyalty,2)*$F$1*MAX(R933,0)</f>
        <v>18.557001321003963</v>
      </c>
      <c r="Q934" s="75">
        <f>PARAM!$C$26+MAX($G$6-CHOOSE(PARAM!$B$44,MAX(0,R933*$F$1),0),0)*RATES!$L910/12+$H$6*(PARAM!$D$51/12)*RATES!$N910/100</f>
        <v>1190.0416666666667</v>
      </c>
      <c r="R934" s="16">
        <f t="shared" si="631"/>
        <v>-278876.45782606542</v>
      </c>
      <c r="S934" s="15">
        <f t="shared" si="606"/>
        <v>22.170849845882874</v>
      </c>
      <c r="T934" s="75">
        <f>S934*(1-PARAM!$C$27)*$I$7+(MOD($B934,60)=PARAM!$B$56)*($B934&gt;(60-PARAM!$B$56))*HLOOKUP(($B934+PARAM!$B$56)/12,Loyalty,2)*$F$1*MAX(V933,0)</f>
        <v>18.557001321003963</v>
      </c>
      <c r="U934" s="75">
        <f>PARAM!$C$26+MAX($G$7-CHOOSE(PARAM!$B$44,MAX(0,V933*$F$1),0),0)*RATES!$L910/12+$H$7*(PARAM!$D$51/12)*RATES!$N910/100</f>
        <v>1190.0416666666667</v>
      </c>
      <c r="V934" s="16">
        <f t="shared" si="632"/>
        <v>-278876.45782606542</v>
      </c>
      <c r="W934" s="15">
        <f t="shared" si="607"/>
        <v>22.170849845882874</v>
      </c>
      <c r="X934" s="75">
        <f>W934*(1-PARAM!$C$27)*$I$8+(MOD($B934,60)=PARAM!$B$56)*($B934&gt;(60-PARAM!$B$56))*HLOOKUP(($B934+PARAM!$B$56)/12,Loyalty,2)*$F$1*MAX(Z933,0)</f>
        <v>18.557001321003963</v>
      </c>
      <c r="Y934" s="75">
        <f>PARAM!$C$26+MAX($G$8-CHOOSE(PARAM!$B$44,MAX(0,Z933*$F$1),0),0)*RATES!$L910/12+$H$8*(PARAM!$D$51/12)*RATES!$N910/100</f>
        <v>1190.0416666666667</v>
      </c>
      <c r="Z934" s="16">
        <f t="shared" si="633"/>
        <v>-278876.45782606542</v>
      </c>
      <c r="AA934" s="15">
        <f t="shared" si="608"/>
        <v>22.170849845882874</v>
      </c>
      <c r="AB934" s="75">
        <f>AA934*(1-PARAM!$C$27)*$I$9+(MOD($B934,60)=PARAM!$B$56)*($B934&gt;(60-PARAM!$B$56))*HLOOKUP(($B934+PARAM!$B$56)/12,Loyalty,2)*$F$1*MAX(AD933,0)</f>
        <v>18.557001321003963</v>
      </c>
      <c r="AC934" s="75">
        <f>PARAM!$C$26+MAX($G$9-CHOOSE(PARAM!$B$44,MAX(0,AD933*$F$1),0),0)*RATES!$L910/12+$H$9*(PARAM!$D$51/12)*RATES!$N910/100</f>
        <v>1190.0416666666667</v>
      </c>
      <c r="AD934" s="16">
        <f t="shared" si="634"/>
        <v>-278876.45782606542</v>
      </c>
      <c r="AE934" s="15">
        <f t="shared" si="609"/>
        <v>22.170849845882874</v>
      </c>
      <c r="AF934" s="75">
        <f>AE934*(1-PARAM!$C$27)*$I$10+(MOD($B934,60)=PARAM!$B$56)*($B934&gt;(60-PARAM!$B$56))*HLOOKUP(($B934+PARAM!$B$56)/12,Loyalty,2)*$F$1*MAX(AH933,0)</f>
        <v>18.557001321003963</v>
      </c>
      <c r="AG934" s="75">
        <f>PARAM!$C$26+MAX($G$10-CHOOSE(PARAM!$B$44,MAX(0,AH933*$F$1),0),0)*RATES!$L910/12+$H$10*(PARAM!$D$51/12)*RATES!$N910/100</f>
        <v>1190.0416666666667</v>
      </c>
      <c r="AH934" s="16">
        <f t="shared" si="635"/>
        <v>-278876.45782606542</v>
      </c>
      <c r="AI934" s="15">
        <f t="shared" si="610"/>
        <v>22.170849845882874</v>
      </c>
      <c r="AJ934" s="75">
        <f>AI934*(1-PARAM!$C$27)*$I$11+(MOD($B934,60)=PARAM!$B$56)*($B934&gt;(60-PARAM!$B$56))*HLOOKUP(($B934+PARAM!$B$56)/12,Loyalty,2)*$F$1*MAX(AL933,0)</f>
        <v>18.557001321003963</v>
      </c>
      <c r="AK934" s="75">
        <f>PARAM!$C$26+MAX($G$11-CHOOSE(PARAM!$B$44,MAX(0,AL933*$F$1),0),0)*RATES!$L910/12+$H$11*(PARAM!$D$51/12)*RATES!$N910/100</f>
        <v>1190.0416666666667</v>
      </c>
      <c r="AL934" s="16">
        <f t="shared" si="636"/>
        <v>-278876.45782606542</v>
      </c>
      <c r="AM934" s="15">
        <f t="shared" si="611"/>
        <v>22.170849845882874</v>
      </c>
      <c r="AN934" s="75">
        <f>AM934*(1-PARAM!$C$27)*$I$12+(MOD($B934,60)=PARAM!$B$56)*($B934&gt;(60-PARAM!$B$56))*HLOOKUP(($B934+PARAM!$B$56)/12,Loyalty,2)*$F$1*MAX(AP933,0)</f>
        <v>18.557001321003963</v>
      </c>
      <c r="AO934" s="75">
        <f>PARAM!$C$26+MAX($G$12-CHOOSE(PARAM!$B$44,MAX(0,AP933*$F$1),0),0)*RATES!$L910/12+$H$12*(PARAM!$D$51/12)*RATES!$N910/100</f>
        <v>1190.0416666666667</v>
      </c>
      <c r="AP934" s="16">
        <f t="shared" si="637"/>
        <v>-278876.45782606542</v>
      </c>
      <c r="AQ934" s="15">
        <f t="shared" si="612"/>
        <v>22.170849845882874</v>
      </c>
      <c r="AR934" s="75">
        <f>AQ934*(1-PARAM!$C$27)*$I$13+(MOD($B934,60)=PARAM!$B$56)*($B934&gt;(60-PARAM!$B$56))*HLOOKUP(($B934+PARAM!$B$56)/12,Loyalty,2)*$F$1*MAX(AT933,0)</f>
        <v>18.557001321003963</v>
      </c>
      <c r="AS934" s="75">
        <f>PARAM!$C$26+MAX($G$13-CHOOSE(PARAM!$B$44,MAX(0,AT933*$F$1),0),0)*RATES!$L910/12+$H$13*(PARAM!$D$51/12)*RATES!$N910/100</f>
        <v>1190.0416666666667</v>
      </c>
      <c r="AT934" s="16">
        <f t="shared" si="638"/>
        <v>-278876.45782606542</v>
      </c>
      <c r="AU934" s="15">
        <f t="shared" si="613"/>
        <v>22.170849845882874</v>
      </c>
      <c r="AV934" s="75">
        <f>AU934*(1-PARAM!$C$27)*$I$14+(MOD($B934,60)=PARAM!$B$56)*($B934&gt;(60-PARAM!$B$56))*HLOOKUP(($B934+PARAM!$B$56)/12,Loyalty,2)*$F$1*MAX(AX933,0)</f>
        <v>18.557001321003963</v>
      </c>
      <c r="AW934" s="75">
        <f>PARAM!$C$26+MAX($G$14-CHOOSE(PARAM!$B$44,MAX(0,AX933*$F$1),0),0)*RATES!$L910/12+$H$14*(PARAM!$D$51/12)*RATES!$N910/100</f>
        <v>1190.0416666666667</v>
      </c>
      <c r="AX934" s="16">
        <f t="shared" si="639"/>
        <v>-278876.45782606542</v>
      </c>
      <c r="AY934" s="15">
        <f t="shared" si="614"/>
        <v>22.170849845882874</v>
      </c>
      <c r="AZ934" s="75">
        <f>AY934*(1-PARAM!$C$27)*$I$15+(MOD($B934,60)=PARAM!$B$56)*($B934&gt;(60-PARAM!$B$56))*HLOOKUP(($B934+PARAM!$B$56)/12,Loyalty,2)*$F$1*MAX(BB933,0)</f>
        <v>18.557001321003963</v>
      </c>
      <c r="BA934" s="75">
        <f>PARAM!$C$26+MAX($G$15-CHOOSE(PARAM!$B$44,MAX(0,BB933*$F$1),0),0)*RATES!$L910/12+$H$15*(PARAM!$D$51/12)*RATES!$N910/100</f>
        <v>1190.0416666666667</v>
      </c>
      <c r="BB934" s="16">
        <f t="shared" si="640"/>
        <v>-278876.45782606542</v>
      </c>
      <c r="BC934" s="15">
        <f t="shared" si="615"/>
        <v>22.170849845882874</v>
      </c>
      <c r="BD934" s="75">
        <f>BC934*(1-PARAM!$C$27)*$I$16+(MOD($B934,60)=PARAM!$B$56)*($B934&gt;(60-PARAM!$B$56))*HLOOKUP(($B934+PARAM!$B$56)/12,Loyalty,2)*$F$1*MAX(BF933,0)</f>
        <v>18.557001321003963</v>
      </c>
      <c r="BE934" s="75">
        <f>PARAM!$C$26+MAX($G$16-CHOOSE(PARAM!$B$44,MAX(0,BF933*$F$1),0),0)*RATES!$L910/12+$H$16*(PARAM!$D$51/12)*RATES!$N910/100</f>
        <v>1190.0416666666667</v>
      </c>
      <c r="BF934" s="16">
        <f t="shared" si="641"/>
        <v>-278876.45782606542</v>
      </c>
      <c r="BG934" s="15">
        <f t="shared" si="616"/>
        <v>22.170849845882874</v>
      </c>
      <c r="BH934" s="75">
        <f>BG934*(1-PARAM!$C$27)*$I$17+(MOD($B934,60)=PARAM!$B$56)*($B934&gt;(60-PARAM!$B$56))*HLOOKUP(($B934+PARAM!$B$56)/12,Loyalty,2)*$F$1*MAX(BJ933,0)</f>
        <v>18.557001321003963</v>
      </c>
      <c r="BI934" s="75">
        <f>PARAM!$C$26+MAX($G$17-CHOOSE(PARAM!$B$44,MAX(0,BJ933*$F$1),0),0)*RATES!$L910/12+$H$17*(PARAM!$D$51/12)*RATES!$N910/100</f>
        <v>1190.0416666666667</v>
      </c>
      <c r="BJ934" s="16">
        <f t="shared" si="642"/>
        <v>-278876.45782606542</v>
      </c>
      <c r="BK934" s="15">
        <f t="shared" si="617"/>
        <v>22.170849845882874</v>
      </c>
      <c r="BL934" s="75">
        <f>BK934*(1-PARAM!$C$27)*$I$18+(MOD($B934,60)=PARAM!$B$56)*($B934&gt;(60-PARAM!$B$56))*HLOOKUP(($B934+PARAM!$B$56)/12,Loyalty,2)*$F$1*MAX(BN933,0)</f>
        <v>18.557001321003963</v>
      </c>
      <c r="BM934" s="75">
        <f>PARAM!$C$26+MAX($G$18-CHOOSE(PARAM!$B$44,MAX(0,BN933*$F$1),0),0)*RATES!$L910/12+$H$18*(PARAM!$D$51/12)*RATES!$N910/100</f>
        <v>1190.0416666666667</v>
      </c>
      <c r="BN934" s="16">
        <f t="shared" si="643"/>
        <v>-278876.45782606542</v>
      </c>
      <c r="BO934" s="15">
        <f t="shared" si="618"/>
        <v>22.170849845882874</v>
      </c>
      <c r="BP934" s="75">
        <f>BO934*(1-PARAM!$C$27)*$I$19+(MOD($B934,60)=PARAM!$B$56)*($B934&gt;(60-PARAM!$B$56))*HLOOKUP(($B934+PARAM!$B$56)/12,Loyalty,2)*$F$1*MAX(BR933,0)</f>
        <v>18.557001321003963</v>
      </c>
      <c r="BQ934" s="75">
        <f>PARAM!$C$26+MAX($G$19-CHOOSE(PARAM!$B$44,MAX(0,BR933*$F$1),0),0)*RATES!$L910/12+$H$19*(PARAM!$D$51/12)*RATES!$N910/100</f>
        <v>1190.0416666666667</v>
      </c>
      <c r="BR934" s="16">
        <f t="shared" si="644"/>
        <v>-278876.45782606542</v>
      </c>
      <c r="BS934" s="15">
        <f t="shared" si="619"/>
        <v>22.170849845882874</v>
      </c>
      <c r="BT934" s="75">
        <f>BS934*(1-PARAM!$C$27)*$I$20+(MOD($B934,60)=PARAM!$B$56)*($B934&gt;(60-PARAM!$B$56))*HLOOKUP(($B934+PARAM!$B$56)/12,Loyalty,2)*$F$1*MAX(BV933,0)</f>
        <v>18.557001321003963</v>
      </c>
      <c r="BU934" s="75">
        <f>PARAM!$C$26+MAX($G$20-CHOOSE(PARAM!$B$44,MAX(0,BV933*$F$1),0),0)*RATES!$L910/12+$H$20*(PARAM!$D$51/12)*RATES!$N910/100</f>
        <v>1190.0416666666667</v>
      </c>
      <c r="BV934" s="16">
        <f t="shared" si="645"/>
        <v>-278876.45782606542</v>
      </c>
      <c r="BW934" s="15">
        <f t="shared" si="620"/>
        <v>22.170849845882874</v>
      </c>
      <c r="BX934" s="75">
        <f>BW934*(1-PARAM!$C$27)*$I$21+(MOD($B934,60)=PARAM!$B$56)*($B934&gt;(60-PARAM!$B$56))*HLOOKUP(($B934+PARAM!$B$56)/12,Loyalty,2)*$F$1*MAX(BZ933,0)</f>
        <v>18.557001321003963</v>
      </c>
      <c r="BY934" s="75">
        <f>PARAM!$C$26+MAX($G$21-CHOOSE(PARAM!$B$44,MAX(0,BZ933*$F$1),0),0)*RATES!$L910/12+$H$21*(PARAM!$D$51/12)*RATES!$N910/100</f>
        <v>1190.0416666666667</v>
      </c>
      <c r="BZ934" s="16">
        <f t="shared" si="646"/>
        <v>-278876.45782606542</v>
      </c>
      <c r="CA934" s="15">
        <f t="shared" si="621"/>
        <v>22.170849845882874</v>
      </c>
      <c r="CB934" s="75">
        <f>CA934*(1-PARAM!$C$27)*$I$22+(MOD($B934,60)=PARAM!$B$56)*($B934&gt;(60-PARAM!$B$56))*HLOOKUP(($B934+PARAM!$B$56)/12,Loyalty,2)*$F$1*MAX(CD933,0)</f>
        <v>18.557001321003963</v>
      </c>
      <c r="CC934" s="75">
        <f>PARAM!$C$26+MAX($G$22-CHOOSE(PARAM!$B$44,MAX(0,CD933*$F$1),0),0)*RATES!$L910/12+$H$22*(PARAM!$D$51/12)*RATES!$N910/100</f>
        <v>1190.0416666666667</v>
      </c>
      <c r="CD934" s="16">
        <f t="shared" si="647"/>
        <v>-278876.45782606542</v>
      </c>
      <c r="CE934" s="33">
        <f>IF(0=MOD(B934,12/PARAM!$D$51),1,0)</f>
        <v>1</v>
      </c>
      <c r="CF934" s="15">
        <f t="shared" si="622"/>
        <v>0</v>
      </c>
      <c r="CG934" s="75">
        <f>CF934*(1-PARAM!$C$27)*$R$3+(MOD($B934/12,5)=0)*($B934&gt;60)*HLOOKUP($B934/12,Loyalty,2)*$F$1*MAX(CI933,0)</f>
        <v>0</v>
      </c>
      <c r="CH934" s="75">
        <f>PARAM!$C$26+MAX($P$3-CHOOSE(PARAM!$B$44,MAX(0,CI933*$F$1),0),0)*RATES!$L910/12+$Q$3*(PARAM!$D$51/12)*RATES!$N910/100</f>
        <v>1190.0416666666667</v>
      </c>
      <c r="CI934" s="16">
        <f>IF(CI933&gt;0,CI933*PARAM!$C$53,CI933)+CG934-CH934</f>
        <v>-295588.08333333349</v>
      </c>
      <c r="CJ934" s="15">
        <f t="shared" si="648"/>
        <v>0</v>
      </c>
      <c r="CK934" s="75">
        <f>CJ934*(1-PARAM!$C$27)*$R$4+(MOD($B934/12,5)=0)*($B934&gt;60)*HLOOKUP($B934/12,Loyalty,2)*$F$1*MAX(CM933,0)</f>
        <v>0</v>
      </c>
      <c r="CL934" s="75">
        <f>PARAM!$C$26+MAX($P$4-CHOOSE(PARAM!$B$44,MAX(0,CM933*$F$1),0),0)*RATES!$L910/12+$Q$4*(PARAM!$D$51/12)*RATES!$N910/100</f>
        <v>1190.0416666666667</v>
      </c>
      <c r="CM934" s="16">
        <f>IF(CM933&gt;0,CM933*PARAM!$C$53,CM933)+CK934-CL934</f>
        <v>-295588.08333333349</v>
      </c>
      <c r="CO934" s="176"/>
    </row>
    <row r="935" spans="1:93" x14ac:dyDescent="0.2">
      <c r="A935" t="b">
        <f t="shared" si="623"/>
        <v>0</v>
      </c>
      <c r="B935" s="33">
        <v>908</v>
      </c>
      <c r="C935" s="15">
        <f t="shared" si="624"/>
        <v>20.081305947392778</v>
      </c>
      <c r="D935" s="75">
        <f>C935*(1-PARAM!$C$27)*$I$3+(MOD($B935,60)=PARAM!$B$56)*($B935&gt;(60-PARAM!$B$56))*HLOOKUP(($B935+PARAM!$B$56)/12,Loyalty,2)*$F$1*MAX(F934,0)</f>
        <v>16.808053077967756</v>
      </c>
      <c r="E935" s="75">
        <f>PARAM!$C$26+MAX($G$3-CHOOSE(PARAM!$B$44,MAX(0,F934*$F$1),0),0)*RATES!$L911/12+$H$3*(PARAM!$D$51/12)*RATES!$N911/100</f>
        <v>1190.0416666666667</v>
      </c>
      <c r="F935" s="16">
        <f t="shared" si="625"/>
        <v>-281672.83799661009</v>
      </c>
      <c r="G935" s="15">
        <f t="shared" si="626"/>
        <v>22.035289406060361</v>
      </c>
      <c r="H935" s="75">
        <f>G935*(1-PARAM!$C$27)*$I$4+(MOD($B935,60)=PARAM!$B$56)*($B935&gt;(60-PARAM!$B$56))*HLOOKUP(($B935+PARAM!$B$56)/12,Loyalty,2)*$F$1*MAX(J934,0)</f>
        <v>18.443537232872522</v>
      </c>
      <c r="I935" s="75">
        <f>PARAM!$C$26+MAX($G$4-CHOOSE(PARAM!$B$44,MAX(0,J934*$F$1),0),0)*RATES!$L911/12+$H$4*(PARAM!$D$51/12)*RATES!$N911/100</f>
        <v>1190.0416666666667</v>
      </c>
      <c r="J935" s="16">
        <f t="shared" si="627"/>
        <v>-280153.98541983304</v>
      </c>
      <c r="K935" s="15">
        <f t="shared" si="628"/>
        <v>22.170849845882874</v>
      </c>
      <c r="L935" s="75">
        <f>K935*(1-PARAM!$C$27)*$I$5+(MOD($B935,60)=PARAM!$B$56)*($B935&gt;(60-PARAM!$B$56))*HLOOKUP(($B935+PARAM!$B$56)/12,Loyalty,2)*$F$1*MAX(N934,0)</f>
        <v>18.557001321003963</v>
      </c>
      <c r="M935" s="75">
        <f>PARAM!$C$26+MAX($G$5-CHOOSE(PARAM!$B$44,MAX(0,N934*$F$1),0),0)*RATES!$L911/12+$H$5*(PARAM!$D$51/12)*RATES!$N911/100</f>
        <v>1190.0416666666667</v>
      </c>
      <c r="N935" s="16">
        <f t="shared" si="629"/>
        <v>-280047.94249141112</v>
      </c>
      <c r="O935" s="15">
        <f t="shared" si="630"/>
        <v>22.170849845882874</v>
      </c>
      <c r="P935" s="75">
        <f>O935*(1-PARAM!$C$27)*$I$6+(MOD($B935,60)=PARAM!$B$56)*($B935&gt;(60-PARAM!$B$56))*HLOOKUP(($B935+PARAM!$B$56)/12,Loyalty,2)*$F$1*MAX(R934,0)</f>
        <v>18.557001321003963</v>
      </c>
      <c r="Q935" s="75">
        <f>PARAM!$C$26+MAX($G$6-CHOOSE(PARAM!$B$44,MAX(0,R934*$F$1),0),0)*RATES!$L911/12+$H$6*(PARAM!$D$51/12)*RATES!$N911/100</f>
        <v>1190.0416666666667</v>
      </c>
      <c r="R935" s="16">
        <f t="shared" si="631"/>
        <v>-280047.94249141112</v>
      </c>
      <c r="S935" s="15">
        <f t="shared" si="606"/>
        <v>22.170849845882874</v>
      </c>
      <c r="T935" s="75">
        <f>S935*(1-PARAM!$C$27)*$I$7+(MOD($B935,60)=PARAM!$B$56)*($B935&gt;(60-PARAM!$B$56))*HLOOKUP(($B935+PARAM!$B$56)/12,Loyalty,2)*$F$1*MAX(V934,0)</f>
        <v>18.557001321003963</v>
      </c>
      <c r="U935" s="75">
        <f>PARAM!$C$26+MAX($G$7-CHOOSE(PARAM!$B$44,MAX(0,V934*$F$1),0),0)*RATES!$L911/12+$H$7*(PARAM!$D$51/12)*RATES!$N911/100</f>
        <v>1190.0416666666667</v>
      </c>
      <c r="V935" s="16">
        <f t="shared" si="632"/>
        <v>-280047.94249141112</v>
      </c>
      <c r="W935" s="15">
        <f t="shared" si="607"/>
        <v>22.170849845882874</v>
      </c>
      <c r="X935" s="75">
        <f>W935*(1-PARAM!$C$27)*$I$8+(MOD($B935,60)=PARAM!$B$56)*($B935&gt;(60-PARAM!$B$56))*HLOOKUP(($B935+PARAM!$B$56)/12,Loyalty,2)*$F$1*MAX(Z934,0)</f>
        <v>18.557001321003963</v>
      </c>
      <c r="Y935" s="75">
        <f>PARAM!$C$26+MAX($G$8-CHOOSE(PARAM!$B$44,MAX(0,Z934*$F$1),0),0)*RATES!$L911/12+$H$8*(PARAM!$D$51/12)*RATES!$N911/100</f>
        <v>1190.0416666666667</v>
      </c>
      <c r="Z935" s="16">
        <f t="shared" si="633"/>
        <v>-280047.94249141112</v>
      </c>
      <c r="AA935" s="15">
        <f t="shared" si="608"/>
        <v>22.170849845882874</v>
      </c>
      <c r="AB935" s="75">
        <f>AA935*(1-PARAM!$C$27)*$I$9+(MOD($B935,60)=PARAM!$B$56)*($B935&gt;(60-PARAM!$B$56))*HLOOKUP(($B935+PARAM!$B$56)/12,Loyalty,2)*$F$1*MAX(AD934,0)</f>
        <v>18.557001321003963</v>
      </c>
      <c r="AC935" s="75">
        <f>PARAM!$C$26+MAX($G$9-CHOOSE(PARAM!$B$44,MAX(0,AD934*$F$1),0),0)*RATES!$L911/12+$H$9*(PARAM!$D$51/12)*RATES!$N911/100</f>
        <v>1190.0416666666667</v>
      </c>
      <c r="AD935" s="16">
        <f t="shared" si="634"/>
        <v>-280047.94249141112</v>
      </c>
      <c r="AE935" s="15">
        <f t="shared" si="609"/>
        <v>22.170849845882874</v>
      </c>
      <c r="AF935" s="75">
        <f>AE935*(1-PARAM!$C$27)*$I$10+(MOD($B935,60)=PARAM!$B$56)*($B935&gt;(60-PARAM!$B$56))*HLOOKUP(($B935+PARAM!$B$56)/12,Loyalty,2)*$F$1*MAX(AH934,0)</f>
        <v>18.557001321003963</v>
      </c>
      <c r="AG935" s="75">
        <f>PARAM!$C$26+MAX($G$10-CHOOSE(PARAM!$B$44,MAX(0,AH934*$F$1),0),0)*RATES!$L911/12+$H$10*(PARAM!$D$51/12)*RATES!$N911/100</f>
        <v>1190.0416666666667</v>
      </c>
      <c r="AH935" s="16">
        <f t="shared" si="635"/>
        <v>-280047.94249141112</v>
      </c>
      <c r="AI935" s="15">
        <f t="shared" si="610"/>
        <v>22.170849845882874</v>
      </c>
      <c r="AJ935" s="75">
        <f>AI935*(1-PARAM!$C$27)*$I$11+(MOD($B935,60)=PARAM!$B$56)*($B935&gt;(60-PARAM!$B$56))*HLOOKUP(($B935+PARAM!$B$56)/12,Loyalty,2)*$F$1*MAX(AL934,0)</f>
        <v>18.557001321003963</v>
      </c>
      <c r="AK935" s="75">
        <f>PARAM!$C$26+MAX($G$11-CHOOSE(PARAM!$B$44,MAX(0,AL934*$F$1),0),0)*RATES!$L911/12+$H$11*(PARAM!$D$51/12)*RATES!$N911/100</f>
        <v>1190.0416666666667</v>
      </c>
      <c r="AL935" s="16">
        <f t="shared" si="636"/>
        <v>-280047.94249141112</v>
      </c>
      <c r="AM935" s="15">
        <f t="shared" si="611"/>
        <v>22.170849845882874</v>
      </c>
      <c r="AN935" s="75">
        <f>AM935*(1-PARAM!$C$27)*$I$12+(MOD($B935,60)=PARAM!$B$56)*($B935&gt;(60-PARAM!$B$56))*HLOOKUP(($B935+PARAM!$B$56)/12,Loyalty,2)*$F$1*MAX(AP934,0)</f>
        <v>18.557001321003963</v>
      </c>
      <c r="AO935" s="75">
        <f>PARAM!$C$26+MAX($G$12-CHOOSE(PARAM!$B$44,MAX(0,AP934*$F$1),0),0)*RATES!$L911/12+$H$12*(PARAM!$D$51/12)*RATES!$N911/100</f>
        <v>1190.0416666666667</v>
      </c>
      <c r="AP935" s="16">
        <f t="shared" si="637"/>
        <v>-280047.94249141112</v>
      </c>
      <c r="AQ935" s="15">
        <f t="shared" si="612"/>
        <v>22.170849845882874</v>
      </c>
      <c r="AR935" s="75">
        <f>AQ935*(1-PARAM!$C$27)*$I$13+(MOD($B935,60)=PARAM!$B$56)*($B935&gt;(60-PARAM!$B$56))*HLOOKUP(($B935+PARAM!$B$56)/12,Loyalty,2)*$F$1*MAX(AT934,0)</f>
        <v>18.557001321003963</v>
      </c>
      <c r="AS935" s="75">
        <f>PARAM!$C$26+MAX($G$13-CHOOSE(PARAM!$B$44,MAX(0,AT934*$F$1),0),0)*RATES!$L911/12+$H$13*(PARAM!$D$51/12)*RATES!$N911/100</f>
        <v>1190.0416666666667</v>
      </c>
      <c r="AT935" s="16">
        <f t="shared" si="638"/>
        <v>-280047.94249141112</v>
      </c>
      <c r="AU935" s="15">
        <f t="shared" si="613"/>
        <v>22.170849845882874</v>
      </c>
      <c r="AV935" s="75">
        <f>AU935*(1-PARAM!$C$27)*$I$14+(MOD($B935,60)=PARAM!$B$56)*($B935&gt;(60-PARAM!$B$56))*HLOOKUP(($B935+PARAM!$B$56)/12,Loyalty,2)*$F$1*MAX(AX934,0)</f>
        <v>18.557001321003963</v>
      </c>
      <c r="AW935" s="75">
        <f>PARAM!$C$26+MAX($G$14-CHOOSE(PARAM!$B$44,MAX(0,AX934*$F$1),0),0)*RATES!$L911/12+$H$14*(PARAM!$D$51/12)*RATES!$N911/100</f>
        <v>1190.0416666666667</v>
      </c>
      <c r="AX935" s="16">
        <f t="shared" si="639"/>
        <v>-280047.94249141112</v>
      </c>
      <c r="AY935" s="15">
        <f t="shared" si="614"/>
        <v>22.170849845882874</v>
      </c>
      <c r="AZ935" s="75">
        <f>AY935*(1-PARAM!$C$27)*$I$15+(MOD($B935,60)=PARAM!$B$56)*($B935&gt;(60-PARAM!$B$56))*HLOOKUP(($B935+PARAM!$B$56)/12,Loyalty,2)*$F$1*MAX(BB934,0)</f>
        <v>18.557001321003963</v>
      </c>
      <c r="BA935" s="75">
        <f>PARAM!$C$26+MAX($G$15-CHOOSE(PARAM!$B$44,MAX(0,BB934*$F$1),0),0)*RATES!$L911/12+$H$15*(PARAM!$D$51/12)*RATES!$N911/100</f>
        <v>1190.0416666666667</v>
      </c>
      <c r="BB935" s="16">
        <f t="shared" si="640"/>
        <v>-280047.94249141112</v>
      </c>
      <c r="BC935" s="15">
        <f t="shared" si="615"/>
        <v>22.170849845882874</v>
      </c>
      <c r="BD935" s="75">
        <f>BC935*(1-PARAM!$C$27)*$I$16+(MOD($B935,60)=PARAM!$B$56)*($B935&gt;(60-PARAM!$B$56))*HLOOKUP(($B935+PARAM!$B$56)/12,Loyalty,2)*$F$1*MAX(BF934,0)</f>
        <v>18.557001321003963</v>
      </c>
      <c r="BE935" s="75">
        <f>PARAM!$C$26+MAX($G$16-CHOOSE(PARAM!$B$44,MAX(0,BF934*$F$1),0),0)*RATES!$L911/12+$H$16*(PARAM!$D$51/12)*RATES!$N911/100</f>
        <v>1190.0416666666667</v>
      </c>
      <c r="BF935" s="16">
        <f t="shared" si="641"/>
        <v>-280047.94249141112</v>
      </c>
      <c r="BG935" s="15">
        <f t="shared" si="616"/>
        <v>22.170849845882874</v>
      </c>
      <c r="BH935" s="75">
        <f>BG935*(1-PARAM!$C$27)*$I$17+(MOD($B935,60)=PARAM!$B$56)*($B935&gt;(60-PARAM!$B$56))*HLOOKUP(($B935+PARAM!$B$56)/12,Loyalty,2)*$F$1*MAX(BJ934,0)</f>
        <v>18.557001321003963</v>
      </c>
      <c r="BI935" s="75">
        <f>PARAM!$C$26+MAX($G$17-CHOOSE(PARAM!$B$44,MAX(0,BJ934*$F$1),0),0)*RATES!$L911/12+$H$17*(PARAM!$D$51/12)*RATES!$N911/100</f>
        <v>1190.0416666666667</v>
      </c>
      <c r="BJ935" s="16">
        <f t="shared" si="642"/>
        <v>-280047.94249141112</v>
      </c>
      <c r="BK935" s="15">
        <f t="shared" si="617"/>
        <v>22.170849845882874</v>
      </c>
      <c r="BL935" s="75">
        <f>BK935*(1-PARAM!$C$27)*$I$18+(MOD($B935,60)=PARAM!$B$56)*($B935&gt;(60-PARAM!$B$56))*HLOOKUP(($B935+PARAM!$B$56)/12,Loyalty,2)*$F$1*MAX(BN934,0)</f>
        <v>18.557001321003963</v>
      </c>
      <c r="BM935" s="75">
        <f>PARAM!$C$26+MAX($G$18-CHOOSE(PARAM!$B$44,MAX(0,BN934*$F$1),0),0)*RATES!$L911/12+$H$18*(PARAM!$D$51/12)*RATES!$N911/100</f>
        <v>1190.0416666666667</v>
      </c>
      <c r="BN935" s="16">
        <f t="shared" si="643"/>
        <v>-280047.94249141112</v>
      </c>
      <c r="BO935" s="15">
        <f t="shared" si="618"/>
        <v>22.170849845882874</v>
      </c>
      <c r="BP935" s="75">
        <f>BO935*(1-PARAM!$C$27)*$I$19+(MOD($B935,60)=PARAM!$B$56)*($B935&gt;(60-PARAM!$B$56))*HLOOKUP(($B935+PARAM!$B$56)/12,Loyalty,2)*$F$1*MAX(BR934,0)</f>
        <v>18.557001321003963</v>
      </c>
      <c r="BQ935" s="75">
        <f>PARAM!$C$26+MAX($G$19-CHOOSE(PARAM!$B$44,MAX(0,BR934*$F$1),0),0)*RATES!$L911/12+$H$19*(PARAM!$D$51/12)*RATES!$N911/100</f>
        <v>1190.0416666666667</v>
      </c>
      <c r="BR935" s="16">
        <f t="shared" si="644"/>
        <v>-280047.94249141112</v>
      </c>
      <c r="BS935" s="15">
        <f t="shared" si="619"/>
        <v>22.170849845882874</v>
      </c>
      <c r="BT935" s="75">
        <f>BS935*(1-PARAM!$C$27)*$I$20+(MOD($B935,60)=PARAM!$B$56)*($B935&gt;(60-PARAM!$B$56))*HLOOKUP(($B935+PARAM!$B$56)/12,Loyalty,2)*$F$1*MAX(BV934,0)</f>
        <v>18.557001321003963</v>
      </c>
      <c r="BU935" s="75">
        <f>PARAM!$C$26+MAX($G$20-CHOOSE(PARAM!$B$44,MAX(0,BV934*$F$1),0),0)*RATES!$L911/12+$H$20*(PARAM!$D$51/12)*RATES!$N911/100</f>
        <v>1190.0416666666667</v>
      </c>
      <c r="BV935" s="16">
        <f t="shared" si="645"/>
        <v>-280047.94249141112</v>
      </c>
      <c r="BW935" s="15">
        <f t="shared" si="620"/>
        <v>22.170849845882874</v>
      </c>
      <c r="BX935" s="75">
        <f>BW935*(1-PARAM!$C$27)*$I$21+(MOD($B935,60)=PARAM!$B$56)*($B935&gt;(60-PARAM!$B$56))*HLOOKUP(($B935+PARAM!$B$56)/12,Loyalty,2)*$F$1*MAX(BZ934,0)</f>
        <v>18.557001321003963</v>
      </c>
      <c r="BY935" s="75">
        <f>PARAM!$C$26+MAX($G$21-CHOOSE(PARAM!$B$44,MAX(0,BZ934*$F$1),0),0)*RATES!$L911/12+$H$21*(PARAM!$D$51/12)*RATES!$N911/100</f>
        <v>1190.0416666666667</v>
      </c>
      <c r="BZ935" s="16">
        <f t="shared" si="646"/>
        <v>-280047.94249141112</v>
      </c>
      <c r="CA935" s="15">
        <f t="shared" si="621"/>
        <v>22.170849845882874</v>
      </c>
      <c r="CB935" s="75">
        <f>CA935*(1-PARAM!$C$27)*$I$22+(MOD($B935,60)=PARAM!$B$56)*($B935&gt;(60-PARAM!$B$56))*HLOOKUP(($B935+PARAM!$B$56)/12,Loyalty,2)*$F$1*MAX(CD934,0)</f>
        <v>18.557001321003963</v>
      </c>
      <c r="CC935" s="75">
        <f>PARAM!$C$26+MAX($G$22-CHOOSE(PARAM!$B$44,MAX(0,CD934*$F$1),0),0)*RATES!$L911/12+$H$22*(PARAM!$D$51/12)*RATES!$N911/100</f>
        <v>1190.0416666666667</v>
      </c>
      <c r="CD935" s="16">
        <f t="shared" si="647"/>
        <v>-280047.94249141112</v>
      </c>
      <c r="CE935" s="33">
        <f>IF(0=MOD(B935,12/PARAM!$D$51),1,0)</f>
        <v>1</v>
      </c>
      <c r="CF935" s="15">
        <f t="shared" si="622"/>
        <v>0</v>
      </c>
      <c r="CG935" s="75">
        <f>CF935*(1-PARAM!$C$27)*$R$3+(MOD($B935/12,5)=0)*($B935&gt;60)*HLOOKUP($B935/12,Loyalty,2)*$F$1*MAX(CI934,0)</f>
        <v>0</v>
      </c>
      <c r="CH935" s="75">
        <f>PARAM!$C$26+MAX($P$3-CHOOSE(PARAM!$B$44,MAX(0,CI934*$F$1),0),0)*RATES!$L911/12+$Q$3*(PARAM!$D$51/12)*RATES!$N911/100</f>
        <v>1190.0416666666667</v>
      </c>
      <c r="CI935" s="16">
        <f>IF(CI934&gt;0,CI934*PARAM!$C$53,CI934)+CG935-CH935</f>
        <v>-296778.12500000017</v>
      </c>
      <c r="CJ935" s="15">
        <f t="shared" si="648"/>
        <v>0</v>
      </c>
      <c r="CK935" s="75">
        <f>CJ935*(1-PARAM!$C$27)*$R$4+(MOD($B935/12,5)=0)*($B935&gt;60)*HLOOKUP($B935/12,Loyalty,2)*$F$1*MAX(CM934,0)</f>
        <v>0</v>
      </c>
      <c r="CL935" s="75">
        <f>PARAM!$C$26+MAX($P$4-CHOOSE(PARAM!$B$44,MAX(0,CM934*$F$1),0),0)*RATES!$L911/12+$Q$4*(PARAM!$D$51/12)*RATES!$N911/100</f>
        <v>1190.0416666666667</v>
      </c>
      <c r="CM935" s="16">
        <f>IF(CM934&gt;0,CM934*PARAM!$C$53,CM934)+CK935-CL935</f>
        <v>-296778.12500000017</v>
      </c>
      <c r="CO935" s="176"/>
    </row>
    <row r="936" spans="1:93" x14ac:dyDescent="0.2">
      <c r="A936" t="b">
        <f t="shared" si="623"/>
        <v>0</v>
      </c>
      <c r="B936" s="33">
        <v>909</v>
      </c>
      <c r="C936" s="15">
        <f t="shared" si="624"/>
        <v>20.081305947392778</v>
      </c>
      <c r="D936" s="75">
        <f>C936*(1-PARAM!$C$27)*$I$3+(MOD($B936,60)=PARAM!$B$56)*($B936&gt;(60-PARAM!$B$56))*HLOOKUP(($B936+PARAM!$B$56)/12,Loyalty,2)*$F$1*MAX(F935,0)</f>
        <v>16.808053077967756</v>
      </c>
      <c r="E936" s="75">
        <f>PARAM!$C$26+MAX($G$3-CHOOSE(PARAM!$B$44,MAX(0,F935*$F$1),0),0)*RATES!$L912/12+$H$3*(PARAM!$D$51/12)*RATES!$N912/100</f>
        <v>1190.0416666666667</v>
      </c>
      <c r="F936" s="16">
        <f t="shared" si="625"/>
        <v>-282846.07161019882</v>
      </c>
      <c r="G936" s="15">
        <f t="shared" si="626"/>
        <v>22.035289406060361</v>
      </c>
      <c r="H936" s="75">
        <f>G936*(1-PARAM!$C$27)*$I$4+(MOD($B936,60)=PARAM!$B$56)*($B936&gt;(60-PARAM!$B$56))*HLOOKUP(($B936+PARAM!$B$56)/12,Loyalty,2)*$F$1*MAX(J935,0)</f>
        <v>18.443537232872522</v>
      </c>
      <c r="I936" s="75">
        <f>PARAM!$C$26+MAX($G$4-CHOOSE(PARAM!$B$44,MAX(0,J935*$F$1),0),0)*RATES!$L912/12+$H$4*(PARAM!$D$51/12)*RATES!$N912/100</f>
        <v>1190.0416666666667</v>
      </c>
      <c r="J936" s="16">
        <f t="shared" si="627"/>
        <v>-281325.58354926686</v>
      </c>
      <c r="K936" s="15">
        <f t="shared" si="628"/>
        <v>22.170849845882874</v>
      </c>
      <c r="L936" s="75">
        <f>K936*(1-PARAM!$C$27)*$I$5+(MOD($B936,60)=PARAM!$B$56)*($B936&gt;(60-PARAM!$B$56))*HLOOKUP(($B936+PARAM!$B$56)/12,Loyalty,2)*$F$1*MAX(N935,0)</f>
        <v>18.557001321003963</v>
      </c>
      <c r="M936" s="75">
        <f>PARAM!$C$26+MAX($G$5-CHOOSE(PARAM!$B$44,MAX(0,N935*$F$1),0),0)*RATES!$L912/12+$H$5*(PARAM!$D$51/12)*RATES!$N912/100</f>
        <v>1190.0416666666667</v>
      </c>
      <c r="N936" s="16">
        <f t="shared" si="629"/>
        <v>-281219.42715675681</v>
      </c>
      <c r="O936" s="15">
        <f t="shared" si="630"/>
        <v>22.170849845882874</v>
      </c>
      <c r="P936" s="75">
        <f>O936*(1-PARAM!$C$27)*$I$6+(MOD($B936,60)=PARAM!$B$56)*($B936&gt;(60-PARAM!$B$56))*HLOOKUP(($B936+PARAM!$B$56)/12,Loyalty,2)*$F$1*MAX(R935,0)</f>
        <v>18.557001321003963</v>
      </c>
      <c r="Q936" s="75">
        <f>PARAM!$C$26+MAX($G$6-CHOOSE(PARAM!$B$44,MAX(0,R935*$F$1),0),0)*RATES!$L912/12+$H$6*(PARAM!$D$51/12)*RATES!$N912/100</f>
        <v>1190.0416666666667</v>
      </c>
      <c r="R936" s="16">
        <f t="shared" si="631"/>
        <v>-281219.42715675681</v>
      </c>
      <c r="S936" s="15">
        <f t="shared" si="606"/>
        <v>22.170849845882874</v>
      </c>
      <c r="T936" s="75">
        <f>S936*(1-PARAM!$C$27)*$I$7+(MOD($B936,60)=PARAM!$B$56)*($B936&gt;(60-PARAM!$B$56))*HLOOKUP(($B936+PARAM!$B$56)/12,Loyalty,2)*$F$1*MAX(V935,0)</f>
        <v>18.557001321003963</v>
      </c>
      <c r="U936" s="75">
        <f>PARAM!$C$26+MAX($G$7-CHOOSE(PARAM!$B$44,MAX(0,V935*$F$1),0),0)*RATES!$L912/12+$H$7*(PARAM!$D$51/12)*RATES!$N912/100</f>
        <v>1190.0416666666667</v>
      </c>
      <c r="V936" s="16">
        <f t="shared" si="632"/>
        <v>-281219.42715675681</v>
      </c>
      <c r="W936" s="15">
        <f t="shared" si="607"/>
        <v>22.170849845882874</v>
      </c>
      <c r="X936" s="75">
        <f>W936*(1-PARAM!$C$27)*$I$8+(MOD($B936,60)=PARAM!$B$56)*($B936&gt;(60-PARAM!$B$56))*HLOOKUP(($B936+PARAM!$B$56)/12,Loyalty,2)*$F$1*MAX(Z935,0)</f>
        <v>18.557001321003963</v>
      </c>
      <c r="Y936" s="75">
        <f>PARAM!$C$26+MAX($G$8-CHOOSE(PARAM!$B$44,MAX(0,Z935*$F$1),0),0)*RATES!$L912/12+$H$8*(PARAM!$D$51/12)*RATES!$N912/100</f>
        <v>1190.0416666666667</v>
      </c>
      <c r="Z936" s="16">
        <f t="shared" si="633"/>
        <v>-281219.42715675681</v>
      </c>
      <c r="AA936" s="15">
        <f t="shared" si="608"/>
        <v>22.170849845882874</v>
      </c>
      <c r="AB936" s="75">
        <f>AA936*(1-PARAM!$C$27)*$I$9+(MOD($B936,60)=PARAM!$B$56)*($B936&gt;(60-PARAM!$B$56))*HLOOKUP(($B936+PARAM!$B$56)/12,Loyalty,2)*$F$1*MAX(AD935,0)</f>
        <v>18.557001321003963</v>
      </c>
      <c r="AC936" s="75">
        <f>PARAM!$C$26+MAX($G$9-CHOOSE(PARAM!$B$44,MAX(0,AD935*$F$1),0),0)*RATES!$L912/12+$H$9*(PARAM!$D$51/12)*RATES!$N912/100</f>
        <v>1190.0416666666667</v>
      </c>
      <c r="AD936" s="16">
        <f t="shared" si="634"/>
        <v>-281219.42715675681</v>
      </c>
      <c r="AE936" s="15">
        <f t="shared" si="609"/>
        <v>22.170849845882874</v>
      </c>
      <c r="AF936" s="75">
        <f>AE936*(1-PARAM!$C$27)*$I$10+(MOD($B936,60)=PARAM!$B$56)*($B936&gt;(60-PARAM!$B$56))*HLOOKUP(($B936+PARAM!$B$56)/12,Loyalty,2)*$F$1*MAX(AH935,0)</f>
        <v>18.557001321003963</v>
      </c>
      <c r="AG936" s="75">
        <f>PARAM!$C$26+MAX($G$10-CHOOSE(PARAM!$B$44,MAX(0,AH935*$F$1),0),0)*RATES!$L912/12+$H$10*(PARAM!$D$51/12)*RATES!$N912/100</f>
        <v>1190.0416666666667</v>
      </c>
      <c r="AH936" s="16">
        <f t="shared" si="635"/>
        <v>-281219.42715675681</v>
      </c>
      <c r="AI936" s="15">
        <f t="shared" si="610"/>
        <v>22.170849845882874</v>
      </c>
      <c r="AJ936" s="75">
        <f>AI936*(1-PARAM!$C$27)*$I$11+(MOD($B936,60)=PARAM!$B$56)*($B936&gt;(60-PARAM!$B$56))*HLOOKUP(($B936+PARAM!$B$56)/12,Loyalty,2)*$F$1*MAX(AL935,0)</f>
        <v>18.557001321003963</v>
      </c>
      <c r="AK936" s="75">
        <f>PARAM!$C$26+MAX($G$11-CHOOSE(PARAM!$B$44,MAX(0,AL935*$F$1),0),0)*RATES!$L912/12+$H$11*(PARAM!$D$51/12)*RATES!$N912/100</f>
        <v>1190.0416666666667</v>
      </c>
      <c r="AL936" s="16">
        <f t="shared" si="636"/>
        <v>-281219.42715675681</v>
      </c>
      <c r="AM936" s="15">
        <f t="shared" si="611"/>
        <v>22.170849845882874</v>
      </c>
      <c r="AN936" s="75">
        <f>AM936*(1-PARAM!$C$27)*$I$12+(MOD($B936,60)=PARAM!$B$56)*($B936&gt;(60-PARAM!$B$56))*HLOOKUP(($B936+PARAM!$B$56)/12,Loyalty,2)*$F$1*MAX(AP935,0)</f>
        <v>18.557001321003963</v>
      </c>
      <c r="AO936" s="75">
        <f>PARAM!$C$26+MAX($G$12-CHOOSE(PARAM!$B$44,MAX(0,AP935*$F$1),0),0)*RATES!$L912/12+$H$12*(PARAM!$D$51/12)*RATES!$N912/100</f>
        <v>1190.0416666666667</v>
      </c>
      <c r="AP936" s="16">
        <f t="shared" si="637"/>
        <v>-281219.42715675681</v>
      </c>
      <c r="AQ936" s="15">
        <f t="shared" si="612"/>
        <v>22.170849845882874</v>
      </c>
      <c r="AR936" s="75">
        <f>AQ936*(1-PARAM!$C$27)*$I$13+(MOD($B936,60)=PARAM!$B$56)*($B936&gt;(60-PARAM!$B$56))*HLOOKUP(($B936+PARAM!$B$56)/12,Loyalty,2)*$F$1*MAX(AT935,0)</f>
        <v>18.557001321003963</v>
      </c>
      <c r="AS936" s="75">
        <f>PARAM!$C$26+MAX($G$13-CHOOSE(PARAM!$B$44,MAX(0,AT935*$F$1),0),0)*RATES!$L912/12+$H$13*(PARAM!$D$51/12)*RATES!$N912/100</f>
        <v>1190.0416666666667</v>
      </c>
      <c r="AT936" s="16">
        <f t="shared" si="638"/>
        <v>-281219.42715675681</v>
      </c>
      <c r="AU936" s="15">
        <f t="shared" si="613"/>
        <v>22.170849845882874</v>
      </c>
      <c r="AV936" s="75">
        <f>AU936*(1-PARAM!$C$27)*$I$14+(MOD($B936,60)=PARAM!$B$56)*($B936&gt;(60-PARAM!$B$56))*HLOOKUP(($B936+PARAM!$B$56)/12,Loyalty,2)*$F$1*MAX(AX935,0)</f>
        <v>18.557001321003963</v>
      </c>
      <c r="AW936" s="75">
        <f>PARAM!$C$26+MAX($G$14-CHOOSE(PARAM!$B$44,MAX(0,AX935*$F$1),0),0)*RATES!$L912/12+$H$14*(PARAM!$D$51/12)*RATES!$N912/100</f>
        <v>1190.0416666666667</v>
      </c>
      <c r="AX936" s="16">
        <f t="shared" si="639"/>
        <v>-281219.42715675681</v>
      </c>
      <c r="AY936" s="15">
        <f t="shared" si="614"/>
        <v>22.170849845882874</v>
      </c>
      <c r="AZ936" s="75">
        <f>AY936*(1-PARAM!$C$27)*$I$15+(MOD($B936,60)=PARAM!$B$56)*($B936&gt;(60-PARAM!$B$56))*HLOOKUP(($B936+PARAM!$B$56)/12,Loyalty,2)*$F$1*MAX(BB935,0)</f>
        <v>18.557001321003963</v>
      </c>
      <c r="BA936" s="75">
        <f>PARAM!$C$26+MAX($G$15-CHOOSE(PARAM!$B$44,MAX(0,BB935*$F$1),0),0)*RATES!$L912/12+$H$15*(PARAM!$D$51/12)*RATES!$N912/100</f>
        <v>1190.0416666666667</v>
      </c>
      <c r="BB936" s="16">
        <f t="shared" si="640"/>
        <v>-281219.42715675681</v>
      </c>
      <c r="BC936" s="15">
        <f t="shared" si="615"/>
        <v>22.170849845882874</v>
      </c>
      <c r="BD936" s="75">
        <f>BC936*(1-PARAM!$C$27)*$I$16+(MOD($B936,60)=PARAM!$B$56)*($B936&gt;(60-PARAM!$B$56))*HLOOKUP(($B936+PARAM!$B$56)/12,Loyalty,2)*$F$1*MAX(BF935,0)</f>
        <v>18.557001321003963</v>
      </c>
      <c r="BE936" s="75">
        <f>PARAM!$C$26+MAX($G$16-CHOOSE(PARAM!$B$44,MAX(0,BF935*$F$1),0),0)*RATES!$L912/12+$H$16*(PARAM!$D$51/12)*RATES!$N912/100</f>
        <v>1190.0416666666667</v>
      </c>
      <c r="BF936" s="16">
        <f t="shared" si="641"/>
        <v>-281219.42715675681</v>
      </c>
      <c r="BG936" s="15">
        <f t="shared" si="616"/>
        <v>22.170849845882874</v>
      </c>
      <c r="BH936" s="75">
        <f>BG936*(1-PARAM!$C$27)*$I$17+(MOD($B936,60)=PARAM!$B$56)*($B936&gt;(60-PARAM!$B$56))*HLOOKUP(($B936+PARAM!$B$56)/12,Loyalty,2)*$F$1*MAX(BJ935,0)</f>
        <v>18.557001321003963</v>
      </c>
      <c r="BI936" s="75">
        <f>PARAM!$C$26+MAX($G$17-CHOOSE(PARAM!$B$44,MAX(0,BJ935*$F$1),0),0)*RATES!$L912/12+$H$17*(PARAM!$D$51/12)*RATES!$N912/100</f>
        <v>1190.0416666666667</v>
      </c>
      <c r="BJ936" s="16">
        <f t="shared" si="642"/>
        <v>-281219.42715675681</v>
      </c>
      <c r="BK936" s="15">
        <f t="shared" si="617"/>
        <v>22.170849845882874</v>
      </c>
      <c r="BL936" s="75">
        <f>BK936*(1-PARAM!$C$27)*$I$18+(MOD($B936,60)=PARAM!$B$56)*($B936&gt;(60-PARAM!$B$56))*HLOOKUP(($B936+PARAM!$B$56)/12,Loyalty,2)*$F$1*MAX(BN935,0)</f>
        <v>18.557001321003963</v>
      </c>
      <c r="BM936" s="75">
        <f>PARAM!$C$26+MAX($G$18-CHOOSE(PARAM!$B$44,MAX(0,BN935*$F$1),0),0)*RATES!$L912/12+$H$18*(PARAM!$D$51/12)*RATES!$N912/100</f>
        <v>1190.0416666666667</v>
      </c>
      <c r="BN936" s="16">
        <f t="shared" si="643"/>
        <v>-281219.42715675681</v>
      </c>
      <c r="BO936" s="15">
        <f t="shared" si="618"/>
        <v>22.170849845882874</v>
      </c>
      <c r="BP936" s="75">
        <f>BO936*(1-PARAM!$C$27)*$I$19+(MOD($B936,60)=PARAM!$B$56)*($B936&gt;(60-PARAM!$B$56))*HLOOKUP(($B936+PARAM!$B$56)/12,Loyalty,2)*$F$1*MAX(BR935,0)</f>
        <v>18.557001321003963</v>
      </c>
      <c r="BQ936" s="75">
        <f>PARAM!$C$26+MAX($G$19-CHOOSE(PARAM!$B$44,MAX(0,BR935*$F$1),0),0)*RATES!$L912/12+$H$19*(PARAM!$D$51/12)*RATES!$N912/100</f>
        <v>1190.0416666666667</v>
      </c>
      <c r="BR936" s="16">
        <f t="shared" si="644"/>
        <v>-281219.42715675681</v>
      </c>
      <c r="BS936" s="15">
        <f t="shared" si="619"/>
        <v>22.170849845882874</v>
      </c>
      <c r="BT936" s="75">
        <f>BS936*(1-PARAM!$C$27)*$I$20+(MOD($B936,60)=PARAM!$B$56)*($B936&gt;(60-PARAM!$B$56))*HLOOKUP(($B936+PARAM!$B$56)/12,Loyalty,2)*$F$1*MAX(BV935,0)</f>
        <v>18.557001321003963</v>
      </c>
      <c r="BU936" s="75">
        <f>PARAM!$C$26+MAX($G$20-CHOOSE(PARAM!$B$44,MAX(0,BV935*$F$1),0),0)*RATES!$L912/12+$H$20*(PARAM!$D$51/12)*RATES!$N912/100</f>
        <v>1190.0416666666667</v>
      </c>
      <c r="BV936" s="16">
        <f t="shared" si="645"/>
        <v>-281219.42715675681</v>
      </c>
      <c r="BW936" s="15">
        <f t="shared" si="620"/>
        <v>22.170849845882874</v>
      </c>
      <c r="BX936" s="75">
        <f>BW936*(1-PARAM!$C$27)*$I$21+(MOD($B936,60)=PARAM!$B$56)*($B936&gt;(60-PARAM!$B$56))*HLOOKUP(($B936+PARAM!$B$56)/12,Loyalty,2)*$F$1*MAX(BZ935,0)</f>
        <v>18.557001321003963</v>
      </c>
      <c r="BY936" s="75">
        <f>PARAM!$C$26+MAX($G$21-CHOOSE(PARAM!$B$44,MAX(0,BZ935*$F$1),0),0)*RATES!$L912/12+$H$21*(PARAM!$D$51/12)*RATES!$N912/100</f>
        <v>1190.0416666666667</v>
      </c>
      <c r="BZ936" s="16">
        <f t="shared" si="646"/>
        <v>-281219.42715675681</v>
      </c>
      <c r="CA936" s="15">
        <f t="shared" si="621"/>
        <v>22.170849845882874</v>
      </c>
      <c r="CB936" s="75">
        <f>CA936*(1-PARAM!$C$27)*$I$22+(MOD($B936,60)=PARAM!$B$56)*($B936&gt;(60-PARAM!$B$56))*HLOOKUP(($B936+PARAM!$B$56)/12,Loyalty,2)*$F$1*MAX(CD935,0)</f>
        <v>18.557001321003963</v>
      </c>
      <c r="CC936" s="75">
        <f>PARAM!$C$26+MAX($G$22-CHOOSE(PARAM!$B$44,MAX(0,CD935*$F$1),0),0)*RATES!$L912/12+$H$22*(PARAM!$D$51/12)*RATES!$N912/100</f>
        <v>1190.0416666666667</v>
      </c>
      <c r="CD936" s="16">
        <f t="shared" si="647"/>
        <v>-281219.42715675681</v>
      </c>
      <c r="CE936" s="33">
        <f>IF(0=MOD(B936,12/PARAM!$D$51),1,0)</f>
        <v>1</v>
      </c>
      <c r="CF936" s="15">
        <f t="shared" si="622"/>
        <v>0</v>
      </c>
      <c r="CG936" s="75">
        <f>CF936*(1-PARAM!$C$27)*$R$3+(MOD($B936/12,5)=0)*($B936&gt;60)*HLOOKUP($B936/12,Loyalty,2)*$F$1*MAX(CI935,0)</f>
        <v>0</v>
      </c>
      <c r="CH936" s="75">
        <f>PARAM!$C$26+MAX($P$3-CHOOSE(PARAM!$B$44,MAX(0,CI935*$F$1),0),0)*RATES!$L912/12+$Q$3*(PARAM!$D$51/12)*RATES!$N912/100</f>
        <v>1190.0416666666667</v>
      </c>
      <c r="CI936" s="16">
        <f>IF(CI935&gt;0,CI935*PARAM!$C$53,CI935)+CG936-CH936</f>
        <v>-297968.16666666686</v>
      </c>
      <c r="CJ936" s="15">
        <f t="shared" si="648"/>
        <v>0</v>
      </c>
      <c r="CK936" s="75">
        <f>CJ936*(1-PARAM!$C$27)*$R$4+(MOD($B936/12,5)=0)*($B936&gt;60)*HLOOKUP($B936/12,Loyalty,2)*$F$1*MAX(CM935,0)</f>
        <v>0</v>
      </c>
      <c r="CL936" s="75">
        <f>PARAM!$C$26+MAX($P$4-CHOOSE(PARAM!$B$44,MAX(0,CM935*$F$1),0),0)*RATES!$L912/12+$Q$4*(PARAM!$D$51/12)*RATES!$N912/100</f>
        <v>1190.0416666666667</v>
      </c>
      <c r="CM936" s="16">
        <f>IF(CM935&gt;0,CM935*PARAM!$C$53,CM935)+CK936-CL936</f>
        <v>-297968.16666666686</v>
      </c>
      <c r="CO936" s="176"/>
    </row>
    <row r="937" spans="1:93" x14ac:dyDescent="0.2">
      <c r="A937" t="b">
        <f t="shared" si="623"/>
        <v>0</v>
      </c>
      <c r="B937" s="33">
        <v>910</v>
      </c>
      <c r="C937" s="15">
        <f t="shared" si="624"/>
        <v>20.081305947392778</v>
      </c>
      <c r="D937" s="75">
        <f>C937*(1-PARAM!$C$27)*$I$3+(MOD($B937,60)=PARAM!$B$56)*($B937&gt;(60-PARAM!$B$56))*HLOOKUP(($B937+PARAM!$B$56)/12,Loyalty,2)*$F$1*MAX(F936,0)</f>
        <v>16.808053077967756</v>
      </c>
      <c r="E937" s="75">
        <f>PARAM!$C$26+MAX($G$3-CHOOSE(PARAM!$B$44,MAX(0,F936*$F$1),0),0)*RATES!$L913/12+$H$3*(PARAM!$D$51/12)*RATES!$N913/100</f>
        <v>1190.0416666666667</v>
      </c>
      <c r="F937" s="16">
        <f t="shared" si="625"/>
        <v>-284019.30522378755</v>
      </c>
      <c r="G937" s="15">
        <f t="shared" si="626"/>
        <v>22.035289406060361</v>
      </c>
      <c r="H937" s="75">
        <f>G937*(1-PARAM!$C$27)*$I$4+(MOD($B937,60)=PARAM!$B$56)*($B937&gt;(60-PARAM!$B$56))*HLOOKUP(($B937+PARAM!$B$56)/12,Loyalty,2)*$F$1*MAX(J936,0)</f>
        <v>18.443537232872522</v>
      </c>
      <c r="I937" s="75">
        <f>PARAM!$C$26+MAX($G$4-CHOOSE(PARAM!$B$44,MAX(0,J936*$F$1),0),0)*RATES!$L913/12+$H$4*(PARAM!$D$51/12)*RATES!$N913/100</f>
        <v>1190.0416666666667</v>
      </c>
      <c r="J937" s="16">
        <f t="shared" si="627"/>
        <v>-282497.18167870067</v>
      </c>
      <c r="K937" s="15">
        <f t="shared" si="628"/>
        <v>22.170849845882874</v>
      </c>
      <c r="L937" s="75">
        <f>K937*(1-PARAM!$C$27)*$I$5+(MOD($B937,60)=PARAM!$B$56)*($B937&gt;(60-PARAM!$B$56))*HLOOKUP(($B937+PARAM!$B$56)/12,Loyalty,2)*$F$1*MAX(N936,0)</f>
        <v>18.557001321003963</v>
      </c>
      <c r="M937" s="75">
        <f>PARAM!$C$26+MAX($G$5-CHOOSE(PARAM!$B$44,MAX(0,N936*$F$1),0),0)*RATES!$L913/12+$H$5*(PARAM!$D$51/12)*RATES!$N913/100</f>
        <v>1190.0416666666667</v>
      </c>
      <c r="N937" s="16">
        <f t="shared" si="629"/>
        <v>-282390.9118221025</v>
      </c>
      <c r="O937" s="15">
        <f t="shared" si="630"/>
        <v>22.170849845882874</v>
      </c>
      <c r="P937" s="75">
        <f>O937*(1-PARAM!$C$27)*$I$6+(MOD($B937,60)=PARAM!$B$56)*($B937&gt;(60-PARAM!$B$56))*HLOOKUP(($B937+PARAM!$B$56)/12,Loyalty,2)*$F$1*MAX(R936,0)</f>
        <v>18.557001321003963</v>
      </c>
      <c r="Q937" s="75">
        <f>PARAM!$C$26+MAX($G$6-CHOOSE(PARAM!$B$44,MAX(0,R936*$F$1),0),0)*RATES!$L913/12+$H$6*(PARAM!$D$51/12)*RATES!$N913/100</f>
        <v>1190.0416666666667</v>
      </c>
      <c r="R937" s="16">
        <f t="shared" si="631"/>
        <v>-282390.9118221025</v>
      </c>
      <c r="S937" s="15">
        <f t="shared" si="606"/>
        <v>22.170849845882874</v>
      </c>
      <c r="T937" s="75">
        <f>S937*(1-PARAM!$C$27)*$I$7+(MOD($B937,60)=PARAM!$B$56)*($B937&gt;(60-PARAM!$B$56))*HLOOKUP(($B937+PARAM!$B$56)/12,Loyalty,2)*$F$1*MAX(V936,0)</f>
        <v>18.557001321003963</v>
      </c>
      <c r="U937" s="75">
        <f>PARAM!$C$26+MAX($G$7-CHOOSE(PARAM!$B$44,MAX(0,V936*$F$1),0),0)*RATES!$L913/12+$H$7*(PARAM!$D$51/12)*RATES!$N913/100</f>
        <v>1190.0416666666667</v>
      </c>
      <c r="V937" s="16">
        <f t="shared" si="632"/>
        <v>-282390.9118221025</v>
      </c>
      <c r="W937" s="15">
        <f t="shared" si="607"/>
        <v>22.170849845882874</v>
      </c>
      <c r="X937" s="75">
        <f>W937*(1-PARAM!$C$27)*$I$8+(MOD($B937,60)=PARAM!$B$56)*($B937&gt;(60-PARAM!$B$56))*HLOOKUP(($B937+PARAM!$B$56)/12,Loyalty,2)*$F$1*MAX(Z936,0)</f>
        <v>18.557001321003963</v>
      </c>
      <c r="Y937" s="75">
        <f>PARAM!$C$26+MAX($G$8-CHOOSE(PARAM!$B$44,MAX(0,Z936*$F$1),0),0)*RATES!$L913/12+$H$8*(PARAM!$D$51/12)*RATES!$N913/100</f>
        <v>1190.0416666666667</v>
      </c>
      <c r="Z937" s="16">
        <f t="shared" si="633"/>
        <v>-282390.9118221025</v>
      </c>
      <c r="AA937" s="15">
        <f t="shared" si="608"/>
        <v>22.170849845882874</v>
      </c>
      <c r="AB937" s="75">
        <f>AA937*(1-PARAM!$C$27)*$I$9+(MOD($B937,60)=PARAM!$B$56)*($B937&gt;(60-PARAM!$B$56))*HLOOKUP(($B937+PARAM!$B$56)/12,Loyalty,2)*$F$1*MAX(AD936,0)</f>
        <v>18.557001321003963</v>
      </c>
      <c r="AC937" s="75">
        <f>PARAM!$C$26+MAX($G$9-CHOOSE(PARAM!$B$44,MAX(0,AD936*$F$1),0),0)*RATES!$L913/12+$H$9*(PARAM!$D$51/12)*RATES!$N913/100</f>
        <v>1190.0416666666667</v>
      </c>
      <c r="AD937" s="16">
        <f t="shared" si="634"/>
        <v>-282390.9118221025</v>
      </c>
      <c r="AE937" s="15">
        <f t="shared" si="609"/>
        <v>22.170849845882874</v>
      </c>
      <c r="AF937" s="75">
        <f>AE937*(1-PARAM!$C$27)*$I$10+(MOD($B937,60)=PARAM!$B$56)*($B937&gt;(60-PARAM!$B$56))*HLOOKUP(($B937+PARAM!$B$56)/12,Loyalty,2)*$F$1*MAX(AH936,0)</f>
        <v>18.557001321003963</v>
      </c>
      <c r="AG937" s="75">
        <f>PARAM!$C$26+MAX($G$10-CHOOSE(PARAM!$B$44,MAX(0,AH936*$F$1),0),0)*RATES!$L913/12+$H$10*(PARAM!$D$51/12)*RATES!$N913/100</f>
        <v>1190.0416666666667</v>
      </c>
      <c r="AH937" s="16">
        <f t="shared" si="635"/>
        <v>-282390.9118221025</v>
      </c>
      <c r="AI937" s="15">
        <f t="shared" si="610"/>
        <v>22.170849845882874</v>
      </c>
      <c r="AJ937" s="75">
        <f>AI937*(1-PARAM!$C$27)*$I$11+(MOD($B937,60)=PARAM!$B$56)*($B937&gt;(60-PARAM!$B$56))*HLOOKUP(($B937+PARAM!$B$56)/12,Loyalty,2)*$F$1*MAX(AL936,0)</f>
        <v>18.557001321003963</v>
      </c>
      <c r="AK937" s="75">
        <f>PARAM!$C$26+MAX($G$11-CHOOSE(PARAM!$B$44,MAX(0,AL936*$F$1),0),0)*RATES!$L913/12+$H$11*(PARAM!$D$51/12)*RATES!$N913/100</f>
        <v>1190.0416666666667</v>
      </c>
      <c r="AL937" s="16">
        <f t="shared" si="636"/>
        <v>-282390.9118221025</v>
      </c>
      <c r="AM937" s="15">
        <f t="shared" si="611"/>
        <v>22.170849845882874</v>
      </c>
      <c r="AN937" s="75">
        <f>AM937*(1-PARAM!$C$27)*$I$12+(MOD($B937,60)=PARAM!$B$56)*($B937&gt;(60-PARAM!$B$56))*HLOOKUP(($B937+PARAM!$B$56)/12,Loyalty,2)*$F$1*MAX(AP936,0)</f>
        <v>18.557001321003963</v>
      </c>
      <c r="AO937" s="75">
        <f>PARAM!$C$26+MAX($G$12-CHOOSE(PARAM!$B$44,MAX(0,AP936*$F$1),0),0)*RATES!$L913/12+$H$12*(PARAM!$D$51/12)*RATES!$N913/100</f>
        <v>1190.0416666666667</v>
      </c>
      <c r="AP937" s="16">
        <f t="shared" si="637"/>
        <v>-282390.9118221025</v>
      </c>
      <c r="AQ937" s="15">
        <f t="shared" si="612"/>
        <v>22.170849845882874</v>
      </c>
      <c r="AR937" s="75">
        <f>AQ937*(1-PARAM!$C$27)*$I$13+(MOD($B937,60)=PARAM!$B$56)*($B937&gt;(60-PARAM!$B$56))*HLOOKUP(($B937+PARAM!$B$56)/12,Loyalty,2)*$F$1*MAX(AT936,0)</f>
        <v>18.557001321003963</v>
      </c>
      <c r="AS937" s="75">
        <f>PARAM!$C$26+MAX($G$13-CHOOSE(PARAM!$B$44,MAX(0,AT936*$F$1),0),0)*RATES!$L913/12+$H$13*(PARAM!$D$51/12)*RATES!$N913/100</f>
        <v>1190.0416666666667</v>
      </c>
      <c r="AT937" s="16">
        <f t="shared" si="638"/>
        <v>-282390.9118221025</v>
      </c>
      <c r="AU937" s="15">
        <f t="shared" si="613"/>
        <v>22.170849845882874</v>
      </c>
      <c r="AV937" s="75">
        <f>AU937*(1-PARAM!$C$27)*$I$14+(MOD($B937,60)=PARAM!$B$56)*($B937&gt;(60-PARAM!$B$56))*HLOOKUP(($B937+PARAM!$B$56)/12,Loyalty,2)*$F$1*MAX(AX936,0)</f>
        <v>18.557001321003963</v>
      </c>
      <c r="AW937" s="75">
        <f>PARAM!$C$26+MAX($G$14-CHOOSE(PARAM!$B$44,MAX(0,AX936*$F$1),0),0)*RATES!$L913/12+$H$14*(PARAM!$D$51/12)*RATES!$N913/100</f>
        <v>1190.0416666666667</v>
      </c>
      <c r="AX937" s="16">
        <f t="shared" si="639"/>
        <v>-282390.9118221025</v>
      </c>
      <c r="AY937" s="15">
        <f t="shared" si="614"/>
        <v>22.170849845882874</v>
      </c>
      <c r="AZ937" s="75">
        <f>AY937*(1-PARAM!$C$27)*$I$15+(MOD($B937,60)=PARAM!$B$56)*($B937&gt;(60-PARAM!$B$56))*HLOOKUP(($B937+PARAM!$B$56)/12,Loyalty,2)*$F$1*MAX(BB936,0)</f>
        <v>18.557001321003963</v>
      </c>
      <c r="BA937" s="75">
        <f>PARAM!$C$26+MAX($G$15-CHOOSE(PARAM!$B$44,MAX(0,BB936*$F$1),0),0)*RATES!$L913/12+$H$15*(PARAM!$D$51/12)*RATES!$N913/100</f>
        <v>1190.0416666666667</v>
      </c>
      <c r="BB937" s="16">
        <f t="shared" si="640"/>
        <v>-282390.9118221025</v>
      </c>
      <c r="BC937" s="15">
        <f t="shared" si="615"/>
        <v>22.170849845882874</v>
      </c>
      <c r="BD937" s="75">
        <f>BC937*(1-PARAM!$C$27)*$I$16+(MOD($B937,60)=PARAM!$B$56)*($B937&gt;(60-PARAM!$B$56))*HLOOKUP(($B937+PARAM!$B$56)/12,Loyalty,2)*$F$1*MAX(BF936,0)</f>
        <v>18.557001321003963</v>
      </c>
      <c r="BE937" s="75">
        <f>PARAM!$C$26+MAX($G$16-CHOOSE(PARAM!$B$44,MAX(0,BF936*$F$1),0),0)*RATES!$L913/12+$H$16*(PARAM!$D$51/12)*RATES!$N913/100</f>
        <v>1190.0416666666667</v>
      </c>
      <c r="BF937" s="16">
        <f t="shared" si="641"/>
        <v>-282390.9118221025</v>
      </c>
      <c r="BG937" s="15">
        <f t="shared" si="616"/>
        <v>22.170849845882874</v>
      </c>
      <c r="BH937" s="75">
        <f>BG937*(1-PARAM!$C$27)*$I$17+(MOD($B937,60)=PARAM!$B$56)*($B937&gt;(60-PARAM!$B$56))*HLOOKUP(($B937+PARAM!$B$56)/12,Loyalty,2)*$F$1*MAX(BJ936,0)</f>
        <v>18.557001321003963</v>
      </c>
      <c r="BI937" s="75">
        <f>PARAM!$C$26+MAX($G$17-CHOOSE(PARAM!$B$44,MAX(0,BJ936*$F$1),0),0)*RATES!$L913/12+$H$17*(PARAM!$D$51/12)*RATES!$N913/100</f>
        <v>1190.0416666666667</v>
      </c>
      <c r="BJ937" s="16">
        <f t="shared" si="642"/>
        <v>-282390.9118221025</v>
      </c>
      <c r="BK937" s="15">
        <f t="shared" si="617"/>
        <v>22.170849845882874</v>
      </c>
      <c r="BL937" s="75">
        <f>BK937*(1-PARAM!$C$27)*$I$18+(MOD($B937,60)=PARAM!$B$56)*($B937&gt;(60-PARAM!$B$56))*HLOOKUP(($B937+PARAM!$B$56)/12,Loyalty,2)*$F$1*MAX(BN936,0)</f>
        <v>18.557001321003963</v>
      </c>
      <c r="BM937" s="75">
        <f>PARAM!$C$26+MAX($G$18-CHOOSE(PARAM!$B$44,MAX(0,BN936*$F$1),0),0)*RATES!$L913/12+$H$18*(PARAM!$D$51/12)*RATES!$N913/100</f>
        <v>1190.0416666666667</v>
      </c>
      <c r="BN937" s="16">
        <f t="shared" si="643"/>
        <v>-282390.9118221025</v>
      </c>
      <c r="BO937" s="15">
        <f t="shared" si="618"/>
        <v>22.170849845882874</v>
      </c>
      <c r="BP937" s="75">
        <f>BO937*(1-PARAM!$C$27)*$I$19+(MOD($B937,60)=PARAM!$B$56)*($B937&gt;(60-PARAM!$B$56))*HLOOKUP(($B937+PARAM!$B$56)/12,Loyalty,2)*$F$1*MAX(BR936,0)</f>
        <v>18.557001321003963</v>
      </c>
      <c r="BQ937" s="75">
        <f>PARAM!$C$26+MAX($G$19-CHOOSE(PARAM!$B$44,MAX(0,BR936*$F$1),0),0)*RATES!$L913/12+$H$19*(PARAM!$D$51/12)*RATES!$N913/100</f>
        <v>1190.0416666666667</v>
      </c>
      <c r="BR937" s="16">
        <f t="shared" si="644"/>
        <v>-282390.9118221025</v>
      </c>
      <c r="BS937" s="15">
        <f t="shared" si="619"/>
        <v>22.170849845882874</v>
      </c>
      <c r="BT937" s="75">
        <f>BS937*(1-PARAM!$C$27)*$I$20+(MOD($B937,60)=PARAM!$B$56)*($B937&gt;(60-PARAM!$B$56))*HLOOKUP(($B937+PARAM!$B$56)/12,Loyalty,2)*$F$1*MAX(BV936,0)</f>
        <v>18.557001321003963</v>
      </c>
      <c r="BU937" s="75">
        <f>PARAM!$C$26+MAX($G$20-CHOOSE(PARAM!$B$44,MAX(0,BV936*$F$1),0),0)*RATES!$L913/12+$H$20*(PARAM!$D$51/12)*RATES!$N913/100</f>
        <v>1190.0416666666667</v>
      </c>
      <c r="BV937" s="16">
        <f t="shared" si="645"/>
        <v>-282390.9118221025</v>
      </c>
      <c r="BW937" s="15">
        <f t="shared" si="620"/>
        <v>22.170849845882874</v>
      </c>
      <c r="BX937" s="75">
        <f>BW937*(1-PARAM!$C$27)*$I$21+(MOD($B937,60)=PARAM!$B$56)*($B937&gt;(60-PARAM!$B$56))*HLOOKUP(($B937+PARAM!$B$56)/12,Loyalty,2)*$F$1*MAX(BZ936,0)</f>
        <v>18.557001321003963</v>
      </c>
      <c r="BY937" s="75">
        <f>PARAM!$C$26+MAX($G$21-CHOOSE(PARAM!$B$44,MAX(0,BZ936*$F$1),0),0)*RATES!$L913/12+$H$21*(PARAM!$D$51/12)*RATES!$N913/100</f>
        <v>1190.0416666666667</v>
      </c>
      <c r="BZ937" s="16">
        <f t="shared" si="646"/>
        <v>-282390.9118221025</v>
      </c>
      <c r="CA937" s="15">
        <f t="shared" si="621"/>
        <v>22.170849845882874</v>
      </c>
      <c r="CB937" s="75">
        <f>CA937*(1-PARAM!$C$27)*$I$22+(MOD($B937,60)=PARAM!$B$56)*($B937&gt;(60-PARAM!$B$56))*HLOOKUP(($B937+PARAM!$B$56)/12,Loyalty,2)*$F$1*MAX(CD936,0)</f>
        <v>18.557001321003963</v>
      </c>
      <c r="CC937" s="75">
        <f>PARAM!$C$26+MAX($G$22-CHOOSE(PARAM!$B$44,MAX(0,CD936*$F$1),0),0)*RATES!$L913/12+$H$22*(PARAM!$D$51/12)*RATES!$N913/100</f>
        <v>1190.0416666666667</v>
      </c>
      <c r="CD937" s="16">
        <f t="shared" si="647"/>
        <v>-282390.9118221025</v>
      </c>
      <c r="CE937" s="33">
        <f>IF(0=MOD(B937,12/PARAM!$D$51),1,0)</f>
        <v>1</v>
      </c>
      <c r="CF937" s="15">
        <f t="shared" si="622"/>
        <v>0</v>
      </c>
      <c r="CG937" s="75">
        <f>CF937*(1-PARAM!$C$27)*$R$3+(MOD($B937/12,5)=0)*($B937&gt;60)*HLOOKUP($B937/12,Loyalty,2)*$F$1*MAX(CI936,0)</f>
        <v>0</v>
      </c>
      <c r="CH937" s="75">
        <f>PARAM!$C$26+MAX($P$3-CHOOSE(PARAM!$B$44,MAX(0,CI936*$F$1),0),0)*RATES!$L913/12+$Q$3*(PARAM!$D$51/12)*RATES!$N913/100</f>
        <v>1190.0416666666667</v>
      </c>
      <c r="CI937" s="16">
        <f>IF(CI936&gt;0,CI936*PARAM!$C$53,CI936)+CG937-CH937</f>
        <v>-299158.20833333355</v>
      </c>
      <c r="CJ937" s="15">
        <f t="shared" si="648"/>
        <v>0</v>
      </c>
      <c r="CK937" s="75">
        <f>CJ937*(1-PARAM!$C$27)*$R$4+(MOD($B937/12,5)=0)*($B937&gt;60)*HLOOKUP($B937/12,Loyalty,2)*$F$1*MAX(CM936,0)</f>
        <v>0</v>
      </c>
      <c r="CL937" s="75">
        <f>PARAM!$C$26+MAX($P$4-CHOOSE(PARAM!$B$44,MAX(0,CM936*$F$1),0),0)*RATES!$L913/12+$Q$4*(PARAM!$D$51/12)*RATES!$N913/100</f>
        <v>1190.0416666666667</v>
      </c>
      <c r="CM937" s="16">
        <f>IF(CM936&gt;0,CM936*PARAM!$C$53,CM936)+CK937-CL937</f>
        <v>-299158.20833333355</v>
      </c>
      <c r="CO937" s="176"/>
    </row>
    <row r="938" spans="1:93" x14ac:dyDescent="0.2">
      <c r="A938" t="b">
        <f t="shared" si="623"/>
        <v>0</v>
      </c>
      <c r="B938" s="33">
        <v>911</v>
      </c>
      <c r="C938" s="15">
        <f t="shared" si="624"/>
        <v>20.081305947392778</v>
      </c>
      <c r="D938" s="75">
        <f>C938*(1-PARAM!$C$27)*$I$3+(MOD($B938,60)=PARAM!$B$56)*($B938&gt;(60-PARAM!$B$56))*HLOOKUP(($B938+PARAM!$B$56)/12,Loyalty,2)*$F$1*MAX(F937,0)</f>
        <v>16.808053077967756</v>
      </c>
      <c r="E938" s="75">
        <f>PARAM!$C$26+MAX($G$3-CHOOSE(PARAM!$B$44,MAX(0,F937*$F$1),0),0)*RATES!$L914/12+$H$3*(PARAM!$D$51/12)*RATES!$N914/100</f>
        <v>1190.0416666666667</v>
      </c>
      <c r="F938" s="16">
        <f t="shared" si="625"/>
        <v>-285192.53883737628</v>
      </c>
      <c r="G938" s="15">
        <f t="shared" si="626"/>
        <v>22.035289406060361</v>
      </c>
      <c r="H938" s="75">
        <f>G938*(1-PARAM!$C$27)*$I$4+(MOD($B938,60)=PARAM!$B$56)*($B938&gt;(60-PARAM!$B$56))*HLOOKUP(($B938+PARAM!$B$56)/12,Loyalty,2)*$F$1*MAX(J937,0)</f>
        <v>18.443537232872522</v>
      </c>
      <c r="I938" s="75">
        <f>PARAM!$C$26+MAX($G$4-CHOOSE(PARAM!$B$44,MAX(0,J937*$F$1),0),0)*RATES!$L914/12+$H$4*(PARAM!$D$51/12)*RATES!$N914/100</f>
        <v>1190.0416666666667</v>
      </c>
      <c r="J938" s="16">
        <f t="shared" si="627"/>
        <v>-283668.77980813448</v>
      </c>
      <c r="K938" s="15">
        <f t="shared" si="628"/>
        <v>22.170849845882874</v>
      </c>
      <c r="L938" s="75">
        <f>K938*(1-PARAM!$C$27)*$I$5+(MOD($B938,60)=PARAM!$B$56)*($B938&gt;(60-PARAM!$B$56))*HLOOKUP(($B938+PARAM!$B$56)/12,Loyalty,2)*$F$1*MAX(N937,0)</f>
        <v>18.557001321003963</v>
      </c>
      <c r="M938" s="75">
        <f>PARAM!$C$26+MAX($G$5-CHOOSE(PARAM!$B$44,MAX(0,N937*$F$1),0),0)*RATES!$L914/12+$H$5*(PARAM!$D$51/12)*RATES!$N914/100</f>
        <v>1190.0416666666667</v>
      </c>
      <c r="N938" s="16">
        <f t="shared" si="629"/>
        <v>-283562.39648744819</v>
      </c>
      <c r="O938" s="15">
        <f t="shared" si="630"/>
        <v>22.170849845882874</v>
      </c>
      <c r="P938" s="75">
        <f>O938*(1-PARAM!$C$27)*$I$6+(MOD($B938,60)=PARAM!$B$56)*($B938&gt;(60-PARAM!$B$56))*HLOOKUP(($B938+PARAM!$B$56)/12,Loyalty,2)*$F$1*MAX(R937,0)</f>
        <v>18.557001321003963</v>
      </c>
      <c r="Q938" s="75">
        <f>PARAM!$C$26+MAX($G$6-CHOOSE(PARAM!$B$44,MAX(0,R937*$F$1),0),0)*RATES!$L914/12+$H$6*(PARAM!$D$51/12)*RATES!$N914/100</f>
        <v>1190.0416666666667</v>
      </c>
      <c r="R938" s="16">
        <f t="shared" si="631"/>
        <v>-283562.39648744819</v>
      </c>
      <c r="S938" s="15">
        <f t="shared" si="606"/>
        <v>22.170849845882874</v>
      </c>
      <c r="T938" s="75">
        <f>S938*(1-PARAM!$C$27)*$I$7+(MOD($B938,60)=PARAM!$B$56)*($B938&gt;(60-PARAM!$B$56))*HLOOKUP(($B938+PARAM!$B$56)/12,Loyalty,2)*$F$1*MAX(V937,0)</f>
        <v>18.557001321003963</v>
      </c>
      <c r="U938" s="75">
        <f>PARAM!$C$26+MAX($G$7-CHOOSE(PARAM!$B$44,MAX(0,V937*$F$1),0),0)*RATES!$L914/12+$H$7*(PARAM!$D$51/12)*RATES!$N914/100</f>
        <v>1190.0416666666667</v>
      </c>
      <c r="V938" s="16">
        <f t="shared" si="632"/>
        <v>-283562.39648744819</v>
      </c>
      <c r="W938" s="15">
        <f t="shared" si="607"/>
        <v>22.170849845882874</v>
      </c>
      <c r="X938" s="75">
        <f>W938*(1-PARAM!$C$27)*$I$8+(MOD($B938,60)=PARAM!$B$56)*($B938&gt;(60-PARAM!$B$56))*HLOOKUP(($B938+PARAM!$B$56)/12,Loyalty,2)*$F$1*MAX(Z937,0)</f>
        <v>18.557001321003963</v>
      </c>
      <c r="Y938" s="75">
        <f>PARAM!$C$26+MAX($G$8-CHOOSE(PARAM!$B$44,MAX(0,Z937*$F$1),0),0)*RATES!$L914/12+$H$8*(PARAM!$D$51/12)*RATES!$N914/100</f>
        <v>1190.0416666666667</v>
      </c>
      <c r="Z938" s="16">
        <f t="shared" si="633"/>
        <v>-283562.39648744819</v>
      </c>
      <c r="AA938" s="15">
        <f t="shared" si="608"/>
        <v>22.170849845882874</v>
      </c>
      <c r="AB938" s="75">
        <f>AA938*(1-PARAM!$C$27)*$I$9+(MOD($B938,60)=PARAM!$B$56)*($B938&gt;(60-PARAM!$B$56))*HLOOKUP(($B938+PARAM!$B$56)/12,Loyalty,2)*$F$1*MAX(AD937,0)</f>
        <v>18.557001321003963</v>
      </c>
      <c r="AC938" s="75">
        <f>PARAM!$C$26+MAX($G$9-CHOOSE(PARAM!$B$44,MAX(0,AD937*$F$1),0),0)*RATES!$L914/12+$H$9*(PARAM!$D$51/12)*RATES!$N914/100</f>
        <v>1190.0416666666667</v>
      </c>
      <c r="AD938" s="16">
        <f t="shared" si="634"/>
        <v>-283562.39648744819</v>
      </c>
      <c r="AE938" s="15">
        <f t="shared" si="609"/>
        <v>22.170849845882874</v>
      </c>
      <c r="AF938" s="75">
        <f>AE938*(1-PARAM!$C$27)*$I$10+(MOD($B938,60)=PARAM!$B$56)*($B938&gt;(60-PARAM!$B$56))*HLOOKUP(($B938+PARAM!$B$56)/12,Loyalty,2)*$F$1*MAX(AH937,0)</f>
        <v>18.557001321003963</v>
      </c>
      <c r="AG938" s="75">
        <f>PARAM!$C$26+MAX($G$10-CHOOSE(PARAM!$B$44,MAX(0,AH937*$F$1),0),0)*RATES!$L914/12+$H$10*(PARAM!$D$51/12)*RATES!$N914/100</f>
        <v>1190.0416666666667</v>
      </c>
      <c r="AH938" s="16">
        <f t="shared" si="635"/>
        <v>-283562.39648744819</v>
      </c>
      <c r="AI938" s="15">
        <f t="shared" si="610"/>
        <v>22.170849845882874</v>
      </c>
      <c r="AJ938" s="75">
        <f>AI938*(1-PARAM!$C$27)*$I$11+(MOD($B938,60)=PARAM!$B$56)*($B938&gt;(60-PARAM!$B$56))*HLOOKUP(($B938+PARAM!$B$56)/12,Loyalty,2)*$F$1*MAX(AL937,0)</f>
        <v>18.557001321003963</v>
      </c>
      <c r="AK938" s="75">
        <f>PARAM!$C$26+MAX($G$11-CHOOSE(PARAM!$B$44,MAX(0,AL937*$F$1),0),0)*RATES!$L914/12+$H$11*(PARAM!$D$51/12)*RATES!$N914/100</f>
        <v>1190.0416666666667</v>
      </c>
      <c r="AL938" s="16">
        <f t="shared" si="636"/>
        <v>-283562.39648744819</v>
      </c>
      <c r="AM938" s="15">
        <f t="shared" si="611"/>
        <v>22.170849845882874</v>
      </c>
      <c r="AN938" s="75">
        <f>AM938*(1-PARAM!$C$27)*$I$12+(MOD($B938,60)=PARAM!$B$56)*($B938&gt;(60-PARAM!$B$56))*HLOOKUP(($B938+PARAM!$B$56)/12,Loyalty,2)*$F$1*MAX(AP937,0)</f>
        <v>18.557001321003963</v>
      </c>
      <c r="AO938" s="75">
        <f>PARAM!$C$26+MAX($G$12-CHOOSE(PARAM!$B$44,MAX(0,AP937*$F$1),0),0)*RATES!$L914/12+$H$12*(PARAM!$D$51/12)*RATES!$N914/100</f>
        <v>1190.0416666666667</v>
      </c>
      <c r="AP938" s="16">
        <f t="shared" si="637"/>
        <v>-283562.39648744819</v>
      </c>
      <c r="AQ938" s="15">
        <f t="shared" si="612"/>
        <v>22.170849845882874</v>
      </c>
      <c r="AR938" s="75">
        <f>AQ938*(1-PARAM!$C$27)*$I$13+(MOD($B938,60)=PARAM!$B$56)*($B938&gt;(60-PARAM!$B$56))*HLOOKUP(($B938+PARAM!$B$56)/12,Loyalty,2)*$F$1*MAX(AT937,0)</f>
        <v>18.557001321003963</v>
      </c>
      <c r="AS938" s="75">
        <f>PARAM!$C$26+MAX($G$13-CHOOSE(PARAM!$B$44,MAX(0,AT937*$F$1),0),0)*RATES!$L914/12+$H$13*(PARAM!$D$51/12)*RATES!$N914/100</f>
        <v>1190.0416666666667</v>
      </c>
      <c r="AT938" s="16">
        <f t="shared" si="638"/>
        <v>-283562.39648744819</v>
      </c>
      <c r="AU938" s="15">
        <f t="shared" si="613"/>
        <v>22.170849845882874</v>
      </c>
      <c r="AV938" s="75">
        <f>AU938*(1-PARAM!$C$27)*$I$14+(MOD($B938,60)=PARAM!$B$56)*($B938&gt;(60-PARAM!$B$56))*HLOOKUP(($B938+PARAM!$B$56)/12,Loyalty,2)*$F$1*MAX(AX937,0)</f>
        <v>18.557001321003963</v>
      </c>
      <c r="AW938" s="75">
        <f>PARAM!$C$26+MAX($G$14-CHOOSE(PARAM!$B$44,MAX(0,AX937*$F$1),0),0)*RATES!$L914/12+$H$14*(PARAM!$D$51/12)*RATES!$N914/100</f>
        <v>1190.0416666666667</v>
      </c>
      <c r="AX938" s="16">
        <f t="shared" si="639"/>
        <v>-283562.39648744819</v>
      </c>
      <c r="AY938" s="15">
        <f t="shared" si="614"/>
        <v>22.170849845882874</v>
      </c>
      <c r="AZ938" s="75">
        <f>AY938*(1-PARAM!$C$27)*$I$15+(MOD($B938,60)=PARAM!$B$56)*($B938&gt;(60-PARAM!$B$56))*HLOOKUP(($B938+PARAM!$B$56)/12,Loyalty,2)*$F$1*MAX(BB937,0)</f>
        <v>18.557001321003963</v>
      </c>
      <c r="BA938" s="75">
        <f>PARAM!$C$26+MAX($G$15-CHOOSE(PARAM!$B$44,MAX(0,BB937*$F$1),0),0)*RATES!$L914/12+$H$15*(PARAM!$D$51/12)*RATES!$N914/100</f>
        <v>1190.0416666666667</v>
      </c>
      <c r="BB938" s="16">
        <f t="shared" si="640"/>
        <v>-283562.39648744819</v>
      </c>
      <c r="BC938" s="15">
        <f t="shared" si="615"/>
        <v>22.170849845882874</v>
      </c>
      <c r="BD938" s="75">
        <f>BC938*(1-PARAM!$C$27)*$I$16+(MOD($B938,60)=PARAM!$B$56)*($B938&gt;(60-PARAM!$B$56))*HLOOKUP(($B938+PARAM!$B$56)/12,Loyalty,2)*$F$1*MAX(BF937,0)</f>
        <v>18.557001321003963</v>
      </c>
      <c r="BE938" s="75">
        <f>PARAM!$C$26+MAX($G$16-CHOOSE(PARAM!$B$44,MAX(0,BF937*$F$1),0),0)*RATES!$L914/12+$H$16*(PARAM!$D$51/12)*RATES!$N914/100</f>
        <v>1190.0416666666667</v>
      </c>
      <c r="BF938" s="16">
        <f t="shared" si="641"/>
        <v>-283562.39648744819</v>
      </c>
      <c r="BG938" s="15">
        <f t="shared" si="616"/>
        <v>22.170849845882874</v>
      </c>
      <c r="BH938" s="75">
        <f>BG938*(1-PARAM!$C$27)*$I$17+(MOD($B938,60)=PARAM!$B$56)*($B938&gt;(60-PARAM!$B$56))*HLOOKUP(($B938+PARAM!$B$56)/12,Loyalty,2)*$F$1*MAX(BJ937,0)</f>
        <v>18.557001321003963</v>
      </c>
      <c r="BI938" s="75">
        <f>PARAM!$C$26+MAX($G$17-CHOOSE(PARAM!$B$44,MAX(0,BJ937*$F$1),0),0)*RATES!$L914/12+$H$17*(PARAM!$D$51/12)*RATES!$N914/100</f>
        <v>1190.0416666666667</v>
      </c>
      <c r="BJ938" s="16">
        <f t="shared" si="642"/>
        <v>-283562.39648744819</v>
      </c>
      <c r="BK938" s="15">
        <f t="shared" si="617"/>
        <v>22.170849845882874</v>
      </c>
      <c r="BL938" s="75">
        <f>BK938*(1-PARAM!$C$27)*$I$18+(MOD($B938,60)=PARAM!$B$56)*($B938&gt;(60-PARAM!$B$56))*HLOOKUP(($B938+PARAM!$B$56)/12,Loyalty,2)*$F$1*MAX(BN937,0)</f>
        <v>18.557001321003963</v>
      </c>
      <c r="BM938" s="75">
        <f>PARAM!$C$26+MAX($G$18-CHOOSE(PARAM!$B$44,MAX(0,BN937*$F$1),0),0)*RATES!$L914/12+$H$18*(PARAM!$D$51/12)*RATES!$N914/100</f>
        <v>1190.0416666666667</v>
      </c>
      <c r="BN938" s="16">
        <f t="shared" si="643"/>
        <v>-283562.39648744819</v>
      </c>
      <c r="BO938" s="15">
        <f t="shared" si="618"/>
        <v>22.170849845882874</v>
      </c>
      <c r="BP938" s="75">
        <f>BO938*(1-PARAM!$C$27)*$I$19+(MOD($B938,60)=PARAM!$B$56)*($B938&gt;(60-PARAM!$B$56))*HLOOKUP(($B938+PARAM!$B$56)/12,Loyalty,2)*$F$1*MAX(BR937,0)</f>
        <v>18.557001321003963</v>
      </c>
      <c r="BQ938" s="75">
        <f>PARAM!$C$26+MAX($G$19-CHOOSE(PARAM!$B$44,MAX(0,BR937*$F$1),0),0)*RATES!$L914/12+$H$19*(PARAM!$D$51/12)*RATES!$N914/100</f>
        <v>1190.0416666666667</v>
      </c>
      <c r="BR938" s="16">
        <f t="shared" si="644"/>
        <v>-283562.39648744819</v>
      </c>
      <c r="BS938" s="15">
        <f t="shared" si="619"/>
        <v>22.170849845882874</v>
      </c>
      <c r="BT938" s="75">
        <f>BS938*(1-PARAM!$C$27)*$I$20+(MOD($B938,60)=PARAM!$B$56)*($B938&gt;(60-PARAM!$B$56))*HLOOKUP(($B938+PARAM!$B$56)/12,Loyalty,2)*$F$1*MAX(BV937,0)</f>
        <v>18.557001321003963</v>
      </c>
      <c r="BU938" s="75">
        <f>PARAM!$C$26+MAX($G$20-CHOOSE(PARAM!$B$44,MAX(0,BV937*$F$1),0),0)*RATES!$L914/12+$H$20*(PARAM!$D$51/12)*RATES!$N914/100</f>
        <v>1190.0416666666667</v>
      </c>
      <c r="BV938" s="16">
        <f t="shared" si="645"/>
        <v>-283562.39648744819</v>
      </c>
      <c r="BW938" s="15">
        <f t="shared" si="620"/>
        <v>22.170849845882874</v>
      </c>
      <c r="BX938" s="75">
        <f>BW938*(1-PARAM!$C$27)*$I$21+(MOD($B938,60)=PARAM!$B$56)*($B938&gt;(60-PARAM!$B$56))*HLOOKUP(($B938+PARAM!$B$56)/12,Loyalty,2)*$F$1*MAX(BZ937,0)</f>
        <v>18.557001321003963</v>
      </c>
      <c r="BY938" s="75">
        <f>PARAM!$C$26+MAX($G$21-CHOOSE(PARAM!$B$44,MAX(0,BZ937*$F$1),0),0)*RATES!$L914/12+$H$21*(PARAM!$D$51/12)*RATES!$N914/100</f>
        <v>1190.0416666666667</v>
      </c>
      <c r="BZ938" s="16">
        <f t="shared" si="646"/>
        <v>-283562.39648744819</v>
      </c>
      <c r="CA938" s="15">
        <f t="shared" si="621"/>
        <v>22.170849845882874</v>
      </c>
      <c r="CB938" s="75">
        <f>CA938*(1-PARAM!$C$27)*$I$22+(MOD($B938,60)=PARAM!$B$56)*($B938&gt;(60-PARAM!$B$56))*HLOOKUP(($B938+PARAM!$B$56)/12,Loyalty,2)*$F$1*MAX(CD937,0)</f>
        <v>18.557001321003963</v>
      </c>
      <c r="CC938" s="75">
        <f>PARAM!$C$26+MAX($G$22-CHOOSE(PARAM!$B$44,MAX(0,CD937*$F$1),0),0)*RATES!$L914/12+$H$22*(PARAM!$D$51/12)*RATES!$N914/100</f>
        <v>1190.0416666666667</v>
      </c>
      <c r="CD938" s="16">
        <f t="shared" si="647"/>
        <v>-283562.39648744819</v>
      </c>
      <c r="CE938" s="33">
        <f>IF(0=MOD(B938,12/PARAM!$D$51),1,0)</f>
        <v>1</v>
      </c>
      <c r="CF938" s="15">
        <f t="shared" si="622"/>
        <v>0</v>
      </c>
      <c r="CG938" s="75">
        <f>CF938*(1-PARAM!$C$27)*$R$3+(MOD($B938/12,5)=0)*($B938&gt;60)*HLOOKUP($B938/12,Loyalty,2)*$F$1*MAX(CI937,0)</f>
        <v>0</v>
      </c>
      <c r="CH938" s="75">
        <f>PARAM!$C$26+MAX($P$3-CHOOSE(PARAM!$B$44,MAX(0,CI937*$F$1),0),0)*RATES!$L914/12+$Q$3*(PARAM!$D$51/12)*RATES!$N914/100</f>
        <v>1190.0416666666667</v>
      </c>
      <c r="CI938" s="16">
        <f>IF(CI937&gt;0,CI937*PARAM!$C$53,CI937)+CG938-CH938</f>
        <v>-300348.25000000023</v>
      </c>
      <c r="CJ938" s="15">
        <f t="shared" si="648"/>
        <v>0</v>
      </c>
      <c r="CK938" s="75">
        <f>CJ938*(1-PARAM!$C$27)*$R$4+(MOD($B938/12,5)=0)*($B938&gt;60)*HLOOKUP($B938/12,Loyalty,2)*$F$1*MAX(CM937,0)</f>
        <v>0</v>
      </c>
      <c r="CL938" s="75">
        <f>PARAM!$C$26+MAX($P$4-CHOOSE(PARAM!$B$44,MAX(0,CM937*$F$1),0),0)*RATES!$L914/12+$Q$4*(PARAM!$D$51/12)*RATES!$N914/100</f>
        <v>1190.0416666666667</v>
      </c>
      <c r="CM938" s="16">
        <f>IF(CM937&gt;0,CM937*PARAM!$C$53,CM937)+CK938-CL938</f>
        <v>-300348.25000000023</v>
      </c>
      <c r="CO938" s="176"/>
    </row>
    <row r="939" spans="1:93" x14ac:dyDescent="0.2">
      <c r="A939" t="b">
        <f t="shared" si="623"/>
        <v>0</v>
      </c>
      <c r="B939" s="33">
        <v>912</v>
      </c>
      <c r="C939" s="15">
        <f t="shared" si="624"/>
        <v>20.081305947392778</v>
      </c>
      <c r="D939" s="75">
        <f>C939*(1-PARAM!$C$27)*$I$3+(MOD($B939,60)=PARAM!$B$56)*($B939&gt;(60-PARAM!$B$56))*HLOOKUP(($B939+PARAM!$B$56)/12,Loyalty,2)*$F$1*MAX(F938,0)</f>
        <v>16.808053077967756</v>
      </c>
      <c r="E939" s="75">
        <f>PARAM!$C$26+MAX($G$3-CHOOSE(PARAM!$B$44,MAX(0,F938*$F$1),0),0)*RATES!$L915/12+$H$3*(PARAM!$D$51/12)*RATES!$N915/100</f>
        <v>1190.0416666666667</v>
      </c>
      <c r="F939" s="16">
        <f t="shared" si="625"/>
        <v>-286365.77245096501</v>
      </c>
      <c r="G939" s="15">
        <f t="shared" si="626"/>
        <v>22.035289406060361</v>
      </c>
      <c r="H939" s="75">
        <f>G939*(1-PARAM!$C$27)*$I$4+(MOD($B939,60)=PARAM!$B$56)*($B939&gt;(60-PARAM!$B$56))*HLOOKUP(($B939+PARAM!$B$56)/12,Loyalty,2)*$F$1*MAX(J938,0)</f>
        <v>18.443537232872522</v>
      </c>
      <c r="I939" s="75">
        <f>PARAM!$C$26+MAX($G$4-CHOOSE(PARAM!$B$44,MAX(0,J938*$F$1),0),0)*RATES!$L915/12+$H$4*(PARAM!$D$51/12)*RATES!$N915/100</f>
        <v>1190.0416666666667</v>
      </c>
      <c r="J939" s="16">
        <f t="shared" si="627"/>
        <v>-284840.37793756829</v>
      </c>
      <c r="K939" s="15">
        <f t="shared" si="628"/>
        <v>22.170849845882874</v>
      </c>
      <c r="L939" s="75">
        <f>K939*(1-PARAM!$C$27)*$I$5+(MOD($B939,60)=PARAM!$B$56)*($B939&gt;(60-PARAM!$B$56))*HLOOKUP(($B939+PARAM!$B$56)/12,Loyalty,2)*$F$1*MAX(N938,0)</f>
        <v>18.557001321003963</v>
      </c>
      <c r="M939" s="75">
        <f>PARAM!$C$26+MAX($G$5-CHOOSE(PARAM!$B$44,MAX(0,N938*$F$1),0),0)*RATES!$L915/12+$H$5*(PARAM!$D$51/12)*RATES!$N915/100</f>
        <v>1190.0416666666667</v>
      </c>
      <c r="N939" s="16">
        <f t="shared" si="629"/>
        <v>-284733.88115279388</v>
      </c>
      <c r="O939" s="15">
        <f t="shared" si="630"/>
        <v>22.170849845882874</v>
      </c>
      <c r="P939" s="75">
        <f>O939*(1-PARAM!$C$27)*$I$6+(MOD($B939,60)=PARAM!$B$56)*($B939&gt;(60-PARAM!$B$56))*HLOOKUP(($B939+PARAM!$B$56)/12,Loyalty,2)*$F$1*MAX(R938,0)</f>
        <v>18.557001321003963</v>
      </c>
      <c r="Q939" s="75">
        <f>PARAM!$C$26+MAX($G$6-CHOOSE(PARAM!$B$44,MAX(0,R938*$F$1),0),0)*RATES!$L915/12+$H$6*(PARAM!$D$51/12)*RATES!$N915/100</f>
        <v>1190.0416666666667</v>
      </c>
      <c r="R939" s="16">
        <f t="shared" si="631"/>
        <v>-284733.88115279388</v>
      </c>
      <c r="S939" s="15">
        <f t="shared" si="606"/>
        <v>22.170849845882874</v>
      </c>
      <c r="T939" s="75">
        <f>S939*(1-PARAM!$C$27)*$I$7+(MOD($B939,60)=PARAM!$B$56)*($B939&gt;(60-PARAM!$B$56))*HLOOKUP(($B939+PARAM!$B$56)/12,Loyalty,2)*$F$1*MAX(V938,0)</f>
        <v>18.557001321003963</v>
      </c>
      <c r="U939" s="75">
        <f>PARAM!$C$26+MAX($G$7-CHOOSE(PARAM!$B$44,MAX(0,V938*$F$1),0),0)*RATES!$L915/12+$H$7*(PARAM!$D$51/12)*RATES!$N915/100</f>
        <v>1190.0416666666667</v>
      </c>
      <c r="V939" s="16">
        <f t="shared" si="632"/>
        <v>-284733.88115279388</v>
      </c>
      <c r="W939" s="15">
        <f t="shared" si="607"/>
        <v>22.170849845882874</v>
      </c>
      <c r="X939" s="75">
        <f>W939*(1-PARAM!$C$27)*$I$8+(MOD($B939,60)=PARAM!$B$56)*($B939&gt;(60-PARAM!$B$56))*HLOOKUP(($B939+PARAM!$B$56)/12,Loyalty,2)*$F$1*MAX(Z938,0)</f>
        <v>18.557001321003963</v>
      </c>
      <c r="Y939" s="75">
        <f>PARAM!$C$26+MAX($G$8-CHOOSE(PARAM!$B$44,MAX(0,Z938*$F$1),0),0)*RATES!$L915/12+$H$8*(PARAM!$D$51/12)*RATES!$N915/100</f>
        <v>1190.0416666666667</v>
      </c>
      <c r="Z939" s="16">
        <f t="shared" si="633"/>
        <v>-284733.88115279388</v>
      </c>
      <c r="AA939" s="15">
        <f t="shared" si="608"/>
        <v>22.170849845882874</v>
      </c>
      <c r="AB939" s="75">
        <f>AA939*(1-PARAM!$C$27)*$I$9+(MOD($B939,60)=PARAM!$B$56)*($B939&gt;(60-PARAM!$B$56))*HLOOKUP(($B939+PARAM!$B$56)/12,Loyalty,2)*$F$1*MAX(AD938,0)</f>
        <v>18.557001321003963</v>
      </c>
      <c r="AC939" s="75">
        <f>PARAM!$C$26+MAX($G$9-CHOOSE(PARAM!$B$44,MAX(0,AD938*$F$1),0),0)*RATES!$L915/12+$H$9*(PARAM!$D$51/12)*RATES!$N915/100</f>
        <v>1190.0416666666667</v>
      </c>
      <c r="AD939" s="16">
        <f t="shared" si="634"/>
        <v>-284733.88115279388</v>
      </c>
      <c r="AE939" s="15">
        <f t="shared" si="609"/>
        <v>22.170849845882874</v>
      </c>
      <c r="AF939" s="75">
        <f>AE939*(1-PARAM!$C$27)*$I$10+(MOD($B939,60)=PARAM!$B$56)*($B939&gt;(60-PARAM!$B$56))*HLOOKUP(($B939+PARAM!$B$56)/12,Loyalty,2)*$F$1*MAX(AH938,0)</f>
        <v>18.557001321003963</v>
      </c>
      <c r="AG939" s="75">
        <f>PARAM!$C$26+MAX($G$10-CHOOSE(PARAM!$B$44,MAX(0,AH938*$F$1),0),0)*RATES!$L915/12+$H$10*(PARAM!$D$51/12)*RATES!$N915/100</f>
        <v>1190.0416666666667</v>
      </c>
      <c r="AH939" s="16">
        <f t="shared" si="635"/>
        <v>-284733.88115279388</v>
      </c>
      <c r="AI939" s="15">
        <f t="shared" si="610"/>
        <v>22.170849845882874</v>
      </c>
      <c r="AJ939" s="75">
        <f>AI939*(1-PARAM!$C$27)*$I$11+(MOD($B939,60)=PARAM!$B$56)*($B939&gt;(60-PARAM!$B$56))*HLOOKUP(($B939+PARAM!$B$56)/12,Loyalty,2)*$F$1*MAX(AL938,0)</f>
        <v>18.557001321003963</v>
      </c>
      <c r="AK939" s="75">
        <f>PARAM!$C$26+MAX($G$11-CHOOSE(PARAM!$B$44,MAX(0,AL938*$F$1),0),0)*RATES!$L915/12+$H$11*(PARAM!$D$51/12)*RATES!$N915/100</f>
        <v>1190.0416666666667</v>
      </c>
      <c r="AL939" s="16">
        <f t="shared" si="636"/>
        <v>-284733.88115279388</v>
      </c>
      <c r="AM939" s="15">
        <f t="shared" si="611"/>
        <v>22.170849845882874</v>
      </c>
      <c r="AN939" s="75">
        <f>AM939*(1-PARAM!$C$27)*$I$12+(MOD($B939,60)=PARAM!$B$56)*($B939&gt;(60-PARAM!$B$56))*HLOOKUP(($B939+PARAM!$B$56)/12,Loyalty,2)*$F$1*MAX(AP938,0)</f>
        <v>18.557001321003963</v>
      </c>
      <c r="AO939" s="75">
        <f>PARAM!$C$26+MAX($G$12-CHOOSE(PARAM!$B$44,MAX(0,AP938*$F$1),0),0)*RATES!$L915/12+$H$12*(PARAM!$D$51/12)*RATES!$N915/100</f>
        <v>1190.0416666666667</v>
      </c>
      <c r="AP939" s="16">
        <f t="shared" si="637"/>
        <v>-284733.88115279388</v>
      </c>
      <c r="AQ939" s="15">
        <f t="shared" si="612"/>
        <v>22.170849845882874</v>
      </c>
      <c r="AR939" s="75">
        <f>AQ939*(1-PARAM!$C$27)*$I$13+(MOD($B939,60)=PARAM!$B$56)*($B939&gt;(60-PARAM!$B$56))*HLOOKUP(($B939+PARAM!$B$56)/12,Loyalty,2)*$F$1*MAX(AT938,0)</f>
        <v>18.557001321003963</v>
      </c>
      <c r="AS939" s="75">
        <f>PARAM!$C$26+MAX($G$13-CHOOSE(PARAM!$B$44,MAX(0,AT938*$F$1),0),0)*RATES!$L915/12+$H$13*(PARAM!$D$51/12)*RATES!$N915/100</f>
        <v>1190.0416666666667</v>
      </c>
      <c r="AT939" s="16">
        <f t="shared" si="638"/>
        <v>-284733.88115279388</v>
      </c>
      <c r="AU939" s="15">
        <f t="shared" si="613"/>
        <v>22.170849845882874</v>
      </c>
      <c r="AV939" s="75">
        <f>AU939*(1-PARAM!$C$27)*$I$14+(MOD($B939,60)=PARAM!$B$56)*($B939&gt;(60-PARAM!$B$56))*HLOOKUP(($B939+PARAM!$B$56)/12,Loyalty,2)*$F$1*MAX(AX938,0)</f>
        <v>18.557001321003963</v>
      </c>
      <c r="AW939" s="75">
        <f>PARAM!$C$26+MAX($G$14-CHOOSE(PARAM!$B$44,MAX(0,AX938*$F$1),0),0)*RATES!$L915/12+$H$14*(PARAM!$D$51/12)*RATES!$N915/100</f>
        <v>1190.0416666666667</v>
      </c>
      <c r="AX939" s="16">
        <f t="shared" si="639"/>
        <v>-284733.88115279388</v>
      </c>
      <c r="AY939" s="15">
        <f t="shared" si="614"/>
        <v>22.170849845882874</v>
      </c>
      <c r="AZ939" s="75">
        <f>AY939*(1-PARAM!$C$27)*$I$15+(MOD($B939,60)=PARAM!$B$56)*($B939&gt;(60-PARAM!$B$56))*HLOOKUP(($B939+PARAM!$B$56)/12,Loyalty,2)*$F$1*MAX(BB938,0)</f>
        <v>18.557001321003963</v>
      </c>
      <c r="BA939" s="75">
        <f>PARAM!$C$26+MAX($G$15-CHOOSE(PARAM!$B$44,MAX(0,BB938*$F$1),0),0)*RATES!$L915/12+$H$15*(PARAM!$D$51/12)*RATES!$N915/100</f>
        <v>1190.0416666666667</v>
      </c>
      <c r="BB939" s="16">
        <f t="shared" si="640"/>
        <v>-284733.88115279388</v>
      </c>
      <c r="BC939" s="15">
        <f t="shared" si="615"/>
        <v>22.170849845882874</v>
      </c>
      <c r="BD939" s="75">
        <f>BC939*(1-PARAM!$C$27)*$I$16+(MOD($B939,60)=PARAM!$B$56)*($B939&gt;(60-PARAM!$B$56))*HLOOKUP(($B939+PARAM!$B$56)/12,Loyalty,2)*$F$1*MAX(BF938,0)</f>
        <v>18.557001321003963</v>
      </c>
      <c r="BE939" s="75">
        <f>PARAM!$C$26+MAX($G$16-CHOOSE(PARAM!$B$44,MAX(0,BF938*$F$1),0),0)*RATES!$L915/12+$H$16*(PARAM!$D$51/12)*RATES!$N915/100</f>
        <v>1190.0416666666667</v>
      </c>
      <c r="BF939" s="16">
        <f t="shared" si="641"/>
        <v>-284733.88115279388</v>
      </c>
      <c r="BG939" s="15">
        <f t="shared" si="616"/>
        <v>22.170849845882874</v>
      </c>
      <c r="BH939" s="75">
        <f>BG939*(1-PARAM!$C$27)*$I$17+(MOD($B939,60)=PARAM!$B$56)*($B939&gt;(60-PARAM!$B$56))*HLOOKUP(($B939+PARAM!$B$56)/12,Loyalty,2)*$F$1*MAX(BJ938,0)</f>
        <v>18.557001321003963</v>
      </c>
      <c r="BI939" s="75">
        <f>PARAM!$C$26+MAX($G$17-CHOOSE(PARAM!$B$44,MAX(0,BJ938*$F$1),0),0)*RATES!$L915/12+$H$17*(PARAM!$D$51/12)*RATES!$N915/100</f>
        <v>1190.0416666666667</v>
      </c>
      <c r="BJ939" s="16">
        <f t="shared" si="642"/>
        <v>-284733.88115279388</v>
      </c>
      <c r="BK939" s="15">
        <f t="shared" si="617"/>
        <v>22.170849845882874</v>
      </c>
      <c r="BL939" s="75">
        <f>BK939*(1-PARAM!$C$27)*$I$18+(MOD($B939,60)=PARAM!$B$56)*($B939&gt;(60-PARAM!$B$56))*HLOOKUP(($B939+PARAM!$B$56)/12,Loyalty,2)*$F$1*MAX(BN938,0)</f>
        <v>18.557001321003963</v>
      </c>
      <c r="BM939" s="75">
        <f>PARAM!$C$26+MAX($G$18-CHOOSE(PARAM!$B$44,MAX(0,BN938*$F$1),0),0)*RATES!$L915/12+$H$18*(PARAM!$D$51/12)*RATES!$N915/100</f>
        <v>1190.0416666666667</v>
      </c>
      <c r="BN939" s="16">
        <f t="shared" si="643"/>
        <v>-284733.88115279388</v>
      </c>
      <c r="BO939" s="15">
        <f t="shared" si="618"/>
        <v>22.170849845882874</v>
      </c>
      <c r="BP939" s="75">
        <f>BO939*(1-PARAM!$C$27)*$I$19+(MOD($B939,60)=PARAM!$B$56)*($B939&gt;(60-PARAM!$B$56))*HLOOKUP(($B939+PARAM!$B$56)/12,Loyalty,2)*$F$1*MAX(BR938,0)</f>
        <v>18.557001321003963</v>
      </c>
      <c r="BQ939" s="75">
        <f>PARAM!$C$26+MAX($G$19-CHOOSE(PARAM!$B$44,MAX(0,BR938*$F$1),0),0)*RATES!$L915/12+$H$19*(PARAM!$D$51/12)*RATES!$N915/100</f>
        <v>1190.0416666666667</v>
      </c>
      <c r="BR939" s="16">
        <f t="shared" si="644"/>
        <v>-284733.88115279388</v>
      </c>
      <c r="BS939" s="15">
        <f t="shared" si="619"/>
        <v>22.170849845882874</v>
      </c>
      <c r="BT939" s="75">
        <f>BS939*(1-PARAM!$C$27)*$I$20+(MOD($B939,60)=PARAM!$B$56)*($B939&gt;(60-PARAM!$B$56))*HLOOKUP(($B939+PARAM!$B$56)/12,Loyalty,2)*$F$1*MAX(BV938,0)</f>
        <v>18.557001321003963</v>
      </c>
      <c r="BU939" s="75">
        <f>PARAM!$C$26+MAX($G$20-CHOOSE(PARAM!$B$44,MAX(0,BV938*$F$1),0),0)*RATES!$L915/12+$H$20*(PARAM!$D$51/12)*RATES!$N915/100</f>
        <v>1190.0416666666667</v>
      </c>
      <c r="BV939" s="16">
        <f t="shared" si="645"/>
        <v>-284733.88115279388</v>
      </c>
      <c r="BW939" s="15">
        <f t="shared" si="620"/>
        <v>22.170849845882874</v>
      </c>
      <c r="BX939" s="75">
        <f>BW939*(1-PARAM!$C$27)*$I$21+(MOD($B939,60)=PARAM!$B$56)*($B939&gt;(60-PARAM!$B$56))*HLOOKUP(($B939+PARAM!$B$56)/12,Loyalty,2)*$F$1*MAX(BZ938,0)</f>
        <v>18.557001321003963</v>
      </c>
      <c r="BY939" s="75">
        <f>PARAM!$C$26+MAX($G$21-CHOOSE(PARAM!$B$44,MAX(0,BZ938*$F$1),0),0)*RATES!$L915/12+$H$21*(PARAM!$D$51/12)*RATES!$N915/100</f>
        <v>1190.0416666666667</v>
      </c>
      <c r="BZ939" s="16">
        <f t="shared" si="646"/>
        <v>-284733.88115279388</v>
      </c>
      <c r="CA939" s="15">
        <f t="shared" si="621"/>
        <v>22.170849845882874</v>
      </c>
      <c r="CB939" s="75">
        <f>CA939*(1-PARAM!$C$27)*$I$22+(MOD($B939,60)=PARAM!$B$56)*($B939&gt;(60-PARAM!$B$56))*HLOOKUP(($B939+PARAM!$B$56)/12,Loyalty,2)*$F$1*MAX(CD938,0)</f>
        <v>18.557001321003963</v>
      </c>
      <c r="CC939" s="75">
        <f>PARAM!$C$26+MAX($G$22-CHOOSE(PARAM!$B$44,MAX(0,CD938*$F$1),0),0)*RATES!$L915/12+$H$22*(PARAM!$D$51/12)*RATES!$N915/100</f>
        <v>1190.0416666666667</v>
      </c>
      <c r="CD939" s="16">
        <f t="shared" si="647"/>
        <v>-284733.88115279388</v>
      </c>
      <c r="CE939" s="33">
        <f>IF(0=MOD(B939,12/PARAM!$D$51),1,0)</f>
        <v>1</v>
      </c>
      <c r="CF939" s="15">
        <f t="shared" si="622"/>
        <v>0</v>
      </c>
      <c r="CG939" s="75">
        <f>CF939*(1-PARAM!$C$27)*$R$3+(MOD($B939/12,5)=0)*($B939&gt;60)*HLOOKUP($B939/12,Loyalty,2)*$F$1*MAX(CI938,0)</f>
        <v>0</v>
      </c>
      <c r="CH939" s="75">
        <f>PARAM!$C$26+MAX($P$3-CHOOSE(PARAM!$B$44,MAX(0,CI938*$F$1),0),0)*RATES!$L915/12+$Q$3*(PARAM!$D$51/12)*RATES!$N915/100</f>
        <v>1190.0416666666667</v>
      </c>
      <c r="CI939" s="16">
        <f>IF(CI938&gt;0,CI938*PARAM!$C$53,CI938)+CG939-CH939</f>
        <v>-301538.29166666692</v>
      </c>
      <c r="CJ939" s="15">
        <f t="shared" si="648"/>
        <v>0</v>
      </c>
      <c r="CK939" s="75">
        <f>CJ939*(1-PARAM!$C$27)*$R$4+(MOD($B939/12,5)=0)*($B939&gt;60)*HLOOKUP($B939/12,Loyalty,2)*$F$1*MAX(CM938,0)</f>
        <v>0</v>
      </c>
      <c r="CL939" s="75">
        <f>PARAM!$C$26+MAX($P$4-CHOOSE(PARAM!$B$44,MAX(0,CM938*$F$1),0),0)*RATES!$L915/12+$Q$4*(PARAM!$D$51/12)*RATES!$N915/100</f>
        <v>1190.0416666666667</v>
      </c>
      <c r="CM939" s="16">
        <f>IF(CM938&gt;0,CM938*PARAM!$C$53,CM938)+CK939-CL939</f>
        <v>-301538.29166666692</v>
      </c>
      <c r="CO939" s="176"/>
    </row>
    <row r="940" spans="1:93" x14ac:dyDescent="0.2">
      <c r="A940" t="b">
        <f t="shared" si="623"/>
        <v>0</v>
      </c>
      <c r="B940" s="33">
        <v>913</v>
      </c>
      <c r="C940" s="15">
        <f t="shared" si="624"/>
        <v>20.081305947392778</v>
      </c>
      <c r="D940" s="75">
        <f>C940*(1-PARAM!$C$27)*$I$3+(MOD($B940,60)=PARAM!$B$56)*($B940&gt;(60-PARAM!$B$56))*HLOOKUP(($B940+PARAM!$B$56)/12,Loyalty,2)*$F$1*MAX(F939,0)</f>
        <v>16.808053077967756</v>
      </c>
      <c r="E940" s="75">
        <f>PARAM!$C$26+MAX($G$3-CHOOSE(PARAM!$B$44,MAX(0,F939*$F$1),0),0)*RATES!$L916/12+$H$3*(PARAM!$D$51/12)*RATES!$N916/100</f>
        <v>1190.0416666666667</v>
      </c>
      <c r="F940" s="16">
        <f t="shared" si="625"/>
        <v>-287539.00606455375</v>
      </c>
      <c r="G940" s="15">
        <f t="shared" si="626"/>
        <v>22.035289406060361</v>
      </c>
      <c r="H940" s="75">
        <f>G940*(1-PARAM!$C$27)*$I$4+(MOD($B940,60)=PARAM!$B$56)*($B940&gt;(60-PARAM!$B$56))*HLOOKUP(($B940+PARAM!$B$56)/12,Loyalty,2)*$F$1*MAX(J939,0)</f>
        <v>18.443537232872522</v>
      </c>
      <c r="I940" s="75">
        <f>PARAM!$C$26+MAX($G$4-CHOOSE(PARAM!$B$44,MAX(0,J939*$F$1),0),0)*RATES!$L916/12+$H$4*(PARAM!$D$51/12)*RATES!$N916/100</f>
        <v>1190.0416666666667</v>
      </c>
      <c r="J940" s="16">
        <f t="shared" si="627"/>
        <v>-286011.97606700211</v>
      </c>
      <c r="K940" s="15">
        <f t="shared" si="628"/>
        <v>22.170849845882874</v>
      </c>
      <c r="L940" s="75">
        <f>K940*(1-PARAM!$C$27)*$I$5+(MOD($B940,60)=PARAM!$B$56)*($B940&gt;(60-PARAM!$B$56))*HLOOKUP(($B940+PARAM!$B$56)/12,Loyalty,2)*$F$1*MAX(N939,0)</f>
        <v>18.557001321003963</v>
      </c>
      <c r="M940" s="75">
        <f>PARAM!$C$26+MAX($G$5-CHOOSE(PARAM!$B$44,MAX(0,N939*$F$1),0),0)*RATES!$L916/12+$H$5*(PARAM!$D$51/12)*RATES!$N916/100</f>
        <v>1190.0416666666667</v>
      </c>
      <c r="N940" s="16">
        <f t="shared" si="629"/>
        <v>-285905.36581813957</v>
      </c>
      <c r="O940" s="15">
        <f t="shared" si="630"/>
        <v>22.170849845882874</v>
      </c>
      <c r="P940" s="75">
        <f>O940*(1-PARAM!$C$27)*$I$6+(MOD($B940,60)=PARAM!$B$56)*($B940&gt;(60-PARAM!$B$56))*HLOOKUP(($B940+PARAM!$B$56)/12,Loyalty,2)*$F$1*MAX(R939,0)</f>
        <v>18.557001321003963</v>
      </c>
      <c r="Q940" s="75">
        <f>PARAM!$C$26+MAX($G$6-CHOOSE(PARAM!$B$44,MAX(0,R939*$F$1),0),0)*RATES!$L916/12+$H$6*(PARAM!$D$51/12)*RATES!$N916/100</f>
        <v>1190.0416666666667</v>
      </c>
      <c r="R940" s="16">
        <f t="shared" si="631"/>
        <v>-285905.36581813957</v>
      </c>
      <c r="S940" s="15">
        <f t="shared" si="606"/>
        <v>22.170849845882874</v>
      </c>
      <c r="T940" s="75">
        <f>S940*(1-PARAM!$C$27)*$I$7+(MOD($B940,60)=PARAM!$B$56)*($B940&gt;(60-PARAM!$B$56))*HLOOKUP(($B940+PARAM!$B$56)/12,Loyalty,2)*$F$1*MAX(V939,0)</f>
        <v>18.557001321003963</v>
      </c>
      <c r="U940" s="75">
        <f>PARAM!$C$26+MAX($G$7-CHOOSE(PARAM!$B$44,MAX(0,V939*$F$1),0),0)*RATES!$L916/12+$H$7*(PARAM!$D$51/12)*RATES!$N916/100</f>
        <v>1190.0416666666667</v>
      </c>
      <c r="V940" s="16">
        <f t="shared" si="632"/>
        <v>-285905.36581813957</v>
      </c>
      <c r="W940" s="15">
        <f t="shared" si="607"/>
        <v>22.170849845882874</v>
      </c>
      <c r="X940" s="75">
        <f>W940*(1-PARAM!$C$27)*$I$8+(MOD($B940,60)=PARAM!$B$56)*($B940&gt;(60-PARAM!$B$56))*HLOOKUP(($B940+PARAM!$B$56)/12,Loyalty,2)*$F$1*MAX(Z939,0)</f>
        <v>18.557001321003963</v>
      </c>
      <c r="Y940" s="75">
        <f>PARAM!$C$26+MAX($G$8-CHOOSE(PARAM!$B$44,MAX(0,Z939*$F$1),0),0)*RATES!$L916/12+$H$8*(PARAM!$D$51/12)*RATES!$N916/100</f>
        <v>1190.0416666666667</v>
      </c>
      <c r="Z940" s="16">
        <f t="shared" si="633"/>
        <v>-285905.36581813957</v>
      </c>
      <c r="AA940" s="15">
        <f t="shared" si="608"/>
        <v>22.170849845882874</v>
      </c>
      <c r="AB940" s="75">
        <f>AA940*(1-PARAM!$C$27)*$I$9+(MOD($B940,60)=PARAM!$B$56)*($B940&gt;(60-PARAM!$B$56))*HLOOKUP(($B940+PARAM!$B$56)/12,Loyalty,2)*$F$1*MAX(AD939,0)</f>
        <v>18.557001321003963</v>
      </c>
      <c r="AC940" s="75">
        <f>PARAM!$C$26+MAX($G$9-CHOOSE(PARAM!$B$44,MAX(0,AD939*$F$1),0),0)*RATES!$L916/12+$H$9*(PARAM!$D$51/12)*RATES!$N916/100</f>
        <v>1190.0416666666667</v>
      </c>
      <c r="AD940" s="16">
        <f t="shared" si="634"/>
        <v>-285905.36581813957</v>
      </c>
      <c r="AE940" s="15">
        <f t="shared" si="609"/>
        <v>22.170849845882874</v>
      </c>
      <c r="AF940" s="75">
        <f>AE940*(1-PARAM!$C$27)*$I$10+(MOD($B940,60)=PARAM!$B$56)*($B940&gt;(60-PARAM!$B$56))*HLOOKUP(($B940+PARAM!$B$56)/12,Loyalty,2)*$F$1*MAX(AH939,0)</f>
        <v>18.557001321003963</v>
      </c>
      <c r="AG940" s="75">
        <f>PARAM!$C$26+MAX($G$10-CHOOSE(PARAM!$B$44,MAX(0,AH939*$F$1),0),0)*RATES!$L916/12+$H$10*(PARAM!$D$51/12)*RATES!$N916/100</f>
        <v>1190.0416666666667</v>
      </c>
      <c r="AH940" s="16">
        <f t="shared" si="635"/>
        <v>-285905.36581813957</v>
      </c>
      <c r="AI940" s="15">
        <f t="shared" si="610"/>
        <v>22.170849845882874</v>
      </c>
      <c r="AJ940" s="75">
        <f>AI940*(1-PARAM!$C$27)*$I$11+(MOD($B940,60)=PARAM!$B$56)*($B940&gt;(60-PARAM!$B$56))*HLOOKUP(($B940+PARAM!$B$56)/12,Loyalty,2)*$F$1*MAX(AL939,0)</f>
        <v>18.557001321003963</v>
      </c>
      <c r="AK940" s="75">
        <f>PARAM!$C$26+MAX($G$11-CHOOSE(PARAM!$B$44,MAX(0,AL939*$F$1),0),0)*RATES!$L916/12+$H$11*(PARAM!$D$51/12)*RATES!$N916/100</f>
        <v>1190.0416666666667</v>
      </c>
      <c r="AL940" s="16">
        <f t="shared" si="636"/>
        <v>-285905.36581813957</v>
      </c>
      <c r="AM940" s="15">
        <f t="shared" si="611"/>
        <v>22.170849845882874</v>
      </c>
      <c r="AN940" s="75">
        <f>AM940*(1-PARAM!$C$27)*$I$12+(MOD($B940,60)=PARAM!$B$56)*($B940&gt;(60-PARAM!$B$56))*HLOOKUP(($B940+PARAM!$B$56)/12,Loyalty,2)*$F$1*MAX(AP939,0)</f>
        <v>18.557001321003963</v>
      </c>
      <c r="AO940" s="75">
        <f>PARAM!$C$26+MAX($G$12-CHOOSE(PARAM!$B$44,MAX(0,AP939*$F$1),0),0)*RATES!$L916/12+$H$12*(PARAM!$D$51/12)*RATES!$N916/100</f>
        <v>1190.0416666666667</v>
      </c>
      <c r="AP940" s="16">
        <f t="shared" si="637"/>
        <v>-285905.36581813957</v>
      </c>
      <c r="AQ940" s="15">
        <f t="shared" si="612"/>
        <v>22.170849845882874</v>
      </c>
      <c r="AR940" s="75">
        <f>AQ940*(1-PARAM!$C$27)*$I$13+(MOD($B940,60)=PARAM!$B$56)*($B940&gt;(60-PARAM!$B$56))*HLOOKUP(($B940+PARAM!$B$56)/12,Loyalty,2)*$F$1*MAX(AT939,0)</f>
        <v>18.557001321003963</v>
      </c>
      <c r="AS940" s="75">
        <f>PARAM!$C$26+MAX($G$13-CHOOSE(PARAM!$B$44,MAX(0,AT939*$F$1),0),0)*RATES!$L916/12+$H$13*(PARAM!$D$51/12)*RATES!$N916/100</f>
        <v>1190.0416666666667</v>
      </c>
      <c r="AT940" s="16">
        <f t="shared" si="638"/>
        <v>-285905.36581813957</v>
      </c>
      <c r="AU940" s="15">
        <f t="shared" si="613"/>
        <v>22.170849845882874</v>
      </c>
      <c r="AV940" s="75">
        <f>AU940*(1-PARAM!$C$27)*$I$14+(MOD($B940,60)=PARAM!$B$56)*($B940&gt;(60-PARAM!$B$56))*HLOOKUP(($B940+PARAM!$B$56)/12,Loyalty,2)*$F$1*MAX(AX939,0)</f>
        <v>18.557001321003963</v>
      </c>
      <c r="AW940" s="75">
        <f>PARAM!$C$26+MAX($G$14-CHOOSE(PARAM!$B$44,MAX(0,AX939*$F$1),0),0)*RATES!$L916/12+$H$14*(PARAM!$D$51/12)*RATES!$N916/100</f>
        <v>1190.0416666666667</v>
      </c>
      <c r="AX940" s="16">
        <f t="shared" si="639"/>
        <v>-285905.36581813957</v>
      </c>
      <c r="AY940" s="15">
        <f t="shared" si="614"/>
        <v>22.170849845882874</v>
      </c>
      <c r="AZ940" s="75">
        <f>AY940*(1-PARAM!$C$27)*$I$15+(MOD($B940,60)=PARAM!$B$56)*($B940&gt;(60-PARAM!$B$56))*HLOOKUP(($B940+PARAM!$B$56)/12,Loyalty,2)*$F$1*MAX(BB939,0)</f>
        <v>18.557001321003963</v>
      </c>
      <c r="BA940" s="75">
        <f>PARAM!$C$26+MAX($G$15-CHOOSE(PARAM!$B$44,MAX(0,BB939*$F$1),0),0)*RATES!$L916/12+$H$15*(PARAM!$D$51/12)*RATES!$N916/100</f>
        <v>1190.0416666666667</v>
      </c>
      <c r="BB940" s="16">
        <f t="shared" si="640"/>
        <v>-285905.36581813957</v>
      </c>
      <c r="BC940" s="15">
        <f t="shared" si="615"/>
        <v>22.170849845882874</v>
      </c>
      <c r="BD940" s="75">
        <f>BC940*(1-PARAM!$C$27)*$I$16+(MOD($B940,60)=PARAM!$B$56)*($B940&gt;(60-PARAM!$B$56))*HLOOKUP(($B940+PARAM!$B$56)/12,Loyalty,2)*$F$1*MAX(BF939,0)</f>
        <v>18.557001321003963</v>
      </c>
      <c r="BE940" s="75">
        <f>PARAM!$C$26+MAX($G$16-CHOOSE(PARAM!$B$44,MAX(0,BF939*$F$1),0),0)*RATES!$L916/12+$H$16*(PARAM!$D$51/12)*RATES!$N916/100</f>
        <v>1190.0416666666667</v>
      </c>
      <c r="BF940" s="16">
        <f t="shared" si="641"/>
        <v>-285905.36581813957</v>
      </c>
      <c r="BG940" s="15">
        <f t="shared" si="616"/>
        <v>22.170849845882874</v>
      </c>
      <c r="BH940" s="75">
        <f>BG940*(1-PARAM!$C$27)*$I$17+(MOD($B940,60)=PARAM!$B$56)*($B940&gt;(60-PARAM!$B$56))*HLOOKUP(($B940+PARAM!$B$56)/12,Loyalty,2)*$F$1*MAX(BJ939,0)</f>
        <v>18.557001321003963</v>
      </c>
      <c r="BI940" s="75">
        <f>PARAM!$C$26+MAX($G$17-CHOOSE(PARAM!$B$44,MAX(0,BJ939*$F$1),0),0)*RATES!$L916/12+$H$17*(PARAM!$D$51/12)*RATES!$N916/100</f>
        <v>1190.0416666666667</v>
      </c>
      <c r="BJ940" s="16">
        <f t="shared" si="642"/>
        <v>-285905.36581813957</v>
      </c>
      <c r="BK940" s="15">
        <f t="shared" si="617"/>
        <v>22.170849845882874</v>
      </c>
      <c r="BL940" s="75">
        <f>BK940*(1-PARAM!$C$27)*$I$18+(MOD($B940,60)=PARAM!$B$56)*($B940&gt;(60-PARAM!$B$56))*HLOOKUP(($B940+PARAM!$B$56)/12,Loyalty,2)*$F$1*MAX(BN939,0)</f>
        <v>18.557001321003963</v>
      </c>
      <c r="BM940" s="75">
        <f>PARAM!$C$26+MAX($G$18-CHOOSE(PARAM!$B$44,MAX(0,BN939*$F$1),0),0)*RATES!$L916/12+$H$18*(PARAM!$D$51/12)*RATES!$N916/100</f>
        <v>1190.0416666666667</v>
      </c>
      <c r="BN940" s="16">
        <f t="shared" si="643"/>
        <v>-285905.36581813957</v>
      </c>
      <c r="BO940" s="15">
        <f t="shared" si="618"/>
        <v>22.170849845882874</v>
      </c>
      <c r="BP940" s="75">
        <f>BO940*(1-PARAM!$C$27)*$I$19+(MOD($B940,60)=PARAM!$B$56)*($B940&gt;(60-PARAM!$B$56))*HLOOKUP(($B940+PARAM!$B$56)/12,Loyalty,2)*$F$1*MAX(BR939,0)</f>
        <v>18.557001321003963</v>
      </c>
      <c r="BQ940" s="75">
        <f>PARAM!$C$26+MAX($G$19-CHOOSE(PARAM!$B$44,MAX(0,BR939*$F$1),0),0)*RATES!$L916/12+$H$19*(PARAM!$D$51/12)*RATES!$N916/100</f>
        <v>1190.0416666666667</v>
      </c>
      <c r="BR940" s="16">
        <f t="shared" si="644"/>
        <v>-285905.36581813957</v>
      </c>
      <c r="BS940" s="15">
        <f t="shared" si="619"/>
        <v>22.170849845882874</v>
      </c>
      <c r="BT940" s="75">
        <f>BS940*(1-PARAM!$C$27)*$I$20+(MOD($B940,60)=PARAM!$B$56)*($B940&gt;(60-PARAM!$B$56))*HLOOKUP(($B940+PARAM!$B$56)/12,Loyalty,2)*$F$1*MAX(BV939,0)</f>
        <v>18.557001321003963</v>
      </c>
      <c r="BU940" s="75">
        <f>PARAM!$C$26+MAX($G$20-CHOOSE(PARAM!$B$44,MAX(0,BV939*$F$1),0),0)*RATES!$L916/12+$H$20*(PARAM!$D$51/12)*RATES!$N916/100</f>
        <v>1190.0416666666667</v>
      </c>
      <c r="BV940" s="16">
        <f t="shared" si="645"/>
        <v>-285905.36581813957</v>
      </c>
      <c r="BW940" s="15">
        <f t="shared" si="620"/>
        <v>22.170849845882874</v>
      </c>
      <c r="BX940" s="75">
        <f>BW940*(1-PARAM!$C$27)*$I$21+(MOD($B940,60)=PARAM!$B$56)*($B940&gt;(60-PARAM!$B$56))*HLOOKUP(($B940+PARAM!$B$56)/12,Loyalty,2)*$F$1*MAX(BZ939,0)</f>
        <v>18.557001321003963</v>
      </c>
      <c r="BY940" s="75">
        <f>PARAM!$C$26+MAX($G$21-CHOOSE(PARAM!$B$44,MAX(0,BZ939*$F$1),0),0)*RATES!$L916/12+$H$21*(PARAM!$D$51/12)*RATES!$N916/100</f>
        <v>1190.0416666666667</v>
      </c>
      <c r="BZ940" s="16">
        <f t="shared" si="646"/>
        <v>-285905.36581813957</v>
      </c>
      <c r="CA940" s="15">
        <f t="shared" si="621"/>
        <v>22.170849845882874</v>
      </c>
      <c r="CB940" s="75">
        <f>CA940*(1-PARAM!$C$27)*$I$22+(MOD($B940,60)=PARAM!$B$56)*($B940&gt;(60-PARAM!$B$56))*HLOOKUP(($B940+PARAM!$B$56)/12,Loyalty,2)*$F$1*MAX(CD939,0)</f>
        <v>18.557001321003963</v>
      </c>
      <c r="CC940" s="75">
        <f>PARAM!$C$26+MAX($G$22-CHOOSE(PARAM!$B$44,MAX(0,CD939*$F$1),0),0)*RATES!$L916/12+$H$22*(PARAM!$D$51/12)*RATES!$N916/100</f>
        <v>1190.0416666666667</v>
      </c>
      <c r="CD940" s="16">
        <f t="shared" si="647"/>
        <v>-285905.36581813957</v>
      </c>
      <c r="CE940" s="33">
        <f>IF(0=MOD(B940,12/PARAM!$D$51),1,0)</f>
        <v>1</v>
      </c>
      <c r="CF940" s="15">
        <f t="shared" si="622"/>
        <v>0</v>
      </c>
      <c r="CG940" s="75">
        <f>CF940*(1-PARAM!$C$27)*$R$3+(MOD($B940/12,5)=0)*($B940&gt;60)*HLOOKUP($B940/12,Loyalty,2)*$F$1*MAX(CI939,0)</f>
        <v>0</v>
      </c>
      <c r="CH940" s="75">
        <f>PARAM!$C$26+MAX($P$3-CHOOSE(PARAM!$B$44,MAX(0,CI939*$F$1),0),0)*RATES!$L916/12+$Q$3*(PARAM!$D$51/12)*RATES!$N916/100</f>
        <v>1190.0416666666667</v>
      </c>
      <c r="CI940" s="16">
        <f>IF(CI939&gt;0,CI939*PARAM!$C$53,CI939)+CG940-CH940</f>
        <v>-302728.3333333336</v>
      </c>
      <c r="CJ940" s="15">
        <f t="shared" si="648"/>
        <v>0</v>
      </c>
      <c r="CK940" s="75">
        <f>CJ940*(1-PARAM!$C$27)*$R$4+(MOD($B940/12,5)=0)*($B940&gt;60)*HLOOKUP($B940/12,Loyalty,2)*$F$1*MAX(CM939,0)</f>
        <v>0</v>
      </c>
      <c r="CL940" s="75">
        <f>PARAM!$C$26+MAX($P$4-CHOOSE(PARAM!$B$44,MAX(0,CM939*$F$1),0),0)*RATES!$L916/12+$Q$4*(PARAM!$D$51/12)*RATES!$N916/100</f>
        <v>1190.0416666666667</v>
      </c>
      <c r="CM940" s="16">
        <f>IF(CM939&gt;0,CM939*PARAM!$C$53,CM939)+CK940-CL940</f>
        <v>-302728.3333333336</v>
      </c>
      <c r="CO940" s="176"/>
    </row>
    <row r="941" spans="1:93" x14ac:dyDescent="0.2">
      <c r="A941" t="b">
        <f t="shared" si="623"/>
        <v>0</v>
      </c>
      <c r="B941" s="33">
        <v>914</v>
      </c>
      <c r="C941" s="15">
        <f t="shared" si="624"/>
        <v>20.081305947392778</v>
      </c>
      <c r="D941" s="75">
        <f>C941*(1-PARAM!$C$27)*$I$3+(MOD($B941,60)=PARAM!$B$56)*($B941&gt;(60-PARAM!$B$56))*HLOOKUP(($B941+PARAM!$B$56)/12,Loyalty,2)*$F$1*MAX(F940,0)</f>
        <v>16.808053077967756</v>
      </c>
      <c r="E941" s="75">
        <f>PARAM!$C$26+MAX($G$3-CHOOSE(PARAM!$B$44,MAX(0,F940*$F$1),0),0)*RATES!$L917/12+$H$3*(PARAM!$D$51/12)*RATES!$N917/100</f>
        <v>1190.0416666666667</v>
      </c>
      <c r="F941" s="16">
        <f t="shared" si="625"/>
        <v>-288712.23967814248</v>
      </c>
      <c r="G941" s="15">
        <f t="shared" si="626"/>
        <v>22.035289406060361</v>
      </c>
      <c r="H941" s="75">
        <f>G941*(1-PARAM!$C$27)*$I$4+(MOD($B941,60)=PARAM!$B$56)*($B941&gt;(60-PARAM!$B$56))*HLOOKUP(($B941+PARAM!$B$56)/12,Loyalty,2)*$F$1*MAX(J940,0)</f>
        <v>18.443537232872522</v>
      </c>
      <c r="I941" s="75">
        <f>PARAM!$C$26+MAX($G$4-CHOOSE(PARAM!$B$44,MAX(0,J940*$F$1),0),0)*RATES!$L917/12+$H$4*(PARAM!$D$51/12)*RATES!$N917/100</f>
        <v>1190.0416666666667</v>
      </c>
      <c r="J941" s="16">
        <f t="shared" si="627"/>
        <v>-287183.57419643592</v>
      </c>
      <c r="K941" s="15">
        <f t="shared" si="628"/>
        <v>22.170849845882874</v>
      </c>
      <c r="L941" s="75">
        <f>K941*(1-PARAM!$C$27)*$I$5+(MOD($B941,60)=PARAM!$B$56)*($B941&gt;(60-PARAM!$B$56))*HLOOKUP(($B941+PARAM!$B$56)/12,Loyalty,2)*$F$1*MAX(N940,0)</f>
        <v>18.557001321003963</v>
      </c>
      <c r="M941" s="75">
        <f>PARAM!$C$26+MAX($G$5-CHOOSE(PARAM!$B$44,MAX(0,N940*$F$1),0),0)*RATES!$L917/12+$H$5*(PARAM!$D$51/12)*RATES!$N917/100</f>
        <v>1190.0416666666667</v>
      </c>
      <c r="N941" s="16">
        <f t="shared" si="629"/>
        <v>-287076.85048348526</v>
      </c>
      <c r="O941" s="15">
        <f t="shared" si="630"/>
        <v>22.170849845882874</v>
      </c>
      <c r="P941" s="75">
        <f>O941*(1-PARAM!$C$27)*$I$6+(MOD($B941,60)=PARAM!$B$56)*($B941&gt;(60-PARAM!$B$56))*HLOOKUP(($B941+PARAM!$B$56)/12,Loyalty,2)*$F$1*MAX(R940,0)</f>
        <v>18.557001321003963</v>
      </c>
      <c r="Q941" s="75">
        <f>PARAM!$C$26+MAX($G$6-CHOOSE(PARAM!$B$44,MAX(0,R940*$F$1),0),0)*RATES!$L917/12+$H$6*(PARAM!$D$51/12)*RATES!$N917/100</f>
        <v>1190.0416666666667</v>
      </c>
      <c r="R941" s="16">
        <f t="shared" si="631"/>
        <v>-287076.85048348526</v>
      </c>
      <c r="S941" s="15">
        <f t="shared" si="606"/>
        <v>22.170849845882874</v>
      </c>
      <c r="T941" s="75">
        <f>S941*(1-PARAM!$C$27)*$I$7+(MOD($B941,60)=PARAM!$B$56)*($B941&gt;(60-PARAM!$B$56))*HLOOKUP(($B941+PARAM!$B$56)/12,Loyalty,2)*$F$1*MAX(V940,0)</f>
        <v>18.557001321003963</v>
      </c>
      <c r="U941" s="75">
        <f>PARAM!$C$26+MAX($G$7-CHOOSE(PARAM!$B$44,MAX(0,V940*$F$1),0),0)*RATES!$L917/12+$H$7*(PARAM!$D$51/12)*RATES!$N917/100</f>
        <v>1190.0416666666667</v>
      </c>
      <c r="V941" s="16">
        <f t="shared" si="632"/>
        <v>-287076.85048348526</v>
      </c>
      <c r="W941" s="15">
        <f t="shared" si="607"/>
        <v>22.170849845882874</v>
      </c>
      <c r="X941" s="75">
        <f>W941*(1-PARAM!$C$27)*$I$8+(MOD($B941,60)=PARAM!$B$56)*($B941&gt;(60-PARAM!$B$56))*HLOOKUP(($B941+PARAM!$B$56)/12,Loyalty,2)*$F$1*MAX(Z940,0)</f>
        <v>18.557001321003963</v>
      </c>
      <c r="Y941" s="75">
        <f>PARAM!$C$26+MAX($G$8-CHOOSE(PARAM!$B$44,MAX(0,Z940*$F$1),0),0)*RATES!$L917/12+$H$8*(PARAM!$D$51/12)*RATES!$N917/100</f>
        <v>1190.0416666666667</v>
      </c>
      <c r="Z941" s="16">
        <f t="shared" si="633"/>
        <v>-287076.85048348526</v>
      </c>
      <c r="AA941" s="15">
        <f t="shared" si="608"/>
        <v>22.170849845882874</v>
      </c>
      <c r="AB941" s="75">
        <f>AA941*(1-PARAM!$C$27)*$I$9+(MOD($B941,60)=PARAM!$B$56)*($B941&gt;(60-PARAM!$B$56))*HLOOKUP(($B941+PARAM!$B$56)/12,Loyalty,2)*$F$1*MAX(AD940,0)</f>
        <v>18.557001321003963</v>
      </c>
      <c r="AC941" s="75">
        <f>PARAM!$C$26+MAX($G$9-CHOOSE(PARAM!$B$44,MAX(0,AD940*$F$1),0),0)*RATES!$L917/12+$H$9*(PARAM!$D$51/12)*RATES!$N917/100</f>
        <v>1190.0416666666667</v>
      </c>
      <c r="AD941" s="16">
        <f t="shared" si="634"/>
        <v>-287076.85048348526</v>
      </c>
      <c r="AE941" s="15">
        <f t="shared" si="609"/>
        <v>22.170849845882874</v>
      </c>
      <c r="AF941" s="75">
        <f>AE941*(1-PARAM!$C$27)*$I$10+(MOD($B941,60)=PARAM!$B$56)*($B941&gt;(60-PARAM!$B$56))*HLOOKUP(($B941+PARAM!$B$56)/12,Loyalty,2)*$F$1*MAX(AH940,0)</f>
        <v>18.557001321003963</v>
      </c>
      <c r="AG941" s="75">
        <f>PARAM!$C$26+MAX($G$10-CHOOSE(PARAM!$B$44,MAX(0,AH940*$F$1),0),0)*RATES!$L917/12+$H$10*(PARAM!$D$51/12)*RATES!$N917/100</f>
        <v>1190.0416666666667</v>
      </c>
      <c r="AH941" s="16">
        <f t="shared" si="635"/>
        <v>-287076.85048348526</v>
      </c>
      <c r="AI941" s="15">
        <f t="shared" si="610"/>
        <v>22.170849845882874</v>
      </c>
      <c r="AJ941" s="75">
        <f>AI941*(1-PARAM!$C$27)*$I$11+(MOD($B941,60)=PARAM!$B$56)*($B941&gt;(60-PARAM!$B$56))*HLOOKUP(($B941+PARAM!$B$56)/12,Loyalty,2)*$F$1*MAX(AL940,0)</f>
        <v>18.557001321003963</v>
      </c>
      <c r="AK941" s="75">
        <f>PARAM!$C$26+MAX($G$11-CHOOSE(PARAM!$B$44,MAX(0,AL940*$F$1),0),0)*RATES!$L917/12+$H$11*(PARAM!$D$51/12)*RATES!$N917/100</f>
        <v>1190.0416666666667</v>
      </c>
      <c r="AL941" s="16">
        <f t="shared" si="636"/>
        <v>-287076.85048348526</v>
      </c>
      <c r="AM941" s="15">
        <f t="shared" si="611"/>
        <v>22.170849845882874</v>
      </c>
      <c r="AN941" s="75">
        <f>AM941*(1-PARAM!$C$27)*$I$12+(MOD($B941,60)=PARAM!$B$56)*($B941&gt;(60-PARAM!$B$56))*HLOOKUP(($B941+PARAM!$B$56)/12,Loyalty,2)*$F$1*MAX(AP940,0)</f>
        <v>18.557001321003963</v>
      </c>
      <c r="AO941" s="75">
        <f>PARAM!$C$26+MAX($G$12-CHOOSE(PARAM!$B$44,MAX(0,AP940*$F$1),0),0)*RATES!$L917/12+$H$12*(PARAM!$D$51/12)*RATES!$N917/100</f>
        <v>1190.0416666666667</v>
      </c>
      <c r="AP941" s="16">
        <f t="shared" si="637"/>
        <v>-287076.85048348526</v>
      </c>
      <c r="AQ941" s="15">
        <f t="shared" si="612"/>
        <v>22.170849845882874</v>
      </c>
      <c r="AR941" s="75">
        <f>AQ941*(1-PARAM!$C$27)*$I$13+(MOD($B941,60)=PARAM!$B$56)*($B941&gt;(60-PARAM!$B$56))*HLOOKUP(($B941+PARAM!$B$56)/12,Loyalty,2)*$F$1*MAX(AT940,0)</f>
        <v>18.557001321003963</v>
      </c>
      <c r="AS941" s="75">
        <f>PARAM!$C$26+MAX($G$13-CHOOSE(PARAM!$B$44,MAX(0,AT940*$F$1),0),0)*RATES!$L917/12+$H$13*(PARAM!$D$51/12)*RATES!$N917/100</f>
        <v>1190.0416666666667</v>
      </c>
      <c r="AT941" s="16">
        <f t="shared" si="638"/>
        <v>-287076.85048348526</v>
      </c>
      <c r="AU941" s="15">
        <f t="shared" si="613"/>
        <v>22.170849845882874</v>
      </c>
      <c r="AV941" s="75">
        <f>AU941*(1-PARAM!$C$27)*$I$14+(MOD($B941,60)=PARAM!$B$56)*($B941&gt;(60-PARAM!$B$56))*HLOOKUP(($B941+PARAM!$B$56)/12,Loyalty,2)*$F$1*MAX(AX940,0)</f>
        <v>18.557001321003963</v>
      </c>
      <c r="AW941" s="75">
        <f>PARAM!$C$26+MAX($G$14-CHOOSE(PARAM!$B$44,MAX(0,AX940*$F$1),0),0)*RATES!$L917/12+$H$14*(PARAM!$D$51/12)*RATES!$N917/100</f>
        <v>1190.0416666666667</v>
      </c>
      <c r="AX941" s="16">
        <f t="shared" si="639"/>
        <v>-287076.85048348526</v>
      </c>
      <c r="AY941" s="15">
        <f t="shared" si="614"/>
        <v>22.170849845882874</v>
      </c>
      <c r="AZ941" s="75">
        <f>AY941*(1-PARAM!$C$27)*$I$15+(MOD($B941,60)=PARAM!$B$56)*($B941&gt;(60-PARAM!$B$56))*HLOOKUP(($B941+PARAM!$B$56)/12,Loyalty,2)*$F$1*MAX(BB940,0)</f>
        <v>18.557001321003963</v>
      </c>
      <c r="BA941" s="75">
        <f>PARAM!$C$26+MAX($G$15-CHOOSE(PARAM!$B$44,MAX(0,BB940*$F$1),0),0)*RATES!$L917/12+$H$15*(PARAM!$D$51/12)*RATES!$N917/100</f>
        <v>1190.0416666666667</v>
      </c>
      <c r="BB941" s="16">
        <f t="shared" si="640"/>
        <v>-287076.85048348526</v>
      </c>
      <c r="BC941" s="15">
        <f t="shared" si="615"/>
        <v>22.170849845882874</v>
      </c>
      <c r="BD941" s="75">
        <f>BC941*(1-PARAM!$C$27)*$I$16+(MOD($B941,60)=PARAM!$B$56)*($B941&gt;(60-PARAM!$B$56))*HLOOKUP(($B941+PARAM!$B$56)/12,Loyalty,2)*$F$1*MAX(BF940,0)</f>
        <v>18.557001321003963</v>
      </c>
      <c r="BE941" s="75">
        <f>PARAM!$C$26+MAX($G$16-CHOOSE(PARAM!$B$44,MAX(0,BF940*$F$1),0),0)*RATES!$L917/12+$H$16*(PARAM!$D$51/12)*RATES!$N917/100</f>
        <v>1190.0416666666667</v>
      </c>
      <c r="BF941" s="16">
        <f t="shared" si="641"/>
        <v>-287076.85048348526</v>
      </c>
      <c r="BG941" s="15">
        <f t="shared" si="616"/>
        <v>22.170849845882874</v>
      </c>
      <c r="BH941" s="75">
        <f>BG941*(1-PARAM!$C$27)*$I$17+(MOD($B941,60)=PARAM!$B$56)*($B941&gt;(60-PARAM!$B$56))*HLOOKUP(($B941+PARAM!$B$56)/12,Loyalty,2)*$F$1*MAX(BJ940,0)</f>
        <v>18.557001321003963</v>
      </c>
      <c r="BI941" s="75">
        <f>PARAM!$C$26+MAX($G$17-CHOOSE(PARAM!$B$44,MAX(0,BJ940*$F$1),0),0)*RATES!$L917/12+$H$17*(PARAM!$D$51/12)*RATES!$N917/100</f>
        <v>1190.0416666666667</v>
      </c>
      <c r="BJ941" s="16">
        <f t="shared" si="642"/>
        <v>-287076.85048348526</v>
      </c>
      <c r="BK941" s="15">
        <f t="shared" si="617"/>
        <v>22.170849845882874</v>
      </c>
      <c r="BL941" s="75">
        <f>BK941*(1-PARAM!$C$27)*$I$18+(MOD($B941,60)=PARAM!$B$56)*($B941&gt;(60-PARAM!$B$56))*HLOOKUP(($B941+PARAM!$B$56)/12,Loyalty,2)*$F$1*MAX(BN940,0)</f>
        <v>18.557001321003963</v>
      </c>
      <c r="BM941" s="75">
        <f>PARAM!$C$26+MAX($G$18-CHOOSE(PARAM!$B$44,MAX(0,BN940*$F$1),0),0)*RATES!$L917/12+$H$18*(PARAM!$D$51/12)*RATES!$N917/100</f>
        <v>1190.0416666666667</v>
      </c>
      <c r="BN941" s="16">
        <f t="shared" si="643"/>
        <v>-287076.85048348526</v>
      </c>
      <c r="BO941" s="15">
        <f t="shared" si="618"/>
        <v>22.170849845882874</v>
      </c>
      <c r="BP941" s="75">
        <f>BO941*(1-PARAM!$C$27)*$I$19+(MOD($B941,60)=PARAM!$B$56)*($B941&gt;(60-PARAM!$B$56))*HLOOKUP(($B941+PARAM!$B$56)/12,Loyalty,2)*$F$1*MAX(BR940,0)</f>
        <v>18.557001321003963</v>
      </c>
      <c r="BQ941" s="75">
        <f>PARAM!$C$26+MAX($G$19-CHOOSE(PARAM!$B$44,MAX(0,BR940*$F$1),0),0)*RATES!$L917/12+$H$19*(PARAM!$D$51/12)*RATES!$N917/100</f>
        <v>1190.0416666666667</v>
      </c>
      <c r="BR941" s="16">
        <f t="shared" si="644"/>
        <v>-287076.85048348526</v>
      </c>
      <c r="BS941" s="15">
        <f t="shared" si="619"/>
        <v>22.170849845882874</v>
      </c>
      <c r="BT941" s="75">
        <f>BS941*(1-PARAM!$C$27)*$I$20+(MOD($B941,60)=PARAM!$B$56)*($B941&gt;(60-PARAM!$B$56))*HLOOKUP(($B941+PARAM!$B$56)/12,Loyalty,2)*$F$1*MAX(BV940,0)</f>
        <v>18.557001321003963</v>
      </c>
      <c r="BU941" s="75">
        <f>PARAM!$C$26+MAX($G$20-CHOOSE(PARAM!$B$44,MAX(0,BV940*$F$1),0),0)*RATES!$L917/12+$H$20*(PARAM!$D$51/12)*RATES!$N917/100</f>
        <v>1190.0416666666667</v>
      </c>
      <c r="BV941" s="16">
        <f t="shared" si="645"/>
        <v>-287076.85048348526</v>
      </c>
      <c r="BW941" s="15">
        <f t="shared" si="620"/>
        <v>22.170849845882874</v>
      </c>
      <c r="BX941" s="75">
        <f>BW941*(1-PARAM!$C$27)*$I$21+(MOD($B941,60)=PARAM!$B$56)*($B941&gt;(60-PARAM!$B$56))*HLOOKUP(($B941+PARAM!$B$56)/12,Loyalty,2)*$F$1*MAX(BZ940,0)</f>
        <v>18.557001321003963</v>
      </c>
      <c r="BY941" s="75">
        <f>PARAM!$C$26+MAX($G$21-CHOOSE(PARAM!$B$44,MAX(0,BZ940*$F$1),0),0)*RATES!$L917/12+$H$21*(PARAM!$D$51/12)*RATES!$N917/100</f>
        <v>1190.0416666666667</v>
      </c>
      <c r="BZ941" s="16">
        <f t="shared" si="646"/>
        <v>-287076.85048348526</v>
      </c>
      <c r="CA941" s="15">
        <f t="shared" si="621"/>
        <v>22.170849845882874</v>
      </c>
      <c r="CB941" s="75">
        <f>CA941*(1-PARAM!$C$27)*$I$22+(MOD($B941,60)=PARAM!$B$56)*($B941&gt;(60-PARAM!$B$56))*HLOOKUP(($B941+PARAM!$B$56)/12,Loyalty,2)*$F$1*MAX(CD940,0)</f>
        <v>18.557001321003963</v>
      </c>
      <c r="CC941" s="75">
        <f>PARAM!$C$26+MAX($G$22-CHOOSE(PARAM!$B$44,MAX(0,CD940*$F$1),0),0)*RATES!$L917/12+$H$22*(PARAM!$D$51/12)*RATES!$N917/100</f>
        <v>1190.0416666666667</v>
      </c>
      <c r="CD941" s="16">
        <f t="shared" si="647"/>
        <v>-287076.85048348526</v>
      </c>
      <c r="CE941" s="33">
        <f>IF(0=MOD(B941,12/PARAM!$D$51),1,0)</f>
        <v>1</v>
      </c>
      <c r="CF941" s="15">
        <f t="shared" si="622"/>
        <v>0</v>
      </c>
      <c r="CG941" s="75">
        <f>CF941*(1-PARAM!$C$27)*$R$3+(MOD($B941/12,5)=0)*($B941&gt;60)*HLOOKUP($B941/12,Loyalty,2)*$F$1*MAX(CI940,0)</f>
        <v>0</v>
      </c>
      <c r="CH941" s="75">
        <f>PARAM!$C$26+MAX($P$3-CHOOSE(PARAM!$B$44,MAX(0,CI940*$F$1),0),0)*RATES!$L917/12+$Q$3*(PARAM!$D$51/12)*RATES!$N917/100</f>
        <v>1190.0416666666667</v>
      </c>
      <c r="CI941" s="16">
        <f>IF(CI940&gt;0,CI940*PARAM!$C$53,CI940)+CG941-CH941</f>
        <v>-303918.37500000029</v>
      </c>
      <c r="CJ941" s="15">
        <f t="shared" si="648"/>
        <v>0</v>
      </c>
      <c r="CK941" s="75">
        <f>CJ941*(1-PARAM!$C$27)*$R$4+(MOD($B941/12,5)=0)*($B941&gt;60)*HLOOKUP($B941/12,Loyalty,2)*$F$1*MAX(CM940,0)</f>
        <v>0</v>
      </c>
      <c r="CL941" s="75">
        <f>PARAM!$C$26+MAX($P$4-CHOOSE(PARAM!$B$44,MAX(0,CM940*$F$1),0),0)*RATES!$L917/12+$Q$4*(PARAM!$D$51/12)*RATES!$N917/100</f>
        <v>1190.0416666666667</v>
      </c>
      <c r="CM941" s="16">
        <f>IF(CM940&gt;0,CM940*PARAM!$C$53,CM940)+CK941-CL941</f>
        <v>-303918.37500000029</v>
      </c>
      <c r="CO941" s="176"/>
    </row>
    <row r="942" spans="1:93" x14ac:dyDescent="0.2">
      <c r="A942" t="b">
        <f t="shared" si="623"/>
        <v>0</v>
      </c>
      <c r="B942" s="33">
        <v>915</v>
      </c>
      <c r="C942" s="15">
        <f t="shared" si="624"/>
        <v>20.081305947392778</v>
      </c>
      <c r="D942" s="75">
        <f>C942*(1-PARAM!$C$27)*$I$3+(MOD($B942,60)=PARAM!$B$56)*($B942&gt;(60-PARAM!$B$56))*HLOOKUP(($B942+PARAM!$B$56)/12,Loyalty,2)*$F$1*MAX(F941,0)</f>
        <v>16.808053077967756</v>
      </c>
      <c r="E942" s="75">
        <f>PARAM!$C$26+MAX($G$3-CHOOSE(PARAM!$B$44,MAX(0,F941*$F$1),0),0)*RATES!$L918/12+$H$3*(PARAM!$D$51/12)*RATES!$N918/100</f>
        <v>1190.0416666666667</v>
      </c>
      <c r="F942" s="16">
        <f t="shared" si="625"/>
        <v>-289885.47329173121</v>
      </c>
      <c r="G942" s="15">
        <f t="shared" si="626"/>
        <v>22.035289406060361</v>
      </c>
      <c r="H942" s="75">
        <f>G942*(1-PARAM!$C$27)*$I$4+(MOD($B942,60)=PARAM!$B$56)*($B942&gt;(60-PARAM!$B$56))*HLOOKUP(($B942+PARAM!$B$56)/12,Loyalty,2)*$F$1*MAX(J941,0)</f>
        <v>18.443537232872522</v>
      </c>
      <c r="I942" s="75">
        <f>PARAM!$C$26+MAX($G$4-CHOOSE(PARAM!$B$44,MAX(0,J941*$F$1),0),0)*RATES!$L918/12+$H$4*(PARAM!$D$51/12)*RATES!$N918/100</f>
        <v>1190.0416666666667</v>
      </c>
      <c r="J942" s="16">
        <f t="shared" si="627"/>
        <v>-288355.17232586973</v>
      </c>
      <c r="K942" s="15">
        <f t="shared" si="628"/>
        <v>22.170849845882874</v>
      </c>
      <c r="L942" s="75">
        <f>K942*(1-PARAM!$C$27)*$I$5+(MOD($B942,60)=PARAM!$B$56)*($B942&gt;(60-PARAM!$B$56))*HLOOKUP(($B942+PARAM!$B$56)/12,Loyalty,2)*$F$1*MAX(N941,0)</f>
        <v>18.557001321003963</v>
      </c>
      <c r="M942" s="75">
        <f>PARAM!$C$26+MAX($G$5-CHOOSE(PARAM!$B$44,MAX(0,N941*$F$1),0),0)*RATES!$L918/12+$H$5*(PARAM!$D$51/12)*RATES!$N918/100</f>
        <v>1190.0416666666667</v>
      </c>
      <c r="N942" s="16">
        <f t="shared" si="629"/>
        <v>-288248.33514883096</v>
      </c>
      <c r="O942" s="15">
        <f t="shared" si="630"/>
        <v>22.170849845882874</v>
      </c>
      <c r="P942" s="75">
        <f>O942*(1-PARAM!$C$27)*$I$6+(MOD($B942,60)=PARAM!$B$56)*($B942&gt;(60-PARAM!$B$56))*HLOOKUP(($B942+PARAM!$B$56)/12,Loyalty,2)*$F$1*MAX(R941,0)</f>
        <v>18.557001321003963</v>
      </c>
      <c r="Q942" s="75">
        <f>PARAM!$C$26+MAX($G$6-CHOOSE(PARAM!$B$44,MAX(0,R941*$F$1),0),0)*RATES!$L918/12+$H$6*(PARAM!$D$51/12)*RATES!$N918/100</f>
        <v>1190.0416666666667</v>
      </c>
      <c r="R942" s="16">
        <f t="shared" si="631"/>
        <v>-288248.33514883096</v>
      </c>
      <c r="S942" s="15">
        <f t="shared" si="606"/>
        <v>22.170849845882874</v>
      </c>
      <c r="T942" s="75">
        <f>S942*(1-PARAM!$C$27)*$I$7+(MOD($B942,60)=PARAM!$B$56)*($B942&gt;(60-PARAM!$B$56))*HLOOKUP(($B942+PARAM!$B$56)/12,Loyalty,2)*$F$1*MAX(V941,0)</f>
        <v>18.557001321003963</v>
      </c>
      <c r="U942" s="75">
        <f>PARAM!$C$26+MAX($G$7-CHOOSE(PARAM!$B$44,MAX(0,V941*$F$1),0),0)*RATES!$L918/12+$H$7*(PARAM!$D$51/12)*RATES!$N918/100</f>
        <v>1190.0416666666667</v>
      </c>
      <c r="V942" s="16">
        <f t="shared" si="632"/>
        <v>-288248.33514883096</v>
      </c>
      <c r="W942" s="15">
        <f t="shared" si="607"/>
        <v>22.170849845882874</v>
      </c>
      <c r="X942" s="75">
        <f>W942*(1-PARAM!$C$27)*$I$8+(MOD($B942,60)=PARAM!$B$56)*($B942&gt;(60-PARAM!$B$56))*HLOOKUP(($B942+PARAM!$B$56)/12,Loyalty,2)*$F$1*MAX(Z941,0)</f>
        <v>18.557001321003963</v>
      </c>
      <c r="Y942" s="75">
        <f>PARAM!$C$26+MAX($G$8-CHOOSE(PARAM!$B$44,MAX(0,Z941*$F$1),0),0)*RATES!$L918/12+$H$8*(PARAM!$D$51/12)*RATES!$N918/100</f>
        <v>1190.0416666666667</v>
      </c>
      <c r="Z942" s="16">
        <f t="shared" si="633"/>
        <v>-288248.33514883096</v>
      </c>
      <c r="AA942" s="15">
        <f t="shared" si="608"/>
        <v>22.170849845882874</v>
      </c>
      <c r="AB942" s="75">
        <f>AA942*(1-PARAM!$C$27)*$I$9+(MOD($B942,60)=PARAM!$B$56)*($B942&gt;(60-PARAM!$B$56))*HLOOKUP(($B942+PARAM!$B$56)/12,Loyalty,2)*$F$1*MAX(AD941,0)</f>
        <v>18.557001321003963</v>
      </c>
      <c r="AC942" s="75">
        <f>PARAM!$C$26+MAX($G$9-CHOOSE(PARAM!$B$44,MAX(0,AD941*$F$1),0),0)*RATES!$L918/12+$H$9*(PARAM!$D$51/12)*RATES!$N918/100</f>
        <v>1190.0416666666667</v>
      </c>
      <c r="AD942" s="16">
        <f t="shared" si="634"/>
        <v>-288248.33514883096</v>
      </c>
      <c r="AE942" s="15">
        <f t="shared" si="609"/>
        <v>22.170849845882874</v>
      </c>
      <c r="AF942" s="75">
        <f>AE942*(1-PARAM!$C$27)*$I$10+(MOD($B942,60)=PARAM!$B$56)*($B942&gt;(60-PARAM!$B$56))*HLOOKUP(($B942+PARAM!$B$56)/12,Loyalty,2)*$F$1*MAX(AH941,0)</f>
        <v>18.557001321003963</v>
      </c>
      <c r="AG942" s="75">
        <f>PARAM!$C$26+MAX($G$10-CHOOSE(PARAM!$B$44,MAX(0,AH941*$F$1),0),0)*RATES!$L918/12+$H$10*(PARAM!$D$51/12)*RATES!$N918/100</f>
        <v>1190.0416666666667</v>
      </c>
      <c r="AH942" s="16">
        <f t="shared" si="635"/>
        <v>-288248.33514883096</v>
      </c>
      <c r="AI942" s="15">
        <f t="shared" si="610"/>
        <v>22.170849845882874</v>
      </c>
      <c r="AJ942" s="75">
        <f>AI942*(1-PARAM!$C$27)*$I$11+(MOD($B942,60)=PARAM!$B$56)*($B942&gt;(60-PARAM!$B$56))*HLOOKUP(($B942+PARAM!$B$56)/12,Loyalty,2)*$F$1*MAX(AL941,0)</f>
        <v>18.557001321003963</v>
      </c>
      <c r="AK942" s="75">
        <f>PARAM!$C$26+MAX($G$11-CHOOSE(PARAM!$B$44,MAX(0,AL941*$F$1),0),0)*RATES!$L918/12+$H$11*(PARAM!$D$51/12)*RATES!$N918/100</f>
        <v>1190.0416666666667</v>
      </c>
      <c r="AL942" s="16">
        <f t="shared" si="636"/>
        <v>-288248.33514883096</v>
      </c>
      <c r="AM942" s="15">
        <f t="shared" si="611"/>
        <v>22.170849845882874</v>
      </c>
      <c r="AN942" s="75">
        <f>AM942*(1-PARAM!$C$27)*$I$12+(MOD($B942,60)=PARAM!$B$56)*($B942&gt;(60-PARAM!$B$56))*HLOOKUP(($B942+PARAM!$B$56)/12,Loyalty,2)*$F$1*MAX(AP941,0)</f>
        <v>18.557001321003963</v>
      </c>
      <c r="AO942" s="75">
        <f>PARAM!$C$26+MAX($G$12-CHOOSE(PARAM!$B$44,MAX(0,AP941*$F$1),0),0)*RATES!$L918/12+$H$12*(PARAM!$D$51/12)*RATES!$N918/100</f>
        <v>1190.0416666666667</v>
      </c>
      <c r="AP942" s="16">
        <f t="shared" si="637"/>
        <v>-288248.33514883096</v>
      </c>
      <c r="AQ942" s="15">
        <f t="shared" si="612"/>
        <v>22.170849845882874</v>
      </c>
      <c r="AR942" s="75">
        <f>AQ942*(1-PARAM!$C$27)*$I$13+(MOD($B942,60)=PARAM!$B$56)*($B942&gt;(60-PARAM!$B$56))*HLOOKUP(($B942+PARAM!$B$56)/12,Loyalty,2)*$F$1*MAX(AT941,0)</f>
        <v>18.557001321003963</v>
      </c>
      <c r="AS942" s="75">
        <f>PARAM!$C$26+MAX($G$13-CHOOSE(PARAM!$B$44,MAX(0,AT941*$F$1),0),0)*RATES!$L918/12+$H$13*(PARAM!$D$51/12)*RATES!$N918/100</f>
        <v>1190.0416666666667</v>
      </c>
      <c r="AT942" s="16">
        <f t="shared" si="638"/>
        <v>-288248.33514883096</v>
      </c>
      <c r="AU942" s="15">
        <f t="shared" si="613"/>
        <v>22.170849845882874</v>
      </c>
      <c r="AV942" s="75">
        <f>AU942*(1-PARAM!$C$27)*$I$14+(MOD($B942,60)=PARAM!$B$56)*($B942&gt;(60-PARAM!$B$56))*HLOOKUP(($B942+PARAM!$B$56)/12,Loyalty,2)*$F$1*MAX(AX941,0)</f>
        <v>18.557001321003963</v>
      </c>
      <c r="AW942" s="75">
        <f>PARAM!$C$26+MAX($G$14-CHOOSE(PARAM!$B$44,MAX(0,AX941*$F$1),0),0)*RATES!$L918/12+$H$14*(PARAM!$D$51/12)*RATES!$N918/100</f>
        <v>1190.0416666666667</v>
      </c>
      <c r="AX942" s="16">
        <f t="shared" si="639"/>
        <v>-288248.33514883096</v>
      </c>
      <c r="AY942" s="15">
        <f t="shared" si="614"/>
        <v>22.170849845882874</v>
      </c>
      <c r="AZ942" s="75">
        <f>AY942*(1-PARAM!$C$27)*$I$15+(MOD($B942,60)=PARAM!$B$56)*($B942&gt;(60-PARAM!$B$56))*HLOOKUP(($B942+PARAM!$B$56)/12,Loyalty,2)*$F$1*MAX(BB941,0)</f>
        <v>18.557001321003963</v>
      </c>
      <c r="BA942" s="75">
        <f>PARAM!$C$26+MAX($G$15-CHOOSE(PARAM!$B$44,MAX(0,BB941*$F$1),0),0)*RATES!$L918/12+$H$15*(PARAM!$D$51/12)*RATES!$N918/100</f>
        <v>1190.0416666666667</v>
      </c>
      <c r="BB942" s="16">
        <f t="shared" si="640"/>
        <v>-288248.33514883096</v>
      </c>
      <c r="BC942" s="15">
        <f t="shared" si="615"/>
        <v>22.170849845882874</v>
      </c>
      <c r="BD942" s="75">
        <f>BC942*(1-PARAM!$C$27)*$I$16+(MOD($B942,60)=PARAM!$B$56)*($B942&gt;(60-PARAM!$B$56))*HLOOKUP(($B942+PARAM!$B$56)/12,Loyalty,2)*$F$1*MAX(BF941,0)</f>
        <v>18.557001321003963</v>
      </c>
      <c r="BE942" s="75">
        <f>PARAM!$C$26+MAX($G$16-CHOOSE(PARAM!$B$44,MAX(0,BF941*$F$1),0),0)*RATES!$L918/12+$H$16*(PARAM!$D$51/12)*RATES!$N918/100</f>
        <v>1190.0416666666667</v>
      </c>
      <c r="BF942" s="16">
        <f t="shared" si="641"/>
        <v>-288248.33514883096</v>
      </c>
      <c r="BG942" s="15">
        <f t="shared" si="616"/>
        <v>22.170849845882874</v>
      </c>
      <c r="BH942" s="75">
        <f>BG942*(1-PARAM!$C$27)*$I$17+(MOD($B942,60)=PARAM!$B$56)*($B942&gt;(60-PARAM!$B$56))*HLOOKUP(($B942+PARAM!$B$56)/12,Loyalty,2)*$F$1*MAX(BJ941,0)</f>
        <v>18.557001321003963</v>
      </c>
      <c r="BI942" s="75">
        <f>PARAM!$C$26+MAX($G$17-CHOOSE(PARAM!$B$44,MAX(0,BJ941*$F$1),0),0)*RATES!$L918/12+$H$17*(PARAM!$D$51/12)*RATES!$N918/100</f>
        <v>1190.0416666666667</v>
      </c>
      <c r="BJ942" s="16">
        <f t="shared" si="642"/>
        <v>-288248.33514883096</v>
      </c>
      <c r="BK942" s="15">
        <f t="shared" si="617"/>
        <v>22.170849845882874</v>
      </c>
      <c r="BL942" s="75">
        <f>BK942*(1-PARAM!$C$27)*$I$18+(MOD($B942,60)=PARAM!$B$56)*($B942&gt;(60-PARAM!$B$56))*HLOOKUP(($B942+PARAM!$B$56)/12,Loyalty,2)*$F$1*MAX(BN941,0)</f>
        <v>18.557001321003963</v>
      </c>
      <c r="BM942" s="75">
        <f>PARAM!$C$26+MAX($G$18-CHOOSE(PARAM!$B$44,MAX(0,BN941*$F$1),0),0)*RATES!$L918/12+$H$18*(PARAM!$D$51/12)*RATES!$N918/100</f>
        <v>1190.0416666666667</v>
      </c>
      <c r="BN942" s="16">
        <f t="shared" si="643"/>
        <v>-288248.33514883096</v>
      </c>
      <c r="BO942" s="15">
        <f t="shared" si="618"/>
        <v>22.170849845882874</v>
      </c>
      <c r="BP942" s="75">
        <f>BO942*(1-PARAM!$C$27)*$I$19+(MOD($B942,60)=PARAM!$B$56)*($B942&gt;(60-PARAM!$B$56))*HLOOKUP(($B942+PARAM!$B$56)/12,Loyalty,2)*$F$1*MAX(BR941,0)</f>
        <v>18.557001321003963</v>
      </c>
      <c r="BQ942" s="75">
        <f>PARAM!$C$26+MAX($G$19-CHOOSE(PARAM!$B$44,MAX(0,BR941*$F$1),0),0)*RATES!$L918/12+$H$19*(PARAM!$D$51/12)*RATES!$N918/100</f>
        <v>1190.0416666666667</v>
      </c>
      <c r="BR942" s="16">
        <f t="shared" si="644"/>
        <v>-288248.33514883096</v>
      </c>
      <c r="BS942" s="15">
        <f t="shared" si="619"/>
        <v>22.170849845882874</v>
      </c>
      <c r="BT942" s="75">
        <f>BS942*(1-PARAM!$C$27)*$I$20+(MOD($B942,60)=PARAM!$B$56)*($B942&gt;(60-PARAM!$B$56))*HLOOKUP(($B942+PARAM!$B$56)/12,Loyalty,2)*$F$1*MAX(BV941,0)</f>
        <v>18.557001321003963</v>
      </c>
      <c r="BU942" s="75">
        <f>PARAM!$C$26+MAX($G$20-CHOOSE(PARAM!$B$44,MAX(0,BV941*$F$1),0),0)*RATES!$L918/12+$H$20*(PARAM!$D$51/12)*RATES!$N918/100</f>
        <v>1190.0416666666667</v>
      </c>
      <c r="BV942" s="16">
        <f t="shared" si="645"/>
        <v>-288248.33514883096</v>
      </c>
      <c r="BW942" s="15">
        <f t="shared" si="620"/>
        <v>22.170849845882874</v>
      </c>
      <c r="BX942" s="75">
        <f>BW942*(1-PARAM!$C$27)*$I$21+(MOD($B942,60)=PARAM!$B$56)*($B942&gt;(60-PARAM!$B$56))*HLOOKUP(($B942+PARAM!$B$56)/12,Loyalty,2)*$F$1*MAX(BZ941,0)</f>
        <v>18.557001321003963</v>
      </c>
      <c r="BY942" s="75">
        <f>PARAM!$C$26+MAX($G$21-CHOOSE(PARAM!$B$44,MAX(0,BZ941*$F$1),0),0)*RATES!$L918/12+$H$21*(PARAM!$D$51/12)*RATES!$N918/100</f>
        <v>1190.0416666666667</v>
      </c>
      <c r="BZ942" s="16">
        <f t="shared" si="646"/>
        <v>-288248.33514883096</v>
      </c>
      <c r="CA942" s="15">
        <f t="shared" si="621"/>
        <v>22.170849845882874</v>
      </c>
      <c r="CB942" s="75">
        <f>CA942*(1-PARAM!$C$27)*$I$22+(MOD($B942,60)=PARAM!$B$56)*($B942&gt;(60-PARAM!$B$56))*HLOOKUP(($B942+PARAM!$B$56)/12,Loyalty,2)*$F$1*MAX(CD941,0)</f>
        <v>18.557001321003963</v>
      </c>
      <c r="CC942" s="75">
        <f>PARAM!$C$26+MAX($G$22-CHOOSE(PARAM!$B$44,MAX(0,CD941*$F$1),0),0)*RATES!$L918/12+$H$22*(PARAM!$D$51/12)*RATES!$N918/100</f>
        <v>1190.0416666666667</v>
      </c>
      <c r="CD942" s="16">
        <f t="shared" si="647"/>
        <v>-288248.33514883096</v>
      </c>
      <c r="CE942" s="33">
        <f>IF(0=MOD(B942,12/PARAM!$D$51),1,0)</f>
        <v>1</v>
      </c>
      <c r="CF942" s="15">
        <f t="shared" si="622"/>
        <v>0</v>
      </c>
      <c r="CG942" s="75">
        <f>CF942*(1-PARAM!$C$27)*$R$3+(MOD($B942/12,5)=0)*($B942&gt;60)*HLOOKUP($B942/12,Loyalty,2)*$F$1*MAX(CI941,0)</f>
        <v>0</v>
      </c>
      <c r="CH942" s="75">
        <f>PARAM!$C$26+MAX($P$3-CHOOSE(PARAM!$B$44,MAX(0,CI941*$F$1),0),0)*RATES!$L918/12+$Q$3*(PARAM!$D$51/12)*RATES!$N918/100</f>
        <v>1190.0416666666667</v>
      </c>
      <c r="CI942" s="16">
        <f>IF(CI941&gt;0,CI941*PARAM!$C$53,CI941)+CG942-CH942</f>
        <v>-305108.41666666698</v>
      </c>
      <c r="CJ942" s="15">
        <f t="shared" si="648"/>
        <v>0</v>
      </c>
      <c r="CK942" s="75">
        <f>CJ942*(1-PARAM!$C$27)*$R$4+(MOD($B942/12,5)=0)*($B942&gt;60)*HLOOKUP($B942/12,Loyalty,2)*$F$1*MAX(CM941,0)</f>
        <v>0</v>
      </c>
      <c r="CL942" s="75">
        <f>PARAM!$C$26+MAX($P$4-CHOOSE(PARAM!$B$44,MAX(0,CM941*$F$1),0),0)*RATES!$L918/12+$Q$4*(PARAM!$D$51/12)*RATES!$N918/100</f>
        <v>1190.0416666666667</v>
      </c>
      <c r="CM942" s="16">
        <f>IF(CM941&gt;0,CM941*PARAM!$C$53,CM941)+CK942-CL942</f>
        <v>-305108.41666666698</v>
      </c>
      <c r="CO942" s="176"/>
    </row>
    <row r="943" spans="1:93" x14ac:dyDescent="0.2">
      <c r="A943" t="b">
        <f t="shared" si="623"/>
        <v>0</v>
      </c>
      <c r="B943" s="33">
        <v>916</v>
      </c>
      <c r="C943" s="15">
        <f t="shared" si="624"/>
        <v>20.081305947392778</v>
      </c>
      <c r="D943" s="75">
        <f>C943*(1-PARAM!$C$27)*$I$3+(MOD($B943,60)=PARAM!$B$56)*($B943&gt;(60-PARAM!$B$56))*HLOOKUP(($B943+PARAM!$B$56)/12,Loyalty,2)*$F$1*MAX(F942,0)</f>
        <v>16.808053077967756</v>
      </c>
      <c r="E943" s="75">
        <f>PARAM!$C$26+MAX($G$3-CHOOSE(PARAM!$B$44,MAX(0,F942*$F$1),0),0)*RATES!$L919/12+$H$3*(PARAM!$D$51/12)*RATES!$N919/100</f>
        <v>1190.0416666666667</v>
      </c>
      <c r="F943" s="16">
        <f t="shared" si="625"/>
        <v>-291058.70690531994</v>
      </c>
      <c r="G943" s="15">
        <f t="shared" si="626"/>
        <v>22.035289406060361</v>
      </c>
      <c r="H943" s="75">
        <f>G943*(1-PARAM!$C$27)*$I$4+(MOD($B943,60)=PARAM!$B$56)*($B943&gt;(60-PARAM!$B$56))*HLOOKUP(($B943+PARAM!$B$56)/12,Loyalty,2)*$F$1*MAX(J942,0)</f>
        <v>18.443537232872522</v>
      </c>
      <c r="I943" s="75">
        <f>PARAM!$C$26+MAX($G$4-CHOOSE(PARAM!$B$44,MAX(0,J942*$F$1),0),0)*RATES!$L919/12+$H$4*(PARAM!$D$51/12)*RATES!$N919/100</f>
        <v>1190.0416666666667</v>
      </c>
      <c r="J943" s="16">
        <f t="shared" si="627"/>
        <v>-289526.77045530354</v>
      </c>
      <c r="K943" s="15">
        <f t="shared" si="628"/>
        <v>22.170849845882874</v>
      </c>
      <c r="L943" s="75">
        <f>K943*(1-PARAM!$C$27)*$I$5+(MOD($B943,60)=PARAM!$B$56)*($B943&gt;(60-PARAM!$B$56))*HLOOKUP(($B943+PARAM!$B$56)/12,Loyalty,2)*$F$1*MAX(N942,0)</f>
        <v>18.557001321003963</v>
      </c>
      <c r="M943" s="75">
        <f>PARAM!$C$26+MAX($G$5-CHOOSE(PARAM!$B$44,MAX(0,N942*$F$1),0),0)*RATES!$L919/12+$H$5*(PARAM!$D$51/12)*RATES!$N919/100</f>
        <v>1190.0416666666667</v>
      </c>
      <c r="N943" s="16">
        <f t="shared" si="629"/>
        <v>-289419.81981417665</v>
      </c>
      <c r="O943" s="15">
        <f t="shared" si="630"/>
        <v>22.170849845882874</v>
      </c>
      <c r="P943" s="75">
        <f>O943*(1-PARAM!$C$27)*$I$6+(MOD($B943,60)=PARAM!$B$56)*($B943&gt;(60-PARAM!$B$56))*HLOOKUP(($B943+PARAM!$B$56)/12,Loyalty,2)*$F$1*MAX(R942,0)</f>
        <v>18.557001321003963</v>
      </c>
      <c r="Q943" s="75">
        <f>PARAM!$C$26+MAX($G$6-CHOOSE(PARAM!$B$44,MAX(0,R942*$F$1),0),0)*RATES!$L919/12+$H$6*(PARAM!$D$51/12)*RATES!$N919/100</f>
        <v>1190.0416666666667</v>
      </c>
      <c r="R943" s="16">
        <f t="shared" si="631"/>
        <v>-289419.81981417665</v>
      </c>
      <c r="S943" s="15">
        <f t="shared" si="606"/>
        <v>22.170849845882874</v>
      </c>
      <c r="T943" s="75">
        <f>S943*(1-PARAM!$C$27)*$I$7+(MOD($B943,60)=PARAM!$B$56)*($B943&gt;(60-PARAM!$B$56))*HLOOKUP(($B943+PARAM!$B$56)/12,Loyalty,2)*$F$1*MAX(V942,0)</f>
        <v>18.557001321003963</v>
      </c>
      <c r="U943" s="75">
        <f>PARAM!$C$26+MAX($G$7-CHOOSE(PARAM!$B$44,MAX(0,V942*$F$1),0),0)*RATES!$L919/12+$H$7*(PARAM!$D$51/12)*RATES!$N919/100</f>
        <v>1190.0416666666667</v>
      </c>
      <c r="V943" s="16">
        <f t="shared" si="632"/>
        <v>-289419.81981417665</v>
      </c>
      <c r="W943" s="15">
        <f t="shared" si="607"/>
        <v>22.170849845882874</v>
      </c>
      <c r="X943" s="75">
        <f>W943*(1-PARAM!$C$27)*$I$8+(MOD($B943,60)=PARAM!$B$56)*($B943&gt;(60-PARAM!$B$56))*HLOOKUP(($B943+PARAM!$B$56)/12,Loyalty,2)*$F$1*MAX(Z942,0)</f>
        <v>18.557001321003963</v>
      </c>
      <c r="Y943" s="75">
        <f>PARAM!$C$26+MAX($G$8-CHOOSE(PARAM!$B$44,MAX(0,Z942*$F$1),0),0)*RATES!$L919/12+$H$8*(PARAM!$D$51/12)*RATES!$N919/100</f>
        <v>1190.0416666666667</v>
      </c>
      <c r="Z943" s="16">
        <f t="shared" si="633"/>
        <v>-289419.81981417665</v>
      </c>
      <c r="AA943" s="15">
        <f t="shared" si="608"/>
        <v>22.170849845882874</v>
      </c>
      <c r="AB943" s="75">
        <f>AA943*(1-PARAM!$C$27)*$I$9+(MOD($B943,60)=PARAM!$B$56)*($B943&gt;(60-PARAM!$B$56))*HLOOKUP(($B943+PARAM!$B$56)/12,Loyalty,2)*$F$1*MAX(AD942,0)</f>
        <v>18.557001321003963</v>
      </c>
      <c r="AC943" s="75">
        <f>PARAM!$C$26+MAX($G$9-CHOOSE(PARAM!$B$44,MAX(0,AD942*$F$1),0),0)*RATES!$L919/12+$H$9*(PARAM!$D$51/12)*RATES!$N919/100</f>
        <v>1190.0416666666667</v>
      </c>
      <c r="AD943" s="16">
        <f t="shared" si="634"/>
        <v>-289419.81981417665</v>
      </c>
      <c r="AE943" s="15">
        <f t="shared" si="609"/>
        <v>22.170849845882874</v>
      </c>
      <c r="AF943" s="75">
        <f>AE943*(1-PARAM!$C$27)*$I$10+(MOD($B943,60)=PARAM!$B$56)*($B943&gt;(60-PARAM!$B$56))*HLOOKUP(($B943+PARAM!$B$56)/12,Loyalty,2)*$F$1*MAX(AH942,0)</f>
        <v>18.557001321003963</v>
      </c>
      <c r="AG943" s="75">
        <f>PARAM!$C$26+MAX($G$10-CHOOSE(PARAM!$B$44,MAX(0,AH942*$F$1),0),0)*RATES!$L919/12+$H$10*(PARAM!$D$51/12)*RATES!$N919/100</f>
        <v>1190.0416666666667</v>
      </c>
      <c r="AH943" s="16">
        <f t="shared" si="635"/>
        <v>-289419.81981417665</v>
      </c>
      <c r="AI943" s="15">
        <f t="shared" si="610"/>
        <v>22.170849845882874</v>
      </c>
      <c r="AJ943" s="75">
        <f>AI943*(1-PARAM!$C$27)*$I$11+(MOD($B943,60)=PARAM!$B$56)*($B943&gt;(60-PARAM!$B$56))*HLOOKUP(($B943+PARAM!$B$56)/12,Loyalty,2)*$F$1*MAX(AL942,0)</f>
        <v>18.557001321003963</v>
      </c>
      <c r="AK943" s="75">
        <f>PARAM!$C$26+MAX($G$11-CHOOSE(PARAM!$B$44,MAX(0,AL942*$F$1),0),0)*RATES!$L919/12+$H$11*(PARAM!$D$51/12)*RATES!$N919/100</f>
        <v>1190.0416666666667</v>
      </c>
      <c r="AL943" s="16">
        <f t="shared" si="636"/>
        <v>-289419.81981417665</v>
      </c>
      <c r="AM943" s="15">
        <f t="shared" si="611"/>
        <v>22.170849845882874</v>
      </c>
      <c r="AN943" s="75">
        <f>AM943*(1-PARAM!$C$27)*$I$12+(MOD($B943,60)=PARAM!$B$56)*($B943&gt;(60-PARAM!$B$56))*HLOOKUP(($B943+PARAM!$B$56)/12,Loyalty,2)*$F$1*MAX(AP942,0)</f>
        <v>18.557001321003963</v>
      </c>
      <c r="AO943" s="75">
        <f>PARAM!$C$26+MAX($G$12-CHOOSE(PARAM!$B$44,MAX(0,AP942*$F$1),0),0)*RATES!$L919/12+$H$12*(PARAM!$D$51/12)*RATES!$N919/100</f>
        <v>1190.0416666666667</v>
      </c>
      <c r="AP943" s="16">
        <f t="shared" si="637"/>
        <v>-289419.81981417665</v>
      </c>
      <c r="AQ943" s="15">
        <f t="shared" si="612"/>
        <v>22.170849845882874</v>
      </c>
      <c r="AR943" s="75">
        <f>AQ943*(1-PARAM!$C$27)*$I$13+(MOD($B943,60)=PARAM!$B$56)*($B943&gt;(60-PARAM!$B$56))*HLOOKUP(($B943+PARAM!$B$56)/12,Loyalty,2)*$F$1*MAX(AT942,0)</f>
        <v>18.557001321003963</v>
      </c>
      <c r="AS943" s="75">
        <f>PARAM!$C$26+MAX($G$13-CHOOSE(PARAM!$B$44,MAX(0,AT942*$F$1),0),0)*RATES!$L919/12+$H$13*(PARAM!$D$51/12)*RATES!$N919/100</f>
        <v>1190.0416666666667</v>
      </c>
      <c r="AT943" s="16">
        <f t="shared" si="638"/>
        <v>-289419.81981417665</v>
      </c>
      <c r="AU943" s="15">
        <f t="shared" si="613"/>
        <v>22.170849845882874</v>
      </c>
      <c r="AV943" s="75">
        <f>AU943*(1-PARAM!$C$27)*$I$14+(MOD($B943,60)=PARAM!$B$56)*($B943&gt;(60-PARAM!$B$56))*HLOOKUP(($B943+PARAM!$B$56)/12,Loyalty,2)*$F$1*MAX(AX942,0)</f>
        <v>18.557001321003963</v>
      </c>
      <c r="AW943" s="75">
        <f>PARAM!$C$26+MAX($G$14-CHOOSE(PARAM!$B$44,MAX(0,AX942*$F$1),0),0)*RATES!$L919/12+$H$14*(PARAM!$D$51/12)*RATES!$N919/100</f>
        <v>1190.0416666666667</v>
      </c>
      <c r="AX943" s="16">
        <f t="shared" si="639"/>
        <v>-289419.81981417665</v>
      </c>
      <c r="AY943" s="15">
        <f t="shared" si="614"/>
        <v>22.170849845882874</v>
      </c>
      <c r="AZ943" s="75">
        <f>AY943*(1-PARAM!$C$27)*$I$15+(MOD($B943,60)=PARAM!$B$56)*($B943&gt;(60-PARAM!$B$56))*HLOOKUP(($B943+PARAM!$B$56)/12,Loyalty,2)*$F$1*MAX(BB942,0)</f>
        <v>18.557001321003963</v>
      </c>
      <c r="BA943" s="75">
        <f>PARAM!$C$26+MAX($G$15-CHOOSE(PARAM!$B$44,MAX(0,BB942*$F$1),0),0)*RATES!$L919/12+$H$15*(PARAM!$D$51/12)*RATES!$N919/100</f>
        <v>1190.0416666666667</v>
      </c>
      <c r="BB943" s="16">
        <f t="shared" si="640"/>
        <v>-289419.81981417665</v>
      </c>
      <c r="BC943" s="15">
        <f t="shared" si="615"/>
        <v>22.170849845882874</v>
      </c>
      <c r="BD943" s="75">
        <f>BC943*(1-PARAM!$C$27)*$I$16+(MOD($B943,60)=PARAM!$B$56)*($B943&gt;(60-PARAM!$B$56))*HLOOKUP(($B943+PARAM!$B$56)/12,Loyalty,2)*$F$1*MAX(BF942,0)</f>
        <v>18.557001321003963</v>
      </c>
      <c r="BE943" s="75">
        <f>PARAM!$C$26+MAX($G$16-CHOOSE(PARAM!$B$44,MAX(0,BF942*$F$1),0),0)*RATES!$L919/12+$H$16*(PARAM!$D$51/12)*RATES!$N919/100</f>
        <v>1190.0416666666667</v>
      </c>
      <c r="BF943" s="16">
        <f t="shared" si="641"/>
        <v>-289419.81981417665</v>
      </c>
      <c r="BG943" s="15">
        <f t="shared" si="616"/>
        <v>22.170849845882874</v>
      </c>
      <c r="BH943" s="75">
        <f>BG943*(1-PARAM!$C$27)*$I$17+(MOD($B943,60)=PARAM!$B$56)*($B943&gt;(60-PARAM!$B$56))*HLOOKUP(($B943+PARAM!$B$56)/12,Loyalty,2)*$F$1*MAX(BJ942,0)</f>
        <v>18.557001321003963</v>
      </c>
      <c r="BI943" s="75">
        <f>PARAM!$C$26+MAX($G$17-CHOOSE(PARAM!$B$44,MAX(0,BJ942*$F$1),0),0)*RATES!$L919/12+$H$17*(PARAM!$D$51/12)*RATES!$N919/100</f>
        <v>1190.0416666666667</v>
      </c>
      <c r="BJ943" s="16">
        <f t="shared" si="642"/>
        <v>-289419.81981417665</v>
      </c>
      <c r="BK943" s="15">
        <f t="shared" si="617"/>
        <v>22.170849845882874</v>
      </c>
      <c r="BL943" s="75">
        <f>BK943*(1-PARAM!$C$27)*$I$18+(MOD($B943,60)=PARAM!$B$56)*($B943&gt;(60-PARAM!$B$56))*HLOOKUP(($B943+PARAM!$B$56)/12,Loyalty,2)*$F$1*MAX(BN942,0)</f>
        <v>18.557001321003963</v>
      </c>
      <c r="BM943" s="75">
        <f>PARAM!$C$26+MAX($G$18-CHOOSE(PARAM!$B$44,MAX(0,BN942*$F$1),0),0)*RATES!$L919/12+$H$18*(PARAM!$D$51/12)*RATES!$N919/100</f>
        <v>1190.0416666666667</v>
      </c>
      <c r="BN943" s="16">
        <f t="shared" si="643"/>
        <v>-289419.81981417665</v>
      </c>
      <c r="BO943" s="15">
        <f t="shared" si="618"/>
        <v>22.170849845882874</v>
      </c>
      <c r="BP943" s="75">
        <f>BO943*(1-PARAM!$C$27)*$I$19+(MOD($B943,60)=PARAM!$B$56)*($B943&gt;(60-PARAM!$B$56))*HLOOKUP(($B943+PARAM!$B$56)/12,Loyalty,2)*$F$1*MAX(BR942,0)</f>
        <v>18.557001321003963</v>
      </c>
      <c r="BQ943" s="75">
        <f>PARAM!$C$26+MAX($G$19-CHOOSE(PARAM!$B$44,MAX(0,BR942*$F$1),0),0)*RATES!$L919/12+$H$19*(PARAM!$D$51/12)*RATES!$N919/100</f>
        <v>1190.0416666666667</v>
      </c>
      <c r="BR943" s="16">
        <f t="shared" si="644"/>
        <v>-289419.81981417665</v>
      </c>
      <c r="BS943" s="15">
        <f t="shared" si="619"/>
        <v>22.170849845882874</v>
      </c>
      <c r="BT943" s="75">
        <f>BS943*(1-PARAM!$C$27)*$I$20+(MOD($B943,60)=PARAM!$B$56)*($B943&gt;(60-PARAM!$B$56))*HLOOKUP(($B943+PARAM!$B$56)/12,Loyalty,2)*$F$1*MAX(BV942,0)</f>
        <v>18.557001321003963</v>
      </c>
      <c r="BU943" s="75">
        <f>PARAM!$C$26+MAX($G$20-CHOOSE(PARAM!$B$44,MAX(0,BV942*$F$1),0),0)*RATES!$L919/12+$H$20*(PARAM!$D$51/12)*RATES!$N919/100</f>
        <v>1190.0416666666667</v>
      </c>
      <c r="BV943" s="16">
        <f t="shared" si="645"/>
        <v>-289419.81981417665</v>
      </c>
      <c r="BW943" s="15">
        <f t="shared" si="620"/>
        <v>22.170849845882874</v>
      </c>
      <c r="BX943" s="75">
        <f>BW943*(1-PARAM!$C$27)*$I$21+(MOD($B943,60)=PARAM!$B$56)*($B943&gt;(60-PARAM!$B$56))*HLOOKUP(($B943+PARAM!$B$56)/12,Loyalty,2)*$F$1*MAX(BZ942,0)</f>
        <v>18.557001321003963</v>
      </c>
      <c r="BY943" s="75">
        <f>PARAM!$C$26+MAX($G$21-CHOOSE(PARAM!$B$44,MAX(0,BZ942*$F$1),0),0)*RATES!$L919/12+$H$21*(PARAM!$D$51/12)*RATES!$N919/100</f>
        <v>1190.0416666666667</v>
      </c>
      <c r="BZ943" s="16">
        <f t="shared" si="646"/>
        <v>-289419.81981417665</v>
      </c>
      <c r="CA943" s="15">
        <f t="shared" si="621"/>
        <v>22.170849845882874</v>
      </c>
      <c r="CB943" s="75">
        <f>CA943*(1-PARAM!$C$27)*$I$22+(MOD($B943,60)=PARAM!$B$56)*($B943&gt;(60-PARAM!$B$56))*HLOOKUP(($B943+PARAM!$B$56)/12,Loyalty,2)*$F$1*MAX(CD942,0)</f>
        <v>18.557001321003963</v>
      </c>
      <c r="CC943" s="75">
        <f>PARAM!$C$26+MAX($G$22-CHOOSE(PARAM!$B$44,MAX(0,CD942*$F$1),0),0)*RATES!$L919/12+$H$22*(PARAM!$D$51/12)*RATES!$N919/100</f>
        <v>1190.0416666666667</v>
      </c>
      <c r="CD943" s="16">
        <f t="shared" si="647"/>
        <v>-289419.81981417665</v>
      </c>
      <c r="CE943" s="33">
        <f>IF(0=MOD(B943,12/PARAM!$D$51),1,0)</f>
        <v>1</v>
      </c>
      <c r="CF943" s="15">
        <f t="shared" si="622"/>
        <v>0</v>
      </c>
      <c r="CG943" s="75">
        <f>CF943*(1-PARAM!$C$27)*$R$3+(MOD($B943/12,5)=0)*($B943&gt;60)*HLOOKUP($B943/12,Loyalty,2)*$F$1*MAX(CI942,0)</f>
        <v>0</v>
      </c>
      <c r="CH943" s="75">
        <f>PARAM!$C$26+MAX($P$3-CHOOSE(PARAM!$B$44,MAX(0,CI942*$F$1),0),0)*RATES!$L919/12+$Q$3*(PARAM!$D$51/12)*RATES!$N919/100</f>
        <v>1190.0416666666667</v>
      </c>
      <c r="CI943" s="16">
        <f>IF(CI942&gt;0,CI942*PARAM!$C$53,CI942)+CG943-CH943</f>
        <v>-306298.45833333366</v>
      </c>
      <c r="CJ943" s="15">
        <f t="shared" si="648"/>
        <v>0</v>
      </c>
      <c r="CK943" s="75">
        <f>CJ943*(1-PARAM!$C$27)*$R$4+(MOD($B943/12,5)=0)*($B943&gt;60)*HLOOKUP($B943/12,Loyalty,2)*$F$1*MAX(CM942,0)</f>
        <v>0</v>
      </c>
      <c r="CL943" s="75">
        <f>PARAM!$C$26+MAX($P$4-CHOOSE(PARAM!$B$44,MAX(0,CM942*$F$1),0),0)*RATES!$L919/12+$Q$4*(PARAM!$D$51/12)*RATES!$N919/100</f>
        <v>1190.0416666666667</v>
      </c>
      <c r="CM943" s="16">
        <f>IF(CM942&gt;0,CM942*PARAM!$C$53,CM942)+CK943-CL943</f>
        <v>-306298.45833333366</v>
      </c>
      <c r="CO943" s="176"/>
    </row>
    <row r="944" spans="1:93" x14ac:dyDescent="0.2">
      <c r="A944" t="b">
        <f t="shared" si="623"/>
        <v>0</v>
      </c>
      <c r="B944" s="33">
        <v>917</v>
      </c>
      <c r="C944" s="15">
        <f t="shared" si="624"/>
        <v>20.081305947392778</v>
      </c>
      <c r="D944" s="75">
        <f>C944*(1-PARAM!$C$27)*$I$3+(MOD($B944,60)=PARAM!$B$56)*($B944&gt;(60-PARAM!$B$56))*HLOOKUP(($B944+PARAM!$B$56)/12,Loyalty,2)*$F$1*MAX(F943,0)</f>
        <v>16.808053077967756</v>
      </c>
      <c r="E944" s="75">
        <f>PARAM!$C$26+MAX($G$3-CHOOSE(PARAM!$B$44,MAX(0,F943*$F$1),0),0)*RATES!$L920/12+$H$3*(PARAM!$D$51/12)*RATES!$N920/100</f>
        <v>1190.0416666666667</v>
      </c>
      <c r="F944" s="16">
        <f t="shared" si="625"/>
        <v>-292231.94051890867</v>
      </c>
      <c r="G944" s="15">
        <f t="shared" si="626"/>
        <v>22.035289406060361</v>
      </c>
      <c r="H944" s="75">
        <f>G944*(1-PARAM!$C$27)*$I$4+(MOD($B944,60)=PARAM!$B$56)*($B944&gt;(60-PARAM!$B$56))*HLOOKUP(($B944+PARAM!$B$56)/12,Loyalty,2)*$F$1*MAX(J943,0)</f>
        <v>18.443537232872522</v>
      </c>
      <c r="I944" s="75">
        <f>PARAM!$C$26+MAX($G$4-CHOOSE(PARAM!$B$44,MAX(0,J943*$F$1),0),0)*RATES!$L920/12+$H$4*(PARAM!$D$51/12)*RATES!$N920/100</f>
        <v>1190.0416666666667</v>
      </c>
      <c r="J944" s="16">
        <f t="shared" si="627"/>
        <v>-290698.36858473736</v>
      </c>
      <c r="K944" s="15">
        <f t="shared" si="628"/>
        <v>22.170849845882874</v>
      </c>
      <c r="L944" s="75">
        <f>K944*(1-PARAM!$C$27)*$I$5+(MOD($B944,60)=PARAM!$B$56)*($B944&gt;(60-PARAM!$B$56))*HLOOKUP(($B944+PARAM!$B$56)/12,Loyalty,2)*$F$1*MAX(N943,0)</f>
        <v>18.557001321003963</v>
      </c>
      <c r="M944" s="75">
        <f>PARAM!$C$26+MAX($G$5-CHOOSE(PARAM!$B$44,MAX(0,N943*$F$1),0),0)*RATES!$L920/12+$H$5*(PARAM!$D$51/12)*RATES!$N920/100</f>
        <v>1190.0416666666667</v>
      </c>
      <c r="N944" s="16">
        <f t="shared" si="629"/>
        <v>-290591.30447952234</v>
      </c>
      <c r="O944" s="15">
        <f t="shared" si="630"/>
        <v>22.170849845882874</v>
      </c>
      <c r="P944" s="75">
        <f>O944*(1-PARAM!$C$27)*$I$6+(MOD($B944,60)=PARAM!$B$56)*($B944&gt;(60-PARAM!$B$56))*HLOOKUP(($B944+PARAM!$B$56)/12,Loyalty,2)*$F$1*MAX(R943,0)</f>
        <v>18.557001321003963</v>
      </c>
      <c r="Q944" s="75">
        <f>PARAM!$C$26+MAX($G$6-CHOOSE(PARAM!$B$44,MAX(0,R943*$F$1),0),0)*RATES!$L920/12+$H$6*(PARAM!$D$51/12)*RATES!$N920/100</f>
        <v>1190.0416666666667</v>
      </c>
      <c r="R944" s="16">
        <f t="shared" si="631"/>
        <v>-290591.30447952234</v>
      </c>
      <c r="S944" s="15">
        <f t="shared" si="606"/>
        <v>22.170849845882874</v>
      </c>
      <c r="T944" s="75">
        <f>S944*(1-PARAM!$C$27)*$I$7+(MOD($B944,60)=PARAM!$B$56)*($B944&gt;(60-PARAM!$B$56))*HLOOKUP(($B944+PARAM!$B$56)/12,Loyalty,2)*$F$1*MAX(V943,0)</f>
        <v>18.557001321003963</v>
      </c>
      <c r="U944" s="75">
        <f>PARAM!$C$26+MAX($G$7-CHOOSE(PARAM!$B$44,MAX(0,V943*$F$1),0),0)*RATES!$L920/12+$H$7*(PARAM!$D$51/12)*RATES!$N920/100</f>
        <v>1190.0416666666667</v>
      </c>
      <c r="V944" s="16">
        <f t="shared" si="632"/>
        <v>-290591.30447952234</v>
      </c>
      <c r="W944" s="15">
        <f t="shared" si="607"/>
        <v>22.170849845882874</v>
      </c>
      <c r="X944" s="75">
        <f>W944*(1-PARAM!$C$27)*$I$8+(MOD($B944,60)=PARAM!$B$56)*($B944&gt;(60-PARAM!$B$56))*HLOOKUP(($B944+PARAM!$B$56)/12,Loyalty,2)*$F$1*MAX(Z943,0)</f>
        <v>18.557001321003963</v>
      </c>
      <c r="Y944" s="75">
        <f>PARAM!$C$26+MAX($G$8-CHOOSE(PARAM!$B$44,MAX(0,Z943*$F$1),0),0)*RATES!$L920/12+$H$8*(PARAM!$D$51/12)*RATES!$N920/100</f>
        <v>1190.0416666666667</v>
      </c>
      <c r="Z944" s="16">
        <f t="shared" si="633"/>
        <v>-290591.30447952234</v>
      </c>
      <c r="AA944" s="15">
        <f t="shared" si="608"/>
        <v>22.170849845882874</v>
      </c>
      <c r="AB944" s="75">
        <f>AA944*(1-PARAM!$C$27)*$I$9+(MOD($B944,60)=PARAM!$B$56)*($B944&gt;(60-PARAM!$B$56))*HLOOKUP(($B944+PARAM!$B$56)/12,Loyalty,2)*$F$1*MAX(AD943,0)</f>
        <v>18.557001321003963</v>
      </c>
      <c r="AC944" s="75">
        <f>PARAM!$C$26+MAX($G$9-CHOOSE(PARAM!$B$44,MAX(0,AD943*$F$1),0),0)*RATES!$L920/12+$H$9*(PARAM!$D$51/12)*RATES!$N920/100</f>
        <v>1190.0416666666667</v>
      </c>
      <c r="AD944" s="16">
        <f t="shared" si="634"/>
        <v>-290591.30447952234</v>
      </c>
      <c r="AE944" s="15">
        <f t="shared" si="609"/>
        <v>22.170849845882874</v>
      </c>
      <c r="AF944" s="75">
        <f>AE944*(1-PARAM!$C$27)*$I$10+(MOD($B944,60)=PARAM!$B$56)*($B944&gt;(60-PARAM!$B$56))*HLOOKUP(($B944+PARAM!$B$56)/12,Loyalty,2)*$F$1*MAX(AH943,0)</f>
        <v>18.557001321003963</v>
      </c>
      <c r="AG944" s="75">
        <f>PARAM!$C$26+MAX($G$10-CHOOSE(PARAM!$B$44,MAX(0,AH943*$F$1),0),0)*RATES!$L920/12+$H$10*(PARAM!$D$51/12)*RATES!$N920/100</f>
        <v>1190.0416666666667</v>
      </c>
      <c r="AH944" s="16">
        <f t="shared" si="635"/>
        <v>-290591.30447952234</v>
      </c>
      <c r="AI944" s="15">
        <f t="shared" si="610"/>
        <v>22.170849845882874</v>
      </c>
      <c r="AJ944" s="75">
        <f>AI944*(1-PARAM!$C$27)*$I$11+(MOD($B944,60)=PARAM!$B$56)*($B944&gt;(60-PARAM!$B$56))*HLOOKUP(($B944+PARAM!$B$56)/12,Loyalty,2)*$F$1*MAX(AL943,0)</f>
        <v>18.557001321003963</v>
      </c>
      <c r="AK944" s="75">
        <f>PARAM!$C$26+MAX($G$11-CHOOSE(PARAM!$B$44,MAX(0,AL943*$F$1),0),0)*RATES!$L920/12+$H$11*(PARAM!$D$51/12)*RATES!$N920/100</f>
        <v>1190.0416666666667</v>
      </c>
      <c r="AL944" s="16">
        <f t="shared" si="636"/>
        <v>-290591.30447952234</v>
      </c>
      <c r="AM944" s="15">
        <f t="shared" si="611"/>
        <v>22.170849845882874</v>
      </c>
      <c r="AN944" s="75">
        <f>AM944*(1-PARAM!$C$27)*$I$12+(MOD($B944,60)=PARAM!$B$56)*($B944&gt;(60-PARAM!$B$56))*HLOOKUP(($B944+PARAM!$B$56)/12,Loyalty,2)*$F$1*MAX(AP943,0)</f>
        <v>18.557001321003963</v>
      </c>
      <c r="AO944" s="75">
        <f>PARAM!$C$26+MAX($G$12-CHOOSE(PARAM!$B$44,MAX(0,AP943*$F$1),0),0)*RATES!$L920/12+$H$12*(PARAM!$D$51/12)*RATES!$N920/100</f>
        <v>1190.0416666666667</v>
      </c>
      <c r="AP944" s="16">
        <f t="shared" si="637"/>
        <v>-290591.30447952234</v>
      </c>
      <c r="AQ944" s="15">
        <f t="shared" si="612"/>
        <v>22.170849845882874</v>
      </c>
      <c r="AR944" s="75">
        <f>AQ944*(1-PARAM!$C$27)*$I$13+(MOD($B944,60)=PARAM!$B$56)*($B944&gt;(60-PARAM!$B$56))*HLOOKUP(($B944+PARAM!$B$56)/12,Loyalty,2)*$F$1*MAX(AT943,0)</f>
        <v>18.557001321003963</v>
      </c>
      <c r="AS944" s="75">
        <f>PARAM!$C$26+MAX($G$13-CHOOSE(PARAM!$B$44,MAX(0,AT943*$F$1),0),0)*RATES!$L920/12+$H$13*(PARAM!$D$51/12)*RATES!$N920/100</f>
        <v>1190.0416666666667</v>
      </c>
      <c r="AT944" s="16">
        <f t="shared" si="638"/>
        <v>-290591.30447952234</v>
      </c>
      <c r="AU944" s="15">
        <f t="shared" si="613"/>
        <v>22.170849845882874</v>
      </c>
      <c r="AV944" s="75">
        <f>AU944*(1-PARAM!$C$27)*$I$14+(MOD($B944,60)=PARAM!$B$56)*($B944&gt;(60-PARAM!$B$56))*HLOOKUP(($B944+PARAM!$B$56)/12,Loyalty,2)*$F$1*MAX(AX943,0)</f>
        <v>18.557001321003963</v>
      </c>
      <c r="AW944" s="75">
        <f>PARAM!$C$26+MAX($G$14-CHOOSE(PARAM!$B$44,MAX(0,AX943*$F$1),0),0)*RATES!$L920/12+$H$14*(PARAM!$D$51/12)*RATES!$N920/100</f>
        <v>1190.0416666666667</v>
      </c>
      <c r="AX944" s="16">
        <f t="shared" si="639"/>
        <v>-290591.30447952234</v>
      </c>
      <c r="AY944" s="15">
        <f t="shared" si="614"/>
        <v>22.170849845882874</v>
      </c>
      <c r="AZ944" s="75">
        <f>AY944*(1-PARAM!$C$27)*$I$15+(MOD($B944,60)=PARAM!$B$56)*($B944&gt;(60-PARAM!$B$56))*HLOOKUP(($B944+PARAM!$B$56)/12,Loyalty,2)*$F$1*MAX(BB943,0)</f>
        <v>18.557001321003963</v>
      </c>
      <c r="BA944" s="75">
        <f>PARAM!$C$26+MAX($G$15-CHOOSE(PARAM!$B$44,MAX(0,BB943*$F$1),0),0)*RATES!$L920/12+$H$15*(PARAM!$D$51/12)*RATES!$N920/100</f>
        <v>1190.0416666666667</v>
      </c>
      <c r="BB944" s="16">
        <f t="shared" si="640"/>
        <v>-290591.30447952234</v>
      </c>
      <c r="BC944" s="15">
        <f t="shared" si="615"/>
        <v>22.170849845882874</v>
      </c>
      <c r="BD944" s="75">
        <f>BC944*(1-PARAM!$C$27)*$I$16+(MOD($B944,60)=PARAM!$B$56)*($B944&gt;(60-PARAM!$B$56))*HLOOKUP(($B944+PARAM!$B$56)/12,Loyalty,2)*$F$1*MAX(BF943,0)</f>
        <v>18.557001321003963</v>
      </c>
      <c r="BE944" s="75">
        <f>PARAM!$C$26+MAX($G$16-CHOOSE(PARAM!$B$44,MAX(0,BF943*$F$1),0),0)*RATES!$L920/12+$H$16*(PARAM!$D$51/12)*RATES!$N920/100</f>
        <v>1190.0416666666667</v>
      </c>
      <c r="BF944" s="16">
        <f t="shared" si="641"/>
        <v>-290591.30447952234</v>
      </c>
      <c r="BG944" s="15">
        <f t="shared" si="616"/>
        <v>22.170849845882874</v>
      </c>
      <c r="BH944" s="75">
        <f>BG944*(1-PARAM!$C$27)*$I$17+(MOD($B944,60)=PARAM!$B$56)*($B944&gt;(60-PARAM!$B$56))*HLOOKUP(($B944+PARAM!$B$56)/12,Loyalty,2)*$F$1*MAX(BJ943,0)</f>
        <v>18.557001321003963</v>
      </c>
      <c r="BI944" s="75">
        <f>PARAM!$C$26+MAX($G$17-CHOOSE(PARAM!$B$44,MAX(0,BJ943*$F$1),0),0)*RATES!$L920/12+$H$17*(PARAM!$D$51/12)*RATES!$N920/100</f>
        <v>1190.0416666666667</v>
      </c>
      <c r="BJ944" s="16">
        <f t="shared" si="642"/>
        <v>-290591.30447952234</v>
      </c>
      <c r="BK944" s="15">
        <f t="shared" si="617"/>
        <v>22.170849845882874</v>
      </c>
      <c r="BL944" s="75">
        <f>BK944*(1-PARAM!$C$27)*$I$18+(MOD($B944,60)=PARAM!$B$56)*($B944&gt;(60-PARAM!$B$56))*HLOOKUP(($B944+PARAM!$B$56)/12,Loyalty,2)*$F$1*MAX(BN943,0)</f>
        <v>18.557001321003963</v>
      </c>
      <c r="BM944" s="75">
        <f>PARAM!$C$26+MAX($G$18-CHOOSE(PARAM!$B$44,MAX(0,BN943*$F$1),0),0)*RATES!$L920/12+$H$18*(PARAM!$D$51/12)*RATES!$N920/100</f>
        <v>1190.0416666666667</v>
      </c>
      <c r="BN944" s="16">
        <f t="shared" si="643"/>
        <v>-290591.30447952234</v>
      </c>
      <c r="BO944" s="15">
        <f t="shared" si="618"/>
        <v>22.170849845882874</v>
      </c>
      <c r="BP944" s="75">
        <f>BO944*(1-PARAM!$C$27)*$I$19+(MOD($B944,60)=PARAM!$B$56)*($B944&gt;(60-PARAM!$B$56))*HLOOKUP(($B944+PARAM!$B$56)/12,Loyalty,2)*$F$1*MAX(BR943,0)</f>
        <v>18.557001321003963</v>
      </c>
      <c r="BQ944" s="75">
        <f>PARAM!$C$26+MAX($G$19-CHOOSE(PARAM!$B$44,MAX(0,BR943*$F$1),0),0)*RATES!$L920/12+$H$19*(PARAM!$D$51/12)*RATES!$N920/100</f>
        <v>1190.0416666666667</v>
      </c>
      <c r="BR944" s="16">
        <f t="shared" si="644"/>
        <v>-290591.30447952234</v>
      </c>
      <c r="BS944" s="15">
        <f t="shared" si="619"/>
        <v>22.170849845882874</v>
      </c>
      <c r="BT944" s="75">
        <f>BS944*(1-PARAM!$C$27)*$I$20+(MOD($B944,60)=PARAM!$B$56)*($B944&gt;(60-PARAM!$B$56))*HLOOKUP(($B944+PARAM!$B$56)/12,Loyalty,2)*$F$1*MAX(BV943,0)</f>
        <v>18.557001321003963</v>
      </c>
      <c r="BU944" s="75">
        <f>PARAM!$C$26+MAX($G$20-CHOOSE(PARAM!$B$44,MAX(0,BV943*$F$1),0),0)*RATES!$L920/12+$H$20*(PARAM!$D$51/12)*RATES!$N920/100</f>
        <v>1190.0416666666667</v>
      </c>
      <c r="BV944" s="16">
        <f t="shared" si="645"/>
        <v>-290591.30447952234</v>
      </c>
      <c r="BW944" s="15">
        <f t="shared" si="620"/>
        <v>22.170849845882874</v>
      </c>
      <c r="BX944" s="75">
        <f>BW944*(1-PARAM!$C$27)*$I$21+(MOD($B944,60)=PARAM!$B$56)*($B944&gt;(60-PARAM!$B$56))*HLOOKUP(($B944+PARAM!$B$56)/12,Loyalty,2)*$F$1*MAX(BZ943,0)</f>
        <v>18.557001321003963</v>
      </c>
      <c r="BY944" s="75">
        <f>PARAM!$C$26+MAX($G$21-CHOOSE(PARAM!$B$44,MAX(0,BZ943*$F$1),0),0)*RATES!$L920/12+$H$21*(PARAM!$D$51/12)*RATES!$N920/100</f>
        <v>1190.0416666666667</v>
      </c>
      <c r="BZ944" s="16">
        <f t="shared" si="646"/>
        <v>-290591.30447952234</v>
      </c>
      <c r="CA944" s="15">
        <f t="shared" si="621"/>
        <v>22.170849845882874</v>
      </c>
      <c r="CB944" s="75">
        <f>CA944*(1-PARAM!$C$27)*$I$22+(MOD($B944,60)=PARAM!$B$56)*($B944&gt;(60-PARAM!$B$56))*HLOOKUP(($B944+PARAM!$B$56)/12,Loyalty,2)*$F$1*MAX(CD943,0)</f>
        <v>18.557001321003963</v>
      </c>
      <c r="CC944" s="75">
        <f>PARAM!$C$26+MAX($G$22-CHOOSE(PARAM!$B$44,MAX(0,CD943*$F$1),0),0)*RATES!$L920/12+$H$22*(PARAM!$D$51/12)*RATES!$N920/100</f>
        <v>1190.0416666666667</v>
      </c>
      <c r="CD944" s="16">
        <f t="shared" si="647"/>
        <v>-290591.30447952234</v>
      </c>
      <c r="CE944" s="33">
        <f>IF(0=MOD(B944,12/PARAM!$D$51),1,0)</f>
        <v>1</v>
      </c>
      <c r="CF944" s="15">
        <f t="shared" si="622"/>
        <v>0</v>
      </c>
      <c r="CG944" s="75">
        <f>CF944*(1-PARAM!$C$27)*$R$3+(MOD($B944/12,5)=0)*($B944&gt;60)*HLOOKUP($B944/12,Loyalty,2)*$F$1*MAX(CI943,0)</f>
        <v>0</v>
      </c>
      <c r="CH944" s="75">
        <f>PARAM!$C$26+MAX($P$3-CHOOSE(PARAM!$B$44,MAX(0,CI943*$F$1),0),0)*RATES!$L920/12+$Q$3*(PARAM!$D$51/12)*RATES!$N920/100</f>
        <v>1190.0416666666667</v>
      </c>
      <c r="CI944" s="16">
        <f>IF(CI943&gt;0,CI943*PARAM!$C$53,CI943)+CG944-CH944</f>
        <v>-307488.50000000035</v>
      </c>
      <c r="CJ944" s="15">
        <f t="shared" si="648"/>
        <v>0</v>
      </c>
      <c r="CK944" s="75">
        <f>CJ944*(1-PARAM!$C$27)*$R$4+(MOD($B944/12,5)=0)*($B944&gt;60)*HLOOKUP($B944/12,Loyalty,2)*$F$1*MAX(CM943,0)</f>
        <v>0</v>
      </c>
      <c r="CL944" s="75">
        <f>PARAM!$C$26+MAX($P$4-CHOOSE(PARAM!$B$44,MAX(0,CM943*$F$1),0),0)*RATES!$L920/12+$Q$4*(PARAM!$D$51/12)*RATES!$N920/100</f>
        <v>1190.0416666666667</v>
      </c>
      <c r="CM944" s="16">
        <f>IF(CM943&gt;0,CM943*PARAM!$C$53,CM943)+CK944-CL944</f>
        <v>-307488.50000000035</v>
      </c>
      <c r="CO944" s="176"/>
    </row>
    <row r="945" spans="1:93" x14ac:dyDescent="0.2">
      <c r="A945" t="b">
        <f t="shared" si="623"/>
        <v>0</v>
      </c>
      <c r="B945" s="33">
        <v>918</v>
      </c>
      <c r="C945" s="15">
        <f t="shared" si="624"/>
        <v>20.081305947392778</v>
      </c>
      <c r="D945" s="75">
        <f>C945*(1-PARAM!$C$27)*$I$3+(MOD($B945,60)=PARAM!$B$56)*($B945&gt;(60-PARAM!$B$56))*HLOOKUP(($B945+PARAM!$B$56)/12,Loyalty,2)*$F$1*MAX(F944,0)</f>
        <v>16.808053077967756</v>
      </c>
      <c r="E945" s="75">
        <f>PARAM!$C$26+MAX($G$3-CHOOSE(PARAM!$B$44,MAX(0,F944*$F$1),0),0)*RATES!$L921/12+$H$3*(PARAM!$D$51/12)*RATES!$N921/100</f>
        <v>1190.0416666666667</v>
      </c>
      <c r="F945" s="16">
        <f t="shared" si="625"/>
        <v>-293405.1741324974</v>
      </c>
      <c r="G945" s="15">
        <f t="shared" si="626"/>
        <v>22.035289406060361</v>
      </c>
      <c r="H945" s="75">
        <f>G945*(1-PARAM!$C$27)*$I$4+(MOD($B945,60)=PARAM!$B$56)*($B945&gt;(60-PARAM!$B$56))*HLOOKUP(($B945+PARAM!$B$56)/12,Loyalty,2)*$F$1*MAX(J944,0)</f>
        <v>18.443537232872522</v>
      </c>
      <c r="I945" s="75">
        <f>PARAM!$C$26+MAX($G$4-CHOOSE(PARAM!$B$44,MAX(0,J944*$F$1),0),0)*RATES!$L921/12+$H$4*(PARAM!$D$51/12)*RATES!$N921/100</f>
        <v>1190.0416666666667</v>
      </c>
      <c r="J945" s="16">
        <f t="shared" si="627"/>
        <v>-291869.96671417117</v>
      </c>
      <c r="K945" s="15">
        <f t="shared" si="628"/>
        <v>22.170849845882874</v>
      </c>
      <c r="L945" s="75">
        <f>K945*(1-PARAM!$C$27)*$I$5+(MOD($B945,60)=PARAM!$B$56)*($B945&gt;(60-PARAM!$B$56))*HLOOKUP(($B945+PARAM!$B$56)/12,Loyalty,2)*$F$1*MAX(N944,0)</f>
        <v>18.557001321003963</v>
      </c>
      <c r="M945" s="75">
        <f>PARAM!$C$26+MAX($G$5-CHOOSE(PARAM!$B$44,MAX(0,N944*$F$1),0),0)*RATES!$L921/12+$H$5*(PARAM!$D$51/12)*RATES!$N921/100</f>
        <v>1190.0416666666667</v>
      </c>
      <c r="N945" s="16">
        <f t="shared" si="629"/>
        <v>-291762.78914486803</v>
      </c>
      <c r="O945" s="15">
        <f t="shared" si="630"/>
        <v>22.170849845882874</v>
      </c>
      <c r="P945" s="75">
        <f>O945*(1-PARAM!$C$27)*$I$6+(MOD($B945,60)=PARAM!$B$56)*($B945&gt;(60-PARAM!$B$56))*HLOOKUP(($B945+PARAM!$B$56)/12,Loyalty,2)*$F$1*MAX(R944,0)</f>
        <v>18.557001321003963</v>
      </c>
      <c r="Q945" s="75">
        <f>PARAM!$C$26+MAX($G$6-CHOOSE(PARAM!$B$44,MAX(0,R944*$F$1),0),0)*RATES!$L921/12+$H$6*(PARAM!$D$51/12)*RATES!$N921/100</f>
        <v>1190.0416666666667</v>
      </c>
      <c r="R945" s="16">
        <f t="shared" si="631"/>
        <v>-291762.78914486803</v>
      </c>
      <c r="S945" s="15">
        <f t="shared" si="606"/>
        <v>22.170849845882874</v>
      </c>
      <c r="T945" s="75">
        <f>S945*(1-PARAM!$C$27)*$I$7+(MOD($B945,60)=PARAM!$B$56)*($B945&gt;(60-PARAM!$B$56))*HLOOKUP(($B945+PARAM!$B$56)/12,Loyalty,2)*$F$1*MAX(V944,0)</f>
        <v>18.557001321003963</v>
      </c>
      <c r="U945" s="75">
        <f>PARAM!$C$26+MAX($G$7-CHOOSE(PARAM!$B$44,MAX(0,V944*$F$1),0),0)*RATES!$L921/12+$H$7*(PARAM!$D$51/12)*RATES!$N921/100</f>
        <v>1190.0416666666667</v>
      </c>
      <c r="V945" s="16">
        <f t="shared" si="632"/>
        <v>-291762.78914486803</v>
      </c>
      <c r="W945" s="15">
        <f t="shared" si="607"/>
        <v>22.170849845882874</v>
      </c>
      <c r="X945" s="75">
        <f>W945*(1-PARAM!$C$27)*$I$8+(MOD($B945,60)=PARAM!$B$56)*($B945&gt;(60-PARAM!$B$56))*HLOOKUP(($B945+PARAM!$B$56)/12,Loyalty,2)*$F$1*MAX(Z944,0)</f>
        <v>18.557001321003963</v>
      </c>
      <c r="Y945" s="75">
        <f>PARAM!$C$26+MAX($G$8-CHOOSE(PARAM!$B$44,MAX(0,Z944*$F$1),0),0)*RATES!$L921/12+$H$8*(PARAM!$D$51/12)*RATES!$N921/100</f>
        <v>1190.0416666666667</v>
      </c>
      <c r="Z945" s="16">
        <f t="shared" si="633"/>
        <v>-291762.78914486803</v>
      </c>
      <c r="AA945" s="15">
        <f t="shared" si="608"/>
        <v>22.170849845882874</v>
      </c>
      <c r="AB945" s="75">
        <f>AA945*(1-PARAM!$C$27)*$I$9+(MOD($B945,60)=PARAM!$B$56)*($B945&gt;(60-PARAM!$B$56))*HLOOKUP(($B945+PARAM!$B$56)/12,Loyalty,2)*$F$1*MAX(AD944,0)</f>
        <v>18.557001321003963</v>
      </c>
      <c r="AC945" s="75">
        <f>PARAM!$C$26+MAX($G$9-CHOOSE(PARAM!$B$44,MAX(0,AD944*$F$1),0),0)*RATES!$L921/12+$H$9*(PARAM!$D$51/12)*RATES!$N921/100</f>
        <v>1190.0416666666667</v>
      </c>
      <c r="AD945" s="16">
        <f t="shared" si="634"/>
        <v>-291762.78914486803</v>
      </c>
      <c r="AE945" s="15">
        <f t="shared" si="609"/>
        <v>22.170849845882874</v>
      </c>
      <c r="AF945" s="75">
        <f>AE945*(1-PARAM!$C$27)*$I$10+(MOD($B945,60)=PARAM!$B$56)*($B945&gt;(60-PARAM!$B$56))*HLOOKUP(($B945+PARAM!$B$56)/12,Loyalty,2)*$F$1*MAX(AH944,0)</f>
        <v>18.557001321003963</v>
      </c>
      <c r="AG945" s="75">
        <f>PARAM!$C$26+MAX($G$10-CHOOSE(PARAM!$B$44,MAX(0,AH944*$F$1),0),0)*RATES!$L921/12+$H$10*(PARAM!$D$51/12)*RATES!$N921/100</f>
        <v>1190.0416666666667</v>
      </c>
      <c r="AH945" s="16">
        <f t="shared" si="635"/>
        <v>-291762.78914486803</v>
      </c>
      <c r="AI945" s="15">
        <f t="shared" si="610"/>
        <v>22.170849845882874</v>
      </c>
      <c r="AJ945" s="75">
        <f>AI945*(1-PARAM!$C$27)*$I$11+(MOD($B945,60)=PARAM!$B$56)*($B945&gt;(60-PARAM!$B$56))*HLOOKUP(($B945+PARAM!$B$56)/12,Loyalty,2)*$F$1*MAX(AL944,0)</f>
        <v>18.557001321003963</v>
      </c>
      <c r="AK945" s="75">
        <f>PARAM!$C$26+MAX($G$11-CHOOSE(PARAM!$B$44,MAX(0,AL944*$F$1),0),0)*RATES!$L921/12+$H$11*(PARAM!$D$51/12)*RATES!$N921/100</f>
        <v>1190.0416666666667</v>
      </c>
      <c r="AL945" s="16">
        <f t="shared" si="636"/>
        <v>-291762.78914486803</v>
      </c>
      <c r="AM945" s="15">
        <f t="shared" si="611"/>
        <v>22.170849845882874</v>
      </c>
      <c r="AN945" s="75">
        <f>AM945*(1-PARAM!$C$27)*$I$12+(MOD($B945,60)=PARAM!$B$56)*($B945&gt;(60-PARAM!$B$56))*HLOOKUP(($B945+PARAM!$B$56)/12,Loyalty,2)*$F$1*MAX(AP944,0)</f>
        <v>18.557001321003963</v>
      </c>
      <c r="AO945" s="75">
        <f>PARAM!$C$26+MAX($G$12-CHOOSE(PARAM!$B$44,MAX(0,AP944*$F$1),0),0)*RATES!$L921/12+$H$12*(PARAM!$D$51/12)*RATES!$N921/100</f>
        <v>1190.0416666666667</v>
      </c>
      <c r="AP945" s="16">
        <f t="shared" si="637"/>
        <v>-291762.78914486803</v>
      </c>
      <c r="AQ945" s="15">
        <f t="shared" si="612"/>
        <v>22.170849845882874</v>
      </c>
      <c r="AR945" s="75">
        <f>AQ945*(1-PARAM!$C$27)*$I$13+(MOD($B945,60)=PARAM!$B$56)*($B945&gt;(60-PARAM!$B$56))*HLOOKUP(($B945+PARAM!$B$56)/12,Loyalty,2)*$F$1*MAX(AT944,0)</f>
        <v>18.557001321003963</v>
      </c>
      <c r="AS945" s="75">
        <f>PARAM!$C$26+MAX($G$13-CHOOSE(PARAM!$B$44,MAX(0,AT944*$F$1),0),0)*RATES!$L921/12+$H$13*(PARAM!$D$51/12)*RATES!$N921/100</f>
        <v>1190.0416666666667</v>
      </c>
      <c r="AT945" s="16">
        <f t="shared" si="638"/>
        <v>-291762.78914486803</v>
      </c>
      <c r="AU945" s="15">
        <f t="shared" si="613"/>
        <v>22.170849845882874</v>
      </c>
      <c r="AV945" s="75">
        <f>AU945*(1-PARAM!$C$27)*$I$14+(MOD($B945,60)=PARAM!$B$56)*($B945&gt;(60-PARAM!$B$56))*HLOOKUP(($B945+PARAM!$B$56)/12,Loyalty,2)*$F$1*MAX(AX944,0)</f>
        <v>18.557001321003963</v>
      </c>
      <c r="AW945" s="75">
        <f>PARAM!$C$26+MAX($G$14-CHOOSE(PARAM!$B$44,MAX(0,AX944*$F$1),0),0)*RATES!$L921/12+$H$14*(PARAM!$D$51/12)*RATES!$N921/100</f>
        <v>1190.0416666666667</v>
      </c>
      <c r="AX945" s="16">
        <f t="shared" si="639"/>
        <v>-291762.78914486803</v>
      </c>
      <c r="AY945" s="15">
        <f t="shared" si="614"/>
        <v>22.170849845882874</v>
      </c>
      <c r="AZ945" s="75">
        <f>AY945*(1-PARAM!$C$27)*$I$15+(MOD($B945,60)=PARAM!$B$56)*($B945&gt;(60-PARAM!$B$56))*HLOOKUP(($B945+PARAM!$B$56)/12,Loyalty,2)*$F$1*MAX(BB944,0)</f>
        <v>18.557001321003963</v>
      </c>
      <c r="BA945" s="75">
        <f>PARAM!$C$26+MAX($G$15-CHOOSE(PARAM!$B$44,MAX(0,BB944*$F$1),0),0)*RATES!$L921/12+$H$15*(PARAM!$D$51/12)*RATES!$N921/100</f>
        <v>1190.0416666666667</v>
      </c>
      <c r="BB945" s="16">
        <f t="shared" si="640"/>
        <v>-291762.78914486803</v>
      </c>
      <c r="BC945" s="15">
        <f t="shared" si="615"/>
        <v>22.170849845882874</v>
      </c>
      <c r="BD945" s="75">
        <f>BC945*(1-PARAM!$C$27)*$I$16+(MOD($B945,60)=PARAM!$B$56)*($B945&gt;(60-PARAM!$B$56))*HLOOKUP(($B945+PARAM!$B$56)/12,Loyalty,2)*$F$1*MAX(BF944,0)</f>
        <v>18.557001321003963</v>
      </c>
      <c r="BE945" s="75">
        <f>PARAM!$C$26+MAX($G$16-CHOOSE(PARAM!$B$44,MAX(0,BF944*$F$1),0),0)*RATES!$L921/12+$H$16*(PARAM!$D$51/12)*RATES!$N921/100</f>
        <v>1190.0416666666667</v>
      </c>
      <c r="BF945" s="16">
        <f t="shared" si="641"/>
        <v>-291762.78914486803</v>
      </c>
      <c r="BG945" s="15">
        <f t="shared" si="616"/>
        <v>22.170849845882874</v>
      </c>
      <c r="BH945" s="75">
        <f>BG945*(1-PARAM!$C$27)*$I$17+(MOD($B945,60)=PARAM!$B$56)*($B945&gt;(60-PARAM!$B$56))*HLOOKUP(($B945+PARAM!$B$56)/12,Loyalty,2)*$F$1*MAX(BJ944,0)</f>
        <v>18.557001321003963</v>
      </c>
      <c r="BI945" s="75">
        <f>PARAM!$C$26+MAX($G$17-CHOOSE(PARAM!$B$44,MAX(0,BJ944*$F$1),0),0)*RATES!$L921/12+$H$17*(PARAM!$D$51/12)*RATES!$N921/100</f>
        <v>1190.0416666666667</v>
      </c>
      <c r="BJ945" s="16">
        <f t="shared" si="642"/>
        <v>-291762.78914486803</v>
      </c>
      <c r="BK945" s="15">
        <f t="shared" si="617"/>
        <v>22.170849845882874</v>
      </c>
      <c r="BL945" s="75">
        <f>BK945*(1-PARAM!$C$27)*$I$18+(MOD($B945,60)=PARAM!$B$56)*($B945&gt;(60-PARAM!$B$56))*HLOOKUP(($B945+PARAM!$B$56)/12,Loyalty,2)*$F$1*MAX(BN944,0)</f>
        <v>18.557001321003963</v>
      </c>
      <c r="BM945" s="75">
        <f>PARAM!$C$26+MAX($G$18-CHOOSE(PARAM!$B$44,MAX(0,BN944*$F$1),0),0)*RATES!$L921/12+$H$18*(PARAM!$D$51/12)*RATES!$N921/100</f>
        <v>1190.0416666666667</v>
      </c>
      <c r="BN945" s="16">
        <f t="shared" si="643"/>
        <v>-291762.78914486803</v>
      </c>
      <c r="BO945" s="15">
        <f t="shared" si="618"/>
        <v>22.170849845882874</v>
      </c>
      <c r="BP945" s="75">
        <f>BO945*(1-PARAM!$C$27)*$I$19+(MOD($B945,60)=PARAM!$B$56)*($B945&gt;(60-PARAM!$B$56))*HLOOKUP(($B945+PARAM!$B$56)/12,Loyalty,2)*$F$1*MAX(BR944,0)</f>
        <v>18.557001321003963</v>
      </c>
      <c r="BQ945" s="75">
        <f>PARAM!$C$26+MAX($G$19-CHOOSE(PARAM!$B$44,MAX(0,BR944*$F$1),0),0)*RATES!$L921/12+$H$19*(PARAM!$D$51/12)*RATES!$N921/100</f>
        <v>1190.0416666666667</v>
      </c>
      <c r="BR945" s="16">
        <f t="shared" si="644"/>
        <v>-291762.78914486803</v>
      </c>
      <c r="BS945" s="15">
        <f t="shared" si="619"/>
        <v>22.170849845882874</v>
      </c>
      <c r="BT945" s="75">
        <f>BS945*(1-PARAM!$C$27)*$I$20+(MOD($B945,60)=PARAM!$B$56)*($B945&gt;(60-PARAM!$B$56))*HLOOKUP(($B945+PARAM!$B$56)/12,Loyalty,2)*$F$1*MAX(BV944,0)</f>
        <v>18.557001321003963</v>
      </c>
      <c r="BU945" s="75">
        <f>PARAM!$C$26+MAX($G$20-CHOOSE(PARAM!$B$44,MAX(0,BV944*$F$1),0),0)*RATES!$L921/12+$H$20*(PARAM!$D$51/12)*RATES!$N921/100</f>
        <v>1190.0416666666667</v>
      </c>
      <c r="BV945" s="16">
        <f t="shared" si="645"/>
        <v>-291762.78914486803</v>
      </c>
      <c r="BW945" s="15">
        <f t="shared" si="620"/>
        <v>22.170849845882874</v>
      </c>
      <c r="BX945" s="75">
        <f>BW945*(1-PARAM!$C$27)*$I$21+(MOD($B945,60)=PARAM!$B$56)*($B945&gt;(60-PARAM!$B$56))*HLOOKUP(($B945+PARAM!$B$56)/12,Loyalty,2)*$F$1*MAX(BZ944,0)</f>
        <v>18.557001321003963</v>
      </c>
      <c r="BY945" s="75">
        <f>PARAM!$C$26+MAX($G$21-CHOOSE(PARAM!$B$44,MAX(0,BZ944*$F$1),0),0)*RATES!$L921/12+$H$21*(PARAM!$D$51/12)*RATES!$N921/100</f>
        <v>1190.0416666666667</v>
      </c>
      <c r="BZ945" s="16">
        <f t="shared" si="646"/>
        <v>-291762.78914486803</v>
      </c>
      <c r="CA945" s="15">
        <f t="shared" si="621"/>
        <v>22.170849845882874</v>
      </c>
      <c r="CB945" s="75">
        <f>CA945*(1-PARAM!$C$27)*$I$22+(MOD($B945,60)=PARAM!$B$56)*($B945&gt;(60-PARAM!$B$56))*HLOOKUP(($B945+PARAM!$B$56)/12,Loyalty,2)*$F$1*MAX(CD944,0)</f>
        <v>18.557001321003963</v>
      </c>
      <c r="CC945" s="75">
        <f>PARAM!$C$26+MAX($G$22-CHOOSE(PARAM!$B$44,MAX(0,CD944*$F$1),0),0)*RATES!$L921/12+$H$22*(PARAM!$D$51/12)*RATES!$N921/100</f>
        <v>1190.0416666666667</v>
      </c>
      <c r="CD945" s="16">
        <f t="shared" si="647"/>
        <v>-291762.78914486803</v>
      </c>
      <c r="CE945" s="33">
        <f>IF(0=MOD(B945,12/PARAM!$D$51),1,0)</f>
        <v>1</v>
      </c>
      <c r="CF945" s="15">
        <f t="shared" si="622"/>
        <v>0</v>
      </c>
      <c r="CG945" s="75">
        <f>CF945*(1-PARAM!$C$27)*$R$3+(MOD($B945/12,5)=0)*($B945&gt;60)*HLOOKUP($B945/12,Loyalty,2)*$F$1*MAX(CI944,0)</f>
        <v>0</v>
      </c>
      <c r="CH945" s="75">
        <f>PARAM!$C$26+MAX($P$3-CHOOSE(PARAM!$B$44,MAX(0,CI944*$F$1),0),0)*RATES!$L921/12+$Q$3*(PARAM!$D$51/12)*RATES!$N921/100</f>
        <v>1190.0416666666667</v>
      </c>
      <c r="CI945" s="16">
        <f>IF(CI944&gt;0,CI944*PARAM!$C$53,CI944)+CG945-CH945</f>
        <v>-308678.54166666704</v>
      </c>
      <c r="CJ945" s="15">
        <f t="shared" si="648"/>
        <v>0</v>
      </c>
      <c r="CK945" s="75">
        <f>CJ945*(1-PARAM!$C$27)*$R$4+(MOD($B945/12,5)=0)*($B945&gt;60)*HLOOKUP($B945/12,Loyalty,2)*$F$1*MAX(CM944,0)</f>
        <v>0</v>
      </c>
      <c r="CL945" s="75">
        <f>PARAM!$C$26+MAX($P$4-CHOOSE(PARAM!$B$44,MAX(0,CM944*$F$1),0),0)*RATES!$L921/12+$Q$4*(PARAM!$D$51/12)*RATES!$N921/100</f>
        <v>1190.0416666666667</v>
      </c>
      <c r="CM945" s="16">
        <f>IF(CM944&gt;0,CM944*PARAM!$C$53,CM944)+CK945-CL945</f>
        <v>-308678.54166666704</v>
      </c>
      <c r="CO945" s="176"/>
    </row>
    <row r="946" spans="1:93" x14ac:dyDescent="0.2">
      <c r="A946" t="b">
        <f t="shared" si="623"/>
        <v>0</v>
      </c>
      <c r="B946" s="33">
        <v>919</v>
      </c>
      <c r="C946" s="15">
        <f t="shared" si="624"/>
        <v>20.081305947392778</v>
      </c>
      <c r="D946" s="75">
        <f>C946*(1-PARAM!$C$27)*$I$3+(MOD($B946,60)=PARAM!$B$56)*($B946&gt;(60-PARAM!$B$56))*HLOOKUP(($B946+PARAM!$B$56)/12,Loyalty,2)*$F$1*MAX(F945,0)</f>
        <v>16.808053077967756</v>
      </c>
      <c r="E946" s="75">
        <f>PARAM!$C$26+MAX($G$3-CHOOSE(PARAM!$B$44,MAX(0,F945*$F$1),0),0)*RATES!$L922/12+$H$3*(PARAM!$D$51/12)*RATES!$N922/100</f>
        <v>1190.0416666666667</v>
      </c>
      <c r="F946" s="16">
        <f t="shared" si="625"/>
        <v>-294578.40774608613</v>
      </c>
      <c r="G946" s="15">
        <f t="shared" si="626"/>
        <v>22.035289406060361</v>
      </c>
      <c r="H946" s="75">
        <f>G946*(1-PARAM!$C$27)*$I$4+(MOD($B946,60)=PARAM!$B$56)*($B946&gt;(60-PARAM!$B$56))*HLOOKUP(($B946+PARAM!$B$56)/12,Loyalty,2)*$F$1*MAX(J945,0)</f>
        <v>18.443537232872522</v>
      </c>
      <c r="I946" s="75">
        <f>PARAM!$C$26+MAX($G$4-CHOOSE(PARAM!$B$44,MAX(0,J945*$F$1),0),0)*RATES!$L922/12+$H$4*(PARAM!$D$51/12)*RATES!$N922/100</f>
        <v>1190.0416666666667</v>
      </c>
      <c r="J946" s="16">
        <f t="shared" si="627"/>
        <v>-293041.56484360498</v>
      </c>
      <c r="K946" s="15">
        <f t="shared" si="628"/>
        <v>22.170849845882874</v>
      </c>
      <c r="L946" s="75">
        <f>K946*(1-PARAM!$C$27)*$I$5+(MOD($B946,60)=PARAM!$B$56)*($B946&gt;(60-PARAM!$B$56))*HLOOKUP(($B946+PARAM!$B$56)/12,Loyalty,2)*$F$1*MAX(N945,0)</f>
        <v>18.557001321003963</v>
      </c>
      <c r="M946" s="75">
        <f>PARAM!$C$26+MAX($G$5-CHOOSE(PARAM!$B$44,MAX(0,N945*$F$1),0),0)*RATES!$L922/12+$H$5*(PARAM!$D$51/12)*RATES!$N922/100</f>
        <v>1190.0416666666667</v>
      </c>
      <c r="N946" s="16">
        <f t="shared" si="629"/>
        <v>-292934.27381021372</v>
      </c>
      <c r="O946" s="15">
        <f t="shared" si="630"/>
        <v>22.170849845882874</v>
      </c>
      <c r="P946" s="75">
        <f>O946*(1-PARAM!$C$27)*$I$6+(MOD($B946,60)=PARAM!$B$56)*($B946&gt;(60-PARAM!$B$56))*HLOOKUP(($B946+PARAM!$B$56)/12,Loyalty,2)*$F$1*MAX(R945,0)</f>
        <v>18.557001321003963</v>
      </c>
      <c r="Q946" s="75">
        <f>PARAM!$C$26+MAX($G$6-CHOOSE(PARAM!$B$44,MAX(0,R945*$F$1),0),0)*RATES!$L922/12+$H$6*(PARAM!$D$51/12)*RATES!$N922/100</f>
        <v>1190.0416666666667</v>
      </c>
      <c r="R946" s="16">
        <f t="shared" si="631"/>
        <v>-292934.27381021372</v>
      </c>
      <c r="S946" s="15">
        <f t="shared" si="606"/>
        <v>22.170849845882874</v>
      </c>
      <c r="T946" s="75">
        <f>S946*(1-PARAM!$C$27)*$I$7+(MOD($B946,60)=PARAM!$B$56)*($B946&gt;(60-PARAM!$B$56))*HLOOKUP(($B946+PARAM!$B$56)/12,Loyalty,2)*$F$1*MAX(V945,0)</f>
        <v>18.557001321003963</v>
      </c>
      <c r="U946" s="75">
        <f>PARAM!$C$26+MAX($G$7-CHOOSE(PARAM!$B$44,MAX(0,V945*$F$1),0),0)*RATES!$L922/12+$H$7*(PARAM!$D$51/12)*RATES!$N922/100</f>
        <v>1190.0416666666667</v>
      </c>
      <c r="V946" s="16">
        <f t="shared" si="632"/>
        <v>-292934.27381021372</v>
      </c>
      <c r="W946" s="15">
        <f t="shared" si="607"/>
        <v>22.170849845882874</v>
      </c>
      <c r="X946" s="75">
        <f>W946*(1-PARAM!$C$27)*$I$8+(MOD($B946,60)=PARAM!$B$56)*($B946&gt;(60-PARAM!$B$56))*HLOOKUP(($B946+PARAM!$B$56)/12,Loyalty,2)*$F$1*MAX(Z945,0)</f>
        <v>18.557001321003963</v>
      </c>
      <c r="Y946" s="75">
        <f>PARAM!$C$26+MAX($G$8-CHOOSE(PARAM!$B$44,MAX(0,Z945*$F$1),0),0)*RATES!$L922/12+$H$8*(PARAM!$D$51/12)*RATES!$N922/100</f>
        <v>1190.0416666666667</v>
      </c>
      <c r="Z946" s="16">
        <f t="shared" si="633"/>
        <v>-292934.27381021372</v>
      </c>
      <c r="AA946" s="15">
        <f t="shared" si="608"/>
        <v>22.170849845882874</v>
      </c>
      <c r="AB946" s="75">
        <f>AA946*(1-PARAM!$C$27)*$I$9+(MOD($B946,60)=PARAM!$B$56)*($B946&gt;(60-PARAM!$B$56))*HLOOKUP(($B946+PARAM!$B$56)/12,Loyalty,2)*$F$1*MAX(AD945,0)</f>
        <v>18.557001321003963</v>
      </c>
      <c r="AC946" s="75">
        <f>PARAM!$C$26+MAX($G$9-CHOOSE(PARAM!$B$44,MAX(0,AD945*$F$1),0),0)*RATES!$L922/12+$H$9*(PARAM!$D$51/12)*RATES!$N922/100</f>
        <v>1190.0416666666667</v>
      </c>
      <c r="AD946" s="16">
        <f t="shared" si="634"/>
        <v>-292934.27381021372</v>
      </c>
      <c r="AE946" s="15">
        <f t="shared" si="609"/>
        <v>22.170849845882874</v>
      </c>
      <c r="AF946" s="75">
        <f>AE946*(1-PARAM!$C$27)*$I$10+(MOD($B946,60)=PARAM!$B$56)*($B946&gt;(60-PARAM!$B$56))*HLOOKUP(($B946+PARAM!$B$56)/12,Loyalty,2)*$F$1*MAX(AH945,0)</f>
        <v>18.557001321003963</v>
      </c>
      <c r="AG946" s="75">
        <f>PARAM!$C$26+MAX($G$10-CHOOSE(PARAM!$B$44,MAX(0,AH945*$F$1),0),0)*RATES!$L922/12+$H$10*(PARAM!$D$51/12)*RATES!$N922/100</f>
        <v>1190.0416666666667</v>
      </c>
      <c r="AH946" s="16">
        <f t="shared" si="635"/>
        <v>-292934.27381021372</v>
      </c>
      <c r="AI946" s="15">
        <f t="shared" si="610"/>
        <v>22.170849845882874</v>
      </c>
      <c r="AJ946" s="75">
        <f>AI946*(1-PARAM!$C$27)*$I$11+(MOD($B946,60)=PARAM!$B$56)*($B946&gt;(60-PARAM!$B$56))*HLOOKUP(($B946+PARAM!$B$56)/12,Loyalty,2)*$F$1*MAX(AL945,0)</f>
        <v>18.557001321003963</v>
      </c>
      <c r="AK946" s="75">
        <f>PARAM!$C$26+MAX($G$11-CHOOSE(PARAM!$B$44,MAX(0,AL945*$F$1),0),0)*RATES!$L922/12+$H$11*(PARAM!$D$51/12)*RATES!$N922/100</f>
        <v>1190.0416666666667</v>
      </c>
      <c r="AL946" s="16">
        <f t="shared" si="636"/>
        <v>-292934.27381021372</v>
      </c>
      <c r="AM946" s="15">
        <f t="shared" si="611"/>
        <v>22.170849845882874</v>
      </c>
      <c r="AN946" s="75">
        <f>AM946*(1-PARAM!$C$27)*$I$12+(MOD($B946,60)=PARAM!$B$56)*($B946&gt;(60-PARAM!$B$56))*HLOOKUP(($B946+PARAM!$B$56)/12,Loyalty,2)*$F$1*MAX(AP945,0)</f>
        <v>18.557001321003963</v>
      </c>
      <c r="AO946" s="75">
        <f>PARAM!$C$26+MAX($G$12-CHOOSE(PARAM!$B$44,MAX(0,AP945*$F$1),0),0)*RATES!$L922/12+$H$12*(PARAM!$D$51/12)*RATES!$N922/100</f>
        <v>1190.0416666666667</v>
      </c>
      <c r="AP946" s="16">
        <f t="shared" si="637"/>
        <v>-292934.27381021372</v>
      </c>
      <c r="AQ946" s="15">
        <f t="shared" si="612"/>
        <v>22.170849845882874</v>
      </c>
      <c r="AR946" s="75">
        <f>AQ946*(1-PARAM!$C$27)*$I$13+(MOD($B946,60)=PARAM!$B$56)*($B946&gt;(60-PARAM!$B$56))*HLOOKUP(($B946+PARAM!$B$56)/12,Loyalty,2)*$F$1*MAX(AT945,0)</f>
        <v>18.557001321003963</v>
      </c>
      <c r="AS946" s="75">
        <f>PARAM!$C$26+MAX($G$13-CHOOSE(PARAM!$B$44,MAX(0,AT945*$F$1),0),0)*RATES!$L922/12+$H$13*(PARAM!$D$51/12)*RATES!$N922/100</f>
        <v>1190.0416666666667</v>
      </c>
      <c r="AT946" s="16">
        <f t="shared" si="638"/>
        <v>-292934.27381021372</v>
      </c>
      <c r="AU946" s="15">
        <f t="shared" si="613"/>
        <v>22.170849845882874</v>
      </c>
      <c r="AV946" s="75">
        <f>AU946*(1-PARAM!$C$27)*$I$14+(MOD($B946,60)=PARAM!$B$56)*($B946&gt;(60-PARAM!$B$56))*HLOOKUP(($B946+PARAM!$B$56)/12,Loyalty,2)*$F$1*MAX(AX945,0)</f>
        <v>18.557001321003963</v>
      </c>
      <c r="AW946" s="75">
        <f>PARAM!$C$26+MAX($G$14-CHOOSE(PARAM!$B$44,MAX(0,AX945*$F$1),0),0)*RATES!$L922/12+$H$14*(PARAM!$D$51/12)*RATES!$N922/100</f>
        <v>1190.0416666666667</v>
      </c>
      <c r="AX946" s="16">
        <f t="shared" si="639"/>
        <v>-292934.27381021372</v>
      </c>
      <c r="AY946" s="15">
        <f t="shared" si="614"/>
        <v>22.170849845882874</v>
      </c>
      <c r="AZ946" s="75">
        <f>AY946*(1-PARAM!$C$27)*$I$15+(MOD($B946,60)=PARAM!$B$56)*($B946&gt;(60-PARAM!$B$56))*HLOOKUP(($B946+PARAM!$B$56)/12,Loyalty,2)*$F$1*MAX(BB945,0)</f>
        <v>18.557001321003963</v>
      </c>
      <c r="BA946" s="75">
        <f>PARAM!$C$26+MAX($G$15-CHOOSE(PARAM!$B$44,MAX(0,BB945*$F$1),0),0)*RATES!$L922/12+$H$15*(PARAM!$D$51/12)*RATES!$N922/100</f>
        <v>1190.0416666666667</v>
      </c>
      <c r="BB946" s="16">
        <f t="shared" si="640"/>
        <v>-292934.27381021372</v>
      </c>
      <c r="BC946" s="15">
        <f t="shared" si="615"/>
        <v>22.170849845882874</v>
      </c>
      <c r="BD946" s="75">
        <f>BC946*(1-PARAM!$C$27)*$I$16+(MOD($B946,60)=PARAM!$B$56)*($B946&gt;(60-PARAM!$B$56))*HLOOKUP(($B946+PARAM!$B$56)/12,Loyalty,2)*$F$1*MAX(BF945,0)</f>
        <v>18.557001321003963</v>
      </c>
      <c r="BE946" s="75">
        <f>PARAM!$C$26+MAX($G$16-CHOOSE(PARAM!$B$44,MAX(0,BF945*$F$1),0),0)*RATES!$L922/12+$H$16*(PARAM!$D$51/12)*RATES!$N922/100</f>
        <v>1190.0416666666667</v>
      </c>
      <c r="BF946" s="16">
        <f t="shared" si="641"/>
        <v>-292934.27381021372</v>
      </c>
      <c r="BG946" s="15">
        <f t="shared" si="616"/>
        <v>22.170849845882874</v>
      </c>
      <c r="BH946" s="75">
        <f>BG946*(1-PARAM!$C$27)*$I$17+(MOD($B946,60)=PARAM!$B$56)*($B946&gt;(60-PARAM!$B$56))*HLOOKUP(($B946+PARAM!$B$56)/12,Loyalty,2)*$F$1*MAX(BJ945,0)</f>
        <v>18.557001321003963</v>
      </c>
      <c r="BI946" s="75">
        <f>PARAM!$C$26+MAX($G$17-CHOOSE(PARAM!$B$44,MAX(0,BJ945*$F$1),0),0)*RATES!$L922/12+$H$17*(PARAM!$D$51/12)*RATES!$N922/100</f>
        <v>1190.0416666666667</v>
      </c>
      <c r="BJ946" s="16">
        <f t="shared" si="642"/>
        <v>-292934.27381021372</v>
      </c>
      <c r="BK946" s="15">
        <f t="shared" si="617"/>
        <v>22.170849845882874</v>
      </c>
      <c r="BL946" s="75">
        <f>BK946*(1-PARAM!$C$27)*$I$18+(MOD($B946,60)=PARAM!$B$56)*($B946&gt;(60-PARAM!$B$56))*HLOOKUP(($B946+PARAM!$B$56)/12,Loyalty,2)*$F$1*MAX(BN945,0)</f>
        <v>18.557001321003963</v>
      </c>
      <c r="BM946" s="75">
        <f>PARAM!$C$26+MAX($G$18-CHOOSE(PARAM!$B$44,MAX(0,BN945*$F$1),0),0)*RATES!$L922/12+$H$18*(PARAM!$D$51/12)*RATES!$N922/100</f>
        <v>1190.0416666666667</v>
      </c>
      <c r="BN946" s="16">
        <f t="shared" si="643"/>
        <v>-292934.27381021372</v>
      </c>
      <c r="BO946" s="15">
        <f t="shared" si="618"/>
        <v>22.170849845882874</v>
      </c>
      <c r="BP946" s="75">
        <f>BO946*(1-PARAM!$C$27)*$I$19+(MOD($B946,60)=PARAM!$B$56)*($B946&gt;(60-PARAM!$B$56))*HLOOKUP(($B946+PARAM!$B$56)/12,Loyalty,2)*$F$1*MAX(BR945,0)</f>
        <v>18.557001321003963</v>
      </c>
      <c r="BQ946" s="75">
        <f>PARAM!$C$26+MAX($G$19-CHOOSE(PARAM!$B$44,MAX(0,BR945*$F$1),0),0)*RATES!$L922/12+$H$19*(PARAM!$D$51/12)*RATES!$N922/100</f>
        <v>1190.0416666666667</v>
      </c>
      <c r="BR946" s="16">
        <f t="shared" si="644"/>
        <v>-292934.27381021372</v>
      </c>
      <c r="BS946" s="15">
        <f t="shared" si="619"/>
        <v>22.170849845882874</v>
      </c>
      <c r="BT946" s="75">
        <f>BS946*(1-PARAM!$C$27)*$I$20+(MOD($B946,60)=PARAM!$B$56)*($B946&gt;(60-PARAM!$B$56))*HLOOKUP(($B946+PARAM!$B$56)/12,Loyalty,2)*$F$1*MAX(BV945,0)</f>
        <v>18.557001321003963</v>
      </c>
      <c r="BU946" s="75">
        <f>PARAM!$C$26+MAX($G$20-CHOOSE(PARAM!$B$44,MAX(0,BV945*$F$1),0),0)*RATES!$L922/12+$H$20*(PARAM!$D$51/12)*RATES!$N922/100</f>
        <v>1190.0416666666667</v>
      </c>
      <c r="BV946" s="16">
        <f t="shared" si="645"/>
        <v>-292934.27381021372</v>
      </c>
      <c r="BW946" s="15">
        <f t="shared" si="620"/>
        <v>22.170849845882874</v>
      </c>
      <c r="BX946" s="75">
        <f>BW946*(1-PARAM!$C$27)*$I$21+(MOD($B946,60)=PARAM!$B$56)*($B946&gt;(60-PARAM!$B$56))*HLOOKUP(($B946+PARAM!$B$56)/12,Loyalty,2)*$F$1*MAX(BZ945,0)</f>
        <v>18.557001321003963</v>
      </c>
      <c r="BY946" s="75">
        <f>PARAM!$C$26+MAX($G$21-CHOOSE(PARAM!$B$44,MAX(0,BZ945*$F$1),0),0)*RATES!$L922/12+$H$21*(PARAM!$D$51/12)*RATES!$N922/100</f>
        <v>1190.0416666666667</v>
      </c>
      <c r="BZ946" s="16">
        <f t="shared" si="646"/>
        <v>-292934.27381021372</v>
      </c>
      <c r="CA946" s="15">
        <f t="shared" si="621"/>
        <v>22.170849845882874</v>
      </c>
      <c r="CB946" s="75">
        <f>CA946*(1-PARAM!$C$27)*$I$22+(MOD($B946,60)=PARAM!$B$56)*($B946&gt;(60-PARAM!$B$56))*HLOOKUP(($B946+PARAM!$B$56)/12,Loyalty,2)*$F$1*MAX(CD945,0)</f>
        <v>18.557001321003963</v>
      </c>
      <c r="CC946" s="75">
        <f>PARAM!$C$26+MAX($G$22-CHOOSE(PARAM!$B$44,MAX(0,CD945*$F$1),0),0)*RATES!$L922/12+$H$22*(PARAM!$D$51/12)*RATES!$N922/100</f>
        <v>1190.0416666666667</v>
      </c>
      <c r="CD946" s="16">
        <f t="shared" si="647"/>
        <v>-292934.27381021372</v>
      </c>
      <c r="CE946" s="33">
        <f>IF(0=MOD(B946,12/PARAM!$D$51),1,0)</f>
        <v>1</v>
      </c>
      <c r="CF946" s="15">
        <f t="shared" si="622"/>
        <v>0</v>
      </c>
      <c r="CG946" s="75">
        <f>CF946*(1-PARAM!$C$27)*$R$3+(MOD($B946/12,5)=0)*($B946&gt;60)*HLOOKUP($B946/12,Loyalty,2)*$F$1*MAX(CI945,0)</f>
        <v>0</v>
      </c>
      <c r="CH946" s="75">
        <f>PARAM!$C$26+MAX($P$3-CHOOSE(PARAM!$B$44,MAX(0,CI945*$F$1),0),0)*RATES!$L922/12+$Q$3*(PARAM!$D$51/12)*RATES!$N922/100</f>
        <v>1190.0416666666667</v>
      </c>
      <c r="CI946" s="16">
        <f>IF(CI945&gt;0,CI945*PARAM!$C$53,CI945)+CG946-CH946</f>
        <v>-309868.58333333372</v>
      </c>
      <c r="CJ946" s="15">
        <f t="shared" si="648"/>
        <v>0</v>
      </c>
      <c r="CK946" s="75">
        <f>CJ946*(1-PARAM!$C$27)*$R$4+(MOD($B946/12,5)=0)*($B946&gt;60)*HLOOKUP($B946/12,Loyalty,2)*$F$1*MAX(CM945,0)</f>
        <v>0</v>
      </c>
      <c r="CL946" s="75">
        <f>PARAM!$C$26+MAX($P$4-CHOOSE(PARAM!$B$44,MAX(0,CM945*$F$1),0),0)*RATES!$L922/12+$Q$4*(PARAM!$D$51/12)*RATES!$N922/100</f>
        <v>1190.0416666666667</v>
      </c>
      <c r="CM946" s="16">
        <f>IF(CM945&gt;0,CM945*PARAM!$C$53,CM945)+CK946-CL946</f>
        <v>-309868.58333333372</v>
      </c>
      <c r="CO946" s="176"/>
    </row>
    <row r="947" spans="1:93" x14ac:dyDescent="0.2">
      <c r="A947" t="b">
        <f t="shared" si="623"/>
        <v>0</v>
      </c>
      <c r="B947" s="33">
        <v>920</v>
      </c>
      <c r="C947" s="15">
        <f t="shared" si="624"/>
        <v>20.081305947392778</v>
      </c>
      <c r="D947" s="75">
        <f>C947*(1-PARAM!$C$27)*$I$3+(MOD($B947,60)=PARAM!$B$56)*($B947&gt;(60-PARAM!$B$56))*HLOOKUP(($B947+PARAM!$B$56)/12,Loyalty,2)*$F$1*MAX(F946,0)</f>
        <v>16.808053077967756</v>
      </c>
      <c r="E947" s="75">
        <f>PARAM!$C$26+MAX($G$3-CHOOSE(PARAM!$B$44,MAX(0,F946*$F$1),0),0)*RATES!$L923/12+$H$3*(PARAM!$D$51/12)*RATES!$N923/100</f>
        <v>1190.0416666666667</v>
      </c>
      <c r="F947" s="16">
        <f t="shared" si="625"/>
        <v>-295751.64135967486</v>
      </c>
      <c r="G947" s="15">
        <f t="shared" si="626"/>
        <v>22.035289406060361</v>
      </c>
      <c r="H947" s="75">
        <f>G947*(1-PARAM!$C$27)*$I$4+(MOD($B947,60)=PARAM!$B$56)*($B947&gt;(60-PARAM!$B$56))*HLOOKUP(($B947+PARAM!$B$56)/12,Loyalty,2)*$F$1*MAX(J946,0)</f>
        <v>18.443537232872522</v>
      </c>
      <c r="I947" s="75">
        <f>PARAM!$C$26+MAX($G$4-CHOOSE(PARAM!$B$44,MAX(0,J946*$F$1),0),0)*RATES!$L923/12+$H$4*(PARAM!$D$51/12)*RATES!$N923/100</f>
        <v>1190.0416666666667</v>
      </c>
      <c r="J947" s="16">
        <f t="shared" si="627"/>
        <v>-294213.16297303879</v>
      </c>
      <c r="K947" s="15">
        <f t="shared" si="628"/>
        <v>22.170849845882874</v>
      </c>
      <c r="L947" s="75">
        <f>K947*(1-PARAM!$C$27)*$I$5+(MOD($B947,60)=PARAM!$B$56)*($B947&gt;(60-PARAM!$B$56))*HLOOKUP(($B947+PARAM!$B$56)/12,Loyalty,2)*$F$1*MAX(N946,0)</f>
        <v>18.557001321003963</v>
      </c>
      <c r="M947" s="75">
        <f>PARAM!$C$26+MAX($G$5-CHOOSE(PARAM!$B$44,MAX(0,N946*$F$1),0),0)*RATES!$L923/12+$H$5*(PARAM!$D$51/12)*RATES!$N923/100</f>
        <v>1190.0416666666667</v>
      </c>
      <c r="N947" s="16">
        <f t="shared" si="629"/>
        <v>-294105.75847555941</v>
      </c>
      <c r="O947" s="15">
        <f t="shared" si="630"/>
        <v>22.170849845882874</v>
      </c>
      <c r="P947" s="75">
        <f>O947*(1-PARAM!$C$27)*$I$6+(MOD($B947,60)=PARAM!$B$56)*($B947&gt;(60-PARAM!$B$56))*HLOOKUP(($B947+PARAM!$B$56)/12,Loyalty,2)*$F$1*MAX(R946,0)</f>
        <v>18.557001321003963</v>
      </c>
      <c r="Q947" s="75">
        <f>PARAM!$C$26+MAX($G$6-CHOOSE(PARAM!$B$44,MAX(0,R946*$F$1),0),0)*RATES!$L923/12+$H$6*(PARAM!$D$51/12)*RATES!$N923/100</f>
        <v>1190.0416666666667</v>
      </c>
      <c r="R947" s="16">
        <f t="shared" si="631"/>
        <v>-294105.75847555941</v>
      </c>
      <c r="S947" s="15">
        <f t="shared" si="606"/>
        <v>22.170849845882874</v>
      </c>
      <c r="T947" s="75">
        <f>S947*(1-PARAM!$C$27)*$I$7+(MOD($B947,60)=PARAM!$B$56)*($B947&gt;(60-PARAM!$B$56))*HLOOKUP(($B947+PARAM!$B$56)/12,Loyalty,2)*$F$1*MAX(V946,0)</f>
        <v>18.557001321003963</v>
      </c>
      <c r="U947" s="75">
        <f>PARAM!$C$26+MAX($G$7-CHOOSE(PARAM!$B$44,MAX(0,V946*$F$1),0),0)*RATES!$L923/12+$H$7*(PARAM!$D$51/12)*RATES!$N923/100</f>
        <v>1190.0416666666667</v>
      </c>
      <c r="V947" s="16">
        <f t="shared" si="632"/>
        <v>-294105.75847555941</v>
      </c>
      <c r="W947" s="15">
        <f t="shared" si="607"/>
        <v>22.170849845882874</v>
      </c>
      <c r="X947" s="75">
        <f>W947*(1-PARAM!$C$27)*$I$8+(MOD($B947,60)=PARAM!$B$56)*($B947&gt;(60-PARAM!$B$56))*HLOOKUP(($B947+PARAM!$B$56)/12,Loyalty,2)*$F$1*MAX(Z946,0)</f>
        <v>18.557001321003963</v>
      </c>
      <c r="Y947" s="75">
        <f>PARAM!$C$26+MAX($G$8-CHOOSE(PARAM!$B$44,MAX(0,Z946*$F$1),0),0)*RATES!$L923/12+$H$8*(PARAM!$D$51/12)*RATES!$N923/100</f>
        <v>1190.0416666666667</v>
      </c>
      <c r="Z947" s="16">
        <f t="shared" si="633"/>
        <v>-294105.75847555941</v>
      </c>
      <c r="AA947" s="15">
        <f t="shared" si="608"/>
        <v>22.170849845882874</v>
      </c>
      <c r="AB947" s="75">
        <f>AA947*(1-PARAM!$C$27)*$I$9+(MOD($B947,60)=PARAM!$B$56)*($B947&gt;(60-PARAM!$B$56))*HLOOKUP(($B947+PARAM!$B$56)/12,Loyalty,2)*$F$1*MAX(AD946,0)</f>
        <v>18.557001321003963</v>
      </c>
      <c r="AC947" s="75">
        <f>PARAM!$C$26+MAX($G$9-CHOOSE(PARAM!$B$44,MAX(0,AD946*$F$1),0),0)*RATES!$L923/12+$H$9*(PARAM!$D$51/12)*RATES!$N923/100</f>
        <v>1190.0416666666667</v>
      </c>
      <c r="AD947" s="16">
        <f t="shared" si="634"/>
        <v>-294105.75847555941</v>
      </c>
      <c r="AE947" s="15">
        <f t="shared" si="609"/>
        <v>22.170849845882874</v>
      </c>
      <c r="AF947" s="75">
        <f>AE947*(1-PARAM!$C$27)*$I$10+(MOD($B947,60)=PARAM!$B$56)*($B947&gt;(60-PARAM!$B$56))*HLOOKUP(($B947+PARAM!$B$56)/12,Loyalty,2)*$F$1*MAX(AH946,0)</f>
        <v>18.557001321003963</v>
      </c>
      <c r="AG947" s="75">
        <f>PARAM!$C$26+MAX($G$10-CHOOSE(PARAM!$B$44,MAX(0,AH946*$F$1),0),0)*RATES!$L923/12+$H$10*(PARAM!$D$51/12)*RATES!$N923/100</f>
        <v>1190.0416666666667</v>
      </c>
      <c r="AH947" s="16">
        <f t="shared" si="635"/>
        <v>-294105.75847555941</v>
      </c>
      <c r="AI947" s="15">
        <f t="shared" si="610"/>
        <v>22.170849845882874</v>
      </c>
      <c r="AJ947" s="75">
        <f>AI947*(1-PARAM!$C$27)*$I$11+(MOD($B947,60)=PARAM!$B$56)*($B947&gt;(60-PARAM!$B$56))*HLOOKUP(($B947+PARAM!$B$56)/12,Loyalty,2)*$F$1*MAX(AL946,0)</f>
        <v>18.557001321003963</v>
      </c>
      <c r="AK947" s="75">
        <f>PARAM!$C$26+MAX($G$11-CHOOSE(PARAM!$B$44,MAX(0,AL946*$F$1),0),0)*RATES!$L923/12+$H$11*(PARAM!$D$51/12)*RATES!$N923/100</f>
        <v>1190.0416666666667</v>
      </c>
      <c r="AL947" s="16">
        <f t="shared" si="636"/>
        <v>-294105.75847555941</v>
      </c>
      <c r="AM947" s="15">
        <f t="shared" si="611"/>
        <v>22.170849845882874</v>
      </c>
      <c r="AN947" s="75">
        <f>AM947*(1-PARAM!$C$27)*$I$12+(MOD($B947,60)=PARAM!$B$56)*($B947&gt;(60-PARAM!$B$56))*HLOOKUP(($B947+PARAM!$B$56)/12,Loyalty,2)*$F$1*MAX(AP946,0)</f>
        <v>18.557001321003963</v>
      </c>
      <c r="AO947" s="75">
        <f>PARAM!$C$26+MAX($G$12-CHOOSE(PARAM!$B$44,MAX(0,AP946*$F$1),0),0)*RATES!$L923/12+$H$12*(PARAM!$D$51/12)*RATES!$N923/100</f>
        <v>1190.0416666666667</v>
      </c>
      <c r="AP947" s="16">
        <f t="shared" si="637"/>
        <v>-294105.75847555941</v>
      </c>
      <c r="AQ947" s="15">
        <f t="shared" si="612"/>
        <v>22.170849845882874</v>
      </c>
      <c r="AR947" s="75">
        <f>AQ947*(1-PARAM!$C$27)*$I$13+(MOD($B947,60)=PARAM!$B$56)*($B947&gt;(60-PARAM!$B$56))*HLOOKUP(($B947+PARAM!$B$56)/12,Loyalty,2)*$F$1*MAX(AT946,0)</f>
        <v>18.557001321003963</v>
      </c>
      <c r="AS947" s="75">
        <f>PARAM!$C$26+MAX($G$13-CHOOSE(PARAM!$B$44,MAX(0,AT946*$F$1),0),0)*RATES!$L923/12+$H$13*(PARAM!$D$51/12)*RATES!$N923/100</f>
        <v>1190.0416666666667</v>
      </c>
      <c r="AT947" s="16">
        <f t="shared" si="638"/>
        <v>-294105.75847555941</v>
      </c>
      <c r="AU947" s="15">
        <f t="shared" si="613"/>
        <v>22.170849845882874</v>
      </c>
      <c r="AV947" s="75">
        <f>AU947*(1-PARAM!$C$27)*$I$14+(MOD($B947,60)=PARAM!$B$56)*($B947&gt;(60-PARAM!$B$56))*HLOOKUP(($B947+PARAM!$B$56)/12,Loyalty,2)*$F$1*MAX(AX946,0)</f>
        <v>18.557001321003963</v>
      </c>
      <c r="AW947" s="75">
        <f>PARAM!$C$26+MAX($G$14-CHOOSE(PARAM!$B$44,MAX(0,AX946*$F$1),0),0)*RATES!$L923/12+$H$14*(PARAM!$D$51/12)*RATES!$N923/100</f>
        <v>1190.0416666666667</v>
      </c>
      <c r="AX947" s="16">
        <f t="shared" si="639"/>
        <v>-294105.75847555941</v>
      </c>
      <c r="AY947" s="15">
        <f t="shared" si="614"/>
        <v>22.170849845882874</v>
      </c>
      <c r="AZ947" s="75">
        <f>AY947*(1-PARAM!$C$27)*$I$15+(MOD($B947,60)=PARAM!$B$56)*($B947&gt;(60-PARAM!$B$56))*HLOOKUP(($B947+PARAM!$B$56)/12,Loyalty,2)*$F$1*MAX(BB946,0)</f>
        <v>18.557001321003963</v>
      </c>
      <c r="BA947" s="75">
        <f>PARAM!$C$26+MAX($G$15-CHOOSE(PARAM!$B$44,MAX(0,BB946*$F$1),0),0)*RATES!$L923/12+$H$15*(PARAM!$D$51/12)*RATES!$N923/100</f>
        <v>1190.0416666666667</v>
      </c>
      <c r="BB947" s="16">
        <f t="shared" si="640"/>
        <v>-294105.75847555941</v>
      </c>
      <c r="BC947" s="15">
        <f t="shared" si="615"/>
        <v>22.170849845882874</v>
      </c>
      <c r="BD947" s="75">
        <f>BC947*(1-PARAM!$C$27)*$I$16+(MOD($B947,60)=PARAM!$B$56)*($B947&gt;(60-PARAM!$B$56))*HLOOKUP(($B947+PARAM!$B$56)/12,Loyalty,2)*$F$1*MAX(BF946,0)</f>
        <v>18.557001321003963</v>
      </c>
      <c r="BE947" s="75">
        <f>PARAM!$C$26+MAX($G$16-CHOOSE(PARAM!$B$44,MAX(0,BF946*$F$1),0),0)*RATES!$L923/12+$H$16*(PARAM!$D$51/12)*RATES!$N923/100</f>
        <v>1190.0416666666667</v>
      </c>
      <c r="BF947" s="16">
        <f t="shared" si="641"/>
        <v>-294105.75847555941</v>
      </c>
      <c r="BG947" s="15">
        <f t="shared" si="616"/>
        <v>22.170849845882874</v>
      </c>
      <c r="BH947" s="75">
        <f>BG947*(1-PARAM!$C$27)*$I$17+(MOD($B947,60)=PARAM!$B$56)*($B947&gt;(60-PARAM!$B$56))*HLOOKUP(($B947+PARAM!$B$56)/12,Loyalty,2)*$F$1*MAX(BJ946,0)</f>
        <v>18.557001321003963</v>
      </c>
      <c r="BI947" s="75">
        <f>PARAM!$C$26+MAX($G$17-CHOOSE(PARAM!$B$44,MAX(0,BJ946*$F$1),0),0)*RATES!$L923/12+$H$17*(PARAM!$D$51/12)*RATES!$N923/100</f>
        <v>1190.0416666666667</v>
      </c>
      <c r="BJ947" s="16">
        <f t="shared" si="642"/>
        <v>-294105.75847555941</v>
      </c>
      <c r="BK947" s="15">
        <f t="shared" si="617"/>
        <v>22.170849845882874</v>
      </c>
      <c r="BL947" s="75">
        <f>BK947*(1-PARAM!$C$27)*$I$18+(MOD($B947,60)=PARAM!$B$56)*($B947&gt;(60-PARAM!$B$56))*HLOOKUP(($B947+PARAM!$B$56)/12,Loyalty,2)*$F$1*MAX(BN946,0)</f>
        <v>18.557001321003963</v>
      </c>
      <c r="BM947" s="75">
        <f>PARAM!$C$26+MAX($G$18-CHOOSE(PARAM!$B$44,MAX(0,BN946*$F$1),0),0)*RATES!$L923/12+$H$18*(PARAM!$D$51/12)*RATES!$N923/100</f>
        <v>1190.0416666666667</v>
      </c>
      <c r="BN947" s="16">
        <f t="shared" si="643"/>
        <v>-294105.75847555941</v>
      </c>
      <c r="BO947" s="15">
        <f t="shared" si="618"/>
        <v>22.170849845882874</v>
      </c>
      <c r="BP947" s="75">
        <f>BO947*(1-PARAM!$C$27)*$I$19+(MOD($B947,60)=PARAM!$B$56)*($B947&gt;(60-PARAM!$B$56))*HLOOKUP(($B947+PARAM!$B$56)/12,Loyalty,2)*$F$1*MAX(BR946,0)</f>
        <v>18.557001321003963</v>
      </c>
      <c r="BQ947" s="75">
        <f>PARAM!$C$26+MAX($G$19-CHOOSE(PARAM!$B$44,MAX(0,BR946*$F$1),0),0)*RATES!$L923/12+$H$19*(PARAM!$D$51/12)*RATES!$N923/100</f>
        <v>1190.0416666666667</v>
      </c>
      <c r="BR947" s="16">
        <f t="shared" si="644"/>
        <v>-294105.75847555941</v>
      </c>
      <c r="BS947" s="15">
        <f t="shared" si="619"/>
        <v>22.170849845882874</v>
      </c>
      <c r="BT947" s="75">
        <f>BS947*(1-PARAM!$C$27)*$I$20+(MOD($B947,60)=PARAM!$B$56)*($B947&gt;(60-PARAM!$B$56))*HLOOKUP(($B947+PARAM!$B$56)/12,Loyalty,2)*$F$1*MAX(BV946,0)</f>
        <v>18.557001321003963</v>
      </c>
      <c r="BU947" s="75">
        <f>PARAM!$C$26+MAX($G$20-CHOOSE(PARAM!$B$44,MAX(0,BV946*$F$1),0),0)*RATES!$L923/12+$H$20*(PARAM!$D$51/12)*RATES!$N923/100</f>
        <v>1190.0416666666667</v>
      </c>
      <c r="BV947" s="16">
        <f t="shared" si="645"/>
        <v>-294105.75847555941</v>
      </c>
      <c r="BW947" s="15">
        <f t="shared" si="620"/>
        <v>22.170849845882874</v>
      </c>
      <c r="BX947" s="75">
        <f>BW947*(1-PARAM!$C$27)*$I$21+(MOD($B947,60)=PARAM!$B$56)*($B947&gt;(60-PARAM!$B$56))*HLOOKUP(($B947+PARAM!$B$56)/12,Loyalty,2)*$F$1*MAX(BZ946,0)</f>
        <v>18.557001321003963</v>
      </c>
      <c r="BY947" s="75">
        <f>PARAM!$C$26+MAX($G$21-CHOOSE(PARAM!$B$44,MAX(0,BZ946*$F$1),0),0)*RATES!$L923/12+$H$21*(PARAM!$D$51/12)*RATES!$N923/100</f>
        <v>1190.0416666666667</v>
      </c>
      <c r="BZ947" s="16">
        <f t="shared" si="646"/>
        <v>-294105.75847555941</v>
      </c>
      <c r="CA947" s="15">
        <f t="shared" si="621"/>
        <v>22.170849845882874</v>
      </c>
      <c r="CB947" s="75">
        <f>CA947*(1-PARAM!$C$27)*$I$22+(MOD($B947,60)=PARAM!$B$56)*($B947&gt;(60-PARAM!$B$56))*HLOOKUP(($B947+PARAM!$B$56)/12,Loyalty,2)*$F$1*MAX(CD946,0)</f>
        <v>18.557001321003963</v>
      </c>
      <c r="CC947" s="75">
        <f>PARAM!$C$26+MAX($G$22-CHOOSE(PARAM!$B$44,MAX(0,CD946*$F$1),0),0)*RATES!$L923/12+$H$22*(PARAM!$D$51/12)*RATES!$N923/100</f>
        <v>1190.0416666666667</v>
      </c>
      <c r="CD947" s="16">
        <f t="shared" si="647"/>
        <v>-294105.75847555941</v>
      </c>
      <c r="CE947" s="33">
        <f>IF(0=MOD(B947,12/PARAM!$D$51),1,0)</f>
        <v>1</v>
      </c>
      <c r="CF947" s="15">
        <f t="shared" si="622"/>
        <v>0</v>
      </c>
      <c r="CG947" s="75">
        <f>CF947*(1-PARAM!$C$27)*$R$3+(MOD($B947/12,5)=0)*($B947&gt;60)*HLOOKUP($B947/12,Loyalty,2)*$F$1*MAX(CI946,0)</f>
        <v>0</v>
      </c>
      <c r="CH947" s="75">
        <f>PARAM!$C$26+MAX($P$3-CHOOSE(PARAM!$B$44,MAX(0,CI946*$F$1),0),0)*RATES!$L923/12+$Q$3*(PARAM!$D$51/12)*RATES!$N923/100</f>
        <v>1190.0416666666667</v>
      </c>
      <c r="CI947" s="16">
        <f>IF(CI946&gt;0,CI946*PARAM!$C$53,CI946)+CG947-CH947</f>
        <v>-311058.62500000041</v>
      </c>
      <c r="CJ947" s="15">
        <f t="shared" si="648"/>
        <v>0</v>
      </c>
      <c r="CK947" s="75">
        <f>CJ947*(1-PARAM!$C$27)*$R$4+(MOD($B947/12,5)=0)*($B947&gt;60)*HLOOKUP($B947/12,Loyalty,2)*$F$1*MAX(CM946,0)</f>
        <v>0</v>
      </c>
      <c r="CL947" s="75">
        <f>PARAM!$C$26+MAX($P$4-CHOOSE(PARAM!$B$44,MAX(0,CM946*$F$1),0),0)*RATES!$L923/12+$Q$4*(PARAM!$D$51/12)*RATES!$N923/100</f>
        <v>1190.0416666666667</v>
      </c>
      <c r="CM947" s="16">
        <f>IF(CM946&gt;0,CM946*PARAM!$C$53,CM946)+CK947-CL947</f>
        <v>-311058.62500000041</v>
      </c>
      <c r="CO947" s="176"/>
    </row>
    <row r="948" spans="1:93" x14ac:dyDescent="0.2">
      <c r="A948" t="b">
        <f t="shared" si="623"/>
        <v>0</v>
      </c>
      <c r="B948" s="33">
        <v>921</v>
      </c>
      <c r="C948" s="15">
        <f t="shared" si="624"/>
        <v>20.081305947392778</v>
      </c>
      <c r="D948" s="75">
        <f>C948*(1-PARAM!$C$27)*$I$3+(MOD($B948,60)=PARAM!$B$56)*($B948&gt;(60-PARAM!$B$56))*HLOOKUP(($B948+PARAM!$B$56)/12,Loyalty,2)*$F$1*MAX(F947,0)</f>
        <v>16.808053077967756</v>
      </c>
      <c r="E948" s="75">
        <f>PARAM!$C$26+MAX($G$3-CHOOSE(PARAM!$B$44,MAX(0,F947*$F$1),0),0)*RATES!$L924/12+$H$3*(PARAM!$D$51/12)*RATES!$N924/100</f>
        <v>1190.0416666666667</v>
      </c>
      <c r="F948" s="16">
        <f t="shared" si="625"/>
        <v>-296924.87497326359</v>
      </c>
      <c r="G948" s="15">
        <f t="shared" si="626"/>
        <v>22.035289406060361</v>
      </c>
      <c r="H948" s="75">
        <f>G948*(1-PARAM!$C$27)*$I$4+(MOD($B948,60)=PARAM!$B$56)*($B948&gt;(60-PARAM!$B$56))*HLOOKUP(($B948+PARAM!$B$56)/12,Loyalty,2)*$F$1*MAX(J947,0)</f>
        <v>18.443537232872522</v>
      </c>
      <c r="I948" s="75">
        <f>PARAM!$C$26+MAX($G$4-CHOOSE(PARAM!$B$44,MAX(0,J947*$F$1),0),0)*RATES!$L924/12+$H$4*(PARAM!$D$51/12)*RATES!$N924/100</f>
        <v>1190.0416666666667</v>
      </c>
      <c r="J948" s="16">
        <f t="shared" si="627"/>
        <v>-295384.76110247261</v>
      </c>
      <c r="K948" s="15">
        <f t="shared" si="628"/>
        <v>22.170849845882874</v>
      </c>
      <c r="L948" s="75">
        <f>K948*(1-PARAM!$C$27)*$I$5+(MOD($B948,60)=PARAM!$B$56)*($B948&gt;(60-PARAM!$B$56))*HLOOKUP(($B948+PARAM!$B$56)/12,Loyalty,2)*$F$1*MAX(N947,0)</f>
        <v>18.557001321003963</v>
      </c>
      <c r="M948" s="75">
        <f>PARAM!$C$26+MAX($G$5-CHOOSE(PARAM!$B$44,MAX(0,N947*$F$1),0),0)*RATES!$L924/12+$H$5*(PARAM!$D$51/12)*RATES!$N924/100</f>
        <v>1190.0416666666667</v>
      </c>
      <c r="N948" s="16">
        <f t="shared" si="629"/>
        <v>-295277.24314090511</v>
      </c>
      <c r="O948" s="15">
        <f t="shared" si="630"/>
        <v>22.170849845882874</v>
      </c>
      <c r="P948" s="75">
        <f>O948*(1-PARAM!$C$27)*$I$6+(MOD($B948,60)=PARAM!$B$56)*($B948&gt;(60-PARAM!$B$56))*HLOOKUP(($B948+PARAM!$B$56)/12,Loyalty,2)*$F$1*MAX(R947,0)</f>
        <v>18.557001321003963</v>
      </c>
      <c r="Q948" s="75">
        <f>PARAM!$C$26+MAX($G$6-CHOOSE(PARAM!$B$44,MAX(0,R947*$F$1),0),0)*RATES!$L924/12+$H$6*(PARAM!$D$51/12)*RATES!$N924/100</f>
        <v>1190.0416666666667</v>
      </c>
      <c r="R948" s="16">
        <f t="shared" si="631"/>
        <v>-295277.24314090511</v>
      </c>
      <c r="S948" s="15">
        <f t="shared" si="606"/>
        <v>22.170849845882874</v>
      </c>
      <c r="T948" s="75">
        <f>S948*(1-PARAM!$C$27)*$I$7+(MOD($B948,60)=PARAM!$B$56)*($B948&gt;(60-PARAM!$B$56))*HLOOKUP(($B948+PARAM!$B$56)/12,Loyalty,2)*$F$1*MAX(V947,0)</f>
        <v>18.557001321003963</v>
      </c>
      <c r="U948" s="75">
        <f>PARAM!$C$26+MAX($G$7-CHOOSE(PARAM!$B$44,MAX(0,V947*$F$1),0),0)*RATES!$L924/12+$H$7*(PARAM!$D$51/12)*RATES!$N924/100</f>
        <v>1190.0416666666667</v>
      </c>
      <c r="V948" s="16">
        <f t="shared" si="632"/>
        <v>-295277.24314090511</v>
      </c>
      <c r="W948" s="15">
        <f t="shared" si="607"/>
        <v>22.170849845882874</v>
      </c>
      <c r="X948" s="75">
        <f>W948*(1-PARAM!$C$27)*$I$8+(MOD($B948,60)=PARAM!$B$56)*($B948&gt;(60-PARAM!$B$56))*HLOOKUP(($B948+PARAM!$B$56)/12,Loyalty,2)*$F$1*MAX(Z947,0)</f>
        <v>18.557001321003963</v>
      </c>
      <c r="Y948" s="75">
        <f>PARAM!$C$26+MAX($G$8-CHOOSE(PARAM!$B$44,MAX(0,Z947*$F$1),0),0)*RATES!$L924/12+$H$8*(PARAM!$D$51/12)*RATES!$N924/100</f>
        <v>1190.0416666666667</v>
      </c>
      <c r="Z948" s="16">
        <f t="shared" si="633"/>
        <v>-295277.24314090511</v>
      </c>
      <c r="AA948" s="15">
        <f t="shared" si="608"/>
        <v>22.170849845882874</v>
      </c>
      <c r="AB948" s="75">
        <f>AA948*(1-PARAM!$C$27)*$I$9+(MOD($B948,60)=PARAM!$B$56)*($B948&gt;(60-PARAM!$B$56))*HLOOKUP(($B948+PARAM!$B$56)/12,Loyalty,2)*$F$1*MAX(AD947,0)</f>
        <v>18.557001321003963</v>
      </c>
      <c r="AC948" s="75">
        <f>PARAM!$C$26+MAX($G$9-CHOOSE(PARAM!$B$44,MAX(0,AD947*$F$1),0),0)*RATES!$L924/12+$H$9*(PARAM!$D$51/12)*RATES!$N924/100</f>
        <v>1190.0416666666667</v>
      </c>
      <c r="AD948" s="16">
        <f t="shared" si="634"/>
        <v>-295277.24314090511</v>
      </c>
      <c r="AE948" s="15">
        <f t="shared" si="609"/>
        <v>22.170849845882874</v>
      </c>
      <c r="AF948" s="75">
        <f>AE948*(1-PARAM!$C$27)*$I$10+(MOD($B948,60)=PARAM!$B$56)*($B948&gt;(60-PARAM!$B$56))*HLOOKUP(($B948+PARAM!$B$56)/12,Loyalty,2)*$F$1*MAX(AH947,0)</f>
        <v>18.557001321003963</v>
      </c>
      <c r="AG948" s="75">
        <f>PARAM!$C$26+MAX($G$10-CHOOSE(PARAM!$B$44,MAX(0,AH947*$F$1),0),0)*RATES!$L924/12+$H$10*(PARAM!$D$51/12)*RATES!$N924/100</f>
        <v>1190.0416666666667</v>
      </c>
      <c r="AH948" s="16">
        <f t="shared" si="635"/>
        <v>-295277.24314090511</v>
      </c>
      <c r="AI948" s="15">
        <f t="shared" si="610"/>
        <v>22.170849845882874</v>
      </c>
      <c r="AJ948" s="75">
        <f>AI948*(1-PARAM!$C$27)*$I$11+(MOD($B948,60)=PARAM!$B$56)*($B948&gt;(60-PARAM!$B$56))*HLOOKUP(($B948+PARAM!$B$56)/12,Loyalty,2)*$F$1*MAX(AL947,0)</f>
        <v>18.557001321003963</v>
      </c>
      <c r="AK948" s="75">
        <f>PARAM!$C$26+MAX($G$11-CHOOSE(PARAM!$B$44,MAX(0,AL947*$F$1),0),0)*RATES!$L924/12+$H$11*(PARAM!$D$51/12)*RATES!$N924/100</f>
        <v>1190.0416666666667</v>
      </c>
      <c r="AL948" s="16">
        <f t="shared" si="636"/>
        <v>-295277.24314090511</v>
      </c>
      <c r="AM948" s="15">
        <f t="shared" si="611"/>
        <v>22.170849845882874</v>
      </c>
      <c r="AN948" s="75">
        <f>AM948*(1-PARAM!$C$27)*$I$12+(MOD($B948,60)=PARAM!$B$56)*($B948&gt;(60-PARAM!$B$56))*HLOOKUP(($B948+PARAM!$B$56)/12,Loyalty,2)*$F$1*MAX(AP947,0)</f>
        <v>18.557001321003963</v>
      </c>
      <c r="AO948" s="75">
        <f>PARAM!$C$26+MAX($G$12-CHOOSE(PARAM!$B$44,MAX(0,AP947*$F$1),0),0)*RATES!$L924/12+$H$12*(PARAM!$D$51/12)*RATES!$N924/100</f>
        <v>1190.0416666666667</v>
      </c>
      <c r="AP948" s="16">
        <f t="shared" si="637"/>
        <v>-295277.24314090511</v>
      </c>
      <c r="AQ948" s="15">
        <f t="shared" si="612"/>
        <v>22.170849845882874</v>
      </c>
      <c r="AR948" s="75">
        <f>AQ948*(1-PARAM!$C$27)*$I$13+(MOD($B948,60)=PARAM!$B$56)*($B948&gt;(60-PARAM!$B$56))*HLOOKUP(($B948+PARAM!$B$56)/12,Loyalty,2)*$F$1*MAX(AT947,0)</f>
        <v>18.557001321003963</v>
      </c>
      <c r="AS948" s="75">
        <f>PARAM!$C$26+MAX($G$13-CHOOSE(PARAM!$B$44,MAX(0,AT947*$F$1),0),0)*RATES!$L924/12+$H$13*(PARAM!$D$51/12)*RATES!$N924/100</f>
        <v>1190.0416666666667</v>
      </c>
      <c r="AT948" s="16">
        <f t="shared" si="638"/>
        <v>-295277.24314090511</v>
      </c>
      <c r="AU948" s="15">
        <f t="shared" si="613"/>
        <v>22.170849845882874</v>
      </c>
      <c r="AV948" s="75">
        <f>AU948*(1-PARAM!$C$27)*$I$14+(MOD($B948,60)=PARAM!$B$56)*($B948&gt;(60-PARAM!$B$56))*HLOOKUP(($B948+PARAM!$B$56)/12,Loyalty,2)*$F$1*MAX(AX947,0)</f>
        <v>18.557001321003963</v>
      </c>
      <c r="AW948" s="75">
        <f>PARAM!$C$26+MAX($G$14-CHOOSE(PARAM!$B$44,MAX(0,AX947*$F$1),0),0)*RATES!$L924/12+$H$14*(PARAM!$D$51/12)*RATES!$N924/100</f>
        <v>1190.0416666666667</v>
      </c>
      <c r="AX948" s="16">
        <f t="shared" si="639"/>
        <v>-295277.24314090511</v>
      </c>
      <c r="AY948" s="15">
        <f t="shared" si="614"/>
        <v>22.170849845882874</v>
      </c>
      <c r="AZ948" s="75">
        <f>AY948*(1-PARAM!$C$27)*$I$15+(MOD($B948,60)=PARAM!$B$56)*($B948&gt;(60-PARAM!$B$56))*HLOOKUP(($B948+PARAM!$B$56)/12,Loyalty,2)*$F$1*MAX(BB947,0)</f>
        <v>18.557001321003963</v>
      </c>
      <c r="BA948" s="75">
        <f>PARAM!$C$26+MAX($G$15-CHOOSE(PARAM!$B$44,MAX(0,BB947*$F$1),0),0)*RATES!$L924/12+$H$15*(PARAM!$D$51/12)*RATES!$N924/100</f>
        <v>1190.0416666666667</v>
      </c>
      <c r="BB948" s="16">
        <f t="shared" si="640"/>
        <v>-295277.24314090511</v>
      </c>
      <c r="BC948" s="15">
        <f t="shared" si="615"/>
        <v>22.170849845882874</v>
      </c>
      <c r="BD948" s="75">
        <f>BC948*(1-PARAM!$C$27)*$I$16+(MOD($B948,60)=PARAM!$B$56)*($B948&gt;(60-PARAM!$B$56))*HLOOKUP(($B948+PARAM!$B$56)/12,Loyalty,2)*$F$1*MAX(BF947,0)</f>
        <v>18.557001321003963</v>
      </c>
      <c r="BE948" s="75">
        <f>PARAM!$C$26+MAX($G$16-CHOOSE(PARAM!$B$44,MAX(0,BF947*$F$1),0),0)*RATES!$L924/12+$H$16*(PARAM!$D$51/12)*RATES!$N924/100</f>
        <v>1190.0416666666667</v>
      </c>
      <c r="BF948" s="16">
        <f t="shared" si="641"/>
        <v>-295277.24314090511</v>
      </c>
      <c r="BG948" s="15">
        <f t="shared" si="616"/>
        <v>22.170849845882874</v>
      </c>
      <c r="BH948" s="75">
        <f>BG948*(1-PARAM!$C$27)*$I$17+(MOD($B948,60)=PARAM!$B$56)*($B948&gt;(60-PARAM!$B$56))*HLOOKUP(($B948+PARAM!$B$56)/12,Loyalty,2)*$F$1*MAX(BJ947,0)</f>
        <v>18.557001321003963</v>
      </c>
      <c r="BI948" s="75">
        <f>PARAM!$C$26+MAX($G$17-CHOOSE(PARAM!$B$44,MAX(0,BJ947*$F$1),0),0)*RATES!$L924/12+$H$17*(PARAM!$D$51/12)*RATES!$N924/100</f>
        <v>1190.0416666666667</v>
      </c>
      <c r="BJ948" s="16">
        <f t="shared" si="642"/>
        <v>-295277.24314090511</v>
      </c>
      <c r="BK948" s="15">
        <f t="shared" si="617"/>
        <v>22.170849845882874</v>
      </c>
      <c r="BL948" s="75">
        <f>BK948*(1-PARAM!$C$27)*$I$18+(MOD($B948,60)=PARAM!$B$56)*($B948&gt;(60-PARAM!$B$56))*HLOOKUP(($B948+PARAM!$B$56)/12,Loyalty,2)*$F$1*MAX(BN947,0)</f>
        <v>18.557001321003963</v>
      </c>
      <c r="BM948" s="75">
        <f>PARAM!$C$26+MAX($G$18-CHOOSE(PARAM!$B$44,MAX(0,BN947*$F$1),0),0)*RATES!$L924/12+$H$18*(PARAM!$D$51/12)*RATES!$N924/100</f>
        <v>1190.0416666666667</v>
      </c>
      <c r="BN948" s="16">
        <f t="shared" si="643"/>
        <v>-295277.24314090511</v>
      </c>
      <c r="BO948" s="15">
        <f t="shared" si="618"/>
        <v>22.170849845882874</v>
      </c>
      <c r="BP948" s="75">
        <f>BO948*(1-PARAM!$C$27)*$I$19+(MOD($B948,60)=PARAM!$B$56)*($B948&gt;(60-PARAM!$B$56))*HLOOKUP(($B948+PARAM!$B$56)/12,Loyalty,2)*$F$1*MAX(BR947,0)</f>
        <v>18.557001321003963</v>
      </c>
      <c r="BQ948" s="75">
        <f>PARAM!$C$26+MAX($G$19-CHOOSE(PARAM!$B$44,MAX(0,BR947*$F$1),0),0)*RATES!$L924/12+$H$19*(PARAM!$D$51/12)*RATES!$N924/100</f>
        <v>1190.0416666666667</v>
      </c>
      <c r="BR948" s="16">
        <f t="shared" si="644"/>
        <v>-295277.24314090511</v>
      </c>
      <c r="BS948" s="15">
        <f t="shared" si="619"/>
        <v>22.170849845882874</v>
      </c>
      <c r="BT948" s="75">
        <f>BS948*(1-PARAM!$C$27)*$I$20+(MOD($B948,60)=PARAM!$B$56)*($B948&gt;(60-PARAM!$B$56))*HLOOKUP(($B948+PARAM!$B$56)/12,Loyalty,2)*$F$1*MAX(BV947,0)</f>
        <v>18.557001321003963</v>
      </c>
      <c r="BU948" s="75">
        <f>PARAM!$C$26+MAX($G$20-CHOOSE(PARAM!$B$44,MAX(0,BV947*$F$1),0),0)*RATES!$L924/12+$H$20*(PARAM!$D$51/12)*RATES!$N924/100</f>
        <v>1190.0416666666667</v>
      </c>
      <c r="BV948" s="16">
        <f t="shared" si="645"/>
        <v>-295277.24314090511</v>
      </c>
      <c r="BW948" s="15">
        <f t="shared" si="620"/>
        <v>22.170849845882874</v>
      </c>
      <c r="BX948" s="75">
        <f>BW948*(1-PARAM!$C$27)*$I$21+(MOD($B948,60)=PARAM!$B$56)*($B948&gt;(60-PARAM!$B$56))*HLOOKUP(($B948+PARAM!$B$56)/12,Loyalty,2)*$F$1*MAX(BZ947,0)</f>
        <v>18.557001321003963</v>
      </c>
      <c r="BY948" s="75">
        <f>PARAM!$C$26+MAX($G$21-CHOOSE(PARAM!$B$44,MAX(0,BZ947*$F$1),0),0)*RATES!$L924/12+$H$21*(PARAM!$D$51/12)*RATES!$N924/100</f>
        <v>1190.0416666666667</v>
      </c>
      <c r="BZ948" s="16">
        <f t="shared" si="646"/>
        <v>-295277.24314090511</v>
      </c>
      <c r="CA948" s="15">
        <f t="shared" si="621"/>
        <v>22.170849845882874</v>
      </c>
      <c r="CB948" s="75">
        <f>CA948*(1-PARAM!$C$27)*$I$22+(MOD($B948,60)=PARAM!$B$56)*($B948&gt;(60-PARAM!$B$56))*HLOOKUP(($B948+PARAM!$B$56)/12,Loyalty,2)*$F$1*MAX(CD947,0)</f>
        <v>18.557001321003963</v>
      </c>
      <c r="CC948" s="75">
        <f>PARAM!$C$26+MAX($G$22-CHOOSE(PARAM!$B$44,MAX(0,CD947*$F$1),0),0)*RATES!$L924/12+$H$22*(PARAM!$D$51/12)*RATES!$N924/100</f>
        <v>1190.0416666666667</v>
      </c>
      <c r="CD948" s="16">
        <f t="shared" si="647"/>
        <v>-295277.24314090511</v>
      </c>
      <c r="CE948" s="33">
        <f>IF(0=MOD(B948,12/PARAM!$D$51),1,0)</f>
        <v>1</v>
      </c>
      <c r="CF948" s="15">
        <f t="shared" si="622"/>
        <v>0</v>
      </c>
      <c r="CG948" s="75">
        <f>CF948*(1-PARAM!$C$27)*$R$3+(MOD($B948/12,5)=0)*($B948&gt;60)*HLOOKUP($B948/12,Loyalty,2)*$F$1*MAX(CI947,0)</f>
        <v>0</v>
      </c>
      <c r="CH948" s="75">
        <f>PARAM!$C$26+MAX($P$3-CHOOSE(PARAM!$B$44,MAX(0,CI947*$F$1),0),0)*RATES!$L924/12+$Q$3*(PARAM!$D$51/12)*RATES!$N924/100</f>
        <v>1190.0416666666667</v>
      </c>
      <c r="CI948" s="16">
        <f>IF(CI947&gt;0,CI947*PARAM!$C$53,CI947)+CG948-CH948</f>
        <v>-312248.66666666709</v>
      </c>
      <c r="CJ948" s="15">
        <f t="shared" si="648"/>
        <v>0</v>
      </c>
      <c r="CK948" s="75">
        <f>CJ948*(1-PARAM!$C$27)*$R$4+(MOD($B948/12,5)=0)*($B948&gt;60)*HLOOKUP($B948/12,Loyalty,2)*$F$1*MAX(CM947,0)</f>
        <v>0</v>
      </c>
      <c r="CL948" s="75">
        <f>PARAM!$C$26+MAX($P$4-CHOOSE(PARAM!$B$44,MAX(0,CM947*$F$1),0),0)*RATES!$L924/12+$Q$4*(PARAM!$D$51/12)*RATES!$N924/100</f>
        <v>1190.0416666666667</v>
      </c>
      <c r="CM948" s="16">
        <f>IF(CM947&gt;0,CM947*PARAM!$C$53,CM947)+CK948-CL948</f>
        <v>-312248.66666666709</v>
      </c>
      <c r="CO948" s="176"/>
    </row>
    <row r="949" spans="1:93" x14ac:dyDescent="0.2">
      <c r="A949" t="b">
        <f t="shared" si="623"/>
        <v>0</v>
      </c>
      <c r="B949" s="33">
        <v>922</v>
      </c>
      <c r="C949" s="15">
        <f t="shared" si="624"/>
        <v>20.081305947392778</v>
      </c>
      <c r="D949" s="75">
        <f>C949*(1-PARAM!$C$27)*$I$3+(MOD($B949,60)=PARAM!$B$56)*($B949&gt;(60-PARAM!$B$56))*HLOOKUP(($B949+PARAM!$B$56)/12,Loyalty,2)*$F$1*MAX(F948,0)</f>
        <v>16.808053077967756</v>
      </c>
      <c r="E949" s="75">
        <f>PARAM!$C$26+MAX($G$3-CHOOSE(PARAM!$B$44,MAX(0,F948*$F$1),0),0)*RATES!$L925/12+$H$3*(PARAM!$D$51/12)*RATES!$N925/100</f>
        <v>1190.0416666666667</v>
      </c>
      <c r="F949" s="16">
        <f t="shared" si="625"/>
        <v>-298098.10858685232</v>
      </c>
      <c r="G949" s="15">
        <f t="shared" si="626"/>
        <v>22.035289406060361</v>
      </c>
      <c r="H949" s="75">
        <f>G949*(1-PARAM!$C$27)*$I$4+(MOD($B949,60)=PARAM!$B$56)*($B949&gt;(60-PARAM!$B$56))*HLOOKUP(($B949+PARAM!$B$56)/12,Loyalty,2)*$F$1*MAX(J948,0)</f>
        <v>18.443537232872522</v>
      </c>
      <c r="I949" s="75">
        <f>PARAM!$C$26+MAX($G$4-CHOOSE(PARAM!$B$44,MAX(0,J948*$F$1),0),0)*RATES!$L925/12+$H$4*(PARAM!$D$51/12)*RATES!$N925/100</f>
        <v>1190.0416666666667</v>
      </c>
      <c r="J949" s="16">
        <f t="shared" si="627"/>
        <v>-296556.35923190642</v>
      </c>
      <c r="K949" s="15">
        <f t="shared" si="628"/>
        <v>22.170849845882874</v>
      </c>
      <c r="L949" s="75">
        <f>K949*(1-PARAM!$C$27)*$I$5+(MOD($B949,60)=PARAM!$B$56)*($B949&gt;(60-PARAM!$B$56))*HLOOKUP(($B949+PARAM!$B$56)/12,Loyalty,2)*$F$1*MAX(N948,0)</f>
        <v>18.557001321003963</v>
      </c>
      <c r="M949" s="75">
        <f>PARAM!$C$26+MAX($G$5-CHOOSE(PARAM!$B$44,MAX(0,N948*$F$1),0),0)*RATES!$L925/12+$H$5*(PARAM!$D$51/12)*RATES!$N925/100</f>
        <v>1190.0416666666667</v>
      </c>
      <c r="N949" s="16">
        <f t="shared" si="629"/>
        <v>-296448.7278062508</v>
      </c>
      <c r="O949" s="15">
        <f t="shared" si="630"/>
        <v>22.170849845882874</v>
      </c>
      <c r="P949" s="75">
        <f>O949*(1-PARAM!$C$27)*$I$6+(MOD($B949,60)=PARAM!$B$56)*($B949&gt;(60-PARAM!$B$56))*HLOOKUP(($B949+PARAM!$B$56)/12,Loyalty,2)*$F$1*MAX(R948,0)</f>
        <v>18.557001321003963</v>
      </c>
      <c r="Q949" s="75">
        <f>PARAM!$C$26+MAX($G$6-CHOOSE(PARAM!$B$44,MAX(0,R948*$F$1),0),0)*RATES!$L925/12+$H$6*(PARAM!$D$51/12)*RATES!$N925/100</f>
        <v>1190.0416666666667</v>
      </c>
      <c r="R949" s="16">
        <f t="shared" si="631"/>
        <v>-296448.7278062508</v>
      </c>
      <c r="S949" s="15">
        <f t="shared" si="606"/>
        <v>22.170849845882874</v>
      </c>
      <c r="T949" s="75">
        <f>S949*(1-PARAM!$C$27)*$I$7+(MOD($B949,60)=PARAM!$B$56)*($B949&gt;(60-PARAM!$B$56))*HLOOKUP(($B949+PARAM!$B$56)/12,Loyalty,2)*$F$1*MAX(V948,0)</f>
        <v>18.557001321003963</v>
      </c>
      <c r="U949" s="75">
        <f>PARAM!$C$26+MAX($G$7-CHOOSE(PARAM!$B$44,MAX(0,V948*$F$1),0),0)*RATES!$L925/12+$H$7*(PARAM!$D$51/12)*RATES!$N925/100</f>
        <v>1190.0416666666667</v>
      </c>
      <c r="V949" s="16">
        <f t="shared" si="632"/>
        <v>-296448.7278062508</v>
      </c>
      <c r="W949" s="15">
        <f t="shared" si="607"/>
        <v>22.170849845882874</v>
      </c>
      <c r="X949" s="75">
        <f>W949*(1-PARAM!$C$27)*$I$8+(MOD($B949,60)=PARAM!$B$56)*($B949&gt;(60-PARAM!$B$56))*HLOOKUP(($B949+PARAM!$B$56)/12,Loyalty,2)*$F$1*MAX(Z948,0)</f>
        <v>18.557001321003963</v>
      </c>
      <c r="Y949" s="75">
        <f>PARAM!$C$26+MAX($G$8-CHOOSE(PARAM!$B$44,MAX(0,Z948*$F$1),0),0)*RATES!$L925/12+$H$8*(PARAM!$D$51/12)*RATES!$N925/100</f>
        <v>1190.0416666666667</v>
      </c>
      <c r="Z949" s="16">
        <f t="shared" si="633"/>
        <v>-296448.7278062508</v>
      </c>
      <c r="AA949" s="15">
        <f t="shared" si="608"/>
        <v>22.170849845882874</v>
      </c>
      <c r="AB949" s="75">
        <f>AA949*(1-PARAM!$C$27)*$I$9+(MOD($B949,60)=PARAM!$B$56)*($B949&gt;(60-PARAM!$B$56))*HLOOKUP(($B949+PARAM!$B$56)/12,Loyalty,2)*$F$1*MAX(AD948,0)</f>
        <v>18.557001321003963</v>
      </c>
      <c r="AC949" s="75">
        <f>PARAM!$C$26+MAX($G$9-CHOOSE(PARAM!$B$44,MAX(0,AD948*$F$1),0),0)*RATES!$L925/12+$H$9*(PARAM!$D$51/12)*RATES!$N925/100</f>
        <v>1190.0416666666667</v>
      </c>
      <c r="AD949" s="16">
        <f t="shared" si="634"/>
        <v>-296448.7278062508</v>
      </c>
      <c r="AE949" s="15">
        <f t="shared" si="609"/>
        <v>22.170849845882874</v>
      </c>
      <c r="AF949" s="75">
        <f>AE949*(1-PARAM!$C$27)*$I$10+(MOD($B949,60)=PARAM!$B$56)*($B949&gt;(60-PARAM!$B$56))*HLOOKUP(($B949+PARAM!$B$56)/12,Loyalty,2)*$F$1*MAX(AH948,0)</f>
        <v>18.557001321003963</v>
      </c>
      <c r="AG949" s="75">
        <f>PARAM!$C$26+MAX($G$10-CHOOSE(PARAM!$B$44,MAX(0,AH948*$F$1),0),0)*RATES!$L925/12+$H$10*(PARAM!$D$51/12)*RATES!$N925/100</f>
        <v>1190.0416666666667</v>
      </c>
      <c r="AH949" s="16">
        <f t="shared" si="635"/>
        <v>-296448.7278062508</v>
      </c>
      <c r="AI949" s="15">
        <f t="shared" si="610"/>
        <v>22.170849845882874</v>
      </c>
      <c r="AJ949" s="75">
        <f>AI949*(1-PARAM!$C$27)*$I$11+(MOD($B949,60)=PARAM!$B$56)*($B949&gt;(60-PARAM!$B$56))*HLOOKUP(($B949+PARAM!$B$56)/12,Loyalty,2)*$F$1*MAX(AL948,0)</f>
        <v>18.557001321003963</v>
      </c>
      <c r="AK949" s="75">
        <f>PARAM!$C$26+MAX($G$11-CHOOSE(PARAM!$B$44,MAX(0,AL948*$F$1),0),0)*RATES!$L925/12+$H$11*(PARAM!$D$51/12)*RATES!$N925/100</f>
        <v>1190.0416666666667</v>
      </c>
      <c r="AL949" s="16">
        <f t="shared" si="636"/>
        <v>-296448.7278062508</v>
      </c>
      <c r="AM949" s="15">
        <f t="shared" si="611"/>
        <v>22.170849845882874</v>
      </c>
      <c r="AN949" s="75">
        <f>AM949*(1-PARAM!$C$27)*$I$12+(MOD($B949,60)=PARAM!$B$56)*($B949&gt;(60-PARAM!$B$56))*HLOOKUP(($B949+PARAM!$B$56)/12,Loyalty,2)*$F$1*MAX(AP948,0)</f>
        <v>18.557001321003963</v>
      </c>
      <c r="AO949" s="75">
        <f>PARAM!$C$26+MAX($G$12-CHOOSE(PARAM!$B$44,MAX(0,AP948*$F$1),0),0)*RATES!$L925/12+$H$12*(PARAM!$D$51/12)*RATES!$N925/100</f>
        <v>1190.0416666666667</v>
      </c>
      <c r="AP949" s="16">
        <f t="shared" si="637"/>
        <v>-296448.7278062508</v>
      </c>
      <c r="AQ949" s="15">
        <f t="shared" si="612"/>
        <v>22.170849845882874</v>
      </c>
      <c r="AR949" s="75">
        <f>AQ949*(1-PARAM!$C$27)*$I$13+(MOD($B949,60)=PARAM!$B$56)*($B949&gt;(60-PARAM!$B$56))*HLOOKUP(($B949+PARAM!$B$56)/12,Loyalty,2)*$F$1*MAX(AT948,0)</f>
        <v>18.557001321003963</v>
      </c>
      <c r="AS949" s="75">
        <f>PARAM!$C$26+MAX($G$13-CHOOSE(PARAM!$B$44,MAX(0,AT948*$F$1),0),0)*RATES!$L925/12+$H$13*(PARAM!$D$51/12)*RATES!$N925/100</f>
        <v>1190.0416666666667</v>
      </c>
      <c r="AT949" s="16">
        <f t="shared" si="638"/>
        <v>-296448.7278062508</v>
      </c>
      <c r="AU949" s="15">
        <f t="shared" si="613"/>
        <v>22.170849845882874</v>
      </c>
      <c r="AV949" s="75">
        <f>AU949*(1-PARAM!$C$27)*$I$14+(MOD($B949,60)=PARAM!$B$56)*($B949&gt;(60-PARAM!$B$56))*HLOOKUP(($B949+PARAM!$B$56)/12,Loyalty,2)*$F$1*MAX(AX948,0)</f>
        <v>18.557001321003963</v>
      </c>
      <c r="AW949" s="75">
        <f>PARAM!$C$26+MAX($G$14-CHOOSE(PARAM!$B$44,MAX(0,AX948*$F$1),0),0)*RATES!$L925/12+$H$14*(PARAM!$D$51/12)*RATES!$N925/100</f>
        <v>1190.0416666666667</v>
      </c>
      <c r="AX949" s="16">
        <f t="shared" si="639"/>
        <v>-296448.7278062508</v>
      </c>
      <c r="AY949" s="15">
        <f t="shared" si="614"/>
        <v>22.170849845882874</v>
      </c>
      <c r="AZ949" s="75">
        <f>AY949*(1-PARAM!$C$27)*$I$15+(MOD($B949,60)=PARAM!$B$56)*($B949&gt;(60-PARAM!$B$56))*HLOOKUP(($B949+PARAM!$B$56)/12,Loyalty,2)*$F$1*MAX(BB948,0)</f>
        <v>18.557001321003963</v>
      </c>
      <c r="BA949" s="75">
        <f>PARAM!$C$26+MAX($G$15-CHOOSE(PARAM!$B$44,MAX(0,BB948*$F$1),0),0)*RATES!$L925/12+$H$15*(PARAM!$D$51/12)*RATES!$N925/100</f>
        <v>1190.0416666666667</v>
      </c>
      <c r="BB949" s="16">
        <f t="shared" si="640"/>
        <v>-296448.7278062508</v>
      </c>
      <c r="BC949" s="15">
        <f t="shared" si="615"/>
        <v>22.170849845882874</v>
      </c>
      <c r="BD949" s="75">
        <f>BC949*(1-PARAM!$C$27)*$I$16+(MOD($B949,60)=PARAM!$B$56)*($B949&gt;(60-PARAM!$B$56))*HLOOKUP(($B949+PARAM!$B$56)/12,Loyalty,2)*$F$1*MAX(BF948,0)</f>
        <v>18.557001321003963</v>
      </c>
      <c r="BE949" s="75">
        <f>PARAM!$C$26+MAX($G$16-CHOOSE(PARAM!$B$44,MAX(0,BF948*$F$1),0),0)*RATES!$L925/12+$H$16*(PARAM!$D$51/12)*RATES!$N925/100</f>
        <v>1190.0416666666667</v>
      </c>
      <c r="BF949" s="16">
        <f t="shared" si="641"/>
        <v>-296448.7278062508</v>
      </c>
      <c r="BG949" s="15">
        <f t="shared" si="616"/>
        <v>22.170849845882874</v>
      </c>
      <c r="BH949" s="75">
        <f>BG949*(1-PARAM!$C$27)*$I$17+(MOD($B949,60)=PARAM!$B$56)*($B949&gt;(60-PARAM!$B$56))*HLOOKUP(($B949+PARAM!$B$56)/12,Loyalty,2)*$F$1*MAX(BJ948,0)</f>
        <v>18.557001321003963</v>
      </c>
      <c r="BI949" s="75">
        <f>PARAM!$C$26+MAX($G$17-CHOOSE(PARAM!$B$44,MAX(0,BJ948*$F$1),0),0)*RATES!$L925/12+$H$17*(PARAM!$D$51/12)*RATES!$N925/100</f>
        <v>1190.0416666666667</v>
      </c>
      <c r="BJ949" s="16">
        <f t="shared" si="642"/>
        <v>-296448.7278062508</v>
      </c>
      <c r="BK949" s="15">
        <f t="shared" si="617"/>
        <v>22.170849845882874</v>
      </c>
      <c r="BL949" s="75">
        <f>BK949*(1-PARAM!$C$27)*$I$18+(MOD($B949,60)=PARAM!$B$56)*($B949&gt;(60-PARAM!$B$56))*HLOOKUP(($B949+PARAM!$B$56)/12,Loyalty,2)*$F$1*MAX(BN948,0)</f>
        <v>18.557001321003963</v>
      </c>
      <c r="BM949" s="75">
        <f>PARAM!$C$26+MAX($G$18-CHOOSE(PARAM!$B$44,MAX(0,BN948*$F$1),0),0)*RATES!$L925/12+$H$18*(PARAM!$D$51/12)*RATES!$N925/100</f>
        <v>1190.0416666666667</v>
      </c>
      <c r="BN949" s="16">
        <f t="shared" si="643"/>
        <v>-296448.7278062508</v>
      </c>
      <c r="BO949" s="15">
        <f t="shared" si="618"/>
        <v>22.170849845882874</v>
      </c>
      <c r="BP949" s="75">
        <f>BO949*(1-PARAM!$C$27)*$I$19+(MOD($B949,60)=PARAM!$B$56)*($B949&gt;(60-PARAM!$B$56))*HLOOKUP(($B949+PARAM!$B$56)/12,Loyalty,2)*$F$1*MAX(BR948,0)</f>
        <v>18.557001321003963</v>
      </c>
      <c r="BQ949" s="75">
        <f>PARAM!$C$26+MAX($G$19-CHOOSE(PARAM!$B$44,MAX(0,BR948*$F$1),0),0)*RATES!$L925/12+$H$19*(PARAM!$D$51/12)*RATES!$N925/100</f>
        <v>1190.0416666666667</v>
      </c>
      <c r="BR949" s="16">
        <f t="shared" si="644"/>
        <v>-296448.7278062508</v>
      </c>
      <c r="BS949" s="15">
        <f t="shared" si="619"/>
        <v>22.170849845882874</v>
      </c>
      <c r="BT949" s="75">
        <f>BS949*(1-PARAM!$C$27)*$I$20+(MOD($B949,60)=PARAM!$B$56)*($B949&gt;(60-PARAM!$B$56))*HLOOKUP(($B949+PARAM!$B$56)/12,Loyalty,2)*$F$1*MAX(BV948,0)</f>
        <v>18.557001321003963</v>
      </c>
      <c r="BU949" s="75">
        <f>PARAM!$C$26+MAX($G$20-CHOOSE(PARAM!$B$44,MAX(0,BV948*$F$1),0),0)*RATES!$L925/12+$H$20*(PARAM!$D$51/12)*RATES!$N925/100</f>
        <v>1190.0416666666667</v>
      </c>
      <c r="BV949" s="16">
        <f t="shared" si="645"/>
        <v>-296448.7278062508</v>
      </c>
      <c r="BW949" s="15">
        <f t="shared" si="620"/>
        <v>22.170849845882874</v>
      </c>
      <c r="BX949" s="75">
        <f>BW949*(1-PARAM!$C$27)*$I$21+(MOD($B949,60)=PARAM!$B$56)*($B949&gt;(60-PARAM!$B$56))*HLOOKUP(($B949+PARAM!$B$56)/12,Loyalty,2)*$F$1*MAX(BZ948,0)</f>
        <v>18.557001321003963</v>
      </c>
      <c r="BY949" s="75">
        <f>PARAM!$C$26+MAX($G$21-CHOOSE(PARAM!$B$44,MAX(0,BZ948*$F$1),0),0)*RATES!$L925/12+$H$21*(PARAM!$D$51/12)*RATES!$N925/100</f>
        <v>1190.0416666666667</v>
      </c>
      <c r="BZ949" s="16">
        <f t="shared" si="646"/>
        <v>-296448.7278062508</v>
      </c>
      <c r="CA949" s="15">
        <f t="shared" si="621"/>
        <v>22.170849845882874</v>
      </c>
      <c r="CB949" s="75">
        <f>CA949*(1-PARAM!$C$27)*$I$22+(MOD($B949,60)=PARAM!$B$56)*($B949&gt;(60-PARAM!$B$56))*HLOOKUP(($B949+PARAM!$B$56)/12,Loyalty,2)*$F$1*MAX(CD948,0)</f>
        <v>18.557001321003963</v>
      </c>
      <c r="CC949" s="75">
        <f>PARAM!$C$26+MAX($G$22-CHOOSE(PARAM!$B$44,MAX(0,CD948*$F$1),0),0)*RATES!$L925/12+$H$22*(PARAM!$D$51/12)*RATES!$N925/100</f>
        <v>1190.0416666666667</v>
      </c>
      <c r="CD949" s="16">
        <f t="shared" si="647"/>
        <v>-296448.7278062508</v>
      </c>
      <c r="CE949" s="33">
        <f>IF(0=MOD(B949,12/PARAM!$D$51),1,0)</f>
        <v>1</v>
      </c>
      <c r="CF949" s="15">
        <f t="shared" si="622"/>
        <v>0</v>
      </c>
      <c r="CG949" s="75">
        <f>CF949*(1-PARAM!$C$27)*$R$3+(MOD($B949/12,5)=0)*($B949&gt;60)*HLOOKUP($B949/12,Loyalty,2)*$F$1*MAX(CI948,0)</f>
        <v>0</v>
      </c>
      <c r="CH949" s="75">
        <f>PARAM!$C$26+MAX($P$3-CHOOSE(PARAM!$B$44,MAX(0,CI948*$F$1),0),0)*RATES!$L925/12+$Q$3*(PARAM!$D$51/12)*RATES!$N925/100</f>
        <v>1190.0416666666667</v>
      </c>
      <c r="CI949" s="16">
        <f>IF(CI948&gt;0,CI948*PARAM!$C$53,CI948)+CG949-CH949</f>
        <v>-313438.70833333378</v>
      </c>
      <c r="CJ949" s="15">
        <f t="shared" si="648"/>
        <v>0</v>
      </c>
      <c r="CK949" s="75">
        <f>CJ949*(1-PARAM!$C$27)*$R$4+(MOD($B949/12,5)=0)*($B949&gt;60)*HLOOKUP($B949/12,Loyalty,2)*$F$1*MAX(CM948,0)</f>
        <v>0</v>
      </c>
      <c r="CL949" s="75">
        <f>PARAM!$C$26+MAX($P$4-CHOOSE(PARAM!$B$44,MAX(0,CM948*$F$1),0),0)*RATES!$L925/12+$Q$4*(PARAM!$D$51/12)*RATES!$N925/100</f>
        <v>1190.0416666666667</v>
      </c>
      <c r="CM949" s="16">
        <f>IF(CM948&gt;0,CM948*PARAM!$C$53,CM948)+CK949-CL949</f>
        <v>-313438.70833333378</v>
      </c>
      <c r="CO949" s="176"/>
    </row>
    <row r="950" spans="1:93" x14ac:dyDescent="0.2">
      <c r="A950" t="b">
        <f t="shared" si="623"/>
        <v>0</v>
      </c>
      <c r="B950" s="33">
        <v>923</v>
      </c>
      <c r="C950" s="15">
        <f t="shared" si="624"/>
        <v>20.081305947392778</v>
      </c>
      <c r="D950" s="75">
        <f>C950*(1-PARAM!$C$27)*$I$3+(MOD($B950,60)=PARAM!$B$56)*($B950&gt;(60-PARAM!$B$56))*HLOOKUP(($B950+PARAM!$B$56)/12,Loyalty,2)*$F$1*MAX(F949,0)</f>
        <v>16.808053077967756</v>
      </c>
      <c r="E950" s="75">
        <f>PARAM!$C$26+MAX($G$3-CHOOSE(PARAM!$B$44,MAX(0,F949*$F$1),0),0)*RATES!$L926/12+$H$3*(PARAM!$D$51/12)*RATES!$N926/100</f>
        <v>1190.0416666666667</v>
      </c>
      <c r="F950" s="16">
        <f t="shared" si="625"/>
        <v>-299271.34220044105</v>
      </c>
      <c r="G950" s="15">
        <f t="shared" si="626"/>
        <v>22.035289406060361</v>
      </c>
      <c r="H950" s="75">
        <f>G950*(1-PARAM!$C$27)*$I$4+(MOD($B950,60)=PARAM!$B$56)*($B950&gt;(60-PARAM!$B$56))*HLOOKUP(($B950+PARAM!$B$56)/12,Loyalty,2)*$F$1*MAX(J949,0)</f>
        <v>18.443537232872522</v>
      </c>
      <c r="I950" s="75">
        <f>PARAM!$C$26+MAX($G$4-CHOOSE(PARAM!$B$44,MAX(0,J949*$F$1),0),0)*RATES!$L926/12+$H$4*(PARAM!$D$51/12)*RATES!$N926/100</f>
        <v>1190.0416666666667</v>
      </c>
      <c r="J950" s="16">
        <f t="shared" si="627"/>
        <v>-297727.95736134023</v>
      </c>
      <c r="K950" s="15">
        <f t="shared" si="628"/>
        <v>22.170849845882874</v>
      </c>
      <c r="L950" s="75">
        <f>K950*(1-PARAM!$C$27)*$I$5+(MOD($B950,60)=PARAM!$B$56)*($B950&gt;(60-PARAM!$B$56))*HLOOKUP(($B950+PARAM!$B$56)/12,Loyalty,2)*$F$1*MAX(N949,0)</f>
        <v>18.557001321003963</v>
      </c>
      <c r="M950" s="75">
        <f>PARAM!$C$26+MAX($G$5-CHOOSE(PARAM!$B$44,MAX(0,N949*$F$1),0),0)*RATES!$L926/12+$H$5*(PARAM!$D$51/12)*RATES!$N926/100</f>
        <v>1190.0416666666667</v>
      </c>
      <c r="N950" s="16">
        <f t="shared" si="629"/>
        <v>-297620.21247159649</v>
      </c>
      <c r="O950" s="15">
        <f t="shared" si="630"/>
        <v>22.170849845882874</v>
      </c>
      <c r="P950" s="75">
        <f>O950*(1-PARAM!$C$27)*$I$6+(MOD($B950,60)=PARAM!$B$56)*($B950&gt;(60-PARAM!$B$56))*HLOOKUP(($B950+PARAM!$B$56)/12,Loyalty,2)*$F$1*MAX(R949,0)</f>
        <v>18.557001321003963</v>
      </c>
      <c r="Q950" s="75">
        <f>PARAM!$C$26+MAX($G$6-CHOOSE(PARAM!$B$44,MAX(0,R949*$F$1),0),0)*RATES!$L926/12+$H$6*(PARAM!$D$51/12)*RATES!$N926/100</f>
        <v>1190.0416666666667</v>
      </c>
      <c r="R950" s="16">
        <f t="shared" si="631"/>
        <v>-297620.21247159649</v>
      </c>
      <c r="S950" s="15">
        <f t="shared" si="606"/>
        <v>22.170849845882874</v>
      </c>
      <c r="T950" s="75">
        <f>S950*(1-PARAM!$C$27)*$I$7+(MOD($B950,60)=PARAM!$B$56)*($B950&gt;(60-PARAM!$B$56))*HLOOKUP(($B950+PARAM!$B$56)/12,Loyalty,2)*$F$1*MAX(V949,0)</f>
        <v>18.557001321003963</v>
      </c>
      <c r="U950" s="75">
        <f>PARAM!$C$26+MAX($G$7-CHOOSE(PARAM!$B$44,MAX(0,V949*$F$1),0),0)*RATES!$L926/12+$H$7*(PARAM!$D$51/12)*RATES!$N926/100</f>
        <v>1190.0416666666667</v>
      </c>
      <c r="V950" s="16">
        <f t="shared" si="632"/>
        <v>-297620.21247159649</v>
      </c>
      <c r="W950" s="15">
        <f t="shared" si="607"/>
        <v>22.170849845882874</v>
      </c>
      <c r="X950" s="75">
        <f>W950*(1-PARAM!$C$27)*$I$8+(MOD($B950,60)=PARAM!$B$56)*($B950&gt;(60-PARAM!$B$56))*HLOOKUP(($B950+PARAM!$B$56)/12,Loyalty,2)*$F$1*MAX(Z949,0)</f>
        <v>18.557001321003963</v>
      </c>
      <c r="Y950" s="75">
        <f>PARAM!$C$26+MAX($G$8-CHOOSE(PARAM!$B$44,MAX(0,Z949*$F$1),0),0)*RATES!$L926/12+$H$8*(PARAM!$D$51/12)*RATES!$N926/100</f>
        <v>1190.0416666666667</v>
      </c>
      <c r="Z950" s="16">
        <f t="shared" si="633"/>
        <v>-297620.21247159649</v>
      </c>
      <c r="AA950" s="15">
        <f t="shared" si="608"/>
        <v>22.170849845882874</v>
      </c>
      <c r="AB950" s="75">
        <f>AA950*(1-PARAM!$C$27)*$I$9+(MOD($B950,60)=PARAM!$B$56)*($B950&gt;(60-PARAM!$B$56))*HLOOKUP(($B950+PARAM!$B$56)/12,Loyalty,2)*$F$1*MAX(AD949,0)</f>
        <v>18.557001321003963</v>
      </c>
      <c r="AC950" s="75">
        <f>PARAM!$C$26+MAX($G$9-CHOOSE(PARAM!$B$44,MAX(0,AD949*$F$1),0),0)*RATES!$L926/12+$H$9*(PARAM!$D$51/12)*RATES!$N926/100</f>
        <v>1190.0416666666667</v>
      </c>
      <c r="AD950" s="16">
        <f t="shared" si="634"/>
        <v>-297620.21247159649</v>
      </c>
      <c r="AE950" s="15">
        <f t="shared" si="609"/>
        <v>22.170849845882874</v>
      </c>
      <c r="AF950" s="75">
        <f>AE950*(1-PARAM!$C$27)*$I$10+(MOD($B950,60)=PARAM!$B$56)*($B950&gt;(60-PARAM!$B$56))*HLOOKUP(($B950+PARAM!$B$56)/12,Loyalty,2)*$F$1*MAX(AH949,0)</f>
        <v>18.557001321003963</v>
      </c>
      <c r="AG950" s="75">
        <f>PARAM!$C$26+MAX($G$10-CHOOSE(PARAM!$B$44,MAX(0,AH949*$F$1),0),0)*RATES!$L926/12+$H$10*(PARAM!$D$51/12)*RATES!$N926/100</f>
        <v>1190.0416666666667</v>
      </c>
      <c r="AH950" s="16">
        <f t="shared" si="635"/>
        <v>-297620.21247159649</v>
      </c>
      <c r="AI950" s="15">
        <f t="shared" si="610"/>
        <v>22.170849845882874</v>
      </c>
      <c r="AJ950" s="75">
        <f>AI950*(1-PARAM!$C$27)*$I$11+(MOD($B950,60)=PARAM!$B$56)*($B950&gt;(60-PARAM!$B$56))*HLOOKUP(($B950+PARAM!$B$56)/12,Loyalty,2)*$F$1*MAX(AL949,0)</f>
        <v>18.557001321003963</v>
      </c>
      <c r="AK950" s="75">
        <f>PARAM!$C$26+MAX($G$11-CHOOSE(PARAM!$B$44,MAX(0,AL949*$F$1),0),0)*RATES!$L926/12+$H$11*(PARAM!$D$51/12)*RATES!$N926/100</f>
        <v>1190.0416666666667</v>
      </c>
      <c r="AL950" s="16">
        <f t="shared" si="636"/>
        <v>-297620.21247159649</v>
      </c>
      <c r="AM950" s="15">
        <f t="shared" si="611"/>
        <v>22.170849845882874</v>
      </c>
      <c r="AN950" s="75">
        <f>AM950*(1-PARAM!$C$27)*$I$12+(MOD($B950,60)=PARAM!$B$56)*($B950&gt;(60-PARAM!$B$56))*HLOOKUP(($B950+PARAM!$B$56)/12,Loyalty,2)*$F$1*MAX(AP949,0)</f>
        <v>18.557001321003963</v>
      </c>
      <c r="AO950" s="75">
        <f>PARAM!$C$26+MAX($G$12-CHOOSE(PARAM!$B$44,MAX(0,AP949*$F$1),0),0)*RATES!$L926/12+$H$12*(PARAM!$D$51/12)*RATES!$N926/100</f>
        <v>1190.0416666666667</v>
      </c>
      <c r="AP950" s="16">
        <f t="shared" si="637"/>
        <v>-297620.21247159649</v>
      </c>
      <c r="AQ950" s="15">
        <f t="shared" si="612"/>
        <v>22.170849845882874</v>
      </c>
      <c r="AR950" s="75">
        <f>AQ950*(1-PARAM!$C$27)*$I$13+(MOD($B950,60)=PARAM!$B$56)*($B950&gt;(60-PARAM!$B$56))*HLOOKUP(($B950+PARAM!$B$56)/12,Loyalty,2)*$F$1*MAX(AT949,0)</f>
        <v>18.557001321003963</v>
      </c>
      <c r="AS950" s="75">
        <f>PARAM!$C$26+MAX($G$13-CHOOSE(PARAM!$B$44,MAX(0,AT949*$F$1),0),0)*RATES!$L926/12+$H$13*(PARAM!$D$51/12)*RATES!$N926/100</f>
        <v>1190.0416666666667</v>
      </c>
      <c r="AT950" s="16">
        <f t="shared" si="638"/>
        <v>-297620.21247159649</v>
      </c>
      <c r="AU950" s="15">
        <f t="shared" si="613"/>
        <v>22.170849845882874</v>
      </c>
      <c r="AV950" s="75">
        <f>AU950*(1-PARAM!$C$27)*$I$14+(MOD($B950,60)=PARAM!$B$56)*($B950&gt;(60-PARAM!$B$56))*HLOOKUP(($B950+PARAM!$B$56)/12,Loyalty,2)*$F$1*MAX(AX949,0)</f>
        <v>18.557001321003963</v>
      </c>
      <c r="AW950" s="75">
        <f>PARAM!$C$26+MAX($G$14-CHOOSE(PARAM!$B$44,MAX(0,AX949*$F$1),0),0)*RATES!$L926/12+$H$14*(PARAM!$D$51/12)*RATES!$N926/100</f>
        <v>1190.0416666666667</v>
      </c>
      <c r="AX950" s="16">
        <f t="shared" si="639"/>
        <v>-297620.21247159649</v>
      </c>
      <c r="AY950" s="15">
        <f t="shared" si="614"/>
        <v>22.170849845882874</v>
      </c>
      <c r="AZ950" s="75">
        <f>AY950*(1-PARAM!$C$27)*$I$15+(MOD($B950,60)=PARAM!$B$56)*($B950&gt;(60-PARAM!$B$56))*HLOOKUP(($B950+PARAM!$B$56)/12,Loyalty,2)*$F$1*MAX(BB949,0)</f>
        <v>18.557001321003963</v>
      </c>
      <c r="BA950" s="75">
        <f>PARAM!$C$26+MAX($G$15-CHOOSE(PARAM!$B$44,MAX(0,BB949*$F$1),0),0)*RATES!$L926/12+$H$15*(PARAM!$D$51/12)*RATES!$N926/100</f>
        <v>1190.0416666666667</v>
      </c>
      <c r="BB950" s="16">
        <f t="shared" si="640"/>
        <v>-297620.21247159649</v>
      </c>
      <c r="BC950" s="15">
        <f t="shared" si="615"/>
        <v>22.170849845882874</v>
      </c>
      <c r="BD950" s="75">
        <f>BC950*(1-PARAM!$C$27)*$I$16+(MOD($B950,60)=PARAM!$B$56)*($B950&gt;(60-PARAM!$B$56))*HLOOKUP(($B950+PARAM!$B$56)/12,Loyalty,2)*$F$1*MAX(BF949,0)</f>
        <v>18.557001321003963</v>
      </c>
      <c r="BE950" s="75">
        <f>PARAM!$C$26+MAX($G$16-CHOOSE(PARAM!$B$44,MAX(0,BF949*$F$1),0),0)*RATES!$L926/12+$H$16*(PARAM!$D$51/12)*RATES!$N926/100</f>
        <v>1190.0416666666667</v>
      </c>
      <c r="BF950" s="16">
        <f t="shared" si="641"/>
        <v>-297620.21247159649</v>
      </c>
      <c r="BG950" s="15">
        <f t="shared" si="616"/>
        <v>22.170849845882874</v>
      </c>
      <c r="BH950" s="75">
        <f>BG950*(1-PARAM!$C$27)*$I$17+(MOD($B950,60)=PARAM!$B$56)*($B950&gt;(60-PARAM!$B$56))*HLOOKUP(($B950+PARAM!$B$56)/12,Loyalty,2)*$F$1*MAX(BJ949,0)</f>
        <v>18.557001321003963</v>
      </c>
      <c r="BI950" s="75">
        <f>PARAM!$C$26+MAX($G$17-CHOOSE(PARAM!$B$44,MAX(0,BJ949*$F$1),0),0)*RATES!$L926/12+$H$17*(PARAM!$D$51/12)*RATES!$N926/100</f>
        <v>1190.0416666666667</v>
      </c>
      <c r="BJ950" s="16">
        <f t="shared" si="642"/>
        <v>-297620.21247159649</v>
      </c>
      <c r="BK950" s="15">
        <f t="shared" si="617"/>
        <v>22.170849845882874</v>
      </c>
      <c r="BL950" s="75">
        <f>BK950*(1-PARAM!$C$27)*$I$18+(MOD($B950,60)=PARAM!$B$56)*($B950&gt;(60-PARAM!$B$56))*HLOOKUP(($B950+PARAM!$B$56)/12,Loyalty,2)*$F$1*MAX(BN949,0)</f>
        <v>18.557001321003963</v>
      </c>
      <c r="BM950" s="75">
        <f>PARAM!$C$26+MAX($G$18-CHOOSE(PARAM!$B$44,MAX(0,BN949*$F$1),0),0)*RATES!$L926/12+$H$18*(PARAM!$D$51/12)*RATES!$N926/100</f>
        <v>1190.0416666666667</v>
      </c>
      <c r="BN950" s="16">
        <f t="shared" si="643"/>
        <v>-297620.21247159649</v>
      </c>
      <c r="BO950" s="15">
        <f t="shared" si="618"/>
        <v>22.170849845882874</v>
      </c>
      <c r="BP950" s="75">
        <f>BO950*(1-PARAM!$C$27)*$I$19+(MOD($B950,60)=PARAM!$B$56)*($B950&gt;(60-PARAM!$B$56))*HLOOKUP(($B950+PARAM!$B$56)/12,Loyalty,2)*$F$1*MAX(BR949,0)</f>
        <v>18.557001321003963</v>
      </c>
      <c r="BQ950" s="75">
        <f>PARAM!$C$26+MAX($G$19-CHOOSE(PARAM!$B$44,MAX(0,BR949*$F$1),0),0)*RATES!$L926/12+$H$19*(PARAM!$D$51/12)*RATES!$N926/100</f>
        <v>1190.0416666666667</v>
      </c>
      <c r="BR950" s="16">
        <f t="shared" si="644"/>
        <v>-297620.21247159649</v>
      </c>
      <c r="BS950" s="15">
        <f t="shared" si="619"/>
        <v>22.170849845882874</v>
      </c>
      <c r="BT950" s="75">
        <f>BS950*(1-PARAM!$C$27)*$I$20+(MOD($B950,60)=PARAM!$B$56)*($B950&gt;(60-PARAM!$B$56))*HLOOKUP(($B950+PARAM!$B$56)/12,Loyalty,2)*$F$1*MAX(BV949,0)</f>
        <v>18.557001321003963</v>
      </c>
      <c r="BU950" s="75">
        <f>PARAM!$C$26+MAX($G$20-CHOOSE(PARAM!$B$44,MAX(0,BV949*$F$1),0),0)*RATES!$L926/12+$H$20*(PARAM!$D$51/12)*RATES!$N926/100</f>
        <v>1190.0416666666667</v>
      </c>
      <c r="BV950" s="16">
        <f t="shared" si="645"/>
        <v>-297620.21247159649</v>
      </c>
      <c r="BW950" s="15">
        <f t="shared" si="620"/>
        <v>22.170849845882874</v>
      </c>
      <c r="BX950" s="75">
        <f>BW950*(1-PARAM!$C$27)*$I$21+(MOD($B950,60)=PARAM!$B$56)*($B950&gt;(60-PARAM!$B$56))*HLOOKUP(($B950+PARAM!$B$56)/12,Loyalty,2)*$F$1*MAX(BZ949,0)</f>
        <v>18.557001321003963</v>
      </c>
      <c r="BY950" s="75">
        <f>PARAM!$C$26+MAX($G$21-CHOOSE(PARAM!$B$44,MAX(0,BZ949*$F$1),0),0)*RATES!$L926/12+$H$21*(PARAM!$D$51/12)*RATES!$N926/100</f>
        <v>1190.0416666666667</v>
      </c>
      <c r="BZ950" s="16">
        <f t="shared" si="646"/>
        <v>-297620.21247159649</v>
      </c>
      <c r="CA950" s="15">
        <f t="shared" si="621"/>
        <v>22.170849845882874</v>
      </c>
      <c r="CB950" s="75">
        <f>CA950*(1-PARAM!$C$27)*$I$22+(MOD($B950,60)=PARAM!$B$56)*($B950&gt;(60-PARAM!$B$56))*HLOOKUP(($B950+PARAM!$B$56)/12,Loyalty,2)*$F$1*MAX(CD949,0)</f>
        <v>18.557001321003963</v>
      </c>
      <c r="CC950" s="75">
        <f>PARAM!$C$26+MAX($G$22-CHOOSE(PARAM!$B$44,MAX(0,CD949*$F$1),0),0)*RATES!$L926/12+$H$22*(PARAM!$D$51/12)*RATES!$N926/100</f>
        <v>1190.0416666666667</v>
      </c>
      <c r="CD950" s="16">
        <f t="shared" si="647"/>
        <v>-297620.21247159649</v>
      </c>
      <c r="CE950" s="33">
        <f>IF(0=MOD(B950,12/PARAM!$D$51),1,0)</f>
        <v>1</v>
      </c>
      <c r="CF950" s="15">
        <f t="shared" si="622"/>
        <v>0</v>
      </c>
      <c r="CG950" s="75">
        <f>CF950*(1-PARAM!$C$27)*$R$3+(MOD($B950/12,5)=0)*($B950&gt;60)*HLOOKUP($B950/12,Loyalty,2)*$F$1*MAX(CI949,0)</f>
        <v>0</v>
      </c>
      <c r="CH950" s="75">
        <f>PARAM!$C$26+MAX($P$3-CHOOSE(PARAM!$B$44,MAX(0,CI949*$F$1),0),0)*RATES!$L926/12+$Q$3*(PARAM!$D$51/12)*RATES!$N926/100</f>
        <v>1190.0416666666667</v>
      </c>
      <c r="CI950" s="16">
        <f>IF(CI949&gt;0,CI949*PARAM!$C$53,CI949)+CG950-CH950</f>
        <v>-314628.75000000047</v>
      </c>
      <c r="CJ950" s="15">
        <f t="shared" si="648"/>
        <v>0</v>
      </c>
      <c r="CK950" s="75">
        <f>CJ950*(1-PARAM!$C$27)*$R$4+(MOD($B950/12,5)=0)*($B950&gt;60)*HLOOKUP($B950/12,Loyalty,2)*$F$1*MAX(CM949,0)</f>
        <v>0</v>
      </c>
      <c r="CL950" s="75">
        <f>PARAM!$C$26+MAX($P$4-CHOOSE(PARAM!$B$44,MAX(0,CM949*$F$1),0),0)*RATES!$L926/12+$Q$4*(PARAM!$D$51/12)*RATES!$N926/100</f>
        <v>1190.0416666666667</v>
      </c>
      <c r="CM950" s="16">
        <f>IF(CM949&gt;0,CM949*PARAM!$C$53,CM949)+CK950-CL950</f>
        <v>-314628.75000000047</v>
      </c>
      <c r="CO950" s="176"/>
    </row>
    <row r="951" spans="1:93" x14ac:dyDescent="0.2">
      <c r="A951" t="b">
        <f t="shared" si="623"/>
        <v>0</v>
      </c>
      <c r="B951" s="33">
        <v>924</v>
      </c>
      <c r="C951" s="15">
        <f t="shared" si="624"/>
        <v>20.081305947392778</v>
      </c>
      <c r="D951" s="75">
        <f>C951*(1-PARAM!$C$27)*$I$3+(MOD($B951,60)=PARAM!$B$56)*($B951&gt;(60-PARAM!$B$56))*HLOOKUP(($B951+PARAM!$B$56)/12,Loyalty,2)*$F$1*MAX(F950,0)</f>
        <v>16.808053077967756</v>
      </c>
      <c r="E951" s="75">
        <f>PARAM!$C$26+MAX($G$3-CHOOSE(PARAM!$B$44,MAX(0,F950*$F$1),0),0)*RATES!$L927/12+$H$3*(PARAM!$D$51/12)*RATES!$N927/100</f>
        <v>1190.0416666666667</v>
      </c>
      <c r="F951" s="16">
        <f t="shared" si="625"/>
        <v>-300444.57581402978</v>
      </c>
      <c r="G951" s="15">
        <f t="shared" si="626"/>
        <v>22.035289406060361</v>
      </c>
      <c r="H951" s="75">
        <f>G951*(1-PARAM!$C$27)*$I$4+(MOD($B951,60)=PARAM!$B$56)*($B951&gt;(60-PARAM!$B$56))*HLOOKUP(($B951+PARAM!$B$56)/12,Loyalty,2)*$F$1*MAX(J950,0)</f>
        <v>18.443537232872522</v>
      </c>
      <c r="I951" s="75">
        <f>PARAM!$C$26+MAX($G$4-CHOOSE(PARAM!$B$44,MAX(0,J950*$F$1),0),0)*RATES!$L927/12+$H$4*(PARAM!$D$51/12)*RATES!$N927/100</f>
        <v>1190.0416666666667</v>
      </c>
      <c r="J951" s="16">
        <f t="shared" si="627"/>
        <v>-298899.55549077404</v>
      </c>
      <c r="K951" s="15">
        <f t="shared" si="628"/>
        <v>22.170849845882874</v>
      </c>
      <c r="L951" s="75">
        <f>K951*(1-PARAM!$C$27)*$I$5+(MOD($B951,60)=PARAM!$B$56)*($B951&gt;(60-PARAM!$B$56))*HLOOKUP(($B951+PARAM!$B$56)/12,Loyalty,2)*$F$1*MAX(N950,0)</f>
        <v>18.557001321003963</v>
      </c>
      <c r="M951" s="75">
        <f>PARAM!$C$26+MAX($G$5-CHOOSE(PARAM!$B$44,MAX(0,N950*$F$1),0),0)*RATES!$L927/12+$H$5*(PARAM!$D$51/12)*RATES!$N927/100</f>
        <v>1190.0416666666667</v>
      </c>
      <c r="N951" s="16">
        <f t="shared" si="629"/>
        <v>-298791.69713694218</v>
      </c>
      <c r="O951" s="15">
        <f t="shared" si="630"/>
        <v>22.170849845882874</v>
      </c>
      <c r="P951" s="75">
        <f>O951*(1-PARAM!$C$27)*$I$6+(MOD($B951,60)=PARAM!$B$56)*($B951&gt;(60-PARAM!$B$56))*HLOOKUP(($B951+PARAM!$B$56)/12,Loyalty,2)*$F$1*MAX(R950,0)</f>
        <v>18.557001321003963</v>
      </c>
      <c r="Q951" s="75">
        <f>PARAM!$C$26+MAX($G$6-CHOOSE(PARAM!$B$44,MAX(0,R950*$F$1),0),0)*RATES!$L927/12+$H$6*(PARAM!$D$51/12)*RATES!$N927/100</f>
        <v>1190.0416666666667</v>
      </c>
      <c r="R951" s="16">
        <f t="shared" si="631"/>
        <v>-298791.69713694218</v>
      </c>
      <c r="S951" s="15">
        <f t="shared" si="606"/>
        <v>22.170849845882874</v>
      </c>
      <c r="T951" s="75">
        <f>S951*(1-PARAM!$C$27)*$I$7+(MOD($B951,60)=PARAM!$B$56)*($B951&gt;(60-PARAM!$B$56))*HLOOKUP(($B951+PARAM!$B$56)/12,Loyalty,2)*$F$1*MAX(V950,0)</f>
        <v>18.557001321003963</v>
      </c>
      <c r="U951" s="75">
        <f>PARAM!$C$26+MAX($G$7-CHOOSE(PARAM!$B$44,MAX(0,V950*$F$1),0),0)*RATES!$L927/12+$H$7*(PARAM!$D$51/12)*RATES!$N927/100</f>
        <v>1190.0416666666667</v>
      </c>
      <c r="V951" s="16">
        <f t="shared" si="632"/>
        <v>-298791.69713694218</v>
      </c>
      <c r="W951" s="15">
        <f t="shared" si="607"/>
        <v>22.170849845882874</v>
      </c>
      <c r="X951" s="75">
        <f>W951*(1-PARAM!$C$27)*$I$8+(MOD($B951,60)=PARAM!$B$56)*($B951&gt;(60-PARAM!$B$56))*HLOOKUP(($B951+PARAM!$B$56)/12,Loyalty,2)*$F$1*MAX(Z950,0)</f>
        <v>18.557001321003963</v>
      </c>
      <c r="Y951" s="75">
        <f>PARAM!$C$26+MAX($G$8-CHOOSE(PARAM!$B$44,MAX(0,Z950*$F$1),0),0)*RATES!$L927/12+$H$8*(PARAM!$D$51/12)*RATES!$N927/100</f>
        <v>1190.0416666666667</v>
      </c>
      <c r="Z951" s="16">
        <f t="shared" si="633"/>
        <v>-298791.69713694218</v>
      </c>
      <c r="AA951" s="15">
        <f t="shared" si="608"/>
        <v>22.170849845882874</v>
      </c>
      <c r="AB951" s="75">
        <f>AA951*(1-PARAM!$C$27)*$I$9+(MOD($B951,60)=PARAM!$B$56)*($B951&gt;(60-PARAM!$B$56))*HLOOKUP(($B951+PARAM!$B$56)/12,Loyalty,2)*$F$1*MAX(AD950,0)</f>
        <v>18.557001321003963</v>
      </c>
      <c r="AC951" s="75">
        <f>PARAM!$C$26+MAX($G$9-CHOOSE(PARAM!$B$44,MAX(0,AD950*$F$1),0),0)*RATES!$L927/12+$H$9*(PARAM!$D$51/12)*RATES!$N927/100</f>
        <v>1190.0416666666667</v>
      </c>
      <c r="AD951" s="16">
        <f t="shared" si="634"/>
        <v>-298791.69713694218</v>
      </c>
      <c r="AE951" s="15">
        <f t="shared" si="609"/>
        <v>22.170849845882874</v>
      </c>
      <c r="AF951" s="75">
        <f>AE951*(1-PARAM!$C$27)*$I$10+(MOD($B951,60)=PARAM!$B$56)*($B951&gt;(60-PARAM!$B$56))*HLOOKUP(($B951+PARAM!$B$56)/12,Loyalty,2)*$F$1*MAX(AH950,0)</f>
        <v>18.557001321003963</v>
      </c>
      <c r="AG951" s="75">
        <f>PARAM!$C$26+MAX($G$10-CHOOSE(PARAM!$B$44,MAX(0,AH950*$F$1),0),0)*RATES!$L927/12+$H$10*(PARAM!$D$51/12)*RATES!$N927/100</f>
        <v>1190.0416666666667</v>
      </c>
      <c r="AH951" s="16">
        <f t="shared" si="635"/>
        <v>-298791.69713694218</v>
      </c>
      <c r="AI951" s="15">
        <f t="shared" si="610"/>
        <v>22.170849845882874</v>
      </c>
      <c r="AJ951" s="75">
        <f>AI951*(1-PARAM!$C$27)*$I$11+(MOD($B951,60)=PARAM!$B$56)*($B951&gt;(60-PARAM!$B$56))*HLOOKUP(($B951+PARAM!$B$56)/12,Loyalty,2)*$F$1*MAX(AL950,0)</f>
        <v>18.557001321003963</v>
      </c>
      <c r="AK951" s="75">
        <f>PARAM!$C$26+MAX($G$11-CHOOSE(PARAM!$B$44,MAX(0,AL950*$F$1),0),0)*RATES!$L927/12+$H$11*(PARAM!$D$51/12)*RATES!$N927/100</f>
        <v>1190.0416666666667</v>
      </c>
      <c r="AL951" s="16">
        <f t="shared" si="636"/>
        <v>-298791.69713694218</v>
      </c>
      <c r="AM951" s="15">
        <f t="shared" si="611"/>
        <v>22.170849845882874</v>
      </c>
      <c r="AN951" s="75">
        <f>AM951*(1-PARAM!$C$27)*$I$12+(MOD($B951,60)=PARAM!$B$56)*($B951&gt;(60-PARAM!$B$56))*HLOOKUP(($B951+PARAM!$B$56)/12,Loyalty,2)*$F$1*MAX(AP950,0)</f>
        <v>18.557001321003963</v>
      </c>
      <c r="AO951" s="75">
        <f>PARAM!$C$26+MAX($G$12-CHOOSE(PARAM!$B$44,MAX(0,AP950*$F$1),0),0)*RATES!$L927/12+$H$12*(PARAM!$D$51/12)*RATES!$N927/100</f>
        <v>1190.0416666666667</v>
      </c>
      <c r="AP951" s="16">
        <f t="shared" si="637"/>
        <v>-298791.69713694218</v>
      </c>
      <c r="AQ951" s="15">
        <f t="shared" si="612"/>
        <v>22.170849845882874</v>
      </c>
      <c r="AR951" s="75">
        <f>AQ951*(1-PARAM!$C$27)*$I$13+(MOD($B951,60)=PARAM!$B$56)*($B951&gt;(60-PARAM!$B$56))*HLOOKUP(($B951+PARAM!$B$56)/12,Loyalty,2)*$F$1*MAX(AT950,0)</f>
        <v>18.557001321003963</v>
      </c>
      <c r="AS951" s="75">
        <f>PARAM!$C$26+MAX($G$13-CHOOSE(PARAM!$B$44,MAX(0,AT950*$F$1),0),0)*RATES!$L927/12+$H$13*(PARAM!$D$51/12)*RATES!$N927/100</f>
        <v>1190.0416666666667</v>
      </c>
      <c r="AT951" s="16">
        <f t="shared" si="638"/>
        <v>-298791.69713694218</v>
      </c>
      <c r="AU951" s="15">
        <f t="shared" si="613"/>
        <v>22.170849845882874</v>
      </c>
      <c r="AV951" s="75">
        <f>AU951*(1-PARAM!$C$27)*$I$14+(MOD($B951,60)=PARAM!$B$56)*($B951&gt;(60-PARAM!$B$56))*HLOOKUP(($B951+PARAM!$B$56)/12,Loyalty,2)*$F$1*MAX(AX950,0)</f>
        <v>18.557001321003963</v>
      </c>
      <c r="AW951" s="75">
        <f>PARAM!$C$26+MAX($G$14-CHOOSE(PARAM!$B$44,MAX(0,AX950*$F$1),0),0)*RATES!$L927/12+$H$14*(PARAM!$D$51/12)*RATES!$N927/100</f>
        <v>1190.0416666666667</v>
      </c>
      <c r="AX951" s="16">
        <f t="shared" si="639"/>
        <v>-298791.69713694218</v>
      </c>
      <c r="AY951" s="15">
        <f t="shared" si="614"/>
        <v>22.170849845882874</v>
      </c>
      <c r="AZ951" s="75">
        <f>AY951*(1-PARAM!$C$27)*$I$15+(MOD($B951,60)=PARAM!$B$56)*($B951&gt;(60-PARAM!$B$56))*HLOOKUP(($B951+PARAM!$B$56)/12,Loyalty,2)*$F$1*MAX(BB950,0)</f>
        <v>18.557001321003963</v>
      </c>
      <c r="BA951" s="75">
        <f>PARAM!$C$26+MAX($G$15-CHOOSE(PARAM!$B$44,MAX(0,BB950*$F$1),0),0)*RATES!$L927/12+$H$15*(PARAM!$D$51/12)*RATES!$N927/100</f>
        <v>1190.0416666666667</v>
      </c>
      <c r="BB951" s="16">
        <f t="shared" si="640"/>
        <v>-298791.69713694218</v>
      </c>
      <c r="BC951" s="15">
        <f t="shared" si="615"/>
        <v>22.170849845882874</v>
      </c>
      <c r="BD951" s="75">
        <f>BC951*(1-PARAM!$C$27)*$I$16+(MOD($B951,60)=PARAM!$B$56)*($B951&gt;(60-PARAM!$B$56))*HLOOKUP(($B951+PARAM!$B$56)/12,Loyalty,2)*$F$1*MAX(BF950,0)</f>
        <v>18.557001321003963</v>
      </c>
      <c r="BE951" s="75">
        <f>PARAM!$C$26+MAX($G$16-CHOOSE(PARAM!$B$44,MAX(0,BF950*$F$1),0),0)*RATES!$L927/12+$H$16*(PARAM!$D$51/12)*RATES!$N927/100</f>
        <v>1190.0416666666667</v>
      </c>
      <c r="BF951" s="16">
        <f t="shared" si="641"/>
        <v>-298791.69713694218</v>
      </c>
      <c r="BG951" s="15">
        <f t="shared" si="616"/>
        <v>22.170849845882874</v>
      </c>
      <c r="BH951" s="75">
        <f>BG951*(1-PARAM!$C$27)*$I$17+(MOD($B951,60)=PARAM!$B$56)*($B951&gt;(60-PARAM!$B$56))*HLOOKUP(($B951+PARAM!$B$56)/12,Loyalty,2)*$F$1*MAX(BJ950,0)</f>
        <v>18.557001321003963</v>
      </c>
      <c r="BI951" s="75">
        <f>PARAM!$C$26+MAX($G$17-CHOOSE(PARAM!$B$44,MAX(0,BJ950*$F$1),0),0)*RATES!$L927/12+$H$17*(PARAM!$D$51/12)*RATES!$N927/100</f>
        <v>1190.0416666666667</v>
      </c>
      <c r="BJ951" s="16">
        <f t="shared" si="642"/>
        <v>-298791.69713694218</v>
      </c>
      <c r="BK951" s="15">
        <f t="shared" si="617"/>
        <v>22.170849845882874</v>
      </c>
      <c r="BL951" s="75">
        <f>BK951*(1-PARAM!$C$27)*$I$18+(MOD($B951,60)=PARAM!$B$56)*($B951&gt;(60-PARAM!$B$56))*HLOOKUP(($B951+PARAM!$B$56)/12,Loyalty,2)*$F$1*MAX(BN950,0)</f>
        <v>18.557001321003963</v>
      </c>
      <c r="BM951" s="75">
        <f>PARAM!$C$26+MAX($G$18-CHOOSE(PARAM!$B$44,MAX(0,BN950*$F$1),0),0)*RATES!$L927/12+$H$18*(PARAM!$D$51/12)*RATES!$N927/100</f>
        <v>1190.0416666666667</v>
      </c>
      <c r="BN951" s="16">
        <f t="shared" si="643"/>
        <v>-298791.69713694218</v>
      </c>
      <c r="BO951" s="15">
        <f t="shared" si="618"/>
        <v>22.170849845882874</v>
      </c>
      <c r="BP951" s="75">
        <f>BO951*(1-PARAM!$C$27)*$I$19+(MOD($B951,60)=PARAM!$B$56)*($B951&gt;(60-PARAM!$B$56))*HLOOKUP(($B951+PARAM!$B$56)/12,Loyalty,2)*$F$1*MAX(BR950,0)</f>
        <v>18.557001321003963</v>
      </c>
      <c r="BQ951" s="75">
        <f>PARAM!$C$26+MAX($G$19-CHOOSE(PARAM!$B$44,MAX(0,BR950*$F$1),0),0)*RATES!$L927/12+$H$19*(PARAM!$D$51/12)*RATES!$N927/100</f>
        <v>1190.0416666666667</v>
      </c>
      <c r="BR951" s="16">
        <f t="shared" si="644"/>
        <v>-298791.69713694218</v>
      </c>
      <c r="BS951" s="15">
        <f t="shared" si="619"/>
        <v>22.170849845882874</v>
      </c>
      <c r="BT951" s="75">
        <f>BS951*(1-PARAM!$C$27)*$I$20+(MOD($B951,60)=PARAM!$B$56)*($B951&gt;(60-PARAM!$B$56))*HLOOKUP(($B951+PARAM!$B$56)/12,Loyalty,2)*$F$1*MAX(BV950,0)</f>
        <v>18.557001321003963</v>
      </c>
      <c r="BU951" s="75">
        <f>PARAM!$C$26+MAX($G$20-CHOOSE(PARAM!$B$44,MAX(0,BV950*$F$1),0),0)*RATES!$L927/12+$H$20*(PARAM!$D$51/12)*RATES!$N927/100</f>
        <v>1190.0416666666667</v>
      </c>
      <c r="BV951" s="16">
        <f t="shared" si="645"/>
        <v>-298791.69713694218</v>
      </c>
      <c r="BW951" s="15">
        <f t="shared" si="620"/>
        <v>22.170849845882874</v>
      </c>
      <c r="BX951" s="75">
        <f>BW951*(1-PARAM!$C$27)*$I$21+(MOD($B951,60)=PARAM!$B$56)*($B951&gt;(60-PARAM!$B$56))*HLOOKUP(($B951+PARAM!$B$56)/12,Loyalty,2)*$F$1*MAX(BZ950,0)</f>
        <v>18.557001321003963</v>
      </c>
      <c r="BY951" s="75">
        <f>PARAM!$C$26+MAX($G$21-CHOOSE(PARAM!$B$44,MAX(0,BZ950*$F$1),0),0)*RATES!$L927/12+$H$21*(PARAM!$D$51/12)*RATES!$N927/100</f>
        <v>1190.0416666666667</v>
      </c>
      <c r="BZ951" s="16">
        <f t="shared" si="646"/>
        <v>-298791.69713694218</v>
      </c>
      <c r="CA951" s="15">
        <f t="shared" si="621"/>
        <v>22.170849845882874</v>
      </c>
      <c r="CB951" s="75">
        <f>CA951*(1-PARAM!$C$27)*$I$22+(MOD($B951,60)=PARAM!$B$56)*($B951&gt;(60-PARAM!$B$56))*HLOOKUP(($B951+PARAM!$B$56)/12,Loyalty,2)*$F$1*MAX(CD950,0)</f>
        <v>18.557001321003963</v>
      </c>
      <c r="CC951" s="75">
        <f>PARAM!$C$26+MAX($G$22-CHOOSE(PARAM!$B$44,MAX(0,CD950*$F$1),0),0)*RATES!$L927/12+$H$22*(PARAM!$D$51/12)*RATES!$N927/100</f>
        <v>1190.0416666666667</v>
      </c>
      <c r="CD951" s="16">
        <f t="shared" si="647"/>
        <v>-298791.69713694218</v>
      </c>
      <c r="CE951" s="33">
        <f>IF(0=MOD(B951,12/PARAM!$D$51),1,0)</f>
        <v>1</v>
      </c>
      <c r="CF951" s="15">
        <f t="shared" si="622"/>
        <v>0</v>
      </c>
      <c r="CG951" s="75">
        <f>CF951*(1-PARAM!$C$27)*$R$3+(MOD($B951/12,5)=0)*($B951&gt;60)*HLOOKUP($B951/12,Loyalty,2)*$F$1*MAX(CI950,0)</f>
        <v>0</v>
      </c>
      <c r="CH951" s="75">
        <f>PARAM!$C$26+MAX($P$3-CHOOSE(PARAM!$B$44,MAX(0,CI950*$F$1),0),0)*RATES!$L927/12+$Q$3*(PARAM!$D$51/12)*RATES!$N927/100</f>
        <v>1190.0416666666667</v>
      </c>
      <c r="CI951" s="16">
        <f>IF(CI950&gt;0,CI950*PARAM!$C$53,CI950)+CG951-CH951</f>
        <v>-315818.79166666715</v>
      </c>
      <c r="CJ951" s="15">
        <f t="shared" si="648"/>
        <v>0</v>
      </c>
      <c r="CK951" s="75">
        <f>CJ951*(1-PARAM!$C$27)*$R$4+(MOD($B951/12,5)=0)*($B951&gt;60)*HLOOKUP($B951/12,Loyalty,2)*$F$1*MAX(CM950,0)</f>
        <v>0</v>
      </c>
      <c r="CL951" s="75">
        <f>PARAM!$C$26+MAX($P$4-CHOOSE(PARAM!$B$44,MAX(0,CM950*$F$1),0),0)*RATES!$L927/12+$Q$4*(PARAM!$D$51/12)*RATES!$N927/100</f>
        <v>1190.0416666666667</v>
      </c>
      <c r="CM951" s="16">
        <f>IF(CM950&gt;0,CM950*PARAM!$C$53,CM950)+CK951-CL951</f>
        <v>-315818.79166666715</v>
      </c>
      <c r="CO951" s="176"/>
    </row>
    <row r="952" spans="1:93" x14ac:dyDescent="0.2">
      <c r="A952" t="b">
        <f t="shared" si="623"/>
        <v>0</v>
      </c>
      <c r="B952" s="33">
        <v>925</v>
      </c>
      <c r="C952" s="15">
        <f t="shared" si="624"/>
        <v>20.081305947392778</v>
      </c>
      <c r="D952" s="75">
        <f>C952*(1-PARAM!$C$27)*$I$3+(MOD($B952,60)=PARAM!$B$56)*($B952&gt;(60-PARAM!$B$56))*HLOOKUP(($B952+PARAM!$B$56)/12,Loyalty,2)*$F$1*MAX(F951,0)</f>
        <v>16.808053077967756</v>
      </c>
      <c r="E952" s="75">
        <f>PARAM!$C$26+MAX($G$3-CHOOSE(PARAM!$B$44,MAX(0,F951*$F$1),0),0)*RATES!$L928/12+$H$3*(PARAM!$D$51/12)*RATES!$N928/100</f>
        <v>1190.0416666666667</v>
      </c>
      <c r="F952" s="16">
        <f t="shared" si="625"/>
        <v>-301617.80942761851</v>
      </c>
      <c r="G952" s="15">
        <f t="shared" si="626"/>
        <v>22.035289406060361</v>
      </c>
      <c r="H952" s="75">
        <f>G952*(1-PARAM!$C$27)*$I$4+(MOD($B952,60)=PARAM!$B$56)*($B952&gt;(60-PARAM!$B$56))*HLOOKUP(($B952+PARAM!$B$56)/12,Loyalty,2)*$F$1*MAX(J951,0)</f>
        <v>18.443537232872522</v>
      </c>
      <c r="I952" s="75">
        <f>PARAM!$C$26+MAX($G$4-CHOOSE(PARAM!$B$44,MAX(0,J951*$F$1),0),0)*RATES!$L928/12+$H$4*(PARAM!$D$51/12)*RATES!$N928/100</f>
        <v>1190.0416666666667</v>
      </c>
      <c r="J952" s="16">
        <f t="shared" si="627"/>
        <v>-300071.15362020786</v>
      </c>
      <c r="K952" s="15">
        <f t="shared" si="628"/>
        <v>22.170849845882874</v>
      </c>
      <c r="L952" s="75">
        <f>K952*(1-PARAM!$C$27)*$I$5+(MOD($B952,60)=PARAM!$B$56)*($B952&gt;(60-PARAM!$B$56))*HLOOKUP(($B952+PARAM!$B$56)/12,Loyalty,2)*$F$1*MAX(N951,0)</f>
        <v>18.557001321003963</v>
      </c>
      <c r="M952" s="75">
        <f>PARAM!$C$26+MAX($G$5-CHOOSE(PARAM!$B$44,MAX(0,N951*$F$1),0),0)*RATES!$L928/12+$H$5*(PARAM!$D$51/12)*RATES!$N928/100</f>
        <v>1190.0416666666667</v>
      </c>
      <c r="N952" s="16">
        <f t="shared" si="629"/>
        <v>-299963.18180228787</v>
      </c>
      <c r="O952" s="15">
        <f t="shared" si="630"/>
        <v>22.170849845882874</v>
      </c>
      <c r="P952" s="75">
        <f>O952*(1-PARAM!$C$27)*$I$6+(MOD($B952,60)=PARAM!$B$56)*($B952&gt;(60-PARAM!$B$56))*HLOOKUP(($B952+PARAM!$B$56)/12,Loyalty,2)*$F$1*MAX(R951,0)</f>
        <v>18.557001321003963</v>
      </c>
      <c r="Q952" s="75">
        <f>PARAM!$C$26+MAX($G$6-CHOOSE(PARAM!$B$44,MAX(0,R951*$F$1),0),0)*RATES!$L928/12+$H$6*(PARAM!$D$51/12)*RATES!$N928/100</f>
        <v>1190.0416666666667</v>
      </c>
      <c r="R952" s="16">
        <f t="shared" si="631"/>
        <v>-299963.18180228787</v>
      </c>
      <c r="S952" s="15">
        <f t="shared" si="606"/>
        <v>22.170849845882874</v>
      </c>
      <c r="T952" s="75">
        <f>S952*(1-PARAM!$C$27)*$I$7+(MOD($B952,60)=PARAM!$B$56)*($B952&gt;(60-PARAM!$B$56))*HLOOKUP(($B952+PARAM!$B$56)/12,Loyalty,2)*$F$1*MAX(V951,0)</f>
        <v>18.557001321003963</v>
      </c>
      <c r="U952" s="75">
        <f>PARAM!$C$26+MAX($G$7-CHOOSE(PARAM!$B$44,MAX(0,V951*$F$1),0),0)*RATES!$L928/12+$H$7*(PARAM!$D$51/12)*RATES!$N928/100</f>
        <v>1190.0416666666667</v>
      </c>
      <c r="V952" s="16">
        <f t="shared" si="632"/>
        <v>-299963.18180228787</v>
      </c>
      <c r="W952" s="15">
        <f t="shared" si="607"/>
        <v>22.170849845882874</v>
      </c>
      <c r="X952" s="75">
        <f>W952*(1-PARAM!$C$27)*$I$8+(MOD($B952,60)=PARAM!$B$56)*($B952&gt;(60-PARAM!$B$56))*HLOOKUP(($B952+PARAM!$B$56)/12,Loyalty,2)*$F$1*MAX(Z951,0)</f>
        <v>18.557001321003963</v>
      </c>
      <c r="Y952" s="75">
        <f>PARAM!$C$26+MAX($G$8-CHOOSE(PARAM!$B$44,MAX(0,Z951*$F$1),0),0)*RATES!$L928/12+$H$8*(PARAM!$D$51/12)*RATES!$N928/100</f>
        <v>1190.0416666666667</v>
      </c>
      <c r="Z952" s="16">
        <f t="shared" si="633"/>
        <v>-299963.18180228787</v>
      </c>
      <c r="AA952" s="15">
        <f t="shared" si="608"/>
        <v>22.170849845882874</v>
      </c>
      <c r="AB952" s="75">
        <f>AA952*(1-PARAM!$C$27)*$I$9+(MOD($B952,60)=PARAM!$B$56)*($B952&gt;(60-PARAM!$B$56))*HLOOKUP(($B952+PARAM!$B$56)/12,Loyalty,2)*$F$1*MAX(AD951,0)</f>
        <v>18.557001321003963</v>
      </c>
      <c r="AC952" s="75">
        <f>PARAM!$C$26+MAX($G$9-CHOOSE(PARAM!$B$44,MAX(0,AD951*$F$1),0),0)*RATES!$L928/12+$H$9*(PARAM!$D$51/12)*RATES!$N928/100</f>
        <v>1190.0416666666667</v>
      </c>
      <c r="AD952" s="16">
        <f t="shared" si="634"/>
        <v>-299963.18180228787</v>
      </c>
      <c r="AE952" s="15">
        <f t="shared" si="609"/>
        <v>22.170849845882874</v>
      </c>
      <c r="AF952" s="75">
        <f>AE952*(1-PARAM!$C$27)*$I$10+(MOD($B952,60)=PARAM!$B$56)*($B952&gt;(60-PARAM!$B$56))*HLOOKUP(($B952+PARAM!$B$56)/12,Loyalty,2)*$F$1*MAX(AH951,0)</f>
        <v>18.557001321003963</v>
      </c>
      <c r="AG952" s="75">
        <f>PARAM!$C$26+MAX($G$10-CHOOSE(PARAM!$B$44,MAX(0,AH951*$F$1),0),0)*RATES!$L928/12+$H$10*(PARAM!$D$51/12)*RATES!$N928/100</f>
        <v>1190.0416666666667</v>
      </c>
      <c r="AH952" s="16">
        <f t="shared" si="635"/>
        <v>-299963.18180228787</v>
      </c>
      <c r="AI952" s="15">
        <f t="shared" si="610"/>
        <v>22.170849845882874</v>
      </c>
      <c r="AJ952" s="75">
        <f>AI952*(1-PARAM!$C$27)*$I$11+(MOD($B952,60)=PARAM!$B$56)*($B952&gt;(60-PARAM!$B$56))*HLOOKUP(($B952+PARAM!$B$56)/12,Loyalty,2)*$F$1*MAX(AL951,0)</f>
        <v>18.557001321003963</v>
      </c>
      <c r="AK952" s="75">
        <f>PARAM!$C$26+MAX($G$11-CHOOSE(PARAM!$B$44,MAX(0,AL951*$F$1),0),0)*RATES!$L928/12+$H$11*(PARAM!$D$51/12)*RATES!$N928/100</f>
        <v>1190.0416666666667</v>
      </c>
      <c r="AL952" s="16">
        <f t="shared" si="636"/>
        <v>-299963.18180228787</v>
      </c>
      <c r="AM952" s="15">
        <f t="shared" si="611"/>
        <v>22.170849845882874</v>
      </c>
      <c r="AN952" s="75">
        <f>AM952*(1-PARAM!$C$27)*$I$12+(MOD($B952,60)=PARAM!$B$56)*($B952&gt;(60-PARAM!$B$56))*HLOOKUP(($B952+PARAM!$B$56)/12,Loyalty,2)*$F$1*MAX(AP951,0)</f>
        <v>18.557001321003963</v>
      </c>
      <c r="AO952" s="75">
        <f>PARAM!$C$26+MAX($G$12-CHOOSE(PARAM!$B$44,MAX(0,AP951*$F$1),0),0)*RATES!$L928/12+$H$12*(PARAM!$D$51/12)*RATES!$N928/100</f>
        <v>1190.0416666666667</v>
      </c>
      <c r="AP952" s="16">
        <f t="shared" si="637"/>
        <v>-299963.18180228787</v>
      </c>
      <c r="AQ952" s="15">
        <f t="shared" si="612"/>
        <v>22.170849845882874</v>
      </c>
      <c r="AR952" s="75">
        <f>AQ952*(1-PARAM!$C$27)*$I$13+(MOD($B952,60)=PARAM!$B$56)*($B952&gt;(60-PARAM!$B$56))*HLOOKUP(($B952+PARAM!$B$56)/12,Loyalty,2)*$F$1*MAX(AT951,0)</f>
        <v>18.557001321003963</v>
      </c>
      <c r="AS952" s="75">
        <f>PARAM!$C$26+MAX($G$13-CHOOSE(PARAM!$B$44,MAX(0,AT951*$F$1),0),0)*RATES!$L928/12+$H$13*(PARAM!$D$51/12)*RATES!$N928/100</f>
        <v>1190.0416666666667</v>
      </c>
      <c r="AT952" s="16">
        <f t="shared" si="638"/>
        <v>-299963.18180228787</v>
      </c>
      <c r="AU952" s="15">
        <f t="shared" si="613"/>
        <v>22.170849845882874</v>
      </c>
      <c r="AV952" s="75">
        <f>AU952*(1-PARAM!$C$27)*$I$14+(MOD($B952,60)=PARAM!$B$56)*($B952&gt;(60-PARAM!$B$56))*HLOOKUP(($B952+PARAM!$B$56)/12,Loyalty,2)*$F$1*MAX(AX951,0)</f>
        <v>18.557001321003963</v>
      </c>
      <c r="AW952" s="75">
        <f>PARAM!$C$26+MAX($G$14-CHOOSE(PARAM!$B$44,MAX(0,AX951*$F$1),0),0)*RATES!$L928/12+$H$14*(PARAM!$D$51/12)*RATES!$N928/100</f>
        <v>1190.0416666666667</v>
      </c>
      <c r="AX952" s="16">
        <f t="shared" si="639"/>
        <v>-299963.18180228787</v>
      </c>
      <c r="AY952" s="15">
        <f t="shared" si="614"/>
        <v>22.170849845882874</v>
      </c>
      <c r="AZ952" s="75">
        <f>AY952*(1-PARAM!$C$27)*$I$15+(MOD($B952,60)=PARAM!$B$56)*($B952&gt;(60-PARAM!$B$56))*HLOOKUP(($B952+PARAM!$B$56)/12,Loyalty,2)*$F$1*MAX(BB951,0)</f>
        <v>18.557001321003963</v>
      </c>
      <c r="BA952" s="75">
        <f>PARAM!$C$26+MAX($G$15-CHOOSE(PARAM!$B$44,MAX(0,BB951*$F$1),0),0)*RATES!$L928/12+$H$15*(PARAM!$D$51/12)*RATES!$N928/100</f>
        <v>1190.0416666666667</v>
      </c>
      <c r="BB952" s="16">
        <f t="shared" si="640"/>
        <v>-299963.18180228787</v>
      </c>
      <c r="BC952" s="15">
        <f t="shared" si="615"/>
        <v>22.170849845882874</v>
      </c>
      <c r="BD952" s="75">
        <f>BC952*(1-PARAM!$C$27)*$I$16+(MOD($B952,60)=PARAM!$B$56)*($B952&gt;(60-PARAM!$B$56))*HLOOKUP(($B952+PARAM!$B$56)/12,Loyalty,2)*$F$1*MAX(BF951,0)</f>
        <v>18.557001321003963</v>
      </c>
      <c r="BE952" s="75">
        <f>PARAM!$C$26+MAX($G$16-CHOOSE(PARAM!$B$44,MAX(0,BF951*$F$1),0),0)*RATES!$L928/12+$H$16*(PARAM!$D$51/12)*RATES!$N928/100</f>
        <v>1190.0416666666667</v>
      </c>
      <c r="BF952" s="16">
        <f t="shared" si="641"/>
        <v>-299963.18180228787</v>
      </c>
      <c r="BG952" s="15">
        <f t="shared" si="616"/>
        <v>22.170849845882874</v>
      </c>
      <c r="BH952" s="75">
        <f>BG952*(1-PARAM!$C$27)*$I$17+(MOD($B952,60)=PARAM!$B$56)*($B952&gt;(60-PARAM!$B$56))*HLOOKUP(($B952+PARAM!$B$56)/12,Loyalty,2)*$F$1*MAX(BJ951,0)</f>
        <v>18.557001321003963</v>
      </c>
      <c r="BI952" s="75">
        <f>PARAM!$C$26+MAX($G$17-CHOOSE(PARAM!$B$44,MAX(0,BJ951*$F$1),0),0)*RATES!$L928/12+$H$17*(PARAM!$D$51/12)*RATES!$N928/100</f>
        <v>1190.0416666666667</v>
      </c>
      <c r="BJ952" s="16">
        <f t="shared" si="642"/>
        <v>-299963.18180228787</v>
      </c>
      <c r="BK952" s="15">
        <f t="shared" si="617"/>
        <v>22.170849845882874</v>
      </c>
      <c r="BL952" s="75">
        <f>BK952*(1-PARAM!$C$27)*$I$18+(MOD($B952,60)=PARAM!$B$56)*($B952&gt;(60-PARAM!$B$56))*HLOOKUP(($B952+PARAM!$B$56)/12,Loyalty,2)*$F$1*MAX(BN951,0)</f>
        <v>18.557001321003963</v>
      </c>
      <c r="BM952" s="75">
        <f>PARAM!$C$26+MAX($G$18-CHOOSE(PARAM!$B$44,MAX(0,BN951*$F$1),0),0)*RATES!$L928/12+$H$18*(PARAM!$D$51/12)*RATES!$N928/100</f>
        <v>1190.0416666666667</v>
      </c>
      <c r="BN952" s="16">
        <f t="shared" si="643"/>
        <v>-299963.18180228787</v>
      </c>
      <c r="BO952" s="15">
        <f t="shared" si="618"/>
        <v>22.170849845882874</v>
      </c>
      <c r="BP952" s="75">
        <f>BO952*(1-PARAM!$C$27)*$I$19+(MOD($B952,60)=PARAM!$B$56)*($B952&gt;(60-PARAM!$B$56))*HLOOKUP(($B952+PARAM!$B$56)/12,Loyalty,2)*$F$1*MAX(BR951,0)</f>
        <v>18.557001321003963</v>
      </c>
      <c r="BQ952" s="75">
        <f>PARAM!$C$26+MAX($G$19-CHOOSE(PARAM!$B$44,MAX(0,BR951*$F$1),0),0)*RATES!$L928/12+$H$19*(PARAM!$D$51/12)*RATES!$N928/100</f>
        <v>1190.0416666666667</v>
      </c>
      <c r="BR952" s="16">
        <f t="shared" si="644"/>
        <v>-299963.18180228787</v>
      </c>
      <c r="BS952" s="15">
        <f t="shared" si="619"/>
        <v>22.170849845882874</v>
      </c>
      <c r="BT952" s="75">
        <f>BS952*(1-PARAM!$C$27)*$I$20+(MOD($B952,60)=PARAM!$B$56)*($B952&gt;(60-PARAM!$B$56))*HLOOKUP(($B952+PARAM!$B$56)/12,Loyalty,2)*$F$1*MAX(BV951,0)</f>
        <v>18.557001321003963</v>
      </c>
      <c r="BU952" s="75">
        <f>PARAM!$C$26+MAX($G$20-CHOOSE(PARAM!$B$44,MAX(0,BV951*$F$1),0),0)*RATES!$L928/12+$H$20*(PARAM!$D$51/12)*RATES!$N928/100</f>
        <v>1190.0416666666667</v>
      </c>
      <c r="BV952" s="16">
        <f t="shared" si="645"/>
        <v>-299963.18180228787</v>
      </c>
      <c r="BW952" s="15">
        <f t="shared" si="620"/>
        <v>22.170849845882874</v>
      </c>
      <c r="BX952" s="75">
        <f>BW952*(1-PARAM!$C$27)*$I$21+(MOD($B952,60)=PARAM!$B$56)*($B952&gt;(60-PARAM!$B$56))*HLOOKUP(($B952+PARAM!$B$56)/12,Loyalty,2)*$F$1*MAX(BZ951,0)</f>
        <v>18.557001321003963</v>
      </c>
      <c r="BY952" s="75">
        <f>PARAM!$C$26+MAX($G$21-CHOOSE(PARAM!$B$44,MAX(0,BZ951*$F$1),0),0)*RATES!$L928/12+$H$21*(PARAM!$D$51/12)*RATES!$N928/100</f>
        <v>1190.0416666666667</v>
      </c>
      <c r="BZ952" s="16">
        <f t="shared" si="646"/>
        <v>-299963.18180228787</v>
      </c>
      <c r="CA952" s="15">
        <f t="shared" si="621"/>
        <v>22.170849845882874</v>
      </c>
      <c r="CB952" s="75">
        <f>CA952*(1-PARAM!$C$27)*$I$22+(MOD($B952,60)=PARAM!$B$56)*($B952&gt;(60-PARAM!$B$56))*HLOOKUP(($B952+PARAM!$B$56)/12,Loyalty,2)*$F$1*MAX(CD951,0)</f>
        <v>18.557001321003963</v>
      </c>
      <c r="CC952" s="75">
        <f>PARAM!$C$26+MAX($G$22-CHOOSE(PARAM!$B$44,MAX(0,CD951*$F$1),0),0)*RATES!$L928/12+$H$22*(PARAM!$D$51/12)*RATES!$N928/100</f>
        <v>1190.0416666666667</v>
      </c>
      <c r="CD952" s="16">
        <f t="shared" si="647"/>
        <v>-299963.18180228787</v>
      </c>
      <c r="CE952" s="33">
        <f>IF(0=MOD(B952,12/PARAM!$D$51),1,0)</f>
        <v>1</v>
      </c>
      <c r="CF952" s="15">
        <f t="shared" si="622"/>
        <v>0</v>
      </c>
      <c r="CG952" s="75">
        <f>CF952*(1-PARAM!$C$27)*$R$3+(MOD($B952/12,5)=0)*($B952&gt;60)*HLOOKUP($B952/12,Loyalty,2)*$F$1*MAX(CI951,0)</f>
        <v>0</v>
      </c>
      <c r="CH952" s="75">
        <f>PARAM!$C$26+MAX($P$3-CHOOSE(PARAM!$B$44,MAX(0,CI951*$F$1),0),0)*RATES!$L928/12+$Q$3*(PARAM!$D$51/12)*RATES!$N928/100</f>
        <v>1190.0416666666667</v>
      </c>
      <c r="CI952" s="16">
        <f>IF(CI951&gt;0,CI951*PARAM!$C$53,CI951)+CG952-CH952</f>
        <v>-317008.83333333384</v>
      </c>
      <c r="CJ952" s="15">
        <f t="shared" si="648"/>
        <v>0</v>
      </c>
      <c r="CK952" s="75">
        <f>CJ952*(1-PARAM!$C$27)*$R$4+(MOD($B952/12,5)=0)*($B952&gt;60)*HLOOKUP($B952/12,Loyalty,2)*$F$1*MAX(CM951,0)</f>
        <v>0</v>
      </c>
      <c r="CL952" s="75">
        <f>PARAM!$C$26+MAX($P$4-CHOOSE(PARAM!$B$44,MAX(0,CM951*$F$1),0),0)*RATES!$L928/12+$Q$4*(PARAM!$D$51/12)*RATES!$N928/100</f>
        <v>1190.0416666666667</v>
      </c>
      <c r="CM952" s="16">
        <f>IF(CM951&gt;0,CM951*PARAM!$C$53,CM951)+CK952-CL952</f>
        <v>-317008.83333333384</v>
      </c>
      <c r="CO952" s="176"/>
    </row>
    <row r="953" spans="1:93" x14ac:dyDescent="0.2">
      <c r="A953" t="b">
        <f t="shared" si="623"/>
        <v>0</v>
      </c>
      <c r="B953" s="33">
        <v>926</v>
      </c>
      <c r="C953" s="15">
        <f t="shared" si="624"/>
        <v>20.081305947392778</v>
      </c>
      <c r="D953" s="75">
        <f>C953*(1-PARAM!$C$27)*$I$3+(MOD($B953,60)=PARAM!$B$56)*($B953&gt;(60-PARAM!$B$56))*HLOOKUP(($B953+PARAM!$B$56)/12,Loyalty,2)*$F$1*MAX(F952,0)</f>
        <v>16.808053077967756</v>
      </c>
      <c r="E953" s="75">
        <f>PARAM!$C$26+MAX($G$3-CHOOSE(PARAM!$B$44,MAX(0,F952*$F$1),0),0)*RATES!$L929/12+$H$3*(PARAM!$D$51/12)*RATES!$N929/100</f>
        <v>1190.0416666666667</v>
      </c>
      <c r="F953" s="16">
        <f t="shared" si="625"/>
        <v>-302791.04304120725</v>
      </c>
      <c r="G953" s="15">
        <f t="shared" si="626"/>
        <v>22.035289406060361</v>
      </c>
      <c r="H953" s="75">
        <f>G953*(1-PARAM!$C$27)*$I$4+(MOD($B953,60)=PARAM!$B$56)*($B953&gt;(60-PARAM!$B$56))*HLOOKUP(($B953+PARAM!$B$56)/12,Loyalty,2)*$F$1*MAX(J952,0)</f>
        <v>18.443537232872522</v>
      </c>
      <c r="I953" s="75">
        <f>PARAM!$C$26+MAX($G$4-CHOOSE(PARAM!$B$44,MAX(0,J952*$F$1),0),0)*RATES!$L929/12+$H$4*(PARAM!$D$51/12)*RATES!$N929/100</f>
        <v>1190.0416666666667</v>
      </c>
      <c r="J953" s="16">
        <f t="shared" si="627"/>
        <v>-301242.75174964167</v>
      </c>
      <c r="K953" s="15">
        <f t="shared" si="628"/>
        <v>22.170849845882874</v>
      </c>
      <c r="L953" s="75">
        <f>K953*(1-PARAM!$C$27)*$I$5+(MOD($B953,60)=PARAM!$B$56)*($B953&gt;(60-PARAM!$B$56))*HLOOKUP(($B953+PARAM!$B$56)/12,Loyalty,2)*$F$1*MAX(N952,0)</f>
        <v>18.557001321003963</v>
      </c>
      <c r="M953" s="75">
        <f>PARAM!$C$26+MAX($G$5-CHOOSE(PARAM!$B$44,MAX(0,N952*$F$1),0),0)*RATES!$L929/12+$H$5*(PARAM!$D$51/12)*RATES!$N929/100</f>
        <v>1190.0416666666667</v>
      </c>
      <c r="N953" s="16">
        <f t="shared" si="629"/>
        <v>-301134.66646763356</v>
      </c>
      <c r="O953" s="15">
        <f t="shared" si="630"/>
        <v>22.170849845882874</v>
      </c>
      <c r="P953" s="75">
        <f>O953*(1-PARAM!$C$27)*$I$6+(MOD($B953,60)=PARAM!$B$56)*($B953&gt;(60-PARAM!$B$56))*HLOOKUP(($B953+PARAM!$B$56)/12,Loyalty,2)*$F$1*MAX(R952,0)</f>
        <v>18.557001321003963</v>
      </c>
      <c r="Q953" s="75">
        <f>PARAM!$C$26+MAX($G$6-CHOOSE(PARAM!$B$44,MAX(0,R952*$F$1),0),0)*RATES!$L929/12+$H$6*(PARAM!$D$51/12)*RATES!$N929/100</f>
        <v>1190.0416666666667</v>
      </c>
      <c r="R953" s="16">
        <f t="shared" si="631"/>
        <v>-301134.66646763356</v>
      </c>
      <c r="S953" s="15">
        <f t="shared" si="606"/>
        <v>22.170849845882874</v>
      </c>
      <c r="T953" s="75">
        <f>S953*(1-PARAM!$C$27)*$I$7+(MOD($B953,60)=PARAM!$B$56)*($B953&gt;(60-PARAM!$B$56))*HLOOKUP(($B953+PARAM!$B$56)/12,Loyalty,2)*$F$1*MAX(V952,0)</f>
        <v>18.557001321003963</v>
      </c>
      <c r="U953" s="75">
        <f>PARAM!$C$26+MAX($G$7-CHOOSE(PARAM!$B$44,MAX(0,V952*$F$1),0),0)*RATES!$L929/12+$H$7*(PARAM!$D$51/12)*RATES!$N929/100</f>
        <v>1190.0416666666667</v>
      </c>
      <c r="V953" s="16">
        <f t="shared" si="632"/>
        <v>-301134.66646763356</v>
      </c>
      <c r="W953" s="15">
        <f t="shared" si="607"/>
        <v>22.170849845882874</v>
      </c>
      <c r="X953" s="75">
        <f>W953*(1-PARAM!$C$27)*$I$8+(MOD($B953,60)=PARAM!$B$56)*($B953&gt;(60-PARAM!$B$56))*HLOOKUP(($B953+PARAM!$B$56)/12,Loyalty,2)*$F$1*MAX(Z952,0)</f>
        <v>18.557001321003963</v>
      </c>
      <c r="Y953" s="75">
        <f>PARAM!$C$26+MAX($G$8-CHOOSE(PARAM!$B$44,MAX(0,Z952*$F$1),0),0)*RATES!$L929/12+$H$8*(PARAM!$D$51/12)*RATES!$N929/100</f>
        <v>1190.0416666666667</v>
      </c>
      <c r="Z953" s="16">
        <f t="shared" si="633"/>
        <v>-301134.66646763356</v>
      </c>
      <c r="AA953" s="15">
        <f t="shared" si="608"/>
        <v>22.170849845882874</v>
      </c>
      <c r="AB953" s="75">
        <f>AA953*(1-PARAM!$C$27)*$I$9+(MOD($B953,60)=PARAM!$B$56)*($B953&gt;(60-PARAM!$B$56))*HLOOKUP(($B953+PARAM!$B$56)/12,Loyalty,2)*$F$1*MAX(AD952,0)</f>
        <v>18.557001321003963</v>
      </c>
      <c r="AC953" s="75">
        <f>PARAM!$C$26+MAX($G$9-CHOOSE(PARAM!$B$44,MAX(0,AD952*$F$1),0),0)*RATES!$L929/12+$H$9*(PARAM!$D$51/12)*RATES!$N929/100</f>
        <v>1190.0416666666667</v>
      </c>
      <c r="AD953" s="16">
        <f t="shared" si="634"/>
        <v>-301134.66646763356</v>
      </c>
      <c r="AE953" s="15">
        <f t="shared" si="609"/>
        <v>22.170849845882874</v>
      </c>
      <c r="AF953" s="75">
        <f>AE953*(1-PARAM!$C$27)*$I$10+(MOD($B953,60)=PARAM!$B$56)*($B953&gt;(60-PARAM!$B$56))*HLOOKUP(($B953+PARAM!$B$56)/12,Loyalty,2)*$F$1*MAX(AH952,0)</f>
        <v>18.557001321003963</v>
      </c>
      <c r="AG953" s="75">
        <f>PARAM!$C$26+MAX($G$10-CHOOSE(PARAM!$B$44,MAX(0,AH952*$F$1),0),0)*RATES!$L929/12+$H$10*(PARAM!$D$51/12)*RATES!$N929/100</f>
        <v>1190.0416666666667</v>
      </c>
      <c r="AH953" s="16">
        <f t="shared" si="635"/>
        <v>-301134.66646763356</v>
      </c>
      <c r="AI953" s="15">
        <f t="shared" si="610"/>
        <v>22.170849845882874</v>
      </c>
      <c r="AJ953" s="75">
        <f>AI953*(1-PARAM!$C$27)*$I$11+(MOD($B953,60)=PARAM!$B$56)*($B953&gt;(60-PARAM!$B$56))*HLOOKUP(($B953+PARAM!$B$56)/12,Loyalty,2)*$F$1*MAX(AL952,0)</f>
        <v>18.557001321003963</v>
      </c>
      <c r="AK953" s="75">
        <f>PARAM!$C$26+MAX($G$11-CHOOSE(PARAM!$B$44,MAX(0,AL952*$F$1),0),0)*RATES!$L929/12+$H$11*(PARAM!$D$51/12)*RATES!$N929/100</f>
        <v>1190.0416666666667</v>
      </c>
      <c r="AL953" s="16">
        <f t="shared" si="636"/>
        <v>-301134.66646763356</v>
      </c>
      <c r="AM953" s="15">
        <f t="shared" si="611"/>
        <v>22.170849845882874</v>
      </c>
      <c r="AN953" s="75">
        <f>AM953*(1-PARAM!$C$27)*$I$12+(MOD($B953,60)=PARAM!$B$56)*($B953&gt;(60-PARAM!$B$56))*HLOOKUP(($B953+PARAM!$B$56)/12,Loyalty,2)*$F$1*MAX(AP952,0)</f>
        <v>18.557001321003963</v>
      </c>
      <c r="AO953" s="75">
        <f>PARAM!$C$26+MAX($G$12-CHOOSE(PARAM!$B$44,MAX(0,AP952*$F$1),0),0)*RATES!$L929/12+$H$12*(PARAM!$D$51/12)*RATES!$N929/100</f>
        <v>1190.0416666666667</v>
      </c>
      <c r="AP953" s="16">
        <f t="shared" si="637"/>
        <v>-301134.66646763356</v>
      </c>
      <c r="AQ953" s="15">
        <f t="shared" si="612"/>
        <v>22.170849845882874</v>
      </c>
      <c r="AR953" s="75">
        <f>AQ953*(1-PARAM!$C$27)*$I$13+(MOD($B953,60)=PARAM!$B$56)*($B953&gt;(60-PARAM!$B$56))*HLOOKUP(($B953+PARAM!$B$56)/12,Loyalty,2)*$F$1*MAX(AT952,0)</f>
        <v>18.557001321003963</v>
      </c>
      <c r="AS953" s="75">
        <f>PARAM!$C$26+MAX($G$13-CHOOSE(PARAM!$B$44,MAX(0,AT952*$F$1),0),0)*RATES!$L929/12+$H$13*(PARAM!$D$51/12)*RATES!$N929/100</f>
        <v>1190.0416666666667</v>
      </c>
      <c r="AT953" s="16">
        <f t="shared" si="638"/>
        <v>-301134.66646763356</v>
      </c>
      <c r="AU953" s="15">
        <f t="shared" si="613"/>
        <v>22.170849845882874</v>
      </c>
      <c r="AV953" s="75">
        <f>AU953*(1-PARAM!$C$27)*$I$14+(MOD($B953,60)=PARAM!$B$56)*($B953&gt;(60-PARAM!$B$56))*HLOOKUP(($B953+PARAM!$B$56)/12,Loyalty,2)*$F$1*MAX(AX952,0)</f>
        <v>18.557001321003963</v>
      </c>
      <c r="AW953" s="75">
        <f>PARAM!$C$26+MAX($G$14-CHOOSE(PARAM!$B$44,MAX(0,AX952*$F$1),0),0)*RATES!$L929/12+$H$14*(PARAM!$D$51/12)*RATES!$N929/100</f>
        <v>1190.0416666666667</v>
      </c>
      <c r="AX953" s="16">
        <f t="shared" si="639"/>
        <v>-301134.66646763356</v>
      </c>
      <c r="AY953" s="15">
        <f t="shared" si="614"/>
        <v>22.170849845882874</v>
      </c>
      <c r="AZ953" s="75">
        <f>AY953*(1-PARAM!$C$27)*$I$15+(MOD($B953,60)=PARAM!$B$56)*($B953&gt;(60-PARAM!$B$56))*HLOOKUP(($B953+PARAM!$B$56)/12,Loyalty,2)*$F$1*MAX(BB952,0)</f>
        <v>18.557001321003963</v>
      </c>
      <c r="BA953" s="75">
        <f>PARAM!$C$26+MAX($G$15-CHOOSE(PARAM!$B$44,MAX(0,BB952*$F$1),0),0)*RATES!$L929/12+$H$15*(PARAM!$D$51/12)*RATES!$N929/100</f>
        <v>1190.0416666666667</v>
      </c>
      <c r="BB953" s="16">
        <f t="shared" si="640"/>
        <v>-301134.66646763356</v>
      </c>
      <c r="BC953" s="15">
        <f t="shared" si="615"/>
        <v>22.170849845882874</v>
      </c>
      <c r="BD953" s="75">
        <f>BC953*(1-PARAM!$C$27)*$I$16+(MOD($B953,60)=PARAM!$B$56)*($B953&gt;(60-PARAM!$B$56))*HLOOKUP(($B953+PARAM!$B$56)/12,Loyalty,2)*$F$1*MAX(BF952,0)</f>
        <v>18.557001321003963</v>
      </c>
      <c r="BE953" s="75">
        <f>PARAM!$C$26+MAX($G$16-CHOOSE(PARAM!$B$44,MAX(0,BF952*$F$1),0),0)*RATES!$L929/12+$H$16*(PARAM!$D$51/12)*RATES!$N929/100</f>
        <v>1190.0416666666667</v>
      </c>
      <c r="BF953" s="16">
        <f t="shared" si="641"/>
        <v>-301134.66646763356</v>
      </c>
      <c r="BG953" s="15">
        <f t="shared" si="616"/>
        <v>22.170849845882874</v>
      </c>
      <c r="BH953" s="75">
        <f>BG953*(1-PARAM!$C$27)*$I$17+(MOD($B953,60)=PARAM!$B$56)*($B953&gt;(60-PARAM!$B$56))*HLOOKUP(($B953+PARAM!$B$56)/12,Loyalty,2)*$F$1*MAX(BJ952,0)</f>
        <v>18.557001321003963</v>
      </c>
      <c r="BI953" s="75">
        <f>PARAM!$C$26+MAX($G$17-CHOOSE(PARAM!$B$44,MAX(0,BJ952*$F$1),0),0)*RATES!$L929/12+$H$17*(PARAM!$D$51/12)*RATES!$N929/100</f>
        <v>1190.0416666666667</v>
      </c>
      <c r="BJ953" s="16">
        <f t="shared" si="642"/>
        <v>-301134.66646763356</v>
      </c>
      <c r="BK953" s="15">
        <f t="shared" si="617"/>
        <v>22.170849845882874</v>
      </c>
      <c r="BL953" s="75">
        <f>BK953*(1-PARAM!$C$27)*$I$18+(MOD($B953,60)=PARAM!$B$56)*($B953&gt;(60-PARAM!$B$56))*HLOOKUP(($B953+PARAM!$B$56)/12,Loyalty,2)*$F$1*MAX(BN952,0)</f>
        <v>18.557001321003963</v>
      </c>
      <c r="BM953" s="75">
        <f>PARAM!$C$26+MAX($G$18-CHOOSE(PARAM!$B$44,MAX(0,BN952*$F$1),0),0)*RATES!$L929/12+$H$18*(PARAM!$D$51/12)*RATES!$N929/100</f>
        <v>1190.0416666666667</v>
      </c>
      <c r="BN953" s="16">
        <f t="shared" si="643"/>
        <v>-301134.66646763356</v>
      </c>
      <c r="BO953" s="15">
        <f t="shared" si="618"/>
        <v>22.170849845882874</v>
      </c>
      <c r="BP953" s="75">
        <f>BO953*(1-PARAM!$C$27)*$I$19+(MOD($B953,60)=PARAM!$B$56)*($B953&gt;(60-PARAM!$B$56))*HLOOKUP(($B953+PARAM!$B$56)/12,Loyalty,2)*$F$1*MAX(BR952,0)</f>
        <v>18.557001321003963</v>
      </c>
      <c r="BQ953" s="75">
        <f>PARAM!$C$26+MAX($G$19-CHOOSE(PARAM!$B$44,MAX(0,BR952*$F$1),0),0)*RATES!$L929/12+$H$19*(PARAM!$D$51/12)*RATES!$N929/100</f>
        <v>1190.0416666666667</v>
      </c>
      <c r="BR953" s="16">
        <f t="shared" si="644"/>
        <v>-301134.66646763356</v>
      </c>
      <c r="BS953" s="15">
        <f t="shared" si="619"/>
        <v>22.170849845882874</v>
      </c>
      <c r="BT953" s="75">
        <f>BS953*(1-PARAM!$C$27)*$I$20+(MOD($B953,60)=PARAM!$B$56)*($B953&gt;(60-PARAM!$B$56))*HLOOKUP(($B953+PARAM!$B$56)/12,Loyalty,2)*$F$1*MAX(BV952,0)</f>
        <v>18.557001321003963</v>
      </c>
      <c r="BU953" s="75">
        <f>PARAM!$C$26+MAX($G$20-CHOOSE(PARAM!$B$44,MAX(0,BV952*$F$1),0),0)*RATES!$L929/12+$H$20*(PARAM!$D$51/12)*RATES!$N929/100</f>
        <v>1190.0416666666667</v>
      </c>
      <c r="BV953" s="16">
        <f t="shared" si="645"/>
        <v>-301134.66646763356</v>
      </c>
      <c r="BW953" s="15">
        <f t="shared" si="620"/>
        <v>22.170849845882874</v>
      </c>
      <c r="BX953" s="75">
        <f>BW953*(1-PARAM!$C$27)*$I$21+(MOD($B953,60)=PARAM!$B$56)*($B953&gt;(60-PARAM!$B$56))*HLOOKUP(($B953+PARAM!$B$56)/12,Loyalty,2)*$F$1*MAX(BZ952,0)</f>
        <v>18.557001321003963</v>
      </c>
      <c r="BY953" s="75">
        <f>PARAM!$C$26+MAX($G$21-CHOOSE(PARAM!$B$44,MAX(0,BZ952*$F$1),0),0)*RATES!$L929/12+$H$21*(PARAM!$D$51/12)*RATES!$N929/100</f>
        <v>1190.0416666666667</v>
      </c>
      <c r="BZ953" s="16">
        <f t="shared" si="646"/>
        <v>-301134.66646763356</v>
      </c>
      <c r="CA953" s="15">
        <f t="shared" si="621"/>
        <v>22.170849845882874</v>
      </c>
      <c r="CB953" s="75">
        <f>CA953*(1-PARAM!$C$27)*$I$22+(MOD($B953,60)=PARAM!$B$56)*($B953&gt;(60-PARAM!$B$56))*HLOOKUP(($B953+PARAM!$B$56)/12,Loyalty,2)*$F$1*MAX(CD952,0)</f>
        <v>18.557001321003963</v>
      </c>
      <c r="CC953" s="75">
        <f>PARAM!$C$26+MAX($G$22-CHOOSE(PARAM!$B$44,MAX(0,CD952*$F$1),0),0)*RATES!$L929/12+$H$22*(PARAM!$D$51/12)*RATES!$N929/100</f>
        <v>1190.0416666666667</v>
      </c>
      <c r="CD953" s="16">
        <f t="shared" si="647"/>
        <v>-301134.66646763356</v>
      </c>
      <c r="CE953" s="33">
        <f>IF(0=MOD(B953,12/PARAM!$D$51),1,0)</f>
        <v>1</v>
      </c>
      <c r="CF953" s="15">
        <f t="shared" si="622"/>
        <v>0</v>
      </c>
      <c r="CG953" s="75">
        <f>CF953*(1-PARAM!$C$27)*$R$3+(MOD($B953/12,5)=0)*($B953&gt;60)*HLOOKUP($B953/12,Loyalty,2)*$F$1*MAX(CI952,0)</f>
        <v>0</v>
      </c>
      <c r="CH953" s="75">
        <f>PARAM!$C$26+MAX($P$3-CHOOSE(PARAM!$B$44,MAX(0,CI952*$F$1),0),0)*RATES!$L929/12+$Q$3*(PARAM!$D$51/12)*RATES!$N929/100</f>
        <v>1190.0416666666667</v>
      </c>
      <c r="CI953" s="16">
        <f>IF(CI952&gt;0,CI952*PARAM!$C$53,CI952)+CG953-CH953</f>
        <v>-318198.87500000052</v>
      </c>
      <c r="CJ953" s="15">
        <f t="shared" si="648"/>
        <v>0</v>
      </c>
      <c r="CK953" s="75">
        <f>CJ953*(1-PARAM!$C$27)*$R$4+(MOD($B953/12,5)=0)*($B953&gt;60)*HLOOKUP($B953/12,Loyalty,2)*$F$1*MAX(CM952,0)</f>
        <v>0</v>
      </c>
      <c r="CL953" s="75">
        <f>PARAM!$C$26+MAX($P$4-CHOOSE(PARAM!$B$44,MAX(0,CM952*$F$1),0),0)*RATES!$L929/12+$Q$4*(PARAM!$D$51/12)*RATES!$N929/100</f>
        <v>1190.0416666666667</v>
      </c>
      <c r="CM953" s="16">
        <f>IF(CM952&gt;0,CM952*PARAM!$C$53,CM952)+CK953-CL953</f>
        <v>-318198.87500000052</v>
      </c>
      <c r="CO953" s="176"/>
    </row>
    <row r="954" spans="1:93" x14ac:dyDescent="0.2">
      <c r="A954" t="b">
        <f t="shared" si="623"/>
        <v>0</v>
      </c>
      <c r="B954" s="33">
        <v>927</v>
      </c>
      <c r="C954" s="15">
        <f t="shared" si="624"/>
        <v>20.081305947392778</v>
      </c>
      <c r="D954" s="75">
        <f>C954*(1-PARAM!$C$27)*$I$3+(MOD($B954,60)=PARAM!$B$56)*($B954&gt;(60-PARAM!$B$56))*HLOOKUP(($B954+PARAM!$B$56)/12,Loyalty,2)*$F$1*MAX(F953,0)</f>
        <v>16.808053077967756</v>
      </c>
      <c r="E954" s="75">
        <f>PARAM!$C$26+MAX($G$3-CHOOSE(PARAM!$B$44,MAX(0,F953*$F$1),0),0)*RATES!$L930/12+$H$3*(PARAM!$D$51/12)*RATES!$N930/100</f>
        <v>1190.0416666666667</v>
      </c>
      <c r="F954" s="16">
        <f t="shared" si="625"/>
        <v>-303964.27665479598</v>
      </c>
      <c r="G954" s="15">
        <f t="shared" si="626"/>
        <v>22.035289406060361</v>
      </c>
      <c r="H954" s="75">
        <f>G954*(1-PARAM!$C$27)*$I$4+(MOD($B954,60)=PARAM!$B$56)*($B954&gt;(60-PARAM!$B$56))*HLOOKUP(($B954+PARAM!$B$56)/12,Loyalty,2)*$F$1*MAX(J953,0)</f>
        <v>18.443537232872522</v>
      </c>
      <c r="I954" s="75">
        <f>PARAM!$C$26+MAX($G$4-CHOOSE(PARAM!$B$44,MAX(0,J953*$F$1),0),0)*RATES!$L930/12+$H$4*(PARAM!$D$51/12)*RATES!$N930/100</f>
        <v>1190.0416666666667</v>
      </c>
      <c r="J954" s="16">
        <f t="shared" si="627"/>
        <v>-302414.34987907548</v>
      </c>
      <c r="K954" s="15">
        <f t="shared" si="628"/>
        <v>22.170849845882874</v>
      </c>
      <c r="L954" s="75">
        <f>K954*(1-PARAM!$C$27)*$I$5+(MOD($B954,60)=PARAM!$B$56)*($B954&gt;(60-PARAM!$B$56))*HLOOKUP(($B954+PARAM!$B$56)/12,Loyalty,2)*$F$1*MAX(N953,0)</f>
        <v>18.557001321003963</v>
      </c>
      <c r="M954" s="75">
        <f>PARAM!$C$26+MAX($G$5-CHOOSE(PARAM!$B$44,MAX(0,N953*$F$1),0),0)*RATES!$L930/12+$H$5*(PARAM!$D$51/12)*RATES!$N930/100</f>
        <v>1190.0416666666667</v>
      </c>
      <c r="N954" s="16">
        <f t="shared" si="629"/>
        <v>-302306.15113297926</v>
      </c>
      <c r="O954" s="15">
        <f t="shared" si="630"/>
        <v>22.170849845882874</v>
      </c>
      <c r="P954" s="75">
        <f>O954*(1-PARAM!$C$27)*$I$6+(MOD($B954,60)=PARAM!$B$56)*($B954&gt;(60-PARAM!$B$56))*HLOOKUP(($B954+PARAM!$B$56)/12,Loyalty,2)*$F$1*MAX(R953,0)</f>
        <v>18.557001321003963</v>
      </c>
      <c r="Q954" s="75">
        <f>PARAM!$C$26+MAX($G$6-CHOOSE(PARAM!$B$44,MAX(0,R953*$F$1),0),0)*RATES!$L930/12+$H$6*(PARAM!$D$51/12)*RATES!$N930/100</f>
        <v>1190.0416666666667</v>
      </c>
      <c r="R954" s="16">
        <f t="shared" si="631"/>
        <v>-302306.15113297926</v>
      </c>
      <c r="S954" s="15">
        <f t="shared" si="606"/>
        <v>22.170849845882874</v>
      </c>
      <c r="T954" s="75">
        <f>S954*(1-PARAM!$C$27)*$I$7+(MOD($B954,60)=PARAM!$B$56)*($B954&gt;(60-PARAM!$B$56))*HLOOKUP(($B954+PARAM!$B$56)/12,Loyalty,2)*$F$1*MAX(V953,0)</f>
        <v>18.557001321003963</v>
      </c>
      <c r="U954" s="75">
        <f>PARAM!$C$26+MAX($G$7-CHOOSE(PARAM!$B$44,MAX(0,V953*$F$1),0),0)*RATES!$L930/12+$H$7*(PARAM!$D$51/12)*RATES!$N930/100</f>
        <v>1190.0416666666667</v>
      </c>
      <c r="V954" s="16">
        <f t="shared" si="632"/>
        <v>-302306.15113297926</v>
      </c>
      <c r="W954" s="15">
        <f t="shared" si="607"/>
        <v>22.170849845882874</v>
      </c>
      <c r="X954" s="75">
        <f>W954*(1-PARAM!$C$27)*$I$8+(MOD($B954,60)=PARAM!$B$56)*($B954&gt;(60-PARAM!$B$56))*HLOOKUP(($B954+PARAM!$B$56)/12,Loyalty,2)*$F$1*MAX(Z953,0)</f>
        <v>18.557001321003963</v>
      </c>
      <c r="Y954" s="75">
        <f>PARAM!$C$26+MAX($G$8-CHOOSE(PARAM!$B$44,MAX(0,Z953*$F$1),0),0)*RATES!$L930/12+$H$8*(PARAM!$D$51/12)*RATES!$N930/100</f>
        <v>1190.0416666666667</v>
      </c>
      <c r="Z954" s="16">
        <f t="shared" si="633"/>
        <v>-302306.15113297926</v>
      </c>
      <c r="AA954" s="15">
        <f t="shared" si="608"/>
        <v>22.170849845882874</v>
      </c>
      <c r="AB954" s="75">
        <f>AA954*(1-PARAM!$C$27)*$I$9+(MOD($B954,60)=PARAM!$B$56)*($B954&gt;(60-PARAM!$B$56))*HLOOKUP(($B954+PARAM!$B$56)/12,Loyalty,2)*$F$1*MAX(AD953,0)</f>
        <v>18.557001321003963</v>
      </c>
      <c r="AC954" s="75">
        <f>PARAM!$C$26+MAX($G$9-CHOOSE(PARAM!$B$44,MAX(0,AD953*$F$1),0),0)*RATES!$L930/12+$H$9*(PARAM!$D$51/12)*RATES!$N930/100</f>
        <v>1190.0416666666667</v>
      </c>
      <c r="AD954" s="16">
        <f t="shared" si="634"/>
        <v>-302306.15113297926</v>
      </c>
      <c r="AE954" s="15">
        <f t="shared" si="609"/>
        <v>22.170849845882874</v>
      </c>
      <c r="AF954" s="75">
        <f>AE954*(1-PARAM!$C$27)*$I$10+(MOD($B954,60)=PARAM!$B$56)*($B954&gt;(60-PARAM!$B$56))*HLOOKUP(($B954+PARAM!$B$56)/12,Loyalty,2)*$F$1*MAX(AH953,0)</f>
        <v>18.557001321003963</v>
      </c>
      <c r="AG954" s="75">
        <f>PARAM!$C$26+MAX($G$10-CHOOSE(PARAM!$B$44,MAX(0,AH953*$F$1),0),0)*RATES!$L930/12+$H$10*(PARAM!$D$51/12)*RATES!$N930/100</f>
        <v>1190.0416666666667</v>
      </c>
      <c r="AH954" s="16">
        <f t="shared" si="635"/>
        <v>-302306.15113297926</v>
      </c>
      <c r="AI954" s="15">
        <f t="shared" si="610"/>
        <v>22.170849845882874</v>
      </c>
      <c r="AJ954" s="75">
        <f>AI954*(1-PARAM!$C$27)*$I$11+(MOD($B954,60)=PARAM!$B$56)*($B954&gt;(60-PARAM!$B$56))*HLOOKUP(($B954+PARAM!$B$56)/12,Loyalty,2)*$F$1*MAX(AL953,0)</f>
        <v>18.557001321003963</v>
      </c>
      <c r="AK954" s="75">
        <f>PARAM!$C$26+MAX($G$11-CHOOSE(PARAM!$B$44,MAX(0,AL953*$F$1),0),0)*RATES!$L930/12+$H$11*(PARAM!$D$51/12)*RATES!$N930/100</f>
        <v>1190.0416666666667</v>
      </c>
      <c r="AL954" s="16">
        <f t="shared" si="636"/>
        <v>-302306.15113297926</v>
      </c>
      <c r="AM954" s="15">
        <f t="shared" si="611"/>
        <v>22.170849845882874</v>
      </c>
      <c r="AN954" s="75">
        <f>AM954*(1-PARAM!$C$27)*$I$12+(MOD($B954,60)=PARAM!$B$56)*($B954&gt;(60-PARAM!$B$56))*HLOOKUP(($B954+PARAM!$B$56)/12,Loyalty,2)*$F$1*MAX(AP953,0)</f>
        <v>18.557001321003963</v>
      </c>
      <c r="AO954" s="75">
        <f>PARAM!$C$26+MAX($G$12-CHOOSE(PARAM!$B$44,MAX(0,AP953*$F$1),0),0)*RATES!$L930/12+$H$12*(PARAM!$D$51/12)*RATES!$N930/100</f>
        <v>1190.0416666666667</v>
      </c>
      <c r="AP954" s="16">
        <f t="shared" si="637"/>
        <v>-302306.15113297926</v>
      </c>
      <c r="AQ954" s="15">
        <f t="shared" si="612"/>
        <v>22.170849845882874</v>
      </c>
      <c r="AR954" s="75">
        <f>AQ954*(1-PARAM!$C$27)*$I$13+(MOD($B954,60)=PARAM!$B$56)*($B954&gt;(60-PARAM!$B$56))*HLOOKUP(($B954+PARAM!$B$56)/12,Loyalty,2)*$F$1*MAX(AT953,0)</f>
        <v>18.557001321003963</v>
      </c>
      <c r="AS954" s="75">
        <f>PARAM!$C$26+MAX($G$13-CHOOSE(PARAM!$B$44,MAX(0,AT953*$F$1),0),0)*RATES!$L930/12+$H$13*(PARAM!$D$51/12)*RATES!$N930/100</f>
        <v>1190.0416666666667</v>
      </c>
      <c r="AT954" s="16">
        <f t="shared" si="638"/>
        <v>-302306.15113297926</v>
      </c>
      <c r="AU954" s="15">
        <f t="shared" si="613"/>
        <v>22.170849845882874</v>
      </c>
      <c r="AV954" s="75">
        <f>AU954*(1-PARAM!$C$27)*$I$14+(MOD($B954,60)=PARAM!$B$56)*($B954&gt;(60-PARAM!$B$56))*HLOOKUP(($B954+PARAM!$B$56)/12,Loyalty,2)*$F$1*MAX(AX953,0)</f>
        <v>18.557001321003963</v>
      </c>
      <c r="AW954" s="75">
        <f>PARAM!$C$26+MAX($G$14-CHOOSE(PARAM!$B$44,MAX(0,AX953*$F$1),0),0)*RATES!$L930/12+$H$14*(PARAM!$D$51/12)*RATES!$N930/100</f>
        <v>1190.0416666666667</v>
      </c>
      <c r="AX954" s="16">
        <f t="shared" si="639"/>
        <v>-302306.15113297926</v>
      </c>
      <c r="AY954" s="15">
        <f t="shared" si="614"/>
        <v>22.170849845882874</v>
      </c>
      <c r="AZ954" s="75">
        <f>AY954*(1-PARAM!$C$27)*$I$15+(MOD($B954,60)=PARAM!$B$56)*($B954&gt;(60-PARAM!$B$56))*HLOOKUP(($B954+PARAM!$B$56)/12,Loyalty,2)*$F$1*MAX(BB953,0)</f>
        <v>18.557001321003963</v>
      </c>
      <c r="BA954" s="75">
        <f>PARAM!$C$26+MAX($G$15-CHOOSE(PARAM!$B$44,MAX(0,BB953*$F$1),0),0)*RATES!$L930/12+$H$15*(PARAM!$D$51/12)*RATES!$N930/100</f>
        <v>1190.0416666666667</v>
      </c>
      <c r="BB954" s="16">
        <f t="shared" si="640"/>
        <v>-302306.15113297926</v>
      </c>
      <c r="BC954" s="15">
        <f t="shared" si="615"/>
        <v>22.170849845882874</v>
      </c>
      <c r="BD954" s="75">
        <f>BC954*(1-PARAM!$C$27)*$I$16+(MOD($B954,60)=PARAM!$B$56)*($B954&gt;(60-PARAM!$B$56))*HLOOKUP(($B954+PARAM!$B$56)/12,Loyalty,2)*$F$1*MAX(BF953,0)</f>
        <v>18.557001321003963</v>
      </c>
      <c r="BE954" s="75">
        <f>PARAM!$C$26+MAX($G$16-CHOOSE(PARAM!$B$44,MAX(0,BF953*$F$1),0),0)*RATES!$L930/12+$H$16*(PARAM!$D$51/12)*RATES!$N930/100</f>
        <v>1190.0416666666667</v>
      </c>
      <c r="BF954" s="16">
        <f t="shared" si="641"/>
        <v>-302306.15113297926</v>
      </c>
      <c r="BG954" s="15">
        <f t="shared" si="616"/>
        <v>22.170849845882874</v>
      </c>
      <c r="BH954" s="75">
        <f>BG954*(1-PARAM!$C$27)*$I$17+(MOD($B954,60)=PARAM!$B$56)*($B954&gt;(60-PARAM!$B$56))*HLOOKUP(($B954+PARAM!$B$56)/12,Loyalty,2)*$F$1*MAX(BJ953,0)</f>
        <v>18.557001321003963</v>
      </c>
      <c r="BI954" s="75">
        <f>PARAM!$C$26+MAX($G$17-CHOOSE(PARAM!$B$44,MAX(0,BJ953*$F$1),0),0)*RATES!$L930/12+$H$17*(PARAM!$D$51/12)*RATES!$N930/100</f>
        <v>1190.0416666666667</v>
      </c>
      <c r="BJ954" s="16">
        <f t="shared" si="642"/>
        <v>-302306.15113297926</v>
      </c>
      <c r="BK954" s="15">
        <f t="shared" si="617"/>
        <v>22.170849845882874</v>
      </c>
      <c r="BL954" s="75">
        <f>BK954*(1-PARAM!$C$27)*$I$18+(MOD($B954,60)=PARAM!$B$56)*($B954&gt;(60-PARAM!$B$56))*HLOOKUP(($B954+PARAM!$B$56)/12,Loyalty,2)*$F$1*MAX(BN953,0)</f>
        <v>18.557001321003963</v>
      </c>
      <c r="BM954" s="75">
        <f>PARAM!$C$26+MAX($G$18-CHOOSE(PARAM!$B$44,MAX(0,BN953*$F$1),0),0)*RATES!$L930/12+$H$18*(PARAM!$D$51/12)*RATES!$N930/100</f>
        <v>1190.0416666666667</v>
      </c>
      <c r="BN954" s="16">
        <f t="shared" si="643"/>
        <v>-302306.15113297926</v>
      </c>
      <c r="BO954" s="15">
        <f t="shared" si="618"/>
        <v>22.170849845882874</v>
      </c>
      <c r="BP954" s="75">
        <f>BO954*(1-PARAM!$C$27)*$I$19+(MOD($B954,60)=PARAM!$B$56)*($B954&gt;(60-PARAM!$B$56))*HLOOKUP(($B954+PARAM!$B$56)/12,Loyalty,2)*$F$1*MAX(BR953,0)</f>
        <v>18.557001321003963</v>
      </c>
      <c r="BQ954" s="75">
        <f>PARAM!$C$26+MAX($G$19-CHOOSE(PARAM!$B$44,MAX(0,BR953*$F$1),0),0)*RATES!$L930/12+$H$19*(PARAM!$D$51/12)*RATES!$N930/100</f>
        <v>1190.0416666666667</v>
      </c>
      <c r="BR954" s="16">
        <f t="shared" si="644"/>
        <v>-302306.15113297926</v>
      </c>
      <c r="BS954" s="15">
        <f t="shared" si="619"/>
        <v>22.170849845882874</v>
      </c>
      <c r="BT954" s="75">
        <f>BS954*(1-PARAM!$C$27)*$I$20+(MOD($B954,60)=PARAM!$B$56)*($B954&gt;(60-PARAM!$B$56))*HLOOKUP(($B954+PARAM!$B$56)/12,Loyalty,2)*$F$1*MAX(BV953,0)</f>
        <v>18.557001321003963</v>
      </c>
      <c r="BU954" s="75">
        <f>PARAM!$C$26+MAX($G$20-CHOOSE(PARAM!$B$44,MAX(0,BV953*$F$1),0),0)*RATES!$L930/12+$H$20*(PARAM!$D$51/12)*RATES!$N930/100</f>
        <v>1190.0416666666667</v>
      </c>
      <c r="BV954" s="16">
        <f t="shared" si="645"/>
        <v>-302306.15113297926</v>
      </c>
      <c r="BW954" s="15">
        <f t="shared" si="620"/>
        <v>22.170849845882874</v>
      </c>
      <c r="BX954" s="75">
        <f>BW954*(1-PARAM!$C$27)*$I$21+(MOD($B954,60)=PARAM!$B$56)*($B954&gt;(60-PARAM!$B$56))*HLOOKUP(($B954+PARAM!$B$56)/12,Loyalty,2)*$F$1*MAX(BZ953,0)</f>
        <v>18.557001321003963</v>
      </c>
      <c r="BY954" s="75">
        <f>PARAM!$C$26+MAX($G$21-CHOOSE(PARAM!$B$44,MAX(0,BZ953*$F$1),0),0)*RATES!$L930/12+$H$21*(PARAM!$D$51/12)*RATES!$N930/100</f>
        <v>1190.0416666666667</v>
      </c>
      <c r="BZ954" s="16">
        <f t="shared" si="646"/>
        <v>-302306.15113297926</v>
      </c>
      <c r="CA954" s="15">
        <f t="shared" si="621"/>
        <v>22.170849845882874</v>
      </c>
      <c r="CB954" s="75">
        <f>CA954*(1-PARAM!$C$27)*$I$22+(MOD($B954,60)=PARAM!$B$56)*($B954&gt;(60-PARAM!$B$56))*HLOOKUP(($B954+PARAM!$B$56)/12,Loyalty,2)*$F$1*MAX(CD953,0)</f>
        <v>18.557001321003963</v>
      </c>
      <c r="CC954" s="75">
        <f>PARAM!$C$26+MAX($G$22-CHOOSE(PARAM!$B$44,MAX(0,CD953*$F$1),0),0)*RATES!$L930/12+$H$22*(PARAM!$D$51/12)*RATES!$N930/100</f>
        <v>1190.0416666666667</v>
      </c>
      <c r="CD954" s="16">
        <f t="shared" si="647"/>
        <v>-302306.15113297926</v>
      </c>
      <c r="CE954" s="33">
        <f>IF(0=MOD(B954,12/PARAM!$D$51),1,0)</f>
        <v>1</v>
      </c>
      <c r="CF954" s="15">
        <f t="shared" si="622"/>
        <v>0</v>
      </c>
      <c r="CG954" s="75">
        <f>CF954*(1-PARAM!$C$27)*$R$3+(MOD($B954/12,5)=0)*($B954&gt;60)*HLOOKUP($B954/12,Loyalty,2)*$F$1*MAX(CI953,0)</f>
        <v>0</v>
      </c>
      <c r="CH954" s="75">
        <f>PARAM!$C$26+MAX($P$3-CHOOSE(PARAM!$B$44,MAX(0,CI953*$F$1),0),0)*RATES!$L930/12+$Q$3*(PARAM!$D$51/12)*RATES!$N930/100</f>
        <v>1190.0416666666667</v>
      </c>
      <c r="CI954" s="16">
        <f>IF(CI953&gt;0,CI953*PARAM!$C$53,CI953)+CG954-CH954</f>
        <v>-319388.91666666721</v>
      </c>
      <c r="CJ954" s="15">
        <f t="shared" si="648"/>
        <v>0</v>
      </c>
      <c r="CK954" s="75">
        <f>CJ954*(1-PARAM!$C$27)*$R$4+(MOD($B954/12,5)=0)*($B954&gt;60)*HLOOKUP($B954/12,Loyalty,2)*$F$1*MAX(CM953,0)</f>
        <v>0</v>
      </c>
      <c r="CL954" s="75">
        <f>PARAM!$C$26+MAX($P$4-CHOOSE(PARAM!$B$44,MAX(0,CM953*$F$1),0),0)*RATES!$L930/12+$Q$4*(PARAM!$D$51/12)*RATES!$N930/100</f>
        <v>1190.0416666666667</v>
      </c>
      <c r="CM954" s="16">
        <f>IF(CM953&gt;0,CM953*PARAM!$C$53,CM953)+CK954-CL954</f>
        <v>-319388.91666666721</v>
      </c>
      <c r="CO954" s="176"/>
    </row>
    <row r="955" spans="1:93" x14ac:dyDescent="0.2">
      <c r="A955" t="b">
        <f t="shared" si="623"/>
        <v>0</v>
      </c>
      <c r="B955" s="33">
        <v>928</v>
      </c>
      <c r="C955" s="15">
        <f t="shared" si="624"/>
        <v>20.081305947392778</v>
      </c>
      <c r="D955" s="75">
        <f>C955*(1-PARAM!$C$27)*$I$3+(MOD($B955,60)=PARAM!$B$56)*($B955&gt;(60-PARAM!$B$56))*HLOOKUP(($B955+PARAM!$B$56)/12,Loyalty,2)*$F$1*MAX(F954,0)</f>
        <v>16.808053077967756</v>
      </c>
      <c r="E955" s="75">
        <f>PARAM!$C$26+MAX($G$3-CHOOSE(PARAM!$B$44,MAX(0,F954*$F$1),0),0)*RATES!$L931/12+$H$3*(PARAM!$D$51/12)*RATES!$N931/100</f>
        <v>1190.0416666666667</v>
      </c>
      <c r="F955" s="16">
        <f t="shared" si="625"/>
        <v>-305137.51026838471</v>
      </c>
      <c r="G955" s="15">
        <f t="shared" si="626"/>
        <v>22.035289406060361</v>
      </c>
      <c r="H955" s="75">
        <f>G955*(1-PARAM!$C$27)*$I$4+(MOD($B955,60)=PARAM!$B$56)*($B955&gt;(60-PARAM!$B$56))*HLOOKUP(($B955+PARAM!$B$56)/12,Loyalty,2)*$F$1*MAX(J954,0)</f>
        <v>18.443537232872522</v>
      </c>
      <c r="I955" s="75">
        <f>PARAM!$C$26+MAX($G$4-CHOOSE(PARAM!$B$44,MAX(0,J954*$F$1),0),0)*RATES!$L931/12+$H$4*(PARAM!$D$51/12)*RATES!$N931/100</f>
        <v>1190.0416666666667</v>
      </c>
      <c r="J955" s="16">
        <f t="shared" si="627"/>
        <v>-303585.94800850929</v>
      </c>
      <c r="K955" s="15">
        <f t="shared" si="628"/>
        <v>22.170849845882874</v>
      </c>
      <c r="L955" s="75">
        <f>K955*(1-PARAM!$C$27)*$I$5+(MOD($B955,60)=PARAM!$B$56)*($B955&gt;(60-PARAM!$B$56))*HLOOKUP(($B955+PARAM!$B$56)/12,Loyalty,2)*$F$1*MAX(N954,0)</f>
        <v>18.557001321003963</v>
      </c>
      <c r="M955" s="75">
        <f>PARAM!$C$26+MAX($G$5-CHOOSE(PARAM!$B$44,MAX(0,N954*$F$1),0),0)*RATES!$L931/12+$H$5*(PARAM!$D$51/12)*RATES!$N931/100</f>
        <v>1190.0416666666667</v>
      </c>
      <c r="N955" s="16">
        <f t="shared" si="629"/>
        <v>-303477.63579832495</v>
      </c>
      <c r="O955" s="15">
        <f t="shared" si="630"/>
        <v>22.170849845882874</v>
      </c>
      <c r="P955" s="75">
        <f>O955*(1-PARAM!$C$27)*$I$6+(MOD($B955,60)=PARAM!$B$56)*($B955&gt;(60-PARAM!$B$56))*HLOOKUP(($B955+PARAM!$B$56)/12,Loyalty,2)*$F$1*MAX(R954,0)</f>
        <v>18.557001321003963</v>
      </c>
      <c r="Q955" s="75">
        <f>PARAM!$C$26+MAX($G$6-CHOOSE(PARAM!$B$44,MAX(0,R954*$F$1),0),0)*RATES!$L931/12+$H$6*(PARAM!$D$51/12)*RATES!$N931/100</f>
        <v>1190.0416666666667</v>
      </c>
      <c r="R955" s="16">
        <f t="shared" si="631"/>
        <v>-303477.63579832495</v>
      </c>
      <c r="S955" s="15">
        <f t="shared" si="606"/>
        <v>22.170849845882874</v>
      </c>
      <c r="T955" s="75">
        <f>S955*(1-PARAM!$C$27)*$I$7+(MOD($B955,60)=PARAM!$B$56)*($B955&gt;(60-PARAM!$B$56))*HLOOKUP(($B955+PARAM!$B$56)/12,Loyalty,2)*$F$1*MAX(V954,0)</f>
        <v>18.557001321003963</v>
      </c>
      <c r="U955" s="75">
        <f>PARAM!$C$26+MAX($G$7-CHOOSE(PARAM!$B$44,MAX(0,V954*$F$1),0),0)*RATES!$L931/12+$H$7*(PARAM!$D$51/12)*RATES!$N931/100</f>
        <v>1190.0416666666667</v>
      </c>
      <c r="V955" s="16">
        <f t="shared" si="632"/>
        <v>-303477.63579832495</v>
      </c>
      <c r="W955" s="15">
        <f t="shared" si="607"/>
        <v>22.170849845882874</v>
      </c>
      <c r="X955" s="75">
        <f>W955*(1-PARAM!$C$27)*$I$8+(MOD($B955,60)=PARAM!$B$56)*($B955&gt;(60-PARAM!$B$56))*HLOOKUP(($B955+PARAM!$B$56)/12,Loyalty,2)*$F$1*MAX(Z954,0)</f>
        <v>18.557001321003963</v>
      </c>
      <c r="Y955" s="75">
        <f>PARAM!$C$26+MAX($G$8-CHOOSE(PARAM!$B$44,MAX(0,Z954*$F$1),0),0)*RATES!$L931/12+$H$8*(PARAM!$D$51/12)*RATES!$N931/100</f>
        <v>1190.0416666666667</v>
      </c>
      <c r="Z955" s="16">
        <f t="shared" si="633"/>
        <v>-303477.63579832495</v>
      </c>
      <c r="AA955" s="15">
        <f t="shared" si="608"/>
        <v>22.170849845882874</v>
      </c>
      <c r="AB955" s="75">
        <f>AA955*(1-PARAM!$C$27)*$I$9+(MOD($B955,60)=PARAM!$B$56)*($B955&gt;(60-PARAM!$B$56))*HLOOKUP(($B955+PARAM!$B$56)/12,Loyalty,2)*$F$1*MAX(AD954,0)</f>
        <v>18.557001321003963</v>
      </c>
      <c r="AC955" s="75">
        <f>PARAM!$C$26+MAX($G$9-CHOOSE(PARAM!$B$44,MAX(0,AD954*$F$1),0),0)*RATES!$L931/12+$H$9*(PARAM!$D$51/12)*RATES!$N931/100</f>
        <v>1190.0416666666667</v>
      </c>
      <c r="AD955" s="16">
        <f t="shared" si="634"/>
        <v>-303477.63579832495</v>
      </c>
      <c r="AE955" s="15">
        <f t="shared" si="609"/>
        <v>22.170849845882874</v>
      </c>
      <c r="AF955" s="75">
        <f>AE955*(1-PARAM!$C$27)*$I$10+(MOD($B955,60)=PARAM!$B$56)*($B955&gt;(60-PARAM!$B$56))*HLOOKUP(($B955+PARAM!$B$56)/12,Loyalty,2)*$F$1*MAX(AH954,0)</f>
        <v>18.557001321003963</v>
      </c>
      <c r="AG955" s="75">
        <f>PARAM!$C$26+MAX($G$10-CHOOSE(PARAM!$B$44,MAX(0,AH954*$F$1),0),0)*RATES!$L931/12+$H$10*(PARAM!$D$51/12)*RATES!$N931/100</f>
        <v>1190.0416666666667</v>
      </c>
      <c r="AH955" s="16">
        <f t="shared" si="635"/>
        <v>-303477.63579832495</v>
      </c>
      <c r="AI955" s="15">
        <f t="shared" si="610"/>
        <v>22.170849845882874</v>
      </c>
      <c r="AJ955" s="75">
        <f>AI955*(1-PARAM!$C$27)*$I$11+(MOD($B955,60)=PARAM!$B$56)*($B955&gt;(60-PARAM!$B$56))*HLOOKUP(($B955+PARAM!$B$56)/12,Loyalty,2)*$F$1*MAX(AL954,0)</f>
        <v>18.557001321003963</v>
      </c>
      <c r="AK955" s="75">
        <f>PARAM!$C$26+MAX($G$11-CHOOSE(PARAM!$B$44,MAX(0,AL954*$F$1),0),0)*RATES!$L931/12+$H$11*(PARAM!$D$51/12)*RATES!$N931/100</f>
        <v>1190.0416666666667</v>
      </c>
      <c r="AL955" s="16">
        <f t="shared" si="636"/>
        <v>-303477.63579832495</v>
      </c>
      <c r="AM955" s="15">
        <f t="shared" si="611"/>
        <v>22.170849845882874</v>
      </c>
      <c r="AN955" s="75">
        <f>AM955*(1-PARAM!$C$27)*$I$12+(MOD($B955,60)=PARAM!$B$56)*($B955&gt;(60-PARAM!$B$56))*HLOOKUP(($B955+PARAM!$B$56)/12,Loyalty,2)*$F$1*MAX(AP954,0)</f>
        <v>18.557001321003963</v>
      </c>
      <c r="AO955" s="75">
        <f>PARAM!$C$26+MAX($G$12-CHOOSE(PARAM!$B$44,MAX(0,AP954*$F$1),0),0)*RATES!$L931/12+$H$12*(PARAM!$D$51/12)*RATES!$N931/100</f>
        <v>1190.0416666666667</v>
      </c>
      <c r="AP955" s="16">
        <f t="shared" si="637"/>
        <v>-303477.63579832495</v>
      </c>
      <c r="AQ955" s="15">
        <f t="shared" si="612"/>
        <v>22.170849845882874</v>
      </c>
      <c r="AR955" s="75">
        <f>AQ955*(1-PARAM!$C$27)*$I$13+(MOD($B955,60)=PARAM!$B$56)*($B955&gt;(60-PARAM!$B$56))*HLOOKUP(($B955+PARAM!$B$56)/12,Loyalty,2)*$F$1*MAX(AT954,0)</f>
        <v>18.557001321003963</v>
      </c>
      <c r="AS955" s="75">
        <f>PARAM!$C$26+MAX($G$13-CHOOSE(PARAM!$B$44,MAX(0,AT954*$F$1),0),0)*RATES!$L931/12+$H$13*(PARAM!$D$51/12)*RATES!$N931/100</f>
        <v>1190.0416666666667</v>
      </c>
      <c r="AT955" s="16">
        <f t="shared" si="638"/>
        <v>-303477.63579832495</v>
      </c>
      <c r="AU955" s="15">
        <f t="shared" si="613"/>
        <v>22.170849845882874</v>
      </c>
      <c r="AV955" s="75">
        <f>AU955*(1-PARAM!$C$27)*$I$14+(MOD($B955,60)=PARAM!$B$56)*($B955&gt;(60-PARAM!$B$56))*HLOOKUP(($B955+PARAM!$B$56)/12,Loyalty,2)*$F$1*MAX(AX954,0)</f>
        <v>18.557001321003963</v>
      </c>
      <c r="AW955" s="75">
        <f>PARAM!$C$26+MAX($G$14-CHOOSE(PARAM!$B$44,MAX(0,AX954*$F$1),0),0)*RATES!$L931/12+$H$14*(PARAM!$D$51/12)*RATES!$N931/100</f>
        <v>1190.0416666666667</v>
      </c>
      <c r="AX955" s="16">
        <f t="shared" si="639"/>
        <v>-303477.63579832495</v>
      </c>
      <c r="AY955" s="15">
        <f t="shared" si="614"/>
        <v>22.170849845882874</v>
      </c>
      <c r="AZ955" s="75">
        <f>AY955*(1-PARAM!$C$27)*$I$15+(MOD($B955,60)=PARAM!$B$56)*($B955&gt;(60-PARAM!$B$56))*HLOOKUP(($B955+PARAM!$B$56)/12,Loyalty,2)*$F$1*MAX(BB954,0)</f>
        <v>18.557001321003963</v>
      </c>
      <c r="BA955" s="75">
        <f>PARAM!$C$26+MAX($G$15-CHOOSE(PARAM!$B$44,MAX(0,BB954*$F$1),0),0)*RATES!$L931/12+$H$15*(PARAM!$D$51/12)*RATES!$N931/100</f>
        <v>1190.0416666666667</v>
      </c>
      <c r="BB955" s="16">
        <f t="shared" si="640"/>
        <v>-303477.63579832495</v>
      </c>
      <c r="BC955" s="15">
        <f t="shared" si="615"/>
        <v>22.170849845882874</v>
      </c>
      <c r="BD955" s="75">
        <f>BC955*(1-PARAM!$C$27)*$I$16+(MOD($B955,60)=PARAM!$B$56)*($B955&gt;(60-PARAM!$B$56))*HLOOKUP(($B955+PARAM!$B$56)/12,Loyalty,2)*$F$1*MAX(BF954,0)</f>
        <v>18.557001321003963</v>
      </c>
      <c r="BE955" s="75">
        <f>PARAM!$C$26+MAX($G$16-CHOOSE(PARAM!$B$44,MAX(0,BF954*$F$1),0),0)*RATES!$L931/12+$H$16*(PARAM!$D$51/12)*RATES!$N931/100</f>
        <v>1190.0416666666667</v>
      </c>
      <c r="BF955" s="16">
        <f t="shared" si="641"/>
        <v>-303477.63579832495</v>
      </c>
      <c r="BG955" s="15">
        <f t="shared" si="616"/>
        <v>22.170849845882874</v>
      </c>
      <c r="BH955" s="75">
        <f>BG955*(1-PARAM!$C$27)*$I$17+(MOD($B955,60)=PARAM!$B$56)*($B955&gt;(60-PARAM!$B$56))*HLOOKUP(($B955+PARAM!$B$56)/12,Loyalty,2)*$F$1*MAX(BJ954,0)</f>
        <v>18.557001321003963</v>
      </c>
      <c r="BI955" s="75">
        <f>PARAM!$C$26+MAX($G$17-CHOOSE(PARAM!$B$44,MAX(0,BJ954*$F$1),0),0)*RATES!$L931/12+$H$17*(PARAM!$D$51/12)*RATES!$N931/100</f>
        <v>1190.0416666666667</v>
      </c>
      <c r="BJ955" s="16">
        <f t="shared" si="642"/>
        <v>-303477.63579832495</v>
      </c>
      <c r="BK955" s="15">
        <f t="shared" si="617"/>
        <v>22.170849845882874</v>
      </c>
      <c r="BL955" s="75">
        <f>BK955*(1-PARAM!$C$27)*$I$18+(MOD($B955,60)=PARAM!$B$56)*($B955&gt;(60-PARAM!$B$56))*HLOOKUP(($B955+PARAM!$B$56)/12,Loyalty,2)*$F$1*MAX(BN954,0)</f>
        <v>18.557001321003963</v>
      </c>
      <c r="BM955" s="75">
        <f>PARAM!$C$26+MAX($G$18-CHOOSE(PARAM!$B$44,MAX(0,BN954*$F$1),0),0)*RATES!$L931/12+$H$18*(PARAM!$D$51/12)*RATES!$N931/100</f>
        <v>1190.0416666666667</v>
      </c>
      <c r="BN955" s="16">
        <f t="shared" si="643"/>
        <v>-303477.63579832495</v>
      </c>
      <c r="BO955" s="15">
        <f t="shared" si="618"/>
        <v>22.170849845882874</v>
      </c>
      <c r="BP955" s="75">
        <f>BO955*(1-PARAM!$C$27)*$I$19+(MOD($B955,60)=PARAM!$B$56)*($B955&gt;(60-PARAM!$B$56))*HLOOKUP(($B955+PARAM!$B$56)/12,Loyalty,2)*$F$1*MAX(BR954,0)</f>
        <v>18.557001321003963</v>
      </c>
      <c r="BQ955" s="75">
        <f>PARAM!$C$26+MAX($G$19-CHOOSE(PARAM!$B$44,MAX(0,BR954*$F$1),0),0)*RATES!$L931/12+$H$19*(PARAM!$D$51/12)*RATES!$N931/100</f>
        <v>1190.0416666666667</v>
      </c>
      <c r="BR955" s="16">
        <f t="shared" si="644"/>
        <v>-303477.63579832495</v>
      </c>
      <c r="BS955" s="15">
        <f t="shared" si="619"/>
        <v>22.170849845882874</v>
      </c>
      <c r="BT955" s="75">
        <f>BS955*(1-PARAM!$C$27)*$I$20+(MOD($B955,60)=PARAM!$B$56)*($B955&gt;(60-PARAM!$B$56))*HLOOKUP(($B955+PARAM!$B$56)/12,Loyalty,2)*$F$1*MAX(BV954,0)</f>
        <v>18.557001321003963</v>
      </c>
      <c r="BU955" s="75">
        <f>PARAM!$C$26+MAX($G$20-CHOOSE(PARAM!$B$44,MAX(0,BV954*$F$1),0),0)*RATES!$L931/12+$H$20*(PARAM!$D$51/12)*RATES!$N931/100</f>
        <v>1190.0416666666667</v>
      </c>
      <c r="BV955" s="16">
        <f t="shared" si="645"/>
        <v>-303477.63579832495</v>
      </c>
      <c r="BW955" s="15">
        <f t="shared" si="620"/>
        <v>22.170849845882874</v>
      </c>
      <c r="BX955" s="75">
        <f>BW955*(1-PARAM!$C$27)*$I$21+(MOD($B955,60)=PARAM!$B$56)*($B955&gt;(60-PARAM!$B$56))*HLOOKUP(($B955+PARAM!$B$56)/12,Loyalty,2)*$F$1*MAX(BZ954,0)</f>
        <v>18.557001321003963</v>
      </c>
      <c r="BY955" s="75">
        <f>PARAM!$C$26+MAX($G$21-CHOOSE(PARAM!$B$44,MAX(0,BZ954*$F$1),0),0)*RATES!$L931/12+$H$21*(PARAM!$D$51/12)*RATES!$N931/100</f>
        <v>1190.0416666666667</v>
      </c>
      <c r="BZ955" s="16">
        <f t="shared" si="646"/>
        <v>-303477.63579832495</v>
      </c>
      <c r="CA955" s="15">
        <f t="shared" si="621"/>
        <v>22.170849845882874</v>
      </c>
      <c r="CB955" s="75">
        <f>CA955*(1-PARAM!$C$27)*$I$22+(MOD($B955,60)=PARAM!$B$56)*($B955&gt;(60-PARAM!$B$56))*HLOOKUP(($B955+PARAM!$B$56)/12,Loyalty,2)*$F$1*MAX(CD954,0)</f>
        <v>18.557001321003963</v>
      </c>
      <c r="CC955" s="75">
        <f>PARAM!$C$26+MAX($G$22-CHOOSE(PARAM!$B$44,MAX(0,CD954*$F$1),0),0)*RATES!$L931/12+$H$22*(PARAM!$D$51/12)*RATES!$N931/100</f>
        <v>1190.0416666666667</v>
      </c>
      <c r="CD955" s="16">
        <f t="shared" si="647"/>
        <v>-303477.63579832495</v>
      </c>
      <c r="CE955" s="33">
        <f>IF(0=MOD(B955,12/PARAM!$D$51),1,0)</f>
        <v>1</v>
      </c>
      <c r="CF955" s="15">
        <f t="shared" si="622"/>
        <v>0</v>
      </c>
      <c r="CG955" s="75">
        <f>CF955*(1-PARAM!$C$27)*$R$3+(MOD($B955/12,5)=0)*($B955&gt;60)*HLOOKUP($B955/12,Loyalty,2)*$F$1*MAX(CI954,0)</f>
        <v>0</v>
      </c>
      <c r="CH955" s="75">
        <f>PARAM!$C$26+MAX($P$3-CHOOSE(PARAM!$B$44,MAX(0,CI954*$F$1),0),0)*RATES!$L931/12+$Q$3*(PARAM!$D$51/12)*RATES!$N931/100</f>
        <v>1190.0416666666667</v>
      </c>
      <c r="CI955" s="16">
        <f>IF(CI954&gt;0,CI954*PARAM!$C$53,CI954)+CG955-CH955</f>
        <v>-320578.9583333339</v>
      </c>
      <c r="CJ955" s="15">
        <f t="shared" si="648"/>
        <v>0</v>
      </c>
      <c r="CK955" s="75">
        <f>CJ955*(1-PARAM!$C$27)*$R$4+(MOD($B955/12,5)=0)*($B955&gt;60)*HLOOKUP($B955/12,Loyalty,2)*$F$1*MAX(CM954,0)</f>
        <v>0</v>
      </c>
      <c r="CL955" s="75">
        <f>PARAM!$C$26+MAX($P$4-CHOOSE(PARAM!$B$44,MAX(0,CM954*$F$1),0),0)*RATES!$L931/12+$Q$4*(PARAM!$D$51/12)*RATES!$N931/100</f>
        <v>1190.0416666666667</v>
      </c>
      <c r="CM955" s="16">
        <f>IF(CM954&gt;0,CM954*PARAM!$C$53,CM954)+CK955-CL955</f>
        <v>-320578.9583333339</v>
      </c>
      <c r="CO955" s="176"/>
    </row>
    <row r="956" spans="1:93" x14ac:dyDescent="0.2">
      <c r="A956" t="b">
        <f t="shared" si="623"/>
        <v>0</v>
      </c>
      <c r="B956" s="33">
        <v>929</v>
      </c>
      <c r="C956" s="15">
        <f t="shared" si="624"/>
        <v>20.081305947392778</v>
      </c>
      <c r="D956" s="75">
        <f>C956*(1-PARAM!$C$27)*$I$3+(MOD($B956,60)=PARAM!$B$56)*($B956&gt;(60-PARAM!$B$56))*HLOOKUP(($B956+PARAM!$B$56)/12,Loyalty,2)*$F$1*MAX(F955,0)</f>
        <v>16.808053077967756</v>
      </c>
      <c r="E956" s="75">
        <f>PARAM!$C$26+MAX($G$3-CHOOSE(PARAM!$B$44,MAX(0,F955*$F$1),0),0)*RATES!$L932/12+$H$3*(PARAM!$D$51/12)*RATES!$N932/100</f>
        <v>1190.0416666666667</v>
      </c>
      <c r="F956" s="16">
        <f t="shared" si="625"/>
        <v>-306310.74388197344</v>
      </c>
      <c r="G956" s="15">
        <f t="shared" si="626"/>
        <v>22.035289406060361</v>
      </c>
      <c r="H956" s="75">
        <f>G956*(1-PARAM!$C$27)*$I$4+(MOD($B956,60)=PARAM!$B$56)*($B956&gt;(60-PARAM!$B$56))*HLOOKUP(($B956+PARAM!$B$56)/12,Loyalty,2)*$F$1*MAX(J955,0)</f>
        <v>18.443537232872522</v>
      </c>
      <c r="I956" s="75">
        <f>PARAM!$C$26+MAX($G$4-CHOOSE(PARAM!$B$44,MAX(0,J955*$F$1),0),0)*RATES!$L932/12+$H$4*(PARAM!$D$51/12)*RATES!$N932/100</f>
        <v>1190.0416666666667</v>
      </c>
      <c r="J956" s="16">
        <f t="shared" si="627"/>
        <v>-304757.54613794311</v>
      </c>
      <c r="K956" s="15">
        <f t="shared" si="628"/>
        <v>22.170849845882874</v>
      </c>
      <c r="L956" s="75">
        <f>K956*(1-PARAM!$C$27)*$I$5+(MOD($B956,60)=PARAM!$B$56)*($B956&gt;(60-PARAM!$B$56))*HLOOKUP(($B956+PARAM!$B$56)/12,Loyalty,2)*$F$1*MAX(N955,0)</f>
        <v>18.557001321003963</v>
      </c>
      <c r="M956" s="75">
        <f>PARAM!$C$26+MAX($G$5-CHOOSE(PARAM!$B$44,MAX(0,N955*$F$1),0),0)*RATES!$L932/12+$H$5*(PARAM!$D$51/12)*RATES!$N932/100</f>
        <v>1190.0416666666667</v>
      </c>
      <c r="N956" s="16">
        <f t="shared" si="629"/>
        <v>-304649.12046367064</v>
      </c>
      <c r="O956" s="15">
        <f t="shared" si="630"/>
        <v>22.170849845882874</v>
      </c>
      <c r="P956" s="75">
        <f>O956*(1-PARAM!$C$27)*$I$6+(MOD($B956,60)=PARAM!$B$56)*($B956&gt;(60-PARAM!$B$56))*HLOOKUP(($B956+PARAM!$B$56)/12,Loyalty,2)*$F$1*MAX(R955,0)</f>
        <v>18.557001321003963</v>
      </c>
      <c r="Q956" s="75">
        <f>PARAM!$C$26+MAX($G$6-CHOOSE(PARAM!$B$44,MAX(0,R955*$F$1),0),0)*RATES!$L932/12+$H$6*(PARAM!$D$51/12)*RATES!$N932/100</f>
        <v>1190.0416666666667</v>
      </c>
      <c r="R956" s="16">
        <f t="shared" si="631"/>
        <v>-304649.12046367064</v>
      </c>
      <c r="S956" s="15">
        <f t="shared" si="606"/>
        <v>22.170849845882874</v>
      </c>
      <c r="T956" s="75">
        <f>S956*(1-PARAM!$C$27)*$I$7+(MOD($B956,60)=PARAM!$B$56)*($B956&gt;(60-PARAM!$B$56))*HLOOKUP(($B956+PARAM!$B$56)/12,Loyalty,2)*$F$1*MAX(V955,0)</f>
        <v>18.557001321003963</v>
      </c>
      <c r="U956" s="75">
        <f>PARAM!$C$26+MAX($G$7-CHOOSE(PARAM!$B$44,MAX(0,V955*$F$1),0),0)*RATES!$L932/12+$H$7*(PARAM!$D$51/12)*RATES!$N932/100</f>
        <v>1190.0416666666667</v>
      </c>
      <c r="V956" s="16">
        <f t="shared" si="632"/>
        <v>-304649.12046367064</v>
      </c>
      <c r="W956" s="15">
        <f t="shared" si="607"/>
        <v>22.170849845882874</v>
      </c>
      <c r="X956" s="75">
        <f>W956*(1-PARAM!$C$27)*$I$8+(MOD($B956,60)=PARAM!$B$56)*($B956&gt;(60-PARAM!$B$56))*HLOOKUP(($B956+PARAM!$B$56)/12,Loyalty,2)*$F$1*MAX(Z955,0)</f>
        <v>18.557001321003963</v>
      </c>
      <c r="Y956" s="75">
        <f>PARAM!$C$26+MAX($G$8-CHOOSE(PARAM!$B$44,MAX(0,Z955*$F$1),0),0)*RATES!$L932/12+$H$8*(PARAM!$D$51/12)*RATES!$N932/100</f>
        <v>1190.0416666666667</v>
      </c>
      <c r="Z956" s="16">
        <f t="shared" si="633"/>
        <v>-304649.12046367064</v>
      </c>
      <c r="AA956" s="15">
        <f t="shared" si="608"/>
        <v>22.170849845882874</v>
      </c>
      <c r="AB956" s="75">
        <f>AA956*(1-PARAM!$C$27)*$I$9+(MOD($B956,60)=PARAM!$B$56)*($B956&gt;(60-PARAM!$B$56))*HLOOKUP(($B956+PARAM!$B$56)/12,Loyalty,2)*$F$1*MAX(AD955,0)</f>
        <v>18.557001321003963</v>
      </c>
      <c r="AC956" s="75">
        <f>PARAM!$C$26+MAX($G$9-CHOOSE(PARAM!$B$44,MAX(0,AD955*$F$1),0),0)*RATES!$L932/12+$H$9*(PARAM!$D$51/12)*RATES!$N932/100</f>
        <v>1190.0416666666667</v>
      </c>
      <c r="AD956" s="16">
        <f t="shared" si="634"/>
        <v>-304649.12046367064</v>
      </c>
      <c r="AE956" s="15">
        <f t="shared" si="609"/>
        <v>22.170849845882874</v>
      </c>
      <c r="AF956" s="75">
        <f>AE956*(1-PARAM!$C$27)*$I$10+(MOD($B956,60)=PARAM!$B$56)*($B956&gt;(60-PARAM!$B$56))*HLOOKUP(($B956+PARAM!$B$56)/12,Loyalty,2)*$F$1*MAX(AH955,0)</f>
        <v>18.557001321003963</v>
      </c>
      <c r="AG956" s="75">
        <f>PARAM!$C$26+MAX($G$10-CHOOSE(PARAM!$B$44,MAX(0,AH955*$F$1),0),0)*RATES!$L932/12+$H$10*(PARAM!$D$51/12)*RATES!$N932/100</f>
        <v>1190.0416666666667</v>
      </c>
      <c r="AH956" s="16">
        <f t="shared" si="635"/>
        <v>-304649.12046367064</v>
      </c>
      <c r="AI956" s="15">
        <f t="shared" si="610"/>
        <v>22.170849845882874</v>
      </c>
      <c r="AJ956" s="75">
        <f>AI956*(1-PARAM!$C$27)*$I$11+(MOD($B956,60)=PARAM!$B$56)*($B956&gt;(60-PARAM!$B$56))*HLOOKUP(($B956+PARAM!$B$56)/12,Loyalty,2)*$F$1*MAX(AL955,0)</f>
        <v>18.557001321003963</v>
      </c>
      <c r="AK956" s="75">
        <f>PARAM!$C$26+MAX($G$11-CHOOSE(PARAM!$B$44,MAX(0,AL955*$F$1),0),0)*RATES!$L932/12+$H$11*(PARAM!$D$51/12)*RATES!$N932/100</f>
        <v>1190.0416666666667</v>
      </c>
      <c r="AL956" s="16">
        <f t="shared" si="636"/>
        <v>-304649.12046367064</v>
      </c>
      <c r="AM956" s="15">
        <f t="shared" si="611"/>
        <v>22.170849845882874</v>
      </c>
      <c r="AN956" s="75">
        <f>AM956*(1-PARAM!$C$27)*$I$12+(MOD($B956,60)=PARAM!$B$56)*($B956&gt;(60-PARAM!$B$56))*HLOOKUP(($B956+PARAM!$B$56)/12,Loyalty,2)*$F$1*MAX(AP955,0)</f>
        <v>18.557001321003963</v>
      </c>
      <c r="AO956" s="75">
        <f>PARAM!$C$26+MAX($G$12-CHOOSE(PARAM!$B$44,MAX(0,AP955*$F$1),0),0)*RATES!$L932/12+$H$12*(PARAM!$D$51/12)*RATES!$N932/100</f>
        <v>1190.0416666666667</v>
      </c>
      <c r="AP956" s="16">
        <f t="shared" si="637"/>
        <v>-304649.12046367064</v>
      </c>
      <c r="AQ956" s="15">
        <f t="shared" si="612"/>
        <v>22.170849845882874</v>
      </c>
      <c r="AR956" s="75">
        <f>AQ956*(1-PARAM!$C$27)*$I$13+(MOD($B956,60)=PARAM!$B$56)*($B956&gt;(60-PARAM!$B$56))*HLOOKUP(($B956+PARAM!$B$56)/12,Loyalty,2)*$F$1*MAX(AT955,0)</f>
        <v>18.557001321003963</v>
      </c>
      <c r="AS956" s="75">
        <f>PARAM!$C$26+MAX($G$13-CHOOSE(PARAM!$B$44,MAX(0,AT955*$F$1),0),0)*RATES!$L932/12+$H$13*(PARAM!$D$51/12)*RATES!$N932/100</f>
        <v>1190.0416666666667</v>
      </c>
      <c r="AT956" s="16">
        <f t="shared" si="638"/>
        <v>-304649.12046367064</v>
      </c>
      <c r="AU956" s="15">
        <f t="shared" si="613"/>
        <v>22.170849845882874</v>
      </c>
      <c r="AV956" s="75">
        <f>AU956*(1-PARAM!$C$27)*$I$14+(MOD($B956,60)=PARAM!$B$56)*($B956&gt;(60-PARAM!$B$56))*HLOOKUP(($B956+PARAM!$B$56)/12,Loyalty,2)*$F$1*MAX(AX955,0)</f>
        <v>18.557001321003963</v>
      </c>
      <c r="AW956" s="75">
        <f>PARAM!$C$26+MAX($G$14-CHOOSE(PARAM!$B$44,MAX(0,AX955*$F$1),0),0)*RATES!$L932/12+$H$14*(PARAM!$D$51/12)*RATES!$N932/100</f>
        <v>1190.0416666666667</v>
      </c>
      <c r="AX956" s="16">
        <f t="shared" si="639"/>
        <v>-304649.12046367064</v>
      </c>
      <c r="AY956" s="15">
        <f t="shared" si="614"/>
        <v>22.170849845882874</v>
      </c>
      <c r="AZ956" s="75">
        <f>AY956*(1-PARAM!$C$27)*$I$15+(MOD($B956,60)=PARAM!$B$56)*($B956&gt;(60-PARAM!$B$56))*HLOOKUP(($B956+PARAM!$B$56)/12,Loyalty,2)*$F$1*MAX(BB955,0)</f>
        <v>18.557001321003963</v>
      </c>
      <c r="BA956" s="75">
        <f>PARAM!$C$26+MAX($G$15-CHOOSE(PARAM!$B$44,MAX(0,BB955*$F$1),0),0)*RATES!$L932/12+$H$15*(PARAM!$D$51/12)*RATES!$N932/100</f>
        <v>1190.0416666666667</v>
      </c>
      <c r="BB956" s="16">
        <f t="shared" si="640"/>
        <v>-304649.12046367064</v>
      </c>
      <c r="BC956" s="15">
        <f t="shared" si="615"/>
        <v>22.170849845882874</v>
      </c>
      <c r="BD956" s="75">
        <f>BC956*(1-PARAM!$C$27)*$I$16+(MOD($B956,60)=PARAM!$B$56)*($B956&gt;(60-PARAM!$B$56))*HLOOKUP(($B956+PARAM!$B$56)/12,Loyalty,2)*$F$1*MAX(BF955,0)</f>
        <v>18.557001321003963</v>
      </c>
      <c r="BE956" s="75">
        <f>PARAM!$C$26+MAX($G$16-CHOOSE(PARAM!$B$44,MAX(0,BF955*$F$1),0),0)*RATES!$L932/12+$H$16*(PARAM!$D$51/12)*RATES!$N932/100</f>
        <v>1190.0416666666667</v>
      </c>
      <c r="BF956" s="16">
        <f t="shared" si="641"/>
        <v>-304649.12046367064</v>
      </c>
      <c r="BG956" s="15">
        <f t="shared" si="616"/>
        <v>22.170849845882874</v>
      </c>
      <c r="BH956" s="75">
        <f>BG956*(1-PARAM!$C$27)*$I$17+(MOD($B956,60)=PARAM!$B$56)*($B956&gt;(60-PARAM!$B$56))*HLOOKUP(($B956+PARAM!$B$56)/12,Loyalty,2)*$F$1*MAX(BJ955,0)</f>
        <v>18.557001321003963</v>
      </c>
      <c r="BI956" s="75">
        <f>PARAM!$C$26+MAX($G$17-CHOOSE(PARAM!$B$44,MAX(0,BJ955*$F$1),0),0)*RATES!$L932/12+$H$17*(PARAM!$D$51/12)*RATES!$N932/100</f>
        <v>1190.0416666666667</v>
      </c>
      <c r="BJ956" s="16">
        <f t="shared" si="642"/>
        <v>-304649.12046367064</v>
      </c>
      <c r="BK956" s="15">
        <f t="shared" si="617"/>
        <v>22.170849845882874</v>
      </c>
      <c r="BL956" s="75">
        <f>BK956*(1-PARAM!$C$27)*$I$18+(MOD($B956,60)=PARAM!$B$56)*($B956&gt;(60-PARAM!$B$56))*HLOOKUP(($B956+PARAM!$B$56)/12,Loyalty,2)*$F$1*MAX(BN955,0)</f>
        <v>18.557001321003963</v>
      </c>
      <c r="BM956" s="75">
        <f>PARAM!$C$26+MAX($G$18-CHOOSE(PARAM!$B$44,MAX(0,BN955*$F$1),0),0)*RATES!$L932/12+$H$18*(PARAM!$D$51/12)*RATES!$N932/100</f>
        <v>1190.0416666666667</v>
      </c>
      <c r="BN956" s="16">
        <f t="shared" si="643"/>
        <v>-304649.12046367064</v>
      </c>
      <c r="BO956" s="15">
        <f t="shared" si="618"/>
        <v>22.170849845882874</v>
      </c>
      <c r="BP956" s="75">
        <f>BO956*(1-PARAM!$C$27)*$I$19+(MOD($B956,60)=PARAM!$B$56)*($B956&gt;(60-PARAM!$B$56))*HLOOKUP(($B956+PARAM!$B$56)/12,Loyalty,2)*$F$1*MAX(BR955,0)</f>
        <v>18.557001321003963</v>
      </c>
      <c r="BQ956" s="75">
        <f>PARAM!$C$26+MAX($G$19-CHOOSE(PARAM!$B$44,MAX(0,BR955*$F$1),0),0)*RATES!$L932/12+$H$19*(PARAM!$D$51/12)*RATES!$N932/100</f>
        <v>1190.0416666666667</v>
      </c>
      <c r="BR956" s="16">
        <f t="shared" si="644"/>
        <v>-304649.12046367064</v>
      </c>
      <c r="BS956" s="15">
        <f t="shared" si="619"/>
        <v>22.170849845882874</v>
      </c>
      <c r="BT956" s="75">
        <f>BS956*(1-PARAM!$C$27)*$I$20+(MOD($B956,60)=PARAM!$B$56)*($B956&gt;(60-PARAM!$B$56))*HLOOKUP(($B956+PARAM!$B$56)/12,Loyalty,2)*$F$1*MAX(BV955,0)</f>
        <v>18.557001321003963</v>
      </c>
      <c r="BU956" s="75">
        <f>PARAM!$C$26+MAX($G$20-CHOOSE(PARAM!$B$44,MAX(0,BV955*$F$1),0),0)*RATES!$L932/12+$H$20*(PARAM!$D$51/12)*RATES!$N932/100</f>
        <v>1190.0416666666667</v>
      </c>
      <c r="BV956" s="16">
        <f t="shared" si="645"/>
        <v>-304649.12046367064</v>
      </c>
      <c r="BW956" s="15">
        <f t="shared" si="620"/>
        <v>22.170849845882874</v>
      </c>
      <c r="BX956" s="75">
        <f>BW956*(1-PARAM!$C$27)*$I$21+(MOD($B956,60)=PARAM!$B$56)*($B956&gt;(60-PARAM!$B$56))*HLOOKUP(($B956+PARAM!$B$56)/12,Loyalty,2)*$F$1*MAX(BZ955,0)</f>
        <v>18.557001321003963</v>
      </c>
      <c r="BY956" s="75">
        <f>PARAM!$C$26+MAX($G$21-CHOOSE(PARAM!$B$44,MAX(0,BZ955*$F$1),0),0)*RATES!$L932/12+$H$21*(PARAM!$D$51/12)*RATES!$N932/100</f>
        <v>1190.0416666666667</v>
      </c>
      <c r="BZ956" s="16">
        <f t="shared" si="646"/>
        <v>-304649.12046367064</v>
      </c>
      <c r="CA956" s="15">
        <f t="shared" si="621"/>
        <v>22.170849845882874</v>
      </c>
      <c r="CB956" s="75">
        <f>CA956*(1-PARAM!$C$27)*$I$22+(MOD($B956,60)=PARAM!$B$56)*($B956&gt;(60-PARAM!$B$56))*HLOOKUP(($B956+PARAM!$B$56)/12,Loyalty,2)*$F$1*MAX(CD955,0)</f>
        <v>18.557001321003963</v>
      </c>
      <c r="CC956" s="75">
        <f>PARAM!$C$26+MAX($G$22-CHOOSE(PARAM!$B$44,MAX(0,CD955*$F$1),0),0)*RATES!$L932/12+$H$22*(PARAM!$D$51/12)*RATES!$N932/100</f>
        <v>1190.0416666666667</v>
      </c>
      <c r="CD956" s="16">
        <f t="shared" si="647"/>
        <v>-304649.12046367064</v>
      </c>
      <c r="CE956" s="33">
        <f>IF(0=MOD(B956,12/PARAM!$D$51),1,0)</f>
        <v>1</v>
      </c>
      <c r="CF956" s="15">
        <f t="shared" si="622"/>
        <v>0</v>
      </c>
      <c r="CG956" s="75">
        <f>CF956*(1-PARAM!$C$27)*$R$3+(MOD($B956/12,5)=0)*($B956&gt;60)*HLOOKUP($B956/12,Loyalty,2)*$F$1*MAX(CI955,0)</f>
        <v>0</v>
      </c>
      <c r="CH956" s="75">
        <f>PARAM!$C$26+MAX($P$3-CHOOSE(PARAM!$B$44,MAX(0,CI955*$F$1),0),0)*RATES!$L932/12+$Q$3*(PARAM!$D$51/12)*RATES!$N932/100</f>
        <v>1190.0416666666667</v>
      </c>
      <c r="CI956" s="16">
        <f>IF(CI955&gt;0,CI955*PARAM!$C$53,CI955)+CG956-CH956</f>
        <v>-321769.00000000058</v>
      </c>
      <c r="CJ956" s="15">
        <f t="shared" si="648"/>
        <v>0</v>
      </c>
      <c r="CK956" s="75">
        <f>CJ956*(1-PARAM!$C$27)*$R$4+(MOD($B956/12,5)=0)*($B956&gt;60)*HLOOKUP($B956/12,Loyalty,2)*$F$1*MAX(CM955,0)</f>
        <v>0</v>
      </c>
      <c r="CL956" s="75">
        <f>PARAM!$C$26+MAX($P$4-CHOOSE(PARAM!$B$44,MAX(0,CM955*$F$1),0),0)*RATES!$L932/12+$Q$4*(PARAM!$D$51/12)*RATES!$N932/100</f>
        <v>1190.0416666666667</v>
      </c>
      <c r="CM956" s="16">
        <f>IF(CM955&gt;0,CM955*PARAM!$C$53,CM955)+CK956-CL956</f>
        <v>-321769.00000000058</v>
      </c>
      <c r="CO956" s="176"/>
    </row>
    <row r="957" spans="1:93" x14ac:dyDescent="0.2">
      <c r="A957" t="b">
        <f t="shared" si="623"/>
        <v>0</v>
      </c>
      <c r="B957" s="33">
        <v>930</v>
      </c>
      <c r="C957" s="15">
        <f t="shared" si="624"/>
        <v>20.081305947392778</v>
      </c>
      <c r="D957" s="75">
        <f>C957*(1-PARAM!$C$27)*$I$3+(MOD($B957,60)=PARAM!$B$56)*($B957&gt;(60-PARAM!$B$56))*HLOOKUP(($B957+PARAM!$B$56)/12,Loyalty,2)*$F$1*MAX(F956,0)</f>
        <v>16.808053077967756</v>
      </c>
      <c r="E957" s="75">
        <f>PARAM!$C$26+MAX($G$3-CHOOSE(PARAM!$B$44,MAX(0,F956*$F$1),0),0)*RATES!$L933/12+$H$3*(PARAM!$D$51/12)*RATES!$N933/100</f>
        <v>1190.0416666666667</v>
      </c>
      <c r="F957" s="16">
        <f t="shared" si="625"/>
        <v>-307483.97749556217</v>
      </c>
      <c r="G957" s="15">
        <f t="shared" si="626"/>
        <v>22.035289406060361</v>
      </c>
      <c r="H957" s="75">
        <f>G957*(1-PARAM!$C$27)*$I$4+(MOD($B957,60)=PARAM!$B$56)*($B957&gt;(60-PARAM!$B$56))*HLOOKUP(($B957+PARAM!$B$56)/12,Loyalty,2)*$F$1*MAX(J956,0)</f>
        <v>18.443537232872522</v>
      </c>
      <c r="I957" s="75">
        <f>PARAM!$C$26+MAX($G$4-CHOOSE(PARAM!$B$44,MAX(0,J956*$F$1),0),0)*RATES!$L933/12+$H$4*(PARAM!$D$51/12)*RATES!$N933/100</f>
        <v>1190.0416666666667</v>
      </c>
      <c r="J957" s="16">
        <f t="shared" si="627"/>
        <v>-305929.14426737692</v>
      </c>
      <c r="K957" s="15">
        <f t="shared" si="628"/>
        <v>22.170849845882874</v>
      </c>
      <c r="L957" s="75">
        <f>K957*(1-PARAM!$C$27)*$I$5+(MOD($B957,60)=PARAM!$B$56)*($B957&gt;(60-PARAM!$B$56))*HLOOKUP(($B957+PARAM!$B$56)/12,Loyalty,2)*$F$1*MAX(N956,0)</f>
        <v>18.557001321003963</v>
      </c>
      <c r="M957" s="75">
        <f>PARAM!$C$26+MAX($G$5-CHOOSE(PARAM!$B$44,MAX(0,N956*$F$1),0),0)*RATES!$L933/12+$H$5*(PARAM!$D$51/12)*RATES!$N933/100</f>
        <v>1190.0416666666667</v>
      </c>
      <c r="N957" s="16">
        <f t="shared" si="629"/>
        <v>-305820.60512901633</v>
      </c>
      <c r="O957" s="15">
        <f t="shared" si="630"/>
        <v>22.170849845882874</v>
      </c>
      <c r="P957" s="75">
        <f>O957*(1-PARAM!$C$27)*$I$6+(MOD($B957,60)=PARAM!$B$56)*($B957&gt;(60-PARAM!$B$56))*HLOOKUP(($B957+PARAM!$B$56)/12,Loyalty,2)*$F$1*MAX(R956,0)</f>
        <v>18.557001321003963</v>
      </c>
      <c r="Q957" s="75">
        <f>PARAM!$C$26+MAX($G$6-CHOOSE(PARAM!$B$44,MAX(0,R956*$F$1),0),0)*RATES!$L933/12+$H$6*(PARAM!$D$51/12)*RATES!$N933/100</f>
        <v>1190.0416666666667</v>
      </c>
      <c r="R957" s="16">
        <f t="shared" si="631"/>
        <v>-305820.60512901633</v>
      </c>
      <c r="S957" s="15">
        <f t="shared" si="606"/>
        <v>22.170849845882874</v>
      </c>
      <c r="T957" s="75">
        <f>S957*(1-PARAM!$C$27)*$I$7+(MOD($B957,60)=PARAM!$B$56)*($B957&gt;(60-PARAM!$B$56))*HLOOKUP(($B957+PARAM!$B$56)/12,Loyalty,2)*$F$1*MAX(V956,0)</f>
        <v>18.557001321003963</v>
      </c>
      <c r="U957" s="75">
        <f>PARAM!$C$26+MAX($G$7-CHOOSE(PARAM!$B$44,MAX(0,V956*$F$1),0),0)*RATES!$L933/12+$H$7*(PARAM!$D$51/12)*RATES!$N933/100</f>
        <v>1190.0416666666667</v>
      </c>
      <c r="V957" s="16">
        <f t="shared" si="632"/>
        <v>-305820.60512901633</v>
      </c>
      <c r="W957" s="15">
        <f t="shared" si="607"/>
        <v>22.170849845882874</v>
      </c>
      <c r="X957" s="75">
        <f>W957*(1-PARAM!$C$27)*$I$8+(MOD($B957,60)=PARAM!$B$56)*($B957&gt;(60-PARAM!$B$56))*HLOOKUP(($B957+PARAM!$B$56)/12,Loyalty,2)*$F$1*MAX(Z956,0)</f>
        <v>18.557001321003963</v>
      </c>
      <c r="Y957" s="75">
        <f>PARAM!$C$26+MAX($G$8-CHOOSE(PARAM!$B$44,MAX(0,Z956*$F$1),0),0)*RATES!$L933/12+$H$8*(PARAM!$D$51/12)*RATES!$N933/100</f>
        <v>1190.0416666666667</v>
      </c>
      <c r="Z957" s="16">
        <f t="shared" si="633"/>
        <v>-305820.60512901633</v>
      </c>
      <c r="AA957" s="15">
        <f t="shared" si="608"/>
        <v>22.170849845882874</v>
      </c>
      <c r="AB957" s="75">
        <f>AA957*(1-PARAM!$C$27)*$I$9+(MOD($B957,60)=PARAM!$B$56)*($B957&gt;(60-PARAM!$B$56))*HLOOKUP(($B957+PARAM!$B$56)/12,Loyalty,2)*$F$1*MAX(AD956,0)</f>
        <v>18.557001321003963</v>
      </c>
      <c r="AC957" s="75">
        <f>PARAM!$C$26+MAX($G$9-CHOOSE(PARAM!$B$44,MAX(0,AD956*$F$1),0),0)*RATES!$L933/12+$H$9*(PARAM!$D$51/12)*RATES!$N933/100</f>
        <v>1190.0416666666667</v>
      </c>
      <c r="AD957" s="16">
        <f t="shared" si="634"/>
        <v>-305820.60512901633</v>
      </c>
      <c r="AE957" s="15">
        <f t="shared" si="609"/>
        <v>22.170849845882874</v>
      </c>
      <c r="AF957" s="75">
        <f>AE957*(1-PARAM!$C$27)*$I$10+(MOD($B957,60)=PARAM!$B$56)*($B957&gt;(60-PARAM!$B$56))*HLOOKUP(($B957+PARAM!$B$56)/12,Loyalty,2)*$F$1*MAX(AH956,0)</f>
        <v>18.557001321003963</v>
      </c>
      <c r="AG957" s="75">
        <f>PARAM!$C$26+MAX($G$10-CHOOSE(PARAM!$B$44,MAX(0,AH956*$F$1),0),0)*RATES!$L933/12+$H$10*(PARAM!$D$51/12)*RATES!$N933/100</f>
        <v>1190.0416666666667</v>
      </c>
      <c r="AH957" s="16">
        <f t="shared" si="635"/>
        <v>-305820.60512901633</v>
      </c>
      <c r="AI957" s="15">
        <f t="shared" si="610"/>
        <v>22.170849845882874</v>
      </c>
      <c r="AJ957" s="75">
        <f>AI957*(1-PARAM!$C$27)*$I$11+(MOD($B957,60)=PARAM!$B$56)*($B957&gt;(60-PARAM!$B$56))*HLOOKUP(($B957+PARAM!$B$56)/12,Loyalty,2)*$F$1*MAX(AL956,0)</f>
        <v>18.557001321003963</v>
      </c>
      <c r="AK957" s="75">
        <f>PARAM!$C$26+MAX($G$11-CHOOSE(PARAM!$B$44,MAX(0,AL956*$F$1),0),0)*RATES!$L933/12+$H$11*(PARAM!$D$51/12)*RATES!$N933/100</f>
        <v>1190.0416666666667</v>
      </c>
      <c r="AL957" s="16">
        <f t="shared" si="636"/>
        <v>-305820.60512901633</v>
      </c>
      <c r="AM957" s="15">
        <f t="shared" si="611"/>
        <v>22.170849845882874</v>
      </c>
      <c r="AN957" s="75">
        <f>AM957*(1-PARAM!$C$27)*$I$12+(MOD($B957,60)=PARAM!$B$56)*($B957&gt;(60-PARAM!$B$56))*HLOOKUP(($B957+PARAM!$B$56)/12,Loyalty,2)*$F$1*MAX(AP956,0)</f>
        <v>18.557001321003963</v>
      </c>
      <c r="AO957" s="75">
        <f>PARAM!$C$26+MAX($G$12-CHOOSE(PARAM!$B$44,MAX(0,AP956*$F$1),0),0)*RATES!$L933/12+$H$12*(PARAM!$D$51/12)*RATES!$N933/100</f>
        <v>1190.0416666666667</v>
      </c>
      <c r="AP957" s="16">
        <f t="shared" si="637"/>
        <v>-305820.60512901633</v>
      </c>
      <c r="AQ957" s="15">
        <f t="shared" si="612"/>
        <v>22.170849845882874</v>
      </c>
      <c r="AR957" s="75">
        <f>AQ957*(1-PARAM!$C$27)*$I$13+(MOD($B957,60)=PARAM!$B$56)*($B957&gt;(60-PARAM!$B$56))*HLOOKUP(($B957+PARAM!$B$56)/12,Loyalty,2)*$F$1*MAX(AT956,0)</f>
        <v>18.557001321003963</v>
      </c>
      <c r="AS957" s="75">
        <f>PARAM!$C$26+MAX($G$13-CHOOSE(PARAM!$B$44,MAX(0,AT956*$F$1),0),0)*RATES!$L933/12+$H$13*(PARAM!$D$51/12)*RATES!$N933/100</f>
        <v>1190.0416666666667</v>
      </c>
      <c r="AT957" s="16">
        <f t="shared" si="638"/>
        <v>-305820.60512901633</v>
      </c>
      <c r="AU957" s="15">
        <f t="shared" si="613"/>
        <v>22.170849845882874</v>
      </c>
      <c r="AV957" s="75">
        <f>AU957*(1-PARAM!$C$27)*$I$14+(MOD($B957,60)=PARAM!$B$56)*($B957&gt;(60-PARAM!$B$56))*HLOOKUP(($B957+PARAM!$B$56)/12,Loyalty,2)*$F$1*MAX(AX956,0)</f>
        <v>18.557001321003963</v>
      </c>
      <c r="AW957" s="75">
        <f>PARAM!$C$26+MAX($G$14-CHOOSE(PARAM!$B$44,MAX(0,AX956*$F$1),0),0)*RATES!$L933/12+$H$14*(PARAM!$D$51/12)*RATES!$N933/100</f>
        <v>1190.0416666666667</v>
      </c>
      <c r="AX957" s="16">
        <f t="shared" si="639"/>
        <v>-305820.60512901633</v>
      </c>
      <c r="AY957" s="15">
        <f t="shared" si="614"/>
        <v>22.170849845882874</v>
      </c>
      <c r="AZ957" s="75">
        <f>AY957*(1-PARAM!$C$27)*$I$15+(MOD($B957,60)=PARAM!$B$56)*($B957&gt;(60-PARAM!$B$56))*HLOOKUP(($B957+PARAM!$B$56)/12,Loyalty,2)*$F$1*MAX(BB956,0)</f>
        <v>18.557001321003963</v>
      </c>
      <c r="BA957" s="75">
        <f>PARAM!$C$26+MAX($G$15-CHOOSE(PARAM!$B$44,MAX(0,BB956*$F$1),0),0)*RATES!$L933/12+$H$15*(PARAM!$D$51/12)*RATES!$N933/100</f>
        <v>1190.0416666666667</v>
      </c>
      <c r="BB957" s="16">
        <f t="shared" si="640"/>
        <v>-305820.60512901633</v>
      </c>
      <c r="BC957" s="15">
        <f t="shared" si="615"/>
        <v>22.170849845882874</v>
      </c>
      <c r="BD957" s="75">
        <f>BC957*(1-PARAM!$C$27)*$I$16+(MOD($B957,60)=PARAM!$B$56)*($B957&gt;(60-PARAM!$B$56))*HLOOKUP(($B957+PARAM!$B$56)/12,Loyalty,2)*$F$1*MAX(BF956,0)</f>
        <v>18.557001321003963</v>
      </c>
      <c r="BE957" s="75">
        <f>PARAM!$C$26+MAX($G$16-CHOOSE(PARAM!$B$44,MAX(0,BF956*$F$1),0),0)*RATES!$L933/12+$H$16*(PARAM!$D$51/12)*RATES!$N933/100</f>
        <v>1190.0416666666667</v>
      </c>
      <c r="BF957" s="16">
        <f t="shared" si="641"/>
        <v>-305820.60512901633</v>
      </c>
      <c r="BG957" s="15">
        <f t="shared" si="616"/>
        <v>22.170849845882874</v>
      </c>
      <c r="BH957" s="75">
        <f>BG957*(1-PARAM!$C$27)*$I$17+(MOD($B957,60)=PARAM!$B$56)*($B957&gt;(60-PARAM!$B$56))*HLOOKUP(($B957+PARAM!$B$56)/12,Loyalty,2)*$F$1*MAX(BJ956,0)</f>
        <v>18.557001321003963</v>
      </c>
      <c r="BI957" s="75">
        <f>PARAM!$C$26+MAX($G$17-CHOOSE(PARAM!$B$44,MAX(0,BJ956*$F$1),0),0)*RATES!$L933/12+$H$17*(PARAM!$D$51/12)*RATES!$N933/100</f>
        <v>1190.0416666666667</v>
      </c>
      <c r="BJ957" s="16">
        <f t="shared" si="642"/>
        <v>-305820.60512901633</v>
      </c>
      <c r="BK957" s="15">
        <f t="shared" si="617"/>
        <v>22.170849845882874</v>
      </c>
      <c r="BL957" s="75">
        <f>BK957*(1-PARAM!$C$27)*$I$18+(MOD($B957,60)=PARAM!$B$56)*($B957&gt;(60-PARAM!$B$56))*HLOOKUP(($B957+PARAM!$B$56)/12,Loyalty,2)*$F$1*MAX(BN956,0)</f>
        <v>18.557001321003963</v>
      </c>
      <c r="BM957" s="75">
        <f>PARAM!$C$26+MAX($G$18-CHOOSE(PARAM!$B$44,MAX(0,BN956*$F$1),0),0)*RATES!$L933/12+$H$18*(PARAM!$D$51/12)*RATES!$N933/100</f>
        <v>1190.0416666666667</v>
      </c>
      <c r="BN957" s="16">
        <f t="shared" si="643"/>
        <v>-305820.60512901633</v>
      </c>
      <c r="BO957" s="15">
        <f t="shared" si="618"/>
        <v>22.170849845882874</v>
      </c>
      <c r="BP957" s="75">
        <f>BO957*(1-PARAM!$C$27)*$I$19+(MOD($B957,60)=PARAM!$B$56)*($B957&gt;(60-PARAM!$B$56))*HLOOKUP(($B957+PARAM!$B$56)/12,Loyalty,2)*$F$1*MAX(BR956,0)</f>
        <v>18.557001321003963</v>
      </c>
      <c r="BQ957" s="75">
        <f>PARAM!$C$26+MAX($G$19-CHOOSE(PARAM!$B$44,MAX(0,BR956*$F$1),0),0)*RATES!$L933/12+$H$19*(PARAM!$D$51/12)*RATES!$N933/100</f>
        <v>1190.0416666666667</v>
      </c>
      <c r="BR957" s="16">
        <f t="shared" si="644"/>
        <v>-305820.60512901633</v>
      </c>
      <c r="BS957" s="15">
        <f t="shared" si="619"/>
        <v>22.170849845882874</v>
      </c>
      <c r="BT957" s="75">
        <f>BS957*(1-PARAM!$C$27)*$I$20+(MOD($B957,60)=PARAM!$B$56)*($B957&gt;(60-PARAM!$B$56))*HLOOKUP(($B957+PARAM!$B$56)/12,Loyalty,2)*$F$1*MAX(BV956,0)</f>
        <v>18.557001321003963</v>
      </c>
      <c r="BU957" s="75">
        <f>PARAM!$C$26+MAX($G$20-CHOOSE(PARAM!$B$44,MAX(0,BV956*$F$1),0),0)*RATES!$L933/12+$H$20*(PARAM!$D$51/12)*RATES!$N933/100</f>
        <v>1190.0416666666667</v>
      </c>
      <c r="BV957" s="16">
        <f t="shared" si="645"/>
        <v>-305820.60512901633</v>
      </c>
      <c r="BW957" s="15">
        <f t="shared" si="620"/>
        <v>22.170849845882874</v>
      </c>
      <c r="BX957" s="75">
        <f>BW957*(1-PARAM!$C$27)*$I$21+(MOD($B957,60)=PARAM!$B$56)*($B957&gt;(60-PARAM!$B$56))*HLOOKUP(($B957+PARAM!$B$56)/12,Loyalty,2)*$F$1*MAX(BZ956,0)</f>
        <v>18.557001321003963</v>
      </c>
      <c r="BY957" s="75">
        <f>PARAM!$C$26+MAX($G$21-CHOOSE(PARAM!$B$44,MAX(0,BZ956*$F$1),0),0)*RATES!$L933/12+$H$21*(PARAM!$D$51/12)*RATES!$N933/100</f>
        <v>1190.0416666666667</v>
      </c>
      <c r="BZ957" s="16">
        <f t="shared" si="646"/>
        <v>-305820.60512901633</v>
      </c>
      <c r="CA957" s="15">
        <f t="shared" si="621"/>
        <v>22.170849845882874</v>
      </c>
      <c r="CB957" s="75">
        <f>CA957*(1-PARAM!$C$27)*$I$22+(MOD($B957,60)=PARAM!$B$56)*($B957&gt;(60-PARAM!$B$56))*HLOOKUP(($B957+PARAM!$B$56)/12,Loyalty,2)*$F$1*MAX(CD956,0)</f>
        <v>18.557001321003963</v>
      </c>
      <c r="CC957" s="75">
        <f>PARAM!$C$26+MAX($G$22-CHOOSE(PARAM!$B$44,MAX(0,CD956*$F$1),0),0)*RATES!$L933/12+$H$22*(PARAM!$D$51/12)*RATES!$N933/100</f>
        <v>1190.0416666666667</v>
      </c>
      <c r="CD957" s="16">
        <f t="shared" si="647"/>
        <v>-305820.60512901633</v>
      </c>
      <c r="CE957" s="33">
        <f>IF(0=MOD(B957,12/PARAM!$D$51),1,0)</f>
        <v>1</v>
      </c>
      <c r="CF957" s="15">
        <f t="shared" si="622"/>
        <v>0</v>
      </c>
      <c r="CG957" s="75">
        <f>CF957*(1-PARAM!$C$27)*$R$3+(MOD($B957/12,5)=0)*($B957&gt;60)*HLOOKUP($B957/12,Loyalty,2)*$F$1*MAX(CI956,0)</f>
        <v>0</v>
      </c>
      <c r="CH957" s="75">
        <f>PARAM!$C$26+MAX($P$3-CHOOSE(PARAM!$B$44,MAX(0,CI956*$F$1),0),0)*RATES!$L933/12+$Q$3*(PARAM!$D$51/12)*RATES!$N933/100</f>
        <v>1190.0416666666667</v>
      </c>
      <c r="CI957" s="16">
        <f>IF(CI956&gt;0,CI956*PARAM!$C$53,CI956)+CG957-CH957</f>
        <v>-322959.04166666727</v>
      </c>
      <c r="CJ957" s="15">
        <f t="shared" si="648"/>
        <v>0</v>
      </c>
      <c r="CK957" s="75">
        <f>CJ957*(1-PARAM!$C$27)*$R$4+(MOD($B957/12,5)=0)*($B957&gt;60)*HLOOKUP($B957/12,Loyalty,2)*$F$1*MAX(CM956,0)</f>
        <v>0</v>
      </c>
      <c r="CL957" s="75">
        <f>PARAM!$C$26+MAX($P$4-CHOOSE(PARAM!$B$44,MAX(0,CM956*$F$1),0),0)*RATES!$L933/12+$Q$4*(PARAM!$D$51/12)*RATES!$N933/100</f>
        <v>1190.0416666666667</v>
      </c>
      <c r="CM957" s="16">
        <f>IF(CM956&gt;0,CM956*PARAM!$C$53,CM956)+CK957-CL957</f>
        <v>-322959.04166666727</v>
      </c>
      <c r="CO957" s="176"/>
    </row>
    <row r="958" spans="1:93" x14ac:dyDescent="0.2">
      <c r="A958" t="b">
        <f t="shared" si="623"/>
        <v>0</v>
      </c>
      <c r="B958" s="33">
        <v>931</v>
      </c>
      <c r="C958" s="15">
        <f t="shared" si="624"/>
        <v>20.081305947392778</v>
      </c>
      <c r="D958" s="75">
        <f>C958*(1-PARAM!$C$27)*$I$3+(MOD($B958,60)=PARAM!$B$56)*($B958&gt;(60-PARAM!$B$56))*HLOOKUP(($B958+PARAM!$B$56)/12,Loyalty,2)*$F$1*MAX(F957,0)</f>
        <v>16.808053077967756</v>
      </c>
      <c r="E958" s="75">
        <f>PARAM!$C$26+MAX($G$3-CHOOSE(PARAM!$B$44,MAX(0,F957*$F$1),0),0)*RATES!$L934/12+$H$3*(PARAM!$D$51/12)*RATES!$N934/100</f>
        <v>1190.0416666666667</v>
      </c>
      <c r="F958" s="16">
        <f t="shared" si="625"/>
        <v>-308657.2111091509</v>
      </c>
      <c r="G958" s="15">
        <f t="shared" si="626"/>
        <v>22.035289406060361</v>
      </c>
      <c r="H958" s="75">
        <f>G958*(1-PARAM!$C$27)*$I$4+(MOD($B958,60)=PARAM!$B$56)*($B958&gt;(60-PARAM!$B$56))*HLOOKUP(($B958+PARAM!$B$56)/12,Loyalty,2)*$F$1*MAX(J957,0)</f>
        <v>18.443537232872522</v>
      </c>
      <c r="I958" s="75">
        <f>PARAM!$C$26+MAX($G$4-CHOOSE(PARAM!$B$44,MAX(0,J957*$F$1),0),0)*RATES!$L934/12+$H$4*(PARAM!$D$51/12)*RATES!$N934/100</f>
        <v>1190.0416666666667</v>
      </c>
      <c r="J958" s="16">
        <f t="shared" si="627"/>
        <v>-307100.74239681073</v>
      </c>
      <c r="K958" s="15">
        <f t="shared" si="628"/>
        <v>22.170849845882874</v>
      </c>
      <c r="L958" s="75">
        <f>K958*(1-PARAM!$C$27)*$I$5+(MOD($B958,60)=PARAM!$B$56)*($B958&gt;(60-PARAM!$B$56))*HLOOKUP(($B958+PARAM!$B$56)/12,Loyalty,2)*$F$1*MAX(N957,0)</f>
        <v>18.557001321003963</v>
      </c>
      <c r="M958" s="75">
        <f>PARAM!$C$26+MAX($G$5-CHOOSE(PARAM!$B$44,MAX(0,N957*$F$1),0),0)*RATES!$L934/12+$H$5*(PARAM!$D$51/12)*RATES!$N934/100</f>
        <v>1190.0416666666667</v>
      </c>
      <c r="N958" s="16">
        <f t="shared" si="629"/>
        <v>-306992.08979436202</v>
      </c>
      <c r="O958" s="15">
        <f t="shared" si="630"/>
        <v>22.170849845882874</v>
      </c>
      <c r="P958" s="75">
        <f>O958*(1-PARAM!$C$27)*$I$6+(MOD($B958,60)=PARAM!$B$56)*($B958&gt;(60-PARAM!$B$56))*HLOOKUP(($B958+PARAM!$B$56)/12,Loyalty,2)*$F$1*MAX(R957,0)</f>
        <v>18.557001321003963</v>
      </c>
      <c r="Q958" s="75">
        <f>PARAM!$C$26+MAX($G$6-CHOOSE(PARAM!$B$44,MAX(0,R957*$F$1),0),0)*RATES!$L934/12+$H$6*(PARAM!$D$51/12)*RATES!$N934/100</f>
        <v>1190.0416666666667</v>
      </c>
      <c r="R958" s="16">
        <f t="shared" si="631"/>
        <v>-306992.08979436202</v>
      </c>
      <c r="S958" s="15">
        <f t="shared" si="606"/>
        <v>22.170849845882874</v>
      </c>
      <c r="T958" s="75">
        <f>S958*(1-PARAM!$C$27)*$I$7+(MOD($B958,60)=PARAM!$B$56)*($B958&gt;(60-PARAM!$B$56))*HLOOKUP(($B958+PARAM!$B$56)/12,Loyalty,2)*$F$1*MAX(V957,0)</f>
        <v>18.557001321003963</v>
      </c>
      <c r="U958" s="75">
        <f>PARAM!$C$26+MAX($G$7-CHOOSE(PARAM!$B$44,MAX(0,V957*$F$1),0),0)*RATES!$L934/12+$H$7*(PARAM!$D$51/12)*RATES!$N934/100</f>
        <v>1190.0416666666667</v>
      </c>
      <c r="V958" s="16">
        <f t="shared" si="632"/>
        <v>-306992.08979436202</v>
      </c>
      <c r="W958" s="15">
        <f t="shared" si="607"/>
        <v>22.170849845882874</v>
      </c>
      <c r="X958" s="75">
        <f>W958*(1-PARAM!$C$27)*$I$8+(MOD($B958,60)=PARAM!$B$56)*($B958&gt;(60-PARAM!$B$56))*HLOOKUP(($B958+PARAM!$B$56)/12,Loyalty,2)*$F$1*MAX(Z957,0)</f>
        <v>18.557001321003963</v>
      </c>
      <c r="Y958" s="75">
        <f>PARAM!$C$26+MAX($G$8-CHOOSE(PARAM!$B$44,MAX(0,Z957*$F$1),0),0)*RATES!$L934/12+$H$8*(PARAM!$D$51/12)*RATES!$N934/100</f>
        <v>1190.0416666666667</v>
      </c>
      <c r="Z958" s="16">
        <f t="shared" si="633"/>
        <v>-306992.08979436202</v>
      </c>
      <c r="AA958" s="15">
        <f t="shared" si="608"/>
        <v>22.170849845882874</v>
      </c>
      <c r="AB958" s="75">
        <f>AA958*(1-PARAM!$C$27)*$I$9+(MOD($B958,60)=PARAM!$B$56)*($B958&gt;(60-PARAM!$B$56))*HLOOKUP(($B958+PARAM!$B$56)/12,Loyalty,2)*$F$1*MAX(AD957,0)</f>
        <v>18.557001321003963</v>
      </c>
      <c r="AC958" s="75">
        <f>PARAM!$C$26+MAX($G$9-CHOOSE(PARAM!$B$44,MAX(0,AD957*$F$1),0),0)*RATES!$L934/12+$H$9*(PARAM!$D$51/12)*RATES!$N934/100</f>
        <v>1190.0416666666667</v>
      </c>
      <c r="AD958" s="16">
        <f t="shared" si="634"/>
        <v>-306992.08979436202</v>
      </c>
      <c r="AE958" s="15">
        <f t="shared" si="609"/>
        <v>22.170849845882874</v>
      </c>
      <c r="AF958" s="75">
        <f>AE958*(1-PARAM!$C$27)*$I$10+(MOD($B958,60)=PARAM!$B$56)*($B958&gt;(60-PARAM!$B$56))*HLOOKUP(($B958+PARAM!$B$56)/12,Loyalty,2)*$F$1*MAX(AH957,0)</f>
        <v>18.557001321003963</v>
      </c>
      <c r="AG958" s="75">
        <f>PARAM!$C$26+MAX($G$10-CHOOSE(PARAM!$B$44,MAX(0,AH957*$F$1),0),0)*RATES!$L934/12+$H$10*(PARAM!$D$51/12)*RATES!$N934/100</f>
        <v>1190.0416666666667</v>
      </c>
      <c r="AH958" s="16">
        <f t="shared" si="635"/>
        <v>-306992.08979436202</v>
      </c>
      <c r="AI958" s="15">
        <f t="shared" si="610"/>
        <v>22.170849845882874</v>
      </c>
      <c r="AJ958" s="75">
        <f>AI958*(1-PARAM!$C$27)*$I$11+(MOD($B958,60)=PARAM!$B$56)*($B958&gt;(60-PARAM!$B$56))*HLOOKUP(($B958+PARAM!$B$56)/12,Loyalty,2)*$F$1*MAX(AL957,0)</f>
        <v>18.557001321003963</v>
      </c>
      <c r="AK958" s="75">
        <f>PARAM!$C$26+MAX($G$11-CHOOSE(PARAM!$B$44,MAX(0,AL957*$F$1),0),0)*RATES!$L934/12+$H$11*(PARAM!$D$51/12)*RATES!$N934/100</f>
        <v>1190.0416666666667</v>
      </c>
      <c r="AL958" s="16">
        <f t="shared" si="636"/>
        <v>-306992.08979436202</v>
      </c>
      <c r="AM958" s="15">
        <f t="shared" si="611"/>
        <v>22.170849845882874</v>
      </c>
      <c r="AN958" s="75">
        <f>AM958*(1-PARAM!$C$27)*$I$12+(MOD($B958,60)=PARAM!$B$56)*($B958&gt;(60-PARAM!$B$56))*HLOOKUP(($B958+PARAM!$B$56)/12,Loyalty,2)*$F$1*MAX(AP957,0)</f>
        <v>18.557001321003963</v>
      </c>
      <c r="AO958" s="75">
        <f>PARAM!$C$26+MAX($G$12-CHOOSE(PARAM!$B$44,MAX(0,AP957*$F$1),0),0)*RATES!$L934/12+$H$12*(PARAM!$D$51/12)*RATES!$N934/100</f>
        <v>1190.0416666666667</v>
      </c>
      <c r="AP958" s="16">
        <f t="shared" si="637"/>
        <v>-306992.08979436202</v>
      </c>
      <c r="AQ958" s="15">
        <f t="shared" si="612"/>
        <v>22.170849845882874</v>
      </c>
      <c r="AR958" s="75">
        <f>AQ958*(1-PARAM!$C$27)*$I$13+(MOD($B958,60)=PARAM!$B$56)*($B958&gt;(60-PARAM!$B$56))*HLOOKUP(($B958+PARAM!$B$56)/12,Loyalty,2)*$F$1*MAX(AT957,0)</f>
        <v>18.557001321003963</v>
      </c>
      <c r="AS958" s="75">
        <f>PARAM!$C$26+MAX($G$13-CHOOSE(PARAM!$B$44,MAX(0,AT957*$F$1),0),0)*RATES!$L934/12+$H$13*(PARAM!$D$51/12)*RATES!$N934/100</f>
        <v>1190.0416666666667</v>
      </c>
      <c r="AT958" s="16">
        <f t="shared" si="638"/>
        <v>-306992.08979436202</v>
      </c>
      <c r="AU958" s="15">
        <f t="shared" si="613"/>
        <v>22.170849845882874</v>
      </c>
      <c r="AV958" s="75">
        <f>AU958*(1-PARAM!$C$27)*$I$14+(MOD($B958,60)=PARAM!$B$56)*($B958&gt;(60-PARAM!$B$56))*HLOOKUP(($B958+PARAM!$B$56)/12,Loyalty,2)*$F$1*MAX(AX957,0)</f>
        <v>18.557001321003963</v>
      </c>
      <c r="AW958" s="75">
        <f>PARAM!$C$26+MAX($G$14-CHOOSE(PARAM!$B$44,MAX(0,AX957*$F$1),0),0)*RATES!$L934/12+$H$14*(PARAM!$D$51/12)*RATES!$N934/100</f>
        <v>1190.0416666666667</v>
      </c>
      <c r="AX958" s="16">
        <f t="shared" si="639"/>
        <v>-306992.08979436202</v>
      </c>
      <c r="AY958" s="15">
        <f t="shared" si="614"/>
        <v>22.170849845882874</v>
      </c>
      <c r="AZ958" s="75">
        <f>AY958*(1-PARAM!$C$27)*$I$15+(MOD($B958,60)=PARAM!$B$56)*($B958&gt;(60-PARAM!$B$56))*HLOOKUP(($B958+PARAM!$B$56)/12,Loyalty,2)*$F$1*MAX(BB957,0)</f>
        <v>18.557001321003963</v>
      </c>
      <c r="BA958" s="75">
        <f>PARAM!$C$26+MAX($G$15-CHOOSE(PARAM!$B$44,MAX(0,BB957*$F$1),0),0)*RATES!$L934/12+$H$15*(PARAM!$D$51/12)*RATES!$N934/100</f>
        <v>1190.0416666666667</v>
      </c>
      <c r="BB958" s="16">
        <f t="shared" si="640"/>
        <v>-306992.08979436202</v>
      </c>
      <c r="BC958" s="15">
        <f t="shared" si="615"/>
        <v>22.170849845882874</v>
      </c>
      <c r="BD958" s="75">
        <f>BC958*(1-PARAM!$C$27)*$I$16+(MOD($B958,60)=PARAM!$B$56)*($B958&gt;(60-PARAM!$B$56))*HLOOKUP(($B958+PARAM!$B$56)/12,Loyalty,2)*$F$1*MAX(BF957,0)</f>
        <v>18.557001321003963</v>
      </c>
      <c r="BE958" s="75">
        <f>PARAM!$C$26+MAX($G$16-CHOOSE(PARAM!$B$44,MAX(0,BF957*$F$1),0),0)*RATES!$L934/12+$H$16*(PARAM!$D$51/12)*RATES!$N934/100</f>
        <v>1190.0416666666667</v>
      </c>
      <c r="BF958" s="16">
        <f t="shared" si="641"/>
        <v>-306992.08979436202</v>
      </c>
      <c r="BG958" s="15">
        <f t="shared" si="616"/>
        <v>22.170849845882874</v>
      </c>
      <c r="BH958" s="75">
        <f>BG958*(1-PARAM!$C$27)*$I$17+(MOD($B958,60)=PARAM!$B$56)*($B958&gt;(60-PARAM!$B$56))*HLOOKUP(($B958+PARAM!$B$56)/12,Loyalty,2)*$F$1*MAX(BJ957,0)</f>
        <v>18.557001321003963</v>
      </c>
      <c r="BI958" s="75">
        <f>PARAM!$C$26+MAX($G$17-CHOOSE(PARAM!$B$44,MAX(0,BJ957*$F$1),0),0)*RATES!$L934/12+$H$17*(PARAM!$D$51/12)*RATES!$N934/100</f>
        <v>1190.0416666666667</v>
      </c>
      <c r="BJ958" s="16">
        <f t="shared" si="642"/>
        <v>-306992.08979436202</v>
      </c>
      <c r="BK958" s="15">
        <f t="shared" si="617"/>
        <v>22.170849845882874</v>
      </c>
      <c r="BL958" s="75">
        <f>BK958*(1-PARAM!$C$27)*$I$18+(MOD($B958,60)=PARAM!$B$56)*($B958&gt;(60-PARAM!$B$56))*HLOOKUP(($B958+PARAM!$B$56)/12,Loyalty,2)*$F$1*MAX(BN957,0)</f>
        <v>18.557001321003963</v>
      </c>
      <c r="BM958" s="75">
        <f>PARAM!$C$26+MAX($G$18-CHOOSE(PARAM!$B$44,MAX(0,BN957*$F$1),0),0)*RATES!$L934/12+$H$18*(PARAM!$D$51/12)*RATES!$N934/100</f>
        <v>1190.0416666666667</v>
      </c>
      <c r="BN958" s="16">
        <f t="shared" si="643"/>
        <v>-306992.08979436202</v>
      </c>
      <c r="BO958" s="15">
        <f t="shared" si="618"/>
        <v>22.170849845882874</v>
      </c>
      <c r="BP958" s="75">
        <f>BO958*(1-PARAM!$C$27)*$I$19+(MOD($B958,60)=PARAM!$B$56)*($B958&gt;(60-PARAM!$B$56))*HLOOKUP(($B958+PARAM!$B$56)/12,Loyalty,2)*$F$1*MAX(BR957,0)</f>
        <v>18.557001321003963</v>
      </c>
      <c r="BQ958" s="75">
        <f>PARAM!$C$26+MAX($G$19-CHOOSE(PARAM!$B$44,MAX(0,BR957*$F$1),0),0)*RATES!$L934/12+$H$19*(PARAM!$D$51/12)*RATES!$N934/100</f>
        <v>1190.0416666666667</v>
      </c>
      <c r="BR958" s="16">
        <f t="shared" si="644"/>
        <v>-306992.08979436202</v>
      </c>
      <c r="BS958" s="15">
        <f t="shared" si="619"/>
        <v>22.170849845882874</v>
      </c>
      <c r="BT958" s="75">
        <f>BS958*(1-PARAM!$C$27)*$I$20+(MOD($B958,60)=PARAM!$B$56)*($B958&gt;(60-PARAM!$B$56))*HLOOKUP(($B958+PARAM!$B$56)/12,Loyalty,2)*$F$1*MAX(BV957,0)</f>
        <v>18.557001321003963</v>
      </c>
      <c r="BU958" s="75">
        <f>PARAM!$C$26+MAX($G$20-CHOOSE(PARAM!$B$44,MAX(0,BV957*$F$1),0),0)*RATES!$L934/12+$H$20*(PARAM!$D$51/12)*RATES!$N934/100</f>
        <v>1190.0416666666667</v>
      </c>
      <c r="BV958" s="16">
        <f t="shared" si="645"/>
        <v>-306992.08979436202</v>
      </c>
      <c r="BW958" s="15">
        <f t="shared" si="620"/>
        <v>22.170849845882874</v>
      </c>
      <c r="BX958" s="75">
        <f>BW958*(1-PARAM!$C$27)*$I$21+(MOD($B958,60)=PARAM!$B$56)*($B958&gt;(60-PARAM!$B$56))*HLOOKUP(($B958+PARAM!$B$56)/12,Loyalty,2)*$F$1*MAX(BZ957,0)</f>
        <v>18.557001321003963</v>
      </c>
      <c r="BY958" s="75">
        <f>PARAM!$C$26+MAX($G$21-CHOOSE(PARAM!$B$44,MAX(0,BZ957*$F$1),0),0)*RATES!$L934/12+$H$21*(PARAM!$D$51/12)*RATES!$N934/100</f>
        <v>1190.0416666666667</v>
      </c>
      <c r="BZ958" s="16">
        <f t="shared" si="646"/>
        <v>-306992.08979436202</v>
      </c>
      <c r="CA958" s="15">
        <f t="shared" si="621"/>
        <v>22.170849845882874</v>
      </c>
      <c r="CB958" s="75">
        <f>CA958*(1-PARAM!$C$27)*$I$22+(MOD($B958,60)=PARAM!$B$56)*($B958&gt;(60-PARAM!$B$56))*HLOOKUP(($B958+PARAM!$B$56)/12,Loyalty,2)*$F$1*MAX(CD957,0)</f>
        <v>18.557001321003963</v>
      </c>
      <c r="CC958" s="75">
        <f>PARAM!$C$26+MAX($G$22-CHOOSE(PARAM!$B$44,MAX(0,CD957*$F$1),0),0)*RATES!$L934/12+$H$22*(PARAM!$D$51/12)*RATES!$N934/100</f>
        <v>1190.0416666666667</v>
      </c>
      <c r="CD958" s="16">
        <f t="shared" si="647"/>
        <v>-306992.08979436202</v>
      </c>
      <c r="CE958" s="33">
        <f>IF(0=MOD(B958,12/PARAM!$D$51),1,0)</f>
        <v>1</v>
      </c>
      <c r="CF958" s="15">
        <f t="shared" si="622"/>
        <v>0</v>
      </c>
      <c r="CG958" s="75">
        <f>CF958*(1-PARAM!$C$27)*$R$3+(MOD($B958/12,5)=0)*($B958&gt;60)*HLOOKUP($B958/12,Loyalty,2)*$F$1*MAX(CI957,0)</f>
        <v>0</v>
      </c>
      <c r="CH958" s="75">
        <f>PARAM!$C$26+MAX($P$3-CHOOSE(PARAM!$B$44,MAX(0,CI957*$F$1),0),0)*RATES!$L934/12+$Q$3*(PARAM!$D$51/12)*RATES!$N934/100</f>
        <v>1190.0416666666667</v>
      </c>
      <c r="CI958" s="16">
        <f>IF(CI957&gt;0,CI957*PARAM!$C$53,CI957)+CG958-CH958</f>
        <v>-324149.08333333395</v>
      </c>
      <c r="CJ958" s="15">
        <f t="shared" si="648"/>
        <v>0</v>
      </c>
      <c r="CK958" s="75">
        <f>CJ958*(1-PARAM!$C$27)*$R$4+(MOD($B958/12,5)=0)*($B958&gt;60)*HLOOKUP($B958/12,Loyalty,2)*$F$1*MAX(CM957,0)</f>
        <v>0</v>
      </c>
      <c r="CL958" s="75">
        <f>PARAM!$C$26+MAX($P$4-CHOOSE(PARAM!$B$44,MAX(0,CM957*$F$1),0),0)*RATES!$L934/12+$Q$4*(PARAM!$D$51/12)*RATES!$N934/100</f>
        <v>1190.0416666666667</v>
      </c>
      <c r="CM958" s="16">
        <f>IF(CM957&gt;0,CM957*PARAM!$C$53,CM957)+CK958-CL958</f>
        <v>-324149.08333333395</v>
      </c>
      <c r="CO958" s="176"/>
    </row>
    <row r="959" spans="1:93" x14ac:dyDescent="0.2">
      <c r="A959" t="b">
        <f t="shared" si="623"/>
        <v>0</v>
      </c>
      <c r="B959" s="33">
        <v>932</v>
      </c>
      <c r="C959" s="15">
        <f t="shared" si="624"/>
        <v>20.081305947392778</v>
      </c>
      <c r="D959" s="75">
        <f>C959*(1-PARAM!$C$27)*$I$3+(MOD($B959,60)=PARAM!$B$56)*($B959&gt;(60-PARAM!$B$56))*HLOOKUP(($B959+PARAM!$B$56)/12,Loyalty,2)*$F$1*MAX(F958,0)</f>
        <v>16.808053077967756</v>
      </c>
      <c r="E959" s="75">
        <f>PARAM!$C$26+MAX($G$3-CHOOSE(PARAM!$B$44,MAX(0,F958*$F$1),0),0)*RATES!$L935/12+$H$3*(PARAM!$D$51/12)*RATES!$N935/100</f>
        <v>1190.0416666666667</v>
      </c>
      <c r="F959" s="16">
        <f t="shared" si="625"/>
        <v>-309830.44472273963</v>
      </c>
      <c r="G959" s="15">
        <f t="shared" si="626"/>
        <v>22.035289406060361</v>
      </c>
      <c r="H959" s="75">
        <f>G959*(1-PARAM!$C$27)*$I$4+(MOD($B959,60)=PARAM!$B$56)*($B959&gt;(60-PARAM!$B$56))*HLOOKUP(($B959+PARAM!$B$56)/12,Loyalty,2)*$F$1*MAX(J958,0)</f>
        <v>18.443537232872522</v>
      </c>
      <c r="I959" s="75">
        <f>PARAM!$C$26+MAX($G$4-CHOOSE(PARAM!$B$44,MAX(0,J958*$F$1),0),0)*RATES!$L935/12+$H$4*(PARAM!$D$51/12)*RATES!$N935/100</f>
        <v>1190.0416666666667</v>
      </c>
      <c r="J959" s="16">
        <f t="shared" si="627"/>
        <v>-308272.34052624454</v>
      </c>
      <c r="K959" s="15">
        <f t="shared" si="628"/>
        <v>22.170849845882874</v>
      </c>
      <c r="L959" s="75">
        <f>K959*(1-PARAM!$C$27)*$I$5+(MOD($B959,60)=PARAM!$B$56)*($B959&gt;(60-PARAM!$B$56))*HLOOKUP(($B959+PARAM!$B$56)/12,Loyalty,2)*$F$1*MAX(N958,0)</f>
        <v>18.557001321003963</v>
      </c>
      <c r="M959" s="75">
        <f>PARAM!$C$26+MAX($G$5-CHOOSE(PARAM!$B$44,MAX(0,N958*$F$1),0),0)*RATES!$L935/12+$H$5*(PARAM!$D$51/12)*RATES!$N935/100</f>
        <v>1190.0416666666667</v>
      </c>
      <c r="N959" s="16">
        <f t="shared" si="629"/>
        <v>-308163.57445970771</v>
      </c>
      <c r="O959" s="15">
        <f t="shared" si="630"/>
        <v>22.170849845882874</v>
      </c>
      <c r="P959" s="75">
        <f>O959*(1-PARAM!$C$27)*$I$6+(MOD($B959,60)=PARAM!$B$56)*($B959&gt;(60-PARAM!$B$56))*HLOOKUP(($B959+PARAM!$B$56)/12,Loyalty,2)*$F$1*MAX(R958,0)</f>
        <v>18.557001321003963</v>
      </c>
      <c r="Q959" s="75">
        <f>PARAM!$C$26+MAX($G$6-CHOOSE(PARAM!$B$44,MAX(0,R958*$F$1),0),0)*RATES!$L935/12+$H$6*(PARAM!$D$51/12)*RATES!$N935/100</f>
        <v>1190.0416666666667</v>
      </c>
      <c r="R959" s="16">
        <f t="shared" si="631"/>
        <v>-308163.57445970771</v>
      </c>
      <c r="S959" s="15">
        <f t="shared" si="606"/>
        <v>22.170849845882874</v>
      </c>
      <c r="T959" s="75">
        <f>S959*(1-PARAM!$C$27)*$I$7+(MOD($B959,60)=PARAM!$B$56)*($B959&gt;(60-PARAM!$B$56))*HLOOKUP(($B959+PARAM!$B$56)/12,Loyalty,2)*$F$1*MAX(V958,0)</f>
        <v>18.557001321003963</v>
      </c>
      <c r="U959" s="75">
        <f>PARAM!$C$26+MAX($G$7-CHOOSE(PARAM!$B$44,MAX(0,V958*$F$1),0),0)*RATES!$L935/12+$H$7*(PARAM!$D$51/12)*RATES!$N935/100</f>
        <v>1190.0416666666667</v>
      </c>
      <c r="V959" s="16">
        <f t="shared" si="632"/>
        <v>-308163.57445970771</v>
      </c>
      <c r="W959" s="15">
        <f t="shared" si="607"/>
        <v>22.170849845882874</v>
      </c>
      <c r="X959" s="75">
        <f>W959*(1-PARAM!$C$27)*$I$8+(MOD($B959,60)=PARAM!$B$56)*($B959&gt;(60-PARAM!$B$56))*HLOOKUP(($B959+PARAM!$B$56)/12,Loyalty,2)*$F$1*MAX(Z958,0)</f>
        <v>18.557001321003963</v>
      </c>
      <c r="Y959" s="75">
        <f>PARAM!$C$26+MAX($G$8-CHOOSE(PARAM!$B$44,MAX(0,Z958*$F$1),0),0)*RATES!$L935/12+$H$8*(PARAM!$D$51/12)*RATES!$N935/100</f>
        <v>1190.0416666666667</v>
      </c>
      <c r="Z959" s="16">
        <f t="shared" si="633"/>
        <v>-308163.57445970771</v>
      </c>
      <c r="AA959" s="15">
        <f t="shared" si="608"/>
        <v>22.170849845882874</v>
      </c>
      <c r="AB959" s="75">
        <f>AA959*(1-PARAM!$C$27)*$I$9+(MOD($B959,60)=PARAM!$B$56)*($B959&gt;(60-PARAM!$B$56))*HLOOKUP(($B959+PARAM!$B$56)/12,Loyalty,2)*$F$1*MAX(AD958,0)</f>
        <v>18.557001321003963</v>
      </c>
      <c r="AC959" s="75">
        <f>PARAM!$C$26+MAX($G$9-CHOOSE(PARAM!$B$44,MAX(0,AD958*$F$1),0),0)*RATES!$L935/12+$H$9*(PARAM!$D$51/12)*RATES!$N935/100</f>
        <v>1190.0416666666667</v>
      </c>
      <c r="AD959" s="16">
        <f t="shared" si="634"/>
        <v>-308163.57445970771</v>
      </c>
      <c r="AE959" s="15">
        <f t="shared" si="609"/>
        <v>22.170849845882874</v>
      </c>
      <c r="AF959" s="75">
        <f>AE959*(1-PARAM!$C$27)*$I$10+(MOD($B959,60)=PARAM!$B$56)*($B959&gt;(60-PARAM!$B$56))*HLOOKUP(($B959+PARAM!$B$56)/12,Loyalty,2)*$F$1*MAX(AH958,0)</f>
        <v>18.557001321003963</v>
      </c>
      <c r="AG959" s="75">
        <f>PARAM!$C$26+MAX($G$10-CHOOSE(PARAM!$B$44,MAX(0,AH958*$F$1),0),0)*RATES!$L935/12+$H$10*(PARAM!$D$51/12)*RATES!$N935/100</f>
        <v>1190.0416666666667</v>
      </c>
      <c r="AH959" s="16">
        <f t="shared" si="635"/>
        <v>-308163.57445970771</v>
      </c>
      <c r="AI959" s="15">
        <f t="shared" si="610"/>
        <v>22.170849845882874</v>
      </c>
      <c r="AJ959" s="75">
        <f>AI959*(1-PARAM!$C$27)*$I$11+(MOD($B959,60)=PARAM!$B$56)*($B959&gt;(60-PARAM!$B$56))*HLOOKUP(($B959+PARAM!$B$56)/12,Loyalty,2)*$F$1*MAX(AL958,0)</f>
        <v>18.557001321003963</v>
      </c>
      <c r="AK959" s="75">
        <f>PARAM!$C$26+MAX($G$11-CHOOSE(PARAM!$B$44,MAX(0,AL958*$F$1),0),0)*RATES!$L935/12+$H$11*(PARAM!$D$51/12)*RATES!$N935/100</f>
        <v>1190.0416666666667</v>
      </c>
      <c r="AL959" s="16">
        <f t="shared" si="636"/>
        <v>-308163.57445970771</v>
      </c>
      <c r="AM959" s="15">
        <f t="shared" si="611"/>
        <v>22.170849845882874</v>
      </c>
      <c r="AN959" s="75">
        <f>AM959*(1-PARAM!$C$27)*$I$12+(MOD($B959,60)=PARAM!$B$56)*($B959&gt;(60-PARAM!$B$56))*HLOOKUP(($B959+PARAM!$B$56)/12,Loyalty,2)*$F$1*MAX(AP958,0)</f>
        <v>18.557001321003963</v>
      </c>
      <c r="AO959" s="75">
        <f>PARAM!$C$26+MAX($G$12-CHOOSE(PARAM!$B$44,MAX(0,AP958*$F$1),0),0)*RATES!$L935/12+$H$12*(PARAM!$D$51/12)*RATES!$N935/100</f>
        <v>1190.0416666666667</v>
      </c>
      <c r="AP959" s="16">
        <f t="shared" si="637"/>
        <v>-308163.57445970771</v>
      </c>
      <c r="AQ959" s="15">
        <f t="shared" si="612"/>
        <v>22.170849845882874</v>
      </c>
      <c r="AR959" s="75">
        <f>AQ959*(1-PARAM!$C$27)*$I$13+(MOD($B959,60)=PARAM!$B$56)*($B959&gt;(60-PARAM!$B$56))*HLOOKUP(($B959+PARAM!$B$56)/12,Loyalty,2)*$F$1*MAX(AT958,0)</f>
        <v>18.557001321003963</v>
      </c>
      <c r="AS959" s="75">
        <f>PARAM!$C$26+MAX($G$13-CHOOSE(PARAM!$B$44,MAX(0,AT958*$F$1),0),0)*RATES!$L935/12+$H$13*(PARAM!$D$51/12)*RATES!$N935/100</f>
        <v>1190.0416666666667</v>
      </c>
      <c r="AT959" s="16">
        <f t="shared" si="638"/>
        <v>-308163.57445970771</v>
      </c>
      <c r="AU959" s="15">
        <f t="shared" si="613"/>
        <v>22.170849845882874</v>
      </c>
      <c r="AV959" s="75">
        <f>AU959*(1-PARAM!$C$27)*$I$14+(MOD($B959,60)=PARAM!$B$56)*($B959&gt;(60-PARAM!$B$56))*HLOOKUP(($B959+PARAM!$B$56)/12,Loyalty,2)*$F$1*MAX(AX958,0)</f>
        <v>18.557001321003963</v>
      </c>
      <c r="AW959" s="75">
        <f>PARAM!$C$26+MAX($G$14-CHOOSE(PARAM!$B$44,MAX(0,AX958*$F$1),0),0)*RATES!$L935/12+$H$14*(PARAM!$D$51/12)*RATES!$N935/100</f>
        <v>1190.0416666666667</v>
      </c>
      <c r="AX959" s="16">
        <f t="shared" si="639"/>
        <v>-308163.57445970771</v>
      </c>
      <c r="AY959" s="15">
        <f t="shared" si="614"/>
        <v>22.170849845882874</v>
      </c>
      <c r="AZ959" s="75">
        <f>AY959*(1-PARAM!$C$27)*$I$15+(MOD($B959,60)=PARAM!$B$56)*($B959&gt;(60-PARAM!$B$56))*HLOOKUP(($B959+PARAM!$B$56)/12,Loyalty,2)*$F$1*MAX(BB958,0)</f>
        <v>18.557001321003963</v>
      </c>
      <c r="BA959" s="75">
        <f>PARAM!$C$26+MAX($G$15-CHOOSE(PARAM!$B$44,MAX(0,BB958*$F$1),0),0)*RATES!$L935/12+$H$15*(PARAM!$D$51/12)*RATES!$N935/100</f>
        <v>1190.0416666666667</v>
      </c>
      <c r="BB959" s="16">
        <f t="shared" si="640"/>
        <v>-308163.57445970771</v>
      </c>
      <c r="BC959" s="15">
        <f t="shared" si="615"/>
        <v>22.170849845882874</v>
      </c>
      <c r="BD959" s="75">
        <f>BC959*(1-PARAM!$C$27)*$I$16+(MOD($B959,60)=PARAM!$B$56)*($B959&gt;(60-PARAM!$B$56))*HLOOKUP(($B959+PARAM!$B$56)/12,Loyalty,2)*$F$1*MAX(BF958,0)</f>
        <v>18.557001321003963</v>
      </c>
      <c r="BE959" s="75">
        <f>PARAM!$C$26+MAX($G$16-CHOOSE(PARAM!$B$44,MAX(0,BF958*$F$1),0),0)*RATES!$L935/12+$H$16*(PARAM!$D$51/12)*RATES!$N935/100</f>
        <v>1190.0416666666667</v>
      </c>
      <c r="BF959" s="16">
        <f t="shared" si="641"/>
        <v>-308163.57445970771</v>
      </c>
      <c r="BG959" s="15">
        <f t="shared" si="616"/>
        <v>22.170849845882874</v>
      </c>
      <c r="BH959" s="75">
        <f>BG959*(1-PARAM!$C$27)*$I$17+(MOD($B959,60)=PARAM!$B$56)*($B959&gt;(60-PARAM!$B$56))*HLOOKUP(($B959+PARAM!$B$56)/12,Loyalty,2)*$F$1*MAX(BJ958,0)</f>
        <v>18.557001321003963</v>
      </c>
      <c r="BI959" s="75">
        <f>PARAM!$C$26+MAX($G$17-CHOOSE(PARAM!$B$44,MAX(0,BJ958*$F$1),0),0)*RATES!$L935/12+$H$17*(PARAM!$D$51/12)*RATES!$N935/100</f>
        <v>1190.0416666666667</v>
      </c>
      <c r="BJ959" s="16">
        <f t="shared" si="642"/>
        <v>-308163.57445970771</v>
      </c>
      <c r="BK959" s="15">
        <f t="shared" si="617"/>
        <v>22.170849845882874</v>
      </c>
      <c r="BL959" s="75">
        <f>BK959*(1-PARAM!$C$27)*$I$18+(MOD($B959,60)=PARAM!$B$56)*($B959&gt;(60-PARAM!$B$56))*HLOOKUP(($B959+PARAM!$B$56)/12,Loyalty,2)*$F$1*MAX(BN958,0)</f>
        <v>18.557001321003963</v>
      </c>
      <c r="BM959" s="75">
        <f>PARAM!$C$26+MAX($G$18-CHOOSE(PARAM!$B$44,MAX(0,BN958*$F$1),0),0)*RATES!$L935/12+$H$18*(PARAM!$D$51/12)*RATES!$N935/100</f>
        <v>1190.0416666666667</v>
      </c>
      <c r="BN959" s="16">
        <f t="shared" si="643"/>
        <v>-308163.57445970771</v>
      </c>
      <c r="BO959" s="15">
        <f t="shared" si="618"/>
        <v>22.170849845882874</v>
      </c>
      <c r="BP959" s="75">
        <f>BO959*(1-PARAM!$C$27)*$I$19+(MOD($B959,60)=PARAM!$B$56)*($B959&gt;(60-PARAM!$B$56))*HLOOKUP(($B959+PARAM!$B$56)/12,Loyalty,2)*$F$1*MAX(BR958,0)</f>
        <v>18.557001321003963</v>
      </c>
      <c r="BQ959" s="75">
        <f>PARAM!$C$26+MAX($G$19-CHOOSE(PARAM!$B$44,MAX(0,BR958*$F$1),0),0)*RATES!$L935/12+$H$19*(PARAM!$D$51/12)*RATES!$N935/100</f>
        <v>1190.0416666666667</v>
      </c>
      <c r="BR959" s="16">
        <f t="shared" si="644"/>
        <v>-308163.57445970771</v>
      </c>
      <c r="BS959" s="15">
        <f t="shared" si="619"/>
        <v>22.170849845882874</v>
      </c>
      <c r="BT959" s="75">
        <f>BS959*(1-PARAM!$C$27)*$I$20+(MOD($B959,60)=PARAM!$B$56)*($B959&gt;(60-PARAM!$B$56))*HLOOKUP(($B959+PARAM!$B$56)/12,Loyalty,2)*$F$1*MAX(BV958,0)</f>
        <v>18.557001321003963</v>
      </c>
      <c r="BU959" s="75">
        <f>PARAM!$C$26+MAX($G$20-CHOOSE(PARAM!$B$44,MAX(0,BV958*$F$1),0),0)*RATES!$L935/12+$H$20*(PARAM!$D$51/12)*RATES!$N935/100</f>
        <v>1190.0416666666667</v>
      </c>
      <c r="BV959" s="16">
        <f t="shared" si="645"/>
        <v>-308163.57445970771</v>
      </c>
      <c r="BW959" s="15">
        <f t="shared" si="620"/>
        <v>22.170849845882874</v>
      </c>
      <c r="BX959" s="75">
        <f>BW959*(1-PARAM!$C$27)*$I$21+(MOD($B959,60)=PARAM!$B$56)*($B959&gt;(60-PARAM!$B$56))*HLOOKUP(($B959+PARAM!$B$56)/12,Loyalty,2)*$F$1*MAX(BZ958,0)</f>
        <v>18.557001321003963</v>
      </c>
      <c r="BY959" s="75">
        <f>PARAM!$C$26+MAX($G$21-CHOOSE(PARAM!$B$44,MAX(0,BZ958*$F$1),0),0)*RATES!$L935/12+$H$21*(PARAM!$D$51/12)*RATES!$N935/100</f>
        <v>1190.0416666666667</v>
      </c>
      <c r="BZ959" s="16">
        <f t="shared" si="646"/>
        <v>-308163.57445970771</v>
      </c>
      <c r="CA959" s="15">
        <f t="shared" si="621"/>
        <v>22.170849845882874</v>
      </c>
      <c r="CB959" s="75">
        <f>CA959*(1-PARAM!$C$27)*$I$22+(MOD($B959,60)=PARAM!$B$56)*($B959&gt;(60-PARAM!$B$56))*HLOOKUP(($B959+PARAM!$B$56)/12,Loyalty,2)*$F$1*MAX(CD958,0)</f>
        <v>18.557001321003963</v>
      </c>
      <c r="CC959" s="75">
        <f>PARAM!$C$26+MAX($G$22-CHOOSE(PARAM!$B$44,MAX(0,CD958*$F$1),0),0)*RATES!$L935/12+$H$22*(PARAM!$D$51/12)*RATES!$N935/100</f>
        <v>1190.0416666666667</v>
      </c>
      <c r="CD959" s="16">
        <f t="shared" si="647"/>
        <v>-308163.57445970771</v>
      </c>
      <c r="CE959" s="33">
        <f>IF(0=MOD(B959,12/PARAM!$D$51),1,0)</f>
        <v>1</v>
      </c>
      <c r="CF959" s="15">
        <f t="shared" si="622"/>
        <v>0</v>
      </c>
      <c r="CG959" s="75">
        <f>CF959*(1-PARAM!$C$27)*$R$3+(MOD($B959/12,5)=0)*($B959&gt;60)*HLOOKUP($B959/12,Loyalty,2)*$F$1*MAX(CI958,0)</f>
        <v>0</v>
      </c>
      <c r="CH959" s="75">
        <f>PARAM!$C$26+MAX($P$3-CHOOSE(PARAM!$B$44,MAX(0,CI958*$F$1),0),0)*RATES!$L935/12+$Q$3*(PARAM!$D$51/12)*RATES!$N935/100</f>
        <v>1190.0416666666667</v>
      </c>
      <c r="CI959" s="16">
        <f>IF(CI958&gt;0,CI958*PARAM!$C$53,CI958)+CG959-CH959</f>
        <v>-325339.12500000064</v>
      </c>
      <c r="CJ959" s="15">
        <f t="shared" si="648"/>
        <v>0</v>
      </c>
      <c r="CK959" s="75">
        <f>CJ959*(1-PARAM!$C$27)*$R$4+(MOD($B959/12,5)=0)*($B959&gt;60)*HLOOKUP($B959/12,Loyalty,2)*$F$1*MAX(CM958,0)</f>
        <v>0</v>
      </c>
      <c r="CL959" s="75">
        <f>PARAM!$C$26+MAX($P$4-CHOOSE(PARAM!$B$44,MAX(0,CM958*$F$1),0),0)*RATES!$L935/12+$Q$4*(PARAM!$D$51/12)*RATES!$N935/100</f>
        <v>1190.0416666666667</v>
      </c>
      <c r="CM959" s="16">
        <f>IF(CM958&gt;0,CM958*PARAM!$C$53,CM958)+CK959-CL959</f>
        <v>-325339.12500000064</v>
      </c>
      <c r="CO959" s="176"/>
    </row>
    <row r="960" spans="1:93" x14ac:dyDescent="0.2">
      <c r="A960" t="b">
        <f t="shared" si="623"/>
        <v>0</v>
      </c>
      <c r="B960" s="33">
        <v>933</v>
      </c>
      <c r="C960" s="15">
        <f t="shared" si="624"/>
        <v>20.081305947392778</v>
      </c>
      <c r="D960" s="75">
        <f>C960*(1-PARAM!$C$27)*$I$3+(MOD($B960,60)=PARAM!$B$56)*($B960&gt;(60-PARAM!$B$56))*HLOOKUP(($B960+PARAM!$B$56)/12,Loyalty,2)*$F$1*MAX(F959,0)</f>
        <v>16.808053077967756</v>
      </c>
      <c r="E960" s="75">
        <f>PARAM!$C$26+MAX($G$3-CHOOSE(PARAM!$B$44,MAX(0,F959*$F$1),0),0)*RATES!$L936/12+$H$3*(PARAM!$D$51/12)*RATES!$N936/100</f>
        <v>1190.0416666666667</v>
      </c>
      <c r="F960" s="16">
        <f t="shared" si="625"/>
        <v>-311003.67833632836</v>
      </c>
      <c r="G960" s="15">
        <f t="shared" si="626"/>
        <v>22.035289406060361</v>
      </c>
      <c r="H960" s="75">
        <f>G960*(1-PARAM!$C$27)*$I$4+(MOD($B960,60)=PARAM!$B$56)*($B960&gt;(60-PARAM!$B$56))*HLOOKUP(($B960+PARAM!$B$56)/12,Loyalty,2)*$F$1*MAX(J959,0)</f>
        <v>18.443537232872522</v>
      </c>
      <c r="I960" s="75">
        <f>PARAM!$C$26+MAX($G$4-CHOOSE(PARAM!$B$44,MAX(0,J959*$F$1),0),0)*RATES!$L936/12+$H$4*(PARAM!$D$51/12)*RATES!$N936/100</f>
        <v>1190.0416666666667</v>
      </c>
      <c r="J960" s="16">
        <f t="shared" si="627"/>
        <v>-309443.93865567836</v>
      </c>
      <c r="K960" s="15">
        <f t="shared" si="628"/>
        <v>22.170849845882874</v>
      </c>
      <c r="L960" s="75">
        <f>K960*(1-PARAM!$C$27)*$I$5+(MOD($B960,60)=PARAM!$B$56)*($B960&gt;(60-PARAM!$B$56))*HLOOKUP(($B960+PARAM!$B$56)/12,Loyalty,2)*$F$1*MAX(N959,0)</f>
        <v>18.557001321003963</v>
      </c>
      <c r="M960" s="75">
        <f>PARAM!$C$26+MAX($G$5-CHOOSE(PARAM!$B$44,MAX(0,N959*$F$1),0),0)*RATES!$L936/12+$H$5*(PARAM!$D$51/12)*RATES!$N936/100</f>
        <v>1190.0416666666667</v>
      </c>
      <c r="N960" s="16">
        <f t="shared" si="629"/>
        <v>-309335.05912505341</v>
      </c>
      <c r="O960" s="15">
        <f t="shared" si="630"/>
        <v>22.170849845882874</v>
      </c>
      <c r="P960" s="75">
        <f>O960*(1-PARAM!$C$27)*$I$6+(MOD($B960,60)=PARAM!$B$56)*($B960&gt;(60-PARAM!$B$56))*HLOOKUP(($B960+PARAM!$B$56)/12,Loyalty,2)*$F$1*MAX(R959,0)</f>
        <v>18.557001321003963</v>
      </c>
      <c r="Q960" s="75">
        <f>PARAM!$C$26+MAX($G$6-CHOOSE(PARAM!$B$44,MAX(0,R959*$F$1),0),0)*RATES!$L936/12+$H$6*(PARAM!$D$51/12)*RATES!$N936/100</f>
        <v>1190.0416666666667</v>
      </c>
      <c r="R960" s="16">
        <f t="shared" si="631"/>
        <v>-309335.05912505341</v>
      </c>
      <c r="S960" s="15">
        <f t="shared" si="606"/>
        <v>22.170849845882874</v>
      </c>
      <c r="T960" s="75">
        <f>S960*(1-PARAM!$C$27)*$I$7+(MOD($B960,60)=PARAM!$B$56)*($B960&gt;(60-PARAM!$B$56))*HLOOKUP(($B960+PARAM!$B$56)/12,Loyalty,2)*$F$1*MAX(V959,0)</f>
        <v>18.557001321003963</v>
      </c>
      <c r="U960" s="75">
        <f>PARAM!$C$26+MAX($G$7-CHOOSE(PARAM!$B$44,MAX(0,V959*$F$1),0),0)*RATES!$L936/12+$H$7*(PARAM!$D$51/12)*RATES!$N936/100</f>
        <v>1190.0416666666667</v>
      </c>
      <c r="V960" s="16">
        <f t="shared" si="632"/>
        <v>-309335.05912505341</v>
      </c>
      <c r="W960" s="15">
        <f t="shared" si="607"/>
        <v>22.170849845882874</v>
      </c>
      <c r="X960" s="75">
        <f>W960*(1-PARAM!$C$27)*$I$8+(MOD($B960,60)=PARAM!$B$56)*($B960&gt;(60-PARAM!$B$56))*HLOOKUP(($B960+PARAM!$B$56)/12,Loyalty,2)*$F$1*MAX(Z959,0)</f>
        <v>18.557001321003963</v>
      </c>
      <c r="Y960" s="75">
        <f>PARAM!$C$26+MAX($G$8-CHOOSE(PARAM!$B$44,MAX(0,Z959*$F$1),0),0)*RATES!$L936/12+$H$8*(PARAM!$D$51/12)*RATES!$N936/100</f>
        <v>1190.0416666666667</v>
      </c>
      <c r="Z960" s="16">
        <f t="shared" si="633"/>
        <v>-309335.05912505341</v>
      </c>
      <c r="AA960" s="15">
        <f t="shared" si="608"/>
        <v>22.170849845882874</v>
      </c>
      <c r="AB960" s="75">
        <f>AA960*(1-PARAM!$C$27)*$I$9+(MOD($B960,60)=PARAM!$B$56)*($B960&gt;(60-PARAM!$B$56))*HLOOKUP(($B960+PARAM!$B$56)/12,Loyalty,2)*$F$1*MAX(AD959,0)</f>
        <v>18.557001321003963</v>
      </c>
      <c r="AC960" s="75">
        <f>PARAM!$C$26+MAX($G$9-CHOOSE(PARAM!$B$44,MAX(0,AD959*$F$1),0),0)*RATES!$L936/12+$H$9*(PARAM!$D$51/12)*RATES!$N936/100</f>
        <v>1190.0416666666667</v>
      </c>
      <c r="AD960" s="16">
        <f t="shared" si="634"/>
        <v>-309335.05912505341</v>
      </c>
      <c r="AE960" s="15">
        <f t="shared" si="609"/>
        <v>22.170849845882874</v>
      </c>
      <c r="AF960" s="75">
        <f>AE960*(1-PARAM!$C$27)*$I$10+(MOD($B960,60)=PARAM!$B$56)*($B960&gt;(60-PARAM!$B$56))*HLOOKUP(($B960+PARAM!$B$56)/12,Loyalty,2)*$F$1*MAX(AH959,0)</f>
        <v>18.557001321003963</v>
      </c>
      <c r="AG960" s="75">
        <f>PARAM!$C$26+MAX($G$10-CHOOSE(PARAM!$B$44,MAX(0,AH959*$F$1),0),0)*RATES!$L936/12+$H$10*(PARAM!$D$51/12)*RATES!$N936/100</f>
        <v>1190.0416666666667</v>
      </c>
      <c r="AH960" s="16">
        <f t="shared" si="635"/>
        <v>-309335.05912505341</v>
      </c>
      <c r="AI960" s="15">
        <f t="shared" si="610"/>
        <v>22.170849845882874</v>
      </c>
      <c r="AJ960" s="75">
        <f>AI960*(1-PARAM!$C$27)*$I$11+(MOD($B960,60)=PARAM!$B$56)*($B960&gt;(60-PARAM!$B$56))*HLOOKUP(($B960+PARAM!$B$56)/12,Loyalty,2)*$F$1*MAX(AL959,0)</f>
        <v>18.557001321003963</v>
      </c>
      <c r="AK960" s="75">
        <f>PARAM!$C$26+MAX($G$11-CHOOSE(PARAM!$B$44,MAX(0,AL959*$F$1),0),0)*RATES!$L936/12+$H$11*(PARAM!$D$51/12)*RATES!$N936/100</f>
        <v>1190.0416666666667</v>
      </c>
      <c r="AL960" s="16">
        <f t="shared" si="636"/>
        <v>-309335.05912505341</v>
      </c>
      <c r="AM960" s="15">
        <f t="shared" si="611"/>
        <v>22.170849845882874</v>
      </c>
      <c r="AN960" s="75">
        <f>AM960*(1-PARAM!$C$27)*$I$12+(MOD($B960,60)=PARAM!$B$56)*($B960&gt;(60-PARAM!$B$56))*HLOOKUP(($B960+PARAM!$B$56)/12,Loyalty,2)*$F$1*MAX(AP959,0)</f>
        <v>18.557001321003963</v>
      </c>
      <c r="AO960" s="75">
        <f>PARAM!$C$26+MAX($G$12-CHOOSE(PARAM!$B$44,MAX(0,AP959*$F$1),0),0)*RATES!$L936/12+$H$12*(PARAM!$D$51/12)*RATES!$N936/100</f>
        <v>1190.0416666666667</v>
      </c>
      <c r="AP960" s="16">
        <f t="shared" si="637"/>
        <v>-309335.05912505341</v>
      </c>
      <c r="AQ960" s="15">
        <f t="shared" si="612"/>
        <v>22.170849845882874</v>
      </c>
      <c r="AR960" s="75">
        <f>AQ960*(1-PARAM!$C$27)*$I$13+(MOD($B960,60)=PARAM!$B$56)*($B960&gt;(60-PARAM!$B$56))*HLOOKUP(($B960+PARAM!$B$56)/12,Loyalty,2)*$F$1*MAX(AT959,0)</f>
        <v>18.557001321003963</v>
      </c>
      <c r="AS960" s="75">
        <f>PARAM!$C$26+MAX($G$13-CHOOSE(PARAM!$B$44,MAX(0,AT959*$F$1),0),0)*RATES!$L936/12+$H$13*(PARAM!$D$51/12)*RATES!$N936/100</f>
        <v>1190.0416666666667</v>
      </c>
      <c r="AT960" s="16">
        <f t="shared" si="638"/>
        <v>-309335.05912505341</v>
      </c>
      <c r="AU960" s="15">
        <f t="shared" si="613"/>
        <v>22.170849845882874</v>
      </c>
      <c r="AV960" s="75">
        <f>AU960*(1-PARAM!$C$27)*$I$14+(MOD($B960,60)=PARAM!$B$56)*($B960&gt;(60-PARAM!$B$56))*HLOOKUP(($B960+PARAM!$B$56)/12,Loyalty,2)*$F$1*MAX(AX959,0)</f>
        <v>18.557001321003963</v>
      </c>
      <c r="AW960" s="75">
        <f>PARAM!$C$26+MAX($G$14-CHOOSE(PARAM!$B$44,MAX(0,AX959*$F$1),0),0)*RATES!$L936/12+$H$14*(PARAM!$D$51/12)*RATES!$N936/100</f>
        <v>1190.0416666666667</v>
      </c>
      <c r="AX960" s="16">
        <f t="shared" si="639"/>
        <v>-309335.05912505341</v>
      </c>
      <c r="AY960" s="15">
        <f t="shared" si="614"/>
        <v>22.170849845882874</v>
      </c>
      <c r="AZ960" s="75">
        <f>AY960*(1-PARAM!$C$27)*$I$15+(MOD($B960,60)=PARAM!$B$56)*($B960&gt;(60-PARAM!$B$56))*HLOOKUP(($B960+PARAM!$B$56)/12,Loyalty,2)*$F$1*MAX(BB959,0)</f>
        <v>18.557001321003963</v>
      </c>
      <c r="BA960" s="75">
        <f>PARAM!$C$26+MAX($G$15-CHOOSE(PARAM!$B$44,MAX(0,BB959*$F$1),0),0)*RATES!$L936/12+$H$15*(PARAM!$D$51/12)*RATES!$N936/100</f>
        <v>1190.0416666666667</v>
      </c>
      <c r="BB960" s="16">
        <f t="shared" si="640"/>
        <v>-309335.05912505341</v>
      </c>
      <c r="BC960" s="15">
        <f t="shared" si="615"/>
        <v>22.170849845882874</v>
      </c>
      <c r="BD960" s="75">
        <f>BC960*(1-PARAM!$C$27)*$I$16+(MOD($B960,60)=PARAM!$B$56)*($B960&gt;(60-PARAM!$B$56))*HLOOKUP(($B960+PARAM!$B$56)/12,Loyalty,2)*$F$1*MAX(BF959,0)</f>
        <v>18.557001321003963</v>
      </c>
      <c r="BE960" s="75">
        <f>PARAM!$C$26+MAX($G$16-CHOOSE(PARAM!$B$44,MAX(0,BF959*$F$1),0),0)*RATES!$L936/12+$H$16*(PARAM!$D$51/12)*RATES!$N936/100</f>
        <v>1190.0416666666667</v>
      </c>
      <c r="BF960" s="16">
        <f t="shared" si="641"/>
        <v>-309335.05912505341</v>
      </c>
      <c r="BG960" s="15">
        <f t="shared" si="616"/>
        <v>22.170849845882874</v>
      </c>
      <c r="BH960" s="75">
        <f>BG960*(1-PARAM!$C$27)*$I$17+(MOD($B960,60)=PARAM!$B$56)*($B960&gt;(60-PARAM!$B$56))*HLOOKUP(($B960+PARAM!$B$56)/12,Loyalty,2)*$F$1*MAX(BJ959,0)</f>
        <v>18.557001321003963</v>
      </c>
      <c r="BI960" s="75">
        <f>PARAM!$C$26+MAX($G$17-CHOOSE(PARAM!$B$44,MAX(0,BJ959*$F$1),0),0)*RATES!$L936/12+$H$17*(PARAM!$D$51/12)*RATES!$N936/100</f>
        <v>1190.0416666666667</v>
      </c>
      <c r="BJ960" s="16">
        <f t="shared" si="642"/>
        <v>-309335.05912505341</v>
      </c>
      <c r="BK960" s="15">
        <f t="shared" si="617"/>
        <v>22.170849845882874</v>
      </c>
      <c r="BL960" s="75">
        <f>BK960*(1-PARAM!$C$27)*$I$18+(MOD($B960,60)=PARAM!$B$56)*($B960&gt;(60-PARAM!$B$56))*HLOOKUP(($B960+PARAM!$B$56)/12,Loyalty,2)*$F$1*MAX(BN959,0)</f>
        <v>18.557001321003963</v>
      </c>
      <c r="BM960" s="75">
        <f>PARAM!$C$26+MAX($G$18-CHOOSE(PARAM!$B$44,MAX(0,BN959*$F$1),0),0)*RATES!$L936/12+$H$18*(PARAM!$D$51/12)*RATES!$N936/100</f>
        <v>1190.0416666666667</v>
      </c>
      <c r="BN960" s="16">
        <f t="shared" si="643"/>
        <v>-309335.05912505341</v>
      </c>
      <c r="BO960" s="15">
        <f t="shared" si="618"/>
        <v>22.170849845882874</v>
      </c>
      <c r="BP960" s="75">
        <f>BO960*(1-PARAM!$C$27)*$I$19+(MOD($B960,60)=PARAM!$B$56)*($B960&gt;(60-PARAM!$B$56))*HLOOKUP(($B960+PARAM!$B$56)/12,Loyalty,2)*$F$1*MAX(BR959,0)</f>
        <v>18.557001321003963</v>
      </c>
      <c r="BQ960" s="75">
        <f>PARAM!$C$26+MAX($G$19-CHOOSE(PARAM!$B$44,MAX(0,BR959*$F$1),0),0)*RATES!$L936/12+$H$19*(PARAM!$D$51/12)*RATES!$N936/100</f>
        <v>1190.0416666666667</v>
      </c>
      <c r="BR960" s="16">
        <f t="shared" si="644"/>
        <v>-309335.05912505341</v>
      </c>
      <c r="BS960" s="15">
        <f t="shared" si="619"/>
        <v>22.170849845882874</v>
      </c>
      <c r="BT960" s="75">
        <f>BS960*(1-PARAM!$C$27)*$I$20+(MOD($B960,60)=PARAM!$B$56)*($B960&gt;(60-PARAM!$B$56))*HLOOKUP(($B960+PARAM!$B$56)/12,Loyalty,2)*$F$1*MAX(BV959,0)</f>
        <v>18.557001321003963</v>
      </c>
      <c r="BU960" s="75">
        <f>PARAM!$C$26+MAX($G$20-CHOOSE(PARAM!$B$44,MAX(0,BV959*$F$1),0),0)*RATES!$L936/12+$H$20*(PARAM!$D$51/12)*RATES!$N936/100</f>
        <v>1190.0416666666667</v>
      </c>
      <c r="BV960" s="16">
        <f t="shared" si="645"/>
        <v>-309335.05912505341</v>
      </c>
      <c r="BW960" s="15">
        <f t="shared" si="620"/>
        <v>22.170849845882874</v>
      </c>
      <c r="BX960" s="75">
        <f>BW960*(1-PARAM!$C$27)*$I$21+(MOD($B960,60)=PARAM!$B$56)*($B960&gt;(60-PARAM!$B$56))*HLOOKUP(($B960+PARAM!$B$56)/12,Loyalty,2)*$F$1*MAX(BZ959,0)</f>
        <v>18.557001321003963</v>
      </c>
      <c r="BY960" s="75">
        <f>PARAM!$C$26+MAX($G$21-CHOOSE(PARAM!$B$44,MAX(0,BZ959*$F$1),0),0)*RATES!$L936/12+$H$21*(PARAM!$D$51/12)*RATES!$N936/100</f>
        <v>1190.0416666666667</v>
      </c>
      <c r="BZ960" s="16">
        <f t="shared" si="646"/>
        <v>-309335.05912505341</v>
      </c>
      <c r="CA960" s="15">
        <f t="shared" si="621"/>
        <v>22.170849845882874</v>
      </c>
      <c r="CB960" s="75">
        <f>CA960*(1-PARAM!$C$27)*$I$22+(MOD($B960,60)=PARAM!$B$56)*($B960&gt;(60-PARAM!$B$56))*HLOOKUP(($B960+PARAM!$B$56)/12,Loyalty,2)*$F$1*MAX(CD959,0)</f>
        <v>18.557001321003963</v>
      </c>
      <c r="CC960" s="75">
        <f>PARAM!$C$26+MAX($G$22-CHOOSE(PARAM!$B$44,MAX(0,CD959*$F$1),0),0)*RATES!$L936/12+$H$22*(PARAM!$D$51/12)*RATES!$N936/100</f>
        <v>1190.0416666666667</v>
      </c>
      <c r="CD960" s="16">
        <f t="shared" si="647"/>
        <v>-309335.05912505341</v>
      </c>
      <c r="CE960" s="33">
        <f>IF(0=MOD(B960,12/PARAM!$D$51),1,0)</f>
        <v>1</v>
      </c>
      <c r="CF960" s="15">
        <f t="shared" si="622"/>
        <v>0</v>
      </c>
      <c r="CG960" s="75">
        <f>CF960*(1-PARAM!$C$27)*$R$3+(MOD($B960/12,5)=0)*($B960&gt;60)*HLOOKUP($B960/12,Loyalty,2)*$F$1*MAX(CI959,0)</f>
        <v>0</v>
      </c>
      <c r="CH960" s="75">
        <f>PARAM!$C$26+MAX($P$3-CHOOSE(PARAM!$B$44,MAX(0,CI959*$F$1),0),0)*RATES!$L936/12+$Q$3*(PARAM!$D$51/12)*RATES!$N936/100</f>
        <v>1190.0416666666667</v>
      </c>
      <c r="CI960" s="16">
        <f>IF(CI959&gt;0,CI959*PARAM!$C$53,CI959)+CG960-CH960</f>
        <v>-326529.16666666733</v>
      </c>
      <c r="CJ960" s="15">
        <f t="shared" si="648"/>
        <v>0</v>
      </c>
      <c r="CK960" s="75">
        <f>CJ960*(1-PARAM!$C$27)*$R$4+(MOD($B960/12,5)=0)*($B960&gt;60)*HLOOKUP($B960/12,Loyalty,2)*$F$1*MAX(CM959,0)</f>
        <v>0</v>
      </c>
      <c r="CL960" s="75">
        <f>PARAM!$C$26+MAX($P$4-CHOOSE(PARAM!$B$44,MAX(0,CM959*$F$1),0),0)*RATES!$L936/12+$Q$4*(PARAM!$D$51/12)*RATES!$N936/100</f>
        <v>1190.0416666666667</v>
      </c>
      <c r="CM960" s="16">
        <f>IF(CM959&gt;0,CM959*PARAM!$C$53,CM959)+CK960-CL960</f>
        <v>-326529.16666666733</v>
      </c>
      <c r="CO960" s="176"/>
    </row>
    <row r="961" spans="1:93" x14ac:dyDescent="0.2">
      <c r="A961" t="b">
        <f t="shared" si="623"/>
        <v>0</v>
      </c>
      <c r="B961" s="33">
        <v>934</v>
      </c>
      <c r="C961" s="15">
        <f t="shared" si="624"/>
        <v>20.081305947392778</v>
      </c>
      <c r="D961" s="75">
        <f>C961*(1-PARAM!$C$27)*$I$3+(MOD($B961,60)=PARAM!$B$56)*($B961&gt;(60-PARAM!$B$56))*HLOOKUP(($B961+PARAM!$B$56)/12,Loyalty,2)*$F$1*MAX(F960,0)</f>
        <v>16.808053077967756</v>
      </c>
      <c r="E961" s="75">
        <f>PARAM!$C$26+MAX($G$3-CHOOSE(PARAM!$B$44,MAX(0,F960*$F$1),0),0)*RATES!$L937/12+$H$3*(PARAM!$D$51/12)*RATES!$N937/100</f>
        <v>1190.0416666666667</v>
      </c>
      <c r="F961" s="16">
        <f t="shared" si="625"/>
        <v>-312176.91194991709</v>
      </c>
      <c r="G961" s="15">
        <f t="shared" si="626"/>
        <v>22.035289406060361</v>
      </c>
      <c r="H961" s="75">
        <f>G961*(1-PARAM!$C$27)*$I$4+(MOD($B961,60)=PARAM!$B$56)*($B961&gt;(60-PARAM!$B$56))*HLOOKUP(($B961+PARAM!$B$56)/12,Loyalty,2)*$F$1*MAX(J960,0)</f>
        <v>18.443537232872522</v>
      </c>
      <c r="I961" s="75">
        <f>PARAM!$C$26+MAX($G$4-CHOOSE(PARAM!$B$44,MAX(0,J960*$F$1),0),0)*RATES!$L937/12+$H$4*(PARAM!$D$51/12)*RATES!$N937/100</f>
        <v>1190.0416666666667</v>
      </c>
      <c r="J961" s="16">
        <f t="shared" si="627"/>
        <v>-310615.53678511217</v>
      </c>
      <c r="K961" s="15">
        <f t="shared" si="628"/>
        <v>22.170849845882874</v>
      </c>
      <c r="L961" s="75">
        <f>K961*(1-PARAM!$C$27)*$I$5+(MOD($B961,60)=PARAM!$B$56)*($B961&gt;(60-PARAM!$B$56))*HLOOKUP(($B961+PARAM!$B$56)/12,Loyalty,2)*$F$1*MAX(N960,0)</f>
        <v>18.557001321003963</v>
      </c>
      <c r="M961" s="75">
        <f>PARAM!$C$26+MAX($G$5-CHOOSE(PARAM!$B$44,MAX(0,N960*$F$1),0),0)*RATES!$L937/12+$H$5*(PARAM!$D$51/12)*RATES!$N937/100</f>
        <v>1190.0416666666667</v>
      </c>
      <c r="N961" s="16">
        <f t="shared" si="629"/>
        <v>-310506.5437903991</v>
      </c>
      <c r="O961" s="15">
        <f t="shared" si="630"/>
        <v>22.170849845882874</v>
      </c>
      <c r="P961" s="75">
        <f>O961*(1-PARAM!$C$27)*$I$6+(MOD($B961,60)=PARAM!$B$56)*($B961&gt;(60-PARAM!$B$56))*HLOOKUP(($B961+PARAM!$B$56)/12,Loyalty,2)*$F$1*MAX(R960,0)</f>
        <v>18.557001321003963</v>
      </c>
      <c r="Q961" s="75">
        <f>PARAM!$C$26+MAX($G$6-CHOOSE(PARAM!$B$44,MAX(0,R960*$F$1),0),0)*RATES!$L937/12+$H$6*(PARAM!$D$51/12)*RATES!$N937/100</f>
        <v>1190.0416666666667</v>
      </c>
      <c r="R961" s="16">
        <f t="shared" si="631"/>
        <v>-310506.5437903991</v>
      </c>
      <c r="S961" s="15">
        <f t="shared" si="606"/>
        <v>22.170849845882874</v>
      </c>
      <c r="T961" s="75">
        <f>S961*(1-PARAM!$C$27)*$I$7+(MOD($B961,60)=PARAM!$B$56)*($B961&gt;(60-PARAM!$B$56))*HLOOKUP(($B961+PARAM!$B$56)/12,Loyalty,2)*$F$1*MAX(V960,0)</f>
        <v>18.557001321003963</v>
      </c>
      <c r="U961" s="75">
        <f>PARAM!$C$26+MAX($G$7-CHOOSE(PARAM!$B$44,MAX(0,V960*$F$1),0),0)*RATES!$L937/12+$H$7*(PARAM!$D$51/12)*RATES!$N937/100</f>
        <v>1190.0416666666667</v>
      </c>
      <c r="V961" s="16">
        <f t="shared" si="632"/>
        <v>-310506.5437903991</v>
      </c>
      <c r="W961" s="15">
        <f t="shared" si="607"/>
        <v>22.170849845882874</v>
      </c>
      <c r="X961" s="75">
        <f>W961*(1-PARAM!$C$27)*$I$8+(MOD($B961,60)=PARAM!$B$56)*($B961&gt;(60-PARAM!$B$56))*HLOOKUP(($B961+PARAM!$B$56)/12,Loyalty,2)*$F$1*MAX(Z960,0)</f>
        <v>18.557001321003963</v>
      </c>
      <c r="Y961" s="75">
        <f>PARAM!$C$26+MAX($G$8-CHOOSE(PARAM!$B$44,MAX(0,Z960*$F$1),0),0)*RATES!$L937/12+$H$8*(PARAM!$D$51/12)*RATES!$N937/100</f>
        <v>1190.0416666666667</v>
      </c>
      <c r="Z961" s="16">
        <f t="shared" si="633"/>
        <v>-310506.5437903991</v>
      </c>
      <c r="AA961" s="15">
        <f t="shared" si="608"/>
        <v>22.170849845882874</v>
      </c>
      <c r="AB961" s="75">
        <f>AA961*(1-PARAM!$C$27)*$I$9+(MOD($B961,60)=PARAM!$B$56)*($B961&gt;(60-PARAM!$B$56))*HLOOKUP(($B961+PARAM!$B$56)/12,Loyalty,2)*$F$1*MAX(AD960,0)</f>
        <v>18.557001321003963</v>
      </c>
      <c r="AC961" s="75">
        <f>PARAM!$C$26+MAX($G$9-CHOOSE(PARAM!$B$44,MAX(0,AD960*$F$1),0),0)*RATES!$L937/12+$H$9*(PARAM!$D$51/12)*RATES!$N937/100</f>
        <v>1190.0416666666667</v>
      </c>
      <c r="AD961" s="16">
        <f t="shared" si="634"/>
        <v>-310506.5437903991</v>
      </c>
      <c r="AE961" s="15">
        <f t="shared" si="609"/>
        <v>22.170849845882874</v>
      </c>
      <c r="AF961" s="75">
        <f>AE961*(1-PARAM!$C$27)*$I$10+(MOD($B961,60)=PARAM!$B$56)*($B961&gt;(60-PARAM!$B$56))*HLOOKUP(($B961+PARAM!$B$56)/12,Loyalty,2)*$F$1*MAX(AH960,0)</f>
        <v>18.557001321003963</v>
      </c>
      <c r="AG961" s="75">
        <f>PARAM!$C$26+MAX($G$10-CHOOSE(PARAM!$B$44,MAX(0,AH960*$F$1),0),0)*RATES!$L937/12+$H$10*(PARAM!$D$51/12)*RATES!$N937/100</f>
        <v>1190.0416666666667</v>
      </c>
      <c r="AH961" s="16">
        <f t="shared" si="635"/>
        <v>-310506.5437903991</v>
      </c>
      <c r="AI961" s="15">
        <f t="shared" si="610"/>
        <v>22.170849845882874</v>
      </c>
      <c r="AJ961" s="75">
        <f>AI961*(1-PARAM!$C$27)*$I$11+(MOD($B961,60)=PARAM!$B$56)*($B961&gt;(60-PARAM!$B$56))*HLOOKUP(($B961+PARAM!$B$56)/12,Loyalty,2)*$F$1*MAX(AL960,0)</f>
        <v>18.557001321003963</v>
      </c>
      <c r="AK961" s="75">
        <f>PARAM!$C$26+MAX($G$11-CHOOSE(PARAM!$B$44,MAX(0,AL960*$F$1),0),0)*RATES!$L937/12+$H$11*(PARAM!$D$51/12)*RATES!$N937/100</f>
        <v>1190.0416666666667</v>
      </c>
      <c r="AL961" s="16">
        <f t="shared" si="636"/>
        <v>-310506.5437903991</v>
      </c>
      <c r="AM961" s="15">
        <f t="shared" si="611"/>
        <v>22.170849845882874</v>
      </c>
      <c r="AN961" s="75">
        <f>AM961*(1-PARAM!$C$27)*$I$12+(MOD($B961,60)=PARAM!$B$56)*($B961&gt;(60-PARAM!$B$56))*HLOOKUP(($B961+PARAM!$B$56)/12,Loyalty,2)*$F$1*MAX(AP960,0)</f>
        <v>18.557001321003963</v>
      </c>
      <c r="AO961" s="75">
        <f>PARAM!$C$26+MAX($G$12-CHOOSE(PARAM!$B$44,MAX(0,AP960*$F$1),0),0)*RATES!$L937/12+$H$12*(PARAM!$D$51/12)*RATES!$N937/100</f>
        <v>1190.0416666666667</v>
      </c>
      <c r="AP961" s="16">
        <f t="shared" si="637"/>
        <v>-310506.5437903991</v>
      </c>
      <c r="AQ961" s="15">
        <f t="shared" si="612"/>
        <v>22.170849845882874</v>
      </c>
      <c r="AR961" s="75">
        <f>AQ961*(1-PARAM!$C$27)*$I$13+(MOD($B961,60)=PARAM!$B$56)*($B961&gt;(60-PARAM!$B$56))*HLOOKUP(($B961+PARAM!$B$56)/12,Loyalty,2)*$F$1*MAX(AT960,0)</f>
        <v>18.557001321003963</v>
      </c>
      <c r="AS961" s="75">
        <f>PARAM!$C$26+MAX($G$13-CHOOSE(PARAM!$B$44,MAX(0,AT960*$F$1),0),0)*RATES!$L937/12+$H$13*(PARAM!$D$51/12)*RATES!$N937/100</f>
        <v>1190.0416666666667</v>
      </c>
      <c r="AT961" s="16">
        <f t="shared" si="638"/>
        <v>-310506.5437903991</v>
      </c>
      <c r="AU961" s="15">
        <f t="shared" si="613"/>
        <v>22.170849845882874</v>
      </c>
      <c r="AV961" s="75">
        <f>AU961*(1-PARAM!$C$27)*$I$14+(MOD($B961,60)=PARAM!$B$56)*($B961&gt;(60-PARAM!$B$56))*HLOOKUP(($B961+PARAM!$B$56)/12,Loyalty,2)*$F$1*MAX(AX960,0)</f>
        <v>18.557001321003963</v>
      </c>
      <c r="AW961" s="75">
        <f>PARAM!$C$26+MAX($G$14-CHOOSE(PARAM!$B$44,MAX(0,AX960*$F$1),0),0)*RATES!$L937/12+$H$14*(PARAM!$D$51/12)*RATES!$N937/100</f>
        <v>1190.0416666666667</v>
      </c>
      <c r="AX961" s="16">
        <f t="shared" si="639"/>
        <v>-310506.5437903991</v>
      </c>
      <c r="AY961" s="15">
        <f t="shared" si="614"/>
        <v>22.170849845882874</v>
      </c>
      <c r="AZ961" s="75">
        <f>AY961*(1-PARAM!$C$27)*$I$15+(MOD($B961,60)=PARAM!$B$56)*($B961&gt;(60-PARAM!$B$56))*HLOOKUP(($B961+PARAM!$B$56)/12,Loyalty,2)*$F$1*MAX(BB960,0)</f>
        <v>18.557001321003963</v>
      </c>
      <c r="BA961" s="75">
        <f>PARAM!$C$26+MAX($G$15-CHOOSE(PARAM!$B$44,MAX(0,BB960*$F$1),0),0)*RATES!$L937/12+$H$15*(PARAM!$D$51/12)*RATES!$N937/100</f>
        <v>1190.0416666666667</v>
      </c>
      <c r="BB961" s="16">
        <f t="shared" si="640"/>
        <v>-310506.5437903991</v>
      </c>
      <c r="BC961" s="15">
        <f t="shared" si="615"/>
        <v>22.170849845882874</v>
      </c>
      <c r="BD961" s="75">
        <f>BC961*(1-PARAM!$C$27)*$I$16+(MOD($B961,60)=PARAM!$B$56)*($B961&gt;(60-PARAM!$B$56))*HLOOKUP(($B961+PARAM!$B$56)/12,Loyalty,2)*$F$1*MAX(BF960,0)</f>
        <v>18.557001321003963</v>
      </c>
      <c r="BE961" s="75">
        <f>PARAM!$C$26+MAX($G$16-CHOOSE(PARAM!$B$44,MAX(0,BF960*$F$1),0),0)*RATES!$L937/12+$H$16*(PARAM!$D$51/12)*RATES!$N937/100</f>
        <v>1190.0416666666667</v>
      </c>
      <c r="BF961" s="16">
        <f t="shared" si="641"/>
        <v>-310506.5437903991</v>
      </c>
      <c r="BG961" s="15">
        <f t="shared" si="616"/>
        <v>22.170849845882874</v>
      </c>
      <c r="BH961" s="75">
        <f>BG961*(1-PARAM!$C$27)*$I$17+(MOD($B961,60)=PARAM!$B$56)*($B961&gt;(60-PARAM!$B$56))*HLOOKUP(($B961+PARAM!$B$56)/12,Loyalty,2)*$F$1*MAX(BJ960,0)</f>
        <v>18.557001321003963</v>
      </c>
      <c r="BI961" s="75">
        <f>PARAM!$C$26+MAX($G$17-CHOOSE(PARAM!$B$44,MAX(0,BJ960*$F$1),0),0)*RATES!$L937/12+$H$17*(PARAM!$D$51/12)*RATES!$N937/100</f>
        <v>1190.0416666666667</v>
      </c>
      <c r="BJ961" s="16">
        <f t="shared" si="642"/>
        <v>-310506.5437903991</v>
      </c>
      <c r="BK961" s="15">
        <f t="shared" si="617"/>
        <v>22.170849845882874</v>
      </c>
      <c r="BL961" s="75">
        <f>BK961*(1-PARAM!$C$27)*$I$18+(MOD($B961,60)=PARAM!$B$56)*($B961&gt;(60-PARAM!$B$56))*HLOOKUP(($B961+PARAM!$B$56)/12,Loyalty,2)*$F$1*MAX(BN960,0)</f>
        <v>18.557001321003963</v>
      </c>
      <c r="BM961" s="75">
        <f>PARAM!$C$26+MAX($G$18-CHOOSE(PARAM!$B$44,MAX(0,BN960*$F$1),0),0)*RATES!$L937/12+$H$18*(PARAM!$D$51/12)*RATES!$N937/100</f>
        <v>1190.0416666666667</v>
      </c>
      <c r="BN961" s="16">
        <f t="shared" si="643"/>
        <v>-310506.5437903991</v>
      </c>
      <c r="BO961" s="15">
        <f t="shared" si="618"/>
        <v>22.170849845882874</v>
      </c>
      <c r="BP961" s="75">
        <f>BO961*(1-PARAM!$C$27)*$I$19+(MOD($B961,60)=PARAM!$B$56)*($B961&gt;(60-PARAM!$B$56))*HLOOKUP(($B961+PARAM!$B$56)/12,Loyalty,2)*$F$1*MAX(BR960,0)</f>
        <v>18.557001321003963</v>
      </c>
      <c r="BQ961" s="75">
        <f>PARAM!$C$26+MAX($G$19-CHOOSE(PARAM!$B$44,MAX(0,BR960*$F$1),0),0)*RATES!$L937/12+$H$19*(PARAM!$D$51/12)*RATES!$N937/100</f>
        <v>1190.0416666666667</v>
      </c>
      <c r="BR961" s="16">
        <f t="shared" si="644"/>
        <v>-310506.5437903991</v>
      </c>
      <c r="BS961" s="15">
        <f t="shared" si="619"/>
        <v>22.170849845882874</v>
      </c>
      <c r="BT961" s="75">
        <f>BS961*(1-PARAM!$C$27)*$I$20+(MOD($B961,60)=PARAM!$B$56)*($B961&gt;(60-PARAM!$B$56))*HLOOKUP(($B961+PARAM!$B$56)/12,Loyalty,2)*$F$1*MAX(BV960,0)</f>
        <v>18.557001321003963</v>
      </c>
      <c r="BU961" s="75">
        <f>PARAM!$C$26+MAX($G$20-CHOOSE(PARAM!$B$44,MAX(0,BV960*$F$1),0),0)*RATES!$L937/12+$H$20*(PARAM!$D$51/12)*RATES!$N937/100</f>
        <v>1190.0416666666667</v>
      </c>
      <c r="BV961" s="16">
        <f t="shared" si="645"/>
        <v>-310506.5437903991</v>
      </c>
      <c r="BW961" s="15">
        <f t="shared" si="620"/>
        <v>22.170849845882874</v>
      </c>
      <c r="BX961" s="75">
        <f>BW961*(1-PARAM!$C$27)*$I$21+(MOD($B961,60)=PARAM!$B$56)*($B961&gt;(60-PARAM!$B$56))*HLOOKUP(($B961+PARAM!$B$56)/12,Loyalty,2)*$F$1*MAX(BZ960,0)</f>
        <v>18.557001321003963</v>
      </c>
      <c r="BY961" s="75">
        <f>PARAM!$C$26+MAX($G$21-CHOOSE(PARAM!$B$44,MAX(0,BZ960*$F$1),0),0)*RATES!$L937/12+$H$21*(PARAM!$D$51/12)*RATES!$N937/100</f>
        <v>1190.0416666666667</v>
      </c>
      <c r="BZ961" s="16">
        <f t="shared" si="646"/>
        <v>-310506.5437903991</v>
      </c>
      <c r="CA961" s="15">
        <f t="shared" si="621"/>
        <v>22.170849845882874</v>
      </c>
      <c r="CB961" s="75">
        <f>CA961*(1-PARAM!$C$27)*$I$22+(MOD($B961,60)=PARAM!$B$56)*($B961&gt;(60-PARAM!$B$56))*HLOOKUP(($B961+PARAM!$B$56)/12,Loyalty,2)*$F$1*MAX(CD960,0)</f>
        <v>18.557001321003963</v>
      </c>
      <c r="CC961" s="75">
        <f>PARAM!$C$26+MAX($G$22-CHOOSE(PARAM!$B$44,MAX(0,CD960*$F$1),0),0)*RATES!$L937/12+$H$22*(PARAM!$D$51/12)*RATES!$N937/100</f>
        <v>1190.0416666666667</v>
      </c>
      <c r="CD961" s="16">
        <f t="shared" si="647"/>
        <v>-310506.5437903991</v>
      </c>
      <c r="CE961" s="33">
        <f>IF(0=MOD(B961,12/PARAM!$D$51),1,0)</f>
        <v>1</v>
      </c>
      <c r="CF961" s="15">
        <f t="shared" si="622"/>
        <v>0</v>
      </c>
      <c r="CG961" s="75">
        <f>CF961*(1-PARAM!$C$27)*$R$3+(MOD($B961/12,5)=0)*($B961&gt;60)*HLOOKUP($B961/12,Loyalty,2)*$F$1*MAX(CI960,0)</f>
        <v>0</v>
      </c>
      <c r="CH961" s="75">
        <f>PARAM!$C$26+MAX($P$3-CHOOSE(PARAM!$B$44,MAX(0,CI960*$F$1),0),0)*RATES!$L937/12+$Q$3*(PARAM!$D$51/12)*RATES!$N937/100</f>
        <v>1190.0416666666667</v>
      </c>
      <c r="CI961" s="16">
        <f>IF(CI960&gt;0,CI960*PARAM!$C$53,CI960)+CG961-CH961</f>
        <v>-327719.20833333401</v>
      </c>
      <c r="CJ961" s="15">
        <f t="shared" si="648"/>
        <v>0</v>
      </c>
      <c r="CK961" s="75">
        <f>CJ961*(1-PARAM!$C$27)*$R$4+(MOD($B961/12,5)=0)*($B961&gt;60)*HLOOKUP($B961/12,Loyalty,2)*$F$1*MAX(CM960,0)</f>
        <v>0</v>
      </c>
      <c r="CL961" s="75">
        <f>PARAM!$C$26+MAX($P$4-CHOOSE(PARAM!$B$44,MAX(0,CM960*$F$1),0),0)*RATES!$L937/12+$Q$4*(PARAM!$D$51/12)*RATES!$N937/100</f>
        <v>1190.0416666666667</v>
      </c>
      <c r="CM961" s="16">
        <f>IF(CM960&gt;0,CM960*PARAM!$C$53,CM960)+CK961-CL961</f>
        <v>-327719.20833333401</v>
      </c>
      <c r="CO961" s="176"/>
    </row>
    <row r="962" spans="1:93" x14ac:dyDescent="0.2">
      <c r="A962" t="b">
        <f t="shared" si="623"/>
        <v>0</v>
      </c>
      <c r="B962" s="33">
        <v>935</v>
      </c>
      <c r="C962" s="15">
        <f t="shared" si="624"/>
        <v>20.081305947392778</v>
      </c>
      <c r="D962" s="75">
        <f>C962*(1-PARAM!$C$27)*$I$3+(MOD($B962,60)=PARAM!$B$56)*($B962&gt;(60-PARAM!$B$56))*HLOOKUP(($B962+PARAM!$B$56)/12,Loyalty,2)*$F$1*MAX(F961,0)</f>
        <v>16.808053077967756</v>
      </c>
      <c r="E962" s="75">
        <f>PARAM!$C$26+MAX($G$3-CHOOSE(PARAM!$B$44,MAX(0,F961*$F$1),0),0)*RATES!$L938/12+$H$3*(PARAM!$D$51/12)*RATES!$N938/100</f>
        <v>1190.0416666666667</v>
      </c>
      <c r="F962" s="16">
        <f t="shared" si="625"/>
        <v>-313350.14556350582</v>
      </c>
      <c r="G962" s="15">
        <f t="shared" si="626"/>
        <v>22.035289406060361</v>
      </c>
      <c r="H962" s="75">
        <f>G962*(1-PARAM!$C$27)*$I$4+(MOD($B962,60)=PARAM!$B$56)*($B962&gt;(60-PARAM!$B$56))*HLOOKUP(($B962+PARAM!$B$56)/12,Loyalty,2)*$F$1*MAX(J961,0)</f>
        <v>18.443537232872522</v>
      </c>
      <c r="I962" s="75">
        <f>PARAM!$C$26+MAX($G$4-CHOOSE(PARAM!$B$44,MAX(0,J961*$F$1),0),0)*RATES!$L938/12+$H$4*(PARAM!$D$51/12)*RATES!$N938/100</f>
        <v>1190.0416666666667</v>
      </c>
      <c r="J962" s="16">
        <f t="shared" si="627"/>
        <v>-311787.13491454598</v>
      </c>
      <c r="K962" s="15">
        <f t="shared" si="628"/>
        <v>22.170849845882874</v>
      </c>
      <c r="L962" s="75">
        <f>K962*(1-PARAM!$C$27)*$I$5+(MOD($B962,60)=PARAM!$B$56)*($B962&gt;(60-PARAM!$B$56))*HLOOKUP(($B962+PARAM!$B$56)/12,Loyalty,2)*$F$1*MAX(N961,0)</f>
        <v>18.557001321003963</v>
      </c>
      <c r="M962" s="75">
        <f>PARAM!$C$26+MAX($G$5-CHOOSE(PARAM!$B$44,MAX(0,N961*$F$1),0),0)*RATES!$L938/12+$H$5*(PARAM!$D$51/12)*RATES!$N938/100</f>
        <v>1190.0416666666667</v>
      </c>
      <c r="N962" s="16">
        <f t="shared" si="629"/>
        <v>-311678.02845574479</v>
      </c>
      <c r="O962" s="15">
        <f t="shared" si="630"/>
        <v>22.170849845882874</v>
      </c>
      <c r="P962" s="75">
        <f>O962*(1-PARAM!$C$27)*$I$6+(MOD($B962,60)=PARAM!$B$56)*($B962&gt;(60-PARAM!$B$56))*HLOOKUP(($B962+PARAM!$B$56)/12,Loyalty,2)*$F$1*MAX(R961,0)</f>
        <v>18.557001321003963</v>
      </c>
      <c r="Q962" s="75">
        <f>PARAM!$C$26+MAX($G$6-CHOOSE(PARAM!$B$44,MAX(0,R961*$F$1),0),0)*RATES!$L938/12+$H$6*(PARAM!$D$51/12)*RATES!$N938/100</f>
        <v>1190.0416666666667</v>
      </c>
      <c r="R962" s="16">
        <f t="shared" si="631"/>
        <v>-311678.02845574479</v>
      </c>
      <c r="S962" s="15">
        <f t="shared" si="606"/>
        <v>22.170849845882874</v>
      </c>
      <c r="T962" s="75">
        <f>S962*(1-PARAM!$C$27)*$I$7+(MOD($B962,60)=PARAM!$B$56)*($B962&gt;(60-PARAM!$B$56))*HLOOKUP(($B962+PARAM!$B$56)/12,Loyalty,2)*$F$1*MAX(V961,0)</f>
        <v>18.557001321003963</v>
      </c>
      <c r="U962" s="75">
        <f>PARAM!$C$26+MAX($G$7-CHOOSE(PARAM!$B$44,MAX(0,V961*$F$1),0),0)*RATES!$L938/12+$H$7*(PARAM!$D$51/12)*RATES!$N938/100</f>
        <v>1190.0416666666667</v>
      </c>
      <c r="V962" s="16">
        <f t="shared" si="632"/>
        <v>-311678.02845574479</v>
      </c>
      <c r="W962" s="15">
        <f t="shared" si="607"/>
        <v>22.170849845882874</v>
      </c>
      <c r="X962" s="75">
        <f>W962*(1-PARAM!$C$27)*$I$8+(MOD($B962,60)=PARAM!$B$56)*($B962&gt;(60-PARAM!$B$56))*HLOOKUP(($B962+PARAM!$B$56)/12,Loyalty,2)*$F$1*MAX(Z961,0)</f>
        <v>18.557001321003963</v>
      </c>
      <c r="Y962" s="75">
        <f>PARAM!$C$26+MAX($G$8-CHOOSE(PARAM!$B$44,MAX(0,Z961*$F$1),0),0)*RATES!$L938/12+$H$8*(PARAM!$D$51/12)*RATES!$N938/100</f>
        <v>1190.0416666666667</v>
      </c>
      <c r="Z962" s="16">
        <f t="shared" si="633"/>
        <v>-311678.02845574479</v>
      </c>
      <c r="AA962" s="15">
        <f t="shared" si="608"/>
        <v>22.170849845882874</v>
      </c>
      <c r="AB962" s="75">
        <f>AA962*(1-PARAM!$C$27)*$I$9+(MOD($B962,60)=PARAM!$B$56)*($B962&gt;(60-PARAM!$B$56))*HLOOKUP(($B962+PARAM!$B$56)/12,Loyalty,2)*$F$1*MAX(AD961,0)</f>
        <v>18.557001321003963</v>
      </c>
      <c r="AC962" s="75">
        <f>PARAM!$C$26+MAX($G$9-CHOOSE(PARAM!$B$44,MAX(0,AD961*$F$1),0),0)*RATES!$L938/12+$H$9*(PARAM!$D$51/12)*RATES!$N938/100</f>
        <v>1190.0416666666667</v>
      </c>
      <c r="AD962" s="16">
        <f t="shared" si="634"/>
        <v>-311678.02845574479</v>
      </c>
      <c r="AE962" s="15">
        <f t="shared" si="609"/>
        <v>22.170849845882874</v>
      </c>
      <c r="AF962" s="75">
        <f>AE962*(1-PARAM!$C$27)*$I$10+(MOD($B962,60)=PARAM!$B$56)*($B962&gt;(60-PARAM!$B$56))*HLOOKUP(($B962+PARAM!$B$56)/12,Loyalty,2)*$F$1*MAX(AH961,0)</f>
        <v>18.557001321003963</v>
      </c>
      <c r="AG962" s="75">
        <f>PARAM!$C$26+MAX($G$10-CHOOSE(PARAM!$B$44,MAX(0,AH961*$F$1),0),0)*RATES!$L938/12+$H$10*(PARAM!$D$51/12)*RATES!$N938/100</f>
        <v>1190.0416666666667</v>
      </c>
      <c r="AH962" s="16">
        <f t="shared" si="635"/>
        <v>-311678.02845574479</v>
      </c>
      <c r="AI962" s="15">
        <f t="shared" si="610"/>
        <v>22.170849845882874</v>
      </c>
      <c r="AJ962" s="75">
        <f>AI962*(1-PARAM!$C$27)*$I$11+(MOD($B962,60)=PARAM!$B$56)*($B962&gt;(60-PARAM!$B$56))*HLOOKUP(($B962+PARAM!$B$56)/12,Loyalty,2)*$F$1*MAX(AL961,0)</f>
        <v>18.557001321003963</v>
      </c>
      <c r="AK962" s="75">
        <f>PARAM!$C$26+MAX($G$11-CHOOSE(PARAM!$B$44,MAX(0,AL961*$F$1),0),0)*RATES!$L938/12+$H$11*(PARAM!$D$51/12)*RATES!$N938/100</f>
        <v>1190.0416666666667</v>
      </c>
      <c r="AL962" s="16">
        <f t="shared" si="636"/>
        <v>-311678.02845574479</v>
      </c>
      <c r="AM962" s="15">
        <f t="shared" si="611"/>
        <v>22.170849845882874</v>
      </c>
      <c r="AN962" s="75">
        <f>AM962*(1-PARAM!$C$27)*$I$12+(MOD($B962,60)=PARAM!$B$56)*($B962&gt;(60-PARAM!$B$56))*HLOOKUP(($B962+PARAM!$B$56)/12,Loyalty,2)*$F$1*MAX(AP961,0)</f>
        <v>18.557001321003963</v>
      </c>
      <c r="AO962" s="75">
        <f>PARAM!$C$26+MAX($G$12-CHOOSE(PARAM!$B$44,MAX(0,AP961*$F$1),0),0)*RATES!$L938/12+$H$12*(PARAM!$D$51/12)*RATES!$N938/100</f>
        <v>1190.0416666666667</v>
      </c>
      <c r="AP962" s="16">
        <f t="shared" si="637"/>
        <v>-311678.02845574479</v>
      </c>
      <c r="AQ962" s="15">
        <f t="shared" si="612"/>
        <v>22.170849845882874</v>
      </c>
      <c r="AR962" s="75">
        <f>AQ962*(1-PARAM!$C$27)*$I$13+(MOD($B962,60)=PARAM!$B$56)*($B962&gt;(60-PARAM!$B$56))*HLOOKUP(($B962+PARAM!$B$56)/12,Loyalty,2)*$F$1*MAX(AT961,0)</f>
        <v>18.557001321003963</v>
      </c>
      <c r="AS962" s="75">
        <f>PARAM!$C$26+MAX($G$13-CHOOSE(PARAM!$B$44,MAX(0,AT961*$F$1),0),0)*RATES!$L938/12+$H$13*(PARAM!$D$51/12)*RATES!$N938/100</f>
        <v>1190.0416666666667</v>
      </c>
      <c r="AT962" s="16">
        <f t="shared" si="638"/>
        <v>-311678.02845574479</v>
      </c>
      <c r="AU962" s="15">
        <f t="shared" si="613"/>
        <v>22.170849845882874</v>
      </c>
      <c r="AV962" s="75">
        <f>AU962*(1-PARAM!$C$27)*$I$14+(MOD($B962,60)=PARAM!$B$56)*($B962&gt;(60-PARAM!$B$56))*HLOOKUP(($B962+PARAM!$B$56)/12,Loyalty,2)*$F$1*MAX(AX961,0)</f>
        <v>18.557001321003963</v>
      </c>
      <c r="AW962" s="75">
        <f>PARAM!$C$26+MAX($G$14-CHOOSE(PARAM!$B$44,MAX(0,AX961*$F$1),0),0)*RATES!$L938/12+$H$14*(PARAM!$D$51/12)*RATES!$N938/100</f>
        <v>1190.0416666666667</v>
      </c>
      <c r="AX962" s="16">
        <f t="shared" si="639"/>
        <v>-311678.02845574479</v>
      </c>
      <c r="AY962" s="15">
        <f t="shared" si="614"/>
        <v>22.170849845882874</v>
      </c>
      <c r="AZ962" s="75">
        <f>AY962*(1-PARAM!$C$27)*$I$15+(MOD($B962,60)=PARAM!$B$56)*($B962&gt;(60-PARAM!$B$56))*HLOOKUP(($B962+PARAM!$B$56)/12,Loyalty,2)*$F$1*MAX(BB961,0)</f>
        <v>18.557001321003963</v>
      </c>
      <c r="BA962" s="75">
        <f>PARAM!$C$26+MAX($G$15-CHOOSE(PARAM!$B$44,MAX(0,BB961*$F$1),0),0)*RATES!$L938/12+$H$15*(PARAM!$D$51/12)*RATES!$N938/100</f>
        <v>1190.0416666666667</v>
      </c>
      <c r="BB962" s="16">
        <f t="shared" si="640"/>
        <v>-311678.02845574479</v>
      </c>
      <c r="BC962" s="15">
        <f t="shared" si="615"/>
        <v>22.170849845882874</v>
      </c>
      <c r="BD962" s="75">
        <f>BC962*(1-PARAM!$C$27)*$I$16+(MOD($B962,60)=PARAM!$B$56)*($B962&gt;(60-PARAM!$B$56))*HLOOKUP(($B962+PARAM!$B$56)/12,Loyalty,2)*$F$1*MAX(BF961,0)</f>
        <v>18.557001321003963</v>
      </c>
      <c r="BE962" s="75">
        <f>PARAM!$C$26+MAX($G$16-CHOOSE(PARAM!$B$44,MAX(0,BF961*$F$1),0),0)*RATES!$L938/12+$H$16*(PARAM!$D$51/12)*RATES!$N938/100</f>
        <v>1190.0416666666667</v>
      </c>
      <c r="BF962" s="16">
        <f t="shared" si="641"/>
        <v>-311678.02845574479</v>
      </c>
      <c r="BG962" s="15">
        <f t="shared" si="616"/>
        <v>22.170849845882874</v>
      </c>
      <c r="BH962" s="75">
        <f>BG962*(1-PARAM!$C$27)*$I$17+(MOD($B962,60)=PARAM!$B$56)*($B962&gt;(60-PARAM!$B$56))*HLOOKUP(($B962+PARAM!$B$56)/12,Loyalty,2)*$F$1*MAX(BJ961,0)</f>
        <v>18.557001321003963</v>
      </c>
      <c r="BI962" s="75">
        <f>PARAM!$C$26+MAX($G$17-CHOOSE(PARAM!$B$44,MAX(0,BJ961*$F$1),0),0)*RATES!$L938/12+$H$17*(PARAM!$D$51/12)*RATES!$N938/100</f>
        <v>1190.0416666666667</v>
      </c>
      <c r="BJ962" s="16">
        <f t="shared" si="642"/>
        <v>-311678.02845574479</v>
      </c>
      <c r="BK962" s="15">
        <f t="shared" si="617"/>
        <v>22.170849845882874</v>
      </c>
      <c r="BL962" s="75">
        <f>BK962*(1-PARAM!$C$27)*$I$18+(MOD($B962,60)=PARAM!$B$56)*($B962&gt;(60-PARAM!$B$56))*HLOOKUP(($B962+PARAM!$B$56)/12,Loyalty,2)*$F$1*MAX(BN961,0)</f>
        <v>18.557001321003963</v>
      </c>
      <c r="BM962" s="75">
        <f>PARAM!$C$26+MAX($G$18-CHOOSE(PARAM!$B$44,MAX(0,BN961*$F$1),0),0)*RATES!$L938/12+$H$18*(PARAM!$D$51/12)*RATES!$N938/100</f>
        <v>1190.0416666666667</v>
      </c>
      <c r="BN962" s="16">
        <f t="shared" si="643"/>
        <v>-311678.02845574479</v>
      </c>
      <c r="BO962" s="15">
        <f t="shared" si="618"/>
        <v>22.170849845882874</v>
      </c>
      <c r="BP962" s="75">
        <f>BO962*(1-PARAM!$C$27)*$I$19+(MOD($B962,60)=PARAM!$B$56)*($B962&gt;(60-PARAM!$B$56))*HLOOKUP(($B962+PARAM!$B$56)/12,Loyalty,2)*$F$1*MAX(BR961,0)</f>
        <v>18.557001321003963</v>
      </c>
      <c r="BQ962" s="75">
        <f>PARAM!$C$26+MAX($G$19-CHOOSE(PARAM!$B$44,MAX(0,BR961*$F$1),0),0)*RATES!$L938/12+$H$19*(PARAM!$D$51/12)*RATES!$N938/100</f>
        <v>1190.0416666666667</v>
      </c>
      <c r="BR962" s="16">
        <f t="shared" si="644"/>
        <v>-311678.02845574479</v>
      </c>
      <c r="BS962" s="15">
        <f t="shared" si="619"/>
        <v>22.170849845882874</v>
      </c>
      <c r="BT962" s="75">
        <f>BS962*(1-PARAM!$C$27)*$I$20+(MOD($B962,60)=PARAM!$B$56)*($B962&gt;(60-PARAM!$B$56))*HLOOKUP(($B962+PARAM!$B$56)/12,Loyalty,2)*$F$1*MAX(BV961,0)</f>
        <v>18.557001321003963</v>
      </c>
      <c r="BU962" s="75">
        <f>PARAM!$C$26+MAX($G$20-CHOOSE(PARAM!$B$44,MAX(0,BV961*$F$1),0),0)*RATES!$L938/12+$H$20*(PARAM!$D$51/12)*RATES!$N938/100</f>
        <v>1190.0416666666667</v>
      </c>
      <c r="BV962" s="16">
        <f t="shared" si="645"/>
        <v>-311678.02845574479</v>
      </c>
      <c r="BW962" s="15">
        <f t="shared" si="620"/>
        <v>22.170849845882874</v>
      </c>
      <c r="BX962" s="75">
        <f>BW962*(1-PARAM!$C$27)*$I$21+(MOD($B962,60)=PARAM!$B$56)*($B962&gt;(60-PARAM!$B$56))*HLOOKUP(($B962+PARAM!$B$56)/12,Loyalty,2)*$F$1*MAX(BZ961,0)</f>
        <v>18.557001321003963</v>
      </c>
      <c r="BY962" s="75">
        <f>PARAM!$C$26+MAX($G$21-CHOOSE(PARAM!$B$44,MAX(0,BZ961*$F$1),0),0)*RATES!$L938/12+$H$21*(PARAM!$D$51/12)*RATES!$N938/100</f>
        <v>1190.0416666666667</v>
      </c>
      <c r="BZ962" s="16">
        <f t="shared" si="646"/>
        <v>-311678.02845574479</v>
      </c>
      <c r="CA962" s="15">
        <f t="shared" si="621"/>
        <v>22.170849845882874</v>
      </c>
      <c r="CB962" s="75">
        <f>CA962*(1-PARAM!$C$27)*$I$22+(MOD($B962,60)=PARAM!$B$56)*($B962&gt;(60-PARAM!$B$56))*HLOOKUP(($B962+PARAM!$B$56)/12,Loyalty,2)*$F$1*MAX(CD961,0)</f>
        <v>18.557001321003963</v>
      </c>
      <c r="CC962" s="75">
        <f>PARAM!$C$26+MAX($G$22-CHOOSE(PARAM!$B$44,MAX(0,CD961*$F$1),0),0)*RATES!$L938/12+$H$22*(PARAM!$D$51/12)*RATES!$N938/100</f>
        <v>1190.0416666666667</v>
      </c>
      <c r="CD962" s="16">
        <f t="shared" si="647"/>
        <v>-311678.02845574479</v>
      </c>
      <c r="CE962" s="33">
        <f>IF(0=MOD(B962,12/PARAM!$D$51),1,0)</f>
        <v>1</v>
      </c>
      <c r="CF962" s="15">
        <f t="shared" si="622"/>
        <v>0</v>
      </c>
      <c r="CG962" s="75">
        <f>CF962*(1-PARAM!$C$27)*$R$3+(MOD($B962/12,5)=0)*($B962&gt;60)*HLOOKUP($B962/12,Loyalty,2)*$F$1*MAX(CI961,0)</f>
        <v>0</v>
      </c>
      <c r="CH962" s="75">
        <f>PARAM!$C$26+MAX($P$3-CHOOSE(PARAM!$B$44,MAX(0,CI961*$F$1),0),0)*RATES!$L938/12+$Q$3*(PARAM!$D$51/12)*RATES!$N938/100</f>
        <v>1190.0416666666667</v>
      </c>
      <c r="CI962" s="16">
        <f>IF(CI961&gt;0,CI961*PARAM!$C$53,CI961)+CG962-CH962</f>
        <v>-328909.2500000007</v>
      </c>
      <c r="CJ962" s="15">
        <f t="shared" si="648"/>
        <v>0</v>
      </c>
      <c r="CK962" s="75">
        <f>CJ962*(1-PARAM!$C$27)*$R$4+(MOD($B962/12,5)=0)*($B962&gt;60)*HLOOKUP($B962/12,Loyalty,2)*$F$1*MAX(CM961,0)</f>
        <v>0</v>
      </c>
      <c r="CL962" s="75">
        <f>PARAM!$C$26+MAX($P$4-CHOOSE(PARAM!$B$44,MAX(0,CM961*$F$1),0),0)*RATES!$L938/12+$Q$4*(PARAM!$D$51/12)*RATES!$N938/100</f>
        <v>1190.0416666666667</v>
      </c>
      <c r="CM962" s="16">
        <f>IF(CM961&gt;0,CM961*PARAM!$C$53,CM961)+CK962-CL962</f>
        <v>-328909.2500000007</v>
      </c>
      <c r="CO962" s="176"/>
    </row>
    <row r="963" spans="1:93" x14ac:dyDescent="0.2">
      <c r="A963" t="b">
        <f t="shared" si="623"/>
        <v>0</v>
      </c>
      <c r="B963" s="33">
        <v>936</v>
      </c>
      <c r="C963" s="15">
        <f t="shared" si="624"/>
        <v>20.081305947392778</v>
      </c>
      <c r="D963" s="75">
        <f>C963*(1-PARAM!$C$27)*$I$3+(MOD($B963,60)=PARAM!$B$56)*($B963&gt;(60-PARAM!$B$56))*HLOOKUP(($B963+PARAM!$B$56)/12,Loyalty,2)*$F$1*MAX(F962,0)</f>
        <v>16.808053077967756</v>
      </c>
      <c r="E963" s="75">
        <f>PARAM!$C$26+MAX($G$3-CHOOSE(PARAM!$B$44,MAX(0,F962*$F$1),0),0)*RATES!$L939/12+$H$3*(PARAM!$D$51/12)*RATES!$N939/100</f>
        <v>1190.0416666666667</v>
      </c>
      <c r="F963" s="16">
        <f t="shared" si="625"/>
        <v>-314523.37917709455</v>
      </c>
      <c r="G963" s="15">
        <f t="shared" si="626"/>
        <v>22.035289406060361</v>
      </c>
      <c r="H963" s="75">
        <f>G963*(1-PARAM!$C$27)*$I$4+(MOD($B963,60)=PARAM!$B$56)*($B963&gt;(60-PARAM!$B$56))*HLOOKUP(($B963+PARAM!$B$56)/12,Loyalty,2)*$F$1*MAX(J962,0)</f>
        <v>18.443537232872522</v>
      </c>
      <c r="I963" s="75">
        <f>PARAM!$C$26+MAX($G$4-CHOOSE(PARAM!$B$44,MAX(0,J962*$F$1),0),0)*RATES!$L939/12+$H$4*(PARAM!$D$51/12)*RATES!$N939/100</f>
        <v>1190.0416666666667</v>
      </c>
      <c r="J963" s="16">
        <f t="shared" si="627"/>
        <v>-312958.7330439798</v>
      </c>
      <c r="K963" s="15">
        <f t="shared" si="628"/>
        <v>22.170849845882874</v>
      </c>
      <c r="L963" s="75">
        <f>K963*(1-PARAM!$C$27)*$I$5+(MOD($B963,60)=PARAM!$B$56)*($B963&gt;(60-PARAM!$B$56))*HLOOKUP(($B963+PARAM!$B$56)/12,Loyalty,2)*$F$1*MAX(N962,0)</f>
        <v>18.557001321003963</v>
      </c>
      <c r="M963" s="75">
        <f>PARAM!$C$26+MAX($G$5-CHOOSE(PARAM!$B$44,MAX(0,N962*$F$1),0),0)*RATES!$L939/12+$H$5*(PARAM!$D$51/12)*RATES!$N939/100</f>
        <v>1190.0416666666667</v>
      </c>
      <c r="N963" s="16">
        <f t="shared" si="629"/>
        <v>-312849.51312109048</v>
      </c>
      <c r="O963" s="15">
        <f t="shared" si="630"/>
        <v>22.170849845882874</v>
      </c>
      <c r="P963" s="75">
        <f>O963*(1-PARAM!$C$27)*$I$6+(MOD($B963,60)=PARAM!$B$56)*($B963&gt;(60-PARAM!$B$56))*HLOOKUP(($B963+PARAM!$B$56)/12,Loyalty,2)*$F$1*MAX(R962,0)</f>
        <v>18.557001321003963</v>
      </c>
      <c r="Q963" s="75">
        <f>PARAM!$C$26+MAX($G$6-CHOOSE(PARAM!$B$44,MAX(0,R962*$F$1),0),0)*RATES!$L939/12+$H$6*(PARAM!$D$51/12)*RATES!$N939/100</f>
        <v>1190.0416666666667</v>
      </c>
      <c r="R963" s="16">
        <f t="shared" si="631"/>
        <v>-312849.51312109048</v>
      </c>
      <c r="S963" s="15">
        <f t="shared" si="606"/>
        <v>22.170849845882874</v>
      </c>
      <c r="T963" s="75">
        <f>S963*(1-PARAM!$C$27)*$I$7+(MOD($B963,60)=PARAM!$B$56)*($B963&gt;(60-PARAM!$B$56))*HLOOKUP(($B963+PARAM!$B$56)/12,Loyalty,2)*$F$1*MAX(V962,0)</f>
        <v>18.557001321003963</v>
      </c>
      <c r="U963" s="75">
        <f>PARAM!$C$26+MAX($G$7-CHOOSE(PARAM!$B$44,MAX(0,V962*$F$1),0),0)*RATES!$L939/12+$H$7*(PARAM!$D$51/12)*RATES!$N939/100</f>
        <v>1190.0416666666667</v>
      </c>
      <c r="V963" s="16">
        <f t="shared" si="632"/>
        <v>-312849.51312109048</v>
      </c>
      <c r="W963" s="15">
        <f t="shared" si="607"/>
        <v>22.170849845882874</v>
      </c>
      <c r="X963" s="75">
        <f>W963*(1-PARAM!$C$27)*$I$8+(MOD($B963,60)=PARAM!$B$56)*($B963&gt;(60-PARAM!$B$56))*HLOOKUP(($B963+PARAM!$B$56)/12,Loyalty,2)*$F$1*MAX(Z962,0)</f>
        <v>18.557001321003963</v>
      </c>
      <c r="Y963" s="75">
        <f>PARAM!$C$26+MAX($G$8-CHOOSE(PARAM!$B$44,MAX(0,Z962*$F$1),0),0)*RATES!$L939/12+$H$8*(PARAM!$D$51/12)*RATES!$N939/100</f>
        <v>1190.0416666666667</v>
      </c>
      <c r="Z963" s="16">
        <f t="shared" si="633"/>
        <v>-312849.51312109048</v>
      </c>
      <c r="AA963" s="15">
        <f t="shared" si="608"/>
        <v>22.170849845882874</v>
      </c>
      <c r="AB963" s="75">
        <f>AA963*(1-PARAM!$C$27)*$I$9+(MOD($B963,60)=PARAM!$B$56)*($B963&gt;(60-PARAM!$B$56))*HLOOKUP(($B963+PARAM!$B$56)/12,Loyalty,2)*$F$1*MAX(AD962,0)</f>
        <v>18.557001321003963</v>
      </c>
      <c r="AC963" s="75">
        <f>PARAM!$C$26+MAX($G$9-CHOOSE(PARAM!$B$44,MAX(0,AD962*$F$1),0),0)*RATES!$L939/12+$H$9*(PARAM!$D$51/12)*RATES!$N939/100</f>
        <v>1190.0416666666667</v>
      </c>
      <c r="AD963" s="16">
        <f t="shared" si="634"/>
        <v>-312849.51312109048</v>
      </c>
      <c r="AE963" s="15">
        <f t="shared" si="609"/>
        <v>22.170849845882874</v>
      </c>
      <c r="AF963" s="75">
        <f>AE963*(1-PARAM!$C$27)*$I$10+(MOD($B963,60)=PARAM!$B$56)*($B963&gt;(60-PARAM!$B$56))*HLOOKUP(($B963+PARAM!$B$56)/12,Loyalty,2)*$F$1*MAX(AH962,0)</f>
        <v>18.557001321003963</v>
      </c>
      <c r="AG963" s="75">
        <f>PARAM!$C$26+MAX($G$10-CHOOSE(PARAM!$B$44,MAX(0,AH962*$F$1),0),0)*RATES!$L939/12+$H$10*(PARAM!$D$51/12)*RATES!$N939/100</f>
        <v>1190.0416666666667</v>
      </c>
      <c r="AH963" s="16">
        <f t="shared" si="635"/>
        <v>-312849.51312109048</v>
      </c>
      <c r="AI963" s="15">
        <f t="shared" si="610"/>
        <v>22.170849845882874</v>
      </c>
      <c r="AJ963" s="75">
        <f>AI963*(1-PARAM!$C$27)*$I$11+(MOD($B963,60)=PARAM!$B$56)*($B963&gt;(60-PARAM!$B$56))*HLOOKUP(($B963+PARAM!$B$56)/12,Loyalty,2)*$F$1*MAX(AL962,0)</f>
        <v>18.557001321003963</v>
      </c>
      <c r="AK963" s="75">
        <f>PARAM!$C$26+MAX($G$11-CHOOSE(PARAM!$B$44,MAX(0,AL962*$F$1),0),0)*RATES!$L939/12+$H$11*(PARAM!$D$51/12)*RATES!$N939/100</f>
        <v>1190.0416666666667</v>
      </c>
      <c r="AL963" s="16">
        <f t="shared" si="636"/>
        <v>-312849.51312109048</v>
      </c>
      <c r="AM963" s="15">
        <f t="shared" si="611"/>
        <v>22.170849845882874</v>
      </c>
      <c r="AN963" s="75">
        <f>AM963*(1-PARAM!$C$27)*$I$12+(MOD($B963,60)=PARAM!$B$56)*($B963&gt;(60-PARAM!$B$56))*HLOOKUP(($B963+PARAM!$B$56)/12,Loyalty,2)*$F$1*MAX(AP962,0)</f>
        <v>18.557001321003963</v>
      </c>
      <c r="AO963" s="75">
        <f>PARAM!$C$26+MAX($G$12-CHOOSE(PARAM!$B$44,MAX(0,AP962*$F$1),0),0)*RATES!$L939/12+$H$12*(PARAM!$D$51/12)*RATES!$N939/100</f>
        <v>1190.0416666666667</v>
      </c>
      <c r="AP963" s="16">
        <f t="shared" si="637"/>
        <v>-312849.51312109048</v>
      </c>
      <c r="AQ963" s="15">
        <f t="shared" si="612"/>
        <v>22.170849845882874</v>
      </c>
      <c r="AR963" s="75">
        <f>AQ963*(1-PARAM!$C$27)*$I$13+(MOD($B963,60)=PARAM!$B$56)*($B963&gt;(60-PARAM!$B$56))*HLOOKUP(($B963+PARAM!$B$56)/12,Loyalty,2)*$F$1*MAX(AT962,0)</f>
        <v>18.557001321003963</v>
      </c>
      <c r="AS963" s="75">
        <f>PARAM!$C$26+MAX($G$13-CHOOSE(PARAM!$B$44,MAX(0,AT962*$F$1),0),0)*RATES!$L939/12+$H$13*(PARAM!$D$51/12)*RATES!$N939/100</f>
        <v>1190.0416666666667</v>
      </c>
      <c r="AT963" s="16">
        <f t="shared" si="638"/>
        <v>-312849.51312109048</v>
      </c>
      <c r="AU963" s="15">
        <f t="shared" si="613"/>
        <v>22.170849845882874</v>
      </c>
      <c r="AV963" s="75">
        <f>AU963*(1-PARAM!$C$27)*$I$14+(MOD($B963,60)=PARAM!$B$56)*($B963&gt;(60-PARAM!$B$56))*HLOOKUP(($B963+PARAM!$B$56)/12,Loyalty,2)*$F$1*MAX(AX962,0)</f>
        <v>18.557001321003963</v>
      </c>
      <c r="AW963" s="75">
        <f>PARAM!$C$26+MAX($G$14-CHOOSE(PARAM!$B$44,MAX(0,AX962*$F$1),0),0)*RATES!$L939/12+$H$14*(PARAM!$D$51/12)*RATES!$N939/100</f>
        <v>1190.0416666666667</v>
      </c>
      <c r="AX963" s="16">
        <f t="shared" si="639"/>
        <v>-312849.51312109048</v>
      </c>
      <c r="AY963" s="15">
        <f t="shared" si="614"/>
        <v>22.170849845882874</v>
      </c>
      <c r="AZ963" s="75">
        <f>AY963*(1-PARAM!$C$27)*$I$15+(MOD($B963,60)=PARAM!$B$56)*($B963&gt;(60-PARAM!$B$56))*HLOOKUP(($B963+PARAM!$B$56)/12,Loyalty,2)*$F$1*MAX(BB962,0)</f>
        <v>18.557001321003963</v>
      </c>
      <c r="BA963" s="75">
        <f>PARAM!$C$26+MAX($G$15-CHOOSE(PARAM!$B$44,MAX(0,BB962*$F$1),0),0)*RATES!$L939/12+$H$15*(PARAM!$D$51/12)*RATES!$N939/100</f>
        <v>1190.0416666666667</v>
      </c>
      <c r="BB963" s="16">
        <f t="shared" si="640"/>
        <v>-312849.51312109048</v>
      </c>
      <c r="BC963" s="15">
        <f t="shared" si="615"/>
        <v>22.170849845882874</v>
      </c>
      <c r="BD963" s="75">
        <f>BC963*(1-PARAM!$C$27)*$I$16+(MOD($B963,60)=PARAM!$B$56)*($B963&gt;(60-PARAM!$B$56))*HLOOKUP(($B963+PARAM!$B$56)/12,Loyalty,2)*$F$1*MAX(BF962,0)</f>
        <v>18.557001321003963</v>
      </c>
      <c r="BE963" s="75">
        <f>PARAM!$C$26+MAX($G$16-CHOOSE(PARAM!$B$44,MAX(0,BF962*$F$1),0),0)*RATES!$L939/12+$H$16*(PARAM!$D$51/12)*RATES!$N939/100</f>
        <v>1190.0416666666667</v>
      </c>
      <c r="BF963" s="16">
        <f t="shared" si="641"/>
        <v>-312849.51312109048</v>
      </c>
      <c r="BG963" s="15">
        <f t="shared" si="616"/>
        <v>22.170849845882874</v>
      </c>
      <c r="BH963" s="75">
        <f>BG963*(1-PARAM!$C$27)*$I$17+(MOD($B963,60)=PARAM!$B$56)*($B963&gt;(60-PARAM!$B$56))*HLOOKUP(($B963+PARAM!$B$56)/12,Loyalty,2)*$F$1*MAX(BJ962,0)</f>
        <v>18.557001321003963</v>
      </c>
      <c r="BI963" s="75">
        <f>PARAM!$C$26+MAX($G$17-CHOOSE(PARAM!$B$44,MAX(0,BJ962*$F$1),0),0)*RATES!$L939/12+$H$17*(PARAM!$D$51/12)*RATES!$N939/100</f>
        <v>1190.0416666666667</v>
      </c>
      <c r="BJ963" s="16">
        <f t="shared" si="642"/>
        <v>-312849.51312109048</v>
      </c>
      <c r="BK963" s="15">
        <f t="shared" si="617"/>
        <v>22.170849845882874</v>
      </c>
      <c r="BL963" s="75">
        <f>BK963*(1-PARAM!$C$27)*$I$18+(MOD($B963,60)=PARAM!$B$56)*($B963&gt;(60-PARAM!$B$56))*HLOOKUP(($B963+PARAM!$B$56)/12,Loyalty,2)*$F$1*MAX(BN962,0)</f>
        <v>18.557001321003963</v>
      </c>
      <c r="BM963" s="75">
        <f>PARAM!$C$26+MAX($G$18-CHOOSE(PARAM!$B$44,MAX(0,BN962*$F$1),0),0)*RATES!$L939/12+$H$18*(PARAM!$D$51/12)*RATES!$N939/100</f>
        <v>1190.0416666666667</v>
      </c>
      <c r="BN963" s="16">
        <f t="shared" si="643"/>
        <v>-312849.51312109048</v>
      </c>
      <c r="BO963" s="15">
        <f t="shared" si="618"/>
        <v>22.170849845882874</v>
      </c>
      <c r="BP963" s="75">
        <f>BO963*(1-PARAM!$C$27)*$I$19+(MOD($B963,60)=PARAM!$B$56)*($B963&gt;(60-PARAM!$B$56))*HLOOKUP(($B963+PARAM!$B$56)/12,Loyalty,2)*$F$1*MAX(BR962,0)</f>
        <v>18.557001321003963</v>
      </c>
      <c r="BQ963" s="75">
        <f>PARAM!$C$26+MAX($G$19-CHOOSE(PARAM!$B$44,MAX(0,BR962*$F$1),0),0)*RATES!$L939/12+$H$19*(PARAM!$D$51/12)*RATES!$N939/100</f>
        <v>1190.0416666666667</v>
      </c>
      <c r="BR963" s="16">
        <f t="shared" si="644"/>
        <v>-312849.51312109048</v>
      </c>
      <c r="BS963" s="15">
        <f t="shared" si="619"/>
        <v>22.170849845882874</v>
      </c>
      <c r="BT963" s="75">
        <f>BS963*(1-PARAM!$C$27)*$I$20+(MOD($B963,60)=PARAM!$B$56)*($B963&gt;(60-PARAM!$B$56))*HLOOKUP(($B963+PARAM!$B$56)/12,Loyalty,2)*$F$1*MAX(BV962,0)</f>
        <v>18.557001321003963</v>
      </c>
      <c r="BU963" s="75">
        <f>PARAM!$C$26+MAX($G$20-CHOOSE(PARAM!$B$44,MAX(0,BV962*$F$1),0),0)*RATES!$L939/12+$H$20*(PARAM!$D$51/12)*RATES!$N939/100</f>
        <v>1190.0416666666667</v>
      </c>
      <c r="BV963" s="16">
        <f t="shared" si="645"/>
        <v>-312849.51312109048</v>
      </c>
      <c r="BW963" s="15">
        <f t="shared" si="620"/>
        <v>22.170849845882874</v>
      </c>
      <c r="BX963" s="75">
        <f>BW963*(1-PARAM!$C$27)*$I$21+(MOD($B963,60)=PARAM!$B$56)*($B963&gt;(60-PARAM!$B$56))*HLOOKUP(($B963+PARAM!$B$56)/12,Loyalty,2)*$F$1*MAX(BZ962,0)</f>
        <v>18.557001321003963</v>
      </c>
      <c r="BY963" s="75">
        <f>PARAM!$C$26+MAX($G$21-CHOOSE(PARAM!$B$44,MAX(0,BZ962*$F$1),0),0)*RATES!$L939/12+$H$21*(PARAM!$D$51/12)*RATES!$N939/100</f>
        <v>1190.0416666666667</v>
      </c>
      <c r="BZ963" s="16">
        <f t="shared" si="646"/>
        <v>-312849.51312109048</v>
      </c>
      <c r="CA963" s="15">
        <f t="shared" si="621"/>
        <v>22.170849845882874</v>
      </c>
      <c r="CB963" s="75">
        <f>CA963*(1-PARAM!$C$27)*$I$22+(MOD($B963,60)=PARAM!$B$56)*($B963&gt;(60-PARAM!$B$56))*HLOOKUP(($B963+PARAM!$B$56)/12,Loyalty,2)*$F$1*MAX(CD962,0)</f>
        <v>18.557001321003963</v>
      </c>
      <c r="CC963" s="75">
        <f>PARAM!$C$26+MAX($G$22-CHOOSE(PARAM!$B$44,MAX(0,CD962*$F$1),0),0)*RATES!$L939/12+$H$22*(PARAM!$D$51/12)*RATES!$N939/100</f>
        <v>1190.0416666666667</v>
      </c>
      <c r="CD963" s="16">
        <f t="shared" si="647"/>
        <v>-312849.51312109048</v>
      </c>
      <c r="CE963" s="33">
        <f>IF(0=MOD(B963,12/PARAM!$D$51),1,0)</f>
        <v>1</v>
      </c>
      <c r="CF963" s="15">
        <f t="shared" si="622"/>
        <v>0</v>
      </c>
      <c r="CG963" s="75">
        <f>CF963*(1-PARAM!$C$27)*$R$3+(MOD($B963/12,5)=0)*($B963&gt;60)*HLOOKUP($B963/12,Loyalty,2)*$F$1*MAX(CI962,0)</f>
        <v>0</v>
      </c>
      <c r="CH963" s="75">
        <f>PARAM!$C$26+MAX($P$3-CHOOSE(PARAM!$B$44,MAX(0,CI962*$F$1),0),0)*RATES!$L939/12+$Q$3*(PARAM!$D$51/12)*RATES!$N939/100</f>
        <v>1190.0416666666667</v>
      </c>
      <c r="CI963" s="16">
        <f>IF(CI962&gt;0,CI962*PARAM!$C$53,CI962)+CG963-CH963</f>
        <v>-330099.29166666738</v>
      </c>
      <c r="CJ963" s="15">
        <f t="shared" si="648"/>
        <v>0</v>
      </c>
      <c r="CK963" s="75">
        <f>CJ963*(1-PARAM!$C$27)*$R$4+(MOD($B963/12,5)=0)*($B963&gt;60)*HLOOKUP($B963/12,Loyalty,2)*$F$1*MAX(CM962,0)</f>
        <v>0</v>
      </c>
      <c r="CL963" s="75">
        <f>PARAM!$C$26+MAX($P$4-CHOOSE(PARAM!$B$44,MAX(0,CM962*$F$1),0),0)*RATES!$L939/12+$Q$4*(PARAM!$D$51/12)*RATES!$N939/100</f>
        <v>1190.0416666666667</v>
      </c>
      <c r="CM963" s="16">
        <f>IF(CM962&gt;0,CM962*PARAM!$C$53,CM962)+CK963-CL963</f>
        <v>-330099.29166666738</v>
      </c>
      <c r="CO963" s="176"/>
    </row>
    <row r="964" spans="1:93" x14ac:dyDescent="0.2">
      <c r="A964" t="b">
        <f t="shared" si="623"/>
        <v>0</v>
      </c>
      <c r="B964" s="33">
        <v>937</v>
      </c>
      <c r="C964" s="15">
        <f t="shared" si="624"/>
        <v>20.081305947392778</v>
      </c>
      <c r="D964" s="75">
        <f>C964*(1-PARAM!$C$27)*$I$3+(MOD($B964,60)=PARAM!$B$56)*($B964&gt;(60-PARAM!$B$56))*HLOOKUP(($B964+PARAM!$B$56)/12,Loyalty,2)*$F$1*MAX(F963,0)</f>
        <v>16.808053077967756</v>
      </c>
      <c r="E964" s="75">
        <f>PARAM!$C$26+MAX($G$3-CHOOSE(PARAM!$B$44,MAX(0,F963*$F$1),0),0)*RATES!$L940/12+$H$3*(PARAM!$D$51/12)*RATES!$N940/100</f>
        <v>1190.0416666666667</v>
      </c>
      <c r="F964" s="16">
        <f t="shared" si="625"/>
        <v>-315696.61279068328</v>
      </c>
      <c r="G964" s="15">
        <f t="shared" si="626"/>
        <v>22.035289406060361</v>
      </c>
      <c r="H964" s="75">
        <f>G964*(1-PARAM!$C$27)*$I$4+(MOD($B964,60)=PARAM!$B$56)*($B964&gt;(60-PARAM!$B$56))*HLOOKUP(($B964+PARAM!$B$56)/12,Loyalty,2)*$F$1*MAX(J963,0)</f>
        <v>18.443537232872522</v>
      </c>
      <c r="I964" s="75">
        <f>PARAM!$C$26+MAX($G$4-CHOOSE(PARAM!$B$44,MAX(0,J963*$F$1),0),0)*RATES!$L940/12+$H$4*(PARAM!$D$51/12)*RATES!$N940/100</f>
        <v>1190.0416666666667</v>
      </c>
      <c r="J964" s="16">
        <f t="shared" si="627"/>
        <v>-314130.33117341361</v>
      </c>
      <c r="K964" s="15">
        <f t="shared" si="628"/>
        <v>22.170849845882874</v>
      </c>
      <c r="L964" s="75">
        <f>K964*(1-PARAM!$C$27)*$I$5+(MOD($B964,60)=PARAM!$B$56)*($B964&gt;(60-PARAM!$B$56))*HLOOKUP(($B964+PARAM!$B$56)/12,Loyalty,2)*$F$1*MAX(N963,0)</f>
        <v>18.557001321003963</v>
      </c>
      <c r="M964" s="75">
        <f>PARAM!$C$26+MAX($G$5-CHOOSE(PARAM!$B$44,MAX(0,N963*$F$1),0),0)*RATES!$L940/12+$H$5*(PARAM!$D$51/12)*RATES!$N940/100</f>
        <v>1190.0416666666667</v>
      </c>
      <c r="N964" s="16">
        <f t="shared" si="629"/>
        <v>-314020.99778643617</v>
      </c>
      <c r="O964" s="15">
        <f t="shared" si="630"/>
        <v>22.170849845882874</v>
      </c>
      <c r="P964" s="75">
        <f>O964*(1-PARAM!$C$27)*$I$6+(MOD($B964,60)=PARAM!$B$56)*($B964&gt;(60-PARAM!$B$56))*HLOOKUP(($B964+PARAM!$B$56)/12,Loyalty,2)*$F$1*MAX(R963,0)</f>
        <v>18.557001321003963</v>
      </c>
      <c r="Q964" s="75">
        <f>PARAM!$C$26+MAX($G$6-CHOOSE(PARAM!$B$44,MAX(0,R963*$F$1),0),0)*RATES!$L940/12+$H$6*(PARAM!$D$51/12)*RATES!$N940/100</f>
        <v>1190.0416666666667</v>
      </c>
      <c r="R964" s="16">
        <f t="shared" si="631"/>
        <v>-314020.99778643617</v>
      </c>
      <c r="S964" s="15">
        <f t="shared" si="606"/>
        <v>22.170849845882874</v>
      </c>
      <c r="T964" s="75">
        <f>S964*(1-PARAM!$C$27)*$I$7+(MOD($B964,60)=PARAM!$B$56)*($B964&gt;(60-PARAM!$B$56))*HLOOKUP(($B964+PARAM!$B$56)/12,Loyalty,2)*$F$1*MAX(V963,0)</f>
        <v>18.557001321003963</v>
      </c>
      <c r="U964" s="75">
        <f>PARAM!$C$26+MAX($G$7-CHOOSE(PARAM!$B$44,MAX(0,V963*$F$1),0),0)*RATES!$L940/12+$H$7*(PARAM!$D$51/12)*RATES!$N940/100</f>
        <v>1190.0416666666667</v>
      </c>
      <c r="V964" s="16">
        <f t="shared" si="632"/>
        <v>-314020.99778643617</v>
      </c>
      <c r="W964" s="15">
        <f t="shared" si="607"/>
        <v>22.170849845882874</v>
      </c>
      <c r="X964" s="75">
        <f>W964*(1-PARAM!$C$27)*$I$8+(MOD($B964,60)=PARAM!$B$56)*($B964&gt;(60-PARAM!$B$56))*HLOOKUP(($B964+PARAM!$B$56)/12,Loyalty,2)*$F$1*MAX(Z963,0)</f>
        <v>18.557001321003963</v>
      </c>
      <c r="Y964" s="75">
        <f>PARAM!$C$26+MAX($G$8-CHOOSE(PARAM!$B$44,MAX(0,Z963*$F$1),0),0)*RATES!$L940/12+$H$8*(PARAM!$D$51/12)*RATES!$N940/100</f>
        <v>1190.0416666666667</v>
      </c>
      <c r="Z964" s="16">
        <f t="shared" si="633"/>
        <v>-314020.99778643617</v>
      </c>
      <c r="AA964" s="15">
        <f t="shared" si="608"/>
        <v>22.170849845882874</v>
      </c>
      <c r="AB964" s="75">
        <f>AA964*(1-PARAM!$C$27)*$I$9+(MOD($B964,60)=PARAM!$B$56)*($B964&gt;(60-PARAM!$B$56))*HLOOKUP(($B964+PARAM!$B$56)/12,Loyalty,2)*$F$1*MAX(AD963,0)</f>
        <v>18.557001321003963</v>
      </c>
      <c r="AC964" s="75">
        <f>PARAM!$C$26+MAX($G$9-CHOOSE(PARAM!$B$44,MAX(0,AD963*$F$1),0),0)*RATES!$L940/12+$H$9*(PARAM!$D$51/12)*RATES!$N940/100</f>
        <v>1190.0416666666667</v>
      </c>
      <c r="AD964" s="16">
        <f t="shared" si="634"/>
        <v>-314020.99778643617</v>
      </c>
      <c r="AE964" s="15">
        <f t="shared" si="609"/>
        <v>22.170849845882874</v>
      </c>
      <c r="AF964" s="75">
        <f>AE964*(1-PARAM!$C$27)*$I$10+(MOD($B964,60)=PARAM!$B$56)*($B964&gt;(60-PARAM!$B$56))*HLOOKUP(($B964+PARAM!$B$56)/12,Loyalty,2)*$F$1*MAX(AH963,0)</f>
        <v>18.557001321003963</v>
      </c>
      <c r="AG964" s="75">
        <f>PARAM!$C$26+MAX($G$10-CHOOSE(PARAM!$B$44,MAX(0,AH963*$F$1),0),0)*RATES!$L940/12+$H$10*(PARAM!$D$51/12)*RATES!$N940/100</f>
        <v>1190.0416666666667</v>
      </c>
      <c r="AH964" s="16">
        <f t="shared" si="635"/>
        <v>-314020.99778643617</v>
      </c>
      <c r="AI964" s="15">
        <f t="shared" si="610"/>
        <v>22.170849845882874</v>
      </c>
      <c r="AJ964" s="75">
        <f>AI964*(1-PARAM!$C$27)*$I$11+(MOD($B964,60)=PARAM!$B$56)*($B964&gt;(60-PARAM!$B$56))*HLOOKUP(($B964+PARAM!$B$56)/12,Loyalty,2)*$F$1*MAX(AL963,0)</f>
        <v>18.557001321003963</v>
      </c>
      <c r="AK964" s="75">
        <f>PARAM!$C$26+MAX($G$11-CHOOSE(PARAM!$B$44,MAX(0,AL963*$F$1),0),0)*RATES!$L940/12+$H$11*(PARAM!$D$51/12)*RATES!$N940/100</f>
        <v>1190.0416666666667</v>
      </c>
      <c r="AL964" s="16">
        <f t="shared" si="636"/>
        <v>-314020.99778643617</v>
      </c>
      <c r="AM964" s="15">
        <f t="shared" si="611"/>
        <v>22.170849845882874</v>
      </c>
      <c r="AN964" s="75">
        <f>AM964*(1-PARAM!$C$27)*$I$12+(MOD($B964,60)=PARAM!$B$56)*($B964&gt;(60-PARAM!$B$56))*HLOOKUP(($B964+PARAM!$B$56)/12,Loyalty,2)*$F$1*MAX(AP963,0)</f>
        <v>18.557001321003963</v>
      </c>
      <c r="AO964" s="75">
        <f>PARAM!$C$26+MAX($G$12-CHOOSE(PARAM!$B$44,MAX(0,AP963*$F$1),0),0)*RATES!$L940/12+$H$12*(PARAM!$D$51/12)*RATES!$N940/100</f>
        <v>1190.0416666666667</v>
      </c>
      <c r="AP964" s="16">
        <f t="shared" si="637"/>
        <v>-314020.99778643617</v>
      </c>
      <c r="AQ964" s="15">
        <f t="shared" si="612"/>
        <v>22.170849845882874</v>
      </c>
      <c r="AR964" s="75">
        <f>AQ964*(1-PARAM!$C$27)*$I$13+(MOD($B964,60)=PARAM!$B$56)*($B964&gt;(60-PARAM!$B$56))*HLOOKUP(($B964+PARAM!$B$56)/12,Loyalty,2)*$F$1*MAX(AT963,0)</f>
        <v>18.557001321003963</v>
      </c>
      <c r="AS964" s="75">
        <f>PARAM!$C$26+MAX($G$13-CHOOSE(PARAM!$B$44,MAX(0,AT963*$F$1),0),0)*RATES!$L940/12+$H$13*(PARAM!$D$51/12)*RATES!$N940/100</f>
        <v>1190.0416666666667</v>
      </c>
      <c r="AT964" s="16">
        <f t="shared" si="638"/>
        <v>-314020.99778643617</v>
      </c>
      <c r="AU964" s="15">
        <f t="shared" si="613"/>
        <v>22.170849845882874</v>
      </c>
      <c r="AV964" s="75">
        <f>AU964*(1-PARAM!$C$27)*$I$14+(MOD($B964,60)=PARAM!$B$56)*($B964&gt;(60-PARAM!$B$56))*HLOOKUP(($B964+PARAM!$B$56)/12,Loyalty,2)*$F$1*MAX(AX963,0)</f>
        <v>18.557001321003963</v>
      </c>
      <c r="AW964" s="75">
        <f>PARAM!$C$26+MAX($G$14-CHOOSE(PARAM!$B$44,MAX(0,AX963*$F$1),0),0)*RATES!$L940/12+$H$14*(PARAM!$D$51/12)*RATES!$N940/100</f>
        <v>1190.0416666666667</v>
      </c>
      <c r="AX964" s="16">
        <f t="shared" si="639"/>
        <v>-314020.99778643617</v>
      </c>
      <c r="AY964" s="15">
        <f t="shared" si="614"/>
        <v>22.170849845882874</v>
      </c>
      <c r="AZ964" s="75">
        <f>AY964*(1-PARAM!$C$27)*$I$15+(MOD($B964,60)=PARAM!$B$56)*($B964&gt;(60-PARAM!$B$56))*HLOOKUP(($B964+PARAM!$B$56)/12,Loyalty,2)*$F$1*MAX(BB963,0)</f>
        <v>18.557001321003963</v>
      </c>
      <c r="BA964" s="75">
        <f>PARAM!$C$26+MAX($G$15-CHOOSE(PARAM!$B$44,MAX(0,BB963*$F$1),0),0)*RATES!$L940/12+$H$15*(PARAM!$D$51/12)*RATES!$N940/100</f>
        <v>1190.0416666666667</v>
      </c>
      <c r="BB964" s="16">
        <f t="shared" si="640"/>
        <v>-314020.99778643617</v>
      </c>
      <c r="BC964" s="15">
        <f t="shared" si="615"/>
        <v>22.170849845882874</v>
      </c>
      <c r="BD964" s="75">
        <f>BC964*(1-PARAM!$C$27)*$I$16+(MOD($B964,60)=PARAM!$B$56)*($B964&gt;(60-PARAM!$B$56))*HLOOKUP(($B964+PARAM!$B$56)/12,Loyalty,2)*$F$1*MAX(BF963,0)</f>
        <v>18.557001321003963</v>
      </c>
      <c r="BE964" s="75">
        <f>PARAM!$C$26+MAX($G$16-CHOOSE(PARAM!$B$44,MAX(0,BF963*$F$1),0),0)*RATES!$L940/12+$H$16*(PARAM!$D$51/12)*RATES!$N940/100</f>
        <v>1190.0416666666667</v>
      </c>
      <c r="BF964" s="16">
        <f t="shared" si="641"/>
        <v>-314020.99778643617</v>
      </c>
      <c r="BG964" s="15">
        <f t="shared" si="616"/>
        <v>22.170849845882874</v>
      </c>
      <c r="BH964" s="75">
        <f>BG964*(1-PARAM!$C$27)*$I$17+(MOD($B964,60)=PARAM!$B$56)*($B964&gt;(60-PARAM!$B$56))*HLOOKUP(($B964+PARAM!$B$56)/12,Loyalty,2)*$F$1*MAX(BJ963,0)</f>
        <v>18.557001321003963</v>
      </c>
      <c r="BI964" s="75">
        <f>PARAM!$C$26+MAX($G$17-CHOOSE(PARAM!$B$44,MAX(0,BJ963*$F$1),0),0)*RATES!$L940/12+$H$17*(PARAM!$D$51/12)*RATES!$N940/100</f>
        <v>1190.0416666666667</v>
      </c>
      <c r="BJ964" s="16">
        <f t="shared" si="642"/>
        <v>-314020.99778643617</v>
      </c>
      <c r="BK964" s="15">
        <f t="shared" si="617"/>
        <v>22.170849845882874</v>
      </c>
      <c r="BL964" s="75">
        <f>BK964*(1-PARAM!$C$27)*$I$18+(MOD($B964,60)=PARAM!$B$56)*($B964&gt;(60-PARAM!$B$56))*HLOOKUP(($B964+PARAM!$B$56)/12,Loyalty,2)*$F$1*MAX(BN963,0)</f>
        <v>18.557001321003963</v>
      </c>
      <c r="BM964" s="75">
        <f>PARAM!$C$26+MAX($G$18-CHOOSE(PARAM!$B$44,MAX(0,BN963*$F$1),0),0)*RATES!$L940/12+$H$18*(PARAM!$D$51/12)*RATES!$N940/100</f>
        <v>1190.0416666666667</v>
      </c>
      <c r="BN964" s="16">
        <f t="shared" si="643"/>
        <v>-314020.99778643617</v>
      </c>
      <c r="BO964" s="15">
        <f t="shared" si="618"/>
        <v>22.170849845882874</v>
      </c>
      <c r="BP964" s="75">
        <f>BO964*(1-PARAM!$C$27)*$I$19+(MOD($B964,60)=PARAM!$B$56)*($B964&gt;(60-PARAM!$B$56))*HLOOKUP(($B964+PARAM!$B$56)/12,Loyalty,2)*$F$1*MAX(BR963,0)</f>
        <v>18.557001321003963</v>
      </c>
      <c r="BQ964" s="75">
        <f>PARAM!$C$26+MAX($G$19-CHOOSE(PARAM!$B$44,MAX(0,BR963*$F$1),0),0)*RATES!$L940/12+$H$19*(PARAM!$D$51/12)*RATES!$N940/100</f>
        <v>1190.0416666666667</v>
      </c>
      <c r="BR964" s="16">
        <f t="shared" si="644"/>
        <v>-314020.99778643617</v>
      </c>
      <c r="BS964" s="15">
        <f t="shared" si="619"/>
        <v>22.170849845882874</v>
      </c>
      <c r="BT964" s="75">
        <f>BS964*(1-PARAM!$C$27)*$I$20+(MOD($B964,60)=PARAM!$B$56)*($B964&gt;(60-PARAM!$B$56))*HLOOKUP(($B964+PARAM!$B$56)/12,Loyalty,2)*$F$1*MAX(BV963,0)</f>
        <v>18.557001321003963</v>
      </c>
      <c r="BU964" s="75">
        <f>PARAM!$C$26+MAX($G$20-CHOOSE(PARAM!$B$44,MAX(0,BV963*$F$1),0),0)*RATES!$L940/12+$H$20*(PARAM!$D$51/12)*RATES!$N940/100</f>
        <v>1190.0416666666667</v>
      </c>
      <c r="BV964" s="16">
        <f t="shared" si="645"/>
        <v>-314020.99778643617</v>
      </c>
      <c r="BW964" s="15">
        <f t="shared" si="620"/>
        <v>22.170849845882874</v>
      </c>
      <c r="BX964" s="75">
        <f>BW964*(1-PARAM!$C$27)*$I$21+(MOD($B964,60)=PARAM!$B$56)*($B964&gt;(60-PARAM!$B$56))*HLOOKUP(($B964+PARAM!$B$56)/12,Loyalty,2)*$F$1*MAX(BZ963,0)</f>
        <v>18.557001321003963</v>
      </c>
      <c r="BY964" s="75">
        <f>PARAM!$C$26+MAX($G$21-CHOOSE(PARAM!$B$44,MAX(0,BZ963*$F$1),0),0)*RATES!$L940/12+$H$21*(PARAM!$D$51/12)*RATES!$N940/100</f>
        <v>1190.0416666666667</v>
      </c>
      <c r="BZ964" s="16">
        <f t="shared" si="646"/>
        <v>-314020.99778643617</v>
      </c>
      <c r="CA964" s="15">
        <f t="shared" si="621"/>
        <v>22.170849845882874</v>
      </c>
      <c r="CB964" s="75">
        <f>CA964*(1-PARAM!$C$27)*$I$22+(MOD($B964,60)=PARAM!$B$56)*($B964&gt;(60-PARAM!$B$56))*HLOOKUP(($B964+PARAM!$B$56)/12,Loyalty,2)*$F$1*MAX(CD963,0)</f>
        <v>18.557001321003963</v>
      </c>
      <c r="CC964" s="75">
        <f>PARAM!$C$26+MAX($G$22-CHOOSE(PARAM!$B$44,MAX(0,CD963*$F$1),0),0)*RATES!$L940/12+$H$22*(PARAM!$D$51/12)*RATES!$N940/100</f>
        <v>1190.0416666666667</v>
      </c>
      <c r="CD964" s="16">
        <f t="shared" si="647"/>
        <v>-314020.99778643617</v>
      </c>
      <c r="CE964" s="33">
        <f>IF(0=MOD(B964,12/PARAM!$D$51),1,0)</f>
        <v>1</v>
      </c>
      <c r="CF964" s="15">
        <f t="shared" si="622"/>
        <v>0</v>
      </c>
      <c r="CG964" s="75">
        <f>CF964*(1-PARAM!$C$27)*$R$3+(MOD($B964/12,5)=0)*($B964&gt;60)*HLOOKUP($B964/12,Loyalty,2)*$F$1*MAX(CI963,0)</f>
        <v>0</v>
      </c>
      <c r="CH964" s="75">
        <f>PARAM!$C$26+MAX($P$3-CHOOSE(PARAM!$B$44,MAX(0,CI963*$F$1),0),0)*RATES!$L940/12+$Q$3*(PARAM!$D$51/12)*RATES!$N940/100</f>
        <v>1190.0416666666667</v>
      </c>
      <c r="CI964" s="16">
        <f>IF(CI963&gt;0,CI963*PARAM!$C$53,CI963)+CG964-CH964</f>
        <v>-331289.33333333407</v>
      </c>
      <c r="CJ964" s="15">
        <f t="shared" si="648"/>
        <v>0</v>
      </c>
      <c r="CK964" s="75">
        <f>CJ964*(1-PARAM!$C$27)*$R$4+(MOD($B964/12,5)=0)*($B964&gt;60)*HLOOKUP($B964/12,Loyalty,2)*$F$1*MAX(CM963,0)</f>
        <v>0</v>
      </c>
      <c r="CL964" s="75">
        <f>PARAM!$C$26+MAX($P$4-CHOOSE(PARAM!$B$44,MAX(0,CM963*$F$1),0),0)*RATES!$L940/12+$Q$4*(PARAM!$D$51/12)*RATES!$N940/100</f>
        <v>1190.0416666666667</v>
      </c>
      <c r="CM964" s="16">
        <f>IF(CM963&gt;0,CM963*PARAM!$C$53,CM963)+CK964-CL964</f>
        <v>-331289.33333333407</v>
      </c>
      <c r="CO964" s="176"/>
    </row>
    <row r="965" spans="1:93" x14ac:dyDescent="0.2">
      <c r="A965" t="b">
        <f t="shared" si="623"/>
        <v>0</v>
      </c>
      <c r="B965" s="33">
        <v>938</v>
      </c>
      <c r="C965" s="15">
        <f t="shared" si="624"/>
        <v>20.081305947392778</v>
      </c>
      <c r="D965" s="75">
        <f>C965*(1-PARAM!$C$27)*$I$3+(MOD($B965,60)=PARAM!$B$56)*($B965&gt;(60-PARAM!$B$56))*HLOOKUP(($B965+PARAM!$B$56)/12,Loyalty,2)*$F$1*MAX(F964,0)</f>
        <v>16.808053077967756</v>
      </c>
      <c r="E965" s="75">
        <f>PARAM!$C$26+MAX($G$3-CHOOSE(PARAM!$B$44,MAX(0,F964*$F$1),0),0)*RATES!$L941/12+$H$3*(PARAM!$D$51/12)*RATES!$N941/100</f>
        <v>1190.0416666666667</v>
      </c>
      <c r="F965" s="16">
        <f t="shared" si="625"/>
        <v>-316869.84640427202</v>
      </c>
      <c r="G965" s="15">
        <f t="shared" si="626"/>
        <v>22.035289406060361</v>
      </c>
      <c r="H965" s="75">
        <f>G965*(1-PARAM!$C$27)*$I$4+(MOD($B965,60)=PARAM!$B$56)*($B965&gt;(60-PARAM!$B$56))*HLOOKUP(($B965+PARAM!$B$56)/12,Loyalty,2)*$F$1*MAX(J964,0)</f>
        <v>18.443537232872522</v>
      </c>
      <c r="I965" s="75">
        <f>PARAM!$C$26+MAX($G$4-CHOOSE(PARAM!$B$44,MAX(0,J964*$F$1),0),0)*RATES!$L941/12+$H$4*(PARAM!$D$51/12)*RATES!$N941/100</f>
        <v>1190.0416666666667</v>
      </c>
      <c r="J965" s="16">
        <f t="shared" si="627"/>
        <v>-315301.92930284742</v>
      </c>
      <c r="K965" s="15">
        <f t="shared" si="628"/>
        <v>22.170849845882874</v>
      </c>
      <c r="L965" s="75">
        <f>K965*(1-PARAM!$C$27)*$I$5+(MOD($B965,60)=PARAM!$B$56)*($B965&gt;(60-PARAM!$B$56))*HLOOKUP(($B965+PARAM!$B$56)/12,Loyalty,2)*$F$1*MAX(N964,0)</f>
        <v>18.557001321003963</v>
      </c>
      <c r="M965" s="75">
        <f>PARAM!$C$26+MAX($G$5-CHOOSE(PARAM!$B$44,MAX(0,N964*$F$1),0),0)*RATES!$L941/12+$H$5*(PARAM!$D$51/12)*RATES!$N941/100</f>
        <v>1190.0416666666667</v>
      </c>
      <c r="N965" s="16">
        <f t="shared" si="629"/>
        <v>-315192.48245178186</v>
      </c>
      <c r="O965" s="15">
        <f t="shared" si="630"/>
        <v>22.170849845882874</v>
      </c>
      <c r="P965" s="75">
        <f>O965*(1-PARAM!$C$27)*$I$6+(MOD($B965,60)=PARAM!$B$56)*($B965&gt;(60-PARAM!$B$56))*HLOOKUP(($B965+PARAM!$B$56)/12,Loyalty,2)*$F$1*MAX(R964,0)</f>
        <v>18.557001321003963</v>
      </c>
      <c r="Q965" s="75">
        <f>PARAM!$C$26+MAX($G$6-CHOOSE(PARAM!$B$44,MAX(0,R964*$F$1),0),0)*RATES!$L941/12+$H$6*(PARAM!$D$51/12)*RATES!$N941/100</f>
        <v>1190.0416666666667</v>
      </c>
      <c r="R965" s="16">
        <f t="shared" si="631"/>
        <v>-315192.48245178186</v>
      </c>
      <c r="S965" s="15">
        <f t="shared" si="606"/>
        <v>22.170849845882874</v>
      </c>
      <c r="T965" s="75">
        <f>S965*(1-PARAM!$C$27)*$I$7+(MOD($B965,60)=PARAM!$B$56)*($B965&gt;(60-PARAM!$B$56))*HLOOKUP(($B965+PARAM!$B$56)/12,Loyalty,2)*$F$1*MAX(V964,0)</f>
        <v>18.557001321003963</v>
      </c>
      <c r="U965" s="75">
        <f>PARAM!$C$26+MAX($G$7-CHOOSE(PARAM!$B$44,MAX(0,V964*$F$1),0),0)*RATES!$L941/12+$H$7*(PARAM!$D$51/12)*RATES!$N941/100</f>
        <v>1190.0416666666667</v>
      </c>
      <c r="V965" s="16">
        <f t="shared" si="632"/>
        <v>-315192.48245178186</v>
      </c>
      <c r="W965" s="15">
        <f t="shared" si="607"/>
        <v>22.170849845882874</v>
      </c>
      <c r="X965" s="75">
        <f>W965*(1-PARAM!$C$27)*$I$8+(MOD($B965,60)=PARAM!$B$56)*($B965&gt;(60-PARAM!$B$56))*HLOOKUP(($B965+PARAM!$B$56)/12,Loyalty,2)*$F$1*MAX(Z964,0)</f>
        <v>18.557001321003963</v>
      </c>
      <c r="Y965" s="75">
        <f>PARAM!$C$26+MAX($G$8-CHOOSE(PARAM!$B$44,MAX(0,Z964*$F$1),0),0)*RATES!$L941/12+$H$8*(PARAM!$D$51/12)*RATES!$N941/100</f>
        <v>1190.0416666666667</v>
      </c>
      <c r="Z965" s="16">
        <f t="shared" si="633"/>
        <v>-315192.48245178186</v>
      </c>
      <c r="AA965" s="15">
        <f t="shared" si="608"/>
        <v>22.170849845882874</v>
      </c>
      <c r="AB965" s="75">
        <f>AA965*(1-PARAM!$C$27)*$I$9+(MOD($B965,60)=PARAM!$B$56)*($B965&gt;(60-PARAM!$B$56))*HLOOKUP(($B965+PARAM!$B$56)/12,Loyalty,2)*$F$1*MAX(AD964,0)</f>
        <v>18.557001321003963</v>
      </c>
      <c r="AC965" s="75">
        <f>PARAM!$C$26+MAX($G$9-CHOOSE(PARAM!$B$44,MAX(0,AD964*$F$1),0),0)*RATES!$L941/12+$H$9*(PARAM!$D$51/12)*RATES!$N941/100</f>
        <v>1190.0416666666667</v>
      </c>
      <c r="AD965" s="16">
        <f t="shared" si="634"/>
        <v>-315192.48245178186</v>
      </c>
      <c r="AE965" s="15">
        <f t="shared" si="609"/>
        <v>22.170849845882874</v>
      </c>
      <c r="AF965" s="75">
        <f>AE965*(1-PARAM!$C$27)*$I$10+(MOD($B965,60)=PARAM!$B$56)*($B965&gt;(60-PARAM!$B$56))*HLOOKUP(($B965+PARAM!$B$56)/12,Loyalty,2)*$F$1*MAX(AH964,0)</f>
        <v>18.557001321003963</v>
      </c>
      <c r="AG965" s="75">
        <f>PARAM!$C$26+MAX($G$10-CHOOSE(PARAM!$B$44,MAX(0,AH964*$F$1),0),0)*RATES!$L941/12+$H$10*(PARAM!$D$51/12)*RATES!$N941/100</f>
        <v>1190.0416666666667</v>
      </c>
      <c r="AH965" s="16">
        <f t="shared" si="635"/>
        <v>-315192.48245178186</v>
      </c>
      <c r="AI965" s="15">
        <f t="shared" si="610"/>
        <v>22.170849845882874</v>
      </c>
      <c r="AJ965" s="75">
        <f>AI965*(1-PARAM!$C$27)*$I$11+(MOD($B965,60)=PARAM!$B$56)*($B965&gt;(60-PARAM!$B$56))*HLOOKUP(($B965+PARAM!$B$56)/12,Loyalty,2)*$F$1*MAX(AL964,0)</f>
        <v>18.557001321003963</v>
      </c>
      <c r="AK965" s="75">
        <f>PARAM!$C$26+MAX($G$11-CHOOSE(PARAM!$B$44,MAX(0,AL964*$F$1),0),0)*RATES!$L941/12+$H$11*(PARAM!$D$51/12)*RATES!$N941/100</f>
        <v>1190.0416666666667</v>
      </c>
      <c r="AL965" s="16">
        <f t="shared" si="636"/>
        <v>-315192.48245178186</v>
      </c>
      <c r="AM965" s="15">
        <f t="shared" si="611"/>
        <v>22.170849845882874</v>
      </c>
      <c r="AN965" s="75">
        <f>AM965*(1-PARAM!$C$27)*$I$12+(MOD($B965,60)=PARAM!$B$56)*($B965&gt;(60-PARAM!$B$56))*HLOOKUP(($B965+PARAM!$B$56)/12,Loyalty,2)*$F$1*MAX(AP964,0)</f>
        <v>18.557001321003963</v>
      </c>
      <c r="AO965" s="75">
        <f>PARAM!$C$26+MAX($G$12-CHOOSE(PARAM!$B$44,MAX(0,AP964*$F$1),0),0)*RATES!$L941/12+$H$12*(PARAM!$D$51/12)*RATES!$N941/100</f>
        <v>1190.0416666666667</v>
      </c>
      <c r="AP965" s="16">
        <f t="shared" si="637"/>
        <v>-315192.48245178186</v>
      </c>
      <c r="AQ965" s="15">
        <f t="shared" si="612"/>
        <v>22.170849845882874</v>
      </c>
      <c r="AR965" s="75">
        <f>AQ965*(1-PARAM!$C$27)*$I$13+(MOD($B965,60)=PARAM!$B$56)*($B965&gt;(60-PARAM!$B$56))*HLOOKUP(($B965+PARAM!$B$56)/12,Loyalty,2)*$F$1*MAX(AT964,0)</f>
        <v>18.557001321003963</v>
      </c>
      <c r="AS965" s="75">
        <f>PARAM!$C$26+MAX($G$13-CHOOSE(PARAM!$B$44,MAX(0,AT964*$F$1),0),0)*RATES!$L941/12+$H$13*(PARAM!$D$51/12)*RATES!$N941/100</f>
        <v>1190.0416666666667</v>
      </c>
      <c r="AT965" s="16">
        <f t="shared" si="638"/>
        <v>-315192.48245178186</v>
      </c>
      <c r="AU965" s="15">
        <f t="shared" si="613"/>
        <v>22.170849845882874</v>
      </c>
      <c r="AV965" s="75">
        <f>AU965*(1-PARAM!$C$27)*$I$14+(MOD($B965,60)=PARAM!$B$56)*($B965&gt;(60-PARAM!$B$56))*HLOOKUP(($B965+PARAM!$B$56)/12,Loyalty,2)*$F$1*MAX(AX964,0)</f>
        <v>18.557001321003963</v>
      </c>
      <c r="AW965" s="75">
        <f>PARAM!$C$26+MAX($G$14-CHOOSE(PARAM!$B$44,MAX(0,AX964*$F$1),0),0)*RATES!$L941/12+$H$14*(PARAM!$D$51/12)*RATES!$N941/100</f>
        <v>1190.0416666666667</v>
      </c>
      <c r="AX965" s="16">
        <f t="shared" si="639"/>
        <v>-315192.48245178186</v>
      </c>
      <c r="AY965" s="15">
        <f t="shared" si="614"/>
        <v>22.170849845882874</v>
      </c>
      <c r="AZ965" s="75">
        <f>AY965*(1-PARAM!$C$27)*$I$15+(MOD($B965,60)=PARAM!$B$56)*($B965&gt;(60-PARAM!$B$56))*HLOOKUP(($B965+PARAM!$B$56)/12,Loyalty,2)*$F$1*MAX(BB964,0)</f>
        <v>18.557001321003963</v>
      </c>
      <c r="BA965" s="75">
        <f>PARAM!$C$26+MAX($G$15-CHOOSE(PARAM!$B$44,MAX(0,BB964*$F$1),0),0)*RATES!$L941/12+$H$15*(PARAM!$D$51/12)*RATES!$N941/100</f>
        <v>1190.0416666666667</v>
      </c>
      <c r="BB965" s="16">
        <f t="shared" si="640"/>
        <v>-315192.48245178186</v>
      </c>
      <c r="BC965" s="15">
        <f t="shared" si="615"/>
        <v>22.170849845882874</v>
      </c>
      <c r="BD965" s="75">
        <f>BC965*(1-PARAM!$C$27)*$I$16+(MOD($B965,60)=PARAM!$B$56)*($B965&gt;(60-PARAM!$B$56))*HLOOKUP(($B965+PARAM!$B$56)/12,Loyalty,2)*$F$1*MAX(BF964,0)</f>
        <v>18.557001321003963</v>
      </c>
      <c r="BE965" s="75">
        <f>PARAM!$C$26+MAX($G$16-CHOOSE(PARAM!$B$44,MAX(0,BF964*$F$1),0),0)*RATES!$L941/12+$H$16*(PARAM!$D$51/12)*RATES!$N941/100</f>
        <v>1190.0416666666667</v>
      </c>
      <c r="BF965" s="16">
        <f t="shared" si="641"/>
        <v>-315192.48245178186</v>
      </c>
      <c r="BG965" s="15">
        <f t="shared" si="616"/>
        <v>22.170849845882874</v>
      </c>
      <c r="BH965" s="75">
        <f>BG965*(1-PARAM!$C$27)*$I$17+(MOD($B965,60)=PARAM!$B$56)*($B965&gt;(60-PARAM!$B$56))*HLOOKUP(($B965+PARAM!$B$56)/12,Loyalty,2)*$F$1*MAX(BJ964,0)</f>
        <v>18.557001321003963</v>
      </c>
      <c r="BI965" s="75">
        <f>PARAM!$C$26+MAX($G$17-CHOOSE(PARAM!$B$44,MAX(0,BJ964*$F$1),0),0)*RATES!$L941/12+$H$17*(PARAM!$D$51/12)*RATES!$N941/100</f>
        <v>1190.0416666666667</v>
      </c>
      <c r="BJ965" s="16">
        <f t="shared" si="642"/>
        <v>-315192.48245178186</v>
      </c>
      <c r="BK965" s="15">
        <f t="shared" si="617"/>
        <v>22.170849845882874</v>
      </c>
      <c r="BL965" s="75">
        <f>BK965*(1-PARAM!$C$27)*$I$18+(MOD($B965,60)=PARAM!$B$56)*($B965&gt;(60-PARAM!$B$56))*HLOOKUP(($B965+PARAM!$B$56)/12,Loyalty,2)*$F$1*MAX(BN964,0)</f>
        <v>18.557001321003963</v>
      </c>
      <c r="BM965" s="75">
        <f>PARAM!$C$26+MAX($G$18-CHOOSE(PARAM!$B$44,MAX(0,BN964*$F$1),0),0)*RATES!$L941/12+$H$18*(PARAM!$D$51/12)*RATES!$N941/100</f>
        <v>1190.0416666666667</v>
      </c>
      <c r="BN965" s="16">
        <f t="shared" si="643"/>
        <v>-315192.48245178186</v>
      </c>
      <c r="BO965" s="15">
        <f t="shared" si="618"/>
        <v>22.170849845882874</v>
      </c>
      <c r="BP965" s="75">
        <f>BO965*(1-PARAM!$C$27)*$I$19+(MOD($B965,60)=PARAM!$B$56)*($B965&gt;(60-PARAM!$B$56))*HLOOKUP(($B965+PARAM!$B$56)/12,Loyalty,2)*$F$1*MAX(BR964,0)</f>
        <v>18.557001321003963</v>
      </c>
      <c r="BQ965" s="75">
        <f>PARAM!$C$26+MAX($G$19-CHOOSE(PARAM!$B$44,MAX(0,BR964*$F$1),0),0)*RATES!$L941/12+$H$19*(PARAM!$D$51/12)*RATES!$N941/100</f>
        <v>1190.0416666666667</v>
      </c>
      <c r="BR965" s="16">
        <f t="shared" si="644"/>
        <v>-315192.48245178186</v>
      </c>
      <c r="BS965" s="15">
        <f t="shared" si="619"/>
        <v>22.170849845882874</v>
      </c>
      <c r="BT965" s="75">
        <f>BS965*(1-PARAM!$C$27)*$I$20+(MOD($B965,60)=PARAM!$B$56)*($B965&gt;(60-PARAM!$B$56))*HLOOKUP(($B965+PARAM!$B$56)/12,Loyalty,2)*$F$1*MAX(BV964,0)</f>
        <v>18.557001321003963</v>
      </c>
      <c r="BU965" s="75">
        <f>PARAM!$C$26+MAX($G$20-CHOOSE(PARAM!$B$44,MAX(0,BV964*$F$1),0),0)*RATES!$L941/12+$H$20*(PARAM!$D$51/12)*RATES!$N941/100</f>
        <v>1190.0416666666667</v>
      </c>
      <c r="BV965" s="16">
        <f t="shared" si="645"/>
        <v>-315192.48245178186</v>
      </c>
      <c r="BW965" s="15">
        <f t="shared" si="620"/>
        <v>22.170849845882874</v>
      </c>
      <c r="BX965" s="75">
        <f>BW965*(1-PARAM!$C$27)*$I$21+(MOD($B965,60)=PARAM!$B$56)*($B965&gt;(60-PARAM!$B$56))*HLOOKUP(($B965+PARAM!$B$56)/12,Loyalty,2)*$F$1*MAX(BZ964,0)</f>
        <v>18.557001321003963</v>
      </c>
      <c r="BY965" s="75">
        <f>PARAM!$C$26+MAX($G$21-CHOOSE(PARAM!$B$44,MAX(0,BZ964*$F$1),0),0)*RATES!$L941/12+$H$21*(PARAM!$D$51/12)*RATES!$N941/100</f>
        <v>1190.0416666666667</v>
      </c>
      <c r="BZ965" s="16">
        <f t="shared" si="646"/>
        <v>-315192.48245178186</v>
      </c>
      <c r="CA965" s="15">
        <f t="shared" si="621"/>
        <v>22.170849845882874</v>
      </c>
      <c r="CB965" s="75">
        <f>CA965*(1-PARAM!$C$27)*$I$22+(MOD($B965,60)=PARAM!$B$56)*($B965&gt;(60-PARAM!$B$56))*HLOOKUP(($B965+PARAM!$B$56)/12,Loyalty,2)*$F$1*MAX(CD964,0)</f>
        <v>18.557001321003963</v>
      </c>
      <c r="CC965" s="75">
        <f>PARAM!$C$26+MAX($G$22-CHOOSE(PARAM!$B$44,MAX(0,CD964*$F$1),0),0)*RATES!$L941/12+$H$22*(PARAM!$D$51/12)*RATES!$N941/100</f>
        <v>1190.0416666666667</v>
      </c>
      <c r="CD965" s="16">
        <f t="shared" si="647"/>
        <v>-315192.48245178186</v>
      </c>
      <c r="CE965" s="33">
        <f>IF(0=MOD(B965,12/PARAM!$D$51),1,0)</f>
        <v>1</v>
      </c>
      <c r="CF965" s="15">
        <f t="shared" si="622"/>
        <v>0</v>
      </c>
      <c r="CG965" s="75">
        <f>CF965*(1-PARAM!$C$27)*$R$3+(MOD($B965/12,5)=0)*($B965&gt;60)*HLOOKUP($B965/12,Loyalty,2)*$F$1*MAX(CI964,0)</f>
        <v>0</v>
      </c>
      <c r="CH965" s="75">
        <f>PARAM!$C$26+MAX($P$3-CHOOSE(PARAM!$B$44,MAX(0,CI964*$F$1),0),0)*RATES!$L941/12+$Q$3*(PARAM!$D$51/12)*RATES!$N941/100</f>
        <v>1190.0416666666667</v>
      </c>
      <c r="CI965" s="16">
        <f>IF(CI964&gt;0,CI964*PARAM!$C$53,CI964)+CG965-CH965</f>
        <v>-332479.37500000076</v>
      </c>
      <c r="CJ965" s="15">
        <f t="shared" si="648"/>
        <v>0</v>
      </c>
      <c r="CK965" s="75">
        <f>CJ965*(1-PARAM!$C$27)*$R$4+(MOD($B965/12,5)=0)*($B965&gt;60)*HLOOKUP($B965/12,Loyalty,2)*$F$1*MAX(CM964,0)</f>
        <v>0</v>
      </c>
      <c r="CL965" s="75">
        <f>PARAM!$C$26+MAX($P$4-CHOOSE(PARAM!$B$44,MAX(0,CM964*$F$1),0),0)*RATES!$L941/12+$Q$4*(PARAM!$D$51/12)*RATES!$N941/100</f>
        <v>1190.0416666666667</v>
      </c>
      <c r="CM965" s="16">
        <f>IF(CM964&gt;0,CM964*PARAM!$C$53,CM964)+CK965-CL965</f>
        <v>-332479.37500000076</v>
      </c>
      <c r="CO965" s="176"/>
    </row>
    <row r="966" spans="1:93" x14ac:dyDescent="0.2">
      <c r="A966" t="b">
        <f t="shared" si="623"/>
        <v>0</v>
      </c>
      <c r="B966" s="33">
        <v>939</v>
      </c>
      <c r="C966" s="15">
        <f t="shared" si="624"/>
        <v>20.081305947392778</v>
      </c>
      <c r="D966" s="75">
        <f>C966*(1-PARAM!$C$27)*$I$3+(MOD($B966,60)=PARAM!$B$56)*($B966&gt;(60-PARAM!$B$56))*HLOOKUP(($B966+PARAM!$B$56)/12,Loyalty,2)*$F$1*MAX(F965,0)</f>
        <v>16.808053077967756</v>
      </c>
      <c r="E966" s="75">
        <f>PARAM!$C$26+MAX($G$3-CHOOSE(PARAM!$B$44,MAX(0,F965*$F$1),0),0)*RATES!$L942/12+$H$3*(PARAM!$D$51/12)*RATES!$N942/100</f>
        <v>1190.0416666666667</v>
      </c>
      <c r="F966" s="16">
        <f t="shared" si="625"/>
        <v>-318043.08001786075</v>
      </c>
      <c r="G966" s="15">
        <f t="shared" si="626"/>
        <v>22.035289406060361</v>
      </c>
      <c r="H966" s="75">
        <f>G966*(1-PARAM!$C$27)*$I$4+(MOD($B966,60)=PARAM!$B$56)*($B966&gt;(60-PARAM!$B$56))*HLOOKUP(($B966+PARAM!$B$56)/12,Loyalty,2)*$F$1*MAX(J965,0)</f>
        <v>18.443537232872522</v>
      </c>
      <c r="I966" s="75">
        <f>PARAM!$C$26+MAX($G$4-CHOOSE(PARAM!$B$44,MAX(0,J965*$F$1),0),0)*RATES!$L942/12+$H$4*(PARAM!$D$51/12)*RATES!$N942/100</f>
        <v>1190.0416666666667</v>
      </c>
      <c r="J966" s="16">
        <f t="shared" si="627"/>
        <v>-316473.52743228123</v>
      </c>
      <c r="K966" s="15">
        <f t="shared" si="628"/>
        <v>22.170849845882874</v>
      </c>
      <c r="L966" s="75">
        <f>K966*(1-PARAM!$C$27)*$I$5+(MOD($B966,60)=PARAM!$B$56)*($B966&gt;(60-PARAM!$B$56))*HLOOKUP(($B966+PARAM!$B$56)/12,Loyalty,2)*$F$1*MAX(N965,0)</f>
        <v>18.557001321003963</v>
      </c>
      <c r="M966" s="75">
        <f>PARAM!$C$26+MAX($G$5-CHOOSE(PARAM!$B$44,MAX(0,N965*$F$1),0),0)*RATES!$L942/12+$H$5*(PARAM!$D$51/12)*RATES!$N942/100</f>
        <v>1190.0416666666667</v>
      </c>
      <c r="N966" s="16">
        <f t="shared" si="629"/>
        <v>-316363.96711712755</v>
      </c>
      <c r="O966" s="15">
        <f t="shared" si="630"/>
        <v>22.170849845882874</v>
      </c>
      <c r="P966" s="75">
        <f>O966*(1-PARAM!$C$27)*$I$6+(MOD($B966,60)=PARAM!$B$56)*($B966&gt;(60-PARAM!$B$56))*HLOOKUP(($B966+PARAM!$B$56)/12,Loyalty,2)*$F$1*MAX(R965,0)</f>
        <v>18.557001321003963</v>
      </c>
      <c r="Q966" s="75">
        <f>PARAM!$C$26+MAX($G$6-CHOOSE(PARAM!$B$44,MAX(0,R965*$F$1),0),0)*RATES!$L942/12+$H$6*(PARAM!$D$51/12)*RATES!$N942/100</f>
        <v>1190.0416666666667</v>
      </c>
      <c r="R966" s="16">
        <f t="shared" si="631"/>
        <v>-316363.96711712755</v>
      </c>
      <c r="S966" s="15">
        <f t="shared" si="606"/>
        <v>22.170849845882874</v>
      </c>
      <c r="T966" s="75">
        <f>S966*(1-PARAM!$C$27)*$I$7+(MOD($B966,60)=PARAM!$B$56)*($B966&gt;(60-PARAM!$B$56))*HLOOKUP(($B966+PARAM!$B$56)/12,Loyalty,2)*$F$1*MAX(V965,0)</f>
        <v>18.557001321003963</v>
      </c>
      <c r="U966" s="75">
        <f>PARAM!$C$26+MAX($G$7-CHOOSE(PARAM!$B$44,MAX(0,V965*$F$1),0),0)*RATES!$L942/12+$H$7*(PARAM!$D$51/12)*RATES!$N942/100</f>
        <v>1190.0416666666667</v>
      </c>
      <c r="V966" s="16">
        <f t="shared" si="632"/>
        <v>-316363.96711712755</v>
      </c>
      <c r="W966" s="15">
        <f t="shared" si="607"/>
        <v>22.170849845882874</v>
      </c>
      <c r="X966" s="75">
        <f>W966*(1-PARAM!$C$27)*$I$8+(MOD($B966,60)=PARAM!$B$56)*($B966&gt;(60-PARAM!$B$56))*HLOOKUP(($B966+PARAM!$B$56)/12,Loyalty,2)*$F$1*MAX(Z965,0)</f>
        <v>18.557001321003963</v>
      </c>
      <c r="Y966" s="75">
        <f>PARAM!$C$26+MAX($G$8-CHOOSE(PARAM!$B$44,MAX(0,Z965*$F$1),0),0)*RATES!$L942/12+$H$8*(PARAM!$D$51/12)*RATES!$N942/100</f>
        <v>1190.0416666666667</v>
      </c>
      <c r="Z966" s="16">
        <f t="shared" si="633"/>
        <v>-316363.96711712755</v>
      </c>
      <c r="AA966" s="15">
        <f t="shared" si="608"/>
        <v>22.170849845882874</v>
      </c>
      <c r="AB966" s="75">
        <f>AA966*(1-PARAM!$C$27)*$I$9+(MOD($B966,60)=PARAM!$B$56)*($B966&gt;(60-PARAM!$B$56))*HLOOKUP(($B966+PARAM!$B$56)/12,Loyalty,2)*$F$1*MAX(AD965,0)</f>
        <v>18.557001321003963</v>
      </c>
      <c r="AC966" s="75">
        <f>PARAM!$C$26+MAX($G$9-CHOOSE(PARAM!$B$44,MAX(0,AD965*$F$1),0),0)*RATES!$L942/12+$H$9*(PARAM!$D$51/12)*RATES!$N942/100</f>
        <v>1190.0416666666667</v>
      </c>
      <c r="AD966" s="16">
        <f t="shared" si="634"/>
        <v>-316363.96711712755</v>
      </c>
      <c r="AE966" s="15">
        <f t="shared" si="609"/>
        <v>22.170849845882874</v>
      </c>
      <c r="AF966" s="75">
        <f>AE966*(1-PARAM!$C$27)*$I$10+(MOD($B966,60)=PARAM!$B$56)*($B966&gt;(60-PARAM!$B$56))*HLOOKUP(($B966+PARAM!$B$56)/12,Loyalty,2)*$F$1*MAX(AH965,0)</f>
        <v>18.557001321003963</v>
      </c>
      <c r="AG966" s="75">
        <f>PARAM!$C$26+MAX($G$10-CHOOSE(PARAM!$B$44,MAX(0,AH965*$F$1),0),0)*RATES!$L942/12+$H$10*(PARAM!$D$51/12)*RATES!$N942/100</f>
        <v>1190.0416666666667</v>
      </c>
      <c r="AH966" s="16">
        <f t="shared" si="635"/>
        <v>-316363.96711712755</v>
      </c>
      <c r="AI966" s="15">
        <f t="shared" si="610"/>
        <v>22.170849845882874</v>
      </c>
      <c r="AJ966" s="75">
        <f>AI966*(1-PARAM!$C$27)*$I$11+(MOD($B966,60)=PARAM!$B$56)*($B966&gt;(60-PARAM!$B$56))*HLOOKUP(($B966+PARAM!$B$56)/12,Loyalty,2)*$F$1*MAX(AL965,0)</f>
        <v>18.557001321003963</v>
      </c>
      <c r="AK966" s="75">
        <f>PARAM!$C$26+MAX($G$11-CHOOSE(PARAM!$B$44,MAX(0,AL965*$F$1),0),0)*RATES!$L942/12+$H$11*(PARAM!$D$51/12)*RATES!$N942/100</f>
        <v>1190.0416666666667</v>
      </c>
      <c r="AL966" s="16">
        <f t="shared" si="636"/>
        <v>-316363.96711712755</v>
      </c>
      <c r="AM966" s="15">
        <f t="shared" si="611"/>
        <v>22.170849845882874</v>
      </c>
      <c r="AN966" s="75">
        <f>AM966*(1-PARAM!$C$27)*$I$12+(MOD($B966,60)=PARAM!$B$56)*($B966&gt;(60-PARAM!$B$56))*HLOOKUP(($B966+PARAM!$B$56)/12,Loyalty,2)*$F$1*MAX(AP965,0)</f>
        <v>18.557001321003963</v>
      </c>
      <c r="AO966" s="75">
        <f>PARAM!$C$26+MAX($G$12-CHOOSE(PARAM!$B$44,MAX(0,AP965*$F$1),0),0)*RATES!$L942/12+$H$12*(PARAM!$D$51/12)*RATES!$N942/100</f>
        <v>1190.0416666666667</v>
      </c>
      <c r="AP966" s="16">
        <f t="shared" si="637"/>
        <v>-316363.96711712755</v>
      </c>
      <c r="AQ966" s="15">
        <f t="shared" si="612"/>
        <v>22.170849845882874</v>
      </c>
      <c r="AR966" s="75">
        <f>AQ966*(1-PARAM!$C$27)*$I$13+(MOD($B966,60)=PARAM!$B$56)*($B966&gt;(60-PARAM!$B$56))*HLOOKUP(($B966+PARAM!$B$56)/12,Loyalty,2)*$F$1*MAX(AT965,0)</f>
        <v>18.557001321003963</v>
      </c>
      <c r="AS966" s="75">
        <f>PARAM!$C$26+MAX($G$13-CHOOSE(PARAM!$B$44,MAX(0,AT965*$F$1),0),0)*RATES!$L942/12+$H$13*(PARAM!$D$51/12)*RATES!$N942/100</f>
        <v>1190.0416666666667</v>
      </c>
      <c r="AT966" s="16">
        <f t="shared" si="638"/>
        <v>-316363.96711712755</v>
      </c>
      <c r="AU966" s="15">
        <f t="shared" si="613"/>
        <v>22.170849845882874</v>
      </c>
      <c r="AV966" s="75">
        <f>AU966*(1-PARAM!$C$27)*$I$14+(MOD($B966,60)=PARAM!$B$56)*($B966&gt;(60-PARAM!$B$56))*HLOOKUP(($B966+PARAM!$B$56)/12,Loyalty,2)*$F$1*MAX(AX965,0)</f>
        <v>18.557001321003963</v>
      </c>
      <c r="AW966" s="75">
        <f>PARAM!$C$26+MAX($G$14-CHOOSE(PARAM!$B$44,MAX(0,AX965*$F$1),0),0)*RATES!$L942/12+$H$14*(PARAM!$D$51/12)*RATES!$N942/100</f>
        <v>1190.0416666666667</v>
      </c>
      <c r="AX966" s="16">
        <f t="shared" si="639"/>
        <v>-316363.96711712755</v>
      </c>
      <c r="AY966" s="15">
        <f t="shared" si="614"/>
        <v>22.170849845882874</v>
      </c>
      <c r="AZ966" s="75">
        <f>AY966*(1-PARAM!$C$27)*$I$15+(MOD($B966,60)=PARAM!$B$56)*($B966&gt;(60-PARAM!$B$56))*HLOOKUP(($B966+PARAM!$B$56)/12,Loyalty,2)*$F$1*MAX(BB965,0)</f>
        <v>18.557001321003963</v>
      </c>
      <c r="BA966" s="75">
        <f>PARAM!$C$26+MAX($G$15-CHOOSE(PARAM!$B$44,MAX(0,BB965*$F$1),0),0)*RATES!$L942/12+$H$15*(PARAM!$D$51/12)*RATES!$N942/100</f>
        <v>1190.0416666666667</v>
      </c>
      <c r="BB966" s="16">
        <f t="shared" si="640"/>
        <v>-316363.96711712755</v>
      </c>
      <c r="BC966" s="15">
        <f t="shared" si="615"/>
        <v>22.170849845882874</v>
      </c>
      <c r="BD966" s="75">
        <f>BC966*(1-PARAM!$C$27)*$I$16+(MOD($B966,60)=PARAM!$B$56)*($B966&gt;(60-PARAM!$B$56))*HLOOKUP(($B966+PARAM!$B$56)/12,Loyalty,2)*$F$1*MAX(BF965,0)</f>
        <v>18.557001321003963</v>
      </c>
      <c r="BE966" s="75">
        <f>PARAM!$C$26+MAX($G$16-CHOOSE(PARAM!$B$44,MAX(0,BF965*$F$1),0),0)*RATES!$L942/12+$H$16*(PARAM!$D$51/12)*RATES!$N942/100</f>
        <v>1190.0416666666667</v>
      </c>
      <c r="BF966" s="16">
        <f t="shared" si="641"/>
        <v>-316363.96711712755</v>
      </c>
      <c r="BG966" s="15">
        <f t="shared" si="616"/>
        <v>22.170849845882874</v>
      </c>
      <c r="BH966" s="75">
        <f>BG966*(1-PARAM!$C$27)*$I$17+(MOD($B966,60)=PARAM!$B$56)*($B966&gt;(60-PARAM!$B$56))*HLOOKUP(($B966+PARAM!$B$56)/12,Loyalty,2)*$F$1*MAX(BJ965,0)</f>
        <v>18.557001321003963</v>
      </c>
      <c r="BI966" s="75">
        <f>PARAM!$C$26+MAX($G$17-CHOOSE(PARAM!$B$44,MAX(0,BJ965*$F$1),0),0)*RATES!$L942/12+$H$17*(PARAM!$D$51/12)*RATES!$N942/100</f>
        <v>1190.0416666666667</v>
      </c>
      <c r="BJ966" s="16">
        <f t="shared" si="642"/>
        <v>-316363.96711712755</v>
      </c>
      <c r="BK966" s="15">
        <f t="shared" si="617"/>
        <v>22.170849845882874</v>
      </c>
      <c r="BL966" s="75">
        <f>BK966*(1-PARAM!$C$27)*$I$18+(MOD($B966,60)=PARAM!$B$56)*($B966&gt;(60-PARAM!$B$56))*HLOOKUP(($B966+PARAM!$B$56)/12,Loyalty,2)*$F$1*MAX(BN965,0)</f>
        <v>18.557001321003963</v>
      </c>
      <c r="BM966" s="75">
        <f>PARAM!$C$26+MAX($G$18-CHOOSE(PARAM!$B$44,MAX(0,BN965*$F$1),0),0)*RATES!$L942/12+$H$18*(PARAM!$D$51/12)*RATES!$N942/100</f>
        <v>1190.0416666666667</v>
      </c>
      <c r="BN966" s="16">
        <f t="shared" si="643"/>
        <v>-316363.96711712755</v>
      </c>
      <c r="BO966" s="15">
        <f t="shared" si="618"/>
        <v>22.170849845882874</v>
      </c>
      <c r="BP966" s="75">
        <f>BO966*(1-PARAM!$C$27)*$I$19+(MOD($B966,60)=PARAM!$B$56)*($B966&gt;(60-PARAM!$B$56))*HLOOKUP(($B966+PARAM!$B$56)/12,Loyalty,2)*$F$1*MAX(BR965,0)</f>
        <v>18.557001321003963</v>
      </c>
      <c r="BQ966" s="75">
        <f>PARAM!$C$26+MAX($G$19-CHOOSE(PARAM!$B$44,MAX(0,BR965*$F$1),0),0)*RATES!$L942/12+$H$19*(PARAM!$D$51/12)*RATES!$N942/100</f>
        <v>1190.0416666666667</v>
      </c>
      <c r="BR966" s="16">
        <f t="shared" si="644"/>
        <v>-316363.96711712755</v>
      </c>
      <c r="BS966" s="15">
        <f t="shared" si="619"/>
        <v>22.170849845882874</v>
      </c>
      <c r="BT966" s="75">
        <f>BS966*(1-PARAM!$C$27)*$I$20+(MOD($B966,60)=PARAM!$B$56)*($B966&gt;(60-PARAM!$B$56))*HLOOKUP(($B966+PARAM!$B$56)/12,Loyalty,2)*$F$1*MAX(BV965,0)</f>
        <v>18.557001321003963</v>
      </c>
      <c r="BU966" s="75">
        <f>PARAM!$C$26+MAX($G$20-CHOOSE(PARAM!$B$44,MAX(0,BV965*$F$1),0),0)*RATES!$L942/12+$H$20*(PARAM!$D$51/12)*RATES!$N942/100</f>
        <v>1190.0416666666667</v>
      </c>
      <c r="BV966" s="16">
        <f t="shared" si="645"/>
        <v>-316363.96711712755</v>
      </c>
      <c r="BW966" s="15">
        <f t="shared" si="620"/>
        <v>22.170849845882874</v>
      </c>
      <c r="BX966" s="75">
        <f>BW966*(1-PARAM!$C$27)*$I$21+(MOD($B966,60)=PARAM!$B$56)*($B966&gt;(60-PARAM!$B$56))*HLOOKUP(($B966+PARAM!$B$56)/12,Loyalty,2)*$F$1*MAX(BZ965,0)</f>
        <v>18.557001321003963</v>
      </c>
      <c r="BY966" s="75">
        <f>PARAM!$C$26+MAX($G$21-CHOOSE(PARAM!$B$44,MAX(0,BZ965*$F$1),0),0)*RATES!$L942/12+$H$21*(PARAM!$D$51/12)*RATES!$N942/100</f>
        <v>1190.0416666666667</v>
      </c>
      <c r="BZ966" s="16">
        <f t="shared" si="646"/>
        <v>-316363.96711712755</v>
      </c>
      <c r="CA966" s="15">
        <f t="shared" si="621"/>
        <v>22.170849845882874</v>
      </c>
      <c r="CB966" s="75">
        <f>CA966*(1-PARAM!$C$27)*$I$22+(MOD($B966,60)=PARAM!$B$56)*($B966&gt;(60-PARAM!$B$56))*HLOOKUP(($B966+PARAM!$B$56)/12,Loyalty,2)*$F$1*MAX(CD965,0)</f>
        <v>18.557001321003963</v>
      </c>
      <c r="CC966" s="75">
        <f>PARAM!$C$26+MAX($G$22-CHOOSE(PARAM!$B$44,MAX(0,CD965*$F$1),0),0)*RATES!$L942/12+$H$22*(PARAM!$D$51/12)*RATES!$N942/100</f>
        <v>1190.0416666666667</v>
      </c>
      <c r="CD966" s="16">
        <f t="shared" si="647"/>
        <v>-316363.96711712755</v>
      </c>
      <c r="CE966" s="33">
        <f>IF(0=MOD(B966,12/PARAM!$D$51),1,0)</f>
        <v>1</v>
      </c>
      <c r="CF966" s="15">
        <f t="shared" si="622"/>
        <v>0</v>
      </c>
      <c r="CG966" s="75">
        <f>CF966*(1-PARAM!$C$27)*$R$3+(MOD($B966/12,5)=0)*($B966&gt;60)*HLOOKUP($B966/12,Loyalty,2)*$F$1*MAX(CI965,0)</f>
        <v>0</v>
      </c>
      <c r="CH966" s="75">
        <f>PARAM!$C$26+MAX($P$3-CHOOSE(PARAM!$B$44,MAX(0,CI965*$F$1),0),0)*RATES!$L942/12+$Q$3*(PARAM!$D$51/12)*RATES!$N942/100</f>
        <v>1190.0416666666667</v>
      </c>
      <c r="CI966" s="16">
        <f>IF(CI965&gt;0,CI965*PARAM!$C$53,CI965)+CG966-CH966</f>
        <v>-333669.41666666744</v>
      </c>
      <c r="CJ966" s="15">
        <f t="shared" si="648"/>
        <v>0</v>
      </c>
      <c r="CK966" s="75">
        <f>CJ966*(1-PARAM!$C$27)*$R$4+(MOD($B966/12,5)=0)*($B966&gt;60)*HLOOKUP($B966/12,Loyalty,2)*$F$1*MAX(CM965,0)</f>
        <v>0</v>
      </c>
      <c r="CL966" s="75">
        <f>PARAM!$C$26+MAX($P$4-CHOOSE(PARAM!$B$44,MAX(0,CM965*$F$1),0),0)*RATES!$L942/12+$Q$4*(PARAM!$D$51/12)*RATES!$N942/100</f>
        <v>1190.0416666666667</v>
      </c>
      <c r="CM966" s="16">
        <f>IF(CM965&gt;0,CM965*PARAM!$C$53,CM965)+CK966-CL966</f>
        <v>-333669.41666666744</v>
      </c>
      <c r="CO966" s="176"/>
    </row>
    <row r="967" spans="1:93" x14ac:dyDescent="0.2">
      <c r="A967" t="b">
        <f t="shared" si="623"/>
        <v>0</v>
      </c>
      <c r="B967" s="33">
        <v>940</v>
      </c>
      <c r="C967" s="15">
        <f t="shared" si="624"/>
        <v>20.081305947392778</v>
      </c>
      <c r="D967" s="75">
        <f>C967*(1-PARAM!$C$27)*$I$3+(MOD($B967,60)=PARAM!$B$56)*($B967&gt;(60-PARAM!$B$56))*HLOOKUP(($B967+PARAM!$B$56)/12,Loyalty,2)*$F$1*MAX(F966,0)</f>
        <v>16.808053077967756</v>
      </c>
      <c r="E967" s="75">
        <f>PARAM!$C$26+MAX($G$3-CHOOSE(PARAM!$B$44,MAX(0,F966*$F$1),0),0)*RATES!$L943/12+$H$3*(PARAM!$D$51/12)*RATES!$N943/100</f>
        <v>1190.0416666666667</v>
      </c>
      <c r="F967" s="16">
        <f t="shared" si="625"/>
        <v>-319216.31363144948</v>
      </c>
      <c r="G967" s="15">
        <f t="shared" si="626"/>
        <v>22.035289406060361</v>
      </c>
      <c r="H967" s="75">
        <f>G967*(1-PARAM!$C$27)*$I$4+(MOD($B967,60)=PARAM!$B$56)*($B967&gt;(60-PARAM!$B$56))*HLOOKUP(($B967+PARAM!$B$56)/12,Loyalty,2)*$F$1*MAX(J966,0)</f>
        <v>18.443537232872522</v>
      </c>
      <c r="I967" s="75">
        <f>PARAM!$C$26+MAX($G$4-CHOOSE(PARAM!$B$44,MAX(0,J966*$F$1),0),0)*RATES!$L943/12+$H$4*(PARAM!$D$51/12)*RATES!$N943/100</f>
        <v>1190.0416666666667</v>
      </c>
      <c r="J967" s="16">
        <f t="shared" si="627"/>
        <v>-317645.12556171505</v>
      </c>
      <c r="K967" s="15">
        <f t="shared" si="628"/>
        <v>22.170849845882874</v>
      </c>
      <c r="L967" s="75">
        <f>K967*(1-PARAM!$C$27)*$I$5+(MOD($B967,60)=PARAM!$B$56)*($B967&gt;(60-PARAM!$B$56))*HLOOKUP(($B967+PARAM!$B$56)/12,Loyalty,2)*$F$1*MAX(N966,0)</f>
        <v>18.557001321003963</v>
      </c>
      <c r="M967" s="75">
        <f>PARAM!$C$26+MAX($G$5-CHOOSE(PARAM!$B$44,MAX(0,N966*$F$1),0),0)*RATES!$L943/12+$H$5*(PARAM!$D$51/12)*RATES!$N943/100</f>
        <v>1190.0416666666667</v>
      </c>
      <c r="N967" s="16">
        <f t="shared" si="629"/>
        <v>-317535.45178247325</v>
      </c>
      <c r="O967" s="15">
        <f t="shared" si="630"/>
        <v>22.170849845882874</v>
      </c>
      <c r="P967" s="75">
        <f>O967*(1-PARAM!$C$27)*$I$6+(MOD($B967,60)=PARAM!$B$56)*($B967&gt;(60-PARAM!$B$56))*HLOOKUP(($B967+PARAM!$B$56)/12,Loyalty,2)*$F$1*MAX(R966,0)</f>
        <v>18.557001321003963</v>
      </c>
      <c r="Q967" s="75">
        <f>PARAM!$C$26+MAX($G$6-CHOOSE(PARAM!$B$44,MAX(0,R966*$F$1),0),0)*RATES!$L943/12+$H$6*(PARAM!$D$51/12)*RATES!$N943/100</f>
        <v>1190.0416666666667</v>
      </c>
      <c r="R967" s="16">
        <f t="shared" si="631"/>
        <v>-317535.45178247325</v>
      </c>
      <c r="S967" s="15">
        <f t="shared" si="606"/>
        <v>22.170849845882874</v>
      </c>
      <c r="T967" s="75">
        <f>S967*(1-PARAM!$C$27)*$I$7+(MOD($B967,60)=PARAM!$B$56)*($B967&gt;(60-PARAM!$B$56))*HLOOKUP(($B967+PARAM!$B$56)/12,Loyalty,2)*$F$1*MAX(V966,0)</f>
        <v>18.557001321003963</v>
      </c>
      <c r="U967" s="75">
        <f>PARAM!$C$26+MAX($G$7-CHOOSE(PARAM!$B$44,MAX(0,V966*$F$1),0),0)*RATES!$L943/12+$H$7*(PARAM!$D$51/12)*RATES!$N943/100</f>
        <v>1190.0416666666667</v>
      </c>
      <c r="V967" s="16">
        <f t="shared" si="632"/>
        <v>-317535.45178247325</v>
      </c>
      <c r="W967" s="15">
        <f t="shared" si="607"/>
        <v>22.170849845882874</v>
      </c>
      <c r="X967" s="75">
        <f>W967*(1-PARAM!$C$27)*$I$8+(MOD($B967,60)=PARAM!$B$56)*($B967&gt;(60-PARAM!$B$56))*HLOOKUP(($B967+PARAM!$B$56)/12,Loyalty,2)*$F$1*MAX(Z966,0)</f>
        <v>18.557001321003963</v>
      </c>
      <c r="Y967" s="75">
        <f>PARAM!$C$26+MAX($G$8-CHOOSE(PARAM!$B$44,MAX(0,Z966*$F$1),0),0)*RATES!$L943/12+$H$8*(PARAM!$D$51/12)*RATES!$N943/100</f>
        <v>1190.0416666666667</v>
      </c>
      <c r="Z967" s="16">
        <f t="shared" si="633"/>
        <v>-317535.45178247325</v>
      </c>
      <c r="AA967" s="15">
        <f t="shared" si="608"/>
        <v>22.170849845882874</v>
      </c>
      <c r="AB967" s="75">
        <f>AA967*(1-PARAM!$C$27)*$I$9+(MOD($B967,60)=PARAM!$B$56)*($B967&gt;(60-PARAM!$B$56))*HLOOKUP(($B967+PARAM!$B$56)/12,Loyalty,2)*$F$1*MAX(AD966,0)</f>
        <v>18.557001321003963</v>
      </c>
      <c r="AC967" s="75">
        <f>PARAM!$C$26+MAX($G$9-CHOOSE(PARAM!$B$44,MAX(0,AD966*$F$1),0),0)*RATES!$L943/12+$H$9*(PARAM!$D$51/12)*RATES!$N943/100</f>
        <v>1190.0416666666667</v>
      </c>
      <c r="AD967" s="16">
        <f t="shared" si="634"/>
        <v>-317535.45178247325</v>
      </c>
      <c r="AE967" s="15">
        <f t="shared" si="609"/>
        <v>22.170849845882874</v>
      </c>
      <c r="AF967" s="75">
        <f>AE967*(1-PARAM!$C$27)*$I$10+(MOD($B967,60)=PARAM!$B$56)*($B967&gt;(60-PARAM!$B$56))*HLOOKUP(($B967+PARAM!$B$56)/12,Loyalty,2)*$F$1*MAX(AH966,0)</f>
        <v>18.557001321003963</v>
      </c>
      <c r="AG967" s="75">
        <f>PARAM!$C$26+MAX($G$10-CHOOSE(PARAM!$B$44,MAX(0,AH966*$F$1),0),0)*RATES!$L943/12+$H$10*(PARAM!$D$51/12)*RATES!$N943/100</f>
        <v>1190.0416666666667</v>
      </c>
      <c r="AH967" s="16">
        <f t="shared" si="635"/>
        <v>-317535.45178247325</v>
      </c>
      <c r="AI967" s="15">
        <f t="shared" si="610"/>
        <v>22.170849845882874</v>
      </c>
      <c r="AJ967" s="75">
        <f>AI967*(1-PARAM!$C$27)*$I$11+(MOD($B967,60)=PARAM!$B$56)*($B967&gt;(60-PARAM!$B$56))*HLOOKUP(($B967+PARAM!$B$56)/12,Loyalty,2)*$F$1*MAX(AL966,0)</f>
        <v>18.557001321003963</v>
      </c>
      <c r="AK967" s="75">
        <f>PARAM!$C$26+MAX($G$11-CHOOSE(PARAM!$B$44,MAX(0,AL966*$F$1),0),0)*RATES!$L943/12+$H$11*(PARAM!$D$51/12)*RATES!$N943/100</f>
        <v>1190.0416666666667</v>
      </c>
      <c r="AL967" s="16">
        <f t="shared" si="636"/>
        <v>-317535.45178247325</v>
      </c>
      <c r="AM967" s="15">
        <f t="shared" si="611"/>
        <v>22.170849845882874</v>
      </c>
      <c r="AN967" s="75">
        <f>AM967*(1-PARAM!$C$27)*$I$12+(MOD($B967,60)=PARAM!$B$56)*($B967&gt;(60-PARAM!$B$56))*HLOOKUP(($B967+PARAM!$B$56)/12,Loyalty,2)*$F$1*MAX(AP966,0)</f>
        <v>18.557001321003963</v>
      </c>
      <c r="AO967" s="75">
        <f>PARAM!$C$26+MAX($G$12-CHOOSE(PARAM!$B$44,MAX(0,AP966*$F$1),0),0)*RATES!$L943/12+$H$12*(PARAM!$D$51/12)*RATES!$N943/100</f>
        <v>1190.0416666666667</v>
      </c>
      <c r="AP967" s="16">
        <f t="shared" si="637"/>
        <v>-317535.45178247325</v>
      </c>
      <c r="AQ967" s="15">
        <f t="shared" si="612"/>
        <v>22.170849845882874</v>
      </c>
      <c r="AR967" s="75">
        <f>AQ967*(1-PARAM!$C$27)*$I$13+(MOD($B967,60)=PARAM!$B$56)*($B967&gt;(60-PARAM!$B$56))*HLOOKUP(($B967+PARAM!$B$56)/12,Loyalty,2)*$F$1*MAX(AT966,0)</f>
        <v>18.557001321003963</v>
      </c>
      <c r="AS967" s="75">
        <f>PARAM!$C$26+MAX($G$13-CHOOSE(PARAM!$B$44,MAX(0,AT966*$F$1),0),0)*RATES!$L943/12+$H$13*(PARAM!$D$51/12)*RATES!$N943/100</f>
        <v>1190.0416666666667</v>
      </c>
      <c r="AT967" s="16">
        <f t="shared" si="638"/>
        <v>-317535.45178247325</v>
      </c>
      <c r="AU967" s="15">
        <f t="shared" si="613"/>
        <v>22.170849845882874</v>
      </c>
      <c r="AV967" s="75">
        <f>AU967*(1-PARAM!$C$27)*$I$14+(MOD($B967,60)=PARAM!$B$56)*($B967&gt;(60-PARAM!$B$56))*HLOOKUP(($B967+PARAM!$B$56)/12,Loyalty,2)*$F$1*MAX(AX966,0)</f>
        <v>18.557001321003963</v>
      </c>
      <c r="AW967" s="75">
        <f>PARAM!$C$26+MAX($G$14-CHOOSE(PARAM!$B$44,MAX(0,AX966*$F$1),0),0)*RATES!$L943/12+$H$14*(PARAM!$D$51/12)*RATES!$N943/100</f>
        <v>1190.0416666666667</v>
      </c>
      <c r="AX967" s="16">
        <f t="shared" si="639"/>
        <v>-317535.45178247325</v>
      </c>
      <c r="AY967" s="15">
        <f t="shared" si="614"/>
        <v>22.170849845882874</v>
      </c>
      <c r="AZ967" s="75">
        <f>AY967*(1-PARAM!$C$27)*$I$15+(MOD($B967,60)=PARAM!$B$56)*($B967&gt;(60-PARAM!$B$56))*HLOOKUP(($B967+PARAM!$B$56)/12,Loyalty,2)*$F$1*MAX(BB966,0)</f>
        <v>18.557001321003963</v>
      </c>
      <c r="BA967" s="75">
        <f>PARAM!$C$26+MAX($G$15-CHOOSE(PARAM!$B$44,MAX(0,BB966*$F$1),0),0)*RATES!$L943/12+$H$15*(PARAM!$D$51/12)*RATES!$N943/100</f>
        <v>1190.0416666666667</v>
      </c>
      <c r="BB967" s="16">
        <f t="shared" si="640"/>
        <v>-317535.45178247325</v>
      </c>
      <c r="BC967" s="15">
        <f t="shared" si="615"/>
        <v>22.170849845882874</v>
      </c>
      <c r="BD967" s="75">
        <f>BC967*(1-PARAM!$C$27)*$I$16+(MOD($B967,60)=PARAM!$B$56)*($B967&gt;(60-PARAM!$B$56))*HLOOKUP(($B967+PARAM!$B$56)/12,Loyalty,2)*$F$1*MAX(BF966,0)</f>
        <v>18.557001321003963</v>
      </c>
      <c r="BE967" s="75">
        <f>PARAM!$C$26+MAX($G$16-CHOOSE(PARAM!$B$44,MAX(0,BF966*$F$1),0),0)*RATES!$L943/12+$H$16*(PARAM!$D$51/12)*RATES!$N943/100</f>
        <v>1190.0416666666667</v>
      </c>
      <c r="BF967" s="16">
        <f t="shared" si="641"/>
        <v>-317535.45178247325</v>
      </c>
      <c r="BG967" s="15">
        <f t="shared" si="616"/>
        <v>22.170849845882874</v>
      </c>
      <c r="BH967" s="75">
        <f>BG967*(1-PARAM!$C$27)*$I$17+(MOD($B967,60)=PARAM!$B$56)*($B967&gt;(60-PARAM!$B$56))*HLOOKUP(($B967+PARAM!$B$56)/12,Loyalty,2)*$F$1*MAX(BJ966,0)</f>
        <v>18.557001321003963</v>
      </c>
      <c r="BI967" s="75">
        <f>PARAM!$C$26+MAX($G$17-CHOOSE(PARAM!$B$44,MAX(0,BJ966*$F$1),0),0)*RATES!$L943/12+$H$17*(PARAM!$D$51/12)*RATES!$N943/100</f>
        <v>1190.0416666666667</v>
      </c>
      <c r="BJ967" s="16">
        <f t="shared" si="642"/>
        <v>-317535.45178247325</v>
      </c>
      <c r="BK967" s="15">
        <f t="shared" si="617"/>
        <v>22.170849845882874</v>
      </c>
      <c r="BL967" s="75">
        <f>BK967*(1-PARAM!$C$27)*$I$18+(MOD($B967,60)=PARAM!$B$56)*($B967&gt;(60-PARAM!$B$56))*HLOOKUP(($B967+PARAM!$B$56)/12,Loyalty,2)*$F$1*MAX(BN966,0)</f>
        <v>18.557001321003963</v>
      </c>
      <c r="BM967" s="75">
        <f>PARAM!$C$26+MAX($G$18-CHOOSE(PARAM!$B$44,MAX(0,BN966*$F$1),0),0)*RATES!$L943/12+$H$18*(PARAM!$D$51/12)*RATES!$N943/100</f>
        <v>1190.0416666666667</v>
      </c>
      <c r="BN967" s="16">
        <f t="shared" si="643"/>
        <v>-317535.45178247325</v>
      </c>
      <c r="BO967" s="15">
        <f t="shared" si="618"/>
        <v>22.170849845882874</v>
      </c>
      <c r="BP967" s="75">
        <f>BO967*(1-PARAM!$C$27)*$I$19+(MOD($B967,60)=PARAM!$B$56)*($B967&gt;(60-PARAM!$B$56))*HLOOKUP(($B967+PARAM!$B$56)/12,Loyalty,2)*$F$1*MAX(BR966,0)</f>
        <v>18.557001321003963</v>
      </c>
      <c r="BQ967" s="75">
        <f>PARAM!$C$26+MAX($G$19-CHOOSE(PARAM!$B$44,MAX(0,BR966*$F$1),0),0)*RATES!$L943/12+$H$19*(PARAM!$D$51/12)*RATES!$N943/100</f>
        <v>1190.0416666666667</v>
      </c>
      <c r="BR967" s="16">
        <f t="shared" si="644"/>
        <v>-317535.45178247325</v>
      </c>
      <c r="BS967" s="15">
        <f t="shared" si="619"/>
        <v>22.170849845882874</v>
      </c>
      <c r="BT967" s="75">
        <f>BS967*(1-PARAM!$C$27)*$I$20+(MOD($B967,60)=PARAM!$B$56)*($B967&gt;(60-PARAM!$B$56))*HLOOKUP(($B967+PARAM!$B$56)/12,Loyalty,2)*$F$1*MAX(BV966,0)</f>
        <v>18.557001321003963</v>
      </c>
      <c r="BU967" s="75">
        <f>PARAM!$C$26+MAX($G$20-CHOOSE(PARAM!$B$44,MAX(0,BV966*$F$1),0),0)*RATES!$L943/12+$H$20*(PARAM!$D$51/12)*RATES!$N943/100</f>
        <v>1190.0416666666667</v>
      </c>
      <c r="BV967" s="16">
        <f t="shared" si="645"/>
        <v>-317535.45178247325</v>
      </c>
      <c r="BW967" s="15">
        <f t="shared" si="620"/>
        <v>22.170849845882874</v>
      </c>
      <c r="BX967" s="75">
        <f>BW967*(1-PARAM!$C$27)*$I$21+(MOD($B967,60)=PARAM!$B$56)*($B967&gt;(60-PARAM!$B$56))*HLOOKUP(($B967+PARAM!$B$56)/12,Loyalty,2)*$F$1*MAX(BZ966,0)</f>
        <v>18.557001321003963</v>
      </c>
      <c r="BY967" s="75">
        <f>PARAM!$C$26+MAX($G$21-CHOOSE(PARAM!$B$44,MAX(0,BZ966*$F$1),0),0)*RATES!$L943/12+$H$21*(PARAM!$D$51/12)*RATES!$N943/100</f>
        <v>1190.0416666666667</v>
      </c>
      <c r="BZ967" s="16">
        <f t="shared" si="646"/>
        <v>-317535.45178247325</v>
      </c>
      <c r="CA967" s="15">
        <f t="shared" si="621"/>
        <v>22.170849845882874</v>
      </c>
      <c r="CB967" s="75">
        <f>CA967*(1-PARAM!$C$27)*$I$22+(MOD($B967,60)=PARAM!$B$56)*($B967&gt;(60-PARAM!$B$56))*HLOOKUP(($B967+PARAM!$B$56)/12,Loyalty,2)*$F$1*MAX(CD966,0)</f>
        <v>18.557001321003963</v>
      </c>
      <c r="CC967" s="75">
        <f>PARAM!$C$26+MAX($G$22-CHOOSE(PARAM!$B$44,MAX(0,CD966*$F$1),0),0)*RATES!$L943/12+$H$22*(PARAM!$D$51/12)*RATES!$N943/100</f>
        <v>1190.0416666666667</v>
      </c>
      <c r="CD967" s="16">
        <f t="shared" si="647"/>
        <v>-317535.45178247325</v>
      </c>
      <c r="CE967" s="33">
        <f>IF(0=MOD(B967,12/PARAM!$D$51),1,0)</f>
        <v>1</v>
      </c>
      <c r="CF967" s="15">
        <f t="shared" si="622"/>
        <v>0</v>
      </c>
      <c r="CG967" s="75">
        <f>CF967*(1-PARAM!$C$27)*$R$3+(MOD($B967/12,5)=0)*($B967&gt;60)*HLOOKUP($B967/12,Loyalty,2)*$F$1*MAX(CI966,0)</f>
        <v>0</v>
      </c>
      <c r="CH967" s="75">
        <f>PARAM!$C$26+MAX($P$3-CHOOSE(PARAM!$B$44,MAX(0,CI966*$F$1),0),0)*RATES!$L943/12+$Q$3*(PARAM!$D$51/12)*RATES!$N943/100</f>
        <v>1190.0416666666667</v>
      </c>
      <c r="CI967" s="16">
        <f>IF(CI966&gt;0,CI966*PARAM!$C$53,CI966)+CG967-CH967</f>
        <v>-334859.45833333413</v>
      </c>
      <c r="CJ967" s="15">
        <f t="shared" si="648"/>
        <v>0</v>
      </c>
      <c r="CK967" s="75">
        <f>CJ967*(1-PARAM!$C$27)*$R$4+(MOD($B967/12,5)=0)*($B967&gt;60)*HLOOKUP($B967/12,Loyalty,2)*$F$1*MAX(CM966,0)</f>
        <v>0</v>
      </c>
      <c r="CL967" s="75">
        <f>PARAM!$C$26+MAX($P$4-CHOOSE(PARAM!$B$44,MAX(0,CM966*$F$1),0),0)*RATES!$L943/12+$Q$4*(PARAM!$D$51/12)*RATES!$N943/100</f>
        <v>1190.0416666666667</v>
      </c>
      <c r="CM967" s="16">
        <f>IF(CM966&gt;0,CM966*PARAM!$C$53,CM966)+CK967-CL967</f>
        <v>-334859.45833333413</v>
      </c>
      <c r="CO967" s="176"/>
    </row>
    <row r="968" spans="1:93" x14ac:dyDescent="0.2">
      <c r="A968" t="b">
        <f t="shared" si="623"/>
        <v>0</v>
      </c>
      <c r="B968" s="33">
        <v>941</v>
      </c>
      <c r="C968" s="15">
        <f t="shared" si="624"/>
        <v>20.081305947392778</v>
      </c>
      <c r="D968" s="75">
        <f>C968*(1-PARAM!$C$27)*$I$3+(MOD($B968,60)=PARAM!$B$56)*($B968&gt;(60-PARAM!$B$56))*HLOOKUP(($B968+PARAM!$B$56)/12,Loyalty,2)*$F$1*MAX(F967,0)</f>
        <v>16.808053077967756</v>
      </c>
      <c r="E968" s="75">
        <f>PARAM!$C$26+MAX($G$3-CHOOSE(PARAM!$B$44,MAX(0,F967*$F$1),0),0)*RATES!$L944/12+$H$3*(PARAM!$D$51/12)*RATES!$N944/100</f>
        <v>1190.0416666666667</v>
      </c>
      <c r="F968" s="16">
        <f t="shared" si="625"/>
        <v>-320389.54724503821</v>
      </c>
      <c r="G968" s="15">
        <f t="shared" si="626"/>
        <v>22.035289406060361</v>
      </c>
      <c r="H968" s="75">
        <f>G968*(1-PARAM!$C$27)*$I$4+(MOD($B968,60)=PARAM!$B$56)*($B968&gt;(60-PARAM!$B$56))*HLOOKUP(($B968+PARAM!$B$56)/12,Loyalty,2)*$F$1*MAX(J967,0)</f>
        <v>18.443537232872522</v>
      </c>
      <c r="I968" s="75">
        <f>PARAM!$C$26+MAX($G$4-CHOOSE(PARAM!$B$44,MAX(0,J967*$F$1),0),0)*RATES!$L944/12+$H$4*(PARAM!$D$51/12)*RATES!$N944/100</f>
        <v>1190.0416666666667</v>
      </c>
      <c r="J968" s="16">
        <f t="shared" si="627"/>
        <v>-318816.72369114886</v>
      </c>
      <c r="K968" s="15">
        <f t="shared" si="628"/>
        <v>22.170849845882874</v>
      </c>
      <c r="L968" s="75">
        <f>K968*(1-PARAM!$C$27)*$I$5+(MOD($B968,60)=PARAM!$B$56)*($B968&gt;(60-PARAM!$B$56))*HLOOKUP(($B968+PARAM!$B$56)/12,Loyalty,2)*$F$1*MAX(N967,0)</f>
        <v>18.557001321003963</v>
      </c>
      <c r="M968" s="75">
        <f>PARAM!$C$26+MAX($G$5-CHOOSE(PARAM!$B$44,MAX(0,N967*$F$1),0),0)*RATES!$L944/12+$H$5*(PARAM!$D$51/12)*RATES!$N944/100</f>
        <v>1190.0416666666667</v>
      </c>
      <c r="N968" s="16">
        <f t="shared" si="629"/>
        <v>-318706.93644781894</v>
      </c>
      <c r="O968" s="15">
        <f t="shared" si="630"/>
        <v>22.170849845882874</v>
      </c>
      <c r="P968" s="75">
        <f>O968*(1-PARAM!$C$27)*$I$6+(MOD($B968,60)=PARAM!$B$56)*($B968&gt;(60-PARAM!$B$56))*HLOOKUP(($B968+PARAM!$B$56)/12,Loyalty,2)*$F$1*MAX(R967,0)</f>
        <v>18.557001321003963</v>
      </c>
      <c r="Q968" s="75">
        <f>PARAM!$C$26+MAX($G$6-CHOOSE(PARAM!$B$44,MAX(0,R967*$F$1),0),0)*RATES!$L944/12+$H$6*(PARAM!$D$51/12)*RATES!$N944/100</f>
        <v>1190.0416666666667</v>
      </c>
      <c r="R968" s="16">
        <f t="shared" si="631"/>
        <v>-318706.93644781894</v>
      </c>
      <c r="S968" s="15">
        <f t="shared" si="606"/>
        <v>22.170849845882874</v>
      </c>
      <c r="T968" s="75">
        <f>S968*(1-PARAM!$C$27)*$I$7+(MOD($B968,60)=PARAM!$B$56)*($B968&gt;(60-PARAM!$B$56))*HLOOKUP(($B968+PARAM!$B$56)/12,Loyalty,2)*$F$1*MAX(V967,0)</f>
        <v>18.557001321003963</v>
      </c>
      <c r="U968" s="75">
        <f>PARAM!$C$26+MAX($G$7-CHOOSE(PARAM!$B$44,MAX(0,V967*$F$1),0),0)*RATES!$L944/12+$H$7*(PARAM!$D$51/12)*RATES!$N944/100</f>
        <v>1190.0416666666667</v>
      </c>
      <c r="V968" s="16">
        <f t="shared" si="632"/>
        <v>-318706.93644781894</v>
      </c>
      <c r="W968" s="15">
        <f t="shared" si="607"/>
        <v>22.170849845882874</v>
      </c>
      <c r="X968" s="75">
        <f>W968*(1-PARAM!$C$27)*$I$8+(MOD($B968,60)=PARAM!$B$56)*($B968&gt;(60-PARAM!$B$56))*HLOOKUP(($B968+PARAM!$B$56)/12,Loyalty,2)*$F$1*MAX(Z967,0)</f>
        <v>18.557001321003963</v>
      </c>
      <c r="Y968" s="75">
        <f>PARAM!$C$26+MAX($G$8-CHOOSE(PARAM!$B$44,MAX(0,Z967*$F$1),0),0)*RATES!$L944/12+$H$8*(PARAM!$D$51/12)*RATES!$N944/100</f>
        <v>1190.0416666666667</v>
      </c>
      <c r="Z968" s="16">
        <f t="shared" si="633"/>
        <v>-318706.93644781894</v>
      </c>
      <c r="AA968" s="15">
        <f t="shared" si="608"/>
        <v>22.170849845882874</v>
      </c>
      <c r="AB968" s="75">
        <f>AA968*(1-PARAM!$C$27)*$I$9+(MOD($B968,60)=PARAM!$B$56)*($B968&gt;(60-PARAM!$B$56))*HLOOKUP(($B968+PARAM!$B$56)/12,Loyalty,2)*$F$1*MAX(AD967,0)</f>
        <v>18.557001321003963</v>
      </c>
      <c r="AC968" s="75">
        <f>PARAM!$C$26+MAX($G$9-CHOOSE(PARAM!$B$44,MAX(0,AD967*$F$1),0),0)*RATES!$L944/12+$H$9*(PARAM!$D$51/12)*RATES!$N944/100</f>
        <v>1190.0416666666667</v>
      </c>
      <c r="AD968" s="16">
        <f t="shared" si="634"/>
        <v>-318706.93644781894</v>
      </c>
      <c r="AE968" s="15">
        <f t="shared" si="609"/>
        <v>22.170849845882874</v>
      </c>
      <c r="AF968" s="75">
        <f>AE968*(1-PARAM!$C$27)*$I$10+(MOD($B968,60)=PARAM!$B$56)*($B968&gt;(60-PARAM!$B$56))*HLOOKUP(($B968+PARAM!$B$56)/12,Loyalty,2)*$F$1*MAX(AH967,0)</f>
        <v>18.557001321003963</v>
      </c>
      <c r="AG968" s="75">
        <f>PARAM!$C$26+MAX($G$10-CHOOSE(PARAM!$B$44,MAX(0,AH967*$F$1),0),0)*RATES!$L944/12+$H$10*(PARAM!$D$51/12)*RATES!$N944/100</f>
        <v>1190.0416666666667</v>
      </c>
      <c r="AH968" s="16">
        <f t="shared" si="635"/>
        <v>-318706.93644781894</v>
      </c>
      <c r="AI968" s="15">
        <f t="shared" si="610"/>
        <v>22.170849845882874</v>
      </c>
      <c r="AJ968" s="75">
        <f>AI968*(1-PARAM!$C$27)*$I$11+(MOD($B968,60)=PARAM!$B$56)*($B968&gt;(60-PARAM!$B$56))*HLOOKUP(($B968+PARAM!$B$56)/12,Loyalty,2)*$F$1*MAX(AL967,0)</f>
        <v>18.557001321003963</v>
      </c>
      <c r="AK968" s="75">
        <f>PARAM!$C$26+MAX($G$11-CHOOSE(PARAM!$B$44,MAX(0,AL967*$F$1),0),0)*RATES!$L944/12+$H$11*(PARAM!$D$51/12)*RATES!$N944/100</f>
        <v>1190.0416666666667</v>
      </c>
      <c r="AL968" s="16">
        <f t="shared" si="636"/>
        <v>-318706.93644781894</v>
      </c>
      <c r="AM968" s="15">
        <f t="shared" si="611"/>
        <v>22.170849845882874</v>
      </c>
      <c r="AN968" s="75">
        <f>AM968*(1-PARAM!$C$27)*$I$12+(MOD($B968,60)=PARAM!$B$56)*($B968&gt;(60-PARAM!$B$56))*HLOOKUP(($B968+PARAM!$B$56)/12,Loyalty,2)*$F$1*MAX(AP967,0)</f>
        <v>18.557001321003963</v>
      </c>
      <c r="AO968" s="75">
        <f>PARAM!$C$26+MAX($G$12-CHOOSE(PARAM!$B$44,MAX(0,AP967*$F$1),0),0)*RATES!$L944/12+$H$12*(PARAM!$D$51/12)*RATES!$N944/100</f>
        <v>1190.0416666666667</v>
      </c>
      <c r="AP968" s="16">
        <f t="shared" si="637"/>
        <v>-318706.93644781894</v>
      </c>
      <c r="AQ968" s="15">
        <f t="shared" si="612"/>
        <v>22.170849845882874</v>
      </c>
      <c r="AR968" s="75">
        <f>AQ968*(1-PARAM!$C$27)*$I$13+(MOD($B968,60)=PARAM!$B$56)*($B968&gt;(60-PARAM!$B$56))*HLOOKUP(($B968+PARAM!$B$56)/12,Loyalty,2)*$F$1*MAX(AT967,0)</f>
        <v>18.557001321003963</v>
      </c>
      <c r="AS968" s="75">
        <f>PARAM!$C$26+MAX($G$13-CHOOSE(PARAM!$B$44,MAX(0,AT967*$F$1),0),0)*RATES!$L944/12+$H$13*(PARAM!$D$51/12)*RATES!$N944/100</f>
        <v>1190.0416666666667</v>
      </c>
      <c r="AT968" s="16">
        <f t="shared" si="638"/>
        <v>-318706.93644781894</v>
      </c>
      <c r="AU968" s="15">
        <f t="shared" si="613"/>
        <v>22.170849845882874</v>
      </c>
      <c r="AV968" s="75">
        <f>AU968*(1-PARAM!$C$27)*$I$14+(MOD($B968,60)=PARAM!$B$56)*($B968&gt;(60-PARAM!$B$56))*HLOOKUP(($B968+PARAM!$B$56)/12,Loyalty,2)*$F$1*MAX(AX967,0)</f>
        <v>18.557001321003963</v>
      </c>
      <c r="AW968" s="75">
        <f>PARAM!$C$26+MAX($G$14-CHOOSE(PARAM!$B$44,MAX(0,AX967*$F$1),0),0)*RATES!$L944/12+$H$14*(PARAM!$D$51/12)*RATES!$N944/100</f>
        <v>1190.0416666666667</v>
      </c>
      <c r="AX968" s="16">
        <f t="shared" si="639"/>
        <v>-318706.93644781894</v>
      </c>
      <c r="AY968" s="15">
        <f t="shared" si="614"/>
        <v>22.170849845882874</v>
      </c>
      <c r="AZ968" s="75">
        <f>AY968*(1-PARAM!$C$27)*$I$15+(MOD($B968,60)=PARAM!$B$56)*($B968&gt;(60-PARAM!$B$56))*HLOOKUP(($B968+PARAM!$B$56)/12,Loyalty,2)*$F$1*MAX(BB967,0)</f>
        <v>18.557001321003963</v>
      </c>
      <c r="BA968" s="75">
        <f>PARAM!$C$26+MAX($G$15-CHOOSE(PARAM!$B$44,MAX(0,BB967*$F$1),0),0)*RATES!$L944/12+$H$15*(PARAM!$D$51/12)*RATES!$N944/100</f>
        <v>1190.0416666666667</v>
      </c>
      <c r="BB968" s="16">
        <f t="shared" si="640"/>
        <v>-318706.93644781894</v>
      </c>
      <c r="BC968" s="15">
        <f t="shared" si="615"/>
        <v>22.170849845882874</v>
      </c>
      <c r="BD968" s="75">
        <f>BC968*(1-PARAM!$C$27)*$I$16+(MOD($B968,60)=PARAM!$B$56)*($B968&gt;(60-PARAM!$B$56))*HLOOKUP(($B968+PARAM!$B$56)/12,Loyalty,2)*$F$1*MAX(BF967,0)</f>
        <v>18.557001321003963</v>
      </c>
      <c r="BE968" s="75">
        <f>PARAM!$C$26+MAX($G$16-CHOOSE(PARAM!$B$44,MAX(0,BF967*$F$1),0),0)*RATES!$L944/12+$H$16*(PARAM!$D$51/12)*RATES!$N944/100</f>
        <v>1190.0416666666667</v>
      </c>
      <c r="BF968" s="16">
        <f t="shared" si="641"/>
        <v>-318706.93644781894</v>
      </c>
      <c r="BG968" s="15">
        <f t="shared" si="616"/>
        <v>22.170849845882874</v>
      </c>
      <c r="BH968" s="75">
        <f>BG968*(1-PARAM!$C$27)*$I$17+(MOD($B968,60)=PARAM!$B$56)*($B968&gt;(60-PARAM!$B$56))*HLOOKUP(($B968+PARAM!$B$56)/12,Loyalty,2)*$F$1*MAX(BJ967,0)</f>
        <v>18.557001321003963</v>
      </c>
      <c r="BI968" s="75">
        <f>PARAM!$C$26+MAX($G$17-CHOOSE(PARAM!$B$44,MAX(0,BJ967*$F$1),0),0)*RATES!$L944/12+$H$17*(PARAM!$D$51/12)*RATES!$N944/100</f>
        <v>1190.0416666666667</v>
      </c>
      <c r="BJ968" s="16">
        <f t="shared" si="642"/>
        <v>-318706.93644781894</v>
      </c>
      <c r="BK968" s="15">
        <f t="shared" si="617"/>
        <v>22.170849845882874</v>
      </c>
      <c r="BL968" s="75">
        <f>BK968*(1-PARAM!$C$27)*$I$18+(MOD($B968,60)=PARAM!$B$56)*($B968&gt;(60-PARAM!$B$56))*HLOOKUP(($B968+PARAM!$B$56)/12,Loyalty,2)*$F$1*MAX(BN967,0)</f>
        <v>18.557001321003963</v>
      </c>
      <c r="BM968" s="75">
        <f>PARAM!$C$26+MAX($G$18-CHOOSE(PARAM!$B$44,MAX(0,BN967*$F$1),0),0)*RATES!$L944/12+$H$18*(PARAM!$D$51/12)*RATES!$N944/100</f>
        <v>1190.0416666666667</v>
      </c>
      <c r="BN968" s="16">
        <f t="shared" si="643"/>
        <v>-318706.93644781894</v>
      </c>
      <c r="BO968" s="15">
        <f t="shared" si="618"/>
        <v>22.170849845882874</v>
      </c>
      <c r="BP968" s="75">
        <f>BO968*(1-PARAM!$C$27)*$I$19+(MOD($B968,60)=PARAM!$B$56)*($B968&gt;(60-PARAM!$B$56))*HLOOKUP(($B968+PARAM!$B$56)/12,Loyalty,2)*$F$1*MAX(BR967,0)</f>
        <v>18.557001321003963</v>
      </c>
      <c r="BQ968" s="75">
        <f>PARAM!$C$26+MAX($G$19-CHOOSE(PARAM!$B$44,MAX(0,BR967*$F$1),0),0)*RATES!$L944/12+$H$19*(PARAM!$D$51/12)*RATES!$N944/100</f>
        <v>1190.0416666666667</v>
      </c>
      <c r="BR968" s="16">
        <f t="shared" si="644"/>
        <v>-318706.93644781894</v>
      </c>
      <c r="BS968" s="15">
        <f t="shared" si="619"/>
        <v>22.170849845882874</v>
      </c>
      <c r="BT968" s="75">
        <f>BS968*(1-PARAM!$C$27)*$I$20+(MOD($B968,60)=PARAM!$B$56)*($B968&gt;(60-PARAM!$B$56))*HLOOKUP(($B968+PARAM!$B$56)/12,Loyalty,2)*$F$1*MAX(BV967,0)</f>
        <v>18.557001321003963</v>
      </c>
      <c r="BU968" s="75">
        <f>PARAM!$C$26+MAX($G$20-CHOOSE(PARAM!$B$44,MAX(0,BV967*$F$1),0),0)*RATES!$L944/12+$H$20*(PARAM!$D$51/12)*RATES!$N944/100</f>
        <v>1190.0416666666667</v>
      </c>
      <c r="BV968" s="16">
        <f t="shared" si="645"/>
        <v>-318706.93644781894</v>
      </c>
      <c r="BW968" s="15">
        <f t="shared" si="620"/>
        <v>22.170849845882874</v>
      </c>
      <c r="BX968" s="75">
        <f>BW968*(1-PARAM!$C$27)*$I$21+(MOD($B968,60)=PARAM!$B$56)*($B968&gt;(60-PARAM!$B$56))*HLOOKUP(($B968+PARAM!$B$56)/12,Loyalty,2)*$F$1*MAX(BZ967,0)</f>
        <v>18.557001321003963</v>
      </c>
      <c r="BY968" s="75">
        <f>PARAM!$C$26+MAX($G$21-CHOOSE(PARAM!$B$44,MAX(0,BZ967*$F$1),0),0)*RATES!$L944/12+$H$21*(PARAM!$D$51/12)*RATES!$N944/100</f>
        <v>1190.0416666666667</v>
      </c>
      <c r="BZ968" s="16">
        <f t="shared" si="646"/>
        <v>-318706.93644781894</v>
      </c>
      <c r="CA968" s="15">
        <f t="shared" si="621"/>
        <v>22.170849845882874</v>
      </c>
      <c r="CB968" s="75">
        <f>CA968*(1-PARAM!$C$27)*$I$22+(MOD($B968,60)=PARAM!$B$56)*($B968&gt;(60-PARAM!$B$56))*HLOOKUP(($B968+PARAM!$B$56)/12,Loyalty,2)*$F$1*MAX(CD967,0)</f>
        <v>18.557001321003963</v>
      </c>
      <c r="CC968" s="75">
        <f>PARAM!$C$26+MAX($G$22-CHOOSE(PARAM!$B$44,MAX(0,CD967*$F$1),0),0)*RATES!$L944/12+$H$22*(PARAM!$D$51/12)*RATES!$N944/100</f>
        <v>1190.0416666666667</v>
      </c>
      <c r="CD968" s="16">
        <f t="shared" si="647"/>
        <v>-318706.93644781894</v>
      </c>
      <c r="CE968" s="33">
        <f>IF(0=MOD(B968,12/PARAM!$D$51),1,0)</f>
        <v>1</v>
      </c>
      <c r="CF968" s="15">
        <f t="shared" si="622"/>
        <v>0</v>
      </c>
      <c r="CG968" s="75">
        <f>CF968*(1-PARAM!$C$27)*$R$3+(MOD($B968/12,5)=0)*($B968&gt;60)*HLOOKUP($B968/12,Loyalty,2)*$F$1*MAX(CI967,0)</f>
        <v>0</v>
      </c>
      <c r="CH968" s="75">
        <f>PARAM!$C$26+MAX($P$3-CHOOSE(PARAM!$B$44,MAX(0,CI967*$F$1),0),0)*RATES!$L944/12+$Q$3*(PARAM!$D$51/12)*RATES!$N944/100</f>
        <v>1190.0416666666667</v>
      </c>
      <c r="CI968" s="16">
        <f>IF(CI967&gt;0,CI967*PARAM!$C$53,CI967)+CG968-CH968</f>
        <v>-336049.50000000081</v>
      </c>
      <c r="CJ968" s="15">
        <f t="shared" si="648"/>
        <v>0</v>
      </c>
      <c r="CK968" s="75">
        <f>CJ968*(1-PARAM!$C$27)*$R$4+(MOD($B968/12,5)=0)*($B968&gt;60)*HLOOKUP($B968/12,Loyalty,2)*$F$1*MAX(CM967,0)</f>
        <v>0</v>
      </c>
      <c r="CL968" s="75">
        <f>PARAM!$C$26+MAX($P$4-CHOOSE(PARAM!$B$44,MAX(0,CM967*$F$1),0),0)*RATES!$L944/12+$Q$4*(PARAM!$D$51/12)*RATES!$N944/100</f>
        <v>1190.0416666666667</v>
      </c>
      <c r="CM968" s="16">
        <f>IF(CM967&gt;0,CM967*PARAM!$C$53,CM967)+CK968-CL968</f>
        <v>-336049.50000000081</v>
      </c>
      <c r="CO968" s="176"/>
    </row>
    <row r="969" spans="1:93" x14ac:dyDescent="0.2">
      <c r="A969" t="b">
        <f t="shared" si="623"/>
        <v>0</v>
      </c>
      <c r="B969" s="33">
        <v>942</v>
      </c>
      <c r="C969" s="15">
        <f t="shared" si="624"/>
        <v>20.081305947392778</v>
      </c>
      <c r="D969" s="75">
        <f>C969*(1-PARAM!$C$27)*$I$3+(MOD($B969,60)=PARAM!$B$56)*($B969&gt;(60-PARAM!$B$56))*HLOOKUP(($B969+PARAM!$B$56)/12,Loyalty,2)*$F$1*MAX(F968,0)</f>
        <v>16.808053077967756</v>
      </c>
      <c r="E969" s="75">
        <f>PARAM!$C$26+MAX($G$3-CHOOSE(PARAM!$B$44,MAX(0,F968*$F$1),0),0)*RATES!$L945/12+$H$3*(PARAM!$D$51/12)*RATES!$N945/100</f>
        <v>1190.0416666666667</v>
      </c>
      <c r="F969" s="16">
        <f t="shared" si="625"/>
        <v>-321562.78085862694</v>
      </c>
      <c r="G969" s="15">
        <f t="shared" si="626"/>
        <v>22.035289406060361</v>
      </c>
      <c r="H969" s="75">
        <f>G969*(1-PARAM!$C$27)*$I$4+(MOD($B969,60)=PARAM!$B$56)*($B969&gt;(60-PARAM!$B$56))*HLOOKUP(($B969+PARAM!$B$56)/12,Loyalty,2)*$F$1*MAX(J968,0)</f>
        <v>18.443537232872522</v>
      </c>
      <c r="I969" s="75">
        <f>PARAM!$C$26+MAX($G$4-CHOOSE(PARAM!$B$44,MAX(0,J968*$F$1),0),0)*RATES!$L945/12+$H$4*(PARAM!$D$51/12)*RATES!$N945/100</f>
        <v>1190.0416666666667</v>
      </c>
      <c r="J969" s="16">
        <f t="shared" si="627"/>
        <v>-319988.32182058267</v>
      </c>
      <c r="K969" s="15">
        <f t="shared" si="628"/>
        <v>22.170849845882874</v>
      </c>
      <c r="L969" s="75">
        <f>K969*(1-PARAM!$C$27)*$I$5+(MOD($B969,60)=PARAM!$B$56)*($B969&gt;(60-PARAM!$B$56))*HLOOKUP(($B969+PARAM!$B$56)/12,Loyalty,2)*$F$1*MAX(N968,0)</f>
        <v>18.557001321003963</v>
      </c>
      <c r="M969" s="75">
        <f>PARAM!$C$26+MAX($G$5-CHOOSE(PARAM!$B$44,MAX(0,N968*$F$1),0),0)*RATES!$L945/12+$H$5*(PARAM!$D$51/12)*RATES!$N945/100</f>
        <v>1190.0416666666667</v>
      </c>
      <c r="N969" s="16">
        <f t="shared" si="629"/>
        <v>-319878.42111316463</v>
      </c>
      <c r="O969" s="15">
        <f t="shared" si="630"/>
        <v>22.170849845882874</v>
      </c>
      <c r="P969" s="75">
        <f>O969*(1-PARAM!$C$27)*$I$6+(MOD($B969,60)=PARAM!$B$56)*($B969&gt;(60-PARAM!$B$56))*HLOOKUP(($B969+PARAM!$B$56)/12,Loyalty,2)*$F$1*MAX(R968,0)</f>
        <v>18.557001321003963</v>
      </c>
      <c r="Q969" s="75">
        <f>PARAM!$C$26+MAX($G$6-CHOOSE(PARAM!$B$44,MAX(0,R968*$F$1),0),0)*RATES!$L945/12+$H$6*(PARAM!$D$51/12)*RATES!$N945/100</f>
        <v>1190.0416666666667</v>
      </c>
      <c r="R969" s="16">
        <f t="shared" si="631"/>
        <v>-319878.42111316463</v>
      </c>
      <c r="S969" s="15">
        <f t="shared" si="606"/>
        <v>22.170849845882874</v>
      </c>
      <c r="T969" s="75">
        <f>S969*(1-PARAM!$C$27)*$I$7+(MOD($B969,60)=PARAM!$B$56)*($B969&gt;(60-PARAM!$B$56))*HLOOKUP(($B969+PARAM!$B$56)/12,Loyalty,2)*$F$1*MAX(V968,0)</f>
        <v>18.557001321003963</v>
      </c>
      <c r="U969" s="75">
        <f>PARAM!$C$26+MAX($G$7-CHOOSE(PARAM!$B$44,MAX(0,V968*$F$1),0),0)*RATES!$L945/12+$H$7*(PARAM!$D$51/12)*RATES!$N945/100</f>
        <v>1190.0416666666667</v>
      </c>
      <c r="V969" s="16">
        <f t="shared" si="632"/>
        <v>-319878.42111316463</v>
      </c>
      <c r="W969" s="15">
        <f t="shared" si="607"/>
        <v>22.170849845882874</v>
      </c>
      <c r="X969" s="75">
        <f>W969*(1-PARAM!$C$27)*$I$8+(MOD($B969,60)=PARAM!$B$56)*($B969&gt;(60-PARAM!$B$56))*HLOOKUP(($B969+PARAM!$B$56)/12,Loyalty,2)*$F$1*MAX(Z968,0)</f>
        <v>18.557001321003963</v>
      </c>
      <c r="Y969" s="75">
        <f>PARAM!$C$26+MAX($G$8-CHOOSE(PARAM!$B$44,MAX(0,Z968*$F$1),0),0)*RATES!$L945/12+$H$8*(PARAM!$D$51/12)*RATES!$N945/100</f>
        <v>1190.0416666666667</v>
      </c>
      <c r="Z969" s="16">
        <f t="shared" si="633"/>
        <v>-319878.42111316463</v>
      </c>
      <c r="AA969" s="15">
        <f t="shared" si="608"/>
        <v>22.170849845882874</v>
      </c>
      <c r="AB969" s="75">
        <f>AA969*(1-PARAM!$C$27)*$I$9+(MOD($B969,60)=PARAM!$B$56)*($B969&gt;(60-PARAM!$B$56))*HLOOKUP(($B969+PARAM!$B$56)/12,Loyalty,2)*$F$1*MAX(AD968,0)</f>
        <v>18.557001321003963</v>
      </c>
      <c r="AC969" s="75">
        <f>PARAM!$C$26+MAX($G$9-CHOOSE(PARAM!$B$44,MAX(0,AD968*$F$1),0),0)*RATES!$L945/12+$H$9*(PARAM!$D$51/12)*RATES!$N945/100</f>
        <v>1190.0416666666667</v>
      </c>
      <c r="AD969" s="16">
        <f t="shared" si="634"/>
        <v>-319878.42111316463</v>
      </c>
      <c r="AE969" s="15">
        <f t="shared" si="609"/>
        <v>22.170849845882874</v>
      </c>
      <c r="AF969" s="75">
        <f>AE969*(1-PARAM!$C$27)*$I$10+(MOD($B969,60)=PARAM!$B$56)*($B969&gt;(60-PARAM!$B$56))*HLOOKUP(($B969+PARAM!$B$56)/12,Loyalty,2)*$F$1*MAX(AH968,0)</f>
        <v>18.557001321003963</v>
      </c>
      <c r="AG969" s="75">
        <f>PARAM!$C$26+MAX($G$10-CHOOSE(PARAM!$B$44,MAX(0,AH968*$F$1),0),0)*RATES!$L945/12+$H$10*(PARAM!$D$51/12)*RATES!$N945/100</f>
        <v>1190.0416666666667</v>
      </c>
      <c r="AH969" s="16">
        <f t="shared" si="635"/>
        <v>-319878.42111316463</v>
      </c>
      <c r="AI969" s="15">
        <f t="shared" si="610"/>
        <v>22.170849845882874</v>
      </c>
      <c r="AJ969" s="75">
        <f>AI969*(1-PARAM!$C$27)*$I$11+(MOD($B969,60)=PARAM!$B$56)*($B969&gt;(60-PARAM!$B$56))*HLOOKUP(($B969+PARAM!$B$56)/12,Loyalty,2)*$F$1*MAX(AL968,0)</f>
        <v>18.557001321003963</v>
      </c>
      <c r="AK969" s="75">
        <f>PARAM!$C$26+MAX($G$11-CHOOSE(PARAM!$B$44,MAX(0,AL968*$F$1),0),0)*RATES!$L945/12+$H$11*(PARAM!$D$51/12)*RATES!$N945/100</f>
        <v>1190.0416666666667</v>
      </c>
      <c r="AL969" s="16">
        <f t="shared" si="636"/>
        <v>-319878.42111316463</v>
      </c>
      <c r="AM969" s="15">
        <f t="shared" si="611"/>
        <v>22.170849845882874</v>
      </c>
      <c r="AN969" s="75">
        <f>AM969*(1-PARAM!$C$27)*$I$12+(MOD($B969,60)=PARAM!$B$56)*($B969&gt;(60-PARAM!$B$56))*HLOOKUP(($B969+PARAM!$B$56)/12,Loyalty,2)*$F$1*MAX(AP968,0)</f>
        <v>18.557001321003963</v>
      </c>
      <c r="AO969" s="75">
        <f>PARAM!$C$26+MAX($G$12-CHOOSE(PARAM!$B$44,MAX(0,AP968*$F$1),0),0)*RATES!$L945/12+$H$12*(PARAM!$D$51/12)*RATES!$N945/100</f>
        <v>1190.0416666666667</v>
      </c>
      <c r="AP969" s="16">
        <f t="shared" si="637"/>
        <v>-319878.42111316463</v>
      </c>
      <c r="AQ969" s="15">
        <f t="shared" si="612"/>
        <v>22.170849845882874</v>
      </c>
      <c r="AR969" s="75">
        <f>AQ969*(1-PARAM!$C$27)*$I$13+(MOD($B969,60)=PARAM!$B$56)*($B969&gt;(60-PARAM!$B$56))*HLOOKUP(($B969+PARAM!$B$56)/12,Loyalty,2)*$F$1*MAX(AT968,0)</f>
        <v>18.557001321003963</v>
      </c>
      <c r="AS969" s="75">
        <f>PARAM!$C$26+MAX($G$13-CHOOSE(PARAM!$B$44,MAX(0,AT968*$F$1),0),0)*RATES!$L945/12+$H$13*(PARAM!$D$51/12)*RATES!$N945/100</f>
        <v>1190.0416666666667</v>
      </c>
      <c r="AT969" s="16">
        <f t="shared" si="638"/>
        <v>-319878.42111316463</v>
      </c>
      <c r="AU969" s="15">
        <f t="shared" si="613"/>
        <v>22.170849845882874</v>
      </c>
      <c r="AV969" s="75">
        <f>AU969*(1-PARAM!$C$27)*$I$14+(MOD($B969,60)=PARAM!$B$56)*($B969&gt;(60-PARAM!$B$56))*HLOOKUP(($B969+PARAM!$B$56)/12,Loyalty,2)*$F$1*MAX(AX968,0)</f>
        <v>18.557001321003963</v>
      </c>
      <c r="AW969" s="75">
        <f>PARAM!$C$26+MAX($G$14-CHOOSE(PARAM!$B$44,MAX(0,AX968*$F$1),0),0)*RATES!$L945/12+$H$14*(PARAM!$D$51/12)*RATES!$N945/100</f>
        <v>1190.0416666666667</v>
      </c>
      <c r="AX969" s="16">
        <f t="shared" si="639"/>
        <v>-319878.42111316463</v>
      </c>
      <c r="AY969" s="15">
        <f t="shared" si="614"/>
        <v>22.170849845882874</v>
      </c>
      <c r="AZ969" s="75">
        <f>AY969*(1-PARAM!$C$27)*$I$15+(MOD($B969,60)=PARAM!$B$56)*($B969&gt;(60-PARAM!$B$56))*HLOOKUP(($B969+PARAM!$B$56)/12,Loyalty,2)*$F$1*MAX(BB968,0)</f>
        <v>18.557001321003963</v>
      </c>
      <c r="BA969" s="75">
        <f>PARAM!$C$26+MAX($G$15-CHOOSE(PARAM!$B$44,MAX(0,BB968*$F$1),0),0)*RATES!$L945/12+$H$15*(PARAM!$D$51/12)*RATES!$N945/100</f>
        <v>1190.0416666666667</v>
      </c>
      <c r="BB969" s="16">
        <f t="shared" si="640"/>
        <v>-319878.42111316463</v>
      </c>
      <c r="BC969" s="15">
        <f t="shared" si="615"/>
        <v>22.170849845882874</v>
      </c>
      <c r="BD969" s="75">
        <f>BC969*(1-PARAM!$C$27)*$I$16+(MOD($B969,60)=PARAM!$B$56)*($B969&gt;(60-PARAM!$B$56))*HLOOKUP(($B969+PARAM!$B$56)/12,Loyalty,2)*$F$1*MAX(BF968,0)</f>
        <v>18.557001321003963</v>
      </c>
      <c r="BE969" s="75">
        <f>PARAM!$C$26+MAX($G$16-CHOOSE(PARAM!$B$44,MAX(0,BF968*$F$1),0),0)*RATES!$L945/12+$H$16*(PARAM!$D$51/12)*RATES!$N945/100</f>
        <v>1190.0416666666667</v>
      </c>
      <c r="BF969" s="16">
        <f t="shared" si="641"/>
        <v>-319878.42111316463</v>
      </c>
      <c r="BG969" s="15">
        <f t="shared" si="616"/>
        <v>22.170849845882874</v>
      </c>
      <c r="BH969" s="75">
        <f>BG969*(1-PARAM!$C$27)*$I$17+(MOD($B969,60)=PARAM!$B$56)*($B969&gt;(60-PARAM!$B$56))*HLOOKUP(($B969+PARAM!$B$56)/12,Loyalty,2)*$F$1*MAX(BJ968,0)</f>
        <v>18.557001321003963</v>
      </c>
      <c r="BI969" s="75">
        <f>PARAM!$C$26+MAX($G$17-CHOOSE(PARAM!$B$44,MAX(0,BJ968*$F$1),0),0)*RATES!$L945/12+$H$17*(PARAM!$D$51/12)*RATES!$N945/100</f>
        <v>1190.0416666666667</v>
      </c>
      <c r="BJ969" s="16">
        <f t="shared" si="642"/>
        <v>-319878.42111316463</v>
      </c>
      <c r="BK969" s="15">
        <f t="shared" si="617"/>
        <v>22.170849845882874</v>
      </c>
      <c r="BL969" s="75">
        <f>BK969*(1-PARAM!$C$27)*$I$18+(MOD($B969,60)=PARAM!$B$56)*($B969&gt;(60-PARAM!$B$56))*HLOOKUP(($B969+PARAM!$B$56)/12,Loyalty,2)*$F$1*MAX(BN968,0)</f>
        <v>18.557001321003963</v>
      </c>
      <c r="BM969" s="75">
        <f>PARAM!$C$26+MAX($G$18-CHOOSE(PARAM!$B$44,MAX(0,BN968*$F$1),0),0)*RATES!$L945/12+$H$18*(PARAM!$D$51/12)*RATES!$N945/100</f>
        <v>1190.0416666666667</v>
      </c>
      <c r="BN969" s="16">
        <f t="shared" si="643"/>
        <v>-319878.42111316463</v>
      </c>
      <c r="BO969" s="15">
        <f t="shared" si="618"/>
        <v>22.170849845882874</v>
      </c>
      <c r="BP969" s="75">
        <f>BO969*(1-PARAM!$C$27)*$I$19+(MOD($B969,60)=PARAM!$B$56)*($B969&gt;(60-PARAM!$B$56))*HLOOKUP(($B969+PARAM!$B$56)/12,Loyalty,2)*$F$1*MAX(BR968,0)</f>
        <v>18.557001321003963</v>
      </c>
      <c r="BQ969" s="75">
        <f>PARAM!$C$26+MAX($G$19-CHOOSE(PARAM!$B$44,MAX(0,BR968*$F$1),0),0)*RATES!$L945/12+$H$19*(PARAM!$D$51/12)*RATES!$N945/100</f>
        <v>1190.0416666666667</v>
      </c>
      <c r="BR969" s="16">
        <f t="shared" si="644"/>
        <v>-319878.42111316463</v>
      </c>
      <c r="BS969" s="15">
        <f t="shared" si="619"/>
        <v>22.170849845882874</v>
      </c>
      <c r="BT969" s="75">
        <f>BS969*(1-PARAM!$C$27)*$I$20+(MOD($B969,60)=PARAM!$B$56)*($B969&gt;(60-PARAM!$B$56))*HLOOKUP(($B969+PARAM!$B$56)/12,Loyalty,2)*$F$1*MAX(BV968,0)</f>
        <v>18.557001321003963</v>
      </c>
      <c r="BU969" s="75">
        <f>PARAM!$C$26+MAX($G$20-CHOOSE(PARAM!$B$44,MAX(0,BV968*$F$1),0),0)*RATES!$L945/12+$H$20*(PARAM!$D$51/12)*RATES!$N945/100</f>
        <v>1190.0416666666667</v>
      </c>
      <c r="BV969" s="16">
        <f t="shared" si="645"/>
        <v>-319878.42111316463</v>
      </c>
      <c r="BW969" s="15">
        <f t="shared" si="620"/>
        <v>22.170849845882874</v>
      </c>
      <c r="BX969" s="75">
        <f>BW969*(1-PARAM!$C$27)*$I$21+(MOD($B969,60)=PARAM!$B$56)*($B969&gt;(60-PARAM!$B$56))*HLOOKUP(($B969+PARAM!$B$56)/12,Loyalty,2)*$F$1*MAX(BZ968,0)</f>
        <v>18.557001321003963</v>
      </c>
      <c r="BY969" s="75">
        <f>PARAM!$C$26+MAX($G$21-CHOOSE(PARAM!$B$44,MAX(0,BZ968*$F$1),0),0)*RATES!$L945/12+$H$21*(PARAM!$D$51/12)*RATES!$N945/100</f>
        <v>1190.0416666666667</v>
      </c>
      <c r="BZ969" s="16">
        <f t="shared" si="646"/>
        <v>-319878.42111316463</v>
      </c>
      <c r="CA969" s="15">
        <f t="shared" si="621"/>
        <v>22.170849845882874</v>
      </c>
      <c r="CB969" s="75">
        <f>CA969*(1-PARAM!$C$27)*$I$22+(MOD($B969,60)=PARAM!$B$56)*($B969&gt;(60-PARAM!$B$56))*HLOOKUP(($B969+PARAM!$B$56)/12,Loyalty,2)*$F$1*MAX(CD968,0)</f>
        <v>18.557001321003963</v>
      </c>
      <c r="CC969" s="75">
        <f>PARAM!$C$26+MAX($G$22-CHOOSE(PARAM!$B$44,MAX(0,CD968*$F$1),0),0)*RATES!$L945/12+$H$22*(PARAM!$D$51/12)*RATES!$N945/100</f>
        <v>1190.0416666666667</v>
      </c>
      <c r="CD969" s="16">
        <f t="shared" si="647"/>
        <v>-319878.42111316463</v>
      </c>
      <c r="CE969" s="33">
        <f>IF(0=MOD(B969,12/PARAM!$D$51),1,0)</f>
        <v>1</v>
      </c>
      <c r="CF969" s="15">
        <f t="shared" si="622"/>
        <v>0</v>
      </c>
      <c r="CG969" s="75">
        <f>CF969*(1-PARAM!$C$27)*$R$3+(MOD($B969/12,5)=0)*($B969&gt;60)*HLOOKUP($B969/12,Loyalty,2)*$F$1*MAX(CI968,0)</f>
        <v>0</v>
      </c>
      <c r="CH969" s="75">
        <f>PARAM!$C$26+MAX($P$3-CHOOSE(PARAM!$B$44,MAX(0,CI968*$F$1),0),0)*RATES!$L945/12+$Q$3*(PARAM!$D$51/12)*RATES!$N945/100</f>
        <v>1190.0416666666667</v>
      </c>
      <c r="CI969" s="16">
        <f>IF(CI968&gt;0,CI968*PARAM!$C$53,CI968)+CG969-CH969</f>
        <v>-337239.5416666675</v>
      </c>
      <c r="CJ969" s="15">
        <f t="shared" si="648"/>
        <v>0</v>
      </c>
      <c r="CK969" s="75">
        <f>CJ969*(1-PARAM!$C$27)*$R$4+(MOD($B969/12,5)=0)*($B969&gt;60)*HLOOKUP($B969/12,Loyalty,2)*$F$1*MAX(CM968,0)</f>
        <v>0</v>
      </c>
      <c r="CL969" s="75">
        <f>PARAM!$C$26+MAX($P$4-CHOOSE(PARAM!$B$44,MAX(0,CM968*$F$1),0),0)*RATES!$L945/12+$Q$4*(PARAM!$D$51/12)*RATES!$N945/100</f>
        <v>1190.0416666666667</v>
      </c>
      <c r="CM969" s="16">
        <f>IF(CM968&gt;0,CM968*PARAM!$C$53,CM968)+CK969-CL969</f>
        <v>-337239.5416666675</v>
      </c>
      <c r="CO969" s="176"/>
    </row>
    <row r="970" spans="1:93" x14ac:dyDescent="0.2">
      <c r="A970" t="b">
        <f t="shared" si="623"/>
        <v>0</v>
      </c>
      <c r="B970" s="33">
        <v>943</v>
      </c>
      <c r="C970" s="15">
        <f t="shared" si="624"/>
        <v>20.081305947392778</v>
      </c>
      <c r="D970" s="75">
        <f>C970*(1-PARAM!$C$27)*$I$3+(MOD($B970,60)=PARAM!$B$56)*($B970&gt;(60-PARAM!$B$56))*HLOOKUP(($B970+PARAM!$B$56)/12,Loyalty,2)*$F$1*MAX(F969,0)</f>
        <v>16.808053077967756</v>
      </c>
      <c r="E970" s="75">
        <f>PARAM!$C$26+MAX($G$3-CHOOSE(PARAM!$B$44,MAX(0,F969*$F$1),0),0)*RATES!$L946/12+$H$3*(PARAM!$D$51/12)*RATES!$N946/100</f>
        <v>1190.0416666666667</v>
      </c>
      <c r="F970" s="16">
        <f t="shared" si="625"/>
        <v>-322736.01447221567</v>
      </c>
      <c r="G970" s="15">
        <f t="shared" si="626"/>
        <v>22.035289406060361</v>
      </c>
      <c r="H970" s="75">
        <f>G970*(1-PARAM!$C$27)*$I$4+(MOD($B970,60)=PARAM!$B$56)*($B970&gt;(60-PARAM!$B$56))*HLOOKUP(($B970+PARAM!$B$56)/12,Loyalty,2)*$F$1*MAX(J969,0)</f>
        <v>18.443537232872522</v>
      </c>
      <c r="I970" s="75">
        <f>PARAM!$C$26+MAX($G$4-CHOOSE(PARAM!$B$44,MAX(0,J969*$F$1),0),0)*RATES!$L946/12+$H$4*(PARAM!$D$51/12)*RATES!$N946/100</f>
        <v>1190.0416666666667</v>
      </c>
      <c r="J970" s="16">
        <f t="shared" si="627"/>
        <v>-321159.91995001648</v>
      </c>
      <c r="K970" s="15">
        <f t="shared" si="628"/>
        <v>22.170849845882874</v>
      </c>
      <c r="L970" s="75">
        <f>K970*(1-PARAM!$C$27)*$I$5+(MOD($B970,60)=PARAM!$B$56)*($B970&gt;(60-PARAM!$B$56))*HLOOKUP(($B970+PARAM!$B$56)/12,Loyalty,2)*$F$1*MAX(N969,0)</f>
        <v>18.557001321003963</v>
      </c>
      <c r="M970" s="75">
        <f>PARAM!$C$26+MAX($G$5-CHOOSE(PARAM!$B$44,MAX(0,N969*$F$1),0),0)*RATES!$L946/12+$H$5*(PARAM!$D$51/12)*RATES!$N946/100</f>
        <v>1190.0416666666667</v>
      </c>
      <c r="N970" s="16">
        <f t="shared" si="629"/>
        <v>-321049.90577851032</v>
      </c>
      <c r="O970" s="15">
        <f t="shared" si="630"/>
        <v>22.170849845882874</v>
      </c>
      <c r="P970" s="75">
        <f>O970*(1-PARAM!$C$27)*$I$6+(MOD($B970,60)=PARAM!$B$56)*($B970&gt;(60-PARAM!$B$56))*HLOOKUP(($B970+PARAM!$B$56)/12,Loyalty,2)*$F$1*MAX(R969,0)</f>
        <v>18.557001321003963</v>
      </c>
      <c r="Q970" s="75">
        <f>PARAM!$C$26+MAX($G$6-CHOOSE(PARAM!$B$44,MAX(0,R969*$F$1),0),0)*RATES!$L946/12+$H$6*(PARAM!$D$51/12)*RATES!$N946/100</f>
        <v>1190.0416666666667</v>
      </c>
      <c r="R970" s="16">
        <f t="shared" si="631"/>
        <v>-321049.90577851032</v>
      </c>
      <c r="S970" s="15">
        <f t="shared" si="606"/>
        <v>22.170849845882874</v>
      </c>
      <c r="T970" s="75">
        <f>S970*(1-PARAM!$C$27)*$I$7+(MOD($B970,60)=PARAM!$B$56)*($B970&gt;(60-PARAM!$B$56))*HLOOKUP(($B970+PARAM!$B$56)/12,Loyalty,2)*$F$1*MAX(V969,0)</f>
        <v>18.557001321003963</v>
      </c>
      <c r="U970" s="75">
        <f>PARAM!$C$26+MAX($G$7-CHOOSE(PARAM!$B$44,MAX(0,V969*$F$1),0),0)*RATES!$L946/12+$H$7*(PARAM!$D$51/12)*RATES!$N946/100</f>
        <v>1190.0416666666667</v>
      </c>
      <c r="V970" s="16">
        <f t="shared" si="632"/>
        <v>-321049.90577851032</v>
      </c>
      <c r="W970" s="15">
        <f t="shared" si="607"/>
        <v>22.170849845882874</v>
      </c>
      <c r="X970" s="75">
        <f>W970*(1-PARAM!$C$27)*$I$8+(MOD($B970,60)=PARAM!$B$56)*($B970&gt;(60-PARAM!$B$56))*HLOOKUP(($B970+PARAM!$B$56)/12,Loyalty,2)*$F$1*MAX(Z969,0)</f>
        <v>18.557001321003963</v>
      </c>
      <c r="Y970" s="75">
        <f>PARAM!$C$26+MAX($G$8-CHOOSE(PARAM!$B$44,MAX(0,Z969*$F$1),0),0)*RATES!$L946/12+$H$8*(PARAM!$D$51/12)*RATES!$N946/100</f>
        <v>1190.0416666666667</v>
      </c>
      <c r="Z970" s="16">
        <f t="shared" si="633"/>
        <v>-321049.90577851032</v>
      </c>
      <c r="AA970" s="15">
        <f t="shared" si="608"/>
        <v>22.170849845882874</v>
      </c>
      <c r="AB970" s="75">
        <f>AA970*(1-PARAM!$C$27)*$I$9+(MOD($B970,60)=PARAM!$B$56)*($B970&gt;(60-PARAM!$B$56))*HLOOKUP(($B970+PARAM!$B$56)/12,Loyalty,2)*$F$1*MAX(AD969,0)</f>
        <v>18.557001321003963</v>
      </c>
      <c r="AC970" s="75">
        <f>PARAM!$C$26+MAX($G$9-CHOOSE(PARAM!$B$44,MAX(0,AD969*$F$1),0),0)*RATES!$L946/12+$H$9*(PARAM!$D$51/12)*RATES!$N946/100</f>
        <v>1190.0416666666667</v>
      </c>
      <c r="AD970" s="16">
        <f t="shared" si="634"/>
        <v>-321049.90577851032</v>
      </c>
      <c r="AE970" s="15">
        <f t="shared" si="609"/>
        <v>22.170849845882874</v>
      </c>
      <c r="AF970" s="75">
        <f>AE970*(1-PARAM!$C$27)*$I$10+(MOD($B970,60)=PARAM!$B$56)*($B970&gt;(60-PARAM!$B$56))*HLOOKUP(($B970+PARAM!$B$56)/12,Loyalty,2)*$F$1*MAX(AH969,0)</f>
        <v>18.557001321003963</v>
      </c>
      <c r="AG970" s="75">
        <f>PARAM!$C$26+MAX($G$10-CHOOSE(PARAM!$B$44,MAX(0,AH969*$F$1),0),0)*RATES!$L946/12+$H$10*(PARAM!$D$51/12)*RATES!$N946/100</f>
        <v>1190.0416666666667</v>
      </c>
      <c r="AH970" s="16">
        <f t="shared" si="635"/>
        <v>-321049.90577851032</v>
      </c>
      <c r="AI970" s="15">
        <f t="shared" si="610"/>
        <v>22.170849845882874</v>
      </c>
      <c r="AJ970" s="75">
        <f>AI970*(1-PARAM!$C$27)*$I$11+(MOD($B970,60)=PARAM!$B$56)*($B970&gt;(60-PARAM!$B$56))*HLOOKUP(($B970+PARAM!$B$56)/12,Loyalty,2)*$F$1*MAX(AL969,0)</f>
        <v>18.557001321003963</v>
      </c>
      <c r="AK970" s="75">
        <f>PARAM!$C$26+MAX($G$11-CHOOSE(PARAM!$B$44,MAX(0,AL969*$F$1),0),0)*RATES!$L946/12+$H$11*(PARAM!$D$51/12)*RATES!$N946/100</f>
        <v>1190.0416666666667</v>
      </c>
      <c r="AL970" s="16">
        <f t="shared" si="636"/>
        <v>-321049.90577851032</v>
      </c>
      <c r="AM970" s="15">
        <f t="shared" si="611"/>
        <v>22.170849845882874</v>
      </c>
      <c r="AN970" s="75">
        <f>AM970*(1-PARAM!$C$27)*$I$12+(MOD($B970,60)=PARAM!$B$56)*($B970&gt;(60-PARAM!$B$56))*HLOOKUP(($B970+PARAM!$B$56)/12,Loyalty,2)*$F$1*MAX(AP969,0)</f>
        <v>18.557001321003963</v>
      </c>
      <c r="AO970" s="75">
        <f>PARAM!$C$26+MAX($G$12-CHOOSE(PARAM!$B$44,MAX(0,AP969*$F$1),0),0)*RATES!$L946/12+$H$12*(PARAM!$D$51/12)*RATES!$N946/100</f>
        <v>1190.0416666666667</v>
      </c>
      <c r="AP970" s="16">
        <f t="shared" si="637"/>
        <v>-321049.90577851032</v>
      </c>
      <c r="AQ970" s="15">
        <f t="shared" si="612"/>
        <v>22.170849845882874</v>
      </c>
      <c r="AR970" s="75">
        <f>AQ970*(1-PARAM!$C$27)*$I$13+(MOD($B970,60)=PARAM!$B$56)*($B970&gt;(60-PARAM!$B$56))*HLOOKUP(($B970+PARAM!$B$56)/12,Loyalty,2)*$F$1*MAX(AT969,0)</f>
        <v>18.557001321003963</v>
      </c>
      <c r="AS970" s="75">
        <f>PARAM!$C$26+MAX($G$13-CHOOSE(PARAM!$B$44,MAX(0,AT969*$F$1),0),0)*RATES!$L946/12+$H$13*(PARAM!$D$51/12)*RATES!$N946/100</f>
        <v>1190.0416666666667</v>
      </c>
      <c r="AT970" s="16">
        <f t="shared" si="638"/>
        <v>-321049.90577851032</v>
      </c>
      <c r="AU970" s="15">
        <f t="shared" si="613"/>
        <v>22.170849845882874</v>
      </c>
      <c r="AV970" s="75">
        <f>AU970*(1-PARAM!$C$27)*$I$14+(MOD($B970,60)=PARAM!$B$56)*($B970&gt;(60-PARAM!$B$56))*HLOOKUP(($B970+PARAM!$B$56)/12,Loyalty,2)*$F$1*MAX(AX969,0)</f>
        <v>18.557001321003963</v>
      </c>
      <c r="AW970" s="75">
        <f>PARAM!$C$26+MAX($G$14-CHOOSE(PARAM!$B$44,MAX(0,AX969*$F$1),0),0)*RATES!$L946/12+$H$14*(PARAM!$D$51/12)*RATES!$N946/100</f>
        <v>1190.0416666666667</v>
      </c>
      <c r="AX970" s="16">
        <f t="shared" si="639"/>
        <v>-321049.90577851032</v>
      </c>
      <c r="AY970" s="15">
        <f t="shared" si="614"/>
        <v>22.170849845882874</v>
      </c>
      <c r="AZ970" s="75">
        <f>AY970*(1-PARAM!$C$27)*$I$15+(MOD($B970,60)=PARAM!$B$56)*($B970&gt;(60-PARAM!$B$56))*HLOOKUP(($B970+PARAM!$B$56)/12,Loyalty,2)*$F$1*MAX(BB969,0)</f>
        <v>18.557001321003963</v>
      </c>
      <c r="BA970" s="75">
        <f>PARAM!$C$26+MAX($G$15-CHOOSE(PARAM!$B$44,MAX(0,BB969*$F$1),0),0)*RATES!$L946/12+$H$15*(PARAM!$D$51/12)*RATES!$N946/100</f>
        <v>1190.0416666666667</v>
      </c>
      <c r="BB970" s="16">
        <f t="shared" si="640"/>
        <v>-321049.90577851032</v>
      </c>
      <c r="BC970" s="15">
        <f t="shared" si="615"/>
        <v>22.170849845882874</v>
      </c>
      <c r="BD970" s="75">
        <f>BC970*(1-PARAM!$C$27)*$I$16+(MOD($B970,60)=PARAM!$B$56)*($B970&gt;(60-PARAM!$B$56))*HLOOKUP(($B970+PARAM!$B$56)/12,Loyalty,2)*$F$1*MAX(BF969,0)</f>
        <v>18.557001321003963</v>
      </c>
      <c r="BE970" s="75">
        <f>PARAM!$C$26+MAX($G$16-CHOOSE(PARAM!$B$44,MAX(0,BF969*$F$1),0),0)*RATES!$L946/12+$H$16*(PARAM!$D$51/12)*RATES!$N946/100</f>
        <v>1190.0416666666667</v>
      </c>
      <c r="BF970" s="16">
        <f t="shared" si="641"/>
        <v>-321049.90577851032</v>
      </c>
      <c r="BG970" s="15">
        <f t="shared" si="616"/>
        <v>22.170849845882874</v>
      </c>
      <c r="BH970" s="75">
        <f>BG970*(1-PARAM!$C$27)*$I$17+(MOD($B970,60)=PARAM!$B$56)*($B970&gt;(60-PARAM!$B$56))*HLOOKUP(($B970+PARAM!$B$56)/12,Loyalty,2)*$F$1*MAX(BJ969,0)</f>
        <v>18.557001321003963</v>
      </c>
      <c r="BI970" s="75">
        <f>PARAM!$C$26+MAX($G$17-CHOOSE(PARAM!$B$44,MAX(0,BJ969*$F$1),0),0)*RATES!$L946/12+$H$17*(PARAM!$D$51/12)*RATES!$N946/100</f>
        <v>1190.0416666666667</v>
      </c>
      <c r="BJ970" s="16">
        <f t="shared" si="642"/>
        <v>-321049.90577851032</v>
      </c>
      <c r="BK970" s="15">
        <f t="shared" si="617"/>
        <v>22.170849845882874</v>
      </c>
      <c r="BL970" s="75">
        <f>BK970*(1-PARAM!$C$27)*$I$18+(MOD($B970,60)=PARAM!$B$56)*($B970&gt;(60-PARAM!$B$56))*HLOOKUP(($B970+PARAM!$B$56)/12,Loyalty,2)*$F$1*MAX(BN969,0)</f>
        <v>18.557001321003963</v>
      </c>
      <c r="BM970" s="75">
        <f>PARAM!$C$26+MAX($G$18-CHOOSE(PARAM!$B$44,MAX(0,BN969*$F$1),0),0)*RATES!$L946/12+$H$18*(PARAM!$D$51/12)*RATES!$N946/100</f>
        <v>1190.0416666666667</v>
      </c>
      <c r="BN970" s="16">
        <f t="shared" si="643"/>
        <v>-321049.90577851032</v>
      </c>
      <c r="BO970" s="15">
        <f t="shared" si="618"/>
        <v>22.170849845882874</v>
      </c>
      <c r="BP970" s="75">
        <f>BO970*(1-PARAM!$C$27)*$I$19+(MOD($B970,60)=PARAM!$B$56)*($B970&gt;(60-PARAM!$B$56))*HLOOKUP(($B970+PARAM!$B$56)/12,Loyalty,2)*$F$1*MAX(BR969,0)</f>
        <v>18.557001321003963</v>
      </c>
      <c r="BQ970" s="75">
        <f>PARAM!$C$26+MAX($G$19-CHOOSE(PARAM!$B$44,MAX(0,BR969*$F$1),0),0)*RATES!$L946/12+$H$19*(PARAM!$D$51/12)*RATES!$N946/100</f>
        <v>1190.0416666666667</v>
      </c>
      <c r="BR970" s="16">
        <f t="shared" si="644"/>
        <v>-321049.90577851032</v>
      </c>
      <c r="BS970" s="15">
        <f t="shared" si="619"/>
        <v>22.170849845882874</v>
      </c>
      <c r="BT970" s="75">
        <f>BS970*(1-PARAM!$C$27)*$I$20+(MOD($B970,60)=PARAM!$B$56)*($B970&gt;(60-PARAM!$B$56))*HLOOKUP(($B970+PARAM!$B$56)/12,Loyalty,2)*$F$1*MAX(BV969,0)</f>
        <v>18.557001321003963</v>
      </c>
      <c r="BU970" s="75">
        <f>PARAM!$C$26+MAX($G$20-CHOOSE(PARAM!$B$44,MAX(0,BV969*$F$1),0),0)*RATES!$L946/12+$H$20*(PARAM!$D$51/12)*RATES!$N946/100</f>
        <v>1190.0416666666667</v>
      </c>
      <c r="BV970" s="16">
        <f t="shared" si="645"/>
        <v>-321049.90577851032</v>
      </c>
      <c r="BW970" s="15">
        <f t="shared" si="620"/>
        <v>22.170849845882874</v>
      </c>
      <c r="BX970" s="75">
        <f>BW970*(1-PARAM!$C$27)*$I$21+(MOD($B970,60)=PARAM!$B$56)*($B970&gt;(60-PARAM!$B$56))*HLOOKUP(($B970+PARAM!$B$56)/12,Loyalty,2)*$F$1*MAX(BZ969,0)</f>
        <v>18.557001321003963</v>
      </c>
      <c r="BY970" s="75">
        <f>PARAM!$C$26+MAX($G$21-CHOOSE(PARAM!$B$44,MAX(0,BZ969*$F$1),0),0)*RATES!$L946/12+$H$21*(PARAM!$D$51/12)*RATES!$N946/100</f>
        <v>1190.0416666666667</v>
      </c>
      <c r="BZ970" s="16">
        <f t="shared" si="646"/>
        <v>-321049.90577851032</v>
      </c>
      <c r="CA970" s="15">
        <f t="shared" si="621"/>
        <v>22.170849845882874</v>
      </c>
      <c r="CB970" s="75">
        <f>CA970*(1-PARAM!$C$27)*$I$22+(MOD($B970,60)=PARAM!$B$56)*($B970&gt;(60-PARAM!$B$56))*HLOOKUP(($B970+PARAM!$B$56)/12,Loyalty,2)*$F$1*MAX(CD969,0)</f>
        <v>18.557001321003963</v>
      </c>
      <c r="CC970" s="75">
        <f>PARAM!$C$26+MAX($G$22-CHOOSE(PARAM!$B$44,MAX(0,CD969*$F$1),0),0)*RATES!$L946/12+$H$22*(PARAM!$D$51/12)*RATES!$N946/100</f>
        <v>1190.0416666666667</v>
      </c>
      <c r="CD970" s="16">
        <f t="shared" si="647"/>
        <v>-321049.90577851032</v>
      </c>
      <c r="CE970" s="33">
        <f>IF(0=MOD(B970,12/PARAM!$D$51),1,0)</f>
        <v>1</v>
      </c>
      <c r="CF970" s="15">
        <f t="shared" si="622"/>
        <v>0</v>
      </c>
      <c r="CG970" s="75">
        <f>CF970*(1-PARAM!$C$27)*$R$3+(MOD($B970/12,5)=0)*($B970&gt;60)*HLOOKUP($B970/12,Loyalty,2)*$F$1*MAX(CI969,0)</f>
        <v>0</v>
      </c>
      <c r="CH970" s="75">
        <f>PARAM!$C$26+MAX($P$3-CHOOSE(PARAM!$B$44,MAX(0,CI969*$F$1),0),0)*RATES!$L946/12+$Q$3*(PARAM!$D$51/12)*RATES!$N946/100</f>
        <v>1190.0416666666667</v>
      </c>
      <c r="CI970" s="16">
        <f>IF(CI969&gt;0,CI969*PARAM!$C$53,CI969)+CG970-CH970</f>
        <v>-338429.58333333419</v>
      </c>
      <c r="CJ970" s="15">
        <f t="shared" si="648"/>
        <v>0</v>
      </c>
      <c r="CK970" s="75">
        <f>CJ970*(1-PARAM!$C$27)*$R$4+(MOD($B970/12,5)=0)*($B970&gt;60)*HLOOKUP($B970/12,Loyalty,2)*$F$1*MAX(CM969,0)</f>
        <v>0</v>
      </c>
      <c r="CL970" s="75">
        <f>PARAM!$C$26+MAX($P$4-CHOOSE(PARAM!$B$44,MAX(0,CM969*$F$1),0),0)*RATES!$L946/12+$Q$4*(PARAM!$D$51/12)*RATES!$N946/100</f>
        <v>1190.0416666666667</v>
      </c>
      <c r="CM970" s="16">
        <f>IF(CM969&gt;0,CM969*PARAM!$C$53,CM969)+CK970-CL970</f>
        <v>-338429.58333333419</v>
      </c>
      <c r="CO970" s="176"/>
    </row>
    <row r="971" spans="1:93" x14ac:dyDescent="0.2">
      <c r="A971" t="b">
        <f t="shared" si="623"/>
        <v>0</v>
      </c>
      <c r="B971" s="33">
        <v>944</v>
      </c>
      <c r="C971" s="15">
        <f t="shared" si="624"/>
        <v>20.081305947392778</v>
      </c>
      <c r="D971" s="75">
        <f>C971*(1-PARAM!$C$27)*$I$3+(MOD($B971,60)=PARAM!$B$56)*($B971&gt;(60-PARAM!$B$56))*HLOOKUP(($B971+PARAM!$B$56)/12,Loyalty,2)*$F$1*MAX(F970,0)</f>
        <v>16.808053077967756</v>
      </c>
      <c r="E971" s="75">
        <f>PARAM!$C$26+MAX($G$3-CHOOSE(PARAM!$B$44,MAX(0,F970*$F$1),0),0)*RATES!$L947/12+$H$3*(PARAM!$D$51/12)*RATES!$N947/100</f>
        <v>1190.0416666666667</v>
      </c>
      <c r="F971" s="16">
        <f t="shared" si="625"/>
        <v>-323909.2480858044</v>
      </c>
      <c r="G971" s="15">
        <f t="shared" si="626"/>
        <v>22.035289406060361</v>
      </c>
      <c r="H971" s="75">
        <f>G971*(1-PARAM!$C$27)*$I$4+(MOD($B971,60)=PARAM!$B$56)*($B971&gt;(60-PARAM!$B$56))*HLOOKUP(($B971+PARAM!$B$56)/12,Loyalty,2)*$F$1*MAX(J970,0)</f>
        <v>18.443537232872522</v>
      </c>
      <c r="I971" s="75">
        <f>PARAM!$C$26+MAX($G$4-CHOOSE(PARAM!$B$44,MAX(0,J970*$F$1),0),0)*RATES!$L947/12+$H$4*(PARAM!$D$51/12)*RATES!$N947/100</f>
        <v>1190.0416666666667</v>
      </c>
      <c r="J971" s="16">
        <f t="shared" si="627"/>
        <v>-322331.5180794503</v>
      </c>
      <c r="K971" s="15">
        <f t="shared" si="628"/>
        <v>22.170849845882874</v>
      </c>
      <c r="L971" s="75">
        <f>K971*(1-PARAM!$C$27)*$I$5+(MOD($B971,60)=PARAM!$B$56)*($B971&gt;(60-PARAM!$B$56))*HLOOKUP(($B971+PARAM!$B$56)/12,Loyalty,2)*$F$1*MAX(N970,0)</f>
        <v>18.557001321003963</v>
      </c>
      <c r="M971" s="75">
        <f>PARAM!$C$26+MAX($G$5-CHOOSE(PARAM!$B$44,MAX(0,N970*$F$1),0),0)*RATES!$L947/12+$H$5*(PARAM!$D$51/12)*RATES!$N947/100</f>
        <v>1190.0416666666667</v>
      </c>
      <c r="N971" s="16">
        <f t="shared" si="629"/>
        <v>-322221.39044385601</v>
      </c>
      <c r="O971" s="15">
        <f t="shared" si="630"/>
        <v>22.170849845882874</v>
      </c>
      <c r="P971" s="75">
        <f>O971*(1-PARAM!$C$27)*$I$6+(MOD($B971,60)=PARAM!$B$56)*($B971&gt;(60-PARAM!$B$56))*HLOOKUP(($B971+PARAM!$B$56)/12,Loyalty,2)*$F$1*MAX(R970,0)</f>
        <v>18.557001321003963</v>
      </c>
      <c r="Q971" s="75">
        <f>PARAM!$C$26+MAX($G$6-CHOOSE(PARAM!$B$44,MAX(0,R970*$F$1),0),0)*RATES!$L947/12+$H$6*(PARAM!$D$51/12)*RATES!$N947/100</f>
        <v>1190.0416666666667</v>
      </c>
      <c r="R971" s="16">
        <f t="shared" si="631"/>
        <v>-322221.39044385601</v>
      </c>
      <c r="S971" s="15">
        <f t="shared" si="606"/>
        <v>22.170849845882874</v>
      </c>
      <c r="T971" s="75">
        <f>S971*(1-PARAM!$C$27)*$I$7+(MOD($B971,60)=PARAM!$B$56)*($B971&gt;(60-PARAM!$B$56))*HLOOKUP(($B971+PARAM!$B$56)/12,Loyalty,2)*$F$1*MAX(V970,0)</f>
        <v>18.557001321003963</v>
      </c>
      <c r="U971" s="75">
        <f>PARAM!$C$26+MAX($G$7-CHOOSE(PARAM!$B$44,MAX(0,V970*$F$1),0),0)*RATES!$L947/12+$H$7*(PARAM!$D$51/12)*RATES!$N947/100</f>
        <v>1190.0416666666667</v>
      </c>
      <c r="V971" s="16">
        <f t="shared" si="632"/>
        <v>-322221.39044385601</v>
      </c>
      <c r="W971" s="15">
        <f t="shared" si="607"/>
        <v>22.170849845882874</v>
      </c>
      <c r="X971" s="75">
        <f>W971*(1-PARAM!$C$27)*$I$8+(MOD($B971,60)=PARAM!$B$56)*($B971&gt;(60-PARAM!$B$56))*HLOOKUP(($B971+PARAM!$B$56)/12,Loyalty,2)*$F$1*MAX(Z970,0)</f>
        <v>18.557001321003963</v>
      </c>
      <c r="Y971" s="75">
        <f>PARAM!$C$26+MAX($G$8-CHOOSE(PARAM!$B$44,MAX(0,Z970*$F$1),0),0)*RATES!$L947/12+$H$8*(PARAM!$D$51/12)*RATES!$N947/100</f>
        <v>1190.0416666666667</v>
      </c>
      <c r="Z971" s="16">
        <f t="shared" si="633"/>
        <v>-322221.39044385601</v>
      </c>
      <c r="AA971" s="15">
        <f t="shared" si="608"/>
        <v>22.170849845882874</v>
      </c>
      <c r="AB971" s="75">
        <f>AA971*(1-PARAM!$C$27)*$I$9+(MOD($B971,60)=PARAM!$B$56)*($B971&gt;(60-PARAM!$B$56))*HLOOKUP(($B971+PARAM!$B$56)/12,Loyalty,2)*$F$1*MAX(AD970,0)</f>
        <v>18.557001321003963</v>
      </c>
      <c r="AC971" s="75">
        <f>PARAM!$C$26+MAX($G$9-CHOOSE(PARAM!$B$44,MAX(0,AD970*$F$1),0),0)*RATES!$L947/12+$H$9*(PARAM!$D$51/12)*RATES!$N947/100</f>
        <v>1190.0416666666667</v>
      </c>
      <c r="AD971" s="16">
        <f t="shared" si="634"/>
        <v>-322221.39044385601</v>
      </c>
      <c r="AE971" s="15">
        <f t="shared" si="609"/>
        <v>22.170849845882874</v>
      </c>
      <c r="AF971" s="75">
        <f>AE971*(1-PARAM!$C$27)*$I$10+(MOD($B971,60)=PARAM!$B$56)*($B971&gt;(60-PARAM!$B$56))*HLOOKUP(($B971+PARAM!$B$56)/12,Loyalty,2)*$F$1*MAX(AH970,0)</f>
        <v>18.557001321003963</v>
      </c>
      <c r="AG971" s="75">
        <f>PARAM!$C$26+MAX($G$10-CHOOSE(PARAM!$B$44,MAX(0,AH970*$F$1),0),0)*RATES!$L947/12+$H$10*(PARAM!$D$51/12)*RATES!$N947/100</f>
        <v>1190.0416666666667</v>
      </c>
      <c r="AH971" s="16">
        <f t="shared" si="635"/>
        <v>-322221.39044385601</v>
      </c>
      <c r="AI971" s="15">
        <f t="shared" si="610"/>
        <v>22.170849845882874</v>
      </c>
      <c r="AJ971" s="75">
        <f>AI971*(1-PARAM!$C$27)*$I$11+(MOD($B971,60)=PARAM!$B$56)*($B971&gt;(60-PARAM!$B$56))*HLOOKUP(($B971+PARAM!$B$56)/12,Loyalty,2)*$F$1*MAX(AL970,0)</f>
        <v>18.557001321003963</v>
      </c>
      <c r="AK971" s="75">
        <f>PARAM!$C$26+MAX($G$11-CHOOSE(PARAM!$B$44,MAX(0,AL970*$F$1),0),0)*RATES!$L947/12+$H$11*(PARAM!$D$51/12)*RATES!$N947/100</f>
        <v>1190.0416666666667</v>
      </c>
      <c r="AL971" s="16">
        <f t="shared" si="636"/>
        <v>-322221.39044385601</v>
      </c>
      <c r="AM971" s="15">
        <f t="shared" si="611"/>
        <v>22.170849845882874</v>
      </c>
      <c r="AN971" s="75">
        <f>AM971*(1-PARAM!$C$27)*$I$12+(MOD($B971,60)=PARAM!$B$56)*($B971&gt;(60-PARAM!$B$56))*HLOOKUP(($B971+PARAM!$B$56)/12,Loyalty,2)*$F$1*MAX(AP970,0)</f>
        <v>18.557001321003963</v>
      </c>
      <c r="AO971" s="75">
        <f>PARAM!$C$26+MAX($G$12-CHOOSE(PARAM!$B$44,MAX(0,AP970*$F$1),0),0)*RATES!$L947/12+$H$12*(PARAM!$D$51/12)*RATES!$N947/100</f>
        <v>1190.0416666666667</v>
      </c>
      <c r="AP971" s="16">
        <f t="shared" si="637"/>
        <v>-322221.39044385601</v>
      </c>
      <c r="AQ971" s="15">
        <f t="shared" si="612"/>
        <v>22.170849845882874</v>
      </c>
      <c r="AR971" s="75">
        <f>AQ971*(1-PARAM!$C$27)*$I$13+(MOD($B971,60)=PARAM!$B$56)*($B971&gt;(60-PARAM!$B$56))*HLOOKUP(($B971+PARAM!$B$56)/12,Loyalty,2)*$F$1*MAX(AT970,0)</f>
        <v>18.557001321003963</v>
      </c>
      <c r="AS971" s="75">
        <f>PARAM!$C$26+MAX($G$13-CHOOSE(PARAM!$B$44,MAX(0,AT970*$F$1),0),0)*RATES!$L947/12+$H$13*(PARAM!$D$51/12)*RATES!$N947/100</f>
        <v>1190.0416666666667</v>
      </c>
      <c r="AT971" s="16">
        <f t="shared" si="638"/>
        <v>-322221.39044385601</v>
      </c>
      <c r="AU971" s="15">
        <f t="shared" si="613"/>
        <v>22.170849845882874</v>
      </c>
      <c r="AV971" s="75">
        <f>AU971*(1-PARAM!$C$27)*$I$14+(MOD($B971,60)=PARAM!$B$56)*($B971&gt;(60-PARAM!$B$56))*HLOOKUP(($B971+PARAM!$B$56)/12,Loyalty,2)*$F$1*MAX(AX970,0)</f>
        <v>18.557001321003963</v>
      </c>
      <c r="AW971" s="75">
        <f>PARAM!$C$26+MAX($G$14-CHOOSE(PARAM!$B$44,MAX(0,AX970*$F$1),0),0)*RATES!$L947/12+$H$14*(PARAM!$D$51/12)*RATES!$N947/100</f>
        <v>1190.0416666666667</v>
      </c>
      <c r="AX971" s="16">
        <f t="shared" si="639"/>
        <v>-322221.39044385601</v>
      </c>
      <c r="AY971" s="15">
        <f t="shared" si="614"/>
        <v>22.170849845882874</v>
      </c>
      <c r="AZ971" s="75">
        <f>AY971*(1-PARAM!$C$27)*$I$15+(MOD($B971,60)=PARAM!$B$56)*($B971&gt;(60-PARAM!$B$56))*HLOOKUP(($B971+PARAM!$B$56)/12,Loyalty,2)*$F$1*MAX(BB970,0)</f>
        <v>18.557001321003963</v>
      </c>
      <c r="BA971" s="75">
        <f>PARAM!$C$26+MAX($G$15-CHOOSE(PARAM!$B$44,MAX(0,BB970*$F$1),0),0)*RATES!$L947/12+$H$15*(PARAM!$D$51/12)*RATES!$N947/100</f>
        <v>1190.0416666666667</v>
      </c>
      <c r="BB971" s="16">
        <f t="shared" si="640"/>
        <v>-322221.39044385601</v>
      </c>
      <c r="BC971" s="15">
        <f t="shared" si="615"/>
        <v>22.170849845882874</v>
      </c>
      <c r="BD971" s="75">
        <f>BC971*(1-PARAM!$C$27)*$I$16+(MOD($B971,60)=PARAM!$B$56)*($B971&gt;(60-PARAM!$B$56))*HLOOKUP(($B971+PARAM!$B$56)/12,Loyalty,2)*$F$1*MAX(BF970,0)</f>
        <v>18.557001321003963</v>
      </c>
      <c r="BE971" s="75">
        <f>PARAM!$C$26+MAX($G$16-CHOOSE(PARAM!$B$44,MAX(0,BF970*$F$1),0),0)*RATES!$L947/12+$H$16*(PARAM!$D$51/12)*RATES!$N947/100</f>
        <v>1190.0416666666667</v>
      </c>
      <c r="BF971" s="16">
        <f t="shared" si="641"/>
        <v>-322221.39044385601</v>
      </c>
      <c r="BG971" s="15">
        <f t="shared" si="616"/>
        <v>22.170849845882874</v>
      </c>
      <c r="BH971" s="75">
        <f>BG971*(1-PARAM!$C$27)*$I$17+(MOD($B971,60)=PARAM!$B$56)*($B971&gt;(60-PARAM!$B$56))*HLOOKUP(($B971+PARAM!$B$56)/12,Loyalty,2)*$F$1*MAX(BJ970,0)</f>
        <v>18.557001321003963</v>
      </c>
      <c r="BI971" s="75">
        <f>PARAM!$C$26+MAX($G$17-CHOOSE(PARAM!$B$44,MAX(0,BJ970*$F$1),0),0)*RATES!$L947/12+$H$17*(PARAM!$D$51/12)*RATES!$N947/100</f>
        <v>1190.0416666666667</v>
      </c>
      <c r="BJ971" s="16">
        <f t="shared" si="642"/>
        <v>-322221.39044385601</v>
      </c>
      <c r="BK971" s="15">
        <f t="shared" si="617"/>
        <v>22.170849845882874</v>
      </c>
      <c r="BL971" s="75">
        <f>BK971*(1-PARAM!$C$27)*$I$18+(MOD($B971,60)=PARAM!$B$56)*($B971&gt;(60-PARAM!$B$56))*HLOOKUP(($B971+PARAM!$B$56)/12,Loyalty,2)*$F$1*MAX(BN970,0)</f>
        <v>18.557001321003963</v>
      </c>
      <c r="BM971" s="75">
        <f>PARAM!$C$26+MAX($G$18-CHOOSE(PARAM!$B$44,MAX(0,BN970*$F$1),0),0)*RATES!$L947/12+$H$18*(PARAM!$D$51/12)*RATES!$N947/100</f>
        <v>1190.0416666666667</v>
      </c>
      <c r="BN971" s="16">
        <f t="shared" si="643"/>
        <v>-322221.39044385601</v>
      </c>
      <c r="BO971" s="15">
        <f t="shared" si="618"/>
        <v>22.170849845882874</v>
      </c>
      <c r="BP971" s="75">
        <f>BO971*(1-PARAM!$C$27)*$I$19+(MOD($B971,60)=PARAM!$B$56)*($B971&gt;(60-PARAM!$B$56))*HLOOKUP(($B971+PARAM!$B$56)/12,Loyalty,2)*$F$1*MAX(BR970,0)</f>
        <v>18.557001321003963</v>
      </c>
      <c r="BQ971" s="75">
        <f>PARAM!$C$26+MAX($G$19-CHOOSE(PARAM!$B$44,MAX(0,BR970*$F$1),0),0)*RATES!$L947/12+$H$19*(PARAM!$D$51/12)*RATES!$N947/100</f>
        <v>1190.0416666666667</v>
      </c>
      <c r="BR971" s="16">
        <f t="shared" si="644"/>
        <v>-322221.39044385601</v>
      </c>
      <c r="BS971" s="15">
        <f t="shared" si="619"/>
        <v>22.170849845882874</v>
      </c>
      <c r="BT971" s="75">
        <f>BS971*(1-PARAM!$C$27)*$I$20+(MOD($B971,60)=PARAM!$B$56)*($B971&gt;(60-PARAM!$B$56))*HLOOKUP(($B971+PARAM!$B$56)/12,Loyalty,2)*$F$1*MAX(BV970,0)</f>
        <v>18.557001321003963</v>
      </c>
      <c r="BU971" s="75">
        <f>PARAM!$C$26+MAX($G$20-CHOOSE(PARAM!$B$44,MAX(0,BV970*$F$1),0),0)*RATES!$L947/12+$H$20*(PARAM!$D$51/12)*RATES!$N947/100</f>
        <v>1190.0416666666667</v>
      </c>
      <c r="BV971" s="16">
        <f t="shared" si="645"/>
        <v>-322221.39044385601</v>
      </c>
      <c r="BW971" s="15">
        <f t="shared" si="620"/>
        <v>22.170849845882874</v>
      </c>
      <c r="BX971" s="75">
        <f>BW971*(1-PARAM!$C$27)*$I$21+(MOD($B971,60)=PARAM!$B$56)*($B971&gt;(60-PARAM!$B$56))*HLOOKUP(($B971+PARAM!$B$56)/12,Loyalty,2)*$F$1*MAX(BZ970,0)</f>
        <v>18.557001321003963</v>
      </c>
      <c r="BY971" s="75">
        <f>PARAM!$C$26+MAX($G$21-CHOOSE(PARAM!$B$44,MAX(0,BZ970*$F$1),0),0)*RATES!$L947/12+$H$21*(PARAM!$D$51/12)*RATES!$N947/100</f>
        <v>1190.0416666666667</v>
      </c>
      <c r="BZ971" s="16">
        <f t="shared" si="646"/>
        <v>-322221.39044385601</v>
      </c>
      <c r="CA971" s="15">
        <f t="shared" si="621"/>
        <v>22.170849845882874</v>
      </c>
      <c r="CB971" s="75">
        <f>CA971*(1-PARAM!$C$27)*$I$22+(MOD($B971,60)=PARAM!$B$56)*($B971&gt;(60-PARAM!$B$56))*HLOOKUP(($B971+PARAM!$B$56)/12,Loyalty,2)*$F$1*MAX(CD970,0)</f>
        <v>18.557001321003963</v>
      </c>
      <c r="CC971" s="75">
        <f>PARAM!$C$26+MAX($G$22-CHOOSE(PARAM!$B$44,MAX(0,CD970*$F$1),0),0)*RATES!$L947/12+$H$22*(PARAM!$D$51/12)*RATES!$N947/100</f>
        <v>1190.0416666666667</v>
      </c>
      <c r="CD971" s="16">
        <f t="shared" si="647"/>
        <v>-322221.39044385601</v>
      </c>
      <c r="CE971" s="33">
        <f>IF(0=MOD(B971,12/PARAM!$D$51),1,0)</f>
        <v>1</v>
      </c>
      <c r="CF971" s="15">
        <f t="shared" si="622"/>
        <v>0</v>
      </c>
      <c r="CG971" s="75">
        <f>CF971*(1-PARAM!$C$27)*$R$3+(MOD($B971/12,5)=0)*($B971&gt;60)*HLOOKUP($B971/12,Loyalty,2)*$F$1*MAX(CI970,0)</f>
        <v>0</v>
      </c>
      <c r="CH971" s="75">
        <f>PARAM!$C$26+MAX($P$3-CHOOSE(PARAM!$B$44,MAX(0,CI970*$F$1),0),0)*RATES!$L947/12+$Q$3*(PARAM!$D$51/12)*RATES!$N947/100</f>
        <v>1190.0416666666667</v>
      </c>
      <c r="CI971" s="16">
        <f>IF(CI970&gt;0,CI970*PARAM!$C$53,CI970)+CG971-CH971</f>
        <v>-339619.62500000087</v>
      </c>
      <c r="CJ971" s="15">
        <f t="shared" si="648"/>
        <v>0</v>
      </c>
      <c r="CK971" s="75">
        <f>CJ971*(1-PARAM!$C$27)*$R$4+(MOD($B971/12,5)=0)*($B971&gt;60)*HLOOKUP($B971/12,Loyalty,2)*$F$1*MAX(CM970,0)</f>
        <v>0</v>
      </c>
      <c r="CL971" s="75">
        <f>PARAM!$C$26+MAX($P$4-CHOOSE(PARAM!$B$44,MAX(0,CM970*$F$1),0),0)*RATES!$L947/12+$Q$4*(PARAM!$D$51/12)*RATES!$N947/100</f>
        <v>1190.0416666666667</v>
      </c>
      <c r="CM971" s="16">
        <f>IF(CM970&gt;0,CM970*PARAM!$C$53,CM970)+CK971-CL971</f>
        <v>-339619.62500000087</v>
      </c>
      <c r="CO971" s="176"/>
    </row>
    <row r="972" spans="1:93" x14ac:dyDescent="0.2">
      <c r="A972" t="b">
        <f t="shared" si="623"/>
        <v>0</v>
      </c>
      <c r="B972" s="33">
        <v>945</v>
      </c>
      <c r="C972" s="15">
        <f t="shared" si="624"/>
        <v>20.081305947392778</v>
      </c>
      <c r="D972" s="75">
        <f>C972*(1-PARAM!$C$27)*$I$3+(MOD($B972,60)=PARAM!$B$56)*($B972&gt;(60-PARAM!$B$56))*HLOOKUP(($B972+PARAM!$B$56)/12,Loyalty,2)*$F$1*MAX(F971,0)</f>
        <v>16.808053077967756</v>
      </c>
      <c r="E972" s="75">
        <f>PARAM!$C$26+MAX($G$3-CHOOSE(PARAM!$B$44,MAX(0,F971*$F$1),0),0)*RATES!$L948/12+$H$3*(PARAM!$D$51/12)*RATES!$N948/100</f>
        <v>1190.0416666666667</v>
      </c>
      <c r="F972" s="16">
        <f t="shared" si="625"/>
        <v>-325082.48169939313</v>
      </c>
      <c r="G972" s="15">
        <f t="shared" si="626"/>
        <v>22.035289406060361</v>
      </c>
      <c r="H972" s="75">
        <f>G972*(1-PARAM!$C$27)*$I$4+(MOD($B972,60)=PARAM!$B$56)*($B972&gt;(60-PARAM!$B$56))*HLOOKUP(($B972+PARAM!$B$56)/12,Loyalty,2)*$F$1*MAX(J971,0)</f>
        <v>18.443537232872522</v>
      </c>
      <c r="I972" s="75">
        <f>PARAM!$C$26+MAX($G$4-CHOOSE(PARAM!$B$44,MAX(0,J971*$F$1),0),0)*RATES!$L948/12+$H$4*(PARAM!$D$51/12)*RATES!$N948/100</f>
        <v>1190.0416666666667</v>
      </c>
      <c r="J972" s="16">
        <f t="shared" si="627"/>
        <v>-323503.11620888411</v>
      </c>
      <c r="K972" s="15">
        <f t="shared" si="628"/>
        <v>22.170849845882874</v>
      </c>
      <c r="L972" s="75">
        <f>K972*(1-PARAM!$C$27)*$I$5+(MOD($B972,60)=PARAM!$B$56)*($B972&gt;(60-PARAM!$B$56))*HLOOKUP(($B972+PARAM!$B$56)/12,Loyalty,2)*$F$1*MAX(N971,0)</f>
        <v>18.557001321003963</v>
      </c>
      <c r="M972" s="75">
        <f>PARAM!$C$26+MAX($G$5-CHOOSE(PARAM!$B$44,MAX(0,N971*$F$1),0),0)*RATES!$L948/12+$H$5*(PARAM!$D$51/12)*RATES!$N948/100</f>
        <v>1190.0416666666667</v>
      </c>
      <c r="N972" s="16">
        <f t="shared" si="629"/>
        <v>-323392.8751092017</v>
      </c>
      <c r="O972" s="15">
        <f t="shared" si="630"/>
        <v>22.170849845882874</v>
      </c>
      <c r="P972" s="75">
        <f>O972*(1-PARAM!$C$27)*$I$6+(MOD($B972,60)=PARAM!$B$56)*($B972&gt;(60-PARAM!$B$56))*HLOOKUP(($B972+PARAM!$B$56)/12,Loyalty,2)*$F$1*MAX(R971,0)</f>
        <v>18.557001321003963</v>
      </c>
      <c r="Q972" s="75">
        <f>PARAM!$C$26+MAX($G$6-CHOOSE(PARAM!$B$44,MAX(0,R971*$F$1),0),0)*RATES!$L948/12+$H$6*(PARAM!$D$51/12)*RATES!$N948/100</f>
        <v>1190.0416666666667</v>
      </c>
      <c r="R972" s="16">
        <f t="shared" si="631"/>
        <v>-323392.8751092017</v>
      </c>
      <c r="S972" s="15">
        <f t="shared" si="606"/>
        <v>22.170849845882874</v>
      </c>
      <c r="T972" s="75">
        <f>S972*(1-PARAM!$C$27)*$I$7+(MOD($B972,60)=PARAM!$B$56)*($B972&gt;(60-PARAM!$B$56))*HLOOKUP(($B972+PARAM!$B$56)/12,Loyalty,2)*$F$1*MAX(V971,0)</f>
        <v>18.557001321003963</v>
      </c>
      <c r="U972" s="75">
        <f>PARAM!$C$26+MAX($G$7-CHOOSE(PARAM!$B$44,MAX(0,V971*$F$1),0),0)*RATES!$L948/12+$H$7*(PARAM!$D$51/12)*RATES!$N948/100</f>
        <v>1190.0416666666667</v>
      </c>
      <c r="V972" s="16">
        <f t="shared" si="632"/>
        <v>-323392.8751092017</v>
      </c>
      <c r="W972" s="15">
        <f t="shared" si="607"/>
        <v>22.170849845882874</v>
      </c>
      <c r="X972" s="75">
        <f>W972*(1-PARAM!$C$27)*$I$8+(MOD($B972,60)=PARAM!$B$56)*($B972&gt;(60-PARAM!$B$56))*HLOOKUP(($B972+PARAM!$B$56)/12,Loyalty,2)*$F$1*MAX(Z971,0)</f>
        <v>18.557001321003963</v>
      </c>
      <c r="Y972" s="75">
        <f>PARAM!$C$26+MAX($G$8-CHOOSE(PARAM!$B$44,MAX(0,Z971*$F$1),0),0)*RATES!$L948/12+$H$8*(PARAM!$D$51/12)*RATES!$N948/100</f>
        <v>1190.0416666666667</v>
      </c>
      <c r="Z972" s="16">
        <f t="shared" si="633"/>
        <v>-323392.8751092017</v>
      </c>
      <c r="AA972" s="15">
        <f t="shared" si="608"/>
        <v>22.170849845882874</v>
      </c>
      <c r="AB972" s="75">
        <f>AA972*(1-PARAM!$C$27)*$I$9+(MOD($B972,60)=PARAM!$B$56)*($B972&gt;(60-PARAM!$B$56))*HLOOKUP(($B972+PARAM!$B$56)/12,Loyalty,2)*$F$1*MAX(AD971,0)</f>
        <v>18.557001321003963</v>
      </c>
      <c r="AC972" s="75">
        <f>PARAM!$C$26+MAX($G$9-CHOOSE(PARAM!$B$44,MAX(0,AD971*$F$1),0),0)*RATES!$L948/12+$H$9*(PARAM!$D$51/12)*RATES!$N948/100</f>
        <v>1190.0416666666667</v>
      </c>
      <c r="AD972" s="16">
        <f t="shared" si="634"/>
        <v>-323392.8751092017</v>
      </c>
      <c r="AE972" s="15">
        <f t="shared" si="609"/>
        <v>22.170849845882874</v>
      </c>
      <c r="AF972" s="75">
        <f>AE972*(1-PARAM!$C$27)*$I$10+(MOD($B972,60)=PARAM!$B$56)*($B972&gt;(60-PARAM!$B$56))*HLOOKUP(($B972+PARAM!$B$56)/12,Loyalty,2)*$F$1*MAX(AH971,0)</f>
        <v>18.557001321003963</v>
      </c>
      <c r="AG972" s="75">
        <f>PARAM!$C$26+MAX($G$10-CHOOSE(PARAM!$B$44,MAX(0,AH971*$F$1),0),0)*RATES!$L948/12+$H$10*(PARAM!$D$51/12)*RATES!$N948/100</f>
        <v>1190.0416666666667</v>
      </c>
      <c r="AH972" s="16">
        <f t="shared" si="635"/>
        <v>-323392.8751092017</v>
      </c>
      <c r="AI972" s="15">
        <f t="shared" si="610"/>
        <v>22.170849845882874</v>
      </c>
      <c r="AJ972" s="75">
        <f>AI972*(1-PARAM!$C$27)*$I$11+(MOD($B972,60)=PARAM!$B$56)*($B972&gt;(60-PARAM!$B$56))*HLOOKUP(($B972+PARAM!$B$56)/12,Loyalty,2)*$F$1*MAX(AL971,0)</f>
        <v>18.557001321003963</v>
      </c>
      <c r="AK972" s="75">
        <f>PARAM!$C$26+MAX($G$11-CHOOSE(PARAM!$B$44,MAX(0,AL971*$F$1),0),0)*RATES!$L948/12+$H$11*(PARAM!$D$51/12)*RATES!$N948/100</f>
        <v>1190.0416666666667</v>
      </c>
      <c r="AL972" s="16">
        <f t="shared" si="636"/>
        <v>-323392.8751092017</v>
      </c>
      <c r="AM972" s="15">
        <f t="shared" si="611"/>
        <v>22.170849845882874</v>
      </c>
      <c r="AN972" s="75">
        <f>AM972*(1-PARAM!$C$27)*$I$12+(MOD($B972,60)=PARAM!$B$56)*($B972&gt;(60-PARAM!$B$56))*HLOOKUP(($B972+PARAM!$B$56)/12,Loyalty,2)*$F$1*MAX(AP971,0)</f>
        <v>18.557001321003963</v>
      </c>
      <c r="AO972" s="75">
        <f>PARAM!$C$26+MAX($G$12-CHOOSE(PARAM!$B$44,MAX(0,AP971*$F$1),0),0)*RATES!$L948/12+$H$12*(PARAM!$D$51/12)*RATES!$N948/100</f>
        <v>1190.0416666666667</v>
      </c>
      <c r="AP972" s="16">
        <f t="shared" si="637"/>
        <v>-323392.8751092017</v>
      </c>
      <c r="AQ972" s="15">
        <f t="shared" si="612"/>
        <v>22.170849845882874</v>
      </c>
      <c r="AR972" s="75">
        <f>AQ972*(1-PARAM!$C$27)*$I$13+(MOD($B972,60)=PARAM!$B$56)*($B972&gt;(60-PARAM!$B$56))*HLOOKUP(($B972+PARAM!$B$56)/12,Loyalty,2)*$F$1*MAX(AT971,0)</f>
        <v>18.557001321003963</v>
      </c>
      <c r="AS972" s="75">
        <f>PARAM!$C$26+MAX($G$13-CHOOSE(PARAM!$B$44,MAX(0,AT971*$F$1),0),0)*RATES!$L948/12+$H$13*(PARAM!$D$51/12)*RATES!$N948/100</f>
        <v>1190.0416666666667</v>
      </c>
      <c r="AT972" s="16">
        <f t="shared" si="638"/>
        <v>-323392.8751092017</v>
      </c>
      <c r="AU972" s="15">
        <f t="shared" si="613"/>
        <v>22.170849845882874</v>
      </c>
      <c r="AV972" s="75">
        <f>AU972*(1-PARAM!$C$27)*$I$14+(MOD($B972,60)=PARAM!$B$56)*($B972&gt;(60-PARAM!$B$56))*HLOOKUP(($B972+PARAM!$B$56)/12,Loyalty,2)*$F$1*MAX(AX971,0)</f>
        <v>18.557001321003963</v>
      </c>
      <c r="AW972" s="75">
        <f>PARAM!$C$26+MAX($G$14-CHOOSE(PARAM!$B$44,MAX(0,AX971*$F$1),0),0)*RATES!$L948/12+$H$14*(PARAM!$D$51/12)*RATES!$N948/100</f>
        <v>1190.0416666666667</v>
      </c>
      <c r="AX972" s="16">
        <f t="shared" si="639"/>
        <v>-323392.8751092017</v>
      </c>
      <c r="AY972" s="15">
        <f t="shared" si="614"/>
        <v>22.170849845882874</v>
      </c>
      <c r="AZ972" s="75">
        <f>AY972*(1-PARAM!$C$27)*$I$15+(MOD($B972,60)=PARAM!$B$56)*($B972&gt;(60-PARAM!$B$56))*HLOOKUP(($B972+PARAM!$B$56)/12,Loyalty,2)*$F$1*MAX(BB971,0)</f>
        <v>18.557001321003963</v>
      </c>
      <c r="BA972" s="75">
        <f>PARAM!$C$26+MAX($G$15-CHOOSE(PARAM!$B$44,MAX(0,BB971*$F$1),0),0)*RATES!$L948/12+$H$15*(PARAM!$D$51/12)*RATES!$N948/100</f>
        <v>1190.0416666666667</v>
      </c>
      <c r="BB972" s="16">
        <f t="shared" si="640"/>
        <v>-323392.8751092017</v>
      </c>
      <c r="BC972" s="15">
        <f t="shared" si="615"/>
        <v>22.170849845882874</v>
      </c>
      <c r="BD972" s="75">
        <f>BC972*(1-PARAM!$C$27)*$I$16+(MOD($B972,60)=PARAM!$B$56)*($B972&gt;(60-PARAM!$B$56))*HLOOKUP(($B972+PARAM!$B$56)/12,Loyalty,2)*$F$1*MAX(BF971,0)</f>
        <v>18.557001321003963</v>
      </c>
      <c r="BE972" s="75">
        <f>PARAM!$C$26+MAX($G$16-CHOOSE(PARAM!$B$44,MAX(0,BF971*$F$1),0),0)*RATES!$L948/12+$H$16*(PARAM!$D$51/12)*RATES!$N948/100</f>
        <v>1190.0416666666667</v>
      </c>
      <c r="BF972" s="16">
        <f t="shared" si="641"/>
        <v>-323392.8751092017</v>
      </c>
      <c r="BG972" s="15">
        <f t="shared" si="616"/>
        <v>22.170849845882874</v>
      </c>
      <c r="BH972" s="75">
        <f>BG972*(1-PARAM!$C$27)*$I$17+(MOD($B972,60)=PARAM!$B$56)*($B972&gt;(60-PARAM!$B$56))*HLOOKUP(($B972+PARAM!$B$56)/12,Loyalty,2)*$F$1*MAX(BJ971,0)</f>
        <v>18.557001321003963</v>
      </c>
      <c r="BI972" s="75">
        <f>PARAM!$C$26+MAX($G$17-CHOOSE(PARAM!$B$44,MAX(0,BJ971*$F$1),0),0)*RATES!$L948/12+$H$17*(PARAM!$D$51/12)*RATES!$N948/100</f>
        <v>1190.0416666666667</v>
      </c>
      <c r="BJ972" s="16">
        <f t="shared" si="642"/>
        <v>-323392.8751092017</v>
      </c>
      <c r="BK972" s="15">
        <f t="shared" si="617"/>
        <v>22.170849845882874</v>
      </c>
      <c r="BL972" s="75">
        <f>BK972*(1-PARAM!$C$27)*$I$18+(MOD($B972,60)=PARAM!$B$56)*($B972&gt;(60-PARAM!$B$56))*HLOOKUP(($B972+PARAM!$B$56)/12,Loyalty,2)*$F$1*MAX(BN971,0)</f>
        <v>18.557001321003963</v>
      </c>
      <c r="BM972" s="75">
        <f>PARAM!$C$26+MAX($G$18-CHOOSE(PARAM!$B$44,MAX(0,BN971*$F$1),0),0)*RATES!$L948/12+$H$18*(PARAM!$D$51/12)*RATES!$N948/100</f>
        <v>1190.0416666666667</v>
      </c>
      <c r="BN972" s="16">
        <f t="shared" si="643"/>
        <v>-323392.8751092017</v>
      </c>
      <c r="BO972" s="15">
        <f t="shared" si="618"/>
        <v>22.170849845882874</v>
      </c>
      <c r="BP972" s="75">
        <f>BO972*(1-PARAM!$C$27)*$I$19+(MOD($B972,60)=PARAM!$B$56)*($B972&gt;(60-PARAM!$B$56))*HLOOKUP(($B972+PARAM!$B$56)/12,Loyalty,2)*$F$1*MAX(BR971,0)</f>
        <v>18.557001321003963</v>
      </c>
      <c r="BQ972" s="75">
        <f>PARAM!$C$26+MAX($G$19-CHOOSE(PARAM!$B$44,MAX(0,BR971*$F$1),0),0)*RATES!$L948/12+$H$19*(PARAM!$D$51/12)*RATES!$N948/100</f>
        <v>1190.0416666666667</v>
      </c>
      <c r="BR972" s="16">
        <f t="shared" si="644"/>
        <v>-323392.8751092017</v>
      </c>
      <c r="BS972" s="15">
        <f t="shared" si="619"/>
        <v>22.170849845882874</v>
      </c>
      <c r="BT972" s="75">
        <f>BS972*(1-PARAM!$C$27)*$I$20+(MOD($B972,60)=PARAM!$B$56)*($B972&gt;(60-PARAM!$B$56))*HLOOKUP(($B972+PARAM!$B$56)/12,Loyalty,2)*$F$1*MAX(BV971,0)</f>
        <v>18.557001321003963</v>
      </c>
      <c r="BU972" s="75">
        <f>PARAM!$C$26+MAX($G$20-CHOOSE(PARAM!$B$44,MAX(0,BV971*$F$1),0),0)*RATES!$L948/12+$H$20*(PARAM!$D$51/12)*RATES!$N948/100</f>
        <v>1190.0416666666667</v>
      </c>
      <c r="BV972" s="16">
        <f t="shared" si="645"/>
        <v>-323392.8751092017</v>
      </c>
      <c r="BW972" s="15">
        <f t="shared" si="620"/>
        <v>22.170849845882874</v>
      </c>
      <c r="BX972" s="75">
        <f>BW972*(1-PARAM!$C$27)*$I$21+(MOD($B972,60)=PARAM!$B$56)*($B972&gt;(60-PARAM!$B$56))*HLOOKUP(($B972+PARAM!$B$56)/12,Loyalty,2)*$F$1*MAX(BZ971,0)</f>
        <v>18.557001321003963</v>
      </c>
      <c r="BY972" s="75">
        <f>PARAM!$C$26+MAX($G$21-CHOOSE(PARAM!$B$44,MAX(0,BZ971*$F$1),0),0)*RATES!$L948/12+$H$21*(PARAM!$D$51/12)*RATES!$N948/100</f>
        <v>1190.0416666666667</v>
      </c>
      <c r="BZ972" s="16">
        <f t="shared" si="646"/>
        <v>-323392.8751092017</v>
      </c>
      <c r="CA972" s="15">
        <f t="shared" si="621"/>
        <v>22.170849845882874</v>
      </c>
      <c r="CB972" s="75">
        <f>CA972*(1-PARAM!$C$27)*$I$22+(MOD($B972,60)=PARAM!$B$56)*($B972&gt;(60-PARAM!$B$56))*HLOOKUP(($B972+PARAM!$B$56)/12,Loyalty,2)*$F$1*MAX(CD971,0)</f>
        <v>18.557001321003963</v>
      </c>
      <c r="CC972" s="75">
        <f>PARAM!$C$26+MAX($G$22-CHOOSE(PARAM!$B$44,MAX(0,CD971*$F$1),0),0)*RATES!$L948/12+$H$22*(PARAM!$D$51/12)*RATES!$N948/100</f>
        <v>1190.0416666666667</v>
      </c>
      <c r="CD972" s="16">
        <f t="shared" si="647"/>
        <v>-323392.8751092017</v>
      </c>
      <c r="CE972" s="33">
        <f>IF(0=MOD(B972,12/PARAM!$D$51),1,0)</f>
        <v>1</v>
      </c>
      <c r="CF972" s="15">
        <f t="shared" si="622"/>
        <v>0</v>
      </c>
      <c r="CG972" s="75">
        <f>CF972*(1-PARAM!$C$27)*$R$3+(MOD($B972/12,5)=0)*($B972&gt;60)*HLOOKUP($B972/12,Loyalty,2)*$F$1*MAX(CI971,0)</f>
        <v>0</v>
      </c>
      <c r="CH972" s="75">
        <f>PARAM!$C$26+MAX($P$3-CHOOSE(PARAM!$B$44,MAX(0,CI971*$F$1),0),0)*RATES!$L948/12+$Q$3*(PARAM!$D$51/12)*RATES!$N948/100</f>
        <v>1190.0416666666667</v>
      </c>
      <c r="CI972" s="16">
        <f>IF(CI971&gt;0,CI971*PARAM!$C$53,CI971)+CG972-CH972</f>
        <v>-340809.66666666756</v>
      </c>
      <c r="CJ972" s="15">
        <f t="shared" si="648"/>
        <v>0</v>
      </c>
      <c r="CK972" s="75">
        <f>CJ972*(1-PARAM!$C$27)*$R$4+(MOD($B972/12,5)=0)*($B972&gt;60)*HLOOKUP($B972/12,Loyalty,2)*$F$1*MAX(CM971,0)</f>
        <v>0</v>
      </c>
      <c r="CL972" s="75">
        <f>PARAM!$C$26+MAX($P$4-CHOOSE(PARAM!$B$44,MAX(0,CM971*$F$1),0),0)*RATES!$L948/12+$Q$4*(PARAM!$D$51/12)*RATES!$N948/100</f>
        <v>1190.0416666666667</v>
      </c>
      <c r="CM972" s="16">
        <f>IF(CM971&gt;0,CM971*PARAM!$C$53,CM971)+CK972-CL972</f>
        <v>-340809.66666666756</v>
      </c>
      <c r="CO972" s="176"/>
    </row>
    <row r="973" spans="1:93" x14ac:dyDescent="0.2">
      <c r="A973" t="b">
        <f t="shared" si="623"/>
        <v>0</v>
      </c>
      <c r="B973" s="33">
        <v>946</v>
      </c>
      <c r="C973" s="15">
        <f t="shared" si="624"/>
        <v>20.081305947392778</v>
      </c>
      <c r="D973" s="75">
        <f>C973*(1-PARAM!$C$27)*$I$3+(MOD($B973,60)=PARAM!$B$56)*($B973&gt;(60-PARAM!$B$56))*HLOOKUP(($B973+PARAM!$B$56)/12,Loyalty,2)*$F$1*MAX(F972,0)</f>
        <v>16.808053077967756</v>
      </c>
      <c r="E973" s="75">
        <f>PARAM!$C$26+MAX($G$3-CHOOSE(PARAM!$B$44,MAX(0,F972*$F$1),0),0)*RATES!$L949/12+$H$3*(PARAM!$D$51/12)*RATES!$N949/100</f>
        <v>1190.0416666666667</v>
      </c>
      <c r="F973" s="16">
        <f t="shared" si="625"/>
        <v>-326255.71531298186</v>
      </c>
      <c r="G973" s="15">
        <f t="shared" si="626"/>
        <v>22.035289406060361</v>
      </c>
      <c r="H973" s="75">
        <f>G973*(1-PARAM!$C$27)*$I$4+(MOD($B973,60)=PARAM!$B$56)*($B973&gt;(60-PARAM!$B$56))*HLOOKUP(($B973+PARAM!$B$56)/12,Loyalty,2)*$F$1*MAX(J972,0)</f>
        <v>18.443537232872522</v>
      </c>
      <c r="I973" s="75">
        <f>PARAM!$C$26+MAX($G$4-CHOOSE(PARAM!$B$44,MAX(0,J972*$F$1),0),0)*RATES!$L949/12+$H$4*(PARAM!$D$51/12)*RATES!$N949/100</f>
        <v>1190.0416666666667</v>
      </c>
      <c r="J973" s="16">
        <f t="shared" si="627"/>
        <v>-324674.71433831792</v>
      </c>
      <c r="K973" s="15">
        <f t="shared" si="628"/>
        <v>22.170849845882874</v>
      </c>
      <c r="L973" s="75">
        <f>K973*(1-PARAM!$C$27)*$I$5+(MOD($B973,60)=PARAM!$B$56)*($B973&gt;(60-PARAM!$B$56))*HLOOKUP(($B973+PARAM!$B$56)/12,Loyalty,2)*$F$1*MAX(N972,0)</f>
        <v>18.557001321003963</v>
      </c>
      <c r="M973" s="75">
        <f>PARAM!$C$26+MAX($G$5-CHOOSE(PARAM!$B$44,MAX(0,N972*$F$1),0),0)*RATES!$L949/12+$H$5*(PARAM!$D$51/12)*RATES!$N949/100</f>
        <v>1190.0416666666667</v>
      </c>
      <c r="N973" s="16">
        <f t="shared" si="629"/>
        <v>-324564.3597745474</v>
      </c>
      <c r="O973" s="15">
        <f t="shared" si="630"/>
        <v>22.170849845882874</v>
      </c>
      <c r="P973" s="75">
        <f>O973*(1-PARAM!$C$27)*$I$6+(MOD($B973,60)=PARAM!$B$56)*($B973&gt;(60-PARAM!$B$56))*HLOOKUP(($B973+PARAM!$B$56)/12,Loyalty,2)*$F$1*MAX(R972,0)</f>
        <v>18.557001321003963</v>
      </c>
      <c r="Q973" s="75">
        <f>PARAM!$C$26+MAX($G$6-CHOOSE(PARAM!$B$44,MAX(0,R972*$F$1),0),0)*RATES!$L949/12+$H$6*(PARAM!$D$51/12)*RATES!$N949/100</f>
        <v>1190.0416666666667</v>
      </c>
      <c r="R973" s="16">
        <f t="shared" si="631"/>
        <v>-324564.3597745474</v>
      </c>
      <c r="S973" s="15">
        <f t="shared" si="606"/>
        <v>22.170849845882874</v>
      </c>
      <c r="T973" s="75">
        <f>S973*(1-PARAM!$C$27)*$I$7+(MOD($B973,60)=PARAM!$B$56)*($B973&gt;(60-PARAM!$B$56))*HLOOKUP(($B973+PARAM!$B$56)/12,Loyalty,2)*$F$1*MAX(V972,0)</f>
        <v>18.557001321003963</v>
      </c>
      <c r="U973" s="75">
        <f>PARAM!$C$26+MAX($G$7-CHOOSE(PARAM!$B$44,MAX(0,V972*$F$1),0),0)*RATES!$L949/12+$H$7*(PARAM!$D$51/12)*RATES!$N949/100</f>
        <v>1190.0416666666667</v>
      </c>
      <c r="V973" s="16">
        <f t="shared" si="632"/>
        <v>-324564.3597745474</v>
      </c>
      <c r="W973" s="15">
        <f t="shared" si="607"/>
        <v>22.170849845882874</v>
      </c>
      <c r="X973" s="75">
        <f>W973*(1-PARAM!$C$27)*$I$8+(MOD($B973,60)=PARAM!$B$56)*($B973&gt;(60-PARAM!$B$56))*HLOOKUP(($B973+PARAM!$B$56)/12,Loyalty,2)*$F$1*MAX(Z972,0)</f>
        <v>18.557001321003963</v>
      </c>
      <c r="Y973" s="75">
        <f>PARAM!$C$26+MAX($G$8-CHOOSE(PARAM!$B$44,MAX(0,Z972*$F$1),0),0)*RATES!$L949/12+$H$8*(PARAM!$D$51/12)*RATES!$N949/100</f>
        <v>1190.0416666666667</v>
      </c>
      <c r="Z973" s="16">
        <f t="shared" si="633"/>
        <v>-324564.3597745474</v>
      </c>
      <c r="AA973" s="15">
        <f t="shared" si="608"/>
        <v>22.170849845882874</v>
      </c>
      <c r="AB973" s="75">
        <f>AA973*(1-PARAM!$C$27)*$I$9+(MOD($B973,60)=PARAM!$B$56)*($B973&gt;(60-PARAM!$B$56))*HLOOKUP(($B973+PARAM!$B$56)/12,Loyalty,2)*$F$1*MAX(AD972,0)</f>
        <v>18.557001321003963</v>
      </c>
      <c r="AC973" s="75">
        <f>PARAM!$C$26+MAX($G$9-CHOOSE(PARAM!$B$44,MAX(0,AD972*$F$1),0),0)*RATES!$L949/12+$H$9*(PARAM!$D$51/12)*RATES!$N949/100</f>
        <v>1190.0416666666667</v>
      </c>
      <c r="AD973" s="16">
        <f t="shared" si="634"/>
        <v>-324564.3597745474</v>
      </c>
      <c r="AE973" s="15">
        <f t="shared" si="609"/>
        <v>22.170849845882874</v>
      </c>
      <c r="AF973" s="75">
        <f>AE973*(1-PARAM!$C$27)*$I$10+(MOD($B973,60)=PARAM!$B$56)*($B973&gt;(60-PARAM!$B$56))*HLOOKUP(($B973+PARAM!$B$56)/12,Loyalty,2)*$F$1*MAX(AH972,0)</f>
        <v>18.557001321003963</v>
      </c>
      <c r="AG973" s="75">
        <f>PARAM!$C$26+MAX($G$10-CHOOSE(PARAM!$B$44,MAX(0,AH972*$F$1),0),0)*RATES!$L949/12+$H$10*(PARAM!$D$51/12)*RATES!$N949/100</f>
        <v>1190.0416666666667</v>
      </c>
      <c r="AH973" s="16">
        <f t="shared" si="635"/>
        <v>-324564.3597745474</v>
      </c>
      <c r="AI973" s="15">
        <f t="shared" si="610"/>
        <v>22.170849845882874</v>
      </c>
      <c r="AJ973" s="75">
        <f>AI973*(1-PARAM!$C$27)*$I$11+(MOD($B973,60)=PARAM!$B$56)*($B973&gt;(60-PARAM!$B$56))*HLOOKUP(($B973+PARAM!$B$56)/12,Loyalty,2)*$F$1*MAX(AL972,0)</f>
        <v>18.557001321003963</v>
      </c>
      <c r="AK973" s="75">
        <f>PARAM!$C$26+MAX($G$11-CHOOSE(PARAM!$B$44,MAX(0,AL972*$F$1),0),0)*RATES!$L949/12+$H$11*(PARAM!$D$51/12)*RATES!$N949/100</f>
        <v>1190.0416666666667</v>
      </c>
      <c r="AL973" s="16">
        <f t="shared" si="636"/>
        <v>-324564.3597745474</v>
      </c>
      <c r="AM973" s="15">
        <f t="shared" si="611"/>
        <v>22.170849845882874</v>
      </c>
      <c r="AN973" s="75">
        <f>AM973*(1-PARAM!$C$27)*$I$12+(MOD($B973,60)=PARAM!$B$56)*($B973&gt;(60-PARAM!$B$56))*HLOOKUP(($B973+PARAM!$B$56)/12,Loyalty,2)*$F$1*MAX(AP972,0)</f>
        <v>18.557001321003963</v>
      </c>
      <c r="AO973" s="75">
        <f>PARAM!$C$26+MAX($G$12-CHOOSE(PARAM!$B$44,MAX(0,AP972*$F$1),0),0)*RATES!$L949/12+$H$12*(PARAM!$D$51/12)*RATES!$N949/100</f>
        <v>1190.0416666666667</v>
      </c>
      <c r="AP973" s="16">
        <f t="shared" si="637"/>
        <v>-324564.3597745474</v>
      </c>
      <c r="AQ973" s="15">
        <f t="shared" si="612"/>
        <v>22.170849845882874</v>
      </c>
      <c r="AR973" s="75">
        <f>AQ973*(1-PARAM!$C$27)*$I$13+(MOD($B973,60)=PARAM!$B$56)*($B973&gt;(60-PARAM!$B$56))*HLOOKUP(($B973+PARAM!$B$56)/12,Loyalty,2)*$F$1*MAX(AT972,0)</f>
        <v>18.557001321003963</v>
      </c>
      <c r="AS973" s="75">
        <f>PARAM!$C$26+MAX($G$13-CHOOSE(PARAM!$B$44,MAX(0,AT972*$F$1),0),0)*RATES!$L949/12+$H$13*(PARAM!$D$51/12)*RATES!$N949/100</f>
        <v>1190.0416666666667</v>
      </c>
      <c r="AT973" s="16">
        <f t="shared" si="638"/>
        <v>-324564.3597745474</v>
      </c>
      <c r="AU973" s="15">
        <f t="shared" si="613"/>
        <v>22.170849845882874</v>
      </c>
      <c r="AV973" s="75">
        <f>AU973*(1-PARAM!$C$27)*$I$14+(MOD($B973,60)=PARAM!$B$56)*($B973&gt;(60-PARAM!$B$56))*HLOOKUP(($B973+PARAM!$B$56)/12,Loyalty,2)*$F$1*MAX(AX972,0)</f>
        <v>18.557001321003963</v>
      </c>
      <c r="AW973" s="75">
        <f>PARAM!$C$26+MAX($G$14-CHOOSE(PARAM!$B$44,MAX(0,AX972*$F$1),0),0)*RATES!$L949/12+$H$14*(PARAM!$D$51/12)*RATES!$N949/100</f>
        <v>1190.0416666666667</v>
      </c>
      <c r="AX973" s="16">
        <f t="shared" si="639"/>
        <v>-324564.3597745474</v>
      </c>
      <c r="AY973" s="15">
        <f t="shared" si="614"/>
        <v>22.170849845882874</v>
      </c>
      <c r="AZ973" s="75">
        <f>AY973*(1-PARAM!$C$27)*$I$15+(MOD($B973,60)=PARAM!$B$56)*($B973&gt;(60-PARAM!$B$56))*HLOOKUP(($B973+PARAM!$B$56)/12,Loyalty,2)*$F$1*MAX(BB972,0)</f>
        <v>18.557001321003963</v>
      </c>
      <c r="BA973" s="75">
        <f>PARAM!$C$26+MAX($G$15-CHOOSE(PARAM!$B$44,MAX(0,BB972*$F$1),0),0)*RATES!$L949/12+$H$15*(PARAM!$D$51/12)*RATES!$N949/100</f>
        <v>1190.0416666666667</v>
      </c>
      <c r="BB973" s="16">
        <f t="shared" si="640"/>
        <v>-324564.3597745474</v>
      </c>
      <c r="BC973" s="15">
        <f t="shared" si="615"/>
        <v>22.170849845882874</v>
      </c>
      <c r="BD973" s="75">
        <f>BC973*(1-PARAM!$C$27)*$I$16+(MOD($B973,60)=PARAM!$B$56)*($B973&gt;(60-PARAM!$B$56))*HLOOKUP(($B973+PARAM!$B$56)/12,Loyalty,2)*$F$1*MAX(BF972,0)</f>
        <v>18.557001321003963</v>
      </c>
      <c r="BE973" s="75">
        <f>PARAM!$C$26+MAX($G$16-CHOOSE(PARAM!$B$44,MAX(0,BF972*$F$1),0),0)*RATES!$L949/12+$H$16*(PARAM!$D$51/12)*RATES!$N949/100</f>
        <v>1190.0416666666667</v>
      </c>
      <c r="BF973" s="16">
        <f t="shared" si="641"/>
        <v>-324564.3597745474</v>
      </c>
      <c r="BG973" s="15">
        <f t="shared" si="616"/>
        <v>22.170849845882874</v>
      </c>
      <c r="BH973" s="75">
        <f>BG973*(1-PARAM!$C$27)*$I$17+(MOD($B973,60)=PARAM!$B$56)*($B973&gt;(60-PARAM!$B$56))*HLOOKUP(($B973+PARAM!$B$56)/12,Loyalty,2)*$F$1*MAX(BJ972,0)</f>
        <v>18.557001321003963</v>
      </c>
      <c r="BI973" s="75">
        <f>PARAM!$C$26+MAX($G$17-CHOOSE(PARAM!$B$44,MAX(0,BJ972*$F$1),0),0)*RATES!$L949/12+$H$17*(PARAM!$D$51/12)*RATES!$N949/100</f>
        <v>1190.0416666666667</v>
      </c>
      <c r="BJ973" s="16">
        <f t="shared" si="642"/>
        <v>-324564.3597745474</v>
      </c>
      <c r="BK973" s="15">
        <f t="shared" si="617"/>
        <v>22.170849845882874</v>
      </c>
      <c r="BL973" s="75">
        <f>BK973*(1-PARAM!$C$27)*$I$18+(MOD($B973,60)=PARAM!$B$56)*($B973&gt;(60-PARAM!$B$56))*HLOOKUP(($B973+PARAM!$B$56)/12,Loyalty,2)*$F$1*MAX(BN972,0)</f>
        <v>18.557001321003963</v>
      </c>
      <c r="BM973" s="75">
        <f>PARAM!$C$26+MAX($G$18-CHOOSE(PARAM!$B$44,MAX(0,BN972*$F$1),0),0)*RATES!$L949/12+$H$18*(PARAM!$D$51/12)*RATES!$N949/100</f>
        <v>1190.0416666666667</v>
      </c>
      <c r="BN973" s="16">
        <f t="shared" si="643"/>
        <v>-324564.3597745474</v>
      </c>
      <c r="BO973" s="15">
        <f t="shared" si="618"/>
        <v>22.170849845882874</v>
      </c>
      <c r="BP973" s="75">
        <f>BO973*(1-PARAM!$C$27)*$I$19+(MOD($B973,60)=PARAM!$B$56)*($B973&gt;(60-PARAM!$B$56))*HLOOKUP(($B973+PARAM!$B$56)/12,Loyalty,2)*$F$1*MAX(BR972,0)</f>
        <v>18.557001321003963</v>
      </c>
      <c r="BQ973" s="75">
        <f>PARAM!$C$26+MAX($G$19-CHOOSE(PARAM!$B$44,MAX(0,BR972*$F$1),0),0)*RATES!$L949/12+$H$19*(PARAM!$D$51/12)*RATES!$N949/100</f>
        <v>1190.0416666666667</v>
      </c>
      <c r="BR973" s="16">
        <f t="shared" si="644"/>
        <v>-324564.3597745474</v>
      </c>
      <c r="BS973" s="15">
        <f t="shared" si="619"/>
        <v>22.170849845882874</v>
      </c>
      <c r="BT973" s="75">
        <f>BS973*(1-PARAM!$C$27)*$I$20+(MOD($B973,60)=PARAM!$B$56)*($B973&gt;(60-PARAM!$B$56))*HLOOKUP(($B973+PARAM!$B$56)/12,Loyalty,2)*$F$1*MAX(BV972,0)</f>
        <v>18.557001321003963</v>
      </c>
      <c r="BU973" s="75">
        <f>PARAM!$C$26+MAX($G$20-CHOOSE(PARAM!$B$44,MAX(0,BV972*$F$1),0),0)*RATES!$L949/12+$H$20*(PARAM!$D$51/12)*RATES!$N949/100</f>
        <v>1190.0416666666667</v>
      </c>
      <c r="BV973" s="16">
        <f t="shared" si="645"/>
        <v>-324564.3597745474</v>
      </c>
      <c r="BW973" s="15">
        <f t="shared" si="620"/>
        <v>22.170849845882874</v>
      </c>
      <c r="BX973" s="75">
        <f>BW973*(1-PARAM!$C$27)*$I$21+(MOD($B973,60)=PARAM!$B$56)*($B973&gt;(60-PARAM!$B$56))*HLOOKUP(($B973+PARAM!$B$56)/12,Loyalty,2)*$F$1*MAX(BZ972,0)</f>
        <v>18.557001321003963</v>
      </c>
      <c r="BY973" s="75">
        <f>PARAM!$C$26+MAX($G$21-CHOOSE(PARAM!$B$44,MAX(0,BZ972*$F$1),0),0)*RATES!$L949/12+$H$21*(PARAM!$D$51/12)*RATES!$N949/100</f>
        <v>1190.0416666666667</v>
      </c>
      <c r="BZ973" s="16">
        <f t="shared" si="646"/>
        <v>-324564.3597745474</v>
      </c>
      <c r="CA973" s="15">
        <f t="shared" si="621"/>
        <v>22.170849845882874</v>
      </c>
      <c r="CB973" s="75">
        <f>CA973*(1-PARAM!$C$27)*$I$22+(MOD($B973,60)=PARAM!$B$56)*($B973&gt;(60-PARAM!$B$56))*HLOOKUP(($B973+PARAM!$B$56)/12,Loyalty,2)*$F$1*MAX(CD972,0)</f>
        <v>18.557001321003963</v>
      </c>
      <c r="CC973" s="75">
        <f>PARAM!$C$26+MAX($G$22-CHOOSE(PARAM!$B$44,MAX(0,CD972*$F$1),0),0)*RATES!$L949/12+$H$22*(PARAM!$D$51/12)*RATES!$N949/100</f>
        <v>1190.0416666666667</v>
      </c>
      <c r="CD973" s="16">
        <f t="shared" si="647"/>
        <v>-324564.3597745474</v>
      </c>
      <c r="CE973" s="33">
        <f>IF(0=MOD(B973,12/PARAM!$D$51),1,0)</f>
        <v>1</v>
      </c>
      <c r="CF973" s="15">
        <f t="shared" si="622"/>
        <v>0</v>
      </c>
      <c r="CG973" s="75">
        <f>CF973*(1-PARAM!$C$27)*$R$3+(MOD($B973/12,5)=0)*($B973&gt;60)*HLOOKUP($B973/12,Loyalty,2)*$F$1*MAX(CI972,0)</f>
        <v>0</v>
      </c>
      <c r="CH973" s="75">
        <f>PARAM!$C$26+MAX($P$3-CHOOSE(PARAM!$B$44,MAX(0,CI972*$F$1),0),0)*RATES!$L949/12+$Q$3*(PARAM!$D$51/12)*RATES!$N949/100</f>
        <v>1190.0416666666667</v>
      </c>
      <c r="CI973" s="16">
        <f>IF(CI972&gt;0,CI972*PARAM!$C$53,CI972)+CG973-CH973</f>
        <v>-341999.70833333425</v>
      </c>
      <c r="CJ973" s="15">
        <f t="shared" si="648"/>
        <v>0</v>
      </c>
      <c r="CK973" s="75">
        <f>CJ973*(1-PARAM!$C$27)*$R$4+(MOD($B973/12,5)=0)*($B973&gt;60)*HLOOKUP($B973/12,Loyalty,2)*$F$1*MAX(CM972,0)</f>
        <v>0</v>
      </c>
      <c r="CL973" s="75">
        <f>PARAM!$C$26+MAX($P$4-CHOOSE(PARAM!$B$44,MAX(0,CM972*$F$1),0),0)*RATES!$L949/12+$Q$4*(PARAM!$D$51/12)*RATES!$N949/100</f>
        <v>1190.0416666666667</v>
      </c>
      <c r="CM973" s="16">
        <f>IF(CM972&gt;0,CM972*PARAM!$C$53,CM972)+CK973-CL973</f>
        <v>-341999.70833333425</v>
      </c>
      <c r="CO973" s="176"/>
    </row>
    <row r="974" spans="1:93" x14ac:dyDescent="0.2">
      <c r="A974" t="b">
        <f t="shared" si="623"/>
        <v>0</v>
      </c>
      <c r="B974" s="33">
        <v>947</v>
      </c>
      <c r="C974" s="15">
        <f t="shared" si="624"/>
        <v>20.081305947392778</v>
      </c>
      <c r="D974" s="75">
        <f>C974*(1-PARAM!$C$27)*$I$3+(MOD($B974,60)=PARAM!$B$56)*($B974&gt;(60-PARAM!$B$56))*HLOOKUP(($B974+PARAM!$B$56)/12,Loyalty,2)*$F$1*MAX(F973,0)</f>
        <v>16.808053077967756</v>
      </c>
      <c r="E974" s="75">
        <f>PARAM!$C$26+MAX($G$3-CHOOSE(PARAM!$B$44,MAX(0,F973*$F$1),0),0)*RATES!$L950/12+$H$3*(PARAM!$D$51/12)*RATES!$N950/100</f>
        <v>1190.0416666666667</v>
      </c>
      <c r="F974" s="16">
        <f t="shared" si="625"/>
        <v>-327428.94892657059</v>
      </c>
      <c r="G974" s="15">
        <f t="shared" si="626"/>
        <v>22.035289406060361</v>
      </c>
      <c r="H974" s="75">
        <f>G974*(1-PARAM!$C$27)*$I$4+(MOD($B974,60)=PARAM!$B$56)*($B974&gt;(60-PARAM!$B$56))*HLOOKUP(($B974+PARAM!$B$56)/12,Loyalty,2)*$F$1*MAX(J973,0)</f>
        <v>18.443537232872522</v>
      </c>
      <c r="I974" s="75">
        <f>PARAM!$C$26+MAX($G$4-CHOOSE(PARAM!$B$44,MAX(0,J973*$F$1),0),0)*RATES!$L950/12+$H$4*(PARAM!$D$51/12)*RATES!$N950/100</f>
        <v>1190.0416666666667</v>
      </c>
      <c r="J974" s="16">
        <f t="shared" si="627"/>
        <v>-325846.31246775173</v>
      </c>
      <c r="K974" s="15">
        <f t="shared" si="628"/>
        <v>22.170849845882874</v>
      </c>
      <c r="L974" s="75">
        <f>K974*(1-PARAM!$C$27)*$I$5+(MOD($B974,60)=PARAM!$B$56)*($B974&gt;(60-PARAM!$B$56))*HLOOKUP(($B974+PARAM!$B$56)/12,Loyalty,2)*$F$1*MAX(N973,0)</f>
        <v>18.557001321003963</v>
      </c>
      <c r="M974" s="75">
        <f>PARAM!$C$26+MAX($G$5-CHOOSE(PARAM!$B$44,MAX(0,N973*$F$1),0),0)*RATES!$L950/12+$H$5*(PARAM!$D$51/12)*RATES!$N950/100</f>
        <v>1190.0416666666667</v>
      </c>
      <c r="N974" s="16">
        <f t="shared" si="629"/>
        <v>-325735.84443989309</v>
      </c>
      <c r="O974" s="15">
        <f t="shared" si="630"/>
        <v>22.170849845882874</v>
      </c>
      <c r="P974" s="75">
        <f>O974*(1-PARAM!$C$27)*$I$6+(MOD($B974,60)=PARAM!$B$56)*($B974&gt;(60-PARAM!$B$56))*HLOOKUP(($B974+PARAM!$B$56)/12,Loyalty,2)*$F$1*MAX(R973,0)</f>
        <v>18.557001321003963</v>
      </c>
      <c r="Q974" s="75">
        <f>PARAM!$C$26+MAX($G$6-CHOOSE(PARAM!$B$44,MAX(0,R973*$F$1),0),0)*RATES!$L950/12+$H$6*(PARAM!$D$51/12)*RATES!$N950/100</f>
        <v>1190.0416666666667</v>
      </c>
      <c r="R974" s="16">
        <f t="shared" si="631"/>
        <v>-325735.84443989309</v>
      </c>
      <c r="S974" s="15">
        <f t="shared" si="606"/>
        <v>22.170849845882874</v>
      </c>
      <c r="T974" s="75">
        <f>S974*(1-PARAM!$C$27)*$I$7+(MOD($B974,60)=PARAM!$B$56)*($B974&gt;(60-PARAM!$B$56))*HLOOKUP(($B974+PARAM!$B$56)/12,Loyalty,2)*$F$1*MAX(V973,0)</f>
        <v>18.557001321003963</v>
      </c>
      <c r="U974" s="75">
        <f>PARAM!$C$26+MAX($G$7-CHOOSE(PARAM!$B$44,MAX(0,V973*$F$1),0),0)*RATES!$L950/12+$H$7*(PARAM!$D$51/12)*RATES!$N950/100</f>
        <v>1190.0416666666667</v>
      </c>
      <c r="V974" s="16">
        <f t="shared" si="632"/>
        <v>-325735.84443989309</v>
      </c>
      <c r="W974" s="15">
        <f t="shared" si="607"/>
        <v>22.170849845882874</v>
      </c>
      <c r="X974" s="75">
        <f>W974*(1-PARAM!$C$27)*$I$8+(MOD($B974,60)=PARAM!$B$56)*($B974&gt;(60-PARAM!$B$56))*HLOOKUP(($B974+PARAM!$B$56)/12,Loyalty,2)*$F$1*MAX(Z973,0)</f>
        <v>18.557001321003963</v>
      </c>
      <c r="Y974" s="75">
        <f>PARAM!$C$26+MAX($G$8-CHOOSE(PARAM!$B$44,MAX(0,Z973*$F$1),0),0)*RATES!$L950/12+$H$8*(PARAM!$D$51/12)*RATES!$N950/100</f>
        <v>1190.0416666666667</v>
      </c>
      <c r="Z974" s="16">
        <f t="shared" si="633"/>
        <v>-325735.84443989309</v>
      </c>
      <c r="AA974" s="15">
        <f t="shared" si="608"/>
        <v>22.170849845882874</v>
      </c>
      <c r="AB974" s="75">
        <f>AA974*(1-PARAM!$C$27)*$I$9+(MOD($B974,60)=PARAM!$B$56)*($B974&gt;(60-PARAM!$B$56))*HLOOKUP(($B974+PARAM!$B$56)/12,Loyalty,2)*$F$1*MAX(AD973,0)</f>
        <v>18.557001321003963</v>
      </c>
      <c r="AC974" s="75">
        <f>PARAM!$C$26+MAX($G$9-CHOOSE(PARAM!$B$44,MAX(0,AD973*$F$1),0),0)*RATES!$L950/12+$H$9*(PARAM!$D$51/12)*RATES!$N950/100</f>
        <v>1190.0416666666667</v>
      </c>
      <c r="AD974" s="16">
        <f t="shared" si="634"/>
        <v>-325735.84443989309</v>
      </c>
      <c r="AE974" s="15">
        <f t="shared" si="609"/>
        <v>22.170849845882874</v>
      </c>
      <c r="AF974" s="75">
        <f>AE974*(1-PARAM!$C$27)*$I$10+(MOD($B974,60)=PARAM!$B$56)*($B974&gt;(60-PARAM!$B$56))*HLOOKUP(($B974+PARAM!$B$56)/12,Loyalty,2)*$F$1*MAX(AH973,0)</f>
        <v>18.557001321003963</v>
      </c>
      <c r="AG974" s="75">
        <f>PARAM!$C$26+MAX($G$10-CHOOSE(PARAM!$B$44,MAX(0,AH973*$F$1),0),0)*RATES!$L950/12+$H$10*(PARAM!$D$51/12)*RATES!$N950/100</f>
        <v>1190.0416666666667</v>
      </c>
      <c r="AH974" s="16">
        <f t="shared" si="635"/>
        <v>-325735.84443989309</v>
      </c>
      <c r="AI974" s="15">
        <f t="shared" si="610"/>
        <v>22.170849845882874</v>
      </c>
      <c r="AJ974" s="75">
        <f>AI974*(1-PARAM!$C$27)*$I$11+(MOD($B974,60)=PARAM!$B$56)*($B974&gt;(60-PARAM!$B$56))*HLOOKUP(($B974+PARAM!$B$56)/12,Loyalty,2)*$F$1*MAX(AL973,0)</f>
        <v>18.557001321003963</v>
      </c>
      <c r="AK974" s="75">
        <f>PARAM!$C$26+MAX($G$11-CHOOSE(PARAM!$B$44,MAX(0,AL973*$F$1),0),0)*RATES!$L950/12+$H$11*(PARAM!$D$51/12)*RATES!$N950/100</f>
        <v>1190.0416666666667</v>
      </c>
      <c r="AL974" s="16">
        <f t="shared" si="636"/>
        <v>-325735.84443989309</v>
      </c>
      <c r="AM974" s="15">
        <f t="shared" si="611"/>
        <v>22.170849845882874</v>
      </c>
      <c r="AN974" s="75">
        <f>AM974*(1-PARAM!$C$27)*$I$12+(MOD($B974,60)=PARAM!$B$56)*($B974&gt;(60-PARAM!$B$56))*HLOOKUP(($B974+PARAM!$B$56)/12,Loyalty,2)*$F$1*MAX(AP973,0)</f>
        <v>18.557001321003963</v>
      </c>
      <c r="AO974" s="75">
        <f>PARAM!$C$26+MAX($G$12-CHOOSE(PARAM!$B$44,MAX(0,AP973*$F$1),0),0)*RATES!$L950/12+$H$12*(PARAM!$D$51/12)*RATES!$N950/100</f>
        <v>1190.0416666666667</v>
      </c>
      <c r="AP974" s="16">
        <f t="shared" si="637"/>
        <v>-325735.84443989309</v>
      </c>
      <c r="AQ974" s="15">
        <f t="shared" si="612"/>
        <v>22.170849845882874</v>
      </c>
      <c r="AR974" s="75">
        <f>AQ974*(1-PARAM!$C$27)*$I$13+(MOD($B974,60)=PARAM!$B$56)*($B974&gt;(60-PARAM!$B$56))*HLOOKUP(($B974+PARAM!$B$56)/12,Loyalty,2)*$F$1*MAX(AT973,0)</f>
        <v>18.557001321003963</v>
      </c>
      <c r="AS974" s="75">
        <f>PARAM!$C$26+MAX($G$13-CHOOSE(PARAM!$B$44,MAX(0,AT973*$F$1),0),0)*RATES!$L950/12+$H$13*(PARAM!$D$51/12)*RATES!$N950/100</f>
        <v>1190.0416666666667</v>
      </c>
      <c r="AT974" s="16">
        <f t="shared" si="638"/>
        <v>-325735.84443989309</v>
      </c>
      <c r="AU974" s="15">
        <f t="shared" si="613"/>
        <v>22.170849845882874</v>
      </c>
      <c r="AV974" s="75">
        <f>AU974*(1-PARAM!$C$27)*$I$14+(MOD($B974,60)=PARAM!$B$56)*($B974&gt;(60-PARAM!$B$56))*HLOOKUP(($B974+PARAM!$B$56)/12,Loyalty,2)*$F$1*MAX(AX973,0)</f>
        <v>18.557001321003963</v>
      </c>
      <c r="AW974" s="75">
        <f>PARAM!$C$26+MAX($G$14-CHOOSE(PARAM!$B$44,MAX(0,AX973*$F$1),0),0)*RATES!$L950/12+$H$14*(PARAM!$D$51/12)*RATES!$N950/100</f>
        <v>1190.0416666666667</v>
      </c>
      <c r="AX974" s="16">
        <f t="shared" si="639"/>
        <v>-325735.84443989309</v>
      </c>
      <c r="AY974" s="15">
        <f t="shared" si="614"/>
        <v>22.170849845882874</v>
      </c>
      <c r="AZ974" s="75">
        <f>AY974*(1-PARAM!$C$27)*$I$15+(MOD($B974,60)=PARAM!$B$56)*($B974&gt;(60-PARAM!$B$56))*HLOOKUP(($B974+PARAM!$B$56)/12,Loyalty,2)*$F$1*MAX(BB973,0)</f>
        <v>18.557001321003963</v>
      </c>
      <c r="BA974" s="75">
        <f>PARAM!$C$26+MAX($G$15-CHOOSE(PARAM!$B$44,MAX(0,BB973*$F$1),0),0)*RATES!$L950/12+$H$15*(PARAM!$D$51/12)*RATES!$N950/100</f>
        <v>1190.0416666666667</v>
      </c>
      <c r="BB974" s="16">
        <f t="shared" si="640"/>
        <v>-325735.84443989309</v>
      </c>
      <c r="BC974" s="15">
        <f t="shared" si="615"/>
        <v>22.170849845882874</v>
      </c>
      <c r="BD974" s="75">
        <f>BC974*(1-PARAM!$C$27)*$I$16+(MOD($B974,60)=PARAM!$B$56)*($B974&gt;(60-PARAM!$B$56))*HLOOKUP(($B974+PARAM!$B$56)/12,Loyalty,2)*$F$1*MAX(BF973,0)</f>
        <v>18.557001321003963</v>
      </c>
      <c r="BE974" s="75">
        <f>PARAM!$C$26+MAX($G$16-CHOOSE(PARAM!$B$44,MAX(0,BF973*$F$1),0),0)*RATES!$L950/12+$H$16*(PARAM!$D$51/12)*RATES!$N950/100</f>
        <v>1190.0416666666667</v>
      </c>
      <c r="BF974" s="16">
        <f t="shared" si="641"/>
        <v>-325735.84443989309</v>
      </c>
      <c r="BG974" s="15">
        <f t="shared" si="616"/>
        <v>22.170849845882874</v>
      </c>
      <c r="BH974" s="75">
        <f>BG974*(1-PARAM!$C$27)*$I$17+(MOD($B974,60)=PARAM!$B$56)*($B974&gt;(60-PARAM!$B$56))*HLOOKUP(($B974+PARAM!$B$56)/12,Loyalty,2)*$F$1*MAX(BJ973,0)</f>
        <v>18.557001321003963</v>
      </c>
      <c r="BI974" s="75">
        <f>PARAM!$C$26+MAX($G$17-CHOOSE(PARAM!$B$44,MAX(0,BJ973*$F$1),0),0)*RATES!$L950/12+$H$17*(PARAM!$D$51/12)*RATES!$N950/100</f>
        <v>1190.0416666666667</v>
      </c>
      <c r="BJ974" s="16">
        <f t="shared" si="642"/>
        <v>-325735.84443989309</v>
      </c>
      <c r="BK974" s="15">
        <f t="shared" si="617"/>
        <v>22.170849845882874</v>
      </c>
      <c r="BL974" s="75">
        <f>BK974*(1-PARAM!$C$27)*$I$18+(MOD($B974,60)=PARAM!$B$56)*($B974&gt;(60-PARAM!$B$56))*HLOOKUP(($B974+PARAM!$B$56)/12,Loyalty,2)*$F$1*MAX(BN973,0)</f>
        <v>18.557001321003963</v>
      </c>
      <c r="BM974" s="75">
        <f>PARAM!$C$26+MAX($G$18-CHOOSE(PARAM!$B$44,MAX(0,BN973*$F$1),0),0)*RATES!$L950/12+$H$18*(PARAM!$D$51/12)*RATES!$N950/100</f>
        <v>1190.0416666666667</v>
      </c>
      <c r="BN974" s="16">
        <f t="shared" si="643"/>
        <v>-325735.84443989309</v>
      </c>
      <c r="BO974" s="15">
        <f t="shared" si="618"/>
        <v>22.170849845882874</v>
      </c>
      <c r="BP974" s="75">
        <f>BO974*(1-PARAM!$C$27)*$I$19+(MOD($B974,60)=PARAM!$B$56)*($B974&gt;(60-PARAM!$B$56))*HLOOKUP(($B974+PARAM!$B$56)/12,Loyalty,2)*$F$1*MAX(BR973,0)</f>
        <v>18.557001321003963</v>
      </c>
      <c r="BQ974" s="75">
        <f>PARAM!$C$26+MAX($G$19-CHOOSE(PARAM!$B$44,MAX(0,BR973*$F$1),0),0)*RATES!$L950/12+$H$19*(PARAM!$D$51/12)*RATES!$N950/100</f>
        <v>1190.0416666666667</v>
      </c>
      <c r="BR974" s="16">
        <f t="shared" si="644"/>
        <v>-325735.84443989309</v>
      </c>
      <c r="BS974" s="15">
        <f t="shared" si="619"/>
        <v>22.170849845882874</v>
      </c>
      <c r="BT974" s="75">
        <f>BS974*(1-PARAM!$C$27)*$I$20+(MOD($B974,60)=PARAM!$B$56)*($B974&gt;(60-PARAM!$B$56))*HLOOKUP(($B974+PARAM!$B$56)/12,Loyalty,2)*$F$1*MAX(BV973,0)</f>
        <v>18.557001321003963</v>
      </c>
      <c r="BU974" s="75">
        <f>PARAM!$C$26+MAX($G$20-CHOOSE(PARAM!$B$44,MAX(0,BV973*$F$1),0),0)*RATES!$L950/12+$H$20*(PARAM!$D$51/12)*RATES!$N950/100</f>
        <v>1190.0416666666667</v>
      </c>
      <c r="BV974" s="16">
        <f t="shared" si="645"/>
        <v>-325735.84443989309</v>
      </c>
      <c r="BW974" s="15">
        <f t="shared" si="620"/>
        <v>22.170849845882874</v>
      </c>
      <c r="BX974" s="75">
        <f>BW974*(1-PARAM!$C$27)*$I$21+(MOD($B974,60)=PARAM!$B$56)*($B974&gt;(60-PARAM!$B$56))*HLOOKUP(($B974+PARAM!$B$56)/12,Loyalty,2)*$F$1*MAX(BZ973,0)</f>
        <v>18.557001321003963</v>
      </c>
      <c r="BY974" s="75">
        <f>PARAM!$C$26+MAX($G$21-CHOOSE(PARAM!$B$44,MAX(0,BZ973*$F$1),0),0)*RATES!$L950/12+$H$21*(PARAM!$D$51/12)*RATES!$N950/100</f>
        <v>1190.0416666666667</v>
      </c>
      <c r="BZ974" s="16">
        <f t="shared" si="646"/>
        <v>-325735.84443989309</v>
      </c>
      <c r="CA974" s="15">
        <f t="shared" si="621"/>
        <v>22.170849845882874</v>
      </c>
      <c r="CB974" s="75">
        <f>CA974*(1-PARAM!$C$27)*$I$22+(MOD($B974,60)=PARAM!$B$56)*($B974&gt;(60-PARAM!$B$56))*HLOOKUP(($B974+PARAM!$B$56)/12,Loyalty,2)*$F$1*MAX(CD973,0)</f>
        <v>18.557001321003963</v>
      </c>
      <c r="CC974" s="75">
        <f>PARAM!$C$26+MAX($G$22-CHOOSE(PARAM!$B$44,MAX(0,CD973*$F$1),0),0)*RATES!$L950/12+$H$22*(PARAM!$D$51/12)*RATES!$N950/100</f>
        <v>1190.0416666666667</v>
      </c>
      <c r="CD974" s="16">
        <f t="shared" si="647"/>
        <v>-325735.84443989309</v>
      </c>
      <c r="CE974" s="33">
        <f>IF(0=MOD(B974,12/PARAM!$D$51),1,0)</f>
        <v>1</v>
      </c>
      <c r="CF974" s="15">
        <f t="shared" si="622"/>
        <v>0</v>
      </c>
      <c r="CG974" s="75">
        <f>CF974*(1-PARAM!$C$27)*$R$3+(MOD($B974/12,5)=0)*($B974&gt;60)*HLOOKUP($B974/12,Loyalty,2)*$F$1*MAX(CI973,0)</f>
        <v>0</v>
      </c>
      <c r="CH974" s="75">
        <f>PARAM!$C$26+MAX($P$3-CHOOSE(PARAM!$B$44,MAX(0,CI973*$F$1),0),0)*RATES!$L950/12+$Q$3*(PARAM!$D$51/12)*RATES!$N950/100</f>
        <v>1190.0416666666667</v>
      </c>
      <c r="CI974" s="16">
        <f>IF(CI973&gt;0,CI973*PARAM!$C$53,CI973)+CG974-CH974</f>
        <v>-343189.75000000093</v>
      </c>
      <c r="CJ974" s="15">
        <f t="shared" si="648"/>
        <v>0</v>
      </c>
      <c r="CK974" s="75">
        <f>CJ974*(1-PARAM!$C$27)*$R$4+(MOD($B974/12,5)=0)*($B974&gt;60)*HLOOKUP($B974/12,Loyalty,2)*$F$1*MAX(CM973,0)</f>
        <v>0</v>
      </c>
      <c r="CL974" s="75">
        <f>PARAM!$C$26+MAX($P$4-CHOOSE(PARAM!$B$44,MAX(0,CM973*$F$1),0),0)*RATES!$L950/12+$Q$4*(PARAM!$D$51/12)*RATES!$N950/100</f>
        <v>1190.0416666666667</v>
      </c>
      <c r="CM974" s="16">
        <f>IF(CM973&gt;0,CM973*PARAM!$C$53,CM973)+CK974-CL974</f>
        <v>-343189.75000000093</v>
      </c>
      <c r="CO974" s="176"/>
    </row>
    <row r="975" spans="1:93" x14ac:dyDescent="0.2">
      <c r="A975" t="b">
        <f t="shared" si="623"/>
        <v>0</v>
      </c>
      <c r="B975" s="33">
        <v>948</v>
      </c>
      <c r="C975" s="15">
        <f t="shared" si="624"/>
        <v>20.081305947392778</v>
      </c>
      <c r="D975" s="75">
        <f>C975*(1-PARAM!$C$27)*$I$3+(MOD($B975,60)=PARAM!$B$56)*($B975&gt;(60-PARAM!$B$56))*HLOOKUP(($B975+PARAM!$B$56)/12,Loyalty,2)*$F$1*MAX(F974,0)</f>
        <v>16.808053077967756</v>
      </c>
      <c r="E975" s="75">
        <f>PARAM!$C$26+MAX($G$3-CHOOSE(PARAM!$B$44,MAX(0,F974*$F$1),0),0)*RATES!$L951/12+$H$3*(PARAM!$D$51/12)*RATES!$N951/100</f>
        <v>1190.0416666666667</v>
      </c>
      <c r="F975" s="16">
        <f t="shared" si="625"/>
        <v>-328602.18254015932</v>
      </c>
      <c r="G975" s="15">
        <f t="shared" si="626"/>
        <v>22.035289406060361</v>
      </c>
      <c r="H975" s="75">
        <f>G975*(1-PARAM!$C$27)*$I$4+(MOD($B975,60)=PARAM!$B$56)*($B975&gt;(60-PARAM!$B$56))*HLOOKUP(($B975+PARAM!$B$56)/12,Loyalty,2)*$F$1*MAX(J974,0)</f>
        <v>18.443537232872522</v>
      </c>
      <c r="I975" s="75">
        <f>PARAM!$C$26+MAX($G$4-CHOOSE(PARAM!$B$44,MAX(0,J974*$F$1),0),0)*RATES!$L951/12+$H$4*(PARAM!$D$51/12)*RATES!$N951/100</f>
        <v>1190.0416666666667</v>
      </c>
      <c r="J975" s="16">
        <f t="shared" si="627"/>
        <v>-327017.91059718555</v>
      </c>
      <c r="K975" s="15">
        <f t="shared" si="628"/>
        <v>22.170849845882874</v>
      </c>
      <c r="L975" s="75">
        <f>K975*(1-PARAM!$C$27)*$I$5+(MOD($B975,60)=PARAM!$B$56)*($B975&gt;(60-PARAM!$B$56))*HLOOKUP(($B975+PARAM!$B$56)/12,Loyalty,2)*$F$1*MAX(N974,0)</f>
        <v>18.557001321003963</v>
      </c>
      <c r="M975" s="75">
        <f>PARAM!$C$26+MAX($G$5-CHOOSE(PARAM!$B$44,MAX(0,N974*$F$1),0),0)*RATES!$L951/12+$H$5*(PARAM!$D$51/12)*RATES!$N951/100</f>
        <v>1190.0416666666667</v>
      </c>
      <c r="N975" s="16">
        <f t="shared" si="629"/>
        <v>-326907.32910523878</v>
      </c>
      <c r="O975" s="15">
        <f t="shared" si="630"/>
        <v>22.170849845882874</v>
      </c>
      <c r="P975" s="75">
        <f>O975*(1-PARAM!$C$27)*$I$6+(MOD($B975,60)=PARAM!$B$56)*($B975&gt;(60-PARAM!$B$56))*HLOOKUP(($B975+PARAM!$B$56)/12,Loyalty,2)*$F$1*MAX(R974,0)</f>
        <v>18.557001321003963</v>
      </c>
      <c r="Q975" s="75">
        <f>PARAM!$C$26+MAX($G$6-CHOOSE(PARAM!$B$44,MAX(0,R974*$F$1),0),0)*RATES!$L951/12+$H$6*(PARAM!$D$51/12)*RATES!$N951/100</f>
        <v>1190.0416666666667</v>
      </c>
      <c r="R975" s="16">
        <f t="shared" si="631"/>
        <v>-326907.32910523878</v>
      </c>
      <c r="S975" s="15">
        <f t="shared" si="606"/>
        <v>22.170849845882874</v>
      </c>
      <c r="T975" s="75">
        <f>S975*(1-PARAM!$C$27)*$I$7+(MOD($B975,60)=PARAM!$B$56)*($B975&gt;(60-PARAM!$B$56))*HLOOKUP(($B975+PARAM!$B$56)/12,Loyalty,2)*$F$1*MAX(V974,0)</f>
        <v>18.557001321003963</v>
      </c>
      <c r="U975" s="75">
        <f>PARAM!$C$26+MAX($G$7-CHOOSE(PARAM!$B$44,MAX(0,V974*$F$1),0),0)*RATES!$L951/12+$H$7*(PARAM!$D$51/12)*RATES!$N951/100</f>
        <v>1190.0416666666667</v>
      </c>
      <c r="V975" s="16">
        <f t="shared" si="632"/>
        <v>-326907.32910523878</v>
      </c>
      <c r="W975" s="15">
        <f t="shared" si="607"/>
        <v>22.170849845882874</v>
      </c>
      <c r="X975" s="75">
        <f>W975*(1-PARAM!$C$27)*$I$8+(MOD($B975,60)=PARAM!$B$56)*($B975&gt;(60-PARAM!$B$56))*HLOOKUP(($B975+PARAM!$B$56)/12,Loyalty,2)*$F$1*MAX(Z974,0)</f>
        <v>18.557001321003963</v>
      </c>
      <c r="Y975" s="75">
        <f>PARAM!$C$26+MAX($G$8-CHOOSE(PARAM!$B$44,MAX(0,Z974*$F$1),0),0)*RATES!$L951/12+$H$8*(PARAM!$D$51/12)*RATES!$N951/100</f>
        <v>1190.0416666666667</v>
      </c>
      <c r="Z975" s="16">
        <f t="shared" si="633"/>
        <v>-326907.32910523878</v>
      </c>
      <c r="AA975" s="15">
        <f t="shared" si="608"/>
        <v>22.170849845882874</v>
      </c>
      <c r="AB975" s="75">
        <f>AA975*(1-PARAM!$C$27)*$I$9+(MOD($B975,60)=PARAM!$B$56)*($B975&gt;(60-PARAM!$B$56))*HLOOKUP(($B975+PARAM!$B$56)/12,Loyalty,2)*$F$1*MAX(AD974,0)</f>
        <v>18.557001321003963</v>
      </c>
      <c r="AC975" s="75">
        <f>PARAM!$C$26+MAX($G$9-CHOOSE(PARAM!$B$44,MAX(0,AD974*$F$1),0),0)*RATES!$L951/12+$H$9*(PARAM!$D$51/12)*RATES!$N951/100</f>
        <v>1190.0416666666667</v>
      </c>
      <c r="AD975" s="16">
        <f t="shared" si="634"/>
        <v>-326907.32910523878</v>
      </c>
      <c r="AE975" s="15">
        <f t="shared" si="609"/>
        <v>22.170849845882874</v>
      </c>
      <c r="AF975" s="75">
        <f>AE975*(1-PARAM!$C$27)*$I$10+(MOD($B975,60)=PARAM!$B$56)*($B975&gt;(60-PARAM!$B$56))*HLOOKUP(($B975+PARAM!$B$56)/12,Loyalty,2)*$F$1*MAX(AH974,0)</f>
        <v>18.557001321003963</v>
      </c>
      <c r="AG975" s="75">
        <f>PARAM!$C$26+MAX($G$10-CHOOSE(PARAM!$B$44,MAX(0,AH974*$F$1),0),0)*RATES!$L951/12+$H$10*(PARAM!$D$51/12)*RATES!$N951/100</f>
        <v>1190.0416666666667</v>
      </c>
      <c r="AH975" s="16">
        <f t="shared" si="635"/>
        <v>-326907.32910523878</v>
      </c>
      <c r="AI975" s="15">
        <f t="shared" si="610"/>
        <v>22.170849845882874</v>
      </c>
      <c r="AJ975" s="75">
        <f>AI975*(1-PARAM!$C$27)*$I$11+(MOD($B975,60)=PARAM!$B$56)*($B975&gt;(60-PARAM!$B$56))*HLOOKUP(($B975+PARAM!$B$56)/12,Loyalty,2)*$F$1*MAX(AL974,0)</f>
        <v>18.557001321003963</v>
      </c>
      <c r="AK975" s="75">
        <f>PARAM!$C$26+MAX($G$11-CHOOSE(PARAM!$B$44,MAX(0,AL974*$F$1),0),0)*RATES!$L951/12+$H$11*(PARAM!$D$51/12)*RATES!$N951/100</f>
        <v>1190.0416666666667</v>
      </c>
      <c r="AL975" s="16">
        <f t="shared" si="636"/>
        <v>-326907.32910523878</v>
      </c>
      <c r="AM975" s="15">
        <f t="shared" si="611"/>
        <v>22.170849845882874</v>
      </c>
      <c r="AN975" s="75">
        <f>AM975*(1-PARAM!$C$27)*$I$12+(MOD($B975,60)=PARAM!$B$56)*($B975&gt;(60-PARAM!$B$56))*HLOOKUP(($B975+PARAM!$B$56)/12,Loyalty,2)*$F$1*MAX(AP974,0)</f>
        <v>18.557001321003963</v>
      </c>
      <c r="AO975" s="75">
        <f>PARAM!$C$26+MAX($G$12-CHOOSE(PARAM!$B$44,MAX(0,AP974*$F$1),0),0)*RATES!$L951/12+$H$12*(PARAM!$D$51/12)*RATES!$N951/100</f>
        <v>1190.0416666666667</v>
      </c>
      <c r="AP975" s="16">
        <f t="shared" si="637"/>
        <v>-326907.32910523878</v>
      </c>
      <c r="AQ975" s="15">
        <f t="shared" si="612"/>
        <v>22.170849845882874</v>
      </c>
      <c r="AR975" s="75">
        <f>AQ975*(1-PARAM!$C$27)*$I$13+(MOD($B975,60)=PARAM!$B$56)*($B975&gt;(60-PARAM!$B$56))*HLOOKUP(($B975+PARAM!$B$56)/12,Loyalty,2)*$F$1*MAX(AT974,0)</f>
        <v>18.557001321003963</v>
      </c>
      <c r="AS975" s="75">
        <f>PARAM!$C$26+MAX($G$13-CHOOSE(PARAM!$B$44,MAX(0,AT974*$F$1),0),0)*RATES!$L951/12+$H$13*(PARAM!$D$51/12)*RATES!$N951/100</f>
        <v>1190.0416666666667</v>
      </c>
      <c r="AT975" s="16">
        <f t="shared" si="638"/>
        <v>-326907.32910523878</v>
      </c>
      <c r="AU975" s="15">
        <f t="shared" si="613"/>
        <v>22.170849845882874</v>
      </c>
      <c r="AV975" s="75">
        <f>AU975*(1-PARAM!$C$27)*$I$14+(MOD($B975,60)=PARAM!$B$56)*($B975&gt;(60-PARAM!$B$56))*HLOOKUP(($B975+PARAM!$B$56)/12,Loyalty,2)*$F$1*MAX(AX974,0)</f>
        <v>18.557001321003963</v>
      </c>
      <c r="AW975" s="75">
        <f>PARAM!$C$26+MAX($G$14-CHOOSE(PARAM!$B$44,MAX(0,AX974*$F$1),0),0)*RATES!$L951/12+$H$14*(PARAM!$D$51/12)*RATES!$N951/100</f>
        <v>1190.0416666666667</v>
      </c>
      <c r="AX975" s="16">
        <f t="shared" si="639"/>
        <v>-326907.32910523878</v>
      </c>
      <c r="AY975" s="15">
        <f t="shared" si="614"/>
        <v>22.170849845882874</v>
      </c>
      <c r="AZ975" s="75">
        <f>AY975*(1-PARAM!$C$27)*$I$15+(MOD($B975,60)=PARAM!$B$56)*($B975&gt;(60-PARAM!$B$56))*HLOOKUP(($B975+PARAM!$B$56)/12,Loyalty,2)*$F$1*MAX(BB974,0)</f>
        <v>18.557001321003963</v>
      </c>
      <c r="BA975" s="75">
        <f>PARAM!$C$26+MAX($G$15-CHOOSE(PARAM!$B$44,MAX(0,BB974*$F$1),0),0)*RATES!$L951/12+$H$15*(PARAM!$D$51/12)*RATES!$N951/100</f>
        <v>1190.0416666666667</v>
      </c>
      <c r="BB975" s="16">
        <f t="shared" si="640"/>
        <v>-326907.32910523878</v>
      </c>
      <c r="BC975" s="15">
        <f t="shared" si="615"/>
        <v>22.170849845882874</v>
      </c>
      <c r="BD975" s="75">
        <f>BC975*(1-PARAM!$C$27)*$I$16+(MOD($B975,60)=PARAM!$B$56)*($B975&gt;(60-PARAM!$B$56))*HLOOKUP(($B975+PARAM!$B$56)/12,Loyalty,2)*$F$1*MAX(BF974,0)</f>
        <v>18.557001321003963</v>
      </c>
      <c r="BE975" s="75">
        <f>PARAM!$C$26+MAX($G$16-CHOOSE(PARAM!$B$44,MAX(0,BF974*$F$1),0),0)*RATES!$L951/12+$H$16*(PARAM!$D$51/12)*RATES!$N951/100</f>
        <v>1190.0416666666667</v>
      </c>
      <c r="BF975" s="16">
        <f t="shared" si="641"/>
        <v>-326907.32910523878</v>
      </c>
      <c r="BG975" s="15">
        <f t="shared" si="616"/>
        <v>22.170849845882874</v>
      </c>
      <c r="BH975" s="75">
        <f>BG975*(1-PARAM!$C$27)*$I$17+(MOD($B975,60)=PARAM!$B$56)*($B975&gt;(60-PARAM!$B$56))*HLOOKUP(($B975+PARAM!$B$56)/12,Loyalty,2)*$F$1*MAX(BJ974,0)</f>
        <v>18.557001321003963</v>
      </c>
      <c r="BI975" s="75">
        <f>PARAM!$C$26+MAX($G$17-CHOOSE(PARAM!$B$44,MAX(0,BJ974*$F$1),0),0)*RATES!$L951/12+$H$17*(PARAM!$D$51/12)*RATES!$N951/100</f>
        <v>1190.0416666666667</v>
      </c>
      <c r="BJ975" s="16">
        <f t="shared" si="642"/>
        <v>-326907.32910523878</v>
      </c>
      <c r="BK975" s="15">
        <f t="shared" si="617"/>
        <v>22.170849845882874</v>
      </c>
      <c r="BL975" s="75">
        <f>BK975*(1-PARAM!$C$27)*$I$18+(MOD($B975,60)=PARAM!$B$56)*($B975&gt;(60-PARAM!$B$56))*HLOOKUP(($B975+PARAM!$B$56)/12,Loyalty,2)*$F$1*MAX(BN974,0)</f>
        <v>18.557001321003963</v>
      </c>
      <c r="BM975" s="75">
        <f>PARAM!$C$26+MAX($G$18-CHOOSE(PARAM!$B$44,MAX(0,BN974*$F$1),0),0)*RATES!$L951/12+$H$18*(PARAM!$D$51/12)*RATES!$N951/100</f>
        <v>1190.0416666666667</v>
      </c>
      <c r="BN975" s="16">
        <f t="shared" si="643"/>
        <v>-326907.32910523878</v>
      </c>
      <c r="BO975" s="15">
        <f t="shared" si="618"/>
        <v>22.170849845882874</v>
      </c>
      <c r="BP975" s="75">
        <f>BO975*(1-PARAM!$C$27)*$I$19+(MOD($B975,60)=PARAM!$B$56)*($B975&gt;(60-PARAM!$B$56))*HLOOKUP(($B975+PARAM!$B$56)/12,Loyalty,2)*$F$1*MAX(BR974,0)</f>
        <v>18.557001321003963</v>
      </c>
      <c r="BQ975" s="75">
        <f>PARAM!$C$26+MAX($G$19-CHOOSE(PARAM!$B$44,MAX(0,BR974*$F$1),0),0)*RATES!$L951/12+$H$19*(PARAM!$D$51/12)*RATES!$N951/100</f>
        <v>1190.0416666666667</v>
      </c>
      <c r="BR975" s="16">
        <f t="shared" si="644"/>
        <v>-326907.32910523878</v>
      </c>
      <c r="BS975" s="15">
        <f t="shared" si="619"/>
        <v>22.170849845882874</v>
      </c>
      <c r="BT975" s="75">
        <f>BS975*(1-PARAM!$C$27)*$I$20+(MOD($B975,60)=PARAM!$B$56)*($B975&gt;(60-PARAM!$B$56))*HLOOKUP(($B975+PARAM!$B$56)/12,Loyalty,2)*$F$1*MAX(BV974,0)</f>
        <v>18.557001321003963</v>
      </c>
      <c r="BU975" s="75">
        <f>PARAM!$C$26+MAX($G$20-CHOOSE(PARAM!$B$44,MAX(0,BV974*$F$1),0),0)*RATES!$L951/12+$H$20*(PARAM!$D$51/12)*RATES!$N951/100</f>
        <v>1190.0416666666667</v>
      </c>
      <c r="BV975" s="16">
        <f t="shared" si="645"/>
        <v>-326907.32910523878</v>
      </c>
      <c r="BW975" s="15">
        <f t="shared" si="620"/>
        <v>22.170849845882874</v>
      </c>
      <c r="BX975" s="75">
        <f>BW975*(1-PARAM!$C$27)*$I$21+(MOD($B975,60)=PARAM!$B$56)*($B975&gt;(60-PARAM!$B$56))*HLOOKUP(($B975+PARAM!$B$56)/12,Loyalty,2)*$F$1*MAX(BZ974,0)</f>
        <v>18.557001321003963</v>
      </c>
      <c r="BY975" s="75">
        <f>PARAM!$C$26+MAX($G$21-CHOOSE(PARAM!$B$44,MAX(0,BZ974*$F$1),0),0)*RATES!$L951/12+$H$21*(PARAM!$D$51/12)*RATES!$N951/100</f>
        <v>1190.0416666666667</v>
      </c>
      <c r="BZ975" s="16">
        <f t="shared" si="646"/>
        <v>-326907.32910523878</v>
      </c>
      <c r="CA975" s="15">
        <f t="shared" si="621"/>
        <v>22.170849845882874</v>
      </c>
      <c r="CB975" s="75">
        <f>CA975*(1-PARAM!$C$27)*$I$22+(MOD($B975,60)=PARAM!$B$56)*($B975&gt;(60-PARAM!$B$56))*HLOOKUP(($B975+PARAM!$B$56)/12,Loyalty,2)*$F$1*MAX(CD974,0)</f>
        <v>18.557001321003963</v>
      </c>
      <c r="CC975" s="75">
        <f>PARAM!$C$26+MAX($G$22-CHOOSE(PARAM!$B$44,MAX(0,CD974*$F$1),0),0)*RATES!$L951/12+$H$22*(PARAM!$D$51/12)*RATES!$N951/100</f>
        <v>1190.0416666666667</v>
      </c>
      <c r="CD975" s="16">
        <f t="shared" si="647"/>
        <v>-326907.32910523878</v>
      </c>
      <c r="CE975" s="33">
        <f>IF(0=MOD(B975,12/PARAM!$D$51),1,0)</f>
        <v>1</v>
      </c>
      <c r="CF975" s="15">
        <f t="shared" si="622"/>
        <v>0</v>
      </c>
      <c r="CG975" s="75">
        <f>CF975*(1-PARAM!$C$27)*$R$3+(MOD($B975/12,5)=0)*($B975&gt;60)*HLOOKUP($B975/12,Loyalty,2)*$F$1*MAX(CI974,0)</f>
        <v>0</v>
      </c>
      <c r="CH975" s="75">
        <f>PARAM!$C$26+MAX($P$3-CHOOSE(PARAM!$B$44,MAX(0,CI974*$F$1),0),0)*RATES!$L951/12+$Q$3*(PARAM!$D$51/12)*RATES!$N951/100</f>
        <v>1190.0416666666667</v>
      </c>
      <c r="CI975" s="16">
        <f>IF(CI974&gt;0,CI974*PARAM!$C$53,CI974)+CG975-CH975</f>
        <v>-344379.79166666762</v>
      </c>
      <c r="CJ975" s="15">
        <f t="shared" si="648"/>
        <v>0</v>
      </c>
      <c r="CK975" s="75">
        <f>CJ975*(1-PARAM!$C$27)*$R$4+(MOD($B975/12,5)=0)*($B975&gt;60)*HLOOKUP($B975/12,Loyalty,2)*$F$1*MAX(CM974,0)</f>
        <v>0</v>
      </c>
      <c r="CL975" s="75">
        <f>PARAM!$C$26+MAX($P$4-CHOOSE(PARAM!$B$44,MAX(0,CM974*$F$1),0),0)*RATES!$L951/12+$Q$4*(PARAM!$D$51/12)*RATES!$N951/100</f>
        <v>1190.0416666666667</v>
      </c>
      <c r="CM975" s="16">
        <f>IF(CM974&gt;0,CM974*PARAM!$C$53,CM974)+CK975-CL975</f>
        <v>-344379.79166666762</v>
      </c>
      <c r="CO975" s="176"/>
    </row>
    <row r="976" spans="1:93" x14ac:dyDescent="0.2">
      <c r="A976" t="b">
        <f t="shared" si="623"/>
        <v>0</v>
      </c>
      <c r="B976" s="33">
        <v>949</v>
      </c>
      <c r="C976" s="15">
        <f t="shared" si="624"/>
        <v>20.081305947392778</v>
      </c>
      <c r="D976" s="75">
        <f>C976*(1-PARAM!$C$27)*$I$3+(MOD($B976,60)=PARAM!$B$56)*($B976&gt;(60-PARAM!$B$56))*HLOOKUP(($B976+PARAM!$B$56)/12,Loyalty,2)*$F$1*MAX(F975,0)</f>
        <v>16.808053077967756</v>
      </c>
      <c r="E976" s="75">
        <f>PARAM!$C$26+MAX($G$3-CHOOSE(PARAM!$B$44,MAX(0,F975*$F$1),0),0)*RATES!$L952/12+$H$3*(PARAM!$D$51/12)*RATES!$N952/100</f>
        <v>1190.0416666666667</v>
      </c>
      <c r="F976" s="16">
        <f t="shared" si="625"/>
        <v>-329775.41615374805</v>
      </c>
      <c r="G976" s="15">
        <f t="shared" si="626"/>
        <v>22.035289406060361</v>
      </c>
      <c r="H976" s="75">
        <f>G976*(1-PARAM!$C$27)*$I$4+(MOD($B976,60)=PARAM!$B$56)*($B976&gt;(60-PARAM!$B$56))*HLOOKUP(($B976+PARAM!$B$56)/12,Loyalty,2)*$F$1*MAX(J975,0)</f>
        <v>18.443537232872522</v>
      </c>
      <c r="I976" s="75">
        <f>PARAM!$C$26+MAX($G$4-CHOOSE(PARAM!$B$44,MAX(0,J975*$F$1),0),0)*RATES!$L952/12+$H$4*(PARAM!$D$51/12)*RATES!$N952/100</f>
        <v>1190.0416666666667</v>
      </c>
      <c r="J976" s="16">
        <f t="shared" si="627"/>
        <v>-328189.50872661936</v>
      </c>
      <c r="K976" s="15">
        <f t="shared" si="628"/>
        <v>22.170849845882874</v>
      </c>
      <c r="L976" s="75">
        <f>K976*(1-PARAM!$C$27)*$I$5+(MOD($B976,60)=PARAM!$B$56)*($B976&gt;(60-PARAM!$B$56))*HLOOKUP(($B976+PARAM!$B$56)/12,Loyalty,2)*$F$1*MAX(N975,0)</f>
        <v>18.557001321003963</v>
      </c>
      <c r="M976" s="75">
        <f>PARAM!$C$26+MAX($G$5-CHOOSE(PARAM!$B$44,MAX(0,N975*$F$1),0),0)*RATES!$L952/12+$H$5*(PARAM!$D$51/12)*RATES!$N952/100</f>
        <v>1190.0416666666667</v>
      </c>
      <c r="N976" s="16">
        <f t="shared" si="629"/>
        <v>-328078.81377058447</v>
      </c>
      <c r="O976" s="15">
        <f t="shared" si="630"/>
        <v>22.170849845882874</v>
      </c>
      <c r="P976" s="75">
        <f>O976*(1-PARAM!$C$27)*$I$6+(MOD($B976,60)=PARAM!$B$56)*($B976&gt;(60-PARAM!$B$56))*HLOOKUP(($B976+PARAM!$B$56)/12,Loyalty,2)*$F$1*MAX(R975,0)</f>
        <v>18.557001321003963</v>
      </c>
      <c r="Q976" s="75">
        <f>PARAM!$C$26+MAX($G$6-CHOOSE(PARAM!$B$44,MAX(0,R975*$F$1),0),0)*RATES!$L952/12+$H$6*(PARAM!$D$51/12)*RATES!$N952/100</f>
        <v>1190.0416666666667</v>
      </c>
      <c r="R976" s="16">
        <f t="shared" si="631"/>
        <v>-328078.81377058447</v>
      </c>
      <c r="S976" s="15">
        <f t="shared" si="606"/>
        <v>22.170849845882874</v>
      </c>
      <c r="T976" s="75">
        <f>S976*(1-PARAM!$C$27)*$I$7+(MOD($B976,60)=PARAM!$B$56)*($B976&gt;(60-PARAM!$B$56))*HLOOKUP(($B976+PARAM!$B$56)/12,Loyalty,2)*$F$1*MAX(V975,0)</f>
        <v>18.557001321003963</v>
      </c>
      <c r="U976" s="75">
        <f>PARAM!$C$26+MAX($G$7-CHOOSE(PARAM!$B$44,MAX(0,V975*$F$1),0),0)*RATES!$L952/12+$H$7*(PARAM!$D$51/12)*RATES!$N952/100</f>
        <v>1190.0416666666667</v>
      </c>
      <c r="V976" s="16">
        <f t="shared" si="632"/>
        <v>-328078.81377058447</v>
      </c>
      <c r="W976" s="15">
        <f t="shared" si="607"/>
        <v>22.170849845882874</v>
      </c>
      <c r="X976" s="75">
        <f>W976*(1-PARAM!$C$27)*$I$8+(MOD($B976,60)=PARAM!$B$56)*($B976&gt;(60-PARAM!$B$56))*HLOOKUP(($B976+PARAM!$B$56)/12,Loyalty,2)*$F$1*MAX(Z975,0)</f>
        <v>18.557001321003963</v>
      </c>
      <c r="Y976" s="75">
        <f>PARAM!$C$26+MAX($G$8-CHOOSE(PARAM!$B$44,MAX(0,Z975*$F$1),0),0)*RATES!$L952/12+$H$8*(PARAM!$D$51/12)*RATES!$N952/100</f>
        <v>1190.0416666666667</v>
      </c>
      <c r="Z976" s="16">
        <f t="shared" si="633"/>
        <v>-328078.81377058447</v>
      </c>
      <c r="AA976" s="15">
        <f t="shared" si="608"/>
        <v>22.170849845882874</v>
      </c>
      <c r="AB976" s="75">
        <f>AA976*(1-PARAM!$C$27)*$I$9+(MOD($B976,60)=PARAM!$B$56)*($B976&gt;(60-PARAM!$B$56))*HLOOKUP(($B976+PARAM!$B$56)/12,Loyalty,2)*$F$1*MAX(AD975,0)</f>
        <v>18.557001321003963</v>
      </c>
      <c r="AC976" s="75">
        <f>PARAM!$C$26+MAX($G$9-CHOOSE(PARAM!$B$44,MAX(0,AD975*$F$1),0),0)*RATES!$L952/12+$H$9*(PARAM!$D$51/12)*RATES!$N952/100</f>
        <v>1190.0416666666667</v>
      </c>
      <c r="AD976" s="16">
        <f t="shared" si="634"/>
        <v>-328078.81377058447</v>
      </c>
      <c r="AE976" s="15">
        <f t="shared" si="609"/>
        <v>22.170849845882874</v>
      </c>
      <c r="AF976" s="75">
        <f>AE976*(1-PARAM!$C$27)*$I$10+(MOD($B976,60)=PARAM!$B$56)*($B976&gt;(60-PARAM!$B$56))*HLOOKUP(($B976+PARAM!$B$56)/12,Loyalty,2)*$F$1*MAX(AH975,0)</f>
        <v>18.557001321003963</v>
      </c>
      <c r="AG976" s="75">
        <f>PARAM!$C$26+MAX($G$10-CHOOSE(PARAM!$B$44,MAX(0,AH975*$F$1),0),0)*RATES!$L952/12+$H$10*(PARAM!$D$51/12)*RATES!$N952/100</f>
        <v>1190.0416666666667</v>
      </c>
      <c r="AH976" s="16">
        <f t="shared" si="635"/>
        <v>-328078.81377058447</v>
      </c>
      <c r="AI976" s="15">
        <f t="shared" si="610"/>
        <v>22.170849845882874</v>
      </c>
      <c r="AJ976" s="75">
        <f>AI976*(1-PARAM!$C$27)*$I$11+(MOD($B976,60)=PARAM!$B$56)*($B976&gt;(60-PARAM!$B$56))*HLOOKUP(($B976+PARAM!$B$56)/12,Loyalty,2)*$F$1*MAX(AL975,0)</f>
        <v>18.557001321003963</v>
      </c>
      <c r="AK976" s="75">
        <f>PARAM!$C$26+MAX($G$11-CHOOSE(PARAM!$B$44,MAX(0,AL975*$F$1),0),0)*RATES!$L952/12+$H$11*(PARAM!$D$51/12)*RATES!$N952/100</f>
        <v>1190.0416666666667</v>
      </c>
      <c r="AL976" s="16">
        <f t="shared" si="636"/>
        <v>-328078.81377058447</v>
      </c>
      <c r="AM976" s="15">
        <f t="shared" si="611"/>
        <v>22.170849845882874</v>
      </c>
      <c r="AN976" s="75">
        <f>AM976*(1-PARAM!$C$27)*$I$12+(MOD($B976,60)=PARAM!$B$56)*($B976&gt;(60-PARAM!$B$56))*HLOOKUP(($B976+PARAM!$B$56)/12,Loyalty,2)*$F$1*MAX(AP975,0)</f>
        <v>18.557001321003963</v>
      </c>
      <c r="AO976" s="75">
        <f>PARAM!$C$26+MAX($G$12-CHOOSE(PARAM!$B$44,MAX(0,AP975*$F$1),0),0)*RATES!$L952/12+$H$12*(PARAM!$D$51/12)*RATES!$N952/100</f>
        <v>1190.0416666666667</v>
      </c>
      <c r="AP976" s="16">
        <f t="shared" si="637"/>
        <v>-328078.81377058447</v>
      </c>
      <c r="AQ976" s="15">
        <f t="shared" si="612"/>
        <v>22.170849845882874</v>
      </c>
      <c r="AR976" s="75">
        <f>AQ976*(1-PARAM!$C$27)*$I$13+(MOD($B976,60)=PARAM!$B$56)*($B976&gt;(60-PARAM!$B$56))*HLOOKUP(($B976+PARAM!$B$56)/12,Loyalty,2)*$F$1*MAX(AT975,0)</f>
        <v>18.557001321003963</v>
      </c>
      <c r="AS976" s="75">
        <f>PARAM!$C$26+MAX($G$13-CHOOSE(PARAM!$B$44,MAX(0,AT975*$F$1),0),0)*RATES!$L952/12+$H$13*(PARAM!$D$51/12)*RATES!$N952/100</f>
        <v>1190.0416666666667</v>
      </c>
      <c r="AT976" s="16">
        <f t="shared" si="638"/>
        <v>-328078.81377058447</v>
      </c>
      <c r="AU976" s="15">
        <f t="shared" si="613"/>
        <v>22.170849845882874</v>
      </c>
      <c r="AV976" s="75">
        <f>AU976*(1-PARAM!$C$27)*$I$14+(MOD($B976,60)=PARAM!$B$56)*($B976&gt;(60-PARAM!$B$56))*HLOOKUP(($B976+PARAM!$B$56)/12,Loyalty,2)*$F$1*MAX(AX975,0)</f>
        <v>18.557001321003963</v>
      </c>
      <c r="AW976" s="75">
        <f>PARAM!$C$26+MAX($G$14-CHOOSE(PARAM!$B$44,MAX(0,AX975*$F$1),0),0)*RATES!$L952/12+$H$14*(PARAM!$D$51/12)*RATES!$N952/100</f>
        <v>1190.0416666666667</v>
      </c>
      <c r="AX976" s="16">
        <f t="shared" si="639"/>
        <v>-328078.81377058447</v>
      </c>
      <c r="AY976" s="15">
        <f t="shared" si="614"/>
        <v>22.170849845882874</v>
      </c>
      <c r="AZ976" s="75">
        <f>AY976*(1-PARAM!$C$27)*$I$15+(MOD($B976,60)=PARAM!$B$56)*($B976&gt;(60-PARAM!$B$56))*HLOOKUP(($B976+PARAM!$B$56)/12,Loyalty,2)*$F$1*MAX(BB975,0)</f>
        <v>18.557001321003963</v>
      </c>
      <c r="BA976" s="75">
        <f>PARAM!$C$26+MAX($G$15-CHOOSE(PARAM!$B$44,MAX(0,BB975*$F$1),0),0)*RATES!$L952/12+$H$15*(PARAM!$D$51/12)*RATES!$N952/100</f>
        <v>1190.0416666666667</v>
      </c>
      <c r="BB976" s="16">
        <f t="shared" si="640"/>
        <v>-328078.81377058447</v>
      </c>
      <c r="BC976" s="15">
        <f t="shared" si="615"/>
        <v>22.170849845882874</v>
      </c>
      <c r="BD976" s="75">
        <f>BC976*(1-PARAM!$C$27)*$I$16+(MOD($B976,60)=PARAM!$B$56)*($B976&gt;(60-PARAM!$B$56))*HLOOKUP(($B976+PARAM!$B$56)/12,Loyalty,2)*$F$1*MAX(BF975,0)</f>
        <v>18.557001321003963</v>
      </c>
      <c r="BE976" s="75">
        <f>PARAM!$C$26+MAX($G$16-CHOOSE(PARAM!$B$44,MAX(0,BF975*$F$1),0),0)*RATES!$L952/12+$H$16*(PARAM!$D$51/12)*RATES!$N952/100</f>
        <v>1190.0416666666667</v>
      </c>
      <c r="BF976" s="16">
        <f t="shared" si="641"/>
        <v>-328078.81377058447</v>
      </c>
      <c r="BG976" s="15">
        <f t="shared" si="616"/>
        <v>22.170849845882874</v>
      </c>
      <c r="BH976" s="75">
        <f>BG976*(1-PARAM!$C$27)*$I$17+(MOD($B976,60)=PARAM!$B$56)*($B976&gt;(60-PARAM!$B$56))*HLOOKUP(($B976+PARAM!$B$56)/12,Loyalty,2)*$F$1*MAX(BJ975,0)</f>
        <v>18.557001321003963</v>
      </c>
      <c r="BI976" s="75">
        <f>PARAM!$C$26+MAX($G$17-CHOOSE(PARAM!$B$44,MAX(0,BJ975*$F$1),0),0)*RATES!$L952/12+$H$17*(PARAM!$D$51/12)*RATES!$N952/100</f>
        <v>1190.0416666666667</v>
      </c>
      <c r="BJ976" s="16">
        <f t="shared" si="642"/>
        <v>-328078.81377058447</v>
      </c>
      <c r="BK976" s="15">
        <f t="shared" si="617"/>
        <v>22.170849845882874</v>
      </c>
      <c r="BL976" s="75">
        <f>BK976*(1-PARAM!$C$27)*$I$18+(MOD($B976,60)=PARAM!$B$56)*($B976&gt;(60-PARAM!$B$56))*HLOOKUP(($B976+PARAM!$B$56)/12,Loyalty,2)*$F$1*MAX(BN975,0)</f>
        <v>18.557001321003963</v>
      </c>
      <c r="BM976" s="75">
        <f>PARAM!$C$26+MAX($G$18-CHOOSE(PARAM!$B$44,MAX(0,BN975*$F$1),0),0)*RATES!$L952/12+$H$18*(PARAM!$D$51/12)*RATES!$N952/100</f>
        <v>1190.0416666666667</v>
      </c>
      <c r="BN976" s="16">
        <f t="shared" si="643"/>
        <v>-328078.81377058447</v>
      </c>
      <c r="BO976" s="15">
        <f t="shared" si="618"/>
        <v>22.170849845882874</v>
      </c>
      <c r="BP976" s="75">
        <f>BO976*(1-PARAM!$C$27)*$I$19+(MOD($B976,60)=PARAM!$B$56)*($B976&gt;(60-PARAM!$B$56))*HLOOKUP(($B976+PARAM!$B$56)/12,Loyalty,2)*$F$1*MAX(BR975,0)</f>
        <v>18.557001321003963</v>
      </c>
      <c r="BQ976" s="75">
        <f>PARAM!$C$26+MAX($G$19-CHOOSE(PARAM!$B$44,MAX(0,BR975*$F$1),0),0)*RATES!$L952/12+$H$19*(PARAM!$D$51/12)*RATES!$N952/100</f>
        <v>1190.0416666666667</v>
      </c>
      <c r="BR976" s="16">
        <f t="shared" si="644"/>
        <v>-328078.81377058447</v>
      </c>
      <c r="BS976" s="15">
        <f t="shared" si="619"/>
        <v>22.170849845882874</v>
      </c>
      <c r="BT976" s="75">
        <f>BS976*(1-PARAM!$C$27)*$I$20+(MOD($B976,60)=PARAM!$B$56)*($B976&gt;(60-PARAM!$B$56))*HLOOKUP(($B976+PARAM!$B$56)/12,Loyalty,2)*$F$1*MAX(BV975,0)</f>
        <v>18.557001321003963</v>
      </c>
      <c r="BU976" s="75">
        <f>PARAM!$C$26+MAX($G$20-CHOOSE(PARAM!$B$44,MAX(0,BV975*$F$1),0),0)*RATES!$L952/12+$H$20*(PARAM!$D$51/12)*RATES!$N952/100</f>
        <v>1190.0416666666667</v>
      </c>
      <c r="BV976" s="16">
        <f t="shared" si="645"/>
        <v>-328078.81377058447</v>
      </c>
      <c r="BW976" s="15">
        <f t="shared" si="620"/>
        <v>22.170849845882874</v>
      </c>
      <c r="BX976" s="75">
        <f>BW976*(1-PARAM!$C$27)*$I$21+(MOD($B976,60)=PARAM!$B$56)*($B976&gt;(60-PARAM!$B$56))*HLOOKUP(($B976+PARAM!$B$56)/12,Loyalty,2)*$F$1*MAX(BZ975,0)</f>
        <v>18.557001321003963</v>
      </c>
      <c r="BY976" s="75">
        <f>PARAM!$C$26+MAX($G$21-CHOOSE(PARAM!$B$44,MAX(0,BZ975*$F$1),0),0)*RATES!$L952/12+$H$21*(PARAM!$D$51/12)*RATES!$N952/100</f>
        <v>1190.0416666666667</v>
      </c>
      <c r="BZ976" s="16">
        <f t="shared" si="646"/>
        <v>-328078.81377058447</v>
      </c>
      <c r="CA976" s="15">
        <f t="shared" si="621"/>
        <v>22.170849845882874</v>
      </c>
      <c r="CB976" s="75">
        <f>CA976*(1-PARAM!$C$27)*$I$22+(MOD($B976,60)=PARAM!$B$56)*($B976&gt;(60-PARAM!$B$56))*HLOOKUP(($B976+PARAM!$B$56)/12,Loyalty,2)*$F$1*MAX(CD975,0)</f>
        <v>18.557001321003963</v>
      </c>
      <c r="CC976" s="75">
        <f>PARAM!$C$26+MAX($G$22-CHOOSE(PARAM!$B$44,MAX(0,CD975*$F$1),0),0)*RATES!$L952/12+$H$22*(PARAM!$D$51/12)*RATES!$N952/100</f>
        <v>1190.0416666666667</v>
      </c>
      <c r="CD976" s="16">
        <f t="shared" si="647"/>
        <v>-328078.81377058447</v>
      </c>
      <c r="CE976" s="33">
        <f>IF(0=MOD(B976,12/PARAM!$D$51),1,0)</f>
        <v>1</v>
      </c>
      <c r="CF976" s="15">
        <f t="shared" si="622"/>
        <v>0</v>
      </c>
      <c r="CG976" s="75">
        <f>CF976*(1-PARAM!$C$27)*$R$3+(MOD($B976/12,5)=0)*($B976&gt;60)*HLOOKUP($B976/12,Loyalty,2)*$F$1*MAX(CI975,0)</f>
        <v>0</v>
      </c>
      <c r="CH976" s="75">
        <f>PARAM!$C$26+MAX($P$3-CHOOSE(PARAM!$B$44,MAX(0,CI975*$F$1),0),0)*RATES!$L952/12+$Q$3*(PARAM!$D$51/12)*RATES!$N952/100</f>
        <v>1190.0416666666667</v>
      </c>
      <c r="CI976" s="16">
        <f>IF(CI975&gt;0,CI975*PARAM!$C$53,CI975)+CG976-CH976</f>
        <v>-345569.8333333343</v>
      </c>
      <c r="CJ976" s="15">
        <f t="shared" si="648"/>
        <v>0</v>
      </c>
      <c r="CK976" s="75">
        <f>CJ976*(1-PARAM!$C$27)*$R$4+(MOD($B976/12,5)=0)*($B976&gt;60)*HLOOKUP($B976/12,Loyalty,2)*$F$1*MAX(CM975,0)</f>
        <v>0</v>
      </c>
      <c r="CL976" s="75">
        <f>PARAM!$C$26+MAX($P$4-CHOOSE(PARAM!$B$44,MAX(0,CM975*$F$1),0),0)*RATES!$L952/12+$Q$4*(PARAM!$D$51/12)*RATES!$N952/100</f>
        <v>1190.0416666666667</v>
      </c>
      <c r="CM976" s="16">
        <f>IF(CM975&gt;0,CM975*PARAM!$C$53,CM975)+CK976-CL976</f>
        <v>-345569.8333333343</v>
      </c>
      <c r="CO976" s="176"/>
    </row>
    <row r="977" spans="1:93" x14ac:dyDescent="0.2">
      <c r="A977" t="b">
        <f t="shared" si="623"/>
        <v>0</v>
      </c>
      <c r="B977" s="33">
        <v>950</v>
      </c>
      <c r="C977" s="15">
        <f t="shared" si="624"/>
        <v>20.081305947392778</v>
      </c>
      <c r="D977" s="75">
        <f>C977*(1-PARAM!$C$27)*$I$3+(MOD($B977,60)=PARAM!$B$56)*($B977&gt;(60-PARAM!$B$56))*HLOOKUP(($B977+PARAM!$B$56)/12,Loyalty,2)*$F$1*MAX(F976,0)</f>
        <v>16.808053077967756</v>
      </c>
      <c r="E977" s="75">
        <f>PARAM!$C$26+MAX($G$3-CHOOSE(PARAM!$B$44,MAX(0,F976*$F$1),0),0)*RATES!$L953/12+$H$3*(PARAM!$D$51/12)*RATES!$N953/100</f>
        <v>1190.0416666666667</v>
      </c>
      <c r="F977" s="16">
        <f t="shared" si="625"/>
        <v>-330948.64976733678</v>
      </c>
      <c r="G977" s="15">
        <f t="shared" si="626"/>
        <v>22.035289406060361</v>
      </c>
      <c r="H977" s="75">
        <f>G977*(1-PARAM!$C$27)*$I$4+(MOD($B977,60)=PARAM!$B$56)*($B977&gt;(60-PARAM!$B$56))*HLOOKUP(($B977+PARAM!$B$56)/12,Loyalty,2)*$F$1*MAX(J976,0)</f>
        <v>18.443537232872522</v>
      </c>
      <c r="I977" s="75">
        <f>PARAM!$C$26+MAX($G$4-CHOOSE(PARAM!$B$44,MAX(0,J976*$F$1),0),0)*RATES!$L953/12+$H$4*(PARAM!$D$51/12)*RATES!$N953/100</f>
        <v>1190.0416666666667</v>
      </c>
      <c r="J977" s="16">
        <f t="shared" si="627"/>
        <v>-329361.10685605317</v>
      </c>
      <c r="K977" s="15">
        <f t="shared" si="628"/>
        <v>22.170849845882874</v>
      </c>
      <c r="L977" s="75">
        <f>K977*(1-PARAM!$C$27)*$I$5+(MOD($B977,60)=PARAM!$B$56)*($B977&gt;(60-PARAM!$B$56))*HLOOKUP(($B977+PARAM!$B$56)/12,Loyalty,2)*$F$1*MAX(N976,0)</f>
        <v>18.557001321003963</v>
      </c>
      <c r="M977" s="75">
        <f>PARAM!$C$26+MAX($G$5-CHOOSE(PARAM!$B$44,MAX(0,N976*$F$1),0),0)*RATES!$L953/12+$H$5*(PARAM!$D$51/12)*RATES!$N953/100</f>
        <v>1190.0416666666667</v>
      </c>
      <c r="N977" s="16">
        <f t="shared" si="629"/>
        <v>-329250.29843593016</v>
      </c>
      <c r="O977" s="15">
        <f t="shared" si="630"/>
        <v>22.170849845882874</v>
      </c>
      <c r="P977" s="75">
        <f>O977*(1-PARAM!$C$27)*$I$6+(MOD($B977,60)=PARAM!$B$56)*($B977&gt;(60-PARAM!$B$56))*HLOOKUP(($B977+PARAM!$B$56)/12,Loyalty,2)*$F$1*MAX(R976,0)</f>
        <v>18.557001321003963</v>
      </c>
      <c r="Q977" s="75">
        <f>PARAM!$C$26+MAX($G$6-CHOOSE(PARAM!$B$44,MAX(0,R976*$F$1),0),0)*RATES!$L953/12+$H$6*(PARAM!$D$51/12)*RATES!$N953/100</f>
        <v>1190.0416666666667</v>
      </c>
      <c r="R977" s="16">
        <f t="shared" si="631"/>
        <v>-329250.29843593016</v>
      </c>
      <c r="S977" s="15">
        <f t="shared" si="606"/>
        <v>22.170849845882874</v>
      </c>
      <c r="T977" s="75">
        <f>S977*(1-PARAM!$C$27)*$I$7+(MOD($B977,60)=PARAM!$B$56)*($B977&gt;(60-PARAM!$B$56))*HLOOKUP(($B977+PARAM!$B$56)/12,Loyalty,2)*$F$1*MAX(V976,0)</f>
        <v>18.557001321003963</v>
      </c>
      <c r="U977" s="75">
        <f>PARAM!$C$26+MAX($G$7-CHOOSE(PARAM!$B$44,MAX(0,V976*$F$1),0),0)*RATES!$L953/12+$H$7*(PARAM!$D$51/12)*RATES!$N953/100</f>
        <v>1190.0416666666667</v>
      </c>
      <c r="V977" s="16">
        <f t="shared" si="632"/>
        <v>-329250.29843593016</v>
      </c>
      <c r="W977" s="15">
        <f t="shared" si="607"/>
        <v>22.170849845882874</v>
      </c>
      <c r="X977" s="75">
        <f>W977*(1-PARAM!$C$27)*$I$8+(MOD($B977,60)=PARAM!$B$56)*($B977&gt;(60-PARAM!$B$56))*HLOOKUP(($B977+PARAM!$B$56)/12,Loyalty,2)*$F$1*MAX(Z976,0)</f>
        <v>18.557001321003963</v>
      </c>
      <c r="Y977" s="75">
        <f>PARAM!$C$26+MAX($G$8-CHOOSE(PARAM!$B$44,MAX(0,Z976*$F$1),0),0)*RATES!$L953/12+$H$8*(PARAM!$D$51/12)*RATES!$N953/100</f>
        <v>1190.0416666666667</v>
      </c>
      <c r="Z977" s="16">
        <f t="shared" si="633"/>
        <v>-329250.29843593016</v>
      </c>
      <c r="AA977" s="15">
        <f t="shared" si="608"/>
        <v>22.170849845882874</v>
      </c>
      <c r="AB977" s="75">
        <f>AA977*(1-PARAM!$C$27)*$I$9+(MOD($B977,60)=PARAM!$B$56)*($B977&gt;(60-PARAM!$B$56))*HLOOKUP(($B977+PARAM!$B$56)/12,Loyalty,2)*$F$1*MAX(AD976,0)</f>
        <v>18.557001321003963</v>
      </c>
      <c r="AC977" s="75">
        <f>PARAM!$C$26+MAX($G$9-CHOOSE(PARAM!$B$44,MAX(0,AD976*$F$1),0),0)*RATES!$L953/12+$H$9*(PARAM!$D$51/12)*RATES!$N953/100</f>
        <v>1190.0416666666667</v>
      </c>
      <c r="AD977" s="16">
        <f t="shared" si="634"/>
        <v>-329250.29843593016</v>
      </c>
      <c r="AE977" s="15">
        <f t="shared" si="609"/>
        <v>22.170849845882874</v>
      </c>
      <c r="AF977" s="75">
        <f>AE977*(1-PARAM!$C$27)*$I$10+(MOD($B977,60)=PARAM!$B$56)*($B977&gt;(60-PARAM!$B$56))*HLOOKUP(($B977+PARAM!$B$56)/12,Loyalty,2)*$F$1*MAX(AH976,0)</f>
        <v>18.557001321003963</v>
      </c>
      <c r="AG977" s="75">
        <f>PARAM!$C$26+MAX($G$10-CHOOSE(PARAM!$B$44,MAX(0,AH976*$F$1),0),0)*RATES!$L953/12+$H$10*(PARAM!$D$51/12)*RATES!$N953/100</f>
        <v>1190.0416666666667</v>
      </c>
      <c r="AH977" s="16">
        <f t="shared" si="635"/>
        <v>-329250.29843593016</v>
      </c>
      <c r="AI977" s="15">
        <f t="shared" si="610"/>
        <v>22.170849845882874</v>
      </c>
      <c r="AJ977" s="75">
        <f>AI977*(1-PARAM!$C$27)*$I$11+(MOD($B977,60)=PARAM!$B$56)*($B977&gt;(60-PARAM!$B$56))*HLOOKUP(($B977+PARAM!$B$56)/12,Loyalty,2)*$F$1*MAX(AL976,0)</f>
        <v>18.557001321003963</v>
      </c>
      <c r="AK977" s="75">
        <f>PARAM!$C$26+MAX($G$11-CHOOSE(PARAM!$B$44,MAX(0,AL976*$F$1),0),0)*RATES!$L953/12+$H$11*(PARAM!$D$51/12)*RATES!$N953/100</f>
        <v>1190.0416666666667</v>
      </c>
      <c r="AL977" s="16">
        <f t="shared" si="636"/>
        <v>-329250.29843593016</v>
      </c>
      <c r="AM977" s="15">
        <f t="shared" si="611"/>
        <v>22.170849845882874</v>
      </c>
      <c r="AN977" s="75">
        <f>AM977*(1-PARAM!$C$27)*$I$12+(MOD($B977,60)=PARAM!$B$56)*($B977&gt;(60-PARAM!$B$56))*HLOOKUP(($B977+PARAM!$B$56)/12,Loyalty,2)*$F$1*MAX(AP976,0)</f>
        <v>18.557001321003963</v>
      </c>
      <c r="AO977" s="75">
        <f>PARAM!$C$26+MAX($G$12-CHOOSE(PARAM!$B$44,MAX(0,AP976*$F$1),0),0)*RATES!$L953/12+$H$12*(PARAM!$D$51/12)*RATES!$N953/100</f>
        <v>1190.0416666666667</v>
      </c>
      <c r="AP977" s="16">
        <f t="shared" si="637"/>
        <v>-329250.29843593016</v>
      </c>
      <c r="AQ977" s="15">
        <f t="shared" si="612"/>
        <v>22.170849845882874</v>
      </c>
      <c r="AR977" s="75">
        <f>AQ977*(1-PARAM!$C$27)*$I$13+(MOD($B977,60)=PARAM!$B$56)*($B977&gt;(60-PARAM!$B$56))*HLOOKUP(($B977+PARAM!$B$56)/12,Loyalty,2)*$F$1*MAX(AT976,0)</f>
        <v>18.557001321003963</v>
      </c>
      <c r="AS977" s="75">
        <f>PARAM!$C$26+MAX($G$13-CHOOSE(PARAM!$B$44,MAX(0,AT976*$F$1),0),0)*RATES!$L953/12+$H$13*(PARAM!$D$51/12)*RATES!$N953/100</f>
        <v>1190.0416666666667</v>
      </c>
      <c r="AT977" s="16">
        <f t="shared" si="638"/>
        <v>-329250.29843593016</v>
      </c>
      <c r="AU977" s="15">
        <f t="shared" si="613"/>
        <v>22.170849845882874</v>
      </c>
      <c r="AV977" s="75">
        <f>AU977*(1-PARAM!$C$27)*$I$14+(MOD($B977,60)=PARAM!$B$56)*($B977&gt;(60-PARAM!$B$56))*HLOOKUP(($B977+PARAM!$B$56)/12,Loyalty,2)*$F$1*MAX(AX976,0)</f>
        <v>18.557001321003963</v>
      </c>
      <c r="AW977" s="75">
        <f>PARAM!$C$26+MAX($G$14-CHOOSE(PARAM!$B$44,MAX(0,AX976*$F$1),0),0)*RATES!$L953/12+$H$14*(PARAM!$D$51/12)*RATES!$N953/100</f>
        <v>1190.0416666666667</v>
      </c>
      <c r="AX977" s="16">
        <f t="shared" si="639"/>
        <v>-329250.29843593016</v>
      </c>
      <c r="AY977" s="15">
        <f t="shared" si="614"/>
        <v>22.170849845882874</v>
      </c>
      <c r="AZ977" s="75">
        <f>AY977*(1-PARAM!$C$27)*$I$15+(MOD($B977,60)=PARAM!$B$56)*($B977&gt;(60-PARAM!$B$56))*HLOOKUP(($B977+PARAM!$B$56)/12,Loyalty,2)*$F$1*MAX(BB976,0)</f>
        <v>18.557001321003963</v>
      </c>
      <c r="BA977" s="75">
        <f>PARAM!$C$26+MAX($G$15-CHOOSE(PARAM!$B$44,MAX(0,BB976*$F$1),0),0)*RATES!$L953/12+$H$15*(PARAM!$D$51/12)*RATES!$N953/100</f>
        <v>1190.0416666666667</v>
      </c>
      <c r="BB977" s="16">
        <f t="shared" si="640"/>
        <v>-329250.29843593016</v>
      </c>
      <c r="BC977" s="15">
        <f t="shared" si="615"/>
        <v>22.170849845882874</v>
      </c>
      <c r="BD977" s="75">
        <f>BC977*(1-PARAM!$C$27)*$I$16+(MOD($B977,60)=PARAM!$B$56)*($B977&gt;(60-PARAM!$B$56))*HLOOKUP(($B977+PARAM!$B$56)/12,Loyalty,2)*$F$1*MAX(BF976,0)</f>
        <v>18.557001321003963</v>
      </c>
      <c r="BE977" s="75">
        <f>PARAM!$C$26+MAX($G$16-CHOOSE(PARAM!$B$44,MAX(0,BF976*$F$1),0),0)*RATES!$L953/12+$H$16*(PARAM!$D$51/12)*RATES!$N953/100</f>
        <v>1190.0416666666667</v>
      </c>
      <c r="BF977" s="16">
        <f t="shared" si="641"/>
        <v>-329250.29843593016</v>
      </c>
      <c r="BG977" s="15">
        <f t="shared" si="616"/>
        <v>22.170849845882874</v>
      </c>
      <c r="BH977" s="75">
        <f>BG977*(1-PARAM!$C$27)*$I$17+(MOD($B977,60)=PARAM!$B$56)*($B977&gt;(60-PARAM!$B$56))*HLOOKUP(($B977+PARAM!$B$56)/12,Loyalty,2)*$F$1*MAX(BJ976,0)</f>
        <v>18.557001321003963</v>
      </c>
      <c r="BI977" s="75">
        <f>PARAM!$C$26+MAX($G$17-CHOOSE(PARAM!$B$44,MAX(0,BJ976*$F$1),0),0)*RATES!$L953/12+$H$17*(PARAM!$D$51/12)*RATES!$N953/100</f>
        <v>1190.0416666666667</v>
      </c>
      <c r="BJ977" s="16">
        <f t="shared" si="642"/>
        <v>-329250.29843593016</v>
      </c>
      <c r="BK977" s="15">
        <f t="shared" si="617"/>
        <v>22.170849845882874</v>
      </c>
      <c r="BL977" s="75">
        <f>BK977*(1-PARAM!$C$27)*$I$18+(MOD($B977,60)=PARAM!$B$56)*($B977&gt;(60-PARAM!$B$56))*HLOOKUP(($B977+PARAM!$B$56)/12,Loyalty,2)*$F$1*MAX(BN976,0)</f>
        <v>18.557001321003963</v>
      </c>
      <c r="BM977" s="75">
        <f>PARAM!$C$26+MAX($G$18-CHOOSE(PARAM!$B$44,MAX(0,BN976*$F$1),0),0)*RATES!$L953/12+$H$18*(PARAM!$D$51/12)*RATES!$N953/100</f>
        <v>1190.0416666666667</v>
      </c>
      <c r="BN977" s="16">
        <f t="shared" si="643"/>
        <v>-329250.29843593016</v>
      </c>
      <c r="BO977" s="15">
        <f t="shared" si="618"/>
        <v>22.170849845882874</v>
      </c>
      <c r="BP977" s="75">
        <f>BO977*(1-PARAM!$C$27)*$I$19+(MOD($B977,60)=PARAM!$B$56)*($B977&gt;(60-PARAM!$B$56))*HLOOKUP(($B977+PARAM!$B$56)/12,Loyalty,2)*$F$1*MAX(BR976,0)</f>
        <v>18.557001321003963</v>
      </c>
      <c r="BQ977" s="75">
        <f>PARAM!$C$26+MAX($G$19-CHOOSE(PARAM!$B$44,MAX(0,BR976*$F$1),0),0)*RATES!$L953/12+$H$19*(PARAM!$D$51/12)*RATES!$N953/100</f>
        <v>1190.0416666666667</v>
      </c>
      <c r="BR977" s="16">
        <f t="shared" si="644"/>
        <v>-329250.29843593016</v>
      </c>
      <c r="BS977" s="15">
        <f t="shared" si="619"/>
        <v>22.170849845882874</v>
      </c>
      <c r="BT977" s="75">
        <f>BS977*(1-PARAM!$C$27)*$I$20+(MOD($B977,60)=PARAM!$B$56)*($B977&gt;(60-PARAM!$B$56))*HLOOKUP(($B977+PARAM!$B$56)/12,Loyalty,2)*$F$1*MAX(BV976,0)</f>
        <v>18.557001321003963</v>
      </c>
      <c r="BU977" s="75">
        <f>PARAM!$C$26+MAX($G$20-CHOOSE(PARAM!$B$44,MAX(0,BV976*$F$1),0),0)*RATES!$L953/12+$H$20*(PARAM!$D$51/12)*RATES!$N953/100</f>
        <v>1190.0416666666667</v>
      </c>
      <c r="BV977" s="16">
        <f t="shared" si="645"/>
        <v>-329250.29843593016</v>
      </c>
      <c r="BW977" s="15">
        <f t="shared" si="620"/>
        <v>22.170849845882874</v>
      </c>
      <c r="BX977" s="75">
        <f>BW977*(1-PARAM!$C$27)*$I$21+(MOD($B977,60)=PARAM!$B$56)*($B977&gt;(60-PARAM!$B$56))*HLOOKUP(($B977+PARAM!$B$56)/12,Loyalty,2)*$F$1*MAX(BZ976,0)</f>
        <v>18.557001321003963</v>
      </c>
      <c r="BY977" s="75">
        <f>PARAM!$C$26+MAX($G$21-CHOOSE(PARAM!$B$44,MAX(0,BZ976*$F$1),0),0)*RATES!$L953/12+$H$21*(PARAM!$D$51/12)*RATES!$N953/100</f>
        <v>1190.0416666666667</v>
      </c>
      <c r="BZ977" s="16">
        <f t="shared" si="646"/>
        <v>-329250.29843593016</v>
      </c>
      <c r="CA977" s="15">
        <f t="shared" si="621"/>
        <v>22.170849845882874</v>
      </c>
      <c r="CB977" s="75">
        <f>CA977*(1-PARAM!$C$27)*$I$22+(MOD($B977,60)=PARAM!$B$56)*($B977&gt;(60-PARAM!$B$56))*HLOOKUP(($B977+PARAM!$B$56)/12,Loyalty,2)*$F$1*MAX(CD976,0)</f>
        <v>18.557001321003963</v>
      </c>
      <c r="CC977" s="75">
        <f>PARAM!$C$26+MAX($G$22-CHOOSE(PARAM!$B$44,MAX(0,CD976*$F$1),0),0)*RATES!$L953/12+$H$22*(PARAM!$D$51/12)*RATES!$N953/100</f>
        <v>1190.0416666666667</v>
      </c>
      <c r="CD977" s="16">
        <f t="shared" si="647"/>
        <v>-329250.29843593016</v>
      </c>
      <c r="CE977" s="33">
        <f>IF(0=MOD(B977,12/PARAM!$D$51),1,0)</f>
        <v>1</v>
      </c>
      <c r="CF977" s="15">
        <f t="shared" si="622"/>
        <v>0</v>
      </c>
      <c r="CG977" s="75">
        <f>CF977*(1-PARAM!$C$27)*$R$3+(MOD($B977/12,5)=0)*($B977&gt;60)*HLOOKUP($B977/12,Loyalty,2)*$F$1*MAX(CI976,0)</f>
        <v>0</v>
      </c>
      <c r="CH977" s="75">
        <f>PARAM!$C$26+MAX($P$3-CHOOSE(PARAM!$B$44,MAX(0,CI976*$F$1),0),0)*RATES!$L953/12+$Q$3*(PARAM!$D$51/12)*RATES!$N953/100</f>
        <v>1190.0416666666667</v>
      </c>
      <c r="CI977" s="16">
        <f>IF(CI976&gt;0,CI976*PARAM!$C$53,CI976)+CG977-CH977</f>
        <v>-346759.87500000099</v>
      </c>
      <c r="CJ977" s="15">
        <f t="shared" si="648"/>
        <v>0</v>
      </c>
      <c r="CK977" s="75">
        <f>CJ977*(1-PARAM!$C$27)*$R$4+(MOD($B977/12,5)=0)*($B977&gt;60)*HLOOKUP($B977/12,Loyalty,2)*$F$1*MAX(CM976,0)</f>
        <v>0</v>
      </c>
      <c r="CL977" s="75">
        <f>PARAM!$C$26+MAX($P$4-CHOOSE(PARAM!$B$44,MAX(0,CM976*$F$1),0),0)*RATES!$L953/12+$Q$4*(PARAM!$D$51/12)*RATES!$N953/100</f>
        <v>1190.0416666666667</v>
      </c>
      <c r="CM977" s="16">
        <f>IF(CM976&gt;0,CM976*PARAM!$C$53,CM976)+CK977-CL977</f>
        <v>-346759.87500000099</v>
      </c>
      <c r="CO977" s="176"/>
    </row>
    <row r="978" spans="1:93" x14ac:dyDescent="0.2">
      <c r="A978" t="b">
        <f t="shared" si="623"/>
        <v>0</v>
      </c>
      <c r="B978" s="33">
        <v>951</v>
      </c>
      <c r="C978" s="15">
        <f t="shared" si="624"/>
        <v>20.081305947392778</v>
      </c>
      <c r="D978" s="75">
        <f>C978*(1-PARAM!$C$27)*$I$3+(MOD($B978,60)=PARAM!$B$56)*($B978&gt;(60-PARAM!$B$56))*HLOOKUP(($B978+PARAM!$B$56)/12,Loyalty,2)*$F$1*MAX(F977,0)</f>
        <v>16.808053077967756</v>
      </c>
      <c r="E978" s="75">
        <f>PARAM!$C$26+MAX($G$3-CHOOSE(PARAM!$B$44,MAX(0,F977*$F$1),0),0)*RATES!$L954/12+$H$3*(PARAM!$D$51/12)*RATES!$N954/100</f>
        <v>1190.0416666666667</v>
      </c>
      <c r="F978" s="16">
        <f t="shared" si="625"/>
        <v>-332121.88338092552</v>
      </c>
      <c r="G978" s="15">
        <f t="shared" si="626"/>
        <v>22.035289406060361</v>
      </c>
      <c r="H978" s="75">
        <f>G978*(1-PARAM!$C$27)*$I$4+(MOD($B978,60)=PARAM!$B$56)*($B978&gt;(60-PARAM!$B$56))*HLOOKUP(($B978+PARAM!$B$56)/12,Loyalty,2)*$F$1*MAX(J977,0)</f>
        <v>18.443537232872522</v>
      </c>
      <c r="I978" s="75">
        <f>PARAM!$C$26+MAX($G$4-CHOOSE(PARAM!$B$44,MAX(0,J977*$F$1),0),0)*RATES!$L954/12+$H$4*(PARAM!$D$51/12)*RATES!$N954/100</f>
        <v>1190.0416666666667</v>
      </c>
      <c r="J978" s="16">
        <f t="shared" si="627"/>
        <v>-330532.70498548698</v>
      </c>
      <c r="K978" s="15">
        <f t="shared" si="628"/>
        <v>22.170849845882874</v>
      </c>
      <c r="L978" s="75">
        <f>K978*(1-PARAM!$C$27)*$I$5+(MOD($B978,60)=PARAM!$B$56)*($B978&gt;(60-PARAM!$B$56))*HLOOKUP(($B978+PARAM!$B$56)/12,Loyalty,2)*$F$1*MAX(N977,0)</f>
        <v>18.557001321003963</v>
      </c>
      <c r="M978" s="75">
        <f>PARAM!$C$26+MAX($G$5-CHOOSE(PARAM!$B$44,MAX(0,N977*$F$1),0),0)*RATES!$L954/12+$H$5*(PARAM!$D$51/12)*RATES!$N954/100</f>
        <v>1190.0416666666667</v>
      </c>
      <c r="N978" s="16">
        <f t="shared" si="629"/>
        <v>-330421.78310127585</v>
      </c>
      <c r="O978" s="15">
        <f t="shared" si="630"/>
        <v>22.170849845882874</v>
      </c>
      <c r="P978" s="75">
        <f>O978*(1-PARAM!$C$27)*$I$6+(MOD($B978,60)=PARAM!$B$56)*($B978&gt;(60-PARAM!$B$56))*HLOOKUP(($B978+PARAM!$B$56)/12,Loyalty,2)*$F$1*MAX(R977,0)</f>
        <v>18.557001321003963</v>
      </c>
      <c r="Q978" s="75">
        <f>PARAM!$C$26+MAX($G$6-CHOOSE(PARAM!$B$44,MAX(0,R977*$F$1),0),0)*RATES!$L954/12+$H$6*(PARAM!$D$51/12)*RATES!$N954/100</f>
        <v>1190.0416666666667</v>
      </c>
      <c r="R978" s="16">
        <f t="shared" si="631"/>
        <v>-330421.78310127585</v>
      </c>
      <c r="S978" s="15">
        <f t="shared" si="606"/>
        <v>22.170849845882874</v>
      </c>
      <c r="T978" s="75">
        <f>S978*(1-PARAM!$C$27)*$I$7+(MOD($B978,60)=PARAM!$B$56)*($B978&gt;(60-PARAM!$B$56))*HLOOKUP(($B978+PARAM!$B$56)/12,Loyalty,2)*$F$1*MAX(V977,0)</f>
        <v>18.557001321003963</v>
      </c>
      <c r="U978" s="75">
        <f>PARAM!$C$26+MAX($G$7-CHOOSE(PARAM!$B$44,MAX(0,V977*$F$1),0),0)*RATES!$L954/12+$H$7*(PARAM!$D$51/12)*RATES!$N954/100</f>
        <v>1190.0416666666667</v>
      </c>
      <c r="V978" s="16">
        <f t="shared" si="632"/>
        <v>-330421.78310127585</v>
      </c>
      <c r="W978" s="15">
        <f t="shared" si="607"/>
        <v>22.170849845882874</v>
      </c>
      <c r="X978" s="75">
        <f>W978*(1-PARAM!$C$27)*$I$8+(MOD($B978,60)=PARAM!$B$56)*($B978&gt;(60-PARAM!$B$56))*HLOOKUP(($B978+PARAM!$B$56)/12,Loyalty,2)*$F$1*MAX(Z977,0)</f>
        <v>18.557001321003963</v>
      </c>
      <c r="Y978" s="75">
        <f>PARAM!$C$26+MAX($G$8-CHOOSE(PARAM!$B$44,MAX(0,Z977*$F$1),0),0)*RATES!$L954/12+$H$8*(PARAM!$D$51/12)*RATES!$N954/100</f>
        <v>1190.0416666666667</v>
      </c>
      <c r="Z978" s="16">
        <f t="shared" si="633"/>
        <v>-330421.78310127585</v>
      </c>
      <c r="AA978" s="15">
        <f t="shared" si="608"/>
        <v>22.170849845882874</v>
      </c>
      <c r="AB978" s="75">
        <f>AA978*(1-PARAM!$C$27)*$I$9+(MOD($B978,60)=PARAM!$B$56)*($B978&gt;(60-PARAM!$B$56))*HLOOKUP(($B978+PARAM!$B$56)/12,Loyalty,2)*$F$1*MAX(AD977,0)</f>
        <v>18.557001321003963</v>
      </c>
      <c r="AC978" s="75">
        <f>PARAM!$C$26+MAX($G$9-CHOOSE(PARAM!$B$44,MAX(0,AD977*$F$1),0),0)*RATES!$L954/12+$H$9*(PARAM!$D$51/12)*RATES!$N954/100</f>
        <v>1190.0416666666667</v>
      </c>
      <c r="AD978" s="16">
        <f t="shared" si="634"/>
        <v>-330421.78310127585</v>
      </c>
      <c r="AE978" s="15">
        <f t="shared" si="609"/>
        <v>22.170849845882874</v>
      </c>
      <c r="AF978" s="75">
        <f>AE978*(1-PARAM!$C$27)*$I$10+(MOD($B978,60)=PARAM!$B$56)*($B978&gt;(60-PARAM!$B$56))*HLOOKUP(($B978+PARAM!$B$56)/12,Loyalty,2)*$F$1*MAX(AH977,0)</f>
        <v>18.557001321003963</v>
      </c>
      <c r="AG978" s="75">
        <f>PARAM!$C$26+MAX($G$10-CHOOSE(PARAM!$B$44,MAX(0,AH977*$F$1),0),0)*RATES!$L954/12+$H$10*(PARAM!$D$51/12)*RATES!$N954/100</f>
        <v>1190.0416666666667</v>
      </c>
      <c r="AH978" s="16">
        <f t="shared" si="635"/>
        <v>-330421.78310127585</v>
      </c>
      <c r="AI978" s="15">
        <f t="shared" si="610"/>
        <v>22.170849845882874</v>
      </c>
      <c r="AJ978" s="75">
        <f>AI978*(1-PARAM!$C$27)*$I$11+(MOD($B978,60)=PARAM!$B$56)*($B978&gt;(60-PARAM!$B$56))*HLOOKUP(($B978+PARAM!$B$56)/12,Loyalty,2)*$F$1*MAX(AL977,0)</f>
        <v>18.557001321003963</v>
      </c>
      <c r="AK978" s="75">
        <f>PARAM!$C$26+MAX($G$11-CHOOSE(PARAM!$B$44,MAX(0,AL977*$F$1),0),0)*RATES!$L954/12+$H$11*(PARAM!$D$51/12)*RATES!$N954/100</f>
        <v>1190.0416666666667</v>
      </c>
      <c r="AL978" s="16">
        <f t="shared" si="636"/>
        <v>-330421.78310127585</v>
      </c>
      <c r="AM978" s="15">
        <f t="shared" si="611"/>
        <v>22.170849845882874</v>
      </c>
      <c r="AN978" s="75">
        <f>AM978*(1-PARAM!$C$27)*$I$12+(MOD($B978,60)=PARAM!$B$56)*($B978&gt;(60-PARAM!$B$56))*HLOOKUP(($B978+PARAM!$B$56)/12,Loyalty,2)*$F$1*MAX(AP977,0)</f>
        <v>18.557001321003963</v>
      </c>
      <c r="AO978" s="75">
        <f>PARAM!$C$26+MAX($G$12-CHOOSE(PARAM!$B$44,MAX(0,AP977*$F$1),0),0)*RATES!$L954/12+$H$12*(PARAM!$D$51/12)*RATES!$N954/100</f>
        <v>1190.0416666666667</v>
      </c>
      <c r="AP978" s="16">
        <f t="shared" si="637"/>
        <v>-330421.78310127585</v>
      </c>
      <c r="AQ978" s="15">
        <f t="shared" si="612"/>
        <v>22.170849845882874</v>
      </c>
      <c r="AR978" s="75">
        <f>AQ978*(1-PARAM!$C$27)*$I$13+(MOD($B978,60)=PARAM!$B$56)*($B978&gt;(60-PARAM!$B$56))*HLOOKUP(($B978+PARAM!$B$56)/12,Loyalty,2)*$F$1*MAX(AT977,0)</f>
        <v>18.557001321003963</v>
      </c>
      <c r="AS978" s="75">
        <f>PARAM!$C$26+MAX($G$13-CHOOSE(PARAM!$B$44,MAX(0,AT977*$F$1),0),0)*RATES!$L954/12+$H$13*(PARAM!$D$51/12)*RATES!$N954/100</f>
        <v>1190.0416666666667</v>
      </c>
      <c r="AT978" s="16">
        <f t="shared" si="638"/>
        <v>-330421.78310127585</v>
      </c>
      <c r="AU978" s="15">
        <f t="shared" si="613"/>
        <v>22.170849845882874</v>
      </c>
      <c r="AV978" s="75">
        <f>AU978*(1-PARAM!$C$27)*$I$14+(MOD($B978,60)=PARAM!$B$56)*($B978&gt;(60-PARAM!$B$56))*HLOOKUP(($B978+PARAM!$B$56)/12,Loyalty,2)*$F$1*MAX(AX977,0)</f>
        <v>18.557001321003963</v>
      </c>
      <c r="AW978" s="75">
        <f>PARAM!$C$26+MAX($G$14-CHOOSE(PARAM!$B$44,MAX(0,AX977*$F$1),0),0)*RATES!$L954/12+$H$14*(PARAM!$D$51/12)*RATES!$N954/100</f>
        <v>1190.0416666666667</v>
      </c>
      <c r="AX978" s="16">
        <f t="shared" si="639"/>
        <v>-330421.78310127585</v>
      </c>
      <c r="AY978" s="15">
        <f t="shared" si="614"/>
        <v>22.170849845882874</v>
      </c>
      <c r="AZ978" s="75">
        <f>AY978*(1-PARAM!$C$27)*$I$15+(MOD($B978,60)=PARAM!$B$56)*($B978&gt;(60-PARAM!$B$56))*HLOOKUP(($B978+PARAM!$B$56)/12,Loyalty,2)*$F$1*MAX(BB977,0)</f>
        <v>18.557001321003963</v>
      </c>
      <c r="BA978" s="75">
        <f>PARAM!$C$26+MAX($G$15-CHOOSE(PARAM!$B$44,MAX(0,BB977*$F$1),0),0)*RATES!$L954/12+$H$15*(PARAM!$D$51/12)*RATES!$N954/100</f>
        <v>1190.0416666666667</v>
      </c>
      <c r="BB978" s="16">
        <f t="shared" si="640"/>
        <v>-330421.78310127585</v>
      </c>
      <c r="BC978" s="15">
        <f t="shared" si="615"/>
        <v>22.170849845882874</v>
      </c>
      <c r="BD978" s="75">
        <f>BC978*(1-PARAM!$C$27)*$I$16+(MOD($B978,60)=PARAM!$B$56)*($B978&gt;(60-PARAM!$B$56))*HLOOKUP(($B978+PARAM!$B$56)/12,Loyalty,2)*$F$1*MAX(BF977,0)</f>
        <v>18.557001321003963</v>
      </c>
      <c r="BE978" s="75">
        <f>PARAM!$C$26+MAX($G$16-CHOOSE(PARAM!$B$44,MAX(0,BF977*$F$1),0),0)*RATES!$L954/12+$H$16*(PARAM!$D$51/12)*RATES!$N954/100</f>
        <v>1190.0416666666667</v>
      </c>
      <c r="BF978" s="16">
        <f t="shared" si="641"/>
        <v>-330421.78310127585</v>
      </c>
      <c r="BG978" s="15">
        <f t="shared" si="616"/>
        <v>22.170849845882874</v>
      </c>
      <c r="BH978" s="75">
        <f>BG978*(1-PARAM!$C$27)*$I$17+(MOD($B978,60)=PARAM!$B$56)*($B978&gt;(60-PARAM!$B$56))*HLOOKUP(($B978+PARAM!$B$56)/12,Loyalty,2)*$F$1*MAX(BJ977,0)</f>
        <v>18.557001321003963</v>
      </c>
      <c r="BI978" s="75">
        <f>PARAM!$C$26+MAX($G$17-CHOOSE(PARAM!$B$44,MAX(0,BJ977*$F$1),0),0)*RATES!$L954/12+$H$17*(PARAM!$D$51/12)*RATES!$N954/100</f>
        <v>1190.0416666666667</v>
      </c>
      <c r="BJ978" s="16">
        <f t="shared" si="642"/>
        <v>-330421.78310127585</v>
      </c>
      <c r="BK978" s="15">
        <f t="shared" si="617"/>
        <v>22.170849845882874</v>
      </c>
      <c r="BL978" s="75">
        <f>BK978*(1-PARAM!$C$27)*$I$18+(MOD($B978,60)=PARAM!$B$56)*($B978&gt;(60-PARAM!$B$56))*HLOOKUP(($B978+PARAM!$B$56)/12,Loyalty,2)*$F$1*MAX(BN977,0)</f>
        <v>18.557001321003963</v>
      </c>
      <c r="BM978" s="75">
        <f>PARAM!$C$26+MAX($G$18-CHOOSE(PARAM!$B$44,MAX(0,BN977*$F$1),0),0)*RATES!$L954/12+$H$18*(PARAM!$D$51/12)*RATES!$N954/100</f>
        <v>1190.0416666666667</v>
      </c>
      <c r="BN978" s="16">
        <f t="shared" si="643"/>
        <v>-330421.78310127585</v>
      </c>
      <c r="BO978" s="15">
        <f t="shared" si="618"/>
        <v>22.170849845882874</v>
      </c>
      <c r="BP978" s="75">
        <f>BO978*(1-PARAM!$C$27)*$I$19+(MOD($B978,60)=PARAM!$B$56)*($B978&gt;(60-PARAM!$B$56))*HLOOKUP(($B978+PARAM!$B$56)/12,Loyalty,2)*$F$1*MAX(BR977,0)</f>
        <v>18.557001321003963</v>
      </c>
      <c r="BQ978" s="75">
        <f>PARAM!$C$26+MAX($G$19-CHOOSE(PARAM!$B$44,MAX(0,BR977*$F$1),0),0)*RATES!$L954/12+$H$19*(PARAM!$D$51/12)*RATES!$N954/100</f>
        <v>1190.0416666666667</v>
      </c>
      <c r="BR978" s="16">
        <f t="shared" si="644"/>
        <v>-330421.78310127585</v>
      </c>
      <c r="BS978" s="15">
        <f t="shared" si="619"/>
        <v>22.170849845882874</v>
      </c>
      <c r="BT978" s="75">
        <f>BS978*(1-PARAM!$C$27)*$I$20+(MOD($B978,60)=PARAM!$B$56)*($B978&gt;(60-PARAM!$B$56))*HLOOKUP(($B978+PARAM!$B$56)/12,Loyalty,2)*$F$1*MAX(BV977,0)</f>
        <v>18.557001321003963</v>
      </c>
      <c r="BU978" s="75">
        <f>PARAM!$C$26+MAX($G$20-CHOOSE(PARAM!$B$44,MAX(0,BV977*$F$1),0),0)*RATES!$L954/12+$H$20*(PARAM!$D$51/12)*RATES!$N954/100</f>
        <v>1190.0416666666667</v>
      </c>
      <c r="BV978" s="16">
        <f t="shared" si="645"/>
        <v>-330421.78310127585</v>
      </c>
      <c r="BW978" s="15">
        <f t="shared" si="620"/>
        <v>22.170849845882874</v>
      </c>
      <c r="BX978" s="75">
        <f>BW978*(1-PARAM!$C$27)*$I$21+(MOD($B978,60)=PARAM!$B$56)*($B978&gt;(60-PARAM!$B$56))*HLOOKUP(($B978+PARAM!$B$56)/12,Loyalty,2)*$F$1*MAX(BZ977,0)</f>
        <v>18.557001321003963</v>
      </c>
      <c r="BY978" s="75">
        <f>PARAM!$C$26+MAX($G$21-CHOOSE(PARAM!$B$44,MAX(0,BZ977*$F$1),0),0)*RATES!$L954/12+$H$21*(PARAM!$D$51/12)*RATES!$N954/100</f>
        <v>1190.0416666666667</v>
      </c>
      <c r="BZ978" s="16">
        <f t="shared" si="646"/>
        <v>-330421.78310127585</v>
      </c>
      <c r="CA978" s="15">
        <f t="shared" si="621"/>
        <v>22.170849845882874</v>
      </c>
      <c r="CB978" s="75">
        <f>CA978*(1-PARAM!$C$27)*$I$22+(MOD($B978,60)=PARAM!$B$56)*($B978&gt;(60-PARAM!$B$56))*HLOOKUP(($B978+PARAM!$B$56)/12,Loyalty,2)*$F$1*MAX(CD977,0)</f>
        <v>18.557001321003963</v>
      </c>
      <c r="CC978" s="75">
        <f>PARAM!$C$26+MAX($G$22-CHOOSE(PARAM!$B$44,MAX(0,CD977*$F$1),0),0)*RATES!$L954/12+$H$22*(PARAM!$D$51/12)*RATES!$N954/100</f>
        <v>1190.0416666666667</v>
      </c>
      <c r="CD978" s="16">
        <f t="shared" si="647"/>
        <v>-330421.78310127585</v>
      </c>
      <c r="CE978" s="33">
        <f>IF(0=MOD(B978,12/PARAM!$D$51),1,0)</f>
        <v>1</v>
      </c>
      <c r="CF978" s="15">
        <f t="shared" si="622"/>
        <v>0</v>
      </c>
      <c r="CG978" s="75">
        <f>CF978*(1-PARAM!$C$27)*$R$3+(MOD($B978/12,5)=0)*($B978&gt;60)*HLOOKUP($B978/12,Loyalty,2)*$F$1*MAX(CI977,0)</f>
        <v>0</v>
      </c>
      <c r="CH978" s="75">
        <f>PARAM!$C$26+MAX($P$3-CHOOSE(PARAM!$B$44,MAX(0,CI977*$F$1),0),0)*RATES!$L954/12+$Q$3*(PARAM!$D$51/12)*RATES!$N954/100</f>
        <v>1190.0416666666667</v>
      </c>
      <c r="CI978" s="16">
        <f>IF(CI977&gt;0,CI977*PARAM!$C$53,CI977)+CG978-CH978</f>
        <v>-347949.91666666768</v>
      </c>
      <c r="CJ978" s="15">
        <f t="shared" si="648"/>
        <v>0</v>
      </c>
      <c r="CK978" s="75">
        <f>CJ978*(1-PARAM!$C$27)*$R$4+(MOD($B978/12,5)=0)*($B978&gt;60)*HLOOKUP($B978/12,Loyalty,2)*$F$1*MAX(CM977,0)</f>
        <v>0</v>
      </c>
      <c r="CL978" s="75">
        <f>PARAM!$C$26+MAX($P$4-CHOOSE(PARAM!$B$44,MAX(0,CM977*$F$1),0),0)*RATES!$L954/12+$Q$4*(PARAM!$D$51/12)*RATES!$N954/100</f>
        <v>1190.0416666666667</v>
      </c>
      <c r="CM978" s="16">
        <f>IF(CM977&gt;0,CM977*PARAM!$C$53,CM977)+CK978-CL978</f>
        <v>-347949.91666666768</v>
      </c>
      <c r="CO978" s="176"/>
    </row>
    <row r="979" spans="1:93" x14ac:dyDescent="0.2">
      <c r="A979" t="b">
        <f t="shared" si="623"/>
        <v>0</v>
      </c>
      <c r="B979" s="33">
        <v>952</v>
      </c>
      <c r="C979" s="15">
        <f t="shared" si="624"/>
        <v>20.081305947392778</v>
      </c>
      <c r="D979" s="75">
        <f>C979*(1-PARAM!$C$27)*$I$3+(MOD($B979,60)=PARAM!$B$56)*($B979&gt;(60-PARAM!$B$56))*HLOOKUP(($B979+PARAM!$B$56)/12,Loyalty,2)*$F$1*MAX(F978,0)</f>
        <v>16.808053077967756</v>
      </c>
      <c r="E979" s="75">
        <f>PARAM!$C$26+MAX($G$3-CHOOSE(PARAM!$B$44,MAX(0,F978*$F$1),0),0)*RATES!$L955/12+$H$3*(PARAM!$D$51/12)*RATES!$N955/100</f>
        <v>1190.0416666666667</v>
      </c>
      <c r="F979" s="16">
        <f t="shared" si="625"/>
        <v>-333295.11699451425</v>
      </c>
      <c r="G979" s="15">
        <f t="shared" si="626"/>
        <v>22.035289406060361</v>
      </c>
      <c r="H979" s="75">
        <f>G979*(1-PARAM!$C$27)*$I$4+(MOD($B979,60)=PARAM!$B$56)*($B979&gt;(60-PARAM!$B$56))*HLOOKUP(($B979+PARAM!$B$56)/12,Loyalty,2)*$F$1*MAX(J978,0)</f>
        <v>18.443537232872522</v>
      </c>
      <c r="I979" s="75">
        <f>PARAM!$C$26+MAX($G$4-CHOOSE(PARAM!$B$44,MAX(0,J978*$F$1),0),0)*RATES!$L955/12+$H$4*(PARAM!$D$51/12)*RATES!$N955/100</f>
        <v>1190.0416666666667</v>
      </c>
      <c r="J979" s="16">
        <f t="shared" si="627"/>
        <v>-331704.3031149208</v>
      </c>
      <c r="K979" s="15">
        <f t="shared" si="628"/>
        <v>22.170849845882874</v>
      </c>
      <c r="L979" s="75">
        <f>K979*(1-PARAM!$C$27)*$I$5+(MOD($B979,60)=PARAM!$B$56)*($B979&gt;(60-PARAM!$B$56))*HLOOKUP(($B979+PARAM!$B$56)/12,Loyalty,2)*$F$1*MAX(N978,0)</f>
        <v>18.557001321003963</v>
      </c>
      <c r="M979" s="75">
        <f>PARAM!$C$26+MAX($G$5-CHOOSE(PARAM!$B$44,MAX(0,N978*$F$1),0),0)*RATES!$L955/12+$H$5*(PARAM!$D$51/12)*RATES!$N955/100</f>
        <v>1190.0416666666667</v>
      </c>
      <c r="N979" s="16">
        <f t="shared" si="629"/>
        <v>-331593.26776662155</v>
      </c>
      <c r="O979" s="15">
        <f t="shared" si="630"/>
        <v>22.170849845882874</v>
      </c>
      <c r="P979" s="75">
        <f>O979*(1-PARAM!$C$27)*$I$6+(MOD($B979,60)=PARAM!$B$56)*($B979&gt;(60-PARAM!$B$56))*HLOOKUP(($B979+PARAM!$B$56)/12,Loyalty,2)*$F$1*MAX(R978,0)</f>
        <v>18.557001321003963</v>
      </c>
      <c r="Q979" s="75">
        <f>PARAM!$C$26+MAX($G$6-CHOOSE(PARAM!$B$44,MAX(0,R978*$F$1),0),0)*RATES!$L955/12+$H$6*(PARAM!$D$51/12)*RATES!$N955/100</f>
        <v>1190.0416666666667</v>
      </c>
      <c r="R979" s="16">
        <f t="shared" si="631"/>
        <v>-331593.26776662155</v>
      </c>
      <c r="S979" s="15">
        <f t="shared" si="606"/>
        <v>22.170849845882874</v>
      </c>
      <c r="T979" s="75">
        <f>S979*(1-PARAM!$C$27)*$I$7+(MOD($B979,60)=PARAM!$B$56)*($B979&gt;(60-PARAM!$B$56))*HLOOKUP(($B979+PARAM!$B$56)/12,Loyalty,2)*$F$1*MAX(V978,0)</f>
        <v>18.557001321003963</v>
      </c>
      <c r="U979" s="75">
        <f>PARAM!$C$26+MAX($G$7-CHOOSE(PARAM!$B$44,MAX(0,V978*$F$1),0),0)*RATES!$L955/12+$H$7*(PARAM!$D$51/12)*RATES!$N955/100</f>
        <v>1190.0416666666667</v>
      </c>
      <c r="V979" s="16">
        <f t="shared" si="632"/>
        <v>-331593.26776662155</v>
      </c>
      <c r="W979" s="15">
        <f t="shared" si="607"/>
        <v>22.170849845882874</v>
      </c>
      <c r="X979" s="75">
        <f>W979*(1-PARAM!$C$27)*$I$8+(MOD($B979,60)=PARAM!$B$56)*($B979&gt;(60-PARAM!$B$56))*HLOOKUP(($B979+PARAM!$B$56)/12,Loyalty,2)*$F$1*MAX(Z978,0)</f>
        <v>18.557001321003963</v>
      </c>
      <c r="Y979" s="75">
        <f>PARAM!$C$26+MAX($G$8-CHOOSE(PARAM!$B$44,MAX(0,Z978*$F$1),0),0)*RATES!$L955/12+$H$8*(PARAM!$D$51/12)*RATES!$N955/100</f>
        <v>1190.0416666666667</v>
      </c>
      <c r="Z979" s="16">
        <f t="shared" si="633"/>
        <v>-331593.26776662155</v>
      </c>
      <c r="AA979" s="15">
        <f t="shared" si="608"/>
        <v>22.170849845882874</v>
      </c>
      <c r="AB979" s="75">
        <f>AA979*(1-PARAM!$C$27)*$I$9+(MOD($B979,60)=PARAM!$B$56)*($B979&gt;(60-PARAM!$B$56))*HLOOKUP(($B979+PARAM!$B$56)/12,Loyalty,2)*$F$1*MAX(AD978,0)</f>
        <v>18.557001321003963</v>
      </c>
      <c r="AC979" s="75">
        <f>PARAM!$C$26+MAX($G$9-CHOOSE(PARAM!$B$44,MAX(0,AD978*$F$1),0),0)*RATES!$L955/12+$H$9*(PARAM!$D$51/12)*RATES!$N955/100</f>
        <v>1190.0416666666667</v>
      </c>
      <c r="AD979" s="16">
        <f t="shared" si="634"/>
        <v>-331593.26776662155</v>
      </c>
      <c r="AE979" s="15">
        <f t="shared" si="609"/>
        <v>22.170849845882874</v>
      </c>
      <c r="AF979" s="75">
        <f>AE979*(1-PARAM!$C$27)*$I$10+(MOD($B979,60)=PARAM!$B$56)*($B979&gt;(60-PARAM!$B$56))*HLOOKUP(($B979+PARAM!$B$56)/12,Loyalty,2)*$F$1*MAX(AH978,0)</f>
        <v>18.557001321003963</v>
      </c>
      <c r="AG979" s="75">
        <f>PARAM!$C$26+MAX($G$10-CHOOSE(PARAM!$B$44,MAX(0,AH978*$F$1),0),0)*RATES!$L955/12+$H$10*(PARAM!$D$51/12)*RATES!$N955/100</f>
        <v>1190.0416666666667</v>
      </c>
      <c r="AH979" s="16">
        <f t="shared" si="635"/>
        <v>-331593.26776662155</v>
      </c>
      <c r="AI979" s="15">
        <f t="shared" si="610"/>
        <v>22.170849845882874</v>
      </c>
      <c r="AJ979" s="75">
        <f>AI979*(1-PARAM!$C$27)*$I$11+(MOD($B979,60)=PARAM!$B$56)*($B979&gt;(60-PARAM!$B$56))*HLOOKUP(($B979+PARAM!$B$56)/12,Loyalty,2)*$F$1*MAX(AL978,0)</f>
        <v>18.557001321003963</v>
      </c>
      <c r="AK979" s="75">
        <f>PARAM!$C$26+MAX($G$11-CHOOSE(PARAM!$B$44,MAX(0,AL978*$F$1),0),0)*RATES!$L955/12+$H$11*(PARAM!$D$51/12)*RATES!$N955/100</f>
        <v>1190.0416666666667</v>
      </c>
      <c r="AL979" s="16">
        <f t="shared" si="636"/>
        <v>-331593.26776662155</v>
      </c>
      <c r="AM979" s="15">
        <f t="shared" si="611"/>
        <v>22.170849845882874</v>
      </c>
      <c r="AN979" s="75">
        <f>AM979*(1-PARAM!$C$27)*$I$12+(MOD($B979,60)=PARAM!$B$56)*($B979&gt;(60-PARAM!$B$56))*HLOOKUP(($B979+PARAM!$B$56)/12,Loyalty,2)*$F$1*MAX(AP978,0)</f>
        <v>18.557001321003963</v>
      </c>
      <c r="AO979" s="75">
        <f>PARAM!$C$26+MAX($G$12-CHOOSE(PARAM!$B$44,MAX(0,AP978*$F$1),0),0)*RATES!$L955/12+$H$12*(PARAM!$D$51/12)*RATES!$N955/100</f>
        <v>1190.0416666666667</v>
      </c>
      <c r="AP979" s="16">
        <f t="shared" si="637"/>
        <v>-331593.26776662155</v>
      </c>
      <c r="AQ979" s="15">
        <f t="shared" si="612"/>
        <v>22.170849845882874</v>
      </c>
      <c r="AR979" s="75">
        <f>AQ979*(1-PARAM!$C$27)*$I$13+(MOD($B979,60)=PARAM!$B$56)*($B979&gt;(60-PARAM!$B$56))*HLOOKUP(($B979+PARAM!$B$56)/12,Loyalty,2)*$F$1*MAX(AT978,0)</f>
        <v>18.557001321003963</v>
      </c>
      <c r="AS979" s="75">
        <f>PARAM!$C$26+MAX($G$13-CHOOSE(PARAM!$B$44,MAX(0,AT978*$F$1),0),0)*RATES!$L955/12+$H$13*(PARAM!$D$51/12)*RATES!$N955/100</f>
        <v>1190.0416666666667</v>
      </c>
      <c r="AT979" s="16">
        <f t="shared" si="638"/>
        <v>-331593.26776662155</v>
      </c>
      <c r="AU979" s="15">
        <f t="shared" si="613"/>
        <v>22.170849845882874</v>
      </c>
      <c r="AV979" s="75">
        <f>AU979*(1-PARAM!$C$27)*$I$14+(MOD($B979,60)=PARAM!$B$56)*($B979&gt;(60-PARAM!$B$56))*HLOOKUP(($B979+PARAM!$B$56)/12,Loyalty,2)*$F$1*MAX(AX978,0)</f>
        <v>18.557001321003963</v>
      </c>
      <c r="AW979" s="75">
        <f>PARAM!$C$26+MAX($G$14-CHOOSE(PARAM!$B$44,MAX(0,AX978*$F$1),0),0)*RATES!$L955/12+$H$14*(PARAM!$D$51/12)*RATES!$N955/100</f>
        <v>1190.0416666666667</v>
      </c>
      <c r="AX979" s="16">
        <f t="shared" si="639"/>
        <v>-331593.26776662155</v>
      </c>
      <c r="AY979" s="15">
        <f t="shared" si="614"/>
        <v>22.170849845882874</v>
      </c>
      <c r="AZ979" s="75">
        <f>AY979*(1-PARAM!$C$27)*$I$15+(MOD($B979,60)=PARAM!$B$56)*($B979&gt;(60-PARAM!$B$56))*HLOOKUP(($B979+PARAM!$B$56)/12,Loyalty,2)*$F$1*MAX(BB978,0)</f>
        <v>18.557001321003963</v>
      </c>
      <c r="BA979" s="75">
        <f>PARAM!$C$26+MAX($G$15-CHOOSE(PARAM!$B$44,MAX(0,BB978*$F$1),0),0)*RATES!$L955/12+$H$15*(PARAM!$D$51/12)*RATES!$N955/100</f>
        <v>1190.0416666666667</v>
      </c>
      <c r="BB979" s="16">
        <f t="shared" si="640"/>
        <v>-331593.26776662155</v>
      </c>
      <c r="BC979" s="15">
        <f t="shared" si="615"/>
        <v>22.170849845882874</v>
      </c>
      <c r="BD979" s="75">
        <f>BC979*(1-PARAM!$C$27)*$I$16+(MOD($B979,60)=PARAM!$B$56)*($B979&gt;(60-PARAM!$B$56))*HLOOKUP(($B979+PARAM!$B$56)/12,Loyalty,2)*$F$1*MAX(BF978,0)</f>
        <v>18.557001321003963</v>
      </c>
      <c r="BE979" s="75">
        <f>PARAM!$C$26+MAX($G$16-CHOOSE(PARAM!$B$44,MAX(0,BF978*$F$1),0),0)*RATES!$L955/12+$H$16*(PARAM!$D$51/12)*RATES!$N955/100</f>
        <v>1190.0416666666667</v>
      </c>
      <c r="BF979" s="16">
        <f t="shared" si="641"/>
        <v>-331593.26776662155</v>
      </c>
      <c r="BG979" s="15">
        <f t="shared" si="616"/>
        <v>22.170849845882874</v>
      </c>
      <c r="BH979" s="75">
        <f>BG979*(1-PARAM!$C$27)*$I$17+(MOD($B979,60)=PARAM!$B$56)*($B979&gt;(60-PARAM!$B$56))*HLOOKUP(($B979+PARAM!$B$56)/12,Loyalty,2)*$F$1*MAX(BJ978,0)</f>
        <v>18.557001321003963</v>
      </c>
      <c r="BI979" s="75">
        <f>PARAM!$C$26+MAX($G$17-CHOOSE(PARAM!$B$44,MAX(0,BJ978*$F$1),0),0)*RATES!$L955/12+$H$17*(PARAM!$D$51/12)*RATES!$N955/100</f>
        <v>1190.0416666666667</v>
      </c>
      <c r="BJ979" s="16">
        <f t="shared" si="642"/>
        <v>-331593.26776662155</v>
      </c>
      <c r="BK979" s="15">
        <f t="shared" si="617"/>
        <v>22.170849845882874</v>
      </c>
      <c r="BL979" s="75">
        <f>BK979*(1-PARAM!$C$27)*$I$18+(MOD($B979,60)=PARAM!$B$56)*($B979&gt;(60-PARAM!$B$56))*HLOOKUP(($B979+PARAM!$B$56)/12,Loyalty,2)*$F$1*MAX(BN978,0)</f>
        <v>18.557001321003963</v>
      </c>
      <c r="BM979" s="75">
        <f>PARAM!$C$26+MAX($G$18-CHOOSE(PARAM!$B$44,MAX(0,BN978*$F$1),0),0)*RATES!$L955/12+$H$18*(PARAM!$D$51/12)*RATES!$N955/100</f>
        <v>1190.0416666666667</v>
      </c>
      <c r="BN979" s="16">
        <f t="shared" si="643"/>
        <v>-331593.26776662155</v>
      </c>
      <c r="BO979" s="15">
        <f t="shared" si="618"/>
        <v>22.170849845882874</v>
      </c>
      <c r="BP979" s="75">
        <f>BO979*(1-PARAM!$C$27)*$I$19+(MOD($B979,60)=PARAM!$B$56)*($B979&gt;(60-PARAM!$B$56))*HLOOKUP(($B979+PARAM!$B$56)/12,Loyalty,2)*$F$1*MAX(BR978,0)</f>
        <v>18.557001321003963</v>
      </c>
      <c r="BQ979" s="75">
        <f>PARAM!$C$26+MAX($G$19-CHOOSE(PARAM!$B$44,MAX(0,BR978*$F$1),0),0)*RATES!$L955/12+$H$19*(PARAM!$D$51/12)*RATES!$N955/100</f>
        <v>1190.0416666666667</v>
      </c>
      <c r="BR979" s="16">
        <f t="shared" si="644"/>
        <v>-331593.26776662155</v>
      </c>
      <c r="BS979" s="15">
        <f t="shared" si="619"/>
        <v>22.170849845882874</v>
      </c>
      <c r="BT979" s="75">
        <f>BS979*(1-PARAM!$C$27)*$I$20+(MOD($B979,60)=PARAM!$B$56)*($B979&gt;(60-PARAM!$B$56))*HLOOKUP(($B979+PARAM!$B$56)/12,Loyalty,2)*$F$1*MAX(BV978,0)</f>
        <v>18.557001321003963</v>
      </c>
      <c r="BU979" s="75">
        <f>PARAM!$C$26+MAX($G$20-CHOOSE(PARAM!$B$44,MAX(0,BV978*$F$1),0),0)*RATES!$L955/12+$H$20*(PARAM!$D$51/12)*RATES!$N955/100</f>
        <v>1190.0416666666667</v>
      </c>
      <c r="BV979" s="16">
        <f t="shared" si="645"/>
        <v>-331593.26776662155</v>
      </c>
      <c r="BW979" s="15">
        <f t="shared" si="620"/>
        <v>22.170849845882874</v>
      </c>
      <c r="BX979" s="75">
        <f>BW979*(1-PARAM!$C$27)*$I$21+(MOD($B979,60)=PARAM!$B$56)*($B979&gt;(60-PARAM!$B$56))*HLOOKUP(($B979+PARAM!$B$56)/12,Loyalty,2)*$F$1*MAX(BZ978,0)</f>
        <v>18.557001321003963</v>
      </c>
      <c r="BY979" s="75">
        <f>PARAM!$C$26+MAX($G$21-CHOOSE(PARAM!$B$44,MAX(0,BZ978*$F$1),0),0)*RATES!$L955/12+$H$21*(PARAM!$D$51/12)*RATES!$N955/100</f>
        <v>1190.0416666666667</v>
      </c>
      <c r="BZ979" s="16">
        <f t="shared" si="646"/>
        <v>-331593.26776662155</v>
      </c>
      <c r="CA979" s="15">
        <f t="shared" si="621"/>
        <v>22.170849845882874</v>
      </c>
      <c r="CB979" s="75">
        <f>CA979*(1-PARAM!$C$27)*$I$22+(MOD($B979,60)=PARAM!$B$56)*($B979&gt;(60-PARAM!$B$56))*HLOOKUP(($B979+PARAM!$B$56)/12,Loyalty,2)*$F$1*MAX(CD978,0)</f>
        <v>18.557001321003963</v>
      </c>
      <c r="CC979" s="75">
        <f>PARAM!$C$26+MAX($G$22-CHOOSE(PARAM!$B$44,MAX(0,CD978*$F$1),0),0)*RATES!$L955/12+$H$22*(PARAM!$D$51/12)*RATES!$N955/100</f>
        <v>1190.0416666666667</v>
      </c>
      <c r="CD979" s="16">
        <f t="shared" si="647"/>
        <v>-331593.26776662155</v>
      </c>
      <c r="CE979" s="33">
        <f>IF(0=MOD(B979,12/PARAM!$D$51),1,0)</f>
        <v>1</v>
      </c>
      <c r="CF979" s="15">
        <f t="shared" si="622"/>
        <v>0</v>
      </c>
      <c r="CG979" s="75">
        <f>CF979*(1-PARAM!$C$27)*$R$3+(MOD($B979/12,5)=0)*($B979&gt;60)*HLOOKUP($B979/12,Loyalty,2)*$F$1*MAX(CI978,0)</f>
        <v>0</v>
      </c>
      <c r="CH979" s="75">
        <f>PARAM!$C$26+MAX($P$3-CHOOSE(PARAM!$B$44,MAX(0,CI978*$F$1),0),0)*RATES!$L955/12+$Q$3*(PARAM!$D$51/12)*RATES!$N955/100</f>
        <v>1190.0416666666667</v>
      </c>
      <c r="CI979" s="16">
        <f>IF(CI978&gt;0,CI978*PARAM!$C$53,CI978)+CG979-CH979</f>
        <v>-349139.95833333436</v>
      </c>
      <c r="CJ979" s="15">
        <f t="shared" si="648"/>
        <v>0</v>
      </c>
      <c r="CK979" s="75">
        <f>CJ979*(1-PARAM!$C$27)*$R$4+(MOD($B979/12,5)=0)*($B979&gt;60)*HLOOKUP($B979/12,Loyalty,2)*$F$1*MAX(CM978,0)</f>
        <v>0</v>
      </c>
      <c r="CL979" s="75">
        <f>PARAM!$C$26+MAX($P$4-CHOOSE(PARAM!$B$44,MAX(0,CM978*$F$1),0),0)*RATES!$L955/12+$Q$4*(PARAM!$D$51/12)*RATES!$N955/100</f>
        <v>1190.0416666666667</v>
      </c>
      <c r="CM979" s="16">
        <f>IF(CM978&gt;0,CM978*PARAM!$C$53,CM978)+CK979-CL979</f>
        <v>-349139.95833333436</v>
      </c>
      <c r="CO979" s="176"/>
    </row>
    <row r="980" spans="1:93" x14ac:dyDescent="0.2">
      <c r="A980" t="b">
        <f t="shared" si="623"/>
        <v>0</v>
      </c>
      <c r="B980" s="33">
        <v>953</v>
      </c>
      <c r="C980" s="15">
        <f t="shared" si="624"/>
        <v>20.081305947392778</v>
      </c>
      <c r="D980" s="75">
        <f>C980*(1-PARAM!$C$27)*$I$3+(MOD($B980,60)=PARAM!$B$56)*($B980&gt;(60-PARAM!$B$56))*HLOOKUP(($B980+PARAM!$B$56)/12,Loyalty,2)*$F$1*MAX(F979,0)</f>
        <v>16.808053077967756</v>
      </c>
      <c r="E980" s="75">
        <f>PARAM!$C$26+MAX($G$3-CHOOSE(PARAM!$B$44,MAX(0,F979*$F$1),0),0)*RATES!$L956/12+$H$3*(PARAM!$D$51/12)*RATES!$N956/100</f>
        <v>1190.0416666666667</v>
      </c>
      <c r="F980" s="16">
        <f t="shared" si="625"/>
        <v>-334468.35060810298</v>
      </c>
      <c r="G980" s="15">
        <f t="shared" si="626"/>
        <v>22.035289406060361</v>
      </c>
      <c r="H980" s="75">
        <f>G980*(1-PARAM!$C$27)*$I$4+(MOD($B980,60)=PARAM!$B$56)*($B980&gt;(60-PARAM!$B$56))*HLOOKUP(($B980+PARAM!$B$56)/12,Loyalty,2)*$F$1*MAX(J979,0)</f>
        <v>18.443537232872522</v>
      </c>
      <c r="I980" s="75">
        <f>PARAM!$C$26+MAX($G$4-CHOOSE(PARAM!$B$44,MAX(0,J979*$F$1),0),0)*RATES!$L956/12+$H$4*(PARAM!$D$51/12)*RATES!$N956/100</f>
        <v>1190.0416666666667</v>
      </c>
      <c r="J980" s="16">
        <f t="shared" si="627"/>
        <v>-332875.90124435461</v>
      </c>
      <c r="K980" s="15">
        <f t="shared" si="628"/>
        <v>22.170849845882874</v>
      </c>
      <c r="L980" s="75">
        <f>K980*(1-PARAM!$C$27)*$I$5+(MOD($B980,60)=PARAM!$B$56)*($B980&gt;(60-PARAM!$B$56))*HLOOKUP(($B980+PARAM!$B$56)/12,Loyalty,2)*$F$1*MAX(N979,0)</f>
        <v>18.557001321003963</v>
      </c>
      <c r="M980" s="75">
        <f>PARAM!$C$26+MAX($G$5-CHOOSE(PARAM!$B$44,MAX(0,N979*$F$1),0),0)*RATES!$L956/12+$H$5*(PARAM!$D$51/12)*RATES!$N956/100</f>
        <v>1190.0416666666667</v>
      </c>
      <c r="N980" s="16">
        <f t="shared" si="629"/>
        <v>-332764.75243196724</v>
      </c>
      <c r="O980" s="15">
        <f t="shared" si="630"/>
        <v>22.170849845882874</v>
      </c>
      <c r="P980" s="75">
        <f>O980*(1-PARAM!$C$27)*$I$6+(MOD($B980,60)=PARAM!$B$56)*($B980&gt;(60-PARAM!$B$56))*HLOOKUP(($B980+PARAM!$B$56)/12,Loyalty,2)*$F$1*MAX(R979,0)</f>
        <v>18.557001321003963</v>
      </c>
      <c r="Q980" s="75">
        <f>PARAM!$C$26+MAX($G$6-CHOOSE(PARAM!$B$44,MAX(0,R979*$F$1),0),0)*RATES!$L956/12+$H$6*(PARAM!$D$51/12)*RATES!$N956/100</f>
        <v>1190.0416666666667</v>
      </c>
      <c r="R980" s="16">
        <f t="shared" si="631"/>
        <v>-332764.75243196724</v>
      </c>
      <c r="S980" s="15">
        <f t="shared" si="606"/>
        <v>22.170849845882874</v>
      </c>
      <c r="T980" s="75">
        <f>S980*(1-PARAM!$C$27)*$I$7+(MOD($B980,60)=PARAM!$B$56)*($B980&gt;(60-PARAM!$B$56))*HLOOKUP(($B980+PARAM!$B$56)/12,Loyalty,2)*$F$1*MAX(V979,0)</f>
        <v>18.557001321003963</v>
      </c>
      <c r="U980" s="75">
        <f>PARAM!$C$26+MAX($G$7-CHOOSE(PARAM!$B$44,MAX(0,V979*$F$1),0),0)*RATES!$L956/12+$H$7*(PARAM!$D$51/12)*RATES!$N956/100</f>
        <v>1190.0416666666667</v>
      </c>
      <c r="V980" s="16">
        <f t="shared" si="632"/>
        <v>-332764.75243196724</v>
      </c>
      <c r="W980" s="15">
        <f t="shared" si="607"/>
        <v>22.170849845882874</v>
      </c>
      <c r="X980" s="75">
        <f>W980*(1-PARAM!$C$27)*$I$8+(MOD($B980,60)=PARAM!$B$56)*($B980&gt;(60-PARAM!$B$56))*HLOOKUP(($B980+PARAM!$B$56)/12,Loyalty,2)*$F$1*MAX(Z979,0)</f>
        <v>18.557001321003963</v>
      </c>
      <c r="Y980" s="75">
        <f>PARAM!$C$26+MAX($G$8-CHOOSE(PARAM!$B$44,MAX(0,Z979*$F$1),0),0)*RATES!$L956/12+$H$8*(PARAM!$D$51/12)*RATES!$N956/100</f>
        <v>1190.0416666666667</v>
      </c>
      <c r="Z980" s="16">
        <f t="shared" si="633"/>
        <v>-332764.75243196724</v>
      </c>
      <c r="AA980" s="15">
        <f t="shared" si="608"/>
        <v>22.170849845882874</v>
      </c>
      <c r="AB980" s="75">
        <f>AA980*(1-PARAM!$C$27)*$I$9+(MOD($B980,60)=PARAM!$B$56)*($B980&gt;(60-PARAM!$B$56))*HLOOKUP(($B980+PARAM!$B$56)/12,Loyalty,2)*$F$1*MAX(AD979,0)</f>
        <v>18.557001321003963</v>
      </c>
      <c r="AC980" s="75">
        <f>PARAM!$C$26+MAX($G$9-CHOOSE(PARAM!$B$44,MAX(0,AD979*$F$1),0),0)*RATES!$L956/12+$H$9*(PARAM!$D$51/12)*RATES!$N956/100</f>
        <v>1190.0416666666667</v>
      </c>
      <c r="AD980" s="16">
        <f t="shared" si="634"/>
        <v>-332764.75243196724</v>
      </c>
      <c r="AE980" s="15">
        <f t="shared" si="609"/>
        <v>22.170849845882874</v>
      </c>
      <c r="AF980" s="75">
        <f>AE980*(1-PARAM!$C$27)*$I$10+(MOD($B980,60)=PARAM!$B$56)*($B980&gt;(60-PARAM!$B$56))*HLOOKUP(($B980+PARAM!$B$56)/12,Loyalty,2)*$F$1*MAX(AH979,0)</f>
        <v>18.557001321003963</v>
      </c>
      <c r="AG980" s="75">
        <f>PARAM!$C$26+MAX($G$10-CHOOSE(PARAM!$B$44,MAX(0,AH979*$F$1),0),0)*RATES!$L956/12+$H$10*(PARAM!$D$51/12)*RATES!$N956/100</f>
        <v>1190.0416666666667</v>
      </c>
      <c r="AH980" s="16">
        <f t="shared" si="635"/>
        <v>-332764.75243196724</v>
      </c>
      <c r="AI980" s="15">
        <f t="shared" si="610"/>
        <v>22.170849845882874</v>
      </c>
      <c r="AJ980" s="75">
        <f>AI980*(1-PARAM!$C$27)*$I$11+(MOD($B980,60)=PARAM!$B$56)*($B980&gt;(60-PARAM!$B$56))*HLOOKUP(($B980+PARAM!$B$56)/12,Loyalty,2)*$F$1*MAX(AL979,0)</f>
        <v>18.557001321003963</v>
      </c>
      <c r="AK980" s="75">
        <f>PARAM!$C$26+MAX($G$11-CHOOSE(PARAM!$B$44,MAX(0,AL979*$F$1),0),0)*RATES!$L956/12+$H$11*(PARAM!$D$51/12)*RATES!$N956/100</f>
        <v>1190.0416666666667</v>
      </c>
      <c r="AL980" s="16">
        <f t="shared" si="636"/>
        <v>-332764.75243196724</v>
      </c>
      <c r="AM980" s="15">
        <f t="shared" si="611"/>
        <v>22.170849845882874</v>
      </c>
      <c r="AN980" s="75">
        <f>AM980*(1-PARAM!$C$27)*$I$12+(MOD($B980,60)=PARAM!$B$56)*($B980&gt;(60-PARAM!$B$56))*HLOOKUP(($B980+PARAM!$B$56)/12,Loyalty,2)*$F$1*MAX(AP979,0)</f>
        <v>18.557001321003963</v>
      </c>
      <c r="AO980" s="75">
        <f>PARAM!$C$26+MAX($G$12-CHOOSE(PARAM!$B$44,MAX(0,AP979*$F$1),0),0)*RATES!$L956/12+$H$12*(PARAM!$D$51/12)*RATES!$N956/100</f>
        <v>1190.0416666666667</v>
      </c>
      <c r="AP980" s="16">
        <f t="shared" si="637"/>
        <v>-332764.75243196724</v>
      </c>
      <c r="AQ980" s="15">
        <f t="shared" si="612"/>
        <v>22.170849845882874</v>
      </c>
      <c r="AR980" s="75">
        <f>AQ980*(1-PARAM!$C$27)*$I$13+(MOD($B980,60)=PARAM!$B$56)*($B980&gt;(60-PARAM!$B$56))*HLOOKUP(($B980+PARAM!$B$56)/12,Loyalty,2)*$F$1*MAX(AT979,0)</f>
        <v>18.557001321003963</v>
      </c>
      <c r="AS980" s="75">
        <f>PARAM!$C$26+MAX($G$13-CHOOSE(PARAM!$B$44,MAX(0,AT979*$F$1),0),0)*RATES!$L956/12+$H$13*(PARAM!$D$51/12)*RATES!$N956/100</f>
        <v>1190.0416666666667</v>
      </c>
      <c r="AT980" s="16">
        <f t="shared" si="638"/>
        <v>-332764.75243196724</v>
      </c>
      <c r="AU980" s="15">
        <f t="shared" si="613"/>
        <v>22.170849845882874</v>
      </c>
      <c r="AV980" s="75">
        <f>AU980*(1-PARAM!$C$27)*$I$14+(MOD($B980,60)=PARAM!$B$56)*($B980&gt;(60-PARAM!$B$56))*HLOOKUP(($B980+PARAM!$B$56)/12,Loyalty,2)*$F$1*MAX(AX979,0)</f>
        <v>18.557001321003963</v>
      </c>
      <c r="AW980" s="75">
        <f>PARAM!$C$26+MAX($G$14-CHOOSE(PARAM!$B$44,MAX(0,AX979*$F$1),0),0)*RATES!$L956/12+$H$14*(PARAM!$D$51/12)*RATES!$N956/100</f>
        <v>1190.0416666666667</v>
      </c>
      <c r="AX980" s="16">
        <f t="shared" si="639"/>
        <v>-332764.75243196724</v>
      </c>
      <c r="AY980" s="15">
        <f t="shared" si="614"/>
        <v>22.170849845882874</v>
      </c>
      <c r="AZ980" s="75">
        <f>AY980*(1-PARAM!$C$27)*$I$15+(MOD($B980,60)=PARAM!$B$56)*($B980&gt;(60-PARAM!$B$56))*HLOOKUP(($B980+PARAM!$B$56)/12,Loyalty,2)*$F$1*MAX(BB979,0)</f>
        <v>18.557001321003963</v>
      </c>
      <c r="BA980" s="75">
        <f>PARAM!$C$26+MAX($G$15-CHOOSE(PARAM!$B$44,MAX(0,BB979*$F$1),0),0)*RATES!$L956/12+$H$15*(PARAM!$D$51/12)*RATES!$N956/100</f>
        <v>1190.0416666666667</v>
      </c>
      <c r="BB980" s="16">
        <f t="shared" si="640"/>
        <v>-332764.75243196724</v>
      </c>
      <c r="BC980" s="15">
        <f t="shared" si="615"/>
        <v>22.170849845882874</v>
      </c>
      <c r="BD980" s="75">
        <f>BC980*(1-PARAM!$C$27)*$I$16+(MOD($B980,60)=PARAM!$B$56)*($B980&gt;(60-PARAM!$B$56))*HLOOKUP(($B980+PARAM!$B$56)/12,Loyalty,2)*$F$1*MAX(BF979,0)</f>
        <v>18.557001321003963</v>
      </c>
      <c r="BE980" s="75">
        <f>PARAM!$C$26+MAX($G$16-CHOOSE(PARAM!$B$44,MAX(0,BF979*$F$1),0),0)*RATES!$L956/12+$H$16*(PARAM!$D$51/12)*RATES!$N956/100</f>
        <v>1190.0416666666667</v>
      </c>
      <c r="BF980" s="16">
        <f t="shared" si="641"/>
        <v>-332764.75243196724</v>
      </c>
      <c r="BG980" s="15">
        <f t="shared" si="616"/>
        <v>22.170849845882874</v>
      </c>
      <c r="BH980" s="75">
        <f>BG980*(1-PARAM!$C$27)*$I$17+(MOD($B980,60)=PARAM!$B$56)*($B980&gt;(60-PARAM!$B$56))*HLOOKUP(($B980+PARAM!$B$56)/12,Loyalty,2)*$F$1*MAX(BJ979,0)</f>
        <v>18.557001321003963</v>
      </c>
      <c r="BI980" s="75">
        <f>PARAM!$C$26+MAX($G$17-CHOOSE(PARAM!$B$44,MAX(0,BJ979*$F$1),0),0)*RATES!$L956/12+$H$17*(PARAM!$D$51/12)*RATES!$N956/100</f>
        <v>1190.0416666666667</v>
      </c>
      <c r="BJ980" s="16">
        <f t="shared" si="642"/>
        <v>-332764.75243196724</v>
      </c>
      <c r="BK980" s="15">
        <f t="shared" si="617"/>
        <v>22.170849845882874</v>
      </c>
      <c r="BL980" s="75">
        <f>BK980*(1-PARAM!$C$27)*$I$18+(MOD($B980,60)=PARAM!$B$56)*($B980&gt;(60-PARAM!$B$56))*HLOOKUP(($B980+PARAM!$B$56)/12,Loyalty,2)*$F$1*MAX(BN979,0)</f>
        <v>18.557001321003963</v>
      </c>
      <c r="BM980" s="75">
        <f>PARAM!$C$26+MAX($G$18-CHOOSE(PARAM!$B$44,MAX(0,BN979*$F$1),0),0)*RATES!$L956/12+$H$18*(PARAM!$D$51/12)*RATES!$N956/100</f>
        <v>1190.0416666666667</v>
      </c>
      <c r="BN980" s="16">
        <f t="shared" si="643"/>
        <v>-332764.75243196724</v>
      </c>
      <c r="BO980" s="15">
        <f t="shared" si="618"/>
        <v>22.170849845882874</v>
      </c>
      <c r="BP980" s="75">
        <f>BO980*(1-PARAM!$C$27)*$I$19+(MOD($B980,60)=PARAM!$B$56)*($B980&gt;(60-PARAM!$B$56))*HLOOKUP(($B980+PARAM!$B$56)/12,Loyalty,2)*$F$1*MAX(BR979,0)</f>
        <v>18.557001321003963</v>
      </c>
      <c r="BQ980" s="75">
        <f>PARAM!$C$26+MAX($G$19-CHOOSE(PARAM!$B$44,MAX(0,BR979*$F$1),0),0)*RATES!$L956/12+$H$19*(PARAM!$D$51/12)*RATES!$N956/100</f>
        <v>1190.0416666666667</v>
      </c>
      <c r="BR980" s="16">
        <f t="shared" si="644"/>
        <v>-332764.75243196724</v>
      </c>
      <c r="BS980" s="15">
        <f t="shared" si="619"/>
        <v>22.170849845882874</v>
      </c>
      <c r="BT980" s="75">
        <f>BS980*(1-PARAM!$C$27)*$I$20+(MOD($B980,60)=PARAM!$B$56)*($B980&gt;(60-PARAM!$B$56))*HLOOKUP(($B980+PARAM!$B$56)/12,Loyalty,2)*$F$1*MAX(BV979,0)</f>
        <v>18.557001321003963</v>
      </c>
      <c r="BU980" s="75">
        <f>PARAM!$C$26+MAX($G$20-CHOOSE(PARAM!$B$44,MAX(0,BV979*$F$1),0),0)*RATES!$L956/12+$H$20*(PARAM!$D$51/12)*RATES!$N956/100</f>
        <v>1190.0416666666667</v>
      </c>
      <c r="BV980" s="16">
        <f t="shared" si="645"/>
        <v>-332764.75243196724</v>
      </c>
      <c r="BW980" s="15">
        <f t="shared" si="620"/>
        <v>22.170849845882874</v>
      </c>
      <c r="BX980" s="75">
        <f>BW980*(1-PARAM!$C$27)*$I$21+(MOD($B980,60)=PARAM!$B$56)*($B980&gt;(60-PARAM!$B$56))*HLOOKUP(($B980+PARAM!$B$56)/12,Loyalty,2)*$F$1*MAX(BZ979,0)</f>
        <v>18.557001321003963</v>
      </c>
      <c r="BY980" s="75">
        <f>PARAM!$C$26+MAX($G$21-CHOOSE(PARAM!$B$44,MAX(0,BZ979*$F$1),0),0)*RATES!$L956/12+$H$21*(PARAM!$D$51/12)*RATES!$N956/100</f>
        <v>1190.0416666666667</v>
      </c>
      <c r="BZ980" s="16">
        <f t="shared" si="646"/>
        <v>-332764.75243196724</v>
      </c>
      <c r="CA980" s="15">
        <f t="shared" si="621"/>
        <v>22.170849845882874</v>
      </c>
      <c r="CB980" s="75">
        <f>CA980*(1-PARAM!$C$27)*$I$22+(MOD($B980,60)=PARAM!$B$56)*($B980&gt;(60-PARAM!$B$56))*HLOOKUP(($B980+PARAM!$B$56)/12,Loyalty,2)*$F$1*MAX(CD979,0)</f>
        <v>18.557001321003963</v>
      </c>
      <c r="CC980" s="75">
        <f>PARAM!$C$26+MAX($G$22-CHOOSE(PARAM!$B$44,MAX(0,CD979*$F$1),0),0)*RATES!$L956/12+$H$22*(PARAM!$D$51/12)*RATES!$N956/100</f>
        <v>1190.0416666666667</v>
      </c>
      <c r="CD980" s="16">
        <f t="shared" si="647"/>
        <v>-332764.75243196724</v>
      </c>
      <c r="CE980" s="33">
        <f>IF(0=MOD(B980,12/PARAM!$D$51),1,0)</f>
        <v>1</v>
      </c>
      <c r="CF980" s="15">
        <f t="shared" si="622"/>
        <v>0</v>
      </c>
      <c r="CG980" s="75">
        <f>CF980*(1-PARAM!$C$27)*$R$3+(MOD($B980/12,5)=0)*($B980&gt;60)*HLOOKUP($B980/12,Loyalty,2)*$F$1*MAX(CI979,0)</f>
        <v>0</v>
      </c>
      <c r="CH980" s="75">
        <f>PARAM!$C$26+MAX($P$3-CHOOSE(PARAM!$B$44,MAX(0,CI979*$F$1),0),0)*RATES!$L956/12+$Q$3*(PARAM!$D$51/12)*RATES!$N956/100</f>
        <v>1190.0416666666667</v>
      </c>
      <c r="CI980" s="16">
        <f>IF(CI979&gt;0,CI979*PARAM!$C$53,CI979)+CG980-CH980</f>
        <v>-350330.00000000105</v>
      </c>
      <c r="CJ980" s="15">
        <f t="shared" si="648"/>
        <v>0</v>
      </c>
      <c r="CK980" s="75">
        <f>CJ980*(1-PARAM!$C$27)*$R$4+(MOD($B980/12,5)=0)*($B980&gt;60)*HLOOKUP($B980/12,Loyalty,2)*$F$1*MAX(CM979,0)</f>
        <v>0</v>
      </c>
      <c r="CL980" s="75">
        <f>PARAM!$C$26+MAX($P$4-CHOOSE(PARAM!$B$44,MAX(0,CM979*$F$1),0),0)*RATES!$L956/12+$Q$4*(PARAM!$D$51/12)*RATES!$N956/100</f>
        <v>1190.0416666666667</v>
      </c>
      <c r="CM980" s="16">
        <f>IF(CM979&gt;0,CM979*PARAM!$C$53,CM979)+CK980-CL980</f>
        <v>-350330.00000000105</v>
      </c>
      <c r="CO980" s="176"/>
    </row>
    <row r="981" spans="1:93" x14ac:dyDescent="0.2">
      <c r="A981" t="b">
        <f t="shared" si="623"/>
        <v>0</v>
      </c>
      <c r="B981" s="33">
        <v>954</v>
      </c>
      <c r="C981" s="15">
        <f t="shared" si="624"/>
        <v>20.081305947392778</v>
      </c>
      <c r="D981" s="75">
        <f>C981*(1-PARAM!$C$27)*$I$3+(MOD($B981,60)=PARAM!$B$56)*($B981&gt;(60-PARAM!$B$56))*HLOOKUP(($B981+PARAM!$B$56)/12,Loyalty,2)*$F$1*MAX(F980,0)</f>
        <v>16.808053077967756</v>
      </c>
      <c r="E981" s="75">
        <f>PARAM!$C$26+MAX($G$3-CHOOSE(PARAM!$B$44,MAX(0,F980*$F$1),0),0)*RATES!$L957/12+$H$3*(PARAM!$D$51/12)*RATES!$N957/100</f>
        <v>1190.0416666666667</v>
      </c>
      <c r="F981" s="16">
        <f t="shared" si="625"/>
        <v>-335641.58422169171</v>
      </c>
      <c r="G981" s="15">
        <f t="shared" si="626"/>
        <v>22.035289406060361</v>
      </c>
      <c r="H981" s="75">
        <f>G981*(1-PARAM!$C$27)*$I$4+(MOD($B981,60)=PARAM!$B$56)*($B981&gt;(60-PARAM!$B$56))*HLOOKUP(($B981+PARAM!$B$56)/12,Loyalty,2)*$F$1*MAX(J980,0)</f>
        <v>18.443537232872522</v>
      </c>
      <c r="I981" s="75">
        <f>PARAM!$C$26+MAX($G$4-CHOOSE(PARAM!$B$44,MAX(0,J980*$F$1),0),0)*RATES!$L957/12+$H$4*(PARAM!$D$51/12)*RATES!$N957/100</f>
        <v>1190.0416666666667</v>
      </c>
      <c r="J981" s="16">
        <f t="shared" si="627"/>
        <v>-334047.49937378842</v>
      </c>
      <c r="K981" s="15">
        <f t="shared" si="628"/>
        <v>22.170849845882874</v>
      </c>
      <c r="L981" s="75">
        <f>K981*(1-PARAM!$C$27)*$I$5+(MOD($B981,60)=PARAM!$B$56)*($B981&gt;(60-PARAM!$B$56))*HLOOKUP(($B981+PARAM!$B$56)/12,Loyalty,2)*$F$1*MAX(N980,0)</f>
        <v>18.557001321003963</v>
      </c>
      <c r="M981" s="75">
        <f>PARAM!$C$26+MAX($G$5-CHOOSE(PARAM!$B$44,MAX(0,N980*$F$1),0),0)*RATES!$L957/12+$H$5*(PARAM!$D$51/12)*RATES!$N957/100</f>
        <v>1190.0416666666667</v>
      </c>
      <c r="N981" s="16">
        <f t="shared" si="629"/>
        <v>-333936.23709731293</v>
      </c>
      <c r="O981" s="15">
        <f t="shared" si="630"/>
        <v>22.170849845882874</v>
      </c>
      <c r="P981" s="75">
        <f>O981*(1-PARAM!$C$27)*$I$6+(MOD($B981,60)=PARAM!$B$56)*($B981&gt;(60-PARAM!$B$56))*HLOOKUP(($B981+PARAM!$B$56)/12,Loyalty,2)*$F$1*MAX(R980,0)</f>
        <v>18.557001321003963</v>
      </c>
      <c r="Q981" s="75">
        <f>PARAM!$C$26+MAX($G$6-CHOOSE(PARAM!$B$44,MAX(0,R980*$F$1),0),0)*RATES!$L957/12+$H$6*(PARAM!$D$51/12)*RATES!$N957/100</f>
        <v>1190.0416666666667</v>
      </c>
      <c r="R981" s="16">
        <f t="shared" si="631"/>
        <v>-333936.23709731293</v>
      </c>
      <c r="S981" s="15">
        <f t="shared" si="606"/>
        <v>22.170849845882874</v>
      </c>
      <c r="T981" s="75">
        <f>S981*(1-PARAM!$C$27)*$I$7+(MOD($B981,60)=PARAM!$B$56)*($B981&gt;(60-PARAM!$B$56))*HLOOKUP(($B981+PARAM!$B$56)/12,Loyalty,2)*$F$1*MAX(V980,0)</f>
        <v>18.557001321003963</v>
      </c>
      <c r="U981" s="75">
        <f>PARAM!$C$26+MAX($G$7-CHOOSE(PARAM!$B$44,MAX(0,V980*$F$1),0),0)*RATES!$L957/12+$H$7*(PARAM!$D$51/12)*RATES!$N957/100</f>
        <v>1190.0416666666667</v>
      </c>
      <c r="V981" s="16">
        <f t="shared" si="632"/>
        <v>-333936.23709731293</v>
      </c>
      <c r="W981" s="15">
        <f t="shared" si="607"/>
        <v>22.170849845882874</v>
      </c>
      <c r="X981" s="75">
        <f>W981*(1-PARAM!$C$27)*$I$8+(MOD($B981,60)=PARAM!$B$56)*($B981&gt;(60-PARAM!$B$56))*HLOOKUP(($B981+PARAM!$B$56)/12,Loyalty,2)*$F$1*MAX(Z980,0)</f>
        <v>18.557001321003963</v>
      </c>
      <c r="Y981" s="75">
        <f>PARAM!$C$26+MAX($G$8-CHOOSE(PARAM!$B$44,MAX(0,Z980*$F$1),0),0)*RATES!$L957/12+$H$8*(PARAM!$D$51/12)*RATES!$N957/100</f>
        <v>1190.0416666666667</v>
      </c>
      <c r="Z981" s="16">
        <f t="shared" si="633"/>
        <v>-333936.23709731293</v>
      </c>
      <c r="AA981" s="15">
        <f t="shared" si="608"/>
        <v>22.170849845882874</v>
      </c>
      <c r="AB981" s="75">
        <f>AA981*(1-PARAM!$C$27)*$I$9+(MOD($B981,60)=PARAM!$B$56)*($B981&gt;(60-PARAM!$B$56))*HLOOKUP(($B981+PARAM!$B$56)/12,Loyalty,2)*$F$1*MAX(AD980,0)</f>
        <v>18.557001321003963</v>
      </c>
      <c r="AC981" s="75">
        <f>PARAM!$C$26+MAX($G$9-CHOOSE(PARAM!$B$44,MAX(0,AD980*$F$1),0),0)*RATES!$L957/12+$H$9*(PARAM!$D$51/12)*RATES!$N957/100</f>
        <v>1190.0416666666667</v>
      </c>
      <c r="AD981" s="16">
        <f t="shared" si="634"/>
        <v>-333936.23709731293</v>
      </c>
      <c r="AE981" s="15">
        <f t="shared" si="609"/>
        <v>22.170849845882874</v>
      </c>
      <c r="AF981" s="75">
        <f>AE981*(1-PARAM!$C$27)*$I$10+(MOD($B981,60)=PARAM!$B$56)*($B981&gt;(60-PARAM!$B$56))*HLOOKUP(($B981+PARAM!$B$56)/12,Loyalty,2)*$F$1*MAX(AH980,0)</f>
        <v>18.557001321003963</v>
      </c>
      <c r="AG981" s="75">
        <f>PARAM!$C$26+MAX($G$10-CHOOSE(PARAM!$B$44,MAX(0,AH980*$F$1),0),0)*RATES!$L957/12+$H$10*(PARAM!$D$51/12)*RATES!$N957/100</f>
        <v>1190.0416666666667</v>
      </c>
      <c r="AH981" s="16">
        <f t="shared" si="635"/>
        <v>-333936.23709731293</v>
      </c>
      <c r="AI981" s="15">
        <f t="shared" si="610"/>
        <v>22.170849845882874</v>
      </c>
      <c r="AJ981" s="75">
        <f>AI981*(1-PARAM!$C$27)*$I$11+(MOD($B981,60)=PARAM!$B$56)*($B981&gt;(60-PARAM!$B$56))*HLOOKUP(($B981+PARAM!$B$56)/12,Loyalty,2)*$F$1*MAX(AL980,0)</f>
        <v>18.557001321003963</v>
      </c>
      <c r="AK981" s="75">
        <f>PARAM!$C$26+MAX($G$11-CHOOSE(PARAM!$B$44,MAX(0,AL980*$F$1),0),0)*RATES!$L957/12+$H$11*(PARAM!$D$51/12)*RATES!$N957/100</f>
        <v>1190.0416666666667</v>
      </c>
      <c r="AL981" s="16">
        <f t="shared" si="636"/>
        <v>-333936.23709731293</v>
      </c>
      <c r="AM981" s="15">
        <f t="shared" si="611"/>
        <v>22.170849845882874</v>
      </c>
      <c r="AN981" s="75">
        <f>AM981*(1-PARAM!$C$27)*$I$12+(MOD($B981,60)=PARAM!$B$56)*($B981&gt;(60-PARAM!$B$56))*HLOOKUP(($B981+PARAM!$B$56)/12,Loyalty,2)*$F$1*MAX(AP980,0)</f>
        <v>18.557001321003963</v>
      </c>
      <c r="AO981" s="75">
        <f>PARAM!$C$26+MAX($G$12-CHOOSE(PARAM!$B$44,MAX(0,AP980*$F$1),0),0)*RATES!$L957/12+$H$12*(PARAM!$D$51/12)*RATES!$N957/100</f>
        <v>1190.0416666666667</v>
      </c>
      <c r="AP981" s="16">
        <f t="shared" si="637"/>
        <v>-333936.23709731293</v>
      </c>
      <c r="AQ981" s="15">
        <f t="shared" si="612"/>
        <v>22.170849845882874</v>
      </c>
      <c r="AR981" s="75">
        <f>AQ981*(1-PARAM!$C$27)*$I$13+(MOD($B981,60)=PARAM!$B$56)*($B981&gt;(60-PARAM!$B$56))*HLOOKUP(($B981+PARAM!$B$56)/12,Loyalty,2)*$F$1*MAX(AT980,0)</f>
        <v>18.557001321003963</v>
      </c>
      <c r="AS981" s="75">
        <f>PARAM!$C$26+MAX($G$13-CHOOSE(PARAM!$B$44,MAX(0,AT980*$F$1),0),0)*RATES!$L957/12+$H$13*(PARAM!$D$51/12)*RATES!$N957/100</f>
        <v>1190.0416666666667</v>
      </c>
      <c r="AT981" s="16">
        <f t="shared" si="638"/>
        <v>-333936.23709731293</v>
      </c>
      <c r="AU981" s="15">
        <f t="shared" si="613"/>
        <v>22.170849845882874</v>
      </c>
      <c r="AV981" s="75">
        <f>AU981*(1-PARAM!$C$27)*$I$14+(MOD($B981,60)=PARAM!$B$56)*($B981&gt;(60-PARAM!$B$56))*HLOOKUP(($B981+PARAM!$B$56)/12,Loyalty,2)*$F$1*MAX(AX980,0)</f>
        <v>18.557001321003963</v>
      </c>
      <c r="AW981" s="75">
        <f>PARAM!$C$26+MAX($G$14-CHOOSE(PARAM!$B$44,MAX(0,AX980*$F$1),0),0)*RATES!$L957/12+$H$14*(PARAM!$D$51/12)*RATES!$N957/100</f>
        <v>1190.0416666666667</v>
      </c>
      <c r="AX981" s="16">
        <f t="shared" si="639"/>
        <v>-333936.23709731293</v>
      </c>
      <c r="AY981" s="15">
        <f t="shared" si="614"/>
        <v>22.170849845882874</v>
      </c>
      <c r="AZ981" s="75">
        <f>AY981*(1-PARAM!$C$27)*$I$15+(MOD($B981,60)=PARAM!$B$56)*($B981&gt;(60-PARAM!$B$56))*HLOOKUP(($B981+PARAM!$B$56)/12,Loyalty,2)*$F$1*MAX(BB980,0)</f>
        <v>18.557001321003963</v>
      </c>
      <c r="BA981" s="75">
        <f>PARAM!$C$26+MAX($G$15-CHOOSE(PARAM!$B$44,MAX(0,BB980*$F$1),0),0)*RATES!$L957/12+$H$15*(PARAM!$D$51/12)*RATES!$N957/100</f>
        <v>1190.0416666666667</v>
      </c>
      <c r="BB981" s="16">
        <f t="shared" si="640"/>
        <v>-333936.23709731293</v>
      </c>
      <c r="BC981" s="15">
        <f t="shared" si="615"/>
        <v>22.170849845882874</v>
      </c>
      <c r="BD981" s="75">
        <f>BC981*(1-PARAM!$C$27)*$I$16+(MOD($B981,60)=PARAM!$B$56)*($B981&gt;(60-PARAM!$B$56))*HLOOKUP(($B981+PARAM!$B$56)/12,Loyalty,2)*$F$1*MAX(BF980,0)</f>
        <v>18.557001321003963</v>
      </c>
      <c r="BE981" s="75">
        <f>PARAM!$C$26+MAX($G$16-CHOOSE(PARAM!$B$44,MAX(0,BF980*$F$1),0),0)*RATES!$L957/12+$H$16*(PARAM!$D$51/12)*RATES!$N957/100</f>
        <v>1190.0416666666667</v>
      </c>
      <c r="BF981" s="16">
        <f t="shared" si="641"/>
        <v>-333936.23709731293</v>
      </c>
      <c r="BG981" s="15">
        <f t="shared" si="616"/>
        <v>22.170849845882874</v>
      </c>
      <c r="BH981" s="75">
        <f>BG981*(1-PARAM!$C$27)*$I$17+(MOD($B981,60)=PARAM!$B$56)*($B981&gt;(60-PARAM!$B$56))*HLOOKUP(($B981+PARAM!$B$56)/12,Loyalty,2)*$F$1*MAX(BJ980,0)</f>
        <v>18.557001321003963</v>
      </c>
      <c r="BI981" s="75">
        <f>PARAM!$C$26+MAX($G$17-CHOOSE(PARAM!$B$44,MAX(0,BJ980*$F$1),0),0)*RATES!$L957/12+$H$17*(PARAM!$D$51/12)*RATES!$N957/100</f>
        <v>1190.0416666666667</v>
      </c>
      <c r="BJ981" s="16">
        <f t="shared" si="642"/>
        <v>-333936.23709731293</v>
      </c>
      <c r="BK981" s="15">
        <f t="shared" si="617"/>
        <v>22.170849845882874</v>
      </c>
      <c r="BL981" s="75">
        <f>BK981*(1-PARAM!$C$27)*$I$18+(MOD($B981,60)=PARAM!$B$56)*($B981&gt;(60-PARAM!$B$56))*HLOOKUP(($B981+PARAM!$B$56)/12,Loyalty,2)*$F$1*MAX(BN980,0)</f>
        <v>18.557001321003963</v>
      </c>
      <c r="BM981" s="75">
        <f>PARAM!$C$26+MAX($G$18-CHOOSE(PARAM!$B$44,MAX(0,BN980*$F$1),0),0)*RATES!$L957/12+$H$18*(PARAM!$D$51/12)*RATES!$N957/100</f>
        <v>1190.0416666666667</v>
      </c>
      <c r="BN981" s="16">
        <f t="shared" si="643"/>
        <v>-333936.23709731293</v>
      </c>
      <c r="BO981" s="15">
        <f t="shared" si="618"/>
        <v>22.170849845882874</v>
      </c>
      <c r="BP981" s="75">
        <f>BO981*(1-PARAM!$C$27)*$I$19+(MOD($B981,60)=PARAM!$B$56)*($B981&gt;(60-PARAM!$B$56))*HLOOKUP(($B981+PARAM!$B$56)/12,Loyalty,2)*$F$1*MAX(BR980,0)</f>
        <v>18.557001321003963</v>
      </c>
      <c r="BQ981" s="75">
        <f>PARAM!$C$26+MAX($G$19-CHOOSE(PARAM!$B$44,MAX(0,BR980*$F$1),0),0)*RATES!$L957/12+$H$19*(PARAM!$D$51/12)*RATES!$N957/100</f>
        <v>1190.0416666666667</v>
      </c>
      <c r="BR981" s="16">
        <f t="shared" si="644"/>
        <v>-333936.23709731293</v>
      </c>
      <c r="BS981" s="15">
        <f t="shared" si="619"/>
        <v>22.170849845882874</v>
      </c>
      <c r="BT981" s="75">
        <f>BS981*(1-PARAM!$C$27)*$I$20+(MOD($B981,60)=PARAM!$B$56)*($B981&gt;(60-PARAM!$B$56))*HLOOKUP(($B981+PARAM!$B$56)/12,Loyalty,2)*$F$1*MAX(BV980,0)</f>
        <v>18.557001321003963</v>
      </c>
      <c r="BU981" s="75">
        <f>PARAM!$C$26+MAX($G$20-CHOOSE(PARAM!$B$44,MAX(0,BV980*$F$1),0),0)*RATES!$L957/12+$H$20*(PARAM!$D$51/12)*RATES!$N957/100</f>
        <v>1190.0416666666667</v>
      </c>
      <c r="BV981" s="16">
        <f t="shared" si="645"/>
        <v>-333936.23709731293</v>
      </c>
      <c r="BW981" s="15">
        <f t="shared" si="620"/>
        <v>22.170849845882874</v>
      </c>
      <c r="BX981" s="75">
        <f>BW981*(1-PARAM!$C$27)*$I$21+(MOD($B981,60)=PARAM!$B$56)*($B981&gt;(60-PARAM!$B$56))*HLOOKUP(($B981+PARAM!$B$56)/12,Loyalty,2)*$F$1*MAX(BZ980,0)</f>
        <v>18.557001321003963</v>
      </c>
      <c r="BY981" s="75">
        <f>PARAM!$C$26+MAX($G$21-CHOOSE(PARAM!$B$44,MAX(0,BZ980*$F$1),0),0)*RATES!$L957/12+$H$21*(PARAM!$D$51/12)*RATES!$N957/100</f>
        <v>1190.0416666666667</v>
      </c>
      <c r="BZ981" s="16">
        <f t="shared" si="646"/>
        <v>-333936.23709731293</v>
      </c>
      <c r="CA981" s="15">
        <f t="shared" si="621"/>
        <v>22.170849845882874</v>
      </c>
      <c r="CB981" s="75">
        <f>CA981*(1-PARAM!$C$27)*$I$22+(MOD($B981,60)=PARAM!$B$56)*($B981&gt;(60-PARAM!$B$56))*HLOOKUP(($B981+PARAM!$B$56)/12,Loyalty,2)*$F$1*MAX(CD980,0)</f>
        <v>18.557001321003963</v>
      </c>
      <c r="CC981" s="75">
        <f>PARAM!$C$26+MAX($G$22-CHOOSE(PARAM!$B$44,MAX(0,CD980*$F$1),0),0)*RATES!$L957/12+$H$22*(PARAM!$D$51/12)*RATES!$N957/100</f>
        <v>1190.0416666666667</v>
      </c>
      <c r="CD981" s="16">
        <f t="shared" si="647"/>
        <v>-333936.23709731293</v>
      </c>
      <c r="CE981" s="33">
        <f>IF(0=MOD(B981,12/PARAM!$D$51),1,0)</f>
        <v>1</v>
      </c>
      <c r="CF981" s="15">
        <f t="shared" si="622"/>
        <v>0</v>
      </c>
      <c r="CG981" s="75">
        <f>CF981*(1-PARAM!$C$27)*$R$3+(MOD($B981/12,5)=0)*($B981&gt;60)*HLOOKUP($B981/12,Loyalty,2)*$F$1*MAX(CI980,0)</f>
        <v>0</v>
      </c>
      <c r="CH981" s="75">
        <f>PARAM!$C$26+MAX($P$3-CHOOSE(PARAM!$B$44,MAX(0,CI980*$F$1),0),0)*RATES!$L957/12+$Q$3*(PARAM!$D$51/12)*RATES!$N957/100</f>
        <v>1190.0416666666667</v>
      </c>
      <c r="CI981" s="16">
        <f>IF(CI980&gt;0,CI980*PARAM!$C$53,CI980)+CG981-CH981</f>
        <v>-351520.04166666773</v>
      </c>
      <c r="CJ981" s="15">
        <f t="shared" si="648"/>
        <v>0</v>
      </c>
      <c r="CK981" s="75">
        <f>CJ981*(1-PARAM!$C$27)*$R$4+(MOD($B981/12,5)=0)*($B981&gt;60)*HLOOKUP($B981/12,Loyalty,2)*$F$1*MAX(CM980,0)</f>
        <v>0</v>
      </c>
      <c r="CL981" s="75">
        <f>PARAM!$C$26+MAX($P$4-CHOOSE(PARAM!$B$44,MAX(0,CM980*$F$1),0),0)*RATES!$L957/12+$Q$4*(PARAM!$D$51/12)*RATES!$N957/100</f>
        <v>1190.0416666666667</v>
      </c>
      <c r="CM981" s="16">
        <f>IF(CM980&gt;0,CM980*PARAM!$C$53,CM980)+CK981-CL981</f>
        <v>-351520.04166666773</v>
      </c>
      <c r="CO981" s="176"/>
    </row>
    <row r="982" spans="1:93" x14ac:dyDescent="0.2">
      <c r="A982" t="b">
        <f t="shared" si="623"/>
        <v>0</v>
      </c>
      <c r="B982" s="33">
        <v>955</v>
      </c>
      <c r="C982" s="15">
        <f t="shared" si="624"/>
        <v>20.081305947392778</v>
      </c>
      <c r="D982" s="75">
        <f>C982*(1-PARAM!$C$27)*$I$3+(MOD($B982,60)=PARAM!$B$56)*($B982&gt;(60-PARAM!$B$56))*HLOOKUP(($B982+PARAM!$B$56)/12,Loyalty,2)*$F$1*MAX(F981,0)</f>
        <v>16.808053077967756</v>
      </c>
      <c r="E982" s="75">
        <f>PARAM!$C$26+MAX($G$3-CHOOSE(PARAM!$B$44,MAX(0,F981*$F$1),0),0)*RATES!$L958/12+$H$3*(PARAM!$D$51/12)*RATES!$N958/100</f>
        <v>1190.0416666666667</v>
      </c>
      <c r="F982" s="16">
        <f t="shared" si="625"/>
        <v>-336814.81783528044</v>
      </c>
      <c r="G982" s="15">
        <f t="shared" si="626"/>
        <v>22.035289406060361</v>
      </c>
      <c r="H982" s="75">
        <f>G982*(1-PARAM!$C$27)*$I$4+(MOD($B982,60)=PARAM!$B$56)*($B982&gt;(60-PARAM!$B$56))*HLOOKUP(($B982+PARAM!$B$56)/12,Loyalty,2)*$F$1*MAX(J981,0)</f>
        <v>18.443537232872522</v>
      </c>
      <c r="I982" s="75">
        <f>PARAM!$C$26+MAX($G$4-CHOOSE(PARAM!$B$44,MAX(0,J981*$F$1),0),0)*RATES!$L958/12+$H$4*(PARAM!$D$51/12)*RATES!$N958/100</f>
        <v>1190.0416666666667</v>
      </c>
      <c r="J982" s="16">
        <f t="shared" si="627"/>
        <v>-335219.09750322223</v>
      </c>
      <c r="K982" s="15">
        <f t="shared" si="628"/>
        <v>22.170849845882874</v>
      </c>
      <c r="L982" s="75">
        <f>K982*(1-PARAM!$C$27)*$I$5+(MOD($B982,60)=PARAM!$B$56)*($B982&gt;(60-PARAM!$B$56))*HLOOKUP(($B982+PARAM!$B$56)/12,Loyalty,2)*$F$1*MAX(N981,0)</f>
        <v>18.557001321003963</v>
      </c>
      <c r="M982" s="75">
        <f>PARAM!$C$26+MAX($G$5-CHOOSE(PARAM!$B$44,MAX(0,N981*$F$1),0),0)*RATES!$L958/12+$H$5*(PARAM!$D$51/12)*RATES!$N958/100</f>
        <v>1190.0416666666667</v>
      </c>
      <c r="N982" s="16">
        <f t="shared" si="629"/>
        <v>-335107.72176265862</v>
      </c>
      <c r="O982" s="15">
        <f t="shared" si="630"/>
        <v>22.170849845882874</v>
      </c>
      <c r="P982" s="75">
        <f>O982*(1-PARAM!$C$27)*$I$6+(MOD($B982,60)=PARAM!$B$56)*($B982&gt;(60-PARAM!$B$56))*HLOOKUP(($B982+PARAM!$B$56)/12,Loyalty,2)*$F$1*MAX(R981,0)</f>
        <v>18.557001321003963</v>
      </c>
      <c r="Q982" s="75">
        <f>PARAM!$C$26+MAX($G$6-CHOOSE(PARAM!$B$44,MAX(0,R981*$F$1),0),0)*RATES!$L958/12+$H$6*(PARAM!$D$51/12)*RATES!$N958/100</f>
        <v>1190.0416666666667</v>
      </c>
      <c r="R982" s="16">
        <f t="shared" si="631"/>
        <v>-335107.72176265862</v>
      </c>
      <c r="S982" s="15">
        <f t="shared" si="606"/>
        <v>22.170849845882874</v>
      </c>
      <c r="T982" s="75">
        <f>S982*(1-PARAM!$C$27)*$I$7+(MOD($B982,60)=PARAM!$B$56)*($B982&gt;(60-PARAM!$B$56))*HLOOKUP(($B982+PARAM!$B$56)/12,Loyalty,2)*$F$1*MAX(V981,0)</f>
        <v>18.557001321003963</v>
      </c>
      <c r="U982" s="75">
        <f>PARAM!$C$26+MAX($G$7-CHOOSE(PARAM!$B$44,MAX(0,V981*$F$1),0),0)*RATES!$L958/12+$H$7*(PARAM!$D$51/12)*RATES!$N958/100</f>
        <v>1190.0416666666667</v>
      </c>
      <c r="V982" s="16">
        <f t="shared" si="632"/>
        <v>-335107.72176265862</v>
      </c>
      <c r="W982" s="15">
        <f t="shared" si="607"/>
        <v>22.170849845882874</v>
      </c>
      <c r="X982" s="75">
        <f>W982*(1-PARAM!$C$27)*$I$8+(MOD($B982,60)=PARAM!$B$56)*($B982&gt;(60-PARAM!$B$56))*HLOOKUP(($B982+PARAM!$B$56)/12,Loyalty,2)*$F$1*MAX(Z981,0)</f>
        <v>18.557001321003963</v>
      </c>
      <c r="Y982" s="75">
        <f>PARAM!$C$26+MAX($G$8-CHOOSE(PARAM!$B$44,MAX(0,Z981*$F$1),0),0)*RATES!$L958/12+$H$8*(PARAM!$D$51/12)*RATES!$N958/100</f>
        <v>1190.0416666666667</v>
      </c>
      <c r="Z982" s="16">
        <f t="shared" si="633"/>
        <v>-335107.72176265862</v>
      </c>
      <c r="AA982" s="15">
        <f t="shared" si="608"/>
        <v>22.170849845882874</v>
      </c>
      <c r="AB982" s="75">
        <f>AA982*(1-PARAM!$C$27)*$I$9+(MOD($B982,60)=PARAM!$B$56)*($B982&gt;(60-PARAM!$B$56))*HLOOKUP(($B982+PARAM!$B$56)/12,Loyalty,2)*$F$1*MAX(AD981,0)</f>
        <v>18.557001321003963</v>
      </c>
      <c r="AC982" s="75">
        <f>PARAM!$C$26+MAX($G$9-CHOOSE(PARAM!$B$44,MAX(0,AD981*$F$1),0),0)*RATES!$L958/12+$H$9*(PARAM!$D$51/12)*RATES!$N958/100</f>
        <v>1190.0416666666667</v>
      </c>
      <c r="AD982" s="16">
        <f t="shared" si="634"/>
        <v>-335107.72176265862</v>
      </c>
      <c r="AE982" s="15">
        <f t="shared" si="609"/>
        <v>22.170849845882874</v>
      </c>
      <c r="AF982" s="75">
        <f>AE982*(1-PARAM!$C$27)*$I$10+(MOD($B982,60)=PARAM!$B$56)*($B982&gt;(60-PARAM!$B$56))*HLOOKUP(($B982+PARAM!$B$56)/12,Loyalty,2)*$F$1*MAX(AH981,0)</f>
        <v>18.557001321003963</v>
      </c>
      <c r="AG982" s="75">
        <f>PARAM!$C$26+MAX($G$10-CHOOSE(PARAM!$B$44,MAX(0,AH981*$F$1),0),0)*RATES!$L958/12+$H$10*(PARAM!$D$51/12)*RATES!$N958/100</f>
        <v>1190.0416666666667</v>
      </c>
      <c r="AH982" s="16">
        <f t="shared" si="635"/>
        <v>-335107.72176265862</v>
      </c>
      <c r="AI982" s="15">
        <f t="shared" si="610"/>
        <v>22.170849845882874</v>
      </c>
      <c r="AJ982" s="75">
        <f>AI982*(1-PARAM!$C$27)*$I$11+(MOD($B982,60)=PARAM!$B$56)*($B982&gt;(60-PARAM!$B$56))*HLOOKUP(($B982+PARAM!$B$56)/12,Loyalty,2)*$F$1*MAX(AL981,0)</f>
        <v>18.557001321003963</v>
      </c>
      <c r="AK982" s="75">
        <f>PARAM!$C$26+MAX($G$11-CHOOSE(PARAM!$B$44,MAX(0,AL981*$F$1),0),0)*RATES!$L958/12+$H$11*(PARAM!$D$51/12)*RATES!$N958/100</f>
        <v>1190.0416666666667</v>
      </c>
      <c r="AL982" s="16">
        <f t="shared" si="636"/>
        <v>-335107.72176265862</v>
      </c>
      <c r="AM982" s="15">
        <f t="shared" si="611"/>
        <v>22.170849845882874</v>
      </c>
      <c r="AN982" s="75">
        <f>AM982*(1-PARAM!$C$27)*$I$12+(MOD($B982,60)=PARAM!$B$56)*($B982&gt;(60-PARAM!$B$56))*HLOOKUP(($B982+PARAM!$B$56)/12,Loyalty,2)*$F$1*MAX(AP981,0)</f>
        <v>18.557001321003963</v>
      </c>
      <c r="AO982" s="75">
        <f>PARAM!$C$26+MAX($G$12-CHOOSE(PARAM!$B$44,MAX(0,AP981*$F$1),0),0)*RATES!$L958/12+$H$12*(PARAM!$D$51/12)*RATES!$N958/100</f>
        <v>1190.0416666666667</v>
      </c>
      <c r="AP982" s="16">
        <f t="shared" si="637"/>
        <v>-335107.72176265862</v>
      </c>
      <c r="AQ982" s="15">
        <f t="shared" si="612"/>
        <v>22.170849845882874</v>
      </c>
      <c r="AR982" s="75">
        <f>AQ982*(1-PARAM!$C$27)*$I$13+(MOD($B982,60)=PARAM!$B$56)*($B982&gt;(60-PARAM!$B$56))*HLOOKUP(($B982+PARAM!$B$56)/12,Loyalty,2)*$F$1*MAX(AT981,0)</f>
        <v>18.557001321003963</v>
      </c>
      <c r="AS982" s="75">
        <f>PARAM!$C$26+MAX($G$13-CHOOSE(PARAM!$B$44,MAX(0,AT981*$F$1),0),0)*RATES!$L958/12+$H$13*(PARAM!$D$51/12)*RATES!$N958/100</f>
        <v>1190.0416666666667</v>
      </c>
      <c r="AT982" s="16">
        <f t="shared" si="638"/>
        <v>-335107.72176265862</v>
      </c>
      <c r="AU982" s="15">
        <f t="shared" si="613"/>
        <v>22.170849845882874</v>
      </c>
      <c r="AV982" s="75">
        <f>AU982*(1-PARAM!$C$27)*$I$14+(MOD($B982,60)=PARAM!$B$56)*($B982&gt;(60-PARAM!$B$56))*HLOOKUP(($B982+PARAM!$B$56)/12,Loyalty,2)*$F$1*MAX(AX981,0)</f>
        <v>18.557001321003963</v>
      </c>
      <c r="AW982" s="75">
        <f>PARAM!$C$26+MAX($G$14-CHOOSE(PARAM!$B$44,MAX(0,AX981*$F$1),0),0)*RATES!$L958/12+$H$14*(PARAM!$D$51/12)*RATES!$N958/100</f>
        <v>1190.0416666666667</v>
      </c>
      <c r="AX982" s="16">
        <f t="shared" si="639"/>
        <v>-335107.72176265862</v>
      </c>
      <c r="AY982" s="15">
        <f t="shared" si="614"/>
        <v>22.170849845882874</v>
      </c>
      <c r="AZ982" s="75">
        <f>AY982*(1-PARAM!$C$27)*$I$15+(MOD($B982,60)=PARAM!$B$56)*($B982&gt;(60-PARAM!$B$56))*HLOOKUP(($B982+PARAM!$B$56)/12,Loyalty,2)*$F$1*MAX(BB981,0)</f>
        <v>18.557001321003963</v>
      </c>
      <c r="BA982" s="75">
        <f>PARAM!$C$26+MAX($G$15-CHOOSE(PARAM!$B$44,MAX(0,BB981*$F$1),0),0)*RATES!$L958/12+$H$15*(PARAM!$D$51/12)*RATES!$N958/100</f>
        <v>1190.0416666666667</v>
      </c>
      <c r="BB982" s="16">
        <f t="shared" si="640"/>
        <v>-335107.72176265862</v>
      </c>
      <c r="BC982" s="15">
        <f t="shared" si="615"/>
        <v>22.170849845882874</v>
      </c>
      <c r="BD982" s="75">
        <f>BC982*(1-PARAM!$C$27)*$I$16+(MOD($B982,60)=PARAM!$B$56)*($B982&gt;(60-PARAM!$B$56))*HLOOKUP(($B982+PARAM!$B$56)/12,Loyalty,2)*$F$1*MAX(BF981,0)</f>
        <v>18.557001321003963</v>
      </c>
      <c r="BE982" s="75">
        <f>PARAM!$C$26+MAX($G$16-CHOOSE(PARAM!$B$44,MAX(0,BF981*$F$1),0),0)*RATES!$L958/12+$H$16*(PARAM!$D$51/12)*RATES!$N958/100</f>
        <v>1190.0416666666667</v>
      </c>
      <c r="BF982" s="16">
        <f t="shared" si="641"/>
        <v>-335107.72176265862</v>
      </c>
      <c r="BG982" s="15">
        <f t="shared" si="616"/>
        <v>22.170849845882874</v>
      </c>
      <c r="BH982" s="75">
        <f>BG982*(1-PARAM!$C$27)*$I$17+(MOD($B982,60)=PARAM!$B$56)*($B982&gt;(60-PARAM!$B$56))*HLOOKUP(($B982+PARAM!$B$56)/12,Loyalty,2)*$F$1*MAX(BJ981,0)</f>
        <v>18.557001321003963</v>
      </c>
      <c r="BI982" s="75">
        <f>PARAM!$C$26+MAX($G$17-CHOOSE(PARAM!$B$44,MAX(0,BJ981*$F$1),0),0)*RATES!$L958/12+$H$17*(PARAM!$D$51/12)*RATES!$N958/100</f>
        <v>1190.0416666666667</v>
      </c>
      <c r="BJ982" s="16">
        <f t="shared" si="642"/>
        <v>-335107.72176265862</v>
      </c>
      <c r="BK982" s="15">
        <f t="shared" si="617"/>
        <v>22.170849845882874</v>
      </c>
      <c r="BL982" s="75">
        <f>BK982*(1-PARAM!$C$27)*$I$18+(MOD($B982,60)=PARAM!$B$56)*($B982&gt;(60-PARAM!$B$56))*HLOOKUP(($B982+PARAM!$B$56)/12,Loyalty,2)*$F$1*MAX(BN981,0)</f>
        <v>18.557001321003963</v>
      </c>
      <c r="BM982" s="75">
        <f>PARAM!$C$26+MAX($G$18-CHOOSE(PARAM!$B$44,MAX(0,BN981*$F$1),0),0)*RATES!$L958/12+$H$18*(PARAM!$D$51/12)*RATES!$N958/100</f>
        <v>1190.0416666666667</v>
      </c>
      <c r="BN982" s="16">
        <f t="shared" si="643"/>
        <v>-335107.72176265862</v>
      </c>
      <c r="BO982" s="15">
        <f t="shared" si="618"/>
        <v>22.170849845882874</v>
      </c>
      <c r="BP982" s="75">
        <f>BO982*(1-PARAM!$C$27)*$I$19+(MOD($B982,60)=PARAM!$B$56)*($B982&gt;(60-PARAM!$B$56))*HLOOKUP(($B982+PARAM!$B$56)/12,Loyalty,2)*$F$1*MAX(BR981,0)</f>
        <v>18.557001321003963</v>
      </c>
      <c r="BQ982" s="75">
        <f>PARAM!$C$26+MAX($G$19-CHOOSE(PARAM!$B$44,MAX(0,BR981*$F$1),0),0)*RATES!$L958/12+$H$19*(PARAM!$D$51/12)*RATES!$N958/100</f>
        <v>1190.0416666666667</v>
      </c>
      <c r="BR982" s="16">
        <f t="shared" si="644"/>
        <v>-335107.72176265862</v>
      </c>
      <c r="BS982" s="15">
        <f t="shared" si="619"/>
        <v>22.170849845882874</v>
      </c>
      <c r="BT982" s="75">
        <f>BS982*(1-PARAM!$C$27)*$I$20+(MOD($B982,60)=PARAM!$B$56)*($B982&gt;(60-PARAM!$B$56))*HLOOKUP(($B982+PARAM!$B$56)/12,Loyalty,2)*$F$1*MAX(BV981,0)</f>
        <v>18.557001321003963</v>
      </c>
      <c r="BU982" s="75">
        <f>PARAM!$C$26+MAX($G$20-CHOOSE(PARAM!$B$44,MAX(0,BV981*$F$1),0),0)*RATES!$L958/12+$H$20*(PARAM!$D$51/12)*RATES!$N958/100</f>
        <v>1190.0416666666667</v>
      </c>
      <c r="BV982" s="16">
        <f t="shared" si="645"/>
        <v>-335107.72176265862</v>
      </c>
      <c r="BW982" s="15">
        <f t="shared" si="620"/>
        <v>22.170849845882874</v>
      </c>
      <c r="BX982" s="75">
        <f>BW982*(1-PARAM!$C$27)*$I$21+(MOD($B982,60)=PARAM!$B$56)*($B982&gt;(60-PARAM!$B$56))*HLOOKUP(($B982+PARAM!$B$56)/12,Loyalty,2)*$F$1*MAX(BZ981,0)</f>
        <v>18.557001321003963</v>
      </c>
      <c r="BY982" s="75">
        <f>PARAM!$C$26+MAX($G$21-CHOOSE(PARAM!$B$44,MAX(0,BZ981*$F$1),0),0)*RATES!$L958/12+$H$21*(PARAM!$D$51/12)*RATES!$N958/100</f>
        <v>1190.0416666666667</v>
      </c>
      <c r="BZ982" s="16">
        <f t="shared" si="646"/>
        <v>-335107.72176265862</v>
      </c>
      <c r="CA982" s="15">
        <f t="shared" si="621"/>
        <v>22.170849845882874</v>
      </c>
      <c r="CB982" s="75">
        <f>CA982*(1-PARAM!$C$27)*$I$22+(MOD($B982,60)=PARAM!$B$56)*($B982&gt;(60-PARAM!$B$56))*HLOOKUP(($B982+PARAM!$B$56)/12,Loyalty,2)*$F$1*MAX(CD981,0)</f>
        <v>18.557001321003963</v>
      </c>
      <c r="CC982" s="75">
        <f>PARAM!$C$26+MAX($G$22-CHOOSE(PARAM!$B$44,MAX(0,CD981*$F$1),0),0)*RATES!$L958/12+$H$22*(PARAM!$D$51/12)*RATES!$N958/100</f>
        <v>1190.0416666666667</v>
      </c>
      <c r="CD982" s="16">
        <f t="shared" si="647"/>
        <v>-335107.72176265862</v>
      </c>
      <c r="CE982" s="33">
        <f>IF(0=MOD(B982,12/PARAM!$D$51),1,0)</f>
        <v>1</v>
      </c>
      <c r="CF982" s="15">
        <f t="shared" si="622"/>
        <v>0</v>
      </c>
      <c r="CG982" s="75">
        <f>CF982*(1-PARAM!$C$27)*$R$3+(MOD($B982/12,5)=0)*($B982&gt;60)*HLOOKUP($B982/12,Loyalty,2)*$F$1*MAX(CI981,0)</f>
        <v>0</v>
      </c>
      <c r="CH982" s="75">
        <f>PARAM!$C$26+MAX($P$3-CHOOSE(PARAM!$B$44,MAX(0,CI981*$F$1),0),0)*RATES!$L958/12+$Q$3*(PARAM!$D$51/12)*RATES!$N958/100</f>
        <v>1190.0416666666667</v>
      </c>
      <c r="CI982" s="16">
        <f>IF(CI981&gt;0,CI981*PARAM!$C$53,CI981)+CG982-CH982</f>
        <v>-352710.08333333442</v>
      </c>
      <c r="CJ982" s="15">
        <f t="shared" si="648"/>
        <v>0</v>
      </c>
      <c r="CK982" s="75">
        <f>CJ982*(1-PARAM!$C$27)*$R$4+(MOD($B982/12,5)=0)*($B982&gt;60)*HLOOKUP($B982/12,Loyalty,2)*$F$1*MAX(CM981,0)</f>
        <v>0</v>
      </c>
      <c r="CL982" s="75">
        <f>PARAM!$C$26+MAX($P$4-CHOOSE(PARAM!$B$44,MAX(0,CM981*$F$1),0),0)*RATES!$L958/12+$Q$4*(PARAM!$D$51/12)*RATES!$N958/100</f>
        <v>1190.0416666666667</v>
      </c>
      <c r="CM982" s="16">
        <f>IF(CM981&gt;0,CM981*PARAM!$C$53,CM981)+CK982-CL982</f>
        <v>-352710.08333333442</v>
      </c>
      <c r="CO982" s="176"/>
    </row>
    <row r="983" spans="1:93" x14ac:dyDescent="0.2">
      <c r="A983" t="b">
        <f t="shared" si="623"/>
        <v>0</v>
      </c>
      <c r="B983" s="33">
        <v>956</v>
      </c>
      <c r="C983" s="15">
        <f t="shared" si="624"/>
        <v>20.081305947392778</v>
      </c>
      <c r="D983" s="75">
        <f>C983*(1-PARAM!$C$27)*$I$3+(MOD($B983,60)=PARAM!$B$56)*($B983&gt;(60-PARAM!$B$56))*HLOOKUP(($B983+PARAM!$B$56)/12,Loyalty,2)*$F$1*MAX(F982,0)</f>
        <v>16.808053077967756</v>
      </c>
      <c r="E983" s="75">
        <f>PARAM!$C$26+MAX($G$3-CHOOSE(PARAM!$B$44,MAX(0,F982*$F$1),0),0)*RATES!$L959/12+$H$3*(PARAM!$D$51/12)*RATES!$N959/100</f>
        <v>1190.0416666666667</v>
      </c>
      <c r="F983" s="16">
        <f t="shared" si="625"/>
        <v>-337988.05144886917</v>
      </c>
      <c r="G983" s="15">
        <f t="shared" si="626"/>
        <v>22.035289406060361</v>
      </c>
      <c r="H983" s="75">
        <f>G983*(1-PARAM!$C$27)*$I$4+(MOD($B983,60)=PARAM!$B$56)*($B983&gt;(60-PARAM!$B$56))*HLOOKUP(($B983+PARAM!$B$56)/12,Loyalty,2)*$F$1*MAX(J982,0)</f>
        <v>18.443537232872522</v>
      </c>
      <c r="I983" s="75">
        <f>PARAM!$C$26+MAX($G$4-CHOOSE(PARAM!$B$44,MAX(0,J982*$F$1),0),0)*RATES!$L959/12+$H$4*(PARAM!$D$51/12)*RATES!$N959/100</f>
        <v>1190.0416666666667</v>
      </c>
      <c r="J983" s="16">
        <f t="shared" si="627"/>
        <v>-336390.69563265605</v>
      </c>
      <c r="K983" s="15">
        <f t="shared" si="628"/>
        <v>22.170849845882874</v>
      </c>
      <c r="L983" s="75">
        <f>K983*(1-PARAM!$C$27)*$I$5+(MOD($B983,60)=PARAM!$B$56)*($B983&gt;(60-PARAM!$B$56))*HLOOKUP(($B983+PARAM!$B$56)/12,Loyalty,2)*$F$1*MAX(N982,0)</f>
        <v>18.557001321003963</v>
      </c>
      <c r="M983" s="75">
        <f>PARAM!$C$26+MAX($G$5-CHOOSE(PARAM!$B$44,MAX(0,N982*$F$1),0),0)*RATES!$L959/12+$H$5*(PARAM!$D$51/12)*RATES!$N959/100</f>
        <v>1190.0416666666667</v>
      </c>
      <c r="N983" s="16">
        <f t="shared" si="629"/>
        <v>-336279.20642800431</v>
      </c>
      <c r="O983" s="15">
        <f t="shared" si="630"/>
        <v>22.170849845882874</v>
      </c>
      <c r="P983" s="75">
        <f>O983*(1-PARAM!$C$27)*$I$6+(MOD($B983,60)=PARAM!$B$56)*($B983&gt;(60-PARAM!$B$56))*HLOOKUP(($B983+PARAM!$B$56)/12,Loyalty,2)*$F$1*MAX(R982,0)</f>
        <v>18.557001321003963</v>
      </c>
      <c r="Q983" s="75">
        <f>PARAM!$C$26+MAX($G$6-CHOOSE(PARAM!$B$44,MAX(0,R982*$F$1),0),0)*RATES!$L959/12+$H$6*(PARAM!$D$51/12)*RATES!$N959/100</f>
        <v>1190.0416666666667</v>
      </c>
      <c r="R983" s="16">
        <f t="shared" si="631"/>
        <v>-336279.20642800431</v>
      </c>
      <c r="S983" s="15">
        <f t="shared" si="606"/>
        <v>22.170849845882874</v>
      </c>
      <c r="T983" s="75">
        <f>S983*(1-PARAM!$C$27)*$I$7+(MOD($B983,60)=PARAM!$B$56)*($B983&gt;(60-PARAM!$B$56))*HLOOKUP(($B983+PARAM!$B$56)/12,Loyalty,2)*$F$1*MAX(V982,0)</f>
        <v>18.557001321003963</v>
      </c>
      <c r="U983" s="75">
        <f>PARAM!$C$26+MAX($G$7-CHOOSE(PARAM!$B$44,MAX(0,V982*$F$1),0),0)*RATES!$L959/12+$H$7*(PARAM!$D$51/12)*RATES!$N959/100</f>
        <v>1190.0416666666667</v>
      </c>
      <c r="V983" s="16">
        <f t="shared" si="632"/>
        <v>-336279.20642800431</v>
      </c>
      <c r="W983" s="15">
        <f t="shared" si="607"/>
        <v>22.170849845882874</v>
      </c>
      <c r="X983" s="75">
        <f>W983*(1-PARAM!$C$27)*$I$8+(MOD($B983,60)=PARAM!$B$56)*($B983&gt;(60-PARAM!$B$56))*HLOOKUP(($B983+PARAM!$B$56)/12,Loyalty,2)*$F$1*MAX(Z982,0)</f>
        <v>18.557001321003963</v>
      </c>
      <c r="Y983" s="75">
        <f>PARAM!$C$26+MAX($G$8-CHOOSE(PARAM!$B$44,MAX(0,Z982*$F$1),0),0)*RATES!$L959/12+$H$8*(PARAM!$D$51/12)*RATES!$N959/100</f>
        <v>1190.0416666666667</v>
      </c>
      <c r="Z983" s="16">
        <f t="shared" si="633"/>
        <v>-336279.20642800431</v>
      </c>
      <c r="AA983" s="15">
        <f t="shared" si="608"/>
        <v>22.170849845882874</v>
      </c>
      <c r="AB983" s="75">
        <f>AA983*(1-PARAM!$C$27)*$I$9+(MOD($B983,60)=PARAM!$B$56)*($B983&gt;(60-PARAM!$B$56))*HLOOKUP(($B983+PARAM!$B$56)/12,Loyalty,2)*$F$1*MAX(AD982,0)</f>
        <v>18.557001321003963</v>
      </c>
      <c r="AC983" s="75">
        <f>PARAM!$C$26+MAX($G$9-CHOOSE(PARAM!$B$44,MAX(0,AD982*$F$1),0),0)*RATES!$L959/12+$H$9*(PARAM!$D$51/12)*RATES!$N959/100</f>
        <v>1190.0416666666667</v>
      </c>
      <c r="AD983" s="16">
        <f t="shared" si="634"/>
        <v>-336279.20642800431</v>
      </c>
      <c r="AE983" s="15">
        <f t="shared" si="609"/>
        <v>22.170849845882874</v>
      </c>
      <c r="AF983" s="75">
        <f>AE983*(1-PARAM!$C$27)*$I$10+(MOD($B983,60)=PARAM!$B$56)*($B983&gt;(60-PARAM!$B$56))*HLOOKUP(($B983+PARAM!$B$56)/12,Loyalty,2)*$F$1*MAX(AH982,0)</f>
        <v>18.557001321003963</v>
      </c>
      <c r="AG983" s="75">
        <f>PARAM!$C$26+MAX($G$10-CHOOSE(PARAM!$B$44,MAX(0,AH982*$F$1),0),0)*RATES!$L959/12+$H$10*(PARAM!$D$51/12)*RATES!$N959/100</f>
        <v>1190.0416666666667</v>
      </c>
      <c r="AH983" s="16">
        <f t="shared" si="635"/>
        <v>-336279.20642800431</v>
      </c>
      <c r="AI983" s="15">
        <f t="shared" si="610"/>
        <v>22.170849845882874</v>
      </c>
      <c r="AJ983" s="75">
        <f>AI983*(1-PARAM!$C$27)*$I$11+(MOD($B983,60)=PARAM!$B$56)*($B983&gt;(60-PARAM!$B$56))*HLOOKUP(($B983+PARAM!$B$56)/12,Loyalty,2)*$F$1*MAX(AL982,0)</f>
        <v>18.557001321003963</v>
      </c>
      <c r="AK983" s="75">
        <f>PARAM!$C$26+MAX($G$11-CHOOSE(PARAM!$B$44,MAX(0,AL982*$F$1),0),0)*RATES!$L959/12+$H$11*(PARAM!$D$51/12)*RATES!$N959/100</f>
        <v>1190.0416666666667</v>
      </c>
      <c r="AL983" s="16">
        <f t="shared" si="636"/>
        <v>-336279.20642800431</v>
      </c>
      <c r="AM983" s="15">
        <f t="shared" si="611"/>
        <v>22.170849845882874</v>
      </c>
      <c r="AN983" s="75">
        <f>AM983*(1-PARAM!$C$27)*$I$12+(MOD($B983,60)=PARAM!$B$56)*($B983&gt;(60-PARAM!$B$56))*HLOOKUP(($B983+PARAM!$B$56)/12,Loyalty,2)*$F$1*MAX(AP982,0)</f>
        <v>18.557001321003963</v>
      </c>
      <c r="AO983" s="75">
        <f>PARAM!$C$26+MAX($G$12-CHOOSE(PARAM!$B$44,MAX(0,AP982*$F$1),0),0)*RATES!$L959/12+$H$12*(PARAM!$D$51/12)*RATES!$N959/100</f>
        <v>1190.0416666666667</v>
      </c>
      <c r="AP983" s="16">
        <f t="shared" si="637"/>
        <v>-336279.20642800431</v>
      </c>
      <c r="AQ983" s="15">
        <f t="shared" si="612"/>
        <v>22.170849845882874</v>
      </c>
      <c r="AR983" s="75">
        <f>AQ983*(1-PARAM!$C$27)*$I$13+(MOD($B983,60)=PARAM!$B$56)*($B983&gt;(60-PARAM!$B$56))*HLOOKUP(($B983+PARAM!$B$56)/12,Loyalty,2)*$F$1*MAX(AT982,0)</f>
        <v>18.557001321003963</v>
      </c>
      <c r="AS983" s="75">
        <f>PARAM!$C$26+MAX($G$13-CHOOSE(PARAM!$B$44,MAX(0,AT982*$F$1),0),0)*RATES!$L959/12+$H$13*(PARAM!$D$51/12)*RATES!$N959/100</f>
        <v>1190.0416666666667</v>
      </c>
      <c r="AT983" s="16">
        <f t="shared" si="638"/>
        <v>-336279.20642800431</v>
      </c>
      <c r="AU983" s="15">
        <f t="shared" si="613"/>
        <v>22.170849845882874</v>
      </c>
      <c r="AV983" s="75">
        <f>AU983*(1-PARAM!$C$27)*$I$14+(MOD($B983,60)=PARAM!$B$56)*($B983&gt;(60-PARAM!$B$56))*HLOOKUP(($B983+PARAM!$B$56)/12,Loyalty,2)*$F$1*MAX(AX982,0)</f>
        <v>18.557001321003963</v>
      </c>
      <c r="AW983" s="75">
        <f>PARAM!$C$26+MAX($G$14-CHOOSE(PARAM!$B$44,MAX(0,AX982*$F$1),0),0)*RATES!$L959/12+$H$14*(PARAM!$D$51/12)*RATES!$N959/100</f>
        <v>1190.0416666666667</v>
      </c>
      <c r="AX983" s="16">
        <f t="shared" si="639"/>
        <v>-336279.20642800431</v>
      </c>
      <c r="AY983" s="15">
        <f t="shared" si="614"/>
        <v>22.170849845882874</v>
      </c>
      <c r="AZ983" s="75">
        <f>AY983*(1-PARAM!$C$27)*$I$15+(MOD($B983,60)=PARAM!$B$56)*($B983&gt;(60-PARAM!$B$56))*HLOOKUP(($B983+PARAM!$B$56)/12,Loyalty,2)*$F$1*MAX(BB982,0)</f>
        <v>18.557001321003963</v>
      </c>
      <c r="BA983" s="75">
        <f>PARAM!$C$26+MAX($G$15-CHOOSE(PARAM!$B$44,MAX(0,BB982*$F$1),0),0)*RATES!$L959/12+$H$15*(PARAM!$D$51/12)*RATES!$N959/100</f>
        <v>1190.0416666666667</v>
      </c>
      <c r="BB983" s="16">
        <f t="shared" si="640"/>
        <v>-336279.20642800431</v>
      </c>
      <c r="BC983" s="15">
        <f t="shared" si="615"/>
        <v>22.170849845882874</v>
      </c>
      <c r="BD983" s="75">
        <f>BC983*(1-PARAM!$C$27)*$I$16+(MOD($B983,60)=PARAM!$B$56)*($B983&gt;(60-PARAM!$B$56))*HLOOKUP(($B983+PARAM!$B$56)/12,Loyalty,2)*$F$1*MAX(BF982,0)</f>
        <v>18.557001321003963</v>
      </c>
      <c r="BE983" s="75">
        <f>PARAM!$C$26+MAX($G$16-CHOOSE(PARAM!$B$44,MAX(0,BF982*$F$1),0),0)*RATES!$L959/12+$H$16*(PARAM!$D$51/12)*RATES!$N959/100</f>
        <v>1190.0416666666667</v>
      </c>
      <c r="BF983" s="16">
        <f t="shared" si="641"/>
        <v>-336279.20642800431</v>
      </c>
      <c r="BG983" s="15">
        <f t="shared" si="616"/>
        <v>22.170849845882874</v>
      </c>
      <c r="BH983" s="75">
        <f>BG983*(1-PARAM!$C$27)*$I$17+(MOD($B983,60)=PARAM!$B$56)*($B983&gt;(60-PARAM!$B$56))*HLOOKUP(($B983+PARAM!$B$56)/12,Loyalty,2)*$F$1*MAX(BJ982,0)</f>
        <v>18.557001321003963</v>
      </c>
      <c r="BI983" s="75">
        <f>PARAM!$C$26+MAX($G$17-CHOOSE(PARAM!$B$44,MAX(0,BJ982*$F$1),0),0)*RATES!$L959/12+$H$17*(PARAM!$D$51/12)*RATES!$N959/100</f>
        <v>1190.0416666666667</v>
      </c>
      <c r="BJ983" s="16">
        <f t="shared" si="642"/>
        <v>-336279.20642800431</v>
      </c>
      <c r="BK983" s="15">
        <f t="shared" si="617"/>
        <v>22.170849845882874</v>
      </c>
      <c r="BL983" s="75">
        <f>BK983*(1-PARAM!$C$27)*$I$18+(MOD($B983,60)=PARAM!$B$56)*($B983&gt;(60-PARAM!$B$56))*HLOOKUP(($B983+PARAM!$B$56)/12,Loyalty,2)*$F$1*MAX(BN982,0)</f>
        <v>18.557001321003963</v>
      </c>
      <c r="BM983" s="75">
        <f>PARAM!$C$26+MAX($G$18-CHOOSE(PARAM!$B$44,MAX(0,BN982*$F$1),0),0)*RATES!$L959/12+$H$18*(PARAM!$D$51/12)*RATES!$N959/100</f>
        <v>1190.0416666666667</v>
      </c>
      <c r="BN983" s="16">
        <f t="shared" si="643"/>
        <v>-336279.20642800431</v>
      </c>
      <c r="BO983" s="15">
        <f t="shared" si="618"/>
        <v>22.170849845882874</v>
      </c>
      <c r="BP983" s="75">
        <f>BO983*(1-PARAM!$C$27)*$I$19+(MOD($B983,60)=PARAM!$B$56)*($B983&gt;(60-PARAM!$B$56))*HLOOKUP(($B983+PARAM!$B$56)/12,Loyalty,2)*$F$1*MAX(BR982,0)</f>
        <v>18.557001321003963</v>
      </c>
      <c r="BQ983" s="75">
        <f>PARAM!$C$26+MAX($G$19-CHOOSE(PARAM!$B$44,MAX(0,BR982*$F$1),0),0)*RATES!$L959/12+$H$19*(PARAM!$D$51/12)*RATES!$N959/100</f>
        <v>1190.0416666666667</v>
      </c>
      <c r="BR983" s="16">
        <f t="shared" si="644"/>
        <v>-336279.20642800431</v>
      </c>
      <c r="BS983" s="15">
        <f t="shared" si="619"/>
        <v>22.170849845882874</v>
      </c>
      <c r="BT983" s="75">
        <f>BS983*(1-PARAM!$C$27)*$I$20+(MOD($B983,60)=PARAM!$B$56)*($B983&gt;(60-PARAM!$B$56))*HLOOKUP(($B983+PARAM!$B$56)/12,Loyalty,2)*$F$1*MAX(BV982,0)</f>
        <v>18.557001321003963</v>
      </c>
      <c r="BU983" s="75">
        <f>PARAM!$C$26+MAX($G$20-CHOOSE(PARAM!$B$44,MAX(0,BV982*$F$1),0),0)*RATES!$L959/12+$H$20*(PARAM!$D$51/12)*RATES!$N959/100</f>
        <v>1190.0416666666667</v>
      </c>
      <c r="BV983" s="16">
        <f t="shared" si="645"/>
        <v>-336279.20642800431</v>
      </c>
      <c r="BW983" s="15">
        <f t="shared" si="620"/>
        <v>22.170849845882874</v>
      </c>
      <c r="BX983" s="75">
        <f>BW983*(1-PARAM!$C$27)*$I$21+(MOD($B983,60)=PARAM!$B$56)*($B983&gt;(60-PARAM!$B$56))*HLOOKUP(($B983+PARAM!$B$56)/12,Loyalty,2)*$F$1*MAX(BZ982,0)</f>
        <v>18.557001321003963</v>
      </c>
      <c r="BY983" s="75">
        <f>PARAM!$C$26+MAX($G$21-CHOOSE(PARAM!$B$44,MAX(0,BZ982*$F$1),0),0)*RATES!$L959/12+$H$21*(PARAM!$D$51/12)*RATES!$N959/100</f>
        <v>1190.0416666666667</v>
      </c>
      <c r="BZ983" s="16">
        <f t="shared" si="646"/>
        <v>-336279.20642800431</v>
      </c>
      <c r="CA983" s="15">
        <f t="shared" si="621"/>
        <v>22.170849845882874</v>
      </c>
      <c r="CB983" s="75">
        <f>CA983*(1-PARAM!$C$27)*$I$22+(MOD($B983,60)=PARAM!$B$56)*($B983&gt;(60-PARAM!$B$56))*HLOOKUP(($B983+PARAM!$B$56)/12,Loyalty,2)*$F$1*MAX(CD982,0)</f>
        <v>18.557001321003963</v>
      </c>
      <c r="CC983" s="75">
        <f>PARAM!$C$26+MAX($G$22-CHOOSE(PARAM!$B$44,MAX(0,CD982*$F$1),0),0)*RATES!$L959/12+$H$22*(PARAM!$D$51/12)*RATES!$N959/100</f>
        <v>1190.0416666666667</v>
      </c>
      <c r="CD983" s="16">
        <f t="shared" si="647"/>
        <v>-336279.20642800431</v>
      </c>
      <c r="CE983" s="33">
        <f>IF(0=MOD(B983,12/PARAM!$D$51),1,0)</f>
        <v>1</v>
      </c>
      <c r="CF983" s="15">
        <f t="shared" si="622"/>
        <v>0</v>
      </c>
      <c r="CG983" s="75">
        <f>CF983*(1-PARAM!$C$27)*$R$3+(MOD($B983/12,5)=0)*($B983&gt;60)*HLOOKUP($B983/12,Loyalty,2)*$F$1*MAX(CI982,0)</f>
        <v>0</v>
      </c>
      <c r="CH983" s="75">
        <f>PARAM!$C$26+MAX($P$3-CHOOSE(PARAM!$B$44,MAX(0,CI982*$F$1),0),0)*RATES!$L959/12+$Q$3*(PARAM!$D$51/12)*RATES!$N959/100</f>
        <v>1190.0416666666667</v>
      </c>
      <c r="CI983" s="16">
        <f>IF(CI982&gt;0,CI982*PARAM!$C$53,CI982)+CG983-CH983</f>
        <v>-353900.12500000111</v>
      </c>
      <c r="CJ983" s="15">
        <f t="shared" si="648"/>
        <v>0</v>
      </c>
      <c r="CK983" s="75">
        <f>CJ983*(1-PARAM!$C$27)*$R$4+(MOD($B983/12,5)=0)*($B983&gt;60)*HLOOKUP($B983/12,Loyalty,2)*$F$1*MAX(CM982,0)</f>
        <v>0</v>
      </c>
      <c r="CL983" s="75">
        <f>PARAM!$C$26+MAX($P$4-CHOOSE(PARAM!$B$44,MAX(0,CM982*$F$1),0),0)*RATES!$L959/12+$Q$4*(PARAM!$D$51/12)*RATES!$N959/100</f>
        <v>1190.0416666666667</v>
      </c>
      <c r="CM983" s="16">
        <f>IF(CM982&gt;0,CM982*PARAM!$C$53,CM982)+CK983-CL983</f>
        <v>-353900.12500000111</v>
      </c>
      <c r="CO983" s="176"/>
    </row>
    <row r="984" spans="1:93" x14ac:dyDescent="0.2">
      <c r="A984" t="b">
        <f t="shared" si="623"/>
        <v>0</v>
      </c>
      <c r="B984" s="33">
        <v>957</v>
      </c>
      <c r="C984" s="15">
        <f t="shared" si="624"/>
        <v>20.081305947392778</v>
      </c>
      <c r="D984" s="75">
        <f>C984*(1-PARAM!$C$27)*$I$3+(MOD($B984,60)=PARAM!$B$56)*($B984&gt;(60-PARAM!$B$56))*HLOOKUP(($B984+PARAM!$B$56)/12,Loyalty,2)*$F$1*MAX(F983,0)</f>
        <v>16.808053077967756</v>
      </c>
      <c r="E984" s="75">
        <f>PARAM!$C$26+MAX($G$3-CHOOSE(PARAM!$B$44,MAX(0,F983*$F$1),0),0)*RATES!$L960/12+$H$3*(PARAM!$D$51/12)*RATES!$N960/100</f>
        <v>1190.0416666666667</v>
      </c>
      <c r="F984" s="16">
        <f t="shared" si="625"/>
        <v>-339161.2850624579</v>
      </c>
      <c r="G984" s="15">
        <f t="shared" si="626"/>
        <v>22.035289406060361</v>
      </c>
      <c r="H984" s="75">
        <f>G984*(1-PARAM!$C$27)*$I$4+(MOD($B984,60)=PARAM!$B$56)*($B984&gt;(60-PARAM!$B$56))*HLOOKUP(($B984+PARAM!$B$56)/12,Loyalty,2)*$F$1*MAX(J983,0)</f>
        <v>18.443537232872522</v>
      </c>
      <c r="I984" s="75">
        <f>PARAM!$C$26+MAX($G$4-CHOOSE(PARAM!$B$44,MAX(0,J983*$F$1),0),0)*RATES!$L960/12+$H$4*(PARAM!$D$51/12)*RATES!$N960/100</f>
        <v>1190.0416666666667</v>
      </c>
      <c r="J984" s="16">
        <f t="shared" si="627"/>
        <v>-337562.29376208986</v>
      </c>
      <c r="K984" s="15">
        <f t="shared" si="628"/>
        <v>22.170849845882874</v>
      </c>
      <c r="L984" s="75">
        <f>K984*(1-PARAM!$C$27)*$I$5+(MOD($B984,60)=PARAM!$B$56)*($B984&gt;(60-PARAM!$B$56))*HLOOKUP(($B984+PARAM!$B$56)/12,Loyalty,2)*$F$1*MAX(N983,0)</f>
        <v>18.557001321003963</v>
      </c>
      <c r="M984" s="75">
        <f>PARAM!$C$26+MAX($G$5-CHOOSE(PARAM!$B$44,MAX(0,N983*$F$1),0),0)*RATES!$L960/12+$H$5*(PARAM!$D$51/12)*RATES!$N960/100</f>
        <v>1190.0416666666667</v>
      </c>
      <c r="N984" s="16">
        <f t="shared" si="629"/>
        <v>-337450.69109335</v>
      </c>
      <c r="O984" s="15">
        <f t="shared" si="630"/>
        <v>22.170849845882874</v>
      </c>
      <c r="P984" s="75">
        <f>O984*(1-PARAM!$C$27)*$I$6+(MOD($B984,60)=PARAM!$B$56)*($B984&gt;(60-PARAM!$B$56))*HLOOKUP(($B984+PARAM!$B$56)/12,Loyalty,2)*$F$1*MAX(R983,0)</f>
        <v>18.557001321003963</v>
      </c>
      <c r="Q984" s="75">
        <f>PARAM!$C$26+MAX($G$6-CHOOSE(PARAM!$B$44,MAX(0,R983*$F$1),0),0)*RATES!$L960/12+$H$6*(PARAM!$D$51/12)*RATES!$N960/100</f>
        <v>1190.0416666666667</v>
      </c>
      <c r="R984" s="16">
        <f t="shared" si="631"/>
        <v>-337450.69109335</v>
      </c>
      <c r="S984" s="15">
        <f t="shared" si="606"/>
        <v>22.170849845882874</v>
      </c>
      <c r="T984" s="75">
        <f>S984*(1-PARAM!$C$27)*$I$7+(MOD($B984,60)=PARAM!$B$56)*($B984&gt;(60-PARAM!$B$56))*HLOOKUP(($B984+PARAM!$B$56)/12,Loyalty,2)*$F$1*MAX(V983,0)</f>
        <v>18.557001321003963</v>
      </c>
      <c r="U984" s="75">
        <f>PARAM!$C$26+MAX($G$7-CHOOSE(PARAM!$B$44,MAX(0,V983*$F$1),0),0)*RATES!$L960/12+$H$7*(PARAM!$D$51/12)*RATES!$N960/100</f>
        <v>1190.0416666666667</v>
      </c>
      <c r="V984" s="16">
        <f t="shared" si="632"/>
        <v>-337450.69109335</v>
      </c>
      <c r="W984" s="15">
        <f t="shared" si="607"/>
        <v>22.170849845882874</v>
      </c>
      <c r="X984" s="75">
        <f>W984*(1-PARAM!$C$27)*$I$8+(MOD($B984,60)=PARAM!$B$56)*($B984&gt;(60-PARAM!$B$56))*HLOOKUP(($B984+PARAM!$B$56)/12,Loyalty,2)*$F$1*MAX(Z983,0)</f>
        <v>18.557001321003963</v>
      </c>
      <c r="Y984" s="75">
        <f>PARAM!$C$26+MAX($G$8-CHOOSE(PARAM!$B$44,MAX(0,Z983*$F$1),0),0)*RATES!$L960/12+$H$8*(PARAM!$D$51/12)*RATES!$N960/100</f>
        <v>1190.0416666666667</v>
      </c>
      <c r="Z984" s="16">
        <f t="shared" si="633"/>
        <v>-337450.69109335</v>
      </c>
      <c r="AA984" s="15">
        <f t="shared" si="608"/>
        <v>22.170849845882874</v>
      </c>
      <c r="AB984" s="75">
        <f>AA984*(1-PARAM!$C$27)*$I$9+(MOD($B984,60)=PARAM!$B$56)*($B984&gt;(60-PARAM!$B$56))*HLOOKUP(($B984+PARAM!$B$56)/12,Loyalty,2)*$F$1*MAX(AD983,0)</f>
        <v>18.557001321003963</v>
      </c>
      <c r="AC984" s="75">
        <f>PARAM!$C$26+MAX($G$9-CHOOSE(PARAM!$B$44,MAX(0,AD983*$F$1),0),0)*RATES!$L960/12+$H$9*(PARAM!$D$51/12)*RATES!$N960/100</f>
        <v>1190.0416666666667</v>
      </c>
      <c r="AD984" s="16">
        <f t="shared" si="634"/>
        <v>-337450.69109335</v>
      </c>
      <c r="AE984" s="15">
        <f t="shared" si="609"/>
        <v>22.170849845882874</v>
      </c>
      <c r="AF984" s="75">
        <f>AE984*(1-PARAM!$C$27)*$I$10+(MOD($B984,60)=PARAM!$B$56)*($B984&gt;(60-PARAM!$B$56))*HLOOKUP(($B984+PARAM!$B$56)/12,Loyalty,2)*$F$1*MAX(AH983,0)</f>
        <v>18.557001321003963</v>
      </c>
      <c r="AG984" s="75">
        <f>PARAM!$C$26+MAX($G$10-CHOOSE(PARAM!$B$44,MAX(0,AH983*$F$1),0),0)*RATES!$L960/12+$H$10*(PARAM!$D$51/12)*RATES!$N960/100</f>
        <v>1190.0416666666667</v>
      </c>
      <c r="AH984" s="16">
        <f t="shared" si="635"/>
        <v>-337450.69109335</v>
      </c>
      <c r="AI984" s="15">
        <f t="shared" si="610"/>
        <v>22.170849845882874</v>
      </c>
      <c r="AJ984" s="75">
        <f>AI984*(1-PARAM!$C$27)*$I$11+(MOD($B984,60)=PARAM!$B$56)*($B984&gt;(60-PARAM!$B$56))*HLOOKUP(($B984+PARAM!$B$56)/12,Loyalty,2)*$F$1*MAX(AL983,0)</f>
        <v>18.557001321003963</v>
      </c>
      <c r="AK984" s="75">
        <f>PARAM!$C$26+MAX($G$11-CHOOSE(PARAM!$B$44,MAX(0,AL983*$F$1),0),0)*RATES!$L960/12+$H$11*(PARAM!$D$51/12)*RATES!$N960/100</f>
        <v>1190.0416666666667</v>
      </c>
      <c r="AL984" s="16">
        <f t="shared" si="636"/>
        <v>-337450.69109335</v>
      </c>
      <c r="AM984" s="15">
        <f t="shared" si="611"/>
        <v>22.170849845882874</v>
      </c>
      <c r="AN984" s="75">
        <f>AM984*(1-PARAM!$C$27)*$I$12+(MOD($B984,60)=PARAM!$B$56)*($B984&gt;(60-PARAM!$B$56))*HLOOKUP(($B984+PARAM!$B$56)/12,Loyalty,2)*$F$1*MAX(AP983,0)</f>
        <v>18.557001321003963</v>
      </c>
      <c r="AO984" s="75">
        <f>PARAM!$C$26+MAX($G$12-CHOOSE(PARAM!$B$44,MAX(0,AP983*$F$1),0),0)*RATES!$L960/12+$H$12*(PARAM!$D$51/12)*RATES!$N960/100</f>
        <v>1190.0416666666667</v>
      </c>
      <c r="AP984" s="16">
        <f t="shared" si="637"/>
        <v>-337450.69109335</v>
      </c>
      <c r="AQ984" s="15">
        <f t="shared" si="612"/>
        <v>22.170849845882874</v>
      </c>
      <c r="AR984" s="75">
        <f>AQ984*(1-PARAM!$C$27)*$I$13+(MOD($B984,60)=PARAM!$B$56)*($B984&gt;(60-PARAM!$B$56))*HLOOKUP(($B984+PARAM!$B$56)/12,Loyalty,2)*$F$1*MAX(AT983,0)</f>
        <v>18.557001321003963</v>
      </c>
      <c r="AS984" s="75">
        <f>PARAM!$C$26+MAX($G$13-CHOOSE(PARAM!$B$44,MAX(0,AT983*$F$1),0),0)*RATES!$L960/12+$H$13*(PARAM!$D$51/12)*RATES!$N960/100</f>
        <v>1190.0416666666667</v>
      </c>
      <c r="AT984" s="16">
        <f t="shared" si="638"/>
        <v>-337450.69109335</v>
      </c>
      <c r="AU984" s="15">
        <f t="shared" si="613"/>
        <v>22.170849845882874</v>
      </c>
      <c r="AV984" s="75">
        <f>AU984*(1-PARAM!$C$27)*$I$14+(MOD($B984,60)=PARAM!$B$56)*($B984&gt;(60-PARAM!$B$56))*HLOOKUP(($B984+PARAM!$B$56)/12,Loyalty,2)*$F$1*MAX(AX983,0)</f>
        <v>18.557001321003963</v>
      </c>
      <c r="AW984" s="75">
        <f>PARAM!$C$26+MAX($G$14-CHOOSE(PARAM!$B$44,MAX(0,AX983*$F$1),0),0)*RATES!$L960/12+$H$14*(PARAM!$D$51/12)*RATES!$N960/100</f>
        <v>1190.0416666666667</v>
      </c>
      <c r="AX984" s="16">
        <f t="shared" si="639"/>
        <v>-337450.69109335</v>
      </c>
      <c r="AY984" s="15">
        <f t="shared" si="614"/>
        <v>22.170849845882874</v>
      </c>
      <c r="AZ984" s="75">
        <f>AY984*(1-PARAM!$C$27)*$I$15+(MOD($B984,60)=PARAM!$B$56)*($B984&gt;(60-PARAM!$B$56))*HLOOKUP(($B984+PARAM!$B$56)/12,Loyalty,2)*$F$1*MAX(BB983,0)</f>
        <v>18.557001321003963</v>
      </c>
      <c r="BA984" s="75">
        <f>PARAM!$C$26+MAX($G$15-CHOOSE(PARAM!$B$44,MAX(0,BB983*$F$1),0),0)*RATES!$L960/12+$H$15*(PARAM!$D$51/12)*RATES!$N960/100</f>
        <v>1190.0416666666667</v>
      </c>
      <c r="BB984" s="16">
        <f t="shared" si="640"/>
        <v>-337450.69109335</v>
      </c>
      <c r="BC984" s="15">
        <f t="shared" si="615"/>
        <v>22.170849845882874</v>
      </c>
      <c r="BD984" s="75">
        <f>BC984*(1-PARAM!$C$27)*$I$16+(MOD($B984,60)=PARAM!$B$56)*($B984&gt;(60-PARAM!$B$56))*HLOOKUP(($B984+PARAM!$B$56)/12,Loyalty,2)*$F$1*MAX(BF983,0)</f>
        <v>18.557001321003963</v>
      </c>
      <c r="BE984" s="75">
        <f>PARAM!$C$26+MAX($G$16-CHOOSE(PARAM!$B$44,MAX(0,BF983*$F$1),0),0)*RATES!$L960/12+$H$16*(PARAM!$D$51/12)*RATES!$N960/100</f>
        <v>1190.0416666666667</v>
      </c>
      <c r="BF984" s="16">
        <f t="shared" si="641"/>
        <v>-337450.69109335</v>
      </c>
      <c r="BG984" s="15">
        <f t="shared" si="616"/>
        <v>22.170849845882874</v>
      </c>
      <c r="BH984" s="75">
        <f>BG984*(1-PARAM!$C$27)*$I$17+(MOD($B984,60)=PARAM!$B$56)*($B984&gt;(60-PARAM!$B$56))*HLOOKUP(($B984+PARAM!$B$56)/12,Loyalty,2)*$F$1*MAX(BJ983,0)</f>
        <v>18.557001321003963</v>
      </c>
      <c r="BI984" s="75">
        <f>PARAM!$C$26+MAX($G$17-CHOOSE(PARAM!$B$44,MAX(0,BJ983*$F$1),0),0)*RATES!$L960/12+$H$17*(PARAM!$D$51/12)*RATES!$N960/100</f>
        <v>1190.0416666666667</v>
      </c>
      <c r="BJ984" s="16">
        <f t="shared" si="642"/>
        <v>-337450.69109335</v>
      </c>
      <c r="BK984" s="15">
        <f t="shared" si="617"/>
        <v>22.170849845882874</v>
      </c>
      <c r="BL984" s="75">
        <f>BK984*(1-PARAM!$C$27)*$I$18+(MOD($B984,60)=PARAM!$B$56)*($B984&gt;(60-PARAM!$B$56))*HLOOKUP(($B984+PARAM!$B$56)/12,Loyalty,2)*$F$1*MAX(BN983,0)</f>
        <v>18.557001321003963</v>
      </c>
      <c r="BM984" s="75">
        <f>PARAM!$C$26+MAX($G$18-CHOOSE(PARAM!$B$44,MAX(0,BN983*$F$1),0),0)*RATES!$L960/12+$H$18*(PARAM!$D$51/12)*RATES!$N960/100</f>
        <v>1190.0416666666667</v>
      </c>
      <c r="BN984" s="16">
        <f t="shared" si="643"/>
        <v>-337450.69109335</v>
      </c>
      <c r="BO984" s="15">
        <f t="shared" si="618"/>
        <v>22.170849845882874</v>
      </c>
      <c r="BP984" s="75">
        <f>BO984*(1-PARAM!$C$27)*$I$19+(MOD($B984,60)=PARAM!$B$56)*($B984&gt;(60-PARAM!$B$56))*HLOOKUP(($B984+PARAM!$B$56)/12,Loyalty,2)*$F$1*MAX(BR983,0)</f>
        <v>18.557001321003963</v>
      </c>
      <c r="BQ984" s="75">
        <f>PARAM!$C$26+MAX($G$19-CHOOSE(PARAM!$B$44,MAX(0,BR983*$F$1),0),0)*RATES!$L960/12+$H$19*(PARAM!$D$51/12)*RATES!$N960/100</f>
        <v>1190.0416666666667</v>
      </c>
      <c r="BR984" s="16">
        <f t="shared" si="644"/>
        <v>-337450.69109335</v>
      </c>
      <c r="BS984" s="15">
        <f t="shared" si="619"/>
        <v>22.170849845882874</v>
      </c>
      <c r="BT984" s="75">
        <f>BS984*(1-PARAM!$C$27)*$I$20+(MOD($B984,60)=PARAM!$B$56)*($B984&gt;(60-PARAM!$B$56))*HLOOKUP(($B984+PARAM!$B$56)/12,Loyalty,2)*$F$1*MAX(BV983,0)</f>
        <v>18.557001321003963</v>
      </c>
      <c r="BU984" s="75">
        <f>PARAM!$C$26+MAX($G$20-CHOOSE(PARAM!$B$44,MAX(0,BV983*$F$1),0),0)*RATES!$L960/12+$H$20*(PARAM!$D$51/12)*RATES!$N960/100</f>
        <v>1190.0416666666667</v>
      </c>
      <c r="BV984" s="16">
        <f t="shared" si="645"/>
        <v>-337450.69109335</v>
      </c>
      <c r="BW984" s="15">
        <f t="shared" si="620"/>
        <v>22.170849845882874</v>
      </c>
      <c r="BX984" s="75">
        <f>BW984*(1-PARAM!$C$27)*$I$21+(MOD($B984,60)=PARAM!$B$56)*($B984&gt;(60-PARAM!$B$56))*HLOOKUP(($B984+PARAM!$B$56)/12,Loyalty,2)*$F$1*MAX(BZ983,0)</f>
        <v>18.557001321003963</v>
      </c>
      <c r="BY984" s="75">
        <f>PARAM!$C$26+MAX($G$21-CHOOSE(PARAM!$B$44,MAX(0,BZ983*$F$1),0),0)*RATES!$L960/12+$H$21*(PARAM!$D$51/12)*RATES!$N960/100</f>
        <v>1190.0416666666667</v>
      </c>
      <c r="BZ984" s="16">
        <f t="shared" si="646"/>
        <v>-337450.69109335</v>
      </c>
      <c r="CA984" s="15">
        <f t="shared" si="621"/>
        <v>22.170849845882874</v>
      </c>
      <c r="CB984" s="75">
        <f>CA984*(1-PARAM!$C$27)*$I$22+(MOD($B984,60)=PARAM!$B$56)*($B984&gt;(60-PARAM!$B$56))*HLOOKUP(($B984+PARAM!$B$56)/12,Loyalty,2)*$F$1*MAX(CD983,0)</f>
        <v>18.557001321003963</v>
      </c>
      <c r="CC984" s="75">
        <f>PARAM!$C$26+MAX($G$22-CHOOSE(PARAM!$B$44,MAX(0,CD983*$F$1),0),0)*RATES!$L960/12+$H$22*(PARAM!$D$51/12)*RATES!$N960/100</f>
        <v>1190.0416666666667</v>
      </c>
      <c r="CD984" s="16">
        <f t="shared" si="647"/>
        <v>-337450.69109335</v>
      </c>
      <c r="CE984" s="33">
        <f>IF(0=MOD(B984,12/PARAM!$D$51),1,0)</f>
        <v>1</v>
      </c>
      <c r="CF984" s="15">
        <f t="shared" si="622"/>
        <v>0</v>
      </c>
      <c r="CG984" s="75">
        <f>CF984*(1-PARAM!$C$27)*$R$3+(MOD($B984/12,5)=0)*($B984&gt;60)*HLOOKUP($B984/12,Loyalty,2)*$F$1*MAX(CI983,0)</f>
        <v>0</v>
      </c>
      <c r="CH984" s="75">
        <f>PARAM!$C$26+MAX($P$3-CHOOSE(PARAM!$B$44,MAX(0,CI983*$F$1),0),0)*RATES!$L960/12+$Q$3*(PARAM!$D$51/12)*RATES!$N960/100</f>
        <v>1190.0416666666667</v>
      </c>
      <c r="CI984" s="16">
        <f>IF(CI983&gt;0,CI983*PARAM!$C$53,CI983)+CG984-CH984</f>
        <v>-355090.16666666779</v>
      </c>
      <c r="CJ984" s="15">
        <f t="shared" si="648"/>
        <v>0</v>
      </c>
      <c r="CK984" s="75">
        <f>CJ984*(1-PARAM!$C$27)*$R$4+(MOD($B984/12,5)=0)*($B984&gt;60)*HLOOKUP($B984/12,Loyalty,2)*$F$1*MAX(CM983,0)</f>
        <v>0</v>
      </c>
      <c r="CL984" s="75">
        <f>PARAM!$C$26+MAX($P$4-CHOOSE(PARAM!$B$44,MAX(0,CM983*$F$1),0),0)*RATES!$L960/12+$Q$4*(PARAM!$D$51/12)*RATES!$N960/100</f>
        <v>1190.0416666666667</v>
      </c>
      <c r="CM984" s="16">
        <f>IF(CM983&gt;0,CM983*PARAM!$C$53,CM983)+CK984-CL984</f>
        <v>-355090.16666666779</v>
      </c>
      <c r="CO984" s="176"/>
    </row>
    <row r="985" spans="1:93" x14ac:dyDescent="0.2">
      <c r="A985" t="b">
        <f t="shared" si="623"/>
        <v>0</v>
      </c>
      <c r="B985" s="33">
        <v>958</v>
      </c>
      <c r="C985" s="15">
        <f t="shared" si="624"/>
        <v>20.081305947392778</v>
      </c>
      <c r="D985" s="75">
        <f>C985*(1-PARAM!$C$27)*$I$3+(MOD($B985,60)=PARAM!$B$56)*($B985&gt;(60-PARAM!$B$56))*HLOOKUP(($B985+PARAM!$B$56)/12,Loyalty,2)*$F$1*MAX(F984,0)</f>
        <v>16.808053077967756</v>
      </c>
      <c r="E985" s="75">
        <f>PARAM!$C$26+MAX($G$3-CHOOSE(PARAM!$B$44,MAX(0,F984*$F$1),0),0)*RATES!$L961/12+$H$3*(PARAM!$D$51/12)*RATES!$N961/100</f>
        <v>1190.0416666666667</v>
      </c>
      <c r="F985" s="16">
        <f t="shared" si="625"/>
        <v>-340334.51867604663</v>
      </c>
      <c r="G985" s="15">
        <f t="shared" si="626"/>
        <v>22.035289406060361</v>
      </c>
      <c r="H985" s="75">
        <f>G985*(1-PARAM!$C$27)*$I$4+(MOD($B985,60)=PARAM!$B$56)*($B985&gt;(60-PARAM!$B$56))*HLOOKUP(($B985+PARAM!$B$56)/12,Loyalty,2)*$F$1*MAX(J984,0)</f>
        <v>18.443537232872522</v>
      </c>
      <c r="I985" s="75">
        <f>PARAM!$C$26+MAX($G$4-CHOOSE(PARAM!$B$44,MAX(0,J984*$F$1),0),0)*RATES!$L961/12+$H$4*(PARAM!$D$51/12)*RATES!$N961/100</f>
        <v>1190.0416666666667</v>
      </c>
      <c r="J985" s="16">
        <f t="shared" si="627"/>
        <v>-338733.89189152367</v>
      </c>
      <c r="K985" s="15">
        <f t="shared" si="628"/>
        <v>22.170849845882874</v>
      </c>
      <c r="L985" s="75">
        <f>K985*(1-PARAM!$C$27)*$I$5+(MOD($B985,60)=PARAM!$B$56)*($B985&gt;(60-PARAM!$B$56))*HLOOKUP(($B985+PARAM!$B$56)/12,Loyalty,2)*$F$1*MAX(N984,0)</f>
        <v>18.557001321003963</v>
      </c>
      <c r="M985" s="75">
        <f>PARAM!$C$26+MAX($G$5-CHOOSE(PARAM!$B$44,MAX(0,N984*$F$1),0),0)*RATES!$L961/12+$H$5*(PARAM!$D$51/12)*RATES!$N961/100</f>
        <v>1190.0416666666667</v>
      </c>
      <c r="N985" s="16">
        <f t="shared" si="629"/>
        <v>-338622.1757586957</v>
      </c>
      <c r="O985" s="15">
        <f t="shared" si="630"/>
        <v>22.170849845882874</v>
      </c>
      <c r="P985" s="75">
        <f>O985*(1-PARAM!$C$27)*$I$6+(MOD($B985,60)=PARAM!$B$56)*($B985&gt;(60-PARAM!$B$56))*HLOOKUP(($B985+PARAM!$B$56)/12,Loyalty,2)*$F$1*MAX(R984,0)</f>
        <v>18.557001321003963</v>
      </c>
      <c r="Q985" s="75">
        <f>PARAM!$C$26+MAX($G$6-CHOOSE(PARAM!$B$44,MAX(0,R984*$F$1),0),0)*RATES!$L961/12+$H$6*(PARAM!$D$51/12)*RATES!$N961/100</f>
        <v>1190.0416666666667</v>
      </c>
      <c r="R985" s="16">
        <f t="shared" si="631"/>
        <v>-338622.1757586957</v>
      </c>
      <c r="S985" s="15">
        <f t="shared" si="606"/>
        <v>22.170849845882874</v>
      </c>
      <c r="T985" s="75">
        <f>S985*(1-PARAM!$C$27)*$I$7+(MOD($B985,60)=PARAM!$B$56)*($B985&gt;(60-PARAM!$B$56))*HLOOKUP(($B985+PARAM!$B$56)/12,Loyalty,2)*$F$1*MAX(V984,0)</f>
        <v>18.557001321003963</v>
      </c>
      <c r="U985" s="75">
        <f>PARAM!$C$26+MAX($G$7-CHOOSE(PARAM!$B$44,MAX(0,V984*$F$1),0),0)*RATES!$L961/12+$H$7*(PARAM!$D$51/12)*RATES!$N961/100</f>
        <v>1190.0416666666667</v>
      </c>
      <c r="V985" s="16">
        <f t="shared" si="632"/>
        <v>-338622.1757586957</v>
      </c>
      <c r="W985" s="15">
        <f t="shared" si="607"/>
        <v>22.170849845882874</v>
      </c>
      <c r="X985" s="75">
        <f>W985*(1-PARAM!$C$27)*$I$8+(MOD($B985,60)=PARAM!$B$56)*($B985&gt;(60-PARAM!$B$56))*HLOOKUP(($B985+PARAM!$B$56)/12,Loyalty,2)*$F$1*MAX(Z984,0)</f>
        <v>18.557001321003963</v>
      </c>
      <c r="Y985" s="75">
        <f>PARAM!$C$26+MAX($G$8-CHOOSE(PARAM!$B$44,MAX(0,Z984*$F$1),0),0)*RATES!$L961/12+$H$8*(PARAM!$D$51/12)*RATES!$N961/100</f>
        <v>1190.0416666666667</v>
      </c>
      <c r="Z985" s="16">
        <f t="shared" si="633"/>
        <v>-338622.1757586957</v>
      </c>
      <c r="AA985" s="15">
        <f t="shared" si="608"/>
        <v>22.170849845882874</v>
      </c>
      <c r="AB985" s="75">
        <f>AA985*(1-PARAM!$C$27)*$I$9+(MOD($B985,60)=PARAM!$B$56)*($B985&gt;(60-PARAM!$B$56))*HLOOKUP(($B985+PARAM!$B$56)/12,Loyalty,2)*$F$1*MAX(AD984,0)</f>
        <v>18.557001321003963</v>
      </c>
      <c r="AC985" s="75">
        <f>PARAM!$C$26+MAX($G$9-CHOOSE(PARAM!$B$44,MAX(0,AD984*$F$1),0),0)*RATES!$L961/12+$H$9*(PARAM!$D$51/12)*RATES!$N961/100</f>
        <v>1190.0416666666667</v>
      </c>
      <c r="AD985" s="16">
        <f t="shared" si="634"/>
        <v>-338622.1757586957</v>
      </c>
      <c r="AE985" s="15">
        <f t="shared" si="609"/>
        <v>22.170849845882874</v>
      </c>
      <c r="AF985" s="75">
        <f>AE985*(1-PARAM!$C$27)*$I$10+(MOD($B985,60)=PARAM!$B$56)*($B985&gt;(60-PARAM!$B$56))*HLOOKUP(($B985+PARAM!$B$56)/12,Loyalty,2)*$F$1*MAX(AH984,0)</f>
        <v>18.557001321003963</v>
      </c>
      <c r="AG985" s="75">
        <f>PARAM!$C$26+MAX($G$10-CHOOSE(PARAM!$B$44,MAX(0,AH984*$F$1),0),0)*RATES!$L961/12+$H$10*(PARAM!$D$51/12)*RATES!$N961/100</f>
        <v>1190.0416666666667</v>
      </c>
      <c r="AH985" s="16">
        <f t="shared" si="635"/>
        <v>-338622.1757586957</v>
      </c>
      <c r="AI985" s="15">
        <f t="shared" si="610"/>
        <v>22.170849845882874</v>
      </c>
      <c r="AJ985" s="75">
        <f>AI985*(1-PARAM!$C$27)*$I$11+(MOD($B985,60)=PARAM!$B$56)*($B985&gt;(60-PARAM!$B$56))*HLOOKUP(($B985+PARAM!$B$56)/12,Loyalty,2)*$F$1*MAX(AL984,0)</f>
        <v>18.557001321003963</v>
      </c>
      <c r="AK985" s="75">
        <f>PARAM!$C$26+MAX($G$11-CHOOSE(PARAM!$B$44,MAX(0,AL984*$F$1),0),0)*RATES!$L961/12+$H$11*(PARAM!$D$51/12)*RATES!$N961/100</f>
        <v>1190.0416666666667</v>
      </c>
      <c r="AL985" s="16">
        <f t="shared" si="636"/>
        <v>-338622.1757586957</v>
      </c>
      <c r="AM985" s="15">
        <f t="shared" si="611"/>
        <v>22.170849845882874</v>
      </c>
      <c r="AN985" s="75">
        <f>AM985*(1-PARAM!$C$27)*$I$12+(MOD($B985,60)=PARAM!$B$56)*($B985&gt;(60-PARAM!$B$56))*HLOOKUP(($B985+PARAM!$B$56)/12,Loyalty,2)*$F$1*MAX(AP984,0)</f>
        <v>18.557001321003963</v>
      </c>
      <c r="AO985" s="75">
        <f>PARAM!$C$26+MAX($G$12-CHOOSE(PARAM!$B$44,MAX(0,AP984*$F$1),0),0)*RATES!$L961/12+$H$12*(PARAM!$D$51/12)*RATES!$N961/100</f>
        <v>1190.0416666666667</v>
      </c>
      <c r="AP985" s="16">
        <f t="shared" si="637"/>
        <v>-338622.1757586957</v>
      </c>
      <c r="AQ985" s="15">
        <f t="shared" si="612"/>
        <v>22.170849845882874</v>
      </c>
      <c r="AR985" s="75">
        <f>AQ985*(1-PARAM!$C$27)*$I$13+(MOD($B985,60)=PARAM!$B$56)*($B985&gt;(60-PARAM!$B$56))*HLOOKUP(($B985+PARAM!$B$56)/12,Loyalty,2)*$F$1*MAX(AT984,0)</f>
        <v>18.557001321003963</v>
      </c>
      <c r="AS985" s="75">
        <f>PARAM!$C$26+MAX($G$13-CHOOSE(PARAM!$B$44,MAX(0,AT984*$F$1),0),0)*RATES!$L961/12+$H$13*(PARAM!$D$51/12)*RATES!$N961/100</f>
        <v>1190.0416666666667</v>
      </c>
      <c r="AT985" s="16">
        <f t="shared" si="638"/>
        <v>-338622.1757586957</v>
      </c>
      <c r="AU985" s="15">
        <f t="shared" si="613"/>
        <v>22.170849845882874</v>
      </c>
      <c r="AV985" s="75">
        <f>AU985*(1-PARAM!$C$27)*$I$14+(MOD($B985,60)=PARAM!$B$56)*($B985&gt;(60-PARAM!$B$56))*HLOOKUP(($B985+PARAM!$B$56)/12,Loyalty,2)*$F$1*MAX(AX984,0)</f>
        <v>18.557001321003963</v>
      </c>
      <c r="AW985" s="75">
        <f>PARAM!$C$26+MAX($G$14-CHOOSE(PARAM!$B$44,MAX(0,AX984*$F$1),0),0)*RATES!$L961/12+$H$14*(PARAM!$D$51/12)*RATES!$N961/100</f>
        <v>1190.0416666666667</v>
      </c>
      <c r="AX985" s="16">
        <f t="shared" si="639"/>
        <v>-338622.1757586957</v>
      </c>
      <c r="AY985" s="15">
        <f t="shared" si="614"/>
        <v>22.170849845882874</v>
      </c>
      <c r="AZ985" s="75">
        <f>AY985*(1-PARAM!$C$27)*$I$15+(MOD($B985,60)=PARAM!$B$56)*($B985&gt;(60-PARAM!$B$56))*HLOOKUP(($B985+PARAM!$B$56)/12,Loyalty,2)*$F$1*MAX(BB984,0)</f>
        <v>18.557001321003963</v>
      </c>
      <c r="BA985" s="75">
        <f>PARAM!$C$26+MAX($G$15-CHOOSE(PARAM!$B$44,MAX(0,BB984*$F$1),0),0)*RATES!$L961/12+$H$15*(PARAM!$D$51/12)*RATES!$N961/100</f>
        <v>1190.0416666666667</v>
      </c>
      <c r="BB985" s="16">
        <f t="shared" si="640"/>
        <v>-338622.1757586957</v>
      </c>
      <c r="BC985" s="15">
        <f t="shared" si="615"/>
        <v>22.170849845882874</v>
      </c>
      <c r="BD985" s="75">
        <f>BC985*(1-PARAM!$C$27)*$I$16+(MOD($B985,60)=PARAM!$B$56)*($B985&gt;(60-PARAM!$B$56))*HLOOKUP(($B985+PARAM!$B$56)/12,Loyalty,2)*$F$1*MAX(BF984,0)</f>
        <v>18.557001321003963</v>
      </c>
      <c r="BE985" s="75">
        <f>PARAM!$C$26+MAX($G$16-CHOOSE(PARAM!$B$44,MAX(0,BF984*$F$1),0),0)*RATES!$L961/12+$H$16*(PARAM!$D$51/12)*RATES!$N961/100</f>
        <v>1190.0416666666667</v>
      </c>
      <c r="BF985" s="16">
        <f t="shared" si="641"/>
        <v>-338622.1757586957</v>
      </c>
      <c r="BG985" s="15">
        <f t="shared" si="616"/>
        <v>22.170849845882874</v>
      </c>
      <c r="BH985" s="75">
        <f>BG985*(1-PARAM!$C$27)*$I$17+(MOD($B985,60)=PARAM!$B$56)*($B985&gt;(60-PARAM!$B$56))*HLOOKUP(($B985+PARAM!$B$56)/12,Loyalty,2)*$F$1*MAX(BJ984,0)</f>
        <v>18.557001321003963</v>
      </c>
      <c r="BI985" s="75">
        <f>PARAM!$C$26+MAX($G$17-CHOOSE(PARAM!$B$44,MAX(0,BJ984*$F$1),0),0)*RATES!$L961/12+$H$17*(PARAM!$D$51/12)*RATES!$N961/100</f>
        <v>1190.0416666666667</v>
      </c>
      <c r="BJ985" s="16">
        <f t="shared" si="642"/>
        <v>-338622.1757586957</v>
      </c>
      <c r="BK985" s="15">
        <f t="shared" si="617"/>
        <v>22.170849845882874</v>
      </c>
      <c r="BL985" s="75">
        <f>BK985*(1-PARAM!$C$27)*$I$18+(MOD($B985,60)=PARAM!$B$56)*($B985&gt;(60-PARAM!$B$56))*HLOOKUP(($B985+PARAM!$B$56)/12,Loyalty,2)*$F$1*MAX(BN984,0)</f>
        <v>18.557001321003963</v>
      </c>
      <c r="BM985" s="75">
        <f>PARAM!$C$26+MAX($G$18-CHOOSE(PARAM!$B$44,MAX(0,BN984*$F$1),0),0)*RATES!$L961/12+$H$18*(PARAM!$D$51/12)*RATES!$N961/100</f>
        <v>1190.0416666666667</v>
      </c>
      <c r="BN985" s="16">
        <f t="shared" si="643"/>
        <v>-338622.1757586957</v>
      </c>
      <c r="BO985" s="15">
        <f t="shared" si="618"/>
        <v>22.170849845882874</v>
      </c>
      <c r="BP985" s="75">
        <f>BO985*(1-PARAM!$C$27)*$I$19+(MOD($B985,60)=PARAM!$B$56)*($B985&gt;(60-PARAM!$B$56))*HLOOKUP(($B985+PARAM!$B$56)/12,Loyalty,2)*$F$1*MAX(BR984,0)</f>
        <v>18.557001321003963</v>
      </c>
      <c r="BQ985" s="75">
        <f>PARAM!$C$26+MAX($G$19-CHOOSE(PARAM!$B$44,MAX(0,BR984*$F$1),0),0)*RATES!$L961/12+$H$19*(PARAM!$D$51/12)*RATES!$N961/100</f>
        <v>1190.0416666666667</v>
      </c>
      <c r="BR985" s="16">
        <f t="shared" si="644"/>
        <v>-338622.1757586957</v>
      </c>
      <c r="BS985" s="15">
        <f t="shared" si="619"/>
        <v>22.170849845882874</v>
      </c>
      <c r="BT985" s="75">
        <f>BS985*(1-PARAM!$C$27)*$I$20+(MOD($B985,60)=PARAM!$B$56)*($B985&gt;(60-PARAM!$B$56))*HLOOKUP(($B985+PARAM!$B$56)/12,Loyalty,2)*$F$1*MAX(BV984,0)</f>
        <v>18.557001321003963</v>
      </c>
      <c r="BU985" s="75">
        <f>PARAM!$C$26+MAX($G$20-CHOOSE(PARAM!$B$44,MAX(0,BV984*$F$1),0),0)*RATES!$L961/12+$H$20*(PARAM!$D$51/12)*RATES!$N961/100</f>
        <v>1190.0416666666667</v>
      </c>
      <c r="BV985" s="16">
        <f t="shared" si="645"/>
        <v>-338622.1757586957</v>
      </c>
      <c r="BW985" s="15">
        <f t="shared" si="620"/>
        <v>22.170849845882874</v>
      </c>
      <c r="BX985" s="75">
        <f>BW985*(1-PARAM!$C$27)*$I$21+(MOD($B985,60)=PARAM!$B$56)*($B985&gt;(60-PARAM!$B$56))*HLOOKUP(($B985+PARAM!$B$56)/12,Loyalty,2)*$F$1*MAX(BZ984,0)</f>
        <v>18.557001321003963</v>
      </c>
      <c r="BY985" s="75">
        <f>PARAM!$C$26+MAX($G$21-CHOOSE(PARAM!$B$44,MAX(0,BZ984*$F$1),0),0)*RATES!$L961/12+$H$21*(PARAM!$D$51/12)*RATES!$N961/100</f>
        <v>1190.0416666666667</v>
      </c>
      <c r="BZ985" s="16">
        <f t="shared" si="646"/>
        <v>-338622.1757586957</v>
      </c>
      <c r="CA985" s="15">
        <f t="shared" si="621"/>
        <v>22.170849845882874</v>
      </c>
      <c r="CB985" s="75">
        <f>CA985*(1-PARAM!$C$27)*$I$22+(MOD($B985,60)=PARAM!$B$56)*($B985&gt;(60-PARAM!$B$56))*HLOOKUP(($B985+PARAM!$B$56)/12,Loyalty,2)*$F$1*MAX(CD984,0)</f>
        <v>18.557001321003963</v>
      </c>
      <c r="CC985" s="75">
        <f>PARAM!$C$26+MAX($G$22-CHOOSE(PARAM!$B$44,MAX(0,CD984*$F$1),0),0)*RATES!$L961/12+$H$22*(PARAM!$D$51/12)*RATES!$N961/100</f>
        <v>1190.0416666666667</v>
      </c>
      <c r="CD985" s="16">
        <f t="shared" si="647"/>
        <v>-338622.1757586957</v>
      </c>
      <c r="CE985" s="33">
        <f>IF(0=MOD(B985,12/PARAM!$D$51),1,0)</f>
        <v>1</v>
      </c>
      <c r="CF985" s="15">
        <f t="shared" si="622"/>
        <v>0</v>
      </c>
      <c r="CG985" s="75">
        <f>CF985*(1-PARAM!$C$27)*$R$3+(MOD($B985/12,5)=0)*($B985&gt;60)*HLOOKUP($B985/12,Loyalty,2)*$F$1*MAX(CI984,0)</f>
        <v>0</v>
      </c>
      <c r="CH985" s="75">
        <f>PARAM!$C$26+MAX($P$3-CHOOSE(PARAM!$B$44,MAX(0,CI984*$F$1),0),0)*RATES!$L961/12+$Q$3*(PARAM!$D$51/12)*RATES!$N961/100</f>
        <v>1190.0416666666667</v>
      </c>
      <c r="CI985" s="16">
        <f>IF(CI984&gt;0,CI984*PARAM!$C$53,CI984)+CG985-CH985</f>
        <v>-356280.20833333448</v>
      </c>
      <c r="CJ985" s="15">
        <f t="shared" si="648"/>
        <v>0</v>
      </c>
      <c r="CK985" s="75">
        <f>CJ985*(1-PARAM!$C$27)*$R$4+(MOD($B985/12,5)=0)*($B985&gt;60)*HLOOKUP($B985/12,Loyalty,2)*$F$1*MAX(CM984,0)</f>
        <v>0</v>
      </c>
      <c r="CL985" s="75">
        <f>PARAM!$C$26+MAX($P$4-CHOOSE(PARAM!$B$44,MAX(0,CM984*$F$1),0),0)*RATES!$L961/12+$Q$4*(PARAM!$D$51/12)*RATES!$N961/100</f>
        <v>1190.0416666666667</v>
      </c>
      <c r="CM985" s="16">
        <f>IF(CM984&gt;0,CM984*PARAM!$C$53,CM984)+CK985-CL985</f>
        <v>-356280.20833333448</v>
      </c>
      <c r="CO985" s="176"/>
    </row>
    <row r="986" spans="1:93" x14ac:dyDescent="0.2">
      <c r="A986" t="b">
        <f t="shared" si="623"/>
        <v>0</v>
      </c>
      <c r="B986" s="33">
        <v>959</v>
      </c>
      <c r="C986" s="15">
        <f t="shared" si="624"/>
        <v>20.081305947392778</v>
      </c>
      <c r="D986" s="75">
        <f>C986*(1-PARAM!$C$27)*$I$3+(MOD($B986,60)=PARAM!$B$56)*($B986&gt;(60-PARAM!$B$56))*HLOOKUP(($B986+PARAM!$B$56)/12,Loyalty,2)*$F$1*MAX(F985,0)</f>
        <v>16.808053077967756</v>
      </c>
      <c r="E986" s="75">
        <f>PARAM!$C$26+MAX($G$3-CHOOSE(PARAM!$B$44,MAX(0,F985*$F$1),0),0)*RATES!$L962/12+$H$3*(PARAM!$D$51/12)*RATES!$N962/100</f>
        <v>1190.0416666666667</v>
      </c>
      <c r="F986" s="16">
        <f t="shared" si="625"/>
        <v>-341507.75228963536</v>
      </c>
      <c r="G986" s="15">
        <f t="shared" si="626"/>
        <v>22.035289406060361</v>
      </c>
      <c r="H986" s="75">
        <f>G986*(1-PARAM!$C$27)*$I$4+(MOD($B986,60)=PARAM!$B$56)*($B986&gt;(60-PARAM!$B$56))*HLOOKUP(($B986+PARAM!$B$56)/12,Loyalty,2)*$F$1*MAX(J985,0)</f>
        <v>18.443537232872522</v>
      </c>
      <c r="I986" s="75">
        <f>PARAM!$C$26+MAX($G$4-CHOOSE(PARAM!$B$44,MAX(0,J985*$F$1),0),0)*RATES!$L962/12+$H$4*(PARAM!$D$51/12)*RATES!$N962/100</f>
        <v>1190.0416666666667</v>
      </c>
      <c r="J986" s="16">
        <f t="shared" si="627"/>
        <v>-339905.49002095748</v>
      </c>
      <c r="K986" s="15">
        <f t="shared" si="628"/>
        <v>22.170849845882874</v>
      </c>
      <c r="L986" s="75">
        <f>K986*(1-PARAM!$C$27)*$I$5+(MOD($B986,60)=PARAM!$B$56)*($B986&gt;(60-PARAM!$B$56))*HLOOKUP(($B986+PARAM!$B$56)/12,Loyalty,2)*$F$1*MAX(N985,0)</f>
        <v>18.557001321003963</v>
      </c>
      <c r="M986" s="75">
        <f>PARAM!$C$26+MAX($G$5-CHOOSE(PARAM!$B$44,MAX(0,N985*$F$1),0),0)*RATES!$L962/12+$H$5*(PARAM!$D$51/12)*RATES!$N962/100</f>
        <v>1190.0416666666667</v>
      </c>
      <c r="N986" s="16">
        <f t="shared" si="629"/>
        <v>-339793.66042404139</v>
      </c>
      <c r="O986" s="15">
        <f t="shared" si="630"/>
        <v>22.170849845882874</v>
      </c>
      <c r="P986" s="75">
        <f>O986*(1-PARAM!$C$27)*$I$6+(MOD($B986,60)=PARAM!$B$56)*($B986&gt;(60-PARAM!$B$56))*HLOOKUP(($B986+PARAM!$B$56)/12,Loyalty,2)*$F$1*MAX(R985,0)</f>
        <v>18.557001321003963</v>
      </c>
      <c r="Q986" s="75">
        <f>PARAM!$C$26+MAX($G$6-CHOOSE(PARAM!$B$44,MAX(0,R985*$F$1),0),0)*RATES!$L962/12+$H$6*(PARAM!$D$51/12)*RATES!$N962/100</f>
        <v>1190.0416666666667</v>
      </c>
      <c r="R986" s="16">
        <f t="shared" si="631"/>
        <v>-339793.66042404139</v>
      </c>
      <c r="S986" s="15">
        <f t="shared" si="606"/>
        <v>22.170849845882874</v>
      </c>
      <c r="T986" s="75">
        <f>S986*(1-PARAM!$C$27)*$I$7+(MOD($B986,60)=PARAM!$B$56)*($B986&gt;(60-PARAM!$B$56))*HLOOKUP(($B986+PARAM!$B$56)/12,Loyalty,2)*$F$1*MAX(V985,0)</f>
        <v>18.557001321003963</v>
      </c>
      <c r="U986" s="75">
        <f>PARAM!$C$26+MAX($G$7-CHOOSE(PARAM!$B$44,MAX(0,V985*$F$1),0),0)*RATES!$L962/12+$H$7*(PARAM!$D$51/12)*RATES!$N962/100</f>
        <v>1190.0416666666667</v>
      </c>
      <c r="V986" s="16">
        <f t="shared" si="632"/>
        <v>-339793.66042404139</v>
      </c>
      <c r="W986" s="15">
        <f t="shared" si="607"/>
        <v>22.170849845882874</v>
      </c>
      <c r="X986" s="75">
        <f>W986*(1-PARAM!$C$27)*$I$8+(MOD($B986,60)=PARAM!$B$56)*($B986&gt;(60-PARAM!$B$56))*HLOOKUP(($B986+PARAM!$B$56)/12,Loyalty,2)*$F$1*MAX(Z985,0)</f>
        <v>18.557001321003963</v>
      </c>
      <c r="Y986" s="75">
        <f>PARAM!$C$26+MAX($G$8-CHOOSE(PARAM!$B$44,MAX(0,Z985*$F$1),0),0)*RATES!$L962/12+$H$8*(PARAM!$D$51/12)*RATES!$N962/100</f>
        <v>1190.0416666666667</v>
      </c>
      <c r="Z986" s="16">
        <f t="shared" si="633"/>
        <v>-339793.66042404139</v>
      </c>
      <c r="AA986" s="15">
        <f t="shared" si="608"/>
        <v>22.170849845882874</v>
      </c>
      <c r="AB986" s="75">
        <f>AA986*(1-PARAM!$C$27)*$I$9+(MOD($B986,60)=PARAM!$B$56)*($B986&gt;(60-PARAM!$B$56))*HLOOKUP(($B986+PARAM!$B$56)/12,Loyalty,2)*$F$1*MAX(AD985,0)</f>
        <v>18.557001321003963</v>
      </c>
      <c r="AC986" s="75">
        <f>PARAM!$C$26+MAX($G$9-CHOOSE(PARAM!$B$44,MAX(0,AD985*$F$1),0),0)*RATES!$L962/12+$H$9*(PARAM!$D$51/12)*RATES!$N962/100</f>
        <v>1190.0416666666667</v>
      </c>
      <c r="AD986" s="16">
        <f t="shared" si="634"/>
        <v>-339793.66042404139</v>
      </c>
      <c r="AE986" s="15">
        <f t="shared" si="609"/>
        <v>22.170849845882874</v>
      </c>
      <c r="AF986" s="75">
        <f>AE986*(1-PARAM!$C$27)*$I$10+(MOD($B986,60)=PARAM!$B$56)*($B986&gt;(60-PARAM!$B$56))*HLOOKUP(($B986+PARAM!$B$56)/12,Loyalty,2)*$F$1*MAX(AH985,0)</f>
        <v>18.557001321003963</v>
      </c>
      <c r="AG986" s="75">
        <f>PARAM!$C$26+MAX($G$10-CHOOSE(PARAM!$B$44,MAX(0,AH985*$F$1),0),0)*RATES!$L962/12+$H$10*(PARAM!$D$51/12)*RATES!$N962/100</f>
        <v>1190.0416666666667</v>
      </c>
      <c r="AH986" s="16">
        <f t="shared" si="635"/>
        <v>-339793.66042404139</v>
      </c>
      <c r="AI986" s="15">
        <f t="shared" si="610"/>
        <v>22.170849845882874</v>
      </c>
      <c r="AJ986" s="75">
        <f>AI986*(1-PARAM!$C$27)*$I$11+(MOD($B986,60)=PARAM!$B$56)*($B986&gt;(60-PARAM!$B$56))*HLOOKUP(($B986+PARAM!$B$56)/12,Loyalty,2)*$F$1*MAX(AL985,0)</f>
        <v>18.557001321003963</v>
      </c>
      <c r="AK986" s="75">
        <f>PARAM!$C$26+MAX($G$11-CHOOSE(PARAM!$B$44,MAX(0,AL985*$F$1),0),0)*RATES!$L962/12+$H$11*(PARAM!$D$51/12)*RATES!$N962/100</f>
        <v>1190.0416666666667</v>
      </c>
      <c r="AL986" s="16">
        <f t="shared" si="636"/>
        <v>-339793.66042404139</v>
      </c>
      <c r="AM986" s="15">
        <f t="shared" si="611"/>
        <v>22.170849845882874</v>
      </c>
      <c r="AN986" s="75">
        <f>AM986*(1-PARAM!$C$27)*$I$12+(MOD($B986,60)=PARAM!$B$56)*($B986&gt;(60-PARAM!$B$56))*HLOOKUP(($B986+PARAM!$B$56)/12,Loyalty,2)*$F$1*MAX(AP985,0)</f>
        <v>18.557001321003963</v>
      </c>
      <c r="AO986" s="75">
        <f>PARAM!$C$26+MAX($G$12-CHOOSE(PARAM!$B$44,MAX(0,AP985*$F$1),0),0)*RATES!$L962/12+$H$12*(PARAM!$D$51/12)*RATES!$N962/100</f>
        <v>1190.0416666666667</v>
      </c>
      <c r="AP986" s="16">
        <f t="shared" si="637"/>
        <v>-339793.66042404139</v>
      </c>
      <c r="AQ986" s="15">
        <f t="shared" si="612"/>
        <v>22.170849845882874</v>
      </c>
      <c r="AR986" s="75">
        <f>AQ986*(1-PARAM!$C$27)*$I$13+(MOD($B986,60)=PARAM!$B$56)*($B986&gt;(60-PARAM!$B$56))*HLOOKUP(($B986+PARAM!$B$56)/12,Loyalty,2)*$F$1*MAX(AT985,0)</f>
        <v>18.557001321003963</v>
      </c>
      <c r="AS986" s="75">
        <f>PARAM!$C$26+MAX($G$13-CHOOSE(PARAM!$B$44,MAX(0,AT985*$F$1),0),0)*RATES!$L962/12+$H$13*(PARAM!$D$51/12)*RATES!$N962/100</f>
        <v>1190.0416666666667</v>
      </c>
      <c r="AT986" s="16">
        <f t="shared" si="638"/>
        <v>-339793.66042404139</v>
      </c>
      <c r="AU986" s="15">
        <f t="shared" si="613"/>
        <v>22.170849845882874</v>
      </c>
      <c r="AV986" s="75">
        <f>AU986*(1-PARAM!$C$27)*$I$14+(MOD($B986,60)=PARAM!$B$56)*($B986&gt;(60-PARAM!$B$56))*HLOOKUP(($B986+PARAM!$B$56)/12,Loyalty,2)*$F$1*MAX(AX985,0)</f>
        <v>18.557001321003963</v>
      </c>
      <c r="AW986" s="75">
        <f>PARAM!$C$26+MAX($G$14-CHOOSE(PARAM!$B$44,MAX(0,AX985*$F$1),0),0)*RATES!$L962/12+$H$14*(PARAM!$D$51/12)*RATES!$N962/100</f>
        <v>1190.0416666666667</v>
      </c>
      <c r="AX986" s="16">
        <f t="shared" si="639"/>
        <v>-339793.66042404139</v>
      </c>
      <c r="AY986" s="15">
        <f t="shared" si="614"/>
        <v>22.170849845882874</v>
      </c>
      <c r="AZ986" s="75">
        <f>AY986*(1-PARAM!$C$27)*$I$15+(MOD($B986,60)=PARAM!$B$56)*($B986&gt;(60-PARAM!$B$56))*HLOOKUP(($B986+PARAM!$B$56)/12,Loyalty,2)*$F$1*MAX(BB985,0)</f>
        <v>18.557001321003963</v>
      </c>
      <c r="BA986" s="75">
        <f>PARAM!$C$26+MAX($G$15-CHOOSE(PARAM!$B$44,MAX(0,BB985*$F$1),0),0)*RATES!$L962/12+$H$15*(PARAM!$D$51/12)*RATES!$N962/100</f>
        <v>1190.0416666666667</v>
      </c>
      <c r="BB986" s="16">
        <f t="shared" si="640"/>
        <v>-339793.66042404139</v>
      </c>
      <c r="BC986" s="15">
        <f t="shared" si="615"/>
        <v>22.170849845882874</v>
      </c>
      <c r="BD986" s="75">
        <f>BC986*(1-PARAM!$C$27)*$I$16+(MOD($B986,60)=PARAM!$B$56)*($B986&gt;(60-PARAM!$B$56))*HLOOKUP(($B986+PARAM!$B$56)/12,Loyalty,2)*$F$1*MAX(BF985,0)</f>
        <v>18.557001321003963</v>
      </c>
      <c r="BE986" s="75">
        <f>PARAM!$C$26+MAX($G$16-CHOOSE(PARAM!$B$44,MAX(0,BF985*$F$1),0),0)*RATES!$L962/12+$H$16*(PARAM!$D$51/12)*RATES!$N962/100</f>
        <v>1190.0416666666667</v>
      </c>
      <c r="BF986" s="16">
        <f t="shared" si="641"/>
        <v>-339793.66042404139</v>
      </c>
      <c r="BG986" s="15">
        <f t="shared" si="616"/>
        <v>22.170849845882874</v>
      </c>
      <c r="BH986" s="75">
        <f>BG986*(1-PARAM!$C$27)*$I$17+(MOD($B986,60)=PARAM!$B$56)*($B986&gt;(60-PARAM!$B$56))*HLOOKUP(($B986+PARAM!$B$56)/12,Loyalty,2)*$F$1*MAX(BJ985,0)</f>
        <v>18.557001321003963</v>
      </c>
      <c r="BI986" s="75">
        <f>PARAM!$C$26+MAX($G$17-CHOOSE(PARAM!$B$44,MAX(0,BJ985*$F$1),0),0)*RATES!$L962/12+$H$17*(PARAM!$D$51/12)*RATES!$N962/100</f>
        <v>1190.0416666666667</v>
      </c>
      <c r="BJ986" s="16">
        <f t="shared" si="642"/>
        <v>-339793.66042404139</v>
      </c>
      <c r="BK986" s="15">
        <f t="shared" si="617"/>
        <v>22.170849845882874</v>
      </c>
      <c r="BL986" s="75">
        <f>BK986*(1-PARAM!$C$27)*$I$18+(MOD($B986,60)=PARAM!$B$56)*($B986&gt;(60-PARAM!$B$56))*HLOOKUP(($B986+PARAM!$B$56)/12,Loyalty,2)*$F$1*MAX(BN985,0)</f>
        <v>18.557001321003963</v>
      </c>
      <c r="BM986" s="75">
        <f>PARAM!$C$26+MAX($G$18-CHOOSE(PARAM!$B$44,MAX(0,BN985*$F$1),0),0)*RATES!$L962/12+$H$18*(PARAM!$D$51/12)*RATES!$N962/100</f>
        <v>1190.0416666666667</v>
      </c>
      <c r="BN986" s="16">
        <f t="shared" si="643"/>
        <v>-339793.66042404139</v>
      </c>
      <c r="BO986" s="15">
        <f t="shared" si="618"/>
        <v>22.170849845882874</v>
      </c>
      <c r="BP986" s="75">
        <f>BO986*(1-PARAM!$C$27)*$I$19+(MOD($B986,60)=PARAM!$B$56)*($B986&gt;(60-PARAM!$B$56))*HLOOKUP(($B986+PARAM!$B$56)/12,Loyalty,2)*$F$1*MAX(BR985,0)</f>
        <v>18.557001321003963</v>
      </c>
      <c r="BQ986" s="75">
        <f>PARAM!$C$26+MAX($G$19-CHOOSE(PARAM!$B$44,MAX(0,BR985*$F$1),0),0)*RATES!$L962/12+$H$19*(PARAM!$D$51/12)*RATES!$N962/100</f>
        <v>1190.0416666666667</v>
      </c>
      <c r="BR986" s="16">
        <f t="shared" si="644"/>
        <v>-339793.66042404139</v>
      </c>
      <c r="BS986" s="15">
        <f t="shared" si="619"/>
        <v>22.170849845882874</v>
      </c>
      <c r="BT986" s="75">
        <f>BS986*(1-PARAM!$C$27)*$I$20+(MOD($B986,60)=PARAM!$B$56)*($B986&gt;(60-PARAM!$B$56))*HLOOKUP(($B986+PARAM!$B$56)/12,Loyalty,2)*$F$1*MAX(BV985,0)</f>
        <v>18.557001321003963</v>
      </c>
      <c r="BU986" s="75">
        <f>PARAM!$C$26+MAX($G$20-CHOOSE(PARAM!$B$44,MAX(0,BV985*$F$1),0),0)*RATES!$L962/12+$H$20*(PARAM!$D$51/12)*RATES!$N962/100</f>
        <v>1190.0416666666667</v>
      </c>
      <c r="BV986" s="16">
        <f t="shared" si="645"/>
        <v>-339793.66042404139</v>
      </c>
      <c r="BW986" s="15">
        <f t="shared" si="620"/>
        <v>22.170849845882874</v>
      </c>
      <c r="BX986" s="75">
        <f>BW986*(1-PARAM!$C$27)*$I$21+(MOD($B986,60)=PARAM!$B$56)*($B986&gt;(60-PARAM!$B$56))*HLOOKUP(($B986+PARAM!$B$56)/12,Loyalty,2)*$F$1*MAX(BZ985,0)</f>
        <v>18.557001321003963</v>
      </c>
      <c r="BY986" s="75">
        <f>PARAM!$C$26+MAX($G$21-CHOOSE(PARAM!$B$44,MAX(0,BZ985*$F$1),0),0)*RATES!$L962/12+$H$21*(PARAM!$D$51/12)*RATES!$N962/100</f>
        <v>1190.0416666666667</v>
      </c>
      <c r="BZ986" s="16">
        <f t="shared" si="646"/>
        <v>-339793.66042404139</v>
      </c>
      <c r="CA986" s="15">
        <f t="shared" si="621"/>
        <v>22.170849845882874</v>
      </c>
      <c r="CB986" s="75">
        <f>CA986*(1-PARAM!$C$27)*$I$22+(MOD($B986,60)=PARAM!$B$56)*($B986&gt;(60-PARAM!$B$56))*HLOOKUP(($B986+PARAM!$B$56)/12,Loyalty,2)*$F$1*MAX(CD985,0)</f>
        <v>18.557001321003963</v>
      </c>
      <c r="CC986" s="75">
        <f>PARAM!$C$26+MAX($G$22-CHOOSE(PARAM!$B$44,MAX(0,CD985*$F$1),0),0)*RATES!$L962/12+$H$22*(PARAM!$D$51/12)*RATES!$N962/100</f>
        <v>1190.0416666666667</v>
      </c>
      <c r="CD986" s="16">
        <f t="shared" si="647"/>
        <v>-339793.66042404139</v>
      </c>
      <c r="CE986" s="33">
        <f>IF(0=MOD(B986,12/PARAM!$D$51),1,0)</f>
        <v>1</v>
      </c>
      <c r="CF986" s="15">
        <f t="shared" si="622"/>
        <v>0</v>
      </c>
      <c r="CG986" s="75">
        <f>CF986*(1-PARAM!$C$27)*$R$3+(MOD($B986/12,5)=0)*($B986&gt;60)*HLOOKUP($B986/12,Loyalty,2)*$F$1*MAX(CI985,0)</f>
        <v>0</v>
      </c>
      <c r="CH986" s="75">
        <f>PARAM!$C$26+MAX($P$3-CHOOSE(PARAM!$B$44,MAX(0,CI985*$F$1),0),0)*RATES!$L962/12+$Q$3*(PARAM!$D$51/12)*RATES!$N962/100</f>
        <v>1190.0416666666667</v>
      </c>
      <c r="CI986" s="16">
        <f>IF(CI985&gt;0,CI985*PARAM!$C$53,CI985)+CG986-CH986</f>
        <v>-357470.25000000116</v>
      </c>
      <c r="CJ986" s="15">
        <f t="shared" si="648"/>
        <v>0</v>
      </c>
      <c r="CK986" s="75">
        <f>CJ986*(1-PARAM!$C$27)*$R$4+(MOD($B986/12,5)=0)*($B986&gt;60)*HLOOKUP($B986/12,Loyalty,2)*$F$1*MAX(CM985,0)</f>
        <v>0</v>
      </c>
      <c r="CL986" s="75">
        <f>PARAM!$C$26+MAX($P$4-CHOOSE(PARAM!$B$44,MAX(0,CM985*$F$1),0),0)*RATES!$L962/12+$Q$4*(PARAM!$D$51/12)*RATES!$N962/100</f>
        <v>1190.0416666666667</v>
      </c>
      <c r="CM986" s="16">
        <f>IF(CM985&gt;0,CM985*PARAM!$C$53,CM985)+CK986-CL986</f>
        <v>-357470.25000000116</v>
      </c>
      <c r="CO986" s="176"/>
    </row>
    <row r="987" spans="1:93" x14ac:dyDescent="0.2">
      <c r="A987" t="b">
        <f t="shared" si="623"/>
        <v>0</v>
      </c>
      <c r="B987" s="33">
        <v>960</v>
      </c>
      <c r="C987" s="15">
        <f t="shared" si="624"/>
        <v>20.081305947392778</v>
      </c>
      <c r="D987" s="75">
        <f>C987*(1-PARAM!$C$27)*$I$3+(MOD($B987,60)=PARAM!$B$56)*($B987&gt;(60-PARAM!$B$56))*HLOOKUP(($B987+PARAM!$B$56)/12,Loyalty,2)*$F$1*MAX(F986,0)</f>
        <v>16.808053077967756</v>
      </c>
      <c r="E987" s="75">
        <f>PARAM!$C$26+MAX($G$3-CHOOSE(PARAM!$B$44,MAX(0,F986*$F$1),0),0)*RATES!$L963/12+$H$3*(PARAM!$D$51/12)*RATES!$N963/100</f>
        <v>1190.0416666666667</v>
      </c>
      <c r="F987" s="16">
        <f t="shared" si="625"/>
        <v>-342680.98590322409</v>
      </c>
      <c r="G987" s="15">
        <f t="shared" si="626"/>
        <v>22.035289406060361</v>
      </c>
      <c r="H987" s="75">
        <f>G987*(1-PARAM!$C$27)*$I$4+(MOD($B987,60)=PARAM!$B$56)*($B987&gt;(60-PARAM!$B$56))*HLOOKUP(($B987+PARAM!$B$56)/12,Loyalty,2)*$F$1*MAX(J986,0)</f>
        <v>18.443537232872522</v>
      </c>
      <c r="I987" s="75">
        <f>PARAM!$C$26+MAX($G$4-CHOOSE(PARAM!$B$44,MAX(0,J986*$F$1),0),0)*RATES!$L963/12+$H$4*(PARAM!$D$51/12)*RATES!$N963/100</f>
        <v>1190.0416666666667</v>
      </c>
      <c r="J987" s="16">
        <f t="shared" si="627"/>
        <v>-341077.0881503913</v>
      </c>
      <c r="K987" s="15">
        <f t="shared" si="628"/>
        <v>22.170849845882874</v>
      </c>
      <c r="L987" s="75">
        <f>K987*(1-PARAM!$C$27)*$I$5+(MOD($B987,60)=PARAM!$B$56)*($B987&gt;(60-PARAM!$B$56))*HLOOKUP(($B987+PARAM!$B$56)/12,Loyalty,2)*$F$1*MAX(N986,0)</f>
        <v>18.557001321003963</v>
      </c>
      <c r="M987" s="75">
        <f>PARAM!$C$26+MAX($G$5-CHOOSE(PARAM!$B$44,MAX(0,N986*$F$1),0),0)*RATES!$L963/12+$H$5*(PARAM!$D$51/12)*RATES!$N963/100</f>
        <v>1190.0416666666667</v>
      </c>
      <c r="N987" s="16">
        <f t="shared" si="629"/>
        <v>-340965.14508938708</v>
      </c>
      <c r="O987" s="15">
        <f t="shared" si="630"/>
        <v>22.170849845882874</v>
      </c>
      <c r="P987" s="75">
        <f>O987*(1-PARAM!$C$27)*$I$6+(MOD($B987,60)=PARAM!$B$56)*($B987&gt;(60-PARAM!$B$56))*HLOOKUP(($B987+PARAM!$B$56)/12,Loyalty,2)*$F$1*MAX(R986,0)</f>
        <v>18.557001321003963</v>
      </c>
      <c r="Q987" s="75">
        <f>PARAM!$C$26+MAX($G$6-CHOOSE(PARAM!$B$44,MAX(0,R986*$F$1),0),0)*RATES!$L963/12+$H$6*(PARAM!$D$51/12)*RATES!$N963/100</f>
        <v>1190.0416666666667</v>
      </c>
      <c r="R987" s="16">
        <f t="shared" si="631"/>
        <v>-340965.14508938708</v>
      </c>
      <c r="S987" s="15">
        <f t="shared" ref="S987:S1027" si="649">$H$7*$CE987</f>
        <v>22.170849845882874</v>
      </c>
      <c r="T987" s="75">
        <f>S987*(1-PARAM!$C$27)*$I$7+(MOD($B987,60)=PARAM!$B$56)*($B987&gt;(60-PARAM!$B$56))*HLOOKUP(($B987+PARAM!$B$56)/12,Loyalty,2)*$F$1*MAX(V986,0)</f>
        <v>18.557001321003963</v>
      </c>
      <c r="U987" s="75">
        <f>PARAM!$C$26+MAX($G$7-CHOOSE(PARAM!$B$44,MAX(0,V986*$F$1),0),0)*RATES!$L963/12+$H$7*(PARAM!$D$51/12)*RATES!$N963/100</f>
        <v>1190.0416666666667</v>
      </c>
      <c r="V987" s="16">
        <f t="shared" si="632"/>
        <v>-340965.14508938708</v>
      </c>
      <c r="W987" s="15">
        <f t="shared" ref="W987:W1027" si="650">$H$8*$CE987</f>
        <v>22.170849845882874</v>
      </c>
      <c r="X987" s="75">
        <f>W987*(1-PARAM!$C$27)*$I$8+(MOD($B987,60)=PARAM!$B$56)*($B987&gt;(60-PARAM!$B$56))*HLOOKUP(($B987+PARAM!$B$56)/12,Loyalty,2)*$F$1*MAX(Z986,0)</f>
        <v>18.557001321003963</v>
      </c>
      <c r="Y987" s="75">
        <f>PARAM!$C$26+MAX($G$8-CHOOSE(PARAM!$B$44,MAX(0,Z986*$F$1),0),0)*RATES!$L963/12+$H$8*(PARAM!$D$51/12)*RATES!$N963/100</f>
        <v>1190.0416666666667</v>
      </c>
      <c r="Z987" s="16">
        <f t="shared" si="633"/>
        <v>-340965.14508938708</v>
      </c>
      <c r="AA987" s="15">
        <f t="shared" ref="AA987:AA1027" si="651">$H$9*$CE987</f>
        <v>22.170849845882874</v>
      </c>
      <c r="AB987" s="75">
        <f>AA987*(1-PARAM!$C$27)*$I$9+(MOD($B987,60)=PARAM!$B$56)*($B987&gt;(60-PARAM!$B$56))*HLOOKUP(($B987+PARAM!$B$56)/12,Loyalty,2)*$F$1*MAX(AD986,0)</f>
        <v>18.557001321003963</v>
      </c>
      <c r="AC987" s="75">
        <f>PARAM!$C$26+MAX($G$9-CHOOSE(PARAM!$B$44,MAX(0,AD986*$F$1),0),0)*RATES!$L963/12+$H$9*(PARAM!$D$51/12)*RATES!$N963/100</f>
        <v>1190.0416666666667</v>
      </c>
      <c r="AD987" s="16">
        <f t="shared" si="634"/>
        <v>-340965.14508938708</v>
      </c>
      <c r="AE987" s="15">
        <f t="shared" ref="AE987:AE1027" si="652">$H$10*$CE987</f>
        <v>22.170849845882874</v>
      </c>
      <c r="AF987" s="75">
        <f>AE987*(1-PARAM!$C$27)*$I$10+(MOD($B987,60)=PARAM!$B$56)*($B987&gt;(60-PARAM!$B$56))*HLOOKUP(($B987+PARAM!$B$56)/12,Loyalty,2)*$F$1*MAX(AH986,0)</f>
        <v>18.557001321003963</v>
      </c>
      <c r="AG987" s="75">
        <f>PARAM!$C$26+MAX($G$10-CHOOSE(PARAM!$B$44,MAX(0,AH986*$F$1),0),0)*RATES!$L963/12+$H$10*(PARAM!$D$51/12)*RATES!$N963/100</f>
        <v>1190.0416666666667</v>
      </c>
      <c r="AH987" s="16">
        <f t="shared" si="635"/>
        <v>-340965.14508938708</v>
      </c>
      <c r="AI987" s="15">
        <f t="shared" ref="AI987:AI1027" si="653">$H$11*$CE987</f>
        <v>22.170849845882874</v>
      </c>
      <c r="AJ987" s="75">
        <f>AI987*(1-PARAM!$C$27)*$I$11+(MOD($B987,60)=PARAM!$B$56)*($B987&gt;(60-PARAM!$B$56))*HLOOKUP(($B987+PARAM!$B$56)/12,Loyalty,2)*$F$1*MAX(AL986,0)</f>
        <v>18.557001321003963</v>
      </c>
      <c r="AK987" s="75">
        <f>PARAM!$C$26+MAX($G$11-CHOOSE(PARAM!$B$44,MAX(0,AL986*$F$1),0),0)*RATES!$L963/12+$H$11*(PARAM!$D$51/12)*RATES!$N963/100</f>
        <v>1190.0416666666667</v>
      </c>
      <c r="AL987" s="16">
        <f t="shared" si="636"/>
        <v>-340965.14508938708</v>
      </c>
      <c r="AM987" s="15">
        <f t="shared" ref="AM987:AM1027" si="654">$H$12*$CE987</f>
        <v>22.170849845882874</v>
      </c>
      <c r="AN987" s="75">
        <f>AM987*(1-PARAM!$C$27)*$I$12+(MOD($B987,60)=PARAM!$B$56)*($B987&gt;(60-PARAM!$B$56))*HLOOKUP(($B987+PARAM!$B$56)/12,Loyalty,2)*$F$1*MAX(AP986,0)</f>
        <v>18.557001321003963</v>
      </c>
      <c r="AO987" s="75">
        <f>PARAM!$C$26+MAX($G$12-CHOOSE(PARAM!$B$44,MAX(0,AP986*$F$1),0),0)*RATES!$L963/12+$H$12*(PARAM!$D$51/12)*RATES!$N963/100</f>
        <v>1190.0416666666667</v>
      </c>
      <c r="AP987" s="16">
        <f t="shared" si="637"/>
        <v>-340965.14508938708</v>
      </c>
      <c r="AQ987" s="15">
        <f t="shared" ref="AQ987:AQ1027" si="655">$H$13*$CE987</f>
        <v>22.170849845882874</v>
      </c>
      <c r="AR987" s="75">
        <f>AQ987*(1-PARAM!$C$27)*$I$13+(MOD($B987,60)=PARAM!$B$56)*($B987&gt;(60-PARAM!$B$56))*HLOOKUP(($B987+PARAM!$B$56)/12,Loyalty,2)*$F$1*MAX(AT986,0)</f>
        <v>18.557001321003963</v>
      </c>
      <c r="AS987" s="75">
        <f>PARAM!$C$26+MAX($G$13-CHOOSE(PARAM!$B$44,MAX(0,AT986*$F$1),0),0)*RATES!$L963/12+$H$13*(PARAM!$D$51/12)*RATES!$N963/100</f>
        <v>1190.0416666666667</v>
      </c>
      <c r="AT987" s="16">
        <f t="shared" si="638"/>
        <v>-340965.14508938708</v>
      </c>
      <c r="AU987" s="15">
        <f t="shared" ref="AU987:AU1027" si="656">$H$14*$CE987</f>
        <v>22.170849845882874</v>
      </c>
      <c r="AV987" s="75">
        <f>AU987*(1-PARAM!$C$27)*$I$14+(MOD($B987,60)=PARAM!$B$56)*($B987&gt;(60-PARAM!$B$56))*HLOOKUP(($B987+PARAM!$B$56)/12,Loyalty,2)*$F$1*MAX(AX986,0)</f>
        <v>18.557001321003963</v>
      </c>
      <c r="AW987" s="75">
        <f>PARAM!$C$26+MAX($G$14-CHOOSE(PARAM!$B$44,MAX(0,AX986*$F$1),0),0)*RATES!$L963/12+$H$14*(PARAM!$D$51/12)*RATES!$N963/100</f>
        <v>1190.0416666666667</v>
      </c>
      <c r="AX987" s="16">
        <f t="shared" si="639"/>
        <v>-340965.14508938708</v>
      </c>
      <c r="AY987" s="15">
        <f t="shared" ref="AY987:AY1027" si="657">$H$15*$CE987</f>
        <v>22.170849845882874</v>
      </c>
      <c r="AZ987" s="75">
        <f>AY987*(1-PARAM!$C$27)*$I$15+(MOD($B987,60)=PARAM!$B$56)*($B987&gt;(60-PARAM!$B$56))*HLOOKUP(($B987+PARAM!$B$56)/12,Loyalty,2)*$F$1*MAX(BB986,0)</f>
        <v>18.557001321003963</v>
      </c>
      <c r="BA987" s="75">
        <f>PARAM!$C$26+MAX($G$15-CHOOSE(PARAM!$B$44,MAX(0,BB986*$F$1),0),0)*RATES!$L963/12+$H$15*(PARAM!$D$51/12)*RATES!$N963/100</f>
        <v>1190.0416666666667</v>
      </c>
      <c r="BB987" s="16">
        <f t="shared" si="640"/>
        <v>-340965.14508938708</v>
      </c>
      <c r="BC987" s="15">
        <f t="shared" ref="BC987:BC1027" si="658">$H$16*$CE987</f>
        <v>22.170849845882874</v>
      </c>
      <c r="BD987" s="75">
        <f>BC987*(1-PARAM!$C$27)*$I$16+(MOD($B987,60)=PARAM!$B$56)*($B987&gt;(60-PARAM!$B$56))*HLOOKUP(($B987+PARAM!$B$56)/12,Loyalty,2)*$F$1*MAX(BF986,0)</f>
        <v>18.557001321003963</v>
      </c>
      <c r="BE987" s="75">
        <f>PARAM!$C$26+MAX($G$16-CHOOSE(PARAM!$B$44,MAX(0,BF986*$F$1),0),0)*RATES!$L963/12+$H$16*(PARAM!$D$51/12)*RATES!$N963/100</f>
        <v>1190.0416666666667</v>
      </c>
      <c r="BF987" s="16">
        <f t="shared" si="641"/>
        <v>-340965.14508938708</v>
      </c>
      <c r="BG987" s="15">
        <f t="shared" ref="BG987:BG1027" si="659">$H$17*$CE987</f>
        <v>22.170849845882874</v>
      </c>
      <c r="BH987" s="75">
        <f>BG987*(1-PARAM!$C$27)*$I$17+(MOD($B987,60)=PARAM!$B$56)*($B987&gt;(60-PARAM!$B$56))*HLOOKUP(($B987+PARAM!$B$56)/12,Loyalty,2)*$F$1*MAX(BJ986,0)</f>
        <v>18.557001321003963</v>
      </c>
      <c r="BI987" s="75">
        <f>PARAM!$C$26+MAX($G$17-CHOOSE(PARAM!$B$44,MAX(0,BJ986*$F$1),0),0)*RATES!$L963/12+$H$17*(PARAM!$D$51/12)*RATES!$N963/100</f>
        <v>1190.0416666666667</v>
      </c>
      <c r="BJ987" s="16">
        <f t="shared" si="642"/>
        <v>-340965.14508938708</v>
      </c>
      <c r="BK987" s="15">
        <f t="shared" ref="BK987:BK1027" si="660">$H$18*$CE987</f>
        <v>22.170849845882874</v>
      </c>
      <c r="BL987" s="75">
        <f>BK987*(1-PARAM!$C$27)*$I$18+(MOD($B987,60)=PARAM!$B$56)*($B987&gt;(60-PARAM!$B$56))*HLOOKUP(($B987+PARAM!$B$56)/12,Loyalty,2)*$F$1*MAX(BN986,0)</f>
        <v>18.557001321003963</v>
      </c>
      <c r="BM987" s="75">
        <f>PARAM!$C$26+MAX($G$18-CHOOSE(PARAM!$B$44,MAX(0,BN986*$F$1),0),0)*RATES!$L963/12+$H$18*(PARAM!$D$51/12)*RATES!$N963/100</f>
        <v>1190.0416666666667</v>
      </c>
      <c r="BN987" s="16">
        <f t="shared" si="643"/>
        <v>-340965.14508938708</v>
      </c>
      <c r="BO987" s="15">
        <f t="shared" ref="BO987:BO1027" si="661">$H$19*$CE987</f>
        <v>22.170849845882874</v>
      </c>
      <c r="BP987" s="75">
        <f>BO987*(1-PARAM!$C$27)*$I$19+(MOD($B987,60)=PARAM!$B$56)*($B987&gt;(60-PARAM!$B$56))*HLOOKUP(($B987+PARAM!$B$56)/12,Loyalty,2)*$F$1*MAX(BR986,0)</f>
        <v>18.557001321003963</v>
      </c>
      <c r="BQ987" s="75">
        <f>PARAM!$C$26+MAX($G$19-CHOOSE(PARAM!$B$44,MAX(0,BR986*$F$1),0),0)*RATES!$L963/12+$H$19*(PARAM!$D$51/12)*RATES!$N963/100</f>
        <v>1190.0416666666667</v>
      </c>
      <c r="BR987" s="16">
        <f t="shared" si="644"/>
        <v>-340965.14508938708</v>
      </c>
      <c r="BS987" s="15">
        <f t="shared" ref="BS987:BS1027" si="662">$H$20*$CE987</f>
        <v>22.170849845882874</v>
      </c>
      <c r="BT987" s="75">
        <f>BS987*(1-PARAM!$C$27)*$I$20+(MOD($B987,60)=PARAM!$B$56)*($B987&gt;(60-PARAM!$B$56))*HLOOKUP(($B987+PARAM!$B$56)/12,Loyalty,2)*$F$1*MAX(BV986,0)</f>
        <v>18.557001321003963</v>
      </c>
      <c r="BU987" s="75">
        <f>PARAM!$C$26+MAX($G$20-CHOOSE(PARAM!$B$44,MAX(0,BV986*$F$1),0),0)*RATES!$L963/12+$H$20*(PARAM!$D$51/12)*RATES!$N963/100</f>
        <v>1190.0416666666667</v>
      </c>
      <c r="BV987" s="16">
        <f t="shared" si="645"/>
        <v>-340965.14508938708</v>
      </c>
      <c r="BW987" s="15">
        <f t="shared" ref="BW987:BW1027" si="663">$H$21*$CE987</f>
        <v>22.170849845882874</v>
      </c>
      <c r="BX987" s="75">
        <f>BW987*(1-PARAM!$C$27)*$I$21+(MOD($B987,60)=PARAM!$B$56)*($B987&gt;(60-PARAM!$B$56))*HLOOKUP(($B987+PARAM!$B$56)/12,Loyalty,2)*$F$1*MAX(BZ986,0)</f>
        <v>18.557001321003963</v>
      </c>
      <c r="BY987" s="75">
        <f>PARAM!$C$26+MAX($G$21-CHOOSE(PARAM!$B$44,MAX(0,BZ986*$F$1),0),0)*RATES!$L963/12+$H$21*(PARAM!$D$51/12)*RATES!$N963/100</f>
        <v>1190.0416666666667</v>
      </c>
      <c r="BZ987" s="16">
        <f t="shared" si="646"/>
        <v>-340965.14508938708</v>
      </c>
      <c r="CA987" s="15">
        <f t="shared" ref="CA987:CA1027" si="664">$H$22*$CE987</f>
        <v>22.170849845882874</v>
      </c>
      <c r="CB987" s="75">
        <f>CA987*(1-PARAM!$C$27)*$I$22+(MOD($B987,60)=PARAM!$B$56)*($B987&gt;(60-PARAM!$B$56))*HLOOKUP(($B987+PARAM!$B$56)/12,Loyalty,2)*$F$1*MAX(CD986,0)</f>
        <v>18.557001321003963</v>
      </c>
      <c r="CC987" s="75">
        <f>PARAM!$C$26+MAX($G$22-CHOOSE(PARAM!$B$44,MAX(0,CD986*$F$1),0),0)*RATES!$L963/12+$H$22*(PARAM!$D$51/12)*RATES!$N963/100</f>
        <v>1190.0416666666667</v>
      </c>
      <c r="CD987" s="16">
        <f t="shared" si="647"/>
        <v>-340965.14508938708</v>
      </c>
      <c r="CE987" s="33">
        <f>IF(0=MOD(B987,12/PARAM!$D$51),1,0)</f>
        <v>1</v>
      </c>
      <c r="CF987" s="15">
        <f t="shared" ref="CF987:CF1027" si="665">$Q$3*CE987</f>
        <v>0</v>
      </c>
      <c r="CG987" s="75">
        <f>CF987*(1-PARAM!$C$27)*$R$3+(MOD($B987/12,5)=0)*($B987&gt;60)*HLOOKUP($B987/12,Loyalty,2)*$F$1*MAX(CI986,0)</f>
        <v>0</v>
      </c>
      <c r="CH987" s="75">
        <f>PARAM!$C$26+MAX($P$3-CHOOSE(PARAM!$B$44,MAX(0,CI986*$F$1),0),0)*RATES!$L963/12+$Q$3*(PARAM!$D$51/12)*RATES!$N963/100</f>
        <v>1190.0416666666667</v>
      </c>
      <c r="CI987" s="16">
        <f>IF(CI986&gt;0,CI986*PARAM!$C$53,CI986)+CG987-CH987</f>
        <v>-358660.29166666785</v>
      </c>
      <c r="CJ987" s="15">
        <f t="shared" si="648"/>
        <v>0</v>
      </c>
      <c r="CK987" s="75">
        <f>CJ987*(1-PARAM!$C$27)*$R$4+(MOD($B987/12,5)=0)*($B987&gt;60)*HLOOKUP($B987/12,Loyalty,2)*$F$1*MAX(CM986,0)</f>
        <v>0</v>
      </c>
      <c r="CL987" s="75">
        <f>PARAM!$C$26+MAX($P$4-CHOOSE(PARAM!$B$44,MAX(0,CM986*$F$1),0),0)*RATES!$L963/12+$Q$4*(PARAM!$D$51/12)*RATES!$N963/100</f>
        <v>1190.0416666666667</v>
      </c>
      <c r="CM987" s="16">
        <f>IF(CM986&gt;0,CM986*PARAM!$C$53,CM986)+CK987-CL987</f>
        <v>-358660.29166666785</v>
      </c>
      <c r="CO987" s="176"/>
    </row>
    <row r="988" spans="1:93" x14ac:dyDescent="0.2">
      <c r="A988" t="b">
        <f t="shared" ref="A988:A1027" si="666">F988&gt;0</f>
        <v>0</v>
      </c>
      <c r="B988" s="33">
        <v>961</v>
      </c>
      <c r="C988" s="15">
        <f t="shared" ref="C988:C1027" si="667">$H$3*$CE988</f>
        <v>20.081305947392778</v>
      </c>
      <c r="D988" s="75">
        <f>C988*(1-PARAM!$C$27)*$I$3+(MOD($B988,60)=PARAM!$B$56)*($B988&gt;(60-PARAM!$B$56))*HLOOKUP(($B988+PARAM!$B$56)/12,Loyalty,2)*$F$1*MAX(F987,0)</f>
        <v>16.808053077967756</v>
      </c>
      <c r="E988" s="75">
        <f>PARAM!$C$26+MAX($G$3-CHOOSE(PARAM!$B$44,MAX(0,F987*$F$1),0),0)*RATES!$L964/12+$H$3*(PARAM!$D$51/12)*RATES!$N964/100</f>
        <v>1190.0416666666667</v>
      </c>
      <c r="F988" s="16">
        <f t="shared" ref="F988:F1027" si="668">IF(F987&gt;0,F987*$F$1,F987)+D988-E988</f>
        <v>-343854.21951681282</v>
      </c>
      <c r="G988" s="15">
        <f t="shared" ref="G988:G1027" si="669">$H$4*$CE988</f>
        <v>22.035289406060361</v>
      </c>
      <c r="H988" s="75">
        <f>G988*(1-PARAM!$C$27)*$I$4+(MOD($B988,60)=PARAM!$B$56)*($B988&gt;(60-PARAM!$B$56))*HLOOKUP(($B988+PARAM!$B$56)/12,Loyalty,2)*$F$1*MAX(J987,0)</f>
        <v>18.443537232872522</v>
      </c>
      <c r="I988" s="75">
        <f>PARAM!$C$26+MAX($G$4-CHOOSE(PARAM!$B$44,MAX(0,J987*$F$1),0),0)*RATES!$L964/12+$H$4*(PARAM!$D$51/12)*RATES!$N964/100</f>
        <v>1190.0416666666667</v>
      </c>
      <c r="J988" s="16">
        <f t="shared" ref="J988:J1027" si="670">IF(J987&gt;0,J987*$F$1,J987)+H988-I988</f>
        <v>-342248.68627982511</v>
      </c>
      <c r="K988" s="15">
        <f t="shared" ref="K988:K1027" si="671">$H$5*$CE988</f>
        <v>22.170849845882874</v>
      </c>
      <c r="L988" s="75">
        <f>K988*(1-PARAM!$C$27)*$I$5+(MOD($B988,60)=PARAM!$B$56)*($B988&gt;(60-PARAM!$B$56))*HLOOKUP(($B988+PARAM!$B$56)/12,Loyalty,2)*$F$1*MAX(N987,0)</f>
        <v>18.557001321003963</v>
      </c>
      <c r="M988" s="75">
        <f>PARAM!$C$26+MAX($G$5-CHOOSE(PARAM!$B$44,MAX(0,N987*$F$1),0),0)*RATES!$L964/12+$H$5*(PARAM!$D$51/12)*RATES!$N964/100</f>
        <v>1190.0416666666667</v>
      </c>
      <c r="N988" s="16">
        <f t="shared" ref="N988:N1027" si="672">IF(N987&gt;0,N987*$F$1,N987)+L988-M988</f>
        <v>-342136.62975473277</v>
      </c>
      <c r="O988" s="15">
        <f t="shared" ref="O988:O1027" si="673">$H$6*$CE988</f>
        <v>22.170849845882874</v>
      </c>
      <c r="P988" s="75">
        <f>O988*(1-PARAM!$C$27)*$I$6+(MOD($B988,60)=PARAM!$B$56)*($B988&gt;(60-PARAM!$B$56))*HLOOKUP(($B988+PARAM!$B$56)/12,Loyalty,2)*$F$1*MAX(R987,0)</f>
        <v>18.557001321003963</v>
      </c>
      <c r="Q988" s="75">
        <f>PARAM!$C$26+MAX($G$6-CHOOSE(PARAM!$B$44,MAX(0,R987*$F$1),0),0)*RATES!$L964/12+$H$6*(PARAM!$D$51/12)*RATES!$N964/100</f>
        <v>1190.0416666666667</v>
      </c>
      <c r="R988" s="16">
        <f t="shared" ref="R988:R1027" si="674">IF(R987&gt;0,R987*$F$1,R987)+P988-Q988</f>
        <v>-342136.62975473277</v>
      </c>
      <c r="S988" s="15">
        <f t="shared" si="649"/>
        <v>22.170849845882874</v>
      </c>
      <c r="T988" s="75">
        <f>S988*(1-PARAM!$C$27)*$I$7+(MOD($B988,60)=PARAM!$B$56)*($B988&gt;(60-PARAM!$B$56))*HLOOKUP(($B988+PARAM!$B$56)/12,Loyalty,2)*$F$1*MAX(V987,0)</f>
        <v>18.557001321003963</v>
      </c>
      <c r="U988" s="75">
        <f>PARAM!$C$26+MAX($G$7-CHOOSE(PARAM!$B$44,MAX(0,V987*$F$1),0),0)*RATES!$L964/12+$H$7*(PARAM!$D$51/12)*RATES!$N964/100</f>
        <v>1190.0416666666667</v>
      </c>
      <c r="V988" s="16">
        <f t="shared" ref="V988:V1027" si="675">IF(V987&gt;0,V987*$F$1,V987)+T988-U988</f>
        <v>-342136.62975473277</v>
      </c>
      <c r="W988" s="15">
        <f t="shared" si="650"/>
        <v>22.170849845882874</v>
      </c>
      <c r="X988" s="75">
        <f>W988*(1-PARAM!$C$27)*$I$8+(MOD($B988,60)=PARAM!$B$56)*($B988&gt;(60-PARAM!$B$56))*HLOOKUP(($B988+PARAM!$B$56)/12,Loyalty,2)*$F$1*MAX(Z987,0)</f>
        <v>18.557001321003963</v>
      </c>
      <c r="Y988" s="75">
        <f>PARAM!$C$26+MAX($G$8-CHOOSE(PARAM!$B$44,MAX(0,Z987*$F$1),0),0)*RATES!$L964/12+$H$8*(PARAM!$D$51/12)*RATES!$N964/100</f>
        <v>1190.0416666666667</v>
      </c>
      <c r="Z988" s="16">
        <f t="shared" ref="Z988:Z1027" si="676">IF(Z987&gt;0,Z987*$F$1,Z987)+X988-Y988</f>
        <v>-342136.62975473277</v>
      </c>
      <c r="AA988" s="15">
        <f t="shared" si="651"/>
        <v>22.170849845882874</v>
      </c>
      <c r="AB988" s="75">
        <f>AA988*(1-PARAM!$C$27)*$I$9+(MOD($B988,60)=PARAM!$B$56)*($B988&gt;(60-PARAM!$B$56))*HLOOKUP(($B988+PARAM!$B$56)/12,Loyalty,2)*$F$1*MAX(AD987,0)</f>
        <v>18.557001321003963</v>
      </c>
      <c r="AC988" s="75">
        <f>PARAM!$C$26+MAX($G$9-CHOOSE(PARAM!$B$44,MAX(0,AD987*$F$1),0),0)*RATES!$L964/12+$H$9*(PARAM!$D$51/12)*RATES!$N964/100</f>
        <v>1190.0416666666667</v>
      </c>
      <c r="AD988" s="16">
        <f t="shared" ref="AD988:AD1027" si="677">IF(AD987&gt;0,AD987*$F$1,AD987)+AB988-AC988</f>
        <v>-342136.62975473277</v>
      </c>
      <c r="AE988" s="15">
        <f t="shared" si="652"/>
        <v>22.170849845882874</v>
      </c>
      <c r="AF988" s="75">
        <f>AE988*(1-PARAM!$C$27)*$I$10+(MOD($B988,60)=PARAM!$B$56)*($B988&gt;(60-PARAM!$B$56))*HLOOKUP(($B988+PARAM!$B$56)/12,Loyalty,2)*$F$1*MAX(AH987,0)</f>
        <v>18.557001321003963</v>
      </c>
      <c r="AG988" s="75">
        <f>PARAM!$C$26+MAX($G$10-CHOOSE(PARAM!$B$44,MAX(0,AH987*$F$1),0),0)*RATES!$L964/12+$H$10*(PARAM!$D$51/12)*RATES!$N964/100</f>
        <v>1190.0416666666667</v>
      </c>
      <c r="AH988" s="16">
        <f t="shared" ref="AH988:AH1027" si="678">IF(AH987&gt;0,AH987*$F$1,AH987)+AF988-AG988</f>
        <v>-342136.62975473277</v>
      </c>
      <c r="AI988" s="15">
        <f t="shared" si="653"/>
        <v>22.170849845882874</v>
      </c>
      <c r="AJ988" s="75">
        <f>AI988*(1-PARAM!$C$27)*$I$11+(MOD($B988,60)=PARAM!$B$56)*($B988&gt;(60-PARAM!$B$56))*HLOOKUP(($B988+PARAM!$B$56)/12,Loyalty,2)*$F$1*MAX(AL987,0)</f>
        <v>18.557001321003963</v>
      </c>
      <c r="AK988" s="75">
        <f>PARAM!$C$26+MAX($G$11-CHOOSE(PARAM!$B$44,MAX(0,AL987*$F$1),0),0)*RATES!$L964/12+$H$11*(PARAM!$D$51/12)*RATES!$N964/100</f>
        <v>1190.0416666666667</v>
      </c>
      <c r="AL988" s="16">
        <f t="shared" ref="AL988:AL1027" si="679">IF(AL987&gt;0,AL987*$F$1,AL987)+AJ988-AK988</f>
        <v>-342136.62975473277</v>
      </c>
      <c r="AM988" s="15">
        <f t="shared" si="654"/>
        <v>22.170849845882874</v>
      </c>
      <c r="AN988" s="75">
        <f>AM988*(1-PARAM!$C$27)*$I$12+(MOD($B988,60)=PARAM!$B$56)*($B988&gt;(60-PARAM!$B$56))*HLOOKUP(($B988+PARAM!$B$56)/12,Loyalty,2)*$F$1*MAX(AP987,0)</f>
        <v>18.557001321003963</v>
      </c>
      <c r="AO988" s="75">
        <f>PARAM!$C$26+MAX($G$12-CHOOSE(PARAM!$B$44,MAX(0,AP987*$F$1),0),0)*RATES!$L964/12+$H$12*(PARAM!$D$51/12)*RATES!$N964/100</f>
        <v>1190.0416666666667</v>
      </c>
      <c r="AP988" s="16">
        <f t="shared" ref="AP988:AP1027" si="680">IF(AP987&gt;0,AP987*$F$1,AP987)+AN988-AO988</f>
        <v>-342136.62975473277</v>
      </c>
      <c r="AQ988" s="15">
        <f t="shared" si="655"/>
        <v>22.170849845882874</v>
      </c>
      <c r="AR988" s="75">
        <f>AQ988*(1-PARAM!$C$27)*$I$13+(MOD($B988,60)=PARAM!$B$56)*($B988&gt;(60-PARAM!$B$56))*HLOOKUP(($B988+PARAM!$B$56)/12,Loyalty,2)*$F$1*MAX(AT987,0)</f>
        <v>18.557001321003963</v>
      </c>
      <c r="AS988" s="75">
        <f>PARAM!$C$26+MAX($G$13-CHOOSE(PARAM!$B$44,MAX(0,AT987*$F$1),0),0)*RATES!$L964/12+$H$13*(PARAM!$D$51/12)*RATES!$N964/100</f>
        <v>1190.0416666666667</v>
      </c>
      <c r="AT988" s="16">
        <f t="shared" ref="AT988:AT1027" si="681">IF(AT987&gt;0,AT987*$F$1,AT987)+AR988-AS988</f>
        <v>-342136.62975473277</v>
      </c>
      <c r="AU988" s="15">
        <f t="shared" si="656"/>
        <v>22.170849845882874</v>
      </c>
      <c r="AV988" s="75">
        <f>AU988*(1-PARAM!$C$27)*$I$14+(MOD($B988,60)=PARAM!$B$56)*($B988&gt;(60-PARAM!$B$56))*HLOOKUP(($B988+PARAM!$B$56)/12,Loyalty,2)*$F$1*MAX(AX987,0)</f>
        <v>18.557001321003963</v>
      </c>
      <c r="AW988" s="75">
        <f>PARAM!$C$26+MAX($G$14-CHOOSE(PARAM!$B$44,MAX(0,AX987*$F$1),0),0)*RATES!$L964/12+$H$14*(PARAM!$D$51/12)*RATES!$N964/100</f>
        <v>1190.0416666666667</v>
      </c>
      <c r="AX988" s="16">
        <f t="shared" ref="AX988:AX1027" si="682">IF(AX987&gt;0,AX987*$F$1,AX987)+AV988-AW988</f>
        <v>-342136.62975473277</v>
      </c>
      <c r="AY988" s="15">
        <f t="shared" si="657"/>
        <v>22.170849845882874</v>
      </c>
      <c r="AZ988" s="75">
        <f>AY988*(1-PARAM!$C$27)*$I$15+(MOD($B988,60)=PARAM!$B$56)*($B988&gt;(60-PARAM!$B$56))*HLOOKUP(($B988+PARAM!$B$56)/12,Loyalty,2)*$F$1*MAX(BB987,0)</f>
        <v>18.557001321003963</v>
      </c>
      <c r="BA988" s="75">
        <f>PARAM!$C$26+MAX($G$15-CHOOSE(PARAM!$B$44,MAX(0,BB987*$F$1),0),0)*RATES!$L964/12+$H$15*(PARAM!$D$51/12)*RATES!$N964/100</f>
        <v>1190.0416666666667</v>
      </c>
      <c r="BB988" s="16">
        <f t="shared" ref="BB988:BB1027" si="683">IF(BB987&gt;0,BB987*$F$1,BB987)+AZ988-BA988</f>
        <v>-342136.62975473277</v>
      </c>
      <c r="BC988" s="15">
        <f t="shared" si="658"/>
        <v>22.170849845882874</v>
      </c>
      <c r="BD988" s="75">
        <f>BC988*(1-PARAM!$C$27)*$I$16+(MOD($B988,60)=PARAM!$B$56)*($B988&gt;(60-PARAM!$B$56))*HLOOKUP(($B988+PARAM!$B$56)/12,Loyalty,2)*$F$1*MAX(BF987,0)</f>
        <v>18.557001321003963</v>
      </c>
      <c r="BE988" s="75">
        <f>PARAM!$C$26+MAX($G$16-CHOOSE(PARAM!$B$44,MAX(0,BF987*$F$1),0),0)*RATES!$L964/12+$H$16*(PARAM!$D$51/12)*RATES!$N964/100</f>
        <v>1190.0416666666667</v>
      </c>
      <c r="BF988" s="16">
        <f t="shared" ref="BF988:BF1027" si="684">IF(BF987&gt;0,BF987*$F$1,BF987)+BD988-BE988</f>
        <v>-342136.62975473277</v>
      </c>
      <c r="BG988" s="15">
        <f t="shared" si="659"/>
        <v>22.170849845882874</v>
      </c>
      <c r="BH988" s="75">
        <f>BG988*(1-PARAM!$C$27)*$I$17+(MOD($B988,60)=PARAM!$B$56)*($B988&gt;(60-PARAM!$B$56))*HLOOKUP(($B988+PARAM!$B$56)/12,Loyalty,2)*$F$1*MAX(BJ987,0)</f>
        <v>18.557001321003963</v>
      </c>
      <c r="BI988" s="75">
        <f>PARAM!$C$26+MAX($G$17-CHOOSE(PARAM!$B$44,MAX(0,BJ987*$F$1),0),0)*RATES!$L964/12+$H$17*(PARAM!$D$51/12)*RATES!$N964/100</f>
        <v>1190.0416666666667</v>
      </c>
      <c r="BJ988" s="16">
        <f t="shared" ref="BJ988:BJ1027" si="685">IF(BJ987&gt;0,BJ987*$F$1,BJ987)+BH988-BI988</f>
        <v>-342136.62975473277</v>
      </c>
      <c r="BK988" s="15">
        <f t="shared" si="660"/>
        <v>22.170849845882874</v>
      </c>
      <c r="BL988" s="75">
        <f>BK988*(1-PARAM!$C$27)*$I$18+(MOD($B988,60)=PARAM!$B$56)*($B988&gt;(60-PARAM!$B$56))*HLOOKUP(($B988+PARAM!$B$56)/12,Loyalty,2)*$F$1*MAX(BN987,0)</f>
        <v>18.557001321003963</v>
      </c>
      <c r="BM988" s="75">
        <f>PARAM!$C$26+MAX($G$18-CHOOSE(PARAM!$B$44,MAX(0,BN987*$F$1),0),0)*RATES!$L964/12+$H$18*(PARAM!$D$51/12)*RATES!$N964/100</f>
        <v>1190.0416666666667</v>
      </c>
      <c r="BN988" s="16">
        <f t="shared" ref="BN988:BN1027" si="686">IF(BN987&gt;0,BN987*$F$1,BN987)+BL988-BM988</f>
        <v>-342136.62975473277</v>
      </c>
      <c r="BO988" s="15">
        <f t="shared" si="661"/>
        <v>22.170849845882874</v>
      </c>
      <c r="BP988" s="75">
        <f>BO988*(1-PARAM!$C$27)*$I$19+(MOD($B988,60)=PARAM!$B$56)*($B988&gt;(60-PARAM!$B$56))*HLOOKUP(($B988+PARAM!$B$56)/12,Loyalty,2)*$F$1*MAX(BR987,0)</f>
        <v>18.557001321003963</v>
      </c>
      <c r="BQ988" s="75">
        <f>PARAM!$C$26+MAX($G$19-CHOOSE(PARAM!$B$44,MAX(0,BR987*$F$1),0),0)*RATES!$L964/12+$H$19*(PARAM!$D$51/12)*RATES!$N964/100</f>
        <v>1190.0416666666667</v>
      </c>
      <c r="BR988" s="16">
        <f t="shared" ref="BR988:BR1027" si="687">IF(BR987&gt;0,BR987*$F$1,BR987)+BP988-BQ988</f>
        <v>-342136.62975473277</v>
      </c>
      <c r="BS988" s="15">
        <f t="shared" si="662"/>
        <v>22.170849845882874</v>
      </c>
      <c r="BT988" s="75">
        <f>BS988*(1-PARAM!$C$27)*$I$20+(MOD($B988,60)=PARAM!$B$56)*($B988&gt;(60-PARAM!$B$56))*HLOOKUP(($B988+PARAM!$B$56)/12,Loyalty,2)*$F$1*MAX(BV987,0)</f>
        <v>18.557001321003963</v>
      </c>
      <c r="BU988" s="75">
        <f>PARAM!$C$26+MAX($G$20-CHOOSE(PARAM!$B$44,MAX(0,BV987*$F$1),0),0)*RATES!$L964/12+$H$20*(PARAM!$D$51/12)*RATES!$N964/100</f>
        <v>1190.0416666666667</v>
      </c>
      <c r="BV988" s="16">
        <f t="shared" ref="BV988:BV1027" si="688">IF(BV987&gt;0,BV987*$F$1,BV987)+BT988-BU988</f>
        <v>-342136.62975473277</v>
      </c>
      <c r="BW988" s="15">
        <f t="shared" si="663"/>
        <v>22.170849845882874</v>
      </c>
      <c r="BX988" s="75">
        <f>BW988*(1-PARAM!$C$27)*$I$21+(MOD($B988,60)=PARAM!$B$56)*($B988&gt;(60-PARAM!$B$56))*HLOOKUP(($B988+PARAM!$B$56)/12,Loyalty,2)*$F$1*MAX(BZ987,0)</f>
        <v>18.557001321003963</v>
      </c>
      <c r="BY988" s="75">
        <f>PARAM!$C$26+MAX($G$21-CHOOSE(PARAM!$B$44,MAX(0,BZ987*$F$1),0),0)*RATES!$L964/12+$H$21*(PARAM!$D$51/12)*RATES!$N964/100</f>
        <v>1190.0416666666667</v>
      </c>
      <c r="BZ988" s="16">
        <f t="shared" ref="BZ988:BZ1027" si="689">IF(BZ987&gt;0,BZ987*$F$1,BZ987)+BX988-BY988</f>
        <v>-342136.62975473277</v>
      </c>
      <c r="CA988" s="15">
        <f t="shared" si="664"/>
        <v>22.170849845882874</v>
      </c>
      <c r="CB988" s="75">
        <f>CA988*(1-PARAM!$C$27)*$I$22+(MOD($B988,60)=PARAM!$B$56)*($B988&gt;(60-PARAM!$B$56))*HLOOKUP(($B988+PARAM!$B$56)/12,Loyalty,2)*$F$1*MAX(CD987,0)</f>
        <v>18.557001321003963</v>
      </c>
      <c r="CC988" s="75">
        <f>PARAM!$C$26+MAX($G$22-CHOOSE(PARAM!$B$44,MAX(0,CD987*$F$1),0),0)*RATES!$L964/12+$H$22*(PARAM!$D$51/12)*RATES!$N964/100</f>
        <v>1190.0416666666667</v>
      </c>
      <c r="CD988" s="16">
        <f t="shared" ref="CD988:CD1027" si="690">IF(CD987&gt;0,CD987*$F$1,CD987)+CB988-CC988</f>
        <v>-342136.62975473277</v>
      </c>
      <c r="CE988" s="33">
        <f>IF(0=MOD(B988,12/PARAM!$D$51),1,0)</f>
        <v>1</v>
      </c>
      <c r="CF988" s="15">
        <f t="shared" si="665"/>
        <v>0</v>
      </c>
      <c r="CG988" s="75">
        <f>CF988*(1-PARAM!$C$27)*$R$3+(MOD($B988/12,5)=0)*($B988&gt;60)*HLOOKUP($B988/12,Loyalty,2)*$F$1*MAX(CI987,0)</f>
        <v>0</v>
      </c>
      <c r="CH988" s="75">
        <f>PARAM!$C$26+MAX($P$3-CHOOSE(PARAM!$B$44,MAX(0,CI987*$F$1),0),0)*RATES!$L964/12+$Q$3*(PARAM!$D$51/12)*RATES!$N964/100</f>
        <v>1190.0416666666667</v>
      </c>
      <c r="CI988" s="16">
        <f>IF(CI987&gt;0,CI987*PARAM!$C$53,CI987)+CG988-CH988</f>
        <v>-359850.33333333454</v>
      </c>
      <c r="CJ988" s="15">
        <f t="shared" ref="CJ988:CJ1027" si="691">$Q$4*CE988</f>
        <v>0</v>
      </c>
      <c r="CK988" s="75">
        <f>CJ988*(1-PARAM!$C$27)*$R$4+(MOD($B988/12,5)=0)*($B988&gt;60)*HLOOKUP($B988/12,Loyalty,2)*$F$1*MAX(CM987,0)</f>
        <v>0</v>
      </c>
      <c r="CL988" s="75">
        <f>PARAM!$C$26+MAX($P$4-CHOOSE(PARAM!$B$44,MAX(0,CM987*$F$1),0),0)*RATES!$L964/12+$Q$4*(PARAM!$D$51/12)*RATES!$N964/100</f>
        <v>1190.0416666666667</v>
      </c>
      <c r="CM988" s="16">
        <f>IF(CM987&gt;0,CM987*PARAM!$C$53,CM987)+CK988-CL988</f>
        <v>-359850.33333333454</v>
      </c>
      <c r="CO988" s="176"/>
    </row>
    <row r="989" spans="1:93" x14ac:dyDescent="0.2">
      <c r="A989" t="b">
        <f t="shared" si="666"/>
        <v>0</v>
      </c>
      <c r="B989" s="33">
        <v>962</v>
      </c>
      <c r="C989" s="15">
        <f t="shared" si="667"/>
        <v>20.081305947392778</v>
      </c>
      <c r="D989" s="75">
        <f>C989*(1-PARAM!$C$27)*$I$3+(MOD($B989,60)=PARAM!$B$56)*($B989&gt;(60-PARAM!$B$56))*HLOOKUP(($B989+PARAM!$B$56)/12,Loyalty,2)*$F$1*MAX(F988,0)</f>
        <v>16.808053077967756</v>
      </c>
      <c r="E989" s="75">
        <f>PARAM!$C$26+MAX($G$3-CHOOSE(PARAM!$B$44,MAX(0,F988*$F$1),0),0)*RATES!$L965/12+$H$3*(PARAM!$D$51/12)*RATES!$N965/100</f>
        <v>1190.0416666666667</v>
      </c>
      <c r="F989" s="16">
        <f t="shared" si="668"/>
        <v>-345027.45313040155</v>
      </c>
      <c r="G989" s="15">
        <f t="shared" si="669"/>
        <v>22.035289406060361</v>
      </c>
      <c r="H989" s="75">
        <f>G989*(1-PARAM!$C$27)*$I$4+(MOD($B989,60)=PARAM!$B$56)*($B989&gt;(60-PARAM!$B$56))*HLOOKUP(($B989+PARAM!$B$56)/12,Loyalty,2)*$F$1*MAX(J988,0)</f>
        <v>18.443537232872522</v>
      </c>
      <c r="I989" s="75">
        <f>PARAM!$C$26+MAX($G$4-CHOOSE(PARAM!$B$44,MAX(0,J988*$F$1),0),0)*RATES!$L965/12+$H$4*(PARAM!$D$51/12)*RATES!$N965/100</f>
        <v>1190.0416666666667</v>
      </c>
      <c r="J989" s="16">
        <f t="shared" si="670"/>
        <v>-343420.28440925892</v>
      </c>
      <c r="K989" s="15">
        <f t="shared" si="671"/>
        <v>22.170849845882874</v>
      </c>
      <c r="L989" s="75">
        <f>K989*(1-PARAM!$C$27)*$I$5+(MOD($B989,60)=PARAM!$B$56)*($B989&gt;(60-PARAM!$B$56))*HLOOKUP(($B989+PARAM!$B$56)/12,Loyalty,2)*$F$1*MAX(N988,0)</f>
        <v>18.557001321003963</v>
      </c>
      <c r="M989" s="75">
        <f>PARAM!$C$26+MAX($G$5-CHOOSE(PARAM!$B$44,MAX(0,N988*$F$1),0),0)*RATES!$L965/12+$H$5*(PARAM!$D$51/12)*RATES!$N965/100</f>
        <v>1190.0416666666667</v>
      </c>
      <c r="N989" s="16">
        <f t="shared" si="672"/>
        <v>-343308.11442007846</v>
      </c>
      <c r="O989" s="15">
        <f t="shared" si="673"/>
        <v>22.170849845882874</v>
      </c>
      <c r="P989" s="75">
        <f>O989*(1-PARAM!$C$27)*$I$6+(MOD($B989,60)=PARAM!$B$56)*($B989&gt;(60-PARAM!$B$56))*HLOOKUP(($B989+PARAM!$B$56)/12,Loyalty,2)*$F$1*MAX(R988,0)</f>
        <v>18.557001321003963</v>
      </c>
      <c r="Q989" s="75">
        <f>PARAM!$C$26+MAX($G$6-CHOOSE(PARAM!$B$44,MAX(0,R988*$F$1),0),0)*RATES!$L965/12+$H$6*(PARAM!$D$51/12)*RATES!$N965/100</f>
        <v>1190.0416666666667</v>
      </c>
      <c r="R989" s="16">
        <f t="shared" si="674"/>
        <v>-343308.11442007846</v>
      </c>
      <c r="S989" s="15">
        <f t="shared" si="649"/>
        <v>22.170849845882874</v>
      </c>
      <c r="T989" s="75">
        <f>S989*(1-PARAM!$C$27)*$I$7+(MOD($B989,60)=PARAM!$B$56)*($B989&gt;(60-PARAM!$B$56))*HLOOKUP(($B989+PARAM!$B$56)/12,Loyalty,2)*$F$1*MAX(V988,0)</f>
        <v>18.557001321003963</v>
      </c>
      <c r="U989" s="75">
        <f>PARAM!$C$26+MAX($G$7-CHOOSE(PARAM!$B$44,MAX(0,V988*$F$1),0),0)*RATES!$L965/12+$H$7*(PARAM!$D$51/12)*RATES!$N965/100</f>
        <v>1190.0416666666667</v>
      </c>
      <c r="V989" s="16">
        <f t="shared" si="675"/>
        <v>-343308.11442007846</v>
      </c>
      <c r="W989" s="15">
        <f t="shared" si="650"/>
        <v>22.170849845882874</v>
      </c>
      <c r="X989" s="75">
        <f>W989*(1-PARAM!$C$27)*$I$8+(MOD($B989,60)=PARAM!$B$56)*($B989&gt;(60-PARAM!$B$56))*HLOOKUP(($B989+PARAM!$B$56)/12,Loyalty,2)*$F$1*MAX(Z988,0)</f>
        <v>18.557001321003963</v>
      </c>
      <c r="Y989" s="75">
        <f>PARAM!$C$26+MAX($G$8-CHOOSE(PARAM!$B$44,MAX(0,Z988*$F$1),0),0)*RATES!$L965/12+$H$8*(PARAM!$D$51/12)*RATES!$N965/100</f>
        <v>1190.0416666666667</v>
      </c>
      <c r="Z989" s="16">
        <f t="shared" si="676"/>
        <v>-343308.11442007846</v>
      </c>
      <c r="AA989" s="15">
        <f t="shared" si="651"/>
        <v>22.170849845882874</v>
      </c>
      <c r="AB989" s="75">
        <f>AA989*(1-PARAM!$C$27)*$I$9+(MOD($B989,60)=PARAM!$B$56)*($B989&gt;(60-PARAM!$B$56))*HLOOKUP(($B989+PARAM!$B$56)/12,Loyalty,2)*$F$1*MAX(AD988,0)</f>
        <v>18.557001321003963</v>
      </c>
      <c r="AC989" s="75">
        <f>PARAM!$C$26+MAX($G$9-CHOOSE(PARAM!$B$44,MAX(0,AD988*$F$1),0),0)*RATES!$L965/12+$H$9*(PARAM!$D$51/12)*RATES!$N965/100</f>
        <v>1190.0416666666667</v>
      </c>
      <c r="AD989" s="16">
        <f t="shared" si="677"/>
        <v>-343308.11442007846</v>
      </c>
      <c r="AE989" s="15">
        <f t="shared" si="652"/>
        <v>22.170849845882874</v>
      </c>
      <c r="AF989" s="75">
        <f>AE989*(1-PARAM!$C$27)*$I$10+(MOD($B989,60)=PARAM!$B$56)*($B989&gt;(60-PARAM!$B$56))*HLOOKUP(($B989+PARAM!$B$56)/12,Loyalty,2)*$F$1*MAX(AH988,0)</f>
        <v>18.557001321003963</v>
      </c>
      <c r="AG989" s="75">
        <f>PARAM!$C$26+MAX($G$10-CHOOSE(PARAM!$B$44,MAX(0,AH988*$F$1),0),0)*RATES!$L965/12+$H$10*(PARAM!$D$51/12)*RATES!$N965/100</f>
        <v>1190.0416666666667</v>
      </c>
      <c r="AH989" s="16">
        <f t="shared" si="678"/>
        <v>-343308.11442007846</v>
      </c>
      <c r="AI989" s="15">
        <f t="shared" si="653"/>
        <v>22.170849845882874</v>
      </c>
      <c r="AJ989" s="75">
        <f>AI989*(1-PARAM!$C$27)*$I$11+(MOD($B989,60)=PARAM!$B$56)*($B989&gt;(60-PARAM!$B$56))*HLOOKUP(($B989+PARAM!$B$56)/12,Loyalty,2)*$F$1*MAX(AL988,0)</f>
        <v>18.557001321003963</v>
      </c>
      <c r="AK989" s="75">
        <f>PARAM!$C$26+MAX($G$11-CHOOSE(PARAM!$B$44,MAX(0,AL988*$F$1),0),0)*RATES!$L965/12+$H$11*(PARAM!$D$51/12)*RATES!$N965/100</f>
        <v>1190.0416666666667</v>
      </c>
      <c r="AL989" s="16">
        <f t="shared" si="679"/>
        <v>-343308.11442007846</v>
      </c>
      <c r="AM989" s="15">
        <f t="shared" si="654"/>
        <v>22.170849845882874</v>
      </c>
      <c r="AN989" s="75">
        <f>AM989*(1-PARAM!$C$27)*$I$12+(MOD($B989,60)=PARAM!$B$56)*($B989&gt;(60-PARAM!$B$56))*HLOOKUP(($B989+PARAM!$B$56)/12,Loyalty,2)*$F$1*MAX(AP988,0)</f>
        <v>18.557001321003963</v>
      </c>
      <c r="AO989" s="75">
        <f>PARAM!$C$26+MAX($G$12-CHOOSE(PARAM!$B$44,MAX(0,AP988*$F$1),0),0)*RATES!$L965/12+$H$12*(PARAM!$D$51/12)*RATES!$N965/100</f>
        <v>1190.0416666666667</v>
      </c>
      <c r="AP989" s="16">
        <f t="shared" si="680"/>
        <v>-343308.11442007846</v>
      </c>
      <c r="AQ989" s="15">
        <f t="shared" si="655"/>
        <v>22.170849845882874</v>
      </c>
      <c r="AR989" s="75">
        <f>AQ989*(1-PARAM!$C$27)*$I$13+(MOD($B989,60)=PARAM!$B$56)*($B989&gt;(60-PARAM!$B$56))*HLOOKUP(($B989+PARAM!$B$56)/12,Loyalty,2)*$F$1*MAX(AT988,0)</f>
        <v>18.557001321003963</v>
      </c>
      <c r="AS989" s="75">
        <f>PARAM!$C$26+MAX($G$13-CHOOSE(PARAM!$B$44,MAX(0,AT988*$F$1),0),0)*RATES!$L965/12+$H$13*(PARAM!$D$51/12)*RATES!$N965/100</f>
        <v>1190.0416666666667</v>
      </c>
      <c r="AT989" s="16">
        <f t="shared" si="681"/>
        <v>-343308.11442007846</v>
      </c>
      <c r="AU989" s="15">
        <f t="shared" si="656"/>
        <v>22.170849845882874</v>
      </c>
      <c r="AV989" s="75">
        <f>AU989*(1-PARAM!$C$27)*$I$14+(MOD($B989,60)=PARAM!$B$56)*($B989&gt;(60-PARAM!$B$56))*HLOOKUP(($B989+PARAM!$B$56)/12,Loyalty,2)*$F$1*MAX(AX988,0)</f>
        <v>18.557001321003963</v>
      </c>
      <c r="AW989" s="75">
        <f>PARAM!$C$26+MAX($G$14-CHOOSE(PARAM!$B$44,MAX(0,AX988*$F$1),0),0)*RATES!$L965/12+$H$14*(PARAM!$D$51/12)*RATES!$N965/100</f>
        <v>1190.0416666666667</v>
      </c>
      <c r="AX989" s="16">
        <f t="shared" si="682"/>
        <v>-343308.11442007846</v>
      </c>
      <c r="AY989" s="15">
        <f t="shared" si="657"/>
        <v>22.170849845882874</v>
      </c>
      <c r="AZ989" s="75">
        <f>AY989*(1-PARAM!$C$27)*$I$15+(MOD($B989,60)=PARAM!$B$56)*($B989&gt;(60-PARAM!$B$56))*HLOOKUP(($B989+PARAM!$B$56)/12,Loyalty,2)*$F$1*MAX(BB988,0)</f>
        <v>18.557001321003963</v>
      </c>
      <c r="BA989" s="75">
        <f>PARAM!$C$26+MAX($G$15-CHOOSE(PARAM!$B$44,MAX(0,BB988*$F$1),0),0)*RATES!$L965/12+$H$15*(PARAM!$D$51/12)*RATES!$N965/100</f>
        <v>1190.0416666666667</v>
      </c>
      <c r="BB989" s="16">
        <f t="shared" si="683"/>
        <v>-343308.11442007846</v>
      </c>
      <c r="BC989" s="15">
        <f t="shared" si="658"/>
        <v>22.170849845882874</v>
      </c>
      <c r="BD989" s="75">
        <f>BC989*(1-PARAM!$C$27)*$I$16+(MOD($B989,60)=PARAM!$B$56)*($B989&gt;(60-PARAM!$B$56))*HLOOKUP(($B989+PARAM!$B$56)/12,Loyalty,2)*$F$1*MAX(BF988,0)</f>
        <v>18.557001321003963</v>
      </c>
      <c r="BE989" s="75">
        <f>PARAM!$C$26+MAX($G$16-CHOOSE(PARAM!$B$44,MAX(0,BF988*$F$1),0),0)*RATES!$L965/12+$H$16*(PARAM!$D$51/12)*RATES!$N965/100</f>
        <v>1190.0416666666667</v>
      </c>
      <c r="BF989" s="16">
        <f t="shared" si="684"/>
        <v>-343308.11442007846</v>
      </c>
      <c r="BG989" s="15">
        <f t="shared" si="659"/>
        <v>22.170849845882874</v>
      </c>
      <c r="BH989" s="75">
        <f>BG989*(1-PARAM!$C$27)*$I$17+(MOD($B989,60)=PARAM!$B$56)*($B989&gt;(60-PARAM!$B$56))*HLOOKUP(($B989+PARAM!$B$56)/12,Loyalty,2)*$F$1*MAX(BJ988,0)</f>
        <v>18.557001321003963</v>
      </c>
      <c r="BI989" s="75">
        <f>PARAM!$C$26+MAX($G$17-CHOOSE(PARAM!$B$44,MAX(0,BJ988*$F$1),0),0)*RATES!$L965/12+$H$17*(PARAM!$D$51/12)*RATES!$N965/100</f>
        <v>1190.0416666666667</v>
      </c>
      <c r="BJ989" s="16">
        <f t="shared" si="685"/>
        <v>-343308.11442007846</v>
      </c>
      <c r="BK989" s="15">
        <f t="shared" si="660"/>
        <v>22.170849845882874</v>
      </c>
      <c r="BL989" s="75">
        <f>BK989*(1-PARAM!$C$27)*$I$18+(MOD($B989,60)=PARAM!$B$56)*($B989&gt;(60-PARAM!$B$56))*HLOOKUP(($B989+PARAM!$B$56)/12,Loyalty,2)*$F$1*MAX(BN988,0)</f>
        <v>18.557001321003963</v>
      </c>
      <c r="BM989" s="75">
        <f>PARAM!$C$26+MAX($G$18-CHOOSE(PARAM!$B$44,MAX(0,BN988*$F$1),0),0)*RATES!$L965/12+$H$18*(PARAM!$D$51/12)*RATES!$N965/100</f>
        <v>1190.0416666666667</v>
      </c>
      <c r="BN989" s="16">
        <f t="shared" si="686"/>
        <v>-343308.11442007846</v>
      </c>
      <c r="BO989" s="15">
        <f t="shared" si="661"/>
        <v>22.170849845882874</v>
      </c>
      <c r="BP989" s="75">
        <f>BO989*(1-PARAM!$C$27)*$I$19+(MOD($B989,60)=PARAM!$B$56)*($B989&gt;(60-PARAM!$B$56))*HLOOKUP(($B989+PARAM!$B$56)/12,Loyalty,2)*$F$1*MAX(BR988,0)</f>
        <v>18.557001321003963</v>
      </c>
      <c r="BQ989" s="75">
        <f>PARAM!$C$26+MAX($G$19-CHOOSE(PARAM!$B$44,MAX(0,BR988*$F$1),0),0)*RATES!$L965/12+$H$19*(PARAM!$D$51/12)*RATES!$N965/100</f>
        <v>1190.0416666666667</v>
      </c>
      <c r="BR989" s="16">
        <f t="shared" si="687"/>
        <v>-343308.11442007846</v>
      </c>
      <c r="BS989" s="15">
        <f t="shared" si="662"/>
        <v>22.170849845882874</v>
      </c>
      <c r="BT989" s="75">
        <f>BS989*(1-PARAM!$C$27)*$I$20+(MOD($B989,60)=PARAM!$B$56)*($B989&gt;(60-PARAM!$B$56))*HLOOKUP(($B989+PARAM!$B$56)/12,Loyalty,2)*$F$1*MAX(BV988,0)</f>
        <v>18.557001321003963</v>
      </c>
      <c r="BU989" s="75">
        <f>PARAM!$C$26+MAX($G$20-CHOOSE(PARAM!$B$44,MAX(0,BV988*$F$1),0),0)*RATES!$L965/12+$H$20*(PARAM!$D$51/12)*RATES!$N965/100</f>
        <v>1190.0416666666667</v>
      </c>
      <c r="BV989" s="16">
        <f t="shared" si="688"/>
        <v>-343308.11442007846</v>
      </c>
      <c r="BW989" s="15">
        <f t="shared" si="663"/>
        <v>22.170849845882874</v>
      </c>
      <c r="BX989" s="75">
        <f>BW989*(1-PARAM!$C$27)*$I$21+(MOD($B989,60)=PARAM!$B$56)*($B989&gt;(60-PARAM!$B$56))*HLOOKUP(($B989+PARAM!$B$56)/12,Loyalty,2)*$F$1*MAX(BZ988,0)</f>
        <v>18.557001321003963</v>
      </c>
      <c r="BY989" s="75">
        <f>PARAM!$C$26+MAX($G$21-CHOOSE(PARAM!$B$44,MAX(0,BZ988*$F$1),0),0)*RATES!$L965/12+$H$21*(PARAM!$D$51/12)*RATES!$N965/100</f>
        <v>1190.0416666666667</v>
      </c>
      <c r="BZ989" s="16">
        <f t="shared" si="689"/>
        <v>-343308.11442007846</v>
      </c>
      <c r="CA989" s="15">
        <f t="shared" si="664"/>
        <v>22.170849845882874</v>
      </c>
      <c r="CB989" s="75">
        <f>CA989*(1-PARAM!$C$27)*$I$22+(MOD($B989,60)=PARAM!$B$56)*($B989&gt;(60-PARAM!$B$56))*HLOOKUP(($B989+PARAM!$B$56)/12,Loyalty,2)*$F$1*MAX(CD988,0)</f>
        <v>18.557001321003963</v>
      </c>
      <c r="CC989" s="75">
        <f>PARAM!$C$26+MAX($G$22-CHOOSE(PARAM!$B$44,MAX(0,CD988*$F$1),0),0)*RATES!$L965/12+$H$22*(PARAM!$D$51/12)*RATES!$N965/100</f>
        <v>1190.0416666666667</v>
      </c>
      <c r="CD989" s="16">
        <f t="shared" si="690"/>
        <v>-343308.11442007846</v>
      </c>
      <c r="CE989" s="33">
        <f>IF(0=MOD(B989,12/PARAM!$D$51),1,0)</f>
        <v>1</v>
      </c>
      <c r="CF989" s="15">
        <f t="shared" si="665"/>
        <v>0</v>
      </c>
      <c r="CG989" s="75">
        <f>CF989*(1-PARAM!$C$27)*$R$3+(MOD($B989/12,5)=0)*($B989&gt;60)*HLOOKUP($B989/12,Loyalty,2)*$F$1*MAX(CI988,0)</f>
        <v>0</v>
      </c>
      <c r="CH989" s="75">
        <f>PARAM!$C$26+MAX($P$3-CHOOSE(PARAM!$B$44,MAX(0,CI988*$F$1),0),0)*RATES!$L965/12+$Q$3*(PARAM!$D$51/12)*RATES!$N965/100</f>
        <v>1190.0416666666667</v>
      </c>
      <c r="CI989" s="16">
        <f>IF(CI988&gt;0,CI988*PARAM!$C$53,CI988)+CG989-CH989</f>
        <v>-361040.37500000122</v>
      </c>
      <c r="CJ989" s="15">
        <f t="shared" si="691"/>
        <v>0</v>
      </c>
      <c r="CK989" s="75">
        <f>CJ989*(1-PARAM!$C$27)*$R$4+(MOD($B989/12,5)=0)*($B989&gt;60)*HLOOKUP($B989/12,Loyalty,2)*$F$1*MAX(CM988,0)</f>
        <v>0</v>
      </c>
      <c r="CL989" s="75">
        <f>PARAM!$C$26+MAX($P$4-CHOOSE(PARAM!$B$44,MAX(0,CM988*$F$1),0),0)*RATES!$L965/12+$Q$4*(PARAM!$D$51/12)*RATES!$N965/100</f>
        <v>1190.0416666666667</v>
      </c>
      <c r="CM989" s="16">
        <f>IF(CM988&gt;0,CM988*PARAM!$C$53,CM988)+CK989-CL989</f>
        <v>-361040.37500000122</v>
      </c>
      <c r="CO989" s="176"/>
    </row>
    <row r="990" spans="1:93" x14ac:dyDescent="0.2">
      <c r="A990" t="b">
        <f t="shared" si="666"/>
        <v>0</v>
      </c>
      <c r="B990" s="33">
        <v>963</v>
      </c>
      <c r="C990" s="15">
        <f t="shared" si="667"/>
        <v>20.081305947392778</v>
      </c>
      <c r="D990" s="75">
        <f>C990*(1-PARAM!$C$27)*$I$3+(MOD($B990,60)=PARAM!$B$56)*($B990&gt;(60-PARAM!$B$56))*HLOOKUP(($B990+PARAM!$B$56)/12,Loyalty,2)*$F$1*MAX(F989,0)</f>
        <v>16.808053077967756</v>
      </c>
      <c r="E990" s="75">
        <f>PARAM!$C$26+MAX($G$3-CHOOSE(PARAM!$B$44,MAX(0,F989*$F$1),0),0)*RATES!$L966/12+$H$3*(PARAM!$D$51/12)*RATES!$N966/100</f>
        <v>1190.0416666666667</v>
      </c>
      <c r="F990" s="16">
        <f t="shared" si="668"/>
        <v>-346200.68674399029</v>
      </c>
      <c r="G990" s="15">
        <f t="shared" si="669"/>
        <v>22.035289406060361</v>
      </c>
      <c r="H990" s="75">
        <f>G990*(1-PARAM!$C$27)*$I$4+(MOD($B990,60)=PARAM!$B$56)*($B990&gt;(60-PARAM!$B$56))*HLOOKUP(($B990+PARAM!$B$56)/12,Loyalty,2)*$F$1*MAX(J989,0)</f>
        <v>18.443537232872522</v>
      </c>
      <c r="I990" s="75">
        <f>PARAM!$C$26+MAX($G$4-CHOOSE(PARAM!$B$44,MAX(0,J989*$F$1),0),0)*RATES!$L966/12+$H$4*(PARAM!$D$51/12)*RATES!$N966/100</f>
        <v>1190.0416666666667</v>
      </c>
      <c r="J990" s="16">
        <f t="shared" si="670"/>
        <v>-344591.88253869273</v>
      </c>
      <c r="K990" s="15">
        <f t="shared" si="671"/>
        <v>22.170849845882874</v>
      </c>
      <c r="L990" s="75">
        <f>K990*(1-PARAM!$C$27)*$I$5+(MOD($B990,60)=PARAM!$B$56)*($B990&gt;(60-PARAM!$B$56))*HLOOKUP(($B990+PARAM!$B$56)/12,Loyalty,2)*$F$1*MAX(N989,0)</f>
        <v>18.557001321003963</v>
      </c>
      <c r="M990" s="75">
        <f>PARAM!$C$26+MAX($G$5-CHOOSE(PARAM!$B$44,MAX(0,N989*$F$1),0),0)*RATES!$L966/12+$H$5*(PARAM!$D$51/12)*RATES!$N966/100</f>
        <v>1190.0416666666667</v>
      </c>
      <c r="N990" s="16">
        <f t="shared" si="672"/>
        <v>-344479.59908542415</v>
      </c>
      <c r="O990" s="15">
        <f t="shared" si="673"/>
        <v>22.170849845882874</v>
      </c>
      <c r="P990" s="75">
        <f>O990*(1-PARAM!$C$27)*$I$6+(MOD($B990,60)=PARAM!$B$56)*($B990&gt;(60-PARAM!$B$56))*HLOOKUP(($B990+PARAM!$B$56)/12,Loyalty,2)*$F$1*MAX(R989,0)</f>
        <v>18.557001321003963</v>
      </c>
      <c r="Q990" s="75">
        <f>PARAM!$C$26+MAX($G$6-CHOOSE(PARAM!$B$44,MAX(0,R989*$F$1),0),0)*RATES!$L966/12+$H$6*(PARAM!$D$51/12)*RATES!$N966/100</f>
        <v>1190.0416666666667</v>
      </c>
      <c r="R990" s="16">
        <f t="shared" si="674"/>
        <v>-344479.59908542415</v>
      </c>
      <c r="S990" s="15">
        <f t="shared" si="649"/>
        <v>22.170849845882874</v>
      </c>
      <c r="T990" s="75">
        <f>S990*(1-PARAM!$C$27)*$I$7+(MOD($B990,60)=PARAM!$B$56)*($B990&gt;(60-PARAM!$B$56))*HLOOKUP(($B990+PARAM!$B$56)/12,Loyalty,2)*$F$1*MAX(V989,0)</f>
        <v>18.557001321003963</v>
      </c>
      <c r="U990" s="75">
        <f>PARAM!$C$26+MAX($G$7-CHOOSE(PARAM!$B$44,MAX(0,V989*$F$1),0),0)*RATES!$L966/12+$H$7*(PARAM!$D$51/12)*RATES!$N966/100</f>
        <v>1190.0416666666667</v>
      </c>
      <c r="V990" s="16">
        <f t="shared" si="675"/>
        <v>-344479.59908542415</v>
      </c>
      <c r="W990" s="15">
        <f t="shared" si="650"/>
        <v>22.170849845882874</v>
      </c>
      <c r="X990" s="75">
        <f>W990*(1-PARAM!$C$27)*$I$8+(MOD($B990,60)=PARAM!$B$56)*($B990&gt;(60-PARAM!$B$56))*HLOOKUP(($B990+PARAM!$B$56)/12,Loyalty,2)*$F$1*MAX(Z989,0)</f>
        <v>18.557001321003963</v>
      </c>
      <c r="Y990" s="75">
        <f>PARAM!$C$26+MAX($G$8-CHOOSE(PARAM!$B$44,MAX(0,Z989*$F$1),0),0)*RATES!$L966/12+$H$8*(PARAM!$D$51/12)*RATES!$N966/100</f>
        <v>1190.0416666666667</v>
      </c>
      <c r="Z990" s="16">
        <f t="shared" si="676"/>
        <v>-344479.59908542415</v>
      </c>
      <c r="AA990" s="15">
        <f t="shared" si="651"/>
        <v>22.170849845882874</v>
      </c>
      <c r="AB990" s="75">
        <f>AA990*(1-PARAM!$C$27)*$I$9+(MOD($B990,60)=PARAM!$B$56)*($B990&gt;(60-PARAM!$B$56))*HLOOKUP(($B990+PARAM!$B$56)/12,Loyalty,2)*$F$1*MAX(AD989,0)</f>
        <v>18.557001321003963</v>
      </c>
      <c r="AC990" s="75">
        <f>PARAM!$C$26+MAX($G$9-CHOOSE(PARAM!$B$44,MAX(0,AD989*$F$1),0),0)*RATES!$L966/12+$H$9*(PARAM!$D$51/12)*RATES!$N966/100</f>
        <v>1190.0416666666667</v>
      </c>
      <c r="AD990" s="16">
        <f t="shared" si="677"/>
        <v>-344479.59908542415</v>
      </c>
      <c r="AE990" s="15">
        <f t="shared" si="652"/>
        <v>22.170849845882874</v>
      </c>
      <c r="AF990" s="75">
        <f>AE990*(1-PARAM!$C$27)*$I$10+(MOD($B990,60)=PARAM!$B$56)*($B990&gt;(60-PARAM!$B$56))*HLOOKUP(($B990+PARAM!$B$56)/12,Loyalty,2)*$F$1*MAX(AH989,0)</f>
        <v>18.557001321003963</v>
      </c>
      <c r="AG990" s="75">
        <f>PARAM!$C$26+MAX($G$10-CHOOSE(PARAM!$B$44,MAX(0,AH989*$F$1),0),0)*RATES!$L966/12+$H$10*(PARAM!$D$51/12)*RATES!$N966/100</f>
        <v>1190.0416666666667</v>
      </c>
      <c r="AH990" s="16">
        <f t="shared" si="678"/>
        <v>-344479.59908542415</v>
      </c>
      <c r="AI990" s="15">
        <f t="shared" si="653"/>
        <v>22.170849845882874</v>
      </c>
      <c r="AJ990" s="75">
        <f>AI990*(1-PARAM!$C$27)*$I$11+(MOD($B990,60)=PARAM!$B$56)*($B990&gt;(60-PARAM!$B$56))*HLOOKUP(($B990+PARAM!$B$56)/12,Loyalty,2)*$F$1*MAX(AL989,0)</f>
        <v>18.557001321003963</v>
      </c>
      <c r="AK990" s="75">
        <f>PARAM!$C$26+MAX($G$11-CHOOSE(PARAM!$B$44,MAX(0,AL989*$F$1),0),0)*RATES!$L966/12+$H$11*(PARAM!$D$51/12)*RATES!$N966/100</f>
        <v>1190.0416666666667</v>
      </c>
      <c r="AL990" s="16">
        <f t="shared" si="679"/>
        <v>-344479.59908542415</v>
      </c>
      <c r="AM990" s="15">
        <f t="shared" si="654"/>
        <v>22.170849845882874</v>
      </c>
      <c r="AN990" s="75">
        <f>AM990*(1-PARAM!$C$27)*$I$12+(MOD($B990,60)=PARAM!$B$56)*($B990&gt;(60-PARAM!$B$56))*HLOOKUP(($B990+PARAM!$B$56)/12,Loyalty,2)*$F$1*MAX(AP989,0)</f>
        <v>18.557001321003963</v>
      </c>
      <c r="AO990" s="75">
        <f>PARAM!$C$26+MAX($G$12-CHOOSE(PARAM!$B$44,MAX(0,AP989*$F$1),0),0)*RATES!$L966/12+$H$12*(PARAM!$D$51/12)*RATES!$N966/100</f>
        <v>1190.0416666666667</v>
      </c>
      <c r="AP990" s="16">
        <f t="shared" si="680"/>
        <v>-344479.59908542415</v>
      </c>
      <c r="AQ990" s="15">
        <f t="shared" si="655"/>
        <v>22.170849845882874</v>
      </c>
      <c r="AR990" s="75">
        <f>AQ990*(1-PARAM!$C$27)*$I$13+(MOD($B990,60)=PARAM!$B$56)*($B990&gt;(60-PARAM!$B$56))*HLOOKUP(($B990+PARAM!$B$56)/12,Loyalty,2)*$F$1*MAX(AT989,0)</f>
        <v>18.557001321003963</v>
      </c>
      <c r="AS990" s="75">
        <f>PARAM!$C$26+MAX($G$13-CHOOSE(PARAM!$B$44,MAX(0,AT989*$F$1),0),0)*RATES!$L966/12+$H$13*(PARAM!$D$51/12)*RATES!$N966/100</f>
        <v>1190.0416666666667</v>
      </c>
      <c r="AT990" s="16">
        <f t="shared" si="681"/>
        <v>-344479.59908542415</v>
      </c>
      <c r="AU990" s="15">
        <f t="shared" si="656"/>
        <v>22.170849845882874</v>
      </c>
      <c r="AV990" s="75">
        <f>AU990*(1-PARAM!$C$27)*$I$14+(MOD($B990,60)=PARAM!$B$56)*($B990&gt;(60-PARAM!$B$56))*HLOOKUP(($B990+PARAM!$B$56)/12,Loyalty,2)*$F$1*MAX(AX989,0)</f>
        <v>18.557001321003963</v>
      </c>
      <c r="AW990" s="75">
        <f>PARAM!$C$26+MAX($G$14-CHOOSE(PARAM!$B$44,MAX(0,AX989*$F$1),0),0)*RATES!$L966/12+$H$14*(PARAM!$D$51/12)*RATES!$N966/100</f>
        <v>1190.0416666666667</v>
      </c>
      <c r="AX990" s="16">
        <f t="shared" si="682"/>
        <v>-344479.59908542415</v>
      </c>
      <c r="AY990" s="15">
        <f t="shared" si="657"/>
        <v>22.170849845882874</v>
      </c>
      <c r="AZ990" s="75">
        <f>AY990*(1-PARAM!$C$27)*$I$15+(MOD($B990,60)=PARAM!$B$56)*($B990&gt;(60-PARAM!$B$56))*HLOOKUP(($B990+PARAM!$B$56)/12,Loyalty,2)*$F$1*MAX(BB989,0)</f>
        <v>18.557001321003963</v>
      </c>
      <c r="BA990" s="75">
        <f>PARAM!$C$26+MAX($G$15-CHOOSE(PARAM!$B$44,MAX(0,BB989*$F$1),0),0)*RATES!$L966/12+$H$15*(PARAM!$D$51/12)*RATES!$N966/100</f>
        <v>1190.0416666666667</v>
      </c>
      <c r="BB990" s="16">
        <f t="shared" si="683"/>
        <v>-344479.59908542415</v>
      </c>
      <c r="BC990" s="15">
        <f t="shared" si="658"/>
        <v>22.170849845882874</v>
      </c>
      <c r="BD990" s="75">
        <f>BC990*(1-PARAM!$C$27)*$I$16+(MOD($B990,60)=PARAM!$B$56)*($B990&gt;(60-PARAM!$B$56))*HLOOKUP(($B990+PARAM!$B$56)/12,Loyalty,2)*$F$1*MAX(BF989,0)</f>
        <v>18.557001321003963</v>
      </c>
      <c r="BE990" s="75">
        <f>PARAM!$C$26+MAX($G$16-CHOOSE(PARAM!$B$44,MAX(0,BF989*$F$1),0),0)*RATES!$L966/12+$H$16*(PARAM!$D$51/12)*RATES!$N966/100</f>
        <v>1190.0416666666667</v>
      </c>
      <c r="BF990" s="16">
        <f t="shared" si="684"/>
        <v>-344479.59908542415</v>
      </c>
      <c r="BG990" s="15">
        <f t="shared" si="659"/>
        <v>22.170849845882874</v>
      </c>
      <c r="BH990" s="75">
        <f>BG990*(1-PARAM!$C$27)*$I$17+(MOD($B990,60)=PARAM!$B$56)*($B990&gt;(60-PARAM!$B$56))*HLOOKUP(($B990+PARAM!$B$56)/12,Loyalty,2)*$F$1*MAX(BJ989,0)</f>
        <v>18.557001321003963</v>
      </c>
      <c r="BI990" s="75">
        <f>PARAM!$C$26+MAX($G$17-CHOOSE(PARAM!$B$44,MAX(0,BJ989*$F$1),0),0)*RATES!$L966/12+$H$17*(PARAM!$D$51/12)*RATES!$N966/100</f>
        <v>1190.0416666666667</v>
      </c>
      <c r="BJ990" s="16">
        <f t="shared" si="685"/>
        <v>-344479.59908542415</v>
      </c>
      <c r="BK990" s="15">
        <f t="shared" si="660"/>
        <v>22.170849845882874</v>
      </c>
      <c r="BL990" s="75">
        <f>BK990*(1-PARAM!$C$27)*$I$18+(MOD($B990,60)=PARAM!$B$56)*($B990&gt;(60-PARAM!$B$56))*HLOOKUP(($B990+PARAM!$B$56)/12,Loyalty,2)*$F$1*MAX(BN989,0)</f>
        <v>18.557001321003963</v>
      </c>
      <c r="BM990" s="75">
        <f>PARAM!$C$26+MAX($G$18-CHOOSE(PARAM!$B$44,MAX(0,BN989*$F$1),0),0)*RATES!$L966/12+$H$18*(PARAM!$D$51/12)*RATES!$N966/100</f>
        <v>1190.0416666666667</v>
      </c>
      <c r="BN990" s="16">
        <f t="shared" si="686"/>
        <v>-344479.59908542415</v>
      </c>
      <c r="BO990" s="15">
        <f t="shared" si="661"/>
        <v>22.170849845882874</v>
      </c>
      <c r="BP990" s="75">
        <f>BO990*(1-PARAM!$C$27)*$I$19+(MOD($B990,60)=PARAM!$B$56)*($B990&gt;(60-PARAM!$B$56))*HLOOKUP(($B990+PARAM!$B$56)/12,Loyalty,2)*$F$1*MAX(BR989,0)</f>
        <v>18.557001321003963</v>
      </c>
      <c r="BQ990" s="75">
        <f>PARAM!$C$26+MAX($G$19-CHOOSE(PARAM!$B$44,MAX(0,BR989*$F$1),0),0)*RATES!$L966/12+$H$19*(PARAM!$D$51/12)*RATES!$N966/100</f>
        <v>1190.0416666666667</v>
      </c>
      <c r="BR990" s="16">
        <f t="shared" si="687"/>
        <v>-344479.59908542415</v>
      </c>
      <c r="BS990" s="15">
        <f t="shared" si="662"/>
        <v>22.170849845882874</v>
      </c>
      <c r="BT990" s="75">
        <f>BS990*(1-PARAM!$C$27)*$I$20+(MOD($B990,60)=PARAM!$B$56)*($B990&gt;(60-PARAM!$B$56))*HLOOKUP(($B990+PARAM!$B$56)/12,Loyalty,2)*$F$1*MAX(BV989,0)</f>
        <v>18.557001321003963</v>
      </c>
      <c r="BU990" s="75">
        <f>PARAM!$C$26+MAX($G$20-CHOOSE(PARAM!$B$44,MAX(0,BV989*$F$1),0),0)*RATES!$L966/12+$H$20*(PARAM!$D$51/12)*RATES!$N966/100</f>
        <v>1190.0416666666667</v>
      </c>
      <c r="BV990" s="16">
        <f t="shared" si="688"/>
        <v>-344479.59908542415</v>
      </c>
      <c r="BW990" s="15">
        <f t="shared" si="663"/>
        <v>22.170849845882874</v>
      </c>
      <c r="BX990" s="75">
        <f>BW990*(1-PARAM!$C$27)*$I$21+(MOD($B990,60)=PARAM!$B$56)*($B990&gt;(60-PARAM!$B$56))*HLOOKUP(($B990+PARAM!$B$56)/12,Loyalty,2)*$F$1*MAX(BZ989,0)</f>
        <v>18.557001321003963</v>
      </c>
      <c r="BY990" s="75">
        <f>PARAM!$C$26+MAX($G$21-CHOOSE(PARAM!$B$44,MAX(0,BZ989*$F$1),0),0)*RATES!$L966/12+$H$21*(PARAM!$D$51/12)*RATES!$N966/100</f>
        <v>1190.0416666666667</v>
      </c>
      <c r="BZ990" s="16">
        <f t="shared" si="689"/>
        <v>-344479.59908542415</v>
      </c>
      <c r="CA990" s="15">
        <f t="shared" si="664"/>
        <v>22.170849845882874</v>
      </c>
      <c r="CB990" s="75">
        <f>CA990*(1-PARAM!$C$27)*$I$22+(MOD($B990,60)=PARAM!$B$56)*($B990&gt;(60-PARAM!$B$56))*HLOOKUP(($B990+PARAM!$B$56)/12,Loyalty,2)*$F$1*MAX(CD989,0)</f>
        <v>18.557001321003963</v>
      </c>
      <c r="CC990" s="75">
        <f>PARAM!$C$26+MAX($G$22-CHOOSE(PARAM!$B$44,MAX(0,CD989*$F$1),0),0)*RATES!$L966/12+$H$22*(PARAM!$D$51/12)*RATES!$N966/100</f>
        <v>1190.0416666666667</v>
      </c>
      <c r="CD990" s="16">
        <f t="shared" si="690"/>
        <v>-344479.59908542415</v>
      </c>
      <c r="CE990" s="33">
        <f>IF(0=MOD(B990,12/PARAM!$D$51),1,0)</f>
        <v>1</v>
      </c>
      <c r="CF990" s="15">
        <f t="shared" si="665"/>
        <v>0</v>
      </c>
      <c r="CG990" s="75">
        <f>CF990*(1-PARAM!$C$27)*$R$3+(MOD($B990/12,5)=0)*($B990&gt;60)*HLOOKUP($B990/12,Loyalty,2)*$F$1*MAX(CI989,0)</f>
        <v>0</v>
      </c>
      <c r="CH990" s="75">
        <f>PARAM!$C$26+MAX($P$3-CHOOSE(PARAM!$B$44,MAX(0,CI989*$F$1),0),0)*RATES!$L966/12+$Q$3*(PARAM!$D$51/12)*RATES!$N966/100</f>
        <v>1190.0416666666667</v>
      </c>
      <c r="CI990" s="16">
        <f>IF(CI989&gt;0,CI989*PARAM!$C$53,CI989)+CG990-CH990</f>
        <v>-362230.41666666791</v>
      </c>
      <c r="CJ990" s="15">
        <f t="shared" si="691"/>
        <v>0</v>
      </c>
      <c r="CK990" s="75">
        <f>CJ990*(1-PARAM!$C$27)*$R$4+(MOD($B990/12,5)=0)*($B990&gt;60)*HLOOKUP($B990/12,Loyalty,2)*$F$1*MAX(CM989,0)</f>
        <v>0</v>
      </c>
      <c r="CL990" s="75">
        <f>PARAM!$C$26+MAX($P$4-CHOOSE(PARAM!$B$44,MAX(0,CM989*$F$1),0),0)*RATES!$L966/12+$Q$4*(PARAM!$D$51/12)*RATES!$N966/100</f>
        <v>1190.0416666666667</v>
      </c>
      <c r="CM990" s="16">
        <f>IF(CM989&gt;0,CM989*PARAM!$C$53,CM989)+CK990-CL990</f>
        <v>-362230.41666666791</v>
      </c>
      <c r="CO990" s="176"/>
    </row>
    <row r="991" spans="1:93" x14ac:dyDescent="0.2">
      <c r="A991" t="b">
        <f t="shared" si="666"/>
        <v>0</v>
      </c>
      <c r="B991" s="33">
        <v>964</v>
      </c>
      <c r="C991" s="15">
        <f t="shared" si="667"/>
        <v>20.081305947392778</v>
      </c>
      <c r="D991" s="75">
        <f>C991*(1-PARAM!$C$27)*$I$3+(MOD($B991,60)=PARAM!$B$56)*($B991&gt;(60-PARAM!$B$56))*HLOOKUP(($B991+PARAM!$B$56)/12,Loyalty,2)*$F$1*MAX(F990,0)</f>
        <v>16.808053077967756</v>
      </c>
      <c r="E991" s="75">
        <f>PARAM!$C$26+MAX($G$3-CHOOSE(PARAM!$B$44,MAX(0,F990*$F$1),0),0)*RATES!$L967/12+$H$3*(PARAM!$D$51/12)*RATES!$N967/100</f>
        <v>1190.0416666666667</v>
      </c>
      <c r="F991" s="16">
        <f t="shared" si="668"/>
        <v>-347373.92035757902</v>
      </c>
      <c r="G991" s="15">
        <f t="shared" si="669"/>
        <v>22.035289406060361</v>
      </c>
      <c r="H991" s="75">
        <f>G991*(1-PARAM!$C$27)*$I$4+(MOD($B991,60)=PARAM!$B$56)*($B991&gt;(60-PARAM!$B$56))*HLOOKUP(($B991+PARAM!$B$56)/12,Loyalty,2)*$F$1*MAX(J990,0)</f>
        <v>18.443537232872522</v>
      </c>
      <c r="I991" s="75">
        <f>PARAM!$C$26+MAX($G$4-CHOOSE(PARAM!$B$44,MAX(0,J990*$F$1),0),0)*RATES!$L967/12+$H$4*(PARAM!$D$51/12)*RATES!$N967/100</f>
        <v>1190.0416666666667</v>
      </c>
      <c r="J991" s="16">
        <f t="shared" si="670"/>
        <v>-345763.48066812655</v>
      </c>
      <c r="K991" s="15">
        <f t="shared" si="671"/>
        <v>22.170849845882874</v>
      </c>
      <c r="L991" s="75">
        <f>K991*(1-PARAM!$C$27)*$I$5+(MOD($B991,60)=PARAM!$B$56)*($B991&gt;(60-PARAM!$B$56))*HLOOKUP(($B991+PARAM!$B$56)/12,Loyalty,2)*$F$1*MAX(N990,0)</f>
        <v>18.557001321003963</v>
      </c>
      <c r="M991" s="75">
        <f>PARAM!$C$26+MAX($G$5-CHOOSE(PARAM!$B$44,MAX(0,N990*$F$1),0),0)*RATES!$L967/12+$H$5*(PARAM!$D$51/12)*RATES!$N967/100</f>
        <v>1190.0416666666667</v>
      </c>
      <c r="N991" s="16">
        <f t="shared" si="672"/>
        <v>-345651.08375076985</v>
      </c>
      <c r="O991" s="15">
        <f t="shared" si="673"/>
        <v>22.170849845882874</v>
      </c>
      <c r="P991" s="75">
        <f>O991*(1-PARAM!$C$27)*$I$6+(MOD($B991,60)=PARAM!$B$56)*($B991&gt;(60-PARAM!$B$56))*HLOOKUP(($B991+PARAM!$B$56)/12,Loyalty,2)*$F$1*MAX(R990,0)</f>
        <v>18.557001321003963</v>
      </c>
      <c r="Q991" s="75">
        <f>PARAM!$C$26+MAX($G$6-CHOOSE(PARAM!$B$44,MAX(0,R990*$F$1),0),0)*RATES!$L967/12+$H$6*(PARAM!$D$51/12)*RATES!$N967/100</f>
        <v>1190.0416666666667</v>
      </c>
      <c r="R991" s="16">
        <f t="shared" si="674"/>
        <v>-345651.08375076985</v>
      </c>
      <c r="S991" s="15">
        <f t="shared" si="649"/>
        <v>22.170849845882874</v>
      </c>
      <c r="T991" s="75">
        <f>S991*(1-PARAM!$C$27)*$I$7+(MOD($B991,60)=PARAM!$B$56)*($B991&gt;(60-PARAM!$B$56))*HLOOKUP(($B991+PARAM!$B$56)/12,Loyalty,2)*$F$1*MAX(V990,0)</f>
        <v>18.557001321003963</v>
      </c>
      <c r="U991" s="75">
        <f>PARAM!$C$26+MAX($G$7-CHOOSE(PARAM!$B$44,MAX(0,V990*$F$1),0),0)*RATES!$L967/12+$H$7*(PARAM!$D$51/12)*RATES!$N967/100</f>
        <v>1190.0416666666667</v>
      </c>
      <c r="V991" s="16">
        <f t="shared" si="675"/>
        <v>-345651.08375076985</v>
      </c>
      <c r="W991" s="15">
        <f t="shared" si="650"/>
        <v>22.170849845882874</v>
      </c>
      <c r="X991" s="75">
        <f>W991*(1-PARAM!$C$27)*$I$8+(MOD($B991,60)=PARAM!$B$56)*($B991&gt;(60-PARAM!$B$56))*HLOOKUP(($B991+PARAM!$B$56)/12,Loyalty,2)*$F$1*MAX(Z990,0)</f>
        <v>18.557001321003963</v>
      </c>
      <c r="Y991" s="75">
        <f>PARAM!$C$26+MAX($G$8-CHOOSE(PARAM!$B$44,MAX(0,Z990*$F$1),0),0)*RATES!$L967/12+$H$8*(PARAM!$D$51/12)*RATES!$N967/100</f>
        <v>1190.0416666666667</v>
      </c>
      <c r="Z991" s="16">
        <f t="shared" si="676"/>
        <v>-345651.08375076985</v>
      </c>
      <c r="AA991" s="15">
        <f t="shared" si="651"/>
        <v>22.170849845882874</v>
      </c>
      <c r="AB991" s="75">
        <f>AA991*(1-PARAM!$C$27)*$I$9+(MOD($B991,60)=PARAM!$B$56)*($B991&gt;(60-PARAM!$B$56))*HLOOKUP(($B991+PARAM!$B$56)/12,Loyalty,2)*$F$1*MAX(AD990,0)</f>
        <v>18.557001321003963</v>
      </c>
      <c r="AC991" s="75">
        <f>PARAM!$C$26+MAX($G$9-CHOOSE(PARAM!$B$44,MAX(0,AD990*$F$1),0),0)*RATES!$L967/12+$H$9*(PARAM!$D$51/12)*RATES!$N967/100</f>
        <v>1190.0416666666667</v>
      </c>
      <c r="AD991" s="16">
        <f t="shared" si="677"/>
        <v>-345651.08375076985</v>
      </c>
      <c r="AE991" s="15">
        <f t="shared" si="652"/>
        <v>22.170849845882874</v>
      </c>
      <c r="AF991" s="75">
        <f>AE991*(1-PARAM!$C$27)*$I$10+(MOD($B991,60)=PARAM!$B$56)*($B991&gt;(60-PARAM!$B$56))*HLOOKUP(($B991+PARAM!$B$56)/12,Loyalty,2)*$F$1*MAX(AH990,0)</f>
        <v>18.557001321003963</v>
      </c>
      <c r="AG991" s="75">
        <f>PARAM!$C$26+MAX($G$10-CHOOSE(PARAM!$B$44,MAX(0,AH990*$F$1),0),0)*RATES!$L967/12+$H$10*(PARAM!$D$51/12)*RATES!$N967/100</f>
        <v>1190.0416666666667</v>
      </c>
      <c r="AH991" s="16">
        <f t="shared" si="678"/>
        <v>-345651.08375076985</v>
      </c>
      <c r="AI991" s="15">
        <f t="shared" si="653"/>
        <v>22.170849845882874</v>
      </c>
      <c r="AJ991" s="75">
        <f>AI991*(1-PARAM!$C$27)*$I$11+(MOD($B991,60)=PARAM!$B$56)*($B991&gt;(60-PARAM!$B$56))*HLOOKUP(($B991+PARAM!$B$56)/12,Loyalty,2)*$F$1*MAX(AL990,0)</f>
        <v>18.557001321003963</v>
      </c>
      <c r="AK991" s="75">
        <f>PARAM!$C$26+MAX($G$11-CHOOSE(PARAM!$B$44,MAX(0,AL990*$F$1),0),0)*RATES!$L967/12+$H$11*(PARAM!$D$51/12)*RATES!$N967/100</f>
        <v>1190.0416666666667</v>
      </c>
      <c r="AL991" s="16">
        <f t="shared" si="679"/>
        <v>-345651.08375076985</v>
      </c>
      <c r="AM991" s="15">
        <f t="shared" si="654"/>
        <v>22.170849845882874</v>
      </c>
      <c r="AN991" s="75">
        <f>AM991*(1-PARAM!$C$27)*$I$12+(MOD($B991,60)=PARAM!$B$56)*($B991&gt;(60-PARAM!$B$56))*HLOOKUP(($B991+PARAM!$B$56)/12,Loyalty,2)*$F$1*MAX(AP990,0)</f>
        <v>18.557001321003963</v>
      </c>
      <c r="AO991" s="75">
        <f>PARAM!$C$26+MAX($G$12-CHOOSE(PARAM!$B$44,MAX(0,AP990*$F$1),0),0)*RATES!$L967/12+$H$12*(PARAM!$D$51/12)*RATES!$N967/100</f>
        <v>1190.0416666666667</v>
      </c>
      <c r="AP991" s="16">
        <f t="shared" si="680"/>
        <v>-345651.08375076985</v>
      </c>
      <c r="AQ991" s="15">
        <f t="shared" si="655"/>
        <v>22.170849845882874</v>
      </c>
      <c r="AR991" s="75">
        <f>AQ991*(1-PARAM!$C$27)*$I$13+(MOD($B991,60)=PARAM!$B$56)*($B991&gt;(60-PARAM!$B$56))*HLOOKUP(($B991+PARAM!$B$56)/12,Loyalty,2)*$F$1*MAX(AT990,0)</f>
        <v>18.557001321003963</v>
      </c>
      <c r="AS991" s="75">
        <f>PARAM!$C$26+MAX($G$13-CHOOSE(PARAM!$B$44,MAX(0,AT990*$F$1),0),0)*RATES!$L967/12+$H$13*(PARAM!$D$51/12)*RATES!$N967/100</f>
        <v>1190.0416666666667</v>
      </c>
      <c r="AT991" s="16">
        <f t="shared" si="681"/>
        <v>-345651.08375076985</v>
      </c>
      <c r="AU991" s="15">
        <f t="shared" si="656"/>
        <v>22.170849845882874</v>
      </c>
      <c r="AV991" s="75">
        <f>AU991*(1-PARAM!$C$27)*$I$14+(MOD($B991,60)=PARAM!$B$56)*($B991&gt;(60-PARAM!$B$56))*HLOOKUP(($B991+PARAM!$B$56)/12,Loyalty,2)*$F$1*MAX(AX990,0)</f>
        <v>18.557001321003963</v>
      </c>
      <c r="AW991" s="75">
        <f>PARAM!$C$26+MAX($G$14-CHOOSE(PARAM!$B$44,MAX(0,AX990*$F$1),0),0)*RATES!$L967/12+$H$14*(PARAM!$D$51/12)*RATES!$N967/100</f>
        <v>1190.0416666666667</v>
      </c>
      <c r="AX991" s="16">
        <f t="shared" si="682"/>
        <v>-345651.08375076985</v>
      </c>
      <c r="AY991" s="15">
        <f t="shared" si="657"/>
        <v>22.170849845882874</v>
      </c>
      <c r="AZ991" s="75">
        <f>AY991*(1-PARAM!$C$27)*$I$15+(MOD($B991,60)=PARAM!$B$56)*($B991&gt;(60-PARAM!$B$56))*HLOOKUP(($B991+PARAM!$B$56)/12,Loyalty,2)*$F$1*MAX(BB990,0)</f>
        <v>18.557001321003963</v>
      </c>
      <c r="BA991" s="75">
        <f>PARAM!$C$26+MAX($G$15-CHOOSE(PARAM!$B$44,MAX(0,BB990*$F$1),0),0)*RATES!$L967/12+$H$15*(PARAM!$D$51/12)*RATES!$N967/100</f>
        <v>1190.0416666666667</v>
      </c>
      <c r="BB991" s="16">
        <f t="shared" si="683"/>
        <v>-345651.08375076985</v>
      </c>
      <c r="BC991" s="15">
        <f t="shared" si="658"/>
        <v>22.170849845882874</v>
      </c>
      <c r="BD991" s="75">
        <f>BC991*(1-PARAM!$C$27)*$I$16+(MOD($B991,60)=PARAM!$B$56)*($B991&gt;(60-PARAM!$B$56))*HLOOKUP(($B991+PARAM!$B$56)/12,Loyalty,2)*$F$1*MAX(BF990,0)</f>
        <v>18.557001321003963</v>
      </c>
      <c r="BE991" s="75">
        <f>PARAM!$C$26+MAX($G$16-CHOOSE(PARAM!$B$44,MAX(0,BF990*$F$1),0),0)*RATES!$L967/12+$H$16*(PARAM!$D$51/12)*RATES!$N967/100</f>
        <v>1190.0416666666667</v>
      </c>
      <c r="BF991" s="16">
        <f t="shared" si="684"/>
        <v>-345651.08375076985</v>
      </c>
      <c r="BG991" s="15">
        <f t="shared" si="659"/>
        <v>22.170849845882874</v>
      </c>
      <c r="BH991" s="75">
        <f>BG991*(1-PARAM!$C$27)*$I$17+(MOD($B991,60)=PARAM!$B$56)*($B991&gt;(60-PARAM!$B$56))*HLOOKUP(($B991+PARAM!$B$56)/12,Loyalty,2)*$F$1*MAX(BJ990,0)</f>
        <v>18.557001321003963</v>
      </c>
      <c r="BI991" s="75">
        <f>PARAM!$C$26+MAX($G$17-CHOOSE(PARAM!$B$44,MAX(0,BJ990*$F$1),0),0)*RATES!$L967/12+$H$17*(PARAM!$D$51/12)*RATES!$N967/100</f>
        <v>1190.0416666666667</v>
      </c>
      <c r="BJ991" s="16">
        <f t="shared" si="685"/>
        <v>-345651.08375076985</v>
      </c>
      <c r="BK991" s="15">
        <f t="shared" si="660"/>
        <v>22.170849845882874</v>
      </c>
      <c r="BL991" s="75">
        <f>BK991*(1-PARAM!$C$27)*$I$18+(MOD($B991,60)=PARAM!$B$56)*($B991&gt;(60-PARAM!$B$56))*HLOOKUP(($B991+PARAM!$B$56)/12,Loyalty,2)*$F$1*MAX(BN990,0)</f>
        <v>18.557001321003963</v>
      </c>
      <c r="BM991" s="75">
        <f>PARAM!$C$26+MAX($G$18-CHOOSE(PARAM!$B$44,MAX(0,BN990*$F$1),0),0)*RATES!$L967/12+$H$18*(PARAM!$D$51/12)*RATES!$N967/100</f>
        <v>1190.0416666666667</v>
      </c>
      <c r="BN991" s="16">
        <f t="shared" si="686"/>
        <v>-345651.08375076985</v>
      </c>
      <c r="BO991" s="15">
        <f t="shared" si="661"/>
        <v>22.170849845882874</v>
      </c>
      <c r="BP991" s="75">
        <f>BO991*(1-PARAM!$C$27)*$I$19+(MOD($B991,60)=PARAM!$B$56)*($B991&gt;(60-PARAM!$B$56))*HLOOKUP(($B991+PARAM!$B$56)/12,Loyalty,2)*$F$1*MAX(BR990,0)</f>
        <v>18.557001321003963</v>
      </c>
      <c r="BQ991" s="75">
        <f>PARAM!$C$26+MAX($G$19-CHOOSE(PARAM!$B$44,MAX(0,BR990*$F$1),0),0)*RATES!$L967/12+$H$19*(PARAM!$D$51/12)*RATES!$N967/100</f>
        <v>1190.0416666666667</v>
      </c>
      <c r="BR991" s="16">
        <f t="shared" si="687"/>
        <v>-345651.08375076985</v>
      </c>
      <c r="BS991" s="15">
        <f t="shared" si="662"/>
        <v>22.170849845882874</v>
      </c>
      <c r="BT991" s="75">
        <f>BS991*(1-PARAM!$C$27)*$I$20+(MOD($B991,60)=PARAM!$B$56)*($B991&gt;(60-PARAM!$B$56))*HLOOKUP(($B991+PARAM!$B$56)/12,Loyalty,2)*$F$1*MAX(BV990,0)</f>
        <v>18.557001321003963</v>
      </c>
      <c r="BU991" s="75">
        <f>PARAM!$C$26+MAX($G$20-CHOOSE(PARAM!$B$44,MAX(0,BV990*$F$1),0),0)*RATES!$L967/12+$H$20*(PARAM!$D$51/12)*RATES!$N967/100</f>
        <v>1190.0416666666667</v>
      </c>
      <c r="BV991" s="16">
        <f t="shared" si="688"/>
        <v>-345651.08375076985</v>
      </c>
      <c r="BW991" s="15">
        <f t="shared" si="663"/>
        <v>22.170849845882874</v>
      </c>
      <c r="BX991" s="75">
        <f>BW991*(1-PARAM!$C$27)*$I$21+(MOD($B991,60)=PARAM!$B$56)*($B991&gt;(60-PARAM!$B$56))*HLOOKUP(($B991+PARAM!$B$56)/12,Loyalty,2)*$F$1*MAX(BZ990,0)</f>
        <v>18.557001321003963</v>
      </c>
      <c r="BY991" s="75">
        <f>PARAM!$C$26+MAX($G$21-CHOOSE(PARAM!$B$44,MAX(0,BZ990*$F$1),0),0)*RATES!$L967/12+$H$21*(PARAM!$D$51/12)*RATES!$N967/100</f>
        <v>1190.0416666666667</v>
      </c>
      <c r="BZ991" s="16">
        <f t="shared" si="689"/>
        <v>-345651.08375076985</v>
      </c>
      <c r="CA991" s="15">
        <f t="shared" si="664"/>
        <v>22.170849845882874</v>
      </c>
      <c r="CB991" s="75">
        <f>CA991*(1-PARAM!$C$27)*$I$22+(MOD($B991,60)=PARAM!$B$56)*($B991&gt;(60-PARAM!$B$56))*HLOOKUP(($B991+PARAM!$B$56)/12,Loyalty,2)*$F$1*MAX(CD990,0)</f>
        <v>18.557001321003963</v>
      </c>
      <c r="CC991" s="75">
        <f>PARAM!$C$26+MAX($G$22-CHOOSE(PARAM!$B$44,MAX(0,CD990*$F$1),0),0)*RATES!$L967/12+$H$22*(PARAM!$D$51/12)*RATES!$N967/100</f>
        <v>1190.0416666666667</v>
      </c>
      <c r="CD991" s="16">
        <f t="shared" si="690"/>
        <v>-345651.08375076985</v>
      </c>
      <c r="CE991" s="33">
        <f>IF(0=MOD(B991,12/PARAM!$D$51),1,0)</f>
        <v>1</v>
      </c>
      <c r="CF991" s="15">
        <f t="shared" si="665"/>
        <v>0</v>
      </c>
      <c r="CG991" s="75">
        <f>CF991*(1-PARAM!$C$27)*$R$3+(MOD($B991/12,5)=0)*($B991&gt;60)*HLOOKUP($B991/12,Loyalty,2)*$F$1*MAX(CI990,0)</f>
        <v>0</v>
      </c>
      <c r="CH991" s="75">
        <f>PARAM!$C$26+MAX($P$3-CHOOSE(PARAM!$B$44,MAX(0,CI990*$F$1),0),0)*RATES!$L967/12+$Q$3*(PARAM!$D$51/12)*RATES!$N967/100</f>
        <v>1190.0416666666667</v>
      </c>
      <c r="CI991" s="16">
        <f>IF(CI990&gt;0,CI990*PARAM!$C$53,CI990)+CG991-CH991</f>
        <v>-363420.45833333459</v>
      </c>
      <c r="CJ991" s="15">
        <f t="shared" si="691"/>
        <v>0</v>
      </c>
      <c r="CK991" s="75">
        <f>CJ991*(1-PARAM!$C$27)*$R$4+(MOD($B991/12,5)=0)*($B991&gt;60)*HLOOKUP($B991/12,Loyalty,2)*$F$1*MAX(CM990,0)</f>
        <v>0</v>
      </c>
      <c r="CL991" s="75">
        <f>PARAM!$C$26+MAX($P$4-CHOOSE(PARAM!$B$44,MAX(0,CM990*$F$1),0),0)*RATES!$L967/12+$Q$4*(PARAM!$D$51/12)*RATES!$N967/100</f>
        <v>1190.0416666666667</v>
      </c>
      <c r="CM991" s="16">
        <f>IF(CM990&gt;0,CM990*PARAM!$C$53,CM990)+CK991-CL991</f>
        <v>-363420.45833333459</v>
      </c>
      <c r="CO991" s="176"/>
    </row>
    <row r="992" spans="1:93" x14ac:dyDescent="0.2">
      <c r="A992" t="b">
        <f t="shared" si="666"/>
        <v>0</v>
      </c>
      <c r="B992" s="33">
        <v>965</v>
      </c>
      <c r="C992" s="15">
        <f t="shared" si="667"/>
        <v>20.081305947392778</v>
      </c>
      <c r="D992" s="75">
        <f>C992*(1-PARAM!$C$27)*$I$3+(MOD($B992,60)=PARAM!$B$56)*($B992&gt;(60-PARAM!$B$56))*HLOOKUP(($B992+PARAM!$B$56)/12,Loyalty,2)*$F$1*MAX(F991,0)</f>
        <v>16.808053077967756</v>
      </c>
      <c r="E992" s="75">
        <f>PARAM!$C$26+MAX($G$3-CHOOSE(PARAM!$B$44,MAX(0,F991*$F$1),0),0)*RATES!$L968/12+$H$3*(PARAM!$D$51/12)*RATES!$N968/100</f>
        <v>1190.0416666666667</v>
      </c>
      <c r="F992" s="16">
        <f t="shared" si="668"/>
        <v>-348547.15397116775</v>
      </c>
      <c r="G992" s="15">
        <f t="shared" si="669"/>
        <v>22.035289406060361</v>
      </c>
      <c r="H992" s="75">
        <f>G992*(1-PARAM!$C$27)*$I$4+(MOD($B992,60)=PARAM!$B$56)*($B992&gt;(60-PARAM!$B$56))*HLOOKUP(($B992+PARAM!$B$56)/12,Loyalty,2)*$F$1*MAX(J991,0)</f>
        <v>18.443537232872522</v>
      </c>
      <c r="I992" s="75">
        <f>PARAM!$C$26+MAX($G$4-CHOOSE(PARAM!$B$44,MAX(0,J991*$F$1),0),0)*RATES!$L968/12+$H$4*(PARAM!$D$51/12)*RATES!$N968/100</f>
        <v>1190.0416666666667</v>
      </c>
      <c r="J992" s="16">
        <f t="shared" si="670"/>
        <v>-346935.07879756036</v>
      </c>
      <c r="K992" s="15">
        <f t="shared" si="671"/>
        <v>22.170849845882874</v>
      </c>
      <c r="L992" s="75">
        <f>K992*(1-PARAM!$C$27)*$I$5+(MOD($B992,60)=PARAM!$B$56)*($B992&gt;(60-PARAM!$B$56))*HLOOKUP(($B992+PARAM!$B$56)/12,Loyalty,2)*$F$1*MAX(N991,0)</f>
        <v>18.557001321003963</v>
      </c>
      <c r="M992" s="75">
        <f>PARAM!$C$26+MAX($G$5-CHOOSE(PARAM!$B$44,MAX(0,N991*$F$1),0),0)*RATES!$L968/12+$H$5*(PARAM!$D$51/12)*RATES!$N968/100</f>
        <v>1190.0416666666667</v>
      </c>
      <c r="N992" s="16">
        <f t="shared" si="672"/>
        <v>-346822.56841611554</v>
      </c>
      <c r="O992" s="15">
        <f t="shared" si="673"/>
        <v>22.170849845882874</v>
      </c>
      <c r="P992" s="75">
        <f>O992*(1-PARAM!$C$27)*$I$6+(MOD($B992,60)=PARAM!$B$56)*($B992&gt;(60-PARAM!$B$56))*HLOOKUP(($B992+PARAM!$B$56)/12,Loyalty,2)*$F$1*MAX(R991,0)</f>
        <v>18.557001321003963</v>
      </c>
      <c r="Q992" s="75">
        <f>PARAM!$C$26+MAX($G$6-CHOOSE(PARAM!$B$44,MAX(0,R991*$F$1),0),0)*RATES!$L968/12+$H$6*(PARAM!$D$51/12)*RATES!$N968/100</f>
        <v>1190.0416666666667</v>
      </c>
      <c r="R992" s="16">
        <f t="shared" si="674"/>
        <v>-346822.56841611554</v>
      </c>
      <c r="S992" s="15">
        <f t="shared" si="649"/>
        <v>22.170849845882874</v>
      </c>
      <c r="T992" s="75">
        <f>S992*(1-PARAM!$C$27)*$I$7+(MOD($B992,60)=PARAM!$B$56)*($B992&gt;(60-PARAM!$B$56))*HLOOKUP(($B992+PARAM!$B$56)/12,Loyalty,2)*$F$1*MAX(V991,0)</f>
        <v>18.557001321003963</v>
      </c>
      <c r="U992" s="75">
        <f>PARAM!$C$26+MAX($G$7-CHOOSE(PARAM!$B$44,MAX(0,V991*$F$1),0),0)*RATES!$L968/12+$H$7*(PARAM!$D$51/12)*RATES!$N968/100</f>
        <v>1190.0416666666667</v>
      </c>
      <c r="V992" s="16">
        <f t="shared" si="675"/>
        <v>-346822.56841611554</v>
      </c>
      <c r="W992" s="15">
        <f t="shared" si="650"/>
        <v>22.170849845882874</v>
      </c>
      <c r="X992" s="75">
        <f>W992*(1-PARAM!$C$27)*$I$8+(MOD($B992,60)=PARAM!$B$56)*($B992&gt;(60-PARAM!$B$56))*HLOOKUP(($B992+PARAM!$B$56)/12,Loyalty,2)*$F$1*MAX(Z991,0)</f>
        <v>18.557001321003963</v>
      </c>
      <c r="Y992" s="75">
        <f>PARAM!$C$26+MAX($G$8-CHOOSE(PARAM!$B$44,MAX(0,Z991*$F$1),0),0)*RATES!$L968/12+$H$8*(PARAM!$D$51/12)*RATES!$N968/100</f>
        <v>1190.0416666666667</v>
      </c>
      <c r="Z992" s="16">
        <f t="shared" si="676"/>
        <v>-346822.56841611554</v>
      </c>
      <c r="AA992" s="15">
        <f t="shared" si="651"/>
        <v>22.170849845882874</v>
      </c>
      <c r="AB992" s="75">
        <f>AA992*(1-PARAM!$C$27)*$I$9+(MOD($B992,60)=PARAM!$B$56)*($B992&gt;(60-PARAM!$B$56))*HLOOKUP(($B992+PARAM!$B$56)/12,Loyalty,2)*$F$1*MAX(AD991,0)</f>
        <v>18.557001321003963</v>
      </c>
      <c r="AC992" s="75">
        <f>PARAM!$C$26+MAX($G$9-CHOOSE(PARAM!$B$44,MAX(0,AD991*$F$1),0),0)*RATES!$L968/12+$H$9*(PARAM!$D$51/12)*RATES!$N968/100</f>
        <v>1190.0416666666667</v>
      </c>
      <c r="AD992" s="16">
        <f t="shared" si="677"/>
        <v>-346822.56841611554</v>
      </c>
      <c r="AE992" s="15">
        <f t="shared" si="652"/>
        <v>22.170849845882874</v>
      </c>
      <c r="AF992" s="75">
        <f>AE992*(1-PARAM!$C$27)*$I$10+(MOD($B992,60)=PARAM!$B$56)*($B992&gt;(60-PARAM!$B$56))*HLOOKUP(($B992+PARAM!$B$56)/12,Loyalty,2)*$F$1*MAX(AH991,0)</f>
        <v>18.557001321003963</v>
      </c>
      <c r="AG992" s="75">
        <f>PARAM!$C$26+MAX($G$10-CHOOSE(PARAM!$B$44,MAX(0,AH991*$F$1),0),0)*RATES!$L968/12+$H$10*(PARAM!$D$51/12)*RATES!$N968/100</f>
        <v>1190.0416666666667</v>
      </c>
      <c r="AH992" s="16">
        <f t="shared" si="678"/>
        <v>-346822.56841611554</v>
      </c>
      <c r="AI992" s="15">
        <f t="shared" si="653"/>
        <v>22.170849845882874</v>
      </c>
      <c r="AJ992" s="75">
        <f>AI992*(1-PARAM!$C$27)*$I$11+(MOD($B992,60)=PARAM!$B$56)*($B992&gt;(60-PARAM!$B$56))*HLOOKUP(($B992+PARAM!$B$56)/12,Loyalty,2)*$F$1*MAX(AL991,0)</f>
        <v>18.557001321003963</v>
      </c>
      <c r="AK992" s="75">
        <f>PARAM!$C$26+MAX($G$11-CHOOSE(PARAM!$B$44,MAX(0,AL991*$F$1),0),0)*RATES!$L968/12+$H$11*(PARAM!$D$51/12)*RATES!$N968/100</f>
        <v>1190.0416666666667</v>
      </c>
      <c r="AL992" s="16">
        <f t="shared" si="679"/>
        <v>-346822.56841611554</v>
      </c>
      <c r="AM992" s="15">
        <f t="shared" si="654"/>
        <v>22.170849845882874</v>
      </c>
      <c r="AN992" s="75">
        <f>AM992*(1-PARAM!$C$27)*$I$12+(MOD($B992,60)=PARAM!$B$56)*($B992&gt;(60-PARAM!$B$56))*HLOOKUP(($B992+PARAM!$B$56)/12,Loyalty,2)*$F$1*MAX(AP991,0)</f>
        <v>18.557001321003963</v>
      </c>
      <c r="AO992" s="75">
        <f>PARAM!$C$26+MAX($G$12-CHOOSE(PARAM!$B$44,MAX(0,AP991*$F$1),0),0)*RATES!$L968/12+$H$12*(PARAM!$D$51/12)*RATES!$N968/100</f>
        <v>1190.0416666666667</v>
      </c>
      <c r="AP992" s="16">
        <f t="shared" si="680"/>
        <v>-346822.56841611554</v>
      </c>
      <c r="AQ992" s="15">
        <f t="shared" si="655"/>
        <v>22.170849845882874</v>
      </c>
      <c r="AR992" s="75">
        <f>AQ992*(1-PARAM!$C$27)*$I$13+(MOD($B992,60)=PARAM!$B$56)*($B992&gt;(60-PARAM!$B$56))*HLOOKUP(($B992+PARAM!$B$56)/12,Loyalty,2)*$F$1*MAX(AT991,0)</f>
        <v>18.557001321003963</v>
      </c>
      <c r="AS992" s="75">
        <f>PARAM!$C$26+MAX($G$13-CHOOSE(PARAM!$B$44,MAX(0,AT991*$F$1),0),0)*RATES!$L968/12+$H$13*(PARAM!$D$51/12)*RATES!$N968/100</f>
        <v>1190.0416666666667</v>
      </c>
      <c r="AT992" s="16">
        <f t="shared" si="681"/>
        <v>-346822.56841611554</v>
      </c>
      <c r="AU992" s="15">
        <f t="shared" si="656"/>
        <v>22.170849845882874</v>
      </c>
      <c r="AV992" s="75">
        <f>AU992*(1-PARAM!$C$27)*$I$14+(MOD($B992,60)=PARAM!$B$56)*($B992&gt;(60-PARAM!$B$56))*HLOOKUP(($B992+PARAM!$B$56)/12,Loyalty,2)*$F$1*MAX(AX991,0)</f>
        <v>18.557001321003963</v>
      </c>
      <c r="AW992" s="75">
        <f>PARAM!$C$26+MAX($G$14-CHOOSE(PARAM!$B$44,MAX(0,AX991*$F$1),0),0)*RATES!$L968/12+$H$14*(PARAM!$D$51/12)*RATES!$N968/100</f>
        <v>1190.0416666666667</v>
      </c>
      <c r="AX992" s="16">
        <f t="shared" si="682"/>
        <v>-346822.56841611554</v>
      </c>
      <c r="AY992" s="15">
        <f t="shared" si="657"/>
        <v>22.170849845882874</v>
      </c>
      <c r="AZ992" s="75">
        <f>AY992*(1-PARAM!$C$27)*$I$15+(MOD($B992,60)=PARAM!$B$56)*($B992&gt;(60-PARAM!$B$56))*HLOOKUP(($B992+PARAM!$B$56)/12,Loyalty,2)*$F$1*MAX(BB991,0)</f>
        <v>18.557001321003963</v>
      </c>
      <c r="BA992" s="75">
        <f>PARAM!$C$26+MAX($G$15-CHOOSE(PARAM!$B$44,MAX(0,BB991*$F$1),0),0)*RATES!$L968/12+$H$15*(PARAM!$D$51/12)*RATES!$N968/100</f>
        <v>1190.0416666666667</v>
      </c>
      <c r="BB992" s="16">
        <f t="shared" si="683"/>
        <v>-346822.56841611554</v>
      </c>
      <c r="BC992" s="15">
        <f t="shared" si="658"/>
        <v>22.170849845882874</v>
      </c>
      <c r="BD992" s="75">
        <f>BC992*(1-PARAM!$C$27)*$I$16+(MOD($B992,60)=PARAM!$B$56)*($B992&gt;(60-PARAM!$B$56))*HLOOKUP(($B992+PARAM!$B$56)/12,Loyalty,2)*$F$1*MAX(BF991,0)</f>
        <v>18.557001321003963</v>
      </c>
      <c r="BE992" s="75">
        <f>PARAM!$C$26+MAX($G$16-CHOOSE(PARAM!$B$44,MAX(0,BF991*$F$1),0),0)*RATES!$L968/12+$H$16*(PARAM!$D$51/12)*RATES!$N968/100</f>
        <v>1190.0416666666667</v>
      </c>
      <c r="BF992" s="16">
        <f t="shared" si="684"/>
        <v>-346822.56841611554</v>
      </c>
      <c r="BG992" s="15">
        <f t="shared" si="659"/>
        <v>22.170849845882874</v>
      </c>
      <c r="BH992" s="75">
        <f>BG992*(1-PARAM!$C$27)*$I$17+(MOD($B992,60)=PARAM!$B$56)*($B992&gt;(60-PARAM!$B$56))*HLOOKUP(($B992+PARAM!$B$56)/12,Loyalty,2)*$F$1*MAX(BJ991,0)</f>
        <v>18.557001321003963</v>
      </c>
      <c r="BI992" s="75">
        <f>PARAM!$C$26+MAX($G$17-CHOOSE(PARAM!$B$44,MAX(0,BJ991*$F$1),0),0)*RATES!$L968/12+$H$17*(PARAM!$D$51/12)*RATES!$N968/100</f>
        <v>1190.0416666666667</v>
      </c>
      <c r="BJ992" s="16">
        <f t="shared" si="685"/>
        <v>-346822.56841611554</v>
      </c>
      <c r="BK992" s="15">
        <f t="shared" si="660"/>
        <v>22.170849845882874</v>
      </c>
      <c r="BL992" s="75">
        <f>BK992*(1-PARAM!$C$27)*$I$18+(MOD($B992,60)=PARAM!$B$56)*($B992&gt;(60-PARAM!$B$56))*HLOOKUP(($B992+PARAM!$B$56)/12,Loyalty,2)*$F$1*MAX(BN991,0)</f>
        <v>18.557001321003963</v>
      </c>
      <c r="BM992" s="75">
        <f>PARAM!$C$26+MAX($G$18-CHOOSE(PARAM!$B$44,MAX(0,BN991*$F$1),0),0)*RATES!$L968/12+$H$18*(PARAM!$D$51/12)*RATES!$N968/100</f>
        <v>1190.0416666666667</v>
      </c>
      <c r="BN992" s="16">
        <f t="shared" si="686"/>
        <v>-346822.56841611554</v>
      </c>
      <c r="BO992" s="15">
        <f t="shared" si="661"/>
        <v>22.170849845882874</v>
      </c>
      <c r="BP992" s="75">
        <f>BO992*(1-PARAM!$C$27)*$I$19+(MOD($B992,60)=PARAM!$B$56)*($B992&gt;(60-PARAM!$B$56))*HLOOKUP(($B992+PARAM!$B$56)/12,Loyalty,2)*$F$1*MAX(BR991,0)</f>
        <v>18.557001321003963</v>
      </c>
      <c r="BQ992" s="75">
        <f>PARAM!$C$26+MAX($G$19-CHOOSE(PARAM!$B$44,MAX(0,BR991*$F$1),0),0)*RATES!$L968/12+$H$19*(PARAM!$D$51/12)*RATES!$N968/100</f>
        <v>1190.0416666666667</v>
      </c>
      <c r="BR992" s="16">
        <f t="shared" si="687"/>
        <v>-346822.56841611554</v>
      </c>
      <c r="BS992" s="15">
        <f t="shared" si="662"/>
        <v>22.170849845882874</v>
      </c>
      <c r="BT992" s="75">
        <f>BS992*(1-PARAM!$C$27)*$I$20+(MOD($B992,60)=PARAM!$B$56)*($B992&gt;(60-PARAM!$B$56))*HLOOKUP(($B992+PARAM!$B$56)/12,Loyalty,2)*$F$1*MAX(BV991,0)</f>
        <v>18.557001321003963</v>
      </c>
      <c r="BU992" s="75">
        <f>PARAM!$C$26+MAX($G$20-CHOOSE(PARAM!$B$44,MAX(0,BV991*$F$1),0),0)*RATES!$L968/12+$H$20*(PARAM!$D$51/12)*RATES!$N968/100</f>
        <v>1190.0416666666667</v>
      </c>
      <c r="BV992" s="16">
        <f t="shared" si="688"/>
        <v>-346822.56841611554</v>
      </c>
      <c r="BW992" s="15">
        <f t="shared" si="663"/>
        <v>22.170849845882874</v>
      </c>
      <c r="BX992" s="75">
        <f>BW992*(1-PARAM!$C$27)*$I$21+(MOD($B992,60)=PARAM!$B$56)*($B992&gt;(60-PARAM!$B$56))*HLOOKUP(($B992+PARAM!$B$56)/12,Loyalty,2)*$F$1*MAX(BZ991,0)</f>
        <v>18.557001321003963</v>
      </c>
      <c r="BY992" s="75">
        <f>PARAM!$C$26+MAX($G$21-CHOOSE(PARAM!$B$44,MAX(0,BZ991*$F$1),0),0)*RATES!$L968/12+$H$21*(PARAM!$D$51/12)*RATES!$N968/100</f>
        <v>1190.0416666666667</v>
      </c>
      <c r="BZ992" s="16">
        <f t="shared" si="689"/>
        <v>-346822.56841611554</v>
      </c>
      <c r="CA992" s="15">
        <f t="shared" si="664"/>
        <v>22.170849845882874</v>
      </c>
      <c r="CB992" s="75">
        <f>CA992*(1-PARAM!$C$27)*$I$22+(MOD($B992,60)=PARAM!$B$56)*($B992&gt;(60-PARAM!$B$56))*HLOOKUP(($B992+PARAM!$B$56)/12,Loyalty,2)*$F$1*MAX(CD991,0)</f>
        <v>18.557001321003963</v>
      </c>
      <c r="CC992" s="75">
        <f>PARAM!$C$26+MAX($G$22-CHOOSE(PARAM!$B$44,MAX(0,CD991*$F$1),0),0)*RATES!$L968/12+$H$22*(PARAM!$D$51/12)*RATES!$N968/100</f>
        <v>1190.0416666666667</v>
      </c>
      <c r="CD992" s="16">
        <f t="shared" si="690"/>
        <v>-346822.56841611554</v>
      </c>
      <c r="CE992" s="33">
        <f>IF(0=MOD(B992,12/PARAM!$D$51),1,0)</f>
        <v>1</v>
      </c>
      <c r="CF992" s="15">
        <f t="shared" si="665"/>
        <v>0</v>
      </c>
      <c r="CG992" s="75">
        <f>CF992*(1-PARAM!$C$27)*$R$3+(MOD($B992/12,5)=0)*($B992&gt;60)*HLOOKUP($B992/12,Loyalty,2)*$F$1*MAX(CI991,0)</f>
        <v>0</v>
      </c>
      <c r="CH992" s="75">
        <f>PARAM!$C$26+MAX($P$3-CHOOSE(PARAM!$B$44,MAX(0,CI991*$F$1),0),0)*RATES!$L968/12+$Q$3*(PARAM!$D$51/12)*RATES!$N968/100</f>
        <v>1190.0416666666667</v>
      </c>
      <c r="CI992" s="16">
        <f>IF(CI991&gt;0,CI991*PARAM!$C$53,CI991)+CG992-CH992</f>
        <v>-364610.50000000128</v>
      </c>
      <c r="CJ992" s="15">
        <f t="shared" si="691"/>
        <v>0</v>
      </c>
      <c r="CK992" s="75">
        <f>CJ992*(1-PARAM!$C$27)*$R$4+(MOD($B992/12,5)=0)*($B992&gt;60)*HLOOKUP($B992/12,Loyalty,2)*$F$1*MAX(CM991,0)</f>
        <v>0</v>
      </c>
      <c r="CL992" s="75">
        <f>PARAM!$C$26+MAX($P$4-CHOOSE(PARAM!$B$44,MAX(0,CM991*$F$1),0),0)*RATES!$L968/12+$Q$4*(PARAM!$D$51/12)*RATES!$N968/100</f>
        <v>1190.0416666666667</v>
      </c>
      <c r="CM992" s="16">
        <f>IF(CM991&gt;0,CM991*PARAM!$C$53,CM991)+CK992-CL992</f>
        <v>-364610.50000000128</v>
      </c>
      <c r="CO992" s="176"/>
    </row>
    <row r="993" spans="1:93" x14ac:dyDescent="0.2">
      <c r="A993" t="b">
        <f t="shared" si="666"/>
        <v>0</v>
      </c>
      <c r="B993" s="33">
        <v>966</v>
      </c>
      <c r="C993" s="15">
        <f t="shared" si="667"/>
        <v>20.081305947392778</v>
      </c>
      <c r="D993" s="75">
        <f>C993*(1-PARAM!$C$27)*$I$3+(MOD($B993,60)=PARAM!$B$56)*($B993&gt;(60-PARAM!$B$56))*HLOOKUP(($B993+PARAM!$B$56)/12,Loyalty,2)*$F$1*MAX(F992,0)</f>
        <v>16.808053077967756</v>
      </c>
      <c r="E993" s="75">
        <f>PARAM!$C$26+MAX($G$3-CHOOSE(PARAM!$B$44,MAX(0,F992*$F$1),0),0)*RATES!$L969/12+$H$3*(PARAM!$D$51/12)*RATES!$N969/100</f>
        <v>1190.0416666666667</v>
      </c>
      <c r="F993" s="16">
        <f t="shared" si="668"/>
        <v>-349720.38758475648</v>
      </c>
      <c r="G993" s="15">
        <f t="shared" si="669"/>
        <v>22.035289406060361</v>
      </c>
      <c r="H993" s="75">
        <f>G993*(1-PARAM!$C$27)*$I$4+(MOD($B993,60)=PARAM!$B$56)*($B993&gt;(60-PARAM!$B$56))*HLOOKUP(($B993+PARAM!$B$56)/12,Loyalty,2)*$F$1*MAX(J992,0)</f>
        <v>18.443537232872522</v>
      </c>
      <c r="I993" s="75">
        <f>PARAM!$C$26+MAX($G$4-CHOOSE(PARAM!$B$44,MAX(0,J992*$F$1),0),0)*RATES!$L969/12+$H$4*(PARAM!$D$51/12)*RATES!$N969/100</f>
        <v>1190.0416666666667</v>
      </c>
      <c r="J993" s="16">
        <f t="shared" si="670"/>
        <v>-348106.67692699417</v>
      </c>
      <c r="K993" s="15">
        <f t="shared" si="671"/>
        <v>22.170849845882874</v>
      </c>
      <c r="L993" s="75">
        <f>K993*(1-PARAM!$C$27)*$I$5+(MOD($B993,60)=PARAM!$B$56)*($B993&gt;(60-PARAM!$B$56))*HLOOKUP(($B993+PARAM!$B$56)/12,Loyalty,2)*$F$1*MAX(N992,0)</f>
        <v>18.557001321003963</v>
      </c>
      <c r="M993" s="75">
        <f>PARAM!$C$26+MAX($G$5-CHOOSE(PARAM!$B$44,MAX(0,N992*$F$1),0),0)*RATES!$L969/12+$H$5*(PARAM!$D$51/12)*RATES!$N969/100</f>
        <v>1190.0416666666667</v>
      </c>
      <c r="N993" s="16">
        <f t="shared" si="672"/>
        <v>-347994.05308146123</v>
      </c>
      <c r="O993" s="15">
        <f t="shared" si="673"/>
        <v>22.170849845882874</v>
      </c>
      <c r="P993" s="75">
        <f>O993*(1-PARAM!$C$27)*$I$6+(MOD($B993,60)=PARAM!$B$56)*($B993&gt;(60-PARAM!$B$56))*HLOOKUP(($B993+PARAM!$B$56)/12,Loyalty,2)*$F$1*MAX(R992,0)</f>
        <v>18.557001321003963</v>
      </c>
      <c r="Q993" s="75">
        <f>PARAM!$C$26+MAX($G$6-CHOOSE(PARAM!$B$44,MAX(0,R992*$F$1),0),0)*RATES!$L969/12+$H$6*(PARAM!$D$51/12)*RATES!$N969/100</f>
        <v>1190.0416666666667</v>
      </c>
      <c r="R993" s="16">
        <f t="shared" si="674"/>
        <v>-347994.05308146123</v>
      </c>
      <c r="S993" s="15">
        <f t="shared" si="649"/>
        <v>22.170849845882874</v>
      </c>
      <c r="T993" s="75">
        <f>S993*(1-PARAM!$C$27)*$I$7+(MOD($B993,60)=PARAM!$B$56)*($B993&gt;(60-PARAM!$B$56))*HLOOKUP(($B993+PARAM!$B$56)/12,Loyalty,2)*$F$1*MAX(V992,0)</f>
        <v>18.557001321003963</v>
      </c>
      <c r="U993" s="75">
        <f>PARAM!$C$26+MAX($G$7-CHOOSE(PARAM!$B$44,MAX(0,V992*$F$1),0),0)*RATES!$L969/12+$H$7*(PARAM!$D$51/12)*RATES!$N969/100</f>
        <v>1190.0416666666667</v>
      </c>
      <c r="V993" s="16">
        <f t="shared" si="675"/>
        <v>-347994.05308146123</v>
      </c>
      <c r="W993" s="15">
        <f t="shared" si="650"/>
        <v>22.170849845882874</v>
      </c>
      <c r="X993" s="75">
        <f>W993*(1-PARAM!$C$27)*$I$8+(MOD($B993,60)=PARAM!$B$56)*($B993&gt;(60-PARAM!$B$56))*HLOOKUP(($B993+PARAM!$B$56)/12,Loyalty,2)*$F$1*MAX(Z992,0)</f>
        <v>18.557001321003963</v>
      </c>
      <c r="Y993" s="75">
        <f>PARAM!$C$26+MAX($G$8-CHOOSE(PARAM!$B$44,MAX(0,Z992*$F$1),0),0)*RATES!$L969/12+$H$8*(PARAM!$D$51/12)*RATES!$N969/100</f>
        <v>1190.0416666666667</v>
      </c>
      <c r="Z993" s="16">
        <f t="shared" si="676"/>
        <v>-347994.05308146123</v>
      </c>
      <c r="AA993" s="15">
        <f t="shared" si="651"/>
        <v>22.170849845882874</v>
      </c>
      <c r="AB993" s="75">
        <f>AA993*(1-PARAM!$C$27)*$I$9+(MOD($B993,60)=PARAM!$B$56)*($B993&gt;(60-PARAM!$B$56))*HLOOKUP(($B993+PARAM!$B$56)/12,Loyalty,2)*$F$1*MAX(AD992,0)</f>
        <v>18.557001321003963</v>
      </c>
      <c r="AC993" s="75">
        <f>PARAM!$C$26+MAX($G$9-CHOOSE(PARAM!$B$44,MAX(0,AD992*$F$1),0),0)*RATES!$L969/12+$H$9*(PARAM!$D$51/12)*RATES!$N969/100</f>
        <v>1190.0416666666667</v>
      </c>
      <c r="AD993" s="16">
        <f t="shared" si="677"/>
        <v>-347994.05308146123</v>
      </c>
      <c r="AE993" s="15">
        <f t="shared" si="652"/>
        <v>22.170849845882874</v>
      </c>
      <c r="AF993" s="75">
        <f>AE993*(1-PARAM!$C$27)*$I$10+(MOD($B993,60)=PARAM!$B$56)*($B993&gt;(60-PARAM!$B$56))*HLOOKUP(($B993+PARAM!$B$56)/12,Loyalty,2)*$F$1*MAX(AH992,0)</f>
        <v>18.557001321003963</v>
      </c>
      <c r="AG993" s="75">
        <f>PARAM!$C$26+MAX($G$10-CHOOSE(PARAM!$B$44,MAX(0,AH992*$F$1),0),0)*RATES!$L969/12+$H$10*(PARAM!$D$51/12)*RATES!$N969/100</f>
        <v>1190.0416666666667</v>
      </c>
      <c r="AH993" s="16">
        <f t="shared" si="678"/>
        <v>-347994.05308146123</v>
      </c>
      <c r="AI993" s="15">
        <f t="shared" si="653"/>
        <v>22.170849845882874</v>
      </c>
      <c r="AJ993" s="75">
        <f>AI993*(1-PARAM!$C$27)*$I$11+(MOD($B993,60)=PARAM!$B$56)*($B993&gt;(60-PARAM!$B$56))*HLOOKUP(($B993+PARAM!$B$56)/12,Loyalty,2)*$F$1*MAX(AL992,0)</f>
        <v>18.557001321003963</v>
      </c>
      <c r="AK993" s="75">
        <f>PARAM!$C$26+MAX($G$11-CHOOSE(PARAM!$B$44,MAX(0,AL992*$F$1),0),0)*RATES!$L969/12+$H$11*(PARAM!$D$51/12)*RATES!$N969/100</f>
        <v>1190.0416666666667</v>
      </c>
      <c r="AL993" s="16">
        <f t="shared" si="679"/>
        <v>-347994.05308146123</v>
      </c>
      <c r="AM993" s="15">
        <f t="shared" si="654"/>
        <v>22.170849845882874</v>
      </c>
      <c r="AN993" s="75">
        <f>AM993*(1-PARAM!$C$27)*$I$12+(MOD($B993,60)=PARAM!$B$56)*($B993&gt;(60-PARAM!$B$56))*HLOOKUP(($B993+PARAM!$B$56)/12,Loyalty,2)*$F$1*MAX(AP992,0)</f>
        <v>18.557001321003963</v>
      </c>
      <c r="AO993" s="75">
        <f>PARAM!$C$26+MAX($G$12-CHOOSE(PARAM!$B$44,MAX(0,AP992*$F$1),0),0)*RATES!$L969/12+$H$12*(PARAM!$D$51/12)*RATES!$N969/100</f>
        <v>1190.0416666666667</v>
      </c>
      <c r="AP993" s="16">
        <f t="shared" si="680"/>
        <v>-347994.05308146123</v>
      </c>
      <c r="AQ993" s="15">
        <f t="shared" si="655"/>
        <v>22.170849845882874</v>
      </c>
      <c r="AR993" s="75">
        <f>AQ993*(1-PARAM!$C$27)*$I$13+(MOD($B993,60)=PARAM!$B$56)*($B993&gt;(60-PARAM!$B$56))*HLOOKUP(($B993+PARAM!$B$56)/12,Loyalty,2)*$F$1*MAX(AT992,0)</f>
        <v>18.557001321003963</v>
      </c>
      <c r="AS993" s="75">
        <f>PARAM!$C$26+MAX($G$13-CHOOSE(PARAM!$B$44,MAX(0,AT992*$F$1),0),0)*RATES!$L969/12+$H$13*(PARAM!$D$51/12)*RATES!$N969/100</f>
        <v>1190.0416666666667</v>
      </c>
      <c r="AT993" s="16">
        <f t="shared" si="681"/>
        <v>-347994.05308146123</v>
      </c>
      <c r="AU993" s="15">
        <f t="shared" si="656"/>
        <v>22.170849845882874</v>
      </c>
      <c r="AV993" s="75">
        <f>AU993*(1-PARAM!$C$27)*$I$14+(MOD($B993,60)=PARAM!$B$56)*($B993&gt;(60-PARAM!$B$56))*HLOOKUP(($B993+PARAM!$B$56)/12,Loyalty,2)*$F$1*MAX(AX992,0)</f>
        <v>18.557001321003963</v>
      </c>
      <c r="AW993" s="75">
        <f>PARAM!$C$26+MAX($G$14-CHOOSE(PARAM!$B$44,MAX(0,AX992*$F$1),0),0)*RATES!$L969/12+$H$14*(PARAM!$D$51/12)*RATES!$N969/100</f>
        <v>1190.0416666666667</v>
      </c>
      <c r="AX993" s="16">
        <f t="shared" si="682"/>
        <v>-347994.05308146123</v>
      </c>
      <c r="AY993" s="15">
        <f t="shared" si="657"/>
        <v>22.170849845882874</v>
      </c>
      <c r="AZ993" s="75">
        <f>AY993*(1-PARAM!$C$27)*$I$15+(MOD($B993,60)=PARAM!$B$56)*($B993&gt;(60-PARAM!$B$56))*HLOOKUP(($B993+PARAM!$B$56)/12,Loyalty,2)*$F$1*MAX(BB992,0)</f>
        <v>18.557001321003963</v>
      </c>
      <c r="BA993" s="75">
        <f>PARAM!$C$26+MAX($G$15-CHOOSE(PARAM!$B$44,MAX(0,BB992*$F$1),0),0)*RATES!$L969/12+$H$15*(PARAM!$D$51/12)*RATES!$N969/100</f>
        <v>1190.0416666666667</v>
      </c>
      <c r="BB993" s="16">
        <f t="shared" si="683"/>
        <v>-347994.05308146123</v>
      </c>
      <c r="BC993" s="15">
        <f t="shared" si="658"/>
        <v>22.170849845882874</v>
      </c>
      <c r="BD993" s="75">
        <f>BC993*(1-PARAM!$C$27)*$I$16+(MOD($B993,60)=PARAM!$B$56)*($B993&gt;(60-PARAM!$B$56))*HLOOKUP(($B993+PARAM!$B$56)/12,Loyalty,2)*$F$1*MAX(BF992,0)</f>
        <v>18.557001321003963</v>
      </c>
      <c r="BE993" s="75">
        <f>PARAM!$C$26+MAX($G$16-CHOOSE(PARAM!$B$44,MAX(0,BF992*$F$1),0),0)*RATES!$L969/12+$H$16*(PARAM!$D$51/12)*RATES!$N969/100</f>
        <v>1190.0416666666667</v>
      </c>
      <c r="BF993" s="16">
        <f t="shared" si="684"/>
        <v>-347994.05308146123</v>
      </c>
      <c r="BG993" s="15">
        <f t="shared" si="659"/>
        <v>22.170849845882874</v>
      </c>
      <c r="BH993" s="75">
        <f>BG993*(1-PARAM!$C$27)*$I$17+(MOD($B993,60)=PARAM!$B$56)*($B993&gt;(60-PARAM!$B$56))*HLOOKUP(($B993+PARAM!$B$56)/12,Loyalty,2)*$F$1*MAX(BJ992,0)</f>
        <v>18.557001321003963</v>
      </c>
      <c r="BI993" s="75">
        <f>PARAM!$C$26+MAX($G$17-CHOOSE(PARAM!$B$44,MAX(0,BJ992*$F$1),0),0)*RATES!$L969/12+$H$17*(PARAM!$D$51/12)*RATES!$N969/100</f>
        <v>1190.0416666666667</v>
      </c>
      <c r="BJ993" s="16">
        <f t="shared" si="685"/>
        <v>-347994.05308146123</v>
      </c>
      <c r="BK993" s="15">
        <f t="shared" si="660"/>
        <v>22.170849845882874</v>
      </c>
      <c r="BL993" s="75">
        <f>BK993*(1-PARAM!$C$27)*$I$18+(MOD($B993,60)=PARAM!$B$56)*($B993&gt;(60-PARAM!$B$56))*HLOOKUP(($B993+PARAM!$B$56)/12,Loyalty,2)*$F$1*MAX(BN992,0)</f>
        <v>18.557001321003963</v>
      </c>
      <c r="BM993" s="75">
        <f>PARAM!$C$26+MAX($G$18-CHOOSE(PARAM!$B$44,MAX(0,BN992*$F$1),0),0)*RATES!$L969/12+$H$18*(PARAM!$D$51/12)*RATES!$N969/100</f>
        <v>1190.0416666666667</v>
      </c>
      <c r="BN993" s="16">
        <f t="shared" si="686"/>
        <v>-347994.05308146123</v>
      </c>
      <c r="BO993" s="15">
        <f t="shared" si="661"/>
        <v>22.170849845882874</v>
      </c>
      <c r="BP993" s="75">
        <f>BO993*(1-PARAM!$C$27)*$I$19+(MOD($B993,60)=PARAM!$B$56)*($B993&gt;(60-PARAM!$B$56))*HLOOKUP(($B993+PARAM!$B$56)/12,Loyalty,2)*$F$1*MAX(BR992,0)</f>
        <v>18.557001321003963</v>
      </c>
      <c r="BQ993" s="75">
        <f>PARAM!$C$26+MAX($G$19-CHOOSE(PARAM!$B$44,MAX(0,BR992*$F$1),0),0)*RATES!$L969/12+$H$19*(PARAM!$D$51/12)*RATES!$N969/100</f>
        <v>1190.0416666666667</v>
      </c>
      <c r="BR993" s="16">
        <f t="shared" si="687"/>
        <v>-347994.05308146123</v>
      </c>
      <c r="BS993" s="15">
        <f t="shared" si="662"/>
        <v>22.170849845882874</v>
      </c>
      <c r="BT993" s="75">
        <f>BS993*(1-PARAM!$C$27)*$I$20+(MOD($B993,60)=PARAM!$B$56)*($B993&gt;(60-PARAM!$B$56))*HLOOKUP(($B993+PARAM!$B$56)/12,Loyalty,2)*$F$1*MAX(BV992,0)</f>
        <v>18.557001321003963</v>
      </c>
      <c r="BU993" s="75">
        <f>PARAM!$C$26+MAX($G$20-CHOOSE(PARAM!$B$44,MAX(0,BV992*$F$1),0),0)*RATES!$L969/12+$H$20*(PARAM!$D$51/12)*RATES!$N969/100</f>
        <v>1190.0416666666667</v>
      </c>
      <c r="BV993" s="16">
        <f t="shared" si="688"/>
        <v>-347994.05308146123</v>
      </c>
      <c r="BW993" s="15">
        <f t="shared" si="663"/>
        <v>22.170849845882874</v>
      </c>
      <c r="BX993" s="75">
        <f>BW993*(1-PARAM!$C$27)*$I$21+(MOD($B993,60)=PARAM!$B$56)*($B993&gt;(60-PARAM!$B$56))*HLOOKUP(($B993+PARAM!$B$56)/12,Loyalty,2)*$F$1*MAX(BZ992,0)</f>
        <v>18.557001321003963</v>
      </c>
      <c r="BY993" s="75">
        <f>PARAM!$C$26+MAX($G$21-CHOOSE(PARAM!$B$44,MAX(0,BZ992*$F$1),0),0)*RATES!$L969/12+$H$21*(PARAM!$D$51/12)*RATES!$N969/100</f>
        <v>1190.0416666666667</v>
      </c>
      <c r="BZ993" s="16">
        <f t="shared" si="689"/>
        <v>-347994.05308146123</v>
      </c>
      <c r="CA993" s="15">
        <f t="shared" si="664"/>
        <v>22.170849845882874</v>
      </c>
      <c r="CB993" s="75">
        <f>CA993*(1-PARAM!$C$27)*$I$22+(MOD($B993,60)=PARAM!$B$56)*($B993&gt;(60-PARAM!$B$56))*HLOOKUP(($B993+PARAM!$B$56)/12,Loyalty,2)*$F$1*MAX(CD992,0)</f>
        <v>18.557001321003963</v>
      </c>
      <c r="CC993" s="75">
        <f>PARAM!$C$26+MAX($G$22-CHOOSE(PARAM!$B$44,MAX(0,CD992*$F$1),0),0)*RATES!$L969/12+$H$22*(PARAM!$D$51/12)*RATES!$N969/100</f>
        <v>1190.0416666666667</v>
      </c>
      <c r="CD993" s="16">
        <f t="shared" si="690"/>
        <v>-347994.05308146123</v>
      </c>
      <c r="CE993" s="33">
        <f>IF(0=MOD(B993,12/PARAM!$D$51),1,0)</f>
        <v>1</v>
      </c>
      <c r="CF993" s="15">
        <f t="shared" si="665"/>
        <v>0</v>
      </c>
      <c r="CG993" s="75">
        <f>CF993*(1-PARAM!$C$27)*$R$3+(MOD($B993/12,5)=0)*($B993&gt;60)*HLOOKUP($B993/12,Loyalty,2)*$F$1*MAX(CI992,0)</f>
        <v>0</v>
      </c>
      <c r="CH993" s="75">
        <f>PARAM!$C$26+MAX($P$3-CHOOSE(PARAM!$B$44,MAX(0,CI992*$F$1),0),0)*RATES!$L969/12+$Q$3*(PARAM!$D$51/12)*RATES!$N969/100</f>
        <v>1190.0416666666667</v>
      </c>
      <c r="CI993" s="16">
        <f>IF(CI992&gt;0,CI992*PARAM!$C$53,CI992)+CG993-CH993</f>
        <v>-365800.54166666797</v>
      </c>
      <c r="CJ993" s="15">
        <f t="shared" si="691"/>
        <v>0</v>
      </c>
      <c r="CK993" s="75">
        <f>CJ993*(1-PARAM!$C$27)*$R$4+(MOD($B993/12,5)=0)*($B993&gt;60)*HLOOKUP($B993/12,Loyalty,2)*$F$1*MAX(CM992,0)</f>
        <v>0</v>
      </c>
      <c r="CL993" s="75">
        <f>PARAM!$C$26+MAX($P$4-CHOOSE(PARAM!$B$44,MAX(0,CM992*$F$1),0),0)*RATES!$L969/12+$Q$4*(PARAM!$D$51/12)*RATES!$N969/100</f>
        <v>1190.0416666666667</v>
      </c>
      <c r="CM993" s="16">
        <f>IF(CM992&gt;0,CM992*PARAM!$C$53,CM992)+CK993-CL993</f>
        <v>-365800.54166666797</v>
      </c>
      <c r="CO993" s="176"/>
    </row>
    <row r="994" spans="1:93" x14ac:dyDescent="0.2">
      <c r="A994" t="b">
        <f t="shared" si="666"/>
        <v>0</v>
      </c>
      <c r="B994" s="33">
        <v>967</v>
      </c>
      <c r="C994" s="15">
        <f t="shared" si="667"/>
        <v>20.081305947392778</v>
      </c>
      <c r="D994" s="75">
        <f>C994*(1-PARAM!$C$27)*$I$3+(MOD($B994,60)=PARAM!$B$56)*($B994&gt;(60-PARAM!$B$56))*HLOOKUP(($B994+PARAM!$B$56)/12,Loyalty,2)*$F$1*MAX(F993,0)</f>
        <v>16.808053077967756</v>
      </c>
      <c r="E994" s="75">
        <f>PARAM!$C$26+MAX($G$3-CHOOSE(PARAM!$B$44,MAX(0,F993*$F$1),0),0)*RATES!$L970/12+$H$3*(PARAM!$D$51/12)*RATES!$N970/100</f>
        <v>1190.0416666666667</v>
      </c>
      <c r="F994" s="16">
        <f t="shared" si="668"/>
        <v>-350893.62119834521</v>
      </c>
      <c r="G994" s="15">
        <f t="shared" si="669"/>
        <v>22.035289406060361</v>
      </c>
      <c r="H994" s="75">
        <f>G994*(1-PARAM!$C$27)*$I$4+(MOD($B994,60)=PARAM!$B$56)*($B994&gt;(60-PARAM!$B$56))*HLOOKUP(($B994+PARAM!$B$56)/12,Loyalty,2)*$F$1*MAX(J993,0)</f>
        <v>18.443537232872522</v>
      </c>
      <c r="I994" s="75">
        <f>PARAM!$C$26+MAX($G$4-CHOOSE(PARAM!$B$44,MAX(0,J993*$F$1),0),0)*RATES!$L970/12+$H$4*(PARAM!$D$51/12)*RATES!$N970/100</f>
        <v>1190.0416666666667</v>
      </c>
      <c r="J994" s="16">
        <f t="shared" si="670"/>
        <v>-349278.27505642798</v>
      </c>
      <c r="K994" s="15">
        <f t="shared" si="671"/>
        <v>22.170849845882874</v>
      </c>
      <c r="L994" s="75">
        <f>K994*(1-PARAM!$C$27)*$I$5+(MOD($B994,60)=PARAM!$B$56)*($B994&gt;(60-PARAM!$B$56))*HLOOKUP(($B994+PARAM!$B$56)/12,Loyalty,2)*$F$1*MAX(N993,0)</f>
        <v>18.557001321003963</v>
      </c>
      <c r="M994" s="75">
        <f>PARAM!$C$26+MAX($G$5-CHOOSE(PARAM!$B$44,MAX(0,N993*$F$1),0),0)*RATES!$L970/12+$H$5*(PARAM!$D$51/12)*RATES!$N970/100</f>
        <v>1190.0416666666667</v>
      </c>
      <c r="N994" s="16">
        <f t="shared" si="672"/>
        <v>-349165.53774680692</v>
      </c>
      <c r="O994" s="15">
        <f t="shared" si="673"/>
        <v>22.170849845882874</v>
      </c>
      <c r="P994" s="75">
        <f>O994*(1-PARAM!$C$27)*$I$6+(MOD($B994,60)=PARAM!$B$56)*($B994&gt;(60-PARAM!$B$56))*HLOOKUP(($B994+PARAM!$B$56)/12,Loyalty,2)*$F$1*MAX(R993,0)</f>
        <v>18.557001321003963</v>
      </c>
      <c r="Q994" s="75">
        <f>PARAM!$C$26+MAX($G$6-CHOOSE(PARAM!$B$44,MAX(0,R993*$F$1),0),0)*RATES!$L970/12+$H$6*(PARAM!$D$51/12)*RATES!$N970/100</f>
        <v>1190.0416666666667</v>
      </c>
      <c r="R994" s="16">
        <f t="shared" si="674"/>
        <v>-349165.53774680692</v>
      </c>
      <c r="S994" s="15">
        <f t="shared" si="649"/>
        <v>22.170849845882874</v>
      </c>
      <c r="T994" s="75">
        <f>S994*(1-PARAM!$C$27)*$I$7+(MOD($B994,60)=PARAM!$B$56)*($B994&gt;(60-PARAM!$B$56))*HLOOKUP(($B994+PARAM!$B$56)/12,Loyalty,2)*$F$1*MAX(V993,0)</f>
        <v>18.557001321003963</v>
      </c>
      <c r="U994" s="75">
        <f>PARAM!$C$26+MAX($G$7-CHOOSE(PARAM!$B$44,MAX(0,V993*$F$1),0),0)*RATES!$L970/12+$H$7*(PARAM!$D$51/12)*RATES!$N970/100</f>
        <v>1190.0416666666667</v>
      </c>
      <c r="V994" s="16">
        <f t="shared" si="675"/>
        <v>-349165.53774680692</v>
      </c>
      <c r="W994" s="15">
        <f t="shared" si="650"/>
        <v>22.170849845882874</v>
      </c>
      <c r="X994" s="75">
        <f>W994*(1-PARAM!$C$27)*$I$8+(MOD($B994,60)=PARAM!$B$56)*($B994&gt;(60-PARAM!$B$56))*HLOOKUP(($B994+PARAM!$B$56)/12,Loyalty,2)*$F$1*MAX(Z993,0)</f>
        <v>18.557001321003963</v>
      </c>
      <c r="Y994" s="75">
        <f>PARAM!$C$26+MAX($G$8-CHOOSE(PARAM!$B$44,MAX(0,Z993*$F$1),0),0)*RATES!$L970/12+$H$8*(PARAM!$D$51/12)*RATES!$N970/100</f>
        <v>1190.0416666666667</v>
      </c>
      <c r="Z994" s="16">
        <f t="shared" si="676"/>
        <v>-349165.53774680692</v>
      </c>
      <c r="AA994" s="15">
        <f t="shared" si="651"/>
        <v>22.170849845882874</v>
      </c>
      <c r="AB994" s="75">
        <f>AA994*(1-PARAM!$C$27)*$I$9+(MOD($B994,60)=PARAM!$B$56)*($B994&gt;(60-PARAM!$B$56))*HLOOKUP(($B994+PARAM!$B$56)/12,Loyalty,2)*$F$1*MAX(AD993,0)</f>
        <v>18.557001321003963</v>
      </c>
      <c r="AC994" s="75">
        <f>PARAM!$C$26+MAX($G$9-CHOOSE(PARAM!$B$44,MAX(0,AD993*$F$1),0),0)*RATES!$L970/12+$H$9*(PARAM!$D$51/12)*RATES!$N970/100</f>
        <v>1190.0416666666667</v>
      </c>
      <c r="AD994" s="16">
        <f t="shared" si="677"/>
        <v>-349165.53774680692</v>
      </c>
      <c r="AE994" s="15">
        <f t="shared" si="652"/>
        <v>22.170849845882874</v>
      </c>
      <c r="AF994" s="75">
        <f>AE994*(1-PARAM!$C$27)*$I$10+(MOD($B994,60)=PARAM!$B$56)*($B994&gt;(60-PARAM!$B$56))*HLOOKUP(($B994+PARAM!$B$56)/12,Loyalty,2)*$F$1*MAX(AH993,0)</f>
        <v>18.557001321003963</v>
      </c>
      <c r="AG994" s="75">
        <f>PARAM!$C$26+MAX($G$10-CHOOSE(PARAM!$B$44,MAX(0,AH993*$F$1),0),0)*RATES!$L970/12+$H$10*(PARAM!$D$51/12)*RATES!$N970/100</f>
        <v>1190.0416666666667</v>
      </c>
      <c r="AH994" s="16">
        <f t="shared" si="678"/>
        <v>-349165.53774680692</v>
      </c>
      <c r="AI994" s="15">
        <f t="shared" si="653"/>
        <v>22.170849845882874</v>
      </c>
      <c r="AJ994" s="75">
        <f>AI994*(1-PARAM!$C$27)*$I$11+(MOD($B994,60)=PARAM!$B$56)*($B994&gt;(60-PARAM!$B$56))*HLOOKUP(($B994+PARAM!$B$56)/12,Loyalty,2)*$F$1*MAX(AL993,0)</f>
        <v>18.557001321003963</v>
      </c>
      <c r="AK994" s="75">
        <f>PARAM!$C$26+MAX($G$11-CHOOSE(PARAM!$B$44,MAX(0,AL993*$F$1),0),0)*RATES!$L970/12+$H$11*(PARAM!$D$51/12)*RATES!$N970/100</f>
        <v>1190.0416666666667</v>
      </c>
      <c r="AL994" s="16">
        <f t="shared" si="679"/>
        <v>-349165.53774680692</v>
      </c>
      <c r="AM994" s="15">
        <f t="shared" si="654"/>
        <v>22.170849845882874</v>
      </c>
      <c r="AN994" s="75">
        <f>AM994*(1-PARAM!$C$27)*$I$12+(MOD($B994,60)=PARAM!$B$56)*($B994&gt;(60-PARAM!$B$56))*HLOOKUP(($B994+PARAM!$B$56)/12,Loyalty,2)*$F$1*MAX(AP993,0)</f>
        <v>18.557001321003963</v>
      </c>
      <c r="AO994" s="75">
        <f>PARAM!$C$26+MAX($G$12-CHOOSE(PARAM!$B$44,MAX(0,AP993*$F$1),0),0)*RATES!$L970/12+$H$12*(PARAM!$D$51/12)*RATES!$N970/100</f>
        <v>1190.0416666666667</v>
      </c>
      <c r="AP994" s="16">
        <f t="shared" si="680"/>
        <v>-349165.53774680692</v>
      </c>
      <c r="AQ994" s="15">
        <f t="shared" si="655"/>
        <v>22.170849845882874</v>
      </c>
      <c r="AR994" s="75">
        <f>AQ994*(1-PARAM!$C$27)*$I$13+(MOD($B994,60)=PARAM!$B$56)*($B994&gt;(60-PARAM!$B$56))*HLOOKUP(($B994+PARAM!$B$56)/12,Loyalty,2)*$F$1*MAX(AT993,0)</f>
        <v>18.557001321003963</v>
      </c>
      <c r="AS994" s="75">
        <f>PARAM!$C$26+MAX($G$13-CHOOSE(PARAM!$B$44,MAX(0,AT993*$F$1),0),0)*RATES!$L970/12+$H$13*(PARAM!$D$51/12)*RATES!$N970/100</f>
        <v>1190.0416666666667</v>
      </c>
      <c r="AT994" s="16">
        <f t="shared" si="681"/>
        <v>-349165.53774680692</v>
      </c>
      <c r="AU994" s="15">
        <f t="shared" si="656"/>
        <v>22.170849845882874</v>
      </c>
      <c r="AV994" s="75">
        <f>AU994*(1-PARAM!$C$27)*$I$14+(MOD($B994,60)=PARAM!$B$56)*($B994&gt;(60-PARAM!$B$56))*HLOOKUP(($B994+PARAM!$B$56)/12,Loyalty,2)*$F$1*MAX(AX993,0)</f>
        <v>18.557001321003963</v>
      </c>
      <c r="AW994" s="75">
        <f>PARAM!$C$26+MAX($G$14-CHOOSE(PARAM!$B$44,MAX(0,AX993*$F$1),0),0)*RATES!$L970/12+$H$14*(PARAM!$D$51/12)*RATES!$N970/100</f>
        <v>1190.0416666666667</v>
      </c>
      <c r="AX994" s="16">
        <f t="shared" si="682"/>
        <v>-349165.53774680692</v>
      </c>
      <c r="AY994" s="15">
        <f t="shared" si="657"/>
        <v>22.170849845882874</v>
      </c>
      <c r="AZ994" s="75">
        <f>AY994*(1-PARAM!$C$27)*$I$15+(MOD($B994,60)=PARAM!$B$56)*($B994&gt;(60-PARAM!$B$56))*HLOOKUP(($B994+PARAM!$B$56)/12,Loyalty,2)*$F$1*MAX(BB993,0)</f>
        <v>18.557001321003963</v>
      </c>
      <c r="BA994" s="75">
        <f>PARAM!$C$26+MAX($G$15-CHOOSE(PARAM!$B$44,MAX(0,BB993*$F$1),0),0)*RATES!$L970/12+$H$15*(PARAM!$D$51/12)*RATES!$N970/100</f>
        <v>1190.0416666666667</v>
      </c>
      <c r="BB994" s="16">
        <f t="shared" si="683"/>
        <v>-349165.53774680692</v>
      </c>
      <c r="BC994" s="15">
        <f t="shared" si="658"/>
        <v>22.170849845882874</v>
      </c>
      <c r="BD994" s="75">
        <f>BC994*(1-PARAM!$C$27)*$I$16+(MOD($B994,60)=PARAM!$B$56)*($B994&gt;(60-PARAM!$B$56))*HLOOKUP(($B994+PARAM!$B$56)/12,Loyalty,2)*$F$1*MAX(BF993,0)</f>
        <v>18.557001321003963</v>
      </c>
      <c r="BE994" s="75">
        <f>PARAM!$C$26+MAX($G$16-CHOOSE(PARAM!$B$44,MAX(0,BF993*$F$1),0),0)*RATES!$L970/12+$H$16*(PARAM!$D$51/12)*RATES!$N970/100</f>
        <v>1190.0416666666667</v>
      </c>
      <c r="BF994" s="16">
        <f t="shared" si="684"/>
        <v>-349165.53774680692</v>
      </c>
      <c r="BG994" s="15">
        <f t="shared" si="659"/>
        <v>22.170849845882874</v>
      </c>
      <c r="BH994" s="75">
        <f>BG994*(1-PARAM!$C$27)*$I$17+(MOD($B994,60)=PARAM!$B$56)*($B994&gt;(60-PARAM!$B$56))*HLOOKUP(($B994+PARAM!$B$56)/12,Loyalty,2)*$F$1*MAX(BJ993,0)</f>
        <v>18.557001321003963</v>
      </c>
      <c r="BI994" s="75">
        <f>PARAM!$C$26+MAX($G$17-CHOOSE(PARAM!$B$44,MAX(0,BJ993*$F$1),0),0)*RATES!$L970/12+$H$17*(PARAM!$D$51/12)*RATES!$N970/100</f>
        <v>1190.0416666666667</v>
      </c>
      <c r="BJ994" s="16">
        <f t="shared" si="685"/>
        <v>-349165.53774680692</v>
      </c>
      <c r="BK994" s="15">
        <f t="shared" si="660"/>
        <v>22.170849845882874</v>
      </c>
      <c r="BL994" s="75">
        <f>BK994*(1-PARAM!$C$27)*$I$18+(MOD($B994,60)=PARAM!$B$56)*($B994&gt;(60-PARAM!$B$56))*HLOOKUP(($B994+PARAM!$B$56)/12,Loyalty,2)*$F$1*MAX(BN993,0)</f>
        <v>18.557001321003963</v>
      </c>
      <c r="BM994" s="75">
        <f>PARAM!$C$26+MAX($G$18-CHOOSE(PARAM!$B$44,MAX(0,BN993*$F$1),0),0)*RATES!$L970/12+$H$18*(PARAM!$D$51/12)*RATES!$N970/100</f>
        <v>1190.0416666666667</v>
      </c>
      <c r="BN994" s="16">
        <f t="shared" si="686"/>
        <v>-349165.53774680692</v>
      </c>
      <c r="BO994" s="15">
        <f t="shared" si="661"/>
        <v>22.170849845882874</v>
      </c>
      <c r="BP994" s="75">
        <f>BO994*(1-PARAM!$C$27)*$I$19+(MOD($B994,60)=PARAM!$B$56)*($B994&gt;(60-PARAM!$B$56))*HLOOKUP(($B994+PARAM!$B$56)/12,Loyalty,2)*$F$1*MAX(BR993,0)</f>
        <v>18.557001321003963</v>
      </c>
      <c r="BQ994" s="75">
        <f>PARAM!$C$26+MAX($G$19-CHOOSE(PARAM!$B$44,MAX(0,BR993*$F$1),0),0)*RATES!$L970/12+$H$19*(PARAM!$D$51/12)*RATES!$N970/100</f>
        <v>1190.0416666666667</v>
      </c>
      <c r="BR994" s="16">
        <f t="shared" si="687"/>
        <v>-349165.53774680692</v>
      </c>
      <c r="BS994" s="15">
        <f t="shared" si="662"/>
        <v>22.170849845882874</v>
      </c>
      <c r="BT994" s="75">
        <f>BS994*(1-PARAM!$C$27)*$I$20+(MOD($B994,60)=PARAM!$B$56)*($B994&gt;(60-PARAM!$B$56))*HLOOKUP(($B994+PARAM!$B$56)/12,Loyalty,2)*$F$1*MAX(BV993,0)</f>
        <v>18.557001321003963</v>
      </c>
      <c r="BU994" s="75">
        <f>PARAM!$C$26+MAX($G$20-CHOOSE(PARAM!$B$44,MAX(0,BV993*$F$1),0),0)*RATES!$L970/12+$H$20*(PARAM!$D$51/12)*RATES!$N970/100</f>
        <v>1190.0416666666667</v>
      </c>
      <c r="BV994" s="16">
        <f t="shared" si="688"/>
        <v>-349165.53774680692</v>
      </c>
      <c r="BW994" s="15">
        <f t="shared" si="663"/>
        <v>22.170849845882874</v>
      </c>
      <c r="BX994" s="75">
        <f>BW994*(1-PARAM!$C$27)*$I$21+(MOD($B994,60)=PARAM!$B$56)*($B994&gt;(60-PARAM!$B$56))*HLOOKUP(($B994+PARAM!$B$56)/12,Loyalty,2)*$F$1*MAX(BZ993,0)</f>
        <v>18.557001321003963</v>
      </c>
      <c r="BY994" s="75">
        <f>PARAM!$C$26+MAX($G$21-CHOOSE(PARAM!$B$44,MAX(0,BZ993*$F$1),0),0)*RATES!$L970/12+$H$21*(PARAM!$D$51/12)*RATES!$N970/100</f>
        <v>1190.0416666666667</v>
      </c>
      <c r="BZ994" s="16">
        <f t="shared" si="689"/>
        <v>-349165.53774680692</v>
      </c>
      <c r="CA994" s="15">
        <f t="shared" si="664"/>
        <v>22.170849845882874</v>
      </c>
      <c r="CB994" s="75">
        <f>CA994*(1-PARAM!$C$27)*$I$22+(MOD($B994,60)=PARAM!$B$56)*($B994&gt;(60-PARAM!$B$56))*HLOOKUP(($B994+PARAM!$B$56)/12,Loyalty,2)*$F$1*MAX(CD993,0)</f>
        <v>18.557001321003963</v>
      </c>
      <c r="CC994" s="75">
        <f>PARAM!$C$26+MAX($G$22-CHOOSE(PARAM!$B$44,MAX(0,CD993*$F$1),0),0)*RATES!$L970/12+$H$22*(PARAM!$D$51/12)*RATES!$N970/100</f>
        <v>1190.0416666666667</v>
      </c>
      <c r="CD994" s="16">
        <f t="shared" si="690"/>
        <v>-349165.53774680692</v>
      </c>
      <c r="CE994" s="33">
        <f>IF(0=MOD(B994,12/PARAM!$D$51),1,0)</f>
        <v>1</v>
      </c>
      <c r="CF994" s="15">
        <f t="shared" si="665"/>
        <v>0</v>
      </c>
      <c r="CG994" s="75">
        <f>CF994*(1-PARAM!$C$27)*$R$3+(MOD($B994/12,5)=0)*($B994&gt;60)*HLOOKUP($B994/12,Loyalty,2)*$F$1*MAX(CI993,0)</f>
        <v>0</v>
      </c>
      <c r="CH994" s="75">
        <f>PARAM!$C$26+MAX($P$3-CHOOSE(PARAM!$B$44,MAX(0,CI993*$F$1),0),0)*RATES!$L970/12+$Q$3*(PARAM!$D$51/12)*RATES!$N970/100</f>
        <v>1190.0416666666667</v>
      </c>
      <c r="CI994" s="16">
        <f>IF(CI993&gt;0,CI993*PARAM!$C$53,CI993)+CG994-CH994</f>
        <v>-366990.58333333465</v>
      </c>
      <c r="CJ994" s="15">
        <f t="shared" si="691"/>
        <v>0</v>
      </c>
      <c r="CK994" s="75">
        <f>CJ994*(1-PARAM!$C$27)*$R$4+(MOD($B994/12,5)=0)*($B994&gt;60)*HLOOKUP($B994/12,Loyalty,2)*$F$1*MAX(CM993,0)</f>
        <v>0</v>
      </c>
      <c r="CL994" s="75">
        <f>PARAM!$C$26+MAX($P$4-CHOOSE(PARAM!$B$44,MAX(0,CM993*$F$1),0),0)*RATES!$L970/12+$Q$4*(PARAM!$D$51/12)*RATES!$N970/100</f>
        <v>1190.0416666666667</v>
      </c>
      <c r="CM994" s="16">
        <f>IF(CM993&gt;0,CM993*PARAM!$C$53,CM993)+CK994-CL994</f>
        <v>-366990.58333333465</v>
      </c>
      <c r="CO994" s="176"/>
    </row>
    <row r="995" spans="1:93" x14ac:dyDescent="0.2">
      <c r="A995" t="b">
        <f t="shared" si="666"/>
        <v>0</v>
      </c>
      <c r="B995" s="33">
        <v>968</v>
      </c>
      <c r="C995" s="15">
        <f t="shared" si="667"/>
        <v>20.081305947392778</v>
      </c>
      <c r="D995" s="75">
        <f>C995*(1-PARAM!$C$27)*$I$3+(MOD($B995,60)=PARAM!$B$56)*($B995&gt;(60-PARAM!$B$56))*HLOOKUP(($B995+PARAM!$B$56)/12,Loyalty,2)*$F$1*MAX(F994,0)</f>
        <v>16.808053077967756</v>
      </c>
      <c r="E995" s="75">
        <f>PARAM!$C$26+MAX($G$3-CHOOSE(PARAM!$B$44,MAX(0,F994*$F$1),0),0)*RATES!$L971/12+$H$3*(PARAM!$D$51/12)*RATES!$N971/100</f>
        <v>1190.0416666666667</v>
      </c>
      <c r="F995" s="16">
        <f t="shared" si="668"/>
        <v>-352066.85481193394</v>
      </c>
      <c r="G995" s="15">
        <f t="shared" si="669"/>
        <v>22.035289406060361</v>
      </c>
      <c r="H995" s="75">
        <f>G995*(1-PARAM!$C$27)*$I$4+(MOD($B995,60)=PARAM!$B$56)*($B995&gt;(60-PARAM!$B$56))*HLOOKUP(($B995+PARAM!$B$56)/12,Loyalty,2)*$F$1*MAX(J994,0)</f>
        <v>18.443537232872522</v>
      </c>
      <c r="I995" s="75">
        <f>PARAM!$C$26+MAX($G$4-CHOOSE(PARAM!$B$44,MAX(0,J994*$F$1),0),0)*RATES!$L971/12+$H$4*(PARAM!$D$51/12)*RATES!$N971/100</f>
        <v>1190.0416666666667</v>
      </c>
      <c r="J995" s="16">
        <f t="shared" si="670"/>
        <v>-350449.8731858618</v>
      </c>
      <c r="K995" s="15">
        <f t="shared" si="671"/>
        <v>22.170849845882874</v>
      </c>
      <c r="L995" s="75">
        <f>K995*(1-PARAM!$C$27)*$I$5+(MOD($B995,60)=PARAM!$B$56)*($B995&gt;(60-PARAM!$B$56))*HLOOKUP(($B995+PARAM!$B$56)/12,Loyalty,2)*$F$1*MAX(N994,0)</f>
        <v>18.557001321003963</v>
      </c>
      <c r="M995" s="75">
        <f>PARAM!$C$26+MAX($G$5-CHOOSE(PARAM!$B$44,MAX(0,N994*$F$1),0),0)*RATES!$L971/12+$H$5*(PARAM!$D$51/12)*RATES!$N971/100</f>
        <v>1190.0416666666667</v>
      </c>
      <c r="N995" s="16">
        <f t="shared" si="672"/>
        <v>-350337.02241215261</v>
      </c>
      <c r="O995" s="15">
        <f t="shared" si="673"/>
        <v>22.170849845882874</v>
      </c>
      <c r="P995" s="75">
        <f>O995*(1-PARAM!$C$27)*$I$6+(MOD($B995,60)=PARAM!$B$56)*($B995&gt;(60-PARAM!$B$56))*HLOOKUP(($B995+PARAM!$B$56)/12,Loyalty,2)*$F$1*MAX(R994,0)</f>
        <v>18.557001321003963</v>
      </c>
      <c r="Q995" s="75">
        <f>PARAM!$C$26+MAX($G$6-CHOOSE(PARAM!$B$44,MAX(0,R994*$F$1),0),0)*RATES!$L971/12+$H$6*(PARAM!$D$51/12)*RATES!$N971/100</f>
        <v>1190.0416666666667</v>
      </c>
      <c r="R995" s="16">
        <f t="shared" si="674"/>
        <v>-350337.02241215261</v>
      </c>
      <c r="S995" s="15">
        <f t="shared" si="649"/>
        <v>22.170849845882874</v>
      </c>
      <c r="T995" s="75">
        <f>S995*(1-PARAM!$C$27)*$I$7+(MOD($B995,60)=PARAM!$B$56)*($B995&gt;(60-PARAM!$B$56))*HLOOKUP(($B995+PARAM!$B$56)/12,Loyalty,2)*$F$1*MAX(V994,0)</f>
        <v>18.557001321003963</v>
      </c>
      <c r="U995" s="75">
        <f>PARAM!$C$26+MAX($G$7-CHOOSE(PARAM!$B$44,MAX(0,V994*$F$1),0),0)*RATES!$L971/12+$H$7*(PARAM!$D$51/12)*RATES!$N971/100</f>
        <v>1190.0416666666667</v>
      </c>
      <c r="V995" s="16">
        <f t="shared" si="675"/>
        <v>-350337.02241215261</v>
      </c>
      <c r="W995" s="15">
        <f t="shared" si="650"/>
        <v>22.170849845882874</v>
      </c>
      <c r="X995" s="75">
        <f>W995*(1-PARAM!$C$27)*$I$8+(MOD($B995,60)=PARAM!$B$56)*($B995&gt;(60-PARAM!$B$56))*HLOOKUP(($B995+PARAM!$B$56)/12,Loyalty,2)*$F$1*MAX(Z994,0)</f>
        <v>18.557001321003963</v>
      </c>
      <c r="Y995" s="75">
        <f>PARAM!$C$26+MAX($G$8-CHOOSE(PARAM!$B$44,MAX(0,Z994*$F$1),0),0)*RATES!$L971/12+$H$8*(PARAM!$D$51/12)*RATES!$N971/100</f>
        <v>1190.0416666666667</v>
      </c>
      <c r="Z995" s="16">
        <f t="shared" si="676"/>
        <v>-350337.02241215261</v>
      </c>
      <c r="AA995" s="15">
        <f t="shared" si="651"/>
        <v>22.170849845882874</v>
      </c>
      <c r="AB995" s="75">
        <f>AA995*(1-PARAM!$C$27)*$I$9+(MOD($B995,60)=PARAM!$B$56)*($B995&gt;(60-PARAM!$B$56))*HLOOKUP(($B995+PARAM!$B$56)/12,Loyalty,2)*$F$1*MAX(AD994,0)</f>
        <v>18.557001321003963</v>
      </c>
      <c r="AC995" s="75">
        <f>PARAM!$C$26+MAX($G$9-CHOOSE(PARAM!$B$44,MAX(0,AD994*$F$1),0),0)*RATES!$L971/12+$H$9*(PARAM!$D$51/12)*RATES!$N971/100</f>
        <v>1190.0416666666667</v>
      </c>
      <c r="AD995" s="16">
        <f t="shared" si="677"/>
        <v>-350337.02241215261</v>
      </c>
      <c r="AE995" s="15">
        <f t="shared" si="652"/>
        <v>22.170849845882874</v>
      </c>
      <c r="AF995" s="75">
        <f>AE995*(1-PARAM!$C$27)*$I$10+(MOD($B995,60)=PARAM!$B$56)*($B995&gt;(60-PARAM!$B$56))*HLOOKUP(($B995+PARAM!$B$56)/12,Loyalty,2)*$F$1*MAX(AH994,0)</f>
        <v>18.557001321003963</v>
      </c>
      <c r="AG995" s="75">
        <f>PARAM!$C$26+MAX($G$10-CHOOSE(PARAM!$B$44,MAX(0,AH994*$F$1),0),0)*RATES!$L971/12+$H$10*(PARAM!$D$51/12)*RATES!$N971/100</f>
        <v>1190.0416666666667</v>
      </c>
      <c r="AH995" s="16">
        <f t="shared" si="678"/>
        <v>-350337.02241215261</v>
      </c>
      <c r="AI995" s="15">
        <f t="shared" si="653"/>
        <v>22.170849845882874</v>
      </c>
      <c r="AJ995" s="75">
        <f>AI995*(1-PARAM!$C$27)*$I$11+(MOD($B995,60)=PARAM!$B$56)*($B995&gt;(60-PARAM!$B$56))*HLOOKUP(($B995+PARAM!$B$56)/12,Loyalty,2)*$F$1*MAX(AL994,0)</f>
        <v>18.557001321003963</v>
      </c>
      <c r="AK995" s="75">
        <f>PARAM!$C$26+MAX($G$11-CHOOSE(PARAM!$B$44,MAX(0,AL994*$F$1),0),0)*RATES!$L971/12+$H$11*(PARAM!$D$51/12)*RATES!$N971/100</f>
        <v>1190.0416666666667</v>
      </c>
      <c r="AL995" s="16">
        <f t="shared" si="679"/>
        <v>-350337.02241215261</v>
      </c>
      <c r="AM995" s="15">
        <f t="shared" si="654"/>
        <v>22.170849845882874</v>
      </c>
      <c r="AN995" s="75">
        <f>AM995*(1-PARAM!$C$27)*$I$12+(MOD($B995,60)=PARAM!$B$56)*($B995&gt;(60-PARAM!$B$56))*HLOOKUP(($B995+PARAM!$B$56)/12,Loyalty,2)*$F$1*MAX(AP994,0)</f>
        <v>18.557001321003963</v>
      </c>
      <c r="AO995" s="75">
        <f>PARAM!$C$26+MAX($G$12-CHOOSE(PARAM!$B$44,MAX(0,AP994*$F$1),0),0)*RATES!$L971/12+$H$12*(PARAM!$D$51/12)*RATES!$N971/100</f>
        <v>1190.0416666666667</v>
      </c>
      <c r="AP995" s="16">
        <f t="shared" si="680"/>
        <v>-350337.02241215261</v>
      </c>
      <c r="AQ995" s="15">
        <f t="shared" si="655"/>
        <v>22.170849845882874</v>
      </c>
      <c r="AR995" s="75">
        <f>AQ995*(1-PARAM!$C$27)*$I$13+(MOD($B995,60)=PARAM!$B$56)*($B995&gt;(60-PARAM!$B$56))*HLOOKUP(($B995+PARAM!$B$56)/12,Loyalty,2)*$F$1*MAX(AT994,0)</f>
        <v>18.557001321003963</v>
      </c>
      <c r="AS995" s="75">
        <f>PARAM!$C$26+MAX($G$13-CHOOSE(PARAM!$B$44,MAX(0,AT994*$F$1),0),0)*RATES!$L971/12+$H$13*(PARAM!$D$51/12)*RATES!$N971/100</f>
        <v>1190.0416666666667</v>
      </c>
      <c r="AT995" s="16">
        <f t="shared" si="681"/>
        <v>-350337.02241215261</v>
      </c>
      <c r="AU995" s="15">
        <f t="shared" si="656"/>
        <v>22.170849845882874</v>
      </c>
      <c r="AV995" s="75">
        <f>AU995*(1-PARAM!$C$27)*$I$14+(MOD($B995,60)=PARAM!$B$56)*($B995&gt;(60-PARAM!$B$56))*HLOOKUP(($B995+PARAM!$B$56)/12,Loyalty,2)*$F$1*MAX(AX994,0)</f>
        <v>18.557001321003963</v>
      </c>
      <c r="AW995" s="75">
        <f>PARAM!$C$26+MAX($G$14-CHOOSE(PARAM!$B$44,MAX(0,AX994*$F$1),0),0)*RATES!$L971/12+$H$14*(PARAM!$D$51/12)*RATES!$N971/100</f>
        <v>1190.0416666666667</v>
      </c>
      <c r="AX995" s="16">
        <f t="shared" si="682"/>
        <v>-350337.02241215261</v>
      </c>
      <c r="AY995" s="15">
        <f t="shared" si="657"/>
        <v>22.170849845882874</v>
      </c>
      <c r="AZ995" s="75">
        <f>AY995*(1-PARAM!$C$27)*$I$15+(MOD($B995,60)=PARAM!$B$56)*($B995&gt;(60-PARAM!$B$56))*HLOOKUP(($B995+PARAM!$B$56)/12,Loyalty,2)*$F$1*MAX(BB994,0)</f>
        <v>18.557001321003963</v>
      </c>
      <c r="BA995" s="75">
        <f>PARAM!$C$26+MAX($G$15-CHOOSE(PARAM!$B$44,MAX(0,BB994*$F$1),0),0)*RATES!$L971/12+$H$15*(PARAM!$D$51/12)*RATES!$N971/100</f>
        <v>1190.0416666666667</v>
      </c>
      <c r="BB995" s="16">
        <f t="shared" si="683"/>
        <v>-350337.02241215261</v>
      </c>
      <c r="BC995" s="15">
        <f t="shared" si="658"/>
        <v>22.170849845882874</v>
      </c>
      <c r="BD995" s="75">
        <f>BC995*(1-PARAM!$C$27)*$I$16+(MOD($B995,60)=PARAM!$B$56)*($B995&gt;(60-PARAM!$B$56))*HLOOKUP(($B995+PARAM!$B$56)/12,Loyalty,2)*$F$1*MAX(BF994,0)</f>
        <v>18.557001321003963</v>
      </c>
      <c r="BE995" s="75">
        <f>PARAM!$C$26+MAX($G$16-CHOOSE(PARAM!$B$44,MAX(0,BF994*$F$1),0),0)*RATES!$L971/12+$H$16*(PARAM!$D$51/12)*RATES!$N971/100</f>
        <v>1190.0416666666667</v>
      </c>
      <c r="BF995" s="16">
        <f t="shared" si="684"/>
        <v>-350337.02241215261</v>
      </c>
      <c r="BG995" s="15">
        <f t="shared" si="659"/>
        <v>22.170849845882874</v>
      </c>
      <c r="BH995" s="75">
        <f>BG995*(1-PARAM!$C$27)*$I$17+(MOD($B995,60)=PARAM!$B$56)*($B995&gt;(60-PARAM!$B$56))*HLOOKUP(($B995+PARAM!$B$56)/12,Loyalty,2)*$F$1*MAX(BJ994,0)</f>
        <v>18.557001321003963</v>
      </c>
      <c r="BI995" s="75">
        <f>PARAM!$C$26+MAX($G$17-CHOOSE(PARAM!$B$44,MAX(0,BJ994*$F$1),0),0)*RATES!$L971/12+$H$17*(PARAM!$D$51/12)*RATES!$N971/100</f>
        <v>1190.0416666666667</v>
      </c>
      <c r="BJ995" s="16">
        <f t="shared" si="685"/>
        <v>-350337.02241215261</v>
      </c>
      <c r="BK995" s="15">
        <f t="shared" si="660"/>
        <v>22.170849845882874</v>
      </c>
      <c r="BL995" s="75">
        <f>BK995*(1-PARAM!$C$27)*$I$18+(MOD($B995,60)=PARAM!$B$56)*($B995&gt;(60-PARAM!$B$56))*HLOOKUP(($B995+PARAM!$B$56)/12,Loyalty,2)*$F$1*MAX(BN994,0)</f>
        <v>18.557001321003963</v>
      </c>
      <c r="BM995" s="75">
        <f>PARAM!$C$26+MAX($G$18-CHOOSE(PARAM!$B$44,MAX(0,BN994*$F$1),0),0)*RATES!$L971/12+$H$18*(PARAM!$D$51/12)*RATES!$N971/100</f>
        <v>1190.0416666666667</v>
      </c>
      <c r="BN995" s="16">
        <f t="shared" si="686"/>
        <v>-350337.02241215261</v>
      </c>
      <c r="BO995" s="15">
        <f t="shared" si="661"/>
        <v>22.170849845882874</v>
      </c>
      <c r="BP995" s="75">
        <f>BO995*(1-PARAM!$C$27)*$I$19+(MOD($B995,60)=PARAM!$B$56)*($B995&gt;(60-PARAM!$B$56))*HLOOKUP(($B995+PARAM!$B$56)/12,Loyalty,2)*$F$1*MAX(BR994,0)</f>
        <v>18.557001321003963</v>
      </c>
      <c r="BQ995" s="75">
        <f>PARAM!$C$26+MAX($G$19-CHOOSE(PARAM!$B$44,MAX(0,BR994*$F$1),0),0)*RATES!$L971/12+$H$19*(PARAM!$D$51/12)*RATES!$N971/100</f>
        <v>1190.0416666666667</v>
      </c>
      <c r="BR995" s="16">
        <f t="shared" si="687"/>
        <v>-350337.02241215261</v>
      </c>
      <c r="BS995" s="15">
        <f t="shared" si="662"/>
        <v>22.170849845882874</v>
      </c>
      <c r="BT995" s="75">
        <f>BS995*(1-PARAM!$C$27)*$I$20+(MOD($B995,60)=PARAM!$B$56)*($B995&gt;(60-PARAM!$B$56))*HLOOKUP(($B995+PARAM!$B$56)/12,Loyalty,2)*$F$1*MAX(BV994,0)</f>
        <v>18.557001321003963</v>
      </c>
      <c r="BU995" s="75">
        <f>PARAM!$C$26+MAX($G$20-CHOOSE(PARAM!$B$44,MAX(0,BV994*$F$1),0),0)*RATES!$L971/12+$H$20*(PARAM!$D$51/12)*RATES!$N971/100</f>
        <v>1190.0416666666667</v>
      </c>
      <c r="BV995" s="16">
        <f t="shared" si="688"/>
        <v>-350337.02241215261</v>
      </c>
      <c r="BW995" s="15">
        <f t="shared" si="663"/>
        <v>22.170849845882874</v>
      </c>
      <c r="BX995" s="75">
        <f>BW995*(1-PARAM!$C$27)*$I$21+(MOD($B995,60)=PARAM!$B$56)*($B995&gt;(60-PARAM!$B$56))*HLOOKUP(($B995+PARAM!$B$56)/12,Loyalty,2)*$F$1*MAX(BZ994,0)</f>
        <v>18.557001321003963</v>
      </c>
      <c r="BY995" s="75">
        <f>PARAM!$C$26+MAX($G$21-CHOOSE(PARAM!$B$44,MAX(0,BZ994*$F$1),0),0)*RATES!$L971/12+$H$21*(PARAM!$D$51/12)*RATES!$N971/100</f>
        <v>1190.0416666666667</v>
      </c>
      <c r="BZ995" s="16">
        <f t="shared" si="689"/>
        <v>-350337.02241215261</v>
      </c>
      <c r="CA995" s="15">
        <f t="shared" si="664"/>
        <v>22.170849845882874</v>
      </c>
      <c r="CB995" s="75">
        <f>CA995*(1-PARAM!$C$27)*$I$22+(MOD($B995,60)=PARAM!$B$56)*($B995&gt;(60-PARAM!$B$56))*HLOOKUP(($B995+PARAM!$B$56)/12,Loyalty,2)*$F$1*MAX(CD994,0)</f>
        <v>18.557001321003963</v>
      </c>
      <c r="CC995" s="75">
        <f>PARAM!$C$26+MAX($G$22-CHOOSE(PARAM!$B$44,MAX(0,CD994*$F$1),0),0)*RATES!$L971/12+$H$22*(PARAM!$D$51/12)*RATES!$N971/100</f>
        <v>1190.0416666666667</v>
      </c>
      <c r="CD995" s="16">
        <f t="shared" si="690"/>
        <v>-350337.02241215261</v>
      </c>
      <c r="CE995" s="33">
        <f>IF(0=MOD(B995,12/PARAM!$D$51),1,0)</f>
        <v>1</v>
      </c>
      <c r="CF995" s="15">
        <f t="shared" si="665"/>
        <v>0</v>
      </c>
      <c r="CG995" s="75">
        <f>CF995*(1-PARAM!$C$27)*$R$3+(MOD($B995/12,5)=0)*($B995&gt;60)*HLOOKUP($B995/12,Loyalty,2)*$F$1*MAX(CI994,0)</f>
        <v>0</v>
      </c>
      <c r="CH995" s="75">
        <f>PARAM!$C$26+MAX($P$3-CHOOSE(PARAM!$B$44,MAX(0,CI994*$F$1),0),0)*RATES!$L971/12+$Q$3*(PARAM!$D$51/12)*RATES!$N971/100</f>
        <v>1190.0416666666667</v>
      </c>
      <c r="CI995" s="16">
        <f>IF(CI994&gt;0,CI994*PARAM!$C$53,CI994)+CG995-CH995</f>
        <v>-368180.62500000134</v>
      </c>
      <c r="CJ995" s="15">
        <f t="shared" si="691"/>
        <v>0</v>
      </c>
      <c r="CK995" s="75">
        <f>CJ995*(1-PARAM!$C$27)*$R$4+(MOD($B995/12,5)=0)*($B995&gt;60)*HLOOKUP($B995/12,Loyalty,2)*$F$1*MAX(CM994,0)</f>
        <v>0</v>
      </c>
      <c r="CL995" s="75">
        <f>PARAM!$C$26+MAX($P$4-CHOOSE(PARAM!$B$44,MAX(0,CM994*$F$1),0),0)*RATES!$L971/12+$Q$4*(PARAM!$D$51/12)*RATES!$N971/100</f>
        <v>1190.0416666666667</v>
      </c>
      <c r="CM995" s="16">
        <f>IF(CM994&gt;0,CM994*PARAM!$C$53,CM994)+CK995-CL995</f>
        <v>-368180.62500000134</v>
      </c>
      <c r="CO995" s="176"/>
    </row>
    <row r="996" spans="1:93" x14ac:dyDescent="0.2">
      <c r="A996" t="b">
        <f t="shared" si="666"/>
        <v>0</v>
      </c>
      <c r="B996" s="33">
        <v>969</v>
      </c>
      <c r="C996" s="15">
        <f t="shared" si="667"/>
        <v>20.081305947392778</v>
      </c>
      <c r="D996" s="75">
        <f>C996*(1-PARAM!$C$27)*$I$3+(MOD($B996,60)=PARAM!$B$56)*($B996&gt;(60-PARAM!$B$56))*HLOOKUP(($B996+PARAM!$B$56)/12,Loyalty,2)*$F$1*MAX(F995,0)</f>
        <v>16.808053077967756</v>
      </c>
      <c r="E996" s="75">
        <f>PARAM!$C$26+MAX($G$3-CHOOSE(PARAM!$B$44,MAX(0,F995*$F$1),0),0)*RATES!$L972/12+$H$3*(PARAM!$D$51/12)*RATES!$N972/100</f>
        <v>1190.0416666666667</v>
      </c>
      <c r="F996" s="16">
        <f t="shared" si="668"/>
        <v>-353240.08842552267</v>
      </c>
      <c r="G996" s="15">
        <f t="shared" si="669"/>
        <v>22.035289406060361</v>
      </c>
      <c r="H996" s="75">
        <f>G996*(1-PARAM!$C$27)*$I$4+(MOD($B996,60)=PARAM!$B$56)*($B996&gt;(60-PARAM!$B$56))*HLOOKUP(($B996+PARAM!$B$56)/12,Loyalty,2)*$F$1*MAX(J995,0)</f>
        <v>18.443537232872522</v>
      </c>
      <c r="I996" s="75">
        <f>PARAM!$C$26+MAX($G$4-CHOOSE(PARAM!$B$44,MAX(0,J995*$F$1),0),0)*RATES!$L972/12+$H$4*(PARAM!$D$51/12)*RATES!$N972/100</f>
        <v>1190.0416666666667</v>
      </c>
      <c r="J996" s="16">
        <f t="shared" si="670"/>
        <v>-351621.47131529561</v>
      </c>
      <c r="K996" s="15">
        <f t="shared" si="671"/>
        <v>22.170849845882874</v>
      </c>
      <c r="L996" s="75">
        <f>K996*(1-PARAM!$C$27)*$I$5+(MOD($B996,60)=PARAM!$B$56)*($B996&gt;(60-PARAM!$B$56))*HLOOKUP(($B996+PARAM!$B$56)/12,Loyalty,2)*$F$1*MAX(N995,0)</f>
        <v>18.557001321003963</v>
      </c>
      <c r="M996" s="75">
        <f>PARAM!$C$26+MAX($G$5-CHOOSE(PARAM!$B$44,MAX(0,N995*$F$1),0),0)*RATES!$L972/12+$H$5*(PARAM!$D$51/12)*RATES!$N972/100</f>
        <v>1190.0416666666667</v>
      </c>
      <c r="N996" s="16">
        <f t="shared" si="672"/>
        <v>-351508.5070774983</v>
      </c>
      <c r="O996" s="15">
        <f t="shared" si="673"/>
        <v>22.170849845882874</v>
      </c>
      <c r="P996" s="75">
        <f>O996*(1-PARAM!$C$27)*$I$6+(MOD($B996,60)=PARAM!$B$56)*($B996&gt;(60-PARAM!$B$56))*HLOOKUP(($B996+PARAM!$B$56)/12,Loyalty,2)*$F$1*MAX(R995,0)</f>
        <v>18.557001321003963</v>
      </c>
      <c r="Q996" s="75">
        <f>PARAM!$C$26+MAX($G$6-CHOOSE(PARAM!$B$44,MAX(0,R995*$F$1),0),0)*RATES!$L972/12+$H$6*(PARAM!$D$51/12)*RATES!$N972/100</f>
        <v>1190.0416666666667</v>
      </c>
      <c r="R996" s="16">
        <f t="shared" si="674"/>
        <v>-351508.5070774983</v>
      </c>
      <c r="S996" s="15">
        <f t="shared" si="649"/>
        <v>22.170849845882874</v>
      </c>
      <c r="T996" s="75">
        <f>S996*(1-PARAM!$C$27)*$I$7+(MOD($B996,60)=PARAM!$B$56)*($B996&gt;(60-PARAM!$B$56))*HLOOKUP(($B996+PARAM!$B$56)/12,Loyalty,2)*$F$1*MAX(V995,0)</f>
        <v>18.557001321003963</v>
      </c>
      <c r="U996" s="75">
        <f>PARAM!$C$26+MAX($G$7-CHOOSE(PARAM!$B$44,MAX(0,V995*$F$1),0),0)*RATES!$L972/12+$H$7*(PARAM!$D$51/12)*RATES!$N972/100</f>
        <v>1190.0416666666667</v>
      </c>
      <c r="V996" s="16">
        <f t="shared" si="675"/>
        <v>-351508.5070774983</v>
      </c>
      <c r="W996" s="15">
        <f t="shared" si="650"/>
        <v>22.170849845882874</v>
      </c>
      <c r="X996" s="75">
        <f>W996*(1-PARAM!$C$27)*$I$8+(MOD($B996,60)=PARAM!$B$56)*($B996&gt;(60-PARAM!$B$56))*HLOOKUP(($B996+PARAM!$B$56)/12,Loyalty,2)*$F$1*MAX(Z995,0)</f>
        <v>18.557001321003963</v>
      </c>
      <c r="Y996" s="75">
        <f>PARAM!$C$26+MAX($G$8-CHOOSE(PARAM!$B$44,MAX(0,Z995*$F$1),0),0)*RATES!$L972/12+$H$8*(PARAM!$D$51/12)*RATES!$N972/100</f>
        <v>1190.0416666666667</v>
      </c>
      <c r="Z996" s="16">
        <f t="shared" si="676"/>
        <v>-351508.5070774983</v>
      </c>
      <c r="AA996" s="15">
        <f t="shared" si="651"/>
        <v>22.170849845882874</v>
      </c>
      <c r="AB996" s="75">
        <f>AA996*(1-PARAM!$C$27)*$I$9+(MOD($B996,60)=PARAM!$B$56)*($B996&gt;(60-PARAM!$B$56))*HLOOKUP(($B996+PARAM!$B$56)/12,Loyalty,2)*$F$1*MAX(AD995,0)</f>
        <v>18.557001321003963</v>
      </c>
      <c r="AC996" s="75">
        <f>PARAM!$C$26+MAX($G$9-CHOOSE(PARAM!$B$44,MAX(0,AD995*$F$1),0),0)*RATES!$L972/12+$H$9*(PARAM!$D$51/12)*RATES!$N972/100</f>
        <v>1190.0416666666667</v>
      </c>
      <c r="AD996" s="16">
        <f t="shared" si="677"/>
        <v>-351508.5070774983</v>
      </c>
      <c r="AE996" s="15">
        <f t="shared" si="652"/>
        <v>22.170849845882874</v>
      </c>
      <c r="AF996" s="75">
        <f>AE996*(1-PARAM!$C$27)*$I$10+(MOD($B996,60)=PARAM!$B$56)*($B996&gt;(60-PARAM!$B$56))*HLOOKUP(($B996+PARAM!$B$56)/12,Loyalty,2)*$F$1*MAX(AH995,0)</f>
        <v>18.557001321003963</v>
      </c>
      <c r="AG996" s="75">
        <f>PARAM!$C$26+MAX($G$10-CHOOSE(PARAM!$B$44,MAX(0,AH995*$F$1),0),0)*RATES!$L972/12+$H$10*(PARAM!$D$51/12)*RATES!$N972/100</f>
        <v>1190.0416666666667</v>
      </c>
      <c r="AH996" s="16">
        <f t="shared" si="678"/>
        <v>-351508.5070774983</v>
      </c>
      <c r="AI996" s="15">
        <f t="shared" si="653"/>
        <v>22.170849845882874</v>
      </c>
      <c r="AJ996" s="75">
        <f>AI996*(1-PARAM!$C$27)*$I$11+(MOD($B996,60)=PARAM!$B$56)*($B996&gt;(60-PARAM!$B$56))*HLOOKUP(($B996+PARAM!$B$56)/12,Loyalty,2)*$F$1*MAX(AL995,0)</f>
        <v>18.557001321003963</v>
      </c>
      <c r="AK996" s="75">
        <f>PARAM!$C$26+MAX($G$11-CHOOSE(PARAM!$B$44,MAX(0,AL995*$F$1),0),0)*RATES!$L972/12+$H$11*(PARAM!$D$51/12)*RATES!$N972/100</f>
        <v>1190.0416666666667</v>
      </c>
      <c r="AL996" s="16">
        <f t="shared" si="679"/>
        <v>-351508.5070774983</v>
      </c>
      <c r="AM996" s="15">
        <f t="shared" si="654"/>
        <v>22.170849845882874</v>
      </c>
      <c r="AN996" s="75">
        <f>AM996*(1-PARAM!$C$27)*$I$12+(MOD($B996,60)=PARAM!$B$56)*($B996&gt;(60-PARAM!$B$56))*HLOOKUP(($B996+PARAM!$B$56)/12,Loyalty,2)*$F$1*MAX(AP995,0)</f>
        <v>18.557001321003963</v>
      </c>
      <c r="AO996" s="75">
        <f>PARAM!$C$26+MAX($G$12-CHOOSE(PARAM!$B$44,MAX(0,AP995*$F$1),0),0)*RATES!$L972/12+$H$12*(PARAM!$D$51/12)*RATES!$N972/100</f>
        <v>1190.0416666666667</v>
      </c>
      <c r="AP996" s="16">
        <f t="shared" si="680"/>
        <v>-351508.5070774983</v>
      </c>
      <c r="AQ996" s="15">
        <f t="shared" si="655"/>
        <v>22.170849845882874</v>
      </c>
      <c r="AR996" s="75">
        <f>AQ996*(1-PARAM!$C$27)*$I$13+(MOD($B996,60)=PARAM!$B$56)*($B996&gt;(60-PARAM!$B$56))*HLOOKUP(($B996+PARAM!$B$56)/12,Loyalty,2)*$F$1*MAX(AT995,0)</f>
        <v>18.557001321003963</v>
      </c>
      <c r="AS996" s="75">
        <f>PARAM!$C$26+MAX($G$13-CHOOSE(PARAM!$B$44,MAX(0,AT995*$F$1),0),0)*RATES!$L972/12+$H$13*(PARAM!$D$51/12)*RATES!$N972/100</f>
        <v>1190.0416666666667</v>
      </c>
      <c r="AT996" s="16">
        <f t="shared" si="681"/>
        <v>-351508.5070774983</v>
      </c>
      <c r="AU996" s="15">
        <f t="shared" si="656"/>
        <v>22.170849845882874</v>
      </c>
      <c r="AV996" s="75">
        <f>AU996*(1-PARAM!$C$27)*$I$14+(MOD($B996,60)=PARAM!$B$56)*($B996&gt;(60-PARAM!$B$56))*HLOOKUP(($B996+PARAM!$B$56)/12,Loyalty,2)*$F$1*MAX(AX995,0)</f>
        <v>18.557001321003963</v>
      </c>
      <c r="AW996" s="75">
        <f>PARAM!$C$26+MAX($G$14-CHOOSE(PARAM!$B$44,MAX(0,AX995*$F$1),0),0)*RATES!$L972/12+$H$14*(PARAM!$D$51/12)*RATES!$N972/100</f>
        <v>1190.0416666666667</v>
      </c>
      <c r="AX996" s="16">
        <f t="shared" si="682"/>
        <v>-351508.5070774983</v>
      </c>
      <c r="AY996" s="15">
        <f t="shared" si="657"/>
        <v>22.170849845882874</v>
      </c>
      <c r="AZ996" s="75">
        <f>AY996*(1-PARAM!$C$27)*$I$15+(MOD($B996,60)=PARAM!$B$56)*($B996&gt;(60-PARAM!$B$56))*HLOOKUP(($B996+PARAM!$B$56)/12,Loyalty,2)*$F$1*MAX(BB995,0)</f>
        <v>18.557001321003963</v>
      </c>
      <c r="BA996" s="75">
        <f>PARAM!$C$26+MAX($G$15-CHOOSE(PARAM!$B$44,MAX(0,BB995*$F$1),0),0)*RATES!$L972/12+$H$15*(PARAM!$D$51/12)*RATES!$N972/100</f>
        <v>1190.0416666666667</v>
      </c>
      <c r="BB996" s="16">
        <f t="shared" si="683"/>
        <v>-351508.5070774983</v>
      </c>
      <c r="BC996" s="15">
        <f t="shared" si="658"/>
        <v>22.170849845882874</v>
      </c>
      <c r="BD996" s="75">
        <f>BC996*(1-PARAM!$C$27)*$I$16+(MOD($B996,60)=PARAM!$B$56)*($B996&gt;(60-PARAM!$B$56))*HLOOKUP(($B996+PARAM!$B$56)/12,Loyalty,2)*$F$1*MAX(BF995,0)</f>
        <v>18.557001321003963</v>
      </c>
      <c r="BE996" s="75">
        <f>PARAM!$C$26+MAX($G$16-CHOOSE(PARAM!$B$44,MAX(0,BF995*$F$1),0),0)*RATES!$L972/12+$H$16*(PARAM!$D$51/12)*RATES!$N972/100</f>
        <v>1190.0416666666667</v>
      </c>
      <c r="BF996" s="16">
        <f t="shared" si="684"/>
        <v>-351508.5070774983</v>
      </c>
      <c r="BG996" s="15">
        <f t="shared" si="659"/>
        <v>22.170849845882874</v>
      </c>
      <c r="BH996" s="75">
        <f>BG996*(1-PARAM!$C$27)*$I$17+(MOD($B996,60)=PARAM!$B$56)*($B996&gt;(60-PARAM!$B$56))*HLOOKUP(($B996+PARAM!$B$56)/12,Loyalty,2)*$F$1*MAX(BJ995,0)</f>
        <v>18.557001321003963</v>
      </c>
      <c r="BI996" s="75">
        <f>PARAM!$C$26+MAX($G$17-CHOOSE(PARAM!$B$44,MAX(0,BJ995*$F$1),0),0)*RATES!$L972/12+$H$17*(PARAM!$D$51/12)*RATES!$N972/100</f>
        <v>1190.0416666666667</v>
      </c>
      <c r="BJ996" s="16">
        <f t="shared" si="685"/>
        <v>-351508.5070774983</v>
      </c>
      <c r="BK996" s="15">
        <f t="shared" si="660"/>
        <v>22.170849845882874</v>
      </c>
      <c r="BL996" s="75">
        <f>BK996*(1-PARAM!$C$27)*$I$18+(MOD($B996,60)=PARAM!$B$56)*($B996&gt;(60-PARAM!$B$56))*HLOOKUP(($B996+PARAM!$B$56)/12,Loyalty,2)*$F$1*MAX(BN995,0)</f>
        <v>18.557001321003963</v>
      </c>
      <c r="BM996" s="75">
        <f>PARAM!$C$26+MAX($G$18-CHOOSE(PARAM!$B$44,MAX(0,BN995*$F$1),0),0)*RATES!$L972/12+$H$18*(PARAM!$D$51/12)*RATES!$N972/100</f>
        <v>1190.0416666666667</v>
      </c>
      <c r="BN996" s="16">
        <f t="shared" si="686"/>
        <v>-351508.5070774983</v>
      </c>
      <c r="BO996" s="15">
        <f t="shared" si="661"/>
        <v>22.170849845882874</v>
      </c>
      <c r="BP996" s="75">
        <f>BO996*(1-PARAM!$C$27)*$I$19+(MOD($B996,60)=PARAM!$B$56)*($B996&gt;(60-PARAM!$B$56))*HLOOKUP(($B996+PARAM!$B$56)/12,Loyalty,2)*$F$1*MAX(BR995,0)</f>
        <v>18.557001321003963</v>
      </c>
      <c r="BQ996" s="75">
        <f>PARAM!$C$26+MAX($G$19-CHOOSE(PARAM!$B$44,MAX(0,BR995*$F$1),0),0)*RATES!$L972/12+$H$19*(PARAM!$D$51/12)*RATES!$N972/100</f>
        <v>1190.0416666666667</v>
      </c>
      <c r="BR996" s="16">
        <f t="shared" si="687"/>
        <v>-351508.5070774983</v>
      </c>
      <c r="BS996" s="15">
        <f t="shared" si="662"/>
        <v>22.170849845882874</v>
      </c>
      <c r="BT996" s="75">
        <f>BS996*(1-PARAM!$C$27)*$I$20+(MOD($B996,60)=PARAM!$B$56)*($B996&gt;(60-PARAM!$B$56))*HLOOKUP(($B996+PARAM!$B$56)/12,Loyalty,2)*$F$1*MAX(BV995,0)</f>
        <v>18.557001321003963</v>
      </c>
      <c r="BU996" s="75">
        <f>PARAM!$C$26+MAX($G$20-CHOOSE(PARAM!$B$44,MAX(0,BV995*$F$1),0),0)*RATES!$L972/12+$H$20*(PARAM!$D$51/12)*RATES!$N972/100</f>
        <v>1190.0416666666667</v>
      </c>
      <c r="BV996" s="16">
        <f t="shared" si="688"/>
        <v>-351508.5070774983</v>
      </c>
      <c r="BW996" s="15">
        <f t="shared" si="663"/>
        <v>22.170849845882874</v>
      </c>
      <c r="BX996" s="75">
        <f>BW996*(1-PARAM!$C$27)*$I$21+(MOD($B996,60)=PARAM!$B$56)*($B996&gt;(60-PARAM!$B$56))*HLOOKUP(($B996+PARAM!$B$56)/12,Loyalty,2)*$F$1*MAX(BZ995,0)</f>
        <v>18.557001321003963</v>
      </c>
      <c r="BY996" s="75">
        <f>PARAM!$C$26+MAX($G$21-CHOOSE(PARAM!$B$44,MAX(0,BZ995*$F$1),0),0)*RATES!$L972/12+$H$21*(PARAM!$D$51/12)*RATES!$N972/100</f>
        <v>1190.0416666666667</v>
      </c>
      <c r="BZ996" s="16">
        <f t="shared" si="689"/>
        <v>-351508.5070774983</v>
      </c>
      <c r="CA996" s="15">
        <f t="shared" si="664"/>
        <v>22.170849845882874</v>
      </c>
      <c r="CB996" s="75">
        <f>CA996*(1-PARAM!$C$27)*$I$22+(MOD($B996,60)=PARAM!$B$56)*($B996&gt;(60-PARAM!$B$56))*HLOOKUP(($B996+PARAM!$B$56)/12,Loyalty,2)*$F$1*MAX(CD995,0)</f>
        <v>18.557001321003963</v>
      </c>
      <c r="CC996" s="75">
        <f>PARAM!$C$26+MAX($G$22-CHOOSE(PARAM!$B$44,MAX(0,CD995*$F$1),0),0)*RATES!$L972/12+$H$22*(PARAM!$D$51/12)*RATES!$N972/100</f>
        <v>1190.0416666666667</v>
      </c>
      <c r="CD996" s="16">
        <f t="shared" si="690"/>
        <v>-351508.5070774983</v>
      </c>
      <c r="CE996" s="33">
        <f>IF(0=MOD(B996,12/PARAM!$D$51),1,0)</f>
        <v>1</v>
      </c>
      <c r="CF996" s="15">
        <f t="shared" si="665"/>
        <v>0</v>
      </c>
      <c r="CG996" s="75">
        <f>CF996*(1-PARAM!$C$27)*$R$3+(MOD($B996/12,5)=0)*($B996&gt;60)*HLOOKUP($B996/12,Loyalty,2)*$F$1*MAX(CI995,0)</f>
        <v>0</v>
      </c>
      <c r="CH996" s="75">
        <f>PARAM!$C$26+MAX($P$3-CHOOSE(PARAM!$B$44,MAX(0,CI995*$F$1),0),0)*RATES!$L972/12+$Q$3*(PARAM!$D$51/12)*RATES!$N972/100</f>
        <v>1190.0416666666667</v>
      </c>
      <c r="CI996" s="16">
        <f>IF(CI995&gt;0,CI995*PARAM!$C$53,CI995)+CG996-CH996</f>
        <v>-369370.66666666802</v>
      </c>
      <c r="CJ996" s="15">
        <f t="shared" si="691"/>
        <v>0</v>
      </c>
      <c r="CK996" s="75">
        <f>CJ996*(1-PARAM!$C$27)*$R$4+(MOD($B996/12,5)=0)*($B996&gt;60)*HLOOKUP($B996/12,Loyalty,2)*$F$1*MAX(CM995,0)</f>
        <v>0</v>
      </c>
      <c r="CL996" s="75">
        <f>PARAM!$C$26+MAX($P$4-CHOOSE(PARAM!$B$44,MAX(0,CM995*$F$1),0),0)*RATES!$L972/12+$Q$4*(PARAM!$D$51/12)*RATES!$N972/100</f>
        <v>1190.0416666666667</v>
      </c>
      <c r="CM996" s="16">
        <f>IF(CM995&gt;0,CM995*PARAM!$C$53,CM995)+CK996-CL996</f>
        <v>-369370.66666666802</v>
      </c>
      <c r="CO996" s="176"/>
    </row>
    <row r="997" spans="1:93" x14ac:dyDescent="0.2">
      <c r="A997" t="b">
        <f t="shared" si="666"/>
        <v>0</v>
      </c>
      <c r="B997" s="33">
        <v>970</v>
      </c>
      <c r="C997" s="15">
        <f t="shared" si="667"/>
        <v>20.081305947392778</v>
      </c>
      <c r="D997" s="75">
        <f>C997*(1-PARAM!$C$27)*$I$3+(MOD($B997,60)=PARAM!$B$56)*($B997&gt;(60-PARAM!$B$56))*HLOOKUP(($B997+PARAM!$B$56)/12,Loyalty,2)*$F$1*MAX(F996,0)</f>
        <v>16.808053077967756</v>
      </c>
      <c r="E997" s="75">
        <f>PARAM!$C$26+MAX($G$3-CHOOSE(PARAM!$B$44,MAX(0,F996*$F$1),0),0)*RATES!$L973/12+$H$3*(PARAM!$D$51/12)*RATES!$N973/100</f>
        <v>1190.0416666666667</v>
      </c>
      <c r="F997" s="16">
        <f t="shared" si="668"/>
        <v>-354413.3220391114</v>
      </c>
      <c r="G997" s="15">
        <f t="shared" si="669"/>
        <v>22.035289406060361</v>
      </c>
      <c r="H997" s="75">
        <f>G997*(1-PARAM!$C$27)*$I$4+(MOD($B997,60)=PARAM!$B$56)*($B997&gt;(60-PARAM!$B$56))*HLOOKUP(($B997+PARAM!$B$56)/12,Loyalty,2)*$F$1*MAX(J996,0)</f>
        <v>18.443537232872522</v>
      </c>
      <c r="I997" s="75">
        <f>PARAM!$C$26+MAX($G$4-CHOOSE(PARAM!$B$44,MAX(0,J996*$F$1),0),0)*RATES!$L973/12+$H$4*(PARAM!$D$51/12)*RATES!$N973/100</f>
        <v>1190.0416666666667</v>
      </c>
      <c r="J997" s="16">
        <f t="shared" si="670"/>
        <v>-352793.06944472942</v>
      </c>
      <c r="K997" s="15">
        <f t="shared" si="671"/>
        <v>22.170849845882874</v>
      </c>
      <c r="L997" s="75">
        <f>K997*(1-PARAM!$C$27)*$I$5+(MOD($B997,60)=PARAM!$B$56)*($B997&gt;(60-PARAM!$B$56))*HLOOKUP(($B997+PARAM!$B$56)/12,Loyalty,2)*$F$1*MAX(N996,0)</f>
        <v>18.557001321003963</v>
      </c>
      <c r="M997" s="75">
        <f>PARAM!$C$26+MAX($G$5-CHOOSE(PARAM!$B$44,MAX(0,N996*$F$1),0),0)*RATES!$L973/12+$H$5*(PARAM!$D$51/12)*RATES!$N973/100</f>
        <v>1190.0416666666667</v>
      </c>
      <c r="N997" s="16">
        <f t="shared" si="672"/>
        <v>-352679.99174284399</v>
      </c>
      <c r="O997" s="15">
        <f t="shared" si="673"/>
        <v>22.170849845882874</v>
      </c>
      <c r="P997" s="75">
        <f>O997*(1-PARAM!$C$27)*$I$6+(MOD($B997,60)=PARAM!$B$56)*($B997&gt;(60-PARAM!$B$56))*HLOOKUP(($B997+PARAM!$B$56)/12,Loyalty,2)*$F$1*MAX(R996,0)</f>
        <v>18.557001321003963</v>
      </c>
      <c r="Q997" s="75">
        <f>PARAM!$C$26+MAX($G$6-CHOOSE(PARAM!$B$44,MAX(0,R996*$F$1),0),0)*RATES!$L973/12+$H$6*(PARAM!$D$51/12)*RATES!$N973/100</f>
        <v>1190.0416666666667</v>
      </c>
      <c r="R997" s="16">
        <f t="shared" si="674"/>
        <v>-352679.99174284399</v>
      </c>
      <c r="S997" s="15">
        <f t="shared" si="649"/>
        <v>22.170849845882874</v>
      </c>
      <c r="T997" s="75">
        <f>S997*(1-PARAM!$C$27)*$I$7+(MOD($B997,60)=PARAM!$B$56)*($B997&gt;(60-PARAM!$B$56))*HLOOKUP(($B997+PARAM!$B$56)/12,Loyalty,2)*$F$1*MAX(V996,0)</f>
        <v>18.557001321003963</v>
      </c>
      <c r="U997" s="75">
        <f>PARAM!$C$26+MAX($G$7-CHOOSE(PARAM!$B$44,MAX(0,V996*$F$1),0),0)*RATES!$L973/12+$H$7*(PARAM!$D$51/12)*RATES!$N973/100</f>
        <v>1190.0416666666667</v>
      </c>
      <c r="V997" s="16">
        <f t="shared" si="675"/>
        <v>-352679.99174284399</v>
      </c>
      <c r="W997" s="15">
        <f t="shared" si="650"/>
        <v>22.170849845882874</v>
      </c>
      <c r="X997" s="75">
        <f>W997*(1-PARAM!$C$27)*$I$8+(MOD($B997,60)=PARAM!$B$56)*($B997&gt;(60-PARAM!$B$56))*HLOOKUP(($B997+PARAM!$B$56)/12,Loyalty,2)*$F$1*MAX(Z996,0)</f>
        <v>18.557001321003963</v>
      </c>
      <c r="Y997" s="75">
        <f>PARAM!$C$26+MAX($G$8-CHOOSE(PARAM!$B$44,MAX(0,Z996*$F$1),0),0)*RATES!$L973/12+$H$8*(PARAM!$D$51/12)*RATES!$N973/100</f>
        <v>1190.0416666666667</v>
      </c>
      <c r="Z997" s="16">
        <f t="shared" si="676"/>
        <v>-352679.99174284399</v>
      </c>
      <c r="AA997" s="15">
        <f t="shared" si="651"/>
        <v>22.170849845882874</v>
      </c>
      <c r="AB997" s="75">
        <f>AA997*(1-PARAM!$C$27)*$I$9+(MOD($B997,60)=PARAM!$B$56)*($B997&gt;(60-PARAM!$B$56))*HLOOKUP(($B997+PARAM!$B$56)/12,Loyalty,2)*$F$1*MAX(AD996,0)</f>
        <v>18.557001321003963</v>
      </c>
      <c r="AC997" s="75">
        <f>PARAM!$C$26+MAX($G$9-CHOOSE(PARAM!$B$44,MAX(0,AD996*$F$1),0),0)*RATES!$L973/12+$H$9*(PARAM!$D$51/12)*RATES!$N973/100</f>
        <v>1190.0416666666667</v>
      </c>
      <c r="AD997" s="16">
        <f t="shared" si="677"/>
        <v>-352679.99174284399</v>
      </c>
      <c r="AE997" s="15">
        <f t="shared" si="652"/>
        <v>22.170849845882874</v>
      </c>
      <c r="AF997" s="75">
        <f>AE997*(1-PARAM!$C$27)*$I$10+(MOD($B997,60)=PARAM!$B$56)*($B997&gt;(60-PARAM!$B$56))*HLOOKUP(($B997+PARAM!$B$56)/12,Loyalty,2)*$F$1*MAX(AH996,0)</f>
        <v>18.557001321003963</v>
      </c>
      <c r="AG997" s="75">
        <f>PARAM!$C$26+MAX($G$10-CHOOSE(PARAM!$B$44,MAX(0,AH996*$F$1),0),0)*RATES!$L973/12+$H$10*(PARAM!$D$51/12)*RATES!$N973/100</f>
        <v>1190.0416666666667</v>
      </c>
      <c r="AH997" s="16">
        <f t="shared" si="678"/>
        <v>-352679.99174284399</v>
      </c>
      <c r="AI997" s="15">
        <f t="shared" si="653"/>
        <v>22.170849845882874</v>
      </c>
      <c r="AJ997" s="75">
        <f>AI997*(1-PARAM!$C$27)*$I$11+(MOD($B997,60)=PARAM!$B$56)*($B997&gt;(60-PARAM!$B$56))*HLOOKUP(($B997+PARAM!$B$56)/12,Loyalty,2)*$F$1*MAX(AL996,0)</f>
        <v>18.557001321003963</v>
      </c>
      <c r="AK997" s="75">
        <f>PARAM!$C$26+MAX($G$11-CHOOSE(PARAM!$B$44,MAX(0,AL996*$F$1),0),0)*RATES!$L973/12+$H$11*(PARAM!$D$51/12)*RATES!$N973/100</f>
        <v>1190.0416666666667</v>
      </c>
      <c r="AL997" s="16">
        <f t="shared" si="679"/>
        <v>-352679.99174284399</v>
      </c>
      <c r="AM997" s="15">
        <f t="shared" si="654"/>
        <v>22.170849845882874</v>
      </c>
      <c r="AN997" s="75">
        <f>AM997*(1-PARAM!$C$27)*$I$12+(MOD($B997,60)=PARAM!$B$56)*($B997&gt;(60-PARAM!$B$56))*HLOOKUP(($B997+PARAM!$B$56)/12,Loyalty,2)*$F$1*MAX(AP996,0)</f>
        <v>18.557001321003963</v>
      </c>
      <c r="AO997" s="75">
        <f>PARAM!$C$26+MAX($G$12-CHOOSE(PARAM!$B$44,MAX(0,AP996*$F$1),0),0)*RATES!$L973/12+$H$12*(PARAM!$D$51/12)*RATES!$N973/100</f>
        <v>1190.0416666666667</v>
      </c>
      <c r="AP997" s="16">
        <f t="shared" si="680"/>
        <v>-352679.99174284399</v>
      </c>
      <c r="AQ997" s="15">
        <f t="shared" si="655"/>
        <v>22.170849845882874</v>
      </c>
      <c r="AR997" s="75">
        <f>AQ997*(1-PARAM!$C$27)*$I$13+(MOD($B997,60)=PARAM!$B$56)*($B997&gt;(60-PARAM!$B$56))*HLOOKUP(($B997+PARAM!$B$56)/12,Loyalty,2)*$F$1*MAX(AT996,0)</f>
        <v>18.557001321003963</v>
      </c>
      <c r="AS997" s="75">
        <f>PARAM!$C$26+MAX($G$13-CHOOSE(PARAM!$B$44,MAX(0,AT996*$F$1),0),0)*RATES!$L973/12+$H$13*(PARAM!$D$51/12)*RATES!$N973/100</f>
        <v>1190.0416666666667</v>
      </c>
      <c r="AT997" s="16">
        <f t="shared" si="681"/>
        <v>-352679.99174284399</v>
      </c>
      <c r="AU997" s="15">
        <f t="shared" si="656"/>
        <v>22.170849845882874</v>
      </c>
      <c r="AV997" s="75">
        <f>AU997*(1-PARAM!$C$27)*$I$14+(MOD($B997,60)=PARAM!$B$56)*($B997&gt;(60-PARAM!$B$56))*HLOOKUP(($B997+PARAM!$B$56)/12,Loyalty,2)*$F$1*MAX(AX996,0)</f>
        <v>18.557001321003963</v>
      </c>
      <c r="AW997" s="75">
        <f>PARAM!$C$26+MAX($G$14-CHOOSE(PARAM!$B$44,MAX(0,AX996*$F$1),0),0)*RATES!$L973/12+$H$14*(PARAM!$D$51/12)*RATES!$N973/100</f>
        <v>1190.0416666666667</v>
      </c>
      <c r="AX997" s="16">
        <f t="shared" si="682"/>
        <v>-352679.99174284399</v>
      </c>
      <c r="AY997" s="15">
        <f t="shared" si="657"/>
        <v>22.170849845882874</v>
      </c>
      <c r="AZ997" s="75">
        <f>AY997*(1-PARAM!$C$27)*$I$15+(MOD($B997,60)=PARAM!$B$56)*($B997&gt;(60-PARAM!$B$56))*HLOOKUP(($B997+PARAM!$B$56)/12,Loyalty,2)*$F$1*MAX(BB996,0)</f>
        <v>18.557001321003963</v>
      </c>
      <c r="BA997" s="75">
        <f>PARAM!$C$26+MAX($G$15-CHOOSE(PARAM!$B$44,MAX(0,BB996*$F$1),0),0)*RATES!$L973/12+$H$15*(PARAM!$D$51/12)*RATES!$N973/100</f>
        <v>1190.0416666666667</v>
      </c>
      <c r="BB997" s="16">
        <f t="shared" si="683"/>
        <v>-352679.99174284399</v>
      </c>
      <c r="BC997" s="15">
        <f t="shared" si="658"/>
        <v>22.170849845882874</v>
      </c>
      <c r="BD997" s="75">
        <f>BC997*(1-PARAM!$C$27)*$I$16+(MOD($B997,60)=PARAM!$B$56)*($B997&gt;(60-PARAM!$B$56))*HLOOKUP(($B997+PARAM!$B$56)/12,Loyalty,2)*$F$1*MAX(BF996,0)</f>
        <v>18.557001321003963</v>
      </c>
      <c r="BE997" s="75">
        <f>PARAM!$C$26+MAX($G$16-CHOOSE(PARAM!$B$44,MAX(0,BF996*$F$1),0),0)*RATES!$L973/12+$H$16*(PARAM!$D$51/12)*RATES!$N973/100</f>
        <v>1190.0416666666667</v>
      </c>
      <c r="BF997" s="16">
        <f t="shared" si="684"/>
        <v>-352679.99174284399</v>
      </c>
      <c r="BG997" s="15">
        <f t="shared" si="659"/>
        <v>22.170849845882874</v>
      </c>
      <c r="BH997" s="75">
        <f>BG997*(1-PARAM!$C$27)*$I$17+(MOD($B997,60)=PARAM!$B$56)*($B997&gt;(60-PARAM!$B$56))*HLOOKUP(($B997+PARAM!$B$56)/12,Loyalty,2)*$F$1*MAX(BJ996,0)</f>
        <v>18.557001321003963</v>
      </c>
      <c r="BI997" s="75">
        <f>PARAM!$C$26+MAX($G$17-CHOOSE(PARAM!$B$44,MAX(0,BJ996*$F$1),0),0)*RATES!$L973/12+$H$17*(PARAM!$D$51/12)*RATES!$N973/100</f>
        <v>1190.0416666666667</v>
      </c>
      <c r="BJ997" s="16">
        <f t="shared" si="685"/>
        <v>-352679.99174284399</v>
      </c>
      <c r="BK997" s="15">
        <f t="shared" si="660"/>
        <v>22.170849845882874</v>
      </c>
      <c r="BL997" s="75">
        <f>BK997*(1-PARAM!$C$27)*$I$18+(MOD($B997,60)=PARAM!$B$56)*($B997&gt;(60-PARAM!$B$56))*HLOOKUP(($B997+PARAM!$B$56)/12,Loyalty,2)*$F$1*MAX(BN996,0)</f>
        <v>18.557001321003963</v>
      </c>
      <c r="BM997" s="75">
        <f>PARAM!$C$26+MAX($G$18-CHOOSE(PARAM!$B$44,MAX(0,BN996*$F$1),0),0)*RATES!$L973/12+$H$18*(PARAM!$D$51/12)*RATES!$N973/100</f>
        <v>1190.0416666666667</v>
      </c>
      <c r="BN997" s="16">
        <f t="shared" si="686"/>
        <v>-352679.99174284399</v>
      </c>
      <c r="BO997" s="15">
        <f t="shared" si="661"/>
        <v>22.170849845882874</v>
      </c>
      <c r="BP997" s="75">
        <f>BO997*(1-PARAM!$C$27)*$I$19+(MOD($B997,60)=PARAM!$B$56)*($B997&gt;(60-PARAM!$B$56))*HLOOKUP(($B997+PARAM!$B$56)/12,Loyalty,2)*$F$1*MAX(BR996,0)</f>
        <v>18.557001321003963</v>
      </c>
      <c r="BQ997" s="75">
        <f>PARAM!$C$26+MAX($G$19-CHOOSE(PARAM!$B$44,MAX(0,BR996*$F$1),0),0)*RATES!$L973/12+$H$19*(PARAM!$D$51/12)*RATES!$N973/100</f>
        <v>1190.0416666666667</v>
      </c>
      <c r="BR997" s="16">
        <f t="shared" si="687"/>
        <v>-352679.99174284399</v>
      </c>
      <c r="BS997" s="15">
        <f t="shared" si="662"/>
        <v>22.170849845882874</v>
      </c>
      <c r="BT997" s="75">
        <f>BS997*(1-PARAM!$C$27)*$I$20+(MOD($B997,60)=PARAM!$B$56)*($B997&gt;(60-PARAM!$B$56))*HLOOKUP(($B997+PARAM!$B$56)/12,Loyalty,2)*$F$1*MAX(BV996,0)</f>
        <v>18.557001321003963</v>
      </c>
      <c r="BU997" s="75">
        <f>PARAM!$C$26+MAX($G$20-CHOOSE(PARAM!$B$44,MAX(0,BV996*$F$1),0),0)*RATES!$L973/12+$H$20*(PARAM!$D$51/12)*RATES!$N973/100</f>
        <v>1190.0416666666667</v>
      </c>
      <c r="BV997" s="16">
        <f t="shared" si="688"/>
        <v>-352679.99174284399</v>
      </c>
      <c r="BW997" s="15">
        <f t="shared" si="663"/>
        <v>22.170849845882874</v>
      </c>
      <c r="BX997" s="75">
        <f>BW997*(1-PARAM!$C$27)*$I$21+(MOD($B997,60)=PARAM!$B$56)*($B997&gt;(60-PARAM!$B$56))*HLOOKUP(($B997+PARAM!$B$56)/12,Loyalty,2)*$F$1*MAX(BZ996,0)</f>
        <v>18.557001321003963</v>
      </c>
      <c r="BY997" s="75">
        <f>PARAM!$C$26+MAX($G$21-CHOOSE(PARAM!$B$44,MAX(0,BZ996*$F$1),0),0)*RATES!$L973/12+$H$21*(PARAM!$D$51/12)*RATES!$N973/100</f>
        <v>1190.0416666666667</v>
      </c>
      <c r="BZ997" s="16">
        <f t="shared" si="689"/>
        <v>-352679.99174284399</v>
      </c>
      <c r="CA997" s="15">
        <f t="shared" si="664"/>
        <v>22.170849845882874</v>
      </c>
      <c r="CB997" s="75">
        <f>CA997*(1-PARAM!$C$27)*$I$22+(MOD($B997,60)=PARAM!$B$56)*($B997&gt;(60-PARAM!$B$56))*HLOOKUP(($B997+PARAM!$B$56)/12,Loyalty,2)*$F$1*MAX(CD996,0)</f>
        <v>18.557001321003963</v>
      </c>
      <c r="CC997" s="75">
        <f>PARAM!$C$26+MAX($G$22-CHOOSE(PARAM!$B$44,MAX(0,CD996*$F$1),0),0)*RATES!$L973/12+$H$22*(PARAM!$D$51/12)*RATES!$N973/100</f>
        <v>1190.0416666666667</v>
      </c>
      <c r="CD997" s="16">
        <f t="shared" si="690"/>
        <v>-352679.99174284399</v>
      </c>
      <c r="CE997" s="33">
        <f>IF(0=MOD(B997,12/PARAM!$D$51),1,0)</f>
        <v>1</v>
      </c>
      <c r="CF997" s="15">
        <f t="shared" si="665"/>
        <v>0</v>
      </c>
      <c r="CG997" s="75">
        <f>CF997*(1-PARAM!$C$27)*$R$3+(MOD($B997/12,5)=0)*($B997&gt;60)*HLOOKUP($B997/12,Loyalty,2)*$F$1*MAX(CI996,0)</f>
        <v>0</v>
      </c>
      <c r="CH997" s="75">
        <f>PARAM!$C$26+MAX($P$3-CHOOSE(PARAM!$B$44,MAX(0,CI996*$F$1),0),0)*RATES!$L973/12+$Q$3*(PARAM!$D$51/12)*RATES!$N973/100</f>
        <v>1190.0416666666667</v>
      </c>
      <c r="CI997" s="16">
        <f>IF(CI996&gt;0,CI996*PARAM!$C$53,CI996)+CG997-CH997</f>
        <v>-370560.70833333471</v>
      </c>
      <c r="CJ997" s="15">
        <f t="shared" si="691"/>
        <v>0</v>
      </c>
      <c r="CK997" s="75">
        <f>CJ997*(1-PARAM!$C$27)*$R$4+(MOD($B997/12,5)=0)*($B997&gt;60)*HLOOKUP($B997/12,Loyalty,2)*$F$1*MAX(CM996,0)</f>
        <v>0</v>
      </c>
      <c r="CL997" s="75">
        <f>PARAM!$C$26+MAX($P$4-CHOOSE(PARAM!$B$44,MAX(0,CM996*$F$1),0),0)*RATES!$L973/12+$Q$4*(PARAM!$D$51/12)*RATES!$N973/100</f>
        <v>1190.0416666666667</v>
      </c>
      <c r="CM997" s="16">
        <f>IF(CM996&gt;0,CM996*PARAM!$C$53,CM996)+CK997-CL997</f>
        <v>-370560.70833333471</v>
      </c>
      <c r="CO997" s="176"/>
    </row>
    <row r="998" spans="1:93" x14ac:dyDescent="0.2">
      <c r="A998" t="b">
        <f t="shared" si="666"/>
        <v>0</v>
      </c>
      <c r="B998" s="33">
        <v>971</v>
      </c>
      <c r="C998" s="15">
        <f t="shared" si="667"/>
        <v>20.081305947392778</v>
      </c>
      <c r="D998" s="75">
        <f>C998*(1-PARAM!$C$27)*$I$3+(MOD($B998,60)=PARAM!$B$56)*($B998&gt;(60-PARAM!$B$56))*HLOOKUP(($B998+PARAM!$B$56)/12,Loyalty,2)*$F$1*MAX(F997,0)</f>
        <v>16.808053077967756</v>
      </c>
      <c r="E998" s="75">
        <f>PARAM!$C$26+MAX($G$3-CHOOSE(PARAM!$B$44,MAX(0,F997*$F$1),0),0)*RATES!$L974/12+$H$3*(PARAM!$D$51/12)*RATES!$N974/100</f>
        <v>1190.0416666666667</v>
      </c>
      <c r="F998" s="16">
        <f t="shared" si="668"/>
        <v>-355586.55565270013</v>
      </c>
      <c r="G998" s="15">
        <f t="shared" si="669"/>
        <v>22.035289406060361</v>
      </c>
      <c r="H998" s="75">
        <f>G998*(1-PARAM!$C$27)*$I$4+(MOD($B998,60)=PARAM!$B$56)*($B998&gt;(60-PARAM!$B$56))*HLOOKUP(($B998+PARAM!$B$56)/12,Loyalty,2)*$F$1*MAX(J997,0)</f>
        <v>18.443537232872522</v>
      </c>
      <c r="I998" s="75">
        <f>PARAM!$C$26+MAX($G$4-CHOOSE(PARAM!$B$44,MAX(0,J997*$F$1),0),0)*RATES!$L974/12+$H$4*(PARAM!$D$51/12)*RATES!$N974/100</f>
        <v>1190.0416666666667</v>
      </c>
      <c r="J998" s="16">
        <f t="shared" si="670"/>
        <v>-353964.66757416324</v>
      </c>
      <c r="K998" s="15">
        <f t="shared" si="671"/>
        <v>22.170849845882874</v>
      </c>
      <c r="L998" s="75">
        <f>K998*(1-PARAM!$C$27)*$I$5+(MOD($B998,60)=PARAM!$B$56)*($B998&gt;(60-PARAM!$B$56))*HLOOKUP(($B998+PARAM!$B$56)/12,Loyalty,2)*$F$1*MAX(N997,0)</f>
        <v>18.557001321003963</v>
      </c>
      <c r="M998" s="75">
        <f>PARAM!$C$26+MAX($G$5-CHOOSE(PARAM!$B$44,MAX(0,N997*$F$1),0),0)*RATES!$L974/12+$H$5*(PARAM!$D$51/12)*RATES!$N974/100</f>
        <v>1190.0416666666667</v>
      </c>
      <c r="N998" s="16">
        <f t="shared" si="672"/>
        <v>-353851.47640818969</v>
      </c>
      <c r="O998" s="15">
        <f t="shared" si="673"/>
        <v>22.170849845882874</v>
      </c>
      <c r="P998" s="75">
        <f>O998*(1-PARAM!$C$27)*$I$6+(MOD($B998,60)=PARAM!$B$56)*($B998&gt;(60-PARAM!$B$56))*HLOOKUP(($B998+PARAM!$B$56)/12,Loyalty,2)*$F$1*MAX(R997,0)</f>
        <v>18.557001321003963</v>
      </c>
      <c r="Q998" s="75">
        <f>PARAM!$C$26+MAX($G$6-CHOOSE(PARAM!$B$44,MAX(0,R997*$F$1),0),0)*RATES!$L974/12+$H$6*(PARAM!$D$51/12)*RATES!$N974/100</f>
        <v>1190.0416666666667</v>
      </c>
      <c r="R998" s="16">
        <f t="shared" si="674"/>
        <v>-353851.47640818969</v>
      </c>
      <c r="S998" s="15">
        <f t="shared" si="649"/>
        <v>22.170849845882874</v>
      </c>
      <c r="T998" s="75">
        <f>S998*(1-PARAM!$C$27)*$I$7+(MOD($B998,60)=PARAM!$B$56)*($B998&gt;(60-PARAM!$B$56))*HLOOKUP(($B998+PARAM!$B$56)/12,Loyalty,2)*$F$1*MAX(V997,0)</f>
        <v>18.557001321003963</v>
      </c>
      <c r="U998" s="75">
        <f>PARAM!$C$26+MAX($G$7-CHOOSE(PARAM!$B$44,MAX(0,V997*$F$1),0),0)*RATES!$L974/12+$H$7*(PARAM!$D$51/12)*RATES!$N974/100</f>
        <v>1190.0416666666667</v>
      </c>
      <c r="V998" s="16">
        <f t="shared" si="675"/>
        <v>-353851.47640818969</v>
      </c>
      <c r="W998" s="15">
        <f t="shared" si="650"/>
        <v>22.170849845882874</v>
      </c>
      <c r="X998" s="75">
        <f>W998*(1-PARAM!$C$27)*$I$8+(MOD($B998,60)=PARAM!$B$56)*($B998&gt;(60-PARAM!$B$56))*HLOOKUP(($B998+PARAM!$B$56)/12,Loyalty,2)*$F$1*MAX(Z997,0)</f>
        <v>18.557001321003963</v>
      </c>
      <c r="Y998" s="75">
        <f>PARAM!$C$26+MAX($G$8-CHOOSE(PARAM!$B$44,MAX(0,Z997*$F$1),0),0)*RATES!$L974/12+$H$8*(PARAM!$D$51/12)*RATES!$N974/100</f>
        <v>1190.0416666666667</v>
      </c>
      <c r="Z998" s="16">
        <f t="shared" si="676"/>
        <v>-353851.47640818969</v>
      </c>
      <c r="AA998" s="15">
        <f t="shared" si="651"/>
        <v>22.170849845882874</v>
      </c>
      <c r="AB998" s="75">
        <f>AA998*(1-PARAM!$C$27)*$I$9+(MOD($B998,60)=PARAM!$B$56)*($B998&gt;(60-PARAM!$B$56))*HLOOKUP(($B998+PARAM!$B$56)/12,Loyalty,2)*$F$1*MAX(AD997,0)</f>
        <v>18.557001321003963</v>
      </c>
      <c r="AC998" s="75">
        <f>PARAM!$C$26+MAX($G$9-CHOOSE(PARAM!$B$44,MAX(0,AD997*$F$1),0),0)*RATES!$L974/12+$H$9*(PARAM!$D$51/12)*RATES!$N974/100</f>
        <v>1190.0416666666667</v>
      </c>
      <c r="AD998" s="16">
        <f t="shared" si="677"/>
        <v>-353851.47640818969</v>
      </c>
      <c r="AE998" s="15">
        <f t="shared" si="652"/>
        <v>22.170849845882874</v>
      </c>
      <c r="AF998" s="75">
        <f>AE998*(1-PARAM!$C$27)*$I$10+(MOD($B998,60)=PARAM!$B$56)*($B998&gt;(60-PARAM!$B$56))*HLOOKUP(($B998+PARAM!$B$56)/12,Loyalty,2)*$F$1*MAX(AH997,0)</f>
        <v>18.557001321003963</v>
      </c>
      <c r="AG998" s="75">
        <f>PARAM!$C$26+MAX($G$10-CHOOSE(PARAM!$B$44,MAX(0,AH997*$F$1),0),0)*RATES!$L974/12+$H$10*(PARAM!$D$51/12)*RATES!$N974/100</f>
        <v>1190.0416666666667</v>
      </c>
      <c r="AH998" s="16">
        <f t="shared" si="678"/>
        <v>-353851.47640818969</v>
      </c>
      <c r="AI998" s="15">
        <f t="shared" si="653"/>
        <v>22.170849845882874</v>
      </c>
      <c r="AJ998" s="75">
        <f>AI998*(1-PARAM!$C$27)*$I$11+(MOD($B998,60)=PARAM!$B$56)*($B998&gt;(60-PARAM!$B$56))*HLOOKUP(($B998+PARAM!$B$56)/12,Loyalty,2)*$F$1*MAX(AL997,0)</f>
        <v>18.557001321003963</v>
      </c>
      <c r="AK998" s="75">
        <f>PARAM!$C$26+MAX($G$11-CHOOSE(PARAM!$B$44,MAX(0,AL997*$F$1),0),0)*RATES!$L974/12+$H$11*(PARAM!$D$51/12)*RATES!$N974/100</f>
        <v>1190.0416666666667</v>
      </c>
      <c r="AL998" s="16">
        <f t="shared" si="679"/>
        <v>-353851.47640818969</v>
      </c>
      <c r="AM998" s="15">
        <f t="shared" si="654"/>
        <v>22.170849845882874</v>
      </c>
      <c r="AN998" s="75">
        <f>AM998*(1-PARAM!$C$27)*$I$12+(MOD($B998,60)=PARAM!$B$56)*($B998&gt;(60-PARAM!$B$56))*HLOOKUP(($B998+PARAM!$B$56)/12,Loyalty,2)*$F$1*MAX(AP997,0)</f>
        <v>18.557001321003963</v>
      </c>
      <c r="AO998" s="75">
        <f>PARAM!$C$26+MAX($G$12-CHOOSE(PARAM!$B$44,MAX(0,AP997*$F$1),0),0)*RATES!$L974/12+$H$12*(PARAM!$D$51/12)*RATES!$N974/100</f>
        <v>1190.0416666666667</v>
      </c>
      <c r="AP998" s="16">
        <f t="shared" si="680"/>
        <v>-353851.47640818969</v>
      </c>
      <c r="AQ998" s="15">
        <f t="shared" si="655"/>
        <v>22.170849845882874</v>
      </c>
      <c r="AR998" s="75">
        <f>AQ998*(1-PARAM!$C$27)*$I$13+(MOD($B998,60)=PARAM!$B$56)*($B998&gt;(60-PARAM!$B$56))*HLOOKUP(($B998+PARAM!$B$56)/12,Loyalty,2)*$F$1*MAX(AT997,0)</f>
        <v>18.557001321003963</v>
      </c>
      <c r="AS998" s="75">
        <f>PARAM!$C$26+MAX($G$13-CHOOSE(PARAM!$B$44,MAX(0,AT997*$F$1),0),0)*RATES!$L974/12+$H$13*(PARAM!$D$51/12)*RATES!$N974/100</f>
        <v>1190.0416666666667</v>
      </c>
      <c r="AT998" s="16">
        <f t="shared" si="681"/>
        <v>-353851.47640818969</v>
      </c>
      <c r="AU998" s="15">
        <f t="shared" si="656"/>
        <v>22.170849845882874</v>
      </c>
      <c r="AV998" s="75">
        <f>AU998*(1-PARAM!$C$27)*$I$14+(MOD($B998,60)=PARAM!$B$56)*($B998&gt;(60-PARAM!$B$56))*HLOOKUP(($B998+PARAM!$B$56)/12,Loyalty,2)*$F$1*MAX(AX997,0)</f>
        <v>18.557001321003963</v>
      </c>
      <c r="AW998" s="75">
        <f>PARAM!$C$26+MAX($G$14-CHOOSE(PARAM!$B$44,MAX(0,AX997*$F$1),0),0)*RATES!$L974/12+$H$14*(PARAM!$D$51/12)*RATES!$N974/100</f>
        <v>1190.0416666666667</v>
      </c>
      <c r="AX998" s="16">
        <f t="shared" si="682"/>
        <v>-353851.47640818969</v>
      </c>
      <c r="AY998" s="15">
        <f t="shared" si="657"/>
        <v>22.170849845882874</v>
      </c>
      <c r="AZ998" s="75">
        <f>AY998*(1-PARAM!$C$27)*$I$15+(MOD($B998,60)=PARAM!$B$56)*($B998&gt;(60-PARAM!$B$56))*HLOOKUP(($B998+PARAM!$B$56)/12,Loyalty,2)*$F$1*MAX(BB997,0)</f>
        <v>18.557001321003963</v>
      </c>
      <c r="BA998" s="75">
        <f>PARAM!$C$26+MAX($G$15-CHOOSE(PARAM!$B$44,MAX(0,BB997*$F$1),0),0)*RATES!$L974/12+$H$15*(PARAM!$D$51/12)*RATES!$N974/100</f>
        <v>1190.0416666666667</v>
      </c>
      <c r="BB998" s="16">
        <f t="shared" si="683"/>
        <v>-353851.47640818969</v>
      </c>
      <c r="BC998" s="15">
        <f t="shared" si="658"/>
        <v>22.170849845882874</v>
      </c>
      <c r="BD998" s="75">
        <f>BC998*(1-PARAM!$C$27)*$I$16+(MOD($B998,60)=PARAM!$B$56)*($B998&gt;(60-PARAM!$B$56))*HLOOKUP(($B998+PARAM!$B$56)/12,Loyalty,2)*$F$1*MAX(BF997,0)</f>
        <v>18.557001321003963</v>
      </c>
      <c r="BE998" s="75">
        <f>PARAM!$C$26+MAX($G$16-CHOOSE(PARAM!$B$44,MAX(0,BF997*$F$1),0),0)*RATES!$L974/12+$H$16*(PARAM!$D$51/12)*RATES!$N974/100</f>
        <v>1190.0416666666667</v>
      </c>
      <c r="BF998" s="16">
        <f t="shared" si="684"/>
        <v>-353851.47640818969</v>
      </c>
      <c r="BG998" s="15">
        <f t="shared" si="659"/>
        <v>22.170849845882874</v>
      </c>
      <c r="BH998" s="75">
        <f>BG998*(1-PARAM!$C$27)*$I$17+(MOD($B998,60)=PARAM!$B$56)*($B998&gt;(60-PARAM!$B$56))*HLOOKUP(($B998+PARAM!$B$56)/12,Loyalty,2)*$F$1*MAX(BJ997,0)</f>
        <v>18.557001321003963</v>
      </c>
      <c r="BI998" s="75">
        <f>PARAM!$C$26+MAX($G$17-CHOOSE(PARAM!$B$44,MAX(0,BJ997*$F$1),0),0)*RATES!$L974/12+$H$17*(PARAM!$D$51/12)*RATES!$N974/100</f>
        <v>1190.0416666666667</v>
      </c>
      <c r="BJ998" s="16">
        <f t="shared" si="685"/>
        <v>-353851.47640818969</v>
      </c>
      <c r="BK998" s="15">
        <f t="shared" si="660"/>
        <v>22.170849845882874</v>
      </c>
      <c r="BL998" s="75">
        <f>BK998*(1-PARAM!$C$27)*$I$18+(MOD($B998,60)=PARAM!$B$56)*($B998&gt;(60-PARAM!$B$56))*HLOOKUP(($B998+PARAM!$B$56)/12,Loyalty,2)*$F$1*MAX(BN997,0)</f>
        <v>18.557001321003963</v>
      </c>
      <c r="BM998" s="75">
        <f>PARAM!$C$26+MAX($G$18-CHOOSE(PARAM!$B$44,MAX(0,BN997*$F$1),0),0)*RATES!$L974/12+$H$18*(PARAM!$D$51/12)*RATES!$N974/100</f>
        <v>1190.0416666666667</v>
      </c>
      <c r="BN998" s="16">
        <f t="shared" si="686"/>
        <v>-353851.47640818969</v>
      </c>
      <c r="BO998" s="15">
        <f t="shared" si="661"/>
        <v>22.170849845882874</v>
      </c>
      <c r="BP998" s="75">
        <f>BO998*(1-PARAM!$C$27)*$I$19+(MOD($B998,60)=PARAM!$B$56)*($B998&gt;(60-PARAM!$B$56))*HLOOKUP(($B998+PARAM!$B$56)/12,Loyalty,2)*$F$1*MAX(BR997,0)</f>
        <v>18.557001321003963</v>
      </c>
      <c r="BQ998" s="75">
        <f>PARAM!$C$26+MAX($G$19-CHOOSE(PARAM!$B$44,MAX(0,BR997*$F$1),0),0)*RATES!$L974/12+$H$19*(PARAM!$D$51/12)*RATES!$N974/100</f>
        <v>1190.0416666666667</v>
      </c>
      <c r="BR998" s="16">
        <f t="shared" si="687"/>
        <v>-353851.47640818969</v>
      </c>
      <c r="BS998" s="15">
        <f t="shared" si="662"/>
        <v>22.170849845882874</v>
      </c>
      <c r="BT998" s="75">
        <f>BS998*(1-PARAM!$C$27)*$I$20+(MOD($B998,60)=PARAM!$B$56)*($B998&gt;(60-PARAM!$B$56))*HLOOKUP(($B998+PARAM!$B$56)/12,Loyalty,2)*$F$1*MAX(BV997,0)</f>
        <v>18.557001321003963</v>
      </c>
      <c r="BU998" s="75">
        <f>PARAM!$C$26+MAX($G$20-CHOOSE(PARAM!$B$44,MAX(0,BV997*$F$1),0),0)*RATES!$L974/12+$H$20*(PARAM!$D$51/12)*RATES!$N974/100</f>
        <v>1190.0416666666667</v>
      </c>
      <c r="BV998" s="16">
        <f t="shared" si="688"/>
        <v>-353851.47640818969</v>
      </c>
      <c r="BW998" s="15">
        <f t="shared" si="663"/>
        <v>22.170849845882874</v>
      </c>
      <c r="BX998" s="75">
        <f>BW998*(1-PARAM!$C$27)*$I$21+(MOD($B998,60)=PARAM!$B$56)*($B998&gt;(60-PARAM!$B$56))*HLOOKUP(($B998+PARAM!$B$56)/12,Loyalty,2)*$F$1*MAX(BZ997,0)</f>
        <v>18.557001321003963</v>
      </c>
      <c r="BY998" s="75">
        <f>PARAM!$C$26+MAX($G$21-CHOOSE(PARAM!$B$44,MAX(0,BZ997*$F$1),0),0)*RATES!$L974/12+$H$21*(PARAM!$D$51/12)*RATES!$N974/100</f>
        <v>1190.0416666666667</v>
      </c>
      <c r="BZ998" s="16">
        <f t="shared" si="689"/>
        <v>-353851.47640818969</v>
      </c>
      <c r="CA998" s="15">
        <f t="shared" si="664"/>
        <v>22.170849845882874</v>
      </c>
      <c r="CB998" s="75">
        <f>CA998*(1-PARAM!$C$27)*$I$22+(MOD($B998,60)=PARAM!$B$56)*($B998&gt;(60-PARAM!$B$56))*HLOOKUP(($B998+PARAM!$B$56)/12,Loyalty,2)*$F$1*MAX(CD997,0)</f>
        <v>18.557001321003963</v>
      </c>
      <c r="CC998" s="75">
        <f>PARAM!$C$26+MAX($G$22-CHOOSE(PARAM!$B$44,MAX(0,CD997*$F$1),0),0)*RATES!$L974/12+$H$22*(PARAM!$D$51/12)*RATES!$N974/100</f>
        <v>1190.0416666666667</v>
      </c>
      <c r="CD998" s="16">
        <f t="shared" si="690"/>
        <v>-353851.47640818969</v>
      </c>
      <c r="CE998" s="33">
        <f>IF(0=MOD(B998,12/PARAM!$D$51),1,0)</f>
        <v>1</v>
      </c>
      <c r="CF998" s="15">
        <f t="shared" si="665"/>
        <v>0</v>
      </c>
      <c r="CG998" s="75">
        <f>CF998*(1-PARAM!$C$27)*$R$3+(MOD($B998/12,5)=0)*($B998&gt;60)*HLOOKUP($B998/12,Loyalty,2)*$F$1*MAX(CI997,0)</f>
        <v>0</v>
      </c>
      <c r="CH998" s="75">
        <f>PARAM!$C$26+MAX($P$3-CHOOSE(PARAM!$B$44,MAX(0,CI997*$F$1),0),0)*RATES!$L974/12+$Q$3*(PARAM!$D$51/12)*RATES!$N974/100</f>
        <v>1190.0416666666667</v>
      </c>
      <c r="CI998" s="16">
        <f>IF(CI997&gt;0,CI997*PARAM!$C$53,CI997)+CG998-CH998</f>
        <v>-371750.7500000014</v>
      </c>
      <c r="CJ998" s="15">
        <f t="shared" si="691"/>
        <v>0</v>
      </c>
      <c r="CK998" s="75">
        <f>CJ998*(1-PARAM!$C$27)*$R$4+(MOD($B998/12,5)=0)*($B998&gt;60)*HLOOKUP($B998/12,Loyalty,2)*$F$1*MAX(CM997,0)</f>
        <v>0</v>
      </c>
      <c r="CL998" s="75">
        <f>PARAM!$C$26+MAX($P$4-CHOOSE(PARAM!$B$44,MAX(0,CM997*$F$1),0),0)*RATES!$L974/12+$Q$4*(PARAM!$D$51/12)*RATES!$N974/100</f>
        <v>1190.0416666666667</v>
      </c>
      <c r="CM998" s="16">
        <f>IF(CM997&gt;0,CM997*PARAM!$C$53,CM997)+CK998-CL998</f>
        <v>-371750.7500000014</v>
      </c>
      <c r="CO998" s="176"/>
    </row>
    <row r="999" spans="1:93" x14ac:dyDescent="0.2">
      <c r="A999" t="b">
        <f t="shared" si="666"/>
        <v>0</v>
      </c>
      <c r="B999" s="33">
        <v>972</v>
      </c>
      <c r="C999" s="15">
        <f t="shared" si="667"/>
        <v>20.081305947392778</v>
      </c>
      <c r="D999" s="75">
        <f>C999*(1-PARAM!$C$27)*$I$3+(MOD($B999,60)=PARAM!$B$56)*($B999&gt;(60-PARAM!$B$56))*HLOOKUP(($B999+PARAM!$B$56)/12,Loyalty,2)*$F$1*MAX(F998,0)</f>
        <v>16.808053077967756</v>
      </c>
      <c r="E999" s="75">
        <f>PARAM!$C$26+MAX($G$3-CHOOSE(PARAM!$B$44,MAX(0,F998*$F$1),0),0)*RATES!$L975/12+$H$3*(PARAM!$D$51/12)*RATES!$N975/100</f>
        <v>1190.0416666666667</v>
      </c>
      <c r="F999" s="16">
        <f t="shared" si="668"/>
        <v>-356759.78926628886</v>
      </c>
      <c r="G999" s="15">
        <f t="shared" si="669"/>
        <v>22.035289406060361</v>
      </c>
      <c r="H999" s="75">
        <f>G999*(1-PARAM!$C$27)*$I$4+(MOD($B999,60)=PARAM!$B$56)*($B999&gt;(60-PARAM!$B$56))*HLOOKUP(($B999+PARAM!$B$56)/12,Loyalty,2)*$F$1*MAX(J998,0)</f>
        <v>18.443537232872522</v>
      </c>
      <c r="I999" s="75">
        <f>PARAM!$C$26+MAX($G$4-CHOOSE(PARAM!$B$44,MAX(0,J998*$F$1),0),0)*RATES!$L975/12+$H$4*(PARAM!$D$51/12)*RATES!$N975/100</f>
        <v>1190.0416666666667</v>
      </c>
      <c r="J999" s="16">
        <f t="shared" si="670"/>
        <v>-355136.26570359705</v>
      </c>
      <c r="K999" s="15">
        <f t="shared" si="671"/>
        <v>22.170849845882874</v>
      </c>
      <c r="L999" s="75">
        <f>K999*(1-PARAM!$C$27)*$I$5+(MOD($B999,60)=PARAM!$B$56)*($B999&gt;(60-PARAM!$B$56))*HLOOKUP(($B999+PARAM!$B$56)/12,Loyalty,2)*$F$1*MAX(N998,0)</f>
        <v>18.557001321003963</v>
      </c>
      <c r="M999" s="75">
        <f>PARAM!$C$26+MAX($G$5-CHOOSE(PARAM!$B$44,MAX(0,N998*$F$1),0),0)*RATES!$L975/12+$H$5*(PARAM!$D$51/12)*RATES!$N975/100</f>
        <v>1190.0416666666667</v>
      </c>
      <c r="N999" s="16">
        <f t="shared" si="672"/>
        <v>-355022.96107353538</v>
      </c>
      <c r="O999" s="15">
        <f t="shared" si="673"/>
        <v>22.170849845882874</v>
      </c>
      <c r="P999" s="75">
        <f>O999*(1-PARAM!$C$27)*$I$6+(MOD($B999,60)=PARAM!$B$56)*($B999&gt;(60-PARAM!$B$56))*HLOOKUP(($B999+PARAM!$B$56)/12,Loyalty,2)*$F$1*MAX(R998,0)</f>
        <v>18.557001321003963</v>
      </c>
      <c r="Q999" s="75">
        <f>PARAM!$C$26+MAX($G$6-CHOOSE(PARAM!$B$44,MAX(0,R998*$F$1),0),0)*RATES!$L975/12+$H$6*(PARAM!$D$51/12)*RATES!$N975/100</f>
        <v>1190.0416666666667</v>
      </c>
      <c r="R999" s="16">
        <f t="shared" si="674"/>
        <v>-355022.96107353538</v>
      </c>
      <c r="S999" s="15">
        <f t="shared" si="649"/>
        <v>22.170849845882874</v>
      </c>
      <c r="T999" s="75">
        <f>S999*(1-PARAM!$C$27)*$I$7+(MOD($B999,60)=PARAM!$B$56)*($B999&gt;(60-PARAM!$B$56))*HLOOKUP(($B999+PARAM!$B$56)/12,Loyalty,2)*$F$1*MAX(V998,0)</f>
        <v>18.557001321003963</v>
      </c>
      <c r="U999" s="75">
        <f>PARAM!$C$26+MAX($G$7-CHOOSE(PARAM!$B$44,MAX(0,V998*$F$1),0),0)*RATES!$L975/12+$H$7*(PARAM!$D$51/12)*RATES!$N975/100</f>
        <v>1190.0416666666667</v>
      </c>
      <c r="V999" s="16">
        <f t="shared" si="675"/>
        <v>-355022.96107353538</v>
      </c>
      <c r="W999" s="15">
        <f t="shared" si="650"/>
        <v>22.170849845882874</v>
      </c>
      <c r="X999" s="75">
        <f>W999*(1-PARAM!$C$27)*$I$8+(MOD($B999,60)=PARAM!$B$56)*($B999&gt;(60-PARAM!$B$56))*HLOOKUP(($B999+PARAM!$B$56)/12,Loyalty,2)*$F$1*MAX(Z998,0)</f>
        <v>18.557001321003963</v>
      </c>
      <c r="Y999" s="75">
        <f>PARAM!$C$26+MAX($G$8-CHOOSE(PARAM!$B$44,MAX(0,Z998*$F$1),0),0)*RATES!$L975/12+$H$8*(PARAM!$D$51/12)*RATES!$N975/100</f>
        <v>1190.0416666666667</v>
      </c>
      <c r="Z999" s="16">
        <f t="shared" si="676"/>
        <v>-355022.96107353538</v>
      </c>
      <c r="AA999" s="15">
        <f t="shared" si="651"/>
        <v>22.170849845882874</v>
      </c>
      <c r="AB999" s="75">
        <f>AA999*(1-PARAM!$C$27)*$I$9+(MOD($B999,60)=PARAM!$B$56)*($B999&gt;(60-PARAM!$B$56))*HLOOKUP(($B999+PARAM!$B$56)/12,Loyalty,2)*$F$1*MAX(AD998,0)</f>
        <v>18.557001321003963</v>
      </c>
      <c r="AC999" s="75">
        <f>PARAM!$C$26+MAX($G$9-CHOOSE(PARAM!$B$44,MAX(0,AD998*$F$1),0),0)*RATES!$L975/12+$H$9*(PARAM!$D$51/12)*RATES!$N975/100</f>
        <v>1190.0416666666667</v>
      </c>
      <c r="AD999" s="16">
        <f t="shared" si="677"/>
        <v>-355022.96107353538</v>
      </c>
      <c r="AE999" s="15">
        <f t="shared" si="652"/>
        <v>22.170849845882874</v>
      </c>
      <c r="AF999" s="75">
        <f>AE999*(1-PARAM!$C$27)*$I$10+(MOD($B999,60)=PARAM!$B$56)*($B999&gt;(60-PARAM!$B$56))*HLOOKUP(($B999+PARAM!$B$56)/12,Loyalty,2)*$F$1*MAX(AH998,0)</f>
        <v>18.557001321003963</v>
      </c>
      <c r="AG999" s="75">
        <f>PARAM!$C$26+MAX($G$10-CHOOSE(PARAM!$B$44,MAX(0,AH998*$F$1),0),0)*RATES!$L975/12+$H$10*(PARAM!$D$51/12)*RATES!$N975/100</f>
        <v>1190.0416666666667</v>
      </c>
      <c r="AH999" s="16">
        <f t="shared" si="678"/>
        <v>-355022.96107353538</v>
      </c>
      <c r="AI999" s="15">
        <f t="shared" si="653"/>
        <v>22.170849845882874</v>
      </c>
      <c r="AJ999" s="75">
        <f>AI999*(1-PARAM!$C$27)*$I$11+(MOD($B999,60)=PARAM!$B$56)*($B999&gt;(60-PARAM!$B$56))*HLOOKUP(($B999+PARAM!$B$56)/12,Loyalty,2)*$F$1*MAX(AL998,0)</f>
        <v>18.557001321003963</v>
      </c>
      <c r="AK999" s="75">
        <f>PARAM!$C$26+MAX($G$11-CHOOSE(PARAM!$B$44,MAX(0,AL998*$F$1),0),0)*RATES!$L975/12+$H$11*(PARAM!$D$51/12)*RATES!$N975/100</f>
        <v>1190.0416666666667</v>
      </c>
      <c r="AL999" s="16">
        <f t="shared" si="679"/>
        <v>-355022.96107353538</v>
      </c>
      <c r="AM999" s="15">
        <f t="shared" si="654"/>
        <v>22.170849845882874</v>
      </c>
      <c r="AN999" s="75">
        <f>AM999*(1-PARAM!$C$27)*$I$12+(MOD($B999,60)=PARAM!$B$56)*($B999&gt;(60-PARAM!$B$56))*HLOOKUP(($B999+PARAM!$B$56)/12,Loyalty,2)*$F$1*MAX(AP998,0)</f>
        <v>18.557001321003963</v>
      </c>
      <c r="AO999" s="75">
        <f>PARAM!$C$26+MAX($G$12-CHOOSE(PARAM!$B$44,MAX(0,AP998*$F$1),0),0)*RATES!$L975/12+$H$12*(PARAM!$D$51/12)*RATES!$N975/100</f>
        <v>1190.0416666666667</v>
      </c>
      <c r="AP999" s="16">
        <f t="shared" si="680"/>
        <v>-355022.96107353538</v>
      </c>
      <c r="AQ999" s="15">
        <f t="shared" si="655"/>
        <v>22.170849845882874</v>
      </c>
      <c r="AR999" s="75">
        <f>AQ999*(1-PARAM!$C$27)*$I$13+(MOD($B999,60)=PARAM!$B$56)*($B999&gt;(60-PARAM!$B$56))*HLOOKUP(($B999+PARAM!$B$56)/12,Loyalty,2)*$F$1*MAX(AT998,0)</f>
        <v>18.557001321003963</v>
      </c>
      <c r="AS999" s="75">
        <f>PARAM!$C$26+MAX($G$13-CHOOSE(PARAM!$B$44,MAX(0,AT998*$F$1),0),0)*RATES!$L975/12+$H$13*(PARAM!$D$51/12)*RATES!$N975/100</f>
        <v>1190.0416666666667</v>
      </c>
      <c r="AT999" s="16">
        <f t="shared" si="681"/>
        <v>-355022.96107353538</v>
      </c>
      <c r="AU999" s="15">
        <f t="shared" si="656"/>
        <v>22.170849845882874</v>
      </c>
      <c r="AV999" s="75">
        <f>AU999*(1-PARAM!$C$27)*$I$14+(MOD($B999,60)=PARAM!$B$56)*($B999&gt;(60-PARAM!$B$56))*HLOOKUP(($B999+PARAM!$B$56)/12,Loyalty,2)*$F$1*MAX(AX998,0)</f>
        <v>18.557001321003963</v>
      </c>
      <c r="AW999" s="75">
        <f>PARAM!$C$26+MAX($G$14-CHOOSE(PARAM!$B$44,MAX(0,AX998*$F$1),0),0)*RATES!$L975/12+$H$14*(PARAM!$D$51/12)*RATES!$N975/100</f>
        <v>1190.0416666666667</v>
      </c>
      <c r="AX999" s="16">
        <f t="shared" si="682"/>
        <v>-355022.96107353538</v>
      </c>
      <c r="AY999" s="15">
        <f t="shared" si="657"/>
        <v>22.170849845882874</v>
      </c>
      <c r="AZ999" s="75">
        <f>AY999*(1-PARAM!$C$27)*$I$15+(MOD($B999,60)=PARAM!$B$56)*($B999&gt;(60-PARAM!$B$56))*HLOOKUP(($B999+PARAM!$B$56)/12,Loyalty,2)*$F$1*MAX(BB998,0)</f>
        <v>18.557001321003963</v>
      </c>
      <c r="BA999" s="75">
        <f>PARAM!$C$26+MAX($G$15-CHOOSE(PARAM!$B$44,MAX(0,BB998*$F$1),0),0)*RATES!$L975/12+$H$15*(PARAM!$D$51/12)*RATES!$N975/100</f>
        <v>1190.0416666666667</v>
      </c>
      <c r="BB999" s="16">
        <f t="shared" si="683"/>
        <v>-355022.96107353538</v>
      </c>
      <c r="BC999" s="15">
        <f t="shared" si="658"/>
        <v>22.170849845882874</v>
      </c>
      <c r="BD999" s="75">
        <f>BC999*(1-PARAM!$C$27)*$I$16+(MOD($B999,60)=PARAM!$B$56)*($B999&gt;(60-PARAM!$B$56))*HLOOKUP(($B999+PARAM!$B$56)/12,Loyalty,2)*$F$1*MAX(BF998,0)</f>
        <v>18.557001321003963</v>
      </c>
      <c r="BE999" s="75">
        <f>PARAM!$C$26+MAX($G$16-CHOOSE(PARAM!$B$44,MAX(0,BF998*$F$1),0),0)*RATES!$L975/12+$H$16*(PARAM!$D$51/12)*RATES!$N975/100</f>
        <v>1190.0416666666667</v>
      </c>
      <c r="BF999" s="16">
        <f t="shared" si="684"/>
        <v>-355022.96107353538</v>
      </c>
      <c r="BG999" s="15">
        <f t="shared" si="659"/>
        <v>22.170849845882874</v>
      </c>
      <c r="BH999" s="75">
        <f>BG999*(1-PARAM!$C$27)*$I$17+(MOD($B999,60)=PARAM!$B$56)*($B999&gt;(60-PARAM!$B$56))*HLOOKUP(($B999+PARAM!$B$56)/12,Loyalty,2)*$F$1*MAX(BJ998,0)</f>
        <v>18.557001321003963</v>
      </c>
      <c r="BI999" s="75">
        <f>PARAM!$C$26+MAX($G$17-CHOOSE(PARAM!$B$44,MAX(0,BJ998*$F$1),0),0)*RATES!$L975/12+$H$17*(PARAM!$D$51/12)*RATES!$N975/100</f>
        <v>1190.0416666666667</v>
      </c>
      <c r="BJ999" s="16">
        <f t="shared" si="685"/>
        <v>-355022.96107353538</v>
      </c>
      <c r="BK999" s="15">
        <f t="shared" si="660"/>
        <v>22.170849845882874</v>
      </c>
      <c r="BL999" s="75">
        <f>BK999*(1-PARAM!$C$27)*$I$18+(MOD($B999,60)=PARAM!$B$56)*($B999&gt;(60-PARAM!$B$56))*HLOOKUP(($B999+PARAM!$B$56)/12,Loyalty,2)*$F$1*MAX(BN998,0)</f>
        <v>18.557001321003963</v>
      </c>
      <c r="BM999" s="75">
        <f>PARAM!$C$26+MAX($G$18-CHOOSE(PARAM!$B$44,MAX(0,BN998*$F$1),0),0)*RATES!$L975/12+$H$18*(PARAM!$D$51/12)*RATES!$N975/100</f>
        <v>1190.0416666666667</v>
      </c>
      <c r="BN999" s="16">
        <f t="shared" si="686"/>
        <v>-355022.96107353538</v>
      </c>
      <c r="BO999" s="15">
        <f t="shared" si="661"/>
        <v>22.170849845882874</v>
      </c>
      <c r="BP999" s="75">
        <f>BO999*(1-PARAM!$C$27)*$I$19+(MOD($B999,60)=PARAM!$B$56)*($B999&gt;(60-PARAM!$B$56))*HLOOKUP(($B999+PARAM!$B$56)/12,Loyalty,2)*$F$1*MAX(BR998,0)</f>
        <v>18.557001321003963</v>
      </c>
      <c r="BQ999" s="75">
        <f>PARAM!$C$26+MAX($G$19-CHOOSE(PARAM!$B$44,MAX(0,BR998*$F$1),0),0)*RATES!$L975/12+$H$19*(PARAM!$D$51/12)*RATES!$N975/100</f>
        <v>1190.0416666666667</v>
      </c>
      <c r="BR999" s="16">
        <f t="shared" si="687"/>
        <v>-355022.96107353538</v>
      </c>
      <c r="BS999" s="15">
        <f t="shared" si="662"/>
        <v>22.170849845882874</v>
      </c>
      <c r="BT999" s="75">
        <f>BS999*(1-PARAM!$C$27)*$I$20+(MOD($B999,60)=PARAM!$B$56)*($B999&gt;(60-PARAM!$B$56))*HLOOKUP(($B999+PARAM!$B$56)/12,Loyalty,2)*$F$1*MAX(BV998,0)</f>
        <v>18.557001321003963</v>
      </c>
      <c r="BU999" s="75">
        <f>PARAM!$C$26+MAX($G$20-CHOOSE(PARAM!$B$44,MAX(0,BV998*$F$1),0),0)*RATES!$L975/12+$H$20*(PARAM!$D$51/12)*RATES!$N975/100</f>
        <v>1190.0416666666667</v>
      </c>
      <c r="BV999" s="16">
        <f t="shared" si="688"/>
        <v>-355022.96107353538</v>
      </c>
      <c r="BW999" s="15">
        <f t="shared" si="663"/>
        <v>22.170849845882874</v>
      </c>
      <c r="BX999" s="75">
        <f>BW999*(1-PARAM!$C$27)*$I$21+(MOD($B999,60)=PARAM!$B$56)*($B999&gt;(60-PARAM!$B$56))*HLOOKUP(($B999+PARAM!$B$56)/12,Loyalty,2)*$F$1*MAX(BZ998,0)</f>
        <v>18.557001321003963</v>
      </c>
      <c r="BY999" s="75">
        <f>PARAM!$C$26+MAX($G$21-CHOOSE(PARAM!$B$44,MAX(0,BZ998*$F$1),0),0)*RATES!$L975/12+$H$21*(PARAM!$D$51/12)*RATES!$N975/100</f>
        <v>1190.0416666666667</v>
      </c>
      <c r="BZ999" s="16">
        <f t="shared" si="689"/>
        <v>-355022.96107353538</v>
      </c>
      <c r="CA999" s="15">
        <f t="shared" si="664"/>
        <v>22.170849845882874</v>
      </c>
      <c r="CB999" s="75">
        <f>CA999*(1-PARAM!$C$27)*$I$22+(MOD($B999,60)=PARAM!$B$56)*($B999&gt;(60-PARAM!$B$56))*HLOOKUP(($B999+PARAM!$B$56)/12,Loyalty,2)*$F$1*MAX(CD998,0)</f>
        <v>18.557001321003963</v>
      </c>
      <c r="CC999" s="75">
        <f>PARAM!$C$26+MAX($G$22-CHOOSE(PARAM!$B$44,MAX(0,CD998*$F$1),0),0)*RATES!$L975/12+$H$22*(PARAM!$D$51/12)*RATES!$N975/100</f>
        <v>1190.0416666666667</v>
      </c>
      <c r="CD999" s="16">
        <f t="shared" si="690"/>
        <v>-355022.96107353538</v>
      </c>
      <c r="CE999" s="33">
        <f>IF(0=MOD(B999,12/PARAM!$D$51),1,0)</f>
        <v>1</v>
      </c>
      <c r="CF999" s="15">
        <f t="shared" si="665"/>
        <v>0</v>
      </c>
      <c r="CG999" s="75">
        <f>CF999*(1-PARAM!$C$27)*$R$3+(MOD($B999/12,5)=0)*($B999&gt;60)*HLOOKUP($B999/12,Loyalty,2)*$F$1*MAX(CI998,0)</f>
        <v>0</v>
      </c>
      <c r="CH999" s="75">
        <f>PARAM!$C$26+MAX($P$3-CHOOSE(PARAM!$B$44,MAX(0,CI998*$F$1),0),0)*RATES!$L975/12+$Q$3*(PARAM!$D$51/12)*RATES!$N975/100</f>
        <v>1190.0416666666667</v>
      </c>
      <c r="CI999" s="16">
        <f>IF(CI998&gt;0,CI998*PARAM!$C$53,CI998)+CG999-CH999</f>
        <v>-372940.79166666808</v>
      </c>
      <c r="CJ999" s="15">
        <f t="shared" si="691"/>
        <v>0</v>
      </c>
      <c r="CK999" s="75">
        <f>CJ999*(1-PARAM!$C$27)*$R$4+(MOD($B999/12,5)=0)*($B999&gt;60)*HLOOKUP($B999/12,Loyalty,2)*$F$1*MAX(CM998,0)</f>
        <v>0</v>
      </c>
      <c r="CL999" s="75">
        <f>PARAM!$C$26+MAX($P$4-CHOOSE(PARAM!$B$44,MAX(0,CM998*$F$1),0),0)*RATES!$L975/12+$Q$4*(PARAM!$D$51/12)*RATES!$N975/100</f>
        <v>1190.0416666666667</v>
      </c>
      <c r="CM999" s="16">
        <f>IF(CM998&gt;0,CM998*PARAM!$C$53,CM998)+CK999-CL999</f>
        <v>-372940.79166666808</v>
      </c>
      <c r="CO999" s="176"/>
    </row>
    <row r="1000" spans="1:93" x14ac:dyDescent="0.2">
      <c r="A1000" t="b">
        <f t="shared" si="666"/>
        <v>0</v>
      </c>
      <c r="B1000" s="33">
        <v>973</v>
      </c>
      <c r="C1000" s="15">
        <f t="shared" si="667"/>
        <v>20.081305947392778</v>
      </c>
      <c r="D1000" s="75">
        <f>C1000*(1-PARAM!$C$27)*$I$3+(MOD($B1000,60)=PARAM!$B$56)*($B1000&gt;(60-PARAM!$B$56))*HLOOKUP(($B1000+PARAM!$B$56)/12,Loyalty,2)*$F$1*MAX(F999,0)</f>
        <v>16.808053077967756</v>
      </c>
      <c r="E1000" s="75">
        <f>PARAM!$C$26+MAX($G$3-CHOOSE(PARAM!$B$44,MAX(0,F999*$F$1),0),0)*RATES!$L976/12+$H$3*(PARAM!$D$51/12)*RATES!$N976/100</f>
        <v>1190.0416666666667</v>
      </c>
      <c r="F1000" s="16">
        <f t="shared" si="668"/>
        <v>-357933.02287987759</v>
      </c>
      <c r="G1000" s="15">
        <f t="shared" si="669"/>
        <v>22.035289406060361</v>
      </c>
      <c r="H1000" s="75">
        <f>G1000*(1-PARAM!$C$27)*$I$4+(MOD($B1000,60)=PARAM!$B$56)*($B1000&gt;(60-PARAM!$B$56))*HLOOKUP(($B1000+PARAM!$B$56)/12,Loyalty,2)*$F$1*MAX(J999,0)</f>
        <v>18.443537232872522</v>
      </c>
      <c r="I1000" s="75">
        <f>PARAM!$C$26+MAX($G$4-CHOOSE(PARAM!$B$44,MAX(0,J999*$F$1),0),0)*RATES!$L976/12+$H$4*(PARAM!$D$51/12)*RATES!$N976/100</f>
        <v>1190.0416666666667</v>
      </c>
      <c r="J1000" s="16">
        <f t="shared" si="670"/>
        <v>-356307.86383303086</v>
      </c>
      <c r="K1000" s="15">
        <f t="shared" si="671"/>
        <v>22.170849845882874</v>
      </c>
      <c r="L1000" s="75">
        <f>K1000*(1-PARAM!$C$27)*$I$5+(MOD($B1000,60)=PARAM!$B$56)*($B1000&gt;(60-PARAM!$B$56))*HLOOKUP(($B1000+PARAM!$B$56)/12,Loyalty,2)*$F$1*MAX(N999,0)</f>
        <v>18.557001321003963</v>
      </c>
      <c r="M1000" s="75">
        <f>PARAM!$C$26+MAX($G$5-CHOOSE(PARAM!$B$44,MAX(0,N999*$F$1),0),0)*RATES!$L976/12+$H$5*(PARAM!$D$51/12)*RATES!$N976/100</f>
        <v>1190.0416666666667</v>
      </c>
      <c r="N1000" s="16">
        <f t="shared" si="672"/>
        <v>-356194.44573888107</v>
      </c>
      <c r="O1000" s="15">
        <f t="shared" si="673"/>
        <v>22.170849845882874</v>
      </c>
      <c r="P1000" s="75">
        <f>O1000*(1-PARAM!$C$27)*$I$6+(MOD($B1000,60)=PARAM!$B$56)*($B1000&gt;(60-PARAM!$B$56))*HLOOKUP(($B1000+PARAM!$B$56)/12,Loyalty,2)*$F$1*MAX(R999,0)</f>
        <v>18.557001321003963</v>
      </c>
      <c r="Q1000" s="75">
        <f>PARAM!$C$26+MAX($G$6-CHOOSE(PARAM!$B$44,MAX(0,R999*$F$1),0),0)*RATES!$L976/12+$H$6*(PARAM!$D$51/12)*RATES!$N976/100</f>
        <v>1190.0416666666667</v>
      </c>
      <c r="R1000" s="16">
        <f t="shared" si="674"/>
        <v>-356194.44573888107</v>
      </c>
      <c r="S1000" s="15">
        <f t="shared" si="649"/>
        <v>22.170849845882874</v>
      </c>
      <c r="T1000" s="75">
        <f>S1000*(1-PARAM!$C$27)*$I$7+(MOD($B1000,60)=PARAM!$B$56)*($B1000&gt;(60-PARAM!$B$56))*HLOOKUP(($B1000+PARAM!$B$56)/12,Loyalty,2)*$F$1*MAX(V999,0)</f>
        <v>18.557001321003963</v>
      </c>
      <c r="U1000" s="75">
        <f>PARAM!$C$26+MAX($G$7-CHOOSE(PARAM!$B$44,MAX(0,V999*$F$1),0),0)*RATES!$L976/12+$H$7*(PARAM!$D$51/12)*RATES!$N976/100</f>
        <v>1190.0416666666667</v>
      </c>
      <c r="V1000" s="16">
        <f t="shared" si="675"/>
        <v>-356194.44573888107</v>
      </c>
      <c r="W1000" s="15">
        <f t="shared" si="650"/>
        <v>22.170849845882874</v>
      </c>
      <c r="X1000" s="75">
        <f>W1000*(1-PARAM!$C$27)*$I$8+(MOD($B1000,60)=PARAM!$B$56)*($B1000&gt;(60-PARAM!$B$56))*HLOOKUP(($B1000+PARAM!$B$56)/12,Loyalty,2)*$F$1*MAX(Z999,0)</f>
        <v>18.557001321003963</v>
      </c>
      <c r="Y1000" s="75">
        <f>PARAM!$C$26+MAX($G$8-CHOOSE(PARAM!$B$44,MAX(0,Z999*$F$1),0),0)*RATES!$L976/12+$H$8*(PARAM!$D$51/12)*RATES!$N976/100</f>
        <v>1190.0416666666667</v>
      </c>
      <c r="Z1000" s="16">
        <f t="shared" si="676"/>
        <v>-356194.44573888107</v>
      </c>
      <c r="AA1000" s="15">
        <f t="shared" si="651"/>
        <v>22.170849845882874</v>
      </c>
      <c r="AB1000" s="75">
        <f>AA1000*(1-PARAM!$C$27)*$I$9+(MOD($B1000,60)=PARAM!$B$56)*($B1000&gt;(60-PARAM!$B$56))*HLOOKUP(($B1000+PARAM!$B$56)/12,Loyalty,2)*$F$1*MAX(AD999,0)</f>
        <v>18.557001321003963</v>
      </c>
      <c r="AC1000" s="75">
        <f>PARAM!$C$26+MAX($G$9-CHOOSE(PARAM!$B$44,MAX(0,AD999*$F$1),0),0)*RATES!$L976/12+$H$9*(PARAM!$D$51/12)*RATES!$N976/100</f>
        <v>1190.0416666666667</v>
      </c>
      <c r="AD1000" s="16">
        <f t="shared" si="677"/>
        <v>-356194.44573888107</v>
      </c>
      <c r="AE1000" s="15">
        <f t="shared" si="652"/>
        <v>22.170849845882874</v>
      </c>
      <c r="AF1000" s="75">
        <f>AE1000*(1-PARAM!$C$27)*$I$10+(MOD($B1000,60)=PARAM!$B$56)*($B1000&gt;(60-PARAM!$B$56))*HLOOKUP(($B1000+PARAM!$B$56)/12,Loyalty,2)*$F$1*MAX(AH999,0)</f>
        <v>18.557001321003963</v>
      </c>
      <c r="AG1000" s="75">
        <f>PARAM!$C$26+MAX($G$10-CHOOSE(PARAM!$B$44,MAX(0,AH999*$F$1),0),0)*RATES!$L976/12+$H$10*(PARAM!$D$51/12)*RATES!$N976/100</f>
        <v>1190.0416666666667</v>
      </c>
      <c r="AH1000" s="16">
        <f t="shared" si="678"/>
        <v>-356194.44573888107</v>
      </c>
      <c r="AI1000" s="15">
        <f t="shared" si="653"/>
        <v>22.170849845882874</v>
      </c>
      <c r="AJ1000" s="75">
        <f>AI1000*(1-PARAM!$C$27)*$I$11+(MOD($B1000,60)=PARAM!$B$56)*($B1000&gt;(60-PARAM!$B$56))*HLOOKUP(($B1000+PARAM!$B$56)/12,Loyalty,2)*$F$1*MAX(AL999,0)</f>
        <v>18.557001321003963</v>
      </c>
      <c r="AK1000" s="75">
        <f>PARAM!$C$26+MAX($G$11-CHOOSE(PARAM!$B$44,MAX(0,AL999*$F$1),0),0)*RATES!$L976/12+$H$11*(PARAM!$D$51/12)*RATES!$N976/100</f>
        <v>1190.0416666666667</v>
      </c>
      <c r="AL1000" s="16">
        <f t="shared" si="679"/>
        <v>-356194.44573888107</v>
      </c>
      <c r="AM1000" s="15">
        <f t="shared" si="654"/>
        <v>22.170849845882874</v>
      </c>
      <c r="AN1000" s="75">
        <f>AM1000*(1-PARAM!$C$27)*$I$12+(MOD($B1000,60)=PARAM!$B$56)*($B1000&gt;(60-PARAM!$B$56))*HLOOKUP(($B1000+PARAM!$B$56)/12,Loyalty,2)*$F$1*MAX(AP999,0)</f>
        <v>18.557001321003963</v>
      </c>
      <c r="AO1000" s="75">
        <f>PARAM!$C$26+MAX($G$12-CHOOSE(PARAM!$B$44,MAX(0,AP999*$F$1),0),0)*RATES!$L976/12+$H$12*(PARAM!$D$51/12)*RATES!$N976/100</f>
        <v>1190.0416666666667</v>
      </c>
      <c r="AP1000" s="16">
        <f t="shared" si="680"/>
        <v>-356194.44573888107</v>
      </c>
      <c r="AQ1000" s="15">
        <f t="shared" si="655"/>
        <v>22.170849845882874</v>
      </c>
      <c r="AR1000" s="75">
        <f>AQ1000*(1-PARAM!$C$27)*$I$13+(MOD($B1000,60)=PARAM!$B$56)*($B1000&gt;(60-PARAM!$B$56))*HLOOKUP(($B1000+PARAM!$B$56)/12,Loyalty,2)*$F$1*MAX(AT999,0)</f>
        <v>18.557001321003963</v>
      </c>
      <c r="AS1000" s="75">
        <f>PARAM!$C$26+MAX($G$13-CHOOSE(PARAM!$B$44,MAX(0,AT999*$F$1),0),0)*RATES!$L976/12+$H$13*(PARAM!$D$51/12)*RATES!$N976/100</f>
        <v>1190.0416666666667</v>
      </c>
      <c r="AT1000" s="16">
        <f t="shared" si="681"/>
        <v>-356194.44573888107</v>
      </c>
      <c r="AU1000" s="15">
        <f t="shared" si="656"/>
        <v>22.170849845882874</v>
      </c>
      <c r="AV1000" s="75">
        <f>AU1000*(1-PARAM!$C$27)*$I$14+(MOD($B1000,60)=PARAM!$B$56)*($B1000&gt;(60-PARAM!$B$56))*HLOOKUP(($B1000+PARAM!$B$56)/12,Loyalty,2)*$F$1*MAX(AX999,0)</f>
        <v>18.557001321003963</v>
      </c>
      <c r="AW1000" s="75">
        <f>PARAM!$C$26+MAX($G$14-CHOOSE(PARAM!$B$44,MAX(0,AX999*$F$1),0),0)*RATES!$L976/12+$H$14*(PARAM!$D$51/12)*RATES!$N976/100</f>
        <v>1190.0416666666667</v>
      </c>
      <c r="AX1000" s="16">
        <f t="shared" si="682"/>
        <v>-356194.44573888107</v>
      </c>
      <c r="AY1000" s="15">
        <f t="shared" si="657"/>
        <v>22.170849845882874</v>
      </c>
      <c r="AZ1000" s="75">
        <f>AY1000*(1-PARAM!$C$27)*$I$15+(MOD($B1000,60)=PARAM!$B$56)*($B1000&gt;(60-PARAM!$B$56))*HLOOKUP(($B1000+PARAM!$B$56)/12,Loyalty,2)*$F$1*MAX(BB999,0)</f>
        <v>18.557001321003963</v>
      </c>
      <c r="BA1000" s="75">
        <f>PARAM!$C$26+MAX($G$15-CHOOSE(PARAM!$B$44,MAX(0,BB999*$F$1),0),0)*RATES!$L976/12+$H$15*(PARAM!$D$51/12)*RATES!$N976/100</f>
        <v>1190.0416666666667</v>
      </c>
      <c r="BB1000" s="16">
        <f t="shared" si="683"/>
        <v>-356194.44573888107</v>
      </c>
      <c r="BC1000" s="15">
        <f t="shared" si="658"/>
        <v>22.170849845882874</v>
      </c>
      <c r="BD1000" s="75">
        <f>BC1000*(1-PARAM!$C$27)*$I$16+(MOD($B1000,60)=PARAM!$B$56)*($B1000&gt;(60-PARAM!$B$56))*HLOOKUP(($B1000+PARAM!$B$56)/12,Loyalty,2)*$F$1*MAX(BF999,0)</f>
        <v>18.557001321003963</v>
      </c>
      <c r="BE1000" s="75">
        <f>PARAM!$C$26+MAX($G$16-CHOOSE(PARAM!$B$44,MAX(0,BF999*$F$1),0),0)*RATES!$L976/12+$H$16*(PARAM!$D$51/12)*RATES!$N976/100</f>
        <v>1190.0416666666667</v>
      </c>
      <c r="BF1000" s="16">
        <f t="shared" si="684"/>
        <v>-356194.44573888107</v>
      </c>
      <c r="BG1000" s="15">
        <f t="shared" si="659"/>
        <v>22.170849845882874</v>
      </c>
      <c r="BH1000" s="75">
        <f>BG1000*(1-PARAM!$C$27)*$I$17+(MOD($B1000,60)=PARAM!$B$56)*($B1000&gt;(60-PARAM!$B$56))*HLOOKUP(($B1000+PARAM!$B$56)/12,Loyalty,2)*$F$1*MAX(BJ999,0)</f>
        <v>18.557001321003963</v>
      </c>
      <c r="BI1000" s="75">
        <f>PARAM!$C$26+MAX($G$17-CHOOSE(PARAM!$B$44,MAX(0,BJ999*$F$1),0),0)*RATES!$L976/12+$H$17*(PARAM!$D$51/12)*RATES!$N976/100</f>
        <v>1190.0416666666667</v>
      </c>
      <c r="BJ1000" s="16">
        <f t="shared" si="685"/>
        <v>-356194.44573888107</v>
      </c>
      <c r="BK1000" s="15">
        <f t="shared" si="660"/>
        <v>22.170849845882874</v>
      </c>
      <c r="BL1000" s="75">
        <f>BK1000*(1-PARAM!$C$27)*$I$18+(MOD($B1000,60)=PARAM!$B$56)*($B1000&gt;(60-PARAM!$B$56))*HLOOKUP(($B1000+PARAM!$B$56)/12,Loyalty,2)*$F$1*MAX(BN999,0)</f>
        <v>18.557001321003963</v>
      </c>
      <c r="BM1000" s="75">
        <f>PARAM!$C$26+MAX($G$18-CHOOSE(PARAM!$B$44,MAX(0,BN999*$F$1),0),0)*RATES!$L976/12+$H$18*(PARAM!$D$51/12)*RATES!$N976/100</f>
        <v>1190.0416666666667</v>
      </c>
      <c r="BN1000" s="16">
        <f t="shared" si="686"/>
        <v>-356194.44573888107</v>
      </c>
      <c r="BO1000" s="15">
        <f t="shared" si="661"/>
        <v>22.170849845882874</v>
      </c>
      <c r="BP1000" s="75">
        <f>BO1000*(1-PARAM!$C$27)*$I$19+(MOD($B1000,60)=PARAM!$B$56)*($B1000&gt;(60-PARAM!$B$56))*HLOOKUP(($B1000+PARAM!$B$56)/12,Loyalty,2)*$F$1*MAX(BR999,0)</f>
        <v>18.557001321003963</v>
      </c>
      <c r="BQ1000" s="75">
        <f>PARAM!$C$26+MAX($G$19-CHOOSE(PARAM!$B$44,MAX(0,BR999*$F$1),0),0)*RATES!$L976/12+$H$19*(PARAM!$D$51/12)*RATES!$N976/100</f>
        <v>1190.0416666666667</v>
      </c>
      <c r="BR1000" s="16">
        <f t="shared" si="687"/>
        <v>-356194.44573888107</v>
      </c>
      <c r="BS1000" s="15">
        <f t="shared" si="662"/>
        <v>22.170849845882874</v>
      </c>
      <c r="BT1000" s="75">
        <f>BS1000*(1-PARAM!$C$27)*$I$20+(MOD($B1000,60)=PARAM!$B$56)*($B1000&gt;(60-PARAM!$B$56))*HLOOKUP(($B1000+PARAM!$B$56)/12,Loyalty,2)*$F$1*MAX(BV999,0)</f>
        <v>18.557001321003963</v>
      </c>
      <c r="BU1000" s="75">
        <f>PARAM!$C$26+MAX($G$20-CHOOSE(PARAM!$B$44,MAX(0,BV999*$F$1),0),0)*RATES!$L976/12+$H$20*(PARAM!$D$51/12)*RATES!$N976/100</f>
        <v>1190.0416666666667</v>
      </c>
      <c r="BV1000" s="16">
        <f t="shared" si="688"/>
        <v>-356194.44573888107</v>
      </c>
      <c r="BW1000" s="15">
        <f t="shared" si="663"/>
        <v>22.170849845882874</v>
      </c>
      <c r="BX1000" s="75">
        <f>BW1000*(1-PARAM!$C$27)*$I$21+(MOD($B1000,60)=PARAM!$B$56)*($B1000&gt;(60-PARAM!$B$56))*HLOOKUP(($B1000+PARAM!$B$56)/12,Loyalty,2)*$F$1*MAX(BZ999,0)</f>
        <v>18.557001321003963</v>
      </c>
      <c r="BY1000" s="75">
        <f>PARAM!$C$26+MAX($G$21-CHOOSE(PARAM!$B$44,MAX(0,BZ999*$F$1),0),0)*RATES!$L976/12+$H$21*(PARAM!$D$51/12)*RATES!$N976/100</f>
        <v>1190.0416666666667</v>
      </c>
      <c r="BZ1000" s="16">
        <f t="shared" si="689"/>
        <v>-356194.44573888107</v>
      </c>
      <c r="CA1000" s="15">
        <f t="shared" si="664"/>
        <v>22.170849845882874</v>
      </c>
      <c r="CB1000" s="75">
        <f>CA1000*(1-PARAM!$C$27)*$I$22+(MOD($B1000,60)=PARAM!$B$56)*($B1000&gt;(60-PARAM!$B$56))*HLOOKUP(($B1000+PARAM!$B$56)/12,Loyalty,2)*$F$1*MAX(CD999,0)</f>
        <v>18.557001321003963</v>
      </c>
      <c r="CC1000" s="75">
        <f>PARAM!$C$26+MAX($G$22-CHOOSE(PARAM!$B$44,MAX(0,CD999*$F$1),0),0)*RATES!$L976/12+$H$22*(PARAM!$D$51/12)*RATES!$N976/100</f>
        <v>1190.0416666666667</v>
      </c>
      <c r="CD1000" s="16">
        <f t="shared" si="690"/>
        <v>-356194.44573888107</v>
      </c>
      <c r="CE1000" s="33">
        <f>IF(0=MOD(B1000,12/PARAM!$D$51),1,0)</f>
        <v>1</v>
      </c>
      <c r="CF1000" s="15">
        <f t="shared" si="665"/>
        <v>0</v>
      </c>
      <c r="CG1000" s="75">
        <f>CF1000*(1-PARAM!$C$27)*$R$3+(MOD($B1000/12,5)=0)*($B1000&gt;60)*HLOOKUP($B1000/12,Loyalty,2)*$F$1*MAX(CI999,0)</f>
        <v>0</v>
      </c>
      <c r="CH1000" s="75">
        <f>PARAM!$C$26+MAX($P$3-CHOOSE(PARAM!$B$44,MAX(0,CI999*$F$1),0),0)*RATES!$L976/12+$Q$3*(PARAM!$D$51/12)*RATES!$N976/100</f>
        <v>1190.0416666666667</v>
      </c>
      <c r="CI1000" s="16">
        <f>IF(CI999&gt;0,CI999*PARAM!$C$53,CI999)+CG1000-CH1000</f>
        <v>-374130.83333333477</v>
      </c>
      <c r="CJ1000" s="15">
        <f t="shared" si="691"/>
        <v>0</v>
      </c>
      <c r="CK1000" s="75">
        <f>CJ1000*(1-PARAM!$C$27)*$R$4+(MOD($B1000/12,5)=0)*($B1000&gt;60)*HLOOKUP($B1000/12,Loyalty,2)*$F$1*MAX(CM999,0)</f>
        <v>0</v>
      </c>
      <c r="CL1000" s="75">
        <f>PARAM!$C$26+MAX($P$4-CHOOSE(PARAM!$B$44,MAX(0,CM999*$F$1),0),0)*RATES!$L976/12+$Q$4*(PARAM!$D$51/12)*RATES!$N976/100</f>
        <v>1190.0416666666667</v>
      </c>
      <c r="CM1000" s="16">
        <f>IF(CM999&gt;0,CM999*PARAM!$C$53,CM999)+CK1000-CL1000</f>
        <v>-374130.83333333477</v>
      </c>
      <c r="CO1000" s="176"/>
    </row>
    <row r="1001" spans="1:93" x14ac:dyDescent="0.2">
      <c r="A1001" t="b">
        <f t="shared" si="666"/>
        <v>0</v>
      </c>
      <c r="B1001" s="33">
        <v>974</v>
      </c>
      <c r="C1001" s="15">
        <f t="shared" si="667"/>
        <v>20.081305947392778</v>
      </c>
      <c r="D1001" s="75">
        <f>C1001*(1-PARAM!$C$27)*$I$3+(MOD($B1001,60)=PARAM!$B$56)*($B1001&gt;(60-PARAM!$B$56))*HLOOKUP(($B1001+PARAM!$B$56)/12,Loyalty,2)*$F$1*MAX(F1000,0)</f>
        <v>16.808053077967756</v>
      </c>
      <c r="E1001" s="75">
        <f>PARAM!$C$26+MAX($G$3-CHOOSE(PARAM!$B$44,MAX(0,F1000*$F$1),0),0)*RATES!$L977/12+$H$3*(PARAM!$D$51/12)*RATES!$N977/100</f>
        <v>1190.0416666666667</v>
      </c>
      <c r="F1001" s="16">
        <f t="shared" si="668"/>
        <v>-359106.25649346632</v>
      </c>
      <c r="G1001" s="15">
        <f t="shared" si="669"/>
        <v>22.035289406060361</v>
      </c>
      <c r="H1001" s="75">
        <f>G1001*(1-PARAM!$C$27)*$I$4+(MOD($B1001,60)=PARAM!$B$56)*($B1001&gt;(60-PARAM!$B$56))*HLOOKUP(($B1001+PARAM!$B$56)/12,Loyalty,2)*$F$1*MAX(J1000,0)</f>
        <v>18.443537232872522</v>
      </c>
      <c r="I1001" s="75">
        <f>PARAM!$C$26+MAX($G$4-CHOOSE(PARAM!$B$44,MAX(0,J1000*$F$1),0),0)*RATES!$L977/12+$H$4*(PARAM!$D$51/12)*RATES!$N977/100</f>
        <v>1190.0416666666667</v>
      </c>
      <c r="J1001" s="16">
        <f t="shared" si="670"/>
        <v>-357479.46196246467</v>
      </c>
      <c r="K1001" s="15">
        <f t="shared" si="671"/>
        <v>22.170849845882874</v>
      </c>
      <c r="L1001" s="75">
        <f>K1001*(1-PARAM!$C$27)*$I$5+(MOD($B1001,60)=PARAM!$B$56)*($B1001&gt;(60-PARAM!$B$56))*HLOOKUP(($B1001+PARAM!$B$56)/12,Loyalty,2)*$F$1*MAX(N1000,0)</f>
        <v>18.557001321003963</v>
      </c>
      <c r="M1001" s="75">
        <f>PARAM!$C$26+MAX($G$5-CHOOSE(PARAM!$B$44,MAX(0,N1000*$F$1),0),0)*RATES!$L977/12+$H$5*(PARAM!$D$51/12)*RATES!$N977/100</f>
        <v>1190.0416666666667</v>
      </c>
      <c r="N1001" s="16">
        <f t="shared" si="672"/>
        <v>-357365.93040422676</v>
      </c>
      <c r="O1001" s="15">
        <f t="shared" si="673"/>
        <v>22.170849845882874</v>
      </c>
      <c r="P1001" s="75">
        <f>O1001*(1-PARAM!$C$27)*$I$6+(MOD($B1001,60)=PARAM!$B$56)*($B1001&gt;(60-PARAM!$B$56))*HLOOKUP(($B1001+PARAM!$B$56)/12,Loyalty,2)*$F$1*MAX(R1000,0)</f>
        <v>18.557001321003963</v>
      </c>
      <c r="Q1001" s="75">
        <f>PARAM!$C$26+MAX($G$6-CHOOSE(PARAM!$B$44,MAX(0,R1000*$F$1),0),0)*RATES!$L977/12+$H$6*(PARAM!$D$51/12)*RATES!$N977/100</f>
        <v>1190.0416666666667</v>
      </c>
      <c r="R1001" s="16">
        <f t="shared" si="674"/>
        <v>-357365.93040422676</v>
      </c>
      <c r="S1001" s="15">
        <f t="shared" si="649"/>
        <v>22.170849845882874</v>
      </c>
      <c r="T1001" s="75">
        <f>S1001*(1-PARAM!$C$27)*$I$7+(MOD($B1001,60)=PARAM!$B$56)*($B1001&gt;(60-PARAM!$B$56))*HLOOKUP(($B1001+PARAM!$B$56)/12,Loyalty,2)*$F$1*MAX(V1000,0)</f>
        <v>18.557001321003963</v>
      </c>
      <c r="U1001" s="75">
        <f>PARAM!$C$26+MAX($G$7-CHOOSE(PARAM!$B$44,MAX(0,V1000*$F$1),0),0)*RATES!$L977/12+$H$7*(PARAM!$D$51/12)*RATES!$N977/100</f>
        <v>1190.0416666666667</v>
      </c>
      <c r="V1001" s="16">
        <f t="shared" si="675"/>
        <v>-357365.93040422676</v>
      </c>
      <c r="W1001" s="15">
        <f t="shared" si="650"/>
        <v>22.170849845882874</v>
      </c>
      <c r="X1001" s="75">
        <f>W1001*(1-PARAM!$C$27)*$I$8+(MOD($B1001,60)=PARAM!$B$56)*($B1001&gt;(60-PARAM!$B$56))*HLOOKUP(($B1001+PARAM!$B$56)/12,Loyalty,2)*$F$1*MAX(Z1000,0)</f>
        <v>18.557001321003963</v>
      </c>
      <c r="Y1001" s="75">
        <f>PARAM!$C$26+MAX($G$8-CHOOSE(PARAM!$B$44,MAX(0,Z1000*$F$1),0),0)*RATES!$L977/12+$H$8*(PARAM!$D$51/12)*RATES!$N977/100</f>
        <v>1190.0416666666667</v>
      </c>
      <c r="Z1001" s="16">
        <f t="shared" si="676"/>
        <v>-357365.93040422676</v>
      </c>
      <c r="AA1001" s="15">
        <f t="shared" si="651"/>
        <v>22.170849845882874</v>
      </c>
      <c r="AB1001" s="75">
        <f>AA1001*(1-PARAM!$C$27)*$I$9+(MOD($B1001,60)=PARAM!$B$56)*($B1001&gt;(60-PARAM!$B$56))*HLOOKUP(($B1001+PARAM!$B$56)/12,Loyalty,2)*$F$1*MAX(AD1000,0)</f>
        <v>18.557001321003963</v>
      </c>
      <c r="AC1001" s="75">
        <f>PARAM!$C$26+MAX($G$9-CHOOSE(PARAM!$B$44,MAX(0,AD1000*$F$1),0),0)*RATES!$L977/12+$H$9*(PARAM!$D$51/12)*RATES!$N977/100</f>
        <v>1190.0416666666667</v>
      </c>
      <c r="AD1001" s="16">
        <f t="shared" si="677"/>
        <v>-357365.93040422676</v>
      </c>
      <c r="AE1001" s="15">
        <f t="shared" si="652"/>
        <v>22.170849845882874</v>
      </c>
      <c r="AF1001" s="75">
        <f>AE1001*(1-PARAM!$C$27)*$I$10+(MOD($B1001,60)=PARAM!$B$56)*($B1001&gt;(60-PARAM!$B$56))*HLOOKUP(($B1001+PARAM!$B$56)/12,Loyalty,2)*$F$1*MAX(AH1000,0)</f>
        <v>18.557001321003963</v>
      </c>
      <c r="AG1001" s="75">
        <f>PARAM!$C$26+MAX($G$10-CHOOSE(PARAM!$B$44,MAX(0,AH1000*$F$1),0),0)*RATES!$L977/12+$H$10*(PARAM!$D$51/12)*RATES!$N977/100</f>
        <v>1190.0416666666667</v>
      </c>
      <c r="AH1001" s="16">
        <f t="shared" si="678"/>
        <v>-357365.93040422676</v>
      </c>
      <c r="AI1001" s="15">
        <f t="shared" si="653"/>
        <v>22.170849845882874</v>
      </c>
      <c r="AJ1001" s="75">
        <f>AI1001*(1-PARAM!$C$27)*$I$11+(MOD($B1001,60)=PARAM!$B$56)*($B1001&gt;(60-PARAM!$B$56))*HLOOKUP(($B1001+PARAM!$B$56)/12,Loyalty,2)*$F$1*MAX(AL1000,0)</f>
        <v>18.557001321003963</v>
      </c>
      <c r="AK1001" s="75">
        <f>PARAM!$C$26+MAX($G$11-CHOOSE(PARAM!$B$44,MAX(0,AL1000*$F$1),0),0)*RATES!$L977/12+$H$11*(PARAM!$D$51/12)*RATES!$N977/100</f>
        <v>1190.0416666666667</v>
      </c>
      <c r="AL1001" s="16">
        <f t="shared" si="679"/>
        <v>-357365.93040422676</v>
      </c>
      <c r="AM1001" s="15">
        <f t="shared" si="654"/>
        <v>22.170849845882874</v>
      </c>
      <c r="AN1001" s="75">
        <f>AM1001*(1-PARAM!$C$27)*$I$12+(MOD($B1001,60)=PARAM!$B$56)*($B1001&gt;(60-PARAM!$B$56))*HLOOKUP(($B1001+PARAM!$B$56)/12,Loyalty,2)*$F$1*MAX(AP1000,0)</f>
        <v>18.557001321003963</v>
      </c>
      <c r="AO1001" s="75">
        <f>PARAM!$C$26+MAX($G$12-CHOOSE(PARAM!$B$44,MAX(0,AP1000*$F$1),0),0)*RATES!$L977/12+$H$12*(PARAM!$D$51/12)*RATES!$N977/100</f>
        <v>1190.0416666666667</v>
      </c>
      <c r="AP1001" s="16">
        <f t="shared" si="680"/>
        <v>-357365.93040422676</v>
      </c>
      <c r="AQ1001" s="15">
        <f t="shared" si="655"/>
        <v>22.170849845882874</v>
      </c>
      <c r="AR1001" s="75">
        <f>AQ1001*(1-PARAM!$C$27)*$I$13+(MOD($B1001,60)=PARAM!$B$56)*($B1001&gt;(60-PARAM!$B$56))*HLOOKUP(($B1001+PARAM!$B$56)/12,Loyalty,2)*$F$1*MAX(AT1000,0)</f>
        <v>18.557001321003963</v>
      </c>
      <c r="AS1001" s="75">
        <f>PARAM!$C$26+MAX($G$13-CHOOSE(PARAM!$B$44,MAX(0,AT1000*$F$1),0),0)*RATES!$L977/12+$H$13*(PARAM!$D$51/12)*RATES!$N977/100</f>
        <v>1190.0416666666667</v>
      </c>
      <c r="AT1001" s="16">
        <f t="shared" si="681"/>
        <v>-357365.93040422676</v>
      </c>
      <c r="AU1001" s="15">
        <f t="shared" si="656"/>
        <v>22.170849845882874</v>
      </c>
      <c r="AV1001" s="75">
        <f>AU1001*(1-PARAM!$C$27)*$I$14+(MOD($B1001,60)=PARAM!$B$56)*($B1001&gt;(60-PARAM!$B$56))*HLOOKUP(($B1001+PARAM!$B$56)/12,Loyalty,2)*$F$1*MAX(AX1000,0)</f>
        <v>18.557001321003963</v>
      </c>
      <c r="AW1001" s="75">
        <f>PARAM!$C$26+MAX($G$14-CHOOSE(PARAM!$B$44,MAX(0,AX1000*$F$1),0),0)*RATES!$L977/12+$H$14*(PARAM!$D$51/12)*RATES!$N977/100</f>
        <v>1190.0416666666667</v>
      </c>
      <c r="AX1001" s="16">
        <f t="shared" si="682"/>
        <v>-357365.93040422676</v>
      </c>
      <c r="AY1001" s="15">
        <f t="shared" si="657"/>
        <v>22.170849845882874</v>
      </c>
      <c r="AZ1001" s="75">
        <f>AY1001*(1-PARAM!$C$27)*$I$15+(MOD($B1001,60)=PARAM!$B$56)*($B1001&gt;(60-PARAM!$B$56))*HLOOKUP(($B1001+PARAM!$B$56)/12,Loyalty,2)*$F$1*MAX(BB1000,0)</f>
        <v>18.557001321003963</v>
      </c>
      <c r="BA1001" s="75">
        <f>PARAM!$C$26+MAX($G$15-CHOOSE(PARAM!$B$44,MAX(0,BB1000*$F$1),0),0)*RATES!$L977/12+$H$15*(PARAM!$D$51/12)*RATES!$N977/100</f>
        <v>1190.0416666666667</v>
      </c>
      <c r="BB1001" s="16">
        <f t="shared" si="683"/>
        <v>-357365.93040422676</v>
      </c>
      <c r="BC1001" s="15">
        <f t="shared" si="658"/>
        <v>22.170849845882874</v>
      </c>
      <c r="BD1001" s="75">
        <f>BC1001*(1-PARAM!$C$27)*$I$16+(MOD($B1001,60)=PARAM!$B$56)*($B1001&gt;(60-PARAM!$B$56))*HLOOKUP(($B1001+PARAM!$B$56)/12,Loyalty,2)*$F$1*MAX(BF1000,0)</f>
        <v>18.557001321003963</v>
      </c>
      <c r="BE1001" s="75">
        <f>PARAM!$C$26+MAX($G$16-CHOOSE(PARAM!$B$44,MAX(0,BF1000*$F$1),0),0)*RATES!$L977/12+$H$16*(PARAM!$D$51/12)*RATES!$N977/100</f>
        <v>1190.0416666666667</v>
      </c>
      <c r="BF1001" s="16">
        <f t="shared" si="684"/>
        <v>-357365.93040422676</v>
      </c>
      <c r="BG1001" s="15">
        <f t="shared" si="659"/>
        <v>22.170849845882874</v>
      </c>
      <c r="BH1001" s="75">
        <f>BG1001*(1-PARAM!$C$27)*$I$17+(MOD($B1001,60)=PARAM!$B$56)*($B1001&gt;(60-PARAM!$B$56))*HLOOKUP(($B1001+PARAM!$B$56)/12,Loyalty,2)*$F$1*MAX(BJ1000,0)</f>
        <v>18.557001321003963</v>
      </c>
      <c r="BI1001" s="75">
        <f>PARAM!$C$26+MAX($G$17-CHOOSE(PARAM!$B$44,MAX(0,BJ1000*$F$1),0),0)*RATES!$L977/12+$H$17*(PARAM!$D$51/12)*RATES!$N977/100</f>
        <v>1190.0416666666667</v>
      </c>
      <c r="BJ1001" s="16">
        <f t="shared" si="685"/>
        <v>-357365.93040422676</v>
      </c>
      <c r="BK1001" s="15">
        <f t="shared" si="660"/>
        <v>22.170849845882874</v>
      </c>
      <c r="BL1001" s="75">
        <f>BK1001*(1-PARAM!$C$27)*$I$18+(MOD($B1001,60)=PARAM!$B$56)*($B1001&gt;(60-PARAM!$B$56))*HLOOKUP(($B1001+PARAM!$B$56)/12,Loyalty,2)*$F$1*MAX(BN1000,0)</f>
        <v>18.557001321003963</v>
      </c>
      <c r="BM1001" s="75">
        <f>PARAM!$C$26+MAX($G$18-CHOOSE(PARAM!$B$44,MAX(0,BN1000*$F$1),0),0)*RATES!$L977/12+$H$18*(PARAM!$D$51/12)*RATES!$N977/100</f>
        <v>1190.0416666666667</v>
      </c>
      <c r="BN1001" s="16">
        <f t="shared" si="686"/>
        <v>-357365.93040422676</v>
      </c>
      <c r="BO1001" s="15">
        <f t="shared" si="661"/>
        <v>22.170849845882874</v>
      </c>
      <c r="BP1001" s="75">
        <f>BO1001*(1-PARAM!$C$27)*$I$19+(MOD($B1001,60)=PARAM!$B$56)*($B1001&gt;(60-PARAM!$B$56))*HLOOKUP(($B1001+PARAM!$B$56)/12,Loyalty,2)*$F$1*MAX(BR1000,0)</f>
        <v>18.557001321003963</v>
      </c>
      <c r="BQ1001" s="75">
        <f>PARAM!$C$26+MAX($G$19-CHOOSE(PARAM!$B$44,MAX(0,BR1000*$F$1),0),0)*RATES!$L977/12+$H$19*(PARAM!$D$51/12)*RATES!$N977/100</f>
        <v>1190.0416666666667</v>
      </c>
      <c r="BR1001" s="16">
        <f t="shared" si="687"/>
        <v>-357365.93040422676</v>
      </c>
      <c r="BS1001" s="15">
        <f t="shared" si="662"/>
        <v>22.170849845882874</v>
      </c>
      <c r="BT1001" s="75">
        <f>BS1001*(1-PARAM!$C$27)*$I$20+(MOD($B1001,60)=PARAM!$B$56)*($B1001&gt;(60-PARAM!$B$56))*HLOOKUP(($B1001+PARAM!$B$56)/12,Loyalty,2)*$F$1*MAX(BV1000,0)</f>
        <v>18.557001321003963</v>
      </c>
      <c r="BU1001" s="75">
        <f>PARAM!$C$26+MAX($G$20-CHOOSE(PARAM!$B$44,MAX(0,BV1000*$F$1),0),0)*RATES!$L977/12+$H$20*(PARAM!$D$51/12)*RATES!$N977/100</f>
        <v>1190.0416666666667</v>
      </c>
      <c r="BV1001" s="16">
        <f t="shared" si="688"/>
        <v>-357365.93040422676</v>
      </c>
      <c r="BW1001" s="15">
        <f t="shared" si="663"/>
        <v>22.170849845882874</v>
      </c>
      <c r="BX1001" s="75">
        <f>BW1001*(1-PARAM!$C$27)*$I$21+(MOD($B1001,60)=PARAM!$B$56)*($B1001&gt;(60-PARAM!$B$56))*HLOOKUP(($B1001+PARAM!$B$56)/12,Loyalty,2)*$F$1*MAX(BZ1000,0)</f>
        <v>18.557001321003963</v>
      </c>
      <c r="BY1001" s="75">
        <f>PARAM!$C$26+MAX($G$21-CHOOSE(PARAM!$B$44,MAX(0,BZ1000*$F$1),0),0)*RATES!$L977/12+$H$21*(PARAM!$D$51/12)*RATES!$N977/100</f>
        <v>1190.0416666666667</v>
      </c>
      <c r="BZ1001" s="16">
        <f t="shared" si="689"/>
        <v>-357365.93040422676</v>
      </c>
      <c r="CA1001" s="15">
        <f t="shared" si="664"/>
        <v>22.170849845882874</v>
      </c>
      <c r="CB1001" s="75">
        <f>CA1001*(1-PARAM!$C$27)*$I$22+(MOD($B1001,60)=PARAM!$B$56)*($B1001&gt;(60-PARAM!$B$56))*HLOOKUP(($B1001+PARAM!$B$56)/12,Loyalty,2)*$F$1*MAX(CD1000,0)</f>
        <v>18.557001321003963</v>
      </c>
      <c r="CC1001" s="75">
        <f>PARAM!$C$26+MAX($G$22-CHOOSE(PARAM!$B$44,MAX(0,CD1000*$F$1),0),0)*RATES!$L977/12+$H$22*(PARAM!$D$51/12)*RATES!$N977/100</f>
        <v>1190.0416666666667</v>
      </c>
      <c r="CD1001" s="16">
        <f t="shared" si="690"/>
        <v>-357365.93040422676</v>
      </c>
      <c r="CE1001" s="33">
        <f>IF(0=MOD(B1001,12/PARAM!$D$51),1,0)</f>
        <v>1</v>
      </c>
      <c r="CF1001" s="15">
        <f t="shared" si="665"/>
        <v>0</v>
      </c>
      <c r="CG1001" s="75">
        <f>CF1001*(1-PARAM!$C$27)*$R$3+(MOD($B1001/12,5)=0)*($B1001&gt;60)*HLOOKUP($B1001/12,Loyalty,2)*$F$1*MAX(CI1000,0)</f>
        <v>0</v>
      </c>
      <c r="CH1001" s="75">
        <f>PARAM!$C$26+MAX($P$3-CHOOSE(PARAM!$B$44,MAX(0,CI1000*$F$1),0),0)*RATES!$L977/12+$Q$3*(PARAM!$D$51/12)*RATES!$N977/100</f>
        <v>1190.0416666666667</v>
      </c>
      <c r="CI1001" s="16">
        <f>IF(CI1000&gt;0,CI1000*PARAM!$C$53,CI1000)+CG1001-CH1001</f>
        <v>-375320.87500000146</v>
      </c>
      <c r="CJ1001" s="15">
        <f t="shared" si="691"/>
        <v>0</v>
      </c>
      <c r="CK1001" s="75">
        <f>CJ1001*(1-PARAM!$C$27)*$R$4+(MOD($B1001/12,5)=0)*($B1001&gt;60)*HLOOKUP($B1001/12,Loyalty,2)*$F$1*MAX(CM1000,0)</f>
        <v>0</v>
      </c>
      <c r="CL1001" s="75">
        <f>PARAM!$C$26+MAX($P$4-CHOOSE(PARAM!$B$44,MAX(0,CM1000*$F$1),0),0)*RATES!$L977/12+$Q$4*(PARAM!$D$51/12)*RATES!$N977/100</f>
        <v>1190.0416666666667</v>
      </c>
      <c r="CM1001" s="16">
        <f>IF(CM1000&gt;0,CM1000*PARAM!$C$53,CM1000)+CK1001-CL1001</f>
        <v>-375320.87500000146</v>
      </c>
      <c r="CO1001" s="176"/>
    </row>
    <row r="1002" spans="1:93" x14ac:dyDescent="0.2">
      <c r="A1002" t="b">
        <f t="shared" si="666"/>
        <v>0</v>
      </c>
      <c r="B1002" s="33">
        <v>975</v>
      </c>
      <c r="C1002" s="15">
        <f t="shared" si="667"/>
        <v>20.081305947392778</v>
      </c>
      <c r="D1002" s="75">
        <f>C1002*(1-PARAM!$C$27)*$I$3+(MOD($B1002,60)=PARAM!$B$56)*($B1002&gt;(60-PARAM!$B$56))*HLOOKUP(($B1002+PARAM!$B$56)/12,Loyalty,2)*$F$1*MAX(F1001,0)</f>
        <v>16.808053077967756</v>
      </c>
      <c r="E1002" s="75">
        <f>PARAM!$C$26+MAX($G$3-CHOOSE(PARAM!$B$44,MAX(0,F1001*$F$1),0),0)*RATES!$L978/12+$H$3*(PARAM!$D$51/12)*RATES!$N978/100</f>
        <v>1190.0416666666667</v>
      </c>
      <c r="F1002" s="16">
        <f t="shared" si="668"/>
        <v>-360279.49010705505</v>
      </c>
      <c r="G1002" s="15">
        <f t="shared" si="669"/>
        <v>22.035289406060361</v>
      </c>
      <c r="H1002" s="75">
        <f>G1002*(1-PARAM!$C$27)*$I$4+(MOD($B1002,60)=PARAM!$B$56)*($B1002&gt;(60-PARAM!$B$56))*HLOOKUP(($B1002+PARAM!$B$56)/12,Loyalty,2)*$F$1*MAX(J1001,0)</f>
        <v>18.443537232872522</v>
      </c>
      <c r="I1002" s="75">
        <f>PARAM!$C$26+MAX($G$4-CHOOSE(PARAM!$B$44,MAX(0,J1001*$F$1),0),0)*RATES!$L978/12+$H$4*(PARAM!$D$51/12)*RATES!$N978/100</f>
        <v>1190.0416666666667</v>
      </c>
      <c r="J1002" s="16">
        <f t="shared" si="670"/>
        <v>-358651.06009189849</v>
      </c>
      <c r="K1002" s="15">
        <f t="shared" si="671"/>
        <v>22.170849845882874</v>
      </c>
      <c r="L1002" s="75">
        <f>K1002*(1-PARAM!$C$27)*$I$5+(MOD($B1002,60)=PARAM!$B$56)*($B1002&gt;(60-PARAM!$B$56))*HLOOKUP(($B1002+PARAM!$B$56)/12,Loyalty,2)*$F$1*MAX(N1001,0)</f>
        <v>18.557001321003963</v>
      </c>
      <c r="M1002" s="75">
        <f>PARAM!$C$26+MAX($G$5-CHOOSE(PARAM!$B$44,MAX(0,N1001*$F$1),0),0)*RATES!$L978/12+$H$5*(PARAM!$D$51/12)*RATES!$N978/100</f>
        <v>1190.0416666666667</v>
      </c>
      <c r="N1002" s="16">
        <f t="shared" si="672"/>
        <v>-358537.41506957245</v>
      </c>
      <c r="O1002" s="15">
        <f t="shared" si="673"/>
        <v>22.170849845882874</v>
      </c>
      <c r="P1002" s="75">
        <f>O1002*(1-PARAM!$C$27)*$I$6+(MOD($B1002,60)=PARAM!$B$56)*($B1002&gt;(60-PARAM!$B$56))*HLOOKUP(($B1002+PARAM!$B$56)/12,Loyalty,2)*$F$1*MAX(R1001,0)</f>
        <v>18.557001321003963</v>
      </c>
      <c r="Q1002" s="75">
        <f>PARAM!$C$26+MAX($G$6-CHOOSE(PARAM!$B$44,MAX(0,R1001*$F$1),0),0)*RATES!$L978/12+$H$6*(PARAM!$D$51/12)*RATES!$N978/100</f>
        <v>1190.0416666666667</v>
      </c>
      <c r="R1002" s="16">
        <f t="shared" si="674"/>
        <v>-358537.41506957245</v>
      </c>
      <c r="S1002" s="15">
        <f t="shared" si="649"/>
        <v>22.170849845882874</v>
      </c>
      <c r="T1002" s="75">
        <f>S1002*(1-PARAM!$C$27)*$I$7+(MOD($B1002,60)=PARAM!$B$56)*($B1002&gt;(60-PARAM!$B$56))*HLOOKUP(($B1002+PARAM!$B$56)/12,Loyalty,2)*$F$1*MAX(V1001,0)</f>
        <v>18.557001321003963</v>
      </c>
      <c r="U1002" s="75">
        <f>PARAM!$C$26+MAX($G$7-CHOOSE(PARAM!$B$44,MAX(0,V1001*$F$1),0),0)*RATES!$L978/12+$H$7*(PARAM!$D$51/12)*RATES!$N978/100</f>
        <v>1190.0416666666667</v>
      </c>
      <c r="V1002" s="16">
        <f t="shared" si="675"/>
        <v>-358537.41506957245</v>
      </c>
      <c r="W1002" s="15">
        <f t="shared" si="650"/>
        <v>22.170849845882874</v>
      </c>
      <c r="X1002" s="75">
        <f>W1002*(1-PARAM!$C$27)*$I$8+(MOD($B1002,60)=PARAM!$B$56)*($B1002&gt;(60-PARAM!$B$56))*HLOOKUP(($B1002+PARAM!$B$56)/12,Loyalty,2)*$F$1*MAX(Z1001,0)</f>
        <v>18.557001321003963</v>
      </c>
      <c r="Y1002" s="75">
        <f>PARAM!$C$26+MAX($G$8-CHOOSE(PARAM!$B$44,MAX(0,Z1001*$F$1),0),0)*RATES!$L978/12+$H$8*(PARAM!$D$51/12)*RATES!$N978/100</f>
        <v>1190.0416666666667</v>
      </c>
      <c r="Z1002" s="16">
        <f t="shared" si="676"/>
        <v>-358537.41506957245</v>
      </c>
      <c r="AA1002" s="15">
        <f t="shared" si="651"/>
        <v>22.170849845882874</v>
      </c>
      <c r="AB1002" s="75">
        <f>AA1002*(1-PARAM!$C$27)*$I$9+(MOD($B1002,60)=PARAM!$B$56)*($B1002&gt;(60-PARAM!$B$56))*HLOOKUP(($B1002+PARAM!$B$56)/12,Loyalty,2)*$F$1*MAX(AD1001,0)</f>
        <v>18.557001321003963</v>
      </c>
      <c r="AC1002" s="75">
        <f>PARAM!$C$26+MAX($G$9-CHOOSE(PARAM!$B$44,MAX(0,AD1001*$F$1),0),0)*RATES!$L978/12+$H$9*(PARAM!$D$51/12)*RATES!$N978/100</f>
        <v>1190.0416666666667</v>
      </c>
      <c r="AD1002" s="16">
        <f t="shared" si="677"/>
        <v>-358537.41506957245</v>
      </c>
      <c r="AE1002" s="15">
        <f t="shared" si="652"/>
        <v>22.170849845882874</v>
      </c>
      <c r="AF1002" s="75">
        <f>AE1002*(1-PARAM!$C$27)*$I$10+(MOD($B1002,60)=PARAM!$B$56)*($B1002&gt;(60-PARAM!$B$56))*HLOOKUP(($B1002+PARAM!$B$56)/12,Loyalty,2)*$F$1*MAX(AH1001,0)</f>
        <v>18.557001321003963</v>
      </c>
      <c r="AG1002" s="75">
        <f>PARAM!$C$26+MAX($G$10-CHOOSE(PARAM!$B$44,MAX(0,AH1001*$F$1),0),0)*RATES!$L978/12+$H$10*(PARAM!$D$51/12)*RATES!$N978/100</f>
        <v>1190.0416666666667</v>
      </c>
      <c r="AH1002" s="16">
        <f t="shared" si="678"/>
        <v>-358537.41506957245</v>
      </c>
      <c r="AI1002" s="15">
        <f t="shared" si="653"/>
        <v>22.170849845882874</v>
      </c>
      <c r="AJ1002" s="75">
        <f>AI1002*(1-PARAM!$C$27)*$I$11+(MOD($B1002,60)=PARAM!$B$56)*($B1002&gt;(60-PARAM!$B$56))*HLOOKUP(($B1002+PARAM!$B$56)/12,Loyalty,2)*$F$1*MAX(AL1001,0)</f>
        <v>18.557001321003963</v>
      </c>
      <c r="AK1002" s="75">
        <f>PARAM!$C$26+MAX($G$11-CHOOSE(PARAM!$B$44,MAX(0,AL1001*$F$1),0),0)*RATES!$L978/12+$H$11*(PARAM!$D$51/12)*RATES!$N978/100</f>
        <v>1190.0416666666667</v>
      </c>
      <c r="AL1002" s="16">
        <f t="shared" si="679"/>
        <v>-358537.41506957245</v>
      </c>
      <c r="AM1002" s="15">
        <f t="shared" si="654"/>
        <v>22.170849845882874</v>
      </c>
      <c r="AN1002" s="75">
        <f>AM1002*(1-PARAM!$C$27)*$I$12+(MOD($B1002,60)=PARAM!$B$56)*($B1002&gt;(60-PARAM!$B$56))*HLOOKUP(($B1002+PARAM!$B$56)/12,Loyalty,2)*$F$1*MAX(AP1001,0)</f>
        <v>18.557001321003963</v>
      </c>
      <c r="AO1002" s="75">
        <f>PARAM!$C$26+MAX($G$12-CHOOSE(PARAM!$B$44,MAX(0,AP1001*$F$1),0),0)*RATES!$L978/12+$H$12*(PARAM!$D$51/12)*RATES!$N978/100</f>
        <v>1190.0416666666667</v>
      </c>
      <c r="AP1002" s="16">
        <f t="shared" si="680"/>
        <v>-358537.41506957245</v>
      </c>
      <c r="AQ1002" s="15">
        <f t="shared" si="655"/>
        <v>22.170849845882874</v>
      </c>
      <c r="AR1002" s="75">
        <f>AQ1002*(1-PARAM!$C$27)*$I$13+(MOD($B1002,60)=PARAM!$B$56)*($B1002&gt;(60-PARAM!$B$56))*HLOOKUP(($B1002+PARAM!$B$56)/12,Loyalty,2)*$F$1*MAX(AT1001,0)</f>
        <v>18.557001321003963</v>
      </c>
      <c r="AS1002" s="75">
        <f>PARAM!$C$26+MAX($G$13-CHOOSE(PARAM!$B$44,MAX(0,AT1001*$F$1),0),0)*RATES!$L978/12+$H$13*(PARAM!$D$51/12)*RATES!$N978/100</f>
        <v>1190.0416666666667</v>
      </c>
      <c r="AT1002" s="16">
        <f t="shared" si="681"/>
        <v>-358537.41506957245</v>
      </c>
      <c r="AU1002" s="15">
        <f t="shared" si="656"/>
        <v>22.170849845882874</v>
      </c>
      <c r="AV1002" s="75">
        <f>AU1002*(1-PARAM!$C$27)*$I$14+(MOD($B1002,60)=PARAM!$B$56)*($B1002&gt;(60-PARAM!$B$56))*HLOOKUP(($B1002+PARAM!$B$56)/12,Loyalty,2)*$F$1*MAX(AX1001,0)</f>
        <v>18.557001321003963</v>
      </c>
      <c r="AW1002" s="75">
        <f>PARAM!$C$26+MAX($G$14-CHOOSE(PARAM!$B$44,MAX(0,AX1001*$F$1),0),0)*RATES!$L978/12+$H$14*(PARAM!$D$51/12)*RATES!$N978/100</f>
        <v>1190.0416666666667</v>
      </c>
      <c r="AX1002" s="16">
        <f t="shared" si="682"/>
        <v>-358537.41506957245</v>
      </c>
      <c r="AY1002" s="15">
        <f t="shared" si="657"/>
        <v>22.170849845882874</v>
      </c>
      <c r="AZ1002" s="75">
        <f>AY1002*(1-PARAM!$C$27)*$I$15+(MOD($B1002,60)=PARAM!$B$56)*($B1002&gt;(60-PARAM!$B$56))*HLOOKUP(($B1002+PARAM!$B$56)/12,Loyalty,2)*$F$1*MAX(BB1001,0)</f>
        <v>18.557001321003963</v>
      </c>
      <c r="BA1002" s="75">
        <f>PARAM!$C$26+MAX($G$15-CHOOSE(PARAM!$B$44,MAX(0,BB1001*$F$1),0),0)*RATES!$L978/12+$H$15*(PARAM!$D$51/12)*RATES!$N978/100</f>
        <v>1190.0416666666667</v>
      </c>
      <c r="BB1002" s="16">
        <f t="shared" si="683"/>
        <v>-358537.41506957245</v>
      </c>
      <c r="BC1002" s="15">
        <f t="shared" si="658"/>
        <v>22.170849845882874</v>
      </c>
      <c r="BD1002" s="75">
        <f>BC1002*(1-PARAM!$C$27)*$I$16+(MOD($B1002,60)=PARAM!$B$56)*($B1002&gt;(60-PARAM!$B$56))*HLOOKUP(($B1002+PARAM!$B$56)/12,Loyalty,2)*$F$1*MAX(BF1001,0)</f>
        <v>18.557001321003963</v>
      </c>
      <c r="BE1002" s="75">
        <f>PARAM!$C$26+MAX($G$16-CHOOSE(PARAM!$B$44,MAX(0,BF1001*$F$1),0),0)*RATES!$L978/12+$H$16*(PARAM!$D$51/12)*RATES!$N978/100</f>
        <v>1190.0416666666667</v>
      </c>
      <c r="BF1002" s="16">
        <f t="shared" si="684"/>
        <v>-358537.41506957245</v>
      </c>
      <c r="BG1002" s="15">
        <f t="shared" si="659"/>
        <v>22.170849845882874</v>
      </c>
      <c r="BH1002" s="75">
        <f>BG1002*(1-PARAM!$C$27)*$I$17+(MOD($B1002,60)=PARAM!$B$56)*($B1002&gt;(60-PARAM!$B$56))*HLOOKUP(($B1002+PARAM!$B$56)/12,Loyalty,2)*$F$1*MAX(BJ1001,0)</f>
        <v>18.557001321003963</v>
      </c>
      <c r="BI1002" s="75">
        <f>PARAM!$C$26+MAX($G$17-CHOOSE(PARAM!$B$44,MAX(0,BJ1001*$F$1),0),0)*RATES!$L978/12+$H$17*(PARAM!$D$51/12)*RATES!$N978/100</f>
        <v>1190.0416666666667</v>
      </c>
      <c r="BJ1002" s="16">
        <f t="shared" si="685"/>
        <v>-358537.41506957245</v>
      </c>
      <c r="BK1002" s="15">
        <f t="shared" si="660"/>
        <v>22.170849845882874</v>
      </c>
      <c r="BL1002" s="75">
        <f>BK1002*(1-PARAM!$C$27)*$I$18+(MOD($B1002,60)=PARAM!$B$56)*($B1002&gt;(60-PARAM!$B$56))*HLOOKUP(($B1002+PARAM!$B$56)/12,Loyalty,2)*$F$1*MAX(BN1001,0)</f>
        <v>18.557001321003963</v>
      </c>
      <c r="BM1002" s="75">
        <f>PARAM!$C$26+MAX($G$18-CHOOSE(PARAM!$B$44,MAX(0,BN1001*$F$1),0),0)*RATES!$L978/12+$H$18*(PARAM!$D$51/12)*RATES!$N978/100</f>
        <v>1190.0416666666667</v>
      </c>
      <c r="BN1002" s="16">
        <f t="shared" si="686"/>
        <v>-358537.41506957245</v>
      </c>
      <c r="BO1002" s="15">
        <f t="shared" si="661"/>
        <v>22.170849845882874</v>
      </c>
      <c r="BP1002" s="75">
        <f>BO1002*(1-PARAM!$C$27)*$I$19+(MOD($B1002,60)=PARAM!$B$56)*($B1002&gt;(60-PARAM!$B$56))*HLOOKUP(($B1002+PARAM!$B$56)/12,Loyalty,2)*$F$1*MAX(BR1001,0)</f>
        <v>18.557001321003963</v>
      </c>
      <c r="BQ1002" s="75">
        <f>PARAM!$C$26+MAX($G$19-CHOOSE(PARAM!$B$44,MAX(0,BR1001*$F$1),0),0)*RATES!$L978/12+$H$19*(PARAM!$D$51/12)*RATES!$N978/100</f>
        <v>1190.0416666666667</v>
      </c>
      <c r="BR1002" s="16">
        <f t="shared" si="687"/>
        <v>-358537.41506957245</v>
      </c>
      <c r="BS1002" s="15">
        <f t="shared" si="662"/>
        <v>22.170849845882874</v>
      </c>
      <c r="BT1002" s="75">
        <f>BS1002*(1-PARAM!$C$27)*$I$20+(MOD($B1002,60)=PARAM!$B$56)*($B1002&gt;(60-PARAM!$B$56))*HLOOKUP(($B1002+PARAM!$B$56)/12,Loyalty,2)*$F$1*MAX(BV1001,0)</f>
        <v>18.557001321003963</v>
      </c>
      <c r="BU1002" s="75">
        <f>PARAM!$C$26+MAX($G$20-CHOOSE(PARAM!$B$44,MAX(0,BV1001*$F$1),0),0)*RATES!$L978/12+$H$20*(PARAM!$D$51/12)*RATES!$N978/100</f>
        <v>1190.0416666666667</v>
      </c>
      <c r="BV1002" s="16">
        <f t="shared" si="688"/>
        <v>-358537.41506957245</v>
      </c>
      <c r="BW1002" s="15">
        <f t="shared" si="663"/>
        <v>22.170849845882874</v>
      </c>
      <c r="BX1002" s="75">
        <f>BW1002*(1-PARAM!$C$27)*$I$21+(MOD($B1002,60)=PARAM!$B$56)*($B1002&gt;(60-PARAM!$B$56))*HLOOKUP(($B1002+PARAM!$B$56)/12,Loyalty,2)*$F$1*MAX(BZ1001,0)</f>
        <v>18.557001321003963</v>
      </c>
      <c r="BY1002" s="75">
        <f>PARAM!$C$26+MAX($G$21-CHOOSE(PARAM!$B$44,MAX(0,BZ1001*$F$1),0),0)*RATES!$L978/12+$H$21*(PARAM!$D$51/12)*RATES!$N978/100</f>
        <v>1190.0416666666667</v>
      </c>
      <c r="BZ1002" s="16">
        <f t="shared" si="689"/>
        <v>-358537.41506957245</v>
      </c>
      <c r="CA1002" s="15">
        <f t="shared" si="664"/>
        <v>22.170849845882874</v>
      </c>
      <c r="CB1002" s="75">
        <f>CA1002*(1-PARAM!$C$27)*$I$22+(MOD($B1002,60)=PARAM!$B$56)*($B1002&gt;(60-PARAM!$B$56))*HLOOKUP(($B1002+PARAM!$B$56)/12,Loyalty,2)*$F$1*MAX(CD1001,0)</f>
        <v>18.557001321003963</v>
      </c>
      <c r="CC1002" s="75">
        <f>PARAM!$C$26+MAX($G$22-CHOOSE(PARAM!$B$44,MAX(0,CD1001*$F$1),0),0)*RATES!$L978/12+$H$22*(PARAM!$D$51/12)*RATES!$N978/100</f>
        <v>1190.0416666666667</v>
      </c>
      <c r="CD1002" s="16">
        <f t="shared" si="690"/>
        <v>-358537.41506957245</v>
      </c>
      <c r="CE1002" s="33">
        <f>IF(0=MOD(B1002,12/PARAM!$D$51),1,0)</f>
        <v>1</v>
      </c>
      <c r="CF1002" s="15">
        <f t="shared" si="665"/>
        <v>0</v>
      </c>
      <c r="CG1002" s="75">
        <f>CF1002*(1-PARAM!$C$27)*$R$3+(MOD($B1002/12,5)=0)*($B1002&gt;60)*HLOOKUP($B1002/12,Loyalty,2)*$F$1*MAX(CI1001,0)</f>
        <v>0</v>
      </c>
      <c r="CH1002" s="75">
        <f>PARAM!$C$26+MAX($P$3-CHOOSE(PARAM!$B$44,MAX(0,CI1001*$F$1),0),0)*RATES!$L978/12+$Q$3*(PARAM!$D$51/12)*RATES!$N978/100</f>
        <v>1190.0416666666667</v>
      </c>
      <c r="CI1002" s="16">
        <f>IF(CI1001&gt;0,CI1001*PARAM!$C$53,CI1001)+CG1002-CH1002</f>
        <v>-376510.91666666814</v>
      </c>
      <c r="CJ1002" s="15">
        <f t="shared" si="691"/>
        <v>0</v>
      </c>
      <c r="CK1002" s="75">
        <f>CJ1002*(1-PARAM!$C$27)*$R$4+(MOD($B1002/12,5)=0)*($B1002&gt;60)*HLOOKUP($B1002/12,Loyalty,2)*$F$1*MAX(CM1001,0)</f>
        <v>0</v>
      </c>
      <c r="CL1002" s="75">
        <f>PARAM!$C$26+MAX($P$4-CHOOSE(PARAM!$B$44,MAX(0,CM1001*$F$1),0),0)*RATES!$L978/12+$Q$4*(PARAM!$D$51/12)*RATES!$N978/100</f>
        <v>1190.0416666666667</v>
      </c>
      <c r="CM1002" s="16">
        <f>IF(CM1001&gt;0,CM1001*PARAM!$C$53,CM1001)+CK1002-CL1002</f>
        <v>-376510.91666666814</v>
      </c>
      <c r="CO1002" s="176"/>
    </row>
    <row r="1003" spans="1:93" x14ac:dyDescent="0.2">
      <c r="A1003" t="b">
        <f t="shared" si="666"/>
        <v>0</v>
      </c>
      <c r="B1003" s="33">
        <v>976</v>
      </c>
      <c r="C1003" s="15">
        <f t="shared" si="667"/>
        <v>20.081305947392778</v>
      </c>
      <c r="D1003" s="75">
        <f>C1003*(1-PARAM!$C$27)*$I$3+(MOD($B1003,60)=PARAM!$B$56)*($B1003&gt;(60-PARAM!$B$56))*HLOOKUP(($B1003+PARAM!$B$56)/12,Loyalty,2)*$F$1*MAX(F1002,0)</f>
        <v>16.808053077967756</v>
      </c>
      <c r="E1003" s="75">
        <f>PARAM!$C$26+MAX($G$3-CHOOSE(PARAM!$B$44,MAX(0,F1002*$F$1),0),0)*RATES!$L979/12+$H$3*(PARAM!$D$51/12)*RATES!$N979/100</f>
        <v>1190.0416666666667</v>
      </c>
      <c r="F1003" s="16">
        <f t="shared" si="668"/>
        <v>-361452.72372064379</v>
      </c>
      <c r="G1003" s="15">
        <f t="shared" si="669"/>
        <v>22.035289406060361</v>
      </c>
      <c r="H1003" s="75">
        <f>G1003*(1-PARAM!$C$27)*$I$4+(MOD($B1003,60)=PARAM!$B$56)*($B1003&gt;(60-PARAM!$B$56))*HLOOKUP(($B1003+PARAM!$B$56)/12,Loyalty,2)*$F$1*MAX(J1002,0)</f>
        <v>18.443537232872522</v>
      </c>
      <c r="I1003" s="75">
        <f>PARAM!$C$26+MAX($G$4-CHOOSE(PARAM!$B$44,MAX(0,J1002*$F$1),0),0)*RATES!$L979/12+$H$4*(PARAM!$D$51/12)*RATES!$N979/100</f>
        <v>1190.0416666666667</v>
      </c>
      <c r="J1003" s="16">
        <f t="shared" si="670"/>
        <v>-359822.6582213323</v>
      </c>
      <c r="K1003" s="15">
        <f t="shared" si="671"/>
        <v>22.170849845882874</v>
      </c>
      <c r="L1003" s="75">
        <f>K1003*(1-PARAM!$C$27)*$I$5+(MOD($B1003,60)=PARAM!$B$56)*($B1003&gt;(60-PARAM!$B$56))*HLOOKUP(($B1003+PARAM!$B$56)/12,Loyalty,2)*$F$1*MAX(N1002,0)</f>
        <v>18.557001321003963</v>
      </c>
      <c r="M1003" s="75">
        <f>PARAM!$C$26+MAX($G$5-CHOOSE(PARAM!$B$44,MAX(0,N1002*$F$1),0),0)*RATES!$L979/12+$H$5*(PARAM!$D$51/12)*RATES!$N979/100</f>
        <v>1190.0416666666667</v>
      </c>
      <c r="N1003" s="16">
        <f t="shared" si="672"/>
        <v>-359708.89973491814</v>
      </c>
      <c r="O1003" s="15">
        <f t="shared" si="673"/>
        <v>22.170849845882874</v>
      </c>
      <c r="P1003" s="75">
        <f>O1003*(1-PARAM!$C$27)*$I$6+(MOD($B1003,60)=PARAM!$B$56)*($B1003&gt;(60-PARAM!$B$56))*HLOOKUP(($B1003+PARAM!$B$56)/12,Loyalty,2)*$F$1*MAX(R1002,0)</f>
        <v>18.557001321003963</v>
      </c>
      <c r="Q1003" s="75">
        <f>PARAM!$C$26+MAX($G$6-CHOOSE(PARAM!$B$44,MAX(0,R1002*$F$1),0),0)*RATES!$L979/12+$H$6*(PARAM!$D$51/12)*RATES!$N979/100</f>
        <v>1190.0416666666667</v>
      </c>
      <c r="R1003" s="16">
        <f t="shared" si="674"/>
        <v>-359708.89973491814</v>
      </c>
      <c r="S1003" s="15">
        <f t="shared" si="649"/>
        <v>22.170849845882874</v>
      </c>
      <c r="T1003" s="75">
        <f>S1003*(1-PARAM!$C$27)*$I$7+(MOD($B1003,60)=PARAM!$B$56)*($B1003&gt;(60-PARAM!$B$56))*HLOOKUP(($B1003+PARAM!$B$56)/12,Loyalty,2)*$F$1*MAX(V1002,0)</f>
        <v>18.557001321003963</v>
      </c>
      <c r="U1003" s="75">
        <f>PARAM!$C$26+MAX($G$7-CHOOSE(PARAM!$B$44,MAX(0,V1002*$F$1),0),0)*RATES!$L979/12+$H$7*(PARAM!$D$51/12)*RATES!$N979/100</f>
        <v>1190.0416666666667</v>
      </c>
      <c r="V1003" s="16">
        <f t="shared" si="675"/>
        <v>-359708.89973491814</v>
      </c>
      <c r="W1003" s="15">
        <f t="shared" si="650"/>
        <v>22.170849845882874</v>
      </c>
      <c r="X1003" s="75">
        <f>W1003*(1-PARAM!$C$27)*$I$8+(MOD($B1003,60)=PARAM!$B$56)*($B1003&gt;(60-PARAM!$B$56))*HLOOKUP(($B1003+PARAM!$B$56)/12,Loyalty,2)*$F$1*MAX(Z1002,0)</f>
        <v>18.557001321003963</v>
      </c>
      <c r="Y1003" s="75">
        <f>PARAM!$C$26+MAX($G$8-CHOOSE(PARAM!$B$44,MAX(0,Z1002*$F$1),0),0)*RATES!$L979/12+$H$8*(PARAM!$D$51/12)*RATES!$N979/100</f>
        <v>1190.0416666666667</v>
      </c>
      <c r="Z1003" s="16">
        <f t="shared" si="676"/>
        <v>-359708.89973491814</v>
      </c>
      <c r="AA1003" s="15">
        <f t="shared" si="651"/>
        <v>22.170849845882874</v>
      </c>
      <c r="AB1003" s="75">
        <f>AA1003*(1-PARAM!$C$27)*$I$9+(MOD($B1003,60)=PARAM!$B$56)*($B1003&gt;(60-PARAM!$B$56))*HLOOKUP(($B1003+PARAM!$B$56)/12,Loyalty,2)*$F$1*MAX(AD1002,0)</f>
        <v>18.557001321003963</v>
      </c>
      <c r="AC1003" s="75">
        <f>PARAM!$C$26+MAX($G$9-CHOOSE(PARAM!$B$44,MAX(0,AD1002*$F$1),0),0)*RATES!$L979/12+$H$9*(PARAM!$D$51/12)*RATES!$N979/100</f>
        <v>1190.0416666666667</v>
      </c>
      <c r="AD1003" s="16">
        <f t="shared" si="677"/>
        <v>-359708.89973491814</v>
      </c>
      <c r="AE1003" s="15">
        <f t="shared" si="652"/>
        <v>22.170849845882874</v>
      </c>
      <c r="AF1003" s="75">
        <f>AE1003*(1-PARAM!$C$27)*$I$10+(MOD($B1003,60)=PARAM!$B$56)*($B1003&gt;(60-PARAM!$B$56))*HLOOKUP(($B1003+PARAM!$B$56)/12,Loyalty,2)*$F$1*MAX(AH1002,0)</f>
        <v>18.557001321003963</v>
      </c>
      <c r="AG1003" s="75">
        <f>PARAM!$C$26+MAX($G$10-CHOOSE(PARAM!$B$44,MAX(0,AH1002*$F$1),0),0)*RATES!$L979/12+$H$10*(PARAM!$D$51/12)*RATES!$N979/100</f>
        <v>1190.0416666666667</v>
      </c>
      <c r="AH1003" s="16">
        <f t="shared" si="678"/>
        <v>-359708.89973491814</v>
      </c>
      <c r="AI1003" s="15">
        <f t="shared" si="653"/>
        <v>22.170849845882874</v>
      </c>
      <c r="AJ1003" s="75">
        <f>AI1003*(1-PARAM!$C$27)*$I$11+(MOD($B1003,60)=PARAM!$B$56)*($B1003&gt;(60-PARAM!$B$56))*HLOOKUP(($B1003+PARAM!$B$56)/12,Loyalty,2)*$F$1*MAX(AL1002,0)</f>
        <v>18.557001321003963</v>
      </c>
      <c r="AK1003" s="75">
        <f>PARAM!$C$26+MAX($G$11-CHOOSE(PARAM!$B$44,MAX(0,AL1002*$F$1),0),0)*RATES!$L979/12+$H$11*(PARAM!$D$51/12)*RATES!$N979/100</f>
        <v>1190.0416666666667</v>
      </c>
      <c r="AL1003" s="16">
        <f t="shared" si="679"/>
        <v>-359708.89973491814</v>
      </c>
      <c r="AM1003" s="15">
        <f t="shared" si="654"/>
        <v>22.170849845882874</v>
      </c>
      <c r="AN1003" s="75">
        <f>AM1003*(1-PARAM!$C$27)*$I$12+(MOD($B1003,60)=PARAM!$B$56)*($B1003&gt;(60-PARAM!$B$56))*HLOOKUP(($B1003+PARAM!$B$56)/12,Loyalty,2)*$F$1*MAX(AP1002,0)</f>
        <v>18.557001321003963</v>
      </c>
      <c r="AO1003" s="75">
        <f>PARAM!$C$26+MAX($G$12-CHOOSE(PARAM!$B$44,MAX(0,AP1002*$F$1),0),0)*RATES!$L979/12+$H$12*(PARAM!$D$51/12)*RATES!$N979/100</f>
        <v>1190.0416666666667</v>
      </c>
      <c r="AP1003" s="16">
        <f t="shared" si="680"/>
        <v>-359708.89973491814</v>
      </c>
      <c r="AQ1003" s="15">
        <f t="shared" si="655"/>
        <v>22.170849845882874</v>
      </c>
      <c r="AR1003" s="75">
        <f>AQ1003*(1-PARAM!$C$27)*$I$13+(MOD($B1003,60)=PARAM!$B$56)*($B1003&gt;(60-PARAM!$B$56))*HLOOKUP(($B1003+PARAM!$B$56)/12,Loyalty,2)*$F$1*MAX(AT1002,0)</f>
        <v>18.557001321003963</v>
      </c>
      <c r="AS1003" s="75">
        <f>PARAM!$C$26+MAX($G$13-CHOOSE(PARAM!$B$44,MAX(0,AT1002*$F$1),0),0)*RATES!$L979/12+$H$13*(PARAM!$D$51/12)*RATES!$N979/100</f>
        <v>1190.0416666666667</v>
      </c>
      <c r="AT1003" s="16">
        <f t="shared" si="681"/>
        <v>-359708.89973491814</v>
      </c>
      <c r="AU1003" s="15">
        <f t="shared" si="656"/>
        <v>22.170849845882874</v>
      </c>
      <c r="AV1003" s="75">
        <f>AU1003*(1-PARAM!$C$27)*$I$14+(MOD($B1003,60)=PARAM!$B$56)*($B1003&gt;(60-PARAM!$B$56))*HLOOKUP(($B1003+PARAM!$B$56)/12,Loyalty,2)*$F$1*MAX(AX1002,0)</f>
        <v>18.557001321003963</v>
      </c>
      <c r="AW1003" s="75">
        <f>PARAM!$C$26+MAX($G$14-CHOOSE(PARAM!$B$44,MAX(0,AX1002*$F$1),0),0)*RATES!$L979/12+$H$14*(PARAM!$D$51/12)*RATES!$N979/100</f>
        <v>1190.0416666666667</v>
      </c>
      <c r="AX1003" s="16">
        <f t="shared" si="682"/>
        <v>-359708.89973491814</v>
      </c>
      <c r="AY1003" s="15">
        <f t="shared" si="657"/>
        <v>22.170849845882874</v>
      </c>
      <c r="AZ1003" s="75">
        <f>AY1003*(1-PARAM!$C$27)*$I$15+(MOD($B1003,60)=PARAM!$B$56)*($B1003&gt;(60-PARAM!$B$56))*HLOOKUP(($B1003+PARAM!$B$56)/12,Loyalty,2)*$F$1*MAX(BB1002,0)</f>
        <v>18.557001321003963</v>
      </c>
      <c r="BA1003" s="75">
        <f>PARAM!$C$26+MAX($G$15-CHOOSE(PARAM!$B$44,MAX(0,BB1002*$F$1),0),0)*RATES!$L979/12+$H$15*(PARAM!$D$51/12)*RATES!$N979/100</f>
        <v>1190.0416666666667</v>
      </c>
      <c r="BB1003" s="16">
        <f t="shared" si="683"/>
        <v>-359708.89973491814</v>
      </c>
      <c r="BC1003" s="15">
        <f t="shared" si="658"/>
        <v>22.170849845882874</v>
      </c>
      <c r="BD1003" s="75">
        <f>BC1003*(1-PARAM!$C$27)*$I$16+(MOD($B1003,60)=PARAM!$B$56)*($B1003&gt;(60-PARAM!$B$56))*HLOOKUP(($B1003+PARAM!$B$56)/12,Loyalty,2)*$F$1*MAX(BF1002,0)</f>
        <v>18.557001321003963</v>
      </c>
      <c r="BE1003" s="75">
        <f>PARAM!$C$26+MAX($G$16-CHOOSE(PARAM!$B$44,MAX(0,BF1002*$F$1),0),0)*RATES!$L979/12+$H$16*(PARAM!$D$51/12)*RATES!$N979/100</f>
        <v>1190.0416666666667</v>
      </c>
      <c r="BF1003" s="16">
        <f t="shared" si="684"/>
        <v>-359708.89973491814</v>
      </c>
      <c r="BG1003" s="15">
        <f t="shared" si="659"/>
        <v>22.170849845882874</v>
      </c>
      <c r="BH1003" s="75">
        <f>BG1003*(1-PARAM!$C$27)*$I$17+(MOD($B1003,60)=PARAM!$B$56)*($B1003&gt;(60-PARAM!$B$56))*HLOOKUP(($B1003+PARAM!$B$56)/12,Loyalty,2)*$F$1*MAX(BJ1002,0)</f>
        <v>18.557001321003963</v>
      </c>
      <c r="BI1003" s="75">
        <f>PARAM!$C$26+MAX($G$17-CHOOSE(PARAM!$B$44,MAX(0,BJ1002*$F$1),0),0)*RATES!$L979/12+$H$17*(PARAM!$D$51/12)*RATES!$N979/100</f>
        <v>1190.0416666666667</v>
      </c>
      <c r="BJ1003" s="16">
        <f t="shared" si="685"/>
        <v>-359708.89973491814</v>
      </c>
      <c r="BK1003" s="15">
        <f t="shared" si="660"/>
        <v>22.170849845882874</v>
      </c>
      <c r="BL1003" s="75">
        <f>BK1003*(1-PARAM!$C$27)*$I$18+(MOD($B1003,60)=PARAM!$B$56)*($B1003&gt;(60-PARAM!$B$56))*HLOOKUP(($B1003+PARAM!$B$56)/12,Loyalty,2)*$F$1*MAX(BN1002,0)</f>
        <v>18.557001321003963</v>
      </c>
      <c r="BM1003" s="75">
        <f>PARAM!$C$26+MAX($G$18-CHOOSE(PARAM!$B$44,MAX(0,BN1002*$F$1),0),0)*RATES!$L979/12+$H$18*(PARAM!$D$51/12)*RATES!$N979/100</f>
        <v>1190.0416666666667</v>
      </c>
      <c r="BN1003" s="16">
        <f t="shared" si="686"/>
        <v>-359708.89973491814</v>
      </c>
      <c r="BO1003" s="15">
        <f t="shared" si="661"/>
        <v>22.170849845882874</v>
      </c>
      <c r="BP1003" s="75">
        <f>BO1003*(1-PARAM!$C$27)*$I$19+(MOD($B1003,60)=PARAM!$B$56)*($B1003&gt;(60-PARAM!$B$56))*HLOOKUP(($B1003+PARAM!$B$56)/12,Loyalty,2)*$F$1*MAX(BR1002,0)</f>
        <v>18.557001321003963</v>
      </c>
      <c r="BQ1003" s="75">
        <f>PARAM!$C$26+MAX($G$19-CHOOSE(PARAM!$B$44,MAX(0,BR1002*$F$1),0),0)*RATES!$L979/12+$H$19*(PARAM!$D$51/12)*RATES!$N979/100</f>
        <v>1190.0416666666667</v>
      </c>
      <c r="BR1003" s="16">
        <f t="shared" si="687"/>
        <v>-359708.89973491814</v>
      </c>
      <c r="BS1003" s="15">
        <f t="shared" si="662"/>
        <v>22.170849845882874</v>
      </c>
      <c r="BT1003" s="75">
        <f>BS1003*(1-PARAM!$C$27)*$I$20+(MOD($B1003,60)=PARAM!$B$56)*($B1003&gt;(60-PARAM!$B$56))*HLOOKUP(($B1003+PARAM!$B$56)/12,Loyalty,2)*$F$1*MAX(BV1002,0)</f>
        <v>18.557001321003963</v>
      </c>
      <c r="BU1003" s="75">
        <f>PARAM!$C$26+MAX($G$20-CHOOSE(PARAM!$B$44,MAX(0,BV1002*$F$1),0),0)*RATES!$L979/12+$H$20*(PARAM!$D$51/12)*RATES!$N979/100</f>
        <v>1190.0416666666667</v>
      </c>
      <c r="BV1003" s="16">
        <f t="shared" si="688"/>
        <v>-359708.89973491814</v>
      </c>
      <c r="BW1003" s="15">
        <f t="shared" si="663"/>
        <v>22.170849845882874</v>
      </c>
      <c r="BX1003" s="75">
        <f>BW1003*(1-PARAM!$C$27)*$I$21+(MOD($B1003,60)=PARAM!$B$56)*($B1003&gt;(60-PARAM!$B$56))*HLOOKUP(($B1003+PARAM!$B$56)/12,Loyalty,2)*$F$1*MAX(BZ1002,0)</f>
        <v>18.557001321003963</v>
      </c>
      <c r="BY1003" s="75">
        <f>PARAM!$C$26+MAX($G$21-CHOOSE(PARAM!$B$44,MAX(0,BZ1002*$F$1),0),0)*RATES!$L979/12+$H$21*(PARAM!$D$51/12)*RATES!$N979/100</f>
        <v>1190.0416666666667</v>
      </c>
      <c r="BZ1003" s="16">
        <f t="shared" si="689"/>
        <v>-359708.89973491814</v>
      </c>
      <c r="CA1003" s="15">
        <f t="shared" si="664"/>
        <v>22.170849845882874</v>
      </c>
      <c r="CB1003" s="75">
        <f>CA1003*(1-PARAM!$C$27)*$I$22+(MOD($B1003,60)=PARAM!$B$56)*($B1003&gt;(60-PARAM!$B$56))*HLOOKUP(($B1003+PARAM!$B$56)/12,Loyalty,2)*$F$1*MAX(CD1002,0)</f>
        <v>18.557001321003963</v>
      </c>
      <c r="CC1003" s="75">
        <f>PARAM!$C$26+MAX($G$22-CHOOSE(PARAM!$B$44,MAX(0,CD1002*$F$1),0),0)*RATES!$L979/12+$H$22*(PARAM!$D$51/12)*RATES!$N979/100</f>
        <v>1190.0416666666667</v>
      </c>
      <c r="CD1003" s="16">
        <f t="shared" si="690"/>
        <v>-359708.89973491814</v>
      </c>
      <c r="CE1003" s="33">
        <f>IF(0=MOD(B1003,12/PARAM!$D$51),1,0)</f>
        <v>1</v>
      </c>
      <c r="CF1003" s="15">
        <f t="shared" si="665"/>
        <v>0</v>
      </c>
      <c r="CG1003" s="75">
        <f>CF1003*(1-PARAM!$C$27)*$R$3+(MOD($B1003/12,5)=0)*($B1003&gt;60)*HLOOKUP($B1003/12,Loyalty,2)*$F$1*MAX(CI1002,0)</f>
        <v>0</v>
      </c>
      <c r="CH1003" s="75">
        <f>PARAM!$C$26+MAX($P$3-CHOOSE(PARAM!$B$44,MAX(0,CI1002*$F$1),0),0)*RATES!$L979/12+$Q$3*(PARAM!$D$51/12)*RATES!$N979/100</f>
        <v>1190.0416666666667</v>
      </c>
      <c r="CI1003" s="16">
        <f>IF(CI1002&gt;0,CI1002*PARAM!$C$53,CI1002)+CG1003-CH1003</f>
        <v>-377700.95833333483</v>
      </c>
      <c r="CJ1003" s="15">
        <f t="shared" si="691"/>
        <v>0</v>
      </c>
      <c r="CK1003" s="75">
        <f>CJ1003*(1-PARAM!$C$27)*$R$4+(MOD($B1003/12,5)=0)*($B1003&gt;60)*HLOOKUP($B1003/12,Loyalty,2)*$F$1*MAX(CM1002,0)</f>
        <v>0</v>
      </c>
      <c r="CL1003" s="75">
        <f>PARAM!$C$26+MAX($P$4-CHOOSE(PARAM!$B$44,MAX(0,CM1002*$F$1),0),0)*RATES!$L979/12+$Q$4*(PARAM!$D$51/12)*RATES!$N979/100</f>
        <v>1190.0416666666667</v>
      </c>
      <c r="CM1003" s="16">
        <f>IF(CM1002&gt;0,CM1002*PARAM!$C$53,CM1002)+CK1003-CL1003</f>
        <v>-377700.95833333483</v>
      </c>
      <c r="CO1003" s="176"/>
    </row>
    <row r="1004" spans="1:93" x14ac:dyDescent="0.2">
      <c r="A1004" t="b">
        <f t="shared" si="666"/>
        <v>0</v>
      </c>
      <c r="B1004" s="33">
        <v>977</v>
      </c>
      <c r="C1004" s="15">
        <f t="shared" si="667"/>
        <v>20.081305947392778</v>
      </c>
      <c r="D1004" s="75">
        <f>C1004*(1-PARAM!$C$27)*$I$3+(MOD($B1004,60)=PARAM!$B$56)*($B1004&gt;(60-PARAM!$B$56))*HLOOKUP(($B1004+PARAM!$B$56)/12,Loyalty,2)*$F$1*MAX(F1003,0)</f>
        <v>16.808053077967756</v>
      </c>
      <c r="E1004" s="75">
        <f>PARAM!$C$26+MAX($G$3-CHOOSE(PARAM!$B$44,MAX(0,F1003*$F$1),0),0)*RATES!$L980/12+$H$3*(PARAM!$D$51/12)*RATES!$N980/100</f>
        <v>1190.0416666666667</v>
      </c>
      <c r="F1004" s="16">
        <f t="shared" si="668"/>
        <v>-362625.95733423252</v>
      </c>
      <c r="G1004" s="15">
        <f t="shared" si="669"/>
        <v>22.035289406060361</v>
      </c>
      <c r="H1004" s="75">
        <f>G1004*(1-PARAM!$C$27)*$I$4+(MOD($B1004,60)=PARAM!$B$56)*($B1004&gt;(60-PARAM!$B$56))*HLOOKUP(($B1004+PARAM!$B$56)/12,Loyalty,2)*$F$1*MAX(J1003,0)</f>
        <v>18.443537232872522</v>
      </c>
      <c r="I1004" s="75">
        <f>PARAM!$C$26+MAX($G$4-CHOOSE(PARAM!$B$44,MAX(0,J1003*$F$1),0),0)*RATES!$L980/12+$H$4*(PARAM!$D$51/12)*RATES!$N980/100</f>
        <v>1190.0416666666667</v>
      </c>
      <c r="J1004" s="16">
        <f t="shared" si="670"/>
        <v>-360994.25635076611</v>
      </c>
      <c r="K1004" s="15">
        <f t="shared" si="671"/>
        <v>22.170849845882874</v>
      </c>
      <c r="L1004" s="75">
        <f>K1004*(1-PARAM!$C$27)*$I$5+(MOD($B1004,60)=PARAM!$B$56)*($B1004&gt;(60-PARAM!$B$56))*HLOOKUP(($B1004+PARAM!$B$56)/12,Loyalty,2)*$F$1*MAX(N1003,0)</f>
        <v>18.557001321003963</v>
      </c>
      <c r="M1004" s="75">
        <f>PARAM!$C$26+MAX($G$5-CHOOSE(PARAM!$B$44,MAX(0,N1003*$F$1),0),0)*RATES!$L980/12+$H$5*(PARAM!$D$51/12)*RATES!$N980/100</f>
        <v>1190.0416666666667</v>
      </c>
      <c r="N1004" s="16">
        <f t="shared" si="672"/>
        <v>-360880.38440026384</v>
      </c>
      <c r="O1004" s="15">
        <f t="shared" si="673"/>
        <v>22.170849845882874</v>
      </c>
      <c r="P1004" s="75">
        <f>O1004*(1-PARAM!$C$27)*$I$6+(MOD($B1004,60)=PARAM!$B$56)*($B1004&gt;(60-PARAM!$B$56))*HLOOKUP(($B1004+PARAM!$B$56)/12,Loyalty,2)*$F$1*MAX(R1003,0)</f>
        <v>18.557001321003963</v>
      </c>
      <c r="Q1004" s="75">
        <f>PARAM!$C$26+MAX($G$6-CHOOSE(PARAM!$B$44,MAX(0,R1003*$F$1),0),0)*RATES!$L980/12+$H$6*(PARAM!$D$51/12)*RATES!$N980/100</f>
        <v>1190.0416666666667</v>
      </c>
      <c r="R1004" s="16">
        <f t="shared" si="674"/>
        <v>-360880.38440026384</v>
      </c>
      <c r="S1004" s="15">
        <f t="shared" si="649"/>
        <v>22.170849845882874</v>
      </c>
      <c r="T1004" s="75">
        <f>S1004*(1-PARAM!$C$27)*$I$7+(MOD($B1004,60)=PARAM!$B$56)*($B1004&gt;(60-PARAM!$B$56))*HLOOKUP(($B1004+PARAM!$B$56)/12,Loyalty,2)*$F$1*MAX(V1003,0)</f>
        <v>18.557001321003963</v>
      </c>
      <c r="U1004" s="75">
        <f>PARAM!$C$26+MAX($G$7-CHOOSE(PARAM!$B$44,MAX(0,V1003*$F$1),0),0)*RATES!$L980/12+$H$7*(PARAM!$D$51/12)*RATES!$N980/100</f>
        <v>1190.0416666666667</v>
      </c>
      <c r="V1004" s="16">
        <f t="shared" si="675"/>
        <v>-360880.38440026384</v>
      </c>
      <c r="W1004" s="15">
        <f t="shared" si="650"/>
        <v>22.170849845882874</v>
      </c>
      <c r="X1004" s="75">
        <f>W1004*(1-PARAM!$C$27)*$I$8+(MOD($B1004,60)=PARAM!$B$56)*($B1004&gt;(60-PARAM!$B$56))*HLOOKUP(($B1004+PARAM!$B$56)/12,Loyalty,2)*$F$1*MAX(Z1003,0)</f>
        <v>18.557001321003963</v>
      </c>
      <c r="Y1004" s="75">
        <f>PARAM!$C$26+MAX($G$8-CHOOSE(PARAM!$B$44,MAX(0,Z1003*$F$1),0),0)*RATES!$L980/12+$H$8*(PARAM!$D$51/12)*RATES!$N980/100</f>
        <v>1190.0416666666667</v>
      </c>
      <c r="Z1004" s="16">
        <f t="shared" si="676"/>
        <v>-360880.38440026384</v>
      </c>
      <c r="AA1004" s="15">
        <f t="shared" si="651"/>
        <v>22.170849845882874</v>
      </c>
      <c r="AB1004" s="75">
        <f>AA1004*(1-PARAM!$C$27)*$I$9+(MOD($B1004,60)=PARAM!$B$56)*($B1004&gt;(60-PARAM!$B$56))*HLOOKUP(($B1004+PARAM!$B$56)/12,Loyalty,2)*$F$1*MAX(AD1003,0)</f>
        <v>18.557001321003963</v>
      </c>
      <c r="AC1004" s="75">
        <f>PARAM!$C$26+MAX($G$9-CHOOSE(PARAM!$B$44,MAX(0,AD1003*$F$1),0),0)*RATES!$L980/12+$H$9*(PARAM!$D$51/12)*RATES!$N980/100</f>
        <v>1190.0416666666667</v>
      </c>
      <c r="AD1004" s="16">
        <f t="shared" si="677"/>
        <v>-360880.38440026384</v>
      </c>
      <c r="AE1004" s="15">
        <f t="shared" si="652"/>
        <v>22.170849845882874</v>
      </c>
      <c r="AF1004" s="75">
        <f>AE1004*(1-PARAM!$C$27)*$I$10+(MOD($B1004,60)=PARAM!$B$56)*($B1004&gt;(60-PARAM!$B$56))*HLOOKUP(($B1004+PARAM!$B$56)/12,Loyalty,2)*$F$1*MAX(AH1003,0)</f>
        <v>18.557001321003963</v>
      </c>
      <c r="AG1004" s="75">
        <f>PARAM!$C$26+MAX($G$10-CHOOSE(PARAM!$B$44,MAX(0,AH1003*$F$1),0),0)*RATES!$L980/12+$H$10*(PARAM!$D$51/12)*RATES!$N980/100</f>
        <v>1190.0416666666667</v>
      </c>
      <c r="AH1004" s="16">
        <f t="shared" si="678"/>
        <v>-360880.38440026384</v>
      </c>
      <c r="AI1004" s="15">
        <f t="shared" si="653"/>
        <v>22.170849845882874</v>
      </c>
      <c r="AJ1004" s="75">
        <f>AI1004*(1-PARAM!$C$27)*$I$11+(MOD($B1004,60)=PARAM!$B$56)*($B1004&gt;(60-PARAM!$B$56))*HLOOKUP(($B1004+PARAM!$B$56)/12,Loyalty,2)*$F$1*MAX(AL1003,0)</f>
        <v>18.557001321003963</v>
      </c>
      <c r="AK1004" s="75">
        <f>PARAM!$C$26+MAX($G$11-CHOOSE(PARAM!$B$44,MAX(0,AL1003*$F$1),0),0)*RATES!$L980/12+$H$11*(PARAM!$D$51/12)*RATES!$N980/100</f>
        <v>1190.0416666666667</v>
      </c>
      <c r="AL1004" s="16">
        <f t="shared" si="679"/>
        <v>-360880.38440026384</v>
      </c>
      <c r="AM1004" s="15">
        <f t="shared" si="654"/>
        <v>22.170849845882874</v>
      </c>
      <c r="AN1004" s="75">
        <f>AM1004*(1-PARAM!$C$27)*$I$12+(MOD($B1004,60)=PARAM!$B$56)*($B1004&gt;(60-PARAM!$B$56))*HLOOKUP(($B1004+PARAM!$B$56)/12,Loyalty,2)*$F$1*MAX(AP1003,0)</f>
        <v>18.557001321003963</v>
      </c>
      <c r="AO1004" s="75">
        <f>PARAM!$C$26+MAX($G$12-CHOOSE(PARAM!$B$44,MAX(0,AP1003*$F$1),0),0)*RATES!$L980/12+$H$12*(PARAM!$D$51/12)*RATES!$N980/100</f>
        <v>1190.0416666666667</v>
      </c>
      <c r="AP1004" s="16">
        <f t="shared" si="680"/>
        <v>-360880.38440026384</v>
      </c>
      <c r="AQ1004" s="15">
        <f t="shared" si="655"/>
        <v>22.170849845882874</v>
      </c>
      <c r="AR1004" s="75">
        <f>AQ1004*(1-PARAM!$C$27)*$I$13+(MOD($B1004,60)=PARAM!$B$56)*($B1004&gt;(60-PARAM!$B$56))*HLOOKUP(($B1004+PARAM!$B$56)/12,Loyalty,2)*$F$1*MAX(AT1003,0)</f>
        <v>18.557001321003963</v>
      </c>
      <c r="AS1004" s="75">
        <f>PARAM!$C$26+MAX($G$13-CHOOSE(PARAM!$B$44,MAX(0,AT1003*$F$1),0),0)*RATES!$L980/12+$H$13*(PARAM!$D$51/12)*RATES!$N980/100</f>
        <v>1190.0416666666667</v>
      </c>
      <c r="AT1004" s="16">
        <f t="shared" si="681"/>
        <v>-360880.38440026384</v>
      </c>
      <c r="AU1004" s="15">
        <f t="shared" si="656"/>
        <v>22.170849845882874</v>
      </c>
      <c r="AV1004" s="75">
        <f>AU1004*(1-PARAM!$C$27)*$I$14+(MOD($B1004,60)=PARAM!$B$56)*($B1004&gt;(60-PARAM!$B$56))*HLOOKUP(($B1004+PARAM!$B$56)/12,Loyalty,2)*$F$1*MAX(AX1003,0)</f>
        <v>18.557001321003963</v>
      </c>
      <c r="AW1004" s="75">
        <f>PARAM!$C$26+MAX($G$14-CHOOSE(PARAM!$B$44,MAX(0,AX1003*$F$1),0),0)*RATES!$L980/12+$H$14*(PARAM!$D$51/12)*RATES!$N980/100</f>
        <v>1190.0416666666667</v>
      </c>
      <c r="AX1004" s="16">
        <f t="shared" si="682"/>
        <v>-360880.38440026384</v>
      </c>
      <c r="AY1004" s="15">
        <f t="shared" si="657"/>
        <v>22.170849845882874</v>
      </c>
      <c r="AZ1004" s="75">
        <f>AY1004*(1-PARAM!$C$27)*$I$15+(MOD($B1004,60)=PARAM!$B$56)*($B1004&gt;(60-PARAM!$B$56))*HLOOKUP(($B1004+PARAM!$B$56)/12,Loyalty,2)*$F$1*MAX(BB1003,0)</f>
        <v>18.557001321003963</v>
      </c>
      <c r="BA1004" s="75">
        <f>PARAM!$C$26+MAX($G$15-CHOOSE(PARAM!$B$44,MAX(0,BB1003*$F$1),0),0)*RATES!$L980/12+$H$15*(PARAM!$D$51/12)*RATES!$N980/100</f>
        <v>1190.0416666666667</v>
      </c>
      <c r="BB1004" s="16">
        <f t="shared" si="683"/>
        <v>-360880.38440026384</v>
      </c>
      <c r="BC1004" s="15">
        <f t="shared" si="658"/>
        <v>22.170849845882874</v>
      </c>
      <c r="BD1004" s="75">
        <f>BC1004*(1-PARAM!$C$27)*$I$16+(MOD($B1004,60)=PARAM!$B$56)*($B1004&gt;(60-PARAM!$B$56))*HLOOKUP(($B1004+PARAM!$B$56)/12,Loyalty,2)*$F$1*MAX(BF1003,0)</f>
        <v>18.557001321003963</v>
      </c>
      <c r="BE1004" s="75">
        <f>PARAM!$C$26+MAX($G$16-CHOOSE(PARAM!$B$44,MAX(0,BF1003*$F$1),0),0)*RATES!$L980/12+$H$16*(PARAM!$D$51/12)*RATES!$N980/100</f>
        <v>1190.0416666666667</v>
      </c>
      <c r="BF1004" s="16">
        <f t="shared" si="684"/>
        <v>-360880.38440026384</v>
      </c>
      <c r="BG1004" s="15">
        <f t="shared" si="659"/>
        <v>22.170849845882874</v>
      </c>
      <c r="BH1004" s="75">
        <f>BG1004*(1-PARAM!$C$27)*$I$17+(MOD($B1004,60)=PARAM!$B$56)*($B1004&gt;(60-PARAM!$B$56))*HLOOKUP(($B1004+PARAM!$B$56)/12,Loyalty,2)*$F$1*MAX(BJ1003,0)</f>
        <v>18.557001321003963</v>
      </c>
      <c r="BI1004" s="75">
        <f>PARAM!$C$26+MAX($G$17-CHOOSE(PARAM!$B$44,MAX(0,BJ1003*$F$1),0),0)*RATES!$L980/12+$H$17*(PARAM!$D$51/12)*RATES!$N980/100</f>
        <v>1190.0416666666667</v>
      </c>
      <c r="BJ1004" s="16">
        <f t="shared" si="685"/>
        <v>-360880.38440026384</v>
      </c>
      <c r="BK1004" s="15">
        <f t="shared" si="660"/>
        <v>22.170849845882874</v>
      </c>
      <c r="BL1004" s="75">
        <f>BK1004*(1-PARAM!$C$27)*$I$18+(MOD($B1004,60)=PARAM!$B$56)*($B1004&gt;(60-PARAM!$B$56))*HLOOKUP(($B1004+PARAM!$B$56)/12,Loyalty,2)*$F$1*MAX(BN1003,0)</f>
        <v>18.557001321003963</v>
      </c>
      <c r="BM1004" s="75">
        <f>PARAM!$C$26+MAX($G$18-CHOOSE(PARAM!$B$44,MAX(0,BN1003*$F$1),0),0)*RATES!$L980/12+$H$18*(PARAM!$D$51/12)*RATES!$N980/100</f>
        <v>1190.0416666666667</v>
      </c>
      <c r="BN1004" s="16">
        <f t="shared" si="686"/>
        <v>-360880.38440026384</v>
      </c>
      <c r="BO1004" s="15">
        <f t="shared" si="661"/>
        <v>22.170849845882874</v>
      </c>
      <c r="BP1004" s="75">
        <f>BO1004*(1-PARAM!$C$27)*$I$19+(MOD($B1004,60)=PARAM!$B$56)*($B1004&gt;(60-PARAM!$B$56))*HLOOKUP(($B1004+PARAM!$B$56)/12,Loyalty,2)*$F$1*MAX(BR1003,0)</f>
        <v>18.557001321003963</v>
      </c>
      <c r="BQ1004" s="75">
        <f>PARAM!$C$26+MAX($G$19-CHOOSE(PARAM!$B$44,MAX(0,BR1003*$F$1),0),0)*RATES!$L980/12+$H$19*(PARAM!$D$51/12)*RATES!$N980/100</f>
        <v>1190.0416666666667</v>
      </c>
      <c r="BR1004" s="16">
        <f t="shared" si="687"/>
        <v>-360880.38440026384</v>
      </c>
      <c r="BS1004" s="15">
        <f t="shared" si="662"/>
        <v>22.170849845882874</v>
      </c>
      <c r="BT1004" s="75">
        <f>BS1004*(1-PARAM!$C$27)*$I$20+(MOD($B1004,60)=PARAM!$B$56)*($B1004&gt;(60-PARAM!$B$56))*HLOOKUP(($B1004+PARAM!$B$56)/12,Loyalty,2)*$F$1*MAX(BV1003,0)</f>
        <v>18.557001321003963</v>
      </c>
      <c r="BU1004" s="75">
        <f>PARAM!$C$26+MAX($G$20-CHOOSE(PARAM!$B$44,MAX(0,BV1003*$F$1),0),0)*RATES!$L980/12+$H$20*(PARAM!$D$51/12)*RATES!$N980/100</f>
        <v>1190.0416666666667</v>
      </c>
      <c r="BV1004" s="16">
        <f t="shared" si="688"/>
        <v>-360880.38440026384</v>
      </c>
      <c r="BW1004" s="15">
        <f t="shared" si="663"/>
        <v>22.170849845882874</v>
      </c>
      <c r="BX1004" s="75">
        <f>BW1004*(1-PARAM!$C$27)*$I$21+(MOD($B1004,60)=PARAM!$B$56)*($B1004&gt;(60-PARAM!$B$56))*HLOOKUP(($B1004+PARAM!$B$56)/12,Loyalty,2)*$F$1*MAX(BZ1003,0)</f>
        <v>18.557001321003963</v>
      </c>
      <c r="BY1004" s="75">
        <f>PARAM!$C$26+MAX($G$21-CHOOSE(PARAM!$B$44,MAX(0,BZ1003*$F$1),0),0)*RATES!$L980/12+$H$21*(PARAM!$D$51/12)*RATES!$N980/100</f>
        <v>1190.0416666666667</v>
      </c>
      <c r="BZ1004" s="16">
        <f t="shared" si="689"/>
        <v>-360880.38440026384</v>
      </c>
      <c r="CA1004" s="15">
        <f t="shared" si="664"/>
        <v>22.170849845882874</v>
      </c>
      <c r="CB1004" s="75">
        <f>CA1004*(1-PARAM!$C$27)*$I$22+(MOD($B1004,60)=PARAM!$B$56)*($B1004&gt;(60-PARAM!$B$56))*HLOOKUP(($B1004+PARAM!$B$56)/12,Loyalty,2)*$F$1*MAX(CD1003,0)</f>
        <v>18.557001321003963</v>
      </c>
      <c r="CC1004" s="75">
        <f>PARAM!$C$26+MAX($G$22-CHOOSE(PARAM!$B$44,MAX(0,CD1003*$F$1),0),0)*RATES!$L980/12+$H$22*(PARAM!$D$51/12)*RATES!$N980/100</f>
        <v>1190.0416666666667</v>
      </c>
      <c r="CD1004" s="16">
        <f t="shared" si="690"/>
        <v>-360880.38440026384</v>
      </c>
      <c r="CE1004" s="33">
        <f>IF(0=MOD(B1004,12/PARAM!$D$51),1,0)</f>
        <v>1</v>
      </c>
      <c r="CF1004" s="15">
        <f t="shared" si="665"/>
        <v>0</v>
      </c>
      <c r="CG1004" s="75">
        <f>CF1004*(1-PARAM!$C$27)*$R$3+(MOD($B1004/12,5)=0)*($B1004&gt;60)*HLOOKUP($B1004/12,Loyalty,2)*$F$1*MAX(CI1003,0)</f>
        <v>0</v>
      </c>
      <c r="CH1004" s="75">
        <f>PARAM!$C$26+MAX($P$3-CHOOSE(PARAM!$B$44,MAX(0,CI1003*$F$1),0),0)*RATES!$L980/12+$Q$3*(PARAM!$D$51/12)*RATES!$N980/100</f>
        <v>1190.0416666666667</v>
      </c>
      <c r="CI1004" s="16">
        <f>IF(CI1003&gt;0,CI1003*PARAM!$C$53,CI1003)+CG1004-CH1004</f>
        <v>-378891.00000000151</v>
      </c>
      <c r="CJ1004" s="15">
        <f t="shared" si="691"/>
        <v>0</v>
      </c>
      <c r="CK1004" s="75">
        <f>CJ1004*(1-PARAM!$C$27)*$R$4+(MOD($B1004/12,5)=0)*($B1004&gt;60)*HLOOKUP($B1004/12,Loyalty,2)*$F$1*MAX(CM1003,0)</f>
        <v>0</v>
      </c>
      <c r="CL1004" s="75">
        <f>PARAM!$C$26+MAX($P$4-CHOOSE(PARAM!$B$44,MAX(0,CM1003*$F$1),0),0)*RATES!$L980/12+$Q$4*(PARAM!$D$51/12)*RATES!$N980/100</f>
        <v>1190.0416666666667</v>
      </c>
      <c r="CM1004" s="16">
        <f>IF(CM1003&gt;0,CM1003*PARAM!$C$53,CM1003)+CK1004-CL1004</f>
        <v>-378891.00000000151</v>
      </c>
      <c r="CO1004" s="176"/>
    </row>
    <row r="1005" spans="1:93" x14ac:dyDescent="0.2">
      <c r="A1005" t="b">
        <f t="shared" si="666"/>
        <v>0</v>
      </c>
      <c r="B1005" s="33">
        <v>978</v>
      </c>
      <c r="C1005" s="15">
        <f t="shared" si="667"/>
        <v>20.081305947392778</v>
      </c>
      <c r="D1005" s="75">
        <f>C1005*(1-PARAM!$C$27)*$I$3+(MOD($B1005,60)=PARAM!$B$56)*($B1005&gt;(60-PARAM!$B$56))*HLOOKUP(($B1005+PARAM!$B$56)/12,Loyalty,2)*$F$1*MAX(F1004,0)</f>
        <v>16.808053077967756</v>
      </c>
      <c r="E1005" s="75">
        <f>PARAM!$C$26+MAX($G$3-CHOOSE(PARAM!$B$44,MAX(0,F1004*$F$1),0),0)*RATES!$L981/12+$H$3*(PARAM!$D$51/12)*RATES!$N981/100</f>
        <v>1190.0416666666667</v>
      </c>
      <c r="F1005" s="16">
        <f t="shared" si="668"/>
        <v>-363799.19094782125</v>
      </c>
      <c r="G1005" s="15">
        <f t="shared" si="669"/>
        <v>22.035289406060361</v>
      </c>
      <c r="H1005" s="75">
        <f>G1005*(1-PARAM!$C$27)*$I$4+(MOD($B1005,60)=PARAM!$B$56)*($B1005&gt;(60-PARAM!$B$56))*HLOOKUP(($B1005+PARAM!$B$56)/12,Loyalty,2)*$F$1*MAX(J1004,0)</f>
        <v>18.443537232872522</v>
      </c>
      <c r="I1005" s="75">
        <f>PARAM!$C$26+MAX($G$4-CHOOSE(PARAM!$B$44,MAX(0,J1004*$F$1),0),0)*RATES!$L981/12+$H$4*(PARAM!$D$51/12)*RATES!$N981/100</f>
        <v>1190.0416666666667</v>
      </c>
      <c r="J1005" s="16">
        <f t="shared" si="670"/>
        <v>-362165.85448019992</v>
      </c>
      <c r="K1005" s="15">
        <f t="shared" si="671"/>
        <v>22.170849845882874</v>
      </c>
      <c r="L1005" s="75">
        <f>K1005*(1-PARAM!$C$27)*$I$5+(MOD($B1005,60)=PARAM!$B$56)*($B1005&gt;(60-PARAM!$B$56))*HLOOKUP(($B1005+PARAM!$B$56)/12,Loyalty,2)*$F$1*MAX(N1004,0)</f>
        <v>18.557001321003963</v>
      </c>
      <c r="M1005" s="75">
        <f>PARAM!$C$26+MAX($G$5-CHOOSE(PARAM!$B$44,MAX(0,N1004*$F$1),0),0)*RATES!$L981/12+$H$5*(PARAM!$D$51/12)*RATES!$N981/100</f>
        <v>1190.0416666666667</v>
      </c>
      <c r="N1005" s="16">
        <f t="shared" si="672"/>
        <v>-362051.86906560953</v>
      </c>
      <c r="O1005" s="15">
        <f t="shared" si="673"/>
        <v>22.170849845882874</v>
      </c>
      <c r="P1005" s="75">
        <f>O1005*(1-PARAM!$C$27)*$I$6+(MOD($B1005,60)=PARAM!$B$56)*($B1005&gt;(60-PARAM!$B$56))*HLOOKUP(($B1005+PARAM!$B$56)/12,Loyalty,2)*$F$1*MAX(R1004,0)</f>
        <v>18.557001321003963</v>
      </c>
      <c r="Q1005" s="75">
        <f>PARAM!$C$26+MAX($G$6-CHOOSE(PARAM!$B$44,MAX(0,R1004*$F$1),0),0)*RATES!$L981/12+$H$6*(PARAM!$D$51/12)*RATES!$N981/100</f>
        <v>1190.0416666666667</v>
      </c>
      <c r="R1005" s="16">
        <f t="shared" si="674"/>
        <v>-362051.86906560953</v>
      </c>
      <c r="S1005" s="15">
        <f t="shared" si="649"/>
        <v>22.170849845882874</v>
      </c>
      <c r="T1005" s="75">
        <f>S1005*(1-PARAM!$C$27)*$I$7+(MOD($B1005,60)=PARAM!$B$56)*($B1005&gt;(60-PARAM!$B$56))*HLOOKUP(($B1005+PARAM!$B$56)/12,Loyalty,2)*$F$1*MAX(V1004,0)</f>
        <v>18.557001321003963</v>
      </c>
      <c r="U1005" s="75">
        <f>PARAM!$C$26+MAX($G$7-CHOOSE(PARAM!$B$44,MAX(0,V1004*$F$1),0),0)*RATES!$L981/12+$H$7*(PARAM!$D$51/12)*RATES!$N981/100</f>
        <v>1190.0416666666667</v>
      </c>
      <c r="V1005" s="16">
        <f t="shared" si="675"/>
        <v>-362051.86906560953</v>
      </c>
      <c r="W1005" s="15">
        <f t="shared" si="650"/>
        <v>22.170849845882874</v>
      </c>
      <c r="X1005" s="75">
        <f>W1005*(1-PARAM!$C$27)*$I$8+(MOD($B1005,60)=PARAM!$B$56)*($B1005&gt;(60-PARAM!$B$56))*HLOOKUP(($B1005+PARAM!$B$56)/12,Loyalty,2)*$F$1*MAX(Z1004,0)</f>
        <v>18.557001321003963</v>
      </c>
      <c r="Y1005" s="75">
        <f>PARAM!$C$26+MAX($G$8-CHOOSE(PARAM!$B$44,MAX(0,Z1004*$F$1),0),0)*RATES!$L981/12+$H$8*(PARAM!$D$51/12)*RATES!$N981/100</f>
        <v>1190.0416666666667</v>
      </c>
      <c r="Z1005" s="16">
        <f t="shared" si="676"/>
        <v>-362051.86906560953</v>
      </c>
      <c r="AA1005" s="15">
        <f t="shared" si="651"/>
        <v>22.170849845882874</v>
      </c>
      <c r="AB1005" s="75">
        <f>AA1005*(1-PARAM!$C$27)*$I$9+(MOD($B1005,60)=PARAM!$B$56)*($B1005&gt;(60-PARAM!$B$56))*HLOOKUP(($B1005+PARAM!$B$56)/12,Loyalty,2)*$F$1*MAX(AD1004,0)</f>
        <v>18.557001321003963</v>
      </c>
      <c r="AC1005" s="75">
        <f>PARAM!$C$26+MAX($G$9-CHOOSE(PARAM!$B$44,MAX(0,AD1004*$F$1),0),0)*RATES!$L981/12+$H$9*(PARAM!$D$51/12)*RATES!$N981/100</f>
        <v>1190.0416666666667</v>
      </c>
      <c r="AD1005" s="16">
        <f t="shared" si="677"/>
        <v>-362051.86906560953</v>
      </c>
      <c r="AE1005" s="15">
        <f t="shared" si="652"/>
        <v>22.170849845882874</v>
      </c>
      <c r="AF1005" s="75">
        <f>AE1005*(1-PARAM!$C$27)*$I$10+(MOD($B1005,60)=PARAM!$B$56)*($B1005&gt;(60-PARAM!$B$56))*HLOOKUP(($B1005+PARAM!$B$56)/12,Loyalty,2)*$F$1*MAX(AH1004,0)</f>
        <v>18.557001321003963</v>
      </c>
      <c r="AG1005" s="75">
        <f>PARAM!$C$26+MAX($G$10-CHOOSE(PARAM!$B$44,MAX(0,AH1004*$F$1),0),0)*RATES!$L981/12+$H$10*(PARAM!$D$51/12)*RATES!$N981/100</f>
        <v>1190.0416666666667</v>
      </c>
      <c r="AH1005" s="16">
        <f t="shared" si="678"/>
        <v>-362051.86906560953</v>
      </c>
      <c r="AI1005" s="15">
        <f t="shared" si="653"/>
        <v>22.170849845882874</v>
      </c>
      <c r="AJ1005" s="75">
        <f>AI1005*(1-PARAM!$C$27)*$I$11+(MOD($B1005,60)=PARAM!$B$56)*($B1005&gt;(60-PARAM!$B$56))*HLOOKUP(($B1005+PARAM!$B$56)/12,Loyalty,2)*$F$1*MAX(AL1004,0)</f>
        <v>18.557001321003963</v>
      </c>
      <c r="AK1005" s="75">
        <f>PARAM!$C$26+MAX($G$11-CHOOSE(PARAM!$B$44,MAX(0,AL1004*$F$1),0),0)*RATES!$L981/12+$H$11*(PARAM!$D$51/12)*RATES!$N981/100</f>
        <v>1190.0416666666667</v>
      </c>
      <c r="AL1005" s="16">
        <f t="shared" si="679"/>
        <v>-362051.86906560953</v>
      </c>
      <c r="AM1005" s="15">
        <f t="shared" si="654"/>
        <v>22.170849845882874</v>
      </c>
      <c r="AN1005" s="75">
        <f>AM1005*(1-PARAM!$C$27)*$I$12+(MOD($B1005,60)=PARAM!$B$56)*($B1005&gt;(60-PARAM!$B$56))*HLOOKUP(($B1005+PARAM!$B$56)/12,Loyalty,2)*$F$1*MAX(AP1004,0)</f>
        <v>18.557001321003963</v>
      </c>
      <c r="AO1005" s="75">
        <f>PARAM!$C$26+MAX($G$12-CHOOSE(PARAM!$B$44,MAX(0,AP1004*$F$1),0),0)*RATES!$L981/12+$H$12*(PARAM!$D$51/12)*RATES!$N981/100</f>
        <v>1190.0416666666667</v>
      </c>
      <c r="AP1005" s="16">
        <f t="shared" si="680"/>
        <v>-362051.86906560953</v>
      </c>
      <c r="AQ1005" s="15">
        <f t="shared" si="655"/>
        <v>22.170849845882874</v>
      </c>
      <c r="AR1005" s="75">
        <f>AQ1005*(1-PARAM!$C$27)*$I$13+(MOD($B1005,60)=PARAM!$B$56)*($B1005&gt;(60-PARAM!$B$56))*HLOOKUP(($B1005+PARAM!$B$56)/12,Loyalty,2)*$F$1*MAX(AT1004,0)</f>
        <v>18.557001321003963</v>
      </c>
      <c r="AS1005" s="75">
        <f>PARAM!$C$26+MAX($G$13-CHOOSE(PARAM!$B$44,MAX(0,AT1004*$F$1),0),0)*RATES!$L981/12+$H$13*(PARAM!$D$51/12)*RATES!$N981/100</f>
        <v>1190.0416666666667</v>
      </c>
      <c r="AT1005" s="16">
        <f t="shared" si="681"/>
        <v>-362051.86906560953</v>
      </c>
      <c r="AU1005" s="15">
        <f t="shared" si="656"/>
        <v>22.170849845882874</v>
      </c>
      <c r="AV1005" s="75">
        <f>AU1005*(1-PARAM!$C$27)*$I$14+(MOD($B1005,60)=PARAM!$B$56)*($B1005&gt;(60-PARAM!$B$56))*HLOOKUP(($B1005+PARAM!$B$56)/12,Loyalty,2)*$F$1*MAX(AX1004,0)</f>
        <v>18.557001321003963</v>
      </c>
      <c r="AW1005" s="75">
        <f>PARAM!$C$26+MAX($G$14-CHOOSE(PARAM!$B$44,MAX(0,AX1004*$F$1),0),0)*RATES!$L981/12+$H$14*(PARAM!$D$51/12)*RATES!$N981/100</f>
        <v>1190.0416666666667</v>
      </c>
      <c r="AX1005" s="16">
        <f t="shared" si="682"/>
        <v>-362051.86906560953</v>
      </c>
      <c r="AY1005" s="15">
        <f t="shared" si="657"/>
        <v>22.170849845882874</v>
      </c>
      <c r="AZ1005" s="75">
        <f>AY1005*(1-PARAM!$C$27)*$I$15+(MOD($B1005,60)=PARAM!$B$56)*($B1005&gt;(60-PARAM!$B$56))*HLOOKUP(($B1005+PARAM!$B$56)/12,Loyalty,2)*$F$1*MAX(BB1004,0)</f>
        <v>18.557001321003963</v>
      </c>
      <c r="BA1005" s="75">
        <f>PARAM!$C$26+MAX($G$15-CHOOSE(PARAM!$B$44,MAX(0,BB1004*$F$1),0),0)*RATES!$L981/12+$H$15*(PARAM!$D$51/12)*RATES!$N981/100</f>
        <v>1190.0416666666667</v>
      </c>
      <c r="BB1005" s="16">
        <f t="shared" si="683"/>
        <v>-362051.86906560953</v>
      </c>
      <c r="BC1005" s="15">
        <f t="shared" si="658"/>
        <v>22.170849845882874</v>
      </c>
      <c r="BD1005" s="75">
        <f>BC1005*(1-PARAM!$C$27)*$I$16+(MOD($B1005,60)=PARAM!$B$56)*($B1005&gt;(60-PARAM!$B$56))*HLOOKUP(($B1005+PARAM!$B$56)/12,Loyalty,2)*$F$1*MAX(BF1004,0)</f>
        <v>18.557001321003963</v>
      </c>
      <c r="BE1005" s="75">
        <f>PARAM!$C$26+MAX($G$16-CHOOSE(PARAM!$B$44,MAX(0,BF1004*$F$1),0),0)*RATES!$L981/12+$H$16*(PARAM!$D$51/12)*RATES!$N981/100</f>
        <v>1190.0416666666667</v>
      </c>
      <c r="BF1005" s="16">
        <f t="shared" si="684"/>
        <v>-362051.86906560953</v>
      </c>
      <c r="BG1005" s="15">
        <f t="shared" si="659"/>
        <v>22.170849845882874</v>
      </c>
      <c r="BH1005" s="75">
        <f>BG1005*(1-PARAM!$C$27)*$I$17+(MOD($B1005,60)=PARAM!$B$56)*($B1005&gt;(60-PARAM!$B$56))*HLOOKUP(($B1005+PARAM!$B$56)/12,Loyalty,2)*$F$1*MAX(BJ1004,0)</f>
        <v>18.557001321003963</v>
      </c>
      <c r="BI1005" s="75">
        <f>PARAM!$C$26+MAX($G$17-CHOOSE(PARAM!$B$44,MAX(0,BJ1004*$F$1),0),0)*RATES!$L981/12+$H$17*(PARAM!$D$51/12)*RATES!$N981/100</f>
        <v>1190.0416666666667</v>
      </c>
      <c r="BJ1005" s="16">
        <f t="shared" si="685"/>
        <v>-362051.86906560953</v>
      </c>
      <c r="BK1005" s="15">
        <f t="shared" si="660"/>
        <v>22.170849845882874</v>
      </c>
      <c r="BL1005" s="75">
        <f>BK1005*(1-PARAM!$C$27)*$I$18+(MOD($B1005,60)=PARAM!$B$56)*($B1005&gt;(60-PARAM!$B$56))*HLOOKUP(($B1005+PARAM!$B$56)/12,Loyalty,2)*$F$1*MAX(BN1004,0)</f>
        <v>18.557001321003963</v>
      </c>
      <c r="BM1005" s="75">
        <f>PARAM!$C$26+MAX($G$18-CHOOSE(PARAM!$B$44,MAX(0,BN1004*$F$1),0),0)*RATES!$L981/12+$H$18*(PARAM!$D$51/12)*RATES!$N981/100</f>
        <v>1190.0416666666667</v>
      </c>
      <c r="BN1005" s="16">
        <f t="shared" si="686"/>
        <v>-362051.86906560953</v>
      </c>
      <c r="BO1005" s="15">
        <f t="shared" si="661"/>
        <v>22.170849845882874</v>
      </c>
      <c r="BP1005" s="75">
        <f>BO1005*(1-PARAM!$C$27)*$I$19+(MOD($B1005,60)=PARAM!$B$56)*($B1005&gt;(60-PARAM!$B$56))*HLOOKUP(($B1005+PARAM!$B$56)/12,Loyalty,2)*$F$1*MAX(BR1004,0)</f>
        <v>18.557001321003963</v>
      </c>
      <c r="BQ1005" s="75">
        <f>PARAM!$C$26+MAX($G$19-CHOOSE(PARAM!$B$44,MAX(0,BR1004*$F$1),0),0)*RATES!$L981/12+$H$19*(PARAM!$D$51/12)*RATES!$N981/100</f>
        <v>1190.0416666666667</v>
      </c>
      <c r="BR1005" s="16">
        <f t="shared" si="687"/>
        <v>-362051.86906560953</v>
      </c>
      <c r="BS1005" s="15">
        <f t="shared" si="662"/>
        <v>22.170849845882874</v>
      </c>
      <c r="BT1005" s="75">
        <f>BS1005*(1-PARAM!$C$27)*$I$20+(MOD($B1005,60)=PARAM!$B$56)*($B1005&gt;(60-PARAM!$B$56))*HLOOKUP(($B1005+PARAM!$B$56)/12,Loyalty,2)*$F$1*MAX(BV1004,0)</f>
        <v>18.557001321003963</v>
      </c>
      <c r="BU1005" s="75">
        <f>PARAM!$C$26+MAX($G$20-CHOOSE(PARAM!$B$44,MAX(0,BV1004*$F$1),0),0)*RATES!$L981/12+$H$20*(PARAM!$D$51/12)*RATES!$N981/100</f>
        <v>1190.0416666666667</v>
      </c>
      <c r="BV1005" s="16">
        <f t="shared" si="688"/>
        <v>-362051.86906560953</v>
      </c>
      <c r="BW1005" s="15">
        <f t="shared" si="663"/>
        <v>22.170849845882874</v>
      </c>
      <c r="BX1005" s="75">
        <f>BW1005*(1-PARAM!$C$27)*$I$21+(MOD($B1005,60)=PARAM!$B$56)*($B1005&gt;(60-PARAM!$B$56))*HLOOKUP(($B1005+PARAM!$B$56)/12,Loyalty,2)*$F$1*MAX(BZ1004,0)</f>
        <v>18.557001321003963</v>
      </c>
      <c r="BY1005" s="75">
        <f>PARAM!$C$26+MAX($G$21-CHOOSE(PARAM!$B$44,MAX(0,BZ1004*$F$1),0),0)*RATES!$L981/12+$H$21*(PARAM!$D$51/12)*RATES!$N981/100</f>
        <v>1190.0416666666667</v>
      </c>
      <c r="BZ1005" s="16">
        <f t="shared" si="689"/>
        <v>-362051.86906560953</v>
      </c>
      <c r="CA1005" s="15">
        <f t="shared" si="664"/>
        <v>22.170849845882874</v>
      </c>
      <c r="CB1005" s="75">
        <f>CA1005*(1-PARAM!$C$27)*$I$22+(MOD($B1005,60)=PARAM!$B$56)*($B1005&gt;(60-PARAM!$B$56))*HLOOKUP(($B1005+PARAM!$B$56)/12,Loyalty,2)*$F$1*MAX(CD1004,0)</f>
        <v>18.557001321003963</v>
      </c>
      <c r="CC1005" s="75">
        <f>PARAM!$C$26+MAX($G$22-CHOOSE(PARAM!$B$44,MAX(0,CD1004*$F$1),0),0)*RATES!$L981/12+$H$22*(PARAM!$D$51/12)*RATES!$N981/100</f>
        <v>1190.0416666666667</v>
      </c>
      <c r="CD1005" s="16">
        <f t="shared" si="690"/>
        <v>-362051.86906560953</v>
      </c>
      <c r="CE1005" s="33">
        <f>IF(0=MOD(B1005,12/PARAM!$D$51),1,0)</f>
        <v>1</v>
      </c>
      <c r="CF1005" s="15">
        <f t="shared" si="665"/>
        <v>0</v>
      </c>
      <c r="CG1005" s="75">
        <f>CF1005*(1-PARAM!$C$27)*$R$3+(MOD($B1005/12,5)=0)*($B1005&gt;60)*HLOOKUP($B1005/12,Loyalty,2)*$F$1*MAX(CI1004,0)</f>
        <v>0</v>
      </c>
      <c r="CH1005" s="75">
        <f>PARAM!$C$26+MAX($P$3-CHOOSE(PARAM!$B$44,MAX(0,CI1004*$F$1),0),0)*RATES!$L981/12+$Q$3*(PARAM!$D$51/12)*RATES!$N981/100</f>
        <v>1190.0416666666667</v>
      </c>
      <c r="CI1005" s="16">
        <f>IF(CI1004&gt;0,CI1004*PARAM!$C$53,CI1004)+CG1005-CH1005</f>
        <v>-380081.0416666682</v>
      </c>
      <c r="CJ1005" s="15">
        <f t="shared" si="691"/>
        <v>0</v>
      </c>
      <c r="CK1005" s="75">
        <f>CJ1005*(1-PARAM!$C$27)*$R$4+(MOD($B1005/12,5)=0)*($B1005&gt;60)*HLOOKUP($B1005/12,Loyalty,2)*$F$1*MAX(CM1004,0)</f>
        <v>0</v>
      </c>
      <c r="CL1005" s="75">
        <f>PARAM!$C$26+MAX($P$4-CHOOSE(PARAM!$B$44,MAX(0,CM1004*$F$1),0),0)*RATES!$L981/12+$Q$4*(PARAM!$D$51/12)*RATES!$N981/100</f>
        <v>1190.0416666666667</v>
      </c>
      <c r="CM1005" s="16">
        <f>IF(CM1004&gt;0,CM1004*PARAM!$C$53,CM1004)+CK1005-CL1005</f>
        <v>-380081.0416666682</v>
      </c>
      <c r="CO1005" s="176"/>
    </row>
    <row r="1006" spans="1:93" x14ac:dyDescent="0.2">
      <c r="A1006" t="b">
        <f t="shared" si="666"/>
        <v>0</v>
      </c>
      <c r="B1006" s="33">
        <v>979</v>
      </c>
      <c r="C1006" s="15">
        <f t="shared" si="667"/>
        <v>20.081305947392778</v>
      </c>
      <c r="D1006" s="75">
        <f>C1006*(1-PARAM!$C$27)*$I$3+(MOD($B1006,60)=PARAM!$B$56)*($B1006&gt;(60-PARAM!$B$56))*HLOOKUP(($B1006+PARAM!$B$56)/12,Loyalty,2)*$F$1*MAX(F1005,0)</f>
        <v>16.808053077967756</v>
      </c>
      <c r="E1006" s="75">
        <f>PARAM!$C$26+MAX($G$3-CHOOSE(PARAM!$B$44,MAX(0,F1005*$F$1),0),0)*RATES!$L982/12+$H$3*(PARAM!$D$51/12)*RATES!$N982/100</f>
        <v>1190.0416666666667</v>
      </c>
      <c r="F1006" s="16">
        <f t="shared" si="668"/>
        <v>-364972.42456140998</v>
      </c>
      <c r="G1006" s="15">
        <f t="shared" si="669"/>
        <v>22.035289406060361</v>
      </c>
      <c r="H1006" s="75">
        <f>G1006*(1-PARAM!$C$27)*$I$4+(MOD($B1006,60)=PARAM!$B$56)*($B1006&gt;(60-PARAM!$B$56))*HLOOKUP(($B1006+PARAM!$B$56)/12,Loyalty,2)*$F$1*MAX(J1005,0)</f>
        <v>18.443537232872522</v>
      </c>
      <c r="I1006" s="75">
        <f>PARAM!$C$26+MAX($G$4-CHOOSE(PARAM!$B$44,MAX(0,J1005*$F$1),0),0)*RATES!$L982/12+$H$4*(PARAM!$D$51/12)*RATES!$N982/100</f>
        <v>1190.0416666666667</v>
      </c>
      <c r="J1006" s="16">
        <f t="shared" si="670"/>
        <v>-363337.45260963374</v>
      </c>
      <c r="K1006" s="15">
        <f t="shared" si="671"/>
        <v>22.170849845882874</v>
      </c>
      <c r="L1006" s="75">
        <f>K1006*(1-PARAM!$C$27)*$I$5+(MOD($B1006,60)=PARAM!$B$56)*($B1006&gt;(60-PARAM!$B$56))*HLOOKUP(($B1006+PARAM!$B$56)/12,Loyalty,2)*$F$1*MAX(N1005,0)</f>
        <v>18.557001321003963</v>
      </c>
      <c r="M1006" s="75">
        <f>PARAM!$C$26+MAX($G$5-CHOOSE(PARAM!$B$44,MAX(0,N1005*$F$1),0),0)*RATES!$L982/12+$H$5*(PARAM!$D$51/12)*RATES!$N982/100</f>
        <v>1190.0416666666667</v>
      </c>
      <c r="N1006" s="16">
        <f t="shared" si="672"/>
        <v>-363223.35373095522</v>
      </c>
      <c r="O1006" s="15">
        <f t="shared" si="673"/>
        <v>22.170849845882874</v>
      </c>
      <c r="P1006" s="75">
        <f>O1006*(1-PARAM!$C$27)*$I$6+(MOD($B1006,60)=PARAM!$B$56)*($B1006&gt;(60-PARAM!$B$56))*HLOOKUP(($B1006+PARAM!$B$56)/12,Loyalty,2)*$F$1*MAX(R1005,0)</f>
        <v>18.557001321003963</v>
      </c>
      <c r="Q1006" s="75">
        <f>PARAM!$C$26+MAX($G$6-CHOOSE(PARAM!$B$44,MAX(0,R1005*$F$1),0),0)*RATES!$L982/12+$H$6*(PARAM!$D$51/12)*RATES!$N982/100</f>
        <v>1190.0416666666667</v>
      </c>
      <c r="R1006" s="16">
        <f t="shared" si="674"/>
        <v>-363223.35373095522</v>
      </c>
      <c r="S1006" s="15">
        <f t="shared" si="649"/>
        <v>22.170849845882874</v>
      </c>
      <c r="T1006" s="75">
        <f>S1006*(1-PARAM!$C$27)*$I$7+(MOD($B1006,60)=PARAM!$B$56)*($B1006&gt;(60-PARAM!$B$56))*HLOOKUP(($B1006+PARAM!$B$56)/12,Loyalty,2)*$F$1*MAX(V1005,0)</f>
        <v>18.557001321003963</v>
      </c>
      <c r="U1006" s="75">
        <f>PARAM!$C$26+MAX($G$7-CHOOSE(PARAM!$B$44,MAX(0,V1005*$F$1),0),0)*RATES!$L982/12+$H$7*(PARAM!$D$51/12)*RATES!$N982/100</f>
        <v>1190.0416666666667</v>
      </c>
      <c r="V1006" s="16">
        <f t="shared" si="675"/>
        <v>-363223.35373095522</v>
      </c>
      <c r="W1006" s="15">
        <f t="shared" si="650"/>
        <v>22.170849845882874</v>
      </c>
      <c r="X1006" s="75">
        <f>W1006*(1-PARAM!$C$27)*$I$8+(MOD($B1006,60)=PARAM!$B$56)*($B1006&gt;(60-PARAM!$B$56))*HLOOKUP(($B1006+PARAM!$B$56)/12,Loyalty,2)*$F$1*MAX(Z1005,0)</f>
        <v>18.557001321003963</v>
      </c>
      <c r="Y1006" s="75">
        <f>PARAM!$C$26+MAX($G$8-CHOOSE(PARAM!$B$44,MAX(0,Z1005*$F$1),0),0)*RATES!$L982/12+$H$8*(PARAM!$D$51/12)*RATES!$N982/100</f>
        <v>1190.0416666666667</v>
      </c>
      <c r="Z1006" s="16">
        <f t="shared" si="676"/>
        <v>-363223.35373095522</v>
      </c>
      <c r="AA1006" s="15">
        <f t="shared" si="651"/>
        <v>22.170849845882874</v>
      </c>
      <c r="AB1006" s="75">
        <f>AA1006*(1-PARAM!$C$27)*$I$9+(MOD($B1006,60)=PARAM!$B$56)*($B1006&gt;(60-PARAM!$B$56))*HLOOKUP(($B1006+PARAM!$B$56)/12,Loyalty,2)*$F$1*MAX(AD1005,0)</f>
        <v>18.557001321003963</v>
      </c>
      <c r="AC1006" s="75">
        <f>PARAM!$C$26+MAX($G$9-CHOOSE(PARAM!$B$44,MAX(0,AD1005*$F$1),0),0)*RATES!$L982/12+$H$9*(PARAM!$D$51/12)*RATES!$N982/100</f>
        <v>1190.0416666666667</v>
      </c>
      <c r="AD1006" s="16">
        <f t="shared" si="677"/>
        <v>-363223.35373095522</v>
      </c>
      <c r="AE1006" s="15">
        <f t="shared" si="652"/>
        <v>22.170849845882874</v>
      </c>
      <c r="AF1006" s="75">
        <f>AE1006*(1-PARAM!$C$27)*$I$10+(MOD($B1006,60)=PARAM!$B$56)*($B1006&gt;(60-PARAM!$B$56))*HLOOKUP(($B1006+PARAM!$B$56)/12,Loyalty,2)*$F$1*MAX(AH1005,0)</f>
        <v>18.557001321003963</v>
      </c>
      <c r="AG1006" s="75">
        <f>PARAM!$C$26+MAX($G$10-CHOOSE(PARAM!$B$44,MAX(0,AH1005*$F$1),0),0)*RATES!$L982/12+$H$10*(PARAM!$D$51/12)*RATES!$N982/100</f>
        <v>1190.0416666666667</v>
      </c>
      <c r="AH1006" s="16">
        <f t="shared" si="678"/>
        <v>-363223.35373095522</v>
      </c>
      <c r="AI1006" s="15">
        <f t="shared" si="653"/>
        <v>22.170849845882874</v>
      </c>
      <c r="AJ1006" s="75">
        <f>AI1006*(1-PARAM!$C$27)*$I$11+(MOD($B1006,60)=PARAM!$B$56)*($B1006&gt;(60-PARAM!$B$56))*HLOOKUP(($B1006+PARAM!$B$56)/12,Loyalty,2)*$F$1*MAX(AL1005,0)</f>
        <v>18.557001321003963</v>
      </c>
      <c r="AK1006" s="75">
        <f>PARAM!$C$26+MAX($G$11-CHOOSE(PARAM!$B$44,MAX(0,AL1005*$F$1),0),0)*RATES!$L982/12+$H$11*(PARAM!$D$51/12)*RATES!$N982/100</f>
        <v>1190.0416666666667</v>
      </c>
      <c r="AL1006" s="16">
        <f t="shared" si="679"/>
        <v>-363223.35373095522</v>
      </c>
      <c r="AM1006" s="15">
        <f t="shared" si="654"/>
        <v>22.170849845882874</v>
      </c>
      <c r="AN1006" s="75">
        <f>AM1006*(1-PARAM!$C$27)*$I$12+(MOD($B1006,60)=PARAM!$B$56)*($B1006&gt;(60-PARAM!$B$56))*HLOOKUP(($B1006+PARAM!$B$56)/12,Loyalty,2)*$F$1*MAX(AP1005,0)</f>
        <v>18.557001321003963</v>
      </c>
      <c r="AO1006" s="75">
        <f>PARAM!$C$26+MAX($G$12-CHOOSE(PARAM!$B$44,MAX(0,AP1005*$F$1),0),0)*RATES!$L982/12+$H$12*(PARAM!$D$51/12)*RATES!$N982/100</f>
        <v>1190.0416666666667</v>
      </c>
      <c r="AP1006" s="16">
        <f t="shared" si="680"/>
        <v>-363223.35373095522</v>
      </c>
      <c r="AQ1006" s="15">
        <f t="shared" si="655"/>
        <v>22.170849845882874</v>
      </c>
      <c r="AR1006" s="75">
        <f>AQ1006*(1-PARAM!$C$27)*$I$13+(MOD($B1006,60)=PARAM!$B$56)*($B1006&gt;(60-PARAM!$B$56))*HLOOKUP(($B1006+PARAM!$B$56)/12,Loyalty,2)*$F$1*MAX(AT1005,0)</f>
        <v>18.557001321003963</v>
      </c>
      <c r="AS1006" s="75">
        <f>PARAM!$C$26+MAX($G$13-CHOOSE(PARAM!$B$44,MAX(0,AT1005*$F$1),0),0)*RATES!$L982/12+$H$13*(PARAM!$D$51/12)*RATES!$N982/100</f>
        <v>1190.0416666666667</v>
      </c>
      <c r="AT1006" s="16">
        <f t="shared" si="681"/>
        <v>-363223.35373095522</v>
      </c>
      <c r="AU1006" s="15">
        <f t="shared" si="656"/>
        <v>22.170849845882874</v>
      </c>
      <c r="AV1006" s="75">
        <f>AU1006*(1-PARAM!$C$27)*$I$14+(MOD($B1006,60)=PARAM!$B$56)*($B1006&gt;(60-PARAM!$B$56))*HLOOKUP(($B1006+PARAM!$B$56)/12,Loyalty,2)*$F$1*MAX(AX1005,0)</f>
        <v>18.557001321003963</v>
      </c>
      <c r="AW1006" s="75">
        <f>PARAM!$C$26+MAX($G$14-CHOOSE(PARAM!$B$44,MAX(0,AX1005*$F$1),0),0)*RATES!$L982/12+$H$14*(PARAM!$D$51/12)*RATES!$N982/100</f>
        <v>1190.0416666666667</v>
      </c>
      <c r="AX1006" s="16">
        <f t="shared" si="682"/>
        <v>-363223.35373095522</v>
      </c>
      <c r="AY1006" s="15">
        <f t="shared" si="657"/>
        <v>22.170849845882874</v>
      </c>
      <c r="AZ1006" s="75">
        <f>AY1006*(1-PARAM!$C$27)*$I$15+(MOD($B1006,60)=PARAM!$B$56)*($B1006&gt;(60-PARAM!$B$56))*HLOOKUP(($B1006+PARAM!$B$56)/12,Loyalty,2)*$F$1*MAX(BB1005,0)</f>
        <v>18.557001321003963</v>
      </c>
      <c r="BA1006" s="75">
        <f>PARAM!$C$26+MAX($G$15-CHOOSE(PARAM!$B$44,MAX(0,BB1005*$F$1),0),0)*RATES!$L982/12+$H$15*(PARAM!$D$51/12)*RATES!$N982/100</f>
        <v>1190.0416666666667</v>
      </c>
      <c r="BB1006" s="16">
        <f t="shared" si="683"/>
        <v>-363223.35373095522</v>
      </c>
      <c r="BC1006" s="15">
        <f t="shared" si="658"/>
        <v>22.170849845882874</v>
      </c>
      <c r="BD1006" s="75">
        <f>BC1006*(1-PARAM!$C$27)*$I$16+(MOD($B1006,60)=PARAM!$B$56)*($B1006&gt;(60-PARAM!$B$56))*HLOOKUP(($B1006+PARAM!$B$56)/12,Loyalty,2)*$F$1*MAX(BF1005,0)</f>
        <v>18.557001321003963</v>
      </c>
      <c r="BE1006" s="75">
        <f>PARAM!$C$26+MAX($G$16-CHOOSE(PARAM!$B$44,MAX(0,BF1005*$F$1),0),0)*RATES!$L982/12+$H$16*(PARAM!$D$51/12)*RATES!$N982/100</f>
        <v>1190.0416666666667</v>
      </c>
      <c r="BF1006" s="16">
        <f t="shared" si="684"/>
        <v>-363223.35373095522</v>
      </c>
      <c r="BG1006" s="15">
        <f t="shared" si="659"/>
        <v>22.170849845882874</v>
      </c>
      <c r="BH1006" s="75">
        <f>BG1006*(1-PARAM!$C$27)*$I$17+(MOD($B1006,60)=PARAM!$B$56)*($B1006&gt;(60-PARAM!$B$56))*HLOOKUP(($B1006+PARAM!$B$56)/12,Loyalty,2)*$F$1*MAX(BJ1005,0)</f>
        <v>18.557001321003963</v>
      </c>
      <c r="BI1006" s="75">
        <f>PARAM!$C$26+MAX($G$17-CHOOSE(PARAM!$B$44,MAX(0,BJ1005*$F$1),0),0)*RATES!$L982/12+$H$17*(PARAM!$D$51/12)*RATES!$N982/100</f>
        <v>1190.0416666666667</v>
      </c>
      <c r="BJ1006" s="16">
        <f t="shared" si="685"/>
        <v>-363223.35373095522</v>
      </c>
      <c r="BK1006" s="15">
        <f t="shared" si="660"/>
        <v>22.170849845882874</v>
      </c>
      <c r="BL1006" s="75">
        <f>BK1006*(1-PARAM!$C$27)*$I$18+(MOD($B1006,60)=PARAM!$B$56)*($B1006&gt;(60-PARAM!$B$56))*HLOOKUP(($B1006+PARAM!$B$56)/12,Loyalty,2)*$F$1*MAX(BN1005,0)</f>
        <v>18.557001321003963</v>
      </c>
      <c r="BM1006" s="75">
        <f>PARAM!$C$26+MAX($G$18-CHOOSE(PARAM!$B$44,MAX(0,BN1005*$F$1),0),0)*RATES!$L982/12+$H$18*(PARAM!$D$51/12)*RATES!$N982/100</f>
        <v>1190.0416666666667</v>
      </c>
      <c r="BN1006" s="16">
        <f t="shared" si="686"/>
        <v>-363223.35373095522</v>
      </c>
      <c r="BO1006" s="15">
        <f t="shared" si="661"/>
        <v>22.170849845882874</v>
      </c>
      <c r="BP1006" s="75">
        <f>BO1006*(1-PARAM!$C$27)*$I$19+(MOD($B1006,60)=PARAM!$B$56)*($B1006&gt;(60-PARAM!$B$56))*HLOOKUP(($B1006+PARAM!$B$56)/12,Loyalty,2)*$F$1*MAX(BR1005,0)</f>
        <v>18.557001321003963</v>
      </c>
      <c r="BQ1006" s="75">
        <f>PARAM!$C$26+MAX($G$19-CHOOSE(PARAM!$B$44,MAX(0,BR1005*$F$1),0),0)*RATES!$L982/12+$H$19*(PARAM!$D$51/12)*RATES!$N982/100</f>
        <v>1190.0416666666667</v>
      </c>
      <c r="BR1006" s="16">
        <f t="shared" si="687"/>
        <v>-363223.35373095522</v>
      </c>
      <c r="BS1006" s="15">
        <f t="shared" si="662"/>
        <v>22.170849845882874</v>
      </c>
      <c r="BT1006" s="75">
        <f>BS1006*(1-PARAM!$C$27)*$I$20+(MOD($B1006,60)=PARAM!$B$56)*($B1006&gt;(60-PARAM!$B$56))*HLOOKUP(($B1006+PARAM!$B$56)/12,Loyalty,2)*$F$1*MAX(BV1005,0)</f>
        <v>18.557001321003963</v>
      </c>
      <c r="BU1006" s="75">
        <f>PARAM!$C$26+MAX($G$20-CHOOSE(PARAM!$B$44,MAX(0,BV1005*$F$1),0),0)*RATES!$L982/12+$H$20*(PARAM!$D$51/12)*RATES!$N982/100</f>
        <v>1190.0416666666667</v>
      </c>
      <c r="BV1006" s="16">
        <f t="shared" si="688"/>
        <v>-363223.35373095522</v>
      </c>
      <c r="BW1006" s="15">
        <f t="shared" si="663"/>
        <v>22.170849845882874</v>
      </c>
      <c r="BX1006" s="75">
        <f>BW1006*(1-PARAM!$C$27)*$I$21+(MOD($B1006,60)=PARAM!$B$56)*($B1006&gt;(60-PARAM!$B$56))*HLOOKUP(($B1006+PARAM!$B$56)/12,Loyalty,2)*$F$1*MAX(BZ1005,0)</f>
        <v>18.557001321003963</v>
      </c>
      <c r="BY1006" s="75">
        <f>PARAM!$C$26+MAX($G$21-CHOOSE(PARAM!$B$44,MAX(0,BZ1005*$F$1),0),0)*RATES!$L982/12+$H$21*(PARAM!$D$51/12)*RATES!$N982/100</f>
        <v>1190.0416666666667</v>
      </c>
      <c r="BZ1006" s="16">
        <f t="shared" si="689"/>
        <v>-363223.35373095522</v>
      </c>
      <c r="CA1006" s="15">
        <f t="shared" si="664"/>
        <v>22.170849845882874</v>
      </c>
      <c r="CB1006" s="75">
        <f>CA1006*(1-PARAM!$C$27)*$I$22+(MOD($B1006,60)=PARAM!$B$56)*($B1006&gt;(60-PARAM!$B$56))*HLOOKUP(($B1006+PARAM!$B$56)/12,Loyalty,2)*$F$1*MAX(CD1005,0)</f>
        <v>18.557001321003963</v>
      </c>
      <c r="CC1006" s="75">
        <f>PARAM!$C$26+MAX($G$22-CHOOSE(PARAM!$B$44,MAX(0,CD1005*$F$1),0),0)*RATES!$L982/12+$H$22*(PARAM!$D$51/12)*RATES!$N982/100</f>
        <v>1190.0416666666667</v>
      </c>
      <c r="CD1006" s="16">
        <f t="shared" si="690"/>
        <v>-363223.35373095522</v>
      </c>
      <c r="CE1006" s="33">
        <f>IF(0=MOD(B1006,12/PARAM!$D$51),1,0)</f>
        <v>1</v>
      </c>
      <c r="CF1006" s="15">
        <f t="shared" si="665"/>
        <v>0</v>
      </c>
      <c r="CG1006" s="75">
        <f>CF1006*(1-PARAM!$C$27)*$R$3+(MOD($B1006/12,5)=0)*($B1006&gt;60)*HLOOKUP($B1006/12,Loyalty,2)*$F$1*MAX(CI1005,0)</f>
        <v>0</v>
      </c>
      <c r="CH1006" s="75">
        <f>PARAM!$C$26+MAX($P$3-CHOOSE(PARAM!$B$44,MAX(0,CI1005*$F$1),0),0)*RATES!$L982/12+$Q$3*(PARAM!$D$51/12)*RATES!$N982/100</f>
        <v>1190.0416666666667</v>
      </c>
      <c r="CI1006" s="16">
        <f>IF(CI1005&gt;0,CI1005*PARAM!$C$53,CI1005)+CG1006-CH1006</f>
        <v>-381271.08333333489</v>
      </c>
      <c r="CJ1006" s="15">
        <f t="shared" si="691"/>
        <v>0</v>
      </c>
      <c r="CK1006" s="75">
        <f>CJ1006*(1-PARAM!$C$27)*$R$4+(MOD($B1006/12,5)=0)*($B1006&gt;60)*HLOOKUP($B1006/12,Loyalty,2)*$F$1*MAX(CM1005,0)</f>
        <v>0</v>
      </c>
      <c r="CL1006" s="75">
        <f>PARAM!$C$26+MAX($P$4-CHOOSE(PARAM!$B$44,MAX(0,CM1005*$F$1),0),0)*RATES!$L982/12+$Q$4*(PARAM!$D$51/12)*RATES!$N982/100</f>
        <v>1190.0416666666667</v>
      </c>
      <c r="CM1006" s="16">
        <f>IF(CM1005&gt;0,CM1005*PARAM!$C$53,CM1005)+CK1006-CL1006</f>
        <v>-381271.08333333489</v>
      </c>
      <c r="CO1006" s="176"/>
    </row>
    <row r="1007" spans="1:93" x14ac:dyDescent="0.2">
      <c r="A1007" t="b">
        <f t="shared" si="666"/>
        <v>0</v>
      </c>
      <c r="B1007" s="33">
        <v>980</v>
      </c>
      <c r="C1007" s="15">
        <f t="shared" si="667"/>
        <v>20.081305947392778</v>
      </c>
      <c r="D1007" s="75">
        <f>C1007*(1-PARAM!$C$27)*$I$3+(MOD($B1007,60)=PARAM!$B$56)*($B1007&gt;(60-PARAM!$B$56))*HLOOKUP(($B1007+PARAM!$B$56)/12,Loyalty,2)*$F$1*MAX(F1006,0)</f>
        <v>16.808053077967756</v>
      </c>
      <c r="E1007" s="75">
        <f>PARAM!$C$26+MAX($G$3-CHOOSE(PARAM!$B$44,MAX(0,F1006*$F$1),0),0)*RATES!$L983/12+$H$3*(PARAM!$D$51/12)*RATES!$N983/100</f>
        <v>1190.0416666666667</v>
      </c>
      <c r="F1007" s="16">
        <f t="shared" si="668"/>
        <v>-366145.65817499871</v>
      </c>
      <c r="G1007" s="15">
        <f t="shared" si="669"/>
        <v>22.035289406060361</v>
      </c>
      <c r="H1007" s="75">
        <f>G1007*(1-PARAM!$C$27)*$I$4+(MOD($B1007,60)=PARAM!$B$56)*($B1007&gt;(60-PARAM!$B$56))*HLOOKUP(($B1007+PARAM!$B$56)/12,Loyalty,2)*$F$1*MAX(J1006,0)</f>
        <v>18.443537232872522</v>
      </c>
      <c r="I1007" s="75">
        <f>PARAM!$C$26+MAX($G$4-CHOOSE(PARAM!$B$44,MAX(0,J1006*$F$1),0),0)*RATES!$L983/12+$H$4*(PARAM!$D$51/12)*RATES!$N983/100</f>
        <v>1190.0416666666667</v>
      </c>
      <c r="J1007" s="16">
        <f t="shared" si="670"/>
        <v>-364509.05073906755</v>
      </c>
      <c r="K1007" s="15">
        <f t="shared" si="671"/>
        <v>22.170849845882874</v>
      </c>
      <c r="L1007" s="75">
        <f>K1007*(1-PARAM!$C$27)*$I$5+(MOD($B1007,60)=PARAM!$B$56)*($B1007&gt;(60-PARAM!$B$56))*HLOOKUP(($B1007+PARAM!$B$56)/12,Loyalty,2)*$F$1*MAX(N1006,0)</f>
        <v>18.557001321003963</v>
      </c>
      <c r="M1007" s="75">
        <f>PARAM!$C$26+MAX($G$5-CHOOSE(PARAM!$B$44,MAX(0,N1006*$F$1),0),0)*RATES!$L983/12+$H$5*(PARAM!$D$51/12)*RATES!$N983/100</f>
        <v>1190.0416666666667</v>
      </c>
      <c r="N1007" s="16">
        <f t="shared" si="672"/>
        <v>-364394.83839630091</v>
      </c>
      <c r="O1007" s="15">
        <f t="shared" si="673"/>
        <v>22.170849845882874</v>
      </c>
      <c r="P1007" s="75">
        <f>O1007*(1-PARAM!$C$27)*$I$6+(MOD($B1007,60)=PARAM!$B$56)*($B1007&gt;(60-PARAM!$B$56))*HLOOKUP(($B1007+PARAM!$B$56)/12,Loyalty,2)*$F$1*MAX(R1006,0)</f>
        <v>18.557001321003963</v>
      </c>
      <c r="Q1007" s="75">
        <f>PARAM!$C$26+MAX($G$6-CHOOSE(PARAM!$B$44,MAX(0,R1006*$F$1),0),0)*RATES!$L983/12+$H$6*(PARAM!$D$51/12)*RATES!$N983/100</f>
        <v>1190.0416666666667</v>
      </c>
      <c r="R1007" s="16">
        <f t="shared" si="674"/>
        <v>-364394.83839630091</v>
      </c>
      <c r="S1007" s="15">
        <f t="shared" si="649"/>
        <v>22.170849845882874</v>
      </c>
      <c r="T1007" s="75">
        <f>S1007*(1-PARAM!$C$27)*$I$7+(MOD($B1007,60)=PARAM!$B$56)*($B1007&gt;(60-PARAM!$B$56))*HLOOKUP(($B1007+PARAM!$B$56)/12,Loyalty,2)*$F$1*MAX(V1006,0)</f>
        <v>18.557001321003963</v>
      </c>
      <c r="U1007" s="75">
        <f>PARAM!$C$26+MAX($G$7-CHOOSE(PARAM!$B$44,MAX(0,V1006*$F$1),0),0)*RATES!$L983/12+$H$7*(PARAM!$D$51/12)*RATES!$N983/100</f>
        <v>1190.0416666666667</v>
      </c>
      <c r="V1007" s="16">
        <f t="shared" si="675"/>
        <v>-364394.83839630091</v>
      </c>
      <c r="W1007" s="15">
        <f t="shared" si="650"/>
        <v>22.170849845882874</v>
      </c>
      <c r="X1007" s="75">
        <f>W1007*(1-PARAM!$C$27)*$I$8+(MOD($B1007,60)=PARAM!$B$56)*($B1007&gt;(60-PARAM!$B$56))*HLOOKUP(($B1007+PARAM!$B$56)/12,Loyalty,2)*$F$1*MAX(Z1006,0)</f>
        <v>18.557001321003963</v>
      </c>
      <c r="Y1007" s="75">
        <f>PARAM!$C$26+MAX($G$8-CHOOSE(PARAM!$B$44,MAX(0,Z1006*$F$1),0),0)*RATES!$L983/12+$H$8*(PARAM!$D$51/12)*RATES!$N983/100</f>
        <v>1190.0416666666667</v>
      </c>
      <c r="Z1007" s="16">
        <f t="shared" si="676"/>
        <v>-364394.83839630091</v>
      </c>
      <c r="AA1007" s="15">
        <f t="shared" si="651"/>
        <v>22.170849845882874</v>
      </c>
      <c r="AB1007" s="75">
        <f>AA1007*(1-PARAM!$C$27)*$I$9+(MOD($B1007,60)=PARAM!$B$56)*($B1007&gt;(60-PARAM!$B$56))*HLOOKUP(($B1007+PARAM!$B$56)/12,Loyalty,2)*$F$1*MAX(AD1006,0)</f>
        <v>18.557001321003963</v>
      </c>
      <c r="AC1007" s="75">
        <f>PARAM!$C$26+MAX($G$9-CHOOSE(PARAM!$B$44,MAX(0,AD1006*$F$1),0),0)*RATES!$L983/12+$H$9*(PARAM!$D$51/12)*RATES!$N983/100</f>
        <v>1190.0416666666667</v>
      </c>
      <c r="AD1007" s="16">
        <f t="shared" si="677"/>
        <v>-364394.83839630091</v>
      </c>
      <c r="AE1007" s="15">
        <f t="shared" si="652"/>
        <v>22.170849845882874</v>
      </c>
      <c r="AF1007" s="75">
        <f>AE1007*(1-PARAM!$C$27)*$I$10+(MOD($B1007,60)=PARAM!$B$56)*($B1007&gt;(60-PARAM!$B$56))*HLOOKUP(($B1007+PARAM!$B$56)/12,Loyalty,2)*$F$1*MAX(AH1006,0)</f>
        <v>18.557001321003963</v>
      </c>
      <c r="AG1007" s="75">
        <f>PARAM!$C$26+MAX($G$10-CHOOSE(PARAM!$B$44,MAX(0,AH1006*$F$1),0),0)*RATES!$L983/12+$H$10*(PARAM!$D$51/12)*RATES!$N983/100</f>
        <v>1190.0416666666667</v>
      </c>
      <c r="AH1007" s="16">
        <f t="shared" si="678"/>
        <v>-364394.83839630091</v>
      </c>
      <c r="AI1007" s="15">
        <f t="shared" si="653"/>
        <v>22.170849845882874</v>
      </c>
      <c r="AJ1007" s="75">
        <f>AI1007*(1-PARAM!$C$27)*$I$11+(MOD($B1007,60)=PARAM!$B$56)*($B1007&gt;(60-PARAM!$B$56))*HLOOKUP(($B1007+PARAM!$B$56)/12,Loyalty,2)*$F$1*MAX(AL1006,0)</f>
        <v>18.557001321003963</v>
      </c>
      <c r="AK1007" s="75">
        <f>PARAM!$C$26+MAX($G$11-CHOOSE(PARAM!$B$44,MAX(0,AL1006*$F$1),0),0)*RATES!$L983/12+$H$11*(PARAM!$D$51/12)*RATES!$N983/100</f>
        <v>1190.0416666666667</v>
      </c>
      <c r="AL1007" s="16">
        <f t="shared" si="679"/>
        <v>-364394.83839630091</v>
      </c>
      <c r="AM1007" s="15">
        <f t="shared" si="654"/>
        <v>22.170849845882874</v>
      </c>
      <c r="AN1007" s="75">
        <f>AM1007*(1-PARAM!$C$27)*$I$12+(MOD($B1007,60)=PARAM!$B$56)*($B1007&gt;(60-PARAM!$B$56))*HLOOKUP(($B1007+PARAM!$B$56)/12,Loyalty,2)*$F$1*MAX(AP1006,0)</f>
        <v>18.557001321003963</v>
      </c>
      <c r="AO1007" s="75">
        <f>PARAM!$C$26+MAX($G$12-CHOOSE(PARAM!$B$44,MAX(0,AP1006*$F$1),0),0)*RATES!$L983/12+$H$12*(PARAM!$D$51/12)*RATES!$N983/100</f>
        <v>1190.0416666666667</v>
      </c>
      <c r="AP1007" s="16">
        <f t="shared" si="680"/>
        <v>-364394.83839630091</v>
      </c>
      <c r="AQ1007" s="15">
        <f t="shared" si="655"/>
        <v>22.170849845882874</v>
      </c>
      <c r="AR1007" s="75">
        <f>AQ1007*(1-PARAM!$C$27)*$I$13+(MOD($B1007,60)=PARAM!$B$56)*($B1007&gt;(60-PARAM!$B$56))*HLOOKUP(($B1007+PARAM!$B$56)/12,Loyalty,2)*$F$1*MAX(AT1006,0)</f>
        <v>18.557001321003963</v>
      </c>
      <c r="AS1007" s="75">
        <f>PARAM!$C$26+MAX($G$13-CHOOSE(PARAM!$B$44,MAX(0,AT1006*$F$1),0),0)*RATES!$L983/12+$H$13*(PARAM!$D$51/12)*RATES!$N983/100</f>
        <v>1190.0416666666667</v>
      </c>
      <c r="AT1007" s="16">
        <f t="shared" si="681"/>
        <v>-364394.83839630091</v>
      </c>
      <c r="AU1007" s="15">
        <f t="shared" si="656"/>
        <v>22.170849845882874</v>
      </c>
      <c r="AV1007" s="75">
        <f>AU1007*(1-PARAM!$C$27)*$I$14+(MOD($B1007,60)=PARAM!$B$56)*($B1007&gt;(60-PARAM!$B$56))*HLOOKUP(($B1007+PARAM!$B$56)/12,Loyalty,2)*$F$1*MAX(AX1006,0)</f>
        <v>18.557001321003963</v>
      </c>
      <c r="AW1007" s="75">
        <f>PARAM!$C$26+MAX($G$14-CHOOSE(PARAM!$B$44,MAX(0,AX1006*$F$1),0),0)*RATES!$L983/12+$H$14*(PARAM!$D$51/12)*RATES!$N983/100</f>
        <v>1190.0416666666667</v>
      </c>
      <c r="AX1007" s="16">
        <f t="shared" si="682"/>
        <v>-364394.83839630091</v>
      </c>
      <c r="AY1007" s="15">
        <f t="shared" si="657"/>
        <v>22.170849845882874</v>
      </c>
      <c r="AZ1007" s="75">
        <f>AY1007*(1-PARAM!$C$27)*$I$15+(MOD($B1007,60)=PARAM!$B$56)*($B1007&gt;(60-PARAM!$B$56))*HLOOKUP(($B1007+PARAM!$B$56)/12,Loyalty,2)*$F$1*MAX(BB1006,0)</f>
        <v>18.557001321003963</v>
      </c>
      <c r="BA1007" s="75">
        <f>PARAM!$C$26+MAX($G$15-CHOOSE(PARAM!$B$44,MAX(0,BB1006*$F$1),0),0)*RATES!$L983/12+$H$15*(PARAM!$D$51/12)*RATES!$N983/100</f>
        <v>1190.0416666666667</v>
      </c>
      <c r="BB1007" s="16">
        <f t="shared" si="683"/>
        <v>-364394.83839630091</v>
      </c>
      <c r="BC1007" s="15">
        <f t="shared" si="658"/>
        <v>22.170849845882874</v>
      </c>
      <c r="BD1007" s="75">
        <f>BC1007*(1-PARAM!$C$27)*$I$16+(MOD($B1007,60)=PARAM!$B$56)*($B1007&gt;(60-PARAM!$B$56))*HLOOKUP(($B1007+PARAM!$B$56)/12,Loyalty,2)*$F$1*MAX(BF1006,0)</f>
        <v>18.557001321003963</v>
      </c>
      <c r="BE1007" s="75">
        <f>PARAM!$C$26+MAX($G$16-CHOOSE(PARAM!$B$44,MAX(0,BF1006*$F$1),0),0)*RATES!$L983/12+$H$16*(PARAM!$D$51/12)*RATES!$N983/100</f>
        <v>1190.0416666666667</v>
      </c>
      <c r="BF1007" s="16">
        <f t="shared" si="684"/>
        <v>-364394.83839630091</v>
      </c>
      <c r="BG1007" s="15">
        <f t="shared" si="659"/>
        <v>22.170849845882874</v>
      </c>
      <c r="BH1007" s="75">
        <f>BG1007*(1-PARAM!$C$27)*$I$17+(MOD($B1007,60)=PARAM!$B$56)*($B1007&gt;(60-PARAM!$B$56))*HLOOKUP(($B1007+PARAM!$B$56)/12,Loyalty,2)*$F$1*MAX(BJ1006,0)</f>
        <v>18.557001321003963</v>
      </c>
      <c r="BI1007" s="75">
        <f>PARAM!$C$26+MAX($G$17-CHOOSE(PARAM!$B$44,MAX(0,BJ1006*$F$1),0),0)*RATES!$L983/12+$H$17*(PARAM!$D$51/12)*RATES!$N983/100</f>
        <v>1190.0416666666667</v>
      </c>
      <c r="BJ1007" s="16">
        <f t="shared" si="685"/>
        <v>-364394.83839630091</v>
      </c>
      <c r="BK1007" s="15">
        <f t="shared" si="660"/>
        <v>22.170849845882874</v>
      </c>
      <c r="BL1007" s="75">
        <f>BK1007*(1-PARAM!$C$27)*$I$18+(MOD($B1007,60)=PARAM!$B$56)*($B1007&gt;(60-PARAM!$B$56))*HLOOKUP(($B1007+PARAM!$B$56)/12,Loyalty,2)*$F$1*MAX(BN1006,0)</f>
        <v>18.557001321003963</v>
      </c>
      <c r="BM1007" s="75">
        <f>PARAM!$C$26+MAX($G$18-CHOOSE(PARAM!$B$44,MAX(0,BN1006*$F$1),0),0)*RATES!$L983/12+$H$18*(PARAM!$D$51/12)*RATES!$N983/100</f>
        <v>1190.0416666666667</v>
      </c>
      <c r="BN1007" s="16">
        <f t="shared" si="686"/>
        <v>-364394.83839630091</v>
      </c>
      <c r="BO1007" s="15">
        <f t="shared" si="661"/>
        <v>22.170849845882874</v>
      </c>
      <c r="BP1007" s="75">
        <f>BO1007*(1-PARAM!$C$27)*$I$19+(MOD($B1007,60)=PARAM!$B$56)*($B1007&gt;(60-PARAM!$B$56))*HLOOKUP(($B1007+PARAM!$B$56)/12,Loyalty,2)*$F$1*MAX(BR1006,0)</f>
        <v>18.557001321003963</v>
      </c>
      <c r="BQ1007" s="75">
        <f>PARAM!$C$26+MAX($G$19-CHOOSE(PARAM!$B$44,MAX(0,BR1006*$F$1),0),0)*RATES!$L983/12+$H$19*(PARAM!$D$51/12)*RATES!$N983/100</f>
        <v>1190.0416666666667</v>
      </c>
      <c r="BR1007" s="16">
        <f t="shared" si="687"/>
        <v>-364394.83839630091</v>
      </c>
      <c r="BS1007" s="15">
        <f t="shared" si="662"/>
        <v>22.170849845882874</v>
      </c>
      <c r="BT1007" s="75">
        <f>BS1007*(1-PARAM!$C$27)*$I$20+(MOD($B1007,60)=PARAM!$B$56)*($B1007&gt;(60-PARAM!$B$56))*HLOOKUP(($B1007+PARAM!$B$56)/12,Loyalty,2)*$F$1*MAX(BV1006,0)</f>
        <v>18.557001321003963</v>
      </c>
      <c r="BU1007" s="75">
        <f>PARAM!$C$26+MAX($G$20-CHOOSE(PARAM!$B$44,MAX(0,BV1006*$F$1),0),0)*RATES!$L983/12+$H$20*(PARAM!$D$51/12)*RATES!$N983/100</f>
        <v>1190.0416666666667</v>
      </c>
      <c r="BV1007" s="16">
        <f t="shared" si="688"/>
        <v>-364394.83839630091</v>
      </c>
      <c r="BW1007" s="15">
        <f t="shared" si="663"/>
        <v>22.170849845882874</v>
      </c>
      <c r="BX1007" s="75">
        <f>BW1007*(1-PARAM!$C$27)*$I$21+(MOD($B1007,60)=PARAM!$B$56)*($B1007&gt;(60-PARAM!$B$56))*HLOOKUP(($B1007+PARAM!$B$56)/12,Loyalty,2)*$F$1*MAX(BZ1006,0)</f>
        <v>18.557001321003963</v>
      </c>
      <c r="BY1007" s="75">
        <f>PARAM!$C$26+MAX($G$21-CHOOSE(PARAM!$B$44,MAX(0,BZ1006*$F$1),0),0)*RATES!$L983/12+$H$21*(PARAM!$D$51/12)*RATES!$N983/100</f>
        <v>1190.0416666666667</v>
      </c>
      <c r="BZ1007" s="16">
        <f t="shared" si="689"/>
        <v>-364394.83839630091</v>
      </c>
      <c r="CA1007" s="15">
        <f t="shared" si="664"/>
        <v>22.170849845882874</v>
      </c>
      <c r="CB1007" s="75">
        <f>CA1007*(1-PARAM!$C$27)*$I$22+(MOD($B1007,60)=PARAM!$B$56)*($B1007&gt;(60-PARAM!$B$56))*HLOOKUP(($B1007+PARAM!$B$56)/12,Loyalty,2)*$F$1*MAX(CD1006,0)</f>
        <v>18.557001321003963</v>
      </c>
      <c r="CC1007" s="75">
        <f>PARAM!$C$26+MAX($G$22-CHOOSE(PARAM!$B$44,MAX(0,CD1006*$F$1),0),0)*RATES!$L983/12+$H$22*(PARAM!$D$51/12)*RATES!$N983/100</f>
        <v>1190.0416666666667</v>
      </c>
      <c r="CD1007" s="16">
        <f t="shared" si="690"/>
        <v>-364394.83839630091</v>
      </c>
      <c r="CE1007" s="33">
        <f>IF(0=MOD(B1007,12/PARAM!$D$51),1,0)</f>
        <v>1</v>
      </c>
      <c r="CF1007" s="15">
        <f t="shared" si="665"/>
        <v>0</v>
      </c>
      <c r="CG1007" s="75">
        <f>CF1007*(1-PARAM!$C$27)*$R$3+(MOD($B1007/12,5)=0)*($B1007&gt;60)*HLOOKUP($B1007/12,Loyalty,2)*$F$1*MAX(CI1006,0)</f>
        <v>0</v>
      </c>
      <c r="CH1007" s="75">
        <f>PARAM!$C$26+MAX($P$3-CHOOSE(PARAM!$B$44,MAX(0,CI1006*$F$1),0),0)*RATES!$L983/12+$Q$3*(PARAM!$D$51/12)*RATES!$N983/100</f>
        <v>1190.0416666666667</v>
      </c>
      <c r="CI1007" s="16">
        <f>IF(CI1006&gt;0,CI1006*PARAM!$C$53,CI1006)+CG1007-CH1007</f>
        <v>-382461.12500000157</v>
      </c>
      <c r="CJ1007" s="15">
        <f t="shared" si="691"/>
        <v>0</v>
      </c>
      <c r="CK1007" s="75">
        <f>CJ1007*(1-PARAM!$C$27)*$R$4+(MOD($B1007/12,5)=0)*($B1007&gt;60)*HLOOKUP($B1007/12,Loyalty,2)*$F$1*MAX(CM1006,0)</f>
        <v>0</v>
      </c>
      <c r="CL1007" s="75">
        <f>PARAM!$C$26+MAX($P$4-CHOOSE(PARAM!$B$44,MAX(0,CM1006*$F$1),0),0)*RATES!$L983/12+$Q$4*(PARAM!$D$51/12)*RATES!$N983/100</f>
        <v>1190.0416666666667</v>
      </c>
      <c r="CM1007" s="16">
        <f>IF(CM1006&gt;0,CM1006*PARAM!$C$53,CM1006)+CK1007-CL1007</f>
        <v>-382461.12500000157</v>
      </c>
      <c r="CO1007" s="176"/>
    </row>
    <row r="1008" spans="1:93" x14ac:dyDescent="0.2">
      <c r="A1008" t="b">
        <f t="shared" si="666"/>
        <v>0</v>
      </c>
      <c r="B1008" s="33">
        <v>981</v>
      </c>
      <c r="C1008" s="15">
        <f t="shared" si="667"/>
        <v>20.081305947392778</v>
      </c>
      <c r="D1008" s="75">
        <f>C1008*(1-PARAM!$C$27)*$I$3+(MOD($B1008,60)=PARAM!$B$56)*($B1008&gt;(60-PARAM!$B$56))*HLOOKUP(($B1008+PARAM!$B$56)/12,Loyalty,2)*$F$1*MAX(F1007,0)</f>
        <v>16.808053077967756</v>
      </c>
      <c r="E1008" s="75">
        <f>PARAM!$C$26+MAX($G$3-CHOOSE(PARAM!$B$44,MAX(0,F1007*$F$1),0),0)*RATES!$L984/12+$H$3*(PARAM!$D$51/12)*RATES!$N984/100</f>
        <v>1190.0416666666667</v>
      </c>
      <c r="F1008" s="16">
        <f t="shared" si="668"/>
        <v>-367318.89178858744</v>
      </c>
      <c r="G1008" s="15">
        <f t="shared" si="669"/>
        <v>22.035289406060361</v>
      </c>
      <c r="H1008" s="75">
        <f>G1008*(1-PARAM!$C$27)*$I$4+(MOD($B1008,60)=PARAM!$B$56)*($B1008&gt;(60-PARAM!$B$56))*HLOOKUP(($B1008+PARAM!$B$56)/12,Loyalty,2)*$F$1*MAX(J1007,0)</f>
        <v>18.443537232872522</v>
      </c>
      <c r="I1008" s="75">
        <f>PARAM!$C$26+MAX($G$4-CHOOSE(PARAM!$B$44,MAX(0,J1007*$F$1),0),0)*RATES!$L984/12+$H$4*(PARAM!$D$51/12)*RATES!$N984/100</f>
        <v>1190.0416666666667</v>
      </c>
      <c r="J1008" s="16">
        <f t="shared" si="670"/>
        <v>-365680.64886850136</v>
      </c>
      <c r="K1008" s="15">
        <f t="shared" si="671"/>
        <v>22.170849845882874</v>
      </c>
      <c r="L1008" s="75">
        <f>K1008*(1-PARAM!$C$27)*$I$5+(MOD($B1008,60)=PARAM!$B$56)*($B1008&gt;(60-PARAM!$B$56))*HLOOKUP(($B1008+PARAM!$B$56)/12,Loyalty,2)*$F$1*MAX(N1007,0)</f>
        <v>18.557001321003963</v>
      </c>
      <c r="M1008" s="75">
        <f>PARAM!$C$26+MAX($G$5-CHOOSE(PARAM!$B$44,MAX(0,N1007*$F$1),0),0)*RATES!$L984/12+$H$5*(PARAM!$D$51/12)*RATES!$N984/100</f>
        <v>1190.0416666666667</v>
      </c>
      <c r="N1008" s="16">
        <f t="shared" si="672"/>
        <v>-365566.3230616466</v>
      </c>
      <c r="O1008" s="15">
        <f t="shared" si="673"/>
        <v>22.170849845882874</v>
      </c>
      <c r="P1008" s="75">
        <f>O1008*(1-PARAM!$C$27)*$I$6+(MOD($B1008,60)=PARAM!$B$56)*($B1008&gt;(60-PARAM!$B$56))*HLOOKUP(($B1008+PARAM!$B$56)/12,Loyalty,2)*$F$1*MAX(R1007,0)</f>
        <v>18.557001321003963</v>
      </c>
      <c r="Q1008" s="75">
        <f>PARAM!$C$26+MAX($G$6-CHOOSE(PARAM!$B$44,MAX(0,R1007*$F$1),0),0)*RATES!$L984/12+$H$6*(PARAM!$D$51/12)*RATES!$N984/100</f>
        <v>1190.0416666666667</v>
      </c>
      <c r="R1008" s="16">
        <f t="shared" si="674"/>
        <v>-365566.3230616466</v>
      </c>
      <c r="S1008" s="15">
        <f t="shared" si="649"/>
        <v>22.170849845882874</v>
      </c>
      <c r="T1008" s="75">
        <f>S1008*(1-PARAM!$C$27)*$I$7+(MOD($B1008,60)=PARAM!$B$56)*($B1008&gt;(60-PARAM!$B$56))*HLOOKUP(($B1008+PARAM!$B$56)/12,Loyalty,2)*$F$1*MAX(V1007,0)</f>
        <v>18.557001321003963</v>
      </c>
      <c r="U1008" s="75">
        <f>PARAM!$C$26+MAX($G$7-CHOOSE(PARAM!$B$44,MAX(0,V1007*$F$1),0),0)*RATES!$L984/12+$H$7*(PARAM!$D$51/12)*RATES!$N984/100</f>
        <v>1190.0416666666667</v>
      </c>
      <c r="V1008" s="16">
        <f t="shared" si="675"/>
        <v>-365566.3230616466</v>
      </c>
      <c r="W1008" s="15">
        <f t="shared" si="650"/>
        <v>22.170849845882874</v>
      </c>
      <c r="X1008" s="75">
        <f>W1008*(1-PARAM!$C$27)*$I$8+(MOD($B1008,60)=PARAM!$B$56)*($B1008&gt;(60-PARAM!$B$56))*HLOOKUP(($B1008+PARAM!$B$56)/12,Loyalty,2)*$F$1*MAX(Z1007,0)</f>
        <v>18.557001321003963</v>
      </c>
      <c r="Y1008" s="75">
        <f>PARAM!$C$26+MAX($G$8-CHOOSE(PARAM!$B$44,MAX(0,Z1007*$F$1),0),0)*RATES!$L984/12+$H$8*(PARAM!$D$51/12)*RATES!$N984/100</f>
        <v>1190.0416666666667</v>
      </c>
      <c r="Z1008" s="16">
        <f t="shared" si="676"/>
        <v>-365566.3230616466</v>
      </c>
      <c r="AA1008" s="15">
        <f t="shared" si="651"/>
        <v>22.170849845882874</v>
      </c>
      <c r="AB1008" s="75">
        <f>AA1008*(1-PARAM!$C$27)*$I$9+(MOD($B1008,60)=PARAM!$B$56)*($B1008&gt;(60-PARAM!$B$56))*HLOOKUP(($B1008+PARAM!$B$56)/12,Loyalty,2)*$F$1*MAX(AD1007,0)</f>
        <v>18.557001321003963</v>
      </c>
      <c r="AC1008" s="75">
        <f>PARAM!$C$26+MAX($G$9-CHOOSE(PARAM!$B$44,MAX(0,AD1007*$F$1),0),0)*RATES!$L984/12+$H$9*(PARAM!$D$51/12)*RATES!$N984/100</f>
        <v>1190.0416666666667</v>
      </c>
      <c r="AD1008" s="16">
        <f t="shared" si="677"/>
        <v>-365566.3230616466</v>
      </c>
      <c r="AE1008" s="15">
        <f t="shared" si="652"/>
        <v>22.170849845882874</v>
      </c>
      <c r="AF1008" s="75">
        <f>AE1008*(1-PARAM!$C$27)*$I$10+(MOD($B1008,60)=PARAM!$B$56)*($B1008&gt;(60-PARAM!$B$56))*HLOOKUP(($B1008+PARAM!$B$56)/12,Loyalty,2)*$F$1*MAX(AH1007,0)</f>
        <v>18.557001321003963</v>
      </c>
      <c r="AG1008" s="75">
        <f>PARAM!$C$26+MAX($G$10-CHOOSE(PARAM!$B$44,MAX(0,AH1007*$F$1),0),0)*RATES!$L984/12+$H$10*(PARAM!$D$51/12)*RATES!$N984/100</f>
        <v>1190.0416666666667</v>
      </c>
      <c r="AH1008" s="16">
        <f t="shared" si="678"/>
        <v>-365566.3230616466</v>
      </c>
      <c r="AI1008" s="15">
        <f t="shared" si="653"/>
        <v>22.170849845882874</v>
      </c>
      <c r="AJ1008" s="75">
        <f>AI1008*(1-PARAM!$C$27)*$I$11+(MOD($B1008,60)=PARAM!$B$56)*($B1008&gt;(60-PARAM!$B$56))*HLOOKUP(($B1008+PARAM!$B$56)/12,Loyalty,2)*$F$1*MAX(AL1007,0)</f>
        <v>18.557001321003963</v>
      </c>
      <c r="AK1008" s="75">
        <f>PARAM!$C$26+MAX($G$11-CHOOSE(PARAM!$B$44,MAX(0,AL1007*$F$1),0),0)*RATES!$L984/12+$H$11*(PARAM!$D$51/12)*RATES!$N984/100</f>
        <v>1190.0416666666667</v>
      </c>
      <c r="AL1008" s="16">
        <f t="shared" si="679"/>
        <v>-365566.3230616466</v>
      </c>
      <c r="AM1008" s="15">
        <f t="shared" si="654"/>
        <v>22.170849845882874</v>
      </c>
      <c r="AN1008" s="75">
        <f>AM1008*(1-PARAM!$C$27)*$I$12+(MOD($B1008,60)=PARAM!$B$56)*($B1008&gt;(60-PARAM!$B$56))*HLOOKUP(($B1008+PARAM!$B$56)/12,Loyalty,2)*$F$1*MAX(AP1007,0)</f>
        <v>18.557001321003963</v>
      </c>
      <c r="AO1008" s="75">
        <f>PARAM!$C$26+MAX($G$12-CHOOSE(PARAM!$B$44,MAX(0,AP1007*$F$1),0),0)*RATES!$L984/12+$H$12*(PARAM!$D$51/12)*RATES!$N984/100</f>
        <v>1190.0416666666667</v>
      </c>
      <c r="AP1008" s="16">
        <f t="shared" si="680"/>
        <v>-365566.3230616466</v>
      </c>
      <c r="AQ1008" s="15">
        <f t="shared" si="655"/>
        <v>22.170849845882874</v>
      </c>
      <c r="AR1008" s="75">
        <f>AQ1008*(1-PARAM!$C$27)*$I$13+(MOD($B1008,60)=PARAM!$B$56)*($B1008&gt;(60-PARAM!$B$56))*HLOOKUP(($B1008+PARAM!$B$56)/12,Loyalty,2)*$F$1*MAX(AT1007,0)</f>
        <v>18.557001321003963</v>
      </c>
      <c r="AS1008" s="75">
        <f>PARAM!$C$26+MAX($G$13-CHOOSE(PARAM!$B$44,MAX(0,AT1007*$F$1),0),0)*RATES!$L984/12+$H$13*(PARAM!$D$51/12)*RATES!$N984/100</f>
        <v>1190.0416666666667</v>
      </c>
      <c r="AT1008" s="16">
        <f t="shared" si="681"/>
        <v>-365566.3230616466</v>
      </c>
      <c r="AU1008" s="15">
        <f t="shared" si="656"/>
        <v>22.170849845882874</v>
      </c>
      <c r="AV1008" s="75">
        <f>AU1008*(1-PARAM!$C$27)*$I$14+(MOD($B1008,60)=PARAM!$B$56)*($B1008&gt;(60-PARAM!$B$56))*HLOOKUP(($B1008+PARAM!$B$56)/12,Loyalty,2)*$F$1*MAX(AX1007,0)</f>
        <v>18.557001321003963</v>
      </c>
      <c r="AW1008" s="75">
        <f>PARAM!$C$26+MAX($G$14-CHOOSE(PARAM!$B$44,MAX(0,AX1007*$F$1),0),0)*RATES!$L984/12+$H$14*(PARAM!$D$51/12)*RATES!$N984/100</f>
        <v>1190.0416666666667</v>
      </c>
      <c r="AX1008" s="16">
        <f t="shared" si="682"/>
        <v>-365566.3230616466</v>
      </c>
      <c r="AY1008" s="15">
        <f t="shared" si="657"/>
        <v>22.170849845882874</v>
      </c>
      <c r="AZ1008" s="75">
        <f>AY1008*(1-PARAM!$C$27)*$I$15+(MOD($B1008,60)=PARAM!$B$56)*($B1008&gt;(60-PARAM!$B$56))*HLOOKUP(($B1008+PARAM!$B$56)/12,Loyalty,2)*$F$1*MAX(BB1007,0)</f>
        <v>18.557001321003963</v>
      </c>
      <c r="BA1008" s="75">
        <f>PARAM!$C$26+MAX($G$15-CHOOSE(PARAM!$B$44,MAX(0,BB1007*$F$1),0),0)*RATES!$L984/12+$H$15*(PARAM!$D$51/12)*RATES!$N984/100</f>
        <v>1190.0416666666667</v>
      </c>
      <c r="BB1008" s="16">
        <f t="shared" si="683"/>
        <v>-365566.3230616466</v>
      </c>
      <c r="BC1008" s="15">
        <f t="shared" si="658"/>
        <v>22.170849845882874</v>
      </c>
      <c r="BD1008" s="75">
        <f>BC1008*(1-PARAM!$C$27)*$I$16+(MOD($B1008,60)=PARAM!$B$56)*($B1008&gt;(60-PARAM!$B$56))*HLOOKUP(($B1008+PARAM!$B$56)/12,Loyalty,2)*$F$1*MAX(BF1007,0)</f>
        <v>18.557001321003963</v>
      </c>
      <c r="BE1008" s="75">
        <f>PARAM!$C$26+MAX($G$16-CHOOSE(PARAM!$B$44,MAX(0,BF1007*$F$1),0),0)*RATES!$L984/12+$H$16*(PARAM!$D$51/12)*RATES!$N984/100</f>
        <v>1190.0416666666667</v>
      </c>
      <c r="BF1008" s="16">
        <f t="shared" si="684"/>
        <v>-365566.3230616466</v>
      </c>
      <c r="BG1008" s="15">
        <f t="shared" si="659"/>
        <v>22.170849845882874</v>
      </c>
      <c r="BH1008" s="75">
        <f>BG1008*(1-PARAM!$C$27)*$I$17+(MOD($B1008,60)=PARAM!$B$56)*($B1008&gt;(60-PARAM!$B$56))*HLOOKUP(($B1008+PARAM!$B$56)/12,Loyalty,2)*$F$1*MAX(BJ1007,0)</f>
        <v>18.557001321003963</v>
      </c>
      <c r="BI1008" s="75">
        <f>PARAM!$C$26+MAX($G$17-CHOOSE(PARAM!$B$44,MAX(0,BJ1007*$F$1),0),0)*RATES!$L984/12+$H$17*(PARAM!$D$51/12)*RATES!$N984/100</f>
        <v>1190.0416666666667</v>
      </c>
      <c r="BJ1008" s="16">
        <f t="shared" si="685"/>
        <v>-365566.3230616466</v>
      </c>
      <c r="BK1008" s="15">
        <f t="shared" si="660"/>
        <v>22.170849845882874</v>
      </c>
      <c r="BL1008" s="75">
        <f>BK1008*(1-PARAM!$C$27)*$I$18+(MOD($B1008,60)=PARAM!$B$56)*($B1008&gt;(60-PARAM!$B$56))*HLOOKUP(($B1008+PARAM!$B$56)/12,Loyalty,2)*$F$1*MAX(BN1007,0)</f>
        <v>18.557001321003963</v>
      </c>
      <c r="BM1008" s="75">
        <f>PARAM!$C$26+MAX($G$18-CHOOSE(PARAM!$B$44,MAX(0,BN1007*$F$1),0),0)*RATES!$L984/12+$H$18*(PARAM!$D$51/12)*RATES!$N984/100</f>
        <v>1190.0416666666667</v>
      </c>
      <c r="BN1008" s="16">
        <f t="shared" si="686"/>
        <v>-365566.3230616466</v>
      </c>
      <c r="BO1008" s="15">
        <f t="shared" si="661"/>
        <v>22.170849845882874</v>
      </c>
      <c r="BP1008" s="75">
        <f>BO1008*(1-PARAM!$C$27)*$I$19+(MOD($B1008,60)=PARAM!$B$56)*($B1008&gt;(60-PARAM!$B$56))*HLOOKUP(($B1008+PARAM!$B$56)/12,Loyalty,2)*$F$1*MAX(BR1007,0)</f>
        <v>18.557001321003963</v>
      </c>
      <c r="BQ1008" s="75">
        <f>PARAM!$C$26+MAX($G$19-CHOOSE(PARAM!$B$44,MAX(0,BR1007*$F$1),0),0)*RATES!$L984/12+$H$19*(PARAM!$D$51/12)*RATES!$N984/100</f>
        <v>1190.0416666666667</v>
      </c>
      <c r="BR1008" s="16">
        <f t="shared" si="687"/>
        <v>-365566.3230616466</v>
      </c>
      <c r="BS1008" s="15">
        <f t="shared" si="662"/>
        <v>22.170849845882874</v>
      </c>
      <c r="BT1008" s="75">
        <f>BS1008*(1-PARAM!$C$27)*$I$20+(MOD($B1008,60)=PARAM!$B$56)*($B1008&gt;(60-PARAM!$B$56))*HLOOKUP(($B1008+PARAM!$B$56)/12,Loyalty,2)*$F$1*MAX(BV1007,0)</f>
        <v>18.557001321003963</v>
      </c>
      <c r="BU1008" s="75">
        <f>PARAM!$C$26+MAX($G$20-CHOOSE(PARAM!$B$44,MAX(0,BV1007*$F$1),0),0)*RATES!$L984/12+$H$20*(PARAM!$D$51/12)*RATES!$N984/100</f>
        <v>1190.0416666666667</v>
      </c>
      <c r="BV1008" s="16">
        <f t="shared" si="688"/>
        <v>-365566.3230616466</v>
      </c>
      <c r="BW1008" s="15">
        <f t="shared" si="663"/>
        <v>22.170849845882874</v>
      </c>
      <c r="BX1008" s="75">
        <f>BW1008*(1-PARAM!$C$27)*$I$21+(MOD($B1008,60)=PARAM!$B$56)*($B1008&gt;(60-PARAM!$B$56))*HLOOKUP(($B1008+PARAM!$B$56)/12,Loyalty,2)*$F$1*MAX(BZ1007,0)</f>
        <v>18.557001321003963</v>
      </c>
      <c r="BY1008" s="75">
        <f>PARAM!$C$26+MAX($G$21-CHOOSE(PARAM!$B$44,MAX(0,BZ1007*$F$1),0),0)*RATES!$L984/12+$H$21*(PARAM!$D$51/12)*RATES!$N984/100</f>
        <v>1190.0416666666667</v>
      </c>
      <c r="BZ1008" s="16">
        <f t="shared" si="689"/>
        <v>-365566.3230616466</v>
      </c>
      <c r="CA1008" s="15">
        <f t="shared" si="664"/>
        <v>22.170849845882874</v>
      </c>
      <c r="CB1008" s="75">
        <f>CA1008*(1-PARAM!$C$27)*$I$22+(MOD($B1008,60)=PARAM!$B$56)*($B1008&gt;(60-PARAM!$B$56))*HLOOKUP(($B1008+PARAM!$B$56)/12,Loyalty,2)*$F$1*MAX(CD1007,0)</f>
        <v>18.557001321003963</v>
      </c>
      <c r="CC1008" s="75">
        <f>PARAM!$C$26+MAX($G$22-CHOOSE(PARAM!$B$44,MAX(0,CD1007*$F$1),0),0)*RATES!$L984/12+$H$22*(PARAM!$D$51/12)*RATES!$N984/100</f>
        <v>1190.0416666666667</v>
      </c>
      <c r="CD1008" s="16">
        <f t="shared" si="690"/>
        <v>-365566.3230616466</v>
      </c>
      <c r="CE1008" s="33">
        <f>IF(0=MOD(B1008,12/PARAM!$D$51),1,0)</f>
        <v>1</v>
      </c>
      <c r="CF1008" s="15">
        <f t="shared" si="665"/>
        <v>0</v>
      </c>
      <c r="CG1008" s="75">
        <f>CF1008*(1-PARAM!$C$27)*$R$3+(MOD($B1008/12,5)=0)*($B1008&gt;60)*HLOOKUP($B1008/12,Loyalty,2)*$F$1*MAX(CI1007,0)</f>
        <v>0</v>
      </c>
      <c r="CH1008" s="75">
        <f>PARAM!$C$26+MAX($P$3-CHOOSE(PARAM!$B$44,MAX(0,CI1007*$F$1),0),0)*RATES!$L984/12+$Q$3*(PARAM!$D$51/12)*RATES!$N984/100</f>
        <v>1190.0416666666667</v>
      </c>
      <c r="CI1008" s="16">
        <f>IF(CI1007&gt;0,CI1007*PARAM!$C$53,CI1007)+CG1008-CH1008</f>
        <v>-383651.16666666826</v>
      </c>
      <c r="CJ1008" s="15">
        <f t="shared" si="691"/>
        <v>0</v>
      </c>
      <c r="CK1008" s="75">
        <f>CJ1008*(1-PARAM!$C$27)*$R$4+(MOD($B1008/12,5)=0)*($B1008&gt;60)*HLOOKUP($B1008/12,Loyalty,2)*$F$1*MAX(CM1007,0)</f>
        <v>0</v>
      </c>
      <c r="CL1008" s="75">
        <f>PARAM!$C$26+MAX($P$4-CHOOSE(PARAM!$B$44,MAX(0,CM1007*$F$1),0),0)*RATES!$L984/12+$Q$4*(PARAM!$D$51/12)*RATES!$N984/100</f>
        <v>1190.0416666666667</v>
      </c>
      <c r="CM1008" s="16">
        <f>IF(CM1007&gt;0,CM1007*PARAM!$C$53,CM1007)+CK1008-CL1008</f>
        <v>-383651.16666666826</v>
      </c>
      <c r="CO1008" s="176"/>
    </row>
    <row r="1009" spans="1:93" x14ac:dyDescent="0.2">
      <c r="A1009" t="b">
        <f t="shared" si="666"/>
        <v>0</v>
      </c>
      <c r="B1009" s="33">
        <v>982</v>
      </c>
      <c r="C1009" s="15">
        <f t="shared" si="667"/>
        <v>20.081305947392778</v>
      </c>
      <c r="D1009" s="75">
        <f>C1009*(1-PARAM!$C$27)*$I$3+(MOD($B1009,60)=PARAM!$B$56)*($B1009&gt;(60-PARAM!$B$56))*HLOOKUP(($B1009+PARAM!$B$56)/12,Loyalty,2)*$F$1*MAX(F1008,0)</f>
        <v>16.808053077967756</v>
      </c>
      <c r="E1009" s="75">
        <f>PARAM!$C$26+MAX($G$3-CHOOSE(PARAM!$B$44,MAX(0,F1008*$F$1),0),0)*RATES!$L985/12+$H$3*(PARAM!$D$51/12)*RATES!$N985/100</f>
        <v>1190.0416666666667</v>
      </c>
      <c r="F1009" s="16">
        <f t="shared" si="668"/>
        <v>-368492.12540217617</v>
      </c>
      <c r="G1009" s="15">
        <f t="shared" si="669"/>
        <v>22.035289406060361</v>
      </c>
      <c r="H1009" s="75">
        <f>G1009*(1-PARAM!$C$27)*$I$4+(MOD($B1009,60)=PARAM!$B$56)*($B1009&gt;(60-PARAM!$B$56))*HLOOKUP(($B1009+PARAM!$B$56)/12,Loyalty,2)*$F$1*MAX(J1008,0)</f>
        <v>18.443537232872522</v>
      </c>
      <c r="I1009" s="75">
        <f>PARAM!$C$26+MAX($G$4-CHOOSE(PARAM!$B$44,MAX(0,J1008*$F$1),0),0)*RATES!$L985/12+$H$4*(PARAM!$D$51/12)*RATES!$N985/100</f>
        <v>1190.0416666666667</v>
      </c>
      <c r="J1009" s="16">
        <f t="shared" si="670"/>
        <v>-366852.24699793517</v>
      </c>
      <c r="K1009" s="15">
        <f t="shared" si="671"/>
        <v>22.170849845882874</v>
      </c>
      <c r="L1009" s="75">
        <f>K1009*(1-PARAM!$C$27)*$I$5+(MOD($B1009,60)=PARAM!$B$56)*($B1009&gt;(60-PARAM!$B$56))*HLOOKUP(($B1009+PARAM!$B$56)/12,Loyalty,2)*$F$1*MAX(N1008,0)</f>
        <v>18.557001321003963</v>
      </c>
      <c r="M1009" s="75">
        <f>PARAM!$C$26+MAX($G$5-CHOOSE(PARAM!$B$44,MAX(0,N1008*$F$1),0),0)*RATES!$L985/12+$H$5*(PARAM!$D$51/12)*RATES!$N985/100</f>
        <v>1190.0416666666667</v>
      </c>
      <c r="N1009" s="16">
        <f t="shared" si="672"/>
        <v>-366737.80772699229</v>
      </c>
      <c r="O1009" s="15">
        <f t="shared" si="673"/>
        <v>22.170849845882874</v>
      </c>
      <c r="P1009" s="75">
        <f>O1009*(1-PARAM!$C$27)*$I$6+(MOD($B1009,60)=PARAM!$B$56)*($B1009&gt;(60-PARAM!$B$56))*HLOOKUP(($B1009+PARAM!$B$56)/12,Loyalty,2)*$F$1*MAX(R1008,0)</f>
        <v>18.557001321003963</v>
      </c>
      <c r="Q1009" s="75">
        <f>PARAM!$C$26+MAX($G$6-CHOOSE(PARAM!$B$44,MAX(0,R1008*$F$1),0),0)*RATES!$L985/12+$H$6*(PARAM!$D$51/12)*RATES!$N985/100</f>
        <v>1190.0416666666667</v>
      </c>
      <c r="R1009" s="16">
        <f t="shared" si="674"/>
        <v>-366737.80772699229</v>
      </c>
      <c r="S1009" s="15">
        <f t="shared" si="649"/>
        <v>22.170849845882874</v>
      </c>
      <c r="T1009" s="75">
        <f>S1009*(1-PARAM!$C$27)*$I$7+(MOD($B1009,60)=PARAM!$B$56)*($B1009&gt;(60-PARAM!$B$56))*HLOOKUP(($B1009+PARAM!$B$56)/12,Loyalty,2)*$F$1*MAX(V1008,0)</f>
        <v>18.557001321003963</v>
      </c>
      <c r="U1009" s="75">
        <f>PARAM!$C$26+MAX($G$7-CHOOSE(PARAM!$B$44,MAX(0,V1008*$F$1),0),0)*RATES!$L985/12+$H$7*(PARAM!$D$51/12)*RATES!$N985/100</f>
        <v>1190.0416666666667</v>
      </c>
      <c r="V1009" s="16">
        <f t="shared" si="675"/>
        <v>-366737.80772699229</v>
      </c>
      <c r="W1009" s="15">
        <f t="shared" si="650"/>
        <v>22.170849845882874</v>
      </c>
      <c r="X1009" s="75">
        <f>W1009*(1-PARAM!$C$27)*$I$8+(MOD($B1009,60)=PARAM!$B$56)*($B1009&gt;(60-PARAM!$B$56))*HLOOKUP(($B1009+PARAM!$B$56)/12,Loyalty,2)*$F$1*MAX(Z1008,0)</f>
        <v>18.557001321003963</v>
      </c>
      <c r="Y1009" s="75">
        <f>PARAM!$C$26+MAX($G$8-CHOOSE(PARAM!$B$44,MAX(0,Z1008*$F$1),0),0)*RATES!$L985/12+$H$8*(PARAM!$D$51/12)*RATES!$N985/100</f>
        <v>1190.0416666666667</v>
      </c>
      <c r="Z1009" s="16">
        <f t="shared" si="676"/>
        <v>-366737.80772699229</v>
      </c>
      <c r="AA1009" s="15">
        <f t="shared" si="651"/>
        <v>22.170849845882874</v>
      </c>
      <c r="AB1009" s="75">
        <f>AA1009*(1-PARAM!$C$27)*$I$9+(MOD($B1009,60)=PARAM!$B$56)*($B1009&gt;(60-PARAM!$B$56))*HLOOKUP(($B1009+PARAM!$B$56)/12,Loyalty,2)*$F$1*MAX(AD1008,0)</f>
        <v>18.557001321003963</v>
      </c>
      <c r="AC1009" s="75">
        <f>PARAM!$C$26+MAX($G$9-CHOOSE(PARAM!$B$44,MAX(0,AD1008*$F$1),0),0)*RATES!$L985/12+$H$9*(PARAM!$D$51/12)*RATES!$N985/100</f>
        <v>1190.0416666666667</v>
      </c>
      <c r="AD1009" s="16">
        <f t="shared" si="677"/>
        <v>-366737.80772699229</v>
      </c>
      <c r="AE1009" s="15">
        <f t="shared" si="652"/>
        <v>22.170849845882874</v>
      </c>
      <c r="AF1009" s="75">
        <f>AE1009*(1-PARAM!$C$27)*$I$10+(MOD($B1009,60)=PARAM!$B$56)*($B1009&gt;(60-PARAM!$B$56))*HLOOKUP(($B1009+PARAM!$B$56)/12,Loyalty,2)*$F$1*MAX(AH1008,0)</f>
        <v>18.557001321003963</v>
      </c>
      <c r="AG1009" s="75">
        <f>PARAM!$C$26+MAX($G$10-CHOOSE(PARAM!$B$44,MAX(0,AH1008*$F$1),0),0)*RATES!$L985/12+$H$10*(PARAM!$D$51/12)*RATES!$N985/100</f>
        <v>1190.0416666666667</v>
      </c>
      <c r="AH1009" s="16">
        <f t="shared" si="678"/>
        <v>-366737.80772699229</v>
      </c>
      <c r="AI1009" s="15">
        <f t="shared" si="653"/>
        <v>22.170849845882874</v>
      </c>
      <c r="AJ1009" s="75">
        <f>AI1009*(1-PARAM!$C$27)*$I$11+(MOD($B1009,60)=PARAM!$B$56)*($B1009&gt;(60-PARAM!$B$56))*HLOOKUP(($B1009+PARAM!$B$56)/12,Loyalty,2)*$F$1*MAX(AL1008,0)</f>
        <v>18.557001321003963</v>
      </c>
      <c r="AK1009" s="75">
        <f>PARAM!$C$26+MAX($G$11-CHOOSE(PARAM!$B$44,MAX(0,AL1008*$F$1),0),0)*RATES!$L985/12+$H$11*(PARAM!$D$51/12)*RATES!$N985/100</f>
        <v>1190.0416666666667</v>
      </c>
      <c r="AL1009" s="16">
        <f t="shared" si="679"/>
        <v>-366737.80772699229</v>
      </c>
      <c r="AM1009" s="15">
        <f t="shared" si="654"/>
        <v>22.170849845882874</v>
      </c>
      <c r="AN1009" s="75">
        <f>AM1009*(1-PARAM!$C$27)*$I$12+(MOD($B1009,60)=PARAM!$B$56)*($B1009&gt;(60-PARAM!$B$56))*HLOOKUP(($B1009+PARAM!$B$56)/12,Loyalty,2)*$F$1*MAX(AP1008,0)</f>
        <v>18.557001321003963</v>
      </c>
      <c r="AO1009" s="75">
        <f>PARAM!$C$26+MAX($G$12-CHOOSE(PARAM!$B$44,MAX(0,AP1008*$F$1),0),0)*RATES!$L985/12+$H$12*(PARAM!$D$51/12)*RATES!$N985/100</f>
        <v>1190.0416666666667</v>
      </c>
      <c r="AP1009" s="16">
        <f t="shared" si="680"/>
        <v>-366737.80772699229</v>
      </c>
      <c r="AQ1009" s="15">
        <f t="shared" si="655"/>
        <v>22.170849845882874</v>
      </c>
      <c r="AR1009" s="75">
        <f>AQ1009*(1-PARAM!$C$27)*$I$13+(MOD($B1009,60)=PARAM!$B$56)*($B1009&gt;(60-PARAM!$B$56))*HLOOKUP(($B1009+PARAM!$B$56)/12,Loyalty,2)*$F$1*MAX(AT1008,0)</f>
        <v>18.557001321003963</v>
      </c>
      <c r="AS1009" s="75">
        <f>PARAM!$C$26+MAX($G$13-CHOOSE(PARAM!$B$44,MAX(0,AT1008*$F$1),0),0)*RATES!$L985/12+$H$13*(PARAM!$D$51/12)*RATES!$N985/100</f>
        <v>1190.0416666666667</v>
      </c>
      <c r="AT1009" s="16">
        <f t="shared" si="681"/>
        <v>-366737.80772699229</v>
      </c>
      <c r="AU1009" s="15">
        <f t="shared" si="656"/>
        <v>22.170849845882874</v>
      </c>
      <c r="AV1009" s="75">
        <f>AU1009*(1-PARAM!$C$27)*$I$14+(MOD($B1009,60)=PARAM!$B$56)*($B1009&gt;(60-PARAM!$B$56))*HLOOKUP(($B1009+PARAM!$B$56)/12,Loyalty,2)*$F$1*MAX(AX1008,0)</f>
        <v>18.557001321003963</v>
      </c>
      <c r="AW1009" s="75">
        <f>PARAM!$C$26+MAX($G$14-CHOOSE(PARAM!$B$44,MAX(0,AX1008*$F$1),0),0)*RATES!$L985/12+$H$14*(PARAM!$D$51/12)*RATES!$N985/100</f>
        <v>1190.0416666666667</v>
      </c>
      <c r="AX1009" s="16">
        <f t="shared" si="682"/>
        <v>-366737.80772699229</v>
      </c>
      <c r="AY1009" s="15">
        <f t="shared" si="657"/>
        <v>22.170849845882874</v>
      </c>
      <c r="AZ1009" s="75">
        <f>AY1009*(1-PARAM!$C$27)*$I$15+(MOD($B1009,60)=PARAM!$B$56)*($B1009&gt;(60-PARAM!$B$56))*HLOOKUP(($B1009+PARAM!$B$56)/12,Loyalty,2)*$F$1*MAX(BB1008,0)</f>
        <v>18.557001321003963</v>
      </c>
      <c r="BA1009" s="75">
        <f>PARAM!$C$26+MAX($G$15-CHOOSE(PARAM!$B$44,MAX(0,BB1008*$F$1),0),0)*RATES!$L985/12+$H$15*(PARAM!$D$51/12)*RATES!$N985/100</f>
        <v>1190.0416666666667</v>
      </c>
      <c r="BB1009" s="16">
        <f t="shared" si="683"/>
        <v>-366737.80772699229</v>
      </c>
      <c r="BC1009" s="15">
        <f t="shared" si="658"/>
        <v>22.170849845882874</v>
      </c>
      <c r="BD1009" s="75">
        <f>BC1009*(1-PARAM!$C$27)*$I$16+(MOD($B1009,60)=PARAM!$B$56)*($B1009&gt;(60-PARAM!$B$56))*HLOOKUP(($B1009+PARAM!$B$56)/12,Loyalty,2)*$F$1*MAX(BF1008,0)</f>
        <v>18.557001321003963</v>
      </c>
      <c r="BE1009" s="75">
        <f>PARAM!$C$26+MAX($G$16-CHOOSE(PARAM!$B$44,MAX(0,BF1008*$F$1),0),0)*RATES!$L985/12+$H$16*(PARAM!$D$51/12)*RATES!$N985/100</f>
        <v>1190.0416666666667</v>
      </c>
      <c r="BF1009" s="16">
        <f t="shared" si="684"/>
        <v>-366737.80772699229</v>
      </c>
      <c r="BG1009" s="15">
        <f t="shared" si="659"/>
        <v>22.170849845882874</v>
      </c>
      <c r="BH1009" s="75">
        <f>BG1009*(1-PARAM!$C$27)*$I$17+(MOD($B1009,60)=PARAM!$B$56)*($B1009&gt;(60-PARAM!$B$56))*HLOOKUP(($B1009+PARAM!$B$56)/12,Loyalty,2)*$F$1*MAX(BJ1008,0)</f>
        <v>18.557001321003963</v>
      </c>
      <c r="BI1009" s="75">
        <f>PARAM!$C$26+MAX($G$17-CHOOSE(PARAM!$B$44,MAX(0,BJ1008*$F$1),0),0)*RATES!$L985/12+$H$17*(PARAM!$D$51/12)*RATES!$N985/100</f>
        <v>1190.0416666666667</v>
      </c>
      <c r="BJ1009" s="16">
        <f t="shared" si="685"/>
        <v>-366737.80772699229</v>
      </c>
      <c r="BK1009" s="15">
        <f t="shared" si="660"/>
        <v>22.170849845882874</v>
      </c>
      <c r="BL1009" s="75">
        <f>BK1009*(1-PARAM!$C$27)*$I$18+(MOD($B1009,60)=PARAM!$B$56)*($B1009&gt;(60-PARAM!$B$56))*HLOOKUP(($B1009+PARAM!$B$56)/12,Loyalty,2)*$F$1*MAX(BN1008,0)</f>
        <v>18.557001321003963</v>
      </c>
      <c r="BM1009" s="75">
        <f>PARAM!$C$26+MAX($G$18-CHOOSE(PARAM!$B$44,MAX(0,BN1008*$F$1),0),0)*RATES!$L985/12+$H$18*(PARAM!$D$51/12)*RATES!$N985/100</f>
        <v>1190.0416666666667</v>
      </c>
      <c r="BN1009" s="16">
        <f t="shared" si="686"/>
        <v>-366737.80772699229</v>
      </c>
      <c r="BO1009" s="15">
        <f t="shared" si="661"/>
        <v>22.170849845882874</v>
      </c>
      <c r="BP1009" s="75">
        <f>BO1009*(1-PARAM!$C$27)*$I$19+(MOD($B1009,60)=PARAM!$B$56)*($B1009&gt;(60-PARAM!$B$56))*HLOOKUP(($B1009+PARAM!$B$56)/12,Loyalty,2)*$F$1*MAX(BR1008,0)</f>
        <v>18.557001321003963</v>
      </c>
      <c r="BQ1009" s="75">
        <f>PARAM!$C$26+MAX($G$19-CHOOSE(PARAM!$B$44,MAX(0,BR1008*$F$1),0),0)*RATES!$L985/12+$H$19*(PARAM!$D$51/12)*RATES!$N985/100</f>
        <v>1190.0416666666667</v>
      </c>
      <c r="BR1009" s="16">
        <f t="shared" si="687"/>
        <v>-366737.80772699229</v>
      </c>
      <c r="BS1009" s="15">
        <f t="shared" si="662"/>
        <v>22.170849845882874</v>
      </c>
      <c r="BT1009" s="75">
        <f>BS1009*(1-PARAM!$C$27)*$I$20+(MOD($B1009,60)=PARAM!$B$56)*($B1009&gt;(60-PARAM!$B$56))*HLOOKUP(($B1009+PARAM!$B$56)/12,Loyalty,2)*$F$1*MAX(BV1008,0)</f>
        <v>18.557001321003963</v>
      </c>
      <c r="BU1009" s="75">
        <f>PARAM!$C$26+MAX($G$20-CHOOSE(PARAM!$B$44,MAX(0,BV1008*$F$1),0),0)*RATES!$L985/12+$H$20*(PARAM!$D$51/12)*RATES!$N985/100</f>
        <v>1190.0416666666667</v>
      </c>
      <c r="BV1009" s="16">
        <f t="shared" si="688"/>
        <v>-366737.80772699229</v>
      </c>
      <c r="BW1009" s="15">
        <f t="shared" si="663"/>
        <v>22.170849845882874</v>
      </c>
      <c r="BX1009" s="75">
        <f>BW1009*(1-PARAM!$C$27)*$I$21+(MOD($B1009,60)=PARAM!$B$56)*($B1009&gt;(60-PARAM!$B$56))*HLOOKUP(($B1009+PARAM!$B$56)/12,Loyalty,2)*$F$1*MAX(BZ1008,0)</f>
        <v>18.557001321003963</v>
      </c>
      <c r="BY1009" s="75">
        <f>PARAM!$C$26+MAX($G$21-CHOOSE(PARAM!$B$44,MAX(0,BZ1008*$F$1),0),0)*RATES!$L985/12+$H$21*(PARAM!$D$51/12)*RATES!$N985/100</f>
        <v>1190.0416666666667</v>
      </c>
      <c r="BZ1009" s="16">
        <f t="shared" si="689"/>
        <v>-366737.80772699229</v>
      </c>
      <c r="CA1009" s="15">
        <f t="shared" si="664"/>
        <v>22.170849845882874</v>
      </c>
      <c r="CB1009" s="75">
        <f>CA1009*(1-PARAM!$C$27)*$I$22+(MOD($B1009,60)=PARAM!$B$56)*($B1009&gt;(60-PARAM!$B$56))*HLOOKUP(($B1009+PARAM!$B$56)/12,Loyalty,2)*$F$1*MAX(CD1008,0)</f>
        <v>18.557001321003963</v>
      </c>
      <c r="CC1009" s="75">
        <f>PARAM!$C$26+MAX($G$22-CHOOSE(PARAM!$B$44,MAX(0,CD1008*$F$1),0),0)*RATES!$L985/12+$H$22*(PARAM!$D$51/12)*RATES!$N985/100</f>
        <v>1190.0416666666667</v>
      </c>
      <c r="CD1009" s="16">
        <f t="shared" si="690"/>
        <v>-366737.80772699229</v>
      </c>
      <c r="CE1009" s="33">
        <f>IF(0=MOD(B1009,12/PARAM!$D$51),1,0)</f>
        <v>1</v>
      </c>
      <c r="CF1009" s="15">
        <f t="shared" si="665"/>
        <v>0</v>
      </c>
      <c r="CG1009" s="75">
        <f>CF1009*(1-PARAM!$C$27)*$R$3+(MOD($B1009/12,5)=0)*($B1009&gt;60)*HLOOKUP($B1009/12,Loyalty,2)*$F$1*MAX(CI1008,0)</f>
        <v>0</v>
      </c>
      <c r="CH1009" s="75">
        <f>PARAM!$C$26+MAX($P$3-CHOOSE(PARAM!$B$44,MAX(0,CI1008*$F$1),0),0)*RATES!$L985/12+$Q$3*(PARAM!$D$51/12)*RATES!$N985/100</f>
        <v>1190.0416666666667</v>
      </c>
      <c r="CI1009" s="16">
        <f>IF(CI1008&gt;0,CI1008*PARAM!$C$53,CI1008)+CG1009-CH1009</f>
        <v>-384841.20833333494</v>
      </c>
      <c r="CJ1009" s="15">
        <f t="shared" si="691"/>
        <v>0</v>
      </c>
      <c r="CK1009" s="75">
        <f>CJ1009*(1-PARAM!$C$27)*$R$4+(MOD($B1009/12,5)=0)*($B1009&gt;60)*HLOOKUP($B1009/12,Loyalty,2)*$F$1*MAX(CM1008,0)</f>
        <v>0</v>
      </c>
      <c r="CL1009" s="75">
        <f>PARAM!$C$26+MAX($P$4-CHOOSE(PARAM!$B$44,MAX(0,CM1008*$F$1),0),0)*RATES!$L985/12+$Q$4*(PARAM!$D$51/12)*RATES!$N985/100</f>
        <v>1190.0416666666667</v>
      </c>
      <c r="CM1009" s="16">
        <f>IF(CM1008&gt;0,CM1008*PARAM!$C$53,CM1008)+CK1009-CL1009</f>
        <v>-384841.20833333494</v>
      </c>
      <c r="CO1009" s="176"/>
    </row>
    <row r="1010" spans="1:93" x14ac:dyDescent="0.2">
      <c r="A1010" t="b">
        <f t="shared" si="666"/>
        <v>0</v>
      </c>
      <c r="B1010" s="33">
        <v>983</v>
      </c>
      <c r="C1010" s="15">
        <f t="shared" si="667"/>
        <v>20.081305947392778</v>
      </c>
      <c r="D1010" s="75">
        <f>C1010*(1-PARAM!$C$27)*$I$3+(MOD($B1010,60)=PARAM!$B$56)*($B1010&gt;(60-PARAM!$B$56))*HLOOKUP(($B1010+PARAM!$B$56)/12,Loyalty,2)*$F$1*MAX(F1009,0)</f>
        <v>16.808053077967756</v>
      </c>
      <c r="E1010" s="75">
        <f>PARAM!$C$26+MAX($G$3-CHOOSE(PARAM!$B$44,MAX(0,F1009*$F$1),0),0)*RATES!$L986/12+$H$3*(PARAM!$D$51/12)*RATES!$N986/100</f>
        <v>1190.0416666666667</v>
      </c>
      <c r="F1010" s="16">
        <f t="shared" si="668"/>
        <v>-369665.3590157649</v>
      </c>
      <c r="G1010" s="15">
        <f t="shared" si="669"/>
        <v>22.035289406060361</v>
      </c>
      <c r="H1010" s="75">
        <f>G1010*(1-PARAM!$C$27)*$I$4+(MOD($B1010,60)=PARAM!$B$56)*($B1010&gt;(60-PARAM!$B$56))*HLOOKUP(($B1010+PARAM!$B$56)/12,Loyalty,2)*$F$1*MAX(J1009,0)</f>
        <v>18.443537232872522</v>
      </c>
      <c r="I1010" s="75">
        <f>PARAM!$C$26+MAX($G$4-CHOOSE(PARAM!$B$44,MAX(0,J1009*$F$1),0),0)*RATES!$L986/12+$H$4*(PARAM!$D$51/12)*RATES!$N986/100</f>
        <v>1190.0416666666667</v>
      </c>
      <c r="J1010" s="16">
        <f t="shared" si="670"/>
        <v>-368023.84512736899</v>
      </c>
      <c r="K1010" s="15">
        <f t="shared" si="671"/>
        <v>22.170849845882874</v>
      </c>
      <c r="L1010" s="75">
        <f>K1010*(1-PARAM!$C$27)*$I$5+(MOD($B1010,60)=PARAM!$B$56)*($B1010&gt;(60-PARAM!$B$56))*HLOOKUP(($B1010+PARAM!$B$56)/12,Loyalty,2)*$F$1*MAX(N1009,0)</f>
        <v>18.557001321003963</v>
      </c>
      <c r="M1010" s="75">
        <f>PARAM!$C$26+MAX($G$5-CHOOSE(PARAM!$B$44,MAX(0,N1009*$F$1),0),0)*RATES!$L986/12+$H$5*(PARAM!$D$51/12)*RATES!$N986/100</f>
        <v>1190.0416666666667</v>
      </c>
      <c r="N1010" s="16">
        <f t="shared" si="672"/>
        <v>-367909.29239233799</v>
      </c>
      <c r="O1010" s="15">
        <f t="shared" si="673"/>
        <v>22.170849845882874</v>
      </c>
      <c r="P1010" s="75">
        <f>O1010*(1-PARAM!$C$27)*$I$6+(MOD($B1010,60)=PARAM!$B$56)*($B1010&gt;(60-PARAM!$B$56))*HLOOKUP(($B1010+PARAM!$B$56)/12,Loyalty,2)*$F$1*MAX(R1009,0)</f>
        <v>18.557001321003963</v>
      </c>
      <c r="Q1010" s="75">
        <f>PARAM!$C$26+MAX($G$6-CHOOSE(PARAM!$B$44,MAX(0,R1009*$F$1),0),0)*RATES!$L986/12+$H$6*(PARAM!$D$51/12)*RATES!$N986/100</f>
        <v>1190.0416666666667</v>
      </c>
      <c r="R1010" s="16">
        <f t="shared" si="674"/>
        <v>-367909.29239233799</v>
      </c>
      <c r="S1010" s="15">
        <f t="shared" si="649"/>
        <v>22.170849845882874</v>
      </c>
      <c r="T1010" s="75">
        <f>S1010*(1-PARAM!$C$27)*$I$7+(MOD($B1010,60)=PARAM!$B$56)*($B1010&gt;(60-PARAM!$B$56))*HLOOKUP(($B1010+PARAM!$B$56)/12,Loyalty,2)*$F$1*MAX(V1009,0)</f>
        <v>18.557001321003963</v>
      </c>
      <c r="U1010" s="75">
        <f>PARAM!$C$26+MAX($G$7-CHOOSE(PARAM!$B$44,MAX(0,V1009*$F$1),0),0)*RATES!$L986/12+$H$7*(PARAM!$D$51/12)*RATES!$N986/100</f>
        <v>1190.0416666666667</v>
      </c>
      <c r="V1010" s="16">
        <f t="shared" si="675"/>
        <v>-367909.29239233799</v>
      </c>
      <c r="W1010" s="15">
        <f t="shared" si="650"/>
        <v>22.170849845882874</v>
      </c>
      <c r="X1010" s="75">
        <f>W1010*(1-PARAM!$C$27)*$I$8+(MOD($B1010,60)=PARAM!$B$56)*($B1010&gt;(60-PARAM!$B$56))*HLOOKUP(($B1010+PARAM!$B$56)/12,Loyalty,2)*$F$1*MAX(Z1009,0)</f>
        <v>18.557001321003963</v>
      </c>
      <c r="Y1010" s="75">
        <f>PARAM!$C$26+MAX($G$8-CHOOSE(PARAM!$B$44,MAX(0,Z1009*$F$1),0),0)*RATES!$L986/12+$H$8*(PARAM!$D$51/12)*RATES!$N986/100</f>
        <v>1190.0416666666667</v>
      </c>
      <c r="Z1010" s="16">
        <f t="shared" si="676"/>
        <v>-367909.29239233799</v>
      </c>
      <c r="AA1010" s="15">
        <f t="shared" si="651"/>
        <v>22.170849845882874</v>
      </c>
      <c r="AB1010" s="75">
        <f>AA1010*(1-PARAM!$C$27)*$I$9+(MOD($B1010,60)=PARAM!$B$56)*($B1010&gt;(60-PARAM!$B$56))*HLOOKUP(($B1010+PARAM!$B$56)/12,Loyalty,2)*$F$1*MAX(AD1009,0)</f>
        <v>18.557001321003963</v>
      </c>
      <c r="AC1010" s="75">
        <f>PARAM!$C$26+MAX($G$9-CHOOSE(PARAM!$B$44,MAX(0,AD1009*$F$1),0),0)*RATES!$L986/12+$H$9*(PARAM!$D$51/12)*RATES!$N986/100</f>
        <v>1190.0416666666667</v>
      </c>
      <c r="AD1010" s="16">
        <f t="shared" si="677"/>
        <v>-367909.29239233799</v>
      </c>
      <c r="AE1010" s="15">
        <f t="shared" si="652"/>
        <v>22.170849845882874</v>
      </c>
      <c r="AF1010" s="75">
        <f>AE1010*(1-PARAM!$C$27)*$I$10+(MOD($B1010,60)=PARAM!$B$56)*($B1010&gt;(60-PARAM!$B$56))*HLOOKUP(($B1010+PARAM!$B$56)/12,Loyalty,2)*$F$1*MAX(AH1009,0)</f>
        <v>18.557001321003963</v>
      </c>
      <c r="AG1010" s="75">
        <f>PARAM!$C$26+MAX($G$10-CHOOSE(PARAM!$B$44,MAX(0,AH1009*$F$1),0),0)*RATES!$L986/12+$H$10*(PARAM!$D$51/12)*RATES!$N986/100</f>
        <v>1190.0416666666667</v>
      </c>
      <c r="AH1010" s="16">
        <f t="shared" si="678"/>
        <v>-367909.29239233799</v>
      </c>
      <c r="AI1010" s="15">
        <f t="shared" si="653"/>
        <v>22.170849845882874</v>
      </c>
      <c r="AJ1010" s="75">
        <f>AI1010*(1-PARAM!$C$27)*$I$11+(MOD($B1010,60)=PARAM!$B$56)*($B1010&gt;(60-PARAM!$B$56))*HLOOKUP(($B1010+PARAM!$B$56)/12,Loyalty,2)*$F$1*MAX(AL1009,0)</f>
        <v>18.557001321003963</v>
      </c>
      <c r="AK1010" s="75">
        <f>PARAM!$C$26+MAX($G$11-CHOOSE(PARAM!$B$44,MAX(0,AL1009*$F$1),0),0)*RATES!$L986/12+$H$11*(PARAM!$D$51/12)*RATES!$N986/100</f>
        <v>1190.0416666666667</v>
      </c>
      <c r="AL1010" s="16">
        <f t="shared" si="679"/>
        <v>-367909.29239233799</v>
      </c>
      <c r="AM1010" s="15">
        <f t="shared" si="654"/>
        <v>22.170849845882874</v>
      </c>
      <c r="AN1010" s="75">
        <f>AM1010*(1-PARAM!$C$27)*$I$12+(MOD($B1010,60)=PARAM!$B$56)*($B1010&gt;(60-PARAM!$B$56))*HLOOKUP(($B1010+PARAM!$B$56)/12,Loyalty,2)*$F$1*MAX(AP1009,0)</f>
        <v>18.557001321003963</v>
      </c>
      <c r="AO1010" s="75">
        <f>PARAM!$C$26+MAX($G$12-CHOOSE(PARAM!$B$44,MAX(0,AP1009*$F$1),0),0)*RATES!$L986/12+$H$12*(PARAM!$D$51/12)*RATES!$N986/100</f>
        <v>1190.0416666666667</v>
      </c>
      <c r="AP1010" s="16">
        <f t="shared" si="680"/>
        <v>-367909.29239233799</v>
      </c>
      <c r="AQ1010" s="15">
        <f t="shared" si="655"/>
        <v>22.170849845882874</v>
      </c>
      <c r="AR1010" s="75">
        <f>AQ1010*(1-PARAM!$C$27)*$I$13+(MOD($B1010,60)=PARAM!$B$56)*($B1010&gt;(60-PARAM!$B$56))*HLOOKUP(($B1010+PARAM!$B$56)/12,Loyalty,2)*$F$1*MAX(AT1009,0)</f>
        <v>18.557001321003963</v>
      </c>
      <c r="AS1010" s="75">
        <f>PARAM!$C$26+MAX($G$13-CHOOSE(PARAM!$B$44,MAX(0,AT1009*$F$1),0),0)*RATES!$L986/12+$H$13*(PARAM!$D$51/12)*RATES!$N986/100</f>
        <v>1190.0416666666667</v>
      </c>
      <c r="AT1010" s="16">
        <f t="shared" si="681"/>
        <v>-367909.29239233799</v>
      </c>
      <c r="AU1010" s="15">
        <f t="shared" si="656"/>
        <v>22.170849845882874</v>
      </c>
      <c r="AV1010" s="75">
        <f>AU1010*(1-PARAM!$C$27)*$I$14+(MOD($B1010,60)=PARAM!$B$56)*($B1010&gt;(60-PARAM!$B$56))*HLOOKUP(($B1010+PARAM!$B$56)/12,Loyalty,2)*$F$1*MAX(AX1009,0)</f>
        <v>18.557001321003963</v>
      </c>
      <c r="AW1010" s="75">
        <f>PARAM!$C$26+MAX($G$14-CHOOSE(PARAM!$B$44,MAX(0,AX1009*$F$1),0),0)*RATES!$L986/12+$H$14*(PARAM!$D$51/12)*RATES!$N986/100</f>
        <v>1190.0416666666667</v>
      </c>
      <c r="AX1010" s="16">
        <f t="shared" si="682"/>
        <v>-367909.29239233799</v>
      </c>
      <c r="AY1010" s="15">
        <f t="shared" si="657"/>
        <v>22.170849845882874</v>
      </c>
      <c r="AZ1010" s="75">
        <f>AY1010*(1-PARAM!$C$27)*$I$15+(MOD($B1010,60)=PARAM!$B$56)*($B1010&gt;(60-PARAM!$B$56))*HLOOKUP(($B1010+PARAM!$B$56)/12,Loyalty,2)*$F$1*MAX(BB1009,0)</f>
        <v>18.557001321003963</v>
      </c>
      <c r="BA1010" s="75">
        <f>PARAM!$C$26+MAX($G$15-CHOOSE(PARAM!$B$44,MAX(0,BB1009*$F$1),0),0)*RATES!$L986/12+$H$15*(PARAM!$D$51/12)*RATES!$N986/100</f>
        <v>1190.0416666666667</v>
      </c>
      <c r="BB1010" s="16">
        <f t="shared" si="683"/>
        <v>-367909.29239233799</v>
      </c>
      <c r="BC1010" s="15">
        <f t="shared" si="658"/>
        <v>22.170849845882874</v>
      </c>
      <c r="BD1010" s="75">
        <f>BC1010*(1-PARAM!$C$27)*$I$16+(MOD($B1010,60)=PARAM!$B$56)*($B1010&gt;(60-PARAM!$B$56))*HLOOKUP(($B1010+PARAM!$B$56)/12,Loyalty,2)*$F$1*MAX(BF1009,0)</f>
        <v>18.557001321003963</v>
      </c>
      <c r="BE1010" s="75">
        <f>PARAM!$C$26+MAX($G$16-CHOOSE(PARAM!$B$44,MAX(0,BF1009*$F$1),0),0)*RATES!$L986/12+$H$16*(PARAM!$D$51/12)*RATES!$N986/100</f>
        <v>1190.0416666666667</v>
      </c>
      <c r="BF1010" s="16">
        <f t="shared" si="684"/>
        <v>-367909.29239233799</v>
      </c>
      <c r="BG1010" s="15">
        <f t="shared" si="659"/>
        <v>22.170849845882874</v>
      </c>
      <c r="BH1010" s="75">
        <f>BG1010*(1-PARAM!$C$27)*$I$17+(MOD($B1010,60)=PARAM!$B$56)*($B1010&gt;(60-PARAM!$B$56))*HLOOKUP(($B1010+PARAM!$B$56)/12,Loyalty,2)*$F$1*MAX(BJ1009,0)</f>
        <v>18.557001321003963</v>
      </c>
      <c r="BI1010" s="75">
        <f>PARAM!$C$26+MAX($G$17-CHOOSE(PARAM!$B$44,MAX(0,BJ1009*$F$1),0),0)*RATES!$L986/12+$H$17*(PARAM!$D$51/12)*RATES!$N986/100</f>
        <v>1190.0416666666667</v>
      </c>
      <c r="BJ1010" s="16">
        <f t="shared" si="685"/>
        <v>-367909.29239233799</v>
      </c>
      <c r="BK1010" s="15">
        <f t="shared" si="660"/>
        <v>22.170849845882874</v>
      </c>
      <c r="BL1010" s="75">
        <f>BK1010*(1-PARAM!$C$27)*$I$18+(MOD($B1010,60)=PARAM!$B$56)*($B1010&gt;(60-PARAM!$B$56))*HLOOKUP(($B1010+PARAM!$B$56)/12,Loyalty,2)*$F$1*MAX(BN1009,0)</f>
        <v>18.557001321003963</v>
      </c>
      <c r="BM1010" s="75">
        <f>PARAM!$C$26+MAX($G$18-CHOOSE(PARAM!$B$44,MAX(0,BN1009*$F$1),0),0)*RATES!$L986/12+$H$18*(PARAM!$D$51/12)*RATES!$N986/100</f>
        <v>1190.0416666666667</v>
      </c>
      <c r="BN1010" s="16">
        <f t="shared" si="686"/>
        <v>-367909.29239233799</v>
      </c>
      <c r="BO1010" s="15">
        <f t="shared" si="661"/>
        <v>22.170849845882874</v>
      </c>
      <c r="BP1010" s="75">
        <f>BO1010*(1-PARAM!$C$27)*$I$19+(MOD($B1010,60)=PARAM!$B$56)*($B1010&gt;(60-PARAM!$B$56))*HLOOKUP(($B1010+PARAM!$B$56)/12,Loyalty,2)*$F$1*MAX(BR1009,0)</f>
        <v>18.557001321003963</v>
      </c>
      <c r="BQ1010" s="75">
        <f>PARAM!$C$26+MAX($G$19-CHOOSE(PARAM!$B$44,MAX(0,BR1009*$F$1),0),0)*RATES!$L986/12+$H$19*(PARAM!$D$51/12)*RATES!$N986/100</f>
        <v>1190.0416666666667</v>
      </c>
      <c r="BR1010" s="16">
        <f t="shared" si="687"/>
        <v>-367909.29239233799</v>
      </c>
      <c r="BS1010" s="15">
        <f t="shared" si="662"/>
        <v>22.170849845882874</v>
      </c>
      <c r="BT1010" s="75">
        <f>BS1010*(1-PARAM!$C$27)*$I$20+(MOD($B1010,60)=PARAM!$B$56)*($B1010&gt;(60-PARAM!$B$56))*HLOOKUP(($B1010+PARAM!$B$56)/12,Loyalty,2)*$F$1*MAX(BV1009,0)</f>
        <v>18.557001321003963</v>
      </c>
      <c r="BU1010" s="75">
        <f>PARAM!$C$26+MAX($G$20-CHOOSE(PARAM!$B$44,MAX(0,BV1009*$F$1),0),0)*RATES!$L986/12+$H$20*(PARAM!$D$51/12)*RATES!$N986/100</f>
        <v>1190.0416666666667</v>
      </c>
      <c r="BV1010" s="16">
        <f t="shared" si="688"/>
        <v>-367909.29239233799</v>
      </c>
      <c r="BW1010" s="15">
        <f t="shared" si="663"/>
        <v>22.170849845882874</v>
      </c>
      <c r="BX1010" s="75">
        <f>BW1010*(1-PARAM!$C$27)*$I$21+(MOD($B1010,60)=PARAM!$B$56)*($B1010&gt;(60-PARAM!$B$56))*HLOOKUP(($B1010+PARAM!$B$56)/12,Loyalty,2)*$F$1*MAX(BZ1009,0)</f>
        <v>18.557001321003963</v>
      </c>
      <c r="BY1010" s="75">
        <f>PARAM!$C$26+MAX($G$21-CHOOSE(PARAM!$B$44,MAX(0,BZ1009*$F$1),0),0)*RATES!$L986/12+$H$21*(PARAM!$D$51/12)*RATES!$N986/100</f>
        <v>1190.0416666666667</v>
      </c>
      <c r="BZ1010" s="16">
        <f t="shared" si="689"/>
        <v>-367909.29239233799</v>
      </c>
      <c r="CA1010" s="15">
        <f t="shared" si="664"/>
        <v>22.170849845882874</v>
      </c>
      <c r="CB1010" s="75">
        <f>CA1010*(1-PARAM!$C$27)*$I$22+(MOD($B1010,60)=PARAM!$B$56)*($B1010&gt;(60-PARAM!$B$56))*HLOOKUP(($B1010+PARAM!$B$56)/12,Loyalty,2)*$F$1*MAX(CD1009,0)</f>
        <v>18.557001321003963</v>
      </c>
      <c r="CC1010" s="75">
        <f>PARAM!$C$26+MAX($G$22-CHOOSE(PARAM!$B$44,MAX(0,CD1009*$F$1),0),0)*RATES!$L986/12+$H$22*(PARAM!$D$51/12)*RATES!$N986/100</f>
        <v>1190.0416666666667</v>
      </c>
      <c r="CD1010" s="16">
        <f t="shared" si="690"/>
        <v>-367909.29239233799</v>
      </c>
      <c r="CE1010" s="33">
        <f>IF(0=MOD(B1010,12/PARAM!$D$51),1,0)</f>
        <v>1</v>
      </c>
      <c r="CF1010" s="15">
        <f t="shared" si="665"/>
        <v>0</v>
      </c>
      <c r="CG1010" s="75">
        <f>CF1010*(1-PARAM!$C$27)*$R$3+(MOD($B1010/12,5)=0)*($B1010&gt;60)*HLOOKUP($B1010/12,Loyalty,2)*$F$1*MAX(CI1009,0)</f>
        <v>0</v>
      </c>
      <c r="CH1010" s="75">
        <f>PARAM!$C$26+MAX($P$3-CHOOSE(PARAM!$B$44,MAX(0,CI1009*$F$1),0),0)*RATES!$L986/12+$Q$3*(PARAM!$D$51/12)*RATES!$N986/100</f>
        <v>1190.0416666666667</v>
      </c>
      <c r="CI1010" s="16">
        <f>IF(CI1009&gt;0,CI1009*PARAM!$C$53,CI1009)+CG1010-CH1010</f>
        <v>-386031.25000000163</v>
      </c>
      <c r="CJ1010" s="15">
        <f t="shared" si="691"/>
        <v>0</v>
      </c>
      <c r="CK1010" s="75">
        <f>CJ1010*(1-PARAM!$C$27)*$R$4+(MOD($B1010/12,5)=0)*($B1010&gt;60)*HLOOKUP($B1010/12,Loyalty,2)*$F$1*MAX(CM1009,0)</f>
        <v>0</v>
      </c>
      <c r="CL1010" s="75">
        <f>PARAM!$C$26+MAX($P$4-CHOOSE(PARAM!$B$44,MAX(0,CM1009*$F$1),0),0)*RATES!$L986/12+$Q$4*(PARAM!$D$51/12)*RATES!$N986/100</f>
        <v>1190.0416666666667</v>
      </c>
      <c r="CM1010" s="16">
        <f>IF(CM1009&gt;0,CM1009*PARAM!$C$53,CM1009)+CK1010-CL1010</f>
        <v>-386031.25000000163</v>
      </c>
      <c r="CO1010" s="176"/>
    </row>
    <row r="1011" spans="1:93" x14ac:dyDescent="0.2">
      <c r="A1011" t="b">
        <f t="shared" si="666"/>
        <v>0</v>
      </c>
      <c r="B1011" s="33">
        <v>984</v>
      </c>
      <c r="C1011" s="15">
        <f t="shared" si="667"/>
        <v>20.081305947392778</v>
      </c>
      <c r="D1011" s="75">
        <f>C1011*(1-PARAM!$C$27)*$I$3+(MOD($B1011,60)=PARAM!$B$56)*($B1011&gt;(60-PARAM!$B$56))*HLOOKUP(($B1011+PARAM!$B$56)/12,Loyalty,2)*$F$1*MAX(F1010,0)</f>
        <v>16.808053077967756</v>
      </c>
      <c r="E1011" s="75">
        <f>PARAM!$C$26+MAX($G$3-CHOOSE(PARAM!$B$44,MAX(0,F1010*$F$1),0),0)*RATES!$L987/12+$H$3*(PARAM!$D$51/12)*RATES!$N987/100</f>
        <v>1190.0416666666667</v>
      </c>
      <c r="F1011" s="16">
        <f t="shared" si="668"/>
        <v>-370838.59262935363</v>
      </c>
      <c r="G1011" s="15">
        <f t="shared" si="669"/>
        <v>22.035289406060361</v>
      </c>
      <c r="H1011" s="75">
        <f>G1011*(1-PARAM!$C$27)*$I$4+(MOD($B1011,60)=PARAM!$B$56)*($B1011&gt;(60-PARAM!$B$56))*HLOOKUP(($B1011+PARAM!$B$56)/12,Loyalty,2)*$F$1*MAX(J1010,0)</f>
        <v>18.443537232872522</v>
      </c>
      <c r="I1011" s="75">
        <f>PARAM!$C$26+MAX($G$4-CHOOSE(PARAM!$B$44,MAX(0,J1010*$F$1),0),0)*RATES!$L987/12+$H$4*(PARAM!$D$51/12)*RATES!$N987/100</f>
        <v>1190.0416666666667</v>
      </c>
      <c r="J1011" s="16">
        <f t="shared" si="670"/>
        <v>-369195.4432568028</v>
      </c>
      <c r="K1011" s="15">
        <f t="shared" si="671"/>
        <v>22.170849845882874</v>
      </c>
      <c r="L1011" s="75">
        <f>K1011*(1-PARAM!$C$27)*$I$5+(MOD($B1011,60)=PARAM!$B$56)*($B1011&gt;(60-PARAM!$B$56))*HLOOKUP(($B1011+PARAM!$B$56)/12,Loyalty,2)*$F$1*MAX(N1010,0)</f>
        <v>18.557001321003963</v>
      </c>
      <c r="M1011" s="75">
        <f>PARAM!$C$26+MAX($G$5-CHOOSE(PARAM!$B$44,MAX(0,N1010*$F$1),0),0)*RATES!$L987/12+$H$5*(PARAM!$D$51/12)*RATES!$N987/100</f>
        <v>1190.0416666666667</v>
      </c>
      <c r="N1011" s="16">
        <f t="shared" si="672"/>
        <v>-369080.77705768368</v>
      </c>
      <c r="O1011" s="15">
        <f t="shared" si="673"/>
        <v>22.170849845882874</v>
      </c>
      <c r="P1011" s="75">
        <f>O1011*(1-PARAM!$C$27)*$I$6+(MOD($B1011,60)=PARAM!$B$56)*($B1011&gt;(60-PARAM!$B$56))*HLOOKUP(($B1011+PARAM!$B$56)/12,Loyalty,2)*$F$1*MAX(R1010,0)</f>
        <v>18.557001321003963</v>
      </c>
      <c r="Q1011" s="75">
        <f>PARAM!$C$26+MAX($G$6-CHOOSE(PARAM!$B$44,MAX(0,R1010*$F$1),0),0)*RATES!$L987/12+$H$6*(PARAM!$D$51/12)*RATES!$N987/100</f>
        <v>1190.0416666666667</v>
      </c>
      <c r="R1011" s="16">
        <f t="shared" si="674"/>
        <v>-369080.77705768368</v>
      </c>
      <c r="S1011" s="15">
        <f t="shared" si="649"/>
        <v>22.170849845882874</v>
      </c>
      <c r="T1011" s="75">
        <f>S1011*(1-PARAM!$C$27)*$I$7+(MOD($B1011,60)=PARAM!$B$56)*($B1011&gt;(60-PARAM!$B$56))*HLOOKUP(($B1011+PARAM!$B$56)/12,Loyalty,2)*$F$1*MAX(V1010,0)</f>
        <v>18.557001321003963</v>
      </c>
      <c r="U1011" s="75">
        <f>PARAM!$C$26+MAX($G$7-CHOOSE(PARAM!$B$44,MAX(0,V1010*$F$1),0),0)*RATES!$L987/12+$H$7*(PARAM!$D$51/12)*RATES!$N987/100</f>
        <v>1190.0416666666667</v>
      </c>
      <c r="V1011" s="16">
        <f t="shared" si="675"/>
        <v>-369080.77705768368</v>
      </c>
      <c r="W1011" s="15">
        <f t="shared" si="650"/>
        <v>22.170849845882874</v>
      </c>
      <c r="X1011" s="75">
        <f>W1011*(1-PARAM!$C$27)*$I$8+(MOD($B1011,60)=PARAM!$B$56)*($B1011&gt;(60-PARAM!$B$56))*HLOOKUP(($B1011+PARAM!$B$56)/12,Loyalty,2)*$F$1*MAX(Z1010,0)</f>
        <v>18.557001321003963</v>
      </c>
      <c r="Y1011" s="75">
        <f>PARAM!$C$26+MAX($G$8-CHOOSE(PARAM!$B$44,MAX(0,Z1010*$F$1),0),0)*RATES!$L987/12+$H$8*(PARAM!$D$51/12)*RATES!$N987/100</f>
        <v>1190.0416666666667</v>
      </c>
      <c r="Z1011" s="16">
        <f t="shared" si="676"/>
        <v>-369080.77705768368</v>
      </c>
      <c r="AA1011" s="15">
        <f t="shared" si="651"/>
        <v>22.170849845882874</v>
      </c>
      <c r="AB1011" s="75">
        <f>AA1011*(1-PARAM!$C$27)*$I$9+(MOD($B1011,60)=PARAM!$B$56)*($B1011&gt;(60-PARAM!$B$56))*HLOOKUP(($B1011+PARAM!$B$56)/12,Loyalty,2)*$F$1*MAX(AD1010,0)</f>
        <v>18.557001321003963</v>
      </c>
      <c r="AC1011" s="75">
        <f>PARAM!$C$26+MAX($G$9-CHOOSE(PARAM!$B$44,MAX(0,AD1010*$F$1),0),0)*RATES!$L987/12+$H$9*(PARAM!$D$51/12)*RATES!$N987/100</f>
        <v>1190.0416666666667</v>
      </c>
      <c r="AD1011" s="16">
        <f t="shared" si="677"/>
        <v>-369080.77705768368</v>
      </c>
      <c r="AE1011" s="15">
        <f t="shared" si="652"/>
        <v>22.170849845882874</v>
      </c>
      <c r="AF1011" s="75">
        <f>AE1011*(1-PARAM!$C$27)*$I$10+(MOD($B1011,60)=PARAM!$B$56)*($B1011&gt;(60-PARAM!$B$56))*HLOOKUP(($B1011+PARAM!$B$56)/12,Loyalty,2)*$F$1*MAX(AH1010,0)</f>
        <v>18.557001321003963</v>
      </c>
      <c r="AG1011" s="75">
        <f>PARAM!$C$26+MAX($G$10-CHOOSE(PARAM!$B$44,MAX(0,AH1010*$F$1),0),0)*RATES!$L987/12+$H$10*(PARAM!$D$51/12)*RATES!$N987/100</f>
        <v>1190.0416666666667</v>
      </c>
      <c r="AH1011" s="16">
        <f t="shared" si="678"/>
        <v>-369080.77705768368</v>
      </c>
      <c r="AI1011" s="15">
        <f t="shared" si="653"/>
        <v>22.170849845882874</v>
      </c>
      <c r="AJ1011" s="75">
        <f>AI1011*(1-PARAM!$C$27)*$I$11+(MOD($B1011,60)=PARAM!$B$56)*($B1011&gt;(60-PARAM!$B$56))*HLOOKUP(($B1011+PARAM!$B$56)/12,Loyalty,2)*$F$1*MAX(AL1010,0)</f>
        <v>18.557001321003963</v>
      </c>
      <c r="AK1011" s="75">
        <f>PARAM!$C$26+MAX($G$11-CHOOSE(PARAM!$B$44,MAX(0,AL1010*$F$1),0),0)*RATES!$L987/12+$H$11*(PARAM!$D$51/12)*RATES!$N987/100</f>
        <v>1190.0416666666667</v>
      </c>
      <c r="AL1011" s="16">
        <f t="shared" si="679"/>
        <v>-369080.77705768368</v>
      </c>
      <c r="AM1011" s="15">
        <f t="shared" si="654"/>
        <v>22.170849845882874</v>
      </c>
      <c r="AN1011" s="75">
        <f>AM1011*(1-PARAM!$C$27)*$I$12+(MOD($B1011,60)=PARAM!$B$56)*($B1011&gt;(60-PARAM!$B$56))*HLOOKUP(($B1011+PARAM!$B$56)/12,Loyalty,2)*$F$1*MAX(AP1010,0)</f>
        <v>18.557001321003963</v>
      </c>
      <c r="AO1011" s="75">
        <f>PARAM!$C$26+MAX($G$12-CHOOSE(PARAM!$B$44,MAX(0,AP1010*$F$1),0),0)*RATES!$L987/12+$H$12*(PARAM!$D$51/12)*RATES!$N987/100</f>
        <v>1190.0416666666667</v>
      </c>
      <c r="AP1011" s="16">
        <f t="shared" si="680"/>
        <v>-369080.77705768368</v>
      </c>
      <c r="AQ1011" s="15">
        <f t="shared" si="655"/>
        <v>22.170849845882874</v>
      </c>
      <c r="AR1011" s="75">
        <f>AQ1011*(1-PARAM!$C$27)*$I$13+(MOD($B1011,60)=PARAM!$B$56)*($B1011&gt;(60-PARAM!$B$56))*HLOOKUP(($B1011+PARAM!$B$56)/12,Loyalty,2)*$F$1*MAX(AT1010,0)</f>
        <v>18.557001321003963</v>
      </c>
      <c r="AS1011" s="75">
        <f>PARAM!$C$26+MAX($G$13-CHOOSE(PARAM!$B$44,MAX(0,AT1010*$F$1),0),0)*RATES!$L987/12+$H$13*(PARAM!$D$51/12)*RATES!$N987/100</f>
        <v>1190.0416666666667</v>
      </c>
      <c r="AT1011" s="16">
        <f t="shared" si="681"/>
        <v>-369080.77705768368</v>
      </c>
      <c r="AU1011" s="15">
        <f t="shared" si="656"/>
        <v>22.170849845882874</v>
      </c>
      <c r="AV1011" s="75">
        <f>AU1011*(1-PARAM!$C$27)*$I$14+(MOD($B1011,60)=PARAM!$B$56)*($B1011&gt;(60-PARAM!$B$56))*HLOOKUP(($B1011+PARAM!$B$56)/12,Loyalty,2)*$F$1*MAX(AX1010,0)</f>
        <v>18.557001321003963</v>
      </c>
      <c r="AW1011" s="75">
        <f>PARAM!$C$26+MAX($G$14-CHOOSE(PARAM!$B$44,MAX(0,AX1010*$F$1),0),0)*RATES!$L987/12+$H$14*(PARAM!$D$51/12)*RATES!$N987/100</f>
        <v>1190.0416666666667</v>
      </c>
      <c r="AX1011" s="16">
        <f t="shared" si="682"/>
        <v>-369080.77705768368</v>
      </c>
      <c r="AY1011" s="15">
        <f t="shared" si="657"/>
        <v>22.170849845882874</v>
      </c>
      <c r="AZ1011" s="75">
        <f>AY1011*(1-PARAM!$C$27)*$I$15+(MOD($B1011,60)=PARAM!$B$56)*($B1011&gt;(60-PARAM!$B$56))*HLOOKUP(($B1011+PARAM!$B$56)/12,Loyalty,2)*$F$1*MAX(BB1010,0)</f>
        <v>18.557001321003963</v>
      </c>
      <c r="BA1011" s="75">
        <f>PARAM!$C$26+MAX($G$15-CHOOSE(PARAM!$B$44,MAX(0,BB1010*$F$1),0),0)*RATES!$L987/12+$H$15*(PARAM!$D$51/12)*RATES!$N987/100</f>
        <v>1190.0416666666667</v>
      </c>
      <c r="BB1011" s="16">
        <f t="shared" si="683"/>
        <v>-369080.77705768368</v>
      </c>
      <c r="BC1011" s="15">
        <f t="shared" si="658"/>
        <v>22.170849845882874</v>
      </c>
      <c r="BD1011" s="75">
        <f>BC1011*(1-PARAM!$C$27)*$I$16+(MOD($B1011,60)=PARAM!$B$56)*($B1011&gt;(60-PARAM!$B$56))*HLOOKUP(($B1011+PARAM!$B$56)/12,Loyalty,2)*$F$1*MAX(BF1010,0)</f>
        <v>18.557001321003963</v>
      </c>
      <c r="BE1011" s="75">
        <f>PARAM!$C$26+MAX($G$16-CHOOSE(PARAM!$B$44,MAX(0,BF1010*$F$1),0),0)*RATES!$L987/12+$H$16*(PARAM!$D$51/12)*RATES!$N987/100</f>
        <v>1190.0416666666667</v>
      </c>
      <c r="BF1011" s="16">
        <f t="shared" si="684"/>
        <v>-369080.77705768368</v>
      </c>
      <c r="BG1011" s="15">
        <f t="shared" si="659"/>
        <v>22.170849845882874</v>
      </c>
      <c r="BH1011" s="75">
        <f>BG1011*(1-PARAM!$C$27)*$I$17+(MOD($B1011,60)=PARAM!$B$56)*($B1011&gt;(60-PARAM!$B$56))*HLOOKUP(($B1011+PARAM!$B$56)/12,Loyalty,2)*$F$1*MAX(BJ1010,0)</f>
        <v>18.557001321003963</v>
      </c>
      <c r="BI1011" s="75">
        <f>PARAM!$C$26+MAX($G$17-CHOOSE(PARAM!$B$44,MAX(0,BJ1010*$F$1),0),0)*RATES!$L987/12+$H$17*(PARAM!$D$51/12)*RATES!$N987/100</f>
        <v>1190.0416666666667</v>
      </c>
      <c r="BJ1011" s="16">
        <f t="shared" si="685"/>
        <v>-369080.77705768368</v>
      </c>
      <c r="BK1011" s="15">
        <f t="shared" si="660"/>
        <v>22.170849845882874</v>
      </c>
      <c r="BL1011" s="75">
        <f>BK1011*(1-PARAM!$C$27)*$I$18+(MOD($B1011,60)=PARAM!$B$56)*($B1011&gt;(60-PARAM!$B$56))*HLOOKUP(($B1011+PARAM!$B$56)/12,Loyalty,2)*$F$1*MAX(BN1010,0)</f>
        <v>18.557001321003963</v>
      </c>
      <c r="BM1011" s="75">
        <f>PARAM!$C$26+MAX($G$18-CHOOSE(PARAM!$B$44,MAX(0,BN1010*$F$1),0),0)*RATES!$L987/12+$H$18*(PARAM!$D$51/12)*RATES!$N987/100</f>
        <v>1190.0416666666667</v>
      </c>
      <c r="BN1011" s="16">
        <f t="shared" si="686"/>
        <v>-369080.77705768368</v>
      </c>
      <c r="BO1011" s="15">
        <f t="shared" si="661"/>
        <v>22.170849845882874</v>
      </c>
      <c r="BP1011" s="75">
        <f>BO1011*(1-PARAM!$C$27)*$I$19+(MOD($B1011,60)=PARAM!$B$56)*($B1011&gt;(60-PARAM!$B$56))*HLOOKUP(($B1011+PARAM!$B$56)/12,Loyalty,2)*$F$1*MAX(BR1010,0)</f>
        <v>18.557001321003963</v>
      </c>
      <c r="BQ1011" s="75">
        <f>PARAM!$C$26+MAX($G$19-CHOOSE(PARAM!$B$44,MAX(0,BR1010*$F$1),0),0)*RATES!$L987/12+$H$19*(PARAM!$D$51/12)*RATES!$N987/100</f>
        <v>1190.0416666666667</v>
      </c>
      <c r="BR1011" s="16">
        <f t="shared" si="687"/>
        <v>-369080.77705768368</v>
      </c>
      <c r="BS1011" s="15">
        <f t="shared" si="662"/>
        <v>22.170849845882874</v>
      </c>
      <c r="BT1011" s="75">
        <f>BS1011*(1-PARAM!$C$27)*$I$20+(MOD($B1011,60)=PARAM!$B$56)*($B1011&gt;(60-PARAM!$B$56))*HLOOKUP(($B1011+PARAM!$B$56)/12,Loyalty,2)*$F$1*MAX(BV1010,0)</f>
        <v>18.557001321003963</v>
      </c>
      <c r="BU1011" s="75">
        <f>PARAM!$C$26+MAX($G$20-CHOOSE(PARAM!$B$44,MAX(0,BV1010*$F$1),0),0)*RATES!$L987/12+$H$20*(PARAM!$D$51/12)*RATES!$N987/100</f>
        <v>1190.0416666666667</v>
      </c>
      <c r="BV1011" s="16">
        <f t="shared" si="688"/>
        <v>-369080.77705768368</v>
      </c>
      <c r="BW1011" s="15">
        <f t="shared" si="663"/>
        <v>22.170849845882874</v>
      </c>
      <c r="BX1011" s="75">
        <f>BW1011*(1-PARAM!$C$27)*$I$21+(MOD($B1011,60)=PARAM!$B$56)*($B1011&gt;(60-PARAM!$B$56))*HLOOKUP(($B1011+PARAM!$B$56)/12,Loyalty,2)*$F$1*MAX(BZ1010,0)</f>
        <v>18.557001321003963</v>
      </c>
      <c r="BY1011" s="75">
        <f>PARAM!$C$26+MAX($G$21-CHOOSE(PARAM!$B$44,MAX(0,BZ1010*$F$1),0),0)*RATES!$L987/12+$H$21*(PARAM!$D$51/12)*RATES!$N987/100</f>
        <v>1190.0416666666667</v>
      </c>
      <c r="BZ1011" s="16">
        <f t="shared" si="689"/>
        <v>-369080.77705768368</v>
      </c>
      <c r="CA1011" s="15">
        <f t="shared" si="664"/>
        <v>22.170849845882874</v>
      </c>
      <c r="CB1011" s="75">
        <f>CA1011*(1-PARAM!$C$27)*$I$22+(MOD($B1011,60)=PARAM!$B$56)*($B1011&gt;(60-PARAM!$B$56))*HLOOKUP(($B1011+PARAM!$B$56)/12,Loyalty,2)*$F$1*MAX(CD1010,0)</f>
        <v>18.557001321003963</v>
      </c>
      <c r="CC1011" s="75">
        <f>PARAM!$C$26+MAX($G$22-CHOOSE(PARAM!$B$44,MAX(0,CD1010*$F$1),0),0)*RATES!$L987/12+$H$22*(PARAM!$D$51/12)*RATES!$N987/100</f>
        <v>1190.0416666666667</v>
      </c>
      <c r="CD1011" s="16">
        <f t="shared" si="690"/>
        <v>-369080.77705768368</v>
      </c>
      <c r="CE1011" s="33">
        <f>IF(0=MOD(B1011,12/PARAM!$D$51),1,0)</f>
        <v>1</v>
      </c>
      <c r="CF1011" s="15">
        <f t="shared" si="665"/>
        <v>0</v>
      </c>
      <c r="CG1011" s="75">
        <f>CF1011*(1-PARAM!$C$27)*$R$3+(MOD($B1011/12,5)=0)*($B1011&gt;60)*HLOOKUP($B1011/12,Loyalty,2)*$F$1*MAX(CI1010,0)</f>
        <v>0</v>
      </c>
      <c r="CH1011" s="75">
        <f>PARAM!$C$26+MAX($P$3-CHOOSE(PARAM!$B$44,MAX(0,CI1010*$F$1),0),0)*RATES!$L987/12+$Q$3*(PARAM!$D$51/12)*RATES!$N987/100</f>
        <v>1190.0416666666667</v>
      </c>
      <c r="CI1011" s="16">
        <f>IF(CI1010&gt;0,CI1010*PARAM!$C$53,CI1010)+CG1011-CH1011</f>
        <v>-387221.29166666832</v>
      </c>
      <c r="CJ1011" s="15">
        <f t="shared" si="691"/>
        <v>0</v>
      </c>
      <c r="CK1011" s="75">
        <f>CJ1011*(1-PARAM!$C$27)*$R$4+(MOD($B1011/12,5)=0)*($B1011&gt;60)*HLOOKUP($B1011/12,Loyalty,2)*$F$1*MAX(CM1010,0)</f>
        <v>0</v>
      </c>
      <c r="CL1011" s="75">
        <f>PARAM!$C$26+MAX($P$4-CHOOSE(PARAM!$B$44,MAX(0,CM1010*$F$1),0),0)*RATES!$L987/12+$Q$4*(PARAM!$D$51/12)*RATES!$N987/100</f>
        <v>1190.0416666666667</v>
      </c>
      <c r="CM1011" s="16">
        <f>IF(CM1010&gt;0,CM1010*PARAM!$C$53,CM1010)+CK1011-CL1011</f>
        <v>-387221.29166666832</v>
      </c>
      <c r="CO1011" s="176"/>
    </row>
    <row r="1012" spans="1:93" x14ac:dyDescent="0.2">
      <c r="A1012" t="b">
        <f t="shared" si="666"/>
        <v>0</v>
      </c>
      <c r="B1012" s="33">
        <v>985</v>
      </c>
      <c r="C1012" s="15">
        <f t="shared" si="667"/>
        <v>20.081305947392778</v>
      </c>
      <c r="D1012" s="75">
        <f>C1012*(1-PARAM!$C$27)*$I$3+(MOD($B1012,60)=PARAM!$B$56)*($B1012&gt;(60-PARAM!$B$56))*HLOOKUP(($B1012+PARAM!$B$56)/12,Loyalty,2)*$F$1*MAX(F1011,0)</f>
        <v>16.808053077967756</v>
      </c>
      <c r="E1012" s="75">
        <f>PARAM!$C$26+MAX($G$3-CHOOSE(PARAM!$B$44,MAX(0,F1011*$F$1),0),0)*RATES!$L988/12+$H$3*(PARAM!$D$51/12)*RATES!$N988/100</f>
        <v>1190.0416666666667</v>
      </c>
      <c r="F1012" s="16">
        <f t="shared" si="668"/>
        <v>-372011.82624294236</v>
      </c>
      <c r="G1012" s="15">
        <f t="shared" si="669"/>
        <v>22.035289406060361</v>
      </c>
      <c r="H1012" s="75">
        <f>G1012*(1-PARAM!$C$27)*$I$4+(MOD($B1012,60)=PARAM!$B$56)*($B1012&gt;(60-PARAM!$B$56))*HLOOKUP(($B1012+PARAM!$B$56)/12,Loyalty,2)*$F$1*MAX(J1011,0)</f>
        <v>18.443537232872522</v>
      </c>
      <c r="I1012" s="75">
        <f>PARAM!$C$26+MAX($G$4-CHOOSE(PARAM!$B$44,MAX(0,J1011*$F$1),0),0)*RATES!$L988/12+$H$4*(PARAM!$D$51/12)*RATES!$N988/100</f>
        <v>1190.0416666666667</v>
      </c>
      <c r="J1012" s="16">
        <f t="shared" si="670"/>
        <v>-370367.04138623661</v>
      </c>
      <c r="K1012" s="15">
        <f t="shared" si="671"/>
        <v>22.170849845882874</v>
      </c>
      <c r="L1012" s="75">
        <f>K1012*(1-PARAM!$C$27)*$I$5+(MOD($B1012,60)=PARAM!$B$56)*($B1012&gt;(60-PARAM!$B$56))*HLOOKUP(($B1012+PARAM!$B$56)/12,Loyalty,2)*$F$1*MAX(N1011,0)</f>
        <v>18.557001321003963</v>
      </c>
      <c r="M1012" s="75">
        <f>PARAM!$C$26+MAX($G$5-CHOOSE(PARAM!$B$44,MAX(0,N1011*$F$1),0),0)*RATES!$L988/12+$H$5*(PARAM!$D$51/12)*RATES!$N988/100</f>
        <v>1190.0416666666667</v>
      </c>
      <c r="N1012" s="16">
        <f t="shared" si="672"/>
        <v>-370252.26172302937</v>
      </c>
      <c r="O1012" s="15">
        <f t="shared" si="673"/>
        <v>22.170849845882874</v>
      </c>
      <c r="P1012" s="75">
        <f>O1012*(1-PARAM!$C$27)*$I$6+(MOD($B1012,60)=PARAM!$B$56)*($B1012&gt;(60-PARAM!$B$56))*HLOOKUP(($B1012+PARAM!$B$56)/12,Loyalty,2)*$F$1*MAX(R1011,0)</f>
        <v>18.557001321003963</v>
      </c>
      <c r="Q1012" s="75">
        <f>PARAM!$C$26+MAX($G$6-CHOOSE(PARAM!$B$44,MAX(0,R1011*$F$1),0),0)*RATES!$L988/12+$H$6*(PARAM!$D$51/12)*RATES!$N988/100</f>
        <v>1190.0416666666667</v>
      </c>
      <c r="R1012" s="16">
        <f t="shared" si="674"/>
        <v>-370252.26172302937</v>
      </c>
      <c r="S1012" s="15">
        <f t="shared" si="649"/>
        <v>22.170849845882874</v>
      </c>
      <c r="T1012" s="75">
        <f>S1012*(1-PARAM!$C$27)*$I$7+(MOD($B1012,60)=PARAM!$B$56)*($B1012&gt;(60-PARAM!$B$56))*HLOOKUP(($B1012+PARAM!$B$56)/12,Loyalty,2)*$F$1*MAX(V1011,0)</f>
        <v>18.557001321003963</v>
      </c>
      <c r="U1012" s="75">
        <f>PARAM!$C$26+MAX($G$7-CHOOSE(PARAM!$B$44,MAX(0,V1011*$F$1),0),0)*RATES!$L988/12+$H$7*(PARAM!$D$51/12)*RATES!$N988/100</f>
        <v>1190.0416666666667</v>
      </c>
      <c r="V1012" s="16">
        <f t="shared" si="675"/>
        <v>-370252.26172302937</v>
      </c>
      <c r="W1012" s="15">
        <f t="shared" si="650"/>
        <v>22.170849845882874</v>
      </c>
      <c r="X1012" s="75">
        <f>W1012*(1-PARAM!$C$27)*$I$8+(MOD($B1012,60)=PARAM!$B$56)*($B1012&gt;(60-PARAM!$B$56))*HLOOKUP(($B1012+PARAM!$B$56)/12,Loyalty,2)*$F$1*MAX(Z1011,0)</f>
        <v>18.557001321003963</v>
      </c>
      <c r="Y1012" s="75">
        <f>PARAM!$C$26+MAX($G$8-CHOOSE(PARAM!$B$44,MAX(0,Z1011*$F$1),0),0)*RATES!$L988/12+$H$8*(PARAM!$D$51/12)*RATES!$N988/100</f>
        <v>1190.0416666666667</v>
      </c>
      <c r="Z1012" s="16">
        <f t="shared" si="676"/>
        <v>-370252.26172302937</v>
      </c>
      <c r="AA1012" s="15">
        <f t="shared" si="651"/>
        <v>22.170849845882874</v>
      </c>
      <c r="AB1012" s="75">
        <f>AA1012*(1-PARAM!$C$27)*$I$9+(MOD($B1012,60)=PARAM!$B$56)*($B1012&gt;(60-PARAM!$B$56))*HLOOKUP(($B1012+PARAM!$B$56)/12,Loyalty,2)*$F$1*MAX(AD1011,0)</f>
        <v>18.557001321003963</v>
      </c>
      <c r="AC1012" s="75">
        <f>PARAM!$C$26+MAX($G$9-CHOOSE(PARAM!$B$44,MAX(0,AD1011*$F$1),0),0)*RATES!$L988/12+$H$9*(PARAM!$D$51/12)*RATES!$N988/100</f>
        <v>1190.0416666666667</v>
      </c>
      <c r="AD1012" s="16">
        <f t="shared" si="677"/>
        <v>-370252.26172302937</v>
      </c>
      <c r="AE1012" s="15">
        <f t="shared" si="652"/>
        <v>22.170849845882874</v>
      </c>
      <c r="AF1012" s="75">
        <f>AE1012*(1-PARAM!$C$27)*$I$10+(MOD($B1012,60)=PARAM!$B$56)*($B1012&gt;(60-PARAM!$B$56))*HLOOKUP(($B1012+PARAM!$B$56)/12,Loyalty,2)*$F$1*MAX(AH1011,0)</f>
        <v>18.557001321003963</v>
      </c>
      <c r="AG1012" s="75">
        <f>PARAM!$C$26+MAX($G$10-CHOOSE(PARAM!$B$44,MAX(0,AH1011*$F$1),0),0)*RATES!$L988/12+$H$10*(PARAM!$D$51/12)*RATES!$N988/100</f>
        <v>1190.0416666666667</v>
      </c>
      <c r="AH1012" s="16">
        <f t="shared" si="678"/>
        <v>-370252.26172302937</v>
      </c>
      <c r="AI1012" s="15">
        <f t="shared" si="653"/>
        <v>22.170849845882874</v>
      </c>
      <c r="AJ1012" s="75">
        <f>AI1012*(1-PARAM!$C$27)*$I$11+(MOD($B1012,60)=PARAM!$B$56)*($B1012&gt;(60-PARAM!$B$56))*HLOOKUP(($B1012+PARAM!$B$56)/12,Loyalty,2)*$F$1*MAX(AL1011,0)</f>
        <v>18.557001321003963</v>
      </c>
      <c r="AK1012" s="75">
        <f>PARAM!$C$26+MAX($G$11-CHOOSE(PARAM!$B$44,MAX(0,AL1011*$F$1),0),0)*RATES!$L988/12+$H$11*(PARAM!$D$51/12)*RATES!$N988/100</f>
        <v>1190.0416666666667</v>
      </c>
      <c r="AL1012" s="16">
        <f t="shared" si="679"/>
        <v>-370252.26172302937</v>
      </c>
      <c r="AM1012" s="15">
        <f t="shared" si="654"/>
        <v>22.170849845882874</v>
      </c>
      <c r="AN1012" s="75">
        <f>AM1012*(1-PARAM!$C$27)*$I$12+(MOD($B1012,60)=PARAM!$B$56)*($B1012&gt;(60-PARAM!$B$56))*HLOOKUP(($B1012+PARAM!$B$56)/12,Loyalty,2)*$F$1*MAX(AP1011,0)</f>
        <v>18.557001321003963</v>
      </c>
      <c r="AO1012" s="75">
        <f>PARAM!$C$26+MAX($G$12-CHOOSE(PARAM!$B$44,MAX(0,AP1011*$F$1),0),0)*RATES!$L988/12+$H$12*(PARAM!$D$51/12)*RATES!$N988/100</f>
        <v>1190.0416666666667</v>
      </c>
      <c r="AP1012" s="16">
        <f t="shared" si="680"/>
        <v>-370252.26172302937</v>
      </c>
      <c r="AQ1012" s="15">
        <f t="shared" si="655"/>
        <v>22.170849845882874</v>
      </c>
      <c r="AR1012" s="75">
        <f>AQ1012*(1-PARAM!$C$27)*$I$13+(MOD($B1012,60)=PARAM!$B$56)*($B1012&gt;(60-PARAM!$B$56))*HLOOKUP(($B1012+PARAM!$B$56)/12,Loyalty,2)*$F$1*MAX(AT1011,0)</f>
        <v>18.557001321003963</v>
      </c>
      <c r="AS1012" s="75">
        <f>PARAM!$C$26+MAX($G$13-CHOOSE(PARAM!$B$44,MAX(0,AT1011*$F$1),0),0)*RATES!$L988/12+$H$13*(PARAM!$D$51/12)*RATES!$N988/100</f>
        <v>1190.0416666666667</v>
      </c>
      <c r="AT1012" s="16">
        <f t="shared" si="681"/>
        <v>-370252.26172302937</v>
      </c>
      <c r="AU1012" s="15">
        <f t="shared" si="656"/>
        <v>22.170849845882874</v>
      </c>
      <c r="AV1012" s="75">
        <f>AU1012*(1-PARAM!$C$27)*$I$14+(MOD($B1012,60)=PARAM!$B$56)*($B1012&gt;(60-PARAM!$B$56))*HLOOKUP(($B1012+PARAM!$B$56)/12,Loyalty,2)*$F$1*MAX(AX1011,0)</f>
        <v>18.557001321003963</v>
      </c>
      <c r="AW1012" s="75">
        <f>PARAM!$C$26+MAX($G$14-CHOOSE(PARAM!$B$44,MAX(0,AX1011*$F$1),0),0)*RATES!$L988/12+$H$14*(PARAM!$D$51/12)*RATES!$N988/100</f>
        <v>1190.0416666666667</v>
      </c>
      <c r="AX1012" s="16">
        <f t="shared" si="682"/>
        <v>-370252.26172302937</v>
      </c>
      <c r="AY1012" s="15">
        <f t="shared" si="657"/>
        <v>22.170849845882874</v>
      </c>
      <c r="AZ1012" s="75">
        <f>AY1012*(1-PARAM!$C$27)*$I$15+(MOD($B1012,60)=PARAM!$B$56)*($B1012&gt;(60-PARAM!$B$56))*HLOOKUP(($B1012+PARAM!$B$56)/12,Loyalty,2)*$F$1*MAX(BB1011,0)</f>
        <v>18.557001321003963</v>
      </c>
      <c r="BA1012" s="75">
        <f>PARAM!$C$26+MAX($G$15-CHOOSE(PARAM!$B$44,MAX(0,BB1011*$F$1),0),0)*RATES!$L988/12+$H$15*(PARAM!$D$51/12)*RATES!$N988/100</f>
        <v>1190.0416666666667</v>
      </c>
      <c r="BB1012" s="16">
        <f t="shared" si="683"/>
        <v>-370252.26172302937</v>
      </c>
      <c r="BC1012" s="15">
        <f t="shared" si="658"/>
        <v>22.170849845882874</v>
      </c>
      <c r="BD1012" s="75">
        <f>BC1012*(1-PARAM!$C$27)*$I$16+(MOD($B1012,60)=PARAM!$B$56)*($B1012&gt;(60-PARAM!$B$56))*HLOOKUP(($B1012+PARAM!$B$56)/12,Loyalty,2)*$F$1*MAX(BF1011,0)</f>
        <v>18.557001321003963</v>
      </c>
      <c r="BE1012" s="75">
        <f>PARAM!$C$26+MAX($G$16-CHOOSE(PARAM!$B$44,MAX(0,BF1011*$F$1),0),0)*RATES!$L988/12+$H$16*(PARAM!$D$51/12)*RATES!$N988/100</f>
        <v>1190.0416666666667</v>
      </c>
      <c r="BF1012" s="16">
        <f t="shared" si="684"/>
        <v>-370252.26172302937</v>
      </c>
      <c r="BG1012" s="15">
        <f t="shared" si="659"/>
        <v>22.170849845882874</v>
      </c>
      <c r="BH1012" s="75">
        <f>BG1012*(1-PARAM!$C$27)*$I$17+(MOD($B1012,60)=PARAM!$B$56)*($B1012&gt;(60-PARAM!$B$56))*HLOOKUP(($B1012+PARAM!$B$56)/12,Loyalty,2)*$F$1*MAX(BJ1011,0)</f>
        <v>18.557001321003963</v>
      </c>
      <c r="BI1012" s="75">
        <f>PARAM!$C$26+MAX($G$17-CHOOSE(PARAM!$B$44,MAX(0,BJ1011*$F$1),0),0)*RATES!$L988/12+$H$17*(PARAM!$D$51/12)*RATES!$N988/100</f>
        <v>1190.0416666666667</v>
      </c>
      <c r="BJ1012" s="16">
        <f t="shared" si="685"/>
        <v>-370252.26172302937</v>
      </c>
      <c r="BK1012" s="15">
        <f t="shared" si="660"/>
        <v>22.170849845882874</v>
      </c>
      <c r="BL1012" s="75">
        <f>BK1012*(1-PARAM!$C$27)*$I$18+(MOD($B1012,60)=PARAM!$B$56)*($B1012&gt;(60-PARAM!$B$56))*HLOOKUP(($B1012+PARAM!$B$56)/12,Loyalty,2)*$F$1*MAX(BN1011,0)</f>
        <v>18.557001321003963</v>
      </c>
      <c r="BM1012" s="75">
        <f>PARAM!$C$26+MAX($G$18-CHOOSE(PARAM!$B$44,MAX(0,BN1011*$F$1),0),0)*RATES!$L988/12+$H$18*(PARAM!$D$51/12)*RATES!$N988/100</f>
        <v>1190.0416666666667</v>
      </c>
      <c r="BN1012" s="16">
        <f t="shared" si="686"/>
        <v>-370252.26172302937</v>
      </c>
      <c r="BO1012" s="15">
        <f t="shared" si="661"/>
        <v>22.170849845882874</v>
      </c>
      <c r="BP1012" s="75">
        <f>BO1012*(1-PARAM!$C$27)*$I$19+(MOD($B1012,60)=PARAM!$B$56)*($B1012&gt;(60-PARAM!$B$56))*HLOOKUP(($B1012+PARAM!$B$56)/12,Loyalty,2)*$F$1*MAX(BR1011,0)</f>
        <v>18.557001321003963</v>
      </c>
      <c r="BQ1012" s="75">
        <f>PARAM!$C$26+MAX($G$19-CHOOSE(PARAM!$B$44,MAX(0,BR1011*$F$1),0),0)*RATES!$L988/12+$H$19*(PARAM!$D$51/12)*RATES!$N988/100</f>
        <v>1190.0416666666667</v>
      </c>
      <c r="BR1012" s="16">
        <f t="shared" si="687"/>
        <v>-370252.26172302937</v>
      </c>
      <c r="BS1012" s="15">
        <f t="shared" si="662"/>
        <v>22.170849845882874</v>
      </c>
      <c r="BT1012" s="75">
        <f>BS1012*(1-PARAM!$C$27)*$I$20+(MOD($B1012,60)=PARAM!$B$56)*($B1012&gt;(60-PARAM!$B$56))*HLOOKUP(($B1012+PARAM!$B$56)/12,Loyalty,2)*$F$1*MAX(BV1011,0)</f>
        <v>18.557001321003963</v>
      </c>
      <c r="BU1012" s="75">
        <f>PARAM!$C$26+MAX($G$20-CHOOSE(PARAM!$B$44,MAX(0,BV1011*$F$1),0),0)*RATES!$L988/12+$H$20*(PARAM!$D$51/12)*RATES!$N988/100</f>
        <v>1190.0416666666667</v>
      </c>
      <c r="BV1012" s="16">
        <f t="shared" si="688"/>
        <v>-370252.26172302937</v>
      </c>
      <c r="BW1012" s="15">
        <f t="shared" si="663"/>
        <v>22.170849845882874</v>
      </c>
      <c r="BX1012" s="75">
        <f>BW1012*(1-PARAM!$C$27)*$I$21+(MOD($B1012,60)=PARAM!$B$56)*($B1012&gt;(60-PARAM!$B$56))*HLOOKUP(($B1012+PARAM!$B$56)/12,Loyalty,2)*$F$1*MAX(BZ1011,0)</f>
        <v>18.557001321003963</v>
      </c>
      <c r="BY1012" s="75">
        <f>PARAM!$C$26+MAX($G$21-CHOOSE(PARAM!$B$44,MAX(0,BZ1011*$F$1),0),0)*RATES!$L988/12+$H$21*(PARAM!$D$51/12)*RATES!$N988/100</f>
        <v>1190.0416666666667</v>
      </c>
      <c r="BZ1012" s="16">
        <f t="shared" si="689"/>
        <v>-370252.26172302937</v>
      </c>
      <c r="CA1012" s="15">
        <f t="shared" si="664"/>
        <v>22.170849845882874</v>
      </c>
      <c r="CB1012" s="75">
        <f>CA1012*(1-PARAM!$C$27)*$I$22+(MOD($B1012,60)=PARAM!$B$56)*($B1012&gt;(60-PARAM!$B$56))*HLOOKUP(($B1012+PARAM!$B$56)/12,Loyalty,2)*$F$1*MAX(CD1011,0)</f>
        <v>18.557001321003963</v>
      </c>
      <c r="CC1012" s="75">
        <f>PARAM!$C$26+MAX($G$22-CHOOSE(PARAM!$B$44,MAX(0,CD1011*$F$1),0),0)*RATES!$L988/12+$H$22*(PARAM!$D$51/12)*RATES!$N988/100</f>
        <v>1190.0416666666667</v>
      </c>
      <c r="CD1012" s="16">
        <f t="shared" si="690"/>
        <v>-370252.26172302937</v>
      </c>
      <c r="CE1012" s="33">
        <f>IF(0=MOD(B1012,12/PARAM!$D$51),1,0)</f>
        <v>1</v>
      </c>
      <c r="CF1012" s="15">
        <f t="shared" si="665"/>
        <v>0</v>
      </c>
      <c r="CG1012" s="75">
        <f>CF1012*(1-PARAM!$C$27)*$R$3+(MOD($B1012/12,5)=0)*($B1012&gt;60)*HLOOKUP($B1012/12,Loyalty,2)*$F$1*MAX(CI1011,0)</f>
        <v>0</v>
      </c>
      <c r="CH1012" s="75">
        <f>PARAM!$C$26+MAX($P$3-CHOOSE(PARAM!$B$44,MAX(0,CI1011*$F$1),0),0)*RATES!$L988/12+$Q$3*(PARAM!$D$51/12)*RATES!$N988/100</f>
        <v>1190.0416666666667</v>
      </c>
      <c r="CI1012" s="16">
        <f>IF(CI1011&gt;0,CI1011*PARAM!$C$53,CI1011)+CG1012-CH1012</f>
        <v>-388411.333333335</v>
      </c>
      <c r="CJ1012" s="15">
        <f t="shared" si="691"/>
        <v>0</v>
      </c>
      <c r="CK1012" s="75">
        <f>CJ1012*(1-PARAM!$C$27)*$R$4+(MOD($B1012/12,5)=0)*($B1012&gt;60)*HLOOKUP($B1012/12,Loyalty,2)*$F$1*MAX(CM1011,0)</f>
        <v>0</v>
      </c>
      <c r="CL1012" s="75">
        <f>PARAM!$C$26+MAX($P$4-CHOOSE(PARAM!$B$44,MAX(0,CM1011*$F$1),0),0)*RATES!$L988/12+$Q$4*(PARAM!$D$51/12)*RATES!$N988/100</f>
        <v>1190.0416666666667</v>
      </c>
      <c r="CM1012" s="16">
        <f>IF(CM1011&gt;0,CM1011*PARAM!$C$53,CM1011)+CK1012-CL1012</f>
        <v>-388411.333333335</v>
      </c>
      <c r="CO1012" s="176"/>
    </row>
    <row r="1013" spans="1:93" x14ac:dyDescent="0.2">
      <c r="A1013" t="b">
        <f t="shared" si="666"/>
        <v>0</v>
      </c>
      <c r="B1013" s="33">
        <v>986</v>
      </c>
      <c r="C1013" s="15">
        <f t="shared" si="667"/>
        <v>20.081305947392778</v>
      </c>
      <c r="D1013" s="75">
        <f>C1013*(1-PARAM!$C$27)*$I$3+(MOD($B1013,60)=PARAM!$B$56)*($B1013&gt;(60-PARAM!$B$56))*HLOOKUP(($B1013+PARAM!$B$56)/12,Loyalty,2)*$F$1*MAX(F1012,0)</f>
        <v>16.808053077967756</v>
      </c>
      <c r="E1013" s="75">
        <f>PARAM!$C$26+MAX($G$3-CHOOSE(PARAM!$B$44,MAX(0,F1012*$F$1),0),0)*RATES!$L989/12+$H$3*(PARAM!$D$51/12)*RATES!$N989/100</f>
        <v>1190.0416666666667</v>
      </c>
      <c r="F1013" s="16">
        <f t="shared" si="668"/>
        <v>-373185.05985653109</v>
      </c>
      <c r="G1013" s="15">
        <f t="shared" si="669"/>
        <v>22.035289406060361</v>
      </c>
      <c r="H1013" s="75">
        <f>G1013*(1-PARAM!$C$27)*$I$4+(MOD($B1013,60)=PARAM!$B$56)*($B1013&gt;(60-PARAM!$B$56))*HLOOKUP(($B1013+PARAM!$B$56)/12,Loyalty,2)*$F$1*MAX(J1012,0)</f>
        <v>18.443537232872522</v>
      </c>
      <c r="I1013" s="75">
        <f>PARAM!$C$26+MAX($G$4-CHOOSE(PARAM!$B$44,MAX(0,J1012*$F$1),0),0)*RATES!$L989/12+$H$4*(PARAM!$D$51/12)*RATES!$N989/100</f>
        <v>1190.0416666666667</v>
      </c>
      <c r="J1013" s="16">
        <f t="shared" si="670"/>
        <v>-371538.63951567042</v>
      </c>
      <c r="K1013" s="15">
        <f t="shared" si="671"/>
        <v>22.170849845882874</v>
      </c>
      <c r="L1013" s="75">
        <f>K1013*(1-PARAM!$C$27)*$I$5+(MOD($B1013,60)=PARAM!$B$56)*($B1013&gt;(60-PARAM!$B$56))*HLOOKUP(($B1013+PARAM!$B$56)/12,Loyalty,2)*$F$1*MAX(N1012,0)</f>
        <v>18.557001321003963</v>
      </c>
      <c r="M1013" s="75">
        <f>PARAM!$C$26+MAX($G$5-CHOOSE(PARAM!$B$44,MAX(0,N1012*$F$1),0),0)*RATES!$L989/12+$H$5*(PARAM!$D$51/12)*RATES!$N989/100</f>
        <v>1190.0416666666667</v>
      </c>
      <c r="N1013" s="16">
        <f t="shared" si="672"/>
        <v>-371423.74638837506</v>
      </c>
      <c r="O1013" s="15">
        <f t="shared" si="673"/>
        <v>22.170849845882874</v>
      </c>
      <c r="P1013" s="75">
        <f>O1013*(1-PARAM!$C$27)*$I$6+(MOD($B1013,60)=PARAM!$B$56)*($B1013&gt;(60-PARAM!$B$56))*HLOOKUP(($B1013+PARAM!$B$56)/12,Loyalty,2)*$F$1*MAX(R1012,0)</f>
        <v>18.557001321003963</v>
      </c>
      <c r="Q1013" s="75">
        <f>PARAM!$C$26+MAX($G$6-CHOOSE(PARAM!$B$44,MAX(0,R1012*$F$1),0),0)*RATES!$L989/12+$H$6*(PARAM!$D$51/12)*RATES!$N989/100</f>
        <v>1190.0416666666667</v>
      </c>
      <c r="R1013" s="16">
        <f t="shared" si="674"/>
        <v>-371423.74638837506</v>
      </c>
      <c r="S1013" s="15">
        <f t="shared" si="649"/>
        <v>22.170849845882874</v>
      </c>
      <c r="T1013" s="75">
        <f>S1013*(1-PARAM!$C$27)*$I$7+(MOD($B1013,60)=PARAM!$B$56)*($B1013&gt;(60-PARAM!$B$56))*HLOOKUP(($B1013+PARAM!$B$56)/12,Loyalty,2)*$F$1*MAX(V1012,0)</f>
        <v>18.557001321003963</v>
      </c>
      <c r="U1013" s="75">
        <f>PARAM!$C$26+MAX($G$7-CHOOSE(PARAM!$B$44,MAX(0,V1012*$F$1),0),0)*RATES!$L989/12+$H$7*(PARAM!$D$51/12)*RATES!$N989/100</f>
        <v>1190.0416666666667</v>
      </c>
      <c r="V1013" s="16">
        <f t="shared" si="675"/>
        <v>-371423.74638837506</v>
      </c>
      <c r="W1013" s="15">
        <f t="shared" si="650"/>
        <v>22.170849845882874</v>
      </c>
      <c r="X1013" s="75">
        <f>W1013*(1-PARAM!$C$27)*$I$8+(MOD($B1013,60)=PARAM!$B$56)*($B1013&gt;(60-PARAM!$B$56))*HLOOKUP(($B1013+PARAM!$B$56)/12,Loyalty,2)*$F$1*MAX(Z1012,0)</f>
        <v>18.557001321003963</v>
      </c>
      <c r="Y1013" s="75">
        <f>PARAM!$C$26+MAX($G$8-CHOOSE(PARAM!$B$44,MAX(0,Z1012*$F$1),0),0)*RATES!$L989/12+$H$8*(PARAM!$D$51/12)*RATES!$N989/100</f>
        <v>1190.0416666666667</v>
      </c>
      <c r="Z1013" s="16">
        <f t="shared" si="676"/>
        <v>-371423.74638837506</v>
      </c>
      <c r="AA1013" s="15">
        <f t="shared" si="651"/>
        <v>22.170849845882874</v>
      </c>
      <c r="AB1013" s="75">
        <f>AA1013*(1-PARAM!$C$27)*$I$9+(MOD($B1013,60)=PARAM!$B$56)*($B1013&gt;(60-PARAM!$B$56))*HLOOKUP(($B1013+PARAM!$B$56)/12,Loyalty,2)*$F$1*MAX(AD1012,0)</f>
        <v>18.557001321003963</v>
      </c>
      <c r="AC1013" s="75">
        <f>PARAM!$C$26+MAX($G$9-CHOOSE(PARAM!$B$44,MAX(0,AD1012*$F$1),0),0)*RATES!$L989/12+$H$9*(PARAM!$D$51/12)*RATES!$N989/100</f>
        <v>1190.0416666666667</v>
      </c>
      <c r="AD1013" s="16">
        <f t="shared" si="677"/>
        <v>-371423.74638837506</v>
      </c>
      <c r="AE1013" s="15">
        <f t="shared" si="652"/>
        <v>22.170849845882874</v>
      </c>
      <c r="AF1013" s="75">
        <f>AE1013*(1-PARAM!$C$27)*$I$10+(MOD($B1013,60)=PARAM!$B$56)*($B1013&gt;(60-PARAM!$B$56))*HLOOKUP(($B1013+PARAM!$B$56)/12,Loyalty,2)*$F$1*MAX(AH1012,0)</f>
        <v>18.557001321003963</v>
      </c>
      <c r="AG1013" s="75">
        <f>PARAM!$C$26+MAX($G$10-CHOOSE(PARAM!$B$44,MAX(0,AH1012*$F$1),0),0)*RATES!$L989/12+$H$10*(PARAM!$D$51/12)*RATES!$N989/100</f>
        <v>1190.0416666666667</v>
      </c>
      <c r="AH1013" s="16">
        <f t="shared" si="678"/>
        <v>-371423.74638837506</v>
      </c>
      <c r="AI1013" s="15">
        <f t="shared" si="653"/>
        <v>22.170849845882874</v>
      </c>
      <c r="AJ1013" s="75">
        <f>AI1013*(1-PARAM!$C$27)*$I$11+(MOD($B1013,60)=PARAM!$B$56)*($B1013&gt;(60-PARAM!$B$56))*HLOOKUP(($B1013+PARAM!$B$56)/12,Loyalty,2)*$F$1*MAX(AL1012,0)</f>
        <v>18.557001321003963</v>
      </c>
      <c r="AK1013" s="75">
        <f>PARAM!$C$26+MAX($G$11-CHOOSE(PARAM!$B$44,MAX(0,AL1012*$F$1),0),0)*RATES!$L989/12+$H$11*(PARAM!$D$51/12)*RATES!$N989/100</f>
        <v>1190.0416666666667</v>
      </c>
      <c r="AL1013" s="16">
        <f t="shared" si="679"/>
        <v>-371423.74638837506</v>
      </c>
      <c r="AM1013" s="15">
        <f t="shared" si="654"/>
        <v>22.170849845882874</v>
      </c>
      <c r="AN1013" s="75">
        <f>AM1013*(1-PARAM!$C$27)*$I$12+(MOD($B1013,60)=PARAM!$B$56)*($B1013&gt;(60-PARAM!$B$56))*HLOOKUP(($B1013+PARAM!$B$56)/12,Loyalty,2)*$F$1*MAX(AP1012,0)</f>
        <v>18.557001321003963</v>
      </c>
      <c r="AO1013" s="75">
        <f>PARAM!$C$26+MAX($G$12-CHOOSE(PARAM!$B$44,MAX(0,AP1012*$F$1),0),0)*RATES!$L989/12+$H$12*(PARAM!$D$51/12)*RATES!$N989/100</f>
        <v>1190.0416666666667</v>
      </c>
      <c r="AP1013" s="16">
        <f t="shared" si="680"/>
        <v>-371423.74638837506</v>
      </c>
      <c r="AQ1013" s="15">
        <f t="shared" si="655"/>
        <v>22.170849845882874</v>
      </c>
      <c r="AR1013" s="75">
        <f>AQ1013*(1-PARAM!$C$27)*$I$13+(MOD($B1013,60)=PARAM!$B$56)*($B1013&gt;(60-PARAM!$B$56))*HLOOKUP(($B1013+PARAM!$B$56)/12,Loyalty,2)*$F$1*MAX(AT1012,0)</f>
        <v>18.557001321003963</v>
      </c>
      <c r="AS1013" s="75">
        <f>PARAM!$C$26+MAX($G$13-CHOOSE(PARAM!$B$44,MAX(0,AT1012*$F$1),0),0)*RATES!$L989/12+$H$13*(PARAM!$D$51/12)*RATES!$N989/100</f>
        <v>1190.0416666666667</v>
      </c>
      <c r="AT1013" s="16">
        <f t="shared" si="681"/>
        <v>-371423.74638837506</v>
      </c>
      <c r="AU1013" s="15">
        <f t="shared" si="656"/>
        <v>22.170849845882874</v>
      </c>
      <c r="AV1013" s="75">
        <f>AU1013*(1-PARAM!$C$27)*$I$14+(MOD($B1013,60)=PARAM!$B$56)*($B1013&gt;(60-PARAM!$B$56))*HLOOKUP(($B1013+PARAM!$B$56)/12,Loyalty,2)*$F$1*MAX(AX1012,0)</f>
        <v>18.557001321003963</v>
      </c>
      <c r="AW1013" s="75">
        <f>PARAM!$C$26+MAX($G$14-CHOOSE(PARAM!$B$44,MAX(0,AX1012*$F$1),0),0)*RATES!$L989/12+$H$14*(PARAM!$D$51/12)*RATES!$N989/100</f>
        <v>1190.0416666666667</v>
      </c>
      <c r="AX1013" s="16">
        <f t="shared" si="682"/>
        <v>-371423.74638837506</v>
      </c>
      <c r="AY1013" s="15">
        <f t="shared" si="657"/>
        <v>22.170849845882874</v>
      </c>
      <c r="AZ1013" s="75">
        <f>AY1013*(1-PARAM!$C$27)*$I$15+(MOD($B1013,60)=PARAM!$B$56)*($B1013&gt;(60-PARAM!$B$56))*HLOOKUP(($B1013+PARAM!$B$56)/12,Loyalty,2)*$F$1*MAX(BB1012,0)</f>
        <v>18.557001321003963</v>
      </c>
      <c r="BA1013" s="75">
        <f>PARAM!$C$26+MAX($G$15-CHOOSE(PARAM!$B$44,MAX(0,BB1012*$F$1),0),0)*RATES!$L989/12+$H$15*(PARAM!$D$51/12)*RATES!$N989/100</f>
        <v>1190.0416666666667</v>
      </c>
      <c r="BB1013" s="16">
        <f t="shared" si="683"/>
        <v>-371423.74638837506</v>
      </c>
      <c r="BC1013" s="15">
        <f t="shared" si="658"/>
        <v>22.170849845882874</v>
      </c>
      <c r="BD1013" s="75">
        <f>BC1013*(1-PARAM!$C$27)*$I$16+(MOD($B1013,60)=PARAM!$B$56)*($B1013&gt;(60-PARAM!$B$56))*HLOOKUP(($B1013+PARAM!$B$56)/12,Loyalty,2)*$F$1*MAX(BF1012,0)</f>
        <v>18.557001321003963</v>
      </c>
      <c r="BE1013" s="75">
        <f>PARAM!$C$26+MAX($G$16-CHOOSE(PARAM!$B$44,MAX(0,BF1012*$F$1),0),0)*RATES!$L989/12+$H$16*(PARAM!$D$51/12)*RATES!$N989/100</f>
        <v>1190.0416666666667</v>
      </c>
      <c r="BF1013" s="16">
        <f t="shared" si="684"/>
        <v>-371423.74638837506</v>
      </c>
      <c r="BG1013" s="15">
        <f t="shared" si="659"/>
        <v>22.170849845882874</v>
      </c>
      <c r="BH1013" s="75">
        <f>BG1013*(1-PARAM!$C$27)*$I$17+(MOD($B1013,60)=PARAM!$B$56)*($B1013&gt;(60-PARAM!$B$56))*HLOOKUP(($B1013+PARAM!$B$56)/12,Loyalty,2)*$F$1*MAX(BJ1012,0)</f>
        <v>18.557001321003963</v>
      </c>
      <c r="BI1013" s="75">
        <f>PARAM!$C$26+MAX($G$17-CHOOSE(PARAM!$B$44,MAX(0,BJ1012*$F$1),0),0)*RATES!$L989/12+$H$17*(PARAM!$D$51/12)*RATES!$N989/100</f>
        <v>1190.0416666666667</v>
      </c>
      <c r="BJ1013" s="16">
        <f t="shared" si="685"/>
        <v>-371423.74638837506</v>
      </c>
      <c r="BK1013" s="15">
        <f t="shared" si="660"/>
        <v>22.170849845882874</v>
      </c>
      <c r="BL1013" s="75">
        <f>BK1013*(1-PARAM!$C$27)*$I$18+(MOD($B1013,60)=PARAM!$B$56)*($B1013&gt;(60-PARAM!$B$56))*HLOOKUP(($B1013+PARAM!$B$56)/12,Loyalty,2)*$F$1*MAX(BN1012,0)</f>
        <v>18.557001321003963</v>
      </c>
      <c r="BM1013" s="75">
        <f>PARAM!$C$26+MAX($G$18-CHOOSE(PARAM!$B$44,MAX(0,BN1012*$F$1),0),0)*RATES!$L989/12+$H$18*(PARAM!$D$51/12)*RATES!$N989/100</f>
        <v>1190.0416666666667</v>
      </c>
      <c r="BN1013" s="16">
        <f t="shared" si="686"/>
        <v>-371423.74638837506</v>
      </c>
      <c r="BO1013" s="15">
        <f t="shared" si="661"/>
        <v>22.170849845882874</v>
      </c>
      <c r="BP1013" s="75">
        <f>BO1013*(1-PARAM!$C$27)*$I$19+(MOD($B1013,60)=PARAM!$B$56)*($B1013&gt;(60-PARAM!$B$56))*HLOOKUP(($B1013+PARAM!$B$56)/12,Loyalty,2)*$F$1*MAX(BR1012,0)</f>
        <v>18.557001321003963</v>
      </c>
      <c r="BQ1013" s="75">
        <f>PARAM!$C$26+MAX($G$19-CHOOSE(PARAM!$B$44,MAX(0,BR1012*$F$1),0),0)*RATES!$L989/12+$H$19*(PARAM!$D$51/12)*RATES!$N989/100</f>
        <v>1190.0416666666667</v>
      </c>
      <c r="BR1013" s="16">
        <f t="shared" si="687"/>
        <v>-371423.74638837506</v>
      </c>
      <c r="BS1013" s="15">
        <f t="shared" si="662"/>
        <v>22.170849845882874</v>
      </c>
      <c r="BT1013" s="75">
        <f>BS1013*(1-PARAM!$C$27)*$I$20+(MOD($B1013,60)=PARAM!$B$56)*($B1013&gt;(60-PARAM!$B$56))*HLOOKUP(($B1013+PARAM!$B$56)/12,Loyalty,2)*$F$1*MAX(BV1012,0)</f>
        <v>18.557001321003963</v>
      </c>
      <c r="BU1013" s="75">
        <f>PARAM!$C$26+MAX($G$20-CHOOSE(PARAM!$B$44,MAX(0,BV1012*$F$1),0),0)*RATES!$L989/12+$H$20*(PARAM!$D$51/12)*RATES!$N989/100</f>
        <v>1190.0416666666667</v>
      </c>
      <c r="BV1013" s="16">
        <f t="shared" si="688"/>
        <v>-371423.74638837506</v>
      </c>
      <c r="BW1013" s="15">
        <f t="shared" si="663"/>
        <v>22.170849845882874</v>
      </c>
      <c r="BX1013" s="75">
        <f>BW1013*(1-PARAM!$C$27)*$I$21+(MOD($B1013,60)=PARAM!$B$56)*($B1013&gt;(60-PARAM!$B$56))*HLOOKUP(($B1013+PARAM!$B$56)/12,Loyalty,2)*$F$1*MAX(BZ1012,0)</f>
        <v>18.557001321003963</v>
      </c>
      <c r="BY1013" s="75">
        <f>PARAM!$C$26+MAX($G$21-CHOOSE(PARAM!$B$44,MAX(0,BZ1012*$F$1),0),0)*RATES!$L989/12+$H$21*(PARAM!$D$51/12)*RATES!$N989/100</f>
        <v>1190.0416666666667</v>
      </c>
      <c r="BZ1013" s="16">
        <f t="shared" si="689"/>
        <v>-371423.74638837506</v>
      </c>
      <c r="CA1013" s="15">
        <f t="shared" si="664"/>
        <v>22.170849845882874</v>
      </c>
      <c r="CB1013" s="75">
        <f>CA1013*(1-PARAM!$C$27)*$I$22+(MOD($B1013,60)=PARAM!$B$56)*($B1013&gt;(60-PARAM!$B$56))*HLOOKUP(($B1013+PARAM!$B$56)/12,Loyalty,2)*$F$1*MAX(CD1012,0)</f>
        <v>18.557001321003963</v>
      </c>
      <c r="CC1013" s="75">
        <f>PARAM!$C$26+MAX($G$22-CHOOSE(PARAM!$B$44,MAX(0,CD1012*$F$1),0),0)*RATES!$L989/12+$H$22*(PARAM!$D$51/12)*RATES!$N989/100</f>
        <v>1190.0416666666667</v>
      </c>
      <c r="CD1013" s="16">
        <f t="shared" si="690"/>
        <v>-371423.74638837506</v>
      </c>
      <c r="CE1013" s="33">
        <f>IF(0=MOD(B1013,12/PARAM!$D$51),1,0)</f>
        <v>1</v>
      </c>
      <c r="CF1013" s="15">
        <f t="shared" si="665"/>
        <v>0</v>
      </c>
      <c r="CG1013" s="75">
        <f>CF1013*(1-PARAM!$C$27)*$R$3+(MOD($B1013/12,5)=0)*($B1013&gt;60)*HLOOKUP($B1013/12,Loyalty,2)*$F$1*MAX(CI1012,0)</f>
        <v>0</v>
      </c>
      <c r="CH1013" s="75">
        <f>PARAM!$C$26+MAX($P$3-CHOOSE(PARAM!$B$44,MAX(0,CI1012*$F$1),0),0)*RATES!$L989/12+$Q$3*(PARAM!$D$51/12)*RATES!$N989/100</f>
        <v>1190.0416666666667</v>
      </c>
      <c r="CI1013" s="16">
        <f>IF(CI1012&gt;0,CI1012*PARAM!$C$53,CI1012)+CG1013-CH1013</f>
        <v>-389601.37500000169</v>
      </c>
      <c r="CJ1013" s="15">
        <f t="shared" si="691"/>
        <v>0</v>
      </c>
      <c r="CK1013" s="75">
        <f>CJ1013*(1-PARAM!$C$27)*$R$4+(MOD($B1013/12,5)=0)*($B1013&gt;60)*HLOOKUP($B1013/12,Loyalty,2)*$F$1*MAX(CM1012,0)</f>
        <v>0</v>
      </c>
      <c r="CL1013" s="75">
        <f>PARAM!$C$26+MAX($P$4-CHOOSE(PARAM!$B$44,MAX(0,CM1012*$F$1),0),0)*RATES!$L989/12+$Q$4*(PARAM!$D$51/12)*RATES!$N989/100</f>
        <v>1190.0416666666667</v>
      </c>
      <c r="CM1013" s="16">
        <f>IF(CM1012&gt;0,CM1012*PARAM!$C$53,CM1012)+CK1013-CL1013</f>
        <v>-389601.37500000169</v>
      </c>
      <c r="CO1013" s="176"/>
    </row>
    <row r="1014" spans="1:93" x14ac:dyDescent="0.2">
      <c r="A1014" t="b">
        <f t="shared" si="666"/>
        <v>0</v>
      </c>
      <c r="B1014" s="33">
        <v>987</v>
      </c>
      <c r="C1014" s="15">
        <f t="shared" si="667"/>
        <v>20.081305947392778</v>
      </c>
      <c r="D1014" s="75">
        <f>C1014*(1-PARAM!$C$27)*$I$3+(MOD($B1014,60)=PARAM!$B$56)*($B1014&gt;(60-PARAM!$B$56))*HLOOKUP(($B1014+PARAM!$B$56)/12,Loyalty,2)*$F$1*MAX(F1013,0)</f>
        <v>16.808053077967756</v>
      </c>
      <c r="E1014" s="75">
        <f>PARAM!$C$26+MAX($G$3-CHOOSE(PARAM!$B$44,MAX(0,F1013*$F$1),0),0)*RATES!$L990/12+$H$3*(PARAM!$D$51/12)*RATES!$N990/100</f>
        <v>1190.0416666666667</v>
      </c>
      <c r="F1014" s="16">
        <f t="shared" si="668"/>
        <v>-374358.29347011982</v>
      </c>
      <c r="G1014" s="15">
        <f t="shared" si="669"/>
        <v>22.035289406060361</v>
      </c>
      <c r="H1014" s="75">
        <f>G1014*(1-PARAM!$C$27)*$I$4+(MOD($B1014,60)=PARAM!$B$56)*($B1014&gt;(60-PARAM!$B$56))*HLOOKUP(($B1014+PARAM!$B$56)/12,Loyalty,2)*$F$1*MAX(J1013,0)</f>
        <v>18.443537232872522</v>
      </c>
      <c r="I1014" s="75">
        <f>PARAM!$C$26+MAX($G$4-CHOOSE(PARAM!$B$44,MAX(0,J1013*$F$1),0),0)*RATES!$L990/12+$H$4*(PARAM!$D$51/12)*RATES!$N990/100</f>
        <v>1190.0416666666667</v>
      </c>
      <c r="J1014" s="16">
        <f t="shared" si="670"/>
        <v>-372710.23764510424</v>
      </c>
      <c r="K1014" s="15">
        <f t="shared" si="671"/>
        <v>22.170849845882874</v>
      </c>
      <c r="L1014" s="75">
        <f>K1014*(1-PARAM!$C$27)*$I$5+(MOD($B1014,60)=PARAM!$B$56)*($B1014&gt;(60-PARAM!$B$56))*HLOOKUP(($B1014+PARAM!$B$56)/12,Loyalty,2)*$F$1*MAX(N1013,0)</f>
        <v>18.557001321003963</v>
      </c>
      <c r="M1014" s="75">
        <f>PARAM!$C$26+MAX($G$5-CHOOSE(PARAM!$B$44,MAX(0,N1013*$F$1),0),0)*RATES!$L990/12+$H$5*(PARAM!$D$51/12)*RATES!$N990/100</f>
        <v>1190.0416666666667</v>
      </c>
      <c r="N1014" s="16">
        <f t="shared" si="672"/>
        <v>-372595.23105372075</v>
      </c>
      <c r="O1014" s="15">
        <f t="shared" si="673"/>
        <v>22.170849845882874</v>
      </c>
      <c r="P1014" s="75">
        <f>O1014*(1-PARAM!$C$27)*$I$6+(MOD($B1014,60)=PARAM!$B$56)*($B1014&gt;(60-PARAM!$B$56))*HLOOKUP(($B1014+PARAM!$B$56)/12,Loyalty,2)*$F$1*MAX(R1013,0)</f>
        <v>18.557001321003963</v>
      </c>
      <c r="Q1014" s="75">
        <f>PARAM!$C$26+MAX($G$6-CHOOSE(PARAM!$B$44,MAX(0,R1013*$F$1),0),0)*RATES!$L990/12+$H$6*(PARAM!$D$51/12)*RATES!$N990/100</f>
        <v>1190.0416666666667</v>
      </c>
      <c r="R1014" s="16">
        <f t="shared" si="674"/>
        <v>-372595.23105372075</v>
      </c>
      <c r="S1014" s="15">
        <f t="shared" si="649"/>
        <v>22.170849845882874</v>
      </c>
      <c r="T1014" s="75">
        <f>S1014*(1-PARAM!$C$27)*$I$7+(MOD($B1014,60)=PARAM!$B$56)*($B1014&gt;(60-PARAM!$B$56))*HLOOKUP(($B1014+PARAM!$B$56)/12,Loyalty,2)*$F$1*MAX(V1013,0)</f>
        <v>18.557001321003963</v>
      </c>
      <c r="U1014" s="75">
        <f>PARAM!$C$26+MAX($G$7-CHOOSE(PARAM!$B$44,MAX(0,V1013*$F$1),0),0)*RATES!$L990/12+$H$7*(PARAM!$D$51/12)*RATES!$N990/100</f>
        <v>1190.0416666666667</v>
      </c>
      <c r="V1014" s="16">
        <f t="shared" si="675"/>
        <v>-372595.23105372075</v>
      </c>
      <c r="W1014" s="15">
        <f t="shared" si="650"/>
        <v>22.170849845882874</v>
      </c>
      <c r="X1014" s="75">
        <f>W1014*(1-PARAM!$C$27)*$I$8+(MOD($B1014,60)=PARAM!$B$56)*($B1014&gt;(60-PARAM!$B$56))*HLOOKUP(($B1014+PARAM!$B$56)/12,Loyalty,2)*$F$1*MAX(Z1013,0)</f>
        <v>18.557001321003963</v>
      </c>
      <c r="Y1014" s="75">
        <f>PARAM!$C$26+MAX($G$8-CHOOSE(PARAM!$B$44,MAX(0,Z1013*$F$1),0),0)*RATES!$L990/12+$H$8*(PARAM!$D$51/12)*RATES!$N990/100</f>
        <v>1190.0416666666667</v>
      </c>
      <c r="Z1014" s="16">
        <f t="shared" si="676"/>
        <v>-372595.23105372075</v>
      </c>
      <c r="AA1014" s="15">
        <f t="shared" si="651"/>
        <v>22.170849845882874</v>
      </c>
      <c r="AB1014" s="75">
        <f>AA1014*(1-PARAM!$C$27)*$I$9+(MOD($B1014,60)=PARAM!$B$56)*($B1014&gt;(60-PARAM!$B$56))*HLOOKUP(($B1014+PARAM!$B$56)/12,Loyalty,2)*$F$1*MAX(AD1013,0)</f>
        <v>18.557001321003963</v>
      </c>
      <c r="AC1014" s="75">
        <f>PARAM!$C$26+MAX($G$9-CHOOSE(PARAM!$B$44,MAX(0,AD1013*$F$1),0),0)*RATES!$L990/12+$H$9*(PARAM!$D$51/12)*RATES!$N990/100</f>
        <v>1190.0416666666667</v>
      </c>
      <c r="AD1014" s="16">
        <f t="shared" si="677"/>
        <v>-372595.23105372075</v>
      </c>
      <c r="AE1014" s="15">
        <f t="shared" si="652"/>
        <v>22.170849845882874</v>
      </c>
      <c r="AF1014" s="75">
        <f>AE1014*(1-PARAM!$C$27)*$I$10+(MOD($B1014,60)=PARAM!$B$56)*($B1014&gt;(60-PARAM!$B$56))*HLOOKUP(($B1014+PARAM!$B$56)/12,Loyalty,2)*$F$1*MAX(AH1013,0)</f>
        <v>18.557001321003963</v>
      </c>
      <c r="AG1014" s="75">
        <f>PARAM!$C$26+MAX($G$10-CHOOSE(PARAM!$B$44,MAX(0,AH1013*$F$1),0),0)*RATES!$L990/12+$H$10*(PARAM!$D$51/12)*RATES!$N990/100</f>
        <v>1190.0416666666667</v>
      </c>
      <c r="AH1014" s="16">
        <f t="shared" si="678"/>
        <v>-372595.23105372075</v>
      </c>
      <c r="AI1014" s="15">
        <f t="shared" si="653"/>
        <v>22.170849845882874</v>
      </c>
      <c r="AJ1014" s="75">
        <f>AI1014*(1-PARAM!$C$27)*$I$11+(MOD($B1014,60)=PARAM!$B$56)*($B1014&gt;(60-PARAM!$B$56))*HLOOKUP(($B1014+PARAM!$B$56)/12,Loyalty,2)*$F$1*MAX(AL1013,0)</f>
        <v>18.557001321003963</v>
      </c>
      <c r="AK1014" s="75">
        <f>PARAM!$C$26+MAX($G$11-CHOOSE(PARAM!$B$44,MAX(0,AL1013*$F$1),0),0)*RATES!$L990/12+$H$11*(PARAM!$D$51/12)*RATES!$N990/100</f>
        <v>1190.0416666666667</v>
      </c>
      <c r="AL1014" s="16">
        <f t="shared" si="679"/>
        <v>-372595.23105372075</v>
      </c>
      <c r="AM1014" s="15">
        <f t="shared" si="654"/>
        <v>22.170849845882874</v>
      </c>
      <c r="AN1014" s="75">
        <f>AM1014*(1-PARAM!$C$27)*$I$12+(MOD($B1014,60)=PARAM!$B$56)*($B1014&gt;(60-PARAM!$B$56))*HLOOKUP(($B1014+PARAM!$B$56)/12,Loyalty,2)*$F$1*MAX(AP1013,0)</f>
        <v>18.557001321003963</v>
      </c>
      <c r="AO1014" s="75">
        <f>PARAM!$C$26+MAX($G$12-CHOOSE(PARAM!$B$44,MAX(0,AP1013*$F$1),0),0)*RATES!$L990/12+$H$12*(PARAM!$D$51/12)*RATES!$N990/100</f>
        <v>1190.0416666666667</v>
      </c>
      <c r="AP1014" s="16">
        <f t="shared" si="680"/>
        <v>-372595.23105372075</v>
      </c>
      <c r="AQ1014" s="15">
        <f t="shared" si="655"/>
        <v>22.170849845882874</v>
      </c>
      <c r="AR1014" s="75">
        <f>AQ1014*(1-PARAM!$C$27)*$I$13+(MOD($B1014,60)=PARAM!$B$56)*($B1014&gt;(60-PARAM!$B$56))*HLOOKUP(($B1014+PARAM!$B$56)/12,Loyalty,2)*$F$1*MAX(AT1013,0)</f>
        <v>18.557001321003963</v>
      </c>
      <c r="AS1014" s="75">
        <f>PARAM!$C$26+MAX($G$13-CHOOSE(PARAM!$B$44,MAX(0,AT1013*$F$1),0),0)*RATES!$L990/12+$H$13*(PARAM!$D$51/12)*RATES!$N990/100</f>
        <v>1190.0416666666667</v>
      </c>
      <c r="AT1014" s="16">
        <f t="shared" si="681"/>
        <v>-372595.23105372075</v>
      </c>
      <c r="AU1014" s="15">
        <f t="shared" si="656"/>
        <v>22.170849845882874</v>
      </c>
      <c r="AV1014" s="75">
        <f>AU1014*(1-PARAM!$C$27)*$I$14+(MOD($B1014,60)=PARAM!$B$56)*($B1014&gt;(60-PARAM!$B$56))*HLOOKUP(($B1014+PARAM!$B$56)/12,Loyalty,2)*$F$1*MAX(AX1013,0)</f>
        <v>18.557001321003963</v>
      </c>
      <c r="AW1014" s="75">
        <f>PARAM!$C$26+MAX($G$14-CHOOSE(PARAM!$B$44,MAX(0,AX1013*$F$1),0),0)*RATES!$L990/12+$H$14*(PARAM!$D$51/12)*RATES!$N990/100</f>
        <v>1190.0416666666667</v>
      </c>
      <c r="AX1014" s="16">
        <f t="shared" si="682"/>
        <v>-372595.23105372075</v>
      </c>
      <c r="AY1014" s="15">
        <f t="shared" si="657"/>
        <v>22.170849845882874</v>
      </c>
      <c r="AZ1014" s="75">
        <f>AY1014*(1-PARAM!$C$27)*$I$15+(MOD($B1014,60)=PARAM!$B$56)*($B1014&gt;(60-PARAM!$B$56))*HLOOKUP(($B1014+PARAM!$B$56)/12,Loyalty,2)*$F$1*MAX(BB1013,0)</f>
        <v>18.557001321003963</v>
      </c>
      <c r="BA1014" s="75">
        <f>PARAM!$C$26+MAX($G$15-CHOOSE(PARAM!$B$44,MAX(0,BB1013*$F$1),0),0)*RATES!$L990/12+$H$15*(PARAM!$D$51/12)*RATES!$N990/100</f>
        <v>1190.0416666666667</v>
      </c>
      <c r="BB1014" s="16">
        <f t="shared" si="683"/>
        <v>-372595.23105372075</v>
      </c>
      <c r="BC1014" s="15">
        <f t="shared" si="658"/>
        <v>22.170849845882874</v>
      </c>
      <c r="BD1014" s="75">
        <f>BC1014*(1-PARAM!$C$27)*$I$16+(MOD($B1014,60)=PARAM!$B$56)*($B1014&gt;(60-PARAM!$B$56))*HLOOKUP(($B1014+PARAM!$B$56)/12,Loyalty,2)*$F$1*MAX(BF1013,0)</f>
        <v>18.557001321003963</v>
      </c>
      <c r="BE1014" s="75">
        <f>PARAM!$C$26+MAX($G$16-CHOOSE(PARAM!$B$44,MAX(0,BF1013*$F$1),0),0)*RATES!$L990/12+$H$16*(PARAM!$D$51/12)*RATES!$N990/100</f>
        <v>1190.0416666666667</v>
      </c>
      <c r="BF1014" s="16">
        <f t="shared" si="684"/>
        <v>-372595.23105372075</v>
      </c>
      <c r="BG1014" s="15">
        <f t="shared" si="659"/>
        <v>22.170849845882874</v>
      </c>
      <c r="BH1014" s="75">
        <f>BG1014*(1-PARAM!$C$27)*$I$17+(MOD($B1014,60)=PARAM!$B$56)*($B1014&gt;(60-PARAM!$B$56))*HLOOKUP(($B1014+PARAM!$B$56)/12,Loyalty,2)*$F$1*MAX(BJ1013,0)</f>
        <v>18.557001321003963</v>
      </c>
      <c r="BI1014" s="75">
        <f>PARAM!$C$26+MAX($G$17-CHOOSE(PARAM!$B$44,MAX(0,BJ1013*$F$1),0),0)*RATES!$L990/12+$H$17*(PARAM!$D$51/12)*RATES!$N990/100</f>
        <v>1190.0416666666667</v>
      </c>
      <c r="BJ1014" s="16">
        <f t="shared" si="685"/>
        <v>-372595.23105372075</v>
      </c>
      <c r="BK1014" s="15">
        <f t="shared" si="660"/>
        <v>22.170849845882874</v>
      </c>
      <c r="BL1014" s="75">
        <f>BK1014*(1-PARAM!$C$27)*$I$18+(MOD($B1014,60)=PARAM!$B$56)*($B1014&gt;(60-PARAM!$B$56))*HLOOKUP(($B1014+PARAM!$B$56)/12,Loyalty,2)*$F$1*MAX(BN1013,0)</f>
        <v>18.557001321003963</v>
      </c>
      <c r="BM1014" s="75">
        <f>PARAM!$C$26+MAX($G$18-CHOOSE(PARAM!$B$44,MAX(0,BN1013*$F$1),0),0)*RATES!$L990/12+$H$18*(PARAM!$D$51/12)*RATES!$N990/100</f>
        <v>1190.0416666666667</v>
      </c>
      <c r="BN1014" s="16">
        <f t="shared" si="686"/>
        <v>-372595.23105372075</v>
      </c>
      <c r="BO1014" s="15">
        <f t="shared" si="661"/>
        <v>22.170849845882874</v>
      </c>
      <c r="BP1014" s="75">
        <f>BO1014*(1-PARAM!$C$27)*$I$19+(MOD($B1014,60)=PARAM!$B$56)*($B1014&gt;(60-PARAM!$B$56))*HLOOKUP(($B1014+PARAM!$B$56)/12,Loyalty,2)*$F$1*MAX(BR1013,0)</f>
        <v>18.557001321003963</v>
      </c>
      <c r="BQ1014" s="75">
        <f>PARAM!$C$26+MAX($G$19-CHOOSE(PARAM!$B$44,MAX(0,BR1013*$F$1),0),0)*RATES!$L990/12+$H$19*(PARAM!$D$51/12)*RATES!$N990/100</f>
        <v>1190.0416666666667</v>
      </c>
      <c r="BR1014" s="16">
        <f t="shared" si="687"/>
        <v>-372595.23105372075</v>
      </c>
      <c r="BS1014" s="15">
        <f t="shared" si="662"/>
        <v>22.170849845882874</v>
      </c>
      <c r="BT1014" s="75">
        <f>BS1014*(1-PARAM!$C$27)*$I$20+(MOD($B1014,60)=PARAM!$B$56)*($B1014&gt;(60-PARAM!$B$56))*HLOOKUP(($B1014+PARAM!$B$56)/12,Loyalty,2)*$F$1*MAX(BV1013,0)</f>
        <v>18.557001321003963</v>
      </c>
      <c r="BU1014" s="75">
        <f>PARAM!$C$26+MAX($G$20-CHOOSE(PARAM!$B$44,MAX(0,BV1013*$F$1),0),0)*RATES!$L990/12+$H$20*(PARAM!$D$51/12)*RATES!$N990/100</f>
        <v>1190.0416666666667</v>
      </c>
      <c r="BV1014" s="16">
        <f t="shared" si="688"/>
        <v>-372595.23105372075</v>
      </c>
      <c r="BW1014" s="15">
        <f t="shared" si="663"/>
        <v>22.170849845882874</v>
      </c>
      <c r="BX1014" s="75">
        <f>BW1014*(1-PARAM!$C$27)*$I$21+(MOD($B1014,60)=PARAM!$B$56)*($B1014&gt;(60-PARAM!$B$56))*HLOOKUP(($B1014+PARAM!$B$56)/12,Loyalty,2)*$F$1*MAX(BZ1013,0)</f>
        <v>18.557001321003963</v>
      </c>
      <c r="BY1014" s="75">
        <f>PARAM!$C$26+MAX($G$21-CHOOSE(PARAM!$B$44,MAX(0,BZ1013*$F$1),0),0)*RATES!$L990/12+$H$21*(PARAM!$D$51/12)*RATES!$N990/100</f>
        <v>1190.0416666666667</v>
      </c>
      <c r="BZ1014" s="16">
        <f t="shared" si="689"/>
        <v>-372595.23105372075</v>
      </c>
      <c r="CA1014" s="15">
        <f t="shared" si="664"/>
        <v>22.170849845882874</v>
      </c>
      <c r="CB1014" s="75">
        <f>CA1014*(1-PARAM!$C$27)*$I$22+(MOD($B1014,60)=PARAM!$B$56)*($B1014&gt;(60-PARAM!$B$56))*HLOOKUP(($B1014+PARAM!$B$56)/12,Loyalty,2)*$F$1*MAX(CD1013,0)</f>
        <v>18.557001321003963</v>
      </c>
      <c r="CC1014" s="75">
        <f>PARAM!$C$26+MAX($G$22-CHOOSE(PARAM!$B$44,MAX(0,CD1013*$F$1),0),0)*RATES!$L990/12+$H$22*(PARAM!$D$51/12)*RATES!$N990/100</f>
        <v>1190.0416666666667</v>
      </c>
      <c r="CD1014" s="16">
        <f t="shared" si="690"/>
        <v>-372595.23105372075</v>
      </c>
      <c r="CE1014" s="33">
        <f>IF(0=MOD(B1014,12/PARAM!$D$51),1,0)</f>
        <v>1</v>
      </c>
      <c r="CF1014" s="15">
        <f t="shared" si="665"/>
        <v>0</v>
      </c>
      <c r="CG1014" s="75">
        <f>CF1014*(1-PARAM!$C$27)*$R$3+(MOD($B1014/12,5)=0)*($B1014&gt;60)*HLOOKUP($B1014/12,Loyalty,2)*$F$1*MAX(CI1013,0)</f>
        <v>0</v>
      </c>
      <c r="CH1014" s="75">
        <f>PARAM!$C$26+MAX($P$3-CHOOSE(PARAM!$B$44,MAX(0,CI1013*$F$1),0),0)*RATES!$L990/12+$Q$3*(PARAM!$D$51/12)*RATES!$N990/100</f>
        <v>1190.0416666666667</v>
      </c>
      <c r="CI1014" s="16">
        <f>IF(CI1013&gt;0,CI1013*PARAM!$C$53,CI1013)+CG1014-CH1014</f>
        <v>-390791.41666666837</v>
      </c>
      <c r="CJ1014" s="15">
        <f t="shared" si="691"/>
        <v>0</v>
      </c>
      <c r="CK1014" s="75">
        <f>CJ1014*(1-PARAM!$C$27)*$R$4+(MOD($B1014/12,5)=0)*($B1014&gt;60)*HLOOKUP($B1014/12,Loyalty,2)*$F$1*MAX(CM1013,0)</f>
        <v>0</v>
      </c>
      <c r="CL1014" s="75">
        <f>PARAM!$C$26+MAX($P$4-CHOOSE(PARAM!$B$44,MAX(0,CM1013*$F$1),0),0)*RATES!$L990/12+$Q$4*(PARAM!$D$51/12)*RATES!$N990/100</f>
        <v>1190.0416666666667</v>
      </c>
      <c r="CM1014" s="16">
        <f>IF(CM1013&gt;0,CM1013*PARAM!$C$53,CM1013)+CK1014-CL1014</f>
        <v>-390791.41666666837</v>
      </c>
      <c r="CO1014" s="176"/>
    </row>
    <row r="1015" spans="1:93" x14ac:dyDescent="0.2">
      <c r="A1015" t="b">
        <f t="shared" si="666"/>
        <v>0</v>
      </c>
      <c r="B1015" s="33">
        <v>988</v>
      </c>
      <c r="C1015" s="15">
        <f t="shared" si="667"/>
        <v>20.081305947392778</v>
      </c>
      <c r="D1015" s="75">
        <f>C1015*(1-PARAM!$C$27)*$I$3+(MOD($B1015,60)=PARAM!$B$56)*($B1015&gt;(60-PARAM!$B$56))*HLOOKUP(($B1015+PARAM!$B$56)/12,Loyalty,2)*$F$1*MAX(F1014,0)</f>
        <v>16.808053077967756</v>
      </c>
      <c r="E1015" s="75">
        <f>PARAM!$C$26+MAX($G$3-CHOOSE(PARAM!$B$44,MAX(0,F1014*$F$1),0),0)*RATES!$L991/12+$H$3*(PARAM!$D$51/12)*RATES!$N991/100</f>
        <v>1190.0416666666667</v>
      </c>
      <c r="F1015" s="16">
        <f t="shared" si="668"/>
        <v>-375531.52708370856</v>
      </c>
      <c r="G1015" s="15">
        <f t="shared" si="669"/>
        <v>22.035289406060361</v>
      </c>
      <c r="H1015" s="75">
        <f>G1015*(1-PARAM!$C$27)*$I$4+(MOD($B1015,60)=PARAM!$B$56)*($B1015&gt;(60-PARAM!$B$56))*HLOOKUP(($B1015+PARAM!$B$56)/12,Loyalty,2)*$F$1*MAX(J1014,0)</f>
        <v>18.443537232872522</v>
      </c>
      <c r="I1015" s="75">
        <f>PARAM!$C$26+MAX($G$4-CHOOSE(PARAM!$B$44,MAX(0,J1014*$F$1),0),0)*RATES!$L991/12+$H$4*(PARAM!$D$51/12)*RATES!$N991/100</f>
        <v>1190.0416666666667</v>
      </c>
      <c r="J1015" s="16">
        <f t="shared" si="670"/>
        <v>-373881.83577453805</v>
      </c>
      <c r="K1015" s="15">
        <f t="shared" si="671"/>
        <v>22.170849845882874</v>
      </c>
      <c r="L1015" s="75">
        <f>K1015*(1-PARAM!$C$27)*$I$5+(MOD($B1015,60)=PARAM!$B$56)*($B1015&gt;(60-PARAM!$B$56))*HLOOKUP(($B1015+PARAM!$B$56)/12,Loyalty,2)*$F$1*MAX(N1014,0)</f>
        <v>18.557001321003963</v>
      </c>
      <c r="M1015" s="75">
        <f>PARAM!$C$26+MAX($G$5-CHOOSE(PARAM!$B$44,MAX(0,N1014*$F$1),0),0)*RATES!$L991/12+$H$5*(PARAM!$D$51/12)*RATES!$N991/100</f>
        <v>1190.0416666666667</v>
      </c>
      <c r="N1015" s="16">
        <f t="shared" si="672"/>
        <v>-373766.71571906644</v>
      </c>
      <c r="O1015" s="15">
        <f t="shared" si="673"/>
        <v>22.170849845882874</v>
      </c>
      <c r="P1015" s="75">
        <f>O1015*(1-PARAM!$C$27)*$I$6+(MOD($B1015,60)=PARAM!$B$56)*($B1015&gt;(60-PARAM!$B$56))*HLOOKUP(($B1015+PARAM!$B$56)/12,Loyalty,2)*$F$1*MAX(R1014,0)</f>
        <v>18.557001321003963</v>
      </c>
      <c r="Q1015" s="75">
        <f>PARAM!$C$26+MAX($G$6-CHOOSE(PARAM!$B$44,MAX(0,R1014*$F$1),0),0)*RATES!$L991/12+$H$6*(PARAM!$D$51/12)*RATES!$N991/100</f>
        <v>1190.0416666666667</v>
      </c>
      <c r="R1015" s="16">
        <f t="shared" si="674"/>
        <v>-373766.71571906644</v>
      </c>
      <c r="S1015" s="15">
        <f t="shared" si="649"/>
        <v>22.170849845882874</v>
      </c>
      <c r="T1015" s="75">
        <f>S1015*(1-PARAM!$C$27)*$I$7+(MOD($B1015,60)=PARAM!$B$56)*($B1015&gt;(60-PARAM!$B$56))*HLOOKUP(($B1015+PARAM!$B$56)/12,Loyalty,2)*$F$1*MAX(V1014,0)</f>
        <v>18.557001321003963</v>
      </c>
      <c r="U1015" s="75">
        <f>PARAM!$C$26+MAX($G$7-CHOOSE(PARAM!$B$44,MAX(0,V1014*$F$1),0),0)*RATES!$L991/12+$H$7*(PARAM!$D$51/12)*RATES!$N991/100</f>
        <v>1190.0416666666667</v>
      </c>
      <c r="V1015" s="16">
        <f t="shared" si="675"/>
        <v>-373766.71571906644</v>
      </c>
      <c r="W1015" s="15">
        <f t="shared" si="650"/>
        <v>22.170849845882874</v>
      </c>
      <c r="X1015" s="75">
        <f>W1015*(1-PARAM!$C$27)*$I$8+(MOD($B1015,60)=PARAM!$B$56)*($B1015&gt;(60-PARAM!$B$56))*HLOOKUP(($B1015+PARAM!$B$56)/12,Loyalty,2)*$F$1*MAX(Z1014,0)</f>
        <v>18.557001321003963</v>
      </c>
      <c r="Y1015" s="75">
        <f>PARAM!$C$26+MAX($G$8-CHOOSE(PARAM!$B$44,MAX(0,Z1014*$F$1),0),0)*RATES!$L991/12+$H$8*(PARAM!$D$51/12)*RATES!$N991/100</f>
        <v>1190.0416666666667</v>
      </c>
      <c r="Z1015" s="16">
        <f t="shared" si="676"/>
        <v>-373766.71571906644</v>
      </c>
      <c r="AA1015" s="15">
        <f t="shared" si="651"/>
        <v>22.170849845882874</v>
      </c>
      <c r="AB1015" s="75">
        <f>AA1015*(1-PARAM!$C$27)*$I$9+(MOD($B1015,60)=PARAM!$B$56)*($B1015&gt;(60-PARAM!$B$56))*HLOOKUP(($B1015+PARAM!$B$56)/12,Loyalty,2)*$F$1*MAX(AD1014,0)</f>
        <v>18.557001321003963</v>
      </c>
      <c r="AC1015" s="75">
        <f>PARAM!$C$26+MAX($G$9-CHOOSE(PARAM!$B$44,MAX(0,AD1014*$F$1),0),0)*RATES!$L991/12+$H$9*(PARAM!$D$51/12)*RATES!$N991/100</f>
        <v>1190.0416666666667</v>
      </c>
      <c r="AD1015" s="16">
        <f t="shared" si="677"/>
        <v>-373766.71571906644</v>
      </c>
      <c r="AE1015" s="15">
        <f t="shared" si="652"/>
        <v>22.170849845882874</v>
      </c>
      <c r="AF1015" s="75">
        <f>AE1015*(1-PARAM!$C$27)*$I$10+(MOD($B1015,60)=PARAM!$B$56)*($B1015&gt;(60-PARAM!$B$56))*HLOOKUP(($B1015+PARAM!$B$56)/12,Loyalty,2)*$F$1*MAX(AH1014,0)</f>
        <v>18.557001321003963</v>
      </c>
      <c r="AG1015" s="75">
        <f>PARAM!$C$26+MAX($G$10-CHOOSE(PARAM!$B$44,MAX(0,AH1014*$F$1),0),0)*RATES!$L991/12+$H$10*(PARAM!$D$51/12)*RATES!$N991/100</f>
        <v>1190.0416666666667</v>
      </c>
      <c r="AH1015" s="16">
        <f t="shared" si="678"/>
        <v>-373766.71571906644</v>
      </c>
      <c r="AI1015" s="15">
        <f t="shared" si="653"/>
        <v>22.170849845882874</v>
      </c>
      <c r="AJ1015" s="75">
        <f>AI1015*(1-PARAM!$C$27)*$I$11+(MOD($B1015,60)=PARAM!$B$56)*($B1015&gt;(60-PARAM!$B$56))*HLOOKUP(($B1015+PARAM!$B$56)/12,Loyalty,2)*$F$1*MAX(AL1014,0)</f>
        <v>18.557001321003963</v>
      </c>
      <c r="AK1015" s="75">
        <f>PARAM!$C$26+MAX($G$11-CHOOSE(PARAM!$B$44,MAX(0,AL1014*$F$1),0),0)*RATES!$L991/12+$H$11*(PARAM!$D$51/12)*RATES!$N991/100</f>
        <v>1190.0416666666667</v>
      </c>
      <c r="AL1015" s="16">
        <f t="shared" si="679"/>
        <v>-373766.71571906644</v>
      </c>
      <c r="AM1015" s="15">
        <f t="shared" si="654"/>
        <v>22.170849845882874</v>
      </c>
      <c r="AN1015" s="75">
        <f>AM1015*(1-PARAM!$C$27)*$I$12+(MOD($B1015,60)=PARAM!$B$56)*($B1015&gt;(60-PARAM!$B$56))*HLOOKUP(($B1015+PARAM!$B$56)/12,Loyalty,2)*$F$1*MAX(AP1014,0)</f>
        <v>18.557001321003963</v>
      </c>
      <c r="AO1015" s="75">
        <f>PARAM!$C$26+MAX($G$12-CHOOSE(PARAM!$B$44,MAX(0,AP1014*$F$1),0),0)*RATES!$L991/12+$H$12*(PARAM!$D$51/12)*RATES!$N991/100</f>
        <v>1190.0416666666667</v>
      </c>
      <c r="AP1015" s="16">
        <f t="shared" si="680"/>
        <v>-373766.71571906644</v>
      </c>
      <c r="AQ1015" s="15">
        <f t="shared" si="655"/>
        <v>22.170849845882874</v>
      </c>
      <c r="AR1015" s="75">
        <f>AQ1015*(1-PARAM!$C$27)*$I$13+(MOD($B1015,60)=PARAM!$B$56)*($B1015&gt;(60-PARAM!$B$56))*HLOOKUP(($B1015+PARAM!$B$56)/12,Loyalty,2)*$F$1*MAX(AT1014,0)</f>
        <v>18.557001321003963</v>
      </c>
      <c r="AS1015" s="75">
        <f>PARAM!$C$26+MAX($G$13-CHOOSE(PARAM!$B$44,MAX(0,AT1014*$F$1),0),0)*RATES!$L991/12+$H$13*(PARAM!$D$51/12)*RATES!$N991/100</f>
        <v>1190.0416666666667</v>
      </c>
      <c r="AT1015" s="16">
        <f t="shared" si="681"/>
        <v>-373766.71571906644</v>
      </c>
      <c r="AU1015" s="15">
        <f t="shared" si="656"/>
        <v>22.170849845882874</v>
      </c>
      <c r="AV1015" s="75">
        <f>AU1015*(1-PARAM!$C$27)*$I$14+(MOD($B1015,60)=PARAM!$B$56)*($B1015&gt;(60-PARAM!$B$56))*HLOOKUP(($B1015+PARAM!$B$56)/12,Loyalty,2)*$F$1*MAX(AX1014,0)</f>
        <v>18.557001321003963</v>
      </c>
      <c r="AW1015" s="75">
        <f>PARAM!$C$26+MAX($G$14-CHOOSE(PARAM!$B$44,MAX(0,AX1014*$F$1),0),0)*RATES!$L991/12+$H$14*(PARAM!$D$51/12)*RATES!$N991/100</f>
        <v>1190.0416666666667</v>
      </c>
      <c r="AX1015" s="16">
        <f t="shared" si="682"/>
        <v>-373766.71571906644</v>
      </c>
      <c r="AY1015" s="15">
        <f t="shared" si="657"/>
        <v>22.170849845882874</v>
      </c>
      <c r="AZ1015" s="75">
        <f>AY1015*(1-PARAM!$C$27)*$I$15+(MOD($B1015,60)=PARAM!$B$56)*($B1015&gt;(60-PARAM!$B$56))*HLOOKUP(($B1015+PARAM!$B$56)/12,Loyalty,2)*$F$1*MAX(BB1014,0)</f>
        <v>18.557001321003963</v>
      </c>
      <c r="BA1015" s="75">
        <f>PARAM!$C$26+MAX($G$15-CHOOSE(PARAM!$B$44,MAX(0,BB1014*$F$1),0),0)*RATES!$L991/12+$H$15*(PARAM!$D$51/12)*RATES!$N991/100</f>
        <v>1190.0416666666667</v>
      </c>
      <c r="BB1015" s="16">
        <f t="shared" si="683"/>
        <v>-373766.71571906644</v>
      </c>
      <c r="BC1015" s="15">
        <f t="shared" si="658"/>
        <v>22.170849845882874</v>
      </c>
      <c r="BD1015" s="75">
        <f>BC1015*(1-PARAM!$C$27)*$I$16+(MOD($B1015,60)=PARAM!$B$56)*($B1015&gt;(60-PARAM!$B$56))*HLOOKUP(($B1015+PARAM!$B$56)/12,Loyalty,2)*$F$1*MAX(BF1014,0)</f>
        <v>18.557001321003963</v>
      </c>
      <c r="BE1015" s="75">
        <f>PARAM!$C$26+MAX($G$16-CHOOSE(PARAM!$B$44,MAX(0,BF1014*$F$1),0),0)*RATES!$L991/12+$H$16*(PARAM!$D$51/12)*RATES!$N991/100</f>
        <v>1190.0416666666667</v>
      </c>
      <c r="BF1015" s="16">
        <f t="shared" si="684"/>
        <v>-373766.71571906644</v>
      </c>
      <c r="BG1015" s="15">
        <f t="shared" si="659"/>
        <v>22.170849845882874</v>
      </c>
      <c r="BH1015" s="75">
        <f>BG1015*(1-PARAM!$C$27)*$I$17+(MOD($B1015,60)=PARAM!$B$56)*($B1015&gt;(60-PARAM!$B$56))*HLOOKUP(($B1015+PARAM!$B$56)/12,Loyalty,2)*$F$1*MAX(BJ1014,0)</f>
        <v>18.557001321003963</v>
      </c>
      <c r="BI1015" s="75">
        <f>PARAM!$C$26+MAX($G$17-CHOOSE(PARAM!$B$44,MAX(0,BJ1014*$F$1),0),0)*RATES!$L991/12+$H$17*(PARAM!$D$51/12)*RATES!$N991/100</f>
        <v>1190.0416666666667</v>
      </c>
      <c r="BJ1015" s="16">
        <f t="shared" si="685"/>
        <v>-373766.71571906644</v>
      </c>
      <c r="BK1015" s="15">
        <f t="shared" si="660"/>
        <v>22.170849845882874</v>
      </c>
      <c r="BL1015" s="75">
        <f>BK1015*(1-PARAM!$C$27)*$I$18+(MOD($B1015,60)=PARAM!$B$56)*($B1015&gt;(60-PARAM!$B$56))*HLOOKUP(($B1015+PARAM!$B$56)/12,Loyalty,2)*$F$1*MAX(BN1014,0)</f>
        <v>18.557001321003963</v>
      </c>
      <c r="BM1015" s="75">
        <f>PARAM!$C$26+MAX($G$18-CHOOSE(PARAM!$B$44,MAX(0,BN1014*$F$1),0),0)*RATES!$L991/12+$H$18*(PARAM!$D$51/12)*RATES!$N991/100</f>
        <v>1190.0416666666667</v>
      </c>
      <c r="BN1015" s="16">
        <f t="shared" si="686"/>
        <v>-373766.71571906644</v>
      </c>
      <c r="BO1015" s="15">
        <f t="shared" si="661"/>
        <v>22.170849845882874</v>
      </c>
      <c r="BP1015" s="75">
        <f>BO1015*(1-PARAM!$C$27)*$I$19+(MOD($B1015,60)=PARAM!$B$56)*($B1015&gt;(60-PARAM!$B$56))*HLOOKUP(($B1015+PARAM!$B$56)/12,Loyalty,2)*$F$1*MAX(BR1014,0)</f>
        <v>18.557001321003963</v>
      </c>
      <c r="BQ1015" s="75">
        <f>PARAM!$C$26+MAX($G$19-CHOOSE(PARAM!$B$44,MAX(0,BR1014*$F$1),0),0)*RATES!$L991/12+$H$19*(PARAM!$D$51/12)*RATES!$N991/100</f>
        <v>1190.0416666666667</v>
      </c>
      <c r="BR1015" s="16">
        <f t="shared" si="687"/>
        <v>-373766.71571906644</v>
      </c>
      <c r="BS1015" s="15">
        <f t="shared" si="662"/>
        <v>22.170849845882874</v>
      </c>
      <c r="BT1015" s="75">
        <f>BS1015*(1-PARAM!$C$27)*$I$20+(MOD($B1015,60)=PARAM!$B$56)*($B1015&gt;(60-PARAM!$B$56))*HLOOKUP(($B1015+PARAM!$B$56)/12,Loyalty,2)*$F$1*MAX(BV1014,0)</f>
        <v>18.557001321003963</v>
      </c>
      <c r="BU1015" s="75">
        <f>PARAM!$C$26+MAX($G$20-CHOOSE(PARAM!$B$44,MAX(0,BV1014*$F$1),0),0)*RATES!$L991/12+$H$20*(PARAM!$D$51/12)*RATES!$N991/100</f>
        <v>1190.0416666666667</v>
      </c>
      <c r="BV1015" s="16">
        <f t="shared" si="688"/>
        <v>-373766.71571906644</v>
      </c>
      <c r="BW1015" s="15">
        <f t="shared" si="663"/>
        <v>22.170849845882874</v>
      </c>
      <c r="BX1015" s="75">
        <f>BW1015*(1-PARAM!$C$27)*$I$21+(MOD($B1015,60)=PARAM!$B$56)*($B1015&gt;(60-PARAM!$B$56))*HLOOKUP(($B1015+PARAM!$B$56)/12,Loyalty,2)*$F$1*MAX(BZ1014,0)</f>
        <v>18.557001321003963</v>
      </c>
      <c r="BY1015" s="75">
        <f>PARAM!$C$26+MAX($G$21-CHOOSE(PARAM!$B$44,MAX(0,BZ1014*$F$1),0),0)*RATES!$L991/12+$H$21*(PARAM!$D$51/12)*RATES!$N991/100</f>
        <v>1190.0416666666667</v>
      </c>
      <c r="BZ1015" s="16">
        <f t="shared" si="689"/>
        <v>-373766.71571906644</v>
      </c>
      <c r="CA1015" s="15">
        <f t="shared" si="664"/>
        <v>22.170849845882874</v>
      </c>
      <c r="CB1015" s="75">
        <f>CA1015*(1-PARAM!$C$27)*$I$22+(MOD($B1015,60)=PARAM!$B$56)*($B1015&gt;(60-PARAM!$B$56))*HLOOKUP(($B1015+PARAM!$B$56)/12,Loyalty,2)*$F$1*MAX(CD1014,0)</f>
        <v>18.557001321003963</v>
      </c>
      <c r="CC1015" s="75">
        <f>PARAM!$C$26+MAX($G$22-CHOOSE(PARAM!$B$44,MAX(0,CD1014*$F$1),0),0)*RATES!$L991/12+$H$22*(PARAM!$D$51/12)*RATES!$N991/100</f>
        <v>1190.0416666666667</v>
      </c>
      <c r="CD1015" s="16">
        <f t="shared" si="690"/>
        <v>-373766.71571906644</v>
      </c>
      <c r="CE1015" s="33">
        <f>IF(0=MOD(B1015,12/PARAM!$D$51),1,0)</f>
        <v>1</v>
      </c>
      <c r="CF1015" s="15">
        <f t="shared" si="665"/>
        <v>0</v>
      </c>
      <c r="CG1015" s="75">
        <f>CF1015*(1-PARAM!$C$27)*$R$3+(MOD($B1015/12,5)=0)*($B1015&gt;60)*HLOOKUP($B1015/12,Loyalty,2)*$F$1*MAX(CI1014,0)</f>
        <v>0</v>
      </c>
      <c r="CH1015" s="75">
        <f>PARAM!$C$26+MAX($P$3-CHOOSE(PARAM!$B$44,MAX(0,CI1014*$F$1),0),0)*RATES!$L991/12+$Q$3*(PARAM!$D$51/12)*RATES!$N991/100</f>
        <v>1190.0416666666667</v>
      </c>
      <c r="CI1015" s="16">
        <f>IF(CI1014&gt;0,CI1014*PARAM!$C$53,CI1014)+CG1015-CH1015</f>
        <v>-391981.45833333506</v>
      </c>
      <c r="CJ1015" s="15">
        <f t="shared" si="691"/>
        <v>0</v>
      </c>
      <c r="CK1015" s="75">
        <f>CJ1015*(1-PARAM!$C$27)*$R$4+(MOD($B1015/12,5)=0)*($B1015&gt;60)*HLOOKUP($B1015/12,Loyalty,2)*$F$1*MAX(CM1014,0)</f>
        <v>0</v>
      </c>
      <c r="CL1015" s="75">
        <f>PARAM!$C$26+MAX($P$4-CHOOSE(PARAM!$B$44,MAX(0,CM1014*$F$1),0),0)*RATES!$L991/12+$Q$4*(PARAM!$D$51/12)*RATES!$N991/100</f>
        <v>1190.0416666666667</v>
      </c>
      <c r="CM1015" s="16">
        <f>IF(CM1014&gt;0,CM1014*PARAM!$C$53,CM1014)+CK1015-CL1015</f>
        <v>-391981.45833333506</v>
      </c>
      <c r="CO1015" s="176"/>
    </row>
    <row r="1016" spans="1:93" x14ac:dyDescent="0.2">
      <c r="A1016" t="b">
        <f t="shared" si="666"/>
        <v>0</v>
      </c>
      <c r="B1016" s="33">
        <v>989</v>
      </c>
      <c r="C1016" s="15">
        <f t="shared" si="667"/>
        <v>20.081305947392778</v>
      </c>
      <c r="D1016" s="75">
        <f>C1016*(1-PARAM!$C$27)*$I$3+(MOD($B1016,60)=PARAM!$B$56)*($B1016&gt;(60-PARAM!$B$56))*HLOOKUP(($B1016+PARAM!$B$56)/12,Loyalty,2)*$F$1*MAX(F1015,0)</f>
        <v>16.808053077967756</v>
      </c>
      <c r="E1016" s="75">
        <f>PARAM!$C$26+MAX($G$3-CHOOSE(PARAM!$B$44,MAX(0,F1015*$F$1),0),0)*RATES!$L992/12+$H$3*(PARAM!$D$51/12)*RATES!$N992/100</f>
        <v>1190.0416666666667</v>
      </c>
      <c r="F1016" s="16">
        <f t="shared" si="668"/>
        <v>-376704.76069729729</v>
      </c>
      <c r="G1016" s="15">
        <f t="shared" si="669"/>
        <v>22.035289406060361</v>
      </c>
      <c r="H1016" s="75">
        <f>G1016*(1-PARAM!$C$27)*$I$4+(MOD($B1016,60)=PARAM!$B$56)*($B1016&gt;(60-PARAM!$B$56))*HLOOKUP(($B1016+PARAM!$B$56)/12,Loyalty,2)*$F$1*MAX(J1015,0)</f>
        <v>18.443537232872522</v>
      </c>
      <c r="I1016" s="75">
        <f>PARAM!$C$26+MAX($G$4-CHOOSE(PARAM!$B$44,MAX(0,J1015*$F$1),0),0)*RATES!$L992/12+$H$4*(PARAM!$D$51/12)*RATES!$N992/100</f>
        <v>1190.0416666666667</v>
      </c>
      <c r="J1016" s="16">
        <f t="shared" si="670"/>
        <v>-375053.43390397186</v>
      </c>
      <c r="K1016" s="15">
        <f t="shared" si="671"/>
        <v>22.170849845882874</v>
      </c>
      <c r="L1016" s="75">
        <f>K1016*(1-PARAM!$C$27)*$I$5+(MOD($B1016,60)=PARAM!$B$56)*($B1016&gt;(60-PARAM!$B$56))*HLOOKUP(($B1016+PARAM!$B$56)/12,Loyalty,2)*$F$1*MAX(N1015,0)</f>
        <v>18.557001321003963</v>
      </c>
      <c r="M1016" s="75">
        <f>PARAM!$C$26+MAX($G$5-CHOOSE(PARAM!$B$44,MAX(0,N1015*$F$1),0),0)*RATES!$L992/12+$H$5*(PARAM!$D$51/12)*RATES!$N992/100</f>
        <v>1190.0416666666667</v>
      </c>
      <c r="N1016" s="16">
        <f t="shared" si="672"/>
        <v>-374938.20038441214</v>
      </c>
      <c r="O1016" s="15">
        <f t="shared" si="673"/>
        <v>22.170849845882874</v>
      </c>
      <c r="P1016" s="75">
        <f>O1016*(1-PARAM!$C$27)*$I$6+(MOD($B1016,60)=PARAM!$B$56)*($B1016&gt;(60-PARAM!$B$56))*HLOOKUP(($B1016+PARAM!$B$56)/12,Loyalty,2)*$F$1*MAX(R1015,0)</f>
        <v>18.557001321003963</v>
      </c>
      <c r="Q1016" s="75">
        <f>PARAM!$C$26+MAX($G$6-CHOOSE(PARAM!$B$44,MAX(0,R1015*$F$1),0),0)*RATES!$L992/12+$H$6*(PARAM!$D$51/12)*RATES!$N992/100</f>
        <v>1190.0416666666667</v>
      </c>
      <c r="R1016" s="16">
        <f t="shared" si="674"/>
        <v>-374938.20038441214</v>
      </c>
      <c r="S1016" s="15">
        <f t="shared" si="649"/>
        <v>22.170849845882874</v>
      </c>
      <c r="T1016" s="75">
        <f>S1016*(1-PARAM!$C$27)*$I$7+(MOD($B1016,60)=PARAM!$B$56)*($B1016&gt;(60-PARAM!$B$56))*HLOOKUP(($B1016+PARAM!$B$56)/12,Loyalty,2)*$F$1*MAX(V1015,0)</f>
        <v>18.557001321003963</v>
      </c>
      <c r="U1016" s="75">
        <f>PARAM!$C$26+MAX($G$7-CHOOSE(PARAM!$B$44,MAX(0,V1015*$F$1),0),0)*RATES!$L992/12+$H$7*(PARAM!$D$51/12)*RATES!$N992/100</f>
        <v>1190.0416666666667</v>
      </c>
      <c r="V1016" s="16">
        <f t="shared" si="675"/>
        <v>-374938.20038441214</v>
      </c>
      <c r="W1016" s="15">
        <f t="shared" si="650"/>
        <v>22.170849845882874</v>
      </c>
      <c r="X1016" s="75">
        <f>W1016*(1-PARAM!$C$27)*$I$8+(MOD($B1016,60)=PARAM!$B$56)*($B1016&gt;(60-PARAM!$B$56))*HLOOKUP(($B1016+PARAM!$B$56)/12,Loyalty,2)*$F$1*MAX(Z1015,0)</f>
        <v>18.557001321003963</v>
      </c>
      <c r="Y1016" s="75">
        <f>PARAM!$C$26+MAX($G$8-CHOOSE(PARAM!$B$44,MAX(0,Z1015*$F$1),0),0)*RATES!$L992/12+$H$8*(PARAM!$D$51/12)*RATES!$N992/100</f>
        <v>1190.0416666666667</v>
      </c>
      <c r="Z1016" s="16">
        <f t="shared" si="676"/>
        <v>-374938.20038441214</v>
      </c>
      <c r="AA1016" s="15">
        <f t="shared" si="651"/>
        <v>22.170849845882874</v>
      </c>
      <c r="AB1016" s="75">
        <f>AA1016*(1-PARAM!$C$27)*$I$9+(MOD($B1016,60)=PARAM!$B$56)*($B1016&gt;(60-PARAM!$B$56))*HLOOKUP(($B1016+PARAM!$B$56)/12,Loyalty,2)*$F$1*MAX(AD1015,0)</f>
        <v>18.557001321003963</v>
      </c>
      <c r="AC1016" s="75">
        <f>PARAM!$C$26+MAX($G$9-CHOOSE(PARAM!$B$44,MAX(0,AD1015*$F$1),0),0)*RATES!$L992/12+$H$9*(PARAM!$D$51/12)*RATES!$N992/100</f>
        <v>1190.0416666666667</v>
      </c>
      <c r="AD1016" s="16">
        <f t="shared" si="677"/>
        <v>-374938.20038441214</v>
      </c>
      <c r="AE1016" s="15">
        <f t="shared" si="652"/>
        <v>22.170849845882874</v>
      </c>
      <c r="AF1016" s="75">
        <f>AE1016*(1-PARAM!$C$27)*$I$10+(MOD($B1016,60)=PARAM!$B$56)*($B1016&gt;(60-PARAM!$B$56))*HLOOKUP(($B1016+PARAM!$B$56)/12,Loyalty,2)*$F$1*MAX(AH1015,0)</f>
        <v>18.557001321003963</v>
      </c>
      <c r="AG1016" s="75">
        <f>PARAM!$C$26+MAX($G$10-CHOOSE(PARAM!$B$44,MAX(0,AH1015*$F$1),0),0)*RATES!$L992/12+$H$10*(PARAM!$D$51/12)*RATES!$N992/100</f>
        <v>1190.0416666666667</v>
      </c>
      <c r="AH1016" s="16">
        <f t="shared" si="678"/>
        <v>-374938.20038441214</v>
      </c>
      <c r="AI1016" s="15">
        <f t="shared" si="653"/>
        <v>22.170849845882874</v>
      </c>
      <c r="AJ1016" s="75">
        <f>AI1016*(1-PARAM!$C$27)*$I$11+(MOD($B1016,60)=PARAM!$B$56)*($B1016&gt;(60-PARAM!$B$56))*HLOOKUP(($B1016+PARAM!$B$56)/12,Loyalty,2)*$F$1*MAX(AL1015,0)</f>
        <v>18.557001321003963</v>
      </c>
      <c r="AK1016" s="75">
        <f>PARAM!$C$26+MAX($G$11-CHOOSE(PARAM!$B$44,MAX(0,AL1015*$F$1),0),0)*RATES!$L992/12+$H$11*(PARAM!$D$51/12)*RATES!$N992/100</f>
        <v>1190.0416666666667</v>
      </c>
      <c r="AL1016" s="16">
        <f t="shared" si="679"/>
        <v>-374938.20038441214</v>
      </c>
      <c r="AM1016" s="15">
        <f t="shared" si="654"/>
        <v>22.170849845882874</v>
      </c>
      <c r="AN1016" s="75">
        <f>AM1016*(1-PARAM!$C$27)*$I$12+(MOD($B1016,60)=PARAM!$B$56)*($B1016&gt;(60-PARAM!$B$56))*HLOOKUP(($B1016+PARAM!$B$56)/12,Loyalty,2)*$F$1*MAX(AP1015,0)</f>
        <v>18.557001321003963</v>
      </c>
      <c r="AO1016" s="75">
        <f>PARAM!$C$26+MAX($G$12-CHOOSE(PARAM!$B$44,MAX(0,AP1015*$F$1),0),0)*RATES!$L992/12+$H$12*(PARAM!$D$51/12)*RATES!$N992/100</f>
        <v>1190.0416666666667</v>
      </c>
      <c r="AP1016" s="16">
        <f t="shared" si="680"/>
        <v>-374938.20038441214</v>
      </c>
      <c r="AQ1016" s="15">
        <f t="shared" si="655"/>
        <v>22.170849845882874</v>
      </c>
      <c r="AR1016" s="75">
        <f>AQ1016*(1-PARAM!$C$27)*$I$13+(MOD($B1016,60)=PARAM!$B$56)*($B1016&gt;(60-PARAM!$B$56))*HLOOKUP(($B1016+PARAM!$B$56)/12,Loyalty,2)*$F$1*MAX(AT1015,0)</f>
        <v>18.557001321003963</v>
      </c>
      <c r="AS1016" s="75">
        <f>PARAM!$C$26+MAX($G$13-CHOOSE(PARAM!$B$44,MAX(0,AT1015*$F$1),0),0)*RATES!$L992/12+$H$13*(PARAM!$D$51/12)*RATES!$N992/100</f>
        <v>1190.0416666666667</v>
      </c>
      <c r="AT1016" s="16">
        <f t="shared" si="681"/>
        <v>-374938.20038441214</v>
      </c>
      <c r="AU1016" s="15">
        <f t="shared" si="656"/>
        <v>22.170849845882874</v>
      </c>
      <c r="AV1016" s="75">
        <f>AU1016*(1-PARAM!$C$27)*$I$14+(MOD($B1016,60)=PARAM!$B$56)*($B1016&gt;(60-PARAM!$B$56))*HLOOKUP(($B1016+PARAM!$B$56)/12,Loyalty,2)*$F$1*MAX(AX1015,0)</f>
        <v>18.557001321003963</v>
      </c>
      <c r="AW1016" s="75">
        <f>PARAM!$C$26+MAX($G$14-CHOOSE(PARAM!$B$44,MAX(0,AX1015*$F$1),0),0)*RATES!$L992/12+$H$14*(PARAM!$D$51/12)*RATES!$N992/100</f>
        <v>1190.0416666666667</v>
      </c>
      <c r="AX1016" s="16">
        <f t="shared" si="682"/>
        <v>-374938.20038441214</v>
      </c>
      <c r="AY1016" s="15">
        <f t="shared" si="657"/>
        <v>22.170849845882874</v>
      </c>
      <c r="AZ1016" s="75">
        <f>AY1016*(1-PARAM!$C$27)*$I$15+(MOD($B1016,60)=PARAM!$B$56)*($B1016&gt;(60-PARAM!$B$56))*HLOOKUP(($B1016+PARAM!$B$56)/12,Loyalty,2)*$F$1*MAX(BB1015,0)</f>
        <v>18.557001321003963</v>
      </c>
      <c r="BA1016" s="75">
        <f>PARAM!$C$26+MAX($G$15-CHOOSE(PARAM!$B$44,MAX(0,BB1015*$F$1),0),0)*RATES!$L992/12+$H$15*(PARAM!$D$51/12)*RATES!$N992/100</f>
        <v>1190.0416666666667</v>
      </c>
      <c r="BB1016" s="16">
        <f t="shared" si="683"/>
        <v>-374938.20038441214</v>
      </c>
      <c r="BC1016" s="15">
        <f t="shared" si="658"/>
        <v>22.170849845882874</v>
      </c>
      <c r="BD1016" s="75">
        <f>BC1016*(1-PARAM!$C$27)*$I$16+(MOD($B1016,60)=PARAM!$B$56)*($B1016&gt;(60-PARAM!$B$56))*HLOOKUP(($B1016+PARAM!$B$56)/12,Loyalty,2)*$F$1*MAX(BF1015,0)</f>
        <v>18.557001321003963</v>
      </c>
      <c r="BE1016" s="75">
        <f>PARAM!$C$26+MAX($G$16-CHOOSE(PARAM!$B$44,MAX(0,BF1015*$F$1),0),0)*RATES!$L992/12+$H$16*(PARAM!$D$51/12)*RATES!$N992/100</f>
        <v>1190.0416666666667</v>
      </c>
      <c r="BF1016" s="16">
        <f t="shared" si="684"/>
        <v>-374938.20038441214</v>
      </c>
      <c r="BG1016" s="15">
        <f t="shared" si="659"/>
        <v>22.170849845882874</v>
      </c>
      <c r="BH1016" s="75">
        <f>BG1016*(1-PARAM!$C$27)*$I$17+(MOD($B1016,60)=PARAM!$B$56)*($B1016&gt;(60-PARAM!$B$56))*HLOOKUP(($B1016+PARAM!$B$56)/12,Loyalty,2)*$F$1*MAX(BJ1015,0)</f>
        <v>18.557001321003963</v>
      </c>
      <c r="BI1016" s="75">
        <f>PARAM!$C$26+MAX($G$17-CHOOSE(PARAM!$B$44,MAX(0,BJ1015*$F$1),0),0)*RATES!$L992/12+$H$17*(PARAM!$D$51/12)*RATES!$N992/100</f>
        <v>1190.0416666666667</v>
      </c>
      <c r="BJ1016" s="16">
        <f t="shared" si="685"/>
        <v>-374938.20038441214</v>
      </c>
      <c r="BK1016" s="15">
        <f t="shared" si="660"/>
        <v>22.170849845882874</v>
      </c>
      <c r="BL1016" s="75">
        <f>BK1016*(1-PARAM!$C$27)*$I$18+(MOD($B1016,60)=PARAM!$B$56)*($B1016&gt;(60-PARAM!$B$56))*HLOOKUP(($B1016+PARAM!$B$56)/12,Loyalty,2)*$F$1*MAX(BN1015,0)</f>
        <v>18.557001321003963</v>
      </c>
      <c r="BM1016" s="75">
        <f>PARAM!$C$26+MAX($G$18-CHOOSE(PARAM!$B$44,MAX(0,BN1015*$F$1),0),0)*RATES!$L992/12+$H$18*(PARAM!$D$51/12)*RATES!$N992/100</f>
        <v>1190.0416666666667</v>
      </c>
      <c r="BN1016" s="16">
        <f t="shared" si="686"/>
        <v>-374938.20038441214</v>
      </c>
      <c r="BO1016" s="15">
        <f t="shared" si="661"/>
        <v>22.170849845882874</v>
      </c>
      <c r="BP1016" s="75">
        <f>BO1016*(1-PARAM!$C$27)*$I$19+(MOD($B1016,60)=PARAM!$B$56)*($B1016&gt;(60-PARAM!$B$56))*HLOOKUP(($B1016+PARAM!$B$56)/12,Loyalty,2)*$F$1*MAX(BR1015,0)</f>
        <v>18.557001321003963</v>
      </c>
      <c r="BQ1016" s="75">
        <f>PARAM!$C$26+MAX($G$19-CHOOSE(PARAM!$B$44,MAX(0,BR1015*$F$1),0),0)*RATES!$L992/12+$H$19*(PARAM!$D$51/12)*RATES!$N992/100</f>
        <v>1190.0416666666667</v>
      </c>
      <c r="BR1016" s="16">
        <f t="shared" si="687"/>
        <v>-374938.20038441214</v>
      </c>
      <c r="BS1016" s="15">
        <f t="shared" si="662"/>
        <v>22.170849845882874</v>
      </c>
      <c r="BT1016" s="75">
        <f>BS1016*(1-PARAM!$C$27)*$I$20+(MOD($B1016,60)=PARAM!$B$56)*($B1016&gt;(60-PARAM!$B$56))*HLOOKUP(($B1016+PARAM!$B$56)/12,Loyalty,2)*$F$1*MAX(BV1015,0)</f>
        <v>18.557001321003963</v>
      </c>
      <c r="BU1016" s="75">
        <f>PARAM!$C$26+MAX($G$20-CHOOSE(PARAM!$B$44,MAX(0,BV1015*$F$1),0),0)*RATES!$L992/12+$H$20*(PARAM!$D$51/12)*RATES!$N992/100</f>
        <v>1190.0416666666667</v>
      </c>
      <c r="BV1016" s="16">
        <f t="shared" si="688"/>
        <v>-374938.20038441214</v>
      </c>
      <c r="BW1016" s="15">
        <f t="shared" si="663"/>
        <v>22.170849845882874</v>
      </c>
      <c r="BX1016" s="75">
        <f>BW1016*(1-PARAM!$C$27)*$I$21+(MOD($B1016,60)=PARAM!$B$56)*($B1016&gt;(60-PARAM!$B$56))*HLOOKUP(($B1016+PARAM!$B$56)/12,Loyalty,2)*$F$1*MAX(BZ1015,0)</f>
        <v>18.557001321003963</v>
      </c>
      <c r="BY1016" s="75">
        <f>PARAM!$C$26+MAX($G$21-CHOOSE(PARAM!$B$44,MAX(0,BZ1015*$F$1),0),0)*RATES!$L992/12+$H$21*(PARAM!$D$51/12)*RATES!$N992/100</f>
        <v>1190.0416666666667</v>
      </c>
      <c r="BZ1016" s="16">
        <f t="shared" si="689"/>
        <v>-374938.20038441214</v>
      </c>
      <c r="CA1016" s="15">
        <f t="shared" si="664"/>
        <v>22.170849845882874</v>
      </c>
      <c r="CB1016" s="75">
        <f>CA1016*(1-PARAM!$C$27)*$I$22+(MOD($B1016,60)=PARAM!$B$56)*($B1016&gt;(60-PARAM!$B$56))*HLOOKUP(($B1016+PARAM!$B$56)/12,Loyalty,2)*$F$1*MAX(CD1015,0)</f>
        <v>18.557001321003963</v>
      </c>
      <c r="CC1016" s="75">
        <f>PARAM!$C$26+MAX($G$22-CHOOSE(PARAM!$B$44,MAX(0,CD1015*$F$1),0),0)*RATES!$L992/12+$H$22*(PARAM!$D$51/12)*RATES!$N992/100</f>
        <v>1190.0416666666667</v>
      </c>
      <c r="CD1016" s="16">
        <f t="shared" si="690"/>
        <v>-374938.20038441214</v>
      </c>
      <c r="CE1016" s="33">
        <f>IF(0=MOD(B1016,12/PARAM!$D$51),1,0)</f>
        <v>1</v>
      </c>
      <c r="CF1016" s="15">
        <f t="shared" si="665"/>
        <v>0</v>
      </c>
      <c r="CG1016" s="75">
        <f>CF1016*(1-PARAM!$C$27)*$R$3+(MOD($B1016/12,5)=0)*($B1016&gt;60)*HLOOKUP($B1016/12,Loyalty,2)*$F$1*MAX(CI1015,0)</f>
        <v>0</v>
      </c>
      <c r="CH1016" s="75">
        <f>PARAM!$C$26+MAX($P$3-CHOOSE(PARAM!$B$44,MAX(0,CI1015*$F$1),0),0)*RATES!$L992/12+$Q$3*(PARAM!$D$51/12)*RATES!$N992/100</f>
        <v>1190.0416666666667</v>
      </c>
      <c r="CI1016" s="16">
        <f>IF(CI1015&gt;0,CI1015*PARAM!$C$53,CI1015)+CG1016-CH1016</f>
        <v>-393171.50000000175</v>
      </c>
      <c r="CJ1016" s="15">
        <f t="shared" si="691"/>
        <v>0</v>
      </c>
      <c r="CK1016" s="75">
        <f>CJ1016*(1-PARAM!$C$27)*$R$4+(MOD($B1016/12,5)=0)*($B1016&gt;60)*HLOOKUP($B1016/12,Loyalty,2)*$F$1*MAX(CM1015,0)</f>
        <v>0</v>
      </c>
      <c r="CL1016" s="75">
        <f>PARAM!$C$26+MAX($P$4-CHOOSE(PARAM!$B$44,MAX(0,CM1015*$F$1),0),0)*RATES!$L992/12+$Q$4*(PARAM!$D$51/12)*RATES!$N992/100</f>
        <v>1190.0416666666667</v>
      </c>
      <c r="CM1016" s="16">
        <f>IF(CM1015&gt;0,CM1015*PARAM!$C$53,CM1015)+CK1016-CL1016</f>
        <v>-393171.50000000175</v>
      </c>
      <c r="CO1016" s="176"/>
    </row>
    <row r="1017" spans="1:93" x14ac:dyDescent="0.2">
      <c r="A1017" t="b">
        <f t="shared" si="666"/>
        <v>0</v>
      </c>
      <c r="B1017" s="33">
        <v>990</v>
      </c>
      <c r="C1017" s="15">
        <f t="shared" si="667"/>
        <v>20.081305947392778</v>
      </c>
      <c r="D1017" s="75">
        <f>C1017*(1-PARAM!$C$27)*$I$3+(MOD($B1017,60)=PARAM!$B$56)*($B1017&gt;(60-PARAM!$B$56))*HLOOKUP(($B1017+PARAM!$B$56)/12,Loyalty,2)*$F$1*MAX(F1016,0)</f>
        <v>16.808053077967756</v>
      </c>
      <c r="E1017" s="75">
        <f>PARAM!$C$26+MAX($G$3-CHOOSE(PARAM!$B$44,MAX(0,F1016*$F$1),0),0)*RATES!$L993/12+$H$3*(PARAM!$D$51/12)*RATES!$N993/100</f>
        <v>1190.0416666666667</v>
      </c>
      <c r="F1017" s="16">
        <f t="shared" si="668"/>
        <v>-377877.99431088602</v>
      </c>
      <c r="G1017" s="15">
        <f t="shared" si="669"/>
        <v>22.035289406060361</v>
      </c>
      <c r="H1017" s="75">
        <f>G1017*(1-PARAM!$C$27)*$I$4+(MOD($B1017,60)=PARAM!$B$56)*($B1017&gt;(60-PARAM!$B$56))*HLOOKUP(($B1017+PARAM!$B$56)/12,Loyalty,2)*$F$1*MAX(J1016,0)</f>
        <v>18.443537232872522</v>
      </c>
      <c r="I1017" s="75">
        <f>PARAM!$C$26+MAX($G$4-CHOOSE(PARAM!$B$44,MAX(0,J1016*$F$1),0),0)*RATES!$L993/12+$H$4*(PARAM!$D$51/12)*RATES!$N993/100</f>
        <v>1190.0416666666667</v>
      </c>
      <c r="J1017" s="16">
        <f t="shared" si="670"/>
        <v>-376225.03203340567</v>
      </c>
      <c r="K1017" s="15">
        <f t="shared" si="671"/>
        <v>22.170849845882874</v>
      </c>
      <c r="L1017" s="75">
        <f>K1017*(1-PARAM!$C$27)*$I$5+(MOD($B1017,60)=PARAM!$B$56)*($B1017&gt;(60-PARAM!$B$56))*HLOOKUP(($B1017+PARAM!$B$56)/12,Loyalty,2)*$F$1*MAX(N1016,0)</f>
        <v>18.557001321003963</v>
      </c>
      <c r="M1017" s="75">
        <f>PARAM!$C$26+MAX($G$5-CHOOSE(PARAM!$B$44,MAX(0,N1016*$F$1),0),0)*RATES!$L993/12+$H$5*(PARAM!$D$51/12)*RATES!$N993/100</f>
        <v>1190.0416666666667</v>
      </c>
      <c r="N1017" s="16">
        <f t="shared" si="672"/>
        <v>-376109.68504975783</v>
      </c>
      <c r="O1017" s="15">
        <f t="shared" si="673"/>
        <v>22.170849845882874</v>
      </c>
      <c r="P1017" s="75">
        <f>O1017*(1-PARAM!$C$27)*$I$6+(MOD($B1017,60)=PARAM!$B$56)*($B1017&gt;(60-PARAM!$B$56))*HLOOKUP(($B1017+PARAM!$B$56)/12,Loyalty,2)*$F$1*MAX(R1016,0)</f>
        <v>18.557001321003963</v>
      </c>
      <c r="Q1017" s="75">
        <f>PARAM!$C$26+MAX($G$6-CHOOSE(PARAM!$B$44,MAX(0,R1016*$F$1),0),0)*RATES!$L993/12+$H$6*(PARAM!$D$51/12)*RATES!$N993/100</f>
        <v>1190.0416666666667</v>
      </c>
      <c r="R1017" s="16">
        <f t="shared" si="674"/>
        <v>-376109.68504975783</v>
      </c>
      <c r="S1017" s="15">
        <f t="shared" si="649"/>
        <v>22.170849845882874</v>
      </c>
      <c r="T1017" s="75">
        <f>S1017*(1-PARAM!$C$27)*$I$7+(MOD($B1017,60)=PARAM!$B$56)*($B1017&gt;(60-PARAM!$B$56))*HLOOKUP(($B1017+PARAM!$B$56)/12,Loyalty,2)*$F$1*MAX(V1016,0)</f>
        <v>18.557001321003963</v>
      </c>
      <c r="U1017" s="75">
        <f>PARAM!$C$26+MAX($G$7-CHOOSE(PARAM!$B$44,MAX(0,V1016*$F$1),0),0)*RATES!$L993/12+$H$7*(PARAM!$D$51/12)*RATES!$N993/100</f>
        <v>1190.0416666666667</v>
      </c>
      <c r="V1017" s="16">
        <f t="shared" si="675"/>
        <v>-376109.68504975783</v>
      </c>
      <c r="W1017" s="15">
        <f t="shared" si="650"/>
        <v>22.170849845882874</v>
      </c>
      <c r="X1017" s="75">
        <f>W1017*(1-PARAM!$C$27)*$I$8+(MOD($B1017,60)=PARAM!$B$56)*($B1017&gt;(60-PARAM!$B$56))*HLOOKUP(($B1017+PARAM!$B$56)/12,Loyalty,2)*$F$1*MAX(Z1016,0)</f>
        <v>18.557001321003963</v>
      </c>
      <c r="Y1017" s="75">
        <f>PARAM!$C$26+MAX($G$8-CHOOSE(PARAM!$B$44,MAX(0,Z1016*$F$1),0),0)*RATES!$L993/12+$H$8*(PARAM!$D$51/12)*RATES!$N993/100</f>
        <v>1190.0416666666667</v>
      </c>
      <c r="Z1017" s="16">
        <f t="shared" si="676"/>
        <v>-376109.68504975783</v>
      </c>
      <c r="AA1017" s="15">
        <f t="shared" si="651"/>
        <v>22.170849845882874</v>
      </c>
      <c r="AB1017" s="75">
        <f>AA1017*(1-PARAM!$C$27)*$I$9+(MOD($B1017,60)=PARAM!$B$56)*($B1017&gt;(60-PARAM!$B$56))*HLOOKUP(($B1017+PARAM!$B$56)/12,Loyalty,2)*$F$1*MAX(AD1016,0)</f>
        <v>18.557001321003963</v>
      </c>
      <c r="AC1017" s="75">
        <f>PARAM!$C$26+MAX($G$9-CHOOSE(PARAM!$B$44,MAX(0,AD1016*$F$1),0),0)*RATES!$L993/12+$H$9*(PARAM!$D$51/12)*RATES!$N993/100</f>
        <v>1190.0416666666667</v>
      </c>
      <c r="AD1017" s="16">
        <f t="shared" si="677"/>
        <v>-376109.68504975783</v>
      </c>
      <c r="AE1017" s="15">
        <f t="shared" si="652"/>
        <v>22.170849845882874</v>
      </c>
      <c r="AF1017" s="75">
        <f>AE1017*(1-PARAM!$C$27)*$I$10+(MOD($B1017,60)=PARAM!$B$56)*($B1017&gt;(60-PARAM!$B$56))*HLOOKUP(($B1017+PARAM!$B$56)/12,Loyalty,2)*$F$1*MAX(AH1016,0)</f>
        <v>18.557001321003963</v>
      </c>
      <c r="AG1017" s="75">
        <f>PARAM!$C$26+MAX($G$10-CHOOSE(PARAM!$B$44,MAX(0,AH1016*$F$1),0),0)*RATES!$L993/12+$H$10*(PARAM!$D$51/12)*RATES!$N993/100</f>
        <v>1190.0416666666667</v>
      </c>
      <c r="AH1017" s="16">
        <f t="shared" si="678"/>
        <v>-376109.68504975783</v>
      </c>
      <c r="AI1017" s="15">
        <f t="shared" si="653"/>
        <v>22.170849845882874</v>
      </c>
      <c r="AJ1017" s="75">
        <f>AI1017*(1-PARAM!$C$27)*$I$11+(MOD($B1017,60)=PARAM!$B$56)*($B1017&gt;(60-PARAM!$B$56))*HLOOKUP(($B1017+PARAM!$B$56)/12,Loyalty,2)*$F$1*MAX(AL1016,0)</f>
        <v>18.557001321003963</v>
      </c>
      <c r="AK1017" s="75">
        <f>PARAM!$C$26+MAX($G$11-CHOOSE(PARAM!$B$44,MAX(0,AL1016*$F$1),0),0)*RATES!$L993/12+$H$11*(PARAM!$D$51/12)*RATES!$N993/100</f>
        <v>1190.0416666666667</v>
      </c>
      <c r="AL1017" s="16">
        <f t="shared" si="679"/>
        <v>-376109.68504975783</v>
      </c>
      <c r="AM1017" s="15">
        <f t="shared" si="654"/>
        <v>22.170849845882874</v>
      </c>
      <c r="AN1017" s="75">
        <f>AM1017*(1-PARAM!$C$27)*$I$12+(MOD($B1017,60)=PARAM!$B$56)*($B1017&gt;(60-PARAM!$B$56))*HLOOKUP(($B1017+PARAM!$B$56)/12,Loyalty,2)*$F$1*MAX(AP1016,0)</f>
        <v>18.557001321003963</v>
      </c>
      <c r="AO1017" s="75">
        <f>PARAM!$C$26+MAX($G$12-CHOOSE(PARAM!$B$44,MAX(0,AP1016*$F$1),0),0)*RATES!$L993/12+$H$12*(PARAM!$D$51/12)*RATES!$N993/100</f>
        <v>1190.0416666666667</v>
      </c>
      <c r="AP1017" s="16">
        <f t="shared" si="680"/>
        <v>-376109.68504975783</v>
      </c>
      <c r="AQ1017" s="15">
        <f t="shared" si="655"/>
        <v>22.170849845882874</v>
      </c>
      <c r="AR1017" s="75">
        <f>AQ1017*(1-PARAM!$C$27)*$I$13+(MOD($B1017,60)=PARAM!$B$56)*($B1017&gt;(60-PARAM!$B$56))*HLOOKUP(($B1017+PARAM!$B$56)/12,Loyalty,2)*$F$1*MAX(AT1016,0)</f>
        <v>18.557001321003963</v>
      </c>
      <c r="AS1017" s="75">
        <f>PARAM!$C$26+MAX($G$13-CHOOSE(PARAM!$B$44,MAX(0,AT1016*$F$1),0),0)*RATES!$L993/12+$H$13*(PARAM!$D$51/12)*RATES!$N993/100</f>
        <v>1190.0416666666667</v>
      </c>
      <c r="AT1017" s="16">
        <f t="shared" si="681"/>
        <v>-376109.68504975783</v>
      </c>
      <c r="AU1017" s="15">
        <f t="shared" si="656"/>
        <v>22.170849845882874</v>
      </c>
      <c r="AV1017" s="75">
        <f>AU1017*(1-PARAM!$C$27)*$I$14+(MOD($B1017,60)=PARAM!$B$56)*($B1017&gt;(60-PARAM!$B$56))*HLOOKUP(($B1017+PARAM!$B$56)/12,Loyalty,2)*$F$1*MAX(AX1016,0)</f>
        <v>18.557001321003963</v>
      </c>
      <c r="AW1017" s="75">
        <f>PARAM!$C$26+MAX($G$14-CHOOSE(PARAM!$B$44,MAX(0,AX1016*$F$1),0),0)*RATES!$L993/12+$H$14*(PARAM!$D$51/12)*RATES!$N993/100</f>
        <v>1190.0416666666667</v>
      </c>
      <c r="AX1017" s="16">
        <f t="shared" si="682"/>
        <v>-376109.68504975783</v>
      </c>
      <c r="AY1017" s="15">
        <f t="shared" si="657"/>
        <v>22.170849845882874</v>
      </c>
      <c r="AZ1017" s="75">
        <f>AY1017*(1-PARAM!$C$27)*$I$15+(MOD($B1017,60)=PARAM!$B$56)*($B1017&gt;(60-PARAM!$B$56))*HLOOKUP(($B1017+PARAM!$B$56)/12,Loyalty,2)*$F$1*MAX(BB1016,0)</f>
        <v>18.557001321003963</v>
      </c>
      <c r="BA1017" s="75">
        <f>PARAM!$C$26+MAX($G$15-CHOOSE(PARAM!$B$44,MAX(0,BB1016*$F$1),0),0)*RATES!$L993/12+$H$15*(PARAM!$D$51/12)*RATES!$N993/100</f>
        <v>1190.0416666666667</v>
      </c>
      <c r="BB1017" s="16">
        <f t="shared" si="683"/>
        <v>-376109.68504975783</v>
      </c>
      <c r="BC1017" s="15">
        <f t="shared" si="658"/>
        <v>22.170849845882874</v>
      </c>
      <c r="BD1017" s="75">
        <f>BC1017*(1-PARAM!$C$27)*$I$16+(MOD($B1017,60)=PARAM!$B$56)*($B1017&gt;(60-PARAM!$B$56))*HLOOKUP(($B1017+PARAM!$B$56)/12,Loyalty,2)*$F$1*MAX(BF1016,0)</f>
        <v>18.557001321003963</v>
      </c>
      <c r="BE1017" s="75">
        <f>PARAM!$C$26+MAX($G$16-CHOOSE(PARAM!$B$44,MAX(0,BF1016*$F$1),0),0)*RATES!$L993/12+$H$16*(PARAM!$D$51/12)*RATES!$N993/100</f>
        <v>1190.0416666666667</v>
      </c>
      <c r="BF1017" s="16">
        <f t="shared" si="684"/>
        <v>-376109.68504975783</v>
      </c>
      <c r="BG1017" s="15">
        <f t="shared" si="659"/>
        <v>22.170849845882874</v>
      </c>
      <c r="BH1017" s="75">
        <f>BG1017*(1-PARAM!$C$27)*$I$17+(MOD($B1017,60)=PARAM!$B$56)*($B1017&gt;(60-PARAM!$B$56))*HLOOKUP(($B1017+PARAM!$B$56)/12,Loyalty,2)*$F$1*MAX(BJ1016,0)</f>
        <v>18.557001321003963</v>
      </c>
      <c r="BI1017" s="75">
        <f>PARAM!$C$26+MAX($G$17-CHOOSE(PARAM!$B$44,MAX(0,BJ1016*$F$1),0),0)*RATES!$L993/12+$H$17*(PARAM!$D$51/12)*RATES!$N993/100</f>
        <v>1190.0416666666667</v>
      </c>
      <c r="BJ1017" s="16">
        <f t="shared" si="685"/>
        <v>-376109.68504975783</v>
      </c>
      <c r="BK1017" s="15">
        <f t="shared" si="660"/>
        <v>22.170849845882874</v>
      </c>
      <c r="BL1017" s="75">
        <f>BK1017*(1-PARAM!$C$27)*$I$18+(MOD($B1017,60)=PARAM!$B$56)*($B1017&gt;(60-PARAM!$B$56))*HLOOKUP(($B1017+PARAM!$B$56)/12,Loyalty,2)*$F$1*MAX(BN1016,0)</f>
        <v>18.557001321003963</v>
      </c>
      <c r="BM1017" s="75">
        <f>PARAM!$C$26+MAX($G$18-CHOOSE(PARAM!$B$44,MAX(0,BN1016*$F$1),0),0)*RATES!$L993/12+$H$18*(PARAM!$D$51/12)*RATES!$N993/100</f>
        <v>1190.0416666666667</v>
      </c>
      <c r="BN1017" s="16">
        <f t="shared" si="686"/>
        <v>-376109.68504975783</v>
      </c>
      <c r="BO1017" s="15">
        <f t="shared" si="661"/>
        <v>22.170849845882874</v>
      </c>
      <c r="BP1017" s="75">
        <f>BO1017*(1-PARAM!$C$27)*$I$19+(MOD($B1017,60)=PARAM!$B$56)*($B1017&gt;(60-PARAM!$B$56))*HLOOKUP(($B1017+PARAM!$B$56)/12,Loyalty,2)*$F$1*MAX(BR1016,0)</f>
        <v>18.557001321003963</v>
      </c>
      <c r="BQ1017" s="75">
        <f>PARAM!$C$26+MAX($G$19-CHOOSE(PARAM!$B$44,MAX(0,BR1016*$F$1),0),0)*RATES!$L993/12+$H$19*(PARAM!$D$51/12)*RATES!$N993/100</f>
        <v>1190.0416666666667</v>
      </c>
      <c r="BR1017" s="16">
        <f t="shared" si="687"/>
        <v>-376109.68504975783</v>
      </c>
      <c r="BS1017" s="15">
        <f t="shared" si="662"/>
        <v>22.170849845882874</v>
      </c>
      <c r="BT1017" s="75">
        <f>BS1017*(1-PARAM!$C$27)*$I$20+(MOD($B1017,60)=PARAM!$B$56)*($B1017&gt;(60-PARAM!$B$56))*HLOOKUP(($B1017+PARAM!$B$56)/12,Loyalty,2)*$F$1*MAX(BV1016,0)</f>
        <v>18.557001321003963</v>
      </c>
      <c r="BU1017" s="75">
        <f>PARAM!$C$26+MAX($G$20-CHOOSE(PARAM!$B$44,MAX(0,BV1016*$F$1),0),0)*RATES!$L993/12+$H$20*(PARAM!$D$51/12)*RATES!$N993/100</f>
        <v>1190.0416666666667</v>
      </c>
      <c r="BV1017" s="16">
        <f t="shared" si="688"/>
        <v>-376109.68504975783</v>
      </c>
      <c r="BW1017" s="15">
        <f t="shared" si="663"/>
        <v>22.170849845882874</v>
      </c>
      <c r="BX1017" s="75">
        <f>BW1017*(1-PARAM!$C$27)*$I$21+(MOD($B1017,60)=PARAM!$B$56)*($B1017&gt;(60-PARAM!$B$56))*HLOOKUP(($B1017+PARAM!$B$56)/12,Loyalty,2)*$F$1*MAX(BZ1016,0)</f>
        <v>18.557001321003963</v>
      </c>
      <c r="BY1017" s="75">
        <f>PARAM!$C$26+MAX($G$21-CHOOSE(PARAM!$B$44,MAX(0,BZ1016*$F$1),0),0)*RATES!$L993/12+$H$21*(PARAM!$D$51/12)*RATES!$N993/100</f>
        <v>1190.0416666666667</v>
      </c>
      <c r="BZ1017" s="16">
        <f t="shared" si="689"/>
        <v>-376109.68504975783</v>
      </c>
      <c r="CA1017" s="15">
        <f t="shared" si="664"/>
        <v>22.170849845882874</v>
      </c>
      <c r="CB1017" s="75">
        <f>CA1017*(1-PARAM!$C$27)*$I$22+(MOD($B1017,60)=PARAM!$B$56)*($B1017&gt;(60-PARAM!$B$56))*HLOOKUP(($B1017+PARAM!$B$56)/12,Loyalty,2)*$F$1*MAX(CD1016,0)</f>
        <v>18.557001321003963</v>
      </c>
      <c r="CC1017" s="75">
        <f>PARAM!$C$26+MAX($G$22-CHOOSE(PARAM!$B$44,MAX(0,CD1016*$F$1),0),0)*RATES!$L993/12+$H$22*(PARAM!$D$51/12)*RATES!$N993/100</f>
        <v>1190.0416666666667</v>
      </c>
      <c r="CD1017" s="16">
        <f t="shared" si="690"/>
        <v>-376109.68504975783</v>
      </c>
      <c r="CE1017" s="33">
        <f>IF(0=MOD(B1017,12/PARAM!$D$51),1,0)</f>
        <v>1</v>
      </c>
      <c r="CF1017" s="15">
        <f t="shared" si="665"/>
        <v>0</v>
      </c>
      <c r="CG1017" s="75">
        <f>CF1017*(1-PARAM!$C$27)*$R$3+(MOD($B1017/12,5)=0)*($B1017&gt;60)*HLOOKUP($B1017/12,Loyalty,2)*$F$1*MAX(CI1016,0)</f>
        <v>0</v>
      </c>
      <c r="CH1017" s="75">
        <f>PARAM!$C$26+MAX($P$3-CHOOSE(PARAM!$B$44,MAX(0,CI1016*$F$1),0),0)*RATES!$L993/12+$Q$3*(PARAM!$D$51/12)*RATES!$N993/100</f>
        <v>1190.0416666666667</v>
      </c>
      <c r="CI1017" s="16">
        <f>IF(CI1016&gt;0,CI1016*PARAM!$C$53,CI1016)+CG1017-CH1017</f>
        <v>-394361.54166666843</v>
      </c>
      <c r="CJ1017" s="15">
        <f t="shared" si="691"/>
        <v>0</v>
      </c>
      <c r="CK1017" s="75">
        <f>CJ1017*(1-PARAM!$C$27)*$R$4+(MOD($B1017/12,5)=0)*($B1017&gt;60)*HLOOKUP($B1017/12,Loyalty,2)*$F$1*MAX(CM1016,0)</f>
        <v>0</v>
      </c>
      <c r="CL1017" s="75">
        <f>PARAM!$C$26+MAX($P$4-CHOOSE(PARAM!$B$44,MAX(0,CM1016*$F$1),0),0)*RATES!$L993/12+$Q$4*(PARAM!$D$51/12)*RATES!$N993/100</f>
        <v>1190.0416666666667</v>
      </c>
      <c r="CM1017" s="16">
        <f>IF(CM1016&gt;0,CM1016*PARAM!$C$53,CM1016)+CK1017-CL1017</f>
        <v>-394361.54166666843</v>
      </c>
      <c r="CO1017" s="176"/>
    </row>
    <row r="1018" spans="1:93" x14ac:dyDescent="0.2">
      <c r="A1018" t="b">
        <f t="shared" si="666"/>
        <v>0</v>
      </c>
      <c r="B1018" s="33">
        <v>991</v>
      </c>
      <c r="C1018" s="15">
        <f t="shared" si="667"/>
        <v>20.081305947392778</v>
      </c>
      <c r="D1018" s="75">
        <f>C1018*(1-PARAM!$C$27)*$I$3+(MOD($B1018,60)=PARAM!$B$56)*($B1018&gt;(60-PARAM!$B$56))*HLOOKUP(($B1018+PARAM!$B$56)/12,Loyalty,2)*$F$1*MAX(F1017,0)</f>
        <v>16.808053077967756</v>
      </c>
      <c r="E1018" s="75">
        <f>PARAM!$C$26+MAX($G$3-CHOOSE(PARAM!$B$44,MAX(0,F1017*$F$1),0),0)*RATES!$L994/12+$H$3*(PARAM!$D$51/12)*RATES!$N994/100</f>
        <v>1190.0416666666667</v>
      </c>
      <c r="F1018" s="16">
        <f t="shared" si="668"/>
        <v>-379051.22792447475</v>
      </c>
      <c r="G1018" s="15">
        <f t="shared" si="669"/>
        <v>22.035289406060361</v>
      </c>
      <c r="H1018" s="75">
        <f>G1018*(1-PARAM!$C$27)*$I$4+(MOD($B1018,60)=PARAM!$B$56)*($B1018&gt;(60-PARAM!$B$56))*HLOOKUP(($B1018+PARAM!$B$56)/12,Loyalty,2)*$F$1*MAX(J1017,0)</f>
        <v>18.443537232872522</v>
      </c>
      <c r="I1018" s="75">
        <f>PARAM!$C$26+MAX($G$4-CHOOSE(PARAM!$B$44,MAX(0,J1017*$F$1),0),0)*RATES!$L994/12+$H$4*(PARAM!$D$51/12)*RATES!$N994/100</f>
        <v>1190.0416666666667</v>
      </c>
      <c r="J1018" s="16">
        <f t="shared" si="670"/>
        <v>-377396.63016283949</v>
      </c>
      <c r="K1018" s="15">
        <f t="shared" si="671"/>
        <v>22.170849845882874</v>
      </c>
      <c r="L1018" s="75">
        <f>K1018*(1-PARAM!$C$27)*$I$5+(MOD($B1018,60)=PARAM!$B$56)*($B1018&gt;(60-PARAM!$B$56))*HLOOKUP(($B1018+PARAM!$B$56)/12,Loyalty,2)*$F$1*MAX(N1017,0)</f>
        <v>18.557001321003963</v>
      </c>
      <c r="M1018" s="75">
        <f>PARAM!$C$26+MAX($G$5-CHOOSE(PARAM!$B$44,MAX(0,N1017*$F$1),0),0)*RATES!$L994/12+$H$5*(PARAM!$D$51/12)*RATES!$N994/100</f>
        <v>1190.0416666666667</v>
      </c>
      <c r="N1018" s="16">
        <f t="shared" si="672"/>
        <v>-377281.16971510352</v>
      </c>
      <c r="O1018" s="15">
        <f t="shared" si="673"/>
        <v>22.170849845882874</v>
      </c>
      <c r="P1018" s="75">
        <f>O1018*(1-PARAM!$C$27)*$I$6+(MOD($B1018,60)=PARAM!$B$56)*($B1018&gt;(60-PARAM!$B$56))*HLOOKUP(($B1018+PARAM!$B$56)/12,Loyalty,2)*$F$1*MAX(R1017,0)</f>
        <v>18.557001321003963</v>
      </c>
      <c r="Q1018" s="75">
        <f>PARAM!$C$26+MAX($G$6-CHOOSE(PARAM!$B$44,MAX(0,R1017*$F$1),0),0)*RATES!$L994/12+$H$6*(PARAM!$D$51/12)*RATES!$N994/100</f>
        <v>1190.0416666666667</v>
      </c>
      <c r="R1018" s="16">
        <f t="shared" si="674"/>
        <v>-377281.16971510352</v>
      </c>
      <c r="S1018" s="15">
        <f t="shared" si="649"/>
        <v>22.170849845882874</v>
      </c>
      <c r="T1018" s="75">
        <f>S1018*(1-PARAM!$C$27)*$I$7+(MOD($B1018,60)=PARAM!$B$56)*($B1018&gt;(60-PARAM!$B$56))*HLOOKUP(($B1018+PARAM!$B$56)/12,Loyalty,2)*$F$1*MAX(V1017,0)</f>
        <v>18.557001321003963</v>
      </c>
      <c r="U1018" s="75">
        <f>PARAM!$C$26+MAX($G$7-CHOOSE(PARAM!$B$44,MAX(0,V1017*$F$1),0),0)*RATES!$L994/12+$H$7*(PARAM!$D$51/12)*RATES!$N994/100</f>
        <v>1190.0416666666667</v>
      </c>
      <c r="V1018" s="16">
        <f t="shared" si="675"/>
        <v>-377281.16971510352</v>
      </c>
      <c r="W1018" s="15">
        <f t="shared" si="650"/>
        <v>22.170849845882874</v>
      </c>
      <c r="X1018" s="75">
        <f>W1018*(1-PARAM!$C$27)*$I$8+(MOD($B1018,60)=PARAM!$B$56)*($B1018&gt;(60-PARAM!$B$56))*HLOOKUP(($B1018+PARAM!$B$56)/12,Loyalty,2)*$F$1*MAX(Z1017,0)</f>
        <v>18.557001321003963</v>
      </c>
      <c r="Y1018" s="75">
        <f>PARAM!$C$26+MAX($G$8-CHOOSE(PARAM!$B$44,MAX(0,Z1017*$F$1),0),0)*RATES!$L994/12+$H$8*(PARAM!$D$51/12)*RATES!$N994/100</f>
        <v>1190.0416666666667</v>
      </c>
      <c r="Z1018" s="16">
        <f t="shared" si="676"/>
        <v>-377281.16971510352</v>
      </c>
      <c r="AA1018" s="15">
        <f t="shared" si="651"/>
        <v>22.170849845882874</v>
      </c>
      <c r="AB1018" s="75">
        <f>AA1018*(1-PARAM!$C$27)*$I$9+(MOD($B1018,60)=PARAM!$B$56)*($B1018&gt;(60-PARAM!$B$56))*HLOOKUP(($B1018+PARAM!$B$56)/12,Loyalty,2)*$F$1*MAX(AD1017,0)</f>
        <v>18.557001321003963</v>
      </c>
      <c r="AC1018" s="75">
        <f>PARAM!$C$26+MAX($G$9-CHOOSE(PARAM!$B$44,MAX(0,AD1017*$F$1),0),0)*RATES!$L994/12+$H$9*(PARAM!$D$51/12)*RATES!$N994/100</f>
        <v>1190.0416666666667</v>
      </c>
      <c r="AD1018" s="16">
        <f t="shared" si="677"/>
        <v>-377281.16971510352</v>
      </c>
      <c r="AE1018" s="15">
        <f t="shared" si="652"/>
        <v>22.170849845882874</v>
      </c>
      <c r="AF1018" s="75">
        <f>AE1018*(1-PARAM!$C$27)*$I$10+(MOD($B1018,60)=PARAM!$B$56)*($B1018&gt;(60-PARAM!$B$56))*HLOOKUP(($B1018+PARAM!$B$56)/12,Loyalty,2)*$F$1*MAX(AH1017,0)</f>
        <v>18.557001321003963</v>
      </c>
      <c r="AG1018" s="75">
        <f>PARAM!$C$26+MAX($G$10-CHOOSE(PARAM!$B$44,MAX(0,AH1017*$F$1),0),0)*RATES!$L994/12+$H$10*(PARAM!$D$51/12)*RATES!$N994/100</f>
        <v>1190.0416666666667</v>
      </c>
      <c r="AH1018" s="16">
        <f t="shared" si="678"/>
        <v>-377281.16971510352</v>
      </c>
      <c r="AI1018" s="15">
        <f t="shared" si="653"/>
        <v>22.170849845882874</v>
      </c>
      <c r="AJ1018" s="75">
        <f>AI1018*(1-PARAM!$C$27)*$I$11+(MOD($B1018,60)=PARAM!$B$56)*($B1018&gt;(60-PARAM!$B$56))*HLOOKUP(($B1018+PARAM!$B$56)/12,Loyalty,2)*$F$1*MAX(AL1017,0)</f>
        <v>18.557001321003963</v>
      </c>
      <c r="AK1018" s="75">
        <f>PARAM!$C$26+MAX($G$11-CHOOSE(PARAM!$B$44,MAX(0,AL1017*$F$1),0),0)*RATES!$L994/12+$H$11*(PARAM!$D$51/12)*RATES!$N994/100</f>
        <v>1190.0416666666667</v>
      </c>
      <c r="AL1018" s="16">
        <f t="shared" si="679"/>
        <v>-377281.16971510352</v>
      </c>
      <c r="AM1018" s="15">
        <f t="shared" si="654"/>
        <v>22.170849845882874</v>
      </c>
      <c r="AN1018" s="75">
        <f>AM1018*(1-PARAM!$C$27)*$I$12+(MOD($B1018,60)=PARAM!$B$56)*($B1018&gt;(60-PARAM!$B$56))*HLOOKUP(($B1018+PARAM!$B$56)/12,Loyalty,2)*$F$1*MAX(AP1017,0)</f>
        <v>18.557001321003963</v>
      </c>
      <c r="AO1018" s="75">
        <f>PARAM!$C$26+MAX($G$12-CHOOSE(PARAM!$B$44,MAX(0,AP1017*$F$1),0),0)*RATES!$L994/12+$H$12*(PARAM!$D$51/12)*RATES!$N994/100</f>
        <v>1190.0416666666667</v>
      </c>
      <c r="AP1018" s="16">
        <f t="shared" si="680"/>
        <v>-377281.16971510352</v>
      </c>
      <c r="AQ1018" s="15">
        <f t="shared" si="655"/>
        <v>22.170849845882874</v>
      </c>
      <c r="AR1018" s="75">
        <f>AQ1018*(1-PARAM!$C$27)*$I$13+(MOD($B1018,60)=PARAM!$B$56)*($B1018&gt;(60-PARAM!$B$56))*HLOOKUP(($B1018+PARAM!$B$56)/12,Loyalty,2)*$F$1*MAX(AT1017,0)</f>
        <v>18.557001321003963</v>
      </c>
      <c r="AS1018" s="75">
        <f>PARAM!$C$26+MAX($G$13-CHOOSE(PARAM!$B$44,MAX(0,AT1017*$F$1),0),0)*RATES!$L994/12+$H$13*(PARAM!$D$51/12)*RATES!$N994/100</f>
        <v>1190.0416666666667</v>
      </c>
      <c r="AT1018" s="16">
        <f t="shared" si="681"/>
        <v>-377281.16971510352</v>
      </c>
      <c r="AU1018" s="15">
        <f t="shared" si="656"/>
        <v>22.170849845882874</v>
      </c>
      <c r="AV1018" s="75">
        <f>AU1018*(1-PARAM!$C$27)*$I$14+(MOD($B1018,60)=PARAM!$B$56)*($B1018&gt;(60-PARAM!$B$56))*HLOOKUP(($B1018+PARAM!$B$56)/12,Loyalty,2)*$F$1*MAX(AX1017,0)</f>
        <v>18.557001321003963</v>
      </c>
      <c r="AW1018" s="75">
        <f>PARAM!$C$26+MAX($G$14-CHOOSE(PARAM!$B$44,MAX(0,AX1017*$F$1),0),0)*RATES!$L994/12+$H$14*(PARAM!$D$51/12)*RATES!$N994/100</f>
        <v>1190.0416666666667</v>
      </c>
      <c r="AX1018" s="16">
        <f t="shared" si="682"/>
        <v>-377281.16971510352</v>
      </c>
      <c r="AY1018" s="15">
        <f t="shared" si="657"/>
        <v>22.170849845882874</v>
      </c>
      <c r="AZ1018" s="75">
        <f>AY1018*(1-PARAM!$C$27)*$I$15+(MOD($B1018,60)=PARAM!$B$56)*($B1018&gt;(60-PARAM!$B$56))*HLOOKUP(($B1018+PARAM!$B$56)/12,Loyalty,2)*$F$1*MAX(BB1017,0)</f>
        <v>18.557001321003963</v>
      </c>
      <c r="BA1018" s="75">
        <f>PARAM!$C$26+MAX($G$15-CHOOSE(PARAM!$B$44,MAX(0,BB1017*$F$1),0),0)*RATES!$L994/12+$H$15*(PARAM!$D$51/12)*RATES!$N994/100</f>
        <v>1190.0416666666667</v>
      </c>
      <c r="BB1018" s="16">
        <f t="shared" si="683"/>
        <v>-377281.16971510352</v>
      </c>
      <c r="BC1018" s="15">
        <f t="shared" si="658"/>
        <v>22.170849845882874</v>
      </c>
      <c r="BD1018" s="75">
        <f>BC1018*(1-PARAM!$C$27)*$I$16+(MOD($B1018,60)=PARAM!$B$56)*($B1018&gt;(60-PARAM!$B$56))*HLOOKUP(($B1018+PARAM!$B$56)/12,Loyalty,2)*$F$1*MAX(BF1017,0)</f>
        <v>18.557001321003963</v>
      </c>
      <c r="BE1018" s="75">
        <f>PARAM!$C$26+MAX($G$16-CHOOSE(PARAM!$B$44,MAX(0,BF1017*$F$1),0),0)*RATES!$L994/12+$H$16*(PARAM!$D$51/12)*RATES!$N994/100</f>
        <v>1190.0416666666667</v>
      </c>
      <c r="BF1018" s="16">
        <f t="shared" si="684"/>
        <v>-377281.16971510352</v>
      </c>
      <c r="BG1018" s="15">
        <f t="shared" si="659"/>
        <v>22.170849845882874</v>
      </c>
      <c r="BH1018" s="75">
        <f>BG1018*(1-PARAM!$C$27)*$I$17+(MOD($B1018,60)=PARAM!$B$56)*($B1018&gt;(60-PARAM!$B$56))*HLOOKUP(($B1018+PARAM!$B$56)/12,Loyalty,2)*$F$1*MAX(BJ1017,0)</f>
        <v>18.557001321003963</v>
      </c>
      <c r="BI1018" s="75">
        <f>PARAM!$C$26+MAX($G$17-CHOOSE(PARAM!$B$44,MAX(0,BJ1017*$F$1),0),0)*RATES!$L994/12+$H$17*(PARAM!$D$51/12)*RATES!$N994/100</f>
        <v>1190.0416666666667</v>
      </c>
      <c r="BJ1018" s="16">
        <f t="shared" si="685"/>
        <v>-377281.16971510352</v>
      </c>
      <c r="BK1018" s="15">
        <f t="shared" si="660"/>
        <v>22.170849845882874</v>
      </c>
      <c r="BL1018" s="75">
        <f>BK1018*(1-PARAM!$C$27)*$I$18+(MOD($B1018,60)=PARAM!$B$56)*($B1018&gt;(60-PARAM!$B$56))*HLOOKUP(($B1018+PARAM!$B$56)/12,Loyalty,2)*$F$1*MAX(BN1017,0)</f>
        <v>18.557001321003963</v>
      </c>
      <c r="BM1018" s="75">
        <f>PARAM!$C$26+MAX($G$18-CHOOSE(PARAM!$B$44,MAX(0,BN1017*$F$1),0),0)*RATES!$L994/12+$H$18*(PARAM!$D$51/12)*RATES!$N994/100</f>
        <v>1190.0416666666667</v>
      </c>
      <c r="BN1018" s="16">
        <f t="shared" si="686"/>
        <v>-377281.16971510352</v>
      </c>
      <c r="BO1018" s="15">
        <f t="shared" si="661"/>
        <v>22.170849845882874</v>
      </c>
      <c r="BP1018" s="75">
        <f>BO1018*(1-PARAM!$C$27)*$I$19+(MOD($B1018,60)=PARAM!$B$56)*($B1018&gt;(60-PARAM!$B$56))*HLOOKUP(($B1018+PARAM!$B$56)/12,Loyalty,2)*$F$1*MAX(BR1017,0)</f>
        <v>18.557001321003963</v>
      </c>
      <c r="BQ1018" s="75">
        <f>PARAM!$C$26+MAX($G$19-CHOOSE(PARAM!$B$44,MAX(0,BR1017*$F$1),0),0)*RATES!$L994/12+$H$19*(PARAM!$D$51/12)*RATES!$N994/100</f>
        <v>1190.0416666666667</v>
      </c>
      <c r="BR1018" s="16">
        <f t="shared" si="687"/>
        <v>-377281.16971510352</v>
      </c>
      <c r="BS1018" s="15">
        <f t="shared" si="662"/>
        <v>22.170849845882874</v>
      </c>
      <c r="BT1018" s="75">
        <f>BS1018*(1-PARAM!$C$27)*$I$20+(MOD($B1018,60)=PARAM!$B$56)*($B1018&gt;(60-PARAM!$B$56))*HLOOKUP(($B1018+PARAM!$B$56)/12,Loyalty,2)*$F$1*MAX(BV1017,0)</f>
        <v>18.557001321003963</v>
      </c>
      <c r="BU1018" s="75">
        <f>PARAM!$C$26+MAX($G$20-CHOOSE(PARAM!$B$44,MAX(0,BV1017*$F$1),0),0)*RATES!$L994/12+$H$20*(PARAM!$D$51/12)*RATES!$N994/100</f>
        <v>1190.0416666666667</v>
      </c>
      <c r="BV1018" s="16">
        <f t="shared" si="688"/>
        <v>-377281.16971510352</v>
      </c>
      <c r="BW1018" s="15">
        <f t="shared" si="663"/>
        <v>22.170849845882874</v>
      </c>
      <c r="BX1018" s="75">
        <f>BW1018*(1-PARAM!$C$27)*$I$21+(MOD($B1018,60)=PARAM!$B$56)*($B1018&gt;(60-PARAM!$B$56))*HLOOKUP(($B1018+PARAM!$B$56)/12,Loyalty,2)*$F$1*MAX(BZ1017,0)</f>
        <v>18.557001321003963</v>
      </c>
      <c r="BY1018" s="75">
        <f>PARAM!$C$26+MAX($G$21-CHOOSE(PARAM!$B$44,MAX(0,BZ1017*$F$1),0),0)*RATES!$L994/12+$H$21*(PARAM!$D$51/12)*RATES!$N994/100</f>
        <v>1190.0416666666667</v>
      </c>
      <c r="BZ1018" s="16">
        <f t="shared" si="689"/>
        <v>-377281.16971510352</v>
      </c>
      <c r="CA1018" s="15">
        <f t="shared" si="664"/>
        <v>22.170849845882874</v>
      </c>
      <c r="CB1018" s="75">
        <f>CA1018*(1-PARAM!$C$27)*$I$22+(MOD($B1018,60)=PARAM!$B$56)*($B1018&gt;(60-PARAM!$B$56))*HLOOKUP(($B1018+PARAM!$B$56)/12,Loyalty,2)*$F$1*MAX(CD1017,0)</f>
        <v>18.557001321003963</v>
      </c>
      <c r="CC1018" s="75">
        <f>PARAM!$C$26+MAX($G$22-CHOOSE(PARAM!$B$44,MAX(0,CD1017*$F$1),0),0)*RATES!$L994/12+$H$22*(PARAM!$D$51/12)*RATES!$N994/100</f>
        <v>1190.0416666666667</v>
      </c>
      <c r="CD1018" s="16">
        <f t="shared" si="690"/>
        <v>-377281.16971510352</v>
      </c>
      <c r="CE1018" s="33">
        <f>IF(0=MOD(B1018,12/PARAM!$D$51),1,0)</f>
        <v>1</v>
      </c>
      <c r="CF1018" s="15">
        <f t="shared" si="665"/>
        <v>0</v>
      </c>
      <c r="CG1018" s="75">
        <f>CF1018*(1-PARAM!$C$27)*$R$3+(MOD($B1018/12,5)=0)*($B1018&gt;60)*HLOOKUP($B1018/12,Loyalty,2)*$F$1*MAX(CI1017,0)</f>
        <v>0</v>
      </c>
      <c r="CH1018" s="75">
        <f>PARAM!$C$26+MAX($P$3-CHOOSE(PARAM!$B$44,MAX(0,CI1017*$F$1),0),0)*RATES!$L994/12+$Q$3*(PARAM!$D$51/12)*RATES!$N994/100</f>
        <v>1190.0416666666667</v>
      </c>
      <c r="CI1018" s="16">
        <f>IF(CI1017&gt;0,CI1017*PARAM!$C$53,CI1017)+CG1018-CH1018</f>
        <v>-395551.58333333512</v>
      </c>
      <c r="CJ1018" s="15">
        <f t="shared" si="691"/>
        <v>0</v>
      </c>
      <c r="CK1018" s="75">
        <f>CJ1018*(1-PARAM!$C$27)*$R$4+(MOD($B1018/12,5)=0)*($B1018&gt;60)*HLOOKUP($B1018/12,Loyalty,2)*$F$1*MAX(CM1017,0)</f>
        <v>0</v>
      </c>
      <c r="CL1018" s="75">
        <f>PARAM!$C$26+MAX($P$4-CHOOSE(PARAM!$B$44,MAX(0,CM1017*$F$1),0),0)*RATES!$L994/12+$Q$4*(PARAM!$D$51/12)*RATES!$N994/100</f>
        <v>1190.0416666666667</v>
      </c>
      <c r="CM1018" s="16">
        <f>IF(CM1017&gt;0,CM1017*PARAM!$C$53,CM1017)+CK1018-CL1018</f>
        <v>-395551.58333333512</v>
      </c>
      <c r="CO1018" s="176"/>
    </row>
    <row r="1019" spans="1:93" x14ac:dyDescent="0.2">
      <c r="A1019" t="b">
        <f t="shared" si="666"/>
        <v>0</v>
      </c>
      <c r="B1019" s="33">
        <v>992</v>
      </c>
      <c r="C1019" s="15">
        <f t="shared" si="667"/>
        <v>20.081305947392778</v>
      </c>
      <c r="D1019" s="75">
        <f>C1019*(1-PARAM!$C$27)*$I$3+(MOD($B1019,60)=PARAM!$B$56)*($B1019&gt;(60-PARAM!$B$56))*HLOOKUP(($B1019+PARAM!$B$56)/12,Loyalty,2)*$F$1*MAX(F1018,0)</f>
        <v>16.808053077967756</v>
      </c>
      <c r="E1019" s="75">
        <f>PARAM!$C$26+MAX($G$3-CHOOSE(PARAM!$B$44,MAX(0,F1018*$F$1),0),0)*RATES!$L995/12+$H$3*(PARAM!$D$51/12)*RATES!$N995/100</f>
        <v>1190.0416666666667</v>
      </c>
      <c r="F1019" s="16">
        <f t="shared" si="668"/>
        <v>-380224.46153806348</v>
      </c>
      <c r="G1019" s="15">
        <f t="shared" si="669"/>
        <v>22.035289406060361</v>
      </c>
      <c r="H1019" s="75">
        <f>G1019*(1-PARAM!$C$27)*$I$4+(MOD($B1019,60)=PARAM!$B$56)*($B1019&gt;(60-PARAM!$B$56))*HLOOKUP(($B1019+PARAM!$B$56)/12,Loyalty,2)*$F$1*MAX(J1018,0)</f>
        <v>18.443537232872522</v>
      </c>
      <c r="I1019" s="75">
        <f>PARAM!$C$26+MAX($G$4-CHOOSE(PARAM!$B$44,MAX(0,J1018*$F$1),0),0)*RATES!$L995/12+$H$4*(PARAM!$D$51/12)*RATES!$N995/100</f>
        <v>1190.0416666666667</v>
      </c>
      <c r="J1019" s="16">
        <f t="shared" si="670"/>
        <v>-378568.2282922733</v>
      </c>
      <c r="K1019" s="15">
        <f t="shared" si="671"/>
        <v>22.170849845882874</v>
      </c>
      <c r="L1019" s="75">
        <f>K1019*(1-PARAM!$C$27)*$I$5+(MOD($B1019,60)=PARAM!$B$56)*($B1019&gt;(60-PARAM!$B$56))*HLOOKUP(($B1019+PARAM!$B$56)/12,Loyalty,2)*$F$1*MAX(N1018,0)</f>
        <v>18.557001321003963</v>
      </c>
      <c r="M1019" s="75">
        <f>PARAM!$C$26+MAX($G$5-CHOOSE(PARAM!$B$44,MAX(0,N1018*$F$1),0),0)*RATES!$L995/12+$H$5*(PARAM!$D$51/12)*RATES!$N995/100</f>
        <v>1190.0416666666667</v>
      </c>
      <c r="N1019" s="16">
        <f t="shared" si="672"/>
        <v>-378452.65438044921</v>
      </c>
      <c r="O1019" s="15">
        <f t="shared" si="673"/>
        <v>22.170849845882874</v>
      </c>
      <c r="P1019" s="75">
        <f>O1019*(1-PARAM!$C$27)*$I$6+(MOD($B1019,60)=PARAM!$B$56)*($B1019&gt;(60-PARAM!$B$56))*HLOOKUP(($B1019+PARAM!$B$56)/12,Loyalty,2)*$F$1*MAX(R1018,0)</f>
        <v>18.557001321003963</v>
      </c>
      <c r="Q1019" s="75">
        <f>PARAM!$C$26+MAX($G$6-CHOOSE(PARAM!$B$44,MAX(0,R1018*$F$1),0),0)*RATES!$L995/12+$H$6*(PARAM!$D$51/12)*RATES!$N995/100</f>
        <v>1190.0416666666667</v>
      </c>
      <c r="R1019" s="16">
        <f t="shared" si="674"/>
        <v>-378452.65438044921</v>
      </c>
      <c r="S1019" s="15">
        <f t="shared" si="649"/>
        <v>22.170849845882874</v>
      </c>
      <c r="T1019" s="75">
        <f>S1019*(1-PARAM!$C$27)*$I$7+(MOD($B1019,60)=PARAM!$B$56)*($B1019&gt;(60-PARAM!$B$56))*HLOOKUP(($B1019+PARAM!$B$56)/12,Loyalty,2)*$F$1*MAX(V1018,0)</f>
        <v>18.557001321003963</v>
      </c>
      <c r="U1019" s="75">
        <f>PARAM!$C$26+MAX($G$7-CHOOSE(PARAM!$B$44,MAX(0,V1018*$F$1),0),0)*RATES!$L995/12+$H$7*(PARAM!$D$51/12)*RATES!$N995/100</f>
        <v>1190.0416666666667</v>
      </c>
      <c r="V1019" s="16">
        <f t="shared" si="675"/>
        <v>-378452.65438044921</v>
      </c>
      <c r="W1019" s="15">
        <f t="shared" si="650"/>
        <v>22.170849845882874</v>
      </c>
      <c r="X1019" s="75">
        <f>W1019*(1-PARAM!$C$27)*$I$8+(MOD($B1019,60)=PARAM!$B$56)*($B1019&gt;(60-PARAM!$B$56))*HLOOKUP(($B1019+PARAM!$B$56)/12,Loyalty,2)*$F$1*MAX(Z1018,0)</f>
        <v>18.557001321003963</v>
      </c>
      <c r="Y1019" s="75">
        <f>PARAM!$C$26+MAX($G$8-CHOOSE(PARAM!$B$44,MAX(0,Z1018*$F$1),0),0)*RATES!$L995/12+$H$8*(PARAM!$D$51/12)*RATES!$N995/100</f>
        <v>1190.0416666666667</v>
      </c>
      <c r="Z1019" s="16">
        <f t="shared" si="676"/>
        <v>-378452.65438044921</v>
      </c>
      <c r="AA1019" s="15">
        <f t="shared" si="651"/>
        <v>22.170849845882874</v>
      </c>
      <c r="AB1019" s="75">
        <f>AA1019*(1-PARAM!$C$27)*$I$9+(MOD($B1019,60)=PARAM!$B$56)*($B1019&gt;(60-PARAM!$B$56))*HLOOKUP(($B1019+PARAM!$B$56)/12,Loyalty,2)*$F$1*MAX(AD1018,0)</f>
        <v>18.557001321003963</v>
      </c>
      <c r="AC1019" s="75">
        <f>PARAM!$C$26+MAX($G$9-CHOOSE(PARAM!$B$44,MAX(0,AD1018*$F$1),0),0)*RATES!$L995/12+$H$9*(PARAM!$D$51/12)*RATES!$N995/100</f>
        <v>1190.0416666666667</v>
      </c>
      <c r="AD1019" s="16">
        <f t="shared" si="677"/>
        <v>-378452.65438044921</v>
      </c>
      <c r="AE1019" s="15">
        <f t="shared" si="652"/>
        <v>22.170849845882874</v>
      </c>
      <c r="AF1019" s="75">
        <f>AE1019*(1-PARAM!$C$27)*$I$10+(MOD($B1019,60)=PARAM!$B$56)*($B1019&gt;(60-PARAM!$B$56))*HLOOKUP(($B1019+PARAM!$B$56)/12,Loyalty,2)*$F$1*MAX(AH1018,0)</f>
        <v>18.557001321003963</v>
      </c>
      <c r="AG1019" s="75">
        <f>PARAM!$C$26+MAX($G$10-CHOOSE(PARAM!$B$44,MAX(0,AH1018*$F$1),0),0)*RATES!$L995/12+$H$10*(PARAM!$D$51/12)*RATES!$N995/100</f>
        <v>1190.0416666666667</v>
      </c>
      <c r="AH1019" s="16">
        <f t="shared" si="678"/>
        <v>-378452.65438044921</v>
      </c>
      <c r="AI1019" s="15">
        <f t="shared" si="653"/>
        <v>22.170849845882874</v>
      </c>
      <c r="AJ1019" s="75">
        <f>AI1019*(1-PARAM!$C$27)*$I$11+(MOD($B1019,60)=PARAM!$B$56)*($B1019&gt;(60-PARAM!$B$56))*HLOOKUP(($B1019+PARAM!$B$56)/12,Loyalty,2)*$F$1*MAX(AL1018,0)</f>
        <v>18.557001321003963</v>
      </c>
      <c r="AK1019" s="75">
        <f>PARAM!$C$26+MAX($G$11-CHOOSE(PARAM!$B$44,MAX(0,AL1018*$F$1),0),0)*RATES!$L995/12+$H$11*(PARAM!$D$51/12)*RATES!$N995/100</f>
        <v>1190.0416666666667</v>
      </c>
      <c r="AL1019" s="16">
        <f t="shared" si="679"/>
        <v>-378452.65438044921</v>
      </c>
      <c r="AM1019" s="15">
        <f t="shared" si="654"/>
        <v>22.170849845882874</v>
      </c>
      <c r="AN1019" s="75">
        <f>AM1019*(1-PARAM!$C$27)*$I$12+(MOD($B1019,60)=PARAM!$B$56)*($B1019&gt;(60-PARAM!$B$56))*HLOOKUP(($B1019+PARAM!$B$56)/12,Loyalty,2)*$F$1*MAX(AP1018,0)</f>
        <v>18.557001321003963</v>
      </c>
      <c r="AO1019" s="75">
        <f>PARAM!$C$26+MAX($G$12-CHOOSE(PARAM!$B$44,MAX(0,AP1018*$F$1),0),0)*RATES!$L995/12+$H$12*(PARAM!$D$51/12)*RATES!$N995/100</f>
        <v>1190.0416666666667</v>
      </c>
      <c r="AP1019" s="16">
        <f t="shared" si="680"/>
        <v>-378452.65438044921</v>
      </c>
      <c r="AQ1019" s="15">
        <f t="shared" si="655"/>
        <v>22.170849845882874</v>
      </c>
      <c r="AR1019" s="75">
        <f>AQ1019*(1-PARAM!$C$27)*$I$13+(MOD($B1019,60)=PARAM!$B$56)*($B1019&gt;(60-PARAM!$B$56))*HLOOKUP(($B1019+PARAM!$B$56)/12,Loyalty,2)*$F$1*MAX(AT1018,0)</f>
        <v>18.557001321003963</v>
      </c>
      <c r="AS1019" s="75">
        <f>PARAM!$C$26+MAX($G$13-CHOOSE(PARAM!$B$44,MAX(0,AT1018*$F$1),0),0)*RATES!$L995/12+$H$13*(PARAM!$D$51/12)*RATES!$N995/100</f>
        <v>1190.0416666666667</v>
      </c>
      <c r="AT1019" s="16">
        <f t="shared" si="681"/>
        <v>-378452.65438044921</v>
      </c>
      <c r="AU1019" s="15">
        <f t="shared" si="656"/>
        <v>22.170849845882874</v>
      </c>
      <c r="AV1019" s="75">
        <f>AU1019*(1-PARAM!$C$27)*$I$14+(MOD($B1019,60)=PARAM!$B$56)*($B1019&gt;(60-PARAM!$B$56))*HLOOKUP(($B1019+PARAM!$B$56)/12,Loyalty,2)*$F$1*MAX(AX1018,0)</f>
        <v>18.557001321003963</v>
      </c>
      <c r="AW1019" s="75">
        <f>PARAM!$C$26+MAX($G$14-CHOOSE(PARAM!$B$44,MAX(0,AX1018*$F$1),0),0)*RATES!$L995/12+$H$14*(PARAM!$D$51/12)*RATES!$N995/100</f>
        <v>1190.0416666666667</v>
      </c>
      <c r="AX1019" s="16">
        <f t="shared" si="682"/>
        <v>-378452.65438044921</v>
      </c>
      <c r="AY1019" s="15">
        <f t="shared" si="657"/>
        <v>22.170849845882874</v>
      </c>
      <c r="AZ1019" s="75">
        <f>AY1019*(1-PARAM!$C$27)*$I$15+(MOD($B1019,60)=PARAM!$B$56)*($B1019&gt;(60-PARAM!$B$56))*HLOOKUP(($B1019+PARAM!$B$56)/12,Loyalty,2)*$F$1*MAX(BB1018,0)</f>
        <v>18.557001321003963</v>
      </c>
      <c r="BA1019" s="75">
        <f>PARAM!$C$26+MAX($G$15-CHOOSE(PARAM!$B$44,MAX(0,BB1018*$F$1),0),0)*RATES!$L995/12+$H$15*(PARAM!$D$51/12)*RATES!$N995/100</f>
        <v>1190.0416666666667</v>
      </c>
      <c r="BB1019" s="16">
        <f t="shared" si="683"/>
        <v>-378452.65438044921</v>
      </c>
      <c r="BC1019" s="15">
        <f t="shared" si="658"/>
        <v>22.170849845882874</v>
      </c>
      <c r="BD1019" s="75">
        <f>BC1019*(1-PARAM!$C$27)*$I$16+(MOD($B1019,60)=PARAM!$B$56)*($B1019&gt;(60-PARAM!$B$56))*HLOOKUP(($B1019+PARAM!$B$56)/12,Loyalty,2)*$F$1*MAX(BF1018,0)</f>
        <v>18.557001321003963</v>
      </c>
      <c r="BE1019" s="75">
        <f>PARAM!$C$26+MAX($G$16-CHOOSE(PARAM!$B$44,MAX(0,BF1018*$F$1),0),0)*RATES!$L995/12+$H$16*(PARAM!$D$51/12)*RATES!$N995/100</f>
        <v>1190.0416666666667</v>
      </c>
      <c r="BF1019" s="16">
        <f t="shared" si="684"/>
        <v>-378452.65438044921</v>
      </c>
      <c r="BG1019" s="15">
        <f t="shared" si="659"/>
        <v>22.170849845882874</v>
      </c>
      <c r="BH1019" s="75">
        <f>BG1019*(1-PARAM!$C$27)*$I$17+(MOD($B1019,60)=PARAM!$B$56)*($B1019&gt;(60-PARAM!$B$56))*HLOOKUP(($B1019+PARAM!$B$56)/12,Loyalty,2)*$F$1*MAX(BJ1018,0)</f>
        <v>18.557001321003963</v>
      </c>
      <c r="BI1019" s="75">
        <f>PARAM!$C$26+MAX($G$17-CHOOSE(PARAM!$B$44,MAX(0,BJ1018*$F$1),0),0)*RATES!$L995/12+$H$17*(PARAM!$D$51/12)*RATES!$N995/100</f>
        <v>1190.0416666666667</v>
      </c>
      <c r="BJ1019" s="16">
        <f t="shared" si="685"/>
        <v>-378452.65438044921</v>
      </c>
      <c r="BK1019" s="15">
        <f t="shared" si="660"/>
        <v>22.170849845882874</v>
      </c>
      <c r="BL1019" s="75">
        <f>BK1019*(1-PARAM!$C$27)*$I$18+(MOD($B1019,60)=PARAM!$B$56)*($B1019&gt;(60-PARAM!$B$56))*HLOOKUP(($B1019+PARAM!$B$56)/12,Loyalty,2)*$F$1*MAX(BN1018,0)</f>
        <v>18.557001321003963</v>
      </c>
      <c r="BM1019" s="75">
        <f>PARAM!$C$26+MAX($G$18-CHOOSE(PARAM!$B$44,MAX(0,BN1018*$F$1),0),0)*RATES!$L995/12+$H$18*(PARAM!$D$51/12)*RATES!$N995/100</f>
        <v>1190.0416666666667</v>
      </c>
      <c r="BN1019" s="16">
        <f t="shared" si="686"/>
        <v>-378452.65438044921</v>
      </c>
      <c r="BO1019" s="15">
        <f t="shared" si="661"/>
        <v>22.170849845882874</v>
      </c>
      <c r="BP1019" s="75">
        <f>BO1019*(1-PARAM!$C$27)*$I$19+(MOD($B1019,60)=PARAM!$B$56)*($B1019&gt;(60-PARAM!$B$56))*HLOOKUP(($B1019+PARAM!$B$56)/12,Loyalty,2)*$F$1*MAX(BR1018,0)</f>
        <v>18.557001321003963</v>
      </c>
      <c r="BQ1019" s="75">
        <f>PARAM!$C$26+MAX($G$19-CHOOSE(PARAM!$B$44,MAX(0,BR1018*$F$1),0),0)*RATES!$L995/12+$H$19*(PARAM!$D$51/12)*RATES!$N995/100</f>
        <v>1190.0416666666667</v>
      </c>
      <c r="BR1019" s="16">
        <f t="shared" si="687"/>
        <v>-378452.65438044921</v>
      </c>
      <c r="BS1019" s="15">
        <f t="shared" si="662"/>
        <v>22.170849845882874</v>
      </c>
      <c r="BT1019" s="75">
        <f>BS1019*(1-PARAM!$C$27)*$I$20+(MOD($B1019,60)=PARAM!$B$56)*($B1019&gt;(60-PARAM!$B$56))*HLOOKUP(($B1019+PARAM!$B$56)/12,Loyalty,2)*$F$1*MAX(BV1018,0)</f>
        <v>18.557001321003963</v>
      </c>
      <c r="BU1019" s="75">
        <f>PARAM!$C$26+MAX($G$20-CHOOSE(PARAM!$B$44,MAX(0,BV1018*$F$1),0),0)*RATES!$L995/12+$H$20*(PARAM!$D$51/12)*RATES!$N995/100</f>
        <v>1190.0416666666667</v>
      </c>
      <c r="BV1019" s="16">
        <f t="shared" si="688"/>
        <v>-378452.65438044921</v>
      </c>
      <c r="BW1019" s="15">
        <f t="shared" si="663"/>
        <v>22.170849845882874</v>
      </c>
      <c r="BX1019" s="75">
        <f>BW1019*(1-PARAM!$C$27)*$I$21+(MOD($B1019,60)=PARAM!$B$56)*($B1019&gt;(60-PARAM!$B$56))*HLOOKUP(($B1019+PARAM!$B$56)/12,Loyalty,2)*$F$1*MAX(BZ1018,0)</f>
        <v>18.557001321003963</v>
      </c>
      <c r="BY1019" s="75">
        <f>PARAM!$C$26+MAX($G$21-CHOOSE(PARAM!$B$44,MAX(0,BZ1018*$F$1),0),0)*RATES!$L995/12+$H$21*(PARAM!$D$51/12)*RATES!$N995/100</f>
        <v>1190.0416666666667</v>
      </c>
      <c r="BZ1019" s="16">
        <f t="shared" si="689"/>
        <v>-378452.65438044921</v>
      </c>
      <c r="CA1019" s="15">
        <f t="shared" si="664"/>
        <v>22.170849845882874</v>
      </c>
      <c r="CB1019" s="75">
        <f>CA1019*(1-PARAM!$C$27)*$I$22+(MOD($B1019,60)=PARAM!$B$56)*($B1019&gt;(60-PARAM!$B$56))*HLOOKUP(($B1019+PARAM!$B$56)/12,Loyalty,2)*$F$1*MAX(CD1018,0)</f>
        <v>18.557001321003963</v>
      </c>
      <c r="CC1019" s="75">
        <f>PARAM!$C$26+MAX($G$22-CHOOSE(PARAM!$B$44,MAX(0,CD1018*$F$1),0),0)*RATES!$L995/12+$H$22*(PARAM!$D$51/12)*RATES!$N995/100</f>
        <v>1190.0416666666667</v>
      </c>
      <c r="CD1019" s="16">
        <f t="shared" si="690"/>
        <v>-378452.65438044921</v>
      </c>
      <c r="CE1019" s="33">
        <f>IF(0=MOD(B1019,12/PARAM!$D$51),1,0)</f>
        <v>1</v>
      </c>
      <c r="CF1019" s="15">
        <f t="shared" si="665"/>
        <v>0</v>
      </c>
      <c r="CG1019" s="75">
        <f>CF1019*(1-PARAM!$C$27)*$R$3+(MOD($B1019/12,5)=0)*($B1019&gt;60)*HLOOKUP($B1019/12,Loyalty,2)*$F$1*MAX(CI1018,0)</f>
        <v>0</v>
      </c>
      <c r="CH1019" s="75">
        <f>PARAM!$C$26+MAX($P$3-CHOOSE(PARAM!$B$44,MAX(0,CI1018*$F$1),0),0)*RATES!$L995/12+$Q$3*(PARAM!$D$51/12)*RATES!$N995/100</f>
        <v>1190.0416666666667</v>
      </c>
      <c r="CI1019" s="16">
        <f>IF(CI1018&gt;0,CI1018*PARAM!$C$53,CI1018)+CG1019-CH1019</f>
        <v>-396741.6250000018</v>
      </c>
      <c r="CJ1019" s="15">
        <f t="shared" si="691"/>
        <v>0</v>
      </c>
      <c r="CK1019" s="75">
        <f>CJ1019*(1-PARAM!$C$27)*$R$4+(MOD($B1019/12,5)=0)*($B1019&gt;60)*HLOOKUP($B1019/12,Loyalty,2)*$F$1*MAX(CM1018,0)</f>
        <v>0</v>
      </c>
      <c r="CL1019" s="75">
        <f>PARAM!$C$26+MAX($P$4-CHOOSE(PARAM!$B$44,MAX(0,CM1018*$F$1),0),0)*RATES!$L995/12+$Q$4*(PARAM!$D$51/12)*RATES!$N995/100</f>
        <v>1190.0416666666667</v>
      </c>
      <c r="CM1019" s="16">
        <f>IF(CM1018&gt;0,CM1018*PARAM!$C$53,CM1018)+CK1019-CL1019</f>
        <v>-396741.6250000018</v>
      </c>
      <c r="CO1019" s="176"/>
    </row>
    <row r="1020" spans="1:93" x14ac:dyDescent="0.2">
      <c r="A1020" t="b">
        <f t="shared" si="666"/>
        <v>0</v>
      </c>
      <c r="B1020" s="33">
        <v>993</v>
      </c>
      <c r="C1020" s="15">
        <f t="shared" si="667"/>
        <v>20.081305947392778</v>
      </c>
      <c r="D1020" s="75">
        <f>C1020*(1-PARAM!$C$27)*$I$3+(MOD($B1020,60)=PARAM!$B$56)*($B1020&gt;(60-PARAM!$B$56))*HLOOKUP(($B1020+PARAM!$B$56)/12,Loyalty,2)*$F$1*MAX(F1019,0)</f>
        <v>16.808053077967756</v>
      </c>
      <c r="E1020" s="75">
        <f>PARAM!$C$26+MAX($G$3-CHOOSE(PARAM!$B$44,MAX(0,F1019*$F$1),0),0)*RATES!$L996/12+$H$3*(PARAM!$D$51/12)*RATES!$N996/100</f>
        <v>1190.0416666666667</v>
      </c>
      <c r="F1020" s="16">
        <f t="shared" si="668"/>
        <v>-381397.69515165221</v>
      </c>
      <c r="G1020" s="15">
        <f t="shared" si="669"/>
        <v>22.035289406060361</v>
      </c>
      <c r="H1020" s="75">
        <f>G1020*(1-PARAM!$C$27)*$I$4+(MOD($B1020,60)=PARAM!$B$56)*($B1020&gt;(60-PARAM!$B$56))*HLOOKUP(($B1020+PARAM!$B$56)/12,Loyalty,2)*$F$1*MAX(J1019,0)</f>
        <v>18.443537232872522</v>
      </c>
      <c r="I1020" s="75">
        <f>PARAM!$C$26+MAX($G$4-CHOOSE(PARAM!$B$44,MAX(0,J1019*$F$1),0),0)*RATES!$L996/12+$H$4*(PARAM!$D$51/12)*RATES!$N996/100</f>
        <v>1190.0416666666667</v>
      </c>
      <c r="J1020" s="16">
        <f t="shared" si="670"/>
        <v>-379739.82642170711</v>
      </c>
      <c r="K1020" s="15">
        <f t="shared" si="671"/>
        <v>22.170849845882874</v>
      </c>
      <c r="L1020" s="75">
        <f>K1020*(1-PARAM!$C$27)*$I$5+(MOD($B1020,60)=PARAM!$B$56)*($B1020&gt;(60-PARAM!$B$56))*HLOOKUP(($B1020+PARAM!$B$56)/12,Loyalty,2)*$F$1*MAX(N1019,0)</f>
        <v>18.557001321003963</v>
      </c>
      <c r="M1020" s="75">
        <f>PARAM!$C$26+MAX($G$5-CHOOSE(PARAM!$B$44,MAX(0,N1019*$F$1),0),0)*RATES!$L996/12+$H$5*(PARAM!$D$51/12)*RATES!$N996/100</f>
        <v>1190.0416666666667</v>
      </c>
      <c r="N1020" s="16">
        <f t="shared" si="672"/>
        <v>-379624.1390457949</v>
      </c>
      <c r="O1020" s="15">
        <f t="shared" si="673"/>
        <v>22.170849845882874</v>
      </c>
      <c r="P1020" s="75">
        <f>O1020*(1-PARAM!$C$27)*$I$6+(MOD($B1020,60)=PARAM!$B$56)*($B1020&gt;(60-PARAM!$B$56))*HLOOKUP(($B1020+PARAM!$B$56)/12,Loyalty,2)*$F$1*MAX(R1019,0)</f>
        <v>18.557001321003963</v>
      </c>
      <c r="Q1020" s="75">
        <f>PARAM!$C$26+MAX($G$6-CHOOSE(PARAM!$B$44,MAX(0,R1019*$F$1),0),0)*RATES!$L996/12+$H$6*(PARAM!$D$51/12)*RATES!$N996/100</f>
        <v>1190.0416666666667</v>
      </c>
      <c r="R1020" s="16">
        <f t="shared" si="674"/>
        <v>-379624.1390457949</v>
      </c>
      <c r="S1020" s="15">
        <f t="shared" si="649"/>
        <v>22.170849845882874</v>
      </c>
      <c r="T1020" s="75">
        <f>S1020*(1-PARAM!$C$27)*$I$7+(MOD($B1020,60)=PARAM!$B$56)*($B1020&gt;(60-PARAM!$B$56))*HLOOKUP(($B1020+PARAM!$B$56)/12,Loyalty,2)*$F$1*MAX(V1019,0)</f>
        <v>18.557001321003963</v>
      </c>
      <c r="U1020" s="75">
        <f>PARAM!$C$26+MAX($G$7-CHOOSE(PARAM!$B$44,MAX(0,V1019*$F$1),0),0)*RATES!$L996/12+$H$7*(PARAM!$D$51/12)*RATES!$N996/100</f>
        <v>1190.0416666666667</v>
      </c>
      <c r="V1020" s="16">
        <f t="shared" si="675"/>
        <v>-379624.1390457949</v>
      </c>
      <c r="W1020" s="15">
        <f t="shared" si="650"/>
        <v>22.170849845882874</v>
      </c>
      <c r="X1020" s="75">
        <f>W1020*(1-PARAM!$C$27)*$I$8+(MOD($B1020,60)=PARAM!$B$56)*($B1020&gt;(60-PARAM!$B$56))*HLOOKUP(($B1020+PARAM!$B$56)/12,Loyalty,2)*$F$1*MAX(Z1019,0)</f>
        <v>18.557001321003963</v>
      </c>
      <c r="Y1020" s="75">
        <f>PARAM!$C$26+MAX($G$8-CHOOSE(PARAM!$B$44,MAX(0,Z1019*$F$1),0),0)*RATES!$L996/12+$H$8*(PARAM!$D$51/12)*RATES!$N996/100</f>
        <v>1190.0416666666667</v>
      </c>
      <c r="Z1020" s="16">
        <f t="shared" si="676"/>
        <v>-379624.1390457949</v>
      </c>
      <c r="AA1020" s="15">
        <f t="shared" si="651"/>
        <v>22.170849845882874</v>
      </c>
      <c r="AB1020" s="75">
        <f>AA1020*(1-PARAM!$C$27)*$I$9+(MOD($B1020,60)=PARAM!$B$56)*($B1020&gt;(60-PARAM!$B$56))*HLOOKUP(($B1020+PARAM!$B$56)/12,Loyalty,2)*$F$1*MAX(AD1019,0)</f>
        <v>18.557001321003963</v>
      </c>
      <c r="AC1020" s="75">
        <f>PARAM!$C$26+MAX($G$9-CHOOSE(PARAM!$B$44,MAX(0,AD1019*$F$1),0),0)*RATES!$L996/12+$H$9*(PARAM!$D$51/12)*RATES!$N996/100</f>
        <v>1190.0416666666667</v>
      </c>
      <c r="AD1020" s="16">
        <f t="shared" si="677"/>
        <v>-379624.1390457949</v>
      </c>
      <c r="AE1020" s="15">
        <f t="shared" si="652"/>
        <v>22.170849845882874</v>
      </c>
      <c r="AF1020" s="75">
        <f>AE1020*(1-PARAM!$C$27)*$I$10+(MOD($B1020,60)=PARAM!$B$56)*($B1020&gt;(60-PARAM!$B$56))*HLOOKUP(($B1020+PARAM!$B$56)/12,Loyalty,2)*$F$1*MAX(AH1019,0)</f>
        <v>18.557001321003963</v>
      </c>
      <c r="AG1020" s="75">
        <f>PARAM!$C$26+MAX($G$10-CHOOSE(PARAM!$B$44,MAX(0,AH1019*$F$1),0),0)*RATES!$L996/12+$H$10*(PARAM!$D$51/12)*RATES!$N996/100</f>
        <v>1190.0416666666667</v>
      </c>
      <c r="AH1020" s="16">
        <f t="shared" si="678"/>
        <v>-379624.1390457949</v>
      </c>
      <c r="AI1020" s="15">
        <f t="shared" si="653"/>
        <v>22.170849845882874</v>
      </c>
      <c r="AJ1020" s="75">
        <f>AI1020*(1-PARAM!$C$27)*$I$11+(MOD($B1020,60)=PARAM!$B$56)*($B1020&gt;(60-PARAM!$B$56))*HLOOKUP(($B1020+PARAM!$B$56)/12,Loyalty,2)*$F$1*MAX(AL1019,0)</f>
        <v>18.557001321003963</v>
      </c>
      <c r="AK1020" s="75">
        <f>PARAM!$C$26+MAX($G$11-CHOOSE(PARAM!$B$44,MAX(0,AL1019*$F$1),0),0)*RATES!$L996/12+$H$11*(PARAM!$D$51/12)*RATES!$N996/100</f>
        <v>1190.0416666666667</v>
      </c>
      <c r="AL1020" s="16">
        <f t="shared" si="679"/>
        <v>-379624.1390457949</v>
      </c>
      <c r="AM1020" s="15">
        <f t="shared" si="654"/>
        <v>22.170849845882874</v>
      </c>
      <c r="AN1020" s="75">
        <f>AM1020*(1-PARAM!$C$27)*$I$12+(MOD($B1020,60)=PARAM!$B$56)*($B1020&gt;(60-PARAM!$B$56))*HLOOKUP(($B1020+PARAM!$B$56)/12,Loyalty,2)*$F$1*MAX(AP1019,0)</f>
        <v>18.557001321003963</v>
      </c>
      <c r="AO1020" s="75">
        <f>PARAM!$C$26+MAX($G$12-CHOOSE(PARAM!$B$44,MAX(0,AP1019*$F$1),0),0)*RATES!$L996/12+$H$12*(PARAM!$D$51/12)*RATES!$N996/100</f>
        <v>1190.0416666666667</v>
      </c>
      <c r="AP1020" s="16">
        <f t="shared" si="680"/>
        <v>-379624.1390457949</v>
      </c>
      <c r="AQ1020" s="15">
        <f t="shared" si="655"/>
        <v>22.170849845882874</v>
      </c>
      <c r="AR1020" s="75">
        <f>AQ1020*(1-PARAM!$C$27)*$I$13+(MOD($B1020,60)=PARAM!$B$56)*($B1020&gt;(60-PARAM!$B$56))*HLOOKUP(($B1020+PARAM!$B$56)/12,Loyalty,2)*$F$1*MAX(AT1019,0)</f>
        <v>18.557001321003963</v>
      </c>
      <c r="AS1020" s="75">
        <f>PARAM!$C$26+MAX($G$13-CHOOSE(PARAM!$B$44,MAX(0,AT1019*$F$1),0),0)*RATES!$L996/12+$H$13*(PARAM!$D$51/12)*RATES!$N996/100</f>
        <v>1190.0416666666667</v>
      </c>
      <c r="AT1020" s="16">
        <f t="shared" si="681"/>
        <v>-379624.1390457949</v>
      </c>
      <c r="AU1020" s="15">
        <f t="shared" si="656"/>
        <v>22.170849845882874</v>
      </c>
      <c r="AV1020" s="75">
        <f>AU1020*(1-PARAM!$C$27)*$I$14+(MOD($B1020,60)=PARAM!$B$56)*($B1020&gt;(60-PARAM!$B$56))*HLOOKUP(($B1020+PARAM!$B$56)/12,Loyalty,2)*$F$1*MAX(AX1019,0)</f>
        <v>18.557001321003963</v>
      </c>
      <c r="AW1020" s="75">
        <f>PARAM!$C$26+MAX($G$14-CHOOSE(PARAM!$B$44,MAX(0,AX1019*$F$1),0),0)*RATES!$L996/12+$H$14*(PARAM!$D$51/12)*RATES!$N996/100</f>
        <v>1190.0416666666667</v>
      </c>
      <c r="AX1020" s="16">
        <f t="shared" si="682"/>
        <v>-379624.1390457949</v>
      </c>
      <c r="AY1020" s="15">
        <f t="shared" si="657"/>
        <v>22.170849845882874</v>
      </c>
      <c r="AZ1020" s="75">
        <f>AY1020*(1-PARAM!$C$27)*$I$15+(MOD($B1020,60)=PARAM!$B$56)*($B1020&gt;(60-PARAM!$B$56))*HLOOKUP(($B1020+PARAM!$B$56)/12,Loyalty,2)*$F$1*MAX(BB1019,0)</f>
        <v>18.557001321003963</v>
      </c>
      <c r="BA1020" s="75">
        <f>PARAM!$C$26+MAX($G$15-CHOOSE(PARAM!$B$44,MAX(0,BB1019*$F$1),0),0)*RATES!$L996/12+$H$15*(PARAM!$D$51/12)*RATES!$N996/100</f>
        <v>1190.0416666666667</v>
      </c>
      <c r="BB1020" s="16">
        <f t="shared" si="683"/>
        <v>-379624.1390457949</v>
      </c>
      <c r="BC1020" s="15">
        <f t="shared" si="658"/>
        <v>22.170849845882874</v>
      </c>
      <c r="BD1020" s="75">
        <f>BC1020*(1-PARAM!$C$27)*$I$16+(MOD($B1020,60)=PARAM!$B$56)*($B1020&gt;(60-PARAM!$B$56))*HLOOKUP(($B1020+PARAM!$B$56)/12,Loyalty,2)*$F$1*MAX(BF1019,0)</f>
        <v>18.557001321003963</v>
      </c>
      <c r="BE1020" s="75">
        <f>PARAM!$C$26+MAX($G$16-CHOOSE(PARAM!$B$44,MAX(0,BF1019*$F$1),0),0)*RATES!$L996/12+$H$16*(PARAM!$D$51/12)*RATES!$N996/100</f>
        <v>1190.0416666666667</v>
      </c>
      <c r="BF1020" s="16">
        <f t="shared" si="684"/>
        <v>-379624.1390457949</v>
      </c>
      <c r="BG1020" s="15">
        <f t="shared" si="659"/>
        <v>22.170849845882874</v>
      </c>
      <c r="BH1020" s="75">
        <f>BG1020*(1-PARAM!$C$27)*$I$17+(MOD($B1020,60)=PARAM!$B$56)*($B1020&gt;(60-PARAM!$B$56))*HLOOKUP(($B1020+PARAM!$B$56)/12,Loyalty,2)*$F$1*MAX(BJ1019,0)</f>
        <v>18.557001321003963</v>
      </c>
      <c r="BI1020" s="75">
        <f>PARAM!$C$26+MAX($G$17-CHOOSE(PARAM!$B$44,MAX(0,BJ1019*$F$1),0),0)*RATES!$L996/12+$H$17*(PARAM!$D$51/12)*RATES!$N996/100</f>
        <v>1190.0416666666667</v>
      </c>
      <c r="BJ1020" s="16">
        <f t="shared" si="685"/>
        <v>-379624.1390457949</v>
      </c>
      <c r="BK1020" s="15">
        <f t="shared" si="660"/>
        <v>22.170849845882874</v>
      </c>
      <c r="BL1020" s="75">
        <f>BK1020*(1-PARAM!$C$27)*$I$18+(MOD($B1020,60)=PARAM!$B$56)*($B1020&gt;(60-PARAM!$B$56))*HLOOKUP(($B1020+PARAM!$B$56)/12,Loyalty,2)*$F$1*MAX(BN1019,0)</f>
        <v>18.557001321003963</v>
      </c>
      <c r="BM1020" s="75">
        <f>PARAM!$C$26+MAX($G$18-CHOOSE(PARAM!$B$44,MAX(0,BN1019*$F$1),0),0)*RATES!$L996/12+$H$18*(PARAM!$D$51/12)*RATES!$N996/100</f>
        <v>1190.0416666666667</v>
      </c>
      <c r="BN1020" s="16">
        <f t="shared" si="686"/>
        <v>-379624.1390457949</v>
      </c>
      <c r="BO1020" s="15">
        <f t="shared" si="661"/>
        <v>22.170849845882874</v>
      </c>
      <c r="BP1020" s="75">
        <f>BO1020*(1-PARAM!$C$27)*$I$19+(MOD($B1020,60)=PARAM!$B$56)*($B1020&gt;(60-PARAM!$B$56))*HLOOKUP(($B1020+PARAM!$B$56)/12,Loyalty,2)*$F$1*MAX(BR1019,0)</f>
        <v>18.557001321003963</v>
      </c>
      <c r="BQ1020" s="75">
        <f>PARAM!$C$26+MAX($G$19-CHOOSE(PARAM!$B$44,MAX(0,BR1019*$F$1),0),0)*RATES!$L996/12+$H$19*(PARAM!$D$51/12)*RATES!$N996/100</f>
        <v>1190.0416666666667</v>
      </c>
      <c r="BR1020" s="16">
        <f t="shared" si="687"/>
        <v>-379624.1390457949</v>
      </c>
      <c r="BS1020" s="15">
        <f t="shared" si="662"/>
        <v>22.170849845882874</v>
      </c>
      <c r="BT1020" s="75">
        <f>BS1020*(1-PARAM!$C$27)*$I$20+(MOD($B1020,60)=PARAM!$B$56)*($B1020&gt;(60-PARAM!$B$56))*HLOOKUP(($B1020+PARAM!$B$56)/12,Loyalty,2)*$F$1*MAX(BV1019,0)</f>
        <v>18.557001321003963</v>
      </c>
      <c r="BU1020" s="75">
        <f>PARAM!$C$26+MAX($G$20-CHOOSE(PARAM!$B$44,MAX(0,BV1019*$F$1),0),0)*RATES!$L996/12+$H$20*(PARAM!$D$51/12)*RATES!$N996/100</f>
        <v>1190.0416666666667</v>
      </c>
      <c r="BV1020" s="16">
        <f t="shared" si="688"/>
        <v>-379624.1390457949</v>
      </c>
      <c r="BW1020" s="15">
        <f t="shared" si="663"/>
        <v>22.170849845882874</v>
      </c>
      <c r="BX1020" s="75">
        <f>BW1020*(1-PARAM!$C$27)*$I$21+(MOD($B1020,60)=PARAM!$B$56)*($B1020&gt;(60-PARAM!$B$56))*HLOOKUP(($B1020+PARAM!$B$56)/12,Loyalty,2)*$F$1*MAX(BZ1019,0)</f>
        <v>18.557001321003963</v>
      </c>
      <c r="BY1020" s="75">
        <f>PARAM!$C$26+MAX($G$21-CHOOSE(PARAM!$B$44,MAX(0,BZ1019*$F$1),0),0)*RATES!$L996/12+$H$21*(PARAM!$D$51/12)*RATES!$N996/100</f>
        <v>1190.0416666666667</v>
      </c>
      <c r="BZ1020" s="16">
        <f t="shared" si="689"/>
        <v>-379624.1390457949</v>
      </c>
      <c r="CA1020" s="15">
        <f t="shared" si="664"/>
        <v>22.170849845882874</v>
      </c>
      <c r="CB1020" s="75">
        <f>CA1020*(1-PARAM!$C$27)*$I$22+(MOD($B1020,60)=PARAM!$B$56)*($B1020&gt;(60-PARAM!$B$56))*HLOOKUP(($B1020+PARAM!$B$56)/12,Loyalty,2)*$F$1*MAX(CD1019,0)</f>
        <v>18.557001321003963</v>
      </c>
      <c r="CC1020" s="75">
        <f>PARAM!$C$26+MAX($G$22-CHOOSE(PARAM!$B$44,MAX(0,CD1019*$F$1),0),0)*RATES!$L996/12+$H$22*(PARAM!$D$51/12)*RATES!$N996/100</f>
        <v>1190.0416666666667</v>
      </c>
      <c r="CD1020" s="16">
        <f t="shared" si="690"/>
        <v>-379624.1390457949</v>
      </c>
      <c r="CE1020" s="33">
        <f>IF(0=MOD(B1020,12/PARAM!$D$51),1,0)</f>
        <v>1</v>
      </c>
      <c r="CF1020" s="15">
        <f t="shared" si="665"/>
        <v>0</v>
      </c>
      <c r="CG1020" s="75">
        <f>CF1020*(1-PARAM!$C$27)*$R$3+(MOD($B1020/12,5)=0)*($B1020&gt;60)*HLOOKUP($B1020/12,Loyalty,2)*$F$1*MAX(CI1019,0)</f>
        <v>0</v>
      </c>
      <c r="CH1020" s="75">
        <f>PARAM!$C$26+MAX($P$3-CHOOSE(PARAM!$B$44,MAX(0,CI1019*$F$1),0),0)*RATES!$L996/12+$Q$3*(PARAM!$D$51/12)*RATES!$N996/100</f>
        <v>1190.0416666666667</v>
      </c>
      <c r="CI1020" s="16">
        <f>IF(CI1019&gt;0,CI1019*PARAM!$C$53,CI1019)+CG1020-CH1020</f>
        <v>-397931.66666666849</v>
      </c>
      <c r="CJ1020" s="15">
        <f t="shared" si="691"/>
        <v>0</v>
      </c>
      <c r="CK1020" s="75">
        <f>CJ1020*(1-PARAM!$C$27)*$R$4+(MOD($B1020/12,5)=0)*($B1020&gt;60)*HLOOKUP($B1020/12,Loyalty,2)*$F$1*MAX(CM1019,0)</f>
        <v>0</v>
      </c>
      <c r="CL1020" s="75">
        <f>PARAM!$C$26+MAX($P$4-CHOOSE(PARAM!$B$44,MAX(0,CM1019*$F$1),0),0)*RATES!$L996/12+$Q$4*(PARAM!$D$51/12)*RATES!$N996/100</f>
        <v>1190.0416666666667</v>
      </c>
      <c r="CM1020" s="16">
        <f>IF(CM1019&gt;0,CM1019*PARAM!$C$53,CM1019)+CK1020-CL1020</f>
        <v>-397931.66666666849</v>
      </c>
      <c r="CO1020" s="176"/>
    </row>
    <row r="1021" spans="1:93" x14ac:dyDescent="0.2">
      <c r="A1021" t="b">
        <f t="shared" si="666"/>
        <v>0</v>
      </c>
      <c r="B1021" s="33">
        <v>994</v>
      </c>
      <c r="C1021" s="15">
        <f t="shared" si="667"/>
        <v>20.081305947392778</v>
      </c>
      <c r="D1021" s="75">
        <f>C1021*(1-PARAM!$C$27)*$I$3+(MOD($B1021,60)=PARAM!$B$56)*($B1021&gt;(60-PARAM!$B$56))*HLOOKUP(($B1021+PARAM!$B$56)/12,Loyalty,2)*$F$1*MAX(F1020,0)</f>
        <v>16.808053077967756</v>
      </c>
      <c r="E1021" s="75">
        <f>PARAM!$C$26+MAX($G$3-CHOOSE(PARAM!$B$44,MAX(0,F1020*$F$1),0),0)*RATES!$L997/12+$H$3*(PARAM!$D$51/12)*RATES!$N997/100</f>
        <v>1190.0416666666667</v>
      </c>
      <c r="F1021" s="16">
        <f t="shared" si="668"/>
        <v>-382570.92876524094</v>
      </c>
      <c r="G1021" s="15">
        <f t="shared" si="669"/>
        <v>22.035289406060361</v>
      </c>
      <c r="H1021" s="75">
        <f>G1021*(1-PARAM!$C$27)*$I$4+(MOD($B1021,60)=PARAM!$B$56)*($B1021&gt;(60-PARAM!$B$56))*HLOOKUP(($B1021+PARAM!$B$56)/12,Loyalty,2)*$F$1*MAX(J1020,0)</f>
        <v>18.443537232872522</v>
      </c>
      <c r="I1021" s="75">
        <f>PARAM!$C$26+MAX($G$4-CHOOSE(PARAM!$B$44,MAX(0,J1020*$F$1),0),0)*RATES!$L997/12+$H$4*(PARAM!$D$51/12)*RATES!$N997/100</f>
        <v>1190.0416666666667</v>
      </c>
      <c r="J1021" s="16">
        <f t="shared" si="670"/>
        <v>-380911.42455114092</v>
      </c>
      <c r="K1021" s="15">
        <f t="shared" si="671"/>
        <v>22.170849845882874</v>
      </c>
      <c r="L1021" s="75">
        <f>K1021*(1-PARAM!$C$27)*$I$5+(MOD($B1021,60)=PARAM!$B$56)*($B1021&gt;(60-PARAM!$B$56))*HLOOKUP(($B1021+PARAM!$B$56)/12,Loyalty,2)*$F$1*MAX(N1020,0)</f>
        <v>18.557001321003963</v>
      </c>
      <c r="M1021" s="75">
        <f>PARAM!$C$26+MAX($G$5-CHOOSE(PARAM!$B$44,MAX(0,N1020*$F$1),0),0)*RATES!$L997/12+$H$5*(PARAM!$D$51/12)*RATES!$N997/100</f>
        <v>1190.0416666666667</v>
      </c>
      <c r="N1021" s="16">
        <f t="shared" si="672"/>
        <v>-380795.62371114059</v>
      </c>
      <c r="O1021" s="15">
        <f t="shared" si="673"/>
        <v>22.170849845882874</v>
      </c>
      <c r="P1021" s="75">
        <f>O1021*(1-PARAM!$C$27)*$I$6+(MOD($B1021,60)=PARAM!$B$56)*($B1021&gt;(60-PARAM!$B$56))*HLOOKUP(($B1021+PARAM!$B$56)/12,Loyalty,2)*$F$1*MAX(R1020,0)</f>
        <v>18.557001321003963</v>
      </c>
      <c r="Q1021" s="75">
        <f>PARAM!$C$26+MAX($G$6-CHOOSE(PARAM!$B$44,MAX(0,R1020*$F$1),0),0)*RATES!$L997/12+$H$6*(PARAM!$D$51/12)*RATES!$N997/100</f>
        <v>1190.0416666666667</v>
      </c>
      <c r="R1021" s="16">
        <f t="shared" si="674"/>
        <v>-380795.62371114059</v>
      </c>
      <c r="S1021" s="15">
        <f t="shared" si="649"/>
        <v>22.170849845882874</v>
      </c>
      <c r="T1021" s="75">
        <f>S1021*(1-PARAM!$C$27)*$I$7+(MOD($B1021,60)=PARAM!$B$56)*($B1021&gt;(60-PARAM!$B$56))*HLOOKUP(($B1021+PARAM!$B$56)/12,Loyalty,2)*$F$1*MAX(V1020,0)</f>
        <v>18.557001321003963</v>
      </c>
      <c r="U1021" s="75">
        <f>PARAM!$C$26+MAX($G$7-CHOOSE(PARAM!$B$44,MAX(0,V1020*$F$1),0),0)*RATES!$L997/12+$H$7*(PARAM!$D$51/12)*RATES!$N997/100</f>
        <v>1190.0416666666667</v>
      </c>
      <c r="V1021" s="16">
        <f t="shared" si="675"/>
        <v>-380795.62371114059</v>
      </c>
      <c r="W1021" s="15">
        <f t="shared" si="650"/>
        <v>22.170849845882874</v>
      </c>
      <c r="X1021" s="75">
        <f>W1021*(1-PARAM!$C$27)*$I$8+(MOD($B1021,60)=PARAM!$B$56)*($B1021&gt;(60-PARAM!$B$56))*HLOOKUP(($B1021+PARAM!$B$56)/12,Loyalty,2)*$F$1*MAX(Z1020,0)</f>
        <v>18.557001321003963</v>
      </c>
      <c r="Y1021" s="75">
        <f>PARAM!$C$26+MAX($G$8-CHOOSE(PARAM!$B$44,MAX(0,Z1020*$F$1),0),0)*RATES!$L997/12+$H$8*(PARAM!$D$51/12)*RATES!$N997/100</f>
        <v>1190.0416666666667</v>
      </c>
      <c r="Z1021" s="16">
        <f t="shared" si="676"/>
        <v>-380795.62371114059</v>
      </c>
      <c r="AA1021" s="15">
        <f t="shared" si="651"/>
        <v>22.170849845882874</v>
      </c>
      <c r="AB1021" s="75">
        <f>AA1021*(1-PARAM!$C$27)*$I$9+(MOD($B1021,60)=PARAM!$B$56)*($B1021&gt;(60-PARAM!$B$56))*HLOOKUP(($B1021+PARAM!$B$56)/12,Loyalty,2)*$F$1*MAX(AD1020,0)</f>
        <v>18.557001321003963</v>
      </c>
      <c r="AC1021" s="75">
        <f>PARAM!$C$26+MAX($G$9-CHOOSE(PARAM!$B$44,MAX(0,AD1020*$F$1),0),0)*RATES!$L997/12+$H$9*(PARAM!$D$51/12)*RATES!$N997/100</f>
        <v>1190.0416666666667</v>
      </c>
      <c r="AD1021" s="16">
        <f t="shared" si="677"/>
        <v>-380795.62371114059</v>
      </c>
      <c r="AE1021" s="15">
        <f t="shared" si="652"/>
        <v>22.170849845882874</v>
      </c>
      <c r="AF1021" s="75">
        <f>AE1021*(1-PARAM!$C$27)*$I$10+(MOD($B1021,60)=PARAM!$B$56)*($B1021&gt;(60-PARAM!$B$56))*HLOOKUP(($B1021+PARAM!$B$56)/12,Loyalty,2)*$F$1*MAX(AH1020,0)</f>
        <v>18.557001321003963</v>
      </c>
      <c r="AG1021" s="75">
        <f>PARAM!$C$26+MAX($G$10-CHOOSE(PARAM!$B$44,MAX(0,AH1020*$F$1),0),0)*RATES!$L997/12+$H$10*(PARAM!$D$51/12)*RATES!$N997/100</f>
        <v>1190.0416666666667</v>
      </c>
      <c r="AH1021" s="16">
        <f t="shared" si="678"/>
        <v>-380795.62371114059</v>
      </c>
      <c r="AI1021" s="15">
        <f t="shared" si="653"/>
        <v>22.170849845882874</v>
      </c>
      <c r="AJ1021" s="75">
        <f>AI1021*(1-PARAM!$C$27)*$I$11+(MOD($B1021,60)=PARAM!$B$56)*($B1021&gt;(60-PARAM!$B$56))*HLOOKUP(($B1021+PARAM!$B$56)/12,Loyalty,2)*$F$1*MAX(AL1020,0)</f>
        <v>18.557001321003963</v>
      </c>
      <c r="AK1021" s="75">
        <f>PARAM!$C$26+MAX($G$11-CHOOSE(PARAM!$B$44,MAX(0,AL1020*$F$1),0),0)*RATES!$L997/12+$H$11*(PARAM!$D$51/12)*RATES!$N997/100</f>
        <v>1190.0416666666667</v>
      </c>
      <c r="AL1021" s="16">
        <f t="shared" si="679"/>
        <v>-380795.62371114059</v>
      </c>
      <c r="AM1021" s="15">
        <f t="shared" si="654"/>
        <v>22.170849845882874</v>
      </c>
      <c r="AN1021" s="75">
        <f>AM1021*(1-PARAM!$C$27)*$I$12+(MOD($B1021,60)=PARAM!$B$56)*($B1021&gt;(60-PARAM!$B$56))*HLOOKUP(($B1021+PARAM!$B$56)/12,Loyalty,2)*$F$1*MAX(AP1020,0)</f>
        <v>18.557001321003963</v>
      </c>
      <c r="AO1021" s="75">
        <f>PARAM!$C$26+MAX($G$12-CHOOSE(PARAM!$B$44,MAX(0,AP1020*$F$1),0),0)*RATES!$L997/12+$H$12*(PARAM!$D$51/12)*RATES!$N997/100</f>
        <v>1190.0416666666667</v>
      </c>
      <c r="AP1021" s="16">
        <f t="shared" si="680"/>
        <v>-380795.62371114059</v>
      </c>
      <c r="AQ1021" s="15">
        <f t="shared" si="655"/>
        <v>22.170849845882874</v>
      </c>
      <c r="AR1021" s="75">
        <f>AQ1021*(1-PARAM!$C$27)*$I$13+(MOD($B1021,60)=PARAM!$B$56)*($B1021&gt;(60-PARAM!$B$56))*HLOOKUP(($B1021+PARAM!$B$56)/12,Loyalty,2)*$F$1*MAX(AT1020,0)</f>
        <v>18.557001321003963</v>
      </c>
      <c r="AS1021" s="75">
        <f>PARAM!$C$26+MAX($G$13-CHOOSE(PARAM!$B$44,MAX(0,AT1020*$F$1),0),0)*RATES!$L997/12+$H$13*(PARAM!$D$51/12)*RATES!$N997/100</f>
        <v>1190.0416666666667</v>
      </c>
      <c r="AT1021" s="16">
        <f t="shared" si="681"/>
        <v>-380795.62371114059</v>
      </c>
      <c r="AU1021" s="15">
        <f t="shared" si="656"/>
        <v>22.170849845882874</v>
      </c>
      <c r="AV1021" s="75">
        <f>AU1021*(1-PARAM!$C$27)*$I$14+(MOD($B1021,60)=PARAM!$B$56)*($B1021&gt;(60-PARAM!$B$56))*HLOOKUP(($B1021+PARAM!$B$56)/12,Loyalty,2)*$F$1*MAX(AX1020,0)</f>
        <v>18.557001321003963</v>
      </c>
      <c r="AW1021" s="75">
        <f>PARAM!$C$26+MAX($G$14-CHOOSE(PARAM!$B$44,MAX(0,AX1020*$F$1),0),0)*RATES!$L997/12+$H$14*(PARAM!$D$51/12)*RATES!$N997/100</f>
        <v>1190.0416666666667</v>
      </c>
      <c r="AX1021" s="16">
        <f t="shared" si="682"/>
        <v>-380795.62371114059</v>
      </c>
      <c r="AY1021" s="15">
        <f t="shared" si="657"/>
        <v>22.170849845882874</v>
      </c>
      <c r="AZ1021" s="75">
        <f>AY1021*(1-PARAM!$C$27)*$I$15+(MOD($B1021,60)=PARAM!$B$56)*($B1021&gt;(60-PARAM!$B$56))*HLOOKUP(($B1021+PARAM!$B$56)/12,Loyalty,2)*$F$1*MAX(BB1020,0)</f>
        <v>18.557001321003963</v>
      </c>
      <c r="BA1021" s="75">
        <f>PARAM!$C$26+MAX($G$15-CHOOSE(PARAM!$B$44,MAX(0,BB1020*$F$1),0),0)*RATES!$L997/12+$H$15*(PARAM!$D$51/12)*RATES!$N997/100</f>
        <v>1190.0416666666667</v>
      </c>
      <c r="BB1021" s="16">
        <f t="shared" si="683"/>
        <v>-380795.62371114059</v>
      </c>
      <c r="BC1021" s="15">
        <f t="shared" si="658"/>
        <v>22.170849845882874</v>
      </c>
      <c r="BD1021" s="75">
        <f>BC1021*(1-PARAM!$C$27)*$I$16+(MOD($B1021,60)=PARAM!$B$56)*($B1021&gt;(60-PARAM!$B$56))*HLOOKUP(($B1021+PARAM!$B$56)/12,Loyalty,2)*$F$1*MAX(BF1020,0)</f>
        <v>18.557001321003963</v>
      </c>
      <c r="BE1021" s="75">
        <f>PARAM!$C$26+MAX($G$16-CHOOSE(PARAM!$B$44,MAX(0,BF1020*$F$1),0),0)*RATES!$L997/12+$H$16*(PARAM!$D$51/12)*RATES!$N997/100</f>
        <v>1190.0416666666667</v>
      </c>
      <c r="BF1021" s="16">
        <f t="shared" si="684"/>
        <v>-380795.62371114059</v>
      </c>
      <c r="BG1021" s="15">
        <f t="shared" si="659"/>
        <v>22.170849845882874</v>
      </c>
      <c r="BH1021" s="75">
        <f>BG1021*(1-PARAM!$C$27)*$I$17+(MOD($B1021,60)=PARAM!$B$56)*($B1021&gt;(60-PARAM!$B$56))*HLOOKUP(($B1021+PARAM!$B$56)/12,Loyalty,2)*$F$1*MAX(BJ1020,0)</f>
        <v>18.557001321003963</v>
      </c>
      <c r="BI1021" s="75">
        <f>PARAM!$C$26+MAX($G$17-CHOOSE(PARAM!$B$44,MAX(0,BJ1020*$F$1),0),0)*RATES!$L997/12+$H$17*(PARAM!$D$51/12)*RATES!$N997/100</f>
        <v>1190.0416666666667</v>
      </c>
      <c r="BJ1021" s="16">
        <f t="shared" si="685"/>
        <v>-380795.62371114059</v>
      </c>
      <c r="BK1021" s="15">
        <f t="shared" si="660"/>
        <v>22.170849845882874</v>
      </c>
      <c r="BL1021" s="75">
        <f>BK1021*(1-PARAM!$C$27)*$I$18+(MOD($B1021,60)=PARAM!$B$56)*($B1021&gt;(60-PARAM!$B$56))*HLOOKUP(($B1021+PARAM!$B$56)/12,Loyalty,2)*$F$1*MAX(BN1020,0)</f>
        <v>18.557001321003963</v>
      </c>
      <c r="BM1021" s="75">
        <f>PARAM!$C$26+MAX($G$18-CHOOSE(PARAM!$B$44,MAX(0,BN1020*$F$1),0),0)*RATES!$L997/12+$H$18*(PARAM!$D$51/12)*RATES!$N997/100</f>
        <v>1190.0416666666667</v>
      </c>
      <c r="BN1021" s="16">
        <f t="shared" si="686"/>
        <v>-380795.62371114059</v>
      </c>
      <c r="BO1021" s="15">
        <f t="shared" si="661"/>
        <v>22.170849845882874</v>
      </c>
      <c r="BP1021" s="75">
        <f>BO1021*(1-PARAM!$C$27)*$I$19+(MOD($B1021,60)=PARAM!$B$56)*($B1021&gt;(60-PARAM!$B$56))*HLOOKUP(($B1021+PARAM!$B$56)/12,Loyalty,2)*$F$1*MAX(BR1020,0)</f>
        <v>18.557001321003963</v>
      </c>
      <c r="BQ1021" s="75">
        <f>PARAM!$C$26+MAX($G$19-CHOOSE(PARAM!$B$44,MAX(0,BR1020*$F$1),0),0)*RATES!$L997/12+$H$19*(PARAM!$D$51/12)*RATES!$N997/100</f>
        <v>1190.0416666666667</v>
      </c>
      <c r="BR1021" s="16">
        <f t="shared" si="687"/>
        <v>-380795.62371114059</v>
      </c>
      <c r="BS1021" s="15">
        <f t="shared" si="662"/>
        <v>22.170849845882874</v>
      </c>
      <c r="BT1021" s="75">
        <f>BS1021*(1-PARAM!$C$27)*$I$20+(MOD($B1021,60)=PARAM!$B$56)*($B1021&gt;(60-PARAM!$B$56))*HLOOKUP(($B1021+PARAM!$B$56)/12,Loyalty,2)*$F$1*MAX(BV1020,0)</f>
        <v>18.557001321003963</v>
      </c>
      <c r="BU1021" s="75">
        <f>PARAM!$C$26+MAX($G$20-CHOOSE(PARAM!$B$44,MAX(0,BV1020*$F$1),0),0)*RATES!$L997/12+$H$20*(PARAM!$D$51/12)*RATES!$N997/100</f>
        <v>1190.0416666666667</v>
      </c>
      <c r="BV1021" s="16">
        <f t="shared" si="688"/>
        <v>-380795.62371114059</v>
      </c>
      <c r="BW1021" s="15">
        <f t="shared" si="663"/>
        <v>22.170849845882874</v>
      </c>
      <c r="BX1021" s="75">
        <f>BW1021*(1-PARAM!$C$27)*$I$21+(MOD($B1021,60)=PARAM!$B$56)*($B1021&gt;(60-PARAM!$B$56))*HLOOKUP(($B1021+PARAM!$B$56)/12,Loyalty,2)*$F$1*MAX(BZ1020,0)</f>
        <v>18.557001321003963</v>
      </c>
      <c r="BY1021" s="75">
        <f>PARAM!$C$26+MAX($G$21-CHOOSE(PARAM!$B$44,MAX(0,BZ1020*$F$1),0),0)*RATES!$L997/12+$H$21*(PARAM!$D$51/12)*RATES!$N997/100</f>
        <v>1190.0416666666667</v>
      </c>
      <c r="BZ1021" s="16">
        <f t="shared" si="689"/>
        <v>-380795.62371114059</v>
      </c>
      <c r="CA1021" s="15">
        <f t="shared" si="664"/>
        <v>22.170849845882874</v>
      </c>
      <c r="CB1021" s="75">
        <f>CA1021*(1-PARAM!$C$27)*$I$22+(MOD($B1021,60)=PARAM!$B$56)*($B1021&gt;(60-PARAM!$B$56))*HLOOKUP(($B1021+PARAM!$B$56)/12,Loyalty,2)*$F$1*MAX(CD1020,0)</f>
        <v>18.557001321003963</v>
      </c>
      <c r="CC1021" s="75">
        <f>PARAM!$C$26+MAX($G$22-CHOOSE(PARAM!$B$44,MAX(0,CD1020*$F$1),0),0)*RATES!$L997/12+$H$22*(PARAM!$D$51/12)*RATES!$N997/100</f>
        <v>1190.0416666666667</v>
      </c>
      <c r="CD1021" s="16">
        <f t="shared" si="690"/>
        <v>-380795.62371114059</v>
      </c>
      <c r="CE1021" s="33">
        <f>IF(0=MOD(B1021,12/PARAM!$D$51),1,0)</f>
        <v>1</v>
      </c>
      <c r="CF1021" s="15">
        <f t="shared" si="665"/>
        <v>0</v>
      </c>
      <c r="CG1021" s="75">
        <f>CF1021*(1-PARAM!$C$27)*$R$3+(MOD($B1021/12,5)=0)*($B1021&gt;60)*HLOOKUP($B1021/12,Loyalty,2)*$F$1*MAX(CI1020,0)</f>
        <v>0</v>
      </c>
      <c r="CH1021" s="75">
        <f>PARAM!$C$26+MAX($P$3-CHOOSE(PARAM!$B$44,MAX(0,CI1020*$F$1),0),0)*RATES!$L997/12+$Q$3*(PARAM!$D$51/12)*RATES!$N997/100</f>
        <v>1190.0416666666667</v>
      </c>
      <c r="CI1021" s="16">
        <f>IF(CI1020&gt;0,CI1020*PARAM!$C$53,CI1020)+CG1021-CH1021</f>
        <v>-399121.70833333518</v>
      </c>
      <c r="CJ1021" s="15">
        <f t="shared" si="691"/>
        <v>0</v>
      </c>
      <c r="CK1021" s="75">
        <f>CJ1021*(1-PARAM!$C$27)*$R$4+(MOD($B1021/12,5)=0)*($B1021&gt;60)*HLOOKUP($B1021/12,Loyalty,2)*$F$1*MAX(CM1020,0)</f>
        <v>0</v>
      </c>
      <c r="CL1021" s="75">
        <f>PARAM!$C$26+MAX($P$4-CHOOSE(PARAM!$B$44,MAX(0,CM1020*$F$1),0),0)*RATES!$L997/12+$Q$4*(PARAM!$D$51/12)*RATES!$N997/100</f>
        <v>1190.0416666666667</v>
      </c>
      <c r="CM1021" s="16">
        <f>IF(CM1020&gt;0,CM1020*PARAM!$C$53,CM1020)+CK1021-CL1021</f>
        <v>-399121.70833333518</v>
      </c>
      <c r="CO1021" s="176"/>
    </row>
    <row r="1022" spans="1:93" x14ac:dyDescent="0.2">
      <c r="A1022" t="b">
        <f t="shared" si="666"/>
        <v>0</v>
      </c>
      <c r="B1022" s="33">
        <v>995</v>
      </c>
      <c r="C1022" s="15">
        <f t="shared" si="667"/>
        <v>20.081305947392778</v>
      </c>
      <c r="D1022" s="75">
        <f>C1022*(1-PARAM!$C$27)*$I$3+(MOD($B1022,60)=PARAM!$B$56)*($B1022&gt;(60-PARAM!$B$56))*HLOOKUP(($B1022+PARAM!$B$56)/12,Loyalty,2)*$F$1*MAX(F1021,0)</f>
        <v>16.808053077967756</v>
      </c>
      <c r="E1022" s="75">
        <f>PARAM!$C$26+MAX($G$3-CHOOSE(PARAM!$B$44,MAX(0,F1021*$F$1),0),0)*RATES!$L998/12+$H$3*(PARAM!$D$51/12)*RATES!$N998/100</f>
        <v>1190.0416666666667</v>
      </c>
      <c r="F1022" s="16">
        <f t="shared" si="668"/>
        <v>-383744.16237882967</v>
      </c>
      <c r="G1022" s="15">
        <f t="shared" si="669"/>
        <v>22.035289406060361</v>
      </c>
      <c r="H1022" s="75">
        <f>G1022*(1-PARAM!$C$27)*$I$4+(MOD($B1022,60)=PARAM!$B$56)*($B1022&gt;(60-PARAM!$B$56))*HLOOKUP(($B1022+PARAM!$B$56)/12,Loyalty,2)*$F$1*MAX(J1021,0)</f>
        <v>18.443537232872522</v>
      </c>
      <c r="I1022" s="75">
        <f>PARAM!$C$26+MAX($G$4-CHOOSE(PARAM!$B$44,MAX(0,J1021*$F$1),0),0)*RATES!$L998/12+$H$4*(PARAM!$D$51/12)*RATES!$N998/100</f>
        <v>1190.0416666666667</v>
      </c>
      <c r="J1022" s="16">
        <f t="shared" si="670"/>
        <v>-382083.02268057474</v>
      </c>
      <c r="K1022" s="15">
        <f t="shared" si="671"/>
        <v>22.170849845882874</v>
      </c>
      <c r="L1022" s="75">
        <f>K1022*(1-PARAM!$C$27)*$I$5+(MOD($B1022,60)=PARAM!$B$56)*($B1022&gt;(60-PARAM!$B$56))*HLOOKUP(($B1022+PARAM!$B$56)/12,Loyalty,2)*$F$1*MAX(N1021,0)</f>
        <v>18.557001321003963</v>
      </c>
      <c r="M1022" s="75">
        <f>PARAM!$C$26+MAX($G$5-CHOOSE(PARAM!$B$44,MAX(0,N1021*$F$1),0),0)*RATES!$L998/12+$H$5*(PARAM!$D$51/12)*RATES!$N998/100</f>
        <v>1190.0416666666667</v>
      </c>
      <c r="N1022" s="16">
        <f t="shared" si="672"/>
        <v>-381967.10837648629</v>
      </c>
      <c r="O1022" s="15">
        <f t="shared" si="673"/>
        <v>22.170849845882874</v>
      </c>
      <c r="P1022" s="75">
        <f>O1022*(1-PARAM!$C$27)*$I$6+(MOD($B1022,60)=PARAM!$B$56)*($B1022&gt;(60-PARAM!$B$56))*HLOOKUP(($B1022+PARAM!$B$56)/12,Loyalty,2)*$F$1*MAX(R1021,0)</f>
        <v>18.557001321003963</v>
      </c>
      <c r="Q1022" s="75">
        <f>PARAM!$C$26+MAX($G$6-CHOOSE(PARAM!$B$44,MAX(0,R1021*$F$1),0),0)*RATES!$L998/12+$H$6*(PARAM!$D$51/12)*RATES!$N998/100</f>
        <v>1190.0416666666667</v>
      </c>
      <c r="R1022" s="16">
        <f t="shared" si="674"/>
        <v>-381967.10837648629</v>
      </c>
      <c r="S1022" s="15">
        <f t="shared" si="649"/>
        <v>22.170849845882874</v>
      </c>
      <c r="T1022" s="75">
        <f>S1022*(1-PARAM!$C$27)*$I$7+(MOD($B1022,60)=PARAM!$B$56)*($B1022&gt;(60-PARAM!$B$56))*HLOOKUP(($B1022+PARAM!$B$56)/12,Loyalty,2)*$F$1*MAX(V1021,0)</f>
        <v>18.557001321003963</v>
      </c>
      <c r="U1022" s="75">
        <f>PARAM!$C$26+MAX($G$7-CHOOSE(PARAM!$B$44,MAX(0,V1021*$F$1),0),0)*RATES!$L998/12+$H$7*(PARAM!$D$51/12)*RATES!$N998/100</f>
        <v>1190.0416666666667</v>
      </c>
      <c r="V1022" s="16">
        <f t="shared" si="675"/>
        <v>-381967.10837648629</v>
      </c>
      <c r="W1022" s="15">
        <f t="shared" si="650"/>
        <v>22.170849845882874</v>
      </c>
      <c r="X1022" s="75">
        <f>W1022*(1-PARAM!$C$27)*$I$8+(MOD($B1022,60)=PARAM!$B$56)*($B1022&gt;(60-PARAM!$B$56))*HLOOKUP(($B1022+PARAM!$B$56)/12,Loyalty,2)*$F$1*MAX(Z1021,0)</f>
        <v>18.557001321003963</v>
      </c>
      <c r="Y1022" s="75">
        <f>PARAM!$C$26+MAX($G$8-CHOOSE(PARAM!$B$44,MAX(0,Z1021*$F$1),0),0)*RATES!$L998/12+$H$8*(PARAM!$D$51/12)*RATES!$N998/100</f>
        <v>1190.0416666666667</v>
      </c>
      <c r="Z1022" s="16">
        <f t="shared" si="676"/>
        <v>-381967.10837648629</v>
      </c>
      <c r="AA1022" s="15">
        <f t="shared" si="651"/>
        <v>22.170849845882874</v>
      </c>
      <c r="AB1022" s="75">
        <f>AA1022*(1-PARAM!$C$27)*$I$9+(MOD($B1022,60)=PARAM!$B$56)*($B1022&gt;(60-PARAM!$B$56))*HLOOKUP(($B1022+PARAM!$B$56)/12,Loyalty,2)*$F$1*MAX(AD1021,0)</f>
        <v>18.557001321003963</v>
      </c>
      <c r="AC1022" s="75">
        <f>PARAM!$C$26+MAX($G$9-CHOOSE(PARAM!$B$44,MAX(0,AD1021*$F$1),0),0)*RATES!$L998/12+$H$9*(PARAM!$D$51/12)*RATES!$N998/100</f>
        <v>1190.0416666666667</v>
      </c>
      <c r="AD1022" s="16">
        <f t="shared" si="677"/>
        <v>-381967.10837648629</v>
      </c>
      <c r="AE1022" s="15">
        <f t="shared" si="652"/>
        <v>22.170849845882874</v>
      </c>
      <c r="AF1022" s="75">
        <f>AE1022*(1-PARAM!$C$27)*$I$10+(MOD($B1022,60)=PARAM!$B$56)*($B1022&gt;(60-PARAM!$B$56))*HLOOKUP(($B1022+PARAM!$B$56)/12,Loyalty,2)*$F$1*MAX(AH1021,0)</f>
        <v>18.557001321003963</v>
      </c>
      <c r="AG1022" s="75">
        <f>PARAM!$C$26+MAX($G$10-CHOOSE(PARAM!$B$44,MAX(0,AH1021*$F$1),0),0)*RATES!$L998/12+$H$10*(PARAM!$D$51/12)*RATES!$N998/100</f>
        <v>1190.0416666666667</v>
      </c>
      <c r="AH1022" s="16">
        <f t="shared" si="678"/>
        <v>-381967.10837648629</v>
      </c>
      <c r="AI1022" s="15">
        <f t="shared" si="653"/>
        <v>22.170849845882874</v>
      </c>
      <c r="AJ1022" s="75">
        <f>AI1022*(1-PARAM!$C$27)*$I$11+(MOD($B1022,60)=PARAM!$B$56)*($B1022&gt;(60-PARAM!$B$56))*HLOOKUP(($B1022+PARAM!$B$56)/12,Loyalty,2)*$F$1*MAX(AL1021,0)</f>
        <v>18.557001321003963</v>
      </c>
      <c r="AK1022" s="75">
        <f>PARAM!$C$26+MAX($G$11-CHOOSE(PARAM!$B$44,MAX(0,AL1021*$F$1),0),0)*RATES!$L998/12+$H$11*(PARAM!$D$51/12)*RATES!$N998/100</f>
        <v>1190.0416666666667</v>
      </c>
      <c r="AL1022" s="16">
        <f t="shared" si="679"/>
        <v>-381967.10837648629</v>
      </c>
      <c r="AM1022" s="15">
        <f t="shared" si="654"/>
        <v>22.170849845882874</v>
      </c>
      <c r="AN1022" s="75">
        <f>AM1022*(1-PARAM!$C$27)*$I$12+(MOD($B1022,60)=PARAM!$B$56)*($B1022&gt;(60-PARAM!$B$56))*HLOOKUP(($B1022+PARAM!$B$56)/12,Loyalty,2)*$F$1*MAX(AP1021,0)</f>
        <v>18.557001321003963</v>
      </c>
      <c r="AO1022" s="75">
        <f>PARAM!$C$26+MAX($G$12-CHOOSE(PARAM!$B$44,MAX(0,AP1021*$F$1),0),0)*RATES!$L998/12+$H$12*(PARAM!$D$51/12)*RATES!$N998/100</f>
        <v>1190.0416666666667</v>
      </c>
      <c r="AP1022" s="16">
        <f t="shared" si="680"/>
        <v>-381967.10837648629</v>
      </c>
      <c r="AQ1022" s="15">
        <f t="shared" si="655"/>
        <v>22.170849845882874</v>
      </c>
      <c r="AR1022" s="75">
        <f>AQ1022*(1-PARAM!$C$27)*$I$13+(MOD($B1022,60)=PARAM!$B$56)*($B1022&gt;(60-PARAM!$B$56))*HLOOKUP(($B1022+PARAM!$B$56)/12,Loyalty,2)*$F$1*MAX(AT1021,0)</f>
        <v>18.557001321003963</v>
      </c>
      <c r="AS1022" s="75">
        <f>PARAM!$C$26+MAX($G$13-CHOOSE(PARAM!$B$44,MAX(0,AT1021*$F$1),0),0)*RATES!$L998/12+$H$13*(PARAM!$D$51/12)*RATES!$N998/100</f>
        <v>1190.0416666666667</v>
      </c>
      <c r="AT1022" s="16">
        <f t="shared" si="681"/>
        <v>-381967.10837648629</v>
      </c>
      <c r="AU1022" s="15">
        <f t="shared" si="656"/>
        <v>22.170849845882874</v>
      </c>
      <c r="AV1022" s="75">
        <f>AU1022*(1-PARAM!$C$27)*$I$14+(MOD($B1022,60)=PARAM!$B$56)*($B1022&gt;(60-PARAM!$B$56))*HLOOKUP(($B1022+PARAM!$B$56)/12,Loyalty,2)*$F$1*MAX(AX1021,0)</f>
        <v>18.557001321003963</v>
      </c>
      <c r="AW1022" s="75">
        <f>PARAM!$C$26+MAX($G$14-CHOOSE(PARAM!$B$44,MAX(0,AX1021*$F$1),0),0)*RATES!$L998/12+$H$14*(PARAM!$D$51/12)*RATES!$N998/100</f>
        <v>1190.0416666666667</v>
      </c>
      <c r="AX1022" s="16">
        <f t="shared" si="682"/>
        <v>-381967.10837648629</v>
      </c>
      <c r="AY1022" s="15">
        <f t="shared" si="657"/>
        <v>22.170849845882874</v>
      </c>
      <c r="AZ1022" s="75">
        <f>AY1022*(1-PARAM!$C$27)*$I$15+(MOD($B1022,60)=PARAM!$B$56)*($B1022&gt;(60-PARAM!$B$56))*HLOOKUP(($B1022+PARAM!$B$56)/12,Loyalty,2)*$F$1*MAX(BB1021,0)</f>
        <v>18.557001321003963</v>
      </c>
      <c r="BA1022" s="75">
        <f>PARAM!$C$26+MAX($G$15-CHOOSE(PARAM!$B$44,MAX(0,BB1021*$F$1),0),0)*RATES!$L998/12+$H$15*(PARAM!$D$51/12)*RATES!$N998/100</f>
        <v>1190.0416666666667</v>
      </c>
      <c r="BB1022" s="16">
        <f t="shared" si="683"/>
        <v>-381967.10837648629</v>
      </c>
      <c r="BC1022" s="15">
        <f t="shared" si="658"/>
        <v>22.170849845882874</v>
      </c>
      <c r="BD1022" s="75">
        <f>BC1022*(1-PARAM!$C$27)*$I$16+(MOD($B1022,60)=PARAM!$B$56)*($B1022&gt;(60-PARAM!$B$56))*HLOOKUP(($B1022+PARAM!$B$56)/12,Loyalty,2)*$F$1*MAX(BF1021,0)</f>
        <v>18.557001321003963</v>
      </c>
      <c r="BE1022" s="75">
        <f>PARAM!$C$26+MAX($G$16-CHOOSE(PARAM!$B$44,MAX(0,BF1021*$F$1),0),0)*RATES!$L998/12+$H$16*(PARAM!$D$51/12)*RATES!$N998/100</f>
        <v>1190.0416666666667</v>
      </c>
      <c r="BF1022" s="16">
        <f t="shared" si="684"/>
        <v>-381967.10837648629</v>
      </c>
      <c r="BG1022" s="15">
        <f t="shared" si="659"/>
        <v>22.170849845882874</v>
      </c>
      <c r="BH1022" s="75">
        <f>BG1022*(1-PARAM!$C$27)*$I$17+(MOD($B1022,60)=PARAM!$B$56)*($B1022&gt;(60-PARAM!$B$56))*HLOOKUP(($B1022+PARAM!$B$56)/12,Loyalty,2)*$F$1*MAX(BJ1021,0)</f>
        <v>18.557001321003963</v>
      </c>
      <c r="BI1022" s="75">
        <f>PARAM!$C$26+MAX($G$17-CHOOSE(PARAM!$B$44,MAX(0,BJ1021*$F$1),0),0)*RATES!$L998/12+$H$17*(PARAM!$D$51/12)*RATES!$N998/100</f>
        <v>1190.0416666666667</v>
      </c>
      <c r="BJ1022" s="16">
        <f t="shared" si="685"/>
        <v>-381967.10837648629</v>
      </c>
      <c r="BK1022" s="15">
        <f t="shared" si="660"/>
        <v>22.170849845882874</v>
      </c>
      <c r="BL1022" s="75">
        <f>BK1022*(1-PARAM!$C$27)*$I$18+(MOD($B1022,60)=PARAM!$B$56)*($B1022&gt;(60-PARAM!$B$56))*HLOOKUP(($B1022+PARAM!$B$56)/12,Loyalty,2)*$F$1*MAX(BN1021,0)</f>
        <v>18.557001321003963</v>
      </c>
      <c r="BM1022" s="75">
        <f>PARAM!$C$26+MAX($G$18-CHOOSE(PARAM!$B$44,MAX(0,BN1021*$F$1),0),0)*RATES!$L998/12+$H$18*(PARAM!$D$51/12)*RATES!$N998/100</f>
        <v>1190.0416666666667</v>
      </c>
      <c r="BN1022" s="16">
        <f t="shared" si="686"/>
        <v>-381967.10837648629</v>
      </c>
      <c r="BO1022" s="15">
        <f t="shared" si="661"/>
        <v>22.170849845882874</v>
      </c>
      <c r="BP1022" s="75">
        <f>BO1022*(1-PARAM!$C$27)*$I$19+(MOD($B1022,60)=PARAM!$B$56)*($B1022&gt;(60-PARAM!$B$56))*HLOOKUP(($B1022+PARAM!$B$56)/12,Loyalty,2)*$F$1*MAX(BR1021,0)</f>
        <v>18.557001321003963</v>
      </c>
      <c r="BQ1022" s="75">
        <f>PARAM!$C$26+MAX($G$19-CHOOSE(PARAM!$B$44,MAX(0,BR1021*$F$1),0),0)*RATES!$L998/12+$H$19*(PARAM!$D$51/12)*RATES!$N998/100</f>
        <v>1190.0416666666667</v>
      </c>
      <c r="BR1022" s="16">
        <f t="shared" si="687"/>
        <v>-381967.10837648629</v>
      </c>
      <c r="BS1022" s="15">
        <f t="shared" si="662"/>
        <v>22.170849845882874</v>
      </c>
      <c r="BT1022" s="75">
        <f>BS1022*(1-PARAM!$C$27)*$I$20+(MOD($B1022,60)=PARAM!$B$56)*($B1022&gt;(60-PARAM!$B$56))*HLOOKUP(($B1022+PARAM!$B$56)/12,Loyalty,2)*$F$1*MAX(BV1021,0)</f>
        <v>18.557001321003963</v>
      </c>
      <c r="BU1022" s="75">
        <f>PARAM!$C$26+MAX($G$20-CHOOSE(PARAM!$B$44,MAX(0,BV1021*$F$1),0),0)*RATES!$L998/12+$H$20*(PARAM!$D$51/12)*RATES!$N998/100</f>
        <v>1190.0416666666667</v>
      </c>
      <c r="BV1022" s="16">
        <f t="shared" si="688"/>
        <v>-381967.10837648629</v>
      </c>
      <c r="BW1022" s="15">
        <f t="shared" si="663"/>
        <v>22.170849845882874</v>
      </c>
      <c r="BX1022" s="75">
        <f>BW1022*(1-PARAM!$C$27)*$I$21+(MOD($B1022,60)=PARAM!$B$56)*($B1022&gt;(60-PARAM!$B$56))*HLOOKUP(($B1022+PARAM!$B$56)/12,Loyalty,2)*$F$1*MAX(BZ1021,0)</f>
        <v>18.557001321003963</v>
      </c>
      <c r="BY1022" s="75">
        <f>PARAM!$C$26+MAX($G$21-CHOOSE(PARAM!$B$44,MAX(0,BZ1021*$F$1),0),0)*RATES!$L998/12+$H$21*(PARAM!$D$51/12)*RATES!$N998/100</f>
        <v>1190.0416666666667</v>
      </c>
      <c r="BZ1022" s="16">
        <f t="shared" si="689"/>
        <v>-381967.10837648629</v>
      </c>
      <c r="CA1022" s="15">
        <f t="shared" si="664"/>
        <v>22.170849845882874</v>
      </c>
      <c r="CB1022" s="75">
        <f>CA1022*(1-PARAM!$C$27)*$I$22+(MOD($B1022,60)=PARAM!$B$56)*($B1022&gt;(60-PARAM!$B$56))*HLOOKUP(($B1022+PARAM!$B$56)/12,Loyalty,2)*$F$1*MAX(CD1021,0)</f>
        <v>18.557001321003963</v>
      </c>
      <c r="CC1022" s="75">
        <f>PARAM!$C$26+MAX($G$22-CHOOSE(PARAM!$B$44,MAX(0,CD1021*$F$1),0),0)*RATES!$L998/12+$H$22*(PARAM!$D$51/12)*RATES!$N998/100</f>
        <v>1190.0416666666667</v>
      </c>
      <c r="CD1022" s="16">
        <f t="shared" si="690"/>
        <v>-381967.10837648629</v>
      </c>
      <c r="CE1022" s="33">
        <f>IF(0=MOD(B1022,12/PARAM!$D$51),1,0)</f>
        <v>1</v>
      </c>
      <c r="CF1022" s="15">
        <f t="shared" si="665"/>
        <v>0</v>
      </c>
      <c r="CG1022" s="75">
        <f>CF1022*(1-PARAM!$C$27)*$R$3+(MOD($B1022/12,5)=0)*($B1022&gt;60)*HLOOKUP($B1022/12,Loyalty,2)*$F$1*MAX(CI1021,0)</f>
        <v>0</v>
      </c>
      <c r="CH1022" s="75">
        <f>PARAM!$C$26+MAX($P$3-CHOOSE(PARAM!$B$44,MAX(0,CI1021*$F$1),0),0)*RATES!$L998/12+$Q$3*(PARAM!$D$51/12)*RATES!$N998/100</f>
        <v>1190.0416666666667</v>
      </c>
      <c r="CI1022" s="16">
        <f>IF(CI1021&gt;0,CI1021*PARAM!$C$53,CI1021)+CG1022-CH1022</f>
        <v>-400311.75000000186</v>
      </c>
      <c r="CJ1022" s="15">
        <f t="shared" si="691"/>
        <v>0</v>
      </c>
      <c r="CK1022" s="75">
        <f>CJ1022*(1-PARAM!$C$27)*$R$4+(MOD($B1022/12,5)=0)*($B1022&gt;60)*HLOOKUP($B1022/12,Loyalty,2)*$F$1*MAX(CM1021,0)</f>
        <v>0</v>
      </c>
      <c r="CL1022" s="75">
        <f>PARAM!$C$26+MAX($P$4-CHOOSE(PARAM!$B$44,MAX(0,CM1021*$F$1),0),0)*RATES!$L998/12+$Q$4*(PARAM!$D$51/12)*RATES!$N998/100</f>
        <v>1190.0416666666667</v>
      </c>
      <c r="CM1022" s="16">
        <f>IF(CM1021&gt;0,CM1021*PARAM!$C$53,CM1021)+CK1022-CL1022</f>
        <v>-400311.75000000186</v>
      </c>
      <c r="CO1022" s="176"/>
    </row>
    <row r="1023" spans="1:93" x14ac:dyDescent="0.2">
      <c r="A1023" t="b">
        <f t="shared" si="666"/>
        <v>0</v>
      </c>
      <c r="B1023" s="33">
        <v>996</v>
      </c>
      <c r="C1023" s="15">
        <f t="shared" si="667"/>
        <v>20.081305947392778</v>
      </c>
      <c r="D1023" s="75">
        <f>C1023*(1-PARAM!$C$27)*$I$3+(MOD($B1023,60)=PARAM!$B$56)*($B1023&gt;(60-PARAM!$B$56))*HLOOKUP(($B1023+PARAM!$B$56)/12,Loyalty,2)*$F$1*MAX(F1022,0)</f>
        <v>16.808053077967756</v>
      </c>
      <c r="E1023" s="75">
        <f>PARAM!$C$26+MAX($G$3-CHOOSE(PARAM!$B$44,MAX(0,F1022*$F$1),0),0)*RATES!$L999/12+$H$3*(PARAM!$D$51/12)*RATES!$N999/100</f>
        <v>1190.0416666666667</v>
      </c>
      <c r="F1023" s="16">
        <f t="shared" si="668"/>
        <v>-384917.3959924184</v>
      </c>
      <c r="G1023" s="15">
        <f t="shared" si="669"/>
        <v>22.035289406060361</v>
      </c>
      <c r="H1023" s="75">
        <f>G1023*(1-PARAM!$C$27)*$I$4+(MOD($B1023,60)=PARAM!$B$56)*($B1023&gt;(60-PARAM!$B$56))*HLOOKUP(($B1023+PARAM!$B$56)/12,Loyalty,2)*$F$1*MAX(J1022,0)</f>
        <v>18.443537232872522</v>
      </c>
      <c r="I1023" s="75">
        <f>PARAM!$C$26+MAX($G$4-CHOOSE(PARAM!$B$44,MAX(0,J1022*$F$1),0),0)*RATES!$L999/12+$H$4*(PARAM!$D$51/12)*RATES!$N999/100</f>
        <v>1190.0416666666667</v>
      </c>
      <c r="J1023" s="16">
        <f t="shared" si="670"/>
        <v>-383254.62081000855</v>
      </c>
      <c r="K1023" s="15">
        <f t="shared" si="671"/>
        <v>22.170849845882874</v>
      </c>
      <c r="L1023" s="75">
        <f>K1023*(1-PARAM!$C$27)*$I$5+(MOD($B1023,60)=PARAM!$B$56)*($B1023&gt;(60-PARAM!$B$56))*HLOOKUP(($B1023+PARAM!$B$56)/12,Loyalty,2)*$F$1*MAX(N1022,0)</f>
        <v>18.557001321003963</v>
      </c>
      <c r="M1023" s="75">
        <f>PARAM!$C$26+MAX($G$5-CHOOSE(PARAM!$B$44,MAX(0,N1022*$F$1),0),0)*RATES!$L999/12+$H$5*(PARAM!$D$51/12)*RATES!$N999/100</f>
        <v>1190.0416666666667</v>
      </c>
      <c r="N1023" s="16">
        <f t="shared" si="672"/>
        <v>-383138.59304183198</v>
      </c>
      <c r="O1023" s="15">
        <f t="shared" si="673"/>
        <v>22.170849845882874</v>
      </c>
      <c r="P1023" s="75">
        <f>O1023*(1-PARAM!$C$27)*$I$6+(MOD($B1023,60)=PARAM!$B$56)*($B1023&gt;(60-PARAM!$B$56))*HLOOKUP(($B1023+PARAM!$B$56)/12,Loyalty,2)*$F$1*MAX(R1022,0)</f>
        <v>18.557001321003963</v>
      </c>
      <c r="Q1023" s="75">
        <f>PARAM!$C$26+MAX($G$6-CHOOSE(PARAM!$B$44,MAX(0,R1022*$F$1),0),0)*RATES!$L999/12+$H$6*(PARAM!$D$51/12)*RATES!$N999/100</f>
        <v>1190.0416666666667</v>
      </c>
      <c r="R1023" s="16">
        <f t="shared" si="674"/>
        <v>-383138.59304183198</v>
      </c>
      <c r="S1023" s="15">
        <f t="shared" si="649"/>
        <v>22.170849845882874</v>
      </c>
      <c r="T1023" s="75">
        <f>S1023*(1-PARAM!$C$27)*$I$7+(MOD($B1023,60)=PARAM!$B$56)*($B1023&gt;(60-PARAM!$B$56))*HLOOKUP(($B1023+PARAM!$B$56)/12,Loyalty,2)*$F$1*MAX(V1022,0)</f>
        <v>18.557001321003963</v>
      </c>
      <c r="U1023" s="75">
        <f>PARAM!$C$26+MAX($G$7-CHOOSE(PARAM!$B$44,MAX(0,V1022*$F$1),0),0)*RATES!$L999/12+$H$7*(PARAM!$D$51/12)*RATES!$N999/100</f>
        <v>1190.0416666666667</v>
      </c>
      <c r="V1023" s="16">
        <f t="shared" si="675"/>
        <v>-383138.59304183198</v>
      </c>
      <c r="W1023" s="15">
        <f t="shared" si="650"/>
        <v>22.170849845882874</v>
      </c>
      <c r="X1023" s="75">
        <f>W1023*(1-PARAM!$C$27)*$I$8+(MOD($B1023,60)=PARAM!$B$56)*($B1023&gt;(60-PARAM!$B$56))*HLOOKUP(($B1023+PARAM!$B$56)/12,Loyalty,2)*$F$1*MAX(Z1022,0)</f>
        <v>18.557001321003963</v>
      </c>
      <c r="Y1023" s="75">
        <f>PARAM!$C$26+MAX($G$8-CHOOSE(PARAM!$B$44,MAX(0,Z1022*$F$1),0),0)*RATES!$L999/12+$H$8*(PARAM!$D$51/12)*RATES!$N999/100</f>
        <v>1190.0416666666667</v>
      </c>
      <c r="Z1023" s="16">
        <f t="shared" si="676"/>
        <v>-383138.59304183198</v>
      </c>
      <c r="AA1023" s="15">
        <f t="shared" si="651"/>
        <v>22.170849845882874</v>
      </c>
      <c r="AB1023" s="75">
        <f>AA1023*(1-PARAM!$C$27)*$I$9+(MOD($B1023,60)=PARAM!$B$56)*($B1023&gt;(60-PARAM!$B$56))*HLOOKUP(($B1023+PARAM!$B$56)/12,Loyalty,2)*$F$1*MAX(AD1022,0)</f>
        <v>18.557001321003963</v>
      </c>
      <c r="AC1023" s="75">
        <f>PARAM!$C$26+MAX($G$9-CHOOSE(PARAM!$B$44,MAX(0,AD1022*$F$1),0),0)*RATES!$L999/12+$H$9*(PARAM!$D$51/12)*RATES!$N999/100</f>
        <v>1190.0416666666667</v>
      </c>
      <c r="AD1023" s="16">
        <f t="shared" si="677"/>
        <v>-383138.59304183198</v>
      </c>
      <c r="AE1023" s="15">
        <f t="shared" si="652"/>
        <v>22.170849845882874</v>
      </c>
      <c r="AF1023" s="75">
        <f>AE1023*(1-PARAM!$C$27)*$I$10+(MOD($B1023,60)=PARAM!$B$56)*($B1023&gt;(60-PARAM!$B$56))*HLOOKUP(($B1023+PARAM!$B$56)/12,Loyalty,2)*$F$1*MAX(AH1022,0)</f>
        <v>18.557001321003963</v>
      </c>
      <c r="AG1023" s="75">
        <f>PARAM!$C$26+MAX($G$10-CHOOSE(PARAM!$B$44,MAX(0,AH1022*$F$1),0),0)*RATES!$L999/12+$H$10*(PARAM!$D$51/12)*RATES!$N999/100</f>
        <v>1190.0416666666667</v>
      </c>
      <c r="AH1023" s="16">
        <f t="shared" si="678"/>
        <v>-383138.59304183198</v>
      </c>
      <c r="AI1023" s="15">
        <f t="shared" si="653"/>
        <v>22.170849845882874</v>
      </c>
      <c r="AJ1023" s="75">
        <f>AI1023*(1-PARAM!$C$27)*$I$11+(MOD($B1023,60)=PARAM!$B$56)*($B1023&gt;(60-PARAM!$B$56))*HLOOKUP(($B1023+PARAM!$B$56)/12,Loyalty,2)*$F$1*MAX(AL1022,0)</f>
        <v>18.557001321003963</v>
      </c>
      <c r="AK1023" s="75">
        <f>PARAM!$C$26+MAX($G$11-CHOOSE(PARAM!$B$44,MAX(0,AL1022*$F$1),0),0)*RATES!$L999/12+$H$11*(PARAM!$D$51/12)*RATES!$N999/100</f>
        <v>1190.0416666666667</v>
      </c>
      <c r="AL1023" s="16">
        <f t="shared" si="679"/>
        <v>-383138.59304183198</v>
      </c>
      <c r="AM1023" s="15">
        <f t="shared" si="654"/>
        <v>22.170849845882874</v>
      </c>
      <c r="AN1023" s="75">
        <f>AM1023*(1-PARAM!$C$27)*$I$12+(MOD($B1023,60)=PARAM!$B$56)*($B1023&gt;(60-PARAM!$B$56))*HLOOKUP(($B1023+PARAM!$B$56)/12,Loyalty,2)*$F$1*MAX(AP1022,0)</f>
        <v>18.557001321003963</v>
      </c>
      <c r="AO1023" s="75">
        <f>PARAM!$C$26+MAX($G$12-CHOOSE(PARAM!$B$44,MAX(0,AP1022*$F$1),0),0)*RATES!$L999/12+$H$12*(PARAM!$D$51/12)*RATES!$N999/100</f>
        <v>1190.0416666666667</v>
      </c>
      <c r="AP1023" s="16">
        <f t="shared" si="680"/>
        <v>-383138.59304183198</v>
      </c>
      <c r="AQ1023" s="15">
        <f t="shared" si="655"/>
        <v>22.170849845882874</v>
      </c>
      <c r="AR1023" s="75">
        <f>AQ1023*(1-PARAM!$C$27)*$I$13+(MOD($B1023,60)=PARAM!$B$56)*($B1023&gt;(60-PARAM!$B$56))*HLOOKUP(($B1023+PARAM!$B$56)/12,Loyalty,2)*$F$1*MAX(AT1022,0)</f>
        <v>18.557001321003963</v>
      </c>
      <c r="AS1023" s="75">
        <f>PARAM!$C$26+MAX($G$13-CHOOSE(PARAM!$B$44,MAX(0,AT1022*$F$1),0),0)*RATES!$L999/12+$H$13*(PARAM!$D$51/12)*RATES!$N999/100</f>
        <v>1190.0416666666667</v>
      </c>
      <c r="AT1023" s="16">
        <f t="shared" si="681"/>
        <v>-383138.59304183198</v>
      </c>
      <c r="AU1023" s="15">
        <f t="shared" si="656"/>
        <v>22.170849845882874</v>
      </c>
      <c r="AV1023" s="75">
        <f>AU1023*(1-PARAM!$C$27)*$I$14+(MOD($B1023,60)=PARAM!$B$56)*($B1023&gt;(60-PARAM!$B$56))*HLOOKUP(($B1023+PARAM!$B$56)/12,Loyalty,2)*$F$1*MAX(AX1022,0)</f>
        <v>18.557001321003963</v>
      </c>
      <c r="AW1023" s="75">
        <f>PARAM!$C$26+MAX($G$14-CHOOSE(PARAM!$B$44,MAX(0,AX1022*$F$1),0),0)*RATES!$L999/12+$H$14*(PARAM!$D$51/12)*RATES!$N999/100</f>
        <v>1190.0416666666667</v>
      </c>
      <c r="AX1023" s="16">
        <f t="shared" si="682"/>
        <v>-383138.59304183198</v>
      </c>
      <c r="AY1023" s="15">
        <f t="shared" si="657"/>
        <v>22.170849845882874</v>
      </c>
      <c r="AZ1023" s="75">
        <f>AY1023*(1-PARAM!$C$27)*$I$15+(MOD($B1023,60)=PARAM!$B$56)*($B1023&gt;(60-PARAM!$B$56))*HLOOKUP(($B1023+PARAM!$B$56)/12,Loyalty,2)*$F$1*MAX(BB1022,0)</f>
        <v>18.557001321003963</v>
      </c>
      <c r="BA1023" s="75">
        <f>PARAM!$C$26+MAX($G$15-CHOOSE(PARAM!$B$44,MAX(0,BB1022*$F$1),0),0)*RATES!$L999/12+$H$15*(PARAM!$D$51/12)*RATES!$N999/100</f>
        <v>1190.0416666666667</v>
      </c>
      <c r="BB1023" s="16">
        <f t="shared" si="683"/>
        <v>-383138.59304183198</v>
      </c>
      <c r="BC1023" s="15">
        <f t="shared" si="658"/>
        <v>22.170849845882874</v>
      </c>
      <c r="BD1023" s="75">
        <f>BC1023*(1-PARAM!$C$27)*$I$16+(MOD($B1023,60)=PARAM!$B$56)*($B1023&gt;(60-PARAM!$B$56))*HLOOKUP(($B1023+PARAM!$B$56)/12,Loyalty,2)*$F$1*MAX(BF1022,0)</f>
        <v>18.557001321003963</v>
      </c>
      <c r="BE1023" s="75">
        <f>PARAM!$C$26+MAX($G$16-CHOOSE(PARAM!$B$44,MAX(0,BF1022*$F$1),0),0)*RATES!$L999/12+$H$16*(PARAM!$D$51/12)*RATES!$N999/100</f>
        <v>1190.0416666666667</v>
      </c>
      <c r="BF1023" s="16">
        <f t="shared" si="684"/>
        <v>-383138.59304183198</v>
      </c>
      <c r="BG1023" s="15">
        <f t="shared" si="659"/>
        <v>22.170849845882874</v>
      </c>
      <c r="BH1023" s="75">
        <f>BG1023*(1-PARAM!$C$27)*$I$17+(MOD($B1023,60)=PARAM!$B$56)*($B1023&gt;(60-PARAM!$B$56))*HLOOKUP(($B1023+PARAM!$B$56)/12,Loyalty,2)*$F$1*MAX(BJ1022,0)</f>
        <v>18.557001321003963</v>
      </c>
      <c r="BI1023" s="75">
        <f>PARAM!$C$26+MAX($G$17-CHOOSE(PARAM!$B$44,MAX(0,BJ1022*$F$1),0),0)*RATES!$L999/12+$H$17*(PARAM!$D$51/12)*RATES!$N999/100</f>
        <v>1190.0416666666667</v>
      </c>
      <c r="BJ1023" s="16">
        <f t="shared" si="685"/>
        <v>-383138.59304183198</v>
      </c>
      <c r="BK1023" s="15">
        <f t="shared" si="660"/>
        <v>22.170849845882874</v>
      </c>
      <c r="BL1023" s="75">
        <f>BK1023*(1-PARAM!$C$27)*$I$18+(MOD($B1023,60)=PARAM!$B$56)*($B1023&gt;(60-PARAM!$B$56))*HLOOKUP(($B1023+PARAM!$B$56)/12,Loyalty,2)*$F$1*MAX(BN1022,0)</f>
        <v>18.557001321003963</v>
      </c>
      <c r="BM1023" s="75">
        <f>PARAM!$C$26+MAX($G$18-CHOOSE(PARAM!$B$44,MAX(0,BN1022*$F$1),0),0)*RATES!$L999/12+$H$18*(PARAM!$D$51/12)*RATES!$N999/100</f>
        <v>1190.0416666666667</v>
      </c>
      <c r="BN1023" s="16">
        <f t="shared" si="686"/>
        <v>-383138.59304183198</v>
      </c>
      <c r="BO1023" s="15">
        <f t="shared" si="661"/>
        <v>22.170849845882874</v>
      </c>
      <c r="BP1023" s="75">
        <f>BO1023*(1-PARAM!$C$27)*$I$19+(MOD($B1023,60)=PARAM!$B$56)*($B1023&gt;(60-PARAM!$B$56))*HLOOKUP(($B1023+PARAM!$B$56)/12,Loyalty,2)*$F$1*MAX(BR1022,0)</f>
        <v>18.557001321003963</v>
      </c>
      <c r="BQ1023" s="75">
        <f>PARAM!$C$26+MAX($G$19-CHOOSE(PARAM!$B$44,MAX(0,BR1022*$F$1),0),0)*RATES!$L999/12+$H$19*(PARAM!$D$51/12)*RATES!$N999/100</f>
        <v>1190.0416666666667</v>
      </c>
      <c r="BR1023" s="16">
        <f t="shared" si="687"/>
        <v>-383138.59304183198</v>
      </c>
      <c r="BS1023" s="15">
        <f t="shared" si="662"/>
        <v>22.170849845882874</v>
      </c>
      <c r="BT1023" s="75">
        <f>BS1023*(1-PARAM!$C$27)*$I$20+(MOD($B1023,60)=PARAM!$B$56)*($B1023&gt;(60-PARAM!$B$56))*HLOOKUP(($B1023+PARAM!$B$56)/12,Loyalty,2)*$F$1*MAX(BV1022,0)</f>
        <v>18.557001321003963</v>
      </c>
      <c r="BU1023" s="75">
        <f>PARAM!$C$26+MAX($G$20-CHOOSE(PARAM!$B$44,MAX(0,BV1022*$F$1),0),0)*RATES!$L999/12+$H$20*(PARAM!$D$51/12)*RATES!$N999/100</f>
        <v>1190.0416666666667</v>
      </c>
      <c r="BV1023" s="16">
        <f t="shared" si="688"/>
        <v>-383138.59304183198</v>
      </c>
      <c r="BW1023" s="15">
        <f t="shared" si="663"/>
        <v>22.170849845882874</v>
      </c>
      <c r="BX1023" s="75">
        <f>BW1023*(1-PARAM!$C$27)*$I$21+(MOD($B1023,60)=PARAM!$B$56)*($B1023&gt;(60-PARAM!$B$56))*HLOOKUP(($B1023+PARAM!$B$56)/12,Loyalty,2)*$F$1*MAX(BZ1022,0)</f>
        <v>18.557001321003963</v>
      </c>
      <c r="BY1023" s="75">
        <f>PARAM!$C$26+MAX($G$21-CHOOSE(PARAM!$B$44,MAX(0,BZ1022*$F$1),0),0)*RATES!$L999/12+$H$21*(PARAM!$D$51/12)*RATES!$N999/100</f>
        <v>1190.0416666666667</v>
      </c>
      <c r="BZ1023" s="16">
        <f t="shared" si="689"/>
        <v>-383138.59304183198</v>
      </c>
      <c r="CA1023" s="15">
        <f t="shared" si="664"/>
        <v>22.170849845882874</v>
      </c>
      <c r="CB1023" s="75">
        <f>CA1023*(1-PARAM!$C$27)*$I$22+(MOD($B1023,60)=PARAM!$B$56)*($B1023&gt;(60-PARAM!$B$56))*HLOOKUP(($B1023+PARAM!$B$56)/12,Loyalty,2)*$F$1*MAX(CD1022,0)</f>
        <v>18.557001321003963</v>
      </c>
      <c r="CC1023" s="75">
        <f>PARAM!$C$26+MAX($G$22-CHOOSE(PARAM!$B$44,MAX(0,CD1022*$F$1),0),0)*RATES!$L999/12+$H$22*(PARAM!$D$51/12)*RATES!$N999/100</f>
        <v>1190.0416666666667</v>
      </c>
      <c r="CD1023" s="16">
        <f t="shared" si="690"/>
        <v>-383138.59304183198</v>
      </c>
      <c r="CE1023" s="33">
        <f>IF(0=MOD(B1023,12/PARAM!$D$51),1,0)</f>
        <v>1</v>
      </c>
      <c r="CF1023" s="15">
        <f t="shared" si="665"/>
        <v>0</v>
      </c>
      <c r="CG1023" s="75">
        <f>CF1023*(1-PARAM!$C$27)*$R$3+(MOD($B1023/12,5)=0)*($B1023&gt;60)*HLOOKUP($B1023/12,Loyalty,2)*$F$1*MAX(CI1022,0)</f>
        <v>0</v>
      </c>
      <c r="CH1023" s="75">
        <f>PARAM!$C$26+MAX($P$3-CHOOSE(PARAM!$B$44,MAX(0,CI1022*$F$1),0),0)*RATES!$L999/12+$Q$3*(PARAM!$D$51/12)*RATES!$N999/100</f>
        <v>1190.0416666666667</v>
      </c>
      <c r="CI1023" s="16">
        <f>IF(CI1022&gt;0,CI1022*PARAM!$C$53,CI1022)+CG1023-CH1023</f>
        <v>-401501.79166666855</v>
      </c>
      <c r="CJ1023" s="15">
        <f t="shared" si="691"/>
        <v>0</v>
      </c>
      <c r="CK1023" s="75">
        <f>CJ1023*(1-PARAM!$C$27)*$R$4+(MOD($B1023/12,5)=0)*($B1023&gt;60)*HLOOKUP($B1023/12,Loyalty,2)*$F$1*MAX(CM1022,0)</f>
        <v>0</v>
      </c>
      <c r="CL1023" s="75">
        <f>PARAM!$C$26+MAX($P$4-CHOOSE(PARAM!$B$44,MAX(0,CM1022*$F$1),0),0)*RATES!$L999/12+$Q$4*(PARAM!$D$51/12)*RATES!$N999/100</f>
        <v>1190.0416666666667</v>
      </c>
      <c r="CM1023" s="16">
        <f>IF(CM1022&gt;0,CM1022*PARAM!$C$53,CM1022)+CK1023-CL1023</f>
        <v>-401501.79166666855</v>
      </c>
      <c r="CO1023" s="176"/>
    </row>
    <row r="1024" spans="1:93" x14ac:dyDescent="0.2">
      <c r="A1024" t="b">
        <f t="shared" si="666"/>
        <v>0</v>
      </c>
      <c r="B1024" s="33">
        <v>997</v>
      </c>
      <c r="C1024" s="15">
        <f t="shared" si="667"/>
        <v>20.081305947392778</v>
      </c>
      <c r="D1024" s="75">
        <f>C1024*(1-PARAM!$C$27)*$I$3+(MOD($B1024,60)=PARAM!$B$56)*($B1024&gt;(60-PARAM!$B$56))*HLOOKUP(($B1024+PARAM!$B$56)/12,Loyalty,2)*$F$1*MAX(F1023,0)</f>
        <v>16.808053077967756</v>
      </c>
      <c r="E1024" s="75">
        <f>PARAM!$C$26+MAX($G$3-CHOOSE(PARAM!$B$44,MAX(0,F1023*$F$1),0),0)*RATES!$L1000/12+$H$3*(PARAM!$D$51/12)*RATES!$N1000/100</f>
        <v>1190.0416666666667</v>
      </c>
      <c r="F1024" s="16">
        <f t="shared" si="668"/>
        <v>-386090.62960600713</v>
      </c>
      <c r="G1024" s="15">
        <f t="shared" si="669"/>
        <v>22.035289406060361</v>
      </c>
      <c r="H1024" s="75">
        <f>G1024*(1-PARAM!$C$27)*$I$4+(MOD($B1024,60)=PARAM!$B$56)*($B1024&gt;(60-PARAM!$B$56))*HLOOKUP(($B1024+PARAM!$B$56)/12,Loyalty,2)*$F$1*MAX(J1023,0)</f>
        <v>18.443537232872522</v>
      </c>
      <c r="I1024" s="75">
        <f>PARAM!$C$26+MAX($G$4-CHOOSE(PARAM!$B$44,MAX(0,J1023*$F$1),0),0)*RATES!$L1000/12+$H$4*(PARAM!$D$51/12)*RATES!$N1000/100</f>
        <v>1190.0416666666667</v>
      </c>
      <c r="J1024" s="16">
        <f t="shared" si="670"/>
        <v>-384426.21893944236</v>
      </c>
      <c r="K1024" s="15">
        <f t="shared" si="671"/>
        <v>22.170849845882874</v>
      </c>
      <c r="L1024" s="75">
        <f>K1024*(1-PARAM!$C$27)*$I$5+(MOD($B1024,60)=PARAM!$B$56)*($B1024&gt;(60-PARAM!$B$56))*HLOOKUP(($B1024+PARAM!$B$56)/12,Loyalty,2)*$F$1*MAX(N1023,0)</f>
        <v>18.557001321003963</v>
      </c>
      <c r="M1024" s="75">
        <f>PARAM!$C$26+MAX($G$5-CHOOSE(PARAM!$B$44,MAX(0,N1023*$F$1),0),0)*RATES!$L1000/12+$H$5*(PARAM!$D$51/12)*RATES!$N1000/100</f>
        <v>1190.0416666666667</v>
      </c>
      <c r="N1024" s="16">
        <f t="shared" si="672"/>
        <v>-384310.07770717767</v>
      </c>
      <c r="O1024" s="15">
        <f t="shared" si="673"/>
        <v>22.170849845882874</v>
      </c>
      <c r="P1024" s="75">
        <f>O1024*(1-PARAM!$C$27)*$I$6+(MOD($B1024,60)=PARAM!$B$56)*($B1024&gt;(60-PARAM!$B$56))*HLOOKUP(($B1024+PARAM!$B$56)/12,Loyalty,2)*$F$1*MAX(R1023,0)</f>
        <v>18.557001321003963</v>
      </c>
      <c r="Q1024" s="75">
        <f>PARAM!$C$26+MAX($G$6-CHOOSE(PARAM!$B$44,MAX(0,R1023*$F$1),0),0)*RATES!$L1000/12+$H$6*(PARAM!$D$51/12)*RATES!$N1000/100</f>
        <v>1190.0416666666667</v>
      </c>
      <c r="R1024" s="16">
        <f t="shared" si="674"/>
        <v>-384310.07770717767</v>
      </c>
      <c r="S1024" s="15">
        <f t="shared" si="649"/>
        <v>22.170849845882874</v>
      </c>
      <c r="T1024" s="75">
        <f>S1024*(1-PARAM!$C$27)*$I$7+(MOD($B1024,60)=PARAM!$B$56)*($B1024&gt;(60-PARAM!$B$56))*HLOOKUP(($B1024+PARAM!$B$56)/12,Loyalty,2)*$F$1*MAX(V1023,0)</f>
        <v>18.557001321003963</v>
      </c>
      <c r="U1024" s="75">
        <f>PARAM!$C$26+MAX($G$7-CHOOSE(PARAM!$B$44,MAX(0,V1023*$F$1),0),0)*RATES!$L1000/12+$H$7*(PARAM!$D$51/12)*RATES!$N1000/100</f>
        <v>1190.0416666666667</v>
      </c>
      <c r="V1024" s="16">
        <f t="shared" si="675"/>
        <v>-384310.07770717767</v>
      </c>
      <c r="W1024" s="15">
        <f t="shared" si="650"/>
        <v>22.170849845882874</v>
      </c>
      <c r="X1024" s="75">
        <f>W1024*(1-PARAM!$C$27)*$I$8+(MOD($B1024,60)=PARAM!$B$56)*($B1024&gt;(60-PARAM!$B$56))*HLOOKUP(($B1024+PARAM!$B$56)/12,Loyalty,2)*$F$1*MAX(Z1023,0)</f>
        <v>18.557001321003963</v>
      </c>
      <c r="Y1024" s="75">
        <f>PARAM!$C$26+MAX($G$8-CHOOSE(PARAM!$B$44,MAX(0,Z1023*$F$1),0),0)*RATES!$L1000/12+$H$8*(PARAM!$D$51/12)*RATES!$N1000/100</f>
        <v>1190.0416666666667</v>
      </c>
      <c r="Z1024" s="16">
        <f t="shared" si="676"/>
        <v>-384310.07770717767</v>
      </c>
      <c r="AA1024" s="15">
        <f t="shared" si="651"/>
        <v>22.170849845882874</v>
      </c>
      <c r="AB1024" s="75">
        <f>AA1024*(1-PARAM!$C$27)*$I$9+(MOD($B1024,60)=PARAM!$B$56)*($B1024&gt;(60-PARAM!$B$56))*HLOOKUP(($B1024+PARAM!$B$56)/12,Loyalty,2)*$F$1*MAX(AD1023,0)</f>
        <v>18.557001321003963</v>
      </c>
      <c r="AC1024" s="75">
        <f>PARAM!$C$26+MAX($G$9-CHOOSE(PARAM!$B$44,MAX(0,AD1023*$F$1),0),0)*RATES!$L1000/12+$H$9*(PARAM!$D$51/12)*RATES!$N1000/100</f>
        <v>1190.0416666666667</v>
      </c>
      <c r="AD1024" s="16">
        <f t="shared" si="677"/>
        <v>-384310.07770717767</v>
      </c>
      <c r="AE1024" s="15">
        <f t="shared" si="652"/>
        <v>22.170849845882874</v>
      </c>
      <c r="AF1024" s="75">
        <f>AE1024*(1-PARAM!$C$27)*$I$10+(MOD($B1024,60)=PARAM!$B$56)*($B1024&gt;(60-PARAM!$B$56))*HLOOKUP(($B1024+PARAM!$B$56)/12,Loyalty,2)*$F$1*MAX(AH1023,0)</f>
        <v>18.557001321003963</v>
      </c>
      <c r="AG1024" s="75">
        <f>PARAM!$C$26+MAX($G$10-CHOOSE(PARAM!$B$44,MAX(0,AH1023*$F$1),0),0)*RATES!$L1000/12+$H$10*(PARAM!$D$51/12)*RATES!$N1000/100</f>
        <v>1190.0416666666667</v>
      </c>
      <c r="AH1024" s="16">
        <f t="shared" si="678"/>
        <v>-384310.07770717767</v>
      </c>
      <c r="AI1024" s="15">
        <f t="shared" si="653"/>
        <v>22.170849845882874</v>
      </c>
      <c r="AJ1024" s="75">
        <f>AI1024*(1-PARAM!$C$27)*$I$11+(MOD($B1024,60)=PARAM!$B$56)*($B1024&gt;(60-PARAM!$B$56))*HLOOKUP(($B1024+PARAM!$B$56)/12,Loyalty,2)*$F$1*MAX(AL1023,0)</f>
        <v>18.557001321003963</v>
      </c>
      <c r="AK1024" s="75">
        <f>PARAM!$C$26+MAX($G$11-CHOOSE(PARAM!$B$44,MAX(0,AL1023*$F$1),0),0)*RATES!$L1000/12+$H$11*(PARAM!$D$51/12)*RATES!$N1000/100</f>
        <v>1190.0416666666667</v>
      </c>
      <c r="AL1024" s="16">
        <f t="shared" si="679"/>
        <v>-384310.07770717767</v>
      </c>
      <c r="AM1024" s="15">
        <f t="shared" si="654"/>
        <v>22.170849845882874</v>
      </c>
      <c r="AN1024" s="75">
        <f>AM1024*(1-PARAM!$C$27)*$I$12+(MOD($B1024,60)=PARAM!$B$56)*($B1024&gt;(60-PARAM!$B$56))*HLOOKUP(($B1024+PARAM!$B$56)/12,Loyalty,2)*$F$1*MAX(AP1023,0)</f>
        <v>18.557001321003963</v>
      </c>
      <c r="AO1024" s="75">
        <f>PARAM!$C$26+MAX($G$12-CHOOSE(PARAM!$B$44,MAX(0,AP1023*$F$1),0),0)*RATES!$L1000/12+$H$12*(PARAM!$D$51/12)*RATES!$N1000/100</f>
        <v>1190.0416666666667</v>
      </c>
      <c r="AP1024" s="16">
        <f t="shared" si="680"/>
        <v>-384310.07770717767</v>
      </c>
      <c r="AQ1024" s="15">
        <f t="shared" si="655"/>
        <v>22.170849845882874</v>
      </c>
      <c r="AR1024" s="75">
        <f>AQ1024*(1-PARAM!$C$27)*$I$13+(MOD($B1024,60)=PARAM!$B$56)*($B1024&gt;(60-PARAM!$B$56))*HLOOKUP(($B1024+PARAM!$B$56)/12,Loyalty,2)*$F$1*MAX(AT1023,0)</f>
        <v>18.557001321003963</v>
      </c>
      <c r="AS1024" s="75">
        <f>PARAM!$C$26+MAX($G$13-CHOOSE(PARAM!$B$44,MAX(0,AT1023*$F$1),0),0)*RATES!$L1000/12+$H$13*(PARAM!$D$51/12)*RATES!$N1000/100</f>
        <v>1190.0416666666667</v>
      </c>
      <c r="AT1024" s="16">
        <f t="shared" si="681"/>
        <v>-384310.07770717767</v>
      </c>
      <c r="AU1024" s="15">
        <f t="shared" si="656"/>
        <v>22.170849845882874</v>
      </c>
      <c r="AV1024" s="75">
        <f>AU1024*(1-PARAM!$C$27)*$I$14+(MOD($B1024,60)=PARAM!$B$56)*($B1024&gt;(60-PARAM!$B$56))*HLOOKUP(($B1024+PARAM!$B$56)/12,Loyalty,2)*$F$1*MAX(AX1023,0)</f>
        <v>18.557001321003963</v>
      </c>
      <c r="AW1024" s="75">
        <f>PARAM!$C$26+MAX($G$14-CHOOSE(PARAM!$B$44,MAX(0,AX1023*$F$1),0),0)*RATES!$L1000/12+$H$14*(PARAM!$D$51/12)*RATES!$N1000/100</f>
        <v>1190.0416666666667</v>
      </c>
      <c r="AX1024" s="16">
        <f t="shared" si="682"/>
        <v>-384310.07770717767</v>
      </c>
      <c r="AY1024" s="15">
        <f t="shared" si="657"/>
        <v>22.170849845882874</v>
      </c>
      <c r="AZ1024" s="75">
        <f>AY1024*(1-PARAM!$C$27)*$I$15+(MOD($B1024,60)=PARAM!$B$56)*($B1024&gt;(60-PARAM!$B$56))*HLOOKUP(($B1024+PARAM!$B$56)/12,Loyalty,2)*$F$1*MAX(BB1023,0)</f>
        <v>18.557001321003963</v>
      </c>
      <c r="BA1024" s="75">
        <f>PARAM!$C$26+MAX($G$15-CHOOSE(PARAM!$B$44,MAX(0,BB1023*$F$1),0),0)*RATES!$L1000/12+$H$15*(PARAM!$D$51/12)*RATES!$N1000/100</f>
        <v>1190.0416666666667</v>
      </c>
      <c r="BB1024" s="16">
        <f t="shared" si="683"/>
        <v>-384310.07770717767</v>
      </c>
      <c r="BC1024" s="15">
        <f t="shared" si="658"/>
        <v>22.170849845882874</v>
      </c>
      <c r="BD1024" s="75">
        <f>BC1024*(1-PARAM!$C$27)*$I$16+(MOD($B1024,60)=PARAM!$B$56)*($B1024&gt;(60-PARAM!$B$56))*HLOOKUP(($B1024+PARAM!$B$56)/12,Loyalty,2)*$F$1*MAX(BF1023,0)</f>
        <v>18.557001321003963</v>
      </c>
      <c r="BE1024" s="75">
        <f>PARAM!$C$26+MAX($G$16-CHOOSE(PARAM!$B$44,MAX(0,BF1023*$F$1),0),0)*RATES!$L1000/12+$H$16*(PARAM!$D$51/12)*RATES!$N1000/100</f>
        <v>1190.0416666666667</v>
      </c>
      <c r="BF1024" s="16">
        <f t="shared" si="684"/>
        <v>-384310.07770717767</v>
      </c>
      <c r="BG1024" s="15">
        <f t="shared" si="659"/>
        <v>22.170849845882874</v>
      </c>
      <c r="BH1024" s="75">
        <f>BG1024*(1-PARAM!$C$27)*$I$17+(MOD($B1024,60)=PARAM!$B$56)*($B1024&gt;(60-PARAM!$B$56))*HLOOKUP(($B1024+PARAM!$B$56)/12,Loyalty,2)*$F$1*MAX(BJ1023,0)</f>
        <v>18.557001321003963</v>
      </c>
      <c r="BI1024" s="75">
        <f>PARAM!$C$26+MAX($G$17-CHOOSE(PARAM!$B$44,MAX(0,BJ1023*$F$1),0),0)*RATES!$L1000/12+$H$17*(PARAM!$D$51/12)*RATES!$N1000/100</f>
        <v>1190.0416666666667</v>
      </c>
      <c r="BJ1024" s="16">
        <f t="shared" si="685"/>
        <v>-384310.07770717767</v>
      </c>
      <c r="BK1024" s="15">
        <f t="shared" si="660"/>
        <v>22.170849845882874</v>
      </c>
      <c r="BL1024" s="75">
        <f>BK1024*(1-PARAM!$C$27)*$I$18+(MOD($B1024,60)=PARAM!$B$56)*($B1024&gt;(60-PARAM!$B$56))*HLOOKUP(($B1024+PARAM!$B$56)/12,Loyalty,2)*$F$1*MAX(BN1023,0)</f>
        <v>18.557001321003963</v>
      </c>
      <c r="BM1024" s="75">
        <f>PARAM!$C$26+MAX($G$18-CHOOSE(PARAM!$B$44,MAX(0,BN1023*$F$1),0),0)*RATES!$L1000/12+$H$18*(PARAM!$D$51/12)*RATES!$N1000/100</f>
        <v>1190.0416666666667</v>
      </c>
      <c r="BN1024" s="16">
        <f t="shared" si="686"/>
        <v>-384310.07770717767</v>
      </c>
      <c r="BO1024" s="15">
        <f t="shared" si="661"/>
        <v>22.170849845882874</v>
      </c>
      <c r="BP1024" s="75">
        <f>BO1024*(1-PARAM!$C$27)*$I$19+(MOD($B1024,60)=PARAM!$B$56)*($B1024&gt;(60-PARAM!$B$56))*HLOOKUP(($B1024+PARAM!$B$56)/12,Loyalty,2)*$F$1*MAX(BR1023,0)</f>
        <v>18.557001321003963</v>
      </c>
      <c r="BQ1024" s="75">
        <f>PARAM!$C$26+MAX($G$19-CHOOSE(PARAM!$B$44,MAX(0,BR1023*$F$1),0),0)*RATES!$L1000/12+$H$19*(PARAM!$D$51/12)*RATES!$N1000/100</f>
        <v>1190.0416666666667</v>
      </c>
      <c r="BR1024" s="16">
        <f t="shared" si="687"/>
        <v>-384310.07770717767</v>
      </c>
      <c r="BS1024" s="15">
        <f t="shared" si="662"/>
        <v>22.170849845882874</v>
      </c>
      <c r="BT1024" s="75">
        <f>BS1024*(1-PARAM!$C$27)*$I$20+(MOD($B1024,60)=PARAM!$B$56)*($B1024&gt;(60-PARAM!$B$56))*HLOOKUP(($B1024+PARAM!$B$56)/12,Loyalty,2)*$F$1*MAX(BV1023,0)</f>
        <v>18.557001321003963</v>
      </c>
      <c r="BU1024" s="75">
        <f>PARAM!$C$26+MAX($G$20-CHOOSE(PARAM!$B$44,MAX(0,BV1023*$F$1),0),0)*RATES!$L1000/12+$H$20*(PARAM!$D$51/12)*RATES!$N1000/100</f>
        <v>1190.0416666666667</v>
      </c>
      <c r="BV1024" s="16">
        <f t="shared" si="688"/>
        <v>-384310.07770717767</v>
      </c>
      <c r="BW1024" s="15">
        <f t="shared" si="663"/>
        <v>22.170849845882874</v>
      </c>
      <c r="BX1024" s="75">
        <f>BW1024*(1-PARAM!$C$27)*$I$21+(MOD($B1024,60)=PARAM!$B$56)*($B1024&gt;(60-PARAM!$B$56))*HLOOKUP(($B1024+PARAM!$B$56)/12,Loyalty,2)*$F$1*MAX(BZ1023,0)</f>
        <v>18.557001321003963</v>
      </c>
      <c r="BY1024" s="75">
        <f>PARAM!$C$26+MAX($G$21-CHOOSE(PARAM!$B$44,MAX(0,BZ1023*$F$1),0),0)*RATES!$L1000/12+$H$21*(PARAM!$D$51/12)*RATES!$N1000/100</f>
        <v>1190.0416666666667</v>
      </c>
      <c r="BZ1024" s="16">
        <f t="shared" si="689"/>
        <v>-384310.07770717767</v>
      </c>
      <c r="CA1024" s="15">
        <f t="shared" si="664"/>
        <v>22.170849845882874</v>
      </c>
      <c r="CB1024" s="75">
        <f>CA1024*(1-PARAM!$C$27)*$I$22+(MOD($B1024,60)=PARAM!$B$56)*($B1024&gt;(60-PARAM!$B$56))*HLOOKUP(($B1024+PARAM!$B$56)/12,Loyalty,2)*$F$1*MAX(CD1023,0)</f>
        <v>18.557001321003963</v>
      </c>
      <c r="CC1024" s="75">
        <f>PARAM!$C$26+MAX($G$22-CHOOSE(PARAM!$B$44,MAX(0,CD1023*$F$1),0),0)*RATES!$L1000/12+$H$22*(PARAM!$D$51/12)*RATES!$N1000/100</f>
        <v>1190.0416666666667</v>
      </c>
      <c r="CD1024" s="16">
        <f t="shared" si="690"/>
        <v>-384310.07770717767</v>
      </c>
      <c r="CE1024" s="33">
        <f>IF(0=MOD(B1024,12/PARAM!$D$51),1,0)</f>
        <v>1</v>
      </c>
      <c r="CF1024" s="15">
        <f t="shared" si="665"/>
        <v>0</v>
      </c>
      <c r="CG1024" s="75">
        <f>CF1024*(1-PARAM!$C$27)*$R$3+(MOD($B1024/12,5)=0)*($B1024&gt;60)*HLOOKUP($B1024/12,Loyalty,2)*$F$1*MAX(CI1023,0)</f>
        <v>0</v>
      </c>
      <c r="CH1024" s="75">
        <f>PARAM!$C$26+MAX($P$3-CHOOSE(PARAM!$B$44,MAX(0,CI1023*$F$1),0),0)*RATES!$L1000/12+$Q$3*(PARAM!$D$51/12)*RATES!$N1000/100</f>
        <v>1190.0416666666667</v>
      </c>
      <c r="CI1024" s="16">
        <f>IF(CI1023&gt;0,CI1023*PARAM!$C$53,CI1023)+CG1024-CH1024</f>
        <v>-402691.83333333523</v>
      </c>
      <c r="CJ1024" s="15">
        <f t="shared" si="691"/>
        <v>0</v>
      </c>
      <c r="CK1024" s="75">
        <f>CJ1024*(1-PARAM!$C$27)*$R$4+(MOD($B1024/12,5)=0)*($B1024&gt;60)*HLOOKUP($B1024/12,Loyalty,2)*$F$1*MAX(CM1023,0)</f>
        <v>0</v>
      </c>
      <c r="CL1024" s="75">
        <f>PARAM!$C$26+MAX($P$4-CHOOSE(PARAM!$B$44,MAX(0,CM1023*$F$1),0),0)*RATES!$L1000/12+$Q$4*(PARAM!$D$51/12)*RATES!$N1000/100</f>
        <v>1190.0416666666667</v>
      </c>
      <c r="CM1024" s="16">
        <f>IF(CM1023&gt;0,CM1023*PARAM!$C$53,CM1023)+CK1024-CL1024</f>
        <v>-402691.83333333523</v>
      </c>
      <c r="CO1024" s="176"/>
    </row>
    <row r="1025" spans="1:93" x14ac:dyDescent="0.2">
      <c r="A1025" t="b">
        <f t="shared" si="666"/>
        <v>0</v>
      </c>
      <c r="B1025" s="33">
        <v>998</v>
      </c>
      <c r="C1025" s="15">
        <f t="shared" si="667"/>
        <v>20.081305947392778</v>
      </c>
      <c r="D1025" s="75">
        <f>C1025*(1-PARAM!$C$27)*$I$3+(MOD($B1025,60)=PARAM!$B$56)*($B1025&gt;(60-PARAM!$B$56))*HLOOKUP(($B1025+PARAM!$B$56)/12,Loyalty,2)*$F$1*MAX(F1024,0)</f>
        <v>16.808053077967756</v>
      </c>
      <c r="E1025" s="75">
        <f>PARAM!$C$26+MAX($G$3-CHOOSE(PARAM!$B$44,MAX(0,F1024*$F$1),0),0)*RATES!$L1001/12+$H$3*(PARAM!$D$51/12)*RATES!$N1001/100</f>
        <v>1190.0416666666667</v>
      </c>
      <c r="F1025" s="16">
        <f t="shared" si="668"/>
        <v>-387263.86321959586</v>
      </c>
      <c r="G1025" s="15">
        <f t="shared" si="669"/>
        <v>22.035289406060361</v>
      </c>
      <c r="H1025" s="75">
        <f>G1025*(1-PARAM!$C$27)*$I$4+(MOD($B1025,60)=PARAM!$B$56)*($B1025&gt;(60-PARAM!$B$56))*HLOOKUP(($B1025+PARAM!$B$56)/12,Loyalty,2)*$F$1*MAX(J1024,0)</f>
        <v>18.443537232872522</v>
      </c>
      <c r="I1025" s="75">
        <f>PARAM!$C$26+MAX($G$4-CHOOSE(PARAM!$B$44,MAX(0,J1024*$F$1),0),0)*RATES!$L1001/12+$H$4*(PARAM!$D$51/12)*RATES!$N1001/100</f>
        <v>1190.0416666666667</v>
      </c>
      <c r="J1025" s="16">
        <f t="shared" si="670"/>
        <v>-385597.81706887617</v>
      </c>
      <c r="K1025" s="15">
        <f t="shared" si="671"/>
        <v>22.170849845882874</v>
      </c>
      <c r="L1025" s="75">
        <f>K1025*(1-PARAM!$C$27)*$I$5+(MOD($B1025,60)=PARAM!$B$56)*($B1025&gt;(60-PARAM!$B$56))*HLOOKUP(($B1025+PARAM!$B$56)/12,Loyalty,2)*$F$1*MAX(N1024,0)</f>
        <v>18.557001321003963</v>
      </c>
      <c r="M1025" s="75">
        <f>PARAM!$C$26+MAX($G$5-CHOOSE(PARAM!$B$44,MAX(0,N1024*$F$1),0),0)*RATES!$L1001/12+$H$5*(PARAM!$D$51/12)*RATES!$N1001/100</f>
        <v>1190.0416666666667</v>
      </c>
      <c r="N1025" s="16">
        <f t="shared" si="672"/>
        <v>-385481.56237252336</v>
      </c>
      <c r="O1025" s="15">
        <f t="shared" si="673"/>
        <v>22.170849845882874</v>
      </c>
      <c r="P1025" s="75">
        <f>O1025*(1-PARAM!$C$27)*$I$6+(MOD($B1025,60)=PARAM!$B$56)*($B1025&gt;(60-PARAM!$B$56))*HLOOKUP(($B1025+PARAM!$B$56)/12,Loyalty,2)*$F$1*MAX(R1024,0)</f>
        <v>18.557001321003963</v>
      </c>
      <c r="Q1025" s="75">
        <f>PARAM!$C$26+MAX($G$6-CHOOSE(PARAM!$B$44,MAX(0,R1024*$F$1),0),0)*RATES!$L1001/12+$H$6*(PARAM!$D$51/12)*RATES!$N1001/100</f>
        <v>1190.0416666666667</v>
      </c>
      <c r="R1025" s="16">
        <f t="shared" si="674"/>
        <v>-385481.56237252336</v>
      </c>
      <c r="S1025" s="15">
        <f t="shared" si="649"/>
        <v>22.170849845882874</v>
      </c>
      <c r="T1025" s="75">
        <f>S1025*(1-PARAM!$C$27)*$I$7+(MOD($B1025,60)=PARAM!$B$56)*($B1025&gt;(60-PARAM!$B$56))*HLOOKUP(($B1025+PARAM!$B$56)/12,Loyalty,2)*$F$1*MAX(V1024,0)</f>
        <v>18.557001321003963</v>
      </c>
      <c r="U1025" s="75">
        <f>PARAM!$C$26+MAX($G$7-CHOOSE(PARAM!$B$44,MAX(0,V1024*$F$1),0),0)*RATES!$L1001/12+$H$7*(PARAM!$D$51/12)*RATES!$N1001/100</f>
        <v>1190.0416666666667</v>
      </c>
      <c r="V1025" s="16">
        <f t="shared" si="675"/>
        <v>-385481.56237252336</v>
      </c>
      <c r="W1025" s="15">
        <f t="shared" si="650"/>
        <v>22.170849845882874</v>
      </c>
      <c r="X1025" s="75">
        <f>W1025*(1-PARAM!$C$27)*$I$8+(MOD($B1025,60)=PARAM!$B$56)*($B1025&gt;(60-PARAM!$B$56))*HLOOKUP(($B1025+PARAM!$B$56)/12,Loyalty,2)*$F$1*MAX(Z1024,0)</f>
        <v>18.557001321003963</v>
      </c>
      <c r="Y1025" s="75">
        <f>PARAM!$C$26+MAX($G$8-CHOOSE(PARAM!$B$44,MAX(0,Z1024*$F$1),0),0)*RATES!$L1001/12+$H$8*(PARAM!$D$51/12)*RATES!$N1001/100</f>
        <v>1190.0416666666667</v>
      </c>
      <c r="Z1025" s="16">
        <f t="shared" si="676"/>
        <v>-385481.56237252336</v>
      </c>
      <c r="AA1025" s="15">
        <f t="shared" si="651"/>
        <v>22.170849845882874</v>
      </c>
      <c r="AB1025" s="75">
        <f>AA1025*(1-PARAM!$C$27)*$I$9+(MOD($B1025,60)=PARAM!$B$56)*($B1025&gt;(60-PARAM!$B$56))*HLOOKUP(($B1025+PARAM!$B$56)/12,Loyalty,2)*$F$1*MAX(AD1024,0)</f>
        <v>18.557001321003963</v>
      </c>
      <c r="AC1025" s="75">
        <f>PARAM!$C$26+MAX($G$9-CHOOSE(PARAM!$B$44,MAX(0,AD1024*$F$1),0),0)*RATES!$L1001/12+$H$9*(PARAM!$D$51/12)*RATES!$N1001/100</f>
        <v>1190.0416666666667</v>
      </c>
      <c r="AD1025" s="16">
        <f t="shared" si="677"/>
        <v>-385481.56237252336</v>
      </c>
      <c r="AE1025" s="15">
        <f t="shared" si="652"/>
        <v>22.170849845882874</v>
      </c>
      <c r="AF1025" s="75">
        <f>AE1025*(1-PARAM!$C$27)*$I$10+(MOD($B1025,60)=PARAM!$B$56)*($B1025&gt;(60-PARAM!$B$56))*HLOOKUP(($B1025+PARAM!$B$56)/12,Loyalty,2)*$F$1*MAX(AH1024,0)</f>
        <v>18.557001321003963</v>
      </c>
      <c r="AG1025" s="75">
        <f>PARAM!$C$26+MAX($G$10-CHOOSE(PARAM!$B$44,MAX(0,AH1024*$F$1),0),0)*RATES!$L1001/12+$H$10*(PARAM!$D$51/12)*RATES!$N1001/100</f>
        <v>1190.0416666666667</v>
      </c>
      <c r="AH1025" s="16">
        <f t="shared" si="678"/>
        <v>-385481.56237252336</v>
      </c>
      <c r="AI1025" s="15">
        <f t="shared" si="653"/>
        <v>22.170849845882874</v>
      </c>
      <c r="AJ1025" s="75">
        <f>AI1025*(1-PARAM!$C$27)*$I$11+(MOD($B1025,60)=PARAM!$B$56)*($B1025&gt;(60-PARAM!$B$56))*HLOOKUP(($B1025+PARAM!$B$56)/12,Loyalty,2)*$F$1*MAX(AL1024,0)</f>
        <v>18.557001321003963</v>
      </c>
      <c r="AK1025" s="75">
        <f>PARAM!$C$26+MAX($G$11-CHOOSE(PARAM!$B$44,MAX(0,AL1024*$F$1),0),0)*RATES!$L1001/12+$H$11*(PARAM!$D$51/12)*RATES!$N1001/100</f>
        <v>1190.0416666666667</v>
      </c>
      <c r="AL1025" s="16">
        <f t="shared" si="679"/>
        <v>-385481.56237252336</v>
      </c>
      <c r="AM1025" s="15">
        <f t="shared" si="654"/>
        <v>22.170849845882874</v>
      </c>
      <c r="AN1025" s="75">
        <f>AM1025*(1-PARAM!$C$27)*$I$12+(MOD($B1025,60)=PARAM!$B$56)*($B1025&gt;(60-PARAM!$B$56))*HLOOKUP(($B1025+PARAM!$B$56)/12,Loyalty,2)*$F$1*MAX(AP1024,0)</f>
        <v>18.557001321003963</v>
      </c>
      <c r="AO1025" s="75">
        <f>PARAM!$C$26+MAX($G$12-CHOOSE(PARAM!$B$44,MAX(0,AP1024*$F$1),0),0)*RATES!$L1001/12+$H$12*(PARAM!$D$51/12)*RATES!$N1001/100</f>
        <v>1190.0416666666667</v>
      </c>
      <c r="AP1025" s="16">
        <f t="shared" si="680"/>
        <v>-385481.56237252336</v>
      </c>
      <c r="AQ1025" s="15">
        <f t="shared" si="655"/>
        <v>22.170849845882874</v>
      </c>
      <c r="AR1025" s="75">
        <f>AQ1025*(1-PARAM!$C$27)*$I$13+(MOD($B1025,60)=PARAM!$B$56)*($B1025&gt;(60-PARAM!$B$56))*HLOOKUP(($B1025+PARAM!$B$56)/12,Loyalty,2)*$F$1*MAX(AT1024,0)</f>
        <v>18.557001321003963</v>
      </c>
      <c r="AS1025" s="75">
        <f>PARAM!$C$26+MAX($G$13-CHOOSE(PARAM!$B$44,MAX(0,AT1024*$F$1),0),0)*RATES!$L1001/12+$H$13*(PARAM!$D$51/12)*RATES!$N1001/100</f>
        <v>1190.0416666666667</v>
      </c>
      <c r="AT1025" s="16">
        <f t="shared" si="681"/>
        <v>-385481.56237252336</v>
      </c>
      <c r="AU1025" s="15">
        <f t="shared" si="656"/>
        <v>22.170849845882874</v>
      </c>
      <c r="AV1025" s="75">
        <f>AU1025*(1-PARAM!$C$27)*$I$14+(MOD($B1025,60)=PARAM!$B$56)*($B1025&gt;(60-PARAM!$B$56))*HLOOKUP(($B1025+PARAM!$B$56)/12,Loyalty,2)*$F$1*MAX(AX1024,0)</f>
        <v>18.557001321003963</v>
      </c>
      <c r="AW1025" s="75">
        <f>PARAM!$C$26+MAX($G$14-CHOOSE(PARAM!$B$44,MAX(0,AX1024*$F$1),0),0)*RATES!$L1001/12+$H$14*(PARAM!$D$51/12)*RATES!$N1001/100</f>
        <v>1190.0416666666667</v>
      </c>
      <c r="AX1025" s="16">
        <f t="shared" si="682"/>
        <v>-385481.56237252336</v>
      </c>
      <c r="AY1025" s="15">
        <f t="shared" si="657"/>
        <v>22.170849845882874</v>
      </c>
      <c r="AZ1025" s="75">
        <f>AY1025*(1-PARAM!$C$27)*$I$15+(MOD($B1025,60)=PARAM!$B$56)*($B1025&gt;(60-PARAM!$B$56))*HLOOKUP(($B1025+PARAM!$B$56)/12,Loyalty,2)*$F$1*MAX(BB1024,0)</f>
        <v>18.557001321003963</v>
      </c>
      <c r="BA1025" s="75">
        <f>PARAM!$C$26+MAX($G$15-CHOOSE(PARAM!$B$44,MAX(0,BB1024*$F$1),0),0)*RATES!$L1001/12+$H$15*(PARAM!$D$51/12)*RATES!$N1001/100</f>
        <v>1190.0416666666667</v>
      </c>
      <c r="BB1025" s="16">
        <f t="shared" si="683"/>
        <v>-385481.56237252336</v>
      </c>
      <c r="BC1025" s="15">
        <f t="shared" si="658"/>
        <v>22.170849845882874</v>
      </c>
      <c r="BD1025" s="75">
        <f>BC1025*(1-PARAM!$C$27)*$I$16+(MOD($B1025,60)=PARAM!$B$56)*($B1025&gt;(60-PARAM!$B$56))*HLOOKUP(($B1025+PARAM!$B$56)/12,Loyalty,2)*$F$1*MAX(BF1024,0)</f>
        <v>18.557001321003963</v>
      </c>
      <c r="BE1025" s="75">
        <f>PARAM!$C$26+MAX($G$16-CHOOSE(PARAM!$B$44,MAX(0,BF1024*$F$1),0),0)*RATES!$L1001/12+$H$16*(PARAM!$D$51/12)*RATES!$N1001/100</f>
        <v>1190.0416666666667</v>
      </c>
      <c r="BF1025" s="16">
        <f t="shared" si="684"/>
        <v>-385481.56237252336</v>
      </c>
      <c r="BG1025" s="15">
        <f t="shared" si="659"/>
        <v>22.170849845882874</v>
      </c>
      <c r="BH1025" s="75">
        <f>BG1025*(1-PARAM!$C$27)*$I$17+(MOD($B1025,60)=PARAM!$B$56)*($B1025&gt;(60-PARAM!$B$56))*HLOOKUP(($B1025+PARAM!$B$56)/12,Loyalty,2)*$F$1*MAX(BJ1024,0)</f>
        <v>18.557001321003963</v>
      </c>
      <c r="BI1025" s="75">
        <f>PARAM!$C$26+MAX($G$17-CHOOSE(PARAM!$B$44,MAX(0,BJ1024*$F$1),0),0)*RATES!$L1001/12+$H$17*(PARAM!$D$51/12)*RATES!$N1001/100</f>
        <v>1190.0416666666667</v>
      </c>
      <c r="BJ1025" s="16">
        <f t="shared" si="685"/>
        <v>-385481.56237252336</v>
      </c>
      <c r="BK1025" s="15">
        <f t="shared" si="660"/>
        <v>22.170849845882874</v>
      </c>
      <c r="BL1025" s="75">
        <f>BK1025*(1-PARAM!$C$27)*$I$18+(MOD($B1025,60)=PARAM!$B$56)*($B1025&gt;(60-PARAM!$B$56))*HLOOKUP(($B1025+PARAM!$B$56)/12,Loyalty,2)*$F$1*MAX(BN1024,0)</f>
        <v>18.557001321003963</v>
      </c>
      <c r="BM1025" s="75">
        <f>PARAM!$C$26+MAX($G$18-CHOOSE(PARAM!$B$44,MAX(0,BN1024*$F$1),0),0)*RATES!$L1001/12+$H$18*(PARAM!$D$51/12)*RATES!$N1001/100</f>
        <v>1190.0416666666667</v>
      </c>
      <c r="BN1025" s="16">
        <f t="shared" si="686"/>
        <v>-385481.56237252336</v>
      </c>
      <c r="BO1025" s="15">
        <f t="shared" si="661"/>
        <v>22.170849845882874</v>
      </c>
      <c r="BP1025" s="75">
        <f>BO1025*(1-PARAM!$C$27)*$I$19+(MOD($B1025,60)=PARAM!$B$56)*($B1025&gt;(60-PARAM!$B$56))*HLOOKUP(($B1025+PARAM!$B$56)/12,Loyalty,2)*$F$1*MAX(BR1024,0)</f>
        <v>18.557001321003963</v>
      </c>
      <c r="BQ1025" s="75">
        <f>PARAM!$C$26+MAX($G$19-CHOOSE(PARAM!$B$44,MAX(0,BR1024*$F$1),0),0)*RATES!$L1001/12+$H$19*(PARAM!$D$51/12)*RATES!$N1001/100</f>
        <v>1190.0416666666667</v>
      </c>
      <c r="BR1025" s="16">
        <f t="shared" si="687"/>
        <v>-385481.56237252336</v>
      </c>
      <c r="BS1025" s="15">
        <f t="shared" si="662"/>
        <v>22.170849845882874</v>
      </c>
      <c r="BT1025" s="75">
        <f>BS1025*(1-PARAM!$C$27)*$I$20+(MOD($B1025,60)=PARAM!$B$56)*($B1025&gt;(60-PARAM!$B$56))*HLOOKUP(($B1025+PARAM!$B$56)/12,Loyalty,2)*$F$1*MAX(BV1024,0)</f>
        <v>18.557001321003963</v>
      </c>
      <c r="BU1025" s="75">
        <f>PARAM!$C$26+MAX($G$20-CHOOSE(PARAM!$B$44,MAX(0,BV1024*$F$1),0),0)*RATES!$L1001/12+$H$20*(PARAM!$D$51/12)*RATES!$N1001/100</f>
        <v>1190.0416666666667</v>
      </c>
      <c r="BV1025" s="16">
        <f t="shared" si="688"/>
        <v>-385481.56237252336</v>
      </c>
      <c r="BW1025" s="15">
        <f t="shared" si="663"/>
        <v>22.170849845882874</v>
      </c>
      <c r="BX1025" s="75">
        <f>BW1025*(1-PARAM!$C$27)*$I$21+(MOD($B1025,60)=PARAM!$B$56)*($B1025&gt;(60-PARAM!$B$56))*HLOOKUP(($B1025+PARAM!$B$56)/12,Loyalty,2)*$F$1*MAX(BZ1024,0)</f>
        <v>18.557001321003963</v>
      </c>
      <c r="BY1025" s="75">
        <f>PARAM!$C$26+MAX($G$21-CHOOSE(PARAM!$B$44,MAX(0,BZ1024*$F$1),0),0)*RATES!$L1001/12+$H$21*(PARAM!$D$51/12)*RATES!$N1001/100</f>
        <v>1190.0416666666667</v>
      </c>
      <c r="BZ1025" s="16">
        <f t="shared" si="689"/>
        <v>-385481.56237252336</v>
      </c>
      <c r="CA1025" s="15">
        <f t="shared" si="664"/>
        <v>22.170849845882874</v>
      </c>
      <c r="CB1025" s="75">
        <f>CA1025*(1-PARAM!$C$27)*$I$22+(MOD($B1025,60)=PARAM!$B$56)*($B1025&gt;(60-PARAM!$B$56))*HLOOKUP(($B1025+PARAM!$B$56)/12,Loyalty,2)*$F$1*MAX(CD1024,0)</f>
        <v>18.557001321003963</v>
      </c>
      <c r="CC1025" s="75">
        <f>PARAM!$C$26+MAX($G$22-CHOOSE(PARAM!$B$44,MAX(0,CD1024*$F$1),0),0)*RATES!$L1001/12+$H$22*(PARAM!$D$51/12)*RATES!$N1001/100</f>
        <v>1190.0416666666667</v>
      </c>
      <c r="CD1025" s="16">
        <f t="shared" si="690"/>
        <v>-385481.56237252336</v>
      </c>
      <c r="CE1025" s="33">
        <f>IF(0=MOD(B1025,12/PARAM!$D$51),1,0)</f>
        <v>1</v>
      </c>
      <c r="CF1025" s="15">
        <f t="shared" si="665"/>
        <v>0</v>
      </c>
      <c r="CG1025" s="75">
        <f>CF1025*(1-PARAM!$C$27)*$R$3+(MOD($B1025/12,5)=0)*($B1025&gt;60)*HLOOKUP($B1025/12,Loyalty,2)*$F$1*MAX(CI1024,0)</f>
        <v>0</v>
      </c>
      <c r="CH1025" s="75">
        <f>PARAM!$C$26+MAX($P$3-CHOOSE(PARAM!$B$44,MAX(0,CI1024*$F$1),0),0)*RATES!$L1001/12+$Q$3*(PARAM!$D$51/12)*RATES!$N1001/100</f>
        <v>1190.0416666666667</v>
      </c>
      <c r="CI1025" s="16">
        <f>IF(CI1024&gt;0,CI1024*PARAM!$C$53,CI1024)+CG1025-CH1025</f>
        <v>-403881.87500000192</v>
      </c>
      <c r="CJ1025" s="15">
        <f t="shared" si="691"/>
        <v>0</v>
      </c>
      <c r="CK1025" s="75">
        <f>CJ1025*(1-PARAM!$C$27)*$R$4+(MOD($B1025/12,5)=0)*($B1025&gt;60)*HLOOKUP($B1025/12,Loyalty,2)*$F$1*MAX(CM1024,0)</f>
        <v>0</v>
      </c>
      <c r="CL1025" s="75">
        <f>PARAM!$C$26+MAX($P$4-CHOOSE(PARAM!$B$44,MAX(0,CM1024*$F$1),0),0)*RATES!$L1001/12+$Q$4*(PARAM!$D$51/12)*RATES!$N1001/100</f>
        <v>1190.0416666666667</v>
      </c>
      <c r="CM1025" s="16">
        <f>IF(CM1024&gt;0,CM1024*PARAM!$C$53,CM1024)+CK1025-CL1025</f>
        <v>-403881.87500000192</v>
      </c>
      <c r="CO1025" s="176"/>
    </row>
    <row r="1026" spans="1:93" x14ac:dyDescent="0.2">
      <c r="A1026" t="b">
        <f t="shared" si="666"/>
        <v>0</v>
      </c>
      <c r="B1026" s="33">
        <v>999</v>
      </c>
      <c r="C1026" s="15">
        <f t="shared" si="667"/>
        <v>20.081305947392778</v>
      </c>
      <c r="D1026" s="75">
        <f>C1026*(1-PARAM!$C$27)*$I$3+(MOD($B1026,60)=PARAM!$B$56)*($B1026&gt;(60-PARAM!$B$56))*HLOOKUP(($B1026+PARAM!$B$56)/12,Loyalty,2)*$F$1*MAX(F1025,0)</f>
        <v>16.808053077967756</v>
      </c>
      <c r="E1026" s="75">
        <f>PARAM!$C$26+MAX($G$3-CHOOSE(PARAM!$B$44,MAX(0,F1025*$F$1),0),0)*RATES!$L1002/12+$H$3*(PARAM!$D$51/12)*RATES!$N1002/100</f>
        <v>1190.0416666666667</v>
      </c>
      <c r="F1026" s="16">
        <f t="shared" si="668"/>
        <v>-388437.09683318459</v>
      </c>
      <c r="G1026" s="15">
        <f t="shared" si="669"/>
        <v>22.035289406060361</v>
      </c>
      <c r="H1026" s="75">
        <f>G1026*(1-PARAM!$C$27)*$I$4+(MOD($B1026,60)=PARAM!$B$56)*($B1026&gt;(60-PARAM!$B$56))*HLOOKUP(($B1026+PARAM!$B$56)/12,Loyalty,2)*$F$1*MAX(J1025,0)</f>
        <v>18.443537232872522</v>
      </c>
      <c r="I1026" s="75">
        <f>PARAM!$C$26+MAX($G$4-CHOOSE(PARAM!$B$44,MAX(0,J1025*$F$1),0),0)*RATES!$L1002/12+$H$4*(PARAM!$D$51/12)*RATES!$N1002/100</f>
        <v>1190.0416666666667</v>
      </c>
      <c r="J1026" s="16">
        <f t="shared" si="670"/>
        <v>-386769.41519830999</v>
      </c>
      <c r="K1026" s="15">
        <f t="shared" si="671"/>
        <v>22.170849845882874</v>
      </c>
      <c r="L1026" s="75">
        <f>K1026*(1-PARAM!$C$27)*$I$5+(MOD($B1026,60)=PARAM!$B$56)*($B1026&gt;(60-PARAM!$B$56))*HLOOKUP(($B1026+PARAM!$B$56)/12,Loyalty,2)*$F$1*MAX(N1025,0)</f>
        <v>18.557001321003963</v>
      </c>
      <c r="M1026" s="75">
        <f>PARAM!$C$26+MAX($G$5-CHOOSE(PARAM!$B$44,MAX(0,N1025*$F$1),0),0)*RATES!$L1002/12+$H$5*(PARAM!$D$51/12)*RATES!$N1002/100</f>
        <v>1190.0416666666667</v>
      </c>
      <c r="N1026" s="16">
        <f t="shared" si="672"/>
        <v>-386653.04703786905</v>
      </c>
      <c r="O1026" s="15">
        <f t="shared" si="673"/>
        <v>22.170849845882874</v>
      </c>
      <c r="P1026" s="75">
        <f>O1026*(1-PARAM!$C$27)*$I$6+(MOD($B1026,60)=PARAM!$B$56)*($B1026&gt;(60-PARAM!$B$56))*HLOOKUP(($B1026+PARAM!$B$56)/12,Loyalty,2)*$F$1*MAX(R1025,0)</f>
        <v>18.557001321003963</v>
      </c>
      <c r="Q1026" s="75">
        <f>PARAM!$C$26+MAX($G$6-CHOOSE(PARAM!$B$44,MAX(0,R1025*$F$1),0),0)*RATES!$L1002/12+$H$6*(PARAM!$D$51/12)*RATES!$N1002/100</f>
        <v>1190.0416666666667</v>
      </c>
      <c r="R1026" s="16">
        <f t="shared" si="674"/>
        <v>-386653.04703786905</v>
      </c>
      <c r="S1026" s="15">
        <f t="shared" si="649"/>
        <v>22.170849845882874</v>
      </c>
      <c r="T1026" s="75">
        <f>S1026*(1-PARAM!$C$27)*$I$7+(MOD($B1026,60)=PARAM!$B$56)*($B1026&gt;(60-PARAM!$B$56))*HLOOKUP(($B1026+PARAM!$B$56)/12,Loyalty,2)*$F$1*MAX(V1025,0)</f>
        <v>18.557001321003963</v>
      </c>
      <c r="U1026" s="75">
        <f>PARAM!$C$26+MAX($G$7-CHOOSE(PARAM!$B$44,MAX(0,V1025*$F$1),0),0)*RATES!$L1002/12+$H$7*(PARAM!$D$51/12)*RATES!$N1002/100</f>
        <v>1190.0416666666667</v>
      </c>
      <c r="V1026" s="16">
        <f t="shared" si="675"/>
        <v>-386653.04703786905</v>
      </c>
      <c r="W1026" s="15">
        <f t="shared" si="650"/>
        <v>22.170849845882874</v>
      </c>
      <c r="X1026" s="75">
        <f>W1026*(1-PARAM!$C$27)*$I$8+(MOD($B1026,60)=PARAM!$B$56)*($B1026&gt;(60-PARAM!$B$56))*HLOOKUP(($B1026+PARAM!$B$56)/12,Loyalty,2)*$F$1*MAX(Z1025,0)</f>
        <v>18.557001321003963</v>
      </c>
      <c r="Y1026" s="75">
        <f>PARAM!$C$26+MAX($G$8-CHOOSE(PARAM!$B$44,MAX(0,Z1025*$F$1),0),0)*RATES!$L1002/12+$H$8*(PARAM!$D$51/12)*RATES!$N1002/100</f>
        <v>1190.0416666666667</v>
      </c>
      <c r="Z1026" s="16">
        <f t="shared" si="676"/>
        <v>-386653.04703786905</v>
      </c>
      <c r="AA1026" s="15">
        <f t="shared" si="651"/>
        <v>22.170849845882874</v>
      </c>
      <c r="AB1026" s="75">
        <f>AA1026*(1-PARAM!$C$27)*$I$9+(MOD($B1026,60)=PARAM!$B$56)*($B1026&gt;(60-PARAM!$B$56))*HLOOKUP(($B1026+PARAM!$B$56)/12,Loyalty,2)*$F$1*MAX(AD1025,0)</f>
        <v>18.557001321003963</v>
      </c>
      <c r="AC1026" s="75">
        <f>PARAM!$C$26+MAX($G$9-CHOOSE(PARAM!$B$44,MAX(0,AD1025*$F$1),0),0)*RATES!$L1002/12+$H$9*(PARAM!$D$51/12)*RATES!$N1002/100</f>
        <v>1190.0416666666667</v>
      </c>
      <c r="AD1026" s="16">
        <f t="shared" si="677"/>
        <v>-386653.04703786905</v>
      </c>
      <c r="AE1026" s="15">
        <f t="shared" si="652"/>
        <v>22.170849845882874</v>
      </c>
      <c r="AF1026" s="75">
        <f>AE1026*(1-PARAM!$C$27)*$I$10+(MOD($B1026,60)=PARAM!$B$56)*($B1026&gt;(60-PARAM!$B$56))*HLOOKUP(($B1026+PARAM!$B$56)/12,Loyalty,2)*$F$1*MAX(AH1025,0)</f>
        <v>18.557001321003963</v>
      </c>
      <c r="AG1026" s="75">
        <f>PARAM!$C$26+MAX($G$10-CHOOSE(PARAM!$B$44,MAX(0,AH1025*$F$1),0),0)*RATES!$L1002/12+$H$10*(PARAM!$D$51/12)*RATES!$N1002/100</f>
        <v>1190.0416666666667</v>
      </c>
      <c r="AH1026" s="16">
        <f t="shared" si="678"/>
        <v>-386653.04703786905</v>
      </c>
      <c r="AI1026" s="15">
        <f t="shared" si="653"/>
        <v>22.170849845882874</v>
      </c>
      <c r="AJ1026" s="75">
        <f>AI1026*(1-PARAM!$C$27)*$I$11+(MOD($B1026,60)=PARAM!$B$56)*($B1026&gt;(60-PARAM!$B$56))*HLOOKUP(($B1026+PARAM!$B$56)/12,Loyalty,2)*$F$1*MAX(AL1025,0)</f>
        <v>18.557001321003963</v>
      </c>
      <c r="AK1026" s="75">
        <f>PARAM!$C$26+MAX($G$11-CHOOSE(PARAM!$B$44,MAX(0,AL1025*$F$1),0),0)*RATES!$L1002/12+$H$11*(PARAM!$D$51/12)*RATES!$N1002/100</f>
        <v>1190.0416666666667</v>
      </c>
      <c r="AL1026" s="16">
        <f t="shared" si="679"/>
        <v>-386653.04703786905</v>
      </c>
      <c r="AM1026" s="15">
        <f t="shared" si="654"/>
        <v>22.170849845882874</v>
      </c>
      <c r="AN1026" s="75">
        <f>AM1026*(1-PARAM!$C$27)*$I$12+(MOD($B1026,60)=PARAM!$B$56)*($B1026&gt;(60-PARAM!$B$56))*HLOOKUP(($B1026+PARAM!$B$56)/12,Loyalty,2)*$F$1*MAX(AP1025,0)</f>
        <v>18.557001321003963</v>
      </c>
      <c r="AO1026" s="75">
        <f>PARAM!$C$26+MAX($G$12-CHOOSE(PARAM!$B$44,MAX(0,AP1025*$F$1),0),0)*RATES!$L1002/12+$H$12*(PARAM!$D$51/12)*RATES!$N1002/100</f>
        <v>1190.0416666666667</v>
      </c>
      <c r="AP1026" s="16">
        <f t="shared" si="680"/>
        <v>-386653.04703786905</v>
      </c>
      <c r="AQ1026" s="15">
        <f t="shared" si="655"/>
        <v>22.170849845882874</v>
      </c>
      <c r="AR1026" s="75">
        <f>AQ1026*(1-PARAM!$C$27)*$I$13+(MOD($B1026,60)=PARAM!$B$56)*($B1026&gt;(60-PARAM!$B$56))*HLOOKUP(($B1026+PARAM!$B$56)/12,Loyalty,2)*$F$1*MAX(AT1025,0)</f>
        <v>18.557001321003963</v>
      </c>
      <c r="AS1026" s="75">
        <f>PARAM!$C$26+MAX($G$13-CHOOSE(PARAM!$B$44,MAX(0,AT1025*$F$1),0),0)*RATES!$L1002/12+$H$13*(PARAM!$D$51/12)*RATES!$N1002/100</f>
        <v>1190.0416666666667</v>
      </c>
      <c r="AT1026" s="16">
        <f t="shared" si="681"/>
        <v>-386653.04703786905</v>
      </c>
      <c r="AU1026" s="15">
        <f t="shared" si="656"/>
        <v>22.170849845882874</v>
      </c>
      <c r="AV1026" s="75">
        <f>AU1026*(1-PARAM!$C$27)*$I$14+(MOD($B1026,60)=PARAM!$B$56)*($B1026&gt;(60-PARAM!$B$56))*HLOOKUP(($B1026+PARAM!$B$56)/12,Loyalty,2)*$F$1*MAX(AX1025,0)</f>
        <v>18.557001321003963</v>
      </c>
      <c r="AW1026" s="75">
        <f>PARAM!$C$26+MAX($G$14-CHOOSE(PARAM!$B$44,MAX(0,AX1025*$F$1),0),0)*RATES!$L1002/12+$H$14*(PARAM!$D$51/12)*RATES!$N1002/100</f>
        <v>1190.0416666666667</v>
      </c>
      <c r="AX1026" s="16">
        <f t="shared" si="682"/>
        <v>-386653.04703786905</v>
      </c>
      <c r="AY1026" s="15">
        <f t="shared" si="657"/>
        <v>22.170849845882874</v>
      </c>
      <c r="AZ1026" s="75">
        <f>AY1026*(1-PARAM!$C$27)*$I$15+(MOD($B1026,60)=PARAM!$B$56)*($B1026&gt;(60-PARAM!$B$56))*HLOOKUP(($B1026+PARAM!$B$56)/12,Loyalty,2)*$F$1*MAX(BB1025,0)</f>
        <v>18.557001321003963</v>
      </c>
      <c r="BA1026" s="75">
        <f>PARAM!$C$26+MAX($G$15-CHOOSE(PARAM!$B$44,MAX(0,BB1025*$F$1),0),0)*RATES!$L1002/12+$H$15*(PARAM!$D$51/12)*RATES!$N1002/100</f>
        <v>1190.0416666666667</v>
      </c>
      <c r="BB1026" s="16">
        <f t="shared" si="683"/>
        <v>-386653.04703786905</v>
      </c>
      <c r="BC1026" s="15">
        <f t="shared" si="658"/>
        <v>22.170849845882874</v>
      </c>
      <c r="BD1026" s="75">
        <f>BC1026*(1-PARAM!$C$27)*$I$16+(MOD($B1026,60)=PARAM!$B$56)*($B1026&gt;(60-PARAM!$B$56))*HLOOKUP(($B1026+PARAM!$B$56)/12,Loyalty,2)*$F$1*MAX(BF1025,0)</f>
        <v>18.557001321003963</v>
      </c>
      <c r="BE1026" s="75">
        <f>PARAM!$C$26+MAX($G$16-CHOOSE(PARAM!$B$44,MAX(0,BF1025*$F$1),0),0)*RATES!$L1002/12+$H$16*(PARAM!$D$51/12)*RATES!$N1002/100</f>
        <v>1190.0416666666667</v>
      </c>
      <c r="BF1026" s="16">
        <f t="shared" si="684"/>
        <v>-386653.04703786905</v>
      </c>
      <c r="BG1026" s="15">
        <f t="shared" si="659"/>
        <v>22.170849845882874</v>
      </c>
      <c r="BH1026" s="75">
        <f>BG1026*(1-PARAM!$C$27)*$I$17+(MOD($B1026,60)=PARAM!$B$56)*($B1026&gt;(60-PARAM!$B$56))*HLOOKUP(($B1026+PARAM!$B$56)/12,Loyalty,2)*$F$1*MAX(BJ1025,0)</f>
        <v>18.557001321003963</v>
      </c>
      <c r="BI1026" s="75">
        <f>PARAM!$C$26+MAX($G$17-CHOOSE(PARAM!$B$44,MAX(0,BJ1025*$F$1),0),0)*RATES!$L1002/12+$H$17*(PARAM!$D$51/12)*RATES!$N1002/100</f>
        <v>1190.0416666666667</v>
      </c>
      <c r="BJ1026" s="16">
        <f t="shared" si="685"/>
        <v>-386653.04703786905</v>
      </c>
      <c r="BK1026" s="15">
        <f t="shared" si="660"/>
        <v>22.170849845882874</v>
      </c>
      <c r="BL1026" s="75">
        <f>BK1026*(1-PARAM!$C$27)*$I$18+(MOD($B1026,60)=PARAM!$B$56)*($B1026&gt;(60-PARAM!$B$56))*HLOOKUP(($B1026+PARAM!$B$56)/12,Loyalty,2)*$F$1*MAX(BN1025,0)</f>
        <v>18.557001321003963</v>
      </c>
      <c r="BM1026" s="75">
        <f>PARAM!$C$26+MAX($G$18-CHOOSE(PARAM!$B$44,MAX(0,BN1025*$F$1),0),0)*RATES!$L1002/12+$H$18*(PARAM!$D$51/12)*RATES!$N1002/100</f>
        <v>1190.0416666666667</v>
      </c>
      <c r="BN1026" s="16">
        <f t="shared" si="686"/>
        <v>-386653.04703786905</v>
      </c>
      <c r="BO1026" s="15">
        <f t="shared" si="661"/>
        <v>22.170849845882874</v>
      </c>
      <c r="BP1026" s="75">
        <f>BO1026*(1-PARAM!$C$27)*$I$19+(MOD($B1026,60)=PARAM!$B$56)*($B1026&gt;(60-PARAM!$B$56))*HLOOKUP(($B1026+PARAM!$B$56)/12,Loyalty,2)*$F$1*MAX(BR1025,0)</f>
        <v>18.557001321003963</v>
      </c>
      <c r="BQ1026" s="75">
        <f>PARAM!$C$26+MAX($G$19-CHOOSE(PARAM!$B$44,MAX(0,BR1025*$F$1),0),0)*RATES!$L1002/12+$H$19*(PARAM!$D$51/12)*RATES!$N1002/100</f>
        <v>1190.0416666666667</v>
      </c>
      <c r="BR1026" s="16">
        <f t="shared" si="687"/>
        <v>-386653.04703786905</v>
      </c>
      <c r="BS1026" s="15">
        <f t="shared" si="662"/>
        <v>22.170849845882874</v>
      </c>
      <c r="BT1026" s="75">
        <f>BS1026*(1-PARAM!$C$27)*$I$20+(MOD($B1026,60)=PARAM!$B$56)*($B1026&gt;(60-PARAM!$B$56))*HLOOKUP(($B1026+PARAM!$B$56)/12,Loyalty,2)*$F$1*MAX(BV1025,0)</f>
        <v>18.557001321003963</v>
      </c>
      <c r="BU1026" s="75">
        <f>PARAM!$C$26+MAX($G$20-CHOOSE(PARAM!$B$44,MAX(0,BV1025*$F$1),0),0)*RATES!$L1002/12+$H$20*(PARAM!$D$51/12)*RATES!$N1002/100</f>
        <v>1190.0416666666667</v>
      </c>
      <c r="BV1026" s="16">
        <f t="shared" si="688"/>
        <v>-386653.04703786905</v>
      </c>
      <c r="BW1026" s="15">
        <f t="shared" si="663"/>
        <v>22.170849845882874</v>
      </c>
      <c r="BX1026" s="75">
        <f>BW1026*(1-PARAM!$C$27)*$I$21+(MOD($B1026,60)=PARAM!$B$56)*($B1026&gt;(60-PARAM!$B$56))*HLOOKUP(($B1026+PARAM!$B$56)/12,Loyalty,2)*$F$1*MAX(BZ1025,0)</f>
        <v>18.557001321003963</v>
      </c>
      <c r="BY1026" s="75">
        <f>PARAM!$C$26+MAX($G$21-CHOOSE(PARAM!$B$44,MAX(0,BZ1025*$F$1),0),0)*RATES!$L1002/12+$H$21*(PARAM!$D$51/12)*RATES!$N1002/100</f>
        <v>1190.0416666666667</v>
      </c>
      <c r="BZ1026" s="16">
        <f t="shared" si="689"/>
        <v>-386653.04703786905</v>
      </c>
      <c r="CA1026" s="15">
        <f t="shared" si="664"/>
        <v>22.170849845882874</v>
      </c>
      <c r="CB1026" s="75">
        <f>CA1026*(1-PARAM!$C$27)*$I$22+(MOD($B1026,60)=PARAM!$B$56)*($B1026&gt;(60-PARAM!$B$56))*HLOOKUP(($B1026+PARAM!$B$56)/12,Loyalty,2)*$F$1*MAX(CD1025,0)</f>
        <v>18.557001321003963</v>
      </c>
      <c r="CC1026" s="75">
        <f>PARAM!$C$26+MAX($G$22-CHOOSE(PARAM!$B$44,MAX(0,CD1025*$F$1),0),0)*RATES!$L1002/12+$H$22*(PARAM!$D$51/12)*RATES!$N1002/100</f>
        <v>1190.0416666666667</v>
      </c>
      <c r="CD1026" s="16">
        <f t="shared" si="690"/>
        <v>-386653.04703786905</v>
      </c>
      <c r="CE1026" s="33">
        <f>IF(0=MOD(B1026,12/PARAM!$D$51),1,0)</f>
        <v>1</v>
      </c>
      <c r="CF1026" s="15">
        <f t="shared" si="665"/>
        <v>0</v>
      </c>
      <c r="CG1026" s="75">
        <f>CF1026*(1-PARAM!$C$27)*$R$3+(MOD($B1026/12,5)=0)*($B1026&gt;60)*HLOOKUP($B1026/12,Loyalty,2)*$F$1*MAX(CI1025,0)</f>
        <v>0</v>
      </c>
      <c r="CH1026" s="75">
        <f>PARAM!$C$26+MAX($P$3-CHOOSE(PARAM!$B$44,MAX(0,CI1025*$F$1),0),0)*RATES!$L1002/12+$Q$3*(PARAM!$D$51/12)*RATES!$N1002/100</f>
        <v>1190.0416666666667</v>
      </c>
      <c r="CI1026" s="16">
        <f>IF(CI1025&gt;0,CI1025*PARAM!$C$53,CI1025)+CG1026-CH1026</f>
        <v>-405071.91666666861</v>
      </c>
      <c r="CJ1026" s="15">
        <f t="shared" si="691"/>
        <v>0</v>
      </c>
      <c r="CK1026" s="75">
        <f>CJ1026*(1-PARAM!$C$27)*$R$4+(MOD($B1026/12,5)=0)*($B1026&gt;60)*HLOOKUP($B1026/12,Loyalty,2)*$F$1*MAX(CM1025,0)</f>
        <v>0</v>
      </c>
      <c r="CL1026" s="75">
        <f>PARAM!$C$26+MAX($P$4-CHOOSE(PARAM!$B$44,MAX(0,CM1025*$F$1),0),0)*RATES!$L1002/12+$Q$4*(PARAM!$D$51/12)*RATES!$N1002/100</f>
        <v>1190.0416666666667</v>
      </c>
      <c r="CM1026" s="16">
        <f>IF(CM1025&gt;0,CM1025*PARAM!$C$53,CM1025)+CK1026-CL1026</f>
        <v>-405071.91666666861</v>
      </c>
      <c r="CO1026" s="176"/>
    </row>
    <row r="1027" spans="1:93" x14ac:dyDescent="0.2">
      <c r="A1027" t="b">
        <f t="shared" si="666"/>
        <v>0</v>
      </c>
      <c r="B1027" s="33">
        <v>1000</v>
      </c>
      <c r="C1027" s="15">
        <f t="shared" si="667"/>
        <v>20.081305947392778</v>
      </c>
      <c r="D1027" s="75">
        <f>C1027*(1-PARAM!$C$27)*$I$3+(MOD($B1027,60)=PARAM!$B$56)*($B1027&gt;(60-PARAM!$B$56))*HLOOKUP(($B1027+PARAM!$B$56)/12,Loyalty,2)*$F$1*MAX(F1026,0)</f>
        <v>16.808053077967756</v>
      </c>
      <c r="E1027" s="75">
        <f>PARAM!$C$26+MAX($G$3-CHOOSE(PARAM!$B$44,MAX(0,F1026*$F$1),0),0)*RATES!$L1003/12+$H$3*(PARAM!$D$51/12)*RATES!$N1003/100</f>
        <v>1190.0416666666667</v>
      </c>
      <c r="F1027" s="16">
        <f t="shared" si="668"/>
        <v>-389610.33044677333</v>
      </c>
      <c r="G1027" s="15">
        <f t="shared" si="669"/>
        <v>22.035289406060361</v>
      </c>
      <c r="H1027" s="75">
        <f>G1027*(1-PARAM!$C$27)*$I$4+(MOD($B1027,60)=PARAM!$B$56)*($B1027&gt;(60-PARAM!$B$56))*HLOOKUP(($B1027+PARAM!$B$56)/12,Loyalty,2)*$F$1*MAX(J1026,0)</f>
        <v>18.443537232872522</v>
      </c>
      <c r="I1027" s="75">
        <f>PARAM!$C$26+MAX($G$4-CHOOSE(PARAM!$B$44,MAX(0,J1026*$F$1),0),0)*RATES!$L1003/12+$H$4*(PARAM!$D$51/12)*RATES!$N1003/100</f>
        <v>1190.0416666666667</v>
      </c>
      <c r="J1027" s="16">
        <f t="shared" si="670"/>
        <v>-387941.0133277438</v>
      </c>
      <c r="K1027" s="15">
        <f t="shared" si="671"/>
        <v>22.170849845882874</v>
      </c>
      <c r="L1027" s="75">
        <f>K1027*(1-PARAM!$C$27)*$I$5+(MOD($B1027,60)=PARAM!$B$56)*($B1027&gt;(60-PARAM!$B$56))*HLOOKUP(($B1027+PARAM!$B$56)/12,Loyalty,2)*$F$1*MAX(N1026,0)</f>
        <v>18.557001321003963</v>
      </c>
      <c r="M1027" s="75">
        <f>PARAM!$C$26+MAX($G$5-CHOOSE(PARAM!$B$44,MAX(0,N1026*$F$1),0),0)*RATES!$L1003/12+$H$5*(PARAM!$D$51/12)*RATES!$N1003/100</f>
        <v>1190.0416666666667</v>
      </c>
      <c r="N1027" s="16">
        <f t="shared" si="672"/>
        <v>-387824.53170321474</v>
      </c>
      <c r="O1027" s="15">
        <f t="shared" si="673"/>
        <v>22.170849845882874</v>
      </c>
      <c r="P1027" s="75">
        <f>O1027*(1-PARAM!$C$27)*$I$6+(MOD($B1027,60)=PARAM!$B$56)*($B1027&gt;(60-PARAM!$B$56))*HLOOKUP(($B1027+PARAM!$B$56)/12,Loyalty,2)*$F$1*MAX(R1026,0)</f>
        <v>18.557001321003963</v>
      </c>
      <c r="Q1027" s="75">
        <f>PARAM!$C$26+MAX($G$6-CHOOSE(PARAM!$B$44,MAX(0,R1026*$F$1),0),0)*RATES!$L1003/12+$H$6*(PARAM!$D$51/12)*RATES!$N1003/100</f>
        <v>1190.0416666666667</v>
      </c>
      <c r="R1027" s="16">
        <f t="shared" si="674"/>
        <v>-387824.53170321474</v>
      </c>
      <c r="S1027" s="15">
        <f t="shared" si="649"/>
        <v>22.170849845882874</v>
      </c>
      <c r="T1027" s="75">
        <f>S1027*(1-PARAM!$C$27)*$I$7+(MOD($B1027,60)=PARAM!$B$56)*($B1027&gt;(60-PARAM!$B$56))*HLOOKUP(($B1027+PARAM!$B$56)/12,Loyalty,2)*$F$1*MAX(V1026,0)</f>
        <v>18.557001321003963</v>
      </c>
      <c r="U1027" s="75">
        <f>PARAM!$C$26+MAX($G$7-CHOOSE(PARAM!$B$44,MAX(0,V1026*$F$1),0),0)*RATES!$L1003/12+$H$7*(PARAM!$D$51/12)*RATES!$N1003/100</f>
        <v>1190.0416666666667</v>
      </c>
      <c r="V1027" s="16">
        <f t="shared" si="675"/>
        <v>-387824.53170321474</v>
      </c>
      <c r="W1027" s="15">
        <f t="shared" si="650"/>
        <v>22.170849845882874</v>
      </c>
      <c r="X1027" s="75">
        <f>W1027*(1-PARAM!$C$27)*$I$8+(MOD($B1027,60)=PARAM!$B$56)*($B1027&gt;(60-PARAM!$B$56))*HLOOKUP(($B1027+PARAM!$B$56)/12,Loyalty,2)*$F$1*MAX(Z1026,0)</f>
        <v>18.557001321003963</v>
      </c>
      <c r="Y1027" s="75">
        <f>PARAM!$C$26+MAX($G$8-CHOOSE(PARAM!$B$44,MAX(0,Z1026*$F$1),0),0)*RATES!$L1003/12+$H$8*(PARAM!$D$51/12)*RATES!$N1003/100</f>
        <v>1190.0416666666667</v>
      </c>
      <c r="Z1027" s="16">
        <f t="shared" si="676"/>
        <v>-387824.53170321474</v>
      </c>
      <c r="AA1027" s="15">
        <f t="shared" si="651"/>
        <v>22.170849845882874</v>
      </c>
      <c r="AB1027" s="75">
        <f>AA1027*(1-PARAM!$C$27)*$I$9+(MOD($B1027,60)=PARAM!$B$56)*($B1027&gt;(60-PARAM!$B$56))*HLOOKUP(($B1027+PARAM!$B$56)/12,Loyalty,2)*$F$1*MAX(AD1026,0)</f>
        <v>18.557001321003963</v>
      </c>
      <c r="AC1027" s="75">
        <f>PARAM!$C$26+MAX($G$9-CHOOSE(PARAM!$B$44,MAX(0,AD1026*$F$1),0),0)*RATES!$L1003/12+$H$9*(PARAM!$D$51/12)*RATES!$N1003/100</f>
        <v>1190.0416666666667</v>
      </c>
      <c r="AD1027" s="16">
        <f t="shared" si="677"/>
        <v>-387824.53170321474</v>
      </c>
      <c r="AE1027" s="15">
        <f t="shared" si="652"/>
        <v>22.170849845882874</v>
      </c>
      <c r="AF1027" s="75">
        <f>AE1027*(1-PARAM!$C$27)*$I$10+(MOD($B1027,60)=PARAM!$B$56)*($B1027&gt;(60-PARAM!$B$56))*HLOOKUP(($B1027+PARAM!$B$56)/12,Loyalty,2)*$F$1*MAX(AH1026,0)</f>
        <v>18.557001321003963</v>
      </c>
      <c r="AG1027" s="75">
        <f>PARAM!$C$26+MAX($G$10-CHOOSE(PARAM!$B$44,MAX(0,AH1026*$F$1),0),0)*RATES!$L1003/12+$H$10*(PARAM!$D$51/12)*RATES!$N1003/100</f>
        <v>1190.0416666666667</v>
      </c>
      <c r="AH1027" s="16">
        <f t="shared" si="678"/>
        <v>-387824.53170321474</v>
      </c>
      <c r="AI1027" s="15">
        <f t="shared" si="653"/>
        <v>22.170849845882874</v>
      </c>
      <c r="AJ1027" s="75">
        <f>AI1027*(1-PARAM!$C$27)*$I$11+(MOD($B1027,60)=PARAM!$B$56)*($B1027&gt;(60-PARAM!$B$56))*HLOOKUP(($B1027+PARAM!$B$56)/12,Loyalty,2)*$F$1*MAX(AL1026,0)</f>
        <v>18.557001321003963</v>
      </c>
      <c r="AK1027" s="75">
        <f>PARAM!$C$26+MAX($G$11-CHOOSE(PARAM!$B$44,MAX(0,AL1026*$F$1),0),0)*RATES!$L1003/12+$H$11*(PARAM!$D$51/12)*RATES!$N1003/100</f>
        <v>1190.0416666666667</v>
      </c>
      <c r="AL1027" s="16">
        <f t="shared" si="679"/>
        <v>-387824.53170321474</v>
      </c>
      <c r="AM1027" s="15">
        <f t="shared" si="654"/>
        <v>22.170849845882874</v>
      </c>
      <c r="AN1027" s="75">
        <f>AM1027*(1-PARAM!$C$27)*$I$12+(MOD($B1027,60)=PARAM!$B$56)*($B1027&gt;(60-PARAM!$B$56))*HLOOKUP(($B1027+PARAM!$B$56)/12,Loyalty,2)*$F$1*MAX(AP1026,0)</f>
        <v>18.557001321003963</v>
      </c>
      <c r="AO1027" s="75">
        <f>PARAM!$C$26+MAX($G$12-CHOOSE(PARAM!$B$44,MAX(0,AP1026*$F$1),0),0)*RATES!$L1003/12+$H$12*(PARAM!$D$51/12)*RATES!$N1003/100</f>
        <v>1190.0416666666667</v>
      </c>
      <c r="AP1027" s="16">
        <f t="shared" si="680"/>
        <v>-387824.53170321474</v>
      </c>
      <c r="AQ1027" s="15">
        <f t="shared" si="655"/>
        <v>22.170849845882874</v>
      </c>
      <c r="AR1027" s="75">
        <f>AQ1027*(1-PARAM!$C$27)*$I$13+(MOD($B1027,60)=PARAM!$B$56)*($B1027&gt;(60-PARAM!$B$56))*HLOOKUP(($B1027+PARAM!$B$56)/12,Loyalty,2)*$F$1*MAX(AT1026,0)</f>
        <v>18.557001321003963</v>
      </c>
      <c r="AS1027" s="75">
        <f>PARAM!$C$26+MAX($G$13-CHOOSE(PARAM!$B$44,MAX(0,AT1026*$F$1),0),0)*RATES!$L1003/12+$H$13*(PARAM!$D$51/12)*RATES!$N1003/100</f>
        <v>1190.0416666666667</v>
      </c>
      <c r="AT1027" s="16">
        <f t="shared" si="681"/>
        <v>-387824.53170321474</v>
      </c>
      <c r="AU1027" s="15">
        <f t="shared" si="656"/>
        <v>22.170849845882874</v>
      </c>
      <c r="AV1027" s="75">
        <f>AU1027*(1-PARAM!$C$27)*$I$14+(MOD($B1027,60)=PARAM!$B$56)*($B1027&gt;(60-PARAM!$B$56))*HLOOKUP(($B1027+PARAM!$B$56)/12,Loyalty,2)*$F$1*MAX(AX1026,0)</f>
        <v>18.557001321003963</v>
      </c>
      <c r="AW1027" s="75">
        <f>PARAM!$C$26+MAX($G$14-CHOOSE(PARAM!$B$44,MAX(0,AX1026*$F$1),0),0)*RATES!$L1003/12+$H$14*(PARAM!$D$51/12)*RATES!$N1003/100</f>
        <v>1190.0416666666667</v>
      </c>
      <c r="AX1027" s="16">
        <f t="shared" si="682"/>
        <v>-387824.53170321474</v>
      </c>
      <c r="AY1027" s="15">
        <f t="shared" si="657"/>
        <v>22.170849845882874</v>
      </c>
      <c r="AZ1027" s="75">
        <f>AY1027*(1-PARAM!$C$27)*$I$15+(MOD($B1027,60)=PARAM!$B$56)*($B1027&gt;(60-PARAM!$B$56))*HLOOKUP(($B1027+PARAM!$B$56)/12,Loyalty,2)*$F$1*MAX(BB1026,0)</f>
        <v>18.557001321003963</v>
      </c>
      <c r="BA1027" s="75">
        <f>PARAM!$C$26+MAX($G$15-CHOOSE(PARAM!$B$44,MAX(0,BB1026*$F$1),0),0)*RATES!$L1003/12+$H$15*(PARAM!$D$51/12)*RATES!$N1003/100</f>
        <v>1190.0416666666667</v>
      </c>
      <c r="BB1027" s="16">
        <f t="shared" si="683"/>
        <v>-387824.53170321474</v>
      </c>
      <c r="BC1027" s="15">
        <f t="shared" si="658"/>
        <v>22.170849845882874</v>
      </c>
      <c r="BD1027" s="75">
        <f>BC1027*(1-PARAM!$C$27)*$I$16+(MOD($B1027,60)=PARAM!$B$56)*($B1027&gt;(60-PARAM!$B$56))*HLOOKUP(($B1027+PARAM!$B$56)/12,Loyalty,2)*$F$1*MAX(BF1026,0)</f>
        <v>18.557001321003963</v>
      </c>
      <c r="BE1027" s="75">
        <f>PARAM!$C$26+MAX($G$16-CHOOSE(PARAM!$B$44,MAX(0,BF1026*$F$1),0),0)*RATES!$L1003/12+$H$16*(PARAM!$D$51/12)*RATES!$N1003/100</f>
        <v>1190.0416666666667</v>
      </c>
      <c r="BF1027" s="16">
        <f t="shared" si="684"/>
        <v>-387824.53170321474</v>
      </c>
      <c r="BG1027" s="15">
        <f t="shared" si="659"/>
        <v>22.170849845882874</v>
      </c>
      <c r="BH1027" s="75">
        <f>BG1027*(1-PARAM!$C$27)*$I$17+(MOD($B1027,60)=PARAM!$B$56)*($B1027&gt;(60-PARAM!$B$56))*HLOOKUP(($B1027+PARAM!$B$56)/12,Loyalty,2)*$F$1*MAX(BJ1026,0)</f>
        <v>18.557001321003963</v>
      </c>
      <c r="BI1027" s="75">
        <f>PARAM!$C$26+MAX($G$17-CHOOSE(PARAM!$B$44,MAX(0,BJ1026*$F$1),0),0)*RATES!$L1003/12+$H$17*(PARAM!$D$51/12)*RATES!$N1003/100</f>
        <v>1190.0416666666667</v>
      </c>
      <c r="BJ1027" s="16">
        <f t="shared" si="685"/>
        <v>-387824.53170321474</v>
      </c>
      <c r="BK1027" s="15">
        <f t="shared" si="660"/>
        <v>22.170849845882874</v>
      </c>
      <c r="BL1027" s="75">
        <f>BK1027*(1-PARAM!$C$27)*$I$18+(MOD($B1027,60)=PARAM!$B$56)*($B1027&gt;(60-PARAM!$B$56))*HLOOKUP(($B1027+PARAM!$B$56)/12,Loyalty,2)*$F$1*MAX(BN1026,0)</f>
        <v>18.557001321003963</v>
      </c>
      <c r="BM1027" s="75">
        <f>PARAM!$C$26+MAX($G$18-CHOOSE(PARAM!$B$44,MAX(0,BN1026*$F$1),0),0)*RATES!$L1003/12+$H$18*(PARAM!$D$51/12)*RATES!$N1003/100</f>
        <v>1190.0416666666667</v>
      </c>
      <c r="BN1027" s="16">
        <f t="shared" si="686"/>
        <v>-387824.53170321474</v>
      </c>
      <c r="BO1027" s="15">
        <f t="shared" si="661"/>
        <v>22.170849845882874</v>
      </c>
      <c r="BP1027" s="75">
        <f>BO1027*(1-PARAM!$C$27)*$I$19+(MOD($B1027,60)=PARAM!$B$56)*($B1027&gt;(60-PARAM!$B$56))*HLOOKUP(($B1027+PARAM!$B$56)/12,Loyalty,2)*$F$1*MAX(BR1026,0)</f>
        <v>18.557001321003963</v>
      </c>
      <c r="BQ1027" s="75">
        <f>PARAM!$C$26+MAX($G$19-CHOOSE(PARAM!$B$44,MAX(0,BR1026*$F$1),0),0)*RATES!$L1003/12+$H$19*(PARAM!$D$51/12)*RATES!$N1003/100</f>
        <v>1190.0416666666667</v>
      </c>
      <c r="BR1027" s="16">
        <f t="shared" si="687"/>
        <v>-387824.53170321474</v>
      </c>
      <c r="BS1027" s="15">
        <f t="shared" si="662"/>
        <v>22.170849845882874</v>
      </c>
      <c r="BT1027" s="75">
        <f>BS1027*(1-PARAM!$C$27)*$I$20+(MOD($B1027,60)=PARAM!$B$56)*($B1027&gt;(60-PARAM!$B$56))*HLOOKUP(($B1027+PARAM!$B$56)/12,Loyalty,2)*$F$1*MAX(BV1026,0)</f>
        <v>18.557001321003963</v>
      </c>
      <c r="BU1027" s="75">
        <f>PARAM!$C$26+MAX($G$20-CHOOSE(PARAM!$B$44,MAX(0,BV1026*$F$1),0),0)*RATES!$L1003/12+$H$20*(PARAM!$D$51/12)*RATES!$N1003/100</f>
        <v>1190.0416666666667</v>
      </c>
      <c r="BV1027" s="16">
        <f t="shared" si="688"/>
        <v>-387824.53170321474</v>
      </c>
      <c r="BW1027" s="15">
        <f t="shared" si="663"/>
        <v>22.170849845882874</v>
      </c>
      <c r="BX1027" s="75">
        <f>BW1027*(1-PARAM!$C$27)*$I$21+(MOD($B1027,60)=PARAM!$B$56)*($B1027&gt;(60-PARAM!$B$56))*HLOOKUP(($B1027+PARAM!$B$56)/12,Loyalty,2)*$F$1*MAX(BZ1026,0)</f>
        <v>18.557001321003963</v>
      </c>
      <c r="BY1027" s="75">
        <f>PARAM!$C$26+MAX($G$21-CHOOSE(PARAM!$B$44,MAX(0,BZ1026*$F$1),0),0)*RATES!$L1003/12+$H$21*(PARAM!$D$51/12)*RATES!$N1003/100</f>
        <v>1190.0416666666667</v>
      </c>
      <c r="BZ1027" s="16">
        <f t="shared" si="689"/>
        <v>-387824.53170321474</v>
      </c>
      <c r="CA1027" s="15">
        <f t="shared" si="664"/>
        <v>22.170849845882874</v>
      </c>
      <c r="CB1027" s="75">
        <f>CA1027*(1-PARAM!$C$27)*$I$22+(MOD($B1027,60)=PARAM!$B$56)*($B1027&gt;(60-PARAM!$B$56))*HLOOKUP(($B1027+PARAM!$B$56)/12,Loyalty,2)*$F$1*MAX(CD1026,0)</f>
        <v>18.557001321003963</v>
      </c>
      <c r="CC1027" s="75">
        <f>PARAM!$C$26+MAX($G$22-CHOOSE(PARAM!$B$44,MAX(0,CD1026*$F$1),0),0)*RATES!$L1003/12+$H$22*(PARAM!$D$51/12)*RATES!$N1003/100</f>
        <v>1190.0416666666667</v>
      </c>
      <c r="CD1027" s="16">
        <f t="shared" si="690"/>
        <v>-387824.53170321474</v>
      </c>
      <c r="CE1027" s="32">
        <f>IF(0=MOD(B1027,12/PARAM!$D$51),1,0)</f>
        <v>1</v>
      </c>
      <c r="CF1027" s="15">
        <f t="shared" si="665"/>
        <v>0</v>
      </c>
      <c r="CG1027" s="75">
        <f>CF1027*(1-PARAM!$C$27)*$R$3+(MOD($B1027/12,5)=0)*($B1027&gt;60)*HLOOKUP($B1027/12,Loyalty,2)*$F$1*MAX(CI1026,0)</f>
        <v>0</v>
      </c>
      <c r="CH1027" s="75">
        <f>PARAM!$C$26+MAX($P$3-CHOOSE(PARAM!$B$44,MAX(0,CI1026*$F$1),0),0)*RATES!$L1003/12+$Q$3*(PARAM!$D$51/12)*RATES!$N1003/100</f>
        <v>1190.0416666666667</v>
      </c>
      <c r="CI1027" s="16">
        <f>IF(CI1026&gt;0,CI1026*PARAM!$C$53,CI1026)+CG1027-CH1027</f>
        <v>-406261.95833333529</v>
      </c>
      <c r="CJ1027" s="15">
        <f t="shared" si="691"/>
        <v>0</v>
      </c>
      <c r="CK1027" s="75">
        <f>CJ1027*(1-PARAM!$C$27)*$R$4+(MOD($B1027/12,5)=0)*($B1027&gt;60)*HLOOKUP($B1027/12,Loyalty,2)*$F$1*MAX(CM1026,0)</f>
        <v>0</v>
      </c>
      <c r="CL1027" s="75">
        <f>PARAM!$C$26+MAX($P$4-CHOOSE(PARAM!$B$44,MAX(0,CM1026*$F$1),0),0)*RATES!$L1003/12+$Q$4*(PARAM!$D$51/12)*RATES!$N1003/100</f>
        <v>1190.0416666666667</v>
      </c>
      <c r="CM1027" s="16">
        <f>IF(CM1026&gt;0,CM1026*PARAM!$C$53,CM1026)+CK1027-CL1027</f>
        <v>-406261.95833333529</v>
      </c>
      <c r="CO1027" s="176"/>
    </row>
    <row r="1028" spans="1:93" x14ac:dyDescent="0.2">
      <c r="D1028" s="75"/>
      <c r="H1028" s="75"/>
      <c r="L1028" s="75"/>
      <c r="P1028" s="75"/>
      <c r="T1028" s="75"/>
      <c r="X1028" s="75"/>
      <c r="AB1028" s="75"/>
      <c r="AF1028" s="75"/>
      <c r="AJ1028" s="75"/>
      <c r="AN1028" s="75"/>
      <c r="CG1028" s="75"/>
      <c r="CK1028" s="75"/>
      <c r="CO1028" s="176"/>
    </row>
    <row r="1029" spans="1:93" x14ac:dyDescent="0.2">
      <c r="D1029" s="75"/>
      <c r="H1029" s="75"/>
      <c r="L1029" s="75"/>
      <c r="P1029" s="75"/>
      <c r="T1029" s="75"/>
      <c r="X1029" s="75"/>
      <c r="AB1029" s="75"/>
      <c r="AF1029" s="75"/>
      <c r="AJ1029" s="75"/>
      <c r="AN1029" s="75"/>
      <c r="CG1029" s="75"/>
      <c r="CK1029" s="75"/>
      <c r="CO1029" s="176"/>
    </row>
    <row r="1030" spans="1:93" x14ac:dyDescent="0.2">
      <c r="D1030" s="75"/>
      <c r="H1030" s="75"/>
      <c r="L1030" s="75"/>
      <c r="P1030" s="75"/>
      <c r="T1030" s="75"/>
      <c r="X1030" s="75"/>
      <c r="AB1030" s="75"/>
      <c r="AF1030" s="75"/>
      <c r="AJ1030" s="75"/>
      <c r="AN1030" s="75"/>
      <c r="CG1030" s="75"/>
      <c r="CK1030" s="75"/>
      <c r="CO1030" s="176"/>
    </row>
    <row r="1031" spans="1:93" x14ac:dyDescent="0.2">
      <c r="D1031" s="75"/>
      <c r="H1031" s="75"/>
      <c r="L1031" s="75"/>
      <c r="P1031" s="75"/>
      <c r="T1031" s="75"/>
      <c r="X1031" s="75"/>
      <c r="AB1031" s="75"/>
      <c r="AF1031" s="75"/>
      <c r="AJ1031" s="75"/>
      <c r="AN1031" s="75"/>
      <c r="CG1031" s="75"/>
      <c r="CK1031" s="75"/>
      <c r="CO1031" s="176"/>
    </row>
    <row r="1032" spans="1:93" x14ac:dyDescent="0.2">
      <c r="D1032" s="75"/>
      <c r="H1032" s="75"/>
      <c r="L1032" s="75"/>
      <c r="P1032" s="75"/>
      <c r="T1032" s="75"/>
      <c r="X1032" s="75"/>
      <c r="AB1032" s="75"/>
      <c r="AF1032" s="75"/>
      <c r="AJ1032" s="75"/>
      <c r="AN1032" s="75"/>
      <c r="CG1032" s="75"/>
      <c r="CK1032" s="75"/>
      <c r="CO1032" s="176"/>
    </row>
    <row r="1033" spans="1:93" x14ac:dyDescent="0.2">
      <c r="D1033" s="75"/>
      <c r="H1033" s="75"/>
      <c r="L1033" s="75"/>
      <c r="P1033" s="75"/>
      <c r="T1033" s="75"/>
      <c r="X1033" s="75"/>
      <c r="AB1033" s="75"/>
      <c r="AF1033" s="75"/>
      <c r="AJ1033" s="75"/>
      <c r="AN1033" s="75"/>
      <c r="CG1033" s="75"/>
      <c r="CK1033" s="75"/>
      <c r="CO1033" s="176"/>
    </row>
    <row r="1034" spans="1:93" x14ac:dyDescent="0.2">
      <c r="D1034" s="75"/>
      <c r="H1034" s="75"/>
      <c r="L1034" s="75"/>
      <c r="P1034" s="75"/>
      <c r="T1034" s="75"/>
      <c r="X1034" s="75"/>
      <c r="AB1034" s="75"/>
      <c r="AF1034" s="75"/>
      <c r="AJ1034" s="75"/>
      <c r="AN1034" s="75"/>
      <c r="CG1034" s="75"/>
      <c r="CK1034" s="75"/>
      <c r="CO1034" s="176"/>
    </row>
    <row r="1035" spans="1:93" x14ac:dyDescent="0.2">
      <c r="D1035" s="75"/>
      <c r="H1035" s="75"/>
      <c r="L1035" s="75"/>
      <c r="P1035" s="75"/>
      <c r="T1035" s="75"/>
      <c r="X1035" s="75"/>
      <c r="AB1035" s="75"/>
      <c r="AF1035" s="75"/>
      <c r="AJ1035" s="75"/>
      <c r="AN1035" s="75"/>
      <c r="CG1035" s="75"/>
      <c r="CK1035" s="75"/>
      <c r="CO1035" s="176"/>
    </row>
    <row r="1036" spans="1:93" x14ac:dyDescent="0.2">
      <c r="D1036" s="75"/>
      <c r="H1036" s="75"/>
      <c r="L1036" s="75"/>
      <c r="P1036" s="75"/>
      <c r="T1036" s="75"/>
      <c r="X1036" s="75"/>
      <c r="AB1036" s="75"/>
      <c r="AF1036" s="75"/>
      <c r="AJ1036" s="75"/>
      <c r="AN1036" s="75"/>
      <c r="CG1036" s="75"/>
      <c r="CK1036" s="75"/>
      <c r="CO1036" s="176"/>
    </row>
    <row r="1037" spans="1:93" x14ac:dyDescent="0.2">
      <c r="D1037" s="75"/>
      <c r="H1037" s="75"/>
      <c r="L1037" s="75"/>
      <c r="P1037" s="75"/>
      <c r="T1037" s="75"/>
      <c r="X1037" s="75"/>
      <c r="AB1037" s="75"/>
      <c r="AF1037" s="75"/>
      <c r="AJ1037" s="75"/>
      <c r="AN1037" s="75"/>
      <c r="CG1037" s="75"/>
      <c r="CK1037" s="75"/>
      <c r="CO1037" s="176"/>
    </row>
    <row r="1038" spans="1:93" x14ac:dyDescent="0.2">
      <c r="D1038" s="75"/>
      <c r="H1038" s="75"/>
      <c r="L1038" s="75"/>
      <c r="P1038" s="75"/>
      <c r="T1038" s="75"/>
      <c r="X1038" s="75"/>
      <c r="AB1038" s="75"/>
      <c r="AF1038" s="75"/>
      <c r="AJ1038" s="75"/>
      <c r="AN1038" s="75"/>
      <c r="CG1038" s="75"/>
      <c r="CK1038" s="75"/>
      <c r="CO1038" s="176"/>
    </row>
    <row r="1039" spans="1:93" x14ac:dyDescent="0.2">
      <c r="D1039" s="75"/>
      <c r="H1039" s="75"/>
      <c r="L1039" s="75"/>
      <c r="P1039" s="75"/>
      <c r="T1039" s="75"/>
      <c r="X1039" s="75"/>
      <c r="AB1039" s="75"/>
      <c r="AF1039" s="75"/>
      <c r="AJ1039" s="75"/>
      <c r="AN1039" s="75"/>
      <c r="CG1039" s="75"/>
      <c r="CK1039" s="75"/>
      <c r="CO1039" s="176"/>
    </row>
    <row r="1040" spans="1:93" x14ac:dyDescent="0.2">
      <c r="D1040" s="75"/>
      <c r="H1040" s="75"/>
      <c r="L1040" s="75"/>
      <c r="P1040" s="75"/>
      <c r="T1040" s="75"/>
      <c r="X1040" s="75"/>
      <c r="AB1040" s="75"/>
      <c r="AF1040" s="75"/>
      <c r="AJ1040" s="75"/>
      <c r="AN1040" s="75"/>
      <c r="CG1040" s="75"/>
      <c r="CK1040" s="75"/>
      <c r="CO1040" s="176"/>
    </row>
    <row r="1041" spans="4:93" x14ac:dyDescent="0.2">
      <c r="D1041" s="75"/>
      <c r="H1041" s="75"/>
      <c r="L1041" s="75"/>
      <c r="P1041" s="75"/>
      <c r="T1041" s="75"/>
      <c r="X1041" s="75"/>
      <c r="AB1041" s="75"/>
      <c r="AF1041" s="75"/>
      <c r="AJ1041" s="75"/>
      <c r="AN1041" s="75"/>
      <c r="CG1041" s="75"/>
      <c r="CK1041" s="75"/>
      <c r="CO1041" s="176"/>
    </row>
    <row r="1042" spans="4:93" x14ac:dyDescent="0.2">
      <c r="D1042" s="75"/>
      <c r="H1042" s="75"/>
      <c r="L1042" s="75"/>
      <c r="P1042" s="75"/>
      <c r="T1042" s="75"/>
      <c r="X1042" s="75"/>
      <c r="AB1042" s="75"/>
      <c r="AF1042" s="75"/>
      <c r="AJ1042" s="75"/>
      <c r="AN1042" s="75"/>
      <c r="CG1042" s="75"/>
      <c r="CK1042" s="75"/>
      <c r="CO1042" s="176"/>
    </row>
    <row r="1043" spans="4:93" x14ac:dyDescent="0.2">
      <c r="D1043" s="75"/>
      <c r="H1043" s="75"/>
      <c r="L1043" s="75"/>
      <c r="P1043" s="75"/>
      <c r="T1043" s="75"/>
      <c r="X1043" s="75"/>
      <c r="AB1043" s="75"/>
      <c r="AF1043" s="75"/>
      <c r="AJ1043" s="75"/>
      <c r="AN1043" s="75"/>
      <c r="CG1043" s="75"/>
      <c r="CK1043" s="75"/>
      <c r="CO1043" s="176"/>
    </row>
    <row r="1044" spans="4:93" x14ac:dyDescent="0.2">
      <c r="D1044" s="75"/>
      <c r="H1044" s="75"/>
      <c r="L1044" s="75"/>
      <c r="P1044" s="75"/>
      <c r="T1044" s="75"/>
      <c r="X1044" s="75"/>
      <c r="AB1044" s="75"/>
      <c r="AF1044" s="75"/>
      <c r="AJ1044" s="75"/>
      <c r="AN1044" s="75"/>
      <c r="CG1044" s="75"/>
      <c r="CK1044" s="75"/>
      <c r="CO1044" s="176"/>
    </row>
    <row r="1045" spans="4:93" x14ac:dyDescent="0.2">
      <c r="D1045" s="75"/>
      <c r="H1045" s="75"/>
      <c r="L1045" s="75"/>
      <c r="P1045" s="75"/>
      <c r="T1045" s="75"/>
      <c r="X1045" s="75"/>
      <c r="AB1045" s="75"/>
      <c r="AF1045" s="75"/>
      <c r="AJ1045" s="75"/>
      <c r="AN1045" s="75"/>
      <c r="CG1045" s="75"/>
      <c r="CK1045" s="75"/>
      <c r="CO1045" s="176"/>
    </row>
    <row r="1046" spans="4:93" x14ac:dyDescent="0.2">
      <c r="D1046" s="75"/>
      <c r="H1046" s="75"/>
      <c r="L1046" s="75"/>
      <c r="P1046" s="75"/>
      <c r="T1046" s="75"/>
      <c r="X1046" s="75"/>
      <c r="AB1046" s="75"/>
      <c r="AF1046" s="75"/>
      <c r="AJ1046" s="75"/>
      <c r="AN1046" s="75"/>
      <c r="CG1046" s="75"/>
      <c r="CK1046" s="75"/>
      <c r="CO1046" s="176"/>
    </row>
  </sheetData>
  <mergeCells count="20">
    <mergeCell ref="AA25:AC25"/>
    <mergeCell ref="AE25:AG25"/>
    <mergeCell ref="AI25:AK25"/>
    <mergeCell ref="AM25:AO25"/>
    <mergeCell ref="AQ25:AS25"/>
    <mergeCell ref="AU25:AW25"/>
    <mergeCell ref="C25:E25"/>
    <mergeCell ref="G25:I25"/>
    <mergeCell ref="K25:M25"/>
    <mergeCell ref="O25:Q25"/>
    <mergeCell ref="S25:U25"/>
    <mergeCell ref="W25:Y25"/>
    <mergeCell ref="BO25:BQ25"/>
    <mergeCell ref="BS25:BU25"/>
    <mergeCell ref="BW25:BY25"/>
    <mergeCell ref="CA25:CC25"/>
    <mergeCell ref="AY25:BA25"/>
    <mergeCell ref="BC25:BE25"/>
    <mergeCell ref="BG25:BI25"/>
    <mergeCell ref="BK25:BM25"/>
  </mergeCells>
  <phoneticPr fontId="0" type="noConversion"/>
  <printOptions headings="1"/>
  <pageMargins left="0.74803149606299213" right="0.74803149606299213" top="0.98425196850393704" bottom="0.98425196850393704" header="0.51181102362204722" footer="0.51181102362204722"/>
  <pageSetup paperSize="9" scale="10" orientation="landscape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O445"/>
  <sheetViews>
    <sheetView workbookViewId="0"/>
  </sheetViews>
  <sheetFormatPr defaultRowHeight="12.75" x14ac:dyDescent="0.2"/>
  <cols>
    <col min="1" max="2" width="9.140625" style="42"/>
    <col min="3" max="3" width="12.7109375" style="42" customWidth="1"/>
    <col min="4" max="4" width="16.7109375" style="42" customWidth="1"/>
    <col min="5" max="5" width="10.28515625" style="42" bestFit="1" customWidth="1"/>
    <col min="6" max="6" width="14.5703125" style="115" customWidth="1"/>
    <col min="7" max="7" width="10.7109375" style="147" customWidth="1"/>
    <col min="8" max="9" width="10.7109375" style="42" customWidth="1"/>
    <col min="10" max="10" width="12.28515625" style="147" customWidth="1"/>
    <col min="11" max="11" width="10.7109375" style="42" customWidth="1"/>
    <col min="12" max="12" width="12.28515625" style="147" customWidth="1"/>
    <col min="13" max="13" width="11.7109375" style="42" customWidth="1"/>
    <col min="14" max="16384" width="9.140625" style="42"/>
  </cols>
  <sheetData>
    <row r="1" spans="1:15" x14ac:dyDescent="0.2">
      <c r="D1" s="351" t="s">
        <v>240</v>
      </c>
      <c r="E1" s="351"/>
      <c r="G1" s="116"/>
      <c r="H1" s="117"/>
      <c r="I1" s="118"/>
      <c r="J1" s="119" t="s">
        <v>155</v>
      </c>
      <c r="K1" s="120">
        <f>PARAM!C59</f>
        <v>1.0060449190242917</v>
      </c>
      <c r="L1" s="118"/>
      <c r="M1" s="121" t="s">
        <v>182</v>
      </c>
    </row>
    <row r="2" spans="1:15" x14ac:dyDescent="0.2">
      <c r="A2" s="42" t="s">
        <v>183</v>
      </c>
      <c r="C2" s="42">
        <f>IF(PARAM!B48=3,1,PARAM!B48)</f>
        <v>1</v>
      </c>
      <c r="D2" s="122" t="s">
        <v>241</v>
      </c>
      <c r="E2" s="122" t="b">
        <f>AND(ROUND(CALC!$K$22,0)&lt;=5,ROUND(CALC!$K$22,0)&gt;=-5)</f>
        <v>1</v>
      </c>
      <c r="G2" s="123" t="s">
        <v>138</v>
      </c>
      <c r="H2" s="124" t="s">
        <v>15</v>
      </c>
      <c r="I2" s="125" t="s">
        <v>179</v>
      </c>
      <c r="J2" s="126" t="s">
        <v>184</v>
      </c>
      <c r="K2" s="126" t="s">
        <v>180</v>
      </c>
      <c r="L2" s="125" t="s">
        <v>181</v>
      </c>
      <c r="M2" s="127" t="s">
        <v>185</v>
      </c>
    </row>
    <row r="3" spans="1:15" x14ac:dyDescent="0.2">
      <c r="A3" s="42" t="s">
        <v>186</v>
      </c>
      <c r="C3" s="180">
        <f>SUM(RATES!S3:S1003)</f>
        <v>119.65061307013029</v>
      </c>
      <c r="D3" s="122" t="s">
        <v>242</v>
      </c>
      <c r="E3" s="122" t="b">
        <f>CHOOSE($C$2,ROUNDDOWN(CALC!$L$23,InputPremRounding)=ROUNDDOWN(CALC!$M$23,InputPremRounding),ROUNDUP(CALC!$L$23,InputSumAssRounding)=ROUNDUP(CALC!$M$23,InputSumAssRounding))</f>
        <v>1</v>
      </c>
      <c r="G3" s="128">
        <v>0</v>
      </c>
      <c r="H3" s="129">
        <f>C26</f>
        <v>67</v>
      </c>
      <c r="I3" s="130">
        <f>H3*(1-PARAM!$C$27)*$C$28</f>
        <v>56.078999999999994</v>
      </c>
      <c r="J3" s="131">
        <f>-C27</f>
        <v>-1720</v>
      </c>
      <c r="K3" s="132">
        <f>PARAM!$C$26+$C$25*RATES!$L$3/12+$C$26/CHOOSE(PARAM!$B$51,1,3,6,12)*RATES!$N$3/100</f>
        <v>7</v>
      </c>
      <c r="L3" s="133">
        <f>J3+I3-K3</f>
        <v>-1670.921</v>
      </c>
      <c r="M3" s="235">
        <v>0</v>
      </c>
      <c r="O3" s="132"/>
    </row>
    <row r="4" spans="1:15" x14ac:dyDescent="0.2">
      <c r="A4" s="42" t="s">
        <v>187</v>
      </c>
      <c r="C4" s="180">
        <f>SUM(RATES!U3:U1003)</f>
        <v>6.7594784744724468E-3</v>
      </c>
      <c r="D4" s="122" t="s">
        <v>243</v>
      </c>
      <c r="E4" s="122" t="b">
        <f>AND(C2=1,CALC!T3&lt;0,CALC!T4&gt;0)</f>
        <v>0</v>
      </c>
      <c r="G4" s="128">
        <v>1</v>
      </c>
      <c r="H4" s="129">
        <f>CHOOSE(PARAM!$B$51,$H$3,0,0,0)</f>
        <v>67</v>
      </c>
      <c r="I4" s="130">
        <f>H4*(1-PARAM!$C$27)*$C$28</f>
        <v>56.078999999999994</v>
      </c>
      <c r="J4" s="131">
        <f t="shared" ref="J4:J35" si="0">IF(L3&lt;0,L3,L3*$K$1)</f>
        <v>-1670.921</v>
      </c>
      <c r="K4" s="132">
        <f>PARAM!$C$26+MAX(0,($C$25-CHOOSE(PARAM!$B$44,MAX(0,L3*IF(L3&gt;0,$K$1,1)),0)))*RATES!$L4/12+$C$26/CHOOSE(PARAM!$B$51,1,3,6,12)*RATES!$N4/100</f>
        <v>7</v>
      </c>
      <c r="L4" s="133">
        <f>IF($G4=PARAM!$B$56,ReviewValue,J4+$I4-K4)</f>
        <v>-1621.8420000000001</v>
      </c>
      <c r="M4" s="235">
        <f t="shared" ref="M4:M67" si="1">M3+H3</f>
        <v>67</v>
      </c>
    </row>
    <row r="5" spans="1:15" x14ac:dyDescent="0.2">
      <c r="D5" s="122" t="s">
        <v>569</v>
      </c>
      <c r="E5" s="122" t="b">
        <f>AND(InputPremium&gt;CALC!L23,InputPremium&gt;CALC!M23)</f>
        <v>1</v>
      </c>
      <c r="G5" s="128">
        <v>2</v>
      </c>
      <c r="H5" s="129">
        <f>CHOOSE(PARAM!$B$51,$H$3,0,0,0)</f>
        <v>67</v>
      </c>
      <c r="I5" s="130">
        <f>H5*(1-PARAM!$C$27)*$C$28</f>
        <v>56.078999999999994</v>
      </c>
      <c r="J5" s="131">
        <f t="shared" si="0"/>
        <v>-1621.8420000000001</v>
      </c>
      <c r="K5" s="132">
        <f>PARAM!$C$26+MAX(0,($C$25-CHOOSE(PARAM!$B$44,MAX(0,L4*IF(L4&gt;0,$K$1,1)),0)))*RATES!$L5/12+$C$26/CHOOSE(PARAM!$B$51,1,3,6,12)*RATES!$N5/100</f>
        <v>7</v>
      </c>
      <c r="L5" s="133">
        <f>IF($G5=PARAM!$B$56,ReviewValue,J5+$I5-K5)</f>
        <v>-1572.7630000000001</v>
      </c>
      <c r="M5" s="235">
        <f t="shared" si="1"/>
        <v>134</v>
      </c>
    </row>
    <row r="6" spans="1:15" x14ac:dyDescent="0.2">
      <c r="A6" s="41" t="s">
        <v>188</v>
      </c>
      <c r="G6" s="128">
        <v>3</v>
      </c>
      <c r="H6" s="129">
        <f>CHOOSE(PARAM!$B$51,$H$3,$H$3,0,0)</f>
        <v>67</v>
      </c>
      <c r="I6" s="130">
        <f>H6*(1-PARAM!$C$27)*$C$28</f>
        <v>56.078999999999994</v>
      </c>
      <c r="J6" s="131">
        <f t="shared" si="0"/>
        <v>-1572.7630000000001</v>
      </c>
      <c r="K6" s="132">
        <f>PARAM!$C$26+MAX(0,($C$25-CHOOSE(PARAM!$B$44,MAX(0,L5*IF(L5&gt;0,$K$1,1)),0)))*RATES!$L6/12+$C$26/CHOOSE(PARAM!$B$51,1,3,6,12)*RATES!$N6/100</f>
        <v>7</v>
      </c>
      <c r="L6" s="133">
        <f>IF($G6=PARAM!$B$56,ReviewValue,J6+$I6-K6)</f>
        <v>-1523.6840000000002</v>
      </c>
      <c r="M6" s="235">
        <f t="shared" si="1"/>
        <v>201</v>
      </c>
    </row>
    <row r="7" spans="1:15" x14ac:dyDescent="0.2">
      <c r="A7" s="42" t="s">
        <v>189</v>
      </c>
      <c r="C7" s="134">
        <f>IF(C2=2,MAX((InputPremium-(12/PARAM!D51)*PARAM!C26)*(1-PARAM!C27)*C3/C4,PARAM!C34),MAX(PARAM!C34,InputSumAss))</f>
        <v>50000</v>
      </c>
      <c r="E7" s="175"/>
      <c r="G7" s="128">
        <v>4</v>
      </c>
      <c r="H7" s="129">
        <f>CHOOSE(PARAM!$B$51,$H$3,0,0,0)</f>
        <v>67</v>
      </c>
      <c r="I7" s="130">
        <f>H7*(1-PARAM!$C$27)*$C$28</f>
        <v>56.078999999999994</v>
      </c>
      <c r="J7" s="131">
        <f t="shared" si="0"/>
        <v>-1523.6840000000002</v>
      </c>
      <c r="K7" s="132">
        <f>PARAM!$C$26+MAX(0,($C$25-CHOOSE(PARAM!$B$44,MAX(0,L6*IF(L6&gt;0,$K$1,1)),0)))*RATES!$L7/12+$C$26/CHOOSE(PARAM!$B$51,1,3,6,12)*RATES!$N7/100</f>
        <v>7</v>
      </c>
      <c r="L7" s="133">
        <f>IF($G7=PARAM!$B$56,ReviewValue,J7+$I7-K7)</f>
        <v>-1474.6050000000002</v>
      </c>
      <c r="M7" s="235">
        <f t="shared" si="1"/>
        <v>268</v>
      </c>
    </row>
    <row r="8" spans="1:15" x14ac:dyDescent="0.2">
      <c r="A8" s="42" t="s">
        <v>15</v>
      </c>
      <c r="C8" s="135">
        <f>IF(C2=1,((MAX(InputSumAss,PARAM!C34)*C4+PARAM!C26*(12/PARAM!D51)*C3)/(C3*(1-PARAM!C27))),MAX(MinimumPremium,InputPremium))</f>
        <v>8.413627488783435</v>
      </c>
      <c r="G8" s="128">
        <v>5</v>
      </c>
      <c r="H8" s="129">
        <f>CHOOSE(PARAM!$B$51,$H$3,0,0,0)</f>
        <v>67</v>
      </c>
      <c r="I8" s="130">
        <f>H8*(1-PARAM!$C$27)*$C$28</f>
        <v>56.078999999999994</v>
      </c>
      <c r="J8" s="131">
        <f t="shared" si="0"/>
        <v>-1474.6050000000002</v>
      </c>
      <c r="K8" s="132">
        <f>PARAM!$C$26+MAX(0,($C$25-CHOOSE(PARAM!$B$44,MAX(0,L7*IF(L7&gt;0,$K$1,1)),0)))*RATES!$L8/12+$C$26/CHOOSE(PARAM!$B$51,1,3,6,12)*RATES!$N8/100</f>
        <v>7</v>
      </c>
      <c r="L8" s="133">
        <f>IF($G8=PARAM!$B$56,ReviewValue,J8+$I8-K8)</f>
        <v>-1425.5260000000003</v>
      </c>
      <c r="M8" s="235">
        <f t="shared" si="1"/>
        <v>335</v>
      </c>
    </row>
    <row r="9" spans="1:15" ht="13.5" thickBot="1" x14ac:dyDescent="0.25">
      <c r="C9" s="135"/>
      <c r="G9" s="128">
        <v>6</v>
      </c>
      <c r="H9" s="129">
        <f>CHOOSE(PARAM!$B$51,$H$3,$H$3,$H$3,0)</f>
        <v>67</v>
      </c>
      <c r="I9" s="130">
        <f>H9*(1-PARAM!$C$27)*$C$28</f>
        <v>56.078999999999994</v>
      </c>
      <c r="J9" s="131">
        <f t="shared" si="0"/>
        <v>-1425.5260000000003</v>
      </c>
      <c r="K9" s="132">
        <f>PARAM!$C$26+MAX(0,($C$25-CHOOSE(PARAM!$B$44,MAX(0,L8*IF(L8&gt;0,$K$1,1)),0)))*RATES!$L9/12+$C$26/CHOOSE(PARAM!$B$51,1,3,6,12)*RATES!$N9/100</f>
        <v>7.0833333333333339</v>
      </c>
      <c r="L9" s="133">
        <f>IF($G9=PARAM!$B$56,ReviewValue,J9+$I9-K9)</f>
        <v>-1376.5303333333336</v>
      </c>
      <c r="M9" s="235">
        <f t="shared" si="1"/>
        <v>402</v>
      </c>
    </row>
    <row r="10" spans="1:15" ht="13.5" thickBot="1" x14ac:dyDescent="0.25">
      <c r="A10" s="42" t="s">
        <v>190</v>
      </c>
      <c r="C10" s="136">
        <f>IF(PARAM!$B$54=2,-ReviewValue+PARAM!$B$14*MAX((C8-ReviewPrem),0)*PARAM!$D$51+MIN(MAX((C7-ReviewSumAss),0)*HLOOKUP(MAX((C7-ReviewSumAss),0),PARAM!$C$17:$H$21,PARAM!$B$16+2),PARAM!$C$22),(PARAM!$C$10+PARAM!$B$14*C8*PARAM!$D$51+MIN(C7*HLOOKUP(C7,PARAM!$C$17:$H$21,1+PARAM!$B$16),PARAM!$C$22)))</f>
        <v>1155.770823892321</v>
      </c>
      <c r="E10" s="104"/>
      <c r="F10" s="105"/>
      <c r="G10" s="128">
        <v>7</v>
      </c>
      <c r="H10" s="129">
        <f>CHOOSE(PARAM!$B$51,$H$3,0,0,0)</f>
        <v>67</v>
      </c>
      <c r="I10" s="130">
        <f>H10*(1-PARAM!$C$27)*$C$28</f>
        <v>56.078999999999994</v>
      </c>
      <c r="J10" s="131">
        <f t="shared" si="0"/>
        <v>-1376.5303333333336</v>
      </c>
      <c r="K10" s="132">
        <f>PARAM!$C$26+MAX(0,($C$25-CHOOSE(PARAM!$B$44,MAX(0,L9*IF(L9&gt;0,$K$1,1)),0)))*RATES!$L10/12+$C$26/CHOOSE(PARAM!$B$51,1,3,6,12)*RATES!$N10/100</f>
        <v>7.0833333333333339</v>
      </c>
      <c r="L10" s="133">
        <f>IF($G10=PARAM!$B$56,ReviewValue,J10+$I10-K10)</f>
        <v>-1327.5346666666669</v>
      </c>
      <c r="M10" s="235">
        <f t="shared" si="1"/>
        <v>469</v>
      </c>
    </row>
    <row r="11" spans="1:15" x14ac:dyDescent="0.2">
      <c r="C11" s="135"/>
      <c r="E11" s="104"/>
      <c r="F11" s="105"/>
      <c r="G11" s="128">
        <v>8</v>
      </c>
      <c r="H11" s="129">
        <f>CHOOSE(PARAM!$B$51,$H$3,0,0,0)</f>
        <v>67</v>
      </c>
      <c r="I11" s="130">
        <f>H11*(1-PARAM!$C$27)*$C$28</f>
        <v>56.078999999999994</v>
      </c>
      <c r="J11" s="131">
        <f t="shared" si="0"/>
        <v>-1327.5346666666669</v>
      </c>
      <c r="K11" s="132">
        <f>PARAM!$C$26+MAX(0,($C$25-CHOOSE(PARAM!$B$44,MAX(0,L10*IF(L10&gt;0,$K$1,1)),0)))*RATES!$L11/12+$C$26/CHOOSE(PARAM!$B$51,1,3,6,12)*RATES!$N11/100</f>
        <v>7.0833333333333339</v>
      </c>
      <c r="L11" s="133">
        <f>IF($G11=PARAM!$B$56,ReviewValue,J11+$I11-K11)</f>
        <v>-1278.5390000000002</v>
      </c>
      <c r="M11" s="235">
        <f t="shared" si="1"/>
        <v>536</v>
      </c>
    </row>
    <row r="12" spans="1:15" x14ac:dyDescent="0.2">
      <c r="A12" s="41" t="s">
        <v>191</v>
      </c>
      <c r="C12" s="135"/>
      <c r="E12" s="104"/>
      <c r="F12" s="106"/>
      <c r="G12" s="128">
        <v>9</v>
      </c>
      <c r="H12" s="129">
        <f>CHOOSE(PARAM!$B$51,$H$3,$H$3,0,0)</f>
        <v>67</v>
      </c>
      <c r="I12" s="130">
        <f>H12*(1-PARAM!$C$27)*$C$28</f>
        <v>56.078999999999994</v>
      </c>
      <c r="J12" s="131">
        <f t="shared" si="0"/>
        <v>-1278.5390000000002</v>
      </c>
      <c r="K12" s="132">
        <f>PARAM!$C$26+MAX(0,($C$25-CHOOSE(PARAM!$B$44,MAX(0,L11*IF(L11&gt;0,$K$1,1)),0)))*RATES!$L12/12+$C$26/CHOOSE(PARAM!$B$51,1,3,6,12)*RATES!$N12/100</f>
        <v>7.0833333333333339</v>
      </c>
      <c r="L12" s="133">
        <f>IF($G12=PARAM!$B$56,ReviewValue,J12+$I12-K12)</f>
        <v>-1229.5433333333335</v>
      </c>
      <c r="M12" s="235">
        <f t="shared" si="1"/>
        <v>603</v>
      </c>
    </row>
    <row r="13" spans="1:15" x14ac:dyDescent="0.2">
      <c r="A13" s="42" t="s">
        <v>189</v>
      </c>
      <c r="C13" s="134">
        <f>IF(C2=2,C7-C10,C7)</f>
        <v>50000</v>
      </c>
      <c r="D13" s="267">
        <f>HLOOKUP(C8/CHOOSE(PARAM!$B$51,1,3,6,10),PARAM!$C$3:$H$6,4)</f>
        <v>0.9</v>
      </c>
      <c r="G13" s="128">
        <v>10</v>
      </c>
      <c r="H13" s="129">
        <f>CHOOSE(PARAM!$B$51,$H$3,0,0,0)</f>
        <v>67</v>
      </c>
      <c r="I13" s="130">
        <f>H13*(1-PARAM!$C$27)*$C$28</f>
        <v>56.078999999999994</v>
      </c>
      <c r="J13" s="131">
        <f t="shared" si="0"/>
        <v>-1229.5433333333335</v>
      </c>
      <c r="K13" s="132">
        <f>PARAM!$C$26+MAX(0,($C$25-CHOOSE(PARAM!$B$44,MAX(0,L12*IF(L12&gt;0,$K$1,1)),0)))*RATES!$L13/12+$C$26/CHOOSE(PARAM!$B$51,1,3,6,12)*RATES!$N13/100</f>
        <v>7.0833333333333339</v>
      </c>
      <c r="L13" s="133">
        <f>IF($G13=PARAM!$B$56,ReviewValue,J13+$I13-K13)</f>
        <v>-1180.5476666666668</v>
      </c>
      <c r="M13" s="235">
        <f t="shared" si="1"/>
        <v>670</v>
      </c>
    </row>
    <row r="14" spans="1:15" x14ac:dyDescent="0.2">
      <c r="A14" s="42" t="s">
        <v>15</v>
      </c>
      <c r="C14" s="135">
        <f>IF(C2=2,C8,(C8+C10/C3)/D13)</f>
        <v>20.081305947392778</v>
      </c>
      <c r="G14" s="128">
        <v>11</v>
      </c>
      <c r="H14" s="129">
        <f>CHOOSE(PARAM!$B$51,$H$3,0,0,0)</f>
        <v>67</v>
      </c>
      <c r="I14" s="130">
        <f>H14*(1-PARAM!$C$27)*$C$28</f>
        <v>56.078999999999994</v>
      </c>
      <c r="J14" s="131">
        <f t="shared" si="0"/>
        <v>-1180.5476666666668</v>
      </c>
      <c r="K14" s="132">
        <f>PARAM!$C$26+MAX(0,($C$25-CHOOSE(PARAM!$B$44,MAX(0,L13*IF(L13&gt;0,$K$1,1)),0)))*RATES!$L14/12+$C$26/CHOOSE(PARAM!$B$51,1,3,6,12)*RATES!$N14/100</f>
        <v>7.0833333333333339</v>
      </c>
      <c r="L14" s="133">
        <f>IF($G14=PARAM!$B$56,ReviewValue,J14+$I14-K14)</f>
        <v>-1131.5520000000001</v>
      </c>
      <c r="M14" s="235">
        <f t="shared" si="1"/>
        <v>737</v>
      </c>
    </row>
    <row r="15" spans="1:15" x14ac:dyDescent="0.2">
      <c r="A15" s="42" t="s">
        <v>320</v>
      </c>
      <c r="C15" s="137">
        <v>0.1</v>
      </c>
      <c r="G15" s="128">
        <v>12</v>
      </c>
      <c r="H15" s="129">
        <f>H3</f>
        <v>67</v>
      </c>
      <c r="I15" s="130">
        <f>H15*(1-PARAM!$C$27)*$C$28</f>
        <v>56.078999999999994</v>
      </c>
      <c r="J15" s="131">
        <f t="shared" si="0"/>
        <v>-1131.5520000000001</v>
      </c>
      <c r="K15" s="132">
        <f>PARAM!$C$26+MAX(0,($C$25-CHOOSE(PARAM!$B$44,MAX(0,L14*IF(L14&gt;0,$K$1,1)),0)))*RATES!$L15/12+$C$26/CHOOSE(PARAM!$B$51,1,3,6,12)*RATES!$N15/100</f>
        <v>7.0833333333333339</v>
      </c>
      <c r="L15" s="133">
        <f>IF($G15=PARAM!$B$56,ReviewValue,J15+$I15-K15)</f>
        <v>-1082.5563333333334</v>
      </c>
      <c r="M15" s="235">
        <f t="shared" si="1"/>
        <v>804</v>
      </c>
    </row>
    <row r="16" spans="1:15" x14ac:dyDescent="0.2">
      <c r="A16" s="134" t="s">
        <v>261</v>
      </c>
      <c r="C16" s="42">
        <f>IF(ISNA(MATCH(TRUE,CALC!A27:A1027,0)),1000,MATCH(TRUE,CALC!A27:A1027,0)-1)</f>
        <v>147</v>
      </c>
      <c r="D16" s="135">
        <f>C14-(D17/(C17*D13*0.93))</f>
        <v>21.971132388440545</v>
      </c>
      <c r="G16" s="128">
        <v>13</v>
      </c>
      <c r="H16" s="129">
        <f>CHOOSE(PARAM!$B$51,$H$3,0,0,0)</f>
        <v>67</v>
      </c>
      <c r="I16" s="130">
        <f>H16*(1-PARAM!$C$27)*$C$28</f>
        <v>56.078999999999994</v>
      </c>
      <c r="J16" s="131">
        <f t="shared" si="0"/>
        <v>-1082.5563333333334</v>
      </c>
      <c r="K16" s="132">
        <f>PARAM!$C$26+MAX(0,($C$25-CHOOSE(PARAM!$B$44,MAX(0,L15*IF(L15&gt;0,$K$1,1)),0)))*RATES!$L16/12+$C$26/CHOOSE(PARAM!$B$51,1,3,6,12)*RATES!$N16/100</f>
        <v>7.0833333333333339</v>
      </c>
      <c r="L16" s="133">
        <f>IF($G16=PARAM!$B$56,ReviewValue,J16+$I16-K16)</f>
        <v>-1033.5606666666667</v>
      </c>
      <c r="M16" s="235">
        <f t="shared" si="1"/>
        <v>871</v>
      </c>
    </row>
    <row r="17" spans="1:13" x14ac:dyDescent="0.2">
      <c r="A17" s="42" t="s">
        <v>262</v>
      </c>
      <c r="C17" s="175">
        <f>RATES!AG4</f>
        <v>120</v>
      </c>
      <c r="D17" s="135">
        <f>RATES!AF3</f>
        <v>-189.81416773883765</v>
      </c>
      <c r="G17" s="128">
        <v>14</v>
      </c>
      <c r="H17" s="129">
        <f>CHOOSE(PARAM!$B$51,$H$3,0,0,0)</f>
        <v>67</v>
      </c>
      <c r="I17" s="130">
        <f>H17*(1-PARAM!$C$27)*$C$28</f>
        <v>56.078999999999994</v>
      </c>
      <c r="J17" s="131">
        <f t="shared" si="0"/>
        <v>-1033.5606666666667</v>
      </c>
      <c r="K17" s="132">
        <f>PARAM!$C$26+MAX(0,($C$25-CHOOSE(PARAM!$B$44,MAX(0,L16*IF(L16&gt;0,$K$1,1)),0)))*RATES!$L17/12+$C$26/CHOOSE(PARAM!$B$51,1,3,6,12)*RATES!$N17/100</f>
        <v>7.0833333333333339</v>
      </c>
      <c r="L17" s="133">
        <f>IF($G17=PARAM!$B$56,ReviewValue,J17+$I17-K17)</f>
        <v>-984.56500000000017</v>
      </c>
      <c r="M17" s="235">
        <f t="shared" si="1"/>
        <v>938</v>
      </c>
    </row>
    <row r="18" spans="1:13" x14ac:dyDescent="0.2">
      <c r="A18" s="42" t="s">
        <v>265</v>
      </c>
      <c r="C18" s="135">
        <f>RATES!AG3</f>
        <v>939.00000000000068</v>
      </c>
      <c r="D18" s="135"/>
      <c r="G18" s="128">
        <v>15</v>
      </c>
      <c r="H18" s="129">
        <f>CHOOSE(PARAM!$B$51,$H$3,$H$3,0,0)</f>
        <v>67</v>
      </c>
      <c r="I18" s="130">
        <f>H18*(1-PARAM!$C$27)*$C$28</f>
        <v>56.078999999999994</v>
      </c>
      <c r="J18" s="131">
        <f t="shared" si="0"/>
        <v>-984.56500000000017</v>
      </c>
      <c r="K18" s="132">
        <f>PARAM!$C$26+MAX(0,($C$25-CHOOSE(PARAM!$B$44,MAX(0,L17*IF(L17&gt;0,$K$1,1)),0)))*RATES!$L18/12+$C$26/CHOOSE(PARAM!$B$51,1,3,6,12)*RATES!$N18/100</f>
        <v>7.0833333333333339</v>
      </c>
      <c r="L18" s="133">
        <f>IF($G18=PARAM!$B$56,ReviewValue,J18+$I18-K18)</f>
        <v>-935.56933333333359</v>
      </c>
      <c r="M18" s="235">
        <f t="shared" si="1"/>
        <v>1005</v>
      </c>
    </row>
    <row r="19" spans="1:13" x14ac:dyDescent="0.2">
      <c r="G19" s="128">
        <v>16</v>
      </c>
      <c r="H19" s="129">
        <f>CHOOSE(PARAM!$B$51,$H$3,0,0,0)</f>
        <v>67</v>
      </c>
      <c r="I19" s="130">
        <f>H19*(1-PARAM!$C$27)*$C$28</f>
        <v>56.078999999999994</v>
      </c>
      <c r="J19" s="131">
        <f t="shared" si="0"/>
        <v>-935.56933333333359</v>
      </c>
      <c r="K19" s="132">
        <f>PARAM!$C$26+MAX(0,($C$25-CHOOSE(PARAM!$B$44,MAX(0,L18*IF(L18&gt;0,$K$1,1)),0)))*RATES!$L19/12+$C$26/CHOOSE(PARAM!$B$51,1,3,6,12)*RATES!$N19/100</f>
        <v>7.0833333333333339</v>
      </c>
      <c r="L19" s="133">
        <f>IF($G19=PARAM!$B$56,ReviewValue,J19+$I19-K19)</f>
        <v>-886.57366666666701</v>
      </c>
      <c r="M19" s="235">
        <f t="shared" si="1"/>
        <v>1072</v>
      </c>
    </row>
    <row r="20" spans="1:13" x14ac:dyDescent="0.2">
      <c r="A20" s="42" t="s">
        <v>15</v>
      </c>
      <c r="C20" s="175">
        <f>IF(C2=1,(C18+CALC!J3)/(C3*D13*(1-PARAM!$C$27)),C8)</f>
        <v>22.035289406060361</v>
      </c>
      <c r="G20" s="128">
        <v>17</v>
      </c>
      <c r="H20" s="129">
        <f>CHOOSE(PARAM!$B$51,$H$3,0,0,0)</f>
        <v>67</v>
      </c>
      <c r="I20" s="130">
        <f>H20*(1-PARAM!$C$27)*$C$28</f>
        <v>56.078999999999994</v>
      </c>
      <c r="J20" s="131">
        <f t="shared" si="0"/>
        <v>-886.57366666666701</v>
      </c>
      <c r="K20" s="132">
        <f>PARAM!$C$26+MAX(0,($C$25-CHOOSE(PARAM!$B$44,MAX(0,L19*IF(L19&gt;0,$K$1,1)),0)))*RATES!$L20/12+$C$26/CHOOSE(PARAM!$B$51,1,3,6,12)*RATES!$N20/100</f>
        <v>7.0833333333333339</v>
      </c>
      <c r="L20" s="133">
        <f>IF($G20=PARAM!$B$56,ReviewValue,J20+$I20-K20)</f>
        <v>-837.57800000000043</v>
      </c>
      <c r="M20" s="235">
        <f t="shared" si="1"/>
        <v>1139</v>
      </c>
    </row>
    <row r="21" spans="1:13" x14ac:dyDescent="0.2">
      <c r="A21" s="42" t="s">
        <v>319</v>
      </c>
      <c r="C21" s="122">
        <f>PARAM!$B$56</f>
        <v>0</v>
      </c>
      <c r="G21" s="128">
        <v>18</v>
      </c>
      <c r="H21" s="129">
        <f>CHOOSE(PARAM!$B$51,$H$3,$H$3,$H$3,0)</f>
        <v>67</v>
      </c>
      <c r="I21" s="130">
        <f>H21*(1-PARAM!$C$27)*$C$28</f>
        <v>56.078999999999994</v>
      </c>
      <c r="J21" s="131">
        <f t="shared" si="0"/>
        <v>-837.57800000000043</v>
      </c>
      <c r="K21" s="132">
        <f>PARAM!$C$26+MAX(0,($C$25-CHOOSE(PARAM!$B$44,MAX(0,L20*IF(L20&gt;0,$K$1,1)),0)))*RATES!$L21/12+$C$26/CHOOSE(PARAM!$B$51,1,3,6,12)*RATES!$N21/100</f>
        <v>7.166666666666667</v>
      </c>
      <c r="L21" s="133">
        <f>IF($G21=PARAM!$B$56,ReviewValue,J21+$I21-K21)</f>
        <v>-788.66566666666711</v>
      </c>
      <c r="M21" s="235">
        <f t="shared" si="1"/>
        <v>1206</v>
      </c>
    </row>
    <row r="22" spans="1:13" x14ac:dyDescent="0.2">
      <c r="D22" s="135"/>
      <c r="G22" s="128">
        <v>19</v>
      </c>
      <c r="H22" s="129">
        <f>CHOOSE(PARAM!$B$51,$H$3,0,0,0)</f>
        <v>67</v>
      </c>
      <c r="I22" s="130">
        <f>H22*(1-PARAM!$C$27)*$C$28</f>
        <v>56.078999999999994</v>
      </c>
      <c r="J22" s="131">
        <f t="shared" si="0"/>
        <v>-788.66566666666711</v>
      </c>
      <c r="K22" s="132">
        <f>PARAM!$C$26+MAX(0,($C$25-CHOOSE(PARAM!$B$44,MAX(0,L21*IF(L21&gt;0,$K$1,1)),0)))*RATES!$L22/12+$C$26/CHOOSE(PARAM!$B$51,1,3,6,12)*RATES!$N22/100</f>
        <v>7.166666666666667</v>
      </c>
      <c r="L22" s="133">
        <f>IF($G22=PARAM!$B$56,ReviewValue,J22+$I22-K22)</f>
        <v>-739.75333333333379</v>
      </c>
      <c r="M22" s="235">
        <f t="shared" si="1"/>
        <v>1273</v>
      </c>
    </row>
    <row r="23" spans="1:13" x14ac:dyDescent="0.2">
      <c r="A23" s="41" t="s">
        <v>177</v>
      </c>
      <c r="D23" s="138"/>
      <c r="E23" s="139"/>
      <c r="F23" s="97"/>
      <c r="G23" s="128">
        <v>20</v>
      </c>
      <c r="H23" s="129">
        <f>CHOOSE(PARAM!$B$51,$H$3,0,0,0)</f>
        <v>67</v>
      </c>
      <c r="I23" s="130">
        <f>H23*(1-PARAM!$C$27)*$C$28</f>
        <v>56.078999999999994</v>
      </c>
      <c r="J23" s="131">
        <f t="shared" si="0"/>
        <v>-739.75333333333379</v>
      </c>
      <c r="K23" s="132">
        <f>PARAM!$C$26+MAX(0,($C$25-CHOOSE(PARAM!$B$44,MAX(0,L22*IF(L22&gt;0,$K$1,1)),0)))*RATES!$L23/12+$C$26/CHOOSE(PARAM!$B$51,1,3,6,12)*RATES!$N23/100</f>
        <v>7.166666666666667</v>
      </c>
      <c r="L23" s="133">
        <f>IF($G23=PARAM!$B$56,ReviewValue,J23+$I23-K23)</f>
        <v>-690.84100000000046</v>
      </c>
      <c r="M23" s="235">
        <f t="shared" si="1"/>
        <v>1340</v>
      </c>
    </row>
    <row r="24" spans="1:13" x14ac:dyDescent="0.2">
      <c r="A24" s="42" t="s">
        <v>340</v>
      </c>
      <c r="C24" s="140" t="b">
        <f>OR(E2:E5)</f>
        <v>1</v>
      </c>
      <c r="D24" s="138"/>
      <c r="E24" s="138"/>
      <c r="F24" s="97"/>
      <c r="G24" s="128">
        <v>21</v>
      </c>
      <c r="H24" s="129">
        <f>CHOOSE(PARAM!$B$51,$H$3,$H$3,0,0)</f>
        <v>67</v>
      </c>
      <c r="I24" s="130">
        <f>H24*(1-PARAM!$C$27)*$C$28</f>
        <v>56.078999999999994</v>
      </c>
      <c r="J24" s="131">
        <f t="shared" si="0"/>
        <v>-690.84100000000046</v>
      </c>
      <c r="K24" s="132">
        <f>PARAM!$C$26+MAX(0,($C$25-CHOOSE(PARAM!$B$44,MAX(0,L23*IF(L23&gt;0,$K$1,1)),0)))*RATES!$L24/12+$C$26/CHOOSE(PARAM!$B$51,1,3,6,12)*RATES!$N24/100</f>
        <v>7.166666666666667</v>
      </c>
      <c r="L24" s="133">
        <f>IF($G24=PARAM!$B$56,ReviewValue,J24+$I24-K24)</f>
        <v>-641.92866666666714</v>
      </c>
      <c r="M24" s="235">
        <f t="shared" si="1"/>
        <v>1407</v>
      </c>
    </row>
    <row r="25" spans="1:13" x14ac:dyDescent="0.2">
      <c r="A25" s="42" t="s">
        <v>189</v>
      </c>
      <c r="C25" s="141">
        <f>IF(C24,IF(PARAM!B48=3,MAX(InputSumAss,PARAM!C34),ROUNDUP(CALC!G23,InputSumAssRounding)),"")</f>
        <v>50000</v>
      </c>
      <c r="D25" s="138"/>
      <c r="E25" s="142" t="s">
        <v>204</v>
      </c>
      <c r="F25" s="143">
        <f>ROUND(IF($C$24,PARAM!$C$10+PARAM!$B$14*$C$26*CHOOSE(PARAM!$B$51,12,4,2,1)+MIN($C$25*HLOOKUP($C$25,PARAM!$C$17:$H$21,1+PARAM!$B$16),PARAM!$C$22),"")/$C$25,4)</f>
        <v>3.44E-2</v>
      </c>
      <c r="G25" s="128">
        <v>22</v>
      </c>
      <c r="H25" s="129">
        <f>CHOOSE(PARAM!$B$51,$H$3,0,0,0)</f>
        <v>67</v>
      </c>
      <c r="I25" s="130">
        <f>H25*(1-PARAM!$C$27)*$C$28</f>
        <v>56.078999999999994</v>
      </c>
      <c r="J25" s="131">
        <f t="shared" si="0"/>
        <v>-641.92866666666714</v>
      </c>
      <c r="K25" s="132">
        <f>PARAM!$C$26+MAX(0,($C$25-CHOOSE(PARAM!$B$44,MAX(0,L24*IF(L24&gt;0,$K$1,1)),0)))*RATES!$L25/12+$C$26/CHOOSE(PARAM!$B$51,1,3,6,12)*RATES!$N25/100</f>
        <v>7.166666666666667</v>
      </c>
      <c r="L25" s="133">
        <f>IF($G25=PARAM!$B$56,ReviewValue,J25+$I25-K25)</f>
        <v>-593.01633333333382</v>
      </c>
      <c r="M25" s="235">
        <f t="shared" si="1"/>
        <v>1474</v>
      </c>
    </row>
    <row r="26" spans="1:13" x14ac:dyDescent="0.2">
      <c r="A26" s="42" t="s">
        <v>15</v>
      </c>
      <c r="C26" s="135">
        <f>IF($C$24,IF(PARAM!$B$48=3,MAX(InputPremium,ROUNDDOWN(CALC!$H$23,InputPremRounding),MinimumPremium),MAX(ROUNDDOWN(CALC!$H$23,InputPremRounding),MinimumPremium)),"")</f>
        <v>67</v>
      </c>
      <c r="D26" s="144">
        <f>C26*PARAM!D51</f>
        <v>804</v>
      </c>
      <c r="E26" s="42" t="s">
        <v>192</v>
      </c>
      <c r="F26" s="97"/>
      <c r="G26" s="128">
        <v>23</v>
      </c>
      <c r="H26" s="129">
        <f>CHOOSE(PARAM!$B$51,$H$3,0,0,0)</f>
        <v>67</v>
      </c>
      <c r="I26" s="130">
        <f>H26*(1-PARAM!$C$27)*$C$28</f>
        <v>56.078999999999994</v>
      </c>
      <c r="J26" s="131">
        <f t="shared" si="0"/>
        <v>-593.01633333333382</v>
      </c>
      <c r="K26" s="132">
        <f>PARAM!$C$26+MAX(0,($C$25-CHOOSE(PARAM!$B$44,MAX(0,L25*IF(L25&gt;0,$K$1,1)),0)))*RATES!$L26/12+$C$26/CHOOSE(PARAM!$B$51,1,3,6,12)*RATES!$N26/100</f>
        <v>7.166666666666667</v>
      </c>
      <c r="L26" s="133">
        <f>IF($G26=PARAM!$B$56,ReviewValue,J26+$I26-K26)</f>
        <v>-544.1040000000005</v>
      </c>
      <c r="M26" s="235">
        <f t="shared" si="1"/>
        <v>1541</v>
      </c>
    </row>
    <row r="27" spans="1:13" x14ac:dyDescent="0.2">
      <c r="A27" s="42" t="s">
        <v>193</v>
      </c>
      <c r="C27" s="145">
        <f>ROUND(IF($C$24,PARAM!$C$10+PARAM!$B$14*$C$26*PARAM!D51+MIN($C$25*HLOOKUP($C$25,PARAM!$C$17:$H$21,1+PARAM!$B$16),PARAM!$C$22),"")/$C$25,4)*$C$25</f>
        <v>1720</v>
      </c>
      <c r="D27" s="135">
        <f>MAX(ROUNDDOWN(CALC!$H$23,1),MinimumPremium)</f>
        <v>67</v>
      </c>
      <c r="E27" s="268">
        <f>D27*PARAM!D51</f>
        <v>804</v>
      </c>
      <c r="G27" s="128">
        <v>24</v>
      </c>
      <c r="H27" s="129">
        <f>H15</f>
        <v>67</v>
      </c>
      <c r="I27" s="130">
        <f>H27*(1-PARAM!$C$27)*$C$28</f>
        <v>56.078999999999994</v>
      </c>
      <c r="J27" s="131">
        <f t="shared" si="0"/>
        <v>-544.1040000000005</v>
      </c>
      <c r="K27" s="132">
        <f>PARAM!$C$26+MAX(0,($C$25-CHOOSE(PARAM!$B$44,MAX(0,L26*IF(L26&gt;0,$K$1,1)),0)))*RATES!$L27/12+$C$26/CHOOSE(PARAM!$B$51,1,3,6,12)*RATES!$N27/100</f>
        <v>7.166666666666667</v>
      </c>
      <c r="L27" s="133">
        <f>IF($G27=PARAM!$B$56,ReviewValue,J27+$I27-K27)</f>
        <v>-495.19166666666717</v>
      </c>
      <c r="M27" s="235">
        <f t="shared" si="1"/>
        <v>1608</v>
      </c>
    </row>
    <row r="28" spans="1:13" x14ac:dyDescent="0.2">
      <c r="A28" s="146" t="s">
        <v>157</v>
      </c>
      <c r="B28" s="147"/>
      <c r="C28" s="148">
        <f>HLOOKUP(C26/CHOOSE(PARAM!B51,1,3,6,10),PARAM!$C$3:$H$6,4)</f>
        <v>0.9</v>
      </c>
      <c r="D28" s="135">
        <f>IF($C$24,IF(PARAM!$B$48=3,MAX(InputPremium,ROUNDDOWN(CALC!$H$23,InputPremRounding),MinimumPremium),MAX(ROUNDDOWN(CALC!$H$23,InputPremRounding),MinimumPremium)),"")</f>
        <v>67</v>
      </c>
      <c r="G28" s="128">
        <v>25</v>
      </c>
      <c r="H28" s="129">
        <f>CHOOSE(PARAM!$B$51,$H$3,0,0,0)</f>
        <v>67</v>
      </c>
      <c r="I28" s="130">
        <f>H28*(1-PARAM!$C$27)*$C$28</f>
        <v>56.078999999999994</v>
      </c>
      <c r="J28" s="131">
        <f t="shared" si="0"/>
        <v>-495.19166666666717</v>
      </c>
      <c r="K28" s="132">
        <f>PARAM!$C$26+MAX(0,($C$25-CHOOSE(PARAM!$B$44,MAX(0,L27*IF(L27&gt;0,$K$1,1)),0)))*RATES!$L28/12+$C$26/CHOOSE(PARAM!$B$51,1,3,6,12)*RATES!$N28/100</f>
        <v>7.166666666666667</v>
      </c>
      <c r="L28" s="133">
        <f>IF($G28=PARAM!$B$56,ReviewValue,J28+$I28-K28)</f>
        <v>-446.27933333333385</v>
      </c>
      <c r="M28" s="235">
        <f t="shared" si="1"/>
        <v>1675</v>
      </c>
    </row>
    <row r="29" spans="1:13" x14ac:dyDescent="0.2">
      <c r="A29" s="42" t="s">
        <v>194</v>
      </c>
      <c r="C29" s="42" t="b">
        <f>C25&gt;=PARAM!C34</f>
        <v>1</v>
      </c>
      <c r="D29" s="135"/>
      <c r="G29" s="128">
        <v>26</v>
      </c>
      <c r="H29" s="129">
        <f>CHOOSE(PARAM!$B$51,$H$3,0,0,0)</f>
        <v>67</v>
      </c>
      <c r="I29" s="130">
        <f>H29*(1-PARAM!$C$27)*$C$28</f>
        <v>56.078999999999994</v>
      </c>
      <c r="J29" s="131">
        <f t="shared" si="0"/>
        <v>-446.27933333333385</v>
      </c>
      <c r="K29" s="132">
        <f>PARAM!$C$26+MAX(0,($C$25-CHOOSE(PARAM!$B$44,MAX(0,L28*IF(L28&gt;0,$K$1,1)),0)))*RATES!$L29/12+$C$26/CHOOSE(PARAM!$B$51,1,3,6,12)*RATES!$N29/100</f>
        <v>7.166666666666667</v>
      </c>
      <c r="L29" s="133">
        <f>IF($G29=PARAM!$B$56,ReviewValue,J29+$I29-K29)</f>
        <v>-397.36700000000053</v>
      </c>
      <c r="M29" s="235">
        <f t="shared" si="1"/>
        <v>1742</v>
      </c>
    </row>
    <row r="30" spans="1:13" x14ac:dyDescent="0.2">
      <c r="G30" s="128">
        <v>27</v>
      </c>
      <c r="H30" s="129">
        <f>CHOOSE(PARAM!$B$51,$H$3,$H$3,0,0)</f>
        <v>67</v>
      </c>
      <c r="I30" s="130">
        <f>H30*(1-PARAM!$C$27)*$C$28</f>
        <v>56.078999999999994</v>
      </c>
      <c r="J30" s="131">
        <f t="shared" si="0"/>
        <v>-397.36700000000053</v>
      </c>
      <c r="K30" s="132">
        <f>PARAM!$C$26+MAX(0,($C$25-CHOOSE(PARAM!$B$44,MAX(0,L29*IF(L29&gt;0,$K$1,1)),0)))*RATES!$L30/12+$C$26/CHOOSE(PARAM!$B$51,1,3,6,12)*RATES!$N30/100</f>
        <v>7.166666666666667</v>
      </c>
      <c r="L30" s="133">
        <f>IF($G30=PARAM!$B$56,ReviewValue,J30+$I30-K30)</f>
        <v>-348.45466666666721</v>
      </c>
      <c r="M30" s="235">
        <f t="shared" si="1"/>
        <v>1809</v>
      </c>
    </row>
    <row r="31" spans="1:13" x14ac:dyDescent="0.2">
      <c r="A31" s="42" t="s">
        <v>195</v>
      </c>
      <c r="B31" s="256">
        <f>PARAM!B59</f>
        <v>7.4999999999999997E-2</v>
      </c>
      <c r="C31" s="256"/>
      <c r="D31" s="256"/>
      <c r="G31" s="128">
        <v>28</v>
      </c>
      <c r="H31" s="129">
        <f>CHOOSE(PARAM!$B$51,$H$3,0,0,0)</f>
        <v>67</v>
      </c>
      <c r="I31" s="130">
        <f>H31*(1-PARAM!$C$27)*$C$28</f>
        <v>56.078999999999994</v>
      </c>
      <c r="J31" s="131">
        <f>IF(L30&lt;0,L30,L30*$K$1)</f>
        <v>-348.45466666666721</v>
      </c>
      <c r="K31" s="132">
        <f>PARAM!$C$26+MAX(0,($C$25-CHOOSE(PARAM!$B$44,MAX(0,L30*IF(L30&gt;0,$K$1,1)),0)))*RATES!$L31/12+$C$26/CHOOSE(PARAM!$B$51,1,3,6,12)*RATES!$N31/100</f>
        <v>7.166666666666667</v>
      </c>
      <c r="L31" s="133">
        <f>IF($G31=PARAM!$B$56,ReviewValue,J31+$I31-K31)</f>
        <v>-299.54233333333389</v>
      </c>
      <c r="M31" s="235">
        <f t="shared" si="1"/>
        <v>1876</v>
      </c>
    </row>
    <row r="32" spans="1:13" x14ac:dyDescent="0.2">
      <c r="A32" s="150">
        <v>1</v>
      </c>
      <c r="B32" s="141">
        <f t="shared" ref="B32:B51" si="2">MAX(0,VLOOKUP(A32*12,$G$3:$L$423,4))</f>
        <v>0</v>
      </c>
      <c r="C32" s="42">
        <f>IF(B32=0,0,A32)</f>
        <v>0</v>
      </c>
      <c r="D32" s="141"/>
      <c r="G32" s="128">
        <v>29</v>
      </c>
      <c r="H32" s="129">
        <f>CHOOSE(PARAM!$B$51,$H$3,0,0,0)</f>
        <v>67</v>
      </c>
      <c r="I32" s="130">
        <f>H32*(1-PARAM!$C$27)*$C$28</f>
        <v>56.078999999999994</v>
      </c>
      <c r="J32" s="131">
        <f t="shared" si="0"/>
        <v>-299.54233333333389</v>
      </c>
      <c r="K32" s="132">
        <f>PARAM!$C$26+MAX(0,($C$25-CHOOSE(PARAM!$B$44,MAX(0,L31*IF(L31&gt;0,$K$1,1)),0)))*RATES!$L32/12+$C$26/CHOOSE(PARAM!$B$51,1,3,6,12)*RATES!$N32/100</f>
        <v>7.166666666666667</v>
      </c>
      <c r="L32" s="133">
        <f>IF($G32=PARAM!$B$56,ReviewValue,J32+$I32-K32)</f>
        <v>-250.63000000000054</v>
      </c>
      <c r="M32" s="235">
        <f t="shared" si="1"/>
        <v>1943</v>
      </c>
    </row>
    <row r="33" spans="1:13" x14ac:dyDescent="0.2">
      <c r="A33" s="150">
        <v>2</v>
      </c>
      <c r="B33" s="141">
        <f t="shared" si="2"/>
        <v>0</v>
      </c>
      <c r="C33" s="42">
        <f t="shared" ref="C33:C50" si="3">IF(B33=0,0,A33)</f>
        <v>0</v>
      </c>
      <c r="D33" s="141"/>
      <c r="G33" s="128">
        <v>30</v>
      </c>
      <c r="H33" s="129">
        <f>CHOOSE(PARAM!$B$51,$H$3,$H$3,$H$3,0)</f>
        <v>67</v>
      </c>
      <c r="I33" s="130">
        <f>H33*(1-PARAM!$C$27)*$C$28</f>
        <v>56.078999999999994</v>
      </c>
      <c r="J33" s="131">
        <f t="shared" si="0"/>
        <v>-250.63000000000054</v>
      </c>
      <c r="K33" s="132">
        <f>PARAM!$C$26+MAX(0,($C$25-CHOOSE(PARAM!$B$44,MAX(0,L32*IF(L32&gt;0,$K$1,1)),0)))*RATES!$L33/12+$C$26/CHOOSE(PARAM!$B$51,1,3,6,12)*RATES!$N33/100</f>
        <v>7.3333333333333339</v>
      </c>
      <c r="L33" s="133">
        <f>IF($G33=PARAM!$B$56,ReviewValue,J33+$I33-K33)</f>
        <v>-201.8843333333339</v>
      </c>
      <c r="M33" s="235">
        <f t="shared" si="1"/>
        <v>2010</v>
      </c>
    </row>
    <row r="34" spans="1:13" x14ac:dyDescent="0.2">
      <c r="A34" s="150">
        <v>3</v>
      </c>
      <c r="B34" s="141">
        <f t="shared" si="2"/>
        <v>42.096943591651836</v>
      </c>
      <c r="C34" s="42">
        <f t="shared" si="3"/>
        <v>3</v>
      </c>
      <c r="D34" s="141"/>
      <c r="G34" s="128">
        <v>31</v>
      </c>
      <c r="H34" s="129">
        <f>CHOOSE(PARAM!$B$51,$H$3,0,0,0)</f>
        <v>67</v>
      </c>
      <c r="I34" s="130">
        <f>H34*(1-PARAM!$C$27)*$C$28</f>
        <v>56.078999999999994</v>
      </c>
      <c r="J34" s="131">
        <f t="shared" si="0"/>
        <v>-201.8843333333339</v>
      </c>
      <c r="K34" s="132">
        <f>PARAM!$C$26+MAX(0,($C$25-CHOOSE(PARAM!$B$44,MAX(0,L33*IF(L33&gt;0,$K$1,1)),0)))*RATES!$L34/12+$C$26/CHOOSE(PARAM!$B$51,1,3,6,12)*RATES!$N34/100</f>
        <v>7.3333333333333339</v>
      </c>
      <c r="L34" s="133">
        <f>IF($G34=PARAM!$B$56,ReviewValue,J34+$I34-K34)</f>
        <v>-153.13866666666726</v>
      </c>
      <c r="M34" s="235">
        <f t="shared" si="1"/>
        <v>2077</v>
      </c>
    </row>
    <row r="35" spans="1:13" x14ac:dyDescent="0.2">
      <c r="A35" s="150">
        <v>4</v>
      </c>
      <c r="B35" s="141">
        <f t="shared" si="2"/>
        <v>652.87487757959673</v>
      </c>
      <c r="C35" s="42">
        <f t="shared" si="3"/>
        <v>4</v>
      </c>
      <c r="D35" s="141"/>
      <c r="G35" s="128">
        <v>32</v>
      </c>
      <c r="H35" s="129">
        <f>CHOOSE(PARAM!$B$51,$H$3,0,0,0)</f>
        <v>67</v>
      </c>
      <c r="I35" s="130">
        <f>H35*(1-PARAM!$C$27)*$C$28</f>
        <v>56.078999999999994</v>
      </c>
      <c r="J35" s="131">
        <f t="shared" si="0"/>
        <v>-153.13866666666726</v>
      </c>
      <c r="K35" s="132">
        <f>PARAM!$C$26+MAX(0,($C$25-CHOOSE(PARAM!$B$44,MAX(0,L34*IF(L34&gt;0,$K$1,1)),0)))*RATES!$L35/12+$C$26/CHOOSE(PARAM!$B$51,1,3,6,12)*RATES!$N35/100</f>
        <v>7.3333333333333339</v>
      </c>
      <c r="L35" s="133">
        <f>IF($G35=PARAM!$B$56,ReviewValue,J35+$I35-K35)</f>
        <v>-104.3930000000006</v>
      </c>
      <c r="M35" s="235">
        <f t="shared" si="1"/>
        <v>2144</v>
      </c>
    </row>
    <row r="36" spans="1:13" x14ac:dyDescent="0.2">
      <c r="A36" s="150">
        <v>5</v>
      </c>
      <c r="B36" s="141">
        <f t="shared" si="2"/>
        <v>1307.8005010054599</v>
      </c>
      <c r="C36" s="42">
        <f t="shared" si="3"/>
        <v>5</v>
      </c>
      <c r="D36" s="141"/>
      <c r="G36" s="128">
        <v>33</v>
      </c>
      <c r="H36" s="129">
        <f>CHOOSE(PARAM!$B$51,$H$3,$H$3,0,0)</f>
        <v>67</v>
      </c>
      <c r="I36" s="130">
        <f>H36*(1-PARAM!$C$27)*$C$28</f>
        <v>56.078999999999994</v>
      </c>
      <c r="J36" s="131">
        <f t="shared" ref="J36:J67" si="4">IF(L35&lt;0,L35,L35*$K$1)</f>
        <v>-104.3930000000006</v>
      </c>
      <c r="K36" s="132">
        <f>PARAM!$C$26+MAX(0,($C$25-CHOOSE(PARAM!$B$44,MAX(0,L35*IF(L35&gt;0,$K$1,1)),0)))*RATES!$L36/12+$C$26/CHOOSE(PARAM!$B$51,1,3,6,12)*RATES!$N36/100</f>
        <v>7.3333333333333339</v>
      </c>
      <c r="L36" s="133">
        <f>IF($G36=PARAM!$B$56,ReviewValue,J36+$I36-K36)</f>
        <v>-55.64733333333394</v>
      </c>
      <c r="M36" s="235">
        <f t="shared" si="1"/>
        <v>2211</v>
      </c>
    </row>
    <row r="37" spans="1:13" x14ac:dyDescent="0.2">
      <c r="A37" s="150">
        <v>10</v>
      </c>
      <c r="B37" s="141">
        <f t="shared" si="2"/>
        <v>5516.6033385285691</v>
      </c>
      <c r="C37" s="42">
        <f t="shared" si="3"/>
        <v>10</v>
      </c>
      <c r="D37" s="141"/>
      <c r="G37" s="128">
        <v>34</v>
      </c>
      <c r="H37" s="129">
        <f>CHOOSE(PARAM!$B$51,$H$3,0,0,0)</f>
        <v>67</v>
      </c>
      <c r="I37" s="130">
        <f>H37*(1-PARAM!$C$27)*$C$28</f>
        <v>56.078999999999994</v>
      </c>
      <c r="J37" s="131">
        <f t="shared" si="4"/>
        <v>-55.64733333333394</v>
      </c>
      <c r="K37" s="132">
        <f>PARAM!$C$26+MAX(0,($C$25-CHOOSE(PARAM!$B$44,MAX(0,L36*IF(L36&gt;0,$K$1,1)),0)))*RATES!$L37/12+$C$26/CHOOSE(PARAM!$B$51,1,3,6,12)*RATES!$N37/100</f>
        <v>7.3333333333333339</v>
      </c>
      <c r="L37" s="133">
        <f>IF($G37=PARAM!$B$56,ReviewValue,J37+$I37-K37)</f>
        <v>-6.9016666666672801</v>
      </c>
      <c r="M37" s="235">
        <f t="shared" si="1"/>
        <v>2278</v>
      </c>
    </row>
    <row r="38" spans="1:13" x14ac:dyDescent="0.2">
      <c r="A38" s="150">
        <v>15</v>
      </c>
      <c r="B38" s="141">
        <f t="shared" si="2"/>
        <v>11615.880906466815</v>
      </c>
      <c r="C38" s="42">
        <f t="shared" si="3"/>
        <v>15</v>
      </c>
      <c r="D38" s="141"/>
      <c r="G38" s="128">
        <v>35</v>
      </c>
      <c r="H38" s="129">
        <f>CHOOSE(PARAM!$B$51,$H$3,0,0,0)</f>
        <v>67</v>
      </c>
      <c r="I38" s="130">
        <f>H38*(1-PARAM!$C$27)*$C$28</f>
        <v>56.078999999999994</v>
      </c>
      <c r="J38" s="131">
        <f t="shared" si="4"/>
        <v>-6.9016666666672801</v>
      </c>
      <c r="K38" s="132">
        <f>PARAM!$C$26+MAX(0,($C$25-CHOOSE(PARAM!$B$44,MAX(0,L37*IF(L37&gt;0,$K$1,1)),0)))*RATES!$L38/12+$C$26/CHOOSE(PARAM!$B$51,1,3,6,12)*RATES!$N38/100</f>
        <v>7.3333333333333339</v>
      </c>
      <c r="L38" s="133">
        <f>IF($G38=PARAM!$B$56,ReviewValue,J38+$I38-K38)</f>
        <v>41.843999999999376</v>
      </c>
      <c r="M38" s="235">
        <f t="shared" si="1"/>
        <v>2345</v>
      </c>
    </row>
    <row r="39" spans="1:13" x14ac:dyDescent="0.2">
      <c r="A39" s="150">
        <v>20</v>
      </c>
      <c r="B39" s="141">
        <f t="shared" si="2"/>
        <v>20468.886010963954</v>
      </c>
      <c r="C39" s="42">
        <f t="shared" si="3"/>
        <v>20</v>
      </c>
      <c r="D39" s="141"/>
      <c r="G39" s="128">
        <v>36</v>
      </c>
      <c r="H39" s="129">
        <f>H27</f>
        <v>67</v>
      </c>
      <c r="I39" s="130">
        <f>H39*(1-PARAM!$C$27)*$C$28</f>
        <v>56.078999999999994</v>
      </c>
      <c r="J39" s="131">
        <f t="shared" si="4"/>
        <v>42.096943591651836</v>
      </c>
      <c r="K39" s="132">
        <f>PARAM!$C$26+MAX(0,($C$25-CHOOSE(PARAM!$B$44,MAX(0,L38*IF(L38&gt;0,$K$1,1)),0)))*RATES!$L39/12+$C$26/CHOOSE(PARAM!$B$51,1,3,6,12)*RATES!$N39/100</f>
        <v>7.3313688092990565</v>
      </c>
      <c r="L39" s="133">
        <f>IF($G39=PARAM!$B$56,ReviewValue,J39+$I39-K39)</f>
        <v>90.84457478235278</v>
      </c>
      <c r="M39" s="235">
        <f t="shared" si="1"/>
        <v>2412</v>
      </c>
    </row>
    <row r="40" spans="1:13" x14ac:dyDescent="0.2">
      <c r="A40" s="150">
        <v>25</v>
      </c>
      <c r="B40" s="141">
        <f t="shared" si="2"/>
        <v>33445.621488567376</v>
      </c>
      <c r="C40" s="42">
        <f t="shared" si="3"/>
        <v>25</v>
      </c>
      <c r="D40" s="141"/>
      <c r="F40" s="151"/>
      <c r="G40" s="128">
        <v>37</v>
      </c>
      <c r="H40" s="129">
        <f>CHOOSE(PARAM!$B$51,$H$3,0,0,0)</f>
        <v>67</v>
      </c>
      <c r="I40" s="130">
        <f>H40*(1-PARAM!$C$27)*$C$28</f>
        <v>56.078999999999994</v>
      </c>
      <c r="J40" s="131">
        <f t="shared" si="4"/>
        <v>91.39372288070831</v>
      </c>
      <c r="K40" s="132">
        <f>PARAM!$C$26+MAX(0,($C$25-CHOOSE(PARAM!$B$44,MAX(0,L39*IF(L39&gt;0,$K$1,1)),0)))*RATES!$L40/12+$C$26/CHOOSE(PARAM!$B$51,1,3,6,12)*RATES!$N40/100</f>
        <v>7.3290682929322344</v>
      </c>
      <c r="L40" s="133">
        <f>IF($G40=PARAM!$B$56,ReviewValue,J40+$I40-K40)</f>
        <v>140.1436545877761</v>
      </c>
      <c r="M40" s="235">
        <f t="shared" si="1"/>
        <v>2479</v>
      </c>
    </row>
    <row r="41" spans="1:13" x14ac:dyDescent="0.2">
      <c r="A41" s="150">
        <v>30</v>
      </c>
      <c r="B41" s="141">
        <f t="shared" si="2"/>
        <v>52892.384613345435</v>
      </c>
      <c r="C41" s="42">
        <f t="shared" si="3"/>
        <v>30</v>
      </c>
      <c r="D41" s="141"/>
      <c r="F41" s="151"/>
      <c r="G41" s="128">
        <v>38</v>
      </c>
      <c r="H41" s="129">
        <f>CHOOSE(PARAM!$B$51,$H$3,0,0,0)</f>
        <v>67</v>
      </c>
      <c r="I41" s="130">
        <f>H41*(1-PARAM!$C$27)*$C$28</f>
        <v>56.078999999999994</v>
      </c>
      <c r="J41" s="131">
        <f t="shared" si="4"/>
        <v>140.99081163152752</v>
      </c>
      <c r="K41" s="132">
        <f>PARAM!$C$26+MAX(0,($C$25-CHOOSE(PARAM!$B$44,MAX(0,L40*IF(L40&gt;0,$K$1,1)),0)))*RATES!$L41/12+$C$26/CHOOSE(PARAM!$B$51,1,3,6,12)*RATES!$N41/100</f>
        <v>7.3267537621238628</v>
      </c>
      <c r="L41" s="133">
        <f>IF($G41=PARAM!$B$56,ReviewValue,J41+$I41-K41)</f>
        <v>189.74305786940363</v>
      </c>
      <c r="M41" s="235">
        <f t="shared" si="1"/>
        <v>2546</v>
      </c>
    </row>
    <row r="42" spans="1:13" x14ac:dyDescent="0.2">
      <c r="A42" s="150">
        <v>35</v>
      </c>
      <c r="B42" s="141">
        <f t="shared" si="2"/>
        <v>82026.251138038671</v>
      </c>
      <c r="C42" s="42">
        <f t="shared" si="3"/>
        <v>35</v>
      </c>
      <c r="D42" s="141"/>
      <c r="F42" s="151"/>
      <c r="G42" s="128">
        <v>39</v>
      </c>
      <c r="H42" s="129">
        <f>CHOOSE(PARAM!$B$51,$H$3,$H$3,0,0)</f>
        <v>67</v>
      </c>
      <c r="I42" s="130">
        <f>H42*(1-PARAM!$C$27)*$C$28</f>
        <v>56.078999999999994</v>
      </c>
      <c r="J42" s="131">
        <f t="shared" si="4"/>
        <v>190.89003928964567</v>
      </c>
      <c r="K42" s="132">
        <f>PARAM!$C$26+MAX(0,($C$25-CHOOSE(PARAM!$B$44,MAX(0,L41*IF(L41&gt;0,$K$1,1)),0)))*RATES!$L42/12+$C$26/CHOOSE(PARAM!$B$51,1,3,6,12)*RATES!$N42/100</f>
        <v>7.324425131499817</v>
      </c>
      <c r="L42" s="133">
        <f>IF($G42=PARAM!$B$56,ReviewValue,J42+$I42-K42)</f>
        <v>239.64461415814583</v>
      </c>
      <c r="M42" s="235">
        <f t="shared" si="1"/>
        <v>2613</v>
      </c>
    </row>
    <row r="43" spans="1:13" x14ac:dyDescent="0.2">
      <c r="A43" s="150">
        <v>40</v>
      </c>
      <c r="B43" s="141">
        <f t="shared" si="2"/>
        <v>82026.251138038671</v>
      </c>
      <c r="C43" s="42">
        <f t="shared" si="3"/>
        <v>40</v>
      </c>
      <c r="D43" s="141"/>
      <c r="F43" s="151"/>
      <c r="G43" s="128">
        <v>40</v>
      </c>
      <c r="H43" s="129">
        <f>CHOOSE(PARAM!$B$51,$H$3,0,0,0)</f>
        <v>67</v>
      </c>
      <c r="I43" s="130">
        <f>H43*(1-PARAM!$C$27)*$C$28</f>
        <v>56.078999999999994</v>
      </c>
      <c r="J43" s="131">
        <f t="shared" si="4"/>
        <v>241.09324644533945</v>
      </c>
      <c r="K43" s="132">
        <f>PARAM!$C$26+MAX(0,($C$25-CHOOSE(PARAM!$B$44,MAX(0,L42*IF(L42&gt;0,$K$1,1)),0)))*RATES!$L43/12+$C$26/CHOOSE(PARAM!$B$51,1,3,6,12)*RATES!$N43/100</f>
        <v>7.3220823151658845</v>
      </c>
      <c r="L43" s="133">
        <f>IF($G43=PARAM!$B$56,ReviewValue,J43+$I43-K43)</f>
        <v>289.8501641301736</v>
      </c>
      <c r="M43" s="235">
        <f t="shared" si="1"/>
        <v>2680</v>
      </c>
    </row>
    <row r="44" spans="1:13" x14ac:dyDescent="0.2">
      <c r="A44" s="150">
        <v>45</v>
      </c>
      <c r="B44" s="141">
        <f t="shared" si="2"/>
        <v>82026.251138038671</v>
      </c>
      <c r="C44" s="42">
        <f t="shared" si="3"/>
        <v>45</v>
      </c>
      <c r="D44" s="141"/>
      <c r="F44" s="151"/>
      <c r="G44" s="128">
        <v>41</v>
      </c>
      <c r="H44" s="129">
        <f>CHOOSE(PARAM!$B$51,$H$3,0,0,0)</f>
        <v>67</v>
      </c>
      <c r="I44" s="130">
        <f>H44*(1-PARAM!$C$27)*$C$28</f>
        <v>56.078999999999994</v>
      </c>
      <c r="J44" s="131">
        <f t="shared" si="4"/>
        <v>291.60228490151815</v>
      </c>
      <c r="K44" s="132">
        <f>PARAM!$C$26+MAX(0,($C$25-CHOOSE(PARAM!$B$44,MAX(0,L43*IF(L43&gt;0,$K$1,1)),0)))*RATES!$L44/12+$C$26/CHOOSE(PARAM!$B$51,1,3,6,12)*RATES!$N44/100</f>
        <v>7.3197252267045965</v>
      </c>
      <c r="L44" s="133">
        <f>IF($G44=PARAM!$B$56,ReviewValue,J44+$I44-K44)</f>
        <v>340.36155967481358</v>
      </c>
      <c r="M44" s="235">
        <f t="shared" si="1"/>
        <v>2747</v>
      </c>
    </row>
    <row r="45" spans="1:13" x14ac:dyDescent="0.2">
      <c r="A45" s="150">
        <v>50</v>
      </c>
      <c r="B45" s="141">
        <f t="shared" si="2"/>
        <v>82026.251138038671</v>
      </c>
      <c r="C45" s="42">
        <f t="shared" si="3"/>
        <v>50</v>
      </c>
      <c r="D45" s="141"/>
      <c r="F45" s="151"/>
      <c r="G45" s="128">
        <v>42</v>
      </c>
      <c r="H45" s="129">
        <f>CHOOSE(PARAM!$B$51,$H$3,$H$3,$H$3,0)</f>
        <v>67</v>
      </c>
      <c r="I45" s="130">
        <f>H45*(1-PARAM!$C$27)*$C$28</f>
        <v>56.078999999999994</v>
      </c>
      <c r="J45" s="131">
        <f t="shared" si="4"/>
        <v>342.41901774202944</v>
      </c>
      <c r="K45" s="132">
        <f>PARAM!$C$26+MAX(0,($C$25-CHOOSE(PARAM!$B$44,MAX(0,L44*IF(L44&gt;0,$K$1,1)),0)))*RATES!$L45/12+$C$26/CHOOSE(PARAM!$B$51,1,3,6,12)*RATES!$N45/100</f>
        <v>7.4828790491128983</v>
      </c>
      <c r="L45" s="133">
        <f>IF($G45=PARAM!$B$56,ReviewValue,J45+$I45-K45)</f>
        <v>391.01513869291654</v>
      </c>
      <c r="M45" s="235">
        <f t="shared" si="1"/>
        <v>2814</v>
      </c>
    </row>
    <row r="46" spans="1:13" x14ac:dyDescent="0.2">
      <c r="A46" s="150">
        <v>55</v>
      </c>
      <c r="B46" s="141">
        <f t="shared" si="2"/>
        <v>82026.251138038671</v>
      </c>
      <c r="C46" s="42">
        <f t="shared" si="3"/>
        <v>55</v>
      </c>
      <c r="D46" s="141"/>
      <c r="F46" s="151"/>
      <c r="G46" s="128">
        <v>43</v>
      </c>
      <c r="H46" s="129">
        <f>CHOOSE(PARAM!$B$51,$H$3,0,0,0)</f>
        <v>67</v>
      </c>
      <c r="I46" s="130">
        <f>H46*(1-PARAM!$C$27)*$C$28</f>
        <v>56.078999999999994</v>
      </c>
      <c r="J46" s="131">
        <f t="shared" si="4"/>
        <v>393.37879354358739</v>
      </c>
      <c r="K46" s="132">
        <f>PARAM!$C$26+MAX(0,($C$25-CHOOSE(PARAM!$B$44,MAX(0,L45*IF(L45&gt;0,$K$1,1)),0)))*RATES!$L46/12+$C$26/CHOOSE(PARAM!$B$51,1,3,6,12)*RATES!$N46/100</f>
        <v>7.4803310603228201</v>
      </c>
      <c r="L46" s="133">
        <f>IF($G46=PARAM!$B$56,ReviewValue,J46+$I46-K46)</f>
        <v>441.97746248326456</v>
      </c>
      <c r="M46" s="235">
        <f t="shared" si="1"/>
        <v>2881</v>
      </c>
    </row>
    <row r="47" spans="1:13" x14ac:dyDescent="0.2">
      <c r="A47" s="150">
        <v>60</v>
      </c>
      <c r="B47" s="141">
        <f t="shared" si="2"/>
        <v>82026.251138038671</v>
      </c>
      <c r="C47" s="42">
        <f t="shared" si="3"/>
        <v>60</v>
      </c>
      <c r="D47" s="141"/>
      <c r="G47" s="128">
        <v>44</v>
      </c>
      <c r="H47" s="129">
        <f>CHOOSE(PARAM!$B$51,$H$3,0,0,0)</f>
        <v>67</v>
      </c>
      <c r="I47" s="130">
        <f>H47*(1-PARAM!$C$27)*$C$28</f>
        <v>56.078999999999994</v>
      </c>
      <c r="J47" s="131">
        <f t="shared" si="4"/>
        <v>444.64918045453783</v>
      </c>
      <c r="K47" s="132">
        <f>PARAM!$C$26+MAX(0,($C$25-CHOOSE(PARAM!$B$44,MAX(0,L46*IF(L46&gt;0,$K$1,1)),0)))*RATES!$L47/12+$C$26/CHOOSE(PARAM!$B$51,1,3,6,12)*RATES!$N47/100</f>
        <v>7.4777675409772728</v>
      </c>
      <c r="L47" s="133">
        <f>IF($G47=PARAM!$B$56,ReviewValue,J47+$I47-K47)</f>
        <v>493.25041291356058</v>
      </c>
      <c r="M47" s="235">
        <f t="shared" si="1"/>
        <v>2948</v>
      </c>
    </row>
    <row r="48" spans="1:13" x14ac:dyDescent="0.2">
      <c r="A48" s="150">
        <v>65</v>
      </c>
      <c r="B48" s="141">
        <f t="shared" si="2"/>
        <v>82026.251138038671</v>
      </c>
      <c r="C48" s="42">
        <f t="shared" si="3"/>
        <v>65</v>
      </c>
      <c r="D48" s="141"/>
      <c r="G48" s="128">
        <v>45</v>
      </c>
      <c r="H48" s="129">
        <f>CHOOSE(PARAM!$B$51,$H$3,$H$3,0,0)</f>
        <v>67</v>
      </c>
      <c r="I48" s="130">
        <f>H48*(1-PARAM!$C$27)*$C$28</f>
        <v>56.078999999999994</v>
      </c>
      <c r="J48" s="131">
        <f t="shared" si="4"/>
        <v>496.23207171832149</v>
      </c>
      <c r="K48" s="132">
        <f>PARAM!$C$26+MAX(0,($C$25-CHOOSE(PARAM!$B$44,MAX(0,L47*IF(L47&gt;0,$K$1,1)),0)))*RATES!$L48/12+$C$26/CHOOSE(PARAM!$B$51,1,3,6,12)*RATES!$N48/100</f>
        <v>7.4751883964140831</v>
      </c>
      <c r="L48" s="133">
        <f>IF($G48=PARAM!$B$56,ReviewValue,J48+$I48-K48)</f>
        <v>544.83588332190743</v>
      </c>
      <c r="M48" s="235">
        <f t="shared" si="1"/>
        <v>3015</v>
      </c>
    </row>
    <row r="49" spans="1:13" x14ac:dyDescent="0.2">
      <c r="A49" s="150">
        <v>70</v>
      </c>
      <c r="B49" s="141">
        <f t="shared" si="2"/>
        <v>82026.251138038671</v>
      </c>
      <c r="C49" s="42">
        <f t="shared" si="3"/>
        <v>70</v>
      </c>
      <c r="D49" s="141"/>
      <c r="G49" s="128">
        <v>46</v>
      </c>
      <c r="H49" s="129">
        <f>CHOOSE(PARAM!$B$51,$H$3,0,0,0)</f>
        <v>67</v>
      </c>
      <c r="I49" s="130">
        <f>H49*(1-PARAM!$C$27)*$C$28</f>
        <v>56.078999999999994</v>
      </c>
      <c r="J49" s="131">
        <f t="shared" si="4"/>
        <v>548.12937211811686</v>
      </c>
      <c r="K49" s="132">
        <f>PARAM!$C$26+MAX(0,($C$25-CHOOSE(PARAM!$B$44,MAX(0,L48*IF(L48&gt;0,$K$1,1)),0)))*RATES!$L49/12+$C$26/CHOOSE(PARAM!$B$51,1,3,6,12)*RATES!$N49/100</f>
        <v>7.4725935313940948</v>
      </c>
      <c r="L49" s="133">
        <f>IF($G49=PARAM!$B$56,ReviewValue,J49+$I49-K49)</f>
        <v>596.73577858672274</v>
      </c>
      <c r="M49" s="235">
        <f t="shared" si="1"/>
        <v>3082</v>
      </c>
    </row>
    <row r="50" spans="1:13" x14ac:dyDescent="0.2">
      <c r="A50" s="150">
        <v>75</v>
      </c>
      <c r="B50" s="141">
        <f t="shared" si="2"/>
        <v>82026.251138038671</v>
      </c>
      <c r="C50" s="42">
        <f t="shared" si="3"/>
        <v>75</v>
      </c>
      <c r="D50" s="141"/>
      <c r="G50" s="128">
        <v>47</v>
      </c>
      <c r="H50" s="129">
        <f>CHOOSE(PARAM!$B$51,$H$3,0,0,0)</f>
        <v>67</v>
      </c>
      <c r="I50" s="130">
        <f>H50*(1-PARAM!$C$27)*$C$28</f>
        <v>56.078999999999994</v>
      </c>
      <c r="J50" s="131">
        <f t="shared" si="4"/>
        <v>600.34299804717716</v>
      </c>
      <c r="K50" s="132">
        <f>PARAM!$C$26+MAX(0,($C$25-CHOOSE(PARAM!$B$44,MAX(0,L49*IF(L49&gt;0,$K$1,1)),0)))*RATES!$L50/12+$C$26/CHOOSE(PARAM!$B$51,1,3,6,12)*RATES!$N50/100</f>
        <v>7.4699828500976402</v>
      </c>
      <c r="L50" s="133">
        <f>IF($G50=PARAM!$B$56,ReviewValue,J50+$I50-K50)</f>
        <v>648.9520151970795</v>
      </c>
      <c r="M50" s="235">
        <f t="shared" si="1"/>
        <v>3149</v>
      </c>
    </row>
    <row r="51" spans="1:13" x14ac:dyDescent="0.2">
      <c r="A51" s="150">
        <v>80</v>
      </c>
      <c r="B51" s="141">
        <f t="shared" si="2"/>
        <v>82026.251138038671</v>
      </c>
      <c r="C51" s="42">
        <f>IF(B51=0,0,A51)</f>
        <v>80</v>
      </c>
      <c r="D51" s="141"/>
      <c r="G51" s="128">
        <v>48</v>
      </c>
      <c r="H51" s="129">
        <f>H39</f>
        <v>67</v>
      </c>
      <c r="I51" s="130">
        <f>H51*(1-PARAM!$C$27)*$C$28</f>
        <v>56.078999999999994</v>
      </c>
      <c r="J51" s="131">
        <f t="shared" si="4"/>
        <v>652.87487757959673</v>
      </c>
      <c r="K51" s="132">
        <f>PARAM!$C$26+MAX(0,($C$25-CHOOSE(PARAM!$B$44,MAX(0,L50*IF(L50&gt;0,$K$1,1)),0)))*RATES!$L51/12+$C$26/CHOOSE(PARAM!$B$51,1,3,6,12)*RATES!$N51/100</f>
        <v>7.4673562561210201</v>
      </c>
      <c r="L51" s="133">
        <f>IF($G51=PARAM!$B$56,ReviewValue,J51+$I51-K51)</f>
        <v>701.4865213234757</v>
      </c>
      <c r="M51" s="235">
        <f t="shared" si="1"/>
        <v>3216</v>
      </c>
    </row>
    <row r="52" spans="1:13" x14ac:dyDescent="0.2">
      <c r="G52" s="128">
        <v>49</v>
      </c>
      <c r="H52" s="129">
        <f>CHOOSE(PARAM!$B$51,$H$3,0,0,0)</f>
        <v>67</v>
      </c>
      <c r="I52" s="130">
        <f>H52*(1-PARAM!$C$27)*$C$28</f>
        <v>56.078999999999994</v>
      </c>
      <c r="J52" s="131">
        <f>IF(L51&lt;0,L51,L51*$K$1)</f>
        <v>705.72695054150824</v>
      </c>
      <c r="K52" s="132">
        <f>PARAM!$C$26+MAX(0,($C$25-CHOOSE(PARAM!$B$44,MAX(0,L51*IF(L51&gt;0,$K$1,1)),0)))*RATES!$L52/12+$C$26/CHOOSE(PARAM!$B$51,1,3,6,12)*RATES!$N52/100</f>
        <v>7.4647136524729243</v>
      </c>
      <c r="L52" s="133">
        <f>IF($G52=PARAM!$B$56,ReviewValue,J52+$I52-K52)</f>
        <v>754.34123688903526</v>
      </c>
      <c r="M52" s="235">
        <f t="shared" si="1"/>
        <v>3283</v>
      </c>
    </row>
    <row r="53" spans="1:13" x14ac:dyDescent="0.2">
      <c r="A53" s="42" t="s">
        <v>196</v>
      </c>
      <c r="C53" s="42">
        <f>MIN(MAX(10,C32:C51),100-CHOOSE(MIN(PARAM!B43,2),PARAM!B38,MAX(PARAM!B38,PARAM!B39)))</f>
        <v>69</v>
      </c>
      <c r="G53" s="128">
        <v>50</v>
      </c>
      <c r="H53" s="129">
        <f>CHOOSE(PARAM!$B$51,$H$3,0,0,0)</f>
        <v>67</v>
      </c>
      <c r="I53" s="130">
        <f>H53*(1-PARAM!$C$27)*$C$28</f>
        <v>56.078999999999994</v>
      </c>
      <c r="J53" s="131">
        <f t="shared" si="4"/>
        <v>758.90116858271358</v>
      </c>
      <c r="K53" s="132">
        <f>PARAM!$C$26+MAX(0,($C$25-CHOOSE(PARAM!$B$44,MAX(0,L52*IF(L52&gt;0,$K$1,1)),0)))*RATES!$L53/12+$C$26/CHOOSE(PARAM!$B$51,1,3,6,12)*RATES!$N53/100</f>
        <v>7.4620549415708641</v>
      </c>
      <c r="L53" s="133">
        <f>IF($G53=PARAM!$B$56,ReviewValue,J53+$I53-K53)</f>
        <v>807.51811364114269</v>
      </c>
      <c r="M53" s="235">
        <f t="shared" si="1"/>
        <v>3350</v>
      </c>
    </row>
    <row r="54" spans="1:13" x14ac:dyDescent="0.2">
      <c r="G54" s="128">
        <v>51</v>
      </c>
      <c r="H54" s="129">
        <f>CHOOSE(PARAM!$B$51,$H$3,$H$3,0,0)</f>
        <v>67</v>
      </c>
      <c r="I54" s="130">
        <f>H54*(1-PARAM!$C$27)*$C$28</f>
        <v>56.078999999999994</v>
      </c>
      <c r="J54" s="131">
        <f t="shared" si="4"/>
        <v>812.39949524875215</v>
      </c>
      <c r="K54" s="132">
        <f>PARAM!$C$26+MAX(0,($C$25-CHOOSE(PARAM!$B$44,MAX(0,L53*IF(L53&gt;0,$K$1,1)),0)))*RATES!$L54/12+$C$26/CHOOSE(PARAM!$B$51,1,3,6,12)*RATES!$N54/100</f>
        <v>7.4593800252375626</v>
      </c>
      <c r="L54" s="133">
        <f>IF($G54=PARAM!$B$56,ReviewValue,J54+$I54-K54)</f>
        <v>861.01911522351452</v>
      </c>
      <c r="M54" s="235">
        <f t="shared" si="1"/>
        <v>3417</v>
      </c>
    </row>
    <row r="55" spans="1:13" x14ac:dyDescent="0.2">
      <c r="G55" s="128">
        <v>52</v>
      </c>
      <c r="H55" s="129">
        <f>CHOOSE(PARAM!$B$51,$H$3,0,0,0)</f>
        <v>67</v>
      </c>
      <c r="I55" s="130">
        <f>H55*(1-PARAM!$C$27)*$C$28</f>
        <v>56.078999999999994</v>
      </c>
      <c r="J55" s="131">
        <f t="shared" si="4"/>
        <v>866.22390605340797</v>
      </c>
      <c r="K55" s="132">
        <f>PARAM!$C$26+MAX(0,($C$25-CHOOSE(PARAM!$B$44,MAX(0,L54*IF(L54&gt;0,$K$1,1)),0)))*RATES!$L55/12+$C$26/CHOOSE(PARAM!$B$51,1,3,6,12)*RATES!$N55/100</f>
        <v>7.456688804697329</v>
      </c>
      <c r="L55" s="133">
        <f>IF($G55=PARAM!$B$56,ReviewValue,J55+$I55-K55)</f>
        <v>914.84621724871056</v>
      </c>
      <c r="M55" s="235">
        <f t="shared" si="1"/>
        <v>3484</v>
      </c>
    </row>
    <row r="56" spans="1:13" x14ac:dyDescent="0.2">
      <c r="G56" s="128">
        <v>53</v>
      </c>
      <c r="H56" s="129">
        <f>CHOOSE(PARAM!$B$51,$H$3,0,0,0)</f>
        <v>67</v>
      </c>
      <c r="I56" s="130">
        <f>H56*(1-PARAM!$C$27)*$C$28</f>
        <v>56.078999999999994</v>
      </c>
      <c r="J56" s="131">
        <f t="shared" si="4"/>
        <v>920.37638855165858</v>
      </c>
      <c r="K56" s="132">
        <f>PARAM!$C$26+MAX(0,($C$25-CHOOSE(PARAM!$B$44,MAX(0,L55*IF(L55&gt;0,$K$1,1)),0)))*RATES!$L56/12+$C$26/CHOOSE(PARAM!$B$51,1,3,6,12)*RATES!$N56/100</f>
        <v>7.4539811805724163</v>
      </c>
      <c r="L56" s="133">
        <f>IF($G56=PARAM!$B$56,ReviewValue,J56+$I56-K56)</f>
        <v>969.00140737108609</v>
      </c>
      <c r="M56" s="235">
        <f t="shared" si="1"/>
        <v>3551</v>
      </c>
    </row>
    <row r="57" spans="1:13" x14ac:dyDescent="0.2">
      <c r="A57" s="41"/>
      <c r="G57" s="128">
        <v>54</v>
      </c>
      <c r="H57" s="129">
        <f>CHOOSE(PARAM!$B$51,$H$3,$H$3,$H$3,0)</f>
        <v>67</v>
      </c>
      <c r="I57" s="130">
        <f>H57*(1-PARAM!$C$27)*$C$28</f>
        <v>56.078999999999994</v>
      </c>
      <c r="J57" s="131">
        <f t="shared" si="4"/>
        <v>974.85894241306903</v>
      </c>
      <c r="K57" s="132">
        <f>PARAM!$C$26+MAX(0,($C$25-CHOOSE(PARAM!$B$44,MAX(0,L56*IF(L56&gt;0,$K$1,1)),0)))*RATES!$L57/12+$C$26/CHOOSE(PARAM!$B$51,1,3,6,12)*RATES!$N57/100</f>
        <v>7.6146741897379702</v>
      </c>
      <c r="L57" s="133">
        <f>IF($G57=PARAM!$B$56,ReviewValue,J57+$I57-K57)</f>
        <v>1023.3232682233311</v>
      </c>
      <c r="M57" s="235">
        <f t="shared" si="1"/>
        <v>3618</v>
      </c>
    </row>
    <row r="58" spans="1:13" x14ac:dyDescent="0.2">
      <c r="G58" s="128">
        <v>55</v>
      </c>
      <c r="H58" s="129">
        <f>CHOOSE(PARAM!$B$51,$H$3,0,0,0)</f>
        <v>67</v>
      </c>
      <c r="I58" s="130">
        <f>H58*(1-PARAM!$C$27)*$C$28</f>
        <v>56.078999999999994</v>
      </c>
      <c r="J58" s="131">
        <f t="shared" si="4"/>
        <v>1029.5091745154148</v>
      </c>
      <c r="K58" s="132">
        <f>PARAM!$C$26+MAX(0,($C$25-CHOOSE(PARAM!$B$44,MAX(0,L57*IF(L57&gt;0,$K$1,1)),0)))*RATES!$L58/12+$C$26/CHOOSE(PARAM!$B$51,1,3,6,12)*RATES!$N58/100</f>
        <v>7.6117595106925116</v>
      </c>
      <c r="L58" s="133">
        <f>IF($G58=PARAM!$B$56,ReviewValue,J58+$I58-K58)</f>
        <v>1077.9764150047222</v>
      </c>
      <c r="M58" s="235">
        <f t="shared" si="1"/>
        <v>3685</v>
      </c>
    </row>
    <row r="59" spans="1:13" x14ac:dyDescent="0.2">
      <c r="G59" s="128">
        <v>56</v>
      </c>
      <c r="H59" s="129">
        <f>CHOOSE(PARAM!$B$51,$H$3,0,0,0)</f>
        <v>67</v>
      </c>
      <c r="I59" s="130">
        <f>H59*(1-PARAM!$C$27)*$C$28</f>
        <v>56.078999999999994</v>
      </c>
      <c r="J59" s="131">
        <f t="shared" si="4"/>
        <v>1084.492695143522</v>
      </c>
      <c r="K59" s="132">
        <f>PARAM!$C$26+MAX(0,($C$25-CHOOSE(PARAM!$B$44,MAX(0,L58*IF(L58&gt;0,$K$1,1)),0)))*RATES!$L59/12+$C$26/CHOOSE(PARAM!$B$51,1,3,6,12)*RATES!$N59/100</f>
        <v>7.6088270562590132</v>
      </c>
      <c r="L59" s="133">
        <f>IF($G59=PARAM!$B$56,ReviewValue,J59+$I59-K59)</f>
        <v>1132.9628680872629</v>
      </c>
      <c r="M59" s="235">
        <f t="shared" si="1"/>
        <v>3752</v>
      </c>
    </row>
    <row r="60" spans="1:13" x14ac:dyDescent="0.2">
      <c r="G60" s="128">
        <v>57</v>
      </c>
      <c r="H60" s="129">
        <f>CHOOSE(PARAM!$B$51,$H$3,$H$3,0,0)</f>
        <v>67</v>
      </c>
      <c r="I60" s="130">
        <f>H60*(1-PARAM!$C$27)*$C$28</f>
        <v>56.078999999999994</v>
      </c>
      <c r="J60" s="131">
        <f t="shared" si="4"/>
        <v>1139.8115368823796</v>
      </c>
      <c r="K60" s="132">
        <f>PARAM!$C$26+MAX(0,($C$25-CHOOSE(PARAM!$B$44,MAX(0,L59*IF(L59&gt;0,$K$1,1)),0)))*RATES!$L60/12+$C$26/CHOOSE(PARAM!$B$51,1,3,6,12)*RATES!$N60/100</f>
        <v>7.6058767180329401</v>
      </c>
      <c r="L60" s="133">
        <f>IF($G60=PARAM!$B$56,ReviewValue,J60+$I60-K60)</f>
        <v>1188.2846601643466</v>
      </c>
      <c r="M60" s="235">
        <f t="shared" si="1"/>
        <v>3819</v>
      </c>
    </row>
    <row r="61" spans="1:13" x14ac:dyDescent="0.2">
      <c r="G61" s="128">
        <v>58</v>
      </c>
      <c r="H61" s="129">
        <f>CHOOSE(PARAM!$B$51,$H$3,0,0,0)</f>
        <v>67</v>
      </c>
      <c r="I61" s="130">
        <f>H61*(1-PARAM!$C$27)*$C$28</f>
        <v>56.078999999999994</v>
      </c>
      <c r="J61" s="131">
        <f t="shared" si="4"/>
        <v>1195.4677447128481</v>
      </c>
      <c r="K61" s="132">
        <f>PARAM!$C$26+MAX(0,($C$25-CHOOSE(PARAM!$B$44,MAX(0,L60*IF(L60&gt;0,$K$1,1)),0)))*RATES!$L61/12+$C$26/CHOOSE(PARAM!$B$51,1,3,6,12)*RATES!$N61/100</f>
        <v>7.6029083869486485</v>
      </c>
      <c r="L61" s="133">
        <f>IF($G61=PARAM!$B$56,ReviewValue,J61+$I61-K61)</f>
        <v>1243.9438363258994</v>
      </c>
      <c r="M61" s="235">
        <f t="shared" si="1"/>
        <v>3886</v>
      </c>
    </row>
    <row r="62" spans="1:13" x14ac:dyDescent="0.2">
      <c r="G62" s="128">
        <v>59</v>
      </c>
      <c r="H62" s="129">
        <f>CHOOSE(PARAM!$B$51,$H$3,0,0,0)</f>
        <v>67</v>
      </c>
      <c r="I62" s="130">
        <f>H62*(1-PARAM!$C$27)*$C$28</f>
        <v>56.078999999999994</v>
      </c>
      <c r="J62" s="131">
        <f t="shared" si="4"/>
        <v>1251.4633760872562</v>
      </c>
      <c r="K62" s="132">
        <f>PARAM!$C$26+MAX(0,($C$25-CHOOSE(PARAM!$B$44,MAX(0,L61*IF(L61&gt;0,$K$1,1)),0)))*RATES!$L62/12+$C$26/CHOOSE(PARAM!$B$51,1,3,6,12)*RATES!$N62/100</f>
        <v>7.5999219532753468</v>
      </c>
      <c r="L62" s="133">
        <f>IF($G62=PARAM!$B$56,ReviewValue,J62+$I62-K62)</f>
        <v>1299.9424541339808</v>
      </c>
      <c r="M62" s="235">
        <f t="shared" si="1"/>
        <v>3953</v>
      </c>
    </row>
    <row r="63" spans="1:13" x14ac:dyDescent="0.2">
      <c r="G63" s="128">
        <v>60</v>
      </c>
      <c r="H63" s="129">
        <f>H51</f>
        <v>67</v>
      </c>
      <c r="I63" s="130">
        <f>H63*(1-PARAM!$C$27)*$C$28</f>
        <v>56.078999999999994</v>
      </c>
      <c r="J63" s="131">
        <f t="shared" si="4"/>
        <v>1307.8005010054599</v>
      </c>
      <c r="K63" s="132">
        <f>PARAM!$C$26+MAX(0,($C$25-CHOOSE(PARAM!$B$44,MAX(0,L62*IF(L62&gt;0,$K$1,1)),0)))*RATES!$L63/12+$C$26/CHOOSE(PARAM!$B$51,1,3,6,12)*RATES!$N63/100</f>
        <v>7.596917306613042</v>
      </c>
      <c r="L63" s="133">
        <f>IF($G63=PARAM!$B$56,ReviewValue,J63+$I63-K63)</f>
        <v>1356.2825836988468</v>
      </c>
      <c r="M63" s="235">
        <f t="shared" si="1"/>
        <v>4020</v>
      </c>
    </row>
    <row r="64" spans="1:13" x14ac:dyDescent="0.2">
      <c r="G64" s="128">
        <v>61</v>
      </c>
      <c r="H64" s="129">
        <f>CHOOSE(PARAM!$B$51,$H$3,0,0,0)</f>
        <v>67</v>
      </c>
      <c r="I64" s="130">
        <f>H64*(1-PARAM!$C$27)*$C$28</f>
        <v>56.078999999999994</v>
      </c>
      <c r="J64" s="131">
        <f t="shared" si="4"/>
        <v>1364.4812020913635</v>
      </c>
      <c r="K64" s="132">
        <f>PARAM!$C$26+MAX(0,($C$25-CHOOSE(PARAM!$B$44,MAX(0,L63*IF(L63&gt;0,$K$1,1)),0)))*RATES!$L64/12+$C$26/CHOOSE(PARAM!$B$51,1,3,6,12)*RATES!$N64/100</f>
        <v>7.5938943358884607</v>
      </c>
      <c r="L64" s="133">
        <f>IF($G64=PARAM!$B$56,ReviewValue,J64+$I64-K64)</f>
        <v>1412.9663077554749</v>
      </c>
      <c r="M64" s="235">
        <f t="shared" si="1"/>
        <v>4087</v>
      </c>
    </row>
    <row r="65" spans="7:13" x14ac:dyDescent="0.2">
      <c r="G65" s="128">
        <v>62</v>
      </c>
      <c r="H65" s="129">
        <f>CHOOSE(PARAM!$B$51,$H$3,0,0,0)</f>
        <v>67</v>
      </c>
      <c r="I65" s="130">
        <f>H65*(1-PARAM!$C$27)*$C$28</f>
        <v>56.078999999999994</v>
      </c>
      <c r="J65" s="131">
        <f t="shared" si="4"/>
        <v>1421.5075746699092</v>
      </c>
      <c r="K65" s="132">
        <f>PARAM!$C$26+MAX(0,($C$25-CHOOSE(PARAM!$B$44,MAX(0,L64*IF(L64&gt;0,$K$1,1)),0)))*RATES!$L65/12+$C$26/CHOOSE(PARAM!$B$51,1,3,6,12)*RATES!$N65/100</f>
        <v>7.5908529293509384</v>
      </c>
      <c r="L65" s="133">
        <f>IF($G65=PARAM!$B$56,ReviewValue,J65+$I65-K65)</f>
        <v>1469.9957217405583</v>
      </c>
      <c r="M65" s="235">
        <f t="shared" si="1"/>
        <v>4154</v>
      </c>
    </row>
    <row r="66" spans="7:13" x14ac:dyDescent="0.2">
      <c r="G66" s="128">
        <v>63</v>
      </c>
      <c r="H66" s="129">
        <f>CHOOSE(PARAM!$B$51,$H$3,$H$3,0,0)</f>
        <v>67</v>
      </c>
      <c r="I66" s="130">
        <f>H66*(1-PARAM!$C$27)*$C$28</f>
        <v>56.078999999999994</v>
      </c>
      <c r="J66" s="131">
        <f t="shared" si="4"/>
        <v>1478.8817268445353</v>
      </c>
      <c r="K66" s="132">
        <f>PARAM!$C$26+MAX(0,($C$25-CHOOSE(PARAM!$B$44,MAX(0,L65*IF(L65&gt;0,$K$1,1)),0)))*RATES!$L66/12+$C$26/CHOOSE(PARAM!$B$51,1,3,6,12)*RATES!$N66/100</f>
        <v>7.5877929745682913</v>
      </c>
      <c r="L66" s="133">
        <f>IF($G66=PARAM!$B$56,ReviewValue,J66+$I66-K66)</f>
        <v>1527.3729338699668</v>
      </c>
      <c r="M66" s="235">
        <f t="shared" si="1"/>
        <v>4221</v>
      </c>
    </row>
    <row r="67" spans="7:13" x14ac:dyDescent="0.2">
      <c r="G67" s="128">
        <v>64</v>
      </c>
      <c r="H67" s="129">
        <f>CHOOSE(PARAM!$B$51,$H$3,0,0,0)</f>
        <v>67</v>
      </c>
      <c r="I67" s="130">
        <f>H67*(1-PARAM!$C$27)*$C$28</f>
        <v>56.078999999999994</v>
      </c>
      <c r="J67" s="131">
        <f t="shared" si="4"/>
        <v>1536.6057795751055</v>
      </c>
      <c r="K67" s="132">
        <f>PARAM!$C$26+MAX(0,($C$25-CHOOSE(PARAM!$B$44,MAX(0,L66*IF(L66&gt;0,$K$1,1)),0)))*RATES!$L67/12+$C$26/CHOOSE(PARAM!$B$51,1,3,6,12)*RATES!$N67/100</f>
        <v>7.5847143584226613</v>
      </c>
      <c r="L67" s="133">
        <f>IF($G67=PARAM!$B$56,ReviewValue,J67+$I67-K67)</f>
        <v>1585.1000652166829</v>
      </c>
      <c r="M67" s="235">
        <f t="shared" si="1"/>
        <v>4288</v>
      </c>
    </row>
    <row r="68" spans="7:13" x14ac:dyDescent="0.2">
      <c r="G68" s="128">
        <v>65</v>
      </c>
      <c r="H68" s="129">
        <f>CHOOSE(PARAM!$B$51,$H$3,0,0,0)</f>
        <v>67</v>
      </c>
      <c r="I68" s="130">
        <f>H68*(1-PARAM!$C$27)*$C$28</f>
        <v>56.078999999999994</v>
      </c>
      <c r="J68" s="131">
        <f t="shared" ref="J68:J99" si="5">IF(L67&lt;0,L67,L67*$K$1)</f>
        <v>1594.6818667563173</v>
      </c>
      <c r="K68" s="132">
        <f>PARAM!$C$26+MAX(0,($C$25-CHOOSE(PARAM!$B$44,MAX(0,L67*IF(L67&gt;0,$K$1,1)),0)))*RATES!$L68/12+$C$26/CHOOSE(PARAM!$B$51,1,3,6,12)*RATES!$N68/100</f>
        <v>7.5816169671063296</v>
      </c>
      <c r="L68" s="133">
        <f>IF($G68=PARAM!$B$56,ReviewValue,J68+$I68-K68)</f>
        <v>1643.1792497892109</v>
      </c>
      <c r="M68" s="235">
        <f t="shared" ref="M68:M131" si="6">M67+H67</f>
        <v>4355</v>
      </c>
    </row>
    <row r="69" spans="7:13" x14ac:dyDescent="0.2">
      <c r="G69" s="128">
        <v>66</v>
      </c>
      <c r="H69" s="129">
        <f>CHOOSE(PARAM!$B$51,$H$3,$H$3,$H$3,0)</f>
        <v>67</v>
      </c>
      <c r="I69" s="130">
        <f>H69*(1-PARAM!$C$27)*$C$28</f>
        <v>56.078999999999994</v>
      </c>
      <c r="J69" s="131">
        <f t="shared" si="5"/>
        <v>1653.1121352965831</v>
      </c>
      <c r="K69" s="132">
        <f>PARAM!$C$26+MAX(0,($C$25-CHOOSE(PARAM!$B$44,MAX(0,L68*IF(L68&gt;0,$K$1,1)),0)))*RATES!$L69/12+$C$26/CHOOSE(PARAM!$B$51,1,3,6,12)*RATES!$N69/100</f>
        <v>7.7799460522204456</v>
      </c>
      <c r="L69" s="133">
        <f>IF($G69=PARAM!$B$56,ReviewValue,J69+$I69-K69)</f>
        <v>1701.4111892443627</v>
      </c>
      <c r="M69" s="235">
        <f t="shared" si="6"/>
        <v>4422</v>
      </c>
    </row>
    <row r="70" spans="7:13" x14ac:dyDescent="0.2">
      <c r="G70" s="128">
        <v>67</v>
      </c>
      <c r="H70" s="129">
        <f>CHOOSE(PARAM!$B$51,$H$3,0,0,0)</f>
        <v>67</v>
      </c>
      <c r="I70" s="130">
        <f>H70*(1-PARAM!$C$27)*$C$28</f>
        <v>56.078999999999994</v>
      </c>
      <c r="J70" s="131">
        <f t="shared" si="5"/>
        <v>1711.6960821103687</v>
      </c>
      <c r="K70" s="132">
        <f>PARAM!$C$26+MAX(0,($C$25-CHOOSE(PARAM!$B$44,MAX(0,L69*IF(L69&gt;0,$K$1,1)),0)))*RATES!$L70/12+$C$26/CHOOSE(PARAM!$B$51,1,3,6,12)*RATES!$N70/100</f>
        <v>7.7765774752786534</v>
      </c>
      <c r="L70" s="133">
        <f>IF($G70=PARAM!$B$56,ReviewValue,J70+$I70-K70)</f>
        <v>1759.9985046350901</v>
      </c>
      <c r="M70" s="235">
        <f t="shared" si="6"/>
        <v>4489</v>
      </c>
    </row>
    <row r="71" spans="7:13" x14ac:dyDescent="0.2">
      <c r="G71" s="128">
        <v>68</v>
      </c>
      <c r="H71" s="129">
        <f>CHOOSE(PARAM!$B$51,$H$3,0,0,0)</f>
        <v>67</v>
      </c>
      <c r="I71" s="130">
        <f>H71*(1-PARAM!$C$27)*$C$28</f>
        <v>56.078999999999994</v>
      </c>
      <c r="J71" s="131">
        <f t="shared" si="5"/>
        <v>1770.6375530784837</v>
      </c>
      <c r="K71" s="132">
        <f>PARAM!$C$26+MAX(0,($C$25-CHOOSE(PARAM!$B$44,MAX(0,L70*IF(L70&gt;0,$K$1,1)),0)))*RATES!$L71/12+$C$26/CHOOSE(PARAM!$B$51,1,3,6,12)*RATES!$N71/100</f>
        <v>7.7731883406979865</v>
      </c>
      <c r="L71" s="133">
        <f>IF($G71=PARAM!$B$56,ReviewValue,J71+$I71-K71)</f>
        <v>1818.9433647377857</v>
      </c>
      <c r="M71" s="235">
        <f t="shared" si="6"/>
        <v>4556</v>
      </c>
    </row>
    <row r="72" spans="7:13" x14ac:dyDescent="0.2">
      <c r="G72" s="128">
        <v>69</v>
      </c>
      <c r="H72" s="129">
        <f>CHOOSE(PARAM!$B$51,$H$3,$H$3,0,0)</f>
        <v>67</v>
      </c>
      <c r="I72" s="130">
        <f>H72*(1-PARAM!$C$27)*$C$28</f>
        <v>56.078999999999994</v>
      </c>
      <c r="J72" s="131">
        <f t="shared" si="5"/>
        <v>1829.9387300873984</v>
      </c>
      <c r="K72" s="132">
        <f>PARAM!$C$26+MAX(0,($C$25-CHOOSE(PARAM!$B$44,MAX(0,L71*IF(L71&gt;0,$K$1,1)),0)))*RATES!$L72/12+$C$26/CHOOSE(PARAM!$B$51,1,3,6,12)*RATES!$N72/100</f>
        <v>7.7697785230199745</v>
      </c>
      <c r="L72" s="133">
        <f>IF($G72=PARAM!$B$56,ReviewValue,J72+$I72-K72)</f>
        <v>1878.2479515643784</v>
      </c>
      <c r="M72" s="235">
        <f t="shared" si="6"/>
        <v>4623</v>
      </c>
    </row>
    <row r="73" spans="7:13" x14ac:dyDescent="0.2">
      <c r="G73" s="128">
        <v>70</v>
      </c>
      <c r="H73" s="129">
        <f>CHOOSE(PARAM!$B$51,$H$3,0,0,0)</f>
        <v>67</v>
      </c>
      <c r="I73" s="130">
        <f>H73*(1-PARAM!$C$27)*$C$28</f>
        <v>56.078999999999994</v>
      </c>
      <c r="J73" s="131">
        <f t="shared" si="5"/>
        <v>1889.6018083391268</v>
      </c>
      <c r="K73" s="132">
        <f>PARAM!$C$26+MAX(0,($C$25-CHOOSE(PARAM!$B$44,MAX(0,L72*IF(L72&gt;0,$K$1,1)),0)))*RATES!$L73/12+$C$26/CHOOSE(PARAM!$B$51,1,3,6,12)*RATES!$N73/100</f>
        <v>7.7663478960205001</v>
      </c>
      <c r="L73" s="133">
        <f>IF($G73=PARAM!$B$56,ReviewValue,J73+$I73-K73)</f>
        <v>1937.9144604431062</v>
      </c>
      <c r="M73" s="235">
        <f t="shared" si="6"/>
        <v>4690</v>
      </c>
    </row>
    <row r="74" spans="7:13" x14ac:dyDescent="0.2">
      <c r="G74" s="128">
        <v>71</v>
      </c>
      <c r="H74" s="129">
        <f>CHOOSE(PARAM!$B$51,$H$3,0,0,0)</f>
        <v>67</v>
      </c>
      <c r="I74" s="130">
        <f>H74*(1-PARAM!$C$27)*$C$28</f>
        <v>56.078999999999994</v>
      </c>
      <c r="J74" s="131">
        <f t="shared" si="5"/>
        <v>1949.6289964324887</v>
      </c>
      <c r="K74" s="132">
        <f>PARAM!$C$26+MAX(0,($C$25-CHOOSE(PARAM!$B$44,MAX(0,L73*IF(L73&gt;0,$K$1,1)),0)))*RATES!$L74/12+$C$26/CHOOSE(PARAM!$B$51,1,3,6,12)*RATES!$N74/100</f>
        <v>7.7628963327051324</v>
      </c>
      <c r="L74" s="133">
        <f>IF($G74=PARAM!$B$56,ReviewValue,J74+$I74-K74)</f>
        <v>1997.9451000997835</v>
      </c>
      <c r="M74" s="235">
        <f t="shared" si="6"/>
        <v>4757</v>
      </c>
    </row>
    <row r="75" spans="7:13" x14ac:dyDescent="0.2">
      <c r="G75" s="128">
        <v>72</v>
      </c>
      <c r="H75" s="129">
        <f>H63</f>
        <v>67</v>
      </c>
      <c r="I75" s="130">
        <f>H75*(1-PARAM!$C$27)*$C$28</f>
        <v>56.078999999999994</v>
      </c>
      <c r="J75" s="131">
        <f t="shared" si="5"/>
        <v>2010.0225164448671</v>
      </c>
      <c r="K75" s="132">
        <f>PARAM!$C$26+MAX(0,($C$25-CHOOSE(PARAM!$B$44,MAX(0,L74*IF(L74&gt;0,$K$1,1)),0)))*RATES!$L75/12+$C$26/CHOOSE(PARAM!$B$51,1,3,6,12)*RATES!$N75/100</f>
        <v>7.759423705304421</v>
      </c>
      <c r="L75" s="133">
        <f>IF($G75=PARAM!$B$56,ReviewValue,J75+$I75-K75)</f>
        <v>2058.3420927395628</v>
      </c>
      <c r="M75" s="235">
        <f t="shared" si="6"/>
        <v>4824</v>
      </c>
    </row>
    <row r="76" spans="7:13" x14ac:dyDescent="0.2">
      <c r="G76" s="128">
        <v>73</v>
      </c>
      <c r="H76" s="129">
        <f>H64</f>
        <v>67</v>
      </c>
      <c r="I76" s="130">
        <f>H76*(1-PARAM!$C$27)*$C$28</f>
        <v>56.078999999999994</v>
      </c>
      <c r="J76" s="131">
        <f t="shared" si="5"/>
        <v>2070.7846040144645</v>
      </c>
      <c r="K76" s="132">
        <f>PARAM!$C$26+MAX(0,($C$25-CHOOSE(PARAM!$B$44,MAX(0,L75*IF(L75&gt;0,$K$1,1)),0)))*RATES!$L76/12+$C$26/CHOOSE(PARAM!$B$51,1,3,6,12)*RATES!$N76/100</f>
        <v>7.7559298852691683</v>
      </c>
      <c r="L76" s="133">
        <f>IF($G76=PARAM!$B$56,ReviewValue,J76+$I76-K76)</f>
        <v>2119.1076741291954</v>
      </c>
      <c r="M76" s="235">
        <f t="shared" si="6"/>
        <v>4891</v>
      </c>
    </row>
    <row r="77" spans="7:13" x14ac:dyDescent="0.2">
      <c r="G77" s="128">
        <v>74</v>
      </c>
      <c r="H77" s="129">
        <f>H65</f>
        <v>67</v>
      </c>
      <c r="I77" s="130">
        <f>H77*(1-PARAM!$C$27)*$C$28</f>
        <v>56.078999999999994</v>
      </c>
      <c r="J77" s="131">
        <f t="shared" si="5"/>
        <v>2131.9175084230615</v>
      </c>
      <c r="K77" s="132">
        <f>PARAM!$C$26+MAX(0,($C$25-CHOOSE(PARAM!$B$44,MAX(0,L76*IF(L76&gt;0,$K$1,1)),0)))*RATES!$L77/12+$C$26/CHOOSE(PARAM!$B$51,1,3,6,12)*RATES!$N77/100</f>
        <v>7.7524147432656747</v>
      </c>
      <c r="L77" s="133">
        <f>IF($G77=PARAM!$B$56,ReviewValue,J77+$I77-K77)</f>
        <v>2180.2440936797962</v>
      </c>
      <c r="M77" s="235">
        <f t="shared" si="6"/>
        <v>4958</v>
      </c>
    </row>
    <row r="78" spans="7:13" x14ac:dyDescent="0.2">
      <c r="G78" s="128">
        <v>75</v>
      </c>
      <c r="H78" s="129">
        <f>H66</f>
        <v>67</v>
      </c>
      <c r="I78" s="130">
        <f>H78*(1-PARAM!$C$27)*$C$28</f>
        <v>56.078999999999994</v>
      </c>
      <c r="J78" s="131">
        <f t="shared" si="5"/>
        <v>2193.423492679281</v>
      </c>
      <c r="K78" s="132">
        <f>PARAM!$C$26+MAX(0,($C$25-CHOOSE(PARAM!$B$44,MAX(0,L77*IF(L77&gt;0,$K$1,1)),0)))*RATES!$L78/12+$C$26/CHOOSE(PARAM!$B$51,1,3,6,12)*RATES!$N78/100</f>
        <v>7.7488781491709418</v>
      </c>
      <c r="L78" s="133">
        <f>IF($G78=PARAM!$B$56,ReviewValue,J78+$I78-K78)</f>
        <v>2241.7536145301101</v>
      </c>
      <c r="M78" s="235">
        <f t="shared" si="6"/>
        <v>5025</v>
      </c>
    </row>
    <row r="79" spans="7:13" x14ac:dyDescent="0.2">
      <c r="G79" s="128">
        <v>76</v>
      </c>
      <c r="H79" s="129">
        <f t="shared" ref="H79:H142" si="7">H67</f>
        <v>67</v>
      </c>
      <c r="I79" s="130">
        <f>H79*(1-PARAM!$C$27)*$C$28</f>
        <v>56.078999999999994</v>
      </c>
      <c r="J79" s="131">
        <f t="shared" si="5"/>
        <v>2255.304833602358</v>
      </c>
      <c r="K79" s="132">
        <f>PARAM!$C$26+MAX(0,($C$25-CHOOSE(PARAM!$B$44,MAX(0,L78*IF(L78&gt;0,$K$1,1)),0)))*RATES!$L79/12+$C$26/CHOOSE(PARAM!$B$51,1,3,6,12)*RATES!$N79/100</f>
        <v>7.7453199720678647</v>
      </c>
      <c r="L79" s="133">
        <f>IF($G79=PARAM!$B$56,ReviewValue,J79+$I79-K79)</f>
        <v>2303.6385136302902</v>
      </c>
      <c r="M79" s="235">
        <f t="shared" si="6"/>
        <v>5092</v>
      </c>
    </row>
    <row r="80" spans="7:13" x14ac:dyDescent="0.2">
      <c r="G80" s="128">
        <v>77</v>
      </c>
      <c r="H80" s="129">
        <f t="shared" si="7"/>
        <v>67</v>
      </c>
      <c r="I80" s="130">
        <f>H80*(1-PARAM!$C$27)*$C$28</f>
        <v>56.078999999999994</v>
      </c>
      <c r="J80" s="131">
        <f t="shared" si="5"/>
        <v>2317.5638219064249</v>
      </c>
      <c r="K80" s="132">
        <f>PARAM!$C$26+MAX(0,($C$25-CHOOSE(PARAM!$B$44,MAX(0,L79*IF(L79&gt;0,$K$1,1)),0)))*RATES!$L80/12+$C$26/CHOOSE(PARAM!$B$51,1,3,6,12)*RATES!$N80/100</f>
        <v>7.7417400802403797</v>
      </c>
      <c r="L80" s="133">
        <f>IF($G80=PARAM!$B$56,ReviewValue,J80+$I80-K80)</f>
        <v>2365.9010818261845</v>
      </c>
      <c r="M80" s="235">
        <f t="shared" si="6"/>
        <v>5159</v>
      </c>
    </row>
    <row r="81" spans="7:13" x14ac:dyDescent="0.2">
      <c r="G81" s="128">
        <v>78</v>
      </c>
      <c r="H81" s="129">
        <f>H69</f>
        <v>67</v>
      </c>
      <c r="I81" s="130">
        <f>H81*(1-PARAM!$C$27)*$C$28</f>
        <v>56.078999999999994</v>
      </c>
      <c r="J81" s="131">
        <f t="shared" si="5"/>
        <v>2380.2027622853079</v>
      </c>
      <c r="K81" s="132">
        <f>PARAM!$C$26+MAX(0,($C$25-CHOOSE(PARAM!$B$44,MAX(0,L80*IF(L80&gt;0,$K$1,1)),0)))*RATES!$L81/12+$C$26/CHOOSE(PARAM!$B$51,1,3,6,12)*RATES!$N81/100</f>
        <v>7.9762373273571683</v>
      </c>
      <c r="L81" s="133">
        <f>IF($G81=PARAM!$B$56,ReviewValue,J81+$I81-K81)</f>
        <v>2428.3055249579511</v>
      </c>
      <c r="M81" s="235">
        <f t="shared" si="6"/>
        <v>5226</v>
      </c>
    </row>
    <row r="82" spans="7:13" x14ac:dyDescent="0.2">
      <c r="G82" s="128">
        <v>79</v>
      </c>
      <c r="H82" s="129">
        <f t="shared" si="7"/>
        <v>67</v>
      </c>
      <c r="I82" s="130">
        <f>H82*(1-PARAM!$C$27)*$C$28</f>
        <v>56.078999999999994</v>
      </c>
      <c r="J82" s="131">
        <f t="shared" si="5"/>
        <v>2442.9844352225623</v>
      </c>
      <c r="K82" s="132">
        <f>PARAM!$C$26+MAX(0,($C$25-CHOOSE(PARAM!$B$44,MAX(0,L81*IF(L81&gt;0,$K$1,1)),0)))*RATES!$L82/12+$C$26/CHOOSE(PARAM!$B$51,1,3,6,12)*RATES!$N82/100</f>
        <v>7.9723134727985894</v>
      </c>
      <c r="L82" s="133">
        <f>IF($G82=PARAM!$B$56,ReviewValue,J82+$I82-K82)</f>
        <v>2491.0911217497637</v>
      </c>
      <c r="M82" s="235">
        <f t="shared" si="6"/>
        <v>5293</v>
      </c>
    </row>
    <row r="83" spans="7:13" x14ac:dyDescent="0.2">
      <c r="G83" s="128">
        <v>80</v>
      </c>
      <c r="H83" s="129">
        <f t="shared" si="7"/>
        <v>67</v>
      </c>
      <c r="I83" s="130">
        <f>H83*(1-PARAM!$C$27)*$C$28</f>
        <v>56.078999999999994</v>
      </c>
      <c r="J83" s="131">
        <f t="shared" si="5"/>
        <v>2506.1495658628733</v>
      </c>
      <c r="K83" s="132">
        <f>PARAM!$C$26+MAX(0,($C$25-CHOOSE(PARAM!$B$44,MAX(0,L82*IF(L82&gt;0,$K$1,1)),0)))*RATES!$L83/12+$C$26/CHOOSE(PARAM!$B$51,1,3,6,12)*RATES!$N83/100</f>
        <v>7.9683656521335706</v>
      </c>
      <c r="L83" s="133">
        <f>IF($G83=PARAM!$B$56,ReviewValue,J83+$I83-K83)</f>
        <v>2554.2602002107396</v>
      </c>
      <c r="M83" s="235">
        <f t="shared" si="6"/>
        <v>5360</v>
      </c>
    </row>
    <row r="84" spans="7:13" x14ac:dyDescent="0.2">
      <c r="G84" s="128">
        <v>81</v>
      </c>
      <c r="H84" s="129">
        <f>H72</f>
        <v>67</v>
      </c>
      <c r="I84" s="130">
        <f>H84*(1-PARAM!$C$27)*$C$28</f>
        <v>56.078999999999994</v>
      </c>
      <c r="J84" s="131">
        <f t="shared" si="5"/>
        <v>2569.7004962879846</v>
      </c>
      <c r="K84" s="132">
        <f>PARAM!$C$26+MAX(0,($C$25-CHOOSE(PARAM!$B$44,MAX(0,L83*IF(L83&gt;0,$K$1,1)),0)))*RATES!$L84/12+$C$26/CHOOSE(PARAM!$B$51,1,3,6,12)*RATES!$N84/100</f>
        <v>7.9643937189820004</v>
      </c>
      <c r="L84" s="133">
        <f>IF($G84=PARAM!$B$56,ReviewValue,J84+$I84-K84)</f>
        <v>2617.8151025690026</v>
      </c>
      <c r="M84" s="235">
        <f t="shared" si="6"/>
        <v>5427</v>
      </c>
    </row>
    <row r="85" spans="7:13" x14ac:dyDescent="0.2">
      <c r="G85" s="128">
        <v>82</v>
      </c>
      <c r="H85" s="129">
        <f t="shared" si="7"/>
        <v>67</v>
      </c>
      <c r="I85" s="130">
        <f>H85*(1-PARAM!$C$27)*$C$28</f>
        <v>56.078999999999994</v>
      </c>
      <c r="J85" s="131">
        <f t="shared" si="5"/>
        <v>2633.6395828846003</v>
      </c>
      <c r="K85" s="132">
        <f>PARAM!$C$26+MAX(0,($C$25-CHOOSE(PARAM!$B$44,MAX(0,L84*IF(L84&gt;0,$K$1,1)),0)))*RATES!$L85/12+$C$26/CHOOSE(PARAM!$B$51,1,3,6,12)*RATES!$N85/100</f>
        <v>7.9603975260697126</v>
      </c>
      <c r="L85" s="133">
        <f>IF($G85=PARAM!$B$56,ReviewValue,J85+$I85-K85)</f>
        <v>2681.7581853585307</v>
      </c>
      <c r="M85" s="235">
        <f t="shared" si="6"/>
        <v>5494</v>
      </c>
    </row>
    <row r="86" spans="7:13" x14ac:dyDescent="0.2">
      <c r="G86" s="128">
        <v>83</v>
      </c>
      <c r="H86" s="129">
        <f t="shared" si="7"/>
        <v>67</v>
      </c>
      <c r="I86" s="130">
        <f>H86*(1-PARAM!$C$27)*$C$28</f>
        <v>56.078999999999994</v>
      </c>
      <c r="J86" s="131">
        <f t="shared" si="5"/>
        <v>2697.9691964317544</v>
      </c>
      <c r="K86" s="132">
        <f>PARAM!$C$26+MAX(0,($C$25-CHOOSE(PARAM!$B$44,MAX(0,L85*IF(L85&gt;0,$K$1,1)),0)))*RATES!$L86/12+$C$26/CHOOSE(PARAM!$B$51,1,3,6,12)*RATES!$N86/100</f>
        <v>7.9563769252230152</v>
      </c>
      <c r="L86" s="133">
        <f>IF($G86=PARAM!$B$56,ReviewValue,J86+$I86-K86)</f>
        <v>2746.0918195065315</v>
      </c>
      <c r="M86" s="235">
        <f t="shared" si="6"/>
        <v>5561</v>
      </c>
    </row>
    <row r="87" spans="7:13" x14ac:dyDescent="0.2">
      <c r="G87" s="128">
        <v>84</v>
      </c>
      <c r="H87" s="129">
        <f>H75</f>
        <v>67</v>
      </c>
      <c r="I87" s="130">
        <f>H87*(1-PARAM!$C$27)*$C$28</f>
        <v>56.078999999999994</v>
      </c>
      <c r="J87" s="131">
        <f t="shared" si="5"/>
        <v>2762.6917221887184</v>
      </c>
      <c r="K87" s="132">
        <f>PARAM!$C$26+MAX(0,($C$25-CHOOSE(PARAM!$B$44,MAX(0,L86*IF(L86&gt;0,$K$1,1)),0)))*RATES!$L87/12+$C$26/CHOOSE(PARAM!$B$51,1,3,6,12)*RATES!$N87/100</f>
        <v>7.952331767363205</v>
      </c>
      <c r="L87" s="133">
        <f>IF($G87=PARAM!$B$56,ReviewValue,J87+$I87-K87)</f>
        <v>2810.8183904213552</v>
      </c>
      <c r="M87" s="235">
        <f t="shared" si="6"/>
        <v>5628</v>
      </c>
    </row>
    <row r="88" spans="7:13" x14ac:dyDescent="0.2">
      <c r="G88" s="128">
        <v>85</v>
      </c>
      <c r="H88" s="129">
        <f t="shared" si="7"/>
        <v>67</v>
      </c>
      <c r="I88" s="130">
        <f>H88*(1-PARAM!$C$27)*$C$28</f>
        <v>56.078999999999994</v>
      </c>
      <c r="J88" s="131">
        <f t="shared" si="5"/>
        <v>2827.8095599834423</v>
      </c>
      <c r="K88" s="132">
        <f>PARAM!$C$26+MAX(0,($C$25-CHOOSE(PARAM!$B$44,MAX(0,L87*IF(L87&gt;0,$K$1,1)),0)))*RATES!$L88/12+$C$26/CHOOSE(PARAM!$B$51,1,3,6,12)*RATES!$N88/100</f>
        <v>7.9482619025010344</v>
      </c>
      <c r="L88" s="133">
        <f>IF($G88=PARAM!$B$56,ReviewValue,J88+$I88-K88)</f>
        <v>2875.9402980809414</v>
      </c>
      <c r="M88" s="235">
        <f t="shared" si="6"/>
        <v>5695</v>
      </c>
    </row>
    <row r="89" spans="7:13" x14ac:dyDescent="0.2">
      <c r="G89" s="128">
        <v>86</v>
      </c>
      <c r="H89" s="129">
        <f t="shared" si="7"/>
        <v>67</v>
      </c>
      <c r="I89" s="130">
        <f>H89*(1-PARAM!$C$27)*$C$28</f>
        <v>56.078999999999994</v>
      </c>
      <c r="J89" s="131">
        <f t="shared" si="5"/>
        <v>2893.3251243015379</v>
      </c>
      <c r="K89" s="132">
        <f>PARAM!$C$26+MAX(0,($C$25-CHOOSE(PARAM!$B$44,MAX(0,L88*IF(L88&gt;0,$K$1,1)),0)))*RATES!$L89/12+$C$26/CHOOSE(PARAM!$B$51,1,3,6,12)*RATES!$N89/100</f>
        <v>7.9441671797311546</v>
      </c>
      <c r="L89" s="133">
        <f>IF($G89=PARAM!$B$56,ReviewValue,J89+$I89-K89)</f>
        <v>2941.4599571218068</v>
      </c>
      <c r="M89" s="235">
        <f t="shared" si="6"/>
        <v>5762</v>
      </c>
    </row>
    <row r="90" spans="7:13" x14ac:dyDescent="0.2">
      <c r="G90" s="128">
        <v>87</v>
      </c>
      <c r="H90" s="129">
        <f>H78</f>
        <v>67</v>
      </c>
      <c r="I90" s="130">
        <f>H90*(1-PARAM!$C$27)*$C$28</f>
        <v>56.078999999999994</v>
      </c>
      <c r="J90" s="131">
        <f t="shared" si="5"/>
        <v>2959.240844375805</v>
      </c>
      <c r="K90" s="132">
        <f>PARAM!$C$26+MAX(0,($C$25-CHOOSE(PARAM!$B$44,MAX(0,L89*IF(L89&gt;0,$K$1,1)),0)))*RATES!$L90/12+$C$26/CHOOSE(PARAM!$B$51,1,3,6,12)*RATES!$N90/100</f>
        <v>7.9400474472265117</v>
      </c>
      <c r="L90" s="133">
        <f>IF($G90=PARAM!$B$56,ReviewValue,J90+$I90-K90)</f>
        <v>3007.3797969285788</v>
      </c>
      <c r="M90" s="235">
        <f t="shared" si="6"/>
        <v>5829</v>
      </c>
    </row>
    <row r="91" spans="7:13" x14ac:dyDescent="0.2">
      <c r="G91" s="128">
        <v>88</v>
      </c>
      <c r="H91" s="129">
        <f t="shared" si="7"/>
        <v>67</v>
      </c>
      <c r="I91" s="130">
        <f>H91*(1-PARAM!$C$27)*$C$28</f>
        <v>56.078999999999994</v>
      </c>
      <c r="J91" s="131">
        <f t="shared" si="5"/>
        <v>3025.5591642763029</v>
      </c>
      <c r="K91" s="132">
        <f>PARAM!$C$26+MAX(0,($C$25-CHOOSE(PARAM!$B$44,MAX(0,L90*IF(L90&gt;0,$K$1,1)),0)))*RATES!$L91/12+$C$26/CHOOSE(PARAM!$B$51,1,3,6,12)*RATES!$N91/100</f>
        <v>7.9359025522327311</v>
      </c>
      <c r="L91" s="133">
        <f>IF($G91=PARAM!$B$56,ReviewValue,J91+$I91-K91)</f>
        <v>3073.7022617240705</v>
      </c>
      <c r="M91" s="235">
        <f t="shared" si="6"/>
        <v>5896</v>
      </c>
    </row>
    <row r="92" spans="7:13" x14ac:dyDescent="0.2">
      <c r="G92" s="128">
        <v>89</v>
      </c>
      <c r="H92" s="129">
        <f t="shared" si="7"/>
        <v>67</v>
      </c>
      <c r="I92" s="130">
        <f>H92*(1-PARAM!$C$27)*$C$28</f>
        <v>56.078999999999994</v>
      </c>
      <c r="J92" s="131">
        <f t="shared" si="5"/>
        <v>3092.2825430009748</v>
      </c>
      <c r="K92" s="132">
        <f>PARAM!$C$26+MAX(0,($C$25-CHOOSE(PARAM!$B$44,MAX(0,L91*IF(L91&gt;0,$K$1,1)),0)))*RATES!$L92/12+$C$26/CHOOSE(PARAM!$B$51,1,3,6,12)*RATES!$N92/100</f>
        <v>7.931732341062439</v>
      </c>
      <c r="L92" s="133">
        <f>IF($G92=PARAM!$B$56,ReviewValue,J92+$I92-K92)</f>
        <v>3140.4298106599126</v>
      </c>
      <c r="M92" s="235">
        <f t="shared" si="6"/>
        <v>5963</v>
      </c>
    </row>
    <row r="93" spans="7:13" x14ac:dyDescent="0.2">
      <c r="G93" s="128">
        <v>90</v>
      </c>
      <c r="H93" s="129">
        <f>H81</f>
        <v>67</v>
      </c>
      <c r="I93" s="130">
        <f>H93*(1-PARAM!$C$27)*$C$28</f>
        <v>56.078999999999994</v>
      </c>
      <c r="J93" s="131">
        <f t="shared" si="5"/>
        <v>3159.4134545668235</v>
      </c>
      <c r="K93" s="132">
        <f>PARAM!$C$26+MAX(0,($C$25-CHOOSE(PARAM!$B$44,MAX(0,L92*IF(L92&gt;0,$K$1,1)),0)))*RATES!$L93/12+$C$26/CHOOSE(PARAM!$B$51,1,3,6,12)*RATES!$N93/100</f>
        <v>8.2398072360591286</v>
      </c>
      <c r="L93" s="133">
        <f>IF($G93=PARAM!$B$56,ReviewValue,J93+$I93-K93)</f>
        <v>3207.2526473307644</v>
      </c>
      <c r="M93" s="235">
        <f t="shared" si="6"/>
        <v>6030</v>
      </c>
    </row>
    <row r="94" spans="7:13" x14ac:dyDescent="0.2">
      <c r="G94" s="128">
        <v>91</v>
      </c>
      <c r="H94" s="129">
        <f t="shared" si="7"/>
        <v>67</v>
      </c>
      <c r="I94" s="130">
        <f>H94*(1-PARAM!$C$27)*$C$28</f>
        <v>56.078999999999994</v>
      </c>
      <c r="J94" s="131">
        <f t="shared" si="5"/>
        <v>3226.6402298743242</v>
      </c>
      <c r="K94" s="132">
        <f>PARAM!$C$26+MAX(0,($C$25-CHOOSE(PARAM!$B$44,MAX(0,L93*IF(L93&gt;0,$K$1,1)),0)))*RATES!$L94/12+$C$26/CHOOSE(PARAM!$B$51,1,3,6,12)*RATES!$N94/100</f>
        <v>8.2351573841003596</v>
      </c>
      <c r="L94" s="133">
        <f>IF($G94=PARAM!$B$56,ReviewValue,J94+$I94-K94)</f>
        <v>3274.4840724902242</v>
      </c>
      <c r="M94" s="235">
        <f t="shared" si="6"/>
        <v>6097</v>
      </c>
    </row>
    <row r="95" spans="7:13" x14ac:dyDescent="0.2">
      <c r="G95" s="128">
        <v>92</v>
      </c>
      <c r="H95" s="129">
        <f t="shared" si="7"/>
        <v>67</v>
      </c>
      <c r="I95" s="130">
        <f>H95*(1-PARAM!$C$27)*$C$28</f>
        <v>56.078999999999994</v>
      </c>
      <c r="J95" s="131">
        <f t="shared" si="5"/>
        <v>3294.2780635547606</v>
      </c>
      <c r="K95" s="132">
        <f>PARAM!$C$26+MAX(0,($C$25-CHOOSE(PARAM!$B$44,MAX(0,L94*IF(L94&gt;0,$K$1,1)),0)))*RATES!$L95/12+$C$26/CHOOSE(PARAM!$B$51,1,3,6,12)*RATES!$N95/100</f>
        <v>8.2304791006041285</v>
      </c>
      <c r="L95" s="133">
        <f>IF($G95=PARAM!$B$56,ReviewValue,J95+$I95-K95)</f>
        <v>3342.1265844541567</v>
      </c>
      <c r="M95" s="235">
        <f t="shared" si="6"/>
        <v>6164</v>
      </c>
    </row>
    <row r="96" spans="7:13" x14ac:dyDescent="0.2">
      <c r="G96" s="128">
        <v>93</v>
      </c>
      <c r="H96" s="129">
        <f>H84</f>
        <v>67</v>
      </c>
      <c r="I96" s="130">
        <f>H96*(1-PARAM!$C$27)*$C$28</f>
        <v>56.078999999999994</v>
      </c>
      <c r="J96" s="131">
        <f t="shared" si="5"/>
        <v>3362.3294690261146</v>
      </c>
      <c r="K96" s="132">
        <f>PARAM!$C$26+MAX(0,($C$25-CHOOSE(PARAM!$B$44,MAX(0,L95*IF(L95&gt;0,$K$1,1)),0)))*RATES!$L96/12+$C$26/CHOOSE(PARAM!$B$51,1,3,6,12)*RATES!$N96/100</f>
        <v>8.2257722117256939</v>
      </c>
      <c r="L96" s="133">
        <f>IF($G96=PARAM!$B$56,ReviewValue,J96+$I96-K96)</f>
        <v>3410.1826968143891</v>
      </c>
      <c r="M96" s="235">
        <f t="shared" si="6"/>
        <v>6231</v>
      </c>
    </row>
    <row r="97" spans="7:13" x14ac:dyDescent="0.2">
      <c r="G97" s="128">
        <v>94</v>
      </c>
      <c r="H97" s="129">
        <f t="shared" si="7"/>
        <v>67</v>
      </c>
      <c r="I97" s="130">
        <f>H97*(1-PARAM!$C$27)*$C$28</f>
        <v>56.078999999999994</v>
      </c>
      <c r="J97" s="131">
        <f t="shared" si="5"/>
        <v>3430.7969750746729</v>
      </c>
      <c r="K97" s="132">
        <f>PARAM!$C$26+MAX(0,($C$25-CHOOSE(PARAM!$B$44,MAX(0,L96*IF(L96&gt;0,$K$1,1)),0)))*RATES!$L97/12+$C$26/CHOOSE(PARAM!$B$51,1,3,6,12)*RATES!$N97/100</f>
        <v>8.2210365425573357</v>
      </c>
      <c r="L97" s="133">
        <f>IF($G97=PARAM!$B$56,ReviewValue,J97+$I97-K97)</f>
        <v>3478.6549385321159</v>
      </c>
      <c r="M97" s="235">
        <f t="shared" si="6"/>
        <v>6298</v>
      </c>
    </row>
    <row r="98" spans="7:13" x14ac:dyDescent="0.2">
      <c r="G98" s="128">
        <v>95</v>
      </c>
      <c r="H98" s="129">
        <f t="shared" si="7"/>
        <v>67</v>
      </c>
      <c r="I98" s="130">
        <f>H98*(1-PARAM!$C$27)*$C$28</f>
        <v>56.078999999999994</v>
      </c>
      <c r="J98" s="131">
        <f t="shared" si="5"/>
        <v>3499.683125948995</v>
      </c>
      <c r="K98" s="132">
        <f>PARAM!$C$26+MAX(0,($C$25-CHOOSE(PARAM!$B$44,MAX(0,L97*IF(L97&gt;0,$K$1,1)),0)))*RATES!$L98/12+$C$26/CHOOSE(PARAM!$B$51,1,3,6,12)*RATES!$N98/100</f>
        <v>8.2162719171218619</v>
      </c>
      <c r="L98" s="133">
        <f>IF($G98=PARAM!$B$56,ReviewValue,J98+$I98-K98)</f>
        <v>3547.5458540318732</v>
      </c>
      <c r="M98" s="235">
        <f t="shared" si="6"/>
        <v>6365</v>
      </c>
    </row>
    <row r="99" spans="7:13" x14ac:dyDescent="0.2">
      <c r="G99" s="128">
        <v>96</v>
      </c>
      <c r="H99" s="129">
        <f>H87</f>
        <v>67</v>
      </c>
      <c r="I99" s="130">
        <f>H99*(1-PARAM!$C$27)*$C$28</f>
        <v>56.078999999999994</v>
      </c>
      <c r="J99" s="131">
        <f t="shared" si="5"/>
        <v>3568.9904814544575</v>
      </c>
      <c r="K99" s="132">
        <f>PARAM!$C$26+MAX(0,($C$25-CHOOSE(PARAM!$B$44,MAX(0,L98*IF(L98&gt;0,$K$1,1)),0)))*RATES!$L99/12+$C$26/CHOOSE(PARAM!$B$51,1,3,6,12)*RATES!$N99/100</f>
        <v>8.2114781583660665</v>
      </c>
      <c r="L99" s="133">
        <f>IF($G99=PARAM!$B$56,ReviewValue,J99+$I99-K99)</f>
        <v>3616.8580032960917</v>
      </c>
      <c r="M99" s="235">
        <f t="shared" si="6"/>
        <v>6432</v>
      </c>
    </row>
    <row r="100" spans="7:13" x14ac:dyDescent="0.2">
      <c r="G100" s="128">
        <v>97</v>
      </c>
      <c r="H100" s="129">
        <f t="shared" si="7"/>
        <v>67</v>
      </c>
      <c r="I100" s="130">
        <f>H100*(1-PARAM!$C$27)*$C$28</f>
        <v>56.078999999999994</v>
      </c>
      <c r="J100" s="131">
        <f t="shared" ref="J100:J122" si="8">IF(L99&lt;0,L99,L99*$K$1)</f>
        <v>3638.721617048378</v>
      </c>
      <c r="K100" s="132">
        <f>PARAM!$C$26+MAX(0,($C$25-CHOOSE(PARAM!$B$44,MAX(0,L99*IF(L99&gt;0,$K$1,1)),0)))*RATES!$L100/12+$C$26/CHOOSE(PARAM!$B$51,1,3,6,12)*RATES!$N100/100</f>
        <v>8.2066550881541538</v>
      </c>
      <c r="L100" s="133">
        <f>IF($G100=PARAM!$B$56,ReviewValue,J100+$I100-K100)</f>
        <v>3686.5939619602241</v>
      </c>
      <c r="M100" s="235">
        <f t="shared" si="6"/>
        <v>6499</v>
      </c>
    </row>
    <row r="101" spans="7:13" x14ac:dyDescent="0.2">
      <c r="G101" s="128">
        <v>98</v>
      </c>
      <c r="H101" s="129">
        <f t="shared" si="7"/>
        <v>67</v>
      </c>
      <c r="I101" s="130">
        <f>H101*(1-PARAM!$C$27)*$C$28</f>
        <v>56.078999999999994</v>
      </c>
      <c r="J101" s="131">
        <f t="shared" si="8"/>
        <v>3708.8791239357165</v>
      </c>
      <c r="K101" s="132">
        <f>PARAM!$C$26+MAX(0,($C$25-CHOOSE(PARAM!$B$44,MAX(0,L100*IF(L100&gt;0,$K$1,1)),0)))*RATES!$L101/12+$C$26/CHOOSE(PARAM!$B$51,1,3,6,12)*RATES!$N101/100</f>
        <v>8.2018025272611137</v>
      </c>
      <c r="L101" s="133">
        <f>IF($G101=PARAM!$B$56,ReviewValue,J101+$I101-K101)</f>
        <v>3756.7563214084557</v>
      </c>
      <c r="M101" s="235">
        <f t="shared" si="6"/>
        <v>6566</v>
      </c>
    </row>
    <row r="102" spans="7:13" x14ac:dyDescent="0.2">
      <c r="G102" s="128">
        <v>99</v>
      </c>
      <c r="H102" s="129">
        <f>H90</f>
        <v>67</v>
      </c>
      <c r="I102" s="130">
        <f>H102*(1-PARAM!$C$27)*$C$28</f>
        <v>56.078999999999994</v>
      </c>
      <c r="J102" s="131">
        <f t="shared" si="8"/>
        <v>3779.465609165366</v>
      </c>
      <c r="K102" s="132">
        <f>PARAM!$C$26+MAX(0,($C$25-CHOOSE(PARAM!$B$44,MAX(0,L101*IF(L101&gt;0,$K$1,1)),0)))*RATES!$L102/12+$C$26/CHOOSE(PARAM!$B$51,1,3,6,12)*RATES!$N102/100</f>
        <v>8.1969202953660627</v>
      </c>
      <c r="L102" s="133">
        <f>IF($G102=PARAM!$B$56,ReviewValue,J102+$I102-K102)</f>
        <v>3827.3476888700002</v>
      </c>
      <c r="M102" s="235">
        <f t="shared" si="6"/>
        <v>6633</v>
      </c>
    </row>
    <row r="103" spans="7:13" x14ac:dyDescent="0.2">
      <c r="G103" s="128">
        <v>100</v>
      </c>
      <c r="H103" s="129">
        <f t="shared" si="7"/>
        <v>67</v>
      </c>
      <c r="I103" s="130">
        <f>H103*(1-PARAM!$C$27)*$C$28</f>
        <v>56.078999999999994</v>
      </c>
      <c r="J103" s="131">
        <f t="shared" si="8"/>
        <v>3850.4836957270295</v>
      </c>
      <c r="K103" s="132">
        <f>PARAM!$C$26+MAX(0,($C$25-CHOOSE(PARAM!$B$44,MAX(0,L102*IF(L102&gt;0,$K$1,1)),0)))*RATES!$L103/12+$C$26/CHOOSE(PARAM!$B$51,1,3,6,12)*RATES!$N103/100</f>
        <v>8.1920082110455468</v>
      </c>
      <c r="L103" s="133">
        <f>IF($G103=PARAM!$B$56,ReviewValue,J103+$I103-K103)</f>
        <v>3898.3706875159842</v>
      </c>
      <c r="M103" s="235">
        <f t="shared" si="6"/>
        <v>6700</v>
      </c>
    </row>
    <row r="104" spans="7:13" x14ac:dyDescent="0.2">
      <c r="G104" s="128">
        <v>101</v>
      </c>
      <c r="H104" s="129">
        <f t="shared" si="7"/>
        <v>67</v>
      </c>
      <c r="I104" s="130">
        <f>H104*(1-PARAM!$C$27)*$C$28</f>
        <v>56.078999999999994</v>
      </c>
      <c r="J104" s="131">
        <f t="shared" si="8"/>
        <v>3921.9360226486906</v>
      </c>
      <c r="K104" s="132">
        <f>PARAM!$C$26+MAX(0,($C$25-CHOOSE(PARAM!$B$44,MAX(0,L103*IF(L103&gt;0,$K$1,1)),0)))*RATES!$L104/12+$C$26/CHOOSE(PARAM!$B$51,1,3,6,12)*RATES!$N104/100</f>
        <v>8.1870660917667983</v>
      </c>
      <c r="L104" s="133">
        <f>IF($G104=PARAM!$B$56,ReviewValue,J104+$I104-K104)</f>
        <v>3969.8279565569242</v>
      </c>
      <c r="M104" s="235">
        <f t="shared" si="6"/>
        <v>6767</v>
      </c>
    </row>
    <row r="105" spans="7:13" x14ac:dyDescent="0.2">
      <c r="G105" s="128">
        <v>102</v>
      </c>
      <c r="H105" s="129">
        <f>H93</f>
        <v>67</v>
      </c>
      <c r="I105" s="130">
        <f>H105*(1-PARAM!$C$27)*$C$28</f>
        <v>56.078999999999994</v>
      </c>
      <c r="J105" s="131">
        <f t="shared" si="8"/>
        <v>3993.8252450946802</v>
      </c>
      <c r="K105" s="132">
        <f>PARAM!$C$26+MAX(0,($C$25-CHOOSE(PARAM!$B$44,MAX(0,L104*IF(L104&gt;0,$K$1,1)),0)))*RATES!$L105/12+$C$26/CHOOSE(PARAM!$B$51,1,3,6,12)*RATES!$N105/100</f>
        <v>8.5654785435051615</v>
      </c>
      <c r="L105" s="133">
        <f>IF($G105=PARAM!$B$56,ReviewValue,J105+$I105-K105)</f>
        <v>4041.338766551175</v>
      </c>
      <c r="M105" s="235">
        <f t="shared" si="6"/>
        <v>6834</v>
      </c>
    </row>
    <row r="106" spans="7:13" x14ac:dyDescent="0.2">
      <c r="G106" s="128">
        <v>103</v>
      </c>
      <c r="H106" s="129">
        <f t="shared" si="7"/>
        <v>67</v>
      </c>
      <c r="I106" s="130">
        <f>H106*(1-PARAM!$C$27)*$C$28</f>
        <v>56.078999999999994</v>
      </c>
      <c r="J106" s="131">
        <f t="shared" si="8"/>
        <v>4065.768332144708</v>
      </c>
      <c r="K106" s="132">
        <f>PARAM!$C$26+MAX(0,($C$25-CHOOSE(PARAM!$B$44,MAX(0,L105*IF(L105&gt;0,$K$1,1)),0)))*RATES!$L106/12+$C$26/CHOOSE(PARAM!$B$51,1,3,6,12)*RATES!$N106/100</f>
        <v>8.559902954258785</v>
      </c>
      <c r="L106" s="133">
        <f>IF($G106=PARAM!$B$56,ReviewValue,J106+$I106-K106)</f>
        <v>4113.2874291904491</v>
      </c>
      <c r="M106" s="235">
        <f t="shared" si="6"/>
        <v>6901</v>
      </c>
    </row>
    <row r="107" spans="7:13" x14ac:dyDescent="0.2">
      <c r="G107" s="128">
        <v>104</v>
      </c>
      <c r="H107" s="129">
        <f t="shared" si="7"/>
        <v>67</v>
      </c>
      <c r="I107" s="130">
        <f>H107*(1-PARAM!$C$27)*$C$28</f>
        <v>56.078999999999994</v>
      </c>
      <c r="J107" s="131">
        <f t="shared" si="8"/>
        <v>4138.1519186235428</v>
      </c>
      <c r="K107" s="132">
        <f>PARAM!$C$26+MAX(0,($C$25-CHOOSE(PARAM!$B$44,MAX(0,L106*IF(L106&gt;0,$K$1,1)),0)))*RATES!$L107/12+$C$26/CHOOSE(PARAM!$B$51,1,3,6,12)*RATES!$N107/100</f>
        <v>8.554293226306676</v>
      </c>
      <c r="L107" s="133">
        <f>IF($G107=PARAM!$B$56,ReviewValue,J107+$I107-K107)</f>
        <v>4185.6766253972355</v>
      </c>
      <c r="M107" s="235">
        <f t="shared" si="6"/>
        <v>6968</v>
      </c>
    </row>
    <row r="108" spans="7:13" x14ac:dyDescent="0.2">
      <c r="G108" s="128">
        <v>105</v>
      </c>
      <c r="H108" s="129">
        <f>H96</f>
        <v>67</v>
      </c>
      <c r="I108" s="130">
        <f>H108*(1-PARAM!$C$27)*$C$28</f>
        <v>56.078999999999994</v>
      </c>
      <c r="J108" s="131">
        <f t="shared" si="8"/>
        <v>4210.9787016596329</v>
      </c>
      <c r="K108" s="132">
        <f>PARAM!$C$26+MAX(0,($C$25-CHOOSE(PARAM!$B$44,MAX(0,L107*IF(L107&gt;0,$K$1,1)),0)))*RATES!$L108/12+$C$26/CHOOSE(PARAM!$B$51,1,3,6,12)*RATES!$N108/100</f>
        <v>8.5486491506213795</v>
      </c>
      <c r="L108" s="133">
        <f>IF($G108=PARAM!$B$56,ReviewValue,J108+$I108-K108)</f>
        <v>4258.5090525090109</v>
      </c>
      <c r="M108" s="235">
        <f t="shared" si="6"/>
        <v>7035</v>
      </c>
    </row>
    <row r="109" spans="7:13" x14ac:dyDescent="0.2">
      <c r="G109" s="128">
        <v>106</v>
      </c>
      <c r="H109" s="129">
        <f t="shared" si="7"/>
        <v>67</v>
      </c>
      <c r="I109" s="130">
        <f>H109*(1-PARAM!$C$27)*$C$28</f>
        <v>56.078999999999994</v>
      </c>
      <c r="J109" s="131">
        <f t="shared" si="8"/>
        <v>4284.2513948956412</v>
      </c>
      <c r="K109" s="132">
        <f>PARAM!$C$26+MAX(0,($C$25-CHOOSE(PARAM!$B$44,MAX(0,L108*IF(L108&gt;0,$K$1,1)),0)))*RATES!$L109/12+$C$26/CHOOSE(PARAM!$B$51,1,3,6,12)*RATES!$N109/100</f>
        <v>8.5429705168955881</v>
      </c>
      <c r="L109" s="133">
        <f>IF($G109=PARAM!$B$56,ReviewValue,J109+$I109-K109)</f>
        <v>4331.7874243787455</v>
      </c>
      <c r="M109" s="235">
        <f t="shared" si="6"/>
        <v>7102</v>
      </c>
    </row>
    <row r="110" spans="7:13" x14ac:dyDescent="0.2">
      <c r="G110" s="128">
        <v>107</v>
      </c>
      <c r="H110" s="129">
        <f t="shared" si="7"/>
        <v>67</v>
      </c>
      <c r="I110" s="130">
        <f>H110*(1-PARAM!$C$27)*$C$28</f>
        <v>56.078999999999994</v>
      </c>
      <c r="J110" s="131">
        <f t="shared" si="8"/>
        <v>4357.9727285895606</v>
      </c>
      <c r="K110" s="132">
        <f>PARAM!$C$26+MAX(0,($C$25-CHOOSE(PARAM!$B$44,MAX(0,L109*IF(L109&gt;0,$K$1,1)),0)))*RATES!$L110/12+$C$26/CHOOSE(PARAM!$B$51,1,3,6,12)*RATES!$N110/100</f>
        <v>8.5372571135343094</v>
      </c>
      <c r="L110" s="133">
        <f>IF($G110=PARAM!$B$56,ReviewValue,J110+$I110-K110)</f>
        <v>4405.5144714760263</v>
      </c>
      <c r="M110" s="235">
        <f t="shared" si="6"/>
        <v>7169</v>
      </c>
    </row>
    <row r="111" spans="7:13" x14ac:dyDescent="0.2">
      <c r="G111" s="128">
        <v>108</v>
      </c>
      <c r="H111" s="129">
        <f>H99</f>
        <v>67</v>
      </c>
      <c r="I111" s="130">
        <f>H111*(1-PARAM!$C$27)*$C$28</f>
        <v>56.078999999999994</v>
      </c>
      <c r="J111" s="131">
        <f t="shared" si="8"/>
        <v>4432.1454497164441</v>
      </c>
      <c r="K111" s="132">
        <f>PARAM!$C$26+MAX(0,($C$25-CHOOSE(PARAM!$B$44,MAX(0,L110*IF(L110&gt;0,$K$1,1)),0)))*RATES!$L111/12+$C$26/CHOOSE(PARAM!$B$51,1,3,6,12)*RATES!$N111/100</f>
        <v>8.5315087276469761</v>
      </c>
      <c r="L111" s="133">
        <f>IF($G111=PARAM!$B$56,ReviewValue,J111+$I111-K111)</f>
        <v>4479.6929409887971</v>
      </c>
      <c r="M111" s="235">
        <f t="shared" si="6"/>
        <v>7236</v>
      </c>
    </row>
    <row r="112" spans="7:13" x14ac:dyDescent="0.2">
      <c r="G112" s="128">
        <v>109</v>
      </c>
      <c r="H112" s="129">
        <f t="shared" si="7"/>
        <v>67</v>
      </c>
      <c r="I112" s="130">
        <f>H112*(1-PARAM!$C$27)*$C$28</f>
        <v>56.078999999999994</v>
      </c>
      <c r="J112" s="131">
        <f t="shared" si="8"/>
        <v>4506.7723220707658</v>
      </c>
      <c r="K112" s="132">
        <f>PARAM!$C$26+MAX(0,($C$25-CHOOSE(PARAM!$B$44,MAX(0,L111*IF(L111&gt;0,$K$1,1)),0)))*RATES!$L112/12+$C$26/CHOOSE(PARAM!$B$51,1,3,6,12)*RATES!$N112/100</f>
        <v>8.525725145039516</v>
      </c>
      <c r="L112" s="133">
        <f>IF($G112=PARAM!$B$56,ReviewValue,J112+$I112-K112)</f>
        <v>4554.3255969257261</v>
      </c>
      <c r="M112" s="235">
        <f t="shared" si="6"/>
        <v>7303</v>
      </c>
    </row>
    <row r="113" spans="7:13" x14ac:dyDescent="0.2">
      <c r="G113" s="128">
        <v>110</v>
      </c>
      <c r="H113" s="129">
        <f t="shared" si="7"/>
        <v>67</v>
      </c>
      <c r="I113" s="130">
        <f>H113*(1-PARAM!$C$27)*$C$28</f>
        <v>56.078999999999994</v>
      </c>
      <c r="J113" s="131">
        <f t="shared" si="8"/>
        <v>4581.856126369401</v>
      </c>
      <c r="K113" s="132">
        <f>PARAM!$C$26+MAX(0,($C$25-CHOOSE(PARAM!$B$44,MAX(0,L112*IF(L112&gt;0,$K$1,1)),0)))*RATES!$L113/12+$C$26/CHOOSE(PARAM!$B$51,1,3,6,12)*RATES!$N113/100</f>
        <v>8.5199061502063724</v>
      </c>
      <c r="L113" s="133">
        <f>IF($G113=PARAM!$B$56,ReviewValue,J113+$I113-K113)</f>
        <v>4629.4152202191945</v>
      </c>
      <c r="M113" s="235">
        <f t="shared" si="6"/>
        <v>7370</v>
      </c>
    </row>
    <row r="114" spans="7:13" x14ac:dyDescent="0.2">
      <c r="G114" s="128">
        <v>111</v>
      </c>
      <c r="H114" s="129">
        <f>H102</f>
        <v>67</v>
      </c>
      <c r="I114" s="130">
        <f>H114*(1-PARAM!$C$27)*$C$28</f>
        <v>56.078999999999994</v>
      </c>
      <c r="J114" s="131">
        <f t="shared" si="8"/>
        <v>4657.3996603552432</v>
      </c>
      <c r="K114" s="132">
        <f>PARAM!$C$26+MAX(0,($C$25-CHOOSE(PARAM!$B$44,MAX(0,L113*IF(L113&gt;0,$K$1,1)),0)))*RATES!$L114/12+$C$26/CHOOSE(PARAM!$B$51,1,3,6,12)*RATES!$N114/100</f>
        <v>8.5140515263224685</v>
      </c>
      <c r="L114" s="133">
        <f>IF($G114=PARAM!$B$56,ReviewValue,J114+$I114-K114)</f>
        <v>4704.9646088289201</v>
      </c>
      <c r="M114" s="235">
        <f t="shared" si="6"/>
        <v>7437</v>
      </c>
    </row>
    <row r="115" spans="7:13" x14ac:dyDescent="0.2">
      <c r="G115" s="128">
        <v>112</v>
      </c>
      <c r="H115" s="129">
        <f t="shared" si="7"/>
        <v>67</v>
      </c>
      <c r="I115" s="130">
        <f>H115*(1-PARAM!$C$27)*$C$28</f>
        <v>56.078999999999994</v>
      </c>
      <c r="J115" s="131">
        <f t="shared" si="8"/>
        <v>4733.4057389014488</v>
      </c>
      <c r="K115" s="132">
        <f>PARAM!$C$26+MAX(0,($C$25-CHOOSE(PARAM!$B$44,MAX(0,L114*IF(L114&gt;0,$K$1,1)),0)))*RATES!$L115/12+$C$26/CHOOSE(PARAM!$B$51,1,3,6,12)*RATES!$N115/100</f>
        <v>8.5081610552351385</v>
      </c>
      <c r="L115" s="133">
        <f>IF($G115=PARAM!$B$56,ReviewValue,J115+$I115-K115)</f>
        <v>4780.9765778462133</v>
      </c>
      <c r="M115" s="235">
        <f t="shared" si="6"/>
        <v>7504</v>
      </c>
    </row>
    <row r="116" spans="7:13" x14ac:dyDescent="0.2">
      <c r="G116" s="128">
        <v>113</v>
      </c>
      <c r="H116" s="129">
        <f t="shared" si="7"/>
        <v>67</v>
      </c>
      <c r="I116" s="130">
        <f>H116*(1-PARAM!$C$27)*$C$28</f>
        <v>56.078999999999994</v>
      </c>
      <c r="J116" s="131">
        <f t="shared" si="8"/>
        <v>4809.8771941163286</v>
      </c>
      <c r="K116" s="132">
        <f>PARAM!$C$26+MAX(0,($C$25-CHOOSE(PARAM!$B$44,MAX(0,L115*IF(L115&gt;0,$K$1,1)),0)))*RATES!$L116/12+$C$26/CHOOSE(PARAM!$B$51,1,3,6,12)*RATES!$N116/100</f>
        <v>8.5022345174559852</v>
      </c>
      <c r="L116" s="133">
        <f>IF($G116=PARAM!$B$56,ReviewValue,J116+$I116-K116)</f>
        <v>4857.4539595988726</v>
      </c>
      <c r="M116" s="235">
        <f t="shared" si="6"/>
        <v>7571</v>
      </c>
    </row>
    <row r="117" spans="7:13" x14ac:dyDescent="0.2">
      <c r="G117" s="128">
        <v>114</v>
      </c>
      <c r="H117" s="129">
        <f>H105</f>
        <v>67</v>
      </c>
      <c r="I117" s="130">
        <f>H117*(1-PARAM!$C$27)*$C$28</f>
        <v>56.078999999999994</v>
      </c>
      <c r="J117" s="131">
        <f t="shared" si="8"/>
        <v>4886.8168754488734</v>
      </c>
      <c r="K117" s="132">
        <f>PARAM!$C$26+MAX(0,($C$25-CHOOSE(PARAM!$B$44,MAX(0,L116*IF(L116&gt;0,$K$1,1)),0)))*RATES!$L117/12+$C$26/CHOOSE(PARAM!$B$51,1,3,6,12)*RATES!$N117/100</f>
        <v>8.9098092041277646</v>
      </c>
      <c r="L117" s="133">
        <f>IF($G117=PARAM!$B$56,ReviewValue,J117+$I117-K117)</f>
        <v>4933.9860662447454</v>
      </c>
      <c r="M117" s="235">
        <f t="shared" si="6"/>
        <v>7638</v>
      </c>
    </row>
    <row r="118" spans="7:13" x14ac:dyDescent="0.2">
      <c r="G118" s="128">
        <v>115</v>
      </c>
      <c r="H118" s="129">
        <f t="shared" si="7"/>
        <v>67</v>
      </c>
      <c r="I118" s="130">
        <f>H118*(1-PARAM!$C$27)*$C$28</f>
        <v>56.078999999999994</v>
      </c>
      <c r="J118" s="131">
        <f t="shared" si="8"/>
        <v>4963.8116124821781</v>
      </c>
      <c r="K118" s="132">
        <f>PARAM!$C$26+MAX(0,($C$25-CHOOSE(PARAM!$B$44,MAX(0,L117*IF(L117&gt;0,$K$1,1)),0)))*RATES!$L118/12+$C$26/CHOOSE(PARAM!$B$51,1,3,6,12)*RATES!$N118/100</f>
        <v>8.9031363269182116</v>
      </c>
      <c r="L118" s="133">
        <f>IF($G118=PARAM!$B$56,ReviewValue,J118+$I118-K118)</f>
        <v>5010.9874761552601</v>
      </c>
      <c r="M118" s="235">
        <f t="shared" si="6"/>
        <v>7705</v>
      </c>
    </row>
    <row r="119" spans="7:13" x14ac:dyDescent="0.2">
      <c r="G119" s="128">
        <v>116</v>
      </c>
      <c r="H119" s="129">
        <f t="shared" si="7"/>
        <v>67</v>
      </c>
      <c r="I119" s="130">
        <f>H119*(1-PARAM!$C$27)*$C$28</f>
        <v>56.078999999999994</v>
      </c>
      <c r="J119" s="131">
        <f t="shared" si="8"/>
        <v>5041.2784896803587</v>
      </c>
      <c r="K119" s="132">
        <f>PARAM!$C$26+MAX(0,($C$25-CHOOSE(PARAM!$B$44,MAX(0,L118*IF(L118&gt;0,$K$1,1)),0)))*RATES!$L119/12+$C$26/CHOOSE(PARAM!$B$51,1,3,6,12)*RATES!$N119/100</f>
        <v>8.8964225308943696</v>
      </c>
      <c r="L119" s="133">
        <f>IF($G119=PARAM!$B$56,ReviewValue,J119+$I119-K119)</f>
        <v>5088.4610671494638</v>
      </c>
      <c r="M119" s="235">
        <f t="shared" si="6"/>
        <v>7772</v>
      </c>
    </row>
    <row r="120" spans="7:13" x14ac:dyDescent="0.2">
      <c r="G120" s="128">
        <v>117</v>
      </c>
      <c r="H120" s="129">
        <f>H108</f>
        <v>67</v>
      </c>
      <c r="I120" s="130">
        <f>H120*(1-PARAM!$C$27)*$C$28</f>
        <v>56.078999999999994</v>
      </c>
      <c r="J120" s="131">
        <f t="shared" si="8"/>
        <v>5119.2204022586429</v>
      </c>
      <c r="K120" s="132">
        <f>PARAM!$C$26+MAX(0,($C$25-CHOOSE(PARAM!$B$44,MAX(0,L119*IF(L119&gt;0,$K$1,1)),0)))*RATES!$L120/12+$C$26/CHOOSE(PARAM!$B$51,1,3,6,12)*RATES!$N120/100</f>
        <v>8.889667565137584</v>
      </c>
      <c r="L120" s="133">
        <f>IF($G120=PARAM!$B$56,ReviewValue,J120+$I120-K120)</f>
        <v>5166.409734693505</v>
      </c>
      <c r="M120" s="235">
        <f t="shared" si="6"/>
        <v>7839</v>
      </c>
    </row>
    <row r="121" spans="7:13" x14ac:dyDescent="0.2">
      <c r="G121" s="128">
        <v>118</v>
      </c>
      <c r="H121" s="129">
        <f t="shared" si="7"/>
        <v>67</v>
      </c>
      <c r="I121" s="130">
        <f>H121*(1-PARAM!$C$27)*$C$28</f>
        <v>56.078999999999994</v>
      </c>
      <c r="J121" s="131">
        <f t="shared" si="8"/>
        <v>5197.6402631860401</v>
      </c>
      <c r="K121" s="132">
        <f>PARAM!$C$26+MAX(0,($C$25-CHOOSE(PARAM!$B$44,MAX(0,L120*IF(L120&gt;0,$K$1,1)),0)))*RATES!$L121/12+$C$26/CHOOSE(PARAM!$B$51,1,3,6,12)*RATES!$N121/100</f>
        <v>8.8828711771905429</v>
      </c>
      <c r="L121" s="133">
        <f>IF($G121=PARAM!$B$56,ReviewValue,J121+$I121-K121)</f>
        <v>5244.8363920088495</v>
      </c>
      <c r="M121" s="235">
        <f t="shared" si="6"/>
        <v>7906</v>
      </c>
    </row>
    <row r="122" spans="7:13" x14ac:dyDescent="0.2">
      <c r="G122" s="128">
        <v>119</v>
      </c>
      <c r="H122" s="129">
        <f t="shared" si="7"/>
        <v>67</v>
      </c>
      <c r="I122" s="130">
        <f>H122*(1-PARAM!$C$27)*$C$28</f>
        <v>56.078999999999994</v>
      </c>
      <c r="J122" s="131">
        <f t="shared" si="8"/>
        <v>5276.5410032942018</v>
      </c>
      <c r="K122" s="132">
        <f>PARAM!$C$26+MAX(0,($C$25-CHOOSE(PARAM!$B$44,MAX(0,L121*IF(L121&gt;0,$K$1,1)),0)))*RATES!$L122/12+$C$26/CHOOSE(PARAM!$B$51,1,3,6,12)*RATES!$N122/100</f>
        <v>8.8760331130478356</v>
      </c>
      <c r="L122" s="133">
        <f>IF($G122=PARAM!$B$56,ReviewValue,J122+$I122-K122)</f>
        <v>5323.7439701811536</v>
      </c>
      <c r="M122" s="235">
        <f t="shared" si="6"/>
        <v>7973</v>
      </c>
    </row>
    <row r="123" spans="7:13" x14ac:dyDescent="0.2">
      <c r="G123" s="128">
        <v>120</v>
      </c>
      <c r="H123" s="129">
        <f>H111</f>
        <v>67</v>
      </c>
      <c r="I123" s="130">
        <f>H123*(1-PARAM!$C$27)*$C$28</f>
        <v>56.078999999999994</v>
      </c>
      <c r="J123" s="234">
        <f>IF(L122&lt;0,L122,L122*$K$1)*(1+IF(L122&lt;0,0,PARAM!$C$31))</f>
        <v>5516.6033385285691</v>
      </c>
      <c r="K123" s="132">
        <f>PARAM!$C$26+MAX(0,($C$25-CHOOSE(PARAM!$B$44,MAX(0,L122*IF(L122&gt;0,$K$1,1)),0)))*RATES!$L123/12+$C$26/CHOOSE(PARAM!$B$51,1,3,6,12)*RATES!$N123/100</f>
        <v>8.8691531171464639</v>
      </c>
      <c r="L123" s="133">
        <f>IF($G123=PARAM!$B$56,ReviewValue,J123+$I123-K123)</f>
        <v>5563.8131854114226</v>
      </c>
      <c r="M123" s="235">
        <f t="shared" si="6"/>
        <v>8040</v>
      </c>
    </row>
    <row r="124" spans="7:13" x14ac:dyDescent="0.2">
      <c r="G124" s="128">
        <v>121</v>
      </c>
      <c r="H124" s="129">
        <f t="shared" si="7"/>
        <v>67</v>
      </c>
      <c r="I124" s="130">
        <f>H124*(1-PARAM!$C$27)*$C$28</f>
        <v>56.078999999999994</v>
      </c>
      <c r="J124" s="131">
        <f t="shared" ref="J124:J155" si="9">IF(L123&lt;0,L123,L123*$K$1)</f>
        <v>5597.4459855835212</v>
      </c>
      <c r="K124" s="132">
        <f>PARAM!$C$26+MAX(0,($C$25-CHOOSE(PARAM!$B$44,MAX(0,L123*IF(L123&gt;0,$K$1,1)),0)))*RATES!$L124/12+$C$26/CHOOSE(PARAM!$B$51,1,3,6,12)*RATES!$N124/100</f>
        <v>8.8482213479160947</v>
      </c>
      <c r="L124" s="133">
        <f>IF($G124=PARAM!$B$56,ReviewValue,J124+$I124-K124)</f>
        <v>5644.6767642356044</v>
      </c>
      <c r="M124" s="235">
        <f t="shared" si="6"/>
        <v>8107</v>
      </c>
    </row>
    <row r="125" spans="7:13" x14ac:dyDescent="0.2">
      <c r="G125" s="128">
        <v>122</v>
      </c>
      <c r="H125" s="129">
        <f t="shared" si="7"/>
        <v>67</v>
      </c>
      <c r="I125" s="130">
        <f>H125*(1-PARAM!$C$27)*$C$28</f>
        <v>56.078999999999994</v>
      </c>
      <c r="J125" s="131">
        <f t="shared" si="9"/>
        <v>5678.7983781937101</v>
      </c>
      <c r="K125" s="132">
        <f>PARAM!$C$26+MAX(0,($C$25-CHOOSE(PARAM!$B$44,MAX(0,L124*IF(L124&gt;0,$K$1,1)),0)))*RATES!$L125/12+$C$26/CHOOSE(PARAM!$B$51,1,3,6,12)*RATES!$N125/100</f>
        <v>8.8411708072232127</v>
      </c>
      <c r="L125" s="133">
        <f>IF($G125=PARAM!$B$56,ReviewValue,J125+$I125-K125)</f>
        <v>5726.0362073864862</v>
      </c>
      <c r="M125" s="235">
        <f t="shared" si="6"/>
        <v>8174</v>
      </c>
    </row>
    <row r="126" spans="7:13" x14ac:dyDescent="0.2">
      <c r="G126" s="128">
        <v>123</v>
      </c>
      <c r="H126" s="129">
        <f>H114</f>
        <v>67</v>
      </c>
      <c r="I126" s="130">
        <f>H126*(1-PARAM!$C$27)*$C$28</f>
        <v>56.078999999999994</v>
      </c>
      <c r="J126" s="131">
        <f t="shared" si="9"/>
        <v>5760.6496325902999</v>
      </c>
      <c r="K126" s="132">
        <f>PARAM!$C$26+MAX(0,($C$25-CHOOSE(PARAM!$B$44,MAX(0,L125*IF(L125&gt;0,$K$1,1)),0)))*RATES!$L126/12+$C$26/CHOOSE(PARAM!$B$51,1,3,6,12)*RATES!$N126/100</f>
        <v>8.834077031842174</v>
      </c>
      <c r="L126" s="133">
        <f>IF($G126=PARAM!$B$56,ReviewValue,J126+$I126-K126)</f>
        <v>5807.8945555584578</v>
      </c>
      <c r="M126" s="235">
        <f t="shared" si="6"/>
        <v>8241</v>
      </c>
    </row>
    <row r="127" spans="7:13" x14ac:dyDescent="0.2">
      <c r="G127" s="128">
        <v>124</v>
      </c>
      <c r="H127" s="129">
        <f t="shared" si="7"/>
        <v>67</v>
      </c>
      <c r="I127" s="130">
        <f>H127*(1-PARAM!$C$27)*$C$28</f>
        <v>56.078999999999994</v>
      </c>
      <c r="J127" s="131">
        <f t="shared" si="9"/>
        <v>5843.0028078484338</v>
      </c>
      <c r="K127" s="132">
        <f>PARAM!$C$26+MAX(0,($C$25-CHOOSE(PARAM!$B$44,MAX(0,L126*IF(L126&gt;0,$K$1,1)),0)))*RATES!$L127/12+$C$26/CHOOSE(PARAM!$B$51,1,3,6,12)*RATES!$N127/100</f>
        <v>8.826939756653136</v>
      </c>
      <c r="L127" s="133">
        <f>IF($G127=PARAM!$B$56,ReviewValue,J127+$I127-K127)</f>
        <v>5890.2548680917807</v>
      </c>
      <c r="M127" s="235">
        <f t="shared" si="6"/>
        <v>8308</v>
      </c>
    </row>
    <row r="128" spans="7:13" x14ac:dyDescent="0.2">
      <c r="G128" s="128">
        <v>125</v>
      </c>
      <c r="H128" s="129">
        <f t="shared" si="7"/>
        <v>67</v>
      </c>
      <c r="I128" s="130">
        <f>H128*(1-PARAM!$C$27)*$C$28</f>
        <v>56.078999999999994</v>
      </c>
      <c r="J128" s="131">
        <f t="shared" si="9"/>
        <v>5925.8609818018358</v>
      </c>
      <c r="K128" s="132">
        <f>PARAM!$C$26+MAX(0,($C$25-CHOOSE(PARAM!$B$44,MAX(0,L127*IF(L127&gt;0,$K$1,1)),0)))*RATES!$L128/12+$C$26/CHOOSE(PARAM!$B$51,1,3,6,12)*RATES!$N128/100</f>
        <v>8.8197587149105079</v>
      </c>
      <c r="L128" s="133">
        <f>IF($G128=PARAM!$B$56,ReviewValue,J128+$I128-K128)</f>
        <v>5973.1202230869249</v>
      </c>
      <c r="M128" s="235">
        <f t="shared" si="6"/>
        <v>8375</v>
      </c>
    </row>
    <row r="129" spans="7:13" x14ac:dyDescent="0.2">
      <c r="G129" s="128">
        <v>126</v>
      </c>
      <c r="H129" s="129">
        <f>H117</f>
        <v>67</v>
      </c>
      <c r="I129" s="130">
        <f>H129*(1-PARAM!$C$27)*$C$28</f>
        <v>56.078999999999994</v>
      </c>
      <c r="J129" s="131">
        <f t="shared" si="9"/>
        <v>6009.2272511578449</v>
      </c>
      <c r="K129" s="132">
        <f>PARAM!$C$26+MAX(0,($C$25-CHOOSE(PARAM!$B$44,MAX(0,L128*IF(L128&gt;0,$K$1,1)),0)))*RATES!$L129/12+$C$26/CHOOSE(PARAM!$B$51,1,3,6,12)*RATES!$N129/100</f>
        <v>9.252441365721408</v>
      </c>
      <c r="L129" s="133">
        <f>IF($G129=PARAM!$B$56,ReviewValue,J129+$I129-K129)</f>
        <v>6056.0538097921235</v>
      </c>
      <c r="M129" s="235">
        <f t="shared" si="6"/>
        <v>8442</v>
      </c>
    </row>
    <row r="130" spans="7:13" x14ac:dyDescent="0.2">
      <c r="G130" s="128">
        <v>127</v>
      </c>
      <c r="H130" s="129">
        <f t="shared" si="7"/>
        <v>67</v>
      </c>
      <c r="I130" s="130">
        <f>H130*(1-PARAM!$C$27)*$C$28</f>
        <v>56.078999999999994</v>
      </c>
      <c r="J130" s="131">
        <f t="shared" si="9"/>
        <v>6092.66216467907</v>
      </c>
      <c r="K130" s="132">
        <f>PARAM!$C$26+MAX(0,($C$25-CHOOSE(PARAM!$B$44,MAX(0,L129*IF(L129&gt;0,$K$1,1)),0)))*RATES!$L130/12+$C$26/CHOOSE(PARAM!$B$51,1,3,6,12)*RATES!$N130/100</f>
        <v>9.2443759907476881</v>
      </c>
      <c r="L130" s="133">
        <f>IF($G130=PARAM!$B$56,ReviewValue,J130+$I130-K130)</f>
        <v>6139.4967886883223</v>
      </c>
      <c r="M130" s="235">
        <f t="shared" si="6"/>
        <v>8509</v>
      </c>
    </row>
    <row r="131" spans="7:13" x14ac:dyDescent="0.2">
      <c r="G131" s="128">
        <v>128</v>
      </c>
      <c r="H131" s="129">
        <f t="shared" si="7"/>
        <v>67</v>
      </c>
      <c r="I131" s="130">
        <f>H131*(1-PARAM!$C$27)*$C$28</f>
        <v>56.078999999999994</v>
      </c>
      <c r="J131" s="131">
        <f t="shared" si="9"/>
        <v>6176.6095496258422</v>
      </c>
      <c r="K131" s="132">
        <f>PARAM!$C$26+MAX(0,($C$25-CHOOSE(PARAM!$B$44,MAX(0,L130*IF(L130&gt;0,$K$1,1)),0)))*RATES!$L131/12+$C$26/CHOOSE(PARAM!$B$51,1,3,6,12)*RATES!$N131/100</f>
        <v>9.2362610768695017</v>
      </c>
      <c r="L131" s="133">
        <f>IF($G131=PARAM!$B$56,ReviewValue,J131+$I131-K131)</f>
        <v>6223.4522885489723</v>
      </c>
      <c r="M131" s="235">
        <f t="shared" si="6"/>
        <v>8576</v>
      </c>
    </row>
    <row r="132" spans="7:13" x14ac:dyDescent="0.2">
      <c r="G132" s="128">
        <v>129</v>
      </c>
      <c r="H132" s="129">
        <f>H120</f>
        <v>67</v>
      </c>
      <c r="I132" s="130">
        <f>H132*(1-PARAM!$C$27)*$C$28</f>
        <v>56.078999999999994</v>
      </c>
      <c r="J132" s="131">
        <f t="shared" si="9"/>
        <v>6261.072553684794</v>
      </c>
      <c r="K132" s="132">
        <f>PARAM!$C$26+MAX(0,($C$25-CHOOSE(PARAM!$B$44,MAX(0,L131*IF(L131&gt;0,$K$1,1)),0)))*RATES!$L132/12+$C$26/CHOOSE(PARAM!$B$51,1,3,6,12)*RATES!$N132/100</f>
        <v>9.2280963198104686</v>
      </c>
      <c r="L132" s="133">
        <f>IF($G132=PARAM!$B$56,ReviewValue,J132+$I132-K132)</f>
        <v>6307.9234573649828</v>
      </c>
      <c r="M132" s="235">
        <f t="shared" ref="M132:M195" si="10">M131+H131</f>
        <v>8643</v>
      </c>
    </row>
    <row r="133" spans="7:13" x14ac:dyDescent="0.2">
      <c r="G133" s="128">
        <v>130</v>
      </c>
      <c r="H133" s="129">
        <f t="shared" si="7"/>
        <v>67</v>
      </c>
      <c r="I133" s="130">
        <f>H133*(1-PARAM!$C$27)*$C$28</f>
        <v>56.078999999999994</v>
      </c>
      <c r="J133" s="131">
        <f t="shared" si="9"/>
        <v>6346.0543438761842</v>
      </c>
      <c r="K133" s="132">
        <f>PARAM!$C$26+MAX(0,($C$25-CHOOSE(PARAM!$B$44,MAX(0,L132*IF(L132&gt;0,$K$1,1)),0)))*RATES!$L133/12+$C$26/CHOOSE(PARAM!$B$51,1,3,6,12)*RATES!$N133/100</f>
        <v>9.219881413425302</v>
      </c>
      <c r="L133" s="133">
        <f>IF($G133=PARAM!$B$56,ReviewValue,J133+$I133-K133)</f>
        <v>6392.9134624627586</v>
      </c>
      <c r="M133" s="235">
        <f t="shared" si="10"/>
        <v>8710</v>
      </c>
    </row>
    <row r="134" spans="7:13" x14ac:dyDescent="0.2">
      <c r="G134" s="128">
        <v>131</v>
      </c>
      <c r="H134" s="129">
        <f t="shared" si="7"/>
        <v>67</v>
      </c>
      <c r="I134" s="130">
        <f>H134*(1-PARAM!$C$27)*$C$28</f>
        <v>56.078999999999994</v>
      </c>
      <c r="J134" s="131">
        <f t="shared" si="9"/>
        <v>6431.55810667265</v>
      </c>
      <c r="K134" s="132">
        <f>PARAM!$C$26+MAX(0,($C$25-CHOOSE(PARAM!$B$44,MAX(0,L133*IF(L133&gt;0,$K$1,1)),0)))*RATES!$L134/12+$C$26/CHOOSE(PARAM!$B$51,1,3,6,12)*RATES!$N134/100</f>
        <v>9.2116160496883097</v>
      </c>
      <c r="L134" s="133">
        <f>IF($G134=PARAM!$B$56,ReviewValue,J134+$I134-K134)</f>
        <v>6478.4254906229617</v>
      </c>
      <c r="M134" s="235">
        <f t="shared" si="10"/>
        <v>8777</v>
      </c>
    </row>
    <row r="135" spans="7:13" x14ac:dyDescent="0.2">
      <c r="G135" s="128">
        <v>132</v>
      </c>
      <c r="H135" s="129">
        <f>H123</f>
        <v>67</v>
      </c>
      <c r="I135" s="130">
        <f>H135*(1-PARAM!$C$27)*$C$28</f>
        <v>56.078999999999994</v>
      </c>
      <c r="J135" s="131">
        <f t="shared" si="9"/>
        <v>6517.5870481186848</v>
      </c>
      <c r="K135" s="132">
        <f>PARAM!$C$26+MAX(0,($C$25-CHOOSE(PARAM!$B$44,MAX(0,L134*IF(L134&gt;0,$K$1,1)),0)))*RATES!$L135/12+$C$26/CHOOSE(PARAM!$B$51,1,3,6,12)*RATES!$N135/100</f>
        <v>9.2032999186818607</v>
      </c>
      <c r="L135" s="133">
        <f>IF($G135=PARAM!$B$56,ReviewValue,J135+$I135-K135)</f>
        <v>6564.4627482000024</v>
      </c>
      <c r="M135" s="235">
        <f t="shared" si="10"/>
        <v>8844</v>
      </c>
    </row>
    <row r="136" spans="7:13" x14ac:dyDescent="0.2">
      <c r="G136" s="128">
        <v>133</v>
      </c>
      <c r="H136" s="129">
        <f t="shared" si="7"/>
        <v>67</v>
      </c>
      <c r="I136" s="130">
        <f>H136*(1-PARAM!$C$27)*$C$28</f>
        <v>56.078999999999994</v>
      </c>
      <c r="J136" s="131">
        <f t="shared" si="9"/>
        <v>6604.1443939508508</v>
      </c>
      <c r="K136" s="132">
        <f>PARAM!$C$26+MAX(0,($C$25-CHOOSE(PARAM!$B$44,MAX(0,L135*IF(L135&gt;0,$K$1,1)),0)))*RATES!$L136/12+$C$26/CHOOSE(PARAM!$B$51,1,3,6,12)*RATES!$N136/100</f>
        <v>9.1949327085847514</v>
      </c>
      <c r="L136" s="133">
        <f>IF($G136=PARAM!$B$56,ReviewValue,J136+$I136-K136)</f>
        <v>6651.0284612422656</v>
      </c>
      <c r="M136" s="235">
        <f t="shared" si="10"/>
        <v>8911</v>
      </c>
    </row>
    <row r="137" spans="7:13" x14ac:dyDescent="0.2">
      <c r="G137" s="128">
        <v>134</v>
      </c>
      <c r="H137" s="129">
        <f t="shared" si="7"/>
        <v>67</v>
      </c>
      <c r="I137" s="130">
        <f>H137*(1-PARAM!$C$27)*$C$28</f>
        <v>56.078999999999994</v>
      </c>
      <c r="J137" s="131">
        <f t="shared" si="9"/>
        <v>6691.2333897187345</v>
      </c>
      <c r="K137" s="132">
        <f>PARAM!$C$26+MAX(0,($C$25-CHOOSE(PARAM!$B$44,MAX(0,L136*IF(L136&gt;0,$K$1,1)),0)))*RATES!$L137/12+$C$26/CHOOSE(PARAM!$B$51,1,3,6,12)*RATES!$N137/100</f>
        <v>9.1865141056605211</v>
      </c>
      <c r="L137" s="133">
        <f>IF($G137=PARAM!$B$56,ReviewValue,J137+$I137-K137)</f>
        <v>6738.1258756130737</v>
      </c>
      <c r="M137" s="235">
        <f t="shared" si="10"/>
        <v>8978</v>
      </c>
    </row>
    <row r="138" spans="7:13" x14ac:dyDescent="0.2">
      <c r="G138" s="128">
        <v>135</v>
      </c>
      <c r="H138" s="129">
        <f>H126</f>
        <v>67</v>
      </c>
      <c r="I138" s="130">
        <f>H138*(1-PARAM!$C$27)*$C$28</f>
        <v>56.078999999999994</v>
      </c>
      <c r="J138" s="131">
        <f t="shared" si="9"/>
        <v>6778.8573009066395</v>
      </c>
      <c r="K138" s="132">
        <f>PARAM!$C$26+MAX(0,($C$25-CHOOSE(PARAM!$B$44,MAX(0,L137*IF(L137&gt;0,$K$1,1)),0)))*RATES!$L138/12+$C$26/CHOOSE(PARAM!$B$51,1,3,6,12)*RATES!$N138/100</f>
        <v>9.1780437942456921</v>
      </c>
      <c r="L138" s="133">
        <f>IF($G138=PARAM!$B$56,ReviewValue,J138+$I138-K138)</f>
        <v>6825.7582571123939</v>
      </c>
      <c r="M138" s="235">
        <f t="shared" si="10"/>
        <v>9045</v>
      </c>
    </row>
    <row r="139" spans="7:13" x14ac:dyDescent="0.2">
      <c r="G139" s="128">
        <v>136</v>
      </c>
      <c r="H139" s="129">
        <f t="shared" si="7"/>
        <v>67</v>
      </c>
      <c r="I139" s="130">
        <f>H139*(1-PARAM!$C$27)*$C$28</f>
        <v>56.078999999999994</v>
      </c>
      <c r="J139" s="131">
        <f t="shared" si="9"/>
        <v>6867.0194130560285</v>
      </c>
      <c r="K139" s="132">
        <f>PARAM!$C$26+MAX(0,($C$25-CHOOSE(PARAM!$B$44,MAX(0,L138*IF(L138&gt;0,$K$1,1)),0)))*RATES!$L139/12+$C$26/CHOOSE(PARAM!$B$51,1,3,6,12)*RATES!$N139/100</f>
        <v>9.1695214567379182</v>
      </c>
      <c r="L139" s="133">
        <f>IF($G139=PARAM!$B$56,ReviewValue,J139+$I139-K139)</f>
        <v>6913.9288915992902</v>
      </c>
      <c r="M139" s="235">
        <f t="shared" si="10"/>
        <v>9112</v>
      </c>
    </row>
    <row r="140" spans="7:13" x14ac:dyDescent="0.2">
      <c r="G140" s="128">
        <v>137</v>
      </c>
      <c r="H140" s="129">
        <f t="shared" si="7"/>
        <v>67</v>
      </c>
      <c r="I140" s="130">
        <f>H140*(1-PARAM!$C$27)*$C$28</f>
        <v>56.078999999999994</v>
      </c>
      <c r="J140" s="131">
        <f t="shared" si="9"/>
        <v>6955.7230318887187</v>
      </c>
      <c r="K140" s="132">
        <f>PARAM!$C$26+MAX(0,($C$25-CHOOSE(PARAM!$B$44,MAX(0,L139*IF(L139&gt;0,$K$1,1)),0)))*RATES!$L140/12+$C$26/CHOOSE(PARAM!$B$51,1,3,6,12)*RATES!$N140/100</f>
        <v>9.1609467735840902</v>
      </c>
      <c r="L140" s="133">
        <f>IF($G140=PARAM!$B$56,ReviewValue,J140+$I140-K140)</f>
        <v>7002.641085115134</v>
      </c>
      <c r="M140" s="235">
        <f t="shared" si="10"/>
        <v>9179</v>
      </c>
    </row>
    <row r="141" spans="7:13" x14ac:dyDescent="0.2">
      <c r="G141" s="128">
        <v>138</v>
      </c>
      <c r="H141" s="129">
        <f>H129</f>
        <v>67</v>
      </c>
      <c r="I141" s="130">
        <f>H141*(1-PARAM!$C$27)*$C$28</f>
        <v>56.078999999999994</v>
      </c>
      <c r="J141" s="131">
        <f t="shared" si="9"/>
        <v>7044.9714834308334</v>
      </c>
      <c r="K141" s="132">
        <f>PARAM!$C$26+MAX(0,($C$25-CHOOSE(PARAM!$B$44,MAX(0,L140*IF(L140&gt;0,$K$1,1)),0)))*RATES!$L141/12+$C$26/CHOOSE(PARAM!$B$51,1,3,6,12)*RATES!$N141/100</f>
        <v>9.6534614226283253</v>
      </c>
      <c r="L141" s="133">
        <f>IF($G141=PARAM!$B$56,ReviewValue,J141+$I141-K141)</f>
        <v>7091.3970220082047</v>
      </c>
      <c r="M141" s="235">
        <f t="shared" si="10"/>
        <v>9246</v>
      </c>
    </row>
    <row r="142" spans="7:13" x14ac:dyDescent="0.2">
      <c r="G142" s="128">
        <v>139</v>
      </c>
      <c r="H142" s="129">
        <f t="shared" si="7"/>
        <v>67</v>
      </c>
      <c r="I142" s="130">
        <f>H142*(1-PARAM!$C$27)*$C$28</f>
        <v>56.078999999999994</v>
      </c>
      <c r="J142" s="131">
        <f t="shared" si="9"/>
        <v>7134.2639427753475</v>
      </c>
      <c r="K142" s="132">
        <f>PARAM!$C$26+MAX(0,($C$25-CHOOSE(PARAM!$B$44,MAX(0,L141*IF(L141&gt;0,$K$1,1)),0)))*RATES!$L142/12+$C$26/CHOOSE(PARAM!$B$51,1,3,6,12)*RATES!$N142/100</f>
        <v>9.6437880728660055</v>
      </c>
      <c r="L142" s="133">
        <f>IF($G142=PARAM!$B$56,ReviewValue,J142+$I142-K142)</f>
        <v>7180.6991547024809</v>
      </c>
      <c r="M142" s="235">
        <f t="shared" si="10"/>
        <v>9313</v>
      </c>
    </row>
    <row r="143" spans="7:13" x14ac:dyDescent="0.2">
      <c r="G143" s="128">
        <v>140</v>
      </c>
      <c r="H143" s="129">
        <f t="shared" ref="H143:H206" si="11">H131</f>
        <v>67</v>
      </c>
      <c r="I143" s="130">
        <f>H143*(1-PARAM!$C$27)*$C$28</f>
        <v>56.078999999999994</v>
      </c>
      <c r="J143" s="131">
        <f t="shared" si="9"/>
        <v>7224.1058996304573</v>
      </c>
      <c r="K143" s="132">
        <f>PARAM!$C$26+MAX(0,($C$25-CHOOSE(PARAM!$B$44,MAX(0,L142*IF(L142&gt;0,$K$1,1)),0)))*RATES!$L143/12+$C$26/CHOOSE(PARAM!$B$51,1,3,6,12)*RATES!$N143/100</f>
        <v>9.6340551942067005</v>
      </c>
      <c r="L143" s="133">
        <f>IF($G143=PARAM!$B$56,ReviewValue,J143+$I143-K143)</f>
        <v>7270.5508444362504</v>
      </c>
      <c r="M143" s="235">
        <f t="shared" si="10"/>
        <v>9380</v>
      </c>
    </row>
    <row r="144" spans="7:13" x14ac:dyDescent="0.2">
      <c r="G144" s="128">
        <v>141</v>
      </c>
      <c r="H144" s="129">
        <f>H132</f>
        <v>67</v>
      </c>
      <c r="I144" s="130">
        <f>H144*(1-PARAM!$C$27)*$C$28</f>
        <v>56.078999999999994</v>
      </c>
      <c r="J144" s="131">
        <f t="shared" si="9"/>
        <v>7314.5007355528633</v>
      </c>
      <c r="K144" s="132">
        <f>PARAM!$C$26+MAX(0,($C$25-CHOOSE(PARAM!$B$44,MAX(0,L143*IF(L143&gt;0,$K$1,1)),0)))*RATES!$L144/12+$C$26/CHOOSE(PARAM!$B$51,1,3,6,12)*RATES!$N144/100</f>
        <v>9.6242624203151053</v>
      </c>
      <c r="L144" s="133">
        <f>IF($G144=PARAM!$B$56,ReviewValue,J144+$I144-K144)</f>
        <v>7360.9554731325479</v>
      </c>
      <c r="M144" s="235">
        <f t="shared" si="10"/>
        <v>9447</v>
      </c>
    </row>
    <row r="145" spans="7:13" x14ac:dyDescent="0.2">
      <c r="G145" s="128">
        <v>142</v>
      </c>
      <c r="H145" s="129">
        <f t="shared" si="11"/>
        <v>67</v>
      </c>
      <c r="I145" s="130">
        <f>H145*(1-PARAM!$C$27)*$C$28</f>
        <v>56.078999999999994</v>
      </c>
      <c r="J145" s="131">
        <f t="shared" si="9"/>
        <v>7405.451852909051</v>
      </c>
      <c r="K145" s="132">
        <f>PARAM!$C$26+MAX(0,($C$25-CHOOSE(PARAM!$B$44,MAX(0,L144*IF(L144&gt;0,$K$1,1)),0)))*RATES!$L145/12+$C$26/CHOOSE(PARAM!$B$51,1,3,6,12)*RATES!$N145/100</f>
        <v>9.6144093826015187</v>
      </c>
      <c r="L145" s="133">
        <f>IF($G145=PARAM!$B$56,ReviewValue,J145+$I145-K145)</f>
        <v>7451.9164435264493</v>
      </c>
      <c r="M145" s="235">
        <f t="shared" si="10"/>
        <v>9514</v>
      </c>
    </row>
    <row r="146" spans="7:13" x14ac:dyDescent="0.2">
      <c r="G146" s="128">
        <v>143</v>
      </c>
      <c r="H146" s="129">
        <f t="shared" si="11"/>
        <v>67</v>
      </c>
      <c r="I146" s="130">
        <f>H146*(1-PARAM!$C$27)*$C$28</f>
        <v>56.078999999999994</v>
      </c>
      <c r="J146" s="131">
        <f t="shared" si="9"/>
        <v>7496.9626750033549</v>
      </c>
      <c r="K146" s="132">
        <f>PARAM!$C$26+MAX(0,($C$25-CHOOSE(PARAM!$B$44,MAX(0,L145*IF(L145&gt;0,$K$1,1)),0)))*RATES!$L146/12+$C$26/CHOOSE(PARAM!$B$51,1,3,6,12)*RATES!$N146/100</f>
        <v>9.6044957102079707</v>
      </c>
      <c r="L146" s="133">
        <f>IF($G146=PARAM!$B$56,ReviewValue,J146+$I146-K146)</f>
        <v>7543.437179293147</v>
      </c>
      <c r="M146" s="235">
        <f t="shared" si="10"/>
        <v>9581</v>
      </c>
    </row>
    <row r="147" spans="7:13" x14ac:dyDescent="0.2">
      <c r="G147" s="128">
        <v>144</v>
      </c>
      <c r="H147" s="129">
        <f>H135</f>
        <v>67</v>
      </c>
      <c r="I147" s="130">
        <f>H147*(1-PARAM!$C$27)*$C$28</f>
        <v>56.078999999999994</v>
      </c>
      <c r="J147" s="131">
        <f t="shared" si="9"/>
        <v>7589.0366462068059</v>
      </c>
      <c r="K147" s="132">
        <f>PARAM!$C$26+MAX(0,($C$25-CHOOSE(PARAM!$B$44,MAX(0,L146*IF(L146&gt;0,$K$1,1)),0)))*RATES!$L147/12+$C$26/CHOOSE(PARAM!$B$51,1,3,6,12)*RATES!$N147/100</f>
        <v>9.5945210299942616</v>
      </c>
      <c r="L147" s="133">
        <f>IF($G147=PARAM!$B$56,ReviewValue,J147+$I147-K147)</f>
        <v>7635.5211251768114</v>
      </c>
      <c r="M147" s="235">
        <f t="shared" si="10"/>
        <v>9648</v>
      </c>
    </row>
    <row r="148" spans="7:13" x14ac:dyDescent="0.2">
      <c r="G148" s="128">
        <v>145</v>
      </c>
      <c r="H148" s="129">
        <f t="shared" si="11"/>
        <v>67</v>
      </c>
      <c r="I148" s="130">
        <f>H148*(1-PARAM!$C$27)*$C$28</f>
        <v>56.078999999999994</v>
      </c>
      <c r="J148" s="131">
        <f t="shared" si="9"/>
        <v>7681.677232086774</v>
      </c>
      <c r="K148" s="132">
        <f>PARAM!$C$26+MAX(0,($C$25-CHOOSE(PARAM!$B$44,MAX(0,L147*IF(L147&gt;0,$K$1,1)),0)))*RATES!$L148/12+$C$26/CHOOSE(PARAM!$B$51,1,3,6,12)*RATES!$N148/100</f>
        <v>9.5844849665239327</v>
      </c>
      <c r="L148" s="133">
        <f>IF($G148=PARAM!$B$56,ReviewValue,J148+$I148-K148)</f>
        <v>7728.1717471202501</v>
      </c>
      <c r="M148" s="235">
        <f t="shared" si="10"/>
        <v>9715</v>
      </c>
    </row>
    <row r="149" spans="7:13" x14ac:dyDescent="0.2">
      <c r="G149" s="128">
        <v>146</v>
      </c>
      <c r="H149" s="129">
        <f t="shared" si="11"/>
        <v>67</v>
      </c>
      <c r="I149" s="130">
        <f>H149*(1-PARAM!$C$27)*$C$28</f>
        <v>56.078999999999994</v>
      </c>
      <c r="J149" s="131">
        <f t="shared" si="9"/>
        <v>7774.8879195374111</v>
      </c>
      <c r="K149" s="132">
        <f>PARAM!$C$26+MAX(0,($C$25-CHOOSE(PARAM!$B$44,MAX(0,L148*IF(L148&gt;0,$K$1,1)),0)))*RATES!$L149/12+$C$26/CHOOSE(PARAM!$B$51,1,3,6,12)*RATES!$N149/100</f>
        <v>9.5743871420501137</v>
      </c>
      <c r="L149" s="133">
        <f>IF($G149=PARAM!$B$56,ReviewValue,J149+$I149-K149)</f>
        <v>7821.3925323953608</v>
      </c>
      <c r="M149" s="235">
        <f t="shared" si="10"/>
        <v>9782</v>
      </c>
    </row>
    <row r="150" spans="7:13" x14ac:dyDescent="0.2">
      <c r="G150" s="128">
        <v>147</v>
      </c>
      <c r="H150" s="129">
        <f>H138</f>
        <v>67</v>
      </c>
      <c r="I150" s="130">
        <f>H150*(1-PARAM!$C$27)*$C$28</f>
        <v>56.078999999999994</v>
      </c>
      <c r="J150" s="131">
        <f t="shared" si="9"/>
        <v>7868.6722169108907</v>
      </c>
      <c r="K150" s="132">
        <f>PARAM!$C$26+MAX(0,($C$25-CHOOSE(PARAM!$B$44,MAX(0,L149*IF(L149&gt;0,$K$1,1)),0)))*RATES!$L150/12+$C$26/CHOOSE(PARAM!$B$51,1,3,6,12)*RATES!$N150/100</f>
        <v>9.5642271765013191</v>
      </c>
      <c r="L150" s="133">
        <f>IF($G150=PARAM!$B$56,ReviewValue,J150+$I150-K150)</f>
        <v>7915.1869897343895</v>
      </c>
      <c r="M150" s="235">
        <f t="shared" si="10"/>
        <v>9849</v>
      </c>
    </row>
    <row r="151" spans="7:13" x14ac:dyDescent="0.2">
      <c r="G151" s="128">
        <v>148</v>
      </c>
      <c r="H151" s="129">
        <f t="shared" si="11"/>
        <v>67</v>
      </c>
      <c r="I151" s="130">
        <f>H151*(1-PARAM!$C$27)*$C$28</f>
        <v>56.078999999999994</v>
      </c>
      <c r="J151" s="131">
        <f t="shared" si="9"/>
        <v>7963.0336541494617</v>
      </c>
      <c r="K151" s="132">
        <f>PARAM!$C$26+MAX(0,($C$25-CHOOSE(PARAM!$B$44,MAX(0,L150*IF(L150&gt;0,$K$1,1)),0)))*RATES!$L151/12+$C$26/CHOOSE(PARAM!$B$51,1,3,6,12)*RATES!$N151/100</f>
        <v>9.5540046874671418</v>
      </c>
      <c r="L151" s="133">
        <f>IF($G151=PARAM!$B$56,ReviewValue,J151+$I151-K151)</f>
        <v>8009.5586494619938</v>
      </c>
      <c r="M151" s="235">
        <f t="shared" si="10"/>
        <v>9916</v>
      </c>
    </row>
    <row r="152" spans="7:13" x14ac:dyDescent="0.2">
      <c r="G152" s="128">
        <v>149</v>
      </c>
      <c r="H152" s="129">
        <f t="shared" si="11"/>
        <v>67</v>
      </c>
      <c r="I152" s="130">
        <f>H152*(1-PARAM!$C$27)*$C$28</f>
        <v>56.078999999999994</v>
      </c>
      <c r="J152" s="131">
        <f t="shared" si="9"/>
        <v>8057.9757829183072</v>
      </c>
      <c r="K152" s="132">
        <f>PARAM!$C$26+MAX(0,($C$25-CHOOSE(PARAM!$B$44,MAX(0,L151*IF(L151&gt;0,$K$1,1)),0)))*RATES!$L152/12+$C$26/CHOOSE(PARAM!$B$51,1,3,6,12)*RATES!$N152/100</f>
        <v>9.5437192901838497</v>
      </c>
      <c r="L152" s="133">
        <f>IF($G152=PARAM!$B$56,ReviewValue,J152+$I152-K152)</f>
        <v>8104.5110636281233</v>
      </c>
      <c r="M152" s="235">
        <f t="shared" si="10"/>
        <v>9983</v>
      </c>
    </row>
    <row r="153" spans="7:13" x14ac:dyDescent="0.2">
      <c r="G153" s="128">
        <v>150</v>
      </c>
      <c r="H153" s="129">
        <f>H141</f>
        <v>67</v>
      </c>
      <c r="I153" s="130">
        <f>H153*(1-PARAM!$C$27)*$C$28</f>
        <v>56.078999999999994</v>
      </c>
      <c r="J153" s="131">
        <f t="shared" si="9"/>
        <v>8153.5021767392318</v>
      </c>
      <c r="K153" s="132">
        <f>PARAM!$C$26+MAX(0,($C$25-CHOOSE(PARAM!$B$44,MAX(0,L152*IF(L152&gt;0,$K$1,1)),0)))*RATES!$L153/12+$C$26/CHOOSE(PARAM!$B$51,1,3,6,12)*RATES!$N153/100</f>
        <v>10.056451820310677</v>
      </c>
      <c r="L153" s="133">
        <f>IF($G153=PARAM!$B$56,ReviewValue,J153+$I153-K153)</f>
        <v>8199.5247249189215</v>
      </c>
      <c r="M153" s="235">
        <f t="shared" si="10"/>
        <v>10050</v>
      </c>
    </row>
    <row r="154" spans="7:13" x14ac:dyDescent="0.2">
      <c r="G154" s="128">
        <v>151</v>
      </c>
      <c r="H154" s="129">
        <f t="shared" si="11"/>
        <v>67</v>
      </c>
      <c r="I154" s="130">
        <f>H154*(1-PARAM!$C$27)*$C$28</f>
        <v>56.078999999999994</v>
      </c>
      <c r="J154" s="131">
        <f t="shared" si="9"/>
        <v>8249.090187918735</v>
      </c>
      <c r="K154" s="132">
        <f>PARAM!$C$26+MAX(0,($C$25-CHOOSE(PARAM!$B$44,MAX(0,L153*IF(L153&gt;0,$K$1,1)),0)))*RATES!$L154/12+$C$26/CHOOSE(PARAM!$B$51,1,3,6,12)*RATES!$N154/100</f>
        <v>10.044901602293152</v>
      </c>
      <c r="L154" s="133">
        <f>IF($G154=PARAM!$B$56,ReviewValue,J154+$I154-K154)</f>
        <v>8295.1242863164407</v>
      </c>
      <c r="M154" s="235">
        <f t="shared" si="10"/>
        <v>10117</v>
      </c>
    </row>
    <row r="155" spans="7:13" x14ac:dyDescent="0.2">
      <c r="G155" s="128">
        <v>152</v>
      </c>
      <c r="H155" s="129">
        <f t="shared" si="11"/>
        <v>67</v>
      </c>
      <c r="I155" s="130">
        <f>H155*(1-PARAM!$C$27)*$C$28</f>
        <v>56.078999999999994</v>
      </c>
      <c r="J155" s="131">
        <f t="shared" si="9"/>
        <v>8345.2676409236592</v>
      </c>
      <c r="K155" s="132">
        <f>PARAM!$C$26+MAX(0,($C$25-CHOOSE(PARAM!$B$44,MAX(0,L154*IF(L154&gt;0,$K$1,1)),0)))*RATES!$L155/12+$C$26/CHOOSE(PARAM!$B$51,1,3,6,12)*RATES!$N155/100</f>
        <v>10.033280160055057</v>
      </c>
      <c r="L155" s="133">
        <f>IF($G155=PARAM!$B$56,ReviewValue,J155+$I155-K155)</f>
        <v>8391.3133607636046</v>
      </c>
      <c r="M155" s="235">
        <f t="shared" si="10"/>
        <v>10184</v>
      </c>
    </row>
    <row r="156" spans="7:13" x14ac:dyDescent="0.2">
      <c r="G156" s="128">
        <v>153</v>
      </c>
      <c r="H156" s="129">
        <f>H144</f>
        <v>67</v>
      </c>
      <c r="I156" s="130">
        <f>H156*(1-PARAM!$C$27)*$C$28</f>
        <v>56.078999999999994</v>
      </c>
      <c r="J156" s="131">
        <f t="shared" ref="J156:J182" si="12">IF(L155&lt;0,L155,L155*$K$1)</f>
        <v>8442.0381705368782</v>
      </c>
      <c r="K156" s="132">
        <f>PARAM!$C$26+MAX(0,($C$25-CHOOSE(PARAM!$B$44,MAX(0,L155*IF(L155&gt;0,$K$1,1)),0)))*RATES!$L156/12+$C$26/CHOOSE(PARAM!$B$51,1,3,6,12)*RATES!$N156/100</f>
        <v>10.021587054393461</v>
      </c>
      <c r="L156" s="133">
        <f>IF($G156=PARAM!$B$56,ReviewValue,J156+$I156-K156)</f>
        <v>8488.0955834824836</v>
      </c>
      <c r="M156" s="235">
        <f t="shared" si="10"/>
        <v>10251</v>
      </c>
    </row>
    <row r="157" spans="7:13" x14ac:dyDescent="0.2">
      <c r="G157" s="128">
        <v>154</v>
      </c>
      <c r="H157" s="129">
        <f t="shared" si="11"/>
        <v>67</v>
      </c>
      <c r="I157" s="130">
        <f>H157*(1-PARAM!$C$27)*$C$28</f>
        <v>56.078999999999994</v>
      </c>
      <c r="J157" s="131">
        <f t="shared" si="12"/>
        <v>8539.4054339550839</v>
      </c>
      <c r="K157" s="132">
        <f>PARAM!$C$26+MAX(0,($C$25-CHOOSE(PARAM!$B$44,MAX(0,L156*IF(L156&gt;0,$K$1,1)),0)))*RATES!$L157/12+$C$26/CHOOSE(PARAM!$B$51,1,3,6,12)*RATES!$N157/100</f>
        <v>10.009821843397095</v>
      </c>
      <c r="L157" s="133">
        <f>IF($G157=PARAM!$B$56,ReviewValue,J157+$I157-K157)</f>
        <v>8585.4746121116859</v>
      </c>
      <c r="M157" s="235">
        <f t="shared" si="10"/>
        <v>10318</v>
      </c>
    </row>
    <row r="158" spans="7:13" x14ac:dyDescent="0.2">
      <c r="G158" s="128">
        <v>155</v>
      </c>
      <c r="H158" s="129">
        <f t="shared" si="11"/>
        <v>67</v>
      </c>
      <c r="I158" s="130">
        <f>H158*(1-PARAM!$C$27)*$C$28</f>
        <v>56.078999999999994</v>
      </c>
      <c r="J158" s="131">
        <f t="shared" si="12"/>
        <v>8637.3731109270138</v>
      </c>
      <c r="K158" s="132">
        <f>PARAM!$C$26+MAX(0,($C$25-CHOOSE(PARAM!$B$44,MAX(0,L157*IF(L157&gt;0,$K$1,1)),0)))*RATES!$L158/12+$C$26/CHOOSE(PARAM!$B$51,1,3,6,12)*RATES!$N158/100</f>
        <v>9.9979840824296531</v>
      </c>
      <c r="L158" s="133">
        <f>IF($G158=PARAM!$B$56,ReviewValue,J158+$I158-K158)</f>
        <v>8683.4541268445846</v>
      </c>
      <c r="M158" s="235">
        <f t="shared" si="10"/>
        <v>10385</v>
      </c>
    </row>
    <row r="159" spans="7:13" x14ac:dyDescent="0.2">
      <c r="G159" s="128">
        <v>156</v>
      </c>
      <c r="H159" s="129">
        <f>H147</f>
        <v>67</v>
      </c>
      <c r="I159" s="130">
        <f>H159*(1-PARAM!$C$27)*$C$28</f>
        <v>56.078999999999994</v>
      </c>
      <c r="J159" s="131">
        <f t="shared" si="12"/>
        <v>8735.9449038925122</v>
      </c>
      <c r="K159" s="132">
        <f>PARAM!$C$26+MAX(0,($C$25-CHOOSE(PARAM!$B$44,MAX(0,L158*IF(L158&gt;0,$K$1,1)),0)))*RATES!$L159/12+$C$26/CHOOSE(PARAM!$B$51,1,3,6,12)*RATES!$N159/100</f>
        <v>9.9860733241129882</v>
      </c>
      <c r="L159" s="133">
        <f>IF($G159=PARAM!$B$56,ReviewValue,J159+$I159-K159)</f>
        <v>8782.0378305683989</v>
      </c>
      <c r="M159" s="235">
        <f t="shared" si="10"/>
        <v>10452</v>
      </c>
    </row>
    <row r="160" spans="7:13" x14ac:dyDescent="0.2">
      <c r="G160" s="128">
        <v>157</v>
      </c>
      <c r="H160" s="129">
        <f t="shared" si="11"/>
        <v>67</v>
      </c>
      <c r="I160" s="130">
        <f>H160*(1-PARAM!$C$27)*$C$28</f>
        <v>56.078999999999994</v>
      </c>
      <c r="J160" s="131">
        <f t="shared" si="12"/>
        <v>8835.1245381224508</v>
      </c>
      <c r="K160" s="132">
        <f>PARAM!$C$26+MAX(0,($C$25-CHOOSE(PARAM!$B$44,MAX(0,L159*IF(L159&gt;0,$K$1,1)),0)))*RATES!$L160/12+$C$26/CHOOSE(PARAM!$B$51,1,3,6,12)*RATES!$N160/100</f>
        <v>9.9740891183102036</v>
      </c>
      <c r="L160" s="133">
        <f>IF($G160=PARAM!$B$56,ReviewValue,J160+$I160-K160)</f>
        <v>8881.2294490041404</v>
      </c>
      <c r="M160" s="235">
        <f t="shared" si="10"/>
        <v>10519</v>
      </c>
    </row>
    <row r="161" spans="7:13" x14ac:dyDescent="0.2">
      <c r="G161" s="128">
        <v>158</v>
      </c>
      <c r="H161" s="129">
        <f t="shared" si="11"/>
        <v>67</v>
      </c>
      <c r="I161" s="130">
        <f>H161*(1-PARAM!$C$27)*$C$28</f>
        <v>56.078999999999994</v>
      </c>
      <c r="J161" s="131">
        <f t="shared" si="12"/>
        <v>8934.9157618595254</v>
      </c>
      <c r="K161" s="132">
        <f>PARAM!$C$26+MAX(0,($C$25-CHOOSE(PARAM!$B$44,MAX(0,L160*IF(L160&gt;0,$K$1,1)),0)))*RATES!$L161/12+$C$26/CHOOSE(PARAM!$B$51,1,3,6,12)*RATES!$N161/100</f>
        <v>9.9620310121086391</v>
      </c>
      <c r="L161" s="133">
        <f>IF($G161=PARAM!$B$56,ReviewValue,J161+$I161-K161)</f>
        <v>8981.032730847417</v>
      </c>
      <c r="M161" s="235">
        <f t="shared" si="10"/>
        <v>10586</v>
      </c>
    </row>
    <row r="162" spans="7:13" x14ac:dyDescent="0.2">
      <c r="G162" s="128">
        <v>159</v>
      </c>
      <c r="H162" s="129">
        <f>H150</f>
        <v>67</v>
      </c>
      <c r="I162" s="130">
        <f>H162*(1-PARAM!$C$27)*$C$28</f>
        <v>56.078999999999994</v>
      </c>
      <c r="J162" s="131">
        <f t="shared" si="12"/>
        <v>9035.3223464599032</v>
      </c>
      <c r="K162" s="132">
        <f>PARAM!$C$26+MAX(0,($C$25-CHOOSE(PARAM!$B$44,MAX(0,L161*IF(L161&gt;0,$K$1,1)),0)))*RATES!$L162/12+$C$26/CHOOSE(PARAM!$B$51,1,3,6,12)*RATES!$N162/100</f>
        <v>9.9498985498027608</v>
      </c>
      <c r="L162" s="133">
        <f>IF($G162=PARAM!$B$56,ReviewValue,J162+$I162-K162)</f>
        <v>9081.4514479100999</v>
      </c>
      <c r="M162" s="235">
        <f t="shared" si="10"/>
        <v>10653</v>
      </c>
    </row>
    <row r="163" spans="7:13" x14ac:dyDescent="0.2">
      <c r="G163" s="128">
        <v>160</v>
      </c>
      <c r="H163" s="129">
        <f t="shared" si="11"/>
        <v>67</v>
      </c>
      <c r="I163" s="130">
        <f>H163*(1-PARAM!$C$27)*$C$28</f>
        <v>56.078999999999994</v>
      </c>
      <c r="J163" s="131">
        <f t="shared" si="12"/>
        <v>9136.3480865357524</v>
      </c>
      <c r="K163" s="132">
        <f>PARAM!$C$26+MAX(0,($C$25-CHOOSE(PARAM!$B$44,MAX(0,L162*IF(L162&gt;0,$K$1,1)),0)))*RATES!$L163/12+$C$26/CHOOSE(PARAM!$B$51,1,3,6,12)*RATES!$N163/100</f>
        <v>9.9376912728769291</v>
      </c>
      <c r="L163" s="133">
        <f>IF($G163=PARAM!$B$56,ReviewValue,J163+$I163-K163)</f>
        <v>9182.4893952628754</v>
      </c>
      <c r="M163" s="235">
        <f t="shared" si="10"/>
        <v>10720</v>
      </c>
    </row>
    <row r="164" spans="7:13" x14ac:dyDescent="0.2">
      <c r="G164" s="128">
        <v>161</v>
      </c>
      <c r="H164" s="129">
        <f t="shared" si="11"/>
        <v>67</v>
      </c>
      <c r="I164" s="130">
        <f>H164*(1-PARAM!$C$27)*$C$28</f>
        <v>56.078999999999994</v>
      </c>
      <c r="J164" s="131">
        <f t="shared" si="12"/>
        <v>9237.9968000986573</v>
      </c>
      <c r="K164" s="132">
        <f>PARAM!$C$26+MAX(0,($C$25-CHOOSE(PARAM!$B$44,MAX(0,L163*IF(L163&gt;0,$K$1,1)),0)))*RATES!$L164/12+$C$26/CHOOSE(PARAM!$B$51,1,3,6,12)*RATES!$N164/100</f>
        <v>9.9254087199880789</v>
      </c>
      <c r="L164" s="133">
        <f>IF($G164=PARAM!$B$56,ReviewValue,J164+$I164-K164)</f>
        <v>9284.1503913786692</v>
      </c>
      <c r="M164" s="235">
        <f t="shared" si="10"/>
        <v>10787</v>
      </c>
    </row>
    <row r="165" spans="7:13" x14ac:dyDescent="0.2">
      <c r="G165" s="128">
        <v>162</v>
      </c>
      <c r="H165" s="129">
        <f>H153</f>
        <v>67</v>
      </c>
      <c r="I165" s="130">
        <f>H165*(1-PARAM!$C$27)*$C$28</f>
        <v>56.078999999999994</v>
      </c>
      <c r="J165" s="131">
        <f t="shared" si="12"/>
        <v>9340.2723287038989</v>
      </c>
      <c r="K165" s="132">
        <f>PARAM!$C$26+MAX(0,($C$25-CHOOSE(PARAM!$B$44,MAX(0,L164*IF(L164&gt;0,$K$1,1)),0)))*RATES!$L165/12+$C$26/CHOOSE(PARAM!$B$51,1,3,6,12)*RATES!$N165/100</f>
        <v>10.522946342017722</v>
      </c>
      <c r="L165" s="133">
        <f>IF($G165=PARAM!$B$56,ReviewValue,J165+$I165-K165)</f>
        <v>9385.8283823618804</v>
      </c>
      <c r="M165" s="235">
        <f t="shared" si="10"/>
        <v>10854</v>
      </c>
    </row>
    <row r="166" spans="7:13" x14ac:dyDescent="0.2">
      <c r="G166" s="128">
        <v>163</v>
      </c>
      <c r="H166" s="129">
        <f t="shared" si="11"/>
        <v>67</v>
      </c>
      <c r="I166" s="130">
        <f>H166*(1-PARAM!$C$27)*$C$28</f>
        <v>56.078999999999994</v>
      </c>
      <c r="J166" s="131">
        <f t="shared" si="12"/>
        <v>9442.5649549091577</v>
      </c>
      <c r="K166" s="132">
        <f>PARAM!$C$26+MAX(0,($C$25-CHOOSE(PARAM!$B$44,MAX(0,L165*IF(L165&gt;0,$K$1,1)),0)))*RATES!$L166/12+$C$26/CHOOSE(PARAM!$B$51,1,3,6,12)*RATES!$N166/100</f>
        <v>10.509051593624839</v>
      </c>
      <c r="L166" s="133">
        <f>IF($G166=PARAM!$B$56,ReviewValue,J166+$I166-K166)</f>
        <v>9488.1349033155329</v>
      </c>
      <c r="M166" s="235">
        <f t="shared" si="10"/>
        <v>10921</v>
      </c>
    </row>
    <row r="167" spans="7:13" x14ac:dyDescent="0.2">
      <c r="G167" s="128">
        <v>164</v>
      </c>
      <c r="H167" s="129">
        <f t="shared" si="11"/>
        <v>67</v>
      </c>
      <c r="I167" s="130">
        <f>H167*(1-PARAM!$C$27)*$C$28</f>
        <v>56.078999999999994</v>
      </c>
      <c r="J167" s="131">
        <f t="shared" si="12"/>
        <v>9545.4899104976321</v>
      </c>
      <c r="K167" s="132">
        <f>PARAM!$C$26+MAX(0,($C$25-CHOOSE(PARAM!$B$44,MAX(0,L166*IF(L166&gt;0,$K$1,1)),0)))*RATES!$L167/12+$C$26/CHOOSE(PARAM!$B$51,1,3,6,12)*RATES!$N167/100</f>
        <v>10.495070953824072</v>
      </c>
      <c r="L167" s="133">
        <f>IF($G167=PARAM!$B$56,ReviewValue,J167+$I167-K167)</f>
        <v>9591.0738395438075</v>
      </c>
      <c r="M167" s="235">
        <f t="shared" si="10"/>
        <v>10988</v>
      </c>
    </row>
    <row r="168" spans="7:13" x14ac:dyDescent="0.2">
      <c r="G168" s="128">
        <v>165</v>
      </c>
      <c r="H168" s="129">
        <f>H156</f>
        <v>67</v>
      </c>
      <c r="I168" s="130">
        <f>H168*(1-PARAM!$C$27)*$C$28</f>
        <v>56.078999999999994</v>
      </c>
      <c r="J168" s="131">
        <f t="shared" si="12"/>
        <v>9649.0511042598519</v>
      </c>
      <c r="K168" s="132">
        <f>PARAM!$C$26+MAX(0,($C$25-CHOOSE(PARAM!$B$44,MAX(0,L167*IF(L167&gt;0,$K$1,1)),0)))*RATES!$L168/12+$C$26/CHOOSE(PARAM!$B$51,1,3,6,12)*RATES!$N168/100</f>
        <v>10.481003891671371</v>
      </c>
      <c r="L168" s="133">
        <f>IF($G168=PARAM!$B$56,ReviewValue,J168+$I168-K168)</f>
        <v>9694.6491003681804</v>
      </c>
      <c r="M168" s="235">
        <f t="shared" si="10"/>
        <v>11055</v>
      </c>
    </row>
    <row r="169" spans="7:13" x14ac:dyDescent="0.2">
      <c r="G169" s="128">
        <v>166</v>
      </c>
      <c r="H169" s="129">
        <f t="shared" si="11"/>
        <v>67</v>
      </c>
      <c r="I169" s="130">
        <f>H169*(1-PARAM!$C$27)*$C$28</f>
        <v>56.078999999999994</v>
      </c>
      <c r="J169" s="131">
        <f t="shared" si="12"/>
        <v>9753.2524691488288</v>
      </c>
      <c r="K169" s="132">
        <f>PARAM!$C$26+MAX(0,($C$25-CHOOSE(PARAM!$B$44,MAX(0,L168*IF(L168&gt;0,$K$1,1)),0)))*RATES!$L169/12+$C$26/CHOOSE(PARAM!$B$51,1,3,6,12)*RATES!$N169/100</f>
        <v>10.466849872940617</v>
      </c>
      <c r="L169" s="133">
        <f>IF($G169=PARAM!$B$56,ReviewValue,J169+$I169-K169)</f>
        <v>9798.8646192758879</v>
      </c>
      <c r="M169" s="235">
        <f t="shared" si="10"/>
        <v>11122</v>
      </c>
    </row>
    <row r="170" spans="7:13" x14ac:dyDescent="0.2">
      <c r="G170" s="128">
        <v>167</v>
      </c>
      <c r="H170" s="129">
        <f t="shared" si="11"/>
        <v>67</v>
      </c>
      <c r="I170" s="130">
        <f>H170*(1-PARAM!$C$27)*$C$28</f>
        <v>56.078999999999994</v>
      </c>
      <c r="J170" s="131">
        <f t="shared" si="12"/>
        <v>9858.0979624294068</v>
      </c>
      <c r="K170" s="132">
        <f>PARAM!$C$26+MAX(0,($C$25-CHOOSE(PARAM!$B$44,MAX(0,L169*IF(L169&gt;0,$K$1,1)),0)))*RATES!$L170/12+$C$26/CHOOSE(PARAM!$B$51,1,3,6,12)*RATES!$N170/100</f>
        <v>10.452608360103341</v>
      </c>
      <c r="L170" s="133">
        <f>IF($G170=PARAM!$B$56,ReviewValue,J170+$I170-K170)</f>
        <v>9903.7243540693034</v>
      </c>
      <c r="M170" s="235">
        <f t="shared" si="10"/>
        <v>11189</v>
      </c>
    </row>
    <row r="171" spans="7:13" x14ac:dyDescent="0.2">
      <c r="G171" s="128">
        <v>168</v>
      </c>
      <c r="H171" s="129">
        <f>H159</f>
        <v>67</v>
      </c>
      <c r="I171" s="130">
        <f>H171*(1-PARAM!$C$27)*$C$28</f>
        <v>56.078999999999994</v>
      </c>
      <c r="J171" s="131">
        <f t="shared" si="12"/>
        <v>9963.5915658285576</v>
      </c>
      <c r="K171" s="132">
        <f>PARAM!$C$26+MAX(0,($C$25-CHOOSE(PARAM!$B$44,MAX(0,L170*IF(L170&gt;0,$K$1,1)),0)))*RATES!$L171/12+$C$26/CHOOSE(PARAM!$B$51,1,3,6,12)*RATES!$N171/100</f>
        <v>10.438278812308287</v>
      </c>
      <c r="L171" s="133">
        <f>IF($G171=PARAM!$B$56,ReviewValue,J171+$I171-K171)</f>
        <v>10009.23228701625</v>
      </c>
      <c r="M171" s="235">
        <f t="shared" si="10"/>
        <v>11256</v>
      </c>
    </row>
    <row r="172" spans="7:13" x14ac:dyDescent="0.2">
      <c r="G172" s="128">
        <v>169</v>
      </c>
      <c r="H172" s="129">
        <f t="shared" si="11"/>
        <v>67</v>
      </c>
      <c r="I172" s="130">
        <f>H172*(1-PARAM!$C$27)*$C$28</f>
        <v>56.078999999999994</v>
      </c>
      <c r="J172" s="131">
        <f t="shared" si="12"/>
        <v>10069.73728568659</v>
      </c>
      <c r="K172" s="132">
        <f>PARAM!$C$26+MAX(0,($C$25-CHOOSE(PARAM!$B$44,MAX(0,L171*IF(L171&gt;0,$K$1,1)),0)))*RATES!$L172/12+$C$26/CHOOSE(PARAM!$B$51,1,3,6,12)*RATES!$N172/100</f>
        <v>10.423860685360903</v>
      </c>
      <c r="L172" s="133">
        <f>IF($G172=PARAM!$B$56,ReviewValue,J172+$I172-K172)</f>
        <v>10115.392425001228</v>
      </c>
      <c r="M172" s="235">
        <f t="shared" si="10"/>
        <v>11323</v>
      </c>
    </row>
    <row r="173" spans="7:13" x14ac:dyDescent="0.2">
      <c r="G173" s="128">
        <v>170</v>
      </c>
      <c r="H173" s="129">
        <f t="shared" si="11"/>
        <v>67</v>
      </c>
      <c r="I173" s="130">
        <f>H173*(1-PARAM!$C$27)*$C$28</f>
        <v>56.078999999999994</v>
      </c>
      <c r="J173" s="131">
        <f t="shared" si="12"/>
        <v>10176.539153109294</v>
      </c>
      <c r="K173" s="132">
        <f>PARAM!$C$26+MAX(0,($C$25-CHOOSE(PARAM!$B$44,MAX(0,L172*IF(L172&gt;0,$K$1,1)),0)))*RATES!$L173/12+$C$26/CHOOSE(PARAM!$B$51,1,3,6,12)*RATES!$N173/100</f>
        <v>10.409353431702655</v>
      </c>
      <c r="L173" s="133">
        <f>IF($G173=PARAM!$B$56,ReviewValue,J173+$I173-K173)</f>
        <v>10222.20879967759</v>
      </c>
      <c r="M173" s="235">
        <f t="shared" si="10"/>
        <v>11390</v>
      </c>
    </row>
    <row r="174" spans="7:13" x14ac:dyDescent="0.2">
      <c r="G174" s="128">
        <v>171</v>
      </c>
      <c r="H174" s="129">
        <f>H162</f>
        <v>67</v>
      </c>
      <c r="I174" s="130">
        <f>H174*(1-PARAM!$C$27)*$C$28</f>
        <v>56.078999999999994</v>
      </c>
      <c r="J174" s="131">
        <f t="shared" si="12"/>
        <v>10284.001224121042</v>
      </c>
      <c r="K174" s="132">
        <f>PARAM!$C$26+MAX(0,($C$25-CHOOSE(PARAM!$B$44,MAX(0,L173*IF(L173&gt;0,$K$1,1)),0)))*RATES!$L174/12+$C$26/CHOOSE(PARAM!$B$51,1,3,6,12)*RATES!$N174/100</f>
        <v>10.394756500390226</v>
      </c>
      <c r="L174" s="133">
        <f>IF($G174=PARAM!$B$56,ReviewValue,J174+$I174-K174)</f>
        <v>10329.685467620651</v>
      </c>
      <c r="M174" s="235">
        <f t="shared" si="10"/>
        <v>11457</v>
      </c>
    </row>
    <row r="175" spans="7:13" x14ac:dyDescent="0.2">
      <c r="G175" s="128">
        <v>172</v>
      </c>
      <c r="H175" s="129">
        <f t="shared" si="11"/>
        <v>67</v>
      </c>
      <c r="I175" s="130">
        <f>H175*(1-PARAM!$C$27)*$C$28</f>
        <v>56.078999999999994</v>
      </c>
      <c r="J175" s="131">
        <f t="shared" si="12"/>
        <v>10392.127579818822</v>
      </c>
      <c r="K175" s="132">
        <f>PARAM!$C$26+MAX(0,($C$25-CHOOSE(PARAM!$B$44,MAX(0,L174*IF(L174&gt;0,$K$1,1)),0)))*RATES!$L175/12+$C$26/CHOOSE(PARAM!$B$51,1,3,6,12)*RATES!$N175/100</f>
        <v>10.380069337074609</v>
      </c>
      <c r="L175" s="133">
        <f>IF($G175=PARAM!$B$56,ReviewValue,J175+$I175-K175)</f>
        <v>10437.826510481747</v>
      </c>
      <c r="M175" s="235">
        <f t="shared" si="10"/>
        <v>11524</v>
      </c>
    </row>
    <row r="176" spans="7:13" x14ac:dyDescent="0.2">
      <c r="G176" s="128">
        <v>173</v>
      </c>
      <c r="H176" s="129">
        <f t="shared" si="11"/>
        <v>67</v>
      </c>
      <c r="I176" s="130">
        <f>H176*(1-PARAM!$C$27)*$C$28</f>
        <v>56.078999999999994</v>
      </c>
      <c r="J176" s="131">
        <f t="shared" si="12"/>
        <v>10500.922326527216</v>
      </c>
      <c r="K176" s="132">
        <f>PARAM!$C$26+MAX(0,($C$25-CHOOSE(PARAM!$B$44,MAX(0,L175*IF(L175&gt;0,$K$1,1)),0)))*RATES!$L176/12+$C$26/CHOOSE(PARAM!$B$51,1,3,6,12)*RATES!$N176/100</f>
        <v>10.365291383980054</v>
      </c>
      <c r="L176" s="133">
        <f>IF($G176=PARAM!$B$56,ReviewValue,J176+$I176-K176)</f>
        <v>10546.636035143236</v>
      </c>
      <c r="M176" s="235">
        <f t="shared" si="10"/>
        <v>11591</v>
      </c>
    </row>
    <row r="177" spans="7:13" x14ac:dyDescent="0.2">
      <c r="G177" s="128">
        <v>174</v>
      </c>
      <c r="H177" s="129">
        <f>H165</f>
        <v>67</v>
      </c>
      <c r="I177" s="130">
        <f>H177*(1-PARAM!$C$27)*$C$28</f>
        <v>56.078999999999994</v>
      </c>
      <c r="J177" s="131">
        <f t="shared" si="12"/>
        <v>10610.389595954353</v>
      </c>
      <c r="K177" s="132">
        <f>PARAM!$C$26+MAX(0,($C$25-CHOOSE(PARAM!$B$44,MAX(0,L176*IF(L176&gt;0,$K$1,1)),0)))*RATES!$L177/12+$C$26/CHOOSE(PARAM!$B$51,1,3,6,12)*RATES!$N177/100</f>
        <v>11.006915586616962</v>
      </c>
      <c r="L177" s="133">
        <f>IF($G177=PARAM!$B$56,ReviewValue,J177+$I177-K177)</f>
        <v>10655.461680367736</v>
      </c>
      <c r="M177" s="235">
        <f t="shared" si="10"/>
        <v>11658</v>
      </c>
    </row>
    <row r="178" spans="7:13" x14ac:dyDescent="0.2">
      <c r="G178" s="128">
        <v>175</v>
      </c>
      <c r="H178" s="129">
        <f t="shared" si="11"/>
        <v>67</v>
      </c>
      <c r="I178" s="130">
        <f>H178*(1-PARAM!$C$27)*$C$28</f>
        <v>56.078999999999994</v>
      </c>
      <c r="J178" s="131">
        <f t="shared" si="12"/>
        <v>10719.873083392004</v>
      </c>
      <c r="K178" s="132">
        <f>PARAM!$C$26+MAX(0,($C$25-CHOOSE(PARAM!$B$44,MAX(0,L177*IF(L177&gt;0,$K$1,1)),0)))*RATES!$L178/12+$C$26/CHOOSE(PARAM!$B$51,1,3,6,12)*RATES!$N178/100</f>
        <v>10.99021935478272</v>
      </c>
      <c r="L178" s="133">
        <f>IF($G178=PARAM!$B$56,ReviewValue,J178+$I178-K178)</f>
        <v>10764.961864037221</v>
      </c>
      <c r="M178" s="235">
        <f t="shared" si="10"/>
        <v>11725</v>
      </c>
    </row>
    <row r="179" spans="7:13" x14ac:dyDescent="0.2">
      <c r="G179" s="128">
        <v>176</v>
      </c>
      <c r="H179" s="129">
        <f t="shared" si="11"/>
        <v>67</v>
      </c>
      <c r="I179" s="130">
        <f>H179*(1-PARAM!$C$27)*$C$28</f>
        <v>56.078999999999994</v>
      </c>
      <c r="J179" s="131">
        <f t="shared" si="12"/>
        <v>10830.035186804915</v>
      </c>
      <c r="K179" s="132">
        <f>PARAM!$C$26+MAX(0,($C$25-CHOOSE(PARAM!$B$44,MAX(0,L178*IF(L178&gt;0,$K$1,1)),0)))*RATES!$L179/12+$C$26/CHOOSE(PARAM!$B$51,1,3,6,12)*RATES!$N179/100</f>
        <v>10.973419634012249</v>
      </c>
      <c r="L179" s="133">
        <f>IF($G179=PARAM!$B$56,ReviewValue,J179+$I179-K179)</f>
        <v>10875.140767170902</v>
      </c>
      <c r="M179" s="235">
        <f t="shared" si="10"/>
        <v>11792</v>
      </c>
    </row>
    <row r="180" spans="7:13" x14ac:dyDescent="0.2">
      <c r="G180" s="128">
        <v>177</v>
      </c>
      <c r="H180" s="129">
        <f>H168</f>
        <v>67</v>
      </c>
      <c r="I180" s="130">
        <f>H180*(1-PARAM!$C$27)*$C$28</f>
        <v>56.078999999999994</v>
      </c>
      <c r="J180" s="131">
        <f t="shared" si="12"/>
        <v>10940.880112486224</v>
      </c>
      <c r="K180" s="132">
        <f>PARAM!$C$26+MAX(0,($C$25-CHOOSE(PARAM!$B$44,MAX(0,L179*IF(L179&gt;0,$K$1,1)),0)))*RATES!$L180/12+$C$26/CHOOSE(PARAM!$B$51,1,3,6,12)*RATES!$N180/100</f>
        <v>10.956515782845852</v>
      </c>
      <c r="L180" s="133">
        <f>IF($G180=PARAM!$B$56,ReviewValue,J180+$I180-K180)</f>
        <v>10986.002596703378</v>
      </c>
      <c r="M180" s="235">
        <f t="shared" si="10"/>
        <v>11859</v>
      </c>
    </row>
    <row r="181" spans="7:13" x14ac:dyDescent="0.2">
      <c r="G181" s="128">
        <v>178</v>
      </c>
      <c r="H181" s="129">
        <f t="shared" si="11"/>
        <v>67</v>
      </c>
      <c r="I181" s="130">
        <f>H181*(1-PARAM!$C$27)*$C$28</f>
        <v>56.078999999999994</v>
      </c>
      <c r="J181" s="131">
        <f t="shared" si="12"/>
        <v>11052.412092801109</v>
      </c>
      <c r="K181" s="132">
        <f>PARAM!$C$26+MAX(0,($C$25-CHOOSE(PARAM!$B$44,MAX(0,L180*IF(L180&gt;0,$K$1,1)),0)))*RATES!$L181/12+$C$26/CHOOSE(PARAM!$B$51,1,3,6,12)*RATES!$N181/100</f>
        <v>10.939507155847831</v>
      </c>
      <c r="L181" s="133">
        <f>IF($G181=PARAM!$B$56,ReviewValue,J181+$I181-K181)</f>
        <v>11097.55158564526</v>
      </c>
      <c r="M181" s="235">
        <f t="shared" si="10"/>
        <v>11926</v>
      </c>
    </row>
    <row r="182" spans="7:13" x14ac:dyDescent="0.2">
      <c r="G182" s="128">
        <v>179</v>
      </c>
      <c r="H182" s="129">
        <f t="shared" si="11"/>
        <v>67</v>
      </c>
      <c r="I182" s="130">
        <f>H182*(1-PARAM!$C$27)*$C$28</f>
        <v>56.078999999999994</v>
      </c>
      <c r="J182" s="131">
        <f t="shared" si="12"/>
        <v>11164.635386348386</v>
      </c>
      <c r="K182" s="132">
        <f>PARAM!$C$26+MAX(0,($C$25-CHOOSE(PARAM!$B$44,MAX(0,L181*IF(L181&gt;0,$K$1,1)),0)))*RATES!$L182/12+$C$26/CHOOSE(PARAM!$B$51,1,3,6,12)*RATES!$N182/100</f>
        <v>10.922393103581872</v>
      </c>
      <c r="L182" s="133">
        <f>IF($G182=PARAM!$B$56,ReviewValue,J182+$I182-K182)</f>
        <v>11209.791993244804</v>
      </c>
      <c r="M182" s="235">
        <f t="shared" si="10"/>
        <v>11993</v>
      </c>
    </row>
    <row r="183" spans="7:13" x14ac:dyDescent="0.2">
      <c r="G183" s="128">
        <v>180</v>
      </c>
      <c r="H183" s="129">
        <f>H171</f>
        <v>67</v>
      </c>
      <c r="I183" s="130">
        <f>H183*(1-PARAM!$C$27)*$C$28</f>
        <v>56.078999999999994</v>
      </c>
      <c r="J183" s="234">
        <f>IF(L182&lt;0,L182,L182*$K$1)*(1+IF(L182&lt;0,0,PARAM!$C$31))</f>
        <v>11615.880906466815</v>
      </c>
      <c r="K183" s="132">
        <f>PARAM!$C$26+MAX(0,($C$25-CHOOSE(PARAM!$B$44,MAX(0,L182*IF(L182&gt;0,$K$1,1)),0)))*RATES!$L183/12+$C$26/CHOOSE(PARAM!$B$51,1,3,6,12)*RATES!$N183/100</f>
        <v>10.905172972586225</v>
      </c>
      <c r="L183" s="133">
        <f>IF($G183=PARAM!$B$56,ReviewValue,J183+$I183-K183)</f>
        <v>11661.054733494228</v>
      </c>
      <c r="M183" s="235">
        <f t="shared" si="10"/>
        <v>12060</v>
      </c>
    </row>
    <row r="184" spans="7:13" x14ac:dyDescent="0.2">
      <c r="G184" s="128">
        <v>181</v>
      </c>
      <c r="H184" s="129">
        <f t="shared" si="11"/>
        <v>67</v>
      </c>
      <c r="I184" s="130">
        <f>H184*(1-PARAM!$C$27)*$C$28</f>
        <v>56.078999999999994</v>
      </c>
      <c r="J184" s="131">
        <f t="shared" ref="J184:J215" si="13">IF(L183&lt;0,L183,L183*$K$1)</f>
        <v>11731.544865096033</v>
      </c>
      <c r="K184" s="132">
        <f>PARAM!$C$26+MAX(0,($C$25-CHOOSE(PARAM!$B$44,MAX(0,L183*IF(L183&gt;0,$K$1,1)),0)))*RATES!$L184/12+$C$26/CHOOSE(PARAM!$B$51,1,3,6,12)*RATES!$N184/100</f>
        <v>10.835939408072857</v>
      </c>
      <c r="L184" s="133">
        <f>IF($G184=PARAM!$B$56,ReviewValue,J184+$I184-K184)</f>
        <v>11776.787925687961</v>
      </c>
      <c r="M184" s="235">
        <f t="shared" si="10"/>
        <v>12127</v>
      </c>
    </row>
    <row r="185" spans="7:13" x14ac:dyDescent="0.2">
      <c r="G185" s="128">
        <v>182</v>
      </c>
      <c r="H185" s="129">
        <f t="shared" si="11"/>
        <v>67</v>
      </c>
      <c r="I185" s="130">
        <f>H185*(1-PARAM!$C$27)*$C$28</f>
        <v>56.078999999999994</v>
      </c>
      <c r="J185" s="131">
        <f t="shared" si="13"/>
        <v>11847.977655065</v>
      </c>
      <c r="K185" s="132">
        <f>PARAM!$C$26+MAX(0,($C$25-CHOOSE(PARAM!$B$44,MAX(0,L184*IF(L184&gt;0,$K$1,1)),0)))*RATES!$L185/12+$C$26/CHOOSE(PARAM!$B$51,1,3,6,12)*RATES!$N185/100</f>
        <v>10.818183407602589</v>
      </c>
      <c r="L185" s="133">
        <f>IF($G185=PARAM!$B$56,ReviewValue,J185+$I185-K185)</f>
        <v>11893.238471657398</v>
      </c>
      <c r="M185" s="235">
        <f t="shared" si="10"/>
        <v>12194</v>
      </c>
    </row>
    <row r="186" spans="7:13" x14ac:dyDescent="0.2">
      <c r="G186" s="128">
        <v>183</v>
      </c>
      <c r="H186" s="129">
        <f>H174</f>
        <v>67</v>
      </c>
      <c r="I186" s="130">
        <f>H186*(1-PARAM!$C$27)*$C$28</f>
        <v>56.078999999999994</v>
      </c>
      <c r="J186" s="131">
        <f t="shared" si="13"/>
        <v>11965.132135155158</v>
      </c>
      <c r="K186" s="132">
        <f>PARAM!$C$26+MAX(0,($C$25-CHOOSE(PARAM!$B$44,MAX(0,L185*IF(L185&gt;0,$K$1,1)),0)))*RATES!$L186/12+$C$26/CHOOSE(PARAM!$B$51,1,3,6,12)*RATES!$N186/100</f>
        <v>10.800317349388838</v>
      </c>
      <c r="L186" s="133">
        <f>IF($G186=PARAM!$B$56,ReviewValue,J186+$I186-K186)</f>
        <v>12010.410817805769</v>
      </c>
      <c r="M186" s="235">
        <f t="shared" si="10"/>
        <v>12261</v>
      </c>
    </row>
    <row r="187" spans="7:13" x14ac:dyDescent="0.2">
      <c r="G187" s="128">
        <v>184</v>
      </c>
      <c r="H187" s="129">
        <f t="shared" si="11"/>
        <v>67</v>
      </c>
      <c r="I187" s="130">
        <f>H187*(1-PARAM!$C$27)*$C$28</f>
        <v>56.078999999999994</v>
      </c>
      <c r="J187" s="131">
        <f t="shared" si="13"/>
        <v>12083.012778647882</v>
      </c>
      <c r="K187" s="132">
        <f>PARAM!$C$26+MAX(0,($C$25-CHOOSE(PARAM!$B$44,MAX(0,L186*IF(L186&gt;0,$K$1,1)),0)))*RATES!$L187/12+$C$26/CHOOSE(PARAM!$B$51,1,3,6,12)*RATES!$N187/100</f>
        <v>10.782340551256198</v>
      </c>
      <c r="L187" s="133">
        <f>IF($G187=PARAM!$B$56,ReviewValue,J187+$I187-K187)</f>
        <v>12128.309438096627</v>
      </c>
      <c r="M187" s="235">
        <f t="shared" si="10"/>
        <v>12328</v>
      </c>
    </row>
    <row r="188" spans="7:13" x14ac:dyDescent="0.2">
      <c r="G188" s="128">
        <v>185</v>
      </c>
      <c r="H188" s="129">
        <f t="shared" si="11"/>
        <v>67</v>
      </c>
      <c r="I188" s="130">
        <f>H188*(1-PARAM!$C$27)*$C$28</f>
        <v>56.078999999999994</v>
      </c>
      <c r="J188" s="131">
        <f t="shared" si="13"/>
        <v>12201.624086551474</v>
      </c>
      <c r="K188" s="132">
        <f>PARAM!$C$26+MAX(0,($C$25-CHOOSE(PARAM!$B$44,MAX(0,L187*IF(L187&gt;0,$K$1,1)),0)))*RATES!$L188/12+$C$26/CHOOSE(PARAM!$B$51,1,3,6,12)*RATES!$N188/100</f>
        <v>10.7642523268009</v>
      </c>
      <c r="L188" s="133">
        <f>IF($G188=PARAM!$B$56,ReviewValue,J188+$I188-K188)</f>
        <v>12246.938834224673</v>
      </c>
      <c r="M188" s="235">
        <f t="shared" si="10"/>
        <v>12395</v>
      </c>
    </row>
    <row r="189" spans="7:13" x14ac:dyDescent="0.2">
      <c r="G189" s="128">
        <v>186</v>
      </c>
      <c r="H189" s="129">
        <f>H177</f>
        <v>67</v>
      </c>
      <c r="I189" s="130">
        <f>H189*(1-PARAM!$C$27)*$C$28</f>
        <v>56.078999999999994</v>
      </c>
      <c r="J189" s="131">
        <f t="shared" si="13"/>
        <v>12320.970587773014</v>
      </c>
      <c r="K189" s="132">
        <f>PARAM!$C$26+MAX(0,($C$25-CHOOSE(PARAM!$B$44,MAX(0,L188*IF(L188&gt;0,$K$1,1)),0)))*RATES!$L189/12+$C$26/CHOOSE(PARAM!$B$51,1,3,6,12)*RATES!$N189/100</f>
        <v>11.468233382432299</v>
      </c>
      <c r="L189" s="133">
        <f>IF($G189=PARAM!$B$56,ReviewValue,J189+$I189-K189)</f>
        <v>12365.581354390581</v>
      </c>
      <c r="M189" s="235">
        <f t="shared" si="10"/>
        <v>12462</v>
      </c>
    </row>
    <row r="190" spans="7:13" x14ac:dyDescent="0.2">
      <c r="G190" s="128">
        <v>187</v>
      </c>
      <c r="H190" s="129">
        <f t="shared" si="11"/>
        <v>67</v>
      </c>
      <c r="I190" s="130">
        <f>H190*(1-PARAM!$C$27)*$C$28</f>
        <v>56.078999999999994</v>
      </c>
      <c r="J190" s="131">
        <f t="shared" si="13"/>
        <v>12440.330292366163</v>
      </c>
      <c r="K190" s="132">
        <f>PARAM!$C$26+MAX(0,($C$25-CHOOSE(PARAM!$B$44,MAX(0,L189*IF(L189&gt;0,$K$1,1)),0)))*RATES!$L190/12+$C$26/CHOOSE(PARAM!$B$51,1,3,6,12)*RATES!$N190/100</f>
        <v>11.447743299810476</v>
      </c>
      <c r="L190" s="133">
        <f>IF($G190=PARAM!$B$56,ReviewValue,J190+$I190-K190)</f>
        <v>12484.961549066353</v>
      </c>
      <c r="M190" s="235">
        <f t="shared" si="10"/>
        <v>12529</v>
      </c>
    </row>
    <row r="191" spans="7:13" x14ac:dyDescent="0.2">
      <c r="G191" s="128">
        <v>188</v>
      </c>
      <c r="H191" s="129">
        <f t="shared" si="11"/>
        <v>67</v>
      </c>
      <c r="I191" s="130">
        <f>H191*(1-PARAM!$C$27)*$C$28</f>
        <v>56.078999999999994</v>
      </c>
      <c r="J191" s="131">
        <f t="shared" si="13"/>
        <v>12560.432130651854</v>
      </c>
      <c r="K191" s="132">
        <f>PARAM!$C$26+MAX(0,($C$25-CHOOSE(PARAM!$B$44,MAX(0,L190*IF(L190&gt;0,$K$1,1)),0)))*RATES!$L191/12+$C$26/CHOOSE(PARAM!$B$51,1,3,6,12)*RATES!$N191/100</f>
        <v>11.427125817571433</v>
      </c>
      <c r="L191" s="133">
        <f>IF($G191=PARAM!$B$56,ReviewValue,J191+$I191-K191)</f>
        <v>12605.084004834282</v>
      </c>
      <c r="M191" s="235">
        <f t="shared" si="10"/>
        <v>12596</v>
      </c>
    </row>
    <row r="192" spans="7:13" x14ac:dyDescent="0.2">
      <c r="G192" s="128">
        <v>189</v>
      </c>
      <c r="H192" s="129">
        <f>H180</f>
        <v>67</v>
      </c>
      <c r="I192" s="130">
        <f>H192*(1-PARAM!$C$27)*$C$28</f>
        <v>56.078999999999994</v>
      </c>
      <c r="J192" s="131">
        <f t="shared" si="13"/>
        <v>12681.280716937899</v>
      </c>
      <c r="K192" s="132">
        <f>PARAM!$C$26+MAX(0,($C$25-CHOOSE(PARAM!$B$44,MAX(0,L191*IF(L191&gt;0,$K$1,1)),0)))*RATES!$L192/12+$C$26/CHOOSE(PARAM!$B$51,1,3,6,12)*RATES!$N192/100</f>
        <v>11.406380143592326</v>
      </c>
      <c r="L192" s="133">
        <f>IF($G192=PARAM!$B$56,ReviewValue,J192+$I192-K192)</f>
        <v>12725.953336794306</v>
      </c>
      <c r="M192" s="235">
        <f t="shared" si="10"/>
        <v>12663</v>
      </c>
    </row>
    <row r="193" spans="7:13" x14ac:dyDescent="0.2">
      <c r="G193" s="128">
        <v>190</v>
      </c>
      <c r="H193" s="129">
        <f t="shared" si="11"/>
        <v>67</v>
      </c>
      <c r="I193" s="130">
        <f>H193*(1-PARAM!$C$27)*$C$28</f>
        <v>56.078999999999994</v>
      </c>
      <c r="J193" s="131">
        <f t="shared" si="13"/>
        <v>12802.880694222142</v>
      </c>
      <c r="K193" s="132">
        <f>PARAM!$C$26+MAX(0,($C$25-CHOOSE(PARAM!$B$44,MAX(0,L192*IF(L192&gt;0,$K$1,1)),0)))*RATES!$L193/12+$C$26/CHOOSE(PARAM!$B$51,1,3,6,12)*RATES!$N193/100</f>
        <v>11.385505480825199</v>
      </c>
      <c r="L193" s="133">
        <f>IF($G193=PARAM!$B$56,ReviewValue,J193+$I193-K193)</f>
        <v>12847.574188741317</v>
      </c>
      <c r="M193" s="235">
        <f t="shared" si="10"/>
        <v>12730</v>
      </c>
    </row>
    <row r="194" spans="7:13" x14ac:dyDescent="0.2">
      <c r="G194" s="128">
        <v>191</v>
      </c>
      <c r="H194" s="129">
        <f t="shared" si="11"/>
        <v>67</v>
      </c>
      <c r="I194" s="130">
        <f>H194*(1-PARAM!$C$27)*$C$28</f>
        <v>56.078999999999994</v>
      </c>
      <c r="J194" s="131">
        <f t="shared" si="13"/>
        <v>12925.236734370839</v>
      </c>
      <c r="K194" s="132">
        <f>PARAM!$C$26+MAX(0,($C$25-CHOOSE(PARAM!$B$44,MAX(0,L193*IF(L193&gt;0,$K$1,1)),0)))*RATES!$L194/12+$C$26/CHOOSE(PARAM!$B$51,1,3,6,12)*RATES!$N194/100</f>
        <v>11.364501027266339</v>
      </c>
      <c r="L194" s="133">
        <f>IF($G194=PARAM!$B$56,ReviewValue,J194+$I194-K194)</f>
        <v>12969.951233343572</v>
      </c>
      <c r="M194" s="235">
        <f t="shared" si="10"/>
        <v>12797</v>
      </c>
    </row>
    <row r="195" spans="7:13" x14ac:dyDescent="0.2">
      <c r="G195" s="128">
        <v>192</v>
      </c>
      <c r="H195" s="129">
        <f>H183</f>
        <v>67</v>
      </c>
      <c r="I195" s="130">
        <f>H195*(1-PARAM!$C$27)*$C$28</f>
        <v>56.078999999999994</v>
      </c>
      <c r="J195" s="131">
        <f t="shared" si="13"/>
        <v>13048.353538298146</v>
      </c>
      <c r="K195" s="132">
        <f>PARAM!$C$26+MAX(0,($C$25-CHOOSE(PARAM!$B$44,MAX(0,L194*IF(L194&gt;0,$K$1,1)),0)))*RATES!$L195/12+$C$26/CHOOSE(PARAM!$B$51,1,3,6,12)*RATES!$N195/100</f>
        <v>11.343365975925487</v>
      </c>
      <c r="L195" s="133">
        <f>IF($G195=PARAM!$B$56,ReviewValue,J195+$I195-K195)</f>
        <v>13093.089172322221</v>
      </c>
      <c r="M195" s="235">
        <f t="shared" si="10"/>
        <v>12864</v>
      </c>
    </row>
    <row r="196" spans="7:13" x14ac:dyDescent="0.2">
      <c r="G196" s="128">
        <v>193</v>
      </c>
      <c r="H196" s="129">
        <f t="shared" si="11"/>
        <v>67</v>
      </c>
      <c r="I196" s="130">
        <f>H196*(1-PARAM!$C$27)*$C$28</f>
        <v>56.078999999999994</v>
      </c>
      <c r="J196" s="131">
        <f t="shared" si="13"/>
        <v>13172.23583614674</v>
      </c>
      <c r="K196" s="132">
        <f>PARAM!$C$26+MAX(0,($C$25-CHOOSE(PARAM!$B$44,MAX(0,L195*IF(L195&gt;0,$K$1,1)),0)))*RATES!$L196/12+$C$26/CHOOSE(PARAM!$B$51,1,3,6,12)*RATES!$N196/100</f>
        <v>11.322099514794811</v>
      </c>
      <c r="L196" s="133">
        <f>IF($G196=PARAM!$B$56,ReviewValue,J196+$I196-K196)</f>
        <v>13216.992736631944</v>
      </c>
      <c r="M196" s="235">
        <f t="shared" ref="M196:M259" si="14">M195+H195</f>
        <v>12931</v>
      </c>
    </row>
    <row r="197" spans="7:13" x14ac:dyDescent="0.2">
      <c r="G197" s="128">
        <v>194</v>
      </c>
      <c r="H197" s="129">
        <f t="shared" si="11"/>
        <v>67</v>
      </c>
      <c r="I197" s="130">
        <f>H197*(1-PARAM!$C$27)*$C$28</f>
        <v>56.078999999999994</v>
      </c>
      <c r="J197" s="131">
        <f t="shared" si="13"/>
        <v>13296.888387469537</v>
      </c>
      <c r="K197" s="132">
        <f>PARAM!$C$26+MAX(0,($C$25-CHOOSE(PARAM!$B$44,MAX(0,L196*IF(L196&gt;0,$K$1,1)),0)))*RATES!$L197/12+$C$26/CHOOSE(PARAM!$B$51,1,3,6,12)*RATES!$N197/100</f>
        <v>11.300700826817732</v>
      </c>
      <c r="L197" s="133">
        <f>IF($G197=PARAM!$B$56,ReviewValue,J197+$I197-K197)</f>
        <v>13341.666686642719</v>
      </c>
      <c r="M197" s="235">
        <f t="shared" si="14"/>
        <v>12998</v>
      </c>
    </row>
    <row r="198" spans="7:13" x14ac:dyDescent="0.2">
      <c r="G198" s="128">
        <v>195</v>
      </c>
      <c r="H198" s="129">
        <f>H186</f>
        <v>67</v>
      </c>
      <c r="I198" s="130">
        <f>H198*(1-PARAM!$C$27)*$C$28</f>
        <v>56.078999999999994</v>
      </c>
      <c r="J198" s="131">
        <f t="shared" si="13"/>
        <v>13422.315981412565</v>
      </c>
      <c r="K198" s="132">
        <f>PARAM!$C$26+MAX(0,($C$25-CHOOSE(PARAM!$B$44,MAX(0,L197*IF(L197&gt;0,$K$1,1)),0)))*RATES!$L198/12+$C$26/CHOOSE(PARAM!$B$51,1,3,6,12)*RATES!$N198/100</f>
        <v>11.279169089857511</v>
      </c>
      <c r="L198" s="133">
        <f>IF($G198=PARAM!$B$56,ReviewValue,J198+$I198-K198)</f>
        <v>13467.115812322707</v>
      </c>
      <c r="M198" s="235">
        <f t="shared" si="14"/>
        <v>13065</v>
      </c>
    </row>
    <row r="199" spans="7:13" x14ac:dyDescent="0.2">
      <c r="G199" s="128">
        <v>196</v>
      </c>
      <c r="H199" s="129">
        <f t="shared" si="11"/>
        <v>67</v>
      </c>
      <c r="I199" s="130">
        <f>H199*(1-PARAM!$C$27)*$C$28</f>
        <v>56.078999999999994</v>
      </c>
      <c r="J199" s="131">
        <f t="shared" si="13"/>
        <v>13548.523436898957</v>
      </c>
      <c r="K199" s="132">
        <f>PARAM!$C$26+MAX(0,($C$25-CHOOSE(PARAM!$B$44,MAX(0,L198*IF(L198&gt;0,$K$1,1)),0)))*RATES!$L199/12+$C$26/CHOOSE(PARAM!$B$51,1,3,6,12)*RATES!$N199/100</f>
        <v>11.257503476665679</v>
      </c>
      <c r="L199" s="133">
        <f>IF($G199=PARAM!$B$56,ReviewValue,J199+$I199-K199)</f>
        <v>13593.344933422291</v>
      </c>
      <c r="M199" s="235">
        <f t="shared" si="14"/>
        <v>13132</v>
      </c>
    </row>
    <row r="200" spans="7:13" x14ac:dyDescent="0.2">
      <c r="G200" s="128">
        <v>197</v>
      </c>
      <c r="H200" s="129">
        <f t="shared" si="11"/>
        <v>67</v>
      </c>
      <c r="I200" s="130">
        <f>H200*(1-PARAM!$C$27)*$C$28</f>
        <v>56.078999999999994</v>
      </c>
      <c r="J200" s="131">
        <f t="shared" si="13"/>
        <v>13675.515602814095</v>
      </c>
      <c r="K200" s="132">
        <f>PARAM!$C$26+MAX(0,($C$25-CHOOSE(PARAM!$B$44,MAX(0,L199*IF(L199&gt;0,$K$1,1)),0)))*RATES!$L200/12+$C$26/CHOOSE(PARAM!$B$51,1,3,6,12)*RATES!$N200/100</f>
        <v>11.235703154850249</v>
      </c>
      <c r="L200" s="133">
        <f>IF($G200=PARAM!$B$56,ReviewValue,J200+$I200-K200)</f>
        <v>13720.358899659244</v>
      </c>
      <c r="M200" s="235">
        <f t="shared" si="14"/>
        <v>13199</v>
      </c>
    </row>
    <row r="201" spans="7:13" x14ac:dyDescent="0.2">
      <c r="G201" s="128">
        <v>198</v>
      </c>
      <c r="H201" s="129">
        <f>H189</f>
        <v>67</v>
      </c>
      <c r="I201" s="130">
        <f>H201*(1-PARAM!$C$27)*$C$28</f>
        <v>56.078999999999994</v>
      </c>
      <c r="J201" s="131">
        <f t="shared" si="13"/>
        <v>13803.297358191905</v>
      </c>
      <c r="K201" s="132">
        <f>PARAM!$C$26+MAX(0,($C$25-CHOOSE(PARAM!$B$44,MAX(0,L200*IF(L200&gt;0,$K$1,1)),0)))*RATES!$L201/12+$C$26/CHOOSE(PARAM!$B$51,1,3,6,12)*RATES!$N201/100</f>
        <v>11.967865258548059</v>
      </c>
      <c r="L201" s="133">
        <f>IF($G201=PARAM!$B$56,ReviewValue,J201+$I201-K201)</f>
        <v>13847.408492933357</v>
      </c>
      <c r="M201" s="235">
        <f t="shared" si="14"/>
        <v>13266</v>
      </c>
    </row>
    <row r="202" spans="7:13" x14ac:dyDescent="0.2">
      <c r="G202" s="128">
        <v>199</v>
      </c>
      <c r="H202" s="129">
        <f t="shared" si="11"/>
        <v>67</v>
      </c>
      <c r="I202" s="130">
        <f>H202*(1-PARAM!$C$27)*$C$28</f>
        <v>56.078999999999994</v>
      </c>
      <c r="J202" s="131">
        <f t="shared" si="13"/>
        <v>13931.114955969428</v>
      </c>
      <c r="K202" s="132">
        <f>PARAM!$C$26+MAX(0,($C$25-CHOOSE(PARAM!$B$44,MAX(0,L201*IF(L201&gt;0,$K$1,1)),0)))*RATES!$L202/12+$C$26/CHOOSE(PARAM!$B$51,1,3,6,12)*RATES!$N202/100</f>
        <v>11.943260370975885</v>
      </c>
      <c r="L202" s="133">
        <f>IF($G202=PARAM!$B$56,ReviewValue,J202+$I202-K202)</f>
        <v>13975.250695598452</v>
      </c>
      <c r="M202" s="235">
        <f t="shared" si="14"/>
        <v>13333</v>
      </c>
    </row>
    <row r="203" spans="7:13" x14ac:dyDescent="0.2">
      <c r="G203" s="128">
        <v>200</v>
      </c>
      <c r="H203" s="129">
        <f t="shared" si="11"/>
        <v>67</v>
      </c>
      <c r="I203" s="130">
        <f>H203*(1-PARAM!$C$27)*$C$28</f>
        <v>56.078999999999994</v>
      </c>
      <c r="J203" s="131">
        <f t="shared" si="13"/>
        <v>14059.72995439752</v>
      </c>
      <c r="K203" s="132">
        <f>PARAM!$C$26+MAX(0,($C$25-CHOOSE(PARAM!$B$44,MAX(0,L202*IF(L202&gt;0,$K$1,1)),0)))*RATES!$L203/12+$C$26/CHOOSE(PARAM!$B$51,1,3,6,12)*RATES!$N203/100</f>
        <v>11.918501983778476</v>
      </c>
      <c r="L203" s="133">
        <f>IF($G203=PARAM!$B$56,ReviewValue,J203+$I203-K203)</f>
        <v>14103.890452413742</v>
      </c>
      <c r="M203" s="235">
        <f t="shared" si="14"/>
        <v>13400</v>
      </c>
    </row>
    <row r="204" spans="7:13" x14ac:dyDescent="0.2">
      <c r="G204" s="128">
        <v>201</v>
      </c>
      <c r="H204" s="129">
        <f>H192</f>
        <v>67</v>
      </c>
      <c r="I204" s="130">
        <f>H204*(1-PARAM!$C$27)*$C$28</f>
        <v>56.078999999999994</v>
      </c>
      <c r="J204" s="131">
        <f t="shared" si="13"/>
        <v>14189.147328126064</v>
      </c>
      <c r="K204" s="132">
        <f>PARAM!$C$26+MAX(0,($C$25-CHOOSE(PARAM!$B$44,MAX(0,L203*IF(L203&gt;0,$K$1,1)),0)))*RATES!$L204/12+$C$26/CHOOSE(PARAM!$B$51,1,3,6,12)*RATES!$N204/100</f>
        <v>11.893589139335734</v>
      </c>
      <c r="L204" s="133">
        <f>IF($G204=PARAM!$B$56,ReviewValue,J204+$I204-K204)</f>
        <v>14233.332738986728</v>
      </c>
      <c r="M204" s="235">
        <f t="shared" si="14"/>
        <v>13467</v>
      </c>
    </row>
    <row r="205" spans="7:13" x14ac:dyDescent="0.2">
      <c r="G205" s="128">
        <v>202</v>
      </c>
      <c r="H205" s="129">
        <f t="shared" si="11"/>
        <v>67</v>
      </c>
      <c r="I205" s="130">
        <f>H205*(1-PARAM!$C$27)*$C$28</f>
        <v>56.078999999999994</v>
      </c>
      <c r="J205" s="131">
        <f t="shared" si="13"/>
        <v>14319.372082839704</v>
      </c>
      <c r="K205" s="132">
        <f>PARAM!$C$26+MAX(0,($C$25-CHOOSE(PARAM!$B$44,MAX(0,L204*IF(L204&gt;0,$K$1,1)),0)))*RATES!$L205/12+$C$26/CHOOSE(PARAM!$B$51,1,3,6,12)*RATES!$N205/100</f>
        <v>11.868520874053356</v>
      </c>
      <c r="L205" s="133">
        <f>IF($G205=PARAM!$B$56,ReviewValue,J205+$I205-K205)</f>
        <v>14363.58256196565</v>
      </c>
      <c r="M205" s="235">
        <f t="shared" si="14"/>
        <v>13534</v>
      </c>
    </row>
    <row r="206" spans="7:13" x14ac:dyDescent="0.2">
      <c r="G206" s="128">
        <v>203</v>
      </c>
      <c r="H206" s="129">
        <f t="shared" si="11"/>
        <v>67</v>
      </c>
      <c r="I206" s="130">
        <f>H206*(1-PARAM!$C$27)*$C$28</f>
        <v>56.078999999999994</v>
      </c>
      <c r="J206" s="131">
        <f t="shared" si="13"/>
        <v>14450.409255451461</v>
      </c>
      <c r="K206" s="132">
        <f>PARAM!$C$26+MAX(0,($C$25-CHOOSE(PARAM!$B$44,MAX(0,L205*IF(L205&gt;0,$K$1,1)),0)))*RATES!$L206/12+$C$26/CHOOSE(PARAM!$B$51,1,3,6,12)*RATES!$N206/100</f>
        <v>11.843296218325595</v>
      </c>
      <c r="L206" s="133">
        <f>IF($G206=PARAM!$B$56,ReviewValue,J206+$I206-K206)</f>
        <v>14494.644959233136</v>
      </c>
      <c r="M206" s="235">
        <f t="shared" si="14"/>
        <v>13601</v>
      </c>
    </row>
    <row r="207" spans="7:13" x14ac:dyDescent="0.2">
      <c r="G207" s="128">
        <v>204</v>
      </c>
      <c r="H207" s="129">
        <f>H195</f>
        <v>67</v>
      </c>
      <c r="I207" s="130">
        <f>H207*(1-PARAM!$C$27)*$C$28</f>
        <v>56.078999999999994</v>
      </c>
      <c r="J207" s="131">
        <f t="shared" si="13"/>
        <v>14582.263914297559</v>
      </c>
      <c r="K207" s="132">
        <f>PARAM!$C$26+MAX(0,($C$25-CHOOSE(PARAM!$B$44,MAX(0,L206*IF(L206&gt;0,$K$1,1)),0)))*RATES!$L207/12+$C$26/CHOOSE(PARAM!$B$51,1,3,6,12)*RATES!$N207/100</f>
        <v>11.817914196497721</v>
      </c>
      <c r="L207" s="133">
        <f>IF($G207=PARAM!$B$56,ReviewValue,J207+$I207-K207)</f>
        <v>14626.525000101061</v>
      </c>
      <c r="M207" s="235">
        <f t="shared" si="14"/>
        <v>13668</v>
      </c>
    </row>
    <row r="208" spans="7:13" x14ac:dyDescent="0.2">
      <c r="G208" s="128">
        <v>205</v>
      </c>
      <c r="H208" s="129">
        <f t="shared" ref="H208:H269" si="15">H196</f>
        <v>67</v>
      </c>
      <c r="I208" s="130">
        <f>H208*(1-PARAM!$C$27)*$C$28</f>
        <v>56.078999999999994</v>
      </c>
      <c r="J208" s="131">
        <f t="shared" si="13"/>
        <v>14714.94115933345</v>
      </c>
      <c r="K208" s="132">
        <f>PARAM!$C$26+MAX(0,($C$25-CHOOSE(PARAM!$B$44,MAX(0,L207*IF(L207&gt;0,$K$1,1)),0)))*RATES!$L208/12+$C$26/CHOOSE(PARAM!$B$51,1,3,6,12)*RATES!$N208/100</f>
        <v>11.79237382682831</v>
      </c>
      <c r="L208" s="133">
        <f>IF($G208=PARAM!$B$56,ReviewValue,J208+$I208-K208)</f>
        <v>14759.22778550662</v>
      </c>
      <c r="M208" s="235">
        <f t="shared" si="14"/>
        <v>13735</v>
      </c>
    </row>
    <row r="209" spans="7:13" x14ac:dyDescent="0.2">
      <c r="G209" s="128">
        <v>206</v>
      </c>
      <c r="H209" s="129">
        <f t="shared" si="15"/>
        <v>67</v>
      </c>
      <c r="I209" s="130">
        <f>H209*(1-PARAM!$C$27)*$C$28</f>
        <v>56.078999999999994</v>
      </c>
      <c r="J209" s="131">
        <f t="shared" si="13"/>
        <v>14848.446122331085</v>
      </c>
      <c r="K209" s="132">
        <f>PARAM!$C$26+MAX(0,($C$25-CHOOSE(PARAM!$B$44,MAX(0,L208*IF(L208&gt;0,$K$1,1)),0)))*RATES!$L209/12+$C$26/CHOOSE(PARAM!$B$51,1,3,6,12)*RATES!$N209/100</f>
        <v>11.766674121451267</v>
      </c>
      <c r="L209" s="133">
        <f>IF($G209=PARAM!$B$56,ReviewValue,J209+$I209-K209)</f>
        <v>14892.758448209634</v>
      </c>
      <c r="M209" s="235">
        <f t="shared" si="14"/>
        <v>13802</v>
      </c>
    </row>
    <row r="210" spans="7:13" x14ac:dyDescent="0.2">
      <c r="G210" s="128">
        <v>207</v>
      </c>
      <c r="H210" s="129">
        <f>H198</f>
        <v>67</v>
      </c>
      <c r="I210" s="130">
        <f>H210*(1-PARAM!$C$27)*$C$28</f>
        <v>56.078999999999994</v>
      </c>
      <c r="J210" s="131">
        <f t="shared" si="13"/>
        <v>14982.783967077397</v>
      </c>
      <c r="K210" s="132">
        <f>PARAM!$C$26+MAX(0,($C$25-CHOOSE(PARAM!$B$44,MAX(0,L209*IF(L209&gt;0,$K$1,1)),0)))*RATES!$L210/12+$C$26/CHOOSE(PARAM!$B$51,1,3,6,12)*RATES!$N210/100</f>
        <v>11.7408140863376</v>
      </c>
      <c r="L210" s="133">
        <f>IF($G210=PARAM!$B$56,ReviewValue,J210+$I210-K210)</f>
        <v>15027.12215299106</v>
      </c>
      <c r="M210" s="235">
        <f t="shared" si="14"/>
        <v>13869</v>
      </c>
    </row>
    <row r="211" spans="7:13" x14ac:dyDescent="0.2">
      <c r="G211" s="128">
        <v>208</v>
      </c>
      <c r="H211" s="129">
        <f t="shared" si="15"/>
        <v>67</v>
      </c>
      <c r="I211" s="130">
        <f>H211*(1-PARAM!$C$27)*$C$28</f>
        <v>56.078999999999994</v>
      </c>
      <c r="J211" s="131">
        <f t="shared" si="13"/>
        <v>15117.959889574031</v>
      </c>
      <c r="K211" s="132">
        <f>PARAM!$C$26+MAX(0,($C$25-CHOOSE(PARAM!$B$44,MAX(0,L210*IF(L210&gt;0,$K$1,1)),0)))*RATES!$L211/12+$C$26/CHOOSE(PARAM!$B$51,1,3,6,12)*RATES!$N211/100</f>
        <v>11.714792721256998</v>
      </c>
      <c r="L211" s="133">
        <f>IF($G211=PARAM!$B$56,ReviewValue,J211+$I211-K211)</f>
        <v>15162.324096852773</v>
      </c>
      <c r="M211" s="235">
        <f t="shared" si="14"/>
        <v>13936</v>
      </c>
    </row>
    <row r="212" spans="7:13" x14ac:dyDescent="0.2">
      <c r="G212" s="128">
        <v>209</v>
      </c>
      <c r="H212" s="129">
        <f t="shared" si="15"/>
        <v>67</v>
      </c>
      <c r="I212" s="130">
        <f>H212*(1-PARAM!$C$27)*$C$28</f>
        <v>56.078999999999994</v>
      </c>
      <c r="J212" s="131">
        <f t="shared" si="13"/>
        <v>15253.979118238316</v>
      </c>
      <c r="K212" s="132">
        <f>PARAM!$C$26+MAX(0,($C$25-CHOOSE(PARAM!$B$44,MAX(0,L211*IF(L211&gt;0,$K$1,1)),0)))*RATES!$L212/12+$C$26/CHOOSE(PARAM!$B$51,1,3,6,12)*RATES!$N212/100</f>
        <v>11.688609019739122</v>
      </c>
      <c r="L212" s="133">
        <f>IF($G212=PARAM!$B$56,ReviewValue,J212+$I212-K212)</f>
        <v>15298.369509218577</v>
      </c>
      <c r="M212" s="235">
        <f t="shared" si="14"/>
        <v>14003</v>
      </c>
    </row>
    <row r="213" spans="7:13" x14ac:dyDescent="0.2">
      <c r="G213" s="128">
        <v>210</v>
      </c>
      <c r="H213" s="129">
        <f>H201</f>
        <v>67</v>
      </c>
      <c r="I213" s="130">
        <f>H213*(1-PARAM!$C$27)*$C$28</f>
        <v>56.078999999999994</v>
      </c>
      <c r="J213" s="131">
        <f t="shared" si="13"/>
        <v>15390.846914105497</v>
      </c>
      <c r="K213" s="132">
        <f>PARAM!$C$26+MAX(0,($C$25-CHOOSE(PARAM!$B$44,MAX(0,L212*IF(L212&gt;0,$K$1,1)),0)))*RATES!$L213/12+$C$26/CHOOSE(PARAM!$B$51,1,3,6,12)*RATES!$N213/100</f>
        <v>12.46980887437223</v>
      </c>
      <c r="L213" s="133">
        <f>IF($G213=PARAM!$B$56,ReviewValue,J213+$I213-K213)</f>
        <v>15434.456105231126</v>
      </c>
      <c r="M213" s="235">
        <f t="shared" si="14"/>
        <v>14070</v>
      </c>
    </row>
    <row r="214" spans="7:13" x14ac:dyDescent="0.2">
      <c r="G214" s="128">
        <v>211</v>
      </c>
      <c r="H214" s="129">
        <f t="shared" si="15"/>
        <v>67</v>
      </c>
      <c r="I214" s="130">
        <f>H214*(1-PARAM!$C$27)*$C$28</f>
        <v>56.078999999999994</v>
      </c>
      <c r="J214" s="131">
        <f t="shared" si="13"/>
        <v>15527.756142571232</v>
      </c>
      <c r="K214" s="132">
        <f>PARAM!$C$26+MAX(0,($C$25-CHOOSE(PARAM!$B$44,MAX(0,L213*IF(L213&gt;0,$K$1,1)),0)))*RATES!$L214/12+$C$26/CHOOSE(PARAM!$B$51,1,3,6,12)*RATES!$N214/100</f>
        <v>12.440259299228376</v>
      </c>
      <c r="L214" s="133">
        <f>IF($G214=PARAM!$B$56,ReviewValue,J214+$I214-K214)</f>
        <v>15571.394883272003</v>
      </c>
      <c r="M214" s="235">
        <f t="shared" si="14"/>
        <v>14137</v>
      </c>
    </row>
    <row r="215" spans="7:13" x14ac:dyDescent="0.2">
      <c r="G215" s="128">
        <v>212</v>
      </c>
      <c r="H215" s="129">
        <f t="shared" si="15"/>
        <v>67</v>
      </c>
      <c r="I215" s="130">
        <f>H215*(1-PARAM!$C$27)*$C$28</f>
        <v>56.078999999999994</v>
      </c>
      <c r="J215" s="131">
        <f t="shared" si="13"/>
        <v>15665.522704436653</v>
      </c>
      <c r="K215" s="132">
        <f>PARAM!$C$26+MAX(0,($C$25-CHOOSE(PARAM!$B$44,MAX(0,L214*IF(L214&gt;0,$K$1,1)),0)))*RATES!$L215/12+$C$26/CHOOSE(PARAM!$B$51,1,3,6,12)*RATES!$N215/100</f>
        <v>12.410524682959089</v>
      </c>
      <c r="L215" s="133">
        <f>IF($G215=PARAM!$B$56,ReviewValue,J215+$I215-K215)</f>
        <v>15709.191179753694</v>
      </c>
      <c r="M215" s="235">
        <f t="shared" si="14"/>
        <v>14204</v>
      </c>
    </row>
    <row r="216" spans="7:13" x14ac:dyDescent="0.2">
      <c r="G216" s="128">
        <v>213</v>
      </c>
      <c r="H216" s="129">
        <f>H204</f>
        <v>67</v>
      </c>
      <c r="I216" s="130">
        <f>H216*(1-PARAM!$C$27)*$C$28</f>
        <v>56.078999999999994</v>
      </c>
      <c r="J216" s="131">
        <f t="shared" ref="J216:J242" si="16">IF(L215&lt;0,L215,L215*$K$1)</f>
        <v>15804.151968372424</v>
      </c>
      <c r="K216" s="132">
        <f>PARAM!$C$26+MAX(0,($C$25-CHOOSE(PARAM!$B$44,MAX(0,L215*IF(L215&gt;0,$K$1,1)),0)))*RATES!$L216/12+$C$26/CHOOSE(PARAM!$B$51,1,3,6,12)*RATES!$N216/100</f>
        <v>12.380603866826284</v>
      </c>
      <c r="L216" s="133">
        <f>IF($G216=PARAM!$B$56,ReviewValue,J216+$I216-K216)</f>
        <v>15847.850364505597</v>
      </c>
      <c r="M216" s="235">
        <f t="shared" si="14"/>
        <v>14271</v>
      </c>
    </row>
    <row r="217" spans="7:13" x14ac:dyDescent="0.2">
      <c r="G217" s="128">
        <v>214</v>
      </c>
      <c r="H217" s="129">
        <f t="shared" si="15"/>
        <v>67</v>
      </c>
      <c r="I217" s="130">
        <f>H217*(1-PARAM!$C$27)*$C$28</f>
        <v>56.078999999999994</v>
      </c>
      <c r="J217" s="131">
        <f t="shared" si="16"/>
        <v>15943.649336668126</v>
      </c>
      <c r="K217" s="132">
        <f>PARAM!$C$26+MAX(0,($C$25-CHOOSE(PARAM!$B$44,MAX(0,L216*IF(L216&gt;0,$K$1,1)),0)))*RATES!$L217/12+$C$26/CHOOSE(PARAM!$B$51,1,3,6,12)*RATES!$N217/100</f>
        <v>12.350495684835796</v>
      </c>
      <c r="L217" s="133">
        <f>IF($G217=PARAM!$B$56,ReviewValue,J217+$I217-K217)</f>
        <v>15987.37784098329</v>
      </c>
      <c r="M217" s="235">
        <f t="shared" si="14"/>
        <v>14338</v>
      </c>
    </row>
    <row r="218" spans="7:13" x14ac:dyDescent="0.2">
      <c r="G218" s="128">
        <v>215</v>
      </c>
      <c r="H218" s="129">
        <f t="shared" si="15"/>
        <v>67</v>
      </c>
      <c r="I218" s="130">
        <f>H218*(1-PARAM!$C$27)*$C$28</f>
        <v>56.078999999999994</v>
      </c>
      <c r="J218" s="131">
        <f t="shared" si="16"/>
        <v>16084.020245442791</v>
      </c>
      <c r="K218" s="132">
        <f>PARAM!$C$26+MAX(0,($C$25-CHOOSE(PARAM!$B$44,MAX(0,L217*IF(L217&gt;0,$K$1,1)),0)))*RATES!$L218/12+$C$26/CHOOSE(PARAM!$B$51,1,3,6,12)*RATES!$N218/100</f>
        <v>12.320198963691929</v>
      </c>
      <c r="L218" s="133">
        <f>IF($G218=PARAM!$B$56,ReviewValue,J218+$I218-K218)</f>
        <v>16127.779046479098</v>
      </c>
      <c r="M218" s="235">
        <f t="shared" si="14"/>
        <v>14405</v>
      </c>
    </row>
    <row r="219" spans="7:13" x14ac:dyDescent="0.2">
      <c r="G219" s="128">
        <v>216</v>
      </c>
      <c r="H219" s="129">
        <f>H207</f>
        <v>67</v>
      </c>
      <c r="I219" s="130">
        <f>H219*(1-PARAM!$C$27)*$C$28</f>
        <v>56.078999999999994</v>
      </c>
      <c r="J219" s="131">
        <f t="shared" si="16"/>
        <v>16225.270164856733</v>
      </c>
      <c r="K219" s="132">
        <f>PARAM!$C$26+MAX(0,($C$25-CHOOSE(PARAM!$B$44,MAX(0,L218*IF(L218&gt;0,$K$1,1)),0)))*RATES!$L219/12+$C$26/CHOOSE(PARAM!$B$51,1,3,6,12)*RATES!$N219/100</f>
        <v>12.289712522751756</v>
      </c>
      <c r="L219" s="133">
        <f>IF($G219=PARAM!$B$56,ReviewValue,J219+$I219-K219)</f>
        <v>16269.059452333981</v>
      </c>
      <c r="M219" s="235">
        <f t="shared" si="14"/>
        <v>14472</v>
      </c>
    </row>
    <row r="220" spans="7:13" x14ac:dyDescent="0.2">
      <c r="G220" s="128">
        <v>217</v>
      </c>
      <c r="H220" s="129">
        <f t="shared" si="15"/>
        <v>67</v>
      </c>
      <c r="I220" s="130">
        <f>H220*(1-PARAM!$C$27)*$C$28</f>
        <v>56.078999999999994</v>
      </c>
      <c r="J220" s="131">
        <f t="shared" si="16"/>
        <v>16367.404599324727</v>
      </c>
      <c r="K220" s="132">
        <f>PARAM!$C$26+MAX(0,($C$25-CHOOSE(PARAM!$B$44,MAX(0,L219*IF(L219&gt;0,$K$1,1)),0)))*RATES!$L220/12+$C$26/CHOOSE(PARAM!$B$51,1,3,6,12)*RATES!$N220/100</f>
        <v>12.259035173979079</v>
      </c>
      <c r="L220" s="133">
        <f>IF($G220=PARAM!$B$56,ReviewValue,J220+$I220-K220)</f>
        <v>16411.224564150751</v>
      </c>
      <c r="M220" s="235">
        <f t="shared" si="14"/>
        <v>14539</v>
      </c>
    </row>
    <row r="221" spans="7:13" x14ac:dyDescent="0.2">
      <c r="G221" s="128">
        <v>218</v>
      </c>
      <c r="H221" s="129">
        <f t="shared" si="15"/>
        <v>67</v>
      </c>
      <c r="I221" s="130">
        <f>H221*(1-PARAM!$C$27)*$C$28</f>
        <v>56.078999999999994</v>
      </c>
      <c r="J221" s="131">
        <f t="shared" si="16"/>
        <v>16510.42908773051</v>
      </c>
      <c r="K221" s="132">
        <f>PARAM!$C$26+MAX(0,($C$25-CHOOSE(PARAM!$B$44,MAX(0,L220*IF(L220&gt;0,$K$1,1)),0)))*RATES!$L221/12+$C$26/CHOOSE(PARAM!$B$51,1,3,6,12)*RATES!$N221/100</f>
        <v>12.228165721898165</v>
      </c>
      <c r="L221" s="133">
        <f>IF($G221=PARAM!$B$56,ReviewValue,J221+$I221-K221)</f>
        <v>16554.279922008613</v>
      </c>
      <c r="M221" s="235">
        <f t="shared" si="14"/>
        <v>14606</v>
      </c>
    </row>
    <row r="222" spans="7:13" x14ac:dyDescent="0.2">
      <c r="G222" s="128">
        <v>219</v>
      </c>
      <c r="H222" s="129">
        <f>H210</f>
        <v>67</v>
      </c>
      <c r="I222" s="130">
        <f>H222*(1-PARAM!$C$27)*$C$28</f>
        <v>56.078999999999994</v>
      </c>
      <c r="J222" s="131">
        <f t="shared" si="16"/>
        <v>16654.349203642614</v>
      </c>
      <c r="K222" s="132">
        <f>PARAM!$C$26+MAX(0,($C$25-CHOOSE(PARAM!$B$44,MAX(0,L221*IF(L221&gt;0,$K$1,1)),0)))*RATES!$L222/12+$C$26/CHOOSE(PARAM!$B$51,1,3,6,12)*RATES!$N222/100</f>
        <v>12.197102963547135</v>
      </c>
      <c r="L222" s="133">
        <f>IF($G222=PARAM!$B$56,ReviewValue,J222+$I222-K222)</f>
        <v>16698.23110067907</v>
      </c>
      <c r="M222" s="235">
        <f t="shared" si="14"/>
        <v>14673</v>
      </c>
    </row>
    <row r="223" spans="7:13" x14ac:dyDescent="0.2">
      <c r="G223" s="128">
        <v>220</v>
      </c>
      <c r="H223" s="129">
        <f t="shared" si="15"/>
        <v>67</v>
      </c>
      <c r="I223" s="130">
        <f>H223*(1-PARAM!$C$27)*$C$28</f>
        <v>56.078999999999994</v>
      </c>
      <c r="J223" s="131">
        <f t="shared" si="16"/>
        <v>16799.170555531586</v>
      </c>
      <c r="K223" s="132">
        <f>PARAM!$C$26+MAX(0,($C$25-CHOOSE(PARAM!$B$44,MAX(0,L222*IF(L222&gt;0,$K$1,1)),0)))*RATES!$L223/12+$C$26/CHOOSE(PARAM!$B$51,1,3,6,12)*RATES!$N223/100</f>
        <v>12.165845688431098</v>
      </c>
      <c r="L223" s="133">
        <f>IF($G223=PARAM!$B$56,ReviewValue,J223+$I223-K223)</f>
        <v>16843.083709843155</v>
      </c>
      <c r="M223" s="235">
        <f t="shared" si="14"/>
        <v>14740</v>
      </c>
    </row>
    <row r="224" spans="7:13" x14ac:dyDescent="0.2">
      <c r="G224" s="128">
        <v>221</v>
      </c>
      <c r="H224" s="129">
        <f t="shared" si="15"/>
        <v>67</v>
      </c>
      <c r="I224" s="130">
        <f>H224*(1-PARAM!$C$27)*$C$28</f>
        <v>56.078999999999994</v>
      </c>
      <c r="J224" s="131">
        <f t="shared" si="16"/>
        <v>16944.898786988524</v>
      </c>
      <c r="K224" s="132">
        <f>PARAM!$C$26+MAX(0,($C$25-CHOOSE(PARAM!$B$44,MAX(0,L223*IF(L223&gt;0,$K$1,1)),0)))*RATES!$L224/12+$C$26/CHOOSE(PARAM!$B$51,1,3,6,12)*RATES!$N224/100</f>
        <v>12.134392678474978</v>
      </c>
      <c r="L224" s="133">
        <f>IF($G224=PARAM!$B$56,ReviewValue,J224+$I224-K224)</f>
        <v>16988.84339431005</v>
      </c>
      <c r="M224" s="235">
        <f t="shared" si="14"/>
        <v>14807</v>
      </c>
    </row>
    <row r="225" spans="7:13" x14ac:dyDescent="0.2">
      <c r="G225" s="128">
        <v>222</v>
      </c>
      <c r="H225" s="129">
        <f>H213</f>
        <v>67</v>
      </c>
      <c r="I225" s="130">
        <f>H225*(1-PARAM!$C$27)*$C$28</f>
        <v>56.078999999999994</v>
      </c>
      <c r="J225" s="131">
        <f t="shared" si="16"/>
        <v>17091.539576945026</v>
      </c>
      <c r="K225" s="132">
        <f>PARAM!$C$26+MAX(0,($C$25-CHOOSE(PARAM!$B$44,MAX(0,L224*IF(L224&gt;0,$K$1,1)),0)))*RATES!$L225/12+$C$26/CHOOSE(PARAM!$B$51,1,3,6,12)*RATES!$N225/100</f>
        <v>12.952877935571617</v>
      </c>
      <c r="L225" s="133">
        <f>IF($G225=PARAM!$B$56,ReviewValue,J225+$I225-K225)</f>
        <v>17134.665699009456</v>
      </c>
      <c r="M225" s="235">
        <f t="shared" si="14"/>
        <v>14874</v>
      </c>
    </row>
    <row r="226" spans="7:13" x14ac:dyDescent="0.2">
      <c r="G226" s="128">
        <v>223</v>
      </c>
      <c r="H226" s="129">
        <f t="shared" si="15"/>
        <v>67</v>
      </c>
      <c r="I226" s="130">
        <f>H226*(1-PARAM!$C$27)*$C$28</f>
        <v>56.078999999999994</v>
      </c>
      <c r="J226" s="131">
        <f t="shared" si="16"/>
        <v>17238.243365668277</v>
      </c>
      <c r="K226" s="132">
        <f>PARAM!$C$26+MAX(0,($C$25-CHOOSE(PARAM!$B$44,MAX(0,L225*IF(L225&gt;0,$K$1,1)),0)))*RATES!$L226/12+$C$26/CHOOSE(PARAM!$B$51,1,3,6,12)*RATES!$N226/100</f>
        <v>12.9174245199635</v>
      </c>
      <c r="L226" s="133">
        <f>IF($G226=PARAM!$B$56,ReviewValue,J226+$I226-K226)</f>
        <v>17281.404941148314</v>
      </c>
      <c r="M226" s="235">
        <f t="shared" si="14"/>
        <v>14941</v>
      </c>
    </row>
    <row r="227" spans="7:13" x14ac:dyDescent="0.2">
      <c r="G227" s="128">
        <v>224</v>
      </c>
      <c r="H227" s="129">
        <f t="shared" si="15"/>
        <v>67</v>
      </c>
      <c r="I227" s="130">
        <f>H227*(1-PARAM!$C$27)*$C$28</f>
        <v>56.078999999999994</v>
      </c>
      <c r="J227" s="131">
        <f t="shared" si="16"/>
        <v>17385.86963464355</v>
      </c>
      <c r="K227" s="132">
        <f>PARAM!$C$26+MAX(0,($C$25-CHOOSE(PARAM!$B$44,MAX(0,L226*IF(L226&gt;0,$K$1,1)),0)))*RATES!$L227/12+$C$26/CHOOSE(PARAM!$B$51,1,3,6,12)*RATES!$N227/100</f>
        <v>12.881748171627809</v>
      </c>
      <c r="L227" s="133">
        <f>IF($G227=PARAM!$B$56,ReviewValue,J227+$I227-K227)</f>
        <v>17429.066886471923</v>
      </c>
      <c r="M227" s="235">
        <f t="shared" si="14"/>
        <v>15008</v>
      </c>
    </row>
    <row r="228" spans="7:13" x14ac:dyDescent="0.2">
      <c r="G228" s="128">
        <v>225</v>
      </c>
      <c r="H228" s="129">
        <f>H216</f>
        <v>67</v>
      </c>
      <c r="I228" s="130">
        <f>H228*(1-PARAM!$C$27)*$C$28</f>
        <v>56.078999999999994</v>
      </c>
      <c r="J228" s="131">
        <f t="shared" si="16"/>
        <v>17534.424184469608</v>
      </c>
      <c r="K228" s="132">
        <f>PARAM!$C$26+MAX(0,($C$25-CHOOSE(PARAM!$B$44,MAX(0,L227*IF(L227&gt;0,$K$1,1)),0)))*RATES!$L228/12+$C$26/CHOOSE(PARAM!$B$51,1,3,6,12)*RATES!$N228/100</f>
        <v>12.845847488753179</v>
      </c>
      <c r="L228" s="133">
        <f>IF($G228=PARAM!$B$56,ReviewValue,J228+$I228-K228)</f>
        <v>17577.657336980858</v>
      </c>
      <c r="M228" s="235">
        <f t="shared" si="14"/>
        <v>15075</v>
      </c>
    </row>
    <row r="229" spans="7:13" x14ac:dyDescent="0.2">
      <c r="G229" s="128">
        <v>226</v>
      </c>
      <c r="H229" s="129">
        <f t="shared" si="15"/>
        <v>67</v>
      </c>
      <c r="I229" s="130">
        <f>H229*(1-PARAM!$C$27)*$C$28</f>
        <v>56.078999999999994</v>
      </c>
      <c r="J229" s="131">
        <f t="shared" si="16"/>
        <v>17683.912852219655</v>
      </c>
      <c r="K229" s="132">
        <f>PARAM!$C$26+MAX(0,($C$25-CHOOSE(PARAM!$B$44,MAX(0,L228*IF(L228&gt;0,$K$1,1)),0)))*RATES!$L229/12+$C$26/CHOOSE(PARAM!$B$51,1,3,6,12)*RATES!$N229/100</f>
        <v>12.809721060713581</v>
      </c>
      <c r="L229" s="133">
        <f>IF($G229=PARAM!$B$56,ReviewValue,J229+$I229-K229)</f>
        <v>17727.182131158945</v>
      </c>
      <c r="M229" s="235">
        <f t="shared" si="14"/>
        <v>15142</v>
      </c>
    </row>
    <row r="230" spans="7:13" x14ac:dyDescent="0.2">
      <c r="G230" s="128">
        <v>227</v>
      </c>
      <c r="H230" s="129">
        <f t="shared" si="15"/>
        <v>67</v>
      </c>
      <c r="I230" s="130">
        <f>H230*(1-PARAM!$C$27)*$C$28</f>
        <v>56.078999999999994</v>
      </c>
      <c r="J230" s="131">
        <f t="shared" si="16"/>
        <v>17834.341511670671</v>
      </c>
      <c r="K230" s="132">
        <f>PARAM!$C$26+MAX(0,($C$25-CHOOSE(PARAM!$B$44,MAX(0,L229*IF(L229&gt;0,$K$1,1)),0)))*RATES!$L230/12+$C$26/CHOOSE(PARAM!$B$51,1,3,6,12)*RATES!$N230/100</f>
        <v>12.773367468012921</v>
      </c>
      <c r="L230" s="133">
        <f>IF($G230=PARAM!$B$56,ReviewValue,J230+$I230-K230)</f>
        <v>17877.64714420266</v>
      </c>
      <c r="M230" s="235">
        <f t="shared" si="14"/>
        <v>15209</v>
      </c>
    </row>
    <row r="231" spans="7:13" x14ac:dyDescent="0.2">
      <c r="G231" s="128">
        <v>228</v>
      </c>
      <c r="H231" s="129">
        <f>H219</f>
        <v>67</v>
      </c>
      <c r="I231" s="130">
        <f>H231*(1-PARAM!$C$27)*$C$28</f>
        <v>56.078999999999994</v>
      </c>
      <c r="J231" s="131">
        <f t="shared" si="16"/>
        <v>17985.716073534226</v>
      </c>
      <c r="K231" s="132">
        <f>PARAM!$C$26+MAX(0,($C$25-CHOOSE(PARAM!$B$44,MAX(0,L230*IF(L230&gt;0,$K$1,1)),0)))*RATES!$L231/12+$C$26/CHOOSE(PARAM!$B$51,1,3,6,12)*RATES!$N231/100</f>
        <v>12.736785282229228</v>
      </c>
      <c r="L231" s="133">
        <f>IF($G231=PARAM!$B$56,ReviewValue,J231+$I231-K231)</f>
        <v>18029.058288251999</v>
      </c>
      <c r="M231" s="235">
        <f t="shared" si="14"/>
        <v>15276</v>
      </c>
    </row>
    <row r="232" spans="7:13" x14ac:dyDescent="0.2">
      <c r="G232" s="128">
        <v>229</v>
      </c>
      <c r="H232" s="129">
        <f t="shared" si="15"/>
        <v>67</v>
      </c>
      <c r="I232" s="130">
        <f>H232*(1-PARAM!$C$27)*$C$28</f>
        <v>56.078999999999994</v>
      </c>
      <c r="J232" s="131">
        <f t="shared" si="16"/>
        <v>18138.042485688718</v>
      </c>
      <c r="K232" s="132">
        <f>PARAM!$C$26+MAX(0,($C$25-CHOOSE(PARAM!$B$44,MAX(0,L231*IF(L231&gt;0,$K$1,1)),0)))*RATES!$L232/12+$C$26/CHOOSE(PARAM!$B$51,1,3,6,12)*RATES!$N232/100</f>
        <v>12.699973065958559</v>
      </c>
      <c r="L232" s="133">
        <f>IF($G232=PARAM!$B$56,ReviewValue,J232+$I232-K232)</f>
        <v>18181.421512622761</v>
      </c>
      <c r="M232" s="235">
        <f t="shared" si="14"/>
        <v>15343</v>
      </c>
    </row>
    <row r="233" spans="7:13" x14ac:dyDescent="0.2">
      <c r="G233" s="128">
        <v>230</v>
      </c>
      <c r="H233" s="129">
        <f t="shared" si="15"/>
        <v>67</v>
      </c>
      <c r="I233" s="130">
        <f>H233*(1-PARAM!$C$27)*$C$28</f>
        <v>56.078999999999994</v>
      </c>
      <c r="J233" s="131">
        <f t="shared" si="16"/>
        <v>18291.32673341308</v>
      </c>
      <c r="K233" s="132">
        <f>PARAM!$C$26+MAX(0,($C$25-CHOOSE(PARAM!$B$44,MAX(0,L232*IF(L232&gt;0,$K$1,1)),0)))*RATES!$L233/12+$C$26/CHOOSE(PARAM!$B$51,1,3,6,12)*RATES!$N233/100</f>
        <v>12.662929372758505</v>
      </c>
      <c r="L233" s="133">
        <f>IF($G233=PARAM!$B$56,ReviewValue,J233+$I233-K233)</f>
        <v>18334.742804040321</v>
      </c>
      <c r="M233" s="235">
        <f t="shared" si="14"/>
        <v>15410</v>
      </c>
    </row>
    <row r="234" spans="7:13" x14ac:dyDescent="0.2">
      <c r="G234" s="128">
        <v>231</v>
      </c>
      <c r="H234" s="129">
        <f>H222</f>
        <v>67</v>
      </c>
      <c r="I234" s="130">
        <f>H234*(1-PARAM!$C$27)*$C$28</f>
        <v>56.078999999999994</v>
      </c>
      <c r="J234" s="131">
        <f t="shared" si="16"/>
        <v>18445.574839621961</v>
      </c>
      <c r="K234" s="132">
        <f>PARAM!$C$26+MAX(0,($C$25-CHOOSE(PARAM!$B$44,MAX(0,L233*IF(L233&gt;0,$K$1,1)),0)))*RATES!$L234/12+$C$26/CHOOSE(PARAM!$B$51,1,3,6,12)*RATES!$N234/100</f>
        <v>12.625652747091358</v>
      </c>
      <c r="L234" s="133">
        <f>IF($G234=PARAM!$B$56,ReviewValue,J234+$I234-K234)</f>
        <v>18489.028186874872</v>
      </c>
      <c r="M234" s="235">
        <f t="shared" si="14"/>
        <v>15477</v>
      </c>
    </row>
    <row r="235" spans="7:13" x14ac:dyDescent="0.2">
      <c r="G235" s="128">
        <v>232</v>
      </c>
      <c r="H235" s="129">
        <f t="shared" si="15"/>
        <v>67</v>
      </c>
      <c r="I235" s="130">
        <f>H235*(1-PARAM!$C$27)*$C$28</f>
        <v>56.078999999999994</v>
      </c>
      <c r="J235" s="131">
        <f t="shared" si="16"/>
        <v>18600.792865102376</v>
      </c>
      <c r="K235" s="132">
        <f>PARAM!$C$26+MAX(0,($C$25-CHOOSE(PARAM!$B$44,MAX(0,L234*IF(L234&gt;0,$K$1,1)),0)))*RATES!$L235/12+$C$26/CHOOSE(PARAM!$B$51,1,3,6,12)*RATES!$N235/100</f>
        <v>12.588141724266926</v>
      </c>
      <c r="L235" s="133">
        <f>IF($G235=PARAM!$B$56,ReviewValue,J235+$I235-K235)</f>
        <v>18644.28372337811</v>
      </c>
      <c r="M235" s="235">
        <f t="shared" si="14"/>
        <v>15544</v>
      </c>
    </row>
    <row r="236" spans="7:13" x14ac:dyDescent="0.2">
      <c r="G236" s="128">
        <v>233</v>
      </c>
      <c r="H236" s="129">
        <f t="shared" si="15"/>
        <v>67</v>
      </c>
      <c r="I236" s="130">
        <f>H236*(1-PARAM!$C$27)*$C$28</f>
        <v>56.078999999999994</v>
      </c>
      <c r="J236" s="131">
        <f t="shared" si="16"/>
        <v>18756.986908751849</v>
      </c>
      <c r="K236" s="132">
        <f>PARAM!$C$26+MAX(0,($C$25-CHOOSE(PARAM!$B$44,MAX(0,L235*IF(L235&gt;0,$K$1,1)),0)))*RATES!$L236/12+$C$26/CHOOSE(PARAM!$B$51,1,3,6,12)*RATES!$N236/100</f>
        <v>12.55039483038497</v>
      </c>
      <c r="L236" s="133">
        <f>IF($G236=PARAM!$B$56,ReviewValue,J236+$I236-K236)</f>
        <v>18800.515513921466</v>
      </c>
      <c r="M236" s="235">
        <f t="shared" si="14"/>
        <v>15611</v>
      </c>
    </row>
    <row r="237" spans="7:13" x14ac:dyDescent="0.2">
      <c r="G237" s="128">
        <v>234</v>
      </c>
      <c r="H237" s="129">
        <f>H225</f>
        <v>67</v>
      </c>
      <c r="I237" s="130">
        <f>H237*(1-PARAM!$C$27)*$C$28</f>
        <v>56.078999999999994</v>
      </c>
      <c r="J237" s="131">
        <f t="shared" si="16"/>
        <v>18914.163107818062</v>
      </c>
      <c r="K237" s="132">
        <f>PARAM!$C$26+MAX(0,($C$25-CHOOSE(PARAM!$B$44,MAX(0,L236*IF(L236&gt;0,$K$1,1)),0)))*RATES!$L237/12+$C$26/CHOOSE(PARAM!$B$51,1,3,6,12)*RATES!$N237/100</f>
        <v>13.41908082496594</v>
      </c>
      <c r="L237" s="133">
        <f>IF($G237=PARAM!$B$56,ReviewValue,J237+$I237-K237)</f>
        <v>18956.823026993097</v>
      </c>
      <c r="M237" s="235">
        <f t="shared" si="14"/>
        <v>15678</v>
      </c>
    </row>
    <row r="238" spans="7:13" x14ac:dyDescent="0.2">
      <c r="G238" s="128">
        <v>235</v>
      </c>
      <c r="H238" s="129">
        <f t="shared" si="15"/>
        <v>67</v>
      </c>
      <c r="I238" s="130">
        <f>H238*(1-PARAM!$C$27)*$C$28</f>
        <v>56.078999999999994</v>
      </c>
      <c r="J238" s="131">
        <f t="shared" si="16"/>
        <v>19071.415487149101</v>
      </c>
      <c r="K238" s="132">
        <f>PARAM!$C$26+MAX(0,($C$25-CHOOSE(PARAM!$B$44,MAX(0,L237*IF(L237&gt;0,$K$1,1)),0)))*RATES!$L238/12+$C$26/CHOOSE(PARAM!$B$51,1,3,6,12)*RATES!$N238/100</f>
        <v>13.376491638897118</v>
      </c>
      <c r="L238" s="133">
        <f>IF($G238=PARAM!$B$56,ReviewValue,J238+$I238-K238)</f>
        <v>19114.117995510205</v>
      </c>
      <c r="M238" s="235">
        <f t="shared" si="14"/>
        <v>15745</v>
      </c>
    </row>
    <row r="239" spans="7:13" x14ac:dyDescent="0.2">
      <c r="G239" s="128">
        <v>236</v>
      </c>
      <c r="H239" s="129">
        <f t="shared" si="15"/>
        <v>67</v>
      </c>
      <c r="I239" s="130">
        <f>H239*(1-PARAM!$C$27)*$C$28</f>
        <v>56.078999999999994</v>
      </c>
      <c r="J239" s="131">
        <f t="shared" si="16"/>
        <v>19229.661291013821</v>
      </c>
      <c r="K239" s="132">
        <f>PARAM!$C$26+MAX(0,($C$25-CHOOSE(PARAM!$B$44,MAX(0,L238*IF(L238&gt;0,$K$1,1)),0)))*RATES!$L239/12+$C$26/CHOOSE(PARAM!$B$51,1,3,6,12)*RATES!$N239/100</f>
        <v>13.333633400350424</v>
      </c>
      <c r="L239" s="133">
        <f>IF($G239=PARAM!$B$56,ReviewValue,J239+$I239-K239)</f>
        <v>19272.406657613472</v>
      </c>
      <c r="M239" s="235">
        <f t="shared" si="14"/>
        <v>15812</v>
      </c>
    </row>
    <row r="240" spans="7:13" x14ac:dyDescent="0.2">
      <c r="G240" s="128">
        <v>237</v>
      </c>
      <c r="H240" s="129">
        <f>H228</f>
        <v>67</v>
      </c>
      <c r="I240" s="130">
        <f>H240*(1-PARAM!$C$27)*$C$28</f>
        <v>56.078999999999994</v>
      </c>
      <c r="J240" s="131">
        <f t="shared" si="16"/>
        <v>19388.906795261966</v>
      </c>
      <c r="K240" s="132">
        <f>PARAM!$C$26+MAX(0,($C$25-CHOOSE(PARAM!$B$44,MAX(0,L239*IF(L239&gt;0,$K$1,1)),0)))*RATES!$L240/12+$C$26/CHOOSE(PARAM!$B$51,1,3,6,12)*RATES!$N240/100</f>
        <v>13.290504409616551</v>
      </c>
      <c r="L240" s="133">
        <f>IF($G240=PARAM!$B$56,ReviewValue,J240+$I240-K240)</f>
        <v>19431.695290852353</v>
      </c>
      <c r="M240" s="235">
        <f t="shared" si="14"/>
        <v>15879</v>
      </c>
    </row>
    <row r="241" spans="7:13" x14ac:dyDescent="0.2">
      <c r="G241" s="128">
        <v>238</v>
      </c>
      <c r="H241" s="129">
        <f t="shared" si="15"/>
        <v>67</v>
      </c>
      <c r="I241" s="130">
        <f>H241*(1-PARAM!$C$27)*$C$28</f>
        <v>56.078999999999994</v>
      </c>
      <c r="J241" s="131">
        <f t="shared" si="16"/>
        <v>19549.158315390265</v>
      </c>
      <c r="K241" s="132">
        <f>PARAM!$C$26+MAX(0,($C$25-CHOOSE(PARAM!$B$44,MAX(0,L240*IF(L240&gt;0,$K$1,1)),0)))*RATES!$L241/12+$C$26/CHOOSE(PARAM!$B$51,1,3,6,12)*RATES!$N241/100</f>
        <v>13.247102956248471</v>
      </c>
      <c r="L241" s="133">
        <f>IF($G241=PARAM!$B$56,ReviewValue,J241+$I241-K241)</f>
        <v>19591.990212434019</v>
      </c>
      <c r="M241" s="235">
        <f t="shared" si="14"/>
        <v>15946</v>
      </c>
    </row>
    <row r="242" spans="7:13" x14ac:dyDescent="0.2">
      <c r="G242" s="128">
        <v>239</v>
      </c>
      <c r="H242" s="129">
        <f t="shared" si="15"/>
        <v>67</v>
      </c>
      <c r="I242" s="130">
        <f>H242*(1-PARAM!$C$27)*$C$28</f>
        <v>56.078999999999994</v>
      </c>
      <c r="J242" s="131">
        <f t="shared" si="16"/>
        <v>19710.422206792897</v>
      </c>
      <c r="K242" s="132">
        <f>PARAM!$C$26+MAX(0,($C$25-CHOOSE(PARAM!$B$44,MAX(0,L241*IF(L241&gt;0,$K$1,1)),0)))*RATES!$L242/12+$C$26/CHOOSE(PARAM!$B$51,1,3,6,12)*RATES!$N242/100</f>
        <v>13.20342731899359</v>
      </c>
      <c r="L242" s="133">
        <f>IF($G242=PARAM!$B$56,ReviewValue,J242+$I242-K242)</f>
        <v>19753.297779473905</v>
      </c>
      <c r="M242" s="235">
        <f t="shared" si="14"/>
        <v>16013</v>
      </c>
    </row>
    <row r="243" spans="7:13" x14ac:dyDescent="0.2">
      <c r="G243" s="128">
        <v>240</v>
      </c>
      <c r="H243" s="129">
        <f>H231</f>
        <v>67</v>
      </c>
      <c r="I243" s="130">
        <f>H243*(1-PARAM!$C$27)*$C$28</f>
        <v>56.078999999999994</v>
      </c>
      <c r="J243" s="234">
        <f>IF(L242&lt;0,L242,L242*$K$1)*(1+IF(L242&lt;0,0,PARAM!$C$31))</f>
        <v>20468.886010963954</v>
      </c>
      <c r="K243" s="132">
        <f>PARAM!$C$26+MAX(0,($C$25-CHOOSE(PARAM!$B$44,MAX(0,L242*IF(L242&gt;0,$K$1,1)),0)))*RATES!$L243/12+$C$26/CHOOSE(PARAM!$B$51,1,3,6,12)*RATES!$N243/100</f>
        <v>13.159475765725498</v>
      </c>
      <c r="L243" s="133">
        <f>IF($G243=PARAM!$B$56,ReviewValue,J243+$I243-K243)</f>
        <v>20511.805535198229</v>
      </c>
      <c r="M243" s="235">
        <f t="shared" si="14"/>
        <v>16080</v>
      </c>
    </row>
    <row r="244" spans="7:13" x14ac:dyDescent="0.2">
      <c r="G244" s="128">
        <v>241</v>
      </c>
      <c r="H244" s="129">
        <f t="shared" si="15"/>
        <v>67</v>
      </c>
      <c r="I244" s="130">
        <f>H244*(1-PARAM!$C$27)*$C$28</f>
        <v>56.078999999999994</v>
      </c>
      <c r="J244" s="131">
        <f t="shared" ref="J244:J275" si="17">IF(L243&lt;0,L243,L243*$K$1)</f>
        <v>20635.797738700523</v>
      </c>
      <c r="K244" s="132">
        <f>PARAM!$C$26+MAX(0,($C$25-CHOOSE(PARAM!$B$44,MAX(0,L243*IF(L243&gt;0,$K$1,1)),0)))*RATES!$L244/12+$C$26/CHOOSE(PARAM!$B$51,1,3,6,12)*RATES!$N244/100</f>
        <v>12.952804779101943</v>
      </c>
      <c r="L244" s="133">
        <f>IF($G244=PARAM!$B$56,ReviewValue,J244+$I244-K244)</f>
        <v>20678.923933921422</v>
      </c>
      <c r="M244" s="235">
        <f t="shared" si="14"/>
        <v>16147</v>
      </c>
    </row>
    <row r="245" spans="7:13" x14ac:dyDescent="0.2">
      <c r="G245" s="128">
        <v>242</v>
      </c>
      <c r="H245" s="129">
        <f t="shared" si="15"/>
        <v>67</v>
      </c>
      <c r="I245" s="130">
        <f>H245*(1-PARAM!$C$27)*$C$28</f>
        <v>56.078999999999994</v>
      </c>
      <c r="J245" s="131">
        <f t="shared" si="17"/>
        <v>20803.926354611463</v>
      </c>
      <c r="K245" s="132">
        <f>PARAM!$C$26+MAX(0,($C$25-CHOOSE(PARAM!$B$44,MAX(0,L244*IF(L244&gt;0,$K$1,1)),0)))*RATES!$L245/12+$C$26/CHOOSE(PARAM!$B$51,1,3,6,12)*RATES!$N245/100</f>
        <v>12.907269945626062</v>
      </c>
      <c r="L245" s="133">
        <f>IF($G245=PARAM!$B$56,ReviewValue,J245+$I245-K245)</f>
        <v>20847.098084665839</v>
      </c>
      <c r="M245" s="235">
        <f t="shared" si="14"/>
        <v>16214</v>
      </c>
    </row>
    <row r="246" spans="7:13" x14ac:dyDescent="0.2">
      <c r="G246" s="128">
        <v>243</v>
      </c>
      <c r="H246" s="129">
        <f>H234</f>
        <v>67</v>
      </c>
      <c r="I246" s="130">
        <f>H246*(1-PARAM!$C$27)*$C$28</f>
        <v>56.078999999999994</v>
      </c>
      <c r="J246" s="131">
        <f t="shared" si="17"/>
        <v>20973.117104479112</v>
      </c>
      <c r="K246" s="132">
        <f>PARAM!$C$26+MAX(0,($C$25-CHOOSE(PARAM!$B$44,MAX(0,L245*IF(L245&gt;0,$K$1,1)),0)))*RATES!$L246/12+$C$26/CHOOSE(PARAM!$B$51,1,3,6,12)*RATES!$N246/100</f>
        <v>12.861447450870241</v>
      </c>
      <c r="L246" s="133">
        <f>IF($G246=PARAM!$B$56,ReviewValue,J246+$I246-K246)</f>
        <v>21016.334657028245</v>
      </c>
      <c r="M246" s="235">
        <f t="shared" si="14"/>
        <v>16281</v>
      </c>
    </row>
    <row r="247" spans="7:13" x14ac:dyDescent="0.2">
      <c r="G247" s="128">
        <v>244</v>
      </c>
      <c r="H247" s="129">
        <f t="shared" si="15"/>
        <v>67</v>
      </c>
      <c r="I247" s="130">
        <f>H247*(1-PARAM!$C$27)*$C$28</f>
        <v>56.078999999999994</v>
      </c>
      <c r="J247" s="131">
        <f t="shared" si="17"/>
        <v>21143.376698217395</v>
      </c>
      <c r="K247" s="132">
        <f>PARAM!$C$26+MAX(0,($C$25-CHOOSE(PARAM!$B$44,MAX(0,L246*IF(L246&gt;0,$K$1,1)),0)))*RATES!$L247/12+$C$26/CHOOSE(PARAM!$B$51,1,3,6,12)*RATES!$N247/100</f>
        <v>12.815335477566123</v>
      </c>
      <c r="L247" s="133">
        <f>IF($G247=PARAM!$B$56,ReviewValue,J247+$I247-K247)</f>
        <v>21186.640362739829</v>
      </c>
      <c r="M247" s="235">
        <f t="shared" si="14"/>
        <v>16348</v>
      </c>
    </row>
    <row r="248" spans="7:13" x14ac:dyDescent="0.2">
      <c r="G248" s="128">
        <v>245</v>
      </c>
      <c r="H248" s="129">
        <f t="shared" si="15"/>
        <v>67</v>
      </c>
      <c r="I248" s="130">
        <f>H248*(1-PARAM!$C$27)*$C$28</f>
        <v>56.078999999999994</v>
      </c>
      <c r="J248" s="131">
        <f t="shared" si="17"/>
        <v>21314.711888129383</v>
      </c>
      <c r="K248" s="132">
        <f>PARAM!$C$26+MAX(0,($C$25-CHOOSE(PARAM!$B$44,MAX(0,L247*IF(L247&gt;0,$K$1,1)),0)))*RATES!$L248/12+$C$26/CHOOSE(PARAM!$B$51,1,3,6,12)*RATES!$N248/100</f>
        <v>12.768932196964958</v>
      </c>
      <c r="L248" s="133">
        <f>IF($G248=PARAM!$B$56,ReviewValue,J248+$I248-K248)</f>
        <v>21358.021955932418</v>
      </c>
      <c r="M248" s="235">
        <f t="shared" si="14"/>
        <v>16415</v>
      </c>
    </row>
    <row r="249" spans="7:13" x14ac:dyDescent="0.2">
      <c r="G249" s="128">
        <v>246</v>
      </c>
      <c r="H249" s="129">
        <f>H237</f>
        <v>67</v>
      </c>
      <c r="I249" s="130">
        <f>H249*(1-PARAM!$C$27)*$C$28</f>
        <v>56.078999999999994</v>
      </c>
      <c r="J249" s="131">
        <f t="shared" si="17"/>
        <v>21487.129469175074</v>
      </c>
      <c r="K249" s="132">
        <f>PARAM!$C$26+MAX(0,($C$25-CHOOSE(PARAM!$B$44,MAX(0,L248*IF(L248&gt;0,$K$1,1)),0)))*RATES!$L249/12+$C$26/CHOOSE(PARAM!$B$51,1,3,6,12)*RATES!$N249/100</f>
        <v>13.648904061016895</v>
      </c>
      <c r="L249" s="133">
        <f>IF($G249=PARAM!$B$56,ReviewValue,J249+$I249-K249)</f>
        <v>21529.559565114057</v>
      </c>
      <c r="M249" s="235">
        <f t="shared" si="14"/>
        <v>16482</v>
      </c>
    </row>
    <row r="250" spans="7:13" x14ac:dyDescent="0.2">
      <c r="G250" s="128">
        <v>247</v>
      </c>
      <c r="H250" s="129">
        <f t="shared" si="15"/>
        <v>67</v>
      </c>
      <c r="I250" s="130">
        <f>H250*(1-PARAM!$C$27)*$C$28</f>
        <v>56.078999999999994</v>
      </c>
      <c r="J250" s="131">
        <f t="shared" si="17"/>
        <v>21659.704009313838</v>
      </c>
      <c r="K250" s="132">
        <f>PARAM!$C$26+MAX(0,($C$25-CHOOSE(PARAM!$B$44,MAX(0,L249*IF(L249&gt;0,$K$1,1)),0)))*RATES!$L250/12+$C$26/CHOOSE(PARAM!$B$51,1,3,6,12)*RATES!$N250/100</f>
        <v>13.596556450508135</v>
      </c>
      <c r="L250" s="133">
        <f>IF($G250=PARAM!$B$56,ReviewValue,J250+$I250-K250)</f>
        <v>21702.18645286333</v>
      </c>
      <c r="M250" s="235">
        <f t="shared" si="14"/>
        <v>16549</v>
      </c>
    </row>
    <row r="251" spans="7:13" x14ac:dyDescent="0.2">
      <c r="G251" s="128">
        <v>248</v>
      </c>
      <c r="H251" s="129">
        <f t="shared" si="15"/>
        <v>67</v>
      </c>
      <c r="I251" s="130">
        <f>H251*(1-PARAM!$C$27)*$C$28</f>
        <v>56.078999999999994</v>
      </c>
      <c r="J251" s="131">
        <f t="shared" si="17"/>
        <v>21833.374412620971</v>
      </c>
      <c r="K251" s="132">
        <f>PARAM!$C$26+MAX(0,($C$25-CHOOSE(PARAM!$B$44,MAX(0,L250*IF(L250&gt;0,$K$1,1)),0)))*RATES!$L251/12+$C$26/CHOOSE(PARAM!$B$51,1,3,6,12)*RATES!$N251/100</f>
        <v>13.543876428171638</v>
      </c>
      <c r="L251" s="133">
        <f>IF($G251=PARAM!$B$56,ReviewValue,J251+$I251-K251)</f>
        <v>21875.909536192801</v>
      </c>
      <c r="M251" s="235">
        <f t="shared" si="14"/>
        <v>16616</v>
      </c>
    </row>
    <row r="252" spans="7:13" x14ac:dyDescent="0.2">
      <c r="G252" s="128">
        <v>249</v>
      </c>
      <c r="H252" s="129">
        <f>H240</f>
        <v>67</v>
      </c>
      <c r="I252" s="130">
        <f>H252*(1-PARAM!$C$27)*$C$28</f>
        <v>56.078999999999994</v>
      </c>
      <c r="J252" s="131">
        <f t="shared" si="17"/>
        <v>22008.147637921818</v>
      </c>
      <c r="K252" s="132">
        <f>PARAM!$C$26+MAX(0,($C$25-CHOOSE(PARAM!$B$44,MAX(0,L251*IF(L251&gt;0,$K$1,1)),0)))*RATES!$L252/12+$C$26/CHOOSE(PARAM!$B$51,1,3,6,12)*RATES!$N252/100</f>
        <v>13.490861883163715</v>
      </c>
      <c r="L252" s="133">
        <f>IF($G252=PARAM!$B$56,ReviewValue,J252+$I252-K252)</f>
        <v>22050.735776038655</v>
      </c>
      <c r="M252" s="235">
        <f t="shared" si="14"/>
        <v>16683</v>
      </c>
    </row>
    <row r="253" spans="7:13" x14ac:dyDescent="0.2">
      <c r="G253" s="128">
        <v>250</v>
      </c>
      <c r="H253" s="129">
        <f t="shared" si="15"/>
        <v>67</v>
      </c>
      <c r="I253" s="130">
        <f>H253*(1-PARAM!$C$27)*$C$28</f>
        <v>56.078999999999994</v>
      </c>
      <c r="J253" s="131">
        <f t="shared" si="17"/>
        <v>22184.030688230861</v>
      </c>
      <c r="K253" s="132">
        <f>PARAM!$C$26+MAX(0,($C$25-CHOOSE(PARAM!$B$44,MAX(0,L252*IF(L252&gt;0,$K$1,1)),0)))*RATES!$L253/12+$C$26/CHOOSE(PARAM!$B$51,1,3,6,12)*RATES!$N253/100</f>
        <v>13.437510691236639</v>
      </c>
      <c r="L253" s="133">
        <f>IF($G253=PARAM!$B$56,ReviewValue,J253+$I253-K253)</f>
        <v>22226.672177539625</v>
      </c>
      <c r="M253" s="235">
        <f t="shared" si="14"/>
        <v>16750</v>
      </c>
    </row>
    <row r="254" spans="7:13" x14ac:dyDescent="0.2">
      <c r="G254" s="128">
        <v>251</v>
      </c>
      <c r="H254" s="129">
        <f t="shared" si="15"/>
        <v>67</v>
      </c>
      <c r="I254" s="130">
        <f>H254*(1-PARAM!$C$27)*$C$28</f>
        <v>56.078999999999994</v>
      </c>
      <c r="J254" s="131">
        <f t="shared" si="17"/>
        <v>22361.030611032329</v>
      </c>
      <c r="K254" s="132">
        <f>PARAM!$C$26+MAX(0,($C$25-CHOOSE(PARAM!$B$44,MAX(0,L253*IF(L253&gt;0,$K$1,1)),0)))*RATES!$L254/12+$C$26/CHOOSE(PARAM!$B$51,1,3,6,12)*RATES!$N254/100</f>
        <v>13.383820714653526</v>
      </c>
      <c r="L254" s="133">
        <f>IF($G254=PARAM!$B$56,ReviewValue,J254+$I254-K254)</f>
        <v>22403.725790317676</v>
      </c>
      <c r="M254" s="235">
        <f t="shared" si="14"/>
        <v>16817</v>
      </c>
    </row>
    <row r="255" spans="7:13" x14ac:dyDescent="0.2">
      <c r="G255" s="128">
        <v>252</v>
      </c>
      <c r="H255" s="129">
        <f>H243</f>
        <v>67</v>
      </c>
      <c r="I255" s="130">
        <f>H255*(1-PARAM!$C$27)*$C$28</f>
        <v>56.078999999999994</v>
      </c>
      <c r="J255" s="131">
        <f t="shared" si="17"/>
        <v>22539.154498562581</v>
      </c>
      <c r="K255" s="132">
        <f>PARAM!$C$26+MAX(0,($C$25-CHOOSE(PARAM!$B$44,MAX(0,L254*IF(L254&gt;0,$K$1,1)),0)))*RATES!$L255/12+$C$26/CHOOSE(PARAM!$B$51,1,3,6,12)*RATES!$N255/100</f>
        <v>13.329789802102683</v>
      </c>
      <c r="L255" s="133">
        <f>IF($G255=PARAM!$B$56,ReviewValue,J255+$I255-K255)</f>
        <v>22581.903708760481</v>
      </c>
      <c r="M255" s="235">
        <f t="shared" si="14"/>
        <v>16884</v>
      </c>
    </row>
    <row r="256" spans="7:13" x14ac:dyDescent="0.2">
      <c r="G256" s="128">
        <v>253</v>
      </c>
      <c r="H256" s="129">
        <f t="shared" si="15"/>
        <v>67</v>
      </c>
      <c r="I256" s="130">
        <f>H256*(1-PARAM!$C$27)*$C$28</f>
        <v>56.078999999999994</v>
      </c>
      <c r="J256" s="131">
        <f t="shared" si="17"/>
        <v>22718.40948809429</v>
      </c>
      <c r="K256" s="132">
        <f>PARAM!$C$26+MAX(0,($C$25-CHOOSE(PARAM!$B$44,MAX(0,L255*IF(L255&gt;0,$K$1,1)),0)))*RATES!$L256/12+$C$26/CHOOSE(PARAM!$B$51,1,3,6,12)*RATES!$N256/100</f>
        <v>13.275415788611399</v>
      </c>
      <c r="L256" s="133">
        <f>IF($G256=PARAM!$B$56,ReviewValue,J256+$I256-K256)</f>
        <v>22761.21307230568</v>
      </c>
      <c r="M256" s="235">
        <f t="shared" si="14"/>
        <v>16951</v>
      </c>
    </row>
    <row r="257" spans="7:13" x14ac:dyDescent="0.2">
      <c r="G257" s="128">
        <v>254</v>
      </c>
      <c r="H257" s="129">
        <f t="shared" si="15"/>
        <v>67</v>
      </c>
      <c r="I257" s="130">
        <f>H257*(1-PARAM!$C$27)*$C$28</f>
        <v>56.078999999999994</v>
      </c>
      <c r="J257" s="131">
        <f t="shared" si="17"/>
        <v>22898.802762222418</v>
      </c>
      <c r="K257" s="132">
        <f>PARAM!$C$26+MAX(0,($C$25-CHOOSE(PARAM!$B$44,MAX(0,L256*IF(L256&gt;0,$K$1,1)),0)))*RATES!$L257/12+$C$26/CHOOSE(PARAM!$B$51,1,3,6,12)*RATES!$N257/100</f>
        <v>13.220696495459199</v>
      </c>
      <c r="L257" s="133">
        <f>IF($G257=PARAM!$B$56,ReviewValue,J257+$I257-K257)</f>
        <v>22941.661065726959</v>
      </c>
      <c r="M257" s="235">
        <f t="shared" si="14"/>
        <v>17018</v>
      </c>
    </row>
    <row r="258" spans="7:13" x14ac:dyDescent="0.2">
      <c r="G258" s="128">
        <v>255</v>
      </c>
      <c r="H258" s="129">
        <f>H246</f>
        <v>67</v>
      </c>
      <c r="I258" s="130">
        <f>H258*(1-PARAM!$C$27)*$C$28</f>
        <v>56.078999999999994</v>
      </c>
      <c r="J258" s="131">
        <f t="shared" si="17"/>
        <v>23080.341549152025</v>
      </c>
      <c r="K258" s="132">
        <f>PARAM!$C$26+MAX(0,($C$25-CHOOSE(PARAM!$B$44,MAX(0,L257*IF(L257&gt;0,$K$1,1)),0)))*RATES!$L258/12+$C$26/CHOOSE(PARAM!$B$51,1,3,6,12)*RATES!$N258/100</f>
        <v>13.165629730090552</v>
      </c>
      <c r="L258" s="133">
        <f>IF($G258=PARAM!$B$56,ReviewValue,J258+$I258-K258)</f>
        <v>23123.254919421935</v>
      </c>
      <c r="M258" s="235">
        <f t="shared" si="14"/>
        <v>17085</v>
      </c>
    </row>
    <row r="259" spans="7:13" x14ac:dyDescent="0.2">
      <c r="G259" s="128">
        <v>256</v>
      </c>
      <c r="H259" s="129">
        <f t="shared" si="15"/>
        <v>67</v>
      </c>
      <c r="I259" s="130">
        <f>H259*(1-PARAM!$C$27)*$C$28</f>
        <v>56.078999999999994</v>
      </c>
      <c r="J259" s="131">
        <f t="shared" si="17"/>
        <v>23263.033122987898</v>
      </c>
      <c r="K259" s="132">
        <f>PARAM!$C$26+MAX(0,($C$25-CHOOSE(PARAM!$B$44,MAX(0,L258*IF(L258&gt;0,$K$1,1)),0)))*RATES!$L259/12+$C$26/CHOOSE(PARAM!$B$51,1,3,6,12)*RATES!$N259/100</f>
        <v>13.110213286027005</v>
      </c>
      <c r="L259" s="133">
        <f>IF($G259=PARAM!$B$56,ReviewValue,J259+$I259-K259)</f>
        <v>23306.00190970187</v>
      </c>
      <c r="M259" s="235">
        <f t="shared" si="14"/>
        <v>17152</v>
      </c>
    </row>
    <row r="260" spans="7:13" x14ac:dyDescent="0.2">
      <c r="G260" s="128">
        <v>257</v>
      </c>
      <c r="H260" s="129">
        <f t="shared" si="15"/>
        <v>67</v>
      </c>
      <c r="I260" s="130">
        <f>H260*(1-PARAM!$C$27)*$C$28</f>
        <v>56.078999999999994</v>
      </c>
      <c r="J260" s="131">
        <f t="shared" si="17"/>
        <v>23446.884804026005</v>
      </c>
      <c r="K260" s="132">
        <f>PARAM!$C$26+MAX(0,($C$25-CHOOSE(PARAM!$B$44,MAX(0,L259*IF(L259&gt;0,$K$1,1)),0)))*RATES!$L260/12+$C$26/CHOOSE(PARAM!$B$51,1,3,6,12)*RATES!$N260/100</f>
        <v>13.054444942778778</v>
      </c>
      <c r="L260" s="133">
        <f>IF($G260=PARAM!$B$56,ReviewValue,J260+$I260-K260)</f>
        <v>23489.909359083227</v>
      </c>
      <c r="M260" s="235">
        <f t="shared" ref="M260:M323" si="18">M259+H259</f>
        <v>17219</v>
      </c>
    </row>
    <row r="261" spans="7:13" x14ac:dyDescent="0.2">
      <c r="G261" s="128">
        <v>258</v>
      </c>
      <c r="H261" s="129">
        <f>H249</f>
        <v>67</v>
      </c>
      <c r="I261" s="130">
        <f>H261*(1-PARAM!$C$27)*$C$28</f>
        <v>56.078999999999994</v>
      </c>
      <c r="J261" s="131">
        <f t="shared" si="17"/>
        <v>23631.903959046838</v>
      </c>
      <c r="K261" s="132">
        <f>PARAM!$C$26+MAX(0,($C$25-CHOOSE(PARAM!$B$44,MAX(0,L260*IF(L260&gt;0,$K$1,1)),0)))*RATES!$L261/12+$C$26/CHOOSE(PARAM!$B$51,1,3,6,12)*RATES!$N261/100</f>
        <v>13.943179240556615</v>
      </c>
      <c r="L261" s="133">
        <f>IF($G261=PARAM!$B$56,ReviewValue,J261+$I261-K261)</f>
        <v>23674.039779806284</v>
      </c>
      <c r="M261" s="235">
        <f t="shared" si="18"/>
        <v>17286</v>
      </c>
    </row>
    <row r="262" spans="7:13" x14ac:dyDescent="0.2">
      <c r="G262" s="128">
        <v>259</v>
      </c>
      <c r="H262" s="129">
        <f t="shared" si="15"/>
        <v>67</v>
      </c>
      <c r="I262" s="130">
        <f>H262*(1-PARAM!$C$27)*$C$28</f>
        <v>56.078999999999994</v>
      </c>
      <c r="J262" s="131">
        <f t="shared" si="17"/>
        <v>23817.147433253074</v>
      </c>
      <c r="K262" s="132">
        <f>PARAM!$C$26+MAX(0,($C$25-CHOOSE(PARAM!$B$44,MAX(0,L261*IF(L261&gt;0,$K$1,1)),0)))*RATES!$L262/12+$C$26/CHOOSE(PARAM!$B$51,1,3,6,12)*RATES!$N262/100</f>
        <v>13.880350828888334</v>
      </c>
      <c r="L262" s="133">
        <f>IF($G262=PARAM!$B$56,ReviewValue,J262+$I262-K262)</f>
        <v>23859.346082424188</v>
      </c>
      <c r="M262" s="235">
        <f t="shared" si="18"/>
        <v>17353</v>
      </c>
    </row>
    <row r="263" spans="7:13" x14ac:dyDescent="0.2">
      <c r="G263" s="128">
        <v>260</v>
      </c>
      <c r="H263" s="129">
        <f t="shared" si="15"/>
        <v>67</v>
      </c>
      <c r="I263" s="130">
        <f>H263*(1-PARAM!$C$27)*$C$28</f>
        <v>56.078999999999994</v>
      </c>
      <c r="J263" s="131">
        <f t="shared" si="17"/>
        <v>24003.573897464994</v>
      </c>
      <c r="K263" s="132">
        <f>PARAM!$C$26+MAX(0,($C$25-CHOOSE(PARAM!$B$44,MAX(0,L262*IF(L262&gt;0,$K$1,1)),0)))*RATES!$L263/12+$C$26/CHOOSE(PARAM!$B$51,1,3,6,12)*RATES!$N263/100</f>
        <v>13.817121186443124</v>
      </c>
      <c r="L263" s="133">
        <f>IF($G263=PARAM!$B$56,ReviewValue,J263+$I263-K263)</f>
        <v>24045.835776278553</v>
      </c>
      <c r="M263" s="235">
        <f t="shared" si="18"/>
        <v>17420</v>
      </c>
    </row>
    <row r="264" spans="7:13" x14ac:dyDescent="0.2">
      <c r="G264" s="128">
        <v>261</v>
      </c>
      <c r="H264" s="129">
        <f>H252</f>
        <v>67</v>
      </c>
      <c r="I264" s="130">
        <f>H264*(1-PARAM!$C$27)*$C$28</f>
        <v>56.078999999999994</v>
      </c>
      <c r="J264" s="131">
        <f t="shared" si="17"/>
        <v>24191.190906417574</v>
      </c>
      <c r="K264" s="132">
        <f>PARAM!$C$26+MAX(0,($C$25-CHOOSE(PARAM!$B$44,MAX(0,L263*IF(L263&gt;0,$K$1,1)),0)))*RATES!$L264/12+$C$26/CHOOSE(PARAM!$B$51,1,3,6,12)*RATES!$N264/100</f>
        <v>13.753487750906707</v>
      </c>
      <c r="L264" s="133">
        <f>IF($G264=PARAM!$B$56,ReviewValue,J264+$I264-K264)</f>
        <v>24233.51641866667</v>
      </c>
      <c r="M264" s="235">
        <f t="shared" si="18"/>
        <v>17487</v>
      </c>
    </row>
    <row r="265" spans="7:13" x14ac:dyDescent="0.2">
      <c r="G265" s="128">
        <v>262</v>
      </c>
      <c r="H265" s="129">
        <f t="shared" si="15"/>
        <v>67</v>
      </c>
      <c r="I265" s="130">
        <f>H265*(1-PARAM!$C$27)*$C$28</f>
        <v>56.078999999999994</v>
      </c>
      <c r="J265" s="131">
        <f t="shared" si="17"/>
        <v>24380.006063091354</v>
      </c>
      <c r="K265" s="132">
        <f>PARAM!$C$26+MAX(0,($C$25-CHOOSE(PARAM!$B$44,MAX(0,L264*IF(L264&gt;0,$K$1,1)),0)))*RATES!$L265/12+$C$26/CHOOSE(PARAM!$B$51,1,3,6,12)*RATES!$N265/100</f>
        <v>13.689447943601516</v>
      </c>
      <c r="L265" s="133">
        <f>IF($G265=PARAM!$B$56,ReviewValue,J265+$I265-K265)</f>
        <v>24422.395615147754</v>
      </c>
      <c r="M265" s="235">
        <f t="shared" si="18"/>
        <v>17554</v>
      </c>
    </row>
    <row r="266" spans="7:13" x14ac:dyDescent="0.2">
      <c r="G266" s="128">
        <v>263</v>
      </c>
      <c r="H266" s="129">
        <f t="shared" si="15"/>
        <v>67</v>
      </c>
      <c r="I266" s="130">
        <f>H266*(1-PARAM!$C$27)*$C$28</f>
        <v>56.078999999999994</v>
      </c>
      <c r="J266" s="131">
        <f t="shared" si="17"/>
        <v>24570.027019020541</v>
      </c>
      <c r="K266" s="132">
        <f>PARAM!$C$26+MAX(0,($C$25-CHOOSE(PARAM!$B$44,MAX(0,L265*IF(L265&gt;0,$K$1,1)),0)))*RATES!$L266/12+$C$26/CHOOSE(PARAM!$B$51,1,3,6,12)*RATES!$N266/100</f>
        <v>13.624999169382201</v>
      </c>
      <c r="L266" s="133">
        <f>IF($G266=PARAM!$B$56,ReviewValue,J266+$I266-K266)</f>
        <v>24612.481019851159</v>
      </c>
      <c r="M266" s="235">
        <f t="shared" si="18"/>
        <v>17621</v>
      </c>
    </row>
    <row r="267" spans="7:13" x14ac:dyDescent="0.2">
      <c r="G267" s="128">
        <v>264</v>
      </c>
      <c r="H267" s="129">
        <f>H255</f>
        <v>67</v>
      </c>
      <c r="I267" s="130">
        <f>H267*(1-PARAM!$C$27)*$C$28</f>
        <v>56.078999999999994</v>
      </c>
      <c r="J267" s="131">
        <f t="shared" si="17"/>
        <v>24761.261474603074</v>
      </c>
      <c r="K267" s="132">
        <f>PARAM!$C$26+MAX(0,($C$25-CHOOSE(PARAM!$B$44,MAX(0,L266*IF(L266&gt;0,$K$1,1)),0)))*RATES!$L267/12+$C$26/CHOOSE(PARAM!$B$51,1,3,6,12)*RATES!$N267/100</f>
        <v>13.560138816530459</v>
      </c>
      <c r="L267" s="133">
        <f>IF($G267=PARAM!$B$56,ReviewValue,J267+$I267-K267)</f>
        <v>24803.780335786545</v>
      </c>
      <c r="M267" s="235">
        <f t="shared" si="18"/>
        <v>17688</v>
      </c>
    </row>
    <row r="268" spans="7:13" x14ac:dyDescent="0.2">
      <c r="G268" s="128">
        <v>265</v>
      </c>
      <c r="H268" s="129">
        <f t="shared" si="15"/>
        <v>67</v>
      </c>
      <c r="I268" s="130">
        <f>H268*(1-PARAM!$C$27)*$C$28</f>
        <v>56.078999999999994</v>
      </c>
      <c r="J268" s="131">
        <f t="shared" si="17"/>
        <v>24953.717179412695</v>
      </c>
      <c r="K268" s="132">
        <f>PARAM!$C$26+MAX(0,($C$25-CHOOSE(PARAM!$B$44,MAX(0,L267*IF(L267&gt;0,$K$1,1)),0)))*RATES!$L268/12+$C$26/CHOOSE(PARAM!$B$51,1,3,6,12)*RATES!$N268/100</f>
        <v>13.494864256649196</v>
      </c>
      <c r="L268" s="133">
        <f>IF($G268=PARAM!$B$56,ReviewValue,J268+$I268-K268)</f>
        <v>24996.301315156048</v>
      </c>
      <c r="M268" s="235">
        <f t="shared" si="18"/>
        <v>17755</v>
      </c>
    </row>
    <row r="269" spans="7:13" x14ac:dyDescent="0.2">
      <c r="G269" s="128">
        <v>266</v>
      </c>
      <c r="H269" s="129">
        <f t="shared" si="15"/>
        <v>67</v>
      </c>
      <c r="I269" s="130">
        <f>H269*(1-PARAM!$C$27)*$C$28</f>
        <v>56.078999999999994</v>
      </c>
      <c r="J269" s="131">
        <f t="shared" si="17"/>
        <v>25147.401932512963</v>
      </c>
      <c r="K269" s="132">
        <f>PARAM!$C$26+MAX(0,($C$25-CHOOSE(PARAM!$B$44,MAX(0,L268*IF(L268&gt;0,$K$1,1)),0)))*RATES!$L269/12+$C$26/CHOOSE(PARAM!$B$51,1,3,6,12)*RATES!$N269/100</f>
        <v>13.429172844556021</v>
      </c>
      <c r="L269" s="133">
        <f>IF($G269=PARAM!$B$56,ReviewValue,J269+$I269-K269)</f>
        <v>25190.051759668408</v>
      </c>
      <c r="M269" s="235">
        <f t="shared" si="18"/>
        <v>17822</v>
      </c>
    </row>
    <row r="270" spans="7:13" x14ac:dyDescent="0.2">
      <c r="G270" s="128">
        <v>267</v>
      </c>
      <c r="H270" s="129">
        <f>H258</f>
        <v>67</v>
      </c>
      <c r="I270" s="130">
        <f>H270*(1-PARAM!$C$27)*$C$28</f>
        <v>56.078999999999994</v>
      </c>
      <c r="J270" s="131">
        <f t="shared" si="17"/>
        <v>25342.323582773319</v>
      </c>
      <c r="K270" s="132">
        <f>PARAM!$C$26+MAX(0,($C$25-CHOOSE(PARAM!$B$44,MAX(0,L269*IF(L269&gt;0,$K$1,1)),0)))*RATES!$L270/12+$C$26/CHOOSE(PARAM!$B$51,1,3,6,12)*RATES!$N270/100</f>
        <v>13.363061918176051</v>
      </c>
      <c r="L270" s="133">
        <f>IF($G270=PARAM!$B$56,ReviewValue,J270+$I270-K270)</f>
        <v>25385.039520855145</v>
      </c>
      <c r="M270" s="235">
        <f t="shared" si="18"/>
        <v>17889</v>
      </c>
    </row>
    <row r="271" spans="7:13" x14ac:dyDescent="0.2">
      <c r="G271" s="128">
        <v>268</v>
      </c>
      <c r="H271" s="129">
        <f t="shared" ref="H271:H334" si="19">H259</f>
        <v>67</v>
      </c>
      <c r="I271" s="130">
        <f>H271*(1-PARAM!$C$27)*$C$28</f>
        <v>56.078999999999994</v>
      </c>
      <c r="J271" s="131">
        <f t="shared" si="17"/>
        <v>25538.49002918716</v>
      </c>
      <c r="K271" s="132">
        <f>PARAM!$C$26+MAX(0,($C$25-CHOOSE(PARAM!$B$44,MAX(0,L270*IF(L270&gt;0,$K$1,1)),0)))*RATES!$L271/12+$C$26/CHOOSE(PARAM!$B$51,1,3,6,12)*RATES!$N271/100</f>
        <v>13.296528798434023</v>
      </c>
      <c r="L271" s="133">
        <f>IF($G271=PARAM!$B$56,ReviewValue,J271+$I271-K271)</f>
        <v>25581.272500388728</v>
      </c>
      <c r="M271" s="235">
        <f t="shared" si="18"/>
        <v>17956</v>
      </c>
    </row>
    <row r="272" spans="7:13" x14ac:dyDescent="0.2">
      <c r="G272" s="128">
        <v>269</v>
      </c>
      <c r="H272" s="129">
        <f t="shared" si="19"/>
        <v>67</v>
      </c>
      <c r="I272" s="130">
        <f>H272*(1-PARAM!$C$27)*$C$28</f>
        <v>56.078999999999994</v>
      </c>
      <c r="J272" s="131">
        <f t="shared" si="17"/>
        <v>25735.90922119192</v>
      </c>
      <c r="K272" s="132">
        <f>PARAM!$C$26+MAX(0,($C$25-CHOOSE(PARAM!$B$44,MAX(0,L271*IF(L271&gt;0,$K$1,1)),0)))*RATES!$L272/12+$C$26/CHOOSE(PARAM!$B$51,1,3,6,12)*RATES!$N272/100</f>
        <v>13.229570789145741</v>
      </c>
      <c r="L272" s="133">
        <f>IF($G272=PARAM!$B$56,ReviewValue,J272+$I272-K272)</f>
        <v>25778.758650402775</v>
      </c>
      <c r="M272" s="235">
        <f t="shared" si="18"/>
        <v>18023</v>
      </c>
    </row>
    <row r="273" spans="7:13" x14ac:dyDescent="0.2">
      <c r="G273" s="128">
        <v>270</v>
      </c>
      <c r="H273" s="129">
        <f>H261</f>
        <v>67</v>
      </c>
      <c r="I273" s="130">
        <f>H273*(1-PARAM!$C$27)*$C$28</f>
        <v>56.078999999999994</v>
      </c>
      <c r="J273" s="131">
        <f t="shared" si="17"/>
        <v>25934.589158991221</v>
      </c>
      <c r="K273" s="132">
        <f>PARAM!$C$26+MAX(0,($C$25-CHOOSE(PARAM!$B$44,MAX(0,L272*IF(L272&gt;0,$K$1,1)),0)))*RATES!$L273/12+$C$26/CHOOSE(PARAM!$B$51,1,3,6,12)*RATES!$N273/100</f>
        <v>14.144856119583336</v>
      </c>
      <c r="L273" s="133">
        <f>IF($G273=PARAM!$B$56,ReviewValue,J273+$I273-K273)</f>
        <v>25976.523302871639</v>
      </c>
      <c r="M273" s="235">
        <f t="shared" si="18"/>
        <v>18090</v>
      </c>
    </row>
    <row r="274" spans="7:13" x14ac:dyDescent="0.2">
      <c r="G274" s="128">
        <v>271</v>
      </c>
      <c r="H274" s="129">
        <f t="shared" si="19"/>
        <v>67</v>
      </c>
      <c r="I274" s="130">
        <f>H274*(1-PARAM!$C$27)*$C$28</f>
        <v>56.078999999999994</v>
      </c>
      <c r="J274" s="131">
        <f t="shared" si="17"/>
        <v>26133.549282770124</v>
      </c>
      <c r="K274" s="132">
        <f>PARAM!$C$26+MAX(0,($C$25-CHOOSE(PARAM!$B$44,MAX(0,L273*IF(L273&gt;0,$K$1,1)),0)))*RATES!$L274/12+$C$26/CHOOSE(PARAM!$B$51,1,3,6,12)*RATES!$N274/100</f>
        <v>14.069251272547353</v>
      </c>
      <c r="L274" s="133">
        <f>IF($G274=PARAM!$B$56,ReviewValue,J274+$I274-K274)</f>
        <v>26175.559031497578</v>
      </c>
      <c r="M274" s="235">
        <f t="shared" si="18"/>
        <v>18157</v>
      </c>
    </row>
    <row r="275" spans="7:13" x14ac:dyDescent="0.2">
      <c r="G275" s="128">
        <v>272</v>
      </c>
      <c r="H275" s="129">
        <f t="shared" si="19"/>
        <v>67</v>
      </c>
      <c r="I275" s="130">
        <f>H275*(1-PARAM!$C$27)*$C$28</f>
        <v>56.078999999999994</v>
      </c>
      <c r="J275" s="131">
        <f t="shared" si="17"/>
        <v>26333.78816625855</v>
      </c>
      <c r="K275" s="132">
        <f>PARAM!$C$26+MAX(0,($C$25-CHOOSE(PARAM!$B$44,MAX(0,L274*IF(L274&gt;0,$K$1,1)),0)))*RATES!$L275/12+$C$26/CHOOSE(PARAM!$B$51,1,3,6,12)*RATES!$N275/100</f>
        <v>13.993160496821751</v>
      </c>
      <c r="L275" s="133">
        <f>IF($G275=PARAM!$B$56,ReviewValue,J275+$I275-K275)</f>
        <v>26375.874005761729</v>
      </c>
      <c r="M275" s="235">
        <f t="shared" si="18"/>
        <v>18224</v>
      </c>
    </row>
    <row r="276" spans="7:13" x14ac:dyDescent="0.2">
      <c r="G276" s="128">
        <v>273</v>
      </c>
      <c r="H276" s="129">
        <f>H264</f>
        <v>67</v>
      </c>
      <c r="I276" s="130">
        <f>H276*(1-PARAM!$C$27)*$C$28</f>
        <v>56.078999999999994</v>
      </c>
      <c r="J276" s="131">
        <f t="shared" ref="J276:J302" si="20">IF(L275&lt;0,L275,L275*$K$1)</f>
        <v>26535.314028321478</v>
      </c>
      <c r="K276" s="132">
        <f>PARAM!$C$26+MAX(0,($C$25-CHOOSE(PARAM!$B$44,MAX(0,L275*IF(L275&gt;0,$K$1,1)),0)))*RATES!$L276/12+$C$26/CHOOSE(PARAM!$B$51,1,3,6,12)*RATES!$N276/100</f>
        <v>13.916580669237838</v>
      </c>
      <c r="L276" s="133">
        <f>IF($G276=PARAM!$B$56,ReviewValue,J276+$I276-K276)</f>
        <v>26577.476447652243</v>
      </c>
      <c r="M276" s="235">
        <f t="shared" si="18"/>
        <v>18291</v>
      </c>
    </row>
    <row r="277" spans="7:13" x14ac:dyDescent="0.2">
      <c r="G277" s="128">
        <v>274</v>
      </c>
      <c r="H277" s="129">
        <f t="shared" si="19"/>
        <v>67</v>
      </c>
      <c r="I277" s="130">
        <f>H277*(1-PARAM!$C$27)*$C$28</f>
        <v>56.078999999999994</v>
      </c>
      <c r="J277" s="131">
        <f t="shared" si="20"/>
        <v>26738.135140648323</v>
      </c>
      <c r="K277" s="132">
        <f>PARAM!$C$26+MAX(0,($C$25-CHOOSE(PARAM!$B$44,MAX(0,L276*IF(L276&gt;0,$K$1,1)),0)))*RATES!$L277/12+$C$26/CHOOSE(PARAM!$B$51,1,3,6,12)*RATES!$N277/100</f>
        <v>13.839508646553638</v>
      </c>
      <c r="L277" s="133">
        <f>IF($G277=PARAM!$B$56,ReviewValue,J277+$I277-K277)</f>
        <v>26780.374632001771</v>
      </c>
      <c r="M277" s="235">
        <f t="shared" si="18"/>
        <v>18358</v>
      </c>
    </row>
    <row r="278" spans="7:13" x14ac:dyDescent="0.2">
      <c r="G278" s="128">
        <v>275</v>
      </c>
      <c r="H278" s="129">
        <f t="shared" si="19"/>
        <v>67</v>
      </c>
      <c r="I278" s="130">
        <f>H278*(1-PARAM!$C$27)*$C$28</f>
        <v>56.078999999999994</v>
      </c>
      <c r="J278" s="131">
        <f t="shared" si="20"/>
        <v>26942.259828092418</v>
      </c>
      <c r="K278" s="132">
        <f>PARAM!$C$26+MAX(0,($C$25-CHOOSE(PARAM!$B$44,MAX(0,L277*IF(L277&gt;0,$K$1,1)),0)))*RATES!$L278/12+$C$26/CHOOSE(PARAM!$B$51,1,3,6,12)*RATES!$N278/100</f>
        <v>13.76194126532488</v>
      </c>
      <c r="L278" s="133">
        <f>IF($G278=PARAM!$B$56,ReviewValue,J278+$I278-K278)</f>
        <v>26984.576886827093</v>
      </c>
      <c r="M278" s="235">
        <f t="shared" si="18"/>
        <v>18425</v>
      </c>
    </row>
    <row r="279" spans="7:13" x14ac:dyDescent="0.2">
      <c r="G279" s="128">
        <v>276</v>
      </c>
      <c r="H279" s="129">
        <f>H267</f>
        <v>67</v>
      </c>
      <c r="I279" s="130">
        <f>H279*(1-PARAM!$C$27)*$C$28</f>
        <v>56.078999999999994</v>
      </c>
      <c r="J279" s="131">
        <f t="shared" si="20"/>
        <v>27147.696469012739</v>
      </c>
      <c r="K279" s="132">
        <f>PARAM!$C$26+MAX(0,($C$25-CHOOSE(PARAM!$B$44,MAX(0,L278*IF(L278&gt;0,$K$1,1)),0)))*RATES!$L279/12+$C$26/CHOOSE(PARAM!$B$51,1,3,6,12)*RATES!$N279/100</f>
        <v>13.683875341775158</v>
      </c>
      <c r="L279" s="133">
        <f>IF($G279=PARAM!$B$56,ReviewValue,J279+$I279-K279)</f>
        <v>27190.091593670964</v>
      </c>
      <c r="M279" s="235">
        <f t="shared" si="18"/>
        <v>18492</v>
      </c>
    </row>
    <row r="280" spans="7:13" x14ac:dyDescent="0.2">
      <c r="G280" s="128">
        <v>277</v>
      </c>
      <c r="H280" s="129">
        <f t="shared" si="19"/>
        <v>67</v>
      </c>
      <c r="I280" s="130">
        <f>H280*(1-PARAM!$C$27)*$C$28</f>
        <v>56.078999999999994</v>
      </c>
      <c r="J280" s="131">
        <f t="shared" si="20"/>
        <v>27354.453495617781</v>
      </c>
      <c r="K280" s="132">
        <f>PARAM!$C$26+MAX(0,($C$25-CHOOSE(PARAM!$B$44,MAX(0,L279*IF(L279&gt;0,$K$1,1)),0)))*RATES!$L280/12+$C$26/CHOOSE(PARAM!$B$51,1,3,6,12)*RATES!$N280/100</f>
        <v>13.605307671665242</v>
      </c>
      <c r="L280" s="133">
        <f>IF($G280=PARAM!$B$56,ReviewValue,J280+$I280-K280)</f>
        <v>27396.927187946119</v>
      </c>
      <c r="M280" s="235">
        <f t="shared" si="18"/>
        <v>18559</v>
      </c>
    </row>
    <row r="281" spans="7:13" x14ac:dyDescent="0.2">
      <c r="G281" s="128">
        <v>278</v>
      </c>
      <c r="H281" s="129">
        <f t="shared" si="19"/>
        <v>67</v>
      </c>
      <c r="I281" s="130">
        <f>H281*(1-PARAM!$C$27)*$C$28</f>
        <v>56.078999999999994</v>
      </c>
      <c r="J281" s="131">
        <f t="shared" si="20"/>
        <v>27562.539394311669</v>
      </c>
      <c r="K281" s="132">
        <f>PARAM!$C$26+MAX(0,($C$25-CHOOSE(PARAM!$B$44,MAX(0,L280*IF(L280&gt;0,$K$1,1)),0)))*RATES!$L281/12+$C$26/CHOOSE(PARAM!$B$51,1,3,6,12)*RATES!$N281/100</f>
        <v>13.526235030161565</v>
      </c>
      <c r="L281" s="133">
        <f>IF($G281=PARAM!$B$56,ReviewValue,J281+$I281-K281)</f>
        <v>27605.09215928151</v>
      </c>
      <c r="M281" s="235">
        <f t="shared" si="18"/>
        <v>18626</v>
      </c>
    </row>
    <row r="282" spans="7:13" x14ac:dyDescent="0.2">
      <c r="G282" s="128">
        <v>279</v>
      </c>
      <c r="H282" s="129">
        <f>H270</f>
        <v>67</v>
      </c>
      <c r="I282" s="130">
        <f>H282*(1-PARAM!$C$27)*$C$28</f>
        <v>56.078999999999994</v>
      </c>
      <c r="J282" s="131">
        <f t="shared" si="20"/>
        <v>27771.962706042475</v>
      </c>
      <c r="K282" s="132">
        <f>PARAM!$C$26+MAX(0,($C$25-CHOOSE(PARAM!$B$44,MAX(0,L281*IF(L281&gt;0,$K$1,1)),0)))*RATES!$L282/12+$C$26/CHOOSE(PARAM!$B$51,1,3,6,12)*RATES!$N282/100</f>
        <v>13.446654171703859</v>
      </c>
      <c r="L282" s="133">
        <f>IF($G282=PARAM!$B$56,ReviewValue,J282+$I282-K282)</f>
        <v>27814.595051870772</v>
      </c>
      <c r="M282" s="235">
        <f t="shared" si="18"/>
        <v>18693</v>
      </c>
    </row>
    <row r="283" spans="7:13" x14ac:dyDescent="0.2">
      <c r="G283" s="128">
        <v>280</v>
      </c>
      <c r="H283" s="129">
        <f t="shared" si="19"/>
        <v>67</v>
      </c>
      <c r="I283" s="130">
        <f>H283*(1-PARAM!$C$27)*$C$28</f>
        <v>56.078999999999994</v>
      </c>
      <c r="J283" s="131">
        <f t="shared" si="20"/>
        <v>27982.732026652797</v>
      </c>
      <c r="K283" s="132">
        <f>PARAM!$C$26+MAX(0,($C$25-CHOOSE(PARAM!$B$44,MAX(0,L282*IF(L282&gt;0,$K$1,1)),0)))*RATES!$L283/12+$C$26/CHOOSE(PARAM!$B$51,1,3,6,12)*RATES!$N283/100</f>
        <v>13.366561829871937</v>
      </c>
      <c r="L283" s="133">
        <f>IF($G283=PARAM!$B$56,ReviewValue,J283+$I283-K283)</f>
        <v>28025.444464822926</v>
      </c>
      <c r="M283" s="235">
        <f t="shared" si="18"/>
        <v>18760</v>
      </c>
    </row>
    <row r="284" spans="7:13" x14ac:dyDescent="0.2">
      <c r="G284" s="128">
        <v>281</v>
      </c>
      <c r="H284" s="129">
        <f t="shared" si="19"/>
        <v>67</v>
      </c>
      <c r="I284" s="130">
        <f>H284*(1-PARAM!$C$27)*$C$28</f>
        <v>56.078999999999994</v>
      </c>
      <c r="J284" s="131">
        <f t="shared" si="20"/>
        <v>28194.856007232564</v>
      </c>
      <c r="K284" s="132">
        <f>PARAM!$C$26+MAX(0,($C$25-CHOOSE(PARAM!$B$44,MAX(0,L283*IF(L283&gt;0,$K$1,1)),0)))*RATES!$L284/12+$C$26/CHOOSE(PARAM!$B$51,1,3,6,12)*RATES!$N284/100</f>
        <v>13.285954717251625</v>
      </c>
      <c r="L284" s="133">
        <f>IF($G284=PARAM!$B$56,ReviewValue,J284+$I284-K284)</f>
        <v>28237.649052515313</v>
      </c>
      <c r="M284" s="235">
        <f t="shared" si="18"/>
        <v>18827</v>
      </c>
    </row>
    <row r="285" spans="7:13" x14ac:dyDescent="0.2">
      <c r="G285" s="128">
        <v>282</v>
      </c>
      <c r="H285" s="129">
        <f>H273</f>
        <v>67</v>
      </c>
      <c r="I285" s="130">
        <f>H285*(1-PARAM!$C$27)*$C$28</f>
        <v>56.078999999999994</v>
      </c>
      <c r="J285" s="131">
        <f t="shared" si="20"/>
        <v>28408.343354474135</v>
      </c>
      <c r="K285" s="132">
        <f>PARAM!$C$26+MAX(0,($C$25-CHOOSE(PARAM!$B$44,MAX(0,L284*IF(L284&gt;0,$K$1,1)),0)))*RATES!$L285/12+$C$26/CHOOSE(PARAM!$B$51,1,3,6,12)*RATES!$N285/100</f>
        <v>14.194447121553099</v>
      </c>
      <c r="L285" s="133">
        <f>IF($G285=PARAM!$B$56,ReviewValue,J285+$I285-K285)</f>
        <v>28450.227907352582</v>
      </c>
      <c r="M285" s="235">
        <f t="shared" si="18"/>
        <v>18894</v>
      </c>
    </row>
    <row r="286" spans="7:13" x14ac:dyDescent="0.2">
      <c r="G286" s="128">
        <v>283</v>
      </c>
      <c r="H286" s="129">
        <f t="shared" si="19"/>
        <v>67</v>
      </c>
      <c r="I286" s="130">
        <f>H286*(1-PARAM!$C$27)*$C$28</f>
        <v>56.078999999999994</v>
      </c>
      <c r="J286" s="131">
        <f t="shared" si="20"/>
        <v>28622.207231275173</v>
      </c>
      <c r="K286" s="132">
        <f>PARAM!$C$26+MAX(0,($C$25-CHOOSE(PARAM!$B$44,MAX(0,L285*IF(L285&gt;0,$K$1,1)),0)))*RATES!$L286/12+$C$26/CHOOSE(PARAM!$B$51,1,3,6,12)*RATES!$N286/100</f>
        <v>14.103376754015322</v>
      </c>
      <c r="L286" s="133">
        <f>IF($G286=PARAM!$B$56,ReviewValue,J286+$I286-K286)</f>
        <v>28664.182854521161</v>
      </c>
      <c r="M286" s="235">
        <f t="shared" si="18"/>
        <v>18961</v>
      </c>
    </row>
    <row r="287" spans="7:13" x14ac:dyDescent="0.2">
      <c r="G287" s="128">
        <v>284</v>
      </c>
      <c r="H287" s="129">
        <f t="shared" si="19"/>
        <v>67</v>
      </c>
      <c r="I287" s="130">
        <f>H287*(1-PARAM!$C$27)*$C$28</f>
        <v>56.078999999999994</v>
      </c>
      <c r="J287" s="131">
        <f t="shared" si="20"/>
        <v>28837.455518774233</v>
      </c>
      <c r="K287" s="132">
        <f>PARAM!$C$26+MAX(0,($C$25-CHOOSE(PARAM!$B$44,MAX(0,L286*IF(L286&gt;0,$K$1,1)),0)))*RATES!$L287/12+$C$26/CHOOSE(PARAM!$B$51,1,3,6,12)*RATES!$N287/100</f>
        <v>14.011716858255307</v>
      </c>
      <c r="L287" s="133">
        <f>IF($G287=PARAM!$B$56,ReviewValue,J287+$I287-K287)</f>
        <v>28879.52280191598</v>
      </c>
      <c r="M287" s="235">
        <f t="shared" si="18"/>
        <v>19028</v>
      </c>
    </row>
    <row r="288" spans="7:13" x14ac:dyDescent="0.2">
      <c r="G288" s="128">
        <v>285</v>
      </c>
      <c r="H288" s="129">
        <f>H276</f>
        <v>67</v>
      </c>
      <c r="I288" s="130">
        <f>H288*(1-PARAM!$C$27)*$C$28</f>
        <v>56.078999999999994</v>
      </c>
      <c r="J288" s="131">
        <f t="shared" si="20"/>
        <v>29054.09717871375</v>
      </c>
      <c r="K288" s="132">
        <f>PARAM!$C$26+MAX(0,($C$25-CHOOSE(PARAM!$B$44,MAX(0,L287*IF(L287&gt;0,$K$1,1)),0)))*RATES!$L288/12+$C$26/CHOOSE(PARAM!$B$51,1,3,6,12)*RATES!$N288/100</f>
        <v>13.919463618064395</v>
      </c>
      <c r="L288" s="133">
        <f>IF($G288=PARAM!$B$56,ReviewValue,J288+$I288-K288)</f>
        <v>29096.256715095686</v>
      </c>
      <c r="M288" s="235">
        <f t="shared" si="18"/>
        <v>19095</v>
      </c>
    </row>
    <row r="289" spans="7:13" x14ac:dyDescent="0.2">
      <c r="G289" s="128">
        <v>286</v>
      </c>
      <c r="H289" s="129">
        <f t="shared" si="19"/>
        <v>67</v>
      </c>
      <c r="I289" s="130">
        <f>H289*(1-PARAM!$C$27)*$C$28</f>
        <v>56.078999999999994</v>
      </c>
      <c r="J289" s="131">
        <f t="shared" si="20"/>
        <v>29272.141230848443</v>
      </c>
      <c r="K289" s="132">
        <f>PARAM!$C$26+MAX(0,($C$25-CHOOSE(PARAM!$B$44,MAX(0,L288*IF(L288&gt;0,$K$1,1)),0)))*RATES!$L289/12+$C$26/CHOOSE(PARAM!$B$51,1,3,6,12)*RATES!$N289/100</f>
        <v>13.826613192530372</v>
      </c>
      <c r="L289" s="133">
        <f>IF($G289=PARAM!$B$56,ReviewValue,J289+$I289-K289)</f>
        <v>29314.393617655915</v>
      </c>
      <c r="M289" s="235">
        <f t="shared" si="18"/>
        <v>19162</v>
      </c>
    </row>
    <row r="290" spans="7:13" x14ac:dyDescent="0.2">
      <c r="G290" s="128">
        <v>287</v>
      </c>
      <c r="H290" s="129">
        <f t="shared" si="19"/>
        <v>67</v>
      </c>
      <c r="I290" s="130">
        <f>H290*(1-PARAM!$C$27)*$C$28</f>
        <v>56.078999999999994</v>
      </c>
      <c r="J290" s="131">
        <f t="shared" si="20"/>
        <v>29491.596753320857</v>
      </c>
      <c r="K290" s="132">
        <f>PARAM!$C$26+MAX(0,($C$25-CHOOSE(PARAM!$B$44,MAX(0,L289*IF(L289&gt;0,$K$1,1)),0)))*RATES!$L290/12+$C$26/CHOOSE(PARAM!$B$51,1,3,6,12)*RATES!$N290/100</f>
        <v>13.733161715877534</v>
      </c>
      <c r="L290" s="133">
        <f>IF($G290=PARAM!$B$56,ReviewValue,J290+$I290-K290)</f>
        <v>29533.94259160498</v>
      </c>
      <c r="M290" s="235">
        <f t="shared" si="18"/>
        <v>19229</v>
      </c>
    </row>
    <row r="291" spans="7:13" x14ac:dyDescent="0.2">
      <c r="G291" s="128">
        <v>288</v>
      </c>
      <c r="H291" s="129">
        <f>H279</f>
        <v>67</v>
      </c>
      <c r="I291" s="130">
        <f>H291*(1-PARAM!$C$27)*$C$28</f>
        <v>56.078999999999994</v>
      </c>
      <c r="J291" s="131">
        <f t="shared" si="20"/>
        <v>29712.472883039314</v>
      </c>
      <c r="K291" s="132">
        <f>PARAM!$C$26+MAX(0,($C$25-CHOOSE(PARAM!$B$44,MAX(0,L290*IF(L290&gt;0,$K$1,1)),0)))*RATES!$L291/12+$C$26/CHOOSE(PARAM!$B$51,1,3,6,12)*RATES!$N291/100</f>
        <v>13.639105297305759</v>
      </c>
      <c r="L291" s="133">
        <f>IF($G291=PARAM!$B$56,ReviewValue,J291+$I291-K291)</f>
        <v>29754.912777742011</v>
      </c>
      <c r="M291" s="235">
        <f t="shared" si="18"/>
        <v>19296</v>
      </c>
    </row>
    <row r="292" spans="7:13" x14ac:dyDescent="0.2">
      <c r="G292" s="128">
        <v>289</v>
      </c>
      <c r="H292" s="129">
        <f t="shared" si="19"/>
        <v>67</v>
      </c>
      <c r="I292" s="130">
        <f>H292*(1-PARAM!$C$27)*$C$28</f>
        <v>56.078999999999994</v>
      </c>
      <c r="J292" s="131">
        <f t="shared" si="20"/>
        <v>29934.778816058326</v>
      </c>
      <c r="K292" s="132">
        <f>PARAM!$C$26+MAX(0,($C$25-CHOOSE(PARAM!$B$44,MAX(0,L291*IF(L291&gt;0,$K$1,1)),0)))*RATES!$L292/12+$C$26/CHOOSE(PARAM!$B$51,1,3,6,12)*RATES!$N292/100</f>
        <v>13.544440020828496</v>
      </c>
      <c r="L292" s="133">
        <f>IF($G292=PARAM!$B$56,ReviewValue,J292+$I292-K292)</f>
        <v>29977.313376037499</v>
      </c>
      <c r="M292" s="235">
        <f t="shared" si="18"/>
        <v>19363</v>
      </c>
    </row>
    <row r="293" spans="7:13" x14ac:dyDescent="0.2">
      <c r="G293" s="128">
        <v>290</v>
      </c>
      <c r="H293" s="129">
        <f t="shared" si="19"/>
        <v>67</v>
      </c>
      <c r="I293" s="130">
        <f>H293*(1-PARAM!$C$27)*$C$28</f>
        <v>56.078999999999994</v>
      </c>
      <c r="J293" s="131">
        <f t="shared" si="20"/>
        <v>30158.523807961461</v>
      </c>
      <c r="K293" s="132">
        <f>PARAM!$C$26+MAX(0,($C$25-CHOOSE(PARAM!$B$44,MAX(0,L292*IF(L292&gt;0,$K$1,1)),0)))*RATES!$L293/12+$C$26/CHOOSE(PARAM!$B$51,1,3,6,12)*RATES!$N293/100</f>
        <v>13.449161945109745</v>
      </c>
      <c r="L293" s="133">
        <f>IF($G293=PARAM!$B$56,ReviewValue,J293+$I293-K293)</f>
        <v>30201.153646016352</v>
      </c>
      <c r="M293" s="235">
        <f t="shared" si="18"/>
        <v>19430</v>
      </c>
    </row>
    <row r="294" spans="7:13" x14ac:dyDescent="0.2">
      <c r="G294" s="128">
        <v>291</v>
      </c>
      <c r="H294" s="129">
        <f>H282</f>
        <v>67</v>
      </c>
      <c r="I294" s="130">
        <f>H294*(1-PARAM!$C$27)*$C$28</f>
        <v>56.078999999999994</v>
      </c>
      <c r="J294" s="131">
        <f t="shared" si="20"/>
        <v>30383.717174246714</v>
      </c>
      <c r="K294" s="132">
        <f>PARAM!$C$26+MAX(0,($C$25-CHOOSE(PARAM!$B$44,MAX(0,L293*IF(L293&gt;0,$K$1,1)),0)))*RATES!$L294/12+$C$26/CHOOSE(PARAM!$B$51,1,3,6,12)*RATES!$N294/100</f>
        <v>13.35326710329994</v>
      </c>
      <c r="L294" s="133">
        <f>IF($G294=PARAM!$B$56,ReviewValue,J294+$I294-K294)</f>
        <v>30426.442907143417</v>
      </c>
      <c r="M294" s="235">
        <f t="shared" si="18"/>
        <v>19497</v>
      </c>
    </row>
    <row r="295" spans="7:13" x14ac:dyDescent="0.2">
      <c r="G295" s="128">
        <v>292</v>
      </c>
      <c r="H295" s="129">
        <f t="shared" si="19"/>
        <v>67</v>
      </c>
      <c r="I295" s="130">
        <f>H295*(1-PARAM!$C$27)*$C$28</f>
        <v>56.078999999999994</v>
      </c>
      <c r="J295" s="131">
        <f t="shared" si="20"/>
        <v>30610.368290714334</v>
      </c>
      <c r="K295" s="132">
        <f>PARAM!$C$26+MAX(0,($C$25-CHOOSE(PARAM!$B$44,MAX(0,L294*IF(L294&gt;0,$K$1,1)),0)))*RATES!$L295/12+$C$26/CHOOSE(PARAM!$B$51,1,3,6,12)*RATES!$N295/100</f>
        <v>13.256751502870813</v>
      </c>
      <c r="L295" s="133">
        <f>IF($G295=PARAM!$B$56,ReviewValue,J295+$I295-K295)</f>
        <v>30653.190539211464</v>
      </c>
      <c r="M295" s="235">
        <f t="shared" si="18"/>
        <v>19564</v>
      </c>
    </row>
    <row r="296" spans="7:13" x14ac:dyDescent="0.2">
      <c r="G296" s="128">
        <v>293</v>
      </c>
      <c r="H296" s="129">
        <f t="shared" si="19"/>
        <v>67</v>
      </c>
      <c r="I296" s="130">
        <f>H296*(1-PARAM!$C$27)*$C$28</f>
        <v>56.078999999999994</v>
      </c>
      <c r="J296" s="131">
        <f t="shared" si="20"/>
        <v>30838.486593857182</v>
      </c>
      <c r="K296" s="132">
        <f>PARAM!$C$26+MAX(0,($C$25-CHOOSE(PARAM!$B$44,MAX(0,L295*IF(L295&gt;0,$K$1,1)),0)))*RATES!$L296/12+$C$26/CHOOSE(PARAM!$B$51,1,3,6,12)*RATES!$N296/100</f>
        <v>13.15961112544915</v>
      </c>
      <c r="L296" s="133">
        <f>IF($G296=PARAM!$B$56,ReviewValue,J296+$I296-K296)</f>
        <v>30881.405982731736</v>
      </c>
      <c r="M296" s="235">
        <f t="shared" si="18"/>
        <v>19631</v>
      </c>
    </row>
    <row r="297" spans="7:13" x14ac:dyDescent="0.2">
      <c r="G297" s="128">
        <v>294</v>
      </c>
      <c r="H297" s="129">
        <f>H285</f>
        <v>67</v>
      </c>
      <c r="I297" s="130">
        <f>H297*(1-PARAM!$C$27)*$C$28</f>
        <v>56.078999999999994</v>
      </c>
      <c r="J297" s="131">
        <f t="shared" si="20"/>
        <v>31068.081581253628</v>
      </c>
      <c r="K297" s="132">
        <f>PARAM!$C$26+MAX(0,($C$25-CHOOSE(PARAM!$B$44,MAX(0,L296*IF(L296&gt;0,$K$1,1)),0)))*RATES!$L297/12+$C$26/CHOOSE(PARAM!$B$51,1,3,6,12)*RATES!$N297/100</f>
        <v>14.024214446269104</v>
      </c>
      <c r="L297" s="133">
        <f>IF($G297=PARAM!$B$56,ReviewValue,J297+$I297-K297)</f>
        <v>31110.136366807361</v>
      </c>
      <c r="M297" s="235">
        <f t="shared" si="18"/>
        <v>19698</v>
      </c>
    </row>
    <row r="298" spans="7:13" x14ac:dyDescent="0.2">
      <c r="G298" s="128">
        <v>295</v>
      </c>
      <c r="H298" s="129">
        <f t="shared" si="19"/>
        <v>67</v>
      </c>
      <c r="I298" s="130">
        <f>H298*(1-PARAM!$C$27)*$C$28</f>
        <v>56.078999999999994</v>
      </c>
      <c r="J298" s="131">
        <f t="shared" si="20"/>
        <v>31298.194621979383</v>
      </c>
      <c r="K298" s="132">
        <f>PARAM!$C$26+MAX(0,($C$25-CHOOSE(PARAM!$B$44,MAX(0,L297*IF(L297&gt;0,$K$1,1)),0)))*RATES!$L298/12+$C$26/CHOOSE(PARAM!$B$51,1,3,6,12)*RATES!$N298/100</f>
        <v>13.914527230189828</v>
      </c>
      <c r="L298" s="133">
        <f>IF($G298=PARAM!$B$56,ReviewValue,J298+$I298-K298)</f>
        <v>31340.359094749194</v>
      </c>
      <c r="M298" s="235">
        <f t="shared" si="18"/>
        <v>19765</v>
      </c>
    </row>
    <row r="299" spans="7:13" x14ac:dyDescent="0.2">
      <c r="G299" s="128">
        <v>296</v>
      </c>
      <c r="H299" s="129">
        <f t="shared" si="19"/>
        <v>67</v>
      </c>
      <c r="I299" s="130">
        <f>H299*(1-PARAM!$C$27)*$C$28</f>
        <v>56.078999999999994</v>
      </c>
      <c r="J299" s="131">
        <f t="shared" si="20"/>
        <v>31529.809027669176</v>
      </c>
      <c r="K299" s="132">
        <f>PARAM!$C$26+MAX(0,($C$25-CHOOSE(PARAM!$B$44,MAX(0,L298*IF(L298&gt;0,$K$1,1)),0)))*RATES!$L299/12+$C$26/CHOOSE(PARAM!$B$51,1,3,6,12)*RATES!$N299/100</f>
        <v>13.804124363477692</v>
      </c>
      <c r="L299" s="133">
        <f>IF($G299=PARAM!$B$56,ReviewValue,J299+$I299-K299)</f>
        <v>31572.083903305702</v>
      </c>
      <c r="M299" s="235">
        <f t="shared" si="18"/>
        <v>19832</v>
      </c>
    </row>
    <row r="300" spans="7:13" x14ac:dyDescent="0.2">
      <c r="G300" s="128">
        <v>297</v>
      </c>
      <c r="H300" s="129">
        <f>H288</f>
        <v>67</v>
      </c>
      <c r="I300" s="130">
        <f>H300*(1-PARAM!$C$27)*$C$28</f>
        <v>56.078999999999994</v>
      </c>
      <c r="J300" s="131">
        <f t="shared" si="20"/>
        <v>31762.934593929327</v>
      </c>
      <c r="K300" s="132">
        <f>PARAM!$C$26+MAX(0,($C$25-CHOOSE(PARAM!$B$44,MAX(0,L299*IF(L299&gt;0,$K$1,1)),0)))*RATES!$L300/12+$C$26/CHOOSE(PARAM!$B$51,1,3,6,12)*RATES!$N300/100</f>
        <v>13.693001176893686</v>
      </c>
      <c r="L300" s="133">
        <f>IF($G300=PARAM!$B$56,ReviewValue,J300+$I300-K300)</f>
        <v>31805.320592752436</v>
      </c>
      <c r="M300" s="235">
        <f t="shared" si="18"/>
        <v>19899</v>
      </c>
    </row>
    <row r="301" spans="7:13" x14ac:dyDescent="0.2">
      <c r="G301" s="128">
        <v>298</v>
      </c>
      <c r="H301" s="129">
        <f t="shared" si="19"/>
        <v>67</v>
      </c>
      <c r="I301" s="130">
        <f>H301*(1-PARAM!$C$27)*$C$28</f>
        <v>56.078999999999994</v>
      </c>
      <c r="J301" s="131">
        <f t="shared" si="20"/>
        <v>31997.581180277262</v>
      </c>
      <c r="K301" s="132">
        <f>PARAM!$C$26+MAX(0,($C$25-CHOOSE(PARAM!$B$44,MAX(0,L300*IF(L300&gt;0,$K$1,1)),0)))*RATES!$L301/12+$C$26/CHOOSE(PARAM!$B$51,1,3,6,12)*RATES!$N301/100</f>
        <v>13.581152970734504</v>
      </c>
      <c r="L301" s="133">
        <f>IF($G301=PARAM!$B$56,ReviewValue,J301+$I301-K301)</f>
        <v>32040.079027306529</v>
      </c>
      <c r="M301" s="235">
        <f t="shared" si="18"/>
        <v>19966</v>
      </c>
    </row>
    <row r="302" spans="7:13" x14ac:dyDescent="0.2">
      <c r="G302" s="128">
        <v>299</v>
      </c>
      <c r="H302" s="129">
        <f t="shared" si="19"/>
        <v>67</v>
      </c>
      <c r="I302" s="130">
        <f>H302*(1-PARAM!$C$27)*$C$28</f>
        <v>56.078999999999994</v>
      </c>
      <c r="J302" s="131">
        <f t="shared" si="20"/>
        <v>32233.758710558504</v>
      </c>
      <c r="K302" s="132">
        <f>PARAM!$C$26+MAX(0,($C$25-CHOOSE(PARAM!$B$44,MAX(0,L301*IF(L301&gt;0,$K$1,1)),0)))*RATES!$L302/12+$C$26/CHOOSE(PARAM!$B$51,1,3,6,12)*RATES!$N302/100</f>
        <v>13.468575014633778</v>
      </c>
      <c r="L302" s="133">
        <f>IF($G302=PARAM!$B$56,ReviewValue,J302+$I302-K302)</f>
        <v>32276.369135543871</v>
      </c>
      <c r="M302" s="235">
        <f t="shared" si="18"/>
        <v>20033</v>
      </c>
    </row>
    <row r="303" spans="7:13" x14ac:dyDescent="0.2">
      <c r="G303" s="128">
        <v>300</v>
      </c>
      <c r="H303" s="129">
        <f>H291</f>
        <v>67</v>
      </c>
      <c r="I303" s="130">
        <f>H303*(1-PARAM!$C$27)*$C$28</f>
        <v>56.078999999999994</v>
      </c>
      <c r="J303" s="234">
        <f>IF(L302&lt;0,L302,L302*$K$1)*(1+IF(L302&lt;0,0,PARAM!$C$31))</f>
        <v>33445.621488567376</v>
      </c>
      <c r="K303" s="132">
        <f>PARAM!$C$26+MAX(0,($C$25-CHOOSE(PARAM!$B$44,MAX(0,L302*IF(L302&gt;0,$K$1,1)),0)))*RATES!$L303/12+$C$26/CHOOSE(PARAM!$B$51,1,3,6,12)*RATES!$N303/100</f>
        <v>13.355262547362022</v>
      </c>
      <c r="L303" s="133">
        <f>IF($G303=PARAM!$B$56,ReviewValue,J303+$I303-K303)</f>
        <v>33488.345226020014</v>
      </c>
      <c r="M303" s="235">
        <f t="shared" si="18"/>
        <v>20100</v>
      </c>
    </row>
    <row r="304" spans="7:13" x14ac:dyDescent="0.2">
      <c r="G304" s="128">
        <v>301</v>
      </c>
      <c r="H304" s="129">
        <f t="shared" si="19"/>
        <v>67</v>
      </c>
      <c r="I304" s="130">
        <f>H304*(1-PARAM!$C$27)*$C$28</f>
        <v>56.078999999999994</v>
      </c>
      <c r="J304" s="131">
        <f t="shared" ref="J304:J335" si="21">IF(L303&lt;0,L303,L303*$K$1)</f>
        <v>33690.779561168834</v>
      </c>
      <c r="K304" s="132">
        <f>PARAM!$C$26+MAX(0,($C$25-CHOOSE(PARAM!$B$44,MAX(0,L303*IF(L303&gt;0,$K$1,1)),0)))*RATES!$L304/12+$C$26/CHOOSE(PARAM!$B$51,1,3,6,12)*RATES!$N304/100</f>
        <v>12.77406174250952</v>
      </c>
      <c r="L304" s="133">
        <f>IF($G304=PARAM!$B$56,ReviewValue,J304+$I304-K304)</f>
        <v>33734.084499426324</v>
      </c>
      <c r="M304" s="235">
        <f t="shared" si="18"/>
        <v>20167</v>
      </c>
    </row>
    <row r="305" spans="7:13" x14ac:dyDescent="0.2">
      <c r="G305" s="128">
        <v>302</v>
      </c>
      <c r="H305" s="129">
        <f t="shared" si="19"/>
        <v>67</v>
      </c>
      <c r="I305" s="130">
        <f>H305*(1-PARAM!$C$27)*$C$28</f>
        <v>56.078999999999994</v>
      </c>
      <c r="J305" s="131">
        <f t="shared" si="21"/>
        <v>33938.004308583972</v>
      </c>
      <c r="K305" s="132">
        <f>PARAM!$C$26+MAX(0,($C$25-CHOOSE(PARAM!$B$44,MAX(0,L304*IF(L304&gt;0,$K$1,1)),0)))*RATES!$L305/12+$C$26/CHOOSE(PARAM!$B$51,1,3,6,12)*RATES!$N305/100</f>
        <v>12.65621794624164</v>
      </c>
      <c r="L305" s="133">
        <f>IF($G305=PARAM!$B$56,ReviewValue,J305+$I305-K305)</f>
        <v>33981.427090637728</v>
      </c>
      <c r="M305" s="235">
        <f t="shared" si="18"/>
        <v>20234</v>
      </c>
    </row>
    <row r="306" spans="7:13" x14ac:dyDescent="0.2">
      <c r="G306" s="128">
        <v>303</v>
      </c>
      <c r="H306" s="129">
        <f>H294</f>
        <v>67</v>
      </c>
      <c r="I306" s="130">
        <f>H306*(1-PARAM!$C$27)*$C$28</f>
        <v>56.078999999999994</v>
      </c>
      <c r="J306" s="131">
        <f t="shared" si="21"/>
        <v>34186.842065730503</v>
      </c>
      <c r="K306" s="132">
        <f>PARAM!$C$26+MAX(0,($C$25-CHOOSE(PARAM!$B$44,MAX(0,L305*IF(L305&gt;0,$K$1,1)),0)))*RATES!$L306/12+$C$26/CHOOSE(PARAM!$B$51,1,3,6,12)*RATES!$N306/100</f>
        <v>12.537605282001792</v>
      </c>
      <c r="L306" s="133">
        <f>IF($G306=PARAM!$B$56,ReviewValue,J306+$I306-K306)</f>
        <v>34230.383460448502</v>
      </c>
      <c r="M306" s="235">
        <f t="shared" si="18"/>
        <v>20301</v>
      </c>
    </row>
    <row r="307" spans="7:13" x14ac:dyDescent="0.2">
      <c r="G307" s="128">
        <v>304</v>
      </c>
      <c r="H307" s="129">
        <f t="shared" si="19"/>
        <v>67</v>
      </c>
      <c r="I307" s="130">
        <f>H307*(1-PARAM!$C$27)*$C$28</f>
        <v>56.078999999999994</v>
      </c>
      <c r="J307" s="131">
        <f t="shared" si="21"/>
        <v>34437.303356637371</v>
      </c>
      <c r="K307" s="132">
        <f>PARAM!$C$26+MAX(0,($C$25-CHOOSE(PARAM!$B$44,MAX(0,L306*IF(L306&gt;0,$K$1,1)),0)))*RATES!$L307/12+$C$26/CHOOSE(PARAM!$B$51,1,3,6,12)*RATES!$N307/100</f>
        <v>12.418218733336186</v>
      </c>
      <c r="L307" s="133">
        <f>IF($G307=PARAM!$B$56,ReviewValue,J307+$I307-K307)</f>
        <v>34480.964137904033</v>
      </c>
      <c r="M307" s="235">
        <f t="shared" si="18"/>
        <v>20368</v>
      </c>
    </row>
    <row r="308" spans="7:13" x14ac:dyDescent="0.2">
      <c r="G308" s="128">
        <v>305</v>
      </c>
      <c r="H308" s="129">
        <f t="shared" si="19"/>
        <v>67</v>
      </c>
      <c r="I308" s="130">
        <f>H308*(1-PARAM!$C$27)*$C$28</f>
        <v>56.078999999999994</v>
      </c>
      <c r="J308" s="131">
        <f t="shared" si="21"/>
        <v>34689.398773997171</v>
      </c>
      <c r="K308" s="132">
        <f>PARAM!$C$26+MAX(0,($C$25-CHOOSE(PARAM!$B$44,MAX(0,L307*IF(L307&gt;0,$K$1,1)),0)))*RATES!$L308/12+$C$26/CHOOSE(PARAM!$B$51,1,3,6,12)*RATES!$N308/100</f>
        <v>12.298053251061347</v>
      </c>
      <c r="L308" s="133">
        <f>IF($G308=PARAM!$B$56,ReviewValue,J308+$I308-K308)</f>
        <v>34733.179720746106</v>
      </c>
      <c r="M308" s="235">
        <f t="shared" si="18"/>
        <v>20435</v>
      </c>
    </row>
    <row r="309" spans="7:13" x14ac:dyDescent="0.2">
      <c r="G309" s="128">
        <v>306</v>
      </c>
      <c r="H309" s="129">
        <f>H297</f>
        <v>67</v>
      </c>
      <c r="I309" s="130">
        <f>H309*(1-PARAM!$C$27)*$C$28</f>
        <v>56.078999999999994</v>
      </c>
      <c r="J309" s="131">
        <f t="shared" si="21"/>
        <v>34943.138979614188</v>
      </c>
      <c r="K309" s="132">
        <f>PARAM!$C$26+MAX(0,($C$25-CHOOSE(PARAM!$B$44,MAX(0,L308*IF(L308&gt;0,$K$1,1)),0)))*RATES!$L309/12+$C$26/CHOOSE(PARAM!$B$51,1,3,6,12)*RATES!$N309/100</f>
        <v>13.017778493355445</v>
      </c>
      <c r="L309" s="133">
        <f>IF($G309=PARAM!$B$56,ReviewValue,J309+$I309-K309)</f>
        <v>34986.200201120831</v>
      </c>
      <c r="M309" s="235">
        <f t="shared" si="18"/>
        <v>20502</v>
      </c>
    </row>
    <row r="310" spans="7:13" x14ac:dyDescent="0.2">
      <c r="G310" s="128">
        <v>307</v>
      </c>
      <c r="H310" s="129">
        <f t="shared" si="19"/>
        <v>67</v>
      </c>
      <c r="I310" s="130">
        <f>H310*(1-PARAM!$C$27)*$C$28</f>
        <v>56.078999999999994</v>
      </c>
      <c r="J310" s="131">
        <f t="shared" si="21"/>
        <v>35197.688948304269</v>
      </c>
      <c r="K310" s="132">
        <f>PARAM!$C$26+MAX(0,($C$25-CHOOSE(PARAM!$B$44,MAX(0,L309*IF(L309&gt;0,$K$1,1)),0)))*RATES!$L310/12+$C$26/CHOOSE(PARAM!$B$51,1,3,6,12)*RATES!$N310/100</f>
        <v>12.882230635027977</v>
      </c>
      <c r="L310" s="133">
        <f>IF($G310=PARAM!$B$56,ReviewValue,J310+$I310-K310)</f>
        <v>35240.88571766924</v>
      </c>
      <c r="M310" s="235">
        <f t="shared" si="18"/>
        <v>20569</v>
      </c>
    </row>
    <row r="311" spans="7:13" x14ac:dyDescent="0.2">
      <c r="G311" s="128">
        <v>308</v>
      </c>
      <c r="H311" s="129">
        <f t="shared" si="19"/>
        <v>67</v>
      </c>
      <c r="I311" s="130">
        <f>H311*(1-PARAM!$C$27)*$C$28</f>
        <v>56.078999999999994</v>
      </c>
      <c r="J311" s="131">
        <f t="shared" si="21"/>
        <v>35453.914018176867</v>
      </c>
      <c r="K311" s="132">
        <f>PARAM!$C$26+MAX(0,($C$25-CHOOSE(PARAM!$B$44,MAX(0,L310*IF(L310&gt;0,$K$1,1)),0)))*RATES!$L311/12+$C$26/CHOOSE(PARAM!$B$51,1,3,6,12)*RATES!$N311/100</f>
        <v>12.745790785320818</v>
      </c>
      <c r="L311" s="133">
        <f>IF($G311=PARAM!$B$56,ReviewValue,J311+$I311-K311)</f>
        <v>35497.247227391541</v>
      </c>
      <c r="M311" s="235">
        <f t="shared" si="18"/>
        <v>20636</v>
      </c>
    </row>
    <row r="312" spans="7:13" x14ac:dyDescent="0.2">
      <c r="G312" s="128">
        <v>309</v>
      </c>
      <c r="H312" s="129">
        <f>H300</f>
        <v>67</v>
      </c>
      <c r="I312" s="130">
        <f>H312*(1-PARAM!$C$27)*$C$28</f>
        <v>56.078999999999994</v>
      </c>
      <c r="J312" s="131">
        <f t="shared" si="21"/>
        <v>35711.825212466385</v>
      </c>
      <c r="K312" s="132">
        <f>PARAM!$C$26+MAX(0,($C$25-CHOOSE(PARAM!$B$44,MAX(0,L311*IF(L311&gt;0,$K$1,1)),0)))*RATES!$L312/12+$C$26/CHOOSE(PARAM!$B$51,1,3,6,12)*RATES!$N312/100</f>
        <v>12.608453074361648</v>
      </c>
      <c r="L312" s="133">
        <f>IF($G312=PARAM!$B$56,ReviewValue,J312+$I312-K312)</f>
        <v>35755.295759392022</v>
      </c>
      <c r="M312" s="235">
        <f t="shared" si="18"/>
        <v>20703</v>
      </c>
    </row>
    <row r="313" spans="7:13" x14ac:dyDescent="0.2">
      <c r="G313" s="128">
        <v>310</v>
      </c>
      <c r="H313" s="129">
        <f t="shared" si="19"/>
        <v>67</v>
      </c>
      <c r="I313" s="130">
        <f>H313*(1-PARAM!$C$27)*$C$28</f>
        <v>56.078999999999994</v>
      </c>
      <c r="J313" s="131">
        <f t="shared" si="21"/>
        <v>35971.433626947146</v>
      </c>
      <c r="K313" s="132">
        <f>PARAM!$C$26+MAX(0,($C$25-CHOOSE(PARAM!$B$44,MAX(0,L312*IF(L312&gt;0,$K$1,1)),0)))*RATES!$L313/12+$C$26/CHOOSE(PARAM!$B$51,1,3,6,12)*RATES!$N313/100</f>
        <v>12.470211593650646</v>
      </c>
      <c r="L313" s="133">
        <f>IF($G313=PARAM!$B$56,ReviewValue,J313+$I313-K313)</f>
        <v>36015.042415353491</v>
      </c>
      <c r="M313" s="235">
        <f t="shared" si="18"/>
        <v>20770</v>
      </c>
    </row>
    <row r="314" spans="7:13" x14ac:dyDescent="0.2">
      <c r="G314" s="128">
        <v>311</v>
      </c>
      <c r="H314" s="129">
        <f t="shared" si="19"/>
        <v>67</v>
      </c>
      <c r="I314" s="130">
        <f>H314*(1-PARAM!$C$27)*$C$28</f>
        <v>56.078999999999994</v>
      </c>
      <c r="J314" s="131">
        <f t="shared" si="21"/>
        <v>36232.750430410735</v>
      </c>
      <c r="K314" s="132">
        <f>PARAM!$C$26+MAX(0,($C$25-CHOOSE(PARAM!$B$44,MAX(0,L313*IF(L313&gt;0,$K$1,1)),0)))*RATES!$L314/12+$C$26/CHOOSE(PARAM!$B$51,1,3,6,12)*RATES!$N314/100</f>
        <v>12.331060395806283</v>
      </c>
      <c r="L314" s="133">
        <f>IF($G314=PARAM!$B$56,ReviewValue,J314+$I314-K314)</f>
        <v>36276.498370014924</v>
      </c>
      <c r="M314" s="235">
        <f t="shared" si="18"/>
        <v>20837</v>
      </c>
    </row>
    <row r="315" spans="7:13" x14ac:dyDescent="0.2">
      <c r="G315" s="128">
        <v>312</v>
      </c>
      <c r="H315" s="129">
        <f>H303</f>
        <v>67</v>
      </c>
      <c r="I315" s="130">
        <f>H315*(1-PARAM!$C$27)*$C$28</f>
        <v>56.078999999999994</v>
      </c>
      <c r="J315" s="131">
        <f t="shared" si="21"/>
        <v>36495.786865146518</v>
      </c>
      <c r="K315" s="132">
        <f>PARAM!$C$26+MAX(0,($C$25-CHOOSE(PARAM!$B$44,MAX(0,L314*IF(L314&gt;0,$K$1,1)),0)))*RATES!$L315/12+$C$26/CHOOSE(PARAM!$B$51,1,3,6,12)*RATES!$N315/100</f>
        <v>12.190993494309478</v>
      </c>
      <c r="L315" s="133">
        <f>IF($G315=PARAM!$B$56,ReviewValue,J315+$I315-K315)</f>
        <v>36539.674871652205</v>
      </c>
      <c r="M315" s="235">
        <f t="shared" si="18"/>
        <v>20904</v>
      </c>
    </row>
    <row r="316" spans="7:13" x14ac:dyDescent="0.2">
      <c r="G316" s="128">
        <v>313</v>
      </c>
      <c r="H316" s="129">
        <f t="shared" si="19"/>
        <v>67</v>
      </c>
      <c r="I316" s="130">
        <f>H316*(1-PARAM!$C$27)*$C$28</f>
        <v>56.078999999999994</v>
      </c>
      <c r="J316" s="131">
        <f t="shared" si="21"/>
        <v>36760.554247425287</v>
      </c>
      <c r="K316" s="132">
        <f>PARAM!$C$26+MAX(0,($C$25-CHOOSE(PARAM!$B$44,MAX(0,L315*IF(L315&gt;0,$K$1,1)),0)))*RATES!$L316/12+$C$26/CHOOSE(PARAM!$B$51,1,3,6,12)*RATES!$N316/100</f>
        <v>12.050004863246034</v>
      </c>
      <c r="L316" s="133">
        <f>IF($G316=PARAM!$B$56,ReviewValue,J316+$I316-K316)</f>
        <v>36804.583242562039</v>
      </c>
      <c r="M316" s="235">
        <f t="shared" si="18"/>
        <v>20971</v>
      </c>
    </row>
    <row r="317" spans="7:13" x14ac:dyDescent="0.2">
      <c r="G317" s="128">
        <v>314</v>
      </c>
      <c r="H317" s="129">
        <f t="shared" si="19"/>
        <v>67</v>
      </c>
      <c r="I317" s="130">
        <f>H317*(1-PARAM!$C$27)*$C$28</f>
        <v>56.078999999999994</v>
      </c>
      <c r="J317" s="131">
        <f t="shared" si="21"/>
        <v>37027.063967986134</v>
      </c>
      <c r="K317" s="132">
        <f>PARAM!$C$26+MAX(0,($C$25-CHOOSE(PARAM!$B$44,MAX(0,L316*IF(L316&gt;0,$K$1,1)),0)))*RATES!$L317/12+$C$26/CHOOSE(PARAM!$B$51,1,3,6,12)*RATES!$N317/100</f>
        <v>11.908088437047383</v>
      </c>
      <c r="L317" s="133">
        <f>IF($G317=PARAM!$B$56,ReviewValue,J317+$I317-K317)</f>
        <v>37071.234879549083</v>
      </c>
      <c r="M317" s="235">
        <f t="shared" si="18"/>
        <v>21038</v>
      </c>
    </row>
    <row r="318" spans="7:13" x14ac:dyDescent="0.2">
      <c r="G318" s="128">
        <v>315</v>
      </c>
      <c r="H318" s="129">
        <f>H306</f>
        <v>67</v>
      </c>
      <c r="I318" s="130">
        <f>H318*(1-PARAM!$C$27)*$C$28</f>
        <v>56.078999999999994</v>
      </c>
      <c r="J318" s="131">
        <f t="shared" si="21"/>
        <v>37295.327492526456</v>
      </c>
      <c r="K318" s="132">
        <f>PARAM!$C$26+MAX(0,($C$25-CHOOSE(PARAM!$B$44,MAX(0,L317*IF(L317&gt;0,$K$1,1)),0)))*RATES!$L318/12+$C$26/CHOOSE(PARAM!$B$51,1,3,6,12)*RATES!$N318/100</f>
        <v>11.765238110229664</v>
      </c>
      <c r="L318" s="133">
        <f>IF($G318=PARAM!$B$56,ReviewValue,J318+$I318-K318)</f>
        <v>37339.641254416223</v>
      </c>
      <c r="M318" s="235">
        <f t="shared" si="18"/>
        <v>21105</v>
      </c>
    </row>
    <row r="319" spans="7:13" x14ac:dyDescent="0.2">
      <c r="G319" s="128">
        <v>316</v>
      </c>
      <c r="H319" s="129">
        <f t="shared" si="19"/>
        <v>67</v>
      </c>
      <c r="I319" s="130">
        <f>H319*(1-PARAM!$C$27)*$C$28</f>
        <v>56.078999999999994</v>
      </c>
      <c r="J319" s="131">
        <f t="shared" si="21"/>
        <v>37565.356362195271</v>
      </c>
      <c r="K319" s="132">
        <f>PARAM!$C$26+MAX(0,($C$25-CHOOSE(PARAM!$B$44,MAX(0,L318*IF(L318&gt;0,$K$1,1)),0)))*RATES!$L319/12+$C$26/CHOOSE(PARAM!$B$51,1,3,6,12)*RATES!$N319/100</f>
        <v>11.621447737131017</v>
      </c>
      <c r="L319" s="133">
        <f>IF($G319=PARAM!$B$56,ReviewValue,J319+$I319-K319)</f>
        <v>37609.813914458136</v>
      </c>
      <c r="M319" s="235">
        <f t="shared" si="18"/>
        <v>21172</v>
      </c>
    </row>
    <row r="320" spans="7:13" x14ac:dyDescent="0.2">
      <c r="G320" s="128">
        <v>317</v>
      </c>
      <c r="H320" s="129">
        <f t="shared" si="19"/>
        <v>67</v>
      </c>
      <c r="I320" s="130">
        <f>H320*(1-PARAM!$C$27)*$C$28</f>
        <v>56.078999999999994</v>
      </c>
      <c r="J320" s="131">
        <f t="shared" si="21"/>
        <v>37837.162194089717</v>
      </c>
      <c r="K320" s="132">
        <f>PARAM!$C$26+MAX(0,($C$25-CHOOSE(PARAM!$B$44,MAX(0,L319*IF(L319&gt;0,$K$1,1)),0)))*RATES!$L320/12+$C$26/CHOOSE(PARAM!$B$51,1,3,6,12)*RATES!$N320/100</f>
        <v>11.476711131647225</v>
      </c>
      <c r="L320" s="133">
        <f>IF($G320=PARAM!$B$56,ReviewValue,J320+$I320-K320)</f>
        <v>37881.764482958068</v>
      </c>
      <c r="M320" s="235">
        <f t="shared" si="18"/>
        <v>21239</v>
      </c>
    </row>
    <row r="321" spans="7:13" x14ac:dyDescent="0.2">
      <c r="G321" s="128">
        <v>318</v>
      </c>
      <c r="H321" s="129">
        <f>H309</f>
        <v>67</v>
      </c>
      <c r="I321" s="130">
        <f>H321*(1-PARAM!$C$27)*$C$28</f>
        <v>56.078999999999994</v>
      </c>
      <c r="J321" s="131">
        <f t="shared" si="21"/>
        <v>38110.756681754836</v>
      </c>
      <c r="K321" s="132">
        <f>PARAM!$C$26+MAX(0,($C$25-CHOOSE(PARAM!$B$44,MAX(0,L320*IF(L320&gt;0,$K$1,1)),0)))*RATES!$L321/12+$C$26/CHOOSE(PARAM!$B$51,1,3,6,12)*RATES!$N321/100</f>
        <v>12.074099774355872</v>
      </c>
      <c r="L321" s="133">
        <f>IF($G321=PARAM!$B$56,ReviewValue,J321+$I321-K321)</f>
        <v>38154.761581980478</v>
      </c>
      <c r="M321" s="235">
        <f t="shared" si="18"/>
        <v>21306</v>
      </c>
    </row>
    <row r="322" spans="7:13" x14ac:dyDescent="0.2">
      <c r="G322" s="128">
        <v>319</v>
      </c>
      <c r="H322" s="129">
        <f t="shared" si="19"/>
        <v>67</v>
      </c>
      <c r="I322" s="130">
        <f>H322*(1-PARAM!$C$27)*$C$28</f>
        <v>56.078999999999994</v>
      </c>
      <c r="J322" s="131">
        <f t="shared" si="21"/>
        <v>38385.404026134704</v>
      </c>
      <c r="K322" s="132">
        <f>PARAM!$C$26+MAX(0,($C$25-CHOOSE(PARAM!$B$44,MAX(0,L321*IF(L321&gt;0,$K$1,1)),0)))*RATES!$L322/12+$C$26/CHOOSE(PARAM!$B$51,1,3,6,12)*RATES!$N322/100</f>
        <v>11.910684604449852</v>
      </c>
      <c r="L322" s="133">
        <f>IF($G322=PARAM!$B$56,ReviewValue,J322+$I322-K322)</f>
        <v>38429.572341530249</v>
      </c>
      <c r="M322" s="235">
        <f t="shared" si="18"/>
        <v>21373</v>
      </c>
    </row>
    <row r="323" spans="7:13" x14ac:dyDescent="0.2">
      <c r="G323" s="128">
        <v>320</v>
      </c>
      <c r="H323" s="129">
        <f t="shared" si="19"/>
        <v>67</v>
      </c>
      <c r="I323" s="130">
        <f>H323*(1-PARAM!$C$27)*$C$28</f>
        <v>56.078999999999994</v>
      </c>
      <c r="J323" s="131">
        <f t="shared" si="21"/>
        <v>38661.875994472961</v>
      </c>
      <c r="K323" s="132">
        <f>PARAM!$C$26+MAX(0,($C$25-CHOOSE(PARAM!$B$44,MAX(0,L322*IF(L322&gt;0,$K$1,1)),0)))*RATES!$L323/12+$C$26/CHOOSE(PARAM!$B$51,1,3,6,12)*RATES!$N323/100</f>
        <v>11.746183783288586</v>
      </c>
      <c r="L323" s="133">
        <f>IF($G323=PARAM!$B$56,ReviewValue,J323+$I323-K323)</f>
        <v>38706.20881068967</v>
      </c>
      <c r="M323" s="235">
        <f t="shared" si="18"/>
        <v>21440</v>
      </c>
    </row>
    <row r="324" spans="7:13" x14ac:dyDescent="0.2">
      <c r="G324" s="128">
        <v>321</v>
      </c>
      <c r="H324" s="129">
        <f>H312</f>
        <v>67</v>
      </c>
      <c r="I324" s="130">
        <f>H324*(1-PARAM!$C$27)*$C$28</f>
        <v>56.078999999999994</v>
      </c>
      <c r="J324" s="131">
        <f t="shared" si="21"/>
        <v>38940.184708687615</v>
      </c>
      <c r="K324" s="132">
        <f>PARAM!$C$26+MAX(0,($C$25-CHOOSE(PARAM!$B$44,MAX(0,L323*IF(L323&gt;0,$K$1,1)),0)))*RATES!$L324/12+$C$26/CHOOSE(PARAM!$B$51,1,3,6,12)*RATES!$N324/100</f>
        <v>11.58059009833087</v>
      </c>
      <c r="L324" s="133">
        <f>IF($G324=PARAM!$B$56,ReviewValue,J324+$I324-K324)</f>
        <v>38984.683118589281</v>
      </c>
      <c r="M324" s="235">
        <f t="shared" ref="M324:M387" si="22">M323+H323</f>
        <v>21507</v>
      </c>
    </row>
    <row r="325" spans="7:13" x14ac:dyDescent="0.2">
      <c r="G325" s="128">
        <v>322</v>
      </c>
      <c r="H325" s="129">
        <f t="shared" si="19"/>
        <v>67</v>
      </c>
      <c r="I325" s="130">
        <f>H325*(1-PARAM!$C$27)*$C$28</f>
        <v>56.078999999999994</v>
      </c>
      <c r="J325" s="131">
        <f t="shared" si="21"/>
        <v>39220.342371228828</v>
      </c>
      <c r="K325" s="132">
        <f>PARAM!$C$26+MAX(0,($C$25-CHOOSE(PARAM!$B$44,MAX(0,L324*IF(L324&gt;0,$K$1,1)),0)))*RATES!$L325/12+$C$26/CHOOSE(PARAM!$B$51,1,3,6,12)*RATES!$N325/100</f>
        <v>11.413896289118846</v>
      </c>
      <c r="L325" s="133">
        <f>IF($G325=PARAM!$B$56,ReviewValue,J325+$I325-K325)</f>
        <v>39265.00747493971</v>
      </c>
      <c r="M325" s="235">
        <f t="shared" si="22"/>
        <v>21574</v>
      </c>
    </row>
    <row r="326" spans="7:13" x14ac:dyDescent="0.2">
      <c r="G326" s="128">
        <v>323</v>
      </c>
      <c r="H326" s="129">
        <f t="shared" si="19"/>
        <v>67</v>
      </c>
      <c r="I326" s="130">
        <f>H326*(1-PARAM!$C$27)*$C$28</f>
        <v>56.078999999999994</v>
      </c>
      <c r="J326" s="131">
        <f t="shared" si="21"/>
        <v>39502.36126561393</v>
      </c>
      <c r="K326" s="132">
        <f>PARAM!$C$26+MAX(0,($C$25-CHOOSE(PARAM!$B$44,MAX(0,L325*IF(L325&gt;0,$K$1,1)),0)))*RATES!$L326/12+$C$26/CHOOSE(PARAM!$B$51,1,3,6,12)*RATES!$N326/100</f>
        <v>11.246095046959709</v>
      </c>
      <c r="L326" s="133">
        <f>IF($G326=PARAM!$B$56,ReviewValue,J326+$I326-K326)</f>
        <v>39547.194170566967</v>
      </c>
      <c r="M326" s="235">
        <f t="shared" si="22"/>
        <v>21641</v>
      </c>
    </row>
    <row r="327" spans="7:13" x14ac:dyDescent="0.2">
      <c r="G327" s="128">
        <v>324</v>
      </c>
      <c r="H327" s="129">
        <f>H315</f>
        <v>67</v>
      </c>
      <c r="I327" s="130">
        <f>H327*(1-PARAM!$C$27)*$C$28</f>
        <v>56.078999999999994</v>
      </c>
      <c r="J327" s="131">
        <f t="shared" si="21"/>
        <v>39786.253756965983</v>
      </c>
      <c r="K327" s="132">
        <f>PARAM!$C$26+MAX(0,($C$25-CHOOSE(PARAM!$B$44,MAX(0,L326*IF(L326&gt;0,$K$1,1)),0)))*RATES!$L327/12+$C$26/CHOOSE(PARAM!$B$51,1,3,6,12)*RATES!$N327/100</f>
        <v>11.077179014605239</v>
      </c>
      <c r="L327" s="133">
        <f>IF($G327=PARAM!$B$56,ReviewValue,J327+$I327-K327)</f>
        <v>39831.255577951379</v>
      </c>
      <c r="M327" s="235">
        <f t="shared" si="22"/>
        <v>21708</v>
      </c>
    </row>
    <row r="328" spans="7:13" x14ac:dyDescent="0.2">
      <c r="G328" s="128">
        <v>325</v>
      </c>
      <c r="H328" s="129">
        <f t="shared" si="19"/>
        <v>67</v>
      </c>
      <c r="I328" s="130">
        <f>H328*(1-PARAM!$C$27)*$C$28</f>
        <v>56.078999999999994</v>
      </c>
      <c r="J328" s="131">
        <f t="shared" si="21"/>
        <v>40072.032292555959</v>
      </c>
      <c r="K328" s="132">
        <f>PARAM!$C$26+MAX(0,($C$25-CHOOSE(PARAM!$B$44,MAX(0,L327*IF(L327&gt;0,$K$1,1)),0)))*RATES!$L328/12+$C$26/CHOOSE(PARAM!$B$51,1,3,6,12)*RATES!$N328/100</f>
        <v>10.907140785929204</v>
      </c>
      <c r="L328" s="133">
        <f>IF($G328=PARAM!$B$56,ReviewValue,J328+$I328-K328)</f>
        <v>40117.204151770027</v>
      </c>
      <c r="M328" s="235">
        <f t="shared" si="22"/>
        <v>21775</v>
      </c>
    </row>
    <row r="329" spans="7:13" x14ac:dyDescent="0.2">
      <c r="G329" s="128">
        <v>326</v>
      </c>
      <c r="H329" s="129">
        <f t="shared" si="19"/>
        <v>67</v>
      </c>
      <c r="I329" s="130">
        <f>H329*(1-PARAM!$C$27)*$C$28</f>
        <v>56.078999999999994</v>
      </c>
      <c r="J329" s="131">
        <f t="shared" si="21"/>
        <v>40359.709402348453</v>
      </c>
      <c r="K329" s="132">
        <f>PARAM!$C$26+MAX(0,($C$25-CHOOSE(PARAM!$B$44,MAX(0,L328*IF(L328&gt;0,$K$1,1)),0)))*RATES!$L329/12+$C$26/CHOOSE(PARAM!$B$51,1,3,6,12)*RATES!$N329/100</f>
        <v>10.735972905602669</v>
      </c>
      <c r="L329" s="133">
        <f>IF($G329=PARAM!$B$56,ReviewValue,J329+$I329-K329)</f>
        <v>40405.052429442847</v>
      </c>
      <c r="M329" s="235">
        <f t="shared" si="22"/>
        <v>21842</v>
      </c>
    </row>
    <row r="330" spans="7:13" x14ac:dyDescent="0.2">
      <c r="G330" s="128">
        <v>327</v>
      </c>
      <c r="H330" s="129">
        <f>H318</f>
        <v>67</v>
      </c>
      <c r="I330" s="130">
        <f>H330*(1-PARAM!$C$27)*$C$28</f>
        <v>56.078999999999994</v>
      </c>
      <c r="J330" s="131">
        <f t="shared" si="21"/>
        <v>40649.297699551091</v>
      </c>
      <c r="K330" s="132">
        <f>PARAM!$C$26+MAX(0,($C$25-CHOOSE(PARAM!$B$44,MAX(0,L329*IF(L329&gt;0,$K$1,1)),0)))*RATES!$L330/12+$C$26/CHOOSE(PARAM!$B$51,1,3,6,12)*RATES!$N330/100</f>
        <v>10.563667868767102</v>
      </c>
      <c r="L330" s="133">
        <f>IF($G330=PARAM!$B$56,ReviewValue,J330+$I330-K330)</f>
        <v>40694.813031682323</v>
      </c>
      <c r="M330" s="235">
        <f t="shared" si="22"/>
        <v>21909</v>
      </c>
    </row>
    <row r="331" spans="7:13" x14ac:dyDescent="0.2">
      <c r="G331" s="128">
        <v>328</v>
      </c>
      <c r="H331" s="129">
        <f t="shared" si="19"/>
        <v>67</v>
      </c>
      <c r="I331" s="130">
        <f>H331*(1-PARAM!$C$27)*$C$28</f>
        <v>56.078999999999994</v>
      </c>
      <c r="J331" s="131">
        <f t="shared" si="21"/>
        <v>40940.80988116753</v>
      </c>
      <c r="K331" s="132">
        <f>PARAM!$C$26+MAX(0,($C$25-CHOOSE(PARAM!$B$44,MAX(0,L330*IF(L330&gt;0,$K$1,1)),0)))*RATES!$L331/12+$C$26/CHOOSE(PARAM!$B$51,1,3,6,12)*RATES!$N331/100</f>
        <v>10.39021812070532</v>
      </c>
      <c r="L331" s="133">
        <f>IF($G331=PARAM!$B$56,ReviewValue,J331+$I331-K331)</f>
        <v>40986.498663046819</v>
      </c>
      <c r="M331" s="235">
        <f t="shared" si="22"/>
        <v>21976</v>
      </c>
    </row>
    <row r="332" spans="7:13" x14ac:dyDescent="0.2">
      <c r="G332" s="128">
        <v>329</v>
      </c>
      <c r="H332" s="129">
        <f t="shared" si="19"/>
        <v>67</v>
      </c>
      <c r="I332" s="130">
        <f>H332*(1-PARAM!$C$27)*$C$28</f>
        <v>56.078999999999994</v>
      </c>
      <c r="J332" s="131">
        <f t="shared" si="21"/>
        <v>41234.258728554181</v>
      </c>
      <c r="K332" s="132">
        <f>PARAM!$C$26+MAX(0,($C$25-CHOOSE(PARAM!$B$44,MAX(0,L331*IF(L331&gt;0,$K$1,1)),0)))*RATES!$L332/12+$C$26/CHOOSE(PARAM!$B$51,1,3,6,12)*RATES!$N332/100</f>
        <v>10.215616056510262</v>
      </c>
      <c r="L332" s="133">
        <f>IF($G332=PARAM!$B$56,ReviewValue,J332+$I332-K332)</f>
        <v>41280.122112497666</v>
      </c>
      <c r="M332" s="235">
        <f t="shared" si="22"/>
        <v>22043</v>
      </c>
    </row>
    <row r="333" spans="7:13" x14ac:dyDescent="0.2">
      <c r="G333" s="128">
        <v>330</v>
      </c>
      <c r="H333" s="129">
        <f>H321</f>
        <v>67</v>
      </c>
      <c r="I333" s="130">
        <f>H333*(1-PARAM!$C$27)*$C$28</f>
        <v>56.078999999999994</v>
      </c>
      <c r="J333" s="131">
        <f t="shared" si="21"/>
        <v>41529.657107980587</v>
      </c>
      <c r="K333" s="132">
        <f>PARAM!$C$26+MAX(0,($C$25-CHOOSE(PARAM!$B$44,MAX(0,L332*IF(L332&gt;0,$K$1,1)),0)))*RATES!$L333/12+$C$26/CHOOSE(PARAM!$B$51,1,3,6,12)*RATES!$N333/100</f>
        <v>10.625719404116225</v>
      </c>
      <c r="L333" s="133">
        <f>IF($G333=PARAM!$B$56,ReviewValue,J333+$I333-K333)</f>
        <v>41575.110388576468</v>
      </c>
      <c r="M333" s="235">
        <f t="shared" si="22"/>
        <v>22110</v>
      </c>
    </row>
    <row r="334" spans="7:13" x14ac:dyDescent="0.2">
      <c r="G334" s="128">
        <v>331</v>
      </c>
      <c r="H334" s="129">
        <f t="shared" si="19"/>
        <v>67</v>
      </c>
      <c r="I334" s="130">
        <f>H334*(1-PARAM!$C$27)*$C$28</f>
        <v>56.078999999999994</v>
      </c>
      <c r="J334" s="131">
        <f t="shared" si="21"/>
        <v>41826.428564301401</v>
      </c>
      <c r="K334" s="132">
        <f>PARAM!$C$26+MAX(0,($C$25-CHOOSE(PARAM!$B$44,MAX(0,L333*IF(L333&gt;0,$K$1,1)),0)))*RATES!$L334/12+$C$26/CHOOSE(PARAM!$B$51,1,3,6,12)*RATES!$N334/100</f>
        <v>10.428613695209819</v>
      </c>
      <c r="L334" s="133">
        <f>IF($G334=PARAM!$B$56,ReviewValue,J334+$I334-K334)</f>
        <v>41872.078950606192</v>
      </c>
      <c r="M334" s="235">
        <f t="shared" si="22"/>
        <v>22177</v>
      </c>
    </row>
    <row r="335" spans="7:13" x14ac:dyDescent="0.2">
      <c r="G335" s="128">
        <v>332</v>
      </c>
      <c r="H335" s="129">
        <f t="shared" ref="H335:H398" si="23">H323</f>
        <v>67</v>
      </c>
      <c r="I335" s="130">
        <f>H335*(1-PARAM!$C$27)*$C$28</f>
        <v>56.078999999999994</v>
      </c>
      <c r="J335" s="131">
        <f t="shared" si="21"/>
        <v>42125.192277241353</v>
      </c>
      <c r="K335" s="132">
        <f>PARAM!$C$26+MAX(0,($C$25-CHOOSE(PARAM!$B$44,MAX(0,L334*IF(L334&gt;0,$K$1,1)),0)))*RATES!$L335/12+$C$26/CHOOSE(PARAM!$B$51,1,3,6,12)*RATES!$N335/100</f>
        <v>10.230184795865535</v>
      </c>
      <c r="L335" s="133">
        <f>IF($G335=PARAM!$B$56,ReviewValue,J335+$I335-K335)</f>
        <v>42171.041092445485</v>
      </c>
      <c r="M335" s="235">
        <f t="shared" si="22"/>
        <v>22244</v>
      </c>
    </row>
    <row r="336" spans="7:13" x14ac:dyDescent="0.2">
      <c r="G336" s="128">
        <v>333</v>
      </c>
      <c r="H336" s="129">
        <f>H324</f>
        <v>67</v>
      </c>
      <c r="I336" s="130">
        <f>H336*(1-PARAM!$C$27)*$C$28</f>
        <v>56.078999999999994</v>
      </c>
      <c r="J336" s="131">
        <f t="shared" ref="J336:J362" si="24">IF(L335&lt;0,L335,L335*$K$1)</f>
        <v>42425.961621019393</v>
      </c>
      <c r="K336" s="132">
        <f>PARAM!$C$26+MAX(0,($C$25-CHOOSE(PARAM!$B$44,MAX(0,L335*IF(L335&gt;0,$K$1,1)),0)))*RATES!$L336/12+$C$26/CHOOSE(PARAM!$B$51,1,3,6,12)*RATES!$N336/100</f>
        <v>10.030423823372953</v>
      </c>
      <c r="L336" s="133">
        <f>IF($G336=PARAM!$B$56,ReviewValue,J336+$I336-K336)</f>
        <v>42472.010197196018</v>
      </c>
      <c r="M336" s="235">
        <f t="shared" si="22"/>
        <v>22311</v>
      </c>
    </row>
    <row r="337" spans="7:13" x14ac:dyDescent="0.2">
      <c r="G337" s="128">
        <v>334</v>
      </c>
      <c r="H337" s="129">
        <f t="shared" si="23"/>
        <v>67</v>
      </c>
      <c r="I337" s="130">
        <f>H337*(1-PARAM!$C$27)*$C$28</f>
        <v>56.078999999999994</v>
      </c>
      <c r="J337" s="131">
        <f t="shared" si="24"/>
        <v>42728.750059636957</v>
      </c>
      <c r="K337" s="132">
        <f>PARAM!$C$26+MAX(0,($C$25-CHOOSE(PARAM!$B$44,MAX(0,L336*IF(L336&gt;0,$K$1,1)),0)))*RATES!$L337/12+$C$26/CHOOSE(PARAM!$B$51,1,3,6,12)*RATES!$N337/100</f>
        <v>9.82932183539112</v>
      </c>
      <c r="L337" s="133">
        <f>IF($G337=PARAM!$B$56,ReviewValue,J337+$I337-K337)</f>
        <v>42774.999737801561</v>
      </c>
      <c r="M337" s="235">
        <f t="shared" si="22"/>
        <v>22378</v>
      </c>
    </row>
    <row r="338" spans="7:13" x14ac:dyDescent="0.2">
      <c r="G338" s="128">
        <v>335</v>
      </c>
      <c r="H338" s="129">
        <f t="shared" si="23"/>
        <v>67</v>
      </c>
      <c r="I338" s="130">
        <f>H338*(1-PARAM!$C$27)*$C$28</f>
        <v>56.078999999999994</v>
      </c>
      <c r="J338" s="131">
        <f t="shared" si="24"/>
        <v>43033.571147480674</v>
      </c>
      <c r="K338" s="132">
        <f>PARAM!$C$26+MAX(0,($C$25-CHOOSE(PARAM!$B$44,MAX(0,L337*IF(L337&gt;0,$K$1,1)),0)))*RATES!$L338/12+$C$26/CHOOSE(PARAM!$B$51,1,3,6,12)*RATES!$N338/100</f>
        <v>9.6268698295482515</v>
      </c>
      <c r="L338" s="133">
        <f>IF($G338=PARAM!$B$56,ReviewValue,J338+$I338-K338)</f>
        <v>43080.023277651126</v>
      </c>
      <c r="M338" s="235">
        <f t="shared" si="22"/>
        <v>22445</v>
      </c>
    </row>
    <row r="339" spans="7:13" x14ac:dyDescent="0.2">
      <c r="G339" s="128">
        <v>336</v>
      </c>
      <c r="H339" s="129">
        <f>H327</f>
        <v>67</v>
      </c>
      <c r="I339" s="130">
        <f>H339*(1-PARAM!$C$27)*$C$28</f>
        <v>56.078999999999994</v>
      </c>
      <c r="J339" s="131">
        <f t="shared" si="24"/>
        <v>43340.438529929132</v>
      </c>
      <c r="K339" s="132">
        <f>PARAM!$C$26+MAX(0,($C$25-CHOOSE(PARAM!$B$44,MAX(0,L338*IF(L338&gt;0,$K$1,1)),0)))*RATES!$L339/12+$C$26/CHOOSE(PARAM!$B$51,1,3,6,12)*RATES!$N339/100</f>
        <v>9.4230587430387338</v>
      </c>
      <c r="L339" s="133">
        <f>IF($G339=PARAM!$B$56,ReviewValue,J339+$I339-K339)</f>
        <v>43387.094471186094</v>
      </c>
      <c r="M339" s="235">
        <f t="shared" si="22"/>
        <v>22512</v>
      </c>
    </row>
    <row r="340" spans="7:13" x14ac:dyDescent="0.2">
      <c r="G340" s="128">
        <v>337</v>
      </c>
      <c r="H340" s="129">
        <f t="shared" si="23"/>
        <v>67</v>
      </c>
      <c r="I340" s="130">
        <f>H340*(1-PARAM!$C$27)*$C$28</f>
        <v>56.078999999999994</v>
      </c>
      <c r="J340" s="131">
        <f t="shared" si="24"/>
        <v>43649.365943963712</v>
      </c>
      <c r="K340" s="132">
        <f>PARAM!$C$26+MAX(0,($C$25-CHOOSE(PARAM!$B$44,MAX(0,L339*IF(L339&gt;0,$K$1,1)),0)))*RATES!$L340/12+$C$26/CHOOSE(PARAM!$B$51,1,3,6,12)*RATES!$N340/100</f>
        <v>9.217879452217435</v>
      </c>
      <c r="L340" s="133">
        <f>IF($G340=PARAM!$B$56,ReviewValue,J340+$I340-K340)</f>
        <v>43696.227064511491</v>
      </c>
      <c r="M340" s="235">
        <f t="shared" si="22"/>
        <v>22579</v>
      </c>
    </row>
    <row r="341" spans="7:13" x14ac:dyDescent="0.2">
      <c r="G341" s="128">
        <v>338</v>
      </c>
      <c r="H341" s="129">
        <f t="shared" si="23"/>
        <v>67</v>
      </c>
      <c r="I341" s="130">
        <f>H341*(1-PARAM!$C$27)*$C$28</f>
        <v>56.078999999999994</v>
      </c>
      <c r="J341" s="131">
        <f t="shared" si="24"/>
        <v>43960.367218783525</v>
      </c>
      <c r="K341" s="132">
        <f>PARAM!$C$26+MAX(0,($C$25-CHOOSE(PARAM!$B$44,MAX(0,L340*IF(L340&gt;0,$K$1,1)),0)))*RATES!$L341/12+$C$26/CHOOSE(PARAM!$B$51,1,3,6,12)*RATES!$N341/100</f>
        <v>9.0113227721912743</v>
      </c>
      <c r="L341" s="133">
        <f>IF($G341=PARAM!$B$56,ReviewValue,J341+$I341-K341)</f>
        <v>44007.434896011335</v>
      </c>
      <c r="M341" s="235">
        <f t="shared" si="22"/>
        <v>22646</v>
      </c>
    </row>
    <row r="342" spans="7:13" x14ac:dyDescent="0.2">
      <c r="G342" s="128">
        <v>339</v>
      </c>
      <c r="H342" s="129">
        <f>H330</f>
        <v>67</v>
      </c>
      <c r="I342" s="130">
        <f>H342*(1-PARAM!$C$27)*$C$28</f>
        <v>56.078999999999994</v>
      </c>
      <c r="J342" s="131">
        <f t="shared" si="24"/>
        <v>44273.456276424513</v>
      </c>
      <c r="K342" s="132">
        <f>PARAM!$C$26+MAX(0,($C$25-CHOOSE(PARAM!$B$44,MAX(0,L341*IF(L341&gt;0,$K$1,1)),0)))*RATES!$L342/12+$C$26/CHOOSE(PARAM!$B$51,1,3,6,12)*RATES!$N342/100</f>
        <v>8.8033794564080523</v>
      </c>
      <c r="L342" s="133">
        <f>IF($G342=PARAM!$B$56,ReviewValue,J342+$I342-K342)</f>
        <v>44320.7318969681</v>
      </c>
      <c r="M342" s="235">
        <f t="shared" si="22"/>
        <v>22713</v>
      </c>
    </row>
    <row r="343" spans="7:13" x14ac:dyDescent="0.2">
      <c r="G343" s="128">
        <v>340</v>
      </c>
      <c r="H343" s="129">
        <f t="shared" si="23"/>
        <v>67</v>
      </c>
      <c r="I343" s="130">
        <f>H343*(1-PARAM!$C$27)*$C$28</f>
        <v>56.078999999999994</v>
      </c>
      <c r="J343" s="131">
        <f t="shared" si="24"/>
        <v>44588.647132382612</v>
      </c>
      <c r="K343" s="132">
        <f>PARAM!$C$26+MAX(0,($C$25-CHOOSE(PARAM!$B$44,MAX(0,L342*IF(L342&gt;0,$K$1,1)),0)))*RATES!$L343/12+$C$26/CHOOSE(PARAM!$B$51,1,3,6,12)*RATES!$N343/100</f>
        <v>8.594040196242549</v>
      </c>
      <c r="L343" s="133">
        <f>IF($G343=PARAM!$B$56,ReviewValue,J343+$I343-K343)</f>
        <v>44636.132092186366</v>
      </c>
      <c r="M343" s="235">
        <f t="shared" si="22"/>
        <v>22780</v>
      </c>
    </row>
    <row r="344" spans="7:13" x14ac:dyDescent="0.2">
      <c r="G344" s="128">
        <v>341</v>
      </c>
      <c r="H344" s="129">
        <f t="shared" si="23"/>
        <v>67</v>
      </c>
      <c r="I344" s="130">
        <f>H344*(1-PARAM!$C$27)*$C$28</f>
        <v>56.078999999999994</v>
      </c>
      <c r="J344" s="131">
        <f t="shared" si="24"/>
        <v>44905.953896241219</v>
      </c>
      <c r="K344" s="132">
        <f>PARAM!$C$26+MAX(0,($C$25-CHOOSE(PARAM!$B$44,MAX(0,L343*IF(L343&gt;0,$K$1,1)),0)))*RATES!$L344/12+$C$26/CHOOSE(PARAM!$B$51,1,3,6,12)*RATES!$N344/100</f>
        <v>8.3832956205797906</v>
      </c>
      <c r="L344" s="133">
        <f>IF($G344=PARAM!$B$56,ReviewValue,J344+$I344-K344)</f>
        <v>44953.649600620636</v>
      </c>
      <c r="M344" s="235">
        <f t="shared" si="22"/>
        <v>22847</v>
      </c>
    </row>
    <row r="345" spans="7:13" x14ac:dyDescent="0.2">
      <c r="G345" s="128">
        <v>342</v>
      </c>
      <c r="H345" s="129">
        <f>H333</f>
        <v>67</v>
      </c>
      <c r="I345" s="130">
        <f>H345*(1-PARAM!$C$27)*$C$28</f>
        <v>56.078999999999994</v>
      </c>
      <c r="J345" s="131">
        <f t="shared" si="24"/>
        <v>45225.390772302773</v>
      </c>
      <c r="K345" s="132">
        <f>PARAM!$C$26+MAX(0,($C$25-CHOOSE(PARAM!$B$44,MAX(0,L344*IF(L344&gt;0,$K$1,1)),0)))*RATES!$L345/12+$C$26/CHOOSE(PARAM!$B$51,1,3,6,12)*RATES!$N345/100</f>
        <v>8.5332108284959478</v>
      </c>
      <c r="L345" s="133">
        <f>IF($G345=PARAM!$B$56,ReviewValue,J345+$I345-K345)</f>
        <v>45272.936561474278</v>
      </c>
      <c r="M345" s="235">
        <f t="shared" si="22"/>
        <v>22914</v>
      </c>
    </row>
    <row r="346" spans="7:13" x14ac:dyDescent="0.2">
      <c r="G346" s="128">
        <v>343</v>
      </c>
      <c r="H346" s="129">
        <f t="shared" si="23"/>
        <v>67</v>
      </c>
      <c r="I346" s="130">
        <f>H346*(1-PARAM!$C$27)*$C$28</f>
        <v>56.078999999999994</v>
      </c>
      <c r="J346" s="131">
        <f t="shared" si="24"/>
        <v>45546.607796980286</v>
      </c>
      <c r="K346" s="132">
        <f>PARAM!$C$26+MAX(0,($C$25-CHOOSE(PARAM!$B$44,MAX(0,L345*IF(L345&gt;0,$K$1,1)),0)))*RATES!$L346/12+$C$26/CHOOSE(PARAM!$B$51,1,3,6,12)*RATES!$N346/100</f>
        <v>8.2955102302345889</v>
      </c>
      <c r="L346" s="133">
        <f>IF($G346=PARAM!$B$56,ReviewValue,J346+$I346-K346)</f>
        <v>45594.391286750048</v>
      </c>
      <c r="M346" s="235">
        <f t="shared" si="22"/>
        <v>22981</v>
      </c>
    </row>
    <row r="347" spans="7:13" x14ac:dyDescent="0.2">
      <c r="G347" s="128">
        <v>344</v>
      </c>
      <c r="H347" s="129">
        <f t="shared" si="23"/>
        <v>67</v>
      </c>
      <c r="I347" s="130">
        <f>H347*(1-PARAM!$C$27)*$C$28</f>
        <v>56.078999999999994</v>
      </c>
      <c r="J347" s="131">
        <f t="shared" si="24"/>
        <v>45870.005690040321</v>
      </c>
      <c r="K347" s="132">
        <f>PARAM!$C$26+MAX(0,($C$25-CHOOSE(PARAM!$B$44,MAX(0,L346*IF(L346&gt;0,$K$1,1)),0)))*RATES!$L347/12+$C$26/CHOOSE(PARAM!$B$51,1,3,6,12)*RATES!$N347/100</f>
        <v>8.0561957893701628</v>
      </c>
      <c r="L347" s="133">
        <f>IF($G347=PARAM!$B$56,ReviewValue,J347+$I347-K347)</f>
        <v>45918.028494250946</v>
      </c>
      <c r="M347" s="235">
        <f t="shared" si="22"/>
        <v>23048</v>
      </c>
    </row>
    <row r="348" spans="7:13" x14ac:dyDescent="0.2">
      <c r="G348" s="128">
        <v>345</v>
      </c>
      <c r="H348" s="129">
        <f>H336</f>
        <v>67</v>
      </c>
      <c r="I348" s="130">
        <f>H348*(1-PARAM!$C$27)*$C$28</f>
        <v>56.078999999999994</v>
      </c>
      <c r="J348" s="131">
        <f t="shared" si="24"/>
        <v>46195.599258253809</v>
      </c>
      <c r="K348" s="132">
        <f>PARAM!$C$26+MAX(0,($C$25-CHOOSE(PARAM!$B$44,MAX(0,L347*IF(L347&gt;0,$K$1,1)),0)))*RATES!$L348/12+$C$26/CHOOSE(PARAM!$B$51,1,3,6,12)*RATES!$N348/100</f>
        <v>7.8152565488921812</v>
      </c>
      <c r="L348" s="133">
        <f>IF($G348=PARAM!$B$56,ReviewValue,J348+$I348-K348)</f>
        <v>46243.863001704914</v>
      </c>
      <c r="M348" s="235">
        <f t="shared" si="22"/>
        <v>23115</v>
      </c>
    </row>
    <row r="349" spans="7:13" x14ac:dyDescent="0.2">
      <c r="G349" s="128">
        <v>346</v>
      </c>
      <c r="H349" s="129">
        <f t="shared" si="23"/>
        <v>67</v>
      </c>
      <c r="I349" s="130">
        <f>H349*(1-PARAM!$C$27)*$C$28</f>
        <v>56.078999999999994</v>
      </c>
      <c r="J349" s="131">
        <f t="shared" si="24"/>
        <v>46523.403408920662</v>
      </c>
      <c r="K349" s="132">
        <f>PARAM!$C$26+MAX(0,($C$25-CHOOSE(PARAM!$B$44,MAX(0,L348*IF(L348&gt;0,$K$1,1)),0)))*RATES!$L349/12+$C$26/CHOOSE(PARAM!$B$51,1,3,6,12)*RATES!$N349/100</f>
        <v>7.5726814773987101</v>
      </c>
      <c r="L349" s="133">
        <f>IF($G349=PARAM!$B$56,ReviewValue,J349+$I349-K349)</f>
        <v>46571.909727443264</v>
      </c>
      <c r="M349" s="235">
        <f t="shared" si="22"/>
        <v>23182</v>
      </c>
    </row>
    <row r="350" spans="7:13" x14ac:dyDescent="0.2">
      <c r="G350" s="128">
        <v>347</v>
      </c>
      <c r="H350" s="129">
        <f t="shared" si="23"/>
        <v>67</v>
      </c>
      <c r="I350" s="130">
        <f>H350*(1-PARAM!$C$27)*$C$28</f>
        <v>56.078999999999994</v>
      </c>
      <c r="J350" s="131">
        <f t="shared" si="24"/>
        <v>46853.433150552286</v>
      </c>
      <c r="K350" s="132">
        <f>PARAM!$C$26+MAX(0,($C$25-CHOOSE(PARAM!$B$44,MAX(0,L349*IF(L349&gt;0,$K$1,1)),0)))*RATES!$L350/12+$C$26/CHOOSE(PARAM!$B$51,1,3,6,12)*RATES!$N350/100</f>
        <v>7.3284594685913085</v>
      </c>
      <c r="L350" s="133">
        <f>IF($G350=PARAM!$B$56,ReviewValue,J350+$I350-K350)</f>
        <v>46902.183691083694</v>
      </c>
      <c r="M350" s="235">
        <f t="shared" si="22"/>
        <v>23249</v>
      </c>
    </row>
    <row r="351" spans="7:13" x14ac:dyDescent="0.2">
      <c r="G351" s="128">
        <v>348</v>
      </c>
      <c r="H351" s="129">
        <f>H339</f>
        <v>67</v>
      </c>
      <c r="I351" s="130">
        <f>H351*(1-PARAM!$C$27)*$C$28</f>
        <v>56.078999999999994</v>
      </c>
      <c r="J351" s="131">
        <f t="shared" si="24"/>
        <v>47185.703593558748</v>
      </c>
      <c r="K351" s="132">
        <f>PARAM!$C$26+MAX(0,($C$25-CHOOSE(PARAM!$B$44,MAX(0,L350*IF(L350&gt;0,$K$1,1)),0)))*RATES!$L351/12+$C$26/CHOOSE(PARAM!$B$51,1,3,6,12)*RATES!$N351/100</f>
        <v>7.082579340766527</v>
      </c>
      <c r="L351" s="133">
        <f>IF($G351=PARAM!$B$56,ReviewValue,J351+$I351-K351)</f>
        <v>47234.700014217982</v>
      </c>
      <c r="M351" s="235">
        <f t="shared" si="22"/>
        <v>23316</v>
      </c>
    </row>
    <row r="352" spans="7:13" x14ac:dyDescent="0.2">
      <c r="G352" s="128">
        <v>349</v>
      </c>
      <c r="H352" s="129">
        <f t="shared" si="23"/>
        <v>67</v>
      </c>
      <c r="I352" s="130">
        <f>H352*(1-PARAM!$C$27)*$C$28</f>
        <v>56.078999999999994</v>
      </c>
      <c r="J352" s="131">
        <f t="shared" si="24"/>
        <v>47520.229950940644</v>
      </c>
      <c r="K352" s="132">
        <f>PARAM!$C$26+MAX(0,($C$25-CHOOSE(PARAM!$B$44,MAX(0,L351*IF(L351&gt;0,$K$1,1)),0)))*RATES!$L352/12+$C$26/CHOOSE(PARAM!$B$51,1,3,6,12)*RATES!$N352/100</f>
        <v>6.8350298363039235</v>
      </c>
      <c r="L352" s="133">
        <f>IF($G352=PARAM!$B$56,ReviewValue,J352+$I352-K352)</f>
        <v>47569.473921104334</v>
      </c>
      <c r="M352" s="235">
        <f t="shared" si="22"/>
        <v>23383</v>
      </c>
    </row>
    <row r="353" spans="6:14" x14ac:dyDescent="0.2">
      <c r="G353" s="128">
        <v>350</v>
      </c>
      <c r="H353" s="129">
        <f t="shared" si="23"/>
        <v>67</v>
      </c>
      <c r="I353" s="130">
        <f>H353*(1-PARAM!$C$27)*$C$28</f>
        <v>56.078999999999994</v>
      </c>
      <c r="J353" s="131">
        <f t="shared" si="24"/>
        <v>47857.027538985567</v>
      </c>
      <c r="K353" s="132">
        <f>PARAM!$C$26+MAX(0,($C$25-CHOOSE(PARAM!$B$44,MAX(0,L352*IF(L352&gt;0,$K$1,1)),0)))*RATES!$L353/12+$C$26/CHOOSE(PARAM!$B$51,1,3,6,12)*RATES!$N353/100</f>
        <v>6.5857996211506808</v>
      </c>
      <c r="L353" s="133">
        <f>IF($G353=PARAM!$B$56,ReviewValue,J353+$I353-K353)</f>
        <v>47906.520739364416</v>
      </c>
      <c r="M353" s="235">
        <f t="shared" si="22"/>
        <v>23450</v>
      </c>
    </row>
    <row r="354" spans="6:14" x14ac:dyDescent="0.2">
      <c r="G354" s="128">
        <v>351</v>
      </c>
      <c r="H354" s="129">
        <f>H342</f>
        <v>67</v>
      </c>
      <c r="I354" s="130">
        <f>H354*(1-PARAM!$C$27)*$C$28</f>
        <v>56.078999999999994</v>
      </c>
      <c r="J354" s="131">
        <f t="shared" si="24"/>
        <v>48196.111777969425</v>
      </c>
      <c r="K354" s="132">
        <f>PARAM!$C$26+MAX(0,($C$25-CHOOSE(PARAM!$B$44,MAX(0,L353*IF(L353&gt;0,$K$1,1)),0)))*RATES!$L354/12+$C$26/CHOOSE(PARAM!$B$51,1,3,6,12)*RATES!$N354/100</f>
        <v>6.3348772843026255</v>
      </c>
      <c r="L354" s="133">
        <f>IF($G354=PARAM!$B$56,ReviewValue,J354+$I354-K354)</f>
        <v>48245.855900685121</v>
      </c>
      <c r="M354" s="235">
        <f t="shared" si="22"/>
        <v>23517</v>
      </c>
    </row>
    <row r="355" spans="6:14" x14ac:dyDescent="0.2">
      <c r="G355" s="128">
        <v>352</v>
      </c>
      <c r="H355" s="129">
        <f t="shared" si="23"/>
        <v>67</v>
      </c>
      <c r="I355" s="130">
        <f>H355*(1-PARAM!$C$27)*$C$28</f>
        <v>56.078999999999994</v>
      </c>
      <c r="J355" s="131">
        <f t="shared" si="24"/>
        <v>48537.498192862411</v>
      </c>
      <c r="K355" s="132">
        <f>PARAM!$C$26+MAX(0,($C$25-CHOOSE(PARAM!$B$44,MAX(0,L354*IF(L354&gt;0,$K$1,1)),0)))*RATES!$L355/12+$C$26/CHOOSE(PARAM!$B$51,1,3,6,12)*RATES!$N355/100</f>
        <v>6.0822513372818161</v>
      </c>
      <c r="L355" s="133">
        <f>IF($G355=PARAM!$B$56,ReviewValue,J355+$I355-K355)</f>
        <v>48587.494941525125</v>
      </c>
      <c r="M355" s="235">
        <f t="shared" si="22"/>
        <v>23584</v>
      </c>
    </row>
    <row r="356" spans="6:14" x14ac:dyDescent="0.2">
      <c r="G356" s="128">
        <v>353</v>
      </c>
      <c r="H356" s="129">
        <f t="shared" si="23"/>
        <v>67</v>
      </c>
      <c r="I356" s="130">
        <f>H356*(1-PARAM!$C$27)*$C$28</f>
        <v>56.078999999999994</v>
      </c>
      <c r="J356" s="131">
        <f t="shared" si="24"/>
        <v>48881.202414039828</v>
      </c>
      <c r="K356" s="132">
        <f>PARAM!$C$26+MAX(0,($C$25-CHOOSE(PARAM!$B$44,MAX(0,L355*IF(L355&gt;0,$K$1,1)),0)))*RATES!$L356/12+$C$26/CHOOSE(PARAM!$B$51,1,3,6,12)*RATES!$N356/100</f>
        <v>5.8279102136105276</v>
      </c>
      <c r="L356" s="133">
        <f>IF($G356=PARAM!$B$56,ReviewValue,J356+$I356-K356)</f>
        <v>48931.453503826218</v>
      </c>
      <c r="M356" s="235">
        <f t="shared" si="22"/>
        <v>23651</v>
      </c>
    </row>
    <row r="357" spans="6:14" x14ac:dyDescent="0.2">
      <c r="G357" s="128">
        <v>354</v>
      </c>
      <c r="H357" s="129">
        <f>H345</f>
        <v>67</v>
      </c>
      <c r="I357" s="130">
        <f>H357*(1-PARAM!$C$27)*$C$28</f>
        <v>56.078999999999994</v>
      </c>
      <c r="J357" s="131">
        <f t="shared" si="24"/>
        <v>49227.240177997744</v>
      </c>
      <c r="K357" s="132">
        <f>PARAM!$C$26+MAX(0,($C$25-CHOOSE(PARAM!$B$44,MAX(0,L356*IF(L356&gt;0,$K$1,1)),0)))*RATES!$L357/12+$C$26/CHOOSE(PARAM!$B$51,1,3,6,12)*RATES!$N357/100</f>
        <v>5.6368828866335257</v>
      </c>
      <c r="L357" s="133">
        <f>IF($G357=PARAM!$B$56,ReviewValue,J357+$I357-K357)</f>
        <v>49277.68229511111</v>
      </c>
      <c r="M357" s="235">
        <f t="shared" si="22"/>
        <v>23718</v>
      </c>
    </row>
    <row r="358" spans="6:14" x14ac:dyDescent="0.2">
      <c r="G358" s="128">
        <v>355</v>
      </c>
      <c r="H358" s="129">
        <f t="shared" si="23"/>
        <v>67</v>
      </c>
      <c r="I358" s="130">
        <f>H358*(1-PARAM!$C$27)*$C$28</f>
        <v>56.078999999999994</v>
      </c>
      <c r="J358" s="131">
        <f t="shared" si="24"/>
        <v>49575.561894289829</v>
      </c>
      <c r="K358" s="132">
        <f>PARAM!$C$26+MAX(0,($C$25-CHOOSE(PARAM!$B$44,MAX(0,L357*IF(L357&gt;0,$K$1,1)),0)))*RATES!$L358/12+$C$26/CHOOSE(PARAM!$B$51,1,3,6,12)*RATES!$N358/100</f>
        <v>5.3498077387894662</v>
      </c>
      <c r="L358" s="133">
        <f>IF($G358=PARAM!$B$56,ReviewValue,J358+$I358-K358)</f>
        <v>49626.291086551035</v>
      </c>
      <c r="M358" s="235">
        <f t="shared" si="22"/>
        <v>23785</v>
      </c>
    </row>
    <row r="359" spans="6:14" x14ac:dyDescent="0.2">
      <c r="G359" s="128">
        <v>356</v>
      </c>
      <c r="H359" s="129">
        <f t="shared" si="23"/>
        <v>67</v>
      </c>
      <c r="I359" s="130">
        <f>H359*(1-PARAM!$C$27)*$C$28</f>
        <v>56.078999999999994</v>
      </c>
      <c r="J359" s="131">
        <f t="shared" si="24"/>
        <v>49926.277997645164</v>
      </c>
      <c r="K359" s="132">
        <f>PARAM!$C$26+MAX(0,($C$25-CHOOSE(PARAM!$B$44,MAX(0,L358*IF(L358&gt;0,$K$1,1)),0)))*RATES!$L359/12+$C$26/CHOOSE(PARAM!$B$51,1,3,6,12)*RATES!$N359/100</f>
        <v>5.0607592169407773</v>
      </c>
      <c r="L359" s="133">
        <f>IF($G359=PARAM!$B$56,ReviewValue,J359+$I359-K359)</f>
        <v>49977.296238428222</v>
      </c>
      <c r="M359" s="235">
        <f t="shared" si="22"/>
        <v>23852</v>
      </c>
    </row>
    <row r="360" spans="6:14" x14ac:dyDescent="0.2">
      <c r="G360" s="128">
        <v>357</v>
      </c>
      <c r="H360" s="129">
        <f>H348</f>
        <v>67</v>
      </c>
      <c r="I360" s="130">
        <f>H360*(1-PARAM!$C$27)*$C$28</f>
        <v>56.078999999999994</v>
      </c>
      <c r="J360" s="131">
        <f t="shared" si="24"/>
        <v>50279.404947242561</v>
      </c>
      <c r="K360" s="132">
        <f>PARAM!$C$26+MAX(0,($C$25-CHOOSE(PARAM!$B$44,MAX(0,L359*IF(L359&gt;0,$K$1,1)),0)))*RATES!$L360/12+$C$26/CHOOSE(PARAM!$B$51,1,3,6,12)*RATES!$N360/100</f>
        <v>5</v>
      </c>
      <c r="L360" s="133">
        <f>IF($G360=PARAM!$B$56,ReviewValue,J360+$I360-K360)</f>
        <v>50330.483947242559</v>
      </c>
      <c r="M360" s="235">
        <f t="shared" si="22"/>
        <v>23919</v>
      </c>
    </row>
    <row r="361" spans="6:14" x14ac:dyDescent="0.2">
      <c r="G361" s="128">
        <v>358</v>
      </c>
      <c r="H361" s="129">
        <f t="shared" si="23"/>
        <v>67</v>
      </c>
      <c r="I361" s="130">
        <f>H361*(1-PARAM!$C$27)*$C$28</f>
        <v>56.078999999999994</v>
      </c>
      <c r="J361" s="131">
        <f t="shared" si="24"/>
        <v>50634.727647157051</v>
      </c>
      <c r="K361" s="132">
        <f>PARAM!$C$26+MAX(0,($C$25-CHOOSE(PARAM!$B$44,MAX(0,L360*IF(L360&gt;0,$K$1,1)),0)))*RATES!$L361/12+$C$26/CHOOSE(PARAM!$B$51,1,3,6,12)*RATES!$N361/100</f>
        <v>5</v>
      </c>
      <c r="L361" s="133">
        <f>IF($G361=PARAM!$B$56,ReviewValue,J361+$I361-K361)</f>
        <v>50685.806647157049</v>
      </c>
      <c r="M361" s="235">
        <f t="shared" si="22"/>
        <v>23986</v>
      </c>
    </row>
    <row r="362" spans="6:14" x14ac:dyDescent="0.2">
      <c r="G362" s="128">
        <v>359</v>
      </c>
      <c r="H362" s="129">
        <f t="shared" si="23"/>
        <v>67</v>
      </c>
      <c r="I362" s="130">
        <f>H362*(1-PARAM!$C$27)*$C$28</f>
        <v>56.078999999999994</v>
      </c>
      <c r="J362" s="131">
        <f t="shared" si="24"/>
        <v>50992.198244020023</v>
      </c>
      <c r="K362" s="132">
        <f>PARAM!$C$26+MAX(0,($C$25-CHOOSE(PARAM!$B$44,MAX(0,L361*IF(L361&gt;0,$K$1,1)),0)))*RATES!$L362/12+$C$26/CHOOSE(PARAM!$B$51,1,3,6,12)*RATES!$N362/100</f>
        <v>5</v>
      </c>
      <c r="L362" s="133">
        <f>IF($G362=PARAM!$B$56,ReviewValue,J362+$I362-K362)</f>
        <v>51043.277244020021</v>
      </c>
      <c r="M362" s="235">
        <f t="shared" si="22"/>
        <v>24053</v>
      </c>
    </row>
    <row r="363" spans="6:14" x14ac:dyDescent="0.2">
      <c r="G363" s="128">
        <v>360</v>
      </c>
      <c r="H363" s="129">
        <f>H351</f>
        <v>67</v>
      </c>
      <c r="I363" s="130">
        <f>H363*(1-PARAM!$C$27)*$C$28</f>
        <v>56.078999999999994</v>
      </c>
      <c r="J363" s="234">
        <f>IF(L362&lt;0,L362,L362*$K$1)*(1+IF(L362&lt;0,0,PARAM!$C$31))</f>
        <v>52892.384613345435</v>
      </c>
      <c r="K363" s="132">
        <f>PARAM!$C$26+MAX(0,($C$25-CHOOSE(PARAM!$B$44,MAX(0,L362*IF(L362&gt;0,$K$1,1)),0)))*RATES!$L363/12+$C$26/CHOOSE(PARAM!$B$51,1,3,6,12)*RATES!$N363/100</f>
        <v>5</v>
      </c>
      <c r="L363" s="133">
        <f>IF($G363=PARAM!$B$56,ReviewValue,J363+$I363-K363)</f>
        <v>52943.463613345433</v>
      </c>
      <c r="M363" s="236">
        <f t="shared" si="22"/>
        <v>24120</v>
      </c>
      <c r="N363" s="96"/>
    </row>
    <row r="364" spans="6:14" x14ac:dyDescent="0.2">
      <c r="G364" s="128">
        <v>361</v>
      </c>
      <c r="H364" s="129">
        <f t="shared" si="23"/>
        <v>67</v>
      </c>
      <c r="I364" s="130">
        <f>H364*(1-PARAM!$C$27)*$C$28</f>
        <v>56.078999999999994</v>
      </c>
      <c r="J364" s="131">
        <f t="shared" ref="J364:J395" si="25">IF(L363&lt;0,L363,L363*$K$1)</f>
        <v>53263.502563753638</v>
      </c>
      <c r="K364" s="132">
        <f>PARAM!$C$26+MAX(0,($C$25-CHOOSE(PARAM!$B$44,MAX(0,L363*IF(L363&gt;0,$K$1,1)),0)))*RATES!$L364/12+$C$26/CHOOSE(PARAM!$B$51,1,3,6,12)*RATES!$N364/100</f>
        <v>5</v>
      </c>
      <c r="L364" s="133">
        <f>IF($G364=PARAM!$B$56,ReviewValue,J364+$I364-K364)</f>
        <v>53314.581563753636</v>
      </c>
      <c r="M364" s="235">
        <f t="shared" si="22"/>
        <v>24187</v>
      </c>
    </row>
    <row r="365" spans="6:14" x14ac:dyDescent="0.2">
      <c r="F365" s="95"/>
      <c r="G365" s="128">
        <v>362</v>
      </c>
      <c r="H365" s="129">
        <f t="shared" si="23"/>
        <v>67</v>
      </c>
      <c r="I365" s="130">
        <f>H365*(1-PARAM!$C$27)*$C$28</f>
        <v>56.078999999999994</v>
      </c>
      <c r="J365" s="131">
        <f t="shared" si="25"/>
        <v>53636.86389212052</v>
      </c>
      <c r="K365" s="132">
        <f>PARAM!$C$26+MAX(0,($C$25-CHOOSE(PARAM!$B$44,MAX(0,L364*IF(L364&gt;0,$K$1,1)),0)))*RATES!$L365/12+$C$26/CHOOSE(PARAM!$B$51,1,3,6,12)*RATES!$N365/100</f>
        <v>5</v>
      </c>
      <c r="L365" s="133">
        <f>IF($G365=PARAM!$B$56,ReviewValue,J365+$I365-K365)</f>
        <v>53687.942892120518</v>
      </c>
      <c r="M365" s="235">
        <f t="shared" si="22"/>
        <v>24254</v>
      </c>
    </row>
    <row r="366" spans="6:14" x14ac:dyDescent="0.2">
      <c r="G366" s="128">
        <v>363</v>
      </c>
      <c r="H366" s="129">
        <f>H354</f>
        <v>67</v>
      </c>
      <c r="I366" s="130">
        <f>H366*(1-PARAM!$C$27)*$C$28</f>
        <v>56.078999999999994</v>
      </c>
      <c r="J366" s="131">
        <f t="shared" si="25"/>
        <v>54012.482159484185</v>
      </c>
      <c r="K366" s="132">
        <f>PARAM!$C$26+MAX(0,($C$25-CHOOSE(PARAM!$B$44,MAX(0,L365*IF(L365&gt;0,$K$1,1)),0)))*RATES!$L366/12+$C$26/CHOOSE(PARAM!$B$51,1,3,6,12)*RATES!$N366/100</f>
        <v>5</v>
      </c>
      <c r="L366" s="133">
        <f>IF($G366=PARAM!$B$56,ReviewValue,J366+$I366-K366)</f>
        <v>54063.561159484183</v>
      </c>
      <c r="M366" s="235">
        <f t="shared" si="22"/>
        <v>24321</v>
      </c>
    </row>
    <row r="367" spans="6:14" x14ac:dyDescent="0.2">
      <c r="G367" s="128">
        <v>364</v>
      </c>
      <c r="H367" s="129">
        <f t="shared" si="23"/>
        <v>67</v>
      </c>
      <c r="I367" s="130">
        <f>H367*(1-PARAM!$C$27)*$C$28</f>
        <v>56.078999999999994</v>
      </c>
      <c r="J367" s="131">
        <f t="shared" si="25"/>
        <v>54390.371008858107</v>
      </c>
      <c r="K367" s="132">
        <f>PARAM!$C$26+MAX(0,($C$25-CHOOSE(PARAM!$B$44,MAX(0,L366*IF(L366&gt;0,$K$1,1)),0)))*RATES!$L367/12+$C$26/CHOOSE(PARAM!$B$51,1,3,6,12)*RATES!$N367/100</f>
        <v>5</v>
      </c>
      <c r="L367" s="133">
        <f>IF($G367=PARAM!$B$56,ReviewValue,J367+$I367-K367)</f>
        <v>54441.450008858104</v>
      </c>
      <c r="M367" s="235">
        <f t="shared" si="22"/>
        <v>24388</v>
      </c>
    </row>
    <row r="368" spans="6:14" x14ac:dyDescent="0.2">
      <c r="G368" s="128">
        <v>365</v>
      </c>
      <c r="H368" s="129">
        <f t="shared" si="23"/>
        <v>67</v>
      </c>
      <c r="I368" s="130">
        <f>H368*(1-PARAM!$C$27)*$C$28</f>
        <v>56.078999999999994</v>
      </c>
      <c r="J368" s="131">
        <f t="shared" si="25"/>
        <v>54770.544165726678</v>
      </c>
      <c r="K368" s="132">
        <f>PARAM!$C$26+MAX(0,($C$25-CHOOSE(PARAM!$B$44,MAX(0,L367*IF(L367&gt;0,$K$1,1)),0)))*RATES!$L368/12+$C$26/CHOOSE(PARAM!$B$51,1,3,6,12)*RATES!$N368/100</f>
        <v>5</v>
      </c>
      <c r="L368" s="133">
        <f>IF($G368=PARAM!$B$56,ReviewValue,J368+$I368-K368)</f>
        <v>54821.623165726676</v>
      </c>
      <c r="M368" s="235">
        <f t="shared" si="22"/>
        <v>24455</v>
      </c>
    </row>
    <row r="369" spans="7:13" x14ac:dyDescent="0.2">
      <c r="G369" s="128">
        <v>366</v>
      </c>
      <c r="H369" s="129">
        <f>H357</f>
        <v>67</v>
      </c>
      <c r="I369" s="130">
        <f>H369*(1-PARAM!$C$27)*$C$28</f>
        <v>56.078999999999994</v>
      </c>
      <c r="J369" s="131">
        <f t="shared" si="25"/>
        <v>55153.015438543727</v>
      </c>
      <c r="K369" s="132">
        <f>PARAM!$C$26+MAX(0,($C$25-CHOOSE(PARAM!$B$44,MAX(0,L368*IF(L368&gt;0,$K$1,1)),0)))*RATES!$L369/12+$C$26/CHOOSE(PARAM!$B$51,1,3,6,12)*RATES!$N369/100</f>
        <v>5</v>
      </c>
      <c r="L369" s="133">
        <f>IF($G369=PARAM!$B$56,ReviewValue,J369+$I369-K369)</f>
        <v>55204.094438543725</v>
      </c>
      <c r="M369" s="235">
        <f t="shared" si="22"/>
        <v>24522</v>
      </c>
    </row>
    <row r="370" spans="7:13" x14ac:dyDescent="0.2">
      <c r="G370" s="128">
        <v>367</v>
      </c>
      <c r="H370" s="129">
        <f t="shared" si="23"/>
        <v>67</v>
      </c>
      <c r="I370" s="130">
        <f>H370*(1-PARAM!$C$27)*$C$28</f>
        <v>56.078999999999994</v>
      </c>
      <c r="J370" s="131">
        <f t="shared" si="25"/>
        <v>55537.798719234073</v>
      </c>
      <c r="K370" s="132">
        <f>PARAM!$C$26+MAX(0,($C$25-CHOOSE(PARAM!$B$44,MAX(0,L369*IF(L369&gt;0,$K$1,1)),0)))*RATES!$L370/12+$C$26/CHOOSE(PARAM!$B$51,1,3,6,12)*RATES!$N370/100</f>
        <v>5</v>
      </c>
      <c r="L370" s="133">
        <f>IF($G370=PARAM!$B$56,ReviewValue,J370+$I370-K370)</f>
        <v>55588.877719234071</v>
      </c>
      <c r="M370" s="235">
        <f t="shared" si="22"/>
        <v>24589</v>
      </c>
    </row>
    <row r="371" spans="7:13" x14ac:dyDescent="0.2">
      <c r="G371" s="128">
        <v>368</v>
      </c>
      <c r="H371" s="129">
        <f t="shared" si="23"/>
        <v>67</v>
      </c>
      <c r="I371" s="130">
        <f>H371*(1-PARAM!$C$27)*$C$28</f>
        <v>56.078999999999994</v>
      </c>
      <c r="J371" s="131">
        <f t="shared" si="25"/>
        <v>55924.907983698096</v>
      </c>
      <c r="K371" s="132">
        <f>PARAM!$C$26+MAX(0,($C$25-CHOOSE(PARAM!$B$44,MAX(0,L370*IF(L370&gt;0,$K$1,1)),0)))*RATES!$L371/12+$C$26/CHOOSE(PARAM!$B$51,1,3,6,12)*RATES!$N371/100</f>
        <v>5</v>
      </c>
      <c r="L371" s="133">
        <f>IF($G371=PARAM!$B$56,ReviewValue,J371+$I371-K371)</f>
        <v>55975.986983698094</v>
      </c>
      <c r="M371" s="235">
        <f t="shared" si="22"/>
        <v>24656</v>
      </c>
    </row>
    <row r="372" spans="7:13" x14ac:dyDescent="0.2">
      <c r="G372" s="128">
        <v>369</v>
      </c>
      <c r="H372" s="129">
        <f>H360</f>
        <v>67</v>
      </c>
      <c r="I372" s="130">
        <f>H372*(1-PARAM!$C$27)*$C$28</f>
        <v>56.078999999999994</v>
      </c>
      <c r="J372" s="131">
        <f t="shared" si="25"/>
        <v>56314.357292319357</v>
      </c>
      <c r="K372" s="132">
        <f>PARAM!$C$26+MAX(0,($C$25-CHOOSE(PARAM!$B$44,MAX(0,L371*IF(L371&gt;0,$K$1,1)),0)))*RATES!$L372/12+$C$26/CHOOSE(PARAM!$B$51,1,3,6,12)*RATES!$N372/100</f>
        <v>5</v>
      </c>
      <c r="L372" s="133">
        <f>IF($G372=PARAM!$B$56,ReviewValue,J372+$I372-K372)</f>
        <v>56365.436292319355</v>
      </c>
      <c r="M372" s="235">
        <f t="shared" si="22"/>
        <v>24723</v>
      </c>
    </row>
    <row r="373" spans="7:13" x14ac:dyDescent="0.2">
      <c r="G373" s="128">
        <v>370</v>
      </c>
      <c r="H373" s="129">
        <f t="shared" si="23"/>
        <v>67</v>
      </c>
      <c r="I373" s="130">
        <f>H373*(1-PARAM!$C$27)*$C$28</f>
        <v>56.078999999999994</v>
      </c>
      <c r="J373" s="131">
        <f t="shared" si="25"/>
        <v>56706.160790475296</v>
      </c>
      <c r="K373" s="132">
        <f>PARAM!$C$26+MAX(0,($C$25-CHOOSE(PARAM!$B$44,MAX(0,L372*IF(L372&gt;0,$K$1,1)),0)))*RATES!$L373/12+$C$26/CHOOSE(PARAM!$B$51,1,3,6,12)*RATES!$N373/100</f>
        <v>5</v>
      </c>
      <c r="L373" s="133">
        <f>IF($G373=PARAM!$B$56,ReviewValue,J373+$I373-K373)</f>
        <v>56757.239790475294</v>
      </c>
      <c r="M373" s="235">
        <f t="shared" si="22"/>
        <v>24790</v>
      </c>
    </row>
    <row r="374" spans="7:13" x14ac:dyDescent="0.2">
      <c r="G374" s="128">
        <v>371</v>
      </c>
      <c r="H374" s="129">
        <f t="shared" si="23"/>
        <v>67</v>
      </c>
      <c r="I374" s="130">
        <f>H374*(1-PARAM!$C$27)*$C$28</f>
        <v>56.078999999999994</v>
      </c>
      <c r="J374" s="131">
        <f t="shared" si="25"/>
        <v>57100.332709051028</v>
      </c>
      <c r="K374" s="132">
        <f>PARAM!$C$26+MAX(0,($C$25-CHOOSE(PARAM!$B$44,MAX(0,L373*IF(L373&gt;0,$K$1,1)),0)))*RATES!$L374/12+$C$26/CHOOSE(PARAM!$B$51,1,3,6,12)*RATES!$N374/100</f>
        <v>5</v>
      </c>
      <c r="L374" s="133">
        <f>IF($G374=PARAM!$B$56,ReviewValue,J374+$I374-K374)</f>
        <v>57151.411709051026</v>
      </c>
      <c r="M374" s="235">
        <f t="shared" si="22"/>
        <v>24857</v>
      </c>
    </row>
    <row r="375" spans="7:13" x14ac:dyDescent="0.2">
      <c r="G375" s="128">
        <v>372</v>
      </c>
      <c r="H375" s="129">
        <f>H363</f>
        <v>67</v>
      </c>
      <c r="I375" s="130">
        <f>H375*(1-PARAM!$C$27)*$C$28</f>
        <v>56.078999999999994</v>
      </c>
      <c r="J375" s="131">
        <f t="shared" si="25"/>
        <v>57496.887364956194</v>
      </c>
      <c r="K375" s="132">
        <f>PARAM!$C$26+MAX(0,($C$25-CHOOSE(PARAM!$B$44,MAX(0,L374*IF(L374&gt;0,$K$1,1)),0)))*RATES!$L375/12+$C$26/CHOOSE(PARAM!$B$51,1,3,6,12)*RATES!$N375/100</f>
        <v>5</v>
      </c>
      <c r="L375" s="133">
        <f>IF($G375=PARAM!$B$56,ReviewValue,J375+$I375-K375)</f>
        <v>57547.966364956192</v>
      </c>
      <c r="M375" s="235">
        <f t="shared" si="22"/>
        <v>24924</v>
      </c>
    </row>
    <row r="376" spans="7:13" x14ac:dyDescent="0.2">
      <c r="G376" s="128">
        <v>373</v>
      </c>
      <c r="H376" s="129">
        <f t="shared" si="23"/>
        <v>67</v>
      </c>
      <c r="I376" s="130">
        <f>H376*(1-PARAM!$C$27)*$C$28</f>
        <v>56.078999999999994</v>
      </c>
      <c r="J376" s="131">
        <f t="shared" si="25"/>
        <v>57895.839161645017</v>
      </c>
      <c r="K376" s="132">
        <f>PARAM!$C$26+MAX(0,($C$25-CHOOSE(PARAM!$B$44,MAX(0,L375*IF(L375&gt;0,$K$1,1)),0)))*RATES!$L376/12+$C$26/CHOOSE(PARAM!$B$51,1,3,6,12)*RATES!$N376/100</f>
        <v>5</v>
      </c>
      <c r="L376" s="133">
        <f>IF($G376=PARAM!$B$56,ReviewValue,J376+$I376-K376)</f>
        <v>57946.918161645015</v>
      </c>
      <c r="M376" s="235">
        <f t="shared" si="22"/>
        <v>24991</v>
      </c>
    </row>
    <row r="377" spans="7:13" x14ac:dyDescent="0.2">
      <c r="G377" s="128">
        <v>374</v>
      </c>
      <c r="H377" s="129">
        <f t="shared" si="23"/>
        <v>67</v>
      </c>
      <c r="I377" s="130">
        <f>H377*(1-PARAM!$C$27)*$C$28</f>
        <v>56.078999999999994</v>
      </c>
      <c r="J377" s="131">
        <f t="shared" si="25"/>
        <v>58297.202589639419</v>
      </c>
      <c r="K377" s="132">
        <f>PARAM!$C$26+MAX(0,($C$25-CHOOSE(PARAM!$B$44,MAX(0,L376*IF(L376&gt;0,$K$1,1)),0)))*RATES!$L377/12+$C$26/CHOOSE(PARAM!$B$51,1,3,6,12)*RATES!$N377/100</f>
        <v>5</v>
      </c>
      <c r="L377" s="133">
        <f>IF($G377=PARAM!$B$56,ReviewValue,J377+$I377-K377)</f>
        <v>58348.281589639417</v>
      </c>
      <c r="M377" s="235">
        <f t="shared" si="22"/>
        <v>25058</v>
      </c>
    </row>
    <row r="378" spans="7:13" x14ac:dyDescent="0.2">
      <c r="G378" s="128">
        <v>375</v>
      </c>
      <c r="H378" s="129">
        <f>H366</f>
        <v>67</v>
      </c>
      <c r="I378" s="130">
        <f>H378*(1-PARAM!$C$27)*$C$28</f>
        <v>56.078999999999994</v>
      </c>
      <c r="J378" s="131">
        <f t="shared" si="25"/>
        <v>58700.992227055358</v>
      </c>
      <c r="K378" s="132">
        <f>PARAM!$C$26+MAX(0,($C$25-CHOOSE(PARAM!$B$44,MAX(0,L377*IF(L377&gt;0,$K$1,1)),0)))*RATES!$L378/12+$C$26/CHOOSE(PARAM!$B$51,1,3,6,12)*RATES!$N378/100</f>
        <v>5</v>
      </c>
      <c r="L378" s="133">
        <f>IF($G378=PARAM!$B$56,ReviewValue,J378+$I378-K378)</f>
        <v>58752.071227055356</v>
      </c>
      <c r="M378" s="235">
        <f t="shared" si="22"/>
        <v>25125</v>
      </c>
    </row>
    <row r="379" spans="7:13" x14ac:dyDescent="0.2">
      <c r="G379" s="128">
        <v>376</v>
      </c>
      <c r="H379" s="129">
        <f t="shared" si="23"/>
        <v>67</v>
      </c>
      <c r="I379" s="130">
        <f>H379*(1-PARAM!$C$27)*$C$28</f>
        <v>56.078999999999994</v>
      </c>
      <c r="J379" s="131">
        <f t="shared" si="25"/>
        <v>59107.222740132325</v>
      </c>
      <c r="K379" s="132">
        <f>PARAM!$C$26+MAX(0,($C$25-CHOOSE(PARAM!$B$44,MAX(0,L378*IF(L378&gt;0,$K$1,1)),0)))*RATES!$L379/12+$C$26/CHOOSE(PARAM!$B$51,1,3,6,12)*RATES!$N379/100</f>
        <v>5</v>
      </c>
      <c r="L379" s="133">
        <f>IF($G379=PARAM!$B$56,ReviewValue,J379+$I379-K379)</f>
        <v>59158.301740132323</v>
      </c>
      <c r="M379" s="235">
        <f t="shared" si="22"/>
        <v>25192</v>
      </c>
    </row>
    <row r="380" spans="7:13" x14ac:dyDescent="0.2">
      <c r="G380" s="128">
        <v>377</v>
      </c>
      <c r="H380" s="129">
        <f t="shared" si="23"/>
        <v>67</v>
      </c>
      <c r="I380" s="130">
        <f>H380*(1-PARAM!$C$27)*$C$28</f>
        <v>56.078999999999994</v>
      </c>
      <c r="J380" s="131">
        <f t="shared" si="25"/>
        <v>59515.908883766038</v>
      </c>
      <c r="K380" s="132">
        <f>PARAM!$C$26+MAX(0,($C$25-CHOOSE(PARAM!$B$44,MAX(0,L379*IF(L379&gt;0,$K$1,1)),0)))*RATES!$L380/12+$C$26/CHOOSE(PARAM!$B$51,1,3,6,12)*RATES!$N380/100</f>
        <v>5</v>
      </c>
      <c r="L380" s="133">
        <f>IF($G380=PARAM!$B$56,ReviewValue,J380+$I380-K380)</f>
        <v>59566.987883766036</v>
      </c>
      <c r="M380" s="235">
        <f t="shared" si="22"/>
        <v>25259</v>
      </c>
    </row>
    <row r="381" spans="7:13" x14ac:dyDescent="0.2">
      <c r="G381" s="128">
        <v>378</v>
      </c>
      <c r="H381" s="129">
        <f>H369</f>
        <v>67</v>
      </c>
      <c r="I381" s="130">
        <f>H381*(1-PARAM!$C$27)*$C$28</f>
        <v>56.078999999999994</v>
      </c>
      <c r="J381" s="131">
        <f t="shared" si="25"/>
        <v>59927.065502044366</v>
      </c>
      <c r="K381" s="132">
        <f>PARAM!$C$26+MAX(0,($C$25-CHOOSE(PARAM!$B$44,MAX(0,L380*IF(L380&gt;0,$K$1,1)),0)))*RATES!$L381/12+$C$26/CHOOSE(PARAM!$B$51,1,3,6,12)*RATES!$N381/100</f>
        <v>5</v>
      </c>
      <c r="L381" s="133">
        <f>IF($G381=PARAM!$B$56,ReviewValue,J381+$I381-K381)</f>
        <v>59978.144502044364</v>
      </c>
      <c r="M381" s="235">
        <f t="shared" si="22"/>
        <v>25326</v>
      </c>
    </row>
    <row r="382" spans="7:13" x14ac:dyDescent="0.2">
      <c r="G382" s="128">
        <v>379</v>
      </c>
      <c r="H382" s="129">
        <f t="shared" si="23"/>
        <v>67</v>
      </c>
      <c r="I382" s="130">
        <f>H382*(1-PARAM!$C$27)*$C$28</f>
        <v>56.078999999999994</v>
      </c>
      <c r="J382" s="131">
        <f t="shared" si="25"/>
        <v>60340.707528786486</v>
      </c>
      <c r="K382" s="132">
        <f>PARAM!$C$26+MAX(0,($C$25-CHOOSE(PARAM!$B$44,MAX(0,L381*IF(L381&gt;0,$K$1,1)),0)))*RATES!$L382/12+$C$26/CHOOSE(PARAM!$B$51,1,3,6,12)*RATES!$N382/100</f>
        <v>5</v>
      </c>
      <c r="L382" s="133">
        <f>IF($G382=PARAM!$B$56,ReviewValue,J382+$I382-K382)</f>
        <v>60391.786528786484</v>
      </c>
      <c r="M382" s="235">
        <f t="shared" si="22"/>
        <v>25393</v>
      </c>
    </row>
    <row r="383" spans="7:13" x14ac:dyDescent="0.2">
      <c r="G383" s="128">
        <v>380</v>
      </c>
      <c r="H383" s="129">
        <f t="shared" si="23"/>
        <v>67</v>
      </c>
      <c r="I383" s="130">
        <f>H383*(1-PARAM!$C$27)*$C$28</f>
        <v>56.078999999999994</v>
      </c>
      <c r="J383" s="131">
        <f t="shared" si="25"/>
        <v>60756.849988085312</v>
      </c>
      <c r="K383" s="132">
        <f>PARAM!$C$26+MAX(0,($C$25-CHOOSE(PARAM!$B$44,MAX(0,L382*IF(L382&gt;0,$K$1,1)),0)))*RATES!$L383/12+$C$26/CHOOSE(PARAM!$B$51,1,3,6,12)*RATES!$N383/100</f>
        <v>5</v>
      </c>
      <c r="L383" s="133">
        <f>IF($G383=PARAM!$B$56,ReviewValue,J383+$I383-K383)</f>
        <v>60807.92898808531</v>
      </c>
      <c r="M383" s="235">
        <f t="shared" si="22"/>
        <v>25460</v>
      </c>
    </row>
    <row r="384" spans="7:13" x14ac:dyDescent="0.2">
      <c r="G384" s="128">
        <v>381</v>
      </c>
      <c r="H384" s="129">
        <f>H372</f>
        <v>67</v>
      </c>
      <c r="I384" s="130">
        <f>H384*(1-PARAM!$C$27)*$C$28</f>
        <v>56.078999999999994</v>
      </c>
      <c r="J384" s="131">
        <f t="shared" si="25"/>
        <v>61175.507994853164</v>
      </c>
      <c r="K384" s="132">
        <f>PARAM!$C$26+MAX(0,($C$25-CHOOSE(PARAM!$B$44,MAX(0,L383*IF(L383&gt;0,$K$1,1)),0)))*RATES!$L384/12+$C$26/CHOOSE(PARAM!$B$51,1,3,6,12)*RATES!$N384/100</f>
        <v>5</v>
      </c>
      <c r="L384" s="133">
        <f>IF($G384=PARAM!$B$56,ReviewValue,J384+$I384-K384)</f>
        <v>61226.586994853162</v>
      </c>
      <c r="M384" s="235">
        <f t="shared" si="22"/>
        <v>25527</v>
      </c>
    </row>
    <row r="385" spans="7:13" x14ac:dyDescent="0.2">
      <c r="G385" s="128">
        <v>382</v>
      </c>
      <c r="H385" s="129">
        <f t="shared" si="23"/>
        <v>67</v>
      </c>
      <c r="I385" s="130">
        <f>H385*(1-PARAM!$C$27)*$C$28</f>
        <v>56.078999999999994</v>
      </c>
      <c r="J385" s="131">
        <f t="shared" si="25"/>
        <v>61596.696755370802</v>
      </c>
      <c r="K385" s="132">
        <f>PARAM!$C$26+MAX(0,($C$25-CHOOSE(PARAM!$B$44,MAX(0,L384*IF(L384&gt;0,$K$1,1)),0)))*RATES!$L385/12+$C$26/CHOOSE(PARAM!$B$51,1,3,6,12)*RATES!$N385/100</f>
        <v>5</v>
      </c>
      <c r="L385" s="133">
        <f>IF($G385=PARAM!$B$56,ReviewValue,J385+$I385-K385)</f>
        <v>61647.7757553708</v>
      </c>
      <c r="M385" s="235">
        <f t="shared" si="22"/>
        <v>25594</v>
      </c>
    </row>
    <row r="386" spans="7:13" x14ac:dyDescent="0.2">
      <c r="G386" s="128">
        <v>383</v>
      </c>
      <c r="H386" s="129">
        <f t="shared" si="23"/>
        <v>67</v>
      </c>
      <c r="I386" s="130">
        <f>H386*(1-PARAM!$C$27)*$C$28</f>
        <v>56.078999999999994</v>
      </c>
      <c r="J386" s="131">
        <f t="shared" si="25"/>
        <v>62020.431567839711</v>
      </c>
      <c r="K386" s="132">
        <f>PARAM!$C$26+MAX(0,($C$25-CHOOSE(PARAM!$B$44,MAX(0,L385*IF(L385&gt;0,$K$1,1)),0)))*RATES!$L386/12+$C$26/CHOOSE(PARAM!$B$51,1,3,6,12)*RATES!$N386/100</f>
        <v>5</v>
      </c>
      <c r="L386" s="133">
        <f>IF($G386=PARAM!$B$56,ReviewValue,J386+$I386-K386)</f>
        <v>62071.510567839709</v>
      </c>
      <c r="M386" s="235">
        <f t="shared" si="22"/>
        <v>25661</v>
      </c>
    </row>
    <row r="387" spans="7:13" x14ac:dyDescent="0.2">
      <c r="G387" s="128">
        <v>384</v>
      </c>
      <c r="H387" s="129">
        <f>H375</f>
        <v>67</v>
      </c>
      <c r="I387" s="130">
        <f>H387*(1-PARAM!$C$27)*$C$28</f>
        <v>56.078999999999994</v>
      </c>
      <c r="J387" s="131">
        <f t="shared" si="25"/>
        <v>62446.72782293777</v>
      </c>
      <c r="K387" s="132">
        <f>PARAM!$C$26+MAX(0,($C$25-CHOOSE(PARAM!$B$44,MAX(0,L386*IF(L386&gt;0,$K$1,1)),0)))*RATES!$L387/12+$C$26/CHOOSE(PARAM!$B$51,1,3,6,12)*RATES!$N387/100</f>
        <v>5</v>
      </c>
      <c r="L387" s="133">
        <f>IF($G387=PARAM!$B$56,ReviewValue,J387+$I387-K387)</f>
        <v>62497.806822937768</v>
      </c>
      <c r="M387" s="235">
        <f t="shared" si="22"/>
        <v>25728</v>
      </c>
    </row>
    <row r="388" spans="7:13" x14ac:dyDescent="0.2">
      <c r="G388" s="128">
        <v>385</v>
      </c>
      <c r="H388" s="129">
        <f t="shared" si="23"/>
        <v>67</v>
      </c>
      <c r="I388" s="130">
        <f>H388*(1-PARAM!$C$27)*$C$28</f>
        <v>56.078999999999994</v>
      </c>
      <c r="J388" s="131">
        <f t="shared" si="25"/>
        <v>62875.601004378252</v>
      </c>
      <c r="K388" s="132">
        <f>PARAM!$C$26+MAX(0,($C$25-CHOOSE(PARAM!$B$44,MAX(0,L387*IF(L387&gt;0,$K$1,1)),0)))*RATES!$L388/12+$C$26/CHOOSE(PARAM!$B$51,1,3,6,12)*RATES!$N388/100</f>
        <v>5</v>
      </c>
      <c r="L388" s="133">
        <f>IF($G388=PARAM!$B$56,ReviewValue,J388+$I388-K388)</f>
        <v>62926.68000437825</v>
      </c>
      <c r="M388" s="235">
        <f t="shared" ref="M388:M423" si="26">M387+H387</f>
        <v>25795</v>
      </c>
    </row>
    <row r="389" spans="7:13" x14ac:dyDescent="0.2">
      <c r="G389" s="128">
        <v>386</v>
      </c>
      <c r="H389" s="129">
        <f t="shared" si="23"/>
        <v>67</v>
      </c>
      <c r="I389" s="130">
        <f>H389*(1-PARAM!$C$27)*$C$28</f>
        <v>56.078999999999994</v>
      </c>
      <c r="J389" s="131">
        <f t="shared" si="25"/>
        <v>63307.066689472231</v>
      </c>
      <c r="K389" s="132">
        <f>PARAM!$C$26+MAX(0,($C$25-CHOOSE(PARAM!$B$44,MAX(0,L388*IF(L388&gt;0,$K$1,1)),0)))*RATES!$L389/12+$C$26/CHOOSE(PARAM!$B$51,1,3,6,12)*RATES!$N389/100</f>
        <v>5</v>
      </c>
      <c r="L389" s="133">
        <f>IF($G389=PARAM!$B$56,ReviewValue,J389+$I389-K389)</f>
        <v>63358.145689472229</v>
      </c>
      <c r="M389" s="235">
        <f t="shared" si="26"/>
        <v>25862</v>
      </c>
    </row>
    <row r="390" spans="7:13" x14ac:dyDescent="0.2">
      <c r="G390" s="128">
        <v>387</v>
      </c>
      <c r="H390" s="129">
        <f>H378</f>
        <v>67</v>
      </c>
      <c r="I390" s="130">
        <f>H390*(1-PARAM!$C$27)*$C$28</f>
        <v>56.078999999999994</v>
      </c>
      <c r="J390" s="131">
        <f t="shared" si="25"/>
        <v>63741.140549694363</v>
      </c>
      <c r="K390" s="132">
        <f>PARAM!$C$26+MAX(0,($C$25-CHOOSE(PARAM!$B$44,MAX(0,L389*IF(L389&gt;0,$K$1,1)),0)))*RATES!$L390/12+$C$26/CHOOSE(PARAM!$B$51,1,3,6,12)*RATES!$N390/100</f>
        <v>5</v>
      </c>
      <c r="L390" s="133">
        <f>IF($G390=PARAM!$B$56,ReviewValue,J390+$I390-K390)</f>
        <v>63792.21954969436</v>
      </c>
      <c r="M390" s="235">
        <f t="shared" si="26"/>
        <v>25929</v>
      </c>
    </row>
    <row r="391" spans="7:13" x14ac:dyDescent="0.2">
      <c r="G391" s="128">
        <v>388</v>
      </c>
      <c r="H391" s="129">
        <f t="shared" si="23"/>
        <v>67</v>
      </c>
      <c r="I391" s="130">
        <f>H391*(1-PARAM!$C$27)*$C$28</f>
        <v>56.078999999999994</v>
      </c>
      <c r="J391" s="131">
        <f t="shared" si="25"/>
        <v>64177.838351252103</v>
      </c>
      <c r="K391" s="132">
        <f>PARAM!$C$26+MAX(0,($C$25-CHOOSE(PARAM!$B$44,MAX(0,L390*IF(L390&gt;0,$K$1,1)),0)))*RATES!$L391/12+$C$26/CHOOSE(PARAM!$B$51,1,3,6,12)*RATES!$N391/100</f>
        <v>5</v>
      </c>
      <c r="L391" s="133">
        <f>IF($G391=PARAM!$B$56,ReviewValue,J391+$I391-K391)</f>
        <v>64228.917351252101</v>
      </c>
      <c r="M391" s="235">
        <f t="shared" si="26"/>
        <v>25996</v>
      </c>
    </row>
    <row r="392" spans="7:13" x14ac:dyDescent="0.2">
      <c r="G392" s="128">
        <v>389</v>
      </c>
      <c r="H392" s="129">
        <f t="shared" si="23"/>
        <v>67</v>
      </c>
      <c r="I392" s="130">
        <f>H392*(1-PARAM!$C$27)*$C$28</f>
        <v>56.078999999999994</v>
      </c>
      <c r="J392" s="131">
        <f t="shared" si="25"/>
        <v>64617.175955658342</v>
      </c>
      <c r="K392" s="132">
        <f>PARAM!$C$26+MAX(0,($C$25-CHOOSE(PARAM!$B$44,MAX(0,L391*IF(L391&gt;0,$K$1,1)),0)))*RATES!$L392/12+$C$26/CHOOSE(PARAM!$B$51,1,3,6,12)*RATES!$N392/100</f>
        <v>5</v>
      </c>
      <c r="L392" s="133">
        <f>IF($G392=PARAM!$B$56,ReviewValue,J392+$I392-K392)</f>
        <v>64668.25495565834</v>
      </c>
      <c r="M392" s="235">
        <f t="shared" si="26"/>
        <v>26063</v>
      </c>
    </row>
    <row r="393" spans="7:13" x14ac:dyDescent="0.2">
      <c r="G393" s="128">
        <v>390</v>
      </c>
      <c r="H393" s="129">
        <f>H381</f>
        <v>67</v>
      </c>
      <c r="I393" s="130">
        <f>H393*(1-PARAM!$C$27)*$C$28</f>
        <v>56.078999999999994</v>
      </c>
      <c r="J393" s="131">
        <f t="shared" si="25"/>
        <v>65059.169320307548</v>
      </c>
      <c r="K393" s="132">
        <f>PARAM!$C$26+MAX(0,($C$25-CHOOSE(PARAM!$B$44,MAX(0,L392*IF(L392&gt;0,$K$1,1)),0)))*RATES!$L393/12+$C$26/CHOOSE(PARAM!$B$51,1,3,6,12)*RATES!$N393/100</f>
        <v>5</v>
      </c>
      <c r="L393" s="133">
        <f>IF($G393=PARAM!$B$56,ReviewValue,J393+$I393-K393)</f>
        <v>65110.248320307546</v>
      </c>
      <c r="M393" s="235">
        <f t="shared" si="26"/>
        <v>26130</v>
      </c>
    </row>
    <row r="394" spans="7:13" x14ac:dyDescent="0.2">
      <c r="G394" s="128">
        <v>391</v>
      </c>
      <c r="H394" s="129">
        <f t="shared" si="23"/>
        <v>67</v>
      </c>
      <c r="I394" s="130">
        <f>H394*(1-PARAM!$C$27)*$C$28</f>
        <v>56.078999999999994</v>
      </c>
      <c r="J394" s="131">
        <f t="shared" si="25"/>
        <v>65503.834499055331</v>
      </c>
      <c r="K394" s="132">
        <f>PARAM!$C$26+MAX(0,($C$25-CHOOSE(PARAM!$B$44,MAX(0,L393*IF(L393&gt;0,$K$1,1)),0)))*RATES!$L394/12+$C$26/CHOOSE(PARAM!$B$51,1,3,6,12)*RATES!$N394/100</f>
        <v>5</v>
      </c>
      <c r="L394" s="133">
        <f>IF($G394=PARAM!$B$56,ReviewValue,J394+$I394-K394)</f>
        <v>65554.913499055328</v>
      </c>
      <c r="M394" s="235">
        <f t="shared" si="26"/>
        <v>26197</v>
      </c>
    </row>
    <row r="395" spans="7:13" x14ac:dyDescent="0.2">
      <c r="G395" s="128">
        <v>392</v>
      </c>
      <c r="H395" s="129">
        <f t="shared" si="23"/>
        <v>67</v>
      </c>
      <c r="I395" s="130">
        <f>H395*(1-PARAM!$C$27)*$C$28</f>
        <v>56.078999999999994</v>
      </c>
      <c r="J395" s="131">
        <f t="shared" si="25"/>
        <v>65951.187642801568</v>
      </c>
      <c r="K395" s="132">
        <f>PARAM!$C$26+MAX(0,($C$25-CHOOSE(PARAM!$B$44,MAX(0,L394*IF(L394&gt;0,$K$1,1)),0)))*RATES!$L395/12+$C$26/CHOOSE(PARAM!$B$51,1,3,6,12)*RATES!$N395/100</f>
        <v>5</v>
      </c>
      <c r="L395" s="133">
        <f>IF($G395=PARAM!$B$56,ReviewValue,J395+$I395-K395)</f>
        <v>66002.266642801565</v>
      </c>
      <c r="M395" s="235">
        <f t="shared" si="26"/>
        <v>26264</v>
      </c>
    </row>
    <row r="396" spans="7:13" x14ac:dyDescent="0.2">
      <c r="G396" s="128">
        <v>393</v>
      </c>
      <c r="H396" s="129">
        <f>H384</f>
        <v>67</v>
      </c>
      <c r="I396" s="130">
        <f>H396*(1-PARAM!$C$27)*$C$28</f>
        <v>56.078999999999994</v>
      </c>
      <c r="J396" s="131">
        <f t="shared" ref="J396:J422" si="27">IF(L395&lt;0,L395,L395*$K$1)</f>
        <v>66401.245000077004</v>
      </c>
      <c r="K396" s="132">
        <f>PARAM!$C$26+MAX(0,($C$25-CHOOSE(PARAM!$B$44,MAX(0,L395*IF(L395&gt;0,$K$1,1)),0)))*RATES!$L396/12+$C$26/CHOOSE(PARAM!$B$51,1,3,6,12)*RATES!$N396/100</f>
        <v>5</v>
      </c>
      <c r="L396" s="133">
        <f>IF($G396=PARAM!$B$56,ReviewValue,J396+$I396-K396)</f>
        <v>66452.324000077002</v>
      </c>
      <c r="M396" s="235">
        <f t="shared" si="26"/>
        <v>26331</v>
      </c>
    </row>
    <row r="397" spans="7:13" x14ac:dyDescent="0.2">
      <c r="G397" s="128">
        <v>394</v>
      </c>
      <c r="H397" s="129">
        <f t="shared" si="23"/>
        <v>67</v>
      </c>
      <c r="I397" s="130">
        <f>H397*(1-PARAM!$C$27)*$C$28</f>
        <v>56.078999999999994</v>
      </c>
      <c r="J397" s="131">
        <f t="shared" si="27"/>
        <v>66854.022917633469</v>
      </c>
      <c r="K397" s="132">
        <f>PARAM!$C$26+MAX(0,($C$25-CHOOSE(PARAM!$B$44,MAX(0,L396*IF(L396&gt;0,$K$1,1)),0)))*RATES!$L397/12+$C$26/CHOOSE(PARAM!$B$51,1,3,6,12)*RATES!$N397/100</f>
        <v>5</v>
      </c>
      <c r="L397" s="133">
        <f>IF($G397=PARAM!$B$56,ReviewValue,J397+$I397-K397)</f>
        <v>66905.101917633467</v>
      </c>
      <c r="M397" s="235">
        <f t="shared" si="26"/>
        <v>26398</v>
      </c>
    </row>
    <row r="398" spans="7:13" x14ac:dyDescent="0.2">
      <c r="G398" s="128">
        <v>395</v>
      </c>
      <c r="H398" s="129">
        <f t="shared" si="23"/>
        <v>67</v>
      </c>
      <c r="I398" s="130">
        <f>H398*(1-PARAM!$C$27)*$C$28</f>
        <v>56.078999999999994</v>
      </c>
      <c r="J398" s="131">
        <f t="shared" si="27"/>
        <v>67309.537841037542</v>
      </c>
      <c r="K398" s="132">
        <f>PARAM!$C$26+MAX(0,($C$25-CHOOSE(PARAM!$B$44,MAX(0,L397*IF(L397&gt;0,$K$1,1)),0)))*RATES!$L398/12+$C$26/CHOOSE(PARAM!$B$51,1,3,6,12)*RATES!$N398/100</f>
        <v>5</v>
      </c>
      <c r="L398" s="133">
        <f>IF($G398=PARAM!$B$56,ReviewValue,J398+$I398-K398)</f>
        <v>67360.616841037539</v>
      </c>
      <c r="M398" s="235">
        <f t="shared" si="26"/>
        <v>26465</v>
      </c>
    </row>
    <row r="399" spans="7:13" x14ac:dyDescent="0.2">
      <c r="G399" s="128">
        <v>396</v>
      </c>
      <c r="H399" s="129">
        <f>H387</f>
        <v>67</v>
      </c>
      <c r="I399" s="130">
        <f>H399*(1-PARAM!$C$27)*$C$28</f>
        <v>56.078999999999994</v>
      </c>
      <c r="J399" s="131">
        <f t="shared" si="27"/>
        <v>67767.806315267953</v>
      </c>
      <c r="K399" s="132">
        <f>PARAM!$C$26+MAX(0,($C$25-CHOOSE(PARAM!$B$44,MAX(0,L398*IF(L398&gt;0,$K$1,1)),0)))*RATES!$L399/12+$C$26/CHOOSE(PARAM!$B$51,1,3,6,12)*RATES!$N399/100</f>
        <v>5</v>
      </c>
      <c r="L399" s="133">
        <f>IF($G399=PARAM!$B$56,ReviewValue,J399+$I399-K399)</f>
        <v>67818.885315267951</v>
      </c>
      <c r="M399" s="235">
        <f t="shared" si="26"/>
        <v>26532</v>
      </c>
    </row>
    <row r="400" spans="7:13" x14ac:dyDescent="0.2">
      <c r="G400" s="128">
        <v>397</v>
      </c>
      <c r="H400" s="129">
        <f t="shared" ref="H400:H422" si="28">H388</f>
        <v>67</v>
      </c>
      <c r="I400" s="130">
        <f>H400*(1-PARAM!$C$27)*$C$28</f>
        <v>56.078999999999994</v>
      </c>
      <c r="J400" s="131">
        <f t="shared" si="27"/>
        <v>68228.844985316478</v>
      </c>
      <c r="K400" s="132">
        <f>PARAM!$C$26+MAX(0,($C$25-CHOOSE(PARAM!$B$44,MAX(0,L399*IF(L399&gt;0,$K$1,1)),0)))*RATES!$L400/12+$C$26/CHOOSE(PARAM!$B$51,1,3,6,12)*RATES!$N400/100</f>
        <v>5</v>
      </c>
      <c r="L400" s="133">
        <f>IF($G400=PARAM!$B$56,ReviewValue,J400+$I400-K400)</f>
        <v>68279.923985316476</v>
      </c>
      <c r="M400" s="235">
        <f t="shared" si="26"/>
        <v>26599</v>
      </c>
    </row>
    <row r="401" spans="7:13" x14ac:dyDescent="0.2">
      <c r="G401" s="128">
        <v>398</v>
      </c>
      <c r="H401" s="129">
        <f t="shared" si="28"/>
        <v>67</v>
      </c>
      <c r="I401" s="130">
        <f>H401*(1-PARAM!$C$27)*$C$28</f>
        <v>56.078999999999994</v>
      </c>
      <c r="J401" s="131">
        <f t="shared" si="27"/>
        <v>68692.670596792508</v>
      </c>
      <c r="K401" s="132">
        <f>PARAM!$C$26+MAX(0,($C$25-CHOOSE(PARAM!$B$44,MAX(0,L400*IF(L400&gt;0,$K$1,1)),0)))*RATES!$L401/12+$C$26/CHOOSE(PARAM!$B$51,1,3,6,12)*RATES!$N401/100</f>
        <v>5</v>
      </c>
      <c r="L401" s="133">
        <f>IF($G401=PARAM!$B$56,ReviewValue,J401+$I401-K401)</f>
        <v>68743.749596792506</v>
      </c>
      <c r="M401" s="235">
        <f t="shared" si="26"/>
        <v>26666</v>
      </c>
    </row>
    <row r="402" spans="7:13" x14ac:dyDescent="0.2">
      <c r="G402" s="128">
        <v>399</v>
      </c>
      <c r="H402" s="129">
        <f>H390</f>
        <v>67</v>
      </c>
      <c r="I402" s="130">
        <f>H402*(1-PARAM!$C$27)*$C$28</f>
        <v>56.078999999999994</v>
      </c>
      <c r="J402" s="131">
        <f t="shared" si="27"/>
        <v>69159.299996531307</v>
      </c>
      <c r="K402" s="132">
        <f>PARAM!$C$26+MAX(0,($C$25-CHOOSE(PARAM!$B$44,MAX(0,L401*IF(L401&gt;0,$K$1,1)),0)))*RATES!$L402/12+$C$26/CHOOSE(PARAM!$B$51,1,3,6,12)*RATES!$N402/100</f>
        <v>5</v>
      </c>
      <c r="L402" s="133">
        <f>IF($G402=PARAM!$B$56,ReviewValue,J402+$I402-K402)</f>
        <v>69210.378996531304</v>
      </c>
      <c r="M402" s="235">
        <f t="shared" si="26"/>
        <v>26733</v>
      </c>
    </row>
    <row r="403" spans="7:13" x14ac:dyDescent="0.2">
      <c r="G403" s="128">
        <v>400</v>
      </c>
      <c r="H403" s="129">
        <f t="shared" si="28"/>
        <v>67</v>
      </c>
      <c r="I403" s="130">
        <f>H403*(1-PARAM!$C$27)*$C$28</f>
        <v>56.078999999999994</v>
      </c>
      <c r="J403" s="131">
        <f t="shared" si="27"/>
        <v>69628.750133205875</v>
      </c>
      <c r="K403" s="132">
        <f>PARAM!$C$26+MAX(0,($C$25-CHOOSE(PARAM!$B$44,MAX(0,L402*IF(L402&gt;0,$K$1,1)),0)))*RATES!$L403/12+$C$26/CHOOSE(PARAM!$B$51,1,3,6,12)*RATES!$N403/100</f>
        <v>5</v>
      </c>
      <c r="L403" s="133">
        <f>IF($G403=PARAM!$B$56,ReviewValue,J403+$I403-K403)</f>
        <v>69679.829133205872</v>
      </c>
      <c r="M403" s="235">
        <f t="shared" si="26"/>
        <v>26800</v>
      </c>
    </row>
    <row r="404" spans="7:13" x14ac:dyDescent="0.2">
      <c r="G404" s="128">
        <v>401</v>
      </c>
      <c r="H404" s="129">
        <f t="shared" si="28"/>
        <v>67</v>
      </c>
      <c r="I404" s="130">
        <f>H404*(1-PARAM!$C$27)*$C$28</f>
        <v>56.078999999999994</v>
      </c>
      <c r="J404" s="131">
        <f t="shared" si="27"/>
        <v>70101.038057942584</v>
      </c>
      <c r="K404" s="132">
        <f>PARAM!$C$26+MAX(0,($C$25-CHOOSE(PARAM!$B$44,MAX(0,L403*IF(L403&gt;0,$K$1,1)),0)))*RATES!$L404/12+$C$26/CHOOSE(PARAM!$B$51,1,3,6,12)*RATES!$N404/100</f>
        <v>5</v>
      </c>
      <c r="L404" s="133">
        <f>IF($G404=PARAM!$B$56,ReviewValue,J404+$I404-K404)</f>
        <v>70152.117057942582</v>
      </c>
      <c r="M404" s="235">
        <f t="shared" si="26"/>
        <v>26867</v>
      </c>
    </row>
    <row r="405" spans="7:13" x14ac:dyDescent="0.2">
      <c r="G405" s="128">
        <v>402</v>
      </c>
      <c r="H405" s="129">
        <f>H393</f>
        <v>67</v>
      </c>
      <c r="I405" s="130">
        <f>H405*(1-PARAM!$C$27)*$C$28</f>
        <v>56.078999999999994</v>
      </c>
      <c r="J405" s="131">
        <f t="shared" si="27"/>
        <v>70576.180924940476</v>
      </c>
      <c r="K405" s="132">
        <f>PARAM!$C$26+MAX(0,($C$25-CHOOSE(PARAM!$B$44,MAX(0,L404*IF(L404&gt;0,$K$1,1)),0)))*RATES!$L405/12+$C$26/CHOOSE(PARAM!$B$51,1,3,6,12)*RATES!$N405/100</f>
        <v>5</v>
      </c>
      <c r="L405" s="133">
        <f>IF($G405=PARAM!$B$56,ReviewValue,J405+$I405-K405)</f>
        <v>70627.259924940474</v>
      </c>
      <c r="M405" s="235">
        <f t="shared" si="26"/>
        <v>26934</v>
      </c>
    </row>
    <row r="406" spans="7:13" x14ac:dyDescent="0.2">
      <c r="G406" s="128">
        <v>403</v>
      </c>
      <c r="H406" s="129">
        <f t="shared" si="28"/>
        <v>67</v>
      </c>
      <c r="I406" s="130">
        <f>H406*(1-PARAM!$C$27)*$C$28</f>
        <v>56.078999999999994</v>
      </c>
      <c r="J406" s="131">
        <f t="shared" si="27"/>
        <v>71054.195992094348</v>
      </c>
      <c r="K406" s="132">
        <f>PARAM!$C$26+MAX(0,($C$25-CHOOSE(PARAM!$B$44,MAX(0,L405*IF(L405&gt;0,$K$1,1)),0)))*RATES!$L406/12+$C$26/CHOOSE(PARAM!$B$51,1,3,6,12)*RATES!$N406/100</f>
        <v>5</v>
      </c>
      <c r="L406" s="133">
        <f>IF($G406=PARAM!$B$56,ReviewValue,J406+$I406-K406)</f>
        <v>71105.274992094346</v>
      </c>
      <c r="M406" s="235">
        <f t="shared" si="26"/>
        <v>27001</v>
      </c>
    </row>
    <row r="407" spans="7:13" x14ac:dyDescent="0.2">
      <c r="G407" s="128">
        <v>404</v>
      </c>
      <c r="H407" s="129">
        <f t="shared" si="28"/>
        <v>67</v>
      </c>
      <c r="I407" s="130">
        <f>H407*(1-PARAM!$C$27)*$C$28</f>
        <v>56.078999999999994</v>
      </c>
      <c r="J407" s="131">
        <f t="shared" si="27"/>
        <v>71535.100621621546</v>
      </c>
      <c r="K407" s="132">
        <f>PARAM!$C$26+MAX(0,($C$25-CHOOSE(PARAM!$B$44,MAX(0,L406*IF(L406&gt;0,$K$1,1)),0)))*RATES!$L407/12+$C$26/CHOOSE(PARAM!$B$51,1,3,6,12)*RATES!$N407/100</f>
        <v>5</v>
      </c>
      <c r="L407" s="133">
        <f>IF($G407=PARAM!$B$56,ReviewValue,J407+$I407-K407)</f>
        <v>71586.179621621544</v>
      </c>
      <c r="M407" s="235">
        <f t="shared" si="26"/>
        <v>27068</v>
      </c>
    </row>
    <row r="408" spans="7:13" x14ac:dyDescent="0.2">
      <c r="G408" s="128">
        <v>405</v>
      </c>
      <c r="H408" s="129">
        <f>H396</f>
        <v>67</v>
      </c>
      <c r="I408" s="130">
        <f>H408*(1-PARAM!$C$27)*$C$28</f>
        <v>56.078999999999994</v>
      </c>
      <c r="J408" s="131">
        <f t="shared" si="27"/>
        <v>72018.912280692646</v>
      </c>
      <c r="K408" s="132">
        <f>PARAM!$C$26+MAX(0,($C$25-CHOOSE(PARAM!$B$44,MAX(0,L407*IF(L407&gt;0,$K$1,1)),0)))*RATES!$L408/12+$C$26/CHOOSE(PARAM!$B$51,1,3,6,12)*RATES!$N408/100</f>
        <v>5</v>
      </c>
      <c r="L408" s="133">
        <f>IF($G408=PARAM!$B$56,ReviewValue,J408+$I408-K408)</f>
        <v>72069.991280692644</v>
      </c>
      <c r="M408" s="235">
        <f t="shared" si="26"/>
        <v>27135</v>
      </c>
    </row>
    <row r="409" spans="7:13" x14ac:dyDescent="0.2">
      <c r="G409" s="128">
        <v>406</v>
      </c>
      <c r="H409" s="129">
        <f t="shared" si="28"/>
        <v>67</v>
      </c>
      <c r="I409" s="130">
        <f>H409*(1-PARAM!$C$27)*$C$28</f>
        <v>56.078999999999994</v>
      </c>
      <c r="J409" s="131">
        <f t="shared" si="27"/>
        <v>72505.648542065843</v>
      </c>
      <c r="K409" s="132">
        <f>PARAM!$C$26+MAX(0,($C$25-CHOOSE(PARAM!$B$44,MAX(0,L408*IF(L408&gt;0,$K$1,1)),0)))*RATES!$L409/12+$C$26/CHOOSE(PARAM!$B$51,1,3,6,12)*RATES!$N409/100</f>
        <v>5</v>
      </c>
      <c r="L409" s="133">
        <f>IF($G409=PARAM!$B$56,ReviewValue,J409+$I409-K409)</f>
        <v>72556.727542065841</v>
      </c>
      <c r="M409" s="235">
        <f t="shared" si="26"/>
        <v>27202</v>
      </c>
    </row>
    <row r="410" spans="7:13" x14ac:dyDescent="0.2">
      <c r="G410" s="128">
        <v>407</v>
      </c>
      <c r="H410" s="129">
        <f t="shared" si="28"/>
        <v>67</v>
      </c>
      <c r="I410" s="130">
        <f>H410*(1-PARAM!$C$27)*$C$28</f>
        <v>56.078999999999994</v>
      </c>
      <c r="J410" s="131">
        <f t="shared" si="27"/>
        <v>72995.327084725228</v>
      </c>
      <c r="K410" s="132">
        <f>PARAM!$C$26+MAX(0,($C$25-CHOOSE(PARAM!$B$44,MAX(0,L409*IF(L409&gt;0,$K$1,1)),0)))*RATES!$L410/12+$C$26/CHOOSE(PARAM!$B$51,1,3,6,12)*RATES!$N410/100</f>
        <v>5</v>
      </c>
      <c r="L410" s="133">
        <f>IF($G410=PARAM!$B$56,ReviewValue,J410+$I410-K410)</f>
        <v>73046.406084725226</v>
      </c>
      <c r="M410" s="235">
        <f t="shared" si="26"/>
        <v>27269</v>
      </c>
    </row>
    <row r="411" spans="7:13" x14ac:dyDescent="0.2">
      <c r="G411" s="128">
        <v>408</v>
      </c>
      <c r="H411" s="129">
        <f>H399</f>
        <v>67</v>
      </c>
      <c r="I411" s="130">
        <f>H411*(1-PARAM!$C$27)*$C$28</f>
        <v>56.078999999999994</v>
      </c>
      <c r="J411" s="131">
        <f t="shared" si="27"/>
        <v>73487.965694522922</v>
      </c>
      <c r="K411" s="132">
        <f>PARAM!$C$26+MAX(0,($C$25-CHOOSE(PARAM!$B$44,MAX(0,L410*IF(L410&gt;0,$K$1,1)),0)))*RATES!$L411/12+$C$26/CHOOSE(PARAM!$B$51,1,3,6,12)*RATES!$N411/100</f>
        <v>5</v>
      </c>
      <c r="L411" s="133">
        <f>IF($G411=PARAM!$B$56,ReviewValue,J411+$I411-K411)</f>
        <v>73539.04469452292</v>
      </c>
      <c r="M411" s="235">
        <f t="shared" si="26"/>
        <v>27336</v>
      </c>
    </row>
    <row r="412" spans="7:13" x14ac:dyDescent="0.2">
      <c r="G412" s="128">
        <v>409</v>
      </c>
      <c r="H412" s="129">
        <f t="shared" si="28"/>
        <v>67</v>
      </c>
      <c r="I412" s="130">
        <f>H412*(1-PARAM!$C$27)*$C$28</f>
        <v>56.078999999999994</v>
      </c>
      <c r="J412" s="131">
        <f t="shared" si="27"/>
        <v>73983.582264825076</v>
      </c>
      <c r="K412" s="132">
        <f>PARAM!$C$26+MAX(0,($C$25-CHOOSE(PARAM!$B$44,MAX(0,L411*IF(L411&gt;0,$K$1,1)),0)))*RATES!$L412/12+$C$26/CHOOSE(PARAM!$B$51,1,3,6,12)*RATES!$N412/100</f>
        <v>5</v>
      </c>
      <c r="L412" s="133">
        <f>IF($G412=PARAM!$B$56,ReviewValue,J412+$I412-K412)</f>
        <v>74034.661264825074</v>
      </c>
      <c r="M412" s="235">
        <f t="shared" si="26"/>
        <v>27403</v>
      </c>
    </row>
    <row r="413" spans="7:13" x14ac:dyDescent="0.2">
      <c r="G413" s="128">
        <v>410</v>
      </c>
      <c r="H413" s="129">
        <f t="shared" si="28"/>
        <v>67</v>
      </c>
      <c r="I413" s="130">
        <f>H413*(1-PARAM!$C$27)*$C$28</f>
        <v>56.078999999999994</v>
      </c>
      <c r="J413" s="131">
        <f t="shared" si="27"/>
        <v>74482.194797161806</v>
      </c>
      <c r="K413" s="132">
        <f>PARAM!$C$26+MAX(0,($C$25-CHOOSE(PARAM!$B$44,MAX(0,L412*IF(L412&gt;0,$K$1,1)),0)))*RATES!$L413/12+$C$26/CHOOSE(PARAM!$B$51,1,3,6,12)*RATES!$N413/100</f>
        <v>5</v>
      </c>
      <c r="L413" s="133">
        <f>IF($G413=PARAM!$B$56,ReviewValue,J413+$I413-K413)</f>
        <v>74533.273797161804</v>
      </c>
      <c r="M413" s="235">
        <f t="shared" si="26"/>
        <v>27470</v>
      </c>
    </row>
    <row r="414" spans="7:13" x14ac:dyDescent="0.2">
      <c r="G414" s="128">
        <v>411</v>
      </c>
      <c r="H414" s="129">
        <f>H402</f>
        <v>67</v>
      </c>
      <c r="I414" s="130">
        <f>H414*(1-PARAM!$C$27)*$C$28</f>
        <v>56.078999999999994</v>
      </c>
      <c r="J414" s="131">
        <f t="shared" si="27"/>
        <v>74983.82140188101</v>
      </c>
      <c r="K414" s="132">
        <f>PARAM!$C$26+MAX(0,($C$25-CHOOSE(PARAM!$B$44,MAX(0,L413*IF(L413&gt;0,$K$1,1)),0)))*RATES!$L414/12+$C$26/CHOOSE(PARAM!$B$51,1,3,6,12)*RATES!$N414/100</f>
        <v>5</v>
      </c>
      <c r="L414" s="133">
        <f>IF($G414=PARAM!$B$56,ReviewValue,J414+$I414-K414)</f>
        <v>75034.900401881008</v>
      </c>
      <c r="M414" s="235">
        <f t="shared" si="26"/>
        <v>27537</v>
      </c>
    </row>
    <row r="415" spans="7:13" x14ac:dyDescent="0.2">
      <c r="G415" s="128">
        <v>412</v>
      </c>
      <c r="H415" s="129">
        <f t="shared" si="28"/>
        <v>67</v>
      </c>
      <c r="I415" s="130">
        <f>H415*(1-PARAM!$C$27)*$C$28</f>
        <v>56.078999999999994</v>
      </c>
      <c r="J415" s="131">
        <f t="shared" si="27"/>
        <v>75488.480298806171</v>
      </c>
      <c r="K415" s="132">
        <f>PARAM!$C$26+MAX(0,($C$25-CHOOSE(PARAM!$B$44,MAX(0,L414*IF(L414&gt;0,$K$1,1)),0)))*RATES!$L415/12+$C$26/CHOOSE(PARAM!$B$51,1,3,6,12)*RATES!$N415/100</f>
        <v>5</v>
      </c>
      <c r="L415" s="133">
        <f>IF($G415=PARAM!$B$56,ReviewValue,J415+$I415-K415)</f>
        <v>75539.559298806169</v>
      </c>
      <c r="M415" s="235">
        <f t="shared" si="26"/>
        <v>27604</v>
      </c>
    </row>
    <row r="416" spans="7:13" x14ac:dyDescent="0.2">
      <c r="G416" s="128">
        <v>413</v>
      </c>
      <c r="H416" s="129">
        <f t="shared" si="28"/>
        <v>67</v>
      </c>
      <c r="I416" s="130">
        <f>H416*(1-PARAM!$C$27)*$C$28</f>
        <v>56.078999999999994</v>
      </c>
      <c r="J416" s="131">
        <f t="shared" si="27"/>
        <v>75996.189817898136</v>
      </c>
      <c r="K416" s="132">
        <f>PARAM!$C$26+MAX(0,($C$25-CHOOSE(PARAM!$B$44,MAX(0,L415*IF(L415&gt;0,$K$1,1)),0)))*RATES!$L416/12+$C$26/CHOOSE(PARAM!$B$51,1,3,6,12)*RATES!$N416/100</f>
        <v>5</v>
      </c>
      <c r="L416" s="133">
        <f>IF($G416=PARAM!$B$56,ReviewValue,J416+$I416-K416)</f>
        <v>76047.268817898133</v>
      </c>
      <c r="M416" s="235">
        <f t="shared" si="26"/>
        <v>27671</v>
      </c>
    </row>
    <row r="417" spans="7:13" x14ac:dyDescent="0.2">
      <c r="G417" s="128">
        <v>414</v>
      </c>
      <c r="H417" s="129">
        <f>H405</f>
        <v>67</v>
      </c>
      <c r="I417" s="130">
        <f>H417*(1-PARAM!$C$27)*$C$28</f>
        <v>56.078999999999994</v>
      </c>
      <c r="J417" s="131">
        <f t="shared" si="27"/>
        <v>76506.968399920879</v>
      </c>
      <c r="K417" s="132">
        <f>PARAM!$C$26+MAX(0,($C$25-CHOOSE(PARAM!$B$44,MAX(0,L416*IF(L416&gt;0,$K$1,1)),0)))*RATES!$L417/12+$C$26/CHOOSE(PARAM!$B$51,1,3,6,12)*RATES!$N417/100</f>
        <v>5</v>
      </c>
      <c r="L417" s="133">
        <f>IF($G417=PARAM!$B$56,ReviewValue,J417+$I417-K417)</f>
        <v>76558.047399920877</v>
      </c>
      <c r="M417" s="235">
        <f t="shared" si="26"/>
        <v>27738</v>
      </c>
    </row>
    <row r="418" spans="7:13" x14ac:dyDescent="0.2">
      <c r="G418" s="128">
        <v>415</v>
      </c>
      <c r="H418" s="129">
        <f t="shared" si="28"/>
        <v>67</v>
      </c>
      <c r="I418" s="130">
        <f>H418*(1-PARAM!$C$27)*$C$28</f>
        <v>56.078999999999994</v>
      </c>
      <c r="J418" s="131">
        <f t="shared" si="27"/>
        <v>77020.834597111287</v>
      </c>
      <c r="K418" s="132">
        <f>PARAM!$C$26+MAX(0,($C$25-CHOOSE(PARAM!$B$44,MAX(0,L417*IF(L417&gt;0,$K$1,1)),0)))*RATES!$L418/12+$C$26/CHOOSE(PARAM!$B$51,1,3,6,12)*RATES!$N418/100</f>
        <v>5</v>
      </c>
      <c r="L418" s="133">
        <f>IF($G418=PARAM!$B$56,ReviewValue,J418+$I418-K418)</f>
        <v>77071.913597111285</v>
      </c>
      <c r="M418" s="235">
        <f t="shared" si="26"/>
        <v>27805</v>
      </c>
    </row>
    <row r="419" spans="7:13" x14ac:dyDescent="0.2">
      <c r="G419" s="128">
        <v>416</v>
      </c>
      <c r="H419" s="129">
        <f t="shared" si="28"/>
        <v>67</v>
      </c>
      <c r="I419" s="130">
        <f>H419*(1-PARAM!$C$27)*$C$28</f>
        <v>56.078999999999994</v>
      </c>
      <c r="J419" s="131">
        <f t="shared" si="27"/>
        <v>77537.807073853037</v>
      </c>
      <c r="K419" s="132">
        <f>PARAM!$C$26+MAX(0,($C$25-CHOOSE(PARAM!$B$44,MAX(0,L418*IF(L418&gt;0,$K$1,1)),0)))*RATES!$L419/12+$C$26/CHOOSE(PARAM!$B$51,1,3,6,12)*RATES!$N419/100</f>
        <v>5</v>
      </c>
      <c r="L419" s="133">
        <f>IF($G419=PARAM!$B$56,ReviewValue,J419+$I419-K419)</f>
        <v>77588.886073853035</v>
      </c>
      <c r="M419" s="235">
        <f t="shared" si="26"/>
        <v>27872</v>
      </c>
    </row>
    <row r="420" spans="7:13" x14ac:dyDescent="0.2">
      <c r="G420" s="128">
        <v>417</v>
      </c>
      <c r="H420" s="129">
        <f>H408</f>
        <v>67</v>
      </c>
      <c r="I420" s="130">
        <f>H420*(1-PARAM!$C$27)*$C$28</f>
        <v>56.078999999999994</v>
      </c>
      <c r="J420" s="131">
        <f t="shared" si="27"/>
        <v>78057.904607354474</v>
      </c>
      <c r="K420" s="132">
        <f>PARAM!$C$26+MAX(0,($C$25-CHOOSE(PARAM!$B$44,MAX(0,L419*IF(L419&gt;0,$K$1,1)),0)))*RATES!$L420/12+$C$26/CHOOSE(PARAM!$B$51,1,3,6,12)*RATES!$N420/100</f>
        <v>5</v>
      </c>
      <c r="L420" s="133">
        <f>IF($G420=PARAM!$B$56,ReviewValue,J420+$I420-K420)</f>
        <v>78108.983607354472</v>
      </c>
      <c r="M420" s="235">
        <f t="shared" si="26"/>
        <v>27939</v>
      </c>
    </row>
    <row r="421" spans="7:13" x14ac:dyDescent="0.2">
      <c r="G421" s="128">
        <v>418</v>
      </c>
      <c r="H421" s="129">
        <f t="shared" si="28"/>
        <v>67</v>
      </c>
      <c r="I421" s="130">
        <f>H421*(1-PARAM!$C$27)*$C$28</f>
        <v>56.078999999999994</v>
      </c>
      <c r="J421" s="131">
        <f t="shared" si="27"/>
        <v>78581.146088330657</v>
      </c>
      <c r="K421" s="132">
        <f>PARAM!$C$26+MAX(0,($C$25-CHOOSE(PARAM!$B$44,MAX(0,L420*IF(L420&gt;0,$K$1,1)),0)))*RATES!$L421/12+$C$26/CHOOSE(PARAM!$B$51,1,3,6,12)*RATES!$N421/100</f>
        <v>5</v>
      </c>
      <c r="L421" s="133">
        <f>IF($G421=PARAM!$B$56,ReviewValue,J421+$I421-K421)</f>
        <v>78632.225088330655</v>
      </c>
      <c r="M421" s="235">
        <f t="shared" si="26"/>
        <v>28006</v>
      </c>
    </row>
    <row r="422" spans="7:13" x14ac:dyDescent="0.2">
      <c r="G422" s="128">
        <v>419</v>
      </c>
      <c r="H422" s="129">
        <f t="shared" si="28"/>
        <v>67</v>
      </c>
      <c r="I422" s="130">
        <f>H422*(1-PARAM!$C$27)*$C$28</f>
        <v>56.078999999999994</v>
      </c>
      <c r="J422" s="131">
        <f t="shared" si="27"/>
        <v>79107.550521689496</v>
      </c>
      <c r="K422" s="132">
        <f>PARAM!$C$26+MAX(0,($C$25-CHOOSE(PARAM!$B$44,MAX(0,L421*IF(L421&gt;0,$K$1,1)),0)))*RATES!$L422/12+$C$26/CHOOSE(PARAM!$B$51,1,3,6,12)*RATES!$N422/100</f>
        <v>5</v>
      </c>
      <c r="L422" s="133">
        <f>IF($G422=PARAM!$B$56,ReviewValue,J422+$I422-K422)</f>
        <v>79158.629521689494</v>
      </c>
      <c r="M422" s="235">
        <f t="shared" si="26"/>
        <v>28073</v>
      </c>
    </row>
    <row r="423" spans="7:13" x14ac:dyDescent="0.2">
      <c r="G423" s="128">
        <v>420</v>
      </c>
      <c r="H423" s="129">
        <f>H411</f>
        <v>67</v>
      </c>
      <c r="I423" s="130">
        <f>H423*(1-PARAM!$C$27)*$C$28</f>
        <v>56.078999999999994</v>
      </c>
      <c r="J423" s="234">
        <f>IF(L422&lt;0,L422,L422*$K$1)*(1+IF(L422&lt;0,0,PARAM!$C$31))</f>
        <v>82026.251138038671</v>
      </c>
      <c r="K423" s="132">
        <f>PARAM!$C$26+MAX(0,($C$25-CHOOSE(PARAM!$B$44,MAX(0,L422*IF(L422&gt;0,$K$1,1)),0)))*RATES!$L423/12+$C$26/CHOOSE(PARAM!$B$51,1,3,6,12)*RATES!$N423/100</f>
        <v>5</v>
      </c>
      <c r="L423" s="133">
        <f>IF($G423=PARAM!$B$56,ReviewValue,J423+$I423-K423)</f>
        <v>82077.330138038669</v>
      </c>
      <c r="M423" s="235">
        <f t="shared" si="26"/>
        <v>28140</v>
      </c>
    </row>
    <row r="424" spans="7:13" x14ac:dyDescent="0.2">
      <c r="G424" s="89">
        <v>1</v>
      </c>
      <c r="H424" s="152"/>
      <c r="I424" s="152"/>
      <c r="J424" s="273">
        <f>J15</f>
        <v>-1131.5520000000001</v>
      </c>
      <c r="K424" s="153">
        <f>CHOOSE(PARAM!$B$44,MAX(J424,$C$25),MAX(0,J424)+$C$25)</f>
        <v>50000</v>
      </c>
      <c r="L424" s="269"/>
      <c r="M424" s="237">
        <f>M15</f>
        <v>804</v>
      </c>
    </row>
    <row r="425" spans="7:13" x14ac:dyDescent="0.2">
      <c r="G425" s="90">
        <v>2</v>
      </c>
      <c r="H425" s="147"/>
      <c r="I425" s="147"/>
      <c r="J425" s="274">
        <f>J27</f>
        <v>-544.1040000000005</v>
      </c>
      <c r="K425" s="154">
        <f>CHOOSE(PARAM!$B$44,MAX(J425,$C$25),MAX(0,J425)+$C$25)</f>
        <v>50000</v>
      </c>
      <c r="L425" s="270"/>
      <c r="M425" s="238">
        <f>M27</f>
        <v>1608</v>
      </c>
    </row>
    <row r="426" spans="7:13" x14ac:dyDescent="0.2">
      <c r="G426" s="90">
        <v>3</v>
      </c>
      <c r="H426" s="147"/>
      <c r="I426" s="147"/>
      <c r="J426" s="274">
        <f>J39</f>
        <v>42.096943591651836</v>
      </c>
      <c r="K426" s="154">
        <f>CHOOSE(PARAM!$B$44,MAX(J426,$C$25),MAX(0,J426)+$C$25)</f>
        <v>50000</v>
      </c>
      <c r="L426" s="270"/>
      <c r="M426" s="238">
        <f>M39</f>
        <v>2412</v>
      </c>
    </row>
    <row r="427" spans="7:13" x14ac:dyDescent="0.2">
      <c r="G427" s="90">
        <v>4</v>
      </c>
      <c r="H427" s="147"/>
      <c r="I427" s="147"/>
      <c r="J427" s="274">
        <f>J51</f>
        <v>652.87487757959673</v>
      </c>
      <c r="K427" s="154">
        <f>CHOOSE(PARAM!$B$44,MAX(J427,$C$25),MAX(0,J427)+$C$25)</f>
        <v>50000</v>
      </c>
      <c r="L427" s="270"/>
      <c r="M427" s="238">
        <f>M51</f>
        <v>3216</v>
      </c>
    </row>
    <row r="428" spans="7:13" x14ac:dyDescent="0.2">
      <c r="G428" s="90">
        <v>5</v>
      </c>
      <c r="H428" s="147"/>
      <c r="I428" s="147"/>
      <c r="J428" s="274">
        <f>J63</f>
        <v>1307.8005010054599</v>
      </c>
      <c r="K428" s="154">
        <f>CHOOSE(PARAM!$B$44,MAX(J428,$C$25),MAX(0,J428)+$C$25)</f>
        <v>50000</v>
      </c>
      <c r="L428" s="270"/>
      <c r="M428" s="238">
        <f>M63</f>
        <v>4020</v>
      </c>
    </row>
    <row r="429" spans="7:13" x14ac:dyDescent="0.2">
      <c r="G429" s="90">
        <v>10</v>
      </c>
      <c r="H429" s="147"/>
      <c r="I429" s="147"/>
      <c r="J429" s="274">
        <f>J123</f>
        <v>5516.6033385285691</v>
      </c>
      <c r="K429" s="154">
        <f>CHOOSE(PARAM!$B$44,MAX(J429,$C$25),MAX(0,J429)+$C$25)</f>
        <v>50000</v>
      </c>
      <c r="L429" s="270"/>
      <c r="M429" s="238">
        <f>M123</f>
        <v>8040</v>
      </c>
    </row>
    <row r="430" spans="7:13" x14ac:dyDescent="0.2">
      <c r="G430" s="90">
        <v>15</v>
      </c>
      <c r="H430" s="147"/>
      <c r="I430" s="147"/>
      <c r="J430" s="274">
        <f>J183</f>
        <v>11615.880906466815</v>
      </c>
      <c r="K430" s="154">
        <f>CHOOSE(PARAM!$B$44,MAX(J430,$C$25),MAX(0,J430)+$C$25)</f>
        <v>50000</v>
      </c>
      <c r="L430" s="270"/>
      <c r="M430" s="238">
        <f>M183</f>
        <v>12060</v>
      </c>
    </row>
    <row r="431" spans="7:13" x14ac:dyDescent="0.2">
      <c r="G431" s="90">
        <v>20</v>
      </c>
      <c r="H431" s="147"/>
      <c r="I431" s="147"/>
      <c r="J431" s="274">
        <f>J243</f>
        <v>20468.886010963954</v>
      </c>
      <c r="K431" s="154">
        <f>CHOOSE(PARAM!$B$44,MAX(J431,$C$25),MAX(0,J431)+$C$25)</f>
        <v>50000</v>
      </c>
      <c r="L431" s="270"/>
      <c r="M431" s="238">
        <f>M243</f>
        <v>16080</v>
      </c>
    </row>
    <row r="432" spans="7:13" x14ac:dyDescent="0.2">
      <c r="G432" s="90">
        <v>25</v>
      </c>
      <c r="H432" s="147"/>
      <c r="I432" s="147"/>
      <c r="J432" s="274">
        <f>J303</f>
        <v>33445.621488567376</v>
      </c>
      <c r="K432" s="154">
        <f>CHOOSE(PARAM!$B$44,MAX(J432,$C$25),MAX(0,J432)+$C$25)</f>
        <v>50000</v>
      </c>
      <c r="L432" s="270"/>
      <c r="M432" s="238">
        <f>M303</f>
        <v>20100</v>
      </c>
    </row>
    <row r="433" spans="7:13" x14ac:dyDescent="0.2">
      <c r="G433" s="90">
        <v>30</v>
      </c>
      <c r="H433" s="147"/>
      <c r="I433" s="147"/>
      <c r="J433" s="274">
        <f>J363</f>
        <v>52892.384613345435</v>
      </c>
      <c r="K433" s="154">
        <f>CHOOSE(PARAM!$B$44,MAX(J433,$C$25),MAX(0,J433)+$C$25)</f>
        <v>52892.384613345435</v>
      </c>
      <c r="L433" s="270"/>
      <c r="M433" s="238">
        <f>M363</f>
        <v>24120</v>
      </c>
    </row>
    <row r="434" spans="7:13" x14ac:dyDescent="0.2">
      <c r="G434" s="90">
        <v>35</v>
      </c>
      <c r="H434" s="147"/>
      <c r="I434" s="147"/>
      <c r="J434" s="274">
        <f>J423</f>
        <v>82026.251138038671</v>
      </c>
      <c r="K434" s="154">
        <f>CHOOSE(PARAM!$B$44,MAX(J434,$C$25),MAX(0,J434)+$C$25)</f>
        <v>82026.251138038671</v>
      </c>
      <c r="L434" s="270"/>
      <c r="M434" s="238">
        <f t="shared" ref="M434:M445" si="29">M423</f>
        <v>28140</v>
      </c>
    </row>
    <row r="435" spans="7:13" x14ac:dyDescent="0.2">
      <c r="G435" s="89">
        <v>1</v>
      </c>
      <c r="H435" s="152"/>
      <c r="I435" s="152"/>
      <c r="J435" s="273">
        <f>IF(J424&lt;=0,0,ROUNDDOWN(J424,2-TRUNC(LOG10(J424))))</f>
        <v>0</v>
      </c>
      <c r="K435" s="153">
        <f t="shared" ref="K435:K440" si="30">ROUNDDOWN(K424,0)</f>
        <v>50000</v>
      </c>
      <c r="L435" s="275"/>
      <c r="M435" s="237">
        <f t="shared" si="29"/>
        <v>804</v>
      </c>
    </row>
    <row r="436" spans="7:13" x14ac:dyDescent="0.2">
      <c r="G436" s="90">
        <v>2</v>
      </c>
      <c r="H436" s="147"/>
      <c r="I436" s="147"/>
      <c r="J436" s="274">
        <f t="shared" ref="J436:J445" si="31">IF(J425&lt;=0,0,ROUNDDOWN(J425,0))</f>
        <v>0</v>
      </c>
      <c r="K436" s="154">
        <f t="shared" si="30"/>
        <v>50000</v>
      </c>
      <c r="L436" s="276"/>
      <c r="M436" s="238">
        <f t="shared" si="29"/>
        <v>1608</v>
      </c>
    </row>
    <row r="437" spans="7:13" x14ac:dyDescent="0.2">
      <c r="G437" s="90">
        <v>3</v>
      </c>
      <c r="H437" s="147"/>
      <c r="I437" s="147"/>
      <c r="J437" s="274">
        <f t="shared" si="31"/>
        <v>42</v>
      </c>
      <c r="K437" s="154">
        <f t="shared" si="30"/>
        <v>50000</v>
      </c>
      <c r="L437" s="276"/>
      <c r="M437" s="238">
        <f t="shared" si="29"/>
        <v>2412</v>
      </c>
    </row>
    <row r="438" spans="7:13" x14ac:dyDescent="0.2">
      <c r="G438" s="90">
        <v>4</v>
      </c>
      <c r="H438" s="147"/>
      <c r="I438" s="147"/>
      <c r="J438" s="274">
        <f t="shared" si="31"/>
        <v>652</v>
      </c>
      <c r="K438" s="154">
        <f t="shared" si="30"/>
        <v>50000</v>
      </c>
      <c r="L438" s="276"/>
      <c r="M438" s="238">
        <f t="shared" si="29"/>
        <v>3216</v>
      </c>
    </row>
    <row r="439" spans="7:13" x14ac:dyDescent="0.2">
      <c r="G439" s="90">
        <v>5</v>
      </c>
      <c r="H439" s="147"/>
      <c r="I439" s="147"/>
      <c r="J439" s="274">
        <f t="shared" si="31"/>
        <v>1307</v>
      </c>
      <c r="K439" s="154">
        <f t="shared" si="30"/>
        <v>50000</v>
      </c>
      <c r="L439" s="276"/>
      <c r="M439" s="238">
        <f t="shared" si="29"/>
        <v>4020</v>
      </c>
    </row>
    <row r="440" spans="7:13" x14ac:dyDescent="0.2">
      <c r="G440" s="90">
        <v>10</v>
      </c>
      <c r="H440" s="147"/>
      <c r="I440" s="147"/>
      <c r="J440" s="274">
        <f t="shared" si="31"/>
        <v>5516</v>
      </c>
      <c r="K440" s="154">
        <f t="shared" si="30"/>
        <v>50000</v>
      </c>
      <c r="L440" s="276"/>
      <c r="M440" s="238">
        <f t="shared" si="29"/>
        <v>8040</v>
      </c>
    </row>
    <row r="441" spans="7:13" x14ac:dyDescent="0.2">
      <c r="G441" s="90">
        <v>15</v>
      </c>
      <c r="H441" s="147"/>
      <c r="I441" s="147"/>
      <c r="J441" s="274">
        <f t="shared" si="31"/>
        <v>11615</v>
      </c>
      <c r="K441" s="154">
        <f>IF(J441=0,0,ROUNDDOWN(K430,0))</f>
        <v>50000</v>
      </c>
      <c r="L441" s="276"/>
      <c r="M441" s="238">
        <f t="shared" si="29"/>
        <v>12060</v>
      </c>
    </row>
    <row r="442" spans="7:13" x14ac:dyDescent="0.2">
      <c r="G442" s="90">
        <v>20</v>
      </c>
      <c r="H442" s="147"/>
      <c r="I442" s="147"/>
      <c r="J442" s="274">
        <f t="shared" si="31"/>
        <v>20468</v>
      </c>
      <c r="K442" s="154">
        <f>IF(J442=0,0,ROUNDDOWN(K431,0))</f>
        <v>50000</v>
      </c>
      <c r="L442" s="276"/>
      <c r="M442" s="238">
        <f t="shared" si="29"/>
        <v>16080</v>
      </c>
    </row>
    <row r="443" spans="7:13" x14ac:dyDescent="0.2">
      <c r="G443" s="90">
        <v>25</v>
      </c>
      <c r="H443" s="147"/>
      <c r="I443" s="147"/>
      <c r="J443" s="274">
        <f t="shared" si="31"/>
        <v>33445</v>
      </c>
      <c r="K443" s="154">
        <f>IF(J443=0,0,ROUNDDOWN(K432,0))</f>
        <v>50000</v>
      </c>
      <c r="L443" s="276"/>
      <c r="M443" s="238">
        <f t="shared" si="29"/>
        <v>20100</v>
      </c>
    </row>
    <row r="444" spans="7:13" x14ac:dyDescent="0.2">
      <c r="G444" s="90">
        <v>30</v>
      </c>
      <c r="H444" s="147"/>
      <c r="I444" s="147"/>
      <c r="J444" s="274">
        <f t="shared" si="31"/>
        <v>52892</v>
      </c>
      <c r="K444" s="154">
        <f>IF(J444=0,0,ROUNDDOWN(K433,0))</f>
        <v>52892</v>
      </c>
      <c r="L444" s="276"/>
      <c r="M444" s="238">
        <f t="shared" si="29"/>
        <v>24120</v>
      </c>
    </row>
    <row r="445" spans="7:13" x14ac:dyDescent="0.2">
      <c r="G445" s="91">
        <v>35</v>
      </c>
      <c r="H445" s="155"/>
      <c r="I445" s="155"/>
      <c r="J445" s="277">
        <f t="shared" si="31"/>
        <v>82026</v>
      </c>
      <c r="K445" s="156">
        <f>IF(J445=0,0,ROUNDDOWN(K434,0))</f>
        <v>82026</v>
      </c>
      <c r="L445" s="278"/>
      <c r="M445" s="239">
        <f t="shared" si="29"/>
        <v>28140</v>
      </c>
    </row>
  </sheetData>
  <mergeCells count="1">
    <mergeCell ref="D1:E1"/>
  </mergeCells>
  <phoneticPr fontId="0" type="noConversion"/>
  <conditionalFormatting sqref="G3:G423">
    <cfRule type="cellIs" dxfId="0" priority="1" stopIfTrue="1" operator="equal">
      <formula>$C$21</formula>
    </cfRule>
  </conditionalFormatting>
  <pageMargins left="0.75" right="0.75" top="1" bottom="1" header="0.5" footer="0.5"/>
  <pageSetup paperSize="9" scale="10" orientation="landscape" horizontalDpi="96" r:id="rId1"/>
  <headerFooter alignWithMargins="0">
    <oddHeader>&amp;F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28"/>
  <sheetViews>
    <sheetView workbookViewId="0"/>
  </sheetViews>
  <sheetFormatPr defaultRowHeight="12.75" x14ac:dyDescent="0.2"/>
  <cols>
    <col min="1" max="1" width="12.28515625" bestFit="1" customWidth="1"/>
    <col min="2" max="6" width="12.140625" customWidth="1"/>
  </cols>
  <sheetData>
    <row r="1" spans="1:4" x14ac:dyDescent="0.2">
      <c r="A1" s="94" t="s">
        <v>22</v>
      </c>
      <c r="B1" s="286">
        <f>ITER!C25</f>
        <v>50000</v>
      </c>
    </row>
    <row r="2" spans="1:4" x14ac:dyDescent="0.2">
      <c r="A2" s="94" t="s">
        <v>15</v>
      </c>
      <c r="B2" s="286">
        <f>ITER!C26</f>
        <v>67</v>
      </c>
    </row>
    <row r="3" spans="1:4" x14ac:dyDescent="0.2">
      <c r="A3" s="94" t="s">
        <v>346</v>
      </c>
      <c r="B3" s="94">
        <f>IntFndChg</f>
        <v>1.2E-2</v>
      </c>
    </row>
    <row r="4" spans="1:4" x14ac:dyDescent="0.2">
      <c r="A4" s="94" t="s">
        <v>353</v>
      </c>
      <c r="B4" s="305">
        <f>PARAM!C34</f>
        <v>50000</v>
      </c>
    </row>
    <row r="5" spans="1:4" x14ac:dyDescent="0.2">
      <c r="A5" s="14"/>
      <c r="B5" s="15"/>
      <c r="C5" s="208" t="s">
        <v>344</v>
      </c>
      <c r="D5" s="208" t="s">
        <v>334</v>
      </c>
    </row>
    <row r="6" spans="1:4" x14ac:dyDescent="0.2">
      <c r="A6" s="208" t="s">
        <v>138</v>
      </c>
      <c r="B6" s="208" t="s">
        <v>341</v>
      </c>
      <c r="C6" s="287">
        <f>PARAM!B59</f>
        <v>7.4999999999999997E-2</v>
      </c>
      <c r="D6" s="293">
        <f>C6</f>
        <v>7.4999999999999997E-2</v>
      </c>
    </row>
    <row r="7" spans="1:4" x14ac:dyDescent="0.2">
      <c r="A7" s="279">
        <v>1</v>
      </c>
      <c r="B7" s="283">
        <f>ITER!M435</f>
        <v>804</v>
      </c>
      <c r="C7" s="201">
        <f>ITER!J435</f>
        <v>0</v>
      </c>
      <c r="D7" s="283">
        <f>ITER!K435</f>
        <v>50000</v>
      </c>
    </row>
    <row r="8" spans="1:4" x14ac:dyDescent="0.2">
      <c r="A8" s="280">
        <v>2</v>
      </c>
      <c r="B8" s="284">
        <f>ITER!M436</f>
        <v>1608</v>
      </c>
      <c r="C8" s="204">
        <f>ITER!J436</f>
        <v>0</v>
      </c>
      <c r="D8" s="284">
        <f>ITER!K436</f>
        <v>50000</v>
      </c>
    </row>
    <row r="9" spans="1:4" x14ac:dyDescent="0.2">
      <c r="A9" s="280">
        <v>3</v>
      </c>
      <c r="B9" s="284">
        <f>ITER!M437</f>
        <v>2412</v>
      </c>
      <c r="C9" s="204">
        <f>ITER!J437</f>
        <v>42</v>
      </c>
      <c r="D9" s="284">
        <f>ITER!K437</f>
        <v>50000</v>
      </c>
    </row>
    <row r="10" spans="1:4" x14ac:dyDescent="0.2">
      <c r="A10" s="280">
        <v>4</v>
      </c>
      <c r="B10" s="284">
        <f>ITER!M438</f>
        <v>3216</v>
      </c>
      <c r="C10" s="204">
        <f>ITER!J438</f>
        <v>652</v>
      </c>
      <c r="D10" s="284">
        <f>ITER!K438</f>
        <v>50000</v>
      </c>
    </row>
    <row r="11" spans="1:4" x14ac:dyDescent="0.2">
      <c r="A11" s="280">
        <v>5</v>
      </c>
      <c r="B11" s="284">
        <f>ITER!M439</f>
        <v>4020</v>
      </c>
      <c r="C11" s="204">
        <f>ITER!J439</f>
        <v>1307</v>
      </c>
      <c r="D11" s="284">
        <f>ITER!K439</f>
        <v>50000</v>
      </c>
    </row>
    <row r="12" spans="1:4" x14ac:dyDescent="0.2">
      <c r="A12" s="280">
        <v>10</v>
      </c>
      <c r="B12" s="284">
        <f>ITER!M440</f>
        <v>8040</v>
      </c>
      <c r="C12" s="204">
        <f>ITER!J440</f>
        <v>5516</v>
      </c>
      <c r="D12" s="284">
        <f>ITER!K440</f>
        <v>50000</v>
      </c>
    </row>
    <row r="13" spans="1:4" x14ac:dyDescent="0.2">
      <c r="A13" s="280">
        <v>15</v>
      </c>
      <c r="B13" s="284">
        <f>ITER!M441</f>
        <v>12060</v>
      </c>
      <c r="C13" s="204">
        <f>ITER!J441</f>
        <v>11615</v>
      </c>
      <c r="D13" s="284">
        <f>ITER!K441</f>
        <v>50000</v>
      </c>
    </row>
    <row r="14" spans="1:4" x14ac:dyDescent="0.2">
      <c r="A14" s="280">
        <v>20</v>
      </c>
      <c r="B14" s="284">
        <f>ITER!M442</f>
        <v>16080</v>
      </c>
      <c r="C14" s="204">
        <f>ITER!J442</f>
        <v>20468</v>
      </c>
      <c r="D14" s="284">
        <f>ITER!K442</f>
        <v>50000</v>
      </c>
    </row>
    <row r="15" spans="1:4" x14ac:dyDescent="0.2">
      <c r="A15" s="280">
        <v>25</v>
      </c>
      <c r="B15" s="284">
        <f>ITER!M443</f>
        <v>20100</v>
      </c>
      <c r="C15" s="204">
        <f>ITER!J443</f>
        <v>33445</v>
      </c>
      <c r="D15" s="284">
        <f>ITER!K443</f>
        <v>50000</v>
      </c>
    </row>
    <row r="16" spans="1:4" x14ac:dyDescent="0.2">
      <c r="A16" s="280">
        <v>30</v>
      </c>
      <c r="B16" s="284">
        <f>ITER!M444</f>
        <v>24120</v>
      </c>
      <c r="C16" s="204">
        <f>ITER!J444</f>
        <v>52892</v>
      </c>
      <c r="D16" s="284">
        <f>ITER!K444</f>
        <v>52892</v>
      </c>
    </row>
    <row r="17" spans="1:4" x14ac:dyDescent="0.2">
      <c r="A17" s="281">
        <v>35</v>
      </c>
      <c r="B17" s="285">
        <f>ITER!M445</f>
        <v>28140</v>
      </c>
      <c r="C17" s="282">
        <f>ITER!J445</f>
        <v>82026</v>
      </c>
      <c r="D17" s="285">
        <f>ITER!K445</f>
        <v>82026</v>
      </c>
    </row>
    <row r="21" spans="1:4" x14ac:dyDescent="0.2">
      <c r="A21" s="42" t="s">
        <v>197</v>
      </c>
      <c r="B21" s="42"/>
      <c r="C21" s="63" t="b">
        <f>OR(A24:A28)</f>
        <v>0</v>
      </c>
    </row>
    <row r="22" spans="1:4" x14ac:dyDescent="0.2">
      <c r="A22" s="42" t="s">
        <v>198</v>
      </c>
      <c r="B22" s="42"/>
      <c r="C22" s="63">
        <f>MIN(B24:B28)</f>
        <v>0</v>
      </c>
    </row>
    <row r="23" spans="1:4" x14ac:dyDescent="0.2">
      <c r="A23" s="42" t="s">
        <v>199</v>
      </c>
      <c r="B23" s="42"/>
      <c r="C23" s="76" t="str">
        <f>IF(C22=0,"",INDEX(C24:C28,C22))</f>
        <v/>
      </c>
    </row>
    <row r="24" spans="1:4" x14ac:dyDescent="0.2">
      <c r="A24" s="42" t="b">
        <f>AND(PARAM!B48=1,ITER!C26&lt;&gt;CALC!H23,ITER!C26=MinimumPremium)</f>
        <v>0</v>
      </c>
      <c r="B24" s="42" t="str">
        <f>IF(A24,1,"")</f>
        <v/>
      </c>
      <c r="C24" s="42" t="s">
        <v>200</v>
      </c>
    </row>
    <row r="25" spans="1:4" x14ac:dyDescent="0.2">
      <c r="A25" s="42" t="b">
        <f>AND(PARAM!B48=2,ITER!C25&lt;PARAM!C34)</f>
        <v>0</v>
      </c>
      <c r="B25" s="42" t="str">
        <f>IF(A25,2,"")</f>
        <v/>
      </c>
      <c r="C25" s="42" t="s">
        <v>552</v>
      </c>
    </row>
    <row r="26" spans="1:4" x14ac:dyDescent="0.2">
      <c r="A26" s="42" t="b">
        <f>AND(PARAM!B48=3,ITER!C26&lt;&gt;InputPremium)</f>
        <v>0</v>
      </c>
      <c r="B26" s="42" t="str">
        <f>IF(A26,3,"")</f>
        <v/>
      </c>
      <c r="C26" s="42" t="s">
        <v>201</v>
      </c>
    </row>
    <row r="27" spans="1:4" x14ac:dyDescent="0.2">
      <c r="A27" t="b">
        <f>ITER!C25&gt;PARAM!J41</f>
        <v>0</v>
      </c>
      <c r="B27" s="42" t="str">
        <f>IF(A27,4,"")</f>
        <v/>
      </c>
      <c r="C27" t="s">
        <v>553</v>
      </c>
    </row>
    <row r="28" spans="1:4" x14ac:dyDescent="0.2">
      <c r="A28" t="b">
        <f>AND(PARAM!B45=2,ITER!D26&gt;PARAM!K41)</f>
        <v>0</v>
      </c>
      <c r="B28" s="42" t="str">
        <f>IF(A28,5,"")</f>
        <v/>
      </c>
      <c r="C28" t="s">
        <v>554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67</vt:i4>
      </vt:variant>
    </vt:vector>
  </HeadingPairs>
  <TitlesOfParts>
    <vt:vector size="75" baseType="lpstr">
      <vt:lpstr>INPUTS</vt:lpstr>
      <vt:lpstr>TABLES</vt:lpstr>
      <vt:lpstr>PARAM</vt:lpstr>
      <vt:lpstr>DEDN</vt:lpstr>
      <vt:lpstr>RATES</vt:lpstr>
      <vt:lpstr>CALC</vt:lpstr>
      <vt:lpstr>ITER</vt:lpstr>
      <vt:lpstr>OUTPUT</vt:lpstr>
      <vt:lpstr>CurrencyLookup</vt:lpstr>
      <vt:lpstr>FundAdmin</vt:lpstr>
      <vt:lpstr>Guess</vt:lpstr>
      <vt:lpstr>InputBenefitType</vt:lpstr>
      <vt:lpstr>InputBusType</vt:lpstr>
      <vt:lpstr>InputCalcBasis</vt:lpstr>
      <vt:lpstr>InputCalcDate</vt:lpstr>
      <vt:lpstr>InputCommSac</vt:lpstr>
      <vt:lpstr>InputCurrency</vt:lpstr>
      <vt:lpstr>InputCurrRate</vt:lpstr>
      <vt:lpstr>InputGrowth</vt:lpstr>
      <vt:lpstr>InputIllusRate</vt:lpstr>
      <vt:lpstr>InputPremFreq</vt:lpstr>
      <vt:lpstr>InputPremium</vt:lpstr>
      <vt:lpstr>InputPremRounding</vt:lpstr>
      <vt:lpstr>InputSABasis</vt:lpstr>
      <vt:lpstr>InputSumAss</vt:lpstr>
      <vt:lpstr>InputSumAssRounding</vt:lpstr>
      <vt:lpstr>InputTarget</vt:lpstr>
      <vt:lpstr>InputTrigger</vt:lpstr>
      <vt:lpstr>InputWoP</vt:lpstr>
      <vt:lpstr>IntFndChg</vt:lpstr>
      <vt:lpstr>L1_AgeNB</vt:lpstr>
      <vt:lpstr>L1_Country</vt:lpstr>
      <vt:lpstr>L1_FlatRate</vt:lpstr>
      <vt:lpstr>L1_PcLoad</vt:lpstr>
      <vt:lpstr>L1_Sex</vt:lpstr>
      <vt:lpstr>L1_Smoker</vt:lpstr>
      <vt:lpstr>L1_YTA</vt:lpstr>
      <vt:lpstr>L2_AgeNB</vt:lpstr>
      <vt:lpstr>L2_Country</vt:lpstr>
      <vt:lpstr>L2_FlatRate</vt:lpstr>
      <vt:lpstr>L2_PcLoad</vt:lpstr>
      <vt:lpstr>L2_Sex</vt:lpstr>
      <vt:lpstr>L2_Smoker</vt:lpstr>
      <vt:lpstr>L2_YTA</vt:lpstr>
      <vt:lpstr>Location</vt:lpstr>
      <vt:lpstr>LookupBasis</vt:lpstr>
      <vt:lpstr>LookupBenefit</vt:lpstr>
      <vt:lpstr>LookupCalc</vt:lpstr>
      <vt:lpstr>LookupCountry</vt:lpstr>
      <vt:lpstr>LookupCountryTbl</vt:lpstr>
      <vt:lpstr>LookupEvent</vt:lpstr>
      <vt:lpstr>LookupFlatRate</vt:lpstr>
      <vt:lpstr>LookupTarget</vt:lpstr>
      <vt:lpstr>LookupType</vt:lpstr>
      <vt:lpstr>LookupYN</vt:lpstr>
      <vt:lpstr>LookupYTA</vt:lpstr>
      <vt:lpstr>Loyalty</vt:lpstr>
      <vt:lpstr>MinimumPremium</vt:lpstr>
      <vt:lpstr>MinimumPremiums</vt:lpstr>
      <vt:lpstr>MinimumSumAss</vt:lpstr>
      <vt:lpstr>OutputMessage</vt:lpstr>
      <vt:lpstr>OutputMessageRqd</vt:lpstr>
      <vt:lpstr>OutputMessageType</vt:lpstr>
      <vt:lpstr>OutputMinSA</vt:lpstr>
      <vt:lpstr>OutputPremium</vt:lpstr>
      <vt:lpstr>OutputSumAss</vt:lpstr>
      <vt:lpstr>ProjectionResults</vt:lpstr>
      <vt:lpstr>ReviewCommDate</vt:lpstr>
      <vt:lpstr>ReviewPlanNo</vt:lpstr>
      <vt:lpstr>ReviewPremium</vt:lpstr>
      <vt:lpstr>ReviewSumAss</vt:lpstr>
      <vt:lpstr>ReviewValue</vt:lpstr>
      <vt:lpstr>TERR</vt:lpstr>
      <vt:lpstr>Version</vt:lpstr>
      <vt:lpstr>WoP_PcLoad</vt:lpstr>
    </vt:vector>
  </TitlesOfParts>
  <Company>Zest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 Pu</cp:lastModifiedBy>
  <cp:lastPrinted>2003-09-22T13:58:49Z</cp:lastPrinted>
  <dcterms:created xsi:type="dcterms:W3CDTF">1999-04-22T11:26:36Z</dcterms:created>
  <dcterms:modified xsi:type="dcterms:W3CDTF">2011-04-07T07:59:25Z</dcterms:modified>
</cp:coreProperties>
</file>